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ĐỔI LINK IMPORTRANGE" sheetId="1" r:id="rId5"/>
    <sheet state="visible" name="0.Ngân Hàng" sheetId="2" r:id="rId6"/>
    <sheet state="hidden" name="MỤC LỤC-HƯỚNG DẪN" sheetId="3" r:id="rId7"/>
    <sheet state="visible" name="1. DATA CHUNG" sheetId="4" r:id="rId8"/>
    <sheet state="visible" name="2. DATA NL, VTBB" sheetId="5" r:id="rId9"/>
    <sheet state="visible" name="3. KHẢO SÁT, LẤY MẪU ĐÁNH GIÁ N" sheetId="6" r:id="rId10"/>
    <sheet state="visible" name="4. KHẢO SÁT, LẤY MẪU ĐÁNH GIÁ S" sheetId="7" r:id="rId11"/>
    <sheet state="visible" name="5. QUY ĐỔI ĐVT NCC" sheetId="8" r:id="rId12"/>
    <sheet state="visible" name="6. TIẾN ĐỘ MUA HÀNG" sheetId="9" r:id="rId13"/>
    <sheet state="visible" name="DỮ LIỆU CŨ" sheetId="10" r:id="rId14"/>
    <sheet state="visible" name="7. PO GỬI NCC" sheetId="11" r:id="rId15"/>
    <sheet state="visible" name="Giấy DNTT theo tháng " sheetId="12" r:id="rId16"/>
    <sheet state="visible" name="Giấy DNTT theo đơn " sheetId="13" r:id="rId17"/>
    <sheet state="visible" name="8. THEO DÕI CHI NCC" sheetId="14" r:id="rId18"/>
    <sheet state="visible" name="9. ĐÁNH GIÁ HỢP ĐỒNG" sheetId="15" r:id="rId19"/>
    <sheet state="visible" name="10. ĐỐI CHIẾU CÔNG NỢ" sheetId="16" r:id="rId20"/>
    <sheet state="visible" name="11. BÁO CÁO TIẾN ĐỘ ĐƠN MUA HÀN" sheetId="17" r:id="rId21"/>
    <sheet state="visible" name="12. BÁO CÁO NSPT" sheetId="18" r:id="rId22"/>
    <sheet state="visible" name="13. BÁO CÁO PHÂN LOẠI VTBBNL" sheetId="19" r:id="rId23"/>
    <sheet state="visible" name="14. BÁO CÁO NCC " sheetId="20" r:id="rId24"/>
    <sheet state="visible" name="15. BÁO CÁO BỘ PHẬN " sheetId="21" r:id="rId25"/>
    <sheet state="visible" name="16. BÁO CÁO CHI PHÍ VẬN CHUYỂN" sheetId="22" r:id="rId26"/>
    <sheet state="visible" name="Giấy DNTT VC theo tháng " sheetId="23" r:id="rId27"/>
  </sheets>
  <definedNames>
    <definedName hidden="1" localSheetId="6" name="_xlnm._FilterDatabase">'4. KHẢO SÁT, LẤY MẪU ĐÁNH GIÁ S'!$A$5:$AM$14</definedName>
    <definedName hidden="1" localSheetId="8" name="_xlnm._FilterDatabase">'6. TIẾN ĐỘ MUA HÀNG'!$A$4:$AT$76</definedName>
    <definedName hidden="1" localSheetId="13" name="_xlnm._FilterDatabase">'8. THEO DÕI CHI NCC'!$A$4:$AF$80</definedName>
    <definedName hidden="1" localSheetId="15" name="_xlnm._FilterDatabase">'10. ĐỐI CHIẾU CÔNG NỢ'!$A$5:$O$15</definedName>
    <definedName hidden="1" localSheetId="16" name="_xlnm._FilterDatabase">'11. BÁO CÁO TIẾN ĐỘ ĐƠN MUA HÀN'!$A$5:$V$80</definedName>
    <definedName hidden="1" localSheetId="8" name="Z_F78D5D96_DFA3_4174_ADE0_F17D313665BE_.wvu.FilterData">'6. TIẾN ĐỘ MUA HÀNG'!$A$4:$AT$76</definedName>
    <definedName hidden="1" localSheetId="8" name="Z_04F31CAD_6FA3_47C3_8F93_9335FAE89CAE_.wvu.FilterData">'6. TIẾN ĐỘ MUA HÀNG'!$A$4:$AT$33</definedName>
    <definedName hidden="1" localSheetId="9" name="Z_04F31CAD_6FA3_47C3_8F93_9335FAE89CAE_.wvu.FilterData">'DỮ LIỆU CŨ'!$A$3:$AT$508</definedName>
  </definedNames>
  <calcPr/>
  <customWorkbookViews>
    <customWorkbookView activeSheetId="0" maximized="1" windowHeight="0" windowWidth="0" guid="{F78D5D96-DFA3-4174-ADE0-F17D313665BE}" name="NGÂN"/>
    <customWorkbookView activeSheetId="0" maximized="1" windowHeight="0" windowWidth="0" guid="{04F31CAD-6FA3-47C3-8F93-9335FAE89CAE}" name="Du"/>
  </customWorkbookViews>
</workbook>
</file>

<file path=xl/sharedStrings.xml><?xml version="1.0" encoding="utf-8"?>
<sst xmlns="http://schemas.openxmlformats.org/spreadsheetml/2006/main" count="8978" uniqueCount="1459">
  <si>
    <t>BẢNG ĐỔI LINK IMPORTRANGE — điền cột B rồi chạy "2. Bắt đầu thay thế"</t>
  </si>
  <si>
    <t>Link/Key GỐC (tự quét — đừng sửa)</t>
  </si>
  <si>
    <t>Link/Key THAY THẾ (bạn điền)</t>
  </si>
  <si>
    <t>Số ô đang dùng</t>
  </si>
  <si>
    <t>Vị trí (sheet!ô)</t>
  </si>
  <si>
    <t>185W47XpkC4eZ2FKSbi1DoXxxlcyxtBBS9e7jlxfUMtE</t>
  </si>
  <si>
    <t>1. DATA CHUNG!A1</t>
  </si>
  <si>
    <t>1QhJTRnGJtBKZs2tC-q6M0AHpmJHVvWU0XHZcR72b8nM</t>
  </si>
  <si>
    <t>2. DATA NL, VTBB!A1, DANH MUC ICARE!A2</t>
  </si>
  <si>
    <t xml:space="preserve">Tên TK thụ hưởng: </t>
  </si>
  <si>
    <t>Số TK thụ hưởng:</t>
  </si>
  <si>
    <t xml:space="preserve">Ngân hàng/Chi nhánh: </t>
  </si>
  <si>
    <t>CÔNG TY CỔ PHẦN VIỆT MỸ CẦN THƠ</t>
  </si>
  <si>
    <t>Vietcombank - CN Cần Thơ</t>
  </si>
  <si>
    <t>CÔNG TY TNHH THƯƠNG MẠI HIỀN PHAN LONG AN</t>
  </si>
  <si>
    <t>Ngân hàng Vietcombank</t>
  </si>
  <si>
    <t>CHI NHÁNH CÔNG TY TNHH SGN MIỀN NAM</t>
  </si>
  <si>
    <t>Ngân hàng Techcombank</t>
  </si>
  <si>
    <t>CÔNG TY TNHH HOÁ SINH NTK</t>
  </si>
  <si>
    <t>Ngân Hàng Vietinbank - CN 4 - PGD Văn Thánh</t>
  </si>
  <si>
    <t>CÔNG TY TNHH VĨNH NAM ANH</t>
  </si>
  <si>
    <t>Ngân hàng Đầu Tư Và Phát Triển Việt Nam CN Hóc Môn</t>
  </si>
  <si>
    <t>CÔNG TY TNHH THƯƠNG MẠI HÓA CHẤT NAM BÌNH</t>
  </si>
  <si>
    <t>NH TMCP Á Châu ( ACB Bank )</t>
  </si>
  <si>
    <t>CÔNG TY CỔ PHẦN CÔNG NGHỆ AQUADELTA</t>
  </si>
  <si>
    <t>Ngân hàng Vietinbank CN Cần Thơ</t>
  </si>
  <si>
    <t>CÔNG TY TNHH MÁY VÀ HÓA CHẤT TOÀN CẦU</t>
  </si>
  <si>
    <t>Ngân hàng TMCP Quân Đội (MB) Chi nhánh Hòa Lạc</t>
  </si>
  <si>
    <t>CÔNG TY TNHH NGUYÊN LIỆU NÔNG NGHIỆP MEKONG</t>
  </si>
  <si>
    <t>Ngân hàng TMCP Á Châu - CN Sài Gòn</t>
  </si>
  <si>
    <t>CÔNG TY TNHH THỊNH PHÁT VI NA</t>
  </si>
  <si>
    <t>Ngân Hàng Sacombank</t>
  </si>
  <si>
    <t>CÔNG TY CỔ PHẦN MẠNH ĐAN</t>
  </si>
  <si>
    <t>Ngân hàng Vietinbank – CN Thủ Đức - PGD Metro</t>
  </si>
  <si>
    <t>CÔNG TY TNHH VẬT TƯ NÔNG NGHIỆP MIA</t>
  </si>
  <si>
    <t>Ngân hàng Vietinbank</t>
  </si>
  <si>
    <t>CÔNG TY TNHH VẬT TƯ NÔNG NGHIỆP TRUNG PHONG</t>
  </si>
  <si>
    <t>CÔNG TY TNHH PHÂN BÓN NIỀM TIN VIỆT</t>
  </si>
  <si>
    <t>CÔNG TY TRÁCH NHIỆM HỮU HẠN MỘT THÀNH VIÊN BẢY PHẬN</t>
  </si>
  <si>
    <t>Ngân hàng MSB</t>
  </si>
  <si>
    <t>CÔNG TY TNHH SẢN XUẤT THƯƠNG MẠI DỊCH VỤ HẢI BÌNH</t>
  </si>
  <si>
    <t>Ngân hàng Xuất Nhập Khẩu Việt Nam - CN TP.HCM</t>
  </si>
  <si>
    <t>CÔNG TY CỔ PHẦN XUẤT NHẬP KHẨU CHÂU NGÂN</t>
  </si>
  <si>
    <t>CÔNG TY CỔ PHẦN THIẾT BỊ ĐỆ NHẤT</t>
  </si>
  <si>
    <t>CÔNG TY TNHH KING ELONG</t>
  </si>
  <si>
    <t>Ngân hàng ACB</t>
  </si>
  <si>
    <t>CÔNG TY TNHH CÂY XANH MỘC LAN</t>
  </si>
  <si>
    <t>Ngân hàng TMCP Phương Đông</t>
  </si>
  <si>
    <t>CÔNG TY TNHH SVC CHEMICAL</t>
  </si>
  <si>
    <t>Ngân hàng Thương mại Cổ phần Á Châu</t>
  </si>
  <si>
    <t>CÔNG TY TNHH XNK NGÀN HƯƠNG</t>
  </si>
  <si>
    <t>Vietcombank Cần Thơ</t>
  </si>
  <si>
    <t>DOANH NGHIỆP TƯ NHÂN NHƯ CƯƠNG</t>
  </si>
  <si>
    <t>Ngân Hàng Vietinbank</t>
  </si>
  <si>
    <t>CÔNG TY TNHH THƯƠNG MẠI DỊCH VỤ NAMSIANG VIỆT NAM</t>
  </si>
  <si>
    <t>Ngân Hàng Thương Mại Cổ Phần Á Châu (ACB) - PGD Gò Vấp</t>
  </si>
  <si>
    <t>Ngân Hàng Quân Đội - MB Bank</t>
  </si>
  <si>
    <t>CÔNG TY TNHH SẢN XUẤT BAO BÌ ĐÔNG TÂY</t>
  </si>
  <si>
    <t xml:space="preserve"> Ngân hàng TMCP Á Châu (ACB)</t>
  </si>
  <si>
    <t>CÔNG TY TNHH MỘT THÀNH VIÊN TM AN KHÁNH</t>
  </si>
  <si>
    <t>CÔNG TY TNHH DƯỢC LIỆU THIÊN NHIÊN XANH</t>
  </si>
  <si>
    <t>Ngân hàng TMCP Á Châu</t>
  </si>
  <si>
    <t>CÔNG TY TNHH NAM HÀ</t>
  </si>
  <si>
    <t>Ngân hàng VCB Cần Thơ</t>
  </si>
  <si>
    <t>CÔNG TY TNHH IN ẤN KỸ THUẬT MỚI TÂN HOA MAI</t>
  </si>
  <si>
    <t>Ngân Hàng Vietcombank, chi nhánh Kỳ Đồng</t>
  </si>
  <si>
    <t>CÔNG TY TNHH SẢN XUẤT VÀ THƯƠNG MẠI NGUYỄN BÁ</t>
  </si>
  <si>
    <t>Ngân hàng Eximbank</t>
  </si>
  <si>
    <t>CÔNG TY TNHH SẢN XUẤT VÀ THƯƠNG MẠI DƯỢC LIỆU KỲ ANH</t>
  </si>
  <si>
    <t>Ngân hàng Thương mại cổ phần Đầu tư và Phát triển Việt Nam (BIDV) - CN Bình Dương</t>
  </si>
  <si>
    <t>CÔNG TY TNHH WAF BRANDS</t>
  </si>
  <si>
    <t>Ngân hàng TMCP Ngoại thương Việt Nam - Vietcombank</t>
  </si>
  <si>
    <t>CÔNG TY CỔ PHẦN HÓA CHẤT MIỀN NAM</t>
  </si>
  <si>
    <t>Vietinbank - CN Tây Cần Thơ</t>
  </si>
  <si>
    <t>CÔNG TY TNHH HÓA CHẤT PHÂN BÓN, THUỐC BVTV DUBAI</t>
  </si>
  <si>
    <t>Ngân hàng Sacombank - PGD Tháp Mười</t>
  </si>
  <si>
    <t>Ngân hàng TMCP Á Châu (ACB) - CN Hóc Môn - TP Hồ Chí Minh</t>
  </si>
  <si>
    <t>CÔNG TY TNHH SẢN XUẤT BAO BÌ ĐÔNG BẮC</t>
  </si>
  <si>
    <t>Ngân hàng TMCP Á Châu (ACB) - CN: Hóc Môn, Tp.HCM</t>
  </si>
  <si>
    <t>CÔNG TY CỔ PHẦN MEKONG LOGISTICS</t>
  </si>
  <si>
    <t>STT</t>
  </si>
  <si>
    <t>TÊN</t>
  </si>
  <si>
    <t>PHÂN LOẠI</t>
  </si>
  <si>
    <t>MỤC TIÊU</t>
  </si>
  <si>
    <t>NỘI DUNG CHI TIẾT</t>
  </si>
  <si>
    <t>LINK</t>
  </si>
  <si>
    <t>Gợi ý góp ý</t>
  </si>
  <si>
    <t>Công việc cần thu mua xem</t>
  </si>
  <si>
    <t>Nhận xét từ NSPT Thu mua</t>
  </si>
  <si>
    <t>HƯỚNG DẪN</t>
  </si>
  <si>
    <t>DATA CHUNG</t>
  </si>
  <si>
    <t>Chỉ xem</t>
  </si>
  <si>
    <t>Lấy dữ liệu đầu vào từ  1. DATA DỮ LIỆU ĐẦU VÀO TM</t>
  </si>
  <si>
    <t>Các dữ liệu liên quan đến NCC, NSPT, Kho nhận,.. các dữ liệu cố định sử dụng chọn trong sheet "THU MUA MS QUYÊN"
- Bổ sung dữ liệu nếu muốn ( ví dụ: Thêm nhân sự Mr Hậu tại cột NSPT)</t>
  </si>
  <si>
    <t>1. DATA CHUNG</t>
  </si>
  <si>
    <t>Data có thể chưa đúng, nhờ anh chị kiểm tra lại xem ngày quy định/loại vtbb, tên NCC, tên kho nhận,...</t>
  </si>
  <si>
    <t>Rà soát lại các danh mục về Ngày quy định, Loại VTBB, Tên NCC và Kho nhận,..... xem đã chuẩn xác chưa</t>
  </si>
  <si>
    <t>- Data 1, bổ sung thông tin, (ngưng giao dịch không nhập):
* Các NCC/Kho nhận/ ĐV vận chuyển
+ Mr Hậu bổ sung NCC VTBB 
+ Ms Quyên/Ms Dung/Mr Tiên phụ trách NCC nào thì bổ sung vào nếu thiếu
=&gt; Deadline: Hậu_hết ngày 7/3; Ms Quyên (NL trong nước) 10/3; Ms Dung (nhãn mác) 9/3; Mr Tiên 10/3.
* Các thời gian quy định: cập nhật ngày quy định và phân loại 
- PHÂN LOẠI VTBB sẽ là cick chọn theo data có sẵn (nhãn, nhãn túi, túi trục,...)  để chạy ngày quy định hợp lý hơn</t>
  </si>
  <si>
    <t>DATA NL, VTBB</t>
  </si>
  <si>
    <t>Lấy dữ liệu đầu vào</t>
  </si>
  <si>
    <t xml:space="preserve">Dữ liệu tổng VTBB - lấy dữ liệu từ Ms Ly
Dữ liệu tổng NL - lấy dữ liệu từ Ms Ngân (đang đồng bộ ktoan)
</t>
  </si>
  <si>
    <t>2. DATA NL, VTBB</t>
  </si>
  <si>
    <t xml:space="preserve">Này chạy công thức từ Data Ms Ly và Ms Ngân, nên anh chị có thể bỏ qua </t>
  </si>
  <si>
    <t>KHẢO SÁT, LẤY MẪU ĐÁNH GIÁ NCC</t>
  </si>
  <si>
    <t>Nhập liệu</t>
  </si>
  <si>
    <t>Dùng cho công việc khảo sát, đánh giá NCC &amp; lưu trữ thông tin nội bộ</t>
  </si>
  <si>
    <t xml:space="preserve">- Xoay quanh thông tin NCC </t>
  </si>
  <si>
    <t>3. KHẢO SÁT, LẤY MẪU ĐÁNH GIÁ NCC</t>
  </si>
  <si>
    <t>- Chụp hình/ xuất PDF gửi trình duyệt vào group GVSX từng cá nhân
- QL duyệt + yêu cầu trên sheet</t>
  </si>
  <si>
    <t>KHẢO SÁT, LẤY MẪU ĐÁNH GIÁ SP</t>
  </si>
  <si>
    <t>Dùng cho công việc khảo sát, đánh giá sản phẩm &amp; lưu trữ thông tin nội bộ</t>
  </si>
  <si>
    <t>- Xoay quanh thông tin Sản phẩm. các thông tin NCC tự động chạy từ mục 2.1 qua</t>
  </si>
  <si>
    <t>4. KHẢO SÁT, LẤY MẪU ĐÁNH GIÁ SP</t>
  </si>
  <si>
    <t>QUY ĐỔI ĐVT NCC</t>
  </si>
  <si>
    <t xml:space="preserve">Quy đổi về cùng ĐVT dùng trong đối chiếu giá giữa các NCC </t>
  </si>
  <si>
    <t>- Công cụ hỗ trợ tính quy đổi ĐVT của sản phẩm từ NCC qua ĐVT công ty. Và giá trên ĐVT đã quy đổi</t>
  </si>
  <si>
    <t>5. QUY ĐỔI ĐVT NCC</t>
  </si>
  <si>
    <t>TIẾN ĐỘ MUA HÀNG</t>
  </si>
  <si>
    <t>Nhập liệu và lưu trữ thông tin nội bộ</t>
  </si>
  <si>
    <r>
      <rPr>
        <rFont val="Times New Roman"/>
        <color theme="1"/>
        <sz val="12.0"/>
      </rPr>
      <t xml:space="preserve">- Thu mua nhận thông tin từ các bộ phận, </t>
    </r>
    <r>
      <rPr>
        <rFont val="Times New Roman"/>
        <b/>
        <color theme="1"/>
        <sz val="12.0"/>
      </rPr>
      <t>nhập/chọn</t>
    </r>
    <r>
      <rPr>
        <rFont val="Times New Roman"/>
        <color theme="1"/>
        <sz val="12.0"/>
      </rPr>
      <t xml:space="preserve"> vào các trường tương ứng của cột/dòng tại Sheet THU MUA MS QUYÊN.
- Các trường dữ liệu có công thức sẽ tự động chạy thông tin cho bạn, đảm bảo tính chính xác bạn kiểm tra lại thông tin, nghi ngờ sai dữ liệu thì hỏi lại Quản lý tồn kho VTBB/NL
- Trường hợp giao nhiều lần: Bạn sẽ copy, thêm và dán dòng mới, sau đó chỉ cần nhập số lần nhận (tại cột X) và các thông tin liên quan đến lần giao đó như số lượng, kho nhận. Tương tự khi KD yêu cầu chia thành 2 đợt nhận.
- Trường hợp HỦY/NGƯNG, bạn cập nhật tại cột trạng thái cùng ghi chú lý do cột ghi chú, mục đích lưu lại lịch sử khi cần tra cứu. 
- Lưu ý: không được hợp nhất dòng, ô, cột sẽ ảnh hưởng đến báo cáo tự động </t>
    </r>
  </si>
  <si>
    <t>6. TIẾN ĐỘ MUA HÀNG</t>
  </si>
  <si>
    <t>Mỗi NS thu mua sẽ là 1 link Drive riêng 
Các tiêu đề cột, còn thiếu dữ liệu nào không?
Từ sheet này sẽ cho ra các báo cáo tự động
=&gt; Anh/Chị muốn bỏ báo cáo nào hay giữ lại hết, thêm báo cáo loại nào ?</t>
  </si>
  <si>
    <t>Các trường dữ liệu hiện tại đã đủ để lên một đơn hàng hoàn chỉnh chưa? Có cần bổ sung cột nào không</t>
  </si>
  <si>
    <t xml:space="preserve">- Tiêu đề không in hoa
- BP Đặt Hàng/ Cá Nhân
- Tên tiêu đề điều chỉnh ( VTBB/NL)
Điều chỉnh thứ tự cột: 
- Mr Tiên: Số lượng yêu cầu trước cột số lượng đặt và cột số kiện hàng gần nhau
- Báo cáo giải thích chi tiết ai cần thì để báo cáo xem, Từ ngày tiếp nhận +3 ngày đến ngày đó thông báo KD
- Báo cáo cuối ngày trích báo cáo cho BP yêu cầu / Cho Kho Dego 15h
- Lấy dữ liệu copy cũ qua từ ngày 1/1/2026 NSPT </t>
  </si>
  <si>
    <t>PO GỬI NHÀ CUNG CẤP</t>
  </si>
  <si>
    <t xml:space="preserve">Nhập mã </t>
  </si>
  <si>
    <t>Tạo đơn đặt hàng gửi NCC</t>
  </si>
  <si>
    <t>- Đơn đặt hàng, nhập các dữ liệu cần thiết thông tin tự động điền</t>
  </si>
  <si>
    <t>7. PO GỬI NCC</t>
  </si>
  <si>
    <t>- Copy mã DMH, in trình ký QL=&gt; gửi NCC</t>
  </si>
  <si>
    <t>THEO DÕI CHI NCC</t>
  </si>
  <si>
    <t xml:space="preserve">Nhập liệu </t>
  </si>
  <si>
    <t>Ghi nhận thông tin về việc dự chi, tạm ứng, chi thực tế cho NCC
Tổng hợp báo cáo dự chi, tạm ứng, thực chi, hoàn ứng cho từng đơn hàng theo từng lần nhận"</t>
  </si>
  <si>
    <t>8. THEO DÕI CHI NC</t>
  </si>
  <si>
    <t>Từ dữ liệu đầu vào sheet '1. Thu mua ms Quyên', em đang cho chạy ra 6 báo cáo tự động. Anh/Chị xem có cần thêm/bớt loại báo cáo nào để phục vụ quản lý tốt hơn không ạ</t>
  </si>
  <si>
    <t>- Nhập đầy đủ phát sinh
- Nếu không khớp với giấy thanh toán thì không được duyệt</t>
  </si>
  <si>
    <t>ĐÁNH GIÁ HỢP ĐỒNG</t>
  </si>
  <si>
    <t>Đánh giá sơ bộ Hợp đồng và ghi chú lại các vấn đề cần lưu ý</t>
  </si>
  <si>
    <t>9. ĐÁNH GIÁ HỢP ĐỒNG</t>
  </si>
  <si>
    <t>Nhập và in, ký trình QL kèm:
- Hợp đồng nguyên bản
- Hợp đồng sau sửa</t>
  </si>
  <si>
    <t>ĐỐI CHIẾU CÔNG NỢ</t>
  </si>
  <si>
    <t>Nhập liệu và thực hiện đối chiếu công nợ định kỳ với NCC theo quy định</t>
  </si>
  <si>
    <t>10. ĐỐI CHIẾU CÔNG NỢ</t>
  </si>
  <si>
    <t>- Nhận BB đối chiếu từ NCC
- Thực hiện đối chiếu phát sinh tăng, giảm với dữ liệu Misa =&gt; Nhập lên Drive và in trình ký QL trước ngày 12 hằng tháng
Phân loại theo nhóm:
1        Công nợ NCC
2.10      Lãi trả chậm</t>
  </si>
  <si>
    <t>BÁO CÁO TIẾN ĐỘ ĐƠN MUA HÀNG</t>
  </si>
  <si>
    <t>Kiểm soát tiến độ đơn hàng</t>
  </si>
  <si>
    <t>- Từ sheet THU MUA MS QUYÊN, dữ liệu chạy tự động báo cáo gồm thời gian đặt hàng, mua hàng, số lần nhận hàng, số lần, ghi chú, trạng thái đơn hàng... 
- Có cảnh báo Trước 3 ngày/trễ hẹn  :
+ Ngày NCC dự kiến giao 
+ Ngày KD yêu cầu
+ Đã nhận hàng chưa có hóa đơn
=&gt; thông báo đến các bộ phận Kho, KD, nộp chứng từ kế toán
Ngoài lọc thủ công có dòng tra cứu nhanh trả kết quả, nhập Đơn Misa hiển thị ngày giao (mục đích xác định ngày nhận hàng nếu các bộ phận hỏi)</t>
  </si>
  <si>
    <t>11. BÁO CÁO TIẾN ĐỘ ĐƠN MUA HÀNG</t>
  </si>
  <si>
    <t>Làm theo hướng dẫn trên sheet</t>
  </si>
  <si>
    <t>BÁO CÁO NSPT</t>
  </si>
  <si>
    <t>Thống kê số đơn hàng xử lý và tiến độ ĐH trên từng nhân sự</t>
  </si>
  <si>
    <t xml:space="preserve">- Từ sheet THU MUA MS QUYÊN, dữ liệu chạy tự động báo cáo gồm các thông tin liên quan:
+ Tổng số đơn hàng mà nhân sự thu mua
+ Có bao nhiêu đơn trễ tiến độ (theo ngày quy định)
+ Tỷ lệ trễ </t>
  </si>
  <si>
    <t>12. BÁO CÁO NSPT</t>
  </si>
  <si>
    <t>BÁO CÁO PHÂN LOẠI VTBB/NL</t>
  </si>
  <si>
    <t xml:space="preserve">Tần suất mua các loại VTBB/NL + chi phí </t>
  </si>
  <si>
    <t xml:space="preserve">- Từ sheet THU MUA MS QUYÊN, dữ liệu chạy tự động báo cáo gồm các thông tin liên quan:
+ Tần suất mua hàng của loại VTBB/NL đó trong 1 tháng/năm
+ Chi phí mua loại VTBB/NL trong 1 tháng/năm
</t>
  </si>
  <si>
    <t>13. BÁO CÁO PHÂN LOẠI VTBB/NL</t>
  </si>
  <si>
    <t>BÁO CÁO NCC</t>
  </si>
  <si>
    <t>Tần suất giao dịch và tỷ lệ trễ đơn trên từng NCC</t>
  </si>
  <si>
    <t xml:space="preserve">- Từ sheet THU MUA MS QUYÊN, dữ liệu chạy tự động báo cáo gồm các thông tin liên quan :
+ Tần xuất giao dịch đối với NCC trong tháng trong năm
+ Có bao nhiêu đơn NCC trễ tiến độ (theo ngày NCC dự kiến so với ngày nhận hàng thực tế)
+ Tỷ lệ trễ </t>
  </si>
  <si>
    <t xml:space="preserve">14. BÁO CÁO NCC </t>
  </si>
  <si>
    <t>BÁO CÁO BỘ PHẬN</t>
  </si>
  <si>
    <t xml:space="preserve">Tấn suất đặt hàng của các BP yêu cầu và tỷ lệ gấp so với thời gian quy định </t>
  </si>
  <si>
    <t>- Từ sheet THU MUA MS QUYÊN, dữ liệu chạy tự động báo cáo gồm các thông tin liên quan đến chành và giao hàng chành:
+ Tần suất BP đó đặt hàng
+ Có bao nhiêu đơn yêu cầu gấp trước thời gian trả đơn (theo ngày quy định)
+ Tỷ lệ gấp</t>
  </si>
  <si>
    <t xml:space="preserve">15. BÁO CÁO BỘ PHẬN </t>
  </si>
  <si>
    <t>BÁO CÁO CHI PHÍ VẬN CHUYỂN</t>
  </si>
  <si>
    <t>Đánh giá các chỉ số liên quan đến đơn vị vận chuyển</t>
  </si>
  <si>
    <t xml:space="preserve">- Từ sheet THU MUA MS QUYÊN, dữ liệu chạy tự động báo cáo gồm các thông tin liên quan đến vận chuyển và giao hàng chành: Ngoài lọc thủ công có dòng tra cứu nhanh trả kết quả 
+ Chi phí Chành
+ Tần suất Chành
+ Tỷ lệ chi phí Chành/Đơn hàng
+ Tỷ lệ tổng chi phí Chành/tổng Đơn hàng 
</t>
  </si>
  <si>
    <t>16. BÁO CÁO CHI PHÍ VẬN CHUYỂN</t>
  </si>
  <si>
    <t>I.</t>
  </si>
  <si>
    <t>YÊU CẦU KHÁC</t>
  </si>
  <si>
    <t>Không đổi tên sheet</t>
  </si>
  <si>
    <t>Không chèn cột ở giữa, chỉ được thêm cột cuối</t>
  </si>
  <si>
    <t>Nhân sự tự chịu trách nhiệm nếu sót yêu cầu đến khi triển khai cách thức tiếp nhận đầu vào</t>
  </si>
  <si>
    <t>Nếu bộ phận yêu cầu cần trả kết quả theo form khác thì phải được duyệt trong Drive này sau đó thu mua chuyển đổi dữ liệu vào form bộ phận yêu cầu</t>
  </si>
  <si>
    <t>II.</t>
  </si>
  <si>
    <t>CẤU TRÚC XÂY FOLDER LƯU TRỮ</t>
  </si>
  <si>
    <t>5. Nhóm thu mua</t>
  </si>
  <si>
    <t>CẤP MỤC</t>
  </si>
  <si>
    <t>FOLDER</t>
  </si>
  <si>
    <t>HƯỚNG DẪN ĐẶT TÊN</t>
  </si>
  <si>
    <t>VÍ DỤ</t>
  </si>
  <si>
    <t>MỤC CẤP 1</t>
  </si>
  <si>
    <t>NHÀ CUNG CẤP</t>
  </si>
  <si>
    <t>STT-Tên viết tắc NCC
STT: 2 số</t>
  </si>
  <si>
    <t>01- ĐÔNG TÂY</t>
  </si>
  <si>
    <t>MỤC CẤP 2</t>
  </si>
  <si>
    <t>PO</t>
  </si>
  <si>
    <t>PO-Tên viết tắc NCC</t>
  </si>
  <si>
    <t>PO-ĐÔNG TÂY</t>
  </si>
  <si>
    <t>MỤC CẤP 3</t>
  </si>
  <si>
    <t>MÃ ĐƠN MUA HÀNG</t>
  </si>
  <si>
    <t>DMH0001</t>
  </si>
  <si>
    <t>FILE LƯU</t>
  </si>
  <si>
    <r>
      <rPr>
        <rFont val="Times New Roman"/>
        <i/>
        <color theme="1"/>
      </rPr>
      <t xml:space="preserve">1. PHIẾU ĐỀ NGHỊ NHẬP KHO
2. COA, PHIẾU KIỂM CHẤT LƯỢNG
3. ĐƠN MUA HÀNG
4. HÌNH ẢNH HÀNG
5. PHIẾU NHẬP KHO KHO NHẬN
6. PHIẾU XUẤT KHO NCC
</t>
    </r>
    <r>
      <rPr>
        <rFont val="Times New Roman"/>
        <b/>
        <i/>
        <color theme="1"/>
      </rPr>
      <t>7. HỢP ĐỒNG RIÊNG THEO TỪNG PO</t>
    </r>
  </si>
  <si>
    <t>DMH0001-TÊN HỒ SƠ</t>
  </si>
  <si>
    <t>DMH0001-PDN NHẬP KHO</t>
  </si>
  <si>
    <t>BÁO GIÁ</t>
  </si>
  <si>
    <t>BÁO GIÁ-Tên viết tắc NCC</t>
  </si>
  <si>
    <t>BÁO GIÁ-ĐÔNG TÂY</t>
  </si>
  <si>
    <t>CÁC LẦN BÁO GIÁ</t>
  </si>
  <si>
    <r>
      <rPr>
        <rFont val="Times New Roman"/>
        <i/>
        <color theme="1"/>
      </rPr>
      <t>BG&amp;STT-</t>
    </r>
    <r>
      <rPr>
        <rFont val="Times New Roman"/>
        <i/>
        <color rgb="FF000000"/>
      </rPr>
      <t>dd.mm</t>
    </r>
    <r>
      <rPr>
        <rFont val="Times New Roman"/>
        <i/>
        <color theme="1"/>
      </rPr>
      <t>.yyyy
STT: 2 số</t>
    </r>
  </si>
  <si>
    <t>BG01-25.03.2026</t>
  </si>
  <si>
    <t>BB ĐỐI CHIẾU CÔNG NỢ</t>
  </si>
  <si>
    <t>BB ĐỐI CHIẾU CÔNG NỢ-Tên viết tắc NCC</t>
  </si>
  <si>
    <t>BB ĐỐI CHIẾU CÔNG NỢ-ĐÔNG TÂY</t>
  </si>
  <si>
    <t>CÁC LẦN ĐỐI CHIẾU CÔNG NỢ</t>
  </si>
  <si>
    <r>
      <rPr>
        <rFont val="Times New Roman"/>
        <i/>
        <color theme="1"/>
      </rPr>
      <t>CN&amp;STT-</t>
    </r>
    <r>
      <rPr>
        <rFont val="Times New Roman"/>
        <i/>
        <color rgb="FF000000"/>
      </rPr>
      <t>dd.mm</t>
    </r>
    <r>
      <rPr>
        <rFont val="Times New Roman"/>
        <i/>
        <color theme="1"/>
      </rPr>
      <t>.yyyy
STT: 2 số</t>
    </r>
  </si>
  <si>
    <t>CN01-10.03.2026</t>
  </si>
  <si>
    <t>HỢP ĐỒNG</t>
  </si>
  <si>
    <t>HỢP ĐỒNG-Tên viết tắc NCC</t>
  </si>
  <si>
    <t>HỢP ĐỒNG-ĐÔNG TÂY</t>
  </si>
  <si>
    <t>CÁC LẦN HỢP ĐỒNG NĂM</t>
  </si>
  <si>
    <t>HĐ&amp;STT-dd.mm.yyyy
STT: 2 số</t>
  </si>
  <si>
    <t>HĐ01-10.03.2026</t>
  </si>
  <si>
    <t>PHÁP LÝ KHÁC</t>
  </si>
  <si>
    <t>PHÁP LÝ KHÁC-Tên viết tắc NCC</t>
  </si>
  <si>
    <t>PHÁP LÝ KHÁC-ĐÔNG TÂY</t>
  </si>
  <si>
    <t>1. PHIẾU KIỂM SOÁT CHẤT ĐỘC
2. HỢP ĐỒNG CHIẾT KHẤU
3........</t>
  </si>
  <si>
    <t>01-TÊN HỒ SƠ</t>
  </si>
  <si>
    <t>01-GIẤY ĐỦ ĐIỀU KIỆN
02-HỢP ĐỒNG CHIẾT KHẤU</t>
  </si>
  <si>
    <t>SO SÁNH NCC, SẢN PHẨM</t>
  </si>
  <si>
    <t>MÃ PHIẾU YÊU CẦU-PHÂN LOẠI-TÊN NHÂN VIÊN</t>
  </si>
  <si>
    <t>PYC.ABA.01.250326-THÙNG-MR. TIÊN</t>
  </si>
  <si>
    <t>ĐÁNH GIÁ NHÀ CUNG CẤP</t>
  </si>
  <si>
    <t>Tự động đánh số thứ tự khi có ngày tiếp nhận</t>
  </si>
  <si>
    <t>Ngày NSPT thu mua tiếp nhận thông tin từ BP/Người YC</t>
  </si>
  <si>
    <t>Ngày  BP/Người YC muốn nhận kết quả</t>
  </si>
  <si>
    <t>Phân loại mã yêu cầu: PYC.Thương hiệu.ddmmyy.STT 
PYC.NM.280326.01</t>
  </si>
  <si>
    <t>Phân loại nhóm VTBB/NL</t>
  </si>
  <si>
    <t xml:space="preserve">Ghi nhận YC chi tiết như, chiết khấu, kích thước, thông số kỹ thuật sản phẩm </t>
  </si>
  <si>
    <t xml:space="preserve">BP/Người YC cần mua số lượng bao nhiêu </t>
  </si>
  <si>
    <t xml:space="preserve">BP/Người yêu cầu nắm giá thị trường cung cấp để thu mua kiểm soát giá khi khảo sát  </t>
  </si>
  <si>
    <t xml:space="preserve">Nhân sự phu trách công việc này </t>
  </si>
  <si>
    <t>Ngày NSPT liên hệ với NCC</t>
  </si>
  <si>
    <t>Ngày dự kiến phản hồi khảo sát/lấy mẫu được không. không dừng lại công việc</t>
  </si>
  <si>
    <t>Ngày dự kiến sẽ trả kết quả (kết thúc công việc đó)</t>
  </si>
  <si>
    <t>Tên viết tắt NCC cũ click chọn, NCC mới nhập tay</t>
  </si>
  <si>
    <t>NCC cũ công thức chạy tên pháp lý, NCC mới nhập tay</t>
  </si>
  <si>
    <t>NCC cũ công thức chạy MST, NCC mới nhập tay</t>
  </si>
  <si>
    <t>NCC cũ công thức chạy Địa chỉ, NCC mới nhập tay</t>
  </si>
  <si>
    <t xml:space="preserve">Địa chỉ kho của NCC khi cần giao nhận hàng </t>
  </si>
  <si>
    <t xml:space="preserve">Kiểm tra Maps trên gg gắn link </t>
  </si>
  <si>
    <t>Tên của người mà NSPT đang làm việc</t>
  </si>
  <si>
    <t>SDT mà NSPT đang làm việc với NCC</t>
  </si>
  <si>
    <t>NCC có cung cấp nhiều nhóm sản phẩm khác nhau như túi, chai, in ân, màng co</t>
  </si>
  <si>
    <t>Lưu trữ thư mục và gắn link báo giá vào. Folder theo Tên NCC</t>
  </si>
  <si>
    <t>Có công nghệ chai nhôm theo công nghệ mới, mẫu mã hiện đại . Và cũng có công nghệ trục của túi....</t>
  </si>
  <si>
    <t xml:space="preserve">Thời gian sản xuất có thể giao hàng cho sản phẩm cty đang cần là 10 ngày kể từ ngày đặt hàng </t>
  </si>
  <si>
    <t>NVKD nhiệt tình tư vấn, trung thực</t>
  </si>
  <si>
    <t>Đủ số lượng
Đúng giá
Được yêu cầu tên xuất hd
Đúng thời gian : xuất hóa đơn trong ngày nhận hàng</t>
  </si>
  <si>
    <t>(Số năm KD, quy mô, các khách hàng lớn đã hợp tác,..)</t>
  </si>
  <si>
    <t>- Hỗ trợ giao hàng: giao trong tp HCM, bán kính 10km
- Thời gian giao
- Phương tiện giao: chành, xe công ty, không giao
- Ncc có chấp nhận lưu kho và lưu kho được bao lâu</t>
  </si>
  <si>
    <t>Có công nợ : 60 ngày/90 ngày
Tiền mặt: ngày nhận hàng
Trả trước: nhận hàng
Chia nhiều lần tt</t>
  </si>
  <si>
    <t>Tỷ lệ được trả hàng, có được trả hàng không</t>
  </si>
  <si>
    <t>- Đánh giá: Hợp tác /không hợp tác 
- Lý do đánh giá</t>
  </si>
  <si>
    <t>Duyệt/ Không duyệt</t>
  </si>
  <si>
    <t>- Công nợ NCC, làm HD, ..</t>
  </si>
  <si>
    <t>CT</t>
  </si>
  <si>
    <t>Chọn</t>
  </si>
  <si>
    <t xml:space="preserve">Nhập </t>
  </si>
  <si>
    <t>Nhập</t>
  </si>
  <si>
    <t>ĐÁNH GIÁ NCC</t>
  </si>
  <si>
    <t>Stt</t>
  </si>
  <si>
    <t>Ngày tiếp nhận</t>
  </si>
  <si>
    <t>Ngày YC trả KQ</t>
  </si>
  <si>
    <t>BP/Người YC</t>
  </si>
  <si>
    <t>Mã yêu cầu</t>
  </si>
  <si>
    <t xml:space="preserve">Phân loại </t>
  </si>
  <si>
    <t>Chi tiết thông số kỹ thuật, chất lượng, yêu cầu khác</t>
  </si>
  <si>
    <t>Số lượng dự kiến mua (nếu có)</t>
  </si>
  <si>
    <t>ĐVT</t>
  </si>
  <si>
    <t>Giá đề xuất VNĐ</t>
  </si>
  <si>
    <t>NSPT</t>
  </si>
  <si>
    <t>Ngày liên hệ NCC</t>
  </si>
  <si>
    <t>Ngày dự kiến NCC phản hồi KQ</t>
  </si>
  <si>
    <t>Ngày dự kiến trả KQ
(Hoàn thành)</t>
  </si>
  <si>
    <t>Tên viết tắt NCC</t>
  </si>
  <si>
    <t>Tên NCC</t>
  </si>
  <si>
    <t>Mã số thuế</t>
  </si>
  <si>
    <t>Địa chỉ theo giấy đăng kí</t>
  </si>
  <si>
    <t>Địa chỉ kho của NCC</t>
  </si>
  <si>
    <t>Link định vị kho</t>
  </si>
  <si>
    <t>NVKD của NCC</t>
  </si>
  <si>
    <t>SĐT NCC đang làm việc</t>
  </si>
  <si>
    <t>Nhóm sản phẩm dịch vụ NCC có thể cung ứng</t>
  </si>
  <si>
    <t>Link báo giá</t>
  </si>
  <si>
    <t>Nguồn thông tin đầu vào</t>
  </si>
  <si>
    <t xml:space="preserve">Công nghệ sản xuất, đa dạng chủng loại </t>
  </si>
  <si>
    <t>Thời gian SX</t>
  </si>
  <si>
    <t>Đánh giá tư vấn NVKD (NCC)</t>
  </si>
  <si>
    <t xml:space="preserve">Hóa đơn </t>
  </si>
  <si>
    <t>Mức độ tin cậy</t>
  </si>
  <si>
    <t>Chính sách nhận hàng</t>
  </si>
  <si>
    <t xml:space="preserve">Chính sách công nợ </t>
  </si>
  <si>
    <t>Hàng lỗi, hàng trả</t>
  </si>
  <si>
    <t>Nhận xét (NSPT)</t>
  </si>
  <si>
    <t>Duyệt (TP/QL)</t>
  </si>
  <si>
    <t>Yêu cầu (TP/QL)</t>
  </si>
  <si>
    <t>Nhà máy Dego</t>
  </si>
  <si>
    <t>PYC.NM.01042026.01</t>
  </si>
  <si>
    <t>Thùng</t>
  </si>
  <si>
    <t xml:space="preserve">Thùng carton 5 lớp </t>
  </si>
  <si>
    <t>Cái</t>
  </si>
  <si>
    <t>Mr Tiên</t>
  </si>
  <si>
    <t>Đông Tây</t>
  </si>
  <si>
    <t xml:space="preserve">Mr Hùng </t>
  </si>
  <si>
    <t>Thùng Carton 5 lớp</t>
  </si>
  <si>
    <t>In Lexo, In lụa</t>
  </si>
  <si>
    <t>10-15 ngày</t>
  </si>
  <si>
    <t>Tốt</t>
  </si>
  <si>
    <t xml:space="preserve">24h </t>
  </si>
  <si>
    <t>Tin cậy</t>
  </si>
  <si>
    <t>Giao nội ô Thành Phố ngoài tỉnh giao chành</t>
  </si>
  <si>
    <t>Công nợ 30 ngày</t>
  </si>
  <si>
    <t xml:space="preserve">Đạt </t>
  </si>
  <si>
    <t>Duyệt</t>
  </si>
  <si>
    <t>PYC.NM.03042026.01</t>
  </si>
  <si>
    <t>BAO BÌ ĐÔNG BẮC</t>
  </si>
  <si>
    <t>Mr Toàn</t>
  </si>
  <si>
    <t>Oanh Design</t>
  </si>
  <si>
    <t>CÔNG TY TNHH MỸ THUẬT ỨNG DỤNG MASTER</t>
  </si>
  <si>
    <t>Ms Oanh</t>
  </si>
  <si>
    <t>PYC.NM.01042026.02</t>
  </si>
  <si>
    <t>G28</t>
  </si>
  <si>
    <t>Mr Tín</t>
  </si>
  <si>
    <t>Không đạt</t>
  </si>
  <si>
    <t xml:space="preserve">Tìm thêm/Trao đổi lại </t>
  </si>
  <si>
    <t>PYC.NM.08042026.01</t>
  </si>
  <si>
    <t>BAO BÌ DUY NHẬT</t>
  </si>
  <si>
    <t xml:space="preserve">Ms Như </t>
  </si>
  <si>
    <t>PYC.NM.08042026.02</t>
  </si>
  <si>
    <t>BAO BÌ GIẤY AN TÍN</t>
  </si>
  <si>
    <t>CÔNG TY TNHH BAO BÌ GIẤY AN TÍN</t>
  </si>
  <si>
    <t>Mr Linh</t>
  </si>
  <si>
    <t>PYC.NM.08042026.03</t>
  </si>
  <si>
    <t>BAO BÌ TRỌNG TÍN</t>
  </si>
  <si>
    <t>Ms Ly</t>
  </si>
  <si>
    <t>PYC.NM.17042026.04</t>
  </si>
  <si>
    <t>DAO CARTON</t>
  </si>
  <si>
    <t>CÔNG TY TNHH SẢN XUẤT THƯƠNG MẠI BAO BÌ CẨM HÙNG</t>
  </si>
  <si>
    <t>Mr Kịp</t>
  </si>
  <si>
    <t>PYC.NM.17042026.05</t>
  </si>
  <si>
    <t>GIẤY YUEN FOONG YU</t>
  </si>
  <si>
    <t>Ms Hiền</t>
  </si>
  <si>
    <t>ĐÁNH GIÁ SẢN PHẨM</t>
  </si>
  <si>
    <t xml:space="preserve">Mã NVL/VTBB dùng nội bộ </t>
  </si>
  <si>
    <t>Tên NVL/VTBB theo NCC báo giá</t>
  </si>
  <si>
    <t>Kích thước, tỷ trọng, màu sắc, kết cấu ,.... của sản phẩm đang khảo sát/lấy mẫu</t>
  </si>
  <si>
    <t>Sản phẩm đó có xuất xử Viết Na,. Lào, ...</t>
  </si>
  <si>
    <t>ĐVT trên báo giá NCC</t>
  </si>
  <si>
    <t>MQQ tối thiểu trên báo giá NCC</t>
  </si>
  <si>
    <t>Giá theo khung sản lượng trên báo giá NCC</t>
  </si>
  <si>
    <t>Khung sản lượng trên báo giá NCC</t>
  </si>
  <si>
    <t xml:space="preserve">VAT  NCC báo </t>
  </si>
  <si>
    <r>
      <rPr>
        <rFont val="Arial"/>
        <i/>
        <color theme="1"/>
        <sz val="8.0"/>
      </rPr>
      <t xml:space="preserve">Thành tiền (Khung sản lượng* 
giá theo sản lượng*(1+VAT) </t>
    </r>
    <r>
      <rPr>
        <rFont val="Arial"/>
        <i/>
        <color theme="1"/>
        <sz val="8.0"/>
      </rPr>
      <t xml:space="preserve"> NCC</t>
    </r>
  </si>
  <si>
    <t>Tự quy đổi theo bảng 5. QUY ĐỔI ĐVT NCC</t>
  </si>
  <si>
    <t>Chi phí chành/ra chành(nếu có</t>
  </si>
  <si>
    <t>Thời gian dự kiến NCC giao nếu công ty đặt hàng</t>
  </si>
  <si>
    <t xml:space="preserve">- Trường hợp cty mình thì địa điểm giao sẽ là kho cty hoặc kho NCC gia công. 
- Trường hợp cty tự nhận hàng địa điểm nhận là NCC cung cấp </t>
  </si>
  <si>
    <t>Link file mềm NCC báo giá</t>
  </si>
  <si>
    <t>Tích chọn nếu có mẫu sẵn</t>
  </si>
  <si>
    <t>Ngày lấy mẫu/ ngày mẫu được gửi về</t>
  </si>
  <si>
    <t xml:space="preserve">Lab đánh giá kết quả mẫu đạt/không đạt, tình trạng mẫu như thế nào </t>
  </si>
  <si>
    <t>- Đánh giá từ NSPT: Hợp tác /không hợp tác 
- Lý do đánh giá</t>
  </si>
  <si>
    <t>Ngày liên hệ</t>
  </si>
  <si>
    <t>Ngày dự kiến phản hồi</t>
  </si>
  <si>
    <t>Ngày dự kiến trả KQ (Hoàn thành)</t>
  </si>
  <si>
    <t>Mã VTBB/NL/BTP
(nội bộ)</t>
  </si>
  <si>
    <t>Tên VTBB/NL/BTP 
(nội bộ)</t>
  </si>
  <si>
    <t>Tên VTBB/NVL/NL
(tên NCC đặt)</t>
  </si>
  <si>
    <t>Thông số kỹ thuật</t>
  </si>
  <si>
    <t>Xuất xứ sản phẩm</t>
  </si>
  <si>
    <t xml:space="preserve">ĐVT </t>
  </si>
  <si>
    <t>MOQ tối thiểu</t>
  </si>
  <si>
    <t>Giá theo sản lượng (VNĐ)</t>
  </si>
  <si>
    <t>Khung sản lượng (Theo ĐVT)</t>
  </si>
  <si>
    <t>VAT</t>
  </si>
  <si>
    <t>Thành tiền (VNĐ)</t>
  </si>
  <si>
    <t>ĐVT
(Quy đổi về ĐVT Cty)</t>
  </si>
  <si>
    <t>Thành tiền (Đã quy đổi ĐVT)</t>
  </si>
  <si>
    <t>Chi phí vận chuyển
(VND)</t>
  </si>
  <si>
    <t>Thời gian giao hàng
(Ngày)</t>
  </si>
  <si>
    <t>Địa điểm giao/nhận hàng</t>
  </si>
  <si>
    <t>Mẫu sẵn</t>
  </si>
  <si>
    <t>Ngày lấy mẫu</t>
  </si>
  <si>
    <t>Số lượng mẫu nhận</t>
  </si>
  <si>
    <t>Đánh giá chất lượng từ LAB</t>
  </si>
  <si>
    <t xml:space="preserve">NSPT Đánh giá </t>
  </si>
  <si>
    <t>Ý kiến TP/QL</t>
  </si>
  <si>
    <t>THC0005</t>
  </si>
  <si>
    <t>Việt Nam</t>
  </si>
  <si>
    <t xml:space="preserve">15-18 ngày </t>
  </si>
  <si>
    <t xml:space="preserve">Hà Long / DEGO </t>
  </si>
  <si>
    <t>Đạt</t>
  </si>
  <si>
    <t xml:space="preserve">10-15 ngày </t>
  </si>
  <si>
    <t>PYC.NM.01052026.01</t>
  </si>
  <si>
    <t xml:space="preserve">Công thức tính tổng diện tích nhãn </t>
  </si>
  <si>
    <t>Giá đã bao gồm VAT</t>
  </si>
  <si>
    <t>Tiếp tục nhập mã cần thực hiện quy đổi ở cột kế tiếp</t>
  </si>
  <si>
    <t>LOẠI</t>
  </si>
  <si>
    <t>MÃ LOẠI</t>
  </si>
  <si>
    <t>TÚI</t>
  </si>
  <si>
    <t>Nhập mã</t>
  </si>
  <si>
    <t>Thể tích/khối lượng chứa</t>
  </si>
  <si>
    <t>1L</t>
  </si>
  <si>
    <t xml:space="preserve">Chất liệu </t>
  </si>
  <si>
    <t>Cán mờ</t>
  </si>
  <si>
    <t>Loại nhãn</t>
  </si>
  <si>
    <t xml:space="preserve">Giấy </t>
  </si>
  <si>
    <t xml:space="preserve">Dài </t>
  </si>
  <si>
    <t>mm</t>
  </si>
  <si>
    <t>Rộng</t>
  </si>
  <si>
    <t xml:space="preserve">Tổng diện tích </t>
  </si>
  <si>
    <t>mm2</t>
  </si>
  <si>
    <t>CT: d*r*2</t>
  </si>
  <si>
    <t>Giá nhãn</t>
  </si>
  <si>
    <t xml:space="preserve">Giá/ diện tích </t>
  </si>
  <si>
    <t xml:space="preserve">Đánh giá </t>
  </si>
  <si>
    <t>Về giá, chất lượng -&gt; Giá hợp lý/ không hợp lý</t>
  </si>
  <si>
    <t>NHÃN</t>
  </si>
  <si>
    <t>NHG4375</t>
  </si>
  <si>
    <t>Thể tích</t>
  </si>
  <si>
    <t>CT: d*r</t>
  </si>
  <si>
    <t>TAG TREO + DÂY</t>
  </si>
  <si>
    <t>NHP4376</t>
  </si>
  <si>
    <t>Phụ kiện theo VTBB</t>
  </si>
  <si>
    <t xml:space="preserve">tag phụ + dây </t>
  </si>
  <si>
    <t xml:space="preserve">C300, in 2 mặt, đục lỗ tag </t>
  </si>
  <si>
    <t>Cán mờ 2 mặt</t>
  </si>
  <si>
    <t>Giá</t>
  </si>
  <si>
    <t>THÙNG CARTON 3 LỚP</t>
  </si>
  <si>
    <t>THC0259</t>
  </si>
  <si>
    <t>Số mặt in chữ</t>
  </si>
  <si>
    <t>Số màu in</t>
  </si>
  <si>
    <t>Cao</t>
  </si>
  <si>
    <t>Tổng diện tích sử dụng</t>
  </si>
  <si>
    <t>CT: 2*((R+C)*(R+D+5))</t>
  </si>
  <si>
    <t>Giá thùng</t>
  </si>
  <si>
    <t>THÙNG CARTON 5 LỚP</t>
  </si>
  <si>
    <t>CHAI HD</t>
  </si>
  <si>
    <t>CHT0079</t>
  </si>
  <si>
    <t>Tên chai</t>
  </si>
  <si>
    <t xml:space="preserve"> TP- Chai HDPE tròn cổ 42.5 1Lít (85g) - Xám (không ganty) </t>
  </si>
  <si>
    <t>Thể tích chứa (ml)</t>
  </si>
  <si>
    <t>ml</t>
  </si>
  <si>
    <t>Chất liệu</t>
  </si>
  <si>
    <t>HD</t>
  </si>
  <si>
    <t>Màu sắc</t>
  </si>
  <si>
    <t>Xám</t>
  </si>
  <si>
    <t>Trọng lượng</t>
  </si>
  <si>
    <t>g</t>
  </si>
  <si>
    <t>Mẫu riêng/ chung</t>
  </si>
  <si>
    <t>Chung</t>
  </si>
  <si>
    <t>Giá chai</t>
  </si>
  <si>
    <t>Giá/ trọng lượng</t>
  </si>
  <si>
    <t>CHAI PET</t>
  </si>
  <si>
    <t>CHAI PAPE</t>
  </si>
  <si>
    <t>CHAI NHÔM</t>
  </si>
  <si>
    <t>NGUYÊN LIỆU</t>
  </si>
  <si>
    <t>Tên nguyên liệu</t>
  </si>
  <si>
    <t>ĐVT NCC</t>
  </si>
  <si>
    <t>kg</t>
  </si>
  <si>
    <t>Giá/ĐVT NCC</t>
  </si>
  <si>
    <t>đ</t>
  </si>
  <si>
    <t>ĐVT cần quy đổi</t>
  </si>
  <si>
    <t>lít</t>
  </si>
  <si>
    <t>Tỷ trọng</t>
  </si>
  <si>
    <t>Giá/ĐVT đã quy đỏi</t>
  </si>
  <si>
    <t>CT: Lít = Kg*tỷ trọng</t>
  </si>
  <si>
    <t>CT/ Nhập</t>
  </si>
  <si>
    <t xml:space="preserve">CT </t>
  </si>
  <si>
    <t>Chọn/Nhập</t>
  </si>
  <si>
    <t>Khi cột B được chọn ngày thì STT tự động cập nhật</t>
  </si>
  <si>
    <t>Ngày thu mua tiếp nhận yêu cầu mua hàng</t>
  </si>
  <si>
    <t>Ngày BP yêu cầu cần hàng về</t>
  </si>
  <si>
    <t>Ngày NCC cam kết giao, NCC thay đổi ngày giao được tính là trễ sẽ ghi ở mục ghi chú khác tại ô AC )</t>
  </si>
  <si>
    <t>Ngày thực tế nhận hàng</t>
  </si>
  <si>
    <t>Bộ phận yêu cầu / thực hiện đặt hàng</t>
  </si>
  <si>
    <t xml:space="preserve"> Thông tin pháp nhân xuất hóa đơn (Công ty A/B…)</t>
  </si>
  <si>
    <t>Người phụ trách</t>
  </si>
  <si>
    <t>Tên viết tắt của NCC VTBB/NL</t>
  </si>
  <si>
    <t>Số đơn hoặc mã chứng từ trên phần mềm MISA</t>
  </si>
  <si>
    <t>Phân loạiVTBB ( ví dụ: chai, nhãn, nguyên liệu...)
* Nhãn Metalize 10-12 ngày (hiếm)</t>
  </si>
  <si>
    <t>Mã vật tư/bao bì theo Data quản lý Ms LY</t>
  </si>
  <si>
    <t>Tên đầy đủ VTBB</t>
  </si>
  <si>
    <t xml:space="preserve"> Nhãn nhập chất liệu nhãn, NL thì ghi nhận xuất xứ, còn lại đã thể hiện trên tên VTBB/NL</t>
  </si>
  <si>
    <t xml:space="preserve">- Có công thức cho nhãn
- Còn lại tự nhập </t>
  </si>
  <si>
    <t xml:space="preserve"> Tình trạng đơn hàng (Đang chờ, Đã giao đủ, Giao thiếu, Trễ, Hủy…)</t>
  </si>
  <si>
    <t>NCC có sẵn hàng tích vào ô</t>
  </si>
  <si>
    <t>Kho nhận hàng</t>
  </si>
  <si>
    <t>Tên NCC vận chuyển</t>
  </si>
  <si>
    <t>Số lượng gửi xe</t>
  </si>
  <si>
    <t>Đơn vị tính để thanh toán (cái, kg, thùng…)</t>
  </si>
  <si>
    <t>Sl BP yêu cầu</t>
  </si>
  <si>
    <t>Đơn vị tính (ví dụ: kg, cái,thùng...)</t>
  </si>
  <si>
    <t>Số lượng đặt NCC (có thể đặt tròn tối thiểu vì thế số lượng này sẽ khác với số lượng BP yêu cầu)</t>
  </si>
  <si>
    <t>Tổng số lượng thực tế đã nhận / lần nhận</t>
  </si>
  <si>
    <t>Giá mua chưa VAT</t>
  </si>
  <si>
    <t xml:space="preserve">Thuế GTGT </t>
  </si>
  <si>
    <t xml:space="preserve">Tổng tiền = (SL ĐẶT × ĐƠN GIÁ)+8% </t>
  </si>
  <si>
    <t>BP yêu cầu ghi chú thêm(in gấp,…)</t>
  </si>
  <si>
    <t>Ngày gửi đơn đặt hàng cho NCC</t>
  </si>
  <si>
    <t>Số hóa đơn do NCC xuất</t>
  </si>
  <si>
    <t>Số lần giao hàng (trong trường hợp NCC giao nhiều đợt)</t>
  </si>
  <si>
    <t>Ghi nhận tình hình thực tế (chờ nguyên liệu, kẹt xe, lỗi in ấn, trễ vận chuyển…)
- Thống kế nguyên nhân trễ và thời gian ảnh hưởng</t>
  </si>
  <si>
    <t>- Loại VTBB
- Thời gian áp dụng số ngày quy định (data 1)
- NCC có sẵn hay không</t>
  </si>
  <si>
    <t xml:space="preserve"> Ngày theo kế hoạch phải có hàng </t>
  </si>
  <si>
    <t>Đơn giá lần vận chuyển  ( ví dụ: 10.000)</t>
  </si>
  <si>
    <t>Tổng tiền vận chuyển</t>
  </si>
  <si>
    <t>Chênh lệch giữa ngày NCC cam kết và ngày thực tế nhận
"T&lt;0: Đơn hàng bị trễ so với dự kiến
T&gt;0: Đơn hàng được giao sớm "</t>
  </si>
  <si>
    <t>Kiểm soát xử lý NSPT
"T&lt;0: Không đạt với thời gian quy định
T&gt;=0: Đạt thời gian quy định"</t>
  </si>
  <si>
    <t>Tham khảo điều chỉnh mức quy định thời gian trả hàng cho KD 
"T&lt;0: Đơn hàng theo ngày quy định
T&gt;0: Đơn hàng gấp trước T ngày so với thời gian quy định</t>
  </si>
  <si>
    <t>Dùng tổng hợp báo cáo tháng trong năm</t>
  </si>
  <si>
    <t xml:space="preserve">Mã hàng hóa trong hệ thống </t>
  </si>
  <si>
    <t>Quy tắc lấy tên trên hoá đơn (Nhãn/Nhãn thùng)</t>
  </si>
  <si>
    <t>Tên thành phẩm liên quan đến vật tư</t>
  </si>
  <si>
    <t>Tên công ty/pháp nhân xuất hóa đơn</t>
  </si>
  <si>
    <t>Thanh toán trước 100%
Công nợ 60 ngày</t>
  </si>
  <si>
    <t>Bắt buộc</t>
  </si>
  <si>
    <t>Ngày yêu cầu có hàng</t>
  </si>
  <si>
    <t>Ngày dự kiến nhận tại kho</t>
  </si>
  <si>
    <t>Ngày nhận thực tế</t>
  </si>
  <si>
    <t>Bộ phận/Cá nhân đặt hàng</t>
  </si>
  <si>
    <t xml:space="preserve">Pháp lý lấy hóa đơn </t>
  </si>
  <si>
    <t>NCC VTBB/NL trong nước</t>
  </si>
  <si>
    <t>Mã đơn Misa</t>
  </si>
  <si>
    <t>Phân loại VTBB/NL</t>
  </si>
  <si>
    <t>Mã VTBB/NL</t>
  </si>
  <si>
    <t>Tên VTBB/NL</t>
  </si>
  <si>
    <t>Xuất xứ/ Thông số kỹ thuật/ chất liệu</t>
  </si>
  <si>
    <t>Tên trên hóa đơn VTBB/NL</t>
  </si>
  <si>
    <t>Trạng thái</t>
  </si>
  <si>
    <t xml:space="preserve">NCC có sẵn hàng </t>
  </si>
  <si>
    <t>Kho nhận</t>
  </si>
  <si>
    <t>Đơn vị vận chuyển</t>
  </si>
  <si>
    <t>Số lượng gửi vận chuyển</t>
  </si>
  <si>
    <t>ĐVT vận chuyển</t>
  </si>
  <si>
    <t>Số lượng yêu cầu</t>
  </si>
  <si>
    <t>Số lượng đặt NCC</t>
  </si>
  <si>
    <t xml:space="preserve">Số lượng đã nhận </t>
  </si>
  <si>
    <t>Đơn giá</t>
  </si>
  <si>
    <t>Thành tiền đơn hàng</t>
  </si>
  <si>
    <t>Yêu cầu khác</t>
  </si>
  <si>
    <t>Ngày đặt hàng NCC</t>
  </si>
  <si>
    <t>Số hóa đơn</t>
  </si>
  <si>
    <t>Số lần nhận</t>
  </si>
  <si>
    <t>Chi tiết tiến độ, ghi chú khác</t>
  </si>
  <si>
    <t>Số ngày có hàng theo quy định</t>
  </si>
  <si>
    <t>Ngày quy định</t>
  </si>
  <si>
    <t>Đơn giá/ĐVT vận chuyển</t>
  </si>
  <si>
    <t>Thành tiền vận chuyển</t>
  </si>
  <si>
    <t>CL NGÀY NCC DỰ KIẾN - NGÀY NHẬN HÀNG</t>
  </si>
  <si>
    <t>CL NGÀY QUY ĐỊNH - NGÀY NHẬN HÀNG</t>
  </si>
  <si>
    <t>CL NGÀY QUY ĐỊNH  - NGÀY KD YÊU CẦU</t>
  </si>
  <si>
    <t>Tháng</t>
  </si>
  <si>
    <t>Mã HH</t>
  </si>
  <si>
    <t>Tên VTBB/Tên NL trên hóa đơn</t>
  </si>
  <si>
    <t>Tên sản phẩm (HH)</t>
  </si>
  <si>
    <t>Tên pháp lý (HH)</t>
  </si>
  <si>
    <t>Hình thức thanh toán cho NCC</t>
  </si>
  <si>
    <t>SX - Ms Ly</t>
  </si>
  <si>
    <t>DEGO HOLDING</t>
  </si>
  <si>
    <t>ĐMH01321</t>
  </si>
  <si>
    <t>THC0239</t>
  </si>
  <si>
    <t>Hoàn thành</t>
  </si>
  <si>
    <t>Dego Cần Thơ</t>
  </si>
  <si>
    <t>Mekong Logistics</t>
  </si>
  <si>
    <t>Kiện</t>
  </si>
  <si>
    <t>ĐMH01322</t>
  </si>
  <si>
    <t>THC0287</t>
  </si>
  <si>
    <t>ĐMH02628</t>
  </si>
  <si>
    <t>THI0277</t>
  </si>
  <si>
    <t>Hà Long</t>
  </si>
  <si>
    <t>NCC tự vận chuyển</t>
  </si>
  <si>
    <t>ĐMH01323</t>
  </si>
  <si>
    <t>THC0286</t>
  </si>
  <si>
    <t>ĐMH01334</t>
  </si>
  <si>
    <t>THC0004</t>
  </si>
  <si>
    <t>ĐMH01335</t>
  </si>
  <si>
    <t>IDA</t>
  </si>
  <si>
    <t>ĐMH02646</t>
  </si>
  <si>
    <t>THI0089</t>
  </si>
  <si>
    <t>ĐMH02647</t>
  </si>
  <si>
    <t>Yamato</t>
  </si>
  <si>
    <t>ĐMH01341</t>
  </si>
  <si>
    <t>THC0080</t>
  </si>
  <si>
    <t>Máy hư , chưa sản xuất kịp</t>
  </si>
  <si>
    <t>ĐMH02640</t>
  </si>
  <si>
    <t>THI0276</t>
  </si>
  <si>
    <t>Basel</t>
  </si>
  <si>
    <t>ĐMH01386</t>
  </si>
  <si>
    <t>THC0290</t>
  </si>
  <si>
    <t>ĐMH01377</t>
  </si>
  <si>
    <t>ĐMH01384</t>
  </si>
  <si>
    <t>THC0078</t>
  </si>
  <si>
    <t>THC0274</t>
  </si>
  <si>
    <t>ĐMH01402</t>
  </si>
  <si>
    <t>THC0291</t>
  </si>
  <si>
    <t>Agrifuture</t>
  </si>
  <si>
    <t>ĐMH02660</t>
  </si>
  <si>
    <t>THI0293</t>
  </si>
  <si>
    <t>ĐMH02655</t>
  </si>
  <si>
    <t>ĐMH02662</t>
  </si>
  <si>
    <t>ĐMH01441</t>
  </si>
  <si>
    <t>ĐMH01453</t>
  </si>
  <si>
    <t>THC0292</t>
  </si>
  <si>
    <t>ĐMH01454</t>
  </si>
  <si>
    <t>ĐMH01450</t>
  </si>
  <si>
    <t>THC0270</t>
  </si>
  <si>
    <t>THC0238</t>
  </si>
  <si>
    <t>ĐMH01452</t>
  </si>
  <si>
    <t>ĐMH01458</t>
  </si>
  <si>
    <t>THC0112</t>
  </si>
  <si>
    <t>ĐMH01459</t>
  </si>
  <si>
    <t>ĐMH01465</t>
  </si>
  <si>
    <t>THC0146</t>
  </si>
  <si>
    <t>ĐMH01466</t>
  </si>
  <si>
    <t>THI0263</t>
  </si>
  <si>
    <t>THI0280</t>
  </si>
  <si>
    <t>ĐMH02669</t>
  </si>
  <si>
    <t>THI0190</t>
  </si>
  <si>
    <t>An Nông</t>
  </si>
  <si>
    <t>Giấy về chậm</t>
  </si>
  <si>
    <t>ĐMH02670</t>
  </si>
  <si>
    <t>THI0173</t>
  </si>
  <si>
    <t>ĐMH01497</t>
  </si>
  <si>
    <t>THC0247</t>
  </si>
  <si>
    <t>Thanh toán 100% khi nhận hàng</t>
  </si>
  <si>
    <t>THC0086</t>
  </si>
  <si>
    <t>ĐMH01502</t>
  </si>
  <si>
    <t>ĐMH02674</t>
  </si>
  <si>
    <t>ĐMH01524</t>
  </si>
  <si>
    <t>THC0228</t>
  </si>
  <si>
    <t>ĐMH01224</t>
  </si>
  <si>
    <t>THC0265</t>
  </si>
  <si>
    <t>ĐMH01541</t>
  </si>
  <si>
    <t>THC0003</t>
  </si>
  <si>
    <t>ĐMH01540</t>
  </si>
  <si>
    <t>ĐMH02684</t>
  </si>
  <si>
    <t>THI0202</t>
  </si>
  <si>
    <t>ĐMH01559</t>
  </si>
  <si>
    <t>Thu Loan</t>
  </si>
  <si>
    <t>ĐMH01566</t>
  </si>
  <si>
    <t>THC0264</t>
  </si>
  <si>
    <t>ĐMH01565</t>
  </si>
  <si>
    <t>THC0061</t>
  </si>
  <si>
    <t>ĐMH01607</t>
  </si>
  <si>
    <t>THC0300</t>
  </si>
  <si>
    <t>ĐMH01608</t>
  </si>
  <si>
    <t>ĐMH01611</t>
  </si>
  <si>
    <t>THC0302</t>
  </si>
  <si>
    <t>ĐMH01614</t>
  </si>
  <si>
    <t>ĐMH01617</t>
  </si>
  <si>
    <t>THC0303</t>
  </si>
  <si>
    <t>ĐMH01623</t>
  </si>
  <si>
    <t>ĐMH02698</t>
  </si>
  <si>
    <t>ĐMH01644</t>
  </si>
  <si>
    <t>ĐMH01662</t>
  </si>
  <si>
    <t>ĐMH01663</t>
  </si>
  <si>
    <t>THC0304</t>
  </si>
  <si>
    <t>Hết giấy</t>
  </si>
  <si>
    <t>ĐMH01706</t>
  </si>
  <si>
    <t>THC0262</t>
  </si>
  <si>
    <t>ĐMH01705</t>
  </si>
  <si>
    <t>THC0077</t>
  </si>
  <si>
    <t>ĐMH01713</t>
  </si>
  <si>
    <t>THC0306</t>
  </si>
  <si>
    <t>KD ICARE</t>
  </si>
  <si>
    <t>ICARE</t>
  </si>
  <si>
    <t>ĐMH00001</t>
  </si>
  <si>
    <t>VT00035</t>
  </si>
  <si>
    <t>Đã đặt hàng</t>
  </si>
  <si>
    <t>Kho F49 - Icare</t>
  </si>
  <si>
    <t>NPP DR.XANH</t>
  </si>
  <si>
    <t>ĐMH00002</t>
  </si>
  <si>
    <t>ĐMH01735</t>
  </si>
  <si>
    <t>THC0307</t>
  </si>
  <si>
    <t>ĐMH01761</t>
  </si>
  <si>
    <t>ĐMH01765</t>
  </si>
  <si>
    <t>THC0162</t>
  </si>
  <si>
    <t>Bao Bì Đông Bắc</t>
  </si>
  <si>
    <t>ĐMH01767</t>
  </si>
  <si>
    <t>THC0138</t>
  </si>
  <si>
    <t>ĐMH01777</t>
  </si>
  <si>
    <t>ĐMH01792</t>
  </si>
  <si>
    <t>THC0309</t>
  </si>
  <si>
    <t>ĐMH01799</t>
  </si>
  <si>
    <t>THC0308</t>
  </si>
  <si>
    <t>ĐMH01798</t>
  </si>
  <si>
    <t>ĐMH01808</t>
  </si>
  <si>
    <t>THC0310</t>
  </si>
  <si>
    <t>ĐMH01809</t>
  </si>
  <si>
    <t>ĐMH01819</t>
  </si>
  <si>
    <t>THC0043</t>
  </si>
  <si>
    <t>Ngày NCC dự kiến giao</t>
  </si>
  <si>
    <t>ABA</t>
  </si>
  <si>
    <t>THC0252</t>
  </si>
  <si>
    <t>YAMATO</t>
  </si>
  <si>
    <t xml:space="preserve">Cái </t>
  </si>
  <si>
    <t>ĐMH00947</t>
  </si>
  <si>
    <t>THC0251</t>
  </si>
  <si>
    <t>ĐMH02752</t>
  </si>
  <si>
    <t>THC0258</t>
  </si>
  <si>
    <t>ĐMH00604</t>
  </si>
  <si>
    <t>THC0260</t>
  </si>
  <si>
    <t>THC0250</t>
  </si>
  <si>
    <t>THI0224</t>
  </si>
  <si>
    <t>ĐMH00948</t>
  </si>
  <si>
    <t>THC0257</t>
  </si>
  <si>
    <t>THC0091</t>
  </si>
  <si>
    <t>ĐMH00644</t>
  </si>
  <si>
    <t>THC0206</t>
  </si>
  <si>
    <t>THC0208</t>
  </si>
  <si>
    <t>THC0261</t>
  </si>
  <si>
    <t>ĐMH01200</t>
  </si>
  <si>
    <t>ĐMH02538</t>
  </si>
  <si>
    <t>BTP</t>
  </si>
  <si>
    <t>BTPNK0001</t>
  </si>
  <si>
    <t>Lít</t>
  </si>
  <si>
    <t>HEILONGJIANG LIANSHUN BIOTECH CO., LTD.</t>
  </si>
  <si>
    <t>ĐMH02539</t>
  </si>
  <si>
    <t>ĐMH02540</t>
  </si>
  <si>
    <t>HEBEI VEYONG BIO-CHEMICAL CO., LTD.</t>
  </si>
  <si>
    <t>ĐMH00867</t>
  </si>
  <si>
    <t>ĐMH01045</t>
  </si>
  <si>
    <t>Phương Nam</t>
  </si>
  <si>
    <t>ĐMH00642</t>
  </si>
  <si>
    <t>Chai khác</t>
  </si>
  <si>
    <t>CHT0058</t>
  </si>
  <si>
    <t>Nắp</t>
  </si>
  <si>
    <t>NAP0144</t>
  </si>
  <si>
    <t>Cốc đong</t>
  </si>
  <si>
    <t>COC0004</t>
  </si>
  <si>
    <t>ĐMH00643</t>
  </si>
  <si>
    <t>CPV0012</t>
  </si>
  <si>
    <t>NAP0002</t>
  </si>
  <si>
    <t>ĐMH00650</t>
  </si>
  <si>
    <t>CPV0006</t>
  </si>
  <si>
    <t>ĐMH02636</t>
  </si>
  <si>
    <t>CHT0237</t>
  </si>
  <si>
    <t>NAP0159</t>
  </si>
  <si>
    <t>CHT0151</t>
  </si>
  <si>
    <t>NAP0113</t>
  </si>
  <si>
    <t>Phl</t>
  </si>
  <si>
    <t>CET0098</t>
  </si>
  <si>
    <t>NAP0023</t>
  </si>
  <si>
    <t>COC0002</t>
  </si>
  <si>
    <t>ĐMH01201</t>
  </si>
  <si>
    <t>THC0256</t>
  </si>
  <si>
    <t>ĐMH02648</t>
  </si>
  <si>
    <t>THC0244</t>
  </si>
  <si>
    <t>ĐMH00677</t>
  </si>
  <si>
    <t>CHT0231</t>
  </si>
  <si>
    <t>NAP0153</t>
  </si>
  <si>
    <t>Thành Phát</t>
  </si>
  <si>
    <t>ĐMH00682</t>
  </si>
  <si>
    <t>CHT0169</t>
  </si>
  <si>
    <t>NAP0120</t>
  </si>
  <si>
    <t>An Tín</t>
  </si>
  <si>
    <t>ĐMH02664</t>
  </si>
  <si>
    <t>NAP0137</t>
  </si>
  <si>
    <t>ĐMH00691</t>
  </si>
  <si>
    <t>CHT0116</t>
  </si>
  <si>
    <t>NAP0070</t>
  </si>
  <si>
    <t>Hns</t>
  </si>
  <si>
    <t>ĐMH00692</t>
  </si>
  <si>
    <t>Can/Xô</t>
  </si>
  <si>
    <t>CAN0005</t>
  </si>
  <si>
    <t>NAP0129</t>
  </si>
  <si>
    <t>ĐMH01202</t>
  </si>
  <si>
    <t>ĐMH00698</t>
  </si>
  <si>
    <t>THC0079</t>
  </si>
  <si>
    <t>ĐMH00706</t>
  </si>
  <si>
    <t>CPT0240</t>
  </si>
  <si>
    <t>CPT0241</t>
  </si>
  <si>
    <t>NAP0138</t>
  </si>
  <si>
    <t>ĐMH00707</t>
  </si>
  <si>
    <t>CPT0234</t>
  </si>
  <si>
    <t>NAP0163</t>
  </si>
  <si>
    <t>NAP0156</t>
  </si>
  <si>
    <t>ĐMH02501</t>
  </si>
  <si>
    <t>NAP0112</t>
  </si>
  <si>
    <t>NAP0001</t>
  </si>
  <si>
    <t>ĐMH00713</t>
  </si>
  <si>
    <t>CHT0229</t>
  </si>
  <si>
    <t>ĐMH00712</t>
  </si>
  <si>
    <t>ĐMH00716</t>
  </si>
  <si>
    <t>CHT0212</t>
  </si>
  <si>
    <t>NAP0136</t>
  </si>
  <si>
    <t>ĐMH02504</t>
  </si>
  <si>
    <t>THI0210</t>
  </si>
  <si>
    <t>ĐMH00949</t>
  </si>
  <si>
    <t>THC0170</t>
  </si>
  <si>
    <t>ĐMH02505</t>
  </si>
  <si>
    <t>ĐMH00722</t>
  </si>
  <si>
    <t>2330+2387</t>
  </si>
  <si>
    <t>NAP0166</t>
  </si>
  <si>
    <t>ĐMH02682</t>
  </si>
  <si>
    <t>THC0245</t>
  </si>
  <si>
    <t>ĐMH02514</t>
  </si>
  <si>
    <t>CHT0025</t>
  </si>
  <si>
    <t>NAP0015</t>
  </si>
  <si>
    <t>ĐMH02522</t>
  </si>
  <si>
    <t>ĐMH02517</t>
  </si>
  <si>
    <t>ĐMH00763</t>
  </si>
  <si>
    <t>Minh Ngọc</t>
  </si>
  <si>
    <t>ĐMH02518</t>
  </si>
  <si>
    <t>CNT0033</t>
  </si>
  <si>
    <t>NAP0024</t>
  </si>
  <si>
    <t>NAP0017</t>
  </si>
  <si>
    <t>ĐMH02689</t>
  </si>
  <si>
    <t>THI0226</t>
  </si>
  <si>
    <t>Hủy</t>
  </si>
  <si>
    <t>ĐMH02519</t>
  </si>
  <si>
    <t>ĐMH02521</t>
  </si>
  <si>
    <t>CHT0242</t>
  </si>
  <si>
    <t>NAP0102</t>
  </si>
  <si>
    <t>ĐMH00765</t>
  </si>
  <si>
    <t>ĐMH00767</t>
  </si>
  <si>
    <t>ĐMH02535</t>
  </si>
  <si>
    <t>CHT0230</t>
  </si>
  <si>
    <t>ĐMH00776</t>
  </si>
  <si>
    <t>ĐMH00777</t>
  </si>
  <si>
    <t>ĐMH00778</t>
  </si>
  <si>
    <t>CPT0119</t>
  </si>
  <si>
    <t>NAP0145</t>
  </si>
  <si>
    <t>ĐMH00795</t>
  </si>
  <si>
    <t>THC0266</t>
  </si>
  <si>
    <t>ĐMH00794</t>
  </si>
  <si>
    <t>THI0267</t>
  </si>
  <si>
    <t>ĐMH01342</t>
  </si>
  <si>
    <t>ĐMH02567</t>
  </si>
  <si>
    <t>THI0268</t>
  </si>
  <si>
    <t>ĐMH00796</t>
  </si>
  <si>
    <t>ĐMH00797</t>
  </si>
  <si>
    <t>CET0028</t>
  </si>
  <si>
    <t>ĐMH02537</t>
  </si>
  <si>
    <t>ĐMH00813</t>
  </si>
  <si>
    <t>ĐMH02541</t>
  </si>
  <si>
    <t>ĐMH00814</t>
  </si>
  <si>
    <t>ĐMH02542</t>
  </si>
  <si>
    <t>ĐMH02542 ĐMH02636</t>
  </si>
  <si>
    <t>ĐMH00817</t>
  </si>
  <si>
    <t>ĐMH00821</t>
  </si>
  <si>
    <t>ca</t>
  </si>
  <si>
    <t>ĐMH00806</t>
  </si>
  <si>
    <t>ĐMH00824</t>
  </si>
  <si>
    <t>CHT0174</t>
  </si>
  <si>
    <t>ĐMH00825</t>
  </si>
  <si>
    <t>ĐMH02544</t>
  </si>
  <si>
    <t>ĐMH00826</t>
  </si>
  <si>
    <t>ĐMH02639</t>
  </si>
  <si>
    <t>Vinaco</t>
  </si>
  <si>
    <t>ĐMH00827</t>
  </si>
  <si>
    <t>CPT0215</t>
  </si>
  <si>
    <t>CPT0189</t>
  </si>
  <si>
    <t>ĐMH00828</t>
  </si>
  <si>
    <t>ĐMH00837</t>
  </si>
  <si>
    <t>ĐMH00847</t>
  </si>
  <si>
    <t>THC0235</t>
  </si>
  <si>
    <t>ĐMH02550</t>
  </si>
  <si>
    <t>CPT0242</t>
  </si>
  <si>
    <t>NAP0167</t>
  </si>
  <si>
    <t>ĐMH02551</t>
  </si>
  <si>
    <t>THI0171</t>
  </si>
  <si>
    <t>Cường Phát</t>
  </si>
  <si>
    <t>ĐMH00854</t>
  </si>
  <si>
    <t>CPT0042</t>
  </si>
  <si>
    <t>NAP0030</t>
  </si>
  <si>
    <t>ĐMH00856</t>
  </si>
  <si>
    <t>Hebei VeVong</t>
  </si>
  <si>
    <t>ĐMH00922</t>
  </si>
  <si>
    <t>ĐMH00865</t>
  </si>
  <si>
    <t>Hộp</t>
  </si>
  <si>
    <t>HOP4537</t>
  </si>
  <si>
    <t>ĐMH02554</t>
  </si>
  <si>
    <t>NAP0157</t>
  </si>
  <si>
    <t>ĐMH02555</t>
  </si>
  <si>
    <t>ĐMH00864</t>
  </si>
  <si>
    <t>CPT0161</t>
  </si>
  <si>
    <t>NAP0139</t>
  </si>
  <si>
    <t>ĐMH02558</t>
  </si>
  <si>
    <t>ĐMH00872</t>
  </si>
  <si>
    <t>ĐMH00875</t>
  </si>
  <si>
    <t>ĐMH00876</t>
  </si>
  <si>
    <t>ĐMH00877</t>
  </si>
  <si>
    <t>CAN0003</t>
  </si>
  <si>
    <t>NAP0164</t>
  </si>
  <si>
    <t>ĐMH00879</t>
  </si>
  <si>
    <t>CNT0036</t>
  </si>
  <si>
    <t>ĐMH00883</t>
  </si>
  <si>
    <t>ĐMH00898</t>
  </si>
  <si>
    <t>THC0271</t>
  </si>
  <si>
    <t>ĐMH00899</t>
  </si>
  <si>
    <t>ĐMH00900</t>
  </si>
  <si>
    <t>CPT0125</t>
  </si>
  <si>
    <t>ĐMH00903</t>
  </si>
  <si>
    <t>CPT0233</t>
  </si>
  <si>
    <t>NAP0168</t>
  </si>
  <si>
    <t>ĐMH00901</t>
  </si>
  <si>
    <t>ĐMH00902</t>
  </si>
  <si>
    <t>THC0272</t>
  </si>
  <si>
    <t>ĐMH00904</t>
  </si>
  <si>
    <t>CHT0228</t>
  </si>
  <si>
    <t>NAP0152</t>
  </si>
  <si>
    <t>ĐMH02559</t>
  </si>
  <si>
    <t>ĐMH00905</t>
  </si>
  <si>
    <t>THC0275</t>
  </si>
  <si>
    <t>ĐMH00923</t>
  </si>
  <si>
    <t>THC0269</t>
  </si>
  <si>
    <t>ĐMH02561</t>
  </si>
  <si>
    <t>ĐMH00919</t>
  </si>
  <si>
    <t>CAN0028</t>
  </si>
  <si>
    <t xml:space="preserve">Hủy </t>
  </si>
  <si>
    <t>NAP0130</t>
  </si>
  <si>
    <t>ĐMH00918</t>
  </si>
  <si>
    <t>CHT0018</t>
  </si>
  <si>
    <t>NAP0027</t>
  </si>
  <si>
    <t>ĐMH00878</t>
  </si>
  <si>
    <t>ĐMH00917</t>
  </si>
  <si>
    <t>ĐMH00924</t>
  </si>
  <si>
    <t>THC0273</t>
  </si>
  <si>
    <t>ĐMH00925</t>
  </si>
  <si>
    <t>ĐMH00931</t>
  </si>
  <si>
    <t>CHT0118</t>
  </si>
  <si>
    <t>ĐMH00932</t>
  </si>
  <si>
    <t>CPT0020</t>
  </si>
  <si>
    <t>NAP0006</t>
  </si>
  <si>
    <t>ĐMH00939</t>
  </si>
  <si>
    <t>ĐMH00944</t>
  </si>
  <si>
    <t>COC0010</t>
  </si>
  <si>
    <t>ĐMH00946</t>
  </si>
  <si>
    <t>ĐMH00952</t>
  </si>
  <si>
    <t>ĐMH00953</t>
  </si>
  <si>
    <t>ĐMH00951</t>
  </si>
  <si>
    <t>ĐMH00954</t>
  </si>
  <si>
    <t>Sáng Tâm</t>
  </si>
  <si>
    <t>ĐMH01050</t>
  </si>
  <si>
    <t>CPT0214</t>
  </si>
  <si>
    <t>ĐMH00964</t>
  </si>
  <si>
    <t>CHT0235</t>
  </si>
  <si>
    <t>NAP0150</t>
  </si>
  <si>
    <t>ĐMH00969</t>
  </si>
  <si>
    <t>CHT0057</t>
  </si>
  <si>
    <t>Hồ Gia</t>
  </si>
  <si>
    <t>ĐMH00965</t>
  </si>
  <si>
    <t>CHT0023</t>
  </si>
  <si>
    <t>NAP0029</t>
  </si>
  <si>
    <t>ĐMH00960</t>
  </si>
  <si>
    <t>ĐMH00961</t>
  </si>
  <si>
    <t>ĐMH02574</t>
  </si>
  <si>
    <t>ĐMH02573</t>
  </si>
  <si>
    <t>ĐMH02572</t>
  </si>
  <si>
    <t>ĐMH00987</t>
  </si>
  <si>
    <t>ĐMH00985</t>
  </si>
  <si>
    <t>ĐMH02571</t>
  </si>
  <si>
    <t>ĐMH00992</t>
  </si>
  <si>
    <t>ĐMH00988</t>
  </si>
  <si>
    <t>ĐMH00991</t>
  </si>
  <si>
    <t>CPT0243</t>
  </si>
  <si>
    <t>ĐMH00990</t>
  </si>
  <si>
    <t>CPT0244</t>
  </si>
  <si>
    <t>NAP0169</t>
  </si>
  <si>
    <t>ĐMH00989</t>
  </si>
  <si>
    <t>CPT0082</t>
  </si>
  <si>
    <t>NAP0162</t>
  </si>
  <si>
    <t>COC0007</t>
  </si>
  <si>
    <t>Trí Tín</t>
  </si>
  <si>
    <t>ĐMH02575</t>
  </si>
  <si>
    <t>HOP4652</t>
  </si>
  <si>
    <t>ĐMH02579</t>
  </si>
  <si>
    <t>THI0278</t>
  </si>
  <si>
    <t>ĐMH01001</t>
  </si>
  <si>
    <t>ĐMH01255</t>
  </si>
  <si>
    <t>THC0279</t>
  </si>
  <si>
    <t>Niềm Tin Việt</t>
  </si>
  <si>
    <t>ĐMH01005</t>
  </si>
  <si>
    <t>CHT0224</t>
  </si>
  <si>
    <t>NAP0148</t>
  </si>
  <si>
    <t>ĐMH00995</t>
  </si>
  <si>
    <t>ĐMH02737</t>
  </si>
  <si>
    <t>ĐMH02576</t>
  </si>
  <si>
    <t>ĐMH02611</t>
  </si>
  <si>
    <t>ĐMH02738</t>
  </si>
  <si>
    <t>CPT0024</t>
  </si>
  <si>
    <t>NAP0009</t>
  </si>
  <si>
    <t>COC0009</t>
  </si>
  <si>
    <t>ĐMH01006</t>
  </si>
  <si>
    <t>ĐMH01007</t>
  </si>
  <si>
    <t>CHV0194</t>
  </si>
  <si>
    <t>NAP0131</t>
  </si>
  <si>
    <t>NAP0126</t>
  </si>
  <si>
    <t>ĐMH01009</t>
  </si>
  <si>
    <t>CHT0177</t>
  </si>
  <si>
    <t>NAP0123</t>
  </si>
  <si>
    <t>ĐMH01008</t>
  </si>
  <si>
    <t>ĐMH02580</t>
  </si>
  <si>
    <t>NAP0043</t>
  </si>
  <si>
    <t>ĐMH02581</t>
  </si>
  <si>
    <t>ĐMH01010</t>
  </si>
  <si>
    <t>CHT0031</t>
  </si>
  <si>
    <t>NAP0016</t>
  </si>
  <si>
    <t>ĐMH01015</t>
  </si>
  <si>
    <t>ĐMH01016</t>
  </si>
  <si>
    <t>CET0051</t>
  </si>
  <si>
    <t>NAP0105</t>
  </si>
  <si>
    <t>ĐMH01017</t>
  </si>
  <si>
    <t>CPT0245</t>
  </si>
  <si>
    <t>NAP0170</t>
  </si>
  <si>
    <t>ĐMH01020</t>
  </si>
  <si>
    <t>ĐMH01021</t>
  </si>
  <si>
    <t>ĐMH01030</t>
  </si>
  <si>
    <t>ĐMH01018</t>
  </si>
  <si>
    <t>ĐMH01031</t>
  </si>
  <si>
    <t>THC0149</t>
  </si>
  <si>
    <t>ĐMH01033</t>
  </si>
  <si>
    <t>ĐMH01035</t>
  </si>
  <si>
    <t>ĐMH01036</t>
  </si>
  <si>
    <t>NAP0003</t>
  </si>
  <si>
    <t>ĐMH01037</t>
  </si>
  <si>
    <t>ĐMH01038</t>
  </si>
  <si>
    <t xml:space="preserve">Chờ Mẫu về </t>
  </si>
  <si>
    <t>ĐMH01039</t>
  </si>
  <si>
    <t>THC0246</t>
  </si>
  <si>
    <t>ĐMH01040</t>
  </si>
  <si>
    <t>ĐMH02585</t>
  </si>
  <si>
    <t>CPT0132</t>
  </si>
  <si>
    <t>ĐMH01046</t>
  </si>
  <si>
    <t>CPT0232</t>
  </si>
  <si>
    <t>NAP0154</t>
  </si>
  <si>
    <t>ĐMH01047</t>
  </si>
  <si>
    <t>CHT0032</t>
  </si>
  <si>
    <t>NAP0018</t>
  </si>
  <si>
    <t>ĐMH01048</t>
  </si>
  <si>
    <t>ĐMH02586</t>
  </si>
  <si>
    <t>ĐMH01066</t>
  </si>
  <si>
    <t>ĐMH01067</t>
  </si>
  <si>
    <t>ĐMH01068</t>
  </si>
  <si>
    <t>ĐMH02584</t>
  </si>
  <si>
    <t xml:space="preserve">Chưa có </t>
  </si>
  <si>
    <t>ĐMH01070</t>
  </si>
  <si>
    <t>CHV0186</t>
  </si>
  <si>
    <t>ĐMH01051</t>
  </si>
  <si>
    <t>CNT0071</t>
  </si>
  <si>
    <t>ĐMH02604</t>
  </si>
  <si>
    <t>ĐMH01072</t>
  </si>
  <si>
    <t>ĐMH01073</t>
  </si>
  <si>
    <t>ĐMH01074</t>
  </si>
  <si>
    <t>ĐMH01178</t>
  </si>
  <si>
    <t>ĐMH02617</t>
  </si>
  <si>
    <t>ĐMH01080</t>
  </si>
  <si>
    <t>ĐMH01075</t>
  </si>
  <si>
    <t>ĐMH02597</t>
  </si>
  <si>
    <t>ĐMH01081</t>
  </si>
  <si>
    <t>ĐMH01076</t>
  </si>
  <si>
    <t>CPV0030</t>
  </si>
  <si>
    <t>NAP0065</t>
  </si>
  <si>
    <t>ĐMH01082</t>
  </si>
  <si>
    <t>ĐMH01077</t>
  </si>
  <si>
    <t>ĐMH01078</t>
  </si>
  <si>
    <t>ĐMH01251</t>
  </si>
  <si>
    <t>ĐMH01079</t>
  </si>
  <si>
    <t>CHT0117</t>
  </si>
  <si>
    <t>NAP0171</t>
  </si>
  <si>
    <t>ĐMH01137</t>
  </si>
  <si>
    <t>ĐMH01138</t>
  </si>
  <si>
    <t>CPT0203</t>
  </si>
  <si>
    <t>ĐMH01083</t>
  </si>
  <si>
    <t>ĐMH01084</t>
  </si>
  <si>
    <t>THC0072</t>
  </si>
  <si>
    <t>ĐMH01350</t>
  </si>
  <si>
    <t>ĐMH01065</t>
  </si>
  <si>
    <t>CNT0034</t>
  </si>
  <si>
    <t>ĐMH01086</t>
  </si>
  <si>
    <t>ĐMH01087</t>
  </si>
  <si>
    <t>ĐMH01126</t>
  </si>
  <si>
    <t>ĐMH01127</t>
  </si>
  <si>
    <t>CHT0022</t>
  </si>
  <si>
    <t>NAP0028</t>
  </si>
  <si>
    <t>ĐMH01129</t>
  </si>
  <si>
    <t>ĐMH01130</t>
  </si>
  <si>
    <t>ĐMH01131</t>
  </si>
  <si>
    <t>CHT0225</t>
  </si>
  <si>
    <t>NAP0149</t>
  </si>
  <si>
    <t>ĐMH01392</t>
  </si>
  <si>
    <t>ĐMH01132</t>
  </si>
  <si>
    <t>ĐMH02593</t>
  </si>
  <si>
    <t>ĐMH01133</t>
  </si>
  <si>
    <t>ĐMH01134</t>
  </si>
  <si>
    <t>ĐMH01135</t>
  </si>
  <si>
    <t>ĐMH01136</t>
  </si>
  <si>
    <t>ĐMH01139</t>
  </si>
  <si>
    <t>ĐMH01141</t>
  </si>
  <si>
    <t>ĐMH01239</t>
  </si>
  <si>
    <t>ĐMH01179</t>
  </si>
  <si>
    <t>ĐMH01218</t>
  </si>
  <si>
    <t>CPT0130</t>
  </si>
  <si>
    <t>ĐMH01219</t>
  </si>
  <si>
    <t>CPT0110</t>
  </si>
  <si>
    <t>NAP0092</t>
  </si>
  <si>
    <t>ĐMH01292</t>
  </si>
  <si>
    <t>ĐMH01293</t>
  </si>
  <si>
    <t>ĐMH01207</t>
  </si>
  <si>
    <t>ĐMH01214</t>
  </si>
  <si>
    <t>CPT0246</t>
  </si>
  <si>
    <t>NAP0075</t>
  </si>
  <si>
    <t>ĐMH01194</t>
  </si>
  <si>
    <t>ĐMH01294</t>
  </si>
  <si>
    <t>THC0283</t>
  </si>
  <si>
    <t>ĐMH02745</t>
  </si>
  <si>
    <t>CNT0136</t>
  </si>
  <si>
    <t>ĐMH01199</t>
  </si>
  <si>
    <t>CPT0144</t>
  </si>
  <si>
    <t>ĐMH01427</t>
  </si>
  <si>
    <t>THC0284</t>
  </si>
  <si>
    <t>ĐMH01291</t>
  </si>
  <si>
    <t>THC0221</t>
  </si>
  <si>
    <t>ĐMH01203</t>
  </si>
  <si>
    <t>THC0185</t>
  </si>
  <si>
    <t>ĐMH01183</t>
  </si>
  <si>
    <t>XOT0005</t>
  </si>
  <si>
    <t>ĐMH01267</t>
  </si>
  <si>
    <t>NAP0041</t>
  </si>
  <si>
    <t>ĐMH01216</t>
  </si>
  <si>
    <t>CPT0249</t>
  </si>
  <si>
    <t>NAP0174</t>
  </si>
  <si>
    <t>ĐMH01198</t>
  </si>
  <si>
    <t>CHT0247</t>
  </si>
  <si>
    <t>NAP0172</t>
  </si>
  <si>
    <t>ĐMH01212</t>
  </si>
  <si>
    <t>CHT0250</t>
  </si>
  <si>
    <t>NAP0175</t>
  </si>
  <si>
    <t>ĐMH01189</t>
  </si>
  <si>
    <t>NAP0031</t>
  </si>
  <si>
    <t>ĐMH01190</t>
  </si>
  <si>
    <t>ĐMH01192</t>
  </si>
  <si>
    <t>THC0222</t>
  </si>
  <si>
    <t>ĐMH01191</t>
  </si>
  <si>
    <t>ĐMH01193</t>
  </si>
  <si>
    <t>ĐMH01205</t>
  </si>
  <si>
    <t>ĐMH01206</t>
  </si>
  <si>
    <t>ĐMH01211</t>
  </si>
  <si>
    <t>NAP0176</t>
  </si>
  <si>
    <t>ĐMH01210</t>
  </si>
  <si>
    <t>THC0188</t>
  </si>
  <si>
    <t>ĐMH01225</t>
  </si>
  <si>
    <t>THC0288</t>
  </si>
  <si>
    <t>ĐMH01226</t>
  </si>
  <si>
    <t>ĐMH01229</t>
  </si>
  <si>
    <t>ĐMH02610</t>
  </si>
  <si>
    <t>THI0281</t>
  </si>
  <si>
    <t>Mỹ Kỳ</t>
  </si>
  <si>
    <t>ĐMH01242</t>
  </si>
  <si>
    <t>XOT0009</t>
  </si>
  <si>
    <t>NAP0178</t>
  </si>
  <si>
    <t>ĐMH01305</t>
  </si>
  <si>
    <t>THC0285</t>
  </si>
  <si>
    <t>ĐMH01299</t>
  </si>
  <si>
    <t>ĐMH01298</t>
  </si>
  <si>
    <t>ĐMH01295</t>
  </si>
  <si>
    <t>ĐMH02622</t>
  </si>
  <si>
    <t>ĐMH01296</t>
  </si>
  <si>
    <r>
      <rPr>
        <rFont val="Arial"/>
        <b/>
        <color theme="1"/>
        <sz val="10.0"/>
      </rPr>
      <t>Mỗi 1 đơn mua hàng:</t>
    </r>
    <r>
      <rPr>
        <rFont val="Arial"/>
        <color theme="1"/>
        <sz val="10.0"/>
      </rPr>
      <t xml:space="preserve"> 1 cty nhận hoá đơn</t>
    </r>
  </si>
  <si>
    <t>ĐƠN ĐẶT HÀNG</t>
  </si>
  <si>
    <t xml:space="preserve">Số: </t>
  </si>
  <si>
    <t>Mã</t>
  </si>
  <si>
    <t>Tên hàng hóa</t>
  </si>
  <si>
    <t>Xuất xứ/ 
Thông số kỹ thuật/ 
Chất liệu</t>
  </si>
  <si>
    <t>Số
lượng</t>
  </si>
  <si>
    <t>Đơn giá VNĐ
(Chưa VAT)</t>
  </si>
  <si>
    <t>Đơn giá VNĐ
(Đã VAT)</t>
  </si>
  <si>
    <t>Thành tiền</t>
  </si>
  <si>
    <t>Tên trên hoá đơn</t>
  </si>
  <si>
    <t>Ghi chú</t>
  </si>
  <si>
    <t>Thùng carton 5 lớp</t>
  </si>
  <si>
    <t>TỔNG CỘNG</t>
  </si>
  <si>
    <t>*</t>
  </si>
  <si>
    <t>Thoả thuận khác:</t>
  </si>
  <si>
    <t>1. Thời gian thanh toán/ Số ngày công nợ</t>
  </si>
  <si>
    <t>2. Thời gian nhận hoá đơn:</t>
  </si>
  <si>
    <t>Chậm nhất 24h kể từ khi nhận hàng</t>
  </si>
  <si>
    <t>3. Thông tin nhận hàng:</t>
  </si>
  <si>
    <t>- Phương thức giao nhận:</t>
  </si>
  <si>
    <t>- Nơi giao:</t>
  </si>
  <si>
    <t>- Địa chỉ:</t>
  </si>
  <si>
    <t>- Người liên hệ bên mua:</t>
  </si>
  <si>
    <t>4. Thông tin nhận hóa đơn:</t>
  </si>
  <si>
    <t xml:space="preserve">- Tên đơn vị </t>
  </si>
  <si>
    <t>- Mã số thuế:</t>
  </si>
  <si>
    <t/>
  </si>
  <si>
    <t>- Mail nhận hóa đơn:</t>
  </si>
  <si>
    <t>Các thông tin, file, hình ảnh gửi kèm đơn hàng:</t>
  </si>
  <si>
    <t>Trưởng bộ phận</t>
  </si>
  <si>
    <t>Người lập</t>
  </si>
  <si>
    <t>CÔNG TY TNHH DEGO HOLDING</t>
  </si>
  <si>
    <t xml:space="preserve">Tên NCC cần làm ĐNTT: </t>
  </si>
  <si>
    <t>Mẫu 002/BM/PKT</t>
  </si>
  <si>
    <t>Tháng thực hiện ĐNTT:</t>
  </si>
  <si>
    <t>Phiên bản</t>
  </si>
  <si>
    <t>062026</t>
  </si>
  <si>
    <t>Thương hiệu ĐNTT:</t>
  </si>
  <si>
    <t>DEGO</t>
  </si>
  <si>
    <t>Ngày update:</t>
  </si>
  <si>
    <t>ĐỀ NGHỊ THANH TOÁN</t>
  </si>
  <si>
    <t>Số: &lt;Phòng thu mua&gt; &lt;0318042026&gt;</t>
  </si>
  <si>
    <t>THÔNG TIN CHUNG</t>
  </si>
  <si>
    <t>Người đề nghị thanh toán:</t>
  </si>
  <si>
    <t xml:space="preserve">Nguyễn Thanh Tiên </t>
  </si>
  <si>
    <t>Chức vụ:</t>
  </si>
  <si>
    <t>Nhân viên thu mua</t>
  </si>
  <si>
    <t xml:space="preserve">Hiện công tác tại bộ phận: </t>
  </si>
  <si>
    <t>BP sản xuất</t>
  </si>
  <si>
    <t xml:space="preserve">Trưởng phòng ban/bộ phận: </t>
  </si>
  <si>
    <t>Trần Chí Dững</t>
  </si>
  <si>
    <t>NỘI DUNG THANH TOÁN</t>
  </si>
  <si>
    <t>Đối tượng:</t>
  </si>
  <si>
    <t>Mã khoản mục CP:</t>
  </si>
  <si>
    <t xml:space="preserve">Nội dung: </t>
  </si>
  <si>
    <t>Đề nghị thanh toán:</t>
  </si>
  <si>
    <t xml:space="preserve">Chứng từ </t>
  </si>
  <si>
    <t>Diễn giải</t>
  </si>
  <si>
    <t>Số tiền đề nghị thanh toán</t>
  </si>
  <si>
    <t>Số tiền được duyệt</t>
  </si>
  <si>
    <t>Số hoá đơn</t>
  </si>
  <si>
    <t>Ngày</t>
  </si>
  <si>
    <t>Cộng</t>
  </si>
  <si>
    <t xml:space="preserve"> </t>
  </si>
  <si>
    <t>Đã tạm ứng/thanh toán:</t>
  </si>
  <si>
    <t>Số tiền đề nghị tạm ứng</t>
  </si>
  <si>
    <t>Số tiền đã tạm ứng</t>
  </si>
  <si>
    <t>Số</t>
  </si>
  <si>
    <t>Số lượng: ....mục</t>
  </si>
  <si>
    <t xml:space="preserve">Còn lại phải thanh toán </t>
  </si>
  <si>
    <t>Phải hoàn lại cho Công ty</t>
  </si>
  <si>
    <t>Bằng chữ:</t>
  </si>
  <si>
    <t>HÌNH THỨC THANH TOÁN</t>
  </si>
  <si>
    <t xml:space="preserve">Tiền mặt </t>
  </si>
  <si>
    <t>Chuyển khoản</t>
  </si>
  <si>
    <t>Tên TK thụ hưởng:</t>
  </si>
  <si>
    <t>Số TK thụ hưởng</t>
  </si>
  <si>
    <t>Ngân hàng/CN:</t>
  </si>
  <si>
    <t>Nôi dung chuyển khoản:</t>
  </si>
  <si>
    <t>XÉT DUYỆT</t>
  </si>
  <si>
    <t>Giám đốc</t>
  </si>
  <si>
    <t>KT trưởng/TP.Kế toán</t>
  </si>
  <si>
    <t>TP/Trưởng bộ phận duyệt</t>
  </si>
  <si>
    <t>Người lập phiếu</t>
  </si>
  <si>
    <t>(Ký, ghi rõ họ tên)</t>
  </si>
  <si>
    <t>HỒ SƠ ĐÍNH KÈM</t>
  </si>
  <si>
    <t>KT Thanh toán</t>
  </si>
  <si>
    <t>KT Công nợ</t>
  </si>
  <si>
    <t>(Thời gian, ký tên)</t>
  </si>
  <si>
    <t>Nhận hồ sơ:</t>
  </si>
  <si>
    <t>Chứng từ hạch toán</t>
  </si>
  <si>
    <t>Hồ sơ trả về:</t>
  </si>
  <si>
    <t>NCC</t>
  </si>
  <si>
    <t xml:space="preserve">Mã đơn Misa </t>
  </si>
  <si>
    <t xml:space="preserve">Công ty </t>
  </si>
  <si>
    <t>Ngày hóa đơn</t>
  </si>
  <si>
    <t>Người đề nghị thanh toán</t>
  </si>
  <si>
    <t>Tiền mặt</t>
  </si>
  <si>
    <t>Thông tin chuyển khoản</t>
  </si>
  <si>
    <t>Chuyển Khoản</t>
  </si>
  <si>
    <t>01 đơn mua hàng</t>
  </si>
  <si>
    <t>01 hợp đồng</t>
  </si>
  <si>
    <t>01 hoá đơn</t>
  </si>
  <si>
    <t>01 đề nghị mua hàng</t>
  </si>
  <si>
    <t>01 phiếu xuất kho và nhập kho</t>
  </si>
  <si>
    <t xml:space="preserve">Chứng từ hạch toán </t>
  </si>
  <si>
    <t>Mục tiêu: ghi nhận thông tin về việc dự chi, tạm ứng, chi thực tế, hoàn ứng cho NCC ntn</t>
  </si>
  <si>
    <t>Công thức</t>
  </si>
  <si>
    <t>Tổng hợp báo cáo dự chi, tạm ứng, thực chi, hoàn ứng cho từng đơn hàng theo từng lần nhận</t>
  </si>
  <si>
    <t>Ngày thực hiện các công việc dự chi/tạm ứng/chi thực tế/hoàn ứng. Và phải có ngày thì bên BCQL mới cập nhật</t>
  </si>
  <si>
    <t xml:space="preserve">Thương hiệu chiu chi phí </t>
  </si>
  <si>
    <t>Chọn công việc đang thực hiện</t>
  </si>
  <si>
    <t>Nhập số tiền cần cho công việc đó</t>
  </si>
  <si>
    <t>Ngày thanh toán NCC</t>
  </si>
  <si>
    <t>Tên NCC dựa trên Misa</t>
  </si>
  <si>
    <t>Phân loại theo 2 nhóm:
1. Công nợ NCC
2.10 Lãi trả chậm</t>
  </si>
  <si>
    <t>Công thức theo nhóm chi phí của cột G</t>
  </si>
  <si>
    <t>Nhập diễn giải chi tiết</t>
  </si>
  <si>
    <t>Công thức tính tổng các dự chi theo đơn hàng theo mã chi phí và theo số lần của đơn hàng đó từ dữ liệu đã nhập tại cột A đến cột H</t>
  </si>
  <si>
    <t>Lưu ý nhập đầy đủ thông tin bên Sheet 6. TIẾN ĐỘ MUA HÀNG thì mới hiển thị dữ liệu này cho ĐNTT</t>
  </si>
  <si>
    <t xml:space="preserve">Thương hiệu </t>
  </si>
  <si>
    <t>Công ty
lấy hóa đơn</t>
  </si>
  <si>
    <t>Số tiền</t>
  </si>
  <si>
    <t xml:space="preserve">Ngày thanh toán </t>
  </si>
  <si>
    <t>Phân loại</t>
  </si>
  <si>
    <t>Tên chi phí</t>
  </si>
  <si>
    <t>Lần nhận</t>
  </si>
  <si>
    <t>Mã đơn mua hàng misa</t>
  </si>
  <si>
    <t>Mã chi phí</t>
  </si>
  <si>
    <t>Tên Chi phí</t>
  </si>
  <si>
    <t>Tổng dự chi</t>
  </si>
  <si>
    <t>Tổng đã tạm ứng</t>
  </si>
  <si>
    <t>Tổng đã chi NCC</t>
  </si>
  <si>
    <t>Tổng đã hoàn ứng</t>
  </si>
  <si>
    <t>Đối tượng</t>
  </si>
  <si>
    <t xml:space="preserve">Ngân hàng/ Chi nhánh: </t>
  </si>
  <si>
    <t xml:space="preserve">Số
hóa đơn </t>
  </si>
  <si>
    <t>Ngày
hóa đơn</t>
  </si>
  <si>
    <t>Chi thực tế</t>
  </si>
  <si>
    <t>Công Ty TNHH Sản Xuất Bao Bì Đông Tây</t>
  </si>
  <si>
    <t>1</t>
  </si>
  <si>
    <t xml:space="preserve">Chuyển khoản </t>
  </si>
  <si>
    <t>Công nợ NCC</t>
  </si>
  <si>
    <t>ĐMH02694</t>
  </si>
  <si>
    <t>Dự chi</t>
  </si>
  <si>
    <t xml:space="preserve">ĐÁNH GIÁ HỢP ĐỒNG </t>
  </si>
  <si>
    <t>KHÔNG MANG TÍNH LƯU TRỮ =&gt; IN RA</t>
  </si>
  <si>
    <t>Số hợp đồng:</t>
  </si>
  <si>
    <t>006/HĐNT/2026/ĐB-DEGO</t>
  </si>
  <si>
    <t>Nhà cung cấp:</t>
  </si>
  <si>
    <t>Nhân viên đánh giá:</t>
  </si>
  <si>
    <t>1. Đánh giá hợp đồng</t>
  </si>
  <si>
    <t>Nhóm cần đánh giá</t>
  </si>
  <si>
    <t>Nội dung đánh giá</t>
  </si>
  <si>
    <t>Tóm tắt nội dung nhận xét, bổ sung, điều chỉnh (nếu có)</t>
  </si>
  <si>
    <t>I</t>
  </si>
  <si>
    <t>THỂ THỨC VĂN BẢN</t>
  </si>
  <si>
    <t xml:space="preserve">Font chữ thống nhất </t>
  </si>
  <si>
    <t>Kích cỡ chữ phù hợp, dễ đọc</t>
  </si>
  <si>
    <t>Đánh số điều khoản rõ ràng</t>
  </si>
  <si>
    <t>Không lỗi chính tả/định dạng</t>
  </si>
  <si>
    <t>Đầy đủ trang, không thiếu phụ lục</t>
  </si>
  <si>
    <t>II</t>
  </si>
  <si>
    <t>THÔNG TIN PHÁP LÝ</t>
  </si>
  <si>
    <t xml:space="preserve">Tên pháp lý công ty đúng theo đăng ký </t>
  </si>
  <si>
    <t>Mã số thuế đúng</t>
  </si>
  <si>
    <t>Địa chỉ công ty đúng</t>
  </si>
  <si>
    <t>Người đại diện đúng thẩm quyền (giấy ủy quyền)</t>
  </si>
  <si>
    <t>Chức danh người ký đúng</t>
  </si>
  <si>
    <t>Đủ điều kiện sản xuất/buôn bán</t>
  </si>
  <si>
    <t>III</t>
  </si>
  <si>
    <t>SẢN PHẨM VÀ GIÁ TRỊ</t>
  </si>
  <si>
    <t>Mô tả nguyên liệu/vật tư/bao bì rõ ràng</t>
  </si>
  <si>
    <t>Quy cách /tiêu chuẩn chất lượng</t>
  </si>
  <si>
    <t>Số lượng quy định rõ</t>
  </si>
  <si>
    <t>Giá mua và đơn vị tính rõ ràng</t>
  </si>
  <si>
    <t>Thời lượng thông báo điều chỉnh giá</t>
  </si>
  <si>
    <t>Tổng giá trị hợp đồng đã gồm VAT</t>
  </si>
  <si>
    <t>IV</t>
  </si>
  <si>
    <t>GIAO HÀNG</t>
  </si>
  <si>
    <t>Chứng từ cần nhận khi giao hàng (hoá đơn, phiếu xuất kho, giấy kiểm tra chất lượng,...)</t>
  </si>
  <si>
    <t>Thời gian giao hàng</t>
  </si>
  <si>
    <t>Địa điểm giao hàng, phạm vi giao hàng</t>
  </si>
  <si>
    <t>Điều kiện, chi phí giao hàng/vận chuyển</t>
  </si>
  <si>
    <t>Quy định và thời gian kiểm tra chất lượng sau khi nhận hàng</t>
  </si>
  <si>
    <t>Xử lý hàng không đạt: NCC chịu chi phí vận chuyển và chi phí phát sinh có liên quan</t>
  </si>
  <si>
    <t>V</t>
  </si>
  <si>
    <t>THANH TOÁN</t>
  </si>
  <si>
    <t xml:space="preserve">Cọc </t>
  </si>
  <si>
    <t xml:space="preserve">Lãi suất chậm thanh toán </t>
  </si>
  <si>
    <t>Phương thức thanh toán</t>
  </si>
  <si>
    <t>Thời hạn thanh toán</t>
  </si>
  <si>
    <t>Điều kiện xuất hóa đơn</t>
  </si>
  <si>
    <t>VI</t>
  </si>
  <si>
    <t>ĐIỀU KHOẢN KHÁC</t>
  </si>
  <si>
    <t xml:space="preserve">Chậm giao hàng/chậm thanh toán </t>
  </si>
  <si>
    <t xml:space="preserve">Phạt vi phạm khác trong hợp đồng </t>
  </si>
  <si>
    <t>Quyền và trách nhiệm 02 bên</t>
  </si>
  <si>
    <t>Bảo mật thông tin</t>
  </si>
  <si>
    <t>Bồi thường thiệt hại</t>
  </si>
  <si>
    <t>Điều khoản đơn phương chấm dứt</t>
  </si>
  <si>
    <t xml:space="preserve">Giải quyết tranh chấp </t>
  </si>
  <si>
    <t>2. Đánh giá tổng thể</t>
  </si>
  <si>
    <t>Hợp đồng có thể ký</t>
  </si>
  <si>
    <t>Cần điều chỉnh trước khi ký</t>
  </si>
  <si>
    <t xml:space="preserve">Rủi ro cao cần xem lại </t>
  </si>
  <si>
    <r>
      <rPr>
        <rFont val="Arial"/>
        <b/>
        <color theme="1"/>
        <sz val="10.0"/>
      </rPr>
      <t xml:space="preserve">3. Hồ sơ kèm theo: </t>
    </r>
    <r>
      <rPr>
        <rFont val="Arial"/>
        <b val="0"/>
        <color theme="1"/>
        <sz val="10.0"/>
      </rPr>
      <t>Hợp đồng gốc + Hợp đồng đã chỉnh sửa</t>
    </r>
  </si>
  <si>
    <t>4. Các rủi ro phải chấp nhận</t>
  </si>
  <si>
    <t>........................................................................................................................................................................................................................................................................................................................................................................................................................................................................................</t>
  </si>
  <si>
    <t>5. Đánh giá của Quản lý</t>
  </si>
  <si>
    <t>...............................................................................................................................................................................................................................................................................................................................................................................................................................................................................................................................................................................................................................................................................................................................................................................................................................................................................................................................................................................</t>
  </si>
  <si>
    <t>Quản lý</t>
  </si>
  <si>
    <t>Lưu ý: 12 hằng tháng trình ký QL</t>
  </si>
  <si>
    <t>ĐỐI CHIẾU CÔNG NỢ MISA</t>
  </si>
  <si>
    <t>Nhân sự phụ trách công nợ NCC</t>
  </si>
  <si>
    <t>NCC đang thực hiện đối chiếu công nợ</t>
  </si>
  <si>
    <t>Chọn công ty lấy hóa đơm/công ty thanh toán công nợ NCC</t>
  </si>
  <si>
    <t>Nhập tháng phát sinh công nợ cần đối chiếu</t>
  </si>
  <si>
    <t>Nhập dữ liệu từ Misa
Để trống nếu chưa được xác nhận dữ liệu đầu kỳ</t>
  </si>
  <si>
    <t>Nhập dữ liệu từ Misa</t>
  </si>
  <si>
    <t>Nhập ngày đến hạn gần nhất cần phải thanh toán NCC</t>
  </si>
  <si>
    <t>Nhập công nợ từ Biên bản NCC gửi</t>
  </si>
  <si>
    <t>Công thức đối chiếu số tiền cuối kỳ và số tiền trên Biên bản đối chiếu NCC gửi</t>
  </si>
  <si>
    <t>Nguyên nhân ghi rõ: Mã đơn, lý do, dealine hoàn thành</t>
  </si>
  <si>
    <t>DỮ LIỆU MISA</t>
  </si>
  <si>
    <t>BIÊN BẢN ĐỐI CHIẾU CỦA NCC</t>
  </si>
  <si>
    <t>CTY nhận hoá đơn</t>
  </si>
  <si>
    <t>Tháng phát sinh</t>
  </si>
  <si>
    <t>Đầu kỳ</t>
  </si>
  <si>
    <t>Phát sinh tăng công nợ</t>
  </si>
  <si>
    <t>Phát sinh giảm công nợ</t>
  </si>
  <si>
    <t>Cuối kỳ</t>
  </si>
  <si>
    <t>Đến hạn thanh toán của ngày cuối cùng trong tháng</t>
  </si>
  <si>
    <t>Phát sinh tăng</t>
  </si>
  <si>
    <t>Phát sinh giảm</t>
  </si>
  <si>
    <t>Khớp / không khớp</t>
  </si>
  <si>
    <t>Nguyên nhân, ghi chú</t>
  </si>
  <si>
    <t>Link file mềm</t>
  </si>
  <si>
    <t xml:space="preserve">- Theo dõi và thống kê tiến độ đơn hàng theo trạng thái kèm nguyên nhân
- Cảnh báo đến ngày NCC giao hàng thông báo kho,KD và gửi chứng từ lên Ktoan
- Cảnh báo ngày KD yêu cầu đã đến hạn 
- Số lần giao </t>
  </si>
  <si>
    <t>H3 : Đơn này sẽ được giao mấy lần. Trong trường hợp KD/NCC giao nhiều lần</t>
  </si>
  <si>
    <t xml:space="preserve">I3: Ngày giao gần với hiện tại </t>
  </si>
  <si>
    <t>Cảnh báo    
Còn: Tô vàng ô
Trễ: Tô đỏ ô</t>
  </si>
  <si>
    <t xml:space="preserve">Dò tìm nhanh phản hồi kinh doanh ngày NCC giao </t>
  </si>
  <si>
    <t>ĐƠN MISA</t>
  </si>
  <si>
    <t>THÁNG</t>
  </si>
  <si>
    <t xml:space="preserve">TẦN SUẤT </t>
  </si>
  <si>
    <t xml:space="preserve">NGÀY NCC DỰ KIẾN GIAO </t>
  </si>
  <si>
    <t>Công thức trích dữ liệu có thể lọc không chỉnh sửa</t>
  </si>
  <si>
    <t>Cảnh báo: 
- Chưa đặt hàng 
-.....</t>
  </si>
  <si>
    <t>Cảnh báo trễ ngày của KD yêu cầu</t>
  </si>
  <si>
    <t>Cảnh báo NCC giao hàng bị trễ /gần ngày giao</t>
  </si>
  <si>
    <t xml:space="preserve">Cảnh báo đã nhận hàng nhưng chưa có số hóa đơn </t>
  </si>
  <si>
    <t>Cảnh báo đã nhận hàng nhưng chưa có số hóa đơn điều này thể hiện NCC đang trễ hóa đơn</t>
  </si>
  <si>
    <t xml:space="preserve">Tiến độ BP/cá nhân yêu cầu </t>
  </si>
  <si>
    <t>Tiến độ NCC giao trễ so với dự kiến</t>
  </si>
  <si>
    <t>Đã nhận hàng nhưng chưa có hóa đơn</t>
  </si>
  <si>
    <t>Báo cáo nhân sự phụ trách làm việc bao nhiêu đơn mua và số lượng đơn không theo kịp quy định trong tháng/năm ( lý do có thể là do NCC hoặc quy trình kế toán nên ảnh hưởng công việc của Nhân sự TM</t>
  </si>
  <si>
    <t>BÁO CÁO THỐNG KÊ CÁC LẦN GIAO DỊCH NCC</t>
  </si>
  <si>
    <t>xét trên ngày quy định phát sinh trong tháng</t>
  </si>
  <si>
    <t>Cảnh báo NCC có tỷ lệ trễ trên 30% tô màu</t>
  </si>
  <si>
    <t>THÁNG &amp; NĂM</t>
  </si>
  <si>
    <t>TỔNG CỘNG
SỐ LẦN GIAO DỊCH NĂM 2026</t>
  </si>
  <si>
    <t>TỔNG CỘNG 
SỐ LẦN TRỄ NĂM 2026</t>
  </si>
  <si>
    <t>TỶ LỆ TRỄ ĐƠN</t>
  </si>
  <si>
    <t xml:space="preserve">Tổng số đơn </t>
  </si>
  <si>
    <t>Tổng đơn bị trễ theo quy định</t>
  </si>
  <si>
    <t>Tổng đơn giao đúng hẹn</t>
  </si>
  <si>
    <t>Tổng đơn giao sớm</t>
  </si>
  <si>
    <t>Tỷ lệ trễ đơn</t>
  </si>
  <si>
    <t>BÁO CÁO thể hiện tần suất mua và chi phí mua loại VTBB/NL trong tháng/năm</t>
  </si>
  <si>
    <t>BÁO CÁO THỐNG KÊ TẦN SUẤT MUA CỦA CÁC LOẠI VTBB/NL</t>
  </si>
  <si>
    <t>LOẠI VTBB/NL</t>
  </si>
  <si>
    <t>TỔNG CỘNG 
CP MUA NĂM 2026</t>
  </si>
  <si>
    <t>Tổng số lần giao dịch</t>
  </si>
  <si>
    <t>Tổng chi phí mua</t>
  </si>
  <si>
    <t xml:space="preserve">Báo cáo NCC thể hiện tần suất phát sinh/không có phát sinh , và số lần trễ tiến độ, tỷ lệ trễ theo tháng/năm </t>
  </si>
  <si>
    <t>TỶ LỆ TRỄ</t>
  </si>
  <si>
    <t>Số lần trễ</t>
  </si>
  <si>
    <t>Tỷ lệ</t>
  </si>
  <si>
    <t>Báo cáo thể hiện tổng số đơn hàng BP đặt hàng, trong đó có số lượng đơn trong diện gấp, gấp có thỏa đáng chưa</t>
  </si>
  <si>
    <t>Cảnh báo NCC có tỷ lệ gấp trên 30% tô màu</t>
  </si>
  <si>
    <t>BỘ PHẬN</t>
  </si>
  <si>
    <t>TỔNG CỘNG
SỐ LẦN ĐẶT HÀNG NĂM 2026</t>
  </si>
  <si>
    <t>TỔNG CỘNG 
SỐ LẦN YÊU CẦU GẤP NĂM 2026</t>
  </si>
  <si>
    <t>TỶ LỆ GẤP</t>
  </si>
  <si>
    <t>Tổng số lần đặt hàng</t>
  </si>
  <si>
    <t>Số lần gấp</t>
  </si>
  <si>
    <t xml:space="preserve">Báo cáo tự động khi bạn nhập vào form thu mua của mình: Tần suất chành, chi phí chành, tỷ lệ chi phí của chành trên đơn hàng </t>
  </si>
  <si>
    <t xml:space="preserve">Chọn </t>
  </si>
  <si>
    <t>ĐƠN VỊ VẬN CHUYỂN</t>
  </si>
  <si>
    <t>TẦN SUẤT PHÁT SINH</t>
  </si>
  <si>
    <t>TỔNG GIÁ TRỊ ĐƠN HÀNG</t>
  </si>
  <si>
    <t>TỔNG CHI PHÍ VẬN CHUYỂN</t>
  </si>
  <si>
    <t xml:space="preserve">TỶ LỆ </t>
  </si>
  <si>
    <t>TỶ LỆ</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</si>
</sst>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dd.mm.yyyy"/>
    <numFmt numFmtId="165" formatCode="dd.mm.yy"/>
    <numFmt numFmtId="166" formatCode="dd/MM/yyyy"/>
    <numFmt numFmtId="167" formatCode="dd/mm/yyyy"/>
    <numFmt numFmtId="168" formatCode="000"/>
    <numFmt numFmtId="169" formatCode="dd/mm"/>
    <numFmt numFmtId="170" formatCode="#,##0.0"/>
    <numFmt numFmtId="171" formatCode="MM/yyyy"/>
    <numFmt numFmtId="172" formatCode="d/m/yyyy"/>
    <numFmt numFmtId="173" formatCode="dddd&quot;, ngày &quot;d&quot;  &quot;mmmm&quot;, năm &quot;yyyy"/>
    <numFmt numFmtId="174" formatCode="dddd&quot;, &quot;d&quot; &quot;mmmm&quot;, &quot;yyyy"/>
    <numFmt numFmtId="175" formatCode="&quot;Ngày &quot;dd &quot;tháng &quot;mm &quot;năm &quot;yyyy"/>
    <numFmt numFmtId="176" formatCode="#.##0,00"/>
    <numFmt numFmtId="177" formatCode="_(* #,##0.00_);_(* \(#,##0.00\);_(* &quot;-&quot;??_);_(@_)"/>
    <numFmt numFmtId="178" formatCode="dd&quot;/&quot;m&quot;/&quot;yyyy"/>
    <numFmt numFmtId="179" formatCode="mm&quot;/&quot;yy"/>
    <numFmt numFmtId="180" formatCode="#,##0\ [$đ-42A]"/>
    <numFmt numFmtId="181" formatCode="mm/yyyy"/>
    <numFmt numFmtId="182" formatCode="0.000%"/>
    <numFmt numFmtId="183" formatCode="0.00000%"/>
  </numFmts>
  <fonts count="62">
    <font>
      <sz val="10.0"/>
      <color rgb="FF000000"/>
      <name val="Arial"/>
      <scheme val="minor"/>
    </font>
    <font>
      <b/>
      <sz val="12.0"/>
      <color theme="1"/>
      <name val="Arial"/>
      <scheme val="minor"/>
    </font>
    <font>
      <b/>
      <color rgb="FFFFFFFF"/>
      <name val="Arial"/>
      <scheme val="minor"/>
    </font>
    <font>
      <color theme="1"/>
      <name val="Arial"/>
      <scheme val="minor"/>
    </font>
    <font>
      <b/>
      <sz val="10.0"/>
      <color theme="1"/>
      <name val="Arial"/>
    </font>
    <font>
      <sz val="10.0"/>
      <color rgb="FF434343"/>
      <name val="Arial"/>
    </font>
    <font>
      <b/>
      <sz val="12.0"/>
      <color theme="1"/>
      <name val="Times New Roman"/>
    </font>
    <font>
      <b/>
      <sz val="13.0"/>
      <color theme="1"/>
      <name val="Times New Roman"/>
    </font>
    <font>
      <color theme="1"/>
      <name val="Arial"/>
    </font>
    <font>
      <sz val="12.0"/>
      <color theme="1"/>
      <name val="Times New Roman"/>
    </font>
    <font>
      <u/>
      <sz val="12.0"/>
      <color theme="1"/>
      <name val="Times New Roman"/>
    </font>
    <font>
      <u/>
      <sz val="12.0"/>
      <color rgb="FF1155CC"/>
      <name val="Times New Roman"/>
    </font>
    <font>
      <sz val="13.0"/>
      <color rgb="FF081B3A"/>
      <name val="Times New Roman"/>
    </font>
    <font/>
    <font>
      <sz val="13.0"/>
      <color theme="1"/>
      <name val="Times New Roman"/>
    </font>
    <font>
      <b/>
      <color theme="1"/>
      <name val="Times New Roman"/>
    </font>
    <font>
      <b/>
      <u/>
      <sz val="12.0"/>
      <color theme="1"/>
      <name val="Times New Roman"/>
    </font>
    <font>
      <b/>
      <sz val="12.0"/>
      <color rgb="FFFFFFFF"/>
      <name val="Times New Roman"/>
    </font>
    <font>
      <b/>
      <i/>
      <sz val="12.0"/>
      <color theme="1"/>
      <name val="Times New Roman"/>
    </font>
    <font>
      <i/>
      <sz val="12.0"/>
      <color theme="1"/>
      <name val="Times New Roman"/>
    </font>
    <font>
      <b/>
      <i/>
      <color theme="1"/>
      <name val="Times New Roman"/>
    </font>
    <font>
      <i/>
      <color theme="1"/>
      <name val="Times New Roman"/>
    </font>
    <font>
      <b/>
      <u/>
      <sz val="12.0"/>
      <color rgb="FF0000FF"/>
      <name val="Times New Roman"/>
    </font>
    <font>
      <i/>
      <sz val="10.0"/>
      <color rgb="FF434343"/>
      <name val="Arial"/>
    </font>
    <font>
      <b/>
      <sz val="10.0"/>
      <color rgb="FF434343"/>
      <name val="Arial"/>
    </font>
    <font>
      <b/>
      <sz val="14.0"/>
      <color rgb="FFFF0000"/>
      <name val="Arial"/>
    </font>
    <font>
      <sz val="10.0"/>
      <color rgb="FFFF0000"/>
      <name val="Arial"/>
    </font>
    <font>
      <sz val="10.0"/>
      <color theme="1"/>
      <name val="Arial"/>
    </font>
    <font>
      <b/>
      <sz val="24.0"/>
      <color theme="1"/>
      <name val="Arial"/>
    </font>
    <font>
      <i/>
      <sz val="8.0"/>
      <color theme="1"/>
      <name val="Arial"/>
    </font>
    <font>
      <b/>
      <sz val="12.0"/>
      <color theme="1"/>
      <name val="Arial"/>
    </font>
    <font>
      <b/>
      <sz val="14.0"/>
      <color theme="1"/>
      <name val="Arial"/>
    </font>
    <font>
      <b/>
      <sz val="12.0"/>
      <color rgb="FF000000"/>
      <name val="Arial"/>
    </font>
    <font>
      <sz val="12.0"/>
      <color theme="1"/>
      <name val="Arial"/>
    </font>
    <font>
      <i/>
      <sz val="12.0"/>
      <color rgb="FFFF0000"/>
      <name val="Arial"/>
    </font>
    <font>
      <sz val="12.0"/>
      <color rgb="FFFF0000"/>
      <name val="Arial"/>
    </font>
    <font>
      <b/>
      <i/>
      <sz val="12.0"/>
      <color theme="1"/>
      <name val="Arial"/>
    </font>
    <font>
      <i/>
      <sz val="12.0"/>
      <color theme="1"/>
      <name val="Arial"/>
    </font>
    <font>
      <sz val="12.0"/>
      <color rgb="FF000000"/>
      <name val="Arial"/>
    </font>
    <font>
      <b/>
      <sz val="12.0"/>
      <color rgb="FF1155CC"/>
      <name val="Arial"/>
    </font>
    <font>
      <b/>
      <sz val="12.0"/>
      <color rgb="FFFF0000"/>
      <name val="Arial"/>
    </font>
    <font>
      <i/>
      <sz val="8.0"/>
      <color rgb="FFFF0000"/>
      <name val="Arial"/>
    </font>
    <font>
      <b/>
      <sz val="11.0"/>
      <color rgb="FF1F1F1F"/>
      <name val="&quot;Google Sans&quot;"/>
    </font>
    <font>
      <b/>
      <sz val="10.0"/>
      <color rgb="FFFF0000"/>
      <name val="Arial"/>
    </font>
    <font>
      <i/>
      <sz val="10.0"/>
      <color theme="1"/>
      <name val="Arial"/>
    </font>
    <font>
      <b/>
      <sz val="14.0"/>
      <color rgb="FF000000"/>
      <name val="Arial"/>
    </font>
    <font>
      <i/>
      <sz val="12.0"/>
      <color rgb="FF000000"/>
      <name val="Arial"/>
    </font>
    <font>
      <b/>
      <sz val="12.0"/>
      <color rgb="FFFFFFFF"/>
      <name val="Arial"/>
    </font>
    <font>
      <sz val="10.0"/>
      <color theme="1"/>
      <name val="Times New Roman"/>
    </font>
    <font>
      <i/>
      <sz val="8.0"/>
      <color rgb="FF434343"/>
      <name val="Arial"/>
    </font>
    <font>
      <b/>
      <sz val="14.0"/>
      <color rgb="FFFFFFFF"/>
      <name val="Arial"/>
    </font>
    <font>
      <i/>
      <sz val="8.0"/>
      <color rgb="FF666666"/>
      <name val="Arial"/>
    </font>
    <font>
      <b/>
      <sz val="10.0"/>
      <color rgb="FF666666"/>
      <name val="Arial"/>
    </font>
    <font>
      <i/>
      <sz val="10.0"/>
      <color rgb="FF666666"/>
      <name val="Arial"/>
    </font>
    <font>
      <sz val="10.0"/>
      <color rgb="FF666666"/>
      <name val="Arial"/>
    </font>
    <font>
      <b/>
      <i/>
      <sz val="10.0"/>
      <color rgb="FF666666"/>
      <name val="Arial"/>
    </font>
    <font>
      <color rgb="FF666666"/>
      <name val="Arial"/>
    </font>
    <font>
      <color rgb="FF000000"/>
      <name val="Arial"/>
    </font>
    <font>
      <b/>
      <sz val="18.0"/>
      <color theme="1"/>
      <name val="Arial"/>
    </font>
    <font>
      <i/>
      <color rgb="FF666666"/>
      <name val="Arial"/>
    </font>
    <font>
      <b/>
      <sz val="10.0"/>
      <color rgb="FF000000"/>
      <name val="Arial"/>
    </font>
    <font>
      <i/>
      <color rgb="FF000000"/>
      <name val="Arial"/>
    </font>
  </fonts>
  <fills count="28">
    <fill>
      <patternFill patternType="none"/>
    </fill>
    <fill>
      <patternFill patternType="lightGray"/>
    </fill>
    <fill>
      <patternFill patternType="solid">
        <fgColor rgb="FF1F5F8B"/>
        <bgColor rgb="FF1F5F8B"/>
      </patternFill>
    </fill>
    <fill>
      <patternFill patternType="solid">
        <fgColor rgb="FFFFFDE7"/>
        <bgColor rgb="FFFFFDE7"/>
      </patternFill>
    </fill>
    <fill>
      <patternFill patternType="solid">
        <fgColor rgb="FF9FC5E8"/>
        <bgColor rgb="FF9FC5E8"/>
      </patternFill>
    </fill>
    <fill>
      <patternFill patternType="solid">
        <fgColor rgb="FFFFFFFF"/>
        <bgColor rgb="FFFFFFFF"/>
      </patternFill>
    </fill>
    <fill>
      <patternFill patternType="solid">
        <fgColor rgb="FF666666"/>
        <bgColor rgb="FF666666"/>
      </patternFill>
    </fill>
    <fill>
      <patternFill patternType="solid">
        <fgColor rgb="FFB7B7B7"/>
        <bgColor rgb="FFB7B7B7"/>
      </patternFill>
    </fill>
    <fill>
      <patternFill patternType="solid">
        <fgColor rgb="FFD9D9D9"/>
        <bgColor rgb="FFD9D9D9"/>
      </patternFill>
    </fill>
    <fill>
      <patternFill patternType="solid">
        <fgColor rgb="FFF3F3F3"/>
        <bgColor rgb="FFF3F3F3"/>
      </patternFill>
    </fill>
    <fill>
      <patternFill patternType="solid">
        <fgColor rgb="FFFBF5E3"/>
        <bgColor rgb="FFFBF5E3"/>
      </patternFill>
    </fill>
    <fill>
      <patternFill patternType="solid">
        <fgColor rgb="FFB6D7A8"/>
        <bgColor rgb="FFB6D7A8"/>
      </patternFill>
    </fill>
    <fill>
      <patternFill patternType="solid">
        <fgColor rgb="FFFBBC04"/>
        <bgColor rgb="FFFBBC04"/>
      </patternFill>
    </fill>
    <fill>
      <patternFill patternType="solid">
        <fgColor theme="6"/>
        <bgColor theme="6"/>
      </patternFill>
    </fill>
    <fill>
      <patternFill patternType="solid">
        <fgColor rgb="FFD9EAD3"/>
        <bgColor rgb="FFD9EAD3"/>
      </patternFill>
    </fill>
    <fill>
      <patternFill patternType="solid">
        <fgColor rgb="FFFFF2CC"/>
        <bgColor rgb="FFFFF2CC"/>
      </patternFill>
    </fill>
    <fill>
      <patternFill patternType="solid">
        <fgColor rgb="FFFFFF00"/>
        <bgColor rgb="FFFFFF00"/>
      </patternFill>
    </fill>
    <fill>
      <patternFill patternType="solid">
        <fgColor rgb="FFC9DAF8"/>
        <bgColor rgb="FFC9DAF8"/>
      </patternFill>
    </fill>
    <fill>
      <patternFill patternType="solid">
        <fgColor rgb="FF980000"/>
        <bgColor rgb="FF980000"/>
      </patternFill>
    </fill>
    <fill>
      <patternFill patternType="solid">
        <fgColor rgb="FFB4C6E7"/>
        <bgColor rgb="FFB4C6E7"/>
      </patternFill>
    </fill>
    <fill>
      <patternFill patternType="solid">
        <fgColor rgb="FF00FF00"/>
        <bgColor rgb="FF00FF00"/>
      </patternFill>
    </fill>
    <fill>
      <patternFill patternType="solid">
        <fgColor rgb="FFF8F9FA"/>
        <bgColor rgb="FFF8F9FA"/>
      </patternFill>
    </fill>
    <fill>
      <patternFill patternType="solid">
        <fgColor rgb="FF38761D"/>
        <bgColor rgb="FF38761D"/>
      </patternFill>
    </fill>
    <fill>
      <patternFill patternType="solid">
        <fgColor rgb="FFCFE2F3"/>
        <bgColor rgb="FFCFE2F3"/>
      </patternFill>
    </fill>
    <fill>
      <patternFill patternType="solid">
        <fgColor rgb="FFFFE599"/>
        <bgColor rgb="FFFFE599"/>
      </patternFill>
    </fill>
    <fill>
      <patternFill patternType="solid">
        <fgColor rgb="FFD5A6BD"/>
        <bgColor rgb="FFD5A6BD"/>
      </patternFill>
    </fill>
    <fill>
      <patternFill patternType="solid">
        <fgColor rgb="FFEAD1DC"/>
        <bgColor rgb="FFEAD1DC"/>
      </patternFill>
    </fill>
    <fill>
      <patternFill patternType="solid">
        <fgColor rgb="FFFCE5CD"/>
        <bgColor rgb="FFFCE5CD"/>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666666"/>
      </left>
      <right style="thin">
        <color rgb="FF666666"/>
      </right>
      <top style="thin">
        <color rgb="FF666666"/>
      </top>
      <bottom style="thin">
        <color rgb="FF666666"/>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right/>
      <top/>
      <bottom/>
    </border>
    <border>
      <top style="thin">
        <color rgb="FF000000"/>
      </top>
    </border>
    <border>
      <bottom style="thin">
        <color rgb="FF000000"/>
      </bottom>
    </border>
    <border>
      <left style="thin">
        <color rgb="FF000000"/>
      </left>
      <right style="thin">
        <color rgb="FF666666"/>
      </right>
      <top style="thin">
        <color rgb="FF000000"/>
      </top>
      <bottom style="thin">
        <color rgb="FF000000"/>
      </bottom>
    </border>
    <border>
      <left style="dotted">
        <color rgb="FF000000"/>
      </left>
    </border>
  </borders>
  <cellStyleXfs count="1">
    <xf borderId="0" fillId="0" fontId="0" numFmtId="0" applyAlignment="1" applyFont="1"/>
  </cellStyleXfs>
  <cellXfs count="802">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0" fontId="3" numFmtId="0" xfId="0" applyAlignment="1" applyFont="1">
      <alignment readingOrder="0"/>
    </xf>
    <xf borderId="0" fillId="3" fontId="3" numFmtId="0" xfId="0" applyAlignment="1" applyFill="1" applyFont="1">
      <alignment readingOrder="0"/>
    </xf>
    <xf borderId="0" fillId="0" fontId="3" numFmtId="0" xfId="0" applyAlignment="1" applyFont="1">
      <alignment readingOrder="0"/>
    </xf>
    <xf borderId="0" fillId="0" fontId="3" numFmtId="0" xfId="0" applyAlignment="1" applyFont="1">
      <alignment readingOrder="0" shrinkToFit="0" wrapText="1"/>
    </xf>
    <xf borderId="0" fillId="0" fontId="4" numFmtId="0" xfId="0" applyAlignment="1" applyFont="1">
      <alignment horizontal="left" readingOrder="0" shrinkToFit="0" vertical="center" wrapText="1"/>
    </xf>
    <xf borderId="0" fillId="0" fontId="5" numFmtId="0" xfId="0" applyAlignment="1" applyFont="1">
      <alignment shrinkToFit="0" vertical="center" wrapText="1"/>
    </xf>
    <xf borderId="0" fillId="0" fontId="5" numFmtId="0" xfId="0" applyAlignment="1" applyFont="1">
      <alignment horizontal="left" shrinkToFit="0" vertical="center" wrapText="1"/>
    </xf>
    <xf borderId="0" fillId="0" fontId="5" numFmtId="0" xfId="0" applyAlignment="1" applyFont="1">
      <alignment readingOrder="0" shrinkToFit="0" vertical="center" wrapText="1"/>
    </xf>
    <xf borderId="1" fillId="4" fontId="6" numFmtId="0" xfId="0" applyAlignment="1" applyBorder="1" applyFill="1" applyFont="1">
      <alignment horizontal="center" shrinkToFit="0" vertical="center" wrapText="1"/>
    </xf>
    <xf borderId="1" fillId="4" fontId="6" numFmtId="0" xfId="0" applyAlignment="1" applyBorder="1" applyFont="1">
      <alignment horizontal="center" shrinkToFit="0" vertical="center" wrapText="1"/>
    </xf>
    <xf borderId="1" fillId="4" fontId="7" numFmtId="0" xfId="0" applyAlignment="1" applyBorder="1" applyFont="1">
      <alignment horizontal="center" shrinkToFit="0" vertical="center" wrapText="1"/>
    </xf>
    <xf borderId="0" fillId="0" fontId="8" numFmtId="0" xfId="0" applyAlignment="1" applyFont="1">
      <alignment vertical="center"/>
    </xf>
    <xf borderId="0" fillId="0" fontId="8" numFmtId="0" xfId="0" applyAlignment="1" applyFont="1">
      <alignment vertical="center"/>
    </xf>
    <xf borderId="1" fillId="0" fontId="9" numFmtId="0" xfId="0" applyAlignment="1" applyBorder="1" applyFont="1">
      <alignment horizontal="center" shrinkToFit="0" vertical="center" wrapText="1"/>
    </xf>
    <xf borderId="1" fillId="0" fontId="6" numFmtId="0" xfId="0" applyAlignment="1" applyBorder="1" applyFont="1">
      <alignment shrinkToFit="0" vertical="center" wrapText="1"/>
    </xf>
    <xf borderId="1" fillId="0" fontId="9" numFmtId="0" xfId="0" applyAlignment="1" applyBorder="1" applyFont="1">
      <alignment shrinkToFit="0" vertical="center" wrapText="1"/>
    </xf>
    <xf borderId="1" fillId="0" fontId="10" numFmtId="0" xfId="0" applyAlignment="1" applyBorder="1" applyFont="1">
      <alignment shrinkToFit="0" vertical="center" wrapText="1"/>
    </xf>
    <xf borderId="1" fillId="0" fontId="11" numFmtId="0" xfId="0" applyAlignment="1" applyBorder="1" applyFont="1">
      <alignment shrinkToFit="0" vertical="center" wrapText="1"/>
    </xf>
    <xf borderId="2" fillId="5" fontId="12" numFmtId="0" xfId="0" applyAlignment="1" applyBorder="1" applyFill="1" applyFont="1">
      <alignment shrinkToFit="0" vertical="center" wrapText="1"/>
    </xf>
    <xf borderId="1" fillId="0" fontId="8" numFmtId="0" xfId="0" applyAlignment="1" applyBorder="1" applyFont="1">
      <alignment vertical="center"/>
    </xf>
    <xf borderId="3" fillId="0" fontId="13" numFmtId="0" xfId="0" applyBorder="1" applyFont="1"/>
    <xf borderId="1" fillId="0" fontId="14" numFmtId="0" xfId="0" applyAlignment="1" applyBorder="1" applyFont="1">
      <alignment shrinkToFit="0" vertical="center" wrapText="1"/>
    </xf>
    <xf borderId="2" fillId="5" fontId="8" numFmtId="0" xfId="0" applyAlignment="1" applyBorder="1" applyFont="1">
      <alignment vertical="center"/>
    </xf>
    <xf borderId="4" fillId="0" fontId="13" numFmtId="0" xfId="0" applyBorder="1" applyFont="1"/>
    <xf borderId="0" fillId="0" fontId="15" numFmtId="0" xfId="0" applyAlignment="1" applyFont="1">
      <alignment horizontal="center" shrinkToFit="0" vertical="center" wrapText="1"/>
    </xf>
    <xf borderId="0" fillId="0" fontId="6" numFmtId="0" xfId="0" applyAlignment="1" applyFont="1">
      <alignment shrinkToFit="0" vertical="center" wrapText="1"/>
    </xf>
    <xf borderId="0" fillId="0" fontId="9" numFmtId="0" xfId="0" applyAlignment="1" applyFont="1">
      <alignment vertical="center"/>
    </xf>
    <xf borderId="0" fillId="0" fontId="16" numFmtId="0" xfId="0" applyAlignment="1" applyFont="1">
      <alignment shrinkToFit="0" vertical="center" wrapText="1"/>
    </xf>
    <xf borderId="0" fillId="6" fontId="17" numFmtId="0" xfId="0" applyAlignment="1" applyFill="1" applyFont="1">
      <alignment shrinkToFit="0" vertical="center" wrapText="1"/>
    </xf>
    <xf borderId="0" fillId="7" fontId="6" numFmtId="0" xfId="0" applyAlignment="1" applyFill="1" applyFont="1">
      <alignment shrinkToFit="0" vertical="center" wrapText="1"/>
    </xf>
    <xf borderId="0" fillId="8" fontId="6" numFmtId="0" xfId="0" applyAlignment="1" applyFill="1" applyFont="1">
      <alignment shrinkToFit="0" vertical="center" wrapText="1"/>
    </xf>
    <xf borderId="0" fillId="9" fontId="18" numFmtId="0" xfId="0" applyAlignment="1" applyFill="1" applyFont="1">
      <alignment shrinkToFit="0" vertical="center" wrapText="1"/>
    </xf>
    <xf borderId="0" fillId="9" fontId="19" numFmtId="0" xfId="0" applyAlignment="1" applyFont="1">
      <alignment shrinkToFit="0" vertical="center" wrapText="1"/>
    </xf>
    <xf borderId="0" fillId="10" fontId="20" numFmtId="0" xfId="0" applyAlignment="1" applyFill="1" applyFont="1">
      <alignment horizontal="right" shrinkToFit="0" vertical="center" wrapText="1"/>
    </xf>
    <xf borderId="0" fillId="10" fontId="21" numFmtId="0" xfId="0" applyAlignment="1" applyFont="1">
      <alignment shrinkToFit="0" vertical="center" wrapText="1"/>
    </xf>
    <xf borderId="0" fillId="8" fontId="22" numFmtId="0" xfId="0" applyAlignment="1" applyFont="1">
      <alignment shrinkToFit="0" vertical="center" wrapText="1"/>
    </xf>
    <xf borderId="0" fillId="10" fontId="20" numFmtId="0" xfId="0" applyAlignment="1" applyFont="1">
      <alignment horizontal="right" shrinkToFit="0" vertical="center" wrapText="1"/>
    </xf>
    <xf borderId="0" fillId="10" fontId="21" numFmtId="0" xfId="0" applyAlignment="1" applyFont="1">
      <alignment shrinkToFit="0" vertical="center" wrapText="1"/>
    </xf>
    <xf borderId="0" fillId="8" fontId="6" numFmtId="0" xfId="0" applyAlignment="1" applyFont="1">
      <alignment shrinkToFit="0" vertical="center" wrapText="1"/>
    </xf>
    <xf borderId="0" fillId="0" fontId="8" numFmtId="164" xfId="0" applyAlignment="1" applyFont="1" applyNumberFormat="1">
      <alignment vertical="center"/>
    </xf>
    <xf borderId="0" fillId="7" fontId="6" numFmtId="0" xfId="0" applyAlignment="1" applyFont="1">
      <alignment shrinkToFit="0" vertical="center" wrapText="1"/>
    </xf>
    <xf borderId="0" fillId="7" fontId="9" numFmtId="0" xfId="0" applyAlignment="1" applyFont="1">
      <alignment shrinkToFit="0" vertical="center" wrapText="1"/>
    </xf>
    <xf borderId="0" fillId="7" fontId="9" numFmtId="0" xfId="0" applyAlignment="1" applyFont="1">
      <alignment shrinkToFit="0" vertical="center" wrapText="1"/>
    </xf>
    <xf borderId="0" fillId="0" fontId="8" numFmtId="165" xfId="0" applyAlignment="1" applyFont="1" applyNumberFormat="1">
      <alignment vertical="center"/>
    </xf>
    <xf borderId="0" fillId="0" fontId="5" numFmtId="0" xfId="0" applyAlignment="1" applyFont="1">
      <alignment vertical="center"/>
    </xf>
    <xf borderId="0" fillId="0" fontId="5" numFmtId="0" xfId="0" applyAlignment="1" applyFont="1">
      <alignment shrinkToFit="0" vertical="center" wrapText="1"/>
    </xf>
    <xf borderId="0" fillId="11" fontId="5" numFmtId="0" xfId="0" applyAlignment="1" applyFill="1" applyFont="1">
      <alignment vertical="center"/>
    </xf>
    <xf borderId="0" fillId="0" fontId="5" numFmtId="0" xfId="0" applyAlignment="1" applyFont="1">
      <alignment vertical="center"/>
    </xf>
    <xf borderId="0" fillId="0" fontId="5" numFmtId="49" xfId="0" applyAlignment="1" applyFont="1" applyNumberFormat="1">
      <alignment vertical="center"/>
    </xf>
    <xf borderId="0" fillId="0" fontId="23" numFmtId="0" xfId="0" applyAlignment="1" applyFont="1">
      <alignment shrinkToFit="0" vertical="center" wrapText="1"/>
    </xf>
    <xf borderId="0" fillId="0" fontId="23" numFmtId="166" xfId="0" applyAlignment="1" applyFont="1" applyNumberFormat="1">
      <alignment shrinkToFit="0" vertical="center" wrapText="1"/>
    </xf>
    <xf borderId="1" fillId="12" fontId="24" numFmtId="0" xfId="0" applyAlignment="1" applyBorder="1" applyFill="1" applyFont="1">
      <alignment shrinkToFit="0" vertical="center" wrapText="1"/>
    </xf>
    <xf borderId="1" fillId="12" fontId="24" numFmtId="0" xfId="0" applyAlignment="1" applyBorder="1" applyFont="1">
      <alignment shrinkToFit="0" vertical="center" wrapText="1"/>
    </xf>
    <xf borderId="1" fillId="11" fontId="5" numFmtId="0" xfId="0" applyAlignment="1" applyBorder="1" applyFont="1">
      <alignment vertical="center"/>
    </xf>
    <xf borderId="1" fillId="12" fontId="24" numFmtId="166" xfId="0" applyAlignment="1" applyBorder="1" applyFont="1" applyNumberFormat="1">
      <alignment shrinkToFit="0" vertical="center" wrapText="1"/>
    </xf>
    <xf borderId="1" fillId="12" fontId="24" numFmtId="49" xfId="0" applyAlignment="1" applyBorder="1" applyFont="1" applyNumberFormat="1">
      <alignment shrinkToFit="0" vertical="center" wrapText="1"/>
    </xf>
    <xf borderId="1" fillId="0" fontId="5" numFmtId="49" xfId="0" applyAlignment="1" applyBorder="1" applyFont="1" applyNumberFormat="1">
      <alignment shrinkToFit="0" vertical="center" wrapText="1"/>
    </xf>
    <xf borderId="1" fillId="11" fontId="5" numFmtId="0" xfId="0" applyAlignment="1" applyBorder="1" applyFont="1">
      <alignment shrinkToFit="0" vertical="center" wrapText="1"/>
    </xf>
    <xf borderId="1" fillId="0" fontId="5" numFmtId="167" xfId="0" applyAlignment="1" applyBorder="1" applyFont="1" applyNumberFormat="1">
      <alignment shrinkToFit="0" vertical="center" wrapText="1"/>
    </xf>
    <xf borderId="1" fillId="0" fontId="5" numFmtId="167" xfId="0" applyAlignment="1" applyBorder="1" applyFont="1" applyNumberFormat="1">
      <alignment horizontal="left" shrinkToFit="0" vertical="center" wrapText="1"/>
    </xf>
    <xf borderId="1" fillId="0" fontId="5" numFmtId="0" xfId="0" applyAlignment="1" applyBorder="1" applyFont="1">
      <alignment shrinkToFit="0" vertical="center" wrapText="1"/>
    </xf>
    <xf borderId="1" fillId="0" fontId="5" numFmtId="0" xfId="0" applyAlignment="1" applyBorder="1" applyFont="1">
      <alignment horizontal="right" shrinkToFit="0" vertical="center" wrapText="1"/>
    </xf>
    <xf borderId="1" fillId="0" fontId="5" numFmtId="166" xfId="0" applyAlignment="1" applyBorder="1" applyFont="1" applyNumberFormat="1">
      <alignment shrinkToFit="0" vertical="center" wrapText="1"/>
    </xf>
    <xf borderId="1" fillId="0" fontId="5" numFmtId="49" xfId="0" applyAlignment="1" applyBorder="1" applyFont="1" applyNumberFormat="1">
      <alignment shrinkToFit="0" vertical="center" wrapText="1"/>
    </xf>
    <xf borderId="1" fillId="0" fontId="5" numFmtId="9" xfId="0" applyAlignment="1" applyBorder="1" applyFont="1" applyNumberFormat="1">
      <alignment horizontal="right" shrinkToFit="0" vertical="center" wrapText="1"/>
    </xf>
    <xf borderId="1" fillId="0" fontId="5" numFmtId="9" xfId="0" applyAlignment="1" applyBorder="1" applyFont="1" applyNumberFormat="1">
      <alignment shrinkToFit="0" vertical="center" wrapText="1"/>
    </xf>
    <xf borderId="1" fillId="0" fontId="5" numFmtId="0" xfId="0" applyAlignment="1" applyBorder="1" applyFont="1">
      <alignment shrinkToFit="0" vertical="center" wrapText="1"/>
    </xf>
    <xf borderId="1" fillId="0" fontId="5" numFmtId="166" xfId="0" applyAlignment="1" applyBorder="1" applyFont="1" applyNumberFormat="1">
      <alignment horizontal="right" shrinkToFit="0" vertical="center" wrapText="1"/>
    </xf>
    <xf borderId="1" fillId="11"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5" numFmtId="49" xfId="0" applyAlignment="1" applyBorder="1" applyFont="1" applyNumberFormat="1">
      <alignment horizontal="right"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right" shrinkToFit="0" vertical="center" wrapText="1"/>
    </xf>
    <xf borderId="1" fillId="0" fontId="5" numFmtId="41" xfId="0" applyAlignment="1" applyBorder="1" applyFont="1" applyNumberFormat="1">
      <alignment shrinkToFit="0" vertical="center" wrapText="1"/>
    </xf>
    <xf borderId="0" fillId="11" fontId="5" numFmtId="0" xfId="0" applyAlignment="1" applyFont="1">
      <alignment shrinkToFit="0" vertical="center" wrapText="1"/>
    </xf>
    <xf borderId="0" fillId="0" fontId="5" numFmtId="49" xfId="0" applyAlignment="1" applyFont="1" applyNumberFormat="1">
      <alignment shrinkToFit="0" vertical="center" wrapText="1"/>
    </xf>
    <xf borderId="0" fillId="0" fontId="5" numFmtId="41" xfId="0" applyAlignment="1" applyFont="1" applyNumberFormat="1">
      <alignment shrinkToFit="0" vertical="center" wrapText="1"/>
    </xf>
    <xf borderId="0" fillId="0" fontId="5" numFmtId="49" xfId="0" applyAlignment="1" applyFont="1" applyNumberFormat="1">
      <alignment shrinkToFit="0" vertical="center" wrapText="1"/>
    </xf>
    <xf borderId="0" fillId="0" fontId="25" numFmtId="0" xfId="0" applyAlignment="1" applyFont="1">
      <alignment vertical="center"/>
    </xf>
    <xf borderId="0" fillId="0" fontId="26" numFmtId="0" xfId="0" applyAlignment="1" applyFont="1">
      <alignment vertical="center"/>
    </xf>
    <xf borderId="0" fillId="0" fontId="25" numFmtId="0" xfId="0" applyAlignment="1" applyFont="1">
      <alignment readingOrder="0" vertical="center"/>
    </xf>
    <xf borderId="0" fillId="0" fontId="25" numFmtId="0" xfId="0" applyAlignment="1" applyFont="1">
      <alignment readingOrder="0" shrinkToFit="0" vertical="center" wrapText="1"/>
    </xf>
    <xf borderId="0" fillId="13" fontId="4" numFmtId="0" xfId="0" applyAlignment="1" applyFill="1" applyFont="1">
      <alignment horizontal="center" vertical="center"/>
    </xf>
    <xf borderId="0" fillId="0" fontId="27" numFmtId="168" xfId="0" applyAlignment="1" applyFont="1" applyNumberFormat="1">
      <alignment vertical="center"/>
    </xf>
    <xf borderId="0" fillId="0" fontId="27" numFmtId="0" xfId="0" applyAlignment="1" applyFont="1">
      <alignment vertical="center"/>
    </xf>
    <xf borderId="0" fillId="0" fontId="8" numFmtId="0" xfId="0" applyAlignment="1" applyFont="1">
      <alignment horizontal="center" vertical="center"/>
    </xf>
    <xf borderId="0" fillId="0" fontId="28" numFmtId="0" xfId="0" applyAlignment="1" applyFont="1">
      <alignment horizontal="center" vertical="center"/>
    </xf>
    <xf borderId="0" fillId="0" fontId="8" numFmtId="49" xfId="0" applyAlignment="1" applyFont="1" applyNumberFormat="1">
      <alignment horizontal="center" vertical="center"/>
    </xf>
    <xf borderId="0" fillId="0" fontId="29" numFmtId="0" xfId="0" applyAlignment="1" applyFont="1">
      <alignment horizontal="center" shrinkToFit="0" vertical="center" wrapText="1"/>
    </xf>
    <xf borderId="0" fillId="0" fontId="29" numFmtId="0" xfId="0" applyAlignment="1" applyFont="1">
      <alignment horizontal="center" readingOrder="0" shrinkToFit="0" vertical="center" wrapText="1"/>
    </xf>
    <xf borderId="0" fillId="0" fontId="29" numFmtId="49" xfId="0" applyAlignment="1" applyFont="1" applyNumberFormat="1">
      <alignment horizontal="center" shrinkToFit="0" vertical="center" wrapText="1"/>
    </xf>
    <xf borderId="0" fillId="0" fontId="8" numFmtId="0" xfId="0" applyAlignment="1" applyFont="1">
      <alignment horizontal="center" vertical="center"/>
    </xf>
    <xf borderId="0" fillId="0" fontId="29" numFmtId="0" xfId="0" applyAlignment="1" applyFont="1">
      <alignment horizontal="center" shrinkToFit="0" vertical="center" wrapText="1"/>
    </xf>
    <xf borderId="0" fillId="0" fontId="29" numFmtId="0" xfId="0" applyAlignment="1" applyFont="1">
      <alignment horizontal="center" vertical="center"/>
    </xf>
    <xf borderId="0" fillId="0" fontId="29" numFmtId="49" xfId="0" applyAlignment="1" applyFont="1" applyNumberFormat="1">
      <alignment horizontal="center" vertical="center"/>
    </xf>
    <xf borderId="0" fillId="0" fontId="30" numFmtId="0" xfId="0" applyAlignment="1" applyFont="1">
      <alignment horizontal="center" readingOrder="0" shrinkToFit="0" vertical="center" wrapText="1"/>
    </xf>
    <xf borderId="0" fillId="0" fontId="30" numFmtId="0" xfId="0" applyAlignment="1" applyFont="1">
      <alignment horizontal="center" readingOrder="0" shrinkToFit="0" vertical="center" wrapText="1"/>
    </xf>
    <xf borderId="0" fillId="0" fontId="30" numFmtId="49" xfId="0" applyAlignment="1" applyFont="1" applyNumberFormat="1">
      <alignment horizontal="center" readingOrder="0" shrinkToFit="0" vertical="center" wrapText="1"/>
    </xf>
    <xf borderId="5" fillId="14" fontId="8" numFmtId="0" xfId="0" applyAlignment="1" applyBorder="1" applyFill="1" applyFont="1">
      <alignment horizontal="center" vertical="center"/>
    </xf>
    <xf borderId="6" fillId="14" fontId="8" numFmtId="0" xfId="0" applyAlignment="1" applyBorder="1" applyFont="1">
      <alignment horizontal="center" vertical="center"/>
    </xf>
    <xf borderId="6" fillId="14" fontId="31" numFmtId="0" xfId="0" applyAlignment="1" applyBorder="1" applyFont="1">
      <alignment horizontal="center" vertical="center"/>
    </xf>
    <xf borderId="7" fillId="14" fontId="8" numFmtId="0" xfId="0" applyAlignment="1" applyBorder="1" applyFont="1">
      <alignment horizontal="center" vertical="center"/>
    </xf>
    <xf borderId="0" fillId="12" fontId="32" numFmtId="0" xfId="0" applyAlignment="1" applyFont="1">
      <alignment horizontal="center" readingOrder="0" shrinkToFit="0" vertical="center" wrapText="1"/>
    </xf>
    <xf borderId="0" fillId="0" fontId="30" numFmtId="0" xfId="0" applyAlignment="1" applyFont="1">
      <alignment horizontal="center" readingOrder="0" shrinkToFit="0" vertical="center" wrapText="1"/>
    </xf>
    <xf borderId="0" fillId="0" fontId="30" numFmtId="0" xfId="0" applyAlignment="1" applyFont="1">
      <alignment horizontal="center" readingOrder="0" shrinkToFit="0" vertical="center" wrapText="1"/>
    </xf>
    <xf borderId="0" fillId="0" fontId="30" numFmtId="49" xfId="0" applyAlignment="1" applyFont="1" applyNumberFormat="1">
      <alignment horizontal="center" readingOrder="0" shrinkToFit="0" vertical="center" wrapText="1"/>
    </xf>
    <xf borderId="1" fillId="5" fontId="5" numFmtId="0" xfId="0" applyAlignment="1" applyBorder="1" applyFont="1">
      <alignment horizontal="center" shrinkToFit="0" vertical="center" wrapText="1"/>
    </xf>
    <xf borderId="1" fillId="0" fontId="5" numFmtId="169" xfId="0" applyAlignment="1" applyBorder="1" applyFont="1" applyNumberFormat="1">
      <alignment horizontal="center" shrinkToFit="0" vertical="center" wrapText="0"/>
    </xf>
    <xf borderId="1" fillId="0" fontId="5" numFmtId="0" xfId="0" applyAlignment="1" applyBorder="1" applyFont="1">
      <alignment readingOrder="0" shrinkToFit="0" vertical="center" wrapText="0"/>
    </xf>
    <xf borderId="1" fillId="0" fontId="5" numFmtId="0" xfId="0" applyAlignment="1" applyBorder="1" applyFont="1">
      <alignment horizontal="center" readingOrder="0" shrinkToFit="0" vertical="center" wrapText="0"/>
    </xf>
    <xf borderId="1" fillId="0" fontId="5" numFmtId="0" xfId="0" applyAlignment="1" applyBorder="1" applyFont="1">
      <alignment horizontal="center" readingOrder="0" shrinkToFit="0" vertical="center" wrapText="1"/>
    </xf>
    <xf borderId="1" fillId="0" fontId="5" numFmtId="3" xfId="0" applyAlignment="1" applyBorder="1" applyFont="1" applyNumberFormat="1">
      <alignment readingOrder="0" shrinkToFit="0" vertical="center" wrapText="0"/>
    </xf>
    <xf borderId="1" fillId="0" fontId="5" numFmtId="3" xfId="0" applyAlignment="1" applyBorder="1" applyFont="1" applyNumberFormat="1">
      <alignment shrinkToFit="0" vertical="center" wrapText="0"/>
    </xf>
    <xf borderId="1" fillId="0" fontId="5" numFmtId="167" xfId="0" applyAlignment="1" applyBorder="1" applyFont="1" applyNumberFormat="1">
      <alignment horizontal="center" readingOrder="0" shrinkToFit="0" vertical="center" wrapText="0"/>
    </xf>
    <xf borderId="1" fillId="0" fontId="5" numFmtId="167" xfId="0" applyAlignment="1" applyBorder="1" applyFont="1" applyNumberFormat="1">
      <alignment horizontal="center" shrinkToFit="0" vertical="center" wrapText="0"/>
    </xf>
    <xf borderId="1" fillId="0" fontId="5" numFmtId="167" xfId="0" applyAlignment="1" applyBorder="1" applyFont="1" applyNumberFormat="1">
      <alignment shrinkToFit="0" vertical="center" wrapText="0"/>
    </xf>
    <xf borderId="1" fillId="0" fontId="5" numFmtId="49" xfId="0" applyAlignment="1" applyBorder="1" applyFont="1" applyNumberFormat="1">
      <alignment shrinkToFit="0" vertical="center" wrapText="0"/>
    </xf>
    <xf borderId="1" fillId="0" fontId="5" numFmtId="49" xfId="0" applyAlignment="1" applyBorder="1" applyFont="1" applyNumberFormat="1">
      <alignment shrinkToFit="0" vertical="center" wrapText="0"/>
    </xf>
    <xf borderId="1" fillId="0" fontId="5" numFmtId="0" xfId="0" applyAlignment="1" applyBorder="1" applyFont="1">
      <alignment horizontal="left" shrinkToFit="0" vertical="center" wrapText="1"/>
    </xf>
    <xf borderId="1" fillId="0" fontId="5" numFmtId="0" xfId="0" applyAlignment="1" applyBorder="1" applyFont="1">
      <alignment horizontal="center" shrinkToFit="0" vertical="center" wrapText="0"/>
    </xf>
    <xf borderId="1" fillId="0" fontId="27" numFmtId="0" xfId="0" applyAlignment="1" applyBorder="1" applyFont="1">
      <alignment horizontal="center" readingOrder="0" shrinkToFit="0" vertical="center" wrapText="0"/>
    </xf>
    <xf borderId="1" fillId="0" fontId="5" numFmtId="0" xfId="0" applyAlignment="1" applyBorder="1" applyFont="1">
      <alignment readingOrder="0" shrinkToFit="0" vertical="center" wrapText="0"/>
    </xf>
    <xf borderId="1" fillId="0" fontId="5" numFmtId="169" xfId="0" applyAlignment="1" applyBorder="1" applyFont="1" applyNumberFormat="1">
      <alignment horizontal="center" readingOrder="0" shrinkToFit="0" vertical="center" wrapText="0"/>
    </xf>
    <xf borderId="1" fillId="0" fontId="5" numFmtId="0" xfId="0" applyAlignment="1" applyBorder="1" applyFont="1">
      <alignment horizontal="center" shrinkToFit="0" vertical="center" wrapText="0"/>
    </xf>
    <xf borderId="0" fillId="0" fontId="28" numFmtId="0" xfId="0" applyAlignment="1" applyFont="1">
      <alignment horizontal="center" vertical="center"/>
    </xf>
    <xf borderId="0" fillId="0" fontId="8" numFmtId="3" xfId="0" applyAlignment="1" applyFont="1" applyNumberFormat="1">
      <alignment vertical="center"/>
    </xf>
    <xf borderId="0" fillId="0" fontId="29" numFmtId="0" xfId="0" applyAlignment="1" applyFont="1">
      <alignment horizontal="center" vertical="center"/>
    </xf>
    <xf borderId="0" fillId="0" fontId="30" numFmtId="3" xfId="0" applyAlignment="1" applyFont="1" applyNumberFormat="1">
      <alignment horizontal="center" readingOrder="0" shrinkToFit="0" vertical="center" wrapText="1"/>
    </xf>
    <xf borderId="1" fillId="0" fontId="27" numFmtId="169" xfId="0" applyAlignment="1" applyBorder="1" applyFont="1" applyNumberFormat="1">
      <alignment horizontal="center" shrinkToFit="0" vertical="center" wrapText="0"/>
    </xf>
    <xf borderId="1" fillId="0" fontId="27" numFmtId="0" xfId="0" applyAlignment="1" applyBorder="1" applyFont="1">
      <alignment readingOrder="0" shrinkToFit="0" vertical="center" wrapText="0"/>
    </xf>
    <xf borderId="1" fillId="0" fontId="27" numFmtId="0" xfId="0" applyAlignment="1" applyBorder="1" applyFont="1">
      <alignment horizontal="center" readingOrder="0" shrinkToFit="0" vertical="center" wrapText="1"/>
    </xf>
    <xf borderId="1" fillId="0" fontId="27" numFmtId="3" xfId="0" applyAlignment="1" applyBorder="1" applyFont="1" applyNumberFormat="1">
      <alignment readingOrder="0" shrinkToFit="0" vertical="center" wrapText="0"/>
    </xf>
    <xf borderId="1" fillId="0" fontId="27" numFmtId="3" xfId="0" applyAlignment="1" applyBorder="1" applyFont="1" applyNumberFormat="1">
      <alignment shrinkToFit="0" vertical="center" wrapText="0"/>
    </xf>
    <xf borderId="1" fillId="0" fontId="27" numFmtId="167" xfId="0" applyAlignment="1" applyBorder="1" applyFont="1" applyNumberFormat="1">
      <alignment horizontal="center" readingOrder="0" shrinkToFit="0" vertical="center" wrapText="0"/>
    </xf>
    <xf borderId="1" fillId="0" fontId="27" numFmtId="167" xfId="0" applyAlignment="1" applyBorder="1" applyFont="1" applyNumberFormat="1">
      <alignment horizontal="center" shrinkToFit="0" vertical="center" wrapText="0"/>
    </xf>
    <xf borderId="1" fillId="0" fontId="27" numFmtId="167" xfId="0" applyAlignment="1" applyBorder="1" applyFont="1" applyNumberFormat="1">
      <alignment shrinkToFit="0" vertical="center" wrapText="0"/>
    </xf>
    <xf borderId="1" fillId="0" fontId="27" numFmtId="0" xfId="0" applyAlignment="1" applyBorder="1" applyFont="1">
      <alignment readingOrder="0" shrinkToFit="0" vertical="center" wrapText="1"/>
    </xf>
    <xf borderId="1" fillId="5" fontId="27" numFmtId="0" xfId="0" applyAlignment="1" applyBorder="1" applyFont="1">
      <alignment horizontal="left" shrinkToFit="0" vertical="center" wrapText="1"/>
    </xf>
    <xf borderId="1" fillId="5" fontId="27" numFmtId="0" xfId="0" applyAlignment="1" applyBorder="1" applyFont="1">
      <alignment horizontal="left" readingOrder="0" shrinkToFit="0" vertical="center" wrapText="1"/>
    </xf>
    <xf borderId="1" fillId="0" fontId="27" numFmtId="0" xfId="0" applyAlignment="1" applyBorder="1" applyFont="1">
      <alignment shrinkToFit="0" vertical="center" wrapText="0"/>
    </xf>
    <xf borderId="1" fillId="0" fontId="27" numFmtId="0" xfId="0" applyAlignment="1" applyBorder="1" applyFont="1">
      <alignment readingOrder="0" shrinkToFit="0" vertical="center" wrapText="0"/>
    </xf>
    <xf borderId="1" fillId="0" fontId="27" numFmtId="9" xfId="0" applyAlignment="1" applyBorder="1" applyFont="1" applyNumberFormat="1">
      <alignment readingOrder="0" shrinkToFit="0" vertical="center" wrapText="0"/>
    </xf>
    <xf borderId="1" fillId="0" fontId="27" numFmtId="49" xfId="0" applyAlignment="1" applyBorder="1" applyFont="1" applyNumberFormat="1">
      <alignment readingOrder="0" shrinkToFit="0" vertical="center" wrapText="0"/>
    </xf>
    <xf borderId="1" fillId="0" fontId="27" numFmtId="0" xfId="0" applyAlignment="1" applyBorder="1" applyFont="1">
      <alignment horizontal="center" shrinkToFit="0" vertical="center" wrapText="0"/>
    </xf>
    <xf borderId="1" fillId="0" fontId="27" numFmtId="49" xfId="0" applyAlignment="1" applyBorder="1" applyFont="1" applyNumberFormat="1">
      <alignment readingOrder="0" shrinkToFit="0" vertical="center" wrapText="0"/>
    </xf>
    <xf borderId="1" fillId="0" fontId="27" numFmtId="49" xfId="0" applyAlignment="1" applyBorder="1" applyFont="1" applyNumberFormat="1">
      <alignment shrinkToFit="0" vertical="center" wrapText="0"/>
    </xf>
    <xf borderId="1" fillId="0" fontId="27" numFmtId="0" xfId="0" applyAlignment="1" applyBorder="1" applyFont="1">
      <alignment shrinkToFit="0" vertical="center" wrapText="0"/>
    </xf>
    <xf borderId="1" fillId="0" fontId="27" numFmtId="169" xfId="0" applyAlignment="1" applyBorder="1" applyFont="1" applyNumberFormat="1">
      <alignment horizontal="center" readingOrder="0" shrinkToFit="0" vertical="center" wrapText="0"/>
    </xf>
    <xf borderId="0" fillId="0" fontId="33" numFmtId="0" xfId="0" applyFont="1"/>
    <xf borderId="1" fillId="0" fontId="30" numFmtId="4" xfId="0" applyAlignment="1" applyBorder="1" applyFont="1" applyNumberFormat="1">
      <alignment horizontal="left" vertical="center"/>
    </xf>
    <xf borderId="1" fillId="0" fontId="8" numFmtId="4" xfId="0" applyAlignment="1" applyBorder="1" applyFont="1" applyNumberFormat="1">
      <alignment horizontal="left" vertical="center"/>
    </xf>
    <xf borderId="1" fillId="0" fontId="30" numFmtId="4" xfId="0" applyAlignment="1" applyBorder="1" applyFont="1" applyNumberFormat="1">
      <alignment horizontal="left" readingOrder="0" vertical="center"/>
    </xf>
    <xf borderId="5" fillId="0" fontId="33" numFmtId="4" xfId="0" applyAlignment="1" applyBorder="1" applyFont="1" applyNumberFormat="1">
      <alignment horizontal="center" readingOrder="0" vertical="center"/>
    </xf>
    <xf borderId="5" fillId="0" fontId="34" numFmtId="4" xfId="0" applyAlignment="1" applyBorder="1" applyFont="1" applyNumberFormat="1">
      <alignment horizontal="center" readingOrder="0" shrinkToFit="0" vertical="center" wrapText="1"/>
    </xf>
    <xf borderId="0" fillId="0" fontId="35" numFmtId="0" xfId="0" applyAlignment="1" applyFont="1">
      <alignment readingOrder="0"/>
    </xf>
    <xf borderId="2" fillId="13" fontId="30" numFmtId="4" xfId="0" applyAlignment="1" applyBorder="1" applyFont="1" applyNumberFormat="1">
      <alignment horizontal="left" readingOrder="0" vertical="center"/>
    </xf>
    <xf borderId="2" fillId="13" fontId="36" numFmtId="4" xfId="0" applyAlignment="1" applyBorder="1" applyFont="1" applyNumberFormat="1">
      <alignment horizontal="left" readingOrder="0" vertical="center"/>
    </xf>
    <xf borderId="2" fillId="13" fontId="32" numFmtId="4" xfId="0" applyAlignment="1" applyBorder="1" applyFont="1" applyNumberFormat="1">
      <alignment horizontal="center" readingOrder="0" shrinkToFit="0" vertical="center" wrapText="1"/>
    </xf>
    <xf borderId="0" fillId="5" fontId="30" numFmtId="4" xfId="0" applyAlignment="1" applyFont="1" applyNumberFormat="1">
      <alignment horizontal="left" readingOrder="0" vertical="center"/>
    </xf>
    <xf borderId="0" fillId="0" fontId="33" numFmtId="4" xfId="0" applyAlignment="1" applyFont="1" applyNumberFormat="1">
      <alignment horizontal="left" readingOrder="0" shrinkToFit="0" vertical="center" wrapText="1"/>
    </xf>
    <xf borderId="0" fillId="0" fontId="37" numFmtId="4" xfId="0" applyAlignment="1" applyFont="1" applyNumberFormat="1">
      <alignment horizontal="left"/>
    </xf>
    <xf borderId="0" fillId="0" fontId="33" numFmtId="4" xfId="0" applyAlignment="1" applyFont="1" applyNumberFormat="1">
      <alignment horizontal="center" readingOrder="0" shrinkToFit="0" vertical="center" wrapText="1"/>
    </xf>
    <xf borderId="1" fillId="13" fontId="30" numFmtId="4" xfId="0" applyAlignment="1" applyBorder="1" applyFont="1" applyNumberFormat="1">
      <alignment readingOrder="0"/>
    </xf>
    <xf borderId="1" fillId="0" fontId="33" numFmtId="4" xfId="0" applyAlignment="1" applyBorder="1" applyFont="1" applyNumberFormat="1">
      <alignment horizontal="left" readingOrder="0" shrinkToFit="0" vertical="center" wrapText="1"/>
    </xf>
    <xf borderId="1" fillId="0" fontId="37" numFmtId="4" xfId="0" applyAlignment="1" applyBorder="1" applyFont="1" applyNumberFormat="1">
      <alignment horizontal="left"/>
    </xf>
    <xf borderId="1" fillId="0" fontId="33" numFmtId="4" xfId="0" applyAlignment="1" applyBorder="1" applyFont="1" applyNumberFormat="1">
      <alignment horizontal="center" readingOrder="0" shrinkToFit="0" vertical="center" wrapText="1"/>
    </xf>
    <xf borderId="1" fillId="15" fontId="30" numFmtId="4" xfId="0" applyAlignment="1" applyBorder="1" applyFill="1" applyFont="1" applyNumberFormat="1">
      <alignment horizontal="left" readingOrder="0" vertical="center"/>
    </xf>
    <xf borderId="1" fillId="0" fontId="33" numFmtId="4" xfId="0" applyAlignment="1" applyBorder="1" applyFont="1" applyNumberFormat="1">
      <alignment horizontal="right" readingOrder="0" shrinkToFit="0" vertical="center" wrapText="1"/>
    </xf>
    <xf borderId="1" fillId="5" fontId="38" numFmtId="4" xfId="0" applyAlignment="1" applyBorder="1" applyFont="1" applyNumberFormat="1">
      <alignment horizontal="left" readingOrder="0" shrinkToFit="0" vertical="center" wrapText="1"/>
    </xf>
    <xf borderId="1" fillId="5" fontId="37" numFmtId="4" xfId="0" applyAlignment="1" applyBorder="1" applyFont="1" applyNumberFormat="1">
      <alignment horizontal="left"/>
    </xf>
    <xf borderId="1" fillId="5" fontId="38" numFmtId="4" xfId="0" applyAlignment="1" applyBorder="1" applyFont="1" applyNumberFormat="1">
      <alignment horizontal="right" readingOrder="0" shrinkToFit="0" vertical="center" wrapText="1"/>
    </xf>
    <xf borderId="0" fillId="0" fontId="33" numFmtId="0" xfId="0" applyAlignment="1" applyFont="1">
      <alignment readingOrder="0"/>
    </xf>
    <xf borderId="1" fillId="5" fontId="37" numFmtId="4" xfId="0" applyAlignment="1" applyBorder="1" applyFont="1" applyNumberFormat="1">
      <alignment horizontal="left" shrinkToFit="0" wrapText="1"/>
    </xf>
    <xf borderId="1" fillId="0" fontId="33" numFmtId="170" xfId="0" applyAlignment="1" applyBorder="1" applyFont="1" applyNumberFormat="1">
      <alignment horizontal="right" readingOrder="0" shrinkToFit="0" vertical="center" wrapText="1"/>
    </xf>
    <xf borderId="1" fillId="0" fontId="39" numFmtId="4" xfId="0" applyAlignment="1" applyBorder="1" applyFont="1" applyNumberFormat="1">
      <alignment horizontal="right" shrinkToFit="0" vertical="center" wrapText="1"/>
    </xf>
    <xf borderId="1" fillId="0" fontId="40" numFmtId="4" xfId="0" applyAlignment="1" applyBorder="1" applyFont="1" applyNumberFormat="1">
      <alignment horizontal="right" shrinkToFit="0" vertical="center" wrapText="1"/>
    </xf>
    <xf borderId="0" fillId="0" fontId="33" numFmtId="0" xfId="0" applyAlignment="1" applyFont="1">
      <alignment horizontal="left"/>
    </xf>
    <xf borderId="0" fillId="0" fontId="37" numFmtId="0" xfId="0" applyAlignment="1" applyFont="1">
      <alignment horizontal="left" vertical="bottom"/>
    </xf>
    <xf borderId="0" fillId="0" fontId="33" numFmtId="0" xfId="0" applyAlignment="1" applyFont="1">
      <alignment vertical="bottom"/>
    </xf>
    <xf borderId="1" fillId="0" fontId="33" numFmtId="4" xfId="0" applyBorder="1" applyFont="1" applyNumberFormat="1"/>
    <xf borderId="1" fillId="0" fontId="37" numFmtId="4" xfId="0" applyAlignment="1" applyBorder="1" applyFont="1" applyNumberFormat="1">
      <alignment vertical="bottom"/>
    </xf>
    <xf borderId="1" fillId="0" fontId="33" numFmtId="0" xfId="0" applyAlignment="1" applyBorder="1" applyFont="1">
      <alignment horizontal="right" vertical="center"/>
    </xf>
    <xf borderId="1" fillId="0" fontId="33" numFmtId="3" xfId="0" applyAlignment="1" applyBorder="1" applyFont="1" applyNumberFormat="1">
      <alignment horizontal="left" readingOrder="0" shrinkToFit="0" vertical="center" wrapText="1"/>
    </xf>
    <xf borderId="1" fillId="0" fontId="37" numFmtId="3" xfId="0" applyAlignment="1" applyBorder="1" applyFont="1" applyNumberFormat="1">
      <alignment horizontal="left"/>
    </xf>
    <xf borderId="1" fillId="0" fontId="33" numFmtId="3" xfId="0" applyAlignment="1" applyBorder="1" applyFont="1" applyNumberFormat="1">
      <alignment horizontal="right" readingOrder="0" shrinkToFit="0" vertical="center" wrapText="1"/>
    </xf>
    <xf borderId="1" fillId="5" fontId="38" numFmtId="3" xfId="0" applyAlignment="1" applyBorder="1" applyFont="1" applyNumberFormat="1">
      <alignment horizontal="left" readingOrder="0" shrinkToFit="0" vertical="center" wrapText="1"/>
    </xf>
    <xf borderId="1" fillId="5" fontId="37" numFmtId="3" xfId="0" applyAlignment="1" applyBorder="1" applyFont="1" applyNumberFormat="1">
      <alignment horizontal="left"/>
    </xf>
    <xf borderId="1" fillId="5" fontId="38" numFmtId="3" xfId="0" applyAlignment="1" applyBorder="1" applyFont="1" applyNumberFormat="1">
      <alignment horizontal="right" readingOrder="0" shrinkToFit="0" vertical="center" wrapText="1"/>
    </xf>
    <xf borderId="1" fillId="0" fontId="39" numFmtId="3" xfId="0" applyAlignment="1" applyBorder="1" applyFont="1" applyNumberFormat="1">
      <alignment horizontal="right" shrinkToFit="0" vertical="center" wrapText="1"/>
    </xf>
    <xf borderId="0" fillId="0" fontId="37" numFmtId="0" xfId="0" applyAlignment="1" applyFont="1">
      <alignment horizontal="left" vertical="bottom"/>
    </xf>
    <xf borderId="1" fillId="0" fontId="40" numFmtId="4" xfId="0" applyAlignment="1" applyBorder="1" applyFont="1" applyNumberFormat="1">
      <alignment horizontal="right" readingOrder="0" shrinkToFit="0" vertical="center" wrapText="1"/>
    </xf>
    <xf borderId="0" fillId="0" fontId="33" numFmtId="0" xfId="0" applyAlignment="1" applyFont="1">
      <alignment horizontal="left" readingOrder="0" vertical="center"/>
    </xf>
    <xf borderId="0" fillId="0" fontId="37" numFmtId="0" xfId="0" applyAlignment="1" applyFont="1">
      <alignment horizontal="left"/>
    </xf>
    <xf borderId="0" fillId="0" fontId="33" numFmtId="0" xfId="0" applyAlignment="1" applyFont="1">
      <alignment horizontal="right" readingOrder="0" vertical="center"/>
    </xf>
    <xf borderId="1" fillId="13" fontId="30" numFmtId="4" xfId="0" applyBorder="1" applyFont="1" applyNumberFormat="1"/>
    <xf borderId="1" fillId="5" fontId="37" numFmtId="3" xfId="0" applyAlignment="1" applyBorder="1" applyFont="1" applyNumberFormat="1">
      <alignment horizontal="left" shrinkToFit="0" wrapText="1"/>
    </xf>
    <xf borderId="1" fillId="0" fontId="37" numFmtId="3" xfId="0" applyAlignment="1" applyBorder="1" applyFont="1" applyNumberFormat="1">
      <alignment horizontal="left" shrinkToFit="0" wrapText="1"/>
    </xf>
    <xf borderId="1" fillId="5" fontId="37" numFmtId="4" xfId="0" applyAlignment="1" applyBorder="1" applyFont="1" applyNumberFormat="1">
      <alignment horizontal="left" readingOrder="0" shrinkToFit="0" wrapText="1"/>
    </xf>
    <xf borderId="0" fillId="0" fontId="29" numFmtId="3" xfId="0" applyAlignment="1" applyFont="1" applyNumberFormat="1">
      <alignment horizontal="center" shrinkToFit="0" vertical="center" wrapText="1"/>
    </xf>
    <xf borderId="0" fillId="0" fontId="29" numFmtId="4" xfId="0" applyAlignment="1" applyFont="1" applyNumberFormat="1">
      <alignment horizontal="center" shrinkToFit="0" vertical="center" wrapText="1"/>
    </xf>
    <xf borderId="0" fillId="0" fontId="29" numFmtId="171" xfId="0" applyAlignment="1" applyFont="1" applyNumberFormat="1">
      <alignment horizontal="center" shrinkToFit="0" vertical="center" wrapText="1"/>
    </xf>
    <xf borderId="0" fillId="0" fontId="41" numFmtId="0" xfId="0" applyAlignment="1" applyFont="1">
      <alignment horizontal="center" shrinkToFit="0" vertical="center" wrapText="1"/>
    </xf>
    <xf borderId="0" fillId="0" fontId="42" numFmtId="0" xfId="0" applyAlignment="1" applyFont="1">
      <alignment horizontal="left" readingOrder="0" shrinkToFit="0" vertical="center" wrapText="0"/>
    </xf>
    <xf borderId="0" fillId="0" fontId="33" numFmtId="0" xfId="0" applyAlignment="1" applyFont="1">
      <alignment horizontal="center" readingOrder="0" shrinkToFit="0" vertical="center" wrapText="1"/>
    </xf>
    <xf borderId="0" fillId="0" fontId="37" numFmtId="0" xfId="0" applyAlignment="1" applyFont="1">
      <alignment horizontal="center" readingOrder="0" shrinkToFit="0" vertical="center" wrapText="1"/>
    </xf>
    <xf borderId="0" fillId="0" fontId="30" numFmtId="4" xfId="0" applyAlignment="1" applyFont="1" applyNumberFormat="1">
      <alignment horizontal="center" readingOrder="0" shrinkToFit="0" vertical="center" wrapText="1"/>
    </xf>
    <xf borderId="0" fillId="0" fontId="30" numFmtId="171" xfId="0" applyAlignment="1" applyFont="1" applyNumberFormat="1">
      <alignment horizontal="center" readingOrder="0" shrinkToFit="0" vertical="center" wrapText="1"/>
    </xf>
    <xf borderId="1" fillId="0" fontId="5" numFmtId="167" xfId="0" applyAlignment="1" applyBorder="1" applyFont="1" applyNumberFormat="1">
      <alignment horizontal="center" shrinkToFit="0" vertical="center" wrapText="1"/>
    </xf>
    <xf borderId="1" fillId="5" fontId="5" numFmtId="14" xfId="0" applyAlignment="1" applyBorder="1" applyFont="1" applyNumberFormat="1">
      <alignment horizontal="center" readingOrder="0" shrinkToFit="0" vertical="center" wrapText="0"/>
    </xf>
    <xf borderId="1" fillId="5" fontId="5" numFmtId="0" xfId="0" applyAlignment="1" applyBorder="1" applyFont="1">
      <alignment readingOrder="0" shrinkToFit="0" vertical="center" wrapText="1"/>
    </xf>
    <xf borderId="1" fillId="5" fontId="5" numFmtId="0" xfId="0" applyAlignment="1" applyBorder="1" applyFont="1">
      <alignment readingOrder="0" shrinkToFit="0" vertical="center" wrapText="0"/>
    </xf>
    <xf borderId="1" fillId="0" fontId="5" numFmtId="0" xfId="0" applyAlignment="1" applyBorder="1" applyFont="1">
      <alignment horizontal="center" shrinkToFit="0" vertical="center" wrapText="1"/>
    </xf>
    <xf borderId="1" fillId="0" fontId="5" numFmtId="0" xfId="0" applyAlignment="1" applyBorder="1" applyFont="1">
      <alignment shrinkToFit="0" vertical="center" wrapText="0"/>
    </xf>
    <xf borderId="1" fillId="5" fontId="5" numFmtId="0" xfId="0" applyAlignment="1" applyBorder="1" applyFont="1">
      <alignment horizontal="left" shrinkToFit="0" vertical="center" wrapText="1"/>
    </xf>
    <xf borderId="1" fillId="5" fontId="5" numFmtId="0" xfId="0" applyAlignment="1" applyBorder="1" applyFont="1">
      <alignment horizontal="center" shrinkToFit="0" vertical="center" wrapText="0"/>
    </xf>
    <xf borderId="1" fillId="5" fontId="5" numFmtId="14" xfId="0" applyAlignment="1" applyBorder="1" applyFont="1" applyNumberFormat="1">
      <alignment horizontal="center" shrinkToFit="0" vertical="center" wrapText="0"/>
    </xf>
    <xf borderId="1" fillId="0" fontId="5" numFmtId="0" xfId="0" applyAlignment="1" applyBorder="1" applyFont="1">
      <alignment readingOrder="0" shrinkToFit="0" vertical="center" wrapText="1"/>
    </xf>
    <xf borderId="1" fillId="5" fontId="5" numFmtId="3" xfId="0" applyAlignment="1" applyBorder="1" applyFont="1" applyNumberFormat="1">
      <alignment readingOrder="0" shrinkToFit="0" vertical="center" wrapText="0"/>
    </xf>
    <xf borderId="1" fillId="5" fontId="24" numFmtId="0" xfId="0" applyAlignment="1" applyBorder="1" applyFont="1">
      <alignment horizontal="center" readingOrder="0" shrinkToFit="0" vertical="center" wrapText="1"/>
    </xf>
    <xf borderId="1" fillId="0" fontId="5" numFmtId="3" xfId="0" applyAlignment="1" applyBorder="1" applyFont="1" applyNumberFormat="1">
      <alignment shrinkToFit="0" vertical="center" wrapText="1"/>
    </xf>
    <xf borderId="1" fillId="5" fontId="5" numFmtId="9" xfId="0" applyAlignment="1" applyBorder="1" applyFont="1" applyNumberFormat="1">
      <alignment horizontal="center" shrinkToFit="0" vertical="center" wrapText="1"/>
    </xf>
    <xf borderId="1" fillId="5" fontId="5" numFmtId="0" xfId="0" applyAlignment="1" applyBorder="1" applyFont="1">
      <alignment horizontal="center" shrinkToFit="0" vertical="center" wrapText="0"/>
    </xf>
    <xf borderId="1" fillId="5" fontId="24" numFmtId="0" xfId="0" applyAlignment="1" applyBorder="1" applyFont="1">
      <alignment horizontal="center" readingOrder="0" shrinkToFit="0" vertical="center" wrapText="0"/>
    </xf>
    <xf borderId="1" fillId="5" fontId="5" numFmtId="0" xfId="0" applyAlignment="1" applyBorder="1" applyFont="1">
      <alignment horizontal="center" readingOrder="0" shrinkToFit="0" vertical="center" wrapText="0"/>
    </xf>
    <xf borderId="1" fillId="5" fontId="5" numFmtId="3" xfId="0" applyAlignment="1" applyBorder="1" applyFont="1" applyNumberFormat="1">
      <alignment shrinkToFit="0" vertical="center" wrapText="0"/>
    </xf>
    <xf borderId="1" fillId="5" fontId="5" numFmtId="166" xfId="0" applyAlignment="1" applyBorder="1" applyFont="1" applyNumberFormat="1">
      <alignment shrinkToFit="0" vertical="center" wrapText="1"/>
    </xf>
    <xf borderId="1" fillId="5" fontId="5" numFmtId="3" xfId="0" applyAlignment="1" applyBorder="1" applyFont="1" applyNumberFormat="1">
      <alignment shrinkToFit="0" vertical="center" wrapText="1"/>
    </xf>
    <xf borderId="1" fillId="5" fontId="5" numFmtId="0" xfId="0" applyAlignment="1" applyBorder="1" applyFont="1">
      <alignment horizontal="center" shrinkToFit="0" vertical="center" wrapText="1"/>
    </xf>
    <xf borderId="1" fillId="5" fontId="5" numFmtId="49" xfId="0" applyAlignment="1" applyBorder="1" applyFont="1" applyNumberFormat="1">
      <alignment shrinkToFit="0" vertical="center" wrapText="0"/>
    </xf>
    <xf borderId="1" fillId="5" fontId="5" numFmtId="0" xfId="0" applyAlignment="1" applyBorder="1" applyFont="1">
      <alignment horizontal="left" shrinkToFit="0" vertical="center" wrapText="0"/>
    </xf>
    <xf borderId="1" fillId="5" fontId="24" numFmtId="0" xfId="0" applyAlignment="1" applyBorder="1" applyFont="1">
      <alignment horizontal="center" shrinkToFit="0" vertical="center" wrapText="1"/>
    </xf>
    <xf borderId="1" fillId="0" fontId="5" numFmtId="3" xfId="0" applyAlignment="1" applyBorder="1" applyFont="1" applyNumberFormat="1">
      <alignment readingOrder="0" shrinkToFit="0" vertical="center" wrapText="1"/>
    </xf>
    <xf borderId="1" fillId="5" fontId="5" numFmtId="0" xfId="0" applyAlignment="1" applyBorder="1" applyFont="1">
      <alignment horizontal="center" readingOrder="0" shrinkToFit="0" vertical="center" wrapText="1"/>
    </xf>
    <xf borderId="0" fillId="0" fontId="5" numFmtId="0" xfId="0" applyAlignment="1" applyFont="1">
      <alignment horizontal="center" shrinkToFit="0" vertical="center" wrapText="0"/>
    </xf>
    <xf borderId="1" fillId="5" fontId="24" numFmtId="3" xfId="0" applyAlignment="1" applyBorder="1" applyFont="1" applyNumberFormat="1">
      <alignment horizontal="center" readingOrder="0" shrinkToFit="0" vertical="center" wrapText="0"/>
    </xf>
    <xf borderId="1" fillId="0" fontId="5" numFmtId="14" xfId="0" applyAlignment="1" applyBorder="1" applyFont="1" applyNumberFormat="1">
      <alignment horizontal="center" readingOrder="0" shrinkToFit="0" vertical="center" wrapText="1"/>
    </xf>
    <xf borderId="1" fillId="0" fontId="5" numFmtId="0" xfId="0" applyAlignment="1" applyBorder="1" applyFont="1">
      <alignment horizontal="center" shrinkToFit="0" vertical="center" wrapText="1"/>
    </xf>
    <xf borderId="1" fillId="0" fontId="24" numFmtId="0" xfId="0" applyAlignment="1" applyBorder="1" applyFont="1">
      <alignment horizontal="center" readingOrder="0" shrinkToFit="0" vertical="center" wrapText="1"/>
    </xf>
    <xf borderId="1" fillId="0" fontId="5" numFmtId="0" xfId="0" applyAlignment="1" applyBorder="1" applyFont="1">
      <alignment horizontal="left" shrinkToFit="0" vertical="center" wrapText="0"/>
    </xf>
    <xf borderId="1" fillId="16" fontId="5" numFmtId="0" xfId="0" applyAlignment="1" applyBorder="1" applyFill="1" applyFont="1">
      <alignment horizontal="center" readingOrder="0" shrinkToFit="0" vertical="center" wrapText="1"/>
    </xf>
    <xf borderId="1" fillId="0" fontId="5" numFmtId="0" xfId="0" applyAlignment="1" applyBorder="1" applyFont="1">
      <alignment horizontal="left" shrinkToFit="0" vertical="center" wrapText="1"/>
    </xf>
    <xf borderId="1" fillId="0" fontId="5" numFmtId="9" xfId="0" applyAlignment="1" applyBorder="1" applyFont="1" applyNumberFormat="1">
      <alignment horizontal="center" readingOrder="0" shrinkToFit="0" vertical="center" wrapText="1"/>
    </xf>
    <xf borderId="1" fillId="0" fontId="5" numFmtId="166" xfId="0" applyAlignment="1" applyBorder="1" applyFont="1" applyNumberFormat="1">
      <alignment shrinkToFit="0" vertical="center" wrapText="0"/>
    </xf>
    <xf borderId="1" fillId="0" fontId="5" numFmtId="49" xfId="0" applyAlignment="1" applyBorder="1" applyFont="1" applyNumberFormat="1">
      <alignment shrinkToFit="0" vertical="center" wrapText="1"/>
    </xf>
    <xf borderId="1" fillId="0" fontId="5" numFmtId="14" xfId="0" applyAlignment="1" applyBorder="1" applyFont="1" applyNumberFormat="1">
      <alignment horizontal="center" readingOrder="0" shrinkToFit="0" vertical="center" wrapText="0"/>
    </xf>
    <xf borderId="1" fillId="0" fontId="5" numFmtId="14" xfId="0" applyAlignment="1" applyBorder="1" applyFont="1" applyNumberFormat="1">
      <alignment horizontal="center" shrinkToFit="0" vertical="center" wrapText="1"/>
    </xf>
    <xf borderId="0" fillId="0" fontId="5" numFmtId="167" xfId="0" applyAlignment="1" applyFont="1" applyNumberFormat="1">
      <alignment horizontal="center" readingOrder="0" shrinkToFit="0" vertical="center" wrapText="0"/>
    </xf>
    <xf borderId="1" fillId="16" fontId="24" numFmtId="0" xfId="0" applyAlignment="1" applyBorder="1" applyFont="1">
      <alignment horizontal="center" readingOrder="0" shrinkToFit="0" vertical="center" wrapText="0"/>
    </xf>
    <xf borderId="1" fillId="0" fontId="24" numFmtId="0" xfId="0" applyAlignment="1" applyBorder="1" applyFont="1">
      <alignment horizontal="center" readingOrder="0" shrinkToFit="0" vertical="center" wrapText="0"/>
    </xf>
    <xf borderId="1" fillId="16" fontId="5" numFmtId="3" xfId="0" applyAlignment="1" applyBorder="1" applyFont="1" applyNumberFormat="1">
      <alignment readingOrder="0" shrinkToFit="0" vertical="center" wrapText="0"/>
    </xf>
    <xf borderId="1" fillId="0" fontId="5" numFmtId="0" xfId="0" applyAlignment="1" applyBorder="1" applyFont="1">
      <alignment horizontal="right" readingOrder="0" shrinkToFit="0" vertical="center" wrapText="1"/>
    </xf>
    <xf borderId="1" fillId="16" fontId="5" numFmtId="0" xfId="0" applyAlignment="1" applyBorder="1" applyFont="1">
      <alignment readingOrder="0" shrinkToFit="0" vertical="center" wrapText="0"/>
    </xf>
    <xf borderId="1" fillId="0" fontId="5" numFmtId="14" xfId="0" applyAlignment="1" applyBorder="1" applyFont="1" applyNumberFormat="1">
      <alignment horizontal="center" shrinkToFit="0" vertical="center" wrapText="0"/>
    </xf>
    <xf borderId="1" fillId="0" fontId="24" numFmtId="0" xfId="0" applyAlignment="1" applyBorder="1" applyFont="1">
      <alignment horizontal="center" shrinkToFit="0" vertical="center" wrapText="0"/>
    </xf>
    <xf borderId="1" fillId="0" fontId="24" numFmtId="0" xfId="0" applyAlignment="1" applyBorder="1" applyFont="1">
      <alignment horizontal="center" shrinkToFit="0" vertical="center" wrapText="0"/>
    </xf>
    <xf borderId="0" fillId="0" fontId="29" numFmtId="0" xfId="0" applyAlignment="1" applyFont="1">
      <alignment shrinkToFit="0" vertical="center" wrapText="1"/>
    </xf>
    <xf borderId="0" fillId="0" fontId="29" numFmtId="3" xfId="0" applyAlignment="1" applyFont="1" applyNumberFormat="1">
      <alignment shrinkToFit="0" vertical="center" wrapText="1"/>
    </xf>
    <xf borderId="0" fillId="0" fontId="29" numFmtId="4" xfId="0" applyAlignment="1" applyFont="1" applyNumberFormat="1">
      <alignment shrinkToFit="0" vertical="center" wrapText="1"/>
    </xf>
    <xf borderId="8" fillId="17" fontId="30" numFmtId="0" xfId="0" applyAlignment="1" applyBorder="1" applyFill="1" applyFont="1">
      <alignment horizontal="center" shrinkToFit="0" vertical="center" wrapText="1"/>
    </xf>
    <xf borderId="8" fillId="17" fontId="30" numFmtId="0" xfId="0" applyAlignment="1" applyBorder="1" applyFont="1">
      <alignment horizontal="center" shrinkToFit="0" vertical="center" wrapText="1"/>
    </xf>
    <xf borderId="8" fillId="12" fontId="30" numFmtId="0" xfId="0" applyAlignment="1" applyBorder="1" applyFont="1">
      <alignment horizontal="center" shrinkToFit="0" vertical="center" wrapText="1"/>
    </xf>
    <xf borderId="8" fillId="17" fontId="30" numFmtId="3" xfId="0" applyAlignment="1" applyBorder="1" applyFont="1" applyNumberFormat="1">
      <alignment horizontal="center" shrinkToFit="0" vertical="center" wrapText="1"/>
    </xf>
    <xf borderId="8" fillId="17" fontId="40" numFmtId="0" xfId="0" applyAlignment="1" applyBorder="1" applyFont="1">
      <alignment horizontal="center" shrinkToFit="0" vertical="center" wrapText="1"/>
    </xf>
    <xf borderId="8" fillId="17" fontId="40" numFmtId="0" xfId="0" applyAlignment="1" applyBorder="1" applyFont="1">
      <alignment shrinkToFit="0" vertical="center" wrapText="1"/>
    </xf>
    <xf borderId="8" fillId="17" fontId="30" numFmtId="3" xfId="0" applyAlignment="1" applyBorder="1" applyFont="1" applyNumberFormat="1">
      <alignment shrinkToFit="0" vertical="center" wrapText="1"/>
    </xf>
    <xf borderId="8" fillId="17" fontId="30" numFmtId="4" xfId="0" applyAlignment="1" applyBorder="1" applyFont="1" applyNumberFormat="1">
      <alignment shrinkToFit="0" vertical="center" wrapText="1"/>
    </xf>
    <xf borderId="8" fillId="17" fontId="30" numFmtId="0" xfId="0" applyAlignment="1" applyBorder="1" applyFont="1">
      <alignment shrinkToFit="0" vertical="center" wrapText="1"/>
    </xf>
    <xf borderId="8" fillId="17" fontId="30" numFmtId="171" xfId="0" applyAlignment="1" applyBorder="1" applyFont="1" applyNumberFormat="1">
      <alignment horizontal="center" shrinkToFit="0" vertical="center" wrapText="1"/>
    </xf>
    <xf borderId="8" fillId="17" fontId="30" numFmtId="0" xfId="0" applyAlignment="1" applyBorder="1" applyFont="1">
      <alignment horizontal="center" readingOrder="0" shrinkToFit="0" vertical="center" wrapText="1"/>
    </xf>
    <xf borderId="8" fillId="5" fontId="5" numFmtId="0" xfId="0" applyAlignment="1" applyBorder="1" applyFont="1">
      <alignment horizontal="center" shrinkToFit="0" vertical="center" wrapText="1"/>
    </xf>
    <xf borderId="8" fillId="5" fontId="5" numFmtId="166" xfId="0" applyAlignment="1" applyBorder="1" applyFont="1" applyNumberFormat="1">
      <alignment horizontal="center" shrinkToFit="0" vertical="center" wrapText="1"/>
    </xf>
    <xf borderId="8" fillId="5" fontId="5" numFmtId="0" xfId="0" applyAlignment="1" applyBorder="1" applyFont="1">
      <alignment horizontal="center" readingOrder="0" shrinkToFit="0" vertical="center" wrapText="1"/>
    </xf>
    <xf borderId="8" fillId="5" fontId="5" numFmtId="0" xfId="0" applyAlignment="1" applyBorder="1" applyFont="1">
      <alignment horizontal="center" readingOrder="0" vertical="center"/>
    </xf>
    <xf borderId="8" fillId="5" fontId="5" numFmtId="0" xfId="0" applyAlignment="1" applyBorder="1" applyFont="1">
      <alignment vertical="center"/>
    </xf>
    <xf borderId="8" fillId="5" fontId="5" numFmtId="0" xfId="0" applyAlignment="1" applyBorder="1" applyFont="1">
      <alignment horizontal="center" vertical="center"/>
    </xf>
    <xf borderId="8" fillId="5" fontId="5" numFmtId="0" xfId="0" applyAlignment="1" applyBorder="1" applyFont="1">
      <alignment horizontal="left" shrinkToFit="0" vertical="center" wrapText="1"/>
    </xf>
    <xf borderId="8" fillId="5" fontId="5" numFmtId="0" xfId="0" applyAlignment="1" applyBorder="1" applyFont="1">
      <alignment horizontal="center" shrinkToFit="0" vertical="center" wrapText="1"/>
    </xf>
    <xf borderId="8" fillId="5" fontId="5" numFmtId="0" xfId="0" applyAlignment="1" applyBorder="1" applyFont="1">
      <alignment horizontal="center" vertical="center"/>
    </xf>
    <xf borderId="8" fillId="0" fontId="5" numFmtId="0" xfId="0" applyAlignment="1" applyBorder="1" applyFont="1">
      <alignment horizontal="center" shrinkToFit="0" vertical="center" wrapText="1"/>
    </xf>
    <xf borderId="8" fillId="5" fontId="5" numFmtId="3" xfId="0" applyAlignment="1" applyBorder="1" applyFont="1" applyNumberFormat="1">
      <alignment horizontal="center" readingOrder="0" shrinkToFit="0" vertical="center" wrapText="1"/>
    </xf>
    <xf borderId="8" fillId="5" fontId="5" numFmtId="3" xfId="0" applyAlignment="1" applyBorder="1" applyFont="1" applyNumberFormat="1">
      <alignment horizontal="center" readingOrder="0" vertical="center"/>
    </xf>
    <xf borderId="8" fillId="5" fontId="5" numFmtId="3" xfId="0" applyAlignment="1" applyBorder="1" applyFont="1" applyNumberFormat="1">
      <alignment horizontal="center" vertical="center"/>
    </xf>
    <xf borderId="8" fillId="5" fontId="5" numFmtId="9" xfId="0" applyAlignment="1" applyBorder="1" applyFont="1" applyNumberFormat="1">
      <alignment horizontal="center" shrinkToFit="0" vertical="center" wrapText="1"/>
    </xf>
    <xf borderId="8" fillId="5" fontId="5" numFmtId="4" xfId="0" applyAlignment="1" applyBorder="1" applyFont="1" applyNumberFormat="1">
      <alignment horizontal="center" shrinkToFit="0" vertical="center" wrapText="1"/>
    </xf>
    <xf borderId="8" fillId="5" fontId="5" numFmtId="3" xfId="0" applyAlignment="1" applyBorder="1" applyFont="1" applyNumberFormat="1">
      <alignment horizontal="center" shrinkToFit="0" vertical="center" wrapText="1"/>
    </xf>
    <xf borderId="8" fillId="5" fontId="5" numFmtId="171" xfId="0" applyAlignment="1" applyBorder="1" applyFont="1" applyNumberFormat="1">
      <alignment horizontal="center" shrinkToFit="0" vertical="center" wrapText="1"/>
    </xf>
    <xf borderId="8" fillId="5" fontId="5" numFmtId="167" xfId="0" applyAlignment="1" applyBorder="1" applyFont="1" applyNumberFormat="1">
      <alignment horizontal="center" shrinkToFit="0" vertical="center" wrapText="1"/>
    </xf>
    <xf borderId="8" fillId="0" fontId="5" numFmtId="0" xfId="0" applyAlignment="1" applyBorder="1" applyFont="1">
      <alignment horizontal="center" readingOrder="0" shrinkToFit="0" vertical="center" wrapText="1"/>
    </xf>
    <xf borderId="8" fillId="0" fontId="5" numFmtId="0" xfId="0" applyAlignment="1" applyBorder="1" applyFont="1">
      <alignment horizontal="center" readingOrder="0" vertical="center"/>
    </xf>
    <xf borderId="8" fillId="5" fontId="5" numFmtId="3" xfId="0" applyAlignment="1" applyBorder="1" applyFont="1" applyNumberFormat="1">
      <alignment vertical="center"/>
    </xf>
    <xf borderId="8" fillId="5" fontId="5" numFmtId="172" xfId="0" applyAlignment="1" applyBorder="1" applyFont="1" applyNumberFormat="1">
      <alignment horizontal="center" shrinkToFit="0" vertical="center" wrapText="1"/>
    </xf>
    <xf borderId="8" fillId="5" fontId="5" numFmtId="4" xfId="0" applyAlignment="1" applyBorder="1" applyFont="1" applyNumberFormat="1">
      <alignment horizontal="center" vertical="center"/>
    </xf>
    <xf borderId="8" fillId="5" fontId="5" numFmtId="171" xfId="0" applyAlignment="1" applyBorder="1" applyFont="1" applyNumberFormat="1">
      <alignment horizontal="center" vertical="center"/>
    </xf>
    <xf borderId="8" fillId="0" fontId="5" numFmtId="166" xfId="0" applyAlignment="1" applyBorder="1" applyFont="1" applyNumberFormat="1">
      <alignment horizontal="center" shrinkToFit="0" vertical="center" wrapText="1"/>
    </xf>
    <xf borderId="8" fillId="0" fontId="5" numFmtId="0" xfId="0" applyAlignment="1" applyBorder="1" applyFont="1">
      <alignment horizontal="center" shrinkToFit="0" vertical="center" wrapText="1"/>
    </xf>
    <xf borderId="8" fillId="0" fontId="5" numFmtId="41" xfId="0" applyAlignment="1" applyBorder="1" applyFont="1" applyNumberFormat="1">
      <alignment horizontal="center" shrinkToFit="0" vertical="center" wrapText="1"/>
    </xf>
    <xf borderId="8" fillId="0" fontId="5" numFmtId="0" xfId="0" applyAlignment="1" applyBorder="1" applyFont="1">
      <alignment horizontal="left" shrinkToFit="0" vertical="center" wrapText="1"/>
    </xf>
    <xf borderId="8" fillId="0" fontId="5" numFmtId="0" xfId="0" applyAlignment="1" applyBorder="1" applyFont="1">
      <alignment horizontal="center" vertical="center"/>
    </xf>
    <xf borderId="8" fillId="0" fontId="5" numFmtId="14" xfId="0" applyAlignment="1" applyBorder="1" applyFont="1" applyNumberFormat="1">
      <alignment horizontal="center" vertical="center"/>
    </xf>
    <xf borderId="8" fillId="0" fontId="5" numFmtId="3" xfId="0" applyAlignment="1" applyBorder="1" applyFont="1" applyNumberFormat="1">
      <alignment horizontal="center" readingOrder="0" vertical="center"/>
    </xf>
    <xf borderId="8" fillId="0" fontId="5" numFmtId="3" xfId="0" applyAlignment="1" applyBorder="1" applyFont="1" applyNumberFormat="1">
      <alignment horizontal="center" readingOrder="0" shrinkToFit="0" vertical="center" wrapText="1"/>
    </xf>
    <xf borderId="8" fillId="0" fontId="5" numFmtId="4" xfId="0" applyAlignment="1" applyBorder="1" applyFont="1" applyNumberFormat="1">
      <alignment horizontal="center" shrinkToFit="0" vertical="center" wrapText="1"/>
    </xf>
    <xf borderId="8" fillId="0" fontId="5" numFmtId="9" xfId="0" applyAlignment="1" applyBorder="1" applyFont="1" applyNumberFormat="1">
      <alignment vertical="center"/>
    </xf>
    <xf borderId="8" fillId="0" fontId="5" numFmtId="0" xfId="0" applyAlignment="1" applyBorder="1" applyFont="1">
      <alignment horizontal="center" vertical="center"/>
    </xf>
    <xf borderId="8" fillId="0" fontId="5" numFmtId="0" xfId="0" applyAlignment="1" applyBorder="1" applyFont="1">
      <alignment vertical="center"/>
    </xf>
    <xf borderId="8" fillId="0" fontId="5" numFmtId="4" xfId="0" applyAlignment="1" applyBorder="1" applyFont="1" applyNumberFormat="1">
      <alignment horizontal="center" vertical="center"/>
    </xf>
    <xf borderId="8" fillId="0" fontId="5" numFmtId="171" xfId="0" applyAlignment="1" applyBorder="1" applyFont="1" applyNumberFormat="1">
      <alignment horizontal="center" vertical="center"/>
    </xf>
    <xf borderId="8" fillId="0" fontId="5" numFmtId="0" xfId="0" applyAlignment="1" applyBorder="1" applyFont="1">
      <alignment vertical="center"/>
    </xf>
    <xf borderId="8" fillId="5" fontId="5" numFmtId="14" xfId="0" applyAlignment="1" applyBorder="1" applyFont="1" applyNumberFormat="1">
      <alignment horizontal="center" vertical="center"/>
    </xf>
    <xf borderId="8" fillId="5" fontId="5" numFmtId="0" xfId="0" applyAlignment="1" applyBorder="1" applyFont="1">
      <alignment vertical="center"/>
    </xf>
    <xf borderId="8" fillId="5" fontId="5" numFmtId="9" xfId="0" applyAlignment="1" applyBorder="1" applyFont="1" applyNumberFormat="1">
      <alignment vertical="center"/>
    </xf>
    <xf borderId="8" fillId="0" fontId="5" numFmtId="167" xfId="0" applyAlignment="1" applyBorder="1" applyFont="1" applyNumberFormat="1">
      <alignment horizontal="center" shrinkToFit="0" vertical="center" wrapText="1"/>
    </xf>
    <xf borderId="8" fillId="0" fontId="5" numFmtId="167" xfId="0" applyAlignment="1" applyBorder="1" applyFont="1" applyNumberFormat="1">
      <alignment vertical="center"/>
    </xf>
    <xf borderId="8" fillId="5" fontId="5" numFmtId="41" xfId="0" applyAlignment="1" applyBorder="1" applyFont="1" applyNumberFormat="1">
      <alignment vertical="center"/>
    </xf>
    <xf borderId="8" fillId="5" fontId="5" numFmtId="167" xfId="0" applyAlignment="1" applyBorder="1" applyFont="1" applyNumberFormat="1">
      <alignment vertical="center"/>
    </xf>
    <xf borderId="8" fillId="5" fontId="5" numFmtId="14" xfId="0" applyAlignment="1" applyBorder="1" applyFont="1" applyNumberFormat="1">
      <alignment vertical="center"/>
    </xf>
    <xf borderId="8" fillId="5" fontId="5" numFmtId="14" xfId="0" applyAlignment="1" applyBorder="1" applyFont="1" applyNumberFormat="1">
      <alignment horizontal="center" shrinkToFit="0" vertical="center" wrapText="1"/>
    </xf>
    <xf borderId="8" fillId="16" fontId="5" numFmtId="0" xfId="0" applyAlignment="1" applyBorder="1" applyFont="1">
      <alignment horizontal="center" shrinkToFit="0" vertical="center" wrapText="1"/>
    </xf>
    <xf borderId="8" fillId="16" fontId="5" numFmtId="167" xfId="0" applyAlignment="1" applyBorder="1" applyFont="1" applyNumberFormat="1">
      <alignment horizontal="center" shrinkToFit="0" vertical="center" wrapText="1"/>
    </xf>
    <xf borderId="8" fillId="16" fontId="5" numFmtId="14" xfId="0" applyAlignment="1" applyBorder="1" applyFont="1" applyNumberFormat="1">
      <alignment vertical="center"/>
    </xf>
    <xf borderId="8" fillId="16" fontId="5" numFmtId="0" xfId="0" applyAlignment="1" applyBorder="1" applyFont="1">
      <alignment horizontal="center" readingOrder="0" shrinkToFit="0" vertical="center" wrapText="1"/>
    </xf>
    <xf borderId="8" fillId="16" fontId="5" numFmtId="0" xfId="0" applyAlignment="1" applyBorder="1" applyFont="1">
      <alignment horizontal="center" readingOrder="0" vertical="center"/>
    </xf>
    <xf borderId="8" fillId="16" fontId="5" numFmtId="0" xfId="0" applyAlignment="1" applyBorder="1" applyFont="1">
      <alignment horizontal="center" vertical="center"/>
    </xf>
    <xf borderId="8" fillId="16" fontId="5" numFmtId="0" xfId="0" applyAlignment="1" applyBorder="1" applyFont="1">
      <alignment horizontal="left" shrinkToFit="0" vertical="center" wrapText="1"/>
    </xf>
    <xf borderId="8" fillId="16" fontId="5" numFmtId="0" xfId="0" applyAlignment="1" applyBorder="1" applyFont="1">
      <alignment horizontal="center" vertical="center"/>
    </xf>
    <xf borderId="8" fillId="16" fontId="5" numFmtId="14" xfId="0" applyAlignment="1" applyBorder="1" applyFont="1" applyNumberFormat="1">
      <alignment horizontal="center" vertical="center"/>
    </xf>
    <xf borderId="8" fillId="16" fontId="5" numFmtId="3" xfId="0" applyAlignment="1" applyBorder="1" applyFont="1" applyNumberFormat="1">
      <alignment horizontal="center" readingOrder="0" vertical="center"/>
    </xf>
    <xf borderId="8" fillId="16" fontId="5" numFmtId="9" xfId="0" applyAlignment="1" applyBorder="1" applyFont="1" applyNumberFormat="1">
      <alignment horizontal="center" shrinkToFit="0" vertical="center" wrapText="1"/>
    </xf>
    <xf borderId="8" fillId="16" fontId="5" numFmtId="3" xfId="0" applyAlignment="1" applyBorder="1" applyFont="1" applyNumberFormat="1">
      <alignment horizontal="center" readingOrder="0" shrinkToFit="0" vertical="center" wrapText="1"/>
    </xf>
    <xf borderId="8" fillId="16" fontId="5" numFmtId="0" xfId="0" applyAlignment="1" applyBorder="1" applyFont="1">
      <alignment vertical="center"/>
    </xf>
    <xf borderId="8" fillId="16" fontId="5" numFmtId="4" xfId="0" applyAlignment="1" applyBorder="1" applyFont="1" applyNumberFormat="1">
      <alignment horizontal="center" vertical="center"/>
    </xf>
    <xf borderId="8" fillId="16" fontId="5" numFmtId="166" xfId="0" applyAlignment="1" applyBorder="1" applyFont="1" applyNumberFormat="1">
      <alignment horizontal="center" shrinkToFit="0" vertical="center" wrapText="1"/>
    </xf>
    <xf borderId="8" fillId="16" fontId="5" numFmtId="3" xfId="0" applyAlignment="1" applyBorder="1" applyFont="1" applyNumberFormat="1">
      <alignment horizontal="center" shrinkToFit="0" vertical="center" wrapText="1"/>
    </xf>
    <xf borderId="8" fillId="16" fontId="5" numFmtId="4" xfId="0" applyAlignment="1" applyBorder="1" applyFont="1" applyNumberFormat="1">
      <alignment horizontal="center" shrinkToFit="0" vertical="center" wrapText="1"/>
    </xf>
    <xf borderId="8" fillId="16" fontId="5" numFmtId="0" xfId="0" applyAlignment="1" applyBorder="1" applyFont="1">
      <alignment horizontal="center" shrinkToFit="0" vertical="center" wrapText="1"/>
    </xf>
    <xf borderId="8" fillId="16" fontId="5" numFmtId="171" xfId="0" applyAlignment="1" applyBorder="1" applyFont="1" applyNumberFormat="1">
      <alignment horizontal="center" vertical="center"/>
    </xf>
    <xf borderId="8" fillId="0" fontId="5" numFmtId="9" xfId="0" applyAlignment="1" applyBorder="1" applyFont="1" applyNumberFormat="1">
      <alignment horizontal="center" shrinkToFit="0" vertical="center" wrapText="1"/>
    </xf>
    <xf borderId="8" fillId="0" fontId="5" numFmtId="3" xfId="0" applyAlignment="1" applyBorder="1" applyFont="1" applyNumberFormat="1">
      <alignment horizontal="center" shrinkToFit="0" vertical="center" wrapText="1"/>
    </xf>
    <xf borderId="8" fillId="18" fontId="5" numFmtId="0" xfId="0" applyAlignment="1" applyBorder="1" applyFill="1" applyFont="1">
      <alignment vertical="center"/>
    </xf>
    <xf borderId="8" fillId="18" fontId="5" numFmtId="167" xfId="0" applyAlignment="1" applyBorder="1" applyFont="1" applyNumberFormat="1">
      <alignment vertical="center"/>
    </xf>
    <xf borderId="8" fillId="18" fontId="5" numFmtId="14" xfId="0" applyAlignment="1" applyBorder="1" applyFont="1" applyNumberFormat="1">
      <alignment vertical="center"/>
    </xf>
    <xf borderId="8" fillId="18" fontId="5" numFmtId="0" xfId="0" applyAlignment="1" applyBorder="1" applyFont="1">
      <alignment horizontal="center" readingOrder="0" shrinkToFit="0" vertical="center" wrapText="1"/>
    </xf>
    <xf borderId="8" fillId="18" fontId="5" numFmtId="0" xfId="0" applyAlignment="1" applyBorder="1" applyFont="1">
      <alignment vertical="center"/>
    </xf>
    <xf borderId="8" fillId="18" fontId="5" numFmtId="41" xfId="0" applyAlignment="1" applyBorder="1" applyFont="1" applyNumberFormat="1">
      <alignment vertical="center"/>
    </xf>
    <xf borderId="8" fillId="18" fontId="5" numFmtId="0" xfId="0" applyAlignment="1" applyBorder="1" applyFont="1">
      <alignment horizontal="left" shrinkToFit="0" vertical="center" wrapText="1"/>
    </xf>
    <xf borderId="8" fillId="18" fontId="5" numFmtId="0" xfId="0" applyAlignment="1" applyBorder="1" applyFont="1">
      <alignment horizontal="center" vertical="center"/>
    </xf>
    <xf borderId="8" fillId="18" fontId="5" numFmtId="0" xfId="0" applyAlignment="1" applyBorder="1" applyFont="1">
      <alignment horizontal="center" readingOrder="0" vertical="center"/>
    </xf>
    <xf borderId="8" fillId="18" fontId="5" numFmtId="14" xfId="0" applyAlignment="1" applyBorder="1" applyFont="1" applyNumberFormat="1">
      <alignment horizontal="center" vertical="center"/>
    </xf>
    <xf borderId="8" fillId="18" fontId="5" numFmtId="0" xfId="0" applyAlignment="1" applyBorder="1" applyFont="1">
      <alignment horizontal="center" shrinkToFit="0" vertical="center" wrapText="1"/>
    </xf>
    <xf borderId="8" fillId="18" fontId="5" numFmtId="0" xfId="0" applyAlignment="1" applyBorder="1" applyFont="1">
      <alignment horizontal="center" vertical="center"/>
    </xf>
    <xf borderId="8" fillId="18" fontId="5" numFmtId="3" xfId="0" applyAlignment="1" applyBorder="1" applyFont="1" applyNumberFormat="1">
      <alignment horizontal="center" vertical="center"/>
    </xf>
    <xf borderId="8" fillId="18" fontId="5" numFmtId="9" xfId="0" applyAlignment="1" applyBorder="1" applyFont="1" applyNumberFormat="1">
      <alignment vertical="center"/>
    </xf>
    <xf borderId="8" fillId="18" fontId="5" numFmtId="3" xfId="0" applyAlignment="1" applyBorder="1" applyFont="1" applyNumberFormat="1">
      <alignment vertical="center"/>
    </xf>
    <xf borderId="8" fillId="18" fontId="5" numFmtId="4" xfId="0" applyAlignment="1" applyBorder="1" applyFont="1" applyNumberFormat="1">
      <alignment horizontal="center" vertical="center"/>
    </xf>
    <xf borderId="8" fillId="18" fontId="5" numFmtId="171" xfId="0" applyAlignment="1" applyBorder="1" applyFont="1" applyNumberFormat="1">
      <alignment horizontal="center" vertical="center"/>
    </xf>
    <xf borderId="8" fillId="0" fontId="5" numFmtId="167" xfId="0" applyAlignment="1" applyBorder="1" applyFont="1" applyNumberFormat="1">
      <alignment horizontal="center" vertical="center"/>
    </xf>
    <xf borderId="8" fillId="0" fontId="5" numFmtId="3" xfId="0" applyAlignment="1" applyBorder="1" applyFont="1" applyNumberFormat="1">
      <alignment horizontal="center" vertical="center"/>
    </xf>
    <xf borderId="8" fillId="0" fontId="5" numFmtId="9" xfId="0" applyAlignment="1" applyBorder="1" applyFont="1" applyNumberFormat="1">
      <alignment horizontal="center" vertical="center"/>
    </xf>
    <xf borderId="0" fillId="13" fontId="4" numFmtId="3" xfId="0" applyAlignment="1" applyFont="1" applyNumberFormat="1">
      <alignment shrinkToFit="0" vertical="bottom" wrapText="1"/>
    </xf>
    <xf borderId="0" fillId="0" fontId="27" numFmtId="3" xfId="0" applyAlignment="1" applyFont="1" applyNumberFormat="1">
      <alignment vertical="bottom"/>
    </xf>
    <xf borderId="0" fillId="0" fontId="27" numFmtId="0" xfId="0" applyAlignment="1" applyFont="1">
      <alignment vertical="bottom"/>
    </xf>
    <xf borderId="0" fillId="0" fontId="27" numFmtId="0" xfId="0" applyAlignment="1" applyFont="1">
      <alignment readingOrder="0" vertical="bottom"/>
    </xf>
    <xf borderId="0" fillId="0" fontId="27" numFmtId="166" xfId="0" applyAlignment="1" applyFont="1" applyNumberFormat="1">
      <alignment vertical="bottom"/>
    </xf>
    <xf borderId="0" fillId="0" fontId="4" numFmtId="3" xfId="0" applyAlignment="1" applyFont="1" applyNumberFormat="1">
      <alignment shrinkToFit="0" vertical="bottom" wrapText="1"/>
    </xf>
    <xf borderId="0" fillId="0" fontId="27" numFmtId="3" xfId="0" applyAlignment="1" applyFont="1" applyNumberFormat="1">
      <alignment shrinkToFit="0" vertical="bottom" wrapText="1"/>
    </xf>
    <xf borderId="0" fillId="0" fontId="4" numFmtId="3" xfId="0" applyAlignment="1" applyFont="1" applyNumberFormat="1">
      <alignment horizontal="center" vertical="bottom"/>
    </xf>
    <xf borderId="0" fillId="0" fontId="43" numFmtId="3" xfId="0" applyAlignment="1" applyFont="1" applyNumberFormat="1">
      <alignment horizontal="left" vertical="bottom"/>
    </xf>
    <xf borderId="0" fillId="0" fontId="43" numFmtId="0" xfId="0" applyAlignment="1" applyFont="1">
      <alignment readingOrder="0" vertical="bottom"/>
    </xf>
    <xf borderId="1" fillId="14" fontId="4" numFmtId="3" xfId="0" applyAlignment="1" applyBorder="1" applyFont="1" applyNumberFormat="1">
      <alignment horizontal="center" vertical="center"/>
    </xf>
    <xf borderId="1" fillId="14" fontId="4" numFmtId="3" xfId="0" applyAlignment="1" applyBorder="1" applyFont="1" applyNumberFormat="1">
      <alignment horizontal="center" shrinkToFit="0" vertical="center" wrapText="1"/>
    </xf>
    <xf borderId="1" fillId="14" fontId="4" numFmtId="3" xfId="0" applyAlignment="1" applyBorder="1" applyFont="1" applyNumberFormat="1">
      <alignment horizontal="center" readingOrder="0" shrinkToFit="0" vertical="center" wrapText="1"/>
    </xf>
    <xf borderId="1" fillId="14" fontId="4" numFmtId="3" xfId="0" applyAlignment="1" applyBorder="1" applyFont="1" applyNumberFormat="1">
      <alignment horizontal="center" readingOrder="0" vertical="center"/>
    </xf>
    <xf borderId="1" fillId="14" fontId="4" numFmtId="0" xfId="0" applyAlignment="1" applyBorder="1" applyFont="1">
      <alignment horizontal="center" readingOrder="0" shrinkToFit="0" vertical="center" wrapText="1"/>
    </xf>
    <xf borderId="1" fillId="15" fontId="27" numFmtId="3" xfId="0" applyAlignment="1" applyBorder="1" applyFont="1" applyNumberFormat="1">
      <alignment horizontal="center" vertical="center"/>
    </xf>
    <xf borderId="1" fillId="15" fontId="4" numFmtId="3" xfId="0" applyAlignment="1" applyBorder="1" applyFont="1" applyNumberFormat="1">
      <alignment horizontal="center" vertical="center"/>
    </xf>
    <xf borderId="1" fillId="15" fontId="27" numFmtId="3" xfId="0" applyAlignment="1" applyBorder="1" applyFont="1" applyNumberFormat="1">
      <alignment horizontal="left" shrinkToFit="0" vertical="center" wrapText="1"/>
    </xf>
    <xf borderId="1" fillId="15" fontId="27" numFmtId="3" xfId="0" applyAlignment="1" applyBorder="1" applyFont="1" applyNumberFormat="1">
      <alignment horizontal="center" shrinkToFit="0" vertical="center" wrapText="1"/>
    </xf>
    <xf borderId="1" fillId="15" fontId="27" numFmtId="9" xfId="0" applyAlignment="1" applyBorder="1" applyFont="1" applyNumberFormat="1">
      <alignment horizontal="center" vertical="center"/>
    </xf>
    <xf borderId="1" fillId="15" fontId="27" numFmtId="3" xfId="0" applyAlignment="1" applyBorder="1" applyFont="1" applyNumberFormat="1">
      <alignment horizontal="right" vertical="center"/>
    </xf>
    <xf borderId="1" fillId="15" fontId="27" numFmtId="3" xfId="0" applyAlignment="1" applyBorder="1" applyFont="1" applyNumberFormat="1">
      <alignment horizontal="center" readingOrder="0" shrinkToFit="0" vertical="center" wrapText="1"/>
    </xf>
    <xf borderId="1" fillId="15" fontId="27" numFmtId="3" xfId="0" applyAlignment="1" applyBorder="1" applyFont="1" applyNumberFormat="1">
      <alignment vertical="center"/>
    </xf>
    <xf borderId="1" fillId="15" fontId="4" numFmtId="166" xfId="0" applyAlignment="1" applyBorder="1" applyFont="1" applyNumberFormat="1">
      <alignment horizontal="center" vertical="center"/>
    </xf>
    <xf borderId="1" fillId="15" fontId="27" numFmtId="4" xfId="0" applyAlignment="1" applyBorder="1" applyFont="1" applyNumberFormat="1">
      <alignment horizontal="center" vertical="center"/>
    </xf>
    <xf borderId="1" fillId="15" fontId="27" numFmtId="166" xfId="0" applyAlignment="1" applyBorder="1" applyFont="1" applyNumberFormat="1">
      <alignment horizontal="center" vertical="center"/>
    </xf>
    <xf borderId="5" fillId="0" fontId="27" numFmtId="3" xfId="0" applyAlignment="1" applyBorder="1" applyFont="1" applyNumberFormat="1">
      <alignment vertical="bottom"/>
    </xf>
    <xf borderId="6" fillId="0" fontId="4" numFmtId="3" xfId="0" applyAlignment="1" applyBorder="1" applyFont="1" applyNumberFormat="1">
      <alignment horizontal="center" vertical="bottom"/>
    </xf>
    <xf borderId="6" fillId="0" fontId="27" numFmtId="3" xfId="0" applyAlignment="1" applyBorder="1" applyFont="1" applyNumberFormat="1">
      <alignment vertical="bottom"/>
    </xf>
    <xf borderId="1" fillId="0" fontId="27" numFmtId="3" xfId="0" applyAlignment="1" applyBorder="1" applyFont="1" applyNumberFormat="1">
      <alignment vertical="bottom"/>
    </xf>
    <xf borderId="1" fillId="0" fontId="4" numFmtId="3" xfId="0" applyAlignment="1" applyBorder="1" applyFont="1" applyNumberFormat="1">
      <alignment horizontal="right" vertical="bottom"/>
    </xf>
    <xf borderId="0" fillId="0" fontId="27" numFmtId="3" xfId="0" applyAlignment="1" applyFont="1" applyNumberFormat="1">
      <alignment vertical="center"/>
    </xf>
    <xf borderId="0" fillId="0" fontId="4" numFmtId="3" xfId="0" applyAlignment="1" applyFont="1" applyNumberFormat="1">
      <alignment vertical="center"/>
    </xf>
    <xf borderId="0" fillId="0" fontId="27" numFmtId="166" xfId="0" applyAlignment="1" applyFont="1" applyNumberFormat="1">
      <alignment vertical="center"/>
    </xf>
    <xf borderId="0" fillId="0" fontId="4" numFmtId="3" xfId="0" applyAlignment="1" applyFont="1" applyNumberFormat="1">
      <alignment shrinkToFit="0" vertical="center" wrapText="1"/>
    </xf>
    <xf borderId="0" fillId="0" fontId="27" numFmtId="173" xfId="0" applyAlignment="1" applyFont="1" applyNumberFormat="1">
      <alignment vertical="center"/>
    </xf>
    <xf quotePrefix="1" borderId="0" fillId="0" fontId="27" numFmtId="3" xfId="0" applyAlignment="1" applyFont="1" applyNumberFormat="1">
      <alignment vertical="center"/>
    </xf>
    <xf borderId="0" fillId="0" fontId="27" numFmtId="174" xfId="0" applyAlignment="1" applyFont="1" applyNumberFormat="1">
      <alignment vertical="center"/>
    </xf>
    <xf borderId="0" fillId="0" fontId="27" numFmtId="3" xfId="0" applyAlignment="1" applyFont="1" applyNumberFormat="1">
      <alignment shrinkToFit="0" vertical="center" wrapText="1"/>
    </xf>
    <xf quotePrefix="1" borderId="0" fillId="0" fontId="27" numFmtId="3" xfId="0" applyAlignment="1" applyFont="1" applyNumberFormat="1">
      <alignment shrinkToFit="0" vertical="center" wrapText="1"/>
    </xf>
    <xf borderId="0" fillId="0" fontId="44" numFmtId="174" xfId="0" applyAlignment="1" applyFont="1" applyNumberFormat="1">
      <alignment horizontal="center" vertical="center"/>
    </xf>
    <xf borderId="0" fillId="0" fontId="4" numFmtId="3" xfId="0" applyAlignment="1" applyFont="1" applyNumberFormat="1">
      <alignment horizontal="center" vertical="center"/>
    </xf>
    <xf borderId="0" fillId="0" fontId="38" numFmtId="0" xfId="0" applyAlignment="1" applyFont="1">
      <alignment readingOrder="0" shrinkToFit="0" vertical="center" wrapText="0"/>
    </xf>
    <xf borderId="0" fillId="0" fontId="38" numFmtId="0" xfId="0" applyAlignment="1" applyFont="1">
      <alignment vertical="center"/>
    </xf>
    <xf borderId="0" fillId="0" fontId="33" numFmtId="0" xfId="0" applyAlignment="1" applyFont="1">
      <alignment vertical="center"/>
    </xf>
    <xf borderId="0" fillId="0" fontId="37" numFmtId="0" xfId="0" applyAlignment="1" applyFont="1">
      <alignment readingOrder="0" vertical="center"/>
    </xf>
    <xf borderId="0" fillId="16" fontId="33" numFmtId="0" xfId="0" applyAlignment="1" applyFont="1">
      <alignment horizontal="center" readingOrder="0" vertical="center"/>
    </xf>
    <xf borderId="9" fillId="0" fontId="38" numFmtId="0" xfId="0" applyAlignment="1" applyBorder="1" applyFont="1">
      <alignment horizontal="center" shrinkToFit="0" vertical="center" wrapText="1"/>
    </xf>
    <xf borderId="10" fillId="0" fontId="13" numFmtId="0" xfId="0" applyBorder="1" applyFont="1"/>
    <xf borderId="0" fillId="16" fontId="33" numFmtId="171" xfId="0" applyAlignment="1" applyFont="1" applyNumberFormat="1">
      <alignment horizontal="center" readingOrder="0" vertical="center"/>
    </xf>
    <xf borderId="11" fillId="0" fontId="38" numFmtId="0" xfId="0" applyAlignment="1" applyBorder="1" applyFont="1">
      <alignment vertical="center"/>
    </xf>
    <xf quotePrefix="1" borderId="12" fillId="0" fontId="38" numFmtId="0" xfId="0" applyAlignment="1" applyBorder="1" applyFont="1">
      <alignment horizontal="center" shrinkToFit="0" vertical="center" wrapText="1"/>
    </xf>
    <xf borderId="13" fillId="0" fontId="38" numFmtId="0" xfId="0" applyAlignment="1" applyBorder="1" applyFont="1">
      <alignment vertical="center"/>
    </xf>
    <xf borderId="14" fillId="0" fontId="38" numFmtId="14" xfId="0" applyAlignment="1" applyBorder="1" applyFont="1" applyNumberFormat="1">
      <alignment horizontal="center" shrinkToFit="0" vertical="center" wrapText="1"/>
    </xf>
    <xf borderId="0" fillId="0" fontId="45" numFmtId="0" xfId="0" applyAlignment="1" applyFont="1">
      <alignment horizontal="center" vertical="center"/>
    </xf>
    <xf borderId="0" fillId="0" fontId="38" numFmtId="0" xfId="0" applyAlignment="1" applyFont="1">
      <alignment horizontal="center" readingOrder="0" vertical="center"/>
    </xf>
    <xf borderId="0" fillId="0" fontId="38" numFmtId="175" xfId="0" applyAlignment="1" applyFont="1" applyNumberFormat="1">
      <alignment horizontal="center" readingOrder="0" vertical="center"/>
    </xf>
    <xf borderId="15" fillId="19" fontId="32" numFmtId="0" xfId="0" applyAlignment="1" applyBorder="1" applyFill="1" applyFont="1">
      <alignment vertical="center"/>
    </xf>
    <xf borderId="15" fillId="19" fontId="38" numFmtId="0" xfId="0" applyAlignment="1" applyBorder="1" applyFont="1">
      <alignment vertical="center"/>
    </xf>
    <xf borderId="0" fillId="0" fontId="32" numFmtId="0" xfId="0" applyAlignment="1" applyFont="1">
      <alignment readingOrder="0" vertical="center"/>
    </xf>
    <xf borderId="0" fillId="0" fontId="46" numFmtId="0" xfId="0" applyAlignment="1" applyFont="1">
      <alignment readingOrder="0" vertical="center"/>
    </xf>
    <xf borderId="0" fillId="0" fontId="32" numFmtId="0" xfId="0" applyAlignment="1" applyFont="1">
      <alignment vertical="center"/>
    </xf>
    <xf borderId="0" fillId="0" fontId="46" numFmtId="0" xfId="0" applyAlignment="1" applyFont="1">
      <alignment vertical="center"/>
    </xf>
    <xf borderId="0" fillId="0" fontId="38" numFmtId="0" xfId="0" applyAlignment="1" applyFont="1">
      <alignment readingOrder="0" vertical="center"/>
    </xf>
    <xf borderId="5" fillId="0" fontId="32" numFmtId="0" xfId="0" applyAlignment="1" applyBorder="1" applyFont="1">
      <alignment horizontal="center" vertical="center"/>
    </xf>
    <xf borderId="7" fillId="0" fontId="13" numFmtId="0" xfId="0" applyBorder="1" applyFont="1"/>
    <xf borderId="9" fillId="0" fontId="32" numFmtId="0" xfId="0" applyAlignment="1" applyBorder="1" applyFont="1">
      <alignment horizontal="center" vertical="center"/>
    </xf>
    <xf borderId="2" fillId="0" fontId="32" numFmtId="0" xfId="0" applyAlignment="1" applyBorder="1" applyFont="1">
      <alignment horizontal="center" shrinkToFit="0" vertical="center" wrapText="1"/>
    </xf>
    <xf borderId="1" fillId="0" fontId="32" numFmtId="0" xfId="0" applyAlignment="1" applyBorder="1" applyFont="1">
      <alignment horizontal="center" vertical="center"/>
    </xf>
    <xf borderId="13" fillId="0" fontId="13" numFmtId="0" xfId="0" applyBorder="1" applyFont="1"/>
    <xf borderId="3" fillId="0" fontId="38" numFmtId="1" xfId="0" applyAlignment="1" applyBorder="1" applyFont="1" applyNumberFormat="1">
      <alignment horizontal="center" vertical="center"/>
    </xf>
    <xf borderId="1" fillId="0" fontId="38" numFmtId="166" xfId="0" applyAlignment="1" applyBorder="1" applyFont="1" applyNumberFormat="1">
      <alignment horizontal="center" readingOrder="0" vertical="center"/>
    </xf>
    <xf borderId="2" fillId="0" fontId="38" numFmtId="0" xfId="0" applyAlignment="1" applyBorder="1" applyFont="1">
      <alignment horizontal="left" readingOrder="0" shrinkToFit="0" vertical="center" wrapText="1"/>
    </xf>
    <xf borderId="1" fillId="0" fontId="38" numFmtId="3" xfId="0" applyAlignment="1" applyBorder="1" applyFont="1" applyNumberFormat="1">
      <alignment readingOrder="0" vertical="center"/>
    </xf>
    <xf borderId="3" fillId="0" fontId="38" numFmtId="3" xfId="0" applyAlignment="1" applyBorder="1" applyFont="1" applyNumberFormat="1">
      <alignment vertical="center"/>
    </xf>
    <xf borderId="3" fillId="0" fontId="38" numFmtId="1" xfId="0" applyAlignment="1" applyBorder="1" applyFont="1" applyNumberFormat="1">
      <alignment horizontal="center" readingOrder="0" vertical="center"/>
    </xf>
    <xf borderId="1" fillId="0" fontId="38" numFmtId="166" xfId="0" applyAlignment="1" applyBorder="1" applyFont="1" applyNumberFormat="1">
      <alignment readingOrder="0" vertical="center"/>
    </xf>
    <xf borderId="4" fillId="0" fontId="38" numFmtId="0" xfId="0" applyAlignment="1" applyBorder="1" applyFont="1">
      <alignment horizontal="left" readingOrder="0" shrinkToFit="0" vertical="center" wrapText="1"/>
    </xf>
    <xf borderId="3" fillId="0" fontId="38" numFmtId="0" xfId="0" applyAlignment="1" applyBorder="1" applyFont="1">
      <alignment horizontal="left" readingOrder="0" shrinkToFit="0" vertical="center" wrapText="1"/>
    </xf>
    <xf borderId="4" fillId="0" fontId="38" numFmtId="0" xfId="0" applyAlignment="1" applyBorder="1" applyFont="1">
      <alignment readingOrder="0" shrinkToFit="0" vertical="center" wrapText="1"/>
    </xf>
    <xf borderId="3" fillId="0" fontId="38" numFmtId="0" xfId="0" applyAlignment="1" applyBorder="1" applyFont="1">
      <alignment readingOrder="0" shrinkToFit="0" vertical="center" wrapText="1"/>
    </xf>
    <xf borderId="1" fillId="0" fontId="32" numFmtId="0" xfId="0" applyAlignment="1" applyBorder="1" applyFont="1">
      <alignment vertical="center"/>
    </xf>
    <xf borderId="5" fillId="0" fontId="32" numFmtId="0" xfId="0" applyAlignment="1" applyBorder="1" applyFont="1">
      <alignment vertical="center"/>
    </xf>
    <xf borderId="1" fillId="0" fontId="32" numFmtId="3" xfId="0" applyAlignment="1" applyBorder="1" applyFont="1" applyNumberFormat="1">
      <alignment readingOrder="0" vertical="center"/>
    </xf>
    <xf borderId="1" fillId="0" fontId="47" numFmtId="3" xfId="0" applyAlignment="1" applyBorder="1" applyFont="1" applyNumberFormat="1">
      <alignment readingOrder="0" vertical="center"/>
    </xf>
    <xf borderId="1" fillId="0" fontId="32" numFmtId="0" xfId="0" applyAlignment="1" applyBorder="1" applyFont="1">
      <alignment readingOrder="0" vertical="center"/>
    </xf>
    <xf borderId="0" fillId="0" fontId="30" numFmtId="0" xfId="0" applyAlignment="1" applyFont="1">
      <alignment vertical="center"/>
    </xf>
    <xf borderId="2" fillId="0" fontId="32" numFmtId="0" xfId="0" applyAlignment="1" applyBorder="1" applyFont="1">
      <alignment horizontal="center" vertical="center"/>
    </xf>
    <xf borderId="5" fillId="0" fontId="38" numFmtId="0" xfId="0" applyAlignment="1" applyBorder="1" applyFont="1">
      <alignment horizontal="center" vertical="center"/>
    </xf>
    <xf borderId="5" fillId="0" fontId="38" numFmtId="0" xfId="0" applyAlignment="1" applyBorder="1" applyFont="1">
      <alignment vertical="center"/>
    </xf>
    <xf borderId="5" fillId="0" fontId="38" numFmtId="166" xfId="0" applyAlignment="1" applyBorder="1" applyFont="1" applyNumberFormat="1">
      <alignment vertical="center"/>
    </xf>
    <xf borderId="3" fillId="0" fontId="38" numFmtId="0" xfId="0" applyAlignment="1" applyBorder="1" applyFont="1">
      <alignment vertical="center"/>
    </xf>
    <xf borderId="1" fillId="0" fontId="38" numFmtId="14" xfId="0" applyAlignment="1" applyBorder="1" applyFont="1" applyNumberFormat="1">
      <alignment vertical="center"/>
    </xf>
    <xf borderId="1" fillId="0" fontId="47" numFmtId="3" xfId="0" applyAlignment="1" applyBorder="1" applyFont="1" applyNumberFormat="1">
      <alignment horizontal="center" vertical="center"/>
    </xf>
    <xf borderId="1" fillId="0" fontId="38" numFmtId="0" xfId="0" applyAlignment="1" applyBorder="1" applyFont="1">
      <alignment vertical="center"/>
    </xf>
    <xf borderId="0" fillId="0" fontId="30" numFmtId="176" xfId="0" applyAlignment="1" applyFont="1" applyNumberFormat="1">
      <alignment horizontal="center" readingOrder="0" vertical="center"/>
    </xf>
    <xf borderId="5" fillId="0" fontId="38" numFmtId="0" xfId="0" applyAlignment="1" applyBorder="1" applyFont="1">
      <alignment shrinkToFit="0" vertical="center" wrapText="1"/>
    </xf>
    <xf borderId="9" fillId="0" fontId="32" numFmtId="3" xfId="0" applyAlignment="1" applyBorder="1" applyFont="1" applyNumberFormat="1">
      <alignment horizontal="right" vertical="center"/>
    </xf>
    <xf borderId="16" fillId="0" fontId="13" numFmtId="0" xfId="0" applyBorder="1" applyFont="1"/>
    <xf borderId="5" fillId="0" fontId="38" numFmtId="0" xfId="0" applyAlignment="1" applyBorder="1" applyFont="1">
      <alignment readingOrder="0" vertical="center"/>
    </xf>
    <xf borderId="6" fillId="0" fontId="13" numFmtId="0" xfId="0" applyBorder="1" applyFont="1"/>
    <xf borderId="0" fillId="0" fontId="46" numFmtId="3" xfId="0" applyAlignment="1" applyFont="1" applyNumberFormat="1">
      <alignment horizontal="left" readingOrder="0" vertical="center"/>
    </xf>
    <xf borderId="0" fillId="0" fontId="38" numFmtId="3" xfId="0" applyAlignment="1" applyFont="1" applyNumberFormat="1">
      <alignment horizontal="left" vertical="center"/>
    </xf>
    <xf borderId="0" fillId="0" fontId="38" numFmtId="177" xfId="0" applyAlignment="1" applyFont="1" applyNumberFormat="1">
      <alignment vertical="center"/>
    </xf>
    <xf borderId="0" fillId="0" fontId="30" numFmtId="176" xfId="0" applyAlignment="1" applyFont="1" applyNumberFormat="1">
      <alignment horizontal="center" vertical="center"/>
    </xf>
    <xf borderId="1" fillId="0" fontId="33" numFmtId="0" xfId="0" applyAlignment="1" applyBorder="1" applyFont="1">
      <alignment vertical="center"/>
    </xf>
    <xf borderId="6" fillId="0" fontId="33" numFmtId="0" xfId="0" applyAlignment="1" applyBorder="1" applyFont="1">
      <alignment vertical="center"/>
    </xf>
    <xf borderId="7" fillId="0" fontId="33" numFmtId="0" xfId="0" applyAlignment="1" applyBorder="1" applyFont="1">
      <alignment vertical="center"/>
    </xf>
    <xf borderId="4" fillId="0" fontId="33" numFmtId="0" xfId="0" applyAlignment="1" applyBorder="1" applyFont="1">
      <alignment vertical="center"/>
    </xf>
    <xf borderId="0" fillId="0" fontId="33" numFmtId="0" xfId="0" applyAlignment="1" applyFont="1">
      <alignment vertical="center"/>
    </xf>
    <xf borderId="12" fillId="0" fontId="33" numFmtId="0" xfId="0" applyAlignment="1" applyBorder="1" applyFont="1">
      <alignment vertical="center"/>
    </xf>
    <xf borderId="0" fillId="0" fontId="33" numFmtId="178" xfId="0" applyAlignment="1" applyFont="1" applyNumberFormat="1">
      <alignment vertical="center"/>
    </xf>
    <xf borderId="12" fillId="0" fontId="33" numFmtId="178" xfId="0" applyAlignment="1" applyBorder="1" applyFont="1" applyNumberFormat="1">
      <alignment vertical="center"/>
    </xf>
    <xf borderId="3" fillId="0" fontId="33" numFmtId="0" xfId="0" applyAlignment="1" applyBorder="1" applyFont="1">
      <alignment vertical="center"/>
    </xf>
    <xf borderId="17" fillId="0" fontId="30" numFmtId="0" xfId="0" applyAlignment="1" applyBorder="1" applyFont="1">
      <alignment vertical="center"/>
    </xf>
    <xf borderId="17" fillId="0" fontId="33" numFmtId="0" xfId="0" applyAlignment="1" applyBorder="1" applyFont="1">
      <alignment shrinkToFit="0" vertical="center" wrapText="1"/>
    </xf>
    <xf borderId="17" fillId="0" fontId="13" numFmtId="0" xfId="0" applyBorder="1" applyFont="1"/>
    <xf borderId="14" fillId="0" fontId="13" numFmtId="0" xfId="0" applyBorder="1" applyFont="1"/>
    <xf borderId="15" fillId="19" fontId="38" numFmtId="176" xfId="0" applyAlignment="1" applyBorder="1" applyFont="1" applyNumberFormat="1">
      <alignment vertical="center"/>
    </xf>
    <xf borderId="0" fillId="0" fontId="32" numFmtId="176" xfId="0" applyAlignment="1" applyFont="1" applyNumberFormat="1">
      <alignment horizontal="center" readingOrder="0" vertical="center"/>
    </xf>
    <xf borderId="0" fillId="0" fontId="32" numFmtId="176" xfId="0" applyAlignment="1" applyFont="1" applyNumberFormat="1">
      <alignment vertical="center"/>
    </xf>
    <xf borderId="0" fillId="0" fontId="38" numFmtId="176" xfId="0" applyAlignment="1" applyFont="1" applyNumberFormat="1">
      <alignment vertical="center"/>
    </xf>
    <xf borderId="0" fillId="5" fontId="32" numFmtId="176" xfId="0" applyAlignment="1" applyFont="1" applyNumberFormat="1">
      <alignment readingOrder="0" shrinkToFit="0" vertical="bottom" wrapText="0"/>
    </xf>
    <xf borderId="0" fillId="0" fontId="38" numFmtId="3" xfId="0" applyAlignment="1" applyFont="1" applyNumberFormat="1">
      <alignment horizontal="right" readingOrder="0" vertical="center"/>
    </xf>
    <xf borderId="0" fillId="0" fontId="38" numFmtId="176" xfId="0" applyAlignment="1" applyFont="1" applyNumberFormat="1">
      <alignment readingOrder="0" vertical="center"/>
    </xf>
    <xf borderId="0" fillId="0" fontId="30" numFmtId="176" xfId="0" applyAlignment="1" applyFont="1" applyNumberFormat="1">
      <alignment vertical="center"/>
    </xf>
    <xf borderId="17" fillId="0" fontId="33" numFmtId="176" xfId="0" applyAlignment="1" applyBorder="1" applyFont="1" applyNumberFormat="1">
      <alignment vertical="center"/>
    </xf>
    <xf borderId="0" fillId="0" fontId="33" numFmtId="176" xfId="0" applyAlignment="1" applyFont="1" applyNumberFormat="1">
      <alignment vertical="center"/>
    </xf>
    <xf borderId="17" fillId="0" fontId="33" numFmtId="0" xfId="0" applyAlignment="1" applyBorder="1" applyFont="1">
      <alignment vertical="center"/>
    </xf>
    <xf borderId="0" fillId="0" fontId="38" numFmtId="0" xfId="0" applyAlignment="1" applyFont="1">
      <alignment vertical="bottom"/>
    </xf>
    <xf borderId="9" fillId="0" fontId="38" numFmtId="0" xfId="0" applyAlignment="1" applyBorder="1" applyFont="1">
      <alignment horizontal="center" shrinkToFit="0" wrapText="1"/>
    </xf>
    <xf borderId="11" fillId="0" fontId="38" numFmtId="0" xfId="0" applyAlignment="1" applyBorder="1" applyFont="1">
      <alignment vertical="bottom"/>
    </xf>
    <xf quotePrefix="1" borderId="12" fillId="0" fontId="38" numFmtId="0" xfId="0" applyAlignment="1" applyBorder="1" applyFont="1">
      <alignment horizontal="center" shrinkToFit="0" wrapText="1"/>
    </xf>
    <xf borderId="13" fillId="0" fontId="38" numFmtId="0" xfId="0" applyAlignment="1" applyBorder="1" applyFont="1">
      <alignment vertical="bottom"/>
    </xf>
    <xf borderId="14" fillId="0" fontId="38" numFmtId="14" xfId="0" applyAlignment="1" applyBorder="1" applyFont="1" applyNumberFormat="1">
      <alignment horizontal="center" shrinkToFit="0" wrapText="1"/>
    </xf>
    <xf borderId="0" fillId="0" fontId="33" numFmtId="0" xfId="0" applyAlignment="1" applyFont="1">
      <alignment readingOrder="0" vertical="bottom"/>
    </xf>
    <xf borderId="0" fillId="0" fontId="33" numFmtId="166" xfId="0" applyAlignment="1" applyFont="1" applyNumberFormat="1">
      <alignment horizontal="center" vertical="bottom"/>
    </xf>
    <xf borderId="0" fillId="0" fontId="45" numFmtId="0" xfId="0" applyAlignment="1" applyFont="1">
      <alignment horizontal="center" vertical="bottom"/>
    </xf>
    <xf borderId="0" fillId="0" fontId="38" numFmtId="0" xfId="0" applyAlignment="1" applyFont="1">
      <alignment horizontal="center" readingOrder="0" vertical="bottom"/>
    </xf>
    <xf borderId="0" fillId="0" fontId="38" numFmtId="175" xfId="0" applyAlignment="1" applyFont="1" applyNumberFormat="1">
      <alignment horizontal="center" readingOrder="0" vertical="bottom"/>
    </xf>
    <xf borderId="15" fillId="19" fontId="32" numFmtId="0" xfId="0" applyAlignment="1" applyBorder="1" applyFont="1">
      <alignment vertical="bottom"/>
    </xf>
    <xf borderId="15" fillId="19" fontId="38" numFmtId="0" xfId="0" applyAlignment="1" applyBorder="1" applyFont="1">
      <alignment vertical="bottom"/>
    </xf>
    <xf borderId="0" fillId="0" fontId="32" numFmtId="0" xfId="0" applyAlignment="1" applyFont="1">
      <alignment readingOrder="0" vertical="bottom"/>
    </xf>
    <xf borderId="0" fillId="0" fontId="32" numFmtId="0" xfId="0" applyAlignment="1" applyFont="1">
      <alignment vertical="bottom"/>
    </xf>
    <xf borderId="0" fillId="0" fontId="38" numFmtId="0" xfId="0" applyFont="1"/>
    <xf borderId="1" fillId="0" fontId="38" numFmtId="0" xfId="0" applyAlignment="1" applyBorder="1" applyFont="1">
      <alignment horizontal="center" readingOrder="0" vertical="center"/>
    </xf>
    <xf borderId="1" fillId="0" fontId="38" numFmtId="0" xfId="0" applyAlignment="1" applyBorder="1" applyFont="1">
      <alignment readingOrder="0" shrinkToFit="0" wrapText="1"/>
    </xf>
    <xf borderId="3" fillId="0" fontId="38" numFmtId="3" xfId="0" applyBorder="1" applyFont="1" applyNumberFormat="1"/>
    <xf borderId="1" fillId="0" fontId="38" numFmtId="3" xfId="0" applyAlignment="1" applyBorder="1" applyFont="1" applyNumberFormat="1">
      <alignment readingOrder="0" vertical="bottom"/>
    </xf>
    <xf borderId="1" fillId="0" fontId="32" numFmtId="0" xfId="0" applyAlignment="1" applyBorder="1" applyFont="1">
      <alignment horizontal="center" vertical="bottom"/>
    </xf>
    <xf borderId="1" fillId="0" fontId="38" numFmtId="0" xfId="0" applyAlignment="1" applyBorder="1" applyFont="1">
      <alignment vertical="bottom"/>
    </xf>
    <xf borderId="5" fillId="0" fontId="38" numFmtId="0" xfId="0" applyAlignment="1" applyBorder="1" applyFont="1">
      <alignment vertical="bottom"/>
    </xf>
    <xf borderId="1" fillId="0" fontId="38" numFmtId="3" xfId="0" applyAlignment="1" applyBorder="1" applyFont="1" applyNumberFormat="1">
      <alignment readingOrder="0"/>
    </xf>
    <xf borderId="1" fillId="0" fontId="32" numFmtId="3" xfId="0" applyAlignment="1" applyBorder="1" applyFont="1" applyNumberFormat="1">
      <alignment horizontal="center" vertical="bottom"/>
    </xf>
    <xf borderId="1" fillId="0" fontId="38" numFmtId="0" xfId="0" applyAlignment="1" applyBorder="1" applyFont="1">
      <alignment readingOrder="0" vertical="bottom"/>
    </xf>
    <xf borderId="5" fillId="0" fontId="38" numFmtId="0" xfId="0" applyBorder="1" applyFont="1"/>
    <xf borderId="5" fillId="0" fontId="38" numFmtId="166" xfId="0" applyBorder="1" applyFont="1" applyNumberFormat="1"/>
    <xf borderId="3" fillId="0" fontId="38" numFmtId="0" xfId="0" applyBorder="1" applyFont="1"/>
    <xf borderId="1" fillId="0" fontId="38" numFmtId="14" xfId="0" applyAlignment="1" applyBorder="1" applyFont="1" applyNumberFormat="1">
      <alignment vertical="bottom"/>
    </xf>
    <xf borderId="5" fillId="0" fontId="38" numFmtId="0" xfId="0" applyAlignment="1" applyBorder="1" applyFont="1">
      <alignment shrinkToFit="0" wrapText="1"/>
    </xf>
    <xf borderId="1" fillId="0" fontId="38" numFmtId="3" xfId="0" applyAlignment="1" applyBorder="1" applyFont="1" applyNumberFormat="1">
      <alignment horizontal="right" vertical="bottom"/>
    </xf>
    <xf borderId="0" fillId="0" fontId="38" numFmtId="3" xfId="0" applyAlignment="1" applyFont="1" applyNumberFormat="1">
      <alignment vertical="bottom"/>
    </xf>
    <xf borderId="1" fillId="0" fontId="38" numFmtId="0" xfId="0" applyBorder="1" applyFont="1"/>
    <xf borderId="0" fillId="0" fontId="38" numFmtId="3" xfId="0" applyAlignment="1" applyFont="1" applyNumberFormat="1">
      <alignment horizontal="left" readingOrder="0" vertical="bottom"/>
    </xf>
    <xf borderId="0" fillId="0" fontId="38" numFmtId="3" xfId="0" applyAlignment="1" applyFont="1" applyNumberFormat="1">
      <alignment horizontal="left" vertical="bottom"/>
    </xf>
    <xf borderId="0" fillId="0" fontId="38" numFmtId="177" xfId="0" applyFont="1" applyNumberFormat="1"/>
    <xf borderId="0" fillId="0" fontId="38" numFmtId="177" xfId="0" applyAlignment="1" applyFont="1" applyNumberFormat="1">
      <alignment vertical="bottom"/>
    </xf>
    <xf borderId="0" fillId="0" fontId="32" numFmtId="0" xfId="0" applyAlignment="1" applyFont="1">
      <alignment shrinkToFit="0" wrapText="1"/>
    </xf>
    <xf borderId="0" fillId="0" fontId="38" numFmtId="0" xfId="0" applyAlignment="1" applyFont="1">
      <alignment readingOrder="0" shrinkToFit="0" vertical="bottom" wrapText="1"/>
    </xf>
    <xf borderId="0" fillId="0" fontId="38" numFmtId="178" xfId="0" applyAlignment="1" applyFont="1" applyNumberFormat="1">
      <alignment readingOrder="0" vertical="bottom"/>
    </xf>
    <xf borderId="0" fillId="0" fontId="38" numFmtId="178" xfId="0" applyAlignment="1" applyFont="1" applyNumberFormat="1">
      <alignment horizontal="left" readingOrder="0" vertical="center"/>
    </xf>
    <xf borderId="15" fillId="19" fontId="38" numFmtId="176" xfId="0" applyAlignment="1" applyBorder="1" applyFont="1" applyNumberFormat="1">
      <alignment vertical="bottom"/>
    </xf>
    <xf borderId="0" fillId="0" fontId="32" numFmtId="176" xfId="0" applyAlignment="1" applyFont="1" applyNumberFormat="1">
      <alignment horizontal="center" readingOrder="0" vertical="bottom"/>
    </xf>
    <xf borderId="0" fillId="0" fontId="32" numFmtId="176" xfId="0" applyAlignment="1" applyFont="1" applyNumberFormat="1">
      <alignment vertical="bottom"/>
    </xf>
    <xf borderId="0" fillId="0" fontId="38" numFmtId="176" xfId="0" applyAlignment="1" applyFont="1" applyNumberFormat="1">
      <alignment vertical="bottom"/>
    </xf>
    <xf borderId="0" fillId="0" fontId="38" numFmtId="3" xfId="0" applyAlignment="1" applyFont="1" applyNumberFormat="1">
      <alignment horizontal="right" readingOrder="0" vertical="bottom"/>
    </xf>
    <xf borderId="0" fillId="0" fontId="38" numFmtId="176" xfId="0" applyAlignment="1" applyFont="1" applyNumberFormat="1">
      <alignment readingOrder="0" vertical="bottom"/>
    </xf>
    <xf borderId="0" fillId="0" fontId="38" numFmtId="0" xfId="0" applyAlignment="1" applyFont="1">
      <alignment readingOrder="0"/>
    </xf>
    <xf borderId="17" fillId="0" fontId="38" numFmtId="176" xfId="0" applyAlignment="1" applyBorder="1" applyFont="1" applyNumberFormat="1">
      <alignment vertical="bottom"/>
    </xf>
    <xf borderId="0" fillId="20" fontId="48" numFmtId="0" xfId="0" applyAlignment="1" applyFill="1" applyFont="1">
      <alignment readingOrder="0" vertical="center"/>
    </xf>
    <xf borderId="0" fillId="0" fontId="29" numFmtId="0" xfId="0" applyAlignment="1" applyFont="1">
      <alignment vertical="center"/>
    </xf>
    <xf borderId="0" fillId="0" fontId="29" numFmtId="0" xfId="0" applyAlignment="1" applyFont="1">
      <alignment vertical="center"/>
    </xf>
    <xf borderId="0" fillId="0" fontId="29" numFmtId="3" xfId="0" applyAlignment="1" applyFont="1" applyNumberFormat="1">
      <alignment vertical="bottom"/>
    </xf>
    <xf borderId="0" fillId="0" fontId="29" numFmtId="3" xfId="0" applyAlignment="1" applyFont="1" applyNumberFormat="1">
      <alignment vertical="center"/>
    </xf>
    <xf borderId="0" fillId="0" fontId="29" numFmtId="49" xfId="0" applyAlignment="1" applyFont="1" applyNumberFormat="1">
      <alignment vertical="center"/>
    </xf>
    <xf borderId="0" fillId="11" fontId="49" numFmtId="0" xfId="0" applyAlignment="1" applyFont="1">
      <alignment vertical="center"/>
    </xf>
    <xf borderId="0" fillId="20" fontId="29" numFmtId="0" xfId="0" applyAlignment="1" applyFont="1">
      <alignment horizontal="center" vertical="center"/>
    </xf>
    <xf borderId="0" fillId="0" fontId="29" numFmtId="166" xfId="0" applyAlignment="1" applyFont="1" applyNumberFormat="1">
      <alignment vertical="center"/>
    </xf>
    <xf borderId="0" fillId="0" fontId="29" numFmtId="3" xfId="0" applyAlignment="1" applyFont="1" applyNumberFormat="1">
      <alignment horizontal="center" shrinkToFit="0" vertical="bottom" wrapText="1"/>
    </xf>
    <xf borderId="0" fillId="0" fontId="29" numFmtId="0" xfId="0" applyAlignment="1" applyFont="1">
      <alignment horizontal="center" readingOrder="0" vertical="center"/>
    </xf>
    <xf borderId="0" fillId="0" fontId="29" numFmtId="166" xfId="0" applyAlignment="1" applyFont="1" applyNumberFormat="1">
      <alignment horizontal="center" readingOrder="0" vertical="center"/>
    </xf>
    <xf borderId="0" fillId="0" fontId="29" numFmtId="0" xfId="0" applyAlignment="1" applyFont="1">
      <alignment horizontal="left" shrinkToFit="0" vertical="center" wrapText="1"/>
    </xf>
    <xf borderId="0" fillId="0" fontId="29" numFmtId="0" xfId="0" applyAlignment="1" applyFont="1">
      <alignment readingOrder="0" shrinkToFit="0" vertical="center" wrapText="1"/>
    </xf>
    <xf borderId="0" fillId="0" fontId="29" numFmtId="49" xfId="0" applyAlignment="1" applyFont="1" applyNumberFormat="1">
      <alignment shrinkToFit="0" vertical="center" wrapText="1"/>
    </xf>
    <xf borderId="0" fillId="0" fontId="29" numFmtId="49" xfId="0" applyAlignment="1" applyFont="1" applyNumberFormat="1">
      <alignment readingOrder="0" shrinkToFit="0" vertical="center" wrapText="1"/>
    </xf>
    <xf borderId="0" fillId="0" fontId="29" numFmtId="0" xfId="0" applyAlignment="1" applyFont="1">
      <alignment shrinkToFit="0" vertical="center" wrapText="1"/>
    </xf>
    <xf borderId="0" fillId="0" fontId="29" numFmtId="0" xfId="0" applyAlignment="1" applyFont="1">
      <alignment readingOrder="0" vertical="center"/>
    </xf>
    <xf borderId="0" fillId="16" fontId="29" numFmtId="0" xfId="0" applyAlignment="1" applyFont="1">
      <alignment readingOrder="0" shrinkToFit="0" vertical="center" wrapText="1"/>
    </xf>
    <xf borderId="1" fillId="15" fontId="30" numFmtId="0" xfId="0" applyAlignment="1" applyBorder="1" applyFont="1">
      <alignment horizontal="center" shrinkToFit="0" vertical="center" wrapText="1"/>
    </xf>
    <xf borderId="1" fillId="15" fontId="30" numFmtId="0" xfId="0" applyAlignment="1" applyBorder="1" applyFont="1">
      <alignment horizontal="center" readingOrder="0" shrinkToFit="0" vertical="center" wrapText="1"/>
    </xf>
    <xf borderId="1" fillId="15" fontId="30" numFmtId="3" xfId="0" applyAlignment="1" applyBorder="1" applyFont="1" applyNumberFormat="1">
      <alignment horizontal="center" vertical="center"/>
    </xf>
    <xf borderId="1" fillId="15" fontId="30" numFmtId="3" xfId="0" applyAlignment="1" applyBorder="1" applyFont="1" applyNumberFormat="1">
      <alignment horizontal="center" shrinkToFit="0" vertical="center" wrapText="1"/>
    </xf>
    <xf borderId="1" fillId="15" fontId="30" numFmtId="49" xfId="0" applyAlignment="1" applyBorder="1" applyFont="1" applyNumberFormat="1">
      <alignment horizontal="center" readingOrder="0" shrinkToFit="0" vertical="center" wrapText="1"/>
    </xf>
    <xf borderId="1" fillId="15" fontId="30" numFmtId="49" xfId="0" applyAlignment="1" applyBorder="1" applyFont="1" applyNumberFormat="1">
      <alignment horizontal="center" shrinkToFit="0" vertical="center" wrapText="1"/>
    </xf>
    <xf borderId="1" fillId="15" fontId="30" numFmtId="0" xfId="0" applyAlignment="1" applyBorder="1" applyFont="1">
      <alignment horizontal="center" shrinkToFit="0" vertical="center" wrapText="1"/>
    </xf>
    <xf borderId="0" fillId="11" fontId="5" numFmtId="0" xfId="0" applyAlignment="1" applyFont="1">
      <alignment shrinkToFit="0" vertical="center" wrapText="1"/>
    </xf>
    <xf borderId="18" fillId="15" fontId="30" numFmtId="0" xfId="0" applyAlignment="1" applyBorder="1" applyFont="1">
      <alignment horizontal="center" shrinkToFit="0" vertical="center" wrapText="1"/>
    </xf>
    <xf borderId="0" fillId="11" fontId="33" numFmtId="0" xfId="0" applyAlignment="1" applyFont="1">
      <alignment horizontal="center" readingOrder="0" shrinkToFit="0" vertical="center" wrapText="1"/>
    </xf>
    <xf borderId="1" fillId="5" fontId="5" numFmtId="0" xfId="0" applyAlignment="1" applyBorder="1" applyFont="1">
      <alignment horizontal="center" shrinkToFit="0" vertical="center" wrapText="1"/>
    </xf>
    <xf borderId="1" fillId="5" fontId="27" numFmtId="167" xfId="0" applyAlignment="1" applyBorder="1" applyFont="1" applyNumberFormat="1">
      <alignment horizontal="center" readingOrder="0" vertical="center"/>
    </xf>
    <xf borderId="1" fillId="5" fontId="27" numFmtId="0" xfId="0" applyAlignment="1" applyBorder="1" applyFont="1">
      <alignment readingOrder="0" vertical="center"/>
    </xf>
    <xf borderId="1" fillId="5" fontId="27" numFmtId="3" xfId="0" applyAlignment="1" applyBorder="1" applyFont="1" applyNumberFormat="1">
      <alignment readingOrder="0" vertical="center"/>
    </xf>
    <xf borderId="1" fillId="5" fontId="27" numFmtId="167" xfId="0" applyAlignment="1" applyBorder="1" applyFont="1" applyNumberFormat="1">
      <alignment readingOrder="0" vertical="center"/>
    </xf>
    <xf borderId="1" fillId="5" fontId="27" numFmtId="49" xfId="0" applyAlignment="1" applyBorder="1" applyFont="1" applyNumberFormat="1">
      <alignment horizontal="center" readingOrder="0" shrinkToFit="0" vertical="center" wrapText="1"/>
    </xf>
    <xf borderId="1" fillId="5" fontId="27" numFmtId="49" xfId="0" applyAlignment="1" applyBorder="1" applyFont="1" applyNumberFormat="1">
      <alignment horizontal="center" readingOrder="0" vertical="center"/>
    </xf>
    <xf borderId="1" fillId="0" fontId="27" numFmtId="0" xfId="0" applyAlignment="1" applyBorder="1" applyFont="1">
      <alignment vertical="center"/>
    </xf>
    <xf borderId="1" fillId="0" fontId="27" numFmtId="4" xfId="0" applyAlignment="1" applyBorder="1" applyFont="1" applyNumberFormat="1">
      <alignment horizontal="center" readingOrder="0" vertical="center"/>
    </xf>
    <xf borderId="1" fillId="0" fontId="27" numFmtId="0" xfId="0" applyAlignment="1" applyBorder="1" applyFont="1">
      <alignment horizontal="center" shrinkToFit="0" vertical="center" wrapText="1"/>
    </xf>
    <xf borderId="1" fillId="5" fontId="27" numFmtId="0" xfId="0" applyAlignment="1" applyBorder="1" applyFont="1">
      <alignment horizontal="center" readingOrder="0" vertical="center"/>
    </xf>
    <xf borderId="1" fillId="5" fontId="27" numFmtId="0" xfId="0" applyAlignment="1" applyBorder="1" applyFont="1">
      <alignment horizontal="center" vertical="center"/>
    </xf>
    <xf borderId="1" fillId="5" fontId="27" numFmtId="0" xfId="0" applyAlignment="1" applyBorder="1" applyFont="1">
      <alignment vertical="center"/>
    </xf>
    <xf borderId="1" fillId="5" fontId="27" numFmtId="49" xfId="0" applyAlignment="1" applyBorder="1" applyFont="1" applyNumberFormat="1">
      <alignment readingOrder="0" vertical="center"/>
    </xf>
    <xf borderId="1" fillId="0" fontId="27" numFmtId="3" xfId="0" applyAlignment="1" applyBorder="1" applyFont="1" applyNumberFormat="1">
      <alignment vertical="center"/>
    </xf>
    <xf borderId="1" fillId="0" fontId="27" numFmtId="3" xfId="0" applyAlignment="1" applyBorder="1" applyFont="1" applyNumberFormat="1">
      <alignment horizontal="right" vertical="center"/>
    </xf>
    <xf borderId="18" fillId="0" fontId="27" numFmtId="3" xfId="0" applyAlignment="1" applyBorder="1" applyFont="1" applyNumberFormat="1">
      <alignment horizontal="right" vertical="center"/>
    </xf>
    <xf borderId="0" fillId="0" fontId="27" numFmtId="0" xfId="0" applyAlignment="1" applyFont="1">
      <alignment readingOrder="0" vertical="center"/>
    </xf>
    <xf borderId="0" fillId="0" fontId="27" numFmtId="3" xfId="0" applyAlignment="1" applyFont="1" applyNumberFormat="1">
      <alignment readingOrder="0" vertical="center"/>
    </xf>
    <xf borderId="0" fillId="0" fontId="27" numFmtId="0" xfId="0" applyAlignment="1" applyFont="1">
      <alignment horizontal="center" readingOrder="0" vertical="center"/>
    </xf>
    <xf borderId="0" fillId="0" fontId="27" numFmtId="166" xfId="0" applyAlignment="1" applyFont="1" applyNumberFormat="1">
      <alignment readingOrder="0" vertical="center"/>
    </xf>
    <xf borderId="1" fillId="21" fontId="27" numFmtId="0" xfId="0" applyAlignment="1" applyBorder="1" applyFill="1" applyFont="1">
      <alignment horizontal="center" vertical="center"/>
    </xf>
    <xf borderId="1" fillId="21" fontId="27" numFmtId="167" xfId="0" applyAlignment="1" applyBorder="1" applyFont="1" applyNumberFormat="1">
      <alignment horizontal="center" readingOrder="0" vertical="center"/>
    </xf>
    <xf borderId="1" fillId="21" fontId="27" numFmtId="0" xfId="0" applyAlignment="1" applyBorder="1" applyFont="1">
      <alignment readingOrder="0" vertical="center"/>
    </xf>
    <xf borderId="1" fillId="21" fontId="27" numFmtId="3" xfId="0" applyAlignment="1" applyBorder="1" applyFont="1" applyNumberFormat="1">
      <alignment readingOrder="0" vertical="center"/>
    </xf>
    <xf borderId="1" fillId="21" fontId="27" numFmtId="167" xfId="0" applyAlignment="1" applyBorder="1" applyFont="1" applyNumberFormat="1">
      <alignment readingOrder="0" vertical="center"/>
    </xf>
    <xf borderId="1" fillId="21" fontId="27" numFmtId="49" xfId="0" applyAlignment="1" applyBorder="1" applyFont="1" applyNumberFormat="1">
      <alignment horizontal="center" readingOrder="0" shrinkToFit="0" vertical="center" wrapText="1"/>
    </xf>
    <xf borderId="1" fillId="21" fontId="27" numFmtId="49" xfId="0" applyAlignment="1" applyBorder="1" applyFont="1" applyNumberFormat="1">
      <alignment horizontal="center" readingOrder="0" vertical="center"/>
    </xf>
    <xf borderId="1" fillId="0" fontId="27" numFmtId="0" xfId="0" applyAlignment="1" applyBorder="1" applyFont="1">
      <alignment readingOrder="0" vertical="center"/>
    </xf>
    <xf borderId="1" fillId="21" fontId="27" numFmtId="0" xfId="0" applyAlignment="1" applyBorder="1" applyFont="1">
      <alignment horizontal="center" vertical="center"/>
    </xf>
    <xf borderId="1" fillId="0" fontId="27" numFmtId="0" xfId="0" applyAlignment="1" applyBorder="1" applyFont="1">
      <alignment vertical="center"/>
    </xf>
    <xf borderId="1" fillId="0" fontId="27" numFmtId="49" xfId="0" applyAlignment="1" applyBorder="1" applyFont="1" applyNumberFormat="1">
      <alignment readingOrder="0" vertical="center"/>
    </xf>
    <xf borderId="1" fillId="5" fontId="27" numFmtId="0" xfId="0" applyAlignment="1" applyBorder="1" applyFont="1">
      <alignment horizontal="center" vertical="center"/>
    </xf>
    <xf borderId="0" fillId="0" fontId="27" numFmtId="0" xfId="0" applyAlignment="1" applyFont="1">
      <alignment horizontal="center" vertical="center"/>
    </xf>
    <xf borderId="1" fillId="0" fontId="27" numFmtId="0" xfId="0" applyAlignment="1" applyBorder="1" applyFont="1">
      <alignment horizontal="center" readingOrder="0" shrinkToFit="0" vertical="center" wrapText="1"/>
    </xf>
    <xf borderId="1" fillId="0" fontId="27" numFmtId="0" xfId="0" applyAlignment="1" applyBorder="1" applyFont="1">
      <alignment horizontal="center" vertical="center"/>
    </xf>
    <xf borderId="1" fillId="0" fontId="27" numFmtId="49" xfId="0" applyAlignment="1" applyBorder="1" applyFont="1" applyNumberFormat="1">
      <alignment vertical="center"/>
    </xf>
    <xf borderId="1" fillId="21" fontId="27" numFmtId="49" xfId="0" applyAlignment="1" applyBorder="1" applyFont="1" applyNumberFormat="1">
      <alignment vertical="center"/>
    </xf>
    <xf borderId="0" fillId="5" fontId="27" numFmtId="0" xfId="0" applyAlignment="1" applyFont="1">
      <alignment vertical="center"/>
    </xf>
    <xf borderId="1" fillId="5" fontId="27" numFmtId="49" xfId="0" applyAlignment="1" applyBorder="1" applyFont="1" applyNumberFormat="1">
      <alignment vertical="center"/>
    </xf>
    <xf borderId="1" fillId="21" fontId="27" numFmtId="167" xfId="0" applyAlignment="1" applyBorder="1" applyFont="1" applyNumberFormat="1">
      <alignment vertical="center"/>
    </xf>
    <xf borderId="1" fillId="21" fontId="27" numFmtId="0" xfId="0" applyAlignment="1" applyBorder="1" applyFont="1">
      <alignment vertical="center"/>
    </xf>
    <xf borderId="1" fillId="5" fontId="27" numFmtId="167" xfId="0" applyAlignment="1" applyBorder="1" applyFont="1" applyNumberFormat="1">
      <alignment vertical="center"/>
    </xf>
    <xf borderId="1" fillId="0" fontId="27" numFmtId="0" xfId="0" applyAlignment="1" applyBorder="1" applyFont="1">
      <alignment horizontal="center" vertical="center"/>
    </xf>
    <xf borderId="0" fillId="0" fontId="31" numFmtId="0" xfId="0" applyAlignment="1" applyFont="1">
      <alignment horizontal="center" shrinkToFit="0" wrapText="1"/>
    </xf>
    <xf borderId="0" fillId="0" fontId="40" numFmtId="0" xfId="0" applyFont="1"/>
    <xf borderId="0" fillId="0" fontId="33" numFmtId="0" xfId="0" applyAlignment="1" applyFont="1">
      <alignment shrinkToFit="0" vertical="center" wrapText="1"/>
    </xf>
    <xf borderId="0" fillId="0" fontId="33" numFmtId="0" xfId="0" applyAlignment="1" applyFont="1">
      <alignment readingOrder="0" shrinkToFit="0" vertical="center" wrapText="1"/>
    </xf>
    <xf borderId="0" fillId="0" fontId="33" numFmtId="0" xfId="0" applyAlignment="1" applyFont="1">
      <alignment shrinkToFit="0" vertical="center" wrapText="1"/>
    </xf>
    <xf borderId="0" fillId="0" fontId="4" numFmtId="0" xfId="0" applyAlignment="1" applyFont="1">
      <alignment shrinkToFit="0" vertical="center" wrapText="1"/>
    </xf>
    <xf borderId="1" fillId="9" fontId="4" numFmtId="0" xfId="0" applyAlignment="1" applyBorder="1" applyFont="1">
      <alignment horizontal="center" shrinkToFit="0" vertical="center" wrapText="1"/>
    </xf>
    <xf borderId="1" fillId="9" fontId="4"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5" fillId="0" fontId="4" numFmtId="0" xfId="0" applyAlignment="1" applyBorder="1" applyFont="1">
      <alignment shrinkToFit="0" vertical="center" wrapText="1"/>
    </xf>
    <xf borderId="1" fillId="0" fontId="27" numFmtId="0" xfId="0" applyAlignment="1" applyBorder="1" applyFont="1">
      <alignment horizontal="center" shrinkToFit="0" vertical="center" wrapText="1"/>
    </xf>
    <xf borderId="1" fillId="0" fontId="27" numFmtId="0" xfId="0" applyAlignment="1" applyBorder="1" applyFont="1">
      <alignment shrinkToFit="0" vertical="center" wrapText="1"/>
    </xf>
    <xf borderId="1" fillId="0" fontId="27" numFmtId="0" xfId="0" applyAlignment="1" applyBorder="1" applyFont="1">
      <alignment shrinkToFit="0" vertical="center" wrapText="1"/>
    </xf>
    <xf borderId="1" fillId="0" fontId="4" numFmtId="0" xfId="0" applyAlignment="1" applyBorder="1" applyFont="1">
      <alignment horizontal="center" shrinkToFit="0" vertical="center" wrapText="1"/>
    </xf>
    <xf borderId="0" fillId="0" fontId="27" numFmtId="0" xfId="0" applyAlignment="1" applyFont="1">
      <alignment horizontal="center" readingOrder="0" shrinkToFit="0" vertical="center" wrapText="1"/>
    </xf>
    <xf borderId="0" fillId="0" fontId="27" numFmtId="0" xfId="0" applyAlignment="1" applyFont="1">
      <alignment horizontal="center" shrinkToFit="0" vertical="center" wrapText="1"/>
    </xf>
    <xf borderId="0" fillId="0" fontId="33" numFmtId="3" xfId="0" applyAlignment="1" applyFont="1" applyNumberFormat="1">
      <alignment vertical="center"/>
    </xf>
    <xf borderId="0" fillId="0" fontId="4" numFmtId="0" xfId="0" applyAlignment="1" applyFont="1">
      <alignment shrinkToFit="0" vertical="center" wrapText="1"/>
    </xf>
    <xf borderId="0" fillId="0" fontId="27" numFmtId="0" xfId="0" applyAlignment="1" applyFont="1">
      <alignment shrinkToFit="0" vertical="center" wrapText="1"/>
    </xf>
    <xf borderId="0" fillId="0" fontId="27" numFmtId="0" xfId="0" applyAlignment="1" applyFont="1">
      <alignment vertical="center"/>
    </xf>
    <xf borderId="0" fillId="0" fontId="44" numFmtId="0" xfId="0" applyAlignment="1" applyFont="1">
      <alignment horizontal="center" shrinkToFit="0" vertical="center" wrapText="1"/>
    </xf>
    <xf borderId="0" fillId="0" fontId="4" numFmtId="3" xfId="0" applyAlignment="1" applyFont="1" applyNumberFormat="1">
      <alignment horizontal="center" shrinkToFit="0" vertical="center" wrapText="1"/>
    </xf>
    <xf borderId="0" fillId="0" fontId="8" numFmtId="3" xfId="0" applyAlignment="1" applyFont="1" applyNumberFormat="1">
      <alignment shrinkToFit="0" vertical="center" wrapText="1"/>
    </xf>
    <xf borderId="0" fillId="0" fontId="28" numFmtId="3" xfId="0" applyAlignment="1" applyFont="1" applyNumberFormat="1">
      <alignment horizontal="center" vertical="center"/>
    </xf>
    <xf borderId="0" fillId="0" fontId="8" numFmtId="3" xfId="0" applyAlignment="1" applyFont="1" applyNumberFormat="1">
      <alignment horizontal="center" vertical="center"/>
    </xf>
    <xf borderId="0" fillId="0" fontId="8" numFmtId="0" xfId="0" applyAlignment="1" applyFont="1">
      <alignment shrinkToFit="0" vertical="center" wrapText="1"/>
    </xf>
    <xf borderId="0" fillId="22" fontId="50" numFmtId="0" xfId="0" applyAlignment="1" applyFill="1" applyFont="1">
      <alignment horizontal="center" vertical="center"/>
    </xf>
    <xf borderId="0" fillId="22" fontId="50" numFmtId="3" xfId="0" applyAlignment="1" applyFont="1" applyNumberFormat="1">
      <alignment horizontal="center" vertical="center"/>
    </xf>
    <xf borderId="1" fillId="14" fontId="30" numFmtId="3" xfId="0" applyAlignment="1" applyBorder="1" applyFont="1" applyNumberFormat="1">
      <alignment horizontal="center" shrinkToFit="0" vertical="center" wrapText="1"/>
    </xf>
    <xf borderId="1" fillId="14" fontId="40" numFmtId="3" xfId="0" applyAlignment="1" applyBorder="1" applyFont="1" applyNumberFormat="1">
      <alignment horizontal="center" shrinkToFit="0" vertical="center" wrapText="1"/>
    </xf>
    <xf borderId="1" fillId="14" fontId="30" numFmtId="0" xfId="0" applyAlignment="1" applyBorder="1" applyFont="1">
      <alignment horizontal="center" shrinkToFit="0" vertical="center" wrapText="1"/>
    </xf>
    <xf borderId="1" fillId="14" fontId="30" numFmtId="0" xfId="0" applyAlignment="1" applyBorder="1" applyFont="1">
      <alignment horizontal="center" shrinkToFit="0" vertical="center" wrapText="1"/>
    </xf>
    <xf borderId="1" fillId="0" fontId="8" numFmtId="3" xfId="0" applyAlignment="1" applyBorder="1" applyFont="1" applyNumberFormat="1">
      <alignment readingOrder="0" vertical="center"/>
    </xf>
    <xf borderId="1" fillId="0" fontId="8" numFmtId="3" xfId="0" applyAlignment="1" applyBorder="1" applyFont="1" applyNumberFormat="1">
      <alignment readingOrder="0" shrinkToFit="0" vertical="center" wrapText="1"/>
    </xf>
    <xf borderId="1" fillId="0" fontId="8" numFmtId="179" xfId="0" applyAlignment="1" applyBorder="1" applyFont="1" applyNumberFormat="1">
      <alignment readingOrder="0" vertical="center"/>
    </xf>
    <xf borderId="1" fillId="0" fontId="8" numFmtId="166" xfId="0" applyAlignment="1" applyBorder="1" applyFont="1" applyNumberFormat="1">
      <alignment vertical="center"/>
    </xf>
    <xf borderId="1" fillId="0" fontId="8" numFmtId="3" xfId="0" applyAlignment="1" applyBorder="1" applyFont="1" applyNumberFormat="1">
      <alignment horizontal="center" vertical="bottom"/>
    </xf>
    <xf borderId="1" fillId="0" fontId="8" numFmtId="3" xfId="0" applyAlignment="1" applyBorder="1" applyFont="1" applyNumberFormat="1">
      <alignment vertical="center"/>
    </xf>
    <xf borderId="1" fillId="0" fontId="8" numFmtId="3" xfId="0" applyAlignment="1" applyBorder="1" applyFont="1" applyNumberFormat="1">
      <alignment horizontal="center" vertical="center"/>
    </xf>
    <xf borderId="1" fillId="0" fontId="8" numFmtId="3" xfId="0" applyAlignment="1" applyBorder="1" applyFont="1" applyNumberFormat="1">
      <alignment shrinkToFit="0" vertical="center" wrapText="1"/>
    </xf>
    <xf borderId="0" fillId="0" fontId="51" numFmtId="180" xfId="0" applyAlignment="1" applyFont="1" applyNumberFormat="1">
      <alignment horizontal="center" readingOrder="0" shrinkToFit="0" vertical="center" wrapText="0"/>
    </xf>
    <xf borderId="0" fillId="0" fontId="52" numFmtId="0" xfId="0" applyAlignment="1" applyFont="1">
      <alignment horizontal="center" shrinkToFit="0" vertical="center" wrapText="0"/>
    </xf>
    <xf borderId="0" fillId="0" fontId="52" numFmtId="0" xfId="0" applyAlignment="1" applyFont="1">
      <alignment horizontal="center" readingOrder="0" shrinkToFit="0" vertical="center" wrapText="1"/>
    </xf>
    <xf borderId="0" fillId="0" fontId="43" numFmtId="0" xfId="0" applyAlignment="1" applyFont="1">
      <alignment horizontal="center" shrinkToFit="0" vertical="center" wrapText="1"/>
    </xf>
    <xf borderId="0" fillId="0" fontId="52" numFmtId="0" xfId="0" applyAlignment="1" applyFont="1">
      <alignment horizontal="center" shrinkToFit="0" vertical="center" wrapText="1"/>
    </xf>
    <xf borderId="0" fillId="0" fontId="53" numFmtId="180" xfId="0" applyAlignment="1" applyFont="1" applyNumberFormat="1">
      <alignment horizontal="center" readingOrder="0" shrinkToFit="0" vertical="center" wrapText="1"/>
    </xf>
    <xf borderId="0" fillId="0" fontId="54" numFmtId="0" xfId="0" applyAlignment="1" applyFont="1">
      <alignment horizontal="center" vertical="center"/>
    </xf>
    <xf borderId="0" fillId="0" fontId="53" numFmtId="180" xfId="0" applyAlignment="1" applyFont="1" applyNumberFormat="1">
      <alignment horizontal="center" readingOrder="0" shrinkToFit="0" vertical="center" wrapText="0"/>
    </xf>
    <xf borderId="0" fillId="0" fontId="54" numFmtId="4" xfId="0" applyAlignment="1" applyFont="1" applyNumberFormat="1">
      <alignment horizontal="center" readingOrder="0" vertical="center"/>
    </xf>
    <xf borderId="0" fillId="0" fontId="55" numFmtId="0" xfId="0" applyAlignment="1" applyFont="1">
      <alignment horizontal="center" readingOrder="0" shrinkToFit="0" vertical="center" wrapText="1"/>
    </xf>
    <xf borderId="0" fillId="0" fontId="44" numFmtId="180" xfId="0" applyAlignment="1" applyFont="1" applyNumberFormat="1">
      <alignment horizontal="center" readingOrder="0" shrinkToFit="0" vertical="center" wrapText="0"/>
    </xf>
    <xf borderId="0" fillId="0" fontId="4" numFmtId="0" xfId="0" applyAlignment="1" applyFont="1">
      <alignment horizontal="center" shrinkToFit="0" vertical="center" wrapText="0"/>
    </xf>
    <xf borderId="0" fillId="0" fontId="4" numFmtId="0" xfId="0" applyAlignment="1" applyFont="1">
      <alignment horizontal="center" readingOrder="0" shrinkToFit="0" vertical="center" wrapText="1"/>
    </xf>
    <xf borderId="1" fillId="0" fontId="43"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4" numFmtId="166" xfId="0" applyAlignment="1" applyBorder="1" applyFont="1" applyNumberFormat="1">
      <alignment horizontal="center" shrinkToFit="0" vertical="center" wrapText="1"/>
    </xf>
    <xf borderId="0" fillId="0" fontId="27" numFmtId="4" xfId="0" applyAlignment="1" applyFont="1" applyNumberFormat="1">
      <alignment horizontal="center" readingOrder="0" vertical="center"/>
    </xf>
    <xf borderId="0" fillId="0" fontId="4" numFmtId="0" xfId="0" applyAlignment="1" applyFont="1">
      <alignment horizontal="center" shrinkToFit="0" vertical="center" wrapText="1"/>
    </xf>
    <xf borderId="1" fillId="0" fontId="43" numFmtId="0" xfId="0" applyAlignment="1" applyBorder="1" applyFont="1">
      <alignment horizontal="center" readingOrder="0" vertical="center"/>
    </xf>
    <xf borderId="1" fillId="0" fontId="4" numFmtId="181" xfId="0" applyAlignment="1" applyBorder="1" applyFont="1" applyNumberFormat="1">
      <alignment horizontal="center" readingOrder="0" vertical="center"/>
    </xf>
    <xf borderId="1" fillId="0" fontId="4" numFmtId="0" xfId="0" applyAlignment="1" applyBorder="1" applyFont="1">
      <alignment horizontal="center" vertical="center"/>
    </xf>
    <xf borderId="1" fillId="0" fontId="4" numFmtId="166" xfId="0" applyAlignment="1" applyBorder="1" applyFont="1" applyNumberFormat="1">
      <alignment horizontal="center" vertical="center"/>
    </xf>
    <xf borderId="0" fillId="0" fontId="51" numFmtId="0" xfId="0" applyAlignment="1" applyFont="1">
      <alignment horizontal="center" shrinkToFit="0" vertical="center" wrapText="0"/>
    </xf>
    <xf borderId="0" fillId="0" fontId="51" numFmtId="0" xfId="0" applyAlignment="1" applyFont="1">
      <alignment horizontal="center" readingOrder="0" shrinkToFit="0" vertical="center" wrapText="1"/>
    </xf>
    <xf borderId="0" fillId="0" fontId="41" numFmtId="0" xfId="0" applyAlignment="1" applyFont="1">
      <alignment horizontal="center" shrinkToFit="0" vertical="center" wrapText="1"/>
    </xf>
    <xf borderId="0" fillId="0" fontId="51" numFmtId="0" xfId="0" applyAlignment="1" applyFont="1">
      <alignment horizontal="center" shrinkToFit="0" vertical="center" wrapText="1"/>
    </xf>
    <xf borderId="0" fillId="0" fontId="51" numFmtId="0" xfId="0" applyAlignment="1" applyFont="1">
      <alignment horizontal="center" vertical="center"/>
    </xf>
    <xf borderId="0" fillId="0" fontId="51" numFmtId="4" xfId="0" applyAlignment="1" applyFont="1" applyNumberFormat="1">
      <alignment horizontal="center" readingOrder="0" vertical="center"/>
    </xf>
    <xf borderId="1" fillId="0" fontId="30" numFmtId="180" xfId="0" applyAlignment="1" applyBorder="1" applyFont="1" applyNumberFormat="1">
      <alignment horizontal="center" shrinkToFit="0" vertical="center" wrapText="1"/>
    </xf>
    <xf borderId="1" fillId="0" fontId="30" numFmtId="0" xfId="0" applyAlignment="1" applyBorder="1" applyFont="1">
      <alignment horizontal="center" shrinkToFit="0" vertical="center" wrapText="1"/>
    </xf>
    <xf borderId="1" fillId="23" fontId="30" numFmtId="0" xfId="0" applyAlignment="1" applyBorder="1" applyFill="1" applyFont="1">
      <alignment horizontal="center" shrinkToFit="0" vertical="center" wrapText="1"/>
    </xf>
    <xf borderId="1" fillId="23" fontId="30" numFmtId="0" xfId="0" applyAlignment="1" applyBorder="1" applyFont="1">
      <alignment horizontal="center" readingOrder="0" shrinkToFit="0" vertical="center" wrapText="1"/>
    </xf>
    <xf borderId="1" fillId="23" fontId="40" numFmtId="0" xfId="0" applyAlignment="1" applyBorder="1" applyFont="1">
      <alignment horizontal="center" shrinkToFit="0" vertical="center" wrapText="1"/>
    </xf>
    <xf borderId="1" fillId="24" fontId="30" numFmtId="14" xfId="0" applyAlignment="1" applyBorder="1" applyFill="1" applyFont="1" applyNumberFormat="1">
      <alignment horizontal="center" shrinkToFit="0" vertical="center" wrapText="1"/>
    </xf>
    <xf borderId="1" fillId="24" fontId="30" numFmtId="167" xfId="0" applyAlignment="1" applyBorder="1" applyFont="1" applyNumberFormat="1">
      <alignment horizontal="center" shrinkToFit="0" vertical="center" wrapText="1"/>
    </xf>
    <xf borderId="1" fillId="24" fontId="30" numFmtId="166" xfId="0" applyAlignment="1" applyBorder="1" applyFont="1" applyNumberFormat="1">
      <alignment horizontal="center" shrinkToFit="0" vertical="center" wrapText="1"/>
    </xf>
    <xf borderId="1" fillId="24" fontId="30" numFmtId="4" xfId="0" applyAlignment="1" applyBorder="1" applyFont="1" applyNumberFormat="1">
      <alignment horizontal="center" readingOrder="0" shrinkToFit="0" vertical="center" wrapText="1"/>
    </xf>
    <xf borderId="1" fillId="24" fontId="30" numFmtId="3" xfId="0" applyAlignment="1" applyBorder="1" applyFont="1" applyNumberFormat="1">
      <alignment horizontal="center" shrinkToFit="0" vertical="center" wrapText="1"/>
    </xf>
    <xf borderId="1" fillId="25" fontId="30" numFmtId="0" xfId="0" applyAlignment="1" applyBorder="1" applyFill="1" applyFont="1">
      <alignment horizontal="center" readingOrder="0" shrinkToFit="0" vertical="center" wrapText="1"/>
    </xf>
    <xf borderId="1" fillId="0" fontId="43" numFmtId="0" xfId="0" applyAlignment="1" applyBorder="1" applyFont="1">
      <alignment horizontal="center" vertical="center"/>
    </xf>
    <xf borderId="1" fillId="0" fontId="27" numFmtId="14" xfId="0" applyAlignment="1" applyBorder="1" applyFont="1" applyNumberFormat="1">
      <alignment horizontal="center" vertical="center"/>
    </xf>
    <xf borderId="1" fillId="0" fontId="27" numFmtId="166" xfId="0" applyAlignment="1" applyBorder="1" applyFont="1" applyNumberFormat="1">
      <alignment horizontal="center" readingOrder="0" vertical="center"/>
    </xf>
    <xf borderId="1" fillId="0" fontId="27" numFmtId="167" xfId="0" applyAlignment="1" applyBorder="1" applyFont="1" applyNumberFormat="1">
      <alignment horizontal="center" readingOrder="0" vertical="center"/>
    </xf>
    <xf borderId="1" fillId="0" fontId="27" numFmtId="3" xfId="0" applyAlignment="1" applyBorder="1" applyFont="1" applyNumberFormat="1">
      <alignment horizontal="center" readingOrder="0" vertical="center"/>
    </xf>
    <xf borderId="1" fillId="0" fontId="27" numFmtId="3" xfId="0" applyAlignment="1" applyBorder="1" applyFont="1" applyNumberFormat="1">
      <alignment horizontal="center" vertical="center"/>
    </xf>
    <xf borderId="1" fillId="0" fontId="27" numFmtId="3" xfId="0" applyAlignment="1" applyBorder="1" applyFont="1" applyNumberFormat="1">
      <alignment horizontal="center" shrinkToFit="0" vertical="center" wrapText="1"/>
    </xf>
    <xf borderId="1" fillId="0" fontId="4" numFmtId="3" xfId="0" applyAlignment="1" applyBorder="1" applyFont="1" applyNumberFormat="1">
      <alignment horizontal="center" shrinkToFit="0" vertical="center" wrapText="1"/>
    </xf>
    <xf borderId="1" fillId="0" fontId="27" numFmtId="181" xfId="0" applyAlignment="1" applyBorder="1" applyFont="1" applyNumberFormat="1">
      <alignment horizontal="center" readingOrder="0" vertical="center"/>
    </xf>
    <xf borderId="1" fillId="0" fontId="27" numFmtId="167" xfId="0" applyAlignment="1" applyBorder="1" applyFont="1" applyNumberFormat="1">
      <alignment horizontal="center" vertical="center"/>
    </xf>
    <xf borderId="1" fillId="0" fontId="27" numFmtId="3" xfId="0" applyAlignment="1" applyBorder="1" applyFont="1" applyNumberFormat="1">
      <alignment horizontal="left" shrinkToFit="0" vertical="center" wrapText="1"/>
    </xf>
    <xf borderId="0" fillId="0" fontId="56" numFmtId="0" xfId="0" applyAlignment="1" applyFont="1">
      <alignment vertical="center"/>
    </xf>
    <xf borderId="0" fillId="0" fontId="56" numFmtId="0" xfId="0" applyAlignment="1" applyFont="1">
      <alignment readingOrder="0" vertical="center"/>
    </xf>
    <xf borderId="0" fillId="0" fontId="56" numFmtId="10" xfId="0" applyAlignment="1" applyFont="1" applyNumberFormat="1">
      <alignment vertical="center"/>
    </xf>
    <xf borderId="0" fillId="0" fontId="8" numFmtId="10" xfId="0" applyAlignment="1" applyFont="1" applyNumberFormat="1">
      <alignment vertical="center"/>
    </xf>
    <xf borderId="0" fillId="0" fontId="57" numFmtId="10" xfId="0" applyAlignment="1" applyFont="1" applyNumberFormat="1">
      <alignment vertical="center"/>
    </xf>
    <xf borderId="0" fillId="0" fontId="58" numFmtId="0" xfId="0" applyAlignment="1" applyFont="1">
      <alignment horizontal="center" readingOrder="0" vertical="center"/>
    </xf>
    <xf borderId="0" fillId="0" fontId="28" numFmtId="0" xfId="0" applyAlignment="1" applyFont="1">
      <alignment horizontal="center" readingOrder="0" vertical="center"/>
    </xf>
    <xf borderId="0" fillId="0" fontId="8" numFmtId="0" xfId="0" applyFont="1"/>
    <xf borderId="0" fillId="0" fontId="59" numFmtId="0" xfId="0" applyAlignment="1" applyFont="1">
      <alignment horizontal="right" readingOrder="0" vertical="center"/>
    </xf>
    <xf borderId="2" fillId="0" fontId="30" numFmtId="0" xfId="0" applyAlignment="1" applyBorder="1" applyFont="1">
      <alignment horizontal="center" vertical="center"/>
    </xf>
    <xf borderId="2" fillId="0" fontId="30" numFmtId="0" xfId="0" applyAlignment="1" applyBorder="1" applyFont="1">
      <alignment horizontal="center" readingOrder="0" shrinkToFit="0" vertical="center" wrapText="1"/>
    </xf>
    <xf borderId="5" fillId="0" fontId="30" numFmtId="0" xfId="0" applyAlignment="1" applyBorder="1" applyFont="1">
      <alignment horizontal="center" vertical="center"/>
    </xf>
    <xf borderId="2" fillId="0" fontId="32" numFmtId="0" xfId="0" applyAlignment="1" applyBorder="1" applyFont="1">
      <alignment horizontal="center" readingOrder="0" shrinkToFit="0" vertical="center" wrapText="1"/>
    </xf>
    <xf borderId="5" fillId="26" fontId="30" numFmtId="171" xfId="0" applyAlignment="1" applyBorder="1" applyFill="1" applyFont="1" applyNumberFormat="1">
      <alignment horizontal="center" readingOrder="0" vertical="center"/>
    </xf>
    <xf borderId="5" fillId="27" fontId="30" numFmtId="171" xfId="0" applyAlignment="1" applyBorder="1" applyFill="1" applyFont="1" applyNumberFormat="1">
      <alignment horizontal="center" readingOrder="0" vertical="center"/>
    </xf>
    <xf borderId="1" fillId="26" fontId="43" numFmtId="10" xfId="0" applyAlignment="1" applyBorder="1" applyFont="1" applyNumberFormat="1">
      <alignment horizontal="center" readingOrder="0" shrinkToFit="0" vertical="center" wrapText="1"/>
    </xf>
    <xf borderId="1" fillId="26" fontId="43" numFmtId="0" xfId="0" applyAlignment="1" applyBorder="1" applyFont="1">
      <alignment horizontal="center" readingOrder="0" shrinkToFit="0" vertical="center" wrapText="1"/>
    </xf>
    <xf borderId="1" fillId="15" fontId="43" numFmtId="3" xfId="0" applyAlignment="1" applyBorder="1" applyFont="1" applyNumberFormat="1">
      <alignment horizontal="center" readingOrder="0" shrinkToFit="0" vertical="center" wrapText="1"/>
    </xf>
    <xf borderId="1" fillId="15" fontId="43" numFmtId="0" xfId="0" applyAlignment="1" applyBorder="1" applyFont="1">
      <alignment horizontal="center" readingOrder="0" shrinkToFit="0" vertical="center" wrapText="1"/>
    </xf>
    <xf borderId="1" fillId="26" fontId="43" numFmtId="3" xfId="0" applyAlignment="1" applyBorder="1" applyFont="1" applyNumberFormat="1">
      <alignment horizontal="right" vertical="center"/>
    </xf>
    <xf borderId="1" fillId="26" fontId="43" numFmtId="10" xfId="0" applyAlignment="1" applyBorder="1" applyFont="1" applyNumberFormat="1">
      <alignment horizontal="right" vertical="center"/>
    </xf>
    <xf borderId="1" fillId="27" fontId="43" numFmtId="3" xfId="0" applyAlignment="1" applyBorder="1" applyFont="1" applyNumberFormat="1">
      <alignment horizontal="right" vertical="center"/>
    </xf>
    <xf borderId="1" fillId="27" fontId="43" numFmtId="10" xfId="0" applyAlignment="1" applyBorder="1" applyFont="1" applyNumberFormat="1">
      <alignment horizontal="right" vertical="center"/>
    </xf>
    <xf borderId="1" fillId="5" fontId="43" numFmtId="3" xfId="0" applyAlignment="1" applyBorder="1" applyFont="1" applyNumberFormat="1">
      <alignment horizontal="right" vertical="center"/>
    </xf>
    <xf borderId="1" fillId="5" fontId="60" numFmtId="10" xfId="0" applyAlignment="1" applyBorder="1" applyFont="1" applyNumberFormat="1">
      <alignment horizontal="right" vertical="center"/>
    </xf>
    <xf borderId="0" fillId="0" fontId="27" numFmtId="0" xfId="0" applyAlignment="1" applyFont="1">
      <alignment horizontal="center" readingOrder="0" shrinkToFit="0" wrapText="1"/>
    </xf>
    <xf borderId="1" fillId="5" fontId="27" numFmtId="0" xfId="0" applyAlignment="1" applyBorder="1" applyFont="1">
      <alignment shrinkToFit="0" vertical="center" wrapText="1"/>
    </xf>
    <xf borderId="1" fillId="26" fontId="60" numFmtId="3" xfId="0" applyAlignment="1" applyBorder="1" applyFont="1" applyNumberFormat="1">
      <alignment horizontal="right" vertical="center"/>
    </xf>
    <xf borderId="1" fillId="26" fontId="4" numFmtId="10" xfId="0" applyAlignment="1" applyBorder="1" applyFont="1" applyNumberFormat="1">
      <alignment horizontal="right" vertical="center"/>
    </xf>
    <xf borderId="1" fillId="27" fontId="60" numFmtId="3" xfId="0" applyAlignment="1" applyBorder="1" applyFont="1" applyNumberFormat="1">
      <alignment horizontal="right" vertical="center"/>
    </xf>
    <xf borderId="1" fillId="27" fontId="60" numFmtId="10" xfId="0" applyAlignment="1" applyBorder="1" applyFont="1" applyNumberFormat="1">
      <alignment horizontal="right" vertical="center"/>
    </xf>
    <xf borderId="0" fillId="0" fontId="31" numFmtId="0" xfId="0" applyAlignment="1" applyFont="1">
      <alignment horizontal="center" readingOrder="0" vertical="center"/>
    </xf>
    <xf borderId="5" fillId="15" fontId="4" numFmtId="171" xfId="0" applyAlignment="1" applyBorder="1" applyFont="1" applyNumberFormat="1">
      <alignment horizontal="center" readingOrder="0" vertical="center"/>
    </xf>
    <xf borderId="5" fillId="26" fontId="4" numFmtId="171" xfId="0" applyAlignment="1" applyBorder="1" applyFont="1" applyNumberFormat="1">
      <alignment horizontal="center" readingOrder="0" vertical="center"/>
    </xf>
    <xf borderId="5" fillId="0" fontId="4" numFmtId="171" xfId="0" applyAlignment="1" applyBorder="1" applyFont="1" applyNumberFormat="1">
      <alignment horizontal="center" readingOrder="0" vertical="center"/>
    </xf>
    <xf borderId="1" fillId="26" fontId="43" numFmtId="3" xfId="0" applyAlignment="1" applyBorder="1" applyFont="1" applyNumberFormat="1">
      <alignment horizontal="center" readingOrder="0" shrinkToFit="0" vertical="center" wrapText="1"/>
    </xf>
    <xf borderId="1" fillId="15" fontId="43" numFmtId="3" xfId="0" applyAlignment="1" applyBorder="1" applyFont="1" applyNumberFormat="1">
      <alignment horizontal="right" vertical="center"/>
    </xf>
    <xf borderId="0" fillId="0" fontId="3" numFmtId="0" xfId="0" applyAlignment="1" applyFont="1">
      <alignment horizontal="center" readingOrder="0" shrinkToFit="0" wrapText="1"/>
    </xf>
    <xf borderId="1" fillId="15" fontId="4" numFmtId="3" xfId="0" applyAlignment="1" applyBorder="1" applyFont="1" applyNumberFormat="1">
      <alignment horizontal="right" vertical="center"/>
    </xf>
    <xf borderId="1" fillId="15" fontId="4" numFmtId="3" xfId="0" applyAlignment="1" applyBorder="1" applyFont="1" applyNumberFormat="1">
      <alignment horizontal="right" readingOrder="0" vertical="center"/>
    </xf>
    <xf borderId="1" fillId="26" fontId="4" numFmtId="3" xfId="0" applyAlignment="1" applyBorder="1" applyFont="1" applyNumberFormat="1">
      <alignment horizontal="right" vertical="center"/>
    </xf>
    <xf borderId="1" fillId="26" fontId="4" numFmtId="3" xfId="0" applyAlignment="1" applyBorder="1" applyFont="1" applyNumberFormat="1">
      <alignment horizontal="right" readingOrder="0" vertical="center"/>
    </xf>
    <xf borderId="0" fillId="0" fontId="8" numFmtId="0" xfId="0" applyAlignment="1" applyFont="1">
      <alignment horizontal="right" vertical="center"/>
    </xf>
    <xf borderId="0" fillId="0" fontId="61" numFmtId="0" xfId="0" applyAlignment="1" applyFont="1">
      <alignment horizontal="right" readingOrder="0" vertical="center"/>
    </xf>
    <xf borderId="2" fillId="0" fontId="4" numFmtId="0" xfId="0" applyAlignment="1" applyBorder="1" applyFont="1">
      <alignment horizontal="center" vertical="center"/>
    </xf>
    <xf borderId="2" fillId="0" fontId="4" numFmtId="0" xfId="0" applyAlignment="1" applyBorder="1" applyFont="1">
      <alignment horizontal="center" readingOrder="0" shrinkToFit="0" vertical="center" wrapText="1"/>
    </xf>
    <xf borderId="5" fillId="0" fontId="4" numFmtId="0" xfId="0" applyAlignment="1" applyBorder="1" applyFont="1">
      <alignment horizontal="center" vertical="center"/>
    </xf>
    <xf borderId="2" fillId="0" fontId="60" numFmtId="0" xfId="0" applyAlignment="1" applyBorder="1" applyFont="1">
      <alignment horizontal="center" readingOrder="0" shrinkToFit="0" vertical="center" wrapText="1"/>
    </xf>
    <xf borderId="5" fillId="27" fontId="4" numFmtId="171" xfId="0" applyAlignment="1" applyBorder="1" applyFont="1" applyNumberFormat="1">
      <alignment horizontal="center" readingOrder="0" vertical="center"/>
    </xf>
    <xf borderId="1" fillId="27" fontId="43" numFmtId="3" xfId="0" applyAlignment="1" applyBorder="1" applyFont="1" applyNumberFormat="1">
      <alignment horizontal="center" readingOrder="0" shrinkToFit="0" vertical="center" wrapText="1"/>
    </xf>
    <xf borderId="1" fillId="27" fontId="43" numFmtId="10" xfId="0" applyAlignment="1" applyBorder="1" applyFont="1" applyNumberFormat="1">
      <alignment horizontal="center" readingOrder="0" shrinkToFit="0" vertical="center" wrapText="1"/>
    </xf>
    <xf borderId="1" fillId="26" fontId="4" numFmtId="3" xfId="0" applyAlignment="1" applyBorder="1" applyFont="1" applyNumberFormat="1">
      <alignment horizontal="right"/>
    </xf>
    <xf borderId="1" fillId="26" fontId="4" numFmtId="10" xfId="0" applyAlignment="1" applyBorder="1" applyFont="1" applyNumberFormat="1">
      <alignment horizontal="right"/>
    </xf>
    <xf borderId="1" fillId="27" fontId="4" numFmtId="3" xfId="0" applyAlignment="1" applyBorder="1" applyFont="1" applyNumberFormat="1">
      <alignment horizontal="right"/>
    </xf>
    <xf borderId="1" fillId="27" fontId="4" numFmtId="10" xfId="0" applyAlignment="1" applyBorder="1" applyFont="1" applyNumberFormat="1">
      <alignment horizontal="right"/>
    </xf>
    <xf borderId="0" fillId="0" fontId="27" numFmtId="0" xfId="0" applyAlignment="1" applyFont="1">
      <alignment shrinkToFit="0" vertical="center" wrapText="1"/>
    </xf>
    <xf borderId="0" fillId="26" fontId="4" numFmtId="3" xfId="0" applyAlignment="1" applyFont="1" applyNumberFormat="1">
      <alignment horizontal="right"/>
    </xf>
    <xf borderId="0" fillId="26" fontId="4" numFmtId="10" xfId="0" applyAlignment="1" applyFont="1" applyNumberFormat="1">
      <alignment horizontal="right"/>
    </xf>
    <xf borderId="0" fillId="27" fontId="4" numFmtId="3" xfId="0" applyAlignment="1" applyFont="1" applyNumberFormat="1">
      <alignment horizontal="right"/>
    </xf>
    <xf borderId="0" fillId="27" fontId="4" numFmtId="10" xfId="0" applyAlignment="1" applyFont="1" applyNumberFormat="1">
      <alignment horizontal="right"/>
    </xf>
    <xf borderId="0" fillId="5" fontId="43" numFmtId="3" xfId="0" applyAlignment="1" applyFont="1" applyNumberFormat="1">
      <alignment horizontal="right" vertical="center"/>
    </xf>
    <xf borderId="0" fillId="5" fontId="60" numFmtId="10" xfId="0" applyAlignment="1" applyFont="1" applyNumberFormat="1">
      <alignment horizontal="right" vertical="center"/>
    </xf>
    <xf borderId="6" fillId="26" fontId="4" numFmtId="171" xfId="0" applyAlignment="1" applyBorder="1" applyFont="1" applyNumberFormat="1">
      <alignment horizontal="center" readingOrder="0" vertical="center"/>
    </xf>
    <xf borderId="7" fillId="26" fontId="4" numFmtId="171" xfId="0" applyAlignment="1" applyBorder="1" applyFont="1" applyNumberFormat="1">
      <alignment horizontal="center" readingOrder="0" vertical="center"/>
    </xf>
    <xf borderId="6" fillId="27" fontId="4" numFmtId="171" xfId="0" applyAlignment="1" applyBorder="1" applyFont="1" applyNumberFormat="1">
      <alignment horizontal="center" readingOrder="0" vertical="center"/>
    </xf>
    <xf borderId="7" fillId="27" fontId="4" numFmtId="171" xfId="0" applyAlignment="1" applyBorder="1" applyFont="1" applyNumberFormat="1">
      <alignment horizontal="center" readingOrder="0" vertical="center"/>
    </xf>
    <xf borderId="1" fillId="27" fontId="4" numFmtId="3" xfId="0" applyAlignment="1" applyBorder="1" applyFont="1" applyNumberFormat="1">
      <alignment horizontal="right" vertical="center"/>
    </xf>
    <xf borderId="0" fillId="0" fontId="53" numFmtId="0" xfId="0" applyAlignment="1" applyFont="1">
      <alignment horizontal="left" readingOrder="0" shrinkToFit="0" vertical="center" wrapText="1"/>
    </xf>
    <xf borderId="0" fillId="0" fontId="53" numFmtId="3" xfId="0" applyAlignment="1" applyFont="1" applyNumberFormat="1">
      <alignment horizontal="left" readingOrder="0" shrinkToFit="0" vertical="center" wrapText="1"/>
    </xf>
    <xf borderId="0" fillId="0" fontId="53" numFmtId="10" xfId="0" applyAlignment="1" applyFont="1" applyNumberFormat="1">
      <alignment horizontal="left" readingOrder="0" shrinkToFit="0" vertical="center" wrapText="1"/>
    </xf>
    <xf borderId="19" fillId="0" fontId="27" numFmtId="0" xfId="0" applyAlignment="1" applyBorder="1" applyFont="1">
      <alignment horizontal="left" readingOrder="0" shrinkToFit="0" vertical="center" wrapText="0"/>
    </xf>
    <xf borderId="0" fillId="0" fontId="27" numFmtId="0" xfId="0" applyAlignment="1" applyFont="1">
      <alignment horizontal="center" readingOrder="0" shrinkToFit="0" vertical="center" wrapText="0"/>
    </xf>
    <xf borderId="0" fillId="0" fontId="27" numFmtId="3" xfId="0" applyAlignment="1" applyFont="1" applyNumberFormat="1">
      <alignment horizontal="center" readingOrder="0" shrinkToFit="0" vertical="center" wrapText="0"/>
    </xf>
    <xf borderId="0" fillId="0" fontId="27" numFmtId="10" xfId="0" applyAlignment="1" applyFont="1" applyNumberFormat="1">
      <alignment horizontal="center" readingOrder="0" shrinkToFit="0" vertical="center" wrapText="0"/>
    </xf>
    <xf borderId="0" fillId="0" fontId="44" numFmtId="0" xfId="0" applyAlignment="1" applyFont="1">
      <alignment horizontal="center" readingOrder="0" shrinkToFit="0" vertical="center" wrapText="1"/>
    </xf>
    <xf borderId="0" fillId="0" fontId="44" numFmtId="3" xfId="0" applyAlignment="1" applyFont="1" applyNumberFormat="1">
      <alignment horizontal="center" readingOrder="0" shrinkToFit="0" vertical="center" wrapText="1"/>
    </xf>
    <xf borderId="0" fillId="0" fontId="44" numFmtId="49" xfId="0" applyAlignment="1" applyFont="1" applyNumberFormat="1">
      <alignment horizontal="center" readingOrder="0" shrinkToFit="0" vertical="center" wrapText="1"/>
    </xf>
    <xf borderId="0" fillId="0" fontId="4" numFmtId="10" xfId="0" applyAlignment="1" applyFont="1" applyNumberFormat="1">
      <alignment shrinkToFit="0" vertical="center" wrapText="1"/>
    </xf>
    <xf borderId="0" fillId="0" fontId="4" numFmtId="3" xfId="0" applyAlignment="1" applyFont="1" applyNumberFormat="1">
      <alignment readingOrder="0" shrinkToFit="0" vertical="center" wrapText="1"/>
    </xf>
    <xf borderId="0" fillId="0" fontId="44" numFmtId="10" xfId="0" applyAlignment="1" applyFont="1" applyNumberFormat="1">
      <alignment readingOrder="0" shrinkToFit="0" vertical="center" wrapText="0"/>
    </xf>
    <xf borderId="1" fillId="0" fontId="4" numFmtId="0" xfId="0" applyAlignment="1" applyBorder="1" applyFont="1">
      <alignment horizontal="center" readingOrder="0" vertical="center"/>
    </xf>
    <xf borderId="1" fillId="0" fontId="4" numFmtId="3" xfId="0" applyAlignment="1" applyBorder="1" applyFont="1" applyNumberFormat="1">
      <alignment horizontal="center" readingOrder="0" shrinkToFit="0" vertical="center" wrapText="1"/>
    </xf>
    <xf borderId="1" fillId="0" fontId="4" numFmtId="182" xfId="0" applyAlignment="1" applyBorder="1" applyFont="1" applyNumberFormat="1">
      <alignment horizontal="center" vertical="center"/>
    </xf>
    <xf borderId="0" fillId="0" fontId="26" numFmtId="3" xfId="0" applyAlignment="1" applyFont="1" applyNumberFormat="1">
      <alignment readingOrder="0" vertical="center"/>
    </xf>
    <xf borderId="0" fillId="0" fontId="27" numFmtId="183" xfId="0" applyAlignment="1" applyFont="1" applyNumberFormat="1">
      <alignment vertical="center"/>
    </xf>
    <xf borderId="0" fillId="0" fontId="27" numFmtId="10" xfId="0" applyAlignment="1" applyFont="1" applyNumberFormat="1">
      <alignment vertical="center"/>
    </xf>
    <xf borderId="0" fillId="0" fontId="4" numFmtId="180" xfId="0" applyAlignment="1" applyFont="1" applyNumberFormat="1">
      <alignment shrinkToFit="0" vertical="center" wrapText="1"/>
    </xf>
    <xf borderId="0" fillId="0" fontId="4" numFmtId="3" xfId="0" applyAlignment="1" applyFont="1" applyNumberFormat="1">
      <alignment horizontal="center" readingOrder="0" shrinkToFit="0" vertical="center" wrapText="1"/>
    </xf>
    <xf borderId="0" fillId="0" fontId="4" numFmtId="10" xfId="0" applyAlignment="1" applyFont="1" applyNumberFormat="1">
      <alignment horizontal="center" readingOrder="0" shrinkToFit="0" vertical="center" wrapText="1"/>
    </xf>
    <xf borderId="1" fillId="11" fontId="4" numFmtId="0" xfId="0" applyAlignment="1" applyBorder="1" applyFont="1">
      <alignment horizontal="center" shrinkToFit="0" vertical="center" wrapText="1"/>
    </xf>
    <xf borderId="1" fillId="11" fontId="4" numFmtId="180" xfId="0" applyAlignment="1" applyBorder="1" applyFont="1" applyNumberFormat="1">
      <alignment shrinkToFit="0" vertical="center" wrapText="1"/>
    </xf>
    <xf borderId="1" fillId="11" fontId="4" numFmtId="0" xfId="0" applyAlignment="1" applyBorder="1" applyFont="1">
      <alignment horizontal="center" readingOrder="0" shrinkToFit="0" vertical="center" wrapText="1"/>
    </xf>
    <xf borderId="1" fillId="11" fontId="4" numFmtId="3" xfId="0" applyAlignment="1" applyBorder="1" applyFont="1" applyNumberFormat="1">
      <alignment horizontal="center" shrinkToFit="0" vertical="center" wrapText="1"/>
    </xf>
    <xf borderId="1" fillId="11" fontId="4" numFmtId="3" xfId="0" applyAlignment="1" applyBorder="1" applyFont="1" applyNumberFormat="1">
      <alignment horizontal="center" readingOrder="0" shrinkToFit="0" vertical="center" wrapText="1"/>
    </xf>
    <xf borderId="1" fillId="11" fontId="4" numFmtId="10" xfId="0" applyAlignment="1" applyBorder="1" applyFont="1" applyNumberFormat="1">
      <alignment horizontal="center" readingOrder="0" shrinkToFit="0" vertical="center" wrapText="1"/>
    </xf>
    <xf borderId="1" fillId="0" fontId="27" numFmtId="14" xfId="0" applyAlignment="1" applyBorder="1" applyFont="1" applyNumberFormat="1">
      <alignment vertical="center"/>
    </xf>
    <xf borderId="1" fillId="0" fontId="27" numFmtId="167" xfId="0" applyAlignment="1" applyBorder="1" applyFont="1" applyNumberFormat="1">
      <alignment vertical="center"/>
    </xf>
    <xf borderId="1" fillId="0" fontId="27" numFmtId="3" xfId="0" applyAlignment="1" applyBorder="1" applyFont="1" applyNumberFormat="1">
      <alignment readingOrder="0" vertical="center"/>
    </xf>
    <xf borderId="1" fillId="0" fontId="27" numFmtId="10" xfId="0" applyAlignment="1" applyBorder="1" applyFont="1" applyNumberFormat="1">
      <alignment readingOrder="0" vertical="center"/>
    </xf>
  </cellXfs>
  <cellStyles count="1">
    <cellStyle xfId="0" name="Normal" builtinId="0"/>
  </cellStyles>
  <dxfs count="1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none"/>
      </fill>
      <border/>
    </dxf>
    <dxf>
      <font>
        <b/>
        <color rgb="FFFF0000"/>
      </font>
      <fill>
        <patternFill patternType="none"/>
      </fill>
      <border/>
    </dxf>
    <dxf>
      <font/>
      <fill>
        <patternFill patternType="solid">
          <fgColor rgb="FFFF0000"/>
          <bgColor rgb="FFFF0000"/>
        </patternFill>
      </fill>
      <border/>
    </dxf>
    <dxf>
      <font>
        <color rgb="FFFFFF00"/>
      </font>
      <fill>
        <patternFill patternType="solid">
          <fgColor rgb="FFFF0000"/>
          <bgColor rgb="FFFF0000"/>
        </patternFill>
      </fill>
      <border/>
    </dxf>
    <dxf>
      <font>
        <color rgb="FFFF0000"/>
      </font>
      <fill>
        <patternFill patternType="none"/>
      </fill>
      <border/>
    </dxf>
    <dxf>
      <font>
        <b/>
        <color rgb="FFFF0000"/>
      </font>
      <fill>
        <patternFill patternType="solid">
          <fgColor rgb="FFB7E1CD"/>
          <bgColor rgb="FFB7E1CD"/>
        </patternFill>
      </fill>
      <border/>
    </dxf>
    <dxf>
      <font>
        <b/>
        <color rgb="FF000000"/>
      </font>
      <fill>
        <patternFill patternType="solid">
          <fgColor rgb="FFF4CCCC"/>
          <bgColor rgb="FFF4CCCC"/>
        </patternFill>
      </fill>
      <border/>
    </dxf>
    <dxf>
      <font>
        <color rgb="FF000000"/>
      </font>
      <fill>
        <patternFill patternType="solid">
          <fgColor rgb="FFFFF2CC"/>
          <bgColor rgb="FFFFF2CC"/>
        </patternFill>
      </fill>
      <border/>
    </dxf>
    <dxf>
      <font>
        <color rgb="FF000000"/>
      </font>
      <fill>
        <patternFill patternType="solid">
          <fgColor rgb="FFEA9999"/>
          <bgColor rgb="FFEA9999"/>
        </patternFill>
      </fill>
      <border/>
    </dxf>
    <dxf>
      <font>
        <b/>
        <color rgb="FF000000"/>
      </font>
      <fill>
        <patternFill patternType="solid">
          <fgColor rgb="FFFFF2CC"/>
          <bgColor rgb="FFFFF2CC"/>
        </patternFill>
      </fill>
      <border/>
    </dxf>
    <dxf>
      <font>
        <color rgb="FFFFFF00"/>
      </font>
      <fill>
        <patternFill patternType="solid">
          <fgColor rgb="FFCC0000"/>
          <bgColor rgb="FFCC0000"/>
        </patternFill>
      </fill>
      <border/>
    </dxf>
  </dxfs>
  <tableStyles count="4">
    <tableStyle count="4" pivot="0" name="0.Ngân Hàng-style">
      <tableStyleElement dxfId="1" type="headerRow"/>
      <tableStyleElement dxfId="2" type="firstRowStripe"/>
      <tableStyleElement dxfId="3" type="secondRowStripe"/>
      <tableStyleElement dxfId="4" size="0" type="wholeTable"/>
    </tableStyle>
    <tableStyle count="4" pivot="0" name="3. KHẢO SÁT, LẤY MẪU ĐÁNH GIÁ N-style">
      <tableStyleElement dxfId="1" type="headerRow"/>
      <tableStyleElement dxfId="2" type="firstRowStripe"/>
      <tableStyleElement dxfId="3" type="secondRowStripe"/>
      <tableStyleElement dxfId="4" size="0" type="wholeTable"/>
    </tableStyle>
    <tableStyle count="4" pivot="0" name="4. KHẢO SÁT, LẤY MẪU ĐÁNH GIÁ S-style">
      <tableStyleElement dxfId="1" type="headerRow"/>
      <tableStyleElement dxfId="2" type="firstRowStripe"/>
      <tableStyleElement dxfId="3" type="secondRowStripe"/>
      <tableStyleElement dxfId="4" size="0" type="wholeTable"/>
    </tableStyle>
    <tableStyle count="4" pivot="0" name="6. TIẾN ĐỘ MUA HÀ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39" displayName="Tài_khoản_ngân_hàng_NCC" name="Tài_khoản_ngân_hàng_NCC" id="1">
  <tableColumns count="3">
    <tableColumn name="Tên TK thụ hưởng: " id="1"/>
    <tableColumn name="Số TK thụ hưởng:" id="2"/>
    <tableColumn name="Ngân hàng/Chi nhánh: " id="3"/>
  </tableColumns>
  <tableStyleInfo name="0.Ngân Hàng-style" showColumnStripes="0" showFirstColumn="1" showLastColumn="1" showRowStripes="1"/>
</table>
</file>

<file path=xl/tables/table2.xml><?xml version="1.0" encoding="utf-8"?>
<table xmlns="http://schemas.openxmlformats.org/spreadsheetml/2006/main" ref="A5:AJ14" displayName="ĐÁNH_GIÁ_NHÀ_CUNG_CẤP" name="ĐÁNH_GIÁ_NHÀ_CUNG_CẤP" id="2">
  <tableColumns count="36">
    <tableColumn name="Stt" id="1"/>
    <tableColumn name="Ngày tiếp nhận" id="2"/>
    <tableColumn name="Ngày YC trả KQ" id="3"/>
    <tableColumn name="BP/Người YC" id="4"/>
    <tableColumn name="Mã yêu cầu" id="5"/>
    <tableColumn name="Phân loại " id="6"/>
    <tableColumn name="Chi tiết thông số kỹ thuật, chất lượng, yêu cầu khác" id="7"/>
    <tableColumn name="Số lượng dự kiến mua (nếu có)" id="8"/>
    <tableColumn name="ĐVT" id="9"/>
    <tableColumn name="Giá đề xuất VNĐ" id="10"/>
    <tableColumn name="NSPT" id="11"/>
    <tableColumn name="Ngày liên hệ NCC" id="12"/>
    <tableColumn name="Ngày dự kiến NCC phản hồi KQ" id="13"/>
    <tableColumn name="Ngày dự kiến trả KQ_x000a_(Hoàn thành)" id="14"/>
    <tableColumn name="Tên viết tắt NCC" id="15"/>
    <tableColumn name="Tên NCC" id="16"/>
    <tableColumn name="Mã số thuế" id="17"/>
    <tableColumn name="Địa chỉ theo giấy đăng kí" id="18"/>
    <tableColumn name="Địa chỉ kho của NCC" id="19"/>
    <tableColumn name="Link định vị kho" id="20"/>
    <tableColumn name="NVKD của NCC" id="21"/>
    <tableColumn name="SĐT NCC đang làm việc" id="22"/>
    <tableColumn name="Nhóm sản phẩm dịch vụ NCC có thể cung ứng" id="23"/>
    <tableColumn name="Link báo giá" id="24"/>
    <tableColumn name="Nguồn thông tin đầu vào" id="25"/>
    <tableColumn name="Công nghệ sản xuất, đa dạng chủng loại " id="26"/>
    <tableColumn name="Thời gian SX" id="27"/>
    <tableColumn name="Đánh giá tư vấn NVKD (NCC)" id="28"/>
    <tableColumn name="Hóa đơn " id="29"/>
    <tableColumn name="Mức độ tin cậy" id="30"/>
    <tableColumn name="Chính sách nhận hàng" id="31"/>
    <tableColumn name="Chính sách công nợ " id="32"/>
    <tableColumn name="Hàng lỗi, hàng trả" id="33"/>
    <tableColumn name="Nhận xét (NSPT)" id="34"/>
    <tableColumn name="Duyệt (TP/QL)" id="35"/>
    <tableColumn name="Yêu cầu (TP/QL)" id="36"/>
  </tableColumns>
  <tableStyleInfo name="3. KHẢO SÁT, LẤY MẪU ĐÁNH GIÁ N-style" showColumnStripes="0" showFirstColumn="1" showLastColumn="1" showRowStripes="1"/>
</table>
</file>

<file path=xl/tables/table3.xml><?xml version="1.0" encoding="utf-8"?>
<table xmlns="http://schemas.openxmlformats.org/spreadsheetml/2006/main" ref="A5:AM14" displayName="ĐÁNH_GIÁ_SẢN_PHẨM" name="ĐÁNH_GIÁ_SẢN_PHẨM" id="3">
  <autoFilter ref="$A$5:$AM$14"/>
  <tableColumns count="39">
    <tableColumn name="Stt" id="1"/>
    <tableColumn name="Ngày tiếp nhận" id="2"/>
    <tableColumn name="Ngày YC trả KQ" id="3"/>
    <tableColumn name="BP/Người YC" id="4"/>
    <tableColumn name="Mã yêu cầu" id="5"/>
    <tableColumn name="Phân loại " id="6"/>
    <tableColumn name="Chi tiết thông số kỹ thuật, chất lượng, yêu cầu khác" id="7"/>
    <tableColumn name="Số lượng dự kiến mua (nếu có)" id="8"/>
    <tableColumn name="ĐVT" id="9"/>
    <tableColumn name="Giá đề xuất VNĐ" id="10"/>
    <tableColumn name="NSPT" id="11"/>
    <tableColumn name="Ngày liên hệ" id="12"/>
    <tableColumn name="Ngày dự kiến phản hồi" id="13"/>
    <tableColumn name="Ngày dự kiến trả KQ (Hoàn thành)" id="14"/>
    <tableColumn name="Tên viết tắt NCC" id="15"/>
    <tableColumn name="Mã VTBB/NL/BTP_x000a_(nội bộ)" id="16"/>
    <tableColumn name="Tên VTBB/NL/BTP _x000a_(nội bộ)" id="17"/>
    <tableColumn name="Tên VTBB/NVL/NL_x000a_(tên NCC đặt)" id="18"/>
    <tableColumn name="Thông số kỹ thuật" id="19"/>
    <tableColumn name="Xuất xứ sản phẩm" id="20"/>
    <tableColumn name="ĐVT " id="21"/>
    <tableColumn name="MOQ tối thiểu" id="22"/>
    <tableColumn name="Giá theo sản lượng (VNĐ)" id="23"/>
    <tableColumn name="Khung sản lượng (Theo ĐVT)" id="24"/>
    <tableColumn name="VAT" id="25"/>
    <tableColumn name="Thành tiền (VNĐ)" id="26"/>
    <tableColumn name="ĐVT_x000a_(Quy đổi về ĐVT Cty)" id="27"/>
    <tableColumn name="Thành tiền (Đã quy đổi ĐVT)" id="28"/>
    <tableColumn name="Chi phí vận chuyển_x000a_(VND)" id="29"/>
    <tableColumn name="Thời gian giao hàng_x000a_(Ngày)" id="30"/>
    <tableColumn name="Địa điểm giao/nhận hàng" id="31"/>
    <tableColumn name="Link báo giá" id="32"/>
    <tableColumn name="Mẫu sẵn" id="33"/>
    <tableColumn name="Ngày lấy mẫu" id="34"/>
    <tableColumn name="Số lượng mẫu nhận" id="35"/>
    <tableColumn name="Đánh giá chất lượng từ LAB" id="36"/>
    <tableColumn name="NSPT Đánh giá " id="37"/>
    <tableColumn name="Duyệt" id="38"/>
    <tableColumn name="Ý kiến TP/QL" id="39"/>
  </tableColumns>
  <tableStyleInfo name="4. KHẢO SÁT, LẤY MẪU ĐÁNH GIÁ S-style" showColumnStripes="0" showFirstColumn="1" showLastColumn="1" showRowStripes="1"/>
</table>
</file>

<file path=xl/tables/table4.xml><?xml version="1.0" encoding="utf-8"?>
<table xmlns="http://schemas.openxmlformats.org/spreadsheetml/2006/main" ref="A4:AT76" displayName="TIẾN_ĐỘ_MUA_HÀNG" name="TIẾN_ĐỘ_MUA_HÀNG" id="4">
  <autoFilter ref="$A$4:$AT$76"/>
  <tableColumns count="46">
    <tableColumn name="TIẾN ĐỘ MUA HÀNG" id="1"/>
    <tableColumn name="Ngày tiếp nhận" id="2"/>
    <tableColumn name="Ngày yêu cầu có hàng" id="3"/>
    <tableColumn name="Ngày dự kiến nhận tại kho" id="4"/>
    <tableColumn name="Ngày nhận thực tế" id="5"/>
    <tableColumn name="Bộ phận/Cá nhân đặt hàng" id="6"/>
    <tableColumn name="Pháp lý lấy hóa đơn " id="7"/>
    <tableColumn name="NSPT" id="8"/>
    <tableColumn name="NCC VTBB/NL trong nước" id="9"/>
    <tableColumn name="Mã đơn Misa" id="10"/>
    <tableColumn name="Phân loại VTBB/NL" id="11"/>
    <tableColumn name="Mã VTBB/NL" id="12"/>
    <tableColumn name="Tên VTBB/NL" id="13"/>
    <tableColumn name="Xuất xứ/ Thông số kỹ thuật/ chất liệu" id="14"/>
    <tableColumn name="Tên trên hóa đơn VTBB/NL" id="15"/>
    <tableColumn name="Trạng thái" id="16"/>
    <tableColumn name="NCC có sẵn hàng " id="17"/>
    <tableColumn name="Kho nhận" id="18"/>
    <tableColumn name="Đơn vị vận chuyển" id="19"/>
    <tableColumn name="Số lượng gửi vận chuyển" id="20"/>
    <tableColumn name="ĐVT vận chuyển" id="21"/>
    <tableColumn name="Số lượng yêu cầu" id="22"/>
    <tableColumn name="ĐVT" id="23"/>
    <tableColumn name="Số lượng đặt NCC" id="24"/>
    <tableColumn name="Số lượng đã nhận " id="25"/>
    <tableColumn name="Đơn giá" id="26"/>
    <tableColumn name="VAT" id="27"/>
    <tableColumn name="Thành tiền đơn hàng" id="28"/>
    <tableColumn name="Yêu cầu khác" id="29"/>
    <tableColumn name="Ngày đặt hàng NCC" id="30"/>
    <tableColumn name="Số hóa đơn" id="31"/>
    <tableColumn name="Số lần nhận" id="32"/>
    <tableColumn name="Chi tiết tiến độ, ghi chú khác" id="33"/>
    <tableColumn name="Số ngày có hàng theo quy định" id="34"/>
    <tableColumn name="Ngày quy định" id="35"/>
    <tableColumn name="Đơn giá/ĐVT vận chuyển" id="36"/>
    <tableColumn name="Thành tiền vận chuyển" id="37"/>
    <tableColumn name="CL NGÀY NCC DỰ KIẾN - NGÀY NHẬN HÀNG" id="38"/>
    <tableColumn name="CL NGÀY QUY ĐỊNH - NGÀY NHẬN HÀNG" id="39"/>
    <tableColumn name="CL NGÀY QUY ĐỊNH  - NGÀY KD YÊU CẦU" id="40"/>
    <tableColumn name="Tháng" id="41"/>
    <tableColumn name="Mã HH" id="42"/>
    <tableColumn name="Tên VTBB/Tên NL trên hóa đơn" id="43"/>
    <tableColumn name="Tên sản phẩm (HH)" id="44"/>
    <tableColumn name="Tên pháp lý (HH)" id="45"/>
    <tableColumn name="Hình thức thanh toán cho NCC" id="46"/>
  </tableColumns>
  <tableStyleInfo name="6. TIẾN ĐỘ MUA HÀ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CgXRBV5_N6QGD93NOftHKyHDZxXLoQ7xAUqlIQJvYi4/edit?gid=376217302" TargetMode="External"/><Relationship Id="rId2" Type="http://schemas.openxmlformats.org/officeDocument/2006/relationships/hyperlink" Target="https://drive.google.com/drive/folders/1BmBXrX_f37-5uyJUojpeUkop8-SyObK-" TargetMode="External"/><Relationship Id="rId3" Type="http://schemas.openxmlformats.org/officeDocument/2006/relationships/hyperlink" Target="http://dd.mm/"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9.88"/>
    <col customWidth="1" min="2" max="2" width="45.13"/>
    <col customWidth="1" min="3" max="3" width="12.0"/>
    <col customWidth="1" min="4" max="4" width="52.63"/>
  </cols>
  <sheetData>
    <row r="1">
      <c r="A1" s="1" t="s">
        <v>0</v>
      </c>
    </row>
    <row r="3">
      <c r="A3" s="2" t="s">
        <v>1</v>
      </c>
      <c r="B3" s="2" t="s">
        <v>2</v>
      </c>
      <c r="C3" s="2" t="s">
        <v>3</v>
      </c>
      <c r="D3" s="2" t="s">
        <v>4</v>
      </c>
    </row>
    <row r="4">
      <c r="A4" s="3" t="s">
        <v>5</v>
      </c>
      <c r="B4" s="4" t="s">
        <v>5</v>
      </c>
      <c r="C4" s="5">
        <v>1.0</v>
      </c>
      <c r="D4" s="6" t="s">
        <v>6</v>
      </c>
    </row>
    <row r="5">
      <c r="A5" s="3" t="s">
        <v>7</v>
      </c>
      <c r="B5" s="4" t="s">
        <v>5</v>
      </c>
      <c r="C5" s="5">
        <v>2.0</v>
      </c>
      <c r="D5" s="6" t="s">
        <v>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4.0"/>
    <col customWidth="1" min="2" max="2" width="22.75"/>
    <col customWidth="1" min="3" max="3" width="62.38"/>
  </cols>
  <sheetData>
    <row r="1" ht="32.25" customHeight="1">
      <c r="A1" s="7" t="s">
        <v>9</v>
      </c>
      <c r="B1" s="7" t="s">
        <v>10</v>
      </c>
      <c r="C1" s="7" t="s">
        <v>11</v>
      </c>
    </row>
    <row r="2" ht="22.5" customHeight="1">
      <c r="A2" s="8" t="s">
        <v>12</v>
      </c>
      <c r="B2" s="9">
        <v>1.11000293216E11</v>
      </c>
      <c r="C2" s="8" t="s">
        <v>13</v>
      </c>
    </row>
    <row r="3" ht="22.5" customHeight="1">
      <c r="A3" s="8" t="s">
        <v>14</v>
      </c>
      <c r="B3" s="9">
        <v>1.027554287E9</v>
      </c>
      <c r="C3" s="8" t="s">
        <v>15</v>
      </c>
    </row>
    <row r="4" ht="22.5" customHeight="1">
      <c r="A4" s="8" t="s">
        <v>16</v>
      </c>
      <c r="B4" s="9">
        <v>3.7397989E7</v>
      </c>
      <c r="C4" s="8" t="s">
        <v>17</v>
      </c>
    </row>
    <row r="5" ht="22.5" customHeight="1">
      <c r="A5" s="8" t="s">
        <v>18</v>
      </c>
      <c r="B5" s="9">
        <v>1.18002908288E11</v>
      </c>
      <c r="C5" s="8" t="s">
        <v>19</v>
      </c>
    </row>
    <row r="6" ht="22.5" customHeight="1">
      <c r="A6" s="8" t="s">
        <v>20</v>
      </c>
      <c r="B6" s="9">
        <v>3.180355787E9</v>
      </c>
      <c r="C6" s="8" t="s">
        <v>21</v>
      </c>
    </row>
    <row r="7" ht="22.5" customHeight="1">
      <c r="A7" s="8" t="s">
        <v>22</v>
      </c>
      <c r="B7" s="9">
        <v>8.0136159E7</v>
      </c>
      <c r="C7" s="8" t="s">
        <v>23</v>
      </c>
    </row>
    <row r="8" ht="22.5" customHeight="1">
      <c r="A8" s="8" t="s">
        <v>24</v>
      </c>
      <c r="B8" s="9">
        <v>1.180028522E11</v>
      </c>
      <c r="C8" s="8" t="s">
        <v>25</v>
      </c>
    </row>
    <row r="9" ht="22.5" customHeight="1">
      <c r="A9" s="8" t="s">
        <v>26</v>
      </c>
      <c r="B9" s="9">
        <v>6.686333888E9</v>
      </c>
      <c r="C9" s="8" t="s">
        <v>27</v>
      </c>
    </row>
    <row r="10" ht="22.5" customHeight="1">
      <c r="A10" s="8" t="s">
        <v>28</v>
      </c>
      <c r="B10" s="9">
        <v>2.09120169E8</v>
      </c>
      <c r="C10" s="8" t="s">
        <v>29</v>
      </c>
    </row>
    <row r="11" ht="22.5" customHeight="1">
      <c r="A11" s="8" t="s">
        <v>30</v>
      </c>
      <c r="B11" s="9">
        <v>6.0005959201E10</v>
      </c>
      <c r="C11" s="8" t="s">
        <v>31</v>
      </c>
    </row>
    <row r="12" ht="22.5" customHeight="1">
      <c r="A12" s="8" t="s">
        <v>32</v>
      </c>
      <c r="B12" s="9">
        <v>1.10637556789E11</v>
      </c>
      <c r="C12" s="8" t="s">
        <v>33</v>
      </c>
    </row>
    <row r="13" ht="22.5" customHeight="1">
      <c r="A13" s="8" t="s">
        <v>34</v>
      </c>
      <c r="B13" s="9">
        <v>1.10634956789E11</v>
      </c>
      <c r="C13" s="8" t="s">
        <v>35</v>
      </c>
    </row>
    <row r="14" ht="22.5" customHeight="1">
      <c r="A14" s="8" t="s">
        <v>36</v>
      </c>
      <c r="B14" s="9">
        <v>1.10637256789E11</v>
      </c>
      <c r="C14" s="8" t="s">
        <v>33</v>
      </c>
    </row>
    <row r="15" ht="22.5" customHeight="1">
      <c r="A15" s="8" t="s">
        <v>37</v>
      </c>
      <c r="B15" s="9">
        <v>1.9002855451E10</v>
      </c>
      <c r="C15" s="8" t="s">
        <v>35</v>
      </c>
    </row>
    <row r="16" ht="22.5" customHeight="1">
      <c r="A16" s="8" t="s">
        <v>38</v>
      </c>
      <c r="B16" s="9">
        <v>799899.0</v>
      </c>
      <c r="C16" s="8" t="s">
        <v>39</v>
      </c>
    </row>
    <row r="17" ht="22.5" customHeight="1">
      <c r="A17" s="8" t="s">
        <v>40</v>
      </c>
      <c r="B17" s="9">
        <v>2.00014851033627E14</v>
      </c>
      <c r="C17" s="8" t="s">
        <v>41</v>
      </c>
    </row>
    <row r="18" ht="22.5" customHeight="1">
      <c r="A18" s="8" t="s">
        <v>42</v>
      </c>
      <c r="B18" s="9">
        <v>2.0001485116417E14</v>
      </c>
      <c r="C18" s="8" t="s">
        <v>41</v>
      </c>
    </row>
    <row r="19" ht="22.5" customHeight="1">
      <c r="A19" s="8" t="s">
        <v>43</v>
      </c>
      <c r="B19" s="9">
        <v>2.00014851033627E14</v>
      </c>
      <c r="C19" s="8" t="s">
        <v>41</v>
      </c>
    </row>
    <row r="20" ht="22.5" customHeight="1">
      <c r="A20" s="8" t="s">
        <v>44</v>
      </c>
      <c r="B20" s="9">
        <v>8.6698988E7</v>
      </c>
      <c r="C20" s="8" t="s">
        <v>45</v>
      </c>
    </row>
    <row r="21" ht="22.5" customHeight="1">
      <c r="A21" s="8" t="s">
        <v>46</v>
      </c>
      <c r="B21" s="9">
        <v>1.14106222686868E14</v>
      </c>
      <c r="C21" s="8" t="s">
        <v>47</v>
      </c>
    </row>
    <row r="22" ht="22.5" customHeight="1">
      <c r="A22" s="8" t="s">
        <v>48</v>
      </c>
      <c r="B22" s="9">
        <v>8.386386888E9</v>
      </c>
      <c r="C22" s="8" t="s">
        <v>49</v>
      </c>
    </row>
    <row r="23" ht="22.5" customHeight="1">
      <c r="A23" s="8" t="s">
        <v>50</v>
      </c>
      <c r="B23" s="9">
        <v>1.11000176869E11</v>
      </c>
      <c r="C23" s="8" t="s">
        <v>51</v>
      </c>
    </row>
    <row r="24" ht="22.5" customHeight="1">
      <c r="A24" s="8" t="s">
        <v>52</v>
      </c>
      <c r="B24" s="9">
        <v>1.19002858391E11</v>
      </c>
      <c r="C24" s="8" t="s">
        <v>53</v>
      </c>
    </row>
    <row r="25" ht="22.5" customHeight="1">
      <c r="A25" s="8" t="s">
        <v>54</v>
      </c>
      <c r="B25" s="9">
        <v>8.4533169E7</v>
      </c>
      <c r="C25" s="8" t="s">
        <v>55</v>
      </c>
    </row>
    <row r="26" ht="22.5" customHeight="1">
      <c r="A26" s="8" t="s">
        <v>54</v>
      </c>
      <c r="B26" s="9">
        <v>1.96686868E8</v>
      </c>
      <c r="C26" s="8" t="s">
        <v>56</v>
      </c>
    </row>
    <row r="27" ht="22.5" customHeight="1">
      <c r="A27" s="8" t="s">
        <v>57</v>
      </c>
      <c r="B27" s="9">
        <v>1.61816186868E11</v>
      </c>
      <c r="C27" s="8" t="s">
        <v>58</v>
      </c>
    </row>
    <row r="28" ht="22.5" customHeight="1">
      <c r="A28" s="8" t="s">
        <v>59</v>
      </c>
      <c r="B28" s="9">
        <v>1.8196688E7</v>
      </c>
      <c r="C28" s="8" t="s">
        <v>45</v>
      </c>
    </row>
    <row r="29" ht="22.5" customHeight="1">
      <c r="A29" s="8" t="s">
        <v>60</v>
      </c>
      <c r="B29" s="9">
        <v>7.7000006E7</v>
      </c>
      <c r="C29" s="8" t="s">
        <v>61</v>
      </c>
    </row>
    <row r="30" ht="22.5" customHeight="1">
      <c r="A30" s="8" t="s">
        <v>62</v>
      </c>
      <c r="B30" s="9">
        <v>1.11000188565E11</v>
      </c>
      <c r="C30" s="8" t="s">
        <v>63</v>
      </c>
    </row>
    <row r="31" ht="22.5" customHeight="1">
      <c r="A31" s="8" t="s">
        <v>64</v>
      </c>
      <c r="B31" s="9">
        <v>4.61000423483E11</v>
      </c>
      <c r="C31" s="8" t="s">
        <v>65</v>
      </c>
    </row>
    <row r="32" ht="22.5" customHeight="1">
      <c r="A32" s="8" t="s">
        <v>66</v>
      </c>
      <c r="B32" s="9">
        <v>2.20214851024743E14</v>
      </c>
      <c r="C32" s="8" t="s">
        <v>67</v>
      </c>
    </row>
    <row r="33" ht="22.5" customHeight="1">
      <c r="A33" s="8" t="s">
        <v>68</v>
      </c>
      <c r="B33" s="9">
        <v>6.503271654E9</v>
      </c>
      <c r="C33" s="8" t="s">
        <v>69</v>
      </c>
    </row>
    <row r="34" ht="22.5" customHeight="1">
      <c r="A34" s="8" t="s">
        <v>70</v>
      </c>
      <c r="B34" s="9">
        <v>1.052760374E9</v>
      </c>
      <c r="C34" s="8" t="s">
        <v>71</v>
      </c>
    </row>
    <row r="35" ht="22.5" customHeight="1">
      <c r="A35" s="8" t="s">
        <v>72</v>
      </c>
      <c r="B35" s="9">
        <v>1.11624019999E11</v>
      </c>
      <c r="C35" s="8" t="s">
        <v>73</v>
      </c>
    </row>
    <row r="36" ht="22.5" customHeight="1">
      <c r="A36" s="8" t="s">
        <v>74</v>
      </c>
      <c r="B36" s="9">
        <v>7.0055109336E10</v>
      </c>
      <c r="C36" s="8" t="s">
        <v>75</v>
      </c>
    </row>
    <row r="37" ht="22.5" customHeight="1">
      <c r="A37" s="8" t="s">
        <v>57</v>
      </c>
      <c r="B37" s="9">
        <v>1.61816186868E11</v>
      </c>
      <c r="C37" s="8" t="s">
        <v>76</v>
      </c>
    </row>
    <row r="38" ht="22.5" customHeight="1">
      <c r="A38" s="8" t="s">
        <v>77</v>
      </c>
      <c r="B38" s="9">
        <v>3.4560036E7</v>
      </c>
      <c r="C38" s="8" t="s">
        <v>78</v>
      </c>
    </row>
    <row r="39" ht="22.5" customHeight="1">
      <c r="A39" s="10" t="s">
        <v>79</v>
      </c>
      <c r="B39" s="9"/>
      <c r="C39" s="8"/>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41.13"/>
    <col customWidth="1" min="3" max="3" width="30.25"/>
    <col customWidth="1" min="4" max="4" width="38.63"/>
    <col customWidth="1" min="5" max="5" width="54.63"/>
    <col customWidth="1" min="6" max="6" width="37.5"/>
    <col customWidth="1" hidden="1" min="7" max="7" width="39.63"/>
    <col customWidth="1" hidden="1" min="8" max="8" width="53.5"/>
    <col customWidth="1" hidden="1" min="9" max="9" width="59.13"/>
    <col customWidth="1" min="10" max="10" width="48.0"/>
    <col customWidth="1" min="11" max="11" width="59.63"/>
  </cols>
  <sheetData>
    <row r="1">
      <c r="A1" s="11" t="s">
        <v>80</v>
      </c>
      <c r="B1" s="11" t="s">
        <v>81</v>
      </c>
      <c r="C1" s="12" t="s">
        <v>82</v>
      </c>
      <c r="D1" s="12" t="s">
        <v>83</v>
      </c>
      <c r="E1" s="12" t="s">
        <v>84</v>
      </c>
      <c r="F1" s="11" t="s">
        <v>85</v>
      </c>
      <c r="G1" s="12" t="s">
        <v>86</v>
      </c>
      <c r="H1" s="13" t="s">
        <v>87</v>
      </c>
      <c r="I1" s="13" t="s">
        <v>88</v>
      </c>
      <c r="J1" s="12" t="s">
        <v>89</v>
      </c>
      <c r="K1" s="14"/>
      <c r="L1" s="15"/>
      <c r="M1" s="15"/>
      <c r="N1" s="15"/>
      <c r="O1" s="15"/>
      <c r="P1" s="15"/>
      <c r="Q1" s="15"/>
      <c r="R1" s="15"/>
      <c r="S1" s="15"/>
      <c r="T1" s="15"/>
      <c r="U1" s="15"/>
      <c r="V1" s="15"/>
      <c r="W1" s="15"/>
      <c r="X1" s="15"/>
      <c r="Y1" s="15"/>
      <c r="Z1" s="15"/>
      <c r="AA1" s="15"/>
    </row>
    <row r="2">
      <c r="A2" s="16">
        <v>1.0</v>
      </c>
      <c r="B2" s="17" t="s">
        <v>90</v>
      </c>
      <c r="C2" s="18" t="s">
        <v>91</v>
      </c>
      <c r="D2" s="19" t="s">
        <v>92</v>
      </c>
      <c r="E2" s="18" t="s">
        <v>93</v>
      </c>
      <c r="F2" s="20" t="s">
        <v>94</v>
      </c>
      <c r="G2" s="18" t="s">
        <v>95</v>
      </c>
      <c r="H2" s="21" t="s">
        <v>96</v>
      </c>
      <c r="I2" s="21" t="s">
        <v>97</v>
      </c>
      <c r="J2" s="22"/>
      <c r="K2" s="14"/>
      <c r="L2" s="14"/>
      <c r="M2" s="14"/>
      <c r="N2" s="15"/>
      <c r="O2" s="15"/>
      <c r="P2" s="15"/>
      <c r="Q2" s="15"/>
      <c r="R2" s="15"/>
      <c r="S2" s="15"/>
      <c r="T2" s="15"/>
      <c r="U2" s="15"/>
      <c r="V2" s="15"/>
      <c r="W2" s="15"/>
      <c r="X2" s="15"/>
      <c r="Y2" s="15"/>
      <c r="Z2" s="15"/>
      <c r="AA2" s="15"/>
    </row>
    <row r="3">
      <c r="A3" s="16">
        <v>2.0</v>
      </c>
      <c r="B3" s="17" t="s">
        <v>98</v>
      </c>
      <c r="C3" s="18" t="s">
        <v>91</v>
      </c>
      <c r="D3" s="18" t="s">
        <v>99</v>
      </c>
      <c r="E3" s="18" t="s">
        <v>100</v>
      </c>
      <c r="F3" s="20" t="s">
        <v>101</v>
      </c>
      <c r="G3" s="18" t="s">
        <v>102</v>
      </c>
      <c r="H3" s="23"/>
      <c r="I3" s="23"/>
      <c r="J3" s="22"/>
      <c r="K3" s="14"/>
      <c r="L3" s="14"/>
      <c r="M3" s="14"/>
      <c r="N3" s="15"/>
      <c r="O3" s="15"/>
      <c r="P3" s="15"/>
      <c r="Q3" s="15"/>
      <c r="R3" s="15"/>
      <c r="S3" s="15"/>
      <c r="T3" s="15"/>
      <c r="U3" s="15"/>
      <c r="V3" s="15"/>
      <c r="W3" s="15"/>
      <c r="X3" s="15"/>
      <c r="Y3" s="15"/>
      <c r="Z3" s="15"/>
      <c r="AA3" s="15"/>
    </row>
    <row r="4">
      <c r="A4" s="16">
        <v>3.0</v>
      </c>
      <c r="B4" s="17" t="s">
        <v>103</v>
      </c>
      <c r="C4" s="18" t="s">
        <v>104</v>
      </c>
      <c r="D4" s="18" t="s">
        <v>105</v>
      </c>
      <c r="E4" s="18" t="s">
        <v>106</v>
      </c>
      <c r="F4" s="20" t="s">
        <v>107</v>
      </c>
      <c r="G4" s="22"/>
      <c r="H4" s="22"/>
      <c r="I4" s="22"/>
      <c r="J4" s="18" t="s">
        <v>108</v>
      </c>
      <c r="K4" s="14"/>
      <c r="L4" s="14"/>
      <c r="M4" s="14"/>
      <c r="N4" s="15"/>
      <c r="O4" s="15"/>
      <c r="P4" s="15"/>
      <c r="Q4" s="15"/>
      <c r="R4" s="15"/>
      <c r="S4" s="15"/>
      <c r="T4" s="15"/>
      <c r="U4" s="15"/>
      <c r="V4" s="15"/>
      <c r="W4" s="15"/>
      <c r="X4" s="15"/>
      <c r="Y4" s="15"/>
      <c r="Z4" s="15"/>
      <c r="AA4" s="15"/>
    </row>
    <row r="5">
      <c r="A5" s="16">
        <v>4.0</v>
      </c>
      <c r="B5" s="17" t="s">
        <v>109</v>
      </c>
      <c r="C5" s="18" t="s">
        <v>104</v>
      </c>
      <c r="D5" s="18" t="s">
        <v>110</v>
      </c>
      <c r="E5" s="18" t="s">
        <v>111</v>
      </c>
      <c r="F5" s="20" t="s">
        <v>112</v>
      </c>
      <c r="G5" s="22"/>
      <c r="H5" s="22"/>
      <c r="I5" s="22"/>
      <c r="J5" s="18" t="s">
        <v>108</v>
      </c>
      <c r="K5" s="14"/>
      <c r="L5" s="14"/>
      <c r="M5" s="14"/>
      <c r="N5" s="15"/>
      <c r="O5" s="15"/>
      <c r="P5" s="15"/>
      <c r="Q5" s="15"/>
      <c r="R5" s="15"/>
      <c r="S5" s="15"/>
      <c r="T5" s="15"/>
      <c r="U5" s="15"/>
      <c r="V5" s="15"/>
      <c r="W5" s="15"/>
      <c r="X5" s="15"/>
      <c r="Y5" s="15"/>
      <c r="Z5" s="15"/>
      <c r="AA5" s="15"/>
    </row>
    <row r="6">
      <c r="A6" s="16">
        <v>5.0</v>
      </c>
      <c r="B6" s="17" t="s">
        <v>113</v>
      </c>
      <c r="C6" s="18" t="s">
        <v>104</v>
      </c>
      <c r="D6" s="18" t="s">
        <v>114</v>
      </c>
      <c r="E6" s="18" t="s">
        <v>115</v>
      </c>
      <c r="F6" s="20" t="s">
        <v>116</v>
      </c>
      <c r="G6" s="22"/>
      <c r="H6" s="22"/>
      <c r="I6" s="22"/>
      <c r="J6" s="22"/>
      <c r="K6" s="14"/>
      <c r="L6" s="14"/>
      <c r="M6" s="14"/>
      <c r="N6" s="15"/>
      <c r="O6" s="15"/>
      <c r="P6" s="15"/>
      <c r="Q6" s="15"/>
      <c r="R6" s="15"/>
      <c r="S6" s="15"/>
      <c r="T6" s="15"/>
      <c r="U6" s="15"/>
      <c r="V6" s="15"/>
      <c r="W6" s="15"/>
      <c r="X6" s="15"/>
      <c r="Y6" s="15"/>
      <c r="Z6" s="15"/>
      <c r="AA6" s="15"/>
    </row>
    <row r="7">
      <c r="A7" s="16">
        <v>6.0</v>
      </c>
      <c r="B7" s="17" t="s">
        <v>117</v>
      </c>
      <c r="C7" s="18" t="s">
        <v>104</v>
      </c>
      <c r="D7" s="18" t="s">
        <v>118</v>
      </c>
      <c r="E7" s="18" t="s">
        <v>119</v>
      </c>
      <c r="F7" s="20" t="s">
        <v>120</v>
      </c>
      <c r="G7" s="18" t="s">
        <v>121</v>
      </c>
      <c r="H7" s="24" t="s">
        <v>122</v>
      </c>
      <c r="I7" s="24" t="s">
        <v>123</v>
      </c>
      <c r="J7" s="22"/>
      <c r="K7" s="14"/>
      <c r="L7" s="14"/>
      <c r="M7" s="14"/>
      <c r="N7" s="15"/>
      <c r="O7" s="15"/>
      <c r="P7" s="15"/>
      <c r="Q7" s="15"/>
      <c r="R7" s="15"/>
      <c r="S7" s="15"/>
      <c r="T7" s="15"/>
      <c r="U7" s="15"/>
      <c r="V7" s="15"/>
      <c r="W7" s="15"/>
      <c r="X7" s="15"/>
      <c r="Y7" s="15"/>
      <c r="Z7" s="15"/>
      <c r="AA7" s="15"/>
    </row>
    <row r="8">
      <c r="A8" s="16">
        <v>7.0</v>
      </c>
      <c r="B8" s="17" t="s">
        <v>124</v>
      </c>
      <c r="C8" s="18" t="s">
        <v>125</v>
      </c>
      <c r="D8" s="18" t="s">
        <v>126</v>
      </c>
      <c r="E8" s="18" t="s">
        <v>127</v>
      </c>
      <c r="F8" s="20" t="s">
        <v>128</v>
      </c>
      <c r="G8" s="22"/>
      <c r="H8" s="22"/>
      <c r="I8" s="22"/>
      <c r="J8" s="18" t="s">
        <v>129</v>
      </c>
      <c r="K8" s="14"/>
      <c r="L8" s="14"/>
      <c r="M8" s="15"/>
      <c r="N8" s="15"/>
      <c r="O8" s="15"/>
      <c r="P8" s="15"/>
      <c r="Q8" s="15"/>
      <c r="R8" s="15"/>
      <c r="S8" s="15"/>
      <c r="T8" s="15"/>
      <c r="U8" s="15"/>
      <c r="V8" s="15"/>
      <c r="W8" s="15"/>
      <c r="X8" s="15"/>
      <c r="Y8" s="15"/>
      <c r="Z8" s="15"/>
      <c r="AA8" s="15"/>
    </row>
    <row r="9">
      <c r="A9" s="16">
        <v>8.0</v>
      </c>
      <c r="B9" s="17" t="s">
        <v>130</v>
      </c>
      <c r="C9" s="18" t="s">
        <v>131</v>
      </c>
      <c r="D9" s="18" t="s">
        <v>132</v>
      </c>
      <c r="E9" s="22"/>
      <c r="F9" s="20" t="s">
        <v>133</v>
      </c>
      <c r="G9" s="22"/>
      <c r="H9" s="21" t="s">
        <v>134</v>
      </c>
      <c r="I9" s="25"/>
      <c r="J9" s="18" t="s">
        <v>135</v>
      </c>
      <c r="K9" s="15"/>
      <c r="L9" s="14"/>
      <c r="M9" s="15"/>
      <c r="N9" s="15"/>
      <c r="O9" s="15"/>
      <c r="P9" s="15"/>
      <c r="Q9" s="15"/>
      <c r="R9" s="15"/>
      <c r="S9" s="15"/>
      <c r="T9" s="15"/>
      <c r="U9" s="15"/>
      <c r="V9" s="15"/>
      <c r="W9" s="15"/>
      <c r="X9" s="15"/>
      <c r="Y9" s="15"/>
      <c r="Z9" s="15"/>
      <c r="AA9" s="15"/>
    </row>
    <row r="10">
      <c r="A10" s="16">
        <v>9.0</v>
      </c>
      <c r="B10" s="17" t="s">
        <v>136</v>
      </c>
      <c r="C10" s="18" t="s">
        <v>104</v>
      </c>
      <c r="D10" s="18" t="s">
        <v>137</v>
      </c>
      <c r="E10" s="22"/>
      <c r="F10" s="20" t="s">
        <v>138</v>
      </c>
      <c r="G10" s="22"/>
      <c r="H10" s="26"/>
      <c r="I10" s="26"/>
      <c r="J10" s="18" t="s">
        <v>139</v>
      </c>
      <c r="K10" s="14"/>
      <c r="L10" s="14"/>
      <c r="M10" s="15"/>
      <c r="N10" s="15"/>
      <c r="O10" s="15"/>
      <c r="P10" s="15"/>
      <c r="Q10" s="15"/>
      <c r="R10" s="15"/>
      <c r="S10" s="15"/>
      <c r="T10" s="15"/>
      <c r="U10" s="15"/>
      <c r="V10" s="15"/>
      <c r="W10" s="15"/>
      <c r="X10" s="15"/>
      <c r="Y10" s="15"/>
      <c r="Z10" s="15"/>
      <c r="AA10" s="15"/>
    </row>
    <row r="11">
      <c r="A11" s="16">
        <v>10.0</v>
      </c>
      <c r="B11" s="17" t="s">
        <v>140</v>
      </c>
      <c r="C11" s="18" t="s">
        <v>104</v>
      </c>
      <c r="D11" s="18" t="s">
        <v>141</v>
      </c>
      <c r="E11" s="22"/>
      <c r="F11" s="20" t="s">
        <v>142</v>
      </c>
      <c r="G11" s="22"/>
      <c r="H11" s="26"/>
      <c r="I11" s="26"/>
      <c r="J11" s="18" t="s">
        <v>143</v>
      </c>
      <c r="K11" s="14"/>
      <c r="L11" s="14"/>
      <c r="M11" s="15"/>
      <c r="N11" s="15"/>
      <c r="O11" s="15"/>
      <c r="P11" s="15"/>
      <c r="Q11" s="15"/>
      <c r="R11" s="15"/>
      <c r="S11" s="15"/>
      <c r="T11" s="15"/>
      <c r="U11" s="15"/>
      <c r="V11" s="15"/>
      <c r="W11" s="15"/>
      <c r="X11" s="15"/>
      <c r="Y11" s="15"/>
      <c r="Z11" s="15"/>
      <c r="AA11" s="15"/>
    </row>
    <row r="12">
      <c r="A12" s="16">
        <v>11.0</v>
      </c>
      <c r="B12" s="17" t="s">
        <v>144</v>
      </c>
      <c r="C12" s="18" t="s">
        <v>91</v>
      </c>
      <c r="D12" s="18" t="s">
        <v>145</v>
      </c>
      <c r="E12" s="18" t="s">
        <v>146</v>
      </c>
      <c r="F12" s="20" t="s">
        <v>147</v>
      </c>
      <c r="G12" s="22"/>
      <c r="H12" s="26"/>
      <c r="I12" s="26"/>
      <c r="J12" s="18" t="s">
        <v>148</v>
      </c>
      <c r="K12" s="14"/>
      <c r="L12" s="14"/>
      <c r="M12" s="15"/>
      <c r="N12" s="15"/>
      <c r="O12" s="15"/>
      <c r="P12" s="15"/>
      <c r="Q12" s="15"/>
      <c r="R12" s="15"/>
      <c r="S12" s="15"/>
      <c r="T12" s="15"/>
      <c r="U12" s="15"/>
      <c r="V12" s="15"/>
      <c r="W12" s="15"/>
      <c r="X12" s="15"/>
      <c r="Y12" s="15"/>
      <c r="Z12" s="15"/>
      <c r="AA12" s="15"/>
    </row>
    <row r="13">
      <c r="A13" s="16">
        <v>12.0</v>
      </c>
      <c r="B13" s="17" t="s">
        <v>149</v>
      </c>
      <c r="C13" s="18" t="s">
        <v>91</v>
      </c>
      <c r="D13" s="18" t="s">
        <v>150</v>
      </c>
      <c r="E13" s="18" t="s">
        <v>151</v>
      </c>
      <c r="F13" s="20" t="s">
        <v>152</v>
      </c>
      <c r="G13" s="22"/>
      <c r="H13" s="26"/>
      <c r="I13" s="26"/>
      <c r="J13" s="18" t="s">
        <v>148</v>
      </c>
      <c r="K13" s="14"/>
      <c r="L13" s="14"/>
      <c r="M13" s="15"/>
      <c r="N13" s="15"/>
      <c r="O13" s="15"/>
      <c r="P13" s="15"/>
      <c r="Q13" s="15"/>
      <c r="R13" s="15"/>
      <c r="S13" s="15"/>
      <c r="T13" s="15"/>
      <c r="U13" s="15"/>
      <c r="V13" s="15"/>
      <c r="W13" s="15"/>
      <c r="X13" s="15"/>
      <c r="Y13" s="15"/>
      <c r="Z13" s="15"/>
      <c r="AA13" s="15"/>
    </row>
    <row r="14">
      <c r="A14" s="16">
        <v>13.0</v>
      </c>
      <c r="B14" s="17" t="s">
        <v>153</v>
      </c>
      <c r="C14" s="18" t="s">
        <v>91</v>
      </c>
      <c r="D14" s="18" t="s">
        <v>154</v>
      </c>
      <c r="E14" s="18" t="s">
        <v>155</v>
      </c>
      <c r="F14" s="20" t="s">
        <v>156</v>
      </c>
      <c r="G14" s="22"/>
      <c r="H14" s="26"/>
      <c r="I14" s="26"/>
      <c r="J14" s="18" t="s">
        <v>148</v>
      </c>
      <c r="K14" s="14"/>
      <c r="L14" s="14"/>
      <c r="M14" s="15"/>
      <c r="N14" s="15"/>
      <c r="O14" s="15"/>
      <c r="P14" s="15"/>
      <c r="Q14" s="15"/>
      <c r="R14" s="15"/>
      <c r="S14" s="15"/>
      <c r="T14" s="15"/>
      <c r="U14" s="15"/>
      <c r="V14" s="15"/>
      <c r="W14" s="15"/>
      <c r="X14" s="15"/>
      <c r="Y14" s="15"/>
      <c r="Z14" s="15"/>
      <c r="AA14" s="15"/>
    </row>
    <row r="15">
      <c r="A15" s="16">
        <v>14.0</v>
      </c>
      <c r="B15" s="17" t="s">
        <v>157</v>
      </c>
      <c r="C15" s="18" t="s">
        <v>91</v>
      </c>
      <c r="D15" s="18" t="s">
        <v>158</v>
      </c>
      <c r="E15" s="18" t="s">
        <v>159</v>
      </c>
      <c r="F15" s="20" t="s">
        <v>160</v>
      </c>
      <c r="G15" s="22"/>
      <c r="H15" s="26"/>
      <c r="I15" s="26"/>
      <c r="J15" s="18" t="s">
        <v>148</v>
      </c>
      <c r="K15" s="14"/>
      <c r="L15" s="14"/>
      <c r="M15" s="15"/>
      <c r="N15" s="15"/>
      <c r="O15" s="15"/>
      <c r="P15" s="15"/>
      <c r="Q15" s="15"/>
      <c r="R15" s="15"/>
      <c r="S15" s="15"/>
      <c r="T15" s="15"/>
      <c r="U15" s="15"/>
      <c r="V15" s="15"/>
      <c r="W15" s="15"/>
      <c r="X15" s="15"/>
      <c r="Y15" s="15"/>
      <c r="Z15" s="15"/>
      <c r="AA15" s="15"/>
    </row>
    <row r="16">
      <c r="A16" s="16">
        <v>15.0</v>
      </c>
      <c r="B16" s="17" t="s">
        <v>161</v>
      </c>
      <c r="C16" s="18" t="s">
        <v>91</v>
      </c>
      <c r="D16" s="18" t="s">
        <v>162</v>
      </c>
      <c r="E16" s="18" t="s">
        <v>163</v>
      </c>
      <c r="F16" s="20" t="s">
        <v>164</v>
      </c>
      <c r="G16" s="22"/>
      <c r="H16" s="26"/>
      <c r="I16" s="26"/>
      <c r="J16" s="18" t="s">
        <v>148</v>
      </c>
      <c r="K16" s="15"/>
      <c r="L16" s="15"/>
      <c r="M16" s="15"/>
      <c r="N16" s="15"/>
      <c r="O16" s="15"/>
      <c r="P16" s="15"/>
      <c r="Q16" s="15"/>
      <c r="R16" s="15"/>
      <c r="S16" s="15"/>
      <c r="T16" s="15"/>
      <c r="U16" s="15"/>
      <c r="V16" s="15"/>
      <c r="W16" s="15"/>
      <c r="X16" s="15"/>
      <c r="Y16" s="15"/>
      <c r="Z16" s="15"/>
      <c r="AA16" s="15"/>
    </row>
    <row r="17">
      <c r="A17" s="16">
        <v>16.0</v>
      </c>
      <c r="B17" s="17" t="s">
        <v>165</v>
      </c>
      <c r="C17" s="18" t="s">
        <v>91</v>
      </c>
      <c r="D17" s="18" t="s">
        <v>166</v>
      </c>
      <c r="E17" s="18" t="s">
        <v>167</v>
      </c>
      <c r="F17" s="20" t="s">
        <v>168</v>
      </c>
      <c r="G17" s="22"/>
      <c r="H17" s="26"/>
      <c r="I17" s="26"/>
      <c r="J17" s="18" t="s">
        <v>148</v>
      </c>
      <c r="K17" s="15"/>
      <c r="L17" s="15"/>
      <c r="M17" s="15"/>
      <c r="N17" s="15"/>
      <c r="O17" s="15"/>
      <c r="P17" s="15"/>
      <c r="Q17" s="15"/>
      <c r="R17" s="15"/>
      <c r="S17" s="15"/>
      <c r="T17" s="15"/>
      <c r="U17" s="15"/>
      <c r="V17" s="15"/>
      <c r="W17" s="15"/>
      <c r="X17" s="15"/>
      <c r="Y17" s="15"/>
      <c r="Z17" s="15"/>
      <c r="AA17" s="15"/>
    </row>
    <row r="18">
      <c r="A18" s="15"/>
      <c r="B18" s="15"/>
      <c r="C18" s="15"/>
      <c r="D18" s="15"/>
      <c r="E18" s="15"/>
      <c r="F18" s="15"/>
      <c r="G18" s="22"/>
      <c r="H18" s="23"/>
      <c r="I18" s="23"/>
      <c r="J18" s="15"/>
      <c r="K18" s="15"/>
      <c r="L18" s="15"/>
      <c r="M18" s="15"/>
      <c r="N18" s="15"/>
      <c r="O18" s="15"/>
      <c r="P18" s="15"/>
      <c r="Q18" s="15"/>
      <c r="R18" s="15"/>
      <c r="S18" s="15"/>
      <c r="T18" s="15"/>
      <c r="U18" s="15"/>
      <c r="V18" s="15"/>
      <c r="W18" s="15"/>
      <c r="X18" s="15"/>
      <c r="Y18" s="15"/>
      <c r="Z18" s="15"/>
      <c r="AA18" s="15"/>
    </row>
    <row r="19">
      <c r="A19" s="27" t="s">
        <v>169</v>
      </c>
      <c r="B19" s="28" t="s">
        <v>170</v>
      </c>
      <c r="C19" s="15"/>
      <c r="D19" s="15"/>
      <c r="E19" s="15"/>
      <c r="F19" s="15"/>
      <c r="G19" s="15"/>
      <c r="H19" s="15"/>
      <c r="I19" s="15"/>
      <c r="J19" s="15"/>
      <c r="K19" s="15"/>
      <c r="L19" s="15"/>
      <c r="M19" s="15"/>
      <c r="N19" s="15"/>
      <c r="O19" s="15"/>
      <c r="P19" s="15"/>
      <c r="Q19" s="15"/>
      <c r="R19" s="15"/>
      <c r="S19" s="15"/>
      <c r="T19" s="15"/>
      <c r="U19" s="15"/>
      <c r="V19" s="15"/>
      <c r="W19" s="15"/>
      <c r="X19" s="15"/>
      <c r="Y19" s="15"/>
      <c r="Z19" s="15"/>
      <c r="AA19" s="15"/>
    </row>
    <row r="20">
      <c r="A20" s="15"/>
      <c r="B20" s="29" t="s">
        <v>171</v>
      </c>
      <c r="C20" s="15"/>
      <c r="D20" s="15"/>
      <c r="E20" s="15"/>
      <c r="F20" s="15"/>
      <c r="G20" s="15"/>
      <c r="H20" s="15"/>
      <c r="I20" s="15"/>
      <c r="J20" s="15"/>
      <c r="K20" s="15"/>
      <c r="L20" s="15"/>
      <c r="M20" s="15"/>
      <c r="N20" s="15"/>
      <c r="O20" s="15"/>
      <c r="P20" s="15"/>
      <c r="Q20" s="15"/>
      <c r="R20" s="15"/>
      <c r="S20" s="15"/>
      <c r="T20" s="15"/>
      <c r="U20" s="15"/>
      <c r="V20" s="15"/>
      <c r="W20" s="15"/>
      <c r="X20" s="15"/>
      <c r="Y20" s="15"/>
      <c r="Z20" s="15"/>
      <c r="AA20" s="15"/>
    </row>
    <row r="21">
      <c r="A21" s="15"/>
      <c r="B21" s="29" t="s">
        <v>172</v>
      </c>
      <c r="C21" s="15"/>
      <c r="D21" s="15"/>
      <c r="E21" s="15"/>
      <c r="F21" s="15"/>
      <c r="G21" s="15"/>
      <c r="H21" s="15"/>
      <c r="I21" s="15"/>
      <c r="J21" s="15"/>
      <c r="K21" s="15"/>
      <c r="L21" s="15"/>
      <c r="M21" s="15"/>
      <c r="N21" s="15"/>
      <c r="O21" s="15"/>
      <c r="P21" s="15"/>
      <c r="Q21" s="15"/>
      <c r="R21" s="15"/>
      <c r="S21" s="15"/>
      <c r="T21" s="15"/>
      <c r="U21" s="15"/>
      <c r="V21" s="15"/>
      <c r="W21" s="15"/>
      <c r="X21" s="15"/>
      <c r="Y21" s="15"/>
      <c r="Z21" s="15"/>
      <c r="AA21" s="15"/>
    </row>
    <row r="22">
      <c r="A22" s="15"/>
      <c r="B22" s="29" t="s">
        <v>173</v>
      </c>
      <c r="C22" s="15"/>
      <c r="D22" s="15"/>
      <c r="E22" s="15"/>
      <c r="F22" s="15"/>
      <c r="G22" s="15"/>
      <c r="H22" s="15"/>
      <c r="I22" s="15"/>
      <c r="J22" s="15"/>
      <c r="K22" s="15"/>
      <c r="L22" s="15"/>
      <c r="M22" s="15"/>
      <c r="N22" s="15"/>
      <c r="O22" s="15"/>
      <c r="P22" s="15"/>
      <c r="Q22" s="15"/>
      <c r="R22" s="15"/>
      <c r="S22" s="15"/>
      <c r="T22" s="15"/>
      <c r="U22" s="15"/>
      <c r="V22" s="15"/>
      <c r="W22" s="15"/>
      <c r="X22" s="15"/>
      <c r="Y22" s="15"/>
      <c r="Z22" s="15"/>
      <c r="AA22" s="15"/>
    </row>
    <row r="23">
      <c r="A23" s="15"/>
      <c r="B23" s="29" t="s">
        <v>174</v>
      </c>
      <c r="C23" s="15"/>
      <c r="D23" s="15"/>
      <c r="E23" s="15"/>
      <c r="F23" s="15"/>
      <c r="G23" s="15"/>
      <c r="H23" s="15"/>
      <c r="I23" s="15"/>
      <c r="J23" s="15"/>
      <c r="K23" s="15"/>
      <c r="L23" s="15"/>
      <c r="M23" s="15"/>
      <c r="N23" s="15"/>
      <c r="O23" s="15"/>
      <c r="P23" s="15"/>
      <c r="Q23" s="15"/>
      <c r="R23" s="15"/>
      <c r="S23" s="15"/>
      <c r="T23" s="15"/>
      <c r="U23" s="15"/>
      <c r="V23" s="15"/>
      <c r="W23" s="15"/>
      <c r="X23" s="15"/>
      <c r="Y23" s="15"/>
      <c r="Z23" s="15"/>
      <c r="AA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row>
    <row r="25">
      <c r="A25" s="27" t="s">
        <v>175</v>
      </c>
      <c r="B25" s="28" t="s">
        <v>176</v>
      </c>
      <c r="C25" s="30" t="s">
        <v>177</v>
      </c>
      <c r="E25" s="14"/>
      <c r="F25" s="14"/>
      <c r="G25" s="15"/>
      <c r="H25" s="15"/>
      <c r="I25" s="15"/>
      <c r="J25" s="14"/>
      <c r="K25" s="15"/>
      <c r="L25" s="15"/>
      <c r="M25" s="15"/>
      <c r="N25" s="15"/>
      <c r="O25" s="15"/>
      <c r="P25" s="15"/>
      <c r="Q25" s="15"/>
      <c r="R25" s="15"/>
      <c r="S25" s="15"/>
      <c r="T25" s="15"/>
      <c r="U25" s="15"/>
      <c r="V25" s="15"/>
      <c r="W25" s="15"/>
      <c r="X25" s="15"/>
      <c r="Y25" s="15"/>
      <c r="Z25" s="15"/>
      <c r="AA25" s="15"/>
    </row>
    <row r="26">
      <c r="A26" s="14"/>
      <c r="B26" s="14"/>
      <c r="C26" s="15"/>
      <c r="D26" s="15"/>
      <c r="E26" s="15"/>
      <c r="F26" s="15"/>
      <c r="G26" s="15"/>
      <c r="H26" s="15"/>
      <c r="I26" s="15"/>
      <c r="J26" s="15"/>
      <c r="K26" s="14"/>
      <c r="L26" s="15"/>
      <c r="M26" s="15"/>
      <c r="N26" s="15"/>
      <c r="O26" s="15"/>
      <c r="P26" s="15"/>
      <c r="Q26" s="15"/>
      <c r="R26" s="15"/>
      <c r="S26" s="15"/>
      <c r="T26" s="15"/>
      <c r="U26" s="15"/>
      <c r="V26" s="15"/>
      <c r="W26" s="15"/>
      <c r="X26" s="15"/>
      <c r="Y26" s="15"/>
      <c r="Z26" s="15"/>
      <c r="AA26" s="15"/>
    </row>
    <row r="27">
      <c r="A27" s="15"/>
      <c r="B27" s="31" t="s">
        <v>178</v>
      </c>
      <c r="C27" s="31" t="s">
        <v>179</v>
      </c>
      <c r="D27" s="31" t="s">
        <v>180</v>
      </c>
      <c r="E27" s="31" t="s">
        <v>181</v>
      </c>
      <c r="F27" s="15"/>
      <c r="G27" s="15"/>
      <c r="H27" s="15"/>
      <c r="I27" s="15"/>
      <c r="J27" s="15"/>
      <c r="K27" s="14"/>
      <c r="L27" s="15"/>
      <c r="M27" s="15"/>
      <c r="N27" s="15"/>
      <c r="O27" s="15"/>
      <c r="P27" s="15"/>
      <c r="Q27" s="15"/>
      <c r="R27" s="15"/>
      <c r="S27" s="15"/>
      <c r="T27" s="15"/>
      <c r="U27" s="15"/>
      <c r="V27" s="15"/>
      <c r="W27" s="15"/>
      <c r="X27" s="15"/>
      <c r="Y27" s="15"/>
      <c r="Z27" s="15"/>
      <c r="AA27" s="15"/>
    </row>
    <row r="28">
      <c r="A28" s="15"/>
      <c r="B28" s="32" t="s">
        <v>182</v>
      </c>
      <c r="C28" s="32" t="s">
        <v>183</v>
      </c>
      <c r="D28" s="32" t="s">
        <v>184</v>
      </c>
      <c r="E28" s="32" t="s">
        <v>185</v>
      </c>
      <c r="F28" s="15"/>
      <c r="G28" s="15"/>
      <c r="H28" s="15"/>
      <c r="I28" s="15"/>
      <c r="J28" s="15"/>
      <c r="K28" s="14"/>
      <c r="L28" s="15"/>
      <c r="M28" s="15"/>
      <c r="N28" s="15"/>
      <c r="O28" s="15"/>
      <c r="P28" s="15"/>
      <c r="Q28" s="15"/>
      <c r="R28" s="15"/>
      <c r="S28" s="15"/>
      <c r="T28" s="15"/>
      <c r="U28" s="15"/>
      <c r="V28" s="15"/>
      <c r="W28" s="15"/>
      <c r="X28" s="15"/>
      <c r="Y28" s="15"/>
      <c r="Z28" s="15"/>
      <c r="AA28" s="15"/>
    </row>
    <row r="29">
      <c r="A29" s="15"/>
      <c r="B29" s="15"/>
      <c r="C29" s="14"/>
      <c r="D29" s="14"/>
      <c r="E29" s="14"/>
      <c r="F29" s="15"/>
      <c r="G29" s="15"/>
      <c r="H29" s="15"/>
      <c r="I29" s="15"/>
      <c r="J29" s="15"/>
      <c r="K29" s="15"/>
      <c r="L29" s="15"/>
      <c r="M29" s="15"/>
      <c r="N29" s="15"/>
      <c r="O29" s="15"/>
      <c r="P29" s="15"/>
      <c r="Q29" s="15"/>
      <c r="R29" s="15"/>
      <c r="S29" s="15"/>
      <c r="T29" s="15"/>
      <c r="U29" s="15"/>
      <c r="V29" s="15"/>
      <c r="W29" s="15"/>
      <c r="X29" s="15"/>
      <c r="Y29" s="15"/>
      <c r="Z29" s="15"/>
      <c r="AA29" s="15"/>
    </row>
    <row r="30">
      <c r="A30" s="15"/>
      <c r="B30" s="33" t="s">
        <v>186</v>
      </c>
      <c r="C30" s="33" t="s">
        <v>187</v>
      </c>
      <c r="D30" s="33" t="s">
        <v>188</v>
      </c>
      <c r="E30" s="33" t="s">
        <v>189</v>
      </c>
      <c r="F30" s="15"/>
      <c r="G30" s="15"/>
      <c r="H30" s="15"/>
      <c r="I30" s="15"/>
      <c r="J30" s="15"/>
      <c r="K30" s="15"/>
      <c r="L30" s="15"/>
      <c r="M30" s="15"/>
      <c r="N30" s="15"/>
      <c r="O30" s="15"/>
      <c r="P30" s="15"/>
      <c r="Q30" s="15"/>
      <c r="R30" s="15"/>
      <c r="S30" s="15"/>
      <c r="T30" s="15"/>
      <c r="U30" s="15"/>
      <c r="V30" s="15"/>
      <c r="W30" s="15"/>
      <c r="X30" s="15"/>
      <c r="Y30" s="15"/>
      <c r="Z30" s="15"/>
      <c r="AA30" s="15"/>
    </row>
    <row r="31">
      <c r="A31" s="15"/>
      <c r="B31" s="34" t="s">
        <v>190</v>
      </c>
      <c r="C31" s="35" t="s">
        <v>191</v>
      </c>
      <c r="D31" s="35" t="s">
        <v>191</v>
      </c>
      <c r="E31" s="35" t="s">
        <v>192</v>
      </c>
      <c r="F31" s="15"/>
      <c r="G31" s="15"/>
      <c r="H31" s="15"/>
      <c r="I31" s="15"/>
      <c r="J31" s="15"/>
      <c r="K31" s="15"/>
      <c r="L31" s="15"/>
      <c r="M31" s="15"/>
      <c r="N31" s="15"/>
      <c r="O31" s="15"/>
      <c r="P31" s="15"/>
      <c r="Q31" s="15"/>
      <c r="R31" s="15"/>
      <c r="S31" s="15"/>
      <c r="T31" s="15"/>
      <c r="U31" s="15"/>
      <c r="V31" s="15"/>
      <c r="W31" s="15"/>
      <c r="X31" s="15"/>
      <c r="Y31" s="15"/>
      <c r="Z31" s="15"/>
      <c r="AA31" s="15"/>
    </row>
    <row r="32">
      <c r="A32" s="15"/>
      <c r="B32" s="36" t="s">
        <v>193</v>
      </c>
      <c r="C32" s="37" t="s">
        <v>194</v>
      </c>
      <c r="D32" s="37" t="s">
        <v>195</v>
      </c>
      <c r="E32" s="37" t="s">
        <v>196</v>
      </c>
      <c r="F32" s="15"/>
      <c r="G32" s="15"/>
      <c r="H32" s="15"/>
      <c r="I32" s="15"/>
      <c r="J32" s="15"/>
      <c r="K32" s="15"/>
      <c r="L32" s="15"/>
      <c r="M32" s="15"/>
      <c r="N32" s="15"/>
      <c r="O32" s="15"/>
      <c r="P32" s="15"/>
      <c r="Q32" s="15"/>
      <c r="R32" s="15"/>
      <c r="S32" s="15"/>
      <c r="T32" s="15"/>
      <c r="U32" s="15"/>
      <c r="V32" s="15"/>
      <c r="W32" s="15"/>
      <c r="X32" s="15"/>
      <c r="Y32" s="15"/>
      <c r="Z32" s="15"/>
      <c r="AA32" s="15"/>
    </row>
    <row r="33">
      <c r="A33" s="15"/>
      <c r="B33" s="14"/>
      <c r="C33" s="14"/>
      <c r="D33" s="14"/>
      <c r="E33" s="14"/>
      <c r="F33" s="15"/>
      <c r="G33" s="15"/>
      <c r="H33" s="15"/>
      <c r="I33" s="15"/>
      <c r="J33" s="15"/>
      <c r="K33" s="15"/>
      <c r="L33" s="15"/>
      <c r="M33" s="15"/>
      <c r="N33" s="15"/>
      <c r="O33" s="15"/>
      <c r="P33" s="15"/>
      <c r="Q33" s="15"/>
      <c r="R33" s="15"/>
      <c r="S33" s="15"/>
      <c r="T33" s="15"/>
      <c r="U33" s="15"/>
      <c r="V33" s="15"/>
      <c r="W33" s="15"/>
      <c r="X33" s="15"/>
      <c r="Y33" s="15"/>
      <c r="Z33" s="15"/>
      <c r="AA33" s="15"/>
    </row>
    <row r="34">
      <c r="A34" s="15"/>
      <c r="B34" s="33" t="s">
        <v>186</v>
      </c>
      <c r="C34" s="33" t="s">
        <v>197</v>
      </c>
      <c r="D34" s="38" t="s">
        <v>198</v>
      </c>
      <c r="E34" s="33" t="s">
        <v>199</v>
      </c>
      <c r="F34" s="15"/>
      <c r="G34" s="15"/>
      <c r="H34" s="15"/>
      <c r="I34" s="15"/>
      <c r="J34" s="15"/>
      <c r="K34" s="15"/>
      <c r="L34" s="15"/>
      <c r="M34" s="15"/>
      <c r="N34" s="15"/>
      <c r="O34" s="15"/>
      <c r="P34" s="15"/>
      <c r="Q34" s="15"/>
      <c r="R34" s="15"/>
      <c r="S34" s="15"/>
      <c r="T34" s="15"/>
      <c r="U34" s="15"/>
      <c r="V34" s="15"/>
      <c r="W34" s="15"/>
      <c r="X34" s="15"/>
      <c r="Y34" s="15"/>
      <c r="Z34" s="15"/>
      <c r="AA34" s="15"/>
    </row>
    <row r="35">
      <c r="A35" s="15"/>
      <c r="B35" s="39" t="s">
        <v>193</v>
      </c>
      <c r="C35" s="37" t="s">
        <v>200</v>
      </c>
      <c r="D35" s="37" t="s">
        <v>201</v>
      </c>
      <c r="E35" s="37" t="s">
        <v>202</v>
      </c>
      <c r="F35" s="15"/>
      <c r="G35" s="15"/>
      <c r="H35" s="15"/>
      <c r="I35" s="15"/>
      <c r="J35" s="15"/>
      <c r="K35" s="15"/>
      <c r="L35" s="15"/>
      <c r="M35" s="15"/>
      <c r="N35" s="15"/>
      <c r="O35" s="15"/>
      <c r="P35" s="15"/>
      <c r="Q35" s="15"/>
      <c r="R35" s="15"/>
      <c r="S35" s="15"/>
      <c r="T35" s="15"/>
      <c r="U35" s="15"/>
      <c r="V35" s="15"/>
      <c r="W35" s="15"/>
      <c r="X35" s="15"/>
      <c r="Y35" s="15"/>
      <c r="Z35" s="15"/>
      <c r="AA35" s="15"/>
    </row>
    <row r="36">
      <c r="A36" s="15"/>
      <c r="B36" s="14"/>
      <c r="C36" s="14"/>
      <c r="D36" s="14"/>
      <c r="E36" s="14"/>
      <c r="F36" s="15"/>
      <c r="G36" s="15"/>
      <c r="H36" s="15"/>
      <c r="I36" s="15"/>
      <c r="J36" s="15"/>
      <c r="K36" s="15"/>
      <c r="L36" s="15"/>
      <c r="M36" s="15"/>
      <c r="N36" s="15"/>
      <c r="O36" s="15"/>
      <c r="P36" s="15"/>
      <c r="Q36" s="15"/>
      <c r="R36" s="15"/>
      <c r="S36" s="15"/>
      <c r="T36" s="15"/>
      <c r="U36" s="15"/>
      <c r="V36" s="15"/>
      <c r="W36" s="15"/>
      <c r="X36" s="15"/>
      <c r="Y36" s="15"/>
      <c r="Z36" s="15"/>
      <c r="AA36" s="15"/>
    </row>
    <row r="37">
      <c r="A37" s="15"/>
      <c r="B37" s="14"/>
      <c r="C37" s="14"/>
      <c r="D37" s="14"/>
      <c r="E37" s="14"/>
      <c r="F37" s="15"/>
      <c r="G37" s="15"/>
      <c r="H37" s="15"/>
      <c r="I37" s="15"/>
      <c r="J37" s="15"/>
      <c r="K37" s="15"/>
      <c r="L37" s="15"/>
      <c r="M37" s="15"/>
      <c r="N37" s="15"/>
      <c r="O37" s="15"/>
      <c r="P37" s="15"/>
      <c r="Q37" s="15"/>
      <c r="R37" s="15"/>
      <c r="S37" s="15"/>
      <c r="T37" s="15"/>
      <c r="U37" s="15"/>
      <c r="V37" s="15"/>
      <c r="W37" s="15"/>
      <c r="X37" s="15"/>
      <c r="Y37" s="15"/>
      <c r="Z37" s="15"/>
      <c r="AA37" s="15"/>
    </row>
    <row r="38">
      <c r="A38" s="15"/>
      <c r="B38" s="33" t="s">
        <v>186</v>
      </c>
      <c r="C38" s="33" t="s">
        <v>203</v>
      </c>
      <c r="D38" s="33" t="s">
        <v>204</v>
      </c>
      <c r="E38" s="33" t="s">
        <v>205</v>
      </c>
      <c r="F38" s="15"/>
      <c r="G38" s="15"/>
      <c r="H38" s="15"/>
      <c r="I38" s="15"/>
      <c r="J38" s="15"/>
      <c r="K38" s="15"/>
      <c r="L38" s="15"/>
      <c r="M38" s="15"/>
      <c r="N38" s="15"/>
      <c r="O38" s="15"/>
      <c r="P38" s="15"/>
      <c r="Q38" s="15"/>
      <c r="R38" s="15"/>
      <c r="S38" s="15"/>
      <c r="T38" s="15"/>
      <c r="U38" s="15"/>
      <c r="V38" s="15"/>
      <c r="W38" s="15"/>
      <c r="X38" s="15"/>
      <c r="Y38" s="15"/>
      <c r="Z38" s="15"/>
      <c r="AA38" s="15"/>
    </row>
    <row r="39">
      <c r="A39" s="15"/>
      <c r="B39" s="36" t="s">
        <v>193</v>
      </c>
      <c r="C39" s="37" t="s">
        <v>206</v>
      </c>
      <c r="D39" s="40" t="s">
        <v>207</v>
      </c>
      <c r="E39" s="37" t="s">
        <v>208</v>
      </c>
      <c r="F39" s="15"/>
      <c r="G39" s="15"/>
      <c r="H39" s="15"/>
      <c r="I39" s="15"/>
      <c r="J39" s="15"/>
      <c r="K39" s="14"/>
      <c r="L39" s="15"/>
      <c r="M39" s="15"/>
      <c r="N39" s="15"/>
      <c r="O39" s="15"/>
      <c r="P39" s="15"/>
      <c r="Q39" s="15"/>
      <c r="R39" s="15"/>
      <c r="S39" s="15"/>
      <c r="T39" s="15"/>
      <c r="U39" s="15"/>
      <c r="V39" s="15"/>
      <c r="W39" s="15"/>
      <c r="X39" s="15"/>
      <c r="Y39" s="15"/>
      <c r="Z39" s="15"/>
      <c r="AA39" s="15"/>
    </row>
    <row r="40">
      <c r="A40" s="15"/>
      <c r="B40" s="14"/>
      <c r="C40" s="14"/>
      <c r="D40" s="14"/>
      <c r="E40" s="14"/>
      <c r="F40" s="15"/>
      <c r="G40" s="15"/>
      <c r="H40" s="15"/>
      <c r="I40" s="15"/>
      <c r="J40" s="15"/>
      <c r="K40" s="15"/>
      <c r="L40" s="15"/>
      <c r="M40" s="15"/>
      <c r="N40" s="15"/>
      <c r="O40" s="15"/>
      <c r="P40" s="15"/>
      <c r="Q40" s="15"/>
      <c r="R40" s="15"/>
      <c r="S40" s="15"/>
      <c r="T40" s="15"/>
      <c r="U40" s="15"/>
      <c r="V40" s="15"/>
      <c r="W40" s="15"/>
      <c r="X40" s="15"/>
      <c r="Y40" s="15"/>
      <c r="Z40" s="15"/>
      <c r="AA40" s="15"/>
    </row>
    <row r="41">
      <c r="A41" s="15"/>
      <c r="B41" s="41" t="s">
        <v>186</v>
      </c>
      <c r="C41" s="33" t="s">
        <v>209</v>
      </c>
      <c r="D41" s="33" t="s">
        <v>210</v>
      </c>
      <c r="E41" s="33" t="s">
        <v>211</v>
      </c>
      <c r="F41" s="15"/>
      <c r="G41" s="15"/>
      <c r="H41" s="15"/>
      <c r="I41" s="15"/>
      <c r="J41" s="15"/>
      <c r="K41" s="15"/>
      <c r="L41" s="15"/>
      <c r="M41" s="15"/>
      <c r="N41" s="15"/>
      <c r="O41" s="15"/>
      <c r="P41" s="15"/>
      <c r="Q41" s="15"/>
      <c r="R41" s="15"/>
      <c r="S41" s="15"/>
      <c r="T41" s="15"/>
      <c r="U41" s="15"/>
      <c r="V41" s="15"/>
      <c r="W41" s="15"/>
      <c r="X41" s="15"/>
      <c r="Y41" s="15"/>
      <c r="Z41" s="15"/>
      <c r="AA41" s="15"/>
    </row>
    <row r="42">
      <c r="A42" s="15"/>
      <c r="B42" s="36" t="s">
        <v>193</v>
      </c>
      <c r="C42" s="37" t="s">
        <v>212</v>
      </c>
      <c r="D42" s="40" t="s">
        <v>213</v>
      </c>
      <c r="E42" s="37" t="s">
        <v>214</v>
      </c>
      <c r="F42" s="15"/>
      <c r="G42" s="15"/>
      <c r="H42" s="15"/>
      <c r="I42" s="15"/>
      <c r="J42" s="15"/>
      <c r="K42" s="15"/>
      <c r="L42" s="15"/>
      <c r="M42" s="15"/>
      <c r="N42" s="15"/>
      <c r="O42" s="15"/>
      <c r="P42" s="15"/>
      <c r="Q42" s="15"/>
      <c r="R42" s="15"/>
      <c r="S42" s="15"/>
      <c r="T42" s="15"/>
      <c r="U42" s="15"/>
      <c r="V42" s="15"/>
      <c r="W42" s="15"/>
      <c r="X42" s="15"/>
      <c r="Y42" s="15"/>
      <c r="Z42" s="15"/>
      <c r="AA42" s="15"/>
    </row>
    <row r="43">
      <c r="A43" s="15"/>
      <c r="B43" s="15"/>
      <c r="C43" s="14"/>
      <c r="D43" s="15"/>
      <c r="E43" s="14"/>
      <c r="F43" s="14"/>
      <c r="G43" s="15"/>
      <c r="H43" s="15"/>
      <c r="I43" s="15"/>
      <c r="J43" s="14"/>
      <c r="K43" s="15"/>
      <c r="L43" s="15"/>
      <c r="M43" s="15"/>
      <c r="N43" s="15"/>
      <c r="O43" s="15"/>
      <c r="P43" s="15"/>
      <c r="Q43" s="15"/>
      <c r="R43" s="15"/>
      <c r="S43" s="15"/>
      <c r="T43" s="15"/>
      <c r="U43" s="15"/>
      <c r="V43" s="15"/>
      <c r="W43" s="15"/>
      <c r="X43" s="15"/>
      <c r="Y43" s="15"/>
      <c r="Z43" s="15"/>
      <c r="AA43" s="15"/>
    </row>
    <row r="44">
      <c r="A44" s="14"/>
      <c r="B44" s="41" t="s">
        <v>186</v>
      </c>
      <c r="C44" s="41" t="s">
        <v>215</v>
      </c>
      <c r="D44" s="41" t="s">
        <v>216</v>
      </c>
      <c r="E44" s="33" t="s">
        <v>217</v>
      </c>
      <c r="F44" s="42"/>
      <c r="G44" s="15"/>
      <c r="H44" s="15"/>
      <c r="I44" s="15"/>
      <c r="J44" s="14"/>
      <c r="K44" s="15"/>
      <c r="L44" s="15"/>
      <c r="M44" s="15"/>
      <c r="N44" s="15"/>
      <c r="O44" s="15"/>
      <c r="P44" s="15"/>
      <c r="Q44" s="15"/>
      <c r="R44" s="15"/>
      <c r="S44" s="15"/>
      <c r="T44" s="15"/>
      <c r="U44" s="15"/>
      <c r="V44" s="15"/>
      <c r="W44" s="15"/>
      <c r="X44" s="15"/>
      <c r="Y44" s="15"/>
      <c r="Z44" s="15"/>
      <c r="AA44" s="15"/>
    </row>
    <row r="45">
      <c r="A45" s="14"/>
      <c r="B45" s="39" t="s">
        <v>193</v>
      </c>
      <c r="C45" s="40" t="s">
        <v>218</v>
      </c>
      <c r="D45" s="40" t="s">
        <v>219</v>
      </c>
      <c r="E45" s="37" t="s">
        <v>220</v>
      </c>
      <c r="F45" s="42"/>
      <c r="G45" s="15"/>
      <c r="H45" s="15"/>
      <c r="I45" s="15"/>
      <c r="J45" s="14"/>
      <c r="K45" s="15"/>
      <c r="L45" s="15"/>
      <c r="M45" s="15"/>
      <c r="N45" s="15"/>
      <c r="O45" s="15"/>
      <c r="P45" s="15"/>
      <c r="Q45" s="15"/>
      <c r="R45" s="15"/>
      <c r="S45" s="15"/>
      <c r="T45" s="15"/>
      <c r="U45" s="15"/>
      <c r="V45" s="15"/>
      <c r="W45" s="15"/>
      <c r="X45" s="15"/>
      <c r="Y45" s="15"/>
      <c r="Z45" s="15"/>
      <c r="AA45" s="15"/>
    </row>
    <row r="46">
      <c r="A46" s="14"/>
      <c r="B46" s="15"/>
      <c r="C46" s="15"/>
      <c r="D46" s="15"/>
      <c r="E46" s="14"/>
      <c r="F46" s="42"/>
      <c r="G46" s="15"/>
      <c r="H46" s="15"/>
      <c r="I46" s="15"/>
      <c r="J46" s="14"/>
      <c r="K46" s="15"/>
      <c r="L46" s="15"/>
      <c r="M46" s="15"/>
      <c r="N46" s="15"/>
      <c r="O46" s="15"/>
      <c r="P46" s="15"/>
      <c r="Q46" s="15"/>
      <c r="R46" s="15"/>
      <c r="S46" s="15"/>
      <c r="T46" s="15"/>
      <c r="U46" s="15"/>
      <c r="V46" s="15"/>
      <c r="W46" s="15"/>
      <c r="X46" s="15"/>
      <c r="Y46" s="15"/>
      <c r="Z46" s="15"/>
      <c r="AA46" s="15"/>
    </row>
    <row r="47">
      <c r="A47" s="14"/>
      <c r="B47" s="43" t="s">
        <v>182</v>
      </c>
      <c r="C47" s="43" t="s">
        <v>221</v>
      </c>
      <c r="D47" s="44" t="s">
        <v>222</v>
      </c>
      <c r="E47" s="45" t="s">
        <v>223</v>
      </c>
      <c r="F47" s="42"/>
      <c r="G47" s="15"/>
      <c r="H47" s="15"/>
      <c r="I47" s="15"/>
      <c r="J47" s="14"/>
      <c r="K47" s="15"/>
      <c r="L47" s="15"/>
      <c r="M47" s="15"/>
      <c r="N47" s="15"/>
      <c r="O47" s="15"/>
      <c r="P47" s="15"/>
      <c r="Q47" s="15"/>
      <c r="R47" s="15"/>
      <c r="S47" s="15"/>
      <c r="T47" s="15"/>
      <c r="U47" s="15"/>
      <c r="V47" s="15"/>
      <c r="W47" s="15"/>
      <c r="X47" s="15"/>
      <c r="Y47" s="15"/>
      <c r="Z47" s="15"/>
      <c r="AA47" s="15"/>
    </row>
    <row r="48">
      <c r="A48" s="15"/>
      <c r="B48" s="14"/>
      <c r="C48" s="14"/>
      <c r="D48" s="15"/>
      <c r="E48" s="14"/>
      <c r="F48" s="42"/>
      <c r="G48" s="15"/>
      <c r="H48" s="15"/>
      <c r="I48" s="15"/>
      <c r="J48" s="14"/>
      <c r="K48" s="15"/>
      <c r="L48" s="15"/>
      <c r="M48" s="15"/>
      <c r="N48" s="15"/>
      <c r="O48" s="15"/>
      <c r="P48" s="15"/>
      <c r="Q48" s="15"/>
      <c r="R48" s="15"/>
      <c r="S48" s="15"/>
      <c r="T48" s="15"/>
      <c r="U48" s="15"/>
      <c r="V48" s="15"/>
      <c r="W48" s="15"/>
      <c r="X48" s="15"/>
      <c r="Y48" s="15"/>
      <c r="Z48" s="15"/>
      <c r="AA48" s="15"/>
    </row>
    <row r="49">
      <c r="A49" s="15"/>
      <c r="B49" s="15"/>
      <c r="C49" s="15"/>
      <c r="D49" s="15"/>
      <c r="E49" s="15"/>
      <c r="F49" s="42"/>
      <c r="G49" s="15"/>
      <c r="H49" s="15"/>
      <c r="I49" s="15"/>
      <c r="J49" s="15"/>
      <c r="K49" s="15"/>
      <c r="L49" s="15"/>
      <c r="M49" s="15"/>
      <c r="N49" s="15"/>
      <c r="O49" s="15"/>
      <c r="P49" s="15"/>
      <c r="Q49" s="15"/>
      <c r="R49" s="15"/>
      <c r="S49" s="15"/>
      <c r="T49" s="15"/>
      <c r="U49" s="15"/>
      <c r="V49" s="15"/>
      <c r="W49" s="15"/>
      <c r="X49" s="15"/>
      <c r="Y49" s="15"/>
      <c r="Z49" s="15"/>
      <c r="AA49" s="15"/>
    </row>
    <row r="50">
      <c r="A50" s="15"/>
      <c r="B50" s="15"/>
      <c r="C50" s="15"/>
      <c r="D50" s="15"/>
      <c r="E50" s="15"/>
      <c r="F50" s="46"/>
      <c r="G50" s="15"/>
      <c r="H50" s="15"/>
      <c r="I50" s="15"/>
      <c r="J50" s="15"/>
      <c r="K50" s="15"/>
      <c r="L50" s="15"/>
      <c r="M50" s="15"/>
      <c r="N50" s="15"/>
      <c r="O50" s="15"/>
      <c r="P50" s="15"/>
      <c r="Q50" s="15"/>
      <c r="R50" s="15"/>
      <c r="S50" s="15"/>
      <c r="T50" s="15"/>
      <c r="U50" s="15"/>
      <c r="V50" s="15"/>
      <c r="W50" s="15"/>
      <c r="X50" s="15"/>
      <c r="Y50" s="15"/>
      <c r="Z50" s="15"/>
      <c r="AA50" s="15"/>
    </row>
    <row r="51">
      <c r="A51" s="15"/>
      <c r="B51" s="15"/>
      <c r="C51" s="15"/>
      <c r="D51" s="15"/>
      <c r="E51" s="15"/>
      <c r="F51" s="46"/>
      <c r="G51" s="15"/>
      <c r="H51" s="15"/>
      <c r="I51" s="15"/>
      <c r="J51" s="14"/>
      <c r="K51" s="15"/>
      <c r="L51" s="15"/>
      <c r="M51" s="15"/>
      <c r="N51" s="15"/>
      <c r="O51" s="15"/>
      <c r="P51" s="15"/>
      <c r="Q51" s="15"/>
      <c r="R51" s="15"/>
      <c r="S51" s="15"/>
      <c r="T51" s="15"/>
      <c r="U51" s="15"/>
      <c r="V51" s="15"/>
      <c r="W51" s="15"/>
      <c r="X51" s="15"/>
      <c r="Y51" s="15"/>
      <c r="Z51" s="15"/>
      <c r="AA51" s="15"/>
    </row>
    <row r="52">
      <c r="A52" s="15"/>
      <c r="B52" s="15"/>
      <c r="C52" s="15"/>
      <c r="D52" s="15"/>
      <c r="E52" s="15"/>
      <c r="F52" s="46"/>
      <c r="G52" s="15"/>
      <c r="H52" s="15"/>
      <c r="I52" s="15"/>
      <c r="J52" s="15"/>
      <c r="K52" s="15"/>
      <c r="L52" s="15"/>
      <c r="M52" s="15"/>
      <c r="N52" s="15"/>
      <c r="O52" s="15"/>
      <c r="P52" s="15"/>
      <c r="Q52" s="15"/>
      <c r="R52" s="15"/>
      <c r="S52" s="15"/>
      <c r="T52" s="15"/>
      <c r="U52" s="15"/>
      <c r="V52" s="15"/>
      <c r="W52" s="15"/>
      <c r="X52" s="15"/>
      <c r="Y52" s="15"/>
      <c r="Z52" s="15"/>
      <c r="AA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row>
    <row r="54">
      <c r="A54" s="15"/>
      <c r="B54" s="14"/>
      <c r="C54" s="15"/>
      <c r="D54" s="15"/>
      <c r="E54" s="15"/>
      <c r="F54" s="15"/>
      <c r="G54" s="15"/>
      <c r="H54" s="15"/>
      <c r="I54" s="15"/>
      <c r="J54" s="15"/>
      <c r="K54" s="15"/>
      <c r="L54" s="15"/>
      <c r="M54" s="15"/>
      <c r="N54" s="15"/>
      <c r="O54" s="15"/>
      <c r="P54" s="15"/>
      <c r="Q54" s="15"/>
      <c r="R54" s="15"/>
      <c r="S54" s="15"/>
      <c r="T54" s="15"/>
      <c r="U54" s="15"/>
      <c r="V54" s="15"/>
      <c r="W54" s="15"/>
      <c r="X54" s="15"/>
      <c r="Y54" s="15"/>
      <c r="Z54" s="15"/>
      <c r="AA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row>
    <row r="1002">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row>
    <row r="1003">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c r="AA1003" s="15"/>
    </row>
    <row r="1004">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c r="AA1004" s="15"/>
    </row>
    <row r="1005">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c r="AA1005" s="15"/>
    </row>
    <row r="1006">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c r="AA1006" s="15"/>
    </row>
    <row r="1007">
      <c r="A1007" s="1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c r="AA1007" s="15"/>
    </row>
    <row r="1008">
      <c r="A1008" s="1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c r="AA1008" s="15"/>
    </row>
    <row r="1009">
      <c r="A1009" s="15"/>
      <c r="B1009" s="15"/>
      <c r="C1009" s="15"/>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c r="AA1009" s="15"/>
    </row>
    <row r="1010">
      <c r="A1010" s="15"/>
      <c r="B1010" s="15"/>
      <c r="C1010" s="15"/>
      <c r="D1010" s="15"/>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c r="AA1010" s="15"/>
    </row>
    <row r="1011">
      <c r="A1011" s="15"/>
      <c r="B1011" s="15"/>
      <c r="C1011" s="15"/>
      <c r="D1011" s="15"/>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c r="AA1011" s="15"/>
    </row>
    <row r="1012">
      <c r="A1012" s="15"/>
      <c r="B1012" s="15"/>
      <c r="C1012" s="15"/>
      <c r="D1012" s="15"/>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c r="AA1012" s="15"/>
    </row>
    <row r="1013">
      <c r="A1013" s="15"/>
      <c r="B1013" s="15"/>
      <c r="C1013" s="15"/>
      <c r="D1013" s="15"/>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c r="AA1013" s="15"/>
    </row>
    <row r="1014">
      <c r="A1014" s="15"/>
      <c r="B1014" s="15"/>
      <c r="C1014" s="15"/>
      <c r="D1014" s="15"/>
      <c r="E1014" s="15"/>
      <c r="F1014" s="15"/>
      <c r="G1014" s="15"/>
      <c r="H1014" s="15"/>
      <c r="I1014" s="15"/>
      <c r="J1014" s="15"/>
      <c r="K1014" s="15"/>
      <c r="L1014" s="15"/>
      <c r="M1014" s="15"/>
      <c r="N1014" s="15"/>
      <c r="O1014" s="15"/>
      <c r="P1014" s="15"/>
      <c r="Q1014" s="15"/>
      <c r="R1014" s="15"/>
      <c r="S1014" s="15"/>
      <c r="T1014" s="15"/>
      <c r="U1014" s="15"/>
      <c r="V1014" s="15"/>
      <c r="W1014" s="15"/>
      <c r="X1014" s="15"/>
      <c r="Y1014" s="15"/>
      <c r="Z1014" s="15"/>
      <c r="AA1014" s="15"/>
    </row>
    <row r="1015">
      <c r="A1015" s="15"/>
      <c r="B1015" s="15"/>
      <c r="C1015" s="15"/>
      <c r="D1015" s="15"/>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c r="AA1015" s="15"/>
    </row>
    <row r="1016">
      <c r="A1016" s="15"/>
      <c r="B1016" s="15"/>
      <c r="C1016" s="15"/>
      <c r="D1016" s="15"/>
      <c r="E1016" s="15"/>
      <c r="F1016" s="15"/>
      <c r="G1016" s="15"/>
      <c r="H1016" s="15"/>
      <c r="I1016" s="15"/>
      <c r="J1016" s="15"/>
      <c r="K1016" s="15"/>
      <c r="L1016" s="15"/>
      <c r="M1016" s="15"/>
      <c r="N1016" s="15"/>
      <c r="O1016" s="15"/>
      <c r="P1016" s="15"/>
      <c r="Q1016" s="15"/>
      <c r="R1016" s="15"/>
      <c r="S1016" s="15"/>
      <c r="T1016" s="15"/>
      <c r="U1016" s="15"/>
      <c r="V1016" s="15"/>
      <c r="W1016" s="15"/>
      <c r="X1016" s="15"/>
      <c r="Y1016" s="15"/>
      <c r="Z1016" s="15"/>
      <c r="AA1016" s="15"/>
    </row>
    <row r="1017">
      <c r="A1017" s="15"/>
      <c r="B1017" s="15"/>
      <c r="C1017" s="15"/>
      <c r="D1017" s="15"/>
      <c r="E1017" s="15"/>
      <c r="F1017" s="15"/>
      <c r="G1017" s="15"/>
      <c r="H1017" s="15"/>
      <c r="I1017" s="15"/>
      <c r="J1017" s="15"/>
      <c r="K1017" s="15"/>
      <c r="L1017" s="15"/>
      <c r="M1017" s="15"/>
      <c r="N1017" s="15"/>
      <c r="O1017" s="15"/>
      <c r="P1017" s="15"/>
      <c r="Q1017" s="15"/>
      <c r="R1017" s="15"/>
      <c r="S1017" s="15"/>
      <c r="T1017" s="15"/>
      <c r="U1017" s="15"/>
      <c r="V1017" s="15"/>
      <c r="W1017" s="15"/>
      <c r="X1017" s="15"/>
      <c r="Y1017" s="15"/>
      <c r="Z1017" s="15"/>
      <c r="AA1017" s="15"/>
    </row>
    <row r="1018">
      <c r="A1018" s="15"/>
      <c r="B1018" s="15"/>
      <c r="C1018" s="15"/>
      <c r="D1018" s="15"/>
      <c r="E1018" s="15"/>
      <c r="F1018" s="15"/>
      <c r="G1018" s="15"/>
      <c r="H1018" s="15"/>
      <c r="I1018" s="15"/>
      <c r="J1018" s="15"/>
      <c r="K1018" s="15"/>
      <c r="L1018" s="15"/>
      <c r="M1018" s="15"/>
      <c r="N1018" s="15"/>
      <c r="O1018" s="15"/>
      <c r="P1018" s="15"/>
      <c r="Q1018" s="15"/>
      <c r="R1018" s="15"/>
      <c r="S1018" s="15"/>
      <c r="T1018" s="15"/>
      <c r="U1018" s="15"/>
      <c r="V1018" s="15"/>
      <c r="W1018" s="15"/>
      <c r="X1018" s="15"/>
      <c r="Y1018" s="15"/>
      <c r="Z1018" s="15"/>
      <c r="AA1018" s="15"/>
    </row>
    <row r="1019">
      <c r="A1019" s="15"/>
      <c r="B1019" s="15"/>
      <c r="C1019" s="15"/>
      <c r="D1019" s="15"/>
      <c r="E1019" s="15"/>
      <c r="F1019" s="15"/>
      <c r="G1019" s="15"/>
      <c r="H1019" s="15"/>
      <c r="I1019" s="15"/>
      <c r="J1019" s="15"/>
      <c r="K1019" s="15"/>
      <c r="L1019" s="15"/>
      <c r="M1019" s="15"/>
      <c r="N1019" s="15"/>
      <c r="O1019" s="15"/>
      <c r="P1019" s="15"/>
      <c r="Q1019" s="15"/>
      <c r="R1019" s="15"/>
      <c r="S1019" s="15"/>
      <c r="T1019" s="15"/>
      <c r="U1019" s="15"/>
      <c r="V1019" s="15"/>
      <c r="W1019" s="15"/>
      <c r="X1019" s="15"/>
      <c r="Y1019" s="15"/>
      <c r="Z1019" s="15"/>
      <c r="AA1019" s="15"/>
    </row>
    <row r="1020">
      <c r="A1020" s="15"/>
      <c r="B1020" s="15"/>
      <c r="C1020" s="15"/>
      <c r="D1020" s="15"/>
      <c r="E1020" s="15"/>
      <c r="F1020" s="15"/>
      <c r="G1020" s="15"/>
      <c r="H1020" s="15"/>
      <c r="I1020" s="15"/>
      <c r="J1020" s="15"/>
      <c r="K1020" s="15"/>
      <c r="L1020" s="15"/>
      <c r="M1020" s="15"/>
      <c r="N1020" s="15"/>
      <c r="O1020" s="15"/>
      <c r="P1020" s="15"/>
      <c r="Q1020" s="15"/>
      <c r="R1020" s="15"/>
      <c r="S1020" s="15"/>
      <c r="T1020" s="15"/>
      <c r="U1020" s="15"/>
      <c r="V1020" s="15"/>
      <c r="W1020" s="15"/>
      <c r="X1020" s="15"/>
      <c r="Y1020" s="15"/>
      <c r="Z1020" s="15"/>
      <c r="AA1020" s="15"/>
    </row>
    <row r="1021">
      <c r="A1021" s="15"/>
      <c r="B1021" s="15"/>
      <c r="C1021" s="15"/>
      <c r="D1021" s="15"/>
      <c r="E1021" s="15"/>
      <c r="F1021" s="15"/>
      <c r="G1021" s="15"/>
      <c r="H1021" s="15"/>
      <c r="I1021" s="15"/>
      <c r="J1021" s="15"/>
      <c r="K1021" s="15"/>
      <c r="L1021" s="15"/>
      <c r="M1021" s="15"/>
      <c r="N1021" s="15"/>
      <c r="O1021" s="15"/>
      <c r="P1021" s="15"/>
      <c r="Q1021" s="15"/>
      <c r="R1021" s="15"/>
      <c r="S1021" s="15"/>
      <c r="T1021" s="15"/>
      <c r="U1021" s="15"/>
      <c r="V1021" s="15"/>
      <c r="W1021" s="15"/>
      <c r="X1021" s="15"/>
      <c r="Y1021" s="15"/>
      <c r="Z1021" s="15"/>
      <c r="AA1021" s="15"/>
    </row>
    <row r="1022">
      <c r="A1022" s="15"/>
      <c r="B1022" s="15"/>
      <c r="C1022" s="15"/>
      <c r="D1022" s="15"/>
      <c r="E1022" s="15"/>
      <c r="F1022" s="15"/>
      <c r="G1022" s="15"/>
      <c r="H1022" s="15"/>
      <c r="I1022" s="15"/>
      <c r="J1022" s="15"/>
      <c r="K1022" s="15"/>
      <c r="L1022" s="15"/>
      <c r="M1022" s="15"/>
      <c r="N1022" s="15"/>
      <c r="O1022" s="15"/>
      <c r="P1022" s="15"/>
      <c r="Q1022" s="15"/>
      <c r="R1022" s="15"/>
      <c r="S1022" s="15"/>
      <c r="T1022" s="15"/>
      <c r="U1022" s="15"/>
      <c r="V1022" s="15"/>
      <c r="W1022" s="15"/>
      <c r="X1022" s="15"/>
      <c r="Y1022" s="15"/>
      <c r="Z1022" s="15"/>
      <c r="AA1022" s="15"/>
    </row>
    <row r="1023">
      <c r="A1023" s="15"/>
      <c r="B1023" s="15"/>
      <c r="C1023" s="15"/>
      <c r="D1023" s="15"/>
      <c r="E1023" s="15"/>
      <c r="F1023" s="15"/>
      <c r="G1023" s="15"/>
      <c r="H1023" s="15"/>
      <c r="I1023" s="15"/>
      <c r="J1023" s="15"/>
      <c r="K1023" s="15"/>
      <c r="L1023" s="15"/>
      <c r="M1023" s="15"/>
      <c r="N1023" s="15"/>
      <c r="O1023" s="15"/>
      <c r="P1023" s="15"/>
      <c r="Q1023" s="15"/>
      <c r="R1023" s="15"/>
      <c r="S1023" s="15"/>
      <c r="T1023" s="15"/>
      <c r="U1023" s="15"/>
      <c r="V1023" s="15"/>
      <c r="W1023" s="15"/>
      <c r="X1023" s="15"/>
      <c r="Y1023" s="15"/>
      <c r="Z1023" s="15"/>
      <c r="AA1023" s="15"/>
    </row>
    <row r="1024">
      <c r="A1024" s="15"/>
      <c r="B1024" s="15"/>
      <c r="C1024" s="15"/>
      <c r="D1024" s="15"/>
      <c r="E1024" s="15"/>
      <c r="F1024" s="15"/>
      <c r="G1024" s="15"/>
      <c r="H1024" s="15"/>
      <c r="I1024" s="15"/>
      <c r="J1024" s="15"/>
      <c r="K1024" s="15"/>
      <c r="L1024" s="15"/>
      <c r="M1024" s="15"/>
      <c r="N1024" s="15"/>
      <c r="O1024" s="15"/>
      <c r="P1024" s="15"/>
      <c r="Q1024" s="15"/>
      <c r="R1024" s="15"/>
      <c r="S1024" s="15"/>
      <c r="T1024" s="15"/>
      <c r="U1024" s="15"/>
      <c r="V1024" s="15"/>
      <c r="W1024" s="15"/>
      <c r="X1024" s="15"/>
      <c r="Y1024" s="15"/>
      <c r="Z1024" s="15"/>
      <c r="AA1024" s="15"/>
    </row>
    <row r="1025">
      <c r="A1025" s="15"/>
      <c r="B1025" s="15"/>
      <c r="C1025" s="15"/>
      <c r="D1025" s="15"/>
      <c r="E1025" s="15"/>
      <c r="F1025" s="15"/>
      <c r="G1025" s="15"/>
      <c r="H1025" s="15"/>
      <c r="I1025" s="15"/>
      <c r="J1025" s="15"/>
      <c r="K1025" s="15"/>
      <c r="L1025" s="15"/>
      <c r="M1025" s="15"/>
      <c r="N1025" s="15"/>
      <c r="O1025" s="15"/>
      <c r="P1025" s="15"/>
      <c r="Q1025" s="15"/>
      <c r="R1025" s="15"/>
      <c r="S1025" s="15"/>
      <c r="T1025" s="15"/>
      <c r="U1025" s="15"/>
      <c r="V1025" s="15"/>
      <c r="W1025" s="15"/>
      <c r="X1025" s="15"/>
      <c r="Y1025" s="15"/>
      <c r="Z1025" s="15"/>
      <c r="AA1025" s="15"/>
    </row>
    <row r="1026">
      <c r="A1026" s="15"/>
      <c r="B1026" s="15"/>
      <c r="C1026" s="15"/>
      <c r="D1026" s="15"/>
      <c r="E1026" s="15"/>
      <c r="F1026" s="15"/>
      <c r="G1026" s="15"/>
      <c r="H1026" s="15"/>
      <c r="I1026" s="15"/>
      <c r="J1026" s="15"/>
      <c r="K1026" s="15"/>
      <c r="L1026" s="15"/>
      <c r="M1026" s="15"/>
      <c r="N1026" s="15"/>
      <c r="O1026" s="15"/>
      <c r="P1026" s="15"/>
      <c r="Q1026" s="15"/>
      <c r="R1026" s="15"/>
      <c r="S1026" s="15"/>
      <c r="T1026" s="15"/>
      <c r="U1026" s="15"/>
      <c r="V1026" s="15"/>
      <c r="W1026" s="15"/>
      <c r="X1026" s="15"/>
      <c r="Y1026" s="15"/>
      <c r="Z1026" s="15"/>
      <c r="AA1026" s="15"/>
    </row>
    <row r="1027">
      <c r="A1027" s="15"/>
      <c r="B1027" s="15"/>
      <c r="C1027" s="15"/>
      <c r="D1027" s="15"/>
      <c r="E1027" s="15"/>
      <c r="F1027" s="15"/>
      <c r="G1027" s="15"/>
      <c r="H1027" s="15"/>
      <c r="I1027" s="15"/>
      <c r="J1027" s="15"/>
      <c r="K1027" s="15"/>
      <c r="L1027" s="15"/>
      <c r="M1027" s="15"/>
      <c r="N1027" s="15"/>
      <c r="O1027" s="15"/>
      <c r="P1027" s="15"/>
      <c r="Q1027" s="15"/>
      <c r="R1027" s="15"/>
      <c r="S1027" s="15"/>
      <c r="T1027" s="15"/>
      <c r="U1027" s="15"/>
      <c r="V1027" s="15"/>
      <c r="W1027" s="15"/>
      <c r="X1027" s="15"/>
      <c r="Y1027" s="15"/>
      <c r="Z1027" s="15"/>
      <c r="AA1027" s="15"/>
    </row>
    <row r="1028">
      <c r="A1028" s="15"/>
      <c r="B1028" s="15"/>
      <c r="C1028" s="15"/>
      <c r="D1028" s="15"/>
      <c r="E1028" s="15"/>
      <c r="F1028" s="15"/>
      <c r="G1028" s="15"/>
      <c r="H1028" s="15"/>
      <c r="I1028" s="15"/>
      <c r="J1028" s="15"/>
      <c r="K1028" s="15"/>
      <c r="L1028" s="15"/>
      <c r="M1028" s="15"/>
      <c r="N1028" s="15"/>
      <c r="O1028" s="15"/>
      <c r="P1028" s="15"/>
      <c r="Q1028" s="15"/>
      <c r="R1028" s="15"/>
      <c r="S1028" s="15"/>
      <c r="T1028" s="15"/>
      <c r="U1028" s="15"/>
      <c r="V1028" s="15"/>
      <c r="W1028" s="15"/>
      <c r="X1028" s="15"/>
      <c r="Y1028" s="15"/>
      <c r="Z1028" s="15"/>
      <c r="AA1028" s="15"/>
    </row>
    <row r="1029">
      <c r="A1029" s="15"/>
      <c r="B1029" s="15"/>
      <c r="C1029" s="15"/>
      <c r="D1029" s="15"/>
      <c r="E1029" s="15"/>
      <c r="F1029" s="15"/>
      <c r="G1029" s="15"/>
      <c r="H1029" s="15"/>
      <c r="I1029" s="15"/>
      <c r="J1029" s="15"/>
      <c r="K1029" s="15"/>
      <c r="L1029" s="15"/>
      <c r="M1029" s="15"/>
      <c r="N1029" s="15"/>
      <c r="O1029" s="15"/>
      <c r="P1029" s="15"/>
      <c r="Q1029" s="15"/>
      <c r="R1029" s="15"/>
      <c r="S1029" s="15"/>
      <c r="T1029" s="15"/>
      <c r="U1029" s="15"/>
      <c r="V1029" s="15"/>
      <c r="W1029" s="15"/>
      <c r="X1029" s="15"/>
      <c r="Y1029" s="15"/>
      <c r="Z1029" s="15"/>
      <c r="AA1029" s="15"/>
    </row>
    <row r="1030">
      <c r="A1030" s="15"/>
      <c r="B1030" s="15"/>
      <c r="C1030" s="15"/>
      <c r="D1030" s="15"/>
      <c r="E1030" s="15"/>
      <c r="F1030" s="15"/>
      <c r="G1030" s="15"/>
      <c r="H1030" s="15"/>
      <c r="I1030" s="15"/>
      <c r="J1030" s="15"/>
      <c r="K1030" s="15"/>
      <c r="L1030" s="15"/>
      <c r="M1030" s="15"/>
      <c r="N1030" s="15"/>
      <c r="O1030" s="15"/>
      <c r="P1030" s="15"/>
      <c r="Q1030" s="15"/>
      <c r="R1030" s="15"/>
      <c r="S1030" s="15"/>
      <c r="T1030" s="15"/>
      <c r="U1030" s="15"/>
      <c r="V1030" s="15"/>
      <c r="W1030" s="15"/>
      <c r="X1030" s="15"/>
      <c r="Y1030" s="15"/>
      <c r="Z1030" s="15"/>
      <c r="AA1030" s="15"/>
    </row>
  </sheetData>
  <mergeCells count="5">
    <mergeCell ref="H2:H3"/>
    <mergeCell ref="I2:I3"/>
    <mergeCell ref="H9:H18"/>
    <mergeCell ref="I9:I18"/>
    <mergeCell ref="C25:D25"/>
  </mergeCells>
  <hyperlinks>
    <hyperlink r:id="rId1" location="gid=376217302" ref="D2"/>
    <hyperlink display="1. DATA CHUNG" location="'1. DATA CHUNG'!A1" ref="F2"/>
    <hyperlink display="2. DATA NL, VTBB" location="'2. DATA NL, VTBB'!A1" ref="F3"/>
    <hyperlink display="3. KHẢO SÁT, LẤY MẪU ĐÁNH GIÁ NCC" location="'3. KHẢO SÁT, LẤY MẪU ĐÁNH GIÁ N'!A1" ref="F4"/>
    <hyperlink display="4. KHẢO SÁT, LẤY MẪU ĐÁNH GIÁ SP" location="'4. KHẢO SÁT, LẤY MẪU ĐÁNH GIÁ S'!A1" ref="F5"/>
    <hyperlink display="5. QUY ĐỔI ĐVT NCC" location="'5. QUY ĐỔI ĐVT NCC'!A1" ref="F6"/>
    <hyperlink display="6. TIẾN ĐỘ MUA HÀNG" location="'6. TIẾN ĐỘ MUA HÀNG'!A1" ref="F7"/>
    <hyperlink display="7. PO GỬI NCC" location="'7. PO GỬI NCC'!A1" ref="F8"/>
    <hyperlink display="8. THEO DÕI CHI NC" location="null!A1" ref="F9"/>
    <hyperlink display="9. ĐÁNH GIÁ HỢP ĐỒNG" location="'9. ĐÁNH GIÁ HỢP ĐỒNG'!A1" ref="F10"/>
    <hyperlink display="10. ĐỐI CHIẾU CÔNG NỢ" location="'10. ĐỐI CHIẾU CÔNG NỢ'!A1" ref="F11"/>
    <hyperlink display="11. BÁO CÁO TIẾN ĐỘ ĐƠN MUA HÀNG" location="'11. BÁO CÁO TIẾN ĐỘ ĐƠN MUA HÀN'!A1" ref="F12"/>
    <hyperlink display="12. BÁO CÁO NSPT" location="'12. BÁO CÁO NSPT'!A1" ref="F13"/>
    <hyperlink display="13. BÁO CÁO PHÂN LOẠI VTBB/NL" location="'13. BÁO CÁO PHÂN LOẠI VTBBNL'!A1" ref="F14"/>
    <hyperlink display="14. BÁO CÁO NCC " location="'14. BÁO CÁO NCC '!A1" ref="F15"/>
    <hyperlink display="15. BÁO CÁO BỘ PHẬN " location="'15. BÁO CÁO BỘ PHẬN '!A1" ref="F16"/>
    <hyperlink display="16. BÁO CÁO CHI PHÍ VẬN CHUYỂN" location="'16. BÁO CÁO CHI PHÍ VẬN CHUYỂN'!A1" ref="F17"/>
    <hyperlink r:id="rId2" ref="C25"/>
    <hyperlink r:id="rId3" ref="D34"/>
  </hyperlinks>
  <printOptions gridLines="1" horizontalCentered="1"/>
  <pageMargins bottom="0.75" footer="0.0" header="0.0" left="0.25" right="0.25" top="0.75"/>
  <pageSetup fitToWidth="0" paperSize="9" cellComments="atEnd" orientation="landscape" pageOrder="overThenDown"/>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2" width="9.88"/>
    <col customWidth="1" min="3" max="3" width="3.5"/>
    <col customWidth="1" min="4" max="7" width="9.88"/>
    <col customWidth="1" min="8" max="8" width="3.5"/>
    <col customWidth="1" min="9" max="13" width="9.88"/>
    <col customWidth="1" min="14" max="14" width="3.5"/>
    <col customWidth="1" min="15" max="15" width="9.88"/>
    <col customWidth="1" min="16" max="16" width="3.5"/>
    <col customWidth="1" min="17" max="18" width="9.88"/>
    <col customWidth="1" min="19" max="19" width="3.5"/>
    <col customWidth="1" min="20" max="23" width="9.88"/>
    <col customWidth="1" min="24" max="24" width="3.5"/>
    <col customWidth="1" min="25" max="25" width="13.25"/>
    <col customWidth="1" min="26" max="26" width="25.13"/>
    <col customWidth="1" min="27" max="27" width="9.88"/>
    <col customWidth="1" min="28" max="28" width="3.5"/>
    <col customWidth="1" min="29" max="29" width="9.88"/>
    <col customWidth="1" min="30" max="30" width="3.5"/>
    <col customWidth="1" min="31" max="31" width="9.88"/>
    <col customWidth="1" min="32" max="32" width="3.5"/>
    <col customWidth="1" min="33" max="33" width="9.88"/>
    <col customWidth="1" min="34" max="34" width="3.5"/>
    <col customWidth="1" min="35" max="35" width="9.88"/>
    <col customWidth="1" min="36" max="36" width="3.5"/>
    <col customWidth="1" min="37" max="37" width="9.88"/>
  </cols>
  <sheetData>
    <row r="1" ht="15.0" customHeight="1">
      <c r="A1" s="47" t="str">
        <f>IFERROR(__xludf.DUMMYFUNCTION("IMPORTRANGE(""185W47XpkC4eZ2FKSbi1DoXxxlcyxtBBS9e7jlxfUMtE"", ""DATA CHUNG!$A:$AK"")"),"Liên hệ QL update data dữ liệu")</f>
        <v>Liên hệ QL update data dữ liệu</v>
      </c>
      <c r="B1" s="48"/>
      <c r="C1" s="49"/>
      <c r="D1" s="47"/>
      <c r="E1" s="50"/>
      <c r="F1" s="50"/>
      <c r="G1" s="50"/>
      <c r="H1" s="49"/>
      <c r="I1" s="50" t="str">
        <f>IFERROR(__xludf.DUMMYFUNCTION("""COMPUTED_VALUE"""),"Phát sinh từ deal với NCC -&gt; thông báo với các bộ phận yêu cầu có liên quan")</f>
        <v>Phát sinh từ deal với NCC -&gt; thông báo với các bộ phận yêu cầu có liên quan</v>
      </c>
      <c r="J1" s="50"/>
      <c r="K1" s="50"/>
      <c r="L1" s="47"/>
      <c r="M1" s="50"/>
      <c r="N1" s="49"/>
      <c r="O1" s="51"/>
      <c r="P1" s="49"/>
      <c r="Q1" s="51"/>
      <c r="R1" s="51"/>
      <c r="S1" s="49"/>
      <c r="T1" s="50"/>
      <c r="U1" s="50"/>
      <c r="V1" s="50"/>
      <c r="W1" s="50"/>
      <c r="X1" s="49"/>
      <c r="Y1" s="48" t="str">
        <f>IFERROR(__xludf.DUMMYFUNCTION("""COMPUTED_VALUE"""),"Ms Ly bổ sung đầy đủ lại")</f>
        <v>Ms Ly bổ sung đầy đủ lại</v>
      </c>
      <c r="Z1" s="50"/>
      <c r="AA1" s="50"/>
      <c r="AB1" s="49"/>
      <c r="AC1" s="50"/>
      <c r="AD1" s="49"/>
      <c r="AE1" s="50"/>
      <c r="AF1" s="49"/>
      <c r="AG1" s="50"/>
      <c r="AH1" s="49"/>
      <c r="AI1" s="50"/>
      <c r="AJ1" s="49"/>
      <c r="AK1" s="50"/>
    </row>
    <row r="2" ht="15.0" customHeight="1">
      <c r="A2" s="50" t="str">
        <f>IFERROR(__xludf.DUMMYFUNCTION("""COMPUTED_VALUE"""),"Nếu THương hiệu thì phải có mã KD đầu")</f>
        <v>Nếu THương hiệu thì phải có mã KD đầu</v>
      </c>
      <c r="B2" s="48"/>
      <c r="C2" s="49"/>
      <c r="D2" s="47"/>
      <c r="E2" s="47"/>
      <c r="F2" s="47"/>
      <c r="G2" s="50"/>
      <c r="H2" s="49"/>
      <c r="I2" s="48" t="str">
        <f>IFERROR(__xludf.DUMMYFUNCTION("""COMPUTED_VALUE"""),"Danh sách này không được điều chỉnh chỉ được bổ sung thêm")</f>
        <v>Danh sách này không được điều chỉnh chỉ được bổ sung thêm</v>
      </c>
      <c r="J2" s="52" t="str">
        <f>IFERROR(__xludf.DUMMYFUNCTION("""COMPUTED_VALUE"""),"Đã bao gồm thủ tục thanh toán nếu phải thanh toán trước
Tính từ ngày tiếp nhận yêu cầu đến ngày có hàng ở kho yêu cầu")</f>
        <v>Đã bao gồm thủ tục thanh toán nếu phải thanh toán trước
Tính từ ngày tiếp nhận yêu cầu đến ngày có hàng ở kho yêu cầu</v>
      </c>
      <c r="K2" s="50"/>
      <c r="L2" s="53" t="str">
        <f>IFERROR(__xludf.DUMMYFUNCTION("""COMPUTED_VALUE"""),"Ngày update quy định mới")</f>
        <v>Ngày update quy định mới</v>
      </c>
      <c r="M2" s="53" t="str">
        <f>IFERROR(__xludf.DUMMYFUNCTION("""COMPUTED_VALUE"""),"TRUE: có sẵn
FALSE: không có sẵn")</f>
        <v>TRUE: có sẵn
FALSE: không có sẵn</v>
      </c>
      <c r="N2" s="49"/>
      <c r="O2" s="51"/>
      <c r="P2" s="49"/>
      <c r="Q2" s="51"/>
      <c r="R2" s="51"/>
      <c r="S2" s="49"/>
      <c r="T2" s="48" t="str">
        <f>IFERROR(__xludf.DUMMYFUNCTION("""COMPUTED_VALUE"""),"Nhà cung cấp VTBB, NL")</f>
        <v>Nhà cung cấp VTBB, NL</v>
      </c>
      <c r="U2" s="50"/>
      <c r="V2" s="50"/>
      <c r="W2" s="50"/>
      <c r="X2" s="49"/>
      <c r="Y2" s="48" t="str">
        <f>IFERROR(__xludf.DUMMYFUNCTION("""COMPUTED_VALUE"""),"NCC gia công nhận VTBB")</f>
        <v>NCC gia công nhận VTBB</v>
      </c>
      <c r="Z2" s="50"/>
      <c r="AA2" s="50"/>
      <c r="AB2" s="49"/>
      <c r="AC2" s="50"/>
      <c r="AD2" s="49"/>
      <c r="AE2" s="50"/>
      <c r="AF2" s="49"/>
      <c r="AG2" s="50"/>
      <c r="AH2" s="49"/>
      <c r="AI2" s="50"/>
      <c r="AJ2" s="49"/>
      <c r="AK2" s="50"/>
    </row>
    <row r="3">
      <c r="A3" s="54" t="str">
        <f>IFERROR(__xludf.DUMMYFUNCTION("""COMPUTED_VALUE"""),"TÊN VIẾT TẮT THƯƠNG HIỆU")</f>
        <v>TÊN VIẾT TẮT THƯƠNG HIỆU</v>
      </c>
      <c r="B3" s="55" t="str">
        <f>IFERROR(__xludf.DUMMYFUNCTION("""COMPUTED_VALUE"""),"BP ĐẶT HÀNG/ CÁ NHÂN")</f>
        <v>BP ĐẶT HÀNG/ CÁ NHÂN</v>
      </c>
      <c r="C3" s="56"/>
      <c r="D3" s="55" t="str">
        <f>IFERROR(__xludf.DUMMYFUNCTION("""COMPUTED_VALUE"""),"VIẾT TẮT CÔNG TY LẤY HÓA ĐƠN")</f>
        <v>VIẾT TẮT CÔNG TY LẤY HÓA ĐƠN</v>
      </c>
      <c r="E3" s="55" t="str">
        <f>IFERROR(__xludf.DUMMYFUNCTION("""COMPUTED_VALUE"""),"TÊN ĐẦY ĐỦ CÔNG TY 
LẤY HÓA ĐƠN")</f>
        <v>TÊN ĐẦY ĐỦ CÔNG TY 
LẤY HÓA ĐƠN</v>
      </c>
      <c r="F3" s="54" t="str">
        <f>IFERROR(__xludf.DUMMYFUNCTION("""COMPUTED_VALUE"""),"ĐỊA CHỈ CÔNG TY 
LẤY HÓA ĐƠN")</f>
        <v>ĐỊA CHỈ CÔNG TY 
LẤY HÓA ĐƠN</v>
      </c>
      <c r="G3" s="55" t="str">
        <f>IFERROR(__xludf.DUMMYFUNCTION("""COMPUTED_VALUE"""),"MST CTY 
LẤY HÓA ĐƠN")</f>
        <v>MST CTY 
LẤY HÓA ĐƠN</v>
      </c>
      <c r="H3" s="56"/>
      <c r="I3" s="54" t="str">
        <f>IFERROR(__xludf.DUMMYFUNCTION("""COMPUTED_VALUE"""),"PHÂN LOẠI VTBB")</f>
        <v>PHÂN LOẠI VTBB</v>
      </c>
      <c r="J3" s="54" t="str">
        <f>IFERROR(__xludf.DUMMYFUNCTION("""COMPUTED_VALUE"""),"THỜI GIAN QUY ĐỊNH (Ngày)")</f>
        <v>THỜI GIAN QUY ĐỊNH (Ngày)</v>
      </c>
      <c r="K3" s="54" t="str">
        <f>IFERROR(__xludf.DUMMYFUNCTION("""COMPUTED_VALUE"""),"GHI CHÚ")</f>
        <v>GHI CHÚ</v>
      </c>
      <c r="L3" s="57" t="str">
        <f>IFERROR(__xludf.DUMMYFUNCTION("""COMPUTED_VALUE"""),"NGÀY 
ÁP DỤNG")</f>
        <v>NGÀY 
ÁP DỤNG</v>
      </c>
      <c r="M3" s="57" t="str">
        <f>IFERROR(__xludf.DUMMYFUNCTION("""COMPUTED_VALUE"""),"QUY ĐỊNH THEO CÓ SẴN NCC")</f>
        <v>QUY ĐỊNH THEO CÓ SẴN NCC</v>
      </c>
      <c r="N3" s="56"/>
      <c r="O3" s="58" t="str">
        <f>IFERROR(__xludf.DUMMYFUNCTION("""COMPUTED_VALUE"""),"ĐVT VTBB/NL")</f>
        <v>ĐVT VTBB/NL</v>
      </c>
      <c r="P3" s="56"/>
      <c r="Q3" s="58" t="str">
        <f>IFERROR(__xludf.DUMMYFUNCTION("""COMPUTED_VALUE"""),"TRẠNG THÁI")</f>
        <v>TRẠNG THÁI</v>
      </c>
      <c r="R3" s="58" t="str">
        <f>IFERROR(__xludf.DUMMYFUNCTION("""COMPUTED_VALUE"""),"ĐỊNH NGHĨA")</f>
        <v>ĐỊNH NGHĨA</v>
      </c>
      <c r="S3" s="56"/>
      <c r="T3" s="55" t="str">
        <f>IFERROR(__xludf.DUMMYFUNCTION("""COMPUTED_VALUE"""),"NCC")</f>
        <v>NCC</v>
      </c>
      <c r="U3" s="55" t="str">
        <f>IFERROR(__xludf.DUMMYFUNCTION("""COMPUTED_VALUE"""),"NCC (VIẾT TẮT)")</f>
        <v>NCC (VIẾT TẮT)</v>
      </c>
      <c r="V3" s="55" t="str">
        <f>IFERROR(__xludf.DUMMYFUNCTION("""COMPUTED_VALUE"""),"ĐỊA CHỈ NCC")</f>
        <v>ĐỊA CHỈ NCC</v>
      </c>
      <c r="W3" s="55" t="str">
        <f>IFERROR(__xludf.DUMMYFUNCTION("""COMPUTED_VALUE"""),"MST NCC")</f>
        <v>MST NCC</v>
      </c>
      <c r="X3" s="56"/>
      <c r="Y3" s="55" t="str">
        <f>IFERROR(__xludf.DUMMYFUNCTION("""COMPUTED_VALUE"""),"TÊN PHÁP LÝ KHO NHẬN")</f>
        <v>TÊN PHÁP LÝ KHO NHẬN</v>
      </c>
      <c r="Z3" s="55" t="str">
        <f>IFERROR(__xludf.DUMMYFUNCTION("""COMPUTED_VALUE"""),"KHO NHẬN  (VIẾT TẮT)")</f>
        <v>KHO NHẬN  (VIẾT TẮT)</v>
      </c>
      <c r="AA3" s="55" t="str">
        <f>IFERROR(__xludf.DUMMYFUNCTION("""COMPUTED_VALUE"""),"ĐỊA CHỈ KHO NHẬN")</f>
        <v>ĐỊA CHỈ KHO NHẬN</v>
      </c>
      <c r="AB3" s="56"/>
      <c r="AC3" s="55" t="str">
        <f>IFERROR(__xludf.DUMMYFUNCTION("""COMPUTED_VALUE"""),"ĐƠN VỊ 
VẬN CHUYỂN")</f>
        <v>ĐƠN VỊ 
VẬN CHUYỂN</v>
      </c>
      <c r="AD3" s="56"/>
      <c r="AE3" s="55" t="str">
        <f>IFERROR(__xludf.DUMMYFUNCTION("""COMPUTED_VALUE"""),"ĐVT VC")</f>
        <v>ĐVT VC</v>
      </c>
      <c r="AF3" s="56"/>
      <c r="AG3" s="55" t="str">
        <f>IFERROR(__xludf.DUMMYFUNCTION("""COMPUTED_VALUE"""),"NSPT")</f>
        <v>NSPT</v>
      </c>
      <c r="AH3" s="56"/>
      <c r="AI3" s="55" t="str">
        <f>IFERROR(__xludf.DUMMYFUNCTION("""COMPUTED_VALUE"""),"VAT")</f>
        <v>VAT</v>
      </c>
      <c r="AJ3" s="56"/>
      <c r="AK3" s="55" t="str">
        <f>IFERROR(__xludf.DUMMYFUNCTION("""COMPUTED_VALUE"""),"HÌNH THỨC THANH TOÁN CỦA NCC")</f>
        <v>HÌNH THỨC THANH TOÁN CỦA NCC</v>
      </c>
    </row>
    <row r="4" ht="18.0" customHeight="1">
      <c r="A4" s="59" t="str">
        <f>IFERROR(__xludf.DUMMYFUNCTION("""COMPUTED_VALUE"""),"NM")</f>
        <v>NM</v>
      </c>
      <c r="B4" s="59" t="str">
        <f>IFERROR(__xludf.DUMMYFUNCTION("""COMPUTED_VALUE"""),"Nhà máy Dego")</f>
        <v>Nhà máy Dego</v>
      </c>
      <c r="C4" s="60"/>
      <c r="D4" s="59" t="str">
        <f>IFERROR(__xludf.DUMMYFUNCTION("""COMPUTED_VALUE"""),"DEGO HOLDING")</f>
        <v>DEGO HOLDING</v>
      </c>
      <c r="E4" s="61" t="str">
        <f>IFERROR(__xludf.DUMMYFUNCTION("""COMPUTED_VALUE"""),"CÔNG TY TNHH DEGO HOLDING")</f>
        <v>CÔNG TY TNHH DEGO HOLDING</v>
      </c>
      <c r="F4" s="61" t="str">
        <f>IFERROR(__xludf.DUMMYFUNCTION("""COMPUTED_VALUE"""),"B19 đường dẫn cầu Cần Thơ, QL1A, Khu dân cư Trung tâm văn hóa Tây Đô, Phường Cái Răng, Thành phố Cần Thơ, Việt Nam.")</f>
        <v>B19 đường dẫn cầu Cần Thơ, QL1A, Khu dân cư Trung tâm văn hóa Tây Đô, Phường Cái Răng, Thành phố Cần Thơ, Việt Nam.</v>
      </c>
      <c r="G4" s="62" t="str">
        <f>IFERROR(__xludf.DUMMYFUNCTION("""COMPUTED_VALUE"""),"1801722464")</f>
        <v>1801722464</v>
      </c>
      <c r="H4" s="60"/>
      <c r="I4" s="63" t="str">
        <f>IFERROR(__xludf.DUMMYFUNCTION("""COMPUTED_VALUE"""),"Nhãn")</f>
        <v>Nhãn</v>
      </c>
      <c r="J4" s="64">
        <f>IFERROR(__xludf.DUMMYFUNCTION("""COMPUTED_VALUE"""),7.0)</f>
        <v>7</v>
      </c>
      <c r="K4" s="63"/>
      <c r="L4" s="65">
        <f>IFERROR(__xludf.DUMMYFUNCTION("""COMPUTED_VALUE"""),46082.0)</f>
        <v>46082</v>
      </c>
      <c r="M4" s="63"/>
      <c r="N4" s="60"/>
      <c r="O4" s="66" t="str">
        <f>IFERROR(__xludf.DUMMYFUNCTION("""COMPUTED_VALUE"""),"Cái")</f>
        <v>Cái</v>
      </c>
      <c r="P4" s="60"/>
      <c r="Q4" s="66" t="str">
        <f>IFERROR(__xludf.DUMMYFUNCTION("""COMPUTED_VALUE"""),"Chưa đặt hàng")</f>
        <v>Chưa đặt hàng</v>
      </c>
      <c r="R4" s="66" t="str">
        <f>IFERROR(__xludf.DUMMYFUNCTION("""COMPUTED_VALUE"""),"Đã tiếp nhận đơn hàng từ BP/người yêu cầu - Chưa gửi đơn hàng cho NCC")</f>
        <v>Đã tiếp nhận đơn hàng từ BP/người yêu cầu - Chưa gửi đơn hàng cho NCC</v>
      </c>
      <c r="S4" s="60"/>
      <c r="T4" s="63" t="str">
        <f>IFERROR(__xludf.DUMMYFUNCTION("""COMPUTED_VALUE"""),"CÔNG TY TNHH SẢN XUẤT THƯƠNG MẠI BAO BÌ CẨM HÙNG")</f>
        <v>CÔNG TY TNHH SẢN XUẤT THƯƠNG MẠI BAO BÌ CẨM HÙNG</v>
      </c>
      <c r="U4" s="63" t="str">
        <f>IFERROR(__xludf.DUMMYFUNCTION("""COMPUTED_VALUE"""),"Cẩm Hùng")</f>
        <v>Cẩm Hùng</v>
      </c>
      <c r="V4" s="63" t="str">
        <f>IFERROR(__xludf.DUMMYFUNCTION("""COMPUTED_VALUE"""),"số 37, đường B11, KDC 91B, Phường Tân An, Thành phố Cần Thơ, Việt Nam")</f>
        <v>số 37, đường B11, KDC 91B, Phường Tân An, Thành phố Cần Thơ, Việt Nam</v>
      </c>
      <c r="W4" s="67" t="str">
        <f>IFERROR(__xludf.DUMMYFUNCTION("""COMPUTED_VALUE"""),"1801778241")</f>
        <v>1801778241</v>
      </c>
      <c r="X4" s="60"/>
      <c r="Y4" s="63" t="str">
        <f>IFERROR(__xludf.DUMMYFUNCTION("""COMPUTED_VALUE"""),"CÔNG TY CỔ PHẦN AGAMA")</f>
        <v>CÔNG TY CỔ PHẦN AGAMA</v>
      </c>
      <c r="Z4" s="63" t="str">
        <f>IFERROR(__xludf.DUMMYFUNCTION("""COMPUTED_VALUE"""),"Agama")</f>
        <v>Agama</v>
      </c>
      <c r="AA4" s="68" t="str">
        <f>IFERROR(__xludf.DUMMYFUNCTION("""COMPUTED_VALUE"""),"Lô 2, Đường số 2, Cụm Công nghiệp Đức Thuận, Ấp Tràm Lạc, Xã Mỹ Hạnh Bắc, Huyện Đức Hoà, Tỉnh Long An, Việt Nam")</f>
        <v>Lô 2, Đường số 2, Cụm Công nghiệp Đức Thuận, Ấp Tràm Lạc, Xã Mỹ Hạnh Bắc, Huyện Đức Hoà, Tỉnh Long An, Việt Nam</v>
      </c>
      <c r="AB4" s="60"/>
      <c r="AC4" s="68" t="str">
        <f>IFERROR(__xludf.DUMMYFUNCTION("""COMPUTED_VALUE"""),"Mekong Logistics")</f>
        <v>Mekong Logistics</v>
      </c>
      <c r="AD4" s="60"/>
      <c r="AE4" s="68" t="str">
        <f>IFERROR(__xludf.DUMMYFUNCTION("""COMPUTED_VALUE"""),"Kiện")</f>
        <v>Kiện</v>
      </c>
      <c r="AF4" s="60"/>
      <c r="AG4" s="68" t="str">
        <f>IFERROR(__xludf.DUMMYFUNCTION("""COMPUTED_VALUE"""),"Ms Quyên")</f>
        <v>Ms Quyên</v>
      </c>
      <c r="AH4" s="60"/>
      <c r="AI4" s="67">
        <f>IFERROR(__xludf.DUMMYFUNCTION("""COMPUTED_VALUE"""),0.05)</f>
        <v>0.05</v>
      </c>
      <c r="AJ4" s="60"/>
      <c r="AK4" s="68" t="str">
        <f>IFERROR(__xludf.DUMMYFUNCTION("""COMPUTED_VALUE"""),"Công nợ 60 ngày")</f>
        <v>Công nợ 60 ngày</v>
      </c>
    </row>
    <row r="5" ht="18.0" customHeight="1">
      <c r="A5" s="59" t="str">
        <f>IFERROR(__xludf.DUMMYFUNCTION("""COMPUTED_VALUE"""),"SX")</f>
        <v>SX</v>
      </c>
      <c r="B5" s="59" t="str">
        <f>IFERROR(__xludf.DUMMYFUNCTION("""COMPUTED_VALUE"""),"SX - Ms Ly")</f>
        <v>SX - Ms Ly</v>
      </c>
      <c r="C5" s="60"/>
      <c r="D5" s="59" t="str">
        <f>IFERROR(__xludf.DUMMYFUNCTION("""COMPUTED_VALUE"""),"IDA")</f>
        <v>IDA</v>
      </c>
      <c r="E5" s="61" t="str">
        <f>IFERROR(__xludf.DUMMYFUNCTION("""COMPUTED_VALUE"""),"CÔNG TY TNHH XUẤT NHẬP KHẨU IDA GLOBAL")</f>
        <v>CÔNG TY TNHH XUẤT NHẬP KHẨU IDA GLOBAL</v>
      </c>
      <c r="F5" s="61" t="str">
        <f>IFERROR(__xludf.DUMMYFUNCTION("""COMPUTED_VALUE"""),"68 Nguyễn Huệ, Phường Sài Gòn, Thành phố Hồ Chí Minh, Việt Nam")</f>
        <v>68 Nguyễn Huệ, Phường Sài Gòn, Thành phố Hồ Chí Minh, Việt Nam</v>
      </c>
      <c r="G5" s="62" t="str">
        <f>IFERROR(__xludf.DUMMYFUNCTION("""COMPUTED_VALUE"""),"0314562909")</f>
        <v>0314562909</v>
      </c>
      <c r="H5" s="60"/>
      <c r="I5" s="63" t="str">
        <f>IFERROR(__xludf.DUMMYFUNCTION("""COMPUTED_VALUE"""),"Nhãn Metalize")</f>
        <v>Nhãn Metalize</v>
      </c>
      <c r="J5" s="64">
        <f>IFERROR(__xludf.DUMMYFUNCTION("""COMPUTED_VALUE"""),12.0)</f>
        <v>12</v>
      </c>
      <c r="K5" s="63"/>
      <c r="L5" s="65">
        <f>IFERROR(__xludf.DUMMYFUNCTION("""COMPUTED_VALUE"""),46082.0)</f>
        <v>46082</v>
      </c>
      <c r="M5" s="63"/>
      <c r="N5" s="60"/>
      <c r="O5" s="66" t="str">
        <f>IFERROR(__xludf.DUMMYFUNCTION("""COMPUTED_VALUE"""),"Bộ")</f>
        <v>Bộ</v>
      </c>
      <c r="P5" s="60"/>
      <c r="Q5" s="66" t="str">
        <f>IFERROR(__xludf.DUMMYFUNCTION("""COMPUTED_VALUE"""),"Đã đặt hàng")</f>
        <v>Đã đặt hàng</v>
      </c>
      <c r="R5" s="66" t="str">
        <f>IFERROR(__xludf.DUMMYFUNCTION("""COMPUTED_VALUE"""),"Đã gửi đơn hàng cho NCC")</f>
        <v>Đã gửi đơn hàng cho NCC</v>
      </c>
      <c r="S5" s="60"/>
      <c r="T5" s="63" t="str">
        <f>IFERROR(__xludf.DUMMYFUNCTION("""COMPUTED_VALUE"""),"CÔNG TY TNHH SẢN XUẤT BAO BÌ ĐÔNG TÂY")</f>
        <v>CÔNG TY TNHH SẢN XUẤT BAO BÌ ĐÔNG TÂY</v>
      </c>
      <c r="U5" s="63" t="str">
        <f>IFERROR(__xludf.DUMMYFUNCTION("""COMPUTED_VALUE"""),"Đông Tây")</f>
        <v>Đông Tây</v>
      </c>
      <c r="V5" s="63" t="str">
        <f>IFERROR(__xludf.DUMMYFUNCTION("""COMPUTED_VALUE"""),"0827/3 Đường Võ Thị Thừa, Khu phố 3, Phường An Phú Đông, Quận 12, Thành phố Hồ Chí Minh, Việt Nam")</f>
        <v>0827/3 Đường Võ Thị Thừa, Khu phố 3, Phường An Phú Đông, Quận 12, Thành phố Hồ Chí Minh, Việt Nam</v>
      </c>
      <c r="W5" s="68" t="str">
        <f>IFERROR(__xludf.DUMMYFUNCTION("""COMPUTED_VALUE"""),"0316254811")</f>
        <v>0316254811</v>
      </c>
      <c r="X5" s="60"/>
      <c r="Y5" s="63" t="str">
        <f>IFERROR(__xludf.DUMMYFUNCTION("""COMPUTED_VALUE"""),"CÔNG TY CỔ PHẦN HÓA CHẤT NÔNG NGHIỆP HÀ LONG")</f>
        <v>CÔNG TY CỔ PHẦN HÓA CHẤT NÔNG NGHIỆP HÀ LONG</v>
      </c>
      <c r="Z5" s="63" t="str">
        <f>IFERROR(__xludf.DUMMYFUNCTION("""COMPUTED_VALUE"""),"Hà Long")</f>
        <v>Hà Long</v>
      </c>
      <c r="AA5" s="68" t="str">
        <f>IFERROR(__xludf.DUMMYFUNCTION("""COMPUTED_VALUE"""),"Lô A 204, Khu công nghiệp Thái Hòa , Xã Đức Lập Hạ, Huyện Đức Hoà, Tỉnh Long An, Việt Nam")</f>
        <v>Lô A 204, Khu công nghiệp Thái Hòa , Xã Đức Lập Hạ, Huyện Đức Hoà, Tỉnh Long An, Việt Nam</v>
      </c>
      <c r="AB5" s="60"/>
      <c r="AC5" s="68" t="str">
        <f>IFERROR(__xludf.DUMMYFUNCTION("""COMPUTED_VALUE"""),"Sang Giàu")</f>
        <v>Sang Giàu</v>
      </c>
      <c r="AD5" s="60"/>
      <c r="AE5" s="68" t="str">
        <f>IFERROR(__xludf.DUMMYFUNCTION("""COMPUTED_VALUE"""),"Chuyến")</f>
        <v>Chuyến</v>
      </c>
      <c r="AF5" s="60"/>
      <c r="AG5" s="68" t="str">
        <f>IFERROR(__xludf.DUMMYFUNCTION("""COMPUTED_VALUE"""),"Mr Tiên")</f>
        <v>Mr Tiên</v>
      </c>
      <c r="AH5" s="60"/>
      <c r="AI5" s="67">
        <f>IFERROR(__xludf.DUMMYFUNCTION("""COMPUTED_VALUE"""),0.08)</f>
        <v>0.08</v>
      </c>
      <c r="AJ5" s="60"/>
      <c r="AK5" s="68" t="str">
        <f>IFERROR(__xludf.DUMMYFUNCTION("""COMPUTED_VALUE"""),"Thanh toán 100% khi nhận hàng")</f>
        <v>Thanh toán 100% khi nhận hàng</v>
      </c>
    </row>
    <row r="6" ht="18.0" customHeight="1">
      <c r="A6" s="59" t="str">
        <f>IFERROR(__xludf.DUMMYFUNCTION("""COMPUTED_VALUE"""),"LAB")</f>
        <v>LAB</v>
      </c>
      <c r="B6" s="59" t="str">
        <f>IFERROR(__xludf.DUMMYFUNCTION("""COMPUTED_VALUE"""),"Lab")</f>
        <v>Lab</v>
      </c>
      <c r="C6" s="60"/>
      <c r="D6" s="59" t="str">
        <f>IFERROR(__xludf.DUMMYFUNCTION("""COMPUTED_VALUE"""),"ABA")</f>
        <v>ABA</v>
      </c>
      <c r="E6" s="61" t="str">
        <f>IFERROR(__xludf.DUMMYFUNCTION("""COMPUTED_VALUE"""),"CÔNG TY TNHH SẢN XUẤT HÓA CHẤT ABA")</f>
        <v>CÔNG TY TNHH SẢN XUẤT HÓA CHẤT ABA</v>
      </c>
      <c r="F6" s="61" t="str">
        <f>IFERROR(__xludf.DUMMYFUNCTION("""COMPUTED_VALUE"""),"108 Trần Đình Xu, Phường Cầu Ông Lãnh, Thành phố Hồ Chí Minh, Việt Nam")</f>
        <v>108 Trần Đình Xu, Phường Cầu Ông Lãnh, Thành phố Hồ Chí Minh, Việt Nam</v>
      </c>
      <c r="G6" s="62" t="str">
        <f>IFERROR(__xludf.DUMMYFUNCTION("""COMPUTED_VALUE"""),"0316342296")</f>
        <v>0316342296</v>
      </c>
      <c r="H6" s="60"/>
      <c r="I6" s="63" t="str">
        <f>IFERROR(__xludf.DUMMYFUNCTION("""COMPUTED_VALUE"""),"Nhãn Thùng")</f>
        <v>Nhãn Thùng</v>
      </c>
      <c r="J6" s="64">
        <f>IFERROR(__xludf.DUMMYFUNCTION("""COMPUTED_VALUE"""),7.0)</f>
        <v>7</v>
      </c>
      <c r="K6" s="63"/>
      <c r="L6" s="65">
        <f>IFERROR(__xludf.DUMMYFUNCTION("""COMPUTED_VALUE"""),46082.0)</f>
        <v>46082</v>
      </c>
      <c r="M6" s="63"/>
      <c r="N6" s="60"/>
      <c r="O6" s="66" t="str">
        <f>IFERROR(__xludf.DUMMYFUNCTION("""COMPUTED_VALUE"""),"Kg")</f>
        <v>Kg</v>
      </c>
      <c r="P6" s="60"/>
      <c r="Q6" s="66" t="str">
        <f>IFERROR(__xludf.DUMMYFUNCTION("""COMPUTED_VALUE"""),"Đã gửi ĐMH cho KT")</f>
        <v>Đã gửi ĐMH cho KT</v>
      </c>
      <c r="R6" s="66" t="str">
        <f>IFERROR(__xludf.DUMMYFUNCTION("""COMPUTED_VALUE"""),"Đã gửi bảng giấy ĐMH cho kế toán")</f>
        <v>Đã gửi bảng giấy ĐMH cho kế toán</v>
      </c>
      <c r="S6" s="60"/>
      <c r="T6" s="63" t="str">
        <f>IFERROR(__xludf.DUMMYFUNCTION("""COMPUTED_VALUE"""),"CÔNG TY TNHH QUẢNG CÁO MỘC ẤN")</f>
        <v>CÔNG TY TNHH QUẢNG CÁO MỘC ẤN</v>
      </c>
      <c r="U6" s="63" t="str">
        <f>IFERROR(__xludf.DUMMYFUNCTION("""COMPUTED_VALUE"""),"Mộc Ấn")</f>
        <v>Mộc Ấn</v>
      </c>
      <c r="V6" s="63" t="str">
        <f>IFERROR(__xludf.DUMMYFUNCTION("""COMPUTED_VALUE"""),"368/12 Đường TTH21, Khu phố 3, Phường Tân Thới Hiệp, Quận 12, Thành phố Hồ Chí Minh, Việt Nam")</f>
        <v>368/12 Đường TTH21, Khu phố 3, Phường Tân Thới Hiệp, Quận 12, Thành phố Hồ Chí Minh, Việt Nam</v>
      </c>
      <c r="W6" s="68" t="str">
        <f>IFERROR(__xludf.DUMMYFUNCTION("""COMPUTED_VALUE"""),"0312214688")</f>
        <v>0312214688</v>
      </c>
      <c r="X6" s="60"/>
      <c r="Y6" s="63" t="str">
        <f>IFERROR(__xludf.DUMMYFUNCTION("""COMPUTED_VALUE"""),"CÔNG TY CỔ PHẦN PHÂN BÓN QUỐC TẾ ÂU VIỆT (CÔNG TY CP EVF)")</f>
        <v>CÔNG TY CỔ PHẦN PHÂN BÓN QUỐC TẾ ÂU VIỆT (CÔNG TY CP EVF)</v>
      </c>
      <c r="Z6" s="63" t="str">
        <f>IFERROR(__xludf.DUMMYFUNCTION("""COMPUTED_VALUE"""),"Âu Việt")</f>
        <v>Âu Việt</v>
      </c>
      <c r="AA6" s="63" t="str">
        <f>IFERROR(__xludf.DUMMYFUNCTION("""COMPUTED_VALUE"""),"Quốc lộ 1A, Ấp Long An B, Thị Trấn Cái Tắc, Huyện Châu Thành A, Tỉnh Hậu Giang, Việt Nam")</f>
        <v>Quốc lộ 1A, Ấp Long An B, Thị Trấn Cái Tắc, Huyện Châu Thành A, Tỉnh Hậu Giang, Việt Nam</v>
      </c>
      <c r="AB6" s="60"/>
      <c r="AC6" s="63" t="str">
        <f>IFERROR(__xludf.DUMMYFUNCTION("""COMPUTED_VALUE"""),"Trần Quyên")</f>
        <v>Trần Quyên</v>
      </c>
      <c r="AD6" s="60"/>
      <c r="AE6" s="63" t="str">
        <f>IFERROR(__xludf.DUMMYFUNCTION("""COMPUTED_VALUE"""),"m²")</f>
        <v>m²</v>
      </c>
      <c r="AF6" s="60"/>
      <c r="AG6" s="63" t="str">
        <f>IFERROR(__xludf.DUMMYFUNCTION("""COMPUTED_VALUE"""),"Ms Dung")</f>
        <v>Ms Dung</v>
      </c>
      <c r="AH6" s="60"/>
      <c r="AI6" s="67">
        <f>IFERROR(__xludf.DUMMYFUNCTION("""COMPUTED_VALUE"""),0.1)</f>
        <v>0.1</v>
      </c>
      <c r="AJ6" s="60"/>
      <c r="AK6" s="68" t="str">
        <f>IFERROR(__xludf.DUMMYFUNCTION("""COMPUTED_VALUE"""),"Công nợ 30 ngày")</f>
        <v>Công nợ 30 ngày</v>
      </c>
    </row>
    <row r="7" ht="18.0" customHeight="1">
      <c r="A7" s="59" t="str">
        <f>IFERROR(__xludf.DUMMYFUNCTION("""COMPUTED_VALUE"""),"AB")</f>
        <v>AB</v>
      </c>
      <c r="B7" s="59" t="str">
        <f>IFERROR(__xludf.DUMMYFUNCTION("""COMPUTED_VALUE"""),"KD ABA")</f>
        <v>KD ABA</v>
      </c>
      <c r="C7" s="60"/>
      <c r="D7" s="59" t="str">
        <f>IFERROR(__xludf.DUMMYFUNCTION("""COMPUTED_VALUE"""),"ICARE")</f>
        <v>ICARE</v>
      </c>
      <c r="E7" s="59" t="str">
        <f>IFERROR(__xludf.DUMMYFUNCTION("""COMPUTED_VALUE"""),"CÔNG TY TNHH DƯỢC PHẨM ICARE")</f>
        <v>CÔNG TY TNHH DƯỢC PHẨM ICARE</v>
      </c>
      <c r="F7" s="61" t="str">
        <f>IFERROR(__xludf.DUMMYFUNCTION("""COMPUTED_VALUE"""),"108 Trần Đình Xu, Phường Cầu Ông Lãnh, Thành phố Hồ Chí Minh, Việt Nam")</f>
        <v>108 Trần Đình Xu, Phường Cầu Ông Lãnh, Thành phố Hồ Chí Minh, Việt Nam</v>
      </c>
      <c r="G7" s="62" t="str">
        <f>IFERROR(__xludf.DUMMYFUNCTION("""COMPUTED_VALUE"""),"0315593265")</f>
        <v>0315593265</v>
      </c>
      <c r="H7" s="60"/>
      <c r="I7" s="69" t="str">
        <f>IFERROR(__xludf.DUMMYFUNCTION("""COMPUTED_VALUE"""),"Túi flexo")</f>
        <v>Túi flexo</v>
      </c>
      <c r="J7" s="64">
        <f>IFERROR(__xludf.DUMMYFUNCTION("""COMPUTED_VALUE"""),15.0)</f>
        <v>15</v>
      </c>
      <c r="K7" s="63" t="str">
        <f>IFERROR(__xludf.DUMMYFUNCTION("""COMPUTED_VALUE"""),"Nhãn túi (Tân Đức)
&lt;5.000 túi: 12 ngày
&gt; 5.000 túi: 15 ngày")</f>
        <v>Nhãn túi (Tân Đức)
&lt;5.000 túi: 12 ngày
&gt; 5.000 túi: 15 ngày</v>
      </c>
      <c r="L7" s="70">
        <f>IFERROR(__xludf.DUMMYFUNCTION("""COMPUTED_VALUE"""),46023.0)</f>
        <v>46023</v>
      </c>
      <c r="M7" s="63"/>
      <c r="N7" s="60"/>
      <c r="O7" s="66" t="str">
        <f>IFERROR(__xludf.DUMMYFUNCTION("""COMPUTED_VALUE"""),"Lít")</f>
        <v>Lít</v>
      </c>
      <c r="P7" s="60"/>
      <c r="Q7" s="66" t="str">
        <f>IFERROR(__xludf.DUMMYFUNCTION("""COMPUTED_VALUE"""),"Chưa gửi ĐMH cho KT")</f>
        <v>Chưa gửi ĐMH cho KT</v>
      </c>
      <c r="R7" s="66" t="str">
        <f>IFERROR(__xludf.DUMMYFUNCTION("""COMPUTED_VALUE"""),"Đã in nhưng chưa đủ chứng từ gửi kế toán")</f>
        <v>Đã in nhưng chưa đủ chứng từ gửi kế toán</v>
      </c>
      <c r="S7" s="60"/>
      <c r="T7" s="63" t="str">
        <f>IFERROR(__xludf.DUMMYFUNCTION("""COMPUTED_VALUE"""),"CÔNG TY TNHH SẢN XUẤT- THƯƠNG MẠI- DỊCH VỤ TÂN ĐỨC")</f>
        <v>CÔNG TY TNHH SẢN XUẤT- THƯƠNG MẠI- DỊCH VỤ TÂN ĐỨC</v>
      </c>
      <c r="U7" s="63" t="str">
        <f>IFERROR(__xludf.DUMMYFUNCTION("""COMPUTED_VALUE"""),"Tân Đức")</f>
        <v>Tân Đức</v>
      </c>
      <c r="V7" s="63" t="str">
        <f>IFERROR(__xludf.DUMMYFUNCTION("""COMPUTED_VALUE"""),"108/8 Đường số 11, Khu phố 5, Phường Linh Xuân, Thành phố Thủ Đức, Thành phố Hồ Chí Minh, Việt Nam")</f>
        <v>108/8 Đường số 11, Khu phố 5, Phường Linh Xuân, Thành phố Thủ Đức, Thành phố Hồ Chí Minh, Việt Nam</v>
      </c>
      <c r="W7" s="68" t="str">
        <f>IFERROR(__xludf.DUMMYFUNCTION("""COMPUTED_VALUE"""),"0301909568")</f>
        <v>0301909568</v>
      </c>
      <c r="X7" s="60"/>
      <c r="Y7" s="63" t="str">
        <f>IFERROR(__xludf.DUMMYFUNCTION("""COMPUTED_VALUE"""),"CÔNG TY TNHH BASEL THỤY SĨ")</f>
        <v>CÔNG TY TNHH BASEL THỤY SĨ</v>
      </c>
      <c r="Z7" s="63" t="str">
        <f>IFERROR(__xludf.DUMMYFUNCTION("""COMPUTED_VALUE"""),"Basel")</f>
        <v>Basel</v>
      </c>
      <c r="AA7" s="63" t="str">
        <f>IFERROR(__xludf.DUMMYFUNCTION("""COMPUTED_VALUE"""),"Lô H2A đường số 4, KCN Hải Sơn (GĐ 3+4), ấp Bình Tiền 2, Xã Đức Hòa Hạ, Huyện Đức Hoà, Tỉnh Long An")</f>
        <v>Lô H2A đường số 4, KCN Hải Sơn (GĐ 3+4), ấp Bình Tiền 2, Xã Đức Hòa Hạ, Huyện Đức Hoà, Tỉnh Long An</v>
      </c>
      <c r="AB7" s="60"/>
      <c r="AC7" s="63" t="str">
        <f>IFERROR(__xludf.DUMMYFUNCTION("""COMPUTED_VALUE"""),"Phan Khánh")</f>
        <v>Phan Khánh</v>
      </c>
      <c r="AD7" s="60"/>
      <c r="AE7" s="63" t="str">
        <f>IFERROR(__xludf.DUMMYFUNCTION("""COMPUTED_VALUE"""),"Tấn")</f>
        <v>Tấn</v>
      </c>
      <c r="AF7" s="60"/>
      <c r="AG7" s="63" t="str">
        <f>IFERROR(__xludf.DUMMYFUNCTION("""COMPUTED_VALUE"""),"Mr Hậu")</f>
        <v>Mr Hậu</v>
      </c>
      <c r="AH7" s="60"/>
      <c r="AI7" s="68">
        <f>IFERROR(__xludf.DUMMYFUNCTION("""COMPUTED_VALUE"""),0.02)</f>
        <v>0.02</v>
      </c>
      <c r="AJ7" s="60"/>
      <c r="AK7" s="68" t="str">
        <f>IFERROR(__xludf.DUMMYFUNCTION("""COMPUTED_VALUE"""),"Thanh toán trước khi giao hàng")</f>
        <v>Thanh toán trước khi giao hàng</v>
      </c>
    </row>
    <row r="8" ht="18.0" customHeight="1">
      <c r="A8" s="59" t="str">
        <f>IFERROR(__xludf.DUMMYFUNCTION("""COMPUTED_VALUE"""),"IC")</f>
        <v>IC</v>
      </c>
      <c r="B8" s="59" t="str">
        <f>IFERROR(__xludf.DUMMYFUNCTION("""COMPUTED_VALUE"""),"KD ICARE")</f>
        <v>KD ICARE</v>
      </c>
      <c r="C8" s="71"/>
      <c r="D8" s="69" t="str">
        <f>IFERROR(__xludf.DUMMYFUNCTION("""COMPUTED_VALUE"""),"NPP DR.XANH")</f>
        <v>NPP DR.XANH</v>
      </c>
      <c r="E8" s="61" t="str">
        <f>IFERROR(__xludf.DUMMYFUNCTION("""COMPUTED_VALUE"""),"NHÀ PHÂN PHỐI DR XANH")</f>
        <v>NHÀ PHÂN PHỐI DR XANH</v>
      </c>
      <c r="F8" s="61" t="str">
        <f>IFERROR(__xludf.DUMMYFUNCTION("""COMPUTED_VALUE"""),"Số 124, Đường Võ Văn Kiệt, khu vực Bình Trung, Phường Long Hòa, Quận Bình Thủy, TP.Cần Thơ")</f>
        <v>Số 124, Đường Võ Văn Kiệt, khu vực Bình Trung, Phường Long Hòa, Quận Bình Thủy, TP.Cần Thơ</v>
      </c>
      <c r="G8" s="62" t="str">
        <f>IFERROR(__xludf.DUMMYFUNCTION("""COMPUTED_VALUE"""),"57B8010406")</f>
        <v>57B8010406</v>
      </c>
      <c r="H8" s="71"/>
      <c r="I8" s="63" t="str">
        <f>IFERROR(__xludf.DUMMYFUNCTION("""COMPUTED_VALUE"""),"Túi trục")</f>
        <v>Túi trục</v>
      </c>
      <c r="J8" s="64">
        <f>IFERROR(__xludf.DUMMYFUNCTION("""COMPUTED_VALUE"""),21.0)</f>
        <v>21</v>
      </c>
      <c r="K8" s="63" t="str">
        <f>IFERROR(__xludf.DUMMYFUNCTION("""COMPUTED_VALUE"""),"Làm trục: 12 - 15 ngày
In túi: 3 -5 ngày
Cắt: 1-2 ngày")</f>
        <v>Làm trục: 12 - 15 ngày
In túi: 3 -5 ngày
Cắt: 1-2 ngày</v>
      </c>
      <c r="L8" s="65">
        <f>IFERROR(__xludf.DUMMYFUNCTION("""COMPUTED_VALUE"""),46082.0)</f>
        <v>46082</v>
      </c>
      <c r="M8" s="69"/>
      <c r="N8" s="71"/>
      <c r="O8" s="66" t="str">
        <f>IFERROR(__xludf.DUMMYFUNCTION("""COMPUTED_VALUE"""),"Ml")</f>
        <v>Ml</v>
      </c>
      <c r="P8" s="71"/>
      <c r="Q8" s="66" t="str">
        <f>IFERROR(__xludf.DUMMYFUNCTION("""COMPUTED_VALUE"""),"Đã nhận hàng")</f>
        <v>Đã nhận hàng</v>
      </c>
      <c r="R8" s="66" t="str">
        <f>IFERROR(__xludf.DUMMYFUNCTION("""COMPUTED_VALUE"""),"Hàng đã về địa chỉ kho yêu cầu")</f>
        <v>Hàng đã về địa chỉ kho yêu cầu</v>
      </c>
      <c r="S8" s="71"/>
      <c r="T8" s="63" t="str">
        <f>IFERROR(__xludf.DUMMYFUNCTION("""COMPUTED_VALUE"""),"CÔNG TY TRÁCH NHIỆM HỮU HẠN MỘT THÀNH VIÊN HỢP TRÍ THÀNH CÔNG")</f>
        <v>CÔNG TY TRÁCH NHIỆM HỮU HẠN MỘT THÀNH VIÊN HỢP TRÍ THÀNH CÔNG</v>
      </c>
      <c r="U8" s="63" t="str">
        <f>IFERROR(__xludf.DUMMYFUNCTION("""COMPUTED_VALUE"""),"Thành Công")</f>
        <v>Thành Công</v>
      </c>
      <c r="V8" s="63" t="str">
        <f>IFERROR(__xludf.DUMMYFUNCTION("""COMPUTED_VALUE"""),"98, đường 3/2, Phường Xuân Khánh, Quận Ninh Kiều, Thành phố Cần Thơ, Việt Nam")</f>
        <v>98, đường 3/2, Phường Xuân Khánh, Quận Ninh Kiều, Thành phố Cần Thơ, Việt Nam</v>
      </c>
      <c r="W8" s="67" t="str">
        <f>IFERROR(__xludf.DUMMYFUNCTION("""COMPUTED_VALUE"""),"1801356017")</f>
        <v>1801356017</v>
      </c>
      <c r="X8" s="71"/>
      <c r="Y8" s="63" t="str">
        <f>IFERROR(__xludf.DUMMYFUNCTION("""COMPUTED_VALUE"""),"CÔNG TY TNHH DEGO HOLDING")</f>
        <v>CÔNG TY TNHH DEGO HOLDING</v>
      </c>
      <c r="Z8" s="63" t="str">
        <f>IFERROR(__xludf.DUMMYFUNCTION("""COMPUTED_VALUE"""),"Dego Cần Thơ")</f>
        <v>Dego Cần Thơ</v>
      </c>
      <c r="AA8" s="69" t="str">
        <f>IFERROR(__xludf.DUMMYFUNCTION("""COMPUTED_VALUE"""),"Thửa đất số 86-Tờ bản đồ số 1, đường dẫn cầu Cần Thơ, QL 1A, KDC TTVH Tây Đô, P. Hưng Thạnh, Q. Cái Răng, TP. Cần Thơ (Cách trụ sở công an Quận Cái Răng 100m)")</f>
        <v>Thửa đất số 86-Tờ bản đồ số 1, đường dẫn cầu Cần Thơ, QL 1A, KDC TTVH Tây Đô, P. Hưng Thạnh, Q. Cái Răng, TP. Cần Thơ (Cách trụ sở công an Quận Cái Răng 100m)</v>
      </c>
      <c r="AB8" s="71"/>
      <c r="AC8" s="69" t="str">
        <f>IFERROR(__xludf.DUMMYFUNCTION("""COMPUTED_VALUE"""),"NCC tự vận chuyển")</f>
        <v>NCC tự vận chuyển</v>
      </c>
      <c r="AD8" s="71"/>
      <c r="AE8" s="69"/>
      <c r="AF8" s="71"/>
      <c r="AG8" s="69" t="str">
        <f>IFERROR(__xludf.DUMMYFUNCTION("""COMPUTED_VALUE"""),"Ms Thịnh")</f>
        <v>Ms Thịnh</v>
      </c>
      <c r="AH8" s="71"/>
      <c r="AI8" s="63"/>
      <c r="AJ8" s="71"/>
      <c r="AK8" s="63" t="str">
        <f>IFERROR(__xludf.DUMMYFUNCTION("""COMPUTED_VALUE"""),"Thanh toán 7 ngày sau khi nhận hàng")</f>
        <v>Thanh toán 7 ngày sau khi nhận hàng</v>
      </c>
    </row>
    <row r="9" ht="18.0" customHeight="1">
      <c r="A9" s="59" t="str">
        <f>IFERROR(__xludf.DUMMYFUNCTION("""COMPUTED_VALUE"""),"DR")</f>
        <v>DR</v>
      </c>
      <c r="B9" s="59" t="str">
        <f>IFERROR(__xludf.DUMMYFUNCTION("""COMPUTED_VALUE"""),"KD DR XANH")</f>
        <v>KD DR XANH</v>
      </c>
      <c r="C9" s="71"/>
      <c r="D9" s="69" t="str">
        <f>IFERROR(__xludf.DUMMYFUNCTION("""COMPUTED_VALUE"""),"HỘ KD DR.XANH")</f>
        <v>HỘ KD DR.XANH</v>
      </c>
      <c r="E9" s="61" t="str">
        <f>IFERROR(__xludf.DUMMYFUNCTION("""COMPUTED_VALUE"""),"HỘ KINH DOANH DR XANH")</f>
        <v>HỘ KINH DOANH DR XANH</v>
      </c>
      <c r="F9" s="61" t="str">
        <f>IFERROR(__xludf.DUMMYFUNCTION("""COMPUTED_VALUE"""),"Ấp Qui Lân 1, Xã Thạnh Quới, Huyện Vĩnh Thạnh, TP Cần Thơ, Việt Nam")</f>
        <v>Ấp Qui Lân 1, Xã Thạnh Quới, Huyện Vĩnh Thạnh, TP Cần Thơ, Việt Nam</v>
      </c>
      <c r="G9" s="62" t="str">
        <f>IFERROR(__xludf.DUMMYFUNCTION("""COMPUTED_VALUE"""),"57H8005750")</f>
        <v>57H8005750</v>
      </c>
      <c r="H9" s="71"/>
      <c r="I9" s="63" t="str">
        <f>IFERROR(__xludf.DUMMYFUNCTION("""COMPUTED_VALUE"""),"Hộp")</f>
        <v>Hộp</v>
      </c>
      <c r="J9" s="64">
        <f>IFERROR(__xludf.DUMMYFUNCTION("""COMPUTED_VALUE"""),15.0)</f>
        <v>15</v>
      </c>
      <c r="K9" s="63"/>
      <c r="L9" s="65">
        <f>IFERROR(__xludf.DUMMYFUNCTION("""COMPUTED_VALUE"""),46082.0)</f>
        <v>46082</v>
      </c>
      <c r="M9" s="69"/>
      <c r="N9" s="71"/>
      <c r="O9" s="66" t="str">
        <f>IFERROR(__xludf.DUMMYFUNCTION("""COMPUTED_VALUE"""),"Gram")</f>
        <v>Gram</v>
      </c>
      <c r="P9" s="71"/>
      <c r="Q9" s="66" t="str">
        <f>IFERROR(__xludf.DUMMYFUNCTION("""COMPUTED_VALUE"""),"Hoàn thành")</f>
        <v>Hoàn thành</v>
      </c>
      <c r="R9" s="66" t="str">
        <f>IFERROR(__xludf.DUMMYFUNCTION("""COMPUTED_VALUE"""),"Hoàn thành đã lấy hóa đơn; thanh toán; quyết toán hoàn ứng")</f>
        <v>Hoàn thành đã lấy hóa đơn; thanh toán; quyết toán hoàn ứng</v>
      </c>
      <c r="S9" s="71"/>
      <c r="T9" s="63" t="str">
        <f>IFERROR(__xludf.DUMMYFUNCTION("""COMPUTED_VALUE"""),"CÔNG TY TNHH SẢN XUẤT - THƯƠNG MẠI AN TÍN")</f>
        <v>CÔNG TY TNHH SẢN XUẤT - THƯƠNG MẠI AN TÍN</v>
      </c>
      <c r="U9" s="63" t="str">
        <f>IFERROR(__xludf.DUMMYFUNCTION("""COMPUTED_VALUE"""),"An Tín")</f>
        <v>An Tín</v>
      </c>
      <c r="V9" s="63" t="str">
        <f>IFERROR(__xludf.DUMMYFUNCTION("""COMPUTED_VALUE"""),"247/16 Đường Bình Tiên, Phường 08, Quận 6, Thành Phố Hồ Chí Minh, Việt Nam")</f>
        <v>247/16 Đường Bình Tiên, Phường 08, Quận 6, Thành Phố Hồ Chí Minh, Việt Nam</v>
      </c>
      <c r="W9" s="59" t="str">
        <f>IFERROR(__xludf.DUMMYFUNCTION("""COMPUTED_VALUE"""),"0315259038")</f>
        <v>0315259038</v>
      </c>
      <c r="X9" s="71"/>
      <c r="Y9" s="63" t="str">
        <f>IFERROR(__xludf.DUMMYFUNCTION("""COMPUTED_VALUE"""),"CÔNG TY TNHH PHÂN BÓN NIỀM TIN VIỆT")</f>
        <v>CÔNG TY TNHH PHÂN BÓN NIỀM TIN VIỆT</v>
      </c>
      <c r="Z9" s="63" t="str">
        <f>IFERROR(__xludf.DUMMYFUNCTION("""COMPUTED_VALUE"""),"Niềm Tin Việt")</f>
        <v>Niềm Tin Việt</v>
      </c>
      <c r="AA9" s="69" t="str">
        <f>IFERROR(__xludf.DUMMYFUNCTION("""COMPUTED_VALUE"""),"Ấp 2A, Xã Hưng Thạnh, H.Tháp Mười, Đồng Tháp")</f>
        <v>Ấp 2A, Xã Hưng Thạnh, H.Tháp Mười, Đồng Tháp</v>
      </c>
      <c r="AB9" s="71"/>
      <c r="AC9" s="69" t="str">
        <f>IFERROR(__xludf.DUMMYFUNCTION("""COMPUTED_VALUE"""),"Grab")</f>
        <v>Grab</v>
      </c>
      <c r="AD9" s="71"/>
      <c r="AE9" s="69"/>
      <c r="AF9" s="71"/>
      <c r="AG9" s="69" t="str">
        <f>IFERROR(__xludf.DUMMYFUNCTION("""COMPUTED_VALUE"""),"Ms Dư")</f>
        <v>Ms Dư</v>
      </c>
      <c r="AH9" s="71"/>
      <c r="AI9" s="63"/>
      <c r="AJ9" s="71"/>
      <c r="AK9" s="63" t="str">
        <f>IFERROR(__xludf.DUMMYFUNCTION("""COMPUTED_VALUE"""),"Công nợ 20 ngày")</f>
        <v>Công nợ 20 ngày</v>
      </c>
    </row>
    <row r="10" ht="18.0" customHeight="1">
      <c r="A10" s="59" t="str">
        <f>IFERROR(__xludf.DUMMYFUNCTION("""COMPUTED_VALUE"""),"ID")</f>
        <v>ID</v>
      </c>
      <c r="B10" s="59" t="str">
        <f>IFERROR(__xludf.DUMMYFUNCTION("""COMPUTED_VALUE"""),"KD IDA")</f>
        <v>KD IDA</v>
      </c>
      <c r="C10" s="71"/>
      <c r="D10" s="59" t="str">
        <f>IFERROR(__xludf.DUMMYFUNCTION("""COMPUTED_VALUE"""),"BAMBOO")</f>
        <v>BAMBOO</v>
      </c>
      <c r="E10" s="61" t="str">
        <f>IFERROR(__xludf.DUMMYFUNCTION("""COMPUTED_VALUE"""),"CÔNG TY TNHH XUẤT NHẬP KHẨU SẢN XUẤT THƯƠNG MẠI BAMBOO VIỆT NAM")</f>
        <v>CÔNG TY TNHH XUẤT NHẬP KHẨU SẢN XUẤT THƯƠNG MẠI BAMBOO VIỆT NAM</v>
      </c>
      <c r="F10" s="61" t="str">
        <f>IFERROR(__xludf.DUMMYFUNCTION("""COMPUTED_VALUE"""),"Tầng 18, Tòa nhà ROX Tower, 180-192 Nguyễn Công Trứ, Phường Bến Thành, Thành phó Hồ Chí Minh, Việt Nam.")</f>
        <v>Tầng 18, Tòa nhà ROX Tower, 180-192 Nguyễn Công Trứ, Phường Bến Thành, Thành phó Hồ Chí Minh, Việt Nam.</v>
      </c>
      <c r="G10" s="62" t="str">
        <f>IFERROR(__xludf.DUMMYFUNCTION("""COMPUTED_VALUE"""),"0318629897")</f>
        <v>0318629897</v>
      </c>
      <c r="H10" s="71"/>
      <c r="I10" s="63" t="str">
        <f>IFERROR(__xludf.DUMMYFUNCTION("""COMPUTED_VALUE"""),"Can/Xô")</f>
        <v>Can/Xô</v>
      </c>
      <c r="J10" s="64">
        <f>IFERROR(__xludf.DUMMYFUNCTION("""COMPUTED_VALUE"""),5.0)</f>
        <v>5</v>
      </c>
      <c r="K10" s="63" t="str">
        <f>IFERROR(__xludf.DUMMYFUNCTION("""COMPUTED_VALUE"""),"Thông tin tham khảo từ Ms Ly/ Thu mua check lại")</f>
        <v>Thông tin tham khảo từ Ms Ly/ Thu mua check lại</v>
      </c>
      <c r="L10" s="65">
        <f>IFERROR(__xludf.DUMMYFUNCTION("""COMPUTED_VALUE"""),46082.0)</f>
        <v>46082</v>
      </c>
      <c r="M10" s="72" t="b">
        <f>IFERROR(__xludf.DUMMYFUNCTION("""COMPUTED_VALUE"""),TRUE)</f>
        <v>1</v>
      </c>
      <c r="N10" s="71"/>
      <c r="O10" s="66" t="str">
        <f>IFERROR(__xludf.DUMMYFUNCTION("""COMPUTED_VALUE"""),"Cuộn")</f>
        <v>Cuộn</v>
      </c>
      <c r="P10" s="71"/>
      <c r="Q10" s="66" t="str">
        <f>IFERROR(__xludf.DUMMYFUNCTION("""COMPUTED_VALUE"""),"Hủy đơn")</f>
        <v>Hủy đơn</v>
      </c>
      <c r="R10" s="66" t="str">
        <f>IFERROR(__xludf.DUMMYFUNCTION("""COMPUTED_VALUE"""),"Hủy đơn với NCC theo bộ phận yêu cầu")</f>
        <v>Hủy đơn với NCC theo bộ phận yêu cầu</v>
      </c>
      <c r="S10" s="71"/>
      <c r="T10" s="63" t="str">
        <f>IFERROR(__xludf.DUMMYFUNCTION("""COMPUTED_VALUE"""),"CÔNG TY TNHH SẢN XUẤT THƯƠNG MẠI NHỰA CƯỜNG PHÁT LONG AN")</f>
        <v>CÔNG TY TNHH SẢN XUẤT THƯƠNG MẠI NHỰA CƯỜNG PHÁT LONG AN</v>
      </c>
      <c r="U10" s="63" t="str">
        <f>IFERROR(__xludf.DUMMYFUNCTION("""COMPUTED_VALUE"""),"Cường Phát")</f>
        <v>Cường Phát</v>
      </c>
      <c r="V10" s="63" t="str">
        <f>IFERROR(__xludf.DUMMYFUNCTION("""COMPUTED_VALUE"""),"Ấp Hóc Thơm 1, Xã Hòa Khánh, Tỉnh Tây Ninh, Việt Nam")</f>
        <v>Ấp Hóc Thơm 1, Xã Hòa Khánh, Tỉnh Tây Ninh, Việt Nam</v>
      </c>
      <c r="W10" s="73" t="str">
        <f>IFERROR(__xludf.DUMMYFUNCTION("""COMPUTED_VALUE"""),"1101721810")</f>
        <v>1101721810</v>
      </c>
      <c r="X10" s="71"/>
      <c r="Y10" s="63" t="str">
        <f>IFERROR(__xludf.DUMMYFUNCTION("""COMPUTED_VALUE"""),"CÔNG TY TNHH PRIMA - PHÁP - CHÂU ÂU")</f>
        <v>CÔNG TY TNHH PRIMA - PHÁP - CHÂU ÂU</v>
      </c>
      <c r="Z10" s="63" t="str">
        <f>IFERROR(__xludf.DUMMYFUNCTION("""COMPUTED_VALUE"""),"Đại Tâm")</f>
        <v>Đại Tâm</v>
      </c>
      <c r="AA10" s="69" t="str">
        <f>IFERROR(__xludf.DUMMYFUNCTION("""COMPUTED_VALUE"""),"Lô B101 đường B. KCN Thái Hoà, Xã Đức Lập Hạ, Huyện Đức Hoà, Tỉnh Long An")</f>
        <v>Lô B101 đường B. KCN Thái Hoà, Xã Đức Lập Hạ, Huyện Đức Hoà, Tỉnh Long An</v>
      </c>
      <c r="AB10" s="71"/>
      <c r="AC10" s="69"/>
      <c r="AD10" s="71"/>
      <c r="AE10" s="69"/>
      <c r="AF10" s="71"/>
      <c r="AG10" s="69"/>
      <c r="AH10" s="71"/>
      <c r="AI10" s="63"/>
      <c r="AJ10" s="71"/>
      <c r="AK10" s="63"/>
    </row>
    <row r="11" ht="18.0" customHeight="1">
      <c r="A11" s="59" t="str">
        <f>IFERROR(__xludf.DUMMYFUNCTION("""COMPUTED_VALUE"""),"SX")</f>
        <v>SX</v>
      </c>
      <c r="B11" s="59" t="str">
        <f>IFERROR(__xludf.DUMMYFUNCTION("""COMPUTED_VALUE"""),"SX - Ms Hương")</f>
        <v>SX - Ms Hương</v>
      </c>
      <c r="C11" s="60"/>
      <c r="D11" s="59" t="str">
        <f>IFERROR(__xludf.DUMMYFUNCTION("""COMPUTED_VALUE"""),"N2SBIO")</f>
        <v>N2SBIO</v>
      </c>
      <c r="E11" s="59" t="str">
        <f>IFERROR(__xludf.DUMMYFUNCTION("""COMPUTED_VALUE"""),"CÔNG TY TNHH N2SBIO VIỆT NAM")</f>
        <v>CÔNG TY TNHH N2SBIO VIỆT NAM</v>
      </c>
      <c r="F11" s="61" t="str">
        <f>IFERROR(__xludf.DUMMYFUNCTION("""COMPUTED_VALUE"""),"108 Trần Đình Xu, Phường Nguyễn Cư Trinh, Quận 1, TP Hồ Chí Minh")</f>
        <v>108 Trần Đình Xu, Phường Nguyễn Cư Trinh, Quận 1, TP Hồ Chí Minh</v>
      </c>
      <c r="G11" s="62" t="str">
        <f>IFERROR(__xludf.DUMMYFUNCTION("""COMPUTED_VALUE"""),"0318776965")</f>
        <v>0318776965</v>
      </c>
      <c r="H11" s="60"/>
      <c r="I11" s="63" t="str">
        <f>IFERROR(__xludf.DUMMYFUNCTION("""COMPUTED_VALUE"""),"Can/Xô")</f>
        <v>Can/Xô</v>
      </c>
      <c r="J11" s="64">
        <f>IFERROR(__xludf.DUMMYFUNCTION("""COMPUTED_VALUE"""),7.0)</f>
        <v>7</v>
      </c>
      <c r="K11" s="63" t="str">
        <f>IFERROR(__xludf.DUMMYFUNCTION("""COMPUTED_VALUE"""),"Thông tin tham khảo từ Ms Ly/ Thu mua check lại")</f>
        <v>Thông tin tham khảo từ Ms Ly/ Thu mua check lại</v>
      </c>
      <c r="L11" s="65">
        <f>IFERROR(__xludf.DUMMYFUNCTION("""COMPUTED_VALUE"""),46082.0)</f>
        <v>46082</v>
      </c>
      <c r="M11" s="74" t="b">
        <f>IFERROR(__xludf.DUMMYFUNCTION("""COMPUTED_VALUE"""),FALSE)</f>
        <v>0</v>
      </c>
      <c r="N11" s="60"/>
      <c r="O11" s="66" t="str">
        <f>IFERROR(__xludf.DUMMYFUNCTION("""COMPUTED_VALUE"""),"Bịch")</f>
        <v>Bịch</v>
      </c>
      <c r="P11" s="60"/>
      <c r="Q11" s="66" t="str">
        <f>IFERROR(__xludf.DUMMYFUNCTION("""COMPUTED_VALUE"""),"Tạm ngưng")</f>
        <v>Tạm ngưng</v>
      </c>
      <c r="R11" s="66"/>
      <c r="S11" s="60"/>
      <c r="T11" s="63" t="str">
        <f>IFERROR(__xludf.DUMMYFUNCTION("""COMPUTED_VALUE"""),"CÔNG TY TNHH BAO BÌ HNS")</f>
        <v>CÔNG TY TNHH BAO BÌ HNS</v>
      </c>
      <c r="U11" s="63" t="str">
        <f>IFERROR(__xludf.DUMMYFUNCTION("""COMPUTED_VALUE"""),"Hns")</f>
        <v>Hns</v>
      </c>
      <c r="V11" s="63" t="str">
        <f>IFERROR(__xludf.DUMMYFUNCTION("""COMPUTED_VALUE"""),"084 QL1, KV2, Ba Láng, Cái Răng, Cần Thơ")</f>
        <v>084 QL1, KV2, Ba Láng, Cái Răng, Cần Thơ</v>
      </c>
      <c r="W11" s="73" t="str">
        <f>IFERROR(__xludf.DUMMYFUNCTION("""COMPUTED_VALUE"""),"1801399719")</f>
        <v>1801399719</v>
      </c>
      <c r="X11" s="60"/>
      <c r="Y11" s="63" t="str">
        <f>IFERROR(__xludf.DUMMYFUNCTION("""COMPUTED_VALUE"""),"CÔNG TY TNHH SÀN GIAO DỊCH THUỐC BẢO VỆ THỰC VẬT VIỆT NAM")</f>
        <v>CÔNG TY TNHH SÀN GIAO DỊCH THUỐC BẢO VỆ THỰC VẬT VIỆT NAM</v>
      </c>
      <c r="Z11" s="63" t="str">
        <f>IFERROR(__xludf.DUMMYFUNCTION("""COMPUTED_VALUE"""),"Pesticidex")</f>
        <v>Pesticidex</v>
      </c>
      <c r="AA11" s="63" t="str">
        <f>IFERROR(__xludf.DUMMYFUNCTION("""COMPUTED_VALUE"""),"Tầng 1, B19 đường dẫn cầu Cần Thơ, Quốc lộ 1A, KDC TTVH Tây Đô, Phường Hưng Thạnh, Quận Cái Răng, Thành phố Cần Thơ, Việt Nam")</f>
        <v>Tầng 1, B19 đường dẫn cầu Cần Thơ, Quốc lộ 1A, KDC TTVH Tây Đô, Phường Hưng Thạnh, Quận Cái Răng, Thành phố Cần Thơ, Việt Nam</v>
      </c>
      <c r="AB11" s="60"/>
      <c r="AC11" s="63"/>
      <c r="AD11" s="60"/>
      <c r="AE11" s="63"/>
      <c r="AF11" s="60"/>
      <c r="AG11" s="63"/>
      <c r="AH11" s="60"/>
      <c r="AI11" s="63"/>
      <c r="AJ11" s="60"/>
      <c r="AK11" s="63"/>
    </row>
    <row r="12" ht="18.0" customHeight="1">
      <c r="A12" s="59" t="str">
        <f>IFERROR(__xludf.DUMMYFUNCTION("""COMPUTED_VALUE"""),"TM")</f>
        <v>TM</v>
      </c>
      <c r="B12" s="59" t="str">
        <f>IFERROR(__xludf.DUMMYFUNCTION("""COMPUTED_VALUE"""),"TM - Ms Quyên")</f>
        <v>TM - Ms Quyên</v>
      </c>
      <c r="C12" s="60"/>
      <c r="D12" s="59" t="str">
        <f>IFERROR(__xludf.DUMMYFUNCTION("""COMPUTED_VALUE"""),"NN DEGO")</f>
        <v>NN DEGO</v>
      </c>
      <c r="E12" s="59" t="str">
        <f>IFERROR(__xludf.DUMMYFUNCTION("""COMPUTED_VALUE"""),"CÔNG TY TNHH SẢN XUẤT VÀ XUẤT NHẬP KHẨU HOÁ CHẤT NÔNG NGHIỆP DEGO")</f>
        <v>CÔNG TY TNHH SẢN XUẤT VÀ XUẤT NHẬP KHẨU HOÁ CHẤT NÔNG NGHIỆP DEGO</v>
      </c>
      <c r="F12" s="61" t="str">
        <f>IFERROR(__xludf.DUMMYFUNCTION("""COMPUTED_VALUE"""),"Tầng 9, tòa nhà K&amp;M Tower, 33 Ung Văn Khiêm, Phường Thạnh Mỹ Tây, TP Hồ Chí Minh, Việt Nam")</f>
        <v>Tầng 9, tòa nhà K&amp;M Tower, 33 Ung Văn Khiêm, Phường Thạnh Mỹ Tây, TP Hồ Chí Minh, Việt Nam</v>
      </c>
      <c r="G12" s="62" t="str">
        <f>IFERROR(__xludf.DUMMYFUNCTION("""COMPUTED_VALUE"""),"0318430011")</f>
        <v>0318430011</v>
      </c>
      <c r="H12" s="60"/>
      <c r="I12" s="63" t="str">
        <f>IFERROR(__xludf.DUMMYFUNCTION("""COMPUTED_VALUE"""),"NL")</f>
        <v>NL</v>
      </c>
      <c r="J12" s="69">
        <f>IFERROR(__xludf.DUMMYFUNCTION("""COMPUTED_VALUE"""),10.0)</f>
        <v>10</v>
      </c>
      <c r="K12" s="63" t="str">
        <f>IFERROR(__xludf.DUMMYFUNCTION("""COMPUTED_VALUE"""),"Trong nước")</f>
        <v>Trong nước</v>
      </c>
      <c r="L12" s="65">
        <f>IFERROR(__xludf.DUMMYFUNCTION("""COMPUTED_VALUE"""),46082.0)</f>
        <v>46082</v>
      </c>
      <c r="M12" s="63" t="b">
        <f>IFERROR(__xludf.DUMMYFUNCTION("""COMPUTED_VALUE"""),TRUE)</f>
        <v>1</v>
      </c>
      <c r="N12" s="60"/>
      <c r="O12" s="66" t="str">
        <f>IFERROR(__xludf.DUMMYFUNCTION("""COMPUTED_VALUE"""),"Cây")</f>
        <v>Cây</v>
      </c>
      <c r="P12" s="60"/>
      <c r="Q12" s="66"/>
      <c r="R12" s="66"/>
      <c r="S12" s="60"/>
      <c r="T12" s="63" t="str">
        <f>IFERROR(__xludf.DUMMYFUNCTION("""COMPUTED_VALUE"""),"CÔNG TY TNHH MTV SẢN XUẤT THƯƠNG MẠI NHỰA HỒ GIA")</f>
        <v>CÔNG TY TNHH MTV SẢN XUẤT THƯƠNG MẠI NHỰA HỒ GIA</v>
      </c>
      <c r="U12" s="63" t="str">
        <f>IFERROR(__xludf.DUMMYFUNCTION("""COMPUTED_VALUE"""),"Hồ Gia")</f>
        <v>Hồ Gia</v>
      </c>
      <c r="V12" s="63" t="str">
        <f>IFERROR(__xludf.DUMMYFUNCTION("""COMPUTED_VALUE"""),"100/7B khu phố 1, Bùi Dương Lịch, Phường Bình Hưng Hòa B, Quận Bình Tân, Thành phố Hồ Chí Minh")</f>
        <v>100/7B khu phố 1, Bùi Dương Lịch, Phường Bình Hưng Hòa B, Quận Bình Tân, Thành phố Hồ Chí Minh</v>
      </c>
      <c r="W12" s="59" t="str">
        <f>IFERROR(__xludf.DUMMYFUNCTION("""COMPUTED_VALUE"""),"0315743256")</f>
        <v>0315743256</v>
      </c>
      <c r="X12" s="60"/>
      <c r="Y12" s="63" t="str">
        <f>IFERROR(__xludf.DUMMYFUNCTION("""COMPUTED_VALUE"""),"CÔNG TY TNHH SX TM YAMATO VN")</f>
        <v>CÔNG TY TNHH SX TM YAMATO VN</v>
      </c>
      <c r="Z12" s="63" t="str">
        <f>IFERROR(__xludf.DUMMYFUNCTION("""COMPUTED_VALUE"""),"Yamato")</f>
        <v>Yamato</v>
      </c>
      <c r="AA12" s="63" t="str">
        <f>IFERROR(__xludf.DUMMYFUNCTION("""COMPUTED_VALUE"""),"Lô A20A Đường số 6, KCN Hải Sơn (GĐ 3+4), Xã Đức Hòa Hạ, Huyện Đức Hoà, Tỉnh Long An")</f>
        <v>Lô A20A Đường số 6, KCN Hải Sơn (GĐ 3+4), Xã Đức Hòa Hạ, Huyện Đức Hoà, Tỉnh Long An</v>
      </c>
      <c r="AB12" s="60"/>
      <c r="AC12" s="63"/>
      <c r="AD12" s="60"/>
      <c r="AE12" s="63"/>
      <c r="AF12" s="60"/>
      <c r="AG12" s="63"/>
      <c r="AH12" s="60"/>
      <c r="AI12" s="63"/>
      <c r="AJ12" s="60"/>
      <c r="AK12" s="63"/>
    </row>
    <row r="13" ht="18.0" customHeight="1">
      <c r="A13" s="59" t="str">
        <f>IFERROR(__xludf.DUMMYFUNCTION("""COMPUTED_VALUE"""),"N2")</f>
        <v>N2</v>
      </c>
      <c r="B13" s="59" t="str">
        <f>IFERROR(__xludf.DUMMYFUNCTION("""COMPUTED_VALUE"""),"KD N2SBIO")</f>
        <v>KD N2SBIO</v>
      </c>
      <c r="C13" s="71"/>
      <c r="D13" s="59" t="str">
        <f>IFERROR(__xludf.DUMMYFUNCTION("""COMPUTED_VALUE"""),"NN ABA")</f>
        <v>NN ABA</v>
      </c>
      <c r="E13" s="59" t="str">
        <f>IFERROR(__xludf.DUMMYFUNCTION("""COMPUTED_VALUE"""),"CÔNG TY TNHH HÓA CHẤT NÔNG NGHIỆP ABA")</f>
        <v>CÔNG TY TNHH HÓA CHẤT NÔNG NGHIỆP ABA</v>
      </c>
      <c r="F13" s="61" t="str">
        <f>IFERROR(__xludf.DUMMYFUNCTION("""COMPUTED_VALUE"""),"B18 đường dẫn cầu Cần Thơ, QL1A, Khu dân cư Trung tâm văn hóa Tây Đô, Phường Cái Răng, Thành phố Cần Thơ, Việt Nam.")</f>
        <v>B18 đường dẫn cầu Cần Thơ, QL1A, Khu dân cư Trung tâm văn hóa Tây Đô, Phường Cái Răng, Thành phố Cần Thơ, Việt Nam.</v>
      </c>
      <c r="G13" s="62" t="str">
        <f>IFERROR(__xludf.DUMMYFUNCTION("""COMPUTED_VALUE"""),"1801818328")</f>
        <v>1801818328</v>
      </c>
      <c r="H13" s="71"/>
      <c r="I13" s="63" t="str">
        <f>IFERROR(__xludf.DUMMYFUNCTION("""COMPUTED_VALUE"""),"NL")</f>
        <v>NL</v>
      </c>
      <c r="J13" s="69">
        <f>IFERROR(__xludf.DUMMYFUNCTION("""COMPUTED_VALUE"""),14.0)</f>
        <v>14</v>
      </c>
      <c r="K13" s="63" t="str">
        <f>IFERROR(__xludf.DUMMYFUNCTION("""COMPUTED_VALUE"""),"Trong nước")</f>
        <v>Trong nước</v>
      </c>
      <c r="L13" s="65">
        <f>IFERROR(__xludf.DUMMYFUNCTION("""COMPUTED_VALUE"""),46082.0)</f>
        <v>46082</v>
      </c>
      <c r="M13" s="63" t="b">
        <f>IFERROR(__xludf.DUMMYFUNCTION("""COMPUTED_VALUE"""),FALSE)</f>
        <v>0</v>
      </c>
      <c r="N13" s="71"/>
      <c r="O13" s="66" t="str">
        <f>IFERROR(__xludf.DUMMYFUNCTION("""COMPUTED_VALUE"""),"Thùng")</f>
        <v>Thùng</v>
      </c>
      <c r="P13" s="71"/>
      <c r="Q13" s="66"/>
      <c r="R13" s="66"/>
      <c r="S13" s="71"/>
      <c r="T13" s="63" t="str">
        <f>IFERROR(__xludf.DUMMYFUNCTION("""COMPUTED_VALUE"""),"CÔNG TY TNHH BAO BÌ MINH NGỌC")</f>
        <v>CÔNG TY TNHH BAO BÌ MINH NGỌC</v>
      </c>
      <c r="U13" s="63" t="str">
        <f>IFERROR(__xludf.DUMMYFUNCTION("""COMPUTED_VALUE"""),"Minh Ngọc")</f>
        <v>Minh Ngọc</v>
      </c>
      <c r="V13" s="63" t="str">
        <f>IFERROR(__xludf.DUMMYFUNCTION("""COMPUTED_VALUE"""),"Lô D2.1 - D2.2 Đường số 4, KCN Nhị Xuân, Xã Xuân Thới Sơn, Huyện Hóc Môn, Tp. HCM")</f>
        <v>Lô D2.1 - D2.2 Đường số 4, KCN Nhị Xuân, Xã Xuân Thới Sơn, Huyện Hóc Môn, Tp. HCM</v>
      </c>
      <c r="W13" s="59" t="str">
        <f>IFERROR(__xludf.DUMMYFUNCTION("""COMPUTED_VALUE"""),"0313694927")</f>
        <v>0313694927</v>
      </c>
      <c r="X13" s="71"/>
      <c r="Y13" s="63" t="str">
        <f>IFERROR(__xludf.DUMMYFUNCTION("""COMPUTED_VALUE"""),"CÔNG TY TNHH XUẤT NHẬP KHẨU HÓA CHẤT ATC")</f>
        <v>CÔNG TY TNHH XUẤT NHẬP KHẨU HÓA CHẤT ATC</v>
      </c>
      <c r="Z13" s="63" t="str">
        <f>IFERROR(__xludf.DUMMYFUNCTION("""COMPUTED_VALUE"""),"ATC")</f>
        <v>ATC</v>
      </c>
      <c r="AA13" s="63" t="str">
        <f>IFERROR(__xludf.DUMMYFUNCTION("""COMPUTED_VALUE"""),"Số 87, Đường Lý Bôn, Phường Bình Đức, Tỉnh An Giang, Việt Nam")</f>
        <v>Số 87, Đường Lý Bôn, Phường Bình Đức, Tỉnh An Giang, Việt Nam</v>
      </c>
      <c r="AB13" s="71"/>
      <c r="AC13" s="63"/>
      <c r="AD13" s="71"/>
      <c r="AE13" s="63"/>
      <c r="AF13" s="71"/>
      <c r="AG13" s="63"/>
      <c r="AH13" s="71"/>
      <c r="AI13" s="63"/>
      <c r="AJ13" s="71"/>
      <c r="AK13" s="63"/>
    </row>
    <row r="14" ht="18.0" customHeight="1">
      <c r="A14" s="59" t="str">
        <f>IFERROR(__xludf.DUMMYFUNCTION("""COMPUTED_VALUE"""),"QLTM_MS NGÂN")</f>
        <v>QLTM_MS NGÂN</v>
      </c>
      <c r="B14" s="59" t="str">
        <f>IFERROR(__xludf.DUMMYFUNCTION("""COMPUTED_VALUE"""),"QLTM_Ms Ngân")</f>
        <v>QLTM_Ms Ngân</v>
      </c>
      <c r="C14" s="71"/>
      <c r="D14" s="69"/>
      <c r="E14" s="69"/>
      <c r="F14" s="61"/>
      <c r="G14" s="62"/>
      <c r="H14" s="71"/>
      <c r="I14" s="63" t="str">
        <f>IFERROR(__xludf.DUMMYFUNCTION("""COMPUTED_VALUE"""),"Thùng")</f>
        <v>Thùng</v>
      </c>
      <c r="J14" s="64">
        <f>IFERROR(__xludf.DUMMYFUNCTION("""COMPUTED_VALUE"""),18.0)</f>
        <v>18</v>
      </c>
      <c r="K14" s="63" t="str">
        <f>IFERROR(__xludf.DUMMYFUNCTION("""COMPUTED_VALUE"""),"Thời gian Sx: 15 ngày
Nhận hàng: 2 ngày")</f>
        <v>Thời gian Sx: 15 ngày
Nhận hàng: 2 ngày</v>
      </c>
      <c r="L14" s="65">
        <f>IFERROR(__xludf.DUMMYFUNCTION("""COMPUTED_VALUE"""),46082.0)</f>
        <v>46082</v>
      </c>
      <c r="M14" s="74"/>
      <c r="N14" s="71"/>
      <c r="O14" s="66" t="str">
        <f>IFERROR(__xludf.DUMMYFUNCTION("""COMPUTED_VALUE"""),"Hộp")</f>
        <v>Hộp</v>
      </c>
      <c r="P14" s="71"/>
      <c r="Q14" s="66"/>
      <c r="R14" s="66"/>
      <c r="S14" s="71"/>
      <c r="T14" s="63" t="str">
        <f>IFERROR(__xludf.DUMMYFUNCTION("""COMPUTED_VALUE"""),"CÔNG TY TNHH SX TM DV QUỐC TẾ QUANG ĐẠT")</f>
        <v>CÔNG TY TNHH SX TM DV QUỐC TẾ QUANG ĐẠT</v>
      </c>
      <c r="U14" s="63" t="str">
        <f>IFERROR(__xludf.DUMMYFUNCTION("""COMPUTED_VALUE"""),"Quang Đạt")</f>
        <v>Quang Đạt</v>
      </c>
      <c r="V14" s="63" t="str">
        <f>IFERROR(__xludf.DUMMYFUNCTION("""COMPUTED_VALUE"""),"43D, Ao Đôi, P. Bình Trị Đông A, Q. Bình Tân, TP. HCM")</f>
        <v>43D, Ao Đôi, P. Bình Trị Đông A, Q. Bình Tân, TP. HCM</v>
      </c>
      <c r="W14" s="59" t="str">
        <f>IFERROR(__xludf.DUMMYFUNCTION("""COMPUTED_VALUE"""),"0317703989")</f>
        <v>0317703989</v>
      </c>
      <c r="X14" s="71"/>
      <c r="Y14" s="63" t="str">
        <f>IFERROR(__xludf.DUMMYFUNCTION("""COMPUTED_VALUE"""),"CÔNG TY TNHH AGRIFUTURE")</f>
        <v>CÔNG TY TNHH AGRIFUTURE</v>
      </c>
      <c r="Z14" s="63" t="str">
        <f>IFERROR(__xludf.DUMMYFUNCTION("""COMPUTED_VALUE"""),"Agrifuture")</f>
        <v>Agrifuture</v>
      </c>
      <c r="AA14" s="63" t="str">
        <f>IFERROR(__xludf.DUMMYFUNCTION("""COMPUTED_VALUE"""),"Nhà Máy: Lô B123B, Đường số 7, KCN, ấp Tân Hòa, Đức Hòa, Long An
VP: Phòng A4.04, Khu Phức Hợp Căn Hộ Nhật Hoa, 33 Nguyễn Hữu Thọ, Phường Tân Hưng, Thành phố Hồ Chí Minh, Việt Nam")</f>
        <v>Nhà Máy: Lô B123B, Đường số 7, KCN, ấp Tân Hòa, Đức Hòa, Long An
VP: Phòng A4.04, Khu Phức Hợp Căn Hộ Nhật Hoa, 33 Nguyễn Hữu Thọ, Phường Tân Hưng, Thành phố Hồ Chí Minh, Việt Nam</v>
      </c>
      <c r="AB14" s="71"/>
      <c r="AC14" s="63"/>
      <c r="AD14" s="71"/>
      <c r="AE14" s="63"/>
      <c r="AF14" s="71"/>
      <c r="AG14" s="63"/>
      <c r="AH14" s="71"/>
      <c r="AI14" s="63"/>
      <c r="AJ14" s="71"/>
      <c r="AK14" s="63"/>
    </row>
    <row r="15" ht="18.0" customHeight="1">
      <c r="A15" s="63"/>
      <c r="B15" s="63"/>
      <c r="C15" s="71"/>
      <c r="D15" s="69"/>
      <c r="E15" s="69"/>
      <c r="F15" s="61"/>
      <c r="G15" s="62"/>
      <c r="H15" s="71"/>
      <c r="I15" s="63" t="str">
        <f>IFERROR(__xludf.DUMMYFUNCTION("""COMPUTED_VALUE"""),"Chai Nhôm")</f>
        <v>Chai Nhôm</v>
      </c>
      <c r="J15" s="69">
        <f>IFERROR(__xludf.DUMMYFUNCTION("""COMPUTED_VALUE"""),8.0)</f>
        <v>8</v>
      </c>
      <c r="K15" s="63" t="str">
        <f>IFERROR(__xludf.DUMMYFUNCTION("""COMPUTED_VALUE"""),"Hàng cần thanh toán trước:
- Làm hồ sơ 1 ngày
- Thanh toán 5 ngày
- Nhận hàng 2 ngày
(Thông tin tham khảo từ Ms Ly/ Thu mua check lại)")</f>
        <v>Hàng cần thanh toán trước:
- Làm hồ sơ 1 ngày
- Thanh toán 5 ngày
- Nhận hàng 2 ngày
(Thông tin tham khảo từ Ms Ly/ Thu mua check lại)</v>
      </c>
      <c r="L15" s="65">
        <f>IFERROR(__xludf.DUMMYFUNCTION("""COMPUTED_VALUE"""),46082.0)</f>
        <v>46082</v>
      </c>
      <c r="M15" s="74" t="b">
        <f>IFERROR(__xludf.DUMMYFUNCTION("""COMPUTED_VALUE"""),TRUE)</f>
        <v>1</v>
      </c>
      <c r="N15" s="71"/>
      <c r="O15" s="66"/>
      <c r="P15" s="71"/>
      <c r="Q15" s="66"/>
      <c r="R15" s="66"/>
      <c r="S15" s="71"/>
      <c r="T15" s="63" t="str">
        <f>IFERROR(__xludf.DUMMYFUNCTION("""COMPUTED_VALUE"""),"CÔNG TY CỔ PHẦN BAO BÌ NHỰA THÀNH PHÁT")</f>
        <v>CÔNG TY CỔ PHẦN BAO BÌ NHỰA THÀNH PHÁT</v>
      </c>
      <c r="U15" s="63" t="str">
        <f>IFERROR(__xludf.DUMMYFUNCTION("""COMPUTED_VALUE"""),"Thành Phát")</f>
        <v>Thành Phát</v>
      </c>
      <c r="V15" s="63" t="str">
        <f>IFERROR(__xludf.DUMMYFUNCTION("""COMPUTED_VALUE"""),"F01-1, đường số 1, KCN Hạnh Phúc, ấp 5 Đức Hoà Đông, ĐH, LA")</f>
        <v>F01-1, đường số 1, KCN Hạnh Phúc, ấp 5 Đức Hoà Đông, ĐH, LA</v>
      </c>
      <c r="W15" s="59" t="str">
        <f>IFERROR(__xludf.DUMMYFUNCTION("""COMPUTED_VALUE"""),"0302299160")</f>
        <v>0302299160</v>
      </c>
      <c r="X15" s="71"/>
      <c r="Y15" s="63" t="str">
        <f>IFERROR(__xludf.DUMMYFUNCTION("""COMPUTED_VALUE"""),"Cty TNHH SX TM DV Thu Loan")</f>
        <v>Cty TNHH SX TM DV Thu Loan</v>
      </c>
      <c r="Z15" s="63" t="str">
        <f>IFERROR(__xludf.DUMMYFUNCTION("""COMPUTED_VALUE"""),"Thu Loan")</f>
        <v>Thu Loan</v>
      </c>
      <c r="AA15" s="63" t="str">
        <f>IFERROR(__xludf.DUMMYFUNCTION("""COMPUTED_VALUE"""),"699 tổ 34 Khóm Đông Thuận , Phường Đông Thành , Bình Minh, Vĩnh Long")</f>
        <v>699 tổ 34 Khóm Đông Thuận , Phường Đông Thành , Bình Minh, Vĩnh Long</v>
      </c>
      <c r="AB15" s="71"/>
      <c r="AC15" s="63"/>
      <c r="AD15" s="71"/>
      <c r="AE15" s="63"/>
      <c r="AF15" s="71"/>
      <c r="AG15" s="63"/>
      <c r="AH15" s="71"/>
      <c r="AI15" s="63"/>
      <c r="AJ15" s="71"/>
      <c r="AK15" s="63"/>
    </row>
    <row r="16" ht="18.0" customHeight="1">
      <c r="A16" s="63"/>
      <c r="B16" s="63"/>
      <c r="C16" s="60"/>
      <c r="D16" s="69"/>
      <c r="E16" s="69"/>
      <c r="F16" s="61"/>
      <c r="G16" s="61"/>
      <c r="H16" s="60"/>
      <c r="I16" s="63" t="str">
        <f>IFERROR(__xludf.DUMMYFUNCTION("""COMPUTED_VALUE"""),"Chai Nhôm")</f>
        <v>Chai Nhôm</v>
      </c>
      <c r="J16" s="69">
        <f>IFERROR(__xludf.DUMMYFUNCTION("""COMPUTED_VALUE"""),33.0)</f>
        <v>33</v>
      </c>
      <c r="K16" s="63" t="str">
        <f>IFERROR(__xludf.DUMMYFUNCTION("""COMPUTED_VALUE"""),"Hàng cần thanh toán trước:
- Làm hồ sơ 1 ngày
- Nhập khẩu : 25 ngày
- Thanh toán 5 ngày
- Nhận hàng 2 ngày
(Thông tin tham khảo từ Ms Ly/ Thu mua check lại)")</f>
        <v>Hàng cần thanh toán trước:
- Làm hồ sơ 1 ngày
- Nhập khẩu : 25 ngày
- Thanh toán 5 ngày
- Nhận hàng 2 ngày
(Thông tin tham khảo từ Ms Ly/ Thu mua check lại)</v>
      </c>
      <c r="L16" s="65">
        <f>IFERROR(__xludf.DUMMYFUNCTION("""COMPUTED_VALUE"""),46082.0)</f>
        <v>46082</v>
      </c>
      <c r="M16" s="74" t="b">
        <f>IFERROR(__xludf.DUMMYFUNCTION("""COMPUTED_VALUE"""),FALSE)</f>
        <v>0</v>
      </c>
      <c r="N16" s="60"/>
      <c r="O16" s="66"/>
      <c r="P16" s="60"/>
      <c r="Q16" s="66"/>
      <c r="R16" s="66"/>
      <c r="S16" s="60"/>
      <c r="T16" s="63" t="str">
        <f>IFERROR(__xludf.DUMMYFUNCTION("""COMPUTED_VALUE"""),"CÔNG TY TNHH BAO BÌ NHỰA PHƯƠNG NAM")</f>
        <v>CÔNG TY TNHH BAO BÌ NHỰA PHƯƠNG NAM</v>
      </c>
      <c r="U16" s="63" t="str">
        <f>IFERROR(__xludf.DUMMYFUNCTION("""COMPUTED_VALUE"""),"Phương Nam")</f>
        <v>Phương Nam</v>
      </c>
      <c r="V16" s="63" t="str">
        <f>IFERROR(__xludf.DUMMYFUNCTION("""COMPUTED_VALUE"""),"384A, Tổ 3, Ấp 1, Xã Mỹ Hạnh, Tỉnh Tây Ninh, Việt Nam")</f>
        <v>384A, Tổ 3, Ấp 1, Xã Mỹ Hạnh, Tỉnh Tây Ninh, Việt Nam</v>
      </c>
      <c r="W16" s="59" t="str">
        <f>IFERROR(__xludf.DUMMYFUNCTION("""COMPUTED_VALUE"""),"0301515210")</f>
        <v>0301515210</v>
      </c>
      <c r="X16" s="60"/>
      <c r="Y16" s="63" t="str">
        <f>IFERROR(__xludf.DUMMYFUNCTION("""COMPUTED_VALUE"""),"CÔNG TY TNHH THƯƠNG MẠI THÁI NÔNG")</f>
        <v>CÔNG TY TNHH THƯƠNG MẠI THÁI NÔNG</v>
      </c>
      <c r="Z16" s="63" t="str">
        <f>IFERROR(__xludf.DUMMYFUNCTION("""COMPUTED_VALUE"""),"Thái Nông")</f>
        <v>Thái Nông</v>
      </c>
      <c r="AA16" s="63" t="str">
        <f>IFERROR(__xludf.DUMMYFUNCTION("""COMPUTED_VALUE"""),"73 Lạc Long Quân, Phường 1, Quận 11, Thành phố Hồ Chí Minh
CN: Khu Công nghiệp Nhơn Trạch 3, Thị trấn Hiệp Phước, Huyện Nhơn Trạch, Tỉnh Đồng Nai, Việt Nam
Giao Vật Tư: HKD Cơ Sở Phân Bón Lá Phú Hưng
ĐC: 49A, đường số 27, Tân Lập, Tân Thông Hội, Củ Chi, H"&amp;"CM
Người nhận: 0937 021 818 - Chị Bội")</f>
        <v>73 Lạc Long Quân, Phường 1, Quận 11, Thành phố Hồ Chí Minh
CN: Khu Công nghiệp Nhơn Trạch 3, Thị trấn Hiệp Phước, Huyện Nhơn Trạch, Tỉnh Đồng Nai, Việt Nam
Giao Vật Tư: HKD Cơ Sở Phân Bón Lá Phú Hưng
ĐC: 49A, đường số 27, Tân Lập, Tân Thông Hội, Củ Chi, HCM
Người nhận: 0937 021 818 - Chị Bội</v>
      </c>
      <c r="AB16" s="60"/>
      <c r="AC16" s="63"/>
      <c r="AD16" s="60"/>
      <c r="AE16" s="63"/>
      <c r="AF16" s="60"/>
      <c r="AG16" s="63"/>
      <c r="AH16" s="60"/>
      <c r="AI16" s="63"/>
      <c r="AJ16" s="60"/>
      <c r="AK16" s="63"/>
    </row>
    <row r="17" ht="18.0" customHeight="1">
      <c r="A17" s="63"/>
      <c r="B17" s="63"/>
      <c r="C17" s="71"/>
      <c r="D17" s="69"/>
      <c r="E17" s="69"/>
      <c r="F17" s="61"/>
      <c r="G17" s="61"/>
      <c r="H17" s="71"/>
      <c r="I17" s="63" t="str">
        <f>IFERROR(__xludf.DUMMYFUNCTION("""COMPUTED_VALUE"""),"Chai khác")</f>
        <v>Chai khác</v>
      </c>
      <c r="J17" s="64">
        <f>IFERROR(__xludf.DUMMYFUNCTION("""COMPUTED_VALUE"""),7.0)</f>
        <v>7</v>
      </c>
      <c r="K17" s="63" t="str">
        <f>IFERROR(__xludf.DUMMYFUNCTION("""COMPUTED_VALUE"""),"Hàng cần thanh toán trước:
- Làm hồ sơ 1 ngày
- Thanh toán 5 ngày
- Sản xuất 0 ngày
- Nhận hàng 2 ngày")</f>
        <v>Hàng cần thanh toán trước:
- Làm hồ sơ 1 ngày
- Thanh toán 5 ngày
- Sản xuất 0 ngày
- Nhận hàng 2 ngày</v>
      </c>
      <c r="L17" s="65">
        <f>IFERROR(__xludf.DUMMYFUNCTION("""COMPUTED_VALUE"""),46082.0)</f>
        <v>46082</v>
      </c>
      <c r="M17" s="74" t="b">
        <f>IFERROR(__xludf.DUMMYFUNCTION("""COMPUTED_VALUE"""),TRUE)</f>
        <v>1</v>
      </c>
      <c r="N17" s="71"/>
      <c r="O17" s="66"/>
      <c r="P17" s="71"/>
      <c r="Q17" s="66"/>
      <c r="R17" s="66"/>
      <c r="S17" s="71"/>
      <c r="T17" s="63" t="str">
        <f>IFERROR(__xludf.DUMMYFUNCTION("""COMPUTED_VALUE"""),"CÔNG TY CỔ PHẦN PHL")</f>
        <v>CÔNG TY CỔ PHẦN PHL</v>
      </c>
      <c r="U17" s="63" t="str">
        <f>IFERROR(__xludf.DUMMYFUNCTION("""COMPUTED_VALUE"""),"PHL")</f>
        <v>PHL</v>
      </c>
      <c r="V17" s="63" t="str">
        <f>IFERROR(__xludf.DUMMYFUNCTION("""COMPUTED_VALUE"""),"Lô MB1-1, Lô MB1-1a, khu công nghiệp Đức Hòa 1, Đường số 5, Ấp 5, Xã Đức Hòa Đông, Huyện Đức Hoà, Tỉnh Long An, Việt Nam")</f>
        <v>Lô MB1-1, Lô MB1-1a, khu công nghiệp Đức Hòa 1, Đường số 5, Ấp 5, Xã Đức Hòa Đông, Huyện Đức Hoà, Tỉnh Long An, Việt Nam</v>
      </c>
      <c r="W17" s="73" t="str">
        <f>IFERROR(__xludf.DUMMYFUNCTION("""COMPUTED_VALUE"""),"1101392309")</f>
        <v>1101392309</v>
      </c>
      <c r="X17" s="71"/>
      <c r="Y17" s="63" t="str">
        <f>IFERROR(__xludf.DUMMYFUNCTION("""COMPUTED_VALUE"""),"CÔNG TY TNHH TẬP ĐOÀN AN NÔNG (AN GROUP)")</f>
        <v>CÔNG TY TNHH TẬP ĐOÀN AN NÔNG (AN GROUP)</v>
      </c>
      <c r="Z17" s="63" t="str">
        <f>IFERROR(__xludf.DUMMYFUNCTION("""COMPUTED_VALUE"""),"An Nông")</f>
        <v>An Nông</v>
      </c>
      <c r="AA17" s="63" t="str">
        <f>IFERROR(__xludf.DUMMYFUNCTION("""COMPUTED_VALUE"""),"Trụ sở : 464 Đường số 7, khu phố 8, Phường Tân Tạo, Quận Bình Tân, TP Hồ Chí Minh
Nhà máy : Lô H7, Đường số 5, KCN Hải Sơn (GĐ 3+4), ấp Bình Tiền 2, Xã Đức Hòa Hạ, Huyện Đức Hoà, Tỉnh Long An, Việt Nam")</f>
        <v>Trụ sở : 464 Đường số 7, khu phố 8, Phường Tân Tạo, Quận Bình Tân, TP Hồ Chí Minh
Nhà máy : Lô H7, Đường số 5, KCN Hải Sơn (GĐ 3+4), ấp Bình Tiền 2, Xã Đức Hòa Hạ, Huyện Đức Hoà, Tỉnh Long An, Việt Nam</v>
      </c>
      <c r="AB17" s="71"/>
      <c r="AC17" s="63"/>
      <c r="AD17" s="71"/>
      <c r="AE17" s="63"/>
      <c r="AF17" s="71"/>
      <c r="AG17" s="63"/>
      <c r="AH17" s="71"/>
      <c r="AI17" s="63"/>
      <c r="AJ17" s="71"/>
      <c r="AK17" s="63"/>
    </row>
    <row r="18" ht="18.0" customHeight="1">
      <c r="A18" s="63"/>
      <c r="B18" s="63"/>
      <c r="C18" s="71"/>
      <c r="D18" s="69"/>
      <c r="E18" s="69"/>
      <c r="F18" s="61"/>
      <c r="G18" s="61"/>
      <c r="H18" s="71"/>
      <c r="I18" s="63" t="str">
        <f>IFERROR(__xludf.DUMMYFUNCTION("""COMPUTED_VALUE"""),"Nắp")</f>
        <v>Nắp</v>
      </c>
      <c r="J18" s="64">
        <f>IFERROR(__xludf.DUMMYFUNCTION("""COMPUTED_VALUE"""),7.0)</f>
        <v>7</v>
      </c>
      <c r="K18" s="63" t="str">
        <f>IFERROR(__xludf.DUMMYFUNCTION("""COMPUTED_VALUE"""),"Nắp NCC giao chung hàng với chai.")</f>
        <v>Nắp NCC giao chung hàng với chai.</v>
      </c>
      <c r="L18" s="65">
        <f>IFERROR(__xludf.DUMMYFUNCTION("""COMPUTED_VALUE"""),46082.0)</f>
        <v>46082</v>
      </c>
      <c r="M18" s="74" t="b">
        <f>IFERROR(__xludf.DUMMYFUNCTION("""COMPUTED_VALUE"""),TRUE)</f>
        <v>1</v>
      </c>
      <c r="N18" s="71"/>
      <c r="O18" s="66"/>
      <c r="P18" s="71"/>
      <c r="Q18" s="66"/>
      <c r="R18" s="66"/>
      <c r="S18" s="71"/>
      <c r="T18" s="63" t="str">
        <f>IFERROR(__xludf.DUMMYFUNCTION("""COMPUTED_VALUE"""),"CÔNG TY TNHH SẢN XUẤT BAO BÌ VINACO")</f>
        <v>CÔNG TY TNHH SẢN XUẤT BAO BÌ VINACO</v>
      </c>
      <c r="U18" s="63" t="str">
        <f>IFERROR(__xludf.DUMMYFUNCTION("""COMPUTED_VALUE"""),"Vinaco")</f>
        <v>Vinaco</v>
      </c>
      <c r="V18" s="63" t="str">
        <f>IFERROR(__xludf.DUMMYFUNCTION("""COMPUTED_VALUE"""),"Lô B10, Đường số 1, KCN Hải Sơn (GĐ 3+4), Xã Đức Hòa Hạ, Huyện Đức Hòa, tỉnh Long An")</f>
        <v>Lô B10, Đường số 1, KCN Hải Sơn (GĐ 3+4), Xã Đức Hòa Hạ, Huyện Đức Hòa, tỉnh Long An</v>
      </c>
      <c r="W18" s="73" t="str">
        <f>IFERROR(__xludf.DUMMYFUNCTION("""COMPUTED_VALUE"""),"1101950715")</f>
        <v>1101950715</v>
      </c>
      <c r="X18" s="71"/>
      <c r="Y18" s="63" t="str">
        <f>IFERROR(__xludf.DUMMYFUNCTION("""COMPUTED_VALUE"""),"KHO DR XANH")</f>
        <v>KHO DR XANH</v>
      </c>
      <c r="Z18" s="63" t="str">
        <f>IFERROR(__xludf.DUMMYFUNCTION("""COMPUTED_VALUE"""),"Kho Dr. Xanh")</f>
        <v>Kho Dr. Xanh</v>
      </c>
      <c r="AA18" s="63" t="str">
        <f>IFERROR(__xludf.DUMMYFUNCTION("""COMPUTED_VALUE"""),"Số 124 Võ Văn Kiệt, KV Bình Trung, P.Long Hòa, Q. Bình Thủy, Cần Thơ")</f>
        <v>Số 124 Võ Văn Kiệt, KV Bình Trung, P.Long Hòa, Q. Bình Thủy, Cần Thơ</v>
      </c>
      <c r="AB18" s="71"/>
      <c r="AC18" s="63"/>
      <c r="AD18" s="71"/>
      <c r="AE18" s="63"/>
      <c r="AF18" s="71"/>
      <c r="AG18" s="63"/>
      <c r="AH18" s="71"/>
      <c r="AI18" s="63"/>
      <c r="AJ18" s="71"/>
      <c r="AK18" s="63"/>
    </row>
    <row r="19" ht="18.0" customHeight="1">
      <c r="A19" s="63"/>
      <c r="B19" s="63"/>
      <c r="C19" s="60"/>
      <c r="D19" s="69"/>
      <c r="E19" s="69"/>
      <c r="F19" s="61"/>
      <c r="G19" s="61"/>
      <c r="H19" s="60"/>
      <c r="I19" s="63" t="str">
        <f>IFERROR(__xludf.DUMMYFUNCTION("""COMPUTED_VALUE"""),"Cốc đong")</f>
        <v>Cốc đong</v>
      </c>
      <c r="J19" s="75">
        <f>IFERROR(__xludf.DUMMYFUNCTION("""COMPUTED_VALUE"""),7.0)</f>
        <v>7</v>
      </c>
      <c r="K19" s="69" t="str">
        <f>IFERROR(__xludf.DUMMYFUNCTION("""COMPUTED_VALUE"""),"Cốc đong NCC giao chung hàng với chai.")</f>
        <v>Cốc đong NCC giao chung hàng với chai.</v>
      </c>
      <c r="L19" s="65">
        <f>IFERROR(__xludf.DUMMYFUNCTION("""COMPUTED_VALUE"""),46082.0)</f>
        <v>46082</v>
      </c>
      <c r="M19" s="74" t="b">
        <f>IFERROR(__xludf.DUMMYFUNCTION("""COMPUTED_VALUE"""),TRUE)</f>
        <v>1</v>
      </c>
      <c r="N19" s="60"/>
      <c r="O19" s="66"/>
      <c r="P19" s="60"/>
      <c r="Q19" s="66"/>
      <c r="R19" s="66"/>
      <c r="S19" s="60"/>
      <c r="T19" s="63" t="str">
        <f>IFERROR(__xludf.DUMMYFUNCTION("""COMPUTED_VALUE"""),"CÔNG TY TNHH SX TM DV HẢI BÌNH")</f>
        <v>CÔNG TY TNHH SX TM DV HẢI BÌNH</v>
      </c>
      <c r="U19" s="63" t="str">
        <f>IFERROR(__xludf.DUMMYFUNCTION("""COMPUTED_VALUE"""),"Hải Bình")</f>
        <v>Hải Bình</v>
      </c>
      <c r="V19" s="63" t="str">
        <f>IFERROR(__xludf.DUMMYFUNCTION("""COMPUTED_VALUE"""),"30 Võ Hoành, Phường Phú Thọ Hoà, Thành phố Hồ Chí Minh, Việt Nam")</f>
        <v>30 Võ Hoành, Phường Phú Thọ Hoà, Thành phố Hồ Chí Minh, Việt Nam</v>
      </c>
      <c r="W19" s="73" t="str">
        <f>IFERROR(__xludf.DUMMYFUNCTION("""COMPUTED_VALUE"""),"0302202299")</f>
        <v>0302202299</v>
      </c>
      <c r="X19" s="60"/>
      <c r="Y19" s="63" t="str">
        <f>IFERROR(__xludf.DUMMYFUNCTION("""COMPUTED_VALUE"""),"KHO B18")</f>
        <v>KHO B18</v>
      </c>
      <c r="Z19" s="63" t="str">
        <f>IFERROR(__xludf.DUMMYFUNCTION("""COMPUTED_VALUE"""),"Kho B18")</f>
        <v>Kho B18</v>
      </c>
      <c r="AA19" s="63" t="str">
        <f>IFERROR(__xludf.DUMMYFUNCTION("""COMPUTED_VALUE"""),"B18 đường dẫn cầu Cần Thơ, Quốc lộ 1A, KDC TTVH Tây Đô, Phường Cái Răng, Thành phố Cần Thơ")</f>
        <v>B18 đường dẫn cầu Cần Thơ, Quốc lộ 1A, KDC TTVH Tây Đô, Phường Cái Răng, Thành phố Cần Thơ</v>
      </c>
      <c r="AB19" s="60"/>
      <c r="AC19" s="63"/>
      <c r="AD19" s="60"/>
      <c r="AE19" s="63"/>
      <c r="AF19" s="60"/>
      <c r="AG19" s="63"/>
      <c r="AH19" s="60"/>
      <c r="AI19" s="63"/>
      <c r="AJ19" s="60"/>
      <c r="AK19" s="63"/>
    </row>
    <row r="20" ht="18.0" customHeight="1">
      <c r="A20" s="63"/>
      <c r="B20" s="63"/>
      <c r="C20" s="71"/>
      <c r="D20" s="69"/>
      <c r="E20" s="61"/>
      <c r="F20" s="61"/>
      <c r="G20" s="61"/>
      <c r="H20" s="71"/>
      <c r="I20" s="63" t="str">
        <f>IFERROR(__xludf.DUMMYFUNCTION("""COMPUTED_VALUE"""),"Chai khác")</f>
        <v>Chai khác</v>
      </c>
      <c r="J20" s="75">
        <f>IFERROR(__xludf.DUMMYFUNCTION("""COMPUTED_VALUE"""),15.0)</f>
        <v>15</v>
      </c>
      <c r="K20" s="69" t="str">
        <f>IFERROR(__xludf.DUMMYFUNCTION("""COMPUTED_VALUE"""),"Hàng cần thanh toán trước:
- Làm hồ sơ 1 ngày
- Thanh toán 5 ngày
- Sản xuất 7 ngày
- Nhận hàng 2 ngày")</f>
        <v>Hàng cần thanh toán trước:
- Làm hồ sơ 1 ngày
- Thanh toán 5 ngày
- Sản xuất 7 ngày
- Nhận hàng 2 ngày</v>
      </c>
      <c r="L20" s="65">
        <f>IFERROR(__xludf.DUMMYFUNCTION("""COMPUTED_VALUE"""),46082.0)</f>
        <v>46082</v>
      </c>
      <c r="M20" s="74" t="b">
        <f>IFERROR(__xludf.DUMMYFUNCTION("""COMPUTED_VALUE"""),FALSE)</f>
        <v>0</v>
      </c>
      <c r="N20" s="71"/>
      <c r="O20" s="66"/>
      <c r="P20" s="71"/>
      <c r="Q20" s="66"/>
      <c r="R20" s="66"/>
      <c r="S20" s="71"/>
      <c r="T20" s="63" t="str">
        <f>IFERROR(__xludf.DUMMYFUNCTION("""COMPUTED_VALUE"""),"CÔNG TY CP HÓA CHẤT MIỀN NAM")</f>
        <v>CÔNG TY CP HÓA CHẤT MIỀN NAM</v>
      </c>
      <c r="U20" s="63" t="str">
        <f>IFERROR(__xludf.DUMMYFUNCTION("""COMPUTED_VALUE"""),"Hóa Chất Miền Nam")</f>
        <v>Hóa Chất Miền Nam</v>
      </c>
      <c r="V20" s="63" t="str">
        <f>IFERROR(__xludf.DUMMYFUNCTION("""COMPUTED_VALUE"""),"137B -137C, Trần Hưng Đạo, Phường An Phú, Quận Ninh Kiều, Thành phố Cần Thơ")</f>
        <v>137B -137C, Trần Hưng Đạo, Phường An Phú, Quận Ninh Kiều, Thành phố Cần Thơ</v>
      </c>
      <c r="W20" s="73" t="str">
        <f>IFERROR(__xludf.DUMMYFUNCTION("""COMPUTED_VALUE"""),"1800662621")</f>
        <v>1800662621</v>
      </c>
      <c r="X20" s="71"/>
      <c r="Y20" s="63" t="str">
        <f>IFERROR(__xludf.DUMMYFUNCTION("""COMPUTED_VALUE"""),"Kho C1-2")</f>
        <v>Kho C1-2</v>
      </c>
      <c r="Z20" s="63" t="str">
        <f>IFERROR(__xludf.DUMMYFUNCTION("""COMPUTED_VALUE"""),"Kho C1-2")</f>
        <v>Kho C1-2</v>
      </c>
      <c r="AA20" s="63" t="str">
        <f>IFERROR(__xludf.DUMMYFUNCTION("""COMPUTED_VALUE"""),"Kho C1-2")</f>
        <v>Kho C1-2</v>
      </c>
      <c r="AB20" s="71"/>
      <c r="AC20" s="63"/>
      <c r="AD20" s="71"/>
      <c r="AE20" s="63"/>
      <c r="AF20" s="71"/>
      <c r="AG20" s="63"/>
      <c r="AH20" s="71"/>
      <c r="AI20" s="63"/>
      <c r="AJ20" s="71"/>
      <c r="AK20" s="63"/>
    </row>
    <row r="21" ht="18.0" customHeight="1">
      <c r="A21" s="63"/>
      <c r="B21" s="63"/>
      <c r="C21" s="71"/>
      <c r="D21" s="69"/>
      <c r="E21" s="61"/>
      <c r="F21" s="61"/>
      <c r="G21" s="61"/>
      <c r="H21" s="71"/>
      <c r="I21" s="63" t="str">
        <f>IFERROR(__xludf.DUMMYFUNCTION("""COMPUTED_VALUE"""),"Nắp")</f>
        <v>Nắp</v>
      </c>
      <c r="J21" s="75">
        <f>IFERROR(__xludf.DUMMYFUNCTION("""COMPUTED_VALUE"""),15.0)</f>
        <v>15</v>
      </c>
      <c r="K21" s="69" t="str">
        <f>IFERROR(__xludf.DUMMYFUNCTION("""COMPUTED_VALUE"""),"Nắp NCC giao chung hàng với chai.")</f>
        <v>Nắp NCC giao chung hàng với chai.</v>
      </c>
      <c r="L21" s="65">
        <f>IFERROR(__xludf.DUMMYFUNCTION("""COMPUTED_VALUE"""),46082.0)</f>
        <v>46082</v>
      </c>
      <c r="M21" s="74" t="b">
        <f>IFERROR(__xludf.DUMMYFUNCTION("""COMPUTED_VALUE"""),FALSE)</f>
        <v>0</v>
      </c>
      <c r="N21" s="71"/>
      <c r="O21" s="66"/>
      <c r="P21" s="71"/>
      <c r="Q21" s="66"/>
      <c r="R21" s="66"/>
      <c r="S21" s="71"/>
      <c r="T21" s="63" t="str">
        <f>IFERROR(__xludf.DUMMYFUNCTION("""COMPUTED_VALUE"""),"CÔNG TY CP QUÔC TẾ TM GROW")</f>
        <v>CÔNG TY CP QUÔC TẾ TM GROW</v>
      </c>
      <c r="U21" s="63" t="str">
        <f>IFERROR(__xludf.DUMMYFUNCTION("""COMPUTED_VALUE"""),"Tmg")</f>
        <v>Tmg</v>
      </c>
      <c r="V21" s="63" t="str">
        <f>IFERROR(__xludf.DUMMYFUNCTION("""COMPUTED_VALUE"""),"Trung tâm dịch vụ khu công nghiệp Amata, đường Amata, KCN Amata, Phường Long Bình, Thành phố Biên Hoà, Tỉnh Đồng Nai")</f>
        <v>Trung tâm dịch vụ khu công nghiệp Amata, đường Amata, KCN Amata, Phường Long Bình, Thành phố Biên Hoà, Tỉnh Đồng Nai</v>
      </c>
      <c r="W21" s="73" t="str">
        <f>IFERROR(__xludf.DUMMYFUNCTION("""COMPUTED_VALUE"""),"3600630513")</f>
        <v>3600630513</v>
      </c>
      <c r="X21" s="71"/>
      <c r="Y21" s="63" t="str">
        <f>IFERROR(__xludf.DUMMYFUNCTION("""COMPUTED_VALUE"""),"KHO F49 - ICARE")</f>
        <v>KHO F49 - ICARE</v>
      </c>
      <c r="Z21" s="63" t="str">
        <f>IFERROR(__xludf.DUMMYFUNCTION("""COMPUTED_VALUE"""),"Kho F49 - Icare")</f>
        <v>Kho F49 - Icare</v>
      </c>
      <c r="AA21" s="63" t="str">
        <f>IFERROR(__xludf.DUMMYFUNCTION("""COMPUTED_VALUE"""),"nhà F49 (chạy qua trường lái Chiến Thắng) đường số 7, KDC Long Thịnh, Phường Phú Thứ, Cái Răng, Cần Thơ")</f>
        <v>nhà F49 (chạy qua trường lái Chiến Thắng) đường số 7, KDC Long Thịnh, Phường Phú Thứ, Cái Răng, Cần Thơ</v>
      </c>
      <c r="AB21" s="71"/>
      <c r="AC21" s="63"/>
      <c r="AD21" s="71"/>
      <c r="AE21" s="63"/>
      <c r="AF21" s="71"/>
      <c r="AG21" s="63"/>
      <c r="AH21" s="71"/>
      <c r="AI21" s="63"/>
      <c r="AJ21" s="71"/>
      <c r="AK21" s="63"/>
    </row>
    <row r="22" ht="18.0" customHeight="1">
      <c r="A22" s="63"/>
      <c r="B22" s="63"/>
      <c r="C22" s="60"/>
      <c r="D22" s="69"/>
      <c r="E22" s="69"/>
      <c r="F22" s="61"/>
      <c r="G22" s="61"/>
      <c r="H22" s="60"/>
      <c r="I22" s="63" t="str">
        <f>IFERROR(__xludf.DUMMYFUNCTION("""COMPUTED_VALUE"""),"Cốc đong")</f>
        <v>Cốc đong</v>
      </c>
      <c r="J22" s="75">
        <f>IFERROR(__xludf.DUMMYFUNCTION("""COMPUTED_VALUE"""),15.0)</f>
        <v>15</v>
      </c>
      <c r="K22" s="69"/>
      <c r="L22" s="65">
        <f>IFERROR(__xludf.DUMMYFUNCTION("""COMPUTED_VALUE"""),46082.0)</f>
        <v>46082</v>
      </c>
      <c r="M22" s="74" t="b">
        <f>IFERROR(__xludf.DUMMYFUNCTION("""COMPUTED_VALUE"""),FALSE)</f>
        <v>0</v>
      </c>
      <c r="N22" s="60"/>
      <c r="O22" s="66"/>
      <c r="P22" s="60"/>
      <c r="Q22" s="66"/>
      <c r="R22" s="66"/>
      <c r="S22" s="60"/>
      <c r="T22" s="63" t="str">
        <f>IFERROR(__xludf.DUMMYFUNCTION("""COMPUTED_VALUE"""),"CÔNG TY CP ĐẮC KHANG")</f>
        <v>CÔNG TY CP ĐẮC KHANG</v>
      </c>
      <c r="U22" s="63" t="str">
        <f>IFERROR(__xludf.DUMMYFUNCTION("""COMPUTED_VALUE"""),"Đắc Khang")</f>
        <v>Đắc Khang</v>
      </c>
      <c r="V22" s="63" t="str">
        <f>IFERROR(__xludf.DUMMYFUNCTION("""COMPUTED_VALUE"""),"482/10/28A1 Nơ Trang Long, Phường 13, Quận Bình Thạnh, Thành phố Hồ Chí Minh")</f>
        <v>482/10/28A1 Nơ Trang Long, Phường 13, Quận Bình Thạnh, Thành phố Hồ Chí Minh</v>
      </c>
      <c r="W22" s="73" t="str">
        <f>IFERROR(__xludf.DUMMYFUNCTION("""COMPUTED_VALUE"""),"0304714687")</f>
        <v>0304714687</v>
      </c>
      <c r="X22" s="60"/>
      <c r="Y22" s="63" t="str">
        <f>IFERROR(__xludf.DUMMYFUNCTION("""COMPUTED_VALUE"""),"KHO LAB DEGO")</f>
        <v>KHO LAB DEGO</v>
      </c>
      <c r="Z22" s="63" t="str">
        <f>IFERROR(__xludf.DUMMYFUNCTION("""COMPUTED_VALUE"""),"Kho Lab Dego")</f>
        <v>Kho Lab Dego</v>
      </c>
      <c r="AA22" s="63" t="str">
        <f>IFERROR(__xludf.DUMMYFUNCTION("""COMPUTED_VALUE"""),"B19 đường dẫn cầu Cần Thơ, Quốc lộ 1A, KDC TTVH Tây Đô, Phường Cái Răng, Thành phố Cần Thơ")</f>
        <v>B19 đường dẫn cầu Cần Thơ, Quốc lộ 1A, KDC TTVH Tây Đô, Phường Cái Răng, Thành phố Cần Thơ</v>
      </c>
      <c r="AB22" s="60"/>
      <c r="AC22" s="63"/>
      <c r="AD22" s="60"/>
      <c r="AE22" s="63"/>
      <c r="AF22" s="60"/>
      <c r="AG22" s="63"/>
      <c r="AH22" s="60"/>
      <c r="AI22" s="63"/>
      <c r="AJ22" s="60"/>
      <c r="AK22" s="63"/>
    </row>
    <row r="23" ht="18.0" customHeight="1">
      <c r="A23" s="63"/>
      <c r="B23" s="63"/>
      <c r="C23" s="60"/>
      <c r="D23" s="69"/>
      <c r="E23" s="61"/>
      <c r="F23" s="61"/>
      <c r="G23" s="61"/>
      <c r="H23" s="60"/>
      <c r="I23" s="63" t="str">
        <f>IFERROR(__xludf.DUMMYFUNCTION("""COMPUTED_VALUE"""),"NL NK")</f>
        <v>NL NK</v>
      </c>
      <c r="J23" s="75">
        <f>IFERROR(__xludf.DUMMYFUNCTION("""COMPUTED_VALUE"""),59.0)</f>
        <v>59</v>
      </c>
      <c r="K23" s="69" t="str">
        <f>IFERROR(__xludf.DUMMYFUNCTION("""COMPUTED_VALUE"""),"- Làm hợp đồng với NCC cũ: 5 ngày
- Chuẩn bị hàng: 14 ngày
- Giao hàng 20 ngày
- Nhận hàng + thông quan: 20 ngày")</f>
        <v>- Làm hợp đồng với NCC cũ: 5 ngày
- Chuẩn bị hàng: 14 ngày
- Giao hàng 20 ngày
- Nhận hàng + thông quan: 20 ngày</v>
      </c>
      <c r="L23" s="65">
        <f>IFERROR(__xludf.DUMMYFUNCTION("""COMPUTED_VALUE"""),46082.0)</f>
        <v>46082</v>
      </c>
      <c r="M23" s="63" t="b">
        <f>IFERROR(__xludf.DUMMYFUNCTION("""COMPUTED_VALUE"""),TRUE)</f>
        <v>1</v>
      </c>
      <c r="N23" s="60"/>
      <c r="O23" s="66"/>
      <c r="P23" s="60"/>
      <c r="Q23" s="66"/>
      <c r="R23" s="66"/>
      <c r="S23" s="60"/>
      <c r="T23" s="63" t="str">
        <f>IFERROR(__xludf.DUMMYFUNCTION("""COMPUTED_VALUE"""),"CÔNG TY TNHH SX TM DV PHÁT ĐẠI LỘC")</f>
        <v>CÔNG TY TNHH SX TM DV PHÁT ĐẠI LỘC</v>
      </c>
      <c r="U23" s="63" t="str">
        <f>IFERROR(__xludf.DUMMYFUNCTION("""COMPUTED_VALUE"""),"Phát Đại Lộc")</f>
        <v>Phát Đại Lộc</v>
      </c>
      <c r="V23" s="63" t="str">
        <f>IFERROR(__xludf.DUMMYFUNCTION("""COMPUTED_VALUE"""),"Số 24 Đường Hiệp Thành 48, Phường Hiệp Thành, Quận 12, Thành phố Hồ Chí Minh")</f>
        <v>Số 24 Đường Hiệp Thành 48, Phường Hiệp Thành, Quận 12, Thành phố Hồ Chí Minh</v>
      </c>
      <c r="W23" s="73" t="str">
        <f>IFERROR(__xludf.DUMMYFUNCTION("""COMPUTED_VALUE"""),"0317409056")</f>
        <v>0317409056</v>
      </c>
      <c r="X23" s="60"/>
      <c r="Y23" s="63"/>
      <c r="Z23" s="63"/>
      <c r="AA23" s="63"/>
      <c r="AB23" s="60"/>
      <c r="AC23" s="63"/>
      <c r="AD23" s="60"/>
      <c r="AE23" s="63"/>
      <c r="AF23" s="60"/>
      <c r="AG23" s="63"/>
      <c r="AH23" s="60"/>
      <c r="AI23" s="63"/>
      <c r="AJ23" s="60"/>
      <c r="AK23" s="63"/>
    </row>
    <row r="24" ht="18.0" customHeight="1">
      <c r="A24" s="63"/>
      <c r="B24" s="63"/>
      <c r="C24" s="60"/>
      <c r="D24" s="69"/>
      <c r="E24" s="61"/>
      <c r="F24" s="61"/>
      <c r="G24" s="61"/>
      <c r="H24" s="60"/>
      <c r="I24" s="63" t="str">
        <f>IFERROR(__xludf.DUMMYFUNCTION("""COMPUTED_VALUE"""),"NL Icare")</f>
        <v>NL Icare</v>
      </c>
      <c r="J24" s="75">
        <f>IFERROR(__xludf.DUMMYFUNCTION("""COMPUTED_VALUE"""),4.0)</f>
        <v>4</v>
      </c>
      <c r="K24" s="69" t="str">
        <f>IFERROR(__xludf.DUMMYFUNCTION("""COMPUTED_VALUE"""),"Trong nước, công nợ")</f>
        <v>Trong nước, công nợ</v>
      </c>
      <c r="L24" s="65">
        <f>IFERROR(__xludf.DUMMYFUNCTION("""COMPUTED_VALUE"""),46082.0)</f>
        <v>46082</v>
      </c>
      <c r="M24" s="63"/>
      <c r="N24" s="60"/>
      <c r="O24" s="66"/>
      <c r="P24" s="60"/>
      <c r="Q24" s="66"/>
      <c r="R24" s="66"/>
      <c r="S24" s="60"/>
      <c r="T24" s="63" t="str">
        <f>IFERROR(__xludf.DUMMYFUNCTION("""COMPUTED_VALUE"""),"CÔNG TY TNHH THƯƠNG MẠI HIỀN PHAN")</f>
        <v>CÔNG TY TNHH THƯƠNG MẠI HIỀN PHAN</v>
      </c>
      <c r="U24" s="63" t="str">
        <f>IFERROR(__xludf.DUMMYFUNCTION("""COMPUTED_VALUE"""),"Hiền Phan")</f>
        <v>Hiền Phan</v>
      </c>
      <c r="V24" s="63" t="str">
        <f>IFERROR(__xludf.DUMMYFUNCTION("""COMPUTED_VALUE"""),"Số 64 Lê Lăng, Phường Phú Thọ Hoà, Quận Tân Phú, Thành phố Hồ Chí Minh")</f>
        <v>Số 64 Lê Lăng, Phường Phú Thọ Hoà, Quận Tân Phú, Thành phố Hồ Chí Minh</v>
      </c>
      <c r="W24" s="73" t="str">
        <f>IFERROR(__xludf.DUMMYFUNCTION("""COMPUTED_VALUE"""),"0305877109")</f>
        <v>0305877109</v>
      </c>
      <c r="X24" s="60"/>
      <c r="Y24" s="63"/>
      <c r="Z24" s="63"/>
      <c r="AA24" s="63"/>
      <c r="AB24" s="60"/>
      <c r="AC24" s="63"/>
      <c r="AD24" s="60"/>
      <c r="AE24" s="63"/>
      <c r="AF24" s="60"/>
      <c r="AG24" s="63"/>
      <c r="AH24" s="60"/>
      <c r="AI24" s="63"/>
      <c r="AJ24" s="60"/>
      <c r="AK24" s="63"/>
    </row>
    <row r="25" ht="18.0" customHeight="1">
      <c r="A25" s="63"/>
      <c r="B25" s="63"/>
      <c r="C25" s="60"/>
      <c r="D25" s="69"/>
      <c r="E25" s="63"/>
      <c r="F25" s="63"/>
      <c r="G25" s="63"/>
      <c r="H25" s="60"/>
      <c r="I25" s="63" t="str">
        <f>IFERROR(__xludf.DUMMYFUNCTION("""COMPUTED_VALUE"""),"Xốp ( bong bóng khí)")</f>
        <v>Xốp ( bong bóng khí)</v>
      </c>
      <c r="J25" s="75">
        <f>IFERROR(__xludf.DUMMYFUNCTION("""COMPUTED_VALUE"""),5.0)</f>
        <v>5</v>
      </c>
      <c r="K25" s="69"/>
      <c r="L25" s="65">
        <f>IFERROR(__xludf.DUMMYFUNCTION("""COMPUTED_VALUE"""),46082.0)</f>
        <v>46082</v>
      </c>
      <c r="M25" s="63"/>
      <c r="N25" s="60"/>
      <c r="O25" s="66"/>
      <c r="P25" s="60"/>
      <c r="Q25" s="66"/>
      <c r="R25" s="66"/>
      <c r="S25" s="60"/>
      <c r="T25" s="63" t="str">
        <f>IFERROR(__xludf.DUMMYFUNCTION("""COMPUTED_VALUE"""),"CÔNG TY TNHH XNK HÓA CHẤT VẠN AN")</f>
        <v>CÔNG TY TNHH XNK HÓA CHẤT VẠN AN</v>
      </c>
      <c r="U25" s="63" t="str">
        <f>IFERROR(__xludf.DUMMYFUNCTION("""COMPUTED_VALUE"""),"Vạn An")</f>
        <v>Vạn An</v>
      </c>
      <c r="V25" s="63" t="str">
        <f>IFERROR(__xludf.DUMMYFUNCTION("""COMPUTED_VALUE"""),"208C Nguyễn Ngọc Nhựt, Phường Tân Quý, Quận Tân Phú, Thành phố Hồ Chí Minh")</f>
        <v>208C Nguyễn Ngọc Nhựt, Phường Tân Quý, Quận Tân Phú, Thành phố Hồ Chí Minh</v>
      </c>
      <c r="W25" s="73" t="str">
        <f>IFERROR(__xludf.DUMMYFUNCTION("""COMPUTED_VALUE"""),"0314845752")</f>
        <v>0314845752</v>
      </c>
      <c r="X25" s="60"/>
      <c r="Y25" s="63"/>
      <c r="Z25" s="63"/>
      <c r="AA25" s="63"/>
      <c r="AB25" s="60"/>
      <c r="AC25" s="63"/>
      <c r="AD25" s="60"/>
      <c r="AE25" s="63"/>
      <c r="AF25" s="60"/>
      <c r="AG25" s="63"/>
      <c r="AH25" s="60"/>
      <c r="AI25" s="63"/>
      <c r="AJ25" s="60"/>
      <c r="AK25" s="63"/>
    </row>
    <row r="26" ht="18.0" customHeight="1">
      <c r="A26" s="63"/>
      <c r="B26" s="63"/>
      <c r="C26" s="60"/>
      <c r="D26" s="69"/>
      <c r="E26" s="63"/>
      <c r="F26" s="63"/>
      <c r="G26" s="63"/>
      <c r="H26" s="60"/>
      <c r="I26" s="63" t="str">
        <f>IFERROR(__xludf.DUMMYFUNCTION("""COMPUTED_VALUE"""),"Giấy nhiệt K100x150")</f>
        <v>Giấy nhiệt K100x150</v>
      </c>
      <c r="J26" s="75">
        <f>IFERROR(__xludf.DUMMYFUNCTION("""COMPUTED_VALUE"""),5.0)</f>
        <v>5</v>
      </c>
      <c r="K26" s="69"/>
      <c r="L26" s="65">
        <f>IFERROR(__xludf.DUMMYFUNCTION("""COMPUTED_VALUE"""),46082.0)</f>
        <v>46082</v>
      </c>
      <c r="M26" s="63"/>
      <c r="N26" s="60"/>
      <c r="O26" s="66"/>
      <c r="P26" s="60"/>
      <c r="Q26" s="66"/>
      <c r="R26" s="66"/>
      <c r="S26" s="60"/>
      <c r="T26" s="63" t="str">
        <f>IFERROR(__xludf.DUMMYFUNCTION("""COMPUTED_VALUE"""),"CÔNG TY TNHH VĨNH NAM ANH")</f>
        <v>CÔNG TY TNHH VĨNH NAM ANH</v>
      </c>
      <c r="U26" s="63" t="str">
        <f>IFERROR(__xludf.DUMMYFUNCTION("""COMPUTED_VALUE"""),"Vĩnh Nam Anh")</f>
        <v>Vĩnh Nam Anh</v>
      </c>
      <c r="V26" s="63" t="str">
        <f>IFERROR(__xludf.DUMMYFUNCTION("""COMPUTED_VALUE"""),"65/1 Ấp 1, Bùi Công Trừng, Xã Nhị Bình, Huyện Hóc Môn, Thành phố Hồ Chí Minh")</f>
        <v>65/1 Ấp 1, Bùi Công Trừng, Xã Nhị Bình, Huyện Hóc Môn, Thành phố Hồ Chí Minh</v>
      </c>
      <c r="W26" s="73" t="str">
        <f>IFERROR(__xludf.DUMMYFUNCTION("""COMPUTED_VALUE"""),"0304973949")</f>
        <v>0304973949</v>
      </c>
      <c r="X26" s="60"/>
      <c r="Y26" s="63"/>
      <c r="Z26" s="63"/>
      <c r="AA26" s="63"/>
      <c r="AB26" s="60"/>
      <c r="AC26" s="63"/>
      <c r="AD26" s="60"/>
      <c r="AE26" s="63"/>
      <c r="AF26" s="60"/>
      <c r="AG26" s="63"/>
      <c r="AH26" s="60"/>
      <c r="AI26" s="63"/>
      <c r="AJ26" s="60"/>
      <c r="AK26" s="63"/>
    </row>
    <row r="27" ht="18.0" customHeight="1">
      <c r="A27" s="63"/>
      <c r="B27" s="63"/>
      <c r="C27" s="60"/>
      <c r="D27" s="69"/>
      <c r="E27" s="63"/>
      <c r="F27" s="63"/>
      <c r="G27" s="63"/>
      <c r="H27" s="60"/>
      <c r="I27" s="63" t="str">
        <f>IFERROR(__xludf.DUMMYFUNCTION("""COMPUTED_VALUE"""),"HDSD Antisol")</f>
        <v>HDSD Antisol</v>
      </c>
      <c r="J27" s="75">
        <f>IFERROR(__xludf.DUMMYFUNCTION("""COMPUTED_VALUE"""),10.0)</f>
        <v>10</v>
      </c>
      <c r="K27" s="69"/>
      <c r="L27" s="65">
        <f>IFERROR(__xludf.DUMMYFUNCTION("""COMPUTED_VALUE"""),46082.0)</f>
        <v>46082</v>
      </c>
      <c r="M27" s="63"/>
      <c r="N27" s="60"/>
      <c r="O27" s="66"/>
      <c r="P27" s="60"/>
      <c r="Q27" s="66"/>
      <c r="R27" s="66"/>
      <c r="S27" s="60"/>
      <c r="T27" s="63" t="str">
        <f>IFERROR(__xludf.DUMMYFUNCTION("""COMPUTED_VALUE"""),"CÔNG TY TNHH KỸ THUẬT AN TOÀN MÔI TRƯỜNG HÒA PHÁT")</f>
        <v>CÔNG TY TNHH KỸ THUẬT AN TOÀN MÔI TRƯỜNG HÒA PHÁT</v>
      </c>
      <c r="U27" s="63" t="str">
        <f>IFERROR(__xludf.DUMMYFUNCTION("""COMPUTED_VALUE"""),"Hòa Phát")</f>
        <v>Hòa Phát</v>
      </c>
      <c r="V27" s="63" t="str">
        <f>IFERROR(__xludf.DUMMYFUNCTION("""COMPUTED_VALUE"""),"173/53 Thoại Ngọc Hầu, Phường Phú Thạnh, Quận Tân Phú, Thành phố Hồ Chí Minh")</f>
        <v>173/53 Thoại Ngọc Hầu, Phường Phú Thạnh, Quận Tân Phú, Thành phố Hồ Chí Minh</v>
      </c>
      <c r="W27" s="73" t="str">
        <f>IFERROR(__xludf.DUMMYFUNCTION("""COMPUTED_VALUE"""),"0312483507")</f>
        <v>0312483507</v>
      </c>
      <c r="X27" s="60"/>
      <c r="Y27" s="63"/>
      <c r="Z27" s="63"/>
      <c r="AA27" s="63"/>
      <c r="AB27" s="60"/>
      <c r="AC27" s="63"/>
      <c r="AD27" s="60"/>
      <c r="AE27" s="63"/>
      <c r="AF27" s="60"/>
      <c r="AG27" s="63"/>
      <c r="AH27" s="60"/>
      <c r="AI27" s="63"/>
      <c r="AJ27" s="60"/>
      <c r="AK27" s="63"/>
    </row>
    <row r="28" ht="18.0" customHeight="1">
      <c r="A28" s="69"/>
      <c r="B28" s="63"/>
      <c r="C28" s="60"/>
      <c r="D28" s="69"/>
      <c r="E28" s="63"/>
      <c r="F28" s="63"/>
      <c r="G28" s="63"/>
      <c r="H28" s="60"/>
      <c r="I28" s="63" t="str">
        <f>IFERROR(__xludf.DUMMYFUNCTION("""COMPUTED_VALUE"""),"Tem phụ antisol")</f>
        <v>Tem phụ antisol</v>
      </c>
      <c r="J28" s="75">
        <f>IFERROR(__xludf.DUMMYFUNCTION("""COMPUTED_VALUE"""),15.0)</f>
        <v>15</v>
      </c>
      <c r="K28" s="69"/>
      <c r="L28" s="65">
        <f>IFERROR(__xludf.DUMMYFUNCTION("""COMPUTED_VALUE"""),46082.0)</f>
        <v>46082</v>
      </c>
      <c r="M28" s="63"/>
      <c r="N28" s="60"/>
      <c r="O28" s="66"/>
      <c r="P28" s="60"/>
      <c r="Q28" s="66"/>
      <c r="R28" s="66"/>
      <c r="S28" s="60"/>
      <c r="T28" s="63" t="str">
        <f>IFERROR(__xludf.DUMMYFUNCTION("""COMPUTED_VALUE"""),"CÔNG TY TNHH NGUYÊN LIỆU NÔNG NGHIỆP MEKONG")</f>
        <v>CÔNG TY TNHH NGUYÊN LIỆU NÔNG NGHIỆP MEKONG</v>
      </c>
      <c r="U28" s="63" t="str">
        <f>IFERROR(__xludf.DUMMYFUNCTION("""COMPUTED_VALUE"""),"Mekong")</f>
        <v>Mekong</v>
      </c>
      <c r="V28" s="63" t="str">
        <f>IFERROR(__xludf.DUMMYFUNCTION("""COMPUTED_VALUE"""),"Lô Officetel L4-20, tầng 20, Block Lucky, Tòa nhà Richmond City, 207C Nguyễn Xí, Phường Bình Thạnh, TP. Hồ Chí Minh")</f>
        <v>Lô Officetel L4-20, tầng 20, Block Lucky, Tòa nhà Richmond City, 207C Nguyễn Xí, Phường Bình Thạnh, TP. Hồ Chí Minh</v>
      </c>
      <c r="W28" s="73" t="str">
        <f>IFERROR(__xludf.DUMMYFUNCTION("""COMPUTED_VALUE"""),"0313587019")</f>
        <v>0313587019</v>
      </c>
      <c r="X28" s="60"/>
      <c r="Y28" s="63"/>
      <c r="Z28" s="63"/>
      <c r="AA28" s="63"/>
      <c r="AB28" s="60"/>
      <c r="AC28" s="63"/>
      <c r="AD28" s="60"/>
      <c r="AE28" s="63"/>
      <c r="AF28" s="60"/>
      <c r="AG28" s="63"/>
      <c r="AH28" s="60"/>
      <c r="AI28" s="63"/>
      <c r="AJ28" s="60"/>
      <c r="AK28" s="63"/>
    </row>
    <row r="29" ht="18.0" customHeight="1">
      <c r="A29" s="63"/>
      <c r="B29" s="63"/>
      <c r="C29" s="60"/>
      <c r="D29" s="69"/>
      <c r="E29" s="63"/>
      <c r="F29" s="63"/>
      <c r="G29" s="63"/>
      <c r="H29" s="60"/>
      <c r="I29" s="63" t="str">
        <f>IFERROR(__xludf.DUMMYFUNCTION("""COMPUTED_VALUE"""),"Tem chống hàng giả")</f>
        <v>Tem chống hàng giả</v>
      </c>
      <c r="J29" s="75">
        <f>IFERROR(__xludf.DUMMYFUNCTION("""COMPUTED_VALUE"""),10.0)</f>
        <v>10</v>
      </c>
      <c r="K29" s="69"/>
      <c r="L29" s="65">
        <f>IFERROR(__xludf.DUMMYFUNCTION("""COMPUTED_VALUE"""),46082.0)</f>
        <v>46082</v>
      </c>
      <c r="M29" s="63"/>
      <c r="N29" s="60"/>
      <c r="O29" s="66"/>
      <c r="P29" s="60"/>
      <c r="Q29" s="66"/>
      <c r="R29" s="66"/>
      <c r="S29" s="60"/>
      <c r="T29" s="63" t="str">
        <f>IFERROR(__xludf.DUMMYFUNCTION("""COMPUTED_VALUE"""),"CÔNG TY TNHH SX VÀ TM AN GIA PHÚ")</f>
        <v>CÔNG TY TNHH SX VÀ TM AN GIA PHÚ</v>
      </c>
      <c r="U29" s="63" t="str">
        <f>IFERROR(__xludf.DUMMYFUNCTION("""COMPUTED_VALUE"""),"An Gia Phú")</f>
        <v>An Gia Phú</v>
      </c>
      <c r="V29" s="63" t="str">
        <f>IFERROR(__xludf.DUMMYFUNCTION("""COMPUTED_VALUE"""),"40/17/9 Đường số 7, Khu phố 12, Phường Bình Hưng Hòa, Quận Bình Tân, Thành phố Hồ Chí Minh")</f>
        <v>40/17/9 Đường số 7, Khu phố 12, Phường Bình Hưng Hòa, Quận Bình Tân, Thành phố Hồ Chí Minh</v>
      </c>
      <c r="W29" s="73" t="str">
        <f>IFERROR(__xludf.DUMMYFUNCTION("""COMPUTED_VALUE"""),"0313155900")</f>
        <v>0313155900</v>
      </c>
      <c r="X29" s="60"/>
      <c r="Y29" s="63"/>
      <c r="Z29" s="63"/>
      <c r="AA29" s="63"/>
      <c r="AB29" s="60"/>
      <c r="AC29" s="63"/>
      <c r="AD29" s="60"/>
      <c r="AE29" s="63"/>
      <c r="AF29" s="60"/>
      <c r="AG29" s="63"/>
      <c r="AH29" s="60"/>
      <c r="AI29" s="63"/>
      <c r="AJ29" s="60"/>
      <c r="AK29" s="63"/>
    </row>
    <row r="30" ht="18.0" customHeight="1">
      <c r="A30" s="63"/>
      <c r="B30" s="63"/>
      <c r="C30" s="60"/>
      <c r="D30" s="69"/>
      <c r="E30" s="63"/>
      <c r="F30" s="63"/>
      <c r="G30" s="63"/>
      <c r="H30" s="60"/>
      <c r="I30" s="63" t="str">
        <f>IFERROR(__xludf.DUMMYFUNCTION("""COMPUTED_VALUE"""),"Chai Pet có vòi")</f>
        <v>Chai Pet có vòi</v>
      </c>
      <c r="J30" s="75">
        <f>IFERROR(__xludf.DUMMYFUNCTION("""COMPUTED_VALUE"""),15.0)</f>
        <v>15</v>
      </c>
      <c r="K30" s="69"/>
      <c r="L30" s="65">
        <f>IFERROR(__xludf.DUMMYFUNCTION("""COMPUTED_VALUE"""),46082.0)</f>
        <v>46082</v>
      </c>
      <c r="M30" s="63"/>
      <c r="N30" s="60"/>
      <c r="O30" s="66"/>
      <c r="P30" s="60"/>
      <c r="Q30" s="66"/>
      <c r="R30" s="66"/>
      <c r="S30" s="60"/>
      <c r="T30" s="63" t="str">
        <f>IFERROR(__xludf.DUMMYFUNCTION("""COMPUTED_VALUE"""),"CÔNG TY TNHH XNK NGÀN HƯƠNG")</f>
        <v>CÔNG TY TNHH XNK NGÀN HƯƠNG</v>
      </c>
      <c r="U30" s="63" t="str">
        <f>IFERROR(__xludf.DUMMYFUNCTION("""COMPUTED_VALUE"""),"Ngàn Hương")</f>
        <v>Ngàn Hương</v>
      </c>
      <c r="V30" s="63" t="str">
        <f>IFERROR(__xludf.DUMMYFUNCTION("""COMPUTED_VALUE"""),"133K, Trần Hưng Đạo, Phường An Phú, Quận Ninh Kiều, Thành phố Cần Thơ")</f>
        <v>133K, Trần Hưng Đạo, Phường An Phú, Quận Ninh Kiều, Thành phố Cần Thơ</v>
      </c>
      <c r="W30" s="73" t="str">
        <f>IFERROR(__xludf.DUMMYFUNCTION("""COMPUTED_VALUE"""),"1800385992")</f>
        <v>1800385992</v>
      </c>
      <c r="X30" s="60"/>
      <c r="Y30" s="63"/>
      <c r="Z30" s="63"/>
      <c r="AA30" s="63"/>
      <c r="AB30" s="60"/>
      <c r="AC30" s="63"/>
      <c r="AD30" s="60"/>
      <c r="AE30" s="63"/>
      <c r="AF30" s="60"/>
      <c r="AG30" s="63"/>
      <c r="AH30" s="60"/>
      <c r="AI30" s="63"/>
      <c r="AJ30" s="60"/>
      <c r="AK30" s="63"/>
    </row>
    <row r="31" ht="18.0" customHeight="1">
      <c r="A31" s="63"/>
      <c r="B31" s="63"/>
      <c r="C31" s="60"/>
      <c r="D31" s="69"/>
      <c r="E31" s="63"/>
      <c r="F31" s="63"/>
      <c r="G31" s="63"/>
      <c r="H31" s="60"/>
      <c r="I31" s="63" t="str">
        <f>IFERROR(__xludf.DUMMYFUNCTION("""COMPUTED_VALUE"""),"Hộp trắng")</f>
        <v>Hộp trắng</v>
      </c>
      <c r="J31" s="75">
        <f>IFERROR(__xludf.DUMMYFUNCTION("""COMPUTED_VALUE"""),10.0)</f>
        <v>10</v>
      </c>
      <c r="K31" s="69"/>
      <c r="L31" s="65">
        <f>IFERROR(__xludf.DUMMYFUNCTION("""COMPUTED_VALUE"""),46082.0)</f>
        <v>46082</v>
      </c>
      <c r="M31" s="63"/>
      <c r="N31" s="60"/>
      <c r="O31" s="66"/>
      <c r="P31" s="60"/>
      <c r="Q31" s="66"/>
      <c r="R31" s="66"/>
      <c r="S31" s="60"/>
      <c r="T31" s="63" t="str">
        <f>IFERROR(__xludf.DUMMYFUNCTION("""COMPUTED_VALUE"""),"CÔNG TY CỔ PHẦN MẠNH ĐAN")</f>
        <v>CÔNG TY CỔ PHẦN MẠNH ĐAN</v>
      </c>
      <c r="U31" s="63" t="str">
        <f>IFERROR(__xludf.DUMMYFUNCTION("""COMPUTED_VALUE"""),"Mạnh Đan")</f>
        <v>Mạnh Đan</v>
      </c>
      <c r="V31" s="63" t="str">
        <f>IFERROR(__xludf.DUMMYFUNCTION("""COMPUTED_VALUE"""),"43 Đường số 5, Cư xá Chu Văn An, Phường 26, Quận Bình Thạnh, Thành phố Hồ Chí Minh")</f>
        <v>43 Đường số 5, Cư xá Chu Văn An, Phường 26, Quận Bình Thạnh, Thành phố Hồ Chí Minh</v>
      </c>
      <c r="W31" s="73" t="str">
        <f>IFERROR(__xludf.DUMMYFUNCTION("""COMPUTED_VALUE"""),"0311118396")</f>
        <v>0311118396</v>
      </c>
      <c r="X31" s="60"/>
      <c r="Y31" s="63"/>
      <c r="Z31" s="63"/>
      <c r="AA31" s="63"/>
      <c r="AB31" s="60"/>
      <c r="AC31" s="63"/>
      <c r="AD31" s="60"/>
      <c r="AE31" s="63"/>
      <c r="AF31" s="60"/>
      <c r="AG31" s="63"/>
      <c r="AH31" s="60"/>
      <c r="AI31" s="63"/>
      <c r="AJ31" s="60"/>
      <c r="AK31" s="63"/>
    </row>
    <row r="32" ht="18.0" customHeight="1">
      <c r="A32" s="63"/>
      <c r="B32" s="63"/>
      <c r="C32" s="60"/>
      <c r="D32" s="69"/>
      <c r="E32" s="63"/>
      <c r="F32" s="63"/>
      <c r="G32" s="63"/>
      <c r="H32" s="60"/>
      <c r="I32" s="63" t="str">
        <f>IFERROR(__xludf.DUMMYFUNCTION("""COMPUTED_VALUE"""),"Màng co")</f>
        <v>Màng co</v>
      </c>
      <c r="J32" s="75">
        <f>IFERROR(__xludf.DUMMYFUNCTION("""COMPUTED_VALUE"""),20.0)</f>
        <v>20</v>
      </c>
      <c r="K32" s="69" t="str">
        <f>IFERROR(__xludf.DUMMYFUNCTION("""COMPUTED_VALUE"""),"NCC quá tải chưa tìm được NCC mới giá cạnh tranh")</f>
        <v>NCC quá tải chưa tìm được NCC mới giá cạnh tranh</v>
      </c>
      <c r="L32" s="65">
        <f>IFERROR(__xludf.DUMMYFUNCTION("""COMPUTED_VALUE"""),46082.0)</f>
        <v>46082</v>
      </c>
      <c r="M32" s="74"/>
      <c r="N32" s="60"/>
      <c r="O32" s="66"/>
      <c r="P32" s="60"/>
      <c r="Q32" s="66"/>
      <c r="R32" s="66"/>
      <c r="S32" s="60"/>
      <c r="T32" s="63" t="str">
        <f>IFERROR(__xludf.DUMMYFUNCTION("""COMPUTED_VALUE"""),"CÔNG TY TNHH VẬT TƯ NÔNG NGHIỆP TRUNG PHONG")</f>
        <v>CÔNG TY TNHH VẬT TƯ NÔNG NGHIỆP TRUNG PHONG</v>
      </c>
      <c r="U32" s="63" t="str">
        <f>IFERROR(__xludf.DUMMYFUNCTION("""COMPUTED_VALUE"""),"Trung Phong")</f>
        <v>Trung Phong</v>
      </c>
      <c r="V32" s="63" t="str">
        <f>IFERROR(__xludf.DUMMYFUNCTION("""COMPUTED_VALUE"""),"36/7 Lam Sơn , Phường 6, Quận Bình Thạnh, Thành phố Hồ Chí Minh")</f>
        <v>36/7 Lam Sơn , Phường 6, Quận Bình Thạnh, Thành phố Hồ Chí Minh</v>
      </c>
      <c r="W32" s="73" t="str">
        <f>IFERROR(__xludf.DUMMYFUNCTION("""COMPUTED_VALUE"""),"0314509888")</f>
        <v>0314509888</v>
      </c>
      <c r="X32" s="60"/>
      <c r="Y32" s="63"/>
      <c r="Z32" s="63"/>
      <c r="AA32" s="63"/>
      <c r="AB32" s="60"/>
      <c r="AC32" s="63"/>
      <c r="AD32" s="60"/>
      <c r="AE32" s="63"/>
      <c r="AF32" s="60"/>
      <c r="AG32" s="63"/>
      <c r="AH32" s="60"/>
      <c r="AI32" s="63"/>
      <c r="AJ32" s="60"/>
      <c r="AK32" s="63"/>
    </row>
    <row r="33" ht="18.0" customHeight="1">
      <c r="A33" s="63"/>
      <c r="B33" s="63"/>
      <c r="C33" s="60"/>
      <c r="D33" s="69"/>
      <c r="E33" s="63"/>
      <c r="F33" s="63"/>
      <c r="G33" s="63"/>
      <c r="H33" s="60"/>
      <c r="I33" s="63" t="str">
        <f>IFERROR(__xludf.DUMMYFUNCTION("""COMPUTED_VALUE"""),"NL NK")</f>
        <v>NL NK</v>
      </c>
      <c r="J33" s="75">
        <f>IFERROR(__xludf.DUMMYFUNCTION("""COMPUTED_VALUE"""),59.0)</f>
        <v>59</v>
      </c>
      <c r="K33" s="69" t="str">
        <f>IFERROR(__xludf.DUMMYFUNCTION("""COMPUTED_VALUE"""),"- Làm hợp đồng với NCC mới: 5 ngày
- Chuẩn bị hàng: 14 ngày
- Giao hàng 20 ngày
- Nhận hàng + thông quan: 20 ngày
Đối với đường bay thì 41 ngày")</f>
        <v>- Làm hợp đồng với NCC mới: 5 ngày
- Chuẩn bị hàng: 14 ngày
- Giao hàng 20 ngày
- Nhận hàng + thông quan: 20 ngày
Đối với đường bay thì 41 ngày</v>
      </c>
      <c r="L33" s="70">
        <f>IFERROR(__xludf.DUMMYFUNCTION("""COMPUTED_VALUE"""),46082.0)</f>
        <v>46082</v>
      </c>
      <c r="M33" s="65" t="b">
        <f>IFERROR(__xludf.DUMMYFUNCTION("""COMPUTED_VALUE"""),FALSE)</f>
        <v>0</v>
      </c>
      <c r="N33" s="60"/>
      <c r="O33" s="66"/>
      <c r="P33" s="60"/>
      <c r="Q33" s="66"/>
      <c r="R33" s="66"/>
      <c r="S33" s="60"/>
      <c r="T33" s="63" t="str">
        <f>IFERROR(__xludf.DUMMYFUNCTION("""COMPUTED_VALUE"""),"CÔNG TY TNHH SOLUTION JD")</f>
        <v>CÔNG TY TNHH SOLUTION JD</v>
      </c>
      <c r="U33" s="63" t="str">
        <f>IFERROR(__xludf.DUMMYFUNCTION("""COMPUTED_VALUE"""),"Jd")</f>
        <v>Jd</v>
      </c>
      <c r="V33" s="63" t="str">
        <f>IFERROR(__xludf.DUMMYFUNCTION("""COMPUTED_VALUE"""),"43 đường số 5, cư xá Chu Văn An , Phường 26, Quận Bình Thạnh, Thành phố Hồ Chí Minh")</f>
        <v>43 đường số 5, cư xá Chu Văn An , Phường 26, Quận Bình Thạnh, Thành phố Hồ Chí Minh</v>
      </c>
      <c r="W33" s="59" t="str">
        <f>IFERROR(__xludf.DUMMYFUNCTION("""COMPUTED_VALUE"""),"0314465052")</f>
        <v>0314465052</v>
      </c>
      <c r="X33" s="60"/>
      <c r="Y33" s="63"/>
      <c r="Z33" s="63"/>
      <c r="AA33" s="63"/>
      <c r="AB33" s="60"/>
      <c r="AC33" s="63"/>
      <c r="AD33" s="60"/>
      <c r="AE33" s="63"/>
      <c r="AF33" s="60"/>
      <c r="AG33" s="63"/>
      <c r="AH33" s="60"/>
      <c r="AI33" s="63"/>
      <c r="AJ33" s="60"/>
      <c r="AK33" s="63"/>
    </row>
    <row r="34" ht="18.0" customHeight="1">
      <c r="A34" s="63"/>
      <c r="B34" s="63"/>
      <c r="C34" s="71"/>
      <c r="D34" s="63"/>
      <c r="E34" s="63"/>
      <c r="F34" s="63"/>
      <c r="G34" s="63"/>
      <c r="H34" s="71"/>
      <c r="I34" s="63" t="str">
        <f>IFERROR(__xludf.DUMMYFUNCTION("""COMPUTED_VALUE"""),"Túi in cuộn màng")</f>
        <v>Túi in cuộn màng</v>
      </c>
      <c r="J34" s="69">
        <f>IFERROR(__xludf.DUMMYFUNCTION("""COMPUTED_VALUE"""),14.0)</f>
        <v>14</v>
      </c>
      <c r="K34" s="69" t="str">
        <f>IFERROR(__xludf.DUMMYFUNCTION("""COMPUTED_VALUE"""),"Nhãn túi")</f>
        <v>Nhãn túi</v>
      </c>
      <c r="L34" s="65">
        <f>IFERROR(__xludf.DUMMYFUNCTION("""COMPUTED_VALUE"""),46120.0)</f>
        <v>46120</v>
      </c>
      <c r="M34" s="63"/>
      <c r="N34" s="71"/>
      <c r="O34" s="66"/>
      <c r="P34" s="71"/>
      <c r="Q34" s="66"/>
      <c r="R34" s="66"/>
      <c r="S34" s="71"/>
      <c r="T34" s="63" t="str">
        <f>IFERROR(__xludf.DUMMYFUNCTION("""COMPUTED_VALUE"""),"CÔNG TY TNHH KING ELONG")</f>
        <v>CÔNG TY TNHH KING ELONG</v>
      </c>
      <c r="U34" s="63" t="str">
        <f>IFERROR(__xludf.DUMMYFUNCTION("""COMPUTED_VALUE"""),"Kel")</f>
        <v>Kel</v>
      </c>
      <c r="V34" s="63" t="str">
        <f>IFERROR(__xludf.DUMMYFUNCTION("""COMPUTED_VALUE"""),"Lô Officetel L5-20, Tầng 20, Block Lucky, Tòa nhà Richmond City, 207C Nguyễn Xí, Phường 26, Quận Bình Thạnh, TP Hồ Chí Minh, Việt Nam")</f>
        <v>Lô Officetel L5-20, Tầng 20, Block Lucky, Tòa nhà Richmond City, 207C Nguyễn Xí, Phường 26, Quận Bình Thạnh, TP Hồ Chí Minh, Việt Nam</v>
      </c>
      <c r="W34" s="59" t="str">
        <f>IFERROR(__xludf.DUMMYFUNCTION("""COMPUTED_VALUE"""),"0317197235")</f>
        <v>0317197235</v>
      </c>
      <c r="X34" s="71"/>
      <c r="Y34" s="63"/>
      <c r="Z34" s="63"/>
      <c r="AA34" s="63"/>
      <c r="AB34" s="71"/>
      <c r="AC34" s="63"/>
      <c r="AD34" s="71"/>
      <c r="AE34" s="63"/>
      <c r="AF34" s="71"/>
      <c r="AG34" s="63"/>
      <c r="AH34" s="71"/>
      <c r="AI34" s="63"/>
      <c r="AJ34" s="71"/>
      <c r="AK34" s="63"/>
    </row>
    <row r="35" ht="18.0" customHeight="1">
      <c r="A35" s="63"/>
      <c r="B35" s="63"/>
      <c r="C35" s="71"/>
      <c r="D35" s="63"/>
      <c r="E35" s="63"/>
      <c r="F35" s="63"/>
      <c r="G35" s="63"/>
      <c r="H35" s="71"/>
      <c r="I35" s="63" t="str">
        <f>IFERROR(__xludf.DUMMYFUNCTION("""COMPUTED_VALUE"""),"Vận chuyển")</f>
        <v>Vận chuyển</v>
      </c>
      <c r="J35" s="69"/>
      <c r="K35" s="69"/>
      <c r="L35" s="65">
        <f>IFERROR(__xludf.DUMMYFUNCTION("""COMPUTED_VALUE"""),46130.0)</f>
        <v>46130</v>
      </c>
      <c r="M35" s="63"/>
      <c r="N35" s="71"/>
      <c r="O35" s="66"/>
      <c r="P35" s="71"/>
      <c r="Q35" s="66"/>
      <c r="R35" s="66"/>
      <c r="S35" s="71"/>
      <c r="T35" s="63" t="str">
        <f>IFERROR(__xludf.DUMMYFUNCTION("""COMPUTED_VALUE"""),"CÔNG TY TNHH HOÁ SINH NTK")</f>
        <v>CÔNG TY TNHH HOÁ SINH NTK</v>
      </c>
      <c r="U35" s="63" t="str">
        <f>IFERROR(__xludf.DUMMYFUNCTION("""COMPUTED_VALUE"""),"Ntk")</f>
        <v>Ntk</v>
      </c>
      <c r="V35" s="63" t="str">
        <f>IFERROR(__xludf.DUMMYFUNCTION("""COMPUTED_VALUE"""),"Lô B113, đường số 5, KCN Thái Hoà, Xã Đức Lập Hạ, Huyện Đức Hoà, Tỉnh Long An")</f>
        <v>Lô B113, đường số 5, KCN Thái Hoà, Xã Đức Lập Hạ, Huyện Đức Hoà, Tỉnh Long An</v>
      </c>
      <c r="W35" s="73" t="str">
        <f>IFERROR(__xludf.DUMMYFUNCTION("""COMPUTED_VALUE"""),"1102004566")</f>
        <v>1102004566</v>
      </c>
      <c r="X35" s="71"/>
      <c r="Y35" s="63"/>
      <c r="Z35" s="63"/>
      <c r="AA35" s="63"/>
      <c r="AB35" s="71"/>
      <c r="AC35" s="63"/>
      <c r="AD35" s="71"/>
      <c r="AE35" s="63"/>
      <c r="AF35" s="71"/>
      <c r="AG35" s="63"/>
      <c r="AH35" s="71"/>
      <c r="AI35" s="63"/>
      <c r="AJ35" s="71"/>
      <c r="AK35" s="63"/>
    </row>
    <row r="36" ht="18.0" customHeight="1">
      <c r="A36" s="63"/>
      <c r="B36" s="63"/>
      <c r="C36" s="71"/>
      <c r="D36" s="63"/>
      <c r="E36" s="63"/>
      <c r="F36" s="63"/>
      <c r="G36" s="63"/>
      <c r="H36" s="71"/>
      <c r="I36" s="63" t="str">
        <f>IFERROR(__xludf.DUMMYFUNCTION("""COMPUTED_VALUE"""),"Băng keo")</f>
        <v>Băng keo</v>
      </c>
      <c r="J36" s="69">
        <f>IFERROR(__xludf.DUMMYFUNCTION("""COMPUTED_VALUE"""),5.0)</f>
        <v>5</v>
      </c>
      <c r="K36" s="69"/>
      <c r="L36" s="65">
        <f>IFERROR(__xludf.DUMMYFUNCTION("""COMPUTED_VALUE"""),46082.0)</f>
        <v>46082</v>
      </c>
      <c r="M36" s="63"/>
      <c r="N36" s="71"/>
      <c r="O36" s="66"/>
      <c r="P36" s="71"/>
      <c r="Q36" s="66"/>
      <c r="R36" s="66"/>
      <c r="S36" s="71"/>
      <c r="T36" s="63" t="str">
        <f>IFERROR(__xludf.DUMMYFUNCTION("""COMPUTED_VALUE"""),"CÔNG TY TNHH CÂY XANH MỘC LAN")</f>
        <v>CÔNG TY TNHH CÂY XANH MỘC LAN</v>
      </c>
      <c r="U36" s="63" t="str">
        <f>IFERROR(__xludf.DUMMYFUNCTION("""COMPUTED_VALUE"""),"Mộc Lan")</f>
        <v>Mộc Lan</v>
      </c>
      <c r="V36" s="63" t="str">
        <f>IFERROR(__xludf.DUMMYFUNCTION("""COMPUTED_VALUE"""),"Số 112/8/2 Tổ 8, khu phố Tân Cang, phường Phước Tân, TP Biên Hòa, tỉnh Đồng Nai")</f>
        <v>Số 112/8/2 Tổ 8, khu phố Tân Cang, phường Phước Tân, TP Biên Hòa, tỉnh Đồng Nai</v>
      </c>
      <c r="W36" s="73" t="str">
        <f>IFERROR(__xludf.DUMMYFUNCTION("""COMPUTED_VALUE"""),"3603725410")</f>
        <v>3603725410</v>
      </c>
      <c r="X36" s="71"/>
      <c r="Y36" s="63"/>
      <c r="Z36" s="63"/>
      <c r="AA36" s="63"/>
      <c r="AB36" s="71"/>
      <c r="AC36" s="63"/>
      <c r="AD36" s="71"/>
      <c r="AE36" s="63"/>
      <c r="AF36" s="71"/>
      <c r="AG36" s="63"/>
      <c r="AH36" s="71"/>
      <c r="AI36" s="63"/>
      <c r="AJ36" s="71"/>
      <c r="AK36" s="63"/>
    </row>
    <row r="37" ht="18.0" customHeight="1">
      <c r="A37" s="63"/>
      <c r="B37" s="63"/>
      <c r="C37" s="71"/>
      <c r="D37" s="63"/>
      <c r="E37" s="63"/>
      <c r="F37" s="63"/>
      <c r="G37" s="63"/>
      <c r="H37" s="71"/>
      <c r="I37" s="63" t="str">
        <f>IFERROR(__xludf.DUMMYFUNCTION("""COMPUTED_VALUE"""),"Cuộn PE")</f>
        <v>Cuộn PE</v>
      </c>
      <c r="J37" s="69">
        <f>IFERROR(__xludf.DUMMYFUNCTION("""COMPUTED_VALUE"""),7.0)</f>
        <v>7</v>
      </c>
      <c r="K37" s="69"/>
      <c r="L37" s="65">
        <f>IFERROR(__xludf.DUMMYFUNCTION("""COMPUTED_VALUE"""),46143.0)</f>
        <v>46143</v>
      </c>
      <c r="M37" s="63"/>
      <c r="N37" s="71"/>
      <c r="O37" s="66"/>
      <c r="P37" s="71"/>
      <c r="Q37" s="66"/>
      <c r="R37" s="66"/>
      <c r="S37" s="71"/>
      <c r="T37" s="63" t="str">
        <f>IFERROR(__xludf.DUMMYFUNCTION("""COMPUTED_VALUE"""),"CÔNG TY TNHH THƯƠNG MẠI HÓA CHẤT NAM BÌNH")</f>
        <v>CÔNG TY TNHH THƯƠNG MẠI HÓA CHẤT NAM BÌNH</v>
      </c>
      <c r="U37" s="63" t="str">
        <f>IFERROR(__xludf.DUMMYFUNCTION("""COMPUTED_VALUE"""),"Nam Bình")</f>
        <v>Nam Bình</v>
      </c>
      <c r="V37" s="63" t="str">
        <f>IFERROR(__xludf.DUMMYFUNCTION("""COMPUTED_VALUE"""),"4/107, Ấp Nhị Tân 2, Xã Tân Thới Nhì, Huyện Hóc Môn, Thành phố Hồ Chí Minh")</f>
        <v>4/107, Ấp Nhị Tân 2, Xã Tân Thới Nhì, Huyện Hóc Môn, Thành phố Hồ Chí Minh</v>
      </c>
      <c r="W37" s="59" t="str">
        <f>IFERROR(__xludf.DUMMYFUNCTION("""COMPUTED_VALUE"""),"0309910935")</f>
        <v>0309910935</v>
      </c>
      <c r="X37" s="71"/>
      <c r="Y37" s="63"/>
      <c r="Z37" s="63"/>
      <c r="AA37" s="63"/>
      <c r="AB37" s="71"/>
      <c r="AC37" s="63"/>
      <c r="AD37" s="71"/>
      <c r="AE37" s="63"/>
      <c r="AF37" s="71"/>
      <c r="AG37" s="63"/>
      <c r="AH37" s="71"/>
      <c r="AI37" s="63"/>
      <c r="AJ37" s="71"/>
      <c r="AK37" s="63"/>
    </row>
    <row r="38" ht="18.0" customHeight="1">
      <c r="A38" s="63"/>
      <c r="B38" s="63"/>
      <c r="C38" s="71"/>
      <c r="D38" s="63"/>
      <c r="E38" s="63"/>
      <c r="F38" s="63"/>
      <c r="G38" s="63"/>
      <c r="H38" s="71"/>
      <c r="I38" s="63" t="str">
        <f>IFERROR(__xludf.DUMMYFUNCTION("""COMPUTED_VALUE"""),"Lon")</f>
        <v>Lon</v>
      </c>
      <c r="J38" s="69">
        <f>IFERROR(__xludf.DUMMYFUNCTION("""COMPUTED_VALUE"""),7.0)</f>
        <v>7</v>
      </c>
      <c r="K38" s="69" t="str">
        <f>IFERROR(__xludf.DUMMYFUNCTION("""COMPUTED_VALUE"""),"Hàng cần thanh toán trước:
- Làm hồ sơ 1 ngày
- Thanh toán 5 ngày
- Sản xuất 0 ngày
- Nhận hàng 2 ngày")</f>
        <v>Hàng cần thanh toán trước:
- Làm hồ sơ 1 ngày
- Thanh toán 5 ngày
- Sản xuất 0 ngày
- Nhận hàng 2 ngày</v>
      </c>
      <c r="L38" s="65">
        <f>IFERROR(__xludf.DUMMYFUNCTION("""COMPUTED_VALUE"""),46174.0)</f>
        <v>46174</v>
      </c>
      <c r="M38" s="63" t="b">
        <f>IFERROR(__xludf.DUMMYFUNCTION("""COMPUTED_VALUE"""),TRUE)</f>
        <v>1</v>
      </c>
      <c r="N38" s="71"/>
      <c r="O38" s="66"/>
      <c r="P38" s="71"/>
      <c r="Q38" s="66"/>
      <c r="R38" s="66"/>
      <c r="S38" s="71"/>
      <c r="T38" s="63" t="str">
        <f>IFERROR(__xludf.DUMMYFUNCTION("""COMPUTED_VALUE"""),"CÔNG TY TNHH XNK KẾT NÔNG")</f>
        <v>CÔNG TY TNHH XNK KẾT NÔNG</v>
      </c>
      <c r="U38" s="63" t="str">
        <f>IFERROR(__xludf.DUMMYFUNCTION("""COMPUTED_VALUE"""),"Kết Nông")</f>
        <v>Kết Nông</v>
      </c>
      <c r="V38" s="63" t="str">
        <f>IFERROR(__xludf.DUMMYFUNCTION("""COMPUTED_VALUE"""),"119/83 Nguyễn Thị Tần, Phường 2, Quận 8, TP HCM")</f>
        <v>119/83 Nguyễn Thị Tần, Phường 2, Quận 8, TP HCM</v>
      </c>
      <c r="W38" s="59" t="str">
        <f>IFERROR(__xludf.DUMMYFUNCTION("""COMPUTED_VALUE"""),"0315006943")</f>
        <v>0315006943</v>
      </c>
      <c r="X38" s="71"/>
      <c r="Y38" s="63"/>
      <c r="Z38" s="63"/>
      <c r="AA38" s="63"/>
      <c r="AB38" s="71"/>
      <c r="AC38" s="63"/>
      <c r="AD38" s="71"/>
      <c r="AE38" s="63"/>
      <c r="AF38" s="71"/>
      <c r="AG38" s="63"/>
      <c r="AH38" s="71"/>
      <c r="AI38" s="63"/>
      <c r="AJ38" s="71"/>
      <c r="AK38" s="63"/>
    </row>
    <row r="39" ht="18.0" customHeight="1">
      <c r="A39" s="63"/>
      <c r="B39" s="63"/>
      <c r="C39" s="71"/>
      <c r="D39" s="63"/>
      <c r="E39" s="63"/>
      <c r="F39" s="63"/>
      <c r="G39" s="63"/>
      <c r="H39" s="71"/>
      <c r="I39" s="63" t="str">
        <f>IFERROR(__xludf.DUMMYFUNCTION("""COMPUTED_VALUE"""),"Lon")</f>
        <v>Lon</v>
      </c>
      <c r="J39" s="69">
        <f>IFERROR(__xludf.DUMMYFUNCTION("""COMPUTED_VALUE"""),15.0)</f>
        <v>15</v>
      </c>
      <c r="K39" s="69" t="str">
        <f>IFERROR(__xludf.DUMMYFUNCTION("""COMPUTED_VALUE"""),"Hàng cần thanh toán trước:
- Làm hồ sơ 1 ngày
- Thanh toán 5 ngày
- Sản xuất 7 ngày
- Nhận hàng 2 ngày")</f>
        <v>Hàng cần thanh toán trước:
- Làm hồ sơ 1 ngày
- Thanh toán 5 ngày
- Sản xuất 7 ngày
- Nhận hàng 2 ngày</v>
      </c>
      <c r="L39" s="65">
        <f>IFERROR(__xludf.DUMMYFUNCTION("""COMPUTED_VALUE"""),46174.0)</f>
        <v>46174</v>
      </c>
      <c r="M39" s="63" t="b">
        <f>IFERROR(__xludf.DUMMYFUNCTION("""COMPUTED_VALUE"""),FALSE)</f>
        <v>0</v>
      </c>
      <c r="N39" s="71"/>
      <c r="O39" s="66"/>
      <c r="P39" s="71"/>
      <c r="Q39" s="66"/>
      <c r="R39" s="66"/>
      <c r="S39" s="71"/>
      <c r="T39" s="63" t="str">
        <f>IFERROR(__xludf.DUMMYFUNCTION("""COMPUTED_VALUE"""),"CÔNG TY TNHH HÓA CHẤT MÊ KÔNG")</f>
        <v>CÔNG TY TNHH HÓA CHẤT MÊ KÔNG</v>
      </c>
      <c r="U39" s="63" t="str">
        <f>IFERROR(__xludf.DUMMYFUNCTION("""COMPUTED_VALUE"""),"Hóa Chất Mê Kông")</f>
        <v>Hóa Chất Mê Kông</v>
      </c>
      <c r="V39" s="63" t="str">
        <f>IFERROR(__xludf.DUMMYFUNCTION("""COMPUTED_VALUE"""),"74A Đường số 18, Phường 8, Quận Gò Vấp, TP.HCM, Việt Nam")</f>
        <v>74A Đường số 18, Phường 8, Quận Gò Vấp, TP.HCM, Việt Nam</v>
      </c>
      <c r="W39" s="59" t="str">
        <f>IFERROR(__xludf.DUMMYFUNCTION("""COMPUTED_VALUE"""),"0304920055")</f>
        <v>0304920055</v>
      </c>
      <c r="X39" s="71"/>
      <c r="Y39" s="63"/>
      <c r="Z39" s="63"/>
      <c r="AA39" s="63"/>
      <c r="AB39" s="71"/>
      <c r="AC39" s="63"/>
      <c r="AD39" s="71"/>
      <c r="AE39" s="63"/>
      <c r="AF39" s="71"/>
      <c r="AG39" s="63"/>
      <c r="AH39" s="71"/>
      <c r="AI39" s="63"/>
      <c r="AJ39" s="71"/>
      <c r="AK39" s="63"/>
    </row>
    <row r="40" ht="18.0" customHeight="1">
      <c r="A40" s="63"/>
      <c r="B40" s="63"/>
      <c r="C40" s="71"/>
      <c r="D40" s="63"/>
      <c r="E40" s="63"/>
      <c r="F40" s="63"/>
      <c r="G40" s="63"/>
      <c r="H40" s="71"/>
      <c r="I40" s="63" t="str">
        <f>IFERROR(__xludf.DUMMYFUNCTION("""COMPUTED_VALUE"""),"VTBB SX")</f>
        <v>VTBB SX</v>
      </c>
      <c r="J40" s="69">
        <f>IFERROR(__xludf.DUMMYFUNCTION("""COMPUTED_VALUE"""),7.0)</f>
        <v>7</v>
      </c>
      <c r="K40" s="69" t="str">
        <f>IFERROR(__xludf.DUMMYFUNCTION("""COMPUTED_VALUE"""),"Hàng cần thanh toán trước:
- Làm hồ sơ 1 ngày
- Thanh toán 5 ngày
- Sản xuất 0 ngày
- Nhận hàng 2 ngày")</f>
        <v>Hàng cần thanh toán trước:
- Làm hồ sơ 1 ngày
- Thanh toán 5 ngày
- Sản xuất 0 ngày
- Nhận hàng 2 ngày</v>
      </c>
      <c r="L40" s="65">
        <f>IFERROR(__xludf.DUMMYFUNCTION("""COMPUTED_VALUE"""),46174.0)</f>
        <v>46174</v>
      </c>
      <c r="M40" s="63" t="b">
        <f>IFERROR(__xludf.DUMMYFUNCTION("""COMPUTED_VALUE"""),TRUE)</f>
        <v>1</v>
      </c>
      <c r="N40" s="71"/>
      <c r="O40" s="66"/>
      <c r="P40" s="71"/>
      <c r="Q40" s="66"/>
      <c r="R40" s="66"/>
      <c r="S40" s="71"/>
      <c r="T40" s="63" t="str">
        <f>IFERROR(__xludf.DUMMYFUNCTION("""COMPUTED_VALUE"""),"CÔNG TY CỔ PHẦN THIẾT BỊ ĐỆ NHẤT")</f>
        <v>CÔNG TY CỔ PHẦN THIẾT BỊ ĐỆ NHẤT</v>
      </c>
      <c r="U40" s="63" t="str">
        <f>IFERROR(__xludf.DUMMYFUNCTION("""COMPUTED_VALUE"""),"Đệ Nhất")</f>
        <v>Đệ Nhất</v>
      </c>
      <c r="V40" s="63" t="str">
        <f>IFERROR(__xludf.DUMMYFUNCTION("""COMPUTED_VALUE"""),"Tầng 3, Phòng 3.07, khu I, Tòa nhà The Prince Residence, số 19-21 Nguyễn Văn Trỗi, Phường 11, Quận Phú Nhuận, Thành phố Hồ Chí Minh, Việt Nam")</f>
        <v>Tầng 3, Phòng 3.07, khu I, Tòa nhà The Prince Residence, số 19-21 Nguyễn Văn Trỗi, Phường 11, Quận Phú Nhuận, Thành phố Hồ Chí Minh, Việt Nam</v>
      </c>
      <c r="W40" s="59" t="str">
        <f>IFERROR(__xludf.DUMMYFUNCTION("""COMPUTED_VALUE"""),"0310937272")</f>
        <v>0310937272</v>
      </c>
      <c r="X40" s="71"/>
      <c r="Y40" s="63"/>
      <c r="Z40" s="63"/>
      <c r="AA40" s="63"/>
      <c r="AB40" s="71"/>
      <c r="AC40" s="63"/>
      <c r="AD40" s="71"/>
      <c r="AE40" s="63"/>
      <c r="AF40" s="71"/>
      <c r="AG40" s="63"/>
      <c r="AH40" s="71"/>
      <c r="AI40" s="63"/>
      <c r="AJ40" s="71"/>
      <c r="AK40" s="63"/>
    </row>
    <row r="41" ht="18.0" customHeight="1">
      <c r="A41" s="63"/>
      <c r="B41" s="63"/>
      <c r="C41" s="71"/>
      <c r="D41" s="63"/>
      <c r="E41" s="63"/>
      <c r="F41" s="63"/>
      <c r="G41" s="63"/>
      <c r="H41" s="71"/>
      <c r="I41" s="63" t="str">
        <f>IFERROR(__xludf.DUMMYFUNCTION("""COMPUTED_VALUE"""),"VTBB SX")</f>
        <v>VTBB SX</v>
      </c>
      <c r="J41" s="69">
        <f>IFERROR(__xludf.DUMMYFUNCTION("""COMPUTED_VALUE"""),15.0)</f>
        <v>15</v>
      </c>
      <c r="K41" s="69" t="str">
        <f>IFERROR(__xludf.DUMMYFUNCTION("""COMPUTED_VALUE"""),"Hàng cần thanh toán trước:
- Làm hồ sơ 1 ngày
- Thanh toán 5 ngày
- Sản xuất 0 ngày
- Nhận hàng 2 ngày")</f>
        <v>Hàng cần thanh toán trước:
- Làm hồ sơ 1 ngày
- Thanh toán 5 ngày
- Sản xuất 0 ngày
- Nhận hàng 2 ngày</v>
      </c>
      <c r="L41" s="65">
        <f>IFERROR(__xludf.DUMMYFUNCTION("""COMPUTED_VALUE"""),46174.0)</f>
        <v>46174</v>
      </c>
      <c r="M41" s="63" t="b">
        <f>IFERROR(__xludf.DUMMYFUNCTION("""COMPUTED_VALUE"""),FALSE)</f>
        <v>0</v>
      </c>
      <c r="N41" s="71"/>
      <c r="O41" s="66"/>
      <c r="P41" s="71"/>
      <c r="Q41" s="66"/>
      <c r="R41" s="66"/>
      <c r="S41" s="71"/>
      <c r="T41" s="63" t="str">
        <f>IFERROR(__xludf.DUMMYFUNCTION("""COMPUTED_VALUE"""),"CÔNG TY TNHH SVC CHEMICAL")</f>
        <v>CÔNG TY TNHH SVC CHEMICAL</v>
      </c>
      <c r="U41" s="63" t="str">
        <f>IFERROR(__xludf.DUMMYFUNCTION("""COMPUTED_VALUE"""),"Svc")</f>
        <v>Svc</v>
      </c>
      <c r="V41" s="63" t="str">
        <f>IFERROR(__xludf.DUMMYFUNCTION("""COMPUTED_VALUE"""),"Số nhà C17, đường số 4, KDC Trần Anh, Ấp Mới 2, Xã Mỹ Hạnh Nam, Huyện Đức Hòa, Tình Long An")</f>
        <v>Số nhà C17, đường số 4, KDC Trần Anh, Ấp Mới 2, Xã Mỹ Hạnh Nam, Huyện Đức Hòa, Tình Long An</v>
      </c>
      <c r="W41" s="73" t="str">
        <f>IFERROR(__xludf.DUMMYFUNCTION("""COMPUTED_VALUE"""),"1101987225")</f>
        <v>1101987225</v>
      </c>
      <c r="X41" s="71"/>
      <c r="Y41" s="63"/>
      <c r="Z41" s="63"/>
      <c r="AA41" s="63"/>
      <c r="AB41" s="71"/>
      <c r="AC41" s="63"/>
      <c r="AD41" s="71"/>
      <c r="AE41" s="63"/>
      <c r="AF41" s="71"/>
      <c r="AG41" s="63"/>
      <c r="AH41" s="71"/>
      <c r="AI41" s="63"/>
      <c r="AJ41" s="71"/>
      <c r="AK41" s="63"/>
    </row>
    <row r="42" ht="18.0" customHeight="1">
      <c r="A42" s="63"/>
      <c r="B42" s="63"/>
      <c r="C42" s="71"/>
      <c r="D42" s="63"/>
      <c r="E42" s="63"/>
      <c r="F42" s="63"/>
      <c r="G42" s="63"/>
      <c r="H42" s="71"/>
      <c r="I42" s="63" t="str">
        <f>IFERROR(__xludf.DUMMYFUNCTION("""COMPUTED_VALUE"""),"Túi Zip")</f>
        <v>Túi Zip</v>
      </c>
      <c r="J42" s="69">
        <f>IFERROR(__xludf.DUMMYFUNCTION("""COMPUTED_VALUE"""),7.0)</f>
        <v>7</v>
      </c>
      <c r="K42" s="69" t="str">
        <f>IFERROR(__xludf.DUMMYFUNCTION("""COMPUTED_VALUE"""),"Hàng cần thanh toán trước:
- Làm hồ sơ 1 ngày
- Thanh toán 5 ngày
- Sản xuất 0 ngày
- Nhận hàng 2 ngày")</f>
        <v>Hàng cần thanh toán trước:
- Làm hồ sơ 1 ngày
- Thanh toán 5 ngày
- Sản xuất 0 ngày
- Nhận hàng 2 ngày</v>
      </c>
      <c r="L42" s="65">
        <f>IFERROR(__xludf.DUMMYFUNCTION("""COMPUTED_VALUE"""),46174.0)</f>
        <v>46174</v>
      </c>
      <c r="M42" s="63"/>
      <c r="N42" s="71"/>
      <c r="O42" s="66"/>
      <c r="P42" s="71"/>
      <c r="Q42" s="66"/>
      <c r="R42" s="66"/>
      <c r="S42" s="71"/>
      <c r="T42" s="63" t="str">
        <f>IFERROR(__xludf.DUMMYFUNCTION("""COMPUTED_VALUE"""),"CÔNG TY TNHH KHẢ DOANH")</f>
        <v>CÔNG TY TNHH KHẢ DOANH</v>
      </c>
      <c r="U42" s="63" t="str">
        <f>IFERROR(__xludf.DUMMYFUNCTION("""COMPUTED_VALUE"""),"Khả Doanh")</f>
        <v>Khả Doanh</v>
      </c>
      <c r="V42" s="63" t="str">
        <f>IFERROR(__xludf.DUMMYFUNCTION("""COMPUTED_VALUE"""),"9/27 Phạm Văn Hai, Phường 1, Quận Tân Bình, TP Hồ Chí Minh")</f>
        <v>9/27 Phạm Văn Hai, Phường 1, Quận Tân Bình, TP Hồ Chí Minh</v>
      </c>
      <c r="W42" s="73" t="str">
        <f>IFERROR(__xludf.DUMMYFUNCTION("""COMPUTED_VALUE"""),"0303557142")</f>
        <v>0303557142</v>
      </c>
      <c r="X42" s="71"/>
      <c r="Y42" s="63"/>
      <c r="Z42" s="63"/>
      <c r="AA42" s="63"/>
      <c r="AB42" s="71"/>
      <c r="AC42" s="63"/>
      <c r="AD42" s="71"/>
      <c r="AE42" s="63"/>
      <c r="AF42" s="71"/>
      <c r="AG42" s="63"/>
      <c r="AH42" s="71"/>
      <c r="AI42" s="63"/>
      <c r="AJ42" s="71"/>
      <c r="AK42" s="63"/>
    </row>
    <row r="43" ht="18.0" customHeight="1">
      <c r="A43" s="63"/>
      <c r="B43" s="63"/>
      <c r="C43" s="71"/>
      <c r="D43" s="63"/>
      <c r="E43" s="63"/>
      <c r="F43" s="63"/>
      <c r="G43" s="63"/>
      <c r="H43" s="71"/>
      <c r="I43" s="63" t="str">
        <f>IFERROR(__xludf.DUMMYFUNCTION("""COMPUTED_VALUE"""),"Túi PA")</f>
        <v>Túi PA</v>
      </c>
      <c r="J43" s="69">
        <f>IFERROR(__xludf.DUMMYFUNCTION("""COMPUTED_VALUE"""),7.0)</f>
        <v>7</v>
      </c>
      <c r="K43" s="69" t="str">
        <f>IFERROR(__xludf.DUMMYFUNCTION("""COMPUTED_VALUE"""),"Hàng cần thanh toán trước:
- Làm hồ sơ 1 ngày
- Thanh toán 5 ngày
- Sản xuất 0 ngày
- Nhận hàng 2 ngày")</f>
        <v>Hàng cần thanh toán trước:
- Làm hồ sơ 1 ngày
- Thanh toán 5 ngày
- Sản xuất 0 ngày
- Nhận hàng 2 ngày</v>
      </c>
      <c r="L43" s="65">
        <f>IFERROR(__xludf.DUMMYFUNCTION("""COMPUTED_VALUE"""),46182.0)</f>
        <v>46182</v>
      </c>
      <c r="M43" s="63"/>
      <c r="N43" s="71"/>
      <c r="O43" s="66"/>
      <c r="P43" s="71"/>
      <c r="Q43" s="66"/>
      <c r="R43" s="66"/>
      <c r="S43" s="71"/>
      <c r="T43" s="63" t="str">
        <f>IFERROR(__xludf.DUMMYFUNCTION("""COMPUTED_VALUE"""),"CÔNG TY TNHH BASEL THỤY SĨ")</f>
        <v>CÔNG TY TNHH BASEL THỤY SĨ</v>
      </c>
      <c r="U43" s="63" t="str">
        <f>IFERROR(__xludf.DUMMYFUNCTION("""COMPUTED_VALUE"""),"Basel Thụy Sĩ")</f>
        <v>Basel Thụy Sĩ</v>
      </c>
      <c r="V43" s="63" t="str">
        <f>IFERROR(__xludf.DUMMYFUNCTION("""COMPUTED_VALUE"""),"Lô H2A đường số 4, KCN Hải Sơn (GĐ 3+4), ấp Bình Tiền 2, Xã Đức Hòa Hạ, Huyện Đức Hoà, Tỉnh Long An")</f>
        <v>Lô H2A đường số 4, KCN Hải Sơn (GĐ 3+4), ấp Bình Tiền 2, Xã Đức Hòa Hạ, Huyện Đức Hoà, Tỉnh Long An</v>
      </c>
      <c r="W43" s="73" t="str">
        <f>IFERROR(__xludf.DUMMYFUNCTION("""COMPUTED_VALUE"""),"1101742391")</f>
        <v>1101742391</v>
      </c>
      <c r="X43" s="71"/>
      <c r="Y43" s="63"/>
      <c r="Z43" s="63"/>
      <c r="AA43" s="63"/>
      <c r="AB43" s="71"/>
      <c r="AC43" s="63"/>
      <c r="AD43" s="71"/>
      <c r="AE43" s="63"/>
      <c r="AF43" s="71"/>
      <c r="AG43" s="63"/>
      <c r="AH43" s="71"/>
      <c r="AI43" s="63"/>
      <c r="AJ43" s="71"/>
      <c r="AK43" s="63"/>
    </row>
    <row r="44" ht="18.0" customHeight="1">
      <c r="A44" s="63"/>
      <c r="B44" s="63"/>
      <c r="C44" s="71"/>
      <c r="D44" s="63"/>
      <c r="E44" s="63"/>
      <c r="F44" s="63"/>
      <c r="G44" s="63"/>
      <c r="H44" s="71"/>
      <c r="I44" s="63" t="str">
        <f>IFERROR(__xludf.DUMMYFUNCTION("""COMPUTED_VALUE"""),"Tank")</f>
        <v>Tank</v>
      </c>
      <c r="J44" s="63">
        <f>IFERROR(__xludf.DUMMYFUNCTION("""COMPUTED_VALUE"""),7.0)</f>
        <v>7</v>
      </c>
      <c r="K44" s="69" t="str">
        <f>IFERROR(__xludf.DUMMYFUNCTION("""COMPUTED_VALUE"""),"Hàng cần thanh toán trước:
- Làm hồ sơ 1 ngày
- Thanh toán 5 ngày
- Sản xuất 0 ngày
- Nhận hàng 2 ngày")</f>
        <v>Hàng cần thanh toán trước:
- Làm hồ sơ 1 ngày
- Thanh toán 5 ngày
- Sản xuất 0 ngày
- Nhận hàng 2 ngày</v>
      </c>
      <c r="L44" s="65">
        <f>IFERROR(__xludf.DUMMYFUNCTION("""COMPUTED_VALUE"""),46182.0)</f>
        <v>46182</v>
      </c>
      <c r="M44" s="63" t="b">
        <f>IFERROR(__xludf.DUMMYFUNCTION("""COMPUTED_VALUE"""),TRUE)</f>
        <v>1</v>
      </c>
      <c r="N44" s="71"/>
      <c r="O44" s="66"/>
      <c r="P44" s="71"/>
      <c r="Q44" s="66"/>
      <c r="R44" s="66"/>
      <c r="S44" s="71"/>
      <c r="T44" s="63" t="str">
        <f>IFERROR(__xludf.DUMMYFUNCTION("""COMPUTED_VALUE"""),"CÔNG TY TNHH DƯỢC LIỆU THIÊN NHIÊN XANH")</f>
        <v>CÔNG TY TNHH DƯỢC LIỆU THIÊN NHIÊN XANH</v>
      </c>
      <c r="U44" s="63" t="str">
        <f>IFERROR(__xludf.DUMMYFUNCTION("""COMPUTED_VALUE"""),"Thiên Nhiên Xanh")</f>
        <v>Thiên Nhiên Xanh</v>
      </c>
      <c r="V44" s="63" t="str">
        <f>IFERROR(__xludf.DUMMYFUNCTION("""COMPUTED_VALUE"""),"85A Ỷ Lan, Phường Hiệp Tân, Quận Tân Phú, Thành phố Hồ Chí Minh, Việt Nam")</f>
        <v>85A Ỷ Lan, Phường Hiệp Tân, Quận Tân Phú, Thành phố Hồ Chí Minh, Việt Nam</v>
      </c>
      <c r="W44" s="73" t="str">
        <f>IFERROR(__xludf.DUMMYFUNCTION("""COMPUTED_VALUE"""),"0314051566")</f>
        <v>0314051566</v>
      </c>
      <c r="X44" s="71"/>
      <c r="Y44" s="63"/>
      <c r="Z44" s="63"/>
      <c r="AA44" s="63"/>
      <c r="AB44" s="71"/>
      <c r="AC44" s="63"/>
      <c r="AD44" s="71"/>
      <c r="AE44" s="63"/>
      <c r="AF44" s="71"/>
      <c r="AG44" s="63"/>
      <c r="AH44" s="71"/>
      <c r="AI44" s="63"/>
      <c r="AJ44" s="71"/>
      <c r="AK44" s="63"/>
    </row>
    <row r="45" ht="18.0" customHeight="1">
      <c r="A45" s="63"/>
      <c r="B45" s="63"/>
      <c r="C45" s="71"/>
      <c r="D45" s="63"/>
      <c r="E45" s="63"/>
      <c r="F45" s="63"/>
      <c r="G45" s="63"/>
      <c r="H45" s="71"/>
      <c r="I45" s="63" t="str">
        <f>IFERROR(__xludf.DUMMYFUNCTION("""COMPUTED_VALUE"""),"Tank")</f>
        <v>Tank</v>
      </c>
      <c r="J45" s="69">
        <f>IFERROR(__xludf.DUMMYFUNCTION("""COMPUTED_VALUE"""),15.0)</f>
        <v>15</v>
      </c>
      <c r="K45" s="69" t="str">
        <f>IFERROR(__xludf.DUMMYFUNCTION("""COMPUTED_VALUE"""),"Hàng cần thanh toán trước:
- Làm hồ sơ 1 ngày
- Thanh toán 5 ngày
- Sản xuất 0 ngày
- Nhận hàng 2 ngày")</f>
        <v>Hàng cần thanh toán trước:
- Làm hồ sơ 1 ngày
- Thanh toán 5 ngày
- Sản xuất 0 ngày
- Nhận hàng 2 ngày</v>
      </c>
      <c r="L45" s="65">
        <f>IFERROR(__xludf.DUMMYFUNCTION("""COMPUTED_VALUE"""),46182.0)</f>
        <v>46182</v>
      </c>
      <c r="M45" s="63" t="b">
        <f>IFERROR(__xludf.DUMMYFUNCTION("""COMPUTED_VALUE"""),FALSE)</f>
        <v>0</v>
      </c>
      <c r="N45" s="71"/>
      <c r="O45" s="66"/>
      <c r="P45" s="71"/>
      <c r="Q45" s="66"/>
      <c r="R45" s="66"/>
      <c r="S45" s="71"/>
      <c r="T45" s="63" t="str">
        <f>IFERROR(__xludf.DUMMYFUNCTION("""COMPUTED_VALUE"""),"CÔNG TY TNHH THỊNH PHÁT VI NA")</f>
        <v>CÔNG TY TNHH THỊNH PHÁT VI NA</v>
      </c>
      <c r="U45" s="63" t="str">
        <f>IFERROR(__xludf.DUMMYFUNCTION("""COMPUTED_VALUE"""),"Thịnh Phát Vi Na")</f>
        <v>Thịnh Phát Vi Na</v>
      </c>
      <c r="V45" s="63" t="str">
        <f>IFERROR(__xludf.DUMMYFUNCTION("""COMPUTED_VALUE"""),"110 Đường số 30, Phường An Lạc, Thành phố Hồ Chí Minh, Việt Nam")</f>
        <v>110 Đường số 30, Phường An Lạc, Thành phố Hồ Chí Minh, Việt Nam</v>
      </c>
      <c r="W45" s="73" t="str">
        <f>IFERROR(__xludf.DUMMYFUNCTION("""COMPUTED_VALUE"""),"0303702463")</f>
        <v>0303702463</v>
      </c>
      <c r="X45" s="71"/>
      <c r="Y45" s="63"/>
      <c r="Z45" s="63"/>
      <c r="AA45" s="63"/>
      <c r="AB45" s="71"/>
      <c r="AC45" s="63"/>
      <c r="AD45" s="71"/>
      <c r="AE45" s="63"/>
      <c r="AF45" s="71"/>
      <c r="AG45" s="63"/>
      <c r="AH45" s="71"/>
      <c r="AI45" s="63"/>
      <c r="AJ45" s="71"/>
      <c r="AK45" s="63"/>
    </row>
    <row r="46" ht="18.0" customHeight="1">
      <c r="A46" s="63"/>
      <c r="B46" s="63"/>
      <c r="C46" s="71"/>
      <c r="D46" s="63"/>
      <c r="E46" s="63"/>
      <c r="F46" s="63"/>
      <c r="G46" s="63"/>
      <c r="H46" s="71"/>
      <c r="I46" s="63" t="str">
        <f>IFERROR(__xludf.DUMMYFUNCTION("""COMPUTED_VALUE"""),"Chai Pet")</f>
        <v>Chai Pet</v>
      </c>
      <c r="J46" s="69">
        <f>IFERROR(__xludf.DUMMYFUNCTION("""COMPUTED_VALUE"""),7.0)</f>
        <v>7</v>
      </c>
      <c r="K46" s="69" t="str">
        <f>IFERROR(__xludf.DUMMYFUNCTION("""COMPUTED_VALUE"""),"Hàng cần thanh toán trước:
- Làm hồ sơ 1 ngày
- Thanh toán 5 ngày
- Sản xuất 0 ngày
- Nhận hàng 2 ngày")</f>
        <v>Hàng cần thanh toán trước:
- Làm hồ sơ 1 ngày
- Thanh toán 5 ngày
- Sản xuất 0 ngày
- Nhận hàng 2 ngày</v>
      </c>
      <c r="L46" s="65">
        <f>IFERROR(__xludf.DUMMYFUNCTION("""COMPUTED_VALUE"""),46082.0)</f>
        <v>46082</v>
      </c>
      <c r="M46" s="63" t="b">
        <f>IFERROR(__xludf.DUMMYFUNCTION("""COMPUTED_VALUE"""),TRUE)</f>
        <v>1</v>
      </c>
      <c r="N46" s="71"/>
      <c r="O46" s="66"/>
      <c r="P46" s="71"/>
      <c r="Q46" s="66"/>
      <c r="R46" s="66"/>
      <c r="S46" s="71"/>
      <c r="T46" s="63" t="str">
        <f>IFERROR(__xludf.DUMMYFUNCTION("""COMPUTED_VALUE"""),"CÔNG TY TNHH SẢN XUẤT VÀ THƯƠNG MẠI NGUYỄN BÁ")</f>
        <v>CÔNG TY TNHH SẢN XUẤT VÀ THƯƠNG MẠI NGUYỄN BÁ</v>
      </c>
      <c r="U46" s="63" t="str">
        <f>IFERROR(__xludf.DUMMYFUNCTION("""COMPUTED_VALUE"""),"Nguyễn Bá")</f>
        <v>Nguyễn Bá</v>
      </c>
      <c r="V46" s="63" t="str">
        <f>IFERROR(__xludf.DUMMYFUNCTION("""COMPUTED_VALUE"""),"10-12 Trung Lang, Phường Bảy Hiền, TP Hồ Chí Minh, Việt Nam")</f>
        <v>10-12 Trung Lang, Phường Bảy Hiền, TP Hồ Chí Minh, Việt Nam</v>
      </c>
      <c r="W46" s="73" t="str">
        <f>IFERROR(__xludf.DUMMYFUNCTION("""COMPUTED_VALUE"""),"0308923441")</f>
        <v>0308923441</v>
      </c>
      <c r="X46" s="71"/>
      <c r="Y46" s="63"/>
      <c r="Z46" s="63"/>
      <c r="AA46" s="63"/>
      <c r="AB46" s="71"/>
      <c r="AC46" s="63"/>
      <c r="AD46" s="71"/>
      <c r="AE46" s="63"/>
      <c r="AF46" s="71"/>
      <c r="AG46" s="63"/>
      <c r="AH46" s="71"/>
      <c r="AI46" s="63"/>
      <c r="AJ46" s="71"/>
      <c r="AK46" s="63"/>
    </row>
    <row r="47" ht="18.0" customHeight="1">
      <c r="A47" s="63"/>
      <c r="B47" s="63"/>
      <c r="C47" s="71"/>
      <c r="D47" s="63"/>
      <c r="E47" s="63"/>
      <c r="F47" s="63"/>
      <c r="G47" s="63"/>
      <c r="H47" s="71"/>
      <c r="I47" s="63" t="str">
        <f>IFERROR(__xludf.DUMMYFUNCTION("""COMPUTED_VALUE"""),"Chai Pet")</f>
        <v>Chai Pet</v>
      </c>
      <c r="J47" s="69">
        <f>IFERROR(__xludf.DUMMYFUNCTION("""COMPUTED_VALUE"""),15.0)</f>
        <v>15</v>
      </c>
      <c r="K47" s="69" t="str">
        <f>IFERROR(__xludf.DUMMYFUNCTION("""COMPUTED_VALUE"""),"Hàng cần thanh toán trước:
- Làm hồ sơ 1 ngày
- Thanh toán 5 ngày
- Sản xuất 7 ngày
- Nhận hàng 2 ngày")</f>
        <v>Hàng cần thanh toán trước:
- Làm hồ sơ 1 ngày
- Thanh toán 5 ngày
- Sản xuất 7 ngày
- Nhận hàng 2 ngày</v>
      </c>
      <c r="L47" s="65">
        <f>IFERROR(__xludf.DUMMYFUNCTION("""COMPUTED_VALUE"""),46082.0)</f>
        <v>46082</v>
      </c>
      <c r="M47" s="63" t="b">
        <f>IFERROR(__xludf.DUMMYFUNCTION("""COMPUTED_VALUE"""),FALSE)</f>
        <v>0</v>
      </c>
      <c r="N47" s="71"/>
      <c r="O47" s="66"/>
      <c r="P47" s="71"/>
      <c r="Q47" s="66"/>
      <c r="R47" s="66"/>
      <c r="S47" s="71"/>
      <c r="T47" s="63" t="str">
        <f>IFERROR(__xludf.DUMMYFUNCTION("""COMPUTED_VALUE"""),"CÔNG TY CỔ PHẦN XUẤT NHẬP KHẨU THƯƠNG MẠI SẢN XUẤT HÓA CHẤT THUẬN DUYÊN")</f>
        <v>CÔNG TY CỔ PHẦN XUẤT NHẬP KHẨU THƯƠNG MẠI SẢN XUẤT HÓA CHẤT THUẬN DUYÊN</v>
      </c>
      <c r="U47" s="63" t="str">
        <f>IFERROR(__xludf.DUMMYFUNCTION("""COMPUTED_VALUE"""),"Thuận Duyên")</f>
        <v>Thuận Duyên</v>
      </c>
      <c r="V47" s="63" t="str">
        <f>IFERROR(__xludf.DUMMYFUNCTION("""COMPUTED_VALUE"""),"49/6G Bà Điểm 11, Ấp Đông Lân, Xã Bà Điểm, TP Hồ Chí Minh, Việt Nam")</f>
        <v>49/6G Bà Điểm 11, Ấp Đông Lân, Xã Bà Điểm, TP Hồ Chí Minh, Việt Nam</v>
      </c>
      <c r="W47" s="73" t="str">
        <f>IFERROR(__xludf.DUMMYFUNCTION("""COMPUTED_VALUE"""),"0311269934")</f>
        <v>0311269934</v>
      </c>
      <c r="X47" s="71"/>
      <c r="Y47" s="63"/>
      <c r="Z47" s="63"/>
      <c r="AA47" s="63"/>
      <c r="AB47" s="71"/>
      <c r="AC47" s="63"/>
      <c r="AD47" s="71"/>
      <c r="AE47" s="63"/>
      <c r="AF47" s="71"/>
      <c r="AG47" s="63"/>
      <c r="AH47" s="71"/>
      <c r="AI47" s="63"/>
      <c r="AJ47" s="71"/>
      <c r="AK47" s="63"/>
    </row>
    <row r="48" ht="18.0" customHeight="1">
      <c r="A48" s="63"/>
      <c r="B48" s="63"/>
      <c r="C48" s="71"/>
      <c r="D48" s="63"/>
      <c r="E48" s="63"/>
      <c r="F48" s="63"/>
      <c r="G48" s="63"/>
      <c r="H48" s="71"/>
      <c r="I48" s="63" t="str">
        <f>IFERROR(__xludf.DUMMYFUNCTION("""COMPUTED_VALUE"""),"Chai Hdpe")</f>
        <v>Chai Hdpe</v>
      </c>
      <c r="J48" s="69">
        <f>IFERROR(__xludf.DUMMYFUNCTION("""COMPUTED_VALUE"""),7.0)</f>
        <v>7</v>
      </c>
      <c r="K48" s="69" t="str">
        <f>IFERROR(__xludf.DUMMYFUNCTION("""COMPUTED_VALUE"""),"Hàng cần thanh toán trước:
- Làm hồ sơ 1 ngày
- Thanh toán 5 ngày
- Sản xuất 0 ngày
- Nhận hàng 2 ngày")</f>
        <v>Hàng cần thanh toán trước:
- Làm hồ sơ 1 ngày
- Thanh toán 5 ngày
- Sản xuất 0 ngày
- Nhận hàng 2 ngày</v>
      </c>
      <c r="L48" s="65">
        <f>IFERROR(__xludf.DUMMYFUNCTION("""COMPUTED_VALUE"""),46082.0)</f>
        <v>46082</v>
      </c>
      <c r="M48" s="63" t="b">
        <f>IFERROR(__xludf.DUMMYFUNCTION("""COMPUTED_VALUE"""),TRUE)</f>
        <v>1</v>
      </c>
      <c r="N48" s="71"/>
      <c r="O48" s="66"/>
      <c r="P48" s="71"/>
      <c r="Q48" s="66"/>
      <c r="R48" s="66"/>
      <c r="S48" s="71"/>
      <c r="T48" s="63" t="str">
        <f>IFERROR(__xludf.DUMMYFUNCTION("""COMPUTED_VALUE"""),"CÔNG TY CỔ PHẦN VIỆT MỸ CẦN THƠ")</f>
        <v>CÔNG TY CỔ PHẦN VIỆT MỸ CẦN THƠ</v>
      </c>
      <c r="U48" s="63" t="str">
        <f>IFERROR(__xludf.DUMMYFUNCTION("""COMPUTED_VALUE"""),"Việt Mỹ")</f>
        <v>Việt Mỹ</v>
      </c>
      <c r="V48" s="76" t="str">
        <f>IFERROR(__xludf.DUMMYFUNCTION("""COMPUTED_VALUE""")," M40- đường 3A- KDC Hưng Phú 1- Quận Cái Răng- TP.Cần Thơ ")</f>
        <v>M40- đường 3A- KDC Hưng Phú 1- Quận Cái Răng- TP.Cần Thơ</v>
      </c>
      <c r="W48" s="73" t="str">
        <f>IFERROR(__xludf.DUMMYFUNCTION("""COMPUTED_VALUE"""),"1801548985")</f>
        <v>1801548985</v>
      </c>
      <c r="X48" s="71"/>
      <c r="Y48" s="63"/>
      <c r="Z48" s="63"/>
      <c r="AA48" s="63"/>
      <c r="AB48" s="71"/>
      <c r="AC48" s="63"/>
      <c r="AD48" s="71"/>
      <c r="AE48" s="63"/>
      <c r="AF48" s="71"/>
      <c r="AG48" s="63"/>
      <c r="AH48" s="71"/>
      <c r="AI48" s="63"/>
      <c r="AJ48" s="71"/>
      <c r="AK48" s="63"/>
    </row>
    <row r="49" ht="18.0" customHeight="1">
      <c r="A49" s="63"/>
      <c r="B49" s="63"/>
      <c r="C49" s="71"/>
      <c r="D49" s="63"/>
      <c r="E49" s="63"/>
      <c r="F49" s="63"/>
      <c r="G49" s="63"/>
      <c r="H49" s="71"/>
      <c r="I49" s="63" t="str">
        <f>IFERROR(__xludf.DUMMYFUNCTION("""COMPUTED_VALUE"""),"Chai Hdpe")</f>
        <v>Chai Hdpe</v>
      </c>
      <c r="J49" s="69">
        <f>IFERROR(__xludf.DUMMYFUNCTION("""COMPUTED_VALUE"""),15.0)</f>
        <v>15</v>
      </c>
      <c r="K49" s="69" t="str">
        <f>IFERROR(__xludf.DUMMYFUNCTION("""COMPUTED_VALUE"""),"Hàng cần thanh toán trước:
- Làm hồ sơ 1 ngày
- Thanh toán 5 ngày
- Sản xuất 7 ngày
- Nhận hàng 2 ngày")</f>
        <v>Hàng cần thanh toán trước:
- Làm hồ sơ 1 ngày
- Thanh toán 5 ngày
- Sản xuất 7 ngày
- Nhận hàng 2 ngày</v>
      </c>
      <c r="L49" s="65">
        <f>IFERROR(__xludf.DUMMYFUNCTION("""COMPUTED_VALUE"""),46082.0)</f>
        <v>46082</v>
      </c>
      <c r="M49" s="63" t="b">
        <f>IFERROR(__xludf.DUMMYFUNCTION("""COMPUTED_VALUE"""),FALSE)</f>
        <v>0</v>
      </c>
      <c r="N49" s="71"/>
      <c r="O49" s="66"/>
      <c r="P49" s="71"/>
      <c r="Q49" s="66"/>
      <c r="R49" s="66"/>
      <c r="S49" s="71"/>
      <c r="T49" s="63" t="str">
        <f>IFERROR(__xludf.DUMMYFUNCTION("""COMPUTED_VALUE"""),"CÔNG TY CỔ PHẦN XUẤT NHẬP KHẨU CHÂU NGÂN")</f>
        <v>CÔNG TY CỔ PHẦN XUẤT NHẬP KHẨU CHÂU NGÂN</v>
      </c>
      <c r="U49" s="63" t="str">
        <f>IFERROR(__xludf.DUMMYFUNCTION("""COMPUTED_VALUE"""),"Châu Ngân")</f>
        <v>Châu Ngân</v>
      </c>
      <c r="V49" s="76" t="str">
        <f>IFERROR(__xludf.DUMMYFUNCTION("""COMPUTED_VALUE""")," 71 Đường Số 27, KDC Tân Quy Đông, Phường Tân Hưng, Thành phố Hồ Chí Minh, Việt Nam ")</f>
        <v>71 Đường Số 27, KDC Tân Quy Đông, Phường Tân Hưng, Thành phố Hồ Chí Minh, Việt Nam</v>
      </c>
      <c r="W49" s="73" t="str">
        <f>IFERROR(__xludf.DUMMYFUNCTION("""COMPUTED_VALUE"""),"0309818111")</f>
        <v>0309818111</v>
      </c>
      <c r="X49" s="71"/>
      <c r="Y49" s="63"/>
      <c r="Z49" s="63"/>
      <c r="AA49" s="63"/>
      <c r="AB49" s="71"/>
      <c r="AC49" s="63"/>
      <c r="AD49" s="71"/>
      <c r="AE49" s="63"/>
      <c r="AF49" s="71"/>
      <c r="AG49" s="63"/>
      <c r="AH49" s="71"/>
      <c r="AI49" s="63"/>
      <c r="AJ49" s="71"/>
      <c r="AK49" s="63"/>
    </row>
    <row r="50" ht="18.0" customHeight="1">
      <c r="A50" s="63"/>
      <c r="B50" s="63"/>
      <c r="C50" s="71"/>
      <c r="D50" s="63"/>
      <c r="E50" s="63"/>
      <c r="F50" s="63"/>
      <c r="G50" s="63"/>
      <c r="H50" s="71"/>
      <c r="I50" s="63" t="str">
        <f>IFERROR(__xludf.DUMMYFUNCTION("""COMPUTED_VALUE"""),"Chai Pape")</f>
        <v>Chai Pape</v>
      </c>
      <c r="J50" s="69">
        <f>IFERROR(__xludf.DUMMYFUNCTION("""COMPUTED_VALUE"""),7.0)</f>
        <v>7</v>
      </c>
      <c r="K50" s="69" t="str">
        <f>IFERROR(__xludf.DUMMYFUNCTION("""COMPUTED_VALUE"""),"Hàng cần thanh toán trước:
- Làm hồ sơ 1 ngày
- Thanh toán 5 ngày
- Sản xuất 0 ngày
- Nhận hàng 2 ngày")</f>
        <v>Hàng cần thanh toán trước:
- Làm hồ sơ 1 ngày
- Thanh toán 5 ngày
- Sản xuất 0 ngày
- Nhận hàng 2 ngày</v>
      </c>
      <c r="L50" s="65">
        <f>IFERROR(__xludf.DUMMYFUNCTION("""COMPUTED_VALUE"""),46082.0)</f>
        <v>46082</v>
      </c>
      <c r="M50" s="63" t="b">
        <f>IFERROR(__xludf.DUMMYFUNCTION("""COMPUTED_VALUE"""),TRUE)</f>
        <v>1</v>
      </c>
      <c r="N50" s="71"/>
      <c r="O50" s="66"/>
      <c r="P50" s="71"/>
      <c r="Q50" s="66"/>
      <c r="R50" s="66"/>
      <c r="S50" s="71"/>
      <c r="T50" s="63" t="str">
        <f>IFERROR(__xludf.DUMMYFUNCTION("""COMPUTED_VALUE"""),"CÔNG TY TNHH THIẾT BỊ - HÓA CHẤT KHOA HỌC KỸ THUẬT AN KHÁNH")</f>
        <v>CÔNG TY TNHH THIẾT BỊ - HÓA CHẤT KHOA HỌC KỸ THUẬT AN KHÁNH</v>
      </c>
      <c r="U50" s="63" t="str">
        <f>IFERROR(__xludf.DUMMYFUNCTION("""COMPUTED_VALUE"""),"An Khánh")</f>
        <v>An Khánh</v>
      </c>
      <c r="V50" s="76" t="str">
        <f>IFERROR(__xludf.DUMMYFUNCTION("""COMPUTED_VALUE""")," 43, đường 14, Khu tái định cư Thới Nhựt, Phường Tân An, TP Cần Thơ, Việt Nam ")</f>
        <v>43, đường 14, Khu tái định cư Thới Nhựt, Phường Tân An, TP Cần Thơ, Việt Nam</v>
      </c>
      <c r="W50" s="73" t="str">
        <f>IFERROR(__xludf.DUMMYFUNCTION("""COMPUTED_VALUE"""),"1800702458")</f>
        <v>1800702458</v>
      </c>
      <c r="X50" s="71"/>
      <c r="Y50" s="63"/>
      <c r="Z50" s="63"/>
      <c r="AA50" s="63"/>
      <c r="AB50" s="71"/>
      <c r="AC50" s="63"/>
      <c r="AD50" s="71"/>
      <c r="AE50" s="63"/>
      <c r="AF50" s="71"/>
      <c r="AG50" s="63"/>
      <c r="AH50" s="71"/>
      <c r="AI50" s="63"/>
      <c r="AJ50" s="71"/>
      <c r="AK50" s="63"/>
    </row>
    <row r="51" ht="18.0" customHeight="1">
      <c r="A51" s="63"/>
      <c r="B51" s="63"/>
      <c r="C51" s="71"/>
      <c r="D51" s="63"/>
      <c r="E51" s="63"/>
      <c r="F51" s="63"/>
      <c r="G51" s="63"/>
      <c r="H51" s="71"/>
      <c r="I51" s="63" t="str">
        <f>IFERROR(__xludf.DUMMYFUNCTION("""COMPUTED_VALUE"""),"Chai Pape")</f>
        <v>Chai Pape</v>
      </c>
      <c r="J51" s="69">
        <f>IFERROR(__xludf.DUMMYFUNCTION("""COMPUTED_VALUE"""),15.0)</f>
        <v>15</v>
      </c>
      <c r="K51" s="69" t="str">
        <f>IFERROR(__xludf.DUMMYFUNCTION("""COMPUTED_VALUE"""),"Hàng cần thanh toán trước:
- Làm hồ sơ 1 ngày
- Thanh toán 5 ngày
- Sản xuất 7 ngày
- Nhận hàng 2 ngày")</f>
        <v>Hàng cần thanh toán trước:
- Làm hồ sơ 1 ngày
- Thanh toán 5 ngày
- Sản xuất 7 ngày
- Nhận hàng 2 ngày</v>
      </c>
      <c r="L51" s="65">
        <f>IFERROR(__xludf.DUMMYFUNCTION("""COMPUTED_VALUE"""),46082.0)</f>
        <v>46082</v>
      </c>
      <c r="M51" s="63" t="b">
        <f>IFERROR(__xludf.DUMMYFUNCTION("""COMPUTED_VALUE"""),FALSE)</f>
        <v>0</v>
      </c>
      <c r="N51" s="71"/>
      <c r="O51" s="66"/>
      <c r="P51" s="71"/>
      <c r="Q51" s="66"/>
      <c r="R51" s="66"/>
      <c r="S51" s="71"/>
      <c r="T51" s="63" t="str">
        <f>IFERROR(__xludf.DUMMYFUNCTION("""COMPUTED_VALUE"""),"CÔNG TY TNHH NUTIFER VN")</f>
        <v>CÔNG TY TNHH NUTIFER VN</v>
      </c>
      <c r="U51" s="63" t="str">
        <f>IFERROR(__xludf.DUMMYFUNCTION("""COMPUTED_VALUE"""),"Nutifer Vn")</f>
        <v>Nutifer Vn</v>
      </c>
      <c r="V51" s="76" t="str">
        <f>IFERROR(__xludf.DUMMYFUNCTION("""COMPUTED_VALUE""")," Lô D01A, CCN Đức Thuận, KCN Đức Hoà 3, Ấp Tràm Lạc, Xã Đức Lập, Tỉnh Tây Ninh, Việt Nam ")</f>
        <v>Lô D01A, CCN Đức Thuận, KCN Đức Hoà 3, Ấp Tràm Lạc, Xã Đức Lập, Tỉnh Tây Ninh, Việt Nam</v>
      </c>
      <c r="W51" s="59" t="str">
        <f>IFERROR(__xludf.DUMMYFUNCTION("""COMPUTED_VALUE"""),"1101793371")</f>
        <v>1101793371</v>
      </c>
      <c r="X51" s="71"/>
      <c r="Y51" s="63"/>
      <c r="Z51" s="63"/>
      <c r="AA51" s="63"/>
      <c r="AB51" s="71"/>
      <c r="AC51" s="63"/>
      <c r="AD51" s="71"/>
      <c r="AE51" s="63"/>
      <c r="AF51" s="71"/>
      <c r="AG51" s="63"/>
      <c r="AH51" s="71"/>
      <c r="AI51" s="63"/>
      <c r="AJ51" s="71"/>
      <c r="AK51" s="63"/>
    </row>
    <row r="52" ht="18.0" customHeight="1">
      <c r="A52" s="63"/>
      <c r="B52" s="63"/>
      <c r="C52" s="71"/>
      <c r="D52" s="63"/>
      <c r="E52" s="63"/>
      <c r="F52" s="63"/>
      <c r="G52" s="63"/>
      <c r="H52" s="71"/>
      <c r="I52" s="63" t="str">
        <f>IFERROR(__xludf.DUMMYFUNCTION("""COMPUTED_VALUE"""),"Chai Nhôm nhập khẩu")</f>
        <v>Chai Nhôm nhập khẩu</v>
      </c>
      <c r="J52" s="69">
        <f>IFERROR(__xludf.DUMMYFUNCTION("""COMPUTED_VALUE"""),33.0)</f>
        <v>33</v>
      </c>
      <c r="K52" s="69" t="str">
        <f>IFERROR(__xludf.DUMMYFUNCTION("""COMPUTED_VALUE"""),"Hàng cần thanh toán trước:
- Làm hồ sơ 1 ngày
- Nhập khẩu : 25 ngày
- Thanh toán 5 ngày
- Nhận hàng 2 ngày
(Thông tin tham khảo từ Ms Ly/ Thu mua check lại)")</f>
        <v>Hàng cần thanh toán trước:
- Làm hồ sơ 1 ngày
- Nhập khẩu : 25 ngày
- Thanh toán 5 ngày
- Nhận hàng 2 ngày
(Thông tin tham khảo từ Ms Ly/ Thu mua check lại)</v>
      </c>
      <c r="L52" s="65">
        <f>IFERROR(__xludf.DUMMYFUNCTION("""COMPUTED_VALUE"""),46082.0)</f>
        <v>46082</v>
      </c>
      <c r="M52" s="63" t="b">
        <f>IFERROR(__xludf.DUMMYFUNCTION("""COMPUTED_VALUE"""),FALSE)</f>
        <v>0</v>
      </c>
      <c r="N52" s="71"/>
      <c r="O52" s="66"/>
      <c r="P52" s="71"/>
      <c r="Q52" s="66"/>
      <c r="R52" s="66"/>
      <c r="S52" s="71"/>
      <c r="T52" s="63" t="str">
        <f>IFERROR(__xludf.DUMMYFUNCTION("""COMPUTED_VALUE"""),"CÔNG TY TNHH TM HIỀN PHAN LONG AN")</f>
        <v>CÔNG TY TNHH TM HIỀN PHAN LONG AN</v>
      </c>
      <c r="U52" s="63" t="str">
        <f>IFERROR(__xludf.DUMMYFUNCTION("""COMPUTED_VALUE"""),"Hiền Phan Long An")</f>
        <v>Hiền Phan Long An</v>
      </c>
      <c r="V52" s="76" t="str">
        <f>IFERROR(__xludf.DUMMYFUNCTION("""COMPUTED_VALUE""")," Lô A5.1, Đường số 1, KCN Đức Hòa III - Tập Đoàn Tân Á Đại Thành, Ấp Đức Hạnh 2, Xã Đức Lập, Tỉnh Tây Ninh, Việt Nam ")</f>
        <v>Lô A5.1, Đường số 1, KCN Đức Hòa III - Tập Đoàn Tân Á Đại Thành, Ấp Đức Hạnh 2, Xã Đức Lập, Tỉnh Tây Ninh, Việt Nam</v>
      </c>
      <c r="W52" s="73" t="str">
        <f>IFERROR(__xludf.DUMMYFUNCTION("""COMPUTED_VALUE"""),"1102007045")</f>
        <v>1102007045</v>
      </c>
      <c r="X52" s="71"/>
      <c r="Y52" s="63"/>
      <c r="Z52" s="63"/>
      <c r="AA52" s="63"/>
      <c r="AB52" s="71"/>
      <c r="AC52" s="63"/>
      <c r="AD52" s="71"/>
      <c r="AE52" s="63"/>
      <c r="AF52" s="71"/>
      <c r="AG52" s="63"/>
      <c r="AH52" s="71"/>
      <c r="AI52" s="63"/>
      <c r="AJ52" s="71"/>
      <c r="AK52" s="63"/>
    </row>
    <row r="53" ht="18.0" customHeight="1">
      <c r="A53" s="63"/>
      <c r="B53" s="63"/>
      <c r="C53" s="71"/>
      <c r="D53" s="63"/>
      <c r="E53" s="63"/>
      <c r="F53" s="63"/>
      <c r="G53" s="63"/>
      <c r="H53" s="71"/>
      <c r="I53" s="63" t="str">
        <f>IFERROR(__xludf.DUMMYFUNCTION("""COMPUTED_VALUE"""),"Chai Pet giả nhôm")</f>
        <v>Chai Pet giả nhôm</v>
      </c>
      <c r="J53" s="69">
        <f>IFERROR(__xludf.DUMMYFUNCTION("""COMPUTED_VALUE"""),7.0)</f>
        <v>7</v>
      </c>
      <c r="K53" s="69"/>
      <c r="L53" s="65">
        <f>IFERROR(__xludf.DUMMYFUNCTION("""COMPUTED_VALUE"""),46082.0)</f>
        <v>46082</v>
      </c>
      <c r="M53" s="63" t="b">
        <f>IFERROR(__xludf.DUMMYFUNCTION("""COMPUTED_VALUE"""),TRUE)</f>
        <v>1</v>
      </c>
      <c r="N53" s="71"/>
      <c r="O53" s="66"/>
      <c r="P53" s="71"/>
      <c r="Q53" s="66"/>
      <c r="R53" s="66"/>
      <c r="S53" s="71"/>
      <c r="T53" s="63" t="str">
        <f>IFERROR(__xludf.DUMMYFUNCTION("""COMPUTED_VALUE"""),"CÔNG TY CỔ PHẦN CVGREEN")</f>
        <v>CÔNG TY CỔ PHẦN CVGREEN</v>
      </c>
      <c r="U53" s="63" t="str">
        <f>IFERROR(__xludf.DUMMYFUNCTION("""COMPUTED_VALUE"""),"Cvgr")</f>
        <v>Cvgr</v>
      </c>
      <c r="V53" s="76" t="str">
        <f>IFERROR(__xludf.DUMMYFUNCTION("""COMPUTED_VALUE""")," 14/4 Thạnh Xuân 18, Phường Thới An, Thành Phố Hồ Chí Minh, Việt Nam ")</f>
        <v>14/4 Thạnh Xuân 18, Phường Thới An, Thành Phố Hồ Chí Minh, Việt Nam</v>
      </c>
      <c r="W53" s="59" t="str">
        <f>IFERROR(__xludf.DUMMYFUNCTION("""COMPUTED_VALUE"""),"0316184314")</f>
        <v>0316184314</v>
      </c>
      <c r="X53" s="71"/>
      <c r="Y53" s="63"/>
      <c r="Z53" s="63"/>
      <c r="AA53" s="63"/>
      <c r="AB53" s="71"/>
      <c r="AC53" s="63"/>
      <c r="AD53" s="71"/>
      <c r="AE53" s="63"/>
      <c r="AF53" s="71"/>
      <c r="AG53" s="63"/>
      <c r="AH53" s="71"/>
      <c r="AI53" s="63"/>
      <c r="AJ53" s="71"/>
      <c r="AK53" s="63"/>
    </row>
    <row r="54" ht="18.0" customHeight="1">
      <c r="A54" s="63"/>
      <c r="B54" s="63"/>
      <c r="C54" s="71"/>
      <c r="D54" s="63"/>
      <c r="E54" s="63"/>
      <c r="F54" s="63"/>
      <c r="G54" s="63"/>
      <c r="H54" s="71"/>
      <c r="I54" s="63" t="str">
        <f>IFERROR(__xludf.DUMMYFUNCTION("""COMPUTED_VALUE"""),"Chai Pet giả nhôm")</f>
        <v>Chai Pet giả nhôm</v>
      </c>
      <c r="J54" s="69">
        <f>IFERROR(__xludf.DUMMYFUNCTION("""COMPUTED_VALUE"""),15.0)</f>
        <v>15</v>
      </c>
      <c r="K54" s="69"/>
      <c r="L54" s="65">
        <f>IFERROR(__xludf.DUMMYFUNCTION("""COMPUTED_VALUE"""),46082.0)</f>
        <v>46082</v>
      </c>
      <c r="M54" s="63" t="b">
        <f>IFERROR(__xludf.DUMMYFUNCTION("""COMPUTED_VALUE"""),FALSE)</f>
        <v>0</v>
      </c>
      <c r="N54" s="71"/>
      <c r="O54" s="66"/>
      <c r="P54" s="71"/>
      <c r="Q54" s="66"/>
      <c r="R54" s="66"/>
      <c r="S54" s="71"/>
      <c r="T54" s="63" t="str">
        <f>IFERROR(__xludf.DUMMYFUNCTION("""COMPUTED_VALUE"""),"CÔNG TY TNHH THƯƠNG MẠI DỊCH VỤ NAMSIANG VIỆT NAM")</f>
        <v>CÔNG TY TNHH THƯƠNG MẠI DỊCH VỤ NAMSIANG VIỆT NAM</v>
      </c>
      <c r="U54" s="63" t="str">
        <f>IFERROR(__xludf.DUMMYFUNCTION("""COMPUTED_VALUE"""),"Namsiang")</f>
        <v>Namsiang</v>
      </c>
      <c r="V54" s="76" t="str">
        <f>IFERROR(__xludf.DUMMYFUNCTION("""COMPUTED_VALUE""")," 180/21 Lý Thánh Tông, Phường Phú Thạnh, Thành phố Hồ Chí Minh, Việt Nam ")</f>
        <v>180/21 Lý Thánh Tông, Phường Phú Thạnh, Thành phố Hồ Chí Minh, Việt Nam</v>
      </c>
      <c r="W54" s="73" t="str">
        <f>IFERROR(__xludf.DUMMYFUNCTION("""COMPUTED_VALUE"""),"0310194210")</f>
        <v>0310194210</v>
      </c>
      <c r="X54" s="71"/>
      <c r="Y54" s="63"/>
      <c r="Z54" s="63"/>
      <c r="AA54" s="63"/>
      <c r="AB54" s="71"/>
      <c r="AC54" s="63"/>
      <c r="AD54" s="71"/>
      <c r="AE54" s="63"/>
      <c r="AF54" s="71"/>
      <c r="AG54" s="63"/>
      <c r="AH54" s="71"/>
      <c r="AI54" s="63"/>
      <c r="AJ54" s="71"/>
      <c r="AK54" s="63"/>
    </row>
    <row r="55" ht="18.0" customHeight="1">
      <c r="A55" s="63"/>
      <c r="B55" s="63"/>
      <c r="C55" s="71"/>
      <c r="D55" s="63"/>
      <c r="E55" s="63"/>
      <c r="F55" s="63"/>
      <c r="G55" s="63"/>
      <c r="H55" s="71"/>
      <c r="I55" s="63" t="str">
        <f>IFERROR(__xludf.DUMMYFUNCTION("""COMPUTED_VALUE"""),"Chai HD giả nhôm")</f>
        <v>Chai HD giả nhôm</v>
      </c>
      <c r="J55" s="69">
        <f>IFERROR(__xludf.DUMMYFUNCTION("""COMPUTED_VALUE"""),7.0)</f>
        <v>7</v>
      </c>
      <c r="K55" s="63"/>
      <c r="L55" s="65">
        <f>IFERROR(__xludf.DUMMYFUNCTION("""COMPUTED_VALUE"""),46082.0)</f>
        <v>46082</v>
      </c>
      <c r="M55" s="63" t="b">
        <f>IFERROR(__xludf.DUMMYFUNCTION("""COMPUTED_VALUE"""),TRUE)</f>
        <v>1</v>
      </c>
      <c r="N55" s="71"/>
      <c r="O55" s="66"/>
      <c r="P55" s="71"/>
      <c r="Q55" s="66"/>
      <c r="R55" s="66"/>
      <c r="S55" s="71"/>
      <c r="T55" s="63" t="str">
        <f>IFERROR(__xludf.DUMMYFUNCTION("""COMPUTED_VALUE"""),"CÔNG TY TNHH NAM HÀ")</f>
        <v>CÔNG TY TNHH NAM HÀ</v>
      </c>
      <c r="U55" s="63" t="str">
        <f>IFERROR(__xludf.DUMMYFUNCTION("""COMPUTED_VALUE"""),"Nam Hà")</f>
        <v>Nam Hà</v>
      </c>
      <c r="V55" s="76" t="str">
        <f>IFERROR(__xludf.DUMMYFUNCTION("""COMPUTED_VALUE""")," 103 Lý Tự Trọng, Phường Ninh Kiều, Thành phố Cần Thơ ")</f>
        <v>103 Lý Tự Trọng, Phường Ninh Kiều, Thành phố Cần Thơ</v>
      </c>
      <c r="W55" s="73" t="str">
        <f>IFERROR(__xludf.DUMMYFUNCTION("""COMPUTED_VALUE"""),"1800567865")</f>
        <v>1800567865</v>
      </c>
      <c r="X55" s="71"/>
      <c r="Y55" s="63"/>
      <c r="Z55" s="63"/>
      <c r="AA55" s="63"/>
      <c r="AB55" s="71"/>
      <c r="AC55" s="63"/>
      <c r="AD55" s="71"/>
      <c r="AE55" s="63"/>
      <c r="AF55" s="71"/>
      <c r="AG55" s="63"/>
      <c r="AH55" s="71"/>
      <c r="AI55" s="63"/>
      <c r="AJ55" s="71"/>
      <c r="AK55" s="63"/>
    </row>
    <row r="56" ht="18.0" customHeight="1">
      <c r="A56" s="63"/>
      <c r="B56" s="63"/>
      <c r="C56" s="71"/>
      <c r="D56" s="63"/>
      <c r="E56" s="63"/>
      <c r="F56" s="63"/>
      <c r="G56" s="63"/>
      <c r="H56" s="71"/>
      <c r="I56" s="63" t="str">
        <f>IFERROR(__xludf.DUMMYFUNCTION("""COMPUTED_VALUE"""),"Chai HD giả nhôm")</f>
        <v>Chai HD giả nhôm</v>
      </c>
      <c r="J56" s="69">
        <f>IFERROR(__xludf.DUMMYFUNCTION("""COMPUTED_VALUE"""),15.0)</f>
        <v>15</v>
      </c>
      <c r="K56" s="63"/>
      <c r="L56" s="65">
        <f>IFERROR(__xludf.DUMMYFUNCTION("""COMPUTED_VALUE"""),46082.0)</f>
        <v>46082</v>
      </c>
      <c r="M56" s="63" t="b">
        <f>IFERROR(__xludf.DUMMYFUNCTION("""COMPUTED_VALUE"""),FALSE)</f>
        <v>0</v>
      </c>
      <c r="N56" s="71"/>
      <c r="O56" s="66"/>
      <c r="P56" s="71"/>
      <c r="Q56" s="66"/>
      <c r="R56" s="66"/>
      <c r="S56" s="71"/>
      <c r="T56" s="63" t="str">
        <f>IFERROR(__xludf.DUMMYFUNCTION("""COMPUTED_VALUE"""),"CÔNG TY TNHH SẢN XUẤT VÀ THƯƠNG MẠI DƯỢC LIỆU KỲ ANH")</f>
        <v>CÔNG TY TNHH SẢN XUẤT VÀ THƯƠNG MẠI DƯỢC LIỆU KỲ ANH</v>
      </c>
      <c r="U56" s="63" t="str">
        <f>IFERROR(__xludf.DUMMYFUNCTION("""COMPUTED_VALUE"""),"Kỳ Anh")</f>
        <v>Kỳ Anh</v>
      </c>
      <c r="V56" s="76" t="str">
        <f>IFERROR(__xludf.DUMMYFUNCTION("""COMPUTED_VALUE""")," Ấp Mỹ Hòa 1, Xã Tháp Mười, Tỉnh Đồng Tháp, Việt Nam ")</f>
        <v>Ấp Mỹ Hòa 1, Xã Tháp Mười, Tỉnh Đồng Tháp, Việt Nam</v>
      </c>
      <c r="W56" s="73" t="str">
        <f>IFERROR(__xludf.DUMMYFUNCTION("""COMPUTED_VALUE"""),"1402129830")</f>
        <v>1402129830</v>
      </c>
      <c r="X56" s="71"/>
      <c r="Y56" s="63"/>
      <c r="Z56" s="63"/>
      <c r="AA56" s="63"/>
      <c r="AB56" s="71"/>
      <c r="AC56" s="63"/>
      <c r="AD56" s="71"/>
      <c r="AE56" s="63"/>
      <c r="AF56" s="71"/>
      <c r="AG56" s="63"/>
      <c r="AH56" s="71"/>
      <c r="AI56" s="63"/>
      <c r="AJ56" s="71"/>
      <c r="AK56" s="63"/>
    </row>
    <row r="57" ht="18.0" customHeight="1">
      <c r="A57" s="63"/>
      <c r="B57" s="63"/>
      <c r="C57" s="71"/>
      <c r="D57" s="63"/>
      <c r="E57" s="63"/>
      <c r="F57" s="63"/>
      <c r="G57" s="63"/>
      <c r="H57" s="71"/>
      <c r="I57" s="63" t="str">
        <f>IFERROR(__xludf.DUMMYFUNCTION("""COMPUTED_VALUE"""),"Chai Pape giả nhôm")</f>
        <v>Chai Pape giả nhôm</v>
      </c>
      <c r="J57" s="69">
        <f>IFERROR(__xludf.DUMMYFUNCTION("""COMPUTED_VALUE"""),7.0)</f>
        <v>7</v>
      </c>
      <c r="K57" s="63"/>
      <c r="L57" s="65">
        <f>IFERROR(__xludf.DUMMYFUNCTION("""COMPUTED_VALUE"""),46082.0)</f>
        <v>46082</v>
      </c>
      <c r="M57" s="63" t="b">
        <f>IFERROR(__xludf.DUMMYFUNCTION("""COMPUTED_VALUE"""),TRUE)</f>
        <v>1</v>
      </c>
      <c r="N57" s="71"/>
      <c r="O57" s="66"/>
      <c r="P57" s="71"/>
      <c r="Q57" s="66"/>
      <c r="R57" s="66"/>
      <c r="S57" s="71"/>
      <c r="T57" s="63" t="str">
        <f>IFERROR(__xludf.DUMMYFUNCTION("""COMPUTED_VALUE"""),"CÔNG TY TNHH THƯƠNG MẠI DỊCH VỤ IN ẤN TRƯƠNG GIA PHƯỚC")</f>
        <v>CÔNG TY TNHH THƯƠNG MẠI DỊCH VỤ IN ẤN TRƯƠNG GIA PHƯỚC</v>
      </c>
      <c r="U57" s="63" t="str">
        <f>IFERROR(__xludf.DUMMYFUNCTION("""COMPUTED_VALUE"""),"Trương Gia Phước")</f>
        <v>Trương Gia Phước</v>
      </c>
      <c r="V57" s="76" t="str">
        <f>IFERROR(__xludf.DUMMYFUNCTION("""COMPUTED_VALUE""")," Số 311 Nguyễn Văn Cừ, Phường Cái Khế, Thành phố Cần Thơ, Việt Nam ")</f>
        <v>Số 311 Nguyễn Văn Cừ, Phường Cái Khế, Thành phố Cần Thơ, Việt Nam</v>
      </c>
      <c r="W57" s="73" t="str">
        <f>IFERROR(__xludf.DUMMYFUNCTION("""COMPUTED_VALUE"""),"1801514778")</f>
        <v>1801514778</v>
      </c>
      <c r="X57" s="71"/>
      <c r="Y57" s="63"/>
      <c r="Z57" s="63"/>
      <c r="AA57" s="63"/>
      <c r="AB57" s="71"/>
      <c r="AC57" s="63"/>
      <c r="AD57" s="71"/>
      <c r="AE57" s="63"/>
      <c r="AF57" s="71"/>
      <c r="AG57" s="63"/>
      <c r="AH57" s="71"/>
      <c r="AI57" s="63"/>
      <c r="AJ57" s="71"/>
      <c r="AK57" s="63"/>
    </row>
    <row r="58" ht="18.0" customHeight="1">
      <c r="A58" s="63"/>
      <c r="B58" s="63"/>
      <c r="C58" s="71"/>
      <c r="D58" s="63"/>
      <c r="E58" s="63"/>
      <c r="F58" s="63"/>
      <c r="G58" s="63"/>
      <c r="H58" s="71"/>
      <c r="I58" s="63" t="str">
        <f>IFERROR(__xludf.DUMMYFUNCTION("""COMPUTED_VALUE"""),"Chai Pape giả nhôm")</f>
        <v>Chai Pape giả nhôm</v>
      </c>
      <c r="J58" s="69">
        <f>IFERROR(__xludf.DUMMYFUNCTION("""COMPUTED_VALUE"""),15.0)</f>
        <v>15</v>
      </c>
      <c r="K58" s="63"/>
      <c r="L58" s="65">
        <f>IFERROR(__xludf.DUMMYFUNCTION("""COMPUTED_VALUE"""),46082.0)</f>
        <v>46082</v>
      </c>
      <c r="M58" s="63" t="b">
        <f>IFERROR(__xludf.DUMMYFUNCTION("""COMPUTED_VALUE"""),FALSE)</f>
        <v>0</v>
      </c>
      <c r="N58" s="71"/>
      <c r="O58" s="66"/>
      <c r="P58" s="71"/>
      <c r="Q58" s="66"/>
      <c r="R58" s="66"/>
      <c r="S58" s="71"/>
      <c r="T58" s="63" t="str">
        <f>IFERROR(__xludf.DUMMYFUNCTION("""COMPUTED_VALUE"""),"DOANH NGHIỆP TƯ NHÂN NHƯ CƯƠNG")</f>
        <v>DOANH NGHIỆP TƯ NHÂN NHƯ CƯƠNG</v>
      </c>
      <c r="U58" s="63" t="str">
        <f>IFERROR(__xludf.DUMMYFUNCTION("""COMPUTED_VALUE"""),"Như Cương")</f>
        <v>Như Cương</v>
      </c>
      <c r="V58" s="76" t="str">
        <f>IFERROR(__xludf.DUMMYFUNCTION("""COMPUTED_VALUE""")," 78, đường 30/4, phường Ninh Kiều, TP Cần Thơ ")</f>
        <v>78, đường 30/4, phường Ninh Kiều, TP Cần Thơ</v>
      </c>
      <c r="W58" s="73" t="str">
        <f>IFERROR(__xludf.DUMMYFUNCTION("""COMPUTED_VALUE"""),"1800525914")</f>
        <v>1800525914</v>
      </c>
      <c r="X58" s="71"/>
      <c r="Y58" s="63"/>
      <c r="Z58" s="63"/>
      <c r="AA58" s="63"/>
      <c r="AB58" s="71"/>
      <c r="AC58" s="63"/>
      <c r="AD58" s="71"/>
      <c r="AE58" s="63"/>
      <c r="AF58" s="71"/>
      <c r="AG58" s="63"/>
      <c r="AH58" s="71"/>
      <c r="AI58" s="63"/>
      <c r="AJ58" s="71"/>
      <c r="AK58" s="63"/>
    </row>
    <row r="59" ht="18.0" customHeight="1">
      <c r="A59" s="63"/>
      <c r="B59" s="63"/>
      <c r="C59" s="71"/>
      <c r="D59" s="63"/>
      <c r="E59" s="63"/>
      <c r="F59" s="63"/>
      <c r="G59" s="63"/>
      <c r="H59" s="71"/>
      <c r="I59" s="63" t="str">
        <f>IFERROR(__xludf.DUMMYFUNCTION("""COMPUTED_VALUE"""),"Chai Pet có vòi")</f>
        <v>Chai Pet có vòi</v>
      </c>
      <c r="J59" s="69">
        <f>IFERROR(__xludf.DUMMYFUNCTION("""COMPUTED_VALUE"""),10.0)</f>
        <v>10</v>
      </c>
      <c r="K59" s="63"/>
      <c r="L59" s="65">
        <f>IFERROR(__xludf.DUMMYFUNCTION("""COMPUTED_VALUE"""),46082.0)</f>
        <v>46082</v>
      </c>
      <c r="M59" s="63" t="b">
        <f>IFERROR(__xludf.DUMMYFUNCTION("""COMPUTED_VALUE"""),TRUE)</f>
        <v>1</v>
      </c>
      <c r="N59" s="71"/>
      <c r="O59" s="66"/>
      <c r="P59" s="71"/>
      <c r="Q59" s="66"/>
      <c r="R59" s="66"/>
      <c r="S59" s="71"/>
      <c r="T59" s="63" t="str">
        <f>IFERROR(__xludf.DUMMYFUNCTION("""COMPUTED_VALUE"""),"CÔNG TY TNHH IN ẤN KỸ THUẬT MỚI TÂN HOA MAI")</f>
        <v>CÔNG TY TNHH IN ẤN KỸ THUẬT MỚI TÂN HOA MAI</v>
      </c>
      <c r="U59" s="63" t="str">
        <f>IFERROR(__xludf.DUMMYFUNCTION("""COMPUTED_VALUE"""),"Tân Hoa Mai")</f>
        <v>Tân Hoa Mai</v>
      </c>
      <c r="V59" s="76" t="str">
        <f>IFERROR(__xludf.DUMMYFUNCTION("""COMPUTED_VALUE""")," 96/5A Đặng Thùy Trâm, Phường Bình Lợi Trung, Thành Phố Hồ Chí Minh, Việt Nam ")</f>
        <v>96/5A Đặng Thùy Trâm, Phường Bình Lợi Trung, Thành Phố Hồ Chí Minh, Việt Nam</v>
      </c>
      <c r="W59" s="59" t="str">
        <f>IFERROR(__xludf.DUMMYFUNCTION("""COMPUTED_VALUE"""),"0311275254")</f>
        <v>0311275254</v>
      </c>
      <c r="X59" s="71"/>
      <c r="Y59" s="63"/>
      <c r="Z59" s="63"/>
      <c r="AA59" s="63"/>
      <c r="AB59" s="71"/>
      <c r="AC59" s="63"/>
      <c r="AD59" s="71"/>
      <c r="AE59" s="63"/>
      <c r="AF59" s="71"/>
      <c r="AG59" s="63"/>
      <c r="AH59" s="71"/>
      <c r="AI59" s="63"/>
      <c r="AJ59" s="71"/>
      <c r="AK59" s="63"/>
    </row>
    <row r="60" ht="18.0" customHeight="1">
      <c r="A60" s="63"/>
      <c r="B60" s="63"/>
      <c r="C60" s="71"/>
      <c r="D60" s="63"/>
      <c r="E60" s="63"/>
      <c r="F60" s="63"/>
      <c r="G60" s="63"/>
      <c r="H60" s="71"/>
      <c r="I60" s="63" t="str">
        <f>IFERROR(__xludf.DUMMYFUNCTION("""COMPUTED_VALUE"""),"Chai Pet có vòi")</f>
        <v>Chai Pet có vòi</v>
      </c>
      <c r="J60" s="69">
        <f>IFERROR(__xludf.DUMMYFUNCTION("""COMPUTED_VALUE"""),15.0)</f>
        <v>15</v>
      </c>
      <c r="K60" s="63"/>
      <c r="L60" s="65">
        <f>IFERROR(__xludf.DUMMYFUNCTION("""COMPUTED_VALUE"""),46082.0)</f>
        <v>46082</v>
      </c>
      <c r="M60" s="63" t="b">
        <f>IFERROR(__xludf.DUMMYFUNCTION("""COMPUTED_VALUE"""),FALSE)</f>
        <v>0</v>
      </c>
      <c r="N60" s="71"/>
      <c r="O60" s="66"/>
      <c r="P60" s="71"/>
      <c r="Q60" s="66"/>
      <c r="R60" s="66"/>
      <c r="S60" s="71"/>
      <c r="T60" s="63" t="str">
        <f>IFERROR(__xludf.DUMMYFUNCTION("""COMPUTED_VALUE"""),"HỢP TÁC XÃ SẢN XUẤT THƯƠNG MẠI NÔNG, THỦY SẢN CÁNH BUỒM VÀNG")</f>
        <v>HỢP TÁC XÃ SẢN XUẤT THƯƠNG MẠI NÔNG, THỦY SẢN CÁNH BUỒM VÀNG</v>
      </c>
      <c r="U60" s="63" t="str">
        <f>IFERROR(__xludf.DUMMYFUNCTION("""COMPUTED_VALUE"""),"Cbv")</f>
        <v>Cbv</v>
      </c>
      <c r="V60" s="76" t="str">
        <f>IFERROR(__xludf.DUMMYFUNCTION("""COMPUTED_VALUE""")," B14/257 Ấp 2, xã Tân Nhựt, huyện Bình Chánh, TP. Hồ Chí Minh ")</f>
        <v>B14/257 Ấp 2, xã Tân Nhựt, huyện Bình Chánh, TP. Hồ Chí Minh</v>
      </c>
      <c r="W60" s="59" t="str">
        <f>IFERROR(__xludf.DUMMYFUNCTION("""COMPUTED_VALUE"""),"0315907352")</f>
        <v>0315907352</v>
      </c>
      <c r="X60" s="71"/>
      <c r="Y60" s="63"/>
      <c r="Z60" s="63"/>
      <c r="AA60" s="63"/>
      <c r="AB60" s="71"/>
      <c r="AC60" s="63"/>
      <c r="AD60" s="71"/>
      <c r="AE60" s="63"/>
      <c r="AF60" s="71"/>
      <c r="AG60" s="63"/>
      <c r="AH60" s="71"/>
      <c r="AI60" s="63"/>
      <c r="AJ60" s="71"/>
      <c r="AK60" s="63"/>
    </row>
    <row r="61" ht="18.0" customHeight="1">
      <c r="A61" s="63"/>
      <c r="B61" s="63"/>
      <c r="C61" s="71"/>
      <c r="D61" s="63"/>
      <c r="E61" s="63"/>
      <c r="F61" s="63"/>
      <c r="G61" s="63"/>
      <c r="H61" s="71"/>
      <c r="I61" s="63" t="str">
        <f>IFERROR(__xludf.DUMMYFUNCTION("""COMPUTED_VALUE"""),"Nắp Hdpe")</f>
        <v>Nắp Hdpe</v>
      </c>
      <c r="J61" s="69">
        <f>IFERROR(__xludf.DUMMYFUNCTION("""COMPUTED_VALUE"""),7.0)</f>
        <v>7</v>
      </c>
      <c r="K61" s="63" t="str">
        <f>IFERROR(__xludf.DUMMYFUNCTION("""COMPUTED_VALUE"""),"Nắp NCC giao chung hàng với chai.")</f>
        <v>Nắp NCC giao chung hàng với chai.</v>
      </c>
      <c r="L61" s="65">
        <f>IFERROR(__xludf.DUMMYFUNCTION("""COMPUTED_VALUE"""),46082.0)</f>
        <v>46082</v>
      </c>
      <c r="M61" s="63" t="b">
        <f>IFERROR(__xludf.DUMMYFUNCTION("""COMPUTED_VALUE"""),TRUE)</f>
        <v>1</v>
      </c>
      <c r="N61" s="71"/>
      <c r="O61" s="66"/>
      <c r="P61" s="71"/>
      <c r="Q61" s="66"/>
      <c r="R61" s="66"/>
      <c r="S61" s="71"/>
      <c r="T61" s="63" t="str">
        <f>IFERROR(__xludf.DUMMYFUNCTION("""COMPUTED_VALUE"""),"CÔNG TY TNHH TMDV LADYBUG VIỆT NAM")</f>
        <v>CÔNG TY TNHH TMDV LADYBUG VIỆT NAM</v>
      </c>
      <c r="U61" s="63" t="str">
        <f>IFERROR(__xludf.DUMMYFUNCTION("""COMPUTED_VALUE"""),"Ldb")</f>
        <v>Ldb</v>
      </c>
      <c r="V61" s="76" t="str">
        <f>IFERROR(__xludf.DUMMYFUNCTION("""COMPUTED_VALUE""")," 32/36/27 Ông Ích Khiêm, Phường 14, Quận 11, TP Hồ Chí Minh ")</f>
        <v>32/36/27 Ông Ích Khiêm, Phường 14, Quận 11, TP Hồ Chí Minh</v>
      </c>
      <c r="W61" s="73" t="str">
        <f>IFERROR(__xludf.DUMMYFUNCTION("""COMPUTED_VALUE"""),"0317370225")</f>
        <v>0317370225</v>
      </c>
      <c r="X61" s="71"/>
      <c r="Y61" s="63"/>
      <c r="Z61" s="63"/>
      <c r="AA61" s="63"/>
      <c r="AB61" s="71"/>
      <c r="AC61" s="63"/>
      <c r="AD61" s="71"/>
      <c r="AE61" s="63"/>
      <c r="AF61" s="71"/>
      <c r="AG61" s="63"/>
      <c r="AH61" s="71"/>
      <c r="AI61" s="63"/>
      <c r="AJ61" s="71"/>
      <c r="AK61" s="63"/>
    </row>
    <row r="62" ht="18.0" customHeight="1">
      <c r="A62" s="63"/>
      <c r="B62" s="63"/>
      <c r="C62" s="71"/>
      <c r="D62" s="63"/>
      <c r="E62" s="63"/>
      <c r="F62" s="63"/>
      <c r="G62" s="63"/>
      <c r="H62" s="71"/>
      <c r="I62" s="63" t="str">
        <f>IFERROR(__xludf.DUMMYFUNCTION("""COMPUTED_VALUE"""),"Nắp Hdpe")</f>
        <v>Nắp Hdpe</v>
      </c>
      <c r="J62" s="69">
        <f>IFERROR(__xludf.DUMMYFUNCTION("""COMPUTED_VALUE"""),15.0)</f>
        <v>15</v>
      </c>
      <c r="K62" s="63" t="str">
        <f>IFERROR(__xludf.DUMMYFUNCTION("""COMPUTED_VALUE"""),"Nắp NCC giao chung hàng với chai.")</f>
        <v>Nắp NCC giao chung hàng với chai.</v>
      </c>
      <c r="L62" s="65">
        <f>IFERROR(__xludf.DUMMYFUNCTION("""COMPUTED_VALUE"""),46082.0)</f>
        <v>46082</v>
      </c>
      <c r="M62" s="63" t="b">
        <f>IFERROR(__xludf.DUMMYFUNCTION("""COMPUTED_VALUE"""),FALSE)</f>
        <v>0</v>
      </c>
      <c r="N62" s="71"/>
      <c r="O62" s="66"/>
      <c r="P62" s="71"/>
      <c r="Q62" s="66"/>
      <c r="R62" s="66"/>
      <c r="S62" s="71"/>
      <c r="T62" s="63" t="str">
        <f>IFERROR(__xludf.DUMMYFUNCTION("""COMPUTED_VALUE"""),"CÔNG TY TNHH CEMACO VIỆT NAM")</f>
        <v>CÔNG TY TNHH CEMACO VIỆT NAM</v>
      </c>
      <c r="U62" s="63" t="str">
        <f>IFERROR(__xludf.DUMMYFUNCTION("""COMPUTED_VALUE"""),"Cmc")</f>
        <v>Cmc</v>
      </c>
      <c r="V62" s="76" t="str">
        <f>IFERROR(__xludf.DUMMYFUNCTION("""COMPUTED_VALUE""")," 87B1 Ung Văn Khiêm, P. Cái Khế, Q. Ninh Kiều, Thành phố Cần Thơ, Việt Nam ")</f>
        <v>87B1 Ung Văn Khiêm, P. Cái Khế, Q. Ninh Kiều, Thành phố Cần Thơ, Việt Nam</v>
      </c>
      <c r="W62" s="64" t="str">
        <f>IFERROR(__xludf.DUMMYFUNCTION("""COMPUTED_VALUE"""),"0108075628-005")</f>
        <v>0108075628-005</v>
      </c>
      <c r="X62" s="71"/>
      <c r="Y62" s="63"/>
      <c r="Z62" s="63"/>
      <c r="AA62" s="63"/>
      <c r="AB62" s="71"/>
      <c r="AC62" s="63"/>
      <c r="AD62" s="71"/>
      <c r="AE62" s="63"/>
      <c r="AF62" s="71"/>
      <c r="AG62" s="63"/>
      <c r="AH62" s="71"/>
      <c r="AI62" s="63"/>
      <c r="AJ62" s="71"/>
      <c r="AK62" s="63"/>
    </row>
    <row r="63" ht="18.0" customHeight="1">
      <c r="A63" s="63"/>
      <c r="B63" s="63"/>
      <c r="C63" s="71"/>
      <c r="D63" s="63"/>
      <c r="E63" s="63"/>
      <c r="F63" s="63"/>
      <c r="G63" s="63"/>
      <c r="H63" s="71"/>
      <c r="I63" s="63" t="str">
        <f>IFERROR(__xludf.DUMMYFUNCTION("""COMPUTED_VALUE"""),"Nắp Pet")</f>
        <v>Nắp Pet</v>
      </c>
      <c r="J63" s="69">
        <f>IFERROR(__xludf.DUMMYFUNCTION("""COMPUTED_VALUE"""),7.0)</f>
        <v>7</v>
      </c>
      <c r="K63" s="63" t="str">
        <f>IFERROR(__xludf.DUMMYFUNCTION("""COMPUTED_VALUE"""),"Nắp NCC giao chung hàng với chai.")</f>
        <v>Nắp NCC giao chung hàng với chai.</v>
      </c>
      <c r="L63" s="65">
        <f>IFERROR(__xludf.DUMMYFUNCTION("""COMPUTED_VALUE"""),46082.0)</f>
        <v>46082</v>
      </c>
      <c r="M63" s="63" t="b">
        <f>IFERROR(__xludf.DUMMYFUNCTION("""COMPUTED_VALUE"""),TRUE)</f>
        <v>1</v>
      </c>
      <c r="N63" s="71"/>
      <c r="O63" s="66"/>
      <c r="P63" s="71"/>
      <c r="Q63" s="66"/>
      <c r="R63" s="66"/>
      <c r="S63" s="71"/>
      <c r="T63" s="63" t="str">
        <f>IFERROR(__xludf.DUMMYFUNCTION("""COMPUTED_VALUE"""),"CÔNG TY CP CÔNG NGHỆ AQUADELTA")</f>
        <v>CÔNG TY CP CÔNG NGHỆ AQUADELTA</v>
      </c>
      <c r="U63" s="63" t="str">
        <f>IFERROR(__xludf.DUMMYFUNCTION("""COMPUTED_VALUE"""),"Aq")</f>
        <v>Aq</v>
      </c>
      <c r="V63" s="76" t="str">
        <f>IFERROR(__xludf.DUMMYFUNCTION("""COMPUTED_VALUE""")," 55 đường 3/2, phường Hưng lợi, quận Ninh Kiều, TPCT ")</f>
        <v>55 đường 3/2, phường Hưng lợi, quận Ninh Kiều, TPCT</v>
      </c>
      <c r="W63" s="59" t="str">
        <f>IFERROR(__xludf.DUMMYFUNCTION("""COMPUTED_VALUE"""),"1801666202")</f>
        <v>1801666202</v>
      </c>
      <c r="X63" s="71"/>
      <c r="Y63" s="63"/>
      <c r="Z63" s="63"/>
      <c r="AA63" s="63"/>
      <c r="AB63" s="71"/>
      <c r="AC63" s="63"/>
      <c r="AD63" s="71"/>
      <c r="AE63" s="63"/>
      <c r="AF63" s="71"/>
      <c r="AG63" s="63"/>
      <c r="AH63" s="71"/>
      <c r="AI63" s="63"/>
      <c r="AJ63" s="71"/>
      <c r="AK63" s="63"/>
    </row>
    <row r="64" ht="18.0" customHeight="1">
      <c r="A64" s="63"/>
      <c r="B64" s="63"/>
      <c r="C64" s="71"/>
      <c r="D64" s="63"/>
      <c r="E64" s="63"/>
      <c r="F64" s="63"/>
      <c r="G64" s="63"/>
      <c r="H64" s="71"/>
      <c r="I64" s="63" t="str">
        <f>IFERROR(__xludf.DUMMYFUNCTION("""COMPUTED_VALUE"""),"Nắp Pet")</f>
        <v>Nắp Pet</v>
      </c>
      <c r="J64" s="69">
        <f>IFERROR(__xludf.DUMMYFUNCTION("""COMPUTED_VALUE"""),15.0)</f>
        <v>15</v>
      </c>
      <c r="K64" s="63" t="str">
        <f>IFERROR(__xludf.DUMMYFUNCTION("""COMPUTED_VALUE"""),"Nắp NCC giao chung hàng với chai.")</f>
        <v>Nắp NCC giao chung hàng với chai.</v>
      </c>
      <c r="L64" s="65">
        <f>IFERROR(__xludf.DUMMYFUNCTION("""COMPUTED_VALUE"""),46082.0)</f>
        <v>46082</v>
      </c>
      <c r="M64" s="63" t="b">
        <f>IFERROR(__xludf.DUMMYFUNCTION("""COMPUTED_VALUE"""),FALSE)</f>
        <v>0</v>
      </c>
      <c r="N64" s="71"/>
      <c r="O64" s="66"/>
      <c r="P64" s="71"/>
      <c r="Q64" s="66"/>
      <c r="R64" s="66"/>
      <c r="S64" s="71"/>
      <c r="T64" s="63" t="str">
        <f>IFERROR(__xludf.DUMMYFUNCTION("""COMPUTED_VALUE"""),"CÔNG TY TNHH HÓA CHẤT PHÂN BÓN, THUỐC BVTV DUBAI")</f>
        <v>CÔNG TY TNHH HÓA CHẤT PHÂN BÓN, THUỐC BVTV DUBAI</v>
      </c>
      <c r="U64" s="63" t="str">
        <f>IFERROR(__xludf.DUMMYFUNCTION("""COMPUTED_VALUE"""),"Du Bai")</f>
        <v>Du Bai</v>
      </c>
      <c r="V64" s="76" t="str">
        <f>IFERROR(__xludf.DUMMYFUNCTION("""COMPUTED_VALUE""")," Lô B115, Đường số 5, KCN Thái Hòa, Ấp Tân Hòa, Xã Đức Lập Hạ, Huyện Đức Hòa, Tỉnh Long An ")</f>
        <v>Lô B115, Đường số 5, KCN Thái Hòa, Ấp Tân Hòa, Xã Đức Lập Hạ, Huyện Đức Hòa, Tỉnh Long An</v>
      </c>
      <c r="W64" s="59" t="str">
        <f>IFERROR(__xludf.DUMMYFUNCTION("""COMPUTED_VALUE"""),"1101798524")</f>
        <v>1101798524</v>
      </c>
      <c r="X64" s="71"/>
      <c r="Y64" s="63"/>
      <c r="Z64" s="63"/>
      <c r="AA64" s="63"/>
      <c r="AB64" s="71"/>
      <c r="AC64" s="63"/>
      <c r="AD64" s="71"/>
      <c r="AE64" s="63"/>
      <c r="AF64" s="71"/>
      <c r="AG64" s="63"/>
      <c r="AH64" s="71"/>
      <c r="AI64" s="63"/>
      <c r="AJ64" s="71"/>
      <c r="AK64" s="63"/>
    </row>
    <row r="65" ht="18.0" customHeight="1">
      <c r="A65" s="63"/>
      <c r="B65" s="63"/>
      <c r="C65" s="71"/>
      <c r="D65" s="63"/>
      <c r="E65" s="63"/>
      <c r="F65" s="63"/>
      <c r="G65" s="63"/>
      <c r="H65" s="71"/>
      <c r="I65" s="63" t="str">
        <f>IFERROR(__xludf.DUMMYFUNCTION("""COMPUTED_VALUE"""),"Can HDPE")</f>
        <v>Can HDPE</v>
      </c>
      <c r="J65" s="69">
        <f>IFERROR(__xludf.DUMMYFUNCTION("""COMPUTED_VALUE"""),5.0)</f>
        <v>5</v>
      </c>
      <c r="K65" s="63" t="str">
        <f>IFERROR(__xludf.DUMMYFUNCTION("""COMPUTED_VALUE"""),"Thông tin tham khảo từ Ms Ly/ Thu mua check lại")</f>
        <v>Thông tin tham khảo từ Ms Ly/ Thu mua check lại</v>
      </c>
      <c r="L65" s="65">
        <f>IFERROR(__xludf.DUMMYFUNCTION("""COMPUTED_VALUE"""),46082.0)</f>
        <v>46082</v>
      </c>
      <c r="M65" s="63" t="b">
        <f>IFERROR(__xludf.DUMMYFUNCTION("""COMPUTED_VALUE"""),TRUE)</f>
        <v>1</v>
      </c>
      <c r="N65" s="71"/>
      <c r="O65" s="66"/>
      <c r="P65" s="71"/>
      <c r="Q65" s="66"/>
      <c r="R65" s="66"/>
      <c r="S65" s="71"/>
      <c r="T65" s="63" t="str">
        <f>IFERROR(__xludf.DUMMYFUNCTION("""COMPUTED_VALUE"""),"CÔNG TY CỔ PHẦN GEMACHEM VIỆT NAM")</f>
        <v>CÔNG TY CỔ PHẦN GEMACHEM VIỆT NAM</v>
      </c>
      <c r="U65" s="63" t="str">
        <f>IFERROR(__xludf.DUMMYFUNCTION("""COMPUTED_VALUE"""),"Gemachem")</f>
        <v>Gemachem</v>
      </c>
      <c r="V65" s="76" t="str">
        <f>IFERROR(__xludf.DUMMYFUNCTION("""COMPUTED_VALUE""")," 46 Ngồ Quyền, P Hàng Bài, Quận Hoàn Kiếm, TP Hà Nội ")</f>
        <v>46 Ngồ Quyền, P Hàng Bài, Quận Hoàn Kiếm, TP Hà Nội</v>
      </c>
      <c r="W65" s="73" t="str">
        <f>IFERROR(__xludf.DUMMYFUNCTION("""COMPUTED_VALUE"""),"0102135197")</f>
        <v>0102135197</v>
      </c>
      <c r="X65" s="71"/>
      <c r="Y65" s="63"/>
      <c r="Z65" s="63"/>
      <c r="AA65" s="63"/>
      <c r="AB65" s="71"/>
      <c r="AC65" s="63"/>
      <c r="AD65" s="71"/>
      <c r="AE65" s="63"/>
      <c r="AF65" s="71"/>
      <c r="AG65" s="63"/>
      <c r="AH65" s="71"/>
      <c r="AI65" s="63"/>
      <c r="AJ65" s="71"/>
      <c r="AK65" s="63"/>
    </row>
    <row r="66" ht="18.0" customHeight="1">
      <c r="A66" s="63"/>
      <c r="B66" s="63"/>
      <c r="C66" s="71"/>
      <c r="D66" s="63"/>
      <c r="E66" s="63"/>
      <c r="F66" s="63"/>
      <c r="G66" s="63"/>
      <c r="H66" s="71"/>
      <c r="I66" s="63" t="str">
        <f>IFERROR(__xludf.DUMMYFUNCTION("""COMPUTED_VALUE"""),"Can HDPE")</f>
        <v>Can HDPE</v>
      </c>
      <c r="J66" s="69">
        <f>IFERROR(__xludf.DUMMYFUNCTION("""COMPUTED_VALUE"""),7.0)</f>
        <v>7</v>
      </c>
      <c r="K66" s="63" t="str">
        <f>IFERROR(__xludf.DUMMYFUNCTION("""COMPUTED_VALUE"""),"Thông tin tham khảo từ Ms Ly/ Thu mua check lại")</f>
        <v>Thông tin tham khảo từ Ms Ly/ Thu mua check lại</v>
      </c>
      <c r="L66" s="65">
        <f>IFERROR(__xludf.DUMMYFUNCTION("""COMPUTED_VALUE"""),46082.0)</f>
        <v>46082</v>
      </c>
      <c r="M66" s="63" t="b">
        <f>IFERROR(__xludf.DUMMYFUNCTION("""COMPUTED_VALUE"""),FALSE)</f>
        <v>0</v>
      </c>
      <c r="N66" s="71"/>
      <c r="O66" s="66"/>
      <c r="P66" s="71"/>
      <c r="Q66" s="66"/>
      <c r="R66" s="66"/>
      <c r="S66" s="71"/>
      <c r="T66" s="63" t="str">
        <f>IFERROR(__xludf.DUMMYFUNCTION("""COMPUTED_VALUE"""),"CÔNG TY TNHHH THƯƠNG MẠI GEMSKY")</f>
        <v>CÔNG TY TNHHH THƯƠNG MẠI GEMSKY</v>
      </c>
      <c r="U66" s="63" t="str">
        <f>IFERROR(__xludf.DUMMYFUNCTION("""COMPUTED_VALUE"""),"Gemsky")</f>
        <v>Gemsky</v>
      </c>
      <c r="V66" s="76" t="str">
        <f>IFERROR(__xludf.DUMMYFUNCTION("""COMPUTED_VALUE""")," 507 Lũy Bán Bích, Phường Phú Thạnh, TP HCM ")</f>
        <v>507 Lũy Bán Bích, Phường Phú Thạnh, TP HCM</v>
      </c>
      <c r="W66" s="73" t="str">
        <f>IFERROR(__xludf.DUMMYFUNCTION("""COMPUTED_VALUE"""),"0316840661")</f>
        <v>0316840661</v>
      </c>
      <c r="X66" s="71"/>
      <c r="Y66" s="63"/>
      <c r="Z66" s="63"/>
      <c r="AA66" s="63"/>
      <c r="AB66" s="71"/>
      <c r="AC66" s="63"/>
      <c r="AD66" s="71"/>
      <c r="AE66" s="63"/>
      <c r="AF66" s="71"/>
      <c r="AG66" s="63"/>
      <c r="AH66" s="71"/>
      <c r="AI66" s="63"/>
      <c r="AJ66" s="71"/>
      <c r="AK66" s="63"/>
    </row>
    <row r="67" ht="18.0" customHeight="1">
      <c r="A67" s="63"/>
      <c r="B67" s="63"/>
      <c r="C67" s="71"/>
      <c r="D67" s="63"/>
      <c r="E67" s="63"/>
      <c r="F67" s="63"/>
      <c r="G67" s="63"/>
      <c r="H67" s="71"/>
      <c r="I67" s="63" t="str">
        <f>IFERROR(__xludf.DUMMYFUNCTION("""COMPUTED_VALUE"""),"Xô HDPE")</f>
        <v>Xô HDPE</v>
      </c>
      <c r="J67" s="69">
        <f>IFERROR(__xludf.DUMMYFUNCTION("""COMPUTED_VALUE"""),5.0)</f>
        <v>5</v>
      </c>
      <c r="K67" s="63" t="str">
        <f>IFERROR(__xludf.DUMMYFUNCTION("""COMPUTED_VALUE"""),"Thông tin tham khảo từ Ms Ly/ Thu mua check lại")</f>
        <v>Thông tin tham khảo từ Ms Ly/ Thu mua check lại</v>
      </c>
      <c r="L67" s="65">
        <f>IFERROR(__xludf.DUMMYFUNCTION("""COMPUTED_VALUE"""),46082.0)</f>
        <v>46082</v>
      </c>
      <c r="M67" s="63" t="b">
        <f>IFERROR(__xludf.DUMMYFUNCTION("""COMPUTED_VALUE"""),TRUE)</f>
        <v>1</v>
      </c>
      <c r="N67" s="71"/>
      <c r="O67" s="66"/>
      <c r="P67" s="71"/>
      <c r="Q67" s="66"/>
      <c r="R67" s="66"/>
      <c r="S67" s="71"/>
      <c r="T67" s="63" t="str">
        <f>IFERROR(__xludf.DUMMYFUNCTION("""COMPUTED_VALUE"""),"CÔNG TY CỔ PHẦN THIẾT BỊ KIỂM ĐỊNH AN PHÁT")</f>
        <v>CÔNG TY CỔ PHẦN THIẾT BỊ KIỂM ĐỊNH AN PHÁT</v>
      </c>
      <c r="U67" s="63" t="str">
        <f>IFERROR(__xludf.DUMMYFUNCTION("""COMPUTED_VALUE"""),"An Phát")</f>
        <v>An Phát</v>
      </c>
      <c r="V67" s="76" t="str">
        <f>IFERROR(__xludf.DUMMYFUNCTION("""COMPUTED_VALUE""")," Km số 9, đường 72, xã Cộng Hòa, huyện Quốc Oai, thành phố Hà Nội. ")</f>
        <v>Km số 9, đường 72, xã Cộng Hòa, huyện Quốc Oai, thành phố Hà Nội.</v>
      </c>
      <c r="W67" s="73" t="str">
        <f>IFERROR(__xludf.DUMMYFUNCTION("""COMPUTED_VALUE"""),"0108673258")</f>
        <v>0108673258</v>
      </c>
      <c r="X67" s="71"/>
      <c r="Y67" s="63"/>
      <c r="Z67" s="63"/>
      <c r="AA67" s="63"/>
      <c r="AB67" s="71"/>
      <c r="AC67" s="63"/>
      <c r="AD67" s="71"/>
      <c r="AE67" s="63"/>
      <c r="AF67" s="71"/>
      <c r="AG67" s="63"/>
      <c r="AH67" s="71"/>
      <c r="AI67" s="63"/>
      <c r="AJ67" s="71"/>
      <c r="AK67" s="63"/>
    </row>
    <row r="68" ht="18.0" customHeight="1">
      <c r="A68" s="63"/>
      <c r="B68" s="63"/>
      <c r="C68" s="71"/>
      <c r="D68" s="63"/>
      <c r="E68" s="63"/>
      <c r="F68" s="63"/>
      <c r="G68" s="63"/>
      <c r="H68" s="71"/>
      <c r="I68" s="63" t="str">
        <f>IFERROR(__xludf.DUMMYFUNCTION("""COMPUTED_VALUE"""),"Xô HDPE")</f>
        <v>Xô HDPE</v>
      </c>
      <c r="J68" s="69">
        <f>IFERROR(__xludf.DUMMYFUNCTION("""COMPUTED_VALUE"""),7.0)</f>
        <v>7</v>
      </c>
      <c r="K68" s="63" t="str">
        <f>IFERROR(__xludf.DUMMYFUNCTION("""COMPUTED_VALUE"""),"Thông tin tham khảo từ Ms Ly/ Thu mua check lại")</f>
        <v>Thông tin tham khảo từ Ms Ly/ Thu mua check lại</v>
      </c>
      <c r="L68" s="65">
        <f>IFERROR(__xludf.DUMMYFUNCTION("""COMPUTED_VALUE"""),46082.0)</f>
        <v>46082</v>
      </c>
      <c r="M68" s="63" t="b">
        <f>IFERROR(__xludf.DUMMYFUNCTION("""COMPUTED_VALUE"""),FALSE)</f>
        <v>0</v>
      </c>
      <c r="N68" s="71"/>
      <c r="O68" s="66"/>
      <c r="P68" s="71"/>
      <c r="Q68" s="66"/>
      <c r="R68" s="66"/>
      <c r="S68" s="71"/>
      <c r="T68" s="63" t="str">
        <f>IFERROR(__xludf.DUMMYFUNCTION("""COMPUTED_VALUE"""),"Cửa Hàng Phương Lâm")</f>
        <v>Cửa Hàng Phương Lâm</v>
      </c>
      <c r="U68" s="63" t="str">
        <f>IFERROR(__xludf.DUMMYFUNCTION("""COMPUTED_VALUE"""),"Phương Lâm")</f>
        <v>Phương Lâm</v>
      </c>
      <c r="V68" s="76" t="str">
        <f>IFERROR(__xludf.DUMMYFUNCTION("""COMPUTED_VALUE""")," Ngõ 2 đội 3 Võng La - Đông Anh - Hà Nội ")</f>
        <v>Ngõ 2 đội 3 Võng La - Đông Anh - Hà Nội</v>
      </c>
      <c r="W68" s="64"/>
      <c r="X68" s="71"/>
      <c r="Y68" s="63"/>
      <c r="Z68" s="63"/>
      <c r="AA68" s="63"/>
      <c r="AB68" s="71"/>
      <c r="AC68" s="63"/>
      <c r="AD68" s="71"/>
      <c r="AE68" s="63"/>
      <c r="AF68" s="71"/>
      <c r="AG68" s="63"/>
      <c r="AH68" s="71"/>
      <c r="AI68" s="63"/>
      <c r="AJ68" s="71"/>
      <c r="AK68" s="63"/>
    </row>
    <row r="69" ht="18.0" customHeight="1">
      <c r="A69" s="63"/>
      <c r="B69" s="63"/>
      <c r="C69" s="71"/>
      <c r="D69" s="63"/>
      <c r="E69" s="63"/>
      <c r="F69" s="63"/>
      <c r="G69" s="63"/>
      <c r="H69" s="71"/>
      <c r="I69" s="63" t="str">
        <f>IFERROR(__xludf.DUMMYFUNCTION("""COMPUTED_VALUE"""),"Nhãn giấy")</f>
        <v>Nhãn giấy</v>
      </c>
      <c r="J69" s="69">
        <f>IFERROR(__xludf.DUMMYFUNCTION("""COMPUTED_VALUE"""),7.0)</f>
        <v>7</v>
      </c>
      <c r="K69" s="63"/>
      <c r="L69" s="65">
        <f>IFERROR(__xludf.DUMMYFUNCTION("""COMPUTED_VALUE"""),46082.0)</f>
        <v>46082</v>
      </c>
      <c r="M69" s="63" t="b">
        <f>IFERROR(__xludf.DUMMYFUNCTION("""COMPUTED_VALUE"""),FALSE)</f>
        <v>0</v>
      </c>
      <c r="N69" s="71"/>
      <c r="O69" s="66"/>
      <c r="P69" s="71"/>
      <c r="Q69" s="66"/>
      <c r="R69" s="66"/>
      <c r="S69" s="71"/>
      <c r="T69" s="63" t="str">
        <f>IFERROR(__xludf.DUMMYFUNCTION("""COMPUTED_VALUE"""),"CÔNG TY TNHH KHAI NHẬT")</f>
        <v>CÔNG TY TNHH KHAI NHẬT</v>
      </c>
      <c r="U69" s="63" t="str">
        <f>IFERROR(__xludf.DUMMYFUNCTION("""COMPUTED_VALUE"""),"Khai Nhật")</f>
        <v>Khai Nhật</v>
      </c>
      <c r="V69" s="76" t="str">
        <f>IFERROR(__xludf.DUMMYFUNCTION("""COMPUTED_VALUE""")," Tầng 15, P.1508 Tòa nhà Vincom Center, Số 72 Lê Thánh Tôn, Phường Bến Nghé, Quận 1, Thành phố Hồ Chí Minh, Việt Nam ")</f>
        <v>Tầng 15, P.1508 Tòa nhà Vincom Center, Số 72 Lê Thánh Tôn, Phường Bến Nghé, Quận 1, Thành phố Hồ Chí Minh, Việt Nam</v>
      </c>
      <c r="W69" s="73" t="str">
        <f>IFERROR(__xludf.DUMMYFUNCTION("""COMPUTED_VALUE"""),"0317473485")</f>
        <v>0317473485</v>
      </c>
      <c r="X69" s="71"/>
      <c r="Y69" s="63"/>
      <c r="Z69" s="63"/>
      <c r="AA69" s="63"/>
      <c r="AB69" s="71"/>
      <c r="AC69" s="63"/>
      <c r="AD69" s="71"/>
      <c r="AE69" s="63"/>
      <c r="AF69" s="71"/>
      <c r="AG69" s="63"/>
      <c r="AH69" s="71"/>
      <c r="AI69" s="63"/>
      <c r="AJ69" s="71"/>
      <c r="AK69" s="63"/>
    </row>
    <row r="70" ht="18.0" customHeight="1">
      <c r="A70" s="63"/>
      <c r="B70" s="63"/>
      <c r="C70" s="71"/>
      <c r="D70" s="63"/>
      <c r="E70" s="63"/>
      <c r="F70" s="63"/>
      <c r="G70" s="63"/>
      <c r="H70" s="71"/>
      <c r="I70" s="63" t="str">
        <f>IFERROR(__xludf.DUMMYFUNCTION("""COMPUTED_VALUE"""),"Nhãn Decal")</f>
        <v>Nhãn Decal</v>
      </c>
      <c r="J70" s="69">
        <f>IFERROR(__xludf.DUMMYFUNCTION("""COMPUTED_VALUE"""),7.0)</f>
        <v>7</v>
      </c>
      <c r="K70" s="63"/>
      <c r="L70" s="65">
        <f>IFERROR(__xludf.DUMMYFUNCTION("""COMPUTED_VALUE"""),46082.0)</f>
        <v>46082</v>
      </c>
      <c r="M70" s="63" t="b">
        <f>IFERROR(__xludf.DUMMYFUNCTION("""COMPUTED_VALUE"""),FALSE)</f>
        <v>0</v>
      </c>
      <c r="N70" s="71"/>
      <c r="O70" s="66"/>
      <c r="P70" s="71"/>
      <c r="Q70" s="66"/>
      <c r="R70" s="66"/>
      <c r="S70" s="71"/>
      <c r="T70" s="63" t="str">
        <f>IFERROR(__xludf.DUMMYFUNCTION("""COMPUTED_VALUE"""),"CÔNG TY CP SAM CHEM QUẢ CẦU")</f>
        <v>CÔNG TY CP SAM CHEM QUẢ CẦU</v>
      </c>
      <c r="U70" s="63" t="str">
        <f>IFERROR(__xludf.DUMMYFUNCTION("""COMPUTED_VALUE"""),"Sam Chem")</f>
        <v>Sam Chem</v>
      </c>
      <c r="V70" s="76" t="str">
        <f>IFERROR(__xludf.DUMMYFUNCTION("""COMPUTED_VALUE""")," Lầu 7, Số 82 Trần Huy Liệu - Phường 15 - Quận Phú Nhuận - TP HCM ")</f>
        <v>Lầu 7, Số 82 Trần Huy Liệu - Phường 15 - Quận Phú Nhuận - TP HCM</v>
      </c>
      <c r="W70" s="73" t="str">
        <f>IFERROR(__xludf.DUMMYFUNCTION("""COMPUTED_VALUE"""),"0304750798")</f>
        <v>0304750798</v>
      </c>
      <c r="X70" s="71"/>
      <c r="Y70" s="63"/>
      <c r="Z70" s="63"/>
      <c r="AA70" s="63"/>
      <c r="AB70" s="71"/>
      <c r="AC70" s="63"/>
      <c r="AD70" s="71"/>
      <c r="AE70" s="63"/>
      <c r="AF70" s="71"/>
      <c r="AG70" s="63"/>
      <c r="AH70" s="71"/>
      <c r="AI70" s="63"/>
      <c r="AJ70" s="71"/>
      <c r="AK70" s="63"/>
    </row>
    <row r="71" ht="18.0" customHeight="1">
      <c r="A71" s="63"/>
      <c r="B71" s="63"/>
      <c r="C71" s="71"/>
      <c r="D71" s="63"/>
      <c r="E71" s="63"/>
      <c r="F71" s="63"/>
      <c r="G71" s="63"/>
      <c r="H71" s="71"/>
      <c r="I71" s="63" t="str">
        <f>IFERROR(__xludf.DUMMYFUNCTION("""COMPUTED_VALUE"""),"Nhãn Phụ")</f>
        <v>Nhãn Phụ</v>
      </c>
      <c r="J71" s="69">
        <f>IFERROR(__xludf.DUMMYFUNCTION("""COMPUTED_VALUE"""),7.0)</f>
        <v>7</v>
      </c>
      <c r="K71" s="63"/>
      <c r="L71" s="65">
        <f>IFERROR(__xludf.DUMMYFUNCTION("""COMPUTED_VALUE"""),46082.0)</f>
        <v>46082</v>
      </c>
      <c r="M71" s="63" t="b">
        <f>IFERROR(__xludf.DUMMYFUNCTION("""COMPUTED_VALUE"""),FALSE)</f>
        <v>0</v>
      </c>
      <c r="N71" s="71"/>
      <c r="O71" s="66"/>
      <c r="P71" s="71"/>
      <c r="Q71" s="66"/>
      <c r="R71" s="66"/>
      <c r="S71" s="71"/>
      <c r="T71" s="63" t="str">
        <f>IFERROR(__xludf.DUMMYFUNCTION("""COMPUTED_VALUE"""),"CÔNG TY CP ĐẦU TƯ PHÁT TRIỂN THƯƠNG MẠI VÀ DỊCH VỤ THÙY ANH")</f>
        <v>CÔNG TY CP ĐẦU TƯ PHÁT TRIỂN THƯƠNG MẠI VÀ DỊCH VỤ THÙY ANH</v>
      </c>
      <c r="U71" s="63" t="str">
        <f>IFERROR(__xludf.DUMMYFUNCTION("""COMPUTED_VALUE"""),"Thùy Anh")</f>
        <v>Thùy Anh</v>
      </c>
      <c r="V71" s="76" t="str">
        <f>IFERROR(__xludf.DUMMYFUNCTION("""COMPUTED_VALUE""")," Thửa đất số 1, khu đất dịch vụ thôn Yên Vĩnh, xã Kim Chung, huyện Hoài Đức, TP Hà Nội33/4F ")</f>
        <v>Thửa đất số 1, khu đất dịch vụ thôn Yên Vĩnh, xã Kim Chung, huyện Hoài Đức, TP Hà Nội33/4F</v>
      </c>
      <c r="W71" s="59" t="str">
        <f>IFERROR(__xludf.DUMMYFUNCTION("""COMPUTED_VALUE"""),"0109206922")</f>
        <v>0109206922</v>
      </c>
      <c r="X71" s="71"/>
      <c r="Y71" s="63"/>
      <c r="Z71" s="63"/>
      <c r="AA71" s="63"/>
      <c r="AB71" s="71"/>
      <c r="AC71" s="63"/>
      <c r="AD71" s="71"/>
      <c r="AE71" s="63"/>
      <c r="AF71" s="71"/>
      <c r="AG71" s="63"/>
      <c r="AH71" s="71"/>
      <c r="AI71" s="63"/>
      <c r="AJ71" s="71"/>
      <c r="AK71" s="63"/>
    </row>
    <row r="72" ht="18.0" customHeight="1">
      <c r="A72" s="63"/>
      <c r="B72" s="63"/>
      <c r="C72" s="71"/>
      <c r="D72" s="63"/>
      <c r="E72" s="63"/>
      <c r="F72" s="63"/>
      <c r="G72" s="63"/>
      <c r="H72" s="71"/>
      <c r="I72" s="63" t="str">
        <f>IFERROR(__xludf.DUMMYFUNCTION("""COMPUTED_VALUE"""),"Nhãn Metalize")</f>
        <v>Nhãn Metalize</v>
      </c>
      <c r="J72" s="69">
        <f>IFERROR(__xludf.DUMMYFUNCTION("""COMPUTED_VALUE"""),12.0)</f>
        <v>12</v>
      </c>
      <c r="K72" s="63"/>
      <c r="L72" s="65">
        <f>IFERROR(__xludf.DUMMYFUNCTION("""COMPUTED_VALUE"""),46082.0)</f>
        <v>46082</v>
      </c>
      <c r="M72" s="63" t="b">
        <f>IFERROR(__xludf.DUMMYFUNCTION("""COMPUTED_VALUE"""),FALSE)</f>
        <v>0</v>
      </c>
      <c r="N72" s="71"/>
      <c r="O72" s="66"/>
      <c r="P72" s="71"/>
      <c r="Q72" s="66"/>
      <c r="R72" s="66"/>
      <c r="S72" s="71"/>
      <c r="T72" s="63" t="str">
        <f>IFERROR(__xludf.DUMMYFUNCTION("""COMPUTED_VALUE"""),"CÔNG TY TNHH THIẾT BỊ KHOA HỌC CÔNG NGHỆ HKM")</f>
        <v>CÔNG TY TNHH THIẾT BỊ KHOA HỌC CÔNG NGHỆ HKM</v>
      </c>
      <c r="U72" s="63" t="str">
        <f>IFERROR(__xludf.DUMMYFUNCTION("""COMPUTED_VALUE"""),"Hkm")</f>
        <v>Hkm</v>
      </c>
      <c r="V72" s="76" t="str">
        <f>IFERROR(__xludf.DUMMYFUNCTION("""COMPUTED_VALUE""")," 52/4T Đường Xuân Thới 3, Ấp Xuân Thới Đông 2, Xã Xuân Thới Đông, Huyện Hóc Môn, Thành phố Hồ Chí Minh, Việt Nam ")</f>
        <v>52/4T Đường Xuân Thới 3, Ấp Xuân Thới Đông 2, Xã Xuân Thới Đông, Huyện Hóc Môn, Thành phố Hồ Chí Minh, Việt Nam</v>
      </c>
      <c r="W72" s="59" t="str">
        <f>IFERROR(__xludf.DUMMYFUNCTION("""COMPUTED_VALUE"""),"0312965740")</f>
        <v>0312965740</v>
      </c>
      <c r="X72" s="71"/>
      <c r="Y72" s="63"/>
      <c r="Z72" s="63"/>
      <c r="AA72" s="63"/>
      <c r="AB72" s="71"/>
      <c r="AC72" s="63"/>
      <c r="AD72" s="71"/>
      <c r="AE72" s="63"/>
      <c r="AF72" s="71"/>
      <c r="AG72" s="63"/>
      <c r="AH72" s="71"/>
      <c r="AI72" s="63"/>
      <c r="AJ72" s="71"/>
      <c r="AK72" s="63"/>
    </row>
    <row r="73" ht="18.0" customHeight="1">
      <c r="A73" s="63"/>
      <c r="B73" s="63"/>
      <c r="C73" s="71"/>
      <c r="D73" s="63"/>
      <c r="E73" s="63"/>
      <c r="F73" s="63"/>
      <c r="G73" s="63"/>
      <c r="H73" s="71"/>
      <c r="I73" s="63" t="str">
        <f>IFERROR(__xludf.DUMMYFUNCTION("""COMPUTED_VALUE"""),"Nhãn dán thùng")</f>
        <v>Nhãn dán thùng</v>
      </c>
      <c r="J73" s="69">
        <f>IFERROR(__xludf.DUMMYFUNCTION("""COMPUTED_VALUE"""),7.0)</f>
        <v>7</v>
      </c>
      <c r="K73" s="63"/>
      <c r="L73" s="65">
        <f>IFERROR(__xludf.DUMMYFUNCTION("""COMPUTED_VALUE"""),46082.0)</f>
        <v>46082</v>
      </c>
      <c r="M73" s="63" t="b">
        <f>IFERROR(__xludf.DUMMYFUNCTION("""COMPUTED_VALUE"""),FALSE)</f>
        <v>0</v>
      </c>
      <c r="N73" s="71"/>
      <c r="O73" s="66"/>
      <c r="P73" s="71"/>
      <c r="Q73" s="66"/>
      <c r="R73" s="66"/>
      <c r="S73" s="71"/>
      <c r="T73" s="63" t="str">
        <f>IFERROR(__xludf.DUMMYFUNCTION("""COMPUTED_VALUE"""),"CÔNG TY TNHH CÔNG NGHIỆP MỸ KỲ")</f>
        <v>CÔNG TY TNHH CÔNG NGHIỆP MỸ KỲ</v>
      </c>
      <c r="U73" s="63" t="str">
        <f>IFERROR(__xludf.DUMMYFUNCTION("""COMPUTED_VALUE"""),"Mỹ Kỳ")</f>
        <v>Mỹ Kỳ</v>
      </c>
      <c r="V73" s="76" t="str">
        <f>IFERROR(__xludf.DUMMYFUNCTION("""COMPUTED_VALUE""")," 87/1 Đường TL 41, Phường An Phú Đông, Thành phố Hồ Chí Minh, Việt Nam ")</f>
        <v>87/1 Đường TL 41, Phường An Phú Đông, Thành phố Hồ Chí Minh, Việt Nam</v>
      </c>
      <c r="W73" s="59" t="str">
        <f>IFERROR(__xludf.DUMMYFUNCTION("""COMPUTED_VALUE"""),"0313245382")</f>
        <v>0313245382</v>
      </c>
      <c r="X73" s="71"/>
      <c r="Y73" s="63"/>
      <c r="Z73" s="63"/>
      <c r="AA73" s="63"/>
      <c r="AB73" s="71"/>
      <c r="AC73" s="63"/>
      <c r="AD73" s="71"/>
      <c r="AE73" s="63"/>
      <c r="AF73" s="71"/>
      <c r="AG73" s="63"/>
      <c r="AH73" s="71"/>
      <c r="AI73" s="63"/>
      <c r="AJ73" s="71"/>
      <c r="AK73" s="63"/>
    </row>
    <row r="74" ht="18.0" customHeight="1">
      <c r="A74" s="63"/>
      <c r="B74" s="63"/>
      <c r="C74" s="71"/>
      <c r="D74" s="63"/>
      <c r="E74" s="63"/>
      <c r="F74" s="63"/>
      <c r="G74" s="63"/>
      <c r="H74" s="71"/>
      <c r="I74" s="63" t="str">
        <f>IFERROR(__xludf.DUMMYFUNCTION("""COMPUTED_VALUE"""),"Cốc đong")</f>
        <v>Cốc đong</v>
      </c>
      <c r="J74" s="69">
        <f>IFERROR(__xludf.DUMMYFUNCTION("""COMPUTED_VALUE"""),15.0)</f>
        <v>15</v>
      </c>
      <c r="K74" s="63" t="str">
        <f>IFERROR(__xludf.DUMMYFUNCTION("""COMPUTED_VALUE"""),"Cốc đong NCC giao chung hàng với chai.")</f>
        <v>Cốc đong NCC giao chung hàng với chai.</v>
      </c>
      <c r="L74" s="65">
        <f>IFERROR(__xludf.DUMMYFUNCTION("""COMPUTED_VALUE"""),46082.0)</f>
        <v>46082</v>
      </c>
      <c r="M74" s="63" t="b">
        <f>IFERROR(__xludf.DUMMYFUNCTION("""COMPUTED_VALUE"""),FALSE)</f>
        <v>0</v>
      </c>
      <c r="N74" s="71"/>
      <c r="O74" s="66"/>
      <c r="P74" s="71"/>
      <c r="Q74" s="66"/>
      <c r="R74" s="66"/>
      <c r="S74" s="71"/>
      <c r="T74" s="63" t="str">
        <f>IFERROR(__xludf.DUMMYFUNCTION("""COMPUTED_VALUE"""),"CÔNG TY TNHH ĐẦU TƯ THƯƠNG MẠI SÀI GÒN NGUYỄN")</f>
        <v>CÔNG TY TNHH ĐẦU TƯ THƯƠNG MẠI SÀI GÒN NGUYỄN</v>
      </c>
      <c r="U74" s="63" t="str">
        <f>IFERROR(__xludf.DUMMYFUNCTION("""COMPUTED_VALUE"""),"Sài Gòn Nguyễn")</f>
        <v>Sài Gòn Nguyễn</v>
      </c>
      <c r="V74" s="76" t="str">
        <f>IFERROR(__xludf.DUMMYFUNCTION("""COMPUTED_VALUE""")," 30/12/18 Đường 49, Phường Hiệp Bình, Thành phố Hồ Chí Minh, Việt Nam ")</f>
        <v>30/12/18 Đường 49, Phường Hiệp Bình, Thành phố Hồ Chí Minh, Việt Nam</v>
      </c>
      <c r="W74" s="59" t="str">
        <f>IFERROR(__xludf.DUMMYFUNCTION("""COMPUTED_VALUE"""),"0314511301")</f>
        <v>0314511301</v>
      </c>
      <c r="X74" s="71"/>
      <c r="Y74" s="63"/>
      <c r="Z74" s="63"/>
      <c r="AA74" s="63"/>
      <c r="AB74" s="71"/>
      <c r="AC74" s="63"/>
      <c r="AD74" s="71"/>
      <c r="AE74" s="63"/>
      <c r="AF74" s="71"/>
      <c r="AG74" s="63"/>
      <c r="AH74" s="71"/>
      <c r="AI74" s="63"/>
      <c r="AJ74" s="71"/>
      <c r="AK74" s="63"/>
    </row>
    <row r="75" ht="18.0" customHeight="1">
      <c r="A75" s="63"/>
      <c r="B75" s="63"/>
      <c r="C75" s="71"/>
      <c r="D75" s="63"/>
      <c r="E75" s="63"/>
      <c r="F75" s="63"/>
      <c r="G75" s="63"/>
      <c r="H75" s="71"/>
      <c r="I75" s="63" t="str">
        <f>IFERROR(__xludf.DUMMYFUNCTION("""COMPUTED_VALUE"""),"Túi rời")</f>
        <v>Túi rời</v>
      </c>
      <c r="J75" s="69">
        <f>IFERROR(__xludf.DUMMYFUNCTION("""COMPUTED_VALUE"""),15.0)</f>
        <v>15</v>
      </c>
      <c r="K75" s="63" t="str">
        <f>IFERROR(__xludf.DUMMYFUNCTION("""COMPUTED_VALUE"""),"Nhãn túi (Tân Đức)
&lt;5.000 túi: 12 ngày
&gt; 5.000 túi: 15 ngày")</f>
        <v>Nhãn túi (Tân Đức)
&lt;5.000 túi: 12 ngày
&gt; 5.000 túi: 15 ngày</v>
      </c>
      <c r="L75" s="65">
        <f>IFERROR(__xludf.DUMMYFUNCTION("""COMPUTED_VALUE"""),46023.0)</f>
        <v>46023</v>
      </c>
      <c r="M75" s="63" t="b">
        <f>IFERROR(__xludf.DUMMYFUNCTION("""COMPUTED_VALUE"""),FALSE)</f>
        <v>0</v>
      </c>
      <c r="N75" s="71"/>
      <c r="O75" s="66"/>
      <c r="P75" s="71"/>
      <c r="Q75" s="66"/>
      <c r="R75" s="66"/>
      <c r="S75" s="71"/>
      <c r="T75" s="63" t="str">
        <f>IFERROR(__xludf.DUMMYFUNCTION("""COMPUTED_VALUE"""),"CÔNG TY TNHH INTRIE")</f>
        <v>CÔNG TY TNHH INTRIE</v>
      </c>
      <c r="U75" s="63" t="str">
        <f>IFERROR(__xludf.DUMMYFUNCTION("""COMPUTED_VALUE"""),"Intrie")</f>
        <v>Intrie</v>
      </c>
      <c r="V75" s="76" t="str">
        <f>IFERROR(__xludf.DUMMYFUNCTION("""COMPUTED_VALUE""")," 56/16 Nguyễn Văn Săng, Phường Tân Sơn Nhì, Thành phố Hồ Chí Minh, Việt Nam ")</f>
        <v>56/16 Nguyễn Văn Săng, Phường Tân Sơn Nhì, Thành phố Hồ Chí Minh, Việt Nam</v>
      </c>
      <c r="W75" s="59" t="str">
        <f>IFERROR(__xludf.DUMMYFUNCTION("""COMPUTED_VALUE"""),"0317214025")</f>
        <v>0317214025</v>
      </c>
      <c r="X75" s="71"/>
      <c r="Y75" s="63"/>
      <c r="Z75" s="63"/>
      <c r="AA75" s="63"/>
      <c r="AB75" s="71"/>
      <c r="AC75" s="63"/>
      <c r="AD75" s="71"/>
      <c r="AE75" s="63"/>
      <c r="AF75" s="71"/>
      <c r="AG75" s="63"/>
      <c r="AH75" s="71"/>
      <c r="AI75" s="63"/>
      <c r="AJ75" s="71"/>
      <c r="AK75" s="63"/>
    </row>
    <row r="76" ht="18.0" customHeight="1">
      <c r="A76" s="63"/>
      <c r="B76" s="63"/>
      <c r="C76" s="71"/>
      <c r="D76" s="63"/>
      <c r="E76" s="63"/>
      <c r="F76" s="63"/>
      <c r="G76" s="63"/>
      <c r="H76" s="71"/>
      <c r="I76" s="63" t="str">
        <f>IFERROR(__xludf.DUMMYFUNCTION("""COMPUTED_VALUE"""),"Túi trục")</f>
        <v>Túi trục</v>
      </c>
      <c r="J76" s="69">
        <f>IFERROR(__xludf.DUMMYFUNCTION("""COMPUTED_VALUE"""),21.0)</f>
        <v>21</v>
      </c>
      <c r="K76" s="63" t="str">
        <f>IFERROR(__xludf.DUMMYFUNCTION("""COMPUTED_VALUE"""),"Làm trục: 12 - 15 ngày
In túi: 3 -5 ngày
Cắt: 1-2 ngày")</f>
        <v>Làm trục: 12 - 15 ngày
In túi: 3 -5 ngày
Cắt: 1-2 ngày</v>
      </c>
      <c r="L76" s="65">
        <f>IFERROR(__xludf.DUMMYFUNCTION("""COMPUTED_VALUE"""),46082.0)</f>
        <v>46082</v>
      </c>
      <c r="M76" s="63" t="b">
        <f>IFERROR(__xludf.DUMMYFUNCTION("""COMPUTED_VALUE"""),FALSE)</f>
        <v>0</v>
      </c>
      <c r="N76" s="71"/>
      <c r="O76" s="66"/>
      <c r="P76" s="71"/>
      <c r="Q76" s="66"/>
      <c r="R76" s="66"/>
      <c r="S76" s="71"/>
      <c r="T76" s="63" t="str">
        <f>IFERROR(__xludf.DUMMYFUNCTION("""COMPUTED_VALUE"""),"CÔNG TY TNHH MỘT THÀNH VIÊN TM AN KHÁNH")</f>
        <v>CÔNG TY TNHH MỘT THÀNH VIÊN TM AN KHÁNH</v>
      </c>
      <c r="U76" s="63" t="str">
        <f>IFERROR(__xludf.DUMMYFUNCTION("""COMPUTED_VALUE"""),"Kpos")</f>
        <v>Kpos</v>
      </c>
      <c r="V76" s="76" t="str">
        <f>IFERROR(__xludf.DUMMYFUNCTION("""COMPUTED_VALUE""")," 623 Tên Lửa, Phường An Lạc, Thành phố Hồ Chí Minh, Việt Nam ")</f>
        <v>623 Tên Lửa, Phường An Lạc, Thành phố Hồ Chí Minh, Việt Nam</v>
      </c>
      <c r="W76" s="59" t="str">
        <f>IFERROR(__xludf.DUMMYFUNCTION("""COMPUTED_VALUE"""),"0316113105")</f>
        <v>0316113105</v>
      </c>
      <c r="X76" s="71"/>
      <c r="Y76" s="63"/>
      <c r="Z76" s="63"/>
      <c r="AA76" s="63"/>
      <c r="AB76" s="71"/>
      <c r="AC76" s="63"/>
      <c r="AD76" s="71"/>
      <c r="AE76" s="63"/>
      <c r="AF76" s="71"/>
      <c r="AG76" s="63"/>
      <c r="AH76" s="71"/>
      <c r="AI76" s="63"/>
      <c r="AJ76" s="71"/>
      <c r="AK76" s="63"/>
    </row>
    <row r="77" ht="18.0" customHeight="1">
      <c r="A77" s="63"/>
      <c r="B77" s="63"/>
      <c r="C77" s="71"/>
      <c r="D77" s="63"/>
      <c r="E77" s="63"/>
      <c r="F77" s="63"/>
      <c r="G77" s="63"/>
      <c r="H77" s="71"/>
      <c r="I77" s="63" t="str">
        <f>IFERROR(__xludf.DUMMYFUNCTION("""COMPUTED_VALUE"""),"Túi in cuộn (không trục)")</f>
        <v>Túi in cuộn (không trục)</v>
      </c>
      <c r="J77" s="69">
        <f>IFERROR(__xludf.DUMMYFUNCTION("""COMPUTED_VALUE"""),14.0)</f>
        <v>14</v>
      </c>
      <c r="K77" s="63" t="str">
        <f>IFERROR(__xludf.DUMMYFUNCTION("""COMPUTED_VALUE"""),"Nhãn túi")</f>
        <v>Nhãn túi</v>
      </c>
      <c r="L77" s="65">
        <f>IFERROR(__xludf.DUMMYFUNCTION("""COMPUTED_VALUE"""),46082.0)</f>
        <v>46082</v>
      </c>
      <c r="M77" s="63" t="b">
        <f>IFERROR(__xludf.DUMMYFUNCTION("""COMPUTED_VALUE"""),FALSE)</f>
        <v>0</v>
      </c>
      <c r="N77" s="71"/>
      <c r="O77" s="66"/>
      <c r="P77" s="71"/>
      <c r="Q77" s="66"/>
      <c r="R77" s="66"/>
      <c r="S77" s="71"/>
      <c r="T77" s="63" t="str">
        <f>IFERROR(__xludf.DUMMYFUNCTION("""COMPUTED_VALUE"""),"CÔNG TY TNHH WAF BRANDS")</f>
        <v>CÔNG TY TNHH WAF BRANDS</v>
      </c>
      <c r="U77" s="63" t="str">
        <f>IFERROR(__xludf.DUMMYFUNCTION("""COMPUTED_VALUE"""),"Hdsd Antisol")</f>
        <v>Hdsd Antisol</v>
      </c>
      <c r="V77" s="76" t="str">
        <f>IFERROR(__xludf.DUMMYFUNCTION("""COMPUTED_VALUE""")," 72/1 Nguyễn Trãi, Phường Ninh Kiều, Thành phố Cần Thơ, Việt Nam ")</f>
        <v>72/1 Nguyễn Trãi, Phường Ninh Kiều, Thành phố Cần Thơ, Việt Nam</v>
      </c>
      <c r="W77" s="76" t="str">
        <f>IFERROR(__xludf.DUMMYFUNCTION("""COMPUTED_VALUE""")," 1801773973 ")</f>
        <v>1801773973</v>
      </c>
      <c r="X77" s="71"/>
      <c r="Y77" s="63"/>
      <c r="Z77" s="63"/>
      <c r="AA77" s="63"/>
      <c r="AB77" s="71"/>
      <c r="AC77" s="63"/>
      <c r="AD77" s="71"/>
      <c r="AE77" s="63"/>
      <c r="AF77" s="71"/>
      <c r="AG77" s="63"/>
      <c r="AH77" s="71"/>
      <c r="AI77" s="63"/>
      <c r="AJ77" s="71"/>
      <c r="AK77" s="63"/>
    </row>
    <row r="78" ht="18.0" customHeight="1">
      <c r="A78" s="63"/>
      <c r="B78" s="63"/>
      <c r="C78" s="71"/>
      <c r="D78" s="63"/>
      <c r="E78" s="63"/>
      <c r="F78" s="63"/>
      <c r="G78" s="63"/>
      <c r="H78" s="71"/>
      <c r="I78" s="63" t="str">
        <f>IFERROR(__xludf.DUMMYFUNCTION("""COMPUTED_VALUE"""),"Túi PE (Túi nilong)")</f>
        <v>Túi PE (Túi nilong)</v>
      </c>
      <c r="J78" s="69">
        <f>IFERROR(__xludf.DUMMYFUNCTION("""COMPUTED_VALUE"""),7.0)</f>
        <v>7</v>
      </c>
      <c r="K78" s="63"/>
      <c r="L78" s="65">
        <f>IFERROR(__xludf.DUMMYFUNCTION("""COMPUTED_VALUE"""),46082.0)</f>
        <v>46082</v>
      </c>
      <c r="M78" s="63" t="b">
        <f>IFERROR(__xludf.DUMMYFUNCTION("""COMPUTED_VALUE"""),TRUE)</f>
        <v>1</v>
      </c>
      <c r="N78" s="71"/>
      <c r="O78" s="66"/>
      <c r="P78" s="71"/>
      <c r="Q78" s="66"/>
      <c r="R78" s="66"/>
      <c r="S78" s="71"/>
      <c r="T78" s="63" t="str">
        <f>IFERROR(__xludf.DUMMYFUNCTION("""COMPUTED_VALUE"""),"CÔNG TY TNHH IN BAO BÌ TRÍ TÍN")</f>
        <v>CÔNG TY TNHH IN BAO BÌ TRÍ TÍN</v>
      </c>
      <c r="U78" s="63" t="str">
        <f>IFERROR(__xludf.DUMMYFUNCTION("""COMPUTED_VALUE"""),"Trí Tín")</f>
        <v>Trí Tín</v>
      </c>
      <c r="V78" s="76" t="str">
        <f>IFERROR(__xludf.DUMMYFUNCTION("""COMPUTED_VALUE""")," 168/59A Đường Bình Trị Đông, Phường Bình Trị Đông, Thành phố Hồ Chí Minh, Việt Nam ")</f>
        <v>168/59A Đường Bình Trị Đông, Phường Bình Trị Đông, Thành phố Hồ Chí Minh, Việt Nam</v>
      </c>
      <c r="W78" s="59" t="str">
        <f>IFERROR(__xludf.DUMMYFUNCTION("""COMPUTED_VALUE"""),"0311841439")</f>
        <v>0311841439</v>
      </c>
      <c r="X78" s="71"/>
      <c r="Y78" s="63"/>
      <c r="Z78" s="63"/>
      <c r="AA78" s="63"/>
      <c r="AB78" s="71"/>
      <c r="AC78" s="63"/>
      <c r="AD78" s="71"/>
      <c r="AE78" s="63"/>
      <c r="AF78" s="71"/>
      <c r="AG78" s="63"/>
      <c r="AH78" s="71"/>
      <c r="AI78" s="63"/>
      <c r="AJ78" s="71"/>
      <c r="AK78" s="63"/>
    </row>
    <row r="79" ht="18.0" customHeight="1">
      <c r="A79" s="63"/>
      <c r="B79" s="63"/>
      <c r="C79" s="71"/>
      <c r="D79" s="63"/>
      <c r="E79" s="63"/>
      <c r="F79" s="63"/>
      <c r="G79" s="63"/>
      <c r="H79" s="71"/>
      <c r="I79" s="63" t="str">
        <f>IFERROR(__xludf.DUMMYFUNCTION("""COMPUTED_VALUE"""),"Túi PE (Túi nilong)")</f>
        <v>Túi PE (Túi nilong)</v>
      </c>
      <c r="J79" s="69">
        <f>IFERROR(__xludf.DUMMYFUNCTION("""COMPUTED_VALUE"""),14.0)</f>
        <v>14</v>
      </c>
      <c r="K79" s="63"/>
      <c r="L79" s="65">
        <f>IFERROR(__xludf.DUMMYFUNCTION("""COMPUTED_VALUE"""),46082.0)</f>
        <v>46082</v>
      </c>
      <c r="M79" s="63" t="b">
        <f>IFERROR(__xludf.DUMMYFUNCTION("""COMPUTED_VALUE"""),FALSE)</f>
        <v>0</v>
      </c>
      <c r="N79" s="71"/>
      <c r="O79" s="66"/>
      <c r="P79" s="71"/>
      <c r="Q79" s="66"/>
      <c r="R79" s="66"/>
      <c r="S79" s="71"/>
      <c r="T79" s="63" t="str">
        <f>IFERROR(__xludf.DUMMYFUNCTION("""COMPUTED_VALUE"""),"CÔNG TY TNHH SẢN XUẤT BAO BÌ NHỰA SÁNG TÂM")</f>
        <v>CÔNG TY TNHH SẢN XUẤT BAO BÌ NHỰA SÁNG TÂM</v>
      </c>
      <c r="U79" s="63" t="str">
        <f>IFERROR(__xludf.DUMMYFUNCTION("""COMPUTED_VALUE"""),"Sáng Tâm")</f>
        <v>Sáng Tâm</v>
      </c>
      <c r="V79" s="76" t="str">
        <f>IFERROR(__xludf.DUMMYFUNCTION("""COMPUTED_VALUE""")," 841 Quốc Lộ 1A, Phường Bình Hưng Hòa, Thành phố Hồ Chí Minh, Việt Nam ")</f>
        <v>841 Quốc Lộ 1A, Phường Bình Hưng Hòa, Thành phố Hồ Chí Minh, Việt Nam</v>
      </c>
      <c r="W79" s="59" t="str">
        <f>IFERROR(__xludf.DUMMYFUNCTION("""COMPUTED_VALUE"""),"0317140831")</f>
        <v>0317140831</v>
      </c>
      <c r="X79" s="71"/>
      <c r="Y79" s="63"/>
      <c r="Z79" s="63"/>
      <c r="AA79" s="63"/>
      <c r="AB79" s="71"/>
      <c r="AC79" s="63"/>
      <c r="AD79" s="71"/>
      <c r="AE79" s="63"/>
      <c r="AF79" s="71"/>
      <c r="AG79" s="63"/>
      <c r="AH79" s="71"/>
      <c r="AI79" s="63"/>
      <c r="AJ79" s="71"/>
      <c r="AK79" s="63"/>
    </row>
    <row r="80" ht="18.0" customHeight="1">
      <c r="A80" s="63"/>
      <c r="B80" s="63"/>
      <c r="C80" s="71"/>
      <c r="D80" s="63"/>
      <c r="E80" s="63"/>
      <c r="F80" s="63"/>
      <c r="G80" s="63"/>
      <c r="H80" s="71"/>
      <c r="I80" s="63" t="str">
        <f>IFERROR(__xludf.DUMMYFUNCTION("""COMPUTED_VALUE"""),"Túi Zip")</f>
        <v>Túi Zip</v>
      </c>
      <c r="J80" s="69">
        <f>IFERROR(__xludf.DUMMYFUNCTION("""COMPUTED_VALUE"""),7.0)</f>
        <v>7</v>
      </c>
      <c r="K80" s="63"/>
      <c r="L80" s="65">
        <f>IFERROR(__xludf.DUMMYFUNCTION("""COMPUTED_VALUE"""),46082.0)</f>
        <v>46082</v>
      </c>
      <c r="M80" s="63" t="b">
        <f>IFERROR(__xludf.DUMMYFUNCTION("""COMPUTED_VALUE"""),TRUE)</f>
        <v>1</v>
      </c>
      <c r="N80" s="71"/>
      <c r="O80" s="66"/>
      <c r="P80" s="71"/>
      <c r="Q80" s="66"/>
      <c r="R80" s="66"/>
      <c r="S80" s="71"/>
      <c r="T80" s="63" t="str">
        <f>IFERROR(__xludf.DUMMYFUNCTION("""COMPUTED_VALUE"""),"CÔNG TY TRÁCH NHIỆM HỮU HẠN SẢN XUẤT THƯƠNG MẠI THIÊN AN PHÚ")</f>
        <v>CÔNG TY TRÁCH NHIỆM HỮU HẠN SẢN XUẤT THƯƠNG MẠI THIÊN AN PHÚ</v>
      </c>
      <c r="U80" s="63" t="str">
        <f>IFERROR(__xludf.DUMMYFUNCTION("""COMPUTED_VALUE"""),"Thiên An Phú")</f>
        <v>Thiên An Phú</v>
      </c>
      <c r="V80" s="76" t="str">
        <f>IFERROR(__xludf.DUMMYFUNCTION("""COMPUTED_VALUE""")," 1A140 Vĩnh Lộc, Xã Phạm Văn Hai, Huyện Bình Chánh, Thành phố Hồ Chí Minh, Việt Nam ")</f>
        <v>1A140 Vĩnh Lộc, Xã Phạm Văn Hai, Huyện Bình Chánh, Thành phố Hồ Chí Minh, Việt Nam</v>
      </c>
      <c r="W80" s="59" t="str">
        <f>IFERROR(__xludf.DUMMYFUNCTION("""COMPUTED_VALUE"""),"0314862758")</f>
        <v>0314862758</v>
      </c>
      <c r="X80" s="71"/>
      <c r="Y80" s="63"/>
      <c r="Z80" s="63"/>
      <c r="AA80" s="63"/>
      <c r="AB80" s="71"/>
      <c r="AC80" s="63"/>
      <c r="AD80" s="71"/>
      <c r="AE80" s="63"/>
      <c r="AF80" s="71"/>
      <c r="AG80" s="63"/>
      <c r="AH80" s="71"/>
      <c r="AI80" s="63"/>
      <c r="AJ80" s="71"/>
      <c r="AK80" s="63"/>
    </row>
    <row r="81" ht="18.0" customHeight="1">
      <c r="A81" s="63"/>
      <c r="B81" s="63"/>
      <c r="C81" s="71"/>
      <c r="D81" s="63"/>
      <c r="E81" s="63"/>
      <c r="F81" s="63"/>
      <c r="G81" s="63"/>
      <c r="H81" s="71"/>
      <c r="I81" s="63" t="str">
        <f>IFERROR(__xludf.DUMMYFUNCTION("""COMPUTED_VALUE"""),"Túi Zip")</f>
        <v>Túi Zip</v>
      </c>
      <c r="J81" s="69">
        <f>IFERROR(__xludf.DUMMYFUNCTION("""COMPUTED_VALUE"""),14.0)</f>
        <v>14</v>
      </c>
      <c r="K81" s="63"/>
      <c r="L81" s="65">
        <f>IFERROR(__xludf.DUMMYFUNCTION("""COMPUTED_VALUE"""),46082.0)</f>
        <v>46082</v>
      </c>
      <c r="M81" s="63" t="b">
        <f>IFERROR(__xludf.DUMMYFUNCTION("""COMPUTED_VALUE"""),FALSE)</f>
        <v>0</v>
      </c>
      <c r="N81" s="71"/>
      <c r="O81" s="66"/>
      <c r="P81" s="71"/>
      <c r="Q81" s="66"/>
      <c r="R81" s="66"/>
      <c r="S81" s="71"/>
      <c r="T81" s="63" t="str">
        <f>IFERROR(__xludf.DUMMYFUNCTION("""COMPUTED_VALUE"""),"CÔNG TY TNHH MỸ THUẬT ỨNG DỤNG MASTER")</f>
        <v>CÔNG TY TNHH MỸ THUẬT ỨNG DỤNG MASTER</v>
      </c>
      <c r="U81" s="63" t="str">
        <f>IFERROR(__xludf.DUMMYFUNCTION("""COMPUTED_VALUE"""),"Oanh Design")</f>
        <v>Oanh Design</v>
      </c>
      <c r="V81" s="63" t="str">
        <f>IFERROR(__xludf.DUMMYFUNCTION("""COMPUTED_VALUE"""),"240/32 Nguyễn Văn Luông, Phường Bình Phú, TP Hồ Chí Minh, Việt Nam")</f>
        <v>240/32 Nguyễn Văn Luông, Phường Bình Phú, TP Hồ Chí Minh, Việt Nam</v>
      </c>
      <c r="W81" s="73" t="str">
        <f>IFERROR(__xludf.DUMMYFUNCTION("""COMPUTED_VALUE"""),"0317050521")</f>
        <v>0317050521</v>
      </c>
      <c r="X81" s="71"/>
      <c r="Y81" s="63"/>
      <c r="Z81" s="63"/>
      <c r="AA81" s="63"/>
      <c r="AB81" s="71"/>
      <c r="AC81" s="63"/>
      <c r="AD81" s="71"/>
      <c r="AE81" s="63"/>
      <c r="AF81" s="71"/>
      <c r="AG81" s="63"/>
      <c r="AH81" s="71"/>
      <c r="AI81" s="63"/>
      <c r="AJ81" s="71"/>
      <c r="AK81" s="63"/>
    </row>
    <row r="82" ht="18.0" customHeight="1">
      <c r="A82" s="63"/>
      <c r="B82" s="63"/>
      <c r="C82" s="71"/>
      <c r="D82" s="63"/>
      <c r="E82" s="63"/>
      <c r="F82" s="63"/>
      <c r="G82" s="63"/>
      <c r="H82" s="71"/>
      <c r="I82" s="63" t="str">
        <f>IFERROR(__xludf.DUMMYFUNCTION("""COMPUTED_VALUE"""),"Túi PA 3 biên")</f>
        <v>Túi PA 3 biên</v>
      </c>
      <c r="J82" s="63">
        <f>IFERROR(__xludf.DUMMYFUNCTION("""COMPUTED_VALUE"""),7.0)</f>
        <v>7</v>
      </c>
      <c r="K82" s="69"/>
      <c r="L82" s="65">
        <f>IFERROR(__xludf.DUMMYFUNCTION("""COMPUTED_VALUE"""),46082.0)</f>
        <v>46082</v>
      </c>
      <c r="M82" s="63" t="b">
        <f>IFERROR(__xludf.DUMMYFUNCTION("""COMPUTED_VALUE"""),TRUE)</f>
        <v>1</v>
      </c>
      <c r="N82" s="71"/>
      <c r="O82" s="66"/>
      <c r="P82" s="71"/>
      <c r="Q82" s="66"/>
      <c r="R82" s="66"/>
      <c r="S82" s="71"/>
      <c r="T82" s="63" t="str">
        <f>IFERROR(__xludf.DUMMYFUNCTION("""COMPUTED_VALUE"""),"CÔNG TY TNHH XNK HIỆP PHÁT CHEM")</f>
        <v>CÔNG TY TNHH XNK HIỆP PHÁT CHEM</v>
      </c>
      <c r="U82" s="63" t="str">
        <f>IFERROR(__xludf.DUMMYFUNCTION("""COMPUTED_VALUE"""),"Hiệp Phát")</f>
        <v>Hiệp Phát</v>
      </c>
      <c r="V82" s="76" t="str">
        <f>IFERROR(__xludf.DUMMYFUNCTION("""COMPUTED_VALUE""")," Lô Q17A-18 đường số 11, KCN Hải Sơn mở rộng (GĐ 3+4), Xã Đức Hòa , Tỉnh Tây Ninh, Việt Nam ")</f>
        <v>Lô Q17A-18 đường số 11, KCN Hải Sơn mở rộng (GĐ 3+4), Xã Đức Hòa , Tỉnh Tây Ninh, Việt Nam</v>
      </c>
      <c r="W82" s="59" t="str">
        <f>IFERROR(__xludf.DUMMYFUNCTION("""COMPUTED_VALUE"""),"1101925116")</f>
        <v>1101925116</v>
      </c>
      <c r="X82" s="71"/>
      <c r="Y82" s="63"/>
      <c r="Z82" s="63"/>
      <c r="AA82" s="63"/>
      <c r="AB82" s="71"/>
      <c r="AC82" s="63"/>
      <c r="AD82" s="71"/>
      <c r="AE82" s="63"/>
      <c r="AF82" s="71"/>
      <c r="AG82" s="63"/>
      <c r="AH82" s="71"/>
      <c r="AI82" s="63"/>
      <c r="AJ82" s="71"/>
      <c r="AK82" s="63"/>
    </row>
    <row r="83" ht="18.0" customHeight="1">
      <c r="A83" s="63"/>
      <c r="B83" s="63"/>
      <c r="C83" s="71"/>
      <c r="D83" s="63"/>
      <c r="E83" s="63"/>
      <c r="F83" s="63"/>
      <c r="G83" s="63"/>
      <c r="H83" s="71"/>
      <c r="I83" s="63" t="str">
        <f>IFERROR(__xludf.DUMMYFUNCTION("""COMPUTED_VALUE"""),"Túi PA 3 biên")</f>
        <v>Túi PA 3 biên</v>
      </c>
      <c r="J83" s="63">
        <f>IFERROR(__xludf.DUMMYFUNCTION("""COMPUTED_VALUE"""),14.0)</f>
        <v>14</v>
      </c>
      <c r="K83" s="69"/>
      <c r="L83" s="65">
        <f>IFERROR(__xludf.DUMMYFUNCTION("""COMPUTED_VALUE"""),46082.0)</f>
        <v>46082</v>
      </c>
      <c r="M83" s="63" t="b">
        <f>IFERROR(__xludf.DUMMYFUNCTION("""COMPUTED_VALUE"""),FALSE)</f>
        <v>0</v>
      </c>
      <c r="N83" s="71"/>
      <c r="O83" s="66"/>
      <c r="P83" s="71"/>
      <c r="Q83" s="66"/>
      <c r="R83" s="66"/>
      <c r="S83" s="71"/>
      <c r="T83" s="63" t="str">
        <f>IFERROR(__xludf.DUMMYFUNCTION("""COMPUTED_VALUE"""),"CÔNG TY TNHH THƯƠNG MẠI VÀ DỊCH VỤ AMG GROUP")</f>
        <v>CÔNG TY TNHH THƯƠNG MẠI VÀ DỊCH VỤ AMG GROUP</v>
      </c>
      <c r="U83" s="63" t="str">
        <f>IFERROR(__xludf.DUMMYFUNCTION("""COMPUTED_VALUE"""),"AMG")</f>
        <v>AMG</v>
      </c>
      <c r="V83" s="76" t="str">
        <f>IFERROR(__xludf.DUMMYFUNCTION("""COMPUTED_VALUE""")," Số 63 Vũ Ngọc Phan, phường Láng Hạ, quận Đống Đa, Hà Nội ")</f>
        <v>Số 63 Vũ Ngọc Phan, phường Láng Hạ, quận Đống Đa, Hà Nội</v>
      </c>
      <c r="W83" s="59" t="str">
        <f>IFERROR(__xludf.DUMMYFUNCTION("""COMPUTED_VALUE"""),"0108764547")</f>
        <v>0108764547</v>
      </c>
      <c r="X83" s="71"/>
      <c r="Y83" s="63"/>
      <c r="Z83" s="63"/>
      <c r="AA83" s="63"/>
      <c r="AB83" s="71"/>
      <c r="AC83" s="63"/>
      <c r="AD83" s="71"/>
      <c r="AE83" s="63"/>
      <c r="AF83" s="71"/>
      <c r="AG83" s="63"/>
      <c r="AH83" s="71"/>
      <c r="AI83" s="63"/>
      <c r="AJ83" s="71"/>
      <c r="AK83" s="63"/>
    </row>
    <row r="84" ht="18.0" customHeight="1">
      <c r="A84" s="63"/>
      <c r="B84" s="63"/>
      <c r="C84" s="71"/>
      <c r="D84" s="63"/>
      <c r="E84" s="63"/>
      <c r="F84" s="63"/>
      <c r="G84" s="63"/>
      <c r="H84" s="71"/>
      <c r="I84" s="63" t="str">
        <f>IFERROR(__xludf.DUMMYFUNCTION("""COMPUTED_VALUE"""),"Hộp carton 3 lớp")</f>
        <v>Hộp carton 3 lớp</v>
      </c>
      <c r="J84" s="63">
        <f>IFERROR(__xludf.DUMMYFUNCTION("""COMPUTED_VALUE"""),15.0)</f>
        <v>15</v>
      </c>
      <c r="K84" s="69"/>
      <c r="L84" s="65">
        <f>IFERROR(__xludf.DUMMYFUNCTION("""COMPUTED_VALUE"""),46082.0)</f>
        <v>46082</v>
      </c>
      <c r="M84" s="63" t="b">
        <f>IFERROR(__xludf.DUMMYFUNCTION("""COMPUTED_VALUE"""),FALSE)</f>
        <v>0</v>
      </c>
      <c r="N84" s="71"/>
      <c r="O84" s="66"/>
      <c r="P84" s="71"/>
      <c r="Q84" s="66"/>
      <c r="R84" s="66"/>
      <c r="S84" s="71"/>
      <c r="T84" s="63" t="str">
        <f>IFERROR(__xludf.DUMMYFUNCTION("""COMPUTED_VALUE"""),"CÔNG TY CỔ PHẦN THƯƠNG MẠI XUẤT NHẬP KHẨU VNT")</f>
        <v>CÔNG TY CỔ PHẦN THƯƠNG MẠI XUẤT NHẬP KHẨU VNT</v>
      </c>
      <c r="U84" s="63" t="str">
        <f>IFERROR(__xludf.DUMMYFUNCTION("""COMPUTED_VALUE"""),"VNT")</f>
        <v>VNT</v>
      </c>
      <c r="V84" s="76" t="str">
        <f>IFERROR(__xludf.DUMMYFUNCTION("""COMPUTED_VALUE""")," Xóm 3, Thôn Hải Bối, Xã Vĩnh Thanh, Thành phố Hà Nội, Việt Nam ")</f>
        <v>Xóm 3, Thôn Hải Bối, Xã Vĩnh Thanh, Thành phố Hà Nội, Việt Nam</v>
      </c>
      <c r="W84" s="59" t="str">
        <f>IFERROR(__xludf.DUMMYFUNCTION("""COMPUTED_VALUE"""),"0104188003")</f>
        <v>0104188003</v>
      </c>
      <c r="X84" s="71"/>
      <c r="Y84" s="63"/>
      <c r="Z84" s="63"/>
      <c r="AA84" s="63"/>
      <c r="AB84" s="71"/>
      <c r="AC84" s="63"/>
      <c r="AD84" s="71"/>
      <c r="AE84" s="63"/>
      <c r="AF84" s="71"/>
      <c r="AG84" s="63"/>
      <c r="AH84" s="71"/>
      <c r="AI84" s="63"/>
      <c r="AJ84" s="71"/>
      <c r="AK84" s="63"/>
    </row>
    <row r="85" ht="18.0" customHeight="1">
      <c r="A85" s="63"/>
      <c r="B85" s="63"/>
      <c r="C85" s="71"/>
      <c r="D85" s="63"/>
      <c r="E85" s="63"/>
      <c r="F85" s="63"/>
      <c r="G85" s="63"/>
      <c r="H85" s="71"/>
      <c r="I85" s="63" t="str">
        <f>IFERROR(__xludf.DUMMYFUNCTION("""COMPUTED_VALUE"""),"Hộp giấy D")</f>
        <v>Hộp giấy D</v>
      </c>
      <c r="J85" s="63">
        <f>IFERROR(__xludf.DUMMYFUNCTION("""COMPUTED_VALUE"""),15.0)</f>
        <v>15</v>
      </c>
      <c r="K85" s="69"/>
      <c r="L85" s="65">
        <f>IFERROR(__xludf.DUMMYFUNCTION("""COMPUTED_VALUE"""),46082.0)</f>
        <v>46082</v>
      </c>
      <c r="M85" s="63" t="b">
        <f>IFERROR(__xludf.DUMMYFUNCTION("""COMPUTED_VALUE"""),FALSE)</f>
        <v>0</v>
      </c>
      <c r="N85" s="71"/>
      <c r="O85" s="66"/>
      <c r="P85" s="71"/>
      <c r="Q85" s="66"/>
      <c r="R85" s="66"/>
      <c r="S85" s="71"/>
      <c r="T85" s="63" t="str">
        <f>IFERROR(__xludf.DUMMYFUNCTION("""COMPUTED_VALUE"""),"CÔNG TY TNHH SHORT HILLS VIỆT NAM")</f>
        <v>CÔNG TY TNHH SHORT HILLS VIỆT NAM</v>
      </c>
      <c r="U85" s="63" t="str">
        <f>IFERROR(__xludf.DUMMYFUNCTION("""COMPUTED_VALUE"""),"Short Hills")</f>
        <v>Short Hills</v>
      </c>
      <c r="V85" s="76" t="str">
        <f>IFERROR(__xludf.DUMMYFUNCTION("""COMPUTED_VALUE""")," Tầng 6, Toà nhà Intan, số 97 Nguyễn Văn Trỗi, Phường Phú Nhuận, TP Hồ Chí Minh, Việt Nam ")</f>
        <v>Tầng 6, Toà nhà Intan, số 97 Nguyễn Văn Trỗi, Phường Phú Nhuận, TP Hồ Chí Minh, Việt Nam</v>
      </c>
      <c r="W85" s="59" t="str">
        <f>IFERROR(__xludf.DUMMYFUNCTION("""COMPUTED_VALUE"""),"0318537734")</f>
        <v>0318537734</v>
      </c>
      <c r="X85" s="71"/>
      <c r="Y85" s="63"/>
      <c r="Z85" s="63"/>
      <c r="AA85" s="63"/>
      <c r="AB85" s="71"/>
      <c r="AC85" s="63"/>
      <c r="AD85" s="71"/>
      <c r="AE85" s="63"/>
      <c r="AF85" s="71"/>
      <c r="AG85" s="63"/>
      <c r="AH85" s="71"/>
      <c r="AI85" s="63"/>
      <c r="AJ85" s="71"/>
      <c r="AK85" s="63"/>
    </row>
    <row r="86" ht="18.0" customHeight="1">
      <c r="A86" s="63"/>
      <c r="B86" s="63"/>
      <c r="C86" s="71"/>
      <c r="D86" s="63"/>
      <c r="E86" s="63"/>
      <c r="F86" s="63"/>
      <c r="G86" s="63"/>
      <c r="H86" s="71"/>
      <c r="I86" s="63" t="str">
        <f>IFERROR(__xludf.DUMMYFUNCTION("""COMPUTED_VALUE"""),"Hộp đóng gói nâu")</f>
        <v>Hộp đóng gói nâu</v>
      </c>
      <c r="J86" s="63">
        <f>IFERROR(__xludf.DUMMYFUNCTION("""COMPUTED_VALUE"""),15.0)</f>
        <v>15</v>
      </c>
      <c r="K86" s="69"/>
      <c r="L86" s="65">
        <f>IFERROR(__xludf.DUMMYFUNCTION("""COMPUTED_VALUE"""),46082.0)</f>
        <v>46082</v>
      </c>
      <c r="M86" s="63" t="b">
        <f>IFERROR(__xludf.DUMMYFUNCTION("""COMPUTED_VALUE"""),FALSE)</f>
        <v>0</v>
      </c>
      <c r="N86" s="71"/>
      <c r="O86" s="66"/>
      <c r="P86" s="71"/>
      <c r="Q86" s="66"/>
      <c r="R86" s="66"/>
      <c r="S86" s="71"/>
      <c r="T86" s="63" t="str">
        <f>IFERROR(__xludf.DUMMYFUNCTION("""COMPUTED_VALUE"""),"CÔNG TY CỔ PHẦN XNK HÓA CHẤT HẢI ĐĂNG")</f>
        <v>CÔNG TY CỔ PHẦN XNK HÓA CHẤT HẢI ĐĂNG</v>
      </c>
      <c r="U86" s="63" t="str">
        <f>IFERROR(__xludf.DUMMYFUNCTION("""COMPUTED_VALUE"""),"Hải Đăng")</f>
        <v>Hải Đăng</v>
      </c>
      <c r="V86" s="76" t="str">
        <f>IFERROR(__xludf.DUMMYFUNCTION("""COMPUTED_VALUE""")," Tổ 41, Khu 4, Hà Khẩu, Tp Hạ Long, Tỉnh Quảng Ninh ")</f>
        <v>Tổ 41, Khu 4, Hà Khẩu, Tp Hạ Long, Tỉnh Quảng Ninh</v>
      </c>
      <c r="W86" s="59" t="str">
        <f>IFERROR(__xludf.DUMMYFUNCTION("""COMPUTED_VALUE"""),"5702087191")</f>
        <v>5702087191</v>
      </c>
      <c r="X86" s="71"/>
      <c r="Y86" s="63"/>
      <c r="Z86" s="63"/>
      <c r="AA86" s="63"/>
      <c r="AB86" s="71"/>
      <c r="AC86" s="63"/>
      <c r="AD86" s="71"/>
      <c r="AE86" s="63"/>
      <c r="AF86" s="71"/>
      <c r="AG86" s="63"/>
      <c r="AH86" s="71"/>
      <c r="AI86" s="63"/>
      <c r="AJ86" s="71"/>
      <c r="AK86" s="63"/>
    </row>
    <row r="87" ht="18.0" customHeight="1">
      <c r="A87" s="63"/>
      <c r="B87" s="63"/>
      <c r="C87" s="71"/>
      <c r="D87" s="63"/>
      <c r="E87" s="63"/>
      <c r="F87" s="63"/>
      <c r="G87" s="63"/>
      <c r="H87" s="71"/>
      <c r="I87" s="63" t="str">
        <f>IFERROR(__xludf.DUMMYFUNCTION("""COMPUTED_VALUE"""),"Hộp carton 3 lớp")</f>
        <v>Hộp carton 3 lớp</v>
      </c>
      <c r="J87" s="63">
        <f>IFERROR(__xludf.DUMMYFUNCTION("""COMPUTED_VALUE"""),10.0)</f>
        <v>10</v>
      </c>
      <c r="K87" s="69"/>
      <c r="L87" s="65">
        <f>IFERROR(__xludf.DUMMYFUNCTION("""COMPUTED_VALUE"""),46082.0)</f>
        <v>46082</v>
      </c>
      <c r="M87" s="63" t="b">
        <f>IFERROR(__xludf.DUMMYFUNCTION("""COMPUTED_VALUE"""),FALSE)</f>
        <v>0</v>
      </c>
      <c r="N87" s="71"/>
      <c r="O87" s="66"/>
      <c r="P87" s="71"/>
      <c r="Q87" s="66"/>
      <c r="R87" s="66"/>
      <c r="S87" s="71"/>
      <c r="T87" s="63" t="str">
        <f>IFERROR(__xludf.DUMMYFUNCTION("""COMPUTED_VALUE"""),"CÔNG TY TNHH PHÂN BÓN HÓA CHẤT HÀ LINH")</f>
        <v>CÔNG TY TNHH PHÂN BÓN HÓA CHẤT HÀ LINH</v>
      </c>
      <c r="U87" s="63" t="str">
        <f>IFERROR(__xludf.DUMMYFUNCTION("""COMPUTED_VALUE"""),"Hà Linh")</f>
        <v>Hà Linh</v>
      </c>
      <c r="V87" s="76" t="str">
        <f>IFERROR(__xludf.DUMMYFUNCTION("""COMPUTED_VALUE""")," Thửa đất số 861, tờ bản đồ số 9, tổ 10, ấp Mỹ Hưng 2, Phường Cái Vồn, Tỉnh Vĩnh Long, Việt Nam ")</f>
        <v>Thửa đất số 861, tờ bản đồ số 9, tổ 10, ấp Mỹ Hưng 2, Phường Cái Vồn, Tỉnh Vĩnh Long, Việt Nam</v>
      </c>
      <c r="W87" s="59" t="str">
        <f>IFERROR(__xludf.DUMMYFUNCTION("""COMPUTED_VALUE"""),"1501146107")</f>
        <v>1501146107</v>
      </c>
      <c r="X87" s="71"/>
      <c r="Y87" s="63"/>
      <c r="Z87" s="63"/>
      <c r="AA87" s="63"/>
      <c r="AB87" s="71"/>
      <c r="AC87" s="63"/>
      <c r="AD87" s="71"/>
      <c r="AE87" s="63"/>
      <c r="AF87" s="71"/>
      <c r="AG87" s="63"/>
      <c r="AH87" s="71"/>
      <c r="AI87" s="63"/>
      <c r="AJ87" s="71"/>
      <c r="AK87" s="63"/>
    </row>
    <row r="88" ht="18.0" customHeight="1">
      <c r="A88" s="63"/>
      <c r="B88" s="63"/>
      <c r="C88" s="71"/>
      <c r="D88" s="63"/>
      <c r="E88" s="63"/>
      <c r="F88" s="63"/>
      <c r="G88" s="63"/>
      <c r="H88" s="71"/>
      <c r="I88" s="63" t="str">
        <f>IFERROR(__xludf.DUMMYFUNCTION("""COMPUTED_VALUE"""),"Hộp giấy D")</f>
        <v>Hộp giấy D</v>
      </c>
      <c r="J88" s="63">
        <f>IFERROR(__xludf.DUMMYFUNCTION("""COMPUTED_VALUE"""),10.0)</f>
        <v>10</v>
      </c>
      <c r="K88" s="69"/>
      <c r="L88" s="65">
        <f>IFERROR(__xludf.DUMMYFUNCTION("""COMPUTED_VALUE"""),46082.0)</f>
        <v>46082</v>
      </c>
      <c r="M88" s="63" t="b">
        <f>IFERROR(__xludf.DUMMYFUNCTION("""COMPUTED_VALUE"""),FALSE)</f>
        <v>0</v>
      </c>
      <c r="N88" s="71"/>
      <c r="O88" s="66"/>
      <c r="P88" s="71"/>
      <c r="Q88" s="66"/>
      <c r="R88" s="66"/>
      <c r="S88" s="71"/>
      <c r="T88" s="63" t="str">
        <f>IFERROR(__xludf.DUMMYFUNCTION("""COMPUTED_VALUE"""),"CÔNG TY CỔ PHẦN LA HÁN HOÀNG PHÁT")</f>
        <v>CÔNG TY CỔ PHẦN LA HÁN HOÀNG PHÁT</v>
      </c>
      <c r="U88" s="63" t="str">
        <f>IFERROR(__xludf.DUMMYFUNCTION("""COMPUTED_VALUE"""),"La Hán Hoàng Phát")</f>
        <v>La Hán Hoàng Phát</v>
      </c>
      <c r="V88" s="76" t="str">
        <f>IFERROR(__xludf.DUMMYFUNCTION("""COMPUTED_VALUE""")," Số nhà 83D, Ngõ 165 Dương Quảng Hàm, Phường Quan Hoa, Quận Cầu Giấy, TP Hà Nội ")</f>
        <v>Số nhà 83D, Ngõ 165 Dương Quảng Hàm, Phường Quan Hoa, Quận Cầu Giấy, TP Hà Nội</v>
      </c>
      <c r="W88" s="59" t="str">
        <f>IFERROR(__xludf.DUMMYFUNCTION("""COMPUTED_VALUE"""),"0108529582")</f>
        <v>0108529582</v>
      </c>
      <c r="X88" s="71"/>
      <c r="Y88" s="63"/>
      <c r="Z88" s="63"/>
      <c r="AA88" s="63"/>
      <c r="AB88" s="71"/>
      <c r="AC88" s="63"/>
      <c r="AD88" s="71"/>
      <c r="AE88" s="63"/>
      <c r="AF88" s="71"/>
      <c r="AG88" s="63"/>
      <c r="AH88" s="71"/>
      <c r="AI88" s="63"/>
      <c r="AJ88" s="71"/>
      <c r="AK88" s="63"/>
    </row>
    <row r="89" ht="18.0" customHeight="1">
      <c r="A89" s="63"/>
      <c r="B89" s="63"/>
      <c r="C89" s="71"/>
      <c r="D89" s="63"/>
      <c r="E89" s="63"/>
      <c r="F89" s="63"/>
      <c r="G89" s="63"/>
      <c r="H89" s="71"/>
      <c r="I89" s="63" t="str">
        <f>IFERROR(__xludf.DUMMYFUNCTION("""COMPUTED_VALUE"""),"Hộp đóng gói nâu")</f>
        <v>Hộp đóng gói nâu</v>
      </c>
      <c r="J89" s="63">
        <f>IFERROR(__xludf.DUMMYFUNCTION("""COMPUTED_VALUE"""),10.0)</f>
        <v>10</v>
      </c>
      <c r="K89" s="69"/>
      <c r="L89" s="65">
        <f>IFERROR(__xludf.DUMMYFUNCTION("""COMPUTED_VALUE"""),46082.0)</f>
        <v>46082</v>
      </c>
      <c r="M89" s="63" t="b">
        <f>IFERROR(__xludf.DUMMYFUNCTION("""COMPUTED_VALUE"""),FALSE)</f>
        <v>0</v>
      </c>
      <c r="N89" s="71"/>
      <c r="O89" s="66"/>
      <c r="P89" s="71"/>
      <c r="Q89" s="66"/>
      <c r="R89" s="66"/>
      <c r="S89" s="71"/>
      <c r="T89" s="63" t="str">
        <f>IFERROR(__xludf.DUMMYFUNCTION("""COMPUTED_VALUE"""),"CÔNG TY TNHH PHÁT THIÊN PHÚ")</f>
        <v>CÔNG TY TNHH PHÁT THIÊN PHÚ</v>
      </c>
      <c r="U89" s="63" t="str">
        <f>IFERROR(__xludf.DUMMYFUNCTION("""COMPUTED_VALUE"""),"Phát Thiên Phú")</f>
        <v>Phát Thiên Phú</v>
      </c>
      <c r="V89" s="76" t="str">
        <f>IFERROR(__xludf.DUMMYFUNCTION("""COMPUTED_VALUE""")," Số 38-40-42, đường N18, khu Phố Vinh Thạnh, Phường Trấn Biên, Tỉnh Đồng Nai, Việt Nam ")</f>
        <v>Số 38-40-42, đường N18, khu Phố Vinh Thạnh, Phường Trấn Biên, Tỉnh Đồng Nai, Việt Nam</v>
      </c>
      <c r="W89" s="59" t="str">
        <f>IFERROR(__xludf.DUMMYFUNCTION("""COMPUTED_VALUE"""),"3600889932")</f>
        <v>3600889932</v>
      </c>
      <c r="X89" s="71"/>
      <c r="Y89" s="63"/>
      <c r="Z89" s="63"/>
      <c r="AA89" s="63"/>
      <c r="AB89" s="71"/>
      <c r="AC89" s="63"/>
      <c r="AD89" s="71"/>
      <c r="AE89" s="63"/>
      <c r="AF89" s="71"/>
      <c r="AG89" s="63"/>
      <c r="AH89" s="71"/>
      <c r="AI89" s="63"/>
      <c r="AJ89" s="71"/>
      <c r="AK89" s="63"/>
    </row>
    <row r="90" ht="18.0" customHeight="1">
      <c r="A90" s="63"/>
      <c r="B90" s="63"/>
      <c r="C90" s="71"/>
      <c r="D90" s="63"/>
      <c r="E90" s="63"/>
      <c r="F90" s="63"/>
      <c r="G90" s="63"/>
      <c r="H90" s="71"/>
      <c r="I90" s="63" t="str">
        <f>IFERROR(__xludf.DUMMYFUNCTION("""COMPUTED_VALUE"""),"Hộp icare: giấy Ivory")</f>
        <v>Hộp icare: giấy Ivory</v>
      </c>
      <c r="J90" s="63">
        <f>IFERROR(__xludf.DUMMYFUNCTION("""COMPUTED_VALUE"""),10.0)</f>
        <v>10</v>
      </c>
      <c r="K90" s="69"/>
      <c r="L90" s="65">
        <f>IFERROR(__xludf.DUMMYFUNCTION("""COMPUTED_VALUE"""),46082.0)</f>
        <v>46082</v>
      </c>
      <c r="M90" s="63" t="b">
        <f>IFERROR(__xludf.DUMMYFUNCTION("""COMPUTED_VALUE"""),FALSE)</f>
        <v>0</v>
      </c>
      <c r="N90" s="71"/>
      <c r="O90" s="66"/>
      <c r="P90" s="71"/>
      <c r="Q90" s="66"/>
      <c r="R90" s="66"/>
      <c r="S90" s="71"/>
      <c r="T90" s="63" t="str">
        <f>IFERROR(__xludf.DUMMYFUNCTION("""COMPUTED_VALUE"""),"CÔNG TY CỔ PHẦN ALLEY 70")</f>
        <v>CÔNG TY CỔ PHẦN ALLEY 70</v>
      </c>
      <c r="U90" s="63" t="str">
        <f>IFERROR(__xludf.DUMMYFUNCTION("""COMPUTED_VALUE"""),"Alley 70")</f>
        <v>Alley 70</v>
      </c>
      <c r="V90" s="76" t="str">
        <f>IFERROR(__xludf.DUMMYFUNCTION("""COMPUTED_VALUE""")," 70/17D Đinh Bộ Lĩnh, Phường 26, Quận Bình Thạnh, Thành phố Hồ Chí Minh ")</f>
        <v>70/17D Đinh Bộ Lĩnh, Phường 26, Quận Bình Thạnh, Thành phố Hồ Chí Minh</v>
      </c>
      <c r="W90" s="59" t="str">
        <f>IFERROR(__xludf.DUMMYFUNCTION("""COMPUTED_VALUE"""),"0317962278")</f>
        <v>0317962278</v>
      </c>
      <c r="X90" s="71"/>
      <c r="Y90" s="63"/>
      <c r="Z90" s="63"/>
      <c r="AA90" s="63"/>
      <c r="AB90" s="71"/>
      <c r="AC90" s="63"/>
      <c r="AD90" s="71"/>
      <c r="AE90" s="63"/>
      <c r="AF90" s="71"/>
      <c r="AG90" s="63"/>
      <c r="AH90" s="71"/>
      <c r="AI90" s="63"/>
      <c r="AJ90" s="71"/>
      <c r="AK90" s="63"/>
    </row>
    <row r="91" ht="18.0" customHeight="1">
      <c r="A91" s="63"/>
      <c r="B91" s="63"/>
      <c r="C91" s="71"/>
      <c r="D91" s="63"/>
      <c r="E91" s="63"/>
      <c r="F91" s="63"/>
      <c r="G91" s="63"/>
      <c r="H91" s="71"/>
      <c r="I91" s="63" t="str">
        <f>IFERROR(__xludf.DUMMYFUNCTION("""COMPUTED_VALUE"""),"Thùng carton 5 lớp")</f>
        <v>Thùng carton 5 lớp</v>
      </c>
      <c r="J91" s="63">
        <f>IFERROR(__xludf.DUMMYFUNCTION("""COMPUTED_VALUE"""),18.0)</f>
        <v>18</v>
      </c>
      <c r="K91" s="69" t="str">
        <f>IFERROR(__xludf.DUMMYFUNCTION("""COMPUTED_VALUE"""),"Thời gian Sx: 15 ngày
Nhận hàng: 2 ngày")</f>
        <v>Thời gian Sx: 15 ngày
Nhận hàng: 2 ngày</v>
      </c>
      <c r="L91" s="65">
        <f>IFERROR(__xludf.DUMMYFUNCTION("""COMPUTED_VALUE"""),46082.0)</f>
        <v>46082</v>
      </c>
      <c r="M91" s="63" t="b">
        <f>IFERROR(__xludf.DUMMYFUNCTION("""COMPUTED_VALUE"""),TRUE)</f>
        <v>1</v>
      </c>
      <c r="N91" s="71"/>
      <c r="O91" s="66"/>
      <c r="P91" s="71"/>
      <c r="Q91" s="66"/>
      <c r="R91" s="66"/>
      <c r="S91" s="71"/>
      <c r="T91" s="63" t="str">
        <f>IFERROR(__xludf.DUMMYFUNCTION("""COMPUTED_VALUE"""),"CÔNG TY TNHH SX TM QUANG TRUNG")</f>
        <v>CÔNG TY TNHH SX TM QUANG TRUNG</v>
      </c>
      <c r="U91" s="63" t="str">
        <f>IFERROR(__xludf.DUMMYFUNCTION("""COMPUTED_VALUE"""),"Quang Trung")</f>
        <v>Quang Trung</v>
      </c>
      <c r="V91" s="76" t="str">
        <f>IFERROR(__xludf.DUMMYFUNCTION("""COMPUTED_VALUE""")," Thửa 290 tờ bản đồ số 28, KCN Xuyên Á, Đức Hòa, Long An ")</f>
        <v>Thửa 290 tờ bản đồ số 28, KCN Xuyên Á, Đức Hòa, Long An</v>
      </c>
      <c r="W91" s="59" t="str">
        <f>IFERROR(__xludf.DUMMYFUNCTION("""COMPUTED_VALUE"""),"0317065768")</f>
        <v>0317065768</v>
      </c>
      <c r="X91" s="71"/>
      <c r="Y91" s="63"/>
      <c r="Z91" s="63"/>
      <c r="AA91" s="63"/>
      <c r="AB91" s="71"/>
      <c r="AC91" s="63"/>
      <c r="AD91" s="71"/>
      <c r="AE91" s="63"/>
      <c r="AF91" s="71"/>
      <c r="AG91" s="63"/>
      <c r="AH91" s="71"/>
      <c r="AI91" s="63"/>
      <c r="AJ91" s="71"/>
      <c r="AK91" s="63"/>
    </row>
    <row r="92" ht="18.0" customHeight="1">
      <c r="A92" s="63"/>
      <c r="B92" s="63"/>
      <c r="C92" s="71"/>
      <c r="D92" s="63"/>
      <c r="E92" s="63"/>
      <c r="F92" s="63"/>
      <c r="G92" s="63"/>
      <c r="H92" s="71"/>
      <c r="I92" s="63" t="str">
        <f>IFERROR(__xludf.DUMMYFUNCTION("""COMPUTED_VALUE"""),"Thùng carton 3 lớp")</f>
        <v>Thùng carton 3 lớp</v>
      </c>
      <c r="J92" s="63">
        <f>IFERROR(__xludf.DUMMYFUNCTION("""COMPUTED_VALUE"""),18.0)</f>
        <v>18</v>
      </c>
      <c r="K92" s="69" t="str">
        <f>IFERROR(__xludf.DUMMYFUNCTION("""COMPUTED_VALUE"""),"Thời gian Sx: 15 ngày
Nhận hàng: 2 ngày")</f>
        <v>Thời gian Sx: 15 ngày
Nhận hàng: 2 ngày</v>
      </c>
      <c r="L92" s="65">
        <f>IFERROR(__xludf.DUMMYFUNCTION("""COMPUTED_VALUE"""),46082.0)</f>
        <v>46082</v>
      </c>
      <c r="M92" s="63" t="b">
        <f>IFERROR(__xludf.DUMMYFUNCTION("""COMPUTED_VALUE"""),FALSE)</f>
        <v>0</v>
      </c>
      <c r="N92" s="71"/>
      <c r="O92" s="66"/>
      <c r="P92" s="71"/>
      <c r="Q92" s="66"/>
      <c r="R92" s="66"/>
      <c r="S92" s="71"/>
      <c r="T92" s="63" t="str">
        <f>IFERROR(__xludf.DUMMYFUNCTION("""COMPUTED_VALUE"""),"CÔNG TY TNHH KỸ THUẬT HOÁ PHẨM AP")</f>
        <v>CÔNG TY TNHH KỸ THUẬT HOÁ PHẨM AP</v>
      </c>
      <c r="U92" s="63" t="str">
        <f>IFERROR(__xludf.DUMMYFUNCTION("""COMPUTED_VALUE"""),"AP Techem")</f>
        <v>AP Techem</v>
      </c>
      <c r="V92" s="76" t="str">
        <f>IFERROR(__xludf.DUMMYFUNCTION("""COMPUTED_VALUE""")," Tầng 3, Tòa nhà An Phú Plaza, 117-119 Lý Chính Thắng, Phường Xuân Hòa, Thành phố Hồ Chí Minh, Việt Nam ")</f>
        <v>Tầng 3, Tòa nhà An Phú Plaza, 117-119 Lý Chính Thắng, Phường Xuân Hòa, Thành phố Hồ Chí Minh, Việt Nam</v>
      </c>
      <c r="W92" s="59" t="str">
        <f>IFERROR(__xludf.DUMMYFUNCTION("""COMPUTED_VALUE"""),"0319161467")</f>
        <v>0319161467</v>
      </c>
      <c r="X92" s="71"/>
      <c r="Y92" s="63"/>
      <c r="Z92" s="63"/>
      <c r="AA92" s="63"/>
      <c r="AB92" s="71"/>
      <c r="AC92" s="63"/>
      <c r="AD92" s="71"/>
      <c r="AE92" s="63"/>
      <c r="AF92" s="71"/>
      <c r="AG92" s="63"/>
      <c r="AH92" s="71"/>
      <c r="AI92" s="63"/>
      <c r="AJ92" s="71"/>
      <c r="AK92" s="63"/>
    </row>
    <row r="93" ht="18.0" customHeight="1">
      <c r="A93" s="63"/>
      <c r="B93" s="63"/>
      <c r="C93" s="71"/>
      <c r="D93" s="63"/>
      <c r="E93" s="63"/>
      <c r="F93" s="63"/>
      <c r="G93" s="63"/>
      <c r="H93" s="71"/>
      <c r="I93" s="63" t="str">
        <f>IFERROR(__xludf.DUMMYFUNCTION("""COMPUTED_VALUE"""),"Lon HDPE")</f>
        <v>Lon HDPE</v>
      </c>
      <c r="J93" s="63">
        <f>IFERROR(__xludf.DUMMYFUNCTION("""COMPUTED_VALUE"""),7.0)</f>
        <v>7</v>
      </c>
      <c r="K93" s="69" t="str">
        <f>IFERROR(__xludf.DUMMYFUNCTION("""COMPUTED_VALUE"""),"Hàng cần thanh toán trước:
- Làm hồ sơ 1 ngày
- Thanh toán 5 ngày
- Sản xuất 0 ngày
- Nhận hàng 2 ngày")</f>
        <v>Hàng cần thanh toán trước:
- Làm hồ sơ 1 ngày
- Thanh toán 5 ngày
- Sản xuất 0 ngày
- Nhận hàng 2 ngày</v>
      </c>
      <c r="L93" s="65">
        <f>IFERROR(__xludf.DUMMYFUNCTION("""COMPUTED_VALUE"""),46174.0)</f>
        <v>46174</v>
      </c>
      <c r="M93" s="63" t="b">
        <f>IFERROR(__xludf.DUMMYFUNCTION("""COMPUTED_VALUE"""),TRUE)</f>
        <v>1</v>
      </c>
      <c r="N93" s="71"/>
      <c r="O93" s="66"/>
      <c r="P93" s="71"/>
      <c r="Q93" s="66"/>
      <c r="R93" s="66"/>
      <c r="S93" s="71"/>
      <c r="T93" s="63" t="str">
        <f>IFERROR(__xludf.DUMMYFUNCTION("""COMPUTED_VALUE"""),"CÔNG TY TNHH SX TM BAO BÌ NGỌC MINH")</f>
        <v>CÔNG TY TNHH SX TM BAO BÌ NGỌC MINH</v>
      </c>
      <c r="U93" s="63" t="str">
        <f>IFERROR(__xludf.DUMMYFUNCTION("""COMPUTED_VALUE"""),"Ngọc Minh")</f>
        <v>Ngọc Minh</v>
      </c>
      <c r="V93" s="76" t="str">
        <f>IFERROR(__xludf.DUMMYFUNCTION("""COMPUTED_VALUE""")," B4 ẤP MỸ HOÀ 4, XUÂN THỚI ĐÔNG, HÓC MÔN, TP.HCM ")</f>
        <v>B4 ẤP MỸ HOÀ 4, XUÂN THỚI ĐÔNG, HÓC MÔN, TP.HCM</v>
      </c>
      <c r="W93" s="59" t="str">
        <f>IFERROR(__xludf.DUMMYFUNCTION("""COMPUTED_VALUE"""),"0313635470")</f>
        <v>0313635470</v>
      </c>
      <c r="X93" s="71"/>
      <c r="Y93" s="63"/>
      <c r="Z93" s="63"/>
      <c r="AA93" s="63"/>
      <c r="AB93" s="71"/>
      <c r="AC93" s="63"/>
      <c r="AD93" s="71"/>
      <c r="AE93" s="63"/>
      <c r="AF93" s="71"/>
      <c r="AG93" s="63"/>
      <c r="AH93" s="71"/>
      <c r="AI93" s="63"/>
      <c r="AJ93" s="71"/>
      <c r="AK93" s="63"/>
    </row>
    <row r="94" ht="18.0" customHeight="1">
      <c r="A94" s="63"/>
      <c r="B94" s="63"/>
      <c r="C94" s="71"/>
      <c r="D94" s="63"/>
      <c r="E94" s="63"/>
      <c r="F94" s="63"/>
      <c r="G94" s="63"/>
      <c r="H94" s="71"/>
      <c r="I94" s="63" t="str">
        <f>IFERROR(__xludf.DUMMYFUNCTION("""COMPUTED_VALUE"""),"Lon HDPE")</f>
        <v>Lon HDPE</v>
      </c>
      <c r="J94" s="63">
        <f>IFERROR(__xludf.DUMMYFUNCTION("""COMPUTED_VALUE"""),15.0)</f>
        <v>15</v>
      </c>
      <c r="K94" s="69" t="str">
        <f>IFERROR(__xludf.DUMMYFUNCTION("""COMPUTED_VALUE"""),"Hàng cần thanh toán trước:
- Làm hồ sơ 1 ngày
- Thanh toán 5 ngày
- Sản xuất 7 ngày
- Nhận hàng 2 ngày")</f>
        <v>Hàng cần thanh toán trước:
- Làm hồ sơ 1 ngày
- Thanh toán 5 ngày
- Sản xuất 7 ngày
- Nhận hàng 2 ngày</v>
      </c>
      <c r="L94" s="65">
        <f>IFERROR(__xludf.DUMMYFUNCTION("""COMPUTED_VALUE"""),46174.0)</f>
        <v>46174</v>
      </c>
      <c r="M94" s="63" t="b">
        <f>IFERROR(__xludf.DUMMYFUNCTION("""COMPUTED_VALUE"""),FALSE)</f>
        <v>0</v>
      </c>
      <c r="N94" s="71"/>
      <c r="O94" s="66"/>
      <c r="P94" s="71"/>
      <c r="Q94" s="66"/>
      <c r="R94" s="66"/>
      <c r="S94" s="71"/>
      <c r="T94" s="63" t="str">
        <f>IFERROR(__xludf.DUMMYFUNCTION("""COMPUTED_VALUE"""),"CÔNG TY TNHH MỘT THÀNH VIÊN LƯU XUÂN GIANG")</f>
        <v>CÔNG TY TNHH MỘT THÀNH VIÊN LƯU XUÂN GIANG</v>
      </c>
      <c r="U94" s="63" t="str">
        <f>IFERROR(__xludf.DUMMYFUNCTION("""COMPUTED_VALUE"""),"Lưu Xuân Giang")</f>
        <v>Lưu Xuân Giang</v>
      </c>
      <c r="V94" s="76" t="str">
        <f>IFERROR(__xludf.DUMMYFUNCTION("""COMPUTED_VALUE""")," 56A Phạm Ngũ Lão, Phường Cái Khế, TP. Cần Thơ ")</f>
        <v>56A Phạm Ngũ Lão, Phường Cái Khế, TP. Cần Thơ</v>
      </c>
      <c r="W94" s="59" t="str">
        <f>IFERROR(__xludf.DUMMYFUNCTION("""COMPUTED_VALUE"""),"1800690555")</f>
        <v>1800690555</v>
      </c>
      <c r="X94" s="71"/>
      <c r="Y94" s="63"/>
      <c r="Z94" s="63"/>
      <c r="AA94" s="63"/>
      <c r="AB94" s="71"/>
      <c r="AC94" s="63"/>
      <c r="AD94" s="71"/>
      <c r="AE94" s="63"/>
      <c r="AF94" s="71"/>
      <c r="AG94" s="63"/>
      <c r="AH94" s="71"/>
      <c r="AI94" s="63"/>
      <c r="AJ94" s="71"/>
      <c r="AK94" s="63"/>
    </row>
    <row r="95" ht="18.0" customHeight="1">
      <c r="A95" s="63"/>
      <c r="B95" s="63"/>
      <c r="C95" s="71"/>
      <c r="D95" s="63"/>
      <c r="E95" s="63"/>
      <c r="F95" s="63"/>
      <c r="G95" s="63"/>
      <c r="H95" s="71"/>
      <c r="I95" s="63" t="str">
        <f>IFERROR(__xludf.DUMMYFUNCTION("""COMPUTED_VALUE"""),"Bao PP")</f>
        <v>Bao PP</v>
      </c>
      <c r="J95" s="63">
        <f>IFERROR(__xludf.DUMMYFUNCTION("""COMPUTED_VALUE"""),7.0)</f>
        <v>7</v>
      </c>
      <c r="K95" s="69"/>
      <c r="L95" s="65">
        <f>IFERROR(__xludf.DUMMYFUNCTION("""COMPUTED_VALUE"""),46174.0)</f>
        <v>46174</v>
      </c>
      <c r="M95" s="63" t="b">
        <f>IFERROR(__xludf.DUMMYFUNCTION("""COMPUTED_VALUE"""),TRUE)</f>
        <v>1</v>
      </c>
      <c r="N95" s="71"/>
      <c r="O95" s="66"/>
      <c r="P95" s="71"/>
      <c r="Q95" s="66"/>
      <c r="R95" s="66"/>
      <c r="S95" s="71"/>
      <c r="T95" s="63" t="str">
        <f>IFERROR(__xludf.DUMMYFUNCTION("""COMPUTED_VALUE"""),"CÔNG TY CỔ PHẦN IN TỔNG HỢP CẦN THƠ")</f>
        <v>CÔNG TY CỔ PHẦN IN TỔNG HỢP CẦN THƠ</v>
      </c>
      <c r="U95" s="63" t="str">
        <f>IFERROR(__xludf.DUMMYFUNCTION("""COMPUTED_VALUE"""),"In Tổng Hợp Cần Thơ")</f>
        <v>In Tổng Hợp Cần Thơ</v>
      </c>
      <c r="V95" s="76" t="str">
        <f>IFERROR(__xludf.DUMMYFUNCTION("""COMPUTED_VALUE""")," Số 500 đường 30/4, Phường Tân An, TP. Cần Thơ ")</f>
        <v>Số 500 đường 30/4, Phường Tân An, TP. Cần Thơ</v>
      </c>
      <c r="W95" s="59" t="str">
        <f>IFERROR(__xludf.DUMMYFUNCTION("""COMPUTED_VALUE"""),"1800157925")</f>
        <v>1800157925</v>
      </c>
      <c r="X95" s="71"/>
      <c r="Y95" s="63"/>
      <c r="Z95" s="63"/>
      <c r="AA95" s="63"/>
      <c r="AB95" s="71"/>
      <c r="AC95" s="63"/>
      <c r="AD95" s="71"/>
      <c r="AE95" s="63"/>
      <c r="AF95" s="71"/>
      <c r="AG95" s="63"/>
      <c r="AH95" s="71"/>
      <c r="AI95" s="63"/>
      <c r="AJ95" s="71"/>
      <c r="AK95" s="63"/>
    </row>
    <row r="96" ht="18.0" customHeight="1">
      <c r="A96" s="63"/>
      <c r="B96" s="63"/>
      <c r="C96" s="71"/>
      <c r="D96" s="63"/>
      <c r="E96" s="63"/>
      <c r="F96" s="63"/>
      <c r="G96" s="63"/>
      <c r="H96" s="71"/>
      <c r="I96" s="63" t="str">
        <f>IFERROR(__xludf.DUMMYFUNCTION("""COMPUTED_VALUE"""),"Bao PP")</f>
        <v>Bao PP</v>
      </c>
      <c r="J96" s="63">
        <f>IFERROR(__xludf.DUMMYFUNCTION("""COMPUTED_VALUE"""),15.0)</f>
        <v>15</v>
      </c>
      <c r="K96" s="69"/>
      <c r="L96" s="65">
        <f>IFERROR(__xludf.DUMMYFUNCTION("""COMPUTED_VALUE"""),46174.0)</f>
        <v>46174</v>
      </c>
      <c r="M96" s="63" t="b">
        <f>IFERROR(__xludf.DUMMYFUNCTION("""COMPUTED_VALUE"""),FALSE)</f>
        <v>0</v>
      </c>
      <c r="N96" s="71"/>
      <c r="O96" s="66"/>
      <c r="P96" s="71"/>
      <c r="Q96" s="66"/>
      <c r="R96" s="66"/>
      <c r="S96" s="71"/>
      <c r="T96" s="63" t="str">
        <f>IFERROR(__xludf.DUMMYFUNCTION("""COMPUTED_VALUE"""),"CÔNG TY TNHH SẢN XUẤT THƯƠNG MẠI G28")</f>
        <v>CÔNG TY TNHH SẢN XUẤT THƯƠNG MẠI G28</v>
      </c>
      <c r="U96" s="63" t="str">
        <f>IFERROR(__xludf.DUMMYFUNCTION("""COMPUTED_VALUE"""),"G28")</f>
        <v>G28</v>
      </c>
      <c r="V96" s="76" t="str">
        <f>IFERROR(__xludf.DUMMYFUNCTION("""COMPUTED_VALUE""")," ô LE5, Đường Số 2, KCN Xuyên Á, Xã Đức Lập, Tỉnh Tây Ninh, Việt Nam
XSX: 31/13 Ấp 4, Đường Dương Công Khi, Xã Xuân Thới Sơn, TP. Hồ Chí Minh. ")</f>
        <v>ô LE5, Đường Số 2, KCN Xuyên Á, Xã Đức Lập, Tỉnh Tây Ninh, Việt Nam
XSX: 31/13 Ấp 4, Đường Dương Công Khi, Xã Xuân Thới Sơn, TP. Hồ Chí Minh.</v>
      </c>
      <c r="W96" s="59" t="str">
        <f>IFERROR(__xludf.DUMMYFUNCTION("""COMPUTED_VALUE"""),"1101926825")</f>
        <v>1101926825</v>
      </c>
      <c r="X96" s="71"/>
      <c r="Y96" s="63"/>
      <c r="Z96" s="63"/>
      <c r="AA96" s="63"/>
      <c r="AB96" s="71"/>
      <c r="AC96" s="63"/>
      <c r="AD96" s="71"/>
      <c r="AE96" s="63"/>
      <c r="AF96" s="71"/>
      <c r="AG96" s="63"/>
      <c r="AH96" s="71"/>
      <c r="AI96" s="63"/>
      <c r="AJ96" s="71"/>
      <c r="AK96" s="63"/>
    </row>
    <row r="97" ht="18.0" customHeight="1">
      <c r="A97" s="63"/>
      <c r="B97" s="63"/>
      <c r="C97" s="71"/>
      <c r="D97" s="63"/>
      <c r="E97" s="63"/>
      <c r="F97" s="63"/>
      <c r="G97" s="63"/>
      <c r="H97" s="71"/>
      <c r="I97" s="63" t="str">
        <f>IFERROR(__xludf.DUMMYFUNCTION("""COMPUTED_VALUE"""),"Bao PE")</f>
        <v>Bao PE</v>
      </c>
      <c r="J97" s="63">
        <f>IFERROR(__xludf.DUMMYFUNCTION("""COMPUTED_VALUE"""),7.0)</f>
        <v>7</v>
      </c>
      <c r="K97" s="69"/>
      <c r="L97" s="65">
        <f>IFERROR(__xludf.DUMMYFUNCTION("""COMPUTED_VALUE"""),46174.0)</f>
        <v>46174</v>
      </c>
      <c r="M97" s="63" t="b">
        <f>IFERROR(__xludf.DUMMYFUNCTION("""COMPUTED_VALUE"""),TRUE)</f>
        <v>1</v>
      </c>
      <c r="N97" s="71"/>
      <c r="O97" s="66"/>
      <c r="P97" s="71"/>
      <c r="Q97" s="66"/>
      <c r="R97" s="66"/>
      <c r="S97" s="71"/>
      <c r="T97" s="63" t="str">
        <f>IFERROR(__xludf.DUMMYFUNCTION("""COMPUTED_VALUE"""),"CÔNG TY TNHH SẢN XUẤT BAO BÌ ĐÔNG BẮC")</f>
        <v>CÔNG TY TNHH SẢN XUẤT BAO BÌ ĐÔNG BẮC</v>
      </c>
      <c r="U97" s="63" t="str">
        <f>IFERROR(__xludf.DUMMYFUNCTION("""COMPUTED_VALUE"""),"Bao Bì Đông Bắc")</f>
        <v>Bao Bì Đông Bắc</v>
      </c>
      <c r="V97" s="76" t="str">
        <f>IFERROR(__xludf.DUMMYFUNCTION("""COMPUTED_VALUE""")," Số 11 Đường 406 Ấp 2, Xã Củ Chi, TP Hồ Chí Minh, Việt Nam ")</f>
        <v>Số 11 Đường 406 Ấp 2, Xã Củ Chi, TP Hồ Chí Minh, Việt Nam</v>
      </c>
      <c r="W97" s="59" t="str">
        <f>IFERROR(__xludf.DUMMYFUNCTION("""COMPUTED_VALUE"""),"0318450547")</f>
        <v>0318450547</v>
      </c>
      <c r="X97" s="71"/>
      <c r="Y97" s="63"/>
      <c r="Z97" s="63"/>
      <c r="AA97" s="63"/>
      <c r="AB97" s="71"/>
      <c r="AC97" s="63"/>
      <c r="AD97" s="71"/>
      <c r="AE97" s="63"/>
      <c r="AF97" s="71"/>
      <c r="AG97" s="63"/>
      <c r="AH97" s="71"/>
      <c r="AI97" s="63"/>
      <c r="AJ97" s="71"/>
      <c r="AK97" s="63"/>
    </row>
    <row r="98" ht="18.0" customHeight="1">
      <c r="A98" s="63"/>
      <c r="B98" s="63"/>
      <c r="C98" s="71"/>
      <c r="D98" s="63"/>
      <c r="E98" s="63"/>
      <c r="F98" s="63"/>
      <c r="G98" s="63"/>
      <c r="H98" s="71"/>
      <c r="I98" s="63" t="str">
        <f>IFERROR(__xludf.DUMMYFUNCTION("""COMPUTED_VALUE"""),"Bao PE")</f>
        <v>Bao PE</v>
      </c>
      <c r="J98" s="63">
        <f>IFERROR(__xludf.DUMMYFUNCTION("""COMPUTED_VALUE"""),15.0)</f>
        <v>15</v>
      </c>
      <c r="K98" s="63"/>
      <c r="L98" s="65">
        <f>IFERROR(__xludf.DUMMYFUNCTION("""COMPUTED_VALUE"""),46174.0)</f>
        <v>46174</v>
      </c>
      <c r="M98" s="63" t="b">
        <f>IFERROR(__xludf.DUMMYFUNCTION("""COMPUTED_VALUE"""),FALSE)</f>
        <v>0</v>
      </c>
      <c r="N98" s="71"/>
      <c r="O98" s="66"/>
      <c r="P98" s="71"/>
      <c r="Q98" s="66"/>
      <c r="R98" s="66"/>
      <c r="S98" s="71"/>
      <c r="T98" s="63" t="str">
        <f>IFERROR(__xludf.DUMMYFUNCTION("""COMPUTED_VALUE"""),"Công ty TNHH SX &amp; TM Duy Nhật")</f>
        <v>Công ty TNHH SX &amp; TM Duy Nhật</v>
      </c>
      <c r="U98" s="63" t="str">
        <f>IFERROR(__xludf.DUMMYFUNCTION("""COMPUTED_VALUE"""),"Bao Bì Duy Nhật")</f>
        <v>Bao Bì Duy Nhật</v>
      </c>
      <c r="V98" s="76" t="str">
        <f>IFERROR(__xludf.DUMMYFUNCTION("""COMPUTED_VALUE""")," Lô O, KCN An Nghiệp, Xã An Nghiệp, Tỉnh Vĩnh Long ")</f>
        <v>Lô O, KCN An Nghiệp, Xã An Nghiệp, Tỉnh Vĩnh Long</v>
      </c>
      <c r="W98" s="59" t="str">
        <f>IFERROR(__xludf.DUMMYFUNCTION("""COMPUTED_VALUE"""),"2200717750")</f>
        <v>2200717750</v>
      </c>
      <c r="X98" s="71"/>
      <c r="Y98" s="63"/>
      <c r="Z98" s="63"/>
      <c r="AA98" s="63"/>
      <c r="AB98" s="71"/>
      <c r="AC98" s="63"/>
      <c r="AD98" s="71"/>
      <c r="AE98" s="63"/>
      <c r="AF98" s="71"/>
      <c r="AG98" s="63"/>
      <c r="AH98" s="71"/>
      <c r="AI98" s="63"/>
      <c r="AJ98" s="71"/>
      <c r="AK98" s="63"/>
    </row>
    <row r="99" ht="18.0" customHeight="1">
      <c r="A99" s="63"/>
      <c r="B99" s="63"/>
      <c r="C99" s="71"/>
      <c r="D99" s="63"/>
      <c r="E99" s="63"/>
      <c r="F99" s="63"/>
      <c r="G99" s="63"/>
      <c r="H99" s="71"/>
      <c r="I99" s="63" t="str">
        <f>IFERROR(__xludf.DUMMYFUNCTION("""COMPUTED_VALUE"""),"Phuy")</f>
        <v>Phuy</v>
      </c>
      <c r="J99" s="63">
        <f>IFERROR(__xludf.DUMMYFUNCTION("""COMPUTED_VALUE"""),15.0)</f>
        <v>15</v>
      </c>
      <c r="K99" s="63"/>
      <c r="L99" s="65">
        <f>IFERROR(__xludf.DUMMYFUNCTION("""COMPUTED_VALUE"""),46174.0)</f>
        <v>46174</v>
      </c>
      <c r="M99" s="63" t="b">
        <f>IFERROR(__xludf.DUMMYFUNCTION("""COMPUTED_VALUE"""),FALSE)</f>
        <v>0</v>
      </c>
      <c r="N99" s="71"/>
      <c r="O99" s="66"/>
      <c r="P99" s="71"/>
      <c r="Q99" s="66"/>
      <c r="R99" s="66"/>
      <c r="S99" s="71"/>
      <c r="T99" s="63" t="str">
        <f>IFERROR(__xludf.DUMMYFUNCTION("""COMPUTED_VALUE"""),"CTY TNHH SX TM DV TH DAO CARTON")</f>
        <v>CTY TNHH SX TM DV TH DAO CARTON</v>
      </c>
      <c r="U99" s="63" t="str">
        <f>IFERROR(__xludf.DUMMYFUNCTION("""COMPUTED_VALUE"""),"Dao Carton")</f>
        <v>Dao Carton</v>
      </c>
      <c r="V99" s="76" t="str">
        <f>IFERROR(__xludf.DUMMYFUNCTION("""COMPUTED_VALUE""")," Số 83, Đường B13, KDC 91B, Phường Tân An, Thành phố Cần Thơ, Việt Nam ")</f>
        <v>Số 83, Đường B13, KDC 91B, Phường Tân An, Thành phố Cần Thơ, Việt Nam</v>
      </c>
      <c r="W99" s="59" t="str">
        <f>IFERROR(__xludf.DUMMYFUNCTION("""COMPUTED_VALUE"""),"1801699046")</f>
        <v>1801699046</v>
      </c>
      <c r="X99" s="71"/>
      <c r="Y99" s="63"/>
      <c r="Z99" s="63"/>
      <c r="AA99" s="63"/>
      <c r="AB99" s="71"/>
      <c r="AC99" s="63"/>
      <c r="AD99" s="71"/>
      <c r="AE99" s="63"/>
      <c r="AF99" s="71"/>
      <c r="AG99" s="63"/>
      <c r="AH99" s="71"/>
      <c r="AI99" s="63"/>
      <c r="AJ99" s="71"/>
      <c r="AK99" s="63"/>
    </row>
    <row r="100" ht="18.0" customHeight="1">
      <c r="A100" s="63"/>
      <c r="B100" s="63"/>
      <c r="C100" s="71"/>
      <c r="D100" s="63"/>
      <c r="E100" s="63"/>
      <c r="F100" s="63"/>
      <c r="G100" s="63"/>
      <c r="H100" s="71"/>
      <c r="I100" s="63" t="str">
        <f>IFERROR(__xludf.DUMMYFUNCTION("""COMPUTED_VALUE"""),"Màng co nhiệt")</f>
        <v>Màng co nhiệt</v>
      </c>
      <c r="J100" s="63">
        <f>IFERROR(__xludf.DUMMYFUNCTION("""COMPUTED_VALUE"""),20.0)</f>
        <v>20</v>
      </c>
      <c r="K100" s="63" t="str">
        <f>IFERROR(__xludf.DUMMYFUNCTION("""COMPUTED_VALUE"""),"NCC quá tải chưa tìm được NCC mới giá cạnh tranh")</f>
        <v>NCC quá tải chưa tìm được NCC mới giá cạnh tranh</v>
      </c>
      <c r="L100" s="65">
        <f>IFERROR(__xludf.DUMMYFUNCTION("""COMPUTED_VALUE"""),46082.0)</f>
        <v>46082</v>
      </c>
      <c r="M100" s="63" t="b">
        <f>IFERROR(__xludf.DUMMYFUNCTION("""COMPUTED_VALUE"""),FALSE)</f>
        <v>0</v>
      </c>
      <c r="N100" s="71"/>
      <c r="O100" s="66"/>
      <c r="P100" s="71"/>
      <c r="Q100" s="66"/>
      <c r="R100" s="66"/>
      <c r="S100" s="71"/>
      <c r="T100" s="63" t="str">
        <f>IFERROR(__xludf.DUMMYFUNCTION("""COMPUTED_VALUE"""),"CÔNG TY TNHH BAO BÌ GIẤY AN TÍN")</f>
        <v>CÔNG TY TNHH BAO BÌ GIẤY AN TÍN</v>
      </c>
      <c r="U100" s="63" t="str">
        <f>IFERROR(__xludf.DUMMYFUNCTION("""COMPUTED_VALUE"""),"Bao Bì Giấy An Tín")</f>
        <v>Bao Bì Giấy An Tín</v>
      </c>
      <c r="V100" s="76" t="str">
        <f>IFERROR(__xludf.DUMMYFUNCTION("""COMPUTED_VALUE""")," Số 23 Đường 23, Khu phố 2, Phường Tam Bình, Thành phố Hồ Chí Minh, Việt Nam ")</f>
        <v>Số 23 Đường 23, Khu phố 2, Phường Tam Bình, Thành phố Hồ Chí Minh, Việt Nam</v>
      </c>
      <c r="W100" s="59" t="str">
        <f>IFERROR(__xludf.DUMMYFUNCTION("""COMPUTED_VALUE"""),"0315839173")</f>
        <v>0315839173</v>
      </c>
      <c r="X100" s="71"/>
      <c r="Y100" s="63"/>
      <c r="Z100" s="63"/>
      <c r="AA100" s="63"/>
      <c r="AB100" s="71"/>
      <c r="AC100" s="63"/>
      <c r="AD100" s="71"/>
      <c r="AE100" s="63"/>
      <c r="AF100" s="71"/>
      <c r="AG100" s="63"/>
      <c r="AH100" s="71"/>
      <c r="AI100" s="63"/>
      <c r="AJ100" s="71"/>
      <c r="AK100" s="63"/>
    </row>
    <row r="101" ht="18.0" customHeight="1">
      <c r="A101" s="63"/>
      <c r="B101" s="63"/>
      <c r="C101" s="71"/>
      <c r="D101" s="63"/>
      <c r="E101" s="63"/>
      <c r="F101" s="63"/>
      <c r="G101" s="63"/>
      <c r="H101" s="71"/>
      <c r="I101" s="63" t="str">
        <f>IFERROR(__xludf.DUMMYFUNCTION("""COMPUTED_VALUE"""),"Màng PE cuộn")</f>
        <v>Màng PE cuộn</v>
      </c>
      <c r="J101" s="63">
        <f>IFERROR(__xludf.DUMMYFUNCTION("""COMPUTED_VALUE"""),21.0)</f>
        <v>21</v>
      </c>
      <c r="K101" s="63"/>
      <c r="L101" s="65">
        <f>IFERROR(__xludf.DUMMYFUNCTION("""COMPUTED_VALUE"""),46174.0)</f>
        <v>46174</v>
      </c>
      <c r="M101" s="63" t="b">
        <f>IFERROR(__xludf.DUMMYFUNCTION("""COMPUTED_VALUE"""),FALSE)</f>
        <v>0</v>
      </c>
      <c r="N101" s="71"/>
      <c r="O101" s="66"/>
      <c r="P101" s="71"/>
      <c r="Q101" s="66"/>
      <c r="R101" s="66"/>
      <c r="S101" s="71"/>
      <c r="T101" s="63" t="str">
        <f>IFERROR(__xludf.DUMMYFUNCTION("""COMPUTED_VALUE"""),"CÔNG TY CỔ PHẦN BAO BÌ TRỌNG TÍN")</f>
        <v>CÔNG TY CỔ PHẦN BAO BÌ TRỌNG TÍN</v>
      </c>
      <c r="U101" s="63" t="str">
        <f>IFERROR(__xludf.DUMMYFUNCTION("""COMPUTED_VALUE"""),"Bao Bì Trọng Tín")</f>
        <v>Bao Bì Trọng Tín</v>
      </c>
      <c r="V101" s="76" t="str">
        <f>IFERROR(__xludf.DUMMYFUNCTION("""COMPUTED_VALUE""")," Số 112/7 Đường Lê Thị Hà, Tổ 11, Ấp Chánh 1, Xã Hóc Môn, TP Hồ Chí Minh, Việt Nam ")</f>
        <v>Số 112/7 Đường Lê Thị Hà, Tổ 11, Ấp Chánh 1, Xã Hóc Môn, TP Hồ Chí Minh, Việt Nam</v>
      </c>
      <c r="W101" s="59" t="str">
        <f>IFERROR(__xludf.DUMMYFUNCTION("""COMPUTED_VALUE"""),"0313183129")</f>
        <v>0313183129</v>
      </c>
      <c r="X101" s="71"/>
      <c r="Y101" s="63"/>
      <c r="Z101" s="63"/>
      <c r="AA101" s="63"/>
      <c r="AB101" s="71"/>
      <c r="AC101" s="63"/>
      <c r="AD101" s="71"/>
      <c r="AE101" s="63"/>
      <c r="AF101" s="71"/>
      <c r="AG101" s="63"/>
      <c r="AH101" s="71"/>
      <c r="AI101" s="63"/>
      <c r="AJ101" s="71"/>
      <c r="AK101" s="63"/>
    </row>
    <row r="102" ht="18.0" customHeight="1">
      <c r="A102" s="63"/>
      <c r="B102" s="63"/>
      <c r="C102" s="71"/>
      <c r="D102" s="63"/>
      <c r="E102" s="63"/>
      <c r="F102" s="63"/>
      <c r="G102" s="63"/>
      <c r="H102" s="71"/>
      <c r="I102" s="63" t="str">
        <f>IFERROR(__xludf.DUMMYFUNCTION("""COMPUTED_VALUE"""),"Vận chuyển")</f>
        <v>Vận chuyển</v>
      </c>
      <c r="J102" s="63"/>
      <c r="K102" s="63"/>
      <c r="L102" s="63"/>
      <c r="M102" s="63"/>
      <c r="N102" s="71"/>
      <c r="O102" s="66"/>
      <c r="P102" s="71"/>
      <c r="Q102" s="66"/>
      <c r="R102" s="66"/>
      <c r="S102" s="71"/>
      <c r="T102" s="63" t="str">
        <f>IFERROR(__xludf.DUMMYFUNCTION("""COMPUTED_VALUE"""),"CÔNG TY TNHH GIẤY YUEN FOONG YU (VN)")</f>
        <v>CÔNG TY TNHH GIẤY YUEN FOONG YU (VN)</v>
      </c>
      <c r="U102" s="63" t="str">
        <f>IFERROR(__xludf.DUMMYFUNCTION("""COMPUTED_VALUE"""),"Giấy Yuen Foong Yu")</f>
        <v>Giấy Yuen Foong Yu</v>
      </c>
      <c r="V102" s="76" t="str">
        <f>IFERROR(__xludf.DUMMYFUNCTION("""COMPUTED_VALUE""")," Lô E3, E4, E5, E6 khu công nghiệp Đức Hòa 1, Ấp 5, Xã Mỹ Hạnh, Tỉnh Tây Ninh, Việt Nam ")</f>
        <v>Lô E3, E4, E5, E6 khu công nghiệp Đức Hòa 1, Ấp 5, Xã Mỹ Hạnh, Tỉnh Tây Ninh, Việt Nam</v>
      </c>
      <c r="W102" s="59" t="str">
        <f>IFERROR(__xludf.DUMMYFUNCTION("""COMPUTED_VALUE"""),"1100635534")</f>
        <v>1100635534</v>
      </c>
      <c r="X102" s="71"/>
      <c r="Y102" s="63"/>
      <c r="Z102" s="63"/>
      <c r="AA102" s="63"/>
      <c r="AB102" s="71"/>
      <c r="AC102" s="63"/>
      <c r="AD102" s="71"/>
      <c r="AE102" s="63"/>
      <c r="AF102" s="71"/>
      <c r="AG102" s="63"/>
      <c r="AH102" s="71"/>
      <c r="AI102" s="63"/>
      <c r="AJ102" s="71"/>
      <c r="AK102" s="63"/>
    </row>
    <row r="103" ht="18.0" customHeight="1">
      <c r="A103" s="63"/>
      <c r="B103" s="63"/>
      <c r="C103" s="71"/>
      <c r="D103" s="63"/>
      <c r="E103" s="63"/>
      <c r="F103" s="63"/>
      <c r="G103" s="63"/>
      <c r="H103" s="71"/>
      <c r="I103" s="63" t="str">
        <f>IFERROR(__xludf.DUMMYFUNCTION("""COMPUTED_VALUE"""),"Băng keo trong")</f>
        <v>Băng keo trong</v>
      </c>
      <c r="J103" s="63">
        <f>IFERROR(__xludf.DUMMYFUNCTION("""COMPUTED_VALUE"""),7.0)</f>
        <v>7</v>
      </c>
      <c r="K103" s="63"/>
      <c r="L103" s="65">
        <f>IFERROR(__xludf.DUMMYFUNCTION("""COMPUTED_VALUE"""),46174.0)</f>
        <v>46174</v>
      </c>
      <c r="M103" s="63" t="b">
        <f>IFERROR(__xludf.DUMMYFUNCTION("""COMPUTED_VALUE"""),TRUE)</f>
        <v>1</v>
      </c>
      <c r="N103" s="71"/>
      <c r="O103" s="66"/>
      <c r="P103" s="71"/>
      <c r="Q103" s="66"/>
      <c r="R103" s="66"/>
      <c r="S103" s="71"/>
      <c r="T103" s="63" t="str">
        <f>IFERROR(__xludf.DUMMYFUNCTION("""COMPUTED_VALUE"""),"HEBEI VEYONG BIO-CHEMICAL CO., LTD.")</f>
        <v>HEBEI VEYONG BIO-CHEMICAL CO., LTD.</v>
      </c>
      <c r="U103" s="63" t="str">
        <f>IFERROR(__xludf.DUMMYFUNCTION("""COMPUTED_VALUE"""),"Hebei Veyong")</f>
        <v>Hebei Veyong</v>
      </c>
      <c r="V103" s="76" t="str">
        <f>IFERROR(__xludf.DUMMYFUNCTION("""COMPUTED_VALUE""")," NO.6, MIDDLE HUAGONG ROAD, CIRCULATION CHEMICAL
INDUSTRY PARK, SHIJIAZHUANG CITY, HEBEI, CHINA ")</f>
        <v>NO.6, MIDDLE HUAGONG ROAD, CIRCULATION CHEMICAL
INDUSTRY PARK, SHIJIAZHUANG CITY, HEBEI, CHINA</v>
      </c>
      <c r="W103" s="63"/>
      <c r="X103" s="71"/>
      <c r="Y103" s="63"/>
      <c r="Z103" s="63"/>
      <c r="AA103" s="63"/>
      <c r="AB103" s="71"/>
      <c r="AC103" s="63"/>
      <c r="AD103" s="71"/>
      <c r="AE103" s="63"/>
      <c r="AF103" s="71"/>
      <c r="AG103" s="63"/>
      <c r="AH103" s="71"/>
      <c r="AI103" s="63"/>
      <c r="AJ103" s="71"/>
      <c r="AK103" s="63"/>
    </row>
    <row r="104" ht="18.0" customHeight="1">
      <c r="A104" s="63"/>
      <c r="B104" s="63"/>
      <c r="C104" s="71"/>
      <c r="D104" s="63"/>
      <c r="E104" s="63"/>
      <c r="F104" s="63"/>
      <c r="G104" s="63"/>
      <c r="H104" s="71"/>
      <c r="I104" s="63" t="str">
        <f>IFERROR(__xludf.DUMMYFUNCTION("""COMPUTED_VALUE"""),"Băng keo trong")</f>
        <v>Băng keo trong</v>
      </c>
      <c r="J104" s="63">
        <f>IFERROR(__xludf.DUMMYFUNCTION("""COMPUTED_VALUE"""),15.0)</f>
        <v>15</v>
      </c>
      <c r="K104" s="63"/>
      <c r="L104" s="65">
        <f>IFERROR(__xludf.DUMMYFUNCTION("""COMPUTED_VALUE"""),46174.0)</f>
        <v>46174</v>
      </c>
      <c r="M104" s="63" t="b">
        <f>IFERROR(__xludf.DUMMYFUNCTION("""COMPUTED_VALUE"""),FALSE)</f>
        <v>0</v>
      </c>
      <c r="N104" s="71"/>
      <c r="O104" s="66"/>
      <c r="P104" s="71"/>
      <c r="Q104" s="66"/>
      <c r="R104" s="66"/>
      <c r="S104" s="71"/>
      <c r="T104" s="63" t="str">
        <f>IFERROR(__xludf.DUMMYFUNCTION("""COMPUTED_VALUE"""),"TIEN YUAN CHEMICAL (PTE) LTD.")</f>
        <v>TIEN YUAN CHEMICAL (PTE) LTD.</v>
      </c>
      <c r="U104" s="63" t="str">
        <f>IFERROR(__xludf.DUMMYFUNCTION("""COMPUTED_VALUE"""),"Tien Yuan")</f>
        <v>Tien Yuan</v>
      </c>
      <c r="V104" s="76" t="str">
        <f>IFERROR(__xludf.DUMMYFUNCTION("""COMPUTED_VALUE""")," NO. 18 CHIN BEE ROAD, JURONG TOWN, SINGAPORE 619827 ")</f>
        <v>NO. 18 CHIN BEE ROAD, JURONG TOWN, SINGAPORE 619827</v>
      </c>
      <c r="W104" s="63"/>
      <c r="X104" s="71"/>
      <c r="Y104" s="63"/>
      <c r="Z104" s="63"/>
      <c r="AA104" s="63"/>
      <c r="AB104" s="71"/>
      <c r="AC104" s="63"/>
      <c r="AD104" s="71"/>
      <c r="AE104" s="63"/>
      <c r="AF104" s="71"/>
      <c r="AG104" s="63"/>
      <c r="AH104" s="71"/>
      <c r="AI104" s="63"/>
      <c r="AJ104" s="71"/>
      <c r="AK104" s="63"/>
    </row>
    <row r="105" ht="18.0" customHeight="1">
      <c r="A105" s="63"/>
      <c r="B105" s="63"/>
      <c r="C105" s="71"/>
      <c r="D105" s="63"/>
      <c r="E105" s="63"/>
      <c r="F105" s="63"/>
      <c r="G105" s="63"/>
      <c r="H105" s="71"/>
      <c r="I105" s="63" t="str">
        <f>IFERROR(__xludf.DUMMYFUNCTION("""COMPUTED_VALUE"""),"Băng keo in logo")</f>
        <v>Băng keo in logo</v>
      </c>
      <c r="J105" s="63">
        <f>IFERROR(__xludf.DUMMYFUNCTION("""COMPUTED_VALUE"""),7.0)</f>
        <v>7</v>
      </c>
      <c r="K105" s="63"/>
      <c r="L105" s="65">
        <f>IFERROR(__xludf.DUMMYFUNCTION("""COMPUTED_VALUE"""),46174.0)</f>
        <v>46174</v>
      </c>
      <c r="M105" s="63" t="b">
        <f>IFERROR(__xludf.DUMMYFUNCTION("""COMPUTED_VALUE"""),TRUE)</f>
        <v>1</v>
      </c>
      <c r="N105" s="71"/>
      <c r="O105" s="66"/>
      <c r="P105" s="71"/>
      <c r="Q105" s="66"/>
      <c r="R105" s="66"/>
      <c r="S105" s="71"/>
      <c r="T105" s="63" t="str">
        <f>IFERROR(__xludf.DUMMYFUNCTION("""COMPUTED_VALUE"""),"CÔNG TY TNHH HOA VIỆT CHEMGROUP")</f>
        <v>CÔNG TY TNHH HOA VIỆT CHEMGROUP</v>
      </c>
      <c r="U105" s="63" t="str">
        <f>IFERROR(__xludf.DUMMYFUNCTION("""COMPUTED_VALUE"""),"Hoa Việt Chemgroup")</f>
        <v>Hoa Việt Chemgroup</v>
      </c>
      <c r="V105" s="76" t="str">
        <f>IFERROR(__xludf.DUMMYFUNCTION("""COMPUTED_VALUE""")," A2/11Y, tổ 3, ấp 1, xã Vĩnh Lộc A, huyện Bình Chánh, TP.HCM ")</f>
        <v>A2/11Y, tổ 3, ấp 1, xã Vĩnh Lộc A, huyện Bình Chánh, TP.HCM</v>
      </c>
      <c r="W105" s="59" t="str">
        <f>IFERROR(__xludf.DUMMYFUNCTION("""COMPUTED_VALUE"""),"0317598043")</f>
        <v>0317598043</v>
      </c>
      <c r="X105" s="71"/>
      <c r="Y105" s="63"/>
      <c r="Z105" s="63"/>
      <c r="AA105" s="63"/>
      <c r="AB105" s="71"/>
      <c r="AC105" s="63"/>
      <c r="AD105" s="71"/>
      <c r="AE105" s="63"/>
      <c r="AF105" s="71"/>
      <c r="AG105" s="63"/>
      <c r="AH105" s="71"/>
      <c r="AI105" s="63"/>
      <c r="AJ105" s="71"/>
      <c r="AK105" s="63"/>
    </row>
    <row r="106" ht="18.0" customHeight="1">
      <c r="A106" s="63"/>
      <c r="B106" s="63"/>
      <c r="C106" s="71"/>
      <c r="D106" s="63"/>
      <c r="E106" s="63"/>
      <c r="F106" s="63"/>
      <c r="G106" s="63"/>
      <c r="H106" s="71"/>
      <c r="I106" s="63" t="str">
        <f>IFERROR(__xludf.DUMMYFUNCTION("""COMPUTED_VALUE"""),"Băng keo in logo")</f>
        <v>Băng keo in logo</v>
      </c>
      <c r="J106" s="63">
        <f>IFERROR(__xludf.DUMMYFUNCTION("""COMPUTED_VALUE"""),15.0)</f>
        <v>15</v>
      </c>
      <c r="K106" s="63"/>
      <c r="L106" s="65">
        <f>IFERROR(__xludf.DUMMYFUNCTION("""COMPUTED_VALUE"""),46174.0)</f>
        <v>46174</v>
      </c>
      <c r="M106" s="63" t="b">
        <f>IFERROR(__xludf.DUMMYFUNCTION("""COMPUTED_VALUE"""),FALSE)</f>
        <v>0</v>
      </c>
      <c r="N106" s="71"/>
      <c r="O106" s="66"/>
      <c r="P106" s="71"/>
      <c r="Q106" s="66"/>
      <c r="R106" s="66"/>
      <c r="S106" s="71"/>
      <c r="T106" s="63" t="str">
        <f>IFERROR(__xludf.DUMMYFUNCTION("""COMPUTED_VALUE"""),"CÔNG TY TNHH ĐẦU TƯ NÔNG NGHIỆP THÔNG MINH")</f>
        <v>CÔNG TY TNHH ĐẦU TƯ NÔNG NGHIỆP THÔNG MINH</v>
      </c>
      <c r="U106" s="63" t="str">
        <f>IFERROR(__xludf.DUMMYFUNCTION("""COMPUTED_VALUE"""),"Nông Nghiệp Thông Minh")</f>
        <v>Nông Nghiệp Thông Minh</v>
      </c>
      <c r="V106" s="76" t="str">
        <f>IFERROR(__xludf.DUMMYFUNCTION("""COMPUTED_VALUE""")," 33 Đường 2, Phường Phước Long, Thành phố Hồ Chí Minh, Việt Nam; ")</f>
        <v>33 Đường 2, Phường Phước Long, Thành phố Hồ Chí Minh, Việt Nam;</v>
      </c>
      <c r="W106" s="59" t="str">
        <f>IFERROR(__xludf.DUMMYFUNCTION("""COMPUTED_VALUE"""),"0312170342")</f>
        <v>0312170342</v>
      </c>
      <c r="X106" s="71"/>
      <c r="Y106" s="63"/>
      <c r="Z106" s="63"/>
      <c r="AA106" s="63"/>
      <c r="AB106" s="71"/>
      <c r="AC106" s="63"/>
      <c r="AD106" s="71"/>
      <c r="AE106" s="63"/>
      <c r="AF106" s="71"/>
      <c r="AG106" s="63"/>
      <c r="AH106" s="71"/>
      <c r="AI106" s="63"/>
      <c r="AJ106" s="71"/>
      <c r="AK106" s="63"/>
    </row>
    <row r="107" ht="18.0" customHeight="1">
      <c r="A107" s="63"/>
      <c r="B107" s="63"/>
      <c r="C107" s="71"/>
      <c r="D107" s="63"/>
      <c r="E107" s="63"/>
      <c r="F107" s="63"/>
      <c r="G107" s="63"/>
      <c r="H107" s="71"/>
      <c r="I107" s="63" t="str">
        <f>IFERROR(__xludf.DUMMYFUNCTION("""COMPUTED_VALUE"""),"Keo sữa")</f>
        <v>Keo sữa</v>
      </c>
      <c r="J107" s="63">
        <f>IFERROR(__xludf.DUMMYFUNCTION("""COMPUTED_VALUE"""),7.0)</f>
        <v>7</v>
      </c>
      <c r="K107" s="63"/>
      <c r="L107" s="65">
        <f>IFERROR(__xludf.DUMMYFUNCTION("""COMPUTED_VALUE"""),46174.0)</f>
        <v>46174</v>
      </c>
      <c r="M107" s="63" t="b">
        <f>IFERROR(__xludf.DUMMYFUNCTION("""COMPUTED_VALUE"""),TRUE)</f>
        <v>1</v>
      </c>
      <c r="N107" s="71"/>
      <c r="O107" s="66"/>
      <c r="P107" s="71"/>
      <c r="Q107" s="66"/>
      <c r="R107" s="66"/>
      <c r="S107" s="71"/>
      <c r="T107" s="63" t="str">
        <f>IFERROR(__xludf.DUMMYFUNCTION("""COMPUTED_VALUE"""),"CÔNG TY TNHH XUẤT NHẬP KHẨU TRẦN TIẾN")</f>
        <v>CÔNG TY TNHH XUẤT NHẬP KHẨU TRẦN TIẾN</v>
      </c>
      <c r="U107" s="63" t="str">
        <f>IFERROR(__xludf.DUMMYFUNCTION("""COMPUTED_VALUE"""),"Trần Tiến")</f>
        <v>Trần Tiến</v>
      </c>
      <c r="V107" s="76" t="str">
        <f>IFERROR(__xludf.DUMMYFUNCTION("""COMPUTED_VALUE""")," 911-913-915-917 Nguyễn Trãi, Phường Chợ Lớn, Tp. Hồ Chí Minh ")</f>
        <v>911-913-915-917 Nguyễn Trãi, Phường Chợ Lớn, Tp. Hồ Chí Minh</v>
      </c>
      <c r="W107" s="59" t="str">
        <f>IFERROR(__xludf.DUMMYFUNCTION("""COMPUTED_VALUE"""),"0312284043")</f>
        <v>0312284043</v>
      </c>
      <c r="X107" s="71"/>
      <c r="Y107" s="63"/>
      <c r="Z107" s="63"/>
      <c r="AA107" s="63"/>
      <c r="AB107" s="71"/>
      <c r="AC107" s="63"/>
      <c r="AD107" s="71"/>
      <c r="AE107" s="63"/>
      <c r="AF107" s="71"/>
      <c r="AG107" s="63"/>
      <c r="AH107" s="71"/>
      <c r="AI107" s="63"/>
      <c r="AJ107" s="71"/>
      <c r="AK107" s="63"/>
    </row>
    <row r="108" ht="18.0" customHeight="1">
      <c r="A108" s="63"/>
      <c r="B108" s="63"/>
      <c r="C108" s="71"/>
      <c r="D108" s="63"/>
      <c r="E108" s="63"/>
      <c r="F108" s="63"/>
      <c r="G108" s="63"/>
      <c r="H108" s="71"/>
      <c r="I108" s="63" t="str">
        <f>IFERROR(__xludf.DUMMYFUNCTION("""COMPUTED_VALUE"""),"Keo sữa")</f>
        <v>Keo sữa</v>
      </c>
      <c r="J108" s="63">
        <f>IFERROR(__xludf.DUMMYFUNCTION("""COMPUTED_VALUE"""),15.0)</f>
        <v>15</v>
      </c>
      <c r="K108" s="63"/>
      <c r="L108" s="65">
        <f>IFERROR(__xludf.DUMMYFUNCTION("""COMPUTED_VALUE"""),46174.0)</f>
        <v>46174</v>
      </c>
      <c r="M108" s="63" t="b">
        <f>IFERROR(__xludf.DUMMYFUNCTION("""COMPUTED_VALUE"""),FALSE)</f>
        <v>0</v>
      </c>
      <c r="N108" s="71"/>
      <c r="O108" s="66"/>
      <c r="P108" s="71"/>
      <c r="Q108" s="66"/>
      <c r="R108" s="66"/>
      <c r="S108" s="71"/>
      <c r="T108" s="63" t="str">
        <f>IFERROR(__xludf.DUMMYFUNCTION("""COMPUTED_VALUE"""),"CÔNG TY CỔ PHẦN XUẤT NHẬP KHẨU HÓA CHẤT VIỆT MỸ")</f>
        <v>CÔNG TY CỔ PHẦN XUẤT NHẬP KHẨU HÓA CHẤT VIỆT MỸ</v>
      </c>
      <c r="U108" s="63" t="str">
        <f>IFERROR(__xludf.DUMMYFUNCTION("""COMPUTED_VALUE"""),"Việt Mỹ (Sài Gòn)")</f>
        <v>Việt Mỹ (Sài Gòn)</v>
      </c>
      <c r="V108" s="76" t="str">
        <f>IFERROR(__xludf.DUMMYFUNCTION("""COMPUTED_VALUE""")," 9 Đường số 5, Bình Hưng, Bình Chánh, TP.HCM ")</f>
        <v>9 Đường số 5, Bình Hưng, Bình Chánh, TP.HCM</v>
      </c>
      <c r="W108" s="59" t="str">
        <f>IFERROR(__xludf.DUMMYFUNCTION("""COMPUTED_VALUE"""),"0312669004")</f>
        <v>0312669004</v>
      </c>
      <c r="X108" s="71"/>
      <c r="Y108" s="63"/>
      <c r="Z108" s="63"/>
      <c r="AA108" s="63"/>
      <c r="AB108" s="71"/>
      <c r="AC108" s="63"/>
      <c r="AD108" s="71"/>
      <c r="AE108" s="63"/>
      <c r="AF108" s="71"/>
      <c r="AG108" s="63"/>
      <c r="AH108" s="71"/>
      <c r="AI108" s="63"/>
      <c r="AJ108" s="71"/>
      <c r="AK108" s="63"/>
    </row>
    <row r="109" ht="18.0" customHeight="1">
      <c r="A109" s="63"/>
      <c r="B109" s="63"/>
      <c r="C109" s="71"/>
      <c r="D109" s="63"/>
      <c r="E109" s="63"/>
      <c r="F109" s="63"/>
      <c r="G109" s="63"/>
      <c r="H109" s="71"/>
      <c r="I109" s="63" t="str">
        <f>IFERROR(__xludf.DUMMYFUNCTION("""COMPUTED_VALUE"""),"Tem Hologram bạc (tem chống hàng giả icare)")</f>
        <v>Tem Hologram bạc (tem chống hàng giả icare)</v>
      </c>
      <c r="J109" s="63">
        <f>IFERROR(__xludf.DUMMYFUNCTION("""COMPUTED_VALUE"""),12.0)</f>
        <v>12</v>
      </c>
      <c r="K109" s="63"/>
      <c r="L109" s="65">
        <f>IFERROR(__xludf.DUMMYFUNCTION("""COMPUTED_VALUE"""),46174.0)</f>
        <v>46174</v>
      </c>
      <c r="M109" s="63" t="b">
        <f>IFERROR(__xludf.DUMMYFUNCTION("""COMPUTED_VALUE"""),FALSE)</f>
        <v>0</v>
      </c>
      <c r="N109" s="71"/>
      <c r="O109" s="66"/>
      <c r="P109" s="71"/>
      <c r="Q109" s="66"/>
      <c r="R109" s="66"/>
      <c r="S109" s="71"/>
      <c r="T109" s="63" t="str">
        <f>IFERROR(__xludf.DUMMYFUNCTION("""COMPUTED_VALUE"""),"CÔNG TY TRÁCH NHIỆM HỮU HẠN AK VINA AK VINA CO., LTD")</f>
        <v>CÔNG TY TRÁCH NHIỆM HỮU HẠN AK VINA AK VINA CO., LTD</v>
      </c>
      <c r="U109" s="63" t="str">
        <f>IFERROR(__xludf.DUMMYFUNCTION("""COMPUTED_VALUE"""),"Ak Vina")</f>
        <v>Ak Vina</v>
      </c>
      <c r="V109" s="76" t="str">
        <f>IFERROR(__xludf.DUMMYFUNCTION("""COMPUTED_VALUE""")," Số 02, KCN Gò Dầu, Xã Phước Thái, Huyện Long Thành, Tỉnh Đồng Nai, Việt Nam ")</f>
        <v>Số 02, KCN Gò Dầu, Xã Phước Thái, Huyện Long Thành, Tỉnh Đồng Nai, Việt Nam</v>
      </c>
      <c r="W109" s="59" t="str">
        <f>IFERROR(__xludf.DUMMYFUNCTION("""COMPUTED_VALUE"""),"3600649634")</f>
        <v>3600649634</v>
      </c>
      <c r="X109" s="71"/>
      <c r="Y109" s="63"/>
      <c r="Z109" s="63"/>
      <c r="AA109" s="63"/>
      <c r="AB109" s="71"/>
      <c r="AC109" s="63"/>
      <c r="AD109" s="71"/>
      <c r="AE109" s="63"/>
      <c r="AF109" s="71"/>
      <c r="AG109" s="63"/>
      <c r="AH109" s="71"/>
      <c r="AI109" s="63"/>
      <c r="AJ109" s="71"/>
      <c r="AK109" s="63"/>
    </row>
    <row r="110" ht="18.0" customHeight="1">
      <c r="A110" s="63"/>
      <c r="B110" s="63"/>
      <c r="C110" s="71"/>
      <c r="D110" s="63"/>
      <c r="E110" s="63"/>
      <c r="F110" s="63"/>
      <c r="G110" s="63"/>
      <c r="H110" s="71"/>
      <c r="I110" s="63" t="str">
        <f>IFERROR(__xludf.DUMMYFUNCTION("""COMPUTED_VALUE"""),"Tem decal vỡ (tem Asahi)")</f>
        <v>Tem decal vỡ (tem Asahi)</v>
      </c>
      <c r="J110" s="63">
        <f>IFERROR(__xludf.DUMMYFUNCTION("""COMPUTED_VALUE"""),12.0)</f>
        <v>12</v>
      </c>
      <c r="K110" s="63"/>
      <c r="L110" s="65">
        <f>IFERROR(__xludf.DUMMYFUNCTION("""COMPUTED_VALUE"""),46174.0)</f>
        <v>46174</v>
      </c>
      <c r="M110" s="63" t="b">
        <f>IFERROR(__xludf.DUMMYFUNCTION("""COMPUTED_VALUE"""),FALSE)</f>
        <v>0</v>
      </c>
      <c r="N110" s="71"/>
      <c r="O110" s="66"/>
      <c r="P110" s="71"/>
      <c r="Q110" s="66"/>
      <c r="R110" s="66"/>
      <c r="S110" s="71"/>
      <c r="T110" s="63" t="str">
        <f>IFERROR(__xludf.DUMMYFUNCTION("""COMPUTED_VALUE"""),"CÔNG TY TNHH SẢN XUẤT THƯƠNG MẠI AMIGOS")</f>
        <v>CÔNG TY TNHH SẢN XUẤT THƯƠNG MẠI AMIGOS</v>
      </c>
      <c r="U110" s="63" t="str">
        <f>IFERROR(__xludf.DUMMYFUNCTION("""COMPUTED_VALUE"""),"Amigos")</f>
        <v>Amigos</v>
      </c>
      <c r="V110" s="76" t="str">
        <f>IFERROR(__xludf.DUMMYFUNCTION("""COMPUTED_VALUE""")," 60/15 Huỳnh Văn Nghệ, Phường Tân Sơn, TP Hồ Chí Minh, Việt Nam ")</f>
        <v>60/15 Huỳnh Văn Nghệ, Phường Tân Sơn, TP Hồ Chí Minh, Việt Nam</v>
      </c>
      <c r="W110" s="59" t="str">
        <f>IFERROR(__xludf.DUMMYFUNCTION("""COMPUTED_VALUE"""),"0311360340")</f>
        <v>0311360340</v>
      </c>
      <c r="X110" s="71"/>
      <c r="Y110" s="63"/>
      <c r="Z110" s="63"/>
      <c r="AA110" s="63"/>
      <c r="AB110" s="71"/>
      <c r="AC110" s="63"/>
      <c r="AD110" s="71"/>
      <c r="AE110" s="63"/>
      <c r="AF110" s="71"/>
      <c r="AG110" s="63"/>
      <c r="AH110" s="71"/>
      <c r="AI110" s="63"/>
      <c r="AJ110" s="71"/>
      <c r="AK110" s="63"/>
    </row>
    <row r="111" ht="18.0" customHeight="1">
      <c r="A111" s="63"/>
      <c r="B111" s="63"/>
      <c r="C111" s="71"/>
      <c r="D111" s="63"/>
      <c r="E111" s="63"/>
      <c r="F111" s="63"/>
      <c r="G111" s="63"/>
      <c r="H111" s="71"/>
      <c r="I111" s="63" t="str">
        <f>IFERROR(__xludf.DUMMYFUNCTION("""COMPUTED_VALUE"""),"Tem decal giấy")</f>
        <v>Tem decal giấy</v>
      </c>
      <c r="J111" s="63">
        <f>IFERROR(__xludf.DUMMYFUNCTION("""COMPUTED_VALUE"""),12.0)</f>
        <v>12</v>
      </c>
      <c r="K111" s="63"/>
      <c r="L111" s="65">
        <f>IFERROR(__xludf.DUMMYFUNCTION("""COMPUTED_VALUE"""),46174.0)</f>
        <v>46174</v>
      </c>
      <c r="M111" s="63" t="b">
        <f>IFERROR(__xludf.DUMMYFUNCTION("""COMPUTED_VALUE"""),FALSE)</f>
        <v>0</v>
      </c>
      <c r="N111" s="71"/>
      <c r="O111" s="66"/>
      <c r="P111" s="71"/>
      <c r="Q111" s="66"/>
      <c r="R111" s="66"/>
      <c r="S111" s="71"/>
      <c r="T111" s="63" t="str">
        <f>IFERROR(__xludf.DUMMYFUNCTION("""COMPUTED_VALUE"""),"CÔNG TY TNHH VẬT TƯ NÔNG NGHIỆP MIA")</f>
        <v>CÔNG TY TNHH VẬT TƯ NÔNG NGHIỆP MIA</v>
      </c>
      <c r="U111" s="63" t="str">
        <f>IFERROR(__xludf.DUMMYFUNCTION("""COMPUTED_VALUE"""),"MIA")</f>
        <v>MIA</v>
      </c>
      <c r="V111" s="76" t="str">
        <f>IFERROR(__xludf.DUMMYFUNCTION("""COMPUTED_VALUE""")," 12/29 Nguyễn Tuân, Phường Hạnh Thông, Thành phố Hồ Chí Minh, Việt Nam ")</f>
        <v>12/29 Nguyễn Tuân, Phường Hạnh Thông, Thành phố Hồ Chí Minh, Việt Nam</v>
      </c>
      <c r="W111" s="59" t="str">
        <f>IFERROR(__xludf.DUMMYFUNCTION("""COMPUTED_VALUE"""),"0315662254")</f>
        <v>0315662254</v>
      </c>
      <c r="X111" s="71"/>
      <c r="Y111" s="63"/>
      <c r="Z111" s="63"/>
      <c r="AA111" s="63"/>
      <c r="AB111" s="71"/>
      <c r="AC111" s="63"/>
      <c r="AD111" s="71"/>
      <c r="AE111" s="63"/>
      <c r="AF111" s="71"/>
      <c r="AG111" s="63"/>
      <c r="AH111" s="71"/>
      <c r="AI111" s="63"/>
      <c r="AJ111" s="71"/>
      <c r="AK111" s="63"/>
    </row>
    <row r="112" ht="18.0" customHeight="1">
      <c r="A112" s="63"/>
      <c r="B112" s="63"/>
      <c r="C112" s="71"/>
      <c r="D112" s="63"/>
      <c r="E112" s="63"/>
      <c r="F112" s="63"/>
      <c r="G112" s="63"/>
      <c r="H112" s="71"/>
      <c r="I112" s="63" t="str">
        <f>IFERROR(__xludf.DUMMYFUNCTION("""COMPUTED_VALUE"""),"NL Nhập khẩu")</f>
        <v>NL Nhập khẩu</v>
      </c>
      <c r="J112" s="63">
        <f>IFERROR(__xludf.DUMMYFUNCTION("""COMPUTED_VALUE"""),59.0)</f>
        <v>59</v>
      </c>
      <c r="K112" s="63" t="str">
        <f>IFERROR(__xludf.DUMMYFUNCTION("""COMPUTED_VALUE"""),"- Làm hợp đồng với NCC mới: 5 ngày
- Chuẩn bị hàng: 14 ngày
- Giao hàng 20 ngày
- Nhận hàng + thông quan: 20 ngày
Đối với đường bay thì 41 ngày")</f>
        <v>- Làm hợp đồng với NCC mới: 5 ngày
- Chuẩn bị hàng: 14 ngày
- Giao hàng 20 ngày
- Nhận hàng + thông quan: 20 ngày
Đối với đường bay thì 41 ngày</v>
      </c>
      <c r="L112" s="65">
        <f>IFERROR(__xludf.DUMMYFUNCTION("""COMPUTED_VALUE"""),46082.0)</f>
        <v>46082</v>
      </c>
      <c r="M112" s="63" t="b">
        <f>IFERROR(__xludf.DUMMYFUNCTION("""COMPUTED_VALUE"""),FALSE)</f>
        <v>0</v>
      </c>
      <c r="N112" s="71"/>
      <c r="O112" s="66"/>
      <c r="P112" s="71"/>
      <c r="Q112" s="66"/>
      <c r="R112" s="66"/>
      <c r="S112" s="71"/>
      <c r="T112" s="63" t="str">
        <f>IFERROR(__xludf.DUMMYFUNCTION("""COMPUTED_VALUE"""),"CÔNG TY CỔ PHẦN AGAMA")</f>
        <v>CÔNG TY CỔ PHẦN AGAMA</v>
      </c>
      <c r="U112" s="63" t="str">
        <f>IFERROR(__xludf.DUMMYFUNCTION("""COMPUTED_VALUE"""),"Agama")</f>
        <v>Agama</v>
      </c>
      <c r="V112" s="76" t="str">
        <f>IFERROR(__xludf.DUMMYFUNCTION("""COMPUTED_VALUE""")," Lô 2, Đường số 2, Cụm Công nghiệp Đức Thuận, Ấp Tràm Lạc, Xã Mỹ Hạnh Bắc, Huyện Đức Hoà, Tỉnh Long An, Việt Nam ")</f>
        <v>Lô 2, Đường số 2, Cụm Công nghiệp Đức Thuận, Ấp Tràm Lạc, Xã Mỹ Hạnh Bắc, Huyện Đức Hoà, Tỉnh Long An, Việt Nam</v>
      </c>
      <c r="W112" s="63"/>
      <c r="X112" s="71"/>
      <c r="Y112" s="63"/>
      <c r="Z112" s="63"/>
      <c r="AA112" s="63"/>
      <c r="AB112" s="71"/>
      <c r="AC112" s="63"/>
      <c r="AD112" s="71"/>
      <c r="AE112" s="63"/>
      <c r="AF112" s="71"/>
      <c r="AG112" s="63"/>
      <c r="AH112" s="71"/>
      <c r="AI112" s="63"/>
      <c r="AJ112" s="71"/>
      <c r="AK112" s="63"/>
    </row>
    <row r="113" ht="18.0" customHeight="1">
      <c r="A113" s="63"/>
      <c r="B113" s="63"/>
      <c r="C113" s="71"/>
      <c r="D113" s="63"/>
      <c r="E113" s="63"/>
      <c r="F113" s="63"/>
      <c r="G113" s="63"/>
      <c r="H113" s="71"/>
      <c r="I113" s="63" t="str">
        <f>IFERROR(__xludf.DUMMYFUNCTION("""COMPUTED_VALUE"""),"NL Icare")</f>
        <v>NL Icare</v>
      </c>
      <c r="J113" s="63">
        <f>IFERROR(__xludf.DUMMYFUNCTION("""COMPUTED_VALUE"""),4.0)</f>
        <v>4</v>
      </c>
      <c r="K113" s="63" t="str">
        <f>IFERROR(__xludf.DUMMYFUNCTION("""COMPUTED_VALUE"""),"Trong nước, công nợ")</f>
        <v>Trong nước, công nợ</v>
      </c>
      <c r="L113" s="65">
        <f>IFERROR(__xludf.DUMMYFUNCTION("""COMPUTED_VALUE"""),46082.0)</f>
        <v>46082</v>
      </c>
      <c r="M113" s="63" t="b">
        <f>IFERROR(__xludf.DUMMYFUNCTION("""COMPUTED_VALUE"""),FALSE)</f>
        <v>0</v>
      </c>
      <c r="N113" s="71"/>
      <c r="O113" s="66"/>
      <c r="P113" s="71"/>
      <c r="Q113" s="66"/>
      <c r="R113" s="66"/>
      <c r="S113" s="71"/>
      <c r="T113" s="63" t="str">
        <f>IFERROR(__xludf.DUMMYFUNCTION("""COMPUTED_VALUE"""),"CÔNG TY CỔ PHẦN HÓA CHẤT NÔNG NGHIỆP HÀ LONG")</f>
        <v>CÔNG TY CỔ PHẦN HÓA CHẤT NÔNG NGHIỆP HÀ LONG</v>
      </c>
      <c r="U113" s="63" t="str">
        <f>IFERROR(__xludf.DUMMYFUNCTION("""COMPUTED_VALUE"""),"Hà Long")</f>
        <v>Hà Long</v>
      </c>
      <c r="V113" s="76" t="str">
        <f>IFERROR(__xludf.DUMMYFUNCTION("""COMPUTED_VALUE""")," Lô A 204, Khu công nghiệp Thái Hòa , Xã Đức Lập Hạ, Huyện Đức Hoà, Tỉnh Long An, Việt Nam ")</f>
        <v>Lô A 204, Khu công nghiệp Thái Hòa , Xã Đức Lập Hạ, Huyện Đức Hoà, Tỉnh Long An, Việt Nam</v>
      </c>
      <c r="W113" s="63"/>
      <c r="X113" s="71"/>
      <c r="Y113" s="63"/>
      <c r="Z113" s="63"/>
      <c r="AA113" s="63"/>
      <c r="AB113" s="71"/>
      <c r="AC113" s="63"/>
      <c r="AD113" s="71"/>
      <c r="AE113" s="63"/>
      <c r="AF113" s="71"/>
      <c r="AG113" s="63"/>
      <c r="AH113" s="71"/>
      <c r="AI113" s="63"/>
      <c r="AJ113" s="71"/>
      <c r="AK113" s="63"/>
    </row>
    <row r="114" ht="18.0" customHeight="1">
      <c r="A114" s="63"/>
      <c r="B114" s="63"/>
      <c r="C114" s="71"/>
      <c r="D114" s="63"/>
      <c r="E114" s="63"/>
      <c r="F114" s="63"/>
      <c r="G114" s="63"/>
      <c r="H114" s="71"/>
      <c r="I114" s="63" t="str">
        <f>IFERROR(__xludf.DUMMYFUNCTION("""COMPUTED_VALUE"""),"Tag treo")</f>
        <v>Tag treo</v>
      </c>
      <c r="J114" s="63">
        <f>IFERROR(__xludf.DUMMYFUNCTION("""COMPUTED_VALUE"""),10.0)</f>
        <v>10</v>
      </c>
      <c r="K114" s="63"/>
      <c r="L114" s="65">
        <f>IFERROR(__xludf.DUMMYFUNCTION("""COMPUTED_VALUE"""),46082.0)</f>
        <v>46082</v>
      </c>
      <c r="M114" s="63" t="b">
        <f>IFERROR(__xludf.DUMMYFUNCTION("""COMPUTED_VALUE"""),FALSE)</f>
        <v>0</v>
      </c>
      <c r="N114" s="71"/>
      <c r="O114" s="66"/>
      <c r="P114" s="71"/>
      <c r="Q114" s="66"/>
      <c r="R114" s="66"/>
      <c r="S114" s="71"/>
      <c r="T114" s="63" t="str">
        <f>IFERROR(__xludf.DUMMYFUNCTION("""COMPUTED_VALUE"""),"CÔNG TY CỔ PHẦN PHÂN BÓN QUỐC TẾ ÂU VIỆT (CÔNG TY CP EVF)")</f>
        <v>CÔNG TY CỔ PHẦN PHÂN BÓN QUỐC TẾ ÂU VIỆT (CÔNG TY CP EVF)</v>
      </c>
      <c r="U114" s="63" t="str">
        <f>IFERROR(__xludf.DUMMYFUNCTION("""COMPUTED_VALUE"""),"Âu Việt")</f>
        <v>Âu Việt</v>
      </c>
      <c r="V114" s="76" t="str">
        <f>IFERROR(__xludf.DUMMYFUNCTION("""COMPUTED_VALUE""")," Quốc lộ 1A, Ấp Long An B, Thị Trấn Cái Tắc, Huyện Châu Thành A, Tỉnh Hậu Giang, Việt Nam ")</f>
        <v>Quốc lộ 1A, Ấp Long An B, Thị Trấn Cái Tắc, Huyện Châu Thành A, Tỉnh Hậu Giang, Việt Nam</v>
      </c>
      <c r="W114" s="63"/>
      <c r="X114" s="71"/>
      <c r="Y114" s="63"/>
      <c r="Z114" s="63"/>
      <c r="AA114" s="63"/>
      <c r="AB114" s="71"/>
      <c r="AC114" s="63"/>
      <c r="AD114" s="71"/>
      <c r="AE114" s="63"/>
      <c r="AF114" s="71"/>
      <c r="AG114" s="63"/>
      <c r="AH114" s="71"/>
      <c r="AI114" s="63"/>
      <c r="AJ114" s="71"/>
      <c r="AK114" s="63"/>
    </row>
    <row r="115" ht="18.0" customHeight="1">
      <c r="A115" s="63"/>
      <c r="B115" s="63"/>
      <c r="C115" s="71"/>
      <c r="D115" s="63"/>
      <c r="E115" s="63"/>
      <c r="F115" s="63"/>
      <c r="G115" s="63"/>
      <c r="H115" s="71"/>
      <c r="I115" s="63" t="str">
        <f>IFERROR(__xludf.DUMMYFUNCTION("""COMPUTED_VALUE"""),"Hàng sẵn kho ncc")</f>
        <v>Hàng sẵn kho ncc</v>
      </c>
      <c r="J115" s="63"/>
      <c r="K115" s="63"/>
      <c r="L115" s="63"/>
      <c r="M115" s="63"/>
      <c r="N115" s="71"/>
      <c r="O115" s="66"/>
      <c r="P115" s="71"/>
      <c r="Q115" s="66"/>
      <c r="R115" s="66"/>
      <c r="S115" s="71"/>
      <c r="T115" s="63" t="str">
        <f>IFERROR(__xludf.DUMMYFUNCTION("""COMPUTED_VALUE"""),"CÔNG TY TNHH BASEL THỤY SĨ")</f>
        <v>CÔNG TY TNHH BASEL THỤY SĨ</v>
      </c>
      <c r="U115" s="63" t="str">
        <f>IFERROR(__xludf.DUMMYFUNCTION("""COMPUTED_VALUE"""),"Basel")</f>
        <v>Basel</v>
      </c>
      <c r="V115" s="76" t="str">
        <f>IFERROR(__xludf.DUMMYFUNCTION("""COMPUTED_VALUE""")," Lô H2A đường số 4, KCN Hải Sơn (GĐ 3+4), ấp Bình Tiền 2, Xã Đức Hòa Hạ, Huyện Đức Hoà, Tỉnh Long An ")</f>
        <v>Lô H2A đường số 4, KCN Hải Sơn (GĐ 3+4), ấp Bình Tiền 2, Xã Đức Hòa Hạ, Huyện Đức Hoà, Tỉnh Long An</v>
      </c>
      <c r="W115" s="63"/>
      <c r="X115" s="71"/>
      <c r="Y115" s="63"/>
      <c r="Z115" s="63"/>
      <c r="AA115" s="63"/>
      <c r="AB115" s="71"/>
      <c r="AC115" s="63"/>
      <c r="AD115" s="71"/>
      <c r="AE115" s="63"/>
      <c r="AF115" s="71"/>
      <c r="AG115" s="63"/>
      <c r="AH115" s="71"/>
      <c r="AI115" s="63"/>
      <c r="AJ115" s="71"/>
      <c r="AK115" s="63"/>
    </row>
    <row r="116" ht="18.0" customHeight="1">
      <c r="A116" s="63"/>
      <c r="B116" s="63"/>
      <c r="C116" s="71"/>
      <c r="D116" s="63"/>
      <c r="E116" s="63"/>
      <c r="F116" s="63"/>
      <c r="G116" s="63"/>
      <c r="H116" s="71"/>
      <c r="I116" s="63" t="str">
        <f>IFERROR(__xludf.DUMMYFUNCTION("""COMPUTED_VALUE"""),"Hàng ko sẵn kho ncc")</f>
        <v>Hàng ko sẵn kho ncc</v>
      </c>
      <c r="J116" s="63"/>
      <c r="K116" s="63"/>
      <c r="L116" s="63"/>
      <c r="M116" s="63"/>
      <c r="N116" s="71"/>
      <c r="O116" s="66"/>
      <c r="P116" s="71"/>
      <c r="Q116" s="66"/>
      <c r="R116" s="66"/>
      <c r="S116" s="71"/>
      <c r="T116" s="63" t="str">
        <f>IFERROR(__xludf.DUMMYFUNCTION("""COMPUTED_VALUE"""),"CÔNG TY TNHH DEGO HOLDING")</f>
        <v>CÔNG TY TNHH DEGO HOLDING</v>
      </c>
      <c r="U116" s="63" t="str">
        <f>IFERROR(__xludf.DUMMYFUNCTION("""COMPUTED_VALUE"""),"Dego Cần Thơ")</f>
        <v>Dego Cần Thơ</v>
      </c>
      <c r="V116" s="63" t="str">
        <f>IFERROR(__xludf.DUMMYFUNCTION("""COMPUTED_VALUE"""),"B19 đường cầu dẫn cầu Cần Thơ, QL 1A, Khu Dân cư Trung tâm văn hóa Tây Đô, phường Cái Răng, Thành phố Cần Thơ.")</f>
        <v>B19 đường cầu dẫn cầu Cần Thơ, QL 1A, Khu Dân cư Trung tâm văn hóa Tây Đô, phường Cái Răng, Thành phố Cần Thơ.</v>
      </c>
      <c r="W116" s="63"/>
      <c r="X116" s="71"/>
      <c r="Y116" s="63"/>
      <c r="Z116" s="63"/>
      <c r="AA116" s="63"/>
      <c r="AB116" s="71"/>
      <c r="AC116" s="63"/>
      <c r="AD116" s="71"/>
      <c r="AE116" s="63"/>
      <c r="AF116" s="71"/>
      <c r="AG116" s="63"/>
      <c r="AH116" s="71"/>
      <c r="AI116" s="63"/>
      <c r="AJ116" s="71"/>
      <c r="AK116" s="63"/>
    </row>
    <row r="117" ht="18.0" customHeight="1">
      <c r="A117" s="63"/>
      <c r="B117" s="63"/>
      <c r="C117" s="71"/>
      <c r="D117" s="63"/>
      <c r="E117" s="63"/>
      <c r="F117" s="63"/>
      <c r="G117" s="63"/>
      <c r="H117" s="71"/>
      <c r="I117" s="63" t="str">
        <f>IFERROR(__xludf.DUMMYFUNCTION("""COMPUTED_VALUE"""),"Xốp ( bong bóng khí)")</f>
        <v>Xốp ( bong bóng khí)</v>
      </c>
      <c r="J117" s="63">
        <f>IFERROR(__xludf.DUMMYFUNCTION("""COMPUTED_VALUE"""),5.0)</f>
        <v>5</v>
      </c>
      <c r="K117" s="63"/>
      <c r="L117" s="65">
        <f>IFERROR(__xludf.DUMMYFUNCTION("""COMPUTED_VALUE"""),46082.0)</f>
        <v>46082</v>
      </c>
      <c r="M117" s="63" t="b">
        <f>IFERROR(__xludf.DUMMYFUNCTION("""COMPUTED_VALUE"""),FALSE)</f>
        <v>0</v>
      </c>
      <c r="N117" s="71"/>
      <c r="O117" s="66"/>
      <c r="P117" s="71"/>
      <c r="Q117" s="66"/>
      <c r="R117" s="66"/>
      <c r="S117" s="71"/>
      <c r="T117" s="63" t="str">
        <f>IFERROR(__xludf.DUMMYFUNCTION("""COMPUTED_VALUE"""),"CÔNG TY TNHH PHÂN BÓN NIỀM TIN VIỆT")</f>
        <v>CÔNG TY TNHH PHÂN BÓN NIỀM TIN VIỆT</v>
      </c>
      <c r="U117" s="63" t="str">
        <f>IFERROR(__xludf.DUMMYFUNCTION("""COMPUTED_VALUE"""),"Niềm Tin Việt")</f>
        <v>Niềm Tin Việt</v>
      </c>
      <c r="V117" s="63" t="str">
        <f>IFERROR(__xludf.DUMMYFUNCTION("""COMPUTED_VALUE"""),"Ấp 2A, Xã Hưng Thạnh, H.Tháp Mười, Đồng Tháp")</f>
        <v>Ấp 2A, Xã Hưng Thạnh, H.Tháp Mười, Đồng Tháp</v>
      </c>
      <c r="W117" s="63"/>
      <c r="X117" s="71"/>
      <c r="Y117" s="63"/>
      <c r="Z117" s="63"/>
      <c r="AA117" s="63"/>
      <c r="AB117" s="71"/>
      <c r="AC117" s="63"/>
      <c r="AD117" s="71"/>
      <c r="AE117" s="63"/>
      <c r="AF117" s="71"/>
      <c r="AG117" s="63"/>
      <c r="AH117" s="71"/>
      <c r="AI117" s="63"/>
      <c r="AJ117" s="71"/>
      <c r="AK117" s="63"/>
    </row>
    <row r="118" ht="18.0" customHeight="1">
      <c r="A118" s="63"/>
      <c r="B118" s="63"/>
      <c r="C118" s="71"/>
      <c r="D118" s="63"/>
      <c r="E118" s="63"/>
      <c r="F118" s="63"/>
      <c r="G118" s="63"/>
      <c r="H118" s="71"/>
      <c r="I118" s="63" t="str">
        <f>IFERROR(__xludf.DUMMYFUNCTION("""COMPUTED_VALUE"""),"Giấy nhiệt K100x150")</f>
        <v>Giấy nhiệt K100x150</v>
      </c>
      <c r="J118" s="63">
        <f>IFERROR(__xludf.DUMMYFUNCTION("""COMPUTED_VALUE"""),5.0)</f>
        <v>5</v>
      </c>
      <c r="K118" s="63"/>
      <c r="L118" s="65">
        <f>IFERROR(__xludf.DUMMYFUNCTION("""COMPUTED_VALUE"""),46082.0)</f>
        <v>46082</v>
      </c>
      <c r="M118" s="63" t="b">
        <f>IFERROR(__xludf.DUMMYFUNCTION("""COMPUTED_VALUE"""),FALSE)</f>
        <v>0</v>
      </c>
      <c r="N118" s="71"/>
      <c r="O118" s="66"/>
      <c r="P118" s="71"/>
      <c r="Q118" s="66"/>
      <c r="R118" s="66"/>
      <c r="S118" s="71"/>
      <c r="T118" s="63" t="str">
        <f>IFERROR(__xludf.DUMMYFUNCTION("""COMPUTED_VALUE"""),"CÔNG TY TNHH PRIMA - PHÁP - CHÂU ÂU")</f>
        <v>CÔNG TY TNHH PRIMA - PHÁP - CHÂU ÂU</v>
      </c>
      <c r="U118" s="63" t="str">
        <f>IFERROR(__xludf.DUMMYFUNCTION("""COMPUTED_VALUE"""),"Đại Tâm")</f>
        <v>Đại Tâm</v>
      </c>
      <c r="V118" s="63" t="str">
        <f>IFERROR(__xludf.DUMMYFUNCTION("""COMPUTED_VALUE"""),"Lô B101 đường B. KCN Thái Hoà, Xã Đức Lập Hạ, Huyện Đức Hoà, Tỉnh Long An")</f>
        <v>Lô B101 đường B. KCN Thái Hoà, Xã Đức Lập Hạ, Huyện Đức Hoà, Tỉnh Long An</v>
      </c>
      <c r="W118" s="63"/>
      <c r="X118" s="71"/>
      <c r="Y118" s="63"/>
      <c r="Z118" s="63"/>
      <c r="AA118" s="63"/>
      <c r="AB118" s="71"/>
      <c r="AC118" s="63"/>
      <c r="AD118" s="71"/>
      <c r="AE118" s="63"/>
      <c r="AF118" s="71"/>
      <c r="AG118" s="63"/>
      <c r="AH118" s="71"/>
      <c r="AI118" s="63"/>
      <c r="AJ118" s="71"/>
      <c r="AK118" s="63"/>
    </row>
    <row r="119" ht="18.0" customHeight="1">
      <c r="A119" s="63"/>
      <c r="B119" s="63"/>
      <c r="C119" s="71"/>
      <c r="D119" s="63"/>
      <c r="E119" s="63"/>
      <c r="F119" s="63"/>
      <c r="G119" s="63"/>
      <c r="H119" s="71"/>
      <c r="I119" s="63" t="str">
        <f>IFERROR(__xludf.DUMMYFUNCTION("""COMPUTED_VALUE"""),"HDSD Antisol")</f>
        <v>HDSD Antisol</v>
      </c>
      <c r="J119" s="63">
        <f>IFERROR(__xludf.DUMMYFUNCTION("""COMPUTED_VALUE"""),10.0)</f>
        <v>10</v>
      </c>
      <c r="K119" s="63"/>
      <c r="L119" s="65">
        <f>IFERROR(__xludf.DUMMYFUNCTION("""COMPUTED_VALUE"""),46082.0)</f>
        <v>46082</v>
      </c>
      <c r="M119" s="63" t="b">
        <f>IFERROR(__xludf.DUMMYFUNCTION("""COMPUTED_VALUE"""),FALSE)</f>
        <v>0</v>
      </c>
      <c r="N119" s="71"/>
      <c r="O119" s="66"/>
      <c r="P119" s="71"/>
      <c r="Q119" s="66"/>
      <c r="R119" s="66"/>
      <c r="S119" s="71"/>
      <c r="T119" s="63" t="str">
        <f>IFERROR(__xludf.DUMMYFUNCTION("""COMPUTED_VALUE"""),"CÔNG TY TNHH SÀN GIAO DỊCH THUỐC BẢO VỆ THỰC VẬT VIỆT NAM")</f>
        <v>CÔNG TY TNHH SÀN GIAO DỊCH THUỐC BẢO VỆ THỰC VẬT VIỆT NAM</v>
      </c>
      <c r="U119" s="63" t="str">
        <f>IFERROR(__xludf.DUMMYFUNCTION("""COMPUTED_VALUE"""),"Pesticidex")</f>
        <v>Pesticidex</v>
      </c>
      <c r="V119" s="63" t="str">
        <f>IFERROR(__xludf.DUMMYFUNCTION("""COMPUTED_VALUE"""),"Tầng 1, B19 đường dẫn cầu Cần Thơ, Quốc lộ 1A, KDC TTVH Tây Đô, Phường Hưng Thạnh, Quận Cái Răng, Thành phố Cần Thơ, Việt Nam")</f>
        <v>Tầng 1, B19 đường dẫn cầu Cần Thơ, Quốc lộ 1A, KDC TTVH Tây Đô, Phường Hưng Thạnh, Quận Cái Răng, Thành phố Cần Thơ, Việt Nam</v>
      </c>
      <c r="W119" s="63"/>
      <c r="X119" s="71"/>
      <c r="Y119" s="63"/>
      <c r="Z119" s="63"/>
      <c r="AA119" s="63"/>
      <c r="AB119" s="71"/>
      <c r="AC119" s="63"/>
      <c r="AD119" s="71"/>
      <c r="AE119" s="63"/>
      <c r="AF119" s="71"/>
      <c r="AG119" s="63"/>
      <c r="AH119" s="71"/>
      <c r="AI119" s="63"/>
      <c r="AJ119" s="71"/>
      <c r="AK119" s="63"/>
    </row>
    <row r="120" ht="18.0" customHeight="1">
      <c r="A120" s="63"/>
      <c r="B120" s="63"/>
      <c r="C120" s="71"/>
      <c r="D120" s="63"/>
      <c r="E120" s="63"/>
      <c r="F120" s="63"/>
      <c r="G120" s="63"/>
      <c r="H120" s="71"/>
      <c r="I120" s="63" t="str">
        <f>IFERROR(__xludf.DUMMYFUNCTION("""COMPUTED_VALUE"""),"Tem phụ antisol")</f>
        <v>Tem phụ antisol</v>
      </c>
      <c r="J120" s="63">
        <f>IFERROR(__xludf.DUMMYFUNCTION("""COMPUTED_VALUE"""),15.0)</f>
        <v>15</v>
      </c>
      <c r="K120" s="63"/>
      <c r="L120" s="65">
        <f>IFERROR(__xludf.DUMMYFUNCTION("""COMPUTED_VALUE"""),46082.0)</f>
        <v>46082</v>
      </c>
      <c r="M120" s="63" t="b">
        <f>IFERROR(__xludf.DUMMYFUNCTION("""COMPUTED_VALUE"""),FALSE)</f>
        <v>0</v>
      </c>
      <c r="N120" s="71"/>
      <c r="O120" s="66"/>
      <c r="P120" s="71"/>
      <c r="Q120" s="66"/>
      <c r="R120" s="66"/>
      <c r="S120" s="71"/>
      <c r="T120" s="63" t="str">
        <f>IFERROR(__xludf.DUMMYFUNCTION("""COMPUTED_VALUE"""),"CÔNG TY TNHH SX TM YAMATO VN")</f>
        <v>CÔNG TY TNHH SX TM YAMATO VN</v>
      </c>
      <c r="U120" s="63" t="str">
        <f>IFERROR(__xludf.DUMMYFUNCTION("""COMPUTED_VALUE"""),"Yamato")</f>
        <v>Yamato</v>
      </c>
      <c r="V120" s="63" t="str">
        <f>IFERROR(__xludf.DUMMYFUNCTION("""COMPUTED_VALUE"""),"Lô A20A Đường số 6, KCN Hải Sơn (GĐ 3+4), Xã Đức Hòa Hạ, Huyện Đức Hoà, Tỉnh Long An")</f>
        <v>Lô A20A Đường số 6, KCN Hải Sơn (GĐ 3+4), Xã Đức Hòa Hạ, Huyện Đức Hoà, Tỉnh Long An</v>
      </c>
      <c r="W120" s="63"/>
      <c r="X120" s="71"/>
      <c r="Y120" s="63"/>
      <c r="Z120" s="63"/>
      <c r="AA120" s="63"/>
      <c r="AB120" s="71"/>
      <c r="AC120" s="63"/>
      <c r="AD120" s="71"/>
      <c r="AE120" s="63"/>
      <c r="AF120" s="71"/>
      <c r="AG120" s="63"/>
      <c r="AH120" s="71"/>
      <c r="AI120" s="63"/>
      <c r="AJ120" s="71"/>
      <c r="AK120" s="63"/>
    </row>
    <row r="121" ht="18.0" customHeight="1">
      <c r="A121" s="63"/>
      <c r="B121" s="63"/>
      <c r="C121" s="71"/>
      <c r="D121" s="63"/>
      <c r="E121" s="63"/>
      <c r="F121" s="63"/>
      <c r="G121" s="63"/>
      <c r="H121" s="71"/>
      <c r="I121" s="63" t="str">
        <f>IFERROR(__xludf.DUMMYFUNCTION("""COMPUTED_VALUE"""),"Tem chống hàng giả")</f>
        <v>Tem chống hàng giả</v>
      </c>
      <c r="J121" s="63">
        <f>IFERROR(__xludf.DUMMYFUNCTION("""COMPUTED_VALUE"""),10.0)</f>
        <v>10</v>
      </c>
      <c r="K121" s="63"/>
      <c r="L121" s="65">
        <f>IFERROR(__xludf.DUMMYFUNCTION("""COMPUTED_VALUE"""),46082.0)</f>
        <v>46082</v>
      </c>
      <c r="M121" s="63" t="b">
        <f>IFERROR(__xludf.DUMMYFUNCTION("""COMPUTED_VALUE"""),FALSE)</f>
        <v>0</v>
      </c>
      <c r="N121" s="71"/>
      <c r="O121" s="66"/>
      <c r="P121" s="71"/>
      <c r="Q121" s="66"/>
      <c r="R121" s="66"/>
      <c r="S121" s="71"/>
      <c r="T121" s="63" t="str">
        <f>IFERROR(__xludf.DUMMYFUNCTION("""COMPUTED_VALUE"""),"CÔNG TY TNHH XUẤT NHẬP KHẨU HÓA CHẤT ATC")</f>
        <v>CÔNG TY TNHH XUẤT NHẬP KHẨU HÓA CHẤT ATC</v>
      </c>
      <c r="U121" s="63" t="str">
        <f>IFERROR(__xludf.DUMMYFUNCTION("""COMPUTED_VALUE"""),"ATC")</f>
        <v>ATC</v>
      </c>
      <c r="V121" s="63" t="str">
        <f>IFERROR(__xludf.DUMMYFUNCTION("""COMPUTED_VALUE"""),"Số 87, Đường Lý Bôn, Phường Bình Đức, Tỉnh An Giang, Việt Nam")</f>
        <v>Số 87, Đường Lý Bôn, Phường Bình Đức, Tỉnh An Giang, Việt Nam</v>
      </c>
      <c r="W121" s="63"/>
      <c r="X121" s="71"/>
      <c r="Y121" s="63"/>
      <c r="Z121" s="63"/>
      <c r="AA121" s="63"/>
      <c r="AB121" s="71"/>
      <c r="AC121" s="63"/>
      <c r="AD121" s="71"/>
      <c r="AE121" s="63"/>
      <c r="AF121" s="71"/>
      <c r="AG121" s="63"/>
      <c r="AH121" s="71"/>
      <c r="AI121" s="63"/>
      <c r="AJ121" s="71"/>
      <c r="AK121" s="63"/>
    </row>
    <row r="122" ht="18.0" customHeight="1">
      <c r="A122" s="63"/>
      <c r="B122" s="63"/>
      <c r="C122" s="71"/>
      <c r="D122" s="63"/>
      <c r="E122" s="63"/>
      <c r="F122" s="63"/>
      <c r="G122" s="63"/>
      <c r="H122" s="71"/>
      <c r="I122" s="63" t="str">
        <f>IFERROR(__xludf.DUMMYFUNCTION("""COMPUTED_VALUE"""),"Xốp ( bong bóng khí)")</f>
        <v>Xốp ( bong bóng khí)</v>
      </c>
      <c r="J122" s="63">
        <f>IFERROR(__xludf.DUMMYFUNCTION("""COMPUTED_VALUE"""),5.0)</f>
        <v>5</v>
      </c>
      <c r="K122" s="63"/>
      <c r="L122" s="65">
        <f>IFERROR(__xludf.DUMMYFUNCTION("""COMPUTED_VALUE"""),46082.0)</f>
        <v>46082</v>
      </c>
      <c r="M122" s="63" t="b">
        <f>IFERROR(__xludf.DUMMYFUNCTION("""COMPUTED_VALUE"""),FALSE)</f>
        <v>0</v>
      </c>
      <c r="N122" s="71"/>
      <c r="O122" s="66"/>
      <c r="P122" s="71"/>
      <c r="Q122" s="66"/>
      <c r="R122" s="66"/>
      <c r="S122" s="71"/>
      <c r="T122" s="63" t="str">
        <f>IFERROR(__xludf.DUMMYFUNCTION("""COMPUTED_VALUE"""),"CÔNG TY TNHH AGRIFUTURE")</f>
        <v>CÔNG TY TNHH AGRIFUTURE</v>
      </c>
      <c r="U122" s="63" t="str">
        <f>IFERROR(__xludf.DUMMYFUNCTION("""COMPUTED_VALUE"""),"Agrifuture")</f>
        <v>Agrifuture</v>
      </c>
      <c r="V122" s="63" t="str">
        <f>IFERROR(__xludf.DUMMYFUNCTION("""COMPUTED_VALUE"""),"Nhà Máy: Lô B123B, Đường số 7, KCN, ấp Tân Hòa, Đức Hòa, Long An
VP: Phòng A4.04, Khu Phức Hợp Căn Hộ Nhật Hoa, 33 Nguyễn Hữu Thọ, Phường Tân Hưng, Thành phố Hồ Chí Minh, Việt Nam")</f>
        <v>Nhà Máy: Lô B123B, Đường số 7, KCN, ấp Tân Hòa, Đức Hòa, Long An
VP: Phòng A4.04, Khu Phức Hợp Căn Hộ Nhật Hoa, 33 Nguyễn Hữu Thọ, Phường Tân Hưng, Thành phố Hồ Chí Minh, Việt Nam</v>
      </c>
      <c r="W122" s="63"/>
      <c r="X122" s="71"/>
      <c r="Y122" s="63"/>
      <c r="Z122" s="63"/>
      <c r="AA122" s="63"/>
      <c r="AB122" s="71"/>
      <c r="AC122" s="63"/>
      <c r="AD122" s="71"/>
      <c r="AE122" s="63"/>
      <c r="AF122" s="71"/>
      <c r="AG122" s="63"/>
      <c r="AH122" s="71"/>
      <c r="AI122" s="63"/>
      <c r="AJ122" s="71"/>
      <c r="AK122" s="63"/>
    </row>
    <row r="123" ht="18.0" customHeight="1">
      <c r="A123" s="63"/>
      <c r="B123" s="63"/>
      <c r="C123" s="71"/>
      <c r="D123" s="63"/>
      <c r="E123" s="63"/>
      <c r="F123" s="63"/>
      <c r="G123" s="63"/>
      <c r="H123" s="71"/>
      <c r="I123" s="63" t="str">
        <f>IFERROR(__xludf.DUMMYFUNCTION("""COMPUTED_VALUE"""),"Giấy nhiệt K100x150")</f>
        <v>Giấy nhiệt K100x150</v>
      </c>
      <c r="J123" s="63">
        <f>IFERROR(__xludf.DUMMYFUNCTION("""COMPUTED_VALUE"""),5.0)</f>
        <v>5</v>
      </c>
      <c r="K123" s="63"/>
      <c r="L123" s="65">
        <f>IFERROR(__xludf.DUMMYFUNCTION("""COMPUTED_VALUE"""),46082.0)</f>
        <v>46082</v>
      </c>
      <c r="M123" s="63" t="b">
        <f>IFERROR(__xludf.DUMMYFUNCTION("""COMPUTED_VALUE"""),FALSE)</f>
        <v>0</v>
      </c>
      <c r="N123" s="71"/>
      <c r="O123" s="66"/>
      <c r="P123" s="71"/>
      <c r="Q123" s="66"/>
      <c r="R123" s="66"/>
      <c r="S123" s="71"/>
      <c r="T123" s="63" t="str">
        <f>IFERROR(__xludf.DUMMYFUNCTION("""COMPUTED_VALUE"""),"Cty TNHH SX TM DV Thu Loan")</f>
        <v>Cty TNHH SX TM DV Thu Loan</v>
      </c>
      <c r="U123" s="63" t="str">
        <f>IFERROR(__xludf.DUMMYFUNCTION("""COMPUTED_VALUE"""),"Thu Loan")</f>
        <v>Thu Loan</v>
      </c>
      <c r="V123" s="63" t="str">
        <f>IFERROR(__xludf.DUMMYFUNCTION("""COMPUTED_VALUE"""),"699 tổ 34 Khóm Đông Thuận , Phường Đông Thành , Bình Minh, Vĩnh Long")</f>
        <v>699 tổ 34 Khóm Đông Thuận , Phường Đông Thành , Bình Minh, Vĩnh Long</v>
      </c>
      <c r="W123" s="63"/>
      <c r="X123" s="71"/>
      <c r="Y123" s="63"/>
      <c r="Z123" s="63"/>
      <c r="AA123" s="63"/>
      <c r="AB123" s="71"/>
      <c r="AC123" s="63"/>
      <c r="AD123" s="71"/>
      <c r="AE123" s="63"/>
      <c r="AF123" s="71"/>
      <c r="AG123" s="63"/>
      <c r="AH123" s="71"/>
      <c r="AI123" s="63"/>
      <c r="AJ123" s="71"/>
      <c r="AK123" s="63"/>
    </row>
    <row r="124" ht="18.0" customHeight="1">
      <c r="A124" s="63"/>
      <c r="B124" s="63"/>
      <c r="C124" s="71"/>
      <c r="D124" s="63"/>
      <c r="E124" s="63"/>
      <c r="F124" s="63"/>
      <c r="G124" s="63"/>
      <c r="H124" s="71"/>
      <c r="I124" s="63" t="str">
        <f>IFERROR(__xludf.DUMMYFUNCTION("""COMPUTED_VALUE"""),"HDSD Antisol")</f>
        <v>HDSD Antisol</v>
      </c>
      <c r="J124" s="63">
        <f>IFERROR(__xludf.DUMMYFUNCTION("""COMPUTED_VALUE"""),10.0)</f>
        <v>10</v>
      </c>
      <c r="K124" s="63"/>
      <c r="L124" s="65">
        <f>IFERROR(__xludf.DUMMYFUNCTION("""COMPUTED_VALUE"""),46082.0)</f>
        <v>46082</v>
      </c>
      <c r="M124" s="63" t="b">
        <f>IFERROR(__xludf.DUMMYFUNCTION("""COMPUTED_VALUE"""),FALSE)</f>
        <v>0</v>
      </c>
      <c r="N124" s="71"/>
      <c r="O124" s="66"/>
      <c r="P124" s="71"/>
      <c r="Q124" s="66"/>
      <c r="R124" s="66"/>
      <c r="S124" s="71"/>
      <c r="T124" s="63" t="str">
        <f>IFERROR(__xludf.DUMMYFUNCTION("""COMPUTED_VALUE"""),"CÔNG TY TNHH THƯƠNG MẠI THÁI NÔNG")</f>
        <v>CÔNG TY TNHH THƯƠNG MẠI THÁI NÔNG</v>
      </c>
      <c r="U124" s="63" t="str">
        <f>IFERROR(__xludf.DUMMYFUNCTION("""COMPUTED_VALUE"""),"Thái Nông")</f>
        <v>Thái Nông</v>
      </c>
      <c r="V124" s="63" t="str">
        <f>IFERROR(__xludf.DUMMYFUNCTION("""COMPUTED_VALUE"""),"73 Lạc Long Quân, Phường 1, Quận 11, Thành phố Hồ Chí Minh
CN: Khu Công nghiệp Nhơn Trạch 3, Thị trấn Hiệp Phước, Huyện Nhơn Trạch, Tỉnh Đồng Nai, Việt Nam
Giao Vật Tư: HKD Cơ Sở Phân Bón Lá Phú Hưng
ĐC: 49A, đường số 27, Tân Lập, Tân Thông Hội, Củ Chi, H"&amp;"CM
Người nhận: 0937 021 818 - Chị Bội")</f>
        <v>73 Lạc Long Quân, Phường 1, Quận 11, Thành phố Hồ Chí Minh
CN: Khu Công nghiệp Nhơn Trạch 3, Thị trấn Hiệp Phước, Huyện Nhơn Trạch, Tỉnh Đồng Nai, Việt Nam
Giao Vật Tư: HKD Cơ Sở Phân Bón Lá Phú Hưng
ĐC: 49A, đường số 27, Tân Lập, Tân Thông Hội, Củ Chi, HCM
Người nhận: 0937 021 818 - Chị Bội</v>
      </c>
      <c r="W124" s="63"/>
      <c r="X124" s="71"/>
      <c r="Y124" s="63"/>
      <c r="Z124" s="63"/>
      <c r="AA124" s="63"/>
      <c r="AB124" s="71"/>
      <c r="AC124" s="63"/>
      <c r="AD124" s="71"/>
      <c r="AE124" s="63"/>
      <c r="AF124" s="71"/>
      <c r="AG124" s="63"/>
      <c r="AH124" s="71"/>
      <c r="AI124" s="63"/>
      <c r="AJ124" s="71"/>
      <c r="AK124" s="63"/>
    </row>
    <row r="125" ht="18.0" customHeight="1">
      <c r="A125" s="63"/>
      <c r="B125" s="63"/>
      <c r="C125" s="71"/>
      <c r="D125" s="63"/>
      <c r="E125" s="63"/>
      <c r="F125" s="63"/>
      <c r="G125" s="63"/>
      <c r="H125" s="71"/>
      <c r="I125" s="63" t="str">
        <f>IFERROR(__xludf.DUMMYFUNCTION("""COMPUTED_VALUE"""),"Tem phụ antisol")</f>
        <v>Tem phụ antisol</v>
      </c>
      <c r="J125" s="63">
        <f>IFERROR(__xludf.DUMMYFUNCTION("""COMPUTED_VALUE"""),15.0)</f>
        <v>15</v>
      </c>
      <c r="K125" s="63"/>
      <c r="L125" s="65">
        <f>IFERROR(__xludf.DUMMYFUNCTION("""COMPUTED_VALUE"""),46082.0)</f>
        <v>46082</v>
      </c>
      <c r="M125" s="63" t="b">
        <f>IFERROR(__xludf.DUMMYFUNCTION("""COMPUTED_VALUE"""),FALSE)</f>
        <v>0</v>
      </c>
      <c r="N125" s="71"/>
      <c r="O125" s="66"/>
      <c r="P125" s="71"/>
      <c r="Q125" s="66"/>
      <c r="R125" s="66"/>
      <c r="S125" s="71"/>
      <c r="T125" s="63" t="str">
        <f>IFERROR(__xludf.DUMMYFUNCTION("""COMPUTED_VALUE"""),"CÔNG TY TNHH TẬP ĐOÀN AN NÔNG (AN GROUP)")</f>
        <v>CÔNG TY TNHH TẬP ĐOÀN AN NÔNG (AN GROUP)</v>
      </c>
      <c r="U125" s="63" t="str">
        <f>IFERROR(__xludf.DUMMYFUNCTION("""COMPUTED_VALUE"""),"An Nông")</f>
        <v>An Nông</v>
      </c>
      <c r="V125" s="63" t="str">
        <f>IFERROR(__xludf.DUMMYFUNCTION("""COMPUTED_VALUE"""),"Trụ sở : 464 Đường số 7, khu phố 8, Phường Tân Tạo, Quận Bình Tân, TP Hồ Chí Minh
Nhà máy : Lô H7, Đường số 5, KCN Hải Sơn (GĐ 3+4), ấp Bình Tiền 2, Xã Đức Hòa Hạ, Huyện Đức Hoà, Tỉnh Long An, Việt Nam")</f>
        <v>Trụ sở : 464 Đường số 7, khu phố 8, Phường Tân Tạo, Quận Bình Tân, TP Hồ Chí Minh
Nhà máy : Lô H7, Đường số 5, KCN Hải Sơn (GĐ 3+4), ấp Bình Tiền 2, Xã Đức Hòa Hạ, Huyện Đức Hoà, Tỉnh Long An, Việt Nam</v>
      </c>
      <c r="W125" s="63"/>
      <c r="X125" s="71"/>
      <c r="Y125" s="63"/>
      <c r="Z125" s="63"/>
      <c r="AA125" s="63"/>
      <c r="AB125" s="71"/>
      <c r="AC125" s="63"/>
      <c r="AD125" s="71"/>
      <c r="AE125" s="63"/>
      <c r="AF125" s="71"/>
      <c r="AG125" s="63"/>
      <c r="AH125" s="71"/>
      <c r="AI125" s="63"/>
      <c r="AJ125" s="71"/>
      <c r="AK125" s="63"/>
    </row>
    <row r="126" ht="18.0" customHeight="1">
      <c r="A126" s="63"/>
      <c r="B126" s="63"/>
      <c r="C126" s="71"/>
      <c r="D126" s="63"/>
      <c r="E126" s="63"/>
      <c r="F126" s="63"/>
      <c r="G126" s="63"/>
      <c r="H126" s="71"/>
      <c r="I126" s="63" t="str">
        <f>IFERROR(__xludf.DUMMYFUNCTION("""COMPUTED_VALUE"""),"Tem chống hàng giả")</f>
        <v>Tem chống hàng giả</v>
      </c>
      <c r="J126" s="63">
        <f>IFERROR(__xludf.DUMMYFUNCTION("""COMPUTED_VALUE"""),10.0)</f>
        <v>10</v>
      </c>
      <c r="K126" s="63"/>
      <c r="L126" s="65">
        <f>IFERROR(__xludf.DUMMYFUNCTION("""COMPUTED_VALUE"""),46082.0)</f>
        <v>46082</v>
      </c>
      <c r="M126" s="63" t="b">
        <f>IFERROR(__xludf.DUMMYFUNCTION("""COMPUTED_VALUE"""),FALSE)</f>
        <v>0</v>
      </c>
      <c r="N126" s="71"/>
      <c r="O126" s="66"/>
      <c r="P126" s="71"/>
      <c r="Q126" s="66"/>
      <c r="R126" s="66"/>
      <c r="S126" s="71"/>
      <c r="T126" s="63" t="str">
        <f>IFERROR(__xludf.DUMMYFUNCTION("""COMPUTED_VALUE"""),"KHO DR XANH")</f>
        <v>KHO DR XANH</v>
      </c>
      <c r="U126" s="63" t="str">
        <f>IFERROR(__xludf.DUMMYFUNCTION("""COMPUTED_VALUE"""),"Kho Dr. Xanh")</f>
        <v>Kho Dr. Xanh</v>
      </c>
      <c r="V126" s="63" t="str">
        <f>IFERROR(__xludf.DUMMYFUNCTION("""COMPUTED_VALUE"""),"Số 124 Võ Văn Kiệt, KV Bình Trung, P.Long Hòa, Q. Bình Thủy, Cần Thơ")</f>
        <v>Số 124 Võ Văn Kiệt, KV Bình Trung, P.Long Hòa, Q. Bình Thủy, Cần Thơ</v>
      </c>
      <c r="W126" s="63"/>
      <c r="X126" s="71"/>
      <c r="Y126" s="63"/>
      <c r="Z126" s="63"/>
      <c r="AA126" s="63"/>
      <c r="AB126" s="71"/>
      <c r="AC126" s="63"/>
      <c r="AD126" s="71"/>
      <c r="AE126" s="63"/>
      <c r="AF126" s="71"/>
      <c r="AG126" s="63"/>
      <c r="AH126" s="71"/>
      <c r="AI126" s="63"/>
      <c r="AJ126" s="71"/>
      <c r="AK126" s="63"/>
    </row>
    <row r="127" ht="18.0" customHeight="1">
      <c r="A127" s="63"/>
      <c r="B127" s="63"/>
      <c r="C127" s="71"/>
      <c r="D127" s="63"/>
      <c r="E127" s="63"/>
      <c r="F127" s="63"/>
      <c r="G127" s="63"/>
      <c r="H127" s="71"/>
      <c r="I127" s="63" t="str">
        <f>IFERROR(__xludf.DUMMYFUNCTION("""COMPUTED_VALUE"""),"NL")</f>
        <v>NL</v>
      </c>
      <c r="J127" s="63">
        <f>IFERROR(__xludf.DUMMYFUNCTION("""COMPUTED_VALUE"""),10.0)</f>
        <v>10</v>
      </c>
      <c r="K127" s="63" t="str">
        <f>IFERROR(__xludf.DUMMYFUNCTION("""COMPUTED_VALUE"""),"Trong nước")</f>
        <v>Trong nước</v>
      </c>
      <c r="L127" s="65">
        <f>IFERROR(__xludf.DUMMYFUNCTION("""COMPUTED_VALUE"""),46082.0)</f>
        <v>46082</v>
      </c>
      <c r="M127" s="63" t="b">
        <f>IFERROR(__xludf.DUMMYFUNCTION("""COMPUTED_VALUE"""),TRUE)</f>
        <v>1</v>
      </c>
      <c r="N127" s="71"/>
      <c r="O127" s="66"/>
      <c r="P127" s="71"/>
      <c r="Q127" s="66"/>
      <c r="R127" s="66"/>
      <c r="S127" s="71"/>
      <c r="T127" s="63" t="str">
        <f>IFERROR(__xludf.DUMMYFUNCTION("""COMPUTED_VALUE"""),"KHO B18")</f>
        <v>KHO B18</v>
      </c>
      <c r="U127" s="63" t="str">
        <f>IFERROR(__xludf.DUMMYFUNCTION("""COMPUTED_VALUE"""),"Kho B18")</f>
        <v>Kho B18</v>
      </c>
      <c r="V127" s="63" t="str">
        <f>IFERROR(__xludf.DUMMYFUNCTION("""COMPUTED_VALUE"""),"B18 đường dẫn cầu Cần Thơ, Quốc lộ 1A, KDC TTVH Tây Đô, Phường Cái Răng, Thành phố Cần Thơ")</f>
        <v>B18 đường dẫn cầu Cần Thơ, Quốc lộ 1A, KDC TTVH Tây Đô, Phường Cái Răng, Thành phố Cần Thơ</v>
      </c>
      <c r="W127" s="63"/>
      <c r="X127" s="71"/>
      <c r="Y127" s="63"/>
      <c r="Z127" s="63"/>
      <c r="AA127" s="63"/>
      <c r="AB127" s="71"/>
      <c r="AC127" s="63"/>
      <c r="AD127" s="71"/>
      <c r="AE127" s="63"/>
      <c r="AF127" s="71"/>
      <c r="AG127" s="63"/>
      <c r="AH127" s="71"/>
      <c r="AI127" s="63"/>
      <c r="AJ127" s="71"/>
      <c r="AK127" s="63"/>
    </row>
    <row r="128" ht="18.0" customHeight="1">
      <c r="A128" s="63"/>
      <c r="B128" s="63"/>
      <c r="C128" s="71"/>
      <c r="D128" s="63"/>
      <c r="E128" s="63"/>
      <c r="F128" s="63"/>
      <c r="G128" s="63"/>
      <c r="H128" s="71"/>
      <c r="I128" s="63" t="str">
        <f>IFERROR(__xludf.DUMMYFUNCTION("""COMPUTED_VALUE"""),"NL")</f>
        <v>NL</v>
      </c>
      <c r="J128" s="63">
        <f>IFERROR(__xludf.DUMMYFUNCTION("""COMPUTED_VALUE"""),14.0)</f>
        <v>14</v>
      </c>
      <c r="K128" s="63" t="str">
        <f>IFERROR(__xludf.DUMMYFUNCTION("""COMPUTED_VALUE"""),"Trong nước")</f>
        <v>Trong nước</v>
      </c>
      <c r="L128" s="65">
        <f>IFERROR(__xludf.DUMMYFUNCTION("""COMPUTED_VALUE"""),46082.0)</f>
        <v>46082</v>
      </c>
      <c r="M128" s="63" t="b">
        <f>IFERROR(__xludf.DUMMYFUNCTION("""COMPUTED_VALUE"""),FALSE)</f>
        <v>0</v>
      </c>
      <c r="N128" s="71"/>
      <c r="O128" s="66"/>
      <c r="P128" s="71"/>
      <c r="Q128" s="66"/>
      <c r="R128" s="66"/>
      <c r="S128" s="71"/>
      <c r="T128" s="63" t="str">
        <f>IFERROR(__xludf.DUMMYFUNCTION("""COMPUTED_VALUE"""),"Kho C1-2")</f>
        <v>Kho C1-2</v>
      </c>
      <c r="U128" s="63" t="str">
        <f>IFERROR(__xludf.DUMMYFUNCTION("""COMPUTED_VALUE"""),"Kho C1-2")</f>
        <v>Kho C1-2</v>
      </c>
      <c r="V128" s="63" t="str">
        <f>IFERROR(__xludf.DUMMYFUNCTION("""COMPUTED_VALUE"""),"Kho C1-2")</f>
        <v>Kho C1-2</v>
      </c>
      <c r="W128" s="63"/>
      <c r="X128" s="71"/>
      <c r="Y128" s="63"/>
      <c r="Z128" s="63"/>
      <c r="AA128" s="63"/>
      <c r="AB128" s="71"/>
      <c r="AC128" s="63"/>
      <c r="AD128" s="71"/>
      <c r="AE128" s="63"/>
      <c r="AF128" s="71"/>
      <c r="AG128" s="63"/>
      <c r="AH128" s="71"/>
      <c r="AI128" s="63"/>
      <c r="AJ128" s="71"/>
      <c r="AK128" s="63"/>
    </row>
    <row r="129" ht="18.0" customHeight="1">
      <c r="A129" s="63"/>
      <c r="B129" s="63"/>
      <c r="C129" s="71"/>
      <c r="D129" s="63"/>
      <c r="E129" s="63"/>
      <c r="F129" s="63"/>
      <c r="G129" s="63"/>
      <c r="H129" s="71"/>
      <c r="I129" s="63" t="str">
        <f>IFERROR(__xludf.DUMMYFUNCTION("""COMPUTED_VALUE"""),"VTBB SX")</f>
        <v>VTBB SX</v>
      </c>
      <c r="J129" s="63">
        <f>IFERROR(__xludf.DUMMYFUNCTION("""COMPUTED_VALUE"""),7.0)</f>
        <v>7</v>
      </c>
      <c r="K129" s="63" t="str">
        <f>IFERROR(__xludf.DUMMYFUNCTION("""COMPUTED_VALUE"""),"Hàng cần thanh toán trước: 
- Làm hồ sơ 1 ngày
- Thanh toán 5 ngày
- Sản xuất 0 ngày
- Nhận hàng 2 ngày")</f>
        <v>Hàng cần thanh toán trước: 
- Làm hồ sơ 1 ngày
- Thanh toán 5 ngày
- Sản xuất 0 ngày
- Nhận hàng 2 ngày</v>
      </c>
      <c r="L129" s="65">
        <f>IFERROR(__xludf.DUMMYFUNCTION("""COMPUTED_VALUE"""),46174.0)</f>
        <v>46174</v>
      </c>
      <c r="M129" s="63" t="b">
        <f>IFERROR(__xludf.DUMMYFUNCTION("""COMPUTED_VALUE"""),TRUE)</f>
        <v>1</v>
      </c>
      <c r="N129" s="71"/>
      <c r="O129" s="66"/>
      <c r="P129" s="71"/>
      <c r="Q129" s="66"/>
      <c r="R129" s="66"/>
      <c r="S129" s="71"/>
      <c r="T129" s="63" t="str">
        <f>IFERROR(__xludf.DUMMYFUNCTION("""COMPUTED_VALUE"""),"KHO F49 - ICARE")</f>
        <v>KHO F49 - ICARE</v>
      </c>
      <c r="U129" s="63" t="str">
        <f>IFERROR(__xludf.DUMMYFUNCTION("""COMPUTED_VALUE"""),"Kho F49 - Icare")</f>
        <v>Kho F49 - Icare</v>
      </c>
      <c r="V129" s="63" t="str">
        <f>IFERROR(__xludf.DUMMYFUNCTION("""COMPUTED_VALUE"""),"nhà F49 (chạy qua trường lái Chiến Thắng) đường số 7, KDC Long Thịnh, Phường Phú Thứ, Cái Răng, Cần Thơ")</f>
        <v>nhà F49 (chạy qua trường lái Chiến Thắng) đường số 7, KDC Long Thịnh, Phường Phú Thứ, Cái Răng, Cần Thơ</v>
      </c>
      <c r="W129" s="63"/>
      <c r="X129" s="71"/>
      <c r="Y129" s="63"/>
      <c r="Z129" s="63"/>
      <c r="AA129" s="63"/>
      <c r="AB129" s="71"/>
      <c r="AC129" s="63"/>
      <c r="AD129" s="71"/>
      <c r="AE129" s="63"/>
      <c r="AF129" s="71"/>
      <c r="AG129" s="63"/>
      <c r="AH129" s="71"/>
      <c r="AI129" s="63"/>
      <c r="AJ129" s="71"/>
      <c r="AK129" s="63"/>
    </row>
    <row r="130" ht="18.0" customHeight="1">
      <c r="A130" s="63"/>
      <c r="B130" s="63"/>
      <c r="C130" s="71"/>
      <c r="D130" s="63"/>
      <c r="E130" s="63"/>
      <c r="F130" s="63"/>
      <c r="G130" s="63"/>
      <c r="H130" s="71"/>
      <c r="I130" s="63" t="str">
        <f>IFERROR(__xludf.DUMMYFUNCTION("""COMPUTED_VALUE"""),"VTBB SX")</f>
        <v>VTBB SX</v>
      </c>
      <c r="J130" s="63">
        <f>IFERROR(__xludf.DUMMYFUNCTION("""COMPUTED_VALUE"""),15.0)</f>
        <v>15</v>
      </c>
      <c r="K130" s="63" t="str">
        <f>IFERROR(__xludf.DUMMYFUNCTION("""COMPUTED_VALUE"""),"Hàng cần thanh toán trước: 
- Làm hồ sơ 1 ngày
- Thanh toán 5 ngày
- Sản xuất 0 ngày
- Nhận hàng 2 ngày")</f>
        <v>Hàng cần thanh toán trước: 
- Làm hồ sơ 1 ngày
- Thanh toán 5 ngày
- Sản xuất 0 ngày
- Nhận hàng 2 ngày</v>
      </c>
      <c r="L130" s="65">
        <f>IFERROR(__xludf.DUMMYFUNCTION("""COMPUTED_VALUE"""),46174.0)</f>
        <v>46174</v>
      </c>
      <c r="M130" s="63" t="b">
        <f>IFERROR(__xludf.DUMMYFUNCTION("""COMPUTED_VALUE"""),FALSE)</f>
        <v>0</v>
      </c>
      <c r="N130" s="71"/>
      <c r="O130" s="66"/>
      <c r="P130" s="71"/>
      <c r="Q130" s="66"/>
      <c r="R130" s="66"/>
      <c r="S130" s="71"/>
      <c r="T130" s="63" t="str">
        <f>IFERROR(__xludf.DUMMYFUNCTION("""COMPUTED_VALUE"""),"KHO LAB DEGO")</f>
        <v>KHO LAB DEGO</v>
      </c>
      <c r="U130" s="63" t="str">
        <f>IFERROR(__xludf.DUMMYFUNCTION("""COMPUTED_VALUE"""),"Kho Lab Dego")</f>
        <v>Kho Lab Dego</v>
      </c>
      <c r="V130" s="63" t="str">
        <f>IFERROR(__xludf.DUMMYFUNCTION("""COMPUTED_VALUE"""),"B19 đường dẫn cầu Cần Thơ, Quốc lộ 1A, KDC TTVH Tây Đô, Phường Cái Răng, Thành phố Cần Thơ")</f>
        <v>B19 đường dẫn cầu Cần Thơ, Quốc lộ 1A, KDC TTVH Tây Đô, Phường Cái Răng, Thành phố Cần Thơ</v>
      </c>
      <c r="W130" s="63"/>
      <c r="X130" s="71"/>
      <c r="Y130" s="63"/>
      <c r="Z130" s="63"/>
      <c r="AA130" s="63"/>
      <c r="AB130" s="71"/>
      <c r="AC130" s="63"/>
      <c r="AD130" s="71"/>
      <c r="AE130" s="63"/>
      <c r="AF130" s="71"/>
      <c r="AG130" s="63"/>
      <c r="AH130" s="71"/>
      <c r="AI130" s="63"/>
      <c r="AJ130" s="71"/>
      <c r="AK130" s="63"/>
    </row>
    <row r="131" ht="18.0" customHeight="1">
      <c r="A131" s="63"/>
      <c r="B131" s="63"/>
      <c r="C131" s="71"/>
      <c r="D131" s="63"/>
      <c r="E131" s="63"/>
      <c r="F131" s="63"/>
      <c r="G131" s="63"/>
      <c r="H131" s="71"/>
      <c r="I131" s="63"/>
      <c r="J131" s="63"/>
      <c r="K131" s="63"/>
      <c r="L131" s="63"/>
      <c r="M131" s="63"/>
      <c r="N131" s="71"/>
      <c r="O131" s="66"/>
      <c r="P131" s="71"/>
      <c r="Q131" s="66"/>
      <c r="R131" s="66"/>
      <c r="S131" s="71"/>
      <c r="T131" s="63" t="str">
        <f>IFERROR(__xludf.DUMMYFUNCTION("""COMPUTED_VALUE"""),"CÔNG TY TNHH THƯƠNG MẠI DỊCH VỤ BAO BÌ LỘC PHÁT")</f>
        <v>CÔNG TY TNHH THƯƠNG MẠI DỊCH VỤ BAO BÌ LỘC PHÁT</v>
      </c>
      <c r="U131" s="63" t="str">
        <f>IFERROR(__xludf.DUMMYFUNCTION("""COMPUTED_VALUE"""),"BAO BÌ LỘC PHÁT")</f>
        <v>BAO BÌ LỘC PHÁT</v>
      </c>
      <c r="V131" s="63" t="str">
        <f>IFERROR(__xludf.DUMMYFUNCTION("""COMPUTED_VALUE"""),"229 Nguyễn Thị Minh Khai, Ninh Kiều, Cần Thơ")</f>
        <v>229 Nguyễn Thị Minh Khai, Ninh Kiều, Cần Thơ</v>
      </c>
      <c r="W131" s="59" t="str">
        <f>IFERROR(__xludf.DUMMYFUNCTION("""COMPUTED_VALUE"""),"1801722746")</f>
        <v>1801722746</v>
      </c>
      <c r="X131" s="71"/>
      <c r="Y131" s="63"/>
      <c r="Z131" s="63"/>
      <c r="AA131" s="63"/>
      <c r="AB131" s="71"/>
      <c r="AC131" s="63"/>
      <c r="AD131" s="71"/>
      <c r="AE131" s="63"/>
      <c r="AF131" s="71"/>
      <c r="AG131" s="63"/>
      <c r="AH131" s="71"/>
      <c r="AI131" s="63"/>
      <c r="AJ131" s="71"/>
      <c r="AK131" s="63"/>
    </row>
    <row r="132" ht="18.0" customHeight="1">
      <c r="A132" s="63"/>
      <c r="B132" s="63"/>
      <c r="C132" s="71"/>
      <c r="D132" s="63"/>
      <c r="E132" s="63"/>
      <c r="F132" s="63"/>
      <c r="G132" s="63"/>
      <c r="H132" s="71"/>
      <c r="I132" s="63"/>
      <c r="J132" s="63"/>
      <c r="K132" s="63"/>
      <c r="L132" s="63"/>
      <c r="M132" s="63"/>
      <c r="N132" s="71"/>
      <c r="O132" s="66"/>
      <c r="P132" s="71"/>
      <c r="Q132" s="66"/>
      <c r="R132" s="66"/>
      <c r="S132" s="71"/>
      <c r="T132" s="63" t="str">
        <f>IFERROR(__xludf.DUMMYFUNCTION("""COMPUTED_VALUE"""),"CÔNG TY TNHH CHẤN HƯNG NÔNG")</f>
        <v>CÔNG TY TNHH CHẤN HƯNG NÔNG</v>
      </c>
      <c r="U132" s="63" t="str">
        <f>IFERROR(__xludf.DUMMYFUNCTION("""COMPUTED_VALUE"""),"CHẤN HƯNG NÔNG")</f>
        <v>CHẤN HƯNG NÔNG</v>
      </c>
      <c r="V132" s="63" t="str">
        <f>IFERROR(__xludf.DUMMYFUNCTION("""COMPUTED_VALUE"""),"Ấp Trường Thọ, Xã Trường Xuân, TP Cần Thơ, Việt Nam.")</f>
        <v>Ấp Trường Thọ, Xã Trường Xuân, TP Cần Thơ, Việt Nam.</v>
      </c>
      <c r="W132" s="59" t="str">
        <f>IFERROR(__xludf.DUMMYFUNCTION("""COMPUTED_VALUE"""),"1801800440")</f>
        <v>1801800440</v>
      </c>
      <c r="X132" s="71"/>
      <c r="Y132" s="63"/>
      <c r="Z132" s="63"/>
      <c r="AA132" s="63"/>
      <c r="AB132" s="71"/>
      <c r="AC132" s="63"/>
      <c r="AD132" s="71"/>
      <c r="AE132" s="63"/>
      <c r="AF132" s="71"/>
      <c r="AG132" s="63"/>
      <c r="AH132" s="71"/>
      <c r="AI132" s="63"/>
      <c r="AJ132" s="71"/>
      <c r="AK132" s="63"/>
    </row>
    <row r="133" ht="18.0" customHeight="1">
      <c r="A133" s="63"/>
      <c r="B133" s="63"/>
      <c r="C133" s="71"/>
      <c r="D133" s="63"/>
      <c r="E133" s="63"/>
      <c r="F133" s="63"/>
      <c r="G133" s="63"/>
      <c r="H133" s="71"/>
      <c r="I133" s="63"/>
      <c r="J133" s="63"/>
      <c r="K133" s="63"/>
      <c r="L133" s="63"/>
      <c r="M133" s="63"/>
      <c r="N133" s="71"/>
      <c r="O133" s="66"/>
      <c r="P133" s="71"/>
      <c r="Q133" s="66"/>
      <c r="R133" s="66"/>
      <c r="S133" s="71"/>
      <c r="T133" s="63" t="str">
        <f>IFERROR(__xludf.DUMMYFUNCTION("""COMPUTED_VALUE"""),"BAO BÌ CHÂU DUY")</f>
        <v>BAO BÌ CHÂU DUY</v>
      </c>
      <c r="U133" s="63" t="str">
        <f>IFERROR(__xludf.DUMMYFUNCTION("""COMPUTED_VALUE"""),"BAO BÌ CHÂU DUY")</f>
        <v>BAO BÌ CHÂU DUY</v>
      </c>
      <c r="V133" s="63" t="str">
        <f>IFERROR(__xludf.DUMMYFUNCTION("""COMPUTED_VALUE"""),"26-28 Ngô Sĩ Liên KDC MeTro,Tân An, Cần Thơ")</f>
        <v>26-28 Ngô Sĩ Liên KDC MeTro,Tân An, Cần Thơ</v>
      </c>
      <c r="W133" s="63"/>
      <c r="X133" s="71"/>
      <c r="Y133" s="63"/>
      <c r="Z133" s="63"/>
      <c r="AA133" s="63"/>
      <c r="AB133" s="71"/>
      <c r="AC133" s="63"/>
      <c r="AD133" s="71"/>
      <c r="AE133" s="63"/>
      <c r="AF133" s="71"/>
      <c r="AG133" s="63"/>
      <c r="AH133" s="71"/>
      <c r="AI133" s="63"/>
      <c r="AJ133" s="71"/>
      <c r="AK133" s="63"/>
    </row>
    <row r="134" ht="18.0" customHeight="1">
      <c r="A134" s="63"/>
      <c r="B134" s="63"/>
      <c r="C134" s="71"/>
      <c r="D134" s="63"/>
      <c r="E134" s="63"/>
      <c r="F134" s="63"/>
      <c r="G134" s="63"/>
      <c r="H134" s="71"/>
      <c r="I134" s="63"/>
      <c r="J134" s="63"/>
      <c r="K134" s="63"/>
      <c r="L134" s="63"/>
      <c r="M134" s="63"/>
      <c r="N134" s="71"/>
      <c r="O134" s="66"/>
      <c r="P134" s="71"/>
      <c r="Q134" s="66"/>
      <c r="R134" s="66"/>
      <c r="S134" s="71"/>
      <c r="T134" s="63" t="str">
        <f>IFERROR(__xludf.DUMMYFUNCTION("""COMPUTED_VALUE"""),"CÔNG TY TNHH SẢN XUẤT BAO BÌ ĐÔNG BẮC")</f>
        <v>CÔNG TY TNHH SẢN XUẤT BAO BÌ ĐÔNG BẮC</v>
      </c>
      <c r="U134" s="63" t="str">
        <f>IFERROR(__xludf.DUMMYFUNCTION("""COMPUTED_VALUE"""),"Bao Bì Đông Bắc")</f>
        <v>Bao Bì Đông Bắc</v>
      </c>
      <c r="V134" s="63" t="str">
        <f>IFERROR(__xludf.DUMMYFUNCTION("""COMPUTED_VALUE"""),"Số 11 Đường 406 Ấp 2, Xã Củ Chi, TP Hồ Chí Minh, Việt Nam")</f>
        <v>Số 11 Đường 406 Ấp 2, Xã Củ Chi, TP Hồ Chí Minh, Việt Nam</v>
      </c>
      <c r="W134" s="59" t="str">
        <f>IFERROR(__xludf.DUMMYFUNCTION("""COMPUTED_VALUE"""),"0318450547")</f>
        <v>0318450547</v>
      </c>
      <c r="X134" s="71"/>
      <c r="Y134" s="63"/>
      <c r="Z134" s="63"/>
      <c r="AA134" s="63"/>
      <c r="AB134" s="71"/>
      <c r="AC134" s="63"/>
      <c r="AD134" s="71"/>
      <c r="AE134" s="63"/>
      <c r="AF134" s="71"/>
      <c r="AG134" s="63"/>
      <c r="AH134" s="71"/>
      <c r="AI134" s="63"/>
      <c r="AJ134" s="71"/>
      <c r="AK134" s="63"/>
    </row>
    <row r="135" ht="18.0" customHeight="1">
      <c r="A135" s="63"/>
      <c r="B135" s="63"/>
      <c r="C135" s="71"/>
      <c r="D135" s="63"/>
      <c r="E135" s="63"/>
      <c r="F135" s="63"/>
      <c r="G135" s="63"/>
      <c r="H135" s="71"/>
      <c r="I135" s="63"/>
      <c r="J135" s="63"/>
      <c r="K135" s="63"/>
      <c r="L135" s="63"/>
      <c r="M135" s="63"/>
      <c r="N135" s="71"/>
      <c r="O135" s="66"/>
      <c r="P135" s="71"/>
      <c r="Q135" s="66"/>
      <c r="R135" s="66"/>
      <c r="S135" s="71"/>
      <c r="T135" s="63" t="str">
        <f>IFERROR(__xludf.DUMMYFUNCTION("""COMPUTED_VALUE"""),"CÔNG TY TNHH MÁY VÀ HÓA CHẤT TOÀN CẦU")</f>
        <v>CÔNG TY TNHH MÁY VÀ HÓA CHẤT TOÀN CẦU</v>
      </c>
      <c r="U135" s="63" t="str">
        <f>IFERROR(__xludf.DUMMYFUNCTION("""COMPUTED_VALUE"""),"HÓA CHẤT TOÀN CẦU")</f>
        <v>HÓA CHẤT TOÀN CẦU</v>
      </c>
      <c r="V135" s="63" t="str">
        <f>IFERROR(__xludf.DUMMYFUNCTION("""COMPUTED_VALUE"""),"Tầng 6, tòa nhà CDS, Số 33,Ngõ 61 Lạc Trung, Phường Vĩnh Tuy, Hà Nội")</f>
        <v>Tầng 6, tòa nhà CDS, Số 33,Ngõ 61 Lạc Trung, Phường Vĩnh Tuy, Hà Nội</v>
      </c>
      <c r="W135" s="59" t="str">
        <f>IFERROR(__xludf.DUMMYFUNCTION("""COMPUTED_VALUE"""),"0105111638")</f>
        <v>0105111638</v>
      </c>
      <c r="X135" s="71"/>
      <c r="Y135" s="63"/>
      <c r="Z135" s="63"/>
      <c r="AA135" s="63"/>
      <c r="AB135" s="71"/>
      <c r="AC135" s="63"/>
      <c r="AD135" s="71"/>
      <c r="AE135" s="63"/>
      <c r="AF135" s="71"/>
      <c r="AG135" s="63"/>
      <c r="AH135" s="71"/>
      <c r="AI135" s="63"/>
      <c r="AJ135" s="71"/>
      <c r="AK135" s="63"/>
    </row>
    <row r="136" ht="18.0" customHeight="1">
      <c r="A136" s="63"/>
      <c r="B136" s="63"/>
      <c r="C136" s="71"/>
      <c r="D136" s="63"/>
      <c r="E136" s="63"/>
      <c r="F136" s="63"/>
      <c r="G136" s="63"/>
      <c r="H136" s="71"/>
      <c r="I136" s="63"/>
      <c r="J136" s="63"/>
      <c r="K136" s="63"/>
      <c r="L136" s="63"/>
      <c r="M136" s="63"/>
      <c r="N136" s="71"/>
      <c r="O136" s="66"/>
      <c r="P136" s="71"/>
      <c r="Q136" s="66"/>
      <c r="R136" s="66"/>
      <c r="S136" s="71"/>
      <c r="T136" s="63" t="str">
        <f>IFERROR(__xludf.DUMMYFUNCTION("""COMPUTED_VALUE"""),"CÔNG TY TNHH SẢN XUẤT THƯƠNG MẠI CAO VẠN THỊNH")</f>
        <v>CÔNG TY TNHH SẢN XUẤT THƯƠNG MẠI CAO VẠN THỊNH</v>
      </c>
      <c r="U136" s="63" t="str">
        <f>IFERROR(__xludf.DUMMYFUNCTION("""COMPUTED_VALUE"""),"CAO VẠN THỊNH")</f>
        <v>CAO VẠN THỊNH</v>
      </c>
      <c r="V136" s="76" t="str">
        <f>IFERROR(__xludf.DUMMYFUNCTION("""COMPUTED_VALUE""")," 1004/12 Hương lộ 2, khu phố 6, Phường Bình Trị Đông, TP Hồ Chí Minh, Việt Nam ")</f>
        <v>1004/12 Hương lộ 2, khu phố 6, Phường Bình Trị Đông, TP Hồ Chí Minh, Việt Nam</v>
      </c>
      <c r="W136" s="59" t="str">
        <f>IFERROR(__xludf.DUMMYFUNCTION("""COMPUTED_VALUE"""),"0311953982")</f>
        <v>0311953982</v>
      </c>
      <c r="X136" s="71"/>
      <c r="Y136" s="63"/>
      <c r="Z136" s="63"/>
      <c r="AA136" s="63"/>
      <c r="AB136" s="71"/>
      <c r="AC136" s="63"/>
      <c r="AD136" s="71"/>
      <c r="AE136" s="63"/>
      <c r="AF136" s="71"/>
      <c r="AG136" s="63"/>
      <c r="AH136" s="71"/>
      <c r="AI136" s="63"/>
      <c r="AJ136" s="71"/>
      <c r="AK136" s="63"/>
    </row>
    <row r="137" ht="18.0" customHeight="1">
      <c r="A137" s="63"/>
      <c r="B137" s="63"/>
      <c r="C137" s="71"/>
      <c r="D137" s="63"/>
      <c r="E137" s="63"/>
      <c r="F137" s="63"/>
      <c r="G137" s="63"/>
      <c r="H137" s="71"/>
      <c r="I137" s="63"/>
      <c r="J137" s="63"/>
      <c r="K137" s="63"/>
      <c r="L137" s="63"/>
      <c r="M137" s="63"/>
      <c r="N137" s="71"/>
      <c r="O137" s="66"/>
      <c r="P137" s="71"/>
      <c r="Q137" s="66"/>
      <c r="R137" s="66"/>
      <c r="S137" s="71"/>
      <c r="T137" s="63" t="str">
        <f>IFERROR(__xludf.DUMMYFUNCTION("""COMPUTED_VALUE"""),"CÔNG TY TNHH THƯƠNG MẠI DỊCH VỤ NGỌC HÂN XUYÊN Á")</f>
        <v>CÔNG TY TNHH THƯƠNG MẠI DỊCH VỤ NGỌC HÂN XUYÊN Á</v>
      </c>
      <c r="U137" s="63" t="str">
        <f>IFERROR(__xludf.DUMMYFUNCTION("""COMPUTED_VALUE"""),"NGỌC HÂN XUYÊN Á")</f>
        <v>NGỌC HÂN XUYÊN Á</v>
      </c>
      <c r="V137" s="76" t="str">
        <f>IFERROR(__xludf.DUMMYFUNCTION("""COMPUTED_VALUE""")," Số 134 đường Giồng Lớn, ấp Giồng Lớn, Xã Mỹ Hạnh, Tỉnh Tây Ninh, Việt Nam ")</f>
        <v>Số 134 đường Giồng Lớn, ấp Giồng Lớn, Xã Mỹ Hạnh, Tỉnh Tây Ninh, Việt Nam</v>
      </c>
      <c r="W137" s="59" t="str">
        <f>IFERROR(__xludf.DUMMYFUNCTION("""COMPUTED_VALUE"""),"1102106818")</f>
        <v>1102106818</v>
      </c>
      <c r="X137" s="71"/>
      <c r="Y137" s="63"/>
      <c r="Z137" s="63"/>
      <c r="AA137" s="63"/>
      <c r="AB137" s="71"/>
      <c r="AC137" s="63"/>
      <c r="AD137" s="71"/>
      <c r="AE137" s="63"/>
      <c r="AF137" s="71"/>
      <c r="AG137" s="63"/>
      <c r="AH137" s="71"/>
      <c r="AI137" s="63"/>
      <c r="AJ137" s="71"/>
      <c r="AK137" s="63"/>
    </row>
    <row r="138" ht="18.0" customHeight="1">
      <c r="A138" s="63"/>
      <c r="B138" s="63"/>
      <c r="C138" s="71"/>
      <c r="D138" s="63"/>
      <c r="E138" s="63"/>
      <c r="F138" s="63"/>
      <c r="G138" s="63"/>
      <c r="H138" s="71"/>
      <c r="I138" s="63"/>
      <c r="J138" s="63"/>
      <c r="K138" s="63"/>
      <c r="L138" s="63"/>
      <c r="M138" s="63"/>
      <c r="N138" s="71"/>
      <c r="O138" s="66"/>
      <c r="P138" s="71"/>
      <c r="Q138" s="66"/>
      <c r="R138" s="66"/>
      <c r="S138" s="71"/>
      <c r="T138" s="63" t="str">
        <f>IFERROR(__xludf.DUMMYFUNCTION("""COMPUTED_VALUE"""),"LÊ HỮU THÔNG")</f>
        <v>LÊ HỮU THÔNG</v>
      </c>
      <c r="U138" s="63" t="str">
        <f>IFERROR(__xludf.DUMMYFUNCTION("""COMPUTED_VALUE"""),"TANK LÊ HỮU THÔNG")</f>
        <v>TANK LÊ HỮU THÔNG</v>
      </c>
      <c r="V138" s="76" t="str">
        <f>IFERROR(__xludf.DUMMYFUNCTION("""COMPUTED_VALUE""")," 252 Ấp 17, xã Hiệp Phước, Thành phố Hồ Chí Minh ")</f>
        <v>252 Ấp 17, xã Hiệp Phước, Thành phố Hồ Chí Minh</v>
      </c>
      <c r="W138" s="59" t="str">
        <f>IFERROR(__xludf.DUMMYFUNCTION("""COMPUTED_VALUE"""),"079082006587")</f>
        <v>079082006587</v>
      </c>
      <c r="X138" s="71"/>
      <c r="Y138" s="63"/>
      <c r="Z138" s="63"/>
      <c r="AA138" s="63"/>
      <c r="AB138" s="71"/>
      <c r="AC138" s="63"/>
      <c r="AD138" s="71"/>
      <c r="AE138" s="63"/>
      <c r="AF138" s="71"/>
      <c r="AG138" s="63"/>
      <c r="AH138" s="71"/>
      <c r="AI138" s="63"/>
      <c r="AJ138" s="71"/>
      <c r="AK138" s="63"/>
    </row>
    <row r="139" ht="18.0" customHeight="1">
      <c r="A139" s="63"/>
      <c r="B139" s="63"/>
      <c r="C139" s="71"/>
      <c r="D139" s="63"/>
      <c r="E139" s="63"/>
      <c r="F139" s="63"/>
      <c r="G139" s="63"/>
      <c r="H139" s="71"/>
      <c r="I139" s="63"/>
      <c r="J139" s="63"/>
      <c r="K139" s="63"/>
      <c r="L139" s="63"/>
      <c r="M139" s="63"/>
      <c r="N139" s="71"/>
      <c r="O139" s="66"/>
      <c r="P139" s="71"/>
      <c r="Q139" s="66"/>
      <c r="R139" s="66"/>
      <c r="S139" s="71"/>
      <c r="T139" s="63" t="str">
        <f>IFERROR(__xludf.DUMMYFUNCTION("""COMPUTED_VALUE"""),"Công Ty TNHH TM Nông Xanh")</f>
        <v>Công Ty TNHH TM Nông Xanh</v>
      </c>
      <c r="U139" s="63" t="str">
        <f>IFERROR(__xludf.DUMMYFUNCTION("""COMPUTED_VALUE"""),"Nông Xanh")</f>
        <v>Nông Xanh</v>
      </c>
      <c r="V139" s="76" t="str">
        <f>IFERROR(__xludf.DUMMYFUNCTION("""COMPUTED_VALUE""")," 168 Đường 16, KDC Đông Tăng Long ,P long phước,TP.HCM ")</f>
        <v>168 Đường 16, KDC Đông Tăng Long ,P long phước,TP.HCM</v>
      </c>
      <c r="W139" s="59" t="str">
        <f>IFERROR(__xludf.DUMMYFUNCTION("""COMPUTED_VALUE"""),"0310187076")</f>
        <v>0310187076</v>
      </c>
      <c r="X139" s="71"/>
      <c r="Y139" s="63"/>
      <c r="Z139" s="63"/>
      <c r="AA139" s="63"/>
      <c r="AB139" s="71"/>
      <c r="AC139" s="63"/>
      <c r="AD139" s="71"/>
      <c r="AE139" s="63"/>
      <c r="AF139" s="71"/>
      <c r="AG139" s="63"/>
      <c r="AH139" s="71"/>
      <c r="AI139" s="63"/>
      <c r="AJ139" s="71"/>
      <c r="AK139" s="63"/>
    </row>
    <row r="140" ht="18.0" customHeight="1">
      <c r="A140" s="48"/>
      <c r="B140" s="48"/>
      <c r="C140" s="77"/>
      <c r="D140" s="48"/>
      <c r="E140" s="48"/>
      <c r="F140" s="48"/>
      <c r="G140" s="48"/>
      <c r="H140" s="77"/>
      <c r="I140" s="48"/>
      <c r="J140" s="48"/>
      <c r="K140" s="48"/>
      <c r="L140" s="48"/>
      <c r="M140" s="48"/>
      <c r="N140" s="77"/>
      <c r="O140" s="78"/>
      <c r="P140" s="77"/>
      <c r="Q140" s="78"/>
      <c r="R140" s="78"/>
      <c r="S140" s="77"/>
      <c r="T140" s="48" t="str">
        <f>IFERROR(__xludf.DUMMYFUNCTION("""COMPUTED_VALUE"""),"CÔNG TY CỔ PHẦN MEKONG LOGISTICS")</f>
        <v>CÔNG TY CỔ PHẦN MEKONG LOGISTICS</v>
      </c>
      <c r="U140" s="48" t="str">
        <f>IFERROR(__xludf.DUMMYFUNCTION("""COMPUTED_VALUE"""),"Mekong Logistics")</f>
        <v>Mekong Logistics</v>
      </c>
      <c r="V140" s="79" t="str">
        <f>IFERROR(__xludf.DUMMYFUNCTION("""COMPUTED_VALUE""")," Khu công nghiệp Sông Hậu - Giai đoạn 1, Xã Châu Thành, TP Cần Thơ, Việt Nam ")</f>
        <v>Khu công nghiệp Sông Hậu - Giai đoạn 1, Xã Châu Thành, TP Cần Thơ, Việt Nam</v>
      </c>
      <c r="W140" s="80" t="str">
        <f>IFERROR(__xludf.DUMMYFUNCTION("""COMPUTED_VALUE"""),"6300263071")</f>
        <v>6300263071</v>
      </c>
      <c r="X140" s="77"/>
      <c r="Y140" s="48"/>
      <c r="Z140" s="48"/>
      <c r="AA140" s="48"/>
      <c r="AB140" s="77"/>
      <c r="AC140" s="48"/>
      <c r="AD140" s="77"/>
      <c r="AE140" s="48"/>
      <c r="AF140" s="77"/>
      <c r="AG140" s="48"/>
      <c r="AH140" s="77"/>
      <c r="AI140" s="48"/>
      <c r="AJ140" s="77"/>
      <c r="AK140" s="48"/>
    </row>
    <row r="141" ht="18.0" customHeight="1">
      <c r="A141" s="48"/>
      <c r="B141" s="48"/>
      <c r="C141" s="77"/>
      <c r="D141" s="48"/>
      <c r="E141" s="48"/>
      <c r="F141" s="48"/>
      <c r="G141" s="48"/>
      <c r="H141" s="77"/>
      <c r="I141" s="48"/>
      <c r="J141" s="48"/>
      <c r="K141" s="48"/>
      <c r="L141" s="48"/>
      <c r="M141" s="48"/>
      <c r="N141" s="77"/>
      <c r="O141" s="78"/>
      <c r="P141" s="77"/>
      <c r="Q141" s="78"/>
      <c r="R141" s="78"/>
      <c r="S141" s="77"/>
      <c r="T141" s="48"/>
      <c r="U141" s="48"/>
      <c r="V141" s="48"/>
      <c r="W141" s="48"/>
      <c r="X141" s="77"/>
      <c r="Y141" s="48"/>
      <c r="Z141" s="48"/>
      <c r="AA141" s="48"/>
      <c r="AB141" s="77"/>
      <c r="AC141" s="48"/>
      <c r="AD141" s="77"/>
      <c r="AE141" s="48"/>
      <c r="AF141" s="77"/>
      <c r="AG141" s="48"/>
      <c r="AH141" s="77"/>
      <c r="AI141" s="48"/>
      <c r="AJ141" s="77"/>
      <c r="AK141" s="48"/>
    </row>
    <row r="142" ht="18.0" customHeight="1">
      <c r="A142" s="48"/>
      <c r="B142" s="48"/>
      <c r="C142" s="77"/>
      <c r="D142" s="48"/>
      <c r="E142" s="48"/>
      <c r="F142" s="48"/>
      <c r="G142" s="48"/>
      <c r="H142" s="77"/>
      <c r="I142" s="48"/>
      <c r="J142" s="48"/>
      <c r="K142" s="48"/>
      <c r="L142" s="48"/>
      <c r="M142" s="48"/>
      <c r="N142" s="77"/>
      <c r="O142" s="78"/>
      <c r="P142" s="77"/>
      <c r="Q142" s="78"/>
      <c r="R142" s="78"/>
      <c r="S142" s="77"/>
      <c r="T142" s="48"/>
      <c r="U142" s="48"/>
      <c r="V142" s="48"/>
      <c r="W142" s="48"/>
      <c r="X142" s="77"/>
      <c r="Y142" s="48"/>
      <c r="Z142" s="48"/>
      <c r="AA142" s="48"/>
      <c r="AB142" s="77"/>
      <c r="AC142" s="48"/>
      <c r="AD142" s="77"/>
      <c r="AE142" s="48"/>
      <c r="AF142" s="77"/>
      <c r="AG142" s="48"/>
      <c r="AH142" s="77"/>
      <c r="AI142" s="48"/>
      <c r="AJ142" s="77"/>
      <c r="AK142" s="48"/>
    </row>
    <row r="143" ht="18.0" customHeight="1">
      <c r="A143" s="48"/>
      <c r="B143" s="48"/>
      <c r="C143" s="77"/>
      <c r="D143" s="48"/>
      <c r="E143" s="48"/>
      <c r="F143" s="48"/>
      <c r="G143" s="48"/>
      <c r="H143" s="77"/>
      <c r="I143" s="48"/>
      <c r="J143" s="48"/>
      <c r="K143" s="48"/>
      <c r="L143" s="48"/>
      <c r="M143" s="48"/>
      <c r="N143" s="77"/>
      <c r="O143" s="78"/>
      <c r="P143" s="77"/>
      <c r="Q143" s="78"/>
      <c r="R143" s="78"/>
      <c r="S143" s="77"/>
      <c r="T143" s="48"/>
      <c r="U143" s="48"/>
      <c r="V143" s="48"/>
      <c r="W143" s="48"/>
      <c r="X143" s="77"/>
      <c r="Y143" s="48"/>
      <c r="Z143" s="48"/>
      <c r="AA143" s="48"/>
      <c r="AB143" s="77"/>
      <c r="AC143" s="48"/>
      <c r="AD143" s="77"/>
      <c r="AE143" s="48"/>
      <c r="AF143" s="77"/>
      <c r="AG143" s="48"/>
      <c r="AH143" s="77"/>
      <c r="AI143" s="48"/>
      <c r="AJ143" s="77"/>
      <c r="AK143" s="48"/>
    </row>
    <row r="144" ht="18.0" customHeight="1">
      <c r="A144" s="48"/>
      <c r="B144" s="48"/>
      <c r="C144" s="77"/>
      <c r="D144" s="48"/>
      <c r="E144" s="48"/>
      <c r="F144" s="48"/>
      <c r="G144" s="48"/>
      <c r="H144" s="77"/>
      <c r="I144" s="48"/>
      <c r="J144" s="48"/>
      <c r="K144" s="48"/>
      <c r="L144" s="48"/>
      <c r="M144" s="48"/>
      <c r="N144" s="77"/>
      <c r="O144" s="78"/>
      <c r="P144" s="77"/>
      <c r="Q144" s="78"/>
      <c r="R144" s="78"/>
      <c r="S144" s="77"/>
      <c r="T144" s="48"/>
      <c r="U144" s="48"/>
      <c r="V144" s="48"/>
      <c r="W144" s="48"/>
      <c r="X144" s="77"/>
      <c r="Y144" s="48"/>
      <c r="Z144" s="48"/>
      <c r="AA144" s="48"/>
      <c r="AB144" s="77"/>
      <c r="AC144" s="48"/>
      <c r="AD144" s="77"/>
      <c r="AE144" s="48"/>
      <c r="AF144" s="77"/>
      <c r="AG144" s="48"/>
      <c r="AH144" s="77"/>
      <c r="AI144" s="48"/>
      <c r="AJ144" s="77"/>
      <c r="AK144" s="48"/>
    </row>
    <row r="145" ht="18.0" customHeight="1">
      <c r="A145" s="48"/>
      <c r="B145" s="48"/>
      <c r="C145" s="77"/>
      <c r="D145" s="48"/>
      <c r="E145" s="48"/>
      <c r="F145" s="48"/>
      <c r="G145" s="48"/>
      <c r="H145" s="77"/>
      <c r="I145" s="48"/>
      <c r="J145" s="48"/>
      <c r="K145" s="48"/>
      <c r="L145" s="48"/>
      <c r="M145" s="48"/>
      <c r="N145" s="77"/>
      <c r="O145" s="78"/>
      <c r="P145" s="77"/>
      <c r="Q145" s="78"/>
      <c r="R145" s="78"/>
      <c r="S145" s="77"/>
      <c r="T145" s="48"/>
      <c r="U145" s="48"/>
      <c r="V145" s="48"/>
      <c r="W145" s="48"/>
      <c r="X145" s="77"/>
      <c r="Y145" s="48"/>
      <c r="Z145" s="48"/>
      <c r="AA145" s="48"/>
      <c r="AB145" s="77"/>
      <c r="AC145" s="48"/>
      <c r="AD145" s="77"/>
      <c r="AE145" s="48"/>
      <c r="AF145" s="77"/>
      <c r="AG145" s="48"/>
      <c r="AH145" s="77"/>
      <c r="AI145" s="48"/>
      <c r="AJ145" s="77"/>
      <c r="AK145" s="48"/>
    </row>
    <row r="146" ht="18.0" customHeight="1">
      <c r="A146" s="48"/>
      <c r="B146" s="48"/>
      <c r="C146" s="77"/>
      <c r="D146" s="48"/>
      <c r="E146" s="48"/>
      <c r="F146" s="48"/>
      <c r="G146" s="48"/>
      <c r="H146" s="77"/>
      <c r="I146" s="48"/>
      <c r="J146" s="48"/>
      <c r="K146" s="48"/>
      <c r="L146" s="48"/>
      <c r="M146" s="48"/>
      <c r="N146" s="77"/>
      <c r="O146" s="78"/>
      <c r="P146" s="77"/>
      <c r="Q146" s="78"/>
      <c r="R146" s="78"/>
      <c r="S146" s="77"/>
      <c r="T146" s="48"/>
      <c r="U146" s="48"/>
      <c r="V146" s="48"/>
      <c r="W146" s="48"/>
      <c r="X146" s="77"/>
      <c r="Y146" s="48"/>
      <c r="Z146" s="48"/>
      <c r="AA146" s="48"/>
      <c r="AB146" s="77"/>
      <c r="AC146" s="48"/>
      <c r="AD146" s="77"/>
      <c r="AE146" s="48"/>
      <c r="AF146" s="77"/>
      <c r="AG146" s="48"/>
      <c r="AH146" s="77"/>
      <c r="AI146" s="48"/>
      <c r="AJ146" s="77"/>
      <c r="AK146" s="48"/>
    </row>
    <row r="147" ht="18.0" customHeight="1">
      <c r="A147" s="48"/>
      <c r="B147" s="48"/>
      <c r="C147" s="77"/>
      <c r="D147" s="48"/>
      <c r="E147" s="48"/>
      <c r="F147" s="48"/>
      <c r="G147" s="48"/>
      <c r="H147" s="77"/>
      <c r="I147" s="48"/>
      <c r="J147" s="48"/>
      <c r="K147" s="48"/>
      <c r="L147" s="48"/>
      <c r="M147" s="48"/>
      <c r="N147" s="77"/>
      <c r="O147" s="78"/>
      <c r="P147" s="77"/>
      <c r="Q147" s="78"/>
      <c r="R147" s="78"/>
      <c r="S147" s="77"/>
      <c r="T147" s="48"/>
      <c r="U147" s="48"/>
      <c r="V147" s="48"/>
      <c r="W147" s="48"/>
      <c r="X147" s="77"/>
      <c r="Y147" s="48"/>
      <c r="Z147" s="48"/>
      <c r="AA147" s="48"/>
      <c r="AB147" s="77"/>
      <c r="AC147" s="48"/>
      <c r="AD147" s="77"/>
      <c r="AE147" s="48"/>
      <c r="AF147" s="77"/>
      <c r="AG147" s="48"/>
      <c r="AH147" s="77"/>
      <c r="AI147" s="48"/>
      <c r="AJ147" s="77"/>
      <c r="AK147" s="48"/>
    </row>
    <row r="148" ht="18.0" customHeight="1">
      <c r="A148" s="48"/>
      <c r="B148" s="48"/>
      <c r="C148" s="77"/>
      <c r="D148" s="48"/>
      <c r="E148" s="48"/>
      <c r="F148" s="48"/>
      <c r="G148" s="48"/>
      <c r="H148" s="77"/>
      <c r="I148" s="48"/>
      <c r="J148" s="48"/>
      <c r="K148" s="48"/>
      <c r="L148" s="48"/>
      <c r="M148" s="48"/>
      <c r="N148" s="77"/>
      <c r="O148" s="78"/>
      <c r="P148" s="77"/>
      <c r="Q148" s="78"/>
      <c r="R148" s="78"/>
      <c r="S148" s="77"/>
      <c r="T148" s="48"/>
      <c r="U148" s="48"/>
      <c r="V148" s="48"/>
      <c r="W148" s="48"/>
      <c r="X148" s="77"/>
      <c r="Y148" s="48"/>
      <c r="Z148" s="48"/>
      <c r="AA148" s="48"/>
      <c r="AB148" s="77"/>
      <c r="AC148" s="48"/>
      <c r="AD148" s="77"/>
      <c r="AE148" s="48"/>
      <c r="AF148" s="77"/>
      <c r="AG148" s="48"/>
      <c r="AH148" s="77"/>
      <c r="AI148" s="48"/>
      <c r="AJ148" s="77"/>
      <c r="AK148" s="48"/>
    </row>
    <row r="149" ht="18.0" customHeight="1">
      <c r="A149" s="48"/>
      <c r="B149" s="48"/>
      <c r="C149" s="77"/>
      <c r="D149" s="48"/>
      <c r="E149" s="48"/>
      <c r="F149" s="48"/>
      <c r="G149" s="48"/>
      <c r="H149" s="77"/>
      <c r="I149" s="48"/>
      <c r="J149" s="48"/>
      <c r="K149" s="48"/>
      <c r="L149" s="48"/>
      <c r="M149" s="48"/>
      <c r="N149" s="77"/>
      <c r="O149" s="78"/>
      <c r="P149" s="77"/>
      <c r="Q149" s="78"/>
      <c r="R149" s="78"/>
      <c r="S149" s="77"/>
      <c r="T149" s="48"/>
      <c r="U149" s="48"/>
      <c r="V149" s="48"/>
      <c r="W149" s="48"/>
      <c r="X149" s="77"/>
      <c r="Y149" s="48"/>
      <c r="Z149" s="48"/>
      <c r="AA149" s="48"/>
      <c r="AB149" s="77"/>
      <c r="AC149" s="48"/>
      <c r="AD149" s="77"/>
      <c r="AE149" s="48"/>
      <c r="AF149" s="77"/>
      <c r="AG149" s="48"/>
      <c r="AH149" s="77"/>
      <c r="AI149" s="48"/>
      <c r="AJ149" s="77"/>
      <c r="AK149" s="48"/>
    </row>
    <row r="150" ht="18.0" customHeight="1">
      <c r="A150" s="48"/>
      <c r="B150" s="48"/>
      <c r="C150" s="77"/>
      <c r="D150" s="48"/>
      <c r="E150" s="48"/>
      <c r="F150" s="48"/>
      <c r="G150" s="48"/>
      <c r="H150" s="77"/>
      <c r="I150" s="48"/>
      <c r="J150" s="48"/>
      <c r="K150" s="48"/>
      <c r="L150" s="48"/>
      <c r="M150" s="48"/>
      <c r="N150" s="77"/>
      <c r="O150" s="78"/>
      <c r="P150" s="77"/>
      <c r="Q150" s="78"/>
      <c r="R150" s="78"/>
      <c r="S150" s="77"/>
      <c r="T150" s="48"/>
      <c r="U150" s="48"/>
      <c r="V150" s="48"/>
      <c r="W150" s="48"/>
      <c r="X150" s="77"/>
      <c r="Y150" s="48"/>
      <c r="Z150" s="48"/>
      <c r="AA150" s="48"/>
      <c r="AB150" s="77"/>
      <c r="AC150" s="48"/>
      <c r="AD150" s="77"/>
      <c r="AE150" s="48"/>
      <c r="AF150" s="77"/>
      <c r="AG150" s="48"/>
      <c r="AH150" s="77"/>
      <c r="AI150" s="48"/>
      <c r="AJ150" s="77"/>
      <c r="AK150" s="48"/>
    </row>
    <row r="151" ht="18.0" customHeight="1">
      <c r="A151" s="48"/>
      <c r="B151" s="48"/>
      <c r="C151" s="77"/>
      <c r="D151" s="48"/>
      <c r="E151" s="48"/>
      <c r="F151" s="48"/>
      <c r="G151" s="48"/>
      <c r="H151" s="77"/>
      <c r="I151" s="48"/>
      <c r="J151" s="48"/>
      <c r="K151" s="48"/>
      <c r="L151" s="48"/>
      <c r="M151" s="48"/>
      <c r="N151" s="77"/>
      <c r="O151" s="78"/>
      <c r="P151" s="77"/>
      <c r="Q151" s="78"/>
      <c r="R151" s="78"/>
      <c r="S151" s="77"/>
      <c r="T151" s="48"/>
      <c r="U151" s="48"/>
      <c r="V151" s="48"/>
      <c r="W151" s="48"/>
      <c r="X151" s="77"/>
      <c r="Y151" s="48"/>
      <c r="Z151" s="48"/>
      <c r="AA151" s="48"/>
      <c r="AB151" s="77"/>
      <c r="AC151" s="48"/>
      <c r="AD151" s="77"/>
      <c r="AE151" s="48"/>
      <c r="AF151" s="77"/>
      <c r="AG151" s="48"/>
      <c r="AH151" s="77"/>
      <c r="AI151" s="48"/>
      <c r="AJ151" s="77"/>
      <c r="AK151" s="48"/>
    </row>
    <row r="152" ht="18.0" customHeight="1">
      <c r="A152" s="48"/>
      <c r="B152" s="48"/>
      <c r="C152" s="77"/>
      <c r="D152" s="48"/>
      <c r="E152" s="48"/>
      <c r="F152" s="48"/>
      <c r="G152" s="48"/>
      <c r="H152" s="77"/>
      <c r="I152" s="48"/>
      <c r="J152" s="48"/>
      <c r="K152" s="48"/>
      <c r="L152" s="48"/>
      <c r="M152" s="48"/>
      <c r="N152" s="77"/>
      <c r="O152" s="78"/>
      <c r="P152" s="77"/>
      <c r="Q152" s="78"/>
      <c r="R152" s="78"/>
      <c r="S152" s="77"/>
      <c r="T152" s="48"/>
      <c r="U152" s="48"/>
      <c r="V152" s="48"/>
      <c r="W152" s="48"/>
      <c r="X152" s="77"/>
      <c r="Y152" s="48"/>
      <c r="Z152" s="48"/>
      <c r="AA152" s="48"/>
      <c r="AB152" s="77"/>
      <c r="AC152" s="48"/>
      <c r="AD152" s="77"/>
      <c r="AE152" s="48"/>
      <c r="AF152" s="77"/>
      <c r="AG152" s="48"/>
      <c r="AH152" s="77"/>
      <c r="AI152" s="48"/>
      <c r="AJ152" s="77"/>
      <c r="AK152" s="48"/>
    </row>
    <row r="153" ht="18.0" customHeight="1">
      <c r="A153" s="48"/>
      <c r="B153" s="48"/>
      <c r="C153" s="77"/>
      <c r="D153" s="48"/>
      <c r="E153" s="48"/>
      <c r="F153" s="48"/>
      <c r="G153" s="48"/>
      <c r="H153" s="77"/>
      <c r="I153" s="48"/>
      <c r="J153" s="48"/>
      <c r="K153" s="48"/>
      <c r="L153" s="48"/>
      <c r="M153" s="48"/>
      <c r="N153" s="77"/>
      <c r="O153" s="78"/>
      <c r="P153" s="77"/>
      <c r="Q153" s="78"/>
      <c r="R153" s="78"/>
      <c r="S153" s="77"/>
      <c r="T153" s="48"/>
      <c r="U153" s="48"/>
      <c r="V153" s="48"/>
      <c r="W153" s="48"/>
      <c r="X153" s="77"/>
      <c r="Y153" s="48"/>
      <c r="Z153" s="48"/>
      <c r="AA153" s="48"/>
      <c r="AB153" s="77"/>
      <c r="AC153" s="48"/>
      <c r="AD153" s="77"/>
      <c r="AE153" s="48"/>
      <c r="AF153" s="77"/>
      <c r="AG153" s="48"/>
      <c r="AH153" s="77"/>
      <c r="AI153" s="48"/>
      <c r="AJ153" s="77"/>
      <c r="AK153" s="48"/>
    </row>
    <row r="154" ht="18.0" customHeight="1">
      <c r="A154" s="48"/>
      <c r="B154" s="48"/>
      <c r="C154" s="77"/>
      <c r="D154" s="48"/>
      <c r="E154" s="48"/>
      <c r="F154" s="48"/>
      <c r="G154" s="48"/>
      <c r="H154" s="77"/>
      <c r="I154" s="48"/>
      <c r="J154" s="48"/>
      <c r="K154" s="48"/>
      <c r="L154" s="48"/>
      <c r="M154" s="48"/>
      <c r="N154" s="77"/>
      <c r="O154" s="78"/>
      <c r="P154" s="77"/>
      <c r="Q154" s="78"/>
      <c r="R154" s="78"/>
      <c r="S154" s="77"/>
      <c r="T154" s="48"/>
      <c r="U154" s="48"/>
      <c r="V154" s="48"/>
      <c r="W154" s="48"/>
      <c r="X154" s="77"/>
      <c r="Y154" s="48"/>
      <c r="Z154" s="48"/>
      <c r="AA154" s="48"/>
      <c r="AB154" s="77"/>
      <c r="AC154" s="48"/>
      <c r="AD154" s="77"/>
      <c r="AE154" s="48"/>
      <c r="AF154" s="77"/>
      <c r="AG154" s="48"/>
      <c r="AH154" s="77"/>
      <c r="AI154" s="48"/>
      <c r="AJ154" s="77"/>
      <c r="AK154" s="48"/>
    </row>
    <row r="155" ht="18.0" customHeight="1">
      <c r="A155" s="48"/>
      <c r="B155" s="48"/>
      <c r="C155" s="77"/>
      <c r="D155" s="48"/>
      <c r="E155" s="48"/>
      <c r="F155" s="48"/>
      <c r="G155" s="48"/>
      <c r="H155" s="77"/>
      <c r="I155" s="48"/>
      <c r="J155" s="48"/>
      <c r="K155" s="48"/>
      <c r="L155" s="48"/>
      <c r="M155" s="48"/>
      <c r="N155" s="77"/>
      <c r="O155" s="78"/>
      <c r="P155" s="77"/>
      <c r="Q155" s="78"/>
      <c r="R155" s="78"/>
      <c r="S155" s="77"/>
      <c r="T155" s="48"/>
      <c r="U155" s="48"/>
      <c r="V155" s="48"/>
      <c r="W155" s="48"/>
      <c r="X155" s="77"/>
      <c r="Y155" s="48"/>
      <c r="Z155" s="48"/>
      <c r="AA155" s="48"/>
      <c r="AB155" s="77"/>
      <c r="AC155" s="48"/>
      <c r="AD155" s="77"/>
      <c r="AE155" s="48"/>
      <c r="AF155" s="77"/>
      <c r="AG155" s="48"/>
      <c r="AH155" s="77"/>
      <c r="AI155" s="48"/>
      <c r="AJ155" s="77"/>
      <c r="AK155" s="48"/>
    </row>
    <row r="156" ht="18.0" customHeight="1">
      <c r="A156" s="48"/>
      <c r="B156" s="48"/>
      <c r="C156" s="77"/>
      <c r="D156" s="48"/>
      <c r="E156" s="48"/>
      <c r="F156" s="48"/>
      <c r="G156" s="48"/>
      <c r="H156" s="77"/>
      <c r="I156" s="48"/>
      <c r="J156" s="48"/>
      <c r="K156" s="48"/>
      <c r="L156" s="48"/>
      <c r="M156" s="48"/>
      <c r="N156" s="77"/>
      <c r="O156" s="78"/>
      <c r="P156" s="77"/>
      <c r="Q156" s="78"/>
      <c r="R156" s="78"/>
      <c r="S156" s="77"/>
      <c r="T156" s="48"/>
      <c r="U156" s="48"/>
      <c r="V156" s="48"/>
      <c r="W156" s="48"/>
      <c r="X156" s="77"/>
      <c r="Y156" s="48"/>
      <c r="Z156" s="48"/>
      <c r="AA156" s="48"/>
      <c r="AB156" s="77"/>
      <c r="AC156" s="48"/>
      <c r="AD156" s="77"/>
      <c r="AE156" s="48"/>
      <c r="AF156" s="77"/>
      <c r="AG156" s="48"/>
      <c r="AH156" s="77"/>
      <c r="AI156" s="48"/>
      <c r="AJ156" s="77"/>
      <c r="AK156" s="48"/>
    </row>
    <row r="157" ht="18.0" customHeight="1">
      <c r="A157" s="48"/>
      <c r="B157" s="48"/>
      <c r="C157" s="77"/>
      <c r="D157" s="48"/>
      <c r="E157" s="48"/>
      <c r="F157" s="48"/>
      <c r="G157" s="48"/>
      <c r="H157" s="77"/>
      <c r="I157" s="48"/>
      <c r="J157" s="48"/>
      <c r="K157" s="48"/>
      <c r="L157" s="48"/>
      <c r="M157" s="48"/>
      <c r="N157" s="77"/>
      <c r="O157" s="78"/>
      <c r="P157" s="77"/>
      <c r="Q157" s="78"/>
      <c r="R157" s="78"/>
      <c r="S157" s="77"/>
      <c r="T157" s="48"/>
      <c r="U157" s="48"/>
      <c r="V157" s="48"/>
      <c r="W157" s="48"/>
      <c r="X157" s="77"/>
      <c r="Y157" s="48"/>
      <c r="Z157" s="48"/>
      <c r="AA157" s="48"/>
      <c r="AB157" s="77"/>
      <c r="AC157" s="48"/>
      <c r="AD157" s="77"/>
      <c r="AE157" s="48"/>
      <c r="AF157" s="77"/>
      <c r="AG157" s="48"/>
      <c r="AH157" s="77"/>
      <c r="AI157" s="48"/>
      <c r="AJ157" s="77"/>
      <c r="AK157" s="48"/>
    </row>
    <row r="158" ht="18.0" customHeight="1">
      <c r="A158" s="48"/>
      <c r="B158" s="48"/>
      <c r="C158" s="77"/>
      <c r="D158" s="48"/>
      <c r="E158" s="48"/>
      <c r="F158" s="48"/>
      <c r="G158" s="48"/>
      <c r="H158" s="77"/>
      <c r="I158" s="48"/>
      <c r="J158" s="48"/>
      <c r="K158" s="48"/>
      <c r="L158" s="48"/>
      <c r="M158" s="48"/>
      <c r="N158" s="77"/>
      <c r="O158" s="78"/>
      <c r="P158" s="77"/>
      <c r="Q158" s="78"/>
      <c r="R158" s="78"/>
      <c r="S158" s="77"/>
      <c r="T158" s="48"/>
      <c r="U158" s="48"/>
      <c r="V158" s="48"/>
      <c r="W158" s="48"/>
      <c r="X158" s="77"/>
      <c r="Y158" s="48"/>
      <c r="Z158" s="48"/>
      <c r="AA158" s="48"/>
      <c r="AB158" s="77"/>
      <c r="AC158" s="48"/>
      <c r="AD158" s="77"/>
      <c r="AE158" s="48"/>
      <c r="AF158" s="77"/>
      <c r="AG158" s="48"/>
      <c r="AH158" s="77"/>
      <c r="AI158" s="48"/>
      <c r="AJ158" s="77"/>
      <c r="AK158" s="48"/>
    </row>
    <row r="159" ht="18.0" customHeight="1">
      <c r="A159" s="48"/>
      <c r="B159" s="48"/>
      <c r="C159" s="77"/>
      <c r="D159" s="48"/>
      <c r="E159" s="48"/>
      <c r="F159" s="48"/>
      <c r="G159" s="48"/>
      <c r="H159" s="77"/>
      <c r="I159" s="48"/>
      <c r="J159" s="48"/>
      <c r="K159" s="48"/>
      <c r="L159" s="48"/>
      <c r="M159" s="48"/>
      <c r="N159" s="77"/>
      <c r="O159" s="78"/>
      <c r="P159" s="77"/>
      <c r="Q159" s="78"/>
      <c r="R159" s="78"/>
      <c r="S159" s="77"/>
      <c r="T159" s="48"/>
      <c r="U159" s="48"/>
      <c r="V159" s="48"/>
      <c r="W159" s="48"/>
      <c r="X159" s="77"/>
      <c r="Y159" s="48"/>
      <c r="Z159" s="48"/>
      <c r="AA159" s="48"/>
      <c r="AB159" s="77"/>
      <c r="AC159" s="48"/>
      <c r="AD159" s="77"/>
      <c r="AE159" s="48"/>
      <c r="AF159" s="77"/>
      <c r="AG159" s="48"/>
      <c r="AH159" s="77"/>
      <c r="AI159" s="48"/>
      <c r="AJ159" s="77"/>
      <c r="AK159" s="48"/>
    </row>
    <row r="160" ht="18.0" customHeight="1">
      <c r="A160" s="48"/>
      <c r="B160" s="48"/>
      <c r="C160" s="77"/>
      <c r="D160" s="48"/>
      <c r="E160" s="48"/>
      <c r="F160" s="48"/>
      <c r="G160" s="48"/>
      <c r="H160" s="77"/>
      <c r="I160" s="48"/>
      <c r="J160" s="48"/>
      <c r="K160" s="48"/>
      <c r="L160" s="48"/>
      <c r="M160" s="48"/>
      <c r="N160" s="77"/>
      <c r="O160" s="78"/>
      <c r="P160" s="77"/>
      <c r="Q160" s="78"/>
      <c r="R160" s="78"/>
      <c r="S160" s="77"/>
      <c r="T160" s="48"/>
      <c r="U160" s="48"/>
      <c r="V160" s="48"/>
      <c r="W160" s="48"/>
      <c r="X160" s="77"/>
      <c r="Y160" s="48"/>
      <c r="Z160" s="48"/>
      <c r="AA160" s="48"/>
      <c r="AB160" s="77"/>
      <c r="AC160" s="48"/>
      <c r="AD160" s="77"/>
      <c r="AE160" s="48"/>
      <c r="AF160" s="77"/>
      <c r="AG160" s="48"/>
      <c r="AH160" s="77"/>
      <c r="AI160" s="48"/>
      <c r="AJ160" s="77"/>
      <c r="AK160" s="48"/>
    </row>
    <row r="161" ht="18.0" customHeight="1">
      <c r="A161" s="48"/>
      <c r="B161" s="48"/>
      <c r="C161" s="77"/>
      <c r="D161" s="48"/>
      <c r="E161" s="48"/>
      <c r="F161" s="48"/>
      <c r="G161" s="48"/>
      <c r="H161" s="77"/>
      <c r="I161" s="48"/>
      <c r="J161" s="48"/>
      <c r="K161" s="48"/>
      <c r="L161" s="48"/>
      <c r="M161" s="48"/>
      <c r="N161" s="77"/>
      <c r="O161" s="78"/>
      <c r="P161" s="77"/>
      <c r="Q161" s="78"/>
      <c r="R161" s="78"/>
      <c r="S161" s="77"/>
      <c r="T161" s="48"/>
      <c r="U161" s="48"/>
      <c r="V161" s="48"/>
      <c r="W161" s="48"/>
      <c r="X161" s="77"/>
      <c r="Y161" s="48"/>
      <c r="Z161" s="48"/>
      <c r="AA161" s="48"/>
      <c r="AB161" s="77"/>
      <c r="AC161" s="48"/>
      <c r="AD161" s="77"/>
      <c r="AE161" s="48"/>
      <c r="AF161" s="77"/>
      <c r="AG161" s="48"/>
      <c r="AH161" s="77"/>
      <c r="AI161" s="48"/>
      <c r="AJ161" s="77"/>
      <c r="AK161" s="48"/>
    </row>
    <row r="162" ht="18.0" customHeight="1">
      <c r="A162" s="48"/>
      <c r="B162" s="48"/>
      <c r="C162" s="77"/>
      <c r="D162" s="48"/>
      <c r="E162" s="48"/>
      <c r="F162" s="48"/>
      <c r="G162" s="48"/>
      <c r="H162" s="77"/>
      <c r="I162" s="48"/>
      <c r="J162" s="48"/>
      <c r="K162" s="48"/>
      <c r="L162" s="48"/>
      <c r="M162" s="48"/>
      <c r="N162" s="77"/>
      <c r="O162" s="78"/>
      <c r="P162" s="77"/>
      <c r="Q162" s="78"/>
      <c r="R162" s="78"/>
      <c r="S162" s="77"/>
      <c r="T162" s="48"/>
      <c r="U162" s="48"/>
      <c r="V162" s="48"/>
      <c r="W162" s="48"/>
      <c r="X162" s="77"/>
      <c r="Y162" s="48"/>
      <c r="Z162" s="48"/>
      <c r="AA162" s="48"/>
      <c r="AB162" s="77"/>
      <c r="AC162" s="48"/>
      <c r="AD162" s="77"/>
      <c r="AE162" s="48"/>
      <c r="AF162" s="77"/>
      <c r="AG162" s="48"/>
      <c r="AH162" s="77"/>
      <c r="AI162" s="48"/>
      <c r="AJ162" s="77"/>
      <c r="AK162" s="48"/>
    </row>
    <row r="163" ht="18.0" customHeight="1">
      <c r="A163" s="48"/>
      <c r="B163" s="48"/>
      <c r="C163" s="77"/>
      <c r="D163" s="48"/>
      <c r="E163" s="48"/>
      <c r="F163" s="48"/>
      <c r="G163" s="48"/>
      <c r="H163" s="77"/>
      <c r="I163" s="48"/>
      <c r="J163" s="48"/>
      <c r="K163" s="48"/>
      <c r="L163" s="48"/>
      <c r="M163" s="48"/>
      <c r="N163" s="77"/>
      <c r="O163" s="78"/>
      <c r="P163" s="77"/>
      <c r="Q163" s="78"/>
      <c r="R163" s="78"/>
      <c r="S163" s="77"/>
      <c r="T163" s="48"/>
      <c r="U163" s="48"/>
      <c r="V163" s="48"/>
      <c r="W163" s="48"/>
      <c r="X163" s="77"/>
      <c r="Y163" s="48"/>
      <c r="Z163" s="48"/>
      <c r="AA163" s="48"/>
      <c r="AB163" s="77"/>
      <c r="AC163" s="48"/>
      <c r="AD163" s="77"/>
      <c r="AE163" s="48"/>
      <c r="AF163" s="77"/>
      <c r="AG163" s="48"/>
      <c r="AH163" s="77"/>
      <c r="AI163" s="48"/>
      <c r="AJ163" s="77"/>
      <c r="AK163" s="48"/>
    </row>
    <row r="164" ht="18.0" customHeight="1">
      <c r="A164" s="48"/>
      <c r="B164" s="48"/>
      <c r="C164" s="77"/>
      <c r="D164" s="48"/>
      <c r="E164" s="48"/>
      <c r="F164" s="48"/>
      <c r="G164" s="48"/>
      <c r="H164" s="77"/>
      <c r="I164" s="48"/>
      <c r="J164" s="48"/>
      <c r="K164" s="48"/>
      <c r="L164" s="48"/>
      <c r="M164" s="48"/>
      <c r="N164" s="77"/>
      <c r="O164" s="78"/>
      <c r="P164" s="77"/>
      <c r="Q164" s="78"/>
      <c r="R164" s="78"/>
      <c r="S164" s="77"/>
      <c r="T164" s="48"/>
      <c r="U164" s="48"/>
      <c r="V164" s="48"/>
      <c r="W164" s="48"/>
      <c r="X164" s="77"/>
      <c r="Y164" s="48"/>
      <c r="Z164" s="48"/>
      <c r="AA164" s="48"/>
      <c r="AB164" s="77"/>
      <c r="AC164" s="48"/>
      <c r="AD164" s="77"/>
      <c r="AE164" s="48"/>
      <c r="AF164" s="77"/>
      <c r="AG164" s="48"/>
      <c r="AH164" s="77"/>
      <c r="AI164" s="48"/>
      <c r="AJ164" s="77"/>
      <c r="AK164" s="48"/>
    </row>
    <row r="165" ht="18.0" customHeight="1">
      <c r="A165" s="48"/>
      <c r="B165" s="48"/>
      <c r="C165" s="77"/>
      <c r="D165" s="48"/>
      <c r="E165" s="48"/>
      <c r="F165" s="48"/>
      <c r="G165" s="48"/>
      <c r="H165" s="77"/>
      <c r="I165" s="48"/>
      <c r="J165" s="48"/>
      <c r="K165" s="48"/>
      <c r="L165" s="48"/>
      <c r="M165" s="48"/>
      <c r="N165" s="77"/>
      <c r="O165" s="78"/>
      <c r="P165" s="77"/>
      <c r="Q165" s="78"/>
      <c r="R165" s="78"/>
      <c r="S165" s="77"/>
      <c r="T165" s="48"/>
      <c r="U165" s="48"/>
      <c r="V165" s="48"/>
      <c r="W165" s="48"/>
      <c r="X165" s="77"/>
      <c r="Y165" s="48"/>
      <c r="Z165" s="48"/>
      <c r="AA165" s="48"/>
      <c r="AB165" s="77"/>
      <c r="AC165" s="48"/>
      <c r="AD165" s="77"/>
      <c r="AE165" s="48"/>
      <c r="AF165" s="77"/>
      <c r="AG165" s="48"/>
      <c r="AH165" s="77"/>
      <c r="AI165" s="48"/>
      <c r="AJ165" s="77"/>
      <c r="AK165" s="48"/>
    </row>
    <row r="166" ht="18.0" customHeight="1">
      <c r="A166" s="48"/>
      <c r="B166" s="48"/>
      <c r="C166" s="77"/>
      <c r="D166" s="48"/>
      <c r="E166" s="48"/>
      <c r="F166" s="48"/>
      <c r="G166" s="48"/>
      <c r="H166" s="77"/>
      <c r="I166" s="48"/>
      <c r="J166" s="48"/>
      <c r="K166" s="48"/>
      <c r="L166" s="48"/>
      <c r="M166" s="48"/>
      <c r="N166" s="77"/>
      <c r="O166" s="78"/>
      <c r="P166" s="77"/>
      <c r="Q166" s="78"/>
      <c r="R166" s="78"/>
      <c r="S166" s="77"/>
      <c r="T166" s="48"/>
      <c r="U166" s="48"/>
      <c r="V166" s="48"/>
      <c r="W166" s="48"/>
      <c r="X166" s="77"/>
      <c r="Y166" s="48"/>
      <c r="Z166" s="48"/>
      <c r="AA166" s="48"/>
      <c r="AB166" s="77"/>
      <c r="AC166" s="48"/>
      <c r="AD166" s="77"/>
      <c r="AE166" s="48"/>
      <c r="AF166" s="77"/>
      <c r="AG166" s="48"/>
      <c r="AH166" s="77"/>
      <c r="AI166" s="48"/>
      <c r="AJ166" s="77"/>
      <c r="AK166" s="48"/>
    </row>
    <row r="167" ht="18.0" customHeight="1">
      <c r="A167" s="48"/>
      <c r="B167" s="48"/>
      <c r="C167" s="77"/>
      <c r="D167" s="48"/>
      <c r="E167" s="48"/>
      <c r="F167" s="48"/>
      <c r="G167" s="48"/>
      <c r="H167" s="77"/>
      <c r="I167" s="48"/>
      <c r="J167" s="48"/>
      <c r="K167" s="48"/>
      <c r="L167" s="48"/>
      <c r="M167" s="48"/>
      <c r="N167" s="77"/>
      <c r="O167" s="78"/>
      <c r="P167" s="77"/>
      <c r="Q167" s="78"/>
      <c r="R167" s="78"/>
      <c r="S167" s="77"/>
      <c r="T167" s="48"/>
      <c r="U167" s="48"/>
      <c r="V167" s="48"/>
      <c r="W167" s="48"/>
      <c r="X167" s="77"/>
      <c r="Y167" s="48"/>
      <c r="Z167" s="48"/>
      <c r="AA167" s="48"/>
      <c r="AB167" s="77"/>
      <c r="AC167" s="48"/>
      <c r="AD167" s="77"/>
      <c r="AE167" s="48"/>
      <c r="AF167" s="77"/>
      <c r="AG167" s="48"/>
      <c r="AH167" s="77"/>
      <c r="AI167" s="48"/>
      <c r="AJ167" s="77"/>
      <c r="AK167" s="48"/>
    </row>
    <row r="168" ht="18.0" customHeight="1">
      <c r="A168" s="48"/>
      <c r="B168" s="48"/>
      <c r="C168" s="77"/>
      <c r="D168" s="48"/>
      <c r="E168" s="48"/>
      <c r="F168" s="48"/>
      <c r="G168" s="48"/>
      <c r="H168" s="77"/>
      <c r="I168" s="48"/>
      <c r="J168" s="48"/>
      <c r="K168" s="48"/>
      <c r="L168" s="48"/>
      <c r="M168" s="48"/>
      <c r="N168" s="77"/>
      <c r="O168" s="78"/>
      <c r="P168" s="77"/>
      <c r="Q168" s="78"/>
      <c r="R168" s="78"/>
      <c r="S168" s="77"/>
      <c r="T168" s="48"/>
      <c r="U168" s="48"/>
      <c r="V168" s="48"/>
      <c r="W168" s="48"/>
      <c r="X168" s="77"/>
      <c r="Y168" s="48"/>
      <c r="Z168" s="48"/>
      <c r="AA168" s="48"/>
      <c r="AB168" s="77"/>
      <c r="AC168" s="48"/>
      <c r="AD168" s="77"/>
      <c r="AE168" s="48"/>
      <c r="AF168" s="77"/>
      <c r="AG168" s="48"/>
      <c r="AH168" s="77"/>
      <c r="AI168" s="48"/>
      <c r="AJ168" s="77"/>
      <c r="AK168" s="48"/>
    </row>
    <row r="169" ht="18.0" customHeight="1">
      <c r="A169" s="48"/>
      <c r="B169" s="48"/>
      <c r="C169" s="77"/>
      <c r="D169" s="48"/>
      <c r="E169" s="48"/>
      <c r="F169" s="48"/>
      <c r="G169" s="48"/>
      <c r="H169" s="77"/>
      <c r="I169" s="48"/>
      <c r="J169" s="48"/>
      <c r="K169" s="48"/>
      <c r="L169" s="48"/>
      <c r="M169" s="48"/>
      <c r="N169" s="77"/>
      <c r="O169" s="78"/>
      <c r="P169" s="77"/>
      <c r="Q169" s="78"/>
      <c r="R169" s="78"/>
      <c r="S169" s="77"/>
      <c r="T169" s="48"/>
      <c r="U169" s="48"/>
      <c r="V169" s="48"/>
      <c r="W169" s="48"/>
      <c r="X169" s="77"/>
      <c r="Y169" s="48"/>
      <c r="Z169" s="48"/>
      <c r="AA169" s="48"/>
      <c r="AB169" s="77"/>
      <c r="AC169" s="48"/>
      <c r="AD169" s="77"/>
      <c r="AE169" s="48"/>
      <c r="AF169" s="77"/>
      <c r="AG169" s="48"/>
      <c r="AH169" s="77"/>
      <c r="AI169" s="48"/>
      <c r="AJ169" s="77"/>
      <c r="AK169" s="48"/>
    </row>
    <row r="170" ht="18.0" customHeight="1">
      <c r="A170" s="48"/>
      <c r="B170" s="48"/>
      <c r="C170" s="77"/>
      <c r="D170" s="48"/>
      <c r="E170" s="48"/>
      <c r="F170" s="48"/>
      <c r="G170" s="48"/>
      <c r="H170" s="77"/>
      <c r="I170" s="48"/>
      <c r="J170" s="48"/>
      <c r="K170" s="48"/>
      <c r="L170" s="48"/>
      <c r="M170" s="48"/>
      <c r="N170" s="77"/>
      <c r="O170" s="78"/>
      <c r="P170" s="77"/>
      <c r="Q170" s="78"/>
      <c r="R170" s="78"/>
      <c r="S170" s="77"/>
      <c r="T170" s="48"/>
      <c r="U170" s="48"/>
      <c r="V170" s="48"/>
      <c r="W170" s="48"/>
      <c r="X170" s="77"/>
      <c r="Y170" s="48"/>
      <c r="Z170" s="48"/>
      <c r="AA170" s="48"/>
      <c r="AB170" s="77"/>
      <c r="AC170" s="48"/>
      <c r="AD170" s="77"/>
      <c r="AE170" s="48"/>
      <c r="AF170" s="77"/>
      <c r="AG170" s="48"/>
      <c r="AH170" s="77"/>
      <c r="AI170" s="48"/>
      <c r="AJ170" s="77"/>
      <c r="AK170" s="48"/>
    </row>
    <row r="171" ht="18.0" customHeight="1">
      <c r="A171" s="48"/>
      <c r="B171" s="48"/>
      <c r="C171" s="77"/>
      <c r="D171" s="48"/>
      <c r="E171" s="48"/>
      <c r="F171" s="48"/>
      <c r="G171" s="48"/>
      <c r="H171" s="77"/>
      <c r="I171" s="48"/>
      <c r="J171" s="48"/>
      <c r="K171" s="48"/>
      <c r="L171" s="48"/>
      <c r="M171" s="48"/>
      <c r="N171" s="77"/>
      <c r="O171" s="78"/>
      <c r="P171" s="77"/>
      <c r="Q171" s="78"/>
      <c r="R171" s="78"/>
      <c r="S171" s="77"/>
      <c r="T171" s="48"/>
      <c r="U171" s="48"/>
      <c r="V171" s="48"/>
      <c r="W171" s="48"/>
      <c r="X171" s="77"/>
      <c r="Y171" s="48"/>
      <c r="Z171" s="48"/>
      <c r="AA171" s="48"/>
      <c r="AB171" s="77"/>
      <c r="AC171" s="48"/>
      <c r="AD171" s="77"/>
      <c r="AE171" s="48"/>
      <c r="AF171" s="77"/>
      <c r="AG171" s="48"/>
      <c r="AH171" s="77"/>
      <c r="AI171" s="48"/>
      <c r="AJ171" s="77"/>
      <c r="AK171" s="48"/>
    </row>
    <row r="172" ht="18.0" customHeight="1">
      <c r="A172" s="48"/>
      <c r="B172" s="48"/>
      <c r="C172" s="77"/>
      <c r="D172" s="48"/>
      <c r="E172" s="48"/>
      <c r="F172" s="48"/>
      <c r="G172" s="48"/>
      <c r="H172" s="77"/>
      <c r="I172" s="48"/>
      <c r="J172" s="48"/>
      <c r="K172" s="48"/>
      <c r="L172" s="48"/>
      <c r="M172" s="48"/>
      <c r="N172" s="77"/>
      <c r="O172" s="78"/>
      <c r="P172" s="77"/>
      <c r="Q172" s="78"/>
      <c r="R172" s="78"/>
      <c r="S172" s="77"/>
      <c r="T172" s="48"/>
      <c r="U172" s="48"/>
      <c r="V172" s="48"/>
      <c r="W172" s="48"/>
      <c r="X172" s="77"/>
      <c r="Y172" s="48"/>
      <c r="Z172" s="48"/>
      <c r="AA172" s="48"/>
      <c r="AB172" s="77"/>
      <c r="AC172" s="48"/>
      <c r="AD172" s="77"/>
      <c r="AE172" s="48"/>
      <c r="AF172" s="77"/>
      <c r="AG172" s="48"/>
      <c r="AH172" s="77"/>
      <c r="AI172" s="48"/>
      <c r="AJ172" s="77"/>
      <c r="AK172" s="48"/>
    </row>
    <row r="173" ht="18.0" customHeight="1">
      <c r="A173" s="48"/>
      <c r="B173" s="48"/>
      <c r="C173" s="77"/>
      <c r="D173" s="48"/>
      <c r="E173" s="48"/>
      <c r="F173" s="48"/>
      <c r="G173" s="48"/>
      <c r="H173" s="77"/>
      <c r="I173" s="48"/>
      <c r="J173" s="48"/>
      <c r="K173" s="48"/>
      <c r="L173" s="48"/>
      <c r="M173" s="48"/>
      <c r="N173" s="77"/>
      <c r="O173" s="78"/>
      <c r="P173" s="77"/>
      <c r="Q173" s="78"/>
      <c r="R173" s="78"/>
      <c r="S173" s="77"/>
      <c r="T173" s="48"/>
      <c r="U173" s="48"/>
      <c r="V173" s="48"/>
      <c r="W173" s="48"/>
      <c r="X173" s="77"/>
      <c r="Y173" s="48"/>
      <c r="Z173" s="48"/>
      <c r="AA173" s="48"/>
      <c r="AB173" s="77"/>
      <c r="AC173" s="48"/>
      <c r="AD173" s="77"/>
      <c r="AE173" s="48"/>
      <c r="AF173" s="77"/>
      <c r="AG173" s="48"/>
      <c r="AH173" s="77"/>
      <c r="AI173" s="48"/>
      <c r="AJ173" s="77"/>
      <c r="AK173" s="48"/>
    </row>
    <row r="174" ht="18.0" customHeight="1">
      <c r="A174" s="48"/>
      <c r="B174" s="48"/>
      <c r="C174" s="77"/>
      <c r="D174" s="48"/>
      <c r="E174" s="48"/>
      <c r="F174" s="48"/>
      <c r="G174" s="48"/>
      <c r="H174" s="77"/>
      <c r="I174" s="48"/>
      <c r="J174" s="48"/>
      <c r="K174" s="48"/>
      <c r="L174" s="48"/>
      <c r="M174" s="48"/>
      <c r="N174" s="77"/>
      <c r="O174" s="78"/>
      <c r="P174" s="77"/>
      <c r="Q174" s="78"/>
      <c r="R174" s="78"/>
      <c r="S174" s="77"/>
      <c r="T174" s="48"/>
      <c r="U174" s="48"/>
      <c r="V174" s="48"/>
      <c r="W174" s="48"/>
      <c r="X174" s="77"/>
      <c r="Y174" s="48"/>
      <c r="Z174" s="48"/>
      <c r="AA174" s="48"/>
      <c r="AB174" s="77"/>
      <c r="AC174" s="48"/>
      <c r="AD174" s="77"/>
      <c r="AE174" s="48"/>
      <c r="AF174" s="77"/>
      <c r="AG174" s="48"/>
      <c r="AH174" s="77"/>
      <c r="AI174" s="48"/>
      <c r="AJ174" s="77"/>
      <c r="AK174" s="48"/>
    </row>
    <row r="175" ht="18.0" customHeight="1">
      <c r="A175" s="48"/>
      <c r="B175" s="48"/>
      <c r="C175" s="77"/>
      <c r="D175" s="48"/>
      <c r="E175" s="48"/>
      <c r="F175" s="48"/>
      <c r="G175" s="48"/>
      <c r="H175" s="77"/>
      <c r="I175" s="48"/>
      <c r="J175" s="48"/>
      <c r="K175" s="48"/>
      <c r="L175" s="48"/>
      <c r="M175" s="48"/>
      <c r="N175" s="77"/>
      <c r="O175" s="78"/>
      <c r="P175" s="77"/>
      <c r="Q175" s="78"/>
      <c r="R175" s="78"/>
      <c r="S175" s="77"/>
      <c r="T175" s="48"/>
      <c r="U175" s="48"/>
      <c r="V175" s="48"/>
      <c r="W175" s="48"/>
      <c r="X175" s="77"/>
      <c r="Y175" s="48"/>
      <c r="Z175" s="48"/>
      <c r="AA175" s="48"/>
      <c r="AB175" s="77"/>
      <c r="AC175" s="48"/>
      <c r="AD175" s="77"/>
      <c r="AE175" s="48"/>
      <c r="AF175" s="77"/>
      <c r="AG175" s="48"/>
      <c r="AH175" s="77"/>
      <c r="AI175" s="48"/>
      <c r="AJ175" s="77"/>
      <c r="AK175" s="48"/>
    </row>
    <row r="176" ht="18.0" customHeight="1">
      <c r="A176" s="48"/>
      <c r="B176" s="48"/>
      <c r="C176" s="77"/>
      <c r="D176" s="48"/>
      <c r="E176" s="48"/>
      <c r="F176" s="48"/>
      <c r="G176" s="48"/>
      <c r="H176" s="77"/>
      <c r="I176" s="48"/>
      <c r="J176" s="48"/>
      <c r="K176" s="48"/>
      <c r="L176" s="48"/>
      <c r="M176" s="48"/>
      <c r="N176" s="77"/>
      <c r="O176" s="78"/>
      <c r="P176" s="77"/>
      <c r="Q176" s="78"/>
      <c r="R176" s="78"/>
      <c r="S176" s="77"/>
      <c r="T176" s="48"/>
      <c r="U176" s="48"/>
      <c r="V176" s="48"/>
      <c r="W176" s="48"/>
      <c r="X176" s="77"/>
      <c r="Y176" s="48"/>
      <c r="Z176" s="48"/>
      <c r="AA176" s="48"/>
      <c r="AB176" s="77"/>
      <c r="AC176" s="48"/>
      <c r="AD176" s="77"/>
      <c r="AE176" s="48"/>
      <c r="AF176" s="77"/>
      <c r="AG176" s="48"/>
      <c r="AH176" s="77"/>
      <c r="AI176" s="48"/>
      <c r="AJ176" s="77"/>
      <c r="AK176" s="48"/>
    </row>
    <row r="177" ht="18.0" customHeight="1">
      <c r="A177" s="48"/>
      <c r="B177" s="48"/>
      <c r="C177" s="77"/>
      <c r="D177" s="48"/>
      <c r="E177" s="48"/>
      <c r="F177" s="48"/>
      <c r="G177" s="48"/>
      <c r="H177" s="77"/>
      <c r="I177" s="48"/>
      <c r="J177" s="48"/>
      <c r="K177" s="48"/>
      <c r="L177" s="48"/>
      <c r="M177" s="48"/>
      <c r="N177" s="77"/>
      <c r="O177" s="78"/>
      <c r="P177" s="77"/>
      <c r="Q177" s="78"/>
      <c r="R177" s="78"/>
      <c r="S177" s="77"/>
      <c r="T177" s="48"/>
      <c r="U177" s="48"/>
      <c r="V177" s="48"/>
      <c r="W177" s="48"/>
      <c r="X177" s="77"/>
      <c r="Y177" s="48"/>
      <c r="Z177" s="48"/>
      <c r="AA177" s="48"/>
      <c r="AB177" s="77"/>
      <c r="AC177" s="48"/>
      <c r="AD177" s="77"/>
      <c r="AE177" s="48"/>
      <c r="AF177" s="77"/>
      <c r="AG177" s="48"/>
      <c r="AH177" s="77"/>
      <c r="AI177" s="48"/>
      <c r="AJ177" s="77"/>
      <c r="AK177" s="48"/>
    </row>
    <row r="178" ht="18.0" customHeight="1">
      <c r="A178" s="48"/>
      <c r="B178" s="48"/>
      <c r="C178" s="77"/>
      <c r="D178" s="48"/>
      <c r="E178" s="48"/>
      <c r="F178" s="48"/>
      <c r="G178" s="48"/>
      <c r="H178" s="77"/>
      <c r="I178" s="48"/>
      <c r="J178" s="48"/>
      <c r="K178" s="48"/>
      <c r="L178" s="48"/>
      <c r="M178" s="48"/>
      <c r="N178" s="77"/>
      <c r="O178" s="78"/>
      <c r="P178" s="77"/>
      <c r="Q178" s="78"/>
      <c r="R178" s="78"/>
      <c r="S178" s="77"/>
      <c r="T178" s="48"/>
      <c r="U178" s="48"/>
      <c r="V178" s="48"/>
      <c r="W178" s="48"/>
      <c r="X178" s="77"/>
      <c r="Y178" s="48"/>
      <c r="Z178" s="48"/>
      <c r="AA178" s="48"/>
      <c r="AB178" s="77"/>
      <c r="AC178" s="48"/>
      <c r="AD178" s="77"/>
      <c r="AE178" s="48"/>
      <c r="AF178" s="77"/>
      <c r="AG178" s="48"/>
      <c r="AH178" s="77"/>
      <c r="AI178" s="48"/>
      <c r="AJ178" s="77"/>
      <c r="AK178" s="48"/>
    </row>
    <row r="179" ht="18.0" customHeight="1">
      <c r="A179" s="48"/>
      <c r="B179" s="48"/>
      <c r="C179" s="77"/>
      <c r="D179" s="48"/>
      <c r="E179" s="48"/>
      <c r="F179" s="48"/>
      <c r="G179" s="48"/>
      <c r="H179" s="77"/>
      <c r="I179" s="48"/>
      <c r="J179" s="48"/>
      <c r="K179" s="48"/>
      <c r="L179" s="48"/>
      <c r="M179" s="48"/>
      <c r="N179" s="77"/>
      <c r="O179" s="78"/>
      <c r="P179" s="77"/>
      <c r="Q179" s="78"/>
      <c r="R179" s="78"/>
      <c r="S179" s="77"/>
      <c r="T179" s="48"/>
      <c r="U179" s="48"/>
      <c r="V179" s="48"/>
      <c r="W179" s="48"/>
      <c r="X179" s="77"/>
      <c r="Y179" s="48"/>
      <c r="Z179" s="48"/>
      <c r="AA179" s="48"/>
      <c r="AB179" s="77"/>
      <c r="AC179" s="48"/>
      <c r="AD179" s="77"/>
      <c r="AE179" s="48"/>
      <c r="AF179" s="77"/>
      <c r="AG179" s="48"/>
      <c r="AH179" s="77"/>
      <c r="AI179" s="48"/>
      <c r="AJ179" s="77"/>
      <c r="AK179" s="48"/>
    </row>
    <row r="180" ht="18.0" customHeight="1">
      <c r="A180" s="48"/>
      <c r="B180" s="48"/>
      <c r="C180" s="77"/>
      <c r="D180" s="48"/>
      <c r="E180" s="48"/>
      <c r="F180" s="48"/>
      <c r="G180" s="48"/>
      <c r="H180" s="77"/>
      <c r="I180" s="48"/>
      <c r="J180" s="48"/>
      <c r="K180" s="48"/>
      <c r="L180" s="48"/>
      <c r="M180" s="48"/>
      <c r="N180" s="77"/>
      <c r="O180" s="78"/>
      <c r="P180" s="77"/>
      <c r="Q180" s="78"/>
      <c r="R180" s="78"/>
      <c r="S180" s="77"/>
      <c r="T180" s="48"/>
      <c r="U180" s="48"/>
      <c r="V180" s="48"/>
      <c r="W180" s="48"/>
      <c r="X180" s="77"/>
      <c r="Y180" s="48"/>
      <c r="Z180" s="48"/>
      <c r="AA180" s="48"/>
      <c r="AB180" s="77"/>
      <c r="AC180" s="48"/>
      <c r="AD180" s="77"/>
      <c r="AE180" s="48"/>
      <c r="AF180" s="77"/>
      <c r="AG180" s="48"/>
      <c r="AH180" s="77"/>
      <c r="AI180" s="48"/>
      <c r="AJ180" s="77"/>
      <c r="AK180" s="48"/>
    </row>
    <row r="181" ht="18.0" customHeight="1">
      <c r="A181" s="48"/>
      <c r="B181" s="48"/>
      <c r="C181" s="77"/>
      <c r="D181" s="48"/>
      <c r="E181" s="48"/>
      <c r="F181" s="48"/>
      <c r="G181" s="48"/>
      <c r="H181" s="77"/>
      <c r="I181" s="48"/>
      <c r="J181" s="48"/>
      <c r="K181" s="48"/>
      <c r="L181" s="48"/>
      <c r="M181" s="48"/>
      <c r="N181" s="77"/>
      <c r="O181" s="78"/>
      <c r="P181" s="77"/>
      <c r="Q181" s="78"/>
      <c r="R181" s="78"/>
      <c r="S181" s="77"/>
      <c r="T181" s="48"/>
      <c r="U181" s="48"/>
      <c r="V181" s="48"/>
      <c r="W181" s="48"/>
      <c r="X181" s="77"/>
      <c r="Y181" s="48"/>
      <c r="Z181" s="48"/>
      <c r="AA181" s="48"/>
      <c r="AB181" s="77"/>
      <c r="AC181" s="48"/>
      <c r="AD181" s="77"/>
      <c r="AE181" s="48"/>
      <c r="AF181" s="77"/>
      <c r="AG181" s="48"/>
      <c r="AH181" s="77"/>
      <c r="AI181" s="48"/>
      <c r="AJ181" s="77"/>
      <c r="AK181" s="48"/>
    </row>
    <row r="182" ht="18.0" customHeight="1">
      <c r="A182" s="48"/>
      <c r="B182" s="48"/>
      <c r="C182" s="77"/>
      <c r="D182" s="48"/>
      <c r="E182" s="48"/>
      <c r="F182" s="48"/>
      <c r="G182" s="48"/>
      <c r="H182" s="77"/>
      <c r="I182" s="48"/>
      <c r="J182" s="48"/>
      <c r="K182" s="48"/>
      <c r="L182" s="48"/>
      <c r="M182" s="48"/>
      <c r="N182" s="77"/>
      <c r="O182" s="78"/>
      <c r="P182" s="77"/>
      <c r="Q182" s="78"/>
      <c r="R182" s="78"/>
      <c r="S182" s="77"/>
      <c r="T182" s="48"/>
      <c r="U182" s="48"/>
      <c r="V182" s="48"/>
      <c r="W182" s="48"/>
      <c r="X182" s="77"/>
      <c r="Y182" s="48"/>
      <c r="Z182" s="48"/>
      <c r="AA182" s="48"/>
      <c r="AB182" s="77"/>
      <c r="AC182" s="48"/>
      <c r="AD182" s="77"/>
      <c r="AE182" s="48"/>
      <c r="AF182" s="77"/>
      <c r="AG182" s="48"/>
      <c r="AH182" s="77"/>
      <c r="AI182" s="48"/>
      <c r="AJ182" s="77"/>
      <c r="AK182" s="48"/>
    </row>
    <row r="183" ht="18.0" customHeight="1">
      <c r="A183" s="48"/>
      <c r="B183" s="48"/>
      <c r="C183" s="77"/>
      <c r="D183" s="48"/>
      <c r="E183" s="48"/>
      <c r="F183" s="48"/>
      <c r="G183" s="48"/>
      <c r="H183" s="77"/>
      <c r="I183" s="48"/>
      <c r="J183" s="48"/>
      <c r="K183" s="48"/>
      <c r="L183" s="48"/>
      <c r="M183" s="48"/>
      <c r="N183" s="77"/>
      <c r="O183" s="78"/>
      <c r="P183" s="77"/>
      <c r="Q183" s="78"/>
      <c r="R183" s="78"/>
      <c r="S183" s="77"/>
      <c r="T183" s="48"/>
      <c r="U183" s="48"/>
      <c r="V183" s="48"/>
      <c r="W183" s="48"/>
      <c r="X183" s="77"/>
      <c r="Y183" s="48"/>
      <c r="Z183" s="48"/>
      <c r="AA183" s="48"/>
      <c r="AB183" s="77"/>
      <c r="AC183" s="48"/>
      <c r="AD183" s="77"/>
      <c r="AE183" s="48"/>
      <c r="AF183" s="77"/>
      <c r="AG183" s="48"/>
      <c r="AH183" s="77"/>
      <c r="AI183" s="48"/>
      <c r="AJ183" s="77"/>
      <c r="AK183" s="48"/>
    </row>
    <row r="184" ht="18.0" customHeight="1">
      <c r="A184" s="48"/>
      <c r="B184" s="48"/>
      <c r="C184" s="77"/>
      <c r="D184" s="48"/>
      <c r="E184" s="48"/>
      <c r="F184" s="48"/>
      <c r="G184" s="48"/>
      <c r="H184" s="77"/>
      <c r="I184" s="48"/>
      <c r="J184" s="48"/>
      <c r="K184" s="48"/>
      <c r="L184" s="48"/>
      <c r="M184" s="48"/>
      <c r="N184" s="77"/>
      <c r="O184" s="78"/>
      <c r="P184" s="77"/>
      <c r="Q184" s="78"/>
      <c r="R184" s="78"/>
      <c r="S184" s="77"/>
      <c r="T184" s="48"/>
      <c r="U184" s="48"/>
      <c r="V184" s="48"/>
      <c r="W184" s="48"/>
      <c r="X184" s="77"/>
      <c r="Y184" s="48"/>
      <c r="Z184" s="48"/>
      <c r="AA184" s="48"/>
      <c r="AB184" s="77"/>
      <c r="AC184" s="48"/>
      <c r="AD184" s="77"/>
      <c r="AE184" s="48"/>
      <c r="AF184" s="77"/>
      <c r="AG184" s="48"/>
      <c r="AH184" s="77"/>
      <c r="AI184" s="48"/>
      <c r="AJ184" s="77"/>
      <c r="AK184" s="48"/>
    </row>
    <row r="185" ht="18.0" customHeight="1">
      <c r="A185" s="48"/>
      <c r="B185" s="48"/>
      <c r="C185" s="77"/>
      <c r="D185" s="48"/>
      <c r="E185" s="48"/>
      <c r="F185" s="48"/>
      <c r="G185" s="48"/>
      <c r="H185" s="77"/>
      <c r="I185" s="48"/>
      <c r="J185" s="48"/>
      <c r="K185" s="48"/>
      <c r="L185" s="48"/>
      <c r="M185" s="48"/>
      <c r="N185" s="77"/>
      <c r="O185" s="78"/>
      <c r="P185" s="77"/>
      <c r="Q185" s="78"/>
      <c r="R185" s="78"/>
      <c r="S185" s="77"/>
      <c r="T185" s="48"/>
      <c r="U185" s="48"/>
      <c r="V185" s="48"/>
      <c r="W185" s="48"/>
      <c r="X185" s="77"/>
      <c r="Y185" s="48"/>
      <c r="Z185" s="48"/>
      <c r="AA185" s="48"/>
      <c r="AB185" s="77"/>
      <c r="AC185" s="48"/>
      <c r="AD185" s="77"/>
      <c r="AE185" s="48"/>
      <c r="AF185" s="77"/>
      <c r="AG185" s="48"/>
      <c r="AH185" s="77"/>
      <c r="AI185" s="48"/>
      <c r="AJ185" s="77"/>
      <c r="AK185" s="48"/>
    </row>
    <row r="186" ht="18.0" customHeight="1">
      <c r="A186" s="48"/>
      <c r="B186" s="48"/>
      <c r="C186" s="77"/>
      <c r="D186" s="48"/>
      <c r="E186" s="48"/>
      <c r="F186" s="48"/>
      <c r="G186" s="48"/>
      <c r="H186" s="77"/>
      <c r="I186" s="48"/>
      <c r="J186" s="48"/>
      <c r="K186" s="48"/>
      <c r="L186" s="48"/>
      <c r="M186" s="48"/>
      <c r="N186" s="77"/>
      <c r="O186" s="78"/>
      <c r="P186" s="77"/>
      <c r="Q186" s="78"/>
      <c r="R186" s="78"/>
      <c r="S186" s="77"/>
      <c r="T186" s="48"/>
      <c r="U186" s="48"/>
      <c r="V186" s="48"/>
      <c r="W186" s="48"/>
      <c r="X186" s="77"/>
      <c r="Y186" s="48"/>
      <c r="Z186" s="48"/>
      <c r="AA186" s="48"/>
      <c r="AB186" s="77"/>
      <c r="AC186" s="48"/>
      <c r="AD186" s="77"/>
      <c r="AE186" s="48"/>
      <c r="AF186" s="77"/>
      <c r="AG186" s="48"/>
      <c r="AH186" s="77"/>
      <c r="AI186" s="48"/>
      <c r="AJ186" s="77"/>
      <c r="AK186" s="48"/>
    </row>
    <row r="187" ht="18.0" customHeight="1">
      <c r="A187" s="48"/>
      <c r="B187" s="48"/>
      <c r="C187" s="77"/>
      <c r="D187" s="48"/>
      <c r="E187" s="48"/>
      <c r="F187" s="48"/>
      <c r="G187" s="48"/>
      <c r="H187" s="77"/>
      <c r="I187" s="48"/>
      <c r="J187" s="48"/>
      <c r="K187" s="48"/>
      <c r="L187" s="48"/>
      <c r="M187" s="48"/>
      <c r="N187" s="77"/>
      <c r="O187" s="78"/>
      <c r="P187" s="77"/>
      <c r="Q187" s="78"/>
      <c r="R187" s="78"/>
      <c r="S187" s="77"/>
      <c r="T187" s="48"/>
      <c r="U187" s="48"/>
      <c r="V187" s="48"/>
      <c r="W187" s="48"/>
      <c r="X187" s="77"/>
      <c r="Y187" s="48"/>
      <c r="Z187" s="48"/>
      <c r="AA187" s="48"/>
      <c r="AB187" s="77"/>
      <c r="AC187" s="48"/>
      <c r="AD187" s="77"/>
      <c r="AE187" s="48"/>
      <c r="AF187" s="77"/>
      <c r="AG187" s="48"/>
      <c r="AH187" s="77"/>
      <c r="AI187" s="48"/>
      <c r="AJ187" s="77"/>
      <c r="AK187" s="48"/>
    </row>
    <row r="188" ht="18.0" customHeight="1">
      <c r="A188" s="48"/>
      <c r="B188" s="48"/>
      <c r="C188" s="77"/>
      <c r="D188" s="48"/>
      <c r="E188" s="48"/>
      <c r="F188" s="48"/>
      <c r="G188" s="48"/>
      <c r="H188" s="77"/>
      <c r="I188" s="48"/>
      <c r="J188" s="48"/>
      <c r="K188" s="48"/>
      <c r="L188" s="48"/>
      <c r="M188" s="48"/>
      <c r="N188" s="77"/>
      <c r="O188" s="78"/>
      <c r="P188" s="77"/>
      <c r="Q188" s="78"/>
      <c r="R188" s="78"/>
      <c r="S188" s="77"/>
      <c r="T188" s="48"/>
      <c r="U188" s="48"/>
      <c r="V188" s="48"/>
      <c r="W188" s="48"/>
      <c r="X188" s="77"/>
      <c r="Y188" s="48"/>
      <c r="Z188" s="48"/>
      <c r="AA188" s="48"/>
      <c r="AB188" s="77"/>
      <c r="AC188" s="48"/>
      <c r="AD188" s="77"/>
      <c r="AE188" s="48"/>
      <c r="AF188" s="77"/>
      <c r="AG188" s="48"/>
      <c r="AH188" s="77"/>
      <c r="AI188" s="48"/>
      <c r="AJ188" s="77"/>
      <c r="AK188" s="48"/>
    </row>
    <row r="189" ht="18.0" customHeight="1">
      <c r="A189" s="48"/>
      <c r="B189" s="48"/>
      <c r="C189" s="77"/>
      <c r="D189" s="48"/>
      <c r="E189" s="48"/>
      <c r="F189" s="48"/>
      <c r="G189" s="48"/>
      <c r="H189" s="77"/>
      <c r="I189" s="48"/>
      <c r="J189" s="48"/>
      <c r="K189" s="48"/>
      <c r="L189" s="48"/>
      <c r="M189" s="48"/>
      <c r="N189" s="77"/>
      <c r="O189" s="78"/>
      <c r="P189" s="77"/>
      <c r="Q189" s="78"/>
      <c r="R189" s="78"/>
      <c r="S189" s="77"/>
      <c r="T189" s="48"/>
      <c r="U189" s="48"/>
      <c r="V189" s="48"/>
      <c r="W189" s="48"/>
      <c r="X189" s="77"/>
      <c r="Y189" s="48"/>
      <c r="Z189" s="48"/>
      <c r="AA189" s="48"/>
      <c r="AB189" s="77"/>
      <c r="AC189" s="48"/>
      <c r="AD189" s="77"/>
      <c r="AE189" s="48"/>
      <c r="AF189" s="77"/>
      <c r="AG189" s="48"/>
      <c r="AH189" s="77"/>
      <c r="AI189" s="48"/>
      <c r="AJ189" s="77"/>
      <c r="AK189" s="48"/>
    </row>
    <row r="190" ht="18.0" customHeight="1">
      <c r="A190" s="48"/>
      <c r="B190" s="48"/>
      <c r="C190" s="77"/>
      <c r="D190" s="48"/>
      <c r="E190" s="48"/>
      <c r="F190" s="48"/>
      <c r="G190" s="48"/>
      <c r="H190" s="77"/>
      <c r="I190" s="48"/>
      <c r="J190" s="48"/>
      <c r="K190" s="48"/>
      <c r="L190" s="48"/>
      <c r="M190" s="48"/>
      <c r="N190" s="77"/>
      <c r="O190" s="78"/>
      <c r="P190" s="77"/>
      <c r="Q190" s="78"/>
      <c r="R190" s="78"/>
      <c r="S190" s="77"/>
      <c r="T190" s="48"/>
      <c r="U190" s="48"/>
      <c r="V190" s="48"/>
      <c r="W190" s="48"/>
      <c r="X190" s="77"/>
      <c r="Y190" s="48"/>
      <c r="Z190" s="48"/>
      <c r="AA190" s="48"/>
      <c r="AB190" s="77"/>
      <c r="AC190" s="48"/>
      <c r="AD190" s="77"/>
      <c r="AE190" s="48"/>
      <c r="AF190" s="77"/>
      <c r="AG190" s="48"/>
      <c r="AH190" s="77"/>
      <c r="AI190" s="48"/>
      <c r="AJ190" s="77"/>
      <c r="AK190" s="48"/>
    </row>
    <row r="191" ht="18.0" customHeight="1">
      <c r="A191" s="48"/>
      <c r="B191" s="48"/>
      <c r="C191" s="77"/>
      <c r="D191" s="48"/>
      <c r="E191" s="48"/>
      <c r="F191" s="48"/>
      <c r="G191" s="48"/>
      <c r="H191" s="77"/>
      <c r="I191" s="48"/>
      <c r="J191" s="48"/>
      <c r="K191" s="48"/>
      <c r="L191" s="48"/>
      <c r="M191" s="48"/>
      <c r="N191" s="77"/>
      <c r="O191" s="78"/>
      <c r="P191" s="77"/>
      <c r="Q191" s="78"/>
      <c r="R191" s="78"/>
      <c r="S191" s="77"/>
      <c r="T191" s="48"/>
      <c r="U191" s="48"/>
      <c r="V191" s="48"/>
      <c r="W191" s="48"/>
      <c r="X191" s="77"/>
      <c r="Y191" s="48"/>
      <c r="Z191" s="48"/>
      <c r="AA191" s="48"/>
      <c r="AB191" s="77"/>
      <c r="AC191" s="48"/>
      <c r="AD191" s="77"/>
      <c r="AE191" s="48"/>
      <c r="AF191" s="77"/>
      <c r="AG191" s="48"/>
      <c r="AH191" s="77"/>
      <c r="AI191" s="48"/>
      <c r="AJ191" s="77"/>
      <c r="AK191" s="48"/>
    </row>
    <row r="192" ht="18.0" customHeight="1">
      <c r="A192" s="48"/>
      <c r="B192" s="48"/>
      <c r="C192" s="77"/>
      <c r="D192" s="48"/>
      <c r="E192" s="48"/>
      <c r="F192" s="48"/>
      <c r="G192" s="48"/>
      <c r="H192" s="77"/>
      <c r="I192" s="48"/>
      <c r="J192" s="48"/>
      <c r="K192" s="48"/>
      <c r="L192" s="48"/>
      <c r="M192" s="48"/>
      <c r="N192" s="77"/>
      <c r="O192" s="78"/>
      <c r="P192" s="77"/>
      <c r="Q192" s="78"/>
      <c r="R192" s="78"/>
      <c r="S192" s="77"/>
      <c r="T192" s="48"/>
      <c r="U192" s="48"/>
      <c r="V192" s="48"/>
      <c r="W192" s="48"/>
      <c r="X192" s="77"/>
      <c r="Y192" s="48"/>
      <c r="Z192" s="48"/>
      <c r="AA192" s="48"/>
      <c r="AB192" s="77"/>
      <c r="AC192" s="48"/>
      <c r="AD192" s="77"/>
      <c r="AE192" s="48"/>
      <c r="AF192" s="77"/>
      <c r="AG192" s="48"/>
      <c r="AH192" s="77"/>
      <c r="AI192" s="48"/>
      <c r="AJ192" s="77"/>
      <c r="AK192" s="48"/>
    </row>
    <row r="193" ht="18.0" customHeight="1">
      <c r="A193" s="48"/>
      <c r="B193" s="48"/>
      <c r="C193" s="77"/>
      <c r="D193" s="48"/>
      <c r="E193" s="48"/>
      <c r="F193" s="48"/>
      <c r="G193" s="48"/>
      <c r="H193" s="77"/>
      <c r="I193" s="48"/>
      <c r="J193" s="48"/>
      <c r="K193" s="48"/>
      <c r="L193" s="48"/>
      <c r="M193" s="48"/>
      <c r="N193" s="77"/>
      <c r="O193" s="78"/>
      <c r="P193" s="77"/>
      <c r="Q193" s="78"/>
      <c r="R193" s="78"/>
      <c r="S193" s="77"/>
      <c r="T193" s="48"/>
      <c r="U193" s="48"/>
      <c r="V193" s="48"/>
      <c r="W193" s="48"/>
      <c r="X193" s="77"/>
      <c r="Y193" s="48"/>
      <c r="Z193" s="48"/>
      <c r="AA193" s="48"/>
      <c r="AB193" s="77"/>
      <c r="AC193" s="48"/>
      <c r="AD193" s="77"/>
      <c r="AE193" s="48"/>
      <c r="AF193" s="77"/>
      <c r="AG193" s="48"/>
      <c r="AH193" s="77"/>
      <c r="AI193" s="48"/>
      <c r="AJ193" s="77"/>
      <c r="AK193" s="48"/>
    </row>
    <row r="194" ht="18.0" customHeight="1">
      <c r="A194" s="48"/>
      <c r="B194" s="48"/>
      <c r="C194" s="77"/>
      <c r="D194" s="48"/>
      <c r="E194" s="48"/>
      <c r="F194" s="48"/>
      <c r="G194" s="48"/>
      <c r="H194" s="77"/>
      <c r="I194" s="48"/>
      <c r="J194" s="48"/>
      <c r="K194" s="48"/>
      <c r="L194" s="48"/>
      <c r="M194" s="48"/>
      <c r="N194" s="77"/>
      <c r="O194" s="78"/>
      <c r="P194" s="77"/>
      <c r="Q194" s="78"/>
      <c r="R194" s="78"/>
      <c r="S194" s="77"/>
      <c r="T194" s="48"/>
      <c r="U194" s="48"/>
      <c r="V194" s="48"/>
      <c r="W194" s="48"/>
      <c r="X194" s="77"/>
      <c r="Y194" s="48"/>
      <c r="Z194" s="48"/>
      <c r="AA194" s="48"/>
      <c r="AB194" s="77"/>
      <c r="AC194" s="48"/>
      <c r="AD194" s="77"/>
      <c r="AE194" s="48"/>
      <c r="AF194" s="77"/>
      <c r="AG194" s="48"/>
      <c r="AH194" s="77"/>
      <c r="AI194" s="48"/>
      <c r="AJ194" s="77"/>
      <c r="AK194" s="48"/>
    </row>
    <row r="195" ht="18.0" customHeight="1">
      <c r="A195" s="48"/>
      <c r="B195" s="48"/>
      <c r="C195" s="77"/>
      <c r="D195" s="48"/>
      <c r="E195" s="48"/>
      <c r="F195" s="48"/>
      <c r="G195" s="48"/>
      <c r="H195" s="77"/>
      <c r="I195" s="48"/>
      <c r="J195" s="48"/>
      <c r="K195" s="48"/>
      <c r="L195" s="48"/>
      <c r="M195" s="48"/>
      <c r="N195" s="77"/>
      <c r="O195" s="78"/>
      <c r="P195" s="77"/>
      <c r="Q195" s="78"/>
      <c r="R195" s="78"/>
      <c r="S195" s="77"/>
      <c r="T195" s="48"/>
      <c r="U195" s="48"/>
      <c r="V195" s="48"/>
      <c r="W195" s="48"/>
      <c r="X195" s="77"/>
      <c r="Y195" s="48"/>
      <c r="Z195" s="48"/>
      <c r="AA195" s="48"/>
      <c r="AB195" s="77"/>
      <c r="AC195" s="48"/>
      <c r="AD195" s="77"/>
      <c r="AE195" s="48"/>
      <c r="AF195" s="77"/>
      <c r="AG195" s="48"/>
      <c r="AH195" s="77"/>
      <c r="AI195" s="48"/>
      <c r="AJ195" s="77"/>
      <c r="AK195" s="48"/>
    </row>
    <row r="196" ht="18.0" customHeight="1">
      <c r="A196" s="48"/>
      <c r="B196" s="48"/>
      <c r="C196" s="77"/>
      <c r="D196" s="48"/>
      <c r="E196" s="48"/>
      <c r="F196" s="48"/>
      <c r="G196" s="48"/>
      <c r="H196" s="77"/>
      <c r="I196" s="48"/>
      <c r="J196" s="48"/>
      <c r="K196" s="48"/>
      <c r="L196" s="48"/>
      <c r="M196" s="48"/>
      <c r="N196" s="77"/>
      <c r="O196" s="78"/>
      <c r="P196" s="77"/>
      <c r="Q196" s="78"/>
      <c r="R196" s="78"/>
      <c r="S196" s="77"/>
      <c r="T196" s="48"/>
      <c r="U196" s="48"/>
      <c r="V196" s="48"/>
      <c r="W196" s="48"/>
      <c r="X196" s="77"/>
      <c r="Y196" s="48"/>
      <c r="Z196" s="48"/>
      <c r="AA196" s="48"/>
      <c r="AB196" s="77"/>
      <c r="AC196" s="48"/>
      <c r="AD196" s="77"/>
      <c r="AE196" s="48"/>
      <c r="AF196" s="77"/>
      <c r="AG196" s="48"/>
      <c r="AH196" s="77"/>
      <c r="AI196" s="48"/>
      <c r="AJ196" s="77"/>
      <c r="AK196" s="48"/>
    </row>
    <row r="197" ht="18.0" customHeight="1">
      <c r="A197" s="48"/>
      <c r="B197" s="48"/>
      <c r="C197" s="77"/>
      <c r="D197" s="48"/>
      <c r="E197" s="48"/>
      <c r="F197" s="48"/>
      <c r="G197" s="48"/>
      <c r="H197" s="77"/>
      <c r="I197" s="48"/>
      <c r="J197" s="48"/>
      <c r="K197" s="48"/>
      <c r="L197" s="48"/>
      <c r="M197" s="48"/>
      <c r="N197" s="77"/>
      <c r="O197" s="78"/>
      <c r="P197" s="77"/>
      <c r="Q197" s="78"/>
      <c r="R197" s="78"/>
      <c r="S197" s="77"/>
      <c r="T197" s="48"/>
      <c r="U197" s="48"/>
      <c r="V197" s="48"/>
      <c r="W197" s="48"/>
      <c r="X197" s="77"/>
      <c r="Y197" s="48"/>
      <c r="Z197" s="48"/>
      <c r="AA197" s="48"/>
      <c r="AB197" s="77"/>
      <c r="AC197" s="48"/>
      <c r="AD197" s="77"/>
      <c r="AE197" s="48"/>
      <c r="AF197" s="77"/>
      <c r="AG197" s="48"/>
      <c r="AH197" s="77"/>
      <c r="AI197" s="48"/>
      <c r="AJ197" s="77"/>
      <c r="AK197" s="48"/>
    </row>
    <row r="198" ht="18.0" customHeight="1">
      <c r="A198" s="48"/>
      <c r="B198" s="48"/>
      <c r="C198" s="77"/>
      <c r="D198" s="48"/>
      <c r="E198" s="48"/>
      <c r="F198" s="48"/>
      <c r="G198" s="48"/>
      <c r="H198" s="77"/>
      <c r="I198" s="48"/>
      <c r="J198" s="48"/>
      <c r="K198" s="48"/>
      <c r="L198" s="48"/>
      <c r="M198" s="48"/>
      <c r="N198" s="77"/>
      <c r="O198" s="78"/>
      <c r="P198" s="77"/>
      <c r="Q198" s="78"/>
      <c r="R198" s="78"/>
      <c r="S198" s="77"/>
      <c r="T198" s="48"/>
      <c r="U198" s="48"/>
      <c r="V198" s="48"/>
      <c r="W198" s="48"/>
      <c r="X198" s="77"/>
      <c r="Y198" s="48"/>
      <c r="Z198" s="48"/>
      <c r="AA198" s="48"/>
      <c r="AB198" s="77"/>
      <c r="AC198" s="48"/>
      <c r="AD198" s="77"/>
      <c r="AE198" s="48"/>
      <c r="AF198" s="77"/>
      <c r="AG198" s="48"/>
      <c r="AH198" s="77"/>
      <c r="AI198" s="48"/>
      <c r="AJ198" s="77"/>
      <c r="AK198" s="48"/>
    </row>
    <row r="199" ht="18.0" customHeight="1">
      <c r="A199" s="48"/>
      <c r="B199" s="48"/>
      <c r="C199" s="77"/>
      <c r="D199" s="48"/>
      <c r="E199" s="48"/>
      <c r="F199" s="48"/>
      <c r="G199" s="48"/>
      <c r="H199" s="77"/>
      <c r="I199" s="48"/>
      <c r="J199" s="48"/>
      <c r="K199" s="48"/>
      <c r="L199" s="48"/>
      <c r="M199" s="48"/>
      <c r="N199" s="77"/>
      <c r="O199" s="78"/>
      <c r="P199" s="77"/>
      <c r="Q199" s="78"/>
      <c r="R199" s="78"/>
      <c r="S199" s="77"/>
      <c r="T199" s="48"/>
      <c r="U199" s="48"/>
      <c r="V199" s="48"/>
      <c r="W199" s="48"/>
      <c r="X199" s="77"/>
      <c r="Y199" s="48"/>
      <c r="Z199" s="48"/>
      <c r="AA199" s="48"/>
      <c r="AB199" s="77"/>
      <c r="AC199" s="48"/>
      <c r="AD199" s="77"/>
      <c r="AE199" s="48"/>
      <c r="AF199" s="77"/>
      <c r="AG199" s="48"/>
      <c r="AH199" s="77"/>
      <c r="AI199" s="48"/>
      <c r="AJ199" s="77"/>
      <c r="AK199" s="48"/>
    </row>
    <row r="200" ht="18.0" customHeight="1">
      <c r="A200" s="48"/>
      <c r="B200" s="48"/>
      <c r="C200" s="77"/>
      <c r="D200" s="48"/>
      <c r="E200" s="48"/>
      <c r="F200" s="48"/>
      <c r="G200" s="48"/>
      <c r="H200" s="77"/>
      <c r="I200" s="48"/>
      <c r="J200" s="48"/>
      <c r="K200" s="48"/>
      <c r="L200" s="48"/>
      <c r="M200" s="48"/>
      <c r="N200" s="77"/>
      <c r="O200" s="78"/>
      <c r="P200" s="77"/>
      <c r="Q200" s="78"/>
      <c r="R200" s="78"/>
      <c r="S200" s="77"/>
      <c r="T200" s="48"/>
      <c r="U200" s="48"/>
      <c r="V200" s="48"/>
      <c r="W200" s="48"/>
      <c r="X200" s="77"/>
      <c r="Y200" s="48"/>
      <c r="Z200" s="48"/>
      <c r="AA200" s="48"/>
      <c r="AB200" s="77"/>
      <c r="AC200" s="48"/>
      <c r="AD200" s="77"/>
      <c r="AE200" s="48"/>
      <c r="AF200" s="77"/>
      <c r="AG200" s="48"/>
      <c r="AH200" s="77"/>
      <c r="AI200" s="48"/>
      <c r="AJ200" s="77"/>
      <c r="AK200" s="48"/>
    </row>
    <row r="201" ht="18.0" customHeight="1">
      <c r="A201" s="48"/>
      <c r="B201" s="48"/>
      <c r="C201" s="77"/>
      <c r="D201" s="48"/>
      <c r="E201" s="48"/>
      <c r="F201" s="48"/>
      <c r="G201" s="48"/>
      <c r="H201" s="77"/>
      <c r="I201" s="48"/>
      <c r="J201" s="48"/>
      <c r="K201" s="48"/>
      <c r="L201" s="48"/>
      <c r="M201" s="48"/>
      <c r="N201" s="77"/>
      <c r="O201" s="78"/>
      <c r="P201" s="77"/>
      <c r="Q201" s="78"/>
      <c r="R201" s="78"/>
      <c r="S201" s="77"/>
      <c r="T201" s="48"/>
      <c r="U201" s="48"/>
      <c r="V201" s="48"/>
      <c r="W201" s="48"/>
      <c r="X201" s="77"/>
      <c r="Y201" s="48"/>
      <c r="Z201" s="48"/>
      <c r="AA201" s="48"/>
      <c r="AB201" s="77"/>
      <c r="AC201" s="48"/>
      <c r="AD201" s="77"/>
      <c r="AE201" s="48"/>
      <c r="AF201" s="77"/>
      <c r="AG201" s="48"/>
      <c r="AH201" s="77"/>
      <c r="AI201" s="48"/>
      <c r="AJ201" s="77"/>
      <c r="AK201" s="48"/>
    </row>
    <row r="202" ht="18.0" customHeight="1">
      <c r="A202" s="48"/>
      <c r="B202" s="48"/>
      <c r="C202" s="77"/>
      <c r="D202" s="48"/>
      <c r="E202" s="48"/>
      <c r="F202" s="48"/>
      <c r="G202" s="48"/>
      <c r="H202" s="77"/>
      <c r="I202" s="48"/>
      <c r="J202" s="48"/>
      <c r="K202" s="48"/>
      <c r="L202" s="48"/>
      <c r="M202" s="48"/>
      <c r="N202" s="77"/>
      <c r="O202" s="78"/>
      <c r="P202" s="77"/>
      <c r="Q202" s="78"/>
      <c r="R202" s="78"/>
      <c r="S202" s="77"/>
      <c r="T202" s="48"/>
      <c r="U202" s="48"/>
      <c r="V202" s="48"/>
      <c r="W202" s="48"/>
      <c r="X202" s="77"/>
      <c r="Y202" s="48"/>
      <c r="Z202" s="48"/>
      <c r="AA202" s="48"/>
      <c r="AB202" s="77"/>
      <c r="AC202" s="48"/>
      <c r="AD202" s="77"/>
      <c r="AE202" s="48"/>
      <c r="AF202" s="77"/>
      <c r="AG202" s="48"/>
      <c r="AH202" s="77"/>
      <c r="AI202" s="48"/>
      <c r="AJ202" s="77"/>
      <c r="AK202" s="48"/>
    </row>
    <row r="203" ht="18.0" customHeight="1">
      <c r="A203" s="48"/>
      <c r="B203" s="48"/>
      <c r="C203" s="77"/>
      <c r="D203" s="48"/>
      <c r="E203" s="48"/>
      <c r="F203" s="48"/>
      <c r="G203" s="48"/>
      <c r="H203" s="77"/>
      <c r="I203" s="48"/>
      <c r="J203" s="48"/>
      <c r="K203" s="48"/>
      <c r="L203" s="48"/>
      <c r="M203" s="48"/>
      <c r="N203" s="77"/>
      <c r="O203" s="78"/>
      <c r="P203" s="77"/>
      <c r="Q203" s="78"/>
      <c r="R203" s="78"/>
      <c r="S203" s="77"/>
      <c r="T203" s="48"/>
      <c r="U203" s="48"/>
      <c r="V203" s="48"/>
      <c r="W203" s="48"/>
      <c r="X203" s="77"/>
      <c r="Y203" s="48"/>
      <c r="Z203" s="48"/>
      <c r="AA203" s="48"/>
      <c r="AB203" s="77"/>
      <c r="AC203" s="48"/>
      <c r="AD203" s="77"/>
      <c r="AE203" s="48"/>
      <c r="AF203" s="77"/>
      <c r="AG203" s="48"/>
      <c r="AH203" s="77"/>
      <c r="AI203" s="48"/>
      <c r="AJ203" s="77"/>
      <c r="AK203" s="48"/>
    </row>
    <row r="204" ht="18.0" customHeight="1">
      <c r="A204" s="48"/>
      <c r="B204" s="48"/>
      <c r="C204" s="77"/>
      <c r="D204" s="48"/>
      <c r="E204" s="48"/>
      <c r="F204" s="48"/>
      <c r="G204" s="48"/>
      <c r="H204" s="77"/>
      <c r="I204" s="48"/>
      <c r="J204" s="48"/>
      <c r="K204" s="48"/>
      <c r="L204" s="48"/>
      <c r="M204" s="48"/>
      <c r="N204" s="77"/>
      <c r="O204" s="78"/>
      <c r="P204" s="77"/>
      <c r="Q204" s="78"/>
      <c r="R204" s="78"/>
      <c r="S204" s="77"/>
      <c r="T204" s="48"/>
      <c r="U204" s="48"/>
      <c r="V204" s="48"/>
      <c r="W204" s="48"/>
      <c r="X204" s="77"/>
      <c r="Y204" s="48"/>
      <c r="Z204" s="48"/>
      <c r="AA204" s="48"/>
      <c r="AB204" s="77"/>
      <c r="AC204" s="48"/>
      <c r="AD204" s="77"/>
      <c r="AE204" s="48"/>
      <c r="AF204" s="77"/>
      <c r="AG204" s="48"/>
      <c r="AH204" s="77"/>
      <c r="AI204" s="48"/>
      <c r="AJ204" s="77"/>
      <c r="AK204" s="48"/>
    </row>
    <row r="205" ht="18.0" customHeight="1">
      <c r="A205" s="48"/>
      <c r="B205" s="48"/>
      <c r="C205" s="77"/>
      <c r="D205" s="48"/>
      <c r="E205" s="48"/>
      <c r="F205" s="48"/>
      <c r="G205" s="48"/>
      <c r="H205" s="77"/>
      <c r="I205" s="48"/>
      <c r="J205" s="48"/>
      <c r="K205" s="48"/>
      <c r="L205" s="48"/>
      <c r="M205" s="48"/>
      <c r="N205" s="77"/>
      <c r="O205" s="78"/>
      <c r="P205" s="77"/>
      <c r="Q205" s="78"/>
      <c r="R205" s="78"/>
      <c r="S205" s="77"/>
      <c r="T205" s="48"/>
      <c r="U205" s="48"/>
      <c r="V205" s="48"/>
      <c r="W205" s="48"/>
      <c r="X205" s="77"/>
      <c r="Y205" s="48"/>
      <c r="Z205" s="48"/>
      <c r="AA205" s="48"/>
      <c r="AB205" s="77"/>
      <c r="AC205" s="48"/>
      <c r="AD205" s="77"/>
      <c r="AE205" s="48"/>
      <c r="AF205" s="77"/>
      <c r="AG205" s="48"/>
      <c r="AH205" s="77"/>
      <c r="AI205" s="48"/>
      <c r="AJ205" s="77"/>
      <c r="AK205" s="48"/>
    </row>
    <row r="206" ht="18.0" customHeight="1">
      <c r="A206" s="48"/>
      <c r="B206" s="48"/>
      <c r="C206" s="77"/>
      <c r="D206" s="48"/>
      <c r="E206" s="48"/>
      <c r="F206" s="48"/>
      <c r="G206" s="48"/>
      <c r="H206" s="77"/>
      <c r="I206" s="48"/>
      <c r="J206" s="48"/>
      <c r="K206" s="48"/>
      <c r="L206" s="48"/>
      <c r="M206" s="48"/>
      <c r="N206" s="77"/>
      <c r="O206" s="78"/>
      <c r="P206" s="77"/>
      <c r="Q206" s="78"/>
      <c r="R206" s="78"/>
      <c r="S206" s="77"/>
      <c r="T206" s="48"/>
      <c r="U206" s="48"/>
      <c r="V206" s="48"/>
      <c r="W206" s="48"/>
      <c r="X206" s="77"/>
      <c r="Y206" s="48"/>
      <c r="Z206" s="48"/>
      <c r="AA206" s="48"/>
      <c r="AB206" s="77"/>
      <c r="AC206" s="48"/>
      <c r="AD206" s="77"/>
      <c r="AE206" s="48"/>
      <c r="AF206" s="77"/>
      <c r="AG206" s="48"/>
      <c r="AH206" s="77"/>
      <c r="AI206" s="48"/>
      <c r="AJ206" s="77"/>
      <c r="AK206" s="48"/>
    </row>
    <row r="207" ht="18.0" customHeight="1">
      <c r="A207" s="48"/>
      <c r="B207" s="48"/>
      <c r="C207" s="77"/>
      <c r="D207" s="48"/>
      <c r="E207" s="48"/>
      <c r="F207" s="48"/>
      <c r="G207" s="48"/>
      <c r="H207" s="77"/>
      <c r="I207" s="48"/>
      <c r="J207" s="48"/>
      <c r="K207" s="48"/>
      <c r="L207" s="48"/>
      <c r="M207" s="48"/>
      <c r="N207" s="77"/>
      <c r="O207" s="78"/>
      <c r="P207" s="77"/>
      <c r="Q207" s="78"/>
      <c r="R207" s="78"/>
      <c r="S207" s="77"/>
      <c r="T207" s="48"/>
      <c r="U207" s="48"/>
      <c r="V207" s="48"/>
      <c r="W207" s="48"/>
      <c r="X207" s="77"/>
      <c r="Y207" s="48"/>
      <c r="Z207" s="48"/>
      <c r="AA207" s="48"/>
      <c r="AB207" s="77"/>
      <c r="AC207" s="48"/>
      <c r="AD207" s="77"/>
      <c r="AE207" s="48"/>
      <c r="AF207" s="77"/>
      <c r="AG207" s="48"/>
      <c r="AH207" s="77"/>
      <c r="AI207" s="48"/>
      <c r="AJ207" s="77"/>
      <c r="AK207" s="48"/>
    </row>
    <row r="208" ht="18.0" customHeight="1">
      <c r="A208" s="48"/>
      <c r="B208" s="48"/>
      <c r="C208" s="77"/>
      <c r="D208" s="48"/>
      <c r="E208" s="48"/>
      <c r="F208" s="48"/>
      <c r="G208" s="48"/>
      <c r="H208" s="77"/>
      <c r="I208" s="48"/>
      <c r="J208" s="48"/>
      <c r="K208" s="48"/>
      <c r="L208" s="48"/>
      <c r="M208" s="48"/>
      <c r="N208" s="77"/>
      <c r="O208" s="78"/>
      <c r="P208" s="77"/>
      <c r="Q208" s="78"/>
      <c r="R208" s="78"/>
      <c r="S208" s="77"/>
      <c r="T208" s="48"/>
      <c r="U208" s="48"/>
      <c r="V208" s="48"/>
      <c r="W208" s="48"/>
      <c r="X208" s="77"/>
      <c r="Y208" s="48"/>
      <c r="Z208" s="48"/>
      <c r="AA208" s="48"/>
      <c r="AB208" s="77"/>
      <c r="AC208" s="48"/>
      <c r="AD208" s="77"/>
      <c r="AE208" s="48"/>
      <c r="AF208" s="77"/>
      <c r="AG208" s="48"/>
      <c r="AH208" s="77"/>
      <c r="AI208" s="48"/>
      <c r="AJ208" s="77"/>
      <c r="AK208" s="48"/>
    </row>
    <row r="209" ht="18.0" customHeight="1">
      <c r="A209" s="48"/>
      <c r="B209" s="48"/>
      <c r="C209" s="77"/>
      <c r="D209" s="48"/>
      <c r="E209" s="48"/>
      <c r="F209" s="48"/>
      <c r="G209" s="48"/>
      <c r="H209" s="77"/>
      <c r="I209" s="48"/>
      <c r="J209" s="48"/>
      <c r="K209" s="48"/>
      <c r="L209" s="48"/>
      <c r="M209" s="48"/>
      <c r="N209" s="77"/>
      <c r="O209" s="78"/>
      <c r="P209" s="77"/>
      <c r="Q209" s="78"/>
      <c r="R209" s="78"/>
      <c r="S209" s="77"/>
      <c r="T209" s="48"/>
      <c r="U209" s="48"/>
      <c r="V209" s="48"/>
      <c r="W209" s="48"/>
      <c r="X209" s="77"/>
      <c r="Y209" s="48"/>
      <c r="Z209" s="48"/>
      <c r="AA209" s="48"/>
      <c r="AB209" s="77"/>
      <c r="AC209" s="48"/>
      <c r="AD209" s="77"/>
      <c r="AE209" s="48"/>
      <c r="AF209" s="77"/>
      <c r="AG209" s="48"/>
      <c r="AH209" s="77"/>
      <c r="AI209" s="48"/>
      <c r="AJ209" s="77"/>
      <c r="AK209" s="48"/>
    </row>
    <row r="210" ht="18.0" customHeight="1">
      <c r="A210" s="48"/>
      <c r="B210" s="48"/>
      <c r="C210" s="77"/>
      <c r="D210" s="48"/>
      <c r="E210" s="48"/>
      <c r="F210" s="48"/>
      <c r="G210" s="48"/>
      <c r="H210" s="77"/>
      <c r="I210" s="48"/>
      <c r="J210" s="48"/>
      <c r="K210" s="48"/>
      <c r="L210" s="48"/>
      <c r="M210" s="48"/>
      <c r="N210" s="77"/>
      <c r="O210" s="78"/>
      <c r="P210" s="77"/>
      <c r="Q210" s="78"/>
      <c r="R210" s="78"/>
      <c r="S210" s="77"/>
      <c r="T210" s="48"/>
      <c r="U210" s="48"/>
      <c r="V210" s="48"/>
      <c r="W210" s="48"/>
      <c r="X210" s="77"/>
      <c r="Y210" s="48"/>
      <c r="Z210" s="48"/>
      <c r="AA210" s="48"/>
      <c r="AB210" s="77"/>
      <c r="AC210" s="48"/>
      <c r="AD210" s="77"/>
      <c r="AE210" s="48"/>
      <c r="AF210" s="77"/>
      <c r="AG210" s="48"/>
      <c r="AH210" s="77"/>
      <c r="AI210" s="48"/>
      <c r="AJ210" s="77"/>
      <c r="AK210" s="48"/>
    </row>
    <row r="211" ht="18.0" customHeight="1">
      <c r="A211" s="48"/>
      <c r="B211" s="48"/>
      <c r="C211" s="77"/>
      <c r="D211" s="48"/>
      <c r="E211" s="48"/>
      <c r="F211" s="48"/>
      <c r="G211" s="48"/>
      <c r="H211" s="77"/>
      <c r="I211" s="48"/>
      <c r="J211" s="48"/>
      <c r="K211" s="48"/>
      <c r="L211" s="48"/>
      <c r="M211" s="48"/>
      <c r="N211" s="77"/>
      <c r="O211" s="78"/>
      <c r="P211" s="77"/>
      <c r="Q211" s="78"/>
      <c r="R211" s="78"/>
      <c r="S211" s="77"/>
      <c r="T211" s="48"/>
      <c r="U211" s="48"/>
      <c r="V211" s="48"/>
      <c r="W211" s="48"/>
      <c r="X211" s="77"/>
      <c r="Y211" s="48"/>
      <c r="Z211" s="48"/>
      <c r="AA211" s="48"/>
      <c r="AB211" s="77"/>
      <c r="AC211" s="48"/>
      <c r="AD211" s="77"/>
      <c r="AE211" s="48"/>
      <c r="AF211" s="77"/>
      <c r="AG211" s="48"/>
      <c r="AH211" s="77"/>
      <c r="AI211" s="48"/>
      <c r="AJ211" s="77"/>
      <c r="AK211" s="48"/>
    </row>
    <row r="212" ht="18.0" customHeight="1">
      <c r="A212" s="48"/>
      <c r="B212" s="48"/>
      <c r="C212" s="77"/>
      <c r="D212" s="48"/>
      <c r="E212" s="48"/>
      <c r="F212" s="48"/>
      <c r="G212" s="48"/>
      <c r="H212" s="77"/>
      <c r="I212" s="48"/>
      <c r="J212" s="48"/>
      <c r="K212" s="48"/>
      <c r="L212" s="48"/>
      <c r="M212" s="48"/>
      <c r="N212" s="77"/>
      <c r="O212" s="78"/>
      <c r="P212" s="77"/>
      <c r="Q212" s="78"/>
      <c r="R212" s="78"/>
      <c r="S212" s="77"/>
      <c r="T212" s="48"/>
      <c r="U212" s="48"/>
      <c r="V212" s="48"/>
      <c r="W212" s="48"/>
      <c r="X212" s="77"/>
      <c r="Y212" s="48"/>
      <c r="Z212" s="48"/>
      <c r="AA212" s="48"/>
      <c r="AB212" s="77"/>
      <c r="AC212" s="48"/>
      <c r="AD212" s="77"/>
      <c r="AE212" s="48"/>
      <c r="AF212" s="77"/>
      <c r="AG212" s="48"/>
      <c r="AH212" s="77"/>
      <c r="AI212" s="48"/>
      <c r="AJ212" s="77"/>
      <c r="AK212" s="48"/>
    </row>
    <row r="213" ht="18.0" customHeight="1">
      <c r="A213" s="48"/>
      <c r="B213" s="48"/>
      <c r="C213" s="77"/>
      <c r="D213" s="48"/>
      <c r="E213" s="48"/>
      <c r="F213" s="48"/>
      <c r="G213" s="48"/>
      <c r="H213" s="77"/>
      <c r="I213" s="48"/>
      <c r="J213" s="48"/>
      <c r="K213" s="48"/>
      <c r="L213" s="48"/>
      <c r="M213" s="48"/>
      <c r="N213" s="77"/>
      <c r="O213" s="78"/>
      <c r="P213" s="77"/>
      <c r="Q213" s="78"/>
      <c r="R213" s="78"/>
      <c r="S213" s="77"/>
      <c r="T213" s="48"/>
      <c r="U213" s="48"/>
      <c r="V213" s="48"/>
      <c r="W213" s="48"/>
      <c r="X213" s="77"/>
      <c r="Y213" s="48"/>
      <c r="Z213" s="48"/>
      <c r="AA213" s="48"/>
      <c r="AB213" s="77"/>
      <c r="AC213" s="48"/>
      <c r="AD213" s="77"/>
      <c r="AE213" s="48"/>
      <c r="AF213" s="77"/>
      <c r="AG213" s="48"/>
      <c r="AH213" s="77"/>
      <c r="AI213" s="48"/>
      <c r="AJ213" s="77"/>
      <c r="AK213" s="48"/>
    </row>
    <row r="214" ht="18.0" customHeight="1">
      <c r="A214" s="48"/>
      <c r="B214" s="48"/>
      <c r="C214" s="77"/>
      <c r="D214" s="48"/>
      <c r="E214" s="48"/>
      <c r="F214" s="48"/>
      <c r="G214" s="48"/>
      <c r="H214" s="77"/>
      <c r="I214" s="48"/>
      <c r="J214" s="48"/>
      <c r="K214" s="48"/>
      <c r="L214" s="48"/>
      <c r="M214" s="48"/>
      <c r="N214" s="77"/>
      <c r="O214" s="78"/>
      <c r="P214" s="77"/>
      <c r="Q214" s="78"/>
      <c r="R214" s="78"/>
      <c r="S214" s="77"/>
      <c r="T214" s="48"/>
      <c r="U214" s="48"/>
      <c r="V214" s="48"/>
      <c r="W214" s="48"/>
      <c r="X214" s="77"/>
      <c r="Y214" s="48"/>
      <c r="Z214" s="48"/>
      <c r="AA214" s="48"/>
      <c r="AB214" s="77"/>
      <c r="AC214" s="48"/>
      <c r="AD214" s="77"/>
      <c r="AE214" s="48"/>
      <c r="AF214" s="77"/>
      <c r="AG214" s="48"/>
      <c r="AH214" s="77"/>
      <c r="AI214" s="48"/>
      <c r="AJ214" s="77"/>
      <c r="AK214" s="48"/>
    </row>
    <row r="215" ht="18.0" customHeight="1">
      <c r="A215" s="48"/>
      <c r="B215" s="48"/>
      <c r="C215" s="77"/>
      <c r="D215" s="48"/>
      <c r="E215" s="48"/>
      <c r="F215" s="48"/>
      <c r="G215" s="48"/>
      <c r="H215" s="77"/>
      <c r="I215" s="48"/>
      <c r="J215" s="48"/>
      <c r="K215" s="48"/>
      <c r="L215" s="48"/>
      <c r="M215" s="48"/>
      <c r="N215" s="77"/>
      <c r="O215" s="78"/>
      <c r="P215" s="77"/>
      <c r="Q215" s="78"/>
      <c r="R215" s="78"/>
      <c r="S215" s="77"/>
      <c r="T215" s="48"/>
      <c r="U215" s="48"/>
      <c r="V215" s="48"/>
      <c r="W215" s="48"/>
      <c r="X215" s="77"/>
      <c r="Y215" s="48"/>
      <c r="Z215" s="48"/>
      <c r="AA215" s="48"/>
      <c r="AB215" s="77"/>
      <c r="AC215" s="48"/>
      <c r="AD215" s="77"/>
      <c r="AE215" s="48"/>
      <c r="AF215" s="77"/>
      <c r="AG215" s="48"/>
      <c r="AH215" s="77"/>
      <c r="AI215" s="48"/>
      <c r="AJ215" s="77"/>
      <c r="AK215" s="48"/>
    </row>
    <row r="216" ht="18.0" customHeight="1">
      <c r="A216" s="48"/>
      <c r="B216" s="48"/>
      <c r="C216" s="77"/>
      <c r="D216" s="48"/>
      <c r="E216" s="48"/>
      <c r="F216" s="48"/>
      <c r="G216" s="48"/>
      <c r="H216" s="77"/>
      <c r="I216" s="48"/>
      <c r="J216" s="48"/>
      <c r="K216" s="48"/>
      <c r="L216" s="48"/>
      <c r="M216" s="48"/>
      <c r="N216" s="77"/>
      <c r="O216" s="78"/>
      <c r="P216" s="77"/>
      <c r="Q216" s="78"/>
      <c r="R216" s="78"/>
      <c r="S216" s="77"/>
      <c r="T216" s="48"/>
      <c r="U216" s="48"/>
      <c r="V216" s="48"/>
      <c r="W216" s="48"/>
      <c r="X216" s="77"/>
      <c r="Y216" s="48"/>
      <c r="Z216" s="48"/>
      <c r="AA216" s="48"/>
      <c r="AB216" s="77"/>
      <c r="AC216" s="48"/>
      <c r="AD216" s="77"/>
      <c r="AE216" s="48"/>
      <c r="AF216" s="77"/>
      <c r="AG216" s="48"/>
      <c r="AH216" s="77"/>
      <c r="AI216" s="48"/>
      <c r="AJ216" s="77"/>
      <c r="AK216" s="48"/>
    </row>
    <row r="217" ht="18.0" customHeight="1">
      <c r="A217" s="48"/>
      <c r="B217" s="48"/>
      <c r="C217" s="77"/>
      <c r="D217" s="48"/>
      <c r="E217" s="48"/>
      <c r="F217" s="48"/>
      <c r="G217" s="48"/>
      <c r="H217" s="77"/>
      <c r="I217" s="48"/>
      <c r="J217" s="48"/>
      <c r="K217" s="48"/>
      <c r="L217" s="48"/>
      <c r="M217" s="48"/>
      <c r="N217" s="77"/>
      <c r="O217" s="78"/>
      <c r="P217" s="77"/>
      <c r="Q217" s="78"/>
      <c r="R217" s="78"/>
      <c r="S217" s="77"/>
      <c r="T217" s="48"/>
      <c r="U217" s="48"/>
      <c r="V217" s="48"/>
      <c r="W217" s="48"/>
      <c r="X217" s="77"/>
      <c r="Y217" s="48"/>
      <c r="Z217" s="48"/>
      <c r="AA217" s="48"/>
      <c r="AB217" s="77"/>
      <c r="AC217" s="48"/>
      <c r="AD217" s="77"/>
      <c r="AE217" s="48"/>
      <c r="AF217" s="77"/>
      <c r="AG217" s="48"/>
      <c r="AH217" s="77"/>
      <c r="AI217" s="48"/>
      <c r="AJ217" s="77"/>
      <c r="AK217" s="48"/>
    </row>
    <row r="218" ht="18.0" customHeight="1">
      <c r="A218" s="48"/>
      <c r="B218" s="48"/>
      <c r="C218" s="77"/>
      <c r="D218" s="48"/>
      <c r="E218" s="48"/>
      <c r="F218" s="48"/>
      <c r="G218" s="48"/>
      <c r="H218" s="77"/>
      <c r="I218" s="48"/>
      <c r="J218" s="48"/>
      <c r="K218" s="48"/>
      <c r="L218" s="48"/>
      <c r="M218" s="48"/>
      <c r="N218" s="77"/>
      <c r="O218" s="78"/>
      <c r="P218" s="77"/>
      <c r="Q218" s="78"/>
      <c r="R218" s="78"/>
      <c r="S218" s="77"/>
      <c r="T218" s="48"/>
      <c r="U218" s="48"/>
      <c r="V218" s="48"/>
      <c r="W218" s="48"/>
      <c r="X218" s="77"/>
      <c r="Y218" s="48"/>
      <c r="Z218" s="48"/>
      <c r="AA218" s="48"/>
      <c r="AB218" s="77"/>
      <c r="AC218" s="48"/>
      <c r="AD218" s="77"/>
      <c r="AE218" s="48"/>
      <c r="AF218" s="77"/>
      <c r="AG218" s="48"/>
      <c r="AH218" s="77"/>
      <c r="AI218" s="48"/>
      <c r="AJ218" s="77"/>
      <c r="AK218" s="48"/>
    </row>
    <row r="219" ht="18.0" customHeight="1">
      <c r="A219" s="48"/>
      <c r="B219" s="48"/>
      <c r="C219" s="77"/>
      <c r="D219" s="48"/>
      <c r="E219" s="48"/>
      <c r="F219" s="48"/>
      <c r="G219" s="48"/>
      <c r="H219" s="77"/>
      <c r="I219" s="48"/>
      <c r="J219" s="48"/>
      <c r="K219" s="48"/>
      <c r="L219" s="48"/>
      <c r="M219" s="48"/>
      <c r="N219" s="77"/>
      <c r="O219" s="78"/>
      <c r="P219" s="77"/>
      <c r="Q219" s="78"/>
      <c r="R219" s="78"/>
      <c r="S219" s="77"/>
      <c r="T219" s="48"/>
      <c r="U219" s="48"/>
      <c r="V219" s="48"/>
      <c r="W219" s="48"/>
      <c r="X219" s="77"/>
      <c r="Y219" s="48"/>
      <c r="Z219" s="48"/>
      <c r="AA219" s="48"/>
      <c r="AB219" s="77"/>
      <c r="AC219" s="48"/>
      <c r="AD219" s="77"/>
      <c r="AE219" s="48"/>
      <c r="AF219" s="77"/>
      <c r="AG219" s="48"/>
      <c r="AH219" s="77"/>
      <c r="AI219" s="48"/>
      <c r="AJ219" s="77"/>
      <c r="AK219" s="48"/>
    </row>
    <row r="220" ht="18.0" customHeight="1">
      <c r="A220" s="48"/>
      <c r="B220" s="48"/>
      <c r="C220" s="77"/>
      <c r="D220" s="48"/>
      <c r="E220" s="48"/>
      <c r="F220" s="48"/>
      <c r="G220" s="48"/>
      <c r="H220" s="77"/>
      <c r="I220" s="48"/>
      <c r="J220" s="48"/>
      <c r="K220" s="48"/>
      <c r="L220" s="48"/>
      <c r="M220" s="48"/>
      <c r="N220" s="77"/>
      <c r="O220" s="78"/>
      <c r="P220" s="77"/>
      <c r="Q220" s="78"/>
      <c r="R220" s="78"/>
      <c r="S220" s="77"/>
      <c r="T220" s="48"/>
      <c r="U220" s="48"/>
      <c r="V220" s="48"/>
      <c r="W220" s="48"/>
      <c r="X220" s="77"/>
      <c r="Y220" s="48"/>
      <c r="Z220" s="48"/>
      <c r="AA220" s="48"/>
      <c r="AB220" s="77"/>
      <c r="AC220" s="48"/>
      <c r="AD220" s="77"/>
      <c r="AE220" s="48"/>
      <c r="AF220" s="77"/>
      <c r="AG220" s="48"/>
      <c r="AH220" s="77"/>
      <c r="AI220" s="48"/>
      <c r="AJ220" s="77"/>
      <c r="AK220" s="48"/>
    </row>
    <row r="221" ht="18.0" customHeight="1">
      <c r="A221" s="48"/>
      <c r="B221" s="48"/>
      <c r="C221" s="77"/>
      <c r="D221" s="48"/>
      <c r="E221" s="48"/>
      <c r="F221" s="48"/>
      <c r="G221" s="48"/>
      <c r="H221" s="77"/>
      <c r="I221" s="48"/>
      <c r="J221" s="48"/>
      <c r="K221" s="48"/>
      <c r="L221" s="48"/>
      <c r="M221" s="48"/>
      <c r="N221" s="77"/>
      <c r="O221" s="78"/>
      <c r="P221" s="77"/>
      <c r="Q221" s="78"/>
      <c r="R221" s="78"/>
      <c r="S221" s="77"/>
      <c r="T221" s="48"/>
      <c r="U221" s="48"/>
      <c r="V221" s="48"/>
      <c r="W221" s="48"/>
      <c r="X221" s="77"/>
      <c r="Y221" s="48"/>
      <c r="Z221" s="48"/>
      <c r="AA221" s="48"/>
      <c r="AB221" s="77"/>
      <c r="AC221" s="48"/>
      <c r="AD221" s="77"/>
      <c r="AE221" s="48"/>
      <c r="AF221" s="77"/>
      <c r="AG221" s="48"/>
      <c r="AH221" s="77"/>
      <c r="AI221" s="48"/>
      <c r="AJ221" s="77"/>
      <c r="AK221" s="48"/>
    </row>
    <row r="222" ht="18.0" customHeight="1">
      <c r="A222" s="48"/>
      <c r="B222" s="48"/>
      <c r="C222" s="77"/>
      <c r="D222" s="48"/>
      <c r="E222" s="48"/>
      <c r="F222" s="48"/>
      <c r="G222" s="48"/>
      <c r="H222" s="77"/>
      <c r="I222" s="48"/>
      <c r="J222" s="48"/>
      <c r="K222" s="48"/>
      <c r="L222" s="48"/>
      <c r="M222" s="48"/>
      <c r="N222" s="77"/>
      <c r="O222" s="78"/>
      <c r="P222" s="77"/>
      <c r="Q222" s="78"/>
      <c r="R222" s="78"/>
      <c r="S222" s="77"/>
      <c r="T222" s="48"/>
      <c r="U222" s="48"/>
      <c r="V222" s="48"/>
      <c r="W222" s="48"/>
      <c r="X222" s="77"/>
      <c r="Y222" s="48"/>
      <c r="Z222" s="48"/>
      <c r="AA222" s="48"/>
      <c r="AB222" s="77"/>
      <c r="AC222" s="48"/>
      <c r="AD222" s="77"/>
      <c r="AE222" s="48"/>
      <c r="AF222" s="77"/>
      <c r="AG222" s="48"/>
      <c r="AH222" s="77"/>
      <c r="AI222" s="48"/>
      <c r="AJ222" s="77"/>
      <c r="AK222" s="48"/>
    </row>
    <row r="223" ht="18.0" customHeight="1">
      <c r="A223" s="48"/>
      <c r="B223" s="48"/>
      <c r="C223" s="77"/>
      <c r="D223" s="48"/>
      <c r="E223" s="48"/>
      <c r="F223" s="48"/>
      <c r="G223" s="48"/>
      <c r="H223" s="77"/>
      <c r="I223" s="48"/>
      <c r="J223" s="48"/>
      <c r="K223" s="48"/>
      <c r="L223" s="48"/>
      <c r="M223" s="48"/>
      <c r="N223" s="77"/>
      <c r="O223" s="78"/>
      <c r="P223" s="77"/>
      <c r="Q223" s="78"/>
      <c r="R223" s="78"/>
      <c r="S223" s="77"/>
      <c r="T223" s="48"/>
      <c r="U223" s="48"/>
      <c r="V223" s="48"/>
      <c r="W223" s="48"/>
      <c r="X223" s="77"/>
      <c r="Y223" s="48"/>
      <c r="Z223" s="48"/>
      <c r="AA223" s="48"/>
      <c r="AB223" s="77"/>
      <c r="AC223" s="48"/>
      <c r="AD223" s="77"/>
      <c r="AE223" s="48"/>
      <c r="AF223" s="77"/>
      <c r="AG223" s="48"/>
      <c r="AH223" s="77"/>
      <c r="AI223" s="48"/>
      <c r="AJ223" s="77"/>
      <c r="AK223" s="48"/>
    </row>
    <row r="224" ht="18.0" customHeight="1">
      <c r="A224" s="48"/>
      <c r="B224" s="48"/>
      <c r="C224" s="77"/>
      <c r="D224" s="48"/>
      <c r="E224" s="48"/>
      <c r="F224" s="48"/>
      <c r="G224" s="48"/>
      <c r="H224" s="77"/>
      <c r="I224" s="48"/>
      <c r="J224" s="48"/>
      <c r="K224" s="48"/>
      <c r="L224" s="48"/>
      <c r="M224" s="48"/>
      <c r="N224" s="77"/>
      <c r="O224" s="78"/>
      <c r="P224" s="77"/>
      <c r="Q224" s="78"/>
      <c r="R224" s="78"/>
      <c r="S224" s="77"/>
      <c r="T224" s="48"/>
      <c r="U224" s="48"/>
      <c r="V224" s="48"/>
      <c r="W224" s="48"/>
      <c r="X224" s="77"/>
      <c r="Y224" s="48"/>
      <c r="Z224" s="48"/>
      <c r="AA224" s="48"/>
      <c r="AB224" s="77"/>
      <c r="AC224" s="48"/>
      <c r="AD224" s="77"/>
      <c r="AE224" s="48"/>
      <c r="AF224" s="77"/>
      <c r="AG224" s="48"/>
      <c r="AH224" s="77"/>
      <c r="AI224" s="48"/>
      <c r="AJ224" s="77"/>
      <c r="AK224" s="48"/>
    </row>
    <row r="225" ht="18.0" customHeight="1">
      <c r="A225" s="48"/>
      <c r="B225" s="48"/>
      <c r="C225" s="77"/>
      <c r="D225" s="48"/>
      <c r="E225" s="48"/>
      <c r="F225" s="48"/>
      <c r="G225" s="48"/>
      <c r="H225" s="77"/>
      <c r="I225" s="48"/>
      <c r="J225" s="48"/>
      <c r="K225" s="48"/>
      <c r="L225" s="48"/>
      <c r="M225" s="48"/>
      <c r="N225" s="77"/>
      <c r="O225" s="78"/>
      <c r="P225" s="77"/>
      <c r="Q225" s="78"/>
      <c r="R225" s="78"/>
      <c r="S225" s="77"/>
      <c r="T225" s="48"/>
      <c r="U225" s="48"/>
      <c r="V225" s="48"/>
      <c r="W225" s="48"/>
      <c r="X225" s="77"/>
      <c r="Y225" s="48"/>
      <c r="Z225" s="48"/>
      <c r="AA225" s="48"/>
      <c r="AB225" s="77"/>
      <c r="AC225" s="48"/>
      <c r="AD225" s="77"/>
      <c r="AE225" s="48"/>
      <c r="AF225" s="77"/>
      <c r="AG225" s="48"/>
      <c r="AH225" s="77"/>
      <c r="AI225" s="48"/>
      <c r="AJ225" s="77"/>
      <c r="AK225" s="48"/>
    </row>
    <row r="226" ht="18.0" customHeight="1">
      <c r="A226" s="48"/>
      <c r="B226" s="48"/>
      <c r="C226" s="77"/>
      <c r="D226" s="48"/>
      <c r="E226" s="48"/>
      <c r="F226" s="48"/>
      <c r="G226" s="48"/>
      <c r="H226" s="77"/>
      <c r="I226" s="48"/>
      <c r="J226" s="48"/>
      <c r="K226" s="48"/>
      <c r="L226" s="48"/>
      <c r="M226" s="48"/>
      <c r="N226" s="77"/>
      <c r="O226" s="78"/>
      <c r="P226" s="77"/>
      <c r="Q226" s="78"/>
      <c r="R226" s="78"/>
      <c r="S226" s="77"/>
      <c r="T226" s="48"/>
      <c r="U226" s="48"/>
      <c r="V226" s="48"/>
      <c r="W226" s="48"/>
      <c r="X226" s="77"/>
      <c r="Y226" s="48"/>
      <c r="Z226" s="48"/>
      <c r="AA226" s="48"/>
      <c r="AB226" s="77"/>
      <c r="AC226" s="48"/>
      <c r="AD226" s="77"/>
      <c r="AE226" s="48"/>
      <c r="AF226" s="77"/>
      <c r="AG226" s="48"/>
      <c r="AH226" s="77"/>
      <c r="AI226" s="48"/>
      <c r="AJ226" s="77"/>
      <c r="AK226" s="48"/>
    </row>
    <row r="227" ht="18.0" customHeight="1">
      <c r="A227" s="48"/>
      <c r="B227" s="48"/>
      <c r="C227" s="77"/>
      <c r="D227" s="48"/>
      <c r="E227" s="48"/>
      <c r="F227" s="48"/>
      <c r="G227" s="48"/>
      <c r="H227" s="77"/>
      <c r="I227" s="48"/>
      <c r="J227" s="48"/>
      <c r="K227" s="48"/>
      <c r="L227" s="48"/>
      <c r="M227" s="48"/>
      <c r="N227" s="77"/>
      <c r="O227" s="78"/>
      <c r="P227" s="77"/>
      <c r="Q227" s="78"/>
      <c r="R227" s="78"/>
      <c r="S227" s="77"/>
      <c r="T227" s="48"/>
      <c r="U227" s="48"/>
      <c r="V227" s="48"/>
      <c r="W227" s="48"/>
      <c r="X227" s="77"/>
      <c r="Y227" s="48"/>
      <c r="Z227" s="48"/>
      <c r="AA227" s="48"/>
      <c r="AB227" s="77"/>
      <c r="AC227" s="48"/>
      <c r="AD227" s="77"/>
      <c r="AE227" s="48"/>
      <c r="AF227" s="77"/>
      <c r="AG227" s="48"/>
      <c r="AH227" s="77"/>
      <c r="AI227" s="48"/>
      <c r="AJ227" s="77"/>
      <c r="AK227" s="48"/>
    </row>
    <row r="228" ht="18.0" customHeight="1">
      <c r="A228" s="48"/>
      <c r="B228" s="48"/>
      <c r="C228" s="77"/>
      <c r="D228" s="48"/>
      <c r="E228" s="48"/>
      <c r="F228" s="48"/>
      <c r="G228" s="48"/>
      <c r="H228" s="77"/>
      <c r="I228" s="48"/>
      <c r="J228" s="48"/>
      <c r="K228" s="48"/>
      <c r="L228" s="48"/>
      <c r="M228" s="48"/>
      <c r="N228" s="77"/>
      <c r="O228" s="78"/>
      <c r="P228" s="77"/>
      <c r="Q228" s="78"/>
      <c r="R228" s="78"/>
      <c r="S228" s="77"/>
      <c r="T228" s="48"/>
      <c r="U228" s="48"/>
      <c r="V228" s="48"/>
      <c r="W228" s="48"/>
      <c r="X228" s="77"/>
      <c r="Y228" s="48"/>
      <c r="Z228" s="48"/>
      <c r="AA228" s="48"/>
      <c r="AB228" s="77"/>
      <c r="AC228" s="48"/>
      <c r="AD228" s="77"/>
      <c r="AE228" s="48"/>
      <c r="AF228" s="77"/>
      <c r="AG228" s="48"/>
      <c r="AH228" s="77"/>
      <c r="AI228" s="48"/>
      <c r="AJ228" s="77"/>
      <c r="AK228" s="48"/>
    </row>
    <row r="229" ht="18.0" customHeight="1">
      <c r="A229" s="48"/>
      <c r="B229" s="48"/>
      <c r="C229" s="77"/>
      <c r="D229" s="48"/>
      <c r="E229" s="48"/>
      <c r="F229" s="48"/>
      <c r="G229" s="48"/>
      <c r="H229" s="77"/>
      <c r="I229" s="48"/>
      <c r="J229" s="48"/>
      <c r="K229" s="48"/>
      <c r="L229" s="48"/>
      <c r="M229" s="48"/>
      <c r="N229" s="77"/>
      <c r="O229" s="78"/>
      <c r="P229" s="77"/>
      <c r="Q229" s="78"/>
      <c r="R229" s="78"/>
      <c r="S229" s="77"/>
      <c r="T229" s="48"/>
      <c r="U229" s="48"/>
      <c r="V229" s="48"/>
      <c r="W229" s="48"/>
      <c r="X229" s="77"/>
      <c r="Y229" s="48"/>
      <c r="Z229" s="48"/>
      <c r="AA229" s="48"/>
      <c r="AB229" s="77"/>
      <c r="AC229" s="48"/>
      <c r="AD229" s="77"/>
      <c r="AE229" s="48"/>
      <c r="AF229" s="77"/>
      <c r="AG229" s="48"/>
      <c r="AH229" s="77"/>
      <c r="AI229" s="48"/>
      <c r="AJ229" s="77"/>
      <c r="AK229" s="48"/>
    </row>
    <row r="230" ht="18.0" customHeight="1">
      <c r="A230" s="48"/>
      <c r="B230" s="48"/>
      <c r="C230" s="77"/>
      <c r="D230" s="48"/>
      <c r="E230" s="48"/>
      <c r="F230" s="48"/>
      <c r="G230" s="48"/>
      <c r="H230" s="77"/>
      <c r="I230" s="48"/>
      <c r="J230" s="48"/>
      <c r="K230" s="48"/>
      <c r="L230" s="48"/>
      <c r="M230" s="48"/>
      <c r="N230" s="77"/>
      <c r="O230" s="78"/>
      <c r="P230" s="77"/>
      <c r="Q230" s="78"/>
      <c r="R230" s="78"/>
      <c r="S230" s="77"/>
      <c r="T230" s="48"/>
      <c r="U230" s="48"/>
      <c r="V230" s="48"/>
      <c r="W230" s="48"/>
      <c r="X230" s="77"/>
      <c r="Y230" s="48"/>
      <c r="Z230" s="48"/>
      <c r="AA230" s="48"/>
      <c r="AB230" s="77"/>
      <c r="AC230" s="48"/>
      <c r="AD230" s="77"/>
      <c r="AE230" s="48"/>
      <c r="AF230" s="77"/>
      <c r="AG230" s="48"/>
      <c r="AH230" s="77"/>
      <c r="AI230" s="48"/>
      <c r="AJ230" s="77"/>
      <c r="AK230" s="48"/>
    </row>
    <row r="231" ht="18.0" customHeight="1">
      <c r="A231" s="48"/>
      <c r="B231" s="48"/>
      <c r="C231" s="77"/>
      <c r="D231" s="48"/>
      <c r="E231" s="48"/>
      <c r="F231" s="48"/>
      <c r="G231" s="48"/>
      <c r="H231" s="77"/>
      <c r="I231" s="48"/>
      <c r="J231" s="48"/>
      <c r="K231" s="48"/>
      <c r="L231" s="48"/>
      <c r="M231" s="48"/>
      <c r="N231" s="77"/>
      <c r="O231" s="78"/>
      <c r="P231" s="77"/>
      <c r="Q231" s="78"/>
      <c r="R231" s="78"/>
      <c r="S231" s="77"/>
      <c r="T231" s="48"/>
      <c r="U231" s="48"/>
      <c r="V231" s="48"/>
      <c r="W231" s="48"/>
      <c r="X231" s="77"/>
      <c r="Y231" s="48"/>
      <c r="Z231" s="48"/>
      <c r="AA231" s="48"/>
      <c r="AB231" s="77"/>
      <c r="AC231" s="48"/>
      <c r="AD231" s="77"/>
      <c r="AE231" s="48"/>
      <c r="AF231" s="77"/>
      <c r="AG231" s="48"/>
      <c r="AH231" s="77"/>
      <c r="AI231" s="48"/>
      <c r="AJ231" s="77"/>
      <c r="AK231" s="48"/>
    </row>
    <row r="232" ht="18.0" customHeight="1">
      <c r="A232" s="48"/>
      <c r="B232" s="48"/>
      <c r="C232" s="77"/>
      <c r="D232" s="48"/>
      <c r="E232" s="48"/>
      <c r="F232" s="48"/>
      <c r="G232" s="48"/>
      <c r="H232" s="77"/>
      <c r="I232" s="48"/>
      <c r="J232" s="48"/>
      <c r="K232" s="48"/>
      <c r="L232" s="48"/>
      <c r="M232" s="48"/>
      <c r="N232" s="77"/>
      <c r="O232" s="78"/>
      <c r="P232" s="77"/>
      <c r="Q232" s="78"/>
      <c r="R232" s="78"/>
      <c r="S232" s="77"/>
      <c r="T232" s="48"/>
      <c r="U232" s="48"/>
      <c r="V232" s="48"/>
      <c r="W232" s="48"/>
      <c r="X232" s="77"/>
      <c r="Y232" s="48"/>
      <c r="Z232" s="48"/>
      <c r="AA232" s="48"/>
      <c r="AB232" s="77"/>
      <c r="AC232" s="48"/>
      <c r="AD232" s="77"/>
      <c r="AE232" s="48"/>
      <c r="AF232" s="77"/>
      <c r="AG232" s="48"/>
      <c r="AH232" s="77"/>
      <c r="AI232" s="48"/>
      <c r="AJ232" s="77"/>
      <c r="AK232" s="48"/>
    </row>
    <row r="233" ht="18.0" customHeight="1">
      <c r="A233" s="48"/>
      <c r="B233" s="48"/>
      <c r="C233" s="77"/>
      <c r="D233" s="48"/>
      <c r="E233" s="48"/>
      <c r="F233" s="48"/>
      <c r="G233" s="48"/>
      <c r="H233" s="77"/>
      <c r="I233" s="48"/>
      <c r="J233" s="48"/>
      <c r="K233" s="48"/>
      <c r="L233" s="48"/>
      <c r="M233" s="48"/>
      <c r="N233" s="77"/>
      <c r="O233" s="78"/>
      <c r="P233" s="77"/>
      <c r="Q233" s="78"/>
      <c r="R233" s="78"/>
      <c r="S233" s="77"/>
      <c r="T233" s="48"/>
      <c r="U233" s="48"/>
      <c r="V233" s="48"/>
      <c r="W233" s="48"/>
      <c r="X233" s="77"/>
      <c r="Y233" s="48"/>
      <c r="Z233" s="48"/>
      <c r="AA233" s="48"/>
      <c r="AB233" s="77"/>
      <c r="AC233" s="48"/>
      <c r="AD233" s="77"/>
      <c r="AE233" s="48"/>
      <c r="AF233" s="77"/>
      <c r="AG233" s="48"/>
      <c r="AH233" s="77"/>
      <c r="AI233" s="48"/>
      <c r="AJ233" s="77"/>
      <c r="AK233" s="48"/>
    </row>
    <row r="234" ht="18.0" customHeight="1">
      <c r="A234" s="48"/>
      <c r="B234" s="48"/>
      <c r="C234" s="77"/>
      <c r="D234" s="48"/>
      <c r="E234" s="48"/>
      <c r="F234" s="48"/>
      <c r="G234" s="48"/>
      <c r="H234" s="77"/>
      <c r="I234" s="48"/>
      <c r="J234" s="48"/>
      <c r="K234" s="48"/>
      <c r="L234" s="48"/>
      <c r="M234" s="48"/>
      <c r="N234" s="77"/>
      <c r="O234" s="78"/>
      <c r="P234" s="77"/>
      <c r="Q234" s="78"/>
      <c r="R234" s="78"/>
      <c r="S234" s="77"/>
      <c r="T234" s="48"/>
      <c r="U234" s="48"/>
      <c r="V234" s="48"/>
      <c r="W234" s="48"/>
      <c r="X234" s="77"/>
      <c r="Y234" s="48"/>
      <c r="Z234" s="48"/>
      <c r="AA234" s="48"/>
      <c r="AB234" s="77"/>
      <c r="AC234" s="48"/>
      <c r="AD234" s="77"/>
      <c r="AE234" s="48"/>
      <c r="AF234" s="77"/>
      <c r="AG234" s="48"/>
      <c r="AH234" s="77"/>
      <c r="AI234" s="48"/>
      <c r="AJ234" s="77"/>
      <c r="AK234" s="48"/>
    </row>
    <row r="235" ht="18.0" customHeight="1">
      <c r="A235" s="48"/>
      <c r="B235" s="48"/>
      <c r="C235" s="77"/>
      <c r="D235" s="48"/>
      <c r="E235" s="48"/>
      <c r="F235" s="48"/>
      <c r="G235" s="48"/>
      <c r="H235" s="77"/>
      <c r="I235" s="48"/>
      <c r="J235" s="48"/>
      <c r="K235" s="48"/>
      <c r="L235" s="48"/>
      <c r="M235" s="48"/>
      <c r="N235" s="77"/>
      <c r="O235" s="78"/>
      <c r="P235" s="77"/>
      <c r="Q235" s="78"/>
      <c r="R235" s="78"/>
      <c r="S235" s="77"/>
      <c r="T235" s="48"/>
      <c r="U235" s="48"/>
      <c r="V235" s="48"/>
      <c r="W235" s="48"/>
      <c r="X235" s="77"/>
      <c r="Y235" s="48"/>
      <c r="Z235" s="48"/>
      <c r="AA235" s="48"/>
      <c r="AB235" s="77"/>
      <c r="AC235" s="48"/>
      <c r="AD235" s="77"/>
      <c r="AE235" s="48"/>
      <c r="AF235" s="77"/>
      <c r="AG235" s="48"/>
      <c r="AH235" s="77"/>
      <c r="AI235" s="48"/>
      <c r="AJ235" s="77"/>
      <c r="AK235" s="48"/>
    </row>
    <row r="236" ht="18.0" customHeight="1">
      <c r="A236" s="48"/>
      <c r="B236" s="48"/>
      <c r="C236" s="77"/>
      <c r="D236" s="48"/>
      <c r="E236" s="48"/>
      <c r="F236" s="48"/>
      <c r="G236" s="48"/>
      <c r="H236" s="77"/>
      <c r="I236" s="48"/>
      <c r="J236" s="48"/>
      <c r="K236" s="48"/>
      <c r="L236" s="48"/>
      <c r="M236" s="48"/>
      <c r="N236" s="77"/>
      <c r="O236" s="78"/>
      <c r="P236" s="77"/>
      <c r="Q236" s="78"/>
      <c r="R236" s="78"/>
      <c r="S236" s="77"/>
      <c r="T236" s="48"/>
      <c r="U236" s="48"/>
      <c r="V236" s="48"/>
      <c r="W236" s="48"/>
      <c r="X236" s="77"/>
      <c r="Y236" s="48"/>
      <c r="Z236" s="48"/>
      <c r="AA236" s="48"/>
      <c r="AB236" s="77"/>
      <c r="AC236" s="48"/>
      <c r="AD236" s="77"/>
      <c r="AE236" s="48"/>
      <c r="AF236" s="77"/>
      <c r="AG236" s="48"/>
      <c r="AH236" s="77"/>
      <c r="AI236" s="48"/>
      <c r="AJ236" s="77"/>
      <c r="AK236" s="48"/>
    </row>
    <row r="237" ht="18.0" customHeight="1">
      <c r="A237" s="48"/>
      <c r="B237" s="48"/>
      <c r="C237" s="77"/>
      <c r="D237" s="48"/>
      <c r="E237" s="48"/>
      <c r="F237" s="48"/>
      <c r="G237" s="48"/>
      <c r="H237" s="77"/>
      <c r="I237" s="48"/>
      <c r="J237" s="48"/>
      <c r="K237" s="48"/>
      <c r="L237" s="48"/>
      <c r="M237" s="48"/>
      <c r="N237" s="77"/>
      <c r="O237" s="78"/>
      <c r="P237" s="77"/>
      <c r="Q237" s="78"/>
      <c r="R237" s="78"/>
      <c r="S237" s="77"/>
      <c r="T237" s="48"/>
      <c r="U237" s="48"/>
      <c r="V237" s="48"/>
      <c r="W237" s="48"/>
      <c r="X237" s="77"/>
      <c r="Y237" s="48"/>
      <c r="Z237" s="48"/>
      <c r="AA237" s="48"/>
      <c r="AB237" s="77"/>
      <c r="AC237" s="48"/>
      <c r="AD237" s="77"/>
      <c r="AE237" s="48"/>
      <c r="AF237" s="77"/>
      <c r="AG237" s="48"/>
      <c r="AH237" s="77"/>
      <c r="AI237" s="48"/>
      <c r="AJ237" s="77"/>
      <c r="AK237" s="48"/>
    </row>
    <row r="238" ht="18.0" customHeight="1">
      <c r="A238" s="48"/>
      <c r="B238" s="48"/>
      <c r="C238" s="77"/>
      <c r="D238" s="48"/>
      <c r="E238" s="48"/>
      <c r="F238" s="48"/>
      <c r="G238" s="48"/>
      <c r="H238" s="77"/>
      <c r="I238" s="48"/>
      <c r="J238" s="48"/>
      <c r="K238" s="48"/>
      <c r="L238" s="48"/>
      <c r="M238" s="48"/>
      <c r="N238" s="77"/>
      <c r="O238" s="78"/>
      <c r="P238" s="77"/>
      <c r="Q238" s="78"/>
      <c r="R238" s="78"/>
      <c r="S238" s="77"/>
      <c r="T238" s="48"/>
      <c r="U238" s="48"/>
      <c r="V238" s="48"/>
      <c r="W238" s="48"/>
      <c r="X238" s="77"/>
      <c r="Y238" s="48"/>
      <c r="Z238" s="48"/>
      <c r="AA238" s="48"/>
      <c r="AB238" s="77"/>
      <c r="AC238" s="48"/>
      <c r="AD238" s="77"/>
      <c r="AE238" s="48"/>
      <c r="AF238" s="77"/>
      <c r="AG238" s="48"/>
      <c r="AH238" s="77"/>
      <c r="AI238" s="48"/>
      <c r="AJ238" s="77"/>
      <c r="AK238" s="48"/>
    </row>
    <row r="239" ht="18.0" customHeight="1">
      <c r="A239" s="48"/>
      <c r="B239" s="48"/>
      <c r="C239" s="77"/>
      <c r="D239" s="48"/>
      <c r="E239" s="48"/>
      <c r="F239" s="48"/>
      <c r="G239" s="48"/>
      <c r="H239" s="77"/>
      <c r="I239" s="48"/>
      <c r="J239" s="48"/>
      <c r="K239" s="48"/>
      <c r="L239" s="48"/>
      <c r="M239" s="48"/>
      <c r="N239" s="77"/>
      <c r="O239" s="78"/>
      <c r="P239" s="77"/>
      <c r="Q239" s="78"/>
      <c r="R239" s="78"/>
      <c r="S239" s="77"/>
      <c r="T239" s="48"/>
      <c r="U239" s="48"/>
      <c r="V239" s="48"/>
      <c r="W239" s="48"/>
      <c r="X239" s="77"/>
      <c r="Y239" s="48"/>
      <c r="Z239" s="48"/>
      <c r="AA239" s="48"/>
      <c r="AB239" s="77"/>
      <c r="AC239" s="48"/>
      <c r="AD239" s="77"/>
      <c r="AE239" s="48"/>
      <c r="AF239" s="77"/>
      <c r="AG239" s="48"/>
      <c r="AH239" s="77"/>
      <c r="AI239" s="48"/>
      <c r="AJ239" s="77"/>
      <c r="AK239" s="48"/>
    </row>
    <row r="240" ht="18.0" customHeight="1">
      <c r="A240" s="48"/>
      <c r="B240" s="48"/>
      <c r="C240" s="77"/>
      <c r="D240" s="48"/>
      <c r="E240" s="48"/>
      <c r="F240" s="48"/>
      <c r="G240" s="48"/>
      <c r="H240" s="77"/>
      <c r="I240" s="48"/>
      <c r="J240" s="48"/>
      <c r="K240" s="48"/>
      <c r="L240" s="48"/>
      <c r="M240" s="48"/>
      <c r="N240" s="77"/>
      <c r="O240" s="78"/>
      <c r="P240" s="77"/>
      <c r="Q240" s="78"/>
      <c r="R240" s="78"/>
      <c r="S240" s="77"/>
      <c r="T240" s="48"/>
      <c r="U240" s="48"/>
      <c r="V240" s="48"/>
      <c r="W240" s="48"/>
      <c r="X240" s="77"/>
      <c r="Y240" s="48"/>
      <c r="Z240" s="48"/>
      <c r="AA240" s="48"/>
      <c r="AB240" s="77"/>
      <c r="AC240" s="48"/>
      <c r="AD240" s="77"/>
      <c r="AE240" s="48"/>
      <c r="AF240" s="77"/>
      <c r="AG240" s="48"/>
      <c r="AH240" s="77"/>
      <c r="AI240" s="48"/>
      <c r="AJ240" s="77"/>
      <c r="AK240" s="48"/>
    </row>
    <row r="241" ht="18.0" customHeight="1">
      <c r="A241" s="48"/>
      <c r="B241" s="48"/>
      <c r="C241" s="77"/>
      <c r="D241" s="48"/>
      <c r="E241" s="48"/>
      <c r="F241" s="48"/>
      <c r="G241" s="48"/>
      <c r="H241" s="77"/>
      <c r="I241" s="48"/>
      <c r="J241" s="48"/>
      <c r="K241" s="48"/>
      <c r="L241" s="48"/>
      <c r="M241" s="48"/>
      <c r="N241" s="77"/>
      <c r="O241" s="78"/>
      <c r="P241" s="77"/>
      <c r="Q241" s="78"/>
      <c r="R241" s="78"/>
      <c r="S241" s="77"/>
      <c r="T241" s="48"/>
      <c r="U241" s="48"/>
      <c r="V241" s="48"/>
      <c r="W241" s="48"/>
      <c r="X241" s="77"/>
      <c r="Y241" s="48"/>
      <c r="Z241" s="48"/>
      <c r="AA241" s="48"/>
      <c r="AB241" s="77"/>
      <c r="AC241" s="48"/>
      <c r="AD241" s="77"/>
      <c r="AE241" s="48"/>
      <c r="AF241" s="77"/>
      <c r="AG241" s="48"/>
      <c r="AH241" s="77"/>
      <c r="AI241" s="48"/>
      <c r="AJ241" s="77"/>
      <c r="AK241" s="48"/>
    </row>
    <row r="242" ht="18.0" customHeight="1">
      <c r="A242" s="48"/>
      <c r="B242" s="48"/>
      <c r="C242" s="77"/>
      <c r="D242" s="48"/>
      <c r="E242" s="48"/>
      <c r="F242" s="48"/>
      <c r="G242" s="48"/>
      <c r="H242" s="77"/>
      <c r="I242" s="48"/>
      <c r="J242" s="48"/>
      <c r="K242" s="48"/>
      <c r="L242" s="48"/>
      <c r="M242" s="48"/>
      <c r="N242" s="77"/>
      <c r="O242" s="78"/>
      <c r="P242" s="77"/>
      <c r="Q242" s="78"/>
      <c r="R242" s="78"/>
      <c r="S242" s="77"/>
      <c r="T242" s="48"/>
      <c r="U242" s="48"/>
      <c r="V242" s="48"/>
      <c r="W242" s="48"/>
      <c r="X242" s="77"/>
      <c r="Y242" s="48"/>
      <c r="Z242" s="48"/>
      <c r="AA242" s="48"/>
      <c r="AB242" s="77"/>
      <c r="AC242" s="48"/>
      <c r="AD242" s="77"/>
      <c r="AE242" s="48"/>
      <c r="AF242" s="77"/>
      <c r="AG242" s="48"/>
      <c r="AH242" s="77"/>
      <c r="AI242" s="48"/>
      <c r="AJ242" s="77"/>
      <c r="AK242" s="48"/>
    </row>
    <row r="243" ht="18.0" customHeight="1">
      <c r="A243" s="48"/>
      <c r="B243" s="48"/>
      <c r="C243" s="77"/>
      <c r="D243" s="48"/>
      <c r="E243" s="48"/>
      <c r="F243" s="48"/>
      <c r="G243" s="48"/>
      <c r="H243" s="77"/>
      <c r="I243" s="48"/>
      <c r="J243" s="48"/>
      <c r="K243" s="48"/>
      <c r="L243" s="48"/>
      <c r="M243" s="48"/>
      <c r="N243" s="77"/>
      <c r="O243" s="78"/>
      <c r="P243" s="77"/>
      <c r="Q243" s="78"/>
      <c r="R243" s="78"/>
      <c r="S243" s="77"/>
      <c r="T243" s="48"/>
      <c r="U243" s="48"/>
      <c r="V243" s="48"/>
      <c r="W243" s="48"/>
      <c r="X243" s="77"/>
      <c r="Y243" s="48"/>
      <c r="Z243" s="48"/>
      <c r="AA243" s="48"/>
      <c r="AB243" s="77"/>
      <c r="AC243" s="48"/>
      <c r="AD243" s="77"/>
      <c r="AE243" s="48"/>
      <c r="AF243" s="77"/>
      <c r="AG243" s="48"/>
      <c r="AH243" s="77"/>
      <c r="AI243" s="48"/>
      <c r="AJ243" s="77"/>
      <c r="AK243" s="48"/>
    </row>
    <row r="244" ht="18.0" customHeight="1">
      <c r="A244" s="48"/>
      <c r="B244" s="48"/>
      <c r="C244" s="77"/>
      <c r="D244" s="48"/>
      <c r="E244" s="48"/>
      <c r="F244" s="48"/>
      <c r="G244" s="48"/>
      <c r="H244" s="77"/>
      <c r="I244" s="48"/>
      <c r="J244" s="48"/>
      <c r="K244" s="48"/>
      <c r="L244" s="48"/>
      <c r="M244" s="48"/>
      <c r="N244" s="77"/>
      <c r="O244" s="78"/>
      <c r="P244" s="77"/>
      <c r="Q244" s="78"/>
      <c r="R244" s="78"/>
      <c r="S244" s="77"/>
      <c r="T244" s="48"/>
      <c r="U244" s="48"/>
      <c r="V244" s="48"/>
      <c r="W244" s="48"/>
      <c r="X244" s="77"/>
      <c r="Y244" s="48"/>
      <c r="Z244" s="48"/>
      <c r="AA244" s="48"/>
      <c r="AB244" s="77"/>
      <c r="AC244" s="48"/>
      <c r="AD244" s="77"/>
      <c r="AE244" s="48"/>
      <c r="AF244" s="77"/>
      <c r="AG244" s="48"/>
      <c r="AH244" s="77"/>
      <c r="AI244" s="48"/>
      <c r="AJ244" s="77"/>
      <c r="AK244" s="48"/>
    </row>
    <row r="245" ht="18.0" customHeight="1">
      <c r="A245" s="48"/>
      <c r="B245" s="48"/>
      <c r="C245" s="77"/>
      <c r="D245" s="48"/>
      <c r="E245" s="48"/>
      <c r="F245" s="48"/>
      <c r="G245" s="48"/>
      <c r="H245" s="77"/>
      <c r="I245" s="48"/>
      <c r="J245" s="48"/>
      <c r="K245" s="48"/>
      <c r="L245" s="48"/>
      <c r="M245" s="48"/>
      <c r="N245" s="77"/>
      <c r="O245" s="78"/>
      <c r="P245" s="77"/>
      <c r="Q245" s="78"/>
      <c r="R245" s="78"/>
      <c r="S245" s="77"/>
      <c r="T245" s="48"/>
      <c r="U245" s="48"/>
      <c r="V245" s="48"/>
      <c r="W245" s="48"/>
      <c r="X245" s="77"/>
      <c r="Y245" s="48"/>
      <c r="Z245" s="48"/>
      <c r="AA245" s="48"/>
      <c r="AB245" s="77"/>
      <c r="AC245" s="48"/>
      <c r="AD245" s="77"/>
      <c r="AE245" s="48"/>
      <c r="AF245" s="77"/>
      <c r="AG245" s="48"/>
      <c r="AH245" s="77"/>
      <c r="AI245" s="48"/>
      <c r="AJ245" s="77"/>
      <c r="AK245" s="48"/>
    </row>
    <row r="246" ht="18.0" customHeight="1">
      <c r="A246" s="48"/>
      <c r="B246" s="48"/>
      <c r="C246" s="77"/>
      <c r="D246" s="48"/>
      <c r="E246" s="48"/>
      <c r="F246" s="48"/>
      <c r="G246" s="48"/>
      <c r="H246" s="77"/>
      <c r="I246" s="48"/>
      <c r="J246" s="48"/>
      <c r="K246" s="48"/>
      <c r="L246" s="48"/>
      <c r="M246" s="48"/>
      <c r="N246" s="77"/>
      <c r="O246" s="78"/>
      <c r="P246" s="77"/>
      <c r="Q246" s="78"/>
      <c r="R246" s="78"/>
      <c r="S246" s="77"/>
      <c r="T246" s="48"/>
      <c r="U246" s="48"/>
      <c r="V246" s="48"/>
      <c r="W246" s="48"/>
      <c r="X246" s="77"/>
      <c r="Y246" s="48"/>
      <c r="Z246" s="48"/>
      <c r="AA246" s="48"/>
      <c r="AB246" s="77"/>
      <c r="AC246" s="48"/>
      <c r="AD246" s="77"/>
      <c r="AE246" s="48"/>
      <c r="AF246" s="77"/>
      <c r="AG246" s="48"/>
      <c r="AH246" s="77"/>
      <c r="AI246" s="48"/>
      <c r="AJ246" s="77"/>
      <c r="AK246" s="48"/>
    </row>
    <row r="247" ht="18.0" customHeight="1">
      <c r="A247" s="48"/>
      <c r="B247" s="48"/>
      <c r="C247" s="77"/>
      <c r="D247" s="48"/>
      <c r="E247" s="48"/>
      <c r="F247" s="48"/>
      <c r="G247" s="48"/>
      <c r="H247" s="77"/>
      <c r="I247" s="48"/>
      <c r="J247" s="48"/>
      <c r="K247" s="48"/>
      <c r="L247" s="48"/>
      <c r="M247" s="48"/>
      <c r="N247" s="77"/>
      <c r="O247" s="78"/>
      <c r="P247" s="77"/>
      <c r="Q247" s="78"/>
      <c r="R247" s="78"/>
      <c r="S247" s="77"/>
      <c r="T247" s="48"/>
      <c r="U247" s="48"/>
      <c r="V247" s="48"/>
      <c r="W247" s="48"/>
      <c r="X247" s="77"/>
      <c r="Y247" s="48"/>
      <c r="Z247" s="48"/>
      <c r="AA247" s="48"/>
      <c r="AB247" s="77"/>
      <c r="AC247" s="48"/>
      <c r="AD247" s="77"/>
      <c r="AE247" s="48"/>
      <c r="AF247" s="77"/>
      <c r="AG247" s="48"/>
      <c r="AH247" s="77"/>
      <c r="AI247" s="48"/>
      <c r="AJ247" s="77"/>
      <c r="AK247" s="48"/>
    </row>
    <row r="248" ht="18.0" customHeight="1">
      <c r="A248" s="48"/>
      <c r="B248" s="48"/>
      <c r="C248" s="77"/>
      <c r="D248" s="48"/>
      <c r="E248" s="48"/>
      <c r="F248" s="48"/>
      <c r="G248" s="48"/>
      <c r="H248" s="77"/>
      <c r="I248" s="48"/>
      <c r="J248" s="48"/>
      <c r="K248" s="48"/>
      <c r="L248" s="48"/>
      <c r="M248" s="48"/>
      <c r="N248" s="77"/>
      <c r="O248" s="78"/>
      <c r="P248" s="77"/>
      <c r="Q248" s="78"/>
      <c r="R248" s="78"/>
      <c r="S248" s="77"/>
      <c r="T248" s="48"/>
      <c r="U248" s="48"/>
      <c r="V248" s="48"/>
      <c r="W248" s="48"/>
      <c r="X248" s="77"/>
      <c r="Y248" s="48"/>
      <c r="Z248" s="48"/>
      <c r="AA248" s="48"/>
      <c r="AB248" s="77"/>
      <c r="AC248" s="48"/>
      <c r="AD248" s="77"/>
      <c r="AE248" s="48"/>
      <c r="AF248" s="77"/>
      <c r="AG248" s="48"/>
      <c r="AH248" s="77"/>
      <c r="AI248" s="48"/>
      <c r="AJ248" s="77"/>
      <c r="AK248" s="48"/>
    </row>
    <row r="249" ht="18.0" customHeight="1">
      <c r="A249" s="48"/>
      <c r="B249" s="48"/>
      <c r="C249" s="77"/>
      <c r="D249" s="48"/>
      <c r="E249" s="48"/>
      <c r="F249" s="48"/>
      <c r="G249" s="48"/>
      <c r="H249" s="77"/>
      <c r="I249" s="48"/>
      <c r="J249" s="48"/>
      <c r="K249" s="48"/>
      <c r="L249" s="48"/>
      <c r="M249" s="48"/>
      <c r="N249" s="77"/>
      <c r="O249" s="78"/>
      <c r="P249" s="77"/>
      <c r="Q249" s="78"/>
      <c r="R249" s="78"/>
      <c r="S249" s="77"/>
      <c r="T249" s="48"/>
      <c r="U249" s="48"/>
      <c r="V249" s="48"/>
      <c r="W249" s="48"/>
      <c r="X249" s="77"/>
      <c r="Y249" s="48"/>
      <c r="Z249" s="48"/>
      <c r="AA249" s="48"/>
      <c r="AB249" s="77"/>
      <c r="AC249" s="48"/>
      <c r="AD249" s="77"/>
      <c r="AE249" s="48"/>
      <c r="AF249" s="77"/>
      <c r="AG249" s="48"/>
      <c r="AH249" s="77"/>
      <c r="AI249" s="48"/>
      <c r="AJ249" s="77"/>
      <c r="AK249" s="48"/>
    </row>
    <row r="250" ht="18.0" customHeight="1">
      <c r="A250" s="48"/>
      <c r="B250" s="48"/>
      <c r="C250" s="77"/>
      <c r="D250" s="48"/>
      <c r="E250" s="48"/>
      <c r="F250" s="48"/>
      <c r="G250" s="48"/>
      <c r="H250" s="77"/>
      <c r="I250" s="48"/>
      <c r="J250" s="48"/>
      <c r="K250" s="48"/>
      <c r="L250" s="48"/>
      <c r="M250" s="48"/>
      <c r="N250" s="77"/>
      <c r="O250" s="78"/>
      <c r="P250" s="77"/>
      <c r="Q250" s="78"/>
      <c r="R250" s="78"/>
      <c r="S250" s="77"/>
      <c r="T250" s="48"/>
      <c r="U250" s="48"/>
      <c r="V250" s="48"/>
      <c r="W250" s="48"/>
      <c r="X250" s="77"/>
      <c r="Y250" s="48"/>
      <c r="Z250" s="48"/>
      <c r="AA250" s="48"/>
      <c r="AB250" s="77"/>
      <c r="AC250" s="48"/>
      <c r="AD250" s="77"/>
      <c r="AE250" s="48"/>
      <c r="AF250" s="77"/>
      <c r="AG250" s="48"/>
      <c r="AH250" s="77"/>
      <c r="AI250" s="48"/>
      <c r="AJ250" s="77"/>
      <c r="AK250" s="48"/>
    </row>
    <row r="251" ht="18.0" customHeight="1">
      <c r="A251" s="48"/>
      <c r="B251" s="48"/>
      <c r="C251" s="77"/>
      <c r="D251" s="48"/>
      <c r="E251" s="48"/>
      <c r="F251" s="48"/>
      <c r="G251" s="48"/>
      <c r="H251" s="77"/>
      <c r="I251" s="48"/>
      <c r="J251" s="48"/>
      <c r="K251" s="48"/>
      <c r="L251" s="48"/>
      <c r="M251" s="48"/>
      <c r="N251" s="77"/>
      <c r="O251" s="78"/>
      <c r="P251" s="77"/>
      <c r="Q251" s="78"/>
      <c r="R251" s="78"/>
      <c r="S251" s="77"/>
      <c r="T251" s="48"/>
      <c r="U251" s="48"/>
      <c r="V251" s="48"/>
      <c r="W251" s="48"/>
      <c r="X251" s="77"/>
      <c r="Y251" s="48"/>
      <c r="Z251" s="48"/>
      <c r="AA251" s="48"/>
      <c r="AB251" s="77"/>
      <c r="AC251" s="48"/>
      <c r="AD251" s="77"/>
      <c r="AE251" s="48"/>
      <c r="AF251" s="77"/>
      <c r="AG251" s="48"/>
      <c r="AH251" s="77"/>
      <c r="AI251" s="48"/>
      <c r="AJ251" s="77"/>
      <c r="AK251" s="48"/>
    </row>
    <row r="252" ht="18.0" customHeight="1">
      <c r="A252" s="48"/>
      <c r="B252" s="48"/>
      <c r="C252" s="77"/>
      <c r="D252" s="48"/>
      <c r="E252" s="48"/>
      <c r="F252" s="48"/>
      <c r="G252" s="48"/>
      <c r="H252" s="77"/>
      <c r="I252" s="48"/>
      <c r="J252" s="48"/>
      <c r="K252" s="48"/>
      <c r="L252" s="48"/>
      <c r="M252" s="48"/>
      <c r="N252" s="77"/>
      <c r="O252" s="78"/>
      <c r="P252" s="77"/>
      <c r="Q252" s="78"/>
      <c r="R252" s="78"/>
      <c r="S252" s="77"/>
      <c r="T252" s="48"/>
      <c r="U252" s="48"/>
      <c r="V252" s="48"/>
      <c r="W252" s="48"/>
      <c r="X252" s="77"/>
      <c r="Y252" s="48"/>
      <c r="Z252" s="48"/>
      <c r="AA252" s="48"/>
      <c r="AB252" s="77"/>
      <c r="AC252" s="48"/>
      <c r="AD252" s="77"/>
      <c r="AE252" s="48"/>
      <c r="AF252" s="77"/>
      <c r="AG252" s="48"/>
      <c r="AH252" s="77"/>
      <c r="AI252" s="48"/>
      <c r="AJ252" s="77"/>
      <c r="AK252" s="48"/>
    </row>
    <row r="253" ht="18.0" customHeight="1">
      <c r="A253" s="48"/>
      <c r="B253" s="48"/>
      <c r="C253" s="77"/>
      <c r="D253" s="48"/>
      <c r="E253" s="48"/>
      <c r="F253" s="48"/>
      <c r="G253" s="48"/>
      <c r="H253" s="77"/>
      <c r="I253" s="48"/>
      <c r="J253" s="48"/>
      <c r="K253" s="48"/>
      <c r="L253" s="48"/>
      <c r="M253" s="48"/>
      <c r="N253" s="77"/>
      <c r="O253" s="78"/>
      <c r="P253" s="77"/>
      <c r="Q253" s="78"/>
      <c r="R253" s="78"/>
      <c r="S253" s="77"/>
      <c r="T253" s="48"/>
      <c r="U253" s="48"/>
      <c r="V253" s="48"/>
      <c r="W253" s="48"/>
      <c r="X253" s="77"/>
      <c r="Y253" s="48"/>
      <c r="Z253" s="48"/>
      <c r="AA253" s="48"/>
      <c r="AB253" s="77"/>
      <c r="AC253" s="48"/>
      <c r="AD253" s="77"/>
      <c r="AE253" s="48"/>
      <c r="AF253" s="77"/>
      <c r="AG253" s="48"/>
      <c r="AH253" s="77"/>
      <c r="AI253" s="48"/>
      <c r="AJ253" s="77"/>
      <c r="AK253" s="48"/>
    </row>
    <row r="254" ht="18.0" customHeight="1">
      <c r="A254" s="48"/>
      <c r="B254" s="48"/>
      <c r="C254" s="77"/>
      <c r="D254" s="48"/>
      <c r="E254" s="48"/>
      <c r="F254" s="48"/>
      <c r="G254" s="48"/>
      <c r="H254" s="77"/>
      <c r="I254" s="48"/>
      <c r="J254" s="48"/>
      <c r="K254" s="48"/>
      <c r="L254" s="48"/>
      <c r="M254" s="48"/>
      <c r="N254" s="77"/>
      <c r="O254" s="78"/>
      <c r="P254" s="77"/>
      <c r="Q254" s="78"/>
      <c r="R254" s="78"/>
      <c r="S254" s="77"/>
      <c r="T254" s="48"/>
      <c r="U254" s="48"/>
      <c r="V254" s="48"/>
      <c r="W254" s="48"/>
      <c r="X254" s="77"/>
      <c r="Y254" s="48"/>
      <c r="Z254" s="48"/>
      <c r="AA254" s="48"/>
      <c r="AB254" s="77"/>
      <c r="AC254" s="48"/>
      <c r="AD254" s="77"/>
      <c r="AE254" s="48"/>
      <c r="AF254" s="77"/>
      <c r="AG254" s="48"/>
      <c r="AH254" s="77"/>
      <c r="AI254" s="48"/>
      <c r="AJ254" s="77"/>
      <c r="AK254" s="48"/>
    </row>
    <row r="255" ht="18.0" customHeight="1">
      <c r="A255" s="48"/>
      <c r="B255" s="48"/>
      <c r="C255" s="77"/>
      <c r="D255" s="48"/>
      <c r="E255" s="48"/>
      <c r="F255" s="48"/>
      <c r="G255" s="48"/>
      <c r="H255" s="77"/>
      <c r="I255" s="48"/>
      <c r="J255" s="48"/>
      <c r="K255" s="48"/>
      <c r="L255" s="48"/>
      <c r="M255" s="48"/>
      <c r="N255" s="77"/>
      <c r="O255" s="78"/>
      <c r="P255" s="77"/>
      <c r="Q255" s="78"/>
      <c r="R255" s="78"/>
      <c r="S255" s="77"/>
      <c r="T255" s="48"/>
      <c r="U255" s="48"/>
      <c r="V255" s="48"/>
      <c r="W255" s="48"/>
      <c r="X255" s="77"/>
      <c r="Y255" s="48"/>
      <c r="Z255" s="48"/>
      <c r="AA255" s="48"/>
      <c r="AB255" s="77"/>
      <c r="AC255" s="48"/>
      <c r="AD255" s="77"/>
      <c r="AE255" s="48"/>
      <c r="AF255" s="77"/>
      <c r="AG255" s="48"/>
      <c r="AH255" s="77"/>
      <c r="AI255" s="48"/>
      <c r="AJ255" s="77"/>
      <c r="AK255" s="48"/>
    </row>
    <row r="256" ht="18.0" customHeight="1">
      <c r="A256" s="48"/>
      <c r="B256" s="48"/>
      <c r="C256" s="77"/>
      <c r="D256" s="48"/>
      <c r="E256" s="48"/>
      <c r="F256" s="48"/>
      <c r="G256" s="48"/>
      <c r="H256" s="77"/>
      <c r="I256" s="48"/>
      <c r="J256" s="48"/>
      <c r="K256" s="48"/>
      <c r="L256" s="48"/>
      <c r="M256" s="48"/>
      <c r="N256" s="77"/>
      <c r="O256" s="78"/>
      <c r="P256" s="77"/>
      <c r="Q256" s="78"/>
      <c r="R256" s="78"/>
      <c r="S256" s="77"/>
      <c r="T256" s="48"/>
      <c r="U256" s="48"/>
      <c r="V256" s="48"/>
      <c r="W256" s="48"/>
      <c r="X256" s="77"/>
      <c r="Y256" s="48"/>
      <c r="Z256" s="48"/>
      <c r="AA256" s="48"/>
      <c r="AB256" s="77"/>
      <c r="AC256" s="48"/>
      <c r="AD256" s="77"/>
      <c r="AE256" s="48"/>
      <c r="AF256" s="77"/>
      <c r="AG256" s="48"/>
      <c r="AH256" s="77"/>
      <c r="AI256" s="48"/>
      <c r="AJ256" s="77"/>
      <c r="AK256" s="48"/>
    </row>
    <row r="257" ht="18.0" customHeight="1">
      <c r="A257" s="48"/>
      <c r="B257" s="48"/>
      <c r="C257" s="77"/>
      <c r="D257" s="48"/>
      <c r="E257" s="48"/>
      <c r="F257" s="48"/>
      <c r="G257" s="48"/>
      <c r="H257" s="77"/>
      <c r="I257" s="48"/>
      <c r="J257" s="48"/>
      <c r="K257" s="48"/>
      <c r="L257" s="48"/>
      <c r="M257" s="48"/>
      <c r="N257" s="77"/>
      <c r="O257" s="78"/>
      <c r="P257" s="77"/>
      <c r="Q257" s="78"/>
      <c r="R257" s="78"/>
      <c r="S257" s="77"/>
      <c r="T257" s="48"/>
      <c r="U257" s="48"/>
      <c r="V257" s="48"/>
      <c r="W257" s="48"/>
      <c r="X257" s="77"/>
      <c r="Y257" s="48"/>
      <c r="Z257" s="48"/>
      <c r="AA257" s="48"/>
      <c r="AB257" s="77"/>
      <c r="AC257" s="48"/>
      <c r="AD257" s="77"/>
      <c r="AE257" s="48"/>
      <c r="AF257" s="77"/>
      <c r="AG257" s="48"/>
      <c r="AH257" s="77"/>
      <c r="AI257" s="48"/>
      <c r="AJ257" s="77"/>
      <c r="AK257" s="48"/>
    </row>
    <row r="258" ht="18.0" customHeight="1">
      <c r="A258" s="48"/>
      <c r="B258" s="48"/>
      <c r="C258" s="77"/>
      <c r="D258" s="48"/>
      <c r="E258" s="48"/>
      <c r="F258" s="48"/>
      <c r="G258" s="48"/>
      <c r="H258" s="77"/>
      <c r="I258" s="48"/>
      <c r="J258" s="48"/>
      <c r="K258" s="48"/>
      <c r="L258" s="48"/>
      <c r="M258" s="48"/>
      <c r="N258" s="77"/>
      <c r="O258" s="78"/>
      <c r="P258" s="77"/>
      <c r="Q258" s="78"/>
      <c r="R258" s="78"/>
      <c r="S258" s="77"/>
      <c r="T258" s="48"/>
      <c r="U258" s="48"/>
      <c r="V258" s="48"/>
      <c r="W258" s="48"/>
      <c r="X258" s="77"/>
      <c r="Y258" s="48"/>
      <c r="Z258" s="48"/>
      <c r="AA258" s="48"/>
      <c r="AB258" s="77"/>
      <c r="AC258" s="48"/>
      <c r="AD258" s="77"/>
      <c r="AE258" s="48"/>
      <c r="AF258" s="77"/>
      <c r="AG258" s="48"/>
      <c r="AH258" s="77"/>
      <c r="AI258" s="48"/>
      <c r="AJ258" s="77"/>
      <c r="AK258" s="48"/>
    </row>
    <row r="259" ht="18.0" customHeight="1">
      <c r="A259" s="48"/>
      <c r="B259" s="48"/>
      <c r="C259" s="77"/>
      <c r="D259" s="48"/>
      <c r="E259" s="48"/>
      <c r="F259" s="48"/>
      <c r="G259" s="48"/>
      <c r="H259" s="77"/>
      <c r="I259" s="48"/>
      <c r="J259" s="48"/>
      <c r="K259" s="48"/>
      <c r="L259" s="48"/>
      <c r="M259" s="48"/>
      <c r="N259" s="77"/>
      <c r="O259" s="78"/>
      <c r="P259" s="77"/>
      <c r="Q259" s="78"/>
      <c r="R259" s="78"/>
      <c r="S259" s="77"/>
      <c r="T259" s="48"/>
      <c r="U259" s="48"/>
      <c r="V259" s="48"/>
      <c r="W259" s="48"/>
      <c r="X259" s="77"/>
      <c r="Y259" s="48"/>
      <c r="Z259" s="48"/>
      <c r="AA259" s="48"/>
      <c r="AB259" s="77"/>
      <c r="AC259" s="48"/>
      <c r="AD259" s="77"/>
      <c r="AE259" s="48"/>
      <c r="AF259" s="77"/>
      <c r="AG259" s="48"/>
      <c r="AH259" s="77"/>
      <c r="AI259" s="48"/>
      <c r="AJ259" s="77"/>
      <c r="AK259" s="48"/>
    </row>
    <row r="260" ht="18.0" customHeight="1">
      <c r="A260" s="48"/>
      <c r="B260" s="48"/>
      <c r="C260" s="77"/>
      <c r="D260" s="48"/>
      <c r="E260" s="48"/>
      <c r="F260" s="48"/>
      <c r="G260" s="48"/>
      <c r="H260" s="77"/>
      <c r="I260" s="48"/>
      <c r="J260" s="48"/>
      <c r="K260" s="48"/>
      <c r="L260" s="48"/>
      <c r="M260" s="48"/>
      <c r="N260" s="77"/>
      <c r="O260" s="78"/>
      <c r="P260" s="77"/>
      <c r="Q260" s="78"/>
      <c r="R260" s="78"/>
      <c r="S260" s="77"/>
      <c r="T260" s="48"/>
      <c r="U260" s="48"/>
      <c r="V260" s="48"/>
      <c r="W260" s="48"/>
      <c r="X260" s="77"/>
      <c r="Y260" s="48"/>
      <c r="Z260" s="48"/>
      <c r="AA260" s="48"/>
      <c r="AB260" s="77"/>
      <c r="AC260" s="48"/>
      <c r="AD260" s="77"/>
      <c r="AE260" s="48"/>
      <c r="AF260" s="77"/>
      <c r="AG260" s="48"/>
      <c r="AH260" s="77"/>
      <c r="AI260" s="48"/>
      <c r="AJ260" s="77"/>
      <c r="AK260" s="48"/>
    </row>
    <row r="261" ht="18.0" customHeight="1">
      <c r="A261" s="48"/>
      <c r="B261" s="48"/>
      <c r="C261" s="77"/>
      <c r="D261" s="48"/>
      <c r="E261" s="48"/>
      <c r="F261" s="48"/>
      <c r="G261" s="48"/>
      <c r="H261" s="77"/>
      <c r="I261" s="48"/>
      <c r="J261" s="48"/>
      <c r="K261" s="48"/>
      <c r="L261" s="48"/>
      <c r="M261" s="48"/>
      <c r="N261" s="77"/>
      <c r="O261" s="78"/>
      <c r="P261" s="77"/>
      <c r="Q261" s="78"/>
      <c r="R261" s="78"/>
      <c r="S261" s="77"/>
      <c r="T261" s="48"/>
      <c r="U261" s="48"/>
      <c r="V261" s="48"/>
      <c r="W261" s="48"/>
      <c r="X261" s="77"/>
      <c r="Y261" s="48"/>
      <c r="Z261" s="48"/>
      <c r="AA261" s="48"/>
      <c r="AB261" s="77"/>
      <c r="AC261" s="48"/>
      <c r="AD261" s="77"/>
      <c r="AE261" s="48"/>
      <c r="AF261" s="77"/>
      <c r="AG261" s="48"/>
      <c r="AH261" s="77"/>
      <c r="AI261" s="48"/>
      <c r="AJ261" s="77"/>
      <c r="AK261" s="48"/>
    </row>
    <row r="262" ht="18.0" customHeight="1">
      <c r="A262" s="48"/>
      <c r="B262" s="48"/>
      <c r="C262" s="77"/>
      <c r="D262" s="48"/>
      <c r="E262" s="48"/>
      <c r="F262" s="48"/>
      <c r="G262" s="48"/>
      <c r="H262" s="77"/>
      <c r="I262" s="48"/>
      <c r="J262" s="48"/>
      <c r="K262" s="48"/>
      <c r="L262" s="48"/>
      <c r="M262" s="48"/>
      <c r="N262" s="77"/>
      <c r="O262" s="78"/>
      <c r="P262" s="77"/>
      <c r="Q262" s="78"/>
      <c r="R262" s="78"/>
      <c r="S262" s="77"/>
      <c r="T262" s="48"/>
      <c r="U262" s="48"/>
      <c r="V262" s="48"/>
      <c r="W262" s="48"/>
      <c r="X262" s="77"/>
      <c r="Y262" s="48"/>
      <c r="Z262" s="48"/>
      <c r="AA262" s="48"/>
      <c r="AB262" s="77"/>
      <c r="AC262" s="48"/>
      <c r="AD262" s="77"/>
      <c r="AE262" s="48"/>
      <c r="AF262" s="77"/>
      <c r="AG262" s="48"/>
      <c r="AH262" s="77"/>
      <c r="AI262" s="48"/>
      <c r="AJ262" s="77"/>
      <c r="AK262" s="48"/>
    </row>
    <row r="263" ht="18.0" customHeight="1">
      <c r="A263" s="48"/>
      <c r="B263" s="48"/>
      <c r="C263" s="77"/>
      <c r="D263" s="48"/>
      <c r="E263" s="48"/>
      <c r="F263" s="48"/>
      <c r="G263" s="48"/>
      <c r="H263" s="77"/>
      <c r="I263" s="48"/>
      <c r="J263" s="48"/>
      <c r="K263" s="48"/>
      <c r="L263" s="48"/>
      <c r="M263" s="48"/>
      <c r="N263" s="77"/>
      <c r="O263" s="78"/>
      <c r="P263" s="77"/>
      <c r="Q263" s="78"/>
      <c r="R263" s="78"/>
      <c r="S263" s="77"/>
      <c r="T263" s="48"/>
      <c r="U263" s="48"/>
      <c r="V263" s="48"/>
      <c r="W263" s="48"/>
      <c r="X263" s="77"/>
      <c r="Y263" s="48"/>
      <c r="Z263" s="48"/>
      <c r="AA263" s="48"/>
      <c r="AB263" s="77"/>
      <c r="AC263" s="48"/>
      <c r="AD263" s="77"/>
      <c r="AE263" s="48"/>
      <c r="AF263" s="77"/>
      <c r="AG263" s="48"/>
      <c r="AH263" s="77"/>
      <c r="AI263" s="48"/>
      <c r="AJ263" s="77"/>
      <c r="AK263" s="48"/>
    </row>
    <row r="264" ht="18.0" customHeight="1">
      <c r="A264" s="48"/>
      <c r="B264" s="48"/>
      <c r="C264" s="77"/>
      <c r="D264" s="48"/>
      <c r="E264" s="48"/>
      <c r="F264" s="48"/>
      <c r="G264" s="48"/>
      <c r="H264" s="77"/>
      <c r="I264" s="48"/>
      <c r="J264" s="48"/>
      <c r="K264" s="48"/>
      <c r="L264" s="48"/>
      <c r="M264" s="48"/>
      <c r="N264" s="77"/>
      <c r="O264" s="78"/>
      <c r="P264" s="77"/>
      <c r="Q264" s="78"/>
      <c r="R264" s="78"/>
      <c r="S264" s="77"/>
      <c r="T264" s="48"/>
      <c r="U264" s="48"/>
      <c r="V264" s="48"/>
      <c r="W264" s="48"/>
      <c r="X264" s="77"/>
      <c r="Y264" s="48"/>
      <c r="Z264" s="48"/>
      <c r="AA264" s="48"/>
      <c r="AB264" s="77"/>
      <c r="AC264" s="48"/>
      <c r="AD264" s="77"/>
      <c r="AE264" s="48"/>
      <c r="AF264" s="77"/>
      <c r="AG264" s="48"/>
      <c r="AH264" s="77"/>
      <c r="AI264" s="48"/>
      <c r="AJ264" s="77"/>
      <c r="AK264" s="48"/>
    </row>
    <row r="265" ht="18.0" customHeight="1">
      <c r="A265" s="48"/>
      <c r="B265" s="48"/>
      <c r="C265" s="77"/>
      <c r="D265" s="48"/>
      <c r="E265" s="48"/>
      <c r="F265" s="48"/>
      <c r="G265" s="48"/>
      <c r="H265" s="77"/>
      <c r="I265" s="48"/>
      <c r="J265" s="48"/>
      <c r="K265" s="48"/>
      <c r="L265" s="48"/>
      <c r="M265" s="48"/>
      <c r="N265" s="77"/>
      <c r="O265" s="78"/>
      <c r="P265" s="77"/>
      <c r="Q265" s="78"/>
      <c r="R265" s="78"/>
      <c r="S265" s="77"/>
      <c r="T265" s="48"/>
      <c r="U265" s="48"/>
      <c r="V265" s="48"/>
      <c r="W265" s="48"/>
      <c r="X265" s="77"/>
      <c r="Y265" s="48"/>
      <c r="Z265" s="48"/>
      <c r="AA265" s="48"/>
      <c r="AB265" s="77"/>
      <c r="AC265" s="48"/>
      <c r="AD265" s="77"/>
      <c r="AE265" s="48"/>
      <c r="AF265" s="77"/>
      <c r="AG265" s="48"/>
      <c r="AH265" s="77"/>
      <c r="AI265" s="48"/>
      <c r="AJ265" s="77"/>
      <c r="AK265" s="48"/>
    </row>
    <row r="266" ht="18.0" customHeight="1">
      <c r="A266" s="48"/>
      <c r="B266" s="48"/>
      <c r="C266" s="77"/>
      <c r="D266" s="48"/>
      <c r="E266" s="48"/>
      <c r="F266" s="48"/>
      <c r="G266" s="48"/>
      <c r="H266" s="77"/>
      <c r="I266" s="48"/>
      <c r="J266" s="48"/>
      <c r="K266" s="48"/>
      <c r="L266" s="48"/>
      <c r="M266" s="48"/>
      <c r="N266" s="77"/>
      <c r="O266" s="78"/>
      <c r="P266" s="77"/>
      <c r="Q266" s="78"/>
      <c r="R266" s="78"/>
      <c r="S266" s="77"/>
      <c r="T266" s="48"/>
      <c r="U266" s="48"/>
      <c r="V266" s="48"/>
      <c r="W266" s="48"/>
      <c r="X266" s="77"/>
      <c r="Y266" s="48"/>
      <c r="Z266" s="48"/>
      <c r="AA266" s="48"/>
      <c r="AB266" s="77"/>
      <c r="AC266" s="48"/>
      <c r="AD266" s="77"/>
      <c r="AE266" s="48"/>
      <c r="AF266" s="77"/>
      <c r="AG266" s="48"/>
      <c r="AH266" s="77"/>
      <c r="AI266" s="48"/>
      <c r="AJ266" s="77"/>
      <c r="AK266" s="48"/>
    </row>
    <row r="267" ht="18.0" customHeight="1">
      <c r="A267" s="48"/>
      <c r="B267" s="48"/>
      <c r="C267" s="77"/>
      <c r="D267" s="48"/>
      <c r="E267" s="48"/>
      <c r="F267" s="48"/>
      <c r="G267" s="48"/>
      <c r="H267" s="77"/>
      <c r="I267" s="48"/>
      <c r="J267" s="48"/>
      <c r="K267" s="48"/>
      <c r="L267" s="48"/>
      <c r="M267" s="48"/>
      <c r="N267" s="77"/>
      <c r="O267" s="78"/>
      <c r="P267" s="77"/>
      <c r="Q267" s="78"/>
      <c r="R267" s="78"/>
      <c r="S267" s="77"/>
      <c r="T267" s="48"/>
      <c r="U267" s="48"/>
      <c r="V267" s="48"/>
      <c r="W267" s="48"/>
      <c r="X267" s="77"/>
      <c r="Y267" s="48"/>
      <c r="Z267" s="48"/>
      <c r="AA267" s="48"/>
      <c r="AB267" s="77"/>
      <c r="AC267" s="48"/>
      <c r="AD267" s="77"/>
      <c r="AE267" s="48"/>
      <c r="AF267" s="77"/>
      <c r="AG267" s="48"/>
      <c r="AH267" s="77"/>
      <c r="AI267" s="48"/>
      <c r="AJ267" s="77"/>
      <c r="AK267" s="48"/>
    </row>
    <row r="268" ht="18.0" customHeight="1">
      <c r="A268" s="48"/>
      <c r="B268" s="48"/>
      <c r="C268" s="77"/>
      <c r="D268" s="48"/>
      <c r="E268" s="48"/>
      <c r="F268" s="48"/>
      <c r="G268" s="48"/>
      <c r="H268" s="77"/>
      <c r="I268" s="48"/>
      <c r="J268" s="48"/>
      <c r="K268" s="48"/>
      <c r="L268" s="48"/>
      <c r="M268" s="48"/>
      <c r="N268" s="77"/>
      <c r="O268" s="78"/>
      <c r="P268" s="77"/>
      <c r="Q268" s="78"/>
      <c r="R268" s="78"/>
      <c r="S268" s="77"/>
      <c r="T268" s="48"/>
      <c r="U268" s="48"/>
      <c r="V268" s="48"/>
      <c r="W268" s="48"/>
      <c r="X268" s="77"/>
      <c r="Y268" s="48"/>
      <c r="Z268" s="48"/>
      <c r="AA268" s="48"/>
      <c r="AB268" s="77"/>
      <c r="AC268" s="48"/>
      <c r="AD268" s="77"/>
      <c r="AE268" s="48"/>
      <c r="AF268" s="77"/>
      <c r="AG268" s="48"/>
      <c r="AH268" s="77"/>
      <c r="AI268" s="48"/>
      <c r="AJ268" s="77"/>
      <c r="AK268" s="48"/>
    </row>
    <row r="269" ht="18.0" customHeight="1">
      <c r="A269" s="48"/>
      <c r="B269" s="48"/>
      <c r="C269" s="77"/>
      <c r="D269" s="48"/>
      <c r="E269" s="48"/>
      <c r="F269" s="48"/>
      <c r="G269" s="48"/>
      <c r="H269" s="77"/>
      <c r="I269" s="48"/>
      <c r="J269" s="48"/>
      <c r="K269" s="48"/>
      <c r="L269" s="48"/>
      <c r="M269" s="48"/>
      <c r="N269" s="77"/>
      <c r="O269" s="78"/>
      <c r="P269" s="77"/>
      <c r="Q269" s="78"/>
      <c r="R269" s="78"/>
      <c r="S269" s="77"/>
      <c r="T269" s="48"/>
      <c r="U269" s="48"/>
      <c r="V269" s="48"/>
      <c r="W269" s="48"/>
      <c r="X269" s="77"/>
      <c r="Y269" s="48"/>
      <c r="Z269" s="48"/>
      <c r="AA269" s="48"/>
      <c r="AB269" s="77"/>
      <c r="AC269" s="48"/>
      <c r="AD269" s="77"/>
      <c r="AE269" s="48"/>
      <c r="AF269" s="77"/>
      <c r="AG269" s="48"/>
      <c r="AH269" s="77"/>
      <c r="AI269" s="48"/>
      <c r="AJ269" s="77"/>
      <c r="AK269" s="48"/>
    </row>
    <row r="270" ht="18.0" customHeight="1">
      <c r="A270" s="48"/>
      <c r="B270" s="48"/>
      <c r="C270" s="77"/>
      <c r="D270" s="48"/>
      <c r="E270" s="48"/>
      <c r="F270" s="48"/>
      <c r="G270" s="48"/>
      <c r="H270" s="77"/>
      <c r="I270" s="48"/>
      <c r="J270" s="48"/>
      <c r="K270" s="48"/>
      <c r="L270" s="48"/>
      <c r="M270" s="48"/>
      <c r="N270" s="77"/>
      <c r="O270" s="78"/>
      <c r="P270" s="77"/>
      <c r="Q270" s="78"/>
      <c r="R270" s="78"/>
      <c r="S270" s="77"/>
      <c r="T270" s="48"/>
      <c r="U270" s="48"/>
      <c r="V270" s="48"/>
      <c r="W270" s="48"/>
      <c r="X270" s="77"/>
      <c r="Y270" s="48"/>
      <c r="Z270" s="48"/>
      <c r="AA270" s="48"/>
      <c r="AB270" s="77"/>
      <c r="AC270" s="48"/>
      <c r="AD270" s="77"/>
      <c r="AE270" s="48"/>
      <c r="AF270" s="77"/>
      <c r="AG270" s="48"/>
      <c r="AH270" s="77"/>
      <c r="AI270" s="48"/>
      <c r="AJ270" s="77"/>
      <c r="AK270" s="48"/>
    </row>
    <row r="271" ht="18.0" customHeight="1">
      <c r="A271" s="48"/>
      <c r="B271" s="48"/>
      <c r="C271" s="77"/>
      <c r="D271" s="48"/>
      <c r="E271" s="48"/>
      <c r="F271" s="48"/>
      <c r="G271" s="48"/>
      <c r="H271" s="77"/>
      <c r="I271" s="48"/>
      <c r="J271" s="48"/>
      <c r="K271" s="48"/>
      <c r="L271" s="48"/>
      <c r="M271" s="48"/>
      <c r="N271" s="77"/>
      <c r="O271" s="78"/>
      <c r="P271" s="77"/>
      <c r="Q271" s="78"/>
      <c r="R271" s="78"/>
      <c r="S271" s="77"/>
      <c r="T271" s="48"/>
      <c r="U271" s="48"/>
      <c r="V271" s="48"/>
      <c r="W271" s="48"/>
      <c r="X271" s="77"/>
      <c r="Y271" s="48"/>
      <c r="Z271" s="48"/>
      <c r="AA271" s="48"/>
      <c r="AB271" s="77"/>
      <c r="AC271" s="48"/>
      <c r="AD271" s="77"/>
      <c r="AE271" s="48"/>
      <c r="AF271" s="77"/>
      <c r="AG271" s="48"/>
      <c r="AH271" s="77"/>
      <c r="AI271" s="48"/>
      <c r="AJ271" s="77"/>
      <c r="AK271" s="48"/>
    </row>
    <row r="272" ht="18.0" customHeight="1">
      <c r="A272" s="48"/>
      <c r="B272" s="48"/>
      <c r="C272" s="77"/>
      <c r="D272" s="48"/>
      <c r="E272" s="48"/>
      <c r="F272" s="48"/>
      <c r="G272" s="48"/>
      <c r="H272" s="77"/>
      <c r="I272" s="48"/>
      <c r="J272" s="48"/>
      <c r="K272" s="48"/>
      <c r="L272" s="48"/>
      <c r="M272" s="48"/>
      <c r="N272" s="77"/>
      <c r="O272" s="78"/>
      <c r="P272" s="77"/>
      <c r="Q272" s="78"/>
      <c r="R272" s="78"/>
      <c r="S272" s="77"/>
      <c r="T272" s="48"/>
      <c r="U272" s="48"/>
      <c r="V272" s="48"/>
      <c r="W272" s="48"/>
      <c r="X272" s="77"/>
      <c r="Y272" s="48"/>
      <c r="Z272" s="48"/>
      <c r="AA272" s="48"/>
      <c r="AB272" s="77"/>
      <c r="AC272" s="48"/>
      <c r="AD272" s="77"/>
      <c r="AE272" s="48"/>
      <c r="AF272" s="77"/>
      <c r="AG272" s="48"/>
      <c r="AH272" s="77"/>
      <c r="AI272" s="48"/>
      <c r="AJ272" s="77"/>
      <c r="AK272" s="48"/>
    </row>
    <row r="273" ht="18.0" customHeight="1">
      <c r="A273" s="48"/>
      <c r="B273" s="48"/>
      <c r="C273" s="77"/>
      <c r="D273" s="48"/>
      <c r="E273" s="48"/>
      <c r="F273" s="48"/>
      <c r="G273" s="48"/>
      <c r="H273" s="77"/>
      <c r="I273" s="48"/>
      <c r="J273" s="48"/>
      <c r="K273" s="48"/>
      <c r="L273" s="48"/>
      <c r="M273" s="48"/>
      <c r="N273" s="77"/>
      <c r="O273" s="78"/>
      <c r="P273" s="77"/>
      <c r="Q273" s="78"/>
      <c r="R273" s="78"/>
      <c r="S273" s="77"/>
      <c r="T273" s="48"/>
      <c r="U273" s="48"/>
      <c r="V273" s="48"/>
      <c r="W273" s="48"/>
      <c r="X273" s="77"/>
      <c r="Y273" s="48"/>
      <c r="Z273" s="48"/>
      <c r="AA273" s="48"/>
      <c r="AB273" s="77"/>
      <c r="AC273" s="48"/>
      <c r="AD273" s="77"/>
      <c r="AE273" s="48"/>
      <c r="AF273" s="77"/>
      <c r="AG273" s="48"/>
      <c r="AH273" s="77"/>
      <c r="AI273" s="48"/>
      <c r="AJ273" s="77"/>
      <c r="AK273" s="48"/>
    </row>
    <row r="274" ht="18.0" customHeight="1">
      <c r="A274" s="48"/>
      <c r="B274" s="48"/>
      <c r="C274" s="77"/>
      <c r="D274" s="48"/>
      <c r="E274" s="48"/>
      <c r="F274" s="48"/>
      <c r="G274" s="48"/>
      <c r="H274" s="77"/>
      <c r="I274" s="48"/>
      <c r="J274" s="48"/>
      <c r="K274" s="48"/>
      <c r="L274" s="48"/>
      <c r="M274" s="48"/>
      <c r="N274" s="77"/>
      <c r="O274" s="78"/>
      <c r="P274" s="77"/>
      <c r="Q274" s="78"/>
      <c r="R274" s="78"/>
      <c r="S274" s="77"/>
      <c r="T274" s="48"/>
      <c r="U274" s="48"/>
      <c r="V274" s="48"/>
      <c r="W274" s="48"/>
      <c r="X274" s="77"/>
      <c r="Y274" s="48"/>
      <c r="Z274" s="48"/>
      <c r="AA274" s="48"/>
      <c r="AB274" s="77"/>
      <c r="AC274" s="48"/>
      <c r="AD274" s="77"/>
      <c r="AE274" s="48"/>
      <c r="AF274" s="77"/>
      <c r="AG274" s="48"/>
      <c r="AH274" s="77"/>
      <c r="AI274" s="48"/>
      <c r="AJ274" s="77"/>
      <c r="AK274" s="48"/>
    </row>
    <row r="275" ht="18.0" customHeight="1">
      <c r="A275" s="48"/>
      <c r="B275" s="48"/>
      <c r="C275" s="77"/>
      <c r="D275" s="48"/>
      <c r="E275" s="48"/>
      <c r="F275" s="48"/>
      <c r="G275" s="48"/>
      <c r="H275" s="77"/>
      <c r="I275" s="48"/>
      <c r="J275" s="48"/>
      <c r="K275" s="48"/>
      <c r="L275" s="48"/>
      <c r="M275" s="48"/>
      <c r="N275" s="77"/>
      <c r="O275" s="78"/>
      <c r="P275" s="77"/>
      <c r="Q275" s="78"/>
      <c r="R275" s="78"/>
      <c r="S275" s="77"/>
      <c r="T275" s="48"/>
      <c r="U275" s="48"/>
      <c r="V275" s="48"/>
      <c r="W275" s="48"/>
      <c r="X275" s="77"/>
      <c r="Y275" s="48"/>
      <c r="Z275" s="48"/>
      <c r="AA275" s="48"/>
      <c r="AB275" s="77"/>
      <c r="AC275" s="48"/>
      <c r="AD275" s="77"/>
      <c r="AE275" s="48"/>
      <c r="AF275" s="77"/>
      <c r="AG275" s="48"/>
      <c r="AH275" s="77"/>
      <c r="AI275" s="48"/>
      <c r="AJ275" s="77"/>
      <c r="AK275" s="48"/>
    </row>
    <row r="276" ht="18.0" customHeight="1">
      <c r="A276" s="48"/>
      <c r="B276" s="48"/>
      <c r="C276" s="77"/>
      <c r="D276" s="48"/>
      <c r="E276" s="48"/>
      <c r="F276" s="48"/>
      <c r="G276" s="48"/>
      <c r="H276" s="77"/>
      <c r="I276" s="48"/>
      <c r="J276" s="48"/>
      <c r="K276" s="48"/>
      <c r="L276" s="48"/>
      <c r="M276" s="48"/>
      <c r="N276" s="77"/>
      <c r="O276" s="78"/>
      <c r="P276" s="77"/>
      <c r="Q276" s="78"/>
      <c r="R276" s="78"/>
      <c r="S276" s="77"/>
      <c r="T276" s="48"/>
      <c r="U276" s="48"/>
      <c r="V276" s="48"/>
      <c r="W276" s="48"/>
      <c r="X276" s="77"/>
      <c r="Y276" s="48"/>
      <c r="Z276" s="48"/>
      <c r="AA276" s="48"/>
      <c r="AB276" s="77"/>
      <c r="AC276" s="48"/>
      <c r="AD276" s="77"/>
      <c r="AE276" s="48"/>
      <c r="AF276" s="77"/>
      <c r="AG276" s="48"/>
      <c r="AH276" s="77"/>
      <c r="AI276" s="48"/>
      <c r="AJ276" s="77"/>
      <c r="AK276" s="48"/>
    </row>
    <row r="277" ht="18.0" customHeight="1">
      <c r="A277" s="48"/>
      <c r="B277" s="48"/>
      <c r="C277" s="77"/>
      <c r="D277" s="48"/>
      <c r="E277" s="48"/>
      <c r="F277" s="48"/>
      <c r="G277" s="48"/>
      <c r="H277" s="77"/>
      <c r="I277" s="48"/>
      <c r="J277" s="48"/>
      <c r="K277" s="48"/>
      <c r="L277" s="48"/>
      <c r="M277" s="48"/>
      <c r="N277" s="77"/>
      <c r="O277" s="78"/>
      <c r="P277" s="77"/>
      <c r="Q277" s="78"/>
      <c r="R277" s="78"/>
      <c r="S277" s="77"/>
      <c r="T277" s="48"/>
      <c r="U277" s="48"/>
      <c r="V277" s="48"/>
      <c r="W277" s="48"/>
      <c r="X277" s="77"/>
      <c r="Y277" s="48"/>
      <c r="Z277" s="48"/>
      <c r="AA277" s="48"/>
      <c r="AB277" s="77"/>
      <c r="AC277" s="48"/>
      <c r="AD277" s="77"/>
      <c r="AE277" s="48"/>
      <c r="AF277" s="77"/>
      <c r="AG277" s="48"/>
      <c r="AH277" s="77"/>
      <c r="AI277" s="48"/>
      <c r="AJ277" s="77"/>
      <c r="AK277" s="48"/>
    </row>
    <row r="278" ht="18.0" customHeight="1">
      <c r="A278" s="48"/>
      <c r="B278" s="48"/>
      <c r="C278" s="77"/>
      <c r="D278" s="48"/>
      <c r="E278" s="48"/>
      <c r="F278" s="48"/>
      <c r="G278" s="48"/>
      <c r="H278" s="77"/>
      <c r="I278" s="48"/>
      <c r="J278" s="48"/>
      <c r="K278" s="48"/>
      <c r="L278" s="48"/>
      <c r="M278" s="48"/>
      <c r="N278" s="77"/>
      <c r="O278" s="78"/>
      <c r="P278" s="77"/>
      <c r="Q278" s="78"/>
      <c r="R278" s="78"/>
      <c r="S278" s="77"/>
      <c r="T278" s="48"/>
      <c r="U278" s="48"/>
      <c r="V278" s="48"/>
      <c r="W278" s="48"/>
      <c r="X278" s="77"/>
      <c r="Y278" s="48"/>
      <c r="Z278" s="48"/>
      <c r="AA278" s="48"/>
      <c r="AB278" s="77"/>
      <c r="AC278" s="48"/>
      <c r="AD278" s="77"/>
      <c r="AE278" s="48"/>
      <c r="AF278" s="77"/>
      <c r="AG278" s="48"/>
      <c r="AH278" s="77"/>
      <c r="AI278" s="48"/>
      <c r="AJ278" s="77"/>
      <c r="AK278" s="48"/>
    </row>
    <row r="279" ht="18.0" customHeight="1">
      <c r="A279" s="48"/>
      <c r="B279" s="48"/>
      <c r="C279" s="77"/>
      <c r="D279" s="48"/>
      <c r="E279" s="48"/>
      <c r="F279" s="48"/>
      <c r="G279" s="48"/>
      <c r="H279" s="77"/>
      <c r="I279" s="48"/>
      <c r="J279" s="48"/>
      <c r="K279" s="48"/>
      <c r="L279" s="48"/>
      <c r="M279" s="48"/>
      <c r="N279" s="77"/>
      <c r="O279" s="78"/>
      <c r="P279" s="77"/>
      <c r="Q279" s="78"/>
      <c r="R279" s="78"/>
      <c r="S279" s="77"/>
      <c r="T279" s="48"/>
      <c r="U279" s="48"/>
      <c r="V279" s="48"/>
      <c r="W279" s="48"/>
      <c r="X279" s="77"/>
      <c r="Y279" s="48"/>
      <c r="Z279" s="48"/>
      <c r="AA279" s="48"/>
      <c r="AB279" s="77"/>
      <c r="AC279" s="48"/>
      <c r="AD279" s="77"/>
      <c r="AE279" s="48"/>
      <c r="AF279" s="77"/>
      <c r="AG279" s="48"/>
      <c r="AH279" s="77"/>
      <c r="AI279" s="48"/>
      <c r="AJ279" s="77"/>
      <c r="AK279" s="48"/>
    </row>
    <row r="280" ht="18.0" customHeight="1">
      <c r="A280" s="48"/>
      <c r="B280" s="48"/>
      <c r="C280" s="77"/>
      <c r="D280" s="48"/>
      <c r="E280" s="48"/>
      <c r="F280" s="48"/>
      <c r="G280" s="48"/>
      <c r="H280" s="77"/>
      <c r="I280" s="48"/>
      <c r="J280" s="48"/>
      <c r="K280" s="48"/>
      <c r="L280" s="48"/>
      <c r="M280" s="48"/>
      <c r="N280" s="77"/>
      <c r="O280" s="78"/>
      <c r="P280" s="77"/>
      <c r="Q280" s="78"/>
      <c r="R280" s="78"/>
      <c r="S280" s="77"/>
      <c r="T280" s="48"/>
      <c r="U280" s="48"/>
      <c r="V280" s="48"/>
      <c r="W280" s="48"/>
      <c r="X280" s="77"/>
      <c r="Y280" s="48"/>
      <c r="Z280" s="48"/>
      <c r="AA280" s="48"/>
      <c r="AB280" s="77"/>
      <c r="AC280" s="48"/>
      <c r="AD280" s="77"/>
      <c r="AE280" s="48"/>
      <c r="AF280" s="77"/>
      <c r="AG280" s="48"/>
      <c r="AH280" s="77"/>
      <c r="AI280" s="48"/>
      <c r="AJ280" s="77"/>
      <c r="AK280" s="48"/>
    </row>
    <row r="281" ht="18.0" customHeight="1">
      <c r="A281" s="48"/>
      <c r="B281" s="48"/>
      <c r="C281" s="77"/>
      <c r="D281" s="48"/>
      <c r="E281" s="48"/>
      <c r="F281" s="48"/>
      <c r="G281" s="48"/>
      <c r="H281" s="77"/>
      <c r="I281" s="48"/>
      <c r="J281" s="48"/>
      <c r="K281" s="48"/>
      <c r="L281" s="48"/>
      <c r="M281" s="48"/>
      <c r="N281" s="77"/>
      <c r="O281" s="78"/>
      <c r="P281" s="77"/>
      <c r="Q281" s="78"/>
      <c r="R281" s="78"/>
      <c r="S281" s="77"/>
      <c r="T281" s="48"/>
      <c r="U281" s="48"/>
      <c r="V281" s="48"/>
      <c r="W281" s="48"/>
      <c r="X281" s="77"/>
      <c r="Y281" s="48"/>
      <c r="Z281" s="48"/>
      <c r="AA281" s="48"/>
      <c r="AB281" s="77"/>
      <c r="AC281" s="48"/>
      <c r="AD281" s="77"/>
      <c r="AE281" s="48"/>
      <c r="AF281" s="77"/>
      <c r="AG281" s="48"/>
      <c r="AH281" s="77"/>
      <c r="AI281" s="48"/>
      <c r="AJ281" s="77"/>
      <c r="AK281" s="48"/>
    </row>
    <row r="282" ht="18.0" customHeight="1">
      <c r="A282" s="48"/>
      <c r="B282" s="48"/>
      <c r="C282" s="77"/>
      <c r="D282" s="48"/>
      <c r="E282" s="48"/>
      <c r="F282" s="48"/>
      <c r="G282" s="48"/>
      <c r="H282" s="77"/>
      <c r="I282" s="48"/>
      <c r="J282" s="48"/>
      <c r="K282" s="48"/>
      <c r="L282" s="48"/>
      <c r="M282" s="48"/>
      <c r="N282" s="77"/>
      <c r="O282" s="78"/>
      <c r="P282" s="77"/>
      <c r="Q282" s="78"/>
      <c r="R282" s="78"/>
      <c r="S282" s="77"/>
      <c r="T282" s="48"/>
      <c r="U282" s="48"/>
      <c r="V282" s="48"/>
      <c r="W282" s="48"/>
      <c r="X282" s="77"/>
      <c r="Y282" s="48"/>
      <c r="Z282" s="48"/>
      <c r="AA282" s="48"/>
      <c r="AB282" s="77"/>
      <c r="AC282" s="48"/>
      <c r="AD282" s="77"/>
      <c r="AE282" s="48"/>
      <c r="AF282" s="77"/>
      <c r="AG282" s="48"/>
      <c r="AH282" s="77"/>
      <c r="AI282" s="48"/>
      <c r="AJ282" s="77"/>
      <c r="AK282" s="48"/>
    </row>
    <row r="283" ht="18.0" customHeight="1">
      <c r="A283" s="48"/>
      <c r="B283" s="48"/>
      <c r="C283" s="77"/>
      <c r="D283" s="48"/>
      <c r="E283" s="48"/>
      <c r="F283" s="48"/>
      <c r="G283" s="48"/>
      <c r="H283" s="77"/>
      <c r="I283" s="48"/>
      <c r="J283" s="48"/>
      <c r="K283" s="48"/>
      <c r="L283" s="48"/>
      <c r="M283" s="48"/>
      <c r="N283" s="77"/>
      <c r="O283" s="78"/>
      <c r="P283" s="77"/>
      <c r="Q283" s="78"/>
      <c r="R283" s="78"/>
      <c r="S283" s="77"/>
      <c r="T283" s="48"/>
      <c r="U283" s="48"/>
      <c r="V283" s="48"/>
      <c r="W283" s="48"/>
      <c r="X283" s="77"/>
      <c r="Y283" s="48"/>
      <c r="Z283" s="48"/>
      <c r="AA283" s="48"/>
      <c r="AB283" s="77"/>
      <c r="AC283" s="48"/>
      <c r="AD283" s="77"/>
      <c r="AE283" s="48"/>
      <c r="AF283" s="77"/>
      <c r="AG283" s="48"/>
      <c r="AH283" s="77"/>
      <c r="AI283" s="48"/>
      <c r="AJ283" s="77"/>
      <c r="AK283" s="48"/>
    </row>
    <row r="284" ht="18.0" customHeight="1">
      <c r="A284" s="48"/>
      <c r="B284" s="48"/>
      <c r="C284" s="77"/>
      <c r="D284" s="48"/>
      <c r="E284" s="48"/>
      <c r="F284" s="48"/>
      <c r="G284" s="48"/>
      <c r="H284" s="77"/>
      <c r="I284" s="48"/>
      <c r="J284" s="48"/>
      <c r="K284" s="48"/>
      <c r="L284" s="48"/>
      <c r="M284" s="48"/>
      <c r="N284" s="77"/>
      <c r="O284" s="78"/>
      <c r="P284" s="77"/>
      <c r="Q284" s="78"/>
      <c r="R284" s="78"/>
      <c r="S284" s="77"/>
      <c r="T284" s="48"/>
      <c r="U284" s="48"/>
      <c r="V284" s="48"/>
      <c r="W284" s="48"/>
      <c r="X284" s="77"/>
      <c r="Y284" s="48"/>
      <c r="Z284" s="48"/>
      <c r="AA284" s="48"/>
      <c r="AB284" s="77"/>
      <c r="AC284" s="48"/>
      <c r="AD284" s="77"/>
      <c r="AE284" s="48"/>
      <c r="AF284" s="77"/>
      <c r="AG284" s="48"/>
      <c r="AH284" s="77"/>
      <c r="AI284" s="48"/>
      <c r="AJ284" s="77"/>
      <c r="AK284" s="48"/>
    </row>
    <row r="285" ht="18.0" customHeight="1">
      <c r="A285" s="48"/>
      <c r="B285" s="48"/>
      <c r="C285" s="77"/>
      <c r="D285" s="48"/>
      <c r="E285" s="48"/>
      <c r="F285" s="48"/>
      <c r="G285" s="48"/>
      <c r="H285" s="77"/>
      <c r="I285" s="48"/>
      <c r="J285" s="48"/>
      <c r="K285" s="48"/>
      <c r="L285" s="48"/>
      <c r="M285" s="48"/>
      <c r="N285" s="77"/>
      <c r="O285" s="78"/>
      <c r="P285" s="77"/>
      <c r="Q285" s="78"/>
      <c r="R285" s="78"/>
      <c r="S285" s="77"/>
      <c r="T285" s="48"/>
      <c r="U285" s="48"/>
      <c r="V285" s="48"/>
      <c r="W285" s="48"/>
      <c r="X285" s="77"/>
      <c r="Y285" s="48"/>
      <c r="Z285" s="48"/>
      <c r="AA285" s="48"/>
      <c r="AB285" s="77"/>
      <c r="AC285" s="48"/>
      <c r="AD285" s="77"/>
      <c r="AE285" s="48"/>
      <c r="AF285" s="77"/>
      <c r="AG285" s="48"/>
      <c r="AH285" s="77"/>
      <c r="AI285" s="48"/>
      <c r="AJ285" s="77"/>
      <c r="AK285" s="48"/>
    </row>
    <row r="286" ht="18.0" customHeight="1">
      <c r="A286" s="48"/>
      <c r="B286" s="48"/>
      <c r="C286" s="77"/>
      <c r="D286" s="48"/>
      <c r="E286" s="48"/>
      <c r="F286" s="48"/>
      <c r="G286" s="48"/>
      <c r="H286" s="77"/>
      <c r="I286" s="48"/>
      <c r="J286" s="48"/>
      <c r="K286" s="48"/>
      <c r="L286" s="48"/>
      <c r="M286" s="48"/>
      <c r="N286" s="77"/>
      <c r="O286" s="78"/>
      <c r="P286" s="77"/>
      <c r="Q286" s="78"/>
      <c r="R286" s="78"/>
      <c r="S286" s="77"/>
      <c r="T286" s="48"/>
      <c r="U286" s="48"/>
      <c r="V286" s="48"/>
      <c r="W286" s="48"/>
      <c r="X286" s="77"/>
      <c r="Y286" s="48"/>
      <c r="Z286" s="48"/>
      <c r="AA286" s="48"/>
      <c r="AB286" s="77"/>
      <c r="AC286" s="48"/>
      <c r="AD286" s="77"/>
      <c r="AE286" s="48"/>
      <c r="AF286" s="77"/>
      <c r="AG286" s="48"/>
      <c r="AH286" s="77"/>
      <c r="AI286" s="48"/>
      <c r="AJ286" s="77"/>
      <c r="AK286" s="48"/>
    </row>
    <row r="287" ht="18.0" customHeight="1">
      <c r="A287" s="48"/>
      <c r="B287" s="48"/>
      <c r="C287" s="77"/>
      <c r="D287" s="48"/>
      <c r="E287" s="48"/>
      <c r="F287" s="48"/>
      <c r="G287" s="48"/>
      <c r="H287" s="77"/>
      <c r="I287" s="48"/>
      <c r="J287" s="48"/>
      <c r="K287" s="48"/>
      <c r="L287" s="48"/>
      <c r="M287" s="48"/>
      <c r="N287" s="77"/>
      <c r="O287" s="78"/>
      <c r="P287" s="77"/>
      <c r="Q287" s="78"/>
      <c r="R287" s="78"/>
      <c r="S287" s="77"/>
      <c r="T287" s="48"/>
      <c r="U287" s="48"/>
      <c r="V287" s="48"/>
      <c r="W287" s="48"/>
      <c r="X287" s="77"/>
      <c r="Y287" s="48"/>
      <c r="Z287" s="48"/>
      <c r="AA287" s="48"/>
      <c r="AB287" s="77"/>
      <c r="AC287" s="48"/>
      <c r="AD287" s="77"/>
      <c r="AE287" s="48"/>
      <c r="AF287" s="77"/>
      <c r="AG287" s="48"/>
      <c r="AH287" s="77"/>
      <c r="AI287" s="48"/>
      <c r="AJ287" s="77"/>
      <c r="AK287" s="48"/>
    </row>
    <row r="288" ht="18.0" customHeight="1">
      <c r="A288" s="48"/>
      <c r="B288" s="48"/>
      <c r="C288" s="77"/>
      <c r="D288" s="48"/>
      <c r="E288" s="48"/>
      <c r="F288" s="48"/>
      <c r="G288" s="48"/>
      <c r="H288" s="77"/>
      <c r="I288" s="48"/>
      <c r="J288" s="48"/>
      <c r="K288" s="48"/>
      <c r="L288" s="48"/>
      <c r="M288" s="48"/>
      <c r="N288" s="77"/>
      <c r="O288" s="78"/>
      <c r="P288" s="77"/>
      <c r="Q288" s="78"/>
      <c r="R288" s="78"/>
      <c r="S288" s="77"/>
      <c r="T288" s="48"/>
      <c r="U288" s="48"/>
      <c r="V288" s="48"/>
      <c r="W288" s="48"/>
      <c r="X288" s="77"/>
      <c r="Y288" s="48"/>
      <c r="Z288" s="48"/>
      <c r="AA288" s="48"/>
      <c r="AB288" s="77"/>
      <c r="AC288" s="48"/>
      <c r="AD288" s="77"/>
      <c r="AE288" s="48"/>
      <c r="AF288" s="77"/>
      <c r="AG288" s="48"/>
      <c r="AH288" s="77"/>
      <c r="AI288" s="48"/>
      <c r="AJ288" s="77"/>
      <c r="AK288" s="48"/>
    </row>
    <row r="289" ht="18.0" customHeight="1">
      <c r="A289" s="48"/>
      <c r="B289" s="48"/>
      <c r="C289" s="77"/>
      <c r="D289" s="48"/>
      <c r="E289" s="48"/>
      <c r="F289" s="48"/>
      <c r="G289" s="48"/>
      <c r="H289" s="77"/>
      <c r="I289" s="48"/>
      <c r="J289" s="48"/>
      <c r="K289" s="48"/>
      <c r="L289" s="48"/>
      <c r="M289" s="48"/>
      <c r="N289" s="77"/>
      <c r="O289" s="78"/>
      <c r="P289" s="77"/>
      <c r="Q289" s="78"/>
      <c r="R289" s="78"/>
      <c r="S289" s="77"/>
      <c r="T289" s="48"/>
      <c r="U289" s="48"/>
      <c r="V289" s="48"/>
      <c r="W289" s="48"/>
      <c r="X289" s="77"/>
      <c r="Y289" s="48"/>
      <c r="Z289" s="48"/>
      <c r="AA289" s="48"/>
      <c r="AB289" s="77"/>
      <c r="AC289" s="48"/>
      <c r="AD289" s="77"/>
      <c r="AE289" s="48"/>
      <c r="AF289" s="77"/>
      <c r="AG289" s="48"/>
      <c r="AH289" s="77"/>
      <c r="AI289" s="48"/>
      <c r="AJ289" s="77"/>
      <c r="AK289" s="48"/>
    </row>
    <row r="290" ht="18.0" customHeight="1">
      <c r="A290" s="48"/>
      <c r="B290" s="48"/>
      <c r="C290" s="77"/>
      <c r="D290" s="48"/>
      <c r="E290" s="48"/>
      <c r="F290" s="48"/>
      <c r="G290" s="48"/>
      <c r="H290" s="77"/>
      <c r="I290" s="48"/>
      <c r="J290" s="48"/>
      <c r="K290" s="48"/>
      <c r="L290" s="48"/>
      <c r="M290" s="48"/>
      <c r="N290" s="77"/>
      <c r="O290" s="78"/>
      <c r="P290" s="77"/>
      <c r="Q290" s="78"/>
      <c r="R290" s="78"/>
      <c r="S290" s="77"/>
      <c r="T290" s="48"/>
      <c r="U290" s="48"/>
      <c r="V290" s="48"/>
      <c r="W290" s="48"/>
      <c r="X290" s="77"/>
      <c r="Y290" s="48"/>
      <c r="Z290" s="48"/>
      <c r="AA290" s="48"/>
      <c r="AB290" s="77"/>
      <c r="AC290" s="48"/>
      <c r="AD290" s="77"/>
      <c r="AE290" s="48"/>
      <c r="AF290" s="77"/>
      <c r="AG290" s="48"/>
      <c r="AH290" s="77"/>
      <c r="AI290" s="48"/>
      <c r="AJ290" s="77"/>
      <c r="AK290" s="48"/>
    </row>
    <row r="291" ht="18.0" customHeight="1">
      <c r="A291" s="48"/>
      <c r="B291" s="48"/>
      <c r="C291" s="77"/>
      <c r="D291" s="48"/>
      <c r="E291" s="48"/>
      <c r="F291" s="48"/>
      <c r="G291" s="48"/>
      <c r="H291" s="77"/>
      <c r="I291" s="48"/>
      <c r="J291" s="48"/>
      <c r="K291" s="48"/>
      <c r="L291" s="48"/>
      <c r="M291" s="48"/>
      <c r="N291" s="77"/>
      <c r="O291" s="78"/>
      <c r="P291" s="77"/>
      <c r="Q291" s="78"/>
      <c r="R291" s="78"/>
      <c r="S291" s="77"/>
      <c r="T291" s="48"/>
      <c r="U291" s="48"/>
      <c r="V291" s="48"/>
      <c r="W291" s="48"/>
      <c r="X291" s="77"/>
      <c r="Y291" s="48"/>
      <c r="Z291" s="48"/>
      <c r="AA291" s="48"/>
      <c r="AB291" s="77"/>
      <c r="AC291" s="48"/>
      <c r="AD291" s="77"/>
      <c r="AE291" s="48"/>
      <c r="AF291" s="77"/>
      <c r="AG291" s="48"/>
      <c r="AH291" s="77"/>
      <c r="AI291" s="48"/>
      <c r="AJ291" s="77"/>
      <c r="AK291" s="48"/>
    </row>
    <row r="292" ht="18.0" customHeight="1">
      <c r="A292" s="48"/>
      <c r="B292" s="48"/>
      <c r="C292" s="77"/>
      <c r="D292" s="48"/>
      <c r="E292" s="48"/>
      <c r="F292" s="48"/>
      <c r="G292" s="48"/>
      <c r="H292" s="77"/>
      <c r="I292" s="48"/>
      <c r="J292" s="48"/>
      <c r="K292" s="48"/>
      <c r="L292" s="48"/>
      <c r="M292" s="48"/>
      <c r="N292" s="77"/>
      <c r="O292" s="78"/>
      <c r="P292" s="77"/>
      <c r="Q292" s="78"/>
      <c r="R292" s="78"/>
      <c r="S292" s="77"/>
      <c r="T292" s="48"/>
      <c r="U292" s="48"/>
      <c r="V292" s="48"/>
      <c r="W292" s="48"/>
      <c r="X292" s="77"/>
      <c r="Y292" s="48"/>
      <c r="Z292" s="48"/>
      <c r="AA292" s="48"/>
      <c r="AB292" s="77"/>
      <c r="AC292" s="48"/>
      <c r="AD292" s="77"/>
      <c r="AE292" s="48"/>
      <c r="AF292" s="77"/>
      <c r="AG292" s="48"/>
      <c r="AH292" s="77"/>
      <c r="AI292" s="48"/>
      <c r="AJ292" s="77"/>
      <c r="AK292" s="48"/>
    </row>
    <row r="293" ht="18.0" customHeight="1">
      <c r="A293" s="48"/>
      <c r="B293" s="48"/>
      <c r="C293" s="77"/>
      <c r="D293" s="48"/>
      <c r="E293" s="48"/>
      <c r="F293" s="48"/>
      <c r="G293" s="48"/>
      <c r="H293" s="77"/>
      <c r="I293" s="48"/>
      <c r="J293" s="48"/>
      <c r="K293" s="48"/>
      <c r="L293" s="48"/>
      <c r="M293" s="48"/>
      <c r="N293" s="77"/>
      <c r="O293" s="78"/>
      <c r="P293" s="77"/>
      <c r="Q293" s="78"/>
      <c r="R293" s="78"/>
      <c r="S293" s="77"/>
      <c r="T293" s="48"/>
      <c r="U293" s="48"/>
      <c r="V293" s="48"/>
      <c r="W293" s="48"/>
      <c r="X293" s="77"/>
      <c r="Y293" s="48"/>
      <c r="Z293" s="48"/>
      <c r="AA293" s="48"/>
      <c r="AB293" s="77"/>
      <c r="AC293" s="48"/>
      <c r="AD293" s="77"/>
      <c r="AE293" s="48"/>
      <c r="AF293" s="77"/>
      <c r="AG293" s="48"/>
      <c r="AH293" s="77"/>
      <c r="AI293" s="48"/>
      <c r="AJ293" s="77"/>
      <c r="AK293" s="48"/>
    </row>
    <row r="294" ht="18.0" customHeight="1">
      <c r="A294" s="48"/>
      <c r="B294" s="48"/>
      <c r="C294" s="77"/>
      <c r="D294" s="48"/>
      <c r="E294" s="48"/>
      <c r="F294" s="48"/>
      <c r="G294" s="48"/>
      <c r="H294" s="77"/>
      <c r="I294" s="48"/>
      <c r="J294" s="48"/>
      <c r="K294" s="48"/>
      <c r="L294" s="48"/>
      <c r="M294" s="48"/>
      <c r="N294" s="77"/>
      <c r="O294" s="78"/>
      <c r="P294" s="77"/>
      <c r="Q294" s="78"/>
      <c r="R294" s="78"/>
      <c r="S294" s="77"/>
      <c r="T294" s="48"/>
      <c r="U294" s="48"/>
      <c r="V294" s="48"/>
      <c r="W294" s="48"/>
      <c r="X294" s="77"/>
      <c r="Y294" s="48"/>
      <c r="Z294" s="48"/>
      <c r="AA294" s="48"/>
      <c r="AB294" s="77"/>
      <c r="AC294" s="48"/>
      <c r="AD294" s="77"/>
      <c r="AE294" s="48"/>
      <c r="AF294" s="77"/>
      <c r="AG294" s="48"/>
      <c r="AH294" s="77"/>
      <c r="AI294" s="48"/>
      <c r="AJ294" s="77"/>
      <c r="AK294" s="48"/>
    </row>
    <row r="295" ht="18.0" customHeight="1">
      <c r="A295" s="48"/>
      <c r="B295" s="48"/>
      <c r="C295" s="77"/>
      <c r="D295" s="48"/>
      <c r="E295" s="48"/>
      <c r="F295" s="48"/>
      <c r="G295" s="48"/>
      <c r="H295" s="77"/>
      <c r="I295" s="48"/>
      <c r="J295" s="48"/>
      <c r="K295" s="48"/>
      <c r="L295" s="48"/>
      <c r="M295" s="48"/>
      <c r="N295" s="77"/>
      <c r="O295" s="78"/>
      <c r="P295" s="77"/>
      <c r="Q295" s="78"/>
      <c r="R295" s="78"/>
      <c r="S295" s="77"/>
      <c r="T295" s="48"/>
      <c r="U295" s="48"/>
      <c r="V295" s="48"/>
      <c r="W295" s="48"/>
      <c r="X295" s="77"/>
      <c r="Y295" s="48"/>
      <c r="Z295" s="48"/>
      <c r="AA295" s="48"/>
      <c r="AB295" s="77"/>
      <c r="AC295" s="48"/>
      <c r="AD295" s="77"/>
      <c r="AE295" s="48"/>
      <c r="AF295" s="77"/>
      <c r="AG295" s="48"/>
      <c r="AH295" s="77"/>
      <c r="AI295" s="48"/>
      <c r="AJ295" s="77"/>
      <c r="AK295" s="48"/>
    </row>
    <row r="296" ht="18.0" customHeight="1">
      <c r="A296" s="48"/>
      <c r="B296" s="48"/>
      <c r="C296" s="77"/>
      <c r="D296" s="48"/>
      <c r="E296" s="48"/>
      <c r="F296" s="48"/>
      <c r="G296" s="48"/>
      <c r="H296" s="77"/>
      <c r="I296" s="48"/>
      <c r="J296" s="48"/>
      <c r="K296" s="48"/>
      <c r="L296" s="48"/>
      <c r="M296" s="48"/>
      <c r="N296" s="77"/>
      <c r="O296" s="78"/>
      <c r="P296" s="77"/>
      <c r="Q296" s="78"/>
      <c r="R296" s="78"/>
      <c r="S296" s="77"/>
      <c r="T296" s="48"/>
      <c r="U296" s="48"/>
      <c r="V296" s="48"/>
      <c r="W296" s="48"/>
      <c r="X296" s="77"/>
      <c r="Y296" s="48"/>
      <c r="Z296" s="48"/>
      <c r="AA296" s="48"/>
      <c r="AB296" s="77"/>
      <c r="AC296" s="48"/>
      <c r="AD296" s="77"/>
      <c r="AE296" s="48"/>
      <c r="AF296" s="77"/>
      <c r="AG296" s="48"/>
      <c r="AH296" s="77"/>
      <c r="AI296" s="48"/>
      <c r="AJ296" s="77"/>
      <c r="AK296" s="48"/>
    </row>
    <row r="297" ht="18.0" customHeight="1">
      <c r="A297" s="48"/>
      <c r="B297" s="48"/>
      <c r="C297" s="77"/>
      <c r="D297" s="48"/>
      <c r="E297" s="48"/>
      <c r="F297" s="48"/>
      <c r="G297" s="48"/>
      <c r="H297" s="77"/>
      <c r="I297" s="48"/>
      <c r="J297" s="48"/>
      <c r="K297" s="48"/>
      <c r="L297" s="48"/>
      <c r="M297" s="48"/>
      <c r="N297" s="77"/>
      <c r="O297" s="78"/>
      <c r="P297" s="77"/>
      <c r="Q297" s="78"/>
      <c r="R297" s="78"/>
      <c r="S297" s="77"/>
      <c r="T297" s="48"/>
      <c r="U297" s="48"/>
      <c r="V297" s="48"/>
      <c r="W297" s="48"/>
      <c r="X297" s="77"/>
      <c r="Y297" s="48"/>
      <c r="Z297" s="48"/>
      <c r="AA297" s="48"/>
      <c r="AB297" s="77"/>
      <c r="AC297" s="48"/>
      <c r="AD297" s="77"/>
      <c r="AE297" s="48"/>
      <c r="AF297" s="77"/>
      <c r="AG297" s="48"/>
      <c r="AH297" s="77"/>
      <c r="AI297" s="48"/>
      <c r="AJ297" s="77"/>
      <c r="AK297" s="48"/>
    </row>
    <row r="298" ht="18.0" customHeight="1">
      <c r="A298" s="48"/>
      <c r="B298" s="48"/>
      <c r="C298" s="77"/>
      <c r="D298" s="48"/>
      <c r="E298" s="48"/>
      <c r="F298" s="48"/>
      <c r="G298" s="48"/>
      <c r="H298" s="77"/>
      <c r="I298" s="48"/>
      <c r="J298" s="48"/>
      <c r="K298" s="48"/>
      <c r="L298" s="48"/>
      <c r="M298" s="48"/>
      <c r="N298" s="77"/>
      <c r="O298" s="78"/>
      <c r="P298" s="77"/>
      <c r="Q298" s="78"/>
      <c r="R298" s="78"/>
      <c r="S298" s="77"/>
      <c r="T298" s="48"/>
      <c r="U298" s="48"/>
      <c r="V298" s="48"/>
      <c r="W298" s="48"/>
      <c r="X298" s="77"/>
      <c r="Y298" s="48"/>
      <c r="Z298" s="48"/>
      <c r="AA298" s="48"/>
      <c r="AB298" s="77"/>
      <c r="AC298" s="48"/>
      <c r="AD298" s="77"/>
      <c r="AE298" s="48"/>
      <c r="AF298" s="77"/>
      <c r="AG298" s="48"/>
      <c r="AH298" s="77"/>
      <c r="AI298" s="48"/>
      <c r="AJ298" s="77"/>
      <c r="AK298" s="48"/>
    </row>
    <row r="299" ht="18.0" customHeight="1">
      <c r="A299" s="48"/>
      <c r="B299" s="48"/>
      <c r="C299" s="77"/>
      <c r="D299" s="48"/>
      <c r="E299" s="48"/>
      <c r="F299" s="48"/>
      <c r="G299" s="48"/>
      <c r="H299" s="77"/>
      <c r="I299" s="48"/>
      <c r="J299" s="48"/>
      <c r="K299" s="48"/>
      <c r="L299" s="48"/>
      <c r="M299" s="48"/>
      <c r="N299" s="77"/>
      <c r="O299" s="78"/>
      <c r="P299" s="77"/>
      <c r="Q299" s="78"/>
      <c r="R299" s="78"/>
      <c r="S299" s="77"/>
      <c r="T299" s="48"/>
      <c r="U299" s="48"/>
      <c r="V299" s="48"/>
      <c r="W299" s="48"/>
      <c r="X299" s="77"/>
      <c r="Y299" s="48"/>
      <c r="Z299" s="48"/>
      <c r="AA299" s="48"/>
      <c r="AB299" s="77"/>
      <c r="AC299" s="48"/>
      <c r="AD299" s="77"/>
      <c r="AE299" s="48"/>
      <c r="AF299" s="77"/>
      <c r="AG299" s="48"/>
      <c r="AH299" s="77"/>
      <c r="AI299" s="48"/>
      <c r="AJ299" s="77"/>
      <c r="AK299" s="48"/>
    </row>
    <row r="300" ht="18.0" customHeight="1">
      <c r="A300" s="48"/>
      <c r="B300" s="48"/>
      <c r="C300" s="77"/>
      <c r="D300" s="48"/>
      <c r="E300" s="48"/>
      <c r="F300" s="48"/>
      <c r="G300" s="48"/>
      <c r="H300" s="77"/>
      <c r="I300" s="48"/>
      <c r="J300" s="48"/>
      <c r="K300" s="48"/>
      <c r="L300" s="48"/>
      <c r="M300" s="48"/>
      <c r="N300" s="77"/>
      <c r="O300" s="78"/>
      <c r="P300" s="77"/>
      <c r="Q300" s="78"/>
      <c r="R300" s="78"/>
      <c r="S300" s="77"/>
      <c r="T300" s="48"/>
      <c r="U300" s="48"/>
      <c r="V300" s="48"/>
      <c r="W300" s="48"/>
      <c r="X300" s="77"/>
      <c r="Y300" s="48"/>
      <c r="Z300" s="48"/>
      <c r="AA300" s="48"/>
      <c r="AB300" s="77"/>
      <c r="AC300" s="48"/>
      <c r="AD300" s="77"/>
      <c r="AE300" s="48"/>
      <c r="AF300" s="77"/>
      <c r="AG300" s="48"/>
      <c r="AH300" s="77"/>
      <c r="AI300" s="48"/>
      <c r="AJ300" s="77"/>
      <c r="AK300" s="48"/>
    </row>
    <row r="301" ht="18.0" customHeight="1">
      <c r="A301" s="48"/>
      <c r="B301" s="48"/>
      <c r="C301" s="77"/>
      <c r="D301" s="48"/>
      <c r="E301" s="48"/>
      <c r="F301" s="48"/>
      <c r="G301" s="48"/>
      <c r="H301" s="77"/>
      <c r="I301" s="48"/>
      <c r="J301" s="48"/>
      <c r="K301" s="48"/>
      <c r="L301" s="48"/>
      <c r="M301" s="48"/>
      <c r="N301" s="77"/>
      <c r="O301" s="78"/>
      <c r="P301" s="77"/>
      <c r="Q301" s="78"/>
      <c r="R301" s="78"/>
      <c r="S301" s="77"/>
      <c r="T301" s="48"/>
      <c r="U301" s="48"/>
      <c r="V301" s="48"/>
      <c r="W301" s="48"/>
      <c r="X301" s="77"/>
      <c r="Y301" s="48"/>
      <c r="Z301" s="48"/>
      <c r="AA301" s="48"/>
      <c r="AB301" s="77"/>
      <c r="AC301" s="48"/>
      <c r="AD301" s="77"/>
      <c r="AE301" s="48"/>
      <c r="AF301" s="77"/>
      <c r="AG301" s="48"/>
      <c r="AH301" s="77"/>
      <c r="AI301" s="48"/>
      <c r="AJ301" s="77"/>
      <c r="AK301" s="48"/>
    </row>
    <row r="302" ht="18.0" customHeight="1">
      <c r="A302" s="48"/>
      <c r="B302" s="48"/>
      <c r="C302" s="77"/>
      <c r="D302" s="48"/>
      <c r="E302" s="48"/>
      <c r="F302" s="48"/>
      <c r="G302" s="48"/>
      <c r="H302" s="77"/>
      <c r="I302" s="48"/>
      <c r="J302" s="48"/>
      <c r="K302" s="48"/>
      <c r="L302" s="48"/>
      <c r="M302" s="48"/>
      <c r="N302" s="77"/>
      <c r="O302" s="78"/>
      <c r="P302" s="77"/>
      <c r="Q302" s="78"/>
      <c r="R302" s="78"/>
      <c r="S302" s="77"/>
      <c r="T302" s="48"/>
      <c r="U302" s="48"/>
      <c r="V302" s="48"/>
      <c r="W302" s="48"/>
      <c r="X302" s="77"/>
      <c r="Y302" s="48"/>
      <c r="Z302" s="48"/>
      <c r="AA302" s="48"/>
      <c r="AB302" s="77"/>
      <c r="AC302" s="48"/>
      <c r="AD302" s="77"/>
      <c r="AE302" s="48"/>
      <c r="AF302" s="77"/>
      <c r="AG302" s="48"/>
      <c r="AH302" s="77"/>
      <c r="AI302" s="48"/>
      <c r="AJ302" s="77"/>
      <c r="AK302" s="48"/>
    </row>
    <row r="303" ht="18.0" customHeight="1">
      <c r="A303" s="48"/>
      <c r="B303" s="48"/>
      <c r="C303" s="77"/>
      <c r="D303" s="48"/>
      <c r="E303" s="48"/>
      <c r="F303" s="48"/>
      <c r="G303" s="48"/>
      <c r="H303" s="77"/>
      <c r="I303" s="48"/>
      <c r="J303" s="48"/>
      <c r="K303" s="48"/>
      <c r="L303" s="48"/>
      <c r="M303" s="48"/>
      <c r="N303" s="77"/>
      <c r="O303" s="78"/>
      <c r="P303" s="77"/>
      <c r="Q303" s="78"/>
      <c r="R303" s="78"/>
      <c r="S303" s="77"/>
      <c r="T303" s="48"/>
      <c r="U303" s="48"/>
      <c r="V303" s="48"/>
      <c r="W303" s="48"/>
      <c r="X303" s="77"/>
      <c r="Y303" s="48"/>
      <c r="Z303" s="48"/>
      <c r="AA303" s="48"/>
      <c r="AB303" s="77"/>
      <c r="AC303" s="48"/>
      <c r="AD303" s="77"/>
      <c r="AE303" s="48"/>
      <c r="AF303" s="77"/>
      <c r="AG303" s="48"/>
      <c r="AH303" s="77"/>
      <c r="AI303" s="48"/>
      <c r="AJ303" s="77"/>
      <c r="AK303" s="48"/>
    </row>
    <row r="304" ht="18.0" customHeight="1">
      <c r="A304" s="48"/>
      <c r="B304" s="48"/>
      <c r="C304" s="77"/>
      <c r="D304" s="48"/>
      <c r="E304" s="48"/>
      <c r="F304" s="48"/>
      <c r="G304" s="48"/>
      <c r="H304" s="77"/>
      <c r="I304" s="48"/>
      <c r="J304" s="48"/>
      <c r="K304" s="48"/>
      <c r="L304" s="48"/>
      <c r="M304" s="48"/>
      <c r="N304" s="77"/>
      <c r="O304" s="78"/>
      <c r="P304" s="77"/>
      <c r="Q304" s="78"/>
      <c r="R304" s="78"/>
      <c r="S304" s="77"/>
      <c r="T304" s="48"/>
      <c r="U304" s="48"/>
      <c r="V304" s="48"/>
      <c r="W304" s="48"/>
      <c r="X304" s="77"/>
      <c r="Y304" s="48"/>
      <c r="Z304" s="48"/>
      <c r="AA304" s="48"/>
      <c r="AB304" s="77"/>
      <c r="AC304" s="48"/>
      <c r="AD304" s="77"/>
      <c r="AE304" s="48"/>
      <c r="AF304" s="77"/>
      <c r="AG304" s="48"/>
      <c r="AH304" s="77"/>
      <c r="AI304" s="48"/>
      <c r="AJ304" s="77"/>
      <c r="AK304" s="48"/>
    </row>
    <row r="305" ht="18.0" customHeight="1">
      <c r="A305" s="48"/>
      <c r="B305" s="48"/>
      <c r="C305" s="77"/>
      <c r="D305" s="48"/>
      <c r="E305" s="48"/>
      <c r="F305" s="48"/>
      <c r="G305" s="48"/>
      <c r="H305" s="77"/>
      <c r="I305" s="48"/>
      <c r="J305" s="48"/>
      <c r="K305" s="48"/>
      <c r="L305" s="48"/>
      <c r="M305" s="48"/>
      <c r="N305" s="77"/>
      <c r="O305" s="78"/>
      <c r="P305" s="77"/>
      <c r="Q305" s="78"/>
      <c r="R305" s="78"/>
      <c r="S305" s="77"/>
      <c r="T305" s="48"/>
      <c r="U305" s="48"/>
      <c r="V305" s="48"/>
      <c r="W305" s="48"/>
      <c r="X305" s="77"/>
      <c r="Y305" s="48"/>
      <c r="Z305" s="48"/>
      <c r="AA305" s="48"/>
      <c r="AB305" s="77"/>
      <c r="AC305" s="48"/>
      <c r="AD305" s="77"/>
      <c r="AE305" s="48"/>
      <c r="AF305" s="77"/>
      <c r="AG305" s="48"/>
      <c r="AH305" s="77"/>
      <c r="AI305" s="48"/>
      <c r="AJ305" s="77"/>
      <c r="AK305" s="48"/>
    </row>
    <row r="306" ht="18.0" customHeight="1">
      <c r="A306" s="48"/>
      <c r="B306" s="48"/>
      <c r="C306" s="77"/>
      <c r="D306" s="48"/>
      <c r="E306" s="48"/>
      <c r="F306" s="48"/>
      <c r="G306" s="48"/>
      <c r="H306" s="77"/>
      <c r="I306" s="48"/>
      <c r="J306" s="48"/>
      <c r="K306" s="48"/>
      <c r="L306" s="48"/>
      <c r="M306" s="48"/>
      <c r="N306" s="77"/>
      <c r="O306" s="78"/>
      <c r="P306" s="77"/>
      <c r="Q306" s="78"/>
      <c r="R306" s="78"/>
      <c r="S306" s="77"/>
      <c r="T306" s="48"/>
      <c r="U306" s="48"/>
      <c r="V306" s="48"/>
      <c r="W306" s="48"/>
      <c r="X306" s="77"/>
      <c r="Y306" s="48"/>
      <c r="Z306" s="48"/>
      <c r="AA306" s="48"/>
      <c r="AB306" s="77"/>
      <c r="AC306" s="48"/>
      <c r="AD306" s="77"/>
      <c r="AE306" s="48"/>
      <c r="AF306" s="77"/>
      <c r="AG306" s="48"/>
      <c r="AH306" s="77"/>
      <c r="AI306" s="48"/>
      <c r="AJ306" s="77"/>
      <c r="AK306" s="48"/>
    </row>
    <row r="307" ht="18.0" customHeight="1">
      <c r="A307" s="48"/>
      <c r="B307" s="48"/>
      <c r="C307" s="77"/>
      <c r="D307" s="48"/>
      <c r="E307" s="48"/>
      <c r="F307" s="48"/>
      <c r="G307" s="48"/>
      <c r="H307" s="77"/>
      <c r="I307" s="48"/>
      <c r="J307" s="48"/>
      <c r="K307" s="48"/>
      <c r="L307" s="48"/>
      <c r="M307" s="48"/>
      <c r="N307" s="77"/>
      <c r="O307" s="78"/>
      <c r="P307" s="77"/>
      <c r="Q307" s="78"/>
      <c r="R307" s="78"/>
      <c r="S307" s="77"/>
      <c r="T307" s="48"/>
      <c r="U307" s="48"/>
      <c r="V307" s="48"/>
      <c r="W307" s="48"/>
      <c r="X307" s="77"/>
      <c r="Y307" s="48"/>
      <c r="Z307" s="48"/>
      <c r="AA307" s="48"/>
      <c r="AB307" s="77"/>
      <c r="AC307" s="48"/>
      <c r="AD307" s="77"/>
      <c r="AE307" s="48"/>
      <c r="AF307" s="77"/>
      <c r="AG307" s="48"/>
      <c r="AH307" s="77"/>
      <c r="AI307" s="48"/>
      <c r="AJ307" s="77"/>
      <c r="AK307" s="48"/>
    </row>
    <row r="308" ht="18.0" customHeight="1">
      <c r="A308" s="48"/>
      <c r="B308" s="48"/>
      <c r="C308" s="77"/>
      <c r="D308" s="48"/>
      <c r="E308" s="48"/>
      <c r="F308" s="48"/>
      <c r="G308" s="48"/>
      <c r="H308" s="77"/>
      <c r="I308" s="48"/>
      <c r="J308" s="48"/>
      <c r="K308" s="48"/>
      <c r="L308" s="48"/>
      <c r="M308" s="48"/>
      <c r="N308" s="77"/>
      <c r="O308" s="78"/>
      <c r="P308" s="77"/>
      <c r="Q308" s="78"/>
      <c r="R308" s="78"/>
      <c r="S308" s="77"/>
      <c r="T308" s="48"/>
      <c r="U308" s="48"/>
      <c r="V308" s="48"/>
      <c r="W308" s="48"/>
      <c r="X308" s="77"/>
      <c r="Y308" s="48"/>
      <c r="Z308" s="48"/>
      <c r="AA308" s="48"/>
      <c r="AB308" s="77"/>
      <c r="AC308" s="48"/>
      <c r="AD308" s="77"/>
      <c r="AE308" s="48"/>
      <c r="AF308" s="77"/>
      <c r="AG308" s="48"/>
      <c r="AH308" s="77"/>
      <c r="AI308" s="48"/>
      <c r="AJ308" s="77"/>
      <c r="AK308" s="48"/>
    </row>
    <row r="309" ht="18.0" customHeight="1">
      <c r="A309" s="48"/>
      <c r="B309" s="48"/>
      <c r="C309" s="77"/>
      <c r="D309" s="48"/>
      <c r="E309" s="48"/>
      <c r="F309" s="48"/>
      <c r="G309" s="48"/>
      <c r="H309" s="77"/>
      <c r="I309" s="48"/>
      <c r="J309" s="48"/>
      <c r="K309" s="48"/>
      <c r="L309" s="48"/>
      <c r="M309" s="48"/>
      <c r="N309" s="77"/>
      <c r="O309" s="78"/>
      <c r="P309" s="77"/>
      <c r="Q309" s="78"/>
      <c r="R309" s="78"/>
      <c r="S309" s="77"/>
      <c r="T309" s="48"/>
      <c r="U309" s="48"/>
      <c r="V309" s="48"/>
      <c r="W309" s="48"/>
      <c r="X309" s="77"/>
      <c r="Y309" s="48"/>
      <c r="Z309" s="48"/>
      <c r="AA309" s="48"/>
      <c r="AB309" s="77"/>
      <c r="AC309" s="48"/>
      <c r="AD309" s="77"/>
      <c r="AE309" s="48"/>
      <c r="AF309" s="77"/>
      <c r="AG309" s="48"/>
      <c r="AH309" s="77"/>
      <c r="AI309" s="48"/>
      <c r="AJ309" s="77"/>
      <c r="AK309" s="48"/>
    </row>
    <row r="310" ht="18.0" customHeight="1">
      <c r="A310" s="48"/>
      <c r="B310" s="48"/>
      <c r="C310" s="77"/>
      <c r="D310" s="48"/>
      <c r="E310" s="48"/>
      <c r="F310" s="48"/>
      <c r="G310" s="48"/>
      <c r="H310" s="77"/>
      <c r="I310" s="48"/>
      <c r="J310" s="48"/>
      <c r="K310" s="48"/>
      <c r="L310" s="48"/>
      <c r="M310" s="48"/>
      <c r="N310" s="77"/>
      <c r="O310" s="78"/>
      <c r="P310" s="77"/>
      <c r="Q310" s="78"/>
      <c r="R310" s="78"/>
      <c r="S310" s="77"/>
      <c r="T310" s="48"/>
      <c r="U310" s="48"/>
      <c r="V310" s="48"/>
      <c r="W310" s="48"/>
      <c r="X310" s="77"/>
      <c r="Y310" s="48"/>
      <c r="Z310" s="48"/>
      <c r="AA310" s="48"/>
      <c r="AB310" s="77"/>
      <c r="AC310" s="48"/>
      <c r="AD310" s="77"/>
      <c r="AE310" s="48"/>
      <c r="AF310" s="77"/>
      <c r="AG310" s="48"/>
      <c r="AH310" s="77"/>
      <c r="AI310" s="48"/>
      <c r="AJ310" s="77"/>
      <c r="AK310" s="48"/>
    </row>
    <row r="311" ht="18.0" customHeight="1">
      <c r="A311" s="48"/>
      <c r="B311" s="48"/>
      <c r="C311" s="77"/>
      <c r="D311" s="48"/>
      <c r="E311" s="48"/>
      <c r="F311" s="48"/>
      <c r="G311" s="48"/>
      <c r="H311" s="77"/>
      <c r="I311" s="48"/>
      <c r="J311" s="48"/>
      <c r="K311" s="48"/>
      <c r="L311" s="48"/>
      <c r="M311" s="48"/>
      <c r="N311" s="77"/>
      <c r="O311" s="78"/>
      <c r="P311" s="77"/>
      <c r="Q311" s="78"/>
      <c r="R311" s="78"/>
      <c r="S311" s="77"/>
      <c r="T311" s="48"/>
      <c r="U311" s="48"/>
      <c r="V311" s="48"/>
      <c r="W311" s="48"/>
      <c r="X311" s="77"/>
      <c r="Y311" s="48"/>
      <c r="Z311" s="48"/>
      <c r="AA311" s="48"/>
      <c r="AB311" s="77"/>
      <c r="AC311" s="48"/>
      <c r="AD311" s="77"/>
      <c r="AE311" s="48"/>
      <c r="AF311" s="77"/>
      <c r="AG311" s="48"/>
      <c r="AH311" s="77"/>
      <c r="AI311" s="48"/>
      <c r="AJ311" s="77"/>
      <c r="AK311" s="48"/>
    </row>
    <row r="312" ht="18.0" customHeight="1">
      <c r="A312" s="48"/>
      <c r="B312" s="48"/>
      <c r="C312" s="77"/>
      <c r="D312" s="48"/>
      <c r="E312" s="48"/>
      <c r="F312" s="48"/>
      <c r="G312" s="48"/>
      <c r="H312" s="77"/>
      <c r="I312" s="48"/>
      <c r="J312" s="48"/>
      <c r="K312" s="48"/>
      <c r="L312" s="48"/>
      <c r="M312" s="48"/>
      <c r="N312" s="77"/>
      <c r="O312" s="78"/>
      <c r="P312" s="77"/>
      <c r="Q312" s="78"/>
      <c r="R312" s="78"/>
      <c r="S312" s="77"/>
      <c r="T312" s="48"/>
      <c r="U312" s="48"/>
      <c r="V312" s="48"/>
      <c r="W312" s="48"/>
      <c r="X312" s="77"/>
      <c r="Y312" s="48"/>
      <c r="Z312" s="48"/>
      <c r="AA312" s="48"/>
      <c r="AB312" s="77"/>
      <c r="AC312" s="48"/>
      <c r="AD312" s="77"/>
      <c r="AE312" s="48"/>
      <c r="AF312" s="77"/>
      <c r="AG312" s="48"/>
      <c r="AH312" s="77"/>
      <c r="AI312" s="48"/>
      <c r="AJ312" s="77"/>
      <c r="AK312" s="48"/>
    </row>
    <row r="313" ht="18.0" customHeight="1">
      <c r="A313" s="48"/>
      <c r="B313" s="48"/>
      <c r="C313" s="77"/>
      <c r="D313" s="48"/>
      <c r="E313" s="48"/>
      <c r="F313" s="48"/>
      <c r="G313" s="48"/>
      <c r="H313" s="77"/>
      <c r="I313" s="48"/>
      <c r="J313" s="48"/>
      <c r="K313" s="48"/>
      <c r="L313" s="48"/>
      <c r="M313" s="48"/>
      <c r="N313" s="77"/>
      <c r="O313" s="78"/>
      <c r="P313" s="77"/>
      <c r="Q313" s="78"/>
      <c r="R313" s="78"/>
      <c r="S313" s="77"/>
      <c r="T313" s="48"/>
      <c r="U313" s="48"/>
      <c r="V313" s="48"/>
      <c r="W313" s="48"/>
      <c r="X313" s="77"/>
      <c r="Y313" s="48"/>
      <c r="Z313" s="48"/>
      <c r="AA313" s="48"/>
      <c r="AB313" s="77"/>
      <c r="AC313" s="48"/>
      <c r="AD313" s="77"/>
      <c r="AE313" s="48"/>
      <c r="AF313" s="77"/>
      <c r="AG313" s="48"/>
      <c r="AH313" s="77"/>
      <c r="AI313" s="48"/>
      <c r="AJ313" s="77"/>
      <c r="AK313" s="48"/>
    </row>
    <row r="314" ht="18.0" customHeight="1">
      <c r="A314" s="48"/>
      <c r="B314" s="48"/>
      <c r="C314" s="77"/>
      <c r="D314" s="48"/>
      <c r="E314" s="48"/>
      <c r="F314" s="48"/>
      <c r="G314" s="48"/>
      <c r="H314" s="77"/>
      <c r="I314" s="48"/>
      <c r="J314" s="48"/>
      <c r="K314" s="48"/>
      <c r="L314" s="48"/>
      <c r="M314" s="48"/>
      <c r="N314" s="77"/>
      <c r="O314" s="78"/>
      <c r="P314" s="77"/>
      <c r="Q314" s="78"/>
      <c r="R314" s="78"/>
      <c r="S314" s="77"/>
      <c r="T314" s="48"/>
      <c r="U314" s="48"/>
      <c r="V314" s="48"/>
      <c r="W314" s="48"/>
      <c r="X314" s="77"/>
      <c r="Y314" s="48"/>
      <c r="Z314" s="48"/>
      <c r="AA314" s="48"/>
      <c r="AB314" s="77"/>
      <c r="AC314" s="48"/>
      <c r="AD314" s="77"/>
      <c r="AE314" s="48"/>
      <c r="AF314" s="77"/>
      <c r="AG314" s="48"/>
      <c r="AH314" s="77"/>
      <c r="AI314" s="48"/>
      <c r="AJ314" s="77"/>
      <c r="AK314" s="48"/>
    </row>
    <row r="315" ht="18.0" customHeight="1">
      <c r="A315" s="48"/>
      <c r="B315" s="48"/>
      <c r="C315" s="77"/>
      <c r="D315" s="48"/>
      <c r="E315" s="48"/>
      <c r="F315" s="48"/>
      <c r="G315" s="48"/>
      <c r="H315" s="77"/>
      <c r="I315" s="48"/>
      <c r="J315" s="48"/>
      <c r="K315" s="48"/>
      <c r="L315" s="48"/>
      <c r="M315" s="48"/>
      <c r="N315" s="77"/>
      <c r="O315" s="78"/>
      <c r="P315" s="77"/>
      <c r="Q315" s="78"/>
      <c r="R315" s="78"/>
      <c r="S315" s="77"/>
      <c r="T315" s="48"/>
      <c r="U315" s="48"/>
      <c r="V315" s="48"/>
      <c r="W315" s="48"/>
      <c r="X315" s="77"/>
      <c r="Y315" s="48"/>
      <c r="Z315" s="48"/>
      <c r="AA315" s="48"/>
      <c r="AB315" s="77"/>
      <c r="AC315" s="48"/>
      <c r="AD315" s="77"/>
      <c r="AE315" s="48"/>
      <c r="AF315" s="77"/>
      <c r="AG315" s="48"/>
      <c r="AH315" s="77"/>
      <c r="AI315" s="48"/>
      <c r="AJ315" s="77"/>
      <c r="AK315" s="48"/>
    </row>
    <row r="316" ht="18.0" customHeight="1">
      <c r="A316" s="48"/>
      <c r="B316" s="48"/>
      <c r="C316" s="77"/>
      <c r="D316" s="48"/>
      <c r="E316" s="48"/>
      <c r="F316" s="48"/>
      <c r="G316" s="48"/>
      <c r="H316" s="77"/>
      <c r="I316" s="48"/>
      <c r="J316" s="48"/>
      <c r="K316" s="48"/>
      <c r="L316" s="48"/>
      <c r="M316" s="48"/>
      <c r="N316" s="77"/>
      <c r="O316" s="78"/>
      <c r="P316" s="77"/>
      <c r="Q316" s="78"/>
      <c r="R316" s="78"/>
      <c r="S316" s="77"/>
      <c r="T316" s="48"/>
      <c r="U316" s="48"/>
      <c r="V316" s="48"/>
      <c r="W316" s="48"/>
      <c r="X316" s="77"/>
      <c r="Y316" s="48"/>
      <c r="Z316" s="48"/>
      <c r="AA316" s="48"/>
      <c r="AB316" s="77"/>
      <c r="AC316" s="48"/>
      <c r="AD316" s="77"/>
      <c r="AE316" s="48"/>
      <c r="AF316" s="77"/>
      <c r="AG316" s="48"/>
      <c r="AH316" s="77"/>
      <c r="AI316" s="48"/>
      <c r="AJ316" s="77"/>
      <c r="AK316" s="48"/>
    </row>
    <row r="317" ht="18.0" customHeight="1">
      <c r="A317" s="48"/>
      <c r="B317" s="48"/>
      <c r="C317" s="77"/>
      <c r="D317" s="48"/>
      <c r="E317" s="48"/>
      <c r="F317" s="48"/>
      <c r="G317" s="48"/>
      <c r="H317" s="77"/>
      <c r="I317" s="48"/>
      <c r="J317" s="48"/>
      <c r="K317" s="48"/>
      <c r="L317" s="48"/>
      <c r="M317" s="48"/>
      <c r="N317" s="77"/>
      <c r="O317" s="78"/>
      <c r="P317" s="77"/>
      <c r="Q317" s="78"/>
      <c r="R317" s="78"/>
      <c r="S317" s="77"/>
      <c r="T317" s="48"/>
      <c r="U317" s="48"/>
      <c r="V317" s="48"/>
      <c r="W317" s="48"/>
      <c r="X317" s="77"/>
      <c r="Y317" s="48"/>
      <c r="Z317" s="48"/>
      <c r="AA317" s="48"/>
      <c r="AB317" s="77"/>
      <c r="AC317" s="48"/>
      <c r="AD317" s="77"/>
      <c r="AE317" s="48"/>
      <c r="AF317" s="77"/>
      <c r="AG317" s="48"/>
      <c r="AH317" s="77"/>
      <c r="AI317" s="48"/>
      <c r="AJ317" s="77"/>
      <c r="AK317" s="48"/>
    </row>
    <row r="318" ht="18.0" customHeight="1">
      <c r="A318" s="48"/>
      <c r="B318" s="48"/>
      <c r="C318" s="77"/>
      <c r="D318" s="48"/>
      <c r="E318" s="48"/>
      <c r="F318" s="48"/>
      <c r="G318" s="48"/>
      <c r="H318" s="77"/>
      <c r="I318" s="48"/>
      <c r="J318" s="48"/>
      <c r="K318" s="48"/>
      <c r="L318" s="48"/>
      <c r="M318" s="48"/>
      <c r="N318" s="77"/>
      <c r="O318" s="78"/>
      <c r="P318" s="77"/>
      <c r="Q318" s="78"/>
      <c r="R318" s="78"/>
      <c r="S318" s="77"/>
      <c r="T318" s="48"/>
      <c r="U318" s="48"/>
      <c r="V318" s="48"/>
      <c r="W318" s="48"/>
      <c r="X318" s="77"/>
      <c r="Y318" s="48"/>
      <c r="Z318" s="48"/>
      <c r="AA318" s="48"/>
      <c r="AB318" s="77"/>
      <c r="AC318" s="48"/>
      <c r="AD318" s="77"/>
      <c r="AE318" s="48"/>
      <c r="AF318" s="77"/>
      <c r="AG318" s="48"/>
      <c r="AH318" s="77"/>
      <c r="AI318" s="48"/>
      <c r="AJ318" s="77"/>
      <c r="AK318" s="48"/>
    </row>
    <row r="319" ht="18.0" customHeight="1">
      <c r="A319" s="48"/>
      <c r="B319" s="48"/>
      <c r="C319" s="77"/>
      <c r="D319" s="48"/>
      <c r="E319" s="48"/>
      <c r="F319" s="48"/>
      <c r="G319" s="48"/>
      <c r="H319" s="77"/>
      <c r="I319" s="48"/>
      <c r="J319" s="48"/>
      <c r="K319" s="48"/>
      <c r="L319" s="48"/>
      <c r="M319" s="48"/>
      <c r="N319" s="77"/>
      <c r="O319" s="78"/>
      <c r="P319" s="77"/>
      <c r="Q319" s="78"/>
      <c r="R319" s="78"/>
      <c r="S319" s="77"/>
      <c r="T319" s="48"/>
      <c r="U319" s="48"/>
      <c r="V319" s="48"/>
      <c r="W319" s="48"/>
      <c r="X319" s="77"/>
      <c r="Y319" s="48"/>
      <c r="Z319" s="48"/>
      <c r="AA319" s="48"/>
      <c r="AB319" s="77"/>
      <c r="AC319" s="48"/>
      <c r="AD319" s="77"/>
      <c r="AE319" s="48"/>
      <c r="AF319" s="77"/>
      <c r="AG319" s="48"/>
      <c r="AH319" s="77"/>
      <c r="AI319" s="48"/>
      <c r="AJ319" s="77"/>
      <c r="AK319" s="48"/>
    </row>
    <row r="320" ht="18.0" customHeight="1">
      <c r="A320" s="48"/>
      <c r="B320" s="48"/>
      <c r="C320" s="77"/>
      <c r="D320" s="48"/>
      <c r="E320" s="48"/>
      <c r="F320" s="48"/>
      <c r="G320" s="48"/>
      <c r="H320" s="77"/>
      <c r="I320" s="48"/>
      <c r="J320" s="48"/>
      <c r="K320" s="48"/>
      <c r="L320" s="48"/>
      <c r="M320" s="48"/>
      <c r="N320" s="77"/>
      <c r="O320" s="78"/>
      <c r="P320" s="77"/>
      <c r="Q320" s="78"/>
      <c r="R320" s="78"/>
      <c r="S320" s="77"/>
      <c r="T320" s="48"/>
      <c r="U320" s="48"/>
      <c r="V320" s="48"/>
      <c r="W320" s="48"/>
      <c r="X320" s="77"/>
      <c r="Y320" s="48"/>
      <c r="Z320" s="48"/>
      <c r="AA320" s="48"/>
      <c r="AB320" s="77"/>
      <c r="AC320" s="48"/>
      <c r="AD320" s="77"/>
      <c r="AE320" s="48"/>
      <c r="AF320" s="77"/>
      <c r="AG320" s="48"/>
      <c r="AH320" s="77"/>
      <c r="AI320" s="48"/>
      <c r="AJ320" s="77"/>
      <c r="AK320" s="48"/>
    </row>
    <row r="321" ht="18.0" customHeight="1">
      <c r="A321" s="48"/>
      <c r="B321" s="48"/>
      <c r="C321" s="77"/>
      <c r="D321" s="48"/>
      <c r="E321" s="48"/>
      <c r="F321" s="48"/>
      <c r="G321" s="48"/>
      <c r="H321" s="77"/>
      <c r="I321" s="48"/>
      <c r="J321" s="48"/>
      <c r="K321" s="48"/>
      <c r="L321" s="48"/>
      <c r="M321" s="48"/>
      <c r="N321" s="77"/>
      <c r="O321" s="78"/>
      <c r="P321" s="77"/>
      <c r="Q321" s="78"/>
      <c r="R321" s="78"/>
      <c r="S321" s="77"/>
      <c r="T321" s="48"/>
      <c r="U321" s="48"/>
      <c r="V321" s="48"/>
      <c r="W321" s="48"/>
      <c r="X321" s="77"/>
      <c r="Y321" s="48"/>
      <c r="Z321" s="48"/>
      <c r="AA321" s="48"/>
      <c r="AB321" s="77"/>
      <c r="AC321" s="48"/>
      <c r="AD321" s="77"/>
      <c r="AE321" s="48"/>
      <c r="AF321" s="77"/>
      <c r="AG321" s="48"/>
      <c r="AH321" s="77"/>
      <c r="AI321" s="48"/>
      <c r="AJ321" s="77"/>
      <c r="AK321" s="48"/>
    </row>
    <row r="322" ht="18.0" customHeight="1">
      <c r="A322" s="48"/>
      <c r="B322" s="48"/>
      <c r="C322" s="77"/>
      <c r="D322" s="48"/>
      <c r="E322" s="48"/>
      <c r="F322" s="48"/>
      <c r="G322" s="48"/>
      <c r="H322" s="77"/>
      <c r="I322" s="48"/>
      <c r="J322" s="48"/>
      <c r="K322" s="48"/>
      <c r="L322" s="48"/>
      <c r="M322" s="48"/>
      <c r="N322" s="77"/>
      <c r="O322" s="78"/>
      <c r="P322" s="77"/>
      <c r="Q322" s="78"/>
      <c r="R322" s="78"/>
      <c r="S322" s="77"/>
      <c r="T322" s="48"/>
      <c r="U322" s="48"/>
      <c r="V322" s="48"/>
      <c r="W322" s="48"/>
      <c r="X322" s="77"/>
      <c r="Y322" s="48"/>
      <c r="Z322" s="48"/>
      <c r="AA322" s="48"/>
      <c r="AB322" s="77"/>
      <c r="AC322" s="48"/>
      <c r="AD322" s="77"/>
      <c r="AE322" s="48"/>
      <c r="AF322" s="77"/>
      <c r="AG322" s="48"/>
      <c r="AH322" s="77"/>
      <c r="AI322" s="48"/>
      <c r="AJ322" s="77"/>
      <c r="AK322" s="48"/>
    </row>
    <row r="323" ht="18.0" customHeight="1">
      <c r="A323" s="48"/>
      <c r="B323" s="48"/>
      <c r="C323" s="77"/>
      <c r="D323" s="48"/>
      <c r="E323" s="48"/>
      <c r="F323" s="48"/>
      <c r="G323" s="48"/>
      <c r="H323" s="77"/>
      <c r="I323" s="48"/>
      <c r="J323" s="48"/>
      <c r="K323" s="48"/>
      <c r="L323" s="48"/>
      <c r="M323" s="48"/>
      <c r="N323" s="77"/>
      <c r="O323" s="78"/>
      <c r="P323" s="77"/>
      <c r="Q323" s="78"/>
      <c r="R323" s="78"/>
      <c r="S323" s="77"/>
      <c r="T323" s="48"/>
      <c r="U323" s="48"/>
      <c r="V323" s="48"/>
      <c r="W323" s="48"/>
      <c r="X323" s="77"/>
      <c r="Y323" s="48"/>
      <c r="Z323" s="48"/>
      <c r="AA323" s="48"/>
      <c r="AB323" s="77"/>
      <c r="AC323" s="48"/>
      <c r="AD323" s="77"/>
      <c r="AE323" s="48"/>
      <c r="AF323" s="77"/>
      <c r="AG323" s="48"/>
      <c r="AH323" s="77"/>
      <c r="AI323" s="48"/>
      <c r="AJ323" s="77"/>
      <c r="AK323" s="48"/>
    </row>
    <row r="324" ht="18.0" customHeight="1">
      <c r="A324" s="48"/>
      <c r="B324" s="48"/>
      <c r="C324" s="77"/>
      <c r="D324" s="48"/>
      <c r="E324" s="48"/>
      <c r="F324" s="48"/>
      <c r="G324" s="48"/>
      <c r="H324" s="77"/>
      <c r="I324" s="48"/>
      <c r="J324" s="48"/>
      <c r="K324" s="48"/>
      <c r="L324" s="48"/>
      <c r="M324" s="48"/>
      <c r="N324" s="77"/>
      <c r="O324" s="78"/>
      <c r="P324" s="77"/>
      <c r="Q324" s="78"/>
      <c r="R324" s="78"/>
      <c r="S324" s="77"/>
      <c r="T324" s="48"/>
      <c r="U324" s="48"/>
      <c r="V324" s="48"/>
      <c r="W324" s="48"/>
      <c r="X324" s="77"/>
      <c r="Y324" s="48"/>
      <c r="Z324" s="48"/>
      <c r="AA324" s="48"/>
      <c r="AB324" s="77"/>
      <c r="AC324" s="48"/>
      <c r="AD324" s="77"/>
      <c r="AE324" s="48"/>
      <c r="AF324" s="77"/>
      <c r="AG324" s="48"/>
      <c r="AH324" s="77"/>
      <c r="AI324" s="48"/>
      <c r="AJ324" s="77"/>
      <c r="AK324" s="48"/>
    </row>
    <row r="325" ht="18.0" customHeight="1">
      <c r="A325" s="48"/>
      <c r="B325" s="48"/>
      <c r="C325" s="77"/>
      <c r="D325" s="48"/>
      <c r="E325" s="48"/>
      <c r="F325" s="48"/>
      <c r="G325" s="48"/>
      <c r="H325" s="77"/>
      <c r="I325" s="48"/>
      <c r="J325" s="48"/>
      <c r="K325" s="48"/>
      <c r="L325" s="48"/>
      <c r="M325" s="48"/>
      <c r="N325" s="77"/>
      <c r="O325" s="78"/>
      <c r="P325" s="77"/>
      <c r="Q325" s="78"/>
      <c r="R325" s="78"/>
      <c r="S325" s="77"/>
      <c r="T325" s="48"/>
      <c r="U325" s="48"/>
      <c r="V325" s="48"/>
      <c r="W325" s="48"/>
      <c r="X325" s="77"/>
      <c r="Y325" s="48"/>
      <c r="Z325" s="48"/>
      <c r="AA325" s="48"/>
      <c r="AB325" s="77"/>
      <c r="AC325" s="48"/>
      <c r="AD325" s="77"/>
      <c r="AE325" s="48"/>
      <c r="AF325" s="77"/>
      <c r="AG325" s="48"/>
      <c r="AH325" s="77"/>
      <c r="AI325" s="48"/>
      <c r="AJ325" s="77"/>
      <c r="AK325" s="48"/>
    </row>
    <row r="326" ht="18.0" customHeight="1">
      <c r="A326" s="48"/>
      <c r="B326" s="48"/>
      <c r="C326" s="77"/>
      <c r="D326" s="48"/>
      <c r="E326" s="48"/>
      <c r="F326" s="48"/>
      <c r="G326" s="48"/>
      <c r="H326" s="77"/>
      <c r="I326" s="48"/>
      <c r="J326" s="48"/>
      <c r="K326" s="48"/>
      <c r="L326" s="48"/>
      <c r="M326" s="48"/>
      <c r="N326" s="77"/>
      <c r="O326" s="78"/>
      <c r="P326" s="77"/>
      <c r="Q326" s="78"/>
      <c r="R326" s="78"/>
      <c r="S326" s="77"/>
      <c r="T326" s="48"/>
      <c r="U326" s="48"/>
      <c r="V326" s="48"/>
      <c r="W326" s="48"/>
      <c r="X326" s="77"/>
      <c r="Y326" s="48"/>
      <c r="Z326" s="48"/>
      <c r="AA326" s="48"/>
      <c r="AB326" s="77"/>
      <c r="AC326" s="48"/>
      <c r="AD326" s="77"/>
      <c r="AE326" s="48"/>
      <c r="AF326" s="77"/>
      <c r="AG326" s="48"/>
      <c r="AH326" s="77"/>
      <c r="AI326" s="48"/>
      <c r="AJ326" s="77"/>
      <c r="AK326" s="48"/>
    </row>
    <row r="327" ht="18.0" customHeight="1">
      <c r="A327" s="48"/>
      <c r="B327" s="48"/>
      <c r="C327" s="77"/>
      <c r="D327" s="48"/>
      <c r="E327" s="48"/>
      <c r="F327" s="48"/>
      <c r="G327" s="48"/>
      <c r="H327" s="77"/>
      <c r="I327" s="48"/>
      <c r="J327" s="48"/>
      <c r="K327" s="48"/>
      <c r="L327" s="48"/>
      <c r="M327" s="48"/>
      <c r="N327" s="77"/>
      <c r="O327" s="78"/>
      <c r="P327" s="77"/>
      <c r="Q327" s="78"/>
      <c r="R327" s="78"/>
      <c r="S327" s="77"/>
      <c r="T327" s="48"/>
      <c r="U327" s="48"/>
      <c r="V327" s="48"/>
      <c r="W327" s="48"/>
      <c r="X327" s="77"/>
      <c r="Y327" s="48"/>
      <c r="Z327" s="48"/>
      <c r="AA327" s="48"/>
      <c r="AB327" s="77"/>
      <c r="AC327" s="48"/>
      <c r="AD327" s="77"/>
      <c r="AE327" s="48"/>
      <c r="AF327" s="77"/>
      <c r="AG327" s="48"/>
      <c r="AH327" s="77"/>
      <c r="AI327" s="48"/>
      <c r="AJ327" s="77"/>
      <c r="AK327" s="48"/>
    </row>
    <row r="328" ht="18.0" customHeight="1">
      <c r="A328" s="48"/>
      <c r="B328" s="48"/>
      <c r="C328" s="77"/>
      <c r="D328" s="48"/>
      <c r="E328" s="48"/>
      <c r="F328" s="48"/>
      <c r="G328" s="48"/>
      <c r="H328" s="77"/>
      <c r="I328" s="48"/>
      <c r="J328" s="48"/>
      <c r="K328" s="48"/>
      <c r="L328" s="48"/>
      <c r="M328" s="48"/>
      <c r="N328" s="77"/>
      <c r="O328" s="78"/>
      <c r="P328" s="77"/>
      <c r="Q328" s="78"/>
      <c r="R328" s="78"/>
      <c r="S328" s="77"/>
      <c r="T328" s="48"/>
      <c r="U328" s="48"/>
      <c r="V328" s="48"/>
      <c r="W328" s="48"/>
      <c r="X328" s="77"/>
      <c r="Y328" s="48"/>
      <c r="Z328" s="48"/>
      <c r="AA328" s="48"/>
      <c r="AB328" s="77"/>
      <c r="AC328" s="48"/>
      <c r="AD328" s="77"/>
      <c r="AE328" s="48"/>
      <c r="AF328" s="77"/>
      <c r="AG328" s="48"/>
      <c r="AH328" s="77"/>
      <c r="AI328" s="48"/>
      <c r="AJ328" s="77"/>
      <c r="AK328" s="48"/>
    </row>
    <row r="329" ht="18.0" customHeight="1">
      <c r="A329" s="48"/>
      <c r="B329" s="48"/>
      <c r="C329" s="77"/>
      <c r="D329" s="48"/>
      <c r="E329" s="48"/>
      <c r="F329" s="48"/>
      <c r="G329" s="48"/>
      <c r="H329" s="77"/>
      <c r="I329" s="48"/>
      <c r="J329" s="48"/>
      <c r="K329" s="48"/>
      <c r="L329" s="48"/>
      <c r="M329" s="48"/>
      <c r="N329" s="77"/>
      <c r="O329" s="78"/>
      <c r="P329" s="77"/>
      <c r="Q329" s="78"/>
      <c r="R329" s="78"/>
      <c r="S329" s="77"/>
      <c r="T329" s="48"/>
      <c r="U329" s="48"/>
      <c r="V329" s="48"/>
      <c r="W329" s="48"/>
      <c r="X329" s="77"/>
      <c r="Y329" s="48"/>
      <c r="Z329" s="48"/>
      <c r="AA329" s="48"/>
      <c r="AB329" s="77"/>
      <c r="AC329" s="48"/>
      <c r="AD329" s="77"/>
      <c r="AE329" s="48"/>
      <c r="AF329" s="77"/>
      <c r="AG329" s="48"/>
      <c r="AH329" s="77"/>
      <c r="AI329" s="48"/>
      <c r="AJ329" s="77"/>
      <c r="AK329" s="48"/>
    </row>
    <row r="330" ht="18.0" customHeight="1">
      <c r="A330" s="48"/>
      <c r="B330" s="48"/>
      <c r="C330" s="77"/>
      <c r="D330" s="48"/>
      <c r="E330" s="48"/>
      <c r="F330" s="48"/>
      <c r="G330" s="48"/>
      <c r="H330" s="77"/>
      <c r="I330" s="48"/>
      <c r="J330" s="48"/>
      <c r="K330" s="48"/>
      <c r="L330" s="48"/>
      <c r="M330" s="48"/>
      <c r="N330" s="77"/>
      <c r="O330" s="78"/>
      <c r="P330" s="77"/>
      <c r="Q330" s="78"/>
      <c r="R330" s="78"/>
      <c r="S330" s="77"/>
      <c r="T330" s="48"/>
      <c r="U330" s="48"/>
      <c r="V330" s="48"/>
      <c r="W330" s="48"/>
      <c r="X330" s="77"/>
      <c r="Y330" s="48"/>
      <c r="Z330" s="48"/>
      <c r="AA330" s="48"/>
      <c r="AB330" s="77"/>
      <c r="AC330" s="48"/>
      <c r="AD330" s="77"/>
      <c r="AE330" s="48"/>
      <c r="AF330" s="77"/>
      <c r="AG330" s="48"/>
      <c r="AH330" s="77"/>
      <c r="AI330" s="48"/>
      <c r="AJ330" s="77"/>
      <c r="AK330" s="48"/>
    </row>
    <row r="331" ht="18.0" customHeight="1">
      <c r="A331" s="48"/>
      <c r="B331" s="48"/>
      <c r="C331" s="77"/>
      <c r="D331" s="48"/>
      <c r="E331" s="48"/>
      <c r="F331" s="48"/>
      <c r="G331" s="48"/>
      <c r="H331" s="77"/>
      <c r="I331" s="48"/>
      <c r="J331" s="48"/>
      <c r="K331" s="48"/>
      <c r="L331" s="48"/>
      <c r="M331" s="48"/>
      <c r="N331" s="77"/>
      <c r="O331" s="78"/>
      <c r="P331" s="77"/>
      <c r="Q331" s="78"/>
      <c r="R331" s="78"/>
      <c r="S331" s="77"/>
      <c r="T331" s="48"/>
      <c r="U331" s="48"/>
      <c r="V331" s="48"/>
      <c r="W331" s="48"/>
      <c r="X331" s="77"/>
      <c r="Y331" s="48"/>
      <c r="Z331" s="48"/>
      <c r="AA331" s="48"/>
      <c r="AB331" s="77"/>
      <c r="AC331" s="48"/>
      <c r="AD331" s="77"/>
      <c r="AE331" s="48"/>
      <c r="AF331" s="77"/>
      <c r="AG331" s="48"/>
      <c r="AH331" s="77"/>
      <c r="AI331" s="48"/>
      <c r="AJ331" s="77"/>
      <c r="AK331" s="48"/>
    </row>
    <row r="332" ht="18.0" customHeight="1">
      <c r="A332" s="48"/>
      <c r="B332" s="48"/>
      <c r="C332" s="77"/>
      <c r="D332" s="48"/>
      <c r="E332" s="48"/>
      <c r="F332" s="48"/>
      <c r="G332" s="48"/>
      <c r="H332" s="77"/>
      <c r="I332" s="48"/>
      <c r="J332" s="48"/>
      <c r="K332" s="48"/>
      <c r="L332" s="48"/>
      <c r="M332" s="48"/>
      <c r="N332" s="77"/>
      <c r="O332" s="78"/>
      <c r="P332" s="77"/>
      <c r="Q332" s="78"/>
      <c r="R332" s="78"/>
      <c r="S332" s="77"/>
      <c r="T332" s="48"/>
      <c r="U332" s="48"/>
      <c r="V332" s="48"/>
      <c r="W332" s="48"/>
      <c r="X332" s="77"/>
      <c r="Y332" s="48"/>
      <c r="Z332" s="48"/>
      <c r="AA332" s="48"/>
      <c r="AB332" s="77"/>
      <c r="AC332" s="48"/>
      <c r="AD332" s="77"/>
      <c r="AE332" s="48"/>
      <c r="AF332" s="77"/>
      <c r="AG332" s="48"/>
      <c r="AH332" s="77"/>
      <c r="AI332" s="48"/>
      <c r="AJ332" s="77"/>
      <c r="AK332" s="48"/>
    </row>
    <row r="333" ht="18.0" customHeight="1">
      <c r="A333" s="48"/>
      <c r="B333" s="48"/>
      <c r="C333" s="77"/>
      <c r="D333" s="48"/>
      <c r="E333" s="48"/>
      <c r="F333" s="48"/>
      <c r="G333" s="48"/>
      <c r="H333" s="77"/>
      <c r="I333" s="48"/>
      <c r="J333" s="48"/>
      <c r="K333" s="48"/>
      <c r="L333" s="48"/>
      <c r="M333" s="48"/>
      <c r="N333" s="77"/>
      <c r="O333" s="78"/>
      <c r="P333" s="77"/>
      <c r="Q333" s="78"/>
      <c r="R333" s="78"/>
      <c r="S333" s="77"/>
      <c r="T333" s="48"/>
      <c r="U333" s="48"/>
      <c r="V333" s="48"/>
      <c r="W333" s="48"/>
      <c r="X333" s="77"/>
      <c r="Y333" s="48"/>
      <c r="Z333" s="48"/>
      <c r="AA333" s="48"/>
      <c r="AB333" s="77"/>
      <c r="AC333" s="48"/>
      <c r="AD333" s="77"/>
      <c r="AE333" s="48"/>
      <c r="AF333" s="77"/>
      <c r="AG333" s="48"/>
      <c r="AH333" s="77"/>
      <c r="AI333" s="48"/>
      <c r="AJ333" s="77"/>
      <c r="AK333" s="48"/>
    </row>
    <row r="334" ht="18.0" customHeight="1">
      <c r="A334" s="48"/>
      <c r="B334" s="48"/>
      <c r="C334" s="77"/>
      <c r="D334" s="48"/>
      <c r="E334" s="48"/>
      <c r="F334" s="48"/>
      <c r="G334" s="48"/>
      <c r="H334" s="77"/>
      <c r="I334" s="48"/>
      <c r="J334" s="48"/>
      <c r="K334" s="48"/>
      <c r="L334" s="48"/>
      <c r="M334" s="48"/>
      <c r="N334" s="77"/>
      <c r="O334" s="78"/>
      <c r="P334" s="77"/>
      <c r="Q334" s="78"/>
      <c r="R334" s="78"/>
      <c r="S334" s="77"/>
      <c r="T334" s="48"/>
      <c r="U334" s="48"/>
      <c r="V334" s="48"/>
      <c r="W334" s="48"/>
      <c r="X334" s="77"/>
      <c r="Y334" s="48"/>
      <c r="Z334" s="48"/>
      <c r="AA334" s="48"/>
      <c r="AB334" s="77"/>
      <c r="AC334" s="48"/>
      <c r="AD334" s="77"/>
      <c r="AE334" s="48"/>
      <c r="AF334" s="77"/>
      <c r="AG334" s="48"/>
      <c r="AH334" s="77"/>
      <c r="AI334" s="48"/>
      <c r="AJ334" s="77"/>
      <c r="AK334" s="48"/>
    </row>
    <row r="335" ht="18.0" customHeight="1">
      <c r="A335" s="48"/>
      <c r="B335" s="48"/>
      <c r="C335" s="77"/>
      <c r="D335" s="48"/>
      <c r="E335" s="48"/>
      <c r="F335" s="48"/>
      <c r="G335" s="48"/>
      <c r="H335" s="77"/>
      <c r="I335" s="48"/>
      <c r="J335" s="48"/>
      <c r="K335" s="48"/>
      <c r="L335" s="48"/>
      <c r="M335" s="48"/>
      <c r="N335" s="77"/>
      <c r="O335" s="78"/>
      <c r="P335" s="77"/>
      <c r="Q335" s="78"/>
      <c r="R335" s="78"/>
      <c r="S335" s="77"/>
      <c r="T335" s="48"/>
      <c r="U335" s="48"/>
      <c r="V335" s="48"/>
      <c r="W335" s="48"/>
      <c r="X335" s="77"/>
      <c r="Y335" s="48"/>
      <c r="Z335" s="48"/>
      <c r="AA335" s="48"/>
      <c r="AB335" s="77"/>
      <c r="AC335" s="48"/>
      <c r="AD335" s="77"/>
      <c r="AE335" s="48"/>
      <c r="AF335" s="77"/>
      <c r="AG335" s="48"/>
      <c r="AH335" s="77"/>
      <c r="AI335" s="48"/>
      <c r="AJ335" s="77"/>
      <c r="AK335" s="48"/>
    </row>
    <row r="336" ht="18.0" customHeight="1">
      <c r="A336" s="48"/>
      <c r="B336" s="48"/>
      <c r="C336" s="77"/>
      <c r="D336" s="48"/>
      <c r="E336" s="48"/>
      <c r="F336" s="48"/>
      <c r="G336" s="48"/>
      <c r="H336" s="77"/>
      <c r="I336" s="48"/>
      <c r="J336" s="48"/>
      <c r="K336" s="48"/>
      <c r="L336" s="48"/>
      <c r="M336" s="48"/>
      <c r="N336" s="77"/>
      <c r="O336" s="78"/>
      <c r="P336" s="77"/>
      <c r="Q336" s="78"/>
      <c r="R336" s="78"/>
      <c r="S336" s="77"/>
      <c r="T336" s="48"/>
      <c r="U336" s="48"/>
      <c r="V336" s="48"/>
      <c r="W336" s="48"/>
      <c r="X336" s="77"/>
      <c r="Y336" s="48"/>
      <c r="Z336" s="48"/>
      <c r="AA336" s="48"/>
      <c r="AB336" s="77"/>
      <c r="AC336" s="48"/>
      <c r="AD336" s="77"/>
      <c r="AE336" s="48"/>
      <c r="AF336" s="77"/>
      <c r="AG336" s="48"/>
      <c r="AH336" s="77"/>
      <c r="AI336" s="48"/>
      <c r="AJ336" s="77"/>
      <c r="AK336" s="48"/>
    </row>
    <row r="337" ht="18.0" customHeight="1">
      <c r="A337" s="48"/>
      <c r="B337" s="48"/>
      <c r="C337" s="77"/>
      <c r="D337" s="48"/>
      <c r="E337" s="48"/>
      <c r="F337" s="48"/>
      <c r="G337" s="48"/>
      <c r="H337" s="77"/>
      <c r="I337" s="48"/>
      <c r="J337" s="48"/>
      <c r="K337" s="48"/>
      <c r="L337" s="48"/>
      <c r="M337" s="48"/>
      <c r="N337" s="77"/>
      <c r="O337" s="78"/>
      <c r="P337" s="77"/>
      <c r="Q337" s="78"/>
      <c r="R337" s="78"/>
      <c r="S337" s="77"/>
      <c r="T337" s="48"/>
      <c r="U337" s="48"/>
      <c r="V337" s="48"/>
      <c r="W337" s="48"/>
      <c r="X337" s="77"/>
      <c r="Y337" s="48"/>
      <c r="Z337" s="48"/>
      <c r="AA337" s="48"/>
      <c r="AB337" s="77"/>
      <c r="AC337" s="48"/>
      <c r="AD337" s="77"/>
      <c r="AE337" s="48"/>
      <c r="AF337" s="77"/>
      <c r="AG337" s="48"/>
      <c r="AH337" s="77"/>
      <c r="AI337" s="48"/>
      <c r="AJ337" s="77"/>
      <c r="AK337" s="48"/>
    </row>
    <row r="338" ht="18.0" customHeight="1">
      <c r="A338" s="48"/>
      <c r="B338" s="48"/>
      <c r="C338" s="77"/>
      <c r="D338" s="48"/>
      <c r="E338" s="48"/>
      <c r="F338" s="48"/>
      <c r="G338" s="48"/>
      <c r="H338" s="77"/>
      <c r="I338" s="48"/>
      <c r="J338" s="48"/>
      <c r="K338" s="48"/>
      <c r="L338" s="48"/>
      <c r="M338" s="48"/>
      <c r="N338" s="77"/>
      <c r="O338" s="78"/>
      <c r="P338" s="77"/>
      <c r="Q338" s="78"/>
      <c r="R338" s="78"/>
      <c r="S338" s="77"/>
      <c r="T338" s="48"/>
      <c r="U338" s="48"/>
      <c r="V338" s="48"/>
      <c r="W338" s="48"/>
      <c r="X338" s="77"/>
      <c r="Y338" s="48"/>
      <c r="Z338" s="48"/>
      <c r="AA338" s="48"/>
      <c r="AB338" s="77"/>
      <c r="AC338" s="48"/>
      <c r="AD338" s="77"/>
      <c r="AE338" s="48"/>
      <c r="AF338" s="77"/>
      <c r="AG338" s="48"/>
      <c r="AH338" s="77"/>
      <c r="AI338" s="48"/>
      <c r="AJ338" s="77"/>
      <c r="AK338" s="48"/>
    </row>
    <row r="339" ht="18.0" customHeight="1">
      <c r="A339" s="48"/>
      <c r="B339" s="48"/>
      <c r="C339" s="77"/>
      <c r="D339" s="48"/>
      <c r="E339" s="48"/>
      <c r="F339" s="48"/>
      <c r="G339" s="48"/>
      <c r="H339" s="77"/>
      <c r="I339" s="48"/>
      <c r="J339" s="48"/>
      <c r="K339" s="48"/>
      <c r="L339" s="48"/>
      <c r="M339" s="48"/>
      <c r="N339" s="77"/>
      <c r="O339" s="78"/>
      <c r="P339" s="77"/>
      <c r="Q339" s="78"/>
      <c r="R339" s="78"/>
      <c r="S339" s="77"/>
      <c r="T339" s="48"/>
      <c r="U339" s="48"/>
      <c r="V339" s="48"/>
      <c r="W339" s="48"/>
      <c r="X339" s="77"/>
      <c r="Y339" s="48"/>
      <c r="Z339" s="48"/>
      <c r="AA339" s="48"/>
      <c r="AB339" s="77"/>
      <c r="AC339" s="48"/>
      <c r="AD339" s="77"/>
      <c r="AE339" s="48"/>
      <c r="AF339" s="77"/>
      <c r="AG339" s="48"/>
      <c r="AH339" s="77"/>
      <c r="AI339" s="48"/>
      <c r="AJ339" s="77"/>
      <c r="AK339" s="48"/>
    </row>
    <row r="340" ht="18.0" customHeight="1">
      <c r="A340" s="48"/>
      <c r="B340" s="48"/>
      <c r="C340" s="77"/>
      <c r="D340" s="48"/>
      <c r="E340" s="48"/>
      <c r="F340" s="48"/>
      <c r="G340" s="48"/>
      <c r="H340" s="77"/>
      <c r="I340" s="48"/>
      <c r="J340" s="48"/>
      <c r="K340" s="48"/>
      <c r="L340" s="48"/>
      <c r="M340" s="48"/>
      <c r="N340" s="77"/>
      <c r="O340" s="78"/>
      <c r="P340" s="77"/>
      <c r="Q340" s="78"/>
      <c r="R340" s="78"/>
      <c r="S340" s="77"/>
      <c r="T340" s="48"/>
      <c r="U340" s="48"/>
      <c r="V340" s="48"/>
      <c r="W340" s="48"/>
      <c r="X340" s="77"/>
      <c r="Y340" s="48"/>
      <c r="Z340" s="48"/>
      <c r="AA340" s="48"/>
      <c r="AB340" s="77"/>
      <c r="AC340" s="48"/>
      <c r="AD340" s="77"/>
      <c r="AE340" s="48"/>
      <c r="AF340" s="77"/>
      <c r="AG340" s="48"/>
      <c r="AH340" s="77"/>
      <c r="AI340" s="48"/>
      <c r="AJ340" s="77"/>
      <c r="AK340" s="48"/>
    </row>
    <row r="341" ht="18.0" customHeight="1">
      <c r="A341" s="48"/>
      <c r="B341" s="48"/>
      <c r="C341" s="77"/>
      <c r="D341" s="48"/>
      <c r="E341" s="48"/>
      <c r="F341" s="48"/>
      <c r="G341" s="48"/>
      <c r="H341" s="77"/>
      <c r="I341" s="48"/>
      <c r="J341" s="48"/>
      <c r="K341" s="48"/>
      <c r="L341" s="48"/>
      <c r="M341" s="48"/>
      <c r="N341" s="77"/>
      <c r="O341" s="78"/>
      <c r="P341" s="77"/>
      <c r="Q341" s="78"/>
      <c r="R341" s="78"/>
      <c r="S341" s="77"/>
      <c r="T341" s="48"/>
      <c r="U341" s="48"/>
      <c r="V341" s="48"/>
      <c r="W341" s="48"/>
      <c r="X341" s="77"/>
      <c r="Y341" s="48"/>
      <c r="Z341" s="48"/>
      <c r="AA341" s="48"/>
      <c r="AB341" s="77"/>
      <c r="AC341" s="48"/>
      <c r="AD341" s="77"/>
      <c r="AE341" s="48"/>
      <c r="AF341" s="77"/>
      <c r="AG341" s="48"/>
      <c r="AH341" s="77"/>
      <c r="AI341" s="48"/>
      <c r="AJ341" s="77"/>
      <c r="AK341" s="48"/>
    </row>
    <row r="342" ht="18.0" customHeight="1">
      <c r="A342" s="48"/>
      <c r="B342" s="48"/>
      <c r="C342" s="77"/>
      <c r="D342" s="48"/>
      <c r="E342" s="48"/>
      <c r="F342" s="48"/>
      <c r="G342" s="48"/>
      <c r="H342" s="77"/>
      <c r="I342" s="48"/>
      <c r="J342" s="48"/>
      <c r="K342" s="48"/>
      <c r="L342" s="48"/>
      <c r="M342" s="48"/>
      <c r="N342" s="77"/>
      <c r="O342" s="78"/>
      <c r="P342" s="77"/>
      <c r="Q342" s="78"/>
      <c r="R342" s="78"/>
      <c r="S342" s="77"/>
      <c r="T342" s="48"/>
      <c r="U342" s="48"/>
      <c r="V342" s="48"/>
      <c r="W342" s="48"/>
      <c r="X342" s="77"/>
      <c r="Y342" s="48"/>
      <c r="Z342" s="48"/>
      <c r="AA342" s="48"/>
      <c r="AB342" s="77"/>
      <c r="AC342" s="48"/>
      <c r="AD342" s="77"/>
      <c r="AE342" s="48"/>
      <c r="AF342" s="77"/>
      <c r="AG342" s="48"/>
      <c r="AH342" s="77"/>
      <c r="AI342" s="48"/>
      <c r="AJ342" s="77"/>
      <c r="AK342" s="48"/>
    </row>
    <row r="343" ht="18.0" customHeight="1">
      <c r="A343" s="48"/>
      <c r="B343" s="48"/>
      <c r="C343" s="77"/>
      <c r="D343" s="48"/>
      <c r="E343" s="48"/>
      <c r="F343" s="48"/>
      <c r="G343" s="48"/>
      <c r="H343" s="77"/>
      <c r="I343" s="48"/>
      <c r="J343" s="48"/>
      <c r="K343" s="48"/>
      <c r="L343" s="48"/>
      <c r="M343" s="48"/>
      <c r="N343" s="77"/>
      <c r="O343" s="78"/>
      <c r="P343" s="77"/>
      <c r="Q343" s="78"/>
      <c r="R343" s="78"/>
      <c r="S343" s="77"/>
      <c r="T343" s="48"/>
      <c r="U343" s="48"/>
      <c r="V343" s="48"/>
      <c r="W343" s="48"/>
      <c r="X343" s="77"/>
      <c r="Y343" s="48"/>
      <c r="Z343" s="48"/>
      <c r="AA343" s="48"/>
      <c r="AB343" s="77"/>
      <c r="AC343" s="48"/>
      <c r="AD343" s="77"/>
      <c r="AE343" s="48"/>
      <c r="AF343" s="77"/>
      <c r="AG343" s="48"/>
      <c r="AH343" s="77"/>
      <c r="AI343" s="48"/>
      <c r="AJ343" s="77"/>
      <c r="AK343" s="48"/>
    </row>
    <row r="344" ht="18.0" customHeight="1">
      <c r="A344" s="48"/>
      <c r="B344" s="48"/>
      <c r="C344" s="77"/>
      <c r="D344" s="48"/>
      <c r="E344" s="48"/>
      <c r="F344" s="48"/>
      <c r="G344" s="48"/>
      <c r="H344" s="77"/>
      <c r="I344" s="48"/>
      <c r="J344" s="48"/>
      <c r="K344" s="48"/>
      <c r="L344" s="48"/>
      <c r="M344" s="48"/>
      <c r="N344" s="77"/>
      <c r="O344" s="78"/>
      <c r="P344" s="77"/>
      <c r="Q344" s="78"/>
      <c r="R344" s="78"/>
      <c r="S344" s="77"/>
      <c r="T344" s="48"/>
      <c r="U344" s="48"/>
      <c r="V344" s="48"/>
      <c r="W344" s="48"/>
      <c r="X344" s="77"/>
      <c r="Y344" s="48"/>
      <c r="Z344" s="48"/>
      <c r="AA344" s="48"/>
      <c r="AB344" s="77"/>
      <c r="AC344" s="48"/>
      <c r="AD344" s="77"/>
      <c r="AE344" s="48"/>
      <c r="AF344" s="77"/>
      <c r="AG344" s="48"/>
      <c r="AH344" s="77"/>
      <c r="AI344" s="48"/>
      <c r="AJ344" s="77"/>
      <c r="AK344" s="48"/>
    </row>
    <row r="345" ht="18.0" customHeight="1">
      <c r="A345" s="48"/>
      <c r="B345" s="48"/>
      <c r="C345" s="77"/>
      <c r="D345" s="48"/>
      <c r="E345" s="48"/>
      <c r="F345" s="48"/>
      <c r="G345" s="48"/>
      <c r="H345" s="77"/>
      <c r="I345" s="48"/>
      <c r="J345" s="48"/>
      <c r="K345" s="48"/>
      <c r="L345" s="48"/>
      <c r="M345" s="48"/>
      <c r="N345" s="77"/>
      <c r="O345" s="78"/>
      <c r="P345" s="77"/>
      <c r="Q345" s="78"/>
      <c r="R345" s="78"/>
      <c r="S345" s="77"/>
      <c r="T345" s="48"/>
      <c r="U345" s="48"/>
      <c r="V345" s="48"/>
      <c r="W345" s="48"/>
      <c r="X345" s="77"/>
      <c r="Y345" s="48"/>
      <c r="Z345" s="48"/>
      <c r="AA345" s="48"/>
      <c r="AB345" s="77"/>
      <c r="AC345" s="48"/>
      <c r="AD345" s="77"/>
      <c r="AE345" s="48"/>
      <c r="AF345" s="77"/>
      <c r="AG345" s="48"/>
      <c r="AH345" s="77"/>
      <c r="AI345" s="48"/>
      <c r="AJ345" s="77"/>
      <c r="AK345" s="48"/>
    </row>
    <row r="346" ht="18.0" customHeight="1">
      <c r="A346" s="48"/>
      <c r="B346" s="48"/>
      <c r="C346" s="77"/>
      <c r="D346" s="48"/>
      <c r="E346" s="48"/>
      <c r="F346" s="48"/>
      <c r="G346" s="48"/>
      <c r="H346" s="77"/>
      <c r="I346" s="48"/>
      <c r="J346" s="48"/>
      <c r="K346" s="48"/>
      <c r="L346" s="48"/>
      <c r="M346" s="48"/>
      <c r="N346" s="77"/>
      <c r="O346" s="78"/>
      <c r="P346" s="77"/>
      <c r="Q346" s="78"/>
      <c r="R346" s="78"/>
      <c r="S346" s="77"/>
      <c r="T346" s="48"/>
      <c r="U346" s="48"/>
      <c r="V346" s="48"/>
      <c r="W346" s="48"/>
      <c r="X346" s="77"/>
      <c r="Y346" s="48"/>
      <c r="Z346" s="48"/>
      <c r="AA346" s="48"/>
      <c r="AB346" s="77"/>
      <c r="AC346" s="48"/>
      <c r="AD346" s="77"/>
      <c r="AE346" s="48"/>
      <c r="AF346" s="77"/>
      <c r="AG346" s="48"/>
      <c r="AH346" s="77"/>
      <c r="AI346" s="48"/>
      <c r="AJ346" s="77"/>
      <c r="AK346" s="48"/>
    </row>
    <row r="347" ht="18.0" customHeight="1">
      <c r="A347" s="48"/>
      <c r="B347" s="48"/>
      <c r="C347" s="77"/>
      <c r="D347" s="48"/>
      <c r="E347" s="48"/>
      <c r="F347" s="48"/>
      <c r="G347" s="48"/>
      <c r="H347" s="77"/>
      <c r="I347" s="48"/>
      <c r="J347" s="48"/>
      <c r="K347" s="48"/>
      <c r="L347" s="48"/>
      <c r="M347" s="48"/>
      <c r="N347" s="77"/>
      <c r="O347" s="78"/>
      <c r="P347" s="77"/>
      <c r="Q347" s="78"/>
      <c r="R347" s="78"/>
      <c r="S347" s="77"/>
      <c r="T347" s="48"/>
      <c r="U347" s="48"/>
      <c r="V347" s="48"/>
      <c r="W347" s="48"/>
      <c r="X347" s="77"/>
      <c r="Y347" s="48"/>
      <c r="Z347" s="48"/>
      <c r="AA347" s="48"/>
      <c r="AB347" s="77"/>
      <c r="AC347" s="48"/>
      <c r="AD347" s="77"/>
      <c r="AE347" s="48"/>
      <c r="AF347" s="77"/>
      <c r="AG347" s="48"/>
      <c r="AH347" s="77"/>
      <c r="AI347" s="48"/>
      <c r="AJ347" s="77"/>
      <c r="AK347" s="48"/>
    </row>
    <row r="348" ht="18.0" customHeight="1">
      <c r="A348" s="48"/>
      <c r="B348" s="48"/>
      <c r="C348" s="77"/>
      <c r="D348" s="48"/>
      <c r="E348" s="48"/>
      <c r="F348" s="48"/>
      <c r="G348" s="48"/>
      <c r="H348" s="77"/>
      <c r="I348" s="48"/>
      <c r="J348" s="48"/>
      <c r="K348" s="48"/>
      <c r="L348" s="48"/>
      <c r="M348" s="48"/>
      <c r="N348" s="77"/>
      <c r="O348" s="78"/>
      <c r="P348" s="77"/>
      <c r="Q348" s="78"/>
      <c r="R348" s="78"/>
      <c r="S348" s="77"/>
      <c r="T348" s="48"/>
      <c r="U348" s="48"/>
      <c r="V348" s="48"/>
      <c r="W348" s="48"/>
      <c r="X348" s="77"/>
      <c r="Y348" s="48"/>
      <c r="Z348" s="48"/>
      <c r="AA348" s="48"/>
      <c r="AB348" s="77"/>
      <c r="AC348" s="48"/>
      <c r="AD348" s="77"/>
      <c r="AE348" s="48"/>
      <c r="AF348" s="77"/>
      <c r="AG348" s="48"/>
      <c r="AH348" s="77"/>
      <c r="AI348" s="48"/>
      <c r="AJ348" s="77"/>
      <c r="AK348" s="48"/>
    </row>
    <row r="349" ht="18.0" customHeight="1">
      <c r="A349" s="48"/>
      <c r="B349" s="48"/>
      <c r="C349" s="77"/>
      <c r="D349" s="48"/>
      <c r="E349" s="48"/>
      <c r="F349" s="48"/>
      <c r="G349" s="48"/>
      <c r="H349" s="77"/>
      <c r="I349" s="48"/>
      <c r="J349" s="48"/>
      <c r="K349" s="48"/>
      <c r="L349" s="48"/>
      <c r="M349" s="48"/>
      <c r="N349" s="77"/>
      <c r="O349" s="78"/>
      <c r="P349" s="77"/>
      <c r="Q349" s="78"/>
      <c r="R349" s="78"/>
      <c r="S349" s="77"/>
      <c r="T349" s="48"/>
      <c r="U349" s="48"/>
      <c r="V349" s="48"/>
      <c r="W349" s="48"/>
      <c r="X349" s="77"/>
      <c r="Y349" s="48"/>
      <c r="Z349" s="48"/>
      <c r="AA349" s="48"/>
      <c r="AB349" s="77"/>
      <c r="AC349" s="48"/>
      <c r="AD349" s="77"/>
      <c r="AE349" s="48"/>
      <c r="AF349" s="77"/>
      <c r="AG349" s="48"/>
      <c r="AH349" s="77"/>
      <c r="AI349" s="48"/>
      <c r="AJ349" s="77"/>
      <c r="AK349" s="48"/>
    </row>
    <row r="350" ht="18.0" customHeight="1">
      <c r="A350" s="48"/>
      <c r="B350" s="48"/>
      <c r="C350" s="77"/>
      <c r="D350" s="48"/>
      <c r="E350" s="48"/>
      <c r="F350" s="48"/>
      <c r="G350" s="48"/>
      <c r="H350" s="77"/>
      <c r="I350" s="48"/>
      <c r="J350" s="48"/>
      <c r="K350" s="48"/>
      <c r="L350" s="48"/>
      <c r="M350" s="48"/>
      <c r="N350" s="77"/>
      <c r="O350" s="78"/>
      <c r="P350" s="77"/>
      <c r="Q350" s="78"/>
      <c r="R350" s="78"/>
      <c r="S350" s="77"/>
      <c r="T350" s="48"/>
      <c r="U350" s="48"/>
      <c r="V350" s="48"/>
      <c r="W350" s="48"/>
      <c r="X350" s="77"/>
      <c r="Y350" s="48"/>
      <c r="Z350" s="48"/>
      <c r="AA350" s="48"/>
      <c r="AB350" s="77"/>
      <c r="AC350" s="48"/>
      <c r="AD350" s="77"/>
      <c r="AE350" s="48"/>
      <c r="AF350" s="77"/>
      <c r="AG350" s="48"/>
      <c r="AH350" s="77"/>
      <c r="AI350" s="48"/>
      <c r="AJ350" s="77"/>
      <c r="AK350" s="48"/>
    </row>
    <row r="351" ht="18.0" customHeight="1">
      <c r="A351" s="48"/>
      <c r="B351" s="48"/>
      <c r="C351" s="77"/>
      <c r="D351" s="48"/>
      <c r="E351" s="48"/>
      <c r="F351" s="48"/>
      <c r="G351" s="48"/>
      <c r="H351" s="77"/>
      <c r="I351" s="48"/>
      <c r="J351" s="48"/>
      <c r="K351" s="48"/>
      <c r="L351" s="48"/>
      <c r="M351" s="48"/>
      <c r="N351" s="77"/>
      <c r="O351" s="78"/>
      <c r="P351" s="77"/>
      <c r="Q351" s="78"/>
      <c r="R351" s="78"/>
      <c r="S351" s="77"/>
      <c r="T351" s="48"/>
      <c r="U351" s="48"/>
      <c r="V351" s="48"/>
      <c r="W351" s="48"/>
      <c r="X351" s="77"/>
      <c r="Y351" s="48"/>
      <c r="Z351" s="48"/>
      <c r="AA351" s="48"/>
      <c r="AB351" s="77"/>
      <c r="AC351" s="48"/>
      <c r="AD351" s="77"/>
      <c r="AE351" s="48"/>
      <c r="AF351" s="77"/>
      <c r="AG351" s="48"/>
      <c r="AH351" s="77"/>
      <c r="AI351" s="48"/>
      <c r="AJ351" s="77"/>
      <c r="AK351" s="48"/>
    </row>
    <row r="352" ht="18.0" customHeight="1">
      <c r="A352" s="48"/>
      <c r="B352" s="48"/>
      <c r="C352" s="77"/>
      <c r="D352" s="48"/>
      <c r="E352" s="48"/>
      <c r="F352" s="48"/>
      <c r="G352" s="48"/>
      <c r="H352" s="77"/>
      <c r="I352" s="48"/>
      <c r="J352" s="48"/>
      <c r="K352" s="48"/>
      <c r="L352" s="48"/>
      <c r="M352" s="48"/>
      <c r="N352" s="77"/>
      <c r="O352" s="78"/>
      <c r="P352" s="77"/>
      <c r="Q352" s="78"/>
      <c r="R352" s="78"/>
      <c r="S352" s="77"/>
      <c r="T352" s="48"/>
      <c r="U352" s="48"/>
      <c r="V352" s="48"/>
      <c r="W352" s="48"/>
      <c r="X352" s="77"/>
      <c r="Y352" s="48"/>
      <c r="Z352" s="48"/>
      <c r="AA352" s="48"/>
      <c r="AB352" s="77"/>
      <c r="AC352" s="48"/>
      <c r="AD352" s="77"/>
      <c r="AE352" s="48"/>
      <c r="AF352" s="77"/>
      <c r="AG352" s="48"/>
      <c r="AH352" s="77"/>
      <c r="AI352" s="48"/>
      <c r="AJ352" s="77"/>
      <c r="AK352" s="48"/>
    </row>
    <row r="353" ht="18.0" customHeight="1">
      <c r="A353" s="48"/>
      <c r="B353" s="48"/>
      <c r="C353" s="77"/>
      <c r="D353" s="48"/>
      <c r="E353" s="48"/>
      <c r="F353" s="48"/>
      <c r="G353" s="48"/>
      <c r="H353" s="77"/>
      <c r="I353" s="48"/>
      <c r="J353" s="48"/>
      <c r="K353" s="48"/>
      <c r="L353" s="48"/>
      <c r="M353" s="48"/>
      <c r="N353" s="77"/>
      <c r="O353" s="78"/>
      <c r="P353" s="77"/>
      <c r="Q353" s="78"/>
      <c r="R353" s="78"/>
      <c r="S353" s="77"/>
      <c r="T353" s="48"/>
      <c r="U353" s="48"/>
      <c r="V353" s="48"/>
      <c r="W353" s="48"/>
      <c r="X353" s="77"/>
      <c r="Y353" s="48"/>
      <c r="Z353" s="48"/>
      <c r="AA353" s="48"/>
      <c r="AB353" s="77"/>
      <c r="AC353" s="48"/>
      <c r="AD353" s="77"/>
      <c r="AE353" s="48"/>
      <c r="AF353" s="77"/>
      <c r="AG353" s="48"/>
      <c r="AH353" s="77"/>
      <c r="AI353" s="48"/>
      <c r="AJ353" s="77"/>
      <c r="AK353" s="48"/>
    </row>
    <row r="354" ht="18.0" customHeight="1">
      <c r="A354" s="48"/>
      <c r="B354" s="48"/>
      <c r="C354" s="77"/>
      <c r="D354" s="48"/>
      <c r="E354" s="48"/>
      <c r="F354" s="48"/>
      <c r="G354" s="48"/>
      <c r="H354" s="77"/>
      <c r="I354" s="48"/>
      <c r="J354" s="48"/>
      <c r="K354" s="48"/>
      <c r="L354" s="48"/>
      <c r="M354" s="48"/>
      <c r="N354" s="77"/>
      <c r="O354" s="78"/>
      <c r="P354" s="77"/>
      <c r="Q354" s="78"/>
      <c r="R354" s="78"/>
      <c r="S354" s="77"/>
      <c r="T354" s="48"/>
      <c r="U354" s="48"/>
      <c r="V354" s="48"/>
      <c r="W354" s="48"/>
      <c r="X354" s="77"/>
      <c r="Y354" s="48"/>
      <c r="Z354" s="48"/>
      <c r="AA354" s="48"/>
      <c r="AB354" s="77"/>
      <c r="AC354" s="48"/>
      <c r="AD354" s="77"/>
      <c r="AE354" s="48"/>
      <c r="AF354" s="77"/>
      <c r="AG354" s="48"/>
      <c r="AH354" s="77"/>
      <c r="AI354" s="48"/>
      <c r="AJ354" s="77"/>
      <c r="AK354" s="48"/>
    </row>
    <row r="355" ht="18.0" customHeight="1">
      <c r="A355" s="48"/>
      <c r="B355" s="48"/>
      <c r="C355" s="77"/>
      <c r="D355" s="48"/>
      <c r="E355" s="48"/>
      <c r="F355" s="48"/>
      <c r="G355" s="48"/>
      <c r="H355" s="77"/>
      <c r="I355" s="48"/>
      <c r="J355" s="48"/>
      <c r="K355" s="48"/>
      <c r="L355" s="48"/>
      <c r="M355" s="48"/>
      <c r="N355" s="77"/>
      <c r="O355" s="78"/>
      <c r="P355" s="77"/>
      <c r="Q355" s="78"/>
      <c r="R355" s="78"/>
      <c r="S355" s="77"/>
      <c r="T355" s="48"/>
      <c r="U355" s="48"/>
      <c r="V355" s="48"/>
      <c r="W355" s="48"/>
      <c r="X355" s="77"/>
      <c r="Y355" s="48"/>
      <c r="Z355" s="48"/>
      <c r="AA355" s="48"/>
      <c r="AB355" s="77"/>
      <c r="AC355" s="48"/>
      <c r="AD355" s="77"/>
      <c r="AE355" s="48"/>
      <c r="AF355" s="77"/>
      <c r="AG355" s="48"/>
      <c r="AH355" s="77"/>
      <c r="AI355" s="48"/>
      <c r="AJ355" s="77"/>
      <c r="AK355" s="48"/>
    </row>
    <row r="356" ht="18.0" customHeight="1">
      <c r="A356" s="48"/>
      <c r="B356" s="48"/>
      <c r="C356" s="77"/>
      <c r="D356" s="48"/>
      <c r="E356" s="48"/>
      <c r="F356" s="48"/>
      <c r="G356" s="48"/>
      <c r="H356" s="77"/>
      <c r="I356" s="48"/>
      <c r="J356" s="48"/>
      <c r="K356" s="48"/>
      <c r="L356" s="48"/>
      <c r="M356" s="48"/>
      <c r="N356" s="77"/>
      <c r="O356" s="78"/>
      <c r="P356" s="77"/>
      <c r="Q356" s="78"/>
      <c r="R356" s="78"/>
      <c r="S356" s="77"/>
      <c r="T356" s="48"/>
      <c r="U356" s="48"/>
      <c r="V356" s="48"/>
      <c r="W356" s="48"/>
      <c r="X356" s="77"/>
      <c r="Y356" s="48"/>
      <c r="Z356" s="48"/>
      <c r="AA356" s="48"/>
      <c r="AB356" s="77"/>
      <c r="AC356" s="48"/>
      <c r="AD356" s="77"/>
      <c r="AE356" s="48"/>
      <c r="AF356" s="77"/>
      <c r="AG356" s="48"/>
      <c r="AH356" s="77"/>
      <c r="AI356" s="48"/>
      <c r="AJ356" s="77"/>
      <c r="AK356" s="48"/>
    </row>
    <row r="357" ht="18.0" customHeight="1">
      <c r="A357" s="48"/>
      <c r="B357" s="48"/>
      <c r="C357" s="77"/>
      <c r="D357" s="48"/>
      <c r="E357" s="48"/>
      <c r="F357" s="48"/>
      <c r="G357" s="48"/>
      <c r="H357" s="77"/>
      <c r="I357" s="48"/>
      <c r="J357" s="48"/>
      <c r="K357" s="48"/>
      <c r="L357" s="48"/>
      <c r="M357" s="48"/>
      <c r="N357" s="77"/>
      <c r="O357" s="78"/>
      <c r="P357" s="77"/>
      <c r="Q357" s="78"/>
      <c r="R357" s="78"/>
      <c r="S357" s="77"/>
      <c r="T357" s="48"/>
      <c r="U357" s="48"/>
      <c r="V357" s="48"/>
      <c r="W357" s="48"/>
      <c r="X357" s="77"/>
      <c r="Y357" s="48"/>
      <c r="Z357" s="48"/>
      <c r="AA357" s="48"/>
      <c r="AB357" s="77"/>
      <c r="AC357" s="48"/>
      <c r="AD357" s="77"/>
      <c r="AE357" s="48"/>
      <c r="AF357" s="77"/>
      <c r="AG357" s="48"/>
      <c r="AH357" s="77"/>
      <c r="AI357" s="48"/>
      <c r="AJ357" s="77"/>
      <c r="AK357" s="48"/>
    </row>
    <row r="358" ht="18.0" customHeight="1">
      <c r="A358" s="48"/>
      <c r="B358" s="48"/>
      <c r="C358" s="77"/>
      <c r="D358" s="48"/>
      <c r="E358" s="48"/>
      <c r="F358" s="48"/>
      <c r="G358" s="48"/>
      <c r="H358" s="77"/>
      <c r="I358" s="48"/>
      <c r="J358" s="48"/>
      <c r="K358" s="48"/>
      <c r="L358" s="48"/>
      <c r="M358" s="48"/>
      <c r="N358" s="77"/>
      <c r="O358" s="78"/>
      <c r="P358" s="77"/>
      <c r="Q358" s="78"/>
      <c r="R358" s="78"/>
      <c r="S358" s="77"/>
      <c r="T358" s="48"/>
      <c r="U358" s="48"/>
      <c r="V358" s="48"/>
      <c r="W358" s="48"/>
      <c r="X358" s="77"/>
      <c r="Y358" s="48"/>
      <c r="Z358" s="48"/>
      <c r="AA358" s="48"/>
      <c r="AB358" s="77"/>
      <c r="AC358" s="48"/>
      <c r="AD358" s="77"/>
      <c r="AE358" s="48"/>
      <c r="AF358" s="77"/>
      <c r="AG358" s="48"/>
      <c r="AH358" s="77"/>
      <c r="AI358" s="48"/>
      <c r="AJ358" s="77"/>
      <c r="AK358" s="48"/>
    </row>
    <row r="359" ht="18.0" customHeight="1">
      <c r="A359" s="48"/>
      <c r="B359" s="48"/>
      <c r="C359" s="77"/>
      <c r="D359" s="48"/>
      <c r="E359" s="48"/>
      <c r="F359" s="48"/>
      <c r="G359" s="48"/>
      <c r="H359" s="77"/>
      <c r="I359" s="48"/>
      <c r="J359" s="48"/>
      <c r="K359" s="48"/>
      <c r="L359" s="48"/>
      <c r="M359" s="48"/>
      <c r="N359" s="77"/>
      <c r="O359" s="78"/>
      <c r="P359" s="77"/>
      <c r="Q359" s="78"/>
      <c r="R359" s="78"/>
      <c r="S359" s="77"/>
      <c r="T359" s="48"/>
      <c r="U359" s="48"/>
      <c r="V359" s="48"/>
      <c r="W359" s="48"/>
      <c r="X359" s="77"/>
      <c r="Y359" s="48"/>
      <c r="Z359" s="48"/>
      <c r="AA359" s="48"/>
      <c r="AB359" s="77"/>
      <c r="AC359" s="48"/>
      <c r="AD359" s="77"/>
      <c r="AE359" s="48"/>
      <c r="AF359" s="77"/>
      <c r="AG359" s="48"/>
      <c r="AH359" s="77"/>
      <c r="AI359" s="48"/>
      <c r="AJ359" s="77"/>
      <c r="AK359" s="48"/>
    </row>
    <row r="360" ht="18.0" customHeight="1">
      <c r="A360" s="48"/>
      <c r="B360" s="48"/>
      <c r="C360" s="77"/>
      <c r="D360" s="48"/>
      <c r="E360" s="48"/>
      <c r="F360" s="48"/>
      <c r="G360" s="48"/>
      <c r="H360" s="77"/>
      <c r="I360" s="48"/>
      <c r="J360" s="48"/>
      <c r="K360" s="48"/>
      <c r="L360" s="48"/>
      <c r="M360" s="48"/>
      <c r="N360" s="77"/>
      <c r="O360" s="78"/>
      <c r="P360" s="77"/>
      <c r="Q360" s="78"/>
      <c r="R360" s="78"/>
      <c r="S360" s="77"/>
      <c r="T360" s="48"/>
      <c r="U360" s="48"/>
      <c r="V360" s="48"/>
      <c r="W360" s="48"/>
      <c r="X360" s="77"/>
      <c r="Y360" s="48"/>
      <c r="Z360" s="48"/>
      <c r="AA360" s="48"/>
      <c r="AB360" s="77"/>
      <c r="AC360" s="48"/>
      <c r="AD360" s="77"/>
      <c r="AE360" s="48"/>
      <c r="AF360" s="77"/>
      <c r="AG360" s="48"/>
      <c r="AH360" s="77"/>
      <c r="AI360" s="48"/>
      <c r="AJ360" s="77"/>
      <c r="AK360" s="48"/>
    </row>
    <row r="361" ht="18.0" customHeight="1">
      <c r="A361" s="48"/>
      <c r="B361" s="48"/>
      <c r="C361" s="77"/>
      <c r="D361" s="48"/>
      <c r="E361" s="48"/>
      <c r="F361" s="48"/>
      <c r="G361" s="48"/>
      <c r="H361" s="77"/>
      <c r="I361" s="48"/>
      <c r="J361" s="48"/>
      <c r="K361" s="48"/>
      <c r="L361" s="48"/>
      <c r="M361" s="48"/>
      <c r="N361" s="77"/>
      <c r="O361" s="78"/>
      <c r="P361" s="77"/>
      <c r="Q361" s="78"/>
      <c r="R361" s="78"/>
      <c r="S361" s="77"/>
      <c r="T361" s="48"/>
      <c r="U361" s="48"/>
      <c r="V361" s="48"/>
      <c r="W361" s="48"/>
      <c r="X361" s="77"/>
      <c r="Y361" s="48"/>
      <c r="Z361" s="48"/>
      <c r="AA361" s="48"/>
      <c r="AB361" s="77"/>
      <c r="AC361" s="48"/>
      <c r="AD361" s="77"/>
      <c r="AE361" s="48"/>
      <c r="AF361" s="77"/>
      <c r="AG361" s="48"/>
      <c r="AH361" s="77"/>
      <c r="AI361" s="48"/>
      <c r="AJ361" s="77"/>
      <c r="AK361" s="48"/>
    </row>
    <row r="362" ht="18.0" customHeight="1">
      <c r="A362" s="48"/>
      <c r="B362" s="48"/>
      <c r="C362" s="77"/>
      <c r="D362" s="48"/>
      <c r="E362" s="48"/>
      <c r="F362" s="48"/>
      <c r="G362" s="48"/>
      <c r="H362" s="77"/>
      <c r="I362" s="48"/>
      <c r="J362" s="48"/>
      <c r="K362" s="48"/>
      <c r="L362" s="48"/>
      <c r="M362" s="48"/>
      <c r="N362" s="77"/>
      <c r="O362" s="78"/>
      <c r="P362" s="77"/>
      <c r="Q362" s="78"/>
      <c r="R362" s="78"/>
      <c r="S362" s="77"/>
      <c r="T362" s="48"/>
      <c r="U362" s="48"/>
      <c r="V362" s="48"/>
      <c r="W362" s="48"/>
      <c r="X362" s="77"/>
      <c r="Y362" s="48"/>
      <c r="Z362" s="48"/>
      <c r="AA362" s="48"/>
      <c r="AB362" s="77"/>
      <c r="AC362" s="48"/>
      <c r="AD362" s="77"/>
      <c r="AE362" s="48"/>
      <c r="AF362" s="77"/>
      <c r="AG362" s="48"/>
      <c r="AH362" s="77"/>
      <c r="AI362" s="48"/>
      <c r="AJ362" s="77"/>
      <c r="AK362" s="48"/>
    </row>
    <row r="363" ht="18.0" customHeight="1">
      <c r="A363" s="48"/>
      <c r="B363" s="48"/>
      <c r="C363" s="77"/>
      <c r="D363" s="48"/>
      <c r="E363" s="48"/>
      <c r="F363" s="48"/>
      <c r="G363" s="48"/>
      <c r="H363" s="77"/>
      <c r="I363" s="48"/>
      <c r="J363" s="48"/>
      <c r="K363" s="48"/>
      <c r="L363" s="48"/>
      <c r="M363" s="48"/>
      <c r="N363" s="77"/>
      <c r="O363" s="78"/>
      <c r="P363" s="77"/>
      <c r="Q363" s="78"/>
      <c r="R363" s="78"/>
      <c r="S363" s="77"/>
      <c r="T363" s="48"/>
      <c r="U363" s="48"/>
      <c r="V363" s="48"/>
      <c r="W363" s="48"/>
      <c r="X363" s="77"/>
      <c r="Y363" s="48"/>
      <c r="Z363" s="48"/>
      <c r="AA363" s="48"/>
      <c r="AB363" s="77"/>
      <c r="AC363" s="48"/>
      <c r="AD363" s="77"/>
      <c r="AE363" s="48"/>
      <c r="AF363" s="77"/>
      <c r="AG363" s="48"/>
      <c r="AH363" s="77"/>
      <c r="AI363" s="48"/>
      <c r="AJ363" s="77"/>
      <c r="AK363" s="48"/>
    </row>
    <row r="364" ht="18.0" customHeight="1">
      <c r="A364" s="48"/>
      <c r="B364" s="48"/>
      <c r="C364" s="77"/>
      <c r="D364" s="48"/>
      <c r="E364" s="48"/>
      <c r="F364" s="48"/>
      <c r="G364" s="48"/>
      <c r="H364" s="77"/>
      <c r="I364" s="48"/>
      <c r="J364" s="48"/>
      <c r="K364" s="48"/>
      <c r="L364" s="48"/>
      <c r="M364" s="48"/>
      <c r="N364" s="77"/>
      <c r="O364" s="78"/>
      <c r="P364" s="77"/>
      <c r="Q364" s="78"/>
      <c r="R364" s="78"/>
      <c r="S364" s="77"/>
      <c r="T364" s="48"/>
      <c r="U364" s="48"/>
      <c r="V364" s="48"/>
      <c r="W364" s="48"/>
      <c r="X364" s="77"/>
      <c r="Y364" s="48"/>
      <c r="Z364" s="48"/>
      <c r="AA364" s="48"/>
      <c r="AB364" s="77"/>
      <c r="AC364" s="48"/>
      <c r="AD364" s="77"/>
      <c r="AE364" s="48"/>
      <c r="AF364" s="77"/>
      <c r="AG364" s="48"/>
      <c r="AH364" s="77"/>
      <c r="AI364" s="48"/>
      <c r="AJ364" s="77"/>
      <c r="AK364" s="48"/>
    </row>
    <row r="365" ht="18.0" customHeight="1">
      <c r="A365" s="48"/>
      <c r="B365" s="48"/>
      <c r="C365" s="77"/>
      <c r="D365" s="48"/>
      <c r="E365" s="48"/>
      <c r="F365" s="48"/>
      <c r="G365" s="48"/>
      <c r="H365" s="77"/>
      <c r="I365" s="48"/>
      <c r="J365" s="48"/>
      <c r="K365" s="48"/>
      <c r="L365" s="48"/>
      <c r="M365" s="48"/>
      <c r="N365" s="77"/>
      <c r="O365" s="78"/>
      <c r="P365" s="77"/>
      <c r="Q365" s="78"/>
      <c r="R365" s="78"/>
      <c r="S365" s="77"/>
      <c r="T365" s="48"/>
      <c r="U365" s="48"/>
      <c r="V365" s="48"/>
      <c r="W365" s="48"/>
      <c r="X365" s="77"/>
      <c r="Y365" s="48"/>
      <c r="Z365" s="48"/>
      <c r="AA365" s="48"/>
      <c r="AB365" s="77"/>
      <c r="AC365" s="48"/>
      <c r="AD365" s="77"/>
      <c r="AE365" s="48"/>
      <c r="AF365" s="77"/>
      <c r="AG365" s="48"/>
      <c r="AH365" s="77"/>
      <c r="AI365" s="48"/>
      <c r="AJ365" s="77"/>
      <c r="AK365" s="48"/>
    </row>
    <row r="366" ht="18.0" customHeight="1">
      <c r="A366" s="48"/>
      <c r="B366" s="48"/>
      <c r="C366" s="77"/>
      <c r="D366" s="48"/>
      <c r="E366" s="48"/>
      <c r="F366" s="48"/>
      <c r="G366" s="48"/>
      <c r="H366" s="77"/>
      <c r="I366" s="48"/>
      <c r="J366" s="48"/>
      <c r="K366" s="48"/>
      <c r="L366" s="48"/>
      <c r="M366" s="48"/>
      <c r="N366" s="77"/>
      <c r="O366" s="78"/>
      <c r="P366" s="77"/>
      <c r="Q366" s="78"/>
      <c r="R366" s="78"/>
      <c r="S366" s="77"/>
      <c r="T366" s="48"/>
      <c r="U366" s="48"/>
      <c r="V366" s="48"/>
      <c r="W366" s="48"/>
      <c r="X366" s="77"/>
      <c r="Y366" s="48"/>
      <c r="Z366" s="48"/>
      <c r="AA366" s="48"/>
      <c r="AB366" s="77"/>
      <c r="AC366" s="48"/>
      <c r="AD366" s="77"/>
      <c r="AE366" s="48"/>
      <c r="AF366" s="77"/>
      <c r="AG366" s="48"/>
      <c r="AH366" s="77"/>
      <c r="AI366" s="48"/>
      <c r="AJ366" s="77"/>
      <c r="AK366" s="48"/>
    </row>
    <row r="367" ht="18.0" customHeight="1">
      <c r="A367" s="48"/>
      <c r="B367" s="48"/>
      <c r="C367" s="77"/>
      <c r="D367" s="48"/>
      <c r="E367" s="48"/>
      <c r="F367" s="48"/>
      <c r="G367" s="48"/>
      <c r="H367" s="77"/>
      <c r="I367" s="48"/>
      <c r="J367" s="48"/>
      <c r="K367" s="48"/>
      <c r="L367" s="48"/>
      <c r="M367" s="48"/>
      <c r="N367" s="77"/>
      <c r="O367" s="78"/>
      <c r="P367" s="77"/>
      <c r="Q367" s="78"/>
      <c r="R367" s="78"/>
      <c r="S367" s="77"/>
      <c r="T367" s="48"/>
      <c r="U367" s="48"/>
      <c r="V367" s="48"/>
      <c r="W367" s="48"/>
      <c r="X367" s="77"/>
      <c r="Y367" s="48"/>
      <c r="Z367" s="48"/>
      <c r="AA367" s="48"/>
      <c r="AB367" s="77"/>
      <c r="AC367" s="48"/>
      <c r="AD367" s="77"/>
      <c r="AE367" s="48"/>
      <c r="AF367" s="77"/>
      <c r="AG367" s="48"/>
      <c r="AH367" s="77"/>
      <c r="AI367" s="48"/>
      <c r="AJ367" s="77"/>
      <c r="AK367" s="48"/>
    </row>
    <row r="368" ht="18.0" customHeight="1">
      <c r="A368" s="48"/>
      <c r="B368" s="48"/>
      <c r="C368" s="77"/>
      <c r="D368" s="48"/>
      <c r="E368" s="48"/>
      <c r="F368" s="48"/>
      <c r="G368" s="48"/>
      <c r="H368" s="77"/>
      <c r="I368" s="48"/>
      <c r="J368" s="48"/>
      <c r="K368" s="48"/>
      <c r="L368" s="48"/>
      <c r="M368" s="48"/>
      <c r="N368" s="77"/>
      <c r="O368" s="78"/>
      <c r="P368" s="77"/>
      <c r="Q368" s="78"/>
      <c r="R368" s="78"/>
      <c r="S368" s="77"/>
      <c r="T368" s="48"/>
      <c r="U368" s="48"/>
      <c r="V368" s="48"/>
      <c r="W368" s="48"/>
      <c r="X368" s="77"/>
      <c r="Y368" s="48"/>
      <c r="Z368" s="48"/>
      <c r="AA368" s="48"/>
      <c r="AB368" s="77"/>
      <c r="AC368" s="48"/>
      <c r="AD368" s="77"/>
      <c r="AE368" s="48"/>
      <c r="AF368" s="77"/>
      <c r="AG368" s="48"/>
      <c r="AH368" s="77"/>
      <c r="AI368" s="48"/>
      <c r="AJ368" s="77"/>
      <c r="AK368" s="48"/>
    </row>
    <row r="369" ht="18.0" customHeight="1">
      <c r="A369" s="48"/>
      <c r="B369" s="48"/>
      <c r="C369" s="77"/>
      <c r="D369" s="48"/>
      <c r="E369" s="48"/>
      <c r="F369" s="48"/>
      <c r="G369" s="48"/>
      <c r="H369" s="77"/>
      <c r="I369" s="48"/>
      <c r="J369" s="48"/>
      <c r="K369" s="48"/>
      <c r="L369" s="48"/>
      <c r="M369" s="48"/>
      <c r="N369" s="77"/>
      <c r="O369" s="78"/>
      <c r="P369" s="77"/>
      <c r="Q369" s="78"/>
      <c r="R369" s="78"/>
      <c r="S369" s="77"/>
      <c r="T369" s="48"/>
      <c r="U369" s="48"/>
      <c r="V369" s="48"/>
      <c r="W369" s="48"/>
      <c r="X369" s="77"/>
      <c r="Y369" s="48"/>
      <c r="Z369" s="48"/>
      <c r="AA369" s="48"/>
      <c r="AB369" s="77"/>
      <c r="AC369" s="48"/>
      <c r="AD369" s="77"/>
      <c r="AE369" s="48"/>
      <c r="AF369" s="77"/>
      <c r="AG369" s="48"/>
      <c r="AH369" s="77"/>
      <c r="AI369" s="48"/>
      <c r="AJ369" s="77"/>
      <c r="AK369" s="48"/>
    </row>
    <row r="370" ht="18.0" customHeight="1">
      <c r="A370" s="48"/>
      <c r="B370" s="48"/>
      <c r="C370" s="77"/>
      <c r="D370" s="48"/>
      <c r="E370" s="48"/>
      <c r="F370" s="48"/>
      <c r="G370" s="48"/>
      <c r="H370" s="77"/>
      <c r="I370" s="48"/>
      <c r="J370" s="48"/>
      <c r="K370" s="48"/>
      <c r="L370" s="48"/>
      <c r="M370" s="48"/>
      <c r="N370" s="77"/>
      <c r="O370" s="78"/>
      <c r="P370" s="77"/>
      <c r="Q370" s="78"/>
      <c r="R370" s="78"/>
      <c r="S370" s="77"/>
      <c r="T370" s="48"/>
      <c r="U370" s="48"/>
      <c r="V370" s="48"/>
      <c r="W370" s="48"/>
      <c r="X370" s="77"/>
      <c r="Y370" s="48"/>
      <c r="Z370" s="48"/>
      <c r="AA370" s="48"/>
      <c r="AB370" s="77"/>
      <c r="AC370" s="48"/>
      <c r="AD370" s="77"/>
      <c r="AE370" s="48"/>
      <c r="AF370" s="77"/>
      <c r="AG370" s="48"/>
      <c r="AH370" s="77"/>
      <c r="AI370" s="48"/>
      <c r="AJ370" s="77"/>
      <c r="AK370" s="48"/>
    </row>
    <row r="371" ht="18.0" customHeight="1">
      <c r="A371" s="48"/>
      <c r="B371" s="48"/>
      <c r="C371" s="77"/>
      <c r="D371" s="48"/>
      <c r="E371" s="48"/>
      <c r="F371" s="48"/>
      <c r="G371" s="48"/>
      <c r="H371" s="77"/>
      <c r="I371" s="48"/>
      <c r="J371" s="48"/>
      <c r="K371" s="48"/>
      <c r="L371" s="48"/>
      <c r="M371" s="48"/>
      <c r="N371" s="77"/>
      <c r="O371" s="78"/>
      <c r="P371" s="77"/>
      <c r="Q371" s="78"/>
      <c r="R371" s="78"/>
      <c r="S371" s="77"/>
      <c r="T371" s="48"/>
      <c r="U371" s="48"/>
      <c r="V371" s="48"/>
      <c r="W371" s="48"/>
      <c r="X371" s="77"/>
      <c r="Y371" s="48"/>
      <c r="Z371" s="48"/>
      <c r="AA371" s="48"/>
      <c r="AB371" s="77"/>
      <c r="AC371" s="48"/>
      <c r="AD371" s="77"/>
      <c r="AE371" s="48"/>
      <c r="AF371" s="77"/>
      <c r="AG371" s="48"/>
      <c r="AH371" s="77"/>
      <c r="AI371" s="48"/>
      <c r="AJ371" s="77"/>
      <c r="AK371" s="48"/>
    </row>
    <row r="372" ht="18.0" customHeight="1">
      <c r="A372" s="48"/>
      <c r="B372" s="48"/>
      <c r="C372" s="77"/>
      <c r="D372" s="48"/>
      <c r="E372" s="48"/>
      <c r="F372" s="48"/>
      <c r="G372" s="48"/>
      <c r="H372" s="77"/>
      <c r="I372" s="48"/>
      <c r="J372" s="48"/>
      <c r="K372" s="48"/>
      <c r="L372" s="48"/>
      <c r="M372" s="48"/>
      <c r="N372" s="77"/>
      <c r="O372" s="78"/>
      <c r="P372" s="77"/>
      <c r="Q372" s="78"/>
      <c r="R372" s="78"/>
      <c r="S372" s="77"/>
      <c r="T372" s="48"/>
      <c r="U372" s="48"/>
      <c r="V372" s="48"/>
      <c r="W372" s="48"/>
      <c r="X372" s="77"/>
      <c r="Y372" s="48"/>
      <c r="Z372" s="48"/>
      <c r="AA372" s="48"/>
      <c r="AB372" s="77"/>
      <c r="AC372" s="48"/>
      <c r="AD372" s="77"/>
      <c r="AE372" s="48"/>
      <c r="AF372" s="77"/>
      <c r="AG372" s="48"/>
      <c r="AH372" s="77"/>
      <c r="AI372" s="48"/>
      <c r="AJ372" s="77"/>
      <c r="AK372" s="48"/>
    </row>
    <row r="373" ht="18.0" customHeight="1">
      <c r="A373" s="48"/>
      <c r="B373" s="48"/>
      <c r="C373" s="77"/>
      <c r="D373" s="48"/>
      <c r="E373" s="48"/>
      <c r="F373" s="48"/>
      <c r="G373" s="48"/>
      <c r="H373" s="77"/>
      <c r="I373" s="48"/>
      <c r="J373" s="48"/>
      <c r="K373" s="48"/>
      <c r="L373" s="48"/>
      <c r="M373" s="48"/>
      <c r="N373" s="77"/>
      <c r="O373" s="78"/>
      <c r="P373" s="77"/>
      <c r="Q373" s="78"/>
      <c r="R373" s="78"/>
      <c r="S373" s="77"/>
      <c r="T373" s="48"/>
      <c r="U373" s="48"/>
      <c r="V373" s="48"/>
      <c r="W373" s="48"/>
      <c r="X373" s="77"/>
      <c r="Y373" s="48"/>
      <c r="Z373" s="48"/>
      <c r="AA373" s="48"/>
      <c r="AB373" s="77"/>
      <c r="AC373" s="48"/>
      <c r="AD373" s="77"/>
      <c r="AE373" s="48"/>
      <c r="AF373" s="77"/>
      <c r="AG373" s="48"/>
      <c r="AH373" s="77"/>
      <c r="AI373" s="48"/>
      <c r="AJ373" s="77"/>
      <c r="AK373" s="48"/>
    </row>
    <row r="374" ht="18.0" customHeight="1">
      <c r="A374" s="48"/>
      <c r="B374" s="48"/>
      <c r="C374" s="77"/>
      <c r="D374" s="48"/>
      <c r="E374" s="48"/>
      <c r="F374" s="48"/>
      <c r="G374" s="48"/>
      <c r="H374" s="77"/>
      <c r="I374" s="48"/>
      <c r="J374" s="48"/>
      <c r="K374" s="48"/>
      <c r="L374" s="48"/>
      <c r="M374" s="48"/>
      <c r="N374" s="77"/>
      <c r="O374" s="78"/>
      <c r="P374" s="77"/>
      <c r="Q374" s="78"/>
      <c r="R374" s="78"/>
      <c r="S374" s="77"/>
      <c r="T374" s="48"/>
      <c r="U374" s="48"/>
      <c r="V374" s="48"/>
      <c r="W374" s="48"/>
      <c r="X374" s="77"/>
      <c r="Y374" s="48"/>
      <c r="Z374" s="48"/>
      <c r="AA374" s="48"/>
      <c r="AB374" s="77"/>
      <c r="AC374" s="48"/>
      <c r="AD374" s="77"/>
      <c r="AE374" s="48"/>
      <c r="AF374" s="77"/>
      <c r="AG374" s="48"/>
      <c r="AH374" s="77"/>
      <c r="AI374" s="48"/>
      <c r="AJ374" s="77"/>
      <c r="AK374" s="48"/>
    </row>
    <row r="375" ht="18.0" customHeight="1">
      <c r="A375" s="48"/>
      <c r="B375" s="48"/>
      <c r="C375" s="77"/>
      <c r="D375" s="48"/>
      <c r="E375" s="48"/>
      <c r="F375" s="48"/>
      <c r="G375" s="48"/>
      <c r="H375" s="77"/>
      <c r="I375" s="48"/>
      <c r="J375" s="48"/>
      <c r="K375" s="48"/>
      <c r="L375" s="48"/>
      <c r="M375" s="48"/>
      <c r="N375" s="77"/>
      <c r="O375" s="78"/>
      <c r="P375" s="77"/>
      <c r="Q375" s="78"/>
      <c r="R375" s="78"/>
      <c r="S375" s="77"/>
      <c r="T375" s="48"/>
      <c r="U375" s="48"/>
      <c r="V375" s="48"/>
      <c r="W375" s="48"/>
      <c r="X375" s="77"/>
      <c r="Y375" s="48"/>
      <c r="Z375" s="48"/>
      <c r="AA375" s="48"/>
      <c r="AB375" s="77"/>
      <c r="AC375" s="48"/>
      <c r="AD375" s="77"/>
      <c r="AE375" s="48"/>
      <c r="AF375" s="77"/>
      <c r="AG375" s="48"/>
      <c r="AH375" s="77"/>
      <c r="AI375" s="48"/>
      <c r="AJ375" s="77"/>
      <c r="AK375" s="48"/>
    </row>
    <row r="376" ht="18.0" customHeight="1">
      <c r="A376" s="48"/>
      <c r="B376" s="48"/>
      <c r="C376" s="77"/>
      <c r="D376" s="48"/>
      <c r="E376" s="48"/>
      <c r="F376" s="48"/>
      <c r="G376" s="48"/>
      <c r="H376" s="77"/>
      <c r="I376" s="48"/>
      <c r="J376" s="48"/>
      <c r="K376" s="48"/>
      <c r="L376" s="48"/>
      <c r="M376" s="48"/>
      <c r="N376" s="77"/>
      <c r="O376" s="78"/>
      <c r="P376" s="77"/>
      <c r="Q376" s="78"/>
      <c r="R376" s="78"/>
      <c r="S376" s="77"/>
      <c r="T376" s="48"/>
      <c r="U376" s="48"/>
      <c r="V376" s="48"/>
      <c r="W376" s="48"/>
      <c r="X376" s="77"/>
      <c r="Y376" s="48"/>
      <c r="Z376" s="48"/>
      <c r="AA376" s="48"/>
      <c r="AB376" s="77"/>
      <c r="AC376" s="48"/>
      <c r="AD376" s="77"/>
      <c r="AE376" s="48"/>
      <c r="AF376" s="77"/>
      <c r="AG376" s="48"/>
      <c r="AH376" s="77"/>
      <c r="AI376" s="48"/>
      <c r="AJ376" s="77"/>
      <c r="AK376" s="48"/>
    </row>
    <row r="377" ht="18.0" customHeight="1">
      <c r="A377" s="48"/>
      <c r="B377" s="48"/>
      <c r="C377" s="77"/>
      <c r="D377" s="48"/>
      <c r="E377" s="48"/>
      <c r="F377" s="48"/>
      <c r="G377" s="48"/>
      <c r="H377" s="77"/>
      <c r="I377" s="48"/>
      <c r="J377" s="48"/>
      <c r="K377" s="48"/>
      <c r="L377" s="48"/>
      <c r="M377" s="48"/>
      <c r="N377" s="77"/>
      <c r="O377" s="78"/>
      <c r="P377" s="77"/>
      <c r="Q377" s="78"/>
      <c r="R377" s="78"/>
      <c r="S377" s="77"/>
      <c r="T377" s="48"/>
      <c r="U377" s="48"/>
      <c r="V377" s="48"/>
      <c r="W377" s="48"/>
      <c r="X377" s="77"/>
      <c r="Y377" s="48"/>
      <c r="Z377" s="48"/>
      <c r="AA377" s="48"/>
      <c r="AB377" s="77"/>
      <c r="AC377" s="48"/>
      <c r="AD377" s="77"/>
      <c r="AE377" s="48"/>
      <c r="AF377" s="77"/>
      <c r="AG377" s="48"/>
      <c r="AH377" s="77"/>
      <c r="AI377" s="48"/>
      <c r="AJ377" s="77"/>
      <c r="AK377" s="48"/>
    </row>
    <row r="378" ht="18.0" customHeight="1">
      <c r="A378" s="48"/>
      <c r="B378" s="48"/>
      <c r="C378" s="77"/>
      <c r="D378" s="48"/>
      <c r="E378" s="48"/>
      <c r="F378" s="48"/>
      <c r="G378" s="48"/>
      <c r="H378" s="77"/>
      <c r="I378" s="48"/>
      <c r="J378" s="48"/>
      <c r="K378" s="48"/>
      <c r="L378" s="48"/>
      <c r="M378" s="48"/>
      <c r="N378" s="77"/>
      <c r="O378" s="78"/>
      <c r="P378" s="77"/>
      <c r="Q378" s="78"/>
      <c r="R378" s="78"/>
      <c r="S378" s="77"/>
      <c r="T378" s="48"/>
      <c r="U378" s="48"/>
      <c r="V378" s="48"/>
      <c r="W378" s="48"/>
      <c r="X378" s="77"/>
      <c r="Y378" s="48"/>
      <c r="Z378" s="48"/>
      <c r="AA378" s="48"/>
      <c r="AB378" s="77"/>
      <c r="AC378" s="48"/>
      <c r="AD378" s="77"/>
      <c r="AE378" s="48"/>
      <c r="AF378" s="77"/>
      <c r="AG378" s="48"/>
      <c r="AH378" s="77"/>
      <c r="AI378" s="48"/>
      <c r="AJ378" s="77"/>
      <c r="AK378" s="48"/>
    </row>
    <row r="379" ht="18.0" customHeight="1">
      <c r="A379" s="48"/>
      <c r="B379" s="48"/>
      <c r="C379" s="77"/>
      <c r="D379" s="48"/>
      <c r="E379" s="48"/>
      <c r="F379" s="48"/>
      <c r="G379" s="48"/>
      <c r="H379" s="77"/>
      <c r="I379" s="48"/>
      <c r="J379" s="48"/>
      <c r="K379" s="48"/>
      <c r="L379" s="48"/>
      <c r="M379" s="48"/>
      <c r="N379" s="77"/>
      <c r="O379" s="78"/>
      <c r="P379" s="77"/>
      <c r="Q379" s="78"/>
      <c r="R379" s="78"/>
      <c r="S379" s="77"/>
      <c r="T379" s="48"/>
      <c r="U379" s="48"/>
      <c r="V379" s="48"/>
      <c r="W379" s="48"/>
      <c r="X379" s="77"/>
      <c r="Y379" s="48"/>
      <c r="Z379" s="48"/>
      <c r="AA379" s="48"/>
      <c r="AB379" s="77"/>
      <c r="AC379" s="48"/>
      <c r="AD379" s="77"/>
      <c r="AE379" s="48"/>
      <c r="AF379" s="77"/>
      <c r="AG379" s="48"/>
      <c r="AH379" s="77"/>
      <c r="AI379" s="48"/>
      <c r="AJ379" s="77"/>
      <c r="AK379" s="48"/>
    </row>
    <row r="380" ht="18.0" customHeight="1">
      <c r="A380" s="48"/>
      <c r="B380" s="48"/>
      <c r="C380" s="77"/>
      <c r="D380" s="48"/>
      <c r="E380" s="48"/>
      <c r="F380" s="48"/>
      <c r="G380" s="48"/>
      <c r="H380" s="77"/>
      <c r="I380" s="48"/>
      <c r="J380" s="48"/>
      <c r="K380" s="48"/>
      <c r="L380" s="48"/>
      <c r="M380" s="48"/>
      <c r="N380" s="77"/>
      <c r="O380" s="78"/>
      <c r="P380" s="77"/>
      <c r="Q380" s="78"/>
      <c r="R380" s="78"/>
      <c r="S380" s="77"/>
      <c r="T380" s="48"/>
      <c r="U380" s="48"/>
      <c r="V380" s="48"/>
      <c r="W380" s="48"/>
      <c r="X380" s="77"/>
      <c r="Y380" s="48"/>
      <c r="Z380" s="48"/>
      <c r="AA380" s="48"/>
      <c r="AB380" s="77"/>
      <c r="AC380" s="48"/>
      <c r="AD380" s="77"/>
      <c r="AE380" s="48"/>
      <c r="AF380" s="77"/>
      <c r="AG380" s="48"/>
      <c r="AH380" s="77"/>
      <c r="AI380" s="48"/>
      <c r="AJ380" s="77"/>
      <c r="AK380" s="48"/>
    </row>
    <row r="381" ht="18.0" customHeight="1">
      <c r="A381" s="48"/>
      <c r="B381" s="48"/>
      <c r="C381" s="77"/>
      <c r="D381" s="48"/>
      <c r="E381" s="48"/>
      <c r="F381" s="48"/>
      <c r="G381" s="48"/>
      <c r="H381" s="77"/>
      <c r="I381" s="48"/>
      <c r="J381" s="48"/>
      <c r="K381" s="48"/>
      <c r="L381" s="48"/>
      <c r="M381" s="48"/>
      <c r="N381" s="77"/>
      <c r="O381" s="78"/>
      <c r="P381" s="77"/>
      <c r="Q381" s="78"/>
      <c r="R381" s="78"/>
      <c r="S381" s="77"/>
      <c r="T381" s="48"/>
      <c r="U381" s="48"/>
      <c r="V381" s="48"/>
      <c r="W381" s="48"/>
      <c r="X381" s="77"/>
      <c r="Y381" s="48"/>
      <c r="Z381" s="48"/>
      <c r="AA381" s="48"/>
      <c r="AB381" s="77"/>
      <c r="AC381" s="48"/>
      <c r="AD381" s="77"/>
      <c r="AE381" s="48"/>
      <c r="AF381" s="77"/>
      <c r="AG381" s="48"/>
      <c r="AH381" s="77"/>
      <c r="AI381" s="48"/>
      <c r="AJ381" s="77"/>
      <c r="AK381" s="48"/>
    </row>
    <row r="382" ht="18.0" customHeight="1">
      <c r="A382" s="48"/>
      <c r="B382" s="48"/>
      <c r="C382" s="77"/>
      <c r="D382" s="48"/>
      <c r="E382" s="48"/>
      <c r="F382" s="48"/>
      <c r="G382" s="48"/>
      <c r="H382" s="77"/>
      <c r="I382" s="48"/>
      <c r="J382" s="48"/>
      <c r="K382" s="48"/>
      <c r="L382" s="48"/>
      <c r="M382" s="48"/>
      <c r="N382" s="77"/>
      <c r="O382" s="78"/>
      <c r="P382" s="77"/>
      <c r="Q382" s="78"/>
      <c r="R382" s="78"/>
      <c r="S382" s="77"/>
      <c r="T382" s="48"/>
      <c r="U382" s="48"/>
      <c r="V382" s="48"/>
      <c r="W382" s="48"/>
      <c r="X382" s="77"/>
      <c r="Y382" s="48"/>
      <c r="Z382" s="48"/>
      <c r="AA382" s="48"/>
      <c r="AB382" s="77"/>
      <c r="AC382" s="48"/>
      <c r="AD382" s="77"/>
      <c r="AE382" s="48"/>
      <c r="AF382" s="77"/>
      <c r="AG382" s="48"/>
      <c r="AH382" s="77"/>
      <c r="AI382" s="48"/>
      <c r="AJ382" s="77"/>
      <c r="AK382" s="48"/>
    </row>
    <row r="383" ht="18.0" customHeight="1">
      <c r="A383" s="48"/>
      <c r="B383" s="48"/>
      <c r="C383" s="77"/>
      <c r="D383" s="48"/>
      <c r="E383" s="48"/>
      <c r="F383" s="48"/>
      <c r="G383" s="48"/>
      <c r="H383" s="77"/>
      <c r="I383" s="48"/>
      <c r="J383" s="48"/>
      <c r="K383" s="48"/>
      <c r="L383" s="48"/>
      <c r="M383" s="48"/>
      <c r="N383" s="77"/>
      <c r="O383" s="78"/>
      <c r="P383" s="77"/>
      <c r="Q383" s="78"/>
      <c r="R383" s="78"/>
      <c r="S383" s="77"/>
      <c r="T383" s="48"/>
      <c r="U383" s="48"/>
      <c r="V383" s="48"/>
      <c r="W383" s="48"/>
      <c r="X383" s="77"/>
      <c r="Y383" s="48"/>
      <c r="Z383" s="48"/>
      <c r="AA383" s="48"/>
      <c r="AB383" s="77"/>
      <c r="AC383" s="48"/>
      <c r="AD383" s="77"/>
      <c r="AE383" s="48"/>
      <c r="AF383" s="77"/>
      <c r="AG383" s="48"/>
      <c r="AH383" s="77"/>
      <c r="AI383" s="48"/>
      <c r="AJ383" s="77"/>
      <c r="AK383" s="48"/>
    </row>
    <row r="384" ht="18.0" customHeight="1">
      <c r="A384" s="48"/>
      <c r="B384" s="48"/>
      <c r="C384" s="77"/>
      <c r="D384" s="48"/>
      <c r="E384" s="48"/>
      <c r="F384" s="48"/>
      <c r="G384" s="48"/>
      <c r="H384" s="77"/>
      <c r="I384" s="48"/>
      <c r="J384" s="48"/>
      <c r="K384" s="48"/>
      <c r="L384" s="48"/>
      <c r="M384" s="48"/>
      <c r="N384" s="77"/>
      <c r="O384" s="78"/>
      <c r="P384" s="77"/>
      <c r="Q384" s="78"/>
      <c r="R384" s="78"/>
      <c r="S384" s="77"/>
      <c r="T384" s="48"/>
      <c r="U384" s="48"/>
      <c r="V384" s="48"/>
      <c r="W384" s="48"/>
      <c r="X384" s="77"/>
      <c r="Y384" s="48"/>
      <c r="Z384" s="48"/>
      <c r="AA384" s="48"/>
      <c r="AB384" s="77"/>
      <c r="AC384" s="48"/>
      <c r="AD384" s="77"/>
      <c r="AE384" s="48"/>
      <c r="AF384" s="77"/>
      <c r="AG384" s="48"/>
      <c r="AH384" s="77"/>
      <c r="AI384" s="48"/>
      <c r="AJ384" s="77"/>
      <c r="AK384" s="48"/>
    </row>
    <row r="385" ht="18.0" customHeight="1">
      <c r="A385" s="48"/>
      <c r="B385" s="48"/>
      <c r="C385" s="77"/>
      <c r="D385" s="48"/>
      <c r="E385" s="48"/>
      <c r="F385" s="48"/>
      <c r="G385" s="48"/>
      <c r="H385" s="77"/>
      <c r="I385" s="48"/>
      <c r="J385" s="48"/>
      <c r="K385" s="48"/>
      <c r="L385" s="48"/>
      <c r="M385" s="48"/>
      <c r="N385" s="77"/>
      <c r="O385" s="78"/>
      <c r="P385" s="77"/>
      <c r="Q385" s="78"/>
      <c r="R385" s="78"/>
      <c r="S385" s="77"/>
      <c r="T385" s="48"/>
      <c r="U385" s="48"/>
      <c r="V385" s="48"/>
      <c r="W385" s="48"/>
      <c r="X385" s="77"/>
      <c r="Y385" s="48"/>
      <c r="Z385" s="48"/>
      <c r="AA385" s="48"/>
      <c r="AB385" s="77"/>
      <c r="AC385" s="48"/>
      <c r="AD385" s="77"/>
      <c r="AE385" s="48"/>
      <c r="AF385" s="77"/>
      <c r="AG385" s="48"/>
      <c r="AH385" s="77"/>
      <c r="AI385" s="48"/>
      <c r="AJ385" s="77"/>
      <c r="AK385" s="48"/>
    </row>
    <row r="386" ht="18.0" customHeight="1">
      <c r="A386" s="48"/>
      <c r="B386" s="48"/>
      <c r="C386" s="77"/>
      <c r="D386" s="48"/>
      <c r="E386" s="48"/>
      <c r="F386" s="48"/>
      <c r="G386" s="48"/>
      <c r="H386" s="77"/>
      <c r="I386" s="48"/>
      <c r="J386" s="48"/>
      <c r="K386" s="48"/>
      <c r="L386" s="48"/>
      <c r="M386" s="48"/>
      <c r="N386" s="77"/>
      <c r="O386" s="78"/>
      <c r="P386" s="77"/>
      <c r="Q386" s="78"/>
      <c r="R386" s="78"/>
      <c r="S386" s="77"/>
      <c r="T386" s="48"/>
      <c r="U386" s="48"/>
      <c r="V386" s="48"/>
      <c r="W386" s="48"/>
      <c r="X386" s="77"/>
      <c r="Y386" s="48"/>
      <c r="Z386" s="48"/>
      <c r="AA386" s="48"/>
      <c r="AB386" s="77"/>
      <c r="AC386" s="48"/>
      <c r="AD386" s="77"/>
      <c r="AE386" s="48"/>
      <c r="AF386" s="77"/>
      <c r="AG386" s="48"/>
      <c r="AH386" s="77"/>
      <c r="AI386" s="48"/>
      <c r="AJ386" s="77"/>
      <c r="AK386" s="48"/>
    </row>
    <row r="387" ht="18.0" customHeight="1">
      <c r="A387" s="48"/>
      <c r="B387" s="48"/>
      <c r="C387" s="77"/>
      <c r="D387" s="48"/>
      <c r="E387" s="48"/>
      <c r="F387" s="48"/>
      <c r="G387" s="48"/>
      <c r="H387" s="77"/>
      <c r="I387" s="48"/>
      <c r="J387" s="48"/>
      <c r="K387" s="48"/>
      <c r="L387" s="48"/>
      <c r="M387" s="48"/>
      <c r="N387" s="77"/>
      <c r="O387" s="78"/>
      <c r="P387" s="77"/>
      <c r="Q387" s="78"/>
      <c r="R387" s="78"/>
      <c r="S387" s="77"/>
      <c r="T387" s="48"/>
      <c r="U387" s="48"/>
      <c r="V387" s="48"/>
      <c r="W387" s="48"/>
      <c r="X387" s="77"/>
      <c r="Y387" s="48"/>
      <c r="Z387" s="48"/>
      <c r="AA387" s="48"/>
      <c r="AB387" s="77"/>
      <c r="AC387" s="48"/>
      <c r="AD387" s="77"/>
      <c r="AE387" s="48"/>
      <c r="AF387" s="77"/>
      <c r="AG387" s="48"/>
      <c r="AH387" s="77"/>
      <c r="AI387" s="48"/>
      <c r="AJ387" s="77"/>
      <c r="AK387" s="48"/>
    </row>
    <row r="388" ht="18.0" customHeight="1">
      <c r="A388" s="48"/>
      <c r="B388" s="48"/>
      <c r="C388" s="77"/>
      <c r="D388" s="48"/>
      <c r="E388" s="48"/>
      <c r="F388" s="48"/>
      <c r="G388" s="48"/>
      <c r="H388" s="77"/>
      <c r="I388" s="48"/>
      <c r="J388" s="48"/>
      <c r="K388" s="48"/>
      <c r="L388" s="48"/>
      <c r="M388" s="48"/>
      <c r="N388" s="77"/>
      <c r="O388" s="78"/>
      <c r="P388" s="77"/>
      <c r="Q388" s="78"/>
      <c r="R388" s="78"/>
      <c r="S388" s="77"/>
      <c r="T388" s="48"/>
      <c r="U388" s="48"/>
      <c r="V388" s="48"/>
      <c r="W388" s="48"/>
      <c r="X388" s="77"/>
      <c r="Y388" s="48"/>
      <c r="Z388" s="48"/>
      <c r="AA388" s="48"/>
      <c r="AB388" s="77"/>
      <c r="AC388" s="48"/>
      <c r="AD388" s="77"/>
      <c r="AE388" s="48"/>
      <c r="AF388" s="77"/>
      <c r="AG388" s="48"/>
      <c r="AH388" s="77"/>
      <c r="AI388" s="48"/>
      <c r="AJ388" s="77"/>
      <c r="AK388" s="48"/>
    </row>
    <row r="389" ht="18.0" customHeight="1">
      <c r="A389" s="48"/>
      <c r="B389" s="48"/>
      <c r="C389" s="77"/>
      <c r="D389" s="48"/>
      <c r="E389" s="48"/>
      <c r="F389" s="48"/>
      <c r="G389" s="48"/>
      <c r="H389" s="77"/>
      <c r="I389" s="48"/>
      <c r="J389" s="48"/>
      <c r="K389" s="48"/>
      <c r="L389" s="48"/>
      <c r="M389" s="48"/>
      <c r="N389" s="77"/>
      <c r="O389" s="78"/>
      <c r="P389" s="77"/>
      <c r="Q389" s="78"/>
      <c r="R389" s="78"/>
      <c r="S389" s="77"/>
      <c r="T389" s="48"/>
      <c r="U389" s="48"/>
      <c r="V389" s="48"/>
      <c r="W389" s="48"/>
      <c r="X389" s="77"/>
      <c r="Y389" s="48"/>
      <c r="Z389" s="48"/>
      <c r="AA389" s="48"/>
      <c r="AB389" s="77"/>
      <c r="AC389" s="48"/>
      <c r="AD389" s="77"/>
      <c r="AE389" s="48"/>
      <c r="AF389" s="77"/>
      <c r="AG389" s="48"/>
      <c r="AH389" s="77"/>
      <c r="AI389" s="48"/>
      <c r="AJ389" s="77"/>
      <c r="AK389" s="48"/>
    </row>
    <row r="390" ht="18.0" customHeight="1">
      <c r="A390" s="48"/>
      <c r="B390" s="48"/>
      <c r="C390" s="77"/>
      <c r="D390" s="48"/>
      <c r="E390" s="48"/>
      <c r="F390" s="48"/>
      <c r="G390" s="48"/>
      <c r="H390" s="77"/>
      <c r="I390" s="48"/>
      <c r="J390" s="48"/>
      <c r="K390" s="48"/>
      <c r="L390" s="48"/>
      <c r="M390" s="48"/>
      <c r="N390" s="77"/>
      <c r="O390" s="78"/>
      <c r="P390" s="77"/>
      <c r="Q390" s="78"/>
      <c r="R390" s="78"/>
      <c r="S390" s="77"/>
      <c r="T390" s="48"/>
      <c r="U390" s="48"/>
      <c r="V390" s="48"/>
      <c r="W390" s="48"/>
      <c r="X390" s="77"/>
      <c r="Y390" s="48"/>
      <c r="Z390" s="48"/>
      <c r="AA390" s="48"/>
      <c r="AB390" s="77"/>
      <c r="AC390" s="48"/>
      <c r="AD390" s="77"/>
      <c r="AE390" s="48"/>
      <c r="AF390" s="77"/>
      <c r="AG390" s="48"/>
      <c r="AH390" s="77"/>
      <c r="AI390" s="48"/>
      <c r="AJ390" s="77"/>
      <c r="AK390" s="48"/>
    </row>
    <row r="391" ht="18.0" customHeight="1">
      <c r="A391" s="48"/>
      <c r="B391" s="48"/>
      <c r="C391" s="77"/>
      <c r="D391" s="48"/>
      <c r="E391" s="48"/>
      <c r="F391" s="48"/>
      <c r="G391" s="48"/>
      <c r="H391" s="77"/>
      <c r="I391" s="48"/>
      <c r="J391" s="48"/>
      <c r="K391" s="48"/>
      <c r="L391" s="48"/>
      <c r="M391" s="48"/>
      <c r="N391" s="77"/>
      <c r="O391" s="78"/>
      <c r="P391" s="77"/>
      <c r="Q391" s="78"/>
      <c r="R391" s="78"/>
      <c r="S391" s="77"/>
      <c r="T391" s="48"/>
      <c r="U391" s="48"/>
      <c r="V391" s="48"/>
      <c r="W391" s="48"/>
      <c r="X391" s="77"/>
      <c r="Y391" s="48"/>
      <c r="Z391" s="48"/>
      <c r="AA391" s="48"/>
      <c r="AB391" s="77"/>
      <c r="AC391" s="48"/>
      <c r="AD391" s="77"/>
      <c r="AE391" s="48"/>
      <c r="AF391" s="77"/>
      <c r="AG391" s="48"/>
      <c r="AH391" s="77"/>
      <c r="AI391" s="48"/>
      <c r="AJ391" s="77"/>
      <c r="AK391" s="48"/>
    </row>
    <row r="392" ht="18.0" customHeight="1">
      <c r="A392" s="48"/>
      <c r="B392" s="48"/>
      <c r="C392" s="77"/>
      <c r="D392" s="48"/>
      <c r="E392" s="48"/>
      <c r="F392" s="48"/>
      <c r="G392" s="48"/>
      <c r="H392" s="77"/>
      <c r="I392" s="48"/>
      <c r="J392" s="48"/>
      <c r="K392" s="48"/>
      <c r="L392" s="48"/>
      <c r="M392" s="48"/>
      <c r="N392" s="77"/>
      <c r="O392" s="78"/>
      <c r="P392" s="77"/>
      <c r="Q392" s="78"/>
      <c r="R392" s="78"/>
      <c r="S392" s="77"/>
      <c r="T392" s="48"/>
      <c r="U392" s="48"/>
      <c r="V392" s="48"/>
      <c r="W392" s="48"/>
      <c r="X392" s="77"/>
      <c r="Y392" s="48"/>
      <c r="Z392" s="48"/>
      <c r="AA392" s="48"/>
      <c r="AB392" s="77"/>
      <c r="AC392" s="48"/>
      <c r="AD392" s="77"/>
      <c r="AE392" s="48"/>
      <c r="AF392" s="77"/>
      <c r="AG392" s="48"/>
      <c r="AH392" s="77"/>
      <c r="AI392" s="48"/>
      <c r="AJ392" s="77"/>
      <c r="AK392" s="48"/>
    </row>
    <row r="393" ht="18.0" customHeight="1">
      <c r="A393" s="48"/>
      <c r="B393" s="48"/>
      <c r="C393" s="77"/>
      <c r="D393" s="48"/>
      <c r="E393" s="48"/>
      <c r="F393" s="48"/>
      <c r="G393" s="48"/>
      <c r="H393" s="77"/>
      <c r="I393" s="48"/>
      <c r="J393" s="48"/>
      <c r="K393" s="48"/>
      <c r="L393" s="48"/>
      <c r="M393" s="48"/>
      <c r="N393" s="77"/>
      <c r="O393" s="78"/>
      <c r="P393" s="77"/>
      <c r="Q393" s="78"/>
      <c r="R393" s="78"/>
      <c r="S393" s="77"/>
      <c r="T393" s="48"/>
      <c r="U393" s="48"/>
      <c r="V393" s="48"/>
      <c r="W393" s="48"/>
      <c r="X393" s="77"/>
      <c r="Y393" s="48"/>
      <c r="Z393" s="48"/>
      <c r="AA393" s="48"/>
      <c r="AB393" s="77"/>
      <c r="AC393" s="48"/>
      <c r="AD393" s="77"/>
      <c r="AE393" s="48"/>
      <c r="AF393" s="77"/>
      <c r="AG393" s="48"/>
      <c r="AH393" s="77"/>
      <c r="AI393" s="48"/>
      <c r="AJ393" s="77"/>
      <c r="AK393" s="48"/>
    </row>
    <row r="394" ht="18.0" customHeight="1">
      <c r="A394" s="48"/>
      <c r="B394" s="48"/>
      <c r="C394" s="77"/>
      <c r="D394" s="48"/>
      <c r="E394" s="48"/>
      <c r="F394" s="48"/>
      <c r="G394" s="48"/>
      <c r="H394" s="77"/>
      <c r="I394" s="48"/>
      <c r="J394" s="48"/>
      <c r="K394" s="48"/>
      <c r="L394" s="48"/>
      <c r="M394" s="48"/>
      <c r="N394" s="77"/>
      <c r="O394" s="78"/>
      <c r="P394" s="77"/>
      <c r="Q394" s="78"/>
      <c r="R394" s="78"/>
      <c r="S394" s="77"/>
      <c r="T394" s="48"/>
      <c r="U394" s="48"/>
      <c r="V394" s="48"/>
      <c r="W394" s="48"/>
      <c r="X394" s="77"/>
      <c r="Y394" s="48"/>
      <c r="Z394" s="48"/>
      <c r="AA394" s="48"/>
      <c r="AB394" s="77"/>
      <c r="AC394" s="48"/>
      <c r="AD394" s="77"/>
      <c r="AE394" s="48"/>
      <c r="AF394" s="77"/>
      <c r="AG394" s="48"/>
      <c r="AH394" s="77"/>
      <c r="AI394" s="48"/>
      <c r="AJ394" s="77"/>
      <c r="AK394" s="48"/>
    </row>
    <row r="395" ht="18.0" customHeight="1">
      <c r="A395" s="48"/>
      <c r="B395" s="48"/>
      <c r="C395" s="77"/>
      <c r="D395" s="48"/>
      <c r="E395" s="48"/>
      <c r="F395" s="48"/>
      <c r="G395" s="48"/>
      <c r="H395" s="77"/>
      <c r="I395" s="48"/>
      <c r="J395" s="48"/>
      <c r="K395" s="48"/>
      <c r="L395" s="48"/>
      <c r="M395" s="48"/>
      <c r="N395" s="77"/>
      <c r="O395" s="78"/>
      <c r="P395" s="77"/>
      <c r="Q395" s="78"/>
      <c r="R395" s="78"/>
      <c r="S395" s="77"/>
      <c r="T395" s="48"/>
      <c r="U395" s="48"/>
      <c r="V395" s="48"/>
      <c r="W395" s="48"/>
      <c r="X395" s="77"/>
      <c r="Y395" s="48"/>
      <c r="Z395" s="48"/>
      <c r="AA395" s="48"/>
      <c r="AB395" s="77"/>
      <c r="AC395" s="48"/>
      <c r="AD395" s="77"/>
      <c r="AE395" s="48"/>
      <c r="AF395" s="77"/>
      <c r="AG395" s="48"/>
      <c r="AH395" s="77"/>
      <c r="AI395" s="48"/>
      <c r="AJ395" s="77"/>
      <c r="AK395" s="48"/>
    </row>
    <row r="396" ht="18.0" customHeight="1">
      <c r="A396" s="48"/>
      <c r="B396" s="48"/>
      <c r="C396" s="77"/>
      <c r="D396" s="48"/>
      <c r="E396" s="48"/>
      <c r="F396" s="48"/>
      <c r="G396" s="48"/>
      <c r="H396" s="77"/>
      <c r="I396" s="48"/>
      <c r="J396" s="48"/>
      <c r="K396" s="48"/>
      <c r="L396" s="48"/>
      <c r="M396" s="48"/>
      <c r="N396" s="77"/>
      <c r="O396" s="78"/>
      <c r="P396" s="77"/>
      <c r="Q396" s="78"/>
      <c r="R396" s="78"/>
      <c r="S396" s="77"/>
      <c r="T396" s="48"/>
      <c r="U396" s="48"/>
      <c r="V396" s="48"/>
      <c r="W396" s="48"/>
      <c r="X396" s="77"/>
      <c r="Y396" s="48"/>
      <c r="Z396" s="48"/>
      <c r="AA396" s="48"/>
      <c r="AB396" s="77"/>
      <c r="AC396" s="48"/>
      <c r="AD396" s="77"/>
      <c r="AE396" s="48"/>
      <c r="AF396" s="77"/>
      <c r="AG396" s="48"/>
      <c r="AH396" s="77"/>
      <c r="AI396" s="48"/>
      <c r="AJ396" s="77"/>
      <c r="AK396" s="48"/>
    </row>
    <row r="397" ht="18.0" customHeight="1">
      <c r="A397" s="48"/>
      <c r="B397" s="48"/>
      <c r="C397" s="77"/>
      <c r="D397" s="48"/>
      <c r="E397" s="48"/>
      <c r="F397" s="48"/>
      <c r="G397" s="48"/>
      <c r="H397" s="77"/>
      <c r="I397" s="48"/>
      <c r="J397" s="48"/>
      <c r="K397" s="48"/>
      <c r="L397" s="48"/>
      <c r="M397" s="48"/>
      <c r="N397" s="77"/>
      <c r="O397" s="78"/>
      <c r="P397" s="77"/>
      <c r="Q397" s="78"/>
      <c r="R397" s="78"/>
      <c r="S397" s="77"/>
      <c r="T397" s="48"/>
      <c r="U397" s="48"/>
      <c r="V397" s="48"/>
      <c r="W397" s="48"/>
      <c r="X397" s="77"/>
      <c r="Y397" s="48"/>
      <c r="Z397" s="48"/>
      <c r="AA397" s="48"/>
      <c r="AB397" s="77"/>
      <c r="AC397" s="48"/>
      <c r="AD397" s="77"/>
      <c r="AE397" s="48"/>
      <c r="AF397" s="77"/>
      <c r="AG397" s="48"/>
      <c r="AH397" s="77"/>
      <c r="AI397" s="48"/>
      <c r="AJ397" s="77"/>
      <c r="AK397" s="48"/>
    </row>
    <row r="398" ht="18.0" customHeight="1">
      <c r="A398" s="48"/>
      <c r="B398" s="48"/>
      <c r="C398" s="77"/>
      <c r="D398" s="48"/>
      <c r="E398" s="48"/>
      <c r="F398" s="48"/>
      <c r="G398" s="48"/>
      <c r="H398" s="77"/>
      <c r="I398" s="48"/>
      <c r="J398" s="48"/>
      <c r="K398" s="48"/>
      <c r="L398" s="48"/>
      <c r="M398" s="48"/>
      <c r="N398" s="77"/>
      <c r="O398" s="78"/>
      <c r="P398" s="77"/>
      <c r="Q398" s="78"/>
      <c r="R398" s="78"/>
      <c r="S398" s="77"/>
      <c r="T398" s="48"/>
      <c r="U398" s="48"/>
      <c r="V398" s="48"/>
      <c r="W398" s="48"/>
      <c r="X398" s="77"/>
      <c r="Y398" s="48"/>
      <c r="Z398" s="48"/>
      <c r="AA398" s="48"/>
      <c r="AB398" s="77"/>
      <c r="AC398" s="48"/>
      <c r="AD398" s="77"/>
      <c r="AE398" s="48"/>
      <c r="AF398" s="77"/>
      <c r="AG398" s="48"/>
      <c r="AH398" s="77"/>
      <c r="AI398" s="48"/>
      <c r="AJ398" s="77"/>
      <c r="AK398" s="48"/>
    </row>
    <row r="399" ht="18.0" customHeight="1">
      <c r="A399" s="48"/>
      <c r="B399" s="48"/>
      <c r="C399" s="77"/>
      <c r="D399" s="48"/>
      <c r="E399" s="48"/>
      <c r="F399" s="48"/>
      <c r="G399" s="48"/>
      <c r="H399" s="77"/>
      <c r="I399" s="48"/>
      <c r="J399" s="48"/>
      <c r="K399" s="48"/>
      <c r="L399" s="48"/>
      <c r="M399" s="48"/>
      <c r="N399" s="77"/>
      <c r="O399" s="78"/>
      <c r="P399" s="77"/>
      <c r="Q399" s="78"/>
      <c r="R399" s="78"/>
      <c r="S399" s="77"/>
      <c r="T399" s="48"/>
      <c r="U399" s="48"/>
      <c r="V399" s="48"/>
      <c r="W399" s="48"/>
      <c r="X399" s="77"/>
      <c r="Y399" s="48"/>
      <c r="Z399" s="48"/>
      <c r="AA399" s="48"/>
      <c r="AB399" s="77"/>
      <c r="AC399" s="48"/>
      <c r="AD399" s="77"/>
      <c r="AE399" s="48"/>
      <c r="AF399" s="77"/>
      <c r="AG399" s="48"/>
      <c r="AH399" s="77"/>
      <c r="AI399" s="48"/>
      <c r="AJ399" s="77"/>
      <c r="AK399" s="48"/>
    </row>
    <row r="400" ht="18.0" customHeight="1">
      <c r="A400" s="48"/>
      <c r="B400" s="48"/>
      <c r="C400" s="77"/>
      <c r="D400" s="48"/>
      <c r="E400" s="48"/>
      <c r="F400" s="48"/>
      <c r="G400" s="48"/>
      <c r="H400" s="77"/>
      <c r="I400" s="48"/>
      <c r="J400" s="48"/>
      <c r="K400" s="48"/>
      <c r="L400" s="48"/>
      <c r="M400" s="48"/>
      <c r="N400" s="77"/>
      <c r="O400" s="78"/>
      <c r="P400" s="77"/>
      <c r="Q400" s="78"/>
      <c r="R400" s="78"/>
      <c r="S400" s="77"/>
      <c r="T400" s="48"/>
      <c r="U400" s="48"/>
      <c r="V400" s="48"/>
      <c r="W400" s="48"/>
      <c r="X400" s="77"/>
      <c r="Y400" s="48"/>
      <c r="Z400" s="48"/>
      <c r="AA400" s="48"/>
      <c r="AB400" s="77"/>
      <c r="AC400" s="48"/>
      <c r="AD400" s="77"/>
      <c r="AE400" s="48"/>
      <c r="AF400" s="77"/>
      <c r="AG400" s="48"/>
      <c r="AH400" s="77"/>
      <c r="AI400" s="48"/>
      <c r="AJ400" s="77"/>
      <c r="AK400" s="48"/>
    </row>
    <row r="401" ht="18.0" customHeight="1">
      <c r="A401" s="48"/>
      <c r="B401" s="48"/>
      <c r="C401" s="77"/>
      <c r="D401" s="48"/>
      <c r="E401" s="48"/>
      <c r="F401" s="48"/>
      <c r="G401" s="48"/>
      <c r="H401" s="77"/>
      <c r="I401" s="48"/>
      <c r="J401" s="48"/>
      <c r="K401" s="48"/>
      <c r="L401" s="48"/>
      <c r="M401" s="48"/>
      <c r="N401" s="77"/>
      <c r="O401" s="78"/>
      <c r="P401" s="77"/>
      <c r="Q401" s="78"/>
      <c r="R401" s="78"/>
      <c r="S401" s="77"/>
      <c r="T401" s="48"/>
      <c r="U401" s="48"/>
      <c r="V401" s="48"/>
      <c r="W401" s="48"/>
      <c r="X401" s="77"/>
      <c r="Y401" s="48"/>
      <c r="Z401" s="48"/>
      <c r="AA401" s="48"/>
      <c r="AB401" s="77"/>
      <c r="AC401" s="48"/>
      <c r="AD401" s="77"/>
      <c r="AE401" s="48"/>
      <c r="AF401" s="77"/>
      <c r="AG401" s="48"/>
      <c r="AH401" s="77"/>
      <c r="AI401" s="48"/>
      <c r="AJ401" s="77"/>
      <c r="AK401" s="48"/>
    </row>
    <row r="402" ht="18.0" customHeight="1">
      <c r="A402" s="48"/>
      <c r="B402" s="48"/>
      <c r="C402" s="77"/>
      <c r="D402" s="48"/>
      <c r="E402" s="48"/>
      <c r="F402" s="48"/>
      <c r="G402" s="48"/>
      <c r="H402" s="77"/>
      <c r="I402" s="48"/>
      <c r="J402" s="48"/>
      <c r="K402" s="48"/>
      <c r="L402" s="48"/>
      <c r="M402" s="48"/>
      <c r="N402" s="77"/>
      <c r="O402" s="78"/>
      <c r="P402" s="77"/>
      <c r="Q402" s="78"/>
      <c r="R402" s="78"/>
      <c r="S402" s="77"/>
      <c r="T402" s="48"/>
      <c r="U402" s="48"/>
      <c r="V402" s="48"/>
      <c r="W402" s="48"/>
      <c r="X402" s="77"/>
      <c r="Y402" s="48"/>
      <c r="Z402" s="48"/>
      <c r="AA402" s="48"/>
      <c r="AB402" s="77"/>
      <c r="AC402" s="48"/>
      <c r="AD402" s="77"/>
      <c r="AE402" s="48"/>
      <c r="AF402" s="77"/>
      <c r="AG402" s="48"/>
      <c r="AH402" s="77"/>
      <c r="AI402" s="48"/>
      <c r="AJ402" s="77"/>
      <c r="AK402" s="48"/>
    </row>
    <row r="403" ht="18.0" customHeight="1">
      <c r="A403" s="48"/>
      <c r="B403" s="48"/>
      <c r="C403" s="77"/>
      <c r="D403" s="48"/>
      <c r="E403" s="48"/>
      <c r="F403" s="48"/>
      <c r="G403" s="48"/>
      <c r="H403" s="77"/>
      <c r="I403" s="48"/>
      <c r="J403" s="48"/>
      <c r="K403" s="48"/>
      <c r="L403" s="48"/>
      <c r="M403" s="48"/>
      <c r="N403" s="77"/>
      <c r="O403" s="78"/>
      <c r="P403" s="77"/>
      <c r="Q403" s="78"/>
      <c r="R403" s="78"/>
      <c r="S403" s="77"/>
      <c r="T403" s="48"/>
      <c r="U403" s="48"/>
      <c r="V403" s="48"/>
      <c r="W403" s="48"/>
      <c r="X403" s="77"/>
      <c r="Y403" s="48"/>
      <c r="Z403" s="48"/>
      <c r="AA403" s="48"/>
      <c r="AB403" s="77"/>
      <c r="AC403" s="48"/>
      <c r="AD403" s="77"/>
      <c r="AE403" s="48"/>
      <c r="AF403" s="77"/>
      <c r="AG403" s="48"/>
      <c r="AH403" s="77"/>
      <c r="AI403" s="48"/>
      <c r="AJ403" s="77"/>
      <c r="AK403" s="48"/>
    </row>
    <row r="404" ht="18.0" customHeight="1">
      <c r="A404" s="48"/>
      <c r="B404" s="48"/>
      <c r="C404" s="77"/>
      <c r="D404" s="48"/>
      <c r="E404" s="48"/>
      <c r="F404" s="48"/>
      <c r="G404" s="48"/>
      <c r="H404" s="77"/>
      <c r="I404" s="48"/>
      <c r="J404" s="48"/>
      <c r="K404" s="48"/>
      <c r="L404" s="48"/>
      <c r="M404" s="48"/>
      <c r="N404" s="77"/>
      <c r="O404" s="78"/>
      <c r="P404" s="77"/>
      <c r="Q404" s="78"/>
      <c r="R404" s="78"/>
      <c r="S404" s="77"/>
      <c r="T404" s="48"/>
      <c r="U404" s="48"/>
      <c r="V404" s="48"/>
      <c r="W404" s="48"/>
      <c r="X404" s="77"/>
      <c r="Y404" s="48"/>
      <c r="Z404" s="48"/>
      <c r="AA404" s="48"/>
      <c r="AB404" s="77"/>
      <c r="AC404" s="48"/>
      <c r="AD404" s="77"/>
      <c r="AE404" s="48"/>
      <c r="AF404" s="77"/>
      <c r="AG404" s="48"/>
      <c r="AH404" s="77"/>
      <c r="AI404" s="48"/>
      <c r="AJ404" s="77"/>
      <c r="AK404" s="48"/>
    </row>
    <row r="405" ht="18.0" customHeight="1">
      <c r="A405" s="48"/>
      <c r="B405" s="48"/>
      <c r="C405" s="77"/>
      <c r="D405" s="48"/>
      <c r="E405" s="48"/>
      <c r="F405" s="48"/>
      <c r="G405" s="48"/>
      <c r="H405" s="77"/>
      <c r="I405" s="48"/>
      <c r="J405" s="48"/>
      <c r="K405" s="48"/>
      <c r="L405" s="48"/>
      <c r="M405" s="48"/>
      <c r="N405" s="77"/>
      <c r="O405" s="78"/>
      <c r="P405" s="77"/>
      <c r="Q405" s="78"/>
      <c r="R405" s="78"/>
      <c r="S405" s="77"/>
      <c r="T405" s="48"/>
      <c r="U405" s="48"/>
      <c r="V405" s="48"/>
      <c r="W405" s="48"/>
      <c r="X405" s="77"/>
      <c r="Y405" s="48"/>
      <c r="Z405" s="48"/>
      <c r="AA405" s="48"/>
      <c r="AB405" s="77"/>
      <c r="AC405" s="48"/>
      <c r="AD405" s="77"/>
      <c r="AE405" s="48"/>
      <c r="AF405" s="77"/>
      <c r="AG405" s="48"/>
      <c r="AH405" s="77"/>
      <c r="AI405" s="48"/>
      <c r="AJ405" s="77"/>
      <c r="AK405" s="48"/>
    </row>
    <row r="406" ht="18.0" customHeight="1">
      <c r="A406" s="48"/>
      <c r="B406" s="48"/>
      <c r="C406" s="77"/>
      <c r="D406" s="48"/>
      <c r="E406" s="48"/>
      <c r="F406" s="48"/>
      <c r="G406" s="48"/>
      <c r="H406" s="77"/>
      <c r="I406" s="48"/>
      <c r="J406" s="48"/>
      <c r="K406" s="48"/>
      <c r="L406" s="48"/>
      <c r="M406" s="48"/>
      <c r="N406" s="77"/>
      <c r="O406" s="78"/>
      <c r="P406" s="77"/>
      <c r="Q406" s="78"/>
      <c r="R406" s="78"/>
      <c r="S406" s="77"/>
      <c r="T406" s="48"/>
      <c r="U406" s="48"/>
      <c r="V406" s="48"/>
      <c r="W406" s="48"/>
      <c r="X406" s="77"/>
      <c r="Y406" s="48"/>
      <c r="Z406" s="48"/>
      <c r="AA406" s="48"/>
      <c r="AB406" s="77"/>
      <c r="AC406" s="48"/>
      <c r="AD406" s="77"/>
      <c r="AE406" s="48"/>
      <c r="AF406" s="77"/>
      <c r="AG406" s="48"/>
      <c r="AH406" s="77"/>
      <c r="AI406" s="48"/>
      <c r="AJ406" s="77"/>
      <c r="AK406" s="48"/>
    </row>
    <row r="407" ht="18.0" customHeight="1">
      <c r="A407" s="48"/>
      <c r="B407" s="48"/>
      <c r="C407" s="77"/>
      <c r="D407" s="48"/>
      <c r="E407" s="48"/>
      <c r="F407" s="48"/>
      <c r="G407" s="48"/>
      <c r="H407" s="77"/>
      <c r="I407" s="48"/>
      <c r="J407" s="48"/>
      <c r="K407" s="48"/>
      <c r="L407" s="48"/>
      <c r="M407" s="48"/>
      <c r="N407" s="77"/>
      <c r="O407" s="78"/>
      <c r="P407" s="77"/>
      <c r="Q407" s="78"/>
      <c r="R407" s="78"/>
      <c r="S407" s="77"/>
      <c r="T407" s="48"/>
      <c r="U407" s="48"/>
      <c r="V407" s="48"/>
      <c r="W407" s="48"/>
      <c r="X407" s="77"/>
      <c r="Y407" s="48"/>
      <c r="Z407" s="48"/>
      <c r="AA407" s="48"/>
      <c r="AB407" s="77"/>
      <c r="AC407" s="48"/>
      <c r="AD407" s="77"/>
      <c r="AE407" s="48"/>
      <c r="AF407" s="77"/>
      <c r="AG407" s="48"/>
      <c r="AH407" s="77"/>
      <c r="AI407" s="48"/>
      <c r="AJ407" s="77"/>
      <c r="AK407" s="48"/>
    </row>
    <row r="408" ht="18.0" customHeight="1">
      <c r="A408" s="48"/>
      <c r="B408" s="48"/>
      <c r="C408" s="77"/>
      <c r="D408" s="48"/>
      <c r="E408" s="48"/>
      <c r="F408" s="48"/>
      <c r="G408" s="48"/>
      <c r="H408" s="77"/>
      <c r="I408" s="48"/>
      <c r="J408" s="48"/>
      <c r="K408" s="48"/>
      <c r="L408" s="48"/>
      <c r="M408" s="48"/>
      <c r="N408" s="77"/>
      <c r="O408" s="78"/>
      <c r="P408" s="77"/>
      <c r="Q408" s="78"/>
      <c r="R408" s="78"/>
      <c r="S408" s="77"/>
      <c r="T408" s="48"/>
      <c r="U408" s="48"/>
      <c r="V408" s="48"/>
      <c r="W408" s="48"/>
      <c r="X408" s="77"/>
      <c r="Y408" s="48"/>
      <c r="Z408" s="48"/>
      <c r="AA408" s="48"/>
      <c r="AB408" s="77"/>
      <c r="AC408" s="48"/>
      <c r="AD408" s="77"/>
      <c r="AE408" s="48"/>
      <c r="AF408" s="77"/>
      <c r="AG408" s="48"/>
      <c r="AH408" s="77"/>
      <c r="AI408" s="48"/>
      <c r="AJ408" s="77"/>
      <c r="AK408" s="48"/>
    </row>
    <row r="409" ht="18.0" customHeight="1">
      <c r="A409" s="48"/>
      <c r="B409" s="48"/>
      <c r="C409" s="77"/>
      <c r="D409" s="48"/>
      <c r="E409" s="48"/>
      <c r="F409" s="48"/>
      <c r="G409" s="48"/>
      <c r="H409" s="77"/>
      <c r="I409" s="48"/>
      <c r="J409" s="48"/>
      <c r="K409" s="48"/>
      <c r="L409" s="48"/>
      <c r="M409" s="48"/>
      <c r="N409" s="77"/>
      <c r="O409" s="78"/>
      <c r="P409" s="77"/>
      <c r="Q409" s="78"/>
      <c r="R409" s="78"/>
      <c r="S409" s="77"/>
      <c r="T409" s="48"/>
      <c r="U409" s="48"/>
      <c r="V409" s="48"/>
      <c r="W409" s="48"/>
      <c r="X409" s="77"/>
      <c r="Y409" s="48"/>
      <c r="Z409" s="48"/>
      <c r="AA409" s="48"/>
      <c r="AB409" s="77"/>
      <c r="AC409" s="48"/>
      <c r="AD409" s="77"/>
      <c r="AE409" s="48"/>
      <c r="AF409" s="77"/>
      <c r="AG409" s="48"/>
      <c r="AH409" s="77"/>
      <c r="AI409" s="48"/>
      <c r="AJ409" s="77"/>
      <c r="AK409" s="48"/>
    </row>
    <row r="410" ht="18.0" customHeight="1">
      <c r="A410" s="48"/>
      <c r="B410" s="48"/>
      <c r="C410" s="77"/>
      <c r="D410" s="48"/>
      <c r="E410" s="48"/>
      <c r="F410" s="48"/>
      <c r="G410" s="48"/>
      <c r="H410" s="77"/>
      <c r="I410" s="48"/>
      <c r="J410" s="48"/>
      <c r="K410" s="48"/>
      <c r="L410" s="48"/>
      <c r="M410" s="48"/>
      <c r="N410" s="77"/>
      <c r="O410" s="78"/>
      <c r="P410" s="77"/>
      <c r="Q410" s="78"/>
      <c r="R410" s="78"/>
      <c r="S410" s="77"/>
      <c r="T410" s="48"/>
      <c r="U410" s="48"/>
      <c r="V410" s="48"/>
      <c r="W410" s="48"/>
      <c r="X410" s="77"/>
      <c r="Y410" s="48"/>
      <c r="Z410" s="48"/>
      <c r="AA410" s="48"/>
      <c r="AB410" s="77"/>
      <c r="AC410" s="48"/>
      <c r="AD410" s="77"/>
      <c r="AE410" s="48"/>
      <c r="AF410" s="77"/>
      <c r="AG410" s="48"/>
      <c r="AH410" s="77"/>
      <c r="AI410" s="48"/>
      <c r="AJ410" s="77"/>
      <c r="AK410" s="48"/>
    </row>
    <row r="411" ht="18.0" customHeight="1">
      <c r="A411" s="48"/>
      <c r="B411" s="48"/>
      <c r="C411" s="77"/>
      <c r="D411" s="48"/>
      <c r="E411" s="48"/>
      <c r="F411" s="48"/>
      <c r="G411" s="48"/>
      <c r="H411" s="77"/>
      <c r="I411" s="48"/>
      <c r="J411" s="48"/>
      <c r="K411" s="48"/>
      <c r="L411" s="48"/>
      <c r="M411" s="48"/>
      <c r="N411" s="77"/>
      <c r="O411" s="78"/>
      <c r="P411" s="77"/>
      <c r="Q411" s="78"/>
      <c r="R411" s="78"/>
      <c r="S411" s="77"/>
      <c r="T411" s="48"/>
      <c r="U411" s="48"/>
      <c r="V411" s="48"/>
      <c r="W411" s="48"/>
      <c r="X411" s="77"/>
      <c r="Y411" s="48"/>
      <c r="Z411" s="48"/>
      <c r="AA411" s="48"/>
      <c r="AB411" s="77"/>
      <c r="AC411" s="48"/>
      <c r="AD411" s="77"/>
      <c r="AE411" s="48"/>
      <c r="AF411" s="77"/>
      <c r="AG411" s="48"/>
      <c r="AH411" s="77"/>
      <c r="AI411" s="48"/>
      <c r="AJ411" s="77"/>
      <c r="AK411" s="48"/>
    </row>
    <row r="412" ht="18.0" customHeight="1">
      <c r="A412" s="48"/>
      <c r="B412" s="48"/>
      <c r="C412" s="77"/>
      <c r="D412" s="48"/>
      <c r="E412" s="48"/>
      <c r="F412" s="48"/>
      <c r="G412" s="48"/>
      <c r="H412" s="77"/>
      <c r="I412" s="48"/>
      <c r="J412" s="48"/>
      <c r="K412" s="48"/>
      <c r="L412" s="48"/>
      <c r="M412" s="48"/>
      <c r="N412" s="77"/>
      <c r="O412" s="78"/>
      <c r="P412" s="77"/>
      <c r="Q412" s="78"/>
      <c r="R412" s="78"/>
      <c r="S412" s="77"/>
      <c r="T412" s="48"/>
      <c r="U412" s="48"/>
      <c r="V412" s="48"/>
      <c r="W412" s="48"/>
      <c r="X412" s="77"/>
      <c r="Y412" s="48"/>
      <c r="Z412" s="48"/>
      <c r="AA412" s="48"/>
      <c r="AB412" s="77"/>
      <c r="AC412" s="48"/>
      <c r="AD412" s="77"/>
      <c r="AE412" s="48"/>
      <c r="AF412" s="77"/>
      <c r="AG412" s="48"/>
      <c r="AH412" s="77"/>
      <c r="AI412" s="48"/>
      <c r="AJ412" s="77"/>
      <c r="AK412" s="48"/>
    </row>
    <row r="413" ht="18.0" customHeight="1">
      <c r="A413" s="48"/>
      <c r="B413" s="48"/>
      <c r="C413" s="77"/>
      <c r="D413" s="48"/>
      <c r="E413" s="48"/>
      <c r="F413" s="48"/>
      <c r="G413" s="48"/>
      <c r="H413" s="77"/>
      <c r="I413" s="48"/>
      <c r="J413" s="48"/>
      <c r="K413" s="48"/>
      <c r="L413" s="48"/>
      <c r="M413" s="48"/>
      <c r="N413" s="77"/>
      <c r="O413" s="78"/>
      <c r="P413" s="77"/>
      <c r="Q413" s="78"/>
      <c r="R413" s="78"/>
      <c r="S413" s="77"/>
      <c r="T413" s="48"/>
      <c r="U413" s="48"/>
      <c r="V413" s="48"/>
      <c r="W413" s="48"/>
      <c r="X413" s="77"/>
      <c r="Y413" s="48"/>
      <c r="Z413" s="48"/>
      <c r="AA413" s="48"/>
      <c r="AB413" s="77"/>
      <c r="AC413" s="48"/>
      <c r="AD413" s="77"/>
      <c r="AE413" s="48"/>
      <c r="AF413" s="77"/>
      <c r="AG413" s="48"/>
      <c r="AH413" s="77"/>
      <c r="AI413" s="48"/>
      <c r="AJ413" s="77"/>
      <c r="AK413" s="48"/>
    </row>
    <row r="414" ht="18.0" customHeight="1">
      <c r="A414" s="48"/>
      <c r="B414" s="48"/>
      <c r="C414" s="77"/>
      <c r="D414" s="48"/>
      <c r="E414" s="48"/>
      <c r="F414" s="48"/>
      <c r="G414" s="48"/>
      <c r="H414" s="77"/>
      <c r="I414" s="48"/>
      <c r="J414" s="48"/>
      <c r="K414" s="48"/>
      <c r="L414" s="48"/>
      <c r="M414" s="48"/>
      <c r="N414" s="77"/>
      <c r="O414" s="78"/>
      <c r="P414" s="77"/>
      <c r="Q414" s="78"/>
      <c r="R414" s="78"/>
      <c r="S414" s="77"/>
      <c r="T414" s="48"/>
      <c r="U414" s="48"/>
      <c r="V414" s="48"/>
      <c r="W414" s="48"/>
      <c r="X414" s="77"/>
      <c r="Y414" s="48"/>
      <c r="Z414" s="48"/>
      <c r="AA414" s="48"/>
      <c r="AB414" s="77"/>
      <c r="AC414" s="48"/>
      <c r="AD414" s="77"/>
      <c r="AE414" s="48"/>
      <c r="AF414" s="77"/>
      <c r="AG414" s="48"/>
      <c r="AH414" s="77"/>
      <c r="AI414" s="48"/>
      <c r="AJ414" s="77"/>
      <c r="AK414" s="48"/>
    </row>
    <row r="415" ht="18.0" customHeight="1">
      <c r="A415" s="48"/>
      <c r="B415" s="48"/>
      <c r="C415" s="77"/>
      <c r="D415" s="48"/>
      <c r="E415" s="48"/>
      <c r="F415" s="48"/>
      <c r="G415" s="48"/>
      <c r="H415" s="77"/>
      <c r="I415" s="48"/>
      <c r="J415" s="48"/>
      <c r="K415" s="48"/>
      <c r="L415" s="48"/>
      <c r="M415" s="48"/>
      <c r="N415" s="77"/>
      <c r="O415" s="78"/>
      <c r="P415" s="77"/>
      <c r="Q415" s="78"/>
      <c r="R415" s="78"/>
      <c r="S415" s="77"/>
      <c r="T415" s="48"/>
      <c r="U415" s="48"/>
      <c r="V415" s="48"/>
      <c r="W415" s="48"/>
      <c r="X415" s="77"/>
      <c r="Y415" s="48"/>
      <c r="Z415" s="48"/>
      <c r="AA415" s="48"/>
      <c r="AB415" s="77"/>
      <c r="AC415" s="48"/>
      <c r="AD415" s="77"/>
      <c r="AE415" s="48"/>
      <c r="AF415" s="77"/>
      <c r="AG415" s="48"/>
      <c r="AH415" s="77"/>
      <c r="AI415" s="48"/>
      <c r="AJ415" s="77"/>
      <c r="AK415" s="48"/>
    </row>
    <row r="416" ht="18.0" customHeight="1">
      <c r="A416" s="48"/>
      <c r="B416" s="48"/>
      <c r="C416" s="77"/>
      <c r="D416" s="48"/>
      <c r="E416" s="48"/>
      <c r="F416" s="48"/>
      <c r="G416" s="48"/>
      <c r="H416" s="77"/>
      <c r="I416" s="48"/>
      <c r="J416" s="48"/>
      <c r="K416" s="48"/>
      <c r="L416" s="48"/>
      <c r="M416" s="48"/>
      <c r="N416" s="77"/>
      <c r="O416" s="78"/>
      <c r="P416" s="77"/>
      <c r="Q416" s="78"/>
      <c r="R416" s="78"/>
      <c r="S416" s="77"/>
      <c r="T416" s="48"/>
      <c r="U416" s="48"/>
      <c r="V416" s="48"/>
      <c r="W416" s="48"/>
      <c r="X416" s="77"/>
      <c r="Y416" s="48"/>
      <c r="Z416" s="48"/>
      <c r="AA416" s="48"/>
      <c r="AB416" s="77"/>
      <c r="AC416" s="48"/>
      <c r="AD416" s="77"/>
      <c r="AE416" s="48"/>
      <c r="AF416" s="77"/>
      <c r="AG416" s="48"/>
      <c r="AH416" s="77"/>
      <c r="AI416" s="48"/>
      <c r="AJ416" s="77"/>
      <c r="AK416" s="48"/>
    </row>
    <row r="417" ht="18.0" customHeight="1">
      <c r="A417" s="48"/>
      <c r="B417" s="48"/>
      <c r="C417" s="77"/>
      <c r="D417" s="48"/>
      <c r="E417" s="48"/>
      <c r="F417" s="48"/>
      <c r="G417" s="48"/>
      <c r="H417" s="77"/>
      <c r="I417" s="48"/>
      <c r="J417" s="48"/>
      <c r="K417" s="48"/>
      <c r="L417" s="48"/>
      <c r="M417" s="48"/>
      <c r="N417" s="77"/>
      <c r="O417" s="78"/>
      <c r="P417" s="77"/>
      <c r="Q417" s="78"/>
      <c r="R417" s="78"/>
      <c r="S417" s="77"/>
      <c r="T417" s="48"/>
      <c r="U417" s="48"/>
      <c r="V417" s="48"/>
      <c r="W417" s="48"/>
      <c r="X417" s="77"/>
      <c r="Y417" s="48"/>
      <c r="Z417" s="48"/>
      <c r="AA417" s="48"/>
      <c r="AB417" s="77"/>
      <c r="AC417" s="48"/>
      <c r="AD417" s="77"/>
      <c r="AE417" s="48"/>
      <c r="AF417" s="77"/>
      <c r="AG417" s="48"/>
      <c r="AH417" s="77"/>
      <c r="AI417" s="48"/>
      <c r="AJ417" s="77"/>
      <c r="AK417" s="48"/>
    </row>
    <row r="418" ht="18.0" customHeight="1">
      <c r="A418" s="48"/>
      <c r="B418" s="48"/>
      <c r="C418" s="77"/>
      <c r="D418" s="48"/>
      <c r="E418" s="48"/>
      <c r="F418" s="48"/>
      <c r="G418" s="48"/>
      <c r="H418" s="77"/>
      <c r="I418" s="48"/>
      <c r="J418" s="48"/>
      <c r="K418" s="48"/>
      <c r="L418" s="48"/>
      <c r="M418" s="48"/>
      <c r="N418" s="77"/>
      <c r="O418" s="78"/>
      <c r="P418" s="77"/>
      <c r="Q418" s="78"/>
      <c r="R418" s="78"/>
      <c r="S418" s="77"/>
      <c r="T418" s="48"/>
      <c r="U418" s="48"/>
      <c r="V418" s="48"/>
      <c r="W418" s="48"/>
      <c r="X418" s="77"/>
      <c r="Y418" s="48"/>
      <c r="Z418" s="48"/>
      <c r="AA418" s="48"/>
      <c r="AB418" s="77"/>
      <c r="AC418" s="48"/>
      <c r="AD418" s="77"/>
      <c r="AE418" s="48"/>
      <c r="AF418" s="77"/>
      <c r="AG418" s="48"/>
      <c r="AH418" s="77"/>
      <c r="AI418" s="48"/>
      <c r="AJ418" s="77"/>
      <c r="AK418" s="48"/>
    </row>
    <row r="419" ht="18.0" customHeight="1">
      <c r="A419" s="48"/>
      <c r="B419" s="48"/>
      <c r="C419" s="77"/>
      <c r="D419" s="48"/>
      <c r="E419" s="48"/>
      <c r="F419" s="48"/>
      <c r="G419" s="48"/>
      <c r="H419" s="77"/>
      <c r="I419" s="48"/>
      <c r="J419" s="48"/>
      <c r="K419" s="48"/>
      <c r="L419" s="48"/>
      <c r="M419" s="48"/>
      <c r="N419" s="77"/>
      <c r="O419" s="78"/>
      <c r="P419" s="77"/>
      <c r="Q419" s="78"/>
      <c r="R419" s="78"/>
      <c r="S419" s="77"/>
      <c r="T419" s="48"/>
      <c r="U419" s="48"/>
      <c r="V419" s="48"/>
      <c r="W419" s="48"/>
      <c r="X419" s="77"/>
      <c r="Y419" s="48"/>
      <c r="Z419" s="48"/>
      <c r="AA419" s="48"/>
      <c r="AB419" s="77"/>
      <c r="AC419" s="48"/>
      <c r="AD419" s="77"/>
      <c r="AE419" s="48"/>
      <c r="AF419" s="77"/>
      <c r="AG419" s="48"/>
      <c r="AH419" s="77"/>
      <c r="AI419" s="48"/>
      <c r="AJ419" s="77"/>
      <c r="AK419" s="48"/>
    </row>
    <row r="420" ht="18.0" customHeight="1">
      <c r="A420" s="48"/>
      <c r="B420" s="48"/>
      <c r="C420" s="77"/>
      <c r="D420" s="48"/>
      <c r="E420" s="48"/>
      <c r="F420" s="48"/>
      <c r="G420" s="48"/>
      <c r="H420" s="77"/>
      <c r="I420" s="48"/>
      <c r="J420" s="48"/>
      <c r="K420" s="48"/>
      <c r="L420" s="48"/>
      <c r="M420" s="48"/>
      <c r="N420" s="77"/>
      <c r="O420" s="78"/>
      <c r="P420" s="77"/>
      <c r="Q420" s="78"/>
      <c r="R420" s="78"/>
      <c r="S420" s="77"/>
      <c r="T420" s="48"/>
      <c r="U420" s="48"/>
      <c r="V420" s="48"/>
      <c r="W420" s="48"/>
      <c r="X420" s="77"/>
      <c r="Y420" s="48"/>
      <c r="Z420" s="48"/>
      <c r="AA420" s="48"/>
      <c r="AB420" s="77"/>
      <c r="AC420" s="48"/>
      <c r="AD420" s="77"/>
      <c r="AE420" s="48"/>
      <c r="AF420" s="77"/>
      <c r="AG420" s="48"/>
      <c r="AH420" s="77"/>
      <c r="AI420" s="48"/>
      <c r="AJ420" s="77"/>
      <c r="AK420" s="48"/>
    </row>
    <row r="421" ht="18.0" customHeight="1">
      <c r="A421" s="48"/>
      <c r="B421" s="48"/>
      <c r="C421" s="77"/>
      <c r="D421" s="48"/>
      <c r="E421" s="48"/>
      <c r="F421" s="48"/>
      <c r="G421" s="48"/>
      <c r="H421" s="77"/>
      <c r="I421" s="48"/>
      <c r="J421" s="48"/>
      <c r="K421" s="48"/>
      <c r="L421" s="48"/>
      <c r="M421" s="48"/>
      <c r="N421" s="77"/>
      <c r="O421" s="78"/>
      <c r="P421" s="77"/>
      <c r="Q421" s="78"/>
      <c r="R421" s="78"/>
      <c r="S421" s="77"/>
      <c r="T421" s="48"/>
      <c r="U421" s="48"/>
      <c r="V421" s="48"/>
      <c r="W421" s="48"/>
      <c r="X421" s="77"/>
      <c r="Y421" s="48"/>
      <c r="Z421" s="48"/>
      <c r="AA421" s="48"/>
      <c r="AB421" s="77"/>
      <c r="AC421" s="48"/>
      <c r="AD421" s="77"/>
      <c r="AE421" s="48"/>
      <c r="AF421" s="77"/>
      <c r="AG421" s="48"/>
      <c r="AH421" s="77"/>
      <c r="AI421" s="48"/>
      <c r="AJ421" s="77"/>
      <c r="AK421" s="48"/>
    </row>
    <row r="422" ht="18.0" customHeight="1">
      <c r="A422" s="48"/>
      <c r="B422" s="48"/>
      <c r="C422" s="77"/>
      <c r="D422" s="48"/>
      <c r="E422" s="48"/>
      <c r="F422" s="48"/>
      <c r="G422" s="48"/>
      <c r="H422" s="77"/>
      <c r="I422" s="48"/>
      <c r="J422" s="48"/>
      <c r="K422" s="48"/>
      <c r="L422" s="48"/>
      <c r="M422" s="48"/>
      <c r="N422" s="77"/>
      <c r="O422" s="78"/>
      <c r="P422" s="77"/>
      <c r="Q422" s="78"/>
      <c r="R422" s="78"/>
      <c r="S422" s="77"/>
      <c r="T422" s="48"/>
      <c r="U422" s="48"/>
      <c r="V422" s="48"/>
      <c r="W422" s="48"/>
      <c r="X422" s="77"/>
      <c r="Y422" s="48"/>
      <c r="Z422" s="48"/>
      <c r="AA422" s="48"/>
      <c r="AB422" s="77"/>
      <c r="AC422" s="48"/>
      <c r="AD422" s="77"/>
      <c r="AE422" s="48"/>
      <c r="AF422" s="77"/>
      <c r="AG422" s="48"/>
      <c r="AH422" s="77"/>
      <c r="AI422" s="48"/>
      <c r="AJ422" s="77"/>
      <c r="AK422" s="48"/>
    </row>
    <row r="423" ht="18.0" customHeight="1">
      <c r="A423" s="48"/>
      <c r="B423" s="48"/>
      <c r="C423" s="77"/>
      <c r="D423" s="48"/>
      <c r="E423" s="48"/>
      <c r="F423" s="48"/>
      <c r="G423" s="48"/>
      <c r="H423" s="77"/>
      <c r="I423" s="48"/>
      <c r="J423" s="48"/>
      <c r="K423" s="48"/>
      <c r="L423" s="48"/>
      <c r="M423" s="48"/>
      <c r="N423" s="77"/>
      <c r="O423" s="78"/>
      <c r="P423" s="77"/>
      <c r="Q423" s="78"/>
      <c r="R423" s="78"/>
      <c r="S423" s="77"/>
      <c r="T423" s="48"/>
      <c r="U423" s="48"/>
      <c r="V423" s="48"/>
      <c r="W423" s="48"/>
      <c r="X423" s="77"/>
      <c r="Y423" s="48"/>
      <c r="Z423" s="48"/>
      <c r="AA423" s="48"/>
      <c r="AB423" s="77"/>
      <c r="AC423" s="48"/>
      <c r="AD423" s="77"/>
      <c r="AE423" s="48"/>
      <c r="AF423" s="77"/>
      <c r="AG423" s="48"/>
      <c r="AH423" s="77"/>
      <c r="AI423" s="48"/>
      <c r="AJ423" s="77"/>
      <c r="AK423" s="48"/>
    </row>
    <row r="424" ht="18.0" customHeight="1">
      <c r="A424" s="48"/>
      <c r="B424" s="48"/>
      <c r="C424" s="77"/>
      <c r="D424" s="48"/>
      <c r="E424" s="48"/>
      <c r="F424" s="48"/>
      <c r="G424" s="48"/>
      <c r="H424" s="77"/>
      <c r="I424" s="48"/>
      <c r="J424" s="48"/>
      <c r="K424" s="48"/>
      <c r="L424" s="48"/>
      <c r="M424" s="48"/>
      <c r="N424" s="77"/>
      <c r="O424" s="78"/>
      <c r="P424" s="77"/>
      <c r="Q424" s="78"/>
      <c r="R424" s="78"/>
      <c r="S424" s="77"/>
      <c r="T424" s="48"/>
      <c r="U424" s="48"/>
      <c r="V424" s="48"/>
      <c r="W424" s="48"/>
      <c r="X424" s="77"/>
      <c r="Y424" s="48"/>
      <c r="Z424" s="48"/>
      <c r="AA424" s="48"/>
      <c r="AB424" s="77"/>
      <c r="AC424" s="48"/>
      <c r="AD424" s="77"/>
      <c r="AE424" s="48"/>
      <c r="AF424" s="77"/>
      <c r="AG424" s="48"/>
      <c r="AH424" s="77"/>
      <c r="AI424" s="48"/>
      <c r="AJ424" s="77"/>
      <c r="AK424" s="48"/>
    </row>
    <row r="425" ht="18.0" customHeight="1">
      <c r="A425" s="48"/>
      <c r="B425" s="48"/>
      <c r="C425" s="77"/>
      <c r="D425" s="48"/>
      <c r="E425" s="48"/>
      <c r="F425" s="48"/>
      <c r="G425" s="48"/>
      <c r="H425" s="77"/>
      <c r="I425" s="48"/>
      <c r="J425" s="48"/>
      <c r="K425" s="48"/>
      <c r="L425" s="48"/>
      <c r="M425" s="48"/>
      <c r="N425" s="77"/>
      <c r="O425" s="78"/>
      <c r="P425" s="77"/>
      <c r="Q425" s="78"/>
      <c r="R425" s="78"/>
      <c r="S425" s="77"/>
      <c r="T425" s="48"/>
      <c r="U425" s="48"/>
      <c r="V425" s="48"/>
      <c r="W425" s="48"/>
      <c r="X425" s="77"/>
      <c r="Y425" s="48"/>
      <c r="Z425" s="48"/>
      <c r="AA425" s="48"/>
      <c r="AB425" s="77"/>
      <c r="AC425" s="48"/>
      <c r="AD425" s="77"/>
      <c r="AE425" s="48"/>
      <c r="AF425" s="77"/>
      <c r="AG425" s="48"/>
      <c r="AH425" s="77"/>
      <c r="AI425" s="48"/>
      <c r="AJ425" s="77"/>
      <c r="AK425" s="48"/>
    </row>
    <row r="426" ht="18.0" customHeight="1">
      <c r="A426" s="48"/>
      <c r="B426" s="48"/>
      <c r="C426" s="77"/>
      <c r="D426" s="48"/>
      <c r="E426" s="48"/>
      <c r="F426" s="48"/>
      <c r="G426" s="48"/>
      <c r="H426" s="77"/>
      <c r="I426" s="48"/>
      <c r="J426" s="48"/>
      <c r="K426" s="48"/>
      <c r="L426" s="48"/>
      <c r="M426" s="48"/>
      <c r="N426" s="77"/>
      <c r="O426" s="78"/>
      <c r="P426" s="77"/>
      <c r="Q426" s="78"/>
      <c r="R426" s="78"/>
      <c r="S426" s="77"/>
      <c r="T426" s="48"/>
      <c r="U426" s="48"/>
      <c r="V426" s="48"/>
      <c r="W426" s="48"/>
      <c r="X426" s="77"/>
      <c r="Y426" s="48"/>
      <c r="Z426" s="48"/>
      <c r="AA426" s="48"/>
      <c r="AB426" s="77"/>
      <c r="AC426" s="48"/>
      <c r="AD426" s="77"/>
      <c r="AE426" s="48"/>
      <c r="AF426" s="77"/>
      <c r="AG426" s="48"/>
      <c r="AH426" s="77"/>
      <c r="AI426" s="48"/>
      <c r="AJ426" s="77"/>
      <c r="AK426" s="48"/>
    </row>
    <row r="427" ht="18.0" customHeight="1">
      <c r="A427" s="48"/>
      <c r="B427" s="48"/>
      <c r="C427" s="77"/>
      <c r="D427" s="48"/>
      <c r="E427" s="48"/>
      <c r="F427" s="48"/>
      <c r="G427" s="48"/>
      <c r="H427" s="77"/>
      <c r="I427" s="48"/>
      <c r="J427" s="48"/>
      <c r="K427" s="48"/>
      <c r="L427" s="48"/>
      <c r="M427" s="48"/>
      <c r="N427" s="77"/>
      <c r="O427" s="78"/>
      <c r="P427" s="77"/>
      <c r="Q427" s="78"/>
      <c r="R427" s="78"/>
      <c r="S427" s="77"/>
      <c r="T427" s="48"/>
      <c r="U427" s="48"/>
      <c r="V427" s="48"/>
      <c r="W427" s="48"/>
      <c r="X427" s="77"/>
      <c r="Y427" s="48"/>
      <c r="Z427" s="48"/>
      <c r="AA427" s="48"/>
      <c r="AB427" s="77"/>
      <c r="AC427" s="48"/>
      <c r="AD427" s="77"/>
      <c r="AE427" s="48"/>
      <c r="AF427" s="77"/>
      <c r="AG427" s="48"/>
      <c r="AH427" s="77"/>
      <c r="AI427" s="48"/>
      <c r="AJ427" s="77"/>
      <c r="AK427" s="48"/>
    </row>
    <row r="428" ht="18.0" customHeight="1">
      <c r="A428" s="48"/>
      <c r="B428" s="48"/>
      <c r="C428" s="77"/>
      <c r="D428" s="48"/>
      <c r="E428" s="48"/>
      <c r="F428" s="48"/>
      <c r="G428" s="48"/>
      <c r="H428" s="77"/>
      <c r="I428" s="48"/>
      <c r="J428" s="48"/>
      <c r="K428" s="48"/>
      <c r="L428" s="48"/>
      <c r="M428" s="48"/>
      <c r="N428" s="77"/>
      <c r="O428" s="78"/>
      <c r="P428" s="77"/>
      <c r="Q428" s="78"/>
      <c r="R428" s="78"/>
      <c r="S428" s="77"/>
      <c r="T428" s="48"/>
      <c r="U428" s="48"/>
      <c r="V428" s="48"/>
      <c r="W428" s="48"/>
      <c r="X428" s="77"/>
      <c r="Y428" s="48"/>
      <c r="Z428" s="48"/>
      <c r="AA428" s="48"/>
      <c r="AB428" s="77"/>
      <c r="AC428" s="48"/>
      <c r="AD428" s="77"/>
      <c r="AE428" s="48"/>
      <c r="AF428" s="77"/>
      <c r="AG428" s="48"/>
      <c r="AH428" s="77"/>
      <c r="AI428" s="48"/>
      <c r="AJ428" s="77"/>
      <c r="AK428" s="48"/>
    </row>
    <row r="429" ht="18.0" customHeight="1">
      <c r="A429" s="48"/>
      <c r="B429" s="48"/>
      <c r="C429" s="77"/>
      <c r="D429" s="48"/>
      <c r="E429" s="48"/>
      <c r="F429" s="48"/>
      <c r="G429" s="48"/>
      <c r="H429" s="77"/>
      <c r="I429" s="48"/>
      <c r="J429" s="48"/>
      <c r="K429" s="48"/>
      <c r="L429" s="48"/>
      <c r="M429" s="48"/>
      <c r="N429" s="77"/>
      <c r="O429" s="78"/>
      <c r="P429" s="77"/>
      <c r="Q429" s="78"/>
      <c r="R429" s="78"/>
      <c r="S429" s="77"/>
      <c r="T429" s="48"/>
      <c r="U429" s="48"/>
      <c r="V429" s="48"/>
      <c r="W429" s="48"/>
      <c r="X429" s="77"/>
      <c r="Y429" s="48"/>
      <c r="Z429" s="48"/>
      <c r="AA429" s="48"/>
      <c r="AB429" s="77"/>
      <c r="AC429" s="48"/>
      <c r="AD429" s="77"/>
      <c r="AE429" s="48"/>
      <c r="AF429" s="77"/>
      <c r="AG429" s="48"/>
      <c r="AH429" s="77"/>
      <c r="AI429" s="48"/>
      <c r="AJ429" s="77"/>
      <c r="AK429" s="48"/>
    </row>
    <row r="430" ht="18.0" customHeight="1">
      <c r="A430" s="48"/>
      <c r="B430" s="48"/>
      <c r="C430" s="77"/>
      <c r="D430" s="48"/>
      <c r="E430" s="48"/>
      <c r="F430" s="48"/>
      <c r="G430" s="48"/>
      <c r="H430" s="77"/>
      <c r="I430" s="48"/>
      <c r="J430" s="48"/>
      <c r="K430" s="48"/>
      <c r="L430" s="48"/>
      <c r="M430" s="48"/>
      <c r="N430" s="77"/>
      <c r="O430" s="78"/>
      <c r="P430" s="77"/>
      <c r="Q430" s="78"/>
      <c r="R430" s="78"/>
      <c r="S430" s="77"/>
      <c r="T430" s="48"/>
      <c r="U430" s="48"/>
      <c r="V430" s="48"/>
      <c r="W430" s="48"/>
      <c r="X430" s="77"/>
      <c r="Y430" s="48"/>
      <c r="Z430" s="48"/>
      <c r="AA430" s="48"/>
      <c r="AB430" s="77"/>
      <c r="AC430" s="48"/>
      <c r="AD430" s="77"/>
      <c r="AE430" s="48"/>
      <c r="AF430" s="77"/>
      <c r="AG430" s="48"/>
      <c r="AH430" s="77"/>
      <c r="AI430" s="48"/>
      <c r="AJ430" s="77"/>
      <c r="AK430" s="48"/>
    </row>
    <row r="431" ht="18.0" customHeight="1">
      <c r="A431" s="48"/>
      <c r="B431" s="48"/>
      <c r="C431" s="77"/>
      <c r="D431" s="48"/>
      <c r="E431" s="48"/>
      <c r="F431" s="48"/>
      <c r="G431" s="48"/>
      <c r="H431" s="77"/>
      <c r="I431" s="48"/>
      <c r="J431" s="48"/>
      <c r="K431" s="48"/>
      <c r="L431" s="48"/>
      <c r="M431" s="48"/>
      <c r="N431" s="77"/>
      <c r="O431" s="78"/>
      <c r="P431" s="77"/>
      <c r="Q431" s="78"/>
      <c r="R431" s="78"/>
      <c r="S431" s="77"/>
      <c r="T431" s="48"/>
      <c r="U431" s="48"/>
      <c r="V431" s="48"/>
      <c r="W431" s="48"/>
      <c r="X431" s="77"/>
      <c r="Y431" s="48"/>
      <c r="Z431" s="48"/>
      <c r="AA431" s="48"/>
      <c r="AB431" s="77"/>
      <c r="AC431" s="48"/>
      <c r="AD431" s="77"/>
      <c r="AE431" s="48"/>
      <c r="AF431" s="77"/>
      <c r="AG431" s="48"/>
      <c r="AH431" s="77"/>
      <c r="AI431" s="48"/>
      <c r="AJ431" s="77"/>
      <c r="AK431" s="48"/>
    </row>
    <row r="432" ht="18.0" customHeight="1">
      <c r="A432" s="48"/>
      <c r="B432" s="48"/>
      <c r="C432" s="77"/>
      <c r="D432" s="48"/>
      <c r="E432" s="48"/>
      <c r="F432" s="48"/>
      <c r="G432" s="48"/>
      <c r="H432" s="77"/>
      <c r="I432" s="48"/>
      <c r="J432" s="48"/>
      <c r="K432" s="48"/>
      <c r="L432" s="48"/>
      <c r="M432" s="48"/>
      <c r="N432" s="77"/>
      <c r="O432" s="78"/>
      <c r="P432" s="77"/>
      <c r="Q432" s="78"/>
      <c r="R432" s="78"/>
      <c r="S432" s="77"/>
      <c r="T432" s="48"/>
      <c r="U432" s="48"/>
      <c r="V432" s="48"/>
      <c r="W432" s="48"/>
      <c r="X432" s="77"/>
      <c r="Y432" s="48"/>
      <c r="Z432" s="48"/>
      <c r="AA432" s="48"/>
      <c r="AB432" s="77"/>
      <c r="AC432" s="48"/>
      <c r="AD432" s="77"/>
      <c r="AE432" s="48"/>
      <c r="AF432" s="77"/>
      <c r="AG432" s="48"/>
      <c r="AH432" s="77"/>
      <c r="AI432" s="48"/>
      <c r="AJ432" s="77"/>
      <c r="AK432" s="48"/>
    </row>
    <row r="433" ht="18.0" customHeight="1">
      <c r="A433" s="48"/>
      <c r="B433" s="48"/>
      <c r="C433" s="77"/>
      <c r="D433" s="48"/>
      <c r="E433" s="48"/>
      <c r="F433" s="48"/>
      <c r="G433" s="48"/>
      <c r="H433" s="77"/>
      <c r="I433" s="48"/>
      <c r="J433" s="48"/>
      <c r="K433" s="48"/>
      <c r="L433" s="48"/>
      <c r="M433" s="48"/>
      <c r="N433" s="77"/>
      <c r="O433" s="78"/>
      <c r="P433" s="77"/>
      <c r="Q433" s="78"/>
      <c r="R433" s="78"/>
      <c r="S433" s="77"/>
      <c r="T433" s="48"/>
      <c r="U433" s="48"/>
      <c r="V433" s="48"/>
      <c r="W433" s="48"/>
      <c r="X433" s="77"/>
      <c r="Y433" s="48"/>
      <c r="Z433" s="48"/>
      <c r="AA433" s="48"/>
      <c r="AB433" s="77"/>
      <c r="AC433" s="48"/>
      <c r="AD433" s="77"/>
      <c r="AE433" s="48"/>
      <c r="AF433" s="77"/>
      <c r="AG433" s="48"/>
      <c r="AH433" s="77"/>
      <c r="AI433" s="48"/>
      <c r="AJ433" s="77"/>
      <c r="AK433" s="48"/>
    </row>
    <row r="434" ht="18.0" customHeight="1">
      <c r="A434" s="48"/>
      <c r="B434" s="48"/>
      <c r="C434" s="77"/>
      <c r="D434" s="48"/>
      <c r="E434" s="48"/>
      <c r="F434" s="48"/>
      <c r="G434" s="48"/>
      <c r="H434" s="77"/>
      <c r="I434" s="48"/>
      <c r="J434" s="48"/>
      <c r="K434" s="48"/>
      <c r="L434" s="48"/>
      <c r="M434" s="48"/>
      <c r="N434" s="77"/>
      <c r="O434" s="78"/>
      <c r="P434" s="77"/>
      <c r="Q434" s="78"/>
      <c r="R434" s="78"/>
      <c r="S434" s="77"/>
      <c r="T434" s="48"/>
      <c r="U434" s="48"/>
      <c r="V434" s="48"/>
      <c r="W434" s="48"/>
      <c r="X434" s="77"/>
      <c r="Y434" s="48"/>
      <c r="Z434" s="48"/>
      <c r="AA434" s="48"/>
      <c r="AB434" s="77"/>
      <c r="AC434" s="48"/>
      <c r="AD434" s="77"/>
      <c r="AE434" s="48"/>
      <c r="AF434" s="77"/>
      <c r="AG434" s="48"/>
      <c r="AH434" s="77"/>
      <c r="AI434" s="48"/>
      <c r="AJ434" s="77"/>
      <c r="AK434" s="48"/>
    </row>
    <row r="435" ht="18.0" customHeight="1">
      <c r="A435" s="48"/>
      <c r="B435" s="48"/>
      <c r="C435" s="77"/>
      <c r="D435" s="48"/>
      <c r="E435" s="48"/>
      <c r="F435" s="48"/>
      <c r="G435" s="48"/>
      <c r="H435" s="77"/>
      <c r="I435" s="48"/>
      <c r="J435" s="48"/>
      <c r="K435" s="48"/>
      <c r="L435" s="48"/>
      <c r="M435" s="48"/>
      <c r="N435" s="77"/>
      <c r="O435" s="78"/>
      <c r="P435" s="77"/>
      <c r="Q435" s="78"/>
      <c r="R435" s="78"/>
      <c r="S435" s="77"/>
      <c r="T435" s="48"/>
      <c r="U435" s="48"/>
      <c r="V435" s="48"/>
      <c r="W435" s="48"/>
      <c r="X435" s="77"/>
      <c r="Y435" s="48"/>
      <c r="Z435" s="48"/>
      <c r="AA435" s="48"/>
      <c r="AB435" s="77"/>
      <c r="AC435" s="48"/>
      <c r="AD435" s="77"/>
      <c r="AE435" s="48"/>
      <c r="AF435" s="77"/>
      <c r="AG435" s="48"/>
      <c r="AH435" s="77"/>
      <c r="AI435" s="48"/>
      <c r="AJ435" s="77"/>
      <c r="AK435" s="48"/>
    </row>
    <row r="436" ht="18.0" customHeight="1">
      <c r="A436" s="48"/>
      <c r="B436" s="48"/>
      <c r="C436" s="77"/>
      <c r="D436" s="48"/>
      <c r="E436" s="48"/>
      <c r="F436" s="48"/>
      <c r="G436" s="48"/>
      <c r="H436" s="77"/>
      <c r="I436" s="48"/>
      <c r="J436" s="48"/>
      <c r="K436" s="48"/>
      <c r="L436" s="48"/>
      <c r="M436" s="48"/>
      <c r="N436" s="77"/>
      <c r="O436" s="78"/>
      <c r="P436" s="77"/>
      <c r="Q436" s="78"/>
      <c r="R436" s="78"/>
      <c r="S436" s="77"/>
      <c r="T436" s="48"/>
      <c r="U436" s="48"/>
      <c r="V436" s="48"/>
      <c r="W436" s="48"/>
      <c r="X436" s="77"/>
      <c r="Y436" s="48"/>
      <c r="Z436" s="48"/>
      <c r="AA436" s="48"/>
      <c r="AB436" s="77"/>
      <c r="AC436" s="48"/>
      <c r="AD436" s="77"/>
      <c r="AE436" s="48"/>
      <c r="AF436" s="77"/>
      <c r="AG436" s="48"/>
      <c r="AH436" s="77"/>
      <c r="AI436" s="48"/>
      <c r="AJ436" s="77"/>
      <c r="AK436" s="48"/>
    </row>
    <row r="437" ht="18.0" customHeight="1">
      <c r="A437" s="48"/>
      <c r="B437" s="48"/>
      <c r="C437" s="77"/>
      <c r="D437" s="48"/>
      <c r="E437" s="48"/>
      <c r="F437" s="48"/>
      <c r="G437" s="48"/>
      <c r="H437" s="77"/>
      <c r="I437" s="48"/>
      <c r="J437" s="48"/>
      <c r="K437" s="48"/>
      <c r="L437" s="48"/>
      <c r="M437" s="48"/>
      <c r="N437" s="77"/>
      <c r="O437" s="78"/>
      <c r="P437" s="77"/>
      <c r="Q437" s="78"/>
      <c r="R437" s="78"/>
      <c r="S437" s="77"/>
      <c r="T437" s="48"/>
      <c r="U437" s="48"/>
      <c r="V437" s="48"/>
      <c r="W437" s="48"/>
      <c r="X437" s="77"/>
      <c r="Y437" s="48"/>
      <c r="Z437" s="48"/>
      <c r="AA437" s="48"/>
      <c r="AB437" s="77"/>
      <c r="AC437" s="48"/>
      <c r="AD437" s="77"/>
      <c r="AE437" s="48"/>
      <c r="AF437" s="77"/>
      <c r="AG437" s="48"/>
      <c r="AH437" s="77"/>
      <c r="AI437" s="48"/>
      <c r="AJ437" s="77"/>
      <c r="AK437" s="48"/>
    </row>
    <row r="438" ht="18.0" customHeight="1">
      <c r="A438" s="48"/>
      <c r="B438" s="48"/>
      <c r="C438" s="77"/>
      <c r="D438" s="48"/>
      <c r="E438" s="48"/>
      <c r="F438" s="48"/>
      <c r="G438" s="48"/>
      <c r="H438" s="77"/>
      <c r="I438" s="48"/>
      <c r="J438" s="48"/>
      <c r="K438" s="48"/>
      <c r="L438" s="48"/>
      <c r="M438" s="48"/>
      <c r="N438" s="77"/>
      <c r="O438" s="78"/>
      <c r="P438" s="77"/>
      <c r="Q438" s="78"/>
      <c r="R438" s="78"/>
      <c r="S438" s="77"/>
      <c r="T438" s="48"/>
      <c r="U438" s="48"/>
      <c r="V438" s="48"/>
      <c r="W438" s="48"/>
      <c r="X438" s="77"/>
      <c r="Y438" s="48"/>
      <c r="Z438" s="48"/>
      <c r="AA438" s="48"/>
      <c r="AB438" s="77"/>
      <c r="AC438" s="48"/>
      <c r="AD438" s="77"/>
      <c r="AE438" s="48"/>
      <c r="AF438" s="77"/>
      <c r="AG438" s="48"/>
      <c r="AH438" s="77"/>
      <c r="AI438" s="48"/>
      <c r="AJ438" s="77"/>
      <c r="AK438" s="48"/>
    </row>
    <row r="439" ht="18.0" customHeight="1">
      <c r="A439" s="48"/>
      <c r="B439" s="48"/>
      <c r="C439" s="77"/>
      <c r="D439" s="48"/>
      <c r="E439" s="48"/>
      <c r="F439" s="48"/>
      <c r="G439" s="48"/>
      <c r="H439" s="77"/>
      <c r="I439" s="48"/>
      <c r="J439" s="48"/>
      <c r="K439" s="48"/>
      <c r="L439" s="48"/>
      <c r="M439" s="48"/>
      <c r="N439" s="77"/>
      <c r="O439" s="78"/>
      <c r="P439" s="77"/>
      <c r="Q439" s="78"/>
      <c r="R439" s="78"/>
      <c r="S439" s="77"/>
      <c r="T439" s="48"/>
      <c r="U439" s="48"/>
      <c r="V439" s="48"/>
      <c r="W439" s="48"/>
      <c r="X439" s="77"/>
      <c r="Y439" s="48"/>
      <c r="Z439" s="48"/>
      <c r="AA439" s="48"/>
      <c r="AB439" s="77"/>
      <c r="AC439" s="48"/>
      <c r="AD439" s="77"/>
      <c r="AE439" s="48"/>
      <c r="AF439" s="77"/>
      <c r="AG439" s="48"/>
      <c r="AH439" s="77"/>
      <c r="AI439" s="48"/>
      <c r="AJ439" s="77"/>
      <c r="AK439" s="48"/>
    </row>
    <row r="440" ht="18.0" customHeight="1">
      <c r="A440" s="48"/>
      <c r="B440" s="48"/>
      <c r="C440" s="77"/>
      <c r="D440" s="48"/>
      <c r="E440" s="48"/>
      <c r="F440" s="48"/>
      <c r="G440" s="48"/>
      <c r="H440" s="77"/>
      <c r="I440" s="48"/>
      <c r="J440" s="48"/>
      <c r="K440" s="48"/>
      <c r="L440" s="48"/>
      <c r="M440" s="48"/>
      <c r="N440" s="77"/>
      <c r="O440" s="78"/>
      <c r="P440" s="77"/>
      <c r="Q440" s="78"/>
      <c r="R440" s="78"/>
      <c r="S440" s="77"/>
      <c r="T440" s="48"/>
      <c r="U440" s="48"/>
      <c r="V440" s="48"/>
      <c r="W440" s="48"/>
      <c r="X440" s="77"/>
      <c r="Y440" s="48"/>
      <c r="Z440" s="48"/>
      <c r="AA440" s="48"/>
      <c r="AB440" s="77"/>
      <c r="AC440" s="48"/>
      <c r="AD440" s="77"/>
      <c r="AE440" s="48"/>
      <c r="AF440" s="77"/>
      <c r="AG440" s="48"/>
      <c r="AH440" s="77"/>
      <c r="AI440" s="48"/>
      <c r="AJ440" s="77"/>
      <c r="AK440" s="48"/>
    </row>
    <row r="441" ht="18.0" customHeight="1">
      <c r="A441" s="48"/>
      <c r="B441" s="48"/>
      <c r="C441" s="77"/>
      <c r="D441" s="48"/>
      <c r="E441" s="48"/>
      <c r="F441" s="48"/>
      <c r="G441" s="48"/>
      <c r="H441" s="77"/>
      <c r="I441" s="48"/>
      <c r="J441" s="48"/>
      <c r="K441" s="48"/>
      <c r="L441" s="48"/>
      <c r="M441" s="48"/>
      <c r="N441" s="77"/>
      <c r="O441" s="78"/>
      <c r="P441" s="77"/>
      <c r="Q441" s="78"/>
      <c r="R441" s="78"/>
      <c r="S441" s="77"/>
      <c r="T441" s="48"/>
      <c r="U441" s="48"/>
      <c r="V441" s="48"/>
      <c r="W441" s="48"/>
      <c r="X441" s="77"/>
      <c r="Y441" s="48"/>
      <c r="Z441" s="48"/>
      <c r="AA441" s="48"/>
      <c r="AB441" s="77"/>
      <c r="AC441" s="48"/>
      <c r="AD441" s="77"/>
      <c r="AE441" s="48"/>
      <c r="AF441" s="77"/>
      <c r="AG441" s="48"/>
      <c r="AH441" s="77"/>
      <c r="AI441" s="48"/>
      <c r="AJ441" s="77"/>
      <c r="AK441" s="48"/>
    </row>
    <row r="442" ht="18.0" customHeight="1">
      <c r="A442" s="48"/>
      <c r="B442" s="48"/>
      <c r="C442" s="77"/>
      <c r="D442" s="48"/>
      <c r="E442" s="48"/>
      <c r="F442" s="48"/>
      <c r="G442" s="48"/>
      <c r="H442" s="77"/>
      <c r="I442" s="48"/>
      <c r="J442" s="48"/>
      <c r="K442" s="48"/>
      <c r="L442" s="48"/>
      <c r="M442" s="48"/>
      <c r="N442" s="77"/>
      <c r="O442" s="78"/>
      <c r="P442" s="77"/>
      <c r="Q442" s="78"/>
      <c r="R442" s="78"/>
      <c r="S442" s="77"/>
      <c r="T442" s="48"/>
      <c r="U442" s="48"/>
      <c r="V442" s="48"/>
      <c r="W442" s="48"/>
      <c r="X442" s="77"/>
      <c r="Y442" s="48"/>
      <c r="Z442" s="48"/>
      <c r="AA442" s="48"/>
      <c r="AB442" s="77"/>
      <c r="AC442" s="48"/>
      <c r="AD442" s="77"/>
      <c r="AE442" s="48"/>
      <c r="AF442" s="77"/>
      <c r="AG442" s="48"/>
      <c r="AH442" s="77"/>
      <c r="AI442" s="48"/>
      <c r="AJ442" s="77"/>
      <c r="AK442" s="48"/>
    </row>
    <row r="443" ht="18.0" customHeight="1">
      <c r="A443" s="48"/>
      <c r="B443" s="48"/>
      <c r="C443" s="77"/>
      <c r="D443" s="48"/>
      <c r="E443" s="48"/>
      <c r="F443" s="48"/>
      <c r="G443" s="48"/>
      <c r="H443" s="77"/>
      <c r="I443" s="48"/>
      <c r="J443" s="48"/>
      <c r="K443" s="48"/>
      <c r="L443" s="48"/>
      <c r="M443" s="48"/>
      <c r="N443" s="77"/>
      <c r="O443" s="78"/>
      <c r="P443" s="77"/>
      <c r="Q443" s="78"/>
      <c r="R443" s="78"/>
      <c r="S443" s="77"/>
      <c r="T443" s="48"/>
      <c r="U443" s="48"/>
      <c r="V443" s="48"/>
      <c r="W443" s="48"/>
      <c r="X443" s="77"/>
      <c r="Y443" s="48"/>
      <c r="Z443" s="48"/>
      <c r="AA443" s="48"/>
      <c r="AB443" s="77"/>
      <c r="AC443" s="48"/>
      <c r="AD443" s="77"/>
      <c r="AE443" s="48"/>
      <c r="AF443" s="77"/>
      <c r="AG443" s="48"/>
      <c r="AH443" s="77"/>
      <c r="AI443" s="48"/>
      <c r="AJ443" s="77"/>
      <c r="AK443" s="48"/>
    </row>
    <row r="444" ht="18.0" customHeight="1">
      <c r="A444" s="48"/>
      <c r="B444" s="48"/>
      <c r="C444" s="77"/>
      <c r="D444" s="48"/>
      <c r="E444" s="48"/>
      <c r="F444" s="48"/>
      <c r="G444" s="48"/>
      <c r="H444" s="77"/>
      <c r="I444" s="48"/>
      <c r="J444" s="48"/>
      <c r="K444" s="48"/>
      <c r="L444" s="48"/>
      <c r="M444" s="48"/>
      <c r="N444" s="77"/>
      <c r="O444" s="78"/>
      <c r="P444" s="77"/>
      <c r="Q444" s="78"/>
      <c r="R444" s="78"/>
      <c r="S444" s="77"/>
      <c r="T444" s="48"/>
      <c r="U444" s="48"/>
      <c r="V444" s="48"/>
      <c r="W444" s="48"/>
      <c r="X444" s="77"/>
      <c r="Y444" s="48"/>
      <c r="Z444" s="48"/>
      <c r="AA444" s="48"/>
      <c r="AB444" s="77"/>
      <c r="AC444" s="48"/>
      <c r="AD444" s="77"/>
      <c r="AE444" s="48"/>
      <c r="AF444" s="77"/>
      <c r="AG444" s="48"/>
      <c r="AH444" s="77"/>
      <c r="AI444" s="48"/>
      <c r="AJ444" s="77"/>
      <c r="AK444" s="48"/>
    </row>
    <row r="445" ht="18.0" customHeight="1">
      <c r="A445" s="48"/>
      <c r="B445" s="48"/>
      <c r="C445" s="77"/>
      <c r="D445" s="48"/>
      <c r="E445" s="48"/>
      <c r="F445" s="48"/>
      <c r="G445" s="48"/>
      <c r="H445" s="77"/>
      <c r="I445" s="48"/>
      <c r="J445" s="48"/>
      <c r="K445" s="48"/>
      <c r="L445" s="48"/>
      <c r="M445" s="48"/>
      <c r="N445" s="77"/>
      <c r="O445" s="78"/>
      <c r="P445" s="77"/>
      <c r="Q445" s="78"/>
      <c r="R445" s="78"/>
      <c r="S445" s="77"/>
      <c r="T445" s="48"/>
      <c r="U445" s="48"/>
      <c r="V445" s="48"/>
      <c r="W445" s="48"/>
      <c r="X445" s="77"/>
      <c r="Y445" s="48"/>
      <c r="Z445" s="48"/>
      <c r="AA445" s="48"/>
      <c r="AB445" s="77"/>
      <c r="AC445" s="48"/>
      <c r="AD445" s="77"/>
      <c r="AE445" s="48"/>
      <c r="AF445" s="77"/>
      <c r="AG445" s="48"/>
      <c r="AH445" s="77"/>
      <c r="AI445" s="48"/>
      <c r="AJ445" s="77"/>
      <c r="AK445" s="48"/>
    </row>
    <row r="446" ht="18.0" customHeight="1">
      <c r="A446" s="48"/>
      <c r="B446" s="48"/>
      <c r="C446" s="77"/>
      <c r="D446" s="48"/>
      <c r="E446" s="48"/>
      <c r="F446" s="48"/>
      <c r="G446" s="48"/>
      <c r="H446" s="77"/>
      <c r="I446" s="48"/>
      <c r="J446" s="48"/>
      <c r="K446" s="48"/>
      <c r="L446" s="48"/>
      <c r="M446" s="48"/>
      <c r="N446" s="77"/>
      <c r="O446" s="78"/>
      <c r="P446" s="77"/>
      <c r="Q446" s="78"/>
      <c r="R446" s="78"/>
      <c r="S446" s="77"/>
      <c r="T446" s="48"/>
      <c r="U446" s="48"/>
      <c r="V446" s="48"/>
      <c r="W446" s="48"/>
      <c r="X446" s="77"/>
      <c r="Y446" s="48"/>
      <c r="Z446" s="48"/>
      <c r="AA446" s="48"/>
      <c r="AB446" s="77"/>
      <c r="AC446" s="48"/>
      <c r="AD446" s="77"/>
      <c r="AE446" s="48"/>
      <c r="AF446" s="77"/>
      <c r="AG446" s="48"/>
      <c r="AH446" s="77"/>
      <c r="AI446" s="48"/>
      <c r="AJ446" s="77"/>
      <c r="AK446" s="48"/>
    </row>
    <row r="447" ht="18.0" customHeight="1">
      <c r="A447" s="48"/>
      <c r="B447" s="48"/>
      <c r="C447" s="77"/>
      <c r="D447" s="48"/>
      <c r="E447" s="48"/>
      <c r="F447" s="48"/>
      <c r="G447" s="48"/>
      <c r="H447" s="77"/>
      <c r="I447" s="48"/>
      <c r="J447" s="48"/>
      <c r="K447" s="48"/>
      <c r="L447" s="48"/>
      <c r="M447" s="48"/>
      <c r="N447" s="77"/>
      <c r="O447" s="78"/>
      <c r="P447" s="77"/>
      <c r="Q447" s="78"/>
      <c r="R447" s="78"/>
      <c r="S447" s="77"/>
      <c r="T447" s="48"/>
      <c r="U447" s="48"/>
      <c r="V447" s="48"/>
      <c r="W447" s="48"/>
      <c r="X447" s="77"/>
      <c r="Y447" s="48"/>
      <c r="Z447" s="48"/>
      <c r="AA447" s="48"/>
      <c r="AB447" s="77"/>
      <c r="AC447" s="48"/>
      <c r="AD447" s="77"/>
      <c r="AE447" s="48"/>
      <c r="AF447" s="77"/>
      <c r="AG447" s="48"/>
      <c r="AH447" s="77"/>
      <c r="AI447" s="48"/>
      <c r="AJ447" s="77"/>
      <c r="AK447" s="48"/>
    </row>
    <row r="448" ht="18.0" customHeight="1">
      <c r="A448" s="48"/>
      <c r="B448" s="48"/>
      <c r="C448" s="77"/>
      <c r="D448" s="48"/>
      <c r="E448" s="48"/>
      <c r="F448" s="48"/>
      <c r="G448" s="48"/>
      <c r="H448" s="77"/>
      <c r="I448" s="48"/>
      <c r="J448" s="48"/>
      <c r="K448" s="48"/>
      <c r="L448" s="48"/>
      <c r="M448" s="48"/>
      <c r="N448" s="77"/>
      <c r="O448" s="78"/>
      <c r="P448" s="77"/>
      <c r="Q448" s="78"/>
      <c r="R448" s="78"/>
      <c r="S448" s="77"/>
      <c r="T448" s="48"/>
      <c r="U448" s="48"/>
      <c r="V448" s="48"/>
      <c r="W448" s="48"/>
      <c r="X448" s="77"/>
      <c r="Y448" s="48"/>
      <c r="Z448" s="48"/>
      <c r="AA448" s="48"/>
      <c r="AB448" s="77"/>
      <c r="AC448" s="48"/>
      <c r="AD448" s="77"/>
      <c r="AE448" s="48"/>
      <c r="AF448" s="77"/>
      <c r="AG448" s="48"/>
      <c r="AH448" s="77"/>
      <c r="AI448" s="48"/>
      <c r="AJ448" s="77"/>
      <c r="AK448" s="48"/>
    </row>
    <row r="449" ht="18.0" customHeight="1">
      <c r="A449" s="48"/>
      <c r="B449" s="48"/>
      <c r="C449" s="77"/>
      <c r="D449" s="48"/>
      <c r="E449" s="48"/>
      <c r="F449" s="48"/>
      <c r="G449" s="48"/>
      <c r="H449" s="77"/>
      <c r="I449" s="48"/>
      <c r="J449" s="48"/>
      <c r="K449" s="48"/>
      <c r="L449" s="48"/>
      <c r="M449" s="48"/>
      <c r="N449" s="77"/>
      <c r="O449" s="78"/>
      <c r="P449" s="77"/>
      <c r="Q449" s="78"/>
      <c r="R449" s="78"/>
      <c r="S449" s="77"/>
      <c r="T449" s="48"/>
      <c r="U449" s="48"/>
      <c r="V449" s="48"/>
      <c r="W449" s="48"/>
      <c r="X449" s="77"/>
      <c r="Y449" s="48"/>
      <c r="Z449" s="48"/>
      <c r="AA449" s="48"/>
      <c r="AB449" s="77"/>
      <c r="AC449" s="48"/>
      <c r="AD449" s="77"/>
      <c r="AE449" s="48"/>
      <c r="AF449" s="77"/>
      <c r="AG449" s="48"/>
      <c r="AH449" s="77"/>
      <c r="AI449" s="48"/>
      <c r="AJ449" s="77"/>
      <c r="AK449" s="48"/>
    </row>
    <row r="450" ht="18.0" customHeight="1">
      <c r="A450" s="48"/>
      <c r="B450" s="48"/>
      <c r="C450" s="77"/>
      <c r="D450" s="48"/>
      <c r="E450" s="48"/>
      <c r="F450" s="48"/>
      <c r="G450" s="48"/>
      <c r="H450" s="77"/>
      <c r="I450" s="48"/>
      <c r="J450" s="48"/>
      <c r="K450" s="48"/>
      <c r="L450" s="48"/>
      <c r="M450" s="48"/>
      <c r="N450" s="77"/>
      <c r="O450" s="78"/>
      <c r="P450" s="77"/>
      <c r="Q450" s="78"/>
      <c r="R450" s="78"/>
      <c r="S450" s="77"/>
      <c r="T450" s="48"/>
      <c r="U450" s="48"/>
      <c r="V450" s="48"/>
      <c r="W450" s="48"/>
      <c r="X450" s="77"/>
      <c r="Y450" s="48"/>
      <c r="Z450" s="48"/>
      <c r="AA450" s="48"/>
      <c r="AB450" s="77"/>
      <c r="AC450" s="48"/>
      <c r="AD450" s="77"/>
      <c r="AE450" s="48"/>
      <c r="AF450" s="77"/>
      <c r="AG450" s="48"/>
      <c r="AH450" s="77"/>
      <c r="AI450" s="48"/>
      <c r="AJ450" s="77"/>
      <c r="AK450" s="48"/>
    </row>
    <row r="451" ht="18.0" customHeight="1">
      <c r="A451" s="48"/>
      <c r="B451" s="48"/>
      <c r="C451" s="77"/>
      <c r="D451" s="48"/>
      <c r="E451" s="48"/>
      <c r="F451" s="48"/>
      <c r="G451" s="48"/>
      <c r="H451" s="77"/>
      <c r="I451" s="48"/>
      <c r="J451" s="48"/>
      <c r="K451" s="48"/>
      <c r="L451" s="48"/>
      <c r="M451" s="48"/>
      <c r="N451" s="77"/>
      <c r="O451" s="78"/>
      <c r="P451" s="77"/>
      <c r="Q451" s="78"/>
      <c r="R451" s="78"/>
      <c r="S451" s="77"/>
      <c r="T451" s="48"/>
      <c r="U451" s="48"/>
      <c r="V451" s="48"/>
      <c r="W451" s="48"/>
      <c r="X451" s="77"/>
      <c r="Y451" s="48"/>
      <c r="Z451" s="48"/>
      <c r="AA451" s="48"/>
      <c r="AB451" s="77"/>
      <c r="AC451" s="48"/>
      <c r="AD451" s="77"/>
      <c r="AE451" s="48"/>
      <c r="AF451" s="77"/>
      <c r="AG451" s="48"/>
      <c r="AH451" s="77"/>
      <c r="AI451" s="48"/>
      <c r="AJ451" s="77"/>
      <c r="AK451" s="48"/>
    </row>
    <row r="452" ht="18.0" customHeight="1">
      <c r="A452" s="48"/>
      <c r="B452" s="48"/>
      <c r="C452" s="77"/>
      <c r="D452" s="48"/>
      <c r="E452" s="48"/>
      <c r="F452" s="48"/>
      <c r="G452" s="48"/>
      <c r="H452" s="77"/>
      <c r="I452" s="48"/>
      <c r="J452" s="48"/>
      <c r="K452" s="48"/>
      <c r="L452" s="48"/>
      <c r="M452" s="48"/>
      <c r="N452" s="77"/>
      <c r="O452" s="78"/>
      <c r="P452" s="77"/>
      <c r="Q452" s="78"/>
      <c r="R452" s="78"/>
      <c r="S452" s="77"/>
      <c r="T452" s="48"/>
      <c r="U452" s="48"/>
      <c r="V452" s="48"/>
      <c r="W452" s="48"/>
      <c r="X452" s="77"/>
      <c r="Y452" s="48"/>
      <c r="Z452" s="48"/>
      <c r="AA452" s="48"/>
      <c r="AB452" s="77"/>
      <c r="AC452" s="48"/>
      <c r="AD452" s="77"/>
      <c r="AE452" s="48"/>
      <c r="AF452" s="77"/>
      <c r="AG452" s="48"/>
      <c r="AH452" s="77"/>
      <c r="AI452" s="48"/>
      <c r="AJ452" s="77"/>
      <c r="AK452" s="48"/>
    </row>
    <row r="453" ht="18.0" customHeight="1">
      <c r="A453" s="48"/>
      <c r="B453" s="48"/>
      <c r="C453" s="77"/>
      <c r="D453" s="48"/>
      <c r="E453" s="48"/>
      <c r="F453" s="48"/>
      <c r="G453" s="48"/>
      <c r="H453" s="77"/>
      <c r="I453" s="48"/>
      <c r="J453" s="48"/>
      <c r="K453" s="48"/>
      <c r="L453" s="48"/>
      <c r="M453" s="48"/>
      <c r="N453" s="77"/>
      <c r="O453" s="78"/>
      <c r="P453" s="77"/>
      <c r="Q453" s="78"/>
      <c r="R453" s="78"/>
      <c r="S453" s="77"/>
      <c r="T453" s="48"/>
      <c r="U453" s="48"/>
      <c r="V453" s="48"/>
      <c r="W453" s="48"/>
      <c r="X453" s="77"/>
      <c r="Y453" s="48"/>
      <c r="Z453" s="48"/>
      <c r="AA453" s="48"/>
      <c r="AB453" s="77"/>
      <c r="AC453" s="48"/>
      <c r="AD453" s="77"/>
      <c r="AE453" s="48"/>
      <c r="AF453" s="77"/>
      <c r="AG453" s="48"/>
      <c r="AH453" s="77"/>
      <c r="AI453" s="48"/>
      <c r="AJ453" s="77"/>
      <c r="AK453" s="48"/>
    </row>
    <row r="454" ht="18.0" customHeight="1">
      <c r="A454" s="48"/>
      <c r="B454" s="48"/>
      <c r="C454" s="77"/>
      <c r="D454" s="48"/>
      <c r="E454" s="48"/>
      <c r="F454" s="48"/>
      <c r="G454" s="48"/>
      <c r="H454" s="77"/>
      <c r="I454" s="48"/>
      <c r="J454" s="48"/>
      <c r="K454" s="48"/>
      <c r="L454" s="48"/>
      <c r="M454" s="48"/>
      <c r="N454" s="77"/>
      <c r="O454" s="78"/>
      <c r="P454" s="77"/>
      <c r="Q454" s="78"/>
      <c r="R454" s="78"/>
      <c r="S454" s="77"/>
      <c r="T454" s="48"/>
      <c r="U454" s="48"/>
      <c r="V454" s="48"/>
      <c r="W454" s="48"/>
      <c r="X454" s="77"/>
      <c r="Y454" s="48"/>
      <c r="Z454" s="48"/>
      <c r="AA454" s="48"/>
      <c r="AB454" s="77"/>
      <c r="AC454" s="48"/>
      <c r="AD454" s="77"/>
      <c r="AE454" s="48"/>
      <c r="AF454" s="77"/>
      <c r="AG454" s="48"/>
      <c r="AH454" s="77"/>
      <c r="AI454" s="48"/>
      <c r="AJ454" s="77"/>
      <c r="AK454" s="48"/>
    </row>
    <row r="455" ht="18.0" customHeight="1">
      <c r="A455" s="48"/>
      <c r="B455" s="48"/>
      <c r="C455" s="77"/>
      <c r="D455" s="48"/>
      <c r="E455" s="48"/>
      <c r="F455" s="48"/>
      <c r="G455" s="48"/>
      <c r="H455" s="77"/>
      <c r="I455" s="48"/>
      <c r="J455" s="48"/>
      <c r="K455" s="48"/>
      <c r="L455" s="48"/>
      <c r="M455" s="48"/>
      <c r="N455" s="77"/>
      <c r="O455" s="78"/>
      <c r="P455" s="77"/>
      <c r="Q455" s="78"/>
      <c r="R455" s="78"/>
      <c r="S455" s="77"/>
      <c r="T455" s="48"/>
      <c r="U455" s="48"/>
      <c r="V455" s="48"/>
      <c r="W455" s="48"/>
      <c r="X455" s="77"/>
      <c r="Y455" s="48"/>
      <c r="Z455" s="48"/>
      <c r="AA455" s="48"/>
      <c r="AB455" s="77"/>
      <c r="AC455" s="48"/>
      <c r="AD455" s="77"/>
      <c r="AE455" s="48"/>
      <c r="AF455" s="77"/>
      <c r="AG455" s="48"/>
      <c r="AH455" s="77"/>
      <c r="AI455" s="48"/>
      <c r="AJ455" s="77"/>
      <c r="AK455" s="48"/>
    </row>
    <row r="456" ht="18.0" customHeight="1">
      <c r="A456" s="48"/>
      <c r="B456" s="48"/>
      <c r="C456" s="77"/>
      <c r="D456" s="48"/>
      <c r="E456" s="48"/>
      <c r="F456" s="48"/>
      <c r="G456" s="48"/>
      <c r="H456" s="77"/>
      <c r="I456" s="48"/>
      <c r="J456" s="48"/>
      <c r="K456" s="48"/>
      <c r="L456" s="48"/>
      <c r="M456" s="48"/>
      <c r="N456" s="77"/>
      <c r="O456" s="78"/>
      <c r="P456" s="77"/>
      <c r="Q456" s="78"/>
      <c r="R456" s="78"/>
      <c r="S456" s="77"/>
      <c r="T456" s="48"/>
      <c r="U456" s="48"/>
      <c r="V456" s="48"/>
      <c r="W456" s="48"/>
      <c r="X456" s="77"/>
      <c r="Y456" s="48"/>
      <c r="Z456" s="48"/>
      <c r="AA456" s="48"/>
      <c r="AB456" s="77"/>
      <c r="AC456" s="48"/>
      <c r="AD456" s="77"/>
      <c r="AE456" s="48"/>
      <c r="AF456" s="77"/>
      <c r="AG456" s="48"/>
      <c r="AH456" s="77"/>
      <c r="AI456" s="48"/>
      <c r="AJ456" s="77"/>
      <c r="AK456" s="48"/>
    </row>
    <row r="457" ht="18.0" customHeight="1">
      <c r="A457" s="48"/>
      <c r="B457" s="48"/>
      <c r="C457" s="77"/>
      <c r="D457" s="48"/>
      <c r="E457" s="48"/>
      <c r="F457" s="48"/>
      <c r="G457" s="48"/>
      <c r="H457" s="77"/>
      <c r="I457" s="48"/>
      <c r="J457" s="48"/>
      <c r="K457" s="48"/>
      <c r="L457" s="48"/>
      <c r="M457" s="48"/>
      <c r="N457" s="77"/>
      <c r="O457" s="78"/>
      <c r="P457" s="77"/>
      <c r="Q457" s="78"/>
      <c r="R457" s="78"/>
      <c r="S457" s="77"/>
      <c r="T457" s="48"/>
      <c r="U457" s="48"/>
      <c r="V457" s="48"/>
      <c r="W457" s="48"/>
      <c r="X457" s="77"/>
      <c r="Y457" s="48"/>
      <c r="Z457" s="48"/>
      <c r="AA457" s="48"/>
      <c r="AB457" s="77"/>
      <c r="AC457" s="48"/>
      <c r="AD457" s="77"/>
      <c r="AE457" s="48"/>
      <c r="AF457" s="77"/>
      <c r="AG457" s="48"/>
      <c r="AH457" s="77"/>
      <c r="AI457" s="48"/>
      <c r="AJ457" s="77"/>
      <c r="AK457" s="48"/>
    </row>
    <row r="458" ht="18.0" customHeight="1">
      <c r="A458" s="48"/>
      <c r="B458" s="48"/>
      <c r="C458" s="77"/>
      <c r="D458" s="48"/>
      <c r="E458" s="48"/>
      <c r="F458" s="48"/>
      <c r="G458" s="48"/>
      <c r="H458" s="77"/>
      <c r="I458" s="48"/>
      <c r="J458" s="48"/>
      <c r="K458" s="48"/>
      <c r="L458" s="48"/>
      <c r="M458" s="48"/>
      <c r="N458" s="77"/>
      <c r="O458" s="78"/>
      <c r="P458" s="77"/>
      <c r="Q458" s="78"/>
      <c r="R458" s="78"/>
      <c r="S458" s="77"/>
      <c r="T458" s="48"/>
      <c r="U458" s="48"/>
      <c r="V458" s="48"/>
      <c r="W458" s="48"/>
      <c r="X458" s="77"/>
      <c r="Y458" s="48"/>
      <c r="Z458" s="48"/>
      <c r="AA458" s="48"/>
      <c r="AB458" s="77"/>
      <c r="AC458" s="48"/>
      <c r="AD458" s="77"/>
      <c r="AE458" s="48"/>
      <c r="AF458" s="77"/>
      <c r="AG458" s="48"/>
      <c r="AH458" s="77"/>
      <c r="AI458" s="48"/>
      <c r="AJ458" s="77"/>
      <c r="AK458" s="48"/>
    </row>
    <row r="459" ht="18.0" customHeight="1">
      <c r="A459" s="48"/>
      <c r="B459" s="48"/>
      <c r="C459" s="77"/>
      <c r="D459" s="48"/>
      <c r="E459" s="48"/>
      <c r="F459" s="48"/>
      <c r="G459" s="48"/>
      <c r="H459" s="77"/>
      <c r="I459" s="48"/>
      <c r="J459" s="48"/>
      <c r="K459" s="48"/>
      <c r="L459" s="48"/>
      <c r="M459" s="48"/>
      <c r="N459" s="77"/>
      <c r="O459" s="78"/>
      <c r="P459" s="77"/>
      <c r="Q459" s="78"/>
      <c r="R459" s="78"/>
      <c r="S459" s="77"/>
      <c r="T459" s="48"/>
      <c r="U459" s="48"/>
      <c r="V459" s="48"/>
      <c r="W459" s="48"/>
      <c r="X459" s="77"/>
      <c r="Y459" s="48"/>
      <c r="Z459" s="48"/>
      <c r="AA459" s="48"/>
      <c r="AB459" s="77"/>
      <c r="AC459" s="48"/>
      <c r="AD459" s="77"/>
      <c r="AE459" s="48"/>
      <c r="AF459" s="77"/>
      <c r="AG459" s="48"/>
      <c r="AH459" s="77"/>
      <c r="AI459" s="48"/>
      <c r="AJ459" s="77"/>
      <c r="AK459" s="48"/>
    </row>
    <row r="460" ht="18.0" customHeight="1">
      <c r="A460" s="48"/>
      <c r="B460" s="48"/>
      <c r="C460" s="77"/>
      <c r="D460" s="48"/>
      <c r="E460" s="48"/>
      <c r="F460" s="48"/>
      <c r="G460" s="48"/>
      <c r="H460" s="77"/>
      <c r="I460" s="48"/>
      <c r="J460" s="48"/>
      <c r="K460" s="48"/>
      <c r="L460" s="48"/>
      <c r="M460" s="48"/>
      <c r="N460" s="77"/>
      <c r="O460" s="78"/>
      <c r="P460" s="77"/>
      <c r="Q460" s="78"/>
      <c r="R460" s="78"/>
      <c r="S460" s="77"/>
      <c r="T460" s="48"/>
      <c r="U460" s="48"/>
      <c r="V460" s="48"/>
      <c r="W460" s="48"/>
      <c r="X460" s="77"/>
      <c r="Y460" s="48"/>
      <c r="Z460" s="48"/>
      <c r="AA460" s="48"/>
      <c r="AB460" s="77"/>
      <c r="AC460" s="48"/>
      <c r="AD460" s="77"/>
      <c r="AE460" s="48"/>
      <c r="AF460" s="77"/>
      <c r="AG460" s="48"/>
      <c r="AH460" s="77"/>
      <c r="AI460" s="48"/>
      <c r="AJ460" s="77"/>
      <c r="AK460" s="48"/>
    </row>
    <row r="461" ht="18.0" customHeight="1">
      <c r="A461" s="48"/>
      <c r="B461" s="48"/>
      <c r="C461" s="77"/>
      <c r="D461" s="48"/>
      <c r="E461" s="48"/>
      <c r="F461" s="48"/>
      <c r="G461" s="48"/>
      <c r="H461" s="77"/>
      <c r="I461" s="48"/>
      <c r="J461" s="48"/>
      <c r="K461" s="48"/>
      <c r="L461" s="48"/>
      <c r="M461" s="48"/>
      <c r="N461" s="77"/>
      <c r="O461" s="78"/>
      <c r="P461" s="77"/>
      <c r="Q461" s="78"/>
      <c r="R461" s="78"/>
      <c r="S461" s="77"/>
      <c r="T461" s="48"/>
      <c r="U461" s="48"/>
      <c r="V461" s="48"/>
      <c r="W461" s="48"/>
      <c r="X461" s="77"/>
      <c r="Y461" s="48"/>
      <c r="Z461" s="48"/>
      <c r="AA461" s="48"/>
      <c r="AB461" s="77"/>
      <c r="AC461" s="48"/>
      <c r="AD461" s="77"/>
      <c r="AE461" s="48"/>
      <c r="AF461" s="77"/>
      <c r="AG461" s="48"/>
      <c r="AH461" s="77"/>
      <c r="AI461" s="48"/>
      <c r="AJ461" s="77"/>
      <c r="AK461" s="48"/>
    </row>
    <row r="462" ht="18.0" customHeight="1">
      <c r="A462" s="48"/>
      <c r="B462" s="48"/>
      <c r="C462" s="77"/>
      <c r="D462" s="48"/>
      <c r="E462" s="48"/>
      <c r="F462" s="48"/>
      <c r="G462" s="48"/>
      <c r="H462" s="77"/>
      <c r="I462" s="48"/>
      <c r="J462" s="48"/>
      <c r="K462" s="48"/>
      <c r="L462" s="48"/>
      <c r="M462" s="48"/>
      <c r="N462" s="77"/>
      <c r="O462" s="78"/>
      <c r="P462" s="77"/>
      <c r="Q462" s="78"/>
      <c r="R462" s="78"/>
      <c r="S462" s="77"/>
      <c r="T462" s="48"/>
      <c r="U462" s="48"/>
      <c r="V462" s="48"/>
      <c r="W462" s="48"/>
      <c r="X462" s="77"/>
      <c r="Y462" s="48"/>
      <c r="Z462" s="48"/>
      <c r="AA462" s="48"/>
      <c r="AB462" s="77"/>
      <c r="AC462" s="48"/>
      <c r="AD462" s="77"/>
      <c r="AE462" s="48"/>
      <c r="AF462" s="77"/>
      <c r="AG462" s="48"/>
      <c r="AH462" s="77"/>
      <c r="AI462" s="48"/>
      <c r="AJ462" s="77"/>
      <c r="AK462" s="48"/>
    </row>
    <row r="463" ht="18.0" customHeight="1">
      <c r="A463" s="48"/>
      <c r="B463" s="48"/>
      <c r="C463" s="77"/>
      <c r="D463" s="48"/>
      <c r="E463" s="48"/>
      <c r="F463" s="48"/>
      <c r="G463" s="48"/>
      <c r="H463" s="77"/>
      <c r="I463" s="48"/>
      <c r="J463" s="48"/>
      <c r="K463" s="48"/>
      <c r="L463" s="48"/>
      <c r="M463" s="48"/>
      <c r="N463" s="77"/>
      <c r="O463" s="78"/>
      <c r="P463" s="77"/>
      <c r="Q463" s="78"/>
      <c r="R463" s="78"/>
      <c r="S463" s="77"/>
      <c r="T463" s="48"/>
      <c r="U463" s="48"/>
      <c r="V463" s="48"/>
      <c r="W463" s="48"/>
      <c r="X463" s="77"/>
      <c r="Y463" s="48"/>
      <c r="Z463" s="48"/>
      <c r="AA463" s="48"/>
      <c r="AB463" s="77"/>
      <c r="AC463" s="48"/>
      <c r="AD463" s="77"/>
      <c r="AE463" s="48"/>
      <c r="AF463" s="77"/>
      <c r="AG463" s="48"/>
      <c r="AH463" s="77"/>
      <c r="AI463" s="48"/>
      <c r="AJ463" s="77"/>
      <c r="AK463" s="48"/>
    </row>
    <row r="464" ht="18.0" customHeight="1">
      <c r="A464" s="48"/>
      <c r="B464" s="48"/>
      <c r="C464" s="77"/>
      <c r="D464" s="48"/>
      <c r="E464" s="48"/>
      <c r="F464" s="48"/>
      <c r="G464" s="48"/>
      <c r="H464" s="77"/>
      <c r="I464" s="48"/>
      <c r="J464" s="48"/>
      <c r="K464" s="48"/>
      <c r="L464" s="48"/>
      <c r="M464" s="48"/>
      <c r="N464" s="77"/>
      <c r="O464" s="78"/>
      <c r="P464" s="77"/>
      <c r="Q464" s="78"/>
      <c r="R464" s="78"/>
      <c r="S464" s="77"/>
      <c r="T464" s="48"/>
      <c r="U464" s="48"/>
      <c r="V464" s="48"/>
      <c r="W464" s="48"/>
      <c r="X464" s="77"/>
      <c r="Y464" s="48"/>
      <c r="Z464" s="48"/>
      <c r="AA464" s="48"/>
      <c r="AB464" s="77"/>
      <c r="AC464" s="48"/>
      <c r="AD464" s="77"/>
      <c r="AE464" s="48"/>
      <c r="AF464" s="77"/>
      <c r="AG464" s="48"/>
      <c r="AH464" s="77"/>
      <c r="AI464" s="48"/>
      <c r="AJ464" s="77"/>
      <c r="AK464" s="48"/>
    </row>
    <row r="465" ht="18.0" customHeight="1">
      <c r="A465" s="48"/>
      <c r="B465" s="48"/>
      <c r="C465" s="77"/>
      <c r="D465" s="48"/>
      <c r="E465" s="48"/>
      <c r="F465" s="48"/>
      <c r="G465" s="48"/>
      <c r="H465" s="77"/>
      <c r="I465" s="48"/>
      <c r="J465" s="48"/>
      <c r="K465" s="48"/>
      <c r="L465" s="48"/>
      <c r="M465" s="48"/>
      <c r="N465" s="77"/>
      <c r="O465" s="78"/>
      <c r="P465" s="77"/>
      <c r="Q465" s="78"/>
      <c r="R465" s="78"/>
      <c r="S465" s="77"/>
      <c r="T465" s="48"/>
      <c r="U465" s="48"/>
      <c r="V465" s="48"/>
      <c r="W465" s="48"/>
      <c r="X465" s="77"/>
      <c r="Y465" s="48"/>
      <c r="Z465" s="48"/>
      <c r="AA465" s="48"/>
      <c r="AB465" s="77"/>
      <c r="AC465" s="48"/>
      <c r="AD465" s="77"/>
      <c r="AE465" s="48"/>
      <c r="AF465" s="77"/>
      <c r="AG465" s="48"/>
      <c r="AH465" s="77"/>
      <c r="AI465" s="48"/>
      <c r="AJ465" s="77"/>
      <c r="AK465" s="48"/>
    </row>
    <row r="466" ht="18.0" customHeight="1">
      <c r="A466" s="48"/>
      <c r="B466" s="48"/>
      <c r="C466" s="77"/>
      <c r="D466" s="48"/>
      <c r="E466" s="48"/>
      <c r="F466" s="48"/>
      <c r="G466" s="48"/>
      <c r="H466" s="77"/>
      <c r="I466" s="48"/>
      <c r="J466" s="48"/>
      <c r="K466" s="48"/>
      <c r="L466" s="48"/>
      <c r="M466" s="48"/>
      <c r="N466" s="77"/>
      <c r="O466" s="78"/>
      <c r="P466" s="77"/>
      <c r="Q466" s="78"/>
      <c r="R466" s="78"/>
      <c r="S466" s="77"/>
      <c r="T466" s="48"/>
      <c r="U466" s="48"/>
      <c r="V466" s="48"/>
      <c r="W466" s="48"/>
      <c r="X466" s="77"/>
      <c r="Y466" s="48"/>
      <c r="Z466" s="48"/>
      <c r="AA466" s="48"/>
      <c r="AB466" s="77"/>
      <c r="AC466" s="48"/>
      <c r="AD466" s="77"/>
      <c r="AE466" s="48"/>
      <c r="AF466" s="77"/>
      <c r="AG466" s="48"/>
      <c r="AH466" s="77"/>
      <c r="AI466" s="48"/>
      <c r="AJ466" s="77"/>
      <c r="AK466" s="48"/>
    </row>
    <row r="467" ht="18.0" customHeight="1">
      <c r="A467" s="48"/>
      <c r="B467" s="48"/>
      <c r="C467" s="77"/>
      <c r="D467" s="48"/>
      <c r="E467" s="48"/>
      <c r="F467" s="48"/>
      <c r="G467" s="48"/>
      <c r="H467" s="77"/>
      <c r="I467" s="48"/>
      <c r="J467" s="48"/>
      <c r="K467" s="48"/>
      <c r="L467" s="48"/>
      <c r="M467" s="48"/>
      <c r="N467" s="77"/>
      <c r="O467" s="78"/>
      <c r="P467" s="77"/>
      <c r="Q467" s="78"/>
      <c r="R467" s="78"/>
      <c r="S467" s="77"/>
      <c r="T467" s="48"/>
      <c r="U467" s="48"/>
      <c r="V467" s="48"/>
      <c r="W467" s="48"/>
      <c r="X467" s="77"/>
      <c r="Y467" s="48"/>
      <c r="Z467" s="48"/>
      <c r="AA467" s="48"/>
      <c r="AB467" s="77"/>
      <c r="AC467" s="48"/>
      <c r="AD467" s="77"/>
      <c r="AE467" s="48"/>
      <c r="AF467" s="77"/>
      <c r="AG467" s="48"/>
      <c r="AH467" s="77"/>
      <c r="AI467" s="48"/>
      <c r="AJ467" s="77"/>
      <c r="AK467" s="48"/>
    </row>
    <row r="468" ht="18.0" customHeight="1">
      <c r="A468" s="48"/>
      <c r="B468" s="48"/>
      <c r="C468" s="77"/>
      <c r="D468" s="48"/>
      <c r="E468" s="48"/>
      <c r="F468" s="48"/>
      <c r="G468" s="48"/>
      <c r="H468" s="77"/>
      <c r="I468" s="48"/>
      <c r="J468" s="48"/>
      <c r="K468" s="48"/>
      <c r="L468" s="48"/>
      <c r="M468" s="48"/>
      <c r="N468" s="77"/>
      <c r="O468" s="78"/>
      <c r="P468" s="77"/>
      <c r="Q468" s="78"/>
      <c r="R468" s="78"/>
      <c r="S468" s="77"/>
      <c r="T468" s="48"/>
      <c r="U468" s="48"/>
      <c r="V468" s="48"/>
      <c r="W468" s="48"/>
      <c r="X468" s="77"/>
      <c r="Y468" s="48"/>
      <c r="Z468" s="48"/>
      <c r="AA468" s="48"/>
      <c r="AB468" s="77"/>
      <c r="AC468" s="48"/>
      <c r="AD468" s="77"/>
      <c r="AE468" s="48"/>
      <c r="AF468" s="77"/>
      <c r="AG468" s="48"/>
      <c r="AH468" s="77"/>
      <c r="AI468" s="48"/>
      <c r="AJ468" s="77"/>
      <c r="AK468" s="48"/>
    </row>
    <row r="469" ht="18.0" customHeight="1">
      <c r="A469" s="48"/>
      <c r="B469" s="48"/>
      <c r="C469" s="77"/>
      <c r="D469" s="48"/>
      <c r="E469" s="48"/>
      <c r="F469" s="48"/>
      <c r="G469" s="48"/>
      <c r="H469" s="77"/>
      <c r="I469" s="48"/>
      <c r="J469" s="48"/>
      <c r="K469" s="48"/>
      <c r="L469" s="48"/>
      <c r="M469" s="48"/>
      <c r="N469" s="77"/>
      <c r="O469" s="78"/>
      <c r="P469" s="77"/>
      <c r="Q469" s="78"/>
      <c r="R469" s="78"/>
      <c r="S469" s="77"/>
      <c r="T469" s="48"/>
      <c r="U469" s="48"/>
      <c r="V469" s="48"/>
      <c r="W469" s="48"/>
      <c r="X469" s="77"/>
      <c r="Y469" s="48"/>
      <c r="Z469" s="48"/>
      <c r="AA469" s="48"/>
      <c r="AB469" s="77"/>
      <c r="AC469" s="48"/>
      <c r="AD469" s="77"/>
      <c r="AE469" s="48"/>
      <c r="AF469" s="77"/>
      <c r="AG469" s="48"/>
      <c r="AH469" s="77"/>
      <c r="AI469" s="48"/>
      <c r="AJ469" s="77"/>
      <c r="AK469" s="48"/>
    </row>
    <row r="470" ht="18.0" customHeight="1">
      <c r="A470" s="48"/>
      <c r="B470" s="48"/>
      <c r="C470" s="77"/>
      <c r="D470" s="48"/>
      <c r="E470" s="48"/>
      <c r="F470" s="48"/>
      <c r="G470" s="48"/>
      <c r="H470" s="77"/>
      <c r="I470" s="48"/>
      <c r="J470" s="48"/>
      <c r="K470" s="48"/>
      <c r="L470" s="48"/>
      <c r="M470" s="48"/>
      <c r="N470" s="77"/>
      <c r="O470" s="78"/>
      <c r="P470" s="77"/>
      <c r="Q470" s="78"/>
      <c r="R470" s="78"/>
      <c r="S470" s="77"/>
      <c r="T470" s="48"/>
      <c r="U470" s="48"/>
      <c r="V470" s="48"/>
      <c r="W470" s="48"/>
      <c r="X470" s="77"/>
      <c r="Y470" s="48"/>
      <c r="Z470" s="48"/>
      <c r="AA470" s="48"/>
      <c r="AB470" s="77"/>
      <c r="AC470" s="48"/>
      <c r="AD470" s="77"/>
      <c r="AE470" s="48"/>
      <c r="AF470" s="77"/>
      <c r="AG470" s="48"/>
      <c r="AH470" s="77"/>
      <c r="AI470" s="48"/>
      <c r="AJ470" s="77"/>
      <c r="AK470" s="48"/>
    </row>
    <row r="471" ht="18.0" customHeight="1">
      <c r="A471" s="48"/>
      <c r="B471" s="48"/>
      <c r="C471" s="77"/>
      <c r="D471" s="48"/>
      <c r="E471" s="48"/>
      <c r="F471" s="48"/>
      <c r="G471" s="48"/>
      <c r="H471" s="77"/>
      <c r="I471" s="48"/>
      <c r="J471" s="48"/>
      <c r="K471" s="48"/>
      <c r="L471" s="48"/>
      <c r="M471" s="48"/>
      <c r="N471" s="77"/>
      <c r="O471" s="78"/>
      <c r="P471" s="77"/>
      <c r="Q471" s="78"/>
      <c r="R471" s="78"/>
      <c r="S471" s="77"/>
      <c r="T471" s="48"/>
      <c r="U471" s="48"/>
      <c r="V471" s="48"/>
      <c r="W471" s="48"/>
      <c r="X471" s="77"/>
      <c r="Y471" s="48"/>
      <c r="Z471" s="48"/>
      <c r="AA471" s="48"/>
      <c r="AB471" s="77"/>
      <c r="AC471" s="48"/>
      <c r="AD471" s="77"/>
      <c r="AE471" s="48"/>
      <c r="AF471" s="77"/>
      <c r="AG471" s="48"/>
      <c r="AH471" s="77"/>
      <c r="AI471" s="48"/>
      <c r="AJ471" s="77"/>
      <c r="AK471" s="48"/>
    </row>
    <row r="472" ht="18.0" customHeight="1">
      <c r="A472" s="48"/>
      <c r="B472" s="48"/>
      <c r="C472" s="77"/>
      <c r="D472" s="48"/>
      <c r="E472" s="48"/>
      <c r="F472" s="48"/>
      <c r="G472" s="48"/>
      <c r="H472" s="77"/>
      <c r="I472" s="48"/>
      <c r="J472" s="48"/>
      <c r="K472" s="48"/>
      <c r="L472" s="48"/>
      <c r="M472" s="48"/>
      <c r="N472" s="77"/>
      <c r="O472" s="78"/>
      <c r="P472" s="77"/>
      <c r="Q472" s="78"/>
      <c r="R472" s="78"/>
      <c r="S472" s="77"/>
      <c r="T472" s="48"/>
      <c r="U472" s="48"/>
      <c r="V472" s="48"/>
      <c r="W472" s="48"/>
      <c r="X472" s="77"/>
      <c r="Y472" s="48"/>
      <c r="Z472" s="48"/>
      <c r="AA472" s="48"/>
      <c r="AB472" s="77"/>
      <c r="AC472" s="48"/>
      <c r="AD472" s="77"/>
      <c r="AE472" s="48"/>
      <c r="AF472" s="77"/>
      <c r="AG472" s="48"/>
      <c r="AH472" s="77"/>
      <c r="AI472" s="48"/>
      <c r="AJ472" s="77"/>
      <c r="AK472" s="48"/>
    </row>
    <row r="473" ht="18.0" customHeight="1">
      <c r="A473" s="48"/>
      <c r="B473" s="48"/>
      <c r="C473" s="77"/>
      <c r="D473" s="48"/>
      <c r="E473" s="48"/>
      <c r="F473" s="48"/>
      <c r="G473" s="48"/>
      <c r="H473" s="77"/>
      <c r="I473" s="48"/>
      <c r="J473" s="48"/>
      <c r="K473" s="48"/>
      <c r="L473" s="48"/>
      <c r="M473" s="48"/>
      <c r="N473" s="77"/>
      <c r="O473" s="78"/>
      <c r="P473" s="77"/>
      <c r="Q473" s="78"/>
      <c r="R473" s="78"/>
      <c r="S473" s="77"/>
      <c r="T473" s="48"/>
      <c r="U473" s="48"/>
      <c r="V473" s="48"/>
      <c r="W473" s="48"/>
      <c r="X473" s="77"/>
      <c r="Y473" s="48"/>
      <c r="Z473" s="48"/>
      <c r="AA473" s="48"/>
      <c r="AB473" s="77"/>
      <c r="AC473" s="48"/>
      <c r="AD473" s="77"/>
      <c r="AE473" s="48"/>
      <c r="AF473" s="77"/>
      <c r="AG473" s="48"/>
      <c r="AH473" s="77"/>
      <c r="AI473" s="48"/>
      <c r="AJ473" s="77"/>
      <c r="AK473" s="48"/>
    </row>
    <row r="474" ht="18.0" customHeight="1">
      <c r="A474" s="48"/>
      <c r="B474" s="48"/>
      <c r="C474" s="77"/>
      <c r="D474" s="48"/>
      <c r="E474" s="48"/>
      <c r="F474" s="48"/>
      <c r="G474" s="48"/>
      <c r="H474" s="77"/>
      <c r="I474" s="48"/>
      <c r="J474" s="48"/>
      <c r="K474" s="48"/>
      <c r="L474" s="48"/>
      <c r="M474" s="48"/>
      <c r="N474" s="77"/>
      <c r="O474" s="78"/>
      <c r="P474" s="77"/>
      <c r="Q474" s="78"/>
      <c r="R474" s="78"/>
      <c r="S474" s="77"/>
      <c r="T474" s="48"/>
      <c r="U474" s="48"/>
      <c r="V474" s="48"/>
      <c r="W474" s="48"/>
      <c r="X474" s="77"/>
      <c r="Y474" s="48"/>
      <c r="Z474" s="48"/>
      <c r="AA474" s="48"/>
      <c r="AB474" s="77"/>
      <c r="AC474" s="48"/>
      <c r="AD474" s="77"/>
      <c r="AE474" s="48"/>
      <c r="AF474" s="77"/>
      <c r="AG474" s="48"/>
      <c r="AH474" s="77"/>
      <c r="AI474" s="48"/>
      <c r="AJ474" s="77"/>
      <c r="AK474" s="48"/>
    </row>
    <row r="475" ht="18.0" customHeight="1">
      <c r="A475" s="48"/>
      <c r="B475" s="48"/>
      <c r="C475" s="77"/>
      <c r="D475" s="48"/>
      <c r="E475" s="48"/>
      <c r="F475" s="48"/>
      <c r="G475" s="48"/>
      <c r="H475" s="77"/>
      <c r="I475" s="48"/>
      <c r="J475" s="48"/>
      <c r="K475" s="48"/>
      <c r="L475" s="48"/>
      <c r="M475" s="48"/>
      <c r="N475" s="77"/>
      <c r="O475" s="78"/>
      <c r="P475" s="77"/>
      <c r="Q475" s="78"/>
      <c r="R475" s="78"/>
      <c r="S475" s="77"/>
      <c r="T475" s="48"/>
      <c r="U475" s="48"/>
      <c r="V475" s="48"/>
      <c r="W475" s="48"/>
      <c r="X475" s="77"/>
      <c r="Y475" s="48"/>
      <c r="Z475" s="48"/>
      <c r="AA475" s="48"/>
      <c r="AB475" s="77"/>
      <c r="AC475" s="48"/>
      <c r="AD475" s="77"/>
      <c r="AE475" s="48"/>
      <c r="AF475" s="77"/>
      <c r="AG475" s="48"/>
      <c r="AH475" s="77"/>
      <c r="AI475" s="48"/>
      <c r="AJ475" s="77"/>
      <c r="AK475" s="48"/>
    </row>
    <row r="476" ht="18.0" customHeight="1">
      <c r="A476" s="48"/>
      <c r="B476" s="48"/>
      <c r="C476" s="77"/>
      <c r="D476" s="48"/>
      <c r="E476" s="48"/>
      <c r="F476" s="48"/>
      <c r="G476" s="48"/>
      <c r="H476" s="77"/>
      <c r="I476" s="48"/>
      <c r="J476" s="48"/>
      <c r="K476" s="48"/>
      <c r="L476" s="48"/>
      <c r="M476" s="48"/>
      <c r="N476" s="77"/>
      <c r="O476" s="78"/>
      <c r="P476" s="77"/>
      <c r="Q476" s="78"/>
      <c r="R476" s="78"/>
      <c r="S476" s="77"/>
      <c r="T476" s="48"/>
      <c r="U476" s="48"/>
      <c r="V476" s="48"/>
      <c r="W476" s="48"/>
      <c r="X476" s="77"/>
      <c r="Y476" s="48"/>
      <c r="Z476" s="48"/>
      <c r="AA476" s="48"/>
      <c r="AB476" s="77"/>
      <c r="AC476" s="48"/>
      <c r="AD476" s="77"/>
      <c r="AE476" s="48"/>
      <c r="AF476" s="77"/>
      <c r="AG476" s="48"/>
      <c r="AH476" s="77"/>
      <c r="AI476" s="48"/>
      <c r="AJ476" s="77"/>
      <c r="AK476" s="48"/>
    </row>
    <row r="477" ht="18.0" customHeight="1">
      <c r="A477" s="48"/>
      <c r="B477" s="48"/>
      <c r="C477" s="77"/>
      <c r="D477" s="48"/>
      <c r="E477" s="48"/>
      <c r="F477" s="48"/>
      <c r="G477" s="48"/>
      <c r="H477" s="77"/>
      <c r="I477" s="48"/>
      <c r="J477" s="48"/>
      <c r="K477" s="48"/>
      <c r="L477" s="48"/>
      <c r="M477" s="48"/>
      <c r="N477" s="77"/>
      <c r="O477" s="78"/>
      <c r="P477" s="77"/>
      <c r="Q477" s="78"/>
      <c r="R477" s="78"/>
      <c r="S477" s="77"/>
      <c r="T477" s="48"/>
      <c r="U477" s="48"/>
      <c r="V477" s="48"/>
      <c r="W477" s="48"/>
      <c r="X477" s="77"/>
      <c r="Y477" s="48"/>
      <c r="Z477" s="48"/>
      <c r="AA477" s="48"/>
      <c r="AB477" s="77"/>
      <c r="AC477" s="48"/>
      <c r="AD477" s="77"/>
      <c r="AE477" s="48"/>
      <c r="AF477" s="77"/>
      <c r="AG477" s="48"/>
      <c r="AH477" s="77"/>
      <c r="AI477" s="48"/>
      <c r="AJ477" s="77"/>
      <c r="AK477" s="48"/>
    </row>
    <row r="478" ht="18.0" customHeight="1">
      <c r="A478" s="48"/>
      <c r="B478" s="48"/>
      <c r="C478" s="77"/>
      <c r="D478" s="48"/>
      <c r="E478" s="48"/>
      <c r="F478" s="48"/>
      <c r="G478" s="48"/>
      <c r="H478" s="77"/>
      <c r="I478" s="48"/>
      <c r="J478" s="48"/>
      <c r="K478" s="48"/>
      <c r="L478" s="48"/>
      <c r="M478" s="48"/>
      <c r="N478" s="77"/>
      <c r="O478" s="78"/>
      <c r="P478" s="77"/>
      <c r="Q478" s="78"/>
      <c r="R478" s="78"/>
      <c r="S478" s="77"/>
      <c r="T478" s="48"/>
      <c r="U478" s="48"/>
      <c r="V478" s="48"/>
      <c r="W478" s="48"/>
      <c r="X478" s="77"/>
      <c r="Y478" s="48"/>
      <c r="Z478" s="48"/>
      <c r="AA478" s="48"/>
      <c r="AB478" s="77"/>
      <c r="AC478" s="48"/>
      <c r="AD478" s="77"/>
      <c r="AE478" s="48"/>
      <c r="AF478" s="77"/>
      <c r="AG478" s="48"/>
      <c r="AH478" s="77"/>
      <c r="AI478" s="48"/>
      <c r="AJ478" s="77"/>
      <c r="AK478" s="48"/>
    </row>
    <row r="479" ht="18.0" customHeight="1">
      <c r="A479" s="48"/>
      <c r="B479" s="48"/>
      <c r="C479" s="77"/>
      <c r="D479" s="48"/>
      <c r="E479" s="48"/>
      <c r="F479" s="48"/>
      <c r="G479" s="48"/>
      <c r="H479" s="77"/>
      <c r="I479" s="48"/>
      <c r="J479" s="48"/>
      <c r="K479" s="48"/>
      <c r="L479" s="48"/>
      <c r="M479" s="48"/>
      <c r="N479" s="77"/>
      <c r="O479" s="78"/>
      <c r="P479" s="77"/>
      <c r="Q479" s="78"/>
      <c r="R479" s="78"/>
      <c r="S479" s="77"/>
      <c r="T479" s="48"/>
      <c r="U479" s="48"/>
      <c r="V479" s="48"/>
      <c r="W479" s="48"/>
      <c r="X479" s="77"/>
      <c r="Y479" s="48"/>
      <c r="Z479" s="48"/>
      <c r="AA479" s="48"/>
      <c r="AB479" s="77"/>
      <c r="AC479" s="48"/>
      <c r="AD479" s="77"/>
      <c r="AE479" s="48"/>
      <c r="AF479" s="77"/>
      <c r="AG479" s="48"/>
      <c r="AH479" s="77"/>
      <c r="AI479" s="48"/>
      <c r="AJ479" s="77"/>
      <c r="AK479" s="48"/>
    </row>
    <row r="480" ht="18.0" customHeight="1">
      <c r="A480" s="48"/>
      <c r="B480" s="48"/>
      <c r="C480" s="77"/>
      <c r="D480" s="48"/>
      <c r="E480" s="48"/>
      <c r="F480" s="48"/>
      <c r="G480" s="48"/>
      <c r="H480" s="77"/>
      <c r="I480" s="48"/>
      <c r="J480" s="48"/>
      <c r="K480" s="48"/>
      <c r="L480" s="48"/>
      <c r="M480" s="48"/>
      <c r="N480" s="77"/>
      <c r="O480" s="78"/>
      <c r="P480" s="77"/>
      <c r="Q480" s="78"/>
      <c r="R480" s="78"/>
      <c r="S480" s="77"/>
      <c r="T480" s="48"/>
      <c r="U480" s="48"/>
      <c r="V480" s="48"/>
      <c r="W480" s="48"/>
      <c r="X480" s="77"/>
      <c r="Y480" s="48"/>
      <c r="Z480" s="48"/>
      <c r="AA480" s="48"/>
      <c r="AB480" s="77"/>
      <c r="AC480" s="48"/>
      <c r="AD480" s="77"/>
      <c r="AE480" s="48"/>
      <c r="AF480" s="77"/>
      <c r="AG480" s="48"/>
      <c r="AH480" s="77"/>
      <c r="AI480" s="48"/>
      <c r="AJ480" s="77"/>
      <c r="AK480" s="48"/>
    </row>
    <row r="481" ht="18.0" customHeight="1">
      <c r="A481" s="48"/>
      <c r="B481" s="48"/>
      <c r="C481" s="77"/>
      <c r="D481" s="48"/>
      <c r="E481" s="48"/>
      <c r="F481" s="48"/>
      <c r="G481" s="48"/>
      <c r="H481" s="77"/>
      <c r="I481" s="48"/>
      <c r="J481" s="48"/>
      <c r="K481" s="48"/>
      <c r="L481" s="48"/>
      <c r="M481" s="48"/>
      <c r="N481" s="77"/>
      <c r="O481" s="78"/>
      <c r="P481" s="77"/>
      <c r="Q481" s="78"/>
      <c r="R481" s="78"/>
      <c r="S481" s="77"/>
      <c r="T481" s="48"/>
      <c r="U481" s="48"/>
      <c r="V481" s="48"/>
      <c r="W481" s="48"/>
      <c r="X481" s="77"/>
      <c r="Y481" s="48"/>
      <c r="Z481" s="48"/>
      <c r="AA481" s="48"/>
      <c r="AB481" s="77"/>
      <c r="AC481" s="48"/>
      <c r="AD481" s="77"/>
      <c r="AE481" s="48"/>
      <c r="AF481" s="77"/>
      <c r="AG481" s="48"/>
      <c r="AH481" s="77"/>
      <c r="AI481" s="48"/>
      <c r="AJ481" s="77"/>
      <c r="AK481" s="48"/>
    </row>
    <row r="482" ht="18.0" customHeight="1">
      <c r="A482" s="48"/>
      <c r="B482" s="48"/>
      <c r="C482" s="77"/>
      <c r="D482" s="48"/>
      <c r="E482" s="48"/>
      <c r="F482" s="48"/>
      <c r="G482" s="48"/>
      <c r="H482" s="77"/>
      <c r="I482" s="48"/>
      <c r="J482" s="48"/>
      <c r="K482" s="48"/>
      <c r="L482" s="48"/>
      <c r="M482" s="48"/>
      <c r="N482" s="77"/>
      <c r="O482" s="78"/>
      <c r="P482" s="77"/>
      <c r="Q482" s="78"/>
      <c r="R482" s="78"/>
      <c r="S482" s="77"/>
      <c r="T482" s="48"/>
      <c r="U482" s="48"/>
      <c r="V482" s="48"/>
      <c r="W482" s="48"/>
      <c r="X482" s="77"/>
      <c r="Y482" s="48"/>
      <c r="Z482" s="48"/>
      <c r="AA482" s="48"/>
      <c r="AB482" s="77"/>
      <c r="AC482" s="48"/>
      <c r="AD482" s="77"/>
      <c r="AE482" s="48"/>
      <c r="AF482" s="77"/>
      <c r="AG482" s="48"/>
      <c r="AH482" s="77"/>
      <c r="AI482" s="48"/>
      <c r="AJ482" s="77"/>
      <c r="AK482" s="48"/>
    </row>
    <row r="483" ht="18.0" customHeight="1">
      <c r="A483" s="48"/>
      <c r="B483" s="48"/>
      <c r="C483" s="77"/>
      <c r="D483" s="48"/>
      <c r="E483" s="48"/>
      <c r="F483" s="48"/>
      <c r="G483" s="48"/>
      <c r="H483" s="77"/>
      <c r="I483" s="48"/>
      <c r="J483" s="48"/>
      <c r="K483" s="48"/>
      <c r="L483" s="48"/>
      <c r="M483" s="48"/>
      <c r="N483" s="77"/>
      <c r="O483" s="78"/>
      <c r="P483" s="77"/>
      <c r="Q483" s="78"/>
      <c r="R483" s="78"/>
      <c r="S483" s="77"/>
      <c r="T483" s="48"/>
      <c r="U483" s="48"/>
      <c r="V483" s="48"/>
      <c r="W483" s="48"/>
      <c r="X483" s="77"/>
      <c r="Y483" s="48"/>
      <c r="Z483" s="48"/>
      <c r="AA483" s="48"/>
      <c r="AB483" s="77"/>
      <c r="AC483" s="48"/>
      <c r="AD483" s="77"/>
      <c r="AE483" s="48"/>
      <c r="AF483" s="77"/>
      <c r="AG483" s="48"/>
      <c r="AH483" s="77"/>
      <c r="AI483" s="48"/>
      <c r="AJ483" s="77"/>
      <c r="AK483" s="48"/>
    </row>
    <row r="484" ht="18.0" customHeight="1">
      <c r="A484" s="48"/>
      <c r="B484" s="48"/>
      <c r="C484" s="77"/>
      <c r="D484" s="48"/>
      <c r="E484" s="48"/>
      <c r="F484" s="48"/>
      <c r="G484" s="48"/>
      <c r="H484" s="77"/>
      <c r="I484" s="48"/>
      <c r="J484" s="48"/>
      <c r="K484" s="48"/>
      <c r="L484" s="48"/>
      <c r="M484" s="48"/>
      <c r="N484" s="77"/>
      <c r="O484" s="78"/>
      <c r="P484" s="77"/>
      <c r="Q484" s="78"/>
      <c r="R484" s="78"/>
      <c r="S484" s="77"/>
      <c r="T484" s="48"/>
      <c r="U484" s="48"/>
      <c r="V484" s="48"/>
      <c r="W484" s="48"/>
      <c r="X484" s="77"/>
      <c r="Y484" s="48"/>
      <c r="Z484" s="48"/>
      <c r="AA484" s="48"/>
      <c r="AB484" s="77"/>
      <c r="AC484" s="48"/>
      <c r="AD484" s="77"/>
      <c r="AE484" s="48"/>
      <c r="AF484" s="77"/>
      <c r="AG484" s="48"/>
      <c r="AH484" s="77"/>
      <c r="AI484" s="48"/>
      <c r="AJ484" s="77"/>
      <c r="AK484" s="48"/>
    </row>
    <row r="485" ht="18.0" customHeight="1">
      <c r="A485" s="48"/>
      <c r="B485" s="48"/>
      <c r="C485" s="77"/>
      <c r="D485" s="48"/>
      <c r="E485" s="48"/>
      <c r="F485" s="48"/>
      <c r="G485" s="48"/>
      <c r="H485" s="77"/>
      <c r="I485" s="48"/>
      <c r="J485" s="48"/>
      <c r="K485" s="48"/>
      <c r="L485" s="48"/>
      <c r="M485" s="48"/>
      <c r="N485" s="77"/>
      <c r="O485" s="78"/>
      <c r="P485" s="77"/>
      <c r="Q485" s="78"/>
      <c r="R485" s="78"/>
      <c r="S485" s="77"/>
      <c r="T485" s="48"/>
      <c r="U485" s="48"/>
      <c r="V485" s="48"/>
      <c r="W485" s="48"/>
      <c r="X485" s="77"/>
      <c r="Y485" s="48"/>
      <c r="Z485" s="48"/>
      <c r="AA485" s="48"/>
      <c r="AB485" s="77"/>
      <c r="AC485" s="48"/>
      <c r="AD485" s="77"/>
      <c r="AE485" s="48"/>
      <c r="AF485" s="77"/>
      <c r="AG485" s="48"/>
      <c r="AH485" s="77"/>
      <c r="AI485" s="48"/>
      <c r="AJ485" s="77"/>
      <c r="AK485" s="48"/>
    </row>
    <row r="486" ht="18.0" customHeight="1">
      <c r="A486" s="48"/>
      <c r="B486" s="48"/>
      <c r="C486" s="77"/>
      <c r="D486" s="48"/>
      <c r="E486" s="48"/>
      <c r="F486" s="48"/>
      <c r="G486" s="48"/>
      <c r="H486" s="77"/>
      <c r="I486" s="48"/>
      <c r="J486" s="48"/>
      <c r="K486" s="48"/>
      <c r="L486" s="48"/>
      <c r="M486" s="48"/>
      <c r="N486" s="77"/>
      <c r="O486" s="78"/>
      <c r="P486" s="77"/>
      <c r="Q486" s="78"/>
      <c r="R486" s="78"/>
      <c r="S486" s="77"/>
      <c r="T486" s="48"/>
      <c r="U486" s="48"/>
      <c r="V486" s="48"/>
      <c r="W486" s="48"/>
      <c r="X486" s="77"/>
      <c r="Y486" s="48"/>
      <c r="Z486" s="48"/>
      <c r="AA486" s="48"/>
      <c r="AB486" s="77"/>
      <c r="AC486" s="48"/>
      <c r="AD486" s="77"/>
      <c r="AE486" s="48"/>
      <c r="AF486" s="77"/>
      <c r="AG486" s="48"/>
      <c r="AH486" s="77"/>
      <c r="AI486" s="48"/>
      <c r="AJ486" s="77"/>
      <c r="AK486" s="48"/>
    </row>
    <row r="487" ht="18.0" customHeight="1">
      <c r="A487" s="48"/>
      <c r="B487" s="48"/>
      <c r="C487" s="77"/>
      <c r="D487" s="48"/>
      <c r="E487" s="48"/>
      <c r="F487" s="48"/>
      <c r="G487" s="48"/>
      <c r="H487" s="77"/>
      <c r="I487" s="48"/>
      <c r="J487" s="48"/>
      <c r="K487" s="48"/>
      <c r="L487" s="48"/>
      <c r="M487" s="48"/>
      <c r="N487" s="77"/>
      <c r="O487" s="78"/>
      <c r="P487" s="77"/>
      <c r="Q487" s="78"/>
      <c r="R487" s="78"/>
      <c r="S487" s="77"/>
      <c r="T487" s="48"/>
      <c r="U487" s="48"/>
      <c r="V487" s="48"/>
      <c r="W487" s="48"/>
      <c r="X487" s="77"/>
      <c r="Y487" s="48"/>
      <c r="Z487" s="48"/>
      <c r="AA487" s="48"/>
      <c r="AB487" s="77"/>
      <c r="AC487" s="48"/>
      <c r="AD487" s="77"/>
      <c r="AE487" s="48"/>
      <c r="AF487" s="77"/>
      <c r="AG487" s="48"/>
      <c r="AH487" s="77"/>
      <c r="AI487" s="48"/>
      <c r="AJ487" s="77"/>
      <c r="AK487" s="48"/>
    </row>
    <row r="488" ht="18.0" customHeight="1">
      <c r="A488" s="48"/>
      <c r="B488" s="48"/>
      <c r="C488" s="77"/>
      <c r="D488" s="48"/>
      <c r="E488" s="48"/>
      <c r="F488" s="48"/>
      <c r="G488" s="48"/>
      <c r="H488" s="77"/>
      <c r="I488" s="48"/>
      <c r="J488" s="48"/>
      <c r="K488" s="48"/>
      <c r="L488" s="48"/>
      <c r="M488" s="48"/>
      <c r="N488" s="77"/>
      <c r="O488" s="78"/>
      <c r="P488" s="77"/>
      <c r="Q488" s="78"/>
      <c r="R488" s="78"/>
      <c r="S488" s="77"/>
      <c r="T488" s="48"/>
      <c r="U488" s="48"/>
      <c r="V488" s="48"/>
      <c r="W488" s="48"/>
      <c r="X488" s="77"/>
      <c r="Y488" s="48"/>
      <c r="Z488" s="48"/>
      <c r="AA488" s="48"/>
      <c r="AB488" s="77"/>
      <c r="AC488" s="48"/>
      <c r="AD488" s="77"/>
      <c r="AE488" s="48"/>
      <c r="AF488" s="77"/>
      <c r="AG488" s="48"/>
      <c r="AH488" s="77"/>
      <c r="AI488" s="48"/>
      <c r="AJ488" s="77"/>
      <c r="AK488" s="48"/>
    </row>
    <row r="489" ht="18.0" customHeight="1">
      <c r="A489" s="48"/>
      <c r="B489" s="48"/>
      <c r="C489" s="77"/>
      <c r="D489" s="48"/>
      <c r="E489" s="48"/>
      <c r="F489" s="48"/>
      <c r="G489" s="48"/>
      <c r="H489" s="77"/>
      <c r="I489" s="48"/>
      <c r="J489" s="48"/>
      <c r="K489" s="48"/>
      <c r="L489" s="48"/>
      <c r="M489" s="48"/>
      <c r="N489" s="77"/>
      <c r="O489" s="78"/>
      <c r="P489" s="77"/>
      <c r="Q489" s="78"/>
      <c r="R489" s="78"/>
      <c r="S489" s="77"/>
      <c r="T489" s="48"/>
      <c r="U489" s="48"/>
      <c r="V489" s="48"/>
      <c r="W489" s="48"/>
      <c r="X489" s="77"/>
      <c r="Y489" s="48"/>
      <c r="Z489" s="48"/>
      <c r="AA489" s="48"/>
      <c r="AB489" s="77"/>
      <c r="AC489" s="48"/>
      <c r="AD489" s="77"/>
      <c r="AE489" s="48"/>
      <c r="AF489" s="77"/>
      <c r="AG489" s="48"/>
      <c r="AH489" s="77"/>
      <c r="AI489" s="48"/>
      <c r="AJ489" s="77"/>
      <c r="AK489" s="48"/>
    </row>
    <row r="490" ht="18.0" customHeight="1">
      <c r="A490" s="48"/>
      <c r="B490" s="48"/>
      <c r="C490" s="77"/>
      <c r="D490" s="48"/>
      <c r="E490" s="48"/>
      <c r="F490" s="48"/>
      <c r="G490" s="48"/>
      <c r="H490" s="77"/>
      <c r="I490" s="48"/>
      <c r="J490" s="48"/>
      <c r="K490" s="48"/>
      <c r="L490" s="48"/>
      <c r="M490" s="48"/>
      <c r="N490" s="77"/>
      <c r="O490" s="78"/>
      <c r="P490" s="77"/>
      <c r="Q490" s="78"/>
      <c r="R490" s="78"/>
      <c r="S490" s="77"/>
      <c r="T490" s="48"/>
      <c r="U490" s="48"/>
      <c r="V490" s="48"/>
      <c r="W490" s="48"/>
      <c r="X490" s="77"/>
      <c r="Y490" s="48"/>
      <c r="Z490" s="48"/>
      <c r="AA490" s="48"/>
      <c r="AB490" s="77"/>
      <c r="AC490" s="48"/>
      <c r="AD490" s="77"/>
      <c r="AE490" s="48"/>
      <c r="AF490" s="77"/>
      <c r="AG490" s="48"/>
      <c r="AH490" s="77"/>
      <c r="AI490" s="48"/>
      <c r="AJ490" s="77"/>
      <c r="AK490" s="48"/>
    </row>
    <row r="491" ht="18.0" customHeight="1">
      <c r="A491" s="48"/>
      <c r="B491" s="48"/>
      <c r="C491" s="77"/>
      <c r="D491" s="48"/>
      <c r="E491" s="48"/>
      <c r="F491" s="48"/>
      <c r="G491" s="48"/>
      <c r="H491" s="77"/>
      <c r="I491" s="48"/>
      <c r="J491" s="48"/>
      <c r="K491" s="48"/>
      <c r="L491" s="48"/>
      <c r="M491" s="48"/>
      <c r="N491" s="77"/>
      <c r="O491" s="78"/>
      <c r="P491" s="77"/>
      <c r="Q491" s="78"/>
      <c r="R491" s="78"/>
      <c r="S491" s="77"/>
      <c r="T491" s="48"/>
      <c r="U491" s="48"/>
      <c r="V491" s="48"/>
      <c r="W491" s="48"/>
      <c r="X491" s="77"/>
      <c r="Y491" s="48"/>
      <c r="Z491" s="48"/>
      <c r="AA491" s="48"/>
      <c r="AB491" s="77"/>
      <c r="AC491" s="48"/>
      <c r="AD491" s="77"/>
      <c r="AE491" s="48"/>
      <c r="AF491" s="77"/>
      <c r="AG491" s="48"/>
      <c r="AH491" s="77"/>
      <c r="AI491" s="48"/>
      <c r="AJ491" s="77"/>
      <c r="AK491" s="48"/>
    </row>
    <row r="492" ht="18.0" customHeight="1">
      <c r="A492" s="48"/>
      <c r="B492" s="48"/>
      <c r="C492" s="77"/>
      <c r="D492" s="48"/>
      <c r="E492" s="48"/>
      <c r="F492" s="48"/>
      <c r="G492" s="48"/>
      <c r="H492" s="77"/>
      <c r="I492" s="48"/>
      <c r="J492" s="48"/>
      <c r="K492" s="48"/>
      <c r="L492" s="48"/>
      <c r="M492" s="48"/>
      <c r="N492" s="77"/>
      <c r="O492" s="78"/>
      <c r="P492" s="77"/>
      <c r="Q492" s="78"/>
      <c r="R492" s="78"/>
      <c r="S492" s="77"/>
      <c r="T492" s="48"/>
      <c r="U492" s="48"/>
      <c r="V492" s="48"/>
      <c r="W492" s="48"/>
      <c r="X492" s="77"/>
      <c r="Y492" s="48"/>
      <c r="Z492" s="48"/>
      <c r="AA492" s="48"/>
      <c r="AB492" s="77"/>
      <c r="AC492" s="48"/>
      <c r="AD492" s="77"/>
      <c r="AE492" s="48"/>
      <c r="AF492" s="77"/>
      <c r="AG492" s="48"/>
      <c r="AH492" s="77"/>
      <c r="AI492" s="48"/>
      <c r="AJ492" s="77"/>
      <c r="AK492" s="48"/>
    </row>
    <row r="493" ht="18.0" customHeight="1">
      <c r="A493" s="48"/>
      <c r="B493" s="48"/>
      <c r="C493" s="77"/>
      <c r="D493" s="48"/>
      <c r="E493" s="48"/>
      <c r="F493" s="48"/>
      <c r="G493" s="48"/>
      <c r="H493" s="77"/>
      <c r="I493" s="48"/>
      <c r="J493" s="48"/>
      <c r="K493" s="48"/>
      <c r="L493" s="48"/>
      <c r="M493" s="48"/>
      <c r="N493" s="77"/>
      <c r="O493" s="78"/>
      <c r="P493" s="77"/>
      <c r="Q493" s="78"/>
      <c r="R493" s="78"/>
      <c r="S493" s="77"/>
      <c r="T493" s="48"/>
      <c r="U493" s="48"/>
      <c r="V493" s="48"/>
      <c r="W493" s="48"/>
      <c r="X493" s="77"/>
      <c r="Y493" s="48"/>
      <c r="Z493" s="48"/>
      <c r="AA493" s="48"/>
      <c r="AB493" s="77"/>
      <c r="AC493" s="48"/>
      <c r="AD493" s="77"/>
      <c r="AE493" s="48"/>
      <c r="AF493" s="77"/>
      <c r="AG493" s="48"/>
      <c r="AH493" s="77"/>
      <c r="AI493" s="48"/>
      <c r="AJ493" s="77"/>
      <c r="AK493" s="48"/>
    </row>
    <row r="494" ht="18.0" customHeight="1">
      <c r="A494" s="48"/>
      <c r="B494" s="48"/>
      <c r="C494" s="77"/>
      <c r="D494" s="48"/>
      <c r="E494" s="48"/>
      <c r="F494" s="48"/>
      <c r="G494" s="48"/>
      <c r="H494" s="77"/>
      <c r="I494" s="48"/>
      <c r="J494" s="48"/>
      <c r="K494" s="48"/>
      <c r="L494" s="48"/>
      <c r="M494" s="48"/>
      <c r="N494" s="77"/>
      <c r="O494" s="78"/>
      <c r="P494" s="77"/>
      <c r="Q494" s="78"/>
      <c r="R494" s="78"/>
      <c r="S494" s="77"/>
      <c r="T494" s="48"/>
      <c r="U494" s="48"/>
      <c r="V494" s="48"/>
      <c r="W494" s="48"/>
      <c r="X494" s="77"/>
      <c r="Y494" s="48"/>
      <c r="Z494" s="48"/>
      <c r="AA494" s="48"/>
      <c r="AB494" s="77"/>
      <c r="AC494" s="48"/>
      <c r="AD494" s="77"/>
      <c r="AE494" s="48"/>
      <c r="AF494" s="77"/>
      <c r="AG494" s="48"/>
      <c r="AH494" s="77"/>
      <c r="AI494" s="48"/>
      <c r="AJ494" s="77"/>
      <c r="AK494" s="48"/>
    </row>
    <row r="495" ht="18.0" customHeight="1">
      <c r="A495" s="48"/>
      <c r="B495" s="48"/>
      <c r="C495" s="77"/>
      <c r="D495" s="48"/>
      <c r="E495" s="48"/>
      <c r="F495" s="48"/>
      <c r="G495" s="48"/>
      <c r="H495" s="77"/>
      <c r="I495" s="48"/>
      <c r="J495" s="48"/>
      <c r="K495" s="48"/>
      <c r="L495" s="48"/>
      <c r="M495" s="48"/>
      <c r="N495" s="77"/>
      <c r="O495" s="78"/>
      <c r="P495" s="77"/>
      <c r="Q495" s="78"/>
      <c r="R495" s="78"/>
      <c r="S495" s="77"/>
      <c r="T495" s="48"/>
      <c r="U495" s="48"/>
      <c r="V495" s="48"/>
      <c r="W495" s="48"/>
      <c r="X495" s="77"/>
      <c r="Y495" s="48"/>
      <c r="Z495" s="48"/>
      <c r="AA495" s="48"/>
      <c r="AB495" s="77"/>
      <c r="AC495" s="48"/>
      <c r="AD495" s="77"/>
      <c r="AE495" s="48"/>
      <c r="AF495" s="77"/>
      <c r="AG495" s="48"/>
      <c r="AH495" s="77"/>
      <c r="AI495" s="48"/>
      <c r="AJ495" s="77"/>
      <c r="AK495" s="48"/>
    </row>
    <row r="496" ht="18.0" customHeight="1">
      <c r="A496" s="48"/>
      <c r="B496" s="48"/>
      <c r="C496" s="77"/>
      <c r="D496" s="48"/>
      <c r="E496" s="48"/>
      <c r="F496" s="48"/>
      <c r="G496" s="48"/>
      <c r="H496" s="77"/>
      <c r="I496" s="48"/>
      <c r="J496" s="48"/>
      <c r="K496" s="48"/>
      <c r="L496" s="48"/>
      <c r="M496" s="48"/>
      <c r="N496" s="77"/>
      <c r="O496" s="78"/>
      <c r="P496" s="77"/>
      <c r="Q496" s="78"/>
      <c r="R496" s="78"/>
      <c r="S496" s="77"/>
      <c r="T496" s="48"/>
      <c r="U496" s="48"/>
      <c r="V496" s="48"/>
      <c r="W496" s="48"/>
      <c r="X496" s="77"/>
      <c r="Y496" s="48"/>
      <c r="Z496" s="48"/>
      <c r="AA496" s="48"/>
      <c r="AB496" s="77"/>
      <c r="AC496" s="48"/>
      <c r="AD496" s="77"/>
      <c r="AE496" s="48"/>
      <c r="AF496" s="77"/>
      <c r="AG496" s="48"/>
      <c r="AH496" s="77"/>
      <c r="AI496" s="48"/>
      <c r="AJ496" s="77"/>
      <c r="AK496" s="48"/>
    </row>
    <row r="497" ht="18.0" customHeight="1">
      <c r="A497" s="48"/>
      <c r="B497" s="48"/>
      <c r="C497" s="77"/>
      <c r="D497" s="48"/>
      <c r="E497" s="48"/>
      <c r="F497" s="48"/>
      <c r="G497" s="48"/>
      <c r="H497" s="77"/>
      <c r="I497" s="48"/>
      <c r="J497" s="48"/>
      <c r="K497" s="48"/>
      <c r="L497" s="48"/>
      <c r="M497" s="48"/>
      <c r="N497" s="77"/>
      <c r="O497" s="78"/>
      <c r="P497" s="77"/>
      <c r="Q497" s="78"/>
      <c r="R497" s="78"/>
      <c r="S497" s="77"/>
      <c r="T497" s="48"/>
      <c r="U497" s="48"/>
      <c r="V497" s="48"/>
      <c r="W497" s="48"/>
      <c r="X497" s="77"/>
      <c r="Y497" s="48"/>
      <c r="Z497" s="48"/>
      <c r="AA497" s="48"/>
      <c r="AB497" s="77"/>
      <c r="AC497" s="48"/>
      <c r="AD497" s="77"/>
      <c r="AE497" s="48"/>
      <c r="AF497" s="77"/>
      <c r="AG497" s="48"/>
      <c r="AH497" s="77"/>
      <c r="AI497" s="48"/>
      <c r="AJ497" s="77"/>
      <c r="AK497" s="48"/>
    </row>
    <row r="498" ht="18.0" customHeight="1">
      <c r="A498" s="48"/>
      <c r="B498" s="48"/>
      <c r="C498" s="77"/>
      <c r="D498" s="48"/>
      <c r="E498" s="48"/>
      <c r="F498" s="48"/>
      <c r="G498" s="48"/>
      <c r="H498" s="77"/>
      <c r="I498" s="48"/>
      <c r="J498" s="48"/>
      <c r="K498" s="48"/>
      <c r="L498" s="48"/>
      <c r="M498" s="48"/>
      <c r="N498" s="77"/>
      <c r="O498" s="78"/>
      <c r="P498" s="77"/>
      <c r="Q498" s="78"/>
      <c r="R498" s="78"/>
      <c r="S498" s="77"/>
      <c r="T498" s="48"/>
      <c r="U498" s="48"/>
      <c r="V498" s="48"/>
      <c r="W498" s="48"/>
      <c r="X498" s="77"/>
      <c r="Y498" s="48"/>
      <c r="Z498" s="48"/>
      <c r="AA498" s="48"/>
      <c r="AB498" s="77"/>
      <c r="AC498" s="48"/>
      <c r="AD498" s="77"/>
      <c r="AE498" s="48"/>
      <c r="AF498" s="77"/>
      <c r="AG498" s="48"/>
      <c r="AH498" s="77"/>
      <c r="AI498" s="48"/>
      <c r="AJ498" s="77"/>
      <c r="AK498" s="48"/>
    </row>
    <row r="499" ht="18.0" customHeight="1">
      <c r="A499" s="48"/>
      <c r="B499" s="48"/>
      <c r="C499" s="77"/>
      <c r="D499" s="48"/>
      <c r="E499" s="48"/>
      <c r="F499" s="48"/>
      <c r="G499" s="48"/>
      <c r="H499" s="77"/>
      <c r="I499" s="48"/>
      <c r="J499" s="48"/>
      <c r="K499" s="48"/>
      <c r="L499" s="48"/>
      <c r="M499" s="48"/>
      <c r="N499" s="77"/>
      <c r="O499" s="78"/>
      <c r="P499" s="77"/>
      <c r="Q499" s="78"/>
      <c r="R499" s="78"/>
      <c r="S499" s="77"/>
      <c r="T499" s="48"/>
      <c r="U499" s="48"/>
      <c r="V499" s="48"/>
      <c r="W499" s="48"/>
      <c r="X499" s="77"/>
      <c r="Y499" s="48"/>
      <c r="Z499" s="48"/>
      <c r="AA499" s="48"/>
      <c r="AB499" s="77"/>
      <c r="AC499" s="48"/>
      <c r="AD499" s="77"/>
      <c r="AE499" s="48"/>
      <c r="AF499" s="77"/>
      <c r="AG499" s="48"/>
      <c r="AH499" s="77"/>
      <c r="AI499" s="48"/>
      <c r="AJ499" s="77"/>
      <c r="AK499" s="48"/>
    </row>
    <row r="500" ht="18.0" customHeight="1">
      <c r="A500" s="48"/>
      <c r="B500" s="48"/>
      <c r="C500" s="77"/>
      <c r="D500" s="48"/>
      <c r="E500" s="48"/>
      <c r="F500" s="48"/>
      <c r="G500" s="48"/>
      <c r="H500" s="77"/>
      <c r="I500" s="48"/>
      <c r="J500" s="48"/>
      <c r="K500" s="48"/>
      <c r="L500" s="48"/>
      <c r="M500" s="48"/>
      <c r="N500" s="77"/>
      <c r="O500" s="78"/>
      <c r="P500" s="77"/>
      <c r="Q500" s="78"/>
      <c r="R500" s="78"/>
      <c r="S500" s="77"/>
      <c r="T500" s="48"/>
      <c r="U500" s="48"/>
      <c r="V500" s="48"/>
      <c r="W500" s="48"/>
      <c r="X500" s="77"/>
      <c r="Y500" s="48"/>
      <c r="Z500" s="48"/>
      <c r="AA500" s="48"/>
      <c r="AB500" s="77"/>
      <c r="AC500" s="48"/>
      <c r="AD500" s="77"/>
      <c r="AE500" s="48"/>
      <c r="AF500" s="77"/>
      <c r="AG500" s="48"/>
      <c r="AH500" s="77"/>
      <c r="AI500" s="48"/>
      <c r="AJ500" s="77"/>
      <c r="AK500" s="48"/>
    </row>
    <row r="501" ht="18.0" customHeight="1">
      <c r="A501" s="48"/>
      <c r="B501" s="48"/>
      <c r="C501" s="77"/>
      <c r="D501" s="48"/>
      <c r="E501" s="48"/>
      <c r="F501" s="48"/>
      <c r="G501" s="48"/>
      <c r="H501" s="77"/>
      <c r="I501" s="48"/>
      <c r="J501" s="48"/>
      <c r="K501" s="48"/>
      <c r="L501" s="48"/>
      <c r="M501" s="48"/>
      <c r="N501" s="77"/>
      <c r="O501" s="78"/>
      <c r="P501" s="77"/>
      <c r="Q501" s="78"/>
      <c r="R501" s="78"/>
      <c r="S501" s="77"/>
      <c r="T501" s="48"/>
      <c r="U501" s="48"/>
      <c r="V501" s="48"/>
      <c r="W501" s="48"/>
      <c r="X501" s="77"/>
      <c r="Y501" s="48"/>
      <c r="Z501" s="48"/>
      <c r="AA501" s="48"/>
      <c r="AB501" s="77"/>
      <c r="AC501" s="48"/>
      <c r="AD501" s="77"/>
      <c r="AE501" s="48"/>
      <c r="AF501" s="77"/>
      <c r="AG501" s="48"/>
      <c r="AH501" s="77"/>
      <c r="AI501" s="48"/>
      <c r="AJ501" s="77"/>
      <c r="AK501" s="48"/>
    </row>
    <row r="502" ht="18.0" customHeight="1">
      <c r="A502" s="48"/>
      <c r="B502" s="48"/>
      <c r="C502" s="77"/>
      <c r="D502" s="48"/>
      <c r="E502" s="48"/>
      <c r="F502" s="48"/>
      <c r="G502" s="48"/>
      <c r="H502" s="77"/>
      <c r="I502" s="48"/>
      <c r="J502" s="48"/>
      <c r="K502" s="48"/>
      <c r="L502" s="48"/>
      <c r="M502" s="48"/>
      <c r="N502" s="77"/>
      <c r="O502" s="78"/>
      <c r="P502" s="77"/>
      <c r="Q502" s="78"/>
      <c r="R502" s="78"/>
      <c r="S502" s="77"/>
      <c r="T502" s="48"/>
      <c r="U502" s="48"/>
      <c r="V502" s="48"/>
      <c r="W502" s="48"/>
      <c r="X502" s="77"/>
      <c r="Y502" s="48"/>
      <c r="Z502" s="48"/>
      <c r="AA502" s="48"/>
      <c r="AB502" s="77"/>
      <c r="AC502" s="48"/>
      <c r="AD502" s="77"/>
      <c r="AE502" s="48"/>
      <c r="AF502" s="77"/>
      <c r="AG502" s="48"/>
      <c r="AH502" s="77"/>
      <c r="AI502" s="48"/>
      <c r="AJ502" s="77"/>
      <c r="AK502" s="48"/>
    </row>
    <row r="503" ht="18.0" customHeight="1">
      <c r="A503" s="48"/>
      <c r="B503" s="48"/>
      <c r="C503" s="77"/>
      <c r="D503" s="48"/>
      <c r="E503" s="48"/>
      <c r="F503" s="48"/>
      <c r="G503" s="48"/>
      <c r="H503" s="77"/>
      <c r="I503" s="48"/>
      <c r="J503" s="48"/>
      <c r="K503" s="48"/>
      <c r="L503" s="48"/>
      <c r="M503" s="48"/>
      <c r="N503" s="77"/>
      <c r="O503" s="78"/>
      <c r="P503" s="77"/>
      <c r="Q503" s="78"/>
      <c r="R503" s="78"/>
      <c r="S503" s="77"/>
      <c r="T503" s="48"/>
      <c r="U503" s="48"/>
      <c r="V503" s="48"/>
      <c r="W503" s="48"/>
      <c r="X503" s="77"/>
      <c r="Y503" s="48"/>
      <c r="Z503" s="48"/>
      <c r="AA503" s="48"/>
      <c r="AB503" s="77"/>
      <c r="AC503" s="48"/>
      <c r="AD503" s="77"/>
      <c r="AE503" s="48"/>
      <c r="AF503" s="77"/>
      <c r="AG503" s="48"/>
      <c r="AH503" s="77"/>
      <c r="AI503" s="48"/>
      <c r="AJ503" s="77"/>
      <c r="AK503" s="48"/>
    </row>
    <row r="504" ht="18.0" customHeight="1">
      <c r="A504" s="48"/>
      <c r="B504" s="48"/>
      <c r="C504" s="77"/>
      <c r="D504" s="48"/>
      <c r="E504" s="48"/>
      <c r="F504" s="48"/>
      <c r="G504" s="48"/>
      <c r="H504" s="77"/>
      <c r="I504" s="48"/>
      <c r="J504" s="48"/>
      <c r="K504" s="48"/>
      <c r="L504" s="48"/>
      <c r="M504" s="48"/>
      <c r="N504" s="77"/>
      <c r="O504" s="78"/>
      <c r="P504" s="77"/>
      <c r="Q504" s="78"/>
      <c r="R504" s="78"/>
      <c r="S504" s="77"/>
      <c r="T504" s="48"/>
      <c r="U504" s="48"/>
      <c r="V504" s="48"/>
      <c r="W504" s="48"/>
      <c r="X504" s="77"/>
      <c r="Y504" s="48"/>
      <c r="Z504" s="48"/>
      <c r="AA504" s="48"/>
      <c r="AB504" s="77"/>
      <c r="AC504" s="48"/>
      <c r="AD504" s="77"/>
      <c r="AE504" s="48"/>
      <c r="AF504" s="77"/>
      <c r="AG504" s="48"/>
      <c r="AH504" s="77"/>
      <c r="AI504" s="48"/>
      <c r="AJ504" s="77"/>
      <c r="AK504" s="48"/>
    </row>
    <row r="505" ht="18.0" customHeight="1">
      <c r="A505" s="48"/>
      <c r="B505" s="48"/>
      <c r="C505" s="77"/>
      <c r="D505" s="48"/>
      <c r="E505" s="48"/>
      <c r="F505" s="48"/>
      <c r="G505" s="48"/>
      <c r="H505" s="77"/>
      <c r="I505" s="48"/>
      <c r="J505" s="48"/>
      <c r="K505" s="48"/>
      <c r="L505" s="48"/>
      <c r="M505" s="48"/>
      <c r="N505" s="77"/>
      <c r="O505" s="78"/>
      <c r="P505" s="77"/>
      <c r="Q505" s="78"/>
      <c r="R505" s="78"/>
      <c r="S505" s="77"/>
      <c r="T505" s="48"/>
      <c r="U505" s="48"/>
      <c r="V505" s="48"/>
      <c r="W505" s="48"/>
      <c r="X505" s="77"/>
      <c r="Y505" s="48"/>
      <c r="Z505" s="48"/>
      <c r="AA505" s="48"/>
      <c r="AB505" s="77"/>
      <c r="AC505" s="48"/>
      <c r="AD505" s="77"/>
      <c r="AE505" s="48"/>
      <c r="AF505" s="77"/>
      <c r="AG505" s="48"/>
      <c r="AH505" s="77"/>
      <c r="AI505" s="48"/>
      <c r="AJ505" s="77"/>
      <c r="AK505" s="48"/>
    </row>
    <row r="506" ht="18.0" customHeight="1">
      <c r="A506" s="48"/>
      <c r="B506" s="48"/>
      <c r="C506" s="77"/>
      <c r="D506" s="48"/>
      <c r="E506" s="48"/>
      <c r="F506" s="48"/>
      <c r="G506" s="48"/>
      <c r="H506" s="77"/>
      <c r="I506" s="48"/>
      <c r="J506" s="48"/>
      <c r="K506" s="48"/>
      <c r="L506" s="48"/>
      <c r="M506" s="48"/>
      <c r="N506" s="77"/>
      <c r="O506" s="78"/>
      <c r="P506" s="77"/>
      <c r="Q506" s="78"/>
      <c r="R506" s="78"/>
      <c r="S506" s="77"/>
      <c r="T506" s="48"/>
      <c r="U506" s="48"/>
      <c r="V506" s="48"/>
      <c r="W506" s="48"/>
      <c r="X506" s="77"/>
      <c r="Y506" s="48"/>
      <c r="Z506" s="48"/>
      <c r="AA506" s="48"/>
      <c r="AB506" s="77"/>
      <c r="AC506" s="48"/>
      <c r="AD506" s="77"/>
      <c r="AE506" s="48"/>
      <c r="AF506" s="77"/>
      <c r="AG506" s="48"/>
      <c r="AH506" s="77"/>
      <c r="AI506" s="48"/>
      <c r="AJ506" s="77"/>
      <c r="AK506" s="48"/>
    </row>
    <row r="507" ht="18.0" customHeight="1">
      <c r="A507" s="48"/>
      <c r="B507" s="48"/>
      <c r="C507" s="77"/>
      <c r="D507" s="48"/>
      <c r="E507" s="48"/>
      <c r="F507" s="48"/>
      <c r="G507" s="48"/>
      <c r="H507" s="77"/>
      <c r="I507" s="48"/>
      <c r="J507" s="48"/>
      <c r="K507" s="48"/>
      <c r="L507" s="48"/>
      <c r="M507" s="48"/>
      <c r="N507" s="77"/>
      <c r="O507" s="78"/>
      <c r="P507" s="77"/>
      <c r="Q507" s="78"/>
      <c r="R507" s="78"/>
      <c r="S507" s="77"/>
      <c r="T507" s="48"/>
      <c r="U507" s="48"/>
      <c r="V507" s="48"/>
      <c r="W507" s="48"/>
      <c r="X507" s="77"/>
      <c r="Y507" s="48"/>
      <c r="Z507" s="48"/>
      <c r="AA507" s="48"/>
      <c r="AB507" s="77"/>
      <c r="AC507" s="48"/>
      <c r="AD507" s="77"/>
      <c r="AE507" s="48"/>
      <c r="AF507" s="77"/>
      <c r="AG507" s="48"/>
      <c r="AH507" s="77"/>
      <c r="AI507" s="48"/>
      <c r="AJ507" s="77"/>
      <c r="AK507" s="48"/>
    </row>
    <row r="508" ht="18.0" customHeight="1">
      <c r="A508" s="48"/>
      <c r="B508" s="48"/>
      <c r="C508" s="77"/>
      <c r="D508" s="48"/>
      <c r="E508" s="48"/>
      <c r="F508" s="48"/>
      <c r="G508" s="48"/>
      <c r="H508" s="77"/>
      <c r="I508" s="48"/>
      <c r="J508" s="48"/>
      <c r="K508" s="48"/>
      <c r="L508" s="48"/>
      <c r="M508" s="48"/>
      <c r="N508" s="77"/>
      <c r="O508" s="78"/>
      <c r="P508" s="77"/>
      <c r="Q508" s="78"/>
      <c r="R508" s="78"/>
      <c r="S508" s="77"/>
      <c r="T508" s="48"/>
      <c r="U508" s="48"/>
      <c r="V508" s="48"/>
      <c r="W508" s="48"/>
      <c r="X508" s="77"/>
      <c r="Y508" s="48"/>
      <c r="Z508" s="48"/>
      <c r="AA508" s="48"/>
      <c r="AB508" s="77"/>
      <c r="AC508" s="48"/>
      <c r="AD508" s="77"/>
      <c r="AE508" s="48"/>
      <c r="AF508" s="77"/>
      <c r="AG508" s="48"/>
      <c r="AH508" s="77"/>
      <c r="AI508" s="48"/>
      <c r="AJ508" s="77"/>
      <c r="AK508" s="48"/>
    </row>
    <row r="509" ht="18.0" customHeight="1">
      <c r="A509" s="48"/>
      <c r="B509" s="48"/>
      <c r="C509" s="77"/>
      <c r="D509" s="48"/>
      <c r="E509" s="48"/>
      <c r="F509" s="48"/>
      <c r="G509" s="48"/>
      <c r="H509" s="77"/>
      <c r="I509" s="48"/>
      <c r="J509" s="48"/>
      <c r="K509" s="48"/>
      <c r="L509" s="48"/>
      <c r="M509" s="48"/>
      <c r="N509" s="77"/>
      <c r="O509" s="78"/>
      <c r="P509" s="77"/>
      <c r="Q509" s="78"/>
      <c r="R509" s="78"/>
      <c r="S509" s="77"/>
      <c r="T509" s="48"/>
      <c r="U509" s="48"/>
      <c r="V509" s="48"/>
      <c r="W509" s="48"/>
      <c r="X509" s="77"/>
      <c r="Y509" s="48"/>
      <c r="Z509" s="48"/>
      <c r="AA509" s="48"/>
      <c r="AB509" s="77"/>
      <c r="AC509" s="48"/>
      <c r="AD509" s="77"/>
      <c r="AE509" s="48"/>
      <c r="AF509" s="77"/>
      <c r="AG509" s="48"/>
      <c r="AH509" s="77"/>
      <c r="AI509" s="48"/>
      <c r="AJ509" s="77"/>
      <c r="AK509" s="48"/>
    </row>
    <row r="510" ht="18.0" customHeight="1">
      <c r="A510" s="48"/>
      <c r="B510" s="48"/>
      <c r="C510" s="77"/>
      <c r="D510" s="48"/>
      <c r="E510" s="48"/>
      <c r="F510" s="48"/>
      <c r="G510" s="48"/>
      <c r="H510" s="77"/>
      <c r="I510" s="48"/>
      <c r="J510" s="48"/>
      <c r="K510" s="48"/>
      <c r="L510" s="48"/>
      <c r="M510" s="48"/>
      <c r="N510" s="77"/>
      <c r="O510" s="78"/>
      <c r="P510" s="77"/>
      <c r="Q510" s="78"/>
      <c r="R510" s="78"/>
      <c r="S510" s="77"/>
      <c r="T510" s="48"/>
      <c r="U510" s="48"/>
      <c r="V510" s="48"/>
      <c r="W510" s="48"/>
      <c r="X510" s="77"/>
      <c r="Y510" s="48"/>
      <c r="Z510" s="48"/>
      <c r="AA510" s="48"/>
      <c r="AB510" s="77"/>
      <c r="AC510" s="48"/>
      <c r="AD510" s="77"/>
      <c r="AE510" s="48"/>
      <c r="AF510" s="77"/>
      <c r="AG510" s="48"/>
      <c r="AH510" s="77"/>
      <c r="AI510" s="48"/>
      <c r="AJ510" s="77"/>
      <c r="AK510" s="48"/>
    </row>
    <row r="511" ht="18.0" customHeight="1">
      <c r="A511" s="48"/>
      <c r="B511" s="48"/>
      <c r="C511" s="77"/>
      <c r="D511" s="48"/>
      <c r="E511" s="48"/>
      <c r="F511" s="48"/>
      <c r="G511" s="48"/>
      <c r="H511" s="77"/>
      <c r="I511" s="48"/>
      <c r="J511" s="48"/>
      <c r="K511" s="48"/>
      <c r="L511" s="48"/>
      <c r="M511" s="48"/>
      <c r="N511" s="77"/>
      <c r="O511" s="78"/>
      <c r="P511" s="77"/>
      <c r="Q511" s="78"/>
      <c r="R511" s="78"/>
      <c r="S511" s="77"/>
      <c r="T511" s="48"/>
      <c r="U511" s="48"/>
      <c r="V511" s="48"/>
      <c r="W511" s="48"/>
      <c r="X511" s="77"/>
      <c r="Y511" s="48"/>
      <c r="Z511" s="48"/>
      <c r="AA511" s="48"/>
      <c r="AB511" s="77"/>
      <c r="AC511" s="48"/>
      <c r="AD511" s="77"/>
      <c r="AE511" s="48"/>
      <c r="AF511" s="77"/>
      <c r="AG511" s="48"/>
      <c r="AH511" s="77"/>
      <c r="AI511" s="48"/>
      <c r="AJ511" s="77"/>
      <c r="AK511" s="48"/>
    </row>
    <row r="512" ht="18.0" customHeight="1">
      <c r="A512" s="48"/>
      <c r="B512" s="48"/>
      <c r="C512" s="77"/>
      <c r="D512" s="48"/>
      <c r="E512" s="48"/>
      <c r="F512" s="48"/>
      <c r="G512" s="48"/>
      <c r="H512" s="77"/>
      <c r="I512" s="48"/>
      <c r="J512" s="48"/>
      <c r="K512" s="48"/>
      <c r="L512" s="48"/>
      <c r="M512" s="48"/>
      <c r="N512" s="77"/>
      <c r="O512" s="78"/>
      <c r="P512" s="77"/>
      <c r="Q512" s="78"/>
      <c r="R512" s="78"/>
      <c r="S512" s="77"/>
      <c r="T512" s="48"/>
      <c r="U512" s="48"/>
      <c r="V512" s="48"/>
      <c r="W512" s="48"/>
      <c r="X512" s="77"/>
      <c r="Y512" s="48"/>
      <c r="Z512" s="48"/>
      <c r="AA512" s="48"/>
      <c r="AB512" s="77"/>
      <c r="AC512" s="48"/>
      <c r="AD512" s="77"/>
      <c r="AE512" s="48"/>
      <c r="AF512" s="77"/>
      <c r="AG512" s="48"/>
      <c r="AH512" s="77"/>
      <c r="AI512" s="48"/>
      <c r="AJ512" s="77"/>
      <c r="AK512" s="48"/>
    </row>
    <row r="513" ht="18.0" customHeight="1">
      <c r="A513" s="48"/>
      <c r="B513" s="48"/>
      <c r="C513" s="77"/>
      <c r="D513" s="48"/>
      <c r="E513" s="48"/>
      <c r="F513" s="48"/>
      <c r="G513" s="48"/>
      <c r="H513" s="77"/>
      <c r="I513" s="48"/>
      <c r="J513" s="48"/>
      <c r="K513" s="48"/>
      <c r="L513" s="48"/>
      <c r="M513" s="48"/>
      <c r="N513" s="77"/>
      <c r="O513" s="78"/>
      <c r="P513" s="77"/>
      <c r="Q513" s="78"/>
      <c r="R513" s="78"/>
      <c r="S513" s="77"/>
      <c r="T513" s="48"/>
      <c r="U513" s="48"/>
      <c r="V513" s="48"/>
      <c r="W513" s="48"/>
      <c r="X513" s="77"/>
      <c r="Y513" s="48"/>
      <c r="Z513" s="48"/>
      <c r="AA513" s="48"/>
      <c r="AB513" s="77"/>
      <c r="AC513" s="48"/>
      <c r="AD513" s="77"/>
      <c r="AE513" s="48"/>
      <c r="AF513" s="77"/>
      <c r="AG513" s="48"/>
      <c r="AH513" s="77"/>
      <c r="AI513" s="48"/>
      <c r="AJ513" s="77"/>
      <c r="AK513" s="48"/>
    </row>
    <row r="514" ht="18.0" customHeight="1">
      <c r="A514" s="48"/>
      <c r="B514" s="48"/>
      <c r="C514" s="77"/>
      <c r="D514" s="48"/>
      <c r="E514" s="48"/>
      <c r="F514" s="48"/>
      <c r="G514" s="48"/>
      <c r="H514" s="77"/>
      <c r="I514" s="48"/>
      <c r="J514" s="48"/>
      <c r="K514" s="48"/>
      <c r="L514" s="48"/>
      <c r="M514" s="48"/>
      <c r="N514" s="77"/>
      <c r="O514" s="78"/>
      <c r="P514" s="77"/>
      <c r="Q514" s="78"/>
      <c r="R514" s="78"/>
      <c r="S514" s="77"/>
      <c r="T514" s="48"/>
      <c r="U514" s="48"/>
      <c r="V514" s="48"/>
      <c r="W514" s="48"/>
      <c r="X514" s="77"/>
      <c r="Y514" s="48"/>
      <c r="Z514" s="48"/>
      <c r="AA514" s="48"/>
      <c r="AB514" s="77"/>
      <c r="AC514" s="48"/>
      <c r="AD514" s="77"/>
      <c r="AE514" s="48"/>
      <c r="AF514" s="77"/>
      <c r="AG514" s="48"/>
      <c r="AH514" s="77"/>
      <c r="AI514" s="48"/>
      <c r="AJ514" s="77"/>
      <c r="AK514" s="48"/>
    </row>
    <row r="515" ht="18.0" customHeight="1">
      <c r="A515" s="48"/>
      <c r="B515" s="48"/>
      <c r="C515" s="77"/>
      <c r="D515" s="48"/>
      <c r="E515" s="48"/>
      <c r="F515" s="48"/>
      <c r="G515" s="48"/>
      <c r="H515" s="77"/>
      <c r="I515" s="48"/>
      <c r="J515" s="48"/>
      <c r="K515" s="48"/>
      <c r="L515" s="48"/>
      <c r="M515" s="48"/>
      <c r="N515" s="77"/>
      <c r="O515" s="78"/>
      <c r="P515" s="77"/>
      <c r="Q515" s="78"/>
      <c r="R515" s="78"/>
      <c r="S515" s="77"/>
      <c r="T515" s="48"/>
      <c r="U515" s="48"/>
      <c r="V515" s="48"/>
      <c r="W515" s="48"/>
      <c r="X515" s="77"/>
      <c r="Y515" s="48"/>
      <c r="Z515" s="48"/>
      <c r="AA515" s="48"/>
      <c r="AB515" s="77"/>
      <c r="AC515" s="48"/>
      <c r="AD515" s="77"/>
      <c r="AE515" s="48"/>
      <c r="AF515" s="77"/>
      <c r="AG515" s="48"/>
      <c r="AH515" s="77"/>
      <c r="AI515" s="48"/>
      <c r="AJ515" s="77"/>
      <c r="AK515" s="48"/>
    </row>
    <row r="516" ht="18.0" customHeight="1">
      <c r="A516" s="48"/>
      <c r="B516" s="48"/>
      <c r="C516" s="77"/>
      <c r="D516" s="48"/>
      <c r="E516" s="48"/>
      <c r="F516" s="48"/>
      <c r="G516" s="48"/>
      <c r="H516" s="77"/>
      <c r="I516" s="48"/>
      <c r="J516" s="48"/>
      <c r="K516" s="48"/>
      <c r="L516" s="48"/>
      <c r="M516" s="48"/>
      <c r="N516" s="77"/>
      <c r="O516" s="78"/>
      <c r="P516" s="77"/>
      <c r="Q516" s="78"/>
      <c r="R516" s="78"/>
      <c r="S516" s="77"/>
      <c r="T516" s="48"/>
      <c r="U516" s="48"/>
      <c r="V516" s="48"/>
      <c r="W516" s="48"/>
      <c r="X516" s="77"/>
      <c r="Y516" s="48"/>
      <c r="Z516" s="48"/>
      <c r="AA516" s="48"/>
      <c r="AB516" s="77"/>
      <c r="AC516" s="48"/>
      <c r="AD516" s="77"/>
      <c r="AE516" s="48"/>
      <c r="AF516" s="77"/>
      <c r="AG516" s="48"/>
      <c r="AH516" s="77"/>
      <c r="AI516" s="48"/>
      <c r="AJ516" s="77"/>
      <c r="AK516" s="48"/>
    </row>
    <row r="517" ht="18.0" customHeight="1">
      <c r="A517" s="48"/>
      <c r="B517" s="48"/>
      <c r="C517" s="77"/>
      <c r="D517" s="48"/>
      <c r="E517" s="48"/>
      <c r="F517" s="48"/>
      <c r="G517" s="48"/>
      <c r="H517" s="77"/>
      <c r="I517" s="48"/>
      <c r="J517" s="48"/>
      <c r="K517" s="48"/>
      <c r="L517" s="48"/>
      <c r="M517" s="48"/>
      <c r="N517" s="77"/>
      <c r="O517" s="78"/>
      <c r="P517" s="77"/>
      <c r="Q517" s="78"/>
      <c r="R517" s="78"/>
      <c r="S517" s="77"/>
      <c r="T517" s="48"/>
      <c r="U517" s="48"/>
      <c r="V517" s="48"/>
      <c r="W517" s="48"/>
      <c r="X517" s="77"/>
      <c r="Y517" s="48"/>
      <c r="Z517" s="48"/>
      <c r="AA517" s="48"/>
      <c r="AB517" s="77"/>
      <c r="AC517" s="48"/>
      <c r="AD517" s="77"/>
      <c r="AE517" s="48"/>
      <c r="AF517" s="77"/>
      <c r="AG517" s="48"/>
      <c r="AH517" s="77"/>
      <c r="AI517" s="48"/>
      <c r="AJ517" s="77"/>
      <c r="AK517" s="48"/>
    </row>
    <row r="518" ht="18.0" customHeight="1">
      <c r="A518" s="48"/>
      <c r="B518" s="48"/>
      <c r="C518" s="77"/>
      <c r="D518" s="48"/>
      <c r="E518" s="48"/>
      <c r="F518" s="48"/>
      <c r="G518" s="48"/>
      <c r="H518" s="77"/>
      <c r="I518" s="48"/>
      <c r="J518" s="48"/>
      <c r="K518" s="48"/>
      <c r="L518" s="48"/>
      <c r="M518" s="48"/>
      <c r="N518" s="77"/>
      <c r="O518" s="78"/>
      <c r="P518" s="77"/>
      <c r="Q518" s="78"/>
      <c r="R518" s="78"/>
      <c r="S518" s="77"/>
      <c r="T518" s="48"/>
      <c r="U518" s="48"/>
      <c r="V518" s="48"/>
      <c r="W518" s="48"/>
      <c r="X518" s="77"/>
      <c r="Y518" s="48"/>
      <c r="Z518" s="48"/>
      <c r="AA518" s="48"/>
      <c r="AB518" s="77"/>
      <c r="AC518" s="48"/>
      <c r="AD518" s="77"/>
      <c r="AE518" s="48"/>
      <c r="AF518" s="77"/>
      <c r="AG518" s="48"/>
      <c r="AH518" s="77"/>
      <c r="AI518" s="48"/>
      <c r="AJ518" s="77"/>
      <c r="AK518" s="48"/>
    </row>
    <row r="519" ht="18.0" customHeight="1">
      <c r="A519" s="48"/>
      <c r="B519" s="48"/>
      <c r="C519" s="77"/>
      <c r="D519" s="48"/>
      <c r="E519" s="48"/>
      <c r="F519" s="48"/>
      <c r="G519" s="48"/>
      <c r="H519" s="77"/>
      <c r="I519" s="48"/>
      <c r="J519" s="48"/>
      <c r="K519" s="48"/>
      <c r="L519" s="48"/>
      <c r="M519" s="48"/>
      <c r="N519" s="77"/>
      <c r="O519" s="78"/>
      <c r="P519" s="77"/>
      <c r="Q519" s="78"/>
      <c r="R519" s="78"/>
      <c r="S519" s="77"/>
      <c r="T519" s="48"/>
      <c r="U519" s="48"/>
      <c r="V519" s="48"/>
      <c r="W519" s="48"/>
      <c r="X519" s="77"/>
      <c r="Y519" s="48"/>
      <c r="Z519" s="48"/>
      <c r="AA519" s="48"/>
      <c r="AB519" s="77"/>
      <c r="AC519" s="48"/>
      <c r="AD519" s="77"/>
      <c r="AE519" s="48"/>
      <c r="AF519" s="77"/>
      <c r="AG519" s="48"/>
      <c r="AH519" s="77"/>
      <c r="AI519" s="48"/>
      <c r="AJ519" s="77"/>
      <c r="AK519" s="48"/>
    </row>
    <row r="520" ht="18.0" customHeight="1">
      <c r="A520" s="48"/>
      <c r="B520" s="48"/>
      <c r="C520" s="77"/>
      <c r="D520" s="48"/>
      <c r="E520" s="48"/>
      <c r="F520" s="48"/>
      <c r="G520" s="48"/>
      <c r="H520" s="77"/>
      <c r="I520" s="48"/>
      <c r="J520" s="48"/>
      <c r="K520" s="48"/>
      <c r="L520" s="48"/>
      <c r="M520" s="48"/>
      <c r="N520" s="77"/>
      <c r="O520" s="78"/>
      <c r="P520" s="77"/>
      <c r="Q520" s="78"/>
      <c r="R520" s="78"/>
      <c r="S520" s="77"/>
      <c r="T520" s="48"/>
      <c r="U520" s="48"/>
      <c r="V520" s="48"/>
      <c r="W520" s="48"/>
      <c r="X520" s="77"/>
      <c r="Y520" s="48"/>
      <c r="Z520" s="48"/>
      <c r="AA520" s="48"/>
      <c r="AB520" s="77"/>
      <c r="AC520" s="48"/>
      <c r="AD520" s="77"/>
      <c r="AE520" s="48"/>
      <c r="AF520" s="77"/>
      <c r="AG520" s="48"/>
      <c r="AH520" s="77"/>
      <c r="AI520" s="48"/>
      <c r="AJ520" s="77"/>
      <c r="AK520" s="48"/>
    </row>
    <row r="521" ht="18.0" customHeight="1">
      <c r="A521" s="48"/>
      <c r="B521" s="48"/>
      <c r="C521" s="77"/>
      <c r="D521" s="48"/>
      <c r="E521" s="48"/>
      <c r="F521" s="48"/>
      <c r="G521" s="48"/>
      <c r="H521" s="77"/>
      <c r="I521" s="48"/>
      <c r="J521" s="48"/>
      <c r="K521" s="48"/>
      <c r="L521" s="48"/>
      <c r="M521" s="48"/>
      <c r="N521" s="77"/>
      <c r="O521" s="78"/>
      <c r="P521" s="77"/>
      <c r="Q521" s="78"/>
      <c r="R521" s="78"/>
      <c r="S521" s="77"/>
      <c r="T521" s="48"/>
      <c r="U521" s="48"/>
      <c r="V521" s="48"/>
      <c r="W521" s="48"/>
      <c r="X521" s="77"/>
      <c r="Y521" s="48"/>
      <c r="Z521" s="48"/>
      <c r="AA521" s="48"/>
      <c r="AB521" s="77"/>
      <c r="AC521" s="48"/>
      <c r="AD521" s="77"/>
      <c r="AE521" s="48"/>
      <c r="AF521" s="77"/>
      <c r="AG521" s="48"/>
      <c r="AH521" s="77"/>
      <c r="AI521" s="48"/>
      <c r="AJ521" s="77"/>
      <c r="AK521" s="48"/>
    </row>
    <row r="522" ht="18.0" customHeight="1">
      <c r="A522" s="48"/>
      <c r="B522" s="48"/>
      <c r="C522" s="77"/>
      <c r="D522" s="48"/>
      <c r="E522" s="48"/>
      <c r="F522" s="48"/>
      <c r="G522" s="48"/>
      <c r="H522" s="77"/>
      <c r="I522" s="48"/>
      <c r="J522" s="48"/>
      <c r="K522" s="48"/>
      <c r="L522" s="48"/>
      <c r="M522" s="48"/>
      <c r="N522" s="77"/>
      <c r="O522" s="78"/>
      <c r="P522" s="77"/>
      <c r="Q522" s="78"/>
      <c r="R522" s="78"/>
      <c r="S522" s="77"/>
      <c r="T522" s="48"/>
      <c r="U522" s="48"/>
      <c r="V522" s="48"/>
      <c r="W522" s="48"/>
      <c r="X522" s="77"/>
      <c r="Y522" s="48"/>
      <c r="Z522" s="48"/>
      <c r="AA522" s="48"/>
      <c r="AB522" s="77"/>
      <c r="AC522" s="48"/>
      <c r="AD522" s="77"/>
      <c r="AE522" s="48"/>
      <c r="AF522" s="77"/>
      <c r="AG522" s="48"/>
      <c r="AH522" s="77"/>
      <c r="AI522" s="48"/>
      <c r="AJ522" s="77"/>
      <c r="AK522" s="48"/>
    </row>
    <row r="523" ht="18.0" customHeight="1">
      <c r="A523" s="48"/>
      <c r="B523" s="48"/>
      <c r="C523" s="77"/>
      <c r="D523" s="48"/>
      <c r="E523" s="48"/>
      <c r="F523" s="48"/>
      <c r="G523" s="48"/>
      <c r="H523" s="77"/>
      <c r="I523" s="48"/>
      <c r="J523" s="48"/>
      <c r="K523" s="48"/>
      <c r="L523" s="48"/>
      <c r="M523" s="48"/>
      <c r="N523" s="77"/>
      <c r="O523" s="78"/>
      <c r="P523" s="77"/>
      <c r="Q523" s="78"/>
      <c r="R523" s="78"/>
      <c r="S523" s="77"/>
      <c r="T523" s="48"/>
      <c r="U523" s="48"/>
      <c r="V523" s="48"/>
      <c r="W523" s="48"/>
      <c r="X523" s="77"/>
      <c r="Y523" s="48"/>
      <c r="Z523" s="48"/>
      <c r="AA523" s="48"/>
      <c r="AB523" s="77"/>
      <c r="AC523" s="48"/>
      <c r="AD523" s="77"/>
      <c r="AE523" s="48"/>
      <c r="AF523" s="77"/>
      <c r="AG523" s="48"/>
      <c r="AH523" s="77"/>
      <c r="AI523" s="48"/>
      <c r="AJ523" s="77"/>
      <c r="AK523" s="48"/>
    </row>
    <row r="524" ht="18.0" customHeight="1">
      <c r="A524" s="48"/>
      <c r="B524" s="48"/>
      <c r="C524" s="77"/>
      <c r="D524" s="48"/>
      <c r="E524" s="48"/>
      <c r="F524" s="48"/>
      <c r="G524" s="48"/>
      <c r="H524" s="77"/>
      <c r="I524" s="48"/>
      <c r="J524" s="48"/>
      <c r="K524" s="48"/>
      <c r="L524" s="48"/>
      <c r="M524" s="48"/>
      <c r="N524" s="77"/>
      <c r="O524" s="78"/>
      <c r="P524" s="77"/>
      <c r="Q524" s="78"/>
      <c r="R524" s="78"/>
      <c r="S524" s="77"/>
      <c r="T524" s="48"/>
      <c r="U524" s="48"/>
      <c r="V524" s="48"/>
      <c r="W524" s="48"/>
      <c r="X524" s="77"/>
      <c r="Y524" s="48"/>
      <c r="Z524" s="48"/>
      <c r="AA524" s="48"/>
      <c r="AB524" s="77"/>
      <c r="AC524" s="48"/>
      <c r="AD524" s="77"/>
      <c r="AE524" s="48"/>
      <c r="AF524" s="77"/>
      <c r="AG524" s="48"/>
      <c r="AH524" s="77"/>
      <c r="AI524" s="48"/>
      <c r="AJ524" s="77"/>
      <c r="AK524" s="48"/>
    </row>
    <row r="525" ht="18.0" customHeight="1">
      <c r="A525" s="48"/>
      <c r="B525" s="48"/>
      <c r="C525" s="77"/>
      <c r="D525" s="48"/>
      <c r="E525" s="48"/>
      <c r="F525" s="48"/>
      <c r="G525" s="48"/>
      <c r="H525" s="77"/>
      <c r="I525" s="48"/>
      <c r="J525" s="48"/>
      <c r="K525" s="48"/>
      <c r="L525" s="48"/>
      <c r="M525" s="48"/>
      <c r="N525" s="77"/>
      <c r="O525" s="78"/>
      <c r="P525" s="77"/>
      <c r="Q525" s="78"/>
      <c r="R525" s="78"/>
      <c r="S525" s="77"/>
      <c r="T525" s="48"/>
      <c r="U525" s="48"/>
      <c r="V525" s="48"/>
      <c r="W525" s="48"/>
      <c r="X525" s="77"/>
      <c r="Y525" s="48"/>
      <c r="Z525" s="48"/>
      <c r="AA525" s="48"/>
      <c r="AB525" s="77"/>
      <c r="AC525" s="48"/>
      <c r="AD525" s="77"/>
      <c r="AE525" s="48"/>
      <c r="AF525" s="77"/>
      <c r="AG525" s="48"/>
      <c r="AH525" s="77"/>
      <c r="AI525" s="48"/>
      <c r="AJ525" s="77"/>
      <c r="AK525" s="48"/>
    </row>
    <row r="526" ht="18.0" customHeight="1">
      <c r="A526" s="48"/>
      <c r="B526" s="48"/>
      <c r="C526" s="77"/>
      <c r="D526" s="48"/>
      <c r="E526" s="48"/>
      <c r="F526" s="48"/>
      <c r="G526" s="48"/>
      <c r="H526" s="77"/>
      <c r="I526" s="48"/>
      <c r="J526" s="48"/>
      <c r="K526" s="48"/>
      <c r="L526" s="48"/>
      <c r="M526" s="48"/>
      <c r="N526" s="77"/>
      <c r="O526" s="78"/>
      <c r="P526" s="77"/>
      <c r="Q526" s="78"/>
      <c r="R526" s="78"/>
      <c r="S526" s="77"/>
      <c r="T526" s="48"/>
      <c r="U526" s="48"/>
      <c r="V526" s="48"/>
      <c r="W526" s="48"/>
      <c r="X526" s="77"/>
      <c r="Y526" s="48"/>
      <c r="Z526" s="48"/>
      <c r="AA526" s="48"/>
      <c r="AB526" s="77"/>
      <c r="AC526" s="48"/>
      <c r="AD526" s="77"/>
      <c r="AE526" s="48"/>
      <c r="AF526" s="77"/>
      <c r="AG526" s="48"/>
      <c r="AH526" s="77"/>
      <c r="AI526" s="48"/>
      <c r="AJ526" s="77"/>
      <c r="AK526" s="48"/>
    </row>
    <row r="527" ht="18.0" customHeight="1">
      <c r="A527" s="48"/>
      <c r="B527" s="48"/>
      <c r="C527" s="77"/>
      <c r="D527" s="48"/>
      <c r="E527" s="48"/>
      <c r="F527" s="48"/>
      <c r="G527" s="48"/>
      <c r="H527" s="77"/>
      <c r="I527" s="48"/>
      <c r="J527" s="48"/>
      <c r="K527" s="48"/>
      <c r="L527" s="48"/>
      <c r="M527" s="48"/>
      <c r="N527" s="77"/>
      <c r="O527" s="78"/>
      <c r="P527" s="77"/>
      <c r="Q527" s="78"/>
      <c r="R527" s="78"/>
      <c r="S527" s="77"/>
      <c r="T527" s="48"/>
      <c r="U527" s="48"/>
      <c r="V527" s="48"/>
      <c r="W527" s="48"/>
      <c r="X527" s="77"/>
      <c r="Y527" s="48"/>
      <c r="Z527" s="48"/>
      <c r="AA527" s="48"/>
      <c r="AB527" s="77"/>
      <c r="AC527" s="48"/>
      <c r="AD527" s="77"/>
      <c r="AE527" s="48"/>
      <c r="AF527" s="77"/>
      <c r="AG527" s="48"/>
      <c r="AH527" s="77"/>
      <c r="AI527" s="48"/>
      <c r="AJ527" s="77"/>
      <c r="AK527" s="48"/>
    </row>
    <row r="528" ht="18.0" customHeight="1">
      <c r="A528" s="48"/>
      <c r="B528" s="48"/>
      <c r="C528" s="77"/>
      <c r="D528" s="48"/>
      <c r="E528" s="48"/>
      <c r="F528" s="48"/>
      <c r="G528" s="48"/>
      <c r="H528" s="77"/>
      <c r="I528" s="48"/>
      <c r="J528" s="48"/>
      <c r="K528" s="48"/>
      <c r="L528" s="48"/>
      <c r="M528" s="48"/>
      <c r="N528" s="77"/>
      <c r="O528" s="78"/>
      <c r="P528" s="77"/>
      <c r="Q528" s="78"/>
      <c r="R528" s="78"/>
      <c r="S528" s="77"/>
      <c r="T528" s="48"/>
      <c r="U528" s="48"/>
      <c r="V528" s="48"/>
      <c r="W528" s="48"/>
      <c r="X528" s="77"/>
      <c r="Y528" s="48"/>
      <c r="Z528" s="48"/>
      <c r="AA528" s="48"/>
      <c r="AB528" s="77"/>
      <c r="AC528" s="48"/>
      <c r="AD528" s="77"/>
      <c r="AE528" s="48"/>
      <c r="AF528" s="77"/>
      <c r="AG528" s="48"/>
      <c r="AH528" s="77"/>
      <c r="AI528" s="48"/>
      <c r="AJ528" s="77"/>
      <c r="AK528" s="48"/>
    </row>
    <row r="529" ht="18.0" customHeight="1">
      <c r="A529" s="48"/>
      <c r="B529" s="48"/>
      <c r="C529" s="77"/>
      <c r="D529" s="48"/>
      <c r="E529" s="48"/>
      <c r="F529" s="48"/>
      <c r="G529" s="48"/>
      <c r="H529" s="77"/>
      <c r="I529" s="48"/>
      <c r="J529" s="48"/>
      <c r="K529" s="48"/>
      <c r="L529" s="48"/>
      <c r="M529" s="48"/>
      <c r="N529" s="77"/>
      <c r="O529" s="78"/>
      <c r="P529" s="77"/>
      <c r="Q529" s="78"/>
      <c r="R529" s="78"/>
      <c r="S529" s="77"/>
      <c r="T529" s="48"/>
      <c r="U529" s="48"/>
      <c r="V529" s="48"/>
      <c r="W529" s="48"/>
      <c r="X529" s="77"/>
      <c r="Y529" s="48"/>
      <c r="Z529" s="48"/>
      <c r="AA529" s="48"/>
      <c r="AB529" s="77"/>
      <c r="AC529" s="48"/>
      <c r="AD529" s="77"/>
      <c r="AE529" s="48"/>
      <c r="AF529" s="77"/>
      <c r="AG529" s="48"/>
      <c r="AH529" s="77"/>
      <c r="AI529" s="48"/>
      <c r="AJ529" s="77"/>
      <c r="AK529" s="48"/>
    </row>
    <row r="530" ht="18.0" customHeight="1">
      <c r="A530" s="48"/>
      <c r="B530" s="48"/>
      <c r="C530" s="77"/>
      <c r="D530" s="48"/>
      <c r="E530" s="48"/>
      <c r="F530" s="48"/>
      <c r="G530" s="48"/>
      <c r="H530" s="77"/>
      <c r="I530" s="48"/>
      <c r="J530" s="48"/>
      <c r="K530" s="48"/>
      <c r="L530" s="48"/>
      <c r="M530" s="48"/>
      <c r="N530" s="77"/>
      <c r="O530" s="78"/>
      <c r="P530" s="77"/>
      <c r="Q530" s="78"/>
      <c r="R530" s="78"/>
      <c r="S530" s="77"/>
      <c r="T530" s="48"/>
      <c r="U530" s="48"/>
      <c r="V530" s="48"/>
      <c r="W530" s="48"/>
      <c r="X530" s="77"/>
      <c r="Y530" s="48"/>
      <c r="Z530" s="48"/>
      <c r="AA530" s="48"/>
      <c r="AB530" s="77"/>
      <c r="AC530" s="48"/>
      <c r="AD530" s="77"/>
      <c r="AE530" s="48"/>
      <c r="AF530" s="77"/>
      <c r="AG530" s="48"/>
      <c r="AH530" s="77"/>
      <c r="AI530" s="48"/>
      <c r="AJ530" s="77"/>
      <c r="AK530" s="48"/>
    </row>
    <row r="531" ht="18.0" customHeight="1">
      <c r="A531" s="48"/>
      <c r="B531" s="48"/>
      <c r="C531" s="77"/>
      <c r="D531" s="48"/>
      <c r="E531" s="48"/>
      <c r="F531" s="48"/>
      <c r="G531" s="48"/>
      <c r="H531" s="77"/>
      <c r="I531" s="48"/>
      <c r="J531" s="48"/>
      <c r="K531" s="48"/>
      <c r="L531" s="48"/>
      <c r="M531" s="48"/>
      <c r="N531" s="77"/>
      <c r="O531" s="78"/>
      <c r="P531" s="77"/>
      <c r="Q531" s="78"/>
      <c r="R531" s="78"/>
      <c r="S531" s="77"/>
      <c r="T531" s="48"/>
      <c r="U531" s="48"/>
      <c r="V531" s="48"/>
      <c r="W531" s="48"/>
      <c r="X531" s="77"/>
      <c r="Y531" s="48"/>
      <c r="Z531" s="48"/>
      <c r="AA531" s="48"/>
      <c r="AB531" s="77"/>
      <c r="AC531" s="48"/>
      <c r="AD531" s="77"/>
      <c r="AE531" s="48"/>
      <c r="AF531" s="77"/>
      <c r="AG531" s="48"/>
      <c r="AH531" s="77"/>
      <c r="AI531" s="48"/>
      <c r="AJ531" s="77"/>
      <c r="AK531" s="48"/>
    </row>
    <row r="532" ht="18.0" customHeight="1">
      <c r="A532" s="48"/>
      <c r="B532" s="48"/>
      <c r="C532" s="77"/>
      <c r="D532" s="48"/>
      <c r="E532" s="48"/>
      <c r="F532" s="48"/>
      <c r="G532" s="48"/>
      <c r="H532" s="77"/>
      <c r="I532" s="48"/>
      <c r="J532" s="48"/>
      <c r="K532" s="48"/>
      <c r="L532" s="48"/>
      <c r="M532" s="48"/>
      <c r="N532" s="77"/>
      <c r="O532" s="78"/>
      <c r="P532" s="77"/>
      <c r="Q532" s="78"/>
      <c r="R532" s="78"/>
      <c r="S532" s="77"/>
      <c r="T532" s="48"/>
      <c r="U532" s="48"/>
      <c r="V532" s="48"/>
      <c r="W532" s="48"/>
      <c r="X532" s="77"/>
      <c r="Y532" s="48"/>
      <c r="Z532" s="48"/>
      <c r="AA532" s="48"/>
      <c r="AB532" s="77"/>
      <c r="AC532" s="48"/>
      <c r="AD532" s="77"/>
      <c r="AE532" s="48"/>
      <c r="AF532" s="77"/>
      <c r="AG532" s="48"/>
      <c r="AH532" s="77"/>
      <c r="AI532" s="48"/>
      <c r="AJ532" s="77"/>
      <c r="AK532" s="48"/>
    </row>
    <row r="533" ht="18.0" customHeight="1">
      <c r="A533" s="48"/>
      <c r="B533" s="48"/>
      <c r="C533" s="77"/>
      <c r="D533" s="48"/>
      <c r="E533" s="48"/>
      <c r="F533" s="48"/>
      <c r="G533" s="48"/>
      <c r="H533" s="77"/>
      <c r="I533" s="48"/>
      <c r="J533" s="48"/>
      <c r="K533" s="48"/>
      <c r="L533" s="48"/>
      <c r="M533" s="48"/>
      <c r="N533" s="77"/>
      <c r="O533" s="78"/>
      <c r="P533" s="77"/>
      <c r="Q533" s="78"/>
      <c r="R533" s="78"/>
      <c r="S533" s="77"/>
      <c r="T533" s="48"/>
      <c r="U533" s="48"/>
      <c r="V533" s="48"/>
      <c r="W533" s="48"/>
      <c r="X533" s="77"/>
      <c r="Y533" s="48"/>
      <c r="Z533" s="48"/>
      <c r="AA533" s="48"/>
      <c r="AB533" s="77"/>
      <c r="AC533" s="48"/>
      <c r="AD533" s="77"/>
      <c r="AE533" s="48"/>
      <c r="AF533" s="77"/>
      <c r="AG533" s="48"/>
      <c r="AH533" s="77"/>
      <c r="AI533" s="48"/>
      <c r="AJ533" s="77"/>
      <c r="AK533" s="48"/>
    </row>
    <row r="534" ht="18.0" customHeight="1">
      <c r="A534" s="48"/>
      <c r="B534" s="48"/>
      <c r="C534" s="77"/>
      <c r="D534" s="48"/>
      <c r="E534" s="48"/>
      <c r="F534" s="48"/>
      <c r="G534" s="48"/>
      <c r="H534" s="77"/>
      <c r="I534" s="48"/>
      <c r="J534" s="48"/>
      <c r="K534" s="48"/>
      <c r="L534" s="48"/>
      <c r="M534" s="48"/>
      <c r="N534" s="77"/>
      <c r="O534" s="78"/>
      <c r="P534" s="77"/>
      <c r="Q534" s="78"/>
      <c r="R534" s="78"/>
      <c r="S534" s="77"/>
      <c r="T534" s="48"/>
      <c r="U534" s="48"/>
      <c r="V534" s="48"/>
      <c r="W534" s="48"/>
      <c r="X534" s="77"/>
      <c r="Y534" s="48"/>
      <c r="Z534" s="48"/>
      <c r="AA534" s="48"/>
      <c r="AB534" s="77"/>
      <c r="AC534" s="48"/>
      <c r="AD534" s="77"/>
      <c r="AE534" s="48"/>
      <c r="AF534" s="77"/>
      <c r="AG534" s="48"/>
      <c r="AH534" s="77"/>
      <c r="AI534" s="48"/>
      <c r="AJ534" s="77"/>
      <c r="AK534" s="48"/>
    </row>
    <row r="535" ht="18.0" customHeight="1">
      <c r="A535" s="48"/>
      <c r="B535" s="48"/>
      <c r="C535" s="77"/>
      <c r="D535" s="48"/>
      <c r="E535" s="48"/>
      <c r="F535" s="48"/>
      <c r="G535" s="48"/>
      <c r="H535" s="77"/>
      <c r="I535" s="48"/>
      <c r="J535" s="48"/>
      <c r="K535" s="48"/>
      <c r="L535" s="48"/>
      <c r="M535" s="48"/>
      <c r="N535" s="77"/>
      <c r="O535" s="78"/>
      <c r="P535" s="77"/>
      <c r="Q535" s="78"/>
      <c r="R535" s="78"/>
      <c r="S535" s="77"/>
      <c r="T535" s="48"/>
      <c r="U535" s="48"/>
      <c r="V535" s="48"/>
      <c r="W535" s="48"/>
      <c r="X535" s="77"/>
      <c r="Y535" s="48"/>
      <c r="Z535" s="48"/>
      <c r="AA535" s="48"/>
      <c r="AB535" s="77"/>
      <c r="AC535" s="48"/>
      <c r="AD535" s="77"/>
      <c r="AE535" s="48"/>
      <c r="AF535" s="77"/>
      <c r="AG535" s="48"/>
      <c r="AH535" s="77"/>
      <c r="AI535" s="48"/>
      <c r="AJ535" s="77"/>
      <c r="AK535" s="48"/>
    </row>
    <row r="536" ht="18.0" customHeight="1">
      <c r="A536" s="48"/>
      <c r="B536" s="48"/>
      <c r="C536" s="77"/>
      <c r="D536" s="48"/>
      <c r="E536" s="48"/>
      <c r="F536" s="48"/>
      <c r="G536" s="48"/>
      <c r="H536" s="77"/>
      <c r="I536" s="48"/>
      <c r="J536" s="48"/>
      <c r="K536" s="48"/>
      <c r="L536" s="48"/>
      <c r="M536" s="48"/>
      <c r="N536" s="77"/>
      <c r="O536" s="78"/>
      <c r="P536" s="77"/>
      <c r="Q536" s="78"/>
      <c r="R536" s="78"/>
      <c r="S536" s="77"/>
      <c r="T536" s="48"/>
      <c r="U536" s="48"/>
      <c r="V536" s="48"/>
      <c r="W536" s="48"/>
      <c r="X536" s="77"/>
      <c r="Y536" s="48"/>
      <c r="Z536" s="48"/>
      <c r="AA536" s="48"/>
      <c r="AB536" s="77"/>
      <c r="AC536" s="48"/>
      <c r="AD536" s="77"/>
      <c r="AE536" s="48"/>
      <c r="AF536" s="77"/>
      <c r="AG536" s="48"/>
      <c r="AH536" s="77"/>
      <c r="AI536" s="48"/>
      <c r="AJ536" s="77"/>
      <c r="AK536" s="48"/>
    </row>
    <row r="537" ht="18.0" customHeight="1">
      <c r="A537" s="48"/>
      <c r="B537" s="48"/>
      <c r="C537" s="77"/>
      <c r="D537" s="48"/>
      <c r="E537" s="48"/>
      <c r="F537" s="48"/>
      <c r="G537" s="48"/>
      <c r="H537" s="77"/>
      <c r="I537" s="48"/>
      <c r="J537" s="48"/>
      <c r="K537" s="48"/>
      <c r="L537" s="48"/>
      <c r="M537" s="48"/>
      <c r="N537" s="77"/>
      <c r="O537" s="78"/>
      <c r="P537" s="77"/>
      <c r="Q537" s="78"/>
      <c r="R537" s="78"/>
      <c r="S537" s="77"/>
      <c r="T537" s="48"/>
      <c r="U537" s="48"/>
      <c r="V537" s="48"/>
      <c r="W537" s="48"/>
      <c r="X537" s="77"/>
      <c r="Y537" s="48"/>
      <c r="Z537" s="48"/>
      <c r="AA537" s="48"/>
      <c r="AB537" s="77"/>
      <c r="AC537" s="48"/>
      <c r="AD537" s="77"/>
      <c r="AE537" s="48"/>
      <c r="AF537" s="77"/>
      <c r="AG537" s="48"/>
      <c r="AH537" s="77"/>
      <c r="AI537" s="48"/>
      <c r="AJ537" s="77"/>
      <c r="AK537" s="48"/>
    </row>
    <row r="538" ht="18.0" customHeight="1">
      <c r="A538" s="48"/>
      <c r="B538" s="48"/>
      <c r="C538" s="77"/>
      <c r="D538" s="48"/>
      <c r="E538" s="48"/>
      <c r="F538" s="48"/>
      <c r="G538" s="48"/>
      <c r="H538" s="77"/>
      <c r="I538" s="48"/>
      <c r="J538" s="48"/>
      <c r="K538" s="48"/>
      <c r="L538" s="48"/>
      <c r="M538" s="48"/>
      <c r="N538" s="77"/>
      <c r="O538" s="78"/>
      <c r="P538" s="77"/>
      <c r="Q538" s="78"/>
      <c r="R538" s="78"/>
      <c r="S538" s="77"/>
      <c r="T538" s="48"/>
      <c r="U538" s="48"/>
      <c r="V538" s="48"/>
      <c r="W538" s="48"/>
      <c r="X538" s="77"/>
      <c r="Y538" s="48"/>
      <c r="Z538" s="48"/>
      <c r="AA538" s="48"/>
      <c r="AB538" s="77"/>
      <c r="AC538" s="48"/>
      <c r="AD538" s="77"/>
      <c r="AE538" s="48"/>
      <c r="AF538" s="77"/>
      <c r="AG538" s="48"/>
      <c r="AH538" s="77"/>
      <c r="AI538" s="48"/>
      <c r="AJ538" s="77"/>
      <c r="AK538" s="48"/>
    </row>
    <row r="539" ht="18.0" customHeight="1">
      <c r="A539" s="48"/>
      <c r="B539" s="48"/>
      <c r="C539" s="77"/>
      <c r="D539" s="48"/>
      <c r="E539" s="48"/>
      <c r="F539" s="48"/>
      <c r="G539" s="48"/>
      <c r="H539" s="77"/>
      <c r="I539" s="48"/>
      <c r="J539" s="48"/>
      <c r="K539" s="48"/>
      <c r="L539" s="48"/>
      <c r="M539" s="48"/>
      <c r="N539" s="77"/>
      <c r="O539" s="78"/>
      <c r="P539" s="77"/>
      <c r="Q539" s="78"/>
      <c r="R539" s="78"/>
      <c r="S539" s="77"/>
      <c r="T539" s="48"/>
      <c r="U539" s="48"/>
      <c r="V539" s="48"/>
      <c r="W539" s="48"/>
      <c r="X539" s="77"/>
      <c r="Y539" s="48"/>
      <c r="Z539" s="48"/>
      <c r="AA539" s="48"/>
      <c r="AB539" s="77"/>
      <c r="AC539" s="48"/>
      <c r="AD539" s="77"/>
      <c r="AE539" s="48"/>
      <c r="AF539" s="77"/>
      <c r="AG539" s="48"/>
      <c r="AH539" s="77"/>
      <c r="AI539" s="48"/>
      <c r="AJ539" s="77"/>
      <c r="AK539" s="48"/>
    </row>
    <row r="540" ht="18.0" customHeight="1">
      <c r="A540" s="48"/>
      <c r="B540" s="48"/>
      <c r="C540" s="77"/>
      <c r="D540" s="48"/>
      <c r="E540" s="48"/>
      <c r="F540" s="48"/>
      <c r="G540" s="48"/>
      <c r="H540" s="77"/>
      <c r="I540" s="48"/>
      <c r="J540" s="48"/>
      <c r="K540" s="48"/>
      <c r="L540" s="48"/>
      <c r="M540" s="48"/>
      <c r="N540" s="77"/>
      <c r="O540" s="78"/>
      <c r="P540" s="77"/>
      <c r="Q540" s="78"/>
      <c r="R540" s="78"/>
      <c r="S540" s="77"/>
      <c r="T540" s="48"/>
      <c r="U540" s="48"/>
      <c r="V540" s="48"/>
      <c r="W540" s="48"/>
      <c r="X540" s="77"/>
      <c r="Y540" s="48"/>
      <c r="Z540" s="48"/>
      <c r="AA540" s="48"/>
      <c r="AB540" s="77"/>
      <c r="AC540" s="48"/>
      <c r="AD540" s="77"/>
      <c r="AE540" s="48"/>
      <c r="AF540" s="77"/>
      <c r="AG540" s="48"/>
      <c r="AH540" s="77"/>
      <c r="AI540" s="48"/>
      <c r="AJ540" s="77"/>
      <c r="AK540" s="48"/>
    </row>
    <row r="541" ht="18.0" customHeight="1">
      <c r="A541" s="48"/>
      <c r="B541" s="48"/>
      <c r="C541" s="77"/>
      <c r="D541" s="48"/>
      <c r="E541" s="48"/>
      <c r="F541" s="48"/>
      <c r="G541" s="48"/>
      <c r="H541" s="77"/>
      <c r="I541" s="48"/>
      <c r="J541" s="48"/>
      <c r="K541" s="48"/>
      <c r="L541" s="48"/>
      <c r="M541" s="48"/>
      <c r="N541" s="77"/>
      <c r="O541" s="78"/>
      <c r="P541" s="77"/>
      <c r="Q541" s="78"/>
      <c r="R541" s="78"/>
      <c r="S541" s="77"/>
      <c r="T541" s="48"/>
      <c r="U541" s="48"/>
      <c r="V541" s="48"/>
      <c r="W541" s="48"/>
      <c r="X541" s="77"/>
      <c r="Y541" s="48"/>
      <c r="Z541" s="48"/>
      <c r="AA541" s="48"/>
      <c r="AB541" s="77"/>
      <c r="AC541" s="48"/>
      <c r="AD541" s="77"/>
      <c r="AE541" s="48"/>
      <c r="AF541" s="77"/>
      <c r="AG541" s="48"/>
      <c r="AH541" s="77"/>
      <c r="AI541" s="48"/>
      <c r="AJ541" s="77"/>
      <c r="AK541" s="48"/>
    </row>
    <row r="542" ht="18.0" customHeight="1">
      <c r="A542" s="48"/>
      <c r="B542" s="48"/>
      <c r="C542" s="77"/>
      <c r="D542" s="48"/>
      <c r="E542" s="48"/>
      <c r="F542" s="48"/>
      <c r="G542" s="48"/>
      <c r="H542" s="77"/>
      <c r="I542" s="48"/>
      <c r="J542" s="48"/>
      <c r="K542" s="48"/>
      <c r="L542" s="48"/>
      <c r="M542" s="48"/>
      <c r="N542" s="77"/>
      <c r="O542" s="78"/>
      <c r="P542" s="77"/>
      <c r="Q542" s="78"/>
      <c r="R542" s="78"/>
      <c r="S542" s="77"/>
      <c r="T542" s="48"/>
      <c r="U542" s="48"/>
      <c r="V542" s="48"/>
      <c r="W542" s="48"/>
      <c r="X542" s="77"/>
      <c r="Y542" s="48"/>
      <c r="Z542" s="48"/>
      <c r="AA542" s="48"/>
      <c r="AB542" s="77"/>
      <c r="AC542" s="48"/>
      <c r="AD542" s="77"/>
      <c r="AE542" s="48"/>
      <c r="AF542" s="77"/>
      <c r="AG542" s="48"/>
      <c r="AH542" s="77"/>
      <c r="AI542" s="48"/>
      <c r="AJ542" s="77"/>
      <c r="AK542" s="48"/>
    </row>
    <row r="543" ht="18.0" customHeight="1">
      <c r="A543" s="48"/>
      <c r="B543" s="48"/>
      <c r="C543" s="77"/>
      <c r="D543" s="48"/>
      <c r="E543" s="48"/>
      <c r="F543" s="48"/>
      <c r="G543" s="48"/>
      <c r="H543" s="77"/>
      <c r="I543" s="48"/>
      <c r="J543" s="48"/>
      <c r="K543" s="48"/>
      <c r="L543" s="48"/>
      <c r="M543" s="48"/>
      <c r="N543" s="77"/>
      <c r="O543" s="78"/>
      <c r="P543" s="77"/>
      <c r="Q543" s="78"/>
      <c r="R543" s="78"/>
      <c r="S543" s="77"/>
      <c r="T543" s="48"/>
      <c r="U543" s="48"/>
      <c r="V543" s="48"/>
      <c r="W543" s="48"/>
      <c r="X543" s="77"/>
      <c r="Y543" s="48"/>
      <c r="Z543" s="48"/>
      <c r="AA543" s="48"/>
      <c r="AB543" s="77"/>
      <c r="AC543" s="48"/>
      <c r="AD543" s="77"/>
      <c r="AE543" s="48"/>
      <c r="AF543" s="77"/>
      <c r="AG543" s="48"/>
      <c r="AH543" s="77"/>
      <c r="AI543" s="48"/>
      <c r="AJ543" s="77"/>
      <c r="AK543" s="48"/>
    </row>
    <row r="544" ht="18.0" customHeight="1">
      <c r="A544" s="48"/>
      <c r="B544" s="48"/>
      <c r="C544" s="77"/>
      <c r="D544" s="48"/>
      <c r="E544" s="48"/>
      <c r="F544" s="48"/>
      <c r="G544" s="48"/>
      <c r="H544" s="77"/>
      <c r="I544" s="48"/>
      <c r="J544" s="48"/>
      <c r="K544" s="48"/>
      <c r="L544" s="48"/>
      <c r="M544" s="48"/>
      <c r="N544" s="77"/>
      <c r="O544" s="78"/>
      <c r="P544" s="77"/>
      <c r="Q544" s="78"/>
      <c r="R544" s="78"/>
      <c r="S544" s="77"/>
      <c r="T544" s="48"/>
      <c r="U544" s="48"/>
      <c r="V544" s="48"/>
      <c r="W544" s="48"/>
      <c r="X544" s="77"/>
      <c r="Y544" s="48"/>
      <c r="Z544" s="48"/>
      <c r="AA544" s="48"/>
      <c r="AB544" s="77"/>
      <c r="AC544" s="48"/>
      <c r="AD544" s="77"/>
      <c r="AE544" s="48"/>
      <c r="AF544" s="77"/>
      <c r="AG544" s="48"/>
      <c r="AH544" s="77"/>
      <c r="AI544" s="48"/>
      <c r="AJ544" s="77"/>
      <c r="AK544" s="48"/>
    </row>
    <row r="545" ht="18.0" customHeight="1">
      <c r="A545" s="48"/>
      <c r="B545" s="48"/>
      <c r="C545" s="77"/>
      <c r="D545" s="48"/>
      <c r="E545" s="48"/>
      <c r="F545" s="48"/>
      <c r="G545" s="48"/>
      <c r="H545" s="77"/>
      <c r="I545" s="48"/>
      <c r="J545" s="48"/>
      <c r="K545" s="48"/>
      <c r="L545" s="48"/>
      <c r="M545" s="48"/>
      <c r="N545" s="77"/>
      <c r="O545" s="78"/>
      <c r="P545" s="77"/>
      <c r="Q545" s="78"/>
      <c r="R545" s="78"/>
      <c r="S545" s="77"/>
      <c r="T545" s="48"/>
      <c r="U545" s="48"/>
      <c r="V545" s="48"/>
      <c r="W545" s="48"/>
      <c r="X545" s="77"/>
      <c r="Y545" s="48"/>
      <c r="Z545" s="48"/>
      <c r="AA545" s="48"/>
      <c r="AB545" s="77"/>
      <c r="AC545" s="48"/>
      <c r="AD545" s="77"/>
      <c r="AE545" s="48"/>
      <c r="AF545" s="77"/>
      <c r="AG545" s="48"/>
      <c r="AH545" s="77"/>
      <c r="AI545" s="48"/>
      <c r="AJ545" s="77"/>
      <c r="AK545" s="48"/>
    </row>
    <row r="546" ht="18.0" customHeight="1">
      <c r="A546" s="48"/>
      <c r="B546" s="48"/>
      <c r="C546" s="77"/>
      <c r="D546" s="48"/>
      <c r="E546" s="48"/>
      <c r="F546" s="48"/>
      <c r="G546" s="48"/>
      <c r="H546" s="77"/>
      <c r="I546" s="48"/>
      <c r="J546" s="48"/>
      <c r="K546" s="48"/>
      <c r="L546" s="48"/>
      <c r="M546" s="48"/>
      <c r="N546" s="77"/>
      <c r="O546" s="78"/>
      <c r="P546" s="77"/>
      <c r="Q546" s="78"/>
      <c r="R546" s="78"/>
      <c r="S546" s="77"/>
      <c r="T546" s="48"/>
      <c r="U546" s="48"/>
      <c r="V546" s="48"/>
      <c r="W546" s="48"/>
      <c r="X546" s="77"/>
      <c r="Y546" s="48"/>
      <c r="Z546" s="48"/>
      <c r="AA546" s="48"/>
      <c r="AB546" s="77"/>
      <c r="AC546" s="48"/>
      <c r="AD546" s="77"/>
      <c r="AE546" s="48"/>
      <c r="AF546" s="77"/>
      <c r="AG546" s="48"/>
      <c r="AH546" s="77"/>
      <c r="AI546" s="48"/>
      <c r="AJ546" s="77"/>
      <c r="AK546" s="48"/>
    </row>
    <row r="547" ht="18.0" customHeight="1">
      <c r="A547" s="48"/>
      <c r="B547" s="48"/>
      <c r="C547" s="77"/>
      <c r="D547" s="48"/>
      <c r="E547" s="48"/>
      <c r="F547" s="48"/>
      <c r="G547" s="48"/>
      <c r="H547" s="77"/>
      <c r="I547" s="48"/>
      <c r="J547" s="48"/>
      <c r="K547" s="48"/>
      <c r="L547" s="48"/>
      <c r="M547" s="48"/>
      <c r="N547" s="77"/>
      <c r="O547" s="78"/>
      <c r="P547" s="77"/>
      <c r="Q547" s="78"/>
      <c r="R547" s="78"/>
      <c r="S547" s="77"/>
      <c r="T547" s="48"/>
      <c r="U547" s="48"/>
      <c r="V547" s="48"/>
      <c r="W547" s="48"/>
      <c r="X547" s="77"/>
      <c r="Y547" s="48"/>
      <c r="Z547" s="48"/>
      <c r="AA547" s="48"/>
      <c r="AB547" s="77"/>
      <c r="AC547" s="48"/>
      <c r="AD547" s="77"/>
      <c r="AE547" s="48"/>
      <c r="AF547" s="77"/>
      <c r="AG547" s="48"/>
      <c r="AH547" s="77"/>
      <c r="AI547" s="48"/>
      <c r="AJ547" s="77"/>
      <c r="AK547" s="48"/>
    </row>
    <row r="548" ht="18.0" customHeight="1">
      <c r="A548" s="48"/>
      <c r="B548" s="48"/>
      <c r="C548" s="77"/>
      <c r="D548" s="48"/>
      <c r="E548" s="48"/>
      <c r="F548" s="48"/>
      <c r="G548" s="48"/>
      <c r="H548" s="77"/>
      <c r="I548" s="48"/>
      <c r="J548" s="48"/>
      <c r="K548" s="48"/>
      <c r="L548" s="48"/>
      <c r="M548" s="48"/>
      <c r="N548" s="77"/>
      <c r="O548" s="78"/>
      <c r="P548" s="77"/>
      <c r="Q548" s="78"/>
      <c r="R548" s="78"/>
      <c r="S548" s="77"/>
      <c r="T548" s="48"/>
      <c r="U548" s="48"/>
      <c r="V548" s="48"/>
      <c r="W548" s="48"/>
      <c r="X548" s="77"/>
      <c r="Y548" s="48"/>
      <c r="Z548" s="48"/>
      <c r="AA548" s="48"/>
      <c r="AB548" s="77"/>
      <c r="AC548" s="48"/>
      <c r="AD548" s="77"/>
      <c r="AE548" s="48"/>
      <c r="AF548" s="77"/>
      <c r="AG548" s="48"/>
      <c r="AH548" s="77"/>
      <c r="AI548" s="48"/>
      <c r="AJ548" s="77"/>
      <c r="AK548" s="48"/>
    </row>
    <row r="549" ht="18.0" customHeight="1">
      <c r="A549" s="48"/>
      <c r="B549" s="48"/>
      <c r="C549" s="77"/>
      <c r="D549" s="48"/>
      <c r="E549" s="48"/>
      <c r="F549" s="48"/>
      <c r="G549" s="48"/>
      <c r="H549" s="77"/>
      <c r="I549" s="48"/>
      <c r="J549" s="48"/>
      <c r="K549" s="48"/>
      <c r="L549" s="48"/>
      <c r="M549" s="48"/>
      <c r="N549" s="77"/>
      <c r="O549" s="78"/>
      <c r="P549" s="77"/>
      <c r="Q549" s="78"/>
      <c r="R549" s="78"/>
      <c r="S549" s="77"/>
      <c r="T549" s="48"/>
      <c r="U549" s="48"/>
      <c r="V549" s="48"/>
      <c r="W549" s="48"/>
      <c r="X549" s="77"/>
      <c r="Y549" s="48"/>
      <c r="Z549" s="48"/>
      <c r="AA549" s="48"/>
      <c r="AB549" s="77"/>
      <c r="AC549" s="48"/>
      <c r="AD549" s="77"/>
      <c r="AE549" s="48"/>
      <c r="AF549" s="77"/>
      <c r="AG549" s="48"/>
      <c r="AH549" s="77"/>
      <c r="AI549" s="48"/>
      <c r="AJ549" s="77"/>
      <c r="AK549" s="48"/>
    </row>
    <row r="550" ht="18.0" customHeight="1">
      <c r="A550" s="48"/>
      <c r="B550" s="48"/>
      <c r="C550" s="77"/>
      <c r="D550" s="48"/>
      <c r="E550" s="48"/>
      <c r="F550" s="48"/>
      <c r="G550" s="48"/>
      <c r="H550" s="77"/>
      <c r="I550" s="48"/>
      <c r="J550" s="48"/>
      <c r="K550" s="48"/>
      <c r="L550" s="48"/>
      <c r="M550" s="48"/>
      <c r="N550" s="77"/>
      <c r="O550" s="78"/>
      <c r="P550" s="77"/>
      <c r="Q550" s="78"/>
      <c r="R550" s="78"/>
      <c r="S550" s="77"/>
      <c r="T550" s="48"/>
      <c r="U550" s="48"/>
      <c r="V550" s="48"/>
      <c r="W550" s="48"/>
      <c r="X550" s="77"/>
      <c r="Y550" s="48"/>
      <c r="Z550" s="48"/>
      <c r="AA550" s="48"/>
      <c r="AB550" s="77"/>
      <c r="AC550" s="48"/>
      <c r="AD550" s="77"/>
      <c r="AE550" s="48"/>
      <c r="AF550" s="77"/>
      <c r="AG550" s="48"/>
      <c r="AH550" s="77"/>
      <c r="AI550" s="48"/>
      <c r="AJ550" s="77"/>
      <c r="AK550" s="48"/>
    </row>
    <row r="551" ht="18.0" customHeight="1">
      <c r="A551" s="48"/>
      <c r="B551" s="48"/>
      <c r="C551" s="77"/>
      <c r="D551" s="48"/>
      <c r="E551" s="48"/>
      <c r="F551" s="48"/>
      <c r="G551" s="48"/>
      <c r="H551" s="77"/>
      <c r="I551" s="48"/>
      <c r="J551" s="48"/>
      <c r="K551" s="48"/>
      <c r="L551" s="48"/>
      <c r="M551" s="48"/>
      <c r="N551" s="77"/>
      <c r="O551" s="78"/>
      <c r="P551" s="77"/>
      <c r="Q551" s="78"/>
      <c r="R551" s="78"/>
      <c r="S551" s="77"/>
      <c r="T551" s="48"/>
      <c r="U551" s="48"/>
      <c r="V551" s="48"/>
      <c r="W551" s="48"/>
      <c r="X551" s="77"/>
      <c r="Y551" s="48"/>
      <c r="Z551" s="48"/>
      <c r="AA551" s="48"/>
      <c r="AB551" s="77"/>
      <c r="AC551" s="48"/>
      <c r="AD551" s="77"/>
      <c r="AE551" s="48"/>
      <c r="AF551" s="77"/>
      <c r="AG551" s="48"/>
      <c r="AH551" s="77"/>
      <c r="AI551" s="48"/>
      <c r="AJ551" s="77"/>
      <c r="AK551" s="48"/>
    </row>
    <row r="552" ht="18.0" customHeight="1">
      <c r="A552" s="48"/>
      <c r="B552" s="48"/>
      <c r="C552" s="77"/>
      <c r="D552" s="48"/>
      <c r="E552" s="48"/>
      <c r="F552" s="48"/>
      <c r="G552" s="48"/>
      <c r="H552" s="77"/>
      <c r="I552" s="48"/>
      <c r="J552" s="48"/>
      <c r="K552" s="48"/>
      <c r="L552" s="48"/>
      <c r="M552" s="48"/>
      <c r="N552" s="77"/>
      <c r="O552" s="78"/>
      <c r="P552" s="77"/>
      <c r="Q552" s="78"/>
      <c r="R552" s="78"/>
      <c r="S552" s="77"/>
      <c r="T552" s="48"/>
      <c r="U552" s="48"/>
      <c r="V552" s="48"/>
      <c r="W552" s="48"/>
      <c r="X552" s="77"/>
      <c r="Y552" s="48"/>
      <c r="Z552" s="48"/>
      <c r="AA552" s="48"/>
      <c r="AB552" s="77"/>
      <c r="AC552" s="48"/>
      <c r="AD552" s="77"/>
      <c r="AE552" s="48"/>
      <c r="AF552" s="77"/>
      <c r="AG552" s="48"/>
      <c r="AH552" s="77"/>
      <c r="AI552" s="48"/>
      <c r="AJ552" s="77"/>
      <c r="AK552" s="48"/>
    </row>
    <row r="553" ht="18.0" customHeight="1">
      <c r="A553" s="48"/>
      <c r="B553" s="48"/>
      <c r="C553" s="77"/>
      <c r="D553" s="48"/>
      <c r="E553" s="48"/>
      <c r="F553" s="48"/>
      <c r="G553" s="48"/>
      <c r="H553" s="77"/>
      <c r="I553" s="48"/>
      <c r="J553" s="48"/>
      <c r="K553" s="48"/>
      <c r="L553" s="48"/>
      <c r="M553" s="48"/>
      <c r="N553" s="77"/>
      <c r="O553" s="78"/>
      <c r="P553" s="77"/>
      <c r="Q553" s="78"/>
      <c r="R553" s="78"/>
      <c r="S553" s="77"/>
      <c r="T553" s="48"/>
      <c r="U553" s="48"/>
      <c r="V553" s="48"/>
      <c r="W553" s="48"/>
      <c r="X553" s="77"/>
      <c r="Y553" s="48"/>
      <c r="Z553" s="48"/>
      <c r="AA553" s="48"/>
      <c r="AB553" s="77"/>
      <c r="AC553" s="48"/>
      <c r="AD553" s="77"/>
      <c r="AE553" s="48"/>
      <c r="AF553" s="77"/>
      <c r="AG553" s="48"/>
      <c r="AH553" s="77"/>
      <c r="AI553" s="48"/>
      <c r="AJ553" s="77"/>
      <c r="AK553" s="48"/>
    </row>
    <row r="554" ht="18.0" customHeight="1">
      <c r="A554" s="48"/>
      <c r="B554" s="48"/>
      <c r="C554" s="77"/>
      <c r="D554" s="48"/>
      <c r="E554" s="48"/>
      <c r="F554" s="48"/>
      <c r="G554" s="48"/>
      <c r="H554" s="77"/>
      <c r="I554" s="48"/>
      <c r="J554" s="48"/>
      <c r="K554" s="48"/>
      <c r="L554" s="48"/>
      <c r="M554" s="48"/>
      <c r="N554" s="77"/>
      <c r="O554" s="78"/>
      <c r="P554" s="77"/>
      <c r="Q554" s="78"/>
      <c r="R554" s="78"/>
      <c r="S554" s="77"/>
      <c r="T554" s="48"/>
      <c r="U554" s="48"/>
      <c r="V554" s="48"/>
      <c r="W554" s="48"/>
      <c r="X554" s="77"/>
      <c r="Y554" s="48"/>
      <c r="Z554" s="48"/>
      <c r="AA554" s="48"/>
      <c r="AB554" s="77"/>
      <c r="AC554" s="48"/>
      <c r="AD554" s="77"/>
      <c r="AE554" s="48"/>
      <c r="AF554" s="77"/>
      <c r="AG554" s="48"/>
      <c r="AH554" s="77"/>
      <c r="AI554" s="48"/>
      <c r="AJ554" s="77"/>
      <c r="AK554" s="48"/>
    </row>
    <row r="555" ht="18.0" customHeight="1">
      <c r="A555" s="48"/>
      <c r="B555" s="48"/>
      <c r="C555" s="77"/>
      <c r="D555" s="48"/>
      <c r="E555" s="48"/>
      <c r="F555" s="48"/>
      <c r="G555" s="48"/>
      <c r="H555" s="77"/>
      <c r="I555" s="48"/>
      <c r="J555" s="48"/>
      <c r="K555" s="48"/>
      <c r="L555" s="48"/>
      <c r="M555" s="48"/>
      <c r="N555" s="77"/>
      <c r="O555" s="78"/>
      <c r="P555" s="77"/>
      <c r="Q555" s="78"/>
      <c r="R555" s="78"/>
      <c r="S555" s="77"/>
      <c r="T555" s="48"/>
      <c r="U555" s="48"/>
      <c r="V555" s="48"/>
      <c r="W555" s="48"/>
      <c r="X555" s="77"/>
      <c r="Y555" s="48"/>
      <c r="Z555" s="48"/>
      <c r="AA555" s="48"/>
      <c r="AB555" s="77"/>
      <c r="AC555" s="48"/>
      <c r="AD555" s="77"/>
      <c r="AE555" s="48"/>
      <c r="AF555" s="77"/>
      <c r="AG555" s="48"/>
      <c r="AH555" s="77"/>
      <c r="AI555" s="48"/>
      <c r="AJ555" s="77"/>
      <c r="AK555" s="48"/>
    </row>
    <row r="556" ht="18.0" customHeight="1">
      <c r="A556" s="48"/>
      <c r="B556" s="48"/>
      <c r="C556" s="77"/>
      <c r="D556" s="48"/>
      <c r="E556" s="48"/>
      <c r="F556" s="48"/>
      <c r="G556" s="48"/>
      <c r="H556" s="77"/>
      <c r="I556" s="48"/>
      <c r="J556" s="48"/>
      <c r="K556" s="48"/>
      <c r="L556" s="48"/>
      <c r="M556" s="48"/>
      <c r="N556" s="77"/>
      <c r="O556" s="78"/>
      <c r="P556" s="77"/>
      <c r="Q556" s="78"/>
      <c r="R556" s="78"/>
      <c r="S556" s="77"/>
      <c r="T556" s="48"/>
      <c r="U556" s="48"/>
      <c r="V556" s="48"/>
      <c r="W556" s="48"/>
      <c r="X556" s="77"/>
      <c r="Y556" s="48"/>
      <c r="Z556" s="48"/>
      <c r="AA556" s="48"/>
      <c r="AB556" s="77"/>
      <c r="AC556" s="48"/>
      <c r="AD556" s="77"/>
      <c r="AE556" s="48"/>
      <c r="AF556" s="77"/>
      <c r="AG556" s="48"/>
      <c r="AH556" s="77"/>
      <c r="AI556" s="48"/>
      <c r="AJ556" s="77"/>
      <c r="AK556" s="48"/>
    </row>
    <row r="557" ht="18.0" customHeight="1">
      <c r="A557" s="48"/>
      <c r="B557" s="48"/>
      <c r="C557" s="77"/>
      <c r="D557" s="48"/>
      <c r="E557" s="48"/>
      <c r="F557" s="48"/>
      <c r="G557" s="48"/>
      <c r="H557" s="77"/>
      <c r="I557" s="48"/>
      <c r="J557" s="48"/>
      <c r="K557" s="48"/>
      <c r="L557" s="48"/>
      <c r="M557" s="48"/>
      <c r="N557" s="77"/>
      <c r="O557" s="78"/>
      <c r="P557" s="77"/>
      <c r="Q557" s="78"/>
      <c r="R557" s="78"/>
      <c r="S557" s="77"/>
      <c r="T557" s="48"/>
      <c r="U557" s="48"/>
      <c r="V557" s="48"/>
      <c r="W557" s="48"/>
      <c r="X557" s="77"/>
      <c r="Y557" s="48"/>
      <c r="Z557" s="48"/>
      <c r="AA557" s="48"/>
      <c r="AB557" s="77"/>
      <c r="AC557" s="48"/>
      <c r="AD557" s="77"/>
      <c r="AE557" s="48"/>
      <c r="AF557" s="77"/>
      <c r="AG557" s="48"/>
      <c r="AH557" s="77"/>
      <c r="AI557" s="48"/>
      <c r="AJ557" s="77"/>
      <c r="AK557" s="48"/>
    </row>
    <row r="558" ht="18.0" customHeight="1">
      <c r="A558" s="48"/>
      <c r="B558" s="48"/>
      <c r="C558" s="77"/>
      <c r="D558" s="48"/>
      <c r="E558" s="48"/>
      <c r="F558" s="48"/>
      <c r="G558" s="48"/>
      <c r="H558" s="77"/>
      <c r="I558" s="48"/>
      <c r="J558" s="48"/>
      <c r="K558" s="48"/>
      <c r="L558" s="48"/>
      <c r="M558" s="48"/>
      <c r="N558" s="77"/>
      <c r="O558" s="78"/>
      <c r="P558" s="77"/>
      <c r="Q558" s="78"/>
      <c r="R558" s="78"/>
      <c r="S558" s="77"/>
      <c r="T558" s="48"/>
      <c r="U558" s="48"/>
      <c r="V558" s="48"/>
      <c r="W558" s="48"/>
      <c r="X558" s="77"/>
      <c r="Y558" s="48"/>
      <c r="Z558" s="48"/>
      <c r="AA558" s="48"/>
      <c r="AB558" s="77"/>
      <c r="AC558" s="48"/>
      <c r="AD558" s="77"/>
      <c r="AE558" s="48"/>
      <c r="AF558" s="77"/>
      <c r="AG558" s="48"/>
      <c r="AH558" s="77"/>
      <c r="AI558" s="48"/>
      <c r="AJ558" s="77"/>
      <c r="AK558" s="48"/>
    </row>
    <row r="559" ht="18.0" customHeight="1">
      <c r="A559" s="48"/>
      <c r="B559" s="48"/>
      <c r="C559" s="77"/>
      <c r="D559" s="48"/>
      <c r="E559" s="48"/>
      <c r="F559" s="48"/>
      <c r="G559" s="48"/>
      <c r="H559" s="77"/>
      <c r="I559" s="48"/>
      <c r="J559" s="48"/>
      <c r="K559" s="48"/>
      <c r="L559" s="48"/>
      <c r="M559" s="48"/>
      <c r="N559" s="77"/>
      <c r="O559" s="78"/>
      <c r="P559" s="77"/>
      <c r="Q559" s="78"/>
      <c r="R559" s="78"/>
      <c r="S559" s="77"/>
      <c r="T559" s="48"/>
      <c r="U559" s="48"/>
      <c r="V559" s="48"/>
      <c r="W559" s="48"/>
      <c r="X559" s="77"/>
      <c r="Y559" s="48"/>
      <c r="Z559" s="48"/>
      <c r="AA559" s="48"/>
      <c r="AB559" s="77"/>
      <c r="AC559" s="48"/>
      <c r="AD559" s="77"/>
      <c r="AE559" s="48"/>
      <c r="AF559" s="77"/>
      <c r="AG559" s="48"/>
      <c r="AH559" s="77"/>
      <c r="AI559" s="48"/>
      <c r="AJ559" s="77"/>
      <c r="AK559" s="48"/>
    </row>
    <row r="560" ht="18.0" customHeight="1">
      <c r="A560" s="48"/>
      <c r="B560" s="48"/>
      <c r="C560" s="77"/>
      <c r="D560" s="48"/>
      <c r="E560" s="48"/>
      <c r="F560" s="48"/>
      <c r="G560" s="48"/>
      <c r="H560" s="77"/>
      <c r="I560" s="48"/>
      <c r="J560" s="48"/>
      <c r="K560" s="48"/>
      <c r="L560" s="48"/>
      <c r="M560" s="48"/>
      <c r="N560" s="77"/>
      <c r="O560" s="78"/>
      <c r="P560" s="77"/>
      <c r="Q560" s="78"/>
      <c r="R560" s="78"/>
      <c r="S560" s="77"/>
      <c r="T560" s="48"/>
      <c r="U560" s="48"/>
      <c r="V560" s="48"/>
      <c r="W560" s="48"/>
      <c r="X560" s="77"/>
      <c r="Y560" s="48"/>
      <c r="Z560" s="48"/>
      <c r="AA560" s="48"/>
      <c r="AB560" s="77"/>
      <c r="AC560" s="48"/>
      <c r="AD560" s="77"/>
      <c r="AE560" s="48"/>
      <c r="AF560" s="77"/>
      <c r="AG560" s="48"/>
      <c r="AH560" s="77"/>
      <c r="AI560" s="48"/>
      <c r="AJ560" s="77"/>
      <c r="AK560" s="48"/>
    </row>
    <row r="561" ht="18.0" customHeight="1">
      <c r="A561" s="48"/>
      <c r="B561" s="48"/>
      <c r="C561" s="77"/>
      <c r="D561" s="48"/>
      <c r="E561" s="48"/>
      <c r="F561" s="48"/>
      <c r="G561" s="48"/>
      <c r="H561" s="77"/>
      <c r="I561" s="48"/>
      <c r="J561" s="48"/>
      <c r="K561" s="48"/>
      <c r="L561" s="48"/>
      <c r="M561" s="48"/>
      <c r="N561" s="77"/>
      <c r="O561" s="78"/>
      <c r="P561" s="77"/>
      <c r="Q561" s="78"/>
      <c r="R561" s="78"/>
      <c r="S561" s="77"/>
      <c r="T561" s="48"/>
      <c r="U561" s="48"/>
      <c r="V561" s="48"/>
      <c r="W561" s="48"/>
      <c r="X561" s="77"/>
      <c r="Y561" s="48"/>
      <c r="Z561" s="48"/>
      <c r="AA561" s="48"/>
      <c r="AB561" s="77"/>
      <c r="AC561" s="48"/>
      <c r="AD561" s="77"/>
      <c r="AE561" s="48"/>
      <c r="AF561" s="77"/>
      <c r="AG561" s="48"/>
      <c r="AH561" s="77"/>
      <c r="AI561" s="48"/>
      <c r="AJ561" s="77"/>
      <c r="AK561" s="48"/>
    </row>
    <row r="562" ht="18.0" customHeight="1">
      <c r="A562" s="48"/>
      <c r="B562" s="48"/>
      <c r="C562" s="77"/>
      <c r="D562" s="48"/>
      <c r="E562" s="48"/>
      <c r="F562" s="48"/>
      <c r="G562" s="48"/>
      <c r="H562" s="77"/>
      <c r="I562" s="48"/>
      <c r="J562" s="48"/>
      <c r="K562" s="48"/>
      <c r="L562" s="48"/>
      <c r="M562" s="48"/>
      <c r="N562" s="77"/>
      <c r="O562" s="78"/>
      <c r="P562" s="77"/>
      <c r="Q562" s="78"/>
      <c r="R562" s="78"/>
      <c r="S562" s="77"/>
      <c r="T562" s="48"/>
      <c r="U562" s="48"/>
      <c r="V562" s="48"/>
      <c r="W562" s="48"/>
      <c r="X562" s="77"/>
      <c r="Y562" s="48"/>
      <c r="Z562" s="48"/>
      <c r="AA562" s="48"/>
      <c r="AB562" s="77"/>
      <c r="AC562" s="48"/>
      <c r="AD562" s="77"/>
      <c r="AE562" s="48"/>
      <c r="AF562" s="77"/>
      <c r="AG562" s="48"/>
      <c r="AH562" s="77"/>
      <c r="AI562" s="48"/>
      <c r="AJ562" s="77"/>
      <c r="AK562" s="48"/>
    </row>
    <row r="563" ht="18.0" customHeight="1">
      <c r="A563" s="48"/>
      <c r="B563" s="48"/>
      <c r="C563" s="77"/>
      <c r="D563" s="48"/>
      <c r="E563" s="48"/>
      <c r="F563" s="48"/>
      <c r="G563" s="48"/>
      <c r="H563" s="77"/>
      <c r="I563" s="48"/>
      <c r="J563" s="48"/>
      <c r="K563" s="48"/>
      <c r="L563" s="48"/>
      <c r="M563" s="48"/>
      <c r="N563" s="77"/>
      <c r="O563" s="78"/>
      <c r="P563" s="77"/>
      <c r="Q563" s="78"/>
      <c r="R563" s="78"/>
      <c r="S563" s="77"/>
      <c r="T563" s="48"/>
      <c r="U563" s="48"/>
      <c r="V563" s="48"/>
      <c r="W563" s="48"/>
      <c r="X563" s="77"/>
      <c r="Y563" s="48"/>
      <c r="Z563" s="48"/>
      <c r="AA563" s="48"/>
      <c r="AB563" s="77"/>
      <c r="AC563" s="48"/>
      <c r="AD563" s="77"/>
      <c r="AE563" s="48"/>
      <c r="AF563" s="77"/>
      <c r="AG563" s="48"/>
      <c r="AH563" s="77"/>
      <c r="AI563" s="48"/>
      <c r="AJ563" s="77"/>
      <c r="AK563" s="48"/>
    </row>
    <row r="564" ht="18.0" customHeight="1">
      <c r="A564" s="48"/>
      <c r="B564" s="48"/>
      <c r="C564" s="77"/>
      <c r="D564" s="48"/>
      <c r="E564" s="48"/>
      <c r="F564" s="48"/>
      <c r="G564" s="48"/>
      <c r="H564" s="77"/>
      <c r="I564" s="48"/>
      <c r="J564" s="48"/>
      <c r="K564" s="48"/>
      <c r="L564" s="48"/>
      <c r="M564" s="48"/>
      <c r="N564" s="77"/>
      <c r="O564" s="78"/>
      <c r="P564" s="77"/>
      <c r="Q564" s="78"/>
      <c r="R564" s="78"/>
      <c r="S564" s="77"/>
      <c r="T564" s="48"/>
      <c r="U564" s="48"/>
      <c r="V564" s="48"/>
      <c r="W564" s="48"/>
      <c r="X564" s="77"/>
      <c r="Y564" s="48"/>
      <c r="Z564" s="48"/>
      <c r="AA564" s="48"/>
      <c r="AB564" s="77"/>
      <c r="AC564" s="48"/>
      <c r="AD564" s="77"/>
      <c r="AE564" s="48"/>
      <c r="AF564" s="77"/>
      <c r="AG564" s="48"/>
      <c r="AH564" s="77"/>
      <c r="AI564" s="48"/>
      <c r="AJ564" s="77"/>
      <c r="AK564" s="48"/>
    </row>
    <row r="565" ht="18.0" customHeight="1">
      <c r="A565" s="48"/>
      <c r="B565" s="48"/>
      <c r="C565" s="77"/>
      <c r="D565" s="48"/>
      <c r="E565" s="48"/>
      <c r="F565" s="48"/>
      <c r="G565" s="48"/>
      <c r="H565" s="77"/>
      <c r="I565" s="48"/>
      <c r="J565" s="48"/>
      <c r="K565" s="48"/>
      <c r="L565" s="48"/>
      <c r="M565" s="48"/>
      <c r="N565" s="77"/>
      <c r="O565" s="78"/>
      <c r="P565" s="77"/>
      <c r="Q565" s="78"/>
      <c r="R565" s="78"/>
      <c r="S565" s="77"/>
      <c r="T565" s="48"/>
      <c r="U565" s="48"/>
      <c r="V565" s="48"/>
      <c r="W565" s="48"/>
      <c r="X565" s="77"/>
      <c r="Y565" s="48"/>
      <c r="Z565" s="48"/>
      <c r="AA565" s="48"/>
      <c r="AB565" s="77"/>
      <c r="AC565" s="48"/>
      <c r="AD565" s="77"/>
      <c r="AE565" s="48"/>
      <c r="AF565" s="77"/>
      <c r="AG565" s="48"/>
      <c r="AH565" s="77"/>
      <c r="AI565" s="48"/>
      <c r="AJ565" s="77"/>
      <c r="AK565" s="48"/>
    </row>
    <row r="566" ht="18.0" customHeight="1">
      <c r="A566" s="48"/>
      <c r="B566" s="48"/>
      <c r="C566" s="77"/>
      <c r="D566" s="48"/>
      <c r="E566" s="48"/>
      <c r="F566" s="48"/>
      <c r="G566" s="48"/>
      <c r="H566" s="77"/>
      <c r="I566" s="48"/>
      <c r="J566" s="48"/>
      <c r="K566" s="48"/>
      <c r="L566" s="48"/>
      <c r="M566" s="48"/>
      <c r="N566" s="77"/>
      <c r="O566" s="78"/>
      <c r="P566" s="77"/>
      <c r="Q566" s="78"/>
      <c r="R566" s="78"/>
      <c r="S566" s="77"/>
      <c r="T566" s="48"/>
      <c r="U566" s="48"/>
      <c r="V566" s="48"/>
      <c r="W566" s="48"/>
      <c r="X566" s="77"/>
      <c r="Y566" s="48"/>
      <c r="Z566" s="48"/>
      <c r="AA566" s="48"/>
      <c r="AB566" s="77"/>
      <c r="AC566" s="48"/>
      <c r="AD566" s="77"/>
      <c r="AE566" s="48"/>
      <c r="AF566" s="77"/>
      <c r="AG566" s="48"/>
      <c r="AH566" s="77"/>
      <c r="AI566" s="48"/>
      <c r="AJ566" s="77"/>
      <c r="AK566" s="48"/>
    </row>
    <row r="567" ht="18.0" customHeight="1">
      <c r="A567" s="48"/>
      <c r="B567" s="48"/>
      <c r="C567" s="77"/>
      <c r="D567" s="48"/>
      <c r="E567" s="48"/>
      <c r="F567" s="48"/>
      <c r="G567" s="48"/>
      <c r="H567" s="77"/>
      <c r="I567" s="48"/>
      <c r="J567" s="48"/>
      <c r="K567" s="48"/>
      <c r="L567" s="48"/>
      <c r="M567" s="48"/>
      <c r="N567" s="77"/>
      <c r="O567" s="78"/>
      <c r="P567" s="77"/>
      <c r="Q567" s="78"/>
      <c r="R567" s="78"/>
      <c r="S567" s="77"/>
      <c r="T567" s="48"/>
      <c r="U567" s="48"/>
      <c r="V567" s="48"/>
      <c r="W567" s="48"/>
      <c r="X567" s="77"/>
      <c r="Y567" s="48"/>
      <c r="Z567" s="48"/>
      <c r="AA567" s="48"/>
      <c r="AB567" s="77"/>
      <c r="AC567" s="48"/>
      <c r="AD567" s="77"/>
      <c r="AE567" s="48"/>
      <c r="AF567" s="77"/>
      <c r="AG567" s="48"/>
      <c r="AH567" s="77"/>
      <c r="AI567" s="48"/>
      <c r="AJ567" s="77"/>
      <c r="AK567" s="48"/>
    </row>
    <row r="568" ht="18.0" customHeight="1">
      <c r="A568" s="48"/>
      <c r="B568" s="48"/>
      <c r="C568" s="77"/>
      <c r="D568" s="48"/>
      <c r="E568" s="48"/>
      <c r="F568" s="48"/>
      <c r="G568" s="48"/>
      <c r="H568" s="77"/>
      <c r="I568" s="48"/>
      <c r="J568" s="48"/>
      <c r="K568" s="48"/>
      <c r="L568" s="48"/>
      <c r="M568" s="48"/>
      <c r="N568" s="77"/>
      <c r="O568" s="78"/>
      <c r="P568" s="77"/>
      <c r="Q568" s="78"/>
      <c r="R568" s="78"/>
      <c r="S568" s="77"/>
      <c r="T568" s="48"/>
      <c r="U568" s="48"/>
      <c r="V568" s="48"/>
      <c r="W568" s="48"/>
      <c r="X568" s="77"/>
      <c r="Y568" s="48"/>
      <c r="Z568" s="48"/>
      <c r="AA568" s="48"/>
      <c r="AB568" s="77"/>
      <c r="AC568" s="48"/>
      <c r="AD568" s="77"/>
      <c r="AE568" s="48"/>
      <c r="AF568" s="77"/>
      <c r="AG568" s="48"/>
      <c r="AH568" s="77"/>
      <c r="AI568" s="48"/>
      <c r="AJ568" s="77"/>
      <c r="AK568" s="48"/>
    </row>
    <row r="569" ht="18.0" customHeight="1">
      <c r="A569" s="48"/>
      <c r="B569" s="48"/>
      <c r="C569" s="77"/>
      <c r="D569" s="48"/>
      <c r="E569" s="48"/>
      <c r="F569" s="48"/>
      <c r="G569" s="48"/>
      <c r="H569" s="77"/>
      <c r="I569" s="48"/>
      <c r="J569" s="48"/>
      <c r="K569" s="48"/>
      <c r="L569" s="48"/>
      <c r="M569" s="48"/>
      <c r="N569" s="77"/>
      <c r="O569" s="78"/>
      <c r="P569" s="77"/>
      <c r="Q569" s="78"/>
      <c r="R569" s="78"/>
      <c r="S569" s="77"/>
      <c r="T569" s="48"/>
      <c r="U569" s="48"/>
      <c r="V569" s="48"/>
      <c r="W569" s="48"/>
      <c r="X569" s="77"/>
      <c r="Y569" s="48"/>
      <c r="Z569" s="48"/>
      <c r="AA569" s="48"/>
      <c r="AB569" s="77"/>
      <c r="AC569" s="48"/>
      <c r="AD569" s="77"/>
      <c r="AE569" s="48"/>
      <c r="AF569" s="77"/>
      <c r="AG569" s="48"/>
      <c r="AH569" s="77"/>
      <c r="AI569" s="48"/>
      <c r="AJ569" s="77"/>
      <c r="AK569" s="48"/>
    </row>
    <row r="570" ht="18.0" customHeight="1">
      <c r="A570" s="48"/>
      <c r="B570" s="48"/>
      <c r="C570" s="77"/>
      <c r="D570" s="48"/>
      <c r="E570" s="48"/>
      <c r="F570" s="48"/>
      <c r="G570" s="48"/>
      <c r="H570" s="77"/>
      <c r="I570" s="48"/>
      <c r="J570" s="48"/>
      <c r="K570" s="48"/>
      <c r="L570" s="48"/>
      <c r="M570" s="48"/>
      <c r="N570" s="77"/>
      <c r="O570" s="78"/>
      <c r="P570" s="77"/>
      <c r="Q570" s="78"/>
      <c r="R570" s="78"/>
      <c r="S570" s="77"/>
      <c r="T570" s="48"/>
      <c r="U570" s="48"/>
      <c r="V570" s="48"/>
      <c r="W570" s="48"/>
      <c r="X570" s="77"/>
      <c r="Y570" s="48"/>
      <c r="Z570" s="48"/>
      <c r="AA570" s="48"/>
      <c r="AB570" s="77"/>
      <c r="AC570" s="48"/>
      <c r="AD570" s="77"/>
      <c r="AE570" s="48"/>
      <c r="AF570" s="77"/>
      <c r="AG570" s="48"/>
      <c r="AH570" s="77"/>
      <c r="AI570" s="48"/>
      <c r="AJ570" s="77"/>
      <c r="AK570" s="48"/>
    </row>
    <row r="571" ht="18.0" customHeight="1">
      <c r="A571" s="48"/>
      <c r="B571" s="48"/>
      <c r="C571" s="77"/>
      <c r="D571" s="48"/>
      <c r="E571" s="48"/>
      <c r="F571" s="48"/>
      <c r="G571" s="48"/>
      <c r="H571" s="77"/>
      <c r="I571" s="48"/>
      <c r="J571" s="48"/>
      <c r="K571" s="48"/>
      <c r="L571" s="48"/>
      <c r="M571" s="48"/>
      <c r="N571" s="77"/>
      <c r="O571" s="78"/>
      <c r="P571" s="77"/>
      <c r="Q571" s="78"/>
      <c r="R571" s="78"/>
      <c r="S571" s="77"/>
      <c r="T571" s="48"/>
      <c r="U571" s="48"/>
      <c r="V571" s="48"/>
      <c r="W571" s="48"/>
      <c r="X571" s="77"/>
      <c r="Y571" s="48"/>
      <c r="Z571" s="48"/>
      <c r="AA571" s="48"/>
      <c r="AB571" s="77"/>
      <c r="AC571" s="48"/>
      <c r="AD571" s="77"/>
      <c r="AE571" s="48"/>
      <c r="AF571" s="77"/>
      <c r="AG571" s="48"/>
      <c r="AH571" s="77"/>
      <c r="AI571" s="48"/>
      <c r="AJ571" s="77"/>
      <c r="AK571" s="48"/>
    </row>
    <row r="572" ht="18.0" customHeight="1">
      <c r="A572" s="48"/>
      <c r="B572" s="48"/>
      <c r="C572" s="77"/>
      <c r="D572" s="48"/>
      <c r="E572" s="48"/>
      <c r="F572" s="48"/>
      <c r="G572" s="48"/>
      <c r="H572" s="77"/>
      <c r="I572" s="48"/>
      <c r="J572" s="48"/>
      <c r="K572" s="48"/>
      <c r="L572" s="48"/>
      <c r="M572" s="48"/>
      <c r="N572" s="77"/>
      <c r="O572" s="78"/>
      <c r="P572" s="77"/>
      <c r="Q572" s="78"/>
      <c r="R572" s="78"/>
      <c r="S572" s="77"/>
      <c r="T572" s="48"/>
      <c r="U572" s="48"/>
      <c r="V572" s="48"/>
      <c r="W572" s="48"/>
      <c r="X572" s="77"/>
      <c r="Y572" s="48"/>
      <c r="Z572" s="48"/>
      <c r="AA572" s="48"/>
      <c r="AB572" s="77"/>
      <c r="AC572" s="48"/>
      <c r="AD572" s="77"/>
      <c r="AE572" s="48"/>
      <c r="AF572" s="77"/>
      <c r="AG572" s="48"/>
      <c r="AH572" s="77"/>
      <c r="AI572" s="48"/>
      <c r="AJ572" s="77"/>
      <c r="AK572" s="48"/>
    </row>
    <row r="573" ht="18.0" customHeight="1">
      <c r="A573" s="48"/>
      <c r="B573" s="48"/>
      <c r="C573" s="77"/>
      <c r="D573" s="48"/>
      <c r="E573" s="48"/>
      <c r="F573" s="48"/>
      <c r="G573" s="48"/>
      <c r="H573" s="77"/>
      <c r="I573" s="48"/>
      <c r="J573" s="48"/>
      <c r="K573" s="48"/>
      <c r="L573" s="48"/>
      <c r="M573" s="48"/>
      <c r="N573" s="77"/>
      <c r="O573" s="78"/>
      <c r="P573" s="77"/>
      <c r="Q573" s="78"/>
      <c r="R573" s="78"/>
      <c r="S573" s="77"/>
      <c r="T573" s="48"/>
      <c r="U573" s="48"/>
      <c r="V573" s="48"/>
      <c r="W573" s="48"/>
      <c r="X573" s="77"/>
      <c r="Y573" s="48"/>
      <c r="Z573" s="48"/>
      <c r="AA573" s="48"/>
      <c r="AB573" s="77"/>
      <c r="AC573" s="48"/>
      <c r="AD573" s="77"/>
      <c r="AE573" s="48"/>
      <c r="AF573" s="77"/>
      <c r="AG573" s="48"/>
      <c r="AH573" s="77"/>
      <c r="AI573" s="48"/>
      <c r="AJ573" s="77"/>
      <c r="AK573" s="48"/>
    </row>
    <row r="574" ht="18.0" customHeight="1">
      <c r="A574" s="48"/>
      <c r="B574" s="48"/>
      <c r="C574" s="77"/>
      <c r="D574" s="48"/>
      <c r="E574" s="48"/>
      <c r="F574" s="48"/>
      <c r="G574" s="48"/>
      <c r="H574" s="77"/>
      <c r="I574" s="48"/>
      <c r="J574" s="48"/>
      <c r="K574" s="48"/>
      <c r="L574" s="48"/>
      <c r="M574" s="48"/>
      <c r="N574" s="77"/>
      <c r="O574" s="78"/>
      <c r="P574" s="77"/>
      <c r="Q574" s="78"/>
      <c r="R574" s="78"/>
      <c r="S574" s="77"/>
      <c r="T574" s="48"/>
      <c r="U574" s="48"/>
      <c r="V574" s="48"/>
      <c r="W574" s="48"/>
      <c r="X574" s="77"/>
      <c r="Y574" s="48"/>
      <c r="Z574" s="48"/>
      <c r="AA574" s="48"/>
      <c r="AB574" s="77"/>
      <c r="AC574" s="48"/>
      <c r="AD574" s="77"/>
      <c r="AE574" s="48"/>
      <c r="AF574" s="77"/>
      <c r="AG574" s="48"/>
      <c r="AH574" s="77"/>
      <c r="AI574" s="48"/>
      <c r="AJ574" s="77"/>
      <c r="AK574" s="48"/>
    </row>
    <row r="575" ht="18.0" customHeight="1">
      <c r="A575" s="48"/>
      <c r="B575" s="48"/>
      <c r="C575" s="77"/>
      <c r="D575" s="48"/>
      <c r="E575" s="48"/>
      <c r="F575" s="48"/>
      <c r="G575" s="48"/>
      <c r="H575" s="77"/>
      <c r="I575" s="48"/>
      <c r="J575" s="48"/>
      <c r="K575" s="48"/>
      <c r="L575" s="48"/>
      <c r="M575" s="48"/>
      <c r="N575" s="77"/>
      <c r="O575" s="78"/>
      <c r="P575" s="77"/>
      <c r="Q575" s="78"/>
      <c r="R575" s="78"/>
      <c r="S575" s="77"/>
      <c r="T575" s="48"/>
      <c r="U575" s="48"/>
      <c r="V575" s="48"/>
      <c r="W575" s="48"/>
      <c r="X575" s="77"/>
      <c r="Y575" s="48"/>
      <c r="Z575" s="48"/>
      <c r="AA575" s="48"/>
      <c r="AB575" s="77"/>
      <c r="AC575" s="48"/>
      <c r="AD575" s="77"/>
      <c r="AE575" s="48"/>
      <c r="AF575" s="77"/>
      <c r="AG575" s="48"/>
      <c r="AH575" s="77"/>
      <c r="AI575" s="48"/>
      <c r="AJ575" s="77"/>
      <c r="AK575" s="48"/>
    </row>
    <row r="576" ht="18.0" customHeight="1">
      <c r="A576" s="48"/>
      <c r="B576" s="48"/>
      <c r="C576" s="77"/>
      <c r="D576" s="48"/>
      <c r="E576" s="48"/>
      <c r="F576" s="48"/>
      <c r="G576" s="48"/>
      <c r="H576" s="77"/>
      <c r="I576" s="48"/>
      <c r="J576" s="48"/>
      <c r="K576" s="48"/>
      <c r="L576" s="48"/>
      <c r="M576" s="48"/>
      <c r="N576" s="77"/>
      <c r="O576" s="78"/>
      <c r="P576" s="77"/>
      <c r="Q576" s="78"/>
      <c r="R576" s="78"/>
      <c r="S576" s="77"/>
      <c r="T576" s="48"/>
      <c r="U576" s="48"/>
      <c r="V576" s="48"/>
      <c r="W576" s="48"/>
      <c r="X576" s="77"/>
      <c r="Y576" s="48"/>
      <c r="Z576" s="48"/>
      <c r="AA576" s="48"/>
      <c r="AB576" s="77"/>
      <c r="AC576" s="48"/>
      <c r="AD576" s="77"/>
      <c r="AE576" s="48"/>
      <c r="AF576" s="77"/>
      <c r="AG576" s="48"/>
      <c r="AH576" s="77"/>
      <c r="AI576" s="48"/>
      <c r="AJ576" s="77"/>
      <c r="AK576" s="48"/>
    </row>
    <row r="577" ht="18.0" customHeight="1">
      <c r="A577" s="48"/>
      <c r="B577" s="48"/>
      <c r="C577" s="77"/>
      <c r="D577" s="48"/>
      <c r="E577" s="48"/>
      <c r="F577" s="48"/>
      <c r="G577" s="48"/>
      <c r="H577" s="77"/>
      <c r="I577" s="48"/>
      <c r="J577" s="48"/>
      <c r="K577" s="48"/>
      <c r="L577" s="48"/>
      <c r="M577" s="48"/>
      <c r="N577" s="77"/>
      <c r="O577" s="78"/>
      <c r="P577" s="77"/>
      <c r="Q577" s="78"/>
      <c r="R577" s="78"/>
      <c r="S577" s="77"/>
      <c r="T577" s="48"/>
      <c r="U577" s="48"/>
      <c r="V577" s="48"/>
      <c r="W577" s="48"/>
      <c r="X577" s="77"/>
      <c r="Y577" s="48"/>
      <c r="Z577" s="48"/>
      <c r="AA577" s="48"/>
      <c r="AB577" s="77"/>
      <c r="AC577" s="48"/>
      <c r="AD577" s="77"/>
      <c r="AE577" s="48"/>
      <c r="AF577" s="77"/>
      <c r="AG577" s="48"/>
      <c r="AH577" s="77"/>
      <c r="AI577" s="48"/>
      <c r="AJ577" s="77"/>
      <c r="AK577" s="48"/>
    </row>
    <row r="578" ht="18.0" customHeight="1">
      <c r="A578" s="48"/>
      <c r="B578" s="48"/>
      <c r="C578" s="77"/>
      <c r="D578" s="48"/>
      <c r="E578" s="48"/>
      <c r="F578" s="48"/>
      <c r="G578" s="48"/>
      <c r="H578" s="77"/>
      <c r="I578" s="48"/>
      <c r="J578" s="48"/>
      <c r="K578" s="48"/>
      <c r="L578" s="48"/>
      <c r="M578" s="48"/>
      <c r="N578" s="77"/>
      <c r="O578" s="78"/>
      <c r="P578" s="77"/>
      <c r="Q578" s="78"/>
      <c r="R578" s="78"/>
      <c r="S578" s="77"/>
      <c r="T578" s="48"/>
      <c r="U578" s="48"/>
      <c r="V578" s="48"/>
      <c r="W578" s="48"/>
      <c r="X578" s="77"/>
      <c r="Y578" s="48"/>
      <c r="Z578" s="48"/>
      <c r="AA578" s="48"/>
      <c r="AB578" s="77"/>
      <c r="AC578" s="48"/>
      <c r="AD578" s="77"/>
      <c r="AE578" s="48"/>
      <c r="AF578" s="77"/>
      <c r="AG578" s="48"/>
      <c r="AH578" s="77"/>
      <c r="AI578" s="48"/>
      <c r="AJ578" s="77"/>
      <c r="AK578" s="48"/>
    </row>
    <row r="579" ht="18.0" customHeight="1">
      <c r="A579" s="48"/>
      <c r="B579" s="48"/>
      <c r="C579" s="77"/>
      <c r="D579" s="48"/>
      <c r="E579" s="48"/>
      <c r="F579" s="48"/>
      <c r="G579" s="48"/>
      <c r="H579" s="77"/>
      <c r="I579" s="48"/>
      <c r="J579" s="48"/>
      <c r="K579" s="48"/>
      <c r="L579" s="48"/>
      <c r="M579" s="48"/>
      <c r="N579" s="77"/>
      <c r="O579" s="78"/>
      <c r="P579" s="77"/>
      <c r="Q579" s="78"/>
      <c r="R579" s="78"/>
      <c r="S579" s="77"/>
      <c r="T579" s="48"/>
      <c r="U579" s="48"/>
      <c r="V579" s="48"/>
      <c r="W579" s="48"/>
      <c r="X579" s="77"/>
      <c r="Y579" s="48"/>
      <c r="Z579" s="48"/>
      <c r="AA579" s="48"/>
      <c r="AB579" s="77"/>
      <c r="AC579" s="48"/>
      <c r="AD579" s="77"/>
      <c r="AE579" s="48"/>
      <c r="AF579" s="77"/>
      <c r="AG579" s="48"/>
      <c r="AH579" s="77"/>
      <c r="AI579" s="48"/>
      <c r="AJ579" s="77"/>
      <c r="AK579" s="48"/>
    </row>
    <row r="580" ht="18.0" customHeight="1">
      <c r="A580" s="48"/>
      <c r="B580" s="48"/>
      <c r="C580" s="77"/>
      <c r="D580" s="48"/>
      <c r="E580" s="48"/>
      <c r="F580" s="48"/>
      <c r="G580" s="48"/>
      <c r="H580" s="77"/>
      <c r="I580" s="48"/>
      <c r="J580" s="48"/>
      <c r="K580" s="48"/>
      <c r="L580" s="48"/>
      <c r="M580" s="48"/>
      <c r="N580" s="77"/>
      <c r="O580" s="78"/>
      <c r="P580" s="77"/>
      <c r="Q580" s="78"/>
      <c r="R580" s="78"/>
      <c r="S580" s="77"/>
      <c r="T580" s="48"/>
      <c r="U580" s="48"/>
      <c r="V580" s="48"/>
      <c r="W580" s="48"/>
      <c r="X580" s="77"/>
      <c r="Y580" s="48"/>
      <c r="Z580" s="48"/>
      <c r="AA580" s="48"/>
      <c r="AB580" s="77"/>
      <c r="AC580" s="48"/>
      <c r="AD580" s="77"/>
      <c r="AE580" s="48"/>
      <c r="AF580" s="77"/>
      <c r="AG580" s="48"/>
      <c r="AH580" s="77"/>
      <c r="AI580" s="48"/>
      <c r="AJ580" s="77"/>
      <c r="AK580" s="48"/>
    </row>
    <row r="581" ht="18.0" customHeight="1">
      <c r="A581" s="48"/>
      <c r="B581" s="48"/>
      <c r="C581" s="77"/>
      <c r="D581" s="48"/>
      <c r="E581" s="48"/>
      <c r="F581" s="48"/>
      <c r="G581" s="48"/>
      <c r="H581" s="77"/>
      <c r="I581" s="48"/>
      <c r="J581" s="48"/>
      <c r="K581" s="48"/>
      <c r="L581" s="48"/>
      <c r="M581" s="48"/>
      <c r="N581" s="77"/>
      <c r="O581" s="78"/>
      <c r="P581" s="77"/>
      <c r="Q581" s="78"/>
      <c r="R581" s="78"/>
      <c r="S581" s="77"/>
      <c r="T581" s="48"/>
      <c r="U581" s="48"/>
      <c r="V581" s="48"/>
      <c r="W581" s="48"/>
      <c r="X581" s="77"/>
      <c r="Y581" s="48"/>
      <c r="Z581" s="48"/>
      <c r="AA581" s="48"/>
      <c r="AB581" s="77"/>
      <c r="AC581" s="48"/>
      <c r="AD581" s="77"/>
      <c r="AE581" s="48"/>
      <c r="AF581" s="77"/>
      <c r="AG581" s="48"/>
      <c r="AH581" s="77"/>
      <c r="AI581" s="48"/>
      <c r="AJ581" s="77"/>
      <c r="AK581" s="48"/>
    </row>
    <row r="582" ht="18.0" customHeight="1">
      <c r="A582" s="48"/>
      <c r="B582" s="48"/>
      <c r="C582" s="77"/>
      <c r="D582" s="48"/>
      <c r="E582" s="48"/>
      <c r="F582" s="48"/>
      <c r="G582" s="48"/>
      <c r="H582" s="77"/>
      <c r="I582" s="48"/>
      <c r="J582" s="48"/>
      <c r="K582" s="48"/>
      <c r="L582" s="48"/>
      <c r="M582" s="48"/>
      <c r="N582" s="77"/>
      <c r="O582" s="78"/>
      <c r="P582" s="77"/>
      <c r="Q582" s="78"/>
      <c r="R582" s="78"/>
      <c r="S582" s="77"/>
      <c r="T582" s="48"/>
      <c r="U582" s="48"/>
      <c r="V582" s="48"/>
      <c r="W582" s="48"/>
      <c r="X582" s="77"/>
      <c r="Y582" s="48"/>
      <c r="Z582" s="48"/>
      <c r="AA582" s="48"/>
      <c r="AB582" s="77"/>
      <c r="AC582" s="48"/>
      <c r="AD582" s="77"/>
      <c r="AE582" s="48"/>
      <c r="AF582" s="77"/>
      <c r="AG582" s="48"/>
      <c r="AH582" s="77"/>
      <c r="AI582" s="48"/>
      <c r="AJ582" s="77"/>
      <c r="AK582" s="48"/>
    </row>
    <row r="583" ht="18.0" customHeight="1">
      <c r="A583" s="48"/>
      <c r="B583" s="48"/>
      <c r="C583" s="77"/>
      <c r="D583" s="48"/>
      <c r="E583" s="48"/>
      <c r="F583" s="48"/>
      <c r="G583" s="48"/>
      <c r="H583" s="77"/>
      <c r="I583" s="48"/>
      <c r="J583" s="48"/>
      <c r="K583" s="48"/>
      <c r="L583" s="48"/>
      <c r="M583" s="48"/>
      <c r="N583" s="77"/>
      <c r="O583" s="78"/>
      <c r="P583" s="77"/>
      <c r="Q583" s="78"/>
      <c r="R583" s="78"/>
      <c r="S583" s="77"/>
      <c r="T583" s="48"/>
      <c r="U583" s="48"/>
      <c r="V583" s="48"/>
      <c r="W583" s="48"/>
      <c r="X583" s="77"/>
      <c r="Y583" s="48"/>
      <c r="Z583" s="48"/>
      <c r="AA583" s="48"/>
      <c r="AB583" s="77"/>
      <c r="AC583" s="48"/>
      <c r="AD583" s="77"/>
      <c r="AE583" s="48"/>
      <c r="AF583" s="77"/>
      <c r="AG583" s="48"/>
      <c r="AH583" s="77"/>
      <c r="AI583" s="48"/>
      <c r="AJ583" s="77"/>
      <c r="AK583" s="48"/>
    </row>
    <row r="584" ht="18.0" customHeight="1">
      <c r="A584" s="48"/>
      <c r="B584" s="48"/>
      <c r="C584" s="77"/>
      <c r="D584" s="48"/>
      <c r="E584" s="48"/>
      <c r="F584" s="48"/>
      <c r="G584" s="48"/>
      <c r="H584" s="77"/>
      <c r="I584" s="48"/>
      <c r="J584" s="48"/>
      <c r="K584" s="48"/>
      <c r="L584" s="48"/>
      <c r="M584" s="48"/>
      <c r="N584" s="77"/>
      <c r="O584" s="78"/>
      <c r="P584" s="77"/>
      <c r="Q584" s="78"/>
      <c r="R584" s="78"/>
      <c r="S584" s="77"/>
      <c r="T584" s="48"/>
      <c r="U584" s="48"/>
      <c r="V584" s="48"/>
      <c r="W584" s="48"/>
      <c r="X584" s="77"/>
      <c r="Y584" s="48"/>
      <c r="Z584" s="48"/>
      <c r="AA584" s="48"/>
      <c r="AB584" s="77"/>
      <c r="AC584" s="48"/>
      <c r="AD584" s="77"/>
      <c r="AE584" s="48"/>
      <c r="AF584" s="77"/>
      <c r="AG584" s="48"/>
      <c r="AH584" s="77"/>
      <c r="AI584" s="48"/>
      <c r="AJ584" s="77"/>
      <c r="AK584" s="48"/>
    </row>
    <row r="585" ht="18.0" customHeight="1">
      <c r="A585" s="48"/>
      <c r="B585" s="48"/>
      <c r="C585" s="77"/>
      <c r="D585" s="48"/>
      <c r="E585" s="48"/>
      <c r="F585" s="48"/>
      <c r="G585" s="48"/>
      <c r="H585" s="77"/>
      <c r="I585" s="48"/>
      <c r="J585" s="48"/>
      <c r="K585" s="48"/>
      <c r="L585" s="48"/>
      <c r="M585" s="48"/>
      <c r="N585" s="77"/>
      <c r="O585" s="78"/>
      <c r="P585" s="77"/>
      <c r="Q585" s="78"/>
      <c r="R585" s="78"/>
      <c r="S585" s="77"/>
      <c r="T585" s="48"/>
      <c r="U585" s="48"/>
      <c r="V585" s="48"/>
      <c r="W585" s="48"/>
      <c r="X585" s="77"/>
      <c r="Y585" s="48"/>
      <c r="Z585" s="48"/>
      <c r="AA585" s="48"/>
      <c r="AB585" s="77"/>
      <c r="AC585" s="48"/>
      <c r="AD585" s="77"/>
      <c r="AE585" s="48"/>
      <c r="AF585" s="77"/>
      <c r="AG585" s="48"/>
      <c r="AH585" s="77"/>
      <c r="AI585" s="48"/>
      <c r="AJ585" s="77"/>
      <c r="AK585" s="48"/>
    </row>
    <row r="586" ht="18.0" customHeight="1">
      <c r="A586" s="48"/>
      <c r="B586" s="48"/>
      <c r="C586" s="77"/>
      <c r="D586" s="48"/>
      <c r="E586" s="48"/>
      <c r="F586" s="48"/>
      <c r="G586" s="48"/>
      <c r="H586" s="77"/>
      <c r="I586" s="48"/>
      <c r="J586" s="48"/>
      <c r="K586" s="48"/>
      <c r="L586" s="48"/>
      <c r="M586" s="48"/>
      <c r="N586" s="77"/>
      <c r="O586" s="78"/>
      <c r="P586" s="77"/>
      <c r="Q586" s="78"/>
      <c r="R586" s="78"/>
      <c r="S586" s="77"/>
      <c r="T586" s="48"/>
      <c r="U586" s="48"/>
      <c r="V586" s="48"/>
      <c r="W586" s="48"/>
      <c r="X586" s="77"/>
      <c r="Y586" s="48"/>
      <c r="Z586" s="48"/>
      <c r="AA586" s="48"/>
      <c r="AB586" s="77"/>
      <c r="AC586" s="48"/>
      <c r="AD586" s="77"/>
      <c r="AE586" s="48"/>
      <c r="AF586" s="77"/>
      <c r="AG586" s="48"/>
      <c r="AH586" s="77"/>
      <c r="AI586" s="48"/>
      <c r="AJ586" s="77"/>
      <c r="AK586" s="48"/>
    </row>
    <row r="587" ht="18.0" customHeight="1">
      <c r="A587" s="48"/>
      <c r="B587" s="48"/>
      <c r="C587" s="77"/>
      <c r="D587" s="48"/>
      <c r="E587" s="48"/>
      <c r="F587" s="48"/>
      <c r="G587" s="48"/>
      <c r="H587" s="77"/>
      <c r="I587" s="48"/>
      <c r="J587" s="48"/>
      <c r="K587" s="48"/>
      <c r="L587" s="48"/>
      <c r="M587" s="48"/>
      <c r="N587" s="77"/>
      <c r="O587" s="78"/>
      <c r="P587" s="77"/>
      <c r="Q587" s="78"/>
      <c r="R587" s="78"/>
      <c r="S587" s="77"/>
      <c r="T587" s="48"/>
      <c r="U587" s="48"/>
      <c r="V587" s="48"/>
      <c r="W587" s="48"/>
      <c r="X587" s="77"/>
      <c r="Y587" s="48"/>
      <c r="Z587" s="48"/>
      <c r="AA587" s="48"/>
      <c r="AB587" s="77"/>
      <c r="AC587" s="48"/>
      <c r="AD587" s="77"/>
      <c r="AE587" s="48"/>
      <c r="AF587" s="77"/>
      <c r="AG587" s="48"/>
      <c r="AH587" s="77"/>
      <c r="AI587" s="48"/>
      <c r="AJ587" s="77"/>
      <c r="AK587" s="48"/>
    </row>
    <row r="588" ht="18.0" customHeight="1">
      <c r="A588" s="48"/>
      <c r="B588" s="48"/>
      <c r="C588" s="77"/>
      <c r="D588" s="48"/>
      <c r="E588" s="48"/>
      <c r="F588" s="48"/>
      <c r="G588" s="48"/>
      <c r="H588" s="77"/>
      <c r="I588" s="48"/>
      <c r="J588" s="48"/>
      <c r="K588" s="48"/>
      <c r="L588" s="48"/>
      <c r="M588" s="48"/>
      <c r="N588" s="77"/>
      <c r="O588" s="78"/>
      <c r="P588" s="77"/>
      <c r="Q588" s="78"/>
      <c r="R588" s="78"/>
      <c r="S588" s="77"/>
      <c r="T588" s="48"/>
      <c r="U588" s="48"/>
      <c r="V588" s="48"/>
      <c r="W588" s="48"/>
      <c r="X588" s="77"/>
      <c r="Y588" s="48"/>
      <c r="Z588" s="48"/>
      <c r="AA588" s="48"/>
      <c r="AB588" s="77"/>
      <c r="AC588" s="48"/>
      <c r="AD588" s="77"/>
      <c r="AE588" s="48"/>
      <c r="AF588" s="77"/>
      <c r="AG588" s="48"/>
      <c r="AH588" s="77"/>
      <c r="AI588" s="48"/>
      <c r="AJ588" s="77"/>
      <c r="AK588" s="48"/>
    </row>
    <row r="589" ht="18.0" customHeight="1">
      <c r="A589" s="48"/>
      <c r="B589" s="48"/>
      <c r="C589" s="77"/>
      <c r="D589" s="48"/>
      <c r="E589" s="48"/>
      <c r="F589" s="48"/>
      <c r="G589" s="48"/>
      <c r="H589" s="77"/>
      <c r="I589" s="48"/>
      <c r="J589" s="48"/>
      <c r="K589" s="48"/>
      <c r="L589" s="48"/>
      <c r="M589" s="48"/>
      <c r="N589" s="77"/>
      <c r="O589" s="78"/>
      <c r="P589" s="77"/>
      <c r="Q589" s="78"/>
      <c r="R589" s="78"/>
      <c r="S589" s="77"/>
      <c r="T589" s="48"/>
      <c r="U589" s="48"/>
      <c r="V589" s="48"/>
      <c r="W589" s="48"/>
      <c r="X589" s="77"/>
      <c r="Y589" s="48"/>
      <c r="Z589" s="48"/>
      <c r="AA589" s="48"/>
      <c r="AB589" s="77"/>
      <c r="AC589" s="48"/>
      <c r="AD589" s="77"/>
      <c r="AE589" s="48"/>
      <c r="AF589" s="77"/>
      <c r="AG589" s="48"/>
      <c r="AH589" s="77"/>
      <c r="AI589" s="48"/>
      <c r="AJ589" s="77"/>
      <c r="AK589" s="48"/>
    </row>
    <row r="590" ht="18.0" customHeight="1">
      <c r="A590" s="48"/>
      <c r="B590" s="48"/>
      <c r="C590" s="77"/>
      <c r="D590" s="48"/>
      <c r="E590" s="48"/>
      <c r="F590" s="48"/>
      <c r="G590" s="48"/>
      <c r="H590" s="77"/>
      <c r="I590" s="48"/>
      <c r="J590" s="48"/>
      <c r="K590" s="48"/>
      <c r="L590" s="48"/>
      <c r="M590" s="48"/>
      <c r="N590" s="77"/>
      <c r="O590" s="78"/>
      <c r="P590" s="77"/>
      <c r="Q590" s="78"/>
      <c r="R590" s="78"/>
      <c r="S590" s="77"/>
      <c r="T590" s="48"/>
      <c r="U590" s="48"/>
      <c r="V590" s="48"/>
      <c r="W590" s="48"/>
      <c r="X590" s="77"/>
      <c r="Y590" s="48"/>
      <c r="Z590" s="48"/>
      <c r="AA590" s="48"/>
      <c r="AB590" s="77"/>
      <c r="AC590" s="48"/>
      <c r="AD590" s="77"/>
      <c r="AE590" s="48"/>
      <c r="AF590" s="77"/>
      <c r="AG590" s="48"/>
      <c r="AH590" s="77"/>
      <c r="AI590" s="48"/>
      <c r="AJ590" s="77"/>
      <c r="AK590" s="48"/>
    </row>
    <row r="591" ht="18.0" customHeight="1">
      <c r="A591" s="48"/>
      <c r="B591" s="48"/>
      <c r="C591" s="77"/>
      <c r="D591" s="48"/>
      <c r="E591" s="48"/>
      <c r="F591" s="48"/>
      <c r="G591" s="48"/>
      <c r="H591" s="77"/>
      <c r="I591" s="48"/>
      <c r="J591" s="48"/>
      <c r="K591" s="48"/>
      <c r="L591" s="48"/>
      <c r="M591" s="48"/>
      <c r="N591" s="77"/>
      <c r="O591" s="78"/>
      <c r="P591" s="77"/>
      <c r="Q591" s="78"/>
      <c r="R591" s="78"/>
      <c r="S591" s="77"/>
      <c r="T591" s="48"/>
      <c r="U591" s="48"/>
      <c r="V591" s="48"/>
      <c r="W591" s="48"/>
      <c r="X591" s="77"/>
      <c r="Y591" s="48"/>
      <c r="Z591" s="48"/>
      <c r="AA591" s="48"/>
      <c r="AB591" s="77"/>
      <c r="AC591" s="48"/>
      <c r="AD591" s="77"/>
      <c r="AE591" s="48"/>
      <c r="AF591" s="77"/>
      <c r="AG591" s="48"/>
      <c r="AH591" s="77"/>
      <c r="AI591" s="48"/>
      <c r="AJ591" s="77"/>
      <c r="AK591" s="48"/>
    </row>
    <row r="592" ht="18.0" customHeight="1">
      <c r="A592" s="48"/>
      <c r="B592" s="48"/>
      <c r="C592" s="77"/>
      <c r="D592" s="48"/>
      <c r="E592" s="48"/>
      <c r="F592" s="48"/>
      <c r="G592" s="48"/>
      <c r="H592" s="77"/>
      <c r="I592" s="48"/>
      <c r="J592" s="48"/>
      <c r="K592" s="48"/>
      <c r="L592" s="48"/>
      <c r="M592" s="48"/>
      <c r="N592" s="77"/>
      <c r="O592" s="78"/>
      <c r="P592" s="77"/>
      <c r="Q592" s="78"/>
      <c r="R592" s="78"/>
      <c r="S592" s="77"/>
      <c r="T592" s="48"/>
      <c r="U592" s="48"/>
      <c r="V592" s="48"/>
      <c r="W592" s="48"/>
      <c r="X592" s="77"/>
      <c r="Y592" s="48"/>
      <c r="Z592" s="48"/>
      <c r="AA592" s="48"/>
      <c r="AB592" s="77"/>
      <c r="AC592" s="48"/>
      <c r="AD592" s="77"/>
      <c r="AE592" s="48"/>
      <c r="AF592" s="77"/>
      <c r="AG592" s="48"/>
      <c r="AH592" s="77"/>
      <c r="AI592" s="48"/>
      <c r="AJ592" s="77"/>
      <c r="AK592" s="48"/>
    </row>
    <row r="593" ht="18.0" customHeight="1">
      <c r="A593" s="48"/>
      <c r="B593" s="48"/>
      <c r="C593" s="77"/>
      <c r="D593" s="48"/>
      <c r="E593" s="48"/>
      <c r="F593" s="48"/>
      <c r="G593" s="48"/>
      <c r="H593" s="77"/>
      <c r="I593" s="48"/>
      <c r="J593" s="48"/>
      <c r="K593" s="48"/>
      <c r="L593" s="48"/>
      <c r="M593" s="48"/>
      <c r="N593" s="77"/>
      <c r="O593" s="78"/>
      <c r="P593" s="77"/>
      <c r="Q593" s="78"/>
      <c r="R593" s="78"/>
      <c r="S593" s="77"/>
      <c r="T593" s="48"/>
      <c r="U593" s="48"/>
      <c r="V593" s="48"/>
      <c r="W593" s="48"/>
      <c r="X593" s="77"/>
      <c r="Y593" s="48"/>
      <c r="Z593" s="48"/>
      <c r="AA593" s="48"/>
      <c r="AB593" s="77"/>
      <c r="AC593" s="48"/>
      <c r="AD593" s="77"/>
      <c r="AE593" s="48"/>
      <c r="AF593" s="77"/>
      <c r="AG593" s="48"/>
      <c r="AH593" s="77"/>
      <c r="AI593" s="48"/>
      <c r="AJ593" s="77"/>
      <c r="AK593" s="48"/>
    </row>
    <row r="594" ht="18.0" customHeight="1">
      <c r="A594" s="48"/>
      <c r="B594" s="48"/>
      <c r="C594" s="77"/>
      <c r="D594" s="48"/>
      <c r="E594" s="48"/>
      <c r="F594" s="48"/>
      <c r="G594" s="48"/>
      <c r="H594" s="77"/>
      <c r="I594" s="48"/>
      <c r="J594" s="48"/>
      <c r="K594" s="48"/>
      <c r="L594" s="48"/>
      <c r="M594" s="48"/>
      <c r="N594" s="77"/>
      <c r="O594" s="78"/>
      <c r="P594" s="77"/>
      <c r="Q594" s="78"/>
      <c r="R594" s="78"/>
      <c r="S594" s="77"/>
      <c r="T594" s="48"/>
      <c r="U594" s="48"/>
      <c r="V594" s="48"/>
      <c r="W594" s="48"/>
      <c r="X594" s="77"/>
      <c r="Y594" s="48"/>
      <c r="Z594" s="48"/>
      <c r="AA594" s="48"/>
      <c r="AB594" s="77"/>
      <c r="AC594" s="48"/>
      <c r="AD594" s="77"/>
      <c r="AE594" s="48"/>
      <c r="AF594" s="77"/>
      <c r="AG594" s="48"/>
      <c r="AH594" s="77"/>
      <c r="AI594" s="48"/>
      <c r="AJ594" s="77"/>
      <c r="AK594" s="48"/>
    </row>
    <row r="595" ht="18.0" customHeight="1">
      <c r="A595" s="48"/>
      <c r="B595" s="48"/>
      <c r="C595" s="77"/>
      <c r="D595" s="48"/>
      <c r="E595" s="48"/>
      <c r="F595" s="48"/>
      <c r="G595" s="48"/>
      <c r="H595" s="77"/>
      <c r="I595" s="48"/>
      <c r="J595" s="48"/>
      <c r="K595" s="48"/>
      <c r="L595" s="48"/>
      <c r="M595" s="48"/>
      <c r="N595" s="77"/>
      <c r="O595" s="78"/>
      <c r="P595" s="77"/>
      <c r="Q595" s="78"/>
      <c r="R595" s="78"/>
      <c r="S595" s="77"/>
      <c r="T595" s="48"/>
      <c r="U595" s="48"/>
      <c r="V595" s="48"/>
      <c r="W595" s="48"/>
      <c r="X595" s="77"/>
      <c r="Y595" s="48"/>
      <c r="Z595" s="48"/>
      <c r="AA595" s="48"/>
      <c r="AB595" s="77"/>
      <c r="AC595" s="48"/>
      <c r="AD595" s="77"/>
      <c r="AE595" s="48"/>
      <c r="AF595" s="77"/>
      <c r="AG595" s="48"/>
      <c r="AH595" s="77"/>
      <c r="AI595" s="48"/>
      <c r="AJ595" s="77"/>
      <c r="AK595" s="48"/>
    </row>
    <row r="596" ht="18.0" customHeight="1">
      <c r="A596" s="48"/>
      <c r="B596" s="48"/>
      <c r="C596" s="77"/>
      <c r="D596" s="48"/>
      <c r="E596" s="48"/>
      <c r="F596" s="48"/>
      <c r="G596" s="48"/>
      <c r="H596" s="77"/>
      <c r="I596" s="48"/>
      <c r="J596" s="48"/>
      <c r="K596" s="48"/>
      <c r="L596" s="48"/>
      <c r="M596" s="48"/>
      <c r="N596" s="77"/>
      <c r="O596" s="78"/>
      <c r="P596" s="77"/>
      <c r="Q596" s="78"/>
      <c r="R596" s="78"/>
      <c r="S596" s="77"/>
      <c r="T596" s="48"/>
      <c r="U596" s="48"/>
      <c r="V596" s="48"/>
      <c r="W596" s="48"/>
      <c r="X596" s="77"/>
      <c r="Y596" s="48"/>
      <c r="Z596" s="48"/>
      <c r="AA596" s="48"/>
      <c r="AB596" s="77"/>
      <c r="AC596" s="48"/>
      <c r="AD596" s="77"/>
      <c r="AE596" s="48"/>
      <c r="AF596" s="77"/>
      <c r="AG596" s="48"/>
      <c r="AH596" s="77"/>
      <c r="AI596" s="48"/>
      <c r="AJ596" s="77"/>
      <c r="AK596" s="48"/>
    </row>
    <row r="597" ht="18.0" customHeight="1">
      <c r="A597" s="48"/>
      <c r="B597" s="48"/>
      <c r="C597" s="77"/>
      <c r="D597" s="48"/>
      <c r="E597" s="48"/>
      <c r="F597" s="48"/>
      <c r="G597" s="48"/>
      <c r="H597" s="77"/>
      <c r="I597" s="48"/>
      <c r="J597" s="48"/>
      <c r="K597" s="48"/>
      <c r="L597" s="48"/>
      <c r="M597" s="48"/>
      <c r="N597" s="77"/>
      <c r="O597" s="78"/>
      <c r="P597" s="77"/>
      <c r="Q597" s="78"/>
      <c r="R597" s="78"/>
      <c r="S597" s="77"/>
      <c r="T597" s="48"/>
      <c r="U597" s="48"/>
      <c r="V597" s="48"/>
      <c r="W597" s="48"/>
      <c r="X597" s="77"/>
      <c r="Y597" s="48"/>
      <c r="Z597" s="48"/>
      <c r="AA597" s="48"/>
      <c r="AB597" s="77"/>
      <c r="AC597" s="48"/>
      <c r="AD597" s="77"/>
      <c r="AE597" s="48"/>
      <c r="AF597" s="77"/>
      <c r="AG597" s="48"/>
      <c r="AH597" s="77"/>
      <c r="AI597" s="48"/>
      <c r="AJ597" s="77"/>
      <c r="AK597" s="48"/>
    </row>
    <row r="598" ht="18.0" customHeight="1">
      <c r="A598" s="48"/>
      <c r="B598" s="48"/>
      <c r="C598" s="77"/>
      <c r="D598" s="48"/>
      <c r="E598" s="48"/>
      <c r="F598" s="48"/>
      <c r="G598" s="48"/>
      <c r="H598" s="77"/>
      <c r="I598" s="48"/>
      <c r="J598" s="48"/>
      <c r="K598" s="48"/>
      <c r="L598" s="48"/>
      <c r="M598" s="48"/>
      <c r="N598" s="77"/>
      <c r="O598" s="78"/>
      <c r="P598" s="77"/>
      <c r="Q598" s="78"/>
      <c r="R598" s="78"/>
      <c r="S598" s="77"/>
      <c r="T598" s="48"/>
      <c r="U598" s="48"/>
      <c r="V598" s="48"/>
      <c r="W598" s="48"/>
      <c r="X598" s="77"/>
      <c r="Y598" s="48"/>
      <c r="Z598" s="48"/>
      <c r="AA598" s="48"/>
      <c r="AB598" s="77"/>
      <c r="AC598" s="48"/>
      <c r="AD598" s="77"/>
      <c r="AE598" s="48"/>
      <c r="AF598" s="77"/>
      <c r="AG598" s="48"/>
      <c r="AH598" s="77"/>
      <c r="AI598" s="48"/>
      <c r="AJ598" s="77"/>
      <c r="AK598" s="48"/>
    </row>
    <row r="599" ht="18.0" customHeight="1">
      <c r="A599" s="48"/>
      <c r="B599" s="48"/>
      <c r="C599" s="77"/>
      <c r="D599" s="48"/>
      <c r="E599" s="48"/>
      <c r="F599" s="48"/>
      <c r="G599" s="48"/>
      <c r="H599" s="77"/>
      <c r="I599" s="48"/>
      <c r="J599" s="48"/>
      <c r="K599" s="48"/>
      <c r="L599" s="48"/>
      <c r="M599" s="48"/>
      <c r="N599" s="77"/>
      <c r="O599" s="78"/>
      <c r="P599" s="77"/>
      <c r="Q599" s="78"/>
      <c r="R599" s="78"/>
      <c r="S599" s="77"/>
      <c r="T599" s="48"/>
      <c r="U599" s="48"/>
      <c r="V599" s="48"/>
      <c r="W599" s="48"/>
      <c r="X599" s="77"/>
      <c r="Y599" s="48"/>
      <c r="Z599" s="48"/>
      <c r="AA599" s="48"/>
      <c r="AB599" s="77"/>
      <c r="AC599" s="48"/>
      <c r="AD599" s="77"/>
      <c r="AE599" s="48"/>
      <c r="AF599" s="77"/>
      <c r="AG599" s="48"/>
      <c r="AH599" s="77"/>
      <c r="AI599" s="48"/>
      <c r="AJ599" s="77"/>
      <c r="AK599" s="48"/>
    </row>
    <row r="600" ht="18.0" customHeight="1">
      <c r="A600" s="48"/>
      <c r="B600" s="48"/>
      <c r="C600" s="77"/>
      <c r="D600" s="48"/>
      <c r="E600" s="48"/>
      <c r="F600" s="48"/>
      <c r="G600" s="48"/>
      <c r="H600" s="77"/>
      <c r="I600" s="48"/>
      <c r="J600" s="48"/>
      <c r="K600" s="48"/>
      <c r="L600" s="48"/>
      <c r="M600" s="48"/>
      <c r="N600" s="77"/>
      <c r="O600" s="78"/>
      <c r="P600" s="77"/>
      <c r="Q600" s="78"/>
      <c r="R600" s="78"/>
      <c r="S600" s="77"/>
      <c r="T600" s="48"/>
      <c r="U600" s="48"/>
      <c r="V600" s="48"/>
      <c r="W600" s="48"/>
      <c r="X600" s="77"/>
      <c r="Y600" s="48"/>
      <c r="Z600" s="48"/>
      <c r="AA600" s="48"/>
      <c r="AB600" s="77"/>
      <c r="AC600" s="48"/>
      <c r="AD600" s="77"/>
      <c r="AE600" s="48"/>
      <c r="AF600" s="77"/>
      <c r="AG600" s="48"/>
      <c r="AH600" s="77"/>
      <c r="AI600" s="48"/>
      <c r="AJ600" s="77"/>
      <c r="AK600" s="48"/>
    </row>
    <row r="601" ht="18.0" customHeight="1">
      <c r="A601" s="48"/>
      <c r="B601" s="48"/>
      <c r="C601" s="77"/>
      <c r="D601" s="48"/>
      <c r="E601" s="48"/>
      <c r="F601" s="48"/>
      <c r="G601" s="48"/>
      <c r="H601" s="77"/>
      <c r="I601" s="48"/>
      <c r="J601" s="48"/>
      <c r="K601" s="48"/>
      <c r="L601" s="48"/>
      <c r="M601" s="48"/>
      <c r="N601" s="77"/>
      <c r="O601" s="78"/>
      <c r="P601" s="77"/>
      <c r="Q601" s="78"/>
      <c r="R601" s="78"/>
      <c r="S601" s="77"/>
      <c r="T601" s="48"/>
      <c r="U601" s="48"/>
      <c r="V601" s="48"/>
      <c r="W601" s="48"/>
      <c r="X601" s="77"/>
      <c r="Y601" s="48"/>
      <c r="Z601" s="48"/>
      <c r="AA601" s="48"/>
      <c r="AB601" s="77"/>
      <c r="AC601" s="48"/>
      <c r="AD601" s="77"/>
      <c r="AE601" s="48"/>
      <c r="AF601" s="77"/>
      <c r="AG601" s="48"/>
      <c r="AH601" s="77"/>
      <c r="AI601" s="48"/>
      <c r="AJ601" s="77"/>
      <c r="AK601" s="48"/>
    </row>
    <row r="602" ht="18.0" customHeight="1">
      <c r="A602" s="48"/>
      <c r="B602" s="48"/>
      <c r="C602" s="77"/>
      <c r="D602" s="48"/>
      <c r="E602" s="48"/>
      <c r="F602" s="48"/>
      <c r="G602" s="48"/>
      <c r="H602" s="77"/>
      <c r="I602" s="48"/>
      <c r="J602" s="48"/>
      <c r="K602" s="48"/>
      <c r="L602" s="48"/>
      <c r="M602" s="48"/>
      <c r="N602" s="77"/>
      <c r="O602" s="78"/>
      <c r="P602" s="77"/>
      <c r="Q602" s="78"/>
      <c r="R602" s="78"/>
      <c r="S602" s="77"/>
      <c r="T602" s="48"/>
      <c r="U602" s="48"/>
      <c r="V602" s="48"/>
      <c r="W602" s="48"/>
      <c r="X602" s="77"/>
      <c r="Y602" s="48"/>
      <c r="Z602" s="48"/>
      <c r="AA602" s="48"/>
      <c r="AB602" s="77"/>
      <c r="AC602" s="48"/>
      <c r="AD602" s="77"/>
      <c r="AE602" s="48"/>
      <c r="AF602" s="77"/>
      <c r="AG602" s="48"/>
      <c r="AH602" s="77"/>
      <c r="AI602" s="48"/>
      <c r="AJ602" s="77"/>
      <c r="AK602" s="48"/>
    </row>
    <row r="603" ht="18.0" customHeight="1">
      <c r="A603" s="48"/>
      <c r="B603" s="48"/>
      <c r="C603" s="77"/>
      <c r="D603" s="48"/>
      <c r="E603" s="48"/>
      <c r="F603" s="48"/>
      <c r="G603" s="48"/>
      <c r="H603" s="77"/>
      <c r="I603" s="48"/>
      <c r="J603" s="48"/>
      <c r="K603" s="48"/>
      <c r="L603" s="48"/>
      <c r="M603" s="48"/>
      <c r="N603" s="77"/>
      <c r="O603" s="78"/>
      <c r="P603" s="77"/>
      <c r="Q603" s="78"/>
      <c r="R603" s="78"/>
      <c r="S603" s="77"/>
      <c r="T603" s="48"/>
      <c r="U603" s="48"/>
      <c r="V603" s="48"/>
      <c r="W603" s="48"/>
      <c r="X603" s="77"/>
      <c r="Y603" s="48"/>
      <c r="Z603" s="48"/>
      <c r="AA603" s="48"/>
      <c r="AB603" s="77"/>
      <c r="AC603" s="48"/>
      <c r="AD603" s="77"/>
      <c r="AE603" s="48"/>
      <c r="AF603" s="77"/>
      <c r="AG603" s="48"/>
      <c r="AH603" s="77"/>
      <c r="AI603" s="48"/>
      <c r="AJ603" s="77"/>
      <c r="AK603" s="48"/>
    </row>
    <row r="604" ht="18.0" customHeight="1">
      <c r="A604" s="48"/>
      <c r="B604" s="48"/>
      <c r="C604" s="77"/>
      <c r="D604" s="48"/>
      <c r="E604" s="48"/>
      <c r="F604" s="48"/>
      <c r="G604" s="48"/>
      <c r="H604" s="77"/>
      <c r="I604" s="48"/>
      <c r="J604" s="48"/>
      <c r="K604" s="48"/>
      <c r="L604" s="48"/>
      <c r="M604" s="48"/>
      <c r="N604" s="77"/>
      <c r="O604" s="78"/>
      <c r="P604" s="77"/>
      <c r="Q604" s="78"/>
      <c r="R604" s="78"/>
      <c r="S604" s="77"/>
      <c r="T604" s="48"/>
      <c r="U604" s="48"/>
      <c r="V604" s="48"/>
      <c r="W604" s="48"/>
      <c r="X604" s="77"/>
      <c r="Y604" s="48"/>
      <c r="Z604" s="48"/>
      <c r="AA604" s="48"/>
      <c r="AB604" s="77"/>
      <c r="AC604" s="48"/>
      <c r="AD604" s="77"/>
      <c r="AE604" s="48"/>
      <c r="AF604" s="77"/>
      <c r="AG604" s="48"/>
      <c r="AH604" s="77"/>
      <c r="AI604" s="48"/>
      <c r="AJ604" s="77"/>
      <c r="AK604" s="48"/>
    </row>
    <row r="605" ht="18.0" customHeight="1">
      <c r="A605" s="48"/>
      <c r="B605" s="48"/>
      <c r="C605" s="77"/>
      <c r="D605" s="48"/>
      <c r="E605" s="48"/>
      <c r="F605" s="48"/>
      <c r="G605" s="48"/>
      <c r="H605" s="77"/>
      <c r="I605" s="48"/>
      <c r="J605" s="48"/>
      <c r="K605" s="48"/>
      <c r="L605" s="48"/>
      <c r="M605" s="48"/>
      <c r="N605" s="77"/>
      <c r="O605" s="78"/>
      <c r="P605" s="77"/>
      <c r="Q605" s="78"/>
      <c r="R605" s="78"/>
      <c r="S605" s="77"/>
      <c r="T605" s="48"/>
      <c r="U605" s="48"/>
      <c r="V605" s="48"/>
      <c r="W605" s="48"/>
      <c r="X605" s="77"/>
      <c r="Y605" s="48"/>
      <c r="Z605" s="48"/>
      <c r="AA605" s="48"/>
      <c r="AB605" s="77"/>
      <c r="AC605" s="48"/>
      <c r="AD605" s="77"/>
      <c r="AE605" s="48"/>
      <c r="AF605" s="77"/>
      <c r="AG605" s="48"/>
      <c r="AH605" s="77"/>
      <c r="AI605" s="48"/>
      <c r="AJ605" s="77"/>
      <c r="AK605" s="48"/>
    </row>
    <row r="606" ht="18.0" customHeight="1">
      <c r="A606" s="48"/>
      <c r="B606" s="48"/>
      <c r="C606" s="77"/>
      <c r="D606" s="48"/>
      <c r="E606" s="48"/>
      <c r="F606" s="48"/>
      <c r="G606" s="48"/>
      <c r="H606" s="77"/>
      <c r="I606" s="48"/>
      <c r="J606" s="48"/>
      <c r="K606" s="48"/>
      <c r="L606" s="48"/>
      <c r="M606" s="48"/>
      <c r="N606" s="77"/>
      <c r="O606" s="78"/>
      <c r="P606" s="77"/>
      <c r="Q606" s="78"/>
      <c r="R606" s="78"/>
      <c r="S606" s="77"/>
      <c r="T606" s="48"/>
      <c r="U606" s="48"/>
      <c r="V606" s="48"/>
      <c r="W606" s="48"/>
      <c r="X606" s="77"/>
      <c r="Y606" s="48"/>
      <c r="Z606" s="48"/>
      <c r="AA606" s="48"/>
      <c r="AB606" s="77"/>
      <c r="AC606" s="48"/>
      <c r="AD606" s="77"/>
      <c r="AE606" s="48"/>
      <c r="AF606" s="77"/>
      <c r="AG606" s="48"/>
      <c r="AH606" s="77"/>
      <c r="AI606" s="48"/>
      <c r="AJ606" s="77"/>
      <c r="AK606" s="48"/>
    </row>
    <row r="607" ht="18.0" customHeight="1">
      <c r="A607" s="48"/>
      <c r="B607" s="48"/>
      <c r="C607" s="77"/>
      <c r="D607" s="48"/>
      <c r="E607" s="48"/>
      <c r="F607" s="48"/>
      <c r="G607" s="48"/>
      <c r="H607" s="77"/>
      <c r="I607" s="48"/>
      <c r="J607" s="48"/>
      <c r="K607" s="48"/>
      <c r="L607" s="48"/>
      <c r="M607" s="48"/>
      <c r="N607" s="77"/>
      <c r="O607" s="78"/>
      <c r="P607" s="77"/>
      <c r="Q607" s="78"/>
      <c r="R607" s="78"/>
      <c r="S607" s="77"/>
      <c r="T607" s="48"/>
      <c r="U607" s="48"/>
      <c r="V607" s="48"/>
      <c r="W607" s="48"/>
      <c r="X607" s="77"/>
      <c r="Y607" s="48"/>
      <c r="Z607" s="48"/>
      <c r="AA607" s="48"/>
      <c r="AB607" s="77"/>
      <c r="AC607" s="48"/>
      <c r="AD607" s="77"/>
      <c r="AE607" s="48"/>
      <c r="AF607" s="77"/>
      <c r="AG607" s="48"/>
      <c r="AH607" s="77"/>
      <c r="AI607" s="48"/>
      <c r="AJ607" s="77"/>
      <c r="AK607" s="48"/>
    </row>
    <row r="608" ht="18.0" customHeight="1">
      <c r="A608" s="48"/>
      <c r="B608" s="48"/>
      <c r="C608" s="77"/>
      <c r="D608" s="48"/>
      <c r="E608" s="48"/>
      <c r="F608" s="48"/>
      <c r="G608" s="48"/>
      <c r="H608" s="77"/>
      <c r="I608" s="48"/>
      <c r="J608" s="48"/>
      <c r="K608" s="48"/>
      <c r="L608" s="48"/>
      <c r="M608" s="48"/>
      <c r="N608" s="77"/>
      <c r="O608" s="78"/>
      <c r="P608" s="77"/>
      <c r="Q608" s="78"/>
      <c r="R608" s="78"/>
      <c r="S608" s="77"/>
      <c r="T608" s="48"/>
      <c r="U608" s="48"/>
      <c r="V608" s="48"/>
      <c r="W608" s="48"/>
      <c r="X608" s="77"/>
      <c r="Y608" s="48"/>
      <c r="Z608" s="48"/>
      <c r="AA608" s="48"/>
      <c r="AB608" s="77"/>
      <c r="AC608" s="48"/>
      <c r="AD608" s="77"/>
      <c r="AE608" s="48"/>
      <c r="AF608" s="77"/>
      <c r="AG608" s="48"/>
      <c r="AH608" s="77"/>
      <c r="AI608" s="48"/>
      <c r="AJ608" s="77"/>
      <c r="AK608" s="48"/>
    </row>
    <row r="609" ht="18.0" customHeight="1">
      <c r="A609" s="48"/>
      <c r="B609" s="48"/>
      <c r="C609" s="77"/>
      <c r="D609" s="48"/>
      <c r="E609" s="48"/>
      <c r="F609" s="48"/>
      <c r="G609" s="48"/>
      <c r="H609" s="77"/>
      <c r="I609" s="48"/>
      <c r="J609" s="48"/>
      <c r="K609" s="48"/>
      <c r="L609" s="48"/>
      <c r="M609" s="48"/>
      <c r="N609" s="77"/>
      <c r="O609" s="78"/>
      <c r="P609" s="77"/>
      <c r="Q609" s="78"/>
      <c r="R609" s="78"/>
      <c r="S609" s="77"/>
      <c r="T609" s="48"/>
      <c r="U609" s="48"/>
      <c r="V609" s="48"/>
      <c r="W609" s="48"/>
      <c r="X609" s="77"/>
      <c r="Y609" s="48"/>
      <c r="Z609" s="48"/>
      <c r="AA609" s="48"/>
      <c r="AB609" s="77"/>
      <c r="AC609" s="48"/>
      <c r="AD609" s="77"/>
      <c r="AE609" s="48"/>
      <c r="AF609" s="77"/>
      <c r="AG609" s="48"/>
      <c r="AH609" s="77"/>
      <c r="AI609" s="48"/>
      <c r="AJ609" s="77"/>
      <c r="AK609" s="48"/>
    </row>
    <row r="610" ht="18.0" customHeight="1">
      <c r="A610" s="48"/>
      <c r="B610" s="48"/>
      <c r="C610" s="77"/>
      <c r="D610" s="48"/>
      <c r="E610" s="48"/>
      <c r="F610" s="48"/>
      <c r="G610" s="48"/>
      <c r="H610" s="77"/>
      <c r="I610" s="48"/>
      <c r="J610" s="48"/>
      <c r="K610" s="48"/>
      <c r="L610" s="48"/>
      <c r="M610" s="48"/>
      <c r="N610" s="77"/>
      <c r="O610" s="78"/>
      <c r="P610" s="77"/>
      <c r="Q610" s="78"/>
      <c r="R610" s="78"/>
      <c r="S610" s="77"/>
      <c r="T610" s="48"/>
      <c r="U610" s="48"/>
      <c r="V610" s="48"/>
      <c r="W610" s="48"/>
      <c r="X610" s="77"/>
      <c r="Y610" s="48"/>
      <c r="Z610" s="48"/>
      <c r="AA610" s="48"/>
      <c r="AB610" s="77"/>
      <c r="AC610" s="48"/>
      <c r="AD610" s="77"/>
      <c r="AE610" s="48"/>
      <c r="AF610" s="77"/>
      <c r="AG610" s="48"/>
      <c r="AH610" s="77"/>
      <c r="AI610" s="48"/>
      <c r="AJ610" s="77"/>
      <c r="AK610" s="48"/>
    </row>
    <row r="611" ht="18.0" customHeight="1">
      <c r="A611" s="48"/>
      <c r="B611" s="48"/>
      <c r="C611" s="77"/>
      <c r="D611" s="48"/>
      <c r="E611" s="48"/>
      <c r="F611" s="48"/>
      <c r="G611" s="48"/>
      <c r="H611" s="77"/>
      <c r="I611" s="48"/>
      <c r="J611" s="48"/>
      <c r="K611" s="48"/>
      <c r="L611" s="48"/>
      <c r="M611" s="48"/>
      <c r="N611" s="77"/>
      <c r="O611" s="78"/>
      <c r="P611" s="77"/>
      <c r="Q611" s="78"/>
      <c r="R611" s="78"/>
      <c r="S611" s="77"/>
      <c r="T611" s="48"/>
      <c r="U611" s="48"/>
      <c r="V611" s="48"/>
      <c r="W611" s="48"/>
      <c r="X611" s="77"/>
      <c r="Y611" s="48"/>
      <c r="Z611" s="48"/>
      <c r="AA611" s="48"/>
      <c r="AB611" s="77"/>
      <c r="AC611" s="48"/>
      <c r="AD611" s="77"/>
      <c r="AE611" s="48"/>
      <c r="AF611" s="77"/>
      <c r="AG611" s="48"/>
      <c r="AH611" s="77"/>
      <c r="AI611" s="48"/>
      <c r="AJ611" s="77"/>
      <c r="AK611" s="48"/>
    </row>
    <row r="612" ht="18.0" customHeight="1">
      <c r="A612" s="48"/>
      <c r="B612" s="48"/>
      <c r="C612" s="77"/>
      <c r="D612" s="48"/>
      <c r="E612" s="48"/>
      <c r="F612" s="48"/>
      <c r="G612" s="48"/>
      <c r="H612" s="77"/>
      <c r="I612" s="48"/>
      <c r="J612" s="48"/>
      <c r="K612" s="48"/>
      <c r="L612" s="48"/>
      <c r="M612" s="48"/>
      <c r="N612" s="77"/>
      <c r="O612" s="78"/>
      <c r="P612" s="77"/>
      <c r="Q612" s="78"/>
      <c r="R612" s="78"/>
      <c r="S612" s="77"/>
      <c r="T612" s="48"/>
      <c r="U612" s="48"/>
      <c r="V612" s="48"/>
      <c r="W612" s="48"/>
      <c r="X612" s="77"/>
      <c r="Y612" s="48"/>
      <c r="Z612" s="48"/>
      <c r="AA612" s="48"/>
      <c r="AB612" s="77"/>
      <c r="AC612" s="48"/>
      <c r="AD612" s="77"/>
      <c r="AE612" s="48"/>
      <c r="AF612" s="77"/>
      <c r="AG612" s="48"/>
      <c r="AH612" s="77"/>
      <c r="AI612" s="48"/>
      <c r="AJ612" s="77"/>
      <c r="AK612" s="48"/>
    </row>
    <row r="613" ht="18.0" customHeight="1">
      <c r="A613" s="48"/>
      <c r="B613" s="48"/>
      <c r="C613" s="77"/>
      <c r="D613" s="48"/>
      <c r="E613" s="48"/>
      <c r="F613" s="48"/>
      <c r="G613" s="48"/>
      <c r="H613" s="77"/>
      <c r="I613" s="48"/>
      <c r="J613" s="48"/>
      <c r="K613" s="48"/>
      <c r="L613" s="48"/>
      <c r="M613" s="48"/>
      <c r="N613" s="77"/>
      <c r="O613" s="78"/>
      <c r="P613" s="77"/>
      <c r="Q613" s="78"/>
      <c r="R613" s="78"/>
      <c r="S613" s="77"/>
      <c r="T613" s="48"/>
      <c r="U613" s="48"/>
      <c r="V613" s="48"/>
      <c r="W613" s="48"/>
      <c r="X613" s="77"/>
      <c r="Y613" s="48"/>
      <c r="Z613" s="48"/>
      <c r="AA613" s="48"/>
      <c r="AB613" s="77"/>
      <c r="AC613" s="48"/>
      <c r="AD613" s="77"/>
      <c r="AE613" s="48"/>
      <c r="AF613" s="77"/>
      <c r="AG613" s="48"/>
      <c r="AH613" s="77"/>
      <c r="AI613" s="48"/>
      <c r="AJ613" s="77"/>
      <c r="AK613" s="48"/>
    </row>
    <row r="614" ht="18.0" customHeight="1">
      <c r="A614" s="48"/>
      <c r="B614" s="48"/>
      <c r="C614" s="77"/>
      <c r="D614" s="48"/>
      <c r="E614" s="48"/>
      <c r="F614" s="48"/>
      <c r="G614" s="48"/>
      <c r="H614" s="77"/>
      <c r="I614" s="48"/>
      <c r="J614" s="48"/>
      <c r="K614" s="48"/>
      <c r="L614" s="48"/>
      <c r="M614" s="48"/>
      <c r="N614" s="77"/>
      <c r="O614" s="78"/>
      <c r="P614" s="77"/>
      <c r="Q614" s="78"/>
      <c r="R614" s="78"/>
      <c r="S614" s="77"/>
      <c r="T614" s="48"/>
      <c r="U614" s="48"/>
      <c r="V614" s="48"/>
      <c r="W614" s="48"/>
      <c r="X614" s="77"/>
      <c r="Y614" s="48"/>
      <c r="Z614" s="48"/>
      <c r="AA614" s="48"/>
      <c r="AB614" s="77"/>
      <c r="AC614" s="48"/>
      <c r="AD614" s="77"/>
      <c r="AE614" s="48"/>
      <c r="AF614" s="77"/>
      <c r="AG614" s="48"/>
      <c r="AH614" s="77"/>
      <c r="AI614" s="48"/>
      <c r="AJ614" s="77"/>
      <c r="AK614" s="48"/>
    </row>
    <row r="615" ht="18.0" customHeight="1">
      <c r="A615" s="48"/>
      <c r="B615" s="48"/>
      <c r="C615" s="77"/>
      <c r="D615" s="48"/>
      <c r="E615" s="48"/>
      <c r="F615" s="48"/>
      <c r="G615" s="48"/>
      <c r="H615" s="77"/>
      <c r="I615" s="48"/>
      <c r="J615" s="48"/>
      <c r="K615" s="48"/>
      <c r="L615" s="48"/>
      <c r="M615" s="48"/>
      <c r="N615" s="77"/>
      <c r="O615" s="78"/>
      <c r="P615" s="77"/>
      <c r="Q615" s="78"/>
      <c r="R615" s="78"/>
      <c r="S615" s="77"/>
      <c r="T615" s="48"/>
      <c r="U615" s="48"/>
      <c r="V615" s="48"/>
      <c r="W615" s="48"/>
      <c r="X615" s="77"/>
      <c r="Y615" s="48"/>
      <c r="Z615" s="48"/>
      <c r="AA615" s="48"/>
      <c r="AB615" s="77"/>
      <c r="AC615" s="48"/>
      <c r="AD615" s="77"/>
      <c r="AE615" s="48"/>
      <c r="AF615" s="77"/>
      <c r="AG615" s="48"/>
      <c r="AH615" s="77"/>
      <c r="AI615" s="48"/>
      <c r="AJ615" s="77"/>
      <c r="AK615" s="48"/>
    </row>
    <row r="616" ht="18.0" customHeight="1">
      <c r="A616" s="48"/>
      <c r="B616" s="48"/>
      <c r="C616" s="77"/>
      <c r="D616" s="48"/>
      <c r="E616" s="48"/>
      <c r="F616" s="48"/>
      <c r="G616" s="48"/>
      <c r="H616" s="77"/>
      <c r="I616" s="48"/>
      <c r="J616" s="48"/>
      <c r="K616" s="48"/>
      <c r="L616" s="48"/>
      <c r="M616" s="48"/>
      <c r="N616" s="77"/>
      <c r="O616" s="78"/>
      <c r="P616" s="77"/>
      <c r="Q616" s="78"/>
      <c r="R616" s="78"/>
      <c r="S616" s="77"/>
      <c r="T616" s="48"/>
      <c r="U616" s="48"/>
      <c r="V616" s="48"/>
      <c r="W616" s="48"/>
      <c r="X616" s="77"/>
      <c r="Y616" s="48"/>
      <c r="Z616" s="48"/>
      <c r="AA616" s="48"/>
      <c r="AB616" s="77"/>
      <c r="AC616" s="48"/>
      <c r="AD616" s="77"/>
      <c r="AE616" s="48"/>
      <c r="AF616" s="77"/>
      <c r="AG616" s="48"/>
      <c r="AH616" s="77"/>
      <c r="AI616" s="48"/>
      <c r="AJ616" s="77"/>
      <c r="AK616" s="48"/>
    </row>
    <row r="617" ht="18.0" customHeight="1">
      <c r="A617" s="48"/>
      <c r="B617" s="48"/>
      <c r="C617" s="77"/>
      <c r="D617" s="48"/>
      <c r="E617" s="48"/>
      <c r="F617" s="48"/>
      <c r="G617" s="48"/>
      <c r="H617" s="77"/>
      <c r="I617" s="48"/>
      <c r="J617" s="48"/>
      <c r="K617" s="48"/>
      <c r="L617" s="48"/>
      <c r="M617" s="48"/>
      <c r="N617" s="77"/>
      <c r="O617" s="78"/>
      <c r="P617" s="77"/>
      <c r="Q617" s="78"/>
      <c r="R617" s="78"/>
      <c r="S617" s="77"/>
      <c r="T617" s="48"/>
      <c r="U617" s="48"/>
      <c r="V617" s="48"/>
      <c r="W617" s="48"/>
      <c r="X617" s="77"/>
      <c r="Y617" s="48"/>
      <c r="Z617" s="48"/>
      <c r="AA617" s="48"/>
      <c r="AB617" s="77"/>
      <c r="AC617" s="48"/>
      <c r="AD617" s="77"/>
      <c r="AE617" s="48"/>
      <c r="AF617" s="77"/>
      <c r="AG617" s="48"/>
      <c r="AH617" s="77"/>
      <c r="AI617" s="48"/>
      <c r="AJ617" s="77"/>
      <c r="AK617" s="48"/>
    </row>
    <row r="618" ht="18.0" customHeight="1">
      <c r="A618" s="48"/>
      <c r="B618" s="48"/>
      <c r="C618" s="77"/>
      <c r="D618" s="48"/>
      <c r="E618" s="48"/>
      <c r="F618" s="48"/>
      <c r="G618" s="48"/>
      <c r="H618" s="77"/>
      <c r="I618" s="48"/>
      <c r="J618" s="48"/>
      <c r="K618" s="48"/>
      <c r="L618" s="48"/>
      <c r="M618" s="48"/>
      <c r="N618" s="77"/>
      <c r="O618" s="78"/>
      <c r="P618" s="77"/>
      <c r="Q618" s="78"/>
      <c r="R618" s="78"/>
      <c r="S618" s="77"/>
      <c r="T618" s="48"/>
      <c r="U618" s="48"/>
      <c r="V618" s="48"/>
      <c r="W618" s="48"/>
      <c r="X618" s="77"/>
      <c r="Y618" s="48"/>
      <c r="Z618" s="48"/>
      <c r="AA618" s="48"/>
      <c r="AB618" s="77"/>
      <c r="AC618" s="48"/>
      <c r="AD618" s="77"/>
      <c r="AE618" s="48"/>
      <c r="AF618" s="77"/>
      <c r="AG618" s="48"/>
      <c r="AH618" s="77"/>
      <c r="AI618" s="48"/>
      <c r="AJ618" s="77"/>
      <c r="AK618" s="48"/>
    </row>
    <row r="619" ht="18.0" customHeight="1">
      <c r="A619" s="48"/>
      <c r="B619" s="48"/>
      <c r="C619" s="77"/>
      <c r="D619" s="48"/>
      <c r="E619" s="48"/>
      <c r="F619" s="48"/>
      <c r="G619" s="48"/>
      <c r="H619" s="77"/>
      <c r="I619" s="48"/>
      <c r="J619" s="48"/>
      <c r="K619" s="48"/>
      <c r="L619" s="48"/>
      <c r="M619" s="48"/>
      <c r="N619" s="77"/>
      <c r="O619" s="78"/>
      <c r="P619" s="77"/>
      <c r="Q619" s="78"/>
      <c r="R619" s="78"/>
      <c r="S619" s="77"/>
      <c r="T619" s="48"/>
      <c r="U619" s="48"/>
      <c r="V619" s="48"/>
      <c r="W619" s="48"/>
      <c r="X619" s="77"/>
      <c r="Y619" s="48"/>
      <c r="Z619" s="48"/>
      <c r="AA619" s="48"/>
      <c r="AB619" s="77"/>
      <c r="AC619" s="48"/>
      <c r="AD619" s="77"/>
      <c r="AE619" s="48"/>
      <c r="AF619" s="77"/>
      <c r="AG619" s="48"/>
      <c r="AH619" s="77"/>
      <c r="AI619" s="48"/>
      <c r="AJ619" s="77"/>
      <c r="AK619" s="48"/>
    </row>
    <row r="620" ht="18.0" customHeight="1">
      <c r="A620" s="48"/>
      <c r="B620" s="48"/>
      <c r="C620" s="77"/>
      <c r="D620" s="48"/>
      <c r="E620" s="48"/>
      <c r="F620" s="48"/>
      <c r="G620" s="48"/>
      <c r="H620" s="77"/>
      <c r="I620" s="48"/>
      <c r="J620" s="48"/>
      <c r="K620" s="48"/>
      <c r="L620" s="48"/>
      <c r="M620" s="48"/>
      <c r="N620" s="77"/>
      <c r="O620" s="78"/>
      <c r="P620" s="77"/>
      <c r="Q620" s="78"/>
      <c r="R620" s="78"/>
      <c r="S620" s="77"/>
      <c r="T620" s="48"/>
      <c r="U620" s="48"/>
      <c r="V620" s="48"/>
      <c r="W620" s="48"/>
      <c r="X620" s="77"/>
      <c r="Y620" s="48"/>
      <c r="Z620" s="48"/>
      <c r="AA620" s="48"/>
      <c r="AB620" s="77"/>
      <c r="AC620" s="48"/>
      <c r="AD620" s="77"/>
      <c r="AE620" s="48"/>
      <c r="AF620" s="77"/>
      <c r="AG620" s="48"/>
      <c r="AH620" s="77"/>
      <c r="AI620" s="48"/>
      <c r="AJ620" s="77"/>
      <c r="AK620" s="48"/>
    </row>
    <row r="621" ht="18.0" customHeight="1">
      <c r="A621" s="48"/>
      <c r="B621" s="48"/>
      <c r="C621" s="77"/>
      <c r="D621" s="48"/>
      <c r="E621" s="48"/>
      <c r="F621" s="48"/>
      <c r="G621" s="48"/>
      <c r="H621" s="77"/>
      <c r="I621" s="48"/>
      <c r="J621" s="48"/>
      <c r="K621" s="48"/>
      <c r="L621" s="48"/>
      <c r="M621" s="48"/>
      <c r="N621" s="77"/>
      <c r="O621" s="78"/>
      <c r="P621" s="77"/>
      <c r="Q621" s="78"/>
      <c r="R621" s="78"/>
      <c r="S621" s="77"/>
      <c r="T621" s="48"/>
      <c r="U621" s="48"/>
      <c r="V621" s="48"/>
      <c r="W621" s="48"/>
      <c r="X621" s="77"/>
      <c r="Y621" s="48"/>
      <c r="Z621" s="48"/>
      <c r="AA621" s="48"/>
      <c r="AB621" s="77"/>
      <c r="AC621" s="48"/>
      <c r="AD621" s="77"/>
      <c r="AE621" s="48"/>
      <c r="AF621" s="77"/>
      <c r="AG621" s="48"/>
      <c r="AH621" s="77"/>
      <c r="AI621" s="48"/>
      <c r="AJ621" s="77"/>
      <c r="AK621" s="48"/>
    </row>
    <row r="622" ht="18.0" customHeight="1">
      <c r="A622" s="48"/>
      <c r="B622" s="48"/>
      <c r="C622" s="77"/>
      <c r="D622" s="48"/>
      <c r="E622" s="48"/>
      <c r="F622" s="48"/>
      <c r="G622" s="48"/>
      <c r="H622" s="77"/>
      <c r="I622" s="48"/>
      <c r="J622" s="48"/>
      <c r="K622" s="48"/>
      <c r="L622" s="48"/>
      <c r="M622" s="48"/>
      <c r="N622" s="77"/>
      <c r="O622" s="78"/>
      <c r="P622" s="77"/>
      <c r="Q622" s="78"/>
      <c r="R622" s="78"/>
      <c r="S622" s="77"/>
      <c r="T622" s="48"/>
      <c r="U622" s="48"/>
      <c r="V622" s="48"/>
      <c r="W622" s="48"/>
      <c r="X622" s="77"/>
      <c r="Y622" s="48"/>
      <c r="Z622" s="48"/>
      <c r="AA622" s="48"/>
      <c r="AB622" s="77"/>
      <c r="AC622" s="48"/>
      <c r="AD622" s="77"/>
      <c r="AE622" s="48"/>
      <c r="AF622" s="77"/>
      <c r="AG622" s="48"/>
      <c r="AH622" s="77"/>
      <c r="AI622" s="48"/>
      <c r="AJ622" s="77"/>
      <c r="AK622" s="48"/>
    </row>
    <row r="623" ht="18.0" customHeight="1">
      <c r="A623" s="48"/>
      <c r="B623" s="48"/>
      <c r="C623" s="77"/>
      <c r="D623" s="48"/>
      <c r="E623" s="48"/>
      <c r="F623" s="48"/>
      <c r="G623" s="48"/>
      <c r="H623" s="77"/>
      <c r="I623" s="48"/>
      <c r="J623" s="48"/>
      <c r="K623" s="48"/>
      <c r="L623" s="48"/>
      <c r="M623" s="48"/>
      <c r="N623" s="77"/>
      <c r="O623" s="78"/>
      <c r="P623" s="77"/>
      <c r="Q623" s="78"/>
      <c r="R623" s="78"/>
      <c r="S623" s="77"/>
      <c r="T623" s="48"/>
      <c r="U623" s="48"/>
      <c r="V623" s="48"/>
      <c r="W623" s="48"/>
      <c r="X623" s="77"/>
      <c r="Y623" s="48"/>
      <c r="Z623" s="48"/>
      <c r="AA623" s="48"/>
      <c r="AB623" s="77"/>
      <c r="AC623" s="48"/>
      <c r="AD623" s="77"/>
      <c r="AE623" s="48"/>
      <c r="AF623" s="77"/>
      <c r="AG623" s="48"/>
      <c r="AH623" s="77"/>
      <c r="AI623" s="48"/>
      <c r="AJ623" s="77"/>
      <c r="AK623" s="48"/>
    </row>
    <row r="624" ht="18.0" customHeight="1">
      <c r="A624" s="48"/>
      <c r="B624" s="48"/>
      <c r="C624" s="77"/>
      <c r="D624" s="48"/>
      <c r="E624" s="48"/>
      <c r="F624" s="48"/>
      <c r="G624" s="48"/>
      <c r="H624" s="77"/>
      <c r="I624" s="48"/>
      <c r="J624" s="48"/>
      <c r="K624" s="48"/>
      <c r="L624" s="48"/>
      <c r="M624" s="48"/>
      <c r="N624" s="77"/>
      <c r="O624" s="78"/>
      <c r="P624" s="77"/>
      <c r="Q624" s="78"/>
      <c r="R624" s="78"/>
      <c r="S624" s="77"/>
      <c r="T624" s="48"/>
      <c r="U624" s="48"/>
      <c r="V624" s="48"/>
      <c r="W624" s="48"/>
      <c r="X624" s="77"/>
      <c r="Y624" s="48"/>
      <c r="Z624" s="48"/>
      <c r="AA624" s="48"/>
      <c r="AB624" s="77"/>
      <c r="AC624" s="48"/>
      <c r="AD624" s="77"/>
      <c r="AE624" s="48"/>
      <c r="AF624" s="77"/>
      <c r="AG624" s="48"/>
      <c r="AH624" s="77"/>
      <c r="AI624" s="48"/>
      <c r="AJ624" s="77"/>
      <c r="AK624" s="48"/>
    </row>
    <row r="625" ht="18.0" customHeight="1">
      <c r="A625" s="48"/>
      <c r="B625" s="48"/>
      <c r="C625" s="77"/>
      <c r="D625" s="48"/>
      <c r="E625" s="48"/>
      <c r="F625" s="48"/>
      <c r="G625" s="48"/>
      <c r="H625" s="77"/>
      <c r="I625" s="48"/>
      <c r="J625" s="48"/>
      <c r="K625" s="48"/>
      <c r="L625" s="48"/>
      <c r="M625" s="48"/>
      <c r="N625" s="77"/>
      <c r="O625" s="78"/>
      <c r="P625" s="77"/>
      <c r="Q625" s="78"/>
      <c r="R625" s="78"/>
      <c r="S625" s="77"/>
      <c r="T625" s="48"/>
      <c r="U625" s="48"/>
      <c r="V625" s="48"/>
      <c r="W625" s="48"/>
      <c r="X625" s="77"/>
      <c r="Y625" s="48"/>
      <c r="Z625" s="48"/>
      <c r="AA625" s="48"/>
      <c r="AB625" s="77"/>
      <c r="AC625" s="48"/>
      <c r="AD625" s="77"/>
      <c r="AE625" s="48"/>
      <c r="AF625" s="77"/>
      <c r="AG625" s="48"/>
      <c r="AH625" s="77"/>
      <c r="AI625" s="48"/>
      <c r="AJ625" s="77"/>
      <c r="AK625" s="48"/>
    </row>
    <row r="626" ht="18.0" customHeight="1">
      <c r="A626" s="48"/>
      <c r="B626" s="48"/>
      <c r="C626" s="77"/>
      <c r="D626" s="48"/>
      <c r="E626" s="48"/>
      <c r="F626" s="48"/>
      <c r="G626" s="48"/>
      <c r="H626" s="77"/>
      <c r="I626" s="48"/>
      <c r="J626" s="48"/>
      <c r="K626" s="48"/>
      <c r="L626" s="48"/>
      <c r="M626" s="48"/>
      <c r="N626" s="77"/>
      <c r="O626" s="78"/>
      <c r="P626" s="77"/>
      <c r="Q626" s="78"/>
      <c r="R626" s="78"/>
      <c r="S626" s="77"/>
      <c r="T626" s="48"/>
      <c r="U626" s="48"/>
      <c r="V626" s="48"/>
      <c r="W626" s="48"/>
      <c r="X626" s="77"/>
      <c r="Y626" s="48"/>
      <c r="Z626" s="48"/>
      <c r="AA626" s="48"/>
      <c r="AB626" s="77"/>
      <c r="AC626" s="48"/>
      <c r="AD626" s="77"/>
      <c r="AE626" s="48"/>
      <c r="AF626" s="77"/>
      <c r="AG626" s="48"/>
      <c r="AH626" s="77"/>
      <c r="AI626" s="48"/>
      <c r="AJ626" s="77"/>
      <c r="AK626" s="48"/>
    </row>
    <row r="627" ht="18.0" customHeight="1">
      <c r="A627" s="48"/>
      <c r="B627" s="48"/>
      <c r="C627" s="77"/>
      <c r="D627" s="48"/>
      <c r="E627" s="48"/>
      <c r="F627" s="48"/>
      <c r="G627" s="48"/>
      <c r="H627" s="77"/>
      <c r="I627" s="48"/>
      <c r="J627" s="48"/>
      <c r="K627" s="48"/>
      <c r="L627" s="48"/>
      <c r="M627" s="48"/>
      <c r="N627" s="77"/>
      <c r="O627" s="78"/>
      <c r="P627" s="77"/>
      <c r="Q627" s="78"/>
      <c r="R627" s="78"/>
      <c r="S627" s="77"/>
      <c r="T627" s="48"/>
      <c r="U627" s="48"/>
      <c r="V627" s="48"/>
      <c r="W627" s="48"/>
      <c r="X627" s="77"/>
      <c r="Y627" s="48"/>
      <c r="Z627" s="48"/>
      <c r="AA627" s="48"/>
      <c r="AB627" s="77"/>
      <c r="AC627" s="48"/>
      <c r="AD627" s="77"/>
      <c r="AE627" s="48"/>
      <c r="AF627" s="77"/>
      <c r="AG627" s="48"/>
      <c r="AH627" s="77"/>
      <c r="AI627" s="48"/>
      <c r="AJ627" s="77"/>
      <c r="AK627" s="48"/>
    </row>
    <row r="628" ht="18.0" customHeight="1">
      <c r="A628" s="48"/>
      <c r="B628" s="48"/>
      <c r="C628" s="77"/>
      <c r="D628" s="48"/>
      <c r="E628" s="48"/>
      <c r="F628" s="48"/>
      <c r="G628" s="48"/>
      <c r="H628" s="77"/>
      <c r="I628" s="48"/>
      <c r="J628" s="48"/>
      <c r="K628" s="48"/>
      <c r="L628" s="48"/>
      <c r="M628" s="48"/>
      <c r="N628" s="77"/>
      <c r="O628" s="78"/>
      <c r="P628" s="77"/>
      <c r="Q628" s="78"/>
      <c r="R628" s="78"/>
      <c r="S628" s="77"/>
      <c r="T628" s="48"/>
      <c r="U628" s="48"/>
      <c r="V628" s="48"/>
      <c r="W628" s="48"/>
      <c r="X628" s="77"/>
      <c r="Y628" s="48"/>
      <c r="Z628" s="48"/>
      <c r="AA628" s="48"/>
      <c r="AB628" s="77"/>
      <c r="AC628" s="48"/>
      <c r="AD628" s="77"/>
      <c r="AE628" s="48"/>
      <c r="AF628" s="77"/>
      <c r="AG628" s="48"/>
      <c r="AH628" s="77"/>
      <c r="AI628" s="48"/>
      <c r="AJ628" s="77"/>
      <c r="AK628" s="48"/>
    </row>
    <row r="629" ht="18.0" customHeight="1">
      <c r="A629" s="48"/>
      <c r="B629" s="48"/>
      <c r="C629" s="77"/>
      <c r="D629" s="48"/>
      <c r="E629" s="48"/>
      <c r="F629" s="48"/>
      <c r="G629" s="48"/>
      <c r="H629" s="77"/>
      <c r="I629" s="48"/>
      <c r="J629" s="48"/>
      <c r="K629" s="48"/>
      <c r="L629" s="48"/>
      <c r="M629" s="48"/>
      <c r="N629" s="77"/>
      <c r="O629" s="78"/>
      <c r="P629" s="77"/>
      <c r="Q629" s="78"/>
      <c r="R629" s="78"/>
      <c r="S629" s="77"/>
      <c r="T629" s="48"/>
      <c r="U629" s="48"/>
      <c r="V629" s="48"/>
      <c r="W629" s="48"/>
      <c r="X629" s="77"/>
      <c r="Y629" s="48"/>
      <c r="Z629" s="48"/>
      <c r="AA629" s="48"/>
      <c r="AB629" s="77"/>
      <c r="AC629" s="48"/>
      <c r="AD629" s="77"/>
      <c r="AE629" s="48"/>
      <c r="AF629" s="77"/>
      <c r="AG629" s="48"/>
      <c r="AH629" s="77"/>
      <c r="AI629" s="48"/>
      <c r="AJ629" s="77"/>
      <c r="AK629" s="48"/>
    </row>
    <row r="630" ht="18.0" customHeight="1">
      <c r="A630" s="48"/>
      <c r="B630" s="48"/>
      <c r="C630" s="77"/>
      <c r="D630" s="48"/>
      <c r="E630" s="48"/>
      <c r="F630" s="48"/>
      <c r="G630" s="48"/>
      <c r="H630" s="77"/>
      <c r="I630" s="48"/>
      <c r="J630" s="48"/>
      <c r="K630" s="48"/>
      <c r="L630" s="48"/>
      <c r="M630" s="48"/>
      <c r="N630" s="77"/>
      <c r="O630" s="78"/>
      <c r="P630" s="77"/>
      <c r="Q630" s="78"/>
      <c r="R630" s="78"/>
      <c r="S630" s="77"/>
      <c r="T630" s="48"/>
      <c r="U630" s="48"/>
      <c r="V630" s="48"/>
      <c r="W630" s="48"/>
      <c r="X630" s="77"/>
      <c r="Y630" s="48"/>
      <c r="Z630" s="48"/>
      <c r="AA630" s="48"/>
      <c r="AB630" s="77"/>
      <c r="AC630" s="48"/>
      <c r="AD630" s="77"/>
      <c r="AE630" s="48"/>
      <c r="AF630" s="77"/>
      <c r="AG630" s="48"/>
      <c r="AH630" s="77"/>
      <c r="AI630" s="48"/>
      <c r="AJ630" s="77"/>
      <c r="AK630" s="48"/>
    </row>
    <row r="631" ht="18.0" customHeight="1">
      <c r="A631" s="48"/>
      <c r="B631" s="48"/>
      <c r="C631" s="77"/>
      <c r="D631" s="48"/>
      <c r="E631" s="48"/>
      <c r="F631" s="48"/>
      <c r="G631" s="48"/>
      <c r="H631" s="77"/>
      <c r="I631" s="48"/>
      <c r="J631" s="48"/>
      <c r="K631" s="48"/>
      <c r="L631" s="48"/>
      <c r="M631" s="48"/>
      <c r="N631" s="77"/>
      <c r="O631" s="78"/>
      <c r="P631" s="77"/>
      <c r="Q631" s="78"/>
      <c r="R631" s="78"/>
      <c r="S631" s="77"/>
      <c r="T631" s="48"/>
      <c r="U631" s="48"/>
      <c r="V631" s="48"/>
      <c r="W631" s="48"/>
      <c r="X631" s="77"/>
      <c r="Y631" s="48"/>
      <c r="Z631" s="48"/>
      <c r="AA631" s="48"/>
      <c r="AB631" s="77"/>
      <c r="AC631" s="48"/>
      <c r="AD631" s="77"/>
      <c r="AE631" s="48"/>
      <c r="AF631" s="77"/>
      <c r="AG631" s="48"/>
      <c r="AH631" s="77"/>
      <c r="AI631" s="48"/>
      <c r="AJ631" s="77"/>
      <c r="AK631" s="48"/>
    </row>
    <row r="632" ht="18.0" customHeight="1">
      <c r="A632" s="48"/>
      <c r="B632" s="48"/>
      <c r="C632" s="77"/>
      <c r="D632" s="48"/>
      <c r="E632" s="48"/>
      <c r="F632" s="48"/>
      <c r="G632" s="48"/>
      <c r="H632" s="77"/>
      <c r="I632" s="48"/>
      <c r="J632" s="48"/>
      <c r="K632" s="48"/>
      <c r="L632" s="48"/>
      <c r="M632" s="48"/>
      <c r="N632" s="77"/>
      <c r="O632" s="78"/>
      <c r="P632" s="77"/>
      <c r="Q632" s="78"/>
      <c r="R632" s="78"/>
      <c r="S632" s="77"/>
      <c r="T632" s="48"/>
      <c r="U632" s="48"/>
      <c r="V632" s="48"/>
      <c r="W632" s="48"/>
      <c r="X632" s="77"/>
      <c r="Y632" s="48"/>
      <c r="Z632" s="48"/>
      <c r="AA632" s="48"/>
      <c r="AB632" s="77"/>
      <c r="AC632" s="48"/>
      <c r="AD632" s="77"/>
      <c r="AE632" s="48"/>
      <c r="AF632" s="77"/>
      <c r="AG632" s="48"/>
      <c r="AH632" s="77"/>
      <c r="AI632" s="48"/>
      <c r="AJ632" s="77"/>
      <c r="AK632" s="48"/>
    </row>
    <row r="633" ht="18.0" customHeight="1">
      <c r="A633" s="48"/>
      <c r="B633" s="48"/>
      <c r="C633" s="77"/>
      <c r="D633" s="48"/>
      <c r="E633" s="48"/>
      <c r="F633" s="48"/>
      <c r="G633" s="48"/>
      <c r="H633" s="77"/>
      <c r="I633" s="48"/>
      <c r="J633" s="48"/>
      <c r="K633" s="48"/>
      <c r="L633" s="48"/>
      <c r="M633" s="48"/>
      <c r="N633" s="77"/>
      <c r="O633" s="78"/>
      <c r="P633" s="77"/>
      <c r="Q633" s="78"/>
      <c r="R633" s="78"/>
      <c r="S633" s="77"/>
      <c r="T633" s="48"/>
      <c r="U633" s="48"/>
      <c r="V633" s="48"/>
      <c r="W633" s="48"/>
      <c r="X633" s="77"/>
      <c r="Y633" s="48"/>
      <c r="Z633" s="48"/>
      <c r="AA633" s="48"/>
      <c r="AB633" s="77"/>
      <c r="AC633" s="48"/>
      <c r="AD633" s="77"/>
      <c r="AE633" s="48"/>
      <c r="AF633" s="77"/>
      <c r="AG633" s="48"/>
      <c r="AH633" s="77"/>
      <c r="AI633" s="48"/>
      <c r="AJ633" s="77"/>
      <c r="AK633" s="48"/>
    </row>
    <row r="634" ht="18.0" customHeight="1">
      <c r="A634" s="48"/>
      <c r="B634" s="48"/>
      <c r="C634" s="77"/>
      <c r="D634" s="48"/>
      <c r="E634" s="48"/>
      <c r="F634" s="48"/>
      <c r="G634" s="48"/>
      <c r="H634" s="77"/>
      <c r="I634" s="48"/>
      <c r="J634" s="48"/>
      <c r="K634" s="48"/>
      <c r="L634" s="48"/>
      <c r="M634" s="48"/>
      <c r="N634" s="77"/>
      <c r="O634" s="78"/>
      <c r="P634" s="77"/>
      <c r="Q634" s="78"/>
      <c r="R634" s="78"/>
      <c r="S634" s="77"/>
      <c r="T634" s="48"/>
      <c r="U634" s="48"/>
      <c r="V634" s="48"/>
      <c r="W634" s="48"/>
      <c r="X634" s="77"/>
      <c r="Y634" s="48"/>
      <c r="Z634" s="48"/>
      <c r="AA634" s="48"/>
      <c r="AB634" s="77"/>
      <c r="AC634" s="48"/>
      <c r="AD634" s="77"/>
      <c r="AE634" s="48"/>
      <c r="AF634" s="77"/>
      <c r="AG634" s="48"/>
      <c r="AH634" s="77"/>
      <c r="AI634" s="48"/>
      <c r="AJ634" s="77"/>
      <c r="AK634" s="48"/>
    </row>
    <row r="635" ht="18.0" customHeight="1">
      <c r="A635" s="48"/>
      <c r="B635" s="48"/>
      <c r="C635" s="77"/>
      <c r="D635" s="48"/>
      <c r="E635" s="48"/>
      <c r="F635" s="48"/>
      <c r="G635" s="48"/>
      <c r="H635" s="77"/>
      <c r="I635" s="48"/>
      <c r="J635" s="48"/>
      <c r="K635" s="48"/>
      <c r="L635" s="48"/>
      <c r="M635" s="48"/>
      <c r="N635" s="77"/>
      <c r="O635" s="78"/>
      <c r="P635" s="77"/>
      <c r="Q635" s="78"/>
      <c r="R635" s="78"/>
      <c r="S635" s="77"/>
      <c r="T635" s="48"/>
      <c r="U635" s="48"/>
      <c r="V635" s="48"/>
      <c r="W635" s="48"/>
      <c r="X635" s="77"/>
      <c r="Y635" s="48"/>
      <c r="Z635" s="48"/>
      <c r="AA635" s="48"/>
      <c r="AB635" s="77"/>
      <c r="AC635" s="48"/>
      <c r="AD635" s="77"/>
      <c r="AE635" s="48"/>
      <c r="AF635" s="77"/>
      <c r="AG635" s="48"/>
      <c r="AH635" s="77"/>
      <c r="AI635" s="48"/>
      <c r="AJ635" s="77"/>
      <c r="AK635" s="48"/>
    </row>
    <row r="636" ht="18.0" customHeight="1">
      <c r="A636" s="48"/>
      <c r="B636" s="48"/>
      <c r="C636" s="77"/>
      <c r="D636" s="48"/>
      <c r="E636" s="48"/>
      <c r="F636" s="48"/>
      <c r="G636" s="48"/>
      <c r="H636" s="77"/>
      <c r="I636" s="48"/>
      <c r="J636" s="48"/>
      <c r="K636" s="48"/>
      <c r="L636" s="48"/>
      <c r="M636" s="48"/>
      <c r="N636" s="77"/>
      <c r="O636" s="78"/>
      <c r="P636" s="77"/>
      <c r="Q636" s="78"/>
      <c r="R636" s="78"/>
      <c r="S636" s="77"/>
      <c r="T636" s="48"/>
      <c r="U636" s="48"/>
      <c r="V636" s="48"/>
      <c r="W636" s="48"/>
      <c r="X636" s="77"/>
      <c r="Y636" s="48"/>
      <c r="Z636" s="48"/>
      <c r="AA636" s="48"/>
      <c r="AB636" s="77"/>
      <c r="AC636" s="48"/>
      <c r="AD636" s="77"/>
      <c r="AE636" s="48"/>
      <c r="AF636" s="77"/>
      <c r="AG636" s="48"/>
      <c r="AH636" s="77"/>
      <c r="AI636" s="48"/>
      <c r="AJ636" s="77"/>
      <c r="AK636" s="48"/>
    </row>
    <row r="637" ht="18.0" customHeight="1">
      <c r="A637" s="48"/>
      <c r="B637" s="48"/>
      <c r="C637" s="77"/>
      <c r="D637" s="48"/>
      <c r="E637" s="48"/>
      <c r="F637" s="48"/>
      <c r="G637" s="48"/>
      <c r="H637" s="77"/>
      <c r="I637" s="48"/>
      <c r="J637" s="48"/>
      <c r="K637" s="48"/>
      <c r="L637" s="48"/>
      <c r="M637" s="48"/>
      <c r="N637" s="77"/>
      <c r="O637" s="78"/>
      <c r="P637" s="77"/>
      <c r="Q637" s="78"/>
      <c r="R637" s="78"/>
      <c r="S637" s="77"/>
      <c r="T637" s="48"/>
      <c r="U637" s="48"/>
      <c r="V637" s="48"/>
      <c r="W637" s="48"/>
      <c r="X637" s="77"/>
      <c r="Y637" s="48"/>
      <c r="Z637" s="48"/>
      <c r="AA637" s="48"/>
      <c r="AB637" s="77"/>
      <c r="AC637" s="48"/>
      <c r="AD637" s="77"/>
      <c r="AE637" s="48"/>
      <c r="AF637" s="77"/>
      <c r="AG637" s="48"/>
      <c r="AH637" s="77"/>
      <c r="AI637" s="48"/>
      <c r="AJ637" s="77"/>
      <c r="AK637" s="48"/>
    </row>
    <row r="638" ht="18.0" customHeight="1">
      <c r="A638" s="48"/>
      <c r="B638" s="48"/>
      <c r="C638" s="77"/>
      <c r="D638" s="48"/>
      <c r="E638" s="48"/>
      <c r="F638" s="48"/>
      <c r="G638" s="48"/>
      <c r="H638" s="77"/>
      <c r="I638" s="48"/>
      <c r="J638" s="48"/>
      <c r="K638" s="48"/>
      <c r="L638" s="48"/>
      <c r="M638" s="48"/>
      <c r="N638" s="77"/>
      <c r="O638" s="78"/>
      <c r="P638" s="77"/>
      <c r="Q638" s="78"/>
      <c r="R638" s="78"/>
      <c r="S638" s="77"/>
      <c r="T638" s="48"/>
      <c r="U638" s="48"/>
      <c r="V638" s="48"/>
      <c r="W638" s="48"/>
      <c r="X638" s="77"/>
      <c r="Y638" s="48"/>
      <c r="Z638" s="48"/>
      <c r="AA638" s="48"/>
      <c r="AB638" s="77"/>
      <c r="AC638" s="48"/>
      <c r="AD638" s="77"/>
      <c r="AE638" s="48"/>
      <c r="AF638" s="77"/>
      <c r="AG638" s="48"/>
      <c r="AH638" s="77"/>
      <c r="AI638" s="48"/>
      <c r="AJ638" s="77"/>
      <c r="AK638" s="48"/>
    </row>
    <row r="639" ht="18.0" customHeight="1">
      <c r="A639" s="48"/>
      <c r="B639" s="48"/>
      <c r="C639" s="77"/>
      <c r="D639" s="48"/>
      <c r="E639" s="48"/>
      <c r="F639" s="48"/>
      <c r="G639" s="48"/>
      <c r="H639" s="77"/>
      <c r="I639" s="48"/>
      <c r="J639" s="48"/>
      <c r="K639" s="48"/>
      <c r="L639" s="48"/>
      <c r="M639" s="48"/>
      <c r="N639" s="77"/>
      <c r="O639" s="78"/>
      <c r="P639" s="77"/>
      <c r="Q639" s="78"/>
      <c r="R639" s="78"/>
      <c r="S639" s="77"/>
      <c r="T639" s="48"/>
      <c r="U639" s="48"/>
      <c r="V639" s="48"/>
      <c r="W639" s="48"/>
      <c r="X639" s="77"/>
      <c r="Y639" s="48"/>
      <c r="Z639" s="48"/>
      <c r="AA639" s="48"/>
      <c r="AB639" s="77"/>
      <c r="AC639" s="48"/>
      <c r="AD639" s="77"/>
      <c r="AE639" s="48"/>
      <c r="AF639" s="77"/>
      <c r="AG639" s="48"/>
      <c r="AH639" s="77"/>
      <c r="AI639" s="48"/>
      <c r="AJ639" s="77"/>
      <c r="AK639" s="48"/>
    </row>
    <row r="640" ht="18.0" customHeight="1">
      <c r="A640" s="48"/>
      <c r="B640" s="48"/>
      <c r="C640" s="77"/>
      <c r="D640" s="48"/>
      <c r="E640" s="48"/>
      <c r="F640" s="48"/>
      <c r="G640" s="48"/>
      <c r="H640" s="77"/>
      <c r="I640" s="48"/>
      <c r="J640" s="48"/>
      <c r="K640" s="48"/>
      <c r="L640" s="48"/>
      <c r="M640" s="48"/>
      <c r="N640" s="77"/>
      <c r="O640" s="78"/>
      <c r="P640" s="77"/>
      <c r="Q640" s="78"/>
      <c r="R640" s="78"/>
      <c r="S640" s="77"/>
      <c r="T640" s="48"/>
      <c r="U640" s="48"/>
      <c r="V640" s="48"/>
      <c r="W640" s="48"/>
      <c r="X640" s="77"/>
      <c r="Y640" s="48"/>
      <c r="Z640" s="48"/>
      <c r="AA640" s="48"/>
      <c r="AB640" s="77"/>
      <c r="AC640" s="48"/>
      <c r="AD640" s="77"/>
      <c r="AE640" s="48"/>
      <c r="AF640" s="77"/>
      <c r="AG640" s="48"/>
      <c r="AH640" s="77"/>
      <c r="AI640" s="48"/>
      <c r="AJ640" s="77"/>
      <c r="AK640" s="48"/>
    </row>
  </sheetData>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88"/>
    <col customWidth="1" min="4" max="4" width="78.25"/>
    <col customWidth="1" min="5" max="5" width="31.0"/>
    <col customWidth="1" min="6" max="6" width="7.5"/>
    <col customWidth="1" min="7" max="7" width="58.88"/>
  </cols>
  <sheetData>
    <row r="1" ht="24.0" customHeight="1">
      <c r="A1" s="81" t="str">
        <f>IFERROR(__xludf.DUMMYFUNCTION("IMPORTRANGE(""185W47XpkC4eZ2FKSbi1DoXxxlcyxtBBS9e7jlxfUMtE"", ""DATA 3 TỔNG VTBB+NL!$A:$G"")"),"")</f>
        <v/>
      </c>
      <c r="B1" s="82" t="str">
        <f>IFERROR(__xludf.DUMMYFUNCTION("""COMPUTED_VALUE"""),"Đã thêm danh mục Icare vào DATA")</f>
        <v>Đã thêm danh mục Icare vào DATA</v>
      </c>
      <c r="C1" s="83"/>
      <c r="D1" s="81"/>
      <c r="E1" s="84"/>
      <c r="F1" s="81"/>
      <c r="G1" s="83"/>
    </row>
    <row r="2" ht="32.25" customHeight="1">
      <c r="A2" s="85" t="str">
        <f>IFERROR(__xludf.DUMMYFUNCTION("""COMPUTED_VALUE"""),"STT")</f>
        <v>STT</v>
      </c>
      <c r="B2" s="85" t="str">
        <f>IFERROR(__xludf.DUMMYFUNCTION("""COMPUTED_VALUE"""),"Phân Loại")</f>
        <v>Phân Loại</v>
      </c>
      <c r="C2" s="85" t="str">
        <f>IFERROR(__xludf.DUMMYFUNCTION("""COMPUTED_VALUE"""),"Mã VTBB/NL")</f>
        <v>Mã VTBB/NL</v>
      </c>
      <c r="D2" s="85" t="str">
        <f>IFERROR(__xludf.DUMMYFUNCTION("""COMPUTED_VALUE"""),"Tên VTBB/NL")</f>
        <v>Tên VTBB/NL</v>
      </c>
      <c r="E2" s="85" t="str">
        <f>IFERROR(__xludf.DUMMYFUNCTION("""COMPUTED_VALUE"""),"Tên Trên Hóa Đơn VTBB/NL")</f>
        <v>Tên Trên Hóa Đơn VTBB/NL</v>
      </c>
      <c r="F2" s="85" t="str">
        <f>IFERROR(__xludf.DUMMYFUNCTION("""COMPUTED_VALUE"""),"Mã HH")</f>
        <v>Mã HH</v>
      </c>
      <c r="G2" s="85" t="str">
        <f>IFERROR(__xludf.DUMMYFUNCTION("""COMPUTED_VALUE"""),"Tên Sản phẩm (HH)")</f>
        <v>Tên Sản phẩm (HH)</v>
      </c>
    </row>
    <row r="3">
      <c r="A3" s="86">
        <f>IFERROR(__xludf.DUMMYFUNCTION("""COMPUTED_VALUE"""),1.0)</f>
        <v>1</v>
      </c>
      <c r="B3" s="87" t="str">
        <f>IFERROR(__xludf.DUMMYFUNCTION("""COMPUTED_VALUE"""),"Thùng")</f>
        <v>Thùng</v>
      </c>
      <c r="C3" s="87" t="str">
        <f>IFERROR(__xludf.DUMMYFUNCTION("""COMPUTED_VALUE"""),"THI0002")</f>
        <v>THI0002</v>
      </c>
      <c r="D3" s="87" t="str">
        <f>IFERROR(__xludf.DUMMYFUNCTION("""COMPUTED_VALUE"""),"Thùng IDA Chai Pet Vuông 35 450ml-500ml - 44x38.5x19 - Xanh lá")</f>
        <v>Thùng IDA Chai Pet Vuông 35 450ml-500ml - 44x38.5x19 - Xanh lá</v>
      </c>
      <c r="E3" s="87"/>
      <c r="F3" s="87" t="str">
        <f>IFERROR(__xludf.DUMMYFUNCTION("""COMPUTED_VALUE"""),"HH0002")</f>
        <v>HH0002</v>
      </c>
      <c r="G3" s="87"/>
    </row>
    <row r="4">
      <c r="A4" s="86">
        <f>IFERROR(__xludf.DUMMYFUNCTION("""COMPUTED_VALUE"""),2.0)</f>
        <v>2</v>
      </c>
      <c r="B4" s="87" t="str">
        <f>IFERROR(__xludf.DUMMYFUNCTION("""COMPUTED_VALUE"""),"Thùng")</f>
        <v>Thùng</v>
      </c>
      <c r="C4" s="87" t="str">
        <f>IFERROR(__xludf.DUMMYFUNCTION("""COMPUTED_VALUE"""),"THC0003")</f>
        <v>THC0003</v>
      </c>
      <c r="D4" s="87" t="str">
        <f>IFERROR(__xludf.DUMMYFUNCTION("""COMPUTED_VALUE"""),"Thùng DC Chai Pet Vuông 35 450ml-500ml - (47x38.5x19cm) - Trắng viền đen")</f>
        <v>Thùng DC Chai Pet Vuông 35 450ml-500ml - (47x38.5x19cm) - Trắng viền đen</v>
      </c>
      <c r="E4" s="87" t="str">
        <f>IFERROR(__xludf.DUMMYFUNCTION("""COMPUTED_VALUE"""),"NPK Bổ sung Vi lượng Basel NPK 6-6-8 IDA 33")</f>
        <v>NPK Bổ sung Vi lượng Basel NPK 6-6-8 IDA 33</v>
      </c>
      <c r="F4" s="87" t="str">
        <f>IFERROR(__xludf.DUMMYFUNCTION("""COMPUTED_VALUE"""),"HH0003")</f>
        <v>HH0003</v>
      </c>
      <c r="G4" s="87" t="str">
        <f>IFERROR(__xludf.DUMMYFUNCTION("""COMPUTED_VALUE"""),"GC - II- 13.1 - Lớn Trái Thanh Long (Đỏ) - 22 kg - 1 ([btp],n)")</f>
        <v>GC - II- 13.1 - Lớn Trái Thanh Long (Đỏ) - 22 kg - 1 ([btp],n)</v>
      </c>
    </row>
    <row r="5">
      <c r="A5" s="86">
        <f>IFERROR(__xludf.DUMMYFUNCTION("""COMPUTED_VALUE"""),3.0)</f>
        <v>3</v>
      </c>
      <c r="B5" s="87" t="str">
        <f>IFERROR(__xludf.DUMMYFUNCTION("""COMPUTED_VALUE"""),"Thùng")</f>
        <v>Thùng</v>
      </c>
      <c r="C5" s="87" t="str">
        <f>IFERROR(__xludf.DUMMYFUNCTION("""COMPUTED_VALUE"""),"THC0004")</f>
        <v>THC0004</v>
      </c>
      <c r="D5" s="87" t="str">
        <f>IFERROR(__xludf.DUMMYFUNCTION("""COMPUTED_VALUE"""),"Thùng DC Chai Pet Tròn 43 450ml-500ml - 61.5x38.5x19 - Trắng")</f>
        <v>Thùng DC Chai Pet Tròn 43 450ml-500ml - 61.5x38.5x19 - Trắng</v>
      </c>
      <c r="E5" s="87" t="str">
        <f>IFERROR(__xludf.DUMMYFUNCTION("""COMPUTED_VALUE"""),"Vi lượng AV4")</f>
        <v>Vi lượng AV4</v>
      </c>
      <c r="F5" s="87" t="str">
        <f>IFERROR(__xludf.DUMMYFUNCTION("""COMPUTED_VALUE"""),"HH0004")</f>
        <v>HH0004</v>
      </c>
      <c r="G5" s="87" t="str">
        <f>IFERROR(__xludf.DUMMYFUNCTION("""COMPUTED_VALUE"""),"GC - II - 24 - Aqua Gold ra bông xoài 1kg -25")</f>
        <v>GC - II - 24 - Aqua Gold ra bông xoài 1kg -25</v>
      </c>
    </row>
    <row r="6">
      <c r="A6" s="86">
        <f>IFERROR(__xludf.DUMMYFUNCTION("""COMPUTED_VALUE"""),4.0)</f>
        <v>4</v>
      </c>
      <c r="B6" s="87" t="str">
        <f>IFERROR(__xludf.DUMMYFUNCTION("""COMPUTED_VALUE"""),"Thùng")</f>
        <v>Thùng</v>
      </c>
      <c r="C6" s="87" t="str">
        <f>IFERROR(__xludf.DUMMYFUNCTION("""COMPUTED_VALUE"""),"THC0005")</f>
        <v>THC0005</v>
      </c>
      <c r="D6" s="87" t="str">
        <f>IFERROR(__xludf.DUMMYFUNCTION("""COMPUTED_VALUE"""),"Thùng DC Chai Pet Tròn 35 450ml-500ml - (59x37x19.5cm)  - Trắng")</f>
        <v>Thùng DC Chai Pet Tròn 35 450ml-500ml - (59x37x19.5cm)  - Trắng</v>
      </c>
      <c r="E6" s="87" t="str">
        <f>IFERROR(__xludf.DUMMYFUNCTION("""COMPUTED_VALUE"""),"Vi lượng AV-US2")</f>
        <v>Vi lượng AV-US2</v>
      </c>
      <c r="F6" s="87" t="str">
        <f>IFERROR(__xludf.DUMMYFUNCTION("""COMPUTED_VALUE"""),"HH0005")</f>
        <v>HH0005</v>
      </c>
      <c r="G6" s="87" t="str">
        <f>IFERROR(__xludf.DUMMYFUNCTION("""COMPUTED_VALUE"""),"GC - II - 33.1 - Siêu ra hoa xoài - 1kg - 25")</f>
        <v>GC - II - 33.1 - Siêu ra hoa xoài - 1kg - 25</v>
      </c>
    </row>
    <row r="7">
      <c r="A7" s="86">
        <f>IFERROR(__xludf.DUMMYFUNCTION("""COMPUTED_VALUE"""),5.0)</f>
        <v>5</v>
      </c>
      <c r="B7" s="87" t="str">
        <f>IFERROR(__xludf.DUMMYFUNCTION("""COMPUTED_VALUE"""),"Thùng")</f>
        <v>Thùng</v>
      </c>
      <c r="C7" s="87" t="str">
        <f>IFERROR(__xludf.DUMMYFUNCTION("""COMPUTED_VALUE"""),"THI0006")</f>
        <v>THI0006</v>
      </c>
      <c r="D7" s="87" t="str">
        <f>IFERROR(__xludf.DUMMYFUNCTION("""COMPUTED_VALUE"""),"Thùng IDA Chai Nhôm Tròn 240ml x 60 chai - 56x34x18.5 - Xanh lá")</f>
        <v>Thùng IDA Chai Nhôm Tròn 240ml x 60 chai - 56x34x18.5 - Xanh lá</v>
      </c>
      <c r="E7" s="87" t="str">
        <f>IFERROR(__xludf.DUMMYFUNCTION("""COMPUTED_VALUE"""),"Vi lượng AV4")</f>
        <v>Vi lượng AV4</v>
      </c>
      <c r="F7" s="87" t="str">
        <f>IFERROR(__xludf.DUMMYFUNCTION("""COMPUTED_VALUE"""),"HH0006")</f>
        <v>HH0006</v>
      </c>
      <c r="G7" s="87" t="str">
        <f>IFERROR(__xludf.DUMMYFUNCTION("""COMPUTED_VALUE"""),"GC - II - 64 - Aqua Siêu ra hoa xoài (clr) - 1kg - 25")</f>
        <v>GC - II - 64 - Aqua Siêu ra hoa xoài (clr) - 1kg - 25</v>
      </c>
    </row>
    <row r="8">
      <c r="A8" s="86">
        <f>IFERROR(__xludf.DUMMYFUNCTION("""COMPUTED_VALUE"""),6.0)</f>
        <v>6</v>
      </c>
      <c r="B8" s="87" t="str">
        <f>IFERROR(__xludf.DUMMYFUNCTION("""COMPUTED_VALUE"""),"Thùng")</f>
        <v>Thùng</v>
      </c>
      <c r="C8" s="87" t="str">
        <f>IFERROR(__xludf.DUMMYFUNCTION("""COMPUTED_VALUE"""),"THI0007")</f>
        <v>THI0007</v>
      </c>
      <c r="D8" s="87" t="str">
        <f>IFERROR(__xludf.DUMMYFUNCTION("""COMPUTED_VALUE"""),"Thùng IDA Centertaner 12gr x400gói  (42x32x26cm) - Xanh lá")</f>
        <v>Thùng IDA Centertaner 12gr x400gói  (42x32x26cm) - Xanh lá</v>
      </c>
      <c r="E8" s="87" t="str">
        <f>IFERROR(__xludf.DUMMYFUNCTION("""COMPUTED_VALUE"""),"Vi lượng AV4")</f>
        <v>Vi lượng AV4</v>
      </c>
      <c r="F8" s="87" t="str">
        <f>IFERROR(__xludf.DUMMYFUNCTION("""COMPUTED_VALUE"""),"HH0007")</f>
        <v>HH0007</v>
      </c>
      <c r="G8" s="87" t="str">
        <f>IFERROR(__xludf.DUMMYFUNCTION("""COMPUTED_VALUE"""),"GC - III - 75 - Bio Siêu ra hoa cây có múi - 600 gr - 40")</f>
        <v>GC - III - 75 - Bio Siêu ra hoa cây có múi - 600 gr - 40</v>
      </c>
    </row>
    <row r="9">
      <c r="A9" s="86">
        <f>IFERROR(__xludf.DUMMYFUNCTION("""COMPUTED_VALUE"""),7.0)</f>
        <v>7</v>
      </c>
      <c r="B9" s="87" t="str">
        <f>IFERROR(__xludf.DUMMYFUNCTION("""COMPUTED_VALUE"""),"Thùng")</f>
        <v>Thùng</v>
      </c>
      <c r="C9" s="87" t="str">
        <f>IFERROR(__xludf.DUMMYFUNCTION("""COMPUTED_VALUE"""),"THI0008")</f>
        <v>THI0008</v>
      </c>
      <c r="D9" s="87" t="str">
        <f>IFERROR(__xludf.DUMMYFUNCTION("""COMPUTED_VALUE"""),"Thùng IDA 16g x 200 gói-HA")</f>
        <v>Thùng IDA 16g x 200 gói-HA</v>
      </c>
      <c r="E9" s="87" t="str">
        <f>IFERROR(__xludf.DUMMYFUNCTION("""COMPUTED_VALUE"""),"Vi lượng AV4-BO633")</f>
        <v>Vi lượng AV4-BO633</v>
      </c>
      <c r="F9" s="87" t="str">
        <f>IFERROR(__xludf.DUMMYFUNCTION("""COMPUTED_VALUE"""),"HH0008")</f>
        <v>HH0008</v>
      </c>
      <c r="G9" s="87" t="str">
        <f>IFERROR(__xludf.DUMMYFUNCTION("""COMPUTED_VALUE"""),"GC - II - 95.1 - AGC - Siêu ra hoa cây có múi - 600 gr - 40")</f>
        <v>GC - II - 95.1 - AGC - Siêu ra hoa cây có múi - 600 gr - 40</v>
      </c>
    </row>
    <row r="10">
      <c r="A10" s="86">
        <f>IFERROR(__xludf.DUMMYFUNCTION("""COMPUTED_VALUE"""),8.0)</f>
        <v>8</v>
      </c>
      <c r="B10" s="87" t="str">
        <f>IFERROR(__xludf.DUMMYFUNCTION("""COMPUTED_VALUE"""),"Thùng")</f>
        <v>Thùng</v>
      </c>
      <c r="C10" s="87" t="str">
        <f>IFERROR(__xludf.DUMMYFUNCTION("""COMPUTED_VALUE"""),"THI0009")</f>
        <v>THI0009</v>
      </c>
      <c r="D10" s="87" t="str">
        <f>IFERROR(__xludf.DUMMYFUNCTION("""COMPUTED_VALUE"""),"Thùng IDA Chai HDPE tròn cổ 43 500ml - (60x37.5x21cm)- Xanh lá")</f>
        <v>Thùng IDA Chai HDPE tròn cổ 43 500ml - (60x37.5x21cm)- Xanh lá</v>
      </c>
      <c r="E10" s="87" t="str">
        <f>IFERROR(__xludf.DUMMYFUNCTION("""COMPUTED_VALUE"""),"NPK Bổ sung Vi lượng Basel NPK 6-6-8 IDA 33")</f>
        <v>NPK Bổ sung Vi lượng Basel NPK 6-6-8 IDA 33</v>
      </c>
      <c r="F10" s="87" t="str">
        <f>IFERROR(__xludf.DUMMYFUNCTION("""COMPUTED_VALUE"""),"HH0009")</f>
        <v>HH0009</v>
      </c>
      <c r="G10" s="87" t="str">
        <f>IFERROR(__xludf.DUMMYFUNCTION("""COMPUTED_VALUE"""),"GC - II - 105.2 - Lớn trái thanh long (Xanh) - 22 kg -1")</f>
        <v>GC - II - 105.2 - Lớn trái thanh long (Xanh) - 22 kg -1</v>
      </c>
    </row>
    <row r="11">
      <c r="A11" s="86">
        <f>IFERROR(__xludf.DUMMYFUNCTION("""COMPUTED_VALUE"""),9.0)</f>
        <v>9</v>
      </c>
      <c r="B11" s="87" t="str">
        <f>IFERROR(__xludf.DUMMYFUNCTION("""COMPUTED_VALUE"""),"Thùng")</f>
        <v>Thùng</v>
      </c>
      <c r="C11" s="87" t="str">
        <f>IFERROR(__xludf.DUMMYFUNCTION("""COMPUTED_VALUE"""),"THI0010")</f>
        <v>THI0010</v>
      </c>
      <c r="D11" s="87" t="str">
        <f>IFERROR(__xludf.DUMMYFUNCTION("""COMPUTED_VALUE"""),"Thùng IDA Chai HDPE/PAPE tròn cổ 43 250ml - 49.5x30.5x14.5  - Xanh lá")</f>
        <v>Thùng IDA Chai HDPE/PAPE tròn cổ 43 250ml - 49.5x30.5x14.5  - Xanh lá</v>
      </c>
      <c r="E11" s="87" t="str">
        <f>IFERROR(__xludf.DUMMYFUNCTION("""COMPUTED_VALUE"""),"Vi lượng AV6")</f>
        <v>Vi lượng AV6</v>
      </c>
      <c r="F11" s="87" t="str">
        <f>IFERROR(__xludf.DUMMYFUNCTION("""COMPUTED_VALUE"""),"HH0010")</f>
        <v>HH0010</v>
      </c>
      <c r="G11" s="87" t="str">
        <f>IFERROR(__xludf.DUMMYFUNCTION("""COMPUTED_VALUE"""),"GC - 107 - Nutri Nutri Silitop - 60 ml - 300")</f>
        <v>GC - 107 - Nutri Nutri Silitop - 60 ml - 300</v>
      </c>
    </row>
    <row r="12">
      <c r="A12" s="86">
        <f>IFERROR(__xludf.DUMMYFUNCTION("""COMPUTED_VALUE"""),10.0)</f>
        <v>10</v>
      </c>
      <c r="B12" s="87" t="str">
        <f>IFERROR(__xludf.DUMMYFUNCTION("""COMPUTED_VALUE"""),"Thùng")</f>
        <v>Thùng</v>
      </c>
      <c r="C12" s="87" t="str">
        <f>IFERROR(__xludf.DUMMYFUNCTION("""COMPUTED_VALUE"""),"THI0011")</f>
        <v>THI0011</v>
      </c>
      <c r="D12" s="87" t="str">
        <f>IFERROR(__xludf.DUMMYFUNCTION("""COMPUTED_VALUE"""),"Thùng IDA Chai HDPE/PAPE tròn cổ 33 100ml - 51x51x11  - Xanh lá")</f>
        <v>Thùng IDA Chai HDPE/PAPE tròn cổ 33 100ml - 51x51x11  - Xanh lá</v>
      </c>
      <c r="E12" s="87" t="str">
        <f>IFERROR(__xludf.DUMMYFUNCTION("""COMPUTED_VALUE"""),"AnnongManco 80WP")</f>
        <v>AnnongManco 80WP</v>
      </c>
      <c r="F12" s="87" t="str">
        <f>IFERROR(__xludf.DUMMYFUNCTION("""COMPUTED_VALUE"""),"HH0011")</f>
        <v>HH0011</v>
      </c>
      <c r="G12" s="87" t="str">
        <f>IFERROR(__xludf.DUMMYFUNCTION("""COMPUTED_VALUE"""),"GC - I - 207 - Mancozeb Xanh - Xanh Cam - 1kg - 20")</f>
        <v>GC - I - 207 - Mancozeb Xanh - Xanh Cam - 1kg - 20</v>
      </c>
    </row>
    <row r="13">
      <c r="A13" s="86">
        <f>IFERROR(__xludf.DUMMYFUNCTION("""COMPUTED_VALUE"""),11.0)</f>
        <v>11</v>
      </c>
      <c r="B13" s="87" t="str">
        <f>IFERROR(__xludf.DUMMYFUNCTION("""COMPUTED_VALUE"""),"Thùng")</f>
        <v>Thùng</v>
      </c>
      <c r="C13" s="87" t="str">
        <f>IFERROR(__xludf.DUMMYFUNCTION("""COMPUTED_VALUE"""),"THA0012")</f>
        <v>THA0012</v>
      </c>
      <c r="D13" s="87" t="str">
        <f>IFERROR(__xludf.DUMMYFUNCTION("""COMPUTED_VALUE"""),"Thùng offset Agri plus (kèm lót)")</f>
        <v>Thùng offset Agri plus (kèm lót)</v>
      </c>
      <c r="E13" s="87" t="str">
        <f>IFERROR(__xludf.DUMMYFUNCTION("""COMPUTED_VALUE"""),"Vi lượng IDA49")</f>
        <v>Vi lượng IDA49</v>
      </c>
      <c r="F13" s="87" t="str">
        <f>IFERROR(__xludf.DUMMYFUNCTION("""COMPUTED_VALUE"""),"HH0012")</f>
        <v>HH0012</v>
      </c>
      <c r="G13" s="87" t="str">
        <f>IFERROR(__xludf.DUMMYFUNCTION("""COMPUTED_VALUE"""),"GC - I - 208 - Lân 86 - 1Kg - 20")</f>
        <v>GC - I - 208 - Lân 86 - 1Kg - 20</v>
      </c>
    </row>
    <row r="14">
      <c r="A14" s="86">
        <f>IFERROR(__xludf.DUMMYFUNCTION("""COMPUTED_VALUE"""),12.0)</f>
        <v>12</v>
      </c>
      <c r="B14" s="87" t="str">
        <f>IFERROR(__xludf.DUMMYFUNCTION("""COMPUTED_VALUE"""),"Thùng")</f>
        <v>Thùng</v>
      </c>
      <c r="C14" s="87" t="str">
        <f>IFERROR(__xludf.DUMMYFUNCTION("""COMPUTED_VALUE"""),"THI0013")</f>
        <v>THI0013</v>
      </c>
      <c r="D14" s="87" t="str">
        <f>IFERROR(__xludf.DUMMYFUNCTION("""COMPUTED_VALUE"""),"Thùng IDA chai HDPE/PAPE tròn cổ 33 100ml (51x25.5x22) - Xanh lá")</f>
        <v>Thùng IDA chai HDPE/PAPE tròn cổ 33 100ml (51x25.5x22) - Xanh lá</v>
      </c>
      <c r="E14" s="87" t="str">
        <f>IFERROR(__xludf.DUMMYFUNCTION("""COMPUTED_VALUE"""),"Acodyl 35WP")</f>
        <v>Acodyl 35WP</v>
      </c>
      <c r="F14" s="87" t="str">
        <f>IFERROR(__xludf.DUMMYFUNCTION("""COMPUTED_VALUE"""),"HH0013")</f>
        <v>HH0013</v>
      </c>
      <c r="G14" s="87" t="str">
        <f>IFERROR(__xludf.DUMMYFUNCTION("""COMPUTED_VALUE"""),"IDA Global - I - 221.1 - Metalaxyl (drone) - 100gr - 100")</f>
        <v>IDA Global - I - 221.1 - Metalaxyl (drone) - 100gr - 100</v>
      </c>
    </row>
    <row r="15">
      <c r="A15" s="86">
        <f>IFERROR(__xludf.DUMMYFUNCTION("""COMPUTED_VALUE"""),13.0)</f>
        <v>13</v>
      </c>
      <c r="B15" s="87" t="str">
        <f>IFERROR(__xludf.DUMMYFUNCTION("""COMPUTED_VALUE"""),"Thùng")</f>
        <v>Thùng</v>
      </c>
      <c r="C15" s="87" t="str">
        <f>IFERROR(__xludf.DUMMYFUNCTION("""COMPUTED_VALUE"""),"THI0014")</f>
        <v>THI0014</v>
      </c>
      <c r="D15" s="87" t="str">
        <f>IFERROR(__xludf.DUMMYFUNCTION("""COMPUTED_VALUE"""),"Thùng IDA Chai HDPE tròn cổ 42.5 1L x 20 chai - 45x35.5x26.5- Xanh lá")</f>
        <v>Thùng IDA Chai HDPE tròn cổ 42.5 1L x 20 chai - 45x35.5x26.5- Xanh lá</v>
      </c>
      <c r="E15" s="87" t="str">
        <f>IFERROR(__xludf.DUMMYFUNCTION("""COMPUTED_VALUE"""),"Oxycin 100WP")</f>
        <v>Oxycin 100WP</v>
      </c>
      <c r="F15" s="87" t="str">
        <f>IFERROR(__xludf.DUMMYFUNCTION("""COMPUTED_VALUE"""),"HH0014")</f>
        <v>HH0014</v>
      </c>
      <c r="G15" s="87" t="str">
        <f>IFERROR(__xludf.DUMMYFUNCTION("""COMPUTED_VALUE"""),"IDA Global - I - 222.2 - Siêu Diệt Vi Khuẩn Thái (Mới) - 25gr - 300")</f>
        <v>IDA Global - I - 222.2 - Siêu Diệt Vi Khuẩn Thái (Mới) - 25gr - 300</v>
      </c>
    </row>
    <row r="16">
      <c r="A16" s="86">
        <f>IFERROR(__xludf.DUMMYFUNCTION("""COMPUTED_VALUE"""),14.0)</f>
        <v>14</v>
      </c>
      <c r="B16" s="87" t="str">
        <f>IFERROR(__xludf.DUMMYFUNCTION("""COMPUTED_VALUE"""),"Thùng")</f>
        <v>Thùng</v>
      </c>
      <c r="C16" s="87" t="str">
        <f>IFERROR(__xludf.DUMMYFUNCTION("""COMPUTED_VALUE"""),"THC0015")</f>
        <v>THC0015</v>
      </c>
      <c r="D16" s="87" t="str">
        <f>IFERROR(__xludf.DUMMYFUNCTION("""COMPUTED_VALUE"""),"Thùng chung chai HDPE tròn cổ 42.5 1L x 20 chai - 45x35.5x26.5")</f>
        <v>Thùng chung chai HDPE tròn cổ 42.5 1L x 20 chai - 45x35.5x26.5</v>
      </c>
      <c r="E16" s="87" t="str">
        <f>IFERROR(__xludf.DUMMYFUNCTION("""COMPUTED_VALUE"""),"Chitin 3.6EC")</f>
        <v>Chitin 3.6EC</v>
      </c>
      <c r="F16" s="87" t="str">
        <f>IFERROR(__xludf.DUMMYFUNCTION("""COMPUTED_VALUE"""),"HH0015")</f>
        <v>HH0015</v>
      </c>
      <c r="G16" s="87" t="str">
        <f>IFERROR(__xludf.DUMMYFUNCTION("""COMPUTED_VALUE"""),"IDA Global - I - 223 - Nhện đỏ - Chai nhôm đỏ - 240ml - 60")</f>
        <v>IDA Global - I - 223 - Nhện đỏ - Chai nhôm đỏ - 240ml - 60</v>
      </c>
    </row>
    <row r="17">
      <c r="A17" s="86">
        <f>IFERROR(__xludf.DUMMYFUNCTION("""COMPUTED_VALUE"""),15.0)</f>
        <v>15</v>
      </c>
      <c r="B17" s="87" t="str">
        <f>IFERROR(__xludf.DUMMYFUNCTION("""COMPUTED_VALUE"""),"Thùng")</f>
        <v>Thùng</v>
      </c>
      <c r="C17" s="87" t="str">
        <f>IFERROR(__xludf.DUMMYFUNCTION("""COMPUTED_VALUE"""),"THC0016")</f>
        <v>THC0016</v>
      </c>
      <c r="D17" s="87" t="str">
        <f>IFERROR(__xludf.DUMMYFUNCTION("""COMPUTED_VALUE"""),"Thùng dùng chung chai PET tròn cổ 43 450-500ml x 40 chai  (62.5x38.5x20cm) - Nâu")</f>
        <v>Thùng dùng chung chai PET tròn cổ 43 450-500ml x 40 chai  (62.5x38.5x20cm) - Nâu</v>
      </c>
      <c r="E17" s="87" t="str">
        <f>IFERROR(__xludf.DUMMYFUNCTION("""COMPUTED_VALUE"""),"Chitin 3.6EC")</f>
        <v>Chitin 3.6EC</v>
      </c>
      <c r="F17" s="87" t="str">
        <f>IFERROR(__xludf.DUMMYFUNCTION("""COMPUTED_VALUE"""),"HH0016")</f>
        <v>HH0016</v>
      </c>
      <c r="G17" s="87" t="str">
        <f>IFERROR(__xludf.DUMMYFUNCTION("""COMPUTED_VALUE"""),"IDA Global - I - 223.1 - Nhện đỏ - Chai nhôm đỏ - 240ml - 60")</f>
        <v>IDA Global - I - 223.1 - Nhện đỏ - Chai nhôm đỏ - 240ml - 60</v>
      </c>
    </row>
    <row r="18">
      <c r="A18" s="86">
        <f>IFERROR(__xludf.DUMMYFUNCTION("""COMPUTED_VALUE"""),16.0)</f>
        <v>16</v>
      </c>
      <c r="B18" s="87" t="str">
        <f>IFERROR(__xludf.DUMMYFUNCTION("""COMPUTED_VALUE"""),"Thùng")</f>
        <v>Thùng</v>
      </c>
      <c r="C18" s="87" t="str">
        <f>IFERROR(__xludf.DUMMYFUNCTION("""COMPUTED_VALUE"""),"THI0017")</f>
        <v>THI0017</v>
      </c>
      <c r="D18" s="87" t="str">
        <f>IFERROR(__xludf.DUMMYFUNCTION("""COMPUTED_VALUE"""),"Thùng IDA 100 (300) gói - 44.5x37.5x21 - Xanh lá")</f>
        <v>Thùng IDA 100 (300) gói - 44.5x37.5x21 - Xanh lá</v>
      </c>
      <c r="E18" s="87" t="str">
        <f>IFERROR(__xludf.DUMMYFUNCTION("""COMPUTED_VALUE"""),"Chitin 3.6EC")</f>
        <v>Chitin 3.6EC</v>
      </c>
      <c r="F18" s="87" t="str">
        <f>IFERROR(__xludf.DUMMYFUNCTION("""COMPUTED_VALUE"""),"HH0017")</f>
        <v>HH0017</v>
      </c>
      <c r="G18" s="87" t="str">
        <f>IFERROR(__xludf.DUMMYFUNCTION("""COMPUTED_VALUE"""),"IDA Global - I - 223.1 - Nhện đỏ - Chai nhôm đỏ - 240ml - 60")</f>
        <v>IDA Global - I - 223.1 - Nhện đỏ - Chai nhôm đỏ - 240ml - 60</v>
      </c>
    </row>
    <row r="19">
      <c r="A19" s="86">
        <f>IFERROR(__xludf.DUMMYFUNCTION("""COMPUTED_VALUE"""),17.0)</f>
        <v>17</v>
      </c>
      <c r="B19" s="87" t="str">
        <f>IFERROR(__xludf.DUMMYFUNCTION("""COMPUTED_VALUE"""),"Thùng")</f>
        <v>Thùng</v>
      </c>
      <c r="C19" s="87" t="str">
        <f>IFERROR(__xludf.DUMMYFUNCTION("""COMPUTED_VALUE"""),"THI0018")</f>
        <v>THI0018</v>
      </c>
      <c r="D19" s="87" t="str">
        <f>IFERROR(__xludf.DUMMYFUNCTION("""COMPUTED_VALUE"""),"Thùng IDA Chai Nhôm Tròn 240ml - 56x34x18.5 -Trắng")</f>
        <v>Thùng IDA Chai Nhôm Tròn 240ml - 56x34x18.5 -Trắng</v>
      </c>
      <c r="E19" s="87" t="str">
        <f>IFERROR(__xludf.DUMMYFUNCTION("""COMPUTED_VALUE"""),"Vi lượng IDA 11")</f>
        <v>Vi lượng IDA 11</v>
      </c>
      <c r="F19" s="87" t="str">
        <f>IFERROR(__xludf.DUMMYFUNCTION("""COMPUTED_VALUE"""),"HH0018")</f>
        <v>HH0018</v>
      </c>
      <c r="G19" s="87" t="str">
        <f>IFERROR(__xludf.DUMMYFUNCTION("""COMPUTED_VALUE"""),"GC - I - 249 - SIÊU COC - 1kg - 20")</f>
        <v>GC - I - 249 - SIÊU COC - 1kg - 20</v>
      </c>
    </row>
    <row r="20">
      <c r="A20" s="86">
        <f>IFERROR(__xludf.DUMMYFUNCTION("""COMPUTED_VALUE"""),18.0)</f>
        <v>18</v>
      </c>
      <c r="B20" s="87" t="str">
        <f>IFERROR(__xludf.DUMMYFUNCTION("""COMPUTED_VALUE"""),"Thùng")</f>
        <v>Thùng</v>
      </c>
      <c r="C20" s="87" t="str">
        <f>IFERROR(__xludf.DUMMYFUNCTION("""COMPUTED_VALUE"""),"THC0019")</f>
        <v>THC0019</v>
      </c>
      <c r="D20" s="87" t="str">
        <f>IFERROR(__xludf.DUMMYFUNCTION("""COMPUTED_VALUE"""),"Thùng dùng chung Basel chai nhôm 240ml - 56x34x18.5 - Nâu")</f>
        <v>Thùng dùng chung Basel chai nhôm 240ml - 56x34x18.5 - Nâu</v>
      </c>
      <c r="E20" s="87" t="str">
        <f>IFERROR(__xludf.DUMMYFUNCTION("""COMPUTED_VALUE"""),"#N/A")</f>
        <v>#N/A</v>
      </c>
      <c r="F20" s="87" t="str">
        <f>IFERROR(__xludf.DUMMYFUNCTION("""COMPUTED_VALUE"""),"HH0019")</f>
        <v>HH0019</v>
      </c>
      <c r="G20" s="87" t="str">
        <f>IFERROR(__xludf.DUMMYFUNCTION("""COMPUTED_VALUE"""),"GC - II - 253.1 - Thiện Thành - Nutri Hữu Cơ 999 (nước nâu đen) - 25kg - 1")</f>
        <v>GC - II - 253.1 - Thiện Thành - Nutri Hữu Cơ 999 (nước nâu đen) - 25kg - 1</v>
      </c>
    </row>
    <row r="21">
      <c r="A21" s="86">
        <f>IFERROR(__xludf.DUMMYFUNCTION("""COMPUTED_VALUE"""),19.0)</f>
        <v>19</v>
      </c>
      <c r="B21" s="87" t="str">
        <f>IFERROR(__xludf.DUMMYFUNCTION("""COMPUTED_VALUE"""),"Thùng")</f>
        <v>Thùng</v>
      </c>
      <c r="C21" s="87" t="str">
        <f>IFERROR(__xludf.DUMMYFUNCTION("""COMPUTED_VALUE"""),"THC0020")</f>
        <v>THC0020</v>
      </c>
      <c r="D21" s="87" t="str">
        <f>IFERROR(__xludf.DUMMYFUNCTION("""COMPUTED_VALUE"""),"Thùng dùng chung chai PET  cổ 43 240ml,250ml x 40 chai  (47.5x30x18.5cm) - Nâu")</f>
        <v>Thùng dùng chung chai PET  cổ 43 240ml,250ml x 40 chai  (47.5x30x18.5cm) - Nâu</v>
      </c>
      <c r="E21" s="87" t="str">
        <f>IFERROR(__xludf.DUMMYFUNCTION("""COMPUTED_VALUE"""),"Vi lượng Basel IDA 11")</f>
        <v>Vi lượng Basel IDA 11</v>
      </c>
      <c r="F21" s="87" t="str">
        <f>IFERROR(__xludf.DUMMYFUNCTION("""COMPUTED_VALUE"""),"HH0020")</f>
        <v>HH0020</v>
      </c>
      <c r="G21" s="87" t="str">
        <f>IFERROR(__xludf.DUMMYFUNCTION("""COMPUTED_VALUE"""),"GC - I - 256.1 - CT Tây Nguyên - Rong rêu (chai vuông Pet) - 250ml - 40")</f>
        <v>GC - I - 256.1 - CT Tây Nguyên - Rong rêu (chai vuông Pet) - 250ml - 40</v>
      </c>
    </row>
    <row r="22">
      <c r="A22" s="86">
        <f>IFERROR(__xludf.DUMMYFUNCTION("""COMPUTED_VALUE"""),20.0)</f>
        <v>20</v>
      </c>
      <c r="B22" s="87" t="str">
        <f>IFERROR(__xludf.DUMMYFUNCTION("""COMPUTED_VALUE"""),"Thùng")</f>
        <v>Thùng</v>
      </c>
      <c r="C22" s="87" t="str">
        <f>IFERROR(__xludf.DUMMYFUNCTION("""COMPUTED_VALUE"""),"THC0021")</f>
        <v>THC0021</v>
      </c>
      <c r="D22" s="87" t="str">
        <f>IFERROR(__xludf.DUMMYFUNCTION("""COMPUTED_VALUE"""),"Thùng dùng chung Basel 100 (300) gói - Nâu")</f>
        <v>Thùng dùng chung Basel 100 (300) gói - Nâu</v>
      </c>
      <c r="E22" s="87" t="str">
        <f>IFERROR(__xludf.DUMMYFUNCTION("""COMPUTED_VALUE"""),"Leafroll 260SC")</f>
        <v>Leafroll 260SC</v>
      </c>
      <c r="F22" s="87" t="str">
        <f>IFERROR(__xludf.DUMMYFUNCTION("""COMPUTED_VALUE"""),"HH0021")</f>
        <v>HH0021</v>
      </c>
      <c r="G22" s="87" t="str">
        <f>IFERROR(__xludf.DUMMYFUNCTION("""COMPUTED_VALUE"""),"GC - I - 259 - CTP - Hiệu cuốn lá - 15ml - 400")</f>
        <v>GC - I - 259 - CTP - Hiệu cuốn lá - 15ml - 400</v>
      </c>
    </row>
    <row r="23">
      <c r="A23" s="86">
        <f>IFERROR(__xludf.DUMMYFUNCTION("""COMPUTED_VALUE"""),21.0)</f>
        <v>21</v>
      </c>
      <c r="B23" s="87" t="str">
        <f>IFERROR(__xludf.DUMMYFUNCTION("""COMPUTED_VALUE"""),"Thùng")</f>
        <v>Thùng</v>
      </c>
      <c r="C23" s="87" t="str">
        <f>IFERROR(__xludf.DUMMYFUNCTION("""COMPUTED_VALUE"""),"THC0022")</f>
        <v>THC0022</v>
      </c>
      <c r="D23" s="87" t="str">
        <f>IFERROR(__xludf.DUMMYFUNCTION("""COMPUTED_VALUE"""),"Thùng chung chai PET vuông cổ 35 450ml-500ml - 44x38.5x19")</f>
        <v>Thùng chung chai PET vuông cổ 35 450ml-500ml - 44x38.5x19</v>
      </c>
      <c r="E23" s="87" t="str">
        <f>IFERROR(__xludf.DUMMYFUNCTION("""COMPUTED_VALUE"""),"Vi lượng Basel IDA 47")</f>
        <v>Vi lượng Basel IDA 47</v>
      </c>
      <c r="F23" s="87" t="str">
        <f>IFERROR(__xludf.DUMMYFUNCTION("""COMPUTED_VALUE"""),"HH0022")</f>
        <v>HH0022</v>
      </c>
      <c r="G23" s="87" t="str">
        <f>IFERROR(__xludf.DUMMYFUNCTION("""COMPUTED_VALUE"""),"GC - I - 260 - Bohex SC - 450ml - 40")</f>
        <v>GC - I - 260 - Bohex SC - 450ml - 40</v>
      </c>
    </row>
    <row r="24">
      <c r="A24" s="86">
        <f>IFERROR(__xludf.DUMMYFUNCTION("""COMPUTED_VALUE"""),22.0)</f>
        <v>22</v>
      </c>
      <c r="B24" s="87" t="str">
        <f>IFERROR(__xludf.DUMMYFUNCTION("""COMPUTED_VALUE"""),"Thùng")</f>
        <v>Thùng</v>
      </c>
      <c r="C24" s="87" t="str">
        <f>IFERROR(__xludf.DUMMYFUNCTION("""COMPUTED_VALUE"""),"THC0023")</f>
        <v>THC0023</v>
      </c>
      <c r="D24" s="87" t="str">
        <f>IFERROR(__xludf.DUMMYFUNCTION("""COMPUTED_VALUE"""),"Thùng Dùng Chung PEST 100g x150gói - Nâu")</f>
        <v>Thùng Dùng Chung PEST 100g x150gói - Nâu</v>
      </c>
      <c r="E24" s="87" t="str">
        <f>IFERROR(__xludf.DUMMYFUNCTION("""COMPUTED_VALUE"""),"Tinmy new super 300EC")</f>
        <v>Tinmy new super 300EC</v>
      </c>
      <c r="F24" s="87" t="str">
        <f>IFERROR(__xludf.DUMMYFUNCTION("""COMPUTED_VALUE"""),"HH0023")</f>
        <v>HH0023</v>
      </c>
      <c r="G24" s="87" t="str">
        <f>IFERROR(__xludf.DUMMYFUNCTION("""COMPUTED_VALUE"""),"GC - I - 274 - Tinmy (Chai HDPE nhãn giấy) - 250ml - 40")</f>
        <v>GC - I - 274 - Tinmy (Chai HDPE nhãn giấy) - 250ml - 40</v>
      </c>
    </row>
    <row r="25">
      <c r="A25" s="86">
        <f>IFERROR(__xludf.DUMMYFUNCTION("""COMPUTED_VALUE"""),23.0)</f>
        <v>23</v>
      </c>
      <c r="B25" s="87" t="str">
        <f>IFERROR(__xludf.DUMMYFUNCTION("""COMPUTED_VALUE"""),"Thùng")</f>
        <v>Thùng</v>
      </c>
      <c r="C25" s="87" t="str">
        <f>IFERROR(__xludf.DUMMYFUNCTION("""COMPUTED_VALUE"""),"THC0024")</f>
        <v>THC0024</v>
      </c>
      <c r="D25" s="87" t="str">
        <f>IFERROR(__xludf.DUMMYFUNCTION("""COMPUTED_VALUE"""),"Thùng dùng chung Đại Tâm")</f>
        <v>Thùng dùng chung Đại Tâm</v>
      </c>
      <c r="E25" s="87" t="str">
        <f>IFERROR(__xludf.DUMMYFUNCTION("""COMPUTED_VALUE"""),"Pim.Pim 75WP")</f>
        <v>Pim.Pim 75WP</v>
      </c>
      <c r="F25" s="87" t="str">
        <f>IFERROR(__xludf.DUMMYFUNCTION("""COMPUTED_VALUE"""),"HH0024")</f>
        <v>HH0024</v>
      </c>
      <c r="G25" s="87" t="str">
        <f>IFERROR(__xludf.DUMMYFUNCTION("""COMPUTED_VALUE"""),"GC - I - 293 - CTP - Diệt sạch đạo ôn - 100gr - 100")</f>
        <v>GC - I - 293 - CTP - Diệt sạch đạo ôn - 100gr - 100</v>
      </c>
    </row>
    <row r="26">
      <c r="A26" s="86">
        <f>IFERROR(__xludf.DUMMYFUNCTION("""COMPUTED_VALUE"""),24.0)</f>
        <v>24</v>
      </c>
      <c r="B26" s="87" t="str">
        <f>IFERROR(__xludf.DUMMYFUNCTION("""COMPUTED_VALUE"""),"Thùng")</f>
        <v>Thùng</v>
      </c>
      <c r="C26" s="87" t="str">
        <f>IFERROR(__xludf.DUMMYFUNCTION("""COMPUTED_VALUE"""),"THC0025")</f>
        <v>THC0025</v>
      </c>
      <c r="D26" s="87" t="str">
        <f>IFERROR(__xludf.DUMMYFUNCTION("""COMPUTED_VALUE"""),"Thùng dùng chung Basel 25g x 200gói - Nâu")</f>
        <v>Thùng dùng chung Basel 25g x 200gói - Nâu</v>
      </c>
      <c r="E26" s="87" t="str">
        <f>IFERROR(__xludf.DUMMYFUNCTION("""COMPUTED_VALUE"""),"Prohed 400EC")</f>
        <v>Prohed 400EC</v>
      </c>
      <c r="F26" s="87" t="str">
        <f>IFERROR(__xludf.DUMMYFUNCTION("""COMPUTED_VALUE"""),"HH0025")</f>
        <v>HH0025</v>
      </c>
      <c r="G26" s="87" t="str">
        <f>IFERROR(__xludf.DUMMYFUNCTION("""COMPUTED_VALUE"""),"IDA Globa - I - 295.2 - Prohed 400EC (mới)- 240ml - 60 ( [nl] ,c, n, t)")</f>
        <v>IDA Globa - I - 295.2 - Prohed 400EC (mới)- 240ml - 60 ( [nl] ,c, n, t)</v>
      </c>
    </row>
    <row r="27">
      <c r="A27" s="86">
        <f>IFERROR(__xludf.DUMMYFUNCTION("""COMPUTED_VALUE"""),25.0)</f>
        <v>25</v>
      </c>
      <c r="B27" s="87" t="str">
        <f>IFERROR(__xludf.DUMMYFUNCTION("""COMPUTED_VALUE"""),"Thùng")</f>
        <v>Thùng</v>
      </c>
      <c r="C27" s="87" t="str">
        <f>IFERROR(__xludf.DUMMYFUNCTION("""COMPUTED_VALUE"""),"THC0026")</f>
        <v>THC0026</v>
      </c>
      <c r="D27" s="87" t="str">
        <f>IFERROR(__xludf.DUMMYFUNCTION("""COMPUTED_VALUE"""),"Thùng dùng chung HL chai HDPE tròn cổ 42.5 1L x 20 chai - 45x35.5x26.5 - Nâu")</f>
        <v>Thùng dùng chung HL chai HDPE tròn cổ 42.5 1L x 20 chai - 45x35.5x26.5 - Nâu</v>
      </c>
      <c r="E27" s="87" t="str">
        <f>IFERROR(__xludf.DUMMYFUNCTION("""COMPUTED_VALUE"""),"Vi lượng Basel IDA 46")</f>
        <v>Vi lượng Basel IDA 46</v>
      </c>
      <c r="F27" s="87" t="str">
        <f>IFERROR(__xludf.DUMMYFUNCTION("""COMPUTED_VALUE"""),"HH0026")</f>
        <v>HH0026</v>
      </c>
      <c r="G27" s="87" t="str">
        <f>IFERROR(__xludf.DUMMYFUNCTION("""COMPUTED_VALUE"""),"GC - I - 297.1 - CTP - Pick Super - 250ml - 40")</f>
        <v>GC - I - 297.1 - CTP - Pick Super - 250ml - 40</v>
      </c>
    </row>
    <row r="28">
      <c r="A28" s="86">
        <f>IFERROR(__xludf.DUMMYFUNCTION("""COMPUTED_VALUE"""),26.0)</f>
        <v>26</v>
      </c>
      <c r="B28" s="87" t="str">
        <f>IFERROR(__xludf.DUMMYFUNCTION("""COMPUTED_VALUE"""),"Thùng")</f>
        <v>Thùng</v>
      </c>
      <c r="C28" s="87" t="str">
        <f>IFERROR(__xludf.DUMMYFUNCTION("""COMPUTED_VALUE"""),"THC0027")</f>
        <v>THC0027</v>
      </c>
      <c r="D28" s="87" t="str">
        <f>IFERROR(__xludf.DUMMYFUNCTION("""COMPUTED_VALUE"""),"Thùng dùng chung Basel chai HDPE tròn cổ 42.5 1L x 20 chai - 45x35.5x26.5 - Nâu")</f>
        <v>Thùng dùng chung Basel chai HDPE tròn cổ 42.5 1L x 20 chai - 45x35.5x26.5 - Nâu</v>
      </c>
      <c r="E28" s="87" t="str">
        <f>IFERROR(__xludf.DUMMYFUNCTION("""COMPUTED_VALUE"""),"Apashuang 95WP")</f>
        <v>Apashuang 95WP</v>
      </c>
      <c r="F28" s="87" t="str">
        <f>IFERROR(__xludf.DUMMYFUNCTION("""COMPUTED_VALUE"""),"HH0027")</f>
        <v>HH0027</v>
      </c>
      <c r="G28" s="87" t="str">
        <f>IFERROR(__xludf.DUMMYFUNCTION("""COMPUTED_VALUE"""),"IDA Global - I - 299 - PH - Apashuang (Xanh Tím) - 100gr - 100")</f>
        <v>IDA Global - I - 299 - PH - Apashuang (Xanh Tím) - 100gr - 100</v>
      </c>
    </row>
    <row r="29">
      <c r="A29" s="86">
        <f>IFERROR(__xludf.DUMMYFUNCTION("""COMPUTED_VALUE"""),27.0)</f>
        <v>27</v>
      </c>
      <c r="B29" s="87" t="str">
        <f>IFERROR(__xludf.DUMMYFUNCTION("""COMPUTED_VALUE"""),"Thùng")</f>
        <v>Thùng</v>
      </c>
      <c r="C29" s="87" t="str">
        <f>IFERROR(__xludf.DUMMYFUNCTION("""COMPUTED_VALUE"""),"THC0028")</f>
        <v>THC0028</v>
      </c>
      <c r="D29" s="87" t="str">
        <f>IFERROR(__xludf.DUMMYFUNCTION("""COMPUTED_VALUE"""),"Thùng Dùng Chung PEST chai 250 ml x 40 chai - Nâu")</f>
        <v>Thùng Dùng Chung PEST chai 250 ml x 40 chai - Nâu</v>
      </c>
      <c r="E29" s="87" t="str">
        <f>IFERROR(__xludf.DUMMYFUNCTION("""COMPUTED_VALUE"""),"Creek 2.1EC")</f>
        <v>Creek 2.1EC</v>
      </c>
      <c r="F29" s="87" t="str">
        <f>IFERROR(__xludf.DUMMYFUNCTION("""COMPUTED_VALUE"""),"HH0028")</f>
        <v>HH0028</v>
      </c>
      <c r="G29" s="87" t="str">
        <f>IFERROR(__xludf.DUMMYFUNCTION("""COMPUTED_VALUE"""),"GC - II - 300 - Agriplant - Creek 2.1EC (chai vuông nhãn đỏ) - 450ml - 40")</f>
        <v>GC - II - 300 - Agriplant - Creek 2.1EC (chai vuông nhãn đỏ) - 450ml - 40</v>
      </c>
    </row>
    <row r="30">
      <c r="A30" s="86">
        <f>IFERROR(__xludf.DUMMYFUNCTION("""COMPUTED_VALUE"""),28.0)</f>
        <v>28</v>
      </c>
      <c r="B30" s="87" t="str">
        <f>IFERROR(__xludf.DUMMYFUNCTION("""COMPUTED_VALUE"""),"Thùng")</f>
        <v>Thùng</v>
      </c>
      <c r="C30" s="87" t="str">
        <f>IFERROR(__xludf.DUMMYFUNCTION("""COMPUTED_VALUE"""),"THI0029")</f>
        <v>THI0029</v>
      </c>
      <c r="D30" s="87" t="str">
        <f>IFERROR(__xludf.DUMMYFUNCTION("""COMPUTED_VALUE"""),"Thùng IDA 100gr x100 gói Thalonil ( 47.5x41.5x28cm)")</f>
        <v>Thùng IDA 100gr x100 gói Thalonil ( 47.5x41.5x28cm)</v>
      </c>
      <c r="E30" s="87" t="str">
        <f>IFERROR(__xludf.DUMMYFUNCTION("""COMPUTED_VALUE"""),"NPK Bổ sung Vi lượng Basel NPK 6-16-3 IDA 15")</f>
        <v>NPK Bổ sung Vi lượng Basel NPK 6-16-3 IDA 15</v>
      </c>
      <c r="F30" s="87" t="str">
        <f>IFERROR(__xludf.DUMMYFUNCTION("""COMPUTED_VALUE"""),"HH0029")</f>
        <v>HH0029</v>
      </c>
      <c r="G30" s="87" t="str">
        <f>IFERROR(__xludf.DUMMYFUNCTION("""COMPUTED_VALUE"""),"GC - I - 301 - Dưỡng chất vô cơ chuyên sầu riêng - 500ml - 40")</f>
        <v>GC - I - 301 - Dưỡng chất vô cơ chuyên sầu riêng - 500ml - 40</v>
      </c>
    </row>
    <row r="31">
      <c r="A31" s="86">
        <f>IFERROR(__xludf.DUMMYFUNCTION("""COMPUTED_VALUE"""),29.0)</f>
        <v>29</v>
      </c>
      <c r="B31" s="87" t="str">
        <f>IFERROR(__xludf.DUMMYFUNCTION("""COMPUTED_VALUE"""),"Thùng")</f>
        <v>Thùng</v>
      </c>
      <c r="C31" s="87" t="str">
        <f>IFERROR(__xludf.DUMMYFUNCTION("""COMPUTED_VALUE"""),"THC0030")</f>
        <v>THC0030</v>
      </c>
      <c r="D31" s="87" t="str">
        <f>IFERROR(__xludf.DUMMYFUNCTION("""COMPUTED_VALUE"""),"Thùng dùng chung HL túi nhôm 250gr x 60 gói - nâu")</f>
        <v>Thùng dùng chung HL túi nhôm 250gr x 60 gói - nâu</v>
      </c>
      <c r="E31" s="87" t="str">
        <f>IFERROR(__xludf.DUMMYFUNCTION("""COMPUTED_VALUE"""),"Vi lượng Basel IDA 46")</f>
        <v>Vi lượng Basel IDA 46</v>
      </c>
      <c r="F31" s="87" t="str">
        <f>IFERROR(__xludf.DUMMYFUNCTION("""COMPUTED_VALUE"""),"HH0030")</f>
        <v>HH0030</v>
      </c>
      <c r="G31" s="87" t="str">
        <f>IFERROR(__xludf.DUMMYFUNCTION("""COMPUTED_VALUE"""),"GC - I - 302 - Dưỡng cây xanh lá - 500ml - 40")</f>
        <v>GC - I - 302 - Dưỡng cây xanh lá - 500ml - 40</v>
      </c>
    </row>
    <row r="32">
      <c r="A32" s="86">
        <f>IFERROR(__xludf.DUMMYFUNCTION("""COMPUTED_VALUE"""),30.0)</f>
        <v>30</v>
      </c>
      <c r="B32" s="87" t="str">
        <f>IFERROR(__xludf.DUMMYFUNCTION("""COMPUTED_VALUE"""),"Thùng")</f>
        <v>Thùng</v>
      </c>
      <c r="C32" s="87" t="str">
        <f>IFERROR(__xludf.DUMMYFUNCTION("""COMPUTED_VALUE"""),"THC0031")</f>
        <v>THC0031</v>
      </c>
      <c r="D32" s="87" t="str">
        <f>IFERROR(__xludf.DUMMYFUNCTION("""COMPUTED_VALUE"""),"Thùng dùng chung HL túi nhôm 500gr x 30 gói - nâu")</f>
        <v>Thùng dùng chung HL túi nhôm 500gr x 30 gói - nâu</v>
      </c>
      <c r="E32" s="87" t="str">
        <f>IFERROR(__xludf.DUMMYFUNCTION("""COMPUTED_VALUE"""),"Creek 2.1EC")</f>
        <v>Creek 2.1EC</v>
      </c>
      <c r="F32" s="87" t="str">
        <f>IFERROR(__xludf.DUMMYFUNCTION("""COMPUTED_VALUE"""),"HH0031")</f>
        <v>HH0031</v>
      </c>
      <c r="G32" s="87" t="str">
        <f>IFERROR(__xludf.DUMMYFUNCTION("""COMPUTED_VALUE"""),"GC - I - 304 - Thiên Di Creek 2.1EC (chai pet vuông) - 400ml - 40")</f>
        <v>GC - I - 304 - Thiên Di Creek 2.1EC (chai pet vuông) - 400ml - 40</v>
      </c>
    </row>
    <row r="33">
      <c r="A33" s="86">
        <f>IFERROR(__xludf.DUMMYFUNCTION("""COMPUTED_VALUE"""),31.0)</f>
        <v>31</v>
      </c>
      <c r="B33" s="87" t="str">
        <f>IFERROR(__xludf.DUMMYFUNCTION("""COMPUTED_VALUE"""),"Thùng")</f>
        <v>Thùng</v>
      </c>
      <c r="C33" s="87" t="str">
        <f>IFERROR(__xludf.DUMMYFUNCTION("""COMPUTED_VALUE"""),"THC0032")</f>
        <v>THC0032</v>
      </c>
      <c r="D33" s="87" t="str">
        <f>IFERROR(__xludf.DUMMYFUNCTION("""COMPUTED_VALUE"""),"Thùng dùng chung AGRI-RC - nâu")</f>
        <v>Thùng dùng chung AGRI-RC - nâu</v>
      </c>
      <c r="E33" s="87" t="str">
        <f>IFERROR(__xludf.DUMMYFUNCTION("""COMPUTED_VALUE"""),"Acodyl 35WP")</f>
        <v>Acodyl 35WP</v>
      </c>
      <c r="F33" s="87" t="str">
        <f>IFERROR(__xludf.DUMMYFUNCTION("""COMPUTED_VALUE"""),"HH0032")</f>
        <v>HH0032</v>
      </c>
      <c r="G33" s="87" t="str">
        <f>IFERROR(__xludf.DUMMYFUNCTION("""COMPUTED_VALUE"""),"GC - I - 309 - Wettable Powder - 100gr - 100")</f>
        <v>GC - I - 309 - Wettable Powder - 100gr - 100</v>
      </c>
    </row>
    <row r="34">
      <c r="A34" s="86">
        <f>IFERROR(__xludf.DUMMYFUNCTION("""COMPUTED_VALUE"""),32.0)</f>
        <v>32</v>
      </c>
      <c r="B34" s="87" t="str">
        <f>IFERROR(__xludf.DUMMYFUNCTION("""COMPUTED_VALUE"""),"Thùng")</f>
        <v>Thùng</v>
      </c>
      <c r="C34" s="87" t="str">
        <f>IFERROR(__xludf.DUMMYFUNCTION("""COMPUTED_VALUE"""),"THC0033")</f>
        <v>THC0033</v>
      </c>
      <c r="D34" s="87" t="str">
        <f>IFERROR(__xludf.DUMMYFUNCTION("""COMPUTED_VALUE"""),"Thùng dùng chung THÁI NÔNG - nâu")</f>
        <v>Thùng dùng chung THÁI NÔNG - nâu</v>
      </c>
      <c r="E34" s="87" t="str">
        <f>IFERROR(__xludf.DUMMYFUNCTION("""COMPUTED_VALUE"""),"Creek 2.1EC")</f>
        <v>Creek 2.1EC</v>
      </c>
      <c r="F34" s="87" t="str">
        <f>IFERROR(__xludf.DUMMYFUNCTION("""COMPUTED_VALUE"""),"HH0033")</f>
        <v>HH0033</v>
      </c>
      <c r="G34" s="87" t="str">
        <f>IFERROR(__xludf.DUMMYFUNCTION("""COMPUTED_VALUE"""),"LOT IDA Global - I - 312 - Creek 2.1EC (chai pet vuông)- 450ml - 40")</f>
        <v>LOT IDA Global - I - 312 - Creek 2.1EC (chai pet vuông)- 450ml - 40</v>
      </c>
    </row>
    <row r="35">
      <c r="A35" s="86">
        <f>IFERROR(__xludf.DUMMYFUNCTION("""COMPUTED_VALUE"""),33.0)</f>
        <v>33</v>
      </c>
      <c r="B35" s="87" t="str">
        <f>IFERROR(__xludf.DUMMYFUNCTION("""COMPUTED_VALUE"""),"Thùng")</f>
        <v>Thùng</v>
      </c>
      <c r="C35" s="87" t="str">
        <f>IFERROR(__xludf.DUMMYFUNCTION("""COMPUTED_VALUE"""),"THC0034")</f>
        <v>THC0034</v>
      </c>
      <c r="D35" s="87" t="str">
        <f>IFERROR(__xludf.DUMMYFUNCTION("""COMPUTED_VALUE"""),"Thùng dùng chung BASEL chai HD 500ml x 40 chai - nâu")</f>
        <v>Thùng dùng chung BASEL chai HD 500ml x 40 chai - nâu</v>
      </c>
      <c r="E35" s="87" t="str">
        <f>IFERROR(__xludf.DUMMYFUNCTION("""COMPUTED_VALUE"""),"Pro-tin 480EC")</f>
        <v>Pro-tin 480EC</v>
      </c>
      <c r="F35" s="87" t="str">
        <f>IFERROR(__xludf.DUMMYFUNCTION("""COMPUTED_VALUE"""),"HH0034")</f>
        <v>HH0034</v>
      </c>
      <c r="G35" s="87" t="str">
        <f>IFERROR(__xludf.DUMMYFUNCTION("""COMPUTED_VALUE"""),"LOT IDA Global - I - 313.1 - Chlorpyrifos (xanh dương) (PET tròn)- 480ml - 40")</f>
        <v>LOT IDA Global - I - 313.1 - Chlorpyrifos (xanh dương) (PET tròn)- 480ml - 40</v>
      </c>
    </row>
    <row r="36">
      <c r="A36" s="86">
        <f>IFERROR(__xludf.DUMMYFUNCTION("""COMPUTED_VALUE"""),34.0)</f>
        <v>34</v>
      </c>
      <c r="B36" s="87" t="str">
        <f>IFERROR(__xludf.DUMMYFUNCTION("""COMPUTED_VALUE"""),"Thùng")</f>
        <v>Thùng</v>
      </c>
      <c r="C36" s="87" t="str">
        <f>IFERROR(__xludf.DUMMYFUNCTION("""COMPUTED_VALUE"""),"THC0035")</f>
        <v>THC0035</v>
      </c>
      <c r="D36" s="87" t="str">
        <f>IFERROR(__xludf.DUMMYFUNCTION("""COMPUTED_VALUE"""),"Thùng DC Basel Chai HD tròn 1L (cổ 39.3 (100gr)- HG03 - nâu")</f>
        <v>Thùng DC Basel Chai HD tròn 1L (cổ 39.3 (100gr)- HG03 - nâu</v>
      </c>
      <c r="E36" s="87" t="str">
        <f>IFERROR(__xludf.DUMMYFUNCTION("""COMPUTED_VALUE"""),"Vi lượng Basel IDA 46")</f>
        <v>Vi lượng Basel IDA 46</v>
      </c>
      <c r="F36" s="87" t="str">
        <f>IFERROR(__xludf.DUMMYFUNCTION("""COMPUTED_VALUE"""),"HH0035")</f>
        <v>HH0035</v>
      </c>
      <c r="G36" s="87" t="str">
        <f>IFERROR(__xludf.DUMMYFUNCTION("""COMPUTED_VALUE"""),"GC - II - 320.1 - AU - Diệp Lục Tố (Túi Trục) - 50ml - 200")</f>
        <v>GC - II - 320.1 - AU - Diệp Lục Tố (Túi Trục) - 50ml - 200</v>
      </c>
    </row>
    <row r="37">
      <c r="A37" s="86">
        <f>IFERROR(__xludf.DUMMYFUNCTION("""COMPUTED_VALUE"""),35.0)</f>
        <v>35</v>
      </c>
      <c r="B37" s="87" t="str">
        <f>IFERROR(__xludf.DUMMYFUNCTION("""COMPUTED_VALUE"""),"Thùng")</f>
        <v>Thùng</v>
      </c>
      <c r="C37" s="87" t="str">
        <f>IFERROR(__xludf.DUMMYFUNCTION("""COMPUTED_VALUE"""),"THC0036")</f>
        <v>THC0036</v>
      </c>
      <c r="D37" s="87" t="str">
        <f>IFERROR(__xludf.DUMMYFUNCTION("""COMPUTED_VALUE"""),"Thùng DC Basel Chai HDPE tròn cổ 50 500ml (65gr) - HG08 - nâu")</f>
        <v>Thùng DC Basel Chai HDPE tròn cổ 50 500ml (65gr) - HG08 - nâu</v>
      </c>
      <c r="E37" s="87" t="str">
        <f>IFERROR(__xludf.DUMMYFUNCTION("""COMPUTED_VALUE"""),"Vi lượng Basel IDA 46")</f>
        <v>Vi lượng Basel IDA 46</v>
      </c>
      <c r="F37" s="87" t="str">
        <f>IFERROR(__xludf.DUMMYFUNCTION("""COMPUTED_VALUE"""),"HH0036")</f>
        <v>HH0036</v>
      </c>
      <c r="G37" s="87" t="str">
        <f>IFERROR(__xludf.DUMMYFUNCTION("""COMPUTED_VALUE"""),"IDA Global - I - 324 - Chito M55 - 500ml - 40")</f>
        <v>IDA Global - I - 324 - Chito M55 - 500ml - 40</v>
      </c>
    </row>
    <row r="38">
      <c r="A38" s="86">
        <f>IFERROR(__xludf.DUMMYFUNCTION("""COMPUTED_VALUE"""),36.0)</f>
        <v>36</v>
      </c>
      <c r="B38" s="87" t="str">
        <f>IFERROR(__xludf.DUMMYFUNCTION("""COMPUTED_VALUE"""),"Thùng")</f>
        <v>Thùng</v>
      </c>
      <c r="C38" s="87" t="str">
        <f>IFERROR(__xludf.DUMMYFUNCTION("""COMPUTED_VALUE"""),"THI0037")</f>
        <v>THI0037</v>
      </c>
      <c r="D38" s="87" t="str">
        <f>IFERROR(__xludf.DUMMYFUNCTION("""COMPUTED_VALUE"""),"Thùng IDA 1kg x 25 gói (40 chai) - trắng - 59x38x21")</f>
        <v>Thùng IDA 1kg x 25 gói (40 chai) - trắng - 59x38x21</v>
      </c>
      <c r="E38" s="87" t="str">
        <f>IFERROR(__xludf.DUMMYFUNCTION("""COMPUTED_VALUE"""),"Vi lượng Basel DANA 20")</f>
        <v>Vi lượng Basel DANA 20</v>
      </c>
      <c r="F38" s="87" t="str">
        <f>IFERROR(__xludf.DUMMYFUNCTION("""COMPUTED_VALUE"""),"HH0037")</f>
        <v>HH0037</v>
      </c>
      <c r="G38" s="87" t="str">
        <f>IFERROR(__xludf.DUMMYFUNCTION("""COMPUTED_VALUE"""),"GC - I - 326 - CTP - Viên sủi to hạt Trúng mùa số 1 - 5gr - 1000")</f>
        <v>GC - I - 326 - CTP - Viên sủi to hạt Trúng mùa số 1 - 5gr - 1000</v>
      </c>
    </row>
    <row r="39">
      <c r="A39" s="86">
        <f>IFERROR(__xludf.DUMMYFUNCTION("""COMPUTED_VALUE"""),37.0)</f>
        <v>37</v>
      </c>
      <c r="B39" s="87" t="str">
        <f>IFERROR(__xludf.DUMMYFUNCTION("""COMPUTED_VALUE"""),"Thùng")</f>
        <v>Thùng</v>
      </c>
      <c r="C39" s="87" t="str">
        <f>IFERROR(__xludf.DUMMYFUNCTION("""COMPUTED_VALUE"""),"THC0038")</f>
        <v>THC0038</v>
      </c>
      <c r="D39" s="87" t="str">
        <f>IFERROR(__xludf.DUMMYFUNCTION("""COMPUTED_VALUE"""),"Thùng Dùng Chung PEST 100gr x 100 gói - nâu")</f>
        <v>Thùng Dùng Chung PEST 100gr x 100 gói - nâu</v>
      </c>
      <c r="E39" s="87" t="str">
        <f>IFERROR(__xludf.DUMMYFUNCTION("""COMPUTED_VALUE"""),"Vi lượng AV-CFC Plus")</f>
        <v>Vi lượng AV-CFC Plus</v>
      </c>
      <c r="F39" s="87" t="str">
        <f>IFERROR(__xludf.DUMMYFUNCTION("""COMPUTED_VALUE"""),"HH0038")</f>
        <v>HH0038</v>
      </c>
      <c r="G39" s="87" t="str">
        <f>IFERROR(__xludf.DUMMYFUNCTION("""COMPUTED_VALUE"""),"GC - II - 328 - Agriplant - Bio siêu đậu trái lớn trái xoài (Mới) - 500ml - 40")</f>
        <v>GC - II - 328 - Agriplant - Bio siêu đậu trái lớn trái xoài (Mới) - 500ml - 40</v>
      </c>
    </row>
    <row r="40">
      <c r="A40" s="86">
        <f>IFERROR(__xludf.DUMMYFUNCTION("""COMPUTED_VALUE"""),38.0)</f>
        <v>38</v>
      </c>
      <c r="B40" s="87" t="str">
        <f>IFERROR(__xludf.DUMMYFUNCTION("""COMPUTED_VALUE"""),"Thùng")</f>
        <v>Thùng</v>
      </c>
      <c r="C40" s="87" t="str">
        <f>IFERROR(__xludf.DUMMYFUNCTION("""COMPUTED_VALUE"""),"THC0039")</f>
        <v>THC0039</v>
      </c>
      <c r="D40" s="87" t="str">
        <f>IFERROR(__xludf.DUMMYFUNCTION("""COMPUTED_VALUE"""),"Thùng Dùng Chung Âu Việt")</f>
        <v>Thùng Dùng Chung Âu Việt</v>
      </c>
      <c r="E40" s="87" t="str">
        <f>IFERROR(__xludf.DUMMYFUNCTION("""COMPUTED_VALUE"""),"NPK Bổ sung Vi lượng Basel NPK 6-16-3 IDA 15")</f>
        <v>NPK Bổ sung Vi lượng Basel NPK 6-16-3 IDA 15</v>
      </c>
      <c r="F40" s="87" t="str">
        <f>IFERROR(__xludf.DUMMYFUNCTION("""COMPUTED_VALUE"""),"HH0039")</f>
        <v>HH0039</v>
      </c>
      <c r="G40" s="87" t="str">
        <f>IFERROR(__xludf.DUMMYFUNCTION("""COMPUTED_VALUE"""),"IDA Global - I - 349 - Ronado (mới)- 50ml - 300")</f>
        <v>IDA Global - I - 349 - Ronado (mới)- 50ml - 300</v>
      </c>
    </row>
    <row r="41">
      <c r="A41" s="86">
        <f>IFERROR(__xludf.DUMMYFUNCTION("""COMPUTED_VALUE"""),39.0)</f>
        <v>39</v>
      </c>
      <c r="B41" s="87" t="str">
        <f>IFERROR(__xludf.DUMMYFUNCTION("""COMPUTED_VALUE"""),"Thùng")</f>
        <v>Thùng</v>
      </c>
      <c r="C41" s="87" t="str">
        <f>IFERROR(__xludf.DUMMYFUNCTION("""COMPUTED_VALUE"""),"THC0040")</f>
        <v>THC0040</v>
      </c>
      <c r="D41" s="87" t="str">
        <f>IFERROR(__xludf.DUMMYFUNCTION("""COMPUTED_VALUE"""),"Thùng Dùng Chung An Nông")</f>
        <v>Thùng Dùng Chung An Nông</v>
      </c>
      <c r="E41" s="87" t="str">
        <f>IFERROR(__xludf.DUMMYFUNCTION("""COMPUTED_VALUE"""),"NPK Bổ sung Vi lượng Basel NPK 6-16-3 IDA 15")</f>
        <v>NPK Bổ sung Vi lượng Basel NPK 6-16-3 IDA 15</v>
      </c>
      <c r="F41" s="87" t="str">
        <f>IFERROR(__xludf.DUMMYFUNCTION("""COMPUTED_VALUE"""),"HH0040")</f>
        <v>HH0040</v>
      </c>
      <c r="G41" s="87" t="str">
        <f>IFERROR(__xludf.DUMMYFUNCTION("""COMPUTED_VALUE"""),"IDA Global - I - 351 - Ra rễ mập chồi (mới) - 50ml - 300")</f>
        <v>IDA Global - I - 351 - Ra rễ mập chồi (mới) - 50ml - 300</v>
      </c>
    </row>
    <row r="42">
      <c r="A42" s="86">
        <f>IFERROR(__xludf.DUMMYFUNCTION("""COMPUTED_VALUE"""),40.0)</f>
        <v>40</v>
      </c>
      <c r="B42" s="87" t="str">
        <f>IFERROR(__xludf.DUMMYFUNCTION("""COMPUTED_VALUE"""),"Thùng")</f>
        <v>Thùng</v>
      </c>
      <c r="C42" s="87" t="str">
        <f>IFERROR(__xludf.DUMMYFUNCTION("""COMPUTED_VALUE"""),"THC0041")</f>
        <v>THC0041</v>
      </c>
      <c r="D42" s="87" t="str">
        <f>IFERROR(__xludf.DUMMYFUNCTION("""COMPUTED_VALUE"""),"Thùng Dùng Chung RC - Nâu")</f>
        <v>Thùng Dùng Chung RC - Nâu</v>
      </c>
      <c r="E42" s="87" t="str">
        <f>IFERROR(__xludf.DUMMYFUNCTION("""COMPUTED_VALUE"""),"Leafroll 260SC")</f>
        <v>Leafroll 260SC</v>
      </c>
      <c r="F42" s="87" t="str">
        <f>IFERROR(__xludf.DUMMYFUNCTION("""COMPUTED_VALUE"""),"HH0041")</f>
        <v>HH0041</v>
      </c>
      <c r="G42" s="87" t="str">
        <f>IFERROR(__xludf.DUMMYFUNCTION("""COMPUTED_VALUE"""),"LOT IDA Global - I - 354 - Sức mạnh cá mập 260 - 120ml - 100")</f>
        <v>LOT IDA Global - I - 354 - Sức mạnh cá mập 260 - 120ml - 100</v>
      </c>
    </row>
    <row r="43">
      <c r="A43" s="86">
        <f>IFERROR(__xludf.DUMMYFUNCTION("""COMPUTED_VALUE"""),41.0)</f>
        <v>41</v>
      </c>
      <c r="B43" s="87" t="str">
        <f>IFERROR(__xludf.DUMMYFUNCTION("""COMPUTED_VALUE"""),"Thùng")</f>
        <v>Thùng</v>
      </c>
      <c r="C43" s="87" t="str">
        <f>IFERROR(__xludf.DUMMYFUNCTION("""COMPUTED_VALUE"""),"THC0042")</f>
        <v>THC0042</v>
      </c>
      <c r="D43" s="87" t="str">
        <f>IFERROR(__xludf.DUMMYFUNCTION("""COMPUTED_VALUE"""),"Thùng DC Thái Nông - 100gr x 100 gói - Nâu")</f>
        <v>Thùng DC Thái Nông - 100gr x 100 gói - Nâu</v>
      </c>
      <c r="E43" s="87" t="str">
        <f>IFERROR(__xludf.DUMMYFUNCTION("""COMPUTED_VALUE"""),"Vi lượng AV-CFC
(Dạng lỏng)")</f>
        <v>Vi lượng AV-CFC
(Dạng lỏng)</v>
      </c>
      <c r="F43" s="87" t="str">
        <f>IFERROR(__xludf.DUMMYFUNCTION("""COMPUTED_VALUE"""),"HH0042")</f>
        <v>HH0042</v>
      </c>
      <c r="G43" s="87" t="str">
        <f>IFERROR(__xludf.DUMMYFUNCTION("""COMPUTED_VALUE"""),"GC - II - 355 - AK - T-AK01 - 500ml - 40")</f>
        <v>GC - II - 355 - AK - T-AK01 - 500ml - 40</v>
      </c>
    </row>
    <row r="44">
      <c r="A44" s="86">
        <f>IFERROR(__xludf.DUMMYFUNCTION("""COMPUTED_VALUE"""),42.0)</f>
        <v>42</v>
      </c>
      <c r="B44" s="87" t="str">
        <f>IFERROR(__xludf.DUMMYFUNCTION("""COMPUTED_VALUE"""),"Thùng")</f>
        <v>Thùng</v>
      </c>
      <c r="C44" s="87" t="str">
        <f>IFERROR(__xludf.DUMMYFUNCTION("""COMPUTED_VALUE"""),"THC0043")</f>
        <v>THC0043</v>
      </c>
      <c r="D44" s="87" t="str">
        <f>IFERROR(__xludf.DUMMYFUNCTION("""COMPUTED_VALUE"""),"Thùng can 5 lít x 4 can (39*26*31.5cm) - Trắng")</f>
        <v>Thùng can 5 lít x 4 can (39*26*31.5cm) - Trắng</v>
      </c>
      <c r="E44" s="87" t="str">
        <f>IFERROR(__xludf.DUMMYFUNCTION("""COMPUTED_VALUE"""),"Vi lượng Basel IDA 49")</f>
        <v>Vi lượng Basel IDA 49</v>
      </c>
      <c r="F44" s="87" t="str">
        <f>IFERROR(__xludf.DUMMYFUNCTION("""COMPUTED_VALUE"""),"HH0043")</f>
        <v>HH0043</v>
      </c>
      <c r="G44" s="87" t="str">
        <f>IFERROR(__xludf.DUMMYFUNCTION("""COMPUTED_VALUE"""),"GC - II - 357 - AK - T-AK02 - 500ml - 40")</f>
        <v>GC - II - 357 - AK - T-AK02 - 500ml - 40</v>
      </c>
    </row>
    <row r="45">
      <c r="A45" s="86">
        <f>IFERROR(__xludf.DUMMYFUNCTION("""COMPUTED_VALUE"""),43.0)</f>
        <v>43</v>
      </c>
      <c r="B45" s="87" t="str">
        <f>IFERROR(__xludf.DUMMYFUNCTION("""COMPUTED_VALUE"""),"Thùng")</f>
        <v>Thùng</v>
      </c>
      <c r="C45" s="87" t="str">
        <f>IFERROR(__xludf.DUMMYFUNCTION("""COMPUTED_VALUE"""),"THC0044")</f>
        <v>THC0044</v>
      </c>
      <c r="D45" s="87" t="str">
        <f>IFERROR(__xludf.DUMMYFUNCTION("""COMPUTED_VALUE"""),"Thùng dùng chung BASEL chai PET tròn 500ml x 40 chai - nâu")</f>
        <v>Thùng dùng chung BASEL chai PET tròn 500ml x 40 chai - nâu</v>
      </c>
      <c r="E45" s="87" t="str">
        <f>IFERROR(__xludf.DUMMYFUNCTION("""COMPUTED_VALUE"""),"Vi lượng AV-CFC
(Dạng rắn)")</f>
        <v>Vi lượng AV-CFC
(Dạng rắn)</v>
      </c>
      <c r="F45" s="87" t="str">
        <f>IFERROR(__xludf.DUMMYFUNCTION("""COMPUTED_VALUE"""),"HH0044")</f>
        <v>HH0044</v>
      </c>
      <c r="G45" s="87" t="str">
        <f>IFERROR(__xludf.DUMMYFUNCTION("""COMPUTED_VALUE"""),"GC - II - 358 - Hoàng Thảo - HumiK - 1kg - 25")</f>
        <v>GC - II - 358 - Hoàng Thảo - HumiK - 1kg - 25</v>
      </c>
    </row>
    <row r="46">
      <c r="A46" s="86">
        <f>IFERROR(__xludf.DUMMYFUNCTION("""COMPUTED_VALUE"""),44.0)</f>
        <v>44</v>
      </c>
      <c r="B46" s="87" t="str">
        <f>IFERROR(__xludf.DUMMYFUNCTION("""COMPUTED_VALUE"""),"Thùng")</f>
        <v>Thùng</v>
      </c>
      <c r="C46" s="87" t="str">
        <f>IFERROR(__xludf.DUMMYFUNCTION("""COMPUTED_VALUE"""),"THC0045")</f>
        <v>THC0045</v>
      </c>
      <c r="D46" s="87" t="str">
        <f>IFERROR(__xludf.DUMMYFUNCTION("""COMPUTED_VALUE"""),"Thùng DC Agri RC - 100ml x 100 chai - Nâu")</f>
        <v>Thùng DC Agri RC - 100ml x 100 chai - Nâu</v>
      </c>
      <c r="E46" s="87" t="str">
        <f>IFERROR(__xludf.DUMMYFUNCTION("""COMPUTED_VALUE"""),"Vi lượng Basel DANA 20")</f>
        <v>Vi lượng Basel DANA 20</v>
      </c>
      <c r="F46" s="87" t="str">
        <f>IFERROR(__xludf.DUMMYFUNCTION("""COMPUTED_VALUE"""),"HH0045")</f>
        <v>HH0045</v>
      </c>
      <c r="G46" s="87" t="str">
        <f>IFERROR(__xludf.DUMMYFUNCTION("""COMPUTED_VALUE"""),"GC - I - 359 - AU - Stronger Plus - 500ml - 40")</f>
        <v>GC - I - 359 - AU - Stronger Plus - 500ml - 40</v>
      </c>
    </row>
    <row r="47">
      <c r="A47" s="86">
        <f>IFERROR(__xludf.DUMMYFUNCTION("""COMPUTED_VALUE"""),45.0)</f>
        <v>45</v>
      </c>
      <c r="B47" s="87" t="str">
        <f>IFERROR(__xludf.DUMMYFUNCTION("""COMPUTED_VALUE"""),"Thùng")</f>
        <v>Thùng</v>
      </c>
      <c r="C47" s="87" t="str">
        <f>IFERROR(__xludf.DUMMYFUNCTION("""COMPUTED_VALUE"""),"THC0046")</f>
        <v>THC0046</v>
      </c>
      <c r="D47" s="87" t="str">
        <f>IFERROR(__xludf.DUMMYFUNCTION("""COMPUTED_VALUE"""),"Thùng DC Basel 200 gói - nâu")</f>
        <v>Thùng DC Basel 200 gói - nâu</v>
      </c>
      <c r="E47" s="87" t="str">
        <f>IFERROR(__xludf.DUMMYFUNCTION("""COMPUTED_VALUE"""),"Vi lượng AV-VINA US-BOKALI")</f>
        <v>Vi lượng AV-VINA US-BOKALI</v>
      </c>
      <c r="F47" s="87" t="str">
        <f>IFERROR(__xludf.DUMMYFUNCTION("""COMPUTED_VALUE"""),"HH0046")</f>
        <v>HH0046</v>
      </c>
      <c r="G47" s="87" t="str">
        <f>IFERROR(__xludf.DUMMYFUNCTION("""COMPUTED_VALUE"""),"GC - II -361 - Kali Sữa - 500ml - 40")</f>
        <v>GC - II -361 - Kali Sữa - 500ml - 40</v>
      </c>
    </row>
    <row r="48">
      <c r="A48" s="86">
        <f>IFERROR(__xludf.DUMMYFUNCTION("""COMPUTED_VALUE"""),46.0)</f>
        <v>46</v>
      </c>
      <c r="B48" s="87" t="str">
        <f>IFERROR(__xludf.DUMMYFUNCTION("""COMPUTED_VALUE"""),"Thùng")</f>
        <v>Thùng</v>
      </c>
      <c r="C48" s="87" t="str">
        <f>IFERROR(__xludf.DUMMYFUNCTION("""COMPUTED_VALUE"""),"THI0047")</f>
        <v>THI0047</v>
      </c>
      <c r="D48" s="87" t="str">
        <f>IFERROR(__xludf.DUMMYFUNCTION("""COMPUTED_VALUE"""),"Thùng IDA 1kg x 25 gói (40 chai) - xanh lá - 59x38x21")</f>
        <v>Thùng IDA 1kg x 25 gói (40 chai) - xanh lá - 59x38x21</v>
      </c>
      <c r="E48" s="87" t="str">
        <f>IFERROR(__xludf.DUMMYFUNCTION("""COMPUTED_VALUE"""),"Tiger five 6.5EC")</f>
        <v>Tiger five 6.5EC</v>
      </c>
      <c r="F48" s="87" t="str">
        <f>IFERROR(__xludf.DUMMYFUNCTION("""COMPUTED_VALUE"""),"HH0047")</f>
        <v>HH0047</v>
      </c>
      <c r="G48" s="87" t="str">
        <f>IFERROR(__xludf.DUMMYFUNCTION("""COMPUTED_VALUE"""),"GC - I - 363 - AU - Diệt sạch sâu - nhện AGC (Chai nhôm đỏ) - 220ml - 40")</f>
        <v>GC - I - 363 - AU - Diệt sạch sâu - nhện AGC (Chai nhôm đỏ) - 220ml - 40</v>
      </c>
    </row>
    <row r="49">
      <c r="A49" s="86">
        <f>IFERROR(__xludf.DUMMYFUNCTION("""COMPUTED_VALUE"""),47.0)</f>
        <v>47</v>
      </c>
      <c r="B49" s="87" t="str">
        <f>IFERROR(__xludf.DUMMYFUNCTION("""COMPUTED_VALUE"""),"Thùng")</f>
        <v>Thùng</v>
      </c>
      <c r="C49" s="87" t="str">
        <f>IFERROR(__xludf.DUMMYFUNCTION("""COMPUTED_VALUE"""),"THC0048")</f>
        <v>THC0048</v>
      </c>
      <c r="D49" s="87" t="str">
        <f>IFERROR(__xludf.DUMMYFUNCTION("""COMPUTED_VALUE"""),"Thùng DC RC 100gr x 100 gói - nâu - 46x39x19")</f>
        <v>Thùng DC RC 100gr x 100 gói - nâu - 46x39x19</v>
      </c>
      <c r="E49" s="87" t="str">
        <f>IFERROR(__xludf.DUMMYFUNCTION("""COMPUTED_VALUE"""),"Vi lượng AV-CFC
(Dạng rắn)")</f>
        <v>Vi lượng AV-CFC
(Dạng rắn)</v>
      </c>
      <c r="F49" s="87" t="str">
        <f>IFERROR(__xludf.DUMMYFUNCTION("""COMPUTED_VALUE"""),"HH0048")</f>
        <v>HH0048</v>
      </c>
      <c r="G49" s="87" t="str">
        <f>IFERROR(__xludf.DUMMYFUNCTION("""COMPUTED_VALUE"""),"IDA Global - I - 365.1 - Humi Total (Xanh Dương) - 1kg - 25")</f>
        <v>IDA Global - I - 365.1 - Humi Total (Xanh Dương) - 1kg - 25</v>
      </c>
    </row>
    <row r="50">
      <c r="A50" s="86">
        <f>IFERROR(__xludf.DUMMYFUNCTION("""COMPUTED_VALUE"""),48.0)</f>
        <v>48</v>
      </c>
      <c r="B50" s="87" t="str">
        <f>IFERROR(__xludf.DUMMYFUNCTION("""COMPUTED_VALUE"""),"Thùng")</f>
        <v>Thùng</v>
      </c>
      <c r="C50" s="87" t="str">
        <f>IFERROR(__xludf.DUMMYFUNCTION("""COMPUTED_VALUE"""),"THC0049")</f>
        <v>THC0049</v>
      </c>
      <c r="D50" s="87" t="str">
        <f>IFERROR(__xludf.DUMMYFUNCTION("""COMPUTED_VALUE"""),"Thùng (CPT0005) Basel 500ml x 40 chai - nâu")</f>
        <v>Thùng (CPT0005) Basel 500ml x 40 chai - nâu</v>
      </c>
      <c r="E50" s="87" t="str">
        <f>IFERROR(__xludf.DUMMYFUNCTION("""COMPUTED_VALUE"""),"Vi lượng Basel DANA 20")</f>
        <v>Vi lượng Basel DANA 20</v>
      </c>
      <c r="F50" s="87" t="str">
        <f>IFERROR(__xludf.DUMMYFUNCTION("""COMPUTED_VALUE"""),"HH0049")</f>
        <v>HH0049</v>
      </c>
      <c r="G50" s="87" t="str">
        <f>IFERROR(__xludf.DUMMYFUNCTION("""COMPUTED_VALUE"""),"GC - I - 367 - AU - BOZINC - 500ml - 40")</f>
        <v>GC - I - 367 - AU - BOZINC - 500ml - 40</v>
      </c>
    </row>
    <row r="51">
      <c r="A51" s="86">
        <f>IFERROR(__xludf.DUMMYFUNCTION("""COMPUTED_VALUE"""),49.0)</f>
        <v>49</v>
      </c>
      <c r="B51" s="87" t="str">
        <f>IFERROR(__xludf.DUMMYFUNCTION("""COMPUTED_VALUE"""),"Thùng")</f>
        <v>Thùng</v>
      </c>
      <c r="C51" s="87" t="str">
        <f>IFERROR(__xludf.DUMMYFUNCTION("""COMPUTED_VALUE"""),"THC0050")</f>
        <v>THC0050</v>
      </c>
      <c r="D51" s="87" t="str">
        <f>IFERROR(__xludf.DUMMYFUNCTION("""COMPUTED_VALUE"""),"Thùng dùng chung HL - 100gr x 100gói  (47.5x41.5x28cm) - Trắng")</f>
        <v>Thùng dùng chung HL - 100gr x 100gói  (47.5x41.5x28cm) - Trắng</v>
      </c>
      <c r="E51" s="87" t="str">
        <f>IFERROR(__xludf.DUMMYFUNCTION("""COMPUTED_VALUE"""),"Vi lượng Basel DANA 20")</f>
        <v>Vi lượng Basel DANA 20</v>
      </c>
      <c r="F51" s="87" t="str">
        <f>IFERROR(__xludf.DUMMYFUNCTION("""COMPUTED_VALUE"""),"HH0050")</f>
        <v>HH0050</v>
      </c>
      <c r="G51" s="87" t="str">
        <f>IFERROR(__xludf.DUMMYFUNCTION("""COMPUTED_VALUE"""),"GC - I - 368 - AU - Root Plus - 1lít - 20")</f>
        <v>GC - I - 368 - AU - Root Plus - 1lít - 20</v>
      </c>
    </row>
    <row r="52">
      <c r="A52" s="86">
        <f>IFERROR(__xludf.DUMMYFUNCTION("""COMPUTED_VALUE"""),50.0)</f>
        <v>50</v>
      </c>
      <c r="B52" s="87" t="str">
        <f>IFERROR(__xludf.DUMMYFUNCTION("""COMPUTED_VALUE"""),"Hộp")</f>
        <v>Hộp</v>
      </c>
      <c r="C52" s="87" t="str">
        <f>IFERROR(__xludf.DUMMYFUNCTION("""COMPUTED_VALUE"""),"HOP0002")</f>
        <v>HOP0002</v>
      </c>
      <c r="D52" s="87" t="str">
        <f>IFERROR(__xludf.DUMMYFUNCTION("""COMPUTED_VALUE"""),"Hộp DC Mầm Vàng - PIMPIM 75WP 100 (75) gói")</f>
        <v>Hộp DC Mầm Vàng - PIMPIM 75WP 100 (75) gói</v>
      </c>
      <c r="E52" s="87" t="str">
        <f>IFERROR(__xludf.DUMMYFUNCTION("""COMPUTED_VALUE"""),"Vi lượng AV-CFC Plus")</f>
        <v>Vi lượng AV-CFC Plus</v>
      </c>
      <c r="F52" s="87" t="str">
        <f>IFERROR(__xludf.DUMMYFUNCTION("""COMPUTED_VALUE"""),"HH0002")</f>
        <v>HH0002</v>
      </c>
      <c r="G52" s="87" t="str">
        <f>IFERROR(__xludf.DUMMYFUNCTION("""COMPUTED_VALUE"""),"GC - II - 374 - Dinh dưỡng 7in1 - 50ml - 200")</f>
        <v>GC - II - 374 - Dinh dưỡng 7in1 - 50ml - 200</v>
      </c>
    </row>
    <row r="53">
      <c r="A53" s="86">
        <f>IFERROR(__xludf.DUMMYFUNCTION("""COMPUTED_VALUE"""),51.0)</f>
        <v>51</v>
      </c>
      <c r="B53" s="87" t="str">
        <f>IFERROR(__xludf.DUMMYFUNCTION("""COMPUTED_VALUE"""),"Thùng")</f>
        <v>Thùng</v>
      </c>
      <c r="C53" s="87" t="str">
        <f>IFERROR(__xludf.DUMMYFUNCTION("""COMPUTED_VALUE"""),"THI0051")</f>
        <v>THI0051</v>
      </c>
      <c r="D53" s="87" t="str">
        <f>IFERROR(__xludf.DUMMYFUNCTION("""COMPUTED_VALUE"""),"Thùng IDA Chai HDPE/PAPE 200,240,250ml - 51x32x15 - Xanh lá")</f>
        <v>Thùng IDA Chai HDPE/PAPE 200,240,250ml - 51x32x15 - Xanh lá</v>
      </c>
      <c r="E53" s="87" t="str">
        <f>IFERROR(__xludf.DUMMYFUNCTION("""COMPUTED_VALUE"""),"Vi lượng AV2-963BOZIN")</f>
        <v>Vi lượng AV2-963BOZIN</v>
      </c>
      <c r="F53" s="87" t="str">
        <f>IFERROR(__xludf.DUMMYFUNCTION("""COMPUTED_VALUE"""),"HH0051")</f>
        <v>HH0051</v>
      </c>
      <c r="G53" s="87" t="str">
        <f>IFERROR(__xludf.DUMMYFUNCTION("""COMPUTED_VALUE"""),"GC - IV - 376 - Agriplant - Ra hoa xoài - 1kg - 25")</f>
        <v>GC - IV - 376 - Agriplant - Ra hoa xoài - 1kg - 25</v>
      </c>
    </row>
    <row r="54">
      <c r="A54" s="86">
        <f>IFERROR(__xludf.DUMMYFUNCTION("""COMPUTED_VALUE"""),52.0)</f>
        <v>52</v>
      </c>
      <c r="B54" s="87" t="str">
        <f>IFERROR(__xludf.DUMMYFUNCTION("""COMPUTED_VALUE"""),"Thùng")</f>
        <v>Thùng</v>
      </c>
      <c r="C54" s="87" t="str">
        <f>IFERROR(__xludf.DUMMYFUNCTION("""COMPUTED_VALUE"""),"THC0052")</f>
        <v>THC0052</v>
      </c>
      <c r="D54" s="87" t="str">
        <f>IFERROR(__xludf.DUMMYFUNCTION("""COMPUTED_VALUE"""),"Thùng dùng chung Mầm Vàng 400 - 600 &amp; 800 gói")</f>
        <v>Thùng dùng chung Mầm Vàng 400 - 600 &amp; 800 gói</v>
      </c>
      <c r="E54" s="87" t="str">
        <f>IFERROR(__xludf.DUMMYFUNCTION("""COMPUTED_VALUE"""),"Leafroll 260SC")</f>
        <v>Leafroll 260SC</v>
      </c>
      <c r="F54" s="87" t="str">
        <f>IFERROR(__xludf.DUMMYFUNCTION("""COMPUTED_VALUE"""),"HH0052")</f>
        <v>HH0052</v>
      </c>
      <c r="G54" s="87" t="str">
        <f>IFERROR(__xludf.DUMMYFUNCTION("""COMPUTED_VALUE"""),"IDA Global - I - 388 - YUMY Leafroll 260SC - 120ml - 100")</f>
        <v>IDA Global - I - 388 - YUMY Leafroll 260SC - 120ml - 100</v>
      </c>
    </row>
    <row r="55">
      <c r="A55" s="86">
        <f>IFERROR(__xludf.DUMMYFUNCTION("""COMPUTED_VALUE"""),53.0)</f>
        <v>53</v>
      </c>
      <c r="B55" s="87" t="str">
        <f>IFERROR(__xludf.DUMMYFUNCTION("""COMPUTED_VALUE"""),"Thùng")</f>
        <v>Thùng</v>
      </c>
      <c r="C55" s="87" t="str">
        <f>IFERROR(__xludf.DUMMYFUNCTION("""COMPUTED_VALUE"""),"THI0053")</f>
        <v>THI0053</v>
      </c>
      <c r="D55" s="87" t="str">
        <f>IFERROR(__xludf.DUMMYFUNCTION("""COMPUTED_VALUE"""),"Thùng IDA Chai Pet Cường Phát 450, 500ml x40 chai (49x31x23) - Xanh Lá")</f>
        <v>Thùng IDA Chai Pet Cường Phát 450, 500ml x40 chai (49x31x23) - Xanh Lá</v>
      </c>
      <c r="E55" s="87" t="str">
        <f>IFERROR(__xludf.DUMMYFUNCTION("""COMPUTED_VALUE"""),"Vi lượng AV-CFC
(Dạng rắn)")</f>
        <v>Vi lượng AV-CFC
(Dạng rắn)</v>
      </c>
      <c r="F55" s="87" t="str">
        <f>IFERROR(__xludf.DUMMYFUNCTION("""COMPUTED_VALUE"""),"HH0053")</f>
        <v>HH0053</v>
      </c>
      <c r="G55" s="87" t="str">
        <f>IFERROR(__xludf.DUMMYFUNCTION("""COMPUTED_VALUE"""),"IDA Global - I - 390.1 - Humi Total (nhãn viền cam) - 1kg - 25")</f>
        <v>IDA Global - I - 390.1 - Humi Total (nhãn viền cam) - 1kg - 25</v>
      </c>
    </row>
    <row r="56">
      <c r="A56" s="86">
        <f>IFERROR(__xludf.DUMMYFUNCTION("""COMPUTED_VALUE"""),54.0)</f>
        <v>54</v>
      </c>
      <c r="B56" s="87" t="str">
        <f>IFERROR(__xludf.DUMMYFUNCTION("""COMPUTED_VALUE"""),"Thùng")</f>
        <v>Thùng</v>
      </c>
      <c r="C56" s="87" t="str">
        <f>IFERROR(__xludf.DUMMYFUNCTION("""COMPUTED_VALUE"""),"THC0054")</f>
        <v>THC0054</v>
      </c>
      <c r="D56" s="87" t="str">
        <f>IFERROR(__xludf.DUMMYFUNCTION("""COMPUTED_VALUE"""),"Thùng dùng chung Huy Phát 40 chai, 120 gói, 300 gói (44x38.5x19) - Trắng")</f>
        <v>Thùng dùng chung Huy Phát 40 chai, 120 gói, 300 gói (44x38.5x19) - Trắng</v>
      </c>
      <c r="E56" s="87" t="str">
        <f>IFERROR(__xludf.DUMMYFUNCTION("""COMPUTED_VALUE"""),"Mekongvil 5SC")</f>
        <v>Mekongvil 5SC</v>
      </c>
      <c r="F56" s="87" t="str">
        <f>IFERROR(__xludf.DUMMYFUNCTION("""COMPUTED_VALUE"""),"HH0054")</f>
        <v>HH0054</v>
      </c>
      <c r="G56" s="87" t="str">
        <f>IFERROR(__xludf.DUMMYFUNCTION("""COMPUTED_VALUE"""),"GC - II - 391 - SH Mekongvil 5SC - 1 lít - 20")</f>
        <v>GC - II - 391 - SH Mekongvil 5SC - 1 lít - 20</v>
      </c>
    </row>
    <row r="57">
      <c r="A57" s="86">
        <f>IFERROR(__xludf.DUMMYFUNCTION("""COMPUTED_VALUE"""),55.0)</f>
        <v>55</v>
      </c>
      <c r="B57" s="87" t="str">
        <f>IFERROR(__xludf.DUMMYFUNCTION("""COMPUTED_VALUE"""),"Thùng")</f>
        <v>Thùng</v>
      </c>
      <c r="C57" s="87" t="str">
        <f>IFERROR(__xludf.DUMMYFUNCTION("""COMPUTED_VALUE"""),"THC0055")</f>
        <v>THC0055</v>
      </c>
      <c r="D57" s="87" t="str">
        <f>IFERROR(__xludf.DUMMYFUNCTION("""COMPUTED_VALUE"""),"Thùng DC Centertaner nhỏ 12,5gr x 250 gói (46.5x17x15) - Trắng")</f>
        <v>Thùng DC Centertaner nhỏ 12,5gr x 250 gói (46.5x17x15) - Trắng</v>
      </c>
      <c r="E57" s="87" t="str">
        <f>IFERROR(__xludf.DUMMYFUNCTION("""COMPUTED_VALUE"""),"Pim.Pim 75WP")</f>
        <v>Pim.Pim 75WP</v>
      </c>
      <c r="F57" s="87" t="str">
        <f>IFERROR(__xludf.DUMMYFUNCTION("""COMPUTED_VALUE"""),"HH0055")</f>
        <v>HH0055</v>
      </c>
      <c r="G57" s="87" t="str">
        <f>IFERROR(__xludf.DUMMYFUNCTION("""COMPUTED_VALUE"""),"GC - II - 392 - SH Pim.Pim 75WP - 100gr - 100")</f>
        <v>GC - II - 392 - SH Pim.Pim 75WP - 100gr - 100</v>
      </c>
    </row>
    <row r="58">
      <c r="A58" s="86">
        <f>IFERROR(__xludf.DUMMYFUNCTION("""COMPUTED_VALUE"""),56.0)</f>
        <v>56</v>
      </c>
      <c r="B58" s="87" t="str">
        <f>IFERROR(__xludf.DUMMYFUNCTION("""COMPUTED_VALUE"""),"Thùng")</f>
        <v>Thùng</v>
      </c>
      <c r="C58" s="87" t="str">
        <f>IFERROR(__xludf.DUMMYFUNCTION("""COMPUTED_VALUE"""),"THC0056")</f>
        <v>THC0056</v>
      </c>
      <c r="D58" s="87" t="str">
        <f>IFERROR(__xludf.DUMMYFUNCTION("""COMPUTED_VALUE"""),"Thùng DC Centertaner lớn 12,5gr x 500 gói (48.5x36.5x16.5) - Trắng")</f>
        <v>Thùng DC Centertaner lớn 12,5gr x 500 gói (48.5x36.5x16.5) - Trắng</v>
      </c>
      <c r="E58" s="87" t="str">
        <f>IFERROR(__xludf.DUMMYFUNCTION("""COMPUTED_VALUE"""),"Vi lượng Basel DANA 20")</f>
        <v>Vi lượng Basel DANA 20</v>
      </c>
      <c r="F58" s="87" t="str">
        <f>IFERROR(__xludf.DUMMYFUNCTION("""COMPUTED_VALUE"""),"HH0056")</f>
        <v>HH0056</v>
      </c>
      <c r="G58" s="87" t="str">
        <f>IFERROR(__xludf.DUMMYFUNCTION("""COMPUTED_VALUE"""),"GC - II - 394 - SH Siêu vô gạo - 65gr - 300")</f>
        <v>GC - II - 394 - SH Siêu vô gạo - 65gr - 300</v>
      </c>
    </row>
    <row r="59">
      <c r="A59" s="86">
        <f>IFERROR(__xludf.DUMMYFUNCTION("""COMPUTED_VALUE"""),57.0)</f>
        <v>57</v>
      </c>
      <c r="B59" s="87" t="str">
        <f>IFERROR(__xludf.DUMMYFUNCTION("""COMPUTED_VALUE"""),"Thùng")</f>
        <v>Thùng</v>
      </c>
      <c r="C59" s="87" t="str">
        <f>IFERROR(__xludf.DUMMYFUNCTION("""COMPUTED_VALUE"""),"THI0057")</f>
        <v>THI0057</v>
      </c>
      <c r="D59" s="87" t="str">
        <f>IFERROR(__xludf.DUMMYFUNCTION("""COMPUTED_VALUE"""),"Thùng IDA Centertaner 50gr x100gói  (48.5x36.5x16.5) - Xanh lá")</f>
        <v>Thùng IDA Centertaner 50gr x100gói  (48.5x36.5x16.5) - Xanh lá</v>
      </c>
      <c r="E59" s="87" t="str">
        <f>IFERROR(__xludf.DUMMYFUNCTION("""COMPUTED_VALUE"""),"Vi lượng Basel DANA 20")</f>
        <v>Vi lượng Basel DANA 20</v>
      </c>
      <c r="F59" s="87" t="str">
        <f>IFERROR(__xludf.DUMMYFUNCTION("""COMPUTED_VALUE"""),"HH0057")</f>
        <v>HH0057</v>
      </c>
      <c r="G59" s="87" t="str">
        <f>IFERROR(__xludf.DUMMYFUNCTION("""COMPUTED_VALUE"""),"GC - II - 396 - SH Rice+ - 65gr - 300")</f>
        <v>GC - II - 396 - SH Rice+ - 65gr - 300</v>
      </c>
    </row>
    <row r="60">
      <c r="A60" s="86">
        <f>IFERROR(__xludf.DUMMYFUNCTION("""COMPUTED_VALUE"""),58.0)</f>
        <v>58</v>
      </c>
      <c r="B60" s="87" t="str">
        <f>IFERROR(__xludf.DUMMYFUNCTION("""COMPUTED_VALUE"""),"Thùng")</f>
        <v>Thùng</v>
      </c>
      <c r="C60" s="87" t="str">
        <f>IFERROR(__xludf.DUMMYFUNCTION("""COMPUTED_VALUE"""),"THC0058")</f>
        <v>THC0058</v>
      </c>
      <c r="D60" s="87" t="str">
        <f>IFERROR(__xludf.DUMMYFUNCTION("""COMPUTED_VALUE"""),"Thùng DC Chai Pet Vuông cổ 28 100ml x 100 chai - (36.7x25.7x24) - Trắng")</f>
        <v>Thùng DC Chai Pet Vuông cổ 28 100ml x 100 chai - (36.7x25.7x24) - Trắng</v>
      </c>
      <c r="E60" s="87" t="str">
        <f>IFERROR(__xludf.DUMMYFUNCTION("""COMPUTED_VALUE"""),"Vi lượng Basel DANA 20")</f>
        <v>Vi lượng Basel DANA 20</v>
      </c>
      <c r="F60" s="87" t="str">
        <f>IFERROR(__xludf.DUMMYFUNCTION("""COMPUTED_VALUE"""),"HH0058")</f>
        <v>HH0058</v>
      </c>
      <c r="G60" s="87" t="str">
        <f>IFERROR(__xludf.DUMMYFUNCTION("""COMPUTED_VALUE"""),"GC - II - 397 - SH ROOT+ - 60ml - 300")</f>
        <v>GC - II - 397 - SH ROOT+ - 60ml - 300</v>
      </c>
    </row>
    <row r="61">
      <c r="A61" s="86">
        <f>IFERROR(__xludf.DUMMYFUNCTION("""COMPUTED_VALUE"""),59.0)</f>
        <v>59</v>
      </c>
      <c r="B61" s="87" t="str">
        <f>IFERROR(__xludf.DUMMYFUNCTION("""COMPUTED_VALUE"""),"Thùng")</f>
        <v>Thùng</v>
      </c>
      <c r="C61" s="87" t="str">
        <f>IFERROR(__xludf.DUMMYFUNCTION("""COMPUTED_VALUE"""),"THC0059")</f>
        <v>THC0059</v>
      </c>
      <c r="D61" s="87" t="str">
        <f>IFERROR(__xludf.DUMMYFUNCTION("""COMPUTED_VALUE"""),"Thùng carton can 5L - 4 can/thùng (50.5x26.5x35) - Nâu")</f>
        <v>Thùng carton can 5L - 4 can/thùng (50.5x26.5x35) - Nâu</v>
      </c>
      <c r="E61" s="87" t="str">
        <f>IFERROR(__xludf.DUMMYFUNCTION("""COMPUTED_VALUE"""),"Oxycin 100WP")</f>
        <v>Oxycin 100WP</v>
      </c>
      <c r="F61" s="87" t="str">
        <f>IFERROR(__xludf.DUMMYFUNCTION("""COMPUTED_VALUE"""),"HH0059")</f>
        <v>HH0059</v>
      </c>
      <c r="G61" s="87" t="str">
        <f>IFERROR(__xludf.DUMMYFUNCTION("""COMPUTED_VALUE"""),"GC - II - 398 - Luta Siêu diệt vi khuẩn - 25gr - 300")</f>
        <v>GC - II - 398 - Luta Siêu diệt vi khuẩn - 25gr - 300</v>
      </c>
    </row>
    <row r="62">
      <c r="A62" s="86">
        <f>IFERROR(__xludf.DUMMYFUNCTION("""COMPUTED_VALUE"""),60.0)</f>
        <v>60</v>
      </c>
      <c r="B62" s="87" t="str">
        <f>IFERROR(__xludf.DUMMYFUNCTION("""COMPUTED_VALUE"""),"Thùng")</f>
        <v>Thùng</v>
      </c>
      <c r="C62" s="87" t="str">
        <f>IFERROR(__xludf.DUMMYFUNCTION("""COMPUTED_VALUE"""),"THC0060")</f>
        <v>THC0060</v>
      </c>
      <c r="D62" s="87" t="str">
        <f>IFERROR(__xludf.DUMMYFUNCTION("""COMPUTED_VALUE"""),"Thùng dùng chung ABA Chai 250 ml x 40 chai (53x33x14,5) - Nâu")</f>
        <v>Thùng dùng chung ABA Chai 250 ml x 40 chai (53x33x14,5) - Nâu</v>
      </c>
      <c r="E62" s="87" t="str">
        <f>IFERROR(__xludf.DUMMYFUNCTION("""COMPUTED_VALUE"""),"Vi lượng Basel IDA 50")</f>
        <v>Vi lượng Basel IDA 50</v>
      </c>
      <c r="F62" s="87" t="str">
        <f>IFERROR(__xludf.DUMMYFUNCTION("""COMPUTED_VALUE"""),"HH0060")</f>
        <v>HH0060</v>
      </c>
      <c r="G62" s="87" t="str">
        <f>IFERROR(__xludf.DUMMYFUNCTION("""COMPUTED_VALUE"""),"IDA Global - I - 401.1 - Chito - M55 (drone) - 500ml - 40")</f>
        <v>IDA Global - I - 401.1 - Chito - M55 (drone) - 500ml - 40</v>
      </c>
    </row>
    <row r="63">
      <c r="A63" s="86">
        <f>IFERROR(__xludf.DUMMYFUNCTION("""COMPUTED_VALUE"""),61.0)</f>
        <v>61</v>
      </c>
      <c r="B63" s="87" t="str">
        <f>IFERROR(__xludf.DUMMYFUNCTION("""COMPUTED_VALUE"""),"Thùng")</f>
        <v>Thùng</v>
      </c>
      <c r="C63" s="87" t="str">
        <f>IFERROR(__xludf.DUMMYFUNCTION("""COMPUTED_VALUE"""),"THC0061")</f>
        <v>THC0061</v>
      </c>
      <c r="D63" s="87" t="str">
        <f>IFERROR(__xludf.DUMMYFUNCTION("""COMPUTED_VALUE"""),"Thùng dùng chung ABA Chai 450 ml x 30 chai (45.5x38x21cm) - Trắng")</f>
        <v>Thùng dùng chung ABA Chai 450 ml x 30 chai (45.5x38x21cm) - Trắng</v>
      </c>
      <c r="E63" s="87" t="str">
        <f>IFERROR(__xludf.DUMMYFUNCTION("""COMPUTED_VALUE"""),"Vi lượng Basel IDA 50")</f>
        <v>Vi lượng Basel IDA 50</v>
      </c>
      <c r="F63" s="87" t="str">
        <f>IFERROR(__xludf.DUMMYFUNCTION("""COMPUTED_VALUE"""),"HH0061")</f>
        <v>HH0061</v>
      </c>
      <c r="G63" s="87" t="str">
        <f>IFERROR(__xludf.DUMMYFUNCTION("""COMPUTED_VALUE"""),"IDA Global - I - 401.2 - Chito - M55 (drone) (mới)- 500ml - 40")</f>
        <v>IDA Global - I - 401.2 - Chito - M55 (drone) (mới)- 500ml - 40</v>
      </c>
    </row>
    <row r="64">
      <c r="A64" s="86">
        <f>IFERROR(__xludf.DUMMYFUNCTION("""COMPUTED_VALUE"""),62.0)</f>
        <v>62</v>
      </c>
      <c r="B64" s="87" t="str">
        <f>IFERROR(__xludf.DUMMYFUNCTION("""COMPUTED_VALUE"""),"Thùng")</f>
        <v>Thùng</v>
      </c>
      <c r="C64" s="87" t="str">
        <f>IFERROR(__xludf.DUMMYFUNCTION("""COMPUTED_VALUE"""),"THC0062")</f>
        <v>THC0062</v>
      </c>
      <c r="D64" s="87" t="str">
        <f>IFERROR(__xludf.DUMMYFUNCTION("""COMPUTED_VALUE"""),"Thùng dùng chung BASEL chai PET tròn 500ml x 30 chai - Nâu")</f>
        <v>Thùng dùng chung BASEL chai PET tròn 500ml x 30 chai - Nâu</v>
      </c>
      <c r="E64" s="87" t="str">
        <f>IFERROR(__xludf.DUMMYFUNCTION("""COMPUTED_VALUE"""),"Vi lượng AV-CFC Plus")</f>
        <v>Vi lượng AV-CFC Plus</v>
      </c>
      <c r="F64" s="87" t="str">
        <f>IFERROR(__xludf.DUMMYFUNCTION("""COMPUTED_VALUE"""),"HH0062")</f>
        <v>HH0062</v>
      </c>
      <c r="G64" s="87" t="str">
        <f>IFERROR(__xludf.DUMMYFUNCTION("""COMPUTED_VALUE"""),"GC - II - 407 - Agriplant - Bio Dưỡng Cây - Mập Chồi - 50ml - 200")</f>
        <v>GC - II - 407 - Agriplant - Bio Dưỡng Cây - Mập Chồi - 50ml - 200</v>
      </c>
    </row>
    <row r="65">
      <c r="A65" s="86">
        <f>IFERROR(__xludf.DUMMYFUNCTION("""COMPUTED_VALUE"""),63.0)</f>
        <v>63</v>
      </c>
      <c r="B65" s="87" t="str">
        <f>IFERROR(__xludf.DUMMYFUNCTION("""COMPUTED_VALUE"""),"Thùng")</f>
        <v>Thùng</v>
      </c>
      <c r="C65" s="87" t="str">
        <f>IFERROR(__xludf.DUMMYFUNCTION("""COMPUTED_VALUE"""),"THC0063")</f>
        <v>THC0063</v>
      </c>
      <c r="D65" s="87" t="str">
        <f>IFERROR(__xludf.DUMMYFUNCTION("""COMPUTED_VALUE"""),"Thùng dùng chung Kim Ngọc 10gr x 600 gói (56x31.5x47) - Trắng")</f>
        <v>Thùng dùng chung Kim Ngọc 10gr x 600 gói (56x31.5x47) - Trắng</v>
      </c>
      <c r="E65" s="87" t="str">
        <f>IFERROR(__xludf.DUMMYFUNCTION("""COMPUTED_VALUE"""),"Vi lượng Basel IDA 11")</f>
        <v>Vi lượng Basel IDA 11</v>
      </c>
      <c r="F65" s="87" t="str">
        <f>IFERROR(__xludf.DUMMYFUNCTION("""COMPUTED_VALUE"""),"HH0063")</f>
        <v>HH0063</v>
      </c>
      <c r="G65" s="87" t="str">
        <f>IFERROR(__xludf.DUMMYFUNCTION("""COMPUTED_VALUE"""),"GC - II - 408 - PH - Dr. Phoenix (clr) - 50gr - 300")</f>
        <v>GC - II - 408 - PH - Dr. Phoenix (clr) - 50gr - 300</v>
      </c>
    </row>
    <row r="66">
      <c r="A66" s="86">
        <f>IFERROR(__xludf.DUMMYFUNCTION("""COMPUTED_VALUE"""),64.0)</f>
        <v>64</v>
      </c>
      <c r="B66" s="87" t="str">
        <f>IFERROR(__xludf.DUMMYFUNCTION("""COMPUTED_VALUE"""),"Thùng")</f>
        <v>Thùng</v>
      </c>
      <c r="C66" s="87" t="str">
        <f>IFERROR(__xludf.DUMMYFUNCTION("""COMPUTED_VALUE"""),"THC0064")</f>
        <v>THC0064</v>
      </c>
      <c r="D66" s="87" t="str">
        <f>IFERROR(__xludf.DUMMYFUNCTION("""COMPUTED_VALUE"""),"Thùng dùng chung Kim Ngọc 10gr x 1000 gói (68x31.5x47) - Trắng")</f>
        <v>Thùng dùng chung Kim Ngọc 10gr x 1000 gói (68x31.5x47) - Trắng</v>
      </c>
      <c r="E66" s="87" t="str">
        <f>IFERROR(__xludf.DUMMYFUNCTION("""COMPUTED_VALUE"""),"Vi lượng AV-CFC Plus")</f>
        <v>Vi lượng AV-CFC Plus</v>
      </c>
      <c r="F66" s="87" t="str">
        <f>IFERROR(__xludf.DUMMYFUNCTION("""COMPUTED_VALUE"""),"HH0064")</f>
        <v>HH0064</v>
      </c>
      <c r="G66" s="87" t="str">
        <f>IFERROR(__xludf.DUMMYFUNCTION("""COMPUTED_VALUE"""),"GC - I - 410 - AU - Aqua Dưỡng Chất Hữu Cơ (Chuyên Ớt, Dưa Hấu)- 50ml - 200")</f>
        <v>GC - I - 410 - AU - Aqua Dưỡng Chất Hữu Cơ (Chuyên Ớt, Dưa Hấu)- 50ml - 200</v>
      </c>
    </row>
    <row r="67">
      <c r="A67" s="86">
        <f>IFERROR(__xludf.DUMMYFUNCTION("""COMPUTED_VALUE"""),65.0)</f>
        <v>65</v>
      </c>
      <c r="B67" s="87" t="str">
        <f>IFERROR(__xludf.DUMMYFUNCTION("""COMPUTED_VALUE"""),"Thùng")</f>
        <v>Thùng</v>
      </c>
      <c r="C67" s="87" t="str">
        <f>IFERROR(__xludf.DUMMYFUNCTION("""COMPUTED_VALUE"""),"THC0065")</f>
        <v>THC0065</v>
      </c>
      <c r="D67" s="87" t="str">
        <f>IFERROR(__xludf.DUMMYFUNCTION("""COMPUTED_VALUE"""),"Thùng PICOSUPER 280SC 250ml x 40chai  (49.5x30.5x15) - Xanh lá")</f>
        <v>Thùng PICOSUPER 280SC 250ml x 40chai  (49.5x30.5x15) - Xanh lá</v>
      </c>
      <c r="E67" s="87" t="str">
        <f>IFERROR(__xludf.DUMMYFUNCTION("""COMPUTED_VALUE"""),"Vi lượng Basel IDA 47")</f>
        <v>Vi lượng Basel IDA 47</v>
      </c>
      <c r="F67" s="87" t="str">
        <f>IFERROR(__xludf.DUMMYFUNCTION("""COMPUTED_VALUE"""),"HH0065")</f>
        <v>HH0065</v>
      </c>
      <c r="G67" s="87" t="str">
        <f>IFERROR(__xludf.DUMMYFUNCTION("""COMPUTED_VALUE"""),"IDA GLOBAL - I - 416 - Flower Top (drone) - 50ml - 300")</f>
        <v>IDA GLOBAL - I - 416 - Flower Top (drone) - 50ml - 300</v>
      </c>
    </row>
    <row r="68">
      <c r="A68" s="86">
        <f>IFERROR(__xludf.DUMMYFUNCTION("""COMPUTED_VALUE"""),66.0)</f>
        <v>66</v>
      </c>
      <c r="B68" s="87" t="str">
        <f>IFERROR(__xludf.DUMMYFUNCTION("""COMPUTED_VALUE"""),"Thùng")</f>
        <v>Thùng</v>
      </c>
      <c r="C68" s="87" t="str">
        <f>IFERROR(__xludf.DUMMYFUNCTION("""COMPUTED_VALUE"""),"THC0066")</f>
        <v>THC0066</v>
      </c>
      <c r="D68" s="87" t="str">
        <f>IFERROR(__xludf.DUMMYFUNCTION("""COMPUTED_VALUE"""),"Thùng dùng chung Âu Việt  1kg x25 gói  (64 x36.5 x23) - Vàng")</f>
        <v>Thùng dùng chung Âu Việt  1kg x25 gói  (64 x36.5 x23) - Vàng</v>
      </c>
      <c r="E68" s="87" t="str">
        <f>IFERROR(__xludf.DUMMYFUNCTION("""COMPUTED_VALUE"""),"Vi lượng Basel IDA 47")</f>
        <v>Vi lượng Basel IDA 47</v>
      </c>
      <c r="F68" s="87" t="str">
        <f>IFERROR(__xludf.DUMMYFUNCTION("""COMPUTED_VALUE"""),"HH0066")</f>
        <v>HH0066</v>
      </c>
      <c r="G68" s="87" t="str">
        <f>IFERROR(__xludf.DUMMYFUNCTION("""COMPUTED_VALUE"""),"IDA Global - I - 417.1 - Flower Top Chuyên Lúa Và Rau Màu (drone) (Chai CP) - 450ml - 40")</f>
        <v>IDA Global - I - 417.1 - Flower Top Chuyên Lúa Và Rau Màu (drone) (Chai CP) - 450ml - 40</v>
      </c>
    </row>
    <row r="69">
      <c r="A69" s="86">
        <f>IFERROR(__xludf.DUMMYFUNCTION("""COMPUTED_VALUE"""),67.0)</f>
        <v>67</v>
      </c>
      <c r="B69" s="87" t="str">
        <f>IFERROR(__xludf.DUMMYFUNCTION("""COMPUTED_VALUE"""),"Thùng")</f>
        <v>Thùng</v>
      </c>
      <c r="C69" s="87" t="str">
        <f>IFERROR(__xludf.DUMMYFUNCTION("""COMPUTED_VALUE"""),"THI0067")</f>
        <v>THI0067</v>
      </c>
      <c r="D69" s="87" t="str">
        <f>IFERROR(__xludf.DUMMYFUNCTION("""COMPUTED_VALUE"""),"Thùng IDA Winner - Flower Top (300 gói có hộp) (52.5x50.5x18.5) - Xanh lá")</f>
        <v>Thùng IDA Winner - Flower Top (300 gói có hộp) (52.5x50.5x18.5) - Xanh lá</v>
      </c>
      <c r="E69" s="87" t="str">
        <f>IFERROR(__xludf.DUMMYFUNCTION("""COMPUTED_VALUE"""),"Vi lượng Basel IDA 47")</f>
        <v>Vi lượng Basel IDA 47</v>
      </c>
      <c r="F69" s="87" t="str">
        <f>IFERROR(__xludf.DUMMYFUNCTION("""COMPUTED_VALUE"""),"HH0067")</f>
        <v>HH0067</v>
      </c>
      <c r="G69" s="87" t="str">
        <f>IFERROR(__xludf.DUMMYFUNCTION("""COMPUTED_VALUE"""),"IDA Global - I - 417.2 - Flower Top Chuyên Lúa Và Rau Màu (drone) (Chai CP) - 450ml - 40")</f>
        <v>IDA Global - I - 417.2 - Flower Top Chuyên Lúa Và Rau Màu (drone) (Chai CP) - 450ml - 40</v>
      </c>
    </row>
    <row r="70">
      <c r="A70" s="86">
        <f>IFERROR(__xludf.DUMMYFUNCTION("""COMPUTED_VALUE"""),68.0)</f>
        <v>68</v>
      </c>
      <c r="B70" s="87" t="str">
        <f>IFERROR(__xludf.DUMMYFUNCTION("""COMPUTED_VALUE"""),"Thùng")</f>
        <v>Thùng</v>
      </c>
      <c r="C70" s="87" t="str">
        <f>IFERROR(__xludf.DUMMYFUNCTION("""COMPUTED_VALUE"""),"THC0068")</f>
        <v>THC0068</v>
      </c>
      <c r="D70" s="87" t="str">
        <f>IFERROR(__xludf.DUMMYFUNCTION("""COMPUTED_VALUE"""),"Thùng DC Chai Pet Vuông 1 Lít x 20 chai - (40x36.5x23cm) - Trắng")</f>
        <v>Thùng DC Chai Pet Vuông 1 Lít x 20 chai - (40x36.5x23cm) - Trắng</v>
      </c>
      <c r="E70" s="87" t="str">
        <f>IFERROR(__xludf.DUMMYFUNCTION("""COMPUTED_VALUE"""),"Vi lượng Basel IDA 47")</f>
        <v>Vi lượng Basel IDA 47</v>
      </c>
      <c r="F70" s="87" t="str">
        <f>IFERROR(__xludf.DUMMYFUNCTION("""COMPUTED_VALUE"""),"HH0068")</f>
        <v>HH0068</v>
      </c>
      <c r="G70" s="87" t="str">
        <f>IFERROR(__xludf.DUMMYFUNCTION("""COMPUTED_VALUE"""),"IDA Global - I - 417.2 - Flower Top Chuyên Lúa Và Rau Màu (drone) (Chai CP) - 450ml - 40")</f>
        <v>IDA Global - I - 417.2 - Flower Top Chuyên Lúa Và Rau Màu (drone) (Chai CP) - 450ml - 40</v>
      </c>
    </row>
    <row r="71">
      <c r="A71" s="86">
        <f>IFERROR(__xludf.DUMMYFUNCTION("""COMPUTED_VALUE"""),69.0)</f>
        <v>69</v>
      </c>
      <c r="B71" s="87" t="str">
        <f>IFERROR(__xludf.DUMMYFUNCTION("""COMPUTED_VALUE"""),"Thùng")</f>
        <v>Thùng</v>
      </c>
      <c r="C71" s="87" t="str">
        <f>IFERROR(__xludf.DUMMYFUNCTION("""COMPUTED_VALUE"""),"THC0069")</f>
        <v>THC0069</v>
      </c>
      <c r="D71" s="87" t="str">
        <f>IFERROR(__xludf.DUMMYFUNCTION("""COMPUTED_VALUE"""),"Thùng dùng chung AgriA")</f>
        <v>Thùng dùng chung AgriA</v>
      </c>
      <c r="E71" s="87" t="str">
        <f>IFERROR(__xludf.DUMMYFUNCTION("""COMPUTED_VALUE"""),"Vi lượng Basel IDA 47")</f>
        <v>Vi lượng Basel IDA 47</v>
      </c>
      <c r="F71" s="87" t="str">
        <f>IFERROR(__xludf.DUMMYFUNCTION("""COMPUTED_VALUE"""),"HH0069")</f>
        <v>HH0069</v>
      </c>
      <c r="G71" s="87" t="str">
        <f>IFERROR(__xludf.DUMMYFUNCTION("""COMPUTED_VALUE"""),"IDA Global - I - 418.1 - Flower Top Chuyên cây ăn trái (drone) (Chai CP) - 450ml - 40")</f>
        <v>IDA Global - I - 418.1 - Flower Top Chuyên cây ăn trái (drone) (Chai CP) - 450ml - 40</v>
      </c>
    </row>
    <row r="72">
      <c r="A72" s="86">
        <f>IFERROR(__xludf.DUMMYFUNCTION("""COMPUTED_VALUE"""),70.0)</f>
        <v>70</v>
      </c>
      <c r="B72" s="87" t="str">
        <f>IFERROR(__xludf.DUMMYFUNCTION("""COMPUTED_VALUE"""),"Thùng")</f>
        <v>Thùng</v>
      </c>
      <c r="C72" s="87" t="str">
        <f>IFERROR(__xludf.DUMMYFUNCTION("""COMPUTED_VALUE"""),"THI0070")</f>
        <v>THI0070</v>
      </c>
      <c r="D72" s="87" t="str">
        <f>IFERROR(__xludf.DUMMYFUNCTION("""COMPUTED_VALUE"""),"Thùng IDA 30ml x 400 gói - (49.5x 43x 18.5) - Xanh lá")</f>
        <v>Thùng IDA 30ml x 400 gói - (49.5x 43x 18.5) - Xanh lá</v>
      </c>
      <c r="E72" s="87" t="str">
        <f>IFERROR(__xludf.DUMMYFUNCTION("""COMPUTED_VALUE"""),"NPK Bổ sung Vi lượng Basel NPK 6-6-8 IDA 33")</f>
        <v>NPK Bổ sung Vi lượng Basel NPK 6-6-8 IDA 33</v>
      </c>
      <c r="F72" s="87" t="str">
        <f>IFERROR(__xludf.DUMMYFUNCTION("""COMPUTED_VALUE"""),"HH0070")</f>
        <v>HH0070</v>
      </c>
      <c r="G72" s="87" t="str">
        <f>IFERROR(__xludf.DUMMYFUNCTION("""COMPUTED_VALUE"""),"IDA Global - I - 419.1 - Ronado (drone) (mới)- 450ml - 40")</f>
        <v>IDA Global - I - 419.1 - Ronado (drone) (mới)- 450ml - 40</v>
      </c>
    </row>
    <row r="73">
      <c r="A73" s="86">
        <f>IFERROR(__xludf.DUMMYFUNCTION("""COMPUTED_VALUE"""),71.0)</f>
        <v>71</v>
      </c>
      <c r="B73" s="87" t="str">
        <f>IFERROR(__xludf.DUMMYFUNCTION("""COMPUTED_VALUE"""),"Hộp")</f>
        <v>Hộp</v>
      </c>
      <c r="C73" s="87" t="str">
        <f>IFERROR(__xludf.DUMMYFUNCTION("""COMPUTED_VALUE"""),"HOP1289")</f>
        <v>HOP1289</v>
      </c>
      <c r="D73" s="87" t="str">
        <f>IFERROR(__xludf.DUMMYFUNCTION("""COMPUTED_VALUE"""),"Hộp World Green - Newfuze 200SC - SAU KHANG 20ml 1289 - 10 (9.5x6x14.5cm)")</f>
        <v>Hộp World Green - Newfuze 200SC - SAU KHANG 20ml 1289 - 10 (9.5x6x14.5cm)</v>
      </c>
      <c r="E73" s="87" t="str">
        <f>IFERROR(__xludf.DUMMYFUNCTION("""COMPUTED_VALUE"""),"NPK Bổ sung Vi lượng Basel NPK 6-6-8 IDA 33")</f>
        <v>NPK Bổ sung Vi lượng Basel NPK 6-6-8 IDA 33</v>
      </c>
      <c r="F73" s="87" t="str">
        <f>IFERROR(__xludf.DUMMYFUNCTION("""COMPUTED_VALUE"""),"HH1289")</f>
        <v>HH1289</v>
      </c>
      <c r="G73" s="87" t="str">
        <f>IFERROR(__xludf.DUMMYFUNCTION("""COMPUTED_VALUE"""),"IDA Global - I - 420 - Ronado (drone) - 50ml - 300")</f>
        <v>IDA Global - I - 420 - Ronado (drone) - 50ml - 300</v>
      </c>
    </row>
    <row r="74">
      <c r="A74" s="86">
        <f>IFERROR(__xludf.DUMMYFUNCTION("""COMPUTED_VALUE"""),72.0)</f>
        <v>72</v>
      </c>
      <c r="B74" s="87" t="str">
        <f>IFERROR(__xludf.DUMMYFUNCTION("""COMPUTED_VALUE"""),"Hộp")</f>
        <v>Hộp</v>
      </c>
      <c r="C74" s="87" t="str">
        <f>IFERROR(__xludf.DUMMYFUNCTION("""COMPUTED_VALUE"""),"HOP1290")</f>
        <v>HOP1290</v>
      </c>
      <c r="D74" s="87" t="str">
        <f>IFERROR(__xludf.DUMMYFUNCTION("""COMPUTED_VALUE"""),"Hộp World Green - Newfuze 200SC - SAU TO 15ml 1290 - 10 (9.5x6x14.5cm)")</f>
        <v>Hộp World Green - Newfuze 200SC - SAU TO 15ml 1290 - 10 (9.5x6x14.5cm)</v>
      </c>
      <c r="E74" s="87" t="str">
        <f>IFERROR(__xludf.DUMMYFUNCTION("""COMPUTED_VALUE"""),"Vi lượng Basel IDA 49")</f>
        <v>Vi lượng Basel IDA 49</v>
      </c>
      <c r="F74" s="87" t="str">
        <f>IFERROR(__xludf.DUMMYFUNCTION("""COMPUTED_VALUE"""),"HH1290")</f>
        <v>HH1290</v>
      </c>
      <c r="G74" s="87" t="str">
        <f>IFERROR(__xludf.DUMMYFUNCTION("""COMPUTED_VALUE"""),"IDA Global - I - 421 - Tree Top (drone) - 450ml - 40")</f>
        <v>IDA Global - I - 421 - Tree Top (drone) - 450ml - 40</v>
      </c>
    </row>
    <row r="75">
      <c r="A75" s="86">
        <f>IFERROR(__xludf.DUMMYFUNCTION("""COMPUTED_VALUE"""),73.0)</f>
        <v>73</v>
      </c>
      <c r="B75" s="87" t="str">
        <f>IFERROR(__xludf.DUMMYFUNCTION("""COMPUTED_VALUE"""),"Thùng")</f>
        <v>Thùng</v>
      </c>
      <c r="C75" s="87" t="str">
        <f>IFERROR(__xludf.DUMMYFUNCTION("""COMPUTED_VALUE"""),"THC0071")</f>
        <v>THC0071</v>
      </c>
      <c r="D75" s="87" t="str">
        <f>IFERROR(__xludf.DUMMYFUNCTION("""COMPUTED_VALUE"""),"Thùng dùng chung Newfuze 200SC 15ml, 20ml x 300 gói (32x30x31cm) - Trắng")</f>
        <v>Thùng dùng chung Newfuze 200SC 15ml, 20ml x 300 gói (32x30x31cm) - Trắng</v>
      </c>
      <c r="E75" s="87" t="str">
        <f>IFERROR(__xludf.DUMMYFUNCTION("""COMPUTED_VALUE"""),"Hỗn hợp NPK BASEL NPK 7-5-44 IDA 45")</f>
        <v>Hỗn hợp NPK BASEL NPK 7-5-44 IDA 45</v>
      </c>
      <c r="F75" s="87" t="str">
        <f>IFERROR(__xludf.DUMMYFUNCTION("""COMPUTED_VALUE"""),"HH0071")</f>
        <v>HH0071</v>
      </c>
      <c r="G75" s="87" t="str">
        <f>IFERROR(__xludf.DUMMYFUNCTION("""COMPUTED_VALUE"""),"IDA Global - I - 422 - Winner (drone) - 50gr - 300")</f>
        <v>IDA Global - I - 422 - Winner (drone) - 50gr - 300</v>
      </c>
    </row>
    <row r="76">
      <c r="A76" s="86">
        <f>IFERROR(__xludf.DUMMYFUNCTION("""COMPUTED_VALUE"""),74.0)</f>
        <v>74</v>
      </c>
      <c r="B76" s="87" t="str">
        <f>IFERROR(__xludf.DUMMYFUNCTION("""COMPUTED_VALUE"""),"Thùng")</f>
        <v>Thùng</v>
      </c>
      <c r="C76" s="87" t="str">
        <f>IFERROR(__xludf.DUMMYFUNCTION("""COMPUTED_VALUE"""),"THC0072")</f>
        <v>THC0072</v>
      </c>
      <c r="D76" s="87" t="str">
        <f>IFERROR(__xludf.DUMMYFUNCTION("""COMPUTED_VALUE"""),"Thùng Sen Hồng chai 500ml x 40 chai (61.5x38.5x19cm) - Trắng viền xanh lá")</f>
        <v>Thùng Sen Hồng chai 500ml x 40 chai (61.5x38.5x19cm) - Trắng viền xanh lá</v>
      </c>
      <c r="E76" s="87" t="str">
        <f>IFERROR(__xludf.DUMMYFUNCTION("""COMPUTED_VALUE"""),"Hỗn hợp NPK BASEL NPK 7-5-44 IDA 45")</f>
        <v>Hỗn hợp NPK BASEL NPK 7-5-44 IDA 45</v>
      </c>
      <c r="F76" s="87" t="str">
        <f>IFERROR(__xludf.DUMMYFUNCTION("""COMPUTED_VALUE"""),"HH0072")</f>
        <v>HH0072</v>
      </c>
      <c r="G76" s="87" t="str">
        <f>IFERROR(__xludf.DUMMYFUNCTION("""COMPUTED_VALUE"""),"IDA Global - I - 422 - Winner (drone) - 50gr - 300")</f>
        <v>IDA Global - I - 422 - Winner (drone) - 50gr - 300</v>
      </c>
    </row>
    <row r="77">
      <c r="A77" s="86">
        <f>IFERROR(__xludf.DUMMYFUNCTION("""COMPUTED_VALUE"""),75.0)</f>
        <v>75</v>
      </c>
      <c r="B77" s="87" t="str">
        <f>IFERROR(__xludf.DUMMYFUNCTION("""COMPUTED_VALUE"""),"Thùng")</f>
        <v>Thùng</v>
      </c>
      <c r="C77" s="87" t="str">
        <f>IFERROR(__xludf.DUMMYFUNCTION("""COMPUTED_VALUE"""),"THC0073")</f>
        <v>THC0073</v>
      </c>
      <c r="D77" s="87" t="str">
        <f>IFERROR(__xludf.DUMMYFUNCTION("""COMPUTED_VALUE"""),"Thùng Sen Hồng chai 1 Lít x 20 chai (45x35.5x26.5cm) - Trắng viền xanh lá")</f>
        <v>Thùng Sen Hồng chai 1 Lít x 20 chai (45x35.5x26.5cm) - Trắng viền xanh lá</v>
      </c>
      <c r="E77" s="87" t="str">
        <f>IFERROR(__xludf.DUMMYFUNCTION("""COMPUTED_VALUE"""),"Chitin 3.6EC")</f>
        <v>Chitin 3.6EC</v>
      </c>
      <c r="F77" s="87" t="str">
        <f>IFERROR(__xludf.DUMMYFUNCTION("""COMPUTED_VALUE"""),"HH0073")</f>
        <v>HH0073</v>
      </c>
      <c r="G77" s="87" t="str">
        <f>IFERROR(__xludf.DUMMYFUNCTION("""COMPUTED_VALUE"""),"GC - II - 423 - A.M Sức Mạnh Diệt Nhện (Chai nhôm trắng) - 240ml - 60")</f>
        <v>GC - II - 423 - A.M Sức Mạnh Diệt Nhện (Chai nhôm trắng) - 240ml - 60</v>
      </c>
    </row>
    <row r="78">
      <c r="A78" s="86">
        <f>IFERROR(__xludf.DUMMYFUNCTION("""COMPUTED_VALUE"""),76.0)</f>
        <v>76</v>
      </c>
      <c r="B78" s="87" t="str">
        <f>IFERROR(__xludf.DUMMYFUNCTION("""COMPUTED_VALUE"""),"Thùng")</f>
        <v>Thùng</v>
      </c>
      <c r="C78" s="87" t="str">
        <f>IFERROR(__xludf.DUMMYFUNCTION("""COMPUTED_VALUE"""),"THC0074")</f>
        <v>THC0074</v>
      </c>
      <c r="D78" s="87" t="str">
        <f>IFERROR(__xludf.DUMMYFUNCTION("""COMPUTED_VALUE"""),"Thùng Sen Hồng gói 25gr - 65gr x 300 gói (52.5x50.5x18.5cm) - Trắng viền xanh lá")</f>
        <v>Thùng Sen Hồng gói 25gr - 65gr x 300 gói (52.5x50.5x18.5cm) - Trắng viền xanh lá</v>
      </c>
      <c r="E78" s="87" t="str">
        <f>IFERROR(__xludf.DUMMYFUNCTION("""COMPUTED_VALUE"""),"Chitin 3.6EC")</f>
        <v>Chitin 3.6EC</v>
      </c>
      <c r="F78" s="87" t="str">
        <f>IFERROR(__xludf.DUMMYFUNCTION("""COMPUTED_VALUE"""),"HH0074")</f>
        <v>HH0074</v>
      </c>
      <c r="G78" s="87" t="str">
        <f>IFERROR(__xludf.DUMMYFUNCTION("""COMPUTED_VALUE"""),"GC - II - 424 - Agriplant - Vua Diệt Nhện (PET TRON)- 240ml - 40")</f>
        <v>GC - II - 424 - Agriplant - Vua Diệt Nhện (PET TRON)- 240ml - 40</v>
      </c>
    </row>
    <row r="79">
      <c r="A79" s="86">
        <f>IFERROR(__xludf.DUMMYFUNCTION("""COMPUTED_VALUE"""),77.0)</f>
        <v>77</v>
      </c>
      <c r="B79" s="87" t="str">
        <f>IFERROR(__xludf.DUMMYFUNCTION("""COMPUTED_VALUE"""),"Hộp")</f>
        <v>Hộp</v>
      </c>
      <c r="C79" s="87" t="str">
        <f>IFERROR(__xludf.DUMMYFUNCTION("""COMPUTED_VALUE"""),"HOP1166")</f>
        <v>HOP1166</v>
      </c>
      <c r="D79" s="87" t="str">
        <f>IFERROR(__xludf.DUMMYFUNCTION("""COMPUTED_VALUE"""),"Hộp Sen Hồng gói  25gr - 65gr x 20 gói (16x10x16cm) - Trắng")</f>
        <v>Hộp Sen Hồng gói  25gr - 65gr x 20 gói (16x10x16cm) - Trắng</v>
      </c>
      <c r="E79" s="87" t="str">
        <f>IFERROR(__xludf.DUMMYFUNCTION("""COMPUTED_VALUE"""),"Oxycin 100WP")</f>
        <v>Oxycin 100WP</v>
      </c>
      <c r="F79" s="87" t="str">
        <f>IFERROR(__xludf.DUMMYFUNCTION("""COMPUTED_VALUE"""),"HH1166")</f>
        <v>HH1166</v>
      </c>
      <c r="G79" s="87" t="str">
        <f>IFERROR(__xludf.DUMMYFUNCTION("""COMPUTED_VALUE"""),"GC - II - 429 - Agriplant - Sức Mạnh Siêu Diệt Khuẩn - 25gr - 300")</f>
        <v>GC - II - 429 - Agriplant - Sức Mạnh Siêu Diệt Khuẩn - 25gr - 300</v>
      </c>
    </row>
    <row r="80">
      <c r="A80" s="86">
        <f>IFERROR(__xludf.DUMMYFUNCTION("""COMPUTED_VALUE"""),78.0)</f>
        <v>78</v>
      </c>
      <c r="B80" s="87" t="str">
        <f>IFERROR(__xludf.DUMMYFUNCTION("""COMPUTED_VALUE"""),"Thùng")</f>
        <v>Thùng</v>
      </c>
      <c r="C80" s="87" t="str">
        <f>IFERROR(__xludf.DUMMYFUNCTION("""COMPUTED_VALUE"""),"THC0075")</f>
        <v>THC0075</v>
      </c>
      <c r="D80" s="87" t="str">
        <f>IFERROR(__xludf.DUMMYFUNCTION("""COMPUTED_VALUE"""),"Thùng Sen Hồng 1kg x 20 gói (50x35x28.5) - Trắng viền xanh lá")</f>
        <v>Thùng Sen Hồng 1kg x 20 gói (50x35x28.5) - Trắng viền xanh lá</v>
      </c>
      <c r="E80" s="87" t="str">
        <f>IFERROR(__xludf.DUMMYFUNCTION("""COMPUTED_VALUE"""),"Oxycin 100WP")</f>
        <v>Oxycin 100WP</v>
      </c>
      <c r="F80" s="87" t="str">
        <f>IFERROR(__xludf.DUMMYFUNCTION("""COMPUTED_VALUE"""),"HH0075")</f>
        <v>HH0075</v>
      </c>
      <c r="G80" s="87" t="str">
        <f>IFERROR(__xludf.DUMMYFUNCTION("""COMPUTED_VALUE"""),"GC - II - 430 - PH - Diệt Sạch Khuẩn (Túi ghép giấy) 100 (clr) - 25gr - 200")</f>
        <v>GC - II - 430 - PH - Diệt Sạch Khuẩn (Túi ghép giấy) 100 (clr) - 25gr - 200</v>
      </c>
    </row>
    <row r="81">
      <c r="A81" s="86">
        <f>IFERROR(__xludf.DUMMYFUNCTION("""COMPUTED_VALUE"""),79.0)</f>
        <v>79</v>
      </c>
      <c r="B81" s="87" t="str">
        <f>IFERROR(__xludf.DUMMYFUNCTION("""COMPUTED_VALUE"""),"Thùng")</f>
        <v>Thùng</v>
      </c>
      <c r="C81" s="87" t="str">
        <f>IFERROR(__xludf.DUMMYFUNCTION("""COMPUTED_VALUE"""),"THC0076")</f>
        <v>THC0076</v>
      </c>
      <c r="D81" s="87" t="str">
        <f>IFERROR(__xludf.DUMMYFUNCTION("""COMPUTED_VALUE"""),"Thùng Sen Hồng 100g x100 gói (46x39x21cm) - Trắng viền xanh lá")</f>
        <v>Thùng Sen Hồng 100g x100 gói (46x39x21cm) - Trắng viền xanh lá</v>
      </c>
      <c r="E81" s="87" t="str">
        <f>IFERROR(__xludf.DUMMYFUNCTION("""COMPUTED_VALUE"""),"Vi lượng AV-CFC Plus")</f>
        <v>Vi lượng AV-CFC Plus</v>
      </c>
      <c r="F81" s="87" t="str">
        <f>IFERROR(__xludf.DUMMYFUNCTION("""COMPUTED_VALUE"""),"HH0076")</f>
        <v>HH0076</v>
      </c>
      <c r="G81" s="87" t="str">
        <f>IFERROR(__xludf.DUMMYFUNCTION("""COMPUTED_VALUE"""),"GC - I - 432 - AU - Dưỡng Chất Hữu Cơ (túi nhôm) - 50ml - 200")</f>
        <v>GC - I - 432 - AU - Dưỡng Chất Hữu Cơ (túi nhôm) - 50ml - 200</v>
      </c>
    </row>
    <row r="82">
      <c r="A82" s="86">
        <f>IFERROR(__xludf.DUMMYFUNCTION("""COMPUTED_VALUE"""),80.0)</f>
        <v>80</v>
      </c>
      <c r="B82" s="87" t="str">
        <f>IFERROR(__xludf.DUMMYFUNCTION("""COMPUTED_VALUE"""),"Thùng")</f>
        <v>Thùng</v>
      </c>
      <c r="C82" s="87" t="str">
        <f>IFERROR(__xludf.DUMMYFUNCTION("""COMPUTED_VALUE"""),"THC0077")</f>
        <v>THC0077</v>
      </c>
      <c r="D82" s="87" t="str">
        <f>IFERROR(__xludf.DUMMYFUNCTION("""COMPUTED_VALUE"""),"Thùng dùng chung ABA chai 100ml, 120ml x 50chai (54x28x12cm) - Trắng trơn")</f>
        <v>Thùng dùng chung ABA chai 100ml, 120ml x 50chai (54x28x12cm) - Trắng trơn</v>
      </c>
      <c r="E82" s="87" t="str">
        <f>IFERROR(__xludf.DUMMYFUNCTION("""COMPUTED_VALUE"""),"Vi lượng AV4-BO633")</f>
        <v>Vi lượng AV4-BO633</v>
      </c>
      <c r="F82" s="87" t="str">
        <f>IFERROR(__xludf.DUMMYFUNCTION("""COMPUTED_VALUE"""),"HH0077")</f>
        <v>HH0077</v>
      </c>
      <c r="G82" s="87" t="str">
        <f>IFERROR(__xludf.DUMMYFUNCTION("""COMPUTED_VALUE"""),"GC - II - 433 - Agriplant - Bio Siêu Ra Hoa Xoài - 1kg - 25")</f>
        <v>GC - II - 433 - Agriplant - Bio Siêu Ra Hoa Xoài - 1kg - 25</v>
      </c>
    </row>
    <row r="83">
      <c r="A83" s="86">
        <f>IFERROR(__xludf.DUMMYFUNCTION("""COMPUTED_VALUE"""),81.0)</f>
        <v>81</v>
      </c>
      <c r="B83" s="87" t="str">
        <f>IFERROR(__xludf.DUMMYFUNCTION("""COMPUTED_VALUE"""),"Thùng")</f>
        <v>Thùng</v>
      </c>
      <c r="C83" s="87" t="str">
        <f>IFERROR(__xludf.DUMMYFUNCTION("""COMPUTED_VALUE"""),"THC0078")</f>
        <v>THC0078</v>
      </c>
      <c r="D83" s="87" t="str">
        <f>IFERROR(__xludf.DUMMYFUNCTION("""COMPUTED_VALUE"""),"Thùng dùng chung ABA chai tròn 1 lít x 20 chai (20 gói/ thùng) - (45.5x35.5x27cm) - Trắng")</f>
        <v>Thùng dùng chung ABA chai tròn 1 lít x 20 chai (20 gói/ thùng) - (45.5x35.5x27cm) - Trắng</v>
      </c>
      <c r="E83" s="87" t="str">
        <f>IFERROR(__xludf.DUMMYFUNCTION("""COMPUTED_VALUE"""),"Vi lượng AV4-BO633")</f>
        <v>Vi lượng AV4-BO633</v>
      </c>
      <c r="F83" s="87" t="str">
        <f>IFERROR(__xludf.DUMMYFUNCTION("""COMPUTED_VALUE"""),"HH0078")</f>
        <v>HH0078</v>
      </c>
      <c r="G83" s="87" t="str">
        <f>IFERROR(__xludf.DUMMYFUNCTION("""COMPUTED_VALUE"""),"GC - II - 434 - Ariplant - Siêu ra hoa sầu riêng (mới) - 250 gr- 100")</f>
        <v>GC - II - 434 - Ariplant - Siêu ra hoa sầu riêng (mới) - 250 gr- 100</v>
      </c>
    </row>
    <row r="84">
      <c r="A84" s="86">
        <f>IFERROR(__xludf.DUMMYFUNCTION("""COMPUTED_VALUE"""),82.0)</f>
        <v>82</v>
      </c>
      <c r="B84" s="87" t="str">
        <f>IFERROR(__xludf.DUMMYFUNCTION("""COMPUTED_VALUE"""),"Thùng")</f>
        <v>Thùng</v>
      </c>
      <c r="C84" s="87" t="str">
        <f>IFERROR(__xludf.DUMMYFUNCTION("""COMPUTED_VALUE"""),"THC0079")</f>
        <v>THC0079</v>
      </c>
      <c r="D84" s="87" t="str">
        <f>IFERROR(__xludf.DUMMYFUNCTION("""COMPUTED_VALUE"""),"Thùng dùng chung ABA 1kg (50x35x28.5cm) - Trắng")</f>
        <v>Thùng dùng chung ABA 1kg (50x35x28.5cm) - Trắng</v>
      </c>
      <c r="E84" s="87" t="str">
        <f>IFERROR(__xludf.DUMMYFUNCTION("""COMPUTED_VALUE"""),"Leafroll 260SC")</f>
        <v>Leafroll 260SC</v>
      </c>
      <c r="F84" s="87" t="str">
        <f>IFERROR(__xludf.DUMMYFUNCTION("""COMPUTED_VALUE"""),"HH0079")</f>
        <v>HH0079</v>
      </c>
      <c r="G84" s="87" t="str">
        <f>IFERROR(__xludf.DUMMYFUNCTION("""COMPUTED_VALUE"""),"IDA Global - I - 436 - Leafroll 260SC - 220ml - 40")</f>
        <v>IDA Global - I - 436 - Leafroll 260SC - 220ml - 40</v>
      </c>
    </row>
    <row r="85">
      <c r="A85" s="86">
        <f>IFERROR(__xludf.DUMMYFUNCTION("""COMPUTED_VALUE"""),83.0)</f>
        <v>83</v>
      </c>
      <c r="B85" s="87" t="str">
        <f>IFERROR(__xludf.DUMMYFUNCTION("""COMPUTED_VALUE"""),"Thùng")</f>
        <v>Thùng</v>
      </c>
      <c r="C85" s="87" t="str">
        <f>IFERROR(__xludf.DUMMYFUNCTION("""COMPUTED_VALUE"""),"THC0080")</f>
        <v>THC0080</v>
      </c>
      <c r="D85" s="87" t="str">
        <f>IFERROR(__xludf.DUMMYFUNCTION("""COMPUTED_VALUE"""),"Thùng dùng chung ABA Chai 250ml x 40 chai (53.5x33.5x15.5cm) - Trắng")</f>
        <v>Thùng dùng chung ABA Chai 250ml x 40 chai (53.5x33.5x15.5cm) - Trắng</v>
      </c>
      <c r="E85" s="87" t="str">
        <f>IFERROR(__xludf.DUMMYFUNCTION("""COMPUTED_VALUE"""),"Creek 51WG")</f>
        <v>Creek 51WG</v>
      </c>
      <c r="F85" s="87" t="str">
        <f>IFERROR(__xludf.DUMMYFUNCTION("""COMPUTED_VALUE"""),"HH0080")</f>
        <v>HH0080</v>
      </c>
      <c r="G85" s="87" t="str">
        <f>IFERROR(__xludf.DUMMYFUNCTION("""COMPUTED_VALUE"""),"IDA Global - I - 442 - Creek 51WG (Dạng cốm) - 30gr - 300")</f>
        <v>IDA Global - I - 442 - Creek 51WG (Dạng cốm) - 30gr - 300</v>
      </c>
    </row>
    <row r="86">
      <c r="A86" s="86">
        <f>IFERROR(__xludf.DUMMYFUNCTION("""COMPUTED_VALUE"""),84.0)</f>
        <v>84</v>
      </c>
      <c r="B86" s="87" t="str">
        <f>IFERROR(__xludf.DUMMYFUNCTION("""COMPUTED_VALUE"""),"Thùng")</f>
        <v>Thùng</v>
      </c>
      <c r="C86" s="87" t="str">
        <f>IFERROR(__xludf.DUMMYFUNCTION("""COMPUTED_VALUE"""),"THC0081")</f>
        <v>THC0081</v>
      </c>
      <c r="D86" s="87" t="str">
        <f>IFERROR(__xludf.DUMMYFUNCTION("""COMPUTED_VALUE"""),"Thùng Agritech chai HD 500ml x40 chai (62x37.5x19cm) - Trắng viền xanh dương")</f>
        <v>Thùng Agritech chai HD 500ml x40 chai (62x37.5x19cm) - Trắng viền xanh dương</v>
      </c>
      <c r="E86" s="87" t="str">
        <f>IFERROR(__xludf.DUMMYFUNCTION("""COMPUTED_VALUE"""),"Creek 51WG")</f>
        <v>Creek 51WG</v>
      </c>
      <c r="F86" s="87" t="str">
        <f>IFERROR(__xludf.DUMMYFUNCTION("""COMPUTED_VALUE"""),"HH0081")</f>
        <v>HH0081</v>
      </c>
      <c r="G86" s="87" t="str">
        <f>IFERROR(__xludf.DUMMYFUNCTION("""COMPUTED_VALUE"""),"IDA Global - I - 442.1 - Creek 51WG (mới) - 30gr - 300")</f>
        <v>IDA Global - I - 442.1 - Creek 51WG (mới) - 30gr - 300</v>
      </c>
    </row>
    <row r="87">
      <c r="A87" s="86">
        <f>IFERROR(__xludf.DUMMYFUNCTION("""COMPUTED_VALUE"""),85.0)</f>
        <v>85</v>
      </c>
      <c r="B87" s="87" t="str">
        <f>IFERROR(__xludf.DUMMYFUNCTION("""COMPUTED_VALUE"""),"Thùng")</f>
        <v>Thùng</v>
      </c>
      <c r="C87" s="87" t="str">
        <f>IFERROR(__xludf.DUMMYFUNCTION("""COMPUTED_VALUE"""),"THC0082")</f>
        <v>THC0082</v>
      </c>
      <c r="D87" s="87" t="str">
        <f>IFERROR(__xludf.DUMMYFUNCTION("""COMPUTED_VALUE"""),"Thùng Sen Hồng 100ml x100 chai (51x26x22cm) - Trắng viền xanh lá")</f>
        <v>Thùng Sen Hồng 100ml x100 chai (51x26x22cm) - Trắng viền xanh lá</v>
      </c>
      <c r="E87" s="87" t="str">
        <f>IFERROR(__xludf.DUMMYFUNCTION("""COMPUTED_VALUE"""),"Creek 51WG")</f>
        <v>Creek 51WG</v>
      </c>
      <c r="F87" s="87" t="str">
        <f>IFERROR(__xludf.DUMMYFUNCTION("""COMPUTED_VALUE"""),"HH0082")</f>
        <v>HH0082</v>
      </c>
      <c r="G87" s="87" t="str">
        <f>IFERROR(__xludf.DUMMYFUNCTION("""COMPUTED_VALUE"""),"IDA Global - I - 442.2 - Creek 51WG (mới) - 30gr - 300")</f>
        <v>IDA Global - I - 442.2 - Creek 51WG (mới) - 30gr - 300</v>
      </c>
    </row>
    <row r="88">
      <c r="A88" s="86">
        <f>IFERROR(__xludf.DUMMYFUNCTION("""COMPUTED_VALUE"""),86.0)</f>
        <v>86</v>
      </c>
      <c r="B88" s="87" t="str">
        <f>IFERROR(__xludf.DUMMYFUNCTION("""COMPUTED_VALUE"""),"Thùng")</f>
        <v>Thùng</v>
      </c>
      <c r="C88" s="87" t="str">
        <f>IFERROR(__xludf.DUMMYFUNCTION("""COMPUTED_VALUE"""),"THC0083")</f>
        <v>THC0083</v>
      </c>
      <c r="D88" s="87" t="str">
        <f>IFERROR(__xludf.DUMMYFUNCTION("""COMPUTED_VALUE"""),"Thùng Sen Hồng Chai 250ml x 40 chai (53x33x14.5cm) - Trắng viền xanh lá")</f>
        <v>Thùng Sen Hồng Chai 250ml x 40 chai (53x33x14.5cm) - Trắng viền xanh lá</v>
      </c>
      <c r="E88" s="87" t="str">
        <f>IFERROR(__xludf.DUMMYFUNCTION("""COMPUTED_VALUE"""),"Creek 51WG")</f>
        <v>Creek 51WG</v>
      </c>
      <c r="F88" s="87" t="str">
        <f>IFERROR(__xludf.DUMMYFUNCTION("""COMPUTED_VALUE"""),"HH0083")</f>
        <v>HH0083</v>
      </c>
      <c r="G88" s="87" t="str">
        <f>IFERROR(__xludf.DUMMYFUNCTION("""COMPUTED_VALUE"""),"IDA Global - I - 443 - Creek 51WG (Dạng cốm) - 150gr - 100")</f>
        <v>IDA Global - I - 443 - Creek 51WG (Dạng cốm) - 150gr - 100</v>
      </c>
    </row>
    <row r="89">
      <c r="A89" s="86">
        <f>IFERROR(__xludf.DUMMYFUNCTION("""COMPUTED_VALUE"""),87.0)</f>
        <v>87</v>
      </c>
      <c r="B89" s="87" t="str">
        <f>IFERROR(__xludf.DUMMYFUNCTION("""COMPUTED_VALUE"""),"Thùng")</f>
        <v>Thùng</v>
      </c>
      <c r="C89" s="87" t="str">
        <f>IFERROR(__xludf.DUMMYFUNCTION("""COMPUTED_VALUE"""),"THC0084")</f>
        <v>THC0084</v>
      </c>
      <c r="D89" s="87" t="str">
        <f>IFERROR(__xludf.DUMMYFUNCTION("""COMPUTED_VALUE"""),"Thùng Agritech can 5 Lít x 4 can (39x32x24cm) - Trắng viền xanh dương")</f>
        <v>Thùng Agritech can 5 Lít x 4 can (39x32x24cm) - Trắng viền xanh dương</v>
      </c>
      <c r="E89" s="87" t="str">
        <f>IFERROR(__xludf.DUMMYFUNCTION("""COMPUTED_VALUE"""),"Creek 51WG")</f>
        <v>Creek 51WG</v>
      </c>
      <c r="F89" s="87" t="str">
        <f>IFERROR(__xludf.DUMMYFUNCTION("""COMPUTED_VALUE"""),"HH0084")</f>
        <v>HH0084</v>
      </c>
      <c r="G89" s="87" t="str">
        <f>IFERROR(__xludf.DUMMYFUNCTION("""COMPUTED_VALUE"""),"IDA Global - I - 443.1 - Creek 51WG (Dạng cốm) - 150gr - 100")</f>
        <v>IDA Global - I - 443.1 - Creek 51WG (Dạng cốm) - 150gr - 100</v>
      </c>
    </row>
    <row r="90">
      <c r="A90" s="86">
        <f>IFERROR(__xludf.DUMMYFUNCTION("""COMPUTED_VALUE"""),88.0)</f>
        <v>88</v>
      </c>
      <c r="B90" s="87" t="str">
        <f>IFERROR(__xludf.DUMMYFUNCTION("""COMPUTED_VALUE"""),"Thùng")</f>
        <v>Thùng</v>
      </c>
      <c r="C90" s="87" t="str">
        <f>IFERROR(__xludf.DUMMYFUNCTION("""COMPUTED_VALUE"""),"THC0085")</f>
        <v>THC0085</v>
      </c>
      <c r="D90" s="87" t="str">
        <f>IFERROR(__xludf.DUMMYFUNCTION("""COMPUTED_VALUE"""),"Thùng NHP chai tròn 250ml x 40 chai ( 46x 30x18cm) - Trắng chữ xanh lá")</f>
        <v>Thùng NHP chai tròn 250ml x 40 chai ( 46x 30x18cm) - Trắng chữ xanh lá</v>
      </c>
      <c r="E90" s="87" t="str">
        <f>IFERROR(__xludf.DUMMYFUNCTION("""COMPUTED_VALUE"""),"Solonapy 300SC")</f>
        <v>Solonapy 300SC</v>
      </c>
      <c r="F90" s="87" t="str">
        <f>IFERROR(__xludf.DUMMYFUNCTION("""COMPUTED_VALUE"""),"HH0085")</f>
        <v>HH0085</v>
      </c>
      <c r="G90" s="87" t="str">
        <f>IFERROR(__xludf.DUMMYFUNCTION("""COMPUTED_VALUE"""),"IDA Global - I - 444 - Sức Mạnh Cá Mập 300 (PET) - 100ml - 100")</f>
        <v>IDA Global - I - 444 - Sức Mạnh Cá Mập 300 (PET) - 100ml - 100</v>
      </c>
    </row>
    <row r="91">
      <c r="A91" s="86">
        <f>IFERROR(__xludf.DUMMYFUNCTION("""COMPUTED_VALUE"""),89.0)</f>
        <v>89</v>
      </c>
      <c r="B91" s="87" t="str">
        <f>IFERROR(__xludf.DUMMYFUNCTION("""COMPUTED_VALUE"""),"Thùng")</f>
        <v>Thùng</v>
      </c>
      <c r="C91" s="87" t="str">
        <f>IFERROR(__xludf.DUMMYFUNCTION("""COMPUTED_VALUE"""),"THC0086")</f>
        <v>THC0086</v>
      </c>
      <c r="D91" s="87" t="str">
        <f>IFERROR(__xludf.DUMMYFUNCTION("""COMPUTED_VALUE"""),"Thùng Nano Fish can 5 Lít x 4 can (40.5x32.5x25cm) - Trắng")</f>
        <v>Thùng Nano Fish can 5 Lít x 4 can (40.5x32.5x25cm) - Trắng</v>
      </c>
      <c r="E91" s="87" t="str">
        <f>IFERROR(__xludf.DUMMYFUNCTION("""COMPUTED_VALUE"""),"Solonapy 300SC")</f>
        <v>Solonapy 300SC</v>
      </c>
      <c r="F91" s="87" t="str">
        <f>IFERROR(__xludf.DUMMYFUNCTION("""COMPUTED_VALUE"""),"HH0086")</f>
        <v>HH0086</v>
      </c>
      <c r="G91" s="87" t="str">
        <f>IFERROR(__xludf.DUMMYFUNCTION("""COMPUTED_VALUE"""),"IDA Global - I - 445 - Sức Mạnh Cá Mập 300 (PET) - 240ml - 40")</f>
        <v>IDA Global - I - 445 - Sức Mạnh Cá Mập 300 (PET) - 240ml - 40</v>
      </c>
    </row>
    <row r="92">
      <c r="A92" s="86">
        <f>IFERROR(__xludf.DUMMYFUNCTION("""COMPUTED_VALUE"""),90.0)</f>
        <v>90</v>
      </c>
      <c r="B92" s="87" t="str">
        <f>IFERROR(__xludf.DUMMYFUNCTION("""COMPUTED_VALUE"""),"Thùng")</f>
        <v>Thùng</v>
      </c>
      <c r="C92" s="87" t="str">
        <f>IFERROR(__xludf.DUMMYFUNCTION("""COMPUTED_VALUE"""),"THC0087")</f>
        <v>THC0087</v>
      </c>
      <c r="D92" s="87" t="str">
        <f>IFERROR(__xludf.DUMMYFUNCTION("""COMPUTED_VALUE"""),"Thùng NHP 100 (300) gói - (44.5x37.5x21) - Trắng chữ xanh lá")</f>
        <v>Thùng NHP 100 (300) gói - (44.5x37.5x21) - Trắng chữ xanh lá</v>
      </c>
      <c r="E92" s="87" t="str">
        <f>IFERROR(__xludf.DUMMYFUNCTION("""COMPUTED_VALUE"""),"TVZEB 800WP")</f>
        <v>TVZEB 800WP</v>
      </c>
      <c r="F92" s="87" t="str">
        <f>IFERROR(__xludf.DUMMYFUNCTION("""COMPUTED_VALUE"""),"HH0087")</f>
        <v>HH0087</v>
      </c>
      <c r="G92" s="87" t="str">
        <f>IFERROR(__xludf.DUMMYFUNCTION("""COMPUTED_VALUE"""),"GC - I - 447- AU - Mancozeb Xanh - 1kg - 20")</f>
        <v>GC - I - 447- AU - Mancozeb Xanh - 1kg - 20</v>
      </c>
    </row>
    <row r="93">
      <c r="A93" s="86">
        <f>IFERROR(__xludf.DUMMYFUNCTION("""COMPUTED_VALUE"""),91.0)</f>
        <v>91</v>
      </c>
      <c r="B93" s="87" t="str">
        <f>IFERROR(__xludf.DUMMYFUNCTION("""COMPUTED_VALUE"""),"Thùng")</f>
        <v>Thùng</v>
      </c>
      <c r="C93" s="87" t="str">
        <f>IFERROR(__xludf.DUMMYFUNCTION("""COMPUTED_VALUE"""),"THC0088")</f>
        <v>THC0088</v>
      </c>
      <c r="D93" s="87" t="str">
        <f>IFERROR(__xludf.DUMMYFUNCTION("""COMPUTED_VALUE"""),"Thùng dùng chunng PEST chai 900ml x 20 chai (48x37.5x23.3cm) - Nâu")</f>
        <v>Thùng dùng chunng PEST chai 900ml x 20 chai (48x37.5x23.3cm) - Nâu</v>
      </c>
      <c r="E93" s="87" t="str">
        <f>IFERROR(__xludf.DUMMYFUNCTION("""COMPUTED_VALUE"""),"TVZEB 800WP")</f>
        <v>TVZEB 800WP</v>
      </c>
      <c r="F93" s="87" t="str">
        <f>IFERROR(__xludf.DUMMYFUNCTION("""COMPUTED_VALUE"""),"HH0088")</f>
        <v>HH0088</v>
      </c>
      <c r="G93" s="87" t="str">
        <f>IFERROR(__xludf.DUMMYFUNCTION("""COMPUTED_VALUE"""),"GC - I - 447- AU - Mancozeb Xanh - 1kg - 20")</f>
        <v>GC - I - 447- AU - Mancozeb Xanh - 1kg - 20</v>
      </c>
    </row>
    <row r="94">
      <c r="A94" s="86">
        <f>IFERROR(__xludf.DUMMYFUNCTION("""COMPUTED_VALUE"""),92.0)</f>
        <v>92</v>
      </c>
      <c r="B94" s="87" t="str">
        <f>IFERROR(__xludf.DUMMYFUNCTION("""COMPUTED_VALUE"""),"Thùng")</f>
        <v>Thùng</v>
      </c>
      <c r="C94" s="87" t="str">
        <f>IFERROR(__xludf.DUMMYFUNCTION("""COMPUTED_VALUE"""),"THI0089")</f>
        <v>THI0089</v>
      </c>
      <c r="D94" s="87" t="str">
        <f>IFERROR(__xludf.DUMMYFUNCTION("""COMPUTED_VALUE"""),"Thùng IDA chai vuông 450ml, 480ml, 500ml x 40 chai (42x36x22.5cm) - Xanh lá")</f>
        <v>Thùng IDA chai vuông 450ml, 480ml, 500ml x 40 chai (42x36x22.5cm) - Xanh lá</v>
      </c>
      <c r="E94" s="87" t="str">
        <f>IFERROR(__xludf.DUMMYFUNCTION("""COMPUTED_VALUE"""),"TVZEB 800WP")</f>
        <v>TVZEB 800WP</v>
      </c>
      <c r="F94" s="87" t="str">
        <f>IFERROR(__xludf.DUMMYFUNCTION("""COMPUTED_VALUE"""),"HH0089")</f>
        <v>HH0089</v>
      </c>
      <c r="G94" s="87" t="str">
        <f>IFERROR(__xludf.DUMMYFUNCTION("""COMPUTED_VALUE"""),"GC - 448 - I - Thiên Di - Mancozeb Xanh (Nhãn xanh Lá) - 100gr - 100")</f>
        <v>GC - 448 - I - Thiên Di - Mancozeb Xanh (Nhãn xanh Lá) - 100gr - 100</v>
      </c>
    </row>
    <row r="95">
      <c r="A95" s="86">
        <f>IFERROR(__xludf.DUMMYFUNCTION("""COMPUTED_VALUE"""),93.0)</f>
        <v>93</v>
      </c>
      <c r="B95" s="87" t="str">
        <f>IFERROR(__xludf.DUMMYFUNCTION("""COMPUTED_VALUE"""),"Thùng")</f>
        <v>Thùng</v>
      </c>
      <c r="C95" s="87" t="str">
        <f>IFERROR(__xludf.DUMMYFUNCTION("""COMPUTED_VALUE"""),"THC0090")</f>
        <v>THC0090</v>
      </c>
      <c r="D95" s="87" t="str">
        <f>IFERROR(__xludf.DUMMYFUNCTION("""COMPUTED_VALUE"""),"Thùng chung chai tròn 500ml x 40 chai (60x40.5x20.5cm) - Trắng")</f>
        <v>Thùng chung chai tròn 500ml x 40 chai (60x40.5x20.5cm) - Trắng</v>
      </c>
      <c r="E95" s="87" t="str">
        <f>IFERROR(__xludf.DUMMYFUNCTION("""COMPUTED_VALUE"""),"TVZEB 800WP")</f>
        <v>TVZEB 800WP</v>
      </c>
      <c r="F95" s="87" t="str">
        <f>IFERROR(__xludf.DUMMYFUNCTION("""COMPUTED_VALUE"""),"HH0090")</f>
        <v>HH0090</v>
      </c>
      <c r="G95" s="87" t="str">
        <f>IFERROR(__xludf.DUMMYFUNCTION("""COMPUTED_VALUE"""),"GC - 448 - I - Thiên Di - Mancozeb Xanh (Nhãn xanh Lá) - 100gr - 100")</f>
        <v>GC - 448 - I - Thiên Di - Mancozeb Xanh (Nhãn xanh Lá) - 100gr - 100</v>
      </c>
    </row>
    <row r="96">
      <c r="A96" s="86">
        <f>IFERROR(__xludf.DUMMYFUNCTION("""COMPUTED_VALUE"""),94.0)</f>
        <v>94</v>
      </c>
      <c r="B96" s="87" t="str">
        <f>IFERROR(__xludf.DUMMYFUNCTION("""COMPUTED_VALUE"""),"Thùng")</f>
        <v>Thùng</v>
      </c>
      <c r="C96" s="87" t="str">
        <f>IFERROR(__xludf.DUMMYFUNCTION("""COMPUTED_VALUE"""),"THC0091")</f>
        <v>THC0091</v>
      </c>
      <c r="D96" s="87" t="str">
        <f>IFERROR(__xludf.DUMMYFUNCTION("""COMPUTED_VALUE"""),"Thùng chung chai tròn cao 500ml x 40 chai (55.5x35x21.5cm) - Trắng")</f>
        <v>Thùng chung chai tròn cao 500ml x 40 chai (55.5x35x21.5cm) - Trắng</v>
      </c>
      <c r="E96" s="87" t="str">
        <f>IFERROR(__xludf.DUMMYFUNCTION("""COMPUTED_VALUE"""),"TVZEB 800WP")</f>
        <v>TVZEB 800WP</v>
      </c>
      <c r="F96" s="87" t="str">
        <f>IFERROR(__xludf.DUMMYFUNCTION("""COMPUTED_VALUE"""),"HH0091")</f>
        <v>HH0091</v>
      </c>
      <c r="G96" s="87" t="str">
        <f>IFERROR(__xludf.DUMMYFUNCTION("""COMPUTED_VALUE"""),"GC - I - 449 - Thiên Di - Mancozeb Xanh (Nhãn xanh Dương) - 1kg - 20")</f>
        <v>GC - I - 449 - Thiên Di - Mancozeb Xanh (Nhãn xanh Dương) - 1kg - 20</v>
      </c>
    </row>
    <row r="97">
      <c r="A97" s="86">
        <f>IFERROR(__xludf.DUMMYFUNCTION("""COMPUTED_VALUE"""),95.0)</f>
        <v>95</v>
      </c>
      <c r="B97" s="87" t="str">
        <f>IFERROR(__xludf.DUMMYFUNCTION("""COMPUTED_VALUE"""),"Thùng")</f>
        <v>Thùng</v>
      </c>
      <c r="C97" s="87" t="str">
        <f>IFERROR(__xludf.DUMMYFUNCTION("""COMPUTED_VALUE"""),"THC0092")</f>
        <v>THC0092</v>
      </c>
      <c r="D97" s="87" t="str">
        <f>IFERROR(__xludf.DUMMYFUNCTION("""COMPUTED_VALUE"""),"Thùng dùng chung  50gr x 400 gói (50x46x23cm) - Trắng")</f>
        <v>Thùng dùng chung  50gr x 400 gói (50x46x23cm) - Trắng</v>
      </c>
      <c r="E97" s="87" t="str">
        <f>IFERROR(__xludf.DUMMYFUNCTION("""COMPUTED_VALUE"""),"TVZEB 800WP")</f>
        <v>TVZEB 800WP</v>
      </c>
      <c r="F97" s="87" t="str">
        <f>IFERROR(__xludf.DUMMYFUNCTION("""COMPUTED_VALUE"""),"HH0092")</f>
        <v>HH0092</v>
      </c>
      <c r="G97" s="87" t="str">
        <f>IFERROR(__xludf.DUMMYFUNCTION("""COMPUTED_VALUE"""),"GC - I - 449 - Thiên Di - Mancozeb Xanh (Nhãn xanh Dương) - 1kg - 20")</f>
        <v>GC - I - 449 - Thiên Di - Mancozeb Xanh (Nhãn xanh Dương) - 1kg - 20</v>
      </c>
    </row>
    <row r="98">
      <c r="A98" s="86">
        <f>IFERROR(__xludf.DUMMYFUNCTION("""COMPUTED_VALUE"""),96.0)</f>
        <v>96</v>
      </c>
      <c r="B98" s="87" t="str">
        <f>IFERROR(__xludf.DUMMYFUNCTION("""COMPUTED_VALUE"""),"Thùng")</f>
        <v>Thùng</v>
      </c>
      <c r="C98" s="87" t="str">
        <f>IFERROR(__xludf.DUMMYFUNCTION("""COMPUTED_VALUE"""),"THC0093")</f>
        <v>THC0093</v>
      </c>
      <c r="D98" s="87" t="str">
        <f>IFERROR(__xludf.DUMMYFUNCTION("""COMPUTED_VALUE"""),"Thùng Dùng Chung ABA 100gr x150 gói (50x40x23.5cm) - Trắng")</f>
        <v>Thùng Dùng Chung ABA 100gr x150 gói (50x40x23.5cm) - Trắng</v>
      </c>
      <c r="E98" s="87" t="str">
        <f>IFERROR(__xludf.DUMMYFUNCTION("""COMPUTED_VALUE"""),"TVZEB 800WP")</f>
        <v>TVZEB 800WP</v>
      </c>
      <c r="F98" s="87" t="str">
        <f>IFERROR(__xludf.DUMMYFUNCTION("""COMPUTED_VALUE"""),"HH0093")</f>
        <v>HH0093</v>
      </c>
      <c r="G98" s="87" t="str">
        <f>IFERROR(__xludf.DUMMYFUNCTION("""COMPUTED_VALUE"""),"GC - II - 450 - Agriplant - Mancozeb vàng - 1kg - 20")</f>
        <v>GC - II - 450 - Agriplant - Mancozeb vàng - 1kg - 20</v>
      </c>
    </row>
    <row r="99">
      <c r="A99" s="86">
        <f>IFERROR(__xludf.DUMMYFUNCTION("""COMPUTED_VALUE"""),97.0)</f>
        <v>97</v>
      </c>
      <c r="B99" s="87" t="str">
        <f>IFERROR(__xludf.DUMMYFUNCTION("""COMPUTED_VALUE"""),"Thùng")</f>
        <v>Thùng</v>
      </c>
      <c r="C99" s="87" t="str">
        <f>IFERROR(__xludf.DUMMYFUNCTION("""COMPUTED_VALUE"""),"THC0094")</f>
        <v>THC0094</v>
      </c>
      <c r="D99" s="87" t="str">
        <f>IFERROR(__xludf.DUMMYFUNCTION("""COMPUTED_VALUE"""),"Thùng không cán màng 50gx400 gói (51x46x29cm) - Nâu")</f>
        <v>Thùng không cán màng 50gx400 gói (51x46x29cm) - Nâu</v>
      </c>
      <c r="E99" s="87" t="str">
        <f>IFERROR(__xludf.DUMMYFUNCTION("""COMPUTED_VALUE"""),"TVZEB 800WP")</f>
        <v>TVZEB 800WP</v>
      </c>
      <c r="F99" s="87" t="str">
        <f>IFERROR(__xludf.DUMMYFUNCTION("""COMPUTED_VALUE"""),"HH0094")</f>
        <v>HH0094</v>
      </c>
      <c r="G99" s="87" t="str">
        <f>IFERROR(__xludf.DUMMYFUNCTION("""COMPUTED_VALUE"""),"GC - II - 450 - Agriplant - Mancozeb vàng - 1kg - 20")</f>
        <v>GC - II - 450 - Agriplant - Mancozeb vàng - 1kg - 20</v>
      </c>
    </row>
    <row r="100">
      <c r="A100" s="86">
        <f>IFERROR(__xludf.DUMMYFUNCTION("""COMPUTED_VALUE"""),98.0)</f>
        <v>98</v>
      </c>
      <c r="B100" s="87" t="str">
        <f>IFERROR(__xludf.DUMMYFUNCTION("""COMPUTED_VALUE"""),"Thùng")</f>
        <v>Thùng</v>
      </c>
      <c r="C100" s="87" t="str">
        <f>IFERROR(__xludf.DUMMYFUNCTION("""COMPUTED_VALUE"""),"THI0095")</f>
        <v>THI0095</v>
      </c>
      <c r="D100" s="87" t="str">
        <f>IFERROR(__xludf.DUMMYFUNCTION("""COMPUTED_VALUE"""),"Thùng IDA Chai Pet trong 450, 500ml x40 chai (51.5x32x23.5cm) - Xanh Lá")</f>
        <v>Thùng IDA Chai Pet trong 450, 500ml x40 chai (51.5x32x23.5cm) - Xanh Lá</v>
      </c>
      <c r="E100" s="87" t="str">
        <f>IFERROR(__xludf.DUMMYFUNCTION("""COMPUTED_VALUE"""),"TVZEB 800WP")</f>
        <v>TVZEB 800WP</v>
      </c>
      <c r="F100" s="87" t="str">
        <f>IFERROR(__xludf.DUMMYFUNCTION("""COMPUTED_VALUE"""),"HH0095")</f>
        <v>HH0095</v>
      </c>
      <c r="G100" s="87" t="str">
        <f>IFERROR(__xludf.DUMMYFUNCTION("""COMPUTED_VALUE"""),"GC - II - 451 - AGC - Mancozeb Xanh - Fungicide - 1 kg - 20")</f>
        <v>GC - II - 451 - AGC - Mancozeb Xanh - Fungicide - 1 kg - 20</v>
      </c>
    </row>
    <row r="101">
      <c r="A101" s="86">
        <f>IFERROR(__xludf.DUMMYFUNCTION("""COMPUTED_VALUE"""),99.0)</f>
        <v>99</v>
      </c>
      <c r="B101" s="87" t="str">
        <f>IFERROR(__xludf.DUMMYFUNCTION("""COMPUTED_VALUE"""),"Thùng")</f>
        <v>Thùng</v>
      </c>
      <c r="C101" s="87" t="str">
        <f>IFERROR(__xludf.DUMMYFUNCTION("""COMPUTED_VALUE"""),"THC0096")</f>
        <v>THC0096</v>
      </c>
      <c r="D101" s="87" t="str">
        <f>IFERROR(__xludf.DUMMYFUNCTION("""COMPUTED_VALUE"""),"Thùng dùng chung chai vuông 250ml x 40 chai (38x32x16.5cm) - Trắng")</f>
        <v>Thùng dùng chung chai vuông 250ml x 40 chai (38x32x16.5cm) - Trắng</v>
      </c>
      <c r="E101" s="87" t="str">
        <f>IFERROR(__xludf.DUMMYFUNCTION("""COMPUTED_VALUE"""),"TVZEB 800WP")</f>
        <v>TVZEB 800WP</v>
      </c>
      <c r="F101" s="87" t="str">
        <f>IFERROR(__xludf.DUMMYFUNCTION("""COMPUTED_VALUE"""),"HH0096")</f>
        <v>HH0096</v>
      </c>
      <c r="G101" s="87" t="str">
        <f>IFERROR(__xludf.DUMMYFUNCTION("""COMPUTED_VALUE"""),"GC - II - 451 - AGC - Mancozeb Xanh - Fungicide - 1 kg - 20")</f>
        <v>GC - II - 451 - AGC - Mancozeb Xanh - Fungicide - 1 kg - 20</v>
      </c>
    </row>
    <row r="102">
      <c r="A102" s="86">
        <f>IFERROR(__xludf.DUMMYFUNCTION("""COMPUTED_VALUE"""),100.0)</f>
        <v>100</v>
      </c>
      <c r="B102" s="87" t="str">
        <f>IFERROR(__xludf.DUMMYFUNCTION("""COMPUTED_VALUE"""),"Thùng")</f>
        <v>Thùng</v>
      </c>
      <c r="C102" s="87" t="str">
        <f>IFERROR(__xludf.DUMMYFUNCTION("""COMPUTED_VALUE"""),"THC0097")</f>
        <v>THC0097</v>
      </c>
      <c r="D102" s="87" t="str">
        <f>IFERROR(__xludf.DUMMYFUNCTION("""COMPUTED_VALUE"""),"Thùng Sen Hồng chai 500ml x 40 chai (55x34.5x21.5cm)  - Trắng viền tím")</f>
        <v>Thùng Sen Hồng chai 500ml x 40 chai (55x34.5x21.5cm)  - Trắng viền tím</v>
      </c>
      <c r="E102" s="87" t="str">
        <f>IFERROR(__xludf.DUMMYFUNCTION("""COMPUTED_VALUE"""),"TVZEB 800WP")</f>
        <v>TVZEB 800WP</v>
      </c>
      <c r="F102" s="87" t="str">
        <f>IFERROR(__xludf.DUMMYFUNCTION("""COMPUTED_VALUE"""),"HH0097")</f>
        <v>HH0097</v>
      </c>
      <c r="G102" s="87" t="str">
        <f>IFERROR(__xludf.DUMMYFUNCTION("""COMPUTED_VALUE"""),"GC - II - 452 - AGC -Mancozeb Vàng - Fungicide - 1 kg - 20")</f>
        <v>GC - II - 452 - AGC -Mancozeb Vàng - Fungicide - 1 kg - 20</v>
      </c>
    </row>
    <row r="103">
      <c r="A103" s="86">
        <f>IFERROR(__xludf.DUMMYFUNCTION("""COMPUTED_VALUE"""),101.0)</f>
        <v>101</v>
      </c>
      <c r="B103" s="87" t="str">
        <f>IFERROR(__xludf.DUMMYFUNCTION("""COMPUTED_VALUE"""),"Thùng")</f>
        <v>Thùng</v>
      </c>
      <c r="C103" s="87" t="str">
        <f>IFERROR(__xludf.DUMMYFUNCTION("""COMPUTED_VALUE"""),"THC0098")</f>
        <v>THC0098</v>
      </c>
      <c r="D103" s="87" t="str">
        <f>IFERROR(__xludf.DUMMYFUNCTION("""COMPUTED_VALUE"""),"Thùng Japan chai HDPE 500ml x 30 chai (42x35x24.5) - Trắng viền xanh dương")</f>
        <v>Thùng Japan chai HDPE 500ml x 30 chai (42x35x24.5) - Trắng viền xanh dương</v>
      </c>
      <c r="E103" s="87" t="str">
        <f>IFERROR(__xludf.DUMMYFUNCTION("""COMPUTED_VALUE"""),"TVZEB 800WP")</f>
        <v>TVZEB 800WP</v>
      </c>
      <c r="F103" s="87" t="str">
        <f>IFERROR(__xludf.DUMMYFUNCTION("""COMPUTED_VALUE"""),"HH0098")</f>
        <v>HH0098</v>
      </c>
      <c r="G103" s="87" t="str">
        <f>IFERROR(__xludf.DUMMYFUNCTION("""COMPUTED_VALUE"""),"GC - II - 452 - AGC -Mancozeb Vàng - Fungicide - 1 kg - 20")</f>
        <v>GC - II - 452 - AGC -Mancozeb Vàng - Fungicide - 1 kg - 20</v>
      </c>
    </row>
    <row r="104">
      <c r="A104" s="86">
        <f>IFERROR(__xludf.DUMMYFUNCTION("""COMPUTED_VALUE"""),102.0)</f>
        <v>102</v>
      </c>
      <c r="B104" s="87" t="str">
        <f>IFERROR(__xludf.DUMMYFUNCTION("""COMPUTED_VALUE"""),"Thùng")</f>
        <v>Thùng</v>
      </c>
      <c r="C104" s="87" t="str">
        <f>IFERROR(__xludf.DUMMYFUNCTION("""COMPUTED_VALUE"""),"THC0099")</f>
        <v>THC0099</v>
      </c>
      <c r="D104" s="87" t="str">
        <f>IFERROR(__xludf.DUMMYFUNCTION("""COMPUTED_VALUE"""),"Thùng HITACO chai tròn 250ml x 40 chai  (51 x 32.5 x 15.5cm) Trắng viền đỏ")</f>
        <v>Thùng HITACO chai tròn 250ml x 40 chai  (51 x 32.5 x 15.5cm) Trắng viền đỏ</v>
      </c>
      <c r="E104" s="87" t="str">
        <f>IFERROR(__xludf.DUMMYFUNCTION("""COMPUTED_VALUE"""),"TVZEB 800WP")</f>
        <v>TVZEB 800WP</v>
      </c>
      <c r="F104" s="87" t="str">
        <f>IFERROR(__xludf.DUMMYFUNCTION("""COMPUTED_VALUE"""),"HH0099")</f>
        <v>HH0099</v>
      </c>
      <c r="G104" s="87" t="str">
        <f>IFERROR(__xludf.DUMMYFUNCTION("""COMPUTED_VALUE"""),"GC - II - 454 - BM - Mancozeb Xanh (Nhãn Đỏ) - 1kg - 20")</f>
        <v>GC - II - 454 - BM - Mancozeb Xanh (Nhãn Đỏ) - 1kg - 20</v>
      </c>
    </row>
    <row r="105">
      <c r="A105" s="86">
        <f>IFERROR(__xludf.DUMMYFUNCTION("""COMPUTED_VALUE"""),103.0)</f>
        <v>103</v>
      </c>
      <c r="B105" s="87" t="str">
        <f>IFERROR(__xludf.DUMMYFUNCTION("""COMPUTED_VALUE"""),"Thùng")</f>
        <v>Thùng</v>
      </c>
      <c r="C105" s="87" t="str">
        <f>IFERROR(__xludf.DUMMYFUNCTION("""COMPUTED_VALUE"""),"THC0100")</f>
        <v>THC0100</v>
      </c>
      <c r="D105" s="87" t="str">
        <f>IFERROR(__xludf.DUMMYFUNCTION("""COMPUTED_VALUE"""),"Thùng HITACO chai nắp chụp tròn 1 Lít x 20 chai/thùng  - Nâu viền xanh lá")</f>
        <v>Thùng HITACO chai nắp chụp tròn 1 Lít x 20 chai/thùng  - Nâu viền xanh lá</v>
      </c>
      <c r="E105" s="87" t="str">
        <f>IFERROR(__xludf.DUMMYFUNCTION("""COMPUTED_VALUE"""),"TVZEB 800WP")</f>
        <v>TVZEB 800WP</v>
      </c>
      <c r="F105" s="87" t="str">
        <f>IFERROR(__xludf.DUMMYFUNCTION("""COMPUTED_VALUE"""),"HH0100")</f>
        <v>HH0100</v>
      </c>
      <c r="G105" s="87" t="str">
        <f>IFERROR(__xludf.DUMMYFUNCTION("""COMPUTED_VALUE"""),"GC - II - 455 - BM (JAPAN) - Mancozeb Xanh (Nhãn xanh Lá) - 1kg - 20")</f>
        <v>GC - II - 455 - BM (JAPAN) - Mancozeb Xanh (Nhãn xanh Lá) - 1kg - 20</v>
      </c>
    </row>
    <row r="106">
      <c r="A106" s="86">
        <f>IFERROR(__xludf.DUMMYFUNCTION("""COMPUTED_VALUE"""),104.0)</f>
        <v>104</v>
      </c>
      <c r="B106" s="87" t="str">
        <f>IFERROR(__xludf.DUMMYFUNCTION("""COMPUTED_VALUE"""),"Thùng")</f>
        <v>Thùng</v>
      </c>
      <c r="C106" s="87" t="str">
        <f>IFERROR(__xludf.DUMMYFUNCTION("""COMPUTED_VALUE"""),"THC0101")</f>
        <v>THC0101</v>
      </c>
      <c r="D106" s="87" t="str">
        <f>IFERROR(__xludf.DUMMYFUNCTION("""COMPUTED_VALUE"""),"Thùng HITACO chai tròn 500ml x 40 chai (57x36x20cm) - Trắng viền đỏ")</f>
        <v>Thùng HITACO chai tròn 500ml x 40 chai (57x36x20cm) - Trắng viền đỏ</v>
      </c>
      <c r="E106" s="87" t="str">
        <f>IFERROR(__xludf.DUMMYFUNCTION("""COMPUTED_VALUE"""),"TVZEB 800WP")</f>
        <v>TVZEB 800WP</v>
      </c>
      <c r="F106" s="87" t="str">
        <f>IFERROR(__xludf.DUMMYFUNCTION("""COMPUTED_VALUE"""),"HH0101")</f>
        <v>HH0101</v>
      </c>
      <c r="G106" s="87" t="str">
        <f>IFERROR(__xludf.DUMMYFUNCTION("""COMPUTED_VALUE"""),"GC - II - 455 - BM (JAPAN) - Mancozeb Xanh (Nhãn xanh Lá) - 1kg - 20")</f>
        <v>GC - II - 455 - BM (JAPAN) - Mancozeb Xanh (Nhãn xanh Lá) - 1kg - 20</v>
      </c>
    </row>
    <row r="107">
      <c r="A107" s="86">
        <f>IFERROR(__xludf.DUMMYFUNCTION("""COMPUTED_VALUE"""),105.0)</f>
        <v>105</v>
      </c>
      <c r="B107" s="87" t="str">
        <f>IFERROR(__xludf.DUMMYFUNCTION("""COMPUTED_VALUE"""),"Thùng")</f>
        <v>Thùng</v>
      </c>
      <c r="C107" s="87" t="str">
        <f>IFERROR(__xludf.DUMMYFUNCTION("""COMPUTED_VALUE"""),"THC0102")</f>
        <v>THC0102</v>
      </c>
      <c r="D107" s="87" t="str">
        <f>IFERROR(__xludf.DUMMYFUNCTION("""COMPUTED_VALUE"""),"Thùng Dùng Chung ABA chai nắp chụp tròn 1 Lít x 20/thùng (48x 38.5x24.5cm) - Trắng")</f>
        <v>Thùng Dùng Chung ABA chai nắp chụp tròn 1 Lít x 20/thùng (48x 38.5x24.5cm) - Trắng</v>
      </c>
      <c r="E107" s="87" t="str">
        <f>IFERROR(__xludf.DUMMYFUNCTION("""COMPUTED_VALUE"""),"Pro-tin 480EC")</f>
        <v>Pro-tin 480EC</v>
      </c>
      <c r="F107" s="87" t="str">
        <f>IFERROR(__xludf.DUMMYFUNCTION("""COMPUTED_VALUE"""),"HH0102")</f>
        <v>HH0102</v>
      </c>
      <c r="G107" s="87" t="str">
        <f>IFERROR(__xludf.DUMMYFUNCTION("""COMPUTED_VALUE"""),"GC - II - 459 - AGC - Pro-tin 480EC (PET) - 450ml - 40")</f>
        <v>GC - II - 459 - AGC - Pro-tin 480EC (PET) - 450ml - 40</v>
      </c>
    </row>
    <row r="108">
      <c r="A108" s="86">
        <f>IFERROR(__xludf.DUMMYFUNCTION("""COMPUTED_VALUE"""),106.0)</f>
        <v>106</v>
      </c>
      <c r="B108" s="87" t="str">
        <f>IFERROR(__xludf.DUMMYFUNCTION("""COMPUTED_VALUE"""),"Thùng")</f>
        <v>Thùng</v>
      </c>
      <c r="C108" s="87" t="str">
        <f>IFERROR(__xludf.DUMMYFUNCTION("""COMPUTED_VALUE"""),"THC0103")</f>
        <v>THC0103</v>
      </c>
      <c r="D108" s="87" t="str">
        <f>IFERROR(__xludf.DUMMYFUNCTION("""COMPUTED_VALUE"""),"Thùng HITACO chai PET vuông 1L x 20 chai (40x36.5x23) - Trắng viền đỏ")</f>
        <v>Thùng HITACO chai PET vuông 1L x 20 chai (40x36.5x23) - Trắng viền đỏ</v>
      </c>
      <c r="E108" s="87" t="str">
        <f>IFERROR(__xludf.DUMMYFUNCTION("""COMPUTED_VALUE"""),"Mekongvil 5SC")</f>
        <v>Mekongvil 5SC</v>
      </c>
      <c r="F108" s="87" t="str">
        <f>IFERROR(__xludf.DUMMYFUNCTION("""COMPUTED_VALUE"""),"HH0103")</f>
        <v>HH0103</v>
      </c>
      <c r="G108" s="87" t="str">
        <f>IFERROR(__xludf.DUMMYFUNCTION("""COMPUTED_VALUE"""),"GC - II - 462 - LuTa - Mekongvil 5SC (HD) - 500ml - 40")</f>
        <v>GC - II - 462 - LuTa - Mekongvil 5SC (HD) - 500ml - 40</v>
      </c>
    </row>
    <row r="109">
      <c r="A109" s="86">
        <f>IFERROR(__xludf.DUMMYFUNCTION("""COMPUTED_VALUE"""),107.0)</f>
        <v>107</v>
      </c>
      <c r="B109" s="87" t="str">
        <f>IFERROR(__xludf.DUMMYFUNCTION("""COMPUTED_VALUE"""),"Thùng")</f>
        <v>Thùng</v>
      </c>
      <c r="C109" s="87" t="str">
        <f>IFERROR(__xludf.DUMMYFUNCTION("""COMPUTED_VALUE"""),"THC0104")</f>
        <v>THC0104</v>
      </c>
      <c r="D109" s="87" t="str">
        <f>IFERROR(__xludf.DUMMYFUNCTION("""COMPUTED_VALUE"""),"Thùng dùng chung chai tròn 250ml x 40 chai/thùng (46x29x17,5cm) - Trắng")</f>
        <v>Thùng dùng chung chai tròn 250ml x 40 chai/thùng (46x29x17,5cm) - Trắng</v>
      </c>
      <c r="E109" s="87" t="str">
        <f>IFERROR(__xludf.DUMMYFUNCTION("""COMPUTED_VALUE"""),"Kamycinjapane 20SL")</f>
        <v>Kamycinjapane 20SL</v>
      </c>
      <c r="F109" s="87" t="str">
        <f>IFERROR(__xludf.DUMMYFUNCTION("""COMPUTED_VALUE"""),"HH0104")</f>
        <v>HH0104</v>
      </c>
      <c r="G109" s="87" t="str">
        <f>IFERROR(__xludf.DUMMYFUNCTION("""COMPUTED_VALUE"""),"GC - II - 465 - AGC - Kamycinjapane 20SL (chai tròn) - 450ml - 40")</f>
        <v>GC - II - 465 - AGC - Kamycinjapane 20SL (chai tròn) - 450ml - 40</v>
      </c>
    </row>
    <row r="110">
      <c r="A110" s="86">
        <f>IFERROR(__xludf.DUMMYFUNCTION("""COMPUTED_VALUE"""),108.0)</f>
        <v>108</v>
      </c>
      <c r="B110" s="87" t="str">
        <f>IFERROR(__xludf.DUMMYFUNCTION("""COMPUTED_VALUE"""),"Thùng")</f>
        <v>Thùng</v>
      </c>
      <c r="C110" s="87" t="str">
        <f>IFERROR(__xludf.DUMMYFUNCTION("""COMPUTED_VALUE"""),"THC0105")</f>
        <v>THC0105</v>
      </c>
      <c r="D110" s="87" t="str">
        <f>IFERROR(__xludf.DUMMYFUNCTION("""COMPUTED_VALUE"""),"Thùng Dùng Chung PEST chai tròn 1 Lít x 20 chai (48x38,5x23,5cm) - Nâu")</f>
        <v>Thùng Dùng Chung PEST chai tròn 1 Lít x 20 chai (48x38,5x23,5cm) - Nâu</v>
      </c>
      <c r="E110" s="87" t="str">
        <f>IFERROR(__xludf.DUMMYFUNCTION("""COMPUTED_VALUE"""),"Vi lượng AV-CFC
(Dạng rắn)")</f>
        <v>Vi lượng AV-CFC
(Dạng rắn)</v>
      </c>
      <c r="F110" s="87" t="str">
        <f>IFERROR(__xludf.DUMMYFUNCTION("""COMPUTED_VALUE"""),"HH0105")</f>
        <v>HH0105</v>
      </c>
      <c r="G110" s="87" t="str">
        <f>IFERROR(__xludf.DUMMYFUNCTION("""COMPUTED_VALUE"""),"GC - I - 471 - TLB - Humi Plus (Túi nhôm) - 1kg - 25")</f>
        <v>GC - I - 471 - TLB - Humi Plus (Túi nhôm) - 1kg - 25</v>
      </c>
    </row>
    <row r="111">
      <c r="A111" s="86">
        <f>IFERROR(__xludf.DUMMYFUNCTION("""COMPUTED_VALUE"""),109.0)</f>
        <v>109</v>
      </c>
      <c r="B111" s="87" t="str">
        <f>IFERROR(__xludf.DUMMYFUNCTION("""COMPUTED_VALUE"""),"Thùng")</f>
        <v>Thùng</v>
      </c>
      <c r="C111" s="87" t="str">
        <f>IFERROR(__xludf.DUMMYFUNCTION("""COMPUTED_VALUE"""),"THC0106")</f>
        <v>THC0106</v>
      </c>
      <c r="D111" s="87" t="str">
        <f>IFERROR(__xludf.DUMMYFUNCTION("""COMPUTED_VALUE"""),"Thùng HITACO chai tròn 450ml, 500ml x 40 chai (62.5x38.5x20cm) - Trắng viền đỏ")</f>
        <v>Thùng HITACO chai tròn 450ml, 500ml x 40 chai (62.5x38.5x20cm) - Trắng viền đỏ</v>
      </c>
      <c r="E111" s="87" t="str">
        <f>IFERROR(__xludf.DUMMYFUNCTION("""COMPUTED_VALUE"""),"Acodyl 35WP")</f>
        <v>Acodyl 35WP</v>
      </c>
      <c r="F111" s="87" t="str">
        <f>IFERROR(__xludf.DUMMYFUNCTION("""COMPUTED_VALUE"""),"HH0106")</f>
        <v>HH0106</v>
      </c>
      <c r="G111" s="87" t="str">
        <f>IFERROR(__xludf.DUMMYFUNCTION("""COMPUTED_VALUE"""),"GC - II - 475 - AK - Metalaxyl (túi nhôm) - 100g - 100")</f>
        <v>GC - II - 475 - AK - Metalaxyl (túi nhôm) - 100g - 100</v>
      </c>
    </row>
    <row r="112">
      <c r="A112" s="86">
        <f>IFERROR(__xludf.DUMMYFUNCTION("""COMPUTED_VALUE"""),110.0)</f>
        <v>110</v>
      </c>
      <c r="B112" s="87" t="str">
        <f>IFERROR(__xludf.DUMMYFUNCTION("""COMPUTED_VALUE"""),"Thùng")</f>
        <v>Thùng</v>
      </c>
      <c r="C112" s="87" t="str">
        <f>IFERROR(__xludf.DUMMYFUNCTION("""COMPUTED_VALUE"""),"THC0107")</f>
        <v>THC0107</v>
      </c>
      <c r="D112" s="87" t="str">
        <f>IFERROR(__xludf.DUMMYFUNCTION("""COMPUTED_VALUE"""),"Thùng DC Basel chai 100ml x 40 chai (54x27,5x22cm) - Nâu")</f>
        <v>Thùng DC Basel chai 100ml x 40 chai (54x27,5x22cm) - Nâu</v>
      </c>
      <c r="E112" s="87" t="str">
        <f>IFERROR(__xludf.DUMMYFUNCTION("""COMPUTED_VALUE"""),"Apple 700WP")</f>
        <v>Apple 700WP</v>
      </c>
      <c r="F112" s="87" t="str">
        <f>IFERROR(__xludf.DUMMYFUNCTION("""COMPUTED_VALUE"""),"HH0107")</f>
        <v>HH0107</v>
      </c>
      <c r="G112" s="87" t="str">
        <f>IFERROR(__xludf.DUMMYFUNCTION("""COMPUTED_VALUE"""),"GC - II - 478 - AGC - Apple 700WP - 100 gr - 100")</f>
        <v>GC - II - 478 - AGC - Apple 700WP - 100 gr - 100</v>
      </c>
    </row>
    <row r="113">
      <c r="A113" s="86">
        <f>IFERROR(__xludf.DUMMYFUNCTION("""COMPUTED_VALUE"""),111.0)</f>
        <v>111</v>
      </c>
      <c r="B113" s="87" t="str">
        <f>IFERROR(__xludf.DUMMYFUNCTION("""COMPUTED_VALUE"""),"Thùng")</f>
        <v>Thùng</v>
      </c>
      <c r="C113" s="87" t="str">
        <f>IFERROR(__xludf.DUMMYFUNCTION("""COMPUTED_VALUE"""),"THC0108")</f>
        <v>THC0108</v>
      </c>
      <c r="D113" s="87" t="str">
        <f>IFERROR(__xludf.DUMMYFUNCTION("""COMPUTED_VALUE"""),"Thùng Thần Sấm chai tròn 450ml, 500ml x 40 chai (58.5x36x18.5cm) - Trắng viền đỏ")</f>
        <v>Thùng Thần Sấm chai tròn 450ml, 500ml x 40 chai (58.5x36x18.5cm) - Trắng viền đỏ</v>
      </c>
      <c r="E113" s="87" t="str">
        <f>IFERROR(__xludf.DUMMYFUNCTION("""COMPUTED_VALUE"""),"Apple 700WP")</f>
        <v>Apple 700WP</v>
      </c>
      <c r="F113" s="87" t="str">
        <f>IFERROR(__xludf.DUMMYFUNCTION("""COMPUTED_VALUE"""),"HH0108")</f>
        <v>HH0108</v>
      </c>
      <c r="G113" s="87" t="str">
        <f>IFERROR(__xludf.DUMMYFUNCTION("""COMPUTED_VALUE"""),"GC - II - 478 - AGC - Apple 700WP - 100 gr - 100")</f>
        <v>GC - II - 478 - AGC - Apple 700WP - 100 gr - 100</v>
      </c>
    </row>
    <row r="114">
      <c r="A114" s="86">
        <f>IFERROR(__xludf.DUMMYFUNCTION("""COMPUTED_VALUE"""),112.0)</f>
        <v>112</v>
      </c>
      <c r="B114" s="87" t="str">
        <f>IFERROR(__xludf.DUMMYFUNCTION("""COMPUTED_VALUE"""),"Thùng")</f>
        <v>Thùng</v>
      </c>
      <c r="C114" s="87" t="str">
        <f>IFERROR(__xludf.DUMMYFUNCTION("""COMPUTED_VALUE"""),"THC0109")</f>
        <v>THC0109</v>
      </c>
      <c r="D114" s="87" t="str">
        <f>IFERROR(__xludf.DUMMYFUNCTION("""COMPUTED_VALUE"""),"Thùng Sunrise chai PET vuông  450ml, 500ml x 40 chai (44x38,5x19cm) - Trắng viền đỏ")</f>
        <v>Thùng Sunrise chai PET vuông  450ml, 500ml x 40 chai (44x38,5x19cm) - Trắng viền đỏ</v>
      </c>
      <c r="E114" s="87" t="str">
        <f>IFERROR(__xludf.DUMMYFUNCTION("""COMPUTED_VALUE"""),"Pim.Pim 75WP")</f>
        <v>Pim.Pim 75WP</v>
      </c>
      <c r="F114" s="87" t="str">
        <f>IFERROR(__xludf.DUMMYFUNCTION("""COMPUTED_VALUE"""),"HH0109")</f>
        <v>HH0109</v>
      </c>
      <c r="G114" s="87" t="str">
        <f>IFERROR(__xludf.DUMMYFUNCTION("""COMPUTED_VALUE"""),"IDA Global - I - 479.1 -Tricyclazole (Drone) - 100gr - 100")</f>
        <v>IDA Global - I - 479.1 -Tricyclazole (Drone) - 100gr - 100</v>
      </c>
    </row>
    <row r="115">
      <c r="A115" s="86">
        <f>IFERROR(__xludf.DUMMYFUNCTION("""COMPUTED_VALUE"""),113.0)</f>
        <v>113</v>
      </c>
      <c r="B115" s="87" t="str">
        <f>IFERROR(__xludf.DUMMYFUNCTION("""COMPUTED_VALUE"""),"Thùng")</f>
        <v>Thùng</v>
      </c>
      <c r="C115" s="87" t="str">
        <f>IFERROR(__xludf.DUMMYFUNCTION("""COMPUTED_VALUE"""),"THC0110")</f>
        <v>THC0110</v>
      </c>
      <c r="D115" s="87" t="str">
        <f>IFERROR(__xludf.DUMMYFUNCTION("""COMPUTED_VALUE"""),"Thùng dùng chung Âu Việt 1kg x25 gói (59x38x 21cm) - Nâu")</f>
        <v>Thùng dùng chung Âu Việt 1kg x25 gói (59x38x 21cm) - Nâu</v>
      </c>
      <c r="E115" s="87" t="str">
        <f>IFERROR(__xludf.DUMMYFUNCTION("""COMPUTED_VALUE"""),"Pim.Pim 75WP")</f>
        <v>Pim.Pim 75WP</v>
      </c>
      <c r="F115" s="87" t="str">
        <f>IFERROR(__xludf.DUMMYFUNCTION("""COMPUTED_VALUE"""),"HH0110")</f>
        <v>HH0110</v>
      </c>
      <c r="G115" s="87" t="str">
        <f>IFERROR(__xludf.DUMMYFUNCTION("""COMPUTED_VALUE"""),"IDA Global - I - 479.1 -Tricyclazole (Drone) - 100gr - 100")</f>
        <v>IDA Global - I - 479.1 -Tricyclazole (Drone) - 100gr - 100</v>
      </c>
    </row>
    <row r="116">
      <c r="A116" s="86">
        <f>IFERROR(__xludf.DUMMYFUNCTION("""COMPUTED_VALUE"""),114.0)</f>
        <v>114</v>
      </c>
      <c r="B116" s="87" t="str">
        <f>IFERROR(__xludf.DUMMYFUNCTION("""COMPUTED_VALUE"""),"Thùng")</f>
        <v>Thùng</v>
      </c>
      <c r="C116" s="87" t="str">
        <f>IFERROR(__xludf.DUMMYFUNCTION("""COMPUTED_VALUE"""),"THC0111")</f>
        <v>THC0111</v>
      </c>
      <c r="D116" s="87" t="str">
        <f>IFERROR(__xludf.DUMMYFUNCTION("""COMPUTED_VALUE"""),"Thùng HITACO 1kg x 20 gói (61x38x21,5cm) - Trắng viền đỏ")</f>
        <v>Thùng HITACO 1kg x 20 gói (61x38x21,5cm) - Trắng viền đỏ</v>
      </c>
      <c r="E116" s="87" t="str">
        <f>IFERROR(__xludf.DUMMYFUNCTION("""COMPUTED_VALUE"""),"Remy 19EC")</f>
        <v>Remy 19EC</v>
      </c>
      <c r="F116" s="87" t="str">
        <f>IFERROR(__xludf.DUMMYFUNCTION("""COMPUTED_VALUE"""),"HH0111")</f>
        <v>HH0111</v>
      </c>
      <c r="G116" s="87" t="str">
        <f>IFERROR(__xludf.DUMMYFUNCTION("""COMPUTED_VALUE"""),"GC - I - 481 - AU - Remy 19EC (Pet Tròn) - 450ml - 40")</f>
        <v>GC - I - 481 - AU - Remy 19EC (Pet Tròn) - 450ml - 40</v>
      </c>
    </row>
    <row r="117">
      <c r="A117" s="86">
        <f>IFERROR(__xludf.DUMMYFUNCTION("""COMPUTED_VALUE"""),115.0)</f>
        <v>115</v>
      </c>
      <c r="B117" s="87" t="str">
        <f>IFERROR(__xludf.DUMMYFUNCTION("""COMPUTED_VALUE"""),"Thùng")</f>
        <v>Thùng</v>
      </c>
      <c r="C117" s="87" t="str">
        <f>IFERROR(__xludf.DUMMYFUNCTION("""COMPUTED_VALUE"""),"THC0112")</f>
        <v>THC0112</v>
      </c>
      <c r="D117" s="87" t="str">
        <f>IFERROR(__xludf.DUMMYFUNCTION("""COMPUTED_VALUE"""),"Thùng Dùng Chung ABA 100g x100 gói (46x39x21cm) - Trắng")</f>
        <v>Thùng Dùng Chung ABA 100g x100 gói (46x39x21cm) - Trắng</v>
      </c>
      <c r="E117" s="87" t="str">
        <f>IFERROR(__xludf.DUMMYFUNCTION("""COMPUTED_VALUE"""),"Prima 04")</f>
        <v>Prima 04</v>
      </c>
      <c r="F117" s="87" t="str">
        <f>IFERROR(__xludf.DUMMYFUNCTION("""COMPUTED_VALUE"""),"HH0112")</f>
        <v>HH0112</v>
      </c>
      <c r="G117" s="87" t="str">
        <f>IFERROR(__xludf.DUMMYFUNCTION("""COMPUTED_VALUE"""),"GC - II - 485 - LuTa vẩy cá (Humic vẩy) - 10kg - 1")</f>
        <v>GC - II - 485 - LuTa vẩy cá (Humic vẩy) - 10kg - 1</v>
      </c>
    </row>
    <row r="118">
      <c r="A118" s="86">
        <f>IFERROR(__xludf.DUMMYFUNCTION("""COMPUTED_VALUE"""),116.0)</f>
        <v>116</v>
      </c>
      <c r="B118" s="87" t="str">
        <f>IFERROR(__xludf.DUMMYFUNCTION("""COMPUTED_VALUE"""),"Thùng")</f>
        <v>Thùng</v>
      </c>
      <c r="C118" s="87" t="str">
        <f>IFERROR(__xludf.DUMMYFUNCTION("""COMPUTED_VALUE"""),"THC0113")</f>
        <v>THC0113</v>
      </c>
      <c r="D118" s="87" t="str">
        <f>IFERROR(__xludf.DUMMYFUNCTION("""COMPUTED_VALUE"""),"Thùng can 5 lít x 4 can (39x27x31.5cm) - Nâu")</f>
        <v>Thùng can 5 lít x 4 can (39x27x31.5cm) - Nâu</v>
      </c>
      <c r="E118" s="87" t="str">
        <f>IFERROR(__xludf.DUMMYFUNCTION("""COMPUTED_VALUE"""),"Prima 04")</f>
        <v>Prima 04</v>
      </c>
      <c r="F118" s="87" t="str">
        <f>IFERROR(__xludf.DUMMYFUNCTION("""COMPUTED_VALUE"""),"HH0113")</f>
        <v>HH0113</v>
      </c>
      <c r="G118" s="87" t="str">
        <f>IFERROR(__xludf.DUMMYFUNCTION("""COMPUTED_VALUE"""),"GC - II - 486 - Luta Vẩy cá (mới) - 1kg - 25")</f>
        <v>GC - II - 486 - Luta Vẩy cá (mới) - 1kg - 25</v>
      </c>
    </row>
    <row r="119">
      <c r="A119" s="86">
        <f>IFERROR(__xludf.DUMMYFUNCTION("""COMPUTED_VALUE"""),117.0)</f>
        <v>117</v>
      </c>
      <c r="B119" s="87" t="str">
        <f>IFERROR(__xludf.DUMMYFUNCTION("""COMPUTED_VALUE"""),"Thùng")</f>
        <v>Thùng</v>
      </c>
      <c r="C119" s="87" t="str">
        <f>IFERROR(__xludf.DUMMYFUNCTION("""COMPUTED_VALUE"""),"THC0114")</f>
        <v>THC0114</v>
      </c>
      <c r="D119" s="87" t="str">
        <f>IFERROR(__xludf.DUMMYFUNCTION("""COMPUTED_VALUE"""),"Thùng Chi Nông Phát chai tròn 1L x 20 chai (48x38.5x23.5cm) - Nâu viền xanh lá")</f>
        <v>Thùng Chi Nông Phát chai tròn 1L x 20 chai (48x38.5x23.5cm) - Nâu viền xanh lá</v>
      </c>
      <c r="E119" s="87" t="str">
        <f>IFERROR(__xludf.DUMMYFUNCTION("""COMPUTED_VALUE"""),"Pim.Pim 75WP")</f>
        <v>Pim.Pim 75WP</v>
      </c>
      <c r="F119" s="87" t="str">
        <f>IFERROR(__xludf.DUMMYFUNCTION("""COMPUTED_VALUE"""),"HH0114")</f>
        <v>HH0114</v>
      </c>
      <c r="G119" s="87" t="str">
        <f>IFERROR(__xludf.DUMMYFUNCTION("""COMPUTED_VALUE"""),"IDA Global - I - 489 - Tricylazole (drone) - 25gr - 300")</f>
        <v>IDA Global - I - 489 - Tricylazole (drone) - 25gr - 300</v>
      </c>
    </row>
    <row r="120">
      <c r="A120" s="86">
        <f>IFERROR(__xludf.DUMMYFUNCTION("""COMPUTED_VALUE"""),118.0)</f>
        <v>118</v>
      </c>
      <c r="B120" s="87" t="str">
        <f>IFERROR(__xludf.DUMMYFUNCTION("""COMPUTED_VALUE"""),"Thùng")</f>
        <v>Thùng</v>
      </c>
      <c r="C120" s="87" t="str">
        <f>IFERROR(__xludf.DUMMYFUNCTION("""COMPUTED_VALUE"""),"THC0115")</f>
        <v>THC0115</v>
      </c>
      <c r="D120" s="87" t="str">
        <f>IFERROR(__xludf.DUMMYFUNCTION("""COMPUTED_VALUE"""),"Thùng chung gói 1 kg x 18 gói (39x27x 29.5cm) - Nâu")</f>
        <v>Thùng chung gói 1 kg x 18 gói (39x27x 29.5cm) - Nâu</v>
      </c>
      <c r="E120" s="87" t="str">
        <f>IFERROR(__xludf.DUMMYFUNCTION("""COMPUTED_VALUE"""),"Pim.Pim 75WP")</f>
        <v>Pim.Pim 75WP</v>
      </c>
      <c r="F120" s="87" t="str">
        <f>IFERROR(__xludf.DUMMYFUNCTION("""COMPUTED_VALUE"""),"HH0115")</f>
        <v>HH0115</v>
      </c>
      <c r="G120" s="87" t="str">
        <f>IFERROR(__xludf.DUMMYFUNCTION("""COMPUTED_VALUE"""),"IDA Global - I - 489.1 - Tricylazole (drone) - 25gr - 300")</f>
        <v>IDA Global - I - 489.1 - Tricylazole (drone) - 25gr - 300</v>
      </c>
    </row>
    <row r="121">
      <c r="A121" s="86">
        <f>IFERROR(__xludf.DUMMYFUNCTION("""COMPUTED_VALUE"""),119.0)</f>
        <v>119</v>
      </c>
      <c r="B121" s="87" t="str">
        <f>IFERROR(__xludf.DUMMYFUNCTION("""COMPUTED_VALUE"""),"Thùng")</f>
        <v>Thùng</v>
      </c>
      <c r="C121" s="87" t="str">
        <f>IFERROR(__xludf.DUMMYFUNCTION("""COMPUTED_VALUE"""),"THC0116")</f>
        <v>THC0116</v>
      </c>
      <c r="D121" s="87" t="str">
        <f>IFERROR(__xludf.DUMMYFUNCTION("""COMPUTED_VALUE"""),"Thùng GLOBAL HELP 240ml x 40 chai ( 45x28x17.5) - Nâu viền xanh lá")</f>
        <v>Thùng GLOBAL HELP 240ml x 40 chai ( 45x28x17.5) - Nâu viền xanh lá</v>
      </c>
      <c r="E121" s="87" t="str">
        <f>IFERROR(__xludf.DUMMYFUNCTION("""COMPUTED_VALUE"""),"Pim.Pim 75WP")</f>
        <v>Pim.Pim 75WP</v>
      </c>
      <c r="F121" s="87" t="str">
        <f>IFERROR(__xludf.DUMMYFUNCTION("""COMPUTED_VALUE"""),"HH0116")</f>
        <v>HH0116</v>
      </c>
      <c r="G121" s="87" t="str">
        <f>IFERROR(__xludf.DUMMYFUNCTION("""COMPUTED_VALUE"""),"IDA Global - I - 489.1 - Tricylazole (drone) - 25gr - 300")</f>
        <v>IDA Global - I - 489.1 - Tricylazole (drone) - 25gr - 300</v>
      </c>
    </row>
    <row r="122">
      <c r="A122" s="86">
        <f>IFERROR(__xludf.DUMMYFUNCTION("""COMPUTED_VALUE"""),120.0)</f>
        <v>120</v>
      </c>
      <c r="B122" s="87" t="str">
        <f>IFERROR(__xludf.DUMMYFUNCTION("""COMPUTED_VALUE"""),"Thùng")</f>
        <v>Thùng</v>
      </c>
      <c r="C122" s="87" t="str">
        <f>IFERROR(__xludf.DUMMYFUNCTION("""COMPUTED_VALUE"""),"THI0117")</f>
        <v>THI0117</v>
      </c>
      <c r="D122" s="87" t="str">
        <f>IFERROR(__xludf.DUMMYFUNCTION("""COMPUTED_VALUE"""),"Thùng IDA dùng chung chai 480ml x 40chai x 20 hộp (61x37.5x21cm) - Trắng")</f>
        <v>Thùng IDA dùng chung chai 480ml x 40chai x 20 hộp (61x37.5x21cm) - Trắng</v>
      </c>
      <c r="E122" s="87" t="str">
        <f>IFERROR(__xludf.DUMMYFUNCTION("""COMPUTED_VALUE"""),"TVZEB 800WP")</f>
        <v>TVZEB 800WP</v>
      </c>
      <c r="F122" s="87" t="str">
        <f>IFERROR(__xludf.DUMMYFUNCTION("""COMPUTED_VALUE"""),"HH0117")</f>
        <v>HH0117</v>
      </c>
      <c r="G122" s="87" t="str">
        <f>IFERROR(__xludf.DUMMYFUNCTION("""COMPUTED_VALUE"""),"GC - I - 490 - AU - Manco vàng - 1kg - 20")</f>
        <v>GC - I - 490 - AU - Manco vàng - 1kg - 20</v>
      </c>
    </row>
    <row r="123">
      <c r="A123" s="86">
        <f>IFERROR(__xludf.DUMMYFUNCTION("""COMPUTED_VALUE"""),121.0)</f>
        <v>121</v>
      </c>
      <c r="B123" s="87" t="str">
        <f>IFERROR(__xludf.DUMMYFUNCTION("""COMPUTED_VALUE"""),"Thùng")</f>
        <v>Thùng</v>
      </c>
      <c r="C123" s="87" t="str">
        <f>IFERROR(__xludf.DUMMYFUNCTION("""COMPUTED_VALUE"""),"THC0118")</f>
        <v>THC0118</v>
      </c>
      <c r="D123" s="87" t="str">
        <f>IFERROR(__xludf.DUMMYFUNCTION("""COMPUTED_VALUE"""),"Thùng chung SHINO 450,500ml x 30 chai (46x38.5x20cm) - Trắng viền xanh lá")</f>
        <v>Thùng chung SHINO 450,500ml x 30 chai (46x38.5x20cm) - Trắng viền xanh lá</v>
      </c>
      <c r="E123" s="87" t="str">
        <f>IFERROR(__xludf.DUMMYFUNCTION("""COMPUTED_VALUE"""),"TVZEB 800WP")</f>
        <v>TVZEB 800WP</v>
      </c>
      <c r="F123" s="87" t="str">
        <f>IFERROR(__xludf.DUMMYFUNCTION("""COMPUTED_VALUE"""),"HH0118")</f>
        <v>HH0118</v>
      </c>
      <c r="G123" s="87" t="str">
        <f>IFERROR(__xludf.DUMMYFUNCTION("""COMPUTED_VALUE"""),"GC - I - 491 - AU - Manco xanh (Nhãn đỏ) - 1kg - 20")</f>
        <v>GC - I - 491 - AU - Manco xanh (Nhãn đỏ) - 1kg - 20</v>
      </c>
    </row>
    <row r="124">
      <c r="A124" s="86">
        <f>IFERROR(__xludf.DUMMYFUNCTION("""COMPUTED_VALUE"""),122.0)</f>
        <v>122</v>
      </c>
      <c r="B124" s="87" t="str">
        <f>IFERROR(__xludf.DUMMYFUNCTION("""COMPUTED_VALUE"""),"Thùng")</f>
        <v>Thùng</v>
      </c>
      <c r="C124" s="87" t="str">
        <f>IFERROR(__xludf.DUMMYFUNCTION("""COMPUTED_VALUE"""),"THC0119")</f>
        <v>THC0119</v>
      </c>
      <c r="D124" s="87" t="str">
        <f>IFERROR(__xludf.DUMMYFUNCTION("""COMPUTED_VALUE"""),"Thùng trơn chai tròn 1 Lít x 20 chai - (45x35.5x26.5cm) - Nâu")</f>
        <v>Thùng trơn chai tròn 1 Lít x 20 chai - (45x35.5x26.5cm) - Nâu</v>
      </c>
      <c r="E124" s="87" t="str">
        <f>IFERROR(__xludf.DUMMYFUNCTION("""COMPUTED_VALUE"""),"TVZEB 800WP")</f>
        <v>TVZEB 800WP</v>
      </c>
      <c r="F124" s="87" t="str">
        <f>IFERROR(__xludf.DUMMYFUNCTION("""COMPUTED_VALUE"""),"HH0119")</f>
        <v>HH0119</v>
      </c>
      <c r="G124" s="87" t="str">
        <f>IFERROR(__xludf.DUMMYFUNCTION("""COMPUTED_VALUE"""),"LOT IDA Global - I - 492 - Mancozeb xanh - 1 kg - 20")</f>
        <v>LOT IDA Global - I - 492 - Mancozeb xanh - 1 kg - 20</v>
      </c>
    </row>
    <row r="125">
      <c r="A125" s="86">
        <f>IFERROR(__xludf.DUMMYFUNCTION("""COMPUTED_VALUE"""),123.0)</f>
        <v>123</v>
      </c>
      <c r="B125" s="87" t="str">
        <f>IFERROR(__xludf.DUMMYFUNCTION("""COMPUTED_VALUE"""),"Thùng")</f>
        <v>Thùng</v>
      </c>
      <c r="C125" s="87" t="str">
        <f>IFERROR(__xludf.DUMMYFUNCTION("""COMPUTED_VALUE"""),"THC0120")</f>
        <v>THC0120</v>
      </c>
      <c r="D125" s="87" t="str">
        <f>IFERROR(__xludf.DUMMYFUNCTION("""COMPUTED_VALUE"""),"Thùng Chi Nông Phát Can vuông 5 Lít x can/thùng  - (42x27.5x 31.5cm) - Nâu viền xanh lá")</f>
        <v>Thùng Chi Nông Phát Can vuông 5 Lít x can/thùng  - (42x27.5x 31.5cm) - Nâu viền xanh lá</v>
      </c>
      <c r="E125" s="87" t="str">
        <f>IFERROR(__xludf.DUMMYFUNCTION("""COMPUTED_VALUE"""),"TVZEB 800WP")</f>
        <v>TVZEB 800WP</v>
      </c>
      <c r="F125" s="87" t="str">
        <f>IFERROR(__xludf.DUMMYFUNCTION("""COMPUTED_VALUE"""),"HH0120")</f>
        <v>HH0120</v>
      </c>
      <c r="G125" s="87" t="str">
        <f>IFERROR(__xludf.DUMMYFUNCTION("""COMPUTED_VALUE"""),"LOT IDA Global - I - 492 - Mancozeb xanh - 1 kg - 20")</f>
        <v>LOT IDA Global - I - 492 - Mancozeb xanh - 1 kg - 20</v>
      </c>
    </row>
    <row r="126">
      <c r="A126" s="86">
        <f>IFERROR(__xludf.DUMMYFUNCTION("""COMPUTED_VALUE"""),124.0)</f>
        <v>124</v>
      </c>
      <c r="B126" s="87" t="str">
        <f>IFERROR(__xludf.DUMMYFUNCTION("""COMPUTED_VALUE"""),"Thùng")</f>
        <v>Thùng</v>
      </c>
      <c r="C126" s="87" t="str">
        <f>IFERROR(__xludf.DUMMYFUNCTION("""COMPUTED_VALUE"""),"THC0121")</f>
        <v>THC0121</v>
      </c>
      <c r="D126" s="87" t="str">
        <f>IFERROR(__xludf.DUMMYFUNCTION("""COMPUTED_VALUE"""),"Thùng Newtex 1 kg x 25 gói /thùng  - (50x35x35.5cm) -Trắng viền xanh lá")</f>
        <v>Thùng Newtex 1 kg x 25 gói /thùng  - (50x35x35.5cm) -Trắng viền xanh lá</v>
      </c>
      <c r="E126" s="87" t="str">
        <f>IFERROR(__xludf.DUMMYFUNCTION("""COMPUTED_VALUE"""),"Apashuang 95WP")</f>
        <v>Apashuang 95WP</v>
      </c>
      <c r="F126" s="87" t="str">
        <f>IFERROR(__xludf.DUMMYFUNCTION("""COMPUTED_VALUE"""),"HH0121")</f>
        <v>HH0121</v>
      </c>
      <c r="G126" s="87" t="str">
        <f>IFERROR(__xludf.DUMMYFUNCTION("""COMPUTED_VALUE"""),"IDA Global - I - 494 - Apashuang (Drone) - 100gr - 100")</f>
        <v>IDA Global - I - 494 - Apashuang (Drone) - 100gr - 100</v>
      </c>
    </row>
    <row r="127">
      <c r="A127" s="86">
        <f>IFERROR(__xludf.DUMMYFUNCTION("""COMPUTED_VALUE"""),125.0)</f>
        <v>125</v>
      </c>
      <c r="B127" s="87" t="str">
        <f>IFERROR(__xludf.DUMMYFUNCTION("""COMPUTED_VALUE"""),"Thùng")</f>
        <v>Thùng</v>
      </c>
      <c r="C127" s="87" t="str">
        <f>IFERROR(__xludf.DUMMYFUNCTION("""COMPUTED_VALUE"""),"THC0122")</f>
        <v>THC0122</v>
      </c>
      <c r="D127" s="87" t="str">
        <f>IFERROR(__xludf.DUMMYFUNCTION("""COMPUTED_VALUE"""),"Thùng dùng chung ABA Chai giả nhôm tròn 240ml x 40 chai (46x29x18.5cm) - Trắng")</f>
        <v>Thùng dùng chung ABA Chai giả nhôm tròn 240ml x 40 chai (46x29x18.5cm) - Trắng</v>
      </c>
      <c r="E127" s="87" t="str">
        <f>IFERROR(__xludf.DUMMYFUNCTION("""COMPUTED_VALUE"""),"TVZEB 800WP")</f>
        <v>TVZEB 800WP</v>
      </c>
      <c r="F127" s="87" t="str">
        <f>IFERROR(__xludf.DUMMYFUNCTION("""COMPUTED_VALUE"""),"HH0122")</f>
        <v>HH0122</v>
      </c>
      <c r="G127" s="87" t="str">
        <f>IFERROR(__xludf.DUMMYFUNCTION("""COMPUTED_VALUE"""),"GC - II - 497 - Luta - Mancozeb xanh - 1kg - 20")</f>
        <v>GC - II - 497 - Luta - Mancozeb xanh - 1kg - 20</v>
      </c>
    </row>
    <row r="128">
      <c r="A128" s="86">
        <f>IFERROR(__xludf.DUMMYFUNCTION("""COMPUTED_VALUE"""),126.0)</f>
        <v>126</v>
      </c>
      <c r="B128" s="87" t="str">
        <f>IFERROR(__xludf.DUMMYFUNCTION("""COMPUTED_VALUE"""),"Thùng")</f>
        <v>Thùng</v>
      </c>
      <c r="C128" s="87" t="str">
        <f>IFERROR(__xludf.DUMMYFUNCTION("""COMPUTED_VALUE"""),"THC0123")</f>
        <v>THC0123</v>
      </c>
      <c r="D128" s="87" t="str">
        <f>IFERROR(__xludf.DUMMYFUNCTION("""COMPUTED_VALUE"""),"Thùng Korea 100g x 100 gói (46x39x21cm) - Trắng viền đen")</f>
        <v>Thùng Korea 100g x 100 gói (46x39x21cm) - Trắng viền đen</v>
      </c>
      <c r="E128" s="87" t="str">
        <f>IFERROR(__xludf.DUMMYFUNCTION("""COMPUTED_VALUE"""),"TVZEB 800WP")</f>
        <v>TVZEB 800WP</v>
      </c>
      <c r="F128" s="87" t="str">
        <f>IFERROR(__xludf.DUMMYFUNCTION("""COMPUTED_VALUE"""),"HH0123")</f>
        <v>HH0123</v>
      </c>
      <c r="G128" s="87" t="str">
        <f>IFERROR(__xludf.DUMMYFUNCTION("""COMPUTED_VALUE"""),"GC - II - 497 - Luta - Mancozeb xanh - 1kg - 20")</f>
        <v>GC - II - 497 - Luta - Mancozeb xanh - 1kg - 20</v>
      </c>
    </row>
    <row r="129">
      <c r="A129" s="86">
        <f>IFERROR(__xludf.DUMMYFUNCTION("""COMPUTED_VALUE"""),127.0)</f>
        <v>127</v>
      </c>
      <c r="B129" s="87" t="str">
        <f>IFERROR(__xludf.DUMMYFUNCTION("""COMPUTED_VALUE"""),"Thùng")</f>
        <v>Thùng</v>
      </c>
      <c r="C129" s="87" t="str">
        <f>IFERROR(__xludf.DUMMYFUNCTION("""COMPUTED_VALUE"""),"THC0124")</f>
        <v>THC0124</v>
      </c>
      <c r="D129" s="87" t="str">
        <f>IFERROR(__xludf.DUMMYFUNCTION("""COMPUTED_VALUE"""),"Thùng Đại  Phúc Nông 1kg x 15 gói (50x35x30.5cm)- Trắng viền xanh dương")</f>
        <v>Thùng Đại  Phúc Nông 1kg x 15 gói (50x35x30.5cm)- Trắng viền xanh dương</v>
      </c>
      <c r="E129" s="87" t="str">
        <f>IFERROR(__xludf.DUMMYFUNCTION("""COMPUTED_VALUE"""),"Vi lượng AV-CFC Plus")</f>
        <v>Vi lượng AV-CFC Plus</v>
      </c>
      <c r="F129" s="87" t="str">
        <f>IFERROR(__xludf.DUMMYFUNCTION("""COMPUTED_VALUE"""),"HH0124")</f>
        <v>HH0124</v>
      </c>
      <c r="G129" s="87" t="str">
        <f>IFERROR(__xludf.DUMMYFUNCTION("""COMPUTED_VALUE"""),"GC - II - 498 - AU - Dưỡng chất hữu cơ (đâm chồi) - chai HD- 500ml - 40")</f>
        <v>GC - II - 498 - AU - Dưỡng chất hữu cơ (đâm chồi) - chai HD- 500ml - 40</v>
      </c>
    </row>
    <row r="130">
      <c r="A130" s="86">
        <f>IFERROR(__xludf.DUMMYFUNCTION("""COMPUTED_VALUE"""),128.0)</f>
        <v>128</v>
      </c>
      <c r="B130" s="87" t="str">
        <f>IFERROR(__xludf.DUMMYFUNCTION("""COMPUTED_VALUE"""),"Thùng")</f>
        <v>Thùng</v>
      </c>
      <c r="C130" s="87" t="str">
        <f>IFERROR(__xludf.DUMMYFUNCTION("""COMPUTED_VALUE"""),"THC0125")</f>
        <v>THC0125</v>
      </c>
      <c r="D130" s="87" t="str">
        <f>IFERROR(__xludf.DUMMYFUNCTION("""COMPUTED_VALUE"""),"Thùng chung SHINO 450, 500ml x 30 chai (48x40x21cm)- Trắng viền xanh lá")</f>
        <v>Thùng chung SHINO 450, 500ml x 30 chai (48x40x21cm)- Trắng viền xanh lá</v>
      </c>
      <c r="E130" s="87" t="str">
        <f>IFERROR(__xludf.DUMMYFUNCTION("""COMPUTED_VALUE"""),"Tikabamec 3.6EC")</f>
        <v>Tikabamec 3.6EC</v>
      </c>
      <c r="F130" s="87" t="str">
        <f>IFERROR(__xludf.DUMMYFUNCTION("""COMPUTED_VALUE"""),"HH0125")</f>
        <v>HH0125</v>
      </c>
      <c r="G130" s="87" t="str">
        <f>IFERROR(__xludf.DUMMYFUNCTION("""COMPUTED_VALUE"""),"LOT IDA Global - I - 503 - ĐL Kim Thuỷ 1 - Abamex (Pet tròn) (nước đục) - 450ml - 40")</f>
        <v>LOT IDA Global - I - 503 - ĐL Kim Thuỷ 1 - Abamex (Pet tròn) (nước đục) - 450ml - 40</v>
      </c>
    </row>
    <row r="131">
      <c r="A131" s="86">
        <f>IFERROR(__xludf.DUMMYFUNCTION("""COMPUTED_VALUE"""),129.0)</f>
        <v>129</v>
      </c>
      <c r="B131" s="87" t="str">
        <f>IFERROR(__xludf.DUMMYFUNCTION("""COMPUTED_VALUE"""),"Thùng")</f>
        <v>Thùng</v>
      </c>
      <c r="C131" s="87" t="str">
        <f>IFERROR(__xludf.DUMMYFUNCTION("""COMPUTED_VALUE"""),"THC0126")</f>
        <v>THC0126</v>
      </c>
      <c r="D131" s="87" t="str">
        <f>IFERROR(__xludf.DUMMYFUNCTION("""COMPUTED_VALUE"""),"Thùng Korea chai 500ml x 40 chai (55x34.5x21.5cm) - Trắng viền xanh dương")</f>
        <v>Thùng Korea chai 500ml x 40 chai (55x34.5x21.5cm) - Trắng viền xanh dương</v>
      </c>
      <c r="E131" s="87" t="str">
        <f>IFERROR(__xludf.DUMMYFUNCTION("""COMPUTED_VALUE"""),"Prima 04")</f>
        <v>Prima 04</v>
      </c>
      <c r="F131" s="87" t="str">
        <f>IFERROR(__xludf.DUMMYFUNCTION("""COMPUTED_VALUE"""),"HH0126")</f>
        <v>HH0126</v>
      </c>
      <c r="G131" s="87" t="str">
        <f>IFERROR(__xludf.DUMMYFUNCTION("""COMPUTED_VALUE"""),"GC - I - 505 - Agriscience - Calcibor (Chai Pet) - 500ml - 40")</f>
        <v>GC - I - 505 - Agriscience - Calcibor (Chai Pet) - 500ml - 40</v>
      </c>
    </row>
    <row r="132">
      <c r="A132" s="86">
        <f>IFERROR(__xludf.DUMMYFUNCTION("""COMPUTED_VALUE"""),130.0)</f>
        <v>130</v>
      </c>
      <c r="B132" s="87" t="str">
        <f>IFERROR(__xludf.DUMMYFUNCTION("""COMPUTED_VALUE"""),"Thùng")</f>
        <v>Thùng</v>
      </c>
      <c r="C132" s="87" t="str">
        <f>IFERROR(__xludf.DUMMYFUNCTION("""COMPUTED_VALUE"""),"THC0127")</f>
        <v>THC0127</v>
      </c>
      <c r="D132" s="87" t="str">
        <f>IFERROR(__xludf.DUMMYFUNCTION("""COMPUTED_VALUE"""),"Thùng chung SHINO 240, 250ml x 40 chai (53 x 33 x 14.5cm) - Trắng viền xanh lá")</f>
        <v>Thùng chung SHINO 240, 250ml x 40 chai (53 x 33 x 14.5cm) - Trắng viền xanh lá</v>
      </c>
      <c r="E132" s="87" t="str">
        <f>IFERROR(__xludf.DUMMYFUNCTION("""COMPUTED_VALUE"""),"Tiger five 6.5EC")</f>
        <v>Tiger five 6.5EC</v>
      </c>
      <c r="F132" s="87" t="str">
        <f>IFERROR(__xludf.DUMMYFUNCTION("""COMPUTED_VALUE"""),"HH0127")</f>
        <v>HH0127</v>
      </c>
      <c r="G132" s="87" t="str">
        <f>IFERROR(__xludf.DUMMYFUNCTION("""COMPUTED_VALUE"""),"GC - II - 506 - AGC - Redmite - diệt nhện (chai nhôm xanh) - 240ml - 40")</f>
        <v>GC - II - 506 - AGC - Redmite - diệt nhện (chai nhôm xanh) - 240ml - 40</v>
      </c>
    </row>
    <row r="133">
      <c r="A133" s="86">
        <f>IFERROR(__xludf.DUMMYFUNCTION("""COMPUTED_VALUE"""),131.0)</f>
        <v>131</v>
      </c>
      <c r="B133" s="87" t="str">
        <f>IFERROR(__xludf.DUMMYFUNCTION("""COMPUTED_VALUE"""),"Thùng")</f>
        <v>Thùng</v>
      </c>
      <c r="C133" s="87" t="str">
        <f>IFERROR(__xludf.DUMMYFUNCTION("""COMPUTED_VALUE"""),"THC0128")</f>
        <v>THC0128</v>
      </c>
      <c r="D133" s="87" t="str">
        <f>IFERROR(__xludf.DUMMYFUNCTION("""COMPUTED_VALUE"""),"Thùng Toàn cầu  Đạo Ôn - Vi Khuẩn 250ml x 2 x 20 cặp (54x35x17cm) - Nâu viền xanh dương")</f>
        <v>Thùng Toàn cầu  Đạo Ôn - Vi Khuẩn 250ml x 2 x 20 cặp (54x35x17cm) - Nâu viền xanh dương</v>
      </c>
      <c r="E133" s="87" t="str">
        <f>IFERROR(__xludf.DUMMYFUNCTION("""COMPUTED_VALUE"""),"Chitin 3.6EC")</f>
        <v>Chitin 3.6EC</v>
      </c>
      <c r="F133" s="87" t="str">
        <f>IFERROR(__xludf.DUMMYFUNCTION("""COMPUTED_VALUE"""),"HH0128")</f>
        <v>HH0128</v>
      </c>
      <c r="G133" s="87" t="str">
        <f>IFERROR(__xludf.DUMMYFUNCTION("""COMPUTED_VALUE"""),"GC - II - 516 - Phúc Hưng -Thần hổ diệt sâu nhện (Nước trong) (chai PET tròn) - 450 ml - 40")</f>
        <v>GC - II - 516 - Phúc Hưng -Thần hổ diệt sâu nhện (Nước trong) (chai PET tròn) - 450 ml - 40</v>
      </c>
    </row>
    <row r="134">
      <c r="A134" s="86">
        <f>IFERROR(__xludf.DUMMYFUNCTION("""COMPUTED_VALUE"""),132.0)</f>
        <v>132</v>
      </c>
      <c r="B134" s="87" t="str">
        <f>IFERROR(__xludf.DUMMYFUNCTION("""COMPUTED_VALUE"""),"Thùng")</f>
        <v>Thùng</v>
      </c>
      <c r="C134" s="87" t="str">
        <f>IFERROR(__xludf.DUMMYFUNCTION("""COMPUTED_VALUE"""),"THC0129")</f>
        <v>THC0129</v>
      </c>
      <c r="D134" s="87" t="str">
        <f>IFERROR(__xludf.DUMMYFUNCTION("""COMPUTED_VALUE"""),"Thùng Toàn cầu Cặp Đôi 10 trong 1 250ml x 2 x 25 cặp (55.5x31.5x18cm) - Nâu viền xanh lá")</f>
        <v>Thùng Toàn cầu Cặp Đôi 10 trong 1 250ml x 2 x 25 cặp (55.5x31.5x18cm) - Nâu viền xanh lá</v>
      </c>
      <c r="E134" s="87" t="str">
        <f>IFERROR(__xludf.DUMMYFUNCTION("""COMPUTED_VALUE"""),"VD2")</f>
        <v>VD2</v>
      </c>
      <c r="F134" s="87" t="str">
        <f>IFERROR(__xludf.DUMMYFUNCTION("""COMPUTED_VALUE"""),"HH0129")</f>
        <v>HH0129</v>
      </c>
      <c r="G134" s="87" t="str">
        <f>IFERROR(__xludf.DUMMYFUNCTION("""COMPUTED_VALUE"""),"GC - II - 517 - SH - Humiix (túi nhôm) - 1 Kg - 25")</f>
        <v>GC - II - 517 - SH - Humiix (túi nhôm) - 1 Kg - 25</v>
      </c>
    </row>
    <row r="135">
      <c r="A135" s="86">
        <f>IFERROR(__xludf.DUMMYFUNCTION("""COMPUTED_VALUE"""),133.0)</f>
        <v>133</v>
      </c>
      <c r="B135" s="87" t="str">
        <f>IFERROR(__xludf.DUMMYFUNCTION("""COMPUTED_VALUE"""),"Thùng")</f>
        <v>Thùng</v>
      </c>
      <c r="C135" s="87" t="str">
        <f>IFERROR(__xludf.DUMMYFUNCTION("""COMPUTED_VALUE"""),"THC0131")</f>
        <v>THC0131</v>
      </c>
      <c r="D135" s="87" t="str">
        <f>IFERROR(__xludf.DUMMYFUNCTION("""COMPUTED_VALUE"""),"Thùng Sunrise chai tròn GLU150 Đỏ 900ml x 20 chai (48x38x23.5cm) - Trắng viền đỏ")</f>
        <v>Thùng Sunrise chai tròn GLU150 Đỏ 900ml x 20 chai (48x38x23.5cm) - Trắng viền đỏ</v>
      </c>
      <c r="E135" s="87" t="str">
        <f>IFERROR(__xludf.DUMMYFUNCTION("""COMPUTED_VALUE"""),"Mekongvil 5SC")</f>
        <v>Mekongvil 5SC</v>
      </c>
      <c r="F135" s="87" t="str">
        <f>IFERROR(__xludf.DUMMYFUNCTION("""COMPUTED_VALUE"""),"HH0131")</f>
        <v>HH0131</v>
      </c>
      <c r="G135" s="87" t="str">
        <f>IFERROR(__xludf.DUMMYFUNCTION("""COMPUTED_VALUE"""),"GC - II - 518 - A Hoài - Annvil Duc (Chai HD cao cấp) - 1L - 20")</f>
        <v>GC - II - 518 - A Hoài - Annvil Duc (Chai HD cao cấp) - 1L - 20</v>
      </c>
    </row>
    <row r="136">
      <c r="A136" s="86">
        <f>IFERROR(__xludf.DUMMYFUNCTION("""COMPUTED_VALUE"""),134.0)</f>
        <v>134</v>
      </c>
      <c r="B136" s="87" t="str">
        <f>IFERROR(__xludf.DUMMYFUNCTION("""COMPUTED_VALUE"""),"Thùng")</f>
        <v>Thùng</v>
      </c>
      <c r="C136" s="87" t="str">
        <f>IFERROR(__xludf.DUMMYFUNCTION("""COMPUTED_VALUE"""),"THC0130")</f>
        <v>THC0130</v>
      </c>
      <c r="D136" s="87" t="str">
        <f>IFERROR(__xludf.DUMMYFUNCTION("""COMPUTED_VALUE"""),"Thùng MANCO SUNRISE 1kg x 20 gói (50 x 35 x 30.5cm) - Thùng trắng viền đỏ")</f>
        <v>Thùng MANCO SUNRISE 1kg x 20 gói (50 x 35 x 30.5cm) - Thùng trắng viền đỏ</v>
      </c>
      <c r="E136" s="87" t="str">
        <f>IFERROR(__xludf.DUMMYFUNCTION("""COMPUTED_VALUE"""),"TVZEB 800WP")</f>
        <v>TVZEB 800WP</v>
      </c>
      <c r="F136" s="87" t="str">
        <f>IFERROR(__xludf.DUMMYFUNCTION("""COMPUTED_VALUE"""),"HH0130")</f>
        <v>HH0130</v>
      </c>
      <c r="G136" s="87" t="str">
        <f>IFERROR(__xludf.DUMMYFUNCTION("""COMPUTED_VALUE"""),"GC - II - 519 - Phúc Hưng - Mancozeb Xanh - 1kg - 20")</f>
        <v>GC - II - 519 - Phúc Hưng - Mancozeb Xanh - 1kg - 20</v>
      </c>
    </row>
    <row r="137">
      <c r="A137" s="86">
        <f>IFERROR(__xludf.DUMMYFUNCTION("""COMPUTED_VALUE"""),135.0)</f>
        <v>135</v>
      </c>
      <c r="B137" s="87" t="str">
        <f>IFERROR(__xludf.DUMMYFUNCTION("""COMPUTED_VALUE"""),"Thùng")</f>
        <v>Thùng</v>
      </c>
      <c r="C137" s="87" t="str">
        <f>IFERROR(__xludf.DUMMYFUNCTION("""COMPUTED_VALUE"""),"THC0132")</f>
        <v>THC0132</v>
      </c>
      <c r="D137" s="87" t="str">
        <f>IFERROR(__xludf.DUMMYFUNCTION("""COMPUTED_VALUE"""),"Thùng Sunrise chai tròn GLU200 Đỏ 900ml x 20 chai (48x38x23.5cm) - Trắng viền đỏ")</f>
        <v>Thùng Sunrise chai tròn GLU200 Đỏ 900ml x 20 chai (48x38x23.5cm) - Trắng viền đỏ</v>
      </c>
      <c r="E137" s="87" t="str">
        <f>IFERROR(__xludf.DUMMYFUNCTION("""COMPUTED_VALUE"""),"TVZEB 800WP")</f>
        <v>TVZEB 800WP</v>
      </c>
      <c r="F137" s="87" t="str">
        <f>IFERROR(__xludf.DUMMYFUNCTION("""COMPUTED_VALUE"""),"HH0132")</f>
        <v>HH0132</v>
      </c>
      <c r="G137" s="87" t="str">
        <f>IFERROR(__xludf.DUMMYFUNCTION("""COMPUTED_VALUE"""),"GC - II - 519 - Phúc Hưng - Mancozeb Xanh - 1kg - 20")</f>
        <v>GC - II - 519 - Phúc Hưng - Mancozeb Xanh - 1kg - 20</v>
      </c>
    </row>
    <row r="138">
      <c r="A138" s="86">
        <f>IFERROR(__xludf.DUMMYFUNCTION("""COMPUTED_VALUE"""),136.0)</f>
        <v>136</v>
      </c>
      <c r="B138" s="87" t="str">
        <f>IFERROR(__xludf.DUMMYFUNCTION("""COMPUTED_VALUE"""),"Thùng")</f>
        <v>Thùng</v>
      </c>
      <c r="C138" s="87" t="str">
        <f>IFERROR(__xludf.DUMMYFUNCTION("""COMPUTED_VALUE"""),"THC0133")</f>
        <v>THC0133</v>
      </c>
      <c r="D138" s="87" t="str">
        <f>IFERROR(__xludf.DUMMYFUNCTION("""COMPUTED_VALUE"""),"Thùng Sunrise chai vuông GLU- Sunrise150 1L x 20 chai (40x36.5x23.5cm) - Trắng viền đỏ")</f>
        <v>Thùng Sunrise chai vuông GLU- Sunrise150 1L x 20 chai (40x36.5x23.5cm) - Trắng viền đỏ</v>
      </c>
      <c r="E138" s="87" t="str">
        <f>IFERROR(__xludf.DUMMYFUNCTION("""COMPUTED_VALUE"""),"TVZEB 800WP")</f>
        <v>TVZEB 800WP</v>
      </c>
      <c r="F138" s="87" t="str">
        <f>IFERROR(__xludf.DUMMYFUNCTION("""COMPUTED_VALUE"""),"HH0133")</f>
        <v>HH0133</v>
      </c>
      <c r="G138" s="87" t="str">
        <f>IFERROR(__xludf.DUMMYFUNCTION("""COMPUTED_VALUE"""),"GC - II - 520 - Agriplant - Mancozeb xanh - 100gr - 100")</f>
        <v>GC - II - 520 - Agriplant - Mancozeb xanh - 100gr - 100</v>
      </c>
    </row>
    <row r="139">
      <c r="A139" s="86">
        <f>IFERROR(__xludf.DUMMYFUNCTION("""COMPUTED_VALUE"""),137.0)</f>
        <v>137</v>
      </c>
      <c r="B139" s="87" t="str">
        <f>IFERROR(__xludf.DUMMYFUNCTION("""COMPUTED_VALUE"""),"Thùng")</f>
        <v>Thùng</v>
      </c>
      <c r="C139" s="87" t="str">
        <f>IFERROR(__xludf.DUMMYFUNCTION("""COMPUTED_VALUE"""),"THC0134")</f>
        <v>THC0134</v>
      </c>
      <c r="D139" s="87" t="str">
        <f>IFERROR(__xludf.DUMMYFUNCTION("""COMPUTED_VALUE"""),"Thùng  Sunrise chai vuông  GLU- Sunrise200 1L x 20 chai (40x36.5x23.5cm) - Trắng viền đỏ")</f>
        <v>Thùng  Sunrise chai vuông  GLU- Sunrise200 1L x 20 chai (40x36.5x23.5cm) - Trắng viền đỏ</v>
      </c>
      <c r="E139" s="87" t="str">
        <f>IFERROR(__xludf.DUMMYFUNCTION("""COMPUTED_VALUE"""),"Remy 19EC")</f>
        <v>Remy 19EC</v>
      </c>
      <c r="F139" s="87" t="str">
        <f>IFERROR(__xludf.DUMMYFUNCTION("""COMPUTED_VALUE"""),"HH0134")</f>
        <v>HH0134</v>
      </c>
      <c r="G139" s="87" t="str">
        <f>IFERROR(__xludf.DUMMYFUNCTION("""COMPUTED_VALUE"""),"GC - II - 521 - Agriplant - Cynda (Pet vuông) - 450ml - 40")</f>
        <v>GC - II - 521 - Agriplant - Cynda (Pet vuông) - 450ml - 40</v>
      </c>
    </row>
    <row r="140">
      <c r="A140" s="86">
        <f>IFERROR(__xludf.DUMMYFUNCTION("""COMPUTED_VALUE"""),138.0)</f>
        <v>138</v>
      </c>
      <c r="B140" s="87" t="str">
        <f>IFERROR(__xludf.DUMMYFUNCTION("""COMPUTED_VALUE"""),"Thùng")</f>
        <v>Thùng</v>
      </c>
      <c r="C140" s="87" t="str">
        <f>IFERROR(__xludf.DUMMYFUNCTION("""COMPUTED_VALUE"""),"THC0135")</f>
        <v>THC0135</v>
      </c>
      <c r="D140" s="87" t="str">
        <f>IFERROR(__xludf.DUMMYFUNCTION("""COMPUTED_VALUE"""),"Thùng Sunrise chai nhôm  TOP Sunrise 240ml x 40 chai (45x30x18cm) - Trắng viền đỏ")</f>
        <v>Thùng Sunrise chai nhôm  TOP Sunrise 240ml x 40 chai (45x30x18cm) - Trắng viền đỏ</v>
      </c>
      <c r="E140" s="87" t="str">
        <f>IFERROR(__xludf.DUMMYFUNCTION("""COMPUTED_VALUE"""),"Vi lượng Basel IDA 11")</f>
        <v>Vi lượng Basel IDA 11</v>
      </c>
      <c r="F140" s="87" t="str">
        <f>IFERROR(__xludf.DUMMYFUNCTION("""COMPUTED_VALUE"""),"HH0135")</f>
        <v>HH0135</v>
      </c>
      <c r="G140" s="87" t="str">
        <f>IFERROR(__xludf.DUMMYFUNCTION("""COMPUTED_VALUE"""),"GC - II - Agriplant - 522 - Bio Copper 150 - 165gr - 100")</f>
        <v>GC - II - Agriplant - 522 - Bio Copper 150 - 165gr - 100</v>
      </c>
    </row>
    <row r="141">
      <c r="A141" s="86">
        <f>IFERROR(__xludf.DUMMYFUNCTION("""COMPUTED_VALUE"""),139.0)</f>
        <v>139</v>
      </c>
      <c r="B141" s="87" t="str">
        <f>IFERROR(__xludf.DUMMYFUNCTION("""COMPUTED_VALUE"""),"Thùng")</f>
        <v>Thùng</v>
      </c>
      <c r="C141" s="87" t="str">
        <f>IFERROR(__xludf.DUMMYFUNCTION("""COMPUTED_VALUE"""),"THC0136")</f>
        <v>THC0136</v>
      </c>
      <c r="D141" s="87" t="str">
        <f>IFERROR(__xludf.DUMMYFUNCTION("""COMPUTED_VALUE"""),"Thùng Thụy Sĩ chai tròn Vua cỏ bờ 900ml x 20 chai (48x38x23.5) - Trắng viền xanh lá")</f>
        <v>Thùng Thụy Sĩ chai tròn Vua cỏ bờ 900ml x 20 chai (48x38x23.5) - Trắng viền xanh lá</v>
      </c>
      <c r="E141" s="87" t="str">
        <f>IFERROR(__xludf.DUMMYFUNCTION("""COMPUTED_VALUE"""),"Vi lượng Basel IDA 11")</f>
        <v>Vi lượng Basel IDA 11</v>
      </c>
      <c r="F141" s="87" t="str">
        <f>IFERROR(__xludf.DUMMYFUNCTION("""COMPUTED_VALUE"""),"HH0136")</f>
        <v>HH0136</v>
      </c>
      <c r="G141" s="87" t="str">
        <f>IFERROR(__xludf.DUMMYFUNCTION("""COMPUTED_VALUE"""),"GC - II - Agriplant - 522 - Bio Copper 150 - 165gr - 100")</f>
        <v>GC - II - Agriplant - 522 - Bio Copper 150 - 165gr - 100</v>
      </c>
    </row>
    <row r="142">
      <c r="A142" s="86">
        <f>IFERROR(__xludf.DUMMYFUNCTION("""COMPUTED_VALUE"""),140.0)</f>
        <v>140</v>
      </c>
      <c r="B142" s="87" t="str">
        <f>IFERROR(__xludf.DUMMYFUNCTION("""COMPUTED_VALUE"""),"Thùng")</f>
        <v>Thùng</v>
      </c>
      <c r="C142" s="87" t="str">
        <f>IFERROR(__xludf.DUMMYFUNCTION("""COMPUTED_VALUE"""),"THC0137")</f>
        <v>THC0137</v>
      </c>
      <c r="D142" s="87" t="str">
        <f>IFERROR(__xludf.DUMMYFUNCTION("""COMPUTED_VALUE"""),"Thùng Thụy Sĩ chai tròn Sạch cỏ bờ 900ml x 20 chai (48x38x23.5) - Trắng viền xanh lá")</f>
        <v>Thùng Thụy Sĩ chai tròn Sạch cỏ bờ 900ml x 20 chai (48x38x23.5) - Trắng viền xanh lá</v>
      </c>
      <c r="E142" s="87" t="str">
        <f>IFERROR(__xludf.DUMMYFUNCTION("""COMPUTED_VALUE"""),"Kamycinjapane 20SL")</f>
        <v>Kamycinjapane 20SL</v>
      </c>
      <c r="F142" s="87" t="str">
        <f>IFERROR(__xludf.DUMMYFUNCTION("""COMPUTED_VALUE"""),"HH0137")</f>
        <v>HH0137</v>
      </c>
      <c r="G142" s="87" t="str">
        <f>IFERROR(__xludf.DUMMYFUNCTION("""COMPUTED_VALUE"""),"GC - II - 523 - Luta - Kamycinjapane 20SL (Pet tron) - 480ml - 40")</f>
        <v>GC - II - 523 - Luta - Kamycinjapane 20SL (Pet tron) - 480ml - 40</v>
      </c>
    </row>
    <row r="143">
      <c r="A143" s="86">
        <f>IFERROR(__xludf.DUMMYFUNCTION("""COMPUTED_VALUE"""),141.0)</f>
        <v>141</v>
      </c>
      <c r="B143" s="87" t="str">
        <f>IFERROR(__xludf.DUMMYFUNCTION("""COMPUTED_VALUE"""),"Thùng")</f>
        <v>Thùng</v>
      </c>
      <c r="C143" s="87" t="str">
        <f>IFERROR(__xludf.DUMMYFUNCTION("""COMPUTED_VALUE"""),"THC0138")</f>
        <v>THC0138</v>
      </c>
      <c r="D143" s="87" t="str">
        <f>IFERROR(__xludf.DUMMYFUNCTION("""COMPUTED_VALUE"""),"Thùng DC chai Pet tròn 60ml x 100 chai (48.5x25x17.5cm) - Trắng")</f>
        <v>Thùng DC chai Pet tròn 60ml x 100 chai (48.5x25x17.5cm) - Trắng</v>
      </c>
      <c r="E143" s="87" t="str">
        <f>IFERROR(__xludf.DUMMYFUNCTION("""COMPUTED_VALUE"""),"TOPZOLE 800WG")</f>
        <v>TOPZOLE 800WG</v>
      </c>
      <c r="F143" s="87" t="str">
        <f>IFERROR(__xludf.DUMMYFUNCTION("""COMPUTED_VALUE"""),"HH0138")</f>
        <v>HH0138</v>
      </c>
      <c r="G143" s="87" t="str">
        <f>IFERROR(__xludf.DUMMYFUNCTION("""COMPUTED_VALUE"""),"GC - II - 524 - BM - Diệt đạo ôn cháy lá - 25 gr - 300")</f>
        <v>GC - II - 524 - BM - Diệt đạo ôn cháy lá - 25 gr - 300</v>
      </c>
    </row>
    <row r="144">
      <c r="A144" s="86">
        <f>IFERROR(__xludf.DUMMYFUNCTION("""COMPUTED_VALUE"""),142.0)</f>
        <v>142</v>
      </c>
      <c r="B144" s="87" t="str">
        <f>IFERROR(__xludf.DUMMYFUNCTION("""COMPUTED_VALUE"""),"Thùng")</f>
        <v>Thùng</v>
      </c>
      <c r="C144" s="87" t="str">
        <f>IFERROR(__xludf.DUMMYFUNCTION("""COMPUTED_VALUE"""),"THC0139")</f>
        <v>THC0139</v>
      </c>
      <c r="D144" s="87" t="str">
        <f>IFERROR(__xludf.DUMMYFUNCTION("""COMPUTED_VALUE"""),"Thùng Agriscience chai tròn cao 500ml x 40 chai (55x34.5x21.5cm) - Trắng")</f>
        <v>Thùng Agriscience chai tròn cao 500ml x 40 chai (55x34.5x21.5cm) - Trắng</v>
      </c>
      <c r="E144" s="87" t="str">
        <f>IFERROR(__xludf.DUMMYFUNCTION("""COMPUTED_VALUE"""),"TOPZOLE 800WG")</f>
        <v>TOPZOLE 800WG</v>
      </c>
      <c r="F144" s="87" t="str">
        <f>IFERROR(__xludf.DUMMYFUNCTION("""COMPUTED_VALUE"""),"HH0139")</f>
        <v>HH0139</v>
      </c>
      <c r="G144" s="87" t="str">
        <f>IFERROR(__xludf.DUMMYFUNCTION("""COMPUTED_VALUE"""),"GC - II - 524 - BM - Diệt đạo ôn cháy lá - 25 gr - 300")</f>
        <v>GC - II - 524 - BM - Diệt đạo ôn cháy lá - 25 gr - 300</v>
      </c>
    </row>
    <row r="145">
      <c r="A145" s="86">
        <f>IFERROR(__xludf.DUMMYFUNCTION("""COMPUTED_VALUE"""),143.0)</f>
        <v>143</v>
      </c>
      <c r="B145" s="87" t="str">
        <f>IFERROR(__xludf.DUMMYFUNCTION("""COMPUTED_VALUE"""),"Thùng")</f>
        <v>Thùng</v>
      </c>
      <c r="C145" s="87" t="str">
        <f>IFERROR(__xludf.DUMMYFUNCTION("""COMPUTED_VALUE"""),"THC0140")</f>
        <v>THC0140</v>
      </c>
      <c r="D145" s="87" t="str">
        <f>IFERROR(__xludf.DUMMYFUNCTION("""COMPUTED_VALUE"""),"Thùng Sunrise chai tròn Siêu Đa Năng 100ml x 100 chai (52x26.5x22.5cm) - Trắng viền đỏ")</f>
        <v>Thùng Sunrise chai tròn Siêu Đa Năng 100ml x 100 chai (52x26.5x22.5cm) - Trắng viền đỏ</v>
      </c>
      <c r="E145" s="87" t="str">
        <f>IFERROR(__xludf.DUMMYFUNCTION("""COMPUTED_VALUE"""),"Vi lượng Basel IDA 46")</f>
        <v>Vi lượng Basel IDA 46</v>
      </c>
      <c r="F145" s="87" t="str">
        <f>IFERROR(__xludf.DUMMYFUNCTION("""COMPUTED_VALUE"""),"HH0140")</f>
        <v>HH0140</v>
      </c>
      <c r="G145" s="87" t="str">
        <f>IFERROR(__xludf.DUMMYFUNCTION("""COMPUTED_VALUE"""),"IDA Global - I - 525 - Amazon SC (Drone) (PET trong cao) - 450ml - 40")</f>
        <v>IDA Global - I - 525 - Amazon SC (Drone) (PET trong cao) - 450ml - 40</v>
      </c>
    </row>
    <row r="146">
      <c r="A146" s="86">
        <f>IFERROR(__xludf.DUMMYFUNCTION("""COMPUTED_VALUE"""),144.0)</f>
        <v>144</v>
      </c>
      <c r="B146" s="87" t="str">
        <f>IFERROR(__xludf.DUMMYFUNCTION("""COMPUTED_VALUE"""),"Thùng")</f>
        <v>Thùng</v>
      </c>
      <c r="C146" s="87" t="str">
        <f>IFERROR(__xludf.DUMMYFUNCTION("""COMPUTED_VALUE"""),"THC0141")</f>
        <v>THC0141</v>
      </c>
      <c r="D146" s="87" t="str">
        <f>IFERROR(__xludf.DUMMYFUNCTION("""COMPUTED_VALUE"""),"Thùng Visanto chai Pet vuông 240ml x 40 chai (47x36.5x15.5cm) - Trắng viền tím")</f>
        <v>Thùng Visanto chai Pet vuông 240ml x 40 chai (47x36.5x15.5cm) - Trắng viền tím</v>
      </c>
      <c r="E146" s="87" t="str">
        <f>IFERROR(__xludf.DUMMYFUNCTION("""COMPUTED_VALUE"""),"Remy 19EC")</f>
        <v>Remy 19EC</v>
      </c>
      <c r="F146" s="87" t="str">
        <f>IFERROR(__xludf.DUMMYFUNCTION("""COMPUTED_VALUE"""),"HH0141")</f>
        <v>HH0141</v>
      </c>
      <c r="G146" s="87" t="str">
        <f>IFERROR(__xludf.DUMMYFUNCTION("""COMPUTED_VALUE"""),"GC - I - 527 - Thiên Di - Ema19 (Pet Vuông) - 450ml - 40")</f>
        <v>GC - I - 527 - Thiên Di - Ema19 (Pet Vuông) - 450ml - 40</v>
      </c>
    </row>
    <row r="147">
      <c r="A147" s="86">
        <f>IFERROR(__xludf.DUMMYFUNCTION("""COMPUTED_VALUE"""),145.0)</f>
        <v>145</v>
      </c>
      <c r="B147" s="87" t="str">
        <f>IFERROR(__xludf.DUMMYFUNCTION("""COMPUTED_VALUE"""),"Thùng")</f>
        <v>Thùng</v>
      </c>
      <c r="C147" s="87" t="str">
        <f>IFERROR(__xludf.DUMMYFUNCTION("""COMPUTED_VALUE"""),"THC0142")</f>
        <v>THC0142</v>
      </c>
      <c r="D147" s="87" t="str">
        <f>IFERROR(__xludf.DUMMYFUNCTION("""COMPUTED_VALUE"""),"Thùng NEWTECH 500ml x 40 chai (63 x 39 x 21cm) - Trắng viền xanh lá")</f>
        <v>Thùng NEWTECH 500ml x 40 chai (63 x 39 x 21cm) - Trắng viền xanh lá</v>
      </c>
      <c r="E147" s="87" t="str">
        <f>IFERROR(__xludf.DUMMYFUNCTION("""COMPUTED_VALUE"""),"Tikabamec 3.6EC")</f>
        <v>Tikabamec 3.6EC</v>
      </c>
      <c r="F147" s="87" t="str">
        <f>IFERROR(__xludf.DUMMYFUNCTION("""COMPUTED_VALUE"""),"HH0142")</f>
        <v>HH0142</v>
      </c>
      <c r="G147" s="87" t="str">
        <f>IFERROR(__xludf.DUMMYFUNCTION("""COMPUTED_VALUE"""),"GC - II - 528 - AGC - Gaba (Pet tròn) (nước đục) - 450ml - 40")</f>
        <v>GC - II - 528 - AGC - Gaba (Pet tròn) (nước đục) - 450ml - 40</v>
      </c>
    </row>
    <row r="148">
      <c r="A148" s="86">
        <f>IFERROR(__xludf.DUMMYFUNCTION("""COMPUTED_VALUE"""),146.0)</f>
        <v>146</v>
      </c>
      <c r="B148" s="87" t="str">
        <f>IFERROR(__xludf.DUMMYFUNCTION("""COMPUTED_VALUE"""),"Thùng")</f>
        <v>Thùng</v>
      </c>
      <c r="C148" s="87" t="str">
        <f>IFERROR(__xludf.DUMMYFUNCTION("""COMPUTED_VALUE"""),"THC0143")</f>
        <v>THC0143</v>
      </c>
      <c r="D148" s="87" t="str">
        <f>IFERROR(__xludf.DUMMYFUNCTION("""COMPUTED_VALUE"""),"Thùng Sunrise Sạch sâu 50gr x 200 gói (46 x 29 x 18.5cm) - Trắng viền đỏ")</f>
        <v>Thùng Sunrise Sạch sâu 50gr x 200 gói (46 x 29 x 18.5cm) - Trắng viền đỏ</v>
      </c>
      <c r="E148" s="87" t="str">
        <f>IFERROR(__xludf.DUMMYFUNCTION("""COMPUTED_VALUE"""),"Tikabamec 3.6EC")</f>
        <v>Tikabamec 3.6EC</v>
      </c>
      <c r="F148" s="87" t="str">
        <f>IFERROR(__xludf.DUMMYFUNCTION("""COMPUTED_VALUE"""),"HH0143")</f>
        <v>HH0143</v>
      </c>
      <c r="G148" s="87" t="str">
        <f>IFERROR(__xludf.DUMMYFUNCTION("""COMPUTED_VALUE"""),"GC - II - 529 - MK936 (Pet tròn) (nước đục) - 450ml - 40")</f>
        <v>GC - II - 529 - MK936 (Pet tròn) (nước đục) - 450ml - 40</v>
      </c>
    </row>
    <row r="149">
      <c r="A149" s="86">
        <f>IFERROR(__xludf.DUMMYFUNCTION("""COMPUTED_VALUE"""),147.0)</f>
        <v>147</v>
      </c>
      <c r="B149" s="87" t="str">
        <f>IFERROR(__xludf.DUMMYFUNCTION("""COMPUTED_VALUE"""),"Thùng")</f>
        <v>Thùng</v>
      </c>
      <c r="C149" s="87" t="str">
        <f>IFERROR(__xludf.DUMMYFUNCTION("""COMPUTED_VALUE"""),"THC0144")</f>
        <v>THC0144</v>
      </c>
      <c r="D149" s="87" t="str">
        <f>IFERROR(__xludf.DUMMYFUNCTION("""COMPUTED_VALUE"""),"Thùng Japan chai Pet 500ml x 30 hộp (51x42.5x20cm) - Trắng viền xanh dương")</f>
        <v>Thùng Japan chai Pet 500ml x 30 hộp (51x42.5x20cm) - Trắng viền xanh dương</v>
      </c>
      <c r="E149" s="87" t="str">
        <f>IFERROR(__xludf.DUMMYFUNCTION("""COMPUTED_VALUE"""),"Pim.Pim 75WP")</f>
        <v>Pim.Pim 75WP</v>
      </c>
      <c r="F149" s="87" t="str">
        <f>IFERROR(__xludf.DUMMYFUNCTION("""COMPUTED_VALUE"""),"HH0144")</f>
        <v>HH0144</v>
      </c>
      <c r="G149" s="87" t="str">
        <f>IFERROR(__xludf.DUMMYFUNCTION("""COMPUTED_VALUE"""),"IDA Global - I - 530.1 - Sức mạnh Tricyclazole - New 35gr - 300")</f>
        <v>IDA Global - I - 530.1 - Sức mạnh Tricyclazole - New 35gr - 300</v>
      </c>
    </row>
    <row r="150">
      <c r="A150" s="86">
        <f>IFERROR(__xludf.DUMMYFUNCTION("""COMPUTED_VALUE"""),148.0)</f>
        <v>148</v>
      </c>
      <c r="B150" s="87" t="str">
        <f>IFERROR(__xludf.DUMMYFUNCTION("""COMPUTED_VALUE"""),"Thùng")</f>
        <v>Thùng</v>
      </c>
      <c r="C150" s="87" t="str">
        <f>IFERROR(__xludf.DUMMYFUNCTION("""COMPUTED_VALUE"""),"THC0145")</f>
        <v>THC0145</v>
      </c>
      <c r="D150" s="87" t="str">
        <f>IFERROR(__xludf.DUMMYFUNCTION("""COMPUTED_VALUE"""),"Thùng Dr.Xanh Chai HD 500ml x 30 chai (42x35x24.5) - Trắng viền đen")</f>
        <v>Thùng Dr.Xanh Chai HD 500ml x 30 chai (42x35x24.5) - Trắng viền đen</v>
      </c>
      <c r="E150" s="87" t="str">
        <f>IFERROR(__xludf.DUMMYFUNCTION("""COMPUTED_VALUE"""),"Pim.Pim 75WP")</f>
        <v>Pim.Pim 75WP</v>
      </c>
      <c r="F150" s="87" t="str">
        <f>IFERROR(__xludf.DUMMYFUNCTION("""COMPUTED_VALUE"""),"HH0145")</f>
        <v>HH0145</v>
      </c>
      <c r="G150" s="87" t="str">
        <f>IFERROR(__xludf.DUMMYFUNCTION("""COMPUTED_VALUE"""),"IDA Global - I - 530.2 - Sức mạnh Tricyclazole - New 35gr - 300")</f>
        <v>IDA Global - I - 530.2 - Sức mạnh Tricyclazole - New 35gr - 300</v>
      </c>
    </row>
    <row r="151">
      <c r="A151" s="86">
        <f>IFERROR(__xludf.DUMMYFUNCTION("""COMPUTED_VALUE"""),149.0)</f>
        <v>149</v>
      </c>
      <c r="B151" s="87" t="str">
        <f>IFERROR(__xludf.DUMMYFUNCTION("""COMPUTED_VALUE"""),"Thùng")</f>
        <v>Thùng</v>
      </c>
      <c r="C151" s="87" t="str">
        <f>IFERROR(__xludf.DUMMYFUNCTION("""COMPUTED_VALUE"""),"THC0146")</f>
        <v>THC0146</v>
      </c>
      <c r="D151" s="87" t="str">
        <f>IFERROR(__xludf.DUMMYFUNCTION("""COMPUTED_VALUE"""),"Thùng Chai HD 500ml x 40 chai (60x38x20cm) - Thùng Trắng viền đen")</f>
        <v>Thùng Chai HD 500ml x 40 chai (60x38x20cm) - Thùng Trắng viền đen</v>
      </c>
      <c r="E151" s="87" t="str">
        <f>IFERROR(__xludf.DUMMYFUNCTION("""COMPUTED_VALUE"""),"Pim.Pim 75WP")</f>
        <v>Pim.Pim 75WP</v>
      </c>
      <c r="F151" s="87" t="str">
        <f>IFERROR(__xludf.DUMMYFUNCTION("""COMPUTED_VALUE"""),"HH0146")</f>
        <v>HH0146</v>
      </c>
      <c r="G151" s="87" t="str">
        <f>IFERROR(__xludf.DUMMYFUNCTION("""COMPUTED_VALUE"""),"IDA Global - I - 530.2 - Sức mạnh Tricyclazole - New 35gr - 300")</f>
        <v>IDA Global - I - 530.2 - Sức mạnh Tricyclazole - New 35gr - 300</v>
      </c>
    </row>
    <row r="152">
      <c r="A152" s="86">
        <f>IFERROR(__xludf.DUMMYFUNCTION("""COMPUTED_VALUE"""),150.0)</f>
        <v>150</v>
      </c>
      <c r="B152" s="87" t="str">
        <f>IFERROR(__xludf.DUMMYFUNCTION("""COMPUTED_VALUE"""),"Thùng")</f>
        <v>Thùng</v>
      </c>
      <c r="C152" s="87" t="str">
        <f>IFERROR(__xludf.DUMMYFUNCTION("""COMPUTED_VALUE"""),"THC0147")</f>
        <v>THC0147</v>
      </c>
      <c r="D152" s="87" t="str">
        <f>IFERROR(__xludf.DUMMYFUNCTION("""COMPUTED_VALUE"""),"Thùng Bellormar chai PET tròn 500ml x 40 chai (55x34.5x21.5cm) - Trắng viền đỏ")</f>
        <v>Thùng Bellormar chai PET tròn 500ml x 40 chai (55x34.5x21.5cm) - Trắng viền đỏ</v>
      </c>
      <c r="E152" s="87" t="str">
        <f>IFERROR(__xludf.DUMMYFUNCTION("""COMPUTED_VALUE"""),"Prima 04")</f>
        <v>Prima 04</v>
      </c>
      <c r="F152" s="87" t="str">
        <f>IFERROR(__xludf.DUMMYFUNCTION("""COMPUTED_VALUE"""),"HH0147")</f>
        <v>HH0147</v>
      </c>
      <c r="G152" s="87" t="str">
        <f>IFERROR(__xludf.DUMMYFUNCTION("""COMPUTED_VALUE"""),"GC - II - 531 - AGC - Bo.CaX (PET tròn) - 500ml - 40")</f>
        <v>GC - II - 531 - AGC - Bo.CaX (PET tròn) - 500ml - 40</v>
      </c>
    </row>
    <row r="153">
      <c r="A153" s="86">
        <f>IFERROR(__xludf.DUMMYFUNCTION("""COMPUTED_VALUE"""),151.0)</f>
        <v>151</v>
      </c>
      <c r="B153" s="87" t="str">
        <f>IFERROR(__xludf.DUMMYFUNCTION("""COMPUTED_VALUE"""),"Thùng")</f>
        <v>Thùng</v>
      </c>
      <c r="C153" s="87" t="str">
        <f>IFERROR(__xludf.DUMMYFUNCTION("""COMPUTED_VALUE"""),"THC0148")</f>
        <v>THC0148</v>
      </c>
      <c r="D153" s="87" t="str">
        <f>IFERROR(__xludf.DUMMYFUNCTION("""COMPUTED_VALUE"""),"Thùng HITACO chai nắp chụp tròn 1 Lít x 20 chai/thùng  -Trắng viền đỏ")</f>
        <v>Thùng HITACO chai nắp chụp tròn 1 Lít x 20 chai/thùng  -Trắng viền đỏ</v>
      </c>
      <c r="E153" s="87" t="str">
        <f>IFERROR(__xludf.DUMMYFUNCTION("""COMPUTED_VALUE"""),"TVZEB 800WP")</f>
        <v>TVZEB 800WP</v>
      </c>
      <c r="F153" s="87" t="str">
        <f>IFERROR(__xludf.DUMMYFUNCTION("""COMPUTED_VALUE"""),"HH0148")</f>
        <v>HH0148</v>
      </c>
      <c r="G153" s="87" t="str">
        <f>IFERROR(__xludf.DUMMYFUNCTION("""COMPUTED_VALUE"""),"GC - II - 539 - Luta - Mancozeb vàng - 1kg - 20")</f>
        <v>GC - II - 539 - Luta - Mancozeb vàng - 1kg - 20</v>
      </c>
    </row>
    <row r="154">
      <c r="A154" s="86">
        <f>IFERROR(__xludf.DUMMYFUNCTION("""COMPUTED_VALUE"""),152.0)</f>
        <v>152</v>
      </c>
      <c r="B154" s="87" t="str">
        <f>IFERROR(__xludf.DUMMYFUNCTION("""COMPUTED_VALUE"""),"Thùng")</f>
        <v>Thùng</v>
      </c>
      <c r="C154" s="87" t="str">
        <f>IFERROR(__xludf.DUMMYFUNCTION("""COMPUTED_VALUE"""),"THC0149")</f>
        <v>THC0149</v>
      </c>
      <c r="D154" s="87" t="str">
        <f>IFERROR(__xludf.DUMMYFUNCTION("""COMPUTED_VALUE"""),"Thùng trắng ABA chai HD tròn 100ml x 100 chai/thùng (45.5x45.5x14cm) - Trắng viền đen")</f>
        <v>Thùng trắng ABA chai HD tròn 100ml x 100 chai/thùng (45.5x45.5x14cm) - Trắng viền đen</v>
      </c>
      <c r="E154" s="87" t="str">
        <f>IFERROR(__xludf.DUMMYFUNCTION("""COMPUTED_VALUE"""),"TVZEB 800WP")</f>
        <v>TVZEB 800WP</v>
      </c>
      <c r="F154" s="87" t="str">
        <f>IFERROR(__xludf.DUMMYFUNCTION("""COMPUTED_VALUE"""),"HH0149")</f>
        <v>HH0149</v>
      </c>
      <c r="G154" s="87" t="str">
        <f>IFERROR(__xludf.DUMMYFUNCTION("""COMPUTED_VALUE"""),"GC - II - 539 - Luta - Mancozeb vàng - 1kg - 20")</f>
        <v>GC - II - 539 - Luta - Mancozeb vàng - 1kg - 20</v>
      </c>
    </row>
    <row r="155">
      <c r="A155" s="86">
        <f>IFERROR(__xludf.DUMMYFUNCTION("""COMPUTED_VALUE"""),153.0)</f>
        <v>153</v>
      </c>
      <c r="B155" s="87" t="str">
        <f>IFERROR(__xludf.DUMMYFUNCTION("""COMPUTED_VALUE"""),"Thùng")</f>
        <v>Thùng</v>
      </c>
      <c r="C155" s="87" t="str">
        <f>IFERROR(__xludf.DUMMYFUNCTION("""COMPUTED_VALUE"""),"THC0150")</f>
        <v>THC0150</v>
      </c>
      <c r="D155" s="87" t="str">
        <f>IFERROR(__xludf.DUMMYFUNCTION("""COMPUTED_VALUE"""),"Thùng Rầy Rệp Sunrise 40 chai x 400ml (55x34.5x21.5) - Trắng đỏ")</f>
        <v>Thùng Rầy Rệp Sunrise 40 chai x 400ml (55x34.5x21.5) - Trắng đỏ</v>
      </c>
      <c r="E155" s="87" t="str">
        <f>IFERROR(__xludf.DUMMYFUNCTION("""COMPUTED_VALUE"""),"Prima 04")</f>
        <v>Prima 04</v>
      </c>
      <c r="F155" s="87" t="str">
        <f>IFERROR(__xludf.DUMMYFUNCTION("""COMPUTED_VALUE"""),"HH0150")</f>
        <v>HH0150</v>
      </c>
      <c r="G155" s="87" t="str">
        <f>IFERROR(__xludf.DUMMYFUNCTION("""COMPUTED_VALUE"""),"GC - II - 540 - Luta - Myhu - 1 kg - 25")</f>
        <v>GC - II - 540 - Luta - Myhu - 1 kg - 25</v>
      </c>
    </row>
    <row r="156">
      <c r="A156" s="86">
        <f>IFERROR(__xludf.DUMMYFUNCTION("""COMPUTED_VALUE"""),154.0)</f>
        <v>154</v>
      </c>
      <c r="B156" s="87" t="str">
        <f>IFERROR(__xludf.DUMMYFUNCTION("""COMPUTED_VALUE"""),"Thùng")</f>
        <v>Thùng</v>
      </c>
      <c r="C156" s="87" t="str">
        <f>IFERROR(__xludf.DUMMYFUNCTION("""COMPUTED_VALUE"""),"THC0151")</f>
        <v>THC0151</v>
      </c>
      <c r="D156" s="87" t="str">
        <f>IFERROR(__xludf.DUMMYFUNCTION("""COMPUTED_VALUE"""),"Thùng Hoàng Thắng chai 250ml x 40 chai (50x32x15.5 cm) - Trắng viền tím")</f>
        <v>Thùng Hoàng Thắng chai 250ml x 40 chai (50x32x15.5 cm) - Trắng viền tím</v>
      </c>
      <c r="E156" s="87" t="str">
        <f>IFERROR(__xludf.DUMMYFUNCTION("""COMPUTED_VALUE"""),"TOPZOLE 800WG")</f>
        <v>TOPZOLE 800WG</v>
      </c>
      <c r="F156" s="87" t="str">
        <f>IFERROR(__xludf.DUMMYFUNCTION("""COMPUTED_VALUE"""),"HH0151")</f>
        <v>HH0151</v>
      </c>
      <c r="G156" s="87" t="str">
        <f>IFERROR(__xludf.DUMMYFUNCTION("""COMPUTED_VALUE"""),"GC - I - 546 - AU - Diệt đạo ôn - 20gr - 300")</f>
        <v>GC - I - 546 - AU - Diệt đạo ôn - 20gr - 300</v>
      </c>
    </row>
    <row r="157">
      <c r="A157" s="86">
        <f>IFERROR(__xludf.DUMMYFUNCTION("""COMPUTED_VALUE"""),155.0)</f>
        <v>155</v>
      </c>
      <c r="B157" s="87" t="str">
        <f>IFERROR(__xludf.DUMMYFUNCTION("""COMPUTED_VALUE"""),"Thùng")</f>
        <v>Thùng</v>
      </c>
      <c r="C157" s="87" t="str">
        <f>IFERROR(__xludf.DUMMYFUNCTION("""COMPUTED_VALUE"""),"THC0152")</f>
        <v>THC0152</v>
      </c>
      <c r="D157" s="87" t="str">
        <f>IFERROR(__xludf.DUMMYFUNCTION("""COMPUTED_VALUE"""),"Thùng Hoàng Thắng chai tròn 500ml x 40 chai (57.5x36.5x21.5cm) - Trắng viền tím")</f>
        <v>Thùng Hoàng Thắng chai tròn 500ml x 40 chai (57.5x36.5x21.5cm) - Trắng viền tím</v>
      </c>
      <c r="E157" s="87" t="str">
        <f>IFERROR(__xludf.DUMMYFUNCTION("""COMPUTED_VALUE"""),"Remy 19EC")</f>
        <v>Remy 19EC</v>
      </c>
      <c r="F157" s="87" t="str">
        <f>IFERROR(__xludf.DUMMYFUNCTION("""COMPUTED_VALUE"""),"HH0152")</f>
        <v>HH0152</v>
      </c>
      <c r="G157" s="87" t="str">
        <f>IFERROR(__xludf.DUMMYFUNCTION("""COMPUTED_VALUE"""),"GC - II - 551 - Huy Phát - Hufatin (PET vuông) - 450ml - 40")</f>
        <v>GC - II - 551 - Huy Phát - Hufatin (PET vuông) - 450ml - 40</v>
      </c>
    </row>
    <row r="158">
      <c r="A158" s="86">
        <f>IFERROR(__xludf.DUMMYFUNCTION("""COMPUTED_VALUE"""),156.0)</f>
        <v>156</v>
      </c>
      <c r="B158" s="87" t="str">
        <f>IFERROR(__xludf.DUMMYFUNCTION("""COMPUTED_VALUE"""),"Thùng")</f>
        <v>Thùng</v>
      </c>
      <c r="C158" s="87" t="str">
        <f>IFERROR(__xludf.DUMMYFUNCTION("""COMPUTED_VALUE"""),"THC0153")</f>
        <v>THC0153</v>
      </c>
      <c r="D158" s="87" t="str">
        <f>IFERROR(__xludf.DUMMYFUNCTION("""COMPUTED_VALUE"""),"Thùng trắng ABA chai PET giả nhôm 120ml x 100 chai (51.5x26.5x23cm) - Trắng viền đen")</f>
        <v>Thùng trắng ABA chai PET giả nhôm 120ml x 100 chai (51.5x26.5x23cm) - Trắng viền đen</v>
      </c>
      <c r="E158" s="87" t="str">
        <f>IFERROR(__xludf.DUMMYFUNCTION("""COMPUTED_VALUE"""),"Vi lượng Slow Growth")</f>
        <v>Vi lượng Slow Growth</v>
      </c>
      <c r="F158" s="87" t="str">
        <f>IFERROR(__xludf.DUMMYFUNCTION("""COMPUTED_VALUE"""),"HH0153")</f>
        <v>HH0153</v>
      </c>
      <c r="G158" s="87" t="str">
        <f>IFERROR(__xludf.DUMMYFUNCTION("""COMPUTED_VALUE"""),"GC - II - 565 - A Thời GNH - Black Humixx - 1kg - 25")</f>
        <v>GC - II - 565 - A Thời GNH - Black Humixx - 1kg - 25</v>
      </c>
    </row>
    <row r="159">
      <c r="A159" s="86">
        <f>IFERROR(__xludf.DUMMYFUNCTION("""COMPUTED_VALUE"""),157.0)</f>
        <v>157</v>
      </c>
      <c r="B159" s="87" t="str">
        <f>IFERROR(__xludf.DUMMYFUNCTION("""COMPUTED_VALUE"""),"Thùng")</f>
        <v>Thùng</v>
      </c>
      <c r="C159" s="87" t="str">
        <f>IFERROR(__xludf.DUMMYFUNCTION("""COMPUTED_VALUE"""),"THC0154")</f>
        <v>THC0154</v>
      </c>
      <c r="D159" s="87" t="str">
        <f>IFERROR(__xludf.DUMMYFUNCTION("""COMPUTED_VALUE"""),"Thùng trắng ABA chai PET giả nhôm 250ml x 60 chai (56.5x34.5x18.5cm) - Trắng viền đen")</f>
        <v>Thùng trắng ABA chai PET giả nhôm 250ml x 60 chai (56.5x34.5x18.5cm) - Trắng viền đen</v>
      </c>
      <c r="E159" s="87" t="str">
        <f>IFERROR(__xludf.DUMMYFUNCTION("""COMPUTED_VALUE"""),"Vi lượng Slow Growth")</f>
        <v>Vi lượng Slow Growth</v>
      </c>
      <c r="F159" s="87" t="str">
        <f>IFERROR(__xludf.DUMMYFUNCTION("""COMPUTED_VALUE"""),"HH0154")</f>
        <v>HH0154</v>
      </c>
      <c r="G159" s="87" t="str">
        <f>IFERROR(__xludf.DUMMYFUNCTION("""COMPUTED_VALUE"""),"GC - II - 566 - A Thời GNH - Black Gold Humite - 1kg - 25")</f>
        <v>GC - II - 566 - A Thời GNH - Black Gold Humite - 1kg - 25</v>
      </c>
    </row>
    <row r="160">
      <c r="A160" s="86">
        <f>IFERROR(__xludf.DUMMYFUNCTION("""COMPUTED_VALUE"""),158.0)</f>
        <v>158</v>
      </c>
      <c r="B160" s="87" t="str">
        <f>IFERROR(__xludf.DUMMYFUNCTION("""COMPUTED_VALUE"""),"Thùng")</f>
        <v>Thùng</v>
      </c>
      <c r="C160" s="87" t="str">
        <f>IFERROR(__xludf.DUMMYFUNCTION("""COMPUTED_VALUE"""),"THC0155")</f>
        <v>THC0155</v>
      </c>
      <c r="D160" s="87" t="str">
        <f>IFERROR(__xludf.DUMMYFUNCTION("""COMPUTED_VALUE"""),"Thùng Thụy Sĩ cặp đôi Tìm Diệt 250ml x 2 x 20 cặp (54x35x17cm) - Trắng viền xanh")</f>
        <v>Thùng Thụy Sĩ cặp đôi Tìm Diệt 250ml x 2 x 20 cặp (54x35x17cm) - Trắng viền xanh</v>
      </c>
      <c r="E160" s="87" t="str">
        <f>IFERROR(__xludf.DUMMYFUNCTION("""COMPUTED_VALUE"""),"Vi lượng Slow Growth")</f>
        <v>Vi lượng Slow Growth</v>
      </c>
      <c r="F160" s="87" t="str">
        <f>IFERROR(__xludf.DUMMYFUNCTION("""COMPUTED_VALUE"""),"HH0155")</f>
        <v>HH0155</v>
      </c>
      <c r="G160" s="87" t="str">
        <f>IFERROR(__xludf.DUMMYFUNCTION("""COMPUTED_VALUE"""),"GC - II - 567 - A Thời GNH - Hummax- 1kg - 25")</f>
        <v>GC - II - 567 - A Thời GNH - Hummax- 1kg - 25</v>
      </c>
    </row>
    <row r="161">
      <c r="A161" s="86">
        <f>IFERROR(__xludf.DUMMYFUNCTION("""COMPUTED_VALUE"""),159.0)</f>
        <v>159</v>
      </c>
      <c r="B161" s="87" t="str">
        <f>IFERROR(__xludf.DUMMYFUNCTION("""COMPUTED_VALUE"""),"Thùng")</f>
        <v>Thùng</v>
      </c>
      <c r="C161" s="87" t="str">
        <f>IFERROR(__xludf.DUMMYFUNCTION("""COMPUTED_VALUE"""),"THC0156")</f>
        <v>THC0156</v>
      </c>
      <c r="D161" s="87" t="str">
        <f>IFERROR(__xludf.DUMMYFUNCTION("""COMPUTED_VALUE"""),"Thùng Dùng Chung ABA 100g x100 gói (51x44x21cm) - Trắng")</f>
        <v>Thùng Dùng Chung ABA 100g x100 gói (51x44x21cm) - Trắng</v>
      </c>
      <c r="E161" s="87" t="str">
        <f>IFERROR(__xludf.DUMMYFUNCTION("""COMPUTED_VALUE"""),"Vi lượng Slow Growth")</f>
        <v>Vi lượng Slow Growth</v>
      </c>
      <c r="F161" s="87" t="str">
        <f>IFERROR(__xludf.DUMMYFUNCTION("""COMPUTED_VALUE"""),"HH0156")</f>
        <v>HH0156</v>
      </c>
      <c r="G161" s="87" t="str">
        <f>IFERROR(__xludf.DUMMYFUNCTION("""COMPUTED_VALUE"""),"GC - II - 567 - A Thời GNH - Hummax- 1kg - 25")</f>
        <v>GC - II - 567 - A Thời GNH - Hummax- 1kg - 25</v>
      </c>
    </row>
    <row r="162">
      <c r="A162" s="86">
        <f>IFERROR(__xludf.DUMMYFUNCTION("""COMPUTED_VALUE"""),160.0)</f>
        <v>160</v>
      </c>
      <c r="B162" s="87" t="str">
        <f>IFERROR(__xludf.DUMMYFUNCTION("""COMPUTED_VALUE"""),"Thùng")</f>
        <v>Thùng</v>
      </c>
      <c r="C162" s="87" t="str">
        <f>IFERROR(__xludf.DUMMYFUNCTION("""COMPUTED_VALUE"""),"THC0157")</f>
        <v>THC0157</v>
      </c>
      <c r="D162" s="87" t="str">
        <f>IFERROR(__xludf.DUMMYFUNCTION("""COMPUTED_VALUE"""),"Thùng Dùng Chung ABA 1kg x 20 lon (60.5 x48.5 x21cm) - Trắng")</f>
        <v>Thùng Dùng Chung ABA 1kg x 20 lon (60.5 x48.5 x21cm) - Trắng</v>
      </c>
      <c r="E162" s="87" t="str">
        <f>IFERROR(__xludf.DUMMYFUNCTION("""COMPUTED_VALUE"""),"Tikabamec 3.6EC")</f>
        <v>Tikabamec 3.6EC</v>
      </c>
      <c r="F162" s="87" t="str">
        <f>IFERROR(__xludf.DUMMYFUNCTION("""COMPUTED_VALUE"""),"HH0157")</f>
        <v>HH0157</v>
      </c>
      <c r="G162" s="87" t="str">
        <f>IFERROR(__xludf.DUMMYFUNCTION("""COMPUTED_VALUE"""),"GC - II - 570 - Ánh Dương - Tikabamec (Pet Vuông) (nước đục) - 450ml - 40")</f>
        <v>GC - II - 570 - Ánh Dương - Tikabamec (Pet Vuông) (nước đục) - 450ml - 40</v>
      </c>
    </row>
    <row r="163">
      <c r="A163" s="86">
        <f>IFERROR(__xludf.DUMMYFUNCTION("""COMPUTED_VALUE"""),161.0)</f>
        <v>161</v>
      </c>
      <c r="B163" s="87" t="str">
        <f>IFERROR(__xludf.DUMMYFUNCTION("""COMPUTED_VALUE"""),"Thùng")</f>
        <v>Thùng</v>
      </c>
      <c r="C163" s="87" t="str">
        <f>IFERROR(__xludf.DUMMYFUNCTION("""COMPUTED_VALUE"""),"THC0158")</f>
        <v>THC0158</v>
      </c>
      <c r="D163" s="87" t="str">
        <f>IFERROR(__xludf.DUMMYFUNCTION("""COMPUTED_VALUE"""),"Thùng Cỏ Cháy Thế Hệ Mới Sunrise 4 can x 4.5 Lít  (40.5x28x32cm) - Trắng đỏ")</f>
        <v>Thùng Cỏ Cháy Thế Hệ Mới Sunrise 4 can x 4.5 Lít  (40.5x28x32cm) - Trắng đỏ</v>
      </c>
      <c r="E163" s="87" t="str">
        <f>IFERROR(__xludf.DUMMYFUNCTION("""COMPUTED_VALUE"""),"Apple 700WP")</f>
        <v>Apple 700WP</v>
      </c>
      <c r="F163" s="87" t="str">
        <f>IFERROR(__xludf.DUMMYFUNCTION("""COMPUTED_VALUE"""),"HH0158")</f>
        <v>HH0158</v>
      </c>
      <c r="G163" s="87" t="str">
        <f>IFERROR(__xludf.DUMMYFUNCTION("""COMPUTED_VALUE"""),"GC - II - 571 - BM - Apple 700WP - 100 gr - 100")</f>
        <v>GC - II - 571 - BM - Apple 700WP - 100 gr - 100</v>
      </c>
    </row>
    <row r="164">
      <c r="A164" s="86">
        <f>IFERROR(__xludf.DUMMYFUNCTION("""COMPUTED_VALUE"""),162.0)</f>
        <v>162</v>
      </c>
      <c r="B164" s="87" t="str">
        <f>IFERROR(__xludf.DUMMYFUNCTION("""COMPUTED_VALUE"""),"Thùng")</f>
        <v>Thùng</v>
      </c>
      <c r="C164" s="87" t="str">
        <f>IFERROR(__xludf.DUMMYFUNCTION("""COMPUTED_VALUE"""),"THC0159")</f>
        <v>THC0159</v>
      </c>
      <c r="D164" s="87" t="str">
        <f>IFERROR(__xludf.DUMMYFUNCTION("""COMPUTED_VALUE"""),"Thùng 3.6 Sunrise  chai tròn 450ml x 40 chai  (47.5x37x20cm) - Trắng đỏ")</f>
        <v>Thùng 3.6 Sunrise  chai tròn 450ml x 40 chai  (47.5x37x20cm) - Trắng đỏ</v>
      </c>
      <c r="E164" s="87" t="str">
        <f>IFERROR(__xludf.DUMMYFUNCTION("""COMPUTED_VALUE"""),"Apple 700WP")</f>
        <v>Apple 700WP</v>
      </c>
      <c r="F164" s="87" t="str">
        <f>IFERROR(__xludf.DUMMYFUNCTION("""COMPUTED_VALUE"""),"HH0159")</f>
        <v>HH0159</v>
      </c>
      <c r="G164" s="87" t="str">
        <f>IFERROR(__xludf.DUMMYFUNCTION("""COMPUTED_VALUE"""),"GC - II - 571 - BM - Apple 700WP - 100 gr - 100")</f>
        <v>GC - II - 571 - BM - Apple 700WP - 100 gr - 100</v>
      </c>
    </row>
    <row r="165">
      <c r="A165" s="86">
        <f>IFERROR(__xludf.DUMMYFUNCTION("""COMPUTED_VALUE"""),163.0)</f>
        <v>163</v>
      </c>
      <c r="B165" s="87" t="str">
        <f>IFERROR(__xludf.DUMMYFUNCTION("""COMPUTED_VALUE"""),"Thùng")</f>
        <v>Thùng</v>
      </c>
      <c r="C165" s="87" t="str">
        <f>IFERROR(__xludf.DUMMYFUNCTION("""COMPUTED_VALUE"""),"THC0160")</f>
        <v>THC0160</v>
      </c>
      <c r="D165" s="87" t="str">
        <f>IFERROR(__xludf.DUMMYFUNCTION("""COMPUTED_VALUE"""),"Thùng Shino - BIM SHINO chai HD tròn 450ml x 30 chai  (45.5x38x21cm) - Trắng xanh dương")</f>
        <v>Thùng Shino - BIM SHINO chai HD tròn 450ml x 30 chai  (45.5x38x21cm) - Trắng xanh dương</v>
      </c>
      <c r="E165" s="87" t="str">
        <f>IFERROR(__xludf.DUMMYFUNCTION("""COMPUTED_VALUE"""),"COCHAY 200SL")</f>
        <v>COCHAY 200SL</v>
      </c>
      <c r="F165" s="87" t="str">
        <f>IFERROR(__xludf.DUMMYFUNCTION("""COMPUTED_VALUE"""),"HH0160")</f>
        <v>HH0160</v>
      </c>
      <c r="G165" s="87" t="str">
        <f>IFERROR(__xludf.DUMMYFUNCTION("""COMPUTED_VALUE"""),"GC - II - K - 572 - AGC - Cochay (chai PET vuông) - 1L - 20")</f>
        <v>GC - II - K - 572 - AGC - Cochay (chai PET vuông) - 1L - 20</v>
      </c>
    </row>
    <row r="166">
      <c r="A166" s="86">
        <f>IFERROR(__xludf.DUMMYFUNCTION("""COMPUTED_VALUE"""),164.0)</f>
        <v>164</v>
      </c>
      <c r="B166" s="87" t="str">
        <f>IFERROR(__xludf.DUMMYFUNCTION("""COMPUTED_VALUE"""),"Thùng")</f>
        <v>Thùng</v>
      </c>
      <c r="C166" s="87" t="str">
        <f>IFERROR(__xludf.DUMMYFUNCTION("""COMPUTED_VALUE"""),"THI0161")</f>
        <v>THI0161</v>
      </c>
      <c r="D166" s="87" t="str">
        <f>IFERROR(__xludf.DUMMYFUNCTION("""COMPUTED_VALUE"""),"Thùng IDA xanh lá chai HD tròn 250ml, 240ml, 200ml x 20 chai  (31.5x25.5x15cm) - Trắng xanh lá")</f>
        <v>Thùng IDA xanh lá chai HD tròn 250ml, 240ml, 200ml x 20 chai  (31.5x25.5x15cm) - Trắng xanh lá</v>
      </c>
      <c r="E166" s="87" t="str">
        <f>IFERROR(__xludf.DUMMYFUNCTION("""COMPUTED_VALUE"""),"Vi lượng Quantity New")</f>
        <v>Vi lượng Quantity New</v>
      </c>
      <c r="F166" s="87" t="str">
        <f>IFERROR(__xludf.DUMMYFUNCTION("""COMPUTED_VALUE"""),"HH0161")</f>
        <v>HH0161</v>
      </c>
      <c r="G166" s="87" t="str">
        <f>IFERROR(__xludf.DUMMYFUNCTION("""COMPUTED_VALUE"""),"GC - II - 574 - A Thời GNH - Boke (Chai HD) - 500ml - 40")</f>
        <v>GC - II - 574 - A Thời GNH - Boke (Chai HD) - 500ml - 40</v>
      </c>
    </row>
    <row r="167">
      <c r="A167" s="86">
        <f>IFERROR(__xludf.DUMMYFUNCTION("""COMPUTED_VALUE"""),165.0)</f>
        <v>165</v>
      </c>
      <c r="B167" s="87" t="str">
        <f>IFERROR(__xludf.DUMMYFUNCTION("""COMPUTED_VALUE"""),"Thùng")</f>
        <v>Thùng</v>
      </c>
      <c r="C167" s="87" t="str">
        <f>IFERROR(__xludf.DUMMYFUNCTION("""COMPUTED_VALUE"""),"THC0162")</f>
        <v>THC0162</v>
      </c>
      <c r="D167" s="87" t="str">
        <f>IFERROR(__xludf.DUMMYFUNCTION("""COMPUTED_VALUE"""),"Thùng Dùng Chung ABA 100g x100 gói (47.5x41.5x28cm) - Trắng")</f>
        <v>Thùng Dùng Chung ABA 100g x100 gói (47.5x41.5x28cm) - Trắng</v>
      </c>
      <c r="E167" s="87" t="str">
        <f>IFERROR(__xludf.DUMMYFUNCTION("""COMPUTED_VALUE"""),"Vi lượng Quantity New")</f>
        <v>Vi lượng Quantity New</v>
      </c>
      <c r="F167" s="87" t="str">
        <f>IFERROR(__xludf.DUMMYFUNCTION("""COMPUTED_VALUE"""),"HH0162")</f>
        <v>HH0162</v>
      </c>
      <c r="G167" s="87" t="str">
        <f>IFERROR(__xludf.DUMMYFUNCTION("""COMPUTED_VALUE"""),"GC - II - 575 - A Thời GNH - Calbor (Chai HD) - 500ml - 40")</f>
        <v>GC - II - 575 - A Thời GNH - Calbor (Chai HD) - 500ml - 40</v>
      </c>
    </row>
    <row r="168">
      <c r="A168" s="86">
        <f>IFERROR(__xludf.DUMMYFUNCTION("""COMPUTED_VALUE"""),166.0)</f>
        <v>166</v>
      </c>
      <c r="B168" s="87" t="str">
        <f>IFERROR(__xludf.DUMMYFUNCTION("""COMPUTED_VALUE"""),"Thùng")</f>
        <v>Thùng</v>
      </c>
      <c r="C168" s="87" t="str">
        <f>IFERROR(__xludf.DUMMYFUNCTION("""COMPUTED_VALUE"""),"THC0163")</f>
        <v>THC0163</v>
      </c>
      <c r="D168" s="87" t="str">
        <f>IFERROR(__xludf.DUMMYFUNCTION("""COMPUTED_VALUE"""),"Thùng Dùng Chung Hà Long 100ml x 100 chai (55x28x22cm) - Trắng")</f>
        <v>Thùng Dùng Chung Hà Long 100ml x 100 chai (55x28x22cm) - Trắng</v>
      </c>
      <c r="E168" s="87" t="str">
        <f>IFERROR(__xludf.DUMMYFUNCTION("""COMPUTED_VALUE"""),"Vi lượng Quantity New")</f>
        <v>Vi lượng Quantity New</v>
      </c>
      <c r="F168" s="87" t="str">
        <f>IFERROR(__xludf.DUMMYFUNCTION("""COMPUTED_VALUE"""),"HH0163")</f>
        <v>HH0163</v>
      </c>
      <c r="G168" s="87" t="str">
        <f>IFERROR(__xludf.DUMMYFUNCTION("""COMPUTED_VALUE"""),"GC - II - 576 - A Thời GNH - Chắc Hạt (Chai HD) - 1L - 20")</f>
        <v>GC - II - 576 - A Thời GNH - Chắc Hạt (Chai HD) - 1L - 20</v>
      </c>
    </row>
    <row r="169">
      <c r="A169" s="86">
        <f>IFERROR(__xludf.DUMMYFUNCTION("""COMPUTED_VALUE"""),167.0)</f>
        <v>167</v>
      </c>
      <c r="B169" s="87" t="str">
        <f>IFERROR(__xludf.DUMMYFUNCTION("""COMPUTED_VALUE"""),"Thùng")</f>
        <v>Thùng</v>
      </c>
      <c r="C169" s="87" t="str">
        <f>IFERROR(__xludf.DUMMYFUNCTION("""COMPUTED_VALUE"""),"THI0164")</f>
        <v>THI0164</v>
      </c>
      <c r="D169" s="87" t="str">
        <f>IFERROR(__xludf.DUMMYFUNCTION("""COMPUTED_VALUE"""),"Thùng IDA chai PET tròn cổ 43 450ml x 40 chai (62.5x38.5x20cm) - Trắng xanh lá")</f>
        <v>Thùng IDA chai PET tròn cổ 43 450ml x 40 chai (62.5x38.5x20cm) - Trắng xanh lá</v>
      </c>
      <c r="E169" s="87" t="str">
        <f>IFERROR(__xludf.DUMMYFUNCTION("""COMPUTED_VALUE"""),"Vi lượng Quantity New")</f>
        <v>Vi lượng Quantity New</v>
      </c>
      <c r="F169" s="87" t="str">
        <f>IFERROR(__xludf.DUMMYFUNCTION("""COMPUTED_VALUE"""),"HH0164")</f>
        <v>HH0164</v>
      </c>
      <c r="G169" s="87" t="str">
        <f>IFERROR(__xludf.DUMMYFUNCTION("""COMPUTED_VALUE"""),"GC - II - 577 - A Thời GNH - Flower + (Chai HD) - 1L - 20")</f>
        <v>GC - II - 577 - A Thời GNH - Flower + (Chai HD) - 1L - 20</v>
      </c>
    </row>
    <row r="170">
      <c r="A170" s="86">
        <f>IFERROR(__xludf.DUMMYFUNCTION("""COMPUTED_VALUE"""),168.0)</f>
        <v>168</v>
      </c>
      <c r="B170" s="87" t="str">
        <f>IFERROR(__xludf.DUMMYFUNCTION("""COMPUTED_VALUE"""),"Thùng")</f>
        <v>Thùng</v>
      </c>
      <c r="C170" s="87" t="str">
        <f>IFERROR(__xludf.DUMMYFUNCTION("""COMPUTED_VALUE"""),"THI0165")</f>
        <v>THI0165</v>
      </c>
      <c r="D170" s="87" t="str">
        <f>IFERROR(__xludf.DUMMYFUNCTION("""COMPUTED_VALUE"""),"Thùng IDA gói 12gr x 400 gói (43.5x33.5x28.5cm) - Trắng xanh lá")</f>
        <v>Thùng IDA gói 12gr x 400 gói (43.5x33.5x28.5cm) - Trắng xanh lá</v>
      </c>
      <c r="E170" s="87" t="str">
        <f>IFERROR(__xludf.DUMMYFUNCTION("""COMPUTED_VALUE"""),"Vi lượng Quantity New")</f>
        <v>Vi lượng Quantity New</v>
      </c>
      <c r="F170" s="87" t="str">
        <f>IFERROR(__xludf.DUMMYFUNCTION("""COMPUTED_VALUE"""),"HH0165")</f>
        <v>HH0165</v>
      </c>
      <c r="G170" s="87" t="str">
        <f>IFERROR(__xludf.DUMMYFUNCTION("""COMPUTED_VALUE"""),"GC - II - 577 - A Thời GNH - Flower + (Chai HD) - 1L - 20")</f>
        <v>GC - II - 577 - A Thời GNH - Flower + (Chai HD) - 1L - 20</v>
      </c>
    </row>
    <row r="171">
      <c r="A171" s="86">
        <f>IFERROR(__xludf.DUMMYFUNCTION("""COMPUTED_VALUE"""),169.0)</f>
        <v>169</v>
      </c>
      <c r="B171" s="87" t="str">
        <f>IFERROR(__xludf.DUMMYFUNCTION("""COMPUTED_VALUE"""),"Thùng")</f>
        <v>Thùng</v>
      </c>
      <c r="C171" s="87" t="str">
        <f>IFERROR(__xludf.DUMMYFUNCTION("""COMPUTED_VALUE"""),"THI0166")</f>
        <v>THI0166</v>
      </c>
      <c r="D171" s="87" t="str">
        <f>IFERROR(__xludf.DUMMYFUNCTION("""COMPUTED_VALUE"""),"Thùng IDA chai HDPE/PAPE PICOSUPER 280SC 250ml, 240ml, 200ml x 40 chai (49.5x30.5x15cm) - Trắng xanh lam")</f>
        <v>Thùng IDA chai HDPE/PAPE PICOSUPER 280SC 250ml, 240ml, 200ml x 40 chai (49.5x30.5x15cm) - Trắng xanh lam</v>
      </c>
      <c r="E171" s="87" t="str">
        <f>IFERROR(__xludf.DUMMYFUNCTION("""COMPUTED_VALUE"""),"Vi lượng Quantity New")</f>
        <v>Vi lượng Quantity New</v>
      </c>
      <c r="F171" s="87" t="str">
        <f>IFERROR(__xludf.DUMMYFUNCTION("""COMPUTED_VALUE"""),"HH0166")</f>
        <v>HH0166</v>
      </c>
      <c r="G171" s="87" t="str">
        <f>IFERROR(__xludf.DUMMYFUNCTION("""COMPUTED_VALUE"""),"GC - II - 578 - A Thời GNH - Kamax (Chai HD) - 100ml - 100")</f>
        <v>GC - II - 578 - A Thời GNH - Kamax (Chai HD) - 100ml - 100</v>
      </c>
    </row>
    <row r="172">
      <c r="A172" s="86">
        <f>IFERROR(__xludf.DUMMYFUNCTION("""COMPUTED_VALUE"""),170.0)</f>
        <v>170</v>
      </c>
      <c r="B172" s="87" t="str">
        <f>IFERROR(__xludf.DUMMYFUNCTION("""COMPUTED_VALUE"""),"Thùng")</f>
        <v>Thùng</v>
      </c>
      <c r="C172" s="87" t="str">
        <f>IFERROR(__xludf.DUMMYFUNCTION("""COMPUTED_VALUE"""),"THI0167")</f>
        <v>THI0167</v>
      </c>
      <c r="D172" s="87" t="str">
        <f>IFERROR(__xludf.DUMMYFUNCTION("""COMPUTED_VALUE"""),"Thùng IDA chai FLOWER TOP 450ml x 40 chai (51.5x32x23.5cm) - Trắng xanh lá")</f>
        <v>Thùng IDA chai FLOWER TOP 450ml x 40 chai (51.5x32x23.5cm) - Trắng xanh lá</v>
      </c>
      <c r="E172" s="87" t="str">
        <f>IFERROR(__xludf.DUMMYFUNCTION("""COMPUTED_VALUE"""),"Vi lượng Quantity New")</f>
        <v>Vi lượng Quantity New</v>
      </c>
      <c r="F172" s="87" t="str">
        <f>IFERROR(__xludf.DUMMYFUNCTION("""COMPUTED_VALUE"""),"HH0167")</f>
        <v>HH0167</v>
      </c>
      <c r="G172" s="87" t="str">
        <f>IFERROR(__xludf.DUMMYFUNCTION("""COMPUTED_VALUE"""),"GC - II - 579 - A Thời GNH - Kitotra (Chai HD) - 500ml - 40")</f>
        <v>GC - II - 579 - A Thời GNH - Kitotra (Chai HD) - 500ml - 40</v>
      </c>
    </row>
    <row r="173">
      <c r="A173" s="86">
        <f>IFERROR(__xludf.DUMMYFUNCTION("""COMPUTED_VALUE"""),171.0)</f>
        <v>171</v>
      </c>
      <c r="B173" s="87" t="str">
        <f>IFERROR(__xludf.DUMMYFUNCTION("""COMPUTED_VALUE"""),"Thùng")</f>
        <v>Thùng</v>
      </c>
      <c r="C173" s="87" t="str">
        <f>IFERROR(__xludf.DUMMYFUNCTION("""COMPUTED_VALUE"""),"THI0168")</f>
        <v>THI0168</v>
      </c>
      <c r="D173" s="87" t="str">
        <f>IFERROR(__xludf.DUMMYFUNCTION("""COMPUTED_VALUE"""),"Thùng IDA chai PET trong Thành Phát 450ml x 40 chai (51.5x32x23.5cm) - Trắng xanh lá")</f>
        <v>Thùng IDA chai PET trong Thành Phát 450ml x 40 chai (51.5x32x23.5cm) - Trắng xanh lá</v>
      </c>
      <c r="E173" s="87" t="str">
        <f>IFERROR(__xludf.DUMMYFUNCTION("""COMPUTED_VALUE"""),"Vi lượng Quantity New")</f>
        <v>Vi lượng Quantity New</v>
      </c>
      <c r="F173" s="87" t="str">
        <f>IFERROR(__xludf.DUMMYFUNCTION("""COMPUTED_VALUE"""),"HH0168")</f>
        <v>HH0168</v>
      </c>
      <c r="G173" s="87" t="str">
        <f>IFERROR(__xludf.DUMMYFUNCTION("""COMPUTED_VALUE"""),"GC - II - 580 - A Thời GNH - Ra rễ nở bụi (Chai HD) - 500ml - 40")</f>
        <v>GC - II - 580 - A Thời GNH - Ra rễ nở bụi (Chai HD) - 500ml - 40</v>
      </c>
    </row>
    <row r="174">
      <c r="A174" s="86">
        <f>IFERROR(__xludf.DUMMYFUNCTION("""COMPUTED_VALUE"""),172.0)</f>
        <v>172</v>
      </c>
      <c r="B174" s="87" t="str">
        <f>IFERROR(__xludf.DUMMYFUNCTION("""COMPUTED_VALUE"""),"Thùng")</f>
        <v>Thùng</v>
      </c>
      <c r="C174" s="87" t="str">
        <f>IFERROR(__xludf.DUMMYFUNCTION("""COMPUTED_VALUE"""),"THI0169")</f>
        <v>THI0169</v>
      </c>
      <c r="D174" s="87" t="str">
        <f>IFERROR(__xludf.DUMMYFUNCTION("""COMPUTED_VALUE"""),"Thùng IDA chai HDPE tròn 480ml x 40 chai/ 20 hộp (60.5x38x21cm) - Trắng xanh lá")</f>
        <v>Thùng IDA chai HDPE tròn 480ml x 40 chai/ 20 hộp (60.5x38x21cm) - Trắng xanh lá</v>
      </c>
      <c r="E174" s="87" t="str">
        <f>IFERROR(__xludf.DUMMYFUNCTION("""COMPUTED_VALUE"""),"Vi lượng Quantity New")</f>
        <v>Vi lượng Quantity New</v>
      </c>
      <c r="F174" s="87" t="str">
        <f>IFERROR(__xludf.DUMMYFUNCTION("""COMPUTED_VALUE"""),"HH0169")</f>
        <v>HH0169</v>
      </c>
      <c r="G174" s="87" t="str">
        <f>IFERROR(__xludf.DUMMYFUNCTION("""COMPUTED_VALUE"""),"GC - II - 581 - A Thời GNH - Bung Chồi Vọt Đọt (Cây có múi) (Chai HD) - 500ml - 40")</f>
        <v>GC - II - 581 - A Thời GNH - Bung Chồi Vọt Đọt (Cây có múi) (Chai HD) - 500ml - 40</v>
      </c>
    </row>
    <row r="175">
      <c r="A175" s="86">
        <f>IFERROR(__xludf.DUMMYFUNCTION("""COMPUTED_VALUE"""),173.0)</f>
        <v>173</v>
      </c>
      <c r="B175" s="87" t="str">
        <f>IFERROR(__xludf.DUMMYFUNCTION("""COMPUTED_VALUE"""),"Thùng")</f>
        <v>Thùng</v>
      </c>
      <c r="C175" s="87" t="str">
        <f>IFERROR(__xludf.DUMMYFUNCTION("""COMPUTED_VALUE"""),"THC0170")</f>
        <v>THC0170</v>
      </c>
      <c r="D175" s="87" t="str">
        <f>IFERROR(__xludf.DUMMYFUNCTION("""COMPUTED_VALUE"""),"Thùng chung Chai HDPE 500ml x 40 chai  (64.5x40.5x19cm) - Trắng trơn")</f>
        <v>Thùng chung Chai HDPE 500ml x 40 chai  (64.5x40.5x19cm) - Trắng trơn</v>
      </c>
      <c r="E175" s="87" t="str">
        <f>IFERROR(__xludf.DUMMYFUNCTION("""COMPUTED_VALUE"""),"Vi lượng Quantity New")</f>
        <v>Vi lượng Quantity New</v>
      </c>
      <c r="F175" s="87" t="str">
        <f>IFERROR(__xludf.DUMMYFUNCTION("""COMPUTED_VALUE"""),"HH0170")</f>
        <v>HH0170</v>
      </c>
      <c r="G175" s="87" t="str">
        <f>IFERROR(__xludf.DUMMYFUNCTION("""COMPUTED_VALUE"""),"GC - II - 581 - A Thời GNH - Bung Chồi Vọt Đọt (Cây có múi) (Chai HD) - 500ml - 40")</f>
        <v>GC - II - 581 - A Thời GNH - Bung Chồi Vọt Đọt (Cây có múi) (Chai HD) - 500ml - 40</v>
      </c>
    </row>
    <row r="176">
      <c r="A176" s="86">
        <f>IFERROR(__xludf.DUMMYFUNCTION("""COMPUTED_VALUE"""),174.0)</f>
        <v>174</v>
      </c>
      <c r="B176" s="87" t="str">
        <f>IFERROR(__xludf.DUMMYFUNCTION("""COMPUTED_VALUE"""),"Thùng")</f>
        <v>Thùng</v>
      </c>
      <c r="C176" s="87" t="str">
        <f>IFERROR(__xludf.DUMMYFUNCTION("""COMPUTED_VALUE"""),"THI0171")</f>
        <v>THI0171</v>
      </c>
      <c r="D176" s="87" t="str">
        <f>IFERROR(__xludf.DUMMYFUNCTION("""COMPUTED_VALUE"""),"Thùng IDA chai tròn 1 lít x 20 chai (20 gói/ thùng) - (45.5x35.5x27cm) - Trắng xanh lá")</f>
        <v>Thùng IDA chai tròn 1 lít x 20 chai (20 gói/ thùng) - (45.5x35.5x27cm) - Trắng xanh lá</v>
      </c>
      <c r="E176" s="87" t="str">
        <f>IFERROR(__xludf.DUMMYFUNCTION("""COMPUTED_VALUE"""),"Vi lượng Quantity New")</f>
        <v>Vi lượng Quantity New</v>
      </c>
      <c r="F176" s="87" t="str">
        <f>IFERROR(__xludf.DUMMYFUNCTION("""COMPUTED_VALUE"""),"HH0171")</f>
        <v>HH0171</v>
      </c>
      <c r="G176" s="87" t="str">
        <f>IFERROR(__xludf.DUMMYFUNCTION("""COMPUTED_VALUE"""),"GC - II - 582 - A Thời GNH - Siêu Bung Đọt (Chuyên Mai) (Chai HD) - 500ml - 40 ([btp],n,c)")</f>
        <v>GC - II - 582 - A Thời GNH - Siêu Bung Đọt (Chuyên Mai) (Chai HD) - 500ml - 40 ([btp],n,c)</v>
      </c>
    </row>
    <row r="177">
      <c r="A177" s="86">
        <f>IFERROR(__xludf.DUMMYFUNCTION("""COMPUTED_VALUE"""),175.0)</f>
        <v>175</v>
      </c>
      <c r="B177" s="87" t="str">
        <f>IFERROR(__xludf.DUMMYFUNCTION("""COMPUTED_VALUE"""),"Thùng")</f>
        <v>Thùng</v>
      </c>
      <c r="C177" s="87" t="str">
        <f>IFERROR(__xludf.DUMMYFUNCTION("""COMPUTED_VALUE"""),"THI0172")</f>
        <v>THI0172</v>
      </c>
      <c r="D177" s="87" t="str">
        <f>IFERROR(__xludf.DUMMYFUNCTION("""COMPUTED_VALUE"""),"Thùng IDA can 5 Lít x 4 can (40.5x32.5x25cm) - Trắng xanh lá")</f>
        <v>Thùng IDA can 5 Lít x 4 can (40.5x32.5x25cm) - Trắng xanh lá</v>
      </c>
      <c r="E177" s="87" t="str">
        <f>IFERROR(__xludf.DUMMYFUNCTION("""COMPUTED_VALUE"""),"Vi lượng Quantity New")</f>
        <v>Vi lượng Quantity New</v>
      </c>
      <c r="F177" s="87" t="str">
        <f>IFERROR(__xludf.DUMMYFUNCTION("""COMPUTED_VALUE"""),"HH0172")</f>
        <v>HH0172</v>
      </c>
      <c r="G177" s="87" t="str">
        <f>IFERROR(__xludf.DUMMYFUNCTION("""COMPUTED_VALUE"""),"GC - II - 583 - A Thời GNH - Siêu ra hoa (Chai HD) - 500ml - 40")</f>
        <v>GC - II - 583 - A Thời GNH - Siêu ra hoa (Chai HD) - 500ml - 40</v>
      </c>
    </row>
    <row r="178">
      <c r="A178" s="86">
        <f>IFERROR(__xludf.DUMMYFUNCTION("""COMPUTED_VALUE"""),176.0)</f>
        <v>176</v>
      </c>
      <c r="B178" s="87" t="str">
        <f>IFERROR(__xludf.DUMMYFUNCTION("""COMPUTED_VALUE"""),"Thùng")</f>
        <v>Thùng</v>
      </c>
      <c r="C178" s="87" t="str">
        <f>IFERROR(__xludf.DUMMYFUNCTION("""COMPUTED_VALUE"""),"THI0173")</f>
        <v>THI0173</v>
      </c>
      <c r="D178" s="87" t="str">
        <f>IFERROR(__xludf.DUMMYFUNCTION("""COMPUTED_VALUE"""),"Thùng IDA Chai Pet Vuông 35 450ml -500ml x 40 chai (44.5x39x20cm) - Trắng xanh lá")</f>
        <v>Thùng IDA Chai Pet Vuông 35 450ml -500ml x 40 chai (44.5x39x20cm) - Trắng xanh lá</v>
      </c>
      <c r="E178" s="87" t="str">
        <f>IFERROR(__xludf.DUMMYFUNCTION("""COMPUTED_VALUE"""),"Vi lượng Quantity New")</f>
        <v>Vi lượng Quantity New</v>
      </c>
      <c r="F178" s="87" t="str">
        <f>IFERROR(__xludf.DUMMYFUNCTION("""COMPUTED_VALUE"""),"HH0173")</f>
        <v>HH0173</v>
      </c>
      <c r="G178" s="87" t="str">
        <f>IFERROR(__xludf.DUMMYFUNCTION("""COMPUTED_VALUE"""),"GC - II - 583 - A Thời GNH - Siêu ra hoa (Chai HD) - 500ml - 40")</f>
        <v>GC - II - 583 - A Thời GNH - Siêu ra hoa (Chai HD) - 500ml - 40</v>
      </c>
    </row>
    <row r="179">
      <c r="A179" s="86">
        <f>IFERROR(__xludf.DUMMYFUNCTION("""COMPUTED_VALUE"""),177.0)</f>
        <v>177</v>
      </c>
      <c r="B179" s="87" t="str">
        <f>IFERROR(__xludf.DUMMYFUNCTION("""COMPUTED_VALUE"""),"Thùng")</f>
        <v>Thùng</v>
      </c>
      <c r="C179" s="87" t="str">
        <f>IFERROR(__xludf.DUMMYFUNCTION("""COMPUTED_VALUE"""),"THC0174")</f>
        <v>THC0174</v>
      </c>
      <c r="D179" s="87" t="str">
        <f>IFERROR(__xludf.DUMMYFUNCTION("""COMPUTED_VALUE"""),"Thùng SEIKO đựng 12 hộp (62.5x35x21.7cm) - Trắng cam")</f>
        <v>Thùng SEIKO đựng 12 hộp (62.5x35x21.7cm) - Trắng cam</v>
      </c>
      <c r="E179" s="87" t="str">
        <f>IFERROR(__xludf.DUMMYFUNCTION("""COMPUTED_VALUE"""),"Vi lượng Quantity New")</f>
        <v>Vi lượng Quantity New</v>
      </c>
      <c r="F179" s="87" t="str">
        <f>IFERROR(__xludf.DUMMYFUNCTION("""COMPUTED_VALUE"""),"HH0174")</f>
        <v>HH0174</v>
      </c>
      <c r="G179" s="87" t="str">
        <f>IFERROR(__xludf.DUMMYFUNCTION("""COMPUTED_VALUE"""),"GC - II - 584 - A Thời GNH - Siêu rau quả (Chai HD) - 500ml - 40")</f>
        <v>GC - II - 584 - A Thời GNH - Siêu rau quả (Chai HD) - 500ml - 40</v>
      </c>
    </row>
    <row r="180">
      <c r="A180" s="86">
        <f>IFERROR(__xludf.DUMMYFUNCTION("""COMPUTED_VALUE"""),178.0)</f>
        <v>178</v>
      </c>
      <c r="B180" s="87" t="str">
        <f>IFERROR(__xludf.DUMMYFUNCTION("""COMPUTED_VALUE"""),"Thùng")</f>
        <v>Thùng</v>
      </c>
      <c r="C180" s="87" t="str">
        <f>IFERROR(__xludf.DUMMYFUNCTION("""COMPUTED_VALUE"""),"THC0175")</f>
        <v>THC0175</v>
      </c>
      <c r="D180" s="87" t="str">
        <f>IFERROR(__xludf.DUMMYFUNCTION("""COMPUTED_VALUE"""),"Thùng NEWTECH Chai HD tròn 500ml x 40 chai (60 x 38 x 20cm) - Trắng viền xanh lá")</f>
        <v>Thùng NEWTECH Chai HD tròn 500ml x 40 chai (60 x 38 x 20cm) - Trắng viền xanh lá</v>
      </c>
      <c r="E180" s="87" t="str">
        <f>IFERROR(__xludf.DUMMYFUNCTION("""COMPUTED_VALUE"""),"Vi lượng Quantity New")</f>
        <v>Vi lượng Quantity New</v>
      </c>
      <c r="F180" s="87" t="str">
        <f>IFERROR(__xludf.DUMMYFUNCTION("""COMPUTED_VALUE"""),"HH0175")</f>
        <v>HH0175</v>
      </c>
      <c r="G180" s="87" t="str">
        <f>IFERROR(__xludf.DUMMYFUNCTION("""COMPUTED_VALUE"""),"GC - II - 584 - A Thời GNH - Siêu rau quả (Chai HD) - 500ml - 40")</f>
        <v>GC - II - 584 - A Thời GNH - Siêu rau quả (Chai HD) - 500ml - 40</v>
      </c>
    </row>
    <row r="181">
      <c r="A181" s="86">
        <f>IFERROR(__xludf.DUMMYFUNCTION("""COMPUTED_VALUE"""),179.0)</f>
        <v>179</v>
      </c>
      <c r="B181" s="87" t="str">
        <f>IFERROR(__xludf.DUMMYFUNCTION("""COMPUTED_VALUE"""),"Thùng")</f>
        <v>Thùng</v>
      </c>
      <c r="C181" s="87" t="str">
        <f>IFERROR(__xludf.DUMMYFUNCTION("""COMPUTED_VALUE"""),"THC0176")</f>
        <v>THC0176</v>
      </c>
      <c r="D181" s="87" t="str">
        <f>IFERROR(__xludf.DUMMYFUNCTION("""COMPUTED_VALUE"""),"Thùng Toàn Cầu - Relax Extra chai 250ml 40chai/ thùng ( 51.5 x33x16.5cm)- Trắng viền xanh lá")</f>
        <v>Thùng Toàn Cầu - Relax Extra chai 250ml 40chai/ thùng ( 51.5 x33x16.5cm)- Trắng viền xanh lá</v>
      </c>
      <c r="E181" s="87" t="str">
        <f>IFERROR(__xludf.DUMMYFUNCTION("""COMPUTED_VALUE"""),"Vi lượng Quantity New")</f>
        <v>Vi lượng Quantity New</v>
      </c>
      <c r="F181" s="87" t="str">
        <f>IFERROR(__xludf.DUMMYFUNCTION("""COMPUTED_VALUE"""),"HH0176")</f>
        <v>HH0176</v>
      </c>
      <c r="G181" s="87" t="str">
        <f>IFERROR(__xludf.DUMMYFUNCTION("""COMPUTED_VALUE"""),"GC - II - 585 - A Thời GNH - Siêu tăng trưởng (Chai HD) - 1L - 20")</f>
        <v>GC - II - 585 - A Thời GNH - Siêu tăng trưởng (Chai HD) - 1L - 20</v>
      </c>
    </row>
    <row r="182">
      <c r="A182" s="86">
        <f>IFERROR(__xludf.DUMMYFUNCTION("""COMPUTED_VALUE"""),180.0)</f>
        <v>180</v>
      </c>
      <c r="B182" s="87" t="str">
        <f>IFERROR(__xludf.DUMMYFUNCTION("""COMPUTED_VALUE"""),"Thùng")</f>
        <v>Thùng</v>
      </c>
      <c r="C182" s="87" t="str">
        <f>IFERROR(__xludf.DUMMYFUNCTION("""COMPUTED_VALUE"""),"THC0177")</f>
        <v>THC0177</v>
      </c>
      <c r="D182" s="87" t="str">
        <f>IFERROR(__xludf.DUMMYFUNCTION("""COMPUTED_VALUE"""),"Thùng chung ABA 100ml, 120ml x 50 chai (50.5x26x12cm) - Trắng viền đen")</f>
        <v>Thùng chung ABA 100ml, 120ml x 50 chai (50.5x26x12cm) - Trắng viền đen</v>
      </c>
      <c r="E182" s="87" t="str">
        <f>IFERROR(__xludf.DUMMYFUNCTION("""COMPUTED_VALUE"""),"Vi lượng Quantity New")</f>
        <v>Vi lượng Quantity New</v>
      </c>
      <c r="F182" s="87" t="str">
        <f>IFERROR(__xludf.DUMMYFUNCTION("""COMPUTED_VALUE"""),"HH0177")</f>
        <v>HH0177</v>
      </c>
      <c r="G182" s="87" t="str">
        <f>IFERROR(__xludf.DUMMYFUNCTION("""COMPUTED_VALUE"""),"GC - II - 585 - A Thời GNH - Siêu tăng trưởng (Chai HD) - 1L - 20")</f>
        <v>GC - II - 585 - A Thời GNH - Siêu tăng trưởng (Chai HD) - 1L - 20</v>
      </c>
    </row>
    <row r="183">
      <c r="A183" s="86">
        <f>IFERROR(__xludf.DUMMYFUNCTION("""COMPUTED_VALUE"""),181.0)</f>
        <v>181</v>
      </c>
      <c r="B183" s="87" t="str">
        <f>IFERROR(__xludf.DUMMYFUNCTION("""COMPUTED_VALUE"""),"Thùng")</f>
        <v>Thùng</v>
      </c>
      <c r="C183" s="87" t="str">
        <f>IFERROR(__xludf.DUMMYFUNCTION("""COMPUTED_VALUE"""),"THC0178")</f>
        <v>THC0178</v>
      </c>
      <c r="D183" s="87" t="str">
        <f>IFERROR(__xludf.DUMMYFUNCTION("""COMPUTED_VALUE"""),"Thùng NEWTECH Chai PET vuông 450ml x 30 chai (44.5x32x19cm) - Trắng viền xanh")</f>
        <v>Thùng NEWTECH Chai PET vuông 450ml x 30 chai (44.5x32x19cm) - Trắng viền xanh</v>
      </c>
      <c r="E183" s="87" t="str">
        <f>IFERROR(__xludf.DUMMYFUNCTION("""COMPUTED_VALUE"""),"Vi lượng Quantity New")</f>
        <v>Vi lượng Quantity New</v>
      </c>
      <c r="F183" s="87" t="str">
        <f>IFERROR(__xludf.DUMMYFUNCTION("""COMPUTED_VALUE"""),"HH0178")</f>
        <v>HH0178</v>
      </c>
      <c r="G183" s="87" t="str">
        <f>IFERROR(__xludf.DUMMYFUNCTION("""COMPUTED_VALUE"""),"GC - II - 587 - A Thời GNH - Siêu Vô gạo (Chai HD) - 500 ml - 40")</f>
        <v>GC - II - 587 - A Thời GNH - Siêu Vô gạo (Chai HD) - 500 ml - 40</v>
      </c>
    </row>
    <row r="184">
      <c r="A184" s="86">
        <f>IFERROR(__xludf.DUMMYFUNCTION("""COMPUTED_VALUE"""),182.0)</f>
        <v>182</v>
      </c>
      <c r="B184" s="87" t="str">
        <f>IFERROR(__xludf.DUMMYFUNCTION("""COMPUTED_VALUE"""),"Thùng")</f>
        <v>Thùng</v>
      </c>
      <c r="C184" s="87" t="str">
        <f>IFERROR(__xludf.DUMMYFUNCTION("""COMPUTED_VALUE"""),"THC0180")</f>
        <v>THC0180</v>
      </c>
      <c r="D184" s="87" t="str">
        <f>IFERROR(__xludf.DUMMYFUNCTION("""COMPUTED_VALUE"""),"Thùng Agritech 100gr x 100, 120, 150 gói (47.5x41.5x28cm) - Trắng viền xanh dương")</f>
        <v>Thùng Agritech 100gr x 100, 120, 150 gói (47.5x41.5x28cm) - Trắng viền xanh dương</v>
      </c>
      <c r="E184" s="87" t="str">
        <f>IFERROR(__xludf.DUMMYFUNCTION("""COMPUTED_VALUE"""),"Vi lượng Quantity New")</f>
        <v>Vi lượng Quantity New</v>
      </c>
      <c r="F184" s="87" t="str">
        <f>IFERROR(__xludf.DUMMYFUNCTION("""COMPUTED_VALUE"""),"HH0180")</f>
        <v>HH0180</v>
      </c>
      <c r="G184" s="87" t="str">
        <f>IFERROR(__xludf.DUMMYFUNCTION("""COMPUTED_VALUE"""),"GC - II - 588 - A Thời GNH - Siêu mạnh cá hồi (Chai HD) - 1L - 20")</f>
        <v>GC - II - 588 - A Thời GNH - Siêu mạnh cá hồi (Chai HD) - 1L - 20</v>
      </c>
    </row>
    <row r="185">
      <c r="A185" s="86">
        <f>IFERROR(__xludf.DUMMYFUNCTION("""COMPUTED_VALUE"""),183.0)</f>
        <v>183</v>
      </c>
      <c r="B185" s="87" t="str">
        <f>IFERROR(__xludf.DUMMYFUNCTION("""COMPUTED_VALUE"""),"Thùng")</f>
        <v>Thùng</v>
      </c>
      <c r="C185" s="87" t="str">
        <f>IFERROR(__xludf.DUMMYFUNCTION("""COMPUTED_VALUE"""),"THC0181")</f>
        <v>THC0181</v>
      </c>
      <c r="D185" s="87" t="str">
        <f>IFERROR(__xludf.DUMMYFUNCTION("""COMPUTED_VALUE"""),"Thùng Agritech 1kg x 20, 25 gói(50x35x28.5cm) - Trắng viền xanh dương")</f>
        <v>Thùng Agritech 1kg x 20, 25 gói(50x35x28.5cm) - Trắng viền xanh dương</v>
      </c>
      <c r="E185" s="87" t="str">
        <f>IFERROR(__xludf.DUMMYFUNCTION("""COMPUTED_VALUE"""),"Vi lượng Quantity New")</f>
        <v>Vi lượng Quantity New</v>
      </c>
      <c r="F185" s="87" t="str">
        <f>IFERROR(__xludf.DUMMYFUNCTION("""COMPUTED_VALUE"""),"HH0181")</f>
        <v>HH0181</v>
      </c>
      <c r="G185" s="87" t="str">
        <f>IFERROR(__xludf.DUMMYFUNCTION("""COMPUTED_VALUE"""),"GC - II - 588 - A Thời GNH - Siêu mạnh cá hồi (Chai HD) - 1L - 20")</f>
        <v>GC - II - 588 - A Thời GNH - Siêu mạnh cá hồi (Chai HD) - 1L - 20</v>
      </c>
    </row>
    <row r="186">
      <c r="A186" s="86">
        <f>IFERROR(__xludf.DUMMYFUNCTION("""COMPUTED_VALUE"""),184.0)</f>
        <v>184</v>
      </c>
      <c r="B186" s="87" t="str">
        <f>IFERROR(__xludf.DUMMYFUNCTION("""COMPUTED_VALUE"""),"Thùng")</f>
        <v>Thùng</v>
      </c>
      <c r="C186" s="87" t="str">
        <f>IFERROR(__xludf.DUMMYFUNCTION("""COMPUTED_VALUE"""),"THC0182")</f>
        <v>THC0182</v>
      </c>
      <c r="D186" s="87" t="str">
        <f>IFERROR(__xludf.DUMMYFUNCTION("""COMPUTED_VALUE"""),"Thùng Agritech chai HD 1 lít x 20 chai (45x35.5x26.5cm) - Trắng viền xanh dương")</f>
        <v>Thùng Agritech chai HD 1 lít x 20 chai (45x35.5x26.5cm) - Trắng viền xanh dương</v>
      </c>
      <c r="E186" s="87" t="str">
        <f>IFERROR(__xludf.DUMMYFUNCTION("""COMPUTED_VALUE"""),"Vi lượng Quantity New")</f>
        <v>Vi lượng Quantity New</v>
      </c>
      <c r="F186" s="87" t="str">
        <f>IFERROR(__xludf.DUMMYFUNCTION("""COMPUTED_VALUE"""),"HH0182")</f>
        <v>HH0182</v>
      </c>
      <c r="G186" s="87" t="str">
        <f>IFERROR(__xludf.DUMMYFUNCTION("""COMPUTED_VALUE"""),"GC - II - 589 - A Thời GNH - Super Fruit (Chai HD) - 500ml - 40")</f>
        <v>GC - II - 589 - A Thời GNH - Super Fruit (Chai HD) - 500ml - 40</v>
      </c>
    </row>
    <row r="187">
      <c r="A187" s="86">
        <f>IFERROR(__xludf.DUMMYFUNCTION("""COMPUTED_VALUE"""),185.0)</f>
        <v>185</v>
      </c>
      <c r="B187" s="87" t="str">
        <f>IFERROR(__xludf.DUMMYFUNCTION("""COMPUTED_VALUE"""),"Thùng")</f>
        <v>Thùng</v>
      </c>
      <c r="C187" s="87" t="str">
        <f>IFERROR(__xludf.DUMMYFUNCTION("""COMPUTED_VALUE"""),"THC0183")</f>
        <v>THC0183</v>
      </c>
      <c r="D187" s="87" t="str">
        <f>IFERROR(__xludf.DUMMYFUNCTION("""COMPUTED_VALUE"""),"Thùng Agritech chai PET tròn 450ml x 40 chai (63x39x21cm) - Trắng viền xanh dương")</f>
        <v>Thùng Agritech chai PET tròn 450ml x 40 chai (63x39x21cm) - Trắng viền xanh dương</v>
      </c>
      <c r="E187" s="87" t="str">
        <f>IFERROR(__xludf.DUMMYFUNCTION("""COMPUTED_VALUE"""),"Vi lượng Quantity New")</f>
        <v>Vi lượng Quantity New</v>
      </c>
      <c r="F187" s="87" t="str">
        <f>IFERROR(__xludf.DUMMYFUNCTION("""COMPUTED_VALUE"""),"HH0183")</f>
        <v>HH0183</v>
      </c>
      <c r="G187" s="87" t="str">
        <f>IFERROR(__xludf.DUMMYFUNCTION("""COMPUTED_VALUE"""),"GC - II - 590- A Thời GNH - Super Root (Chai HD) - 100ml - 100")</f>
        <v>GC - II - 590- A Thời GNH - Super Root (Chai HD) - 100ml - 100</v>
      </c>
    </row>
    <row r="188">
      <c r="A188" s="86">
        <f>IFERROR(__xludf.DUMMYFUNCTION("""COMPUTED_VALUE"""),186.0)</f>
        <v>186</v>
      </c>
      <c r="B188" s="87" t="str">
        <f>IFERROR(__xludf.DUMMYFUNCTION("""COMPUTED_VALUE"""),"Thùng")</f>
        <v>Thùng</v>
      </c>
      <c r="C188" s="87" t="str">
        <f>IFERROR(__xludf.DUMMYFUNCTION("""COMPUTED_VALUE"""),"THC0184")</f>
        <v>THC0184</v>
      </c>
      <c r="D188" s="87" t="str">
        <f>IFERROR(__xludf.DUMMYFUNCTION("""COMPUTED_VALUE"""),"Thùng Shino chai PET tròn 240ml ,250ml x 40 chai (47x29.5x15.5 cm) - Trắng viền tím")</f>
        <v>Thùng Shino chai PET tròn 240ml ,250ml x 40 chai (47x29.5x15.5 cm) - Trắng viền tím</v>
      </c>
      <c r="E188" s="87" t="str">
        <f>IFERROR(__xludf.DUMMYFUNCTION("""COMPUTED_VALUE"""),"Vi lượng Quantity New")</f>
        <v>Vi lượng Quantity New</v>
      </c>
      <c r="F188" s="87" t="str">
        <f>IFERROR(__xludf.DUMMYFUNCTION("""COMPUTED_VALUE"""),"HH0184")</f>
        <v>HH0184</v>
      </c>
      <c r="G188" s="87" t="str">
        <f>IFERROR(__xludf.DUMMYFUNCTION("""COMPUTED_VALUE"""),"GC - II - 591 - A Thời GNH - Chuyên lác (Chai HD) - 1L - 20")</f>
        <v>GC - II - 591 - A Thời GNH - Chuyên lác (Chai HD) - 1L - 20</v>
      </c>
    </row>
    <row r="189">
      <c r="A189" s="86">
        <f>IFERROR(__xludf.DUMMYFUNCTION("""COMPUTED_VALUE"""),187.0)</f>
        <v>187</v>
      </c>
      <c r="B189" s="87" t="str">
        <f>IFERROR(__xludf.DUMMYFUNCTION("""COMPUTED_VALUE"""),"Thùng")</f>
        <v>Thùng</v>
      </c>
      <c r="C189" s="87" t="str">
        <f>IFERROR(__xludf.DUMMYFUNCTION("""COMPUTED_VALUE"""),"THC0185")</f>
        <v>THC0185</v>
      </c>
      <c r="D189" s="87" t="str">
        <f>IFERROR(__xludf.DUMMYFUNCTION("""COMPUTED_VALUE"""),"Thùng Quang Đăng chai HD vuông 500ml x 40 chai (46x35.5x19cm) - Trắng viền xanh dương")</f>
        <v>Thùng Quang Đăng chai HD vuông 500ml x 40 chai (46x35.5x19cm) - Trắng viền xanh dương</v>
      </c>
      <c r="E189" s="87" t="str">
        <f>IFERROR(__xludf.DUMMYFUNCTION("""COMPUTED_VALUE"""),"THALONIL 75WP")</f>
        <v>THALONIL 75WP</v>
      </c>
      <c r="F189" s="87" t="str">
        <f>IFERROR(__xludf.DUMMYFUNCTION("""COMPUTED_VALUE"""),"HH0185")</f>
        <v>HH0185</v>
      </c>
      <c r="G189" s="87" t="str">
        <f>IFERROR(__xludf.DUMMYFUNCTION("""COMPUTED_VALUE"""),"GC - I - 592 - Thiên Di - Thalonil 75WP (flexo) - 100gr - 100")</f>
        <v>GC - I - 592 - Thiên Di - Thalonil 75WP (flexo) - 100gr - 100</v>
      </c>
    </row>
    <row r="190">
      <c r="A190" s="86">
        <f>IFERROR(__xludf.DUMMYFUNCTION("""COMPUTED_VALUE"""),188.0)</f>
        <v>188</v>
      </c>
      <c r="B190" s="87" t="str">
        <f>IFERROR(__xludf.DUMMYFUNCTION("""COMPUTED_VALUE"""),"Thùng")</f>
        <v>Thùng</v>
      </c>
      <c r="C190" s="87" t="str">
        <f>IFERROR(__xludf.DUMMYFUNCTION("""COMPUTED_VALUE"""),"THC0186")</f>
        <v>THC0186</v>
      </c>
      <c r="D190" s="87" t="str">
        <f>IFERROR(__xludf.DUMMYFUNCTION("""COMPUTED_VALUE"""),"Thùng Quang Đăng can 10 lít x 2 can (41.5x24.5x32cm) - Trắng viền xanh dương")</f>
        <v>Thùng Quang Đăng can 10 lít x 2 can (41.5x24.5x32cm) - Trắng viền xanh dương</v>
      </c>
      <c r="E190" s="87" t="str">
        <f>IFERROR(__xludf.DUMMYFUNCTION("""COMPUTED_VALUE"""),"COCHAY 200SL")</f>
        <v>COCHAY 200SL</v>
      </c>
      <c r="F190" s="87" t="str">
        <f>IFERROR(__xludf.DUMMYFUNCTION("""COMPUTED_VALUE"""),"HH0186")</f>
        <v>HH0186</v>
      </c>
      <c r="G190" s="87" t="str">
        <f>IFERROR(__xludf.DUMMYFUNCTION("""COMPUTED_VALUE"""),"GC - II - K - 594 - MK Group - Cỏ Cháy Thế Hệ Mới (chai PET vuông) - 900ml- 20")</f>
        <v>GC - II - K - 594 - MK Group - Cỏ Cháy Thế Hệ Mới (chai PET vuông) - 900ml- 20</v>
      </c>
    </row>
    <row r="191">
      <c r="A191" s="86">
        <f>IFERROR(__xludf.DUMMYFUNCTION("""COMPUTED_VALUE"""),189.0)</f>
        <v>189</v>
      </c>
      <c r="B191" s="87" t="str">
        <f>IFERROR(__xludf.DUMMYFUNCTION("""COMPUTED_VALUE"""),"Thùng")</f>
        <v>Thùng</v>
      </c>
      <c r="C191" s="87" t="str">
        <f>IFERROR(__xludf.DUMMYFUNCTION("""COMPUTED_VALUE"""),"THC0187")</f>
        <v>THC0187</v>
      </c>
      <c r="D191" s="87" t="str">
        <f>IFERROR(__xludf.DUMMYFUNCTION("""COMPUTED_VALUE"""),"Thùng Shino 200 gói, 500ml x 30 chai (50x41.5x20cm) - Trắng đỏ")</f>
        <v>Thùng Shino 200 gói, 500ml x 30 chai (50x41.5x20cm) - Trắng đỏ</v>
      </c>
      <c r="E191" s="87" t="str">
        <f>IFERROR(__xludf.DUMMYFUNCTION("""COMPUTED_VALUE"""),"COCHAY 200SL")</f>
        <v>COCHAY 200SL</v>
      </c>
      <c r="F191" s="87" t="str">
        <f>IFERROR(__xludf.DUMMYFUNCTION("""COMPUTED_VALUE"""),"HH0187")</f>
        <v>HH0187</v>
      </c>
      <c r="G191" s="87" t="str">
        <f>IFERROR(__xludf.DUMMYFUNCTION("""COMPUTED_VALUE"""),"GC - II - K - 594 - MK Group - Cỏ Cháy Thế Hệ Mới (chai PET vuông) - 900ml- 20")</f>
        <v>GC - II - K - 594 - MK Group - Cỏ Cháy Thế Hệ Mới (chai PET vuông) - 900ml- 20</v>
      </c>
    </row>
    <row r="192">
      <c r="A192" s="86">
        <f>IFERROR(__xludf.DUMMYFUNCTION("""COMPUTED_VALUE"""),190.0)</f>
        <v>190</v>
      </c>
      <c r="B192" s="87" t="str">
        <f>IFERROR(__xludf.DUMMYFUNCTION("""COMPUTED_VALUE"""),"Thùng")</f>
        <v>Thùng</v>
      </c>
      <c r="C192" s="87" t="str">
        <f>IFERROR(__xludf.DUMMYFUNCTION("""COMPUTED_VALUE"""),"THC0188")</f>
        <v>THC0188</v>
      </c>
      <c r="D192" s="87" t="str">
        <f>IFERROR(__xludf.DUMMYFUNCTION("""COMPUTED_VALUE"""),"Thùng Shino chai PET tròn 450ml x 30 chai (48x40x20cm) - Trắng cam")</f>
        <v>Thùng Shino chai PET tròn 450ml x 30 chai (48x40x20cm) - Trắng cam</v>
      </c>
      <c r="E192" s="87" t="str">
        <f>IFERROR(__xludf.DUMMYFUNCTION("""COMPUTED_VALUE"""),"CHAYRUI 150SL")</f>
        <v>CHAYRUI 150SL</v>
      </c>
      <c r="F192" s="87" t="str">
        <f>IFERROR(__xludf.DUMMYFUNCTION("""COMPUTED_VALUE"""),"HH0188")</f>
        <v>HH0188</v>
      </c>
      <c r="G192" s="87" t="str">
        <f>IFERROR(__xludf.DUMMYFUNCTION("""COMPUTED_VALUE"""),"GC - II - MK Group - 595 - Cháy cỏ khai hoang (PET vuông) - 900ml - 20")</f>
        <v>GC - II - MK Group - 595 - Cháy cỏ khai hoang (PET vuông) - 900ml - 20</v>
      </c>
    </row>
    <row r="193">
      <c r="A193" s="86">
        <f>IFERROR(__xludf.DUMMYFUNCTION("""COMPUTED_VALUE"""),191.0)</f>
        <v>191</v>
      </c>
      <c r="B193" s="87" t="str">
        <f>IFERROR(__xludf.DUMMYFUNCTION("""COMPUTED_VALUE"""),"Thùng")</f>
        <v>Thùng</v>
      </c>
      <c r="C193" s="87" t="str">
        <f>IFERROR(__xludf.DUMMYFUNCTION("""COMPUTED_VALUE"""),"THC0189")</f>
        <v>THC0189</v>
      </c>
      <c r="D193" s="87" t="str">
        <f>IFERROR(__xludf.DUMMYFUNCTION("""COMPUTED_VALUE"""),"Thùng Shino 200 gói, hộp x 30 cái (51.5x43x20cm) - Trắng đỏ")</f>
        <v>Thùng Shino 200 gói, hộp x 30 cái (51.5x43x20cm) - Trắng đỏ</v>
      </c>
      <c r="E193" s="87" t="str">
        <f>IFERROR(__xludf.DUMMYFUNCTION("""COMPUTED_VALUE"""),"Remy 19EC")</f>
        <v>Remy 19EC</v>
      </c>
      <c r="F193" s="87" t="str">
        <f>IFERROR(__xludf.DUMMYFUNCTION("""COMPUTED_VALUE"""),"HH0189")</f>
        <v>HH0189</v>
      </c>
      <c r="G193" s="87" t="str">
        <f>IFERROR(__xludf.DUMMYFUNCTION("""COMPUTED_VALUE"""),"GC - II - 596 - MK Group - Remy 19EC (chai tròn) - 450ml - 40")</f>
        <v>GC - II - 596 - MK Group - Remy 19EC (chai tròn) - 450ml - 40</v>
      </c>
    </row>
    <row r="194">
      <c r="A194" s="86">
        <f>IFERROR(__xludf.DUMMYFUNCTION("""COMPUTED_VALUE"""),192.0)</f>
        <v>192</v>
      </c>
      <c r="B194" s="87" t="str">
        <f>IFERROR(__xludf.DUMMYFUNCTION("""COMPUTED_VALUE"""),"Thùng")</f>
        <v>Thùng</v>
      </c>
      <c r="C194" s="87" t="str">
        <f>IFERROR(__xludf.DUMMYFUNCTION("""COMPUTED_VALUE"""),"THI0190")</f>
        <v>THI0190</v>
      </c>
      <c r="D194" s="87" t="str">
        <f>IFERROR(__xludf.DUMMYFUNCTION("""COMPUTED_VALUE"""),"Thùng IDA gói Centertaner lớn 50gr x 100 gói (48.5x36.5x16.5cm) - Trắng xanh lá")</f>
        <v>Thùng IDA gói Centertaner lớn 50gr x 100 gói (48.5x36.5x16.5cm) - Trắng xanh lá</v>
      </c>
      <c r="E194" s="87" t="str">
        <f>IFERROR(__xludf.DUMMYFUNCTION("""COMPUTED_VALUE"""),"Tikabamec 3.6EC")</f>
        <v>Tikabamec 3.6EC</v>
      </c>
      <c r="F194" s="87" t="str">
        <f>IFERROR(__xludf.DUMMYFUNCTION("""COMPUTED_VALUE"""),"HH0190")</f>
        <v>HH0190</v>
      </c>
      <c r="G194" s="87" t="str">
        <f>IFERROR(__xludf.DUMMYFUNCTION("""COMPUTED_VALUE"""),"GC - II - 597 - MK Group - Amec 3.6EC (Pet tròn) (nước trong) (thân trắng, nắp trắng) - 450ml - 40")</f>
        <v>GC - II - 597 - MK Group - Amec 3.6EC (Pet tròn) (nước trong) (thân trắng, nắp trắng) - 450ml - 40</v>
      </c>
    </row>
    <row r="195">
      <c r="A195" s="86">
        <f>IFERROR(__xludf.DUMMYFUNCTION("""COMPUTED_VALUE"""),193.0)</f>
        <v>193</v>
      </c>
      <c r="B195" s="87" t="str">
        <f>IFERROR(__xludf.DUMMYFUNCTION("""COMPUTED_VALUE"""),"Thùng")</f>
        <v>Thùng</v>
      </c>
      <c r="C195" s="87" t="str">
        <f>IFERROR(__xludf.DUMMYFUNCTION("""COMPUTED_VALUE"""),"THC0191")</f>
        <v>THC0191</v>
      </c>
      <c r="D195" s="87" t="str">
        <f>IFERROR(__xludf.DUMMYFUNCTION("""COMPUTED_VALUE"""),"Thùng NEWTEX hộp Oằn bông x 20 hộp (57.5x41x22cm) - Trắng viền đỏ")</f>
        <v>Thùng NEWTEX hộp Oằn bông x 20 hộp (57.5x41x22cm) - Trắng viền đỏ</v>
      </c>
      <c r="E195" s="87" t="str">
        <f>IFERROR(__xludf.DUMMYFUNCTION("""COMPUTED_VALUE"""),"Tikabamec 3.6EC")</f>
        <v>Tikabamec 3.6EC</v>
      </c>
      <c r="F195" s="87" t="str">
        <f>IFERROR(__xludf.DUMMYFUNCTION("""COMPUTED_VALUE"""),"HH0191")</f>
        <v>HH0191</v>
      </c>
      <c r="G195" s="87" t="str">
        <f>IFERROR(__xludf.DUMMYFUNCTION("""COMPUTED_VALUE"""),"GC - II - 597.1 - MK Group - Amec 3.6EC (nước nâu)(Pet tròn) (thân trắng, nắp đỏ) - 450ml - 40")</f>
        <v>GC - II - 597.1 - MK Group - Amec 3.6EC (nước nâu)(Pet tròn) (thân trắng, nắp đỏ) - 450ml - 40</v>
      </c>
    </row>
    <row r="196">
      <c r="A196" s="86">
        <f>IFERROR(__xludf.DUMMYFUNCTION("""COMPUTED_VALUE"""),194.0)</f>
        <v>194</v>
      </c>
      <c r="B196" s="87" t="str">
        <f>IFERROR(__xludf.DUMMYFUNCTION("""COMPUTED_VALUE"""),"Thùng")</f>
        <v>Thùng</v>
      </c>
      <c r="C196" s="87" t="str">
        <f>IFERROR(__xludf.DUMMYFUNCTION("""COMPUTED_VALUE"""),"THC0192")</f>
        <v>THC0192</v>
      </c>
      <c r="D196" s="87" t="str">
        <f>IFERROR(__xludf.DUMMYFUNCTION("""COMPUTED_VALUE"""),"Thùng QUANG ĐĂNG chai HD vuông 250ml x 40 chai (53.5x35.5x15.5cm) - Trắng viền xanh dương")</f>
        <v>Thùng QUANG ĐĂNG chai HD vuông 250ml x 40 chai (53.5x35.5x15.5cm) - Trắng viền xanh dương</v>
      </c>
      <c r="E196" s="87" t="str">
        <f>IFERROR(__xludf.DUMMYFUNCTION("""COMPUTED_VALUE"""),"Mekongvil 5SC")</f>
        <v>Mekongvil 5SC</v>
      </c>
      <c r="F196" s="87" t="str">
        <f>IFERROR(__xludf.DUMMYFUNCTION("""COMPUTED_VALUE"""),"HH0192")</f>
        <v>HH0192</v>
      </c>
      <c r="G196" s="87" t="str">
        <f>IFERROR(__xludf.DUMMYFUNCTION("""COMPUTED_VALUE"""),"GC - II - 598 - MK Group - Siêu Trừ Bệnh (Pet tròn) - 1 lít - 20")</f>
        <v>GC - II - 598 - MK Group - Siêu Trừ Bệnh (Pet tròn) - 1 lít - 20</v>
      </c>
    </row>
    <row r="197">
      <c r="A197" s="86">
        <f>IFERROR(__xludf.DUMMYFUNCTION("""COMPUTED_VALUE"""),195.0)</f>
        <v>195</v>
      </c>
      <c r="B197" s="87" t="str">
        <f>IFERROR(__xludf.DUMMYFUNCTION("""COMPUTED_VALUE"""),"Thùng")</f>
        <v>Thùng</v>
      </c>
      <c r="C197" s="87" t="str">
        <f>IFERROR(__xludf.DUMMYFUNCTION("""COMPUTED_VALUE"""),"THC0193")</f>
        <v>THC0193</v>
      </c>
      <c r="D197" s="87" t="str">
        <f>IFERROR(__xludf.DUMMYFUNCTION("""COMPUTED_VALUE"""),"Thùng QUANG ĐĂNG chai HD 1 lít x 20 chai (45.5x36x25.5cm) - Trắng viền xanh dương")</f>
        <v>Thùng QUANG ĐĂNG chai HD 1 lít x 20 chai (45.5x36x25.5cm) - Trắng viền xanh dương</v>
      </c>
      <c r="E197" s="87" t="str">
        <f>IFERROR(__xludf.DUMMYFUNCTION("""COMPUTED_VALUE"""),"TVZEB 800WP")</f>
        <v>TVZEB 800WP</v>
      </c>
      <c r="F197" s="87" t="str">
        <f>IFERROR(__xludf.DUMMYFUNCTION("""COMPUTED_VALUE"""),"HH0193")</f>
        <v>HH0193</v>
      </c>
      <c r="G197" s="87" t="str">
        <f>IFERROR(__xludf.DUMMYFUNCTION("""COMPUTED_VALUE"""),"GC - II - 599 - MK Group - Mancozeb xanh - 1kg - 20")</f>
        <v>GC - II - 599 - MK Group - Mancozeb xanh - 1kg - 20</v>
      </c>
    </row>
    <row r="198">
      <c r="A198" s="86">
        <f>IFERROR(__xludf.DUMMYFUNCTION("""COMPUTED_VALUE"""),196.0)</f>
        <v>196</v>
      </c>
      <c r="B198" s="87" t="str">
        <f>IFERROR(__xludf.DUMMYFUNCTION("""COMPUTED_VALUE"""),"Thùng")</f>
        <v>Thùng</v>
      </c>
      <c r="C198" s="87" t="str">
        <f>IFERROR(__xludf.DUMMYFUNCTION("""COMPUTED_VALUE"""),"THC0194")</f>
        <v>THC0194</v>
      </c>
      <c r="D198" s="87" t="str">
        <f>IFERROR(__xludf.DUMMYFUNCTION("""COMPUTED_VALUE"""),"Thùng ABA chai PET trong 100ml x 100 chai (45.5x45.5x12cm) - Trắng viền đen")</f>
        <v>Thùng ABA chai PET trong 100ml x 100 chai (45.5x45.5x12cm) - Trắng viền đen</v>
      </c>
      <c r="E198" s="87" t="str">
        <f>IFERROR(__xludf.DUMMYFUNCTION("""COMPUTED_VALUE"""),"TVZEB 800WP")</f>
        <v>TVZEB 800WP</v>
      </c>
      <c r="F198" s="87" t="str">
        <f>IFERROR(__xludf.DUMMYFUNCTION("""COMPUTED_VALUE"""),"HH0194")</f>
        <v>HH0194</v>
      </c>
      <c r="G198" s="87" t="str">
        <f>IFERROR(__xludf.DUMMYFUNCTION("""COMPUTED_VALUE"""),"GC - II - 599 - MK Group - Mancozeb xanh - 1kg - 20")</f>
        <v>GC - II - 599 - MK Group - Mancozeb xanh - 1kg - 20</v>
      </c>
    </row>
    <row r="199">
      <c r="A199" s="86">
        <f>IFERROR(__xludf.DUMMYFUNCTION("""COMPUTED_VALUE"""),197.0)</f>
        <v>197</v>
      </c>
      <c r="B199" s="87" t="str">
        <f>IFERROR(__xludf.DUMMYFUNCTION("""COMPUTED_VALUE"""),"Thùng")</f>
        <v>Thùng</v>
      </c>
      <c r="C199" s="87" t="str">
        <f>IFERROR(__xludf.DUMMYFUNCTION("""COMPUTED_VALUE"""),"THC0195")</f>
        <v>THC0195</v>
      </c>
      <c r="D199" s="87" t="str">
        <f>IFERROR(__xludf.DUMMYFUNCTION("""COMPUTED_VALUE"""),"Thùng NAUY 600ml x 40 chai/ thùng (66.5x 40x 25.5cm) - Nâu, không cán màng")</f>
        <v>Thùng NAUY 600ml x 40 chai/ thùng (66.5x 40x 25.5cm) - Nâu, không cán màng</v>
      </c>
      <c r="E199" s="87" t="str">
        <f>IFERROR(__xludf.DUMMYFUNCTION("""COMPUTED_VALUE"""),"DRAGONTIN 370SC")</f>
        <v>DRAGONTIN 370SC</v>
      </c>
      <c r="F199" s="87" t="str">
        <f>IFERROR(__xludf.DUMMYFUNCTION("""COMPUTED_VALUE"""),"HH0195")</f>
        <v>HH0195</v>
      </c>
      <c r="G199" s="87" t="str">
        <f>IFERROR(__xludf.DUMMYFUNCTION("""COMPUTED_VALUE"""),"GC - II - 600 - MK Group - Rồng Lửa (Pet tròn) - 100ml - 100")</f>
        <v>GC - II - 600 - MK Group - Rồng Lửa (Pet tròn) - 100ml - 100</v>
      </c>
    </row>
    <row r="200">
      <c r="A200" s="86">
        <f>IFERROR(__xludf.DUMMYFUNCTION("""COMPUTED_VALUE"""),198.0)</f>
        <v>198</v>
      </c>
      <c r="B200" s="87" t="str">
        <f>IFERROR(__xludf.DUMMYFUNCTION("""COMPUTED_VALUE"""),"Thùng")</f>
        <v>Thùng</v>
      </c>
      <c r="C200" s="87" t="str">
        <f>IFERROR(__xludf.DUMMYFUNCTION("""COMPUTED_VALUE"""),"THC0196")</f>
        <v>THC0196</v>
      </c>
      <c r="D200" s="87" t="str">
        <f>IFERROR(__xludf.DUMMYFUNCTION("""COMPUTED_VALUE"""),"Thùng chung ABA chai PET vuông 500ml x 40chai (51x37x19cm) - Trắng viền đen")</f>
        <v>Thùng chung ABA chai PET vuông 500ml x 40chai (51x37x19cm) - Trắng viền đen</v>
      </c>
      <c r="E200" s="87" t="str">
        <f>IFERROR(__xludf.DUMMYFUNCTION("""COMPUTED_VALUE"""),"Vi lượng Basel IDA 46")</f>
        <v>Vi lượng Basel IDA 46</v>
      </c>
      <c r="F200" s="87" t="str">
        <f>IFERROR(__xludf.DUMMYFUNCTION("""COMPUTED_VALUE"""),"HH0196")</f>
        <v>HH0196</v>
      </c>
      <c r="G200" s="87" t="str">
        <f>IFERROR(__xludf.DUMMYFUNCTION("""COMPUTED_VALUE"""),"IDA Global - I - 602 - Amazon 80 (chai HD) - 100ml - 100")</f>
        <v>IDA Global - I - 602 - Amazon 80 (chai HD) - 100ml - 100</v>
      </c>
    </row>
    <row r="201">
      <c r="A201" s="86">
        <f>IFERROR(__xludf.DUMMYFUNCTION("""COMPUTED_VALUE"""),199.0)</f>
        <v>199</v>
      </c>
      <c r="B201" s="87" t="str">
        <f>IFERROR(__xludf.DUMMYFUNCTION("""COMPUTED_VALUE"""),"Thùng")</f>
        <v>Thùng</v>
      </c>
      <c r="C201" s="87" t="str">
        <f>IFERROR(__xludf.DUMMYFUNCTION("""COMPUTED_VALUE"""),"THC0197")</f>
        <v>THC0197</v>
      </c>
      <c r="D201" s="87" t="str">
        <f>IFERROR(__xludf.DUMMYFUNCTION("""COMPUTED_VALUE"""),"Thùng NAUY chai 500ml x40 chai/ thùng (64x40x18cm) - Nâu, không cán màng")</f>
        <v>Thùng NAUY chai 500ml x40 chai/ thùng (64x40x18cm) - Nâu, không cán màng</v>
      </c>
      <c r="E201" s="87" t="str">
        <f>IFERROR(__xludf.DUMMYFUNCTION("""COMPUTED_VALUE"""),"Prima 04")</f>
        <v>Prima 04</v>
      </c>
      <c r="F201" s="87" t="str">
        <f>IFERROR(__xludf.DUMMYFUNCTION("""COMPUTED_VALUE"""),"HH0197")</f>
        <v>HH0197</v>
      </c>
      <c r="G201" s="87" t="str">
        <f>IFERROR(__xludf.DUMMYFUNCTION("""COMPUTED_VALUE"""),"GC - II - 603 - Agritech - Humik - 1 kg - 25")</f>
        <v>GC - II - 603 - Agritech - Humik - 1 kg - 25</v>
      </c>
    </row>
    <row r="202">
      <c r="A202" s="86">
        <f>IFERROR(__xludf.DUMMYFUNCTION("""COMPUTED_VALUE"""),200.0)</f>
        <v>200</v>
      </c>
      <c r="B202" s="87" t="str">
        <f>IFERROR(__xludf.DUMMYFUNCTION("""COMPUTED_VALUE"""),"Thùng")</f>
        <v>Thùng</v>
      </c>
      <c r="C202" s="87" t="str">
        <f>IFERROR(__xludf.DUMMYFUNCTION("""COMPUTED_VALUE"""),"THC0198")</f>
        <v>THC0198</v>
      </c>
      <c r="D202" s="87" t="str">
        <f>IFERROR(__xludf.DUMMYFUNCTION("""COMPUTED_VALUE"""),"Thùng Dùng Chung ABA 100gr x 100 lon (56.5x28.5x19cm) - Trắng viền đen")</f>
        <v>Thùng Dùng Chung ABA 100gr x 100 lon (56.5x28.5x19cm) - Trắng viền đen</v>
      </c>
      <c r="E202" s="87" t="str">
        <f>IFERROR(__xludf.DUMMYFUNCTION("""COMPUTED_VALUE"""),"Vi lượng Basel IDA 50")</f>
        <v>Vi lượng Basel IDA 50</v>
      </c>
      <c r="F202" s="87" t="str">
        <f>IFERROR(__xludf.DUMMYFUNCTION("""COMPUTED_VALUE"""),"HH0198")</f>
        <v>HH0198</v>
      </c>
      <c r="G202" s="87" t="str">
        <f>IFERROR(__xludf.DUMMYFUNCTION("""COMPUTED_VALUE"""),"LOT IDA Global - I - 604 - TT - Power (5 sao) - 500ml - 40")</f>
        <v>LOT IDA Global - I - 604 - TT - Power (5 sao) - 500ml - 40</v>
      </c>
    </row>
    <row r="203">
      <c r="A203" s="86">
        <f>IFERROR(__xludf.DUMMYFUNCTION("""COMPUTED_VALUE"""),201.0)</f>
        <v>201</v>
      </c>
      <c r="B203" s="87" t="str">
        <f>IFERROR(__xludf.DUMMYFUNCTION("""COMPUTED_VALUE"""),"Thùng")</f>
        <v>Thùng</v>
      </c>
      <c r="C203" s="87" t="str">
        <f>IFERROR(__xludf.DUMMYFUNCTION("""COMPUTED_VALUE"""),"THC0199")</f>
        <v>THC0199</v>
      </c>
      <c r="D203" s="87" t="str">
        <f>IFERROR(__xludf.DUMMYFUNCTION("""COMPUTED_VALUE"""),"Thùng Dùng Chung Hà Long 1000ml x 20 chai- Trắng")</f>
        <v>Thùng Dùng Chung Hà Long 1000ml x 20 chai- Trắng</v>
      </c>
      <c r="E203" s="87" t="str">
        <f>IFERROR(__xludf.DUMMYFUNCTION("""COMPUTED_VALUE"""),"Vi lượng Basel IDA 47")</f>
        <v>Vi lượng Basel IDA 47</v>
      </c>
      <c r="F203" s="87" t="str">
        <f>IFERROR(__xludf.DUMMYFUNCTION("""COMPUTED_VALUE"""),"HH0199")</f>
        <v>HH0199</v>
      </c>
      <c r="G203" s="87" t="str">
        <f>IFERROR(__xludf.DUMMYFUNCTION("""COMPUTED_VALUE"""),"LOT IDA Global - I - 605 - TT - Flower Top (05 sao)- 500ml - 40")</f>
        <v>LOT IDA Global - I - 605 - TT - Flower Top (05 sao)- 500ml - 40</v>
      </c>
    </row>
    <row r="204">
      <c r="A204" s="86">
        <f>IFERROR(__xludf.DUMMYFUNCTION("""COMPUTED_VALUE"""),202.0)</f>
        <v>202</v>
      </c>
      <c r="B204" s="87" t="str">
        <f>IFERROR(__xludf.DUMMYFUNCTION("""COMPUTED_VALUE"""),"Thùng")</f>
        <v>Thùng</v>
      </c>
      <c r="C204" s="87" t="str">
        <f>IFERROR(__xludf.DUMMYFUNCTION("""COMPUTED_VALUE"""),"THC0200")</f>
        <v>THC0200</v>
      </c>
      <c r="D204" s="87" t="str">
        <f>IFERROR(__xludf.DUMMYFUNCTION("""COMPUTED_VALUE"""),"Thùng GRU SELEC ONE 100ml x 100 chai (34.5x25.5x23cm) - Trắng viền xanh biển")</f>
        <v>Thùng GRU SELEC ONE 100ml x 100 chai (34.5x25.5x23cm) - Trắng viền xanh biển</v>
      </c>
      <c r="E204" s="87" t="str">
        <f>IFERROR(__xludf.DUMMYFUNCTION("""COMPUTED_VALUE"""),"Oxycin 100WP")</f>
        <v>Oxycin 100WP</v>
      </c>
      <c r="F204" s="87" t="str">
        <f>IFERROR(__xludf.DUMMYFUNCTION("""COMPUTED_VALUE"""),"HH0200")</f>
        <v>HH0200</v>
      </c>
      <c r="G204" s="87" t="str">
        <f>IFERROR(__xludf.DUMMYFUNCTION("""COMPUTED_VALUE"""),"LOT IDA Global - I - 606 - TT - Sạch khuẩn - 25gr - 300")</f>
        <v>LOT IDA Global - I - 606 - TT - Sạch khuẩn - 25gr - 300</v>
      </c>
    </row>
    <row r="205">
      <c r="A205" s="86">
        <f>IFERROR(__xludf.DUMMYFUNCTION("""COMPUTED_VALUE"""),203.0)</f>
        <v>203</v>
      </c>
      <c r="B205" s="87" t="str">
        <f>IFERROR(__xludf.DUMMYFUNCTION("""COMPUTED_VALUE"""),"Thùng")</f>
        <v>Thùng</v>
      </c>
      <c r="C205" s="87" t="str">
        <f>IFERROR(__xludf.DUMMYFUNCTION("""COMPUTED_VALUE"""),"THC0179")</f>
        <v>THC0179</v>
      </c>
      <c r="D205" s="87" t="str">
        <f>IFERROR(__xludf.DUMMYFUNCTION("""COMPUTED_VALUE"""),"Thùng NEWTECH Chai HD tròn cao 500ml x 40 chai (58x36.5x20.5cm) - Trắng viền xanh lá")</f>
        <v>Thùng NEWTECH Chai HD tròn cao 500ml x 40 chai (58x36.5x20.5cm) - Trắng viền xanh lá</v>
      </c>
      <c r="E205" s="87" t="str">
        <f>IFERROR(__xludf.DUMMYFUNCTION("""COMPUTED_VALUE"""),"Pim.Pim 75WP")</f>
        <v>Pim.Pim 75WP</v>
      </c>
      <c r="F205" s="87" t="str">
        <f>IFERROR(__xludf.DUMMYFUNCTION("""COMPUTED_VALUE"""),"HH0179")</f>
        <v>HH0179</v>
      </c>
      <c r="G205" s="87" t="str">
        <f>IFERROR(__xludf.DUMMYFUNCTION("""COMPUTED_VALUE"""),"LOT IDA Global - I - 607 - TT - Sạch đạo ôn - 25gr - 300")</f>
        <v>LOT IDA Global - I - 607 - TT - Sạch đạo ôn - 25gr - 300</v>
      </c>
    </row>
    <row r="206">
      <c r="A206" s="86">
        <f>IFERROR(__xludf.DUMMYFUNCTION("""COMPUTED_VALUE"""),204.0)</f>
        <v>204</v>
      </c>
      <c r="B206" s="87" t="str">
        <f>IFERROR(__xludf.DUMMYFUNCTION("""COMPUTED_VALUE"""),"VT")</f>
        <v>VT</v>
      </c>
      <c r="C206" s="87" t="str">
        <f>IFERROR(__xludf.DUMMYFUNCTION("""COMPUTED_VALUE"""),"VT0176")</f>
        <v>VT0176</v>
      </c>
      <c r="D206" s="87" t="str">
        <f>IFERROR(__xludf.DUMMYFUNCTION("""COMPUTED_VALUE"""),"Tấm vách thùng (49x29)")</f>
        <v>Tấm vách thùng (49x29)</v>
      </c>
      <c r="E206" s="87" t="str">
        <f>IFERROR(__xludf.DUMMYFUNCTION("""COMPUTED_VALUE"""),"Pim.Pim 75WP")</f>
        <v>Pim.Pim 75WP</v>
      </c>
      <c r="F206" s="87" t="str">
        <f>IFERROR(__xludf.DUMMYFUNCTION("""COMPUTED_VALUE"""),"HH0176")</f>
        <v>HH0176</v>
      </c>
      <c r="G206" s="87" t="str">
        <f>IFERROR(__xludf.DUMMYFUNCTION("""COMPUTED_VALUE"""),"LOT IDA Global - I - 608 - TT - Sạch đạo ôn - 35gr - 300")</f>
        <v>LOT IDA Global - I - 608 - TT - Sạch đạo ôn - 35gr - 300</v>
      </c>
    </row>
    <row r="207">
      <c r="A207" s="86">
        <f>IFERROR(__xludf.DUMMYFUNCTION("""COMPUTED_VALUE"""),205.0)</f>
        <v>205</v>
      </c>
      <c r="B207" s="87" t="str">
        <f>IFERROR(__xludf.DUMMYFUNCTION("""COMPUTED_VALUE"""),"VT")</f>
        <v>VT</v>
      </c>
      <c r="C207" s="87" t="str">
        <f>IFERROR(__xludf.DUMMYFUNCTION("""COMPUTED_VALUE"""),"VT0177")</f>
        <v>VT0177</v>
      </c>
      <c r="D207" s="87" t="str">
        <f>IFERROR(__xludf.DUMMYFUNCTION("""COMPUTED_VALUE"""),"Túi Zip (15x25)")</f>
        <v>Túi Zip (15x25)</v>
      </c>
      <c r="E207" s="87" t="str">
        <f>IFERROR(__xludf.DUMMYFUNCTION("""COMPUTED_VALUE"""),"DREAM 480SL")</f>
        <v>DREAM 480SL</v>
      </c>
      <c r="F207" s="87" t="str">
        <f>IFERROR(__xludf.DUMMYFUNCTION("""COMPUTED_VALUE"""),"HH0177")</f>
        <v>HH0177</v>
      </c>
      <c r="G207" s="87" t="str">
        <f>IFERROR(__xludf.DUMMYFUNCTION("""COMPUTED_VALUE"""),"GC - K - 609 - Thuốc Dream 480SL - 609 - 900ml - 20")</f>
        <v>GC - K - 609 - Thuốc Dream 480SL - 609 - 900ml - 20</v>
      </c>
    </row>
    <row r="208">
      <c r="A208" s="86">
        <f>IFERROR(__xludf.DUMMYFUNCTION("""COMPUTED_VALUE"""),206.0)</f>
        <v>206</v>
      </c>
      <c r="B208" s="87" t="str">
        <f>IFERROR(__xludf.DUMMYFUNCTION("""COMPUTED_VALUE"""),"Thùng")</f>
        <v>Thùng</v>
      </c>
      <c r="C208" s="87" t="str">
        <f>IFERROR(__xludf.DUMMYFUNCTION("""COMPUTED_VALUE"""),"THI0201")</f>
        <v>THI0201</v>
      </c>
      <c r="D208" s="87" t="str">
        <f>IFERROR(__xludf.DUMMYFUNCTION("""COMPUTED_VALUE"""),"Thùng IDA Chai HD tròn 500ml x 40chai (60x37.5x19cm) - Trắng viền xanh lá")</f>
        <v>Thùng IDA Chai HD tròn 500ml x 40chai (60x37.5x19cm) - Trắng viền xanh lá</v>
      </c>
      <c r="E208" s="87" t="str">
        <f>IFERROR(__xludf.DUMMYFUNCTION("""COMPUTED_VALUE"""),"Mekongvil 5SC")</f>
        <v>Mekongvil 5SC</v>
      </c>
      <c r="F208" s="87" t="str">
        <f>IFERROR(__xludf.DUMMYFUNCTION("""COMPUTED_VALUE"""),"HH0201")</f>
        <v>HH0201</v>
      </c>
      <c r="G208" s="87" t="str">
        <f>IFERROR(__xludf.DUMMYFUNCTION("""COMPUTED_VALUE"""),"GC - II - 611 - AGC NEW- Gvil 5SC (mới) (HD) - 1 Lit - 20 (btp,nl)")</f>
        <v>GC - II - 611 - AGC NEW- Gvil 5SC (mới) (HD) - 1 Lit - 20 (btp,nl)</v>
      </c>
    </row>
    <row r="209">
      <c r="A209" s="86">
        <f>IFERROR(__xludf.DUMMYFUNCTION("""COMPUTED_VALUE"""),207.0)</f>
        <v>207</v>
      </c>
      <c r="B209" s="87" t="str">
        <f>IFERROR(__xludf.DUMMYFUNCTION("""COMPUTED_VALUE"""),"Thùng")</f>
        <v>Thùng</v>
      </c>
      <c r="C209" s="87" t="str">
        <f>IFERROR(__xludf.DUMMYFUNCTION("""COMPUTED_VALUE"""),"THI0202")</f>
        <v>THI0202</v>
      </c>
      <c r="D209" s="87" t="str">
        <f>IFERROR(__xludf.DUMMYFUNCTION("""COMPUTED_VALUE"""),"Thùng IDA 100gr x100 gói (47.5x41.5x28cm) - Trắng xanh lá")</f>
        <v>Thùng IDA 100gr x100 gói (47.5x41.5x28cm) - Trắng xanh lá</v>
      </c>
      <c r="E209" s="87" t="str">
        <f>IFERROR(__xludf.DUMMYFUNCTION("""COMPUTED_VALUE"""),"Tikabamec 3.6EC")</f>
        <v>Tikabamec 3.6EC</v>
      </c>
      <c r="F209" s="87" t="str">
        <f>IFERROR(__xludf.DUMMYFUNCTION("""COMPUTED_VALUE"""),"HH0202")</f>
        <v>HH0202</v>
      </c>
      <c r="G209" s="87" t="str">
        <f>IFERROR(__xludf.DUMMYFUNCTION("""COMPUTED_VALUE"""),"GC - II - 612 - AGC NEW - Bamec 3.6 (Nước Trong) (Pet tròn) - 450ml - 40")</f>
        <v>GC - II - 612 - AGC NEW - Bamec 3.6 (Nước Trong) (Pet tròn) - 450ml - 40</v>
      </c>
    </row>
    <row r="210">
      <c r="A210" s="86">
        <f>IFERROR(__xludf.DUMMYFUNCTION("""COMPUTED_VALUE"""),208.0)</f>
        <v>208</v>
      </c>
      <c r="B210" s="87" t="str">
        <f>IFERROR(__xludf.DUMMYFUNCTION("""COMPUTED_VALUE"""),"Thùng")</f>
        <v>Thùng</v>
      </c>
      <c r="C210" s="87" t="str">
        <f>IFERROR(__xludf.DUMMYFUNCTION("""COMPUTED_VALUE"""),"THC0203")</f>
        <v>THC0203</v>
      </c>
      <c r="D210" s="87" t="str">
        <f>IFERROR(__xludf.DUMMYFUNCTION("""COMPUTED_VALUE"""),"Thùng NEWTECH Chai 200ml, 220ml, 250ml x 40 chai (51.5x32.5x15cm) - Trắng viền xanh lá")</f>
        <v>Thùng NEWTECH Chai 200ml, 220ml, 250ml x 40 chai (51.5x32.5x15cm) - Trắng viền xanh lá</v>
      </c>
      <c r="E210" s="87" t="str">
        <f>IFERROR(__xludf.DUMMYFUNCTION("""COMPUTED_VALUE"""),"Apple 700WP")</f>
        <v>Apple 700WP</v>
      </c>
      <c r="F210" s="87" t="str">
        <f>IFERROR(__xludf.DUMMYFUNCTION("""COMPUTED_VALUE"""),"HH0203")</f>
        <v>HH0203</v>
      </c>
      <c r="G210" s="87" t="str">
        <f>IFERROR(__xludf.DUMMYFUNCTION("""COMPUTED_VALUE"""),"GC - II - 613 - AGC NEW - Ple 700WP - 70 gr - 100")</f>
        <v>GC - II - 613 - AGC NEW - Ple 700WP - 70 gr - 100</v>
      </c>
    </row>
    <row r="211">
      <c r="A211" s="86">
        <f>IFERROR(__xludf.DUMMYFUNCTION("""COMPUTED_VALUE"""),209.0)</f>
        <v>209</v>
      </c>
      <c r="B211" s="87" t="str">
        <f>IFERROR(__xludf.DUMMYFUNCTION("""COMPUTED_VALUE"""),"Thùng")</f>
        <v>Thùng</v>
      </c>
      <c r="C211" s="87" t="str">
        <f>IFERROR(__xludf.DUMMYFUNCTION("""COMPUTED_VALUE"""),"THC0204")</f>
        <v>THC0204</v>
      </c>
      <c r="D211" s="87" t="str">
        <f>IFERROR(__xludf.DUMMYFUNCTION("""COMPUTED_VALUE"""),"Thùng MASTER WIN chai HD vuông 1 lít x 20 chai (45x30x24cm) - Trắng viền đen")</f>
        <v>Thùng MASTER WIN chai HD vuông 1 lít x 20 chai (45x30x24cm) - Trắng viền đen</v>
      </c>
      <c r="E211" s="87" t="str">
        <f>IFERROR(__xludf.DUMMYFUNCTION("""COMPUTED_VALUE"""),"CHAYRUI 150SL")</f>
        <v>CHAYRUI 150SL</v>
      </c>
      <c r="F211" s="87" t="str">
        <f>IFERROR(__xludf.DUMMYFUNCTION("""COMPUTED_VALUE"""),"HH0204")</f>
        <v>HH0204</v>
      </c>
      <c r="G211" s="87" t="str">
        <f>IFERROR(__xludf.DUMMYFUNCTION("""COMPUTED_VALUE"""),"GC - II - AGC - 614 - Cháy cỏ khai hoang (PET vuông) - 900ml - 20")</f>
        <v>GC - II - AGC - 614 - Cháy cỏ khai hoang (PET vuông) - 900ml - 20</v>
      </c>
    </row>
    <row r="212">
      <c r="A212" s="86">
        <f>IFERROR(__xludf.DUMMYFUNCTION("""COMPUTED_VALUE"""),210.0)</f>
        <v>210</v>
      </c>
      <c r="B212" s="87" t="str">
        <f>IFERROR(__xludf.DUMMYFUNCTION("""COMPUTED_VALUE"""),"Thùng")</f>
        <v>Thùng</v>
      </c>
      <c r="C212" s="87" t="str">
        <f>IFERROR(__xludf.DUMMYFUNCTION("""COMPUTED_VALUE"""),"THC0205")</f>
        <v>THC0205</v>
      </c>
      <c r="D212" s="87" t="str">
        <f>IFERROR(__xludf.DUMMYFUNCTION("""COMPUTED_VALUE"""),"Thùng Korea chai HDPE 500ml x 30 chai (42x35x24.5cm) - Trắng viền xanh dương")</f>
        <v>Thùng Korea chai HDPE 500ml x 30 chai (42x35x24.5cm) - Trắng viền xanh dương</v>
      </c>
      <c r="E212" s="87" t="str">
        <f>IFERROR(__xludf.DUMMYFUNCTION("""COMPUTED_VALUE"""),"CHIM ƯNG 3.8EC")</f>
        <v>CHIM ƯNG 3.8EC</v>
      </c>
      <c r="F212" s="87" t="str">
        <f>IFERROR(__xludf.DUMMYFUNCTION("""COMPUTED_VALUE"""),"HH0205")</f>
        <v>HH0205</v>
      </c>
      <c r="G212" s="87" t="str">
        <f>IFERROR(__xludf.DUMMYFUNCTION("""COMPUTED_VALUE"""),"GC - II - 615 - AGC NEW - Mite - Killer (chai nhôm đỏ) - 240ml - 40")</f>
        <v>GC - II - 615 - AGC NEW - Mite - Killer (chai nhôm đỏ) - 240ml - 40</v>
      </c>
    </row>
    <row r="213">
      <c r="A213" s="86">
        <f>IFERROR(__xludf.DUMMYFUNCTION("""COMPUTED_VALUE"""),211.0)</f>
        <v>211</v>
      </c>
      <c r="B213" s="87" t="str">
        <f>IFERROR(__xludf.DUMMYFUNCTION("""COMPUTED_VALUE"""),"Thùng")</f>
        <v>Thùng</v>
      </c>
      <c r="C213" s="87" t="str">
        <f>IFERROR(__xludf.DUMMYFUNCTION("""COMPUTED_VALUE"""),"THC0206")</f>
        <v>THC0206</v>
      </c>
      <c r="D213" s="87" t="str">
        <f>IFERROR(__xludf.DUMMYFUNCTION("""COMPUTED_VALUE"""),"Thùng Shino chai HDPE 500ml x 30 chai (45.5x38x21cm) - Trắng nâu")</f>
        <v>Thùng Shino chai HDPE 500ml x 30 chai (45.5x38x21cm) - Trắng nâu</v>
      </c>
      <c r="E213" s="87" t="str">
        <f>IFERROR(__xludf.DUMMYFUNCTION("""COMPUTED_VALUE"""),"CHIM ƯNG 3.8EC")</f>
        <v>CHIM ƯNG 3.8EC</v>
      </c>
      <c r="F213" s="87" t="str">
        <f>IFERROR(__xludf.DUMMYFUNCTION("""COMPUTED_VALUE"""),"HH0206")</f>
        <v>HH0206</v>
      </c>
      <c r="G213" s="87" t="str">
        <f>IFERROR(__xludf.DUMMYFUNCTION("""COMPUTED_VALUE"""),"GC - II - 618 - AGC NEW - Leafroll (chai nhôm đỏ) - 240ml - 40")</f>
        <v>GC - II - 618 - AGC NEW - Leafroll (chai nhôm đỏ) - 240ml - 40</v>
      </c>
    </row>
    <row r="214">
      <c r="A214" s="86">
        <f>IFERROR(__xludf.DUMMYFUNCTION("""COMPUTED_VALUE"""),212.0)</f>
        <v>212</v>
      </c>
      <c r="B214" s="87" t="str">
        <f>IFERROR(__xludf.DUMMYFUNCTION("""COMPUTED_VALUE"""),"Thùng")</f>
        <v>Thùng</v>
      </c>
      <c r="C214" s="87" t="str">
        <f>IFERROR(__xludf.DUMMYFUNCTION("""COMPUTED_VALUE"""),"THC0207")</f>
        <v>THC0207</v>
      </c>
      <c r="D214" s="87" t="str">
        <f>IFERROR(__xludf.DUMMYFUNCTION("""COMPUTED_VALUE"""),"Thùng Dùng Chung  ABA chai HDPE 500ml x 40 chai (59.5x 37.5x18.5cm) - Trắng viền đen")</f>
        <v>Thùng Dùng Chung  ABA chai HDPE 500ml x 40 chai (59.5x 37.5x18.5cm) - Trắng viền đen</v>
      </c>
      <c r="E214" s="87" t="str">
        <f>IFERROR(__xludf.DUMMYFUNCTION("""COMPUTED_VALUE"""),"Oxycin 100WP")</f>
        <v>Oxycin 100WP</v>
      </c>
      <c r="F214" s="87" t="str">
        <f>IFERROR(__xludf.DUMMYFUNCTION("""COMPUTED_VALUE"""),"HH0207")</f>
        <v>HH0207</v>
      </c>
      <c r="G214" s="87" t="str">
        <f>IFERROR(__xludf.DUMMYFUNCTION("""COMPUTED_VALUE"""),"IDA Global - I - 621 - Vi Khuẩn Thái (Drone) - 100gr - 100")</f>
        <v>IDA Global - I - 621 - Vi Khuẩn Thái (Drone) - 100gr - 100</v>
      </c>
    </row>
    <row r="215">
      <c r="A215" s="86">
        <f>IFERROR(__xludf.DUMMYFUNCTION("""COMPUTED_VALUE"""),213.0)</f>
        <v>213</v>
      </c>
      <c r="B215" s="87" t="str">
        <f>IFERROR(__xludf.DUMMYFUNCTION("""COMPUTED_VALUE"""),"Thùng")</f>
        <v>Thùng</v>
      </c>
      <c r="C215" s="87" t="str">
        <f>IFERROR(__xludf.DUMMYFUNCTION("""COMPUTED_VALUE"""),"THC0208")</f>
        <v>THC0208</v>
      </c>
      <c r="D215" s="87" t="str">
        <f>IFERROR(__xludf.DUMMYFUNCTION("""COMPUTED_VALUE"""),"Thùng NEWTECH Chai HD 500ml x 30 chai (43.7x36.5x20.5cm) - Trắng viền xanh lá")</f>
        <v>Thùng NEWTECH Chai HD 500ml x 30 chai (43.7x36.5x20.5cm) - Trắng viền xanh lá</v>
      </c>
      <c r="E215" s="87" t="str">
        <f>IFERROR(__xludf.DUMMYFUNCTION("""COMPUTED_VALUE"""),"TOPZOLE 800WG")</f>
        <v>TOPZOLE 800WG</v>
      </c>
      <c r="F215" s="87" t="str">
        <f>IFERROR(__xludf.DUMMYFUNCTION("""COMPUTED_VALUE"""),"HH0208")</f>
        <v>HH0208</v>
      </c>
      <c r="G215" s="87" t="str">
        <f>IFERROR(__xludf.DUMMYFUNCTION("""COMPUTED_VALUE"""),"GC - II - 622 - MK Group - Siêu Trừ Đạo Ôn Vi Khuẩn - 15.6 gr - 300")</f>
        <v>GC - II - 622 - MK Group - Siêu Trừ Đạo Ôn Vi Khuẩn - 15.6 gr - 300</v>
      </c>
    </row>
    <row r="216">
      <c r="A216" s="86">
        <f>IFERROR(__xludf.DUMMYFUNCTION("""COMPUTED_VALUE"""),214.0)</f>
        <v>214</v>
      </c>
      <c r="B216" s="87" t="str">
        <f>IFERROR(__xludf.DUMMYFUNCTION("""COMPUTED_VALUE"""),"Thùng")</f>
        <v>Thùng</v>
      </c>
      <c r="C216" s="87" t="str">
        <f>IFERROR(__xludf.DUMMYFUNCTION("""COMPUTED_VALUE"""),"THC0209")</f>
        <v>THC0209</v>
      </c>
      <c r="D216" s="87" t="str">
        <f>IFERROR(__xludf.DUMMYFUNCTION("""COMPUTED_VALUE"""),"Thùng GRU VUA KHỦNG LONG 450ml x 30 chai (41.6x35x20.5cm) - Trắng viền đen")</f>
        <v>Thùng GRU VUA KHỦNG LONG 450ml x 30 chai (41.6x35x20.5cm) - Trắng viền đen</v>
      </c>
      <c r="E216" s="87" t="str">
        <f>IFERROR(__xludf.DUMMYFUNCTION("""COMPUTED_VALUE"""),"TOPZOLE 800WG")</f>
        <v>TOPZOLE 800WG</v>
      </c>
      <c r="F216" s="87" t="str">
        <f>IFERROR(__xludf.DUMMYFUNCTION("""COMPUTED_VALUE"""),"HH0209")</f>
        <v>HH0209</v>
      </c>
      <c r="G216" s="87" t="str">
        <f>IFERROR(__xludf.DUMMYFUNCTION("""COMPUTED_VALUE"""),"GC - II - 622 - MK Group - Siêu Trừ Đạo Ôn Vi Khuẩn - 15.6 gr - 300")</f>
        <v>GC - II - 622 - MK Group - Siêu Trừ Đạo Ôn Vi Khuẩn - 15.6 gr - 300</v>
      </c>
    </row>
    <row r="217">
      <c r="A217" s="86">
        <f>IFERROR(__xludf.DUMMYFUNCTION("""COMPUTED_VALUE"""),215.0)</f>
        <v>215</v>
      </c>
      <c r="B217" s="87" t="str">
        <f>IFERROR(__xludf.DUMMYFUNCTION("""COMPUTED_VALUE"""),"Thùng")</f>
        <v>Thùng</v>
      </c>
      <c r="C217" s="87" t="str">
        <f>IFERROR(__xludf.DUMMYFUNCTION("""COMPUTED_VALUE"""),"THI0210")</f>
        <v>THI0210</v>
      </c>
      <c r="D217" s="87" t="str">
        <f>IFERROR(__xludf.DUMMYFUNCTION("""COMPUTED_VALUE"""),"Thùng IDA 100gr x 100, 300 gói (44.5x37.5x21cm) - Trắng xanh lá")</f>
        <v>Thùng IDA 100gr x 100, 300 gói (44.5x37.5x21cm) - Trắng xanh lá</v>
      </c>
      <c r="E217" s="87" t="str">
        <f>IFERROR(__xludf.DUMMYFUNCTION("""COMPUTED_VALUE"""),"THALONIL 75WP")</f>
        <v>THALONIL 75WP</v>
      </c>
      <c r="F217" s="87" t="str">
        <f>IFERROR(__xludf.DUMMYFUNCTION("""COMPUTED_VALUE"""),"HH0210")</f>
        <v>HH0210</v>
      </c>
      <c r="G217" s="87" t="str">
        <f>IFERROR(__xludf.DUMMYFUNCTION("""COMPUTED_VALUE"""),"GC - II - 624 - MK Group - Siêu Trừ Nấm (flexo) - 250gr - 60")</f>
        <v>GC - II - 624 - MK Group - Siêu Trừ Nấm (flexo) - 250gr - 60</v>
      </c>
    </row>
    <row r="218">
      <c r="A218" s="86">
        <f>IFERROR(__xludf.DUMMYFUNCTION("""COMPUTED_VALUE"""),216.0)</f>
        <v>216</v>
      </c>
      <c r="B218" s="87" t="str">
        <f>IFERROR(__xludf.DUMMYFUNCTION("""COMPUTED_VALUE"""),"Thùng")</f>
        <v>Thùng</v>
      </c>
      <c r="C218" s="87" t="str">
        <f>IFERROR(__xludf.DUMMYFUNCTION("""COMPUTED_VALUE"""),"THC0211")</f>
        <v>THC0211</v>
      </c>
      <c r="D218" s="87" t="str">
        <f>IFERROR(__xludf.DUMMYFUNCTION("""COMPUTED_VALUE"""),"Thùng PERKADO 500EC 100ml x 120chai x 30 hộp (53x32x23cm) - Trắng viền đen")</f>
        <v>Thùng PERKADO 500EC 100ml x 120chai x 30 hộp (53x32x23cm) - Trắng viền đen</v>
      </c>
      <c r="E218" s="87" t="str">
        <f>IFERROR(__xludf.DUMMYFUNCTION("""COMPUTED_VALUE"""),"Vi lượng AV-CFC Plus")</f>
        <v>Vi lượng AV-CFC Plus</v>
      </c>
      <c r="F218" s="87" t="str">
        <f>IFERROR(__xludf.DUMMYFUNCTION("""COMPUTED_VALUE"""),"HH0211")</f>
        <v>HH0211</v>
      </c>
      <c r="G218" s="87" t="str">
        <f>IFERROR(__xludf.DUMMYFUNCTION("""COMPUTED_VALUE"""),"GC - I - 626 - AU - Organic IQ - 50ml - 200")</f>
        <v>GC - I - 626 - AU - Organic IQ - 50ml - 200</v>
      </c>
    </row>
    <row r="219">
      <c r="A219" s="86">
        <f>IFERROR(__xludf.DUMMYFUNCTION("""COMPUTED_VALUE"""),217.0)</f>
        <v>217</v>
      </c>
      <c r="B219" s="87" t="str">
        <f>IFERROR(__xludf.DUMMYFUNCTION("""COMPUTED_VALUE"""),"Thùng")</f>
        <v>Thùng</v>
      </c>
      <c r="C219" s="87" t="str">
        <f>IFERROR(__xludf.DUMMYFUNCTION("""COMPUTED_VALUE"""),"THI0212")</f>
        <v>THI0212</v>
      </c>
      <c r="D219" s="87" t="str">
        <f>IFERROR(__xludf.DUMMYFUNCTION("""COMPUTED_VALUE"""),"Thùng IDA gói 12gr x 400 gói (44.5x38.5x30cm) - Trắng xanh lá")</f>
        <v>Thùng IDA gói 12gr x 400 gói (44.5x38.5x30cm) - Trắng xanh lá</v>
      </c>
      <c r="E219" s="87" t="str">
        <f>IFERROR(__xludf.DUMMYFUNCTION("""COMPUTED_VALUE"""),"COCHAY 200SL")</f>
        <v>COCHAY 200SL</v>
      </c>
      <c r="F219" s="87" t="str">
        <f>IFERROR(__xludf.DUMMYFUNCTION("""COMPUTED_VALUE"""),"HH0212")</f>
        <v>HH0212</v>
      </c>
      <c r="G219" s="87" t="str">
        <f>IFERROR(__xludf.DUMMYFUNCTION("""COMPUTED_VALUE"""),"GC - II - K - 627 - HC- Cochay 200SL (chai PET vuông) - 900ml- 20")</f>
        <v>GC - II - K - 627 - HC- Cochay 200SL (chai PET vuông) - 900ml- 20</v>
      </c>
    </row>
    <row r="220">
      <c r="A220" s="86">
        <f>IFERROR(__xludf.DUMMYFUNCTION("""COMPUTED_VALUE"""),218.0)</f>
        <v>218</v>
      </c>
      <c r="B220" s="87" t="str">
        <f>IFERROR(__xludf.DUMMYFUNCTION("""COMPUTED_VALUE"""),"Thùng")</f>
        <v>Thùng</v>
      </c>
      <c r="C220" s="87" t="str">
        <f>IFERROR(__xludf.DUMMYFUNCTION("""COMPUTED_VALUE"""),"THC0213")</f>
        <v>THC0213</v>
      </c>
      <c r="D220" s="87" t="str">
        <f>IFERROR(__xludf.DUMMYFUNCTION("""COMPUTED_VALUE"""),"Thùng Dùng Chung ABA chai HD vuông 1 lít x 20 chai (45x30.5x24cm) - Trắng viền đen")</f>
        <v>Thùng Dùng Chung ABA chai HD vuông 1 lít x 20 chai (45x30.5x24cm) - Trắng viền đen</v>
      </c>
      <c r="E220" s="87" t="str">
        <f>IFERROR(__xludf.DUMMYFUNCTION("""COMPUTED_VALUE"""),"TVZEB 800WP")</f>
        <v>TVZEB 800WP</v>
      </c>
      <c r="F220" s="87" t="str">
        <f>IFERROR(__xludf.DUMMYFUNCTION("""COMPUTED_VALUE"""),"HH0213")</f>
        <v>HH0213</v>
      </c>
      <c r="G220" s="87" t="str">
        <f>IFERROR(__xludf.DUMMYFUNCTION("""COMPUTED_VALUE"""),"LOT IDA Global - I - 628 - VTNN HN - Mancozeb xanh - 1 kg - 20")</f>
        <v>LOT IDA Global - I - 628 - VTNN HN - Mancozeb xanh - 1 kg - 20</v>
      </c>
    </row>
    <row r="221">
      <c r="A221" s="86">
        <f>IFERROR(__xludf.DUMMYFUNCTION("""COMPUTED_VALUE"""),219.0)</f>
        <v>219</v>
      </c>
      <c r="B221" s="87" t="str">
        <f>IFERROR(__xludf.DUMMYFUNCTION("""COMPUTED_VALUE"""),"Thùng")</f>
        <v>Thùng</v>
      </c>
      <c r="C221" s="87" t="str">
        <f>IFERROR(__xludf.DUMMYFUNCTION("""COMPUTED_VALUE"""),"THC0214")</f>
        <v>THC0214</v>
      </c>
      <c r="D221" s="87" t="str">
        <f>IFERROR(__xludf.DUMMYFUNCTION("""COMPUTED_VALUE"""),"Thùng Dùng Chung ABA chai HD vuông 240, 250ml x 40 chai (42x30x14.5cm) - Trắng viền đen")</f>
        <v>Thùng Dùng Chung ABA chai HD vuông 240, 250ml x 40 chai (42x30x14.5cm) - Trắng viền đen</v>
      </c>
      <c r="E221" s="87" t="str">
        <f>IFERROR(__xludf.DUMMYFUNCTION("""COMPUTED_VALUE"""),"TVZEB 800WP")</f>
        <v>TVZEB 800WP</v>
      </c>
      <c r="F221" s="87" t="str">
        <f>IFERROR(__xludf.DUMMYFUNCTION("""COMPUTED_VALUE"""),"HH0214")</f>
        <v>HH0214</v>
      </c>
      <c r="G221" s="87" t="str">
        <f>IFERROR(__xludf.DUMMYFUNCTION("""COMPUTED_VALUE"""),"LOT IDA Global - I - 628 - VTNN HN - Mancozeb xanh - 1 kg - 20")</f>
        <v>LOT IDA Global - I - 628 - VTNN HN - Mancozeb xanh - 1 kg - 20</v>
      </c>
    </row>
    <row r="222">
      <c r="A222" s="86">
        <f>IFERROR(__xludf.DUMMYFUNCTION("""COMPUTED_VALUE"""),220.0)</f>
        <v>220</v>
      </c>
      <c r="B222" s="87" t="str">
        <f>IFERROR(__xludf.DUMMYFUNCTION("""COMPUTED_VALUE"""),"Thùng")</f>
        <v>Thùng</v>
      </c>
      <c r="C222" s="87" t="str">
        <f>IFERROR(__xludf.DUMMYFUNCTION("""COMPUTED_VALUE"""),"THC0215")</f>
        <v>THC0215</v>
      </c>
      <c r="D222" s="87" t="str">
        <f>IFERROR(__xludf.DUMMYFUNCTION("""COMPUTED_VALUE"""),"Thùng DAVI chai Pet 500ml x 40 chai (55x34.5x21.5cm) - Trắng viền xanh dương")</f>
        <v>Thùng DAVI chai Pet 500ml x 40 chai (55x34.5x21.5cm) - Trắng viền xanh dương</v>
      </c>
      <c r="E222" s="87" t="str">
        <f>IFERROR(__xludf.DUMMYFUNCTION("""COMPUTED_VALUE"""),"CHIM ƯNG 3.8EC")</f>
        <v>CHIM ƯNG 3.8EC</v>
      </c>
      <c r="F222" s="87" t="str">
        <f>IFERROR(__xludf.DUMMYFUNCTION("""COMPUTED_VALUE"""),"HH0215")</f>
        <v>HH0215</v>
      </c>
      <c r="G222" s="87" t="str">
        <f>IFERROR(__xludf.DUMMYFUNCTION("""COMPUTED_VALUE"""),"GC - II - 629 - AGC - Redmite (Chim Ưng) (chai nhôm đỏ) - 240ml - 40")</f>
        <v>GC - II - 629 - AGC - Redmite (Chim Ưng) (chai nhôm đỏ) - 240ml - 40</v>
      </c>
    </row>
    <row r="223">
      <c r="A223" s="86">
        <f>IFERROR(__xludf.DUMMYFUNCTION("""COMPUTED_VALUE"""),221.0)</f>
        <v>221</v>
      </c>
      <c r="B223" s="87" t="str">
        <f>IFERROR(__xludf.DUMMYFUNCTION("""COMPUTED_VALUE"""),"Thùng")</f>
        <v>Thùng</v>
      </c>
      <c r="C223" s="87" t="str">
        <f>IFERROR(__xludf.DUMMYFUNCTION("""COMPUTED_VALUE"""),"THC0216")</f>
        <v>THC0216</v>
      </c>
      <c r="D223" s="87" t="str">
        <f>IFERROR(__xludf.DUMMYFUNCTION("""COMPUTED_VALUE"""),"Thùng O2L chai Pet vuông 500ml x 40 chai (44.5x38.5x20cm) - Trắng viền xanh lá")</f>
        <v>Thùng O2L chai Pet vuông 500ml x 40 chai (44.5x38.5x20cm) - Trắng viền xanh lá</v>
      </c>
      <c r="E223" s="87" t="str">
        <f>IFERROR(__xludf.DUMMYFUNCTION("""COMPUTED_VALUE"""),"Remy 19EC")</f>
        <v>Remy 19EC</v>
      </c>
      <c r="F223" s="87" t="str">
        <f>IFERROR(__xludf.DUMMYFUNCTION("""COMPUTED_VALUE"""),"HH0216")</f>
        <v>HH0216</v>
      </c>
      <c r="G223" s="87" t="str">
        <f>IFERROR(__xludf.DUMMYFUNCTION("""COMPUTED_VALUE"""),"GC - II - 630 - KAFF - Remy 19EC - 500ml - 40")</f>
        <v>GC - II - 630 - KAFF - Remy 19EC - 500ml - 40</v>
      </c>
    </row>
    <row r="224">
      <c r="A224" s="86">
        <f>IFERROR(__xludf.DUMMYFUNCTION("""COMPUTED_VALUE"""),222.0)</f>
        <v>222</v>
      </c>
      <c r="B224" s="87" t="str">
        <f>IFERROR(__xludf.DUMMYFUNCTION("""COMPUTED_VALUE"""),"Thùng")</f>
        <v>Thùng</v>
      </c>
      <c r="C224" s="87" t="str">
        <f>IFERROR(__xludf.DUMMYFUNCTION("""COMPUTED_VALUE"""),"THC0217")</f>
        <v>THC0217</v>
      </c>
      <c r="D224" s="87" t="str">
        <f>IFERROR(__xludf.DUMMYFUNCTION("""COMPUTED_VALUE"""),"Thùng O2L chai Pet tròn 500ml x 40 chai x 40 hộp/ thùng (67x42.5x20cm) - Trắng viền xanh lá")</f>
        <v>Thùng O2L chai Pet tròn 500ml x 40 chai x 40 hộp/ thùng (67x42.5x20cm) - Trắng viền xanh lá</v>
      </c>
      <c r="E224" s="87" t="str">
        <f>IFERROR(__xludf.DUMMYFUNCTION("""COMPUTED_VALUE"""),"Centertaner 500WP")</f>
        <v>Centertaner 500WP</v>
      </c>
      <c r="F224" s="87" t="str">
        <f>IFERROR(__xludf.DUMMYFUNCTION("""COMPUTED_VALUE"""),"HH0217")</f>
        <v>HH0217</v>
      </c>
      <c r="G224" s="87" t="str">
        <f>IFERROR(__xludf.DUMMYFUNCTION("""COMPUTED_VALUE"""),"GC - II - 631 - MK Group - Siêu Diệt Khuẩn - 10.5 gr - 500")</f>
        <v>GC - II - 631 - MK Group - Siêu Diệt Khuẩn - 10.5 gr - 500</v>
      </c>
    </row>
    <row r="225">
      <c r="A225" s="86">
        <f>IFERROR(__xludf.DUMMYFUNCTION("""COMPUTED_VALUE"""),223.0)</f>
        <v>223</v>
      </c>
      <c r="B225" s="87" t="str">
        <f>IFERROR(__xludf.DUMMYFUNCTION("""COMPUTED_VALUE"""),"Thùng")</f>
        <v>Thùng</v>
      </c>
      <c r="C225" s="87" t="str">
        <f>IFERROR(__xludf.DUMMYFUNCTION("""COMPUTED_VALUE"""),"THC0218")</f>
        <v>THC0218</v>
      </c>
      <c r="D225" s="87" t="str">
        <f>IFERROR(__xludf.DUMMYFUNCTION("""COMPUTED_VALUE"""),"Thùng ASAHI NHẬT BẢN can 5L x 4 can (40.5x32.5x25cm) - Trắng xanh đậm")</f>
        <v>Thùng ASAHI NHẬT BẢN can 5L x 4 can (40.5x32.5x25cm) - Trắng xanh đậm</v>
      </c>
      <c r="E225" s="87" t="str">
        <f>IFERROR(__xludf.DUMMYFUNCTION("""COMPUTED_VALUE"""),"RAYXANH 200WP")</f>
        <v>RAYXANH 200WP</v>
      </c>
      <c r="F225" s="87" t="str">
        <f>IFERROR(__xludf.DUMMYFUNCTION("""COMPUTED_VALUE"""),"HH0218")</f>
        <v>HH0218</v>
      </c>
      <c r="G225" s="87" t="str">
        <f>IFERROR(__xludf.DUMMYFUNCTION("""COMPUTED_VALUE"""),"GC - II - 632 - MK Group - Ray xanh - 80gr - 150")</f>
        <v>GC - II - 632 - MK Group - Ray xanh - 80gr - 150</v>
      </c>
    </row>
    <row r="226">
      <c r="A226" s="86">
        <f>IFERROR(__xludf.DUMMYFUNCTION("""COMPUTED_VALUE"""),224.0)</f>
        <v>224</v>
      </c>
      <c r="B226" s="87" t="str">
        <f>IFERROR(__xludf.DUMMYFUNCTION("""COMPUTED_VALUE"""),"Thùng")</f>
        <v>Thùng</v>
      </c>
      <c r="C226" s="87" t="str">
        <f>IFERROR(__xludf.DUMMYFUNCTION("""COMPUTED_VALUE"""),"THC0219")</f>
        <v>THC0219</v>
      </c>
      <c r="D226" s="87" t="str">
        <f>IFERROR(__xludf.DUMMYFUNCTION("""COMPUTED_VALUE"""),"Thùng ASAHI NHẬT BẢN chai 500ml x 40 chai (59.5x37.5x18.5cm) - Trắng xanh đậm")</f>
        <v>Thùng ASAHI NHẬT BẢN chai 500ml x 40 chai (59.5x37.5x18.5cm) - Trắng xanh đậm</v>
      </c>
      <c r="E226" s="87" t="str">
        <f>IFERROR(__xludf.DUMMYFUNCTION("""COMPUTED_VALUE"""),"THALONIL 75WP")</f>
        <v>THALONIL 75WP</v>
      </c>
      <c r="F226" s="87" t="str">
        <f>IFERROR(__xludf.DUMMYFUNCTION("""COMPUTED_VALUE"""),"HH0219")</f>
        <v>HH0219</v>
      </c>
      <c r="G226" s="87" t="str">
        <f>IFERROR(__xludf.DUMMYFUNCTION("""COMPUTED_VALUE"""),"GC - II - 633 - AGC NEW - Alonil 75WP (flexo) - 250gr - 60")</f>
        <v>GC - II - 633 - AGC NEW - Alonil 75WP (flexo) - 250gr - 60</v>
      </c>
    </row>
    <row r="227">
      <c r="A227" s="86">
        <f>IFERROR(__xludf.DUMMYFUNCTION("""COMPUTED_VALUE"""),225.0)</f>
        <v>225</v>
      </c>
      <c r="B227" s="87" t="str">
        <f>IFERROR(__xludf.DUMMYFUNCTION("""COMPUTED_VALUE"""),"Thùng")</f>
        <v>Thùng</v>
      </c>
      <c r="C227" s="87" t="str">
        <f>IFERROR(__xludf.DUMMYFUNCTION("""COMPUTED_VALUE"""),"THC0220")</f>
        <v>THC0220</v>
      </c>
      <c r="D227" s="87" t="str">
        <f>IFERROR(__xludf.DUMMYFUNCTION("""COMPUTED_VALUE"""),"Thùng NEWTEX chai 500ml hộp cặp đôi (19.5x57x36.5cm) - Trắng viền đỏ")</f>
        <v>Thùng NEWTEX chai 500ml hộp cặp đôi (19.5x57x36.5cm) - Trắng viền đỏ</v>
      </c>
      <c r="E227" s="87" t="str">
        <f>IFERROR(__xludf.DUMMYFUNCTION("""COMPUTED_VALUE"""),"TOPZOLE 800WG")</f>
        <v>TOPZOLE 800WG</v>
      </c>
      <c r="F227" s="87" t="str">
        <f>IFERROR(__xludf.DUMMYFUNCTION("""COMPUTED_VALUE"""),"HH0220")</f>
        <v>HH0220</v>
      </c>
      <c r="G227" s="87" t="str">
        <f>IFERROR(__xludf.DUMMYFUNCTION("""COMPUTED_VALUE"""),"GC - II - 634 - AGC NEW- Pzole 800 WG - 18 gr - 300")</f>
        <v>GC - II - 634 - AGC NEW- Pzole 800 WG - 18 gr - 300</v>
      </c>
    </row>
    <row r="228">
      <c r="A228" s="86">
        <f>IFERROR(__xludf.DUMMYFUNCTION("""COMPUTED_VALUE"""),226.0)</f>
        <v>226</v>
      </c>
      <c r="B228" s="87" t="str">
        <f>IFERROR(__xludf.DUMMYFUNCTION("""COMPUTED_VALUE"""),"Thùng")</f>
        <v>Thùng</v>
      </c>
      <c r="C228" s="87" t="str">
        <f>IFERROR(__xludf.DUMMYFUNCTION("""COMPUTED_VALUE"""),"THC0221")</f>
        <v>THC0221</v>
      </c>
      <c r="D228" s="87" t="str">
        <f>IFERROR(__xludf.DUMMYFUNCTION("""COMPUTED_VALUE"""),"Thùng Dùng Chung ABA chai PET 100ml x 100 chai (55x28x22cm) - Trắng viền đen")</f>
        <v>Thùng Dùng Chung ABA chai PET 100ml x 100 chai (55x28x22cm) - Trắng viền đen</v>
      </c>
      <c r="E228" s="87" t="str">
        <f>IFERROR(__xludf.DUMMYFUNCTION("""COMPUTED_VALUE"""),"TOPZOLE 800WG")</f>
        <v>TOPZOLE 800WG</v>
      </c>
      <c r="F228" s="87" t="str">
        <f>IFERROR(__xludf.DUMMYFUNCTION("""COMPUTED_VALUE"""),"HH0221")</f>
        <v>HH0221</v>
      </c>
      <c r="G228" s="87" t="str">
        <f>IFERROR(__xludf.DUMMYFUNCTION("""COMPUTED_VALUE"""),"GC - II - 634 - AGC NEW- Pzole 800 WG - 18 gr - 300")</f>
        <v>GC - II - 634 - AGC NEW- Pzole 800 WG - 18 gr - 300</v>
      </c>
    </row>
    <row r="229">
      <c r="A229" s="86">
        <f>IFERROR(__xludf.DUMMYFUNCTION("""COMPUTED_VALUE"""),227.0)</f>
        <v>227</v>
      </c>
      <c r="B229" s="87" t="str">
        <f>IFERROR(__xludf.DUMMYFUNCTION("""COMPUTED_VALUE"""),"Thùng")</f>
        <v>Thùng</v>
      </c>
      <c r="C229" s="87" t="str">
        <f>IFERROR(__xludf.DUMMYFUNCTION("""COMPUTED_VALUE"""),"THC0222")</f>
        <v>THC0222</v>
      </c>
      <c r="D229" s="87" t="str">
        <f>IFERROR(__xludf.DUMMYFUNCTION("""COMPUTED_VALUE"""),"Thùng BETA chai HD có hộp 500ml x 30 chai (47x39.5x22cm) - Trắng viền cam")</f>
        <v>Thùng BETA chai HD có hộp 500ml x 30 chai (47x39.5x22cm) - Trắng viền cam</v>
      </c>
      <c r="E229" s="87" t="str">
        <f>IFERROR(__xludf.DUMMYFUNCTION("""COMPUTED_VALUE"""),"TOPNATI 281EW")</f>
        <v>TOPNATI 281EW</v>
      </c>
      <c r="F229" s="87" t="str">
        <f>IFERROR(__xludf.DUMMYFUNCTION("""COMPUTED_VALUE"""),"HH0222")</f>
        <v>HH0222</v>
      </c>
      <c r="G229" s="87" t="str">
        <f>IFERROR(__xludf.DUMMYFUNCTION("""COMPUTED_VALUE"""),"GC - II - 635 - AGC NEW- Nati 281EW (chai PET tròn)- 240ml - 40")</f>
        <v>GC - II - 635 - AGC NEW- Nati 281EW (chai PET tròn)- 240ml - 40</v>
      </c>
    </row>
    <row r="230">
      <c r="A230" s="86">
        <f>IFERROR(__xludf.DUMMYFUNCTION("""COMPUTED_VALUE"""),228.0)</f>
        <v>228</v>
      </c>
      <c r="B230" s="87" t="str">
        <f>IFERROR(__xludf.DUMMYFUNCTION("""COMPUTED_VALUE"""),"Thùng")</f>
        <v>Thùng</v>
      </c>
      <c r="C230" s="87" t="str">
        <f>IFERROR(__xludf.DUMMYFUNCTION("""COMPUTED_VALUE"""),"THC0223")</f>
        <v>THC0223</v>
      </c>
      <c r="D230" s="87" t="str">
        <f>IFERROR(__xludf.DUMMYFUNCTION("""COMPUTED_VALUE"""),"Thùng Sen Hồng HD chai vuông 500ml x 30 chai (42.5x29.5x19cm) - Trắng viền xanh lá")</f>
        <v>Thùng Sen Hồng HD chai vuông 500ml x 30 chai (42.5x29.5x19cm) - Trắng viền xanh lá</v>
      </c>
      <c r="E230" s="87" t="str">
        <f>IFERROR(__xludf.DUMMYFUNCTION("""COMPUTED_VALUE"""),"RAYXANH 200WP")</f>
        <v>RAYXANH 200WP</v>
      </c>
      <c r="F230" s="87" t="str">
        <f>IFERROR(__xludf.DUMMYFUNCTION("""COMPUTED_VALUE"""),"HH0223")</f>
        <v>HH0223</v>
      </c>
      <c r="G230" s="87" t="str">
        <f>IFERROR(__xludf.DUMMYFUNCTION("""COMPUTED_VALUE"""),"GC - II - 636 - AGC NEW - Ray xanh - 80gr - 150")</f>
        <v>GC - II - 636 - AGC NEW - Ray xanh - 80gr - 150</v>
      </c>
    </row>
    <row r="231">
      <c r="A231" s="86">
        <f>IFERROR(__xludf.DUMMYFUNCTION("""COMPUTED_VALUE"""),229.0)</f>
        <v>229</v>
      </c>
      <c r="B231" s="87" t="str">
        <f>IFERROR(__xludf.DUMMYFUNCTION("""COMPUTED_VALUE"""),"Thùng")</f>
        <v>Thùng</v>
      </c>
      <c r="C231" s="87" t="str">
        <f>IFERROR(__xludf.DUMMYFUNCTION("""COMPUTED_VALUE"""),"THI0224")</f>
        <v>THI0224</v>
      </c>
      <c r="D231" s="87" t="str">
        <f>IFERROR(__xludf.DUMMYFUNCTION("""COMPUTED_VALUE"""),"Thùng IDA chai HDPE tròn 500ml x 40 chai (56.5x36.5x21cm) - Trắng xanh lá")</f>
        <v>Thùng IDA chai HDPE tròn 500ml x 40 chai (56.5x36.5x21cm) - Trắng xanh lá</v>
      </c>
      <c r="E231" s="87" t="str">
        <f>IFERROR(__xludf.DUMMYFUNCTION("""COMPUTED_VALUE"""),"COCHAY 200SL")</f>
        <v>COCHAY 200SL</v>
      </c>
      <c r="F231" s="87" t="str">
        <f>IFERROR(__xludf.DUMMYFUNCTION("""COMPUTED_VALUE"""),"HH0224")</f>
        <v>HH0224</v>
      </c>
      <c r="G231" s="87" t="str">
        <f>IFERROR(__xludf.DUMMYFUNCTION("""COMPUTED_VALUE"""),"GC - II - K - 637 - AGC NEW - Cochay N0.3 (chai vuông) - 900ml- 20")</f>
        <v>GC - II - K - 637 - AGC NEW - Cochay N0.3 (chai vuông) - 900ml- 20</v>
      </c>
    </row>
    <row r="232">
      <c r="A232" s="86">
        <f>IFERROR(__xludf.DUMMYFUNCTION("""COMPUTED_VALUE"""),230.0)</f>
        <v>230</v>
      </c>
      <c r="B232" s="87" t="str">
        <f>IFERROR(__xludf.DUMMYFUNCTION("""COMPUTED_VALUE"""),"Thùng")</f>
        <v>Thùng</v>
      </c>
      <c r="C232" s="87" t="str">
        <f>IFERROR(__xludf.DUMMYFUNCTION("""COMPUTED_VALUE"""),"THC0225")</f>
        <v>THC0225</v>
      </c>
      <c r="D232" s="87" t="str">
        <f>IFERROR(__xludf.DUMMYFUNCTION("""COMPUTED_VALUE"""),"Thùng Thiên Di chai HD logo Thiên Di 500ml x 40 chai (64.5x40.5x18.5cm) - Trắng viền xanh lá")</f>
        <v>Thùng Thiên Di chai HD logo Thiên Di 500ml x 40 chai (64.5x40.5x18.5cm) - Trắng viền xanh lá</v>
      </c>
      <c r="E232" s="87" t="str">
        <f>IFERROR(__xludf.DUMMYFUNCTION("""COMPUTED_VALUE"""),"Centertaner 500WP")</f>
        <v>Centertaner 500WP</v>
      </c>
      <c r="F232" s="87" t="str">
        <f>IFERROR(__xludf.DUMMYFUNCTION("""COMPUTED_VALUE"""),"HH0225")</f>
        <v>HH0225</v>
      </c>
      <c r="G232" s="87" t="str">
        <f>IFERROR(__xludf.DUMMYFUNCTION("""COMPUTED_VALUE"""),"GC - II - 638 - AGC NEW - Centertaner 500 WP - 12.5 gr - 500")</f>
        <v>GC - II - 638 - AGC NEW - Centertaner 500 WP - 12.5 gr - 500</v>
      </c>
    </row>
    <row r="233">
      <c r="A233" s="86">
        <f>IFERROR(__xludf.DUMMYFUNCTION("""COMPUTED_VALUE"""),231.0)</f>
        <v>231</v>
      </c>
      <c r="B233" s="87" t="str">
        <f>IFERROR(__xludf.DUMMYFUNCTION("""COMPUTED_VALUE"""),"Thùng")</f>
        <v>Thùng</v>
      </c>
      <c r="C233" s="87" t="str">
        <f>IFERROR(__xludf.DUMMYFUNCTION("""COMPUTED_VALUE"""),"THI0226")</f>
        <v>THI0226</v>
      </c>
      <c r="D233" s="87" t="str">
        <f>IFERROR(__xludf.DUMMYFUNCTION("""COMPUTED_VALUE"""),"Thùng IDA Chai HDPE/PAPE tròn cổ 43 250ml - (49.5x30.5x14.5) - Trắng xanh lá")</f>
        <v>Thùng IDA Chai HDPE/PAPE tròn cổ 43 250ml - (49.5x30.5x14.5) - Trắng xanh lá</v>
      </c>
      <c r="E233" s="87" t="str">
        <f>IFERROR(__xludf.DUMMYFUNCTION("""COMPUTED_VALUE"""),"Centertaner 500WP")</f>
        <v>Centertaner 500WP</v>
      </c>
      <c r="F233" s="87" t="str">
        <f>IFERROR(__xludf.DUMMYFUNCTION("""COMPUTED_VALUE"""),"HH0226")</f>
        <v>HH0226</v>
      </c>
      <c r="G233" s="87" t="str">
        <f>IFERROR(__xludf.DUMMYFUNCTION("""COMPUTED_VALUE"""),"GC - II - 638.1 - AGC NEW - Centertaner 500 WP - 12.5 gr - 250")</f>
        <v>GC - II - 638.1 - AGC NEW - Centertaner 500 WP - 12.5 gr - 250</v>
      </c>
    </row>
    <row r="234">
      <c r="A234" s="86">
        <f>IFERROR(__xludf.DUMMYFUNCTION("""COMPUTED_VALUE"""),232.0)</f>
        <v>232</v>
      </c>
      <c r="B234" s="87" t="str">
        <f>IFERROR(__xludf.DUMMYFUNCTION("""COMPUTED_VALUE"""),"Thùng")</f>
        <v>Thùng</v>
      </c>
      <c r="C234" s="87" t="str">
        <f>IFERROR(__xludf.DUMMYFUNCTION("""COMPUTED_VALUE"""),"THC0227")</f>
        <v>THC0227</v>
      </c>
      <c r="D234" s="87" t="str">
        <f>IFERROR(__xludf.DUMMYFUNCTION("""COMPUTED_VALUE"""),"Thùng Thuỵ Sĩ Mancobgo 1 Kg x 20 gói (50x35x30.5cm) - Trắng viền xanh dương")</f>
        <v>Thùng Thuỵ Sĩ Mancobgo 1 Kg x 20 gói (50x35x30.5cm) - Trắng viền xanh dương</v>
      </c>
      <c r="E234" s="87" t="str">
        <f>IFERROR(__xludf.DUMMYFUNCTION("""COMPUTED_VALUE"""),"ASMILTATOPSUPER 400SC")</f>
        <v>ASMILTATOPSUPER 400SC</v>
      </c>
      <c r="F234" s="87" t="str">
        <f>IFERROR(__xludf.DUMMYFUNCTION("""COMPUTED_VALUE"""),"HH0227")</f>
        <v>HH0227</v>
      </c>
      <c r="G234" s="87" t="str">
        <f>IFERROR(__xludf.DUMMYFUNCTION("""COMPUTED_VALUE"""),"GC - II - 639 - AGC NEW- Atopsuper 400SC (chai PET tròn)- 240ml - 40")</f>
        <v>GC - II - 639 - AGC NEW- Atopsuper 400SC (chai PET tròn)- 240ml - 40</v>
      </c>
    </row>
    <row r="235">
      <c r="A235" s="86">
        <f>IFERROR(__xludf.DUMMYFUNCTION("""COMPUTED_VALUE"""),233.0)</f>
        <v>233</v>
      </c>
      <c r="B235" s="87" t="str">
        <f>IFERROR(__xludf.DUMMYFUNCTION("""COMPUTED_VALUE"""),"Thùng")</f>
        <v>Thùng</v>
      </c>
      <c r="C235" s="87" t="str">
        <f>IFERROR(__xludf.DUMMYFUNCTION("""COMPUTED_VALUE"""),"THC0228")</f>
        <v>THC0228</v>
      </c>
      <c r="D235" s="87" t="str">
        <f>IFERROR(__xludf.DUMMYFUNCTION("""COMPUTED_VALUE"""),"Thùng Dùng Chung  15gr  x 400 gói (55.5x39x34cm) - Trắng")</f>
        <v>Thùng Dùng Chung  15gr  x 400 gói (55.5x39x34cm) - Trắng</v>
      </c>
      <c r="E235" s="87" t="str">
        <f>IFERROR(__xludf.DUMMYFUNCTION("""COMPUTED_VALUE"""),"APLOUGENT 450SC")</f>
        <v>APLOUGENT 450SC</v>
      </c>
      <c r="F235" s="87" t="str">
        <f>IFERROR(__xludf.DUMMYFUNCTION("""COMPUTED_VALUE"""),"HH0228")</f>
        <v>HH0228</v>
      </c>
      <c r="G235" s="87" t="str">
        <f>IFERROR(__xludf.DUMMYFUNCTION("""COMPUTED_VALUE"""),"GC - II - 640 - AGC NEW - Lougent 450SC (chai PET tròn) - 240ml - 40")</f>
        <v>GC - II - 640 - AGC NEW - Lougent 450SC (chai PET tròn) - 240ml - 40</v>
      </c>
    </row>
    <row r="236">
      <c r="A236" s="86">
        <f>IFERROR(__xludf.DUMMYFUNCTION("""COMPUTED_VALUE"""),234.0)</f>
        <v>234</v>
      </c>
      <c r="B236" s="87" t="str">
        <f>IFERROR(__xludf.DUMMYFUNCTION("""COMPUTED_VALUE"""),"Thùng")</f>
        <v>Thùng</v>
      </c>
      <c r="C236" s="87" t="str">
        <f>IFERROR(__xludf.DUMMYFUNCTION("""COMPUTED_VALUE"""),"THC0229")</f>
        <v>THC0229</v>
      </c>
      <c r="D236" s="87" t="str">
        <f>IFERROR(__xludf.DUMMYFUNCTION("""COMPUTED_VALUE"""),"Thùng NAUY 600ml x 40 chai  (57.5x36.5x33.8cm) -Trắng trơn")</f>
        <v>Thùng NAUY 600ml x 40 chai  (57.5x36.5x33.8cm) -Trắng trơn</v>
      </c>
      <c r="E236" s="87" t="str">
        <f>IFERROR(__xludf.DUMMYFUNCTION("""COMPUTED_VALUE"""),"Kamycinjapane 20SL")</f>
        <v>Kamycinjapane 20SL</v>
      </c>
      <c r="F236" s="87" t="str">
        <f>IFERROR(__xludf.DUMMYFUNCTION("""COMPUTED_VALUE"""),"HH0229")</f>
        <v>HH0229</v>
      </c>
      <c r="G236" s="87" t="str">
        <f>IFERROR(__xludf.DUMMYFUNCTION("""COMPUTED_VALUE"""),"GC - II - 641 - AGC NEW - Japane 20SL (chai tròn) - 450ml - 40")</f>
        <v>GC - II - 641 - AGC NEW - Japane 20SL (chai tròn) - 450ml - 40</v>
      </c>
    </row>
    <row r="237">
      <c r="A237" s="86">
        <f>IFERROR(__xludf.DUMMYFUNCTION("""COMPUTED_VALUE"""),235.0)</f>
        <v>235</v>
      </c>
      <c r="B237" s="87" t="str">
        <f>IFERROR(__xludf.DUMMYFUNCTION("""COMPUTED_VALUE"""),"Thùng")</f>
        <v>Thùng</v>
      </c>
      <c r="C237" s="87" t="str">
        <f>IFERROR(__xludf.DUMMYFUNCTION("""COMPUTED_VALUE"""),"THC0230")</f>
        <v>THC0230</v>
      </c>
      <c r="D237" s="87" t="str">
        <f>IFERROR(__xludf.DUMMYFUNCTION("""COMPUTED_VALUE"""),"Thùng Sunrise chai tròn 250ml x 40 chai (51.5x33x16.5cm) - Trắng viền đỏ")</f>
        <v>Thùng Sunrise chai tròn 250ml x 40 chai (51.5x33x16.5cm) - Trắng viền đỏ</v>
      </c>
      <c r="E237" s="87" t="str">
        <f>IFERROR(__xludf.DUMMYFUNCTION("""COMPUTED_VALUE"""),"Remy 19EC")</f>
        <v>Remy 19EC</v>
      </c>
      <c r="F237" s="87" t="str">
        <f>IFERROR(__xludf.DUMMYFUNCTION("""COMPUTED_VALUE"""),"HH0230")</f>
        <v>HH0230</v>
      </c>
      <c r="G237" s="87" t="str">
        <f>IFERROR(__xludf.DUMMYFUNCTION("""COMPUTED_VALUE"""),"GC - II - 643 - AGC NEW - Emy 19EC (chai PET tròn) - 450ml - 40")</f>
        <v>GC - II - 643 - AGC NEW - Emy 19EC (chai PET tròn) - 450ml - 40</v>
      </c>
    </row>
    <row r="238">
      <c r="A238" s="86">
        <f>IFERROR(__xludf.DUMMYFUNCTION("""COMPUTED_VALUE"""),236.0)</f>
        <v>236</v>
      </c>
      <c r="B238" s="87" t="str">
        <f>IFERROR(__xludf.DUMMYFUNCTION("""COMPUTED_VALUE"""),"Thùng")</f>
        <v>Thùng</v>
      </c>
      <c r="C238" s="87" t="str">
        <f>IFERROR(__xludf.DUMMYFUNCTION("""COMPUTED_VALUE"""),"THC0231")</f>
        <v>THC0231</v>
      </c>
      <c r="D238" s="87" t="str">
        <f>IFERROR(__xludf.DUMMYFUNCTION("""COMPUTED_VALUE"""),"Thùng NAUY 600ml x 40 chai  (66.5x40x25.5cm) -Trắng trơn")</f>
        <v>Thùng NAUY 600ml x 40 chai  (66.5x40x25.5cm) -Trắng trơn</v>
      </c>
      <c r="E238" s="87" t="str">
        <f>IFERROR(__xludf.DUMMYFUNCTION("""COMPUTED_VALUE"""),"Tikabamec 3.6EC")</f>
        <v>Tikabamec 3.6EC</v>
      </c>
      <c r="F238" s="87" t="str">
        <f>IFERROR(__xludf.DUMMYFUNCTION("""COMPUTED_VALUE"""),"HH0231")</f>
        <v>HH0231</v>
      </c>
      <c r="G238" s="87" t="str">
        <f>IFERROR(__xludf.DUMMYFUNCTION("""COMPUTED_VALUE"""),"GC - II - 644 - AGC NEW - Bamec 3.6 (Pet tròn) (nước đục) - 450ml - 40")</f>
        <v>GC - II - 644 - AGC NEW - Bamec 3.6 (Pet tròn) (nước đục) - 450ml - 40</v>
      </c>
    </row>
    <row r="239">
      <c r="A239" s="86">
        <f>IFERROR(__xludf.DUMMYFUNCTION("""COMPUTED_VALUE"""),237.0)</f>
        <v>237</v>
      </c>
      <c r="B239" s="87" t="str">
        <f>IFERROR(__xludf.DUMMYFUNCTION("""COMPUTED_VALUE"""),"Thùng")</f>
        <v>Thùng</v>
      </c>
      <c r="C239" s="87" t="str">
        <f>IFERROR(__xludf.DUMMYFUNCTION("""COMPUTED_VALUE"""),"THC0232")</f>
        <v>THC0232</v>
      </c>
      <c r="D239" s="87" t="str">
        <f>IFERROR(__xludf.DUMMYFUNCTION("""COMPUTED_VALUE"""),"Thùng Dùng Chung Hà Long 220ml x 40 chai - Trắng")</f>
        <v>Thùng Dùng Chung Hà Long 220ml x 40 chai - Trắng</v>
      </c>
      <c r="E239" s="87" t="str">
        <f>IFERROR(__xludf.DUMMYFUNCTION("""COMPUTED_VALUE"""),"TVZEB 800WP")</f>
        <v>TVZEB 800WP</v>
      </c>
      <c r="F239" s="87" t="str">
        <f>IFERROR(__xludf.DUMMYFUNCTION("""COMPUTED_VALUE"""),"HH0232")</f>
        <v>HH0232</v>
      </c>
      <c r="G239" s="87" t="str">
        <f>IFERROR(__xludf.DUMMYFUNCTION("""COMPUTED_VALUE"""),"GC - II - 645 - AGC NEW - Mancozeb 800 Xanh - 1 kg - 20")</f>
        <v>GC - II - 645 - AGC NEW - Mancozeb 800 Xanh - 1 kg - 20</v>
      </c>
    </row>
    <row r="240">
      <c r="A240" s="86">
        <f>IFERROR(__xludf.DUMMYFUNCTION("""COMPUTED_VALUE"""),238.0)</f>
        <v>238</v>
      </c>
      <c r="B240" s="87" t="str">
        <f>IFERROR(__xludf.DUMMYFUNCTION("""COMPUTED_VALUE"""),"Thùng")</f>
        <v>Thùng</v>
      </c>
      <c r="C240" s="87" t="str">
        <f>IFERROR(__xludf.DUMMYFUNCTION("""COMPUTED_VALUE"""),"THC0233")</f>
        <v>THC0233</v>
      </c>
      <c r="D240" s="87" t="str">
        <f>IFERROR(__xludf.DUMMYFUNCTION("""COMPUTED_VALUE"""),"Thùng NAUY chai 500ml x40 chai/ thùng (64x40x18cm) - Trắng, cán màng")</f>
        <v>Thùng NAUY chai 500ml x40 chai/ thùng (64x40x18cm) - Trắng, cán màng</v>
      </c>
      <c r="E240" s="87" t="str">
        <f>IFERROR(__xludf.DUMMYFUNCTION("""COMPUTED_VALUE"""),"TVZEB 800WP")</f>
        <v>TVZEB 800WP</v>
      </c>
      <c r="F240" s="87" t="str">
        <f>IFERROR(__xludf.DUMMYFUNCTION("""COMPUTED_VALUE"""),"HH0233")</f>
        <v>HH0233</v>
      </c>
      <c r="G240" s="87" t="str">
        <f>IFERROR(__xludf.DUMMYFUNCTION("""COMPUTED_VALUE"""),"GC - II - 645 - AGC NEW - Mancozeb 800 Xanh - 1 kg - 20")</f>
        <v>GC - II - 645 - AGC NEW - Mancozeb 800 Xanh - 1 kg - 20</v>
      </c>
    </row>
    <row r="241">
      <c r="A241" s="86">
        <f>IFERROR(__xludf.DUMMYFUNCTION("""COMPUTED_VALUE"""),239.0)</f>
        <v>239</v>
      </c>
      <c r="B241" s="87" t="str">
        <f>IFERROR(__xludf.DUMMYFUNCTION("""COMPUTED_VALUE"""),"Thùng")</f>
        <v>Thùng</v>
      </c>
      <c r="C241" s="87" t="str">
        <f>IFERROR(__xludf.DUMMYFUNCTION("""COMPUTED_VALUE"""),"THC0234")</f>
        <v>THC0234</v>
      </c>
      <c r="D241" s="87" t="str">
        <f>IFERROR(__xludf.DUMMYFUNCTION("""COMPUTED_VALUE"""),"Thùng VISANTO chai PET vuông 500ml x 40 chai x thùng (55x38x18cm) - Trắng vàng")</f>
        <v>Thùng VISANTO chai PET vuông 500ml x 40 chai x thùng (55x38x18cm) - Trắng vàng</v>
      </c>
      <c r="E241" s="87" t="str">
        <f>IFERROR(__xludf.DUMMYFUNCTION("""COMPUTED_VALUE"""),"Vi lượng AV-CFC Plus")</f>
        <v>Vi lượng AV-CFC Plus</v>
      </c>
      <c r="F241" s="87" t="str">
        <f>IFERROR(__xludf.DUMMYFUNCTION("""COMPUTED_VALUE"""),"HH0234")</f>
        <v>HH0234</v>
      </c>
      <c r="G241" s="87" t="str">
        <f>IFERROR(__xludf.DUMMYFUNCTION("""COMPUTED_VALUE"""),"GC - II - 646 - Dưỡng Cây Mập Chồi 500 ml - 40")</f>
        <v>GC - II - 646 - Dưỡng Cây Mập Chồi 500 ml - 40</v>
      </c>
    </row>
    <row r="242">
      <c r="A242" s="86">
        <f>IFERROR(__xludf.DUMMYFUNCTION("""COMPUTED_VALUE"""),240.0)</f>
        <v>240</v>
      </c>
      <c r="B242" s="87" t="str">
        <f>IFERROR(__xludf.DUMMYFUNCTION("""COMPUTED_VALUE"""),"Thùng")</f>
        <v>Thùng</v>
      </c>
      <c r="C242" s="87" t="str">
        <f>IFERROR(__xludf.DUMMYFUNCTION("""COMPUTED_VALUE"""),"THC0235")</f>
        <v>THC0235</v>
      </c>
      <c r="D242" s="87" t="str">
        <f>IFERROR(__xludf.DUMMYFUNCTION("""COMPUTED_VALUE"""),"Thùng Dùng Chung 100 gói (38x26.5x15.5cm) - Trắng")</f>
        <v>Thùng Dùng Chung 100 gói (38x26.5x15.5cm) - Trắng</v>
      </c>
      <c r="E242" s="87" t="str">
        <f>IFERROR(__xludf.DUMMYFUNCTION("""COMPUTED_VALUE"""),"Solonapy 300SC")</f>
        <v>Solonapy 300SC</v>
      </c>
      <c r="F242" s="87" t="str">
        <f>IFERROR(__xludf.DUMMYFUNCTION("""COMPUTED_VALUE"""),"HH0235")</f>
        <v>HH0235</v>
      </c>
      <c r="G242" s="87" t="str">
        <f>IFERROR(__xludf.DUMMYFUNCTION("""COMPUTED_VALUE"""),"IDA Global - I - 647 - ĐL Cô Ba -Cá mập 300 plus - 240ml - 40")</f>
        <v>IDA Global - I - 647 - ĐL Cô Ba -Cá mập 300 plus - 240ml - 40</v>
      </c>
    </row>
    <row r="243">
      <c r="A243" s="86">
        <f>IFERROR(__xludf.DUMMYFUNCTION("""COMPUTED_VALUE"""),241.0)</f>
        <v>241</v>
      </c>
      <c r="B243" s="87" t="str">
        <f>IFERROR(__xludf.DUMMYFUNCTION("""COMPUTED_VALUE"""),"Thùng")</f>
        <v>Thùng</v>
      </c>
      <c r="C243" s="87" t="str">
        <f>IFERROR(__xludf.DUMMYFUNCTION("""COMPUTED_VALUE"""),"THC0236")</f>
        <v>THC0236</v>
      </c>
      <c r="D243" s="87" t="str">
        <f>IFERROR(__xludf.DUMMYFUNCTION("""COMPUTED_VALUE"""),"Thùng Ami Sakura - 800ml x 24 chai  (Dasaco) - Nâu viền xanh dương đậm")</f>
        <v>Thùng Ami Sakura - 800ml x 24 chai  (Dasaco) - Nâu viền xanh dương đậm</v>
      </c>
      <c r="E243" s="87" t="str">
        <f>IFERROR(__xludf.DUMMYFUNCTION("""COMPUTED_VALUE"""),"Prima 04")</f>
        <v>Prima 04</v>
      </c>
      <c r="F243" s="87" t="str">
        <f>IFERROR(__xludf.DUMMYFUNCTION("""COMPUTED_VALUE"""),"HH0236")</f>
        <v>HH0236</v>
      </c>
      <c r="G243" s="87" t="str">
        <f>IFERROR(__xludf.DUMMYFUNCTION("""COMPUTED_VALUE"""),"GC - II - 648 - AU - Humix - 1 kg - 25")</f>
        <v>GC - II - 648 - AU - Humix - 1 kg - 25</v>
      </c>
    </row>
    <row r="244">
      <c r="A244" s="86">
        <f>IFERROR(__xludf.DUMMYFUNCTION("""COMPUTED_VALUE"""),242.0)</f>
        <v>242</v>
      </c>
      <c r="B244" s="87" t="str">
        <f>IFERROR(__xludf.DUMMYFUNCTION("""COMPUTED_VALUE"""),"Thùng")</f>
        <v>Thùng</v>
      </c>
      <c r="C244" s="87" t="str">
        <f>IFERROR(__xludf.DUMMYFUNCTION("""COMPUTED_VALUE"""),"THC0237")</f>
        <v>THC0237</v>
      </c>
      <c r="D244" s="87" t="str">
        <f>IFERROR(__xludf.DUMMYFUNCTION("""COMPUTED_VALUE"""),"Thùng Dubai 1kg x 20 gói (61x37x28.7cm) - Nâu, không cán màng")</f>
        <v>Thùng Dubai 1kg x 20 gói (61x37x28.7cm) - Nâu, không cán màng</v>
      </c>
      <c r="E244" s="87" t="str">
        <f>IFERROR(__xludf.DUMMYFUNCTION("""COMPUTED_VALUE"""),"Prima 04")</f>
        <v>Prima 04</v>
      </c>
      <c r="F244" s="87" t="str">
        <f>IFERROR(__xludf.DUMMYFUNCTION("""COMPUTED_VALUE"""),"HH0237")</f>
        <v>HH0237</v>
      </c>
      <c r="G244" s="87" t="str">
        <f>IFERROR(__xludf.DUMMYFUNCTION("""COMPUTED_VALUE"""),"GC - II - 648 - AU - Humix - 1 kg - 25")</f>
        <v>GC - II - 648 - AU - Humix - 1 kg - 25</v>
      </c>
    </row>
    <row r="245">
      <c r="A245" s="86">
        <f>IFERROR(__xludf.DUMMYFUNCTION("""COMPUTED_VALUE"""),243.0)</f>
        <v>243</v>
      </c>
      <c r="B245" s="87" t="str">
        <f>IFERROR(__xludf.DUMMYFUNCTION("""COMPUTED_VALUE"""),"Thùng")</f>
        <v>Thùng</v>
      </c>
      <c r="C245" s="87" t="str">
        <f>IFERROR(__xludf.DUMMYFUNCTION("""COMPUTED_VALUE"""),"THC0238")</f>
        <v>THC0238</v>
      </c>
      <c r="D245" s="87" t="str">
        <f>IFERROR(__xludf.DUMMYFUNCTION("""COMPUTED_VALUE"""),"Thùng SHINO chai 325ml x 40 chai (55.5x35.5x15.5cm) - Trắng viền xanh")</f>
        <v>Thùng SHINO chai 325ml x 40 chai (55.5x35.5x15.5cm) - Trắng viền xanh</v>
      </c>
      <c r="E245" s="87" t="str">
        <f>IFERROR(__xludf.DUMMYFUNCTION("""COMPUTED_VALUE"""),"INMANDA 100WP")</f>
        <v>INMANDA 100WP</v>
      </c>
      <c r="F245" s="87" t="str">
        <f>IFERROR(__xludf.DUMMYFUNCTION("""COMPUTED_VALUE"""),"HH0238")</f>
        <v>HH0238</v>
      </c>
      <c r="G245" s="87" t="str">
        <f>IFERROR(__xludf.DUMMYFUNCTION("""COMPUTED_VALUE"""),"GC - II - 650 - MK Group - Anda 100WP - 100gr - 100")</f>
        <v>GC - II - 650 - MK Group - Anda 100WP - 100gr - 100</v>
      </c>
    </row>
    <row r="246">
      <c r="A246" s="86">
        <f>IFERROR(__xludf.DUMMYFUNCTION("""COMPUTED_VALUE"""),244.0)</f>
        <v>244</v>
      </c>
      <c r="B246" s="87" t="str">
        <f>IFERROR(__xludf.DUMMYFUNCTION("""COMPUTED_VALUE"""),"Thùng")</f>
        <v>Thùng</v>
      </c>
      <c r="C246" s="87" t="str">
        <f>IFERROR(__xludf.DUMMYFUNCTION("""COMPUTED_VALUE"""),"THC0239")</f>
        <v>THC0239</v>
      </c>
      <c r="D246" s="87" t="str">
        <f>IFERROR(__xludf.DUMMYFUNCTION("""COMPUTED_VALUE"""),"Thùng NEWTEX chai HDPE 500ml x 40 chai (60.5x38.5x20.5cm) - Trắng viền cam")</f>
        <v>Thùng NEWTEX chai HDPE 500ml x 40 chai (60.5x38.5x20.5cm) - Trắng viền cam</v>
      </c>
      <c r="E246" s="87" t="str">
        <f>IFERROR(__xludf.DUMMYFUNCTION("""COMPUTED_VALUE"""),"CHIM ƯNG 3.8EC")</f>
        <v>CHIM ƯNG 3.8EC</v>
      </c>
      <c r="F246" s="87" t="str">
        <f>IFERROR(__xludf.DUMMYFUNCTION("""COMPUTED_VALUE"""),"HH0239")</f>
        <v>HH0239</v>
      </c>
      <c r="G246" s="87" t="str">
        <f>IFERROR(__xludf.DUMMYFUNCTION("""COMPUTED_VALUE"""),"GC - II - 653 - Huy Phát - A-CARI (chai nhôm đỏ) - 240ml - 40")</f>
        <v>GC - II - 653 - Huy Phát - A-CARI (chai nhôm đỏ) - 240ml - 40</v>
      </c>
    </row>
    <row r="247">
      <c r="A247" s="86">
        <f>IFERROR(__xludf.DUMMYFUNCTION("""COMPUTED_VALUE"""),245.0)</f>
        <v>245</v>
      </c>
      <c r="B247" s="87" t="str">
        <f>IFERROR(__xludf.DUMMYFUNCTION("""COMPUTED_VALUE"""),"Thùng")</f>
        <v>Thùng</v>
      </c>
      <c r="C247" s="87" t="str">
        <f>IFERROR(__xludf.DUMMYFUNCTION("""COMPUTED_VALUE"""),"THC0240")</f>
        <v>THC0240</v>
      </c>
      <c r="D247" s="87" t="str">
        <f>IFERROR(__xludf.DUMMYFUNCTION("""COMPUTED_VALUE"""),"Thùng R3 chai 350ml x 40 chai (55.5x35.5x15.5cm) - Trắng viền xanh lá")</f>
        <v>Thùng R3 chai 350ml x 40 chai (55.5x35.5x15.5cm) - Trắng viền xanh lá</v>
      </c>
      <c r="E247" s="87" t="str">
        <f>IFERROR(__xludf.DUMMYFUNCTION("""COMPUTED_VALUE"""),"COCHAY 200SL")</f>
        <v>COCHAY 200SL</v>
      </c>
      <c r="F247" s="87" t="str">
        <f>IFERROR(__xludf.DUMMYFUNCTION("""COMPUTED_VALUE"""),"HH0240")</f>
        <v>HH0240</v>
      </c>
      <c r="G247" s="87" t="str">
        <f>IFERROR(__xludf.DUMMYFUNCTION("""COMPUTED_VALUE"""),"LOT IDA Global - I - K - 654 - Cochay 200SL (chai PET vuông) - 900ml- 20")</f>
        <v>LOT IDA Global - I - K - 654 - Cochay 200SL (chai PET vuông) - 900ml- 20</v>
      </c>
    </row>
    <row r="248">
      <c r="A248" s="86">
        <f>IFERROR(__xludf.DUMMYFUNCTION("""COMPUTED_VALUE"""),246.0)</f>
        <v>246</v>
      </c>
      <c r="B248" s="87" t="str">
        <f>IFERROR(__xludf.DUMMYFUNCTION("""COMPUTED_VALUE"""),"Thùng")</f>
        <v>Thùng</v>
      </c>
      <c r="C248" s="87" t="str">
        <f>IFERROR(__xludf.DUMMYFUNCTION("""COMPUTED_VALUE"""),"THI0241")</f>
        <v>THI0241</v>
      </c>
      <c r="D248" s="87" t="str">
        <f>IFERROR(__xludf.DUMMYFUNCTION("""COMPUTED_VALUE"""),"Thùng IDA Winner - Flower Top (300 gói có hộp) (52.5x50.5x18.5) - Trắng viền xanh lá")</f>
        <v>Thùng IDA Winner - Flower Top (300 gói có hộp) (52.5x50.5x18.5) - Trắng viền xanh lá</v>
      </c>
      <c r="E248" s="87" t="str">
        <f>IFERROR(__xludf.DUMMYFUNCTION("""COMPUTED_VALUE"""),"RAYXANH 200WP")</f>
        <v>RAYXANH 200WP</v>
      </c>
      <c r="F248" s="87" t="str">
        <f>IFERROR(__xludf.DUMMYFUNCTION("""COMPUTED_VALUE"""),"HH0241")</f>
        <v>HH0241</v>
      </c>
      <c r="G248" s="87" t="str">
        <f>IFERROR(__xludf.DUMMYFUNCTION("""COMPUTED_VALUE"""),"IDA Global - I - 655 - Ray xanh 200 WP - 100 gr - 100")</f>
        <v>IDA Global - I - 655 - Ray xanh 200 WP - 100 gr - 100</v>
      </c>
    </row>
    <row r="249">
      <c r="A249" s="86">
        <f>IFERROR(__xludf.DUMMYFUNCTION("""COMPUTED_VALUE"""),247.0)</f>
        <v>247</v>
      </c>
      <c r="B249" s="87" t="str">
        <f>IFERROR(__xludf.DUMMYFUNCTION("""COMPUTED_VALUE"""),"Thùng")</f>
        <v>Thùng</v>
      </c>
      <c r="C249" s="87" t="str">
        <f>IFERROR(__xludf.DUMMYFUNCTION("""COMPUTED_VALUE"""),"THC0242")</f>
        <v>THC0242</v>
      </c>
      <c r="D249" s="87" t="str">
        <f>IFERROR(__xludf.DUMMYFUNCTION("""COMPUTED_VALUE"""),"Thùng NEWTEX đựng 20 hộp (63.2x41x22cm) - Trắng viền cam")</f>
        <v>Thùng NEWTEX đựng 20 hộp (63.2x41x22cm) - Trắng viền cam</v>
      </c>
      <c r="E249" s="87" t="str">
        <f>IFERROR(__xludf.DUMMYFUNCTION("""COMPUTED_VALUE"""),"Solonapy 300SC")</f>
        <v>Solonapy 300SC</v>
      </c>
      <c r="F249" s="87" t="str">
        <f>IFERROR(__xludf.DUMMYFUNCTION("""COMPUTED_VALUE"""),"HH0242")</f>
        <v>HH0242</v>
      </c>
      <c r="G249" s="87" t="str">
        <f>IFERROR(__xludf.DUMMYFUNCTION("""COMPUTED_VALUE"""),"IDA Global - I - 656 - ĐL VĐ - Cá mập 300 (PET) - 240ml - 40")</f>
        <v>IDA Global - I - 656 - ĐL VĐ - Cá mập 300 (PET) - 240ml - 40</v>
      </c>
    </row>
    <row r="250">
      <c r="A250" s="86">
        <f>IFERROR(__xludf.DUMMYFUNCTION("""COMPUTED_VALUE"""),248.0)</f>
        <v>248</v>
      </c>
      <c r="B250" s="87" t="str">
        <f>IFERROR(__xludf.DUMMYFUNCTION("""COMPUTED_VALUE"""),"Thùng")</f>
        <v>Thùng</v>
      </c>
      <c r="C250" s="87" t="str">
        <f>IFERROR(__xludf.DUMMYFUNCTION("""COMPUTED_VALUE"""),"THC0243")</f>
        <v>THC0243</v>
      </c>
      <c r="D250" s="87" t="str">
        <f>IFERROR(__xludf.DUMMYFUNCTION("""COMPUTED_VALUE"""),"Thùng SHINO đựng 20 hộp (52x34.5x18cm) - Xanh dương viền trắng")</f>
        <v>Thùng SHINO đựng 20 hộp (52x34.5x18cm) - Xanh dương viền trắng</v>
      </c>
      <c r="E250" s="87" t="str">
        <f>IFERROR(__xludf.DUMMYFUNCTION("""COMPUTED_VALUE"""),"Mekongvil 5SC")</f>
        <v>Mekongvil 5SC</v>
      </c>
      <c r="F250" s="87" t="str">
        <f>IFERROR(__xludf.DUMMYFUNCTION("""COMPUTED_VALUE"""),"HH0243")</f>
        <v>HH0243</v>
      </c>
      <c r="G250" s="87" t="str">
        <f>IFERROR(__xludf.DUMMYFUNCTION("""COMPUTED_VALUE"""),"GC - II - 657 - AP - Nano Avil - 1lit - 20 (btp,nl)")</f>
        <v>GC - II - 657 - AP - Nano Avil - 1lit - 20 (btp,nl)</v>
      </c>
    </row>
    <row r="251">
      <c r="A251" s="86">
        <f>IFERROR(__xludf.DUMMYFUNCTION("""COMPUTED_VALUE"""),249.0)</f>
        <v>249</v>
      </c>
      <c r="B251" s="87" t="str">
        <f>IFERROR(__xludf.DUMMYFUNCTION("""COMPUTED_VALUE"""),"Thùng")</f>
        <v>Thùng</v>
      </c>
      <c r="C251" s="87" t="str">
        <f>IFERROR(__xludf.DUMMYFUNCTION("""COMPUTED_VALUE"""),"THC0244")</f>
        <v>THC0244</v>
      </c>
      <c r="D251" s="87" t="str">
        <f>IFERROR(__xludf.DUMMYFUNCTION("""COMPUTED_VALUE"""),"Thùng VISANTO 100g x 100 gói (47.5x41.5x28cm) - Trắng xanh dương")</f>
        <v>Thùng VISANTO 100g x 100 gói (47.5x41.5x28cm) - Trắng xanh dương</v>
      </c>
      <c r="E251" s="87" t="str">
        <f>IFERROR(__xludf.DUMMYFUNCTION("""COMPUTED_VALUE"""),"THALONIL 75WP")</f>
        <v>THALONIL 75WP</v>
      </c>
      <c r="F251" s="87" t="str">
        <f>IFERROR(__xludf.DUMMYFUNCTION("""COMPUTED_VALUE"""),"HH0244")</f>
        <v>HH0244</v>
      </c>
      <c r="G251" s="87" t="str">
        <f>IFERROR(__xludf.DUMMYFUNCTION("""COMPUTED_VALUE"""),"GC - II - 658 - Giang Tây - Thalonil 75WP (flexo) - 250gr - 52")</f>
        <v>GC - II - 658 - Giang Tây - Thalonil 75WP (flexo) - 250gr - 52</v>
      </c>
    </row>
    <row r="252">
      <c r="A252" s="86">
        <f>IFERROR(__xludf.DUMMYFUNCTION("""COMPUTED_VALUE"""),250.0)</f>
        <v>250</v>
      </c>
      <c r="B252" s="87" t="str">
        <f>IFERROR(__xludf.DUMMYFUNCTION("""COMPUTED_VALUE"""),"Thùng")</f>
        <v>Thùng</v>
      </c>
      <c r="C252" s="87" t="str">
        <f>IFERROR(__xludf.DUMMYFUNCTION("""COMPUTED_VALUE"""),"THC0245")</f>
        <v>THC0245</v>
      </c>
      <c r="D252" s="87" t="str">
        <f>IFERROR(__xludf.DUMMYFUNCTION("""COMPUTED_VALUE"""),"Thùng VISANTO Chai Pet vuông 500ml x 30 chai (47x34x18cm) - Trắng xanh dương")</f>
        <v>Thùng VISANTO Chai Pet vuông 500ml x 30 chai (47x34x18cm) - Trắng xanh dương</v>
      </c>
      <c r="E252" s="87" t="str">
        <f>IFERROR(__xludf.DUMMYFUNCTION("""COMPUTED_VALUE"""),"Mekongvil 5SC")</f>
        <v>Mekongvil 5SC</v>
      </c>
      <c r="F252" s="87" t="str">
        <f>IFERROR(__xludf.DUMMYFUNCTION("""COMPUTED_VALUE"""),"HH0245")</f>
        <v>HH0245</v>
      </c>
      <c r="G252" s="87" t="str">
        <f>IFERROR(__xludf.DUMMYFUNCTION("""COMPUTED_VALUE"""),"LOT IDA Global - I - 659 - ĐL Cô Ba - Hexa 5 sao- 1 Lít - 20(btp,nl)")</f>
        <v>LOT IDA Global - I - 659 - ĐL Cô Ba - Hexa 5 sao- 1 Lít - 20(btp,nl)</v>
      </c>
    </row>
    <row r="253">
      <c r="A253" s="86">
        <f>IFERROR(__xludf.DUMMYFUNCTION("""COMPUTED_VALUE"""),251.0)</f>
        <v>251</v>
      </c>
      <c r="B253" s="87" t="str">
        <f>IFERROR(__xludf.DUMMYFUNCTION("""COMPUTED_VALUE"""),"Thùng")</f>
        <v>Thùng</v>
      </c>
      <c r="C253" s="87" t="str">
        <f>IFERROR(__xludf.DUMMYFUNCTION("""COMPUTED_VALUE"""),"THC0246")</f>
        <v>THC0246</v>
      </c>
      <c r="D253" s="87" t="str">
        <f>IFERROR(__xludf.DUMMYFUNCTION("""COMPUTED_VALUE"""),"Thùng R3 chai 450ml x 40 chai (61.3x38.5x19cm) - Xanh viền xanh trắng đỏ")</f>
        <v>Thùng R3 chai 450ml x 40 chai (61.3x38.5x19cm) - Xanh viền xanh trắng đỏ</v>
      </c>
      <c r="E253" s="87" t="str">
        <f>IFERROR(__xludf.DUMMYFUNCTION("""COMPUTED_VALUE"""),"Prima 04")</f>
        <v>Prima 04</v>
      </c>
      <c r="F253" s="87" t="str">
        <f>IFERROR(__xludf.DUMMYFUNCTION("""COMPUTED_VALUE"""),"HH0246")</f>
        <v>HH0246</v>
      </c>
      <c r="G253" s="87" t="str">
        <f>IFERROR(__xludf.DUMMYFUNCTION("""COMPUTED_VALUE"""),"GC - II - 665 - Nông Lâm Hoà Phát - Humiix Us - 1kg - 25 ([btp],t)")</f>
        <v>GC - II - 665 - Nông Lâm Hoà Phát - Humiix Us - 1kg - 25 ([btp],t)</v>
      </c>
    </row>
    <row r="254">
      <c r="A254" s="86">
        <f>IFERROR(__xludf.DUMMYFUNCTION("""COMPUTED_VALUE"""),252.0)</f>
        <v>252</v>
      </c>
      <c r="B254" s="87" t="str">
        <f>IFERROR(__xludf.DUMMYFUNCTION("""COMPUTED_VALUE"""),"Thùng")</f>
        <v>Thùng</v>
      </c>
      <c r="C254" s="87" t="str">
        <f>IFERROR(__xludf.DUMMYFUNCTION("""COMPUTED_VALUE"""),"THC0247")</f>
        <v>THC0247</v>
      </c>
      <c r="D254" s="87" t="str">
        <f>IFERROR(__xludf.DUMMYFUNCTION("""COMPUTED_VALUE"""),"Thùng R3 chai 350ml x 40 chai (55.5x35.5x15.5cm) - Xanh viền xanh trắng vàng")</f>
        <v>Thùng R3 chai 350ml x 40 chai (55.5x35.5x15.5cm) - Xanh viền xanh trắng vàng</v>
      </c>
      <c r="E254" s="87" t="str">
        <f>IFERROR(__xludf.DUMMYFUNCTION("""COMPUTED_VALUE"""),"Prima 04")</f>
        <v>Prima 04</v>
      </c>
      <c r="F254" s="87" t="str">
        <f>IFERROR(__xludf.DUMMYFUNCTION("""COMPUTED_VALUE"""),"HH0247")</f>
        <v>HH0247</v>
      </c>
      <c r="G254" s="87" t="str">
        <f>IFERROR(__xludf.DUMMYFUNCTION("""COMPUTED_VALUE"""),"GC - II - 665 - Nông Lâm Hoà Phát - Humiix Us - 1kg - 25 ([btp],t)")</f>
        <v>GC - II - 665 - Nông Lâm Hoà Phát - Humiix Us - 1kg - 25 ([btp],t)</v>
      </c>
    </row>
    <row r="255">
      <c r="A255" s="86">
        <f>IFERROR(__xludf.DUMMYFUNCTION("""COMPUTED_VALUE"""),253.0)</f>
        <v>253</v>
      </c>
      <c r="B255" s="87" t="str">
        <f>IFERROR(__xludf.DUMMYFUNCTION("""COMPUTED_VALUE"""),"Thùng")</f>
        <v>Thùng</v>
      </c>
      <c r="C255" s="87" t="str">
        <f>IFERROR(__xludf.DUMMYFUNCTION("""COMPUTED_VALUE"""),"THC0248")</f>
        <v>THC0248</v>
      </c>
      <c r="D255" s="87" t="str">
        <f>IFERROR(__xludf.DUMMYFUNCTION("""COMPUTED_VALUE"""),"Thùng Dùng Chung ABA Chai tam giác 250ml x 40 chai (47.7x30x16.5cm) - Trắng viền đen")</f>
        <v>Thùng Dùng Chung ABA Chai tam giác 250ml x 40 chai (47.7x30x16.5cm) - Trắng viền đen</v>
      </c>
      <c r="E255" s="87" t="str">
        <f>IFERROR(__xludf.DUMMYFUNCTION("""COMPUTED_VALUE"""),"Prima 04")</f>
        <v>Prima 04</v>
      </c>
      <c r="F255" s="87" t="str">
        <f>IFERROR(__xludf.DUMMYFUNCTION("""COMPUTED_VALUE"""),"HH0248")</f>
        <v>HH0248</v>
      </c>
      <c r="G255" s="87" t="str">
        <f>IFERROR(__xludf.DUMMYFUNCTION("""COMPUTED_VALUE"""),"GC - II - 666 - AU - Gel Humiix - 20 kg - 1 ([btp],x,n)")</f>
        <v>GC - II - 666 - AU - Gel Humiix - 20 kg - 1 ([btp],x,n)</v>
      </c>
    </row>
    <row r="256">
      <c r="A256" s="86">
        <f>IFERROR(__xludf.DUMMYFUNCTION("""COMPUTED_VALUE"""),254.0)</f>
        <v>254</v>
      </c>
      <c r="B256" s="87" t="str">
        <f>IFERROR(__xludf.DUMMYFUNCTION("""COMPUTED_VALUE"""),"Thùng")</f>
        <v>Thùng</v>
      </c>
      <c r="C256" s="87" t="str">
        <f>IFERROR(__xludf.DUMMYFUNCTION("""COMPUTED_VALUE"""),"THC0249")</f>
        <v>THC0249</v>
      </c>
      <c r="D256" s="87" t="str">
        <f>IFERROR(__xludf.DUMMYFUNCTION("""COMPUTED_VALUE"""),"Thùng Dùng Chung ABA Lon 500g x 30 lon (57.5x48x14cm) - Trắng viền đen")</f>
        <v>Thùng Dùng Chung ABA Lon 500g x 30 lon (57.5x48x14cm) - Trắng viền đen</v>
      </c>
      <c r="E256" s="87" t="str">
        <f>IFERROR(__xludf.DUMMYFUNCTION("""COMPUTED_VALUE"""),"Prima 04")</f>
        <v>Prima 04</v>
      </c>
      <c r="F256" s="87" t="str">
        <f>IFERROR(__xludf.DUMMYFUNCTION("""COMPUTED_VALUE"""),"HH0249")</f>
        <v>HH0249</v>
      </c>
      <c r="G256" s="87" t="str">
        <f>IFERROR(__xludf.DUMMYFUNCTION("""COMPUTED_VALUE"""),"GC - II - 667 - AU - Root vọt đọt thần tốc - 5L - 4")</f>
        <v>GC - II - 667 - AU - Root vọt đọt thần tốc - 5L - 4</v>
      </c>
    </row>
    <row r="257">
      <c r="A257" s="86">
        <f>IFERROR(__xludf.DUMMYFUNCTION("""COMPUTED_VALUE"""),255.0)</f>
        <v>255</v>
      </c>
      <c r="B257" s="87" t="str">
        <f>IFERROR(__xludf.DUMMYFUNCTION("""COMPUTED_VALUE"""),"Thùng")</f>
        <v>Thùng</v>
      </c>
      <c r="C257" s="87" t="str">
        <f>IFERROR(__xludf.DUMMYFUNCTION("""COMPUTED_VALUE"""),"THC0250")</f>
        <v>THC0250</v>
      </c>
      <c r="D257" s="87" t="str">
        <f>IFERROR(__xludf.DUMMYFUNCTION("""COMPUTED_VALUE"""),"Thùng NHP Chai HDPE 500ml x 40 chai (58x36.5x19cm) - Trắng viền xanh dương đỏ")</f>
        <v>Thùng NHP Chai HDPE 500ml x 40 chai (58x36.5x19cm) - Trắng viền xanh dương đỏ</v>
      </c>
      <c r="E257" s="87" t="str">
        <f>IFERROR(__xludf.DUMMYFUNCTION("""COMPUTED_VALUE"""),"Prima 04")</f>
        <v>Prima 04</v>
      </c>
      <c r="F257" s="87" t="str">
        <f>IFERROR(__xludf.DUMMYFUNCTION("""COMPUTED_VALUE"""),"HH0250")</f>
        <v>HH0250</v>
      </c>
      <c r="G257" s="87" t="str">
        <f>IFERROR(__xludf.DUMMYFUNCTION("""COMPUTED_VALUE"""),"GC - II - 668 - Agriplant - Bio Strong Gold - 5L - 4 ([btp],t,c)")</f>
        <v>GC - II - 668 - Agriplant - Bio Strong Gold - 5L - 4 ([btp],t,c)</v>
      </c>
    </row>
    <row r="258">
      <c r="A258" s="86">
        <f>IFERROR(__xludf.DUMMYFUNCTION("""COMPUTED_VALUE"""),256.0)</f>
        <v>256</v>
      </c>
      <c r="B258" s="87" t="str">
        <f>IFERROR(__xludf.DUMMYFUNCTION("""COMPUTED_VALUE"""),"Thùng")</f>
        <v>Thùng</v>
      </c>
      <c r="C258" s="87" t="str">
        <f>IFERROR(__xludf.DUMMYFUNCTION("""COMPUTED_VALUE"""),"THC0251")</f>
        <v>THC0251</v>
      </c>
      <c r="D258" s="87" t="str">
        <f>IFERROR(__xludf.DUMMYFUNCTION("""COMPUTED_VALUE"""),"Thùng DONA VINA Chai HD Vuông 500ml x 40 chai (47x35.5x19cm) - Trắng xanh lá đỏ")</f>
        <v>Thùng DONA VINA Chai HD Vuông 500ml x 40 chai (47x35.5x19cm) - Trắng xanh lá đỏ</v>
      </c>
      <c r="E258" s="87" t="str">
        <f>IFERROR(__xludf.DUMMYFUNCTION("""COMPUTED_VALUE"""),"Mekongvil 5SC")</f>
        <v>Mekongvil 5SC</v>
      </c>
      <c r="F258" s="87" t="str">
        <f>IFERROR(__xludf.DUMMYFUNCTION("""COMPUTED_VALUE"""),"HH0251")</f>
        <v>HH0251</v>
      </c>
      <c r="G258" s="87" t="str">
        <f>IFERROR(__xludf.DUMMYFUNCTION("""COMPUTED_VALUE"""),"GC - II - 669 - A Hoài - Annvil Duc (Chai HD cao cấp) - 1L - 20")</f>
        <v>GC - II - 669 - A Hoài - Annvil Duc (Chai HD cao cấp) - 1L - 20</v>
      </c>
    </row>
    <row r="259">
      <c r="A259" s="86">
        <f>IFERROR(__xludf.DUMMYFUNCTION("""COMPUTED_VALUE"""),257.0)</f>
        <v>257</v>
      </c>
      <c r="B259" s="87" t="str">
        <f>IFERROR(__xludf.DUMMYFUNCTION("""COMPUTED_VALUE"""),"Thùng")</f>
        <v>Thùng</v>
      </c>
      <c r="C259" s="87" t="str">
        <f>IFERROR(__xludf.DUMMYFUNCTION("""COMPUTED_VALUE"""),"THC0252")</f>
        <v>THC0252</v>
      </c>
      <c r="D259" s="87" t="str">
        <f>IFERROR(__xludf.DUMMYFUNCTION("""COMPUTED_VALUE"""),"Thùng NEWTEX Chai PET tam giác 240ml x 40 chai (47.7x30x16cm) - Trắng viền cam")</f>
        <v>Thùng NEWTEX Chai PET tam giác 240ml x 40 chai (47.7x30x16cm) - Trắng viền cam</v>
      </c>
      <c r="E259" s="87" t="str">
        <f>IFERROR(__xludf.DUMMYFUNCTION("""COMPUTED_VALUE"""),"Mekongvil 5SC")</f>
        <v>Mekongvil 5SC</v>
      </c>
      <c r="F259" s="87" t="str">
        <f>IFERROR(__xludf.DUMMYFUNCTION("""COMPUTED_VALUE"""),"HH0252")</f>
        <v>HH0252</v>
      </c>
      <c r="G259" s="87" t="str">
        <f>IFERROR(__xludf.DUMMYFUNCTION("""COMPUTED_VALUE"""),"GC - II - 670 - Châu Giang - Mekongvil 5SC (chai HD) - 1L - 20")</f>
        <v>GC - II - 670 - Châu Giang - Mekongvil 5SC (chai HD) - 1L - 20</v>
      </c>
    </row>
    <row r="260">
      <c r="A260" s="86">
        <f>IFERROR(__xludf.DUMMYFUNCTION("""COMPUTED_VALUE"""),258.0)</f>
        <v>258</v>
      </c>
      <c r="B260" s="87" t="str">
        <f>IFERROR(__xludf.DUMMYFUNCTION("""COMPUTED_VALUE"""),"Thùng")</f>
        <v>Thùng</v>
      </c>
      <c r="C260" s="87" t="str">
        <f>IFERROR(__xludf.DUMMYFUNCTION("""COMPUTED_VALUE"""),"THC0253")</f>
        <v>THC0253</v>
      </c>
      <c r="D260" s="87" t="str">
        <f>IFERROR(__xludf.DUMMYFUNCTION("""COMPUTED_VALUE"""),"Thùng C.P Chai PET 100ml x 100 chai CENTER SUPER 333EC (50.5x26x24cm) - Trắng xanh lam")</f>
        <v>Thùng C.P Chai PET 100ml x 100 chai CENTER SUPER 333EC (50.5x26x24cm) - Trắng xanh lam</v>
      </c>
      <c r="E260" s="87" t="str">
        <f>IFERROR(__xludf.DUMMYFUNCTION("""COMPUTED_VALUE"""),"Mekongvil 5SC")</f>
        <v>Mekongvil 5SC</v>
      </c>
      <c r="F260" s="87" t="str">
        <f>IFERROR(__xludf.DUMMYFUNCTION("""COMPUTED_VALUE"""),"HH0253")</f>
        <v>HH0253</v>
      </c>
      <c r="G260" s="87" t="str">
        <f>IFERROR(__xludf.DUMMYFUNCTION("""COMPUTED_VALUE"""),"GC - II - 671 - SH Mekongvil 5SC - 1 lít - 20")</f>
        <v>GC - II - 671 - SH Mekongvil 5SC - 1 lít - 20</v>
      </c>
    </row>
    <row r="261">
      <c r="A261" s="86">
        <f>IFERROR(__xludf.DUMMYFUNCTION("""COMPUTED_VALUE"""),259.0)</f>
        <v>259</v>
      </c>
      <c r="B261" s="87" t="str">
        <f>IFERROR(__xludf.DUMMYFUNCTION("""COMPUTED_VALUE"""),"Thùng")</f>
        <v>Thùng</v>
      </c>
      <c r="C261" s="87" t="str">
        <f>IFERROR(__xludf.DUMMYFUNCTION("""COMPUTED_VALUE"""),"THC0254")</f>
        <v>THC0254</v>
      </c>
      <c r="D261" s="87" t="str">
        <f>IFERROR(__xludf.DUMMYFUNCTION("""COMPUTED_VALUE"""),"Thùng C.P Chai HD 100ml x 100 chai MYFATOP 325SC (45.5x45.5x14cm) - Trắng xanh lá")</f>
        <v>Thùng C.P Chai HD 100ml x 100 chai MYFATOP 325SC (45.5x45.5x14cm) - Trắng xanh lá</v>
      </c>
      <c r="E261" s="87" t="str">
        <f>IFERROR(__xludf.DUMMYFUNCTION("""COMPUTED_VALUE"""),"JAVI VIL 50SC")</f>
        <v>JAVI VIL 50SC</v>
      </c>
      <c r="F261" s="87" t="str">
        <f>IFERROR(__xludf.DUMMYFUNCTION("""COMPUTED_VALUE"""),"HH0254")</f>
        <v>HH0254</v>
      </c>
      <c r="G261" s="87" t="str">
        <f>IFERROR(__xludf.DUMMYFUNCTION("""COMPUTED_VALUE"""),"GC - IV - 672 - Agriscience - Javi vil 50SC (Chai HD CC) - (BTP Hồng)- 1L - 20")</f>
        <v>GC - IV - 672 - Agriscience - Javi vil 50SC (Chai HD CC) - (BTP Hồng)- 1L - 20</v>
      </c>
    </row>
    <row r="262">
      <c r="A262" s="86">
        <f>IFERROR(__xludf.DUMMYFUNCTION("""COMPUTED_VALUE"""),260.0)</f>
        <v>260</v>
      </c>
      <c r="B262" s="87" t="str">
        <f>IFERROR(__xludf.DUMMYFUNCTION("""COMPUTED_VALUE"""),"Thùng")</f>
        <v>Thùng</v>
      </c>
      <c r="C262" s="87" t="str">
        <f>IFERROR(__xludf.DUMMYFUNCTION("""COMPUTED_VALUE"""),"THC0255")</f>
        <v>THC0255</v>
      </c>
      <c r="D262" s="87" t="str">
        <f>IFERROR(__xludf.DUMMYFUNCTION("""COMPUTED_VALUE"""),"Thùng C.P Gói 10g x 10 hộp GOLDEMEC 55.5WG (74.5x45x20.5cm) - Trắng viền cam")</f>
        <v>Thùng C.P Gói 10g x 10 hộp GOLDEMEC 55.5WG (74.5x45x20.5cm) - Trắng viền cam</v>
      </c>
      <c r="E262" s="87" t="str">
        <f>IFERROR(__xludf.DUMMYFUNCTION("""COMPUTED_VALUE"""),"NEW FUZE 200SC")</f>
        <v>NEW FUZE 200SC</v>
      </c>
      <c r="F262" s="87" t="str">
        <f>IFERROR(__xludf.DUMMYFUNCTION("""COMPUTED_VALUE"""),"HH0255")</f>
        <v>HH0255</v>
      </c>
      <c r="G262" s="87" t="str">
        <f>IFERROR(__xludf.DUMMYFUNCTION("""COMPUTED_VALUE"""),"GC - IV - 673 - Agriscience - New Fuze 200SC (chai PET tròn)- 120ml -100")</f>
        <v>GC - IV - 673 - Agriscience - New Fuze 200SC (chai PET tròn)- 120ml -100</v>
      </c>
    </row>
    <row r="263">
      <c r="A263" s="86">
        <f>IFERROR(__xludf.DUMMYFUNCTION("""COMPUTED_VALUE"""),261.0)</f>
        <v>261</v>
      </c>
      <c r="B263" s="87" t="str">
        <f>IFERROR(__xludf.DUMMYFUNCTION("""COMPUTED_VALUE"""),"Thùng")</f>
        <v>Thùng</v>
      </c>
      <c r="C263" s="87" t="str">
        <f>IFERROR(__xludf.DUMMYFUNCTION("""COMPUTED_VALUE"""),"THC0256")</f>
        <v>THC0256</v>
      </c>
      <c r="D263" s="87" t="str">
        <f>IFERROR(__xludf.DUMMYFUNCTION("""COMPUTED_VALUE"""),"Thùng C.P Gói 50g x 10 hộp SIAMB 16 30-10-10 (62x34x24cm) - Trắng viền tím")</f>
        <v>Thùng C.P Gói 50g x 10 hộp SIAMB 16 30-10-10 (62x34x24cm) - Trắng viền tím</v>
      </c>
      <c r="E263" s="87" t="str">
        <f>IFERROR(__xludf.DUMMYFUNCTION("""COMPUTED_VALUE"""),"THALONIL 75WP")</f>
        <v>THALONIL 75WP</v>
      </c>
      <c r="F263" s="87" t="str">
        <f>IFERROR(__xludf.DUMMYFUNCTION("""COMPUTED_VALUE"""),"HH0256")</f>
        <v>HH0256</v>
      </c>
      <c r="G263" s="87" t="str">
        <f>IFERROR(__xludf.DUMMYFUNCTION("""COMPUTED_VALUE"""),"GC - IV - 674 - Agriscience - Thalonil 75WP (túi nhôm) - 100gr -100")</f>
        <v>GC - IV - 674 - Agriscience - Thalonil 75WP (túi nhôm) - 100gr -100</v>
      </c>
    </row>
    <row r="264">
      <c r="A264" s="86">
        <f>IFERROR(__xludf.DUMMYFUNCTION("""COMPUTED_VALUE"""),262.0)</f>
        <v>262</v>
      </c>
      <c r="B264" s="87" t="str">
        <f>IFERROR(__xludf.DUMMYFUNCTION("""COMPUTED_VALUE"""),"Thùng")</f>
        <v>Thùng</v>
      </c>
      <c r="C264" s="87" t="str">
        <f>IFERROR(__xludf.DUMMYFUNCTION("""COMPUTED_VALUE"""),"THC0257")</f>
        <v>THC0257</v>
      </c>
      <c r="D264" s="87" t="str">
        <f>IFERROR(__xludf.DUMMYFUNCTION("""COMPUTED_VALUE"""),"Thùng C.P Gói 50ml x 10 hộp AGRI FOS AB (52x34x22cm) - Trắng viền đỏ")</f>
        <v>Thùng C.P Gói 50ml x 10 hộp AGRI FOS AB (52x34x22cm) - Trắng viền đỏ</v>
      </c>
      <c r="E264" s="87" t="str">
        <f>IFERROR(__xludf.DUMMYFUNCTION("""COMPUTED_VALUE"""),"Mekongvil 5SC")</f>
        <v>Mekongvil 5SC</v>
      </c>
      <c r="F264" s="87" t="str">
        <f>IFERROR(__xludf.DUMMYFUNCTION("""COMPUTED_VALUE"""),"HH0257")</f>
        <v>HH0257</v>
      </c>
      <c r="G264" s="87" t="str">
        <f>IFERROR(__xludf.DUMMYFUNCTION("""COMPUTED_VALUE"""),"GC - II - 675 - BM - Vil 5SC - 1L - 20")</f>
        <v>GC - II - 675 - BM - Vil 5SC - 1L - 20</v>
      </c>
    </row>
    <row r="265">
      <c r="A265" s="86">
        <f>IFERROR(__xludf.DUMMYFUNCTION("""COMPUTED_VALUE"""),263.0)</f>
        <v>263</v>
      </c>
      <c r="B265" s="87" t="str">
        <f>IFERROR(__xludf.DUMMYFUNCTION("""COMPUTED_VALUE"""),"Thùng")</f>
        <v>Thùng</v>
      </c>
      <c r="C265" s="87" t="str">
        <f>IFERROR(__xludf.DUMMYFUNCTION("""COMPUTED_VALUE"""),"THC0258")</f>
        <v>THC0258</v>
      </c>
      <c r="D265" s="87" t="str">
        <f>IFERROR(__xludf.DUMMYFUNCTION("""COMPUTED_VALUE"""),"Thùng NHP Chai 250ml x 40 chai (53.5x33.5x15.5cm) - Trắng viền xanh dương đỏ")</f>
        <v>Thùng NHP Chai 250ml x 40 chai (53.5x33.5x15.5cm) - Trắng viền xanh dương đỏ</v>
      </c>
      <c r="E265" s="87" t="str">
        <f>IFERROR(__xludf.DUMMYFUNCTION("""COMPUTED_VALUE"""),"Tikabamec 3.6EC")</f>
        <v>Tikabamec 3.6EC</v>
      </c>
      <c r="F265" s="87" t="str">
        <f>IFERROR(__xludf.DUMMYFUNCTION("""COMPUTED_VALUE"""),"HH0258")</f>
        <v>HH0258</v>
      </c>
      <c r="G265" s="87" t="str">
        <f>IFERROR(__xludf.DUMMYFUNCTION("""COMPUTED_VALUE"""),"GC - II - 676 - Agriplant - Sâu - nhện (PET tròn) (BTP trong)- 450ml - 40")</f>
        <v>GC - II - 676 - Agriplant - Sâu - nhện (PET tròn) (BTP trong)- 450ml - 40</v>
      </c>
    </row>
    <row r="266">
      <c r="A266" s="86">
        <f>IFERROR(__xludf.DUMMYFUNCTION("""COMPUTED_VALUE"""),264.0)</f>
        <v>264</v>
      </c>
      <c r="B266" s="87" t="str">
        <f>IFERROR(__xludf.DUMMYFUNCTION("""COMPUTED_VALUE"""),"Thùng")</f>
        <v>Thùng</v>
      </c>
      <c r="C266" s="87" t="str">
        <f>IFERROR(__xludf.DUMMYFUNCTION("""COMPUTED_VALUE"""),"THC0259")</f>
        <v>THC0259</v>
      </c>
      <c r="D266" s="87" t="str">
        <f>IFERROR(__xludf.DUMMYFUNCTION("""COMPUTED_VALUE"""),"Thùng NHP Chai 1 lít x 20 chai (45x35.5x26.5cm) - Trắng viền xanh dương đỏ")</f>
        <v>Thùng NHP Chai 1 lít x 20 chai (45x35.5x26.5cm) - Trắng viền xanh dương đỏ</v>
      </c>
      <c r="E266" s="87" t="str">
        <f>IFERROR(__xludf.DUMMYFUNCTION("""COMPUTED_VALUE"""),"THALONIL 75WP")</f>
        <v>THALONIL 75WP</v>
      </c>
      <c r="F266" s="87" t="str">
        <f>IFERROR(__xludf.DUMMYFUNCTION("""COMPUTED_VALUE"""),"HH0259")</f>
        <v>HH0259</v>
      </c>
      <c r="G266" s="87" t="str">
        <f>IFERROR(__xludf.DUMMYFUNCTION("""COMPUTED_VALUE"""),"GC - II - 677 - AU - Diệt sạch nấm (flexo) - 100gr - 100")</f>
        <v>GC - II - 677 - AU - Diệt sạch nấm (flexo) - 100gr - 100</v>
      </c>
    </row>
    <row r="267">
      <c r="A267" s="86">
        <f>IFERROR(__xludf.DUMMYFUNCTION("""COMPUTED_VALUE"""),265.0)</f>
        <v>265</v>
      </c>
      <c r="B267" s="87" t="str">
        <f>IFERROR(__xludf.DUMMYFUNCTION("""COMPUTED_VALUE"""),"Thùng")</f>
        <v>Thùng</v>
      </c>
      <c r="C267" s="87" t="str">
        <f>IFERROR(__xludf.DUMMYFUNCTION("""COMPUTED_VALUE"""),"THC0260")</f>
        <v>THC0260</v>
      </c>
      <c r="D267" s="87" t="str">
        <f>IFERROR(__xludf.DUMMYFUNCTION("""COMPUTED_VALUE"""),"Thùng Newtex Chai 1 lít x 20 chai (48.5x39x24.5cm) - Trắng viền cam")</f>
        <v>Thùng Newtex Chai 1 lít x 20 chai (48.5x39x24.5cm) - Trắng viền cam</v>
      </c>
      <c r="E267" s="87" t="str">
        <f>IFERROR(__xludf.DUMMYFUNCTION("""COMPUTED_VALUE"""),"THALONIL 75WP")</f>
        <v>THALONIL 75WP</v>
      </c>
      <c r="F267" s="87" t="str">
        <f>IFERROR(__xludf.DUMMYFUNCTION("""COMPUTED_VALUE"""),"HH0260")</f>
        <v>HH0260</v>
      </c>
      <c r="G267" s="87" t="str">
        <f>IFERROR(__xludf.DUMMYFUNCTION("""COMPUTED_VALUE"""),"GC - II - 678 - AU - Chlorothalonil (flexo)- 100gr - 100")</f>
        <v>GC - II - 678 - AU - Chlorothalonil (flexo)- 100gr - 100</v>
      </c>
    </row>
    <row r="268">
      <c r="A268" s="86">
        <f>IFERROR(__xludf.DUMMYFUNCTION("""COMPUTED_VALUE"""),266.0)</f>
        <v>266</v>
      </c>
      <c r="B268" s="87" t="str">
        <f>IFERROR(__xludf.DUMMYFUNCTION("""COMPUTED_VALUE"""),"Thùng")</f>
        <v>Thùng</v>
      </c>
      <c r="C268" s="87" t="str">
        <f>IFERROR(__xludf.DUMMYFUNCTION("""COMPUTED_VALUE"""),"THC0261")</f>
        <v>THC0261</v>
      </c>
      <c r="D268" s="87" t="str">
        <f>IFERROR(__xludf.DUMMYFUNCTION("""COMPUTED_VALUE"""),"Thùng JAPAN CROP SCIENCE Chai PET tròn 500ml x 40 chai (55x34.5x19cm) - Trắng viền xanh dương")</f>
        <v>Thùng JAPAN CROP SCIENCE Chai PET tròn 500ml x 40 chai (55x34.5x19cm) - Trắng viền xanh dương</v>
      </c>
      <c r="E268" s="87" t="str">
        <f>IFERROR(__xludf.DUMMYFUNCTION("""COMPUTED_VALUE"""),"CHIM ƯNG 3.8EC")</f>
        <v>CHIM ƯNG 3.8EC</v>
      </c>
      <c r="F268" s="87" t="str">
        <f>IFERROR(__xludf.DUMMYFUNCTION("""COMPUTED_VALUE"""),"HH0261")</f>
        <v>HH0261</v>
      </c>
      <c r="G268" s="87" t="str">
        <f>IFERROR(__xludf.DUMMYFUNCTION("""COMPUTED_VALUE"""),"GC - I - 679 - AU - Diều Hâu Đen (chai nhôm xanh dương) - 240ml - 40")</f>
        <v>GC - I - 679 - AU - Diều Hâu Đen (chai nhôm xanh dương) - 240ml - 40</v>
      </c>
    </row>
    <row r="269">
      <c r="A269" s="86">
        <f>IFERROR(__xludf.DUMMYFUNCTION("""COMPUTED_VALUE"""),267.0)</f>
        <v>267</v>
      </c>
      <c r="B269" s="87" t="str">
        <f>IFERROR(__xludf.DUMMYFUNCTION("""COMPUTED_VALUE"""),"Thùng")</f>
        <v>Thùng</v>
      </c>
      <c r="C269" s="87" t="str">
        <f>IFERROR(__xludf.DUMMYFUNCTION("""COMPUTED_VALUE"""),"THC0262")</f>
        <v>THC0262</v>
      </c>
      <c r="D269" s="87" t="str">
        <f>IFERROR(__xludf.DUMMYFUNCTION("""COMPUTED_VALUE"""),"Thùng Dùng Chung 1kg x 20 gói (50x35x30.5cm) - Trắng viền đen")</f>
        <v>Thùng Dùng Chung 1kg x 20 gói (50x35x30.5cm) - Trắng viền đen</v>
      </c>
      <c r="E269" s="87" t="str">
        <f>IFERROR(__xludf.DUMMYFUNCTION("""COMPUTED_VALUE"""),"THALONIL 75WP")</f>
        <v>THALONIL 75WP</v>
      </c>
      <c r="F269" s="87" t="str">
        <f>IFERROR(__xludf.DUMMYFUNCTION("""COMPUTED_VALUE"""),"HH0262")</f>
        <v>HH0262</v>
      </c>
      <c r="G269" s="87" t="str">
        <f>IFERROR(__xludf.DUMMYFUNCTION("""COMPUTED_VALUE"""),"GC - II - 681 - Agrikey VN - Agronil (flexo) - 500gr - 30")</f>
        <v>GC - II - 681 - Agrikey VN - Agronil (flexo) - 500gr - 30</v>
      </c>
    </row>
    <row r="270">
      <c r="A270" s="86">
        <f>IFERROR(__xludf.DUMMYFUNCTION("""COMPUTED_VALUE"""),268.0)</f>
        <v>268</v>
      </c>
      <c r="B270" s="87" t="str">
        <f>IFERROR(__xludf.DUMMYFUNCTION("""COMPUTED_VALUE"""),"Thùng")</f>
        <v>Thùng</v>
      </c>
      <c r="C270" s="87" t="str">
        <f>IFERROR(__xludf.DUMMYFUNCTION("""COMPUTED_VALUE"""),"THI0263")</f>
        <v>THI0263</v>
      </c>
      <c r="D270" s="87" t="str">
        <f>IFERROR(__xludf.DUMMYFUNCTION("""COMPUTED_VALUE"""),"Thùng IDA chai HDPE tròn 500ml x 40 chai (58x37x21cm) - Trắng xanh lá")</f>
        <v>Thùng IDA chai HDPE tròn 500ml x 40 chai (58x37x21cm) - Trắng xanh lá</v>
      </c>
      <c r="E270" s="87" t="str">
        <f>IFERROR(__xludf.DUMMYFUNCTION("""COMPUTED_VALUE"""),"Remy 19EC")</f>
        <v>Remy 19EC</v>
      </c>
      <c r="F270" s="87" t="str">
        <f>IFERROR(__xludf.DUMMYFUNCTION("""COMPUTED_VALUE"""),"HH0263")</f>
        <v>HH0263</v>
      </c>
      <c r="G270" s="87" t="str">
        <f>IFERROR(__xludf.DUMMYFUNCTION("""COMPUTED_VALUE"""),"GC - II - 682 - Đồng Phát - Doffatine 19 - 450ml - 40")</f>
        <v>GC - II - 682 - Đồng Phát - Doffatine 19 - 450ml - 40</v>
      </c>
    </row>
    <row r="271">
      <c r="A271" s="86">
        <f>IFERROR(__xludf.DUMMYFUNCTION("""COMPUTED_VALUE"""),269.0)</f>
        <v>269</v>
      </c>
      <c r="B271" s="87" t="str">
        <f>IFERROR(__xludf.DUMMYFUNCTION("""COMPUTED_VALUE"""),"Thùng")</f>
        <v>Thùng</v>
      </c>
      <c r="C271" s="87" t="str">
        <f>IFERROR(__xludf.DUMMYFUNCTION("""COMPUTED_VALUE"""),"THC0264")</f>
        <v>THC0264</v>
      </c>
      <c r="D271" s="87" t="str">
        <f>IFERROR(__xludf.DUMMYFUNCTION("""COMPUTED_VALUE"""),"Thùng NHP Chai 250ml x 40 chai (46x30x18cm) - Trắng viền xanh dương đỏ")</f>
        <v>Thùng NHP Chai 250ml x 40 chai (46x30x18cm) - Trắng viền xanh dương đỏ</v>
      </c>
      <c r="E271" s="87" t="str">
        <f>IFERROR(__xludf.DUMMYFUNCTION("""COMPUTED_VALUE"""),"Kamycinjapane 20SL")</f>
        <v>Kamycinjapane 20SL</v>
      </c>
      <c r="F271" s="87" t="str">
        <f>IFERROR(__xludf.DUMMYFUNCTION("""COMPUTED_VALUE"""),"HH0264")</f>
        <v>HH0264</v>
      </c>
      <c r="G271" s="87" t="str">
        <f>IFERROR(__xludf.DUMMYFUNCTION("""COMPUTED_VALUE"""),"GC - II - 683 - AGC - Kamycinjapane 20SL (chai tròn) - 450ml - 40")</f>
        <v>GC - II - 683 - AGC - Kamycinjapane 20SL (chai tròn) - 450ml - 40</v>
      </c>
    </row>
    <row r="272">
      <c r="A272" s="86">
        <f>IFERROR(__xludf.DUMMYFUNCTION("""COMPUTED_VALUE"""),270.0)</f>
        <v>270</v>
      </c>
      <c r="B272" s="87" t="str">
        <f>IFERROR(__xludf.DUMMYFUNCTION("""COMPUTED_VALUE"""),"Thùng")</f>
        <v>Thùng</v>
      </c>
      <c r="C272" s="87" t="str">
        <f>IFERROR(__xludf.DUMMYFUNCTION("""COMPUTED_VALUE"""),"THC0265")</f>
        <v>THC0265</v>
      </c>
      <c r="D272" s="87" t="str">
        <f>IFERROR(__xludf.DUMMYFUNCTION("""COMPUTED_VALUE"""),"Thùng Agritech 100g x 100, 120, 150 gói (47.5x41.5x28cm) - Trắng viền xanh dương")</f>
        <v>Thùng Agritech 100g x 100, 120, 150 gói (47.5x41.5x28cm) - Trắng viền xanh dương</v>
      </c>
      <c r="E272" s="87" t="str">
        <f>IFERROR(__xludf.DUMMYFUNCTION("""COMPUTED_VALUE"""),"Remy 19EC")</f>
        <v>Remy 19EC</v>
      </c>
      <c r="F272" s="87" t="str">
        <f>IFERROR(__xludf.DUMMYFUNCTION("""COMPUTED_VALUE"""),"HH0265")</f>
        <v>HH0265</v>
      </c>
      <c r="G272" s="87" t="str">
        <f>IFERROR(__xludf.DUMMYFUNCTION("""COMPUTED_VALUE"""),"GC - II - 684 - AGC - Remy 19EC (chai tròn) - 450ml - 40")</f>
        <v>GC - II - 684 - AGC - Remy 19EC (chai tròn) - 450ml - 40</v>
      </c>
    </row>
    <row r="273">
      <c r="A273" s="86">
        <f>IFERROR(__xludf.DUMMYFUNCTION("""COMPUTED_VALUE"""),271.0)</f>
        <v>271</v>
      </c>
      <c r="B273" s="87" t="str">
        <f>IFERROR(__xludf.DUMMYFUNCTION("""COMPUTED_VALUE"""),"Thùng")</f>
        <v>Thùng</v>
      </c>
      <c r="C273" s="87" t="str">
        <f>IFERROR(__xludf.DUMMYFUNCTION("""COMPUTED_VALUE"""),"THC0266")</f>
        <v>THC0266</v>
      </c>
      <c r="D273" s="87" t="str">
        <f>IFERROR(__xludf.DUMMYFUNCTION("""COMPUTED_VALUE"""),"Thùng Agritech chai HDPE 1 lít x 20 chai (45x35.5x26.5cm) - Trắng viền xanh dương")</f>
        <v>Thùng Agritech chai HDPE 1 lít x 20 chai (45x35.5x26.5cm) - Trắng viền xanh dương</v>
      </c>
      <c r="E273" s="87" t="str">
        <f>IFERROR(__xludf.DUMMYFUNCTION("""COMPUTED_VALUE"""),"JAVI VIL 50SC")</f>
        <v>JAVI VIL 50SC</v>
      </c>
      <c r="F273" s="87" t="str">
        <f>IFERROR(__xludf.DUMMYFUNCTION("""COMPUTED_VALUE"""),"HH0266")</f>
        <v>HH0266</v>
      </c>
      <c r="G273" s="87" t="str">
        <f>IFERROR(__xludf.DUMMYFUNCTION("""COMPUTED_VALUE"""),"GC - II - 685 - Ánh Dương - Javi vil 50SC (Chai HD)- 1L - 20")</f>
        <v>GC - II - 685 - Ánh Dương - Javi vil 50SC (Chai HD)- 1L - 20</v>
      </c>
    </row>
    <row r="274">
      <c r="A274" s="86">
        <f>IFERROR(__xludf.DUMMYFUNCTION("""COMPUTED_VALUE"""),272.0)</f>
        <v>272</v>
      </c>
      <c r="B274" s="87" t="str">
        <f>IFERROR(__xludf.DUMMYFUNCTION("""COMPUTED_VALUE"""),"Thùng")</f>
        <v>Thùng</v>
      </c>
      <c r="C274" s="87" t="str">
        <f>IFERROR(__xludf.DUMMYFUNCTION("""COMPUTED_VALUE"""),"THI0267")</f>
        <v>THI0267</v>
      </c>
      <c r="D274" s="87" t="str">
        <f>IFERROR(__xludf.DUMMYFUNCTION("""COMPUTED_VALUE"""),"Thùng IDA Chai HDPE/PAPE tròn cổ 43 250ml - (50x31x15cm) - Trắng xanh lá")</f>
        <v>Thùng IDA Chai HDPE/PAPE tròn cổ 43 250ml - (50x31x15cm) - Trắng xanh lá</v>
      </c>
      <c r="E274" s="87" t="str">
        <f>IFERROR(__xludf.DUMMYFUNCTION("""COMPUTED_VALUE"""),"JAVI VIL 50SC")</f>
        <v>JAVI VIL 50SC</v>
      </c>
      <c r="F274" s="87" t="str">
        <f>IFERROR(__xludf.DUMMYFUNCTION("""COMPUTED_VALUE"""),"HH0267")</f>
        <v>HH0267</v>
      </c>
      <c r="G274" s="87" t="str">
        <f>IFERROR(__xludf.DUMMYFUNCTION("""COMPUTED_VALUE"""),"LOT IDA Global - I - 686 - Javi vil 50SC (Chai HD) (BTP TRẮNG SỮA) - 1L - 20 ([btp] ,t)")</f>
        <v>LOT IDA Global - I - 686 - Javi vil 50SC (Chai HD) (BTP TRẮNG SỮA) - 1L - 20 ([btp] ,t)</v>
      </c>
    </row>
    <row r="275">
      <c r="A275" s="86">
        <f>IFERROR(__xludf.DUMMYFUNCTION("""COMPUTED_VALUE"""),273.0)</f>
        <v>273</v>
      </c>
      <c r="B275" s="87" t="str">
        <f>IFERROR(__xludf.DUMMYFUNCTION("""COMPUTED_VALUE"""),"Thùng")</f>
        <v>Thùng</v>
      </c>
      <c r="C275" s="87" t="str">
        <f>IFERROR(__xludf.DUMMYFUNCTION("""COMPUTED_VALUE"""),"THI0268")</f>
        <v>THI0268</v>
      </c>
      <c r="D275" s="87" t="str">
        <f>IFERROR(__xludf.DUMMYFUNCTION("""COMPUTED_VALUE"""),"Thùng IDA 100gr x 100 gói (44.5x37.5x21cm) - Trắng xanh lá")</f>
        <v>Thùng IDA 100gr x 100 gói (44.5x37.5x21cm) - Trắng xanh lá</v>
      </c>
      <c r="E275" s="87" t="str">
        <f>IFERROR(__xludf.DUMMYFUNCTION("""COMPUTED_VALUE"""),"Tikabamec 3.6EC")</f>
        <v>Tikabamec 3.6EC</v>
      </c>
      <c r="F275" s="87" t="str">
        <f>IFERROR(__xludf.DUMMYFUNCTION("""COMPUTED_VALUE"""),"HH0268")</f>
        <v>HH0268</v>
      </c>
      <c r="G275" s="87" t="str">
        <f>IFERROR(__xludf.DUMMYFUNCTION("""COMPUTED_VALUE"""),"LOT IDA Global - I - 687 - Abamectin 3.6EC (Pet tròn) (nước đục) - 450ml - 40")</f>
        <v>LOT IDA Global - I - 687 - Abamectin 3.6EC (Pet tròn) (nước đục) - 450ml - 40</v>
      </c>
    </row>
    <row r="276">
      <c r="A276" s="86">
        <f>IFERROR(__xludf.DUMMYFUNCTION("""COMPUTED_VALUE"""),274.0)</f>
        <v>274</v>
      </c>
      <c r="B276" s="87" t="str">
        <f>IFERROR(__xludf.DUMMYFUNCTION("""COMPUTED_VALUE"""),"Thùng")</f>
        <v>Thùng</v>
      </c>
      <c r="C276" s="87" t="str">
        <f>IFERROR(__xludf.DUMMYFUNCTION("""COMPUTED_VALUE"""),"THC0269")</f>
        <v>THC0269</v>
      </c>
      <c r="D276" s="87" t="str">
        <f>IFERROR(__xludf.DUMMYFUNCTION("""COMPUTED_VALUE"""),"Thùng VISANTO 50g x 100 gói và 120g, 150g x 80 gói, 300g x 30 gói (47.5x41.5x28cm) - Trắng xanh dương")</f>
        <v>Thùng VISANTO 50g x 100 gói và 120g, 150g x 80 gói, 300g x 30 gói (47.5x41.5x28cm) - Trắng xanh dương</v>
      </c>
      <c r="E276" s="87" t="str">
        <f>IFERROR(__xludf.DUMMYFUNCTION("""COMPUTED_VALUE"""),"Prima 04")</f>
        <v>Prima 04</v>
      </c>
      <c r="F276" s="87" t="str">
        <f>IFERROR(__xludf.DUMMYFUNCTION("""COMPUTED_VALUE"""),"HH0269")</f>
        <v>HH0269</v>
      </c>
      <c r="G276" s="87" t="str">
        <f>IFERROR(__xludf.DUMMYFUNCTION("""COMPUTED_VALUE"""),"GC - II - 688 - AU - Gel Humiix - 10kg - 1 ([btp],x,n)")</f>
        <v>GC - II - 688 - AU - Gel Humiix - 10kg - 1 ([btp],x,n)</v>
      </c>
    </row>
    <row r="277">
      <c r="A277" s="86">
        <f>IFERROR(__xludf.DUMMYFUNCTION("""COMPUTED_VALUE"""),275.0)</f>
        <v>275</v>
      </c>
      <c r="B277" s="87" t="str">
        <f>IFERROR(__xludf.DUMMYFUNCTION("""COMPUTED_VALUE"""),"Thùng")</f>
        <v>Thùng</v>
      </c>
      <c r="C277" s="87" t="str">
        <f>IFERROR(__xludf.DUMMYFUNCTION("""COMPUTED_VALUE"""),"THC0270")</f>
        <v>THC0270</v>
      </c>
      <c r="D277" s="87" t="str">
        <f>IFERROR(__xludf.DUMMYFUNCTION("""COMPUTED_VALUE"""),"Thùng Tago đựng 20 hộp/thùng (44x39.5x32cm) - Trắng xanh lá viền vàng")</f>
        <v>Thùng Tago đựng 20 hộp/thùng (44x39.5x32cm) - Trắng xanh lá viền vàng</v>
      </c>
      <c r="E277" s="87" t="str">
        <f>IFERROR(__xludf.DUMMYFUNCTION("""COMPUTED_VALUE"""),"TVZEB 800WP")</f>
        <v>TVZEB 800WP</v>
      </c>
      <c r="F277" s="87" t="str">
        <f>IFERROR(__xludf.DUMMYFUNCTION("""COMPUTED_VALUE"""),"HH0270")</f>
        <v>HH0270</v>
      </c>
      <c r="G277" s="87" t="str">
        <f>IFERROR(__xludf.DUMMYFUNCTION("""COMPUTED_VALUE"""),"GC - IV - 689 - Kim Ngọc - Mancozeb Xanh - 1 kg - 20")</f>
        <v>GC - IV - 689 - Kim Ngọc - Mancozeb Xanh - 1 kg - 20</v>
      </c>
    </row>
    <row r="278">
      <c r="A278" s="86">
        <f>IFERROR(__xludf.DUMMYFUNCTION("""COMPUTED_VALUE"""),276.0)</f>
        <v>276</v>
      </c>
      <c r="B278" s="87" t="str">
        <f>IFERROR(__xludf.DUMMYFUNCTION("""COMPUTED_VALUE"""),"Thùng")</f>
        <v>Thùng</v>
      </c>
      <c r="C278" s="87" t="str">
        <f>IFERROR(__xludf.DUMMYFUNCTION("""COMPUTED_VALUE"""),"THC0271")</f>
        <v>THC0271</v>
      </c>
      <c r="D278" s="87" t="str">
        <f>IFERROR(__xludf.DUMMYFUNCTION("""COMPUTED_VALUE"""),"Thùng JAPAN CROP SCIENCE Chai PET tròn 500ml x 40 chai (55.5x35x21.5cm) - Trắng viền xanh dương")</f>
        <v>Thùng JAPAN CROP SCIENCE Chai PET tròn 500ml x 40 chai (55.5x35x21.5cm) - Trắng viền xanh dương</v>
      </c>
      <c r="E278" s="87" t="str">
        <f>IFERROR(__xludf.DUMMYFUNCTION("""COMPUTED_VALUE"""),"TVZEB 800WP")</f>
        <v>TVZEB 800WP</v>
      </c>
      <c r="F278" s="87" t="str">
        <f>IFERROR(__xludf.DUMMYFUNCTION("""COMPUTED_VALUE"""),"HH0271")</f>
        <v>HH0271</v>
      </c>
      <c r="G278" s="87" t="str">
        <f>IFERROR(__xludf.DUMMYFUNCTION("""COMPUTED_VALUE"""),"GC - IV - 689 - Kim Ngọc - Mancozeb Xanh - 1 kg - 20")</f>
        <v>GC - IV - 689 - Kim Ngọc - Mancozeb Xanh - 1 kg - 20</v>
      </c>
    </row>
    <row r="279">
      <c r="A279" s="86">
        <f>IFERROR(__xludf.DUMMYFUNCTION("""COMPUTED_VALUE"""),277.0)</f>
        <v>277</v>
      </c>
      <c r="B279" s="87" t="str">
        <f>IFERROR(__xludf.DUMMYFUNCTION("""COMPUTED_VALUE"""),"Thùng")</f>
        <v>Thùng</v>
      </c>
      <c r="C279" s="87" t="str">
        <f>IFERROR(__xludf.DUMMYFUNCTION("""COMPUTED_VALUE"""),"THC0272")</f>
        <v>THC0272</v>
      </c>
      <c r="D279" s="87" t="str">
        <f>IFERROR(__xludf.DUMMYFUNCTION("""COMPUTED_VALUE"""),"Thùng Thiên Di chai HD logo Thiên Di 500ml x 40 chai (64.5x40.5x18.5cm) KTPB - Trắng viền xanh lá")</f>
        <v>Thùng Thiên Di chai HD logo Thiên Di 500ml x 40 chai (64.5x40.5x18.5cm) KTPB - Trắng viền xanh lá</v>
      </c>
      <c r="E279" s="87" t="str">
        <f>IFERROR(__xludf.DUMMYFUNCTION("""COMPUTED_VALUE"""),"Centertaner 500WP")</f>
        <v>Centertaner 500WP</v>
      </c>
      <c r="F279" s="87" t="str">
        <f>IFERROR(__xludf.DUMMYFUNCTION("""COMPUTED_VALUE"""),"HH0272")</f>
        <v>HH0272</v>
      </c>
      <c r="G279" s="87" t="str">
        <f>IFERROR(__xludf.DUMMYFUNCTION("""COMPUTED_VALUE"""),"IDA Global - I - 690 - Centertaner 500 WP (túi nhôm) - 12 gr - 400")</f>
        <v>IDA Global - I - 690 - Centertaner 500 WP (túi nhôm) - 12 gr - 400</v>
      </c>
    </row>
    <row r="280">
      <c r="A280" s="86">
        <f>IFERROR(__xludf.DUMMYFUNCTION("""COMPUTED_VALUE"""),278.0)</f>
        <v>278</v>
      </c>
      <c r="B280" s="87" t="str">
        <f>IFERROR(__xludf.DUMMYFUNCTION("""COMPUTED_VALUE"""),"Thùng")</f>
        <v>Thùng</v>
      </c>
      <c r="C280" s="87" t="str">
        <f>IFERROR(__xludf.DUMMYFUNCTION("""COMPUTED_VALUE"""),"THC0273")</f>
        <v>THC0273</v>
      </c>
      <c r="D280" s="87" t="str">
        <f>IFERROR(__xludf.DUMMYFUNCTION("""COMPUTED_VALUE"""),"Thùng Chung gói 500gr x 50 gói/thùng (55x48x26cm) - Trắng viền đen")</f>
        <v>Thùng Chung gói 500gr x 50 gói/thùng (55x48x26cm) - Trắng viền đen</v>
      </c>
      <c r="E280" s="87" t="str">
        <f>IFERROR(__xludf.DUMMYFUNCTION("""COMPUTED_VALUE"""),"Centertaner 500WP")</f>
        <v>Centertaner 500WP</v>
      </c>
      <c r="F280" s="87" t="str">
        <f>IFERROR(__xludf.DUMMYFUNCTION("""COMPUTED_VALUE"""),"HH0273")</f>
        <v>HH0273</v>
      </c>
      <c r="G280" s="87" t="str">
        <f>IFERROR(__xludf.DUMMYFUNCTION("""COMPUTED_VALUE"""),"IDA Global - I - 690 - Centertaner 500 WP (túi nhôm) - 12 gr - 400")</f>
        <v>IDA Global - I - 690 - Centertaner 500 WP (túi nhôm) - 12 gr - 400</v>
      </c>
    </row>
    <row r="281">
      <c r="A281" s="86">
        <f>IFERROR(__xludf.DUMMYFUNCTION("""COMPUTED_VALUE"""),279.0)</f>
        <v>279</v>
      </c>
      <c r="B281" s="87" t="str">
        <f>IFERROR(__xludf.DUMMYFUNCTION("""COMPUTED_VALUE"""),"Thùng")</f>
        <v>Thùng</v>
      </c>
      <c r="C281" s="87" t="str">
        <f>IFERROR(__xludf.DUMMYFUNCTION("""COMPUTED_VALUE"""),"THC0274")</f>
        <v>THC0274</v>
      </c>
      <c r="D281" s="87" t="str">
        <f>IFERROR(__xludf.DUMMYFUNCTION("""COMPUTED_VALUE"""),"Thùng chung Chai HDPE 500ml x 40 chai  (64.5x40.5x19cm) - Nâu trơn")</f>
        <v>Thùng chung Chai HDPE 500ml x 40 chai  (64.5x40.5x19cm) - Nâu trơn</v>
      </c>
      <c r="E281" s="87" t="str">
        <f>IFERROR(__xludf.DUMMYFUNCTION("""COMPUTED_VALUE"""),"Centertaner 500WP")</f>
        <v>Centertaner 500WP</v>
      </c>
      <c r="F281" s="87" t="str">
        <f>IFERROR(__xludf.DUMMYFUNCTION("""COMPUTED_VALUE"""),"HH0274")</f>
        <v>HH0274</v>
      </c>
      <c r="G281" s="87" t="str">
        <f>IFERROR(__xludf.DUMMYFUNCTION("""COMPUTED_VALUE"""),"IDA Global - I - 690 - Centertaner 500 WP (túi nhôm) - 12 gr - 400")</f>
        <v>IDA Global - I - 690 - Centertaner 500 WP (túi nhôm) - 12 gr - 400</v>
      </c>
    </row>
    <row r="282">
      <c r="A282" s="86">
        <f>IFERROR(__xludf.DUMMYFUNCTION("""COMPUTED_VALUE"""),280.0)</f>
        <v>280</v>
      </c>
      <c r="B282" s="87" t="str">
        <f>IFERROR(__xludf.DUMMYFUNCTION("""COMPUTED_VALUE"""),"Thùng")</f>
        <v>Thùng</v>
      </c>
      <c r="C282" s="87" t="str">
        <f>IFERROR(__xludf.DUMMYFUNCTION("""COMPUTED_VALUE"""),"THC0275")</f>
        <v>THC0275</v>
      </c>
      <c r="D282" s="87" t="str">
        <f>IFERROR(__xludf.DUMMYFUNCTION("""COMPUTED_VALUE"""),"Thùng chung Chai PET 450ml x 40 chai (58x36.5x21.5cm) - Trắng viền đen")</f>
        <v>Thùng chung Chai PET 450ml x 40 chai (58x36.5x21.5cm) - Trắng viền đen</v>
      </c>
      <c r="E282" s="87" t="str">
        <f>IFERROR(__xludf.DUMMYFUNCTION("""COMPUTED_VALUE"""),"Prima 04")</f>
        <v>Prima 04</v>
      </c>
      <c r="F282" s="87" t="str">
        <f>IFERROR(__xludf.DUMMYFUNCTION("""COMPUTED_VALUE"""),"HH0275")</f>
        <v>HH0275</v>
      </c>
      <c r="G282" s="87" t="str">
        <f>IFERROR(__xludf.DUMMYFUNCTION("""COMPUTED_VALUE"""),"GC - II - 691 - Nông Lâm Hoà Phát - Humiix Us - 25kg - 1 ([btp],b,l)")</f>
        <v>GC - II - 691 - Nông Lâm Hoà Phát - Humiix Us - 25kg - 1 ([btp],b,l)</v>
      </c>
    </row>
    <row r="283">
      <c r="A283" s="86">
        <f>IFERROR(__xludf.DUMMYFUNCTION("""COMPUTED_VALUE"""),281.0)</f>
        <v>281</v>
      </c>
      <c r="B283" s="87" t="str">
        <f>IFERROR(__xludf.DUMMYFUNCTION("""COMPUTED_VALUE"""),"Thùng")</f>
        <v>Thùng</v>
      </c>
      <c r="C283" s="87" t="str">
        <f>IFERROR(__xludf.DUMMYFUNCTION("""COMPUTED_VALUE"""),"THI0276")</f>
        <v>THI0276</v>
      </c>
      <c r="D283" s="87" t="str">
        <f>IFERROR(__xludf.DUMMYFUNCTION("""COMPUTED_VALUE"""),"Thùng IDA chai FLOWER TOP 450ml x 40 chai (49x31x23cm) - Trắng xanh lá")</f>
        <v>Thùng IDA chai FLOWER TOP 450ml x 40 chai (49x31x23cm) - Trắng xanh lá</v>
      </c>
      <c r="E283" s="87" t="str">
        <f>IFERROR(__xludf.DUMMYFUNCTION("""COMPUTED_VALUE"""),"Vi lượng BM-KABO")</f>
        <v>Vi lượng BM-KABO</v>
      </c>
      <c r="F283" s="87" t="str">
        <f>IFERROR(__xludf.DUMMYFUNCTION("""COMPUTED_VALUE"""),"HH0276")</f>
        <v>HH0276</v>
      </c>
      <c r="G283" s="87" t="str">
        <f>IFERROR(__xludf.DUMMYFUNCTION("""COMPUTED_VALUE"""),"GC - II - 692 - A Thời GNH - Siêu Lớn Trái - 500ml (chai HD)- 40")</f>
        <v>GC - II - 692 - A Thời GNH - Siêu Lớn Trái - 500ml (chai HD)- 40</v>
      </c>
    </row>
    <row r="284">
      <c r="A284" s="86">
        <f>IFERROR(__xludf.DUMMYFUNCTION("""COMPUTED_VALUE"""),282.0)</f>
        <v>282</v>
      </c>
      <c r="B284" s="87" t="str">
        <f>IFERROR(__xludf.DUMMYFUNCTION("""COMPUTED_VALUE"""),"Thùng")</f>
        <v>Thùng</v>
      </c>
      <c r="C284" s="87" t="str">
        <f>IFERROR(__xludf.DUMMYFUNCTION("""COMPUTED_VALUE"""),"THI0277")</f>
        <v>THI0277</v>
      </c>
      <c r="D284" s="87" t="str">
        <f>IFERROR(__xludf.DUMMYFUNCTION("""COMPUTED_VALUE"""),"Thùng IDA chai PET tròn cổ 43 450ml x 40 chai (61.5x38.5x19cm) - Trắng xanh lá")</f>
        <v>Thùng IDA chai PET tròn cổ 43 450ml x 40 chai (61.5x38.5x19cm) - Trắng xanh lá</v>
      </c>
      <c r="E284" s="87" t="str">
        <f>IFERROR(__xludf.DUMMYFUNCTION("""COMPUTED_VALUE"""),"Vi lượng Quantity New")</f>
        <v>Vi lượng Quantity New</v>
      </c>
      <c r="F284" s="87" t="str">
        <f>IFERROR(__xludf.DUMMYFUNCTION("""COMPUTED_VALUE"""),"HH0277")</f>
        <v>HH0277</v>
      </c>
      <c r="G284" s="87" t="str">
        <f>IFERROR(__xludf.DUMMYFUNCTION("""COMPUTED_VALUE"""),"GC - II - 693 - A Thời GNH - Siêu bung đọt mai (chai HD) - 1L - 20")</f>
        <v>GC - II - 693 - A Thời GNH - Siêu bung đọt mai (chai HD) - 1L - 20</v>
      </c>
    </row>
    <row r="285">
      <c r="A285" s="86">
        <f>IFERROR(__xludf.DUMMYFUNCTION("""COMPUTED_VALUE"""),283.0)</f>
        <v>283</v>
      </c>
      <c r="B285" s="87" t="str">
        <f>IFERROR(__xludf.DUMMYFUNCTION("""COMPUTED_VALUE"""),"Thùng")</f>
        <v>Thùng</v>
      </c>
      <c r="C285" s="87" t="str">
        <f>IFERROR(__xludf.DUMMYFUNCTION("""COMPUTED_VALUE"""),"THI0278")</f>
        <v>THI0278</v>
      </c>
      <c r="D285" s="87" t="str">
        <f>IFERROR(__xludf.DUMMYFUNCTION("""COMPUTED_VALUE"""),"Thùng IDA gói 12gr x 400 gói (45x39x31cm) - Trắng xanh lá")</f>
        <v>Thùng IDA gói 12gr x 400 gói (45x39x31cm) - Trắng xanh lá</v>
      </c>
      <c r="E285" s="87" t="str">
        <f>IFERROR(__xludf.DUMMYFUNCTION("""COMPUTED_VALUE"""),"Vi lượng Quantity New")</f>
        <v>Vi lượng Quantity New</v>
      </c>
      <c r="F285" s="87" t="str">
        <f>IFERROR(__xludf.DUMMYFUNCTION("""COMPUTED_VALUE"""),"HH0278")</f>
        <v>HH0278</v>
      </c>
      <c r="G285" s="87" t="str">
        <f>IFERROR(__xludf.DUMMYFUNCTION("""COMPUTED_VALUE"""),"GC - II - 693 - A Thời GNH - Siêu bung đọt mai (chai HD) - 1L - 20")</f>
        <v>GC - II - 693 - A Thời GNH - Siêu bung đọt mai (chai HD) - 1L - 20</v>
      </c>
    </row>
    <row r="286">
      <c r="A286" s="86">
        <f>IFERROR(__xludf.DUMMYFUNCTION("""COMPUTED_VALUE"""),284.0)</f>
        <v>284</v>
      </c>
      <c r="B286" s="87" t="str">
        <f>IFERROR(__xludf.DUMMYFUNCTION("""COMPUTED_VALUE"""),"Thùng")</f>
        <v>Thùng</v>
      </c>
      <c r="C286" s="87" t="str">
        <f>IFERROR(__xludf.DUMMYFUNCTION("""COMPUTED_VALUE"""),"THC0279")</f>
        <v>THC0279</v>
      </c>
      <c r="D286" s="87" t="str">
        <f>IFERROR(__xludf.DUMMYFUNCTION("""COMPUTED_VALUE"""),"Thùng Sen Hồng 1kg x 20 gói (50x35x28.5cm) - Trắng viền xanh lá")</f>
        <v>Thùng Sen Hồng 1kg x 20 gói (50x35x28.5cm) - Trắng viền xanh lá</v>
      </c>
      <c r="E286" s="87" t="str">
        <f>IFERROR(__xludf.DUMMYFUNCTION("""COMPUTED_VALUE"""),"Tikabamec 3.6EC")</f>
        <v>Tikabamec 3.6EC</v>
      </c>
      <c r="F286" s="87" t="str">
        <f>IFERROR(__xludf.DUMMYFUNCTION("""COMPUTED_VALUE"""),"HH0279")</f>
        <v>HH0279</v>
      </c>
      <c r="G286" s="87" t="str">
        <f>IFERROR(__xludf.DUMMYFUNCTION("""COMPUTED_VALUE"""),"GC - II - 696 - AGC - Gaba (mới) (Pet tròn)(nước đục) - 450ml - 40")</f>
        <v>GC - II - 696 - AGC - Gaba (mới) (Pet tròn)(nước đục) - 450ml - 40</v>
      </c>
    </row>
    <row r="287">
      <c r="A287" s="86">
        <f>IFERROR(__xludf.DUMMYFUNCTION("""COMPUTED_VALUE"""),285.0)</f>
        <v>285</v>
      </c>
      <c r="B287" s="87" t="str">
        <f>IFERROR(__xludf.DUMMYFUNCTION("""COMPUTED_VALUE"""),"Thùng")</f>
        <v>Thùng</v>
      </c>
      <c r="C287" s="87" t="str">
        <f>IFERROR(__xludf.DUMMYFUNCTION("""COMPUTED_VALUE"""),"THI0280")</f>
        <v>THI0280</v>
      </c>
      <c r="D287" s="87" t="str">
        <f>IFERROR(__xludf.DUMMYFUNCTION("""COMPUTED_VALUE"""),"Thùng IDA chai HDPE/PAPE PICOSUPER 280SC 250ml, 240ml, 200ml x 40 chai (49.5x30.5x15cm) - Trắng xanh lam")</f>
        <v>Thùng IDA chai HDPE/PAPE PICOSUPER 280SC 250ml, 240ml, 200ml x 40 chai (49.5x30.5x15cm) - Trắng xanh lam</v>
      </c>
      <c r="E287" s="87" t="str">
        <f>IFERROR(__xludf.DUMMYFUNCTION("""COMPUTED_VALUE"""),"TVZEB 800WP")</f>
        <v>TVZEB 800WP</v>
      </c>
      <c r="F287" s="87" t="str">
        <f>IFERROR(__xludf.DUMMYFUNCTION("""COMPUTED_VALUE"""),"HH0280")</f>
        <v>HH0280</v>
      </c>
      <c r="G287" s="87" t="str">
        <f>IFERROR(__xludf.DUMMYFUNCTION("""COMPUTED_VALUE"""),"GC - II - 697 - Agriplant - Mancozeb Xanh - 1kg - 20")</f>
        <v>GC - II - 697 - Agriplant - Mancozeb Xanh - 1kg - 20</v>
      </c>
    </row>
    <row r="288">
      <c r="A288" s="86">
        <f>IFERROR(__xludf.DUMMYFUNCTION("""COMPUTED_VALUE"""),286.0)</f>
        <v>286</v>
      </c>
      <c r="B288" s="87" t="str">
        <f>IFERROR(__xludf.DUMMYFUNCTION("""COMPUTED_VALUE"""),"Thùng")</f>
        <v>Thùng</v>
      </c>
      <c r="C288" s="87" t="str">
        <f>IFERROR(__xludf.DUMMYFUNCTION("""COMPUTED_VALUE"""),"THI0281")</f>
        <v>THI0281</v>
      </c>
      <c r="D288" s="87" t="str">
        <f>IFERROR(__xludf.DUMMYFUNCTION("""COMPUTED_VALUE"""),"Thùng IDA chai HDPE 100ml x 100 chai (58x30.5x25cm) - Trắng viền xanh lá")</f>
        <v>Thùng IDA chai HDPE 100ml x 100 chai (58x30.5x25cm) - Trắng viền xanh lá</v>
      </c>
      <c r="E288" s="87" t="str">
        <f>IFERROR(__xludf.DUMMYFUNCTION("""COMPUTED_VALUE"""),"TVZEB 800WP")</f>
        <v>TVZEB 800WP</v>
      </c>
      <c r="F288" s="87" t="str">
        <f>IFERROR(__xludf.DUMMYFUNCTION("""COMPUTED_VALUE"""),"HH0281")</f>
        <v>HH0281</v>
      </c>
      <c r="G288" s="87" t="str">
        <f>IFERROR(__xludf.DUMMYFUNCTION("""COMPUTED_VALUE"""),"GC - II - 697 - Agriplant - Mancozeb Xanh - 1kg - 20")</f>
        <v>GC - II - 697 - Agriplant - Mancozeb Xanh - 1kg - 20</v>
      </c>
    </row>
    <row r="289">
      <c r="A289" s="86">
        <f>IFERROR(__xludf.DUMMYFUNCTION("""COMPUTED_VALUE"""),287.0)</f>
        <v>287</v>
      </c>
      <c r="B289" s="87" t="str">
        <f>IFERROR(__xludf.DUMMYFUNCTION("""COMPUTED_VALUE"""),"Thùng")</f>
        <v>Thùng</v>
      </c>
      <c r="C289" s="87" t="str">
        <f>IFERROR(__xludf.DUMMYFUNCTION("""COMPUTED_VALUE"""),"THC0282")</f>
        <v>THC0282</v>
      </c>
      <c r="D289" s="87" t="str">
        <f>IFERROR(__xludf.DUMMYFUNCTION("""COMPUTED_VALUE"""),"Thùng chung chai 50ml x 100 chai (41x21x17.5cm) - Trắng viền đen")</f>
        <v>Thùng chung chai 50ml x 100 chai (41x21x17.5cm) - Trắng viền đen</v>
      </c>
      <c r="E289" s="87" t="str">
        <f>IFERROR(__xludf.DUMMYFUNCTION("""COMPUTED_VALUE"""),"Vi lượng Quantity New")</f>
        <v>Vi lượng Quantity New</v>
      </c>
      <c r="F289" s="87" t="str">
        <f>IFERROR(__xludf.DUMMYFUNCTION("""COMPUTED_VALUE"""),"HH0282")</f>
        <v>HH0282</v>
      </c>
      <c r="G289" s="87" t="str">
        <f>IFERROR(__xludf.DUMMYFUNCTION("""COMPUTED_VALUE"""),"GC - II - 698 - Nông Lâm Hoà Phát - Nofa Super (Chai HD) - 500ml - 40 ([btp], c)")</f>
        <v>GC - II - 698 - Nông Lâm Hoà Phát - Nofa Super (Chai HD) - 500ml - 40 ([btp], c)</v>
      </c>
    </row>
    <row r="290">
      <c r="A290" s="86">
        <f>IFERROR(__xludf.DUMMYFUNCTION("""COMPUTED_VALUE"""),288.0)</f>
        <v>288</v>
      </c>
      <c r="B290" s="87" t="str">
        <f>IFERROR(__xludf.DUMMYFUNCTION("""COMPUTED_VALUE"""),"Thùng")</f>
        <v>Thùng</v>
      </c>
      <c r="C290" s="87" t="str">
        <f>IFERROR(__xludf.DUMMYFUNCTION("""COMPUTED_VALUE"""),"THC0283")</f>
        <v>THC0283</v>
      </c>
      <c r="D290" s="87" t="str">
        <f>IFERROR(__xludf.DUMMYFUNCTION("""COMPUTED_VALUE"""),"Thùng Sen Hồng 100gx100 gói (46x39x21cm) - Trắng viền xanh lá")</f>
        <v>Thùng Sen Hồng 100gx100 gói (46x39x21cm) - Trắng viền xanh lá</v>
      </c>
      <c r="E290" s="87" t="str">
        <f>IFERROR(__xludf.DUMMYFUNCTION("""COMPUTED_VALUE"""),"Vi lượng Quantity New")</f>
        <v>Vi lượng Quantity New</v>
      </c>
      <c r="F290" s="87" t="str">
        <f>IFERROR(__xludf.DUMMYFUNCTION("""COMPUTED_VALUE"""),"HH0283")</f>
        <v>HH0283</v>
      </c>
      <c r="G290" s="87" t="str">
        <f>IFERROR(__xludf.DUMMYFUNCTION("""COMPUTED_VALUE"""),"GC - II - 699 - Nông Lâm Hoà Phát - Nofa Super (chai HD) - 1L - 20 ([btp] , c)")</f>
        <v>GC - II - 699 - Nông Lâm Hoà Phát - Nofa Super (chai HD) - 1L - 20 ([btp] , c)</v>
      </c>
    </row>
    <row r="291">
      <c r="A291" s="86">
        <f>IFERROR(__xludf.DUMMYFUNCTION("""COMPUTED_VALUE"""),289.0)</f>
        <v>289</v>
      </c>
      <c r="B291" s="87" t="str">
        <f>IFERROR(__xludf.DUMMYFUNCTION("""COMPUTED_VALUE"""),"Thùng")</f>
        <v>Thùng</v>
      </c>
      <c r="C291" s="87" t="str">
        <f>IFERROR(__xludf.DUMMYFUNCTION("""COMPUTED_VALUE"""),"THC0284")</f>
        <v>THC0284</v>
      </c>
      <c r="D291" s="87" t="str">
        <f>IFERROR(__xludf.DUMMYFUNCTION("""COMPUTED_VALUE"""),"Thùng Shino - BIM SHINO chai HD tròn 450ml x 30 chai  (45.5x38x21cm) - Trắng xanh dương")</f>
        <v>Thùng Shino - BIM SHINO chai HD tròn 450ml x 30 chai  (45.5x38x21cm) - Trắng xanh dương</v>
      </c>
      <c r="E291" s="87" t="str">
        <f>IFERROR(__xludf.DUMMYFUNCTION("""COMPUTED_VALUE"""),"NPK Bổ sung Vi lượng Basel NPK 6-6-8 IDA 33")</f>
        <v>NPK Bổ sung Vi lượng Basel NPK 6-6-8 IDA 33</v>
      </c>
      <c r="F291" s="87" t="str">
        <f>IFERROR(__xludf.DUMMYFUNCTION("""COMPUTED_VALUE"""),"HH0284")</f>
        <v>HH0284</v>
      </c>
      <c r="G291" s="87" t="str">
        <f>IFERROR(__xludf.DUMMYFUNCTION("""COMPUTED_VALUE"""),"IDA Global - I - 700 - Toto Boost - 30ml - 400")</f>
        <v>IDA Global - I - 700 - Toto Boost - 30ml - 400</v>
      </c>
    </row>
    <row r="292">
      <c r="A292" s="86">
        <f>IFERROR(__xludf.DUMMYFUNCTION("""COMPUTED_VALUE"""),290.0)</f>
        <v>290</v>
      </c>
      <c r="B292" s="87" t="str">
        <f>IFERROR(__xludf.DUMMYFUNCTION("""COMPUTED_VALUE"""),"Thùng")</f>
        <v>Thùng</v>
      </c>
      <c r="C292" s="87" t="str">
        <f>IFERROR(__xludf.DUMMYFUNCTION("""COMPUTED_VALUE"""),"THC0285")</f>
        <v>THC0285</v>
      </c>
      <c r="D292" s="87" t="str">
        <f>IFERROR(__xludf.DUMMYFUNCTION("""COMPUTED_VALUE"""),"Thùng Quang Đăng chai HDPE vuông 500ml x 40 chai (46x35.5x19cm) - Trắng viền xanh dương")</f>
        <v>Thùng Quang Đăng chai HDPE vuông 500ml x 40 chai (46x35.5x19cm) - Trắng viền xanh dương</v>
      </c>
      <c r="E292" s="87" t="str">
        <f>IFERROR(__xludf.DUMMYFUNCTION("""COMPUTED_VALUE"""),"NPK Bổ sung Vi lượng Basel NPK 6-6-8 IDA 33")</f>
        <v>NPK Bổ sung Vi lượng Basel NPK 6-6-8 IDA 33</v>
      </c>
      <c r="F292" s="87" t="str">
        <f>IFERROR(__xludf.DUMMYFUNCTION("""COMPUTED_VALUE"""),"HH0285")</f>
        <v>HH0285</v>
      </c>
      <c r="G292" s="87" t="str">
        <f>IFERROR(__xludf.DUMMYFUNCTION("""COMPUTED_VALUE"""),"IDA Global - I - 700 - Toto Boost - 30ml - 400")</f>
        <v>IDA Global - I - 700 - Toto Boost - 30ml - 400</v>
      </c>
    </row>
    <row r="293">
      <c r="A293" s="86">
        <f>IFERROR(__xludf.DUMMYFUNCTION("""COMPUTED_VALUE"""),291.0)</f>
        <v>291</v>
      </c>
      <c r="B293" s="87" t="str">
        <f>IFERROR(__xludf.DUMMYFUNCTION("""COMPUTED_VALUE"""),"Thùng")</f>
        <v>Thùng</v>
      </c>
      <c r="C293" s="87" t="str">
        <f>IFERROR(__xludf.DUMMYFUNCTION("""COMPUTED_VALUE"""),"THC0286")</f>
        <v>THC0286</v>
      </c>
      <c r="D293" s="87" t="str">
        <f>IFERROR(__xludf.DUMMYFUNCTION("""COMPUTED_VALUE"""),"Thùng QUANG ĐĂNG chai HD 1 lít x 20 chai (45.5x36x25.5cm) - Trắng viền xanh dương")</f>
        <v>Thùng QUANG ĐĂNG chai HD 1 lít x 20 chai (45.5x36x25.5cm) - Trắng viền xanh dương</v>
      </c>
      <c r="E293" s="87" t="str">
        <f>IFERROR(__xludf.DUMMYFUNCTION("""COMPUTED_VALUE"""),"NPK Bổ sung Vi lượng Basel NPK 6-6-8 IDA 33")</f>
        <v>NPK Bổ sung Vi lượng Basel NPK 6-6-8 IDA 33</v>
      </c>
      <c r="F293" s="87" t="str">
        <f>IFERROR(__xludf.DUMMYFUNCTION("""COMPUTED_VALUE"""),"HH0286")</f>
        <v>HH0286</v>
      </c>
      <c r="G293" s="87" t="str">
        <f>IFERROR(__xludf.DUMMYFUNCTION("""COMPUTED_VALUE"""),"IDA Global - I - 700 - Toto Boost - 30ml - 400")</f>
        <v>IDA Global - I - 700 - Toto Boost - 30ml - 400</v>
      </c>
    </row>
    <row r="294">
      <c r="A294" s="86">
        <f>IFERROR(__xludf.DUMMYFUNCTION("""COMPUTED_VALUE"""),292.0)</f>
        <v>292</v>
      </c>
      <c r="B294" s="87" t="str">
        <f>IFERROR(__xludf.DUMMYFUNCTION("""COMPUTED_VALUE"""),"Thùng")</f>
        <v>Thùng</v>
      </c>
      <c r="C294" s="87" t="str">
        <f>IFERROR(__xludf.DUMMYFUNCTION("""COMPUTED_VALUE"""),"THC0287")</f>
        <v>THC0287</v>
      </c>
      <c r="D294" s="87" t="str">
        <f>IFERROR(__xludf.DUMMYFUNCTION("""COMPUTED_VALUE"""),"Thùng NHP Chai HDPE 500ml x 40 chai (60x38x20cm) - Trắng viền xanh dương đỏ")</f>
        <v>Thùng NHP Chai HDPE 500ml x 40 chai (60x38x20cm) - Trắng viền xanh dương đỏ</v>
      </c>
      <c r="E294" s="87" t="str">
        <f>IFERROR(__xludf.DUMMYFUNCTION("""COMPUTED_VALUE"""),"RAYXANH 200WP")</f>
        <v>RAYXANH 200WP</v>
      </c>
      <c r="F294" s="87" t="str">
        <f>IFERROR(__xludf.DUMMYFUNCTION("""COMPUTED_VALUE"""),"HH0287")</f>
        <v>HH0287</v>
      </c>
      <c r="G294" s="87" t="str">
        <f>IFERROR(__xludf.DUMMYFUNCTION("""COMPUTED_VALUE"""),"GC - II - 701 - GNH - Ray xanh 200WP - 80gr - 150")</f>
        <v>GC - II - 701 - GNH - Ray xanh 200WP - 80gr - 150</v>
      </c>
    </row>
    <row r="295">
      <c r="A295" s="86">
        <f>IFERROR(__xludf.DUMMYFUNCTION("""COMPUTED_VALUE"""),293.0)</f>
        <v>293</v>
      </c>
      <c r="B295" s="87" t="str">
        <f>IFERROR(__xludf.DUMMYFUNCTION("""COMPUTED_VALUE"""),"Thùng")</f>
        <v>Thùng</v>
      </c>
      <c r="C295" s="87" t="str">
        <f>IFERROR(__xludf.DUMMYFUNCTION("""COMPUTED_VALUE"""),"THC0288")</f>
        <v>THC0288</v>
      </c>
      <c r="D295" s="87" t="str">
        <f>IFERROR(__xludf.DUMMYFUNCTION("""COMPUTED_VALUE"""),"Thùng Shino 25g x 200 gói, chai 450ml x 30 chai (45.5x38x19.5cm) - Trắng đỏ")</f>
        <v>Thùng Shino 25g x 200 gói, chai 450ml x 30 chai (45.5x38x19.5cm) - Trắng đỏ</v>
      </c>
      <c r="E295" s="87" t="str">
        <f>IFERROR(__xludf.DUMMYFUNCTION("""COMPUTED_VALUE"""),"Remy 19EC")</f>
        <v>Remy 19EC</v>
      </c>
      <c r="F295" s="87" t="str">
        <f>IFERROR(__xludf.DUMMYFUNCTION("""COMPUTED_VALUE"""),"HH0288")</f>
        <v>HH0288</v>
      </c>
      <c r="G295" s="87" t="str">
        <f>IFERROR(__xludf.DUMMYFUNCTION("""COMPUTED_VALUE"""),"GC - II - 702 - Giang Tây - Remy 19EC (chai tròn) - 450ml - 40")</f>
        <v>GC - II - 702 - Giang Tây - Remy 19EC (chai tròn) - 450ml - 40</v>
      </c>
    </row>
    <row r="296">
      <c r="A296" s="86">
        <f>IFERROR(__xludf.DUMMYFUNCTION("""COMPUTED_VALUE"""),294.0)</f>
        <v>294</v>
      </c>
      <c r="B296" s="87" t="str">
        <f>IFERROR(__xludf.DUMMYFUNCTION("""COMPUTED_VALUE"""),"Thùng")</f>
        <v>Thùng</v>
      </c>
      <c r="C296" s="87" t="str">
        <f>IFERROR(__xludf.DUMMYFUNCTION("""COMPUTED_VALUE"""),"THC0289")</f>
        <v>THC0289</v>
      </c>
      <c r="D296" s="87" t="str">
        <f>IFERROR(__xludf.DUMMYFUNCTION("""COMPUTED_VALUE"""),"Thùng Bamboo chai 1 lít x 6 chai (27x18x26.5cm) - Trắng xanh")</f>
        <v>Thùng Bamboo chai 1 lít x 6 chai (27x18x26.5cm) - Trắng xanh</v>
      </c>
      <c r="E296" s="87" t="str">
        <f>IFERROR(__xludf.DUMMYFUNCTION("""COMPUTED_VALUE"""),"TVZEB 800WP")</f>
        <v>TVZEB 800WP</v>
      </c>
      <c r="F296" s="87" t="str">
        <f>IFERROR(__xludf.DUMMYFUNCTION("""COMPUTED_VALUE"""),"HH0289")</f>
        <v>HH0289</v>
      </c>
      <c r="G296" s="87" t="str">
        <f>IFERROR(__xludf.DUMMYFUNCTION("""COMPUTED_VALUE"""),"LOT IDA Global - I - 703 - ĐL Bảy Hiền - Mancozeb xanh - 1kg - 20")</f>
        <v>LOT IDA Global - I - 703 - ĐL Bảy Hiền - Mancozeb xanh - 1kg - 20</v>
      </c>
    </row>
    <row r="297">
      <c r="A297" s="86">
        <f>IFERROR(__xludf.DUMMYFUNCTION("""COMPUTED_VALUE"""),295.0)</f>
        <v>295</v>
      </c>
      <c r="B297" s="87" t="str">
        <f>IFERROR(__xludf.DUMMYFUNCTION("""COMPUTED_VALUE"""),"Thùng")</f>
        <v>Thùng</v>
      </c>
      <c r="C297" s="87" t="str">
        <f>IFERROR(__xludf.DUMMYFUNCTION("""COMPUTED_VALUE"""),"THC0290")</f>
        <v>THC0290</v>
      </c>
      <c r="D297" s="87" t="str">
        <f>IFERROR(__xludf.DUMMYFUNCTION("""COMPUTED_VALUE"""),"Thùng ASAHI NHẬT BẢN chai 500ml x 40 chai (59.5x37.5x18.5cm) - Trắng xanh đậm")</f>
        <v>Thùng ASAHI NHẬT BẢN chai 500ml x 40 chai (59.5x37.5x18.5cm) - Trắng xanh đậm</v>
      </c>
      <c r="E297" s="87" t="str">
        <f>IFERROR(__xludf.DUMMYFUNCTION("""COMPUTED_VALUE"""),"Chitin 3.6EC")</f>
        <v>Chitin 3.6EC</v>
      </c>
      <c r="F297" s="87" t="str">
        <f>IFERROR(__xludf.DUMMYFUNCTION("""COMPUTED_VALUE"""),"HH0290")</f>
        <v>HH0290</v>
      </c>
      <c r="G297" s="87" t="str">
        <f>IFERROR(__xludf.DUMMYFUNCTION("""COMPUTED_VALUE"""),"GC - II - 704 - A Mạnh - Vua nhện (chai nhôm trắng)- 240ml - 60")</f>
        <v>GC - II - 704 - A Mạnh - Vua nhện (chai nhôm trắng)- 240ml - 60</v>
      </c>
    </row>
    <row r="298">
      <c r="A298" s="86">
        <f>IFERROR(__xludf.DUMMYFUNCTION("""COMPUTED_VALUE"""),296.0)</f>
        <v>296</v>
      </c>
      <c r="B298" s="87" t="str">
        <f>IFERROR(__xludf.DUMMYFUNCTION("""COMPUTED_VALUE"""),"Thùng")</f>
        <v>Thùng</v>
      </c>
      <c r="C298" s="87" t="str">
        <f>IFERROR(__xludf.DUMMYFUNCTION("""COMPUTED_VALUE"""),"THC0291")</f>
        <v>THC0291</v>
      </c>
      <c r="D298" s="87" t="str">
        <f>IFERROR(__xludf.DUMMYFUNCTION("""COMPUTED_VALUE"""),"Thùng Newtex chai 100ml x 60 chai (36.5x30.5x22.5cm) - Trắng viền cam")</f>
        <v>Thùng Newtex chai 100ml x 60 chai (36.5x30.5x22.5cm) - Trắng viền cam</v>
      </c>
      <c r="E298" s="87" t="str">
        <f>IFERROR(__xludf.DUMMYFUNCTION("""COMPUTED_VALUE"""),"Chitin 3.6EC")</f>
        <v>Chitin 3.6EC</v>
      </c>
      <c r="F298" s="87" t="str">
        <f>IFERROR(__xludf.DUMMYFUNCTION("""COMPUTED_VALUE"""),"HH0291")</f>
        <v>HH0291</v>
      </c>
      <c r="G298" s="87" t="str">
        <f>IFERROR(__xludf.DUMMYFUNCTION("""COMPUTED_VALUE"""),"GC - II - 704 - A Mạnh - Vua nhện (chai nhôm trắng)- 240ml - 60")</f>
        <v>GC - II - 704 - A Mạnh - Vua nhện (chai nhôm trắng)- 240ml - 60</v>
      </c>
    </row>
    <row r="299">
      <c r="A299" s="86">
        <f>IFERROR(__xludf.DUMMYFUNCTION("""COMPUTED_VALUE"""),297.0)</f>
        <v>297</v>
      </c>
      <c r="B299" s="87" t="str">
        <f>IFERROR(__xludf.DUMMYFUNCTION("""COMPUTED_VALUE"""),"Thùng")</f>
        <v>Thùng</v>
      </c>
      <c r="C299" s="87" t="str">
        <f>IFERROR(__xludf.DUMMYFUNCTION("""COMPUTED_VALUE"""),"THC0292")</f>
        <v>THC0292</v>
      </c>
      <c r="D299" s="87" t="str">
        <f>IFERROR(__xludf.DUMMYFUNCTION("""COMPUTED_VALUE"""),"Thùng NHP 100 (300) gói - (47.5x41.5x28cm) - Trắng viền xanh dương đỏ")</f>
        <v>Thùng NHP 100 (300) gói - (47.5x41.5x28cm) - Trắng viền xanh dương đỏ</v>
      </c>
      <c r="E299" s="87" t="str">
        <f>IFERROR(__xludf.DUMMYFUNCTION("""COMPUTED_VALUE"""),"Chitin 3.6EC")</f>
        <v>Chitin 3.6EC</v>
      </c>
      <c r="F299" s="87" t="str">
        <f>IFERROR(__xludf.DUMMYFUNCTION("""COMPUTED_VALUE"""),"HH0292")</f>
        <v>HH0292</v>
      </c>
      <c r="G299" s="87" t="str">
        <f>IFERROR(__xludf.DUMMYFUNCTION("""COMPUTED_VALUE"""),"IDA Global - I - 705 - ĐL Nguyễn Huy Phú -Nhện đỏ - Chai nhôm đỏ - 240ml - 60")</f>
        <v>IDA Global - I - 705 - ĐL Nguyễn Huy Phú -Nhện đỏ - Chai nhôm đỏ - 240ml - 60</v>
      </c>
    </row>
    <row r="300">
      <c r="A300" s="86">
        <f>IFERROR(__xludf.DUMMYFUNCTION("""COMPUTED_VALUE"""),298.0)</f>
        <v>298</v>
      </c>
      <c r="B300" s="87" t="str">
        <f>IFERROR(__xludf.DUMMYFUNCTION("""COMPUTED_VALUE"""),"Thùng")</f>
        <v>Thùng</v>
      </c>
      <c r="C300" s="87" t="str">
        <f>IFERROR(__xludf.DUMMYFUNCTION("""COMPUTED_VALUE"""),"THI0293")</f>
        <v>THI0293</v>
      </c>
      <c r="D300" s="87" t="str">
        <f>IFERROR(__xludf.DUMMYFUNCTION("""COMPUTED_VALUE"""),"Thùng IDA Chai Nhôm Tròn 240ml x 60 chai - 56x34x18.5cm - Trắng viền xanh lá")</f>
        <v>Thùng IDA Chai Nhôm Tròn 240ml x 60 chai - 56x34x18.5cm - Trắng viền xanh lá</v>
      </c>
      <c r="E300" s="87" t="str">
        <f>IFERROR(__xludf.DUMMYFUNCTION("""COMPUTED_VALUE"""),"CHIM ƯNG 3.8EC")</f>
        <v>CHIM ƯNG 3.8EC</v>
      </c>
      <c r="F300" s="87" t="str">
        <f>IFERROR(__xludf.DUMMYFUNCTION("""COMPUTED_VALUE"""),"HH0293")</f>
        <v>HH0293</v>
      </c>
      <c r="G300" s="87" t="str">
        <f>IFERROR(__xludf.DUMMYFUNCTION("""COMPUTED_VALUE"""),"IDA Global - I - 706 - X-Spider (chai Pape) (BTP Đỏ) - 240ml - 40 ([btp],t,c)")</f>
        <v>IDA Global - I - 706 - X-Spider (chai Pape) (BTP Đỏ) - 240ml - 40 ([btp],t,c)</v>
      </c>
    </row>
    <row r="301">
      <c r="A301" s="86">
        <f>IFERROR(__xludf.DUMMYFUNCTION("""COMPUTED_VALUE"""),299.0)</f>
        <v>299</v>
      </c>
      <c r="B301" s="87" t="str">
        <f>IFERROR(__xludf.DUMMYFUNCTION("""COMPUTED_VALUE"""),"Thùng")</f>
        <v>Thùng</v>
      </c>
      <c r="C301" s="87" t="str">
        <f>IFERROR(__xludf.DUMMYFUNCTION("""COMPUTED_VALUE"""),"THC0294")</f>
        <v>THC0294</v>
      </c>
      <c r="D301" s="87" t="str">
        <f>IFERROR(__xludf.DUMMYFUNCTION("""COMPUTED_VALUE"""),"Thùng Newtex chai PET 450ml x 40 chai (55.5x35x21.5cm) - Trắng viền cam")</f>
        <v>Thùng Newtex chai PET 450ml x 40 chai (55.5x35x21.5cm) - Trắng viền cam</v>
      </c>
      <c r="E301" s="87" t="str">
        <f>IFERROR(__xludf.DUMMYFUNCTION("""COMPUTED_VALUE"""),"CHIM ƯNG 3.8EC")</f>
        <v>CHIM ƯNG 3.8EC</v>
      </c>
      <c r="F301" s="87" t="str">
        <f>IFERROR(__xludf.DUMMYFUNCTION("""COMPUTED_VALUE"""),"HH0294")</f>
        <v>HH0294</v>
      </c>
      <c r="G301" s="87" t="str">
        <f>IFERROR(__xludf.DUMMYFUNCTION("""COMPUTED_VALUE"""),"IDA Global - I - 706 - X-Spider (chai Pape) (BTP Đỏ) - 240ml - 40 ([btp],t,c)")</f>
        <v>IDA Global - I - 706 - X-Spider (chai Pape) (BTP Đỏ) - 240ml - 40 ([btp],t,c)</v>
      </c>
    </row>
    <row r="302">
      <c r="A302" s="86">
        <f>IFERROR(__xludf.DUMMYFUNCTION("""COMPUTED_VALUE"""),300.0)</f>
        <v>300</v>
      </c>
      <c r="B302" s="87" t="str">
        <f>IFERROR(__xludf.DUMMYFUNCTION("""COMPUTED_VALUE"""),"Thùng")</f>
        <v>Thùng</v>
      </c>
      <c r="C302" s="87" t="str">
        <f>IFERROR(__xludf.DUMMYFUNCTION("""COMPUTED_VALUE"""),"THC0295")</f>
        <v>THC0295</v>
      </c>
      <c r="D302" s="87" t="str">
        <f>IFERROR(__xludf.DUMMYFUNCTION("""COMPUTED_VALUE"""),"Thùng Sen Hồng Chai 250ml x 40 chai (53.5x33.5x15.5cm) - Trắng viền xanh lá")</f>
        <v>Thùng Sen Hồng Chai 250ml x 40 chai (53.5x33.5x15.5cm) - Trắng viền xanh lá</v>
      </c>
      <c r="E302" s="87" t="str">
        <f>IFERROR(__xludf.DUMMYFUNCTION("""COMPUTED_VALUE"""),"CA MAP 350SC")</f>
        <v>CA MAP 350SC</v>
      </c>
      <c r="F302" s="87" t="str">
        <f>IFERROR(__xludf.DUMMYFUNCTION("""COMPUTED_VALUE"""),"HH0295")</f>
        <v>HH0295</v>
      </c>
      <c r="G302" s="87" t="str">
        <f>IFERROR(__xludf.DUMMYFUNCTION("""COMPUTED_VALUE"""),"IDA Global - I - 707 - Cá mập 350SC (chai HD) - 250ml - 40 ([btp],t,c)")</f>
        <v>IDA Global - I - 707 - Cá mập 350SC (chai HD) - 250ml - 40 ([btp],t,c)</v>
      </c>
    </row>
    <row r="303">
      <c r="A303" s="86">
        <f>IFERROR(__xludf.DUMMYFUNCTION("""COMPUTED_VALUE"""),301.0)</f>
        <v>301</v>
      </c>
      <c r="B303" s="87" t="str">
        <f>IFERROR(__xludf.DUMMYFUNCTION("""COMPUTED_VALUE"""),"Thùng")</f>
        <v>Thùng</v>
      </c>
      <c r="C303" s="87" t="str">
        <f>IFERROR(__xludf.DUMMYFUNCTION("""COMPUTED_VALUE"""),"THI0296")</f>
        <v>THI0296</v>
      </c>
      <c r="D303" s="87" t="str">
        <f>IFERROR(__xludf.DUMMYFUNCTION("""COMPUTED_VALUE"""),"Thùng IDA chai tròn 1 lít x 20 chai (20 gói/ thùng) - (45.5x35.5x27cm) - Trắng xanh lá")</f>
        <v>Thùng IDA chai tròn 1 lít x 20 chai (20 gói/ thùng) - (45.5x35.5x27cm) - Trắng xanh lá</v>
      </c>
      <c r="E303" s="87" t="str">
        <f>IFERROR(__xludf.DUMMYFUNCTION("""COMPUTED_VALUE"""),"NEW FUZE 200SC")</f>
        <v>NEW FUZE 200SC</v>
      </c>
      <c r="F303" s="87" t="str">
        <f>IFERROR(__xludf.DUMMYFUNCTION("""COMPUTED_VALUE"""),"HH0296")</f>
        <v>HH0296</v>
      </c>
      <c r="G303" s="87" t="str">
        <f>IFERROR(__xludf.DUMMYFUNCTION("""COMPUTED_VALUE"""),"IDA Global - I - 708 - Ếch vàng 200 (chai HD) - 200ml - 40 ([btp],t,c)")</f>
        <v>IDA Global - I - 708 - Ếch vàng 200 (chai HD) - 200ml - 40 ([btp],t,c)</v>
      </c>
    </row>
    <row r="304">
      <c r="A304" s="86">
        <f>IFERROR(__xludf.DUMMYFUNCTION("""COMPUTED_VALUE"""),302.0)</f>
        <v>302</v>
      </c>
      <c r="B304" s="87" t="str">
        <f>IFERROR(__xludf.DUMMYFUNCTION("""COMPUTED_VALUE"""),"Thùng")</f>
        <v>Thùng</v>
      </c>
      <c r="C304" s="87" t="str">
        <f>IFERROR(__xludf.DUMMYFUNCTION("""COMPUTED_VALUE"""),"THI0297")</f>
        <v>THI0297</v>
      </c>
      <c r="D304" s="87" t="str">
        <f>IFERROR(__xludf.DUMMYFUNCTION("""COMPUTED_VALUE"""),"Thùng IDA can 5 Lít x 4 can (40.5x32.5x25cm) - Trắng xanh lá")</f>
        <v>Thùng IDA can 5 Lít x 4 can (40.5x32.5x25cm) - Trắng xanh lá</v>
      </c>
      <c r="E304" s="87" t="str">
        <f>IFERROR(__xludf.DUMMYFUNCTION("""COMPUTED_VALUE"""),"Creek 51WG")</f>
        <v>Creek 51WG</v>
      </c>
      <c r="F304" s="87" t="str">
        <f>IFERROR(__xludf.DUMMYFUNCTION("""COMPUTED_VALUE"""),"HH0297")</f>
        <v>HH0297</v>
      </c>
      <c r="G304" s="87" t="str">
        <f>IFERROR(__xludf.DUMMYFUNCTION("""COMPUTED_VALUE"""),"IDA Global - I - 709 - Creek 51WG (túi nhôm) - 10gr - 200 ([btp],t,h)")</f>
        <v>IDA Global - I - 709 - Creek 51WG (túi nhôm) - 10gr - 200 ([btp],t,h)</v>
      </c>
    </row>
    <row r="305">
      <c r="A305" s="86">
        <f>IFERROR(__xludf.DUMMYFUNCTION("""COMPUTED_VALUE"""),303.0)</f>
        <v>303</v>
      </c>
      <c r="B305" s="87" t="str">
        <f>IFERROR(__xludf.DUMMYFUNCTION("""COMPUTED_VALUE"""),"Thùng")</f>
        <v>Thùng</v>
      </c>
      <c r="C305" s="87" t="str">
        <f>IFERROR(__xludf.DUMMYFUNCTION("""COMPUTED_VALUE"""),"THC0298")</f>
        <v>THC0298</v>
      </c>
      <c r="D305" s="87" t="str">
        <f>IFERROR(__xludf.DUMMYFUNCTION("""COMPUTED_VALUE"""),"Thùng NAUY can 5Lít x 10 can/ thùng (60x36.5x26cm) - Trắng, cán màng")</f>
        <v>Thùng NAUY can 5Lít x 10 can/ thùng (60x36.5x26cm) - Trắng, cán màng</v>
      </c>
      <c r="E305" s="87" t="str">
        <f>IFERROR(__xludf.DUMMYFUNCTION("""COMPUTED_VALUE"""),"PHOPPAWAY 80WG")</f>
        <v>PHOPPAWAY 80WG</v>
      </c>
      <c r="F305" s="87" t="str">
        <f>IFERROR(__xludf.DUMMYFUNCTION("""COMPUTED_VALUE"""),"HH0298")</f>
        <v>HH0298</v>
      </c>
      <c r="G305" s="87" t="str">
        <f>IFERROR(__xludf.DUMMYFUNCTION("""COMPUTED_VALUE"""),"IDA Global - I - 710 - Phoppaway 80 WG (túi nhôm) - 16gr - 200")</f>
        <v>IDA Global - I - 710 - Phoppaway 80 WG (túi nhôm) - 16gr - 200</v>
      </c>
    </row>
    <row r="306">
      <c r="A306" s="86">
        <f>IFERROR(__xludf.DUMMYFUNCTION("""COMPUTED_VALUE"""),304.0)</f>
        <v>304</v>
      </c>
      <c r="B306" s="87" t="str">
        <f>IFERROR(__xludf.DUMMYFUNCTION("""COMPUTED_VALUE"""),"Thùng")</f>
        <v>Thùng</v>
      </c>
      <c r="C306" s="87" t="str">
        <f>IFERROR(__xludf.DUMMYFUNCTION("""COMPUTED_VALUE"""),"THI0299")</f>
        <v>THI0299</v>
      </c>
      <c r="D306" s="87" t="str">
        <f>IFERROR(__xludf.DUMMYFUNCTION("""COMPUTED_VALUE"""),"Thùng IDA gói Centertaner lớn 50gr x 100 gói (48.5x36.5x16.5cm) - Trắng xanh lá")</f>
        <v>Thùng IDA gói Centertaner lớn 50gr x 100 gói (48.5x36.5x16.5cm) - Trắng xanh lá</v>
      </c>
      <c r="E306" s="87" t="str">
        <f>IFERROR(__xludf.DUMMYFUNCTION("""COMPUTED_VALUE"""),"PHOPPAWAY 80WG")</f>
        <v>PHOPPAWAY 80WG</v>
      </c>
      <c r="F306" s="87" t="str">
        <f>IFERROR(__xludf.DUMMYFUNCTION("""COMPUTED_VALUE"""),"HH0299")</f>
        <v>HH0299</v>
      </c>
      <c r="G306" s="87" t="str">
        <f>IFERROR(__xludf.DUMMYFUNCTION("""COMPUTED_VALUE"""),"IDA Global - I - 710 - Phoppaway 80 WG (túi nhôm) - 16gr - 200")</f>
        <v>IDA Global - I - 710 - Phoppaway 80 WG (túi nhôm) - 16gr - 200</v>
      </c>
    </row>
    <row r="307">
      <c r="A307" s="86">
        <f>IFERROR(__xludf.DUMMYFUNCTION("""COMPUTED_VALUE"""),305.0)</f>
        <v>305</v>
      </c>
      <c r="B307" s="87" t="str">
        <f>IFERROR(__xludf.DUMMYFUNCTION("""COMPUTED_VALUE"""),"Thùng")</f>
        <v>Thùng</v>
      </c>
      <c r="C307" s="87" t="str">
        <f>IFERROR(__xludf.DUMMYFUNCTION("""COMPUTED_VALUE"""),"THC0300")</f>
        <v>THC0300</v>
      </c>
      <c r="D307" s="87" t="str">
        <f>IFERROR(__xludf.DUMMYFUNCTION("""COMPUTED_VALUE"""),"Thùng DONA VINA Chai HD Vuông 500ml x 40 chai (47x38.5x19cm) - Trắng xanh lá đỏ")</f>
        <v>Thùng DONA VINA Chai HD Vuông 500ml x 40 chai (47x38.5x19cm) - Trắng xanh lá đỏ</v>
      </c>
      <c r="E307" s="87" t="str">
        <f>IFERROR(__xludf.DUMMYFUNCTION("""COMPUTED_VALUE"""),"VOTE 34.2SC")</f>
        <v>VOTE 34.2SC</v>
      </c>
      <c r="F307" s="87" t="str">
        <f>IFERROR(__xludf.DUMMYFUNCTION("""COMPUTED_VALUE"""),"HH0300")</f>
        <v>HH0300</v>
      </c>
      <c r="G307" s="87" t="str">
        <f>IFERROR(__xludf.DUMMYFUNCTION("""COMPUTED_VALUE"""),"IDA Global - I - 711 - Vua chim trĩ (chai HD)- 100ml - 100 ([btp] ,t,c)")</f>
        <v>IDA Global - I - 711 - Vua chim trĩ (chai HD)- 100ml - 100 ([btp] ,t,c)</v>
      </c>
    </row>
    <row r="308">
      <c r="A308" s="86">
        <f>IFERROR(__xludf.DUMMYFUNCTION("""COMPUTED_VALUE"""),306.0)</f>
        <v>306</v>
      </c>
      <c r="B308" s="87" t="str">
        <f>IFERROR(__xludf.DUMMYFUNCTION("""COMPUTED_VALUE"""),"Thùng")</f>
        <v>Thùng</v>
      </c>
      <c r="C308" s="87" t="str">
        <f>IFERROR(__xludf.DUMMYFUNCTION("""COMPUTED_VALUE"""),"THC0301")</f>
        <v>THC0301</v>
      </c>
      <c r="D308" s="87" t="str">
        <f>IFERROR(__xludf.DUMMYFUNCTION("""COMPUTED_VALUE"""),"Thùng ADU Chai 250ml x 40 chai (53.5x33.5x15.5cm) - Trắng")</f>
        <v>Thùng ADU Chai 250ml x 40 chai (53.5x33.5x15.5cm) - Trắng</v>
      </c>
      <c r="E308" s="87" t="str">
        <f>IFERROR(__xludf.DUMMYFUNCTION("""COMPUTED_VALUE"""),"PYXOATE 44EC")</f>
        <v>PYXOATE 44EC</v>
      </c>
      <c r="F308" s="87" t="str">
        <f>IFERROR(__xludf.DUMMYFUNCTION("""COMPUTED_VALUE"""),"HH0301")</f>
        <v>HH0301</v>
      </c>
      <c r="G308" s="87" t="str">
        <f>IFERROR(__xludf.DUMMYFUNCTION("""COMPUTED_VALUE"""),"IDA Global - I - 712 - Siêu Xông Hơi (chai PET tròn)- 450ml - 40 ([btp],t)")</f>
        <v>IDA Global - I - 712 - Siêu Xông Hơi (chai PET tròn)- 450ml - 40 ([btp],t)</v>
      </c>
    </row>
    <row r="309">
      <c r="A309" s="86">
        <f>IFERROR(__xludf.DUMMYFUNCTION("""COMPUTED_VALUE"""),307.0)</f>
        <v>307</v>
      </c>
      <c r="B309" s="87" t="str">
        <f>IFERROR(__xludf.DUMMYFUNCTION("""COMPUTED_VALUE"""),"Thùng")</f>
        <v>Thùng</v>
      </c>
      <c r="C309" s="87" t="str">
        <f>IFERROR(__xludf.DUMMYFUNCTION("""COMPUTED_VALUE"""),"THC0302")</f>
        <v>THC0302</v>
      </c>
      <c r="D309" s="87" t="str">
        <f>IFERROR(__xludf.DUMMYFUNCTION("""COMPUTED_VALUE"""),"Thùng DONAVINA chai HDPE 500ml x 40 chai (60x35.5x21.5cm) - Trắng xanh lá đỏ")</f>
        <v>Thùng DONAVINA chai HDPE 500ml x 40 chai (60x35.5x21.5cm) - Trắng xanh lá đỏ</v>
      </c>
      <c r="E309" s="87" t="str">
        <f>IFERROR(__xludf.DUMMYFUNCTION("""COMPUTED_VALUE"""),"PICOSUPER 280SC")</f>
        <v>PICOSUPER 280SC</v>
      </c>
      <c r="F309" s="87" t="str">
        <f>IFERROR(__xludf.DUMMYFUNCTION("""COMPUTED_VALUE"""),"HH0302")</f>
        <v>HH0302</v>
      </c>
      <c r="G309" s="87" t="str">
        <f>IFERROR(__xludf.DUMMYFUNCTION("""COMPUTED_VALUE"""),"IDA Global - I - 713 - Picosuper 280SC (chai Pape) (BTP Trắng) - 250ml - 40 ([btp],t,c)")</f>
        <v>IDA Global - I - 713 - Picosuper 280SC (chai Pape) (BTP Trắng) - 250ml - 40 ([btp],t,c)</v>
      </c>
    </row>
    <row r="310">
      <c r="A310" s="86">
        <f>IFERROR(__xludf.DUMMYFUNCTION("""COMPUTED_VALUE"""),308.0)</f>
        <v>308</v>
      </c>
      <c r="B310" s="87" t="str">
        <f>IFERROR(__xludf.DUMMYFUNCTION("""COMPUTED_VALUE"""),"Thùng")</f>
        <v>Thùng</v>
      </c>
      <c r="C310" s="87" t="str">
        <f>IFERROR(__xludf.DUMMYFUNCTION("""COMPUTED_VALUE"""),"THC0303")</f>
        <v>THC0303</v>
      </c>
      <c r="D310" s="87" t="str">
        <f>IFERROR(__xludf.DUMMYFUNCTION("""COMPUTED_VALUE"""),"Thùng Sen Hồng 1kg x 25 gói (50x35x25.5cm) - Trắng viền xanh lá")</f>
        <v>Thùng Sen Hồng 1kg x 25 gói (50x35x25.5cm) - Trắng viền xanh lá</v>
      </c>
      <c r="E310" s="87" t="str">
        <f>IFERROR(__xludf.DUMMYFUNCTION("""COMPUTED_VALUE"""),"PICOSUPER 280SC")</f>
        <v>PICOSUPER 280SC</v>
      </c>
      <c r="F310" s="87" t="str">
        <f>IFERROR(__xludf.DUMMYFUNCTION("""COMPUTED_VALUE"""),"HH0303")</f>
        <v>HH0303</v>
      </c>
      <c r="G310" s="87" t="str">
        <f>IFERROR(__xludf.DUMMYFUNCTION("""COMPUTED_VALUE"""),"IDA Global - I - 713.1 - Picosuper 280SC (Chai Pape)(nước trắng sữa) - 240ml - 40 ([btp],t,c)")</f>
        <v>IDA Global - I - 713.1 - Picosuper 280SC (Chai Pape)(nước trắng sữa) - 240ml - 40 ([btp],t,c)</v>
      </c>
    </row>
    <row r="311">
      <c r="A311" s="86">
        <f>IFERROR(__xludf.DUMMYFUNCTION("""COMPUTED_VALUE"""),309.0)</f>
        <v>309</v>
      </c>
      <c r="B311" s="87" t="str">
        <f>IFERROR(__xludf.DUMMYFUNCTION("""COMPUTED_VALUE"""),"Thùng")</f>
        <v>Thùng</v>
      </c>
      <c r="C311" s="87" t="str">
        <f>IFERROR(__xludf.DUMMYFUNCTION("""COMPUTED_VALUE"""),"THC0304")</f>
        <v>THC0304</v>
      </c>
      <c r="D311" s="87" t="str">
        <f>IFERROR(__xludf.DUMMYFUNCTION("""COMPUTED_VALUE"""),"Thùng Sen Hồng chai 500mlx40 chai (61.5x38.5x19cm) - Trắng viền xanh lá")</f>
        <v>Thùng Sen Hồng chai 500mlx40 chai (61.5x38.5x19cm) - Trắng viền xanh lá</v>
      </c>
      <c r="E311" s="87" t="str">
        <f>IFERROR(__xludf.DUMMYFUNCTION("""COMPUTED_VALUE"""),"PICOSUPER 280SC")</f>
        <v>PICOSUPER 280SC</v>
      </c>
      <c r="F311" s="87" t="str">
        <f>IFERROR(__xludf.DUMMYFUNCTION("""COMPUTED_VALUE"""),"HH0304")</f>
        <v>HH0304</v>
      </c>
      <c r="G311" s="87" t="str">
        <f>IFERROR(__xludf.DUMMYFUNCTION("""COMPUTED_VALUE"""),"IDA Global - I - 713.1 - Picosuper 280SC (Chai Pape)(nước trắng sữa) - 240ml - 40 ([btp],t,c)")</f>
        <v>IDA Global - I - 713.1 - Picosuper 280SC (Chai Pape)(nước trắng sữa) - 240ml - 40 ([btp],t,c)</v>
      </c>
    </row>
    <row r="312">
      <c r="A312" s="86">
        <f>IFERROR(__xludf.DUMMYFUNCTION("""COMPUTED_VALUE"""),310.0)</f>
        <v>310</v>
      </c>
      <c r="B312" s="87" t="str">
        <f>IFERROR(__xludf.DUMMYFUNCTION("""COMPUTED_VALUE"""),"Thùng")</f>
        <v>Thùng</v>
      </c>
      <c r="C312" s="87" t="str">
        <f>IFERROR(__xludf.DUMMYFUNCTION("""COMPUTED_VALUE"""),"THC0305")</f>
        <v>THC0305</v>
      </c>
      <c r="D312" s="87" t="str">
        <f>IFERROR(__xludf.DUMMYFUNCTION("""COMPUTED_VALUE"""),"Thùng ATC chai 1L x 20 chai (46.5x36.5x26.3cm) - Thùng trắng viền xanh lá")</f>
        <v>Thùng ATC chai 1L x 20 chai (46.5x36.5x26.3cm) - Thùng trắng viền xanh lá</v>
      </c>
      <c r="E312" s="87" t="str">
        <f>IFERROR(__xludf.DUMMYFUNCTION("""COMPUTED_VALUE"""),"VATINO SUPER 525SE")</f>
        <v>VATINO SUPER 525SE</v>
      </c>
      <c r="F312" s="87" t="str">
        <f>IFERROR(__xludf.DUMMYFUNCTION("""COMPUTED_VALUE"""),"HH0305")</f>
        <v>HH0305</v>
      </c>
      <c r="G312" s="87" t="str">
        <f>IFERROR(__xludf.DUMMYFUNCTION("""COMPUTED_VALUE"""),"IDA Global - I - 714 - Vatino Super 525SE (Chai Pape) - 250ml - 40 ([btp],c,t)")</f>
        <v>IDA Global - I - 714 - Vatino Super 525SE (Chai Pape) - 250ml - 40 ([btp],c,t)</v>
      </c>
    </row>
    <row r="313">
      <c r="A313" s="86">
        <f>IFERROR(__xludf.DUMMYFUNCTION("""COMPUTED_VALUE"""),311.0)</f>
        <v>311</v>
      </c>
      <c r="B313" s="87" t="str">
        <f>IFERROR(__xludf.DUMMYFUNCTION("""COMPUTED_VALUE"""),"Thùng")</f>
        <v>Thùng</v>
      </c>
      <c r="C313" s="87" t="str">
        <f>IFERROR(__xludf.DUMMYFUNCTION("""COMPUTED_VALUE"""),"THC0306")</f>
        <v>THC0306</v>
      </c>
      <c r="D313" s="87" t="str">
        <f>IFERROR(__xludf.DUMMYFUNCTION("""COMPUTED_VALUE"""),"Thùng chung SHINO 240, 250ml x 40 chai (53 x 32.5 x 14.5cm) - Trắng viền xanh lá")</f>
        <v>Thùng chung SHINO 240, 250ml x 40 chai (53 x 32.5 x 14.5cm) - Trắng viền xanh lá</v>
      </c>
      <c r="E313" s="87" t="str">
        <f>IFERROR(__xludf.DUMMYFUNCTION("""COMPUTED_VALUE"""),"THALONIL 75WP")</f>
        <v>THALONIL 75WP</v>
      </c>
      <c r="F313" s="87" t="str">
        <f>IFERROR(__xludf.DUMMYFUNCTION("""COMPUTED_VALUE"""),"HH0306")</f>
        <v>HH0306</v>
      </c>
      <c r="G313" s="87" t="str">
        <f>IFERROR(__xludf.DUMMYFUNCTION("""COMPUTED_VALUE"""),"IDA Global - I - 715 - Chloronil (flexo) - 100gr - 100 ([btp] , t)")</f>
        <v>IDA Global - I - 715 - Chloronil (flexo) - 100gr - 100 ([btp] , t)</v>
      </c>
    </row>
    <row r="314">
      <c r="A314" s="86">
        <f>IFERROR(__xludf.DUMMYFUNCTION("""COMPUTED_VALUE"""),312.0)</f>
        <v>312</v>
      </c>
      <c r="B314" s="87" t="str">
        <f>IFERROR(__xludf.DUMMYFUNCTION("""COMPUTED_VALUE"""),"Thùng")</f>
        <v>Thùng</v>
      </c>
      <c r="C314" s="87" t="str">
        <f>IFERROR(__xludf.DUMMYFUNCTION("""COMPUTED_VALUE"""),"THC0307")</f>
        <v>THC0307</v>
      </c>
      <c r="D314" s="87" t="str">
        <f>IFERROR(__xludf.DUMMYFUNCTION("""COMPUTED_VALUE"""),"Thùng Japan chai HDPE 500ml x 30 chai (42x35x24.5cm) - Trắng viền xanh dương")</f>
        <v>Thùng Japan chai HDPE 500ml x 30 chai (42x35x24.5cm) - Trắng viền xanh dương</v>
      </c>
      <c r="E314" s="87" t="str">
        <f>IFERROR(__xludf.DUMMYFUNCTION("""COMPUTED_VALUE"""),"NPK Bổ sung Vi lượng Basel NPK 6-6-8 IDA 33")</f>
        <v>NPK Bổ sung Vi lượng Basel NPK 6-6-8 IDA 33</v>
      </c>
      <c r="F314" s="87" t="str">
        <f>IFERROR(__xludf.DUMMYFUNCTION("""COMPUTED_VALUE"""),"HH0307")</f>
        <v>HH0307</v>
      </c>
      <c r="G314" s="87" t="str">
        <f>IFERROR(__xludf.DUMMYFUNCTION("""COMPUTED_VALUE"""),"IDA Global - I - 716 - Toto - Boost (chai HD) - 240ml - 40 ([btp],t,c)")</f>
        <v>IDA Global - I - 716 - Toto - Boost (chai HD) - 240ml - 40 ([btp],t,c)</v>
      </c>
    </row>
    <row r="315">
      <c r="A315" s="86">
        <f>IFERROR(__xludf.DUMMYFUNCTION("""COMPUTED_VALUE"""),313.0)</f>
        <v>313</v>
      </c>
      <c r="B315" s="87" t="str">
        <f>IFERROR(__xludf.DUMMYFUNCTION("""COMPUTED_VALUE"""),"VT")</f>
        <v>VT</v>
      </c>
      <c r="C315" s="87" t="str">
        <f>IFERROR(__xludf.DUMMYFUNCTION("""COMPUTED_VALUE"""),"VT0182")</f>
        <v>VT0182</v>
      </c>
      <c r="D315" s="87" t="str">
        <f>IFERROR(__xludf.DUMMYFUNCTION("""COMPUTED_VALUE"""),"Dây rút - Rộng 5mm x Dài 250mm")</f>
        <v>Dây rút - Rộng 5mm x Dài 250mm</v>
      </c>
      <c r="E315" s="87" t="str">
        <f>IFERROR(__xludf.DUMMYFUNCTION("""COMPUTED_VALUE"""),"Vi lượng Basel IDA 49")</f>
        <v>Vi lượng Basel IDA 49</v>
      </c>
      <c r="F315" s="87" t="str">
        <f>IFERROR(__xludf.DUMMYFUNCTION("""COMPUTED_VALUE"""),"HH0182")</f>
        <v>HH0182</v>
      </c>
      <c r="G315" s="87" t="str">
        <f>IFERROR(__xludf.DUMMYFUNCTION("""COMPUTED_VALUE"""),"IDA Global - I - 717 - Combi Boost (chai HD) - 240ml - 40 ([btp],t,c)")</f>
        <v>IDA Global - I - 717 - Combi Boost (chai HD) - 240ml - 40 ([btp],t,c)</v>
      </c>
    </row>
    <row r="316">
      <c r="A316" s="86">
        <f>IFERROR(__xludf.DUMMYFUNCTION("""COMPUTED_VALUE"""),314.0)</f>
        <v>314</v>
      </c>
      <c r="B316" s="87" t="str">
        <f>IFERROR(__xludf.DUMMYFUNCTION("""COMPUTED_VALUE"""),"VT")</f>
        <v>VT</v>
      </c>
      <c r="C316" s="87" t="str">
        <f>IFERROR(__xludf.DUMMYFUNCTION("""COMPUTED_VALUE"""),"VT0184")</f>
        <v>VT0184</v>
      </c>
      <c r="D316" s="87" t="str">
        <f>IFERROR(__xludf.DUMMYFUNCTION("""COMPUTED_VALUE"""),"Keo sữa  ATM")</f>
        <v>Keo sữa  ATM</v>
      </c>
      <c r="E316" s="87" t="str">
        <f>IFERROR(__xludf.DUMMYFUNCTION("""COMPUTED_VALUE"""),"PYXOATE 44EC")</f>
        <v>PYXOATE 44EC</v>
      </c>
      <c r="F316" s="87" t="str">
        <f>IFERROR(__xludf.DUMMYFUNCTION("""COMPUTED_VALUE"""),"HH0184")</f>
        <v>HH0184</v>
      </c>
      <c r="G316" s="87" t="str">
        <f>IFERROR(__xludf.DUMMYFUNCTION("""COMPUTED_VALUE"""),"GC - IV - Châu Giang - 718 - Bi 58 Plus+ - (chai PET tròn) - 400ml - 30")</f>
        <v>GC - IV - Châu Giang - 718 - Bi 58 Plus+ - (chai PET tròn) - 400ml - 30</v>
      </c>
    </row>
    <row r="317">
      <c r="A317" s="86">
        <f>IFERROR(__xludf.DUMMYFUNCTION("""COMPUTED_VALUE"""),315.0)</f>
        <v>315</v>
      </c>
      <c r="B317" s="87" t="str">
        <f>IFERROR(__xludf.DUMMYFUNCTION("""COMPUTED_VALUE"""),"VT")</f>
        <v>VT</v>
      </c>
      <c r="C317" s="87" t="str">
        <f>IFERROR(__xludf.DUMMYFUNCTION("""COMPUTED_VALUE"""),"VT0183")</f>
        <v>VT0183</v>
      </c>
      <c r="D317" s="87" t="str">
        <f>IFERROR(__xludf.DUMMYFUNCTION("""COMPUTED_VALUE"""),"Túi Zipper - Rộng 40cm x Dài 60cm")</f>
        <v>Túi Zipper - Rộng 40cm x Dài 60cm</v>
      </c>
      <c r="E317" s="87" t="str">
        <f>IFERROR(__xludf.DUMMYFUNCTION("""COMPUTED_VALUE"""),"Prima 04")</f>
        <v>Prima 04</v>
      </c>
      <c r="F317" s="87" t="str">
        <f>IFERROR(__xludf.DUMMYFUNCTION("""COMPUTED_VALUE"""),"HH0183")</f>
        <v>HH0183</v>
      </c>
      <c r="G317" s="87" t="str">
        <f>IFERROR(__xludf.DUMMYFUNCTION("""COMPUTED_VALUE"""),"IDA Global - I - 719 - Cabor plus (chai HD) - 500ml - 40 ([btp],t,c)")</f>
        <v>IDA Global - I - 719 - Cabor plus (chai HD) - 500ml - 40 ([btp],t,c)</v>
      </c>
    </row>
    <row r="318">
      <c r="A318" s="86">
        <f>IFERROR(__xludf.DUMMYFUNCTION("""COMPUTED_VALUE"""),316.0)</f>
        <v>316</v>
      </c>
      <c r="B318" s="87" t="str">
        <f>IFERROR(__xludf.DUMMYFUNCTION("""COMPUTED_VALUE"""),"Thùng")</f>
        <v>Thùng</v>
      </c>
      <c r="C318" s="87" t="str">
        <f>IFERROR(__xludf.DUMMYFUNCTION("""COMPUTED_VALUE"""),"THC0308")</f>
        <v>THC0308</v>
      </c>
      <c r="D318" s="87" t="str">
        <f>IFERROR(__xludf.DUMMYFUNCTION("""COMPUTED_VALUE"""),"Thùng Tago chai HDPE 500ml x 40 chai (60x35.5x21.5cm) - Trắng viền xanh lá")</f>
        <v>Thùng Tago chai HDPE 500ml x 40 chai (60x35.5x21.5cm) - Trắng viền xanh lá</v>
      </c>
      <c r="E318" s="87" t="str">
        <f>IFERROR(__xludf.DUMMYFUNCTION("""COMPUTED_VALUE"""),"Tikabamec 3.6EC")</f>
        <v>Tikabamec 3.6EC</v>
      </c>
      <c r="F318" s="87" t="str">
        <f>IFERROR(__xludf.DUMMYFUNCTION("""COMPUTED_VALUE"""),"HH0308")</f>
        <v>HH0308</v>
      </c>
      <c r="G318" s="87" t="str">
        <f>IFERROR(__xludf.DUMMYFUNCTION("""COMPUTED_VALUE"""),"GC - IV - 720 - Agritech - Tikabamec 3.6 EC (PET tròn) (nước đục) - 450ml - 40")</f>
        <v>GC - IV - 720 - Agritech - Tikabamec 3.6 EC (PET tròn) (nước đục) - 450ml - 40</v>
      </c>
    </row>
    <row r="319">
      <c r="A319" s="86">
        <f>IFERROR(__xludf.DUMMYFUNCTION("""COMPUTED_VALUE"""),317.0)</f>
        <v>317</v>
      </c>
      <c r="B319" s="87" t="str">
        <f>IFERROR(__xludf.DUMMYFUNCTION("""COMPUTED_VALUE"""),"Thùng")</f>
        <v>Thùng</v>
      </c>
      <c r="C319" s="87" t="str">
        <f>IFERROR(__xludf.DUMMYFUNCTION("""COMPUTED_VALUE"""),"THC0309")</f>
        <v>THC0309</v>
      </c>
      <c r="D319" s="87" t="str">
        <f>IFERROR(__xludf.DUMMYFUNCTION("""COMPUTED_VALUE"""),"Thùng chung chai PET 350ml x 40 chai (55.5x35x17.5cm) - Trắng viền đen")</f>
        <v>Thùng chung chai PET 350ml x 40 chai (55.5x35x17.5cm) - Trắng viền đen</v>
      </c>
      <c r="E319" s="87" t="str">
        <f>IFERROR(__xludf.DUMMYFUNCTION("""COMPUTED_VALUE"""),"Tikabamec 3.6EC")</f>
        <v>Tikabamec 3.6EC</v>
      </c>
      <c r="F319" s="87" t="str">
        <f>IFERROR(__xludf.DUMMYFUNCTION("""COMPUTED_VALUE"""),"HH0309")</f>
        <v>HH0309</v>
      </c>
      <c r="G319" s="87" t="str">
        <f>IFERROR(__xludf.DUMMYFUNCTION("""COMPUTED_VALUE"""),"GC - IV - 721 - Agritech - Tikabamec 3.6 EC (PET tròn) (nước đục) - 450ml - 40")</f>
        <v>GC - IV - 721 - Agritech - Tikabamec 3.6 EC (PET tròn) (nước đục) - 450ml - 40</v>
      </c>
    </row>
    <row r="320">
      <c r="A320" s="86">
        <f>IFERROR(__xludf.DUMMYFUNCTION("""COMPUTED_VALUE"""),318.0)</f>
        <v>318</v>
      </c>
      <c r="B320" s="87" t="str">
        <f>IFERROR(__xludf.DUMMYFUNCTION("""COMPUTED_VALUE"""),"Thùng")</f>
        <v>Thùng</v>
      </c>
      <c r="C320" s="87" t="str">
        <f>IFERROR(__xludf.DUMMYFUNCTION("""COMPUTED_VALUE"""),"THC0310")</f>
        <v>THC0310</v>
      </c>
      <c r="D320" s="87" t="str">
        <f>IFERROR(__xludf.DUMMYFUNCTION("""COMPUTED_VALUE"""),"Thùng dùng chung 1kg x 20 gói (50x35x33.5cm) - Trắng viền đen")</f>
        <v>Thùng dùng chung 1kg x 20 gói (50x35x33.5cm) - Trắng viền đen</v>
      </c>
      <c r="E320" s="87" t="str">
        <f>IFERROR(__xludf.DUMMYFUNCTION("""COMPUTED_VALUE"""),"VOTE 34.2SC")</f>
        <v>VOTE 34.2SC</v>
      </c>
      <c r="F320" s="87" t="str">
        <f>IFERROR(__xludf.DUMMYFUNCTION("""COMPUTED_VALUE"""),"HH0310")</f>
        <v>HH0310</v>
      </c>
      <c r="G320" s="87" t="str">
        <f>IFERROR(__xludf.DUMMYFUNCTION("""COMPUTED_VALUE"""),"IDA Global - I - 722 - Vua chim trĩ (chai HD)- 240ml - 40 ([btp],t)")</f>
        <v>IDA Global - I - 722 - Vua chim trĩ (chai HD)- 240ml - 40 ([btp],t)</v>
      </c>
    </row>
    <row r="321">
      <c r="A321" s="86">
        <f>IFERROR(__xludf.DUMMYFUNCTION("""COMPUTED_VALUE"""),319.0)</f>
        <v>319</v>
      </c>
      <c r="B321" s="87" t="str">
        <f>IFERROR(__xludf.DUMMYFUNCTION("""COMPUTED_VALUE"""),"Chai")</f>
        <v>Chai</v>
      </c>
      <c r="C321" s="87" t="str">
        <f>IFERROR(__xludf.DUMMYFUNCTION("""COMPUTED_VALUE"""),"CPT0001")</f>
        <v>CPT0001</v>
      </c>
      <c r="D321" s="87" t="str">
        <f>IFERROR(__xludf.DUMMYFUNCTION("""COMPUTED_VALUE"""),"Chai PET tròn cổ 35 450ml-500ml (40g) trắng")</f>
        <v>Chai PET tròn cổ 35 450ml-500ml (40g) trắng</v>
      </c>
      <c r="E321" s="87"/>
      <c r="F321" s="87" t="str">
        <f>IFERROR(__xludf.DUMMYFUNCTION("""COMPUTED_VALUE"""),"HH0001")</f>
        <v>HH0001</v>
      </c>
      <c r="G321" s="87"/>
    </row>
    <row r="322">
      <c r="A322" s="86">
        <f>IFERROR(__xludf.DUMMYFUNCTION("""COMPUTED_VALUE"""),320.0)</f>
        <v>320</v>
      </c>
      <c r="B322" s="87" t="str">
        <f>IFERROR(__xludf.DUMMYFUNCTION("""COMPUTED_VALUE"""),"Nắp")</f>
        <v>Nắp</v>
      </c>
      <c r="C322" s="87" t="str">
        <f>IFERROR(__xludf.DUMMYFUNCTION("""COMPUTED_VALUE"""),"NAP0001")</f>
        <v>NAP0001</v>
      </c>
      <c r="D322" s="87" t="str">
        <f>IFERROR(__xludf.DUMMYFUNCTION("""COMPUTED_VALUE"""),"Nắp PET cổ 35 (4.3g) vàng")</f>
        <v>Nắp PET cổ 35 (4.3g) vàng</v>
      </c>
      <c r="E322" s="87"/>
      <c r="F322" s="87" t="str">
        <f>IFERROR(__xludf.DUMMYFUNCTION("""COMPUTED_VALUE"""),"HH0001")</f>
        <v>HH0001</v>
      </c>
      <c r="G322" s="87"/>
    </row>
    <row r="323">
      <c r="A323" s="86">
        <f>IFERROR(__xludf.DUMMYFUNCTION("""COMPUTED_VALUE"""),321.0)</f>
        <v>321</v>
      </c>
      <c r="B323" s="87" t="str">
        <f>IFERROR(__xludf.DUMMYFUNCTION("""COMPUTED_VALUE"""),"Chai")</f>
        <v>Chai</v>
      </c>
      <c r="C323" s="87" t="str">
        <f>IFERROR(__xludf.DUMMYFUNCTION("""COMPUTED_VALUE"""),"CPT0002")</f>
        <v>CPT0002</v>
      </c>
      <c r="D323" s="87" t="str">
        <f>IFERROR(__xludf.DUMMYFUNCTION("""COMPUTED_VALUE"""),"Chai PET tròn cổ 35 450ml, 500ml (40g) nâu")</f>
        <v>Chai PET tròn cổ 35 450ml, 500ml (40g) nâu</v>
      </c>
      <c r="E323" s="87" t="str">
        <f>IFERROR(__xludf.DUMMYFUNCTION("""COMPUTED_VALUE"""),"NPK Bổ sung Vi lượng Basel NPK 6-6-8 IDA 33")</f>
        <v>NPK Bổ sung Vi lượng Basel NPK 6-6-8 IDA 33</v>
      </c>
      <c r="F323" s="87" t="str">
        <f>IFERROR(__xludf.DUMMYFUNCTION("""COMPUTED_VALUE"""),"HH0002")</f>
        <v>HH0002</v>
      </c>
      <c r="G323" s="87" t="str">
        <f>IFERROR(__xludf.DUMMYFUNCTION("""COMPUTED_VALUE"""),"GC - II- 13.1 - Lớn Trái Thanh Long (Đỏ) - 22 kg - 1 ([btp],n)")</f>
        <v>GC - II- 13.1 - Lớn Trái Thanh Long (Đỏ) - 22 kg - 1 ([btp],n)</v>
      </c>
    </row>
    <row r="324">
      <c r="A324" s="86">
        <f>IFERROR(__xludf.DUMMYFUNCTION("""COMPUTED_VALUE"""),322.0)</f>
        <v>322</v>
      </c>
      <c r="B324" s="87" t="str">
        <f>IFERROR(__xludf.DUMMYFUNCTION("""COMPUTED_VALUE"""),"Nắp")</f>
        <v>Nắp</v>
      </c>
      <c r="C324" s="87" t="str">
        <f>IFERROR(__xludf.DUMMYFUNCTION("""COMPUTED_VALUE"""),"NAP0002")</f>
        <v>NAP0002</v>
      </c>
      <c r="D324" s="87" t="str">
        <f>IFERROR(__xludf.DUMMYFUNCTION("""COMPUTED_VALUE"""),"Nắp PET cổ 35 (4.3g) đỏ")</f>
        <v>Nắp PET cổ 35 (4.3g) đỏ</v>
      </c>
      <c r="E324" s="87" t="str">
        <f>IFERROR(__xludf.DUMMYFUNCTION("""COMPUTED_VALUE"""),"Vi lượng AV4")</f>
        <v>Vi lượng AV4</v>
      </c>
      <c r="F324" s="87" t="str">
        <f>IFERROR(__xludf.DUMMYFUNCTION("""COMPUTED_VALUE"""),"HH0002")</f>
        <v>HH0002</v>
      </c>
      <c r="G324" s="87" t="str">
        <f>IFERROR(__xludf.DUMMYFUNCTION("""COMPUTED_VALUE"""),"GC - II - 24 - Aqua Gold ra bông xoài 1kg -25")</f>
        <v>GC - II - 24 - Aqua Gold ra bông xoài 1kg -25</v>
      </c>
    </row>
    <row r="325">
      <c r="A325" s="86">
        <f>IFERROR(__xludf.DUMMYFUNCTION("""COMPUTED_VALUE"""),323.0)</f>
        <v>323</v>
      </c>
      <c r="B325" s="87" t="str">
        <f>IFERROR(__xludf.DUMMYFUNCTION("""COMPUTED_VALUE"""),"Chai")</f>
        <v>Chai</v>
      </c>
      <c r="C325" s="87" t="str">
        <f>IFERROR(__xludf.DUMMYFUNCTION("""COMPUTED_VALUE"""),"CPV0003")</f>
        <v>CPV0003</v>
      </c>
      <c r="D325" s="87" t="str">
        <f>IFERROR(__xludf.DUMMYFUNCTION("""COMPUTED_VALUE"""),"Chai PET vuông cổ 35 450ml, 500ml (40g) cam")</f>
        <v>Chai PET vuông cổ 35 450ml, 500ml (40g) cam</v>
      </c>
      <c r="E325" s="87" t="str">
        <f>IFERROR(__xludf.DUMMYFUNCTION("""COMPUTED_VALUE"""),"Vi lượng AV-US2")</f>
        <v>Vi lượng AV-US2</v>
      </c>
      <c r="F325" s="87" t="str">
        <f>IFERROR(__xludf.DUMMYFUNCTION("""COMPUTED_VALUE"""),"HH0003")</f>
        <v>HH0003</v>
      </c>
      <c r="G325" s="87" t="str">
        <f>IFERROR(__xludf.DUMMYFUNCTION("""COMPUTED_VALUE"""),"GC - II - 33.1 - Siêu ra hoa xoài - 1kg - 25")</f>
        <v>GC - II - 33.1 - Siêu ra hoa xoài - 1kg - 25</v>
      </c>
    </row>
    <row r="326">
      <c r="A326" s="86">
        <f>IFERROR(__xludf.DUMMYFUNCTION("""COMPUTED_VALUE"""),324.0)</f>
        <v>324</v>
      </c>
      <c r="B326" s="87" t="str">
        <f>IFERROR(__xludf.DUMMYFUNCTION("""COMPUTED_VALUE"""),"Nắp")</f>
        <v>Nắp</v>
      </c>
      <c r="C326" s="87" t="str">
        <f>IFERROR(__xludf.DUMMYFUNCTION("""COMPUTED_VALUE"""),"NAP0003")</f>
        <v>NAP0003</v>
      </c>
      <c r="D326" s="87" t="str">
        <f>IFERROR(__xludf.DUMMYFUNCTION("""COMPUTED_VALUE"""),"Nắp PET cổ 35 (4.3g) trắng")</f>
        <v>Nắp PET cổ 35 (4.3g) trắng</v>
      </c>
      <c r="E326" s="87" t="str">
        <f>IFERROR(__xludf.DUMMYFUNCTION("""COMPUTED_VALUE"""),"Vi lượng AV4")</f>
        <v>Vi lượng AV4</v>
      </c>
      <c r="F326" s="87" t="str">
        <f>IFERROR(__xludf.DUMMYFUNCTION("""COMPUTED_VALUE"""),"HH0003")</f>
        <v>HH0003</v>
      </c>
      <c r="G326" s="87" t="str">
        <f>IFERROR(__xludf.DUMMYFUNCTION("""COMPUTED_VALUE"""),"GC - II - 64 - Aqua Siêu ra hoa xoài (clr) - 1kg - 25")</f>
        <v>GC - II - 64 - Aqua Siêu ra hoa xoài (clr) - 1kg - 25</v>
      </c>
    </row>
    <row r="327">
      <c r="A327" s="86">
        <f>IFERROR(__xludf.DUMMYFUNCTION("""COMPUTED_VALUE"""),325.0)</f>
        <v>325</v>
      </c>
      <c r="B327" s="87" t="str">
        <f>IFERROR(__xludf.DUMMYFUNCTION("""COMPUTED_VALUE"""),"Chai")</f>
        <v>Chai</v>
      </c>
      <c r="C327" s="87" t="str">
        <f>IFERROR(__xludf.DUMMYFUNCTION("""COMPUTED_VALUE"""),"CPT0004")</f>
        <v>CPT0004</v>
      </c>
      <c r="D327" s="87" t="str">
        <f>IFERROR(__xludf.DUMMYFUNCTION("""COMPUTED_VALUE"""),"Chai PET tròn cổ 43 450ml, 500ml (45g) trắng")</f>
        <v>Chai PET tròn cổ 43 450ml, 500ml (45g) trắng</v>
      </c>
      <c r="E327" s="87" t="str">
        <f>IFERROR(__xludf.DUMMYFUNCTION("""COMPUTED_VALUE"""),"Vi lượng AV4")</f>
        <v>Vi lượng AV4</v>
      </c>
      <c r="F327" s="87" t="str">
        <f>IFERROR(__xludf.DUMMYFUNCTION("""COMPUTED_VALUE"""),"HH0004")</f>
        <v>HH0004</v>
      </c>
      <c r="G327" s="87" t="str">
        <f>IFERROR(__xludf.DUMMYFUNCTION("""COMPUTED_VALUE"""),"GC - III - 75 - Bio Siêu ra hoa cây có múi - 600 gr - 40")</f>
        <v>GC - III - 75 - Bio Siêu ra hoa cây có múi - 600 gr - 40</v>
      </c>
    </row>
    <row r="328">
      <c r="A328" s="86">
        <f>IFERROR(__xludf.DUMMYFUNCTION("""COMPUTED_VALUE"""),326.0)</f>
        <v>326</v>
      </c>
      <c r="B328" s="87" t="str">
        <f>IFERROR(__xludf.DUMMYFUNCTION("""COMPUTED_VALUE"""),"Nắp")</f>
        <v>Nắp</v>
      </c>
      <c r="C328" s="87" t="str">
        <f>IFERROR(__xludf.DUMMYFUNCTION("""COMPUTED_VALUE"""),"NAP0004")</f>
        <v>NAP0004</v>
      </c>
      <c r="D328" s="87" t="str">
        <f>IFERROR(__xludf.DUMMYFUNCTION("""COMPUTED_VALUE"""),"Nắp PET cổ 43 (6.3g) vàng")</f>
        <v>Nắp PET cổ 43 (6.3g) vàng</v>
      </c>
      <c r="E328" s="87" t="str">
        <f>IFERROR(__xludf.DUMMYFUNCTION("""COMPUTED_VALUE"""),"Vi lượng AV4-BO633")</f>
        <v>Vi lượng AV4-BO633</v>
      </c>
      <c r="F328" s="87" t="str">
        <f>IFERROR(__xludf.DUMMYFUNCTION("""COMPUTED_VALUE"""),"HH0004")</f>
        <v>HH0004</v>
      </c>
      <c r="G328" s="87" t="str">
        <f>IFERROR(__xludf.DUMMYFUNCTION("""COMPUTED_VALUE"""),"GC - II - 95.1 - AGC - Siêu ra hoa cây có múi - 600 gr - 40")</f>
        <v>GC - II - 95.1 - AGC - Siêu ra hoa cây có múi - 600 gr - 40</v>
      </c>
    </row>
    <row r="329">
      <c r="A329" s="86">
        <f>IFERROR(__xludf.DUMMYFUNCTION("""COMPUTED_VALUE"""),327.0)</f>
        <v>327</v>
      </c>
      <c r="B329" s="87" t="str">
        <f>IFERROR(__xludf.DUMMYFUNCTION("""COMPUTED_VALUE"""),"Chai")</f>
        <v>Chai</v>
      </c>
      <c r="C329" s="87" t="str">
        <f>IFERROR(__xludf.DUMMYFUNCTION("""COMPUTED_VALUE"""),"CPV0005")</f>
        <v>CPV0005</v>
      </c>
      <c r="D329" s="87" t="str">
        <f>IFERROR(__xludf.DUMMYFUNCTION("""COMPUTED_VALUE"""),"Chai PET vuông cổ 35 450ml, 500ml (60g) vàng")</f>
        <v>Chai PET vuông cổ 35 450ml, 500ml (60g) vàng</v>
      </c>
      <c r="E329" s="87" t="str">
        <f>IFERROR(__xludf.DUMMYFUNCTION("""COMPUTED_VALUE"""),"NPK Bổ sung Vi lượng Basel NPK 6-6-8 IDA 33")</f>
        <v>NPK Bổ sung Vi lượng Basel NPK 6-6-8 IDA 33</v>
      </c>
      <c r="F329" s="87" t="str">
        <f>IFERROR(__xludf.DUMMYFUNCTION("""COMPUTED_VALUE"""),"HH0005")</f>
        <v>HH0005</v>
      </c>
      <c r="G329" s="87" t="str">
        <f>IFERROR(__xludf.DUMMYFUNCTION("""COMPUTED_VALUE"""),"GC - II - 105.2 - Lớn trái thanh long (Xanh) - 22 kg -1")</f>
        <v>GC - II - 105.2 - Lớn trái thanh long (Xanh) - 22 kg -1</v>
      </c>
    </row>
    <row r="330">
      <c r="A330" s="86">
        <f>IFERROR(__xludf.DUMMYFUNCTION("""COMPUTED_VALUE"""),328.0)</f>
        <v>328</v>
      </c>
      <c r="B330" s="87" t="str">
        <f>IFERROR(__xludf.DUMMYFUNCTION("""COMPUTED_VALUE"""),"Nắp")</f>
        <v>Nắp</v>
      </c>
      <c r="C330" s="87" t="str">
        <f>IFERROR(__xludf.DUMMYFUNCTION("""COMPUTED_VALUE"""),"NAP0005")</f>
        <v>NAP0005</v>
      </c>
      <c r="D330" s="87" t="str">
        <f>IFERROR(__xludf.DUMMYFUNCTION("""COMPUTED_VALUE"""),"Nắp PET cổ 43 (6.3g) đỏ")</f>
        <v>Nắp PET cổ 43 (6.3g) đỏ</v>
      </c>
      <c r="E330" s="87" t="str">
        <f>IFERROR(__xludf.DUMMYFUNCTION("""COMPUTED_VALUE"""),"Vi lượng AV6")</f>
        <v>Vi lượng AV6</v>
      </c>
      <c r="F330" s="87" t="str">
        <f>IFERROR(__xludf.DUMMYFUNCTION("""COMPUTED_VALUE"""),"HH0005")</f>
        <v>HH0005</v>
      </c>
      <c r="G330" s="87" t="str">
        <f>IFERROR(__xludf.DUMMYFUNCTION("""COMPUTED_VALUE"""),"GC - 107 - Nutri Nutri Silitop - 60 ml - 300")</f>
        <v>GC - 107 - Nutri Nutri Silitop - 60 ml - 300</v>
      </c>
    </row>
    <row r="331">
      <c r="A331" s="86">
        <f>IFERROR(__xludf.DUMMYFUNCTION("""COMPUTED_VALUE"""),329.0)</f>
        <v>329</v>
      </c>
      <c r="B331" s="87" t="str">
        <f>IFERROR(__xludf.DUMMYFUNCTION("""COMPUTED_VALUE"""),"Chai")</f>
        <v>Chai</v>
      </c>
      <c r="C331" s="87" t="str">
        <f>IFERROR(__xludf.DUMMYFUNCTION("""COMPUTED_VALUE"""),"CPV0006")</f>
        <v>CPV0006</v>
      </c>
      <c r="D331" s="87" t="str">
        <f>IFERROR(__xludf.DUMMYFUNCTION("""COMPUTED_VALUE"""),"Chai PET vuông cổ 35 450ml, 500ml (60g) trắng ASIA")</f>
        <v>Chai PET vuông cổ 35 450ml, 500ml (60g) trắng ASIA</v>
      </c>
      <c r="E331" s="87" t="str">
        <f>IFERROR(__xludf.DUMMYFUNCTION("""COMPUTED_VALUE"""),"AnnongManco 80WP")</f>
        <v>AnnongManco 80WP</v>
      </c>
      <c r="F331" s="87" t="str">
        <f>IFERROR(__xludf.DUMMYFUNCTION("""COMPUTED_VALUE"""),"HH0006")</f>
        <v>HH0006</v>
      </c>
      <c r="G331" s="87" t="str">
        <f>IFERROR(__xludf.DUMMYFUNCTION("""COMPUTED_VALUE"""),"GC - I - 207 - Mancozeb Xanh - Xanh Cam - 1kg - 20")</f>
        <v>GC - I - 207 - Mancozeb Xanh - Xanh Cam - 1kg - 20</v>
      </c>
    </row>
    <row r="332">
      <c r="A332" s="86">
        <f>IFERROR(__xludf.DUMMYFUNCTION("""COMPUTED_VALUE"""),330.0)</f>
        <v>330</v>
      </c>
      <c r="B332" s="87" t="str">
        <f>IFERROR(__xludf.DUMMYFUNCTION("""COMPUTED_VALUE"""),"Nắp")</f>
        <v>Nắp</v>
      </c>
      <c r="C332" s="87" t="str">
        <f>IFERROR(__xludf.DUMMYFUNCTION("""COMPUTED_VALUE"""),"NAP0006")</f>
        <v>NAP0006</v>
      </c>
      <c r="D332" s="87" t="str">
        <f>IFERROR(__xludf.DUMMYFUNCTION("""COMPUTED_VALUE"""),"Nắp Pet cổ 43 trắng không Garanti")</f>
        <v>Nắp Pet cổ 43 trắng không Garanti</v>
      </c>
      <c r="E332" s="87" t="str">
        <f>IFERROR(__xludf.DUMMYFUNCTION("""COMPUTED_VALUE"""),"Vi lượng IDA49")</f>
        <v>Vi lượng IDA49</v>
      </c>
      <c r="F332" s="87" t="str">
        <f>IFERROR(__xludf.DUMMYFUNCTION("""COMPUTED_VALUE"""),"HH0006")</f>
        <v>HH0006</v>
      </c>
      <c r="G332" s="87" t="str">
        <f>IFERROR(__xludf.DUMMYFUNCTION("""COMPUTED_VALUE"""),"GC - I - 208 - Lân 86 - 1Kg - 20")</f>
        <v>GC - I - 208 - Lân 86 - 1Kg - 20</v>
      </c>
    </row>
    <row r="333">
      <c r="A333" s="86">
        <f>IFERROR(__xludf.DUMMYFUNCTION("""COMPUTED_VALUE"""),331.0)</f>
        <v>331</v>
      </c>
      <c r="B333" s="87" t="str">
        <f>IFERROR(__xludf.DUMMYFUNCTION("""COMPUTED_VALUE"""),"Chai")</f>
        <v>Chai</v>
      </c>
      <c r="C333" s="87" t="str">
        <f>IFERROR(__xludf.DUMMYFUNCTION("""COMPUTED_VALUE"""),"CPV0007")</f>
        <v>CPV0007</v>
      </c>
      <c r="D333" s="87" t="str">
        <f>IFERROR(__xludf.DUMMYFUNCTION("""COMPUTED_VALUE"""),"Chai PET vuông cổ 35 450ml, 500ml (60g) trắng sữa thường")</f>
        <v>Chai PET vuông cổ 35 450ml, 500ml (60g) trắng sữa thường</v>
      </c>
      <c r="E333" s="87" t="str">
        <f>IFERROR(__xludf.DUMMYFUNCTION("""COMPUTED_VALUE"""),"Acodyl 35WP")</f>
        <v>Acodyl 35WP</v>
      </c>
      <c r="F333" s="87" t="str">
        <f>IFERROR(__xludf.DUMMYFUNCTION("""COMPUTED_VALUE"""),"HH0007")</f>
        <v>HH0007</v>
      </c>
      <c r="G333" s="87" t="str">
        <f>IFERROR(__xludf.DUMMYFUNCTION("""COMPUTED_VALUE"""),"IDA Global - I - 221.1 - Metalaxyl (drone) - 100gr - 100")</f>
        <v>IDA Global - I - 221.1 - Metalaxyl (drone) - 100gr - 100</v>
      </c>
    </row>
    <row r="334">
      <c r="A334" s="86">
        <f>IFERROR(__xludf.DUMMYFUNCTION("""COMPUTED_VALUE"""),332.0)</f>
        <v>332</v>
      </c>
      <c r="B334" s="87" t="str">
        <f>IFERROR(__xludf.DUMMYFUNCTION("""COMPUTED_VALUE"""),"Nắp")</f>
        <v>Nắp</v>
      </c>
      <c r="C334" s="87" t="str">
        <f>IFERROR(__xludf.DUMMYFUNCTION("""COMPUTED_VALUE"""),"NAP0007")</f>
        <v>NAP0007</v>
      </c>
      <c r="D334" s="87" t="str">
        <f>IFERROR(__xludf.DUMMYFUNCTION("""COMPUTED_VALUE"""),"Nắp HDPE cổ 42.5 (10g) xanh lá")</f>
        <v>Nắp HDPE cổ 42.5 (10g) xanh lá</v>
      </c>
      <c r="E334" s="87" t="str">
        <f>IFERROR(__xludf.DUMMYFUNCTION("""COMPUTED_VALUE"""),"Oxycin 100WP")</f>
        <v>Oxycin 100WP</v>
      </c>
      <c r="F334" s="87" t="str">
        <f>IFERROR(__xludf.DUMMYFUNCTION("""COMPUTED_VALUE"""),"HH0007")</f>
        <v>HH0007</v>
      </c>
      <c r="G334" s="87" t="str">
        <f>IFERROR(__xludf.DUMMYFUNCTION("""COMPUTED_VALUE"""),"IDA Global - I - 222.2 - Siêu Diệt Vi Khuẩn Thái (Mới) - 25gr - 300")</f>
        <v>IDA Global - I - 222.2 - Siêu Diệt Vi Khuẩn Thái (Mới) - 25gr - 300</v>
      </c>
    </row>
    <row r="335">
      <c r="A335" s="86">
        <f>IFERROR(__xludf.DUMMYFUNCTION("""COMPUTED_VALUE"""),333.0)</f>
        <v>333</v>
      </c>
      <c r="B335" s="87" t="str">
        <f>IFERROR(__xludf.DUMMYFUNCTION("""COMPUTED_VALUE"""),"Chai")</f>
        <v>Chai</v>
      </c>
      <c r="C335" s="87" t="str">
        <f>IFERROR(__xludf.DUMMYFUNCTION("""COMPUTED_VALUE"""),"CPT0008")</f>
        <v>CPT0008</v>
      </c>
      <c r="D335" s="87" t="str">
        <f>IFERROR(__xludf.DUMMYFUNCTION("""COMPUTED_VALUE"""),"Chai PET tròn cổ 43 450ml, 500ml (45g) nâu nhạt")</f>
        <v>Chai PET tròn cổ 43 450ml, 500ml (45g) nâu nhạt</v>
      </c>
      <c r="E335" s="87" t="str">
        <f>IFERROR(__xludf.DUMMYFUNCTION("""COMPUTED_VALUE"""),"Chitin 3.6EC")</f>
        <v>Chitin 3.6EC</v>
      </c>
      <c r="F335" s="87" t="str">
        <f>IFERROR(__xludf.DUMMYFUNCTION("""COMPUTED_VALUE"""),"HH0008")</f>
        <v>HH0008</v>
      </c>
      <c r="G335" s="87" t="str">
        <f>IFERROR(__xludf.DUMMYFUNCTION("""COMPUTED_VALUE"""),"IDA Global - I - 223 - Nhện đỏ - Chai nhôm đỏ - 240ml - 60")</f>
        <v>IDA Global - I - 223 - Nhện đỏ - Chai nhôm đỏ - 240ml - 60</v>
      </c>
    </row>
    <row r="336">
      <c r="A336" s="86">
        <f>IFERROR(__xludf.DUMMYFUNCTION("""COMPUTED_VALUE"""),334.0)</f>
        <v>334</v>
      </c>
      <c r="B336" s="87" t="str">
        <f>IFERROR(__xludf.DUMMYFUNCTION("""COMPUTED_VALUE"""),"Nắp")</f>
        <v>Nắp</v>
      </c>
      <c r="C336" s="87" t="str">
        <f>IFERROR(__xludf.DUMMYFUNCTION("""COMPUTED_VALUE"""),"NAP0008")</f>
        <v>NAP0008</v>
      </c>
      <c r="D336" s="87" t="str">
        <f>IFERROR(__xludf.DUMMYFUNCTION("""COMPUTED_VALUE"""),"Nắp PET cổ 43 (6.3g) xanh dương")</f>
        <v>Nắp PET cổ 43 (6.3g) xanh dương</v>
      </c>
      <c r="E336" s="87" t="str">
        <f>IFERROR(__xludf.DUMMYFUNCTION("""COMPUTED_VALUE"""),"Chitin 3.6EC")</f>
        <v>Chitin 3.6EC</v>
      </c>
      <c r="F336" s="87" t="str">
        <f>IFERROR(__xludf.DUMMYFUNCTION("""COMPUTED_VALUE"""),"HH0008")</f>
        <v>HH0008</v>
      </c>
      <c r="G336" s="87" t="str">
        <f>IFERROR(__xludf.DUMMYFUNCTION("""COMPUTED_VALUE"""),"IDA Global - I - 223.1 - Nhện đỏ - Chai nhôm đỏ - 240ml - 60")</f>
        <v>IDA Global - I - 223.1 - Nhện đỏ - Chai nhôm đỏ - 240ml - 60</v>
      </c>
    </row>
    <row r="337">
      <c r="A337" s="86">
        <f>IFERROR(__xludf.DUMMYFUNCTION("""COMPUTED_VALUE"""),335.0)</f>
        <v>335</v>
      </c>
      <c r="B337" s="87" t="str">
        <f>IFERROR(__xludf.DUMMYFUNCTION("""COMPUTED_VALUE"""),"Chai")</f>
        <v>Chai</v>
      </c>
      <c r="C337" s="87" t="str">
        <f>IFERROR(__xludf.DUMMYFUNCTION("""COMPUTED_VALUE"""),"CPT0009")</f>
        <v>CPT0009</v>
      </c>
      <c r="D337" s="87" t="str">
        <f>IFERROR(__xludf.DUMMYFUNCTION("""COMPUTED_VALUE"""),"Chai PET tròn cổ 43 450ml, 500ml (45g) nâu đậm")</f>
        <v>Chai PET tròn cổ 43 450ml, 500ml (45g) nâu đậm</v>
      </c>
      <c r="E337" s="87" t="str">
        <f>IFERROR(__xludf.DUMMYFUNCTION("""COMPUTED_VALUE"""),"Chitin 3.6EC")</f>
        <v>Chitin 3.6EC</v>
      </c>
      <c r="F337" s="87" t="str">
        <f>IFERROR(__xludf.DUMMYFUNCTION("""COMPUTED_VALUE"""),"HH0009")</f>
        <v>HH0009</v>
      </c>
      <c r="G337" s="87" t="str">
        <f>IFERROR(__xludf.DUMMYFUNCTION("""COMPUTED_VALUE"""),"IDA Global - I - 223.1 - Nhện đỏ - Chai nhôm đỏ - 240ml - 60")</f>
        <v>IDA Global - I - 223.1 - Nhện đỏ - Chai nhôm đỏ - 240ml - 60</v>
      </c>
    </row>
    <row r="338">
      <c r="A338" s="86">
        <f>IFERROR(__xludf.DUMMYFUNCTION("""COMPUTED_VALUE"""),336.0)</f>
        <v>336</v>
      </c>
      <c r="B338" s="87" t="str">
        <f>IFERROR(__xludf.DUMMYFUNCTION("""COMPUTED_VALUE"""),"Nắp")</f>
        <v>Nắp</v>
      </c>
      <c r="C338" s="87" t="str">
        <f>IFERROR(__xludf.DUMMYFUNCTION("""COMPUTED_VALUE"""),"NAP0009")</f>
        <v>NAP0009</v>
      </c>
      <c r="D338" s="87" t="str">
        <f>IFERROR(__xludf.DUMMYFUNCTION("""COMPUTED_VALUE"""),"Nắp PET cổ 43 trắng, có cốc đong - UPC")</f>
        <v>Nắp PET cổ 43 trắng, có cốc đong - UPC</v>
      </c>
      <c r="E338" s="87" t="str">
        <f>IFERROR(__xludf.DUMMYFUNCTION("""COMPUTED_VALUE"""),"Vi lượng IDA 11")</f>
        <v>Vi lượng IDA 11</v>
      </c>
      <c r="F338" s="87" t="str">
        <f>IFERROR(__xludf.DUMMYFUNCTION("""COMPUTED_VALUE"""),"HH0009")</f>
        <v>HH0009</v>
      </c>
      <c r="G338" s="87" t="str">
        <f>IFERROR(__xludf.DUMMYFUNCTION("""COMPUTED_VALUE"""),"GC - I - 249 - SIÊU COC - 1kg - 20")</f>
        <v>GC - I - 249 - SIÊU COC - 1kg - 20</v>
      </c>
    </row>
    <row r="339">
      <c r="A339" s="86">
        <f>IFERROR(__xludf.DUMMYFUNCTION("""COMPUTED_VALUE"""),337.0)</f>
        <v>337</v>
      </c>
      <c r="B339" s="87" t="str">
        <f>IFERROR(__xludf.DUMMYFUNCTION("""COMPUTED_VALUE"""),"Chai")</f>
        <v>Chai</v>
      </c>
      <c r="C339" s="87" t="str">
        <f>IFERROR(__xludf.DUMMYFUNCTION("""COMPUTED_VALUE"""),"CPT0010")</f>
        <v>CPT0010</v>
      </c>
      <c r="D339" s="87" t="str">
        <f>IFERROR(__xludf.DUMMYFUNCTION("""COMPUTED_VALUE"""),"Chai Pet tròn cổ 44 100ml - Nắp trắng có Garanti")</f>
        <v>Chai Pet tròn cổ 44 100ml - Nắp trắng có Garanti</v>
      </c>
      <c r="E339" s="87" t="str">
        <f>IFERROR(__xludf.DUMMYFUNCTION("""COMPUTED_VALUE"""),"#N/A")</f>
        <v>#N/A</v>
      </c>
      <c r="F339" s="87" t="str">
        <f>IFERROR(__xludf.DUMMYFUNCTION("""COMPUTED_VALUE"""),"HH0010")</f>
        <v>HH0010</v>
      </c>
      <c r="G339" s="87" t="str">
        <f>IFERROR(__xludf.DUMMYFUNCTION("""COMPUTED_VALUE"""),"GC - II - 253.1 - Thiện Thành - Nutri Hữu Cơ 999 (nước nâu đen) - 25kg - 1")</f>
        <v>GC - II - 253.1 - Thiện Thành - Nutri Hữu Cơ 999 (nước nâu đen) - 25kg - 1</v>
      </c>
    </row>
    <row r="340">
      <c r="A340" s="86">
        <f>IFERROR(__xludf.DUMMYFUNCTION("""COMPUTED_VALUE"""),338.0)</f>
        <v>338</v>
      </c>
      <c r="B340" s="87" t="str">
        <f>IFERROR(__xludf.DUMMYFUNCTION("""COMPUTED_VALUE"""),"Chai")</f>
        <v>Chai</v>
      </c>
      <c r="C340" s="87" t="str">
        <f>IFERROR(__xludf.DUMMYFUNCTION("""COMPUTED_VALUE"""),"CHT0011")</f>
        <v>CHT0011</v>
      </c>
      <c r="D340" s="87" t="str">
        <f>IFERROR(__xludf.DUMMYFUNCTION("""COMPUTED_VALUE"""),"Chai HDPE tròn cổ 42.5 1L (105g) xám")</f>
        <v>Chai HDPE tròn cổ 42.5 1L (105g) xám</v>
      </c>
      <c r="E340" s="87" t="str">
        <f>IFERROR(__xludf.DUMMYFUNCTION("""COMPUTED_VALUE"""),"Vi lượng Basel IDA 11")</f>
        <v>Vi lượng Basel IDA 11</v>
      </c>
      <c r="F340" s="87" t="str">
        <f>IFERROR(__xludf.DUMMYFUNCTION("""COMPUTED_VALUE"""),"HH0011")</f>
        <v>HH0011</v>
      </c>
      <c r="G340" s="87" t="str">
        <f>IFERROR(__xludf.DUMMYFUNCTION("""COMPUTED_VALUE"""),"GC - I - 256.1 - CT Tây Nguyên - Rong rêu (chai vuông Pet) - 250ml - 40")</f>
        <v>GC - I - 256.1 - CT Tây Nguyên - Rong rêu (chai vuông Pet) - 250ml - 40</v>
      </c>
    </row>
    <row r="341">
      <c r="A341" s="86">
        <f>IFERROR(__xludf.DUMMYFUNCTION("""COMPUTED_VALUE"""),339.0)</f>
        <v>339</v>
      </c>
      <c r="B341" s="87" t="str">
        <f>IFERROR(__xludf.DUMMYFUNCTION("""COMPUTED_VALUE"""),"Chai")</f>
        <v>Chai</v>
      </c>
      <c r="C341" s="87" t="str">
        <f>IFERROR(__xludf.DUMMYFUNCTION("""COMPUTED_VALUE"""),"CHT0012")</f>
        <v>CHT0012</v>
      </c>
      <c r="D341" s="87" t="str">
        <f>IFERROR(__xludf.DUMMYFUNCTION("""COMPUTED_VALUE"""),"Chai HDPE tròn cổ 39.3 500ml trắng(52gr) - HG02")</f>
        <v>Chai HDPE tròn cổ 39.3 500ml trắng(52gr) - HG02</v>
      </c>
      <c r="E341" s="87" t="str">
        <f>IFERROR(__xludf.DUMMYFUNCTION("""COMPUTED_VALUE"""),"Leafroll 260SC")</f>
        <v>Leafroll 260SC</v>
      </c>
      <c r="F341" s="87" t="str">
        <f>IFERROR(__xludf.DUMMYFUNCTION("""COMPUTED_VALUE"""),"HH0012")</f>
        <v>HH0012</v>
      </c>
      <c r="G341" s="87" t="str">
        <f>IFERROR(__xludf.DUMMYFUNCTION("""COMPUTED_VALUE"""),"GC - I - 259 - CTP - Hiệu cuốn lá - 15ml - 400")</f>
        <v>GC - I - 259 - CTP - Hiệu cuốn lá - 15ml - 400</v>
      </c>
    </row>
    <row r="342">
      <c r="A342" s="86">
        <f>IFERROR(__xludf.DUMMYFUNCTION("""COMPUTED_VALUE"""),340.0)</f>
        <v>340</v>
      </c>
      <c r="B342" s="87" t="str">
        <f>IFERROR(__xludf.DUMMYFUNCTION("""COMPUTED_VALUE"""),"Chai")</f>
        <v>Chai</v>
      </c>
      <c r="C342" s="87" t="str">
        <f>IFERROR(__xludf.DUMMYFUNCTION("""COMPUTED_VALUE"""),"CPV0012")</f>
        <v>CPV0012</v>
      </c>
      <c r="D342" s="87" t="str">
        <f>IFERROR(__xludf.DUMMYFUNCTION("""COMPUTED_VALUE"""),"Chai PET vuông cổ 35 450ml, 500ml (60g) vàng ASIA")</f>
        <v>Chai PET vuông cổ 35 450ml, 500ml (60g) vàng ASIA</v>
      </c>
      <c r="E342" s="87" t="str">
        <f>IFERROR(__xludf.DUMMYFUNCTION("""COMPUTED_VALUE"""),"Vi lượng Basel IDA 47")</f>
        <v>Vi lượng Basel IDA 47</v>
      </c>
      <c r="F342" s="87" t="str">
        <f>IFERROR(__xludf.DUMMYFUNCTION("""COMPUTED_VALUE"""),"HH0012")</f>
        <v>HH0012</v>
      </c>
      <c r="G342" s="87" t="str">
        <f>IFERROR(__xludf.DUMMYFUNCTION("""COMPUTED_VALUE"""),"GC - I - 260 - Bohex SC - 450ml - 40")</f>
        <v>GC - I - 260 - Bohex SC - 450ml - 40</v>
      </c>
    </row>
    <row r="343">
      <c r="A343" s="86">
        <f>IFERROR(__xludf.DUMMYFUNCTION("""COMPUTED_VALUE"""),341.0)</f>
        <v>341</v>
      </c>
      <c r="B343" s="87" t="str">
        <f>IFERROR(__xludf.DUMMYFUNCTION("""COMPUTED_VALUE"""),"Nắp")</f>
        <v>Nắp</v>
      </c>
      <c r="C343" s="87" t="str">
        <f>IFERROR(__xludf.DUMMYFUNCTION("""COMPUTED_VALUE"""),"NAP0012")</f>
        <v>NAP0012</v>
      </c>
      <c r="D343" s="87" t="str">
        <f>IFERROR(__xludf.DUMMYFUNCTION("""COMPUTED_VALUE"""),"Nắp HDPE cổ 33 (5.5gr) đỏ")</f>
        <v>Nắp HDPE cổ 33 (5.5gr) đỏ</v>
      </c>
      <c r="E343" s="87" t="str">
        <f>IFERROR(__xludf.DUMMYFUNCTION("""COMPUTED_VALUE"""),"Tinmy new super 300EC")</f>
        <v>Tinmy new super 300EC</v>
      </c>
      <c r="F343" s="87" t="str">
        <f>IFERROR(__xludf.DUMMYFUNCTION("""COMPUTED_VALUE"""),"HH0012")</f>
        <v>HH0012</v>
      </c>
      <c r="G343" s="87" t="str">
        <f>IFERROR(__xludf.DUMMYFUNCTION("""COMPUTED_VALUE"""),"GC - I - 274 - Tinmy (Chai HDPE nhãn giấy) - 250ml - 40")</f>
        <v>GC - I - 274 - Tinmy (Chai HDPE nhãn giấy) - 250ml - 40</v>
      </c>
    </row>
    <row r="344">
      <c r="A344" s="86">
        <f>IFERROR(__xludf.DUMMYFUNCTION("""COMPUTED_VALUE"""),342.0)</f>
        <v>342</v>
      </c>
      <c r="B344" s="87" t="str">
        <f>IFERROR(__xludf.DUMMYFUNCTION("""COMPUTED_VALUE"""),"Chai")</f>
        <v>Chai</v>
      </c>
      <c r="C344" s="87" t="str">
        <f>IFERROR(__xludf.DUMMYFUNCTION("""COMPUTED_VALUE"""),"CHT0013")</f>
        <v>CHT0013</v>
      </c>
      <c r="D344" s="87" t="str">
        <f>IFERROR(__xludf.DUMMYFUNCTION("""COMPUTED_VALUE"""),"Chai HDPE tròn cổ 43 250ml - trắng")</f>
        <v>Chai HDPE tròn cổ 43 250ml - trắng</v>
      </c>
      <c r="E344" s="87" t="str">
        <f>IFERROR(__xludf.DUMMYFUNCTION("""COMPUTED_VALUE"""),"Pim.Pim 75WP")</f>
        <v>Pim.Pim 75WP</v>
      </c>
      <c r="F344" s="87" t="str">
        <f>IFERROR(__xludf.DUMMYFUNCTION("""COMPUTED_VALUE"""),"HH0013")</f>
        <v>HH0013</v>
      </c>
      <c r="G344" s="87" t="str">
        <f>IFERROR(__xludf.DUMMYFUNCTION("""COMPUTED_VALUE"""),"GC - I - 293 - CTP - Diệt sạch đạo ôn - 100gr - 100")</f>
        <v>GC - I - 293 - CTP - Diệt sạch đạo ôn - 100gr - 100</v>
      </c>
    </row>
    <row r="345">
      <c r="A345" s="86">
        <f>IFERROR(__xludf.DUMMYFUNCTION("""COMPUTED_VALUE"""),343.0)</f>
        <v>343</v>
      </c>
      <c r="B345" s="87" t="str">
        <f>IFERROR(__xludf.DUMMYFUNCTION("""COMPUTED_VALUE"""),"Nắp")</f>
        <v>Nắp</v>
      </c>
      <c r="C345" s="87" t="str">
        <f>IFERROR(__xludf.DUMMYFUNCTION("""COMPUTED_VALUE"""),"NAP0014")</f>
        <v>NAP0014</v>
      </c>
      <c r="D345" s="87"/>
      <c r="E345" s="87" t="str">
        <f>IFERROR(__xludf.DUMMYFUNCTION("""COMPUTED_VALUE"""),"Prohed 400EC")</f>
        <v>Prohed 400EC</v>
      </c>
      <c r="F345" s="87" t="str">
        <f>IFERROR(__xludf.DUMMYFUNCTION("""COMPUTED_VALUE"""),"HH0014")</f>
        <v>HH0014</v>
      </c>
      <c r="G345" s="87" t="str">
        <f>IFERROR(__xludf.DUMMYFUNCTION("""COMPUTED_VALUE"""),"IDA Globa - I - 295.2 - Prohed 400EC (mới)- 240ml - 60 ( [nl] ,c, n, t)")</f>
        <v>IDA Globa - I - 295.2 - Prohed 400EC (mới)- 240ml - 60 ( [nl] ,c, n, t)</v>
      </c>
    </row>
    <row r="346">
      <c r="A346" s="86">
        <f>IFERROR(__xludf.DUMMYFUNCTION("""COMPUTED_VALUE"""),344.0)</f>
        <v>344</v>
      </c>
      <c r="B346" s="87" t="str">
        <f>IFERROR(__xludf.DUMMYFUNCTION("""COMPUTED_VALUE"""),"Chai")</f>
        <v>Chai</v>
      </c>
      <c r="C346" s="87" t="str">
        <f>IFERROR(__xludf.DUMMYFUNCTION("""COMPUTED_VALUE"""),"CET0014")</f>
        <v>CET0014</v>
      </c>
      <c r="D346" s="87" t="str">
        <f>IFERROR(__xludf.DUMMYFUNCTION("""COMPUTED_VALUE"""),"Chai PAPE tròn cổ 43 250ml logo IDA - trắng -UPC")</f>
        <v>Chai PAPE tròn cổ 43 250ml logo IDA - trắng -UPC</v>
      </c>
      <c r="E346" s="87" t="str">
        <f>IFERROR(__xludf.DUMMYFUNCTION("""COMPUTED_VALUE"""),"Vi lượng Basel IDA 46")</f>
        <v>Vi lượng Basel IDA 46</v>
      </c>
      <c r="F346" s="87" t="str">
        <f>IFERROR(__xludf.DUMMYFUNCTION("""COMPUTED_VALUE"""),"HH0014")</f>
        <v>HH0014</v>
      </c>
      <c r="G346" s="87" t="str">
        <f>IFERROR(__xludf.DUMMYFUNCTION("""COMPUTED_VALUE"""),"GC - I - 297.1 - CTP - Pick Super - 250ml - 40")</f>
        <v>GC - I - 297.1 - CTP - Pick Super - 250ml - 40</v>
      </c>
    </row>
    <row r="347">
      <c r="A347" s="86">
        <f>IFERROR(__xludf.DUMMYFUNCTION("""COMPUTED_VALUE"""),345.0)</f>
        <v>345</v>
      </c>
      <c r="B347" s="87" t="str">
        <f>IFERROR(__xludf.DUMMYFUNCTION("""COMPUTED_VALUE"""),"Chai")</f>
        <v>Chai</v>
      </c>
      <c r="C347" s="87" t="str">
        <f>IFERROR(__xludf.DUMMYFUNCTION("""COMPUTED_VALUE"""),"CET0015")</f>
        <v>CET0015</v>
      </c>
      <c r="D347" s="87" t="str">
        <f>IFERROR(__xludf.DUMMYFUNCTION("""COMPUTED_VALUE"""),"Chai PAPE tròn cổ 43 250ml trắng-UPC")</f>
        <v>Chai PAPE tròn cổ 43 250ml trắng-UPC</v>
      </c>
      <c r="E347" s="87" t="str">
        <f>IFERROR(__xludf.DUMMYFUNCTION("""COMPUTED_VALUE"""),"Apashuang 95WP")</f>
        <v>Apashuang 95WP</v>
      </c>
      <c r="F347" s="87" t="str">
        <f>IFERROR(__xludf.DUMMYFUNCTION("""COMPUTED_VALUE"""),"HH0015")</f>
        <v>HH0015</v>
      </c>
      <c r="G347" s="87" t="str">
        <f>IFERROR(__xludf.DUMMYFUNCTION("""COMPUTED_VALUE"""),"IDA Global - I - 299 - PH - Apashuang (Xanh Tím) - 100gr - 100")</f>
        <v>IDA Global - I - 299 - PH - Apashuang (Xanh Tím) - 100gr - 100</v>
      </c>
    </row>
    <row r="348">
      <c r="A348" s="86">
        <f>IFERROR(__xludf.DUMMYFUNCTION("""COMPUTED_VALUE"""),346.0)</f>
        <v>346</v>
      </c>
      <c r="B348" s="87" t="str">
        <f>IFERROR(__xludf.DUMMYFUNCTION("""COMPUTED_VALUE"""),"Nắp")</f>
        <v>Nắp</v>
      </c>
      <c r="C348" s="87" t="str">
        <f>IFERROR(__xludf.DUMMYFUNCTION("""COMPUTED_VALUE"""),"NAP0015")</f>
        <v>NAP0015</v>
      </c>
      <c r="D348" s="87" t="str">
        <f>IFERROR(__xludf.DUMMYFUNCTION("""COMPUTED_VALUE"""),"Nắp HDPE cổ 43 (10gr) logo IDA màu đỏ")</f>
        <v>Nắp HDPE cổ 43 (10gr) logo IDA màu đỏ</v>
      </c>
      <c r="E348" s="87" t="str">
        <f>IFERROR(__xludf.DUMMYFUNCTION("""COMPUTED_VALUE"""),"Creek 2.1EC")</f>
        <v>Creek 2.1EC</v>
      </c>
      <c r="F348" s="87" t="str">
        <f>IFERROR(__xludf.DUMMYFUNCTION("""COMPUTED_VALUE"""),"HH0015")</f>
        <v>HH0015</v>
      </c>
      <c r="G348" s="87" t="str">
        <f>IFERROR(__xludf.DUMMYFUNCTION("""COMPUTED_VALUE"""),"GC - II - 300 - Agriplant - Creek 2.1EC (chai vuông nhãn đỏ) - 450ml - 40")</f>
        <v>GC - II - 300 - Agriplant - Creek 2.1EC (chai vuông nhãn đỏ) - 450ml - 40</v>
      </c>
    </row>
    <row r="349">
      <c r="A349" s="86">
        <f>IFERROR(__xludf.DUMMYFUNCTION("""COMPUTED_VALUE"""),347.0)</f>
        <v>347</v>
      </c>
      <c r="B349" s="87" t="str">
        <f>IFERROR(__xludf.DUMMYFUNCTION("""COMPUTED_VALUE"""),"Chai")</f>
        <v>Chai</v>
      </c>
      <c r="C349" s="87" t="str">
        <f>IFERROR(__xludf.DUMMYFUNCTION("""COMPUTED_VALUE"""),"CET0016")</f>
        <v>CET0016</v>
      </c>
      <c r="D349" s="87" t="str">
        <f>IFERROR(__xludf.DUMMYFUNCTION("""COMPUTED_VALUE"""),"Chai PAPE tròn cổ 43 250ml trong trơn")</f>
        <v>Chai PAPE tròn cổ 43 250ml trong trơn</v>
      </c>
      <c r="E349" s="87" t="str">
        <f>IFERROR(__xludf.DUMMYFUNCTION("""COMPUTED_VALUE"""),"NPK Bổ sung Vi lượng Basel NPK 6-16-3 IDA 15")</f>
        <v>NPK Bổ sung Vi lượng Basel NPK 6-16-3 IDA 15</v>
      </c>
      <c r="F349" s="87" t="str">
        <f>IFERROR(__xludf.DUMMYFUNCTION("""COMPUTED_VALUE"""),"HH0016")</f>
        <v>HH0016</v>
      </c>
      <c r="G349" s="87" t="str">
        <f>IFERROR(__xludf.DUMMYFUNCTION("""COMPUTED_VALUE"""),"GC - I - 301 - Dưỡng chất vô cơ chuyên sầu riêng - 500ml - 40")</f>
        <v>GC - I - 301 - Dưỡng chất vô cơ chuyên sầu riêng - 500ml - 40</v>
      </c>
    </row>
    <row r="350">
      <c r="A350" s="86">
        <f>IFERROR(__xludf.DUMMYFUNCTION("""COMPUTED_VALUE"""),348.0)</f>
        <v>348</v>
      </c>
      <c r="B350" s="87" t="str">
        <f>IFERROR(__xludf.DUMMYFUNCTION("""COMPUTED_VALUE"""),"Nắp")</f>
        <v>Nắp</v>
      </c>
      <c r="C350" s="87" t="str">
        <f>IFERROR(__xludf.DUMMYFUNCTION("""COMPUTED_VALUE"""),"NAP0016")</f>
        <v>NAP0016</v>
      </c>
      <c r="D350" s="87" t="str">
        <f>IFERROR(__xludf.DUMMYFUNCTION("""COMPUTED_VALUE"""),"Nắp HDPE cổ 43 (10gr) logo IDA màu xanh lá đậm")</f>
        <v>Nắp HDPE cổ 43 (10gr) logo IDA màu xanh lá đậm</v>
      </c>
      <c r="E350" s="87" t="str">
        <f>IFERROR(__xludf.DUMMYFUNCTION("""COMPUTED_VALUE"""),"Vi lượng Basel IDA 46")</f>
        <v>Vi lượng Basel IDA 46</v>
      </c>
      <c r="F350" s="87" t="str">
        <f>IFERROR(__xludf.DUMMYFUNCTION("""COMPUTED_VALUE"""),"HH0016")</f>
        <v>HH0016</v>
      </c>
      <c r="G350" s="87" t="str">
        <f>IFERROR(__xludf.DUMMYFUNCTION("""COMPUTED_VALUE"""),"GC - I - 302 - Dưỡng cây xanh lá - 500ml - 40")</f>
        <v>GC - I - 302 - Dưỡng cây xanh lá - 500ml - 40</v>
      </c>
    </row>
    <row r="351">
      <c r="A351" s="86">
        <f>IFERROR(__xludf.DUMMYFUNCTION("""COMPUTED_VALUE"""),349.0)</f>
        <v>349</v>
      </c>
      <c r="B351" s="87" t="str">
        <f>IFERROR(__xludf.DUMMYFUNCTION("""COMPUTED_VALUE"""),"Chai")</f>
        <v>Chai</v>
      </c>
      <c r="C351" s="87" t="str">
        <f>IFERROR(__xludf.DUMMYFUNCTION("""COMPUTED_VALUE"""),"CHT0017")</f>
        <v>CHT0017</v>
      </c>
      <c r="D351" s="87" t="str">
        <f>IFERROR(__xludf.DUMMYFUNCTION("""COMPUTED_VALUE"""),"Chai HDPE tròn cổ 33 100ml - Đỏ - Cốc đong")</f>
        <v>Chai HDPE tròn cổ 33 100ml - Đỏ - Cốc đong</v>
      </c>
      <c r="E351" s="87" t="str">
        <f>IFERROR(__xludf.DUMMYFUNCTION("""COMPUTED_VALUE"""),"Creek 2.1EC")</f>
        <v>Creek 2.1EC</v>
      </c>
      <c r="F351" s="87" t="str">
        <f>IFERROR(__xludf.DUMMYFUNCTION("""COMPUTED_VALUE"""),"HH0017")</f>
        <v>HH0017</v>
      </c>
      <c r="G351" s="87" t="str">
        <f>IFERROR(__xludf.DUMMYFUNCTION("""COMPUTED_VALUE"""),"GC - I - 304 - Thiên Di Creek 2.1EC (chai pet vuông) - 400ml - 40")</f>
        <v>GC - I - 304 - Thiên Di Creek 2.1EC (chai pet vuông) - 400ml - 40</v>
      </c>
    </row>
    <row r="352">
      <c r="A352" s="86">
        <f>IFERROR(__xludf.DUMMYFUNCTION("""COMPUTED_VALUE"""),350.0)</f>
        <v>350</v>
      </c>
      <c r="B352" s="87" t="str">
        <f>IFERROR(__xludf.DUMMYFUNCTION("""COMPUTED_VALUE"""),"Nắp")</f>
        <v>Nắp</v>
      </c>
      <c r="C352" s="87" t="str">
        <f>IFERROR(__xludf.DUMMYFUNCTION("""COMPUTED_VALUE"""),"NAP0017")</f>
        <v>NAP0017</v>
      </c>
      <c r="D352" s="87" t="str">
        <f>IFERROR(__xludf.DUMMYFUNCTION("""COMPUTED_VALUE"""),"Nắp HDPE cổ 43 (10gr) logo IDA màu trắng")</f>
        <v>Nắp HDPE cổ 43 (10gr) logo IDA màu trắng</v>
      </c>
      <c r="E352" s="87" t="str">
        <f>IFERROR(__xludf.DUMMYFUNCTION("""COMPUTED_VALUE"""),"Acodyl 35WP")</f>
        <v>Acodyl 35WP</v>
      </c>
      <c r="F352" s="87" t="str">
        <f>IFERROR(__xludf.DUMMYFUNCTION("""COMPUTED_VALUE"""),"HH0017")</f>
        <v>HH0017</v>
      </c>
      <c r="G352" s="87" t="str">
        <f>IFERROR(__xludf.DUMMYFUNCTION("""COMPUTED_VALUE"""),"GC - I - 309 - Wettable Powder - 100gr - 100")</f>
        <v>GC - I - 309 - Wettable Powder - 100gr - 100</v>
      </c>
    </row>
    <row r="353">
      <c r="A353" s="86">
        <f>IFERROR(__xludf.DUMMYFUNCTION("""COMPUTED_VALUE"""),351.0)</f>
        <v>351</v>
      </c>
      <c r="B353" s="87" t="str">
        <f>IFERROR(__xludf.DUMMYFUNCTION("""COMPUTED_VALUE"""),"Chai")</f>
        <v>Chai</v>
      </c>
      <c r="C353" s="87" t="str">
        <f>IFERROR(__xludf.DUMMYFUNCTION("""COMPUTED_VALUE"""),"CHT0018")</f>
        <v>CHT0018</v>
      </c>
      <c r="D353" s="87" t="str">
        <f>IFERROR(__xludf.DUMMYFUNCTION("""COMPUTED_VALUE"""),"Chai HDPE tròn cổ 33 100ml - Trắng")</f>
        <v>Chai HDPE tròn cổ 33 100ml - Trắng</v>
      </c>
      <c r="E353" s="87" t="str">
        <f>IFERROR(__xludf.DUMMYFUNCTION("""COMPUTED_VALUE"""),"Creek 2.1EC")</f>
        <v>Creek 2.1EC</v>
      </c>
      <c r="F353" s="87" t="str">
        <f>IFERROR(__xludf.DUMMYFUNCTION("""COMPUTED_VALUE"""),"HH0018")</f>
        <v>HH0018</v>
      </c>
      <c r="G353" s="87" t="str">
        <f>IFERROR(__xludf.DUMMYFUNCTION("""COMPUTED_VALUE"""),"LOT IDA Global - I - 312 - Creek 2.1EC (chai pet vuông)- 450ml - 40")</f>
        <v>LOT IDA Global - I - 312 - Creek 2.1EC (chai pet vuông)- 450ml - 40</v>
      </c>
    </row>
    <row r="354">
      <c r="A354" s="86">
        <f>IFERROR(__xludf.DUMMYFUNCTION("""COMPUTED_VALUE"""),352.0)</f>
        <v>352</v>
      </c>
      <c r="B354" s="87" t="str">
        <f>IFERROR(__xludf.DUMMYFUNCTION("""COMPUTED_VALUE"""),"Nắp")</f>
        <v>Nắp</v>
      </c>
      <c r="C354" s="87" t="str">
        <f>IFERROR(__xludf.DUMMYFUNCTION("""COMPUTED_VALUE"""),"NAP0018")</f>
        <v>NAP0018</v>
      </c>
      <c r="D354" s="87" t="str">
        <f>IFERROR(__xludf.DUMMYFUNCTION("""COMPUTED_VALUE"""),"Nắp HDPE cổ 43 (10gr) logo IDA màu vàng")</f>
        <v>Nắp HDPE cổ 43 (10gr) logo IDA màu vàng</v>
      </c>
      <c r="E354" s="87" t="str">
        <f>IFERROR(__xludf.DUMMYFUNCTION("""COMPUTED_VALUE"""),"Pro-tin 480EC")</f>
        <v>Pro-tin 480EC</v>
      </c>
      <c r="F354" s="87" t="str">
        <f>IFERROR(__xludf.DUMMYFUNCTION("""COMPUTED_VALUE"""),"HH0018")</f>
        <v>HH0018</v>
      </c>
      <c r="G354" s="87" t="str">
        <f>IFERROR(__xludf.DUMMYFUNCTION("""COMPUTED_VALUE"""),"LOT IDA Global - I - 313.1 - Chlorpyrifos (xanh dương) (PET tròn)- 480ml - 40")</f>
        <v>LOT IDA Global - I - 313.1 - Chlorpyrifos (xanh dương) (PET tròn)- 480ml - 40</v>
      </c>
    </row>
    <row r="355">
      <c r="A355" s="86">
        <f>IFERROR(__xludf.DUMMYFUNCTION("""COMPUTED_VALUE"""),353.0)</f>
        <v>353</v>
      </c>
      <c r="B355" s="87" t="str">
        <f>IFERROR(__xludf.DUMMYFUNCTION("""COMPUTED_VALUE"""),"Chai")</f>
        <v>Chai</v>
      </c>
      <c r="C355" s="87" t="str">
        <f>IFERROR(__xludf.DUMMYFUNCTION("""COMPUTED_VALUE"""),"CHT0019")</f>
        <v>CHT0019</v>
      </c>
      <c r="D355" s="87" t="str">
        <f>IFERROR(__xludf.DUMMYFUNCTION("""COMPUTED_VALUE"""),"Chai HDPE tròn cổ 43 250ml logo IDA - đỏ, nắp đỏ")</f>
        <v>Chai HDPE tròn cổ 43 250ml logo IDA - đỏ, nắp đỏ</v>
      </c>
      <c r="E355" s="87" t="str">
        <f>IFERROR(__xludf.DUMMYFUNCTION("""COMPUTED_VALUE"""),"Vi lượng Basel IDA 46")</f>
        <v>Vi lượng Basel IDA 46</v>
      </c>
      <c r="F355" s="87" t="str">
        <f>IFERROR(__xludf.DUMMYFUNCTION("""COMPUTED_VALUE"""),"HH0019")</f>
        <v>HH0019</v>
      </c>
      <c r="G355" s="87" t="str">
        <f>IFERROR(__xludf.DUMMYFUNCTION("""COMPUTED_VALUE"""),"GC - II - 320.1 - AU - Diệp Lục Tố (Túi Trục) - 50ml - 200")</f>
        <v>GC - II - 320.1 - AU - Diệp Lục Tố (Túi Trục) - 50ml - 200</v>
      </c>
    </row>
    <row r="356">
      <c r="A356" s="86">
        <f>IFERROR(__xludf.DUMMYFUNCTION("""COMPUTED_VALUE"""),354.0)</f>
        <v>354</v>
      </c>
      <c r="B356" s="87" t="str">
        <f>IFERROR(__xludf.DUMMYFUNCTION("""COMPUTED_VALUE"""),"Nắp")</f>
        <v>Nắp</v>
      </c>
      <c r="C356" s="87" t="str">
        <f>IFERROR(__xludf.DUMMYFUNCTION("""COMPUTED_VALUE"""),"NAP0019")</f>
        <v>NAP0019</v>
      </c>
      <c r="D356" s="87" t="str">
        <f>IFERROR(__xludf.DUMMYFUNCTION("""COMPUTED_VALUE"""),"Nắp HDPE cổ 43 (10gr) logo IDA màu cam")</f>
        <v>Nắp HDPE cổ 43 (10gr) logo IDA màu cam</v>
      </c>
      <c r="E356" s="87" t="str">
        <f>IFERROR(__xludf.DUMMYFUNCTION("""COMPUTED_VALUE"""),"Vi lượng Basel IDA 46")</f>
        <v>Vi lượng Basel IDA 46</v>
      </c>
      <c r="F356" s="87" t="str">
        <f>IFERROR(__xludf.DUMMYFUNCTION("""COMPUTED_VALUE"""),"HH0019")</f>
        <v>HH0019</v>
      </c>
      <c r="G356" s="87" t="str">
        <f>IFERROR(__xludf.DUMMYFUNCTION("""COMPUTED_VALUE"""),"IDA Global - I - 324 - Chito M55 - 500ml - 40")</f>
        <v>IDA Global - I - 324 - Chito M55 - 500ml - 40</v>
      </c>
    </row>
    <row r="357">
      <c r="A357" s="86">
        <f>IFERROR(__xludf.DUMMYFUNCTION("""COMPUTED_VALUE"""),355.0)</f>
        <v>355</v>
      </c>
      <c r="B357" s="87" t="str">
        <f>IFERROR(__xludf.DUMMYFUNCTION("""COMPUTED_VALUE"""),"Chai")</f>
        <v>Chai</v>
      </c>
      <c r="C357" s="87" t="str">
        <f>IFERROR(__xludf.DUMMYFUNCTION("""COMPUTED_VALUE"""),"CPT0020")</f>
        <v>CPT0020</v>
      </c>
      <c r="D357" s="87" t="str">
        <f>IFERROR(__xludf.DUMMYFUNCTION("""COMPUTED_VALUE"""),"Chai PET tròn cổ 43 250ml trắng")</f>
        <v>Chai PET tròn cổ 43 250ml trắng</v>
      </c>
      <c r="E357" s="87" t="str">
        <f>IFERROR(__xludf.DUMMYFUNCTION("""COMPUTED_VALUE"""),"Vi lượng Basel DANA 20")</f>
        <v>Vi lượng Basel DANA 20</v>
      </c>
      <c r="F357" s="87" t="str">
        <f>IFERROR(__xludf.DUMMYFUNCTION("""COMPUTED_VALUE"""),"HH0020")</f>
        <v>HH0020</v>
      </c>
      <c r="G357" s="87" t="str">
        <f>IFERROR(__xludf.DUMMYFUNCTION("""COMPUTED_VALUE"""),"GC - I - 326 - CTP - Viên sủi to hạt Trúng mùa số 1 - 5gr - 1000")</f>
        <v>GC - I - 326 - CTP - Viên sủi to hạt Trúng mùa số 1 - 5gr - 1000</v>
      </c>
    </row>
    <row r="358">
      <c r="A358" s="86">
        <f>IFERROR(__xludf.DUMMYFUNCTION("""COMPUTED_VALUE"""),356.0)</f>
        <v>356</v>
      </c>
      <c r="B358" s="87" t="str">
        <f>IFERROR(__xludf.DUMMYFUNCTION("""COMPUTED_VALUE"""),"Nắp")</f>
        <v>Nắp</v>
      </c>
      <c r="C358" s="87" t="str">
        <f>IFERROR(__xludf.DUMMYFUNCTION("""COMPUTED_VALUE"""),"NAP0020")</f>
        <v>NAP0020</v>
      </c>
      <c r="D358" s="87" t="str">
        <f>IFERROR(__xludf.DUMMYFUNCTION("""COMPUTED_VALUE"""),"Nắp PET chai tròn 28 250ml - Đỏ")</f>
        <v>Nắp PET chai tròn 28 250ml - Đỏ</v>
      </c>
      <c r="E358" s="87" t="str">
        <f>IFERROR(__xludf.DUMMYFUNCTION("""COMPUTED_VALUE"""),"Vi lượng AV-CFC Plus")</f>
        <v>Vi lượng AV-CFC Plus</v>
      </c>
      <c r="F358" s="87" t="str">
        <f>IFERROR(__xludf.DUMMYFUNCTION("""COMPUTED_VALUE"""),"HH0020")</f>
        <v>HH0020</v>
      </c>
      <c r="G358" s="87" t="str">
        <f>IFERROR(__xludf.DUMMYFUNCTION("""COMPUTED_VALUE"""),"GC - II - 328 - Agriplant - Bio siêu đậu trái lớn trái xoài (Mới) - 500ml - 40")</f>
        <v>GC - II - 328 - Agriplant - Bio siêu đậu trái lớn trái xoài (Mới) - 500ml - 40</v>
      </c>
    </row>
    <row r="359">
      <c r="A359" s="86">
        <f>IFERROR(__xludf.DUMMYFUNCTION("""COMPUTED_VALUE"""),357.0)</f>
        <v>357</v>
      </c>
      <c r="B359" s="87" t="str">
        <f>IFERROR(__xludf.DUMMYFUNCTION("""COMPUTED_VALUE"""),"Chai")</f>
        <v>Chai</v>
      </c>
      <c r="C359" s="87" t="str">
        <f>IFERROR(__xludf.DUMMYFUNCTION("""COMPUTED_VALUE"""),"CHT0021")</f>
        <v>CHT0021</v>
      </c>
      <c r="D359" s="87" t="str">
        <f>IFERROR(__xludf.DUMMYFUNCTION("""COMPUTED_VALUE"""),"Chai HDPE tròn 43 500ml  trắng- MP A02")</f>
        <v>Chai HDPE tròn 43 500ml  trắng- MP A02</v>
      </c>
      <c r="E359" s="87" t="str">
        <f>IFERROR(__xludf.DUMMYFUNCTION("""COMPUTED_VALUE"""),"NPK Bổ sung Vi lượng Basel NPK 6-16-3 IDA 15")</f>
        <v>NPK Bổ sung Vi lượng Basel NPK 6-16-3 IDA 15</v>
      </c>
      <c r="F359" s="87" t="str">
        <f>IFERROR(__xludf.DUMMYFUNCTION("""COMPUTED_VALUE"""),"HH0021")</f>
        <v>HH0021</v>
      </c>
      <c r="G359" s="87" t="str">
        <f>IFERROR(__xludf.DUMMYFUNCTION("""COMPUTED_VALUE"""),"IDA Global - I - 349 - Ronado (mới)- 50ml - 300")</f>
        <v>IDA Global - I - 349 - Ronado (mới)- 50ml - 300</v>
      </c>
    </row>
    <row r="360">
      <c r="A360" s="86">
        <f>IFERROR(__xludf.DUMMYFUNCTION("""COMPUTED_VALUE"""),358.0)</f>
        <v>358</v>
      </c>
      <c r="B360" s="87" t="str">
        <f>IFERROR(__xludf.DUMMYFUNCTION("""COMPUTED_VALUE"""),"Nắp")</f>
        <v>Nắp</v>
      </c>
      <c r="C360" s="87" t="str">
        <f>IFERROR(__xludf.DUMMYFUNCTION("""COMPUTED_VALUE"""),"NAP0010")</f>
        <v>NAP0010</v>
      </c>
      <c r="D360" s="87" t="str">
        <f>IFERROR(__xludf.DUMMYFUNCTION("""COMPUTED_VALUE"""),"Nắp Chai HDPE tròn 43 500ml trắng- MP A02")</f>
        <v>Nắp Chai HDPE tròn 43 500ml trắng- MP A02</v>
      </c>
      <c r="E360" s="87" t="str">
        <f>IFERROR(__xludf.DUMMYFUNCTION("""COMPUTED_VALUE"""),"NPK Bổ sung Vi lượng Basel NPK 6-16-3 IDA 15")</f>
        <v>NPK Bổ sung Vi lượng Basel NPK 6-16-3 IDA 15</v>
      </c>
      <c r="F360" s="87" t="str">
        <f>IFERROR(__xludf.DUMMYFUNCTION("""COMPUTED_VALUE"""),"HH0010")</f>
        <v>HH0010</v>
      </c>
      <c r="G360" s="87" t="str">
        <f>IFERROR(__xludf.DUMMYFUNCTION("""COMPUTED_VALUE"""),"IDA Global - I - 351 - Ra rễ mập chồi (mới) - 50ml - 300")</f>
        <v>IDA Global - I - 351 - Ra rễ mập chồi (mới) - 50ml - 300</v>
      </c>
    </row>
    <row r="361">
      <c r="A361" s="86">
        <f>IFERROR(__xludf.DUMMYFUNCTION("""COMPUTED_VALUE"""),359.0)</f>
        <v>359</v>
      </c>
      <c r="B361" s="87" t="str">
        <f>IFERROR(__xludf.DUMMYFUNCTION("""COMPUTED_VALUE"""),"Nắp")</f>
        <v>Nắp</v>
      </c>
      <c r="C361" s="87" t="str">
        <f>IFERROR(__xludf.DUMMYFUNCTION("""COMPUTED_VALUE"""),"NAP0021")</f>
        <v>NAP0021</v>
      </c>
      <c r="D361" s="87" t="str">
        <f>IFERROR(__xludf.DUMMYFUNCTION("""COMPUTED_VALUE"""),"Nắp HDPE cổ 42.5 (10g) xanh dương")</f>
        <v>Nắp HDPE cổ 42.5 (10g) xanh dương</v>
      </c>
      <c r="E361" s="87" t="str">
        <f>IFERROR(__xludf.DUMMYFUNCTION("""COMPUTED_VALUE"""),"Leafroll 260SC")</f>
        <v>Leafroll 260SC</v>
      </c>
      <c r="F361" s="87" t="str">
        <f>IFERROR(__xludf.DUMMYFUNCTION("""COMPUTED_VALUE"""),"HH0021")</f>
        <v>HH0021</v>
      </c>
      <c r="G361" s="87" t="str">
        <f>IFERROR(__xludf.DUMMYFUNCTION("""COMPUTED_VALUE"""),"LOT IDA Global - I - 354 - Sức mạnh cá mập 260 - 120ml - 100")</f>
        <v>LOT IDA Global - I - 354 - Sức mạnh cá mập 260 - 120ml - 100</v>
      </c>
    </row>
    <row r="362">
      <c r="A362" s="86">
        <f>IFERROR(__xludf.DUMMYFUNCTION("""COMPUTED_VALUE"""),360.0)</f>
        <v>360</v>
      </c>
      <c r="B362" s="87" t="str">
        <f>IFERROR(__xludf.DUMMYFUNCTION("""COMPUTED_VALUE"""),"Chai")</f>
        <v>Chai</v>
      </c>
      <c r="C362" s="87" t="str">
        <f>IFERROR(__xludf.DUMMYFUNCTION("""COMPUTED_VALUE"""),"CHT0022")</f>
        <v>CHT0022</v>
      </c>
      <c r="D362" s="87" t="str">
        <f>IFERROR(__xludf.DUMMYFUNCTION("""COMPUTED_VALUE"""),"Chai HDPE tròn cổ 39.3 1L  (100gr) trắng - HG03")</f>
        <v>Chai HDPE tròn cổ 39.3 1L  (100gr) trắng - HG03</v>
      </c>
      <c r="E362" s="87" t="str">
        <f>IFERROR(__xludf.DUMMYFUNCTION("""COMPUTED_VALUE"""),"Vi lượng AV-CFC
(Dạng lỏng)")</f>
        <v>Vi lượng AV-CFC
(Dạng lỏng)</v>
      </c>
      <c r="F362" s="87" t="str">
        <f>IFERROR(__xludf.DUMMYFUNCTION("""COMPUTED_VALUE"""),"HH0022")</f>
        <v>HH0022</v>
      </c>
      <c r="G362" s="87" t="str">
        <f>IFERROR(__xludf.DUMMYFUNCTION("""COMPUTED_VALUE"""),"GC - II - 355 - AK - T-AK01 - 500ml - 40")</f>
        <v>GC - II - 355 - AK - T-AK01 - 500ml - 40</v>
      </c>
    </row>
    <row r="363">
      <c r="A363" s="86">
        <f>IFERROR(__xludf.DUMMYFUNCTION("""COMPUTED_VALUE"""),361.0)</f>
        <v>361</v>
      </c>
      <c r="B363" s="87" t="str">
        <f>IFERROR(__xludf.DUMMYFUNCTION("""COMPUTED_VALUE"""),"Nắp")</f>
        <v>Nắp</v>
      </c>
      <c r="C363" s="87" t="str">
        <f>IFERROR(__xludf.DUMMYFUNCTION("""COMPUTED_VALUE"""),"NAP0022")</f>
        <v>NAP0022</v>
      </c>
      <c r="D363" s="87" t="str">
        <f>IFERROR(__xludf.DUMMYFUNCTION("""COMPUTED_VALUE"""),"Nắp HDPE cổ 42.5 (10g) vàng")</f>
        <v>Nắp HDPE cổ 42.5 (10g) vàng</v>
      </c>
      <c r="E363" s="87" t="str">
        <f>IFERROR(__xludf.DUMMYFUNCTION("""COMPUTED_VALUE"""),"Vi lượng Basel IDA 49")</f>
        <v>Vi lượng Basel IDA 49</v>
      </c>
      <c r="F363" s="87" t="str">
        <f>IFERROR(__xludf.DUMMYFUNCTION("""COMPUTED_VALUE"""),"HH0022")</f>
        <v>HH0022</v>
      </c>
      <c r="G363" s="87" t="str">
        <f>IFERROR(__xludf.DUMMYFUNCTION("""COMPUTED_VALUE"""),"GC - II - 357 - AK - T-AK02 - 500ml - 40")</f>
        <v>GC - II - 357 - AK - T-AK02 - 500ml - 40</v>
      </c>
    </row>
    <row r="364">
      <c r="A364" s="86">
        <f>IFERROR(__xludf.DUMMYFUNCTION("""COMPUTED_VALUE"""),362.0)</f>
        <v>362</v>
      </c>
      <c r="B364" s="87" t="str">
        <f>IFERROR(__xludf.DUMMYFUNCTION("""COMPUTED_VALUE"""),"Chai")</f>
        <v>Chai</v>
      </c>
      <c r="C364" s="87" t="str">
        <f>IFERROR(__xludf.DUMMYFUNCTION("""COMPUTED_VALUE"""),"CHT0023")</f>
        <v>CHT0023</v>
      </c>
      <c r="D364" s="87" t="str">
        <f>IFERROR(__xludf.DUMMYFUNCTION("""COMPUTED_VALUE"""),"Chai HDPE tròn cổ 50 500ml (60gr) - trắng - HG08")</f>
        <v>Chai HDPE tròn cổ 50 500ml (60gr) - trắng - HG08</v>
      </c>
      <c r="E364" s="87" t="str">
        <f>IFERROR(__xludf.DUMMYFUNCTION("""COMPUTED_VALUE"""),"Vi lượng AV-CFC
(Dạng rắn)")</f>
        <v>Vi lượng AV-CFC
(Dạng rắn)</v>
      </c>
      <c r="F364" s="87" t="str">
        <f>IFERROR(__xludf.DUMMYFUNCTION("""COMPUTED_VALUE"""),"HH0023")</f>
        <v>HH0023</v>
      </c>
      <c r="G364" s="87" t="str">
        <f>IFERROR(__xludf.DUMMYFUNCTION("""COMPUTED_VALUE"""),"GC - II - 358 - Hoàng Thảo - HumiK - 1kg - 25")</f>
        <v>GC - II - 358 - Hoàng Thảo - HumiK - 1kg - 25</v>
      </c>
    </row>
    <row r="365">
      <c r="A365" s="86">
        <f>IFERROR(__xludf.DUMMYFUNCTION("""COMPUTED_VALUE"""),363.0)</f>
        <v>363</v>
      </c>
      <c r="B365" s="87" t="str">
        <f>IFERROR(__xludf.DUMMYFUNCTION("""COMPUTED_VALUE"""),"Nắp")</f>
        <v>Nắp</v>
      </c>
      <c r="C365" s="87" t="str">
        <f>IFERROR(__xludf.DUMMYFUNCTION("""COMPUTED_VALUE"""),"NAP0023")</f>
        <v>NAP0023</v>
      </c>
      <c r="D365" s="87" t="str">
        <f>IFERROR(__xludf.DUMMYFUNCTION("""COMPUTED_VALUE"""),"Nắp HDPE cổ 43 (10g) trắng")</f>
        <v>Nắp HDPE cổ 43 (10g) trắng</v>
      </c>
      <c r="E365" s="87" t="str">
        <f>IFERROR(__xludf.DUMMYFUNCTION("""COMPUTED_VALUE"""),"Vi lượng Basel DANA 20")</f>
        <v>Vi lượng Basel DANA 20</v>
      </c>
      <c r="F365" s="87" t="str">
        <f>IFERROR(__xludf.DUMMYFUNCTION("""COMPUTED_VALUE"""),"HH0023")</f>
        <v>HH0023</v>
      </c>
      <c r="G365" s="87" t="str">
        <f>IFERROR(__xludf.DUMMYFUNCTION("""COMPUTED_VALUE"""),"GC - I - 359 - AU - Stronger Plus - 500ml - 40")</f>
        <v>GC - I - 359 - AU - Stronger Plus - 500ml - 40</v>
      </c>
    </row>
    <row r="366">
      <c r="A366" s="86">
        <f>IFERROR(__xludf.DUMMYFUNCTION("""COMPUTED_VALUE"""),364.0)</f>
        <v>364</v>
      </c>
      <c r="B366" s="87" t="str">
        <f>IFERROR(__xludf.DUMMYFUNCTION("""COMPUTED_VALUE"""),"Chai")</f>
        <v>Chai</v>
      </c>
      <c r="C366" s="87" t="str">
        <f>IFERROR(__xludf.DUMMYFUNCTION("""COMPUTED_VALUE"""),"CPT0024")</f>
        <v>CPT0024</v>
      </c>
      <c r="D366" s="87" t="str">
        <f>IFERROR(__xludf.DUMMYFUNCTION("""COMPUTED_VALUE"""),"Chai PET tròn cổ 43 500ml trắng - UPC")</f>
        <v>Chai PET tròn cổ 43 500ml trắng - UPC</v>
      </c>
      <c r="E366" s="87" t="str">
        <f>IFERROR(__xludf.DUMMYFUNCTION("""COMPUTED_VALUE"""),"Vi lượng AV-VINA US-BOKALI")</f>
        <v>Vi lượng AV-VINA US-BOKALI</v>
      </c>
      <c r="F366" s="87" t="str">
        <f>IFERROR(__xludf.DUMMYFUNCTION("""COMPUTED_VALUE"""),"HH0024")</f>
        <v>HH0024</v>
      </c>
      <c r="G366" s="87" t="str">
        <f>IFERROR(__xludf.DUMMYFUNCTION("""COMPUTED_VALUE"""),"GC - II -361 - Kali Sữa - 500ml - 40")</f>
        <v>GC - II -361 - Kali Sữa - 500ml - 40</v>
      </c>
    </row>
    <row r="367">
      <c r="A367" s="86">
        <f>IFERROR(__xludf.DUMMYFUNCTION("""COMPUTED_VALUE"""),365.0)</f>
        <v>365</v>
      </c>
      <c r="B367" s="87" t="str">
        <f>IFERROR(__xludf.DUMMYFUNCTION("""COMPUTED_VALUE"""),"Nắp")</f>
        <v>Nắp</v>
      </c>
      <c r="C367" s="87" t="str">
        <f>IFERROR(__xludf.DUMMYFUNCTION("""COMPUTED_VALUE"""),"NAP0024")</f>
        <v>NAP0024</v>
      </c>
      <c r="D367" s="87" t="str">
        <f>IFERROR(__xludf.DUMMYFUNCTION("""COMPUTED_VALUE"""),"Nắp chai nhôm cổ 38  - Màu trắng - Có cốc đong")</f>
        <v>Nắp chai nhôm cổ 38  - Màu trắng - Có cốc đong</v>
      </c>
      <c r="E367" s="87" t="str">
        <f>IFERROR(__xludf.DUMMYFUNCTION("""COMPUTED_VALUE"""),"Tiger five 6.5EC")</f>
        <v>Tiger five 6.5EC</v>
      </c>
      <c r="F367" s="87" t="str">
        <f>IFERROR(__xludf.DUMMYFUNCTION("""COMPUTED_VALUE"""),"HH0024")</f>
        <v>HH0024</v>
      </c>
      <c r="G367" s="87" t="str">
        <f>IFERROR(__xludf.DUMMYFUNCTION("""COMPUTED_VALUE"""),"GC - I - 363 - AU - Diệt sạch sâu - nhện AGC (Chai nhôm đỏ) - 220ml - 40")</f>
        <v>GC - I - 363 - AU - Diệt sạch sâu - nhện AGC (Chai nhôm đỏ) - 220ml - 40</v>
      </c>
    </row>
    <row r="368">
      <c r="A368" s="86">
        <f>IFERROR(__xludf.DUMMYFUNCTION("""COMPUTED_VALUE"""),366.0)</f>
        <v>366</v>
      </c>
      <c r="B368" s="87" t="str">
        <f>IFERROR(__xludf.DUMMYFUNCTION("""COMPUTED_VALUE"""),"Chai")</f>
        <v>Chai</v>
      </c>
      <c r="C368" s="87" t="str">
        <f>IFERROR(__xludf.DUMMYFUNCTION("""COMPUTED_VALUE"""),"CHT0025")</f>
        <v>CHT0025</v>
      </c>
      <c r="D368" s="87" t="str">
        <f>IFERROR(__xludf.DUMMYFUNCTION("""COMPUTED_VALUE"""),"Chai HDPE tròn cổ 43 250ml (40gr) logo IDA màu trắng")</f>
        <v>Chai HDPE tròn cổ 43 250ml (40gr) logo IDA màu trắng</v>
      </c>
      <c r="E368" s="87" t="str">
        <f>IFERROR(__xludf.DUMMYFUNCTION("""COMPUTED_VALUE"""),"Vi lượng AV-CFC
(Dạng rắn)")</f>
        <v>Vi lượng AV-CFC
(Dạng rắn)</v>
      </c>
      <c r="F368" s="87" t="str">
        <f>IFERROR(__xludf.DUMMYFUNCTION("""COMPUTED_VALUE"""),"HH0025")</f>
        <v>HH0025</v>
      </c>
      <c r="G368" s="87" t="str">
        <f>IFERROR(__xludf.DUMMYFUNCTION("""COMPUTED_VALUE"""),"IDA Global - I - 365.1 - Humi Total (Xanh Dương) - 1kg - 25")</f>
        <v>IDA Global - I - 365.1 - Humi Total (Xanh Dương) - 1kg - 25</v>
      </c>
    </row>
    <row r="369">
      <c r="A369" s="86">
        <f>IFERROR(__xludf.DUMMYFUNCTION("""COMPUTED_VALUE"""),367.0)</f>
        <v>367</v>
      </c>
      <c r="B369" s="87" t="str">
        <f>IFERROR(__xludf.DUMMYFUNCTION("""COMPUTED_VALUE"""),"Nắp")</f>
        <v>Nắp</v>
      </c>
      <c r="C369" s="87" t="str">
        <f>IFERROR(__xludf.DUMMYFUNCTION("""COMPUTED_VALUE"""),"NAP0025")</f>
        <v>NAP0025</v>
      </c>
      <c r="D369" s="87" t="str">
        <f>IFERROR(__xludf.DUMMYFUNCTION("""COMPUTED_VALUE"""),"Nắp HDPE cổ 42.5 (10g) đen")</f>
        <v>Nắp HDPE cổ 42.5 (10g) đen</v>
      </c>
      <c r="E369" s="87" t="str">
        <f>IFERROR(__xludf.DUMMYFUNCTION("""COMPUTED_VALUE"""),"Vi lượng Basel DANA 20")</f>
        <v>Vi lượng Basel DANA 20</v>
      </c>
      <c r="F369" s="87" t="str">
        <f>IFERROR(__xludf.DUMMYFUNCTION("""COMPUTED_VALUE"""),"HH0025")</f>
        <v>HH0025</v>
      </c>
      <c r="G369" s="87" t="str">
        <f>IFERROR(__xludf.DUMMYFUNCTION("""COMPUTED_VALUE"""),"GC - I - 367 - AU - BOZINC - 500ml - 40")</f>
        <v>GC - I - 367 - AU - BOZINC - 500ml - 40</v>
      </c>
    </row>
    <row r="370">
      <c r="A370" s="86">
        <f>IFERROR(__xludf.DUMMYFUNCTION("""COMPUTED_VALUE"""),368.0)</f>
        <v>368</v>
      </c>
      <c r="B370" s="87" t="str">
        <f>IFERROR(__xludf.DUMMYFUNCTION("""COMPUTED_VALUE"""),"Chai")</f>
        <v>Chai</v>
      </c>
      <c r="C370" s="87" t="str">
        <f>IFERROR(__xludf.DUMMYFUNCTION("""COMPUTED_VALUE"""),"CHT0026")</f>
        <v>CHT0026</v>
      </c>
      <c r="D370" s="87" t="str">
        <f>IFERROR(__xludf.DUMMYFUNCTION("""COMPUTED_VALUE"""),"Chai HDPE tròn cổ 43 250ml (40gr) logo IDA màu xanh lá")</f>
        <v>Chai HDPE tròn cổ 43 250ml (40gr) logo IDA màu xanh lá</v>
      </c>
      <c r="E370" s="87" t="str">
        <f>IFERROR(__xludf.DUMMYFUNCTION("""COMPUTED_VALUE"""),"Vi lượng Basel DANA 20")</f>
        <v>Vi lượng Basel DANA 20</v>
      </c>
      <c r="F370" s="87" t="str">
        <f>IFERROR(__xludf.DUMMYFUNCTION("""COMPUTED_VALUE"""),"HH0026")</f>
        <v>HH0026</v>
      </c>
      <c r="G370" s="87" t="str">
        <f>IFERROR(__xludf.DUMMYFUNCTION("""COMPUTED_VALUE"""),"GC - I - 368 - AU - Root Plus - 1lít - 20")</f>
        <v>GC - I - 368 - AU - Root Plus - 1lít - 20</v>
      </c>
    </row>
    <row r="371">
      <c r="A371" s="86">
        <f>IFERROR(__xludf.DUMMYFUNCTION("""COMPUTED_VALUE"""),369.0)</f>
        <v>369</v>
      </c>
      <c r="B371" s="87" t="str">
        <f>IFERROR(__xludf.DUMMYFUNCTION("""COMPUTED_VALUE"""),"Nắp")</f>
        <v>Nắp</v>
      </c>
      <c r="C371" s="87" t="str">
        <f>IFERROR(__xludf.DUMMYFUNCTION("""COMPUTED_VALUE"""),"NAP0026")</f>
        <v>NAP0026</v>
      </c>
      <c r="D371" s="87" t="str">
        <f>IFERROR(__xludf.DUMMYFUNCTION("""COMPUTED_VALUE"""),"Nắp PET cổ 34 - trắng - UPC")</f>
        <v>Nắp PET cổ 34 - trắng - UPC</v>
      </c>
      <c r="E371" s="87" t="str">
        <f>IFERROR(__xludf.DUMMYFUNCTION("""COMPUTED_VALUE"""),"Vi lượng AV-CFC Plus")</f>
        <v>Vi lượng AV-CFC Plus</v>
      </c>
      <c r="F371" s="87" t="str">
        <f>IFERROR(__xludf.DUMMYFUNCTION("""COMPUTED_VALUE"""),"HH0026")</f>
        <v>HH0026</v>
      </c>
      <c r="G371" s="87" t="str">
        <f>IFERROR(__xludf.DUMMYFUNCTION("""COMPUTED_VALUE"""),"GC - II - 374 - Dinh dưỡng 7in1 - 50ml - 200")</f>
        <v>GC - II - 374 - Dinh dưỡng 7in1 - 50ml - 200</v>
      </c>
    </row>
    <row r="372">
      <c r="A372" s="86">
        <f>IFERROR(__xludf.DUMMYFUNCTION("""COMPUTED_VALUE"""),370.0)</f>
        <v>370</v>
      </c>
      <c r="B372" s="87" t="str">
        <f>IFERROR(__xludf.DUMMYFUNCTION("""COMPUTED_VALUE"""),"Chai")</f>
        <v>Chai</v>
      </c>
      <c r="C372" s="87" t="str">
        <f>IFERROR(__xludf.DUMMYFUNCTION("""COMPUTED_VALUE"""),"CHT0027")</f>
        <v>CHT0027</v>
      </c>
      <c r="D372" s="87" t="str">
        <f>IFERROR(__xludf.DUMMYFUNCTION("""COMPUTED_VALUE"""),"Chai HDPE tròn cổ 43 240,250ml (40gr) logo IDA màu đỏ")</f>
        <v>Chai HDPE tròn cổ 43 240,250ml (40gr) logo IDA màu đỏ</v>
      </c>
      <c r="E372" s="87" t="str">
        <f>IFERROR(__xludf.DUMMYFUNCTION("""COMPUTED_VALUE"""),"Vi lượng AV2-963BOZIN")</f>
        <v>Vi lượng AV2-963BOZIN</v>
      </c>
      <c r="F372" s="87" t="str">
        <f>IFERROR(__xludf.DUMMYFUNCTION("""COMPUTED_VALUE"""),"HH0027")</f>
        <v>HH0027</v>
      </c>
      <c r="G372" s="87" t="str">
        <f>IFERROR(__xludf.DUMMYFUNCTION("""COMPUTED_VALUE"""),"GC - IV - 376 - Agriplant - Ra hoa xoài - 1kg - 25")</f>
        <v>GC - IV - 376 - Agriplant - Ra hoa xoài - 1kg - 25</v>
      </c>
    </row>
    <row r="373">
      <c r="A373" s="86">
        <f>IFERROR(__xludf.DUMMYFUNCTION("""COMPUTED_VALUE"""),371.0)</f>
        <v>371</v>
      </c>
      <c r="B373" s="87" t="str">
        <f>IFERROR(__xludf.DUMMYFUNCTION("""COMPUTED_VALUE"""),"Nắp")</f>
        <v>Nắp</v>
      </c>
      <c r="C373" s="87" t="str">
        <f>IFERROR(__xludf.DUMMYFUNCTION("""COMPUTED_VALUE"""),"NAP0027")</f>
        <v>NAP0027</v>
      </c>
      <c r="D373" s="87" t="str">
        <f>IFERROR(__xludf.DUMMYFUNCTION("""COMPUTED_VALUE"""),"Nắp HDPE cổ 33 (5.5gr) trắng trơn")</f>
        <v>Nắp HDPE cổ 33 (5.5gr) trắng trơn</v>
      </c>
      <c r="E373" s="87" t="str">
        <f>IFERROR(__xludf.DUMMYFUNCTION("""COMPUTED_VALUE"""),"Leafroll 260SC")</f>
        <v>Leafroll 260SC</v>
      </c>
      <c r="F373" s="87" t="str">
        <f>IFERROR(__xludf.DUMMYFUNCTION("""COMPUTED_VALUE"""),"HH0027")</f>
        <v>HH0027</v>
      </c>
      <c r="G373" s="87" t="str">
        <f>IFERROR(__xludf.DUMMYFUNCTION("""COMPUTED_VALUE"""),"IDA Global - I - 388 - YUMY Leafroll 260SC - 120ml - 100")</f>
        <v>IDA Global - I - 388 - YUMY Leafroll 260SC - 120ml - 100</v>
      </c>
    </row>
    <row r="374">
      <c r="A374" s="86">
        <f>IFERROR(__xludf.DUMMYFUNCTION("""COMPUTED_VALUE"""),372.0)</f>
        <v>372</v>
      </c>
      <c r="B374" s="87" t="str">
        <f>IFERROR(__xludf.DUMMYFUNCTION("""COMPUTED_VALUE"""),"Chai")</f>
        <v>Chai</v>
      </c>
      <c r="C374" s="87" t="str">
        <f>IFERROR(__xludf.DUMMYFUNCTION("""COMPUTED_VALUE"""),"CET0028")</f>
        <v>CET0028</v>
      </c>
      <c r="D374" s="87" t="str">
        <f>IFERROR(__xludf.DUMMYFUNCTION("""COMPUTED_VALUE"""),"Chai PAPE tròn cổ 43 240,250ml (40gr) logo IDA màu trắng")</f>
        <v>Chai PAPE tròn cổ 43 240,250ml (40gr) logo IDA màu trắng</v>
      </c>
      <c r="E374" s="87" t="str">
        <f>IFERROR(__xludf.DUMMYFUNCTION("""COMPUTED_VALUE"""),"Vi lượng AV-CFC
(Dạng rắn)")</f>
        <v>Vi lượng AV-CFC
(Dạng rắn)</v>
      </c>
      <c r="F374" s="87" t="str">
        <f>IFERROR(__xludf.DUMMYFUNCTION("""COMPUTED_VALUE"""),"HH0028")</f>
        <v>HH0028</v>
      </c>
      <c r="G374" s="87" t="str">
        <f>IFERROR(__xludf.DUMMYFUNCTION("""COMPUTED_VALUE"""),"IDA Global - I - 390.1 - Humi Total (nhãn viền cam) - 1kg - 25")</f>
        <v>IDA Global - I - 390.1 - Humi Total (nhãn viền cam) - 1kg - 25</v>
      </c>
    </row>
    <row r="375">
      <c r="A375" s="86">
        <f>IFERROR(__xludf.DUMMYFUNCTION("""COMPUTED_VALUE"""),373.0)</f>
        <v>373</v>
      </c>
      <c r="B375" s="87" t="str">
        <f>IFERROR(__xludf.DUMMYFUNCTION("""COMPUTED_VALUE"""),"Nắp")</f>
        <v>Nắp</v>
      </c>
      <c r="C375" s="87" t="str">
        <f>IFERROR(__xludf.DUMMYFUNCTION("""COMPUTED_VALUE"""),"NAP0028")</f>
        <v>NAP0028</v>
      </c>
      <c r="D375" s="87" t="str">
        <f>IFERROR(__xludf.DUMMYFUNCTION("""COMPUTED_VALUE"""),"Nắp HD cổ 39.3 (8gr) trắng - HG")</f>
        <v>Nắp HD cổ 39.3 (8gr) trắng - HG</v>
      </c>
      <c r="E375" s="87" t="str">
        <f>IFERROR(__xludf.DUMMYFUNCTION("""COMPUTED_VALUE"""),"Mekongvil 5SC")</f>
        <v>Mekongvil 5SC</v>
      </c>
      <c r="F375" s="87" t="str">
        <f>IFERROR(__xludf.DUMMYFUNCTION("""COMPUTED_VALUE"""),"HH0028")</f>
        <v>HH0028</v>
      </c>
      <c r="G375" s="87" t="str">
        <f>IFERROR(__xludf.DUMMYFUNCTION("""COMPUTED_VALUE"""),"GC - II - 391 - SH Mekongvil 5SC - 1 lít - 20")</f>
        <v>GC - II - 391 - SH Mekongvil 5SC - 1 lít - 20</v>
      </c>
    </row>
    <row r="376">
      <c r="A376" s="86">
        <f>IFERROR(__xludf.DUMMYFUNCTION("""COMPUTED_VALUE"""),374.0)</f>
        <v>374</v>
      </c>
      <c r="B376" s="87" t="str">
        <f>IFERROR(__xludf.DUMMYFUNCTION("""COMPUTED_VALUE"""),"Túi")</f>
        <v>Túi</v>
      </c>
      <c r="C376" s="87" t="str">
        <f>IFERROR(__xludf.DUMMYFUNCTION("""COMPUTED_VALUE"""),"TUI0001")</f>
        <v>TUI0001</v>
      </c>
      <c r="D376" s="87" t="str">
        <f>IFERROR(__xludf.DUMMYFUNCTION("""COMPUTED_VALUE"""),"Túi Ghép giấy")</f>
        <v>Túi Ghép giấy</v>
      </c>
      <c r="E376" s="87" t="str">
        <f>IFERROR(__xludf.DUMMYFUNCTION("""COMPUTED_VALUE"""),"Pim.Pim 75WP")</f>
        <v>Pim.Pim 75WP</v>
      </c>
      <c r="F376" s="87" t="str">
        <f>IFERROR(__xludf.DUMMYFUNCTION("""COMPUTED_VALUE"""),"HH0001")</f>
        <v>HH0001</v>
      </c>
      <c r="G376" s="87" t="str">
        <f>IFERROR(__xludf.DUMMYFUNCTION("""COMPUTED_VALUE"""),"GC - II - 392 - SH Pim.Pim 75WP - 100gr - 100")</f>
        <v>GC - II - 392 - SH Pim.Pim 75WP - 100gr - 100</v>
      </c>
    </row>
    <row r="377">
      <c r="A377" s="86">
        <f>IFERROR(__xludf.DUMMYFUNCTION("""COMPUTED_VALUE"""),375.0)</f>
        <v>375</v>
      </c>
      <c r="B377" s="87" t="str">
        <f>IFERROR(__xludf.DUMMYFUNCTION("""COMPUTED_VALUE"""),"Chai")</f>
        <v>Chai</v>
      </c>
      <c r="C377" s="87" t="str">
        <f>IFERROR(__xludf.DUMMYFUNCTION("""COMPUTED_VALUE"""),"CHT0029")</f>
        <v>CHT0029</v>
      </c>
      <c r="D377" s="87" t="str">
        <f>IFERROR(__xludf.DUMMYFUNCTION("""COMPUTED_VALUE"""),"Chai HDPE tròn cổ 43 450ml-500ml (60gr) logo IDA màu trắng")</f>
        <v>Chai HDPE tròn cổ 43 450ml-500ml (60gr) logo IDA màu trắng</v>
      </c>
      <c r="E377" s="87" t="str">
        <f>IFERROR(__xludf.DUMMYFUNCTION("""COMPUTED_VALUE"""),"Vi lượng Basel DANA 20")</f>
        <v>Vi lượng Basel DANA 20</v>
      </c>
      <c r="F377" s="87" t="str">
        <f>IFERROR(__xludf.DUMMYFUNCTION("""COMPUTED_VALUE"""),"HH0029")</f>
        <v>HH0029</v>
      </c>
      <c r="G377" s="87" t="str">
        <f>IFERROR(__xludf.DUMMYFUNCTION("""COMPUTED_VALUE"""),"GC - II - 394 - SH Siêu vô gạo - 65gr - 300")</f>
        <v>GC - II - 394 - SH Siêu vô gạo - 65gr - 300</v>
      </c>
    </row>
    <row r="378">
      <c r="A378" s="86">
        <f>IFERROR(__xludf.DUMMYFUNCTION("""COMPUTED_VALUE"""),376.0)</f>
        <v>376</v>
      </c>
      <c r="B378" s="87" t="str">
        <f>IFERROR(__xludf.DUMMYFUNCTION("""COMPUTED_VALUE"""),"Nắp")</f>
        <v>Nắp</v>
      </c>
      <c r="C378" s="87" t="str">
        <f>IFERROR(__xludf.DUMMYFUNCTION("""COMPUTED_VALUE"""),"NAP0029")</f>
        <v>NAP0029</v>
      </c>
      <c r="D378" s="87" t="str">
        <f>IFERROR(__xludf.DUMMYFUNCTION("""COMPUTED_VALUE"""),"Nắp HD cổ 50 (10gr) trắng")</f>
        <v>Nắp HD cổ 50 (10gr) trắng</v>
      </c>
      <c r="E378" s="87" t="str">
        <f>IFERROR(__xludf.DUMMYFUNCTION("""COMPUTED_VALUE"""),"Vi lượng Basel DANA 20")</f>
        <v>Vi lượng Basel DANA 20</v>
      </c>
      <c r="F378" s="87" t="str">
        <f>IFERROR(__xludf.DUMMYFUNCTION("""COMPUTED_VALUE"""),"HH0029")</f>
        <v>HH0029</v>
      </c>
      <c r="G378" s="87" t="str">
        <f>IFERROR(__xludf.DUMMYFUNCTION("""COMPUTED_VALUE"""),"GC - II - 396 - SH Rice+ - 65gr - 300")</f>
        <v>GC - II - 396 - SH Rice+ - 65gr - 300</v>
      </c>
    </row>
    <row r="379">
      <c r="A379" s="86">
        <f>IFERROR(__xludf.DUMMYFUNCTION("""COMPUTED_VALUE"""),377.0)</f>
        <v>377</v>
      </c>
      <c r="B379" s="87" t="str">
        <f>IFERROR(__xludf.DUMMYFUNCTION("""COMPUTED_VALUE"""),"Chai")</f>
        <v>Chai</v>
      </c>
      <c r="C379" s="87" t="str">
        <f>IFERROR(__xludf.DUMMYFUNCTION("""COMPUTED_VALUE"""),"CPV0030")</f>
        <v>CPV0030</v>
      </c>
      <c r="D379" s="87" t="str">
        <f>IFERROR(__xludf.DUMMYFUNCTION("""COMPUTED_VALUE"""),"Chai PET vuông cổ 28 250ml - Trắng sữa")</f>
        <v>Chai PET vuông cổ 28 250ml - Trắng sữa</v>
      </c>
      <c r="E379" s="87" t="str">
        <f>IFERROR(__xludf.DUMMYFUNCTION("""COMPUTED_VALUE"""),"Vi lượng Basel DANA 20")</f>
        <v>Vi lượng Basel DANA 20</v>
      </c>
      <c r="F379" s="87" t="str">
        <f>IFERROR(__xludf.DUMMYFUNCTION("""COMPUTED_VALUE"""),"HH0030")</f>
        <v>HH0030</v>
      </c>
      <c r="G379" s="87" t="str">
        <f>IFERROR(__xludf.DUMMYFUNCTION("""COMPUTED_VALUE"""),"GC - II - 397 - SH ROOT+ - 60ml - 300")</f>
        <v>GC - II - 397 - SH ROOT+ - 60ml - 300</v>
      </c>
    </row>
    <row r="380">
      <c r="A380" s="86">
        <f>IFERROR(__xludf.DUMMYFUNCTION("""COMPUTED_VALUE"""),378.0)</f>
        <v>378</v>
      </c>
      <c r="B380" s="87" t="str">
        <f>IFERROR(__xludf.DUMMYFUNCTION("""COMPUTED_VALUE"""),"Nắp")</f>
        <v>Nắp</v>
      </c>
      <c r="C380" s="87" t="str">
        <f>IFERROR(__xludf.DUMMYFUNCTION("""COMPUTED_VALUE"""),"NAP0030")</f>
        <v>NAP0030</v>
      </c>
      <c r="D380" s="87" t="str">
        <f>IFERROR(__xludf.DUMMYFUNCTION("""COMPUTED_VALUE"""),"CP - Nắp PET cổ 50 500ml (16g) - Đen")</f>
        <v>CP - Nắp PET cổ 50 500ml (16g) - Đen</v>
      </c>
      <c r="E380" s="87" t="str">
        <f>IFERROR(__xludf.DUMMYFUNCTION("""COMPUTED_VALUE"""),"Oxycin 100WP")</f>
        <v>Oxycin 100WP</v>
      </c>
      <c r="F380" s="87" t="str">
        <f>IFERROR(__xludf.DUMMYFUNCTION("""COMPUTED_VALUE"""),"HH0030")</f>
        <v>HH0030</v>
      </c>
      <c r="G380" s="87" t="str">
        <f>IFERROR(__xludf.DUMMYFUNCTION("""COMPUTED_VALUE"""),"GC - II - 398 - Luta Siêu diệt vi khuẩn - 25gr - 300")</f>
        <v>GC - II - 398 - Luta Siêu diệt vi khuẩn - 25gr - 300</v>
      </c>
    </row>
    <row r="381">
      <c r="A381" s="86">
        <f>IFERROR(__xludf.DUMMYFUNCTION("""COMPUTED_VALUE"""),379.0)</f>
        <v>379</v>
      </c>
      <c r="B381" s="87" t="str">
        <f>IFERROR(__xludf.DUMMYFUNCTION("""COMPUTED_VALUE"""),"Chai")</f>
        <v>Chai</v>
      </c>
      <c r="C381" s="87" t="str">
        <f>IFERROR(__xludf.DUMMYFUNCTION("""COMPUTED_VALUE"""),"CHT0031")</f>
        <v>CHT0031</v>
      </c>
      <c r="D381" s="87" t="str">
        <f>IFERROR(__xludf.DUMMYFUNCTION("""COMPUTED_VALUE"""),"Chai HDPE tròn cổ 43 450ml-500ml (72gr) logo IDA màu xanh lá")</f>
        <v>Chai HDPE tròn cổ 43 450ml-500ml (72gr) logo IDA màu xanh lá</v>
      </c>
      <c r="E381" s="87" t="str">
        <f>IFERROR(__xludf.DUMMYFUNCTION("""COMPUTED_VALUE"""),"Vi lượng Basel IDA 50")</f>
        <v>Vi lượng Basel IDA 50</v>
      </c>
      <c r="F381" s="87" t="str">
        <f>IFERROR(__xludf.DUMMYFUNCTION("""COMPUTED_VALUE"""),"HH0031")</f>
        <v>HH0031</v>
      </c>
      <c r="G381" s="87" t="str">
        <f>IFERROR(__xludf.DUMMYFUNCTION("""COMPUTED_VALUE"""),"IDA Global - I - 401.1 - Chito - M55 (drone) - 500ml - 40")</f>
        <v>IDA Global - I - 401.1 - Chito - M55 (drone) - 500ml - 40</v>
      </c>
    </row>
    <row r="382">
      <c r="A382" s="86">
        <f>IFERROR(__xludf.DUMMYFUNCTION("""COMPUTED_VALUE"""),380.0)</f>
        <v>380</v>
      </c>
      <c r="B382" s="87" t="str">
        <f>IFERROR(__xludf.DUMMYFUNCTION("""COMPUTED_VALUE"""),"Nắp")</f>
        <v>Nắp</v>
      </c>
      <c r="C382" s="87" t="str">
        <f>IFERROR(__xludf.DUMMYFUNCTION("""COMPUTED_VALUE"""),"NAP0031")</f>
        <v>NAP0031</v>
      </c>
      <c r="D382" s="87" t="str">
        <f>IFERROR(__xludf.DUMMYFUNCTION("""COMPUTED_VALUE"""),"Nắp PAPE chai 3 lớp logo IDA màu trắng")</f>
        <v>Nắp PAPE chai 3 lớp logo IDA màu trắng</v>
      </c>
      <c r="E382" s="87" t="str">
        <f>IFERROR(__xludf.DUMMYFUNCTION("""COMPUTED_VALUE"""),"Vi lượng Basel IDA 50")</f>
        <v>Vi lượng Basel IDA 50</v>
      </c>
      <c r="F382" s="87" t="str">
        <f>IFERROR(__xludf.DUMMYFUNCTION("""COMPUTED_VALUE"""),"HH0031")</f>
        <v>HH0031</v>
      </c>
      <c r="G382" s="87" t="str">
        <f>IFERROR(__xludf.DUMMYFUNCTION("""COMPUTED_VALUE"""),"IDA Global - I - 401.2 - Chito - M55 (drone) (mới)- 500ml - 40")</f>
        <v>IDA Global - I - 401.2 - Chito - M55 (drone) (mới)- 500ml - 40</v>
      </c>
    </row>
    <row r="383">
      <c r="A383" s="86">
        <f>IFERROR(__xludf.DUMMYFUNCTION("""COMPUTED_VALUE"""),381.0)</f>
        <v>381</v>
      </c>
      <c r="B383" s="87" t="str">
        <f>IFERROR(__xludf.DUMMYFUNCTION("""COMPUTED_VALUE"""),"Chai")</f>
        <v>Chai</v>
      </c>
      <c r="C383" s="87" t="str">
        <f>IFERROR(__xludf.DUMMYFUNCTION("""COMPUTED_VALUE"""),"CHT0032")</f>
        <v>CHT0032</v>
      </c>
      <c r="D383" s="87" t="str">
        <f>IFERROR(__xludf.DUMMYFUNCTION("""COMPUTED_VALUE"""),"Chai HDPE tròn cổ 43 450ml-500ml (60gr) logo IDA màu vàng")</f>
        <v>Chai HDPE tròn cổ 43 450ml-500ml (60gr) logo IDA màu vàng</v>
      </c>
      <c r="E383" s="87" t="str">
        <f>IFERROR(__xludf.DUMMYFUNCTION("""COMPUTED_VALUE"""),"Vi lượng AV-CFC Plus")</f>
        <v>Vi lượng AV-CFC Plus</v>
      </c>
      <c r="F383" s="87" t="str">
        <f>IFERROR(__xludf.DUMMYFUNCTION("""COMPUTED_VALUE"""),"HH0032")</f>
        <v>HH0032</v>
      </c>
      <c r="G383" s="87" t="str">
        <f>IFERROR(__xludf.DUMMYFUNCTION("""COMPUTED_VALUE"""),"GC - II - 407 - Agriplant - Bio Dưỡng Cây - Mập Chồi - 50ml - 200")</f>
        <v>GC - II - 407 - Agriplant - Bio Dưỡng Cây - Mập Chồi - 50ml - 200</v>
      </c>
    </row>
    <row r="384">
      <c r="A384" s="86">
        <f>IFERROR(__xludf.DUMMYFUNCTION("""COMPUTED_VALUE"""),382.0)</f>
        <v>382</v>
      </c>
      <c r="B384" s="87" t="str">
        <f>IFERROR(__xludf.DUMMYFUNCTION("""COMPUTED_VALUE"""),"Nắp")</f>
        <v>Nắp</v>
      </c>
      <c r="C384" s="87" t="str">
        <f>IFERROR(__xludf.DUMMYFUNCTION("""COMPUTED_VALUE"""),"NAP0032")</f>
        <v>NAP0032</v>
      </c>
      <c r="D384" s="87" t="str">
        <f>IFERROR(__xludf.DUMMYFUNCTION("""COMPUTED_VALUE"""),"Nắp PAPE chai 3 lớp logo IDA màu đỏ")</f>
        <v>Nắp PAPE chai 3 lớp logo IDA màu đỏ</v>
      </c>
      <c r="E384" s="87" t="str">
        <f>IFERROR(__xludf.DUMMYFUNCTION("""COMPUTED_VALUE"""),"Vi lượng Basel IDA 11")</f>
        <v>Vi lượng Basel IDA 11</v>
      </c>
      <c r="F384" s="87" t="str">
        <f>IFERROR(__xludf.DUMMYFUNCTION("""COMPUTED_VALUE"""),"HH0032")</f>
        <v>HH0032</v>
      </c>
      <c r="G384" s="87" t="str">
        <f>IFERROR(__xludf.DUMMYFUNCTION("""COMPUTED_VALUE"""),"GC - II - 408 - PH - Dr. Phoenix (clr) - 50gr - 300")</f>
        <v>GC - II - 408 - PH - Dr. Phoenix (clr) - 50gr - 300</v>
      </c>
    </row>
    <row r="385">
      <c r="A385" s="86">
        <f>IFERROR(__xludf.DUMMYFUNCTION("""COMPUTED_VALUE"""),383.0)</f>
        <v>383</v>
      </c>
      <c r="B385" s="87" t="str">
        <f>IFERROR(__xludf.DUMMYFUNCTION("""COMPUTED_VALUE"""),"Túi")</f>
        <v>Túi</v>
      </c>
      <c r="C385" s="87" t="str">
        <f>IFERROR(__xludf.DUMMYFUNCTION("""COMPUTED_VALUE"""),"TUI0004")</f>
        <v>TUI0004</v>
      </c>
      <c r="D385" s="87" t="str">
        <f>IFERROR(__xludf.DUMMYFUNCTION("""COMPUTED_VALUE"""),"Túi Nhôm không nhãn (dán decal)")</f>
        <v>Túi Nhôm không nhãn (dán decal)</v>
      </c>
      <c r="E385" s="87" t="str">
        <f>IFERROR(__xludf.DUMMYFUNCTION("""COMPUTED_VALUE"""),"Vi lượng AV-CFC Plus")</f>
        <v>Vi lượng AV-CFC Plus</v>
      </c>
      <c r="F385" s="87" t="str">
        <f>IFERROR(__xludf.DUMMYFUNCTION("""COMPUTED_VALUE"""),"HH0004")</f>
        <v>HH0004</v>
      </c>
      <c r="G385" s="87" t="str">
        <f>IFERROR(__xludf.DUMMYFUNCTION("""COMPUTED_VALUE"""),"GC - I - 410 - AU - Aqua Dưỡng Chất Hữu Cơ (Chuyên Ớt, Dưa Hấu)- 50ml - 200")</f>
        <v>GC - I - 410 - AU - Aqua Dưỡng Chất Hữu Cơ (Chuyên Ớt, Dưa Hấu)- 50ml - 200</v>
      </c>
    </row>
    <row r="386">
      <c r="A386" s="86">
        <f>IFERROR(__xludf.DUMMYFUNCTION("""COMPUTED_VALUE"""),384.0)</f>
        <v>384</v>
      </c>
      <c r="B386" s="87" t="str">
        <f>IFERROR(__xludf.DUMMYFUNCTION("""COMPUTED_VALUE"""),"Chai")</f>
        <v>Chai</v>
      </c>
      <c r="C386" s="87" t="str">
        <f>IFERROR(__xludf.DUMMYFUNCTION("""COMPUTED_VALUE"""),"CNT0033")</f>
        <v>CNT0033</v>
      </c>
      <c r="D386" s="87" t="str">
        <f>IFERROR(__xludf.DUMMYFUNCTION("""COMPUTED_VALUE"""),"Chai nhôm tròn 250ml cổ 38 - Màu đỏ -  Nắp trắng, có cốc đong")</f>
        <v>Chai nhôm tròn 250ml cổ 38 - Màu đỏ -  Nắp trắng, có cốc đong</v>
      </c>
      <c r="E386" s="87" t="str">
        <f>IFERROR(__xludf.DUMMYFUNCTION("""COMPUTED_VALUE"""),"Vi lượng Basel IDA 47")</f>
        <v>Vi lượng Basel IDA 47</v>
      </c>
      <c r="F386" s="87" t="str">
        <f>IFERROR(__xludf.DUMMYFUNCTION("""COMPUTED_VALUE"""),"HH0033")</f>
        <v>HH0033</v>
      </c>
      <c r="G386" s="87" t="str">
        <f>IFERROR(__xludf.DUMMYFUNCTION("""COMPUTED_VALUE"""),"IDA GLOBAL - I - 416 - Flower Top (drone) - 50ml - 300")</f>
        <v>IDA GLOBAL - I - 416 - Flower Top (drone) - 50ml - 300</v>
      </c>
    </row>
    <row r="387">
      <c r="A387" s="86">
        <f>IFERROR(__xludf.DUMMYFUNCTION("""COMPUTED_VALUE"""),385.0)</f>
        <v>385</v>
      </c>
      <c r="B387" s="87" t="str">
        <f>IFERROR(__xludf.DUMMYFUNCTION("""COMPUTED_VALUE"""),"Nắp")</f>
        <v>Nắp</v>
      </c>
      <c r="C387" s="87" t="str">
        <f>IFERROR(__xludf.DUMMYFUNCTION("""COMPUTED_VALUE"""),"NAP0033")</f>
        <v>NAP0033</v>
      </c>
      <c r="D387" s="87" t="str">
        <f>IFERROR(__xludf.DUMMYFUNCTION("""COMPUTED_VALUE"""),"Nắp HD 240ml - xanh lá")</f>
        <v>Nắp HD 240ml - xanh lá</v>
      </c>
      <c r="E387" s="87" t="str">
        <f>IFERROR(__xludf.DUMMYFUNCTION("""COMPUTED_VALUE"""),"Vi lượng Basel IDA 47")</f>
        <v>Vi lượng Basel IDA 47</v>
      </c>
      <c r="F387" s="87" t="str">
        <f>IFERROR(__xludf.DUMMYFUNCTION("""COMPUTED_VALUE"""),"HH0033")</f>
        <v>HH0033</v>
      </c>
      <c r="G387" s="87" t="str">
        <f>IFERROR(__xludf.DUMMYFUNCTION("""COMPUTED_VALUE"""),"IDA Global - I - 417.1 - Flower Top Chuyên Lúa Và Rau Màu (drone) (Chai CP) - 450ml - 40")</f>
        <v>IDA Global - I - 417.1 - Flower Top Chuyên Lúa Và Rau Màu (drone) (Chai CP) - 450ml - 40</v>
      </c>
    </row>
    <row r="388">
      <c r="A388" s="86">
        <f>IFERROR(__xludf.DUMMYFUNCTION("""COMPUTED_VALUE"""),386.0)</f>
        <v>386</v>
      </c>
      <c r="B388" s="87" t="str">
        <f>IFERROR(__xludf.DUMMYFUNCTION("""COMPUTED_VALUE"""),"Chai")</f>
        <v>Chai</v>
      </c>
      <c r="C388" s="87" t="str">
        <f>IFERROR(__xludf.DUMMYFUNCTION("""COMPUTED_VALUE"""),"CNT0034")</f>
        <v>CNT0034</v>
      </c>
      <c r="D388" s="87" t="str">
        <f>IFERROR(__xludf.DUMMYFUNCTION("""COMPUTED_VALUE"""),"Chai nhôm 240ml-250ml trắng")</f>
        <v>Chai nhôm 240ml-250ml trắng</v>
      </c>
      <c r="E388" s="87" t="str">
        <f>IFERROR(__xludf.DUMMYFUNCTION("""COMPUTED_VALUE"""),"Vi lượng Basel IDA 47")</f>
        <v>Vi lượng Basel IDA 47</v>
      </c>
      <c r="F388" s="87" t="str">
        <f>IFERROR(__xludf.DUMMYFUNCTION("""COMPUTED_VALUE"""),"HH0034")</f>
        <v>HH0034</v>
      </c>
      <c r="G388" s="87" t="str">
        <f>IFERROR(__xludf.DUMMYFUNCTION("""COMPUTED_VALUE"""),"IDA Global - I - 417.2 - Flower Top Chuyên Lúa Và Rau Màu (drone) (Chai CP) - 450ml - 40")</f>
        <v>IDA Global - I - 417.2 - Flower Top Chuyên Lúa Và Rau Màu (drone) (Chai CP) - 450ml - 40</v>
      </c>
    </row>
    <row r="389">
      <c r="A389" s="86">
        <f>IFERROR(__xludf.DUMMYFUNCTION("""COMPUTED_VALUE"""),387.0)</f>
        <v>387</v>
      </c>
      <c r="B389" s="87" t="str">
        <f>IFERROR(__xludf.DUMMYFUNCTION("""COMPUTED_VALUE"""),"Nắp")</f>
        <v>Nắp</v>
      </c>
      <c r="C389" s="87" t="str">
        <f>IFERROR(__xludf.DUMMYFUNCTION("""COMPUTED_VALUE"""),"NAP0034")</f>
        <v>NAP0034</v>
      </c>
      <c r="D389" s="87" t="str">
        <f>IFERROR(__xludf.DUMMYFUNCTION("""COMPUTED_VALUE"""),"Nắp HD cổ 50 500ml - trắng")</f>
        <v>Nắp HD cổ 50 500ml - trắng</v>
      </c>
      <c r="E389" s="87" t="str">
        <f>IFERROR(__xludf.DUMMYFUNCTION("""COMPUTED_VALUE"""),"Vi lượng Basel IDA 47")</f>
        <v>Vi lượng Basel IDA 47</v>
      </c>
      <c r="F389" s="87" t="str">
        <f>IFERROR(__xludf.DUMMYFUNCTION("""COMPUTED_VALUE"""),"HH0034")</f>
        <v>HH0034</v>
      </c>
      <c r="G389" s="87" t="str">
        <f>IFERROR(__xludf.DUMMYFUNCTION("""COMPUTED_VALUE"""),"IDA Global - I - 417.2 - Flower Top Chuyên Lúa Và Rau Màu (drone) (Chai CP) - 450ml - 40")</f>
        <v>IDA Global - I - 417.2 - Flower Top Chuyên Lúa Và Rau Màu (drone) (Chai CP) - 450ml - 40</v>
      </c>
    </row>
    <row r="390">
      <c r="A390" s="86">
        <f>IFERROR(__xludf.DUMMYFUNCTION("""COMPUTED_VALUE"""),388.0)</f>
        <v>388</v>
      </c>
      <c r="B390" s="87" t="str">
        <f>IFERROR(__xludf.DUMMYFUNCTION("""COMPUTED_VALUE"""),"Chai")</f>
        <v>Chai</v>
      </c>
      <c r="C390" s="87" t="str">
        <f>IFERROR(__xludf.DUMMYFUNCTION("""COMPUTED_VALUE"""),"CNT0035")</f>
        <v>CNT0035</v>
      </c>
      <c r="D390" s="87" t="str">
        <f>IFERROR(__xludf.DUMMYFUNCTION("""COMPUTED_VALUE"""),"Chai nhôm 240ml-250ml  vàng")</f>
        <v>Chai nhôm 240ml-250ml  vàng</v>
      </c>
      <c r="E390" s="87" t="str">
        <f>IFERROR(__xludf.DUMMYFUNCTION("""COMPUTED_VALUE"""),"Vi lượng Basel IDA 47")</f>
        <v>Vi lượng Basel IDA 47</v>
      </c>
      <c r="F390" s="87" t="str">
        <f>IFERROR(__xludf.DUMMYFUNCTION("""COMPUTED_VALUE"""),"HH0035")</f>
        <v>HH0035</v>
      </c>
      <c r="G390" s="87" t="str">
        <f>IFERROR(__xludf.DUMMYFUNCTION("""COMPUTED_VALUE"""),"IDA Global - I - 418.1 - Flower Top Chuyên cây ăn trái (drone) (Chai CP) - 450ml - 40")</f>
        <v>IDA Global - I - 418.1 - Flower Top Chuyên cây ăn trái (drone) (Chai CP) - 450ml - 40</v>
      </c>
    </row>
    <row r="391">
      <c r="A391" s="86">
        <f>IFERROR(__xludf.DUMMYFUNCTION("""COMPUTED_VALUE"""),389.0)</f>
        <v>389</v>
      </c>
      <c r="B391" s="87" t="str">
        <f>IFERROR(__xludf.DUMMYFUNCTION("""COMPUTED_VALUE"""),"Nắp")</f>
        <v>Nắp</v>
      </c>
      <c r="C391" s="87" t="str">
        <f>IFERROR(__xludf.DUMMYFUNCTION("""COMPUTED_VALUE"""),"NAP0035")</f>
        <v>NAP0035</v>
      </c>
      <c r="D391" s="87" t="str">
        <f>IFERROR(__xludf.DUMMYFUNCTION("""COMPUTED_VALUE"""),"Nắp HDPE 2 đầu cổ 28 500ml  - Trắng")</f>
        <v>Nắp HDPE 2 đầu cổ 28 500ml  - Trắng</v>
      </c>
      <c r="E391" s="87" t="str">
        <f>IFERROR(__xludf.DUMMYFUNCTION("""COMPUTED_VALUE"""),"NPK Bổ sung Vi lượng Basel NPK 6-6-8 IDA 33")</f>
        <v>NPK Bổ sung Vi lượng Basel NPK 6-6-8 IDA 33</v>
      </c>
      <c r="F391" s="87" t="str">
        <f>IFERROR(__xludf.DUMMYFUNCTION("""COMPUTED_VALUE"""),"HH0035")</f>
        <v>HH0035</v>
      </c>
      <c r="G391" s="87" t="str">
        <f>IFERROR(__xludf.DUMMYFUNCTION("""COMPUTED_VALUE"""),"IDA Global - I - 419.1 - Ronado (drone) (mới)- 450ml - 40")</f>
        <v>IDA Global - I - 419.1 - Ronado (drone) (mới)- 450ml - 40</v>
      </c>
    </row>
    <row r="392">
      <c r="A392" s="86">
        <f>IFERROR(__xludf.DUMMYFUNCTION("""COMPUTED_VALUE"""),390.0)</f>
        <v>390</v>
      </c>
      <c r="B392" s="87" t="str">
        <f>IFERROR(__xludf.DUMMYFUNCTION("""COMPUTED_VALUE"""),"Chai")</f>
        <v>Chai</v>
      </c>
      <c r="C392" s="87" t="str">
        <f>IFERROR(__xludf.DUMMYFUNCTION("""COMPUTED_VALUE"""),"CNT0036")</f>
        <v>CNT0036</v>
      </c>
      <c r="D392" s="87" t="str">
        <f>IFERROR(__xludf.DUMMYFUNCTION("""COMPUTED_VALUE"""),"Chai nhôm 250ml  tròn cổ 38 , Xanh dương đậm-  Nắp trắng ( Có cốc đong )")</f>
        <v>Chai nhôm 250ml  tròn cổ 38 , Xanh dương đậm-  Nắp trắng ( Có cốc đong )</v>
      </c>
      <c r="E392" s="87" t="str">
        <f>IFERROR(__xludf.DUMMYFUNCTION("""COMPUTED_VALUE"""),"NPK Bổ sung Vi lượng Basel NPK 6-6-8 IDA 33")</f>
        <v>NPK Bổ sung Vi lượng Basel NPK 6-6-8 IDA 33</v>
      </c>
      <c r="F392" s="87" t="str">
        <f>IFERROR(__xludf.DUMMYFUNCTION("""COMPUTED_VALUE"""),"HH0036")</f>
        <v>HH0036</v>
      </c>
      <c r="G392" s="87" t="str">
        <f>IFERROR(__xludf.DUMMYFUNCTION("""COMPUTED_VALUE"""),"IDA Global - I - 420 - Ronado (drone) - 50ml - 300")</f>
        <v>IDA Global - I - 420 - Ronado (drone) - 50ml - 300</v>
      </c>
    </row>
    <row r="393">
      <c r="A393" s="86">
        <f>IFERROR(__xludf.DUMMYFUNCTION("""COMPUTED_VALUE"""),391.0)</f>
        <v>391</v>
      </c>
      <c r="B393" s="87" t="str">
        <f>IFERROR(__xludf.DUMMYFUNCTION("""COMPUTED_VALUE"""),"Nắp")</f>
        <v>Nắp</v>
      </c>
      <c r="C393" s="87" t="str">
        <f>IFERROR(__xludf.DUMMYFUNCTION("""COMPUTED_VALUE"""),"NAP0036")</f>
        <v>NAP0036</v>
      </c>
      <c r="D393" s="87" t="str">
        <f>IFERROR(__xludf.DUMMYFUNCTION("""COMPUTED_VALUE"""),"Nắp HDPE 2 đầu cổ 28 500ml  - Đỏ")</f>
        <v>Nắp HDPE 2 đầu cổ 28 500ml  - Đỏ</v>
      </c>
      <c r="E393" s="87" t="str">
        <f>IFERROR(__xludf.DUMMYFUNCTION("""COMPUTED_VALUE"""),"Vi lượng Basel IDA 49")</f>
        <v>Vi lượng Basel IDA 49</v>
      </c>
      <c r="F393" s="87" t="str">
        <f>IFERROR(__xludf.DUMMYFUNCTION("""COMPUTED_VALUE"""),"HH0036")</f>
        <v>HH0036</v>
      </c>
      <c r="G393" s="87" t="str">
        <f>IFERROR(__xludf.DUMMYFUNCTION("""COMPUTED_VALUE"""),"IDA Global - I - 421 - Tree Top (drone) - 450ml - 40")</f>
        <v>IDA Global - I - 421 - Tree Top (drone) - 450ml - 40</v>
      </c>
    </row>
    <row r="394">
      <c r="A394" s="86">
        <f>IFERROR(__xludf.DUMMYFUNCTION("""COMPUTED_VALUE"""),392.0)</f>
        <v>392</v>
      </c>
      <c r="B394" s="87" t="str">
        <f>IFERROR(__xludf.DUMMYFUNCTION("""COMPUTED_VALUE"""),"Túi")</f>
        <v>Túi</v>
      </c>
      <c r="C394" s="87" t="str">
        <f>IFERROR(__xludf.DUMMYFUNCTION("""COMPUTED_VALUE"""),"TUI0002")</f>
        <v>TUI0002</v>
      </c>
      <c r="D394" s="87" t="str">
        <f>IFERROR(__xludf.DUMMYFUNCTION("""COMPUTED_VALUE"""),"Túi Nhôm in Flexo (Túi rời)")</f>
        <v>Túi Nhôm in Flexo (Túi rời)</v>
      </c>
      <c r="E394" s="87" t="str">
        <f>IFERROR(__xludf.DUMMYFUNCTION("""COMPUTED_VALUE"""),"Hỗn hợp NPK BASEL NPK 7-5-44 IDA 45")</f>
        <v>Hỗn hợp NPK BASEL NPK 7-5-44 IDA 45</v>
      </c>
      <c r="F394" s="87" t="str">
        <f>IFERROR(__xludf.DUMMYFUNCTION("""COMPUTED_VALUE"""),"HH0002")</f>
        <v>HH0002</v>
      </c>
      <c r="G394" s="87" t="str">
        <f>IFERROR(__xludf.DUMMYFUNCTION("""COMPUTED_VALUE"""),"IDA Global - I - 422 - Winner (drone) - 50gr - 300")</f>
        <v>IDA Global - I - 422 - Winner (drone) - 50gr - 300</v>
      </c>
    </row>
    <row r="395">
      <c r="A395" s="86">
        <f>IFERROR(__xludf.DUMMYFUNCTION("""COMPUTED_VALUE"""),393.0)</f>
        <v>393</v>
      </c>
      <c r="B395" s="87" t="str">
        <f>IFERROR(__xludf.DUMMYFUNCTION("""COMPUTED_VALUE"""),"Chai")</f>
        <v>Chai</v>
      </c>
      <c r="C395" s="87" t="str">
        <f>IFERROR(__xludf.DUMMYFUNCTION("""COMPUTED_VALUE"""),"CNT0037")</f>
        <v>CNT0037</v>
      </c>
      <c r="D395" s="87" t="str">
        <f>IFERROR(__xludf.DUMMYFUNCTION("""COMPUTED_VALUE"""),"Chai nhôm 100ml đỏ")</f>
        <v>Chai nhôm 100ml đỏ</v>
      </c>
      <c r="E395" s="87" t="str">
        <f>IFERROR(__xludf.DUMMYFUNCTION("""COMPUTED_VALUE"""),"Hỗn hợp NPK BASEL NPK 7-5-44 IDA 45")</f>
        <v>Hỗn hợp NPK BASEL NPK 7-5-44 IDA 45</v>
      </c>
      <c r="F395" s="87" t="str">
        <f>IFERROR(__xludf.DUMMYFUNCTION("""COMPUTED_VALUE"""),"HH0037")</f>
        <v>HH0037</v>
      </c>
      <c r="G395" s="87" t="str">
        <f>IFERROR(__xludf.DUMMYFUNCTION("""COMPUTED_VALUE"""),"IDA Global - I - 422 - Winner (drone) - 50gr - 300")</f>
        <v>IDA Global - I - 422 - Winner (drone) - 50gr - 300</v>
      </c>
    </row>
    <row r="396">
      <c r="A396" s="86">
        <f>IFERROR(__xludf.DUMMYFUNCTION("""COMPUTED_VALUE"""),394.0)</f>
        <v>394</v>
      </c>
      <c r="B396" s="87" t="str">
        <f>IFERROR(__xludf.DUMMYFUNCTION("""COMPUTED_VALUE"""),"Nắp")</f>
        <v>Nắp</v>
      </c>
      <c r="C396" s="87" t="str">
        <f>IFERROR(__xludf.DUMMYFUNCTION("""COMPUTED_VALUE"""),"NAP0037")</f>
        <v>NAP0037</v>
      </c>
      <c r="D396" s="87" t="str">
        <f>IFERROR(__xludf.DUMMYFUNCTION("""COMPUTED_VALUE"""),"Nắp HDPE cổ 43 (10g) đỏ")</f>
        <v>Nắp HDPE cổ 43 (10g) đỏ</v>
      </c>
      <c r="E396" s="87" t="str">
        <f>IFERROR(__xludf.DUMMYFUNCTION("""COMPUTED_VALUE"""),"Chitin 3.6EC")</f>
        <v>Chitin 3.6EC</v>
      </c>
      <c r="F396" s="87" t="str">
        <f>IFERROR(__xludf.DUMMYFUNCTION("""COMPUTED_VALUE"""),"HH0037")</f>
        <v>HH0037</v>
      </c>
      <c r="G396" s="87" t="str">
        <f>IFERROR(__xludf.DUMMYFUNCTION("""COMPUTED_VALUE"""),"GC - II - 423 - A.M Sức Mạnh Diệt Nhện (Chai nhôm trắng) - 240ml - 60")</f>
        <v>GC - II - 423 - A.M Sức Mạnh Diệt Nhện (Chai nhôm trắng) - 240ml - 60</v>
      </c>
    </row>
    <row r="397">
      <c r="A397" s="86">
        <f>IFERROR(__xludf.DUMMYFUNCTION("""COMPUTED_VALUE"""),395.0)</f>
        <v>395</v>
      </c>
      <c r="B397" s="87" t="str">
        <f>IFERROR(__xludf.DUMMYFUNCTION("""COMPUTED_VALUE"""),"Chai")</f>
        <v>Chai</v>
      </c>
      <c r="C397" s="87" t="str">
        <f>IFERROR(__xludf.DUMMYFUNCTION("""COMPUTED_VALUE"""),"CNT0038")</f>
        <v>CNT0038</v>
      </c>
      <c r="D397" s="87" t="str">
        <f>IFERROR(__xludf.DUMMYFUNCTION("""COMPUTED_VALUE"""),"Chai HDPE giả nhôm tròn cổ 33 100ml trắng- có cốc đong")</f>
        <v>Chai HDPE giả nhôm tròn cổ 33 100ml trắng- có cốc đong</v>
      </c>
      <c r="E397" s="87" t="str">
        <f>IFERROR(__xludf.DUMMYFUNCTION("""COMPUTED_VALUE"""),"Chitin 3.6EC")</f>
        <v>Chitin 3.6EC</v>
      </c>
      <c r="F397" s="87" t="str">
        <f>IFERROR(__xludf.DUMMYFUNCTION("""COMPUTED_VALUE"""),"HH0038")</f>
        <v>HH0038</v>
      </c>
      <c r="G397" s="87" t="str">
        <f>IFERROR(__xludf.DUMMYFUNCTION("""COMPUTED_VALUE"""),"GC - II - 424 - Agriplant - Vua Diệt Nhện (PET TRON)- 240ml - 40")</f>
        <v>GC - II - 424 - Agriplant - Vua Diệt Nhện (PET TRON)- 240ml - 40</v>
      </c>
    </row>
    <row r="398">
      <c r="A398" s="86">
        <f>IFERROR(__xludf.DUMMYFUNCTION("""COMPUTED_VALUE"""),396.0)</f>
        <v>396</v>
      </c>
      <c r="B398" s="87" t="str">
        <f>IFERROR(__xludf.DUMMYFUNCTION("""COMPUTED_VALUE"""),"Chai")</f>
        <v>Chai</v>
      </c>
      <c r="C398" s="87" t="str">
        <f>IFERROR(__xludf.DUMMYFUNCTION("""COMPUTED_VALUE"""),"CNT0039")</f>
        <v>CNT0039</v>
      </c>
      <c r="D398" s="87" t="str">
        <f>IFERROR(__xludf.DUMMYFUNCTION("""COMPUTED_VALUE"""),"Chai nhôm 100ml vàng")</f>
        <v>Chai nhôm 100ml vàng</v>
      </c>
      <c r="E398" s="87" t="str">
        <f>IFERROR(__xludf.DUMMYFUNCTION("""COMPUTED_VALUE"""),"Oxycin 100WP")</f>
        <v>Oxycin 100WP</v>
      </c>
      <c r="F398" s="87" t="str">
        <f>IFERROR(__xludf.DUMMYFUNCTION("""COMPUTED_VALUE"""),"HH0039")</f>
        <v>HH0039</v>
      </c>
      <c r="G398" s="87" t="str">
        <f>IFERROR(__xludf.DUMMYFUNCTION("""COMPUTED_VALUE"""),"GC - II - 429 - Agriplant - Sức Mạnh Siêu Diệt Khuẩn - 25gr - 300")</f>
        <v>GC - II - 429 - Agriplant - Sức Mạnh Siêu Diệt Khuẩn - 25gr - 300</v>
      </c>
    </row>
    <row r="399">
      <c r="A399" s="86">
        <f>IFERROR(__xludf.DUMMYFUNCTION("""COMPUTED_VALUE"""),397.0)</f>
        <v>397</v>
      </c>
      <c r="B399" s="87" t="str">
        <f>IFERROR(__xludf.DUMMYFUNCTION("""COMPUTED_VALUE"""),"Chai")</f>
        <v>Chai</v>
      </c>
      <c r="C399" s="87" t="str">
        <f>IFERROR(__xludf.DUMMYFUNCTION("""COMPUTED_VALUE"""),"CHT0040")</f>
        <v>CHT0040</v>
      </c>
      <c r="D399" s="87" t="str">
        <f>IFERROR(__xludf.DUMMYFUNCTION("""COMPUTED_VALUE"""),"Chai HDPE tròn cổ 42.5 1L (105g) xám-  HL")</f>
        <v>Chai HDPE tròn cổ 42.5 1L (105g) xám-  HL</v>
      </c>
      <c r="E399" s="87" t="str">
        <f>IFERROR(__xludf.DUMMYFUNCTION("""COMPUTED_VALUE"""),"Oxycin 100WP")</f>
        <v>Oxycin 100WP</v>
      </c>
      <c r="F399" s="87" t="str">
        <f>IFERROR(__xludf.DUMMYFUNCTION("""COMPUTED_VALUE"""),"HH0040")</f>
        <v>HH0040</v>
      </c>
      <c r="G399" s="87" t="str">
        <f>IFERROR(__xludf.DUMMYFUNCTION("""COMPUTED_VALUE"""),"GC - II - 430 - PH - Diệt Sạch Khuẩn (Túi ghép giấy) 100 (clr) - 25gr - 200")</f>
        <v>GC - II - 430 - PH - Diệt Sạch Khuẩn (Túi ghép giấy) 100 (clr) - 25gr - 200</v>
      </c>
    </row>
    <row r="400">
      <c r="A400" s="86">
        <f>IFERROR(__xludf.DUMMYFUNCTION("""COMPUTED_VALUE"""),398.0)</f>
        <v>398</v>
      </c>
      <c r="B400" s="87" t="str">
        <f>IFERROR(__xludf.DUMMYFUNCTION("""COMPUTED_VALUE"""),"Túi")</f>
        <v>Túi</v>
      </c>
      <c r="C400" s="87" t="str">
        <f>IFERROR(__xludf.DUMMYFUNCTION("""COMPUTED_VALUE"""),"TUI0003")</f>
        <v>TUI0003</v>
      </c>
      <c r="D400" s="87" t="str">
        <f>IFERROR(__xludf.DUMMYFUNCTION("""COMPUTED_VALUE"""),"Túi Nhôm in trục (dạng cuộn)")</f>
        <v>Túi Nhôm in trục (dạng cuộn)</v>
      </c>
      <c r="E400" s="87" t="str">
        <f>IFERROR(__xludf.DUMMYFUNCTION("""COMPUTED_VALUE"""),"Vi lượng AV-CFC Plus")</f>
        <v>Vi lượng AV-CFC Plus</v>
      </c>
      <c r="F400" s="87" t="str">
        <f>IFERROR(__xludf.DUMMYFUNCTION("""COMPUTED_VALUE"""),"HH0003")</f>
        <v>HH0003</v>
      </c>
      <c r="G400" s="87" t="str">
        <f>IFERROR(__xludf.DUMMYFUNCTION("""COMPUTED_VALUE"""),"GC - I - 432 - AU - Dưỡng Chất Hữu Cơ (túi nhôm) - 50ml - 200")</f>
        <v>GC - I - 432 - AU - Dưỡng Chất Hữu Cơ (túi nhôm) - 50ml - 200</v>
      </c>
    </row>
    <row r="401">
      <c r="A401" s="86">
        <f>IFERROR(__xludf.DUMMYFUNCTION("""COMPUTED_VALUE"""),399.0)</f>
        <v>399</v>
      </c>
      <c r="B401" s="87" t="str">
        <f>IFERROR(__xludf.DUMMYFUNCTION("""COMPUTED_VALUE"""),"Chai")</f>
        <v>Chai</v>
      </c>
      <c r="C401" s="87" t="str">
        <f>IFERROR(__xludf.DUMMYFUNCTION("""COMPUTED_VALUE"""),"CHT0042")</f>
        <v>CHT0042</v>
      </c>
      <c r="D401" s="87" t="str">
        <f>IFERROR(__xludf.DUMMYFUNCTION("""COMPUTED_VALUE"""),"Chai HDPE tròn cổ 33 100ml (25gr) trắng")</f>
        <v>Chai HDPE tròn cổ 33 100ml (25gr) trắng</v>
      </c>
      <c r="E401" s="87" t="str">
        <f>IFERROR(__xludf.DUMMYFUNCTION("""COMPUTED_VALUE"""),"Vi lượng AV4-BO633")</f>
        <v>Vi lượng AV4-BO633</v>
      </c>
      <c r="F401" s="87" t="str">
        <f>IFERROR(__xludf.DUMMYFUNCTION("""COMPUTED_VALUE"""),"HH0042")</f>
        <v>HH0042</v>
      </c>
      <c r="G401" s="87" t="str">
        <f>IFERROR(__xludf.DUMMYFUNCTION("""COMPUTED_VALUE"""),"GC - II - 433 - Agriplant - Bio Siêu Ra Hoa Xoài - 1kg - 25")</f>
        <v>GC - II - 433 - Agriplant - Bio Siêu Ra Hoa Xoài - 1kg - 25</v>
      </c>
    </row>
    <row r="402">
      <c r="A402" s="86">
        <f>IFERROR(__xludf.DUMMYFUNCTION("""COMPUTED_VALUE"""),400.0)</f>
        <v>400</v>
      </c>
      <c r="B402" s="87" t="str">
        <f>IFERROR(__xludf.DUMMYFUNCTION("""COMPUTED_VALUE"""),"Chai")</f>
        <v>Chai</v>
      </c>
      <c r="C402" s="87" t="str">
        <f>IFERROR(__xludf.DUMMYFUNCTION("""COMPUTED_VALUE"""),"CPT0042")</f>
        <v>CPT0042</v>
      </c>
      <c r="D402" s="87" t="str">
        <f>IFERROR(__xludf.DUMMYFUNCTION("""COMPUTED_VALUE"""),"CP - Chai PET tròn cổ 50 500ml (64g) - Trong")</f>
        <v>CP - Chai PET tròn cổ 50 500ml (64g) - Trong</v>
      </c>
      <c r="E402" s="87" t="str">
        <f>IFERROR(__xludf.DUMMYFUNCTION("""COMPUTED_VALUE"""),"Vi lượng AV4-BO633")</f>
        <v>Vi lượng AV4-BO633</v>
      </c>
      <c r="F402" s="87" t="str">
        <f>IFERROR(__xludf.DUMMYFUNCTION("""COMPUTED_VALUE"""),"HH0042")</f>
        <v>HH0042</v>
      </c>
      <c r="G402" s="87" t="str">
        <f>IFERROR(__xludf.DUMMYFUNCTION("""COMPUTED_VALUE"""),"GC - II - 434 - Ariplant - Siêu ra hoa sầu riêng (mới) - 250 gr- 100")</f>
        <v>GC - II - 434 - Ariplant - Siêu ra hoa sầu riêng (mới) - 250 gr- 100</v>
      </c>
    </row>
    <row r="403">
      <c r="A403" s="86">
        <f>IFERROR(__xludf.DUMMYFUNCTION("""COMPUTED_VALUE"""),401.0)</f>
        <v>401</v>
      </c>
      <c r="B403" s="87" t="str">
        <f>IFERROR(__xludf.DUMMYFUNCTION("""COMPUTED_VALUE"""),"Chai")</f>
        <v>Chai</v>
      </c>
      <c r="C403" s="87" t="str">
        <f>IFERROR(__xludf.DUMMYFUNCTION("""COMPUTED_VALUE"""),"CET0043")</f>
        <v>CET0043</v>
      </c>
      <c r="D403" s="87" t="str">
        <f>IFERROR(__xludf.DUMMYFUNCTION("""COMPUTED_VALUE"""),"Chai PAPE tròn cổ 43 240,250ml (40gr) - Trắng")</f>
        <v>Chai PAPE tròn cổ 43 240,250ml (40gr) - Trắng</v>
      </c>
      <c r="E403" s="87" t="str">
        <f>IFERROR(__xludf.DUMMYFUNCTION("""COMPUTED_VALUE"""),"Leafroll 260SC")</f>
        <v>Leafroll 260SC</v>
      </c>
      <c r="F403" s="87" t="str">
        <f>IFERROR(__xludf.DUMMYFUNCTION("""COMPUTED_VALUE"""),"HH0043")</f>
        <v>HH0043</v>
      </c>
      <c r="G403" s="87" t="str">
        <f>IFERROR(__xludf.DUMMYFUNCTION("""COMPUTED_VALUE"""),"IDA Global - I - 436 - Leafroll 260SC - 220ml - 40")</f>
        <v>IDA Global - I - 436 - Leafroll 260SC - 220ml - 40</v>
      </c>
    </row>
    <row r="404">
      <c r="A404" s="86">
        <f>IFERROR(__xludf.DUMMYFUNCTION("""COMPUTED_VALUE"""),402.0)</f>
        <v>402</v>
      </c>
      <c r="B404" s="87" t="str">
        <f>IFERROR(__xludf.DUMMYFUNCTION("""COMPUTED_VALUE"""),"Chai")</f>
        <v>Chai</v>
      </c>
      <c r="C404" s="87" t="str">
        <f>IFERROR(__xludf.DUMMYFUNCTION("""COMPUTED_VALUE"""),"CHT0044")</f>
        <v>CHT0044</v>
      </c>
      <c r="D404" s="87" t="str">
        <f>IFERROR(__xludf.DUMMYFUNCTION("""COMPUTED_VALUE"""),"Chai HDPE tròn cổ 39.3 250ml (34gr) trắng - HG01")</f>
        <v>Chai HDPE tròn cổ 39.3 250ml (34gr) trắng - HG01</v>
      </c>
      <c r="E404" s="87" t="str">
        <f>IFERROR(__xludf.DUMMYFUNCTION("""COMPUTED_VALUE"""),"Creek 51WG")</f>
        <v>Creek 51WG</v>
      </c>
      <c r="F404" s="87" t="str">
        <f>IFERROR(__xludf.DUMMYFUNCTION("""COMPUTED_VALUE"""),"HH0044")</f>
        <v>HH0044</v>
      </c>
      <c r="G404" s="87" t="str">
        <f>IFERROR(__xludf.DUMMYFUNCTION("""COMPUTED_VALUE"""),"IDA Global - I - 442 - Creek 51WG (Dạng cốm) - 30gr - 300")</f>
        <v>IDA Global - I - 442 - Creek 51WG (Dạng cốm) - 30gr - 300</v>
      </c>
    </row>
    <row r="405">
      <c r="A405" s="86">
        <f>IFERROR(__xludf.DUMMYFUNCTION("""COMPUTED_VALUE"""),403.0)</f>
        <v>403</v>
      </c>
      <c r="B405" s="87" t="str">
        <f>IFERROR(__xludf.DUMMYFUNCTION("""COMPUTED_VALUE"""),"Xô")</f>
        <v>Xô</v>
      </c>
      <c r="C405" s="87" t="str">
        <f>IFERROR(__xludf.DUMMYFUNCTION("""COMPUTED_VALUE"""),"XOT0001")</f>
        <v>XOT0001</v>
      </c>
      <c r="D405" s="87" t="str">
        <f>IFERROR(__xludf.DUMMYFUNCTION("""COMPUTED_VALUE"""),"Xô Trắng 22 Kg")</f>
        <v>Xô Trắng 22 Kg</v>
      </c>
      <c r="E405" s="87" t="str">
        <f>IFERROR(__xludf.DUMMYFUNCTION("""COMPUTED_VALUE"""),"Creek 51WG")</f>
        <v>Creek 51WG</v>
      </c>
      <c r="F405" s="87" t="str">
        <f>IFERROR(__xludf.DUMMYFUNCTION("""COMPUTED_VALUE"""),"HH0001")</f>
        <v>HH0001</v>
      </c>
      <c r="G405" s="87" t="str">
        <f>IFERROR(__xludf.DUMMYFUNCTION("""COMPUTED_VALUE"""),"IDA Global - I - 442.1 - Creek 51WG (mới) - 30gr - 300")</f>
        <v>IDA Global - I - 442.1 - Creek 51WG (mới) - 30gr - 300</v>
      </c>
    </row>
    <row r="406">
      <c r="A406" s="86">
        <f>IFERROR(__xludf.DUMMYFUNCTION("""COMPUTED_VALUE"""),404.0)</f>
        <v>404</v>
      </c>
      <c r="B406" s="87" t="str">
        <f>IFERROR(__xludf.DUMMYFUNCTION("""COMPUTED_VALUE"""),"Chai")</f>
        <v>Chai</v>
      </c>
      <c r="C406" s="87" t="str">
        <f>IFERROR(__xludf.DUMMYFUNCTION("""COMPUTED_VALUE"""),"CHT0045")</f>
        <v>CHT0045</v>
      </c>
      <c r="D406" s="87" t="str">
        <f>IFERROR(__xludf.DUMMYFUNCTION("""COMPUTED_VALUE"""),"Chai HDPE 240ml - Xanh lá")</f>
        <v>Chai HDPE 240ml - Xanh lá</v>
      </c>
      <c r="E406" s="87" t="str">
        <f>IFERROR(__xludf.DUMMYFUNCTION("""COMPUTED_VALUE"""),"Creek 51WG")</f>
        <v>Creek 51WG</v>
      </c>
      <c r="F406" s="87" t="str">
        <f>IFERROR(__xludf.DUMMYFUNCTION("""COMPUTED_VALUE"""),"HH0045")</f>
        <v>HH0045</v>
      </c>
      <c r="G406" s="87" t="str">
        <f>IFERROR(__xludf.DUMMYFUNCTION("""COMPUTED_VALUE"""),"IDA Global - I - 442.2 - Creek 51WG (mới) - 30gr - 300")</f>
        <v>IDA Global - I - 442.2 - Creek 51WG (mới) - 30gr - 300</v>
      </c>
    </row>
    <row r="407">
      <c r="A407" s="86">
        <f>IFERROR(__xludf.DUMMYFUNCTION("""COMPUTED_VALUE"""),405.0)</f>
        <v>405</v>
      </c>
      <c r="B407" s="87" t="str">
        <f>IFERROR(__xludf.DUMMYFUNCTION("""COMPUTED_VALUE"""),"Chai")</f>
        <v>Chai</v>
      </c>
      <c r="C407" s="87" t="str">
        <f>IFERROR(__xludf.DUMMYFUNCTION("""COMPUTED_VALUE"""),"CHT0046")</f>
        <v>CHT0046</v>
      </c>
      <c r="D407" s="87" t="str">
        <f>IFERROR(__xludf.DUMMYFUNCTION("""COMPUTED_VALUE"""),"Chai HDPE tròn cổ 50 500ml - trắng")</f>
        <v>Chai HDPE tròn cổ 50 500ml - trắng</v>
      </c>
      <c r="E407" s="87" t="str">
        <f>IFERROR(__xludf.DUMMYFUNCTION("""COMPUTED_VALUE"""),"Creek 51WG")</f>
        <v>Creek 51WG</v>
      </c>
      <c r="F407" s="87" t="str">
        <f>IFERROR(__xludf.DUMMYFUNCTION("""COMPUTED_VALUE"""),"HH0046")</f>
        <v>HH0046</v>
      </c>
      <c r="G407" s="87" t="str">
        <f>IFERROR(__xludf.DUMMYFUNCTION("""COMPUTED_VALUE"""),"IDA Global - I - 443 - Creek 51WG (Dạng cốm) - 150gr - 100")</f>
        <v>IDA Global - I - 443 - Creek 51WG (Dạng cốm) - 150gr - 100</v>
      </c>
    </row>
    <row r="408">
      <c r="A408" s="86">
        <f>IFERROR(__xludf.DUMMYFUNCTION("""COMPUTED_VALUE"""),406.0)</f>
        <v>406</v>
      </c>
      <c r="B408" s="87" t="str">
        <f>IFERROR(__xludf.DUMMYFUNCTION("""COMPUTED_VALUE"""),"Chai")</f>
        <v>Chai</v>
      </c>
      <c r="C408" s="87" t="str">
        <f>IFERROR(__xludf.DUMMYFUNCTION("""COMPUTED_VALUE"""),"CHT0047")</f>
        <v>CHT0047</v>
      </c>
      <c r="D408" s="87" t="str">
        <f>IFERROR(__xludf.DUMMYFUNCTION("""COMPUTED_VALUE"""),"Chai HDPE 2 đầu cổ 28 (82g) 500ml - MPA1")</f>
        <v>Chai HDPE 2 đầu cổ 28 (82g) 500ml - MPA1</v>
      </c>
      <c r="E408" s="87" t="str">
        <f>IFERROR(__xludf.DUMMYFUNCTION("""COMPUTED_VALUE"""),"Creek 51WG")</f>
        <v>Creek 51WG</v>
      </c>
      <c r="F408" s="87" t="str">
        <f>IFERROR(__xludf.DUMMYFUNCTION("""COMPUTED_VALUE"""),"HH0047")</f>
        <v>HH0047</v>
      </c>
      <c r="G408" s="87" t="str">
        <f>IFERROR(__xludf.DUMMYFUNCTION("""COMPUTED_VALUE"""),"IDA Global - I - 443.1 - Creek 51WG (Dạng cốm) - 150gr - 100")</f>
        <v>IDA Global - I - 443.1 - Creek 51WG (Dạng cốm) - 150gr - 100</v>
      </c>
    </row>
    <row r="409">
      <c r="A409" s="86">
        <f>IFERROR(__xludf.DUMMYFUNCTION("""COMPUTED_VALUE"""),407.0)</f>
        <v>407</v>
      </c>
      <c r="B409" s="87" t="str">
        <f>IFERROR(__xludf.DUMMYFUNCTION("""COMPUTED_VALUE"""),"Chai")</f>
        <v>Chai</v>
      </c>
      <c r="C409" s="87" t="str">
        <f>IFERROR(__xludf.DUMMYFUNCTION("""COMPUTED_VALUE"""),"CHT0048")</f>
        <v>CHT0048</v>
      </c>
      <c r="D409" s="87" t="str">
        <f>IFERROR(__xludf.DUMMYFUNCTION("""COMPUTED_VALUE"""),"Chai HD Syngenta 250ml")</f>
        <v>Chai HD Syngenta 250ml</v>
      </c>
      <c r="E409" s="87" t="str">
        <f>IFERROR(__xludf.DUMMYFUNCTION("""COMPUTED_VALUE"""),"Solonapy 300SC")</f>
        <v>Solonapy 300SC</v>
      </c>
      <c r="F409" s="87" t="str">
        <f>IFERROR(__xludf.DUMMYFUNCTION("""COMPUTED_VALUE"""),"HH0048")</f>
        <v>HH0048</v>
      </c>
      <c r="G409" s="87" t="str">
        <f>IFERROR(__xludf.DUMMYFUNCTION("""COMPUTED_VALUE"""),"IDA Global - I - 444 - Sức Mạnh Cá Mập 300 (PET) - 100ml - 100")</f>
        <v>IDA Global - I - 444 - Sức Mạnh Cá Mập 300 (PET) - 100ml - 100</v>
      </c>
    </row>
    <row r="410">
      <c r="A410" s="86">
        <f>IFERROR(__xludf.DUMMYFUNCTION("""COMPUTED_VALUE"""),408.0)</f>
        <v>408</v>
      </c>
      <c r="B410" s="87" t="str">
        <f>IFERROR(__xludf.DUMMYFUNCTION("""COMPUTED_VALUE"""),"Xô")</f>
        <v>Xô</v>
      </c>
      <c r="C410" s="87" t="str">
        <f>IFERROR(__xludf.DUMMYFUNCTION("""COMPUTED_VALUE"""),"XOT0002")</f>
        <v>XOT0002</v>
      </c>
      <c r="D410" s="87" t="str">
        <f>IFERROR(__xludf.DUMMYFUNCTION("""COMPUTED_VALUE"""),"Xô Trắng 25 Kg")</f>
        <v>Xô Trắng 25 Kg</v>
      </c>
      <c r="E410" s="87" t="str">
        <f>IFERROR(__xludf.DUMMYFUNCTION("""COMPUTED_VALUE"""),"Solonapy 300SC")</f>
        <v>Solonapy 300SC</v>
      </c>
      <c r="F410" s="87" t="str">
        <f>IFERROR(__xludf.DUMMYFUNCTION("""COMPUTED_VALUE"""),"HH0002")</f>
        <v>HH0002</v>
      </c>
      <c r="G410" s="87" t="str">
        <f>IFERROR(__xludf.DUMMYFUNCTION("""COMPUTED_VALUE"""),"IDA Global - I - 445 - Sức Mạnh Cá Mập 300 (PET) - 240ml - 40")</f>
        <v>IDA Global - I - 445 - Sức Mạnh Cá Mập 300 (PET) - 240ml - 40</v>
      </c>
    </row>
    <row r="411">
      <c r="A411" s="86">
        <f>IFERROR(__xludf.DUMMYFUNCTION("""COMPUTED_VALUE"""),409.0)</f>
        <v>409</v>
      </c>
      <c r="B411" s="87" t="str">
        <f>IFERROR(__xludf.DUMMYFUNCTION("""COMPUTED_VALUE"""),"Chai")</f>
        <v>Chai</v>
      </c>
      <c r="C411" s="87" t="str">
        <f>IFERROR(__xludf.DUMMYFUNCTION("""COMPUTED_VALUE"""),"CPT0049")</f>
        <v>CPT0049</v>
      </c>
      <c r="D411" s="87" t="str">
        <f>IFERROR(__xludf.DUMMYFUNCTION("""COMPUTED_VALUE"""),"Chai PET tròn cổ 43 250ml trong, nắp vàng")</f>
        <v>Chai PET tròn cổ 43 250ml trong, nắp vàng</v>
      </c>
      <c r="E411" s="87" t="str">
        <f>IFERROR(__xludf.DUMMYFUNCTION("""COMPUTED_VALUE"""),"TVZEB 800WP")</f>
        <v>TVZEB 800WP</v>
      </c>
      <c r="F411" s="87" t="str">
        <f>IFERROR(__xludf.DUMMYFUNCTION("""COMPUTED_VALUE"""),"HH0049")</f>
        <v>HH0049</v>
      </c>
      <c r="G411" s="87" t="str">
        <f>IFERROR(__xludf.DUMMYFUNCTION("""COMPUTED_VALUE"""),"GC - I - 447- AU - Mancozeb Xanh - 1kg - 20")</f>
        <v>GC - I - 447- AU - Mancozeb Xanh - 1kg - 20</v>
      </c>
    </row>
    <row r="412">
      <c r="A412" s="86">
        <f>IFERROR(__xludf.DUMMYFUNCTION("""COMPUTED_VALUE"""),410.0)</f>
        <v>410</v>
      </c>
      <c r="B412" s="87" t="str">
        <f>IFERROR(__xludf.DUMMYFUNCTION("""COMPUTED_VALUE"""),"Chai")</f>
        <v>Chai</v>
      </c>
      <c r="C412" s="87" t="str">
        <f>IFERROR(__xludf.DUMMYFUNCTION("""COMPUTED_VALUE"""),"CPT0050")</f>
        <v>CPT0050</v>
      </c>
      <c r="D412" s="87" t="str">
        <f>IFERROR(__xludf.DUMMYFUNCTION("""COMPUTED_VALUE"""),"Chai PET tròn cổ 43 450ml, 500ml trong, nắp đỏ")</f>
        <v>Chai PET tròn cổ 43 450ml, 500ml trong, nắp đỏ</v>
      </c>
      <c r="E412" s="87" t="str">
        <f>IFERROR(__xludf.DUMMYFUNCTION("""COMPUTED_VALUE"""),"TVZEB 800WP")</f>
        <v>TVZEB 800WP</v>
      </c>
      <c r="F412" s="87" t="str">
        <f>IFERROR(__xludf.DUMMYFUNCTION("""COMPUTED_VALUE"""),"HH0050")</f>
        <v>HH0050</v>
      </c>
      <c r="G412" s="87" t="str">
        <f>IFERROR(__xludf.DUMMYFUNCTION("""COMPUTED_VALUE"""),"GC - I - 447- AU - Mancozeb Xanh - 1kg - 20")</f>
        <v>GC - I - 447- AU - Mancozeb Xanh - 1kg - 20</v>
      </c>
    </row>
    <row r="413">
      <c r="A413" s="86">
        <f>IFERROR(__xludf.DUMMYFUNCTION("""COMPUTED_VALUE"""),411.0)</f>
        <v>411</v>
      </c>
      <c r="B413" s="87" t="str">
        <f>IFERROR(__xludf.DUMMYFUNCTION("""COMPUTED_VALUE"""),"Chai")</f>
        <v>Chai</v>
      </c>
      <c r="C413" s="87" t="str">
        <f>IFERROR(__xludf.DUMMYFUNCTION("""COMPUTED_VALUE"""),"CET0051")</f>
        <v>CET0051</v>
      </c>
      <c r="D413" s="87" t="str">
        <f>IFERROR(__xludf.DUMMYFUNCTION("""COMPUTED_VALUE"""),"Chai PAPE tròn cổ 43 (45g) 250ml trắng")</f>
        <v>Chai PAPE tròn cổ 43 (45g) 250ml trắng</v>
      </c>
      <c r="E413" s="87" t="str">
        <f>IFERROR(__xludf.DUMMYFUNCTION("""COMPUTED_VALUE"""),"TVZEB 800WP")</f>
        <v>TVZEB 800WP</v>
      </c>
      <c r="F413" s="87" t="str">
        <f>IFERROR(__xludf.DUMMYFUNCTION("""COMPUTED_VALUE"""),"HH0051")</f>
        <v>HH0051</v>
      </c>
      <c r="G413" s="87" t="str">
        <f>IFERROR(__xludf.DUMMYFUNCTION("""COMPUTED_VALUE"""),"GC - 448 - I - Thiên Di - Mancozeb Xanh (Nhãn xanh Lá) - 100gr - 100")</f>
        <v>GC - 448 - I - Thiên Di - Mancozeb Xanh (Nhãn xanh Lá) - 100gr - 100</v>
      </c>
    </row>
    <row r="414">
      <c r="A414" s="86">
        <f>IFERROR(__xludf.DUMMYFUNCTION("""COMPUTED_VALUE"""),412.0)</f>
        <v>412</v>
      </c>
      <c r="B414" s="87" t="str">
        <f>IFERROR(__xludf.DUMMYFUNCTION("""COMPUTED_VALUE"""),"Chai")</f>
        <v>Chai</v>
      </c>
      <c r="C414" s="87" t="str">
        <f>IFERROR(__xludf.DUMMYFUNCTION("""COMPUTED_VALUE"""),"CHT0052")</f>
        <v>CHT0052</v>
      </c>
      <c r="D414" s="87" t="str">
        <f>IFERROR(__xludf.DUMMYFUNCTION("""COMPUTED_VALUE"""),"Chai HDPE tròn 100ml (15g) - MP A04-Trắng")</f>
        <v>Chai HDPE tròn 100ml (15g) - MP A04-Trắng</v>
      </c>
      <c r="E414" s="87" t="str">
        <f>IFERROR(__xludf.DUMMYFUNCTION("""COMPUTED_VALUE"""),"TVZEB 800WP")</f>
        <v>TVZEB 800WP</v>
      </c>
      <c r="F414" s="87" t="str">
        <f>IFERROR(__xludf.DUMMYFUNCTION("""COMPUTED_VALUE"""),"HH0052")</f>
        <v>HH0052</v>
      </c>
      <c r="G414" s="87" t="str">
        <f>IFERROR(__xludf.DUMMYFUNCTION("""COMPUTED_VALUE"""),"GC - 448 - I - Thiên Di - Mancozeb Xanh (Nhãn xanh Lá) - 100gr - 100")</f>
        <v>GC - 448 - I - Thiên Di - Mancozeb Xanh (Nhãn xanh Lá) - 100gr - 100</v>
      </c>
    </row>
    <row r="415">
      <c r="A415" s="86">
        <f>IFERROR(__xludf.DUMMYFUNCTION("""COMPUTED_VALUE"""),413.0)</f>
        <v>413</v>
      </c>
      <c r="B415" s="87" t="str">
        <f>IFERROR(__xludf.DUMMYFUNCTION("""COMPUTED_VALUE"""),"Xô")</f>
        <v>Xô</v>
      </c>
      <c r="C415" s="87" t="str">
        <f>IFERROR(__xludf.DUMMYFUNCTION("""COMPUTED_VALUE"""),"XOT0003")</f>
        <v>XOT0003</v>
      </c>
      <c r="D415" s="87" t="str">
        <f>IFERROR(__xludf.DUMMYFUNCTION("""COMPUTED_VALUE"""),"Xô Trắng 10 Kg")</f>
        <v>Xô Trắng 10 Kg</v>
      </c>
      <c r="E415" s="87" t="str">
        <f>IFERROR(__xludf.DUMMYFUNCTION("""COMPUTED_VALUE"""),"TVZEB 800WP")</f>
        <v>TVZEB 800WP</v>
      </c>
      <c r="F415" s="87" t="str">
        <f>IFERROR(__xludf.DUMMYFUNCTION("""COMPUTED_VALUE"""),"HH0003")</f>
        <v>HH0003</v>
      </c>
      <c r="G415" s="87" t="str">
        <f>IFERROR(__xludf.DUMMYFUNCTION("""COMPUTED_VALUE"""),"GC - I - 449 - Thiên Di - Mancozeb Xanh (Nhãn xanh Dương) - 1kg - 20")</f>
        <v>GC - I - 449 - Thiên Di - Mancozeb Xanh (Nhãn xanh Dương) - 1kg - 20</v>
      </c>
    </row>
    <row r="416">
      <c r="A416" s="86">
        <f>IFERROR(__xludf.DUMMYFUNCTION("""COMPUTED_VALUE"""),414.0)</f>
        <v>414</v>
      </c>
      <c r="B416" s="87" t="str">
        <f>IFERROR(__xludf.DUMMYFUNCTION("""COMPUTED_VALUE"""),"Chai")</f>
        <v>Chai</v>
      </c>
      <c r="C416" s="87" t="str">
        <f>IFERROR(__xludf.DUMMYFUNCTION("""COMPUTED_VALUE"""),"CPT0053")</f>
        <v>CPT0053</v>
      </c>
      <c r="D416" s="87" t="str">
        <f>IFERROR(__xludf.DUMMYFUNCTION("""COMPUTED_VALUE"""),"Chai PET tròn cổ 43 3 lá  250ml (45gr) trắng")</f>
        <v>Chai PET tròn cổ 43 3 lá  250ml (45gr) trắng</v>
      </c>
      <c r="E416" s="87" t="str">
        <f>IFERROR(__xludf.DUMMYFUNCTION("""COMPUTED_VALUE"""),"TVZEB 800WP")</f>
        <v>TVZEB 800WP</v>
      </c>
      <c r="F416" s="87" t="str">
        <f>IFERROR(__xludf.DUMMYFUNCTION("""COMPUTED_VALUE"""),"HH0053")</f>
        <v>HH0053</v>
      </c>
      <c r="G416" s="87" t="str">
        <f>IFERROR(__xludf.DUMMYFUNCTION("""COMPUTED_VALUE"""),"GC - I - 449 - Thiên Di - Mancozeb Xanh (Nhãn xanh Dương) - 1kg - 20")</f>
        <v>GC - I - 449 - Thiên Di - Mancozeb Xanh (Nhãn xanh Dương) - 1kg - 20</v>
      </c>
    </row>
    <row r="417">
      <c r="A417" s="86">
        <f>IFERROR(__xludf.DUMMYFUNCTION("""COMPUTED_VALUE"""),415.0)</f>
        <v>415</v>
      </c>
      <c r="B417" s="87" t="str">
        <f>IFERROR(__xludf.DUMMYFUNCTION("""COMPUTED_VALUE"""),"Xô")</f>
        <v>Xô</v>
      </c>
      <c r="C417" s="87" t="str">
        <f>IFERROR(__xludf.DUMMYFUNCTION("""COMPUTED_VALUE"""),"XOT0004")</f>
        <v>XOT0004</v>
      </c>
      <c r="D417" s="87" t="str">
        <f>IFERROR(__xludf.DUMMYFUNCTION("""COMPUTED_VALUE"""),"Xô Trắng 20 Kg")</f>
        <v>Xô Trắng 20 Kg</v>
      </c>
      <c r="E417" s="87" t="str">
        <f>IFERROR(__xludf.DUMMYFUNCTION("""COMPUTED_VALUE"""),"TVZEB 800WP")</f>
        <v>TVZEB 800WP</v>
      </c>
      <c r="F417" s="87" t="str">
        <f>IFERROR(__xludf.DUMMYFUNCTION("""COMPUTED_VALUE"""),"HH0004")</f>
        <v>HH0004</v>
      </c>
      <c r="G417" s="87" t="str">
        <f>IFERROR(__xludf.DUMMYFUNCTION("""COMPUTED_VALUE"""),"GC - II - 450 - Agriplant - Mancozeb vàng - 1kg - 20")</f>
        <v>GC - II - 450 - Agriplant - Mancozeb vàng - 1kg - 20</v>
      </c>
    </row>
    <row r="418">
      <c r="A418" s="86">
        <f>IFERROR(__xludf.DUMMYFUNCTION("""COMPUTED_VALUE"""),416.0)</f>
        <v>416</v>
      </c>
      <c r="B418" s="87" t="str">
        <f>IFERROR(__xludf.DUMMYFUNCTION("""COMPUTED_VALUE"""),"Can")</f>
        <v>Can</v>
      </c>
      <c r="C418" s="87" t="str">
        <f>IFERROR(__xludf.DUMMYFUNCTION("""COMPUTED_VALUE"""),"CAN0002")</f>
        <v>CAN0002</v>
      </c>
      <c r="D418" s="87" t="str">
        <f>IFERROR(__xludf.DUMMYFUNCTION("""COMPUTED_VALUE"""),"Can vuông 5L trắng, nắp trắng (278g) - HG-VN031")</f>
        <v>Can vuông 5L trắng, nắp trắng (278g) - HG-VN031</v>
      </c>
      <c r="E418" s="87" t="str">
        <f>IFERROR(__xludf.DUMMYFUNCTION("""COMPUTED_VALUE"""),"TVZEB 800WP")</f>
        <v>TVZEB 800WP</v>
      </c>
      <c r="F418" s="87" t="str">
        <f>IFERROR(__xludf.DUMMYFUNCTION("""COMPUTED_VALUE"""),"HH0002")</f>
        <v>HH0002</v>
      </c>
      <c r="G418" s="87" t="str">
        <f>IFERROR(__xludf.DUMMYFUNCTION("""COMPUTED_VALUE"""),"GC - II - 450 - Agriplant - Mancozeb vàng - 1kg - 20")</f>
        <v>GC - II - 450 - Agriplant - Mancozeb vàng - 1kg - 20</v>
      </c>
    </row>
    <row r="419">
      <c r="A419" s="86">
        <f>IFERROR(__xludf.DUMMYFUNCTION("""COMPUTED_VALUE"""),417.0)</f>
        <v>417</v>
      </c>
      <c r="B419" s="87" t="str">
        <f>IFERROR(__xludf.DUMMYFUNCTION("""COMPUTED_VALUE"""),"Bao")</f>
        <v>Bao</v>
      </c>
      <c r="C419" s="87" t="str">
        <f>IFERROR(__xludf.DUMMYFUNCTION("""COMPUTED_VALUE"""),"BAO0001")</f>
        <v>BAO0001</v>
      </c>
      <c r="D419" s="87" t="str">
        <f>IFERROR(__xludf.DUMMYFUNCTION("""COMPUTED_VALUE"""),"Bao 1 kg")</f>
        <v>Bao 1 kg</v>
      </c>
      <c r="E419" s="87" t="str">
        <f>IFERROR(__xludf.DUMMYFUNCTION("""COMPUTED_VALUE"""),"TVZEB 800WP")</f>
        <v>TVZEB 800WP</v>
      </c>
      <c r="F419" s="87" t="str">
        <f>IFERROR(__xludf.DUMMYFUNCTION("""COMPUTED_VALUE"""),"HH0001")</f>
        <v>HH0001</v>
      </c>
      <c r="G419" s="87" t="str">
        <f>IFERROR(__xludf.DUMMYFUNCTION("""COMPUTED_VALUE"""),"GC - II - 451 - AGC - Mancozeb Xanh - Fungicide - 1 kg - 20")</f>
        <v>GC - II - 451 - AGC - Mancozeb Xanh - Fungicide - 1 kg - 20</v>
      </c>
    </row>
    <row r="420">
      <c r="A420" s="86">
        <f>IFERROR(__xludf.DUMMYFUNCTION("""COMPUTED_VALUE"""),418.0)</f>
        <v>418</v>
      </c>
      <c r="B420" s="87" t="str">
        <f>IFERROR(__xludf.DUMMYFUNCTION("""COMPUTED_VALUE"""),"Bao")</f>
        <v>Bao</v>
      </c>
      <c r="C420" s="87" t="str">
        <f>IFERROR(__xludf.DUMMYFUNCTION("""COMPUTED_VALUE"""),"BAO0002")</f>
        <v>BAO0002</v>
      </c>
      <c r="D420" s="87" t="str">
        <f>IFERROR(__xludf.DUMMYFUNCTION("""COMPUTED_VALUE"""),"Bao nhôm bạc, lòng túi PE 25 Kg")</f>
        <v>Bao nhôm bạc, lòng túi PE 25 Kg</v>
      </c>
      <c r="E420" s="87" t="str">
        <f>IFERROR(__xludf.DUMMYFUNCTION("""COMPUTED_VALUE"""),"TVZEB 800WP")</f>
        <v>TVZEB 800WP</v>
      </c>
      <c r="F420" s="87" t="str">
        <f>IFERROR(__xludf.DUMMYFUNCTION("""COMPUTED_VALUE"""),"HH0002")</f>
        <v>HH0002</v>
      </c>
      <c r="G420" s="87" t="str">
        <f>IFERROR(__xludf.DUMMYFUNCTION("""COMPUTED_VALUE"""),"GC - II - 451 - AGC - Mancozeb Xanh - Fungicide - 1 kg - 20")</f>
        <v>GC - II - 451 - AGC - Mancozeb Xanh - Fungicide - 1 kg - 20</v>
      </c>
    </row>
    <row r="421">
      <c r="A421" s="86">
        <f>IFERROR(__xludf.DUMMYFUNCTION("""COMPUTED_VALUE"""),419.0)</f>
        <v>419</v>
      </c>
      <c r="B421" s="87" t="str">
        <f>IFERROR(__xludf.DUMMYFUNCTION("""COMPUTED_VALUE"""),"Bao")</f>
        <v>Bao</v>
      </c>
      <c r="C421" s="87" t="str">
        <f>IFERROR(__xludf.DUMMYFUNCTION("""COMPUTED_VALUE"""),"BAO0003")</f>
        <v>BAO0003</v>
      </c>
      <c r="D421" s="87" t="str">
        <f>IFERROR(__xludf.DUMMYFUNCTION("""COMPUTED_VALUE"""),"Bao 10 Kg")</f>
        <v>Bao 10 Kg</v>
      </c>
      <c r="E421" s="87" t="str">
        <f>IFERROR(__xludf.DUMMYFUNCTION("""COMPUTED_VALUE"""),"TVZEB 800WP")</f>
        <v>TVZEB 800WP</v>
      </c>
      <c r="F421" s="87" t="str">
        <f>IFERROR(__xludf.DUMMYFUNCTION("""COMPUTED_VALUE"""),"HH0003")</f>
        <v>HH0003</v>
      </c>
      <c r="G421" s="87" t="str">
        <f>IFERROR(__xludf.DUMMYFUNCTION("""COMPUTED_VALUE"""),"GC - II - 452 - AGC -Mancozeb Vàng - Fungicide - 1 kg - 20")</f>
        <v>GC - II - 452 - AGC -Mancozeb Vàng - Fungicide - 1 kg - 20</v>
      </c>
    </row>
    <row r="422">
      <c r="A422" s="86">
        <f>IFERROR(__xludf.DUMMYFUNCTION("""COMPUTED_VALUE"""),420.0)</f>
        <v>420</v>
      </c>
      <c r="B422" s="87" t="str">
        <f>IFERROR(__xludf.DUMMYFUNCTION("""COMPUTED_VALUE"""),"Can")</f>
        <v>Can</v>
      </c>
      <c r="C422" s="87" t="str">
        <f>IFERROR(__xludf.DUMMYFUNCTION("""COMPUTED_VALUE"""),"CAN0001")</f>
        <v>CAN0001</v>
      </c>
      <c r="D422" s="87" t="str">
        <f>IFERROR(__xludf.DUMMYFUNCTION("""COMPUTED_VALUE"""),"Can 5 Lít - Âu Việt")</f>
        <v>Can 5 Lít - Âu Việt</v>
      </c>
      <c r="E422" s="87" t="str">
        <f>IFERROR(__xludf.DUMMYFUNCTION("""COMPUTED_VALUE"""),"TVZEB 800WP")</f>
        <v>TVZEB 800WP</v>
      </c>
      <c r="F422" s="87" t="str">
        <f>IFERROR(__xludf.DUMMYFUNCTION("""COMPUTED_VALUE"""),"HH0001")</f>
        <v>HH0001</v>
      </c>
      <c r="G422" s="87" t="str">
        <f>IFERROR(__xludf.DUMMYFUNCTION("""COMPUTED_VALUE"""),"GC - II - 452 - AGC -Mancozeb Vàng - Fungicide - 1 kg - 20")</f>
        <v>GC - II - 452 - AGC -Mancozeb Vàng - Fungicide - 1 kg - 20</v>
      </c>
    </row>
    <row r="423">
      <c r="A423" s="86">
        <f>IFERROR(__xludf.DUMMYFUNCTION("""COMPUTED_VALUE"""),421.0)</f>
        <v>421</v>
      </c>
      <c r="B423" s="87" t="str">
        <f>IFERROR(__xludf.DUMMYFUNCTION("""COMPUTED_VALUE"""),"Can")</f>
        <v>Can</v>
      </c>
      <c r="C423" s="87" t="str">
        <f>IFERROR(__xludf.DUMMYFUNCTION("""COMPUTED_VALUE"""),"CAN0003")</f>
        <v>CAN0003</v>
      </c>
      <c r="D423" s="87" t="str">
        <f>IFERROR(__xludf.DUMMYFUNCTION("""COMPUTED_VALUE"""),"Can vuông HDPE 5L dẹp - Trắng sữa")</f>
        <v>Can vuông HDPE 5L dẹp - Trắng sữa</v>
      </c>
      <c r="E423" s="87" t="str">
        <f>IFERROR(__xludf.DUMMYFUNCTION("""COMPUTED_VALUE"""),"TVZEB 800WP")</f>
        <v>TVZEB 800WP</v>
      </c>
      <c r="F423" s="87" t="str">
        <f>IFERROR(__xludf.DUMMYFUNCTION("""COMPUTED_VALUE"""),"HH0003")</f>
        <v>HH0003</v>
      </c>
      <c r="G423" s="87" t="str">
        <f>IFERROR(__xludf.DUMMYFUNCTION("""COMPUTED_VALUE"""),"GC - II - 454 - BM - Mancozeb Xanh (Nhãn Đỏ) - 1kg - 20")</f>
        <v>GC - II - 454 - BM - Mancozeb Xanh (Nhãn Đỏ) - 1kg - 20</v>
      </c>
    </row>
    <row r="424">
      <c r="A424" s="86">
        <f>IFERROR(__xludf.DUMMYFUNCTION("""COMPUTED_VALUE"""),422.0)</f>
        <v>422</v>
      </c>
      <c r="B424" s="87" t="str">
        <f>IFERROR(__xludf.DUMMYFUNCTION("""COMPUTED_VALUE"""),"Bao")</f>
        <v>Bao</v>
      </c>
      <c r="C424" s="87" t="str">
        <f>IFERROR(__xludf.DUMMYFUNCTION("""COMPUTED_VALUE"""),"BAO0004")</f>
        <v>BAO0004</v>
      </c>
      <c r="D424" s="87" t="str">
        <f>IFERROR(__xludf.DUMMYFUNCTION("""COMPUTED_VALUE"""),"Bao nhôm bạc, lòng túi PE 15 Kg")</f>
        <v>Bao nhôm bạc, lòng túi PE 15 Kg</v>
      </c>
      <c r="E424" s="87" t="str">
        <f>IFERROR(__xludf.DUMMYFUNCTION("""COMPUTED_VALUE"""),"TVZEB 800WP")</f>
        <v>TVZEB 800WP</v>
      </c>
      <c r="F424" s="87" t="str">
        <f>IFERROR(__xludf.DUMMYFUNCTION("""COMPUTED_VALUE"""),"HH0004")</f>
        <v>HH0004</v>
      </c>
      <c r="G424" s="87" t="str">
        <f>IFERROR(__xludf.DUMMYFUNCTION("""COMPUTED_VALUE"""),"GC - II - 455 - BM (JAPAN) - Mancozeb Xanh (Nhãn xanh Lá) - 1kg - 20")</f>
        <v>GC - II - 455 - BM (JAPAN) - Mancozeb Xanh (Nhãn xanh Lá) - 1kg - 20</v>
      </c>
    </row>
    <row r="425">
      <c r="A425" s="86">
        <f>IFERROR(__xludf.DUMMYFUNCTION("""COMPUTED_VALUE"""),423.0)</f>
        <v>423</v>
      </c>
      <c r="B425" s="87" t="str">
        <f>IFERROR(__xludf.DUMMYFUNCTION("""COMPUTED_VALUE"""),"Bao")</f>
        <v>Bao</v>
      </c>
      <c r="C425" s="87" t="str">
        <f>IFERROR(__xludf.DUMMYFUNCTION("""COMPUTED_VALUE"""),"BAO0005")</f>
        <v>BAO0005</v>
      </c>
      <c r="D425" s="87" t="str">
        <f>IFERROR(__xludf.DUMMYFUNCTION("""COMPUTED_VALUE"""),"Bao nhôm bạc, lòng túi PE 10 Kg")</f>
        <v>Bao nhôm bạc, lòng túi PE 10 Kg</v>
      </c>
      <c r="E425" s="87" t="str">
        <f>IFERROR(__xludf.DUMMYFUNCTION("""COMPUTED_VALUE"""),"TVZEB 800WP")</f>
        <v>TVZEB 800WP</v>
      </c>
      <c r="F425" s="87" t="str">
        <f>IFERROR(__xludf.DUMMYFUNCTION("""COMPUTED_VALUE"""),"HH0005")</f>
        <v>HH0005</v>
      </c>
      <c r="G425" s="87" t="str">
        <f>IFERROR(__xludf.DUMMYFUNCTION("""COMPUTED_VALUE"""),"GC - II - 455 - BM (JAPAN) - Mancozeb Xanh (Nhãn xanh Lá) - 1kg - 20")</f>
        <v>GC - II - 455 - BM (JAPAN) - Mancozeb Xanh (Nhãn xanh Lá) - 1kg - 20</v>
      </c>
    </row>
    <row r="426">
      <c r="A426" s="86">
        <f>IFERROR(__xludf.DUMMYFUNCTION("""COMPUTED_VALUE"""),424.0)</f>
        <v>424</v>
      </c>
      <c r="B426" s="87" t="str">
        <f>IFERROR(__xludf.DUMMYFUNCTION("""COMPUTED_VALUE"""),"Can")</f>
        <v>Can</v>
      </c>
      <c r="C426" s="87" t="str">
        <f>IFERROR(__xludf.DUMMYFUNCTION("""COMPUTED_VALUE"""),"CAN0004")</f>
        <v>CAN0004</v>
      </c>
      <c r="D426" s="87" t="str">
        <f>IFERROR(__xludf.DUMMYFUNCTION("""COMPUTED_VALUE"""),"Can vuông 5L (2 quai) thân cam, nắp xanh lá (320g)")</f>
        <v>Can vuông 5L (2 quai) thân cam, nắp xanh lá (320g)</v>
      </c>
      <c r="E426" s="87" t="str">
        <f>IFERROR(__xludf.DUMMYFUNCTION("""COMPUTED_VALUE"""),"Pro-tin 480EC")</f>
        <v>Pro-tin 480EC</v>
      </c>
      <c r="F426" s="87" t="str">
        <f>IFERROR(__xludf.DUMMYFUNCTION("""COMPUTED_VALUE"""),"HH0004")</f>
        <v>HH0004</v>
      </c>
      <c r="G426" s="87" t="str">
        <f>IFERROR(__xludf.DUMMYFUNCTION("""COMPUTED_VALUE"""),"GC - II - 459 - AGC - Pro-tin 480EC (PET) - 450ml - 40")</f>
        <v>GC - II - 459 - AGC - Pro-tin 480EC (PET) - 450ml - 40</v>
      </c>
    </row>
    <row r="427">
      <c r="A427" s="86">
        <f>IFERROR(__xludf.DUMMYFUNCTION("""COMPUTED_VALUE"""),425.0)</f>
        <v>425</v>
      </c>
      <c r="B427" s="87" t="str">
        <f>IFERROR(__xludf.DUMMYFUNCTION("""COMPUTED_VALUE"""),"Chai")</f>
        <v>Chai</v>
      </c>
      <c r="C427" s="87" t="str">
        <f>IFERROR(__xludf.DUMMYFUNCTION("""COMPUTED_VALUE"""),"CPT0005")</f>
        <v>CPT0005</v>
      </c>
      <c r="D427" s="87" t="str">
        <f>IFERROR(__xludf.DUMMYFUNCTION("""COMPUTED_VALUE"""),"Chai PET tròn cổ 43 500ml (76.3gr) trắng trong
Nắp cam")</f>
        <v>Chai PET tròn cổ 43 500ml (76.3gr) trắng trong
Nắp cam</v>
      </c>
      <c r="E427" s="87" t="str">
        <f>IFERROR(__xludf.DUMMYFUNCTION("""COMPUTED_VALUE"""),"Mekongvil 5SC")</f>
        <v>Mekongvil 5SC</v>
      </c>
      <c r="F427" s="87" t="str">
        <f>IFERROR(__xludf.DUMMYFUNCTION("""COMPUTED_VALUE"""),"HH0005")</f>
        <v>HH0005</v>
      </c>
      <c r="G427" s="87" t="str">
        <f>IFERROR(__xludf.DUMMYFUNCTION("""COMPUTED_VALUE"""),"GC - II - 462 - LuTa - Mekongvil 5SC (HD) - 500ml - 40")</f>
        <v>GC - II - 462 - LuTa - Mekongvil 5SC (HD) - 500ml - 40</v>
      </c>
    </row>
    <row r="428">
      <c r="A428" s="86">
        <f>IFERROR(__xludf.DUMMYFUNCTION("""COMPUTED_VALUE"""),426.0)</f>
        <v>426</v>
      </c>
      <c r="B428" s="87" t="str">
        <f>IFERROR(__xludf.DUMMYFUNCTION("""COMPUTED_VALUE"""),"Xô")</f>
        <v>Xô</v>
      </c>
      <c r="C428" s="87" t="str">
        <f>IFERROR(__xludf.DUMMYFUNCTION("""COMPUTED_VALUE"""),"XOT0005")</f>
        <v>XOT0005</v>
      </c>
      <c r="D428" s="87" t="str">
        <f>IFERROR(__xludf.DUMMYFUNCTION("""COMPUTED_VALUE"""),"Xô Trắng 4 móc tròn 22-25 Kg")</f>
        <v>Xô Trắng 4 móc tròn 22-25 Kg</v>
      </c>
      <c r="E428" s="87" t="str">
        <f>IFERROR(__xludf.DUMMYFUNCTION("""COMPUTED_VALUE"""),"Kamycinjapane 20SL")</f>
        <v>Kamycinjapane 20SL</v>
      </c>
      <c r="F428" s="87" t="str">
        <f>IFERROR(__xludf.DUMMYFUNCTION("""COMPUTED_VALUE"""),"HH0005")</f>
        <v>HH0005</v>
      </c>
      <c r="G428" s="87" t="str">
        <f>IFERROR(__xludf.DUMMYFUNCTION("""COMPUTED_VALUE"""),"GC - II - 465 - AGC - Kamycinjapane 20SL (chai tròn) - 450ml - 40")</f>
        <v>GC - II - 465 - AGC - Kamycinjapane 20SL (chai tròn) - 450ml - 40</v>
      </c>
    </row>
    <row r="429">
      <c r="A429" s="86">
        <f>IFERROR(__xludf.DUMMYFUNCTION("""COMPUTED_VALUE"""),427.0)</f>
        <v>427</v>
      </c>
      <c r="B429" s="87" t="str">
        <f>IFERROR(__xludf.DUMMYFUNCTION("""COMPUTED_VALUE"""),"Chai")</f>
        <v>Chai</v>
      </c>
      <c r="C429" s="87" t="str">
        <f>IFERROR(__xludf.DUMMYFUNCTION("""COMPUTED_VALUE"""),"CET0038")</f>
        <v>CET0038</v>
      </c>
      <c r="D429" s="87" t="str">
        <f>IFERROR(__xludf.DUMMYFUNCTION("""COMPUTED_VALUE"""),"Chai PAPE 3 lớp tròn cổ 33 100ml (25g) -Trắng")</f>
        <v>Chai PAPE 3 lớp tròn cổ 33 100ml (25g) -Trắng</v>
      </c>
      <c r="E429" s="87" t="str">
        <f>IFERROR(__xludf.DUMMYFUNCTION("""COMPUTED_VALUE"""),"Vi lượng AV-CFC
(Dạng rắn)")</f>
        <v>Vi lượng AV-CFC
(Dạng rắn)</v>
      </c>
      <c r="F429" s="87" t="str">
        <f>IFERROR(__xludf.DUMMYFUNCTION("""COMPUTED_VALUE"""),"HH0038")</f>
        <v>HH0038</v>
      </c>
      <c r="G429" s="87" t="str">
        <f>IFERROR(__xludf.DUMMYFUNCTION("""COMPUTED_VALUE"""),"GC - I - 471 - TLB - Humi Plus (Túi nhôm) - 1kg - 25")</f>
        <v>GC - I - 471 - TLB - Humi Plus (Túi nhôm) - 1kg - 25</v>
      </c>
    </row>
    <row r="430">
      <c r="A430" s="86">
        <f>IFERROR(__xludf.DUMMYFUNCTION("""COMPUTED_VALUE"""),428.0)</f>
        <v>428</v>
      </c>
      <c r="B430" s="87" t="str">
        <f>IFERROR(__xludf.DUMMYFUNCTION("""COMPUTED_VALUE"""),"Nắp")</f>
        <v>Nắp</v>
      </c>
      <c r="C430" s="87" t="str">
        <f>IFERROR(__xludf.DUMMYFUNCTION("""COMPUTED_VALUE"""),"NAP0011")</f>
        <v>NAP0011</v>
      </c>
      <c r="D430" s="87" t="str">
        <f>IFERROR(__xludf.DUMMYFUNCTION("""COMPUTED_VALUE"""),"Nắp HDPE chai 3 lớp cổ 33 100ml (5.5gr)  - Trắng + Cốc đong (4g)")</f>
        <v>Nắp HDPE chai 3 lớp cổ 33 100ml (5.5gr)  - Trắng + Cốc đong (4g)</v>
      </c>
      <c r="E430" s="87" t="str">
        <f>IFERROR(__xludf.DUMMYFUNCTION("""COMPUTED_VALUE"""),"Acodyl 35WP")</f>
        <v>Acodyl 35WP</v>
      </c>
      <c r="F430" s="87" t="str">
        <f>IFERROR(__xludf.DUMMYFUNCTION("""COMPUTED_VALUE"""),"HH0011")</f>
        <v>HH0011</v>
      </c>
      <c r="G430" s="87" t="str">
        <f>IFERROR(__xludf.DUMMYFUNCTION("""COMPUTED_VALUE"""),"GC - II - 475 - AK - Metalaxyl (túi nhôm) - 100g - 100")</f>
        <v>GC - II - 475 - AK - Metalaxyl (túi nhôm) - 100g - 100</v>
      </c>
    </row>
    <row r="431">
      <c r="A431" s="86">
        <f>IFERROR(__xludf.DUMMYFUNCTION("""COMPUTED_VALUE"""),429.0)</f>
        <v>429</v>
      </c>
      <c r="B431" s="87" t="str">
        <f>IFERROR(__xludf.DUMMYFUNCTION("""COMPUTED_VALUE"""),"Chai")</f>
        <v>Chai</v>
      </c>
      <c r="C431" s="87" t="str">
        <f>IFERROR(__xludf.DUMMYFUNCTION("""COMPUTED_VALUE"""),"CPV0039")</f>
        <v>CPV0039</v>
      </c>
      <c r="D431" s="87" t="str">
        <f>IFERROR(__xludf.DUMMYFUNCTION("""COMPUTED_VALUE"""),"Chai PET vuông cổ 43 1L - Trắng")</f>
        <v>Chai PET vuông cổ 43 1L - Trắng</v>
      </c>
      <c r="E431" s="87" t="str">
        <f>IFERROR(__xludf.DUMMYFUNCTION("""COMPUTED_VALUE"""),"Apple 700WP")</f>
        <v>Apple 700WP</v>
      </c>
      <c r="F431" s="87" t="str">
        <f>IFERROR(__xludf.DUMMYFUNCTION("""COMPUTED_VALUE"""),"HH0039")</f>
        <v>HH0039</v>
      </c>
      <c r="G431" s="87" t="str">
        <f>IFERROR(__xludf.DUMMYFUNCTION("""COMPUTED_VALUE"""),"GC - II - 478 - AGC - Apple 700WP - 100 gr - 100")</f>
        <v>GC - II - 478 - AGC - Apple 700WP - 100 gr - 100</v>
      </c>
    </row>
    <row r="432">
      <c r="A432" s="86">
        <f>IFERROR(__xludf.DUMMYFUNCTION("""COMPUTED_VALUE"""),430.0)</f>
        <v>430</v>
      </c>
      <c r="B432" s="87" t="str">
        <f>IFERROR(__xludf.DUMMYFUNCTION("""COMPUTED_VALUE"""),"Nắp")</f>
        <v>Nắp</v>
      </c>
      <c r="C432" s="87" t="str">
        <f>IFERROR(__xludf.DUMMYFUNCTION("""COMPUTED_VALUE"""),"NAP0013")</f>
        <v>NAP0013</v>
      </c>
      <c r="D432" s="87" t="str">
        <f>IFERROR(__xludf.DUMMYFUNCTION("""COMPUTED_VALUE"""),"Nắp PET cổ 43 chai vuông 1 lít - Xanh ngọc")</f>
        <v>Nắp PET cổ 43 chai vuông 1 lít - Xanh ngọc</v>
      </c>
      <c r="E432" s="87" t="str">
        <f>IFERROR(__xludf.DUMMYFUNCTION("""COMPUTED_VALUE"""),"Apple 700WP")</f>
        <v>Apple 700WP</v>
      </c>
      <c r="F432" s="87" t="str">
        <f>IFERROR(__xludf.DUMMYFUNCTION("""COMPUTED_VALUE"""),"HH0013")</f>
        <v>HH0013</v>
      </c>
      <c r="G432" s="87" t="str">
        <f>IFERROR(__xludf.DUMMYFUNCTION("""COMPUTED_VALUE"""),"GC - II - 478 - AGC - Apple 700WP - 100 gr - 100")</f>
        <v>GC - II - 478 - AGC - Apple 700WP - 100 gr - 100</v>
      </c>
    </row>
    <row r="433">
      <c r="A433" s="86">
        <f>IFERROR(__xludf.DUMMYFUNCTION("""COMPUTED_VALUE"""),431.0)</f>
        <v>431</v>
      </c>
      <c r="B433" s="87" t="str">
        <f>IFERROR(__xludf.DUMMYFUNCTION("""COMPUTED_VALUE"""),"Chai")</f>
        <v>Chai</v>
      </c>
      <c r="C433" s="87" t="str">
        <f>IFERROR(__xludf.DUMMYFUNCTION("""COMPUTED_VALUE"""),"CPV0040")</f>
        <v>CPV0040</v>
      </c>
      <c r="D433" s="87" t="str">
        <f>IFERROR(__xludf.DUMMYFUNCTION("""COMPUTED_VALUE"""),"Chai PET Vuông cổ 28 100ml (21gr) trắng")</f>
        <v>Chai PET Vuông cổ 28 100ml (21gr) trắng</v>
      </c>
      <c r="E433" s="87" t="str">
        <f>IFERROR(__xludf.DUMMYFUNCTION("""COMPUTED_VALUE"""),"Pim.Pim 75WP")</f>
        <v>Pim.Pim 75WP</v>
      </c>
      <c r="F433" s="87" t="str">
        <f>IFERROR(__xludf.DUMMYFUNCTION("""COMPUTED_VALUE"""),"HH0040")</f>
        <v>HH0040</v>
      </c>
      <c r="G433" s="87" t="str">
        <f>IFERROR(__xludf.DUMMYFUNCTION("""COMPUTED_VALUE"""),"IDA Global - I - 479.1 -Tricyclazole (Drone) - 100gr - 100")</f>
        <v>IDA Global - I - 479.1 -Tricyclazole (Drone) - 100gr - 100</v>
      </c>
    </row>
    <row r="434">
      <c r="A434" s="86">
        <f>IFERROR(__xludf.DUMMYFUNCTION("""COMPUTED_VALUE"""),432.0)</f>
        <v>432</v>
      </c>
      <c r="B434" s="87" t="str">
        <f>IFERROR(__xludf.DUMMYFUNCTION("""COMPUTED_VALUE"""),"Nắp")</f>
        <v>Nắp</v>
      </c>
      <c r="C434" s="87" t="str">
        <f>IFERROR(__xludf.DUMMYFUNCTION("""COMPUTED_VALUE"""),"NAP0038")</f>
        <v>NAP0038</v>
      </c>
      <c r="D434" s="87" t="str">
        <f>IFERROR(__xludf.DUMMYFUNCTION("""COMPUTED_VALUE"""),"Nắp Chai PET Vuông cổ 28 100ml (21gr) trắng")</f>
        <v>Nắp Chai PET Vuông cổ 28 100ml (21gr) trắng</v>
      </c>
      <c r="E434" s="87" t="str">
        <f>IFERROR(__xludf.DUMMYFUNCTION("""COMPUTED_VALUE"""),"Pim.Pim 75WP")</f>
        <v>Pim.Pim 75WP</v>
      </c>
      <c r="F434" s="87" t="str">
        <f>IFERROR(__xludf.DUMMYFUNCTION("""COMPUTED_VALUE"""),"HH0038")</f>
        <v>HH0038</v>
      </c>
      <c r="G434" s="87" t="str">
        <f>IFERROR(__xludf.DUMMYFUNCTION("""COMPUTED_VALUE"""),"IDA Global - I - 479.1 -Tricyclazole (Drone) - 100gr - 100")</f>
        <v>IDA Global - I - 479.1 -Tricyclazole (Drone) - 100gr - 100</v>
      </c>
    </row>
    <row r="435">
      <c r="A435" s="86">
        <f>IFERROR(__xludf.DUMMYFUNCTION("""COMPUTED_VALUE"""),433.0)</f>
        <v>433</v>
      </c>
      <c r="B435" s="87" t="str">
        <f>IFERROR(__xludf.DUMMYFUNCTION("""COMPUTED_VALUE"""),"Nắp")</f>
        <v>Nắp</v>
      </c>
      <c r="C435" s="87" t="str">
        <f>IFERROR(__xludf.DUMMYFUNCTION("""COMPUTED_VALUE"""),"NAP0039")</f>
        <v>NAP0039</v>
      </c>
      <c r="D435" s="87" t="str">
        <f>IFERROR(__xludf.DUMMYFUNCTION("""COMPUTED_VALUE"""),"Nắp PET vuông cổ 28 (3gr) vàng")</f>
        <v>Nắp PET vuông cổ 28 (3gr) vàng</v>
      </c>
      <c r="E435" s="87" t="str">
        <f>IFERROR(__xludf.DUMMYFUNCTION("""COMPUTED_VALUE"""),"Remy 19EC")</f>
        <v>Remy 19EC</v>
      </c>
      <c r="F435" s="87" t="str">
        <f>IFERROR(__xludf.DUMMYFUNCTION("""COMPUTED_VALUE"""),"HH0039")</f>
        <v>HH0039</v>
      </c>
      <c r="G435" s="87" t="str">
        <f>IFERROR(__xludf.DUMMYFUNCTION("""COMPUTED_VALUE"""),"GC - I - 481 - AU - Remy 19EC (Pet Tròn) - 450ml - 40")</f>
        <v>GC - I - 481 - AU - Remy 19EC (Pet Tròn) - 450ml - 40</v>
      </c>
    </row>
    <row r="436">
      <c r="A436" s="86">
        <f>IFERROR(__xludf.DUMMYFUNCTION("""COMPUTED_VALUE"""),434.0)</f>
        <v>434</v>
      </c>
      <c r="B436" s="87" t="str">
        <f>IFERROR(__xludf.DUMMYFUNCTION("""COMPUTED_VALUE"""),"Chai")</f>
        <v>Chai</v>
      </c>
      <c r="C436" s="87" t="str">
        <f>IFERROR(__xludf.DUMMYFUNCTION("""COMPUTED_VALUE"""),"CHT0041")</f>
        <v>CHT0041</v>
      </c>
      <c r="D436" s="87" t="str">
        <f>IFERROR(__xludf.DUMMYFUNCTION("""COMPUTED_VALUE"""),"Chai HDPE tròn cổ 43 (40gr) 250ml đỏ")</f>
        <v>Chai HDPE tròn cổ 43 (40gr) 250ml đỏ</v>
      </c>
      <c r="E436" s="87" t="str">
        <f>IFERROR(__xludf.DUMMYFUNCTION("""COMPUTED_VALUE"""),"Prima 04")</f>
        <v>Prima 04</v>
      </c>
      <c r="F436" s="87" t="str">
        <f>IFERROR(__xludf.DUMMYFUNCTION("""COMPUTED_VALUE"""),"HH0041")</f>
        <v>HH0041</v>
      </c>
      <c r="G436" s="87" t="str">
        <f>IFERROR(__xludf.DUMMYFUNCTION("""COMPUTED_VALUE"""),"GC - II - 485 - LuTa vẩy cá (Humic vẩy) - 10kg - 1")</f>
        <v>GC - II - 485 - LuTa vẩy cá (Humic vẩy) - 10kg - 1</v>
      </c>
    </row>
    <row r="437">
      <c r="A437" s="86">
        <f>IFERROR(__xludf.DUMMYFUNCTION("""COMPUTED_VALUE"""),435.0)</f>
        <v>435</v>
      </c>
      <c r="B437" s="87" t="str">
        <f>IFERROR(__xludf.DUMMYFUNCTION("""COMPUTED_VALUE"""),"Can")</f>
        <v>Can</v>
      </c>
      <c r="C437" s="87" t="str">
        <f>IFERROR(__xludf.DUMMYFUNCTION("""COMPUTED_VALUE"""),"CAN0006")</f>
        <v>CAN0006</v>
      </c>
      <c r="D437" s="87" t="str">
        <f>IFERROR(__xludf.DUMMYFUNCTION("""COMPUTED_VALUE"""),"Can HDPE 5L vuông vàng, 4 chấm chống trượt (315gr) - Nắp đen (13gr)")</f>
        <v>Can HDPE 5L vuông vàng, 4 chấm chống trượt (315gr) - Nắp đen (13gr)</v>
      </c>
      <c r="E437" s="87" t="str">
        <f>IFERROR(__xludf.DUMMYFUNCTION("""COMPUTED_VALUE"""),"Prima 04")</f>
        <v>Prima 04</v>
      </c>
      <c r="F437" s="87" t="str">
        <f>IFERROR(__xludf.DUMMYFUNCTION("""COMPUTED_VALUE"""),"HH0006")</f>
        <v>HH0006</v>
      </c>
      <c r="G437" s="87" t="str">
        <f>IFERROR(__xludf.DUMMYFUNCTION("""COMPUTED_VALUE"""),"GC - II - 486 - Luta Vẩy cá (mới) - 1kg - 25")</f>
        <v>GC - II - 486 - Luta Vẩy cá (mới) - 1kg - 25</v>
      </c>
    </row>
    <row r="438">
      <c r="A438" s="86">
        <f>IFERROR(__xludf.DUMMYFUNCTION("""COMPUTED_VALUE"""),436.0)</f>
        <v>436</v>
      </c>
      <c r="B438" s="87" t="str">
        <f>IFERROR(__xludf.DUMMYFUNCTION("""COMPUTED_VALUE"""),"Chai")</f>
        <v>Chai</v>
      </c>
      <c r="C438" s="87" t="str">
        <f>IFERROR(__xludf.DUMMYFUNCTION("""COMPUTED_VALUE"""),"CHT0054")</f>
        <v>CHT0054</v>
      </c>
      <c r="D438" s="87" t="str">
        <f>IFERROR(__xludf.DUMMYFUNCTION("""COMPUTED_VALUE"""),"Chai HD giả nhôm 50ml  tròn cổ 33  Xám - Nắp trắng, có cốc đong")</f>
        <v>Chai HD giả nhôm 50ml  tròn cổ 33  Xám - Nắp trắng, có cốc đong</v>
      </c>
      <c r="E438" s="87" t="str">
        <f>IFERROR(__xludf.DUMMYFUNCTION("""COMPUTED_VALUE"""),"Pim.Pim 75WP")</f>
        <v>Pim.Pim 75WP</v>
      </c>
      <c r="F438" s="87" t="str">
        <f>IFERROR(__xludf.DUMMYFUNCTION("""COMPUTED_VALUE"""),"HH0054")</f>
        <v>HH0054</v>
      </c>
      <c r="G438" s="87" t="str">
        <f>IFERROR(__xludf.DUMMYFUNCTION("""COMPUTED_VALUE"""),"IDA Global - I - 489 - Tricylazole (drone) - 25gr - 300")</f>
        <v>IDA Global - I - 489 - Tricylazole (drone) - 25gr - 300</v>
      </c>
    </row>
    <row r="439">
      <c r="A439" s="86">
        <f>IFERROR(__xludf.DUMMYFUNCTION("""COMPUTED_VALUE"""),437.0)</f>
        <v>437</v>
      </c>
      <c r="B439" s="87" t="str">
        <f>IFERROR(__xludf.DUMMYFUNCTION("""COMPUTED_VALUE"""),"Nắp")</f>
        <v>Nắp</v>
      </c>
      <c r="C439" s="87" t="str">
        <f>IFERROR(__xludf.DUMMYFUNCTION("""COMPUTED_VALUE"""),"NAP0014")</f>
        <v>NAP0014</v>
      </c>
      <c r="D439" s="87" t="str">
        <f>IFERROR(__xludf.DUMMYFUNCTION("""COMPUTED_VALUE"""),"Nắp HD cổ 33 trắng, có cốc đong")</f>
        <v>Nắp HD cổ 33 trắng, có cốc đong</v>
      </c>
      <c r="E439" s="87" t="str">
        <f>IFERROR(__xludf.DUMMYFUNCTION("""COMPUTED_VALUE"""),"Pim.Pim 75WP")</f>
        <v>Pim.Pim 75WP</v>
      </c>
      <c r="F439" s="87" t="str">
        <f>IFERROR(__xludf.DUMMYFUNCTION("""COMPUTED_VALUE"""),"HH0014")</f>
        <v>HH0014</v>
      </c>
      <c r="G439" s="87" t="str">
        <f>IFERROR(__xludf.DUMMYFUNCTION("""COMPUTED_VALUE"""),"IDA Globa - I - 295.2 - Prohed 400EC (mới)- 240ml - 60 ( [nl] ,c, n, t)")</f>
        <v>IDA Globa - I - 295.2 - Prohed 400EC (mới)- 240ml - 60 ( [nl] ,c, n, t)</v>
      </c>
    </row>
    <row r="440">
      <c r="A440" s="86">
        <f>IFERROR(__xludf.DUMMYFUNCTION("""COMPUTED_VALUE"""),438.0)</f>
        <v>438</v>
      </c>
      <c r="B440" s="87" t="str">
        <f>IFERROR(__xludf.DUMMYFUNCTION("""COMPUTED_VALUE"""),"Chai")</f>
        <v>Chai</v>
      </c>
      <c r="C440" s="87" t="str">
        <f>IFERROR(__xludf.DUMMYFUNCTION("""COMPUTED_VALUE"""),"CPT0055")</f>
        <v>CPT0055</v>
      </c>
      <c r="D440" s="87" t="str">
        <f>IFERROR(__xludf.DUMMYFUNCTION("""COMPUTED_VALUE"""),"Chai PET giả nhôm 250ml tròn cổ 33 Xanh dương đậm - Nắp trắng, có cốc đong")</f>
        <v>Chai PET giả nhôm 250ml tròn cổ 33 Xanh dương đậm - Nắp trắng, có cốc đong</v>
      </c>
      <c r="E440" s="87" t="str">
        <f>IFERROR(__xludf.DUMMYFUNCTION("""COMPUTED_VALUE"""),"Pim.Pim 75WP")</f>
        <v>Pim.Pim 75WP</v>
      </c>
      <c r="F440" s="87" t="str">
        <f>IFERROR(__xludf.DUMMYFUNCTION("""COMPUTED_VALUE"""),"HH0055")</f>
        <v>HH0055</v>
      </c>
      <c r="G440" s="87" t="str">
        <f>IFERROR(__xludf.DUMMYFUNCTION("""COMPUTED_VALUE"""),"IDA Global - I - 489.1 - Tricylazole (drone) - 25gr - 300")</f>
        <v>IDA Global - I - 489.1 - Tricylazole (drone) - 25gr - 300</v>
      </c>
    </row>
    <row r="441">
      <c r="A441" s="86">
        <f>IFERROR(__xludf.DUMMYFUNCTION("""COMPUTED_VALUE"""),439.0)</f>
        <v>439</v>
      </c>
      <c r="B441" s="87" t="str">
        <f>IFERROR(__xludf.DUMMYFUNCTION("""COMPUTED_VALUE"""),"Chai")</f>
        <v>Chai</v>
      </c>
      <c r="C441" s="87" t="str">
        <f>IFERROR(__xludf.DUMMYFUNCTION("""COMPUTED_VALUE"""),"CPT0056")</f>
        <v>CPT0056</v>
      </c>
      <c r="D441" s="87" t="str">
        <f>IFERROR(__xludf.DUMMYFUNCTION("""COMPUTED_VALUE"""),"Chai PET giả nhôm 250ml tròn cổ 38 Xanh dương đậm - Nắp trắng, có cốc đong")</f>
        <v>Chai PET giả nhôm 250ml tròn cổ 38 Xanh dương đậm - Nắp trắng, có cốc đong</v>
      </c>
      <c r="E441" s="87" t="str">
        <f>IFERROR(__xludf.DUMMYFUNCTION("""COMPUTED_VALUE"""),"TVZEB 800WP")</f>
        <v>TVZEB 800WP</v>
      </c>
      <c r="F441" s="87" t="str">
        <f>IFERROR(__xludf.DUMMYFUNCTION("""COMPUTED_VALUE"""),"HH0056")</f>
        <v>HH0056</v>
      </c>
      <c r="G441" s="87" t="str">
        <f>IFERROR(__xludf.DUMMYFUNCTION("""COMPUTED_VALUE"""),"GC - I - 490 - AU - Manco vàng - 1kg - 20")</f>
        <v>GC - I - 490 - AU - Manco vàng - 1kg - 20</v>
      </c>
    </row>
    <row r="442">
      <c r="A442" s="86">
        <f>IFERROR(__xludf.DUMMYFUNCTION("""COMPUTED_VALUE"""),440.0)</f>
        <v>440</v>
      </c>
      <c r="B442" s="87" t="str">
        <f>IFERROR(__xludf.DUMMYFUNCTION("""COMPUTED_VALUE"""),"Chai")</f>
        <v>Chai</v>
      </c>
      <c r="C442" s="87" t="str">
        <f>IFERROR(__xludf.DUMMYFUNCTION("""COMPUTED_VALUE"""),"CHT0057")</f>
        <v>CHT0057</v>
      </c>
      <c r="D442" s="87" t="str">
        <f>IFERROR(__xludf.DUMMYFUNCTION("""COMPUTED_VALUE"""),"Chai HDPE tròn cổ 49 (50gr) 250ml trắng -  Nắp trắng")</f>
        <v>Chai HDPE tròn cổ 49 (50gr) 250ml trắng -  Nắp trắng</v>
      </c>
      <c r="E442" s="87" t="str">
        <f>IFERROR(__xludf.DUMMYFUNCTION("""COMPUTED_VALUE"""),"TVZEB 800WP")</f>
        <v>TVZEB 800WP</v>
      </c>
      <c r="F442" s="87" t="str">
        <f>IFERROR(__xludf.DUMMYFUNCTION("""COMPUTED_VALUE"""),"HH0057")</f>
        <v>HH0057</v>
      </c>
      <c r="G442" s="87" t="str">
        <f>IFERROR(__xludf.DUMMYFUNCTION("""COMPUTED_VALUE"""),"GC - I - 491 - AU - Manco xanh (Nhãn đỏ) - 1kg - 20")</f>
        <v>GC - I - 491 - AU - Manco xanh (Nhãn đỏ) - 1kg - 20</v>
      </c>
    </row>
    <row r="443">
      <c r="A443" s="86">
        <f>IFERROR(__xludf.DUMMYFUNCTION("""COMPUTED_VALUE"""),441.0)</f>
        <v>441</v>
      </c>
      <c r="B443" s="87" t="str">
        <f>IFERROR(__xludf.DUMMYFUNCTION("""COMPUTED_VALUE"""),"Chai")</f>
        <v>Chai</v>
      </c>
      <c r="C443" s="87" t="str">
        <f>IFERROR(__xludf.DUMMYFUNCTION("""COMPUTED_VALUE"""),"CHT0058")</f>
        <v>CHT0058</v>
      </c>
      <c r="D443" s="87" t="str">
        <f>IFERROR(__xludf.DUMMYFUNCTION("""COMPUTED_VALUE"""),"Chai HDPE tròn cổ 49 500ml (65gr) - trắng - Nắp trắng, có cốc đong")</f>
        <v>Chai HDPE tròn cổ 49 500ml (65gr) - trắng - Nắp trắng, có cốc đong</v>
      </c>
      <c r="E443" s="87" t="str">
        <f>IFERROR(__xludf.DUMMYFUNCTION("""COMPUTED_VALUE"""),"TVZEB 800WP")</f>
        <v>TVZEB 800WP</v>
      </c>
      <c r="F443" s="87" t="str">
        <f>IFERROR(__xludf.DUMMYFUNCTION("""COMPUTED_VALUE"""),"HH0058")</f>
        <v>HH0058</v>
      </c>
      <c r="G443" s="87" t="str">
        <f>IFERROR(__xludf.DUMMYFUNCTION("""COMPUTED_VALUE"""),"LOT IDA Global - I - 492 - Mancozeb xanh - 1 kg - 20")</f>
        <v>LOT IDA Global - I - 492 - Mancozeb xanh - 1 kg - 20</v>
      </c>
    </row>
    <row r="444">
      <c r="A444" s="86">
        <f>IFERROR(__xludf.DUMMYFUNCTION("""COMPUTED_VALUE"""),442.0)</f>
        <v>442</v>
      </c>
      <c r="B444" s="87" t="str">
        <f>IFERROR(__xludf.DUMMYFUNCTION("""COMPUTED_VALUE"""),"Chai")</f>
        <v>Chai</v>
      </c>
      <c r="C444" s="87" t="str">
        <f>IFERROR(__xludf.DUMMYFUNCTION("""COMPUTED_VALUE"""),"CHT0059")</f>
        <v>CHT0059</v>
      </c>
      <c r="D444" s="87" t="str">
        <f>IFERROR(__xludf.DUMMYFUNCTION("""COMPUTED_VALUE"""),"Chai HDPE tròn cổ 42.5 1L (105g) trắng")</f>
        <v>Chai HDPE tròn cổ 42.5 1L (105g) trắng</v>
      </c>
      <c r="E444" s="87" t="str">
        <f>IFERROR(__xludf.DUMMYFUNCTION("""COMPUTED_VALUE"""),"TVZEB 800WP")</f>
        <v>TVZEB 800WP</v>
      </c>
      <c r="F444" s="87" t="str">
        <f>IFERROR(__xludf.DUMMYFUNCTION("""COMPUTED_VALUE"""),"HH0059")</f>
        <v>HH0059</v>
      </c>
      <c r="G444" s="87" t="str">
        <f>IFERROR(__xludf.DUMMYFUNCTION("""COMPUTED_VALUE"""),"LOT IDA Global - I - 492 - Mancozeb xanh - 1 kg - 20")</f>
        <v>LOT IDA Global - I - 492 - Mancozeb xanh - 1 kg - 20</v>
      </c>
    </row>
    <row r="445">
      <c r="A445" s="86">
        <f>IFERROR(__xludf.DUMMYFUNCTION("""COMPUTED_VALUE"""),443.0)</f>
        <v>443</v>
      </c>
      <c r="B445" s="87" t="str">
        <f>IFERROR(__xludf.DUMMYFUNCTION("""COMPUTED_VALUE"""),"Nắp")</f>
        <v>Nắp</v>
      </c>
      <c r="C445" s="87" t="str">
        <f>IFERROR(__xludf.DUMMYFUNCTION("""COMPUTED_VALUE"""),"NAP0040")</f>
        <v>NAP0040</v>
      </c>
      <c r="D445" s="87" t="str">
        <f>IFERROR(__xludf.DUMMYFUNCTION("""COMPUTED_VALUE"""),"Nắp HDPE cổ 33 (5.5gr) trắng logo IDA- Có cốc đong")</f>
        <v>Nắp HDPE cổ 33 (5.5gr) trắng logo IDA- Có cốc đong</v>
      </c>
      <c r="E445" s="87" t="str">
        <f>IFERROR(__xludf.DUMMYFUNCTION("""COMPUTED_VALUE"""),"Apashuang 95WP")</f>
        <v>Apashuang 95WP</v>
      </c>
      <c r="F445" s="87" t="str">
        <f>IFERROR(__xludf.DUMMYFUNCTION("""COMPUTED_VALUE"""),"HH0040")</f>
        <v>HH0040</v>
      </c>
      <c r="G445" s="87" t="str">
        <f>IFERROR(__xludf.DUMMYFUNCTION("""COMPUTED_VALUE"""),"IDA Global - I - 494 - Apashuang (Drone) - 100gr - 100")</f>
        <v>IDA Global - I - 494 - Apashuang (Drone) - 100gr - 100</v>
      </c>
    </row>
    <row r="446">
      <c r="A446" s="86">
        <f>IFERROR(__xludf.DUMMYFUNCTION("""COMPUTED_VALUE"""),444.0)</f>
        <v>444</v>
      </c>
      <c r="B446" s="87" t="str">
        <f>IFERROR(__xludf.DUMMYFUNCTION("""COMPUTED_VALUE"""),"Chai")</f>
        <v>Chai</v>
      </c>
      <c r="C446" s="87" t="str">
        <f>IFERROR(__xludf.DUMMYFUNCTION("""COMPUTED_VALUE"""),"CHT0060")</f>
        <v>CHT0060</v>
      </c>
      <c r="D446" s="87" t="str">
        <f>IFERROR(__xludf.DUMMYFUNCTION("""COMPUTED_VALUE"""),"Chai HDPE tròn cổ 42.5 1L (100g) xám")</f>
        <v>Chai HDPE tròn cổ 42.5 1L (100g) xám</v>
      </c>
      <c r="E446" s="87" t="str">
        <f>IFERROR(__xludf.DUMMYFUNCTION("""COMPUTED_VALUE"""),"TVZEB 800WP")</f>
        <v>TVZEB 800WP</v>
      </c>
      <c r="F446" s="87" t="str">
        <f>IFERROR(__xludf.DUMMYFUNCTION("""COMPUTED_VALUE"""),"HH0060")</f>
        <v>HH0060</v>
      </c>
      <c r="G446" s="87" t="str">
        <f>IFERROR(__xludf.DUMMYFUNCTION("""COMPUTED_VALUE"""),"GC - II - 497 - Luta - Mancozeb xanh - 1kg - 20")</f>
        <v>GC - II - 497 - Luta - Mancozeb xanh - 1kg - 20</v>
      </c>
    </row>
    <row r="447">
      <c r="A447" s="86">
        <f>IFERROR(__xludf.DUMMYFUNCTION("""COMPUTED_VALUE"""),445.0)</f>
        <v>445</v>
      </c>
      <c r="B447" s="87" t="str">
        <f>IFERROR(__xludf.DUMMYFUNCTION("""COMPUTED_VALUE"""),"Nắp")</f>
        <v>Nắp</v>
      </c>
      <c r="C447" s="87" t="str">
        <f>IFERROR(__xludf.DUMMYFUNCTION("""COMPUTED_VALUE"""),"NAP0041")</f>
        <v>NAP0041</v>
      </c>
      <c r="D447" s="87" t="str">
        <f>IFERROR(__xludf.DUMMYFUNCTION("""COMPUTED_VALUE"""),"Nắp PET cổ 43 (6.3g) xanh lá")</f>
        <v>Nắp PET cổ 43 (6.3g) xanh lá</v>
      </c>
      <c r="E447" s="87" t="str">
        <f>IFERROR(__xludf.DUMMYFUNCTION("""COMPUTED_VALUE"""),"TVZEB 800WP")</f>
        <v>TVZEB 800WP</v>
      </c>
      <c r="F447" s="87" t="str">
        <f>IFERROR(__xludf.DUMMYFUNCTION("""COMPUTED_VALUE"""),"HH0041")</f>
        <v>HH0041</v>
      </c>
      <c r="G447" s="87" t="str">
        <f>IFERROR(__xludf.DUMMYFUNCTION("""COMPUTED_VALUE"""),"GC - II - 497 - Luta - Mancozeb xanh - 1kg - 20")</f>
        <v>GC - II - 497 - Luta - Mancozeb xanh - 1kg - 20</v>
      </c>
    </row>
    <row r="448">
      <c r="A448" s="86">
        <f>IFERROR(__xludf.DUMMYFUNCTION("""COMPUTED_VALUE"""),446.0)</f>
        <v>446</v>
      </c>
      <c r="B448" s="87" t="str">
        <f>IFERROR(__xludf.DUMMYFUNCTION("""COMPUTED_VALUE"""),"Chai")</f>
        <v>Chai</v>
      </c>
      <c r="C448" s="87" t="str">
        <f>IFERROR(__xludf.DUMMYFUNCTION("""COMPUTED_VALUE"""),"CPT0061")</f>
        <v>CPT0061</v>
      </c>
      <c r="D448" s="87" t="str">
        <f>IFERROR(__xludf.DUMMYFUNCTION("""COMPUTED_VALUE"""),"Chai PET tròn cổ 28 400ml, 500ml (40gr) - Nâu")</f>
        <v>Chai PET tròn cổ 28 400ml, 500ml (40gr) - Nâu</v>
      </c>
      <c r="E448" s="87" t="str">
        <f>IFERROR(__xludf.DUMMYFUNCTION("""COMPUTED_VALUE"""),"Vi lượng AV-CFC Plus")</f>
        <v>Vi lượng AV-CFC Plus</v>
      </c>
      <c r="F448" s="87" t="str">
        <f>IFERROR(__xludf.DUMMYFUNCTION("""COMPUTED_VALUE"""),"HH0061")</f>
        <v>HH0061</v>
      </c>
      <c r="G448" s="87" t="str">
        <f>IFERROR(__xludf.DUMMYFUNCTION("""COMPUTED_VALUE"""),"GC - II - 498 - AU - Dưỡng chất hữu cơ (đâm chồi) - chai HD- 500ml - 40")</f>
        <v>GC - II - 498 - AU - Dưỡng chất hữu cơ (đâm chồi) - chai HD- 500ml - 40</v>
      </c>
    </row>
    <row r="449">
      <c r="A449" s="86">
        <f>IFERROR(__xludf.DUMMYFUNCTION("""COMPUTED_VALUE"""),447.0)</f>
        <v>447</v>
      </c>
      <c r="B449" s="87" t="str">
        <f>IFERROR(__xludf.DUMMYFUNCTION("""COMPUTED_VALUE"""),"Nắp")</f>
        <v>Nắp</v>
      </c>
      <c r="C449" s="87" t="str">
        <f>IFERROR(__xludf.DUMMYFUNCTION("""COMPUTED_VALUE"""),"NAP0042")</f>
        <v>NAP0042</v>
      </c>
      <c r="D449" s="87" t="str">
        <f>IFERROR(__xludf.DUMMYFUNCTION("""COMPUTED_VALUE"""),"Nắp PET tròn cổ 28 400ml, 500ml (4gr) -Trắng")</f>
        <v>Nắp PET tròn cổ 28 400ml, 500ml (4gr) -Trắng</v>
      </c>
      <c r="E449" s="87" t="str">
        <f>IFERROR(__xludf.DUMMYFUNCTION("""COMPUTED_VALUE"""),"Tikabamec 3.6EC")</f>
        <v>Tikabamec 3.6EC</v>
      </c>
      <c r="F449" s="87" t="str">
        <f>IFERROR(__xludf.DUMMYFUNCTION("""COMPUTED_VALUE"""),"HH0042")</f>
        <v>HH0042</v>
      </c>
      <c r="G449" s="87" t="str">
        <f>IFERROR(__xludf.DUMMYFUNCTION("""COMPUTED_VALUE"""),"LOT IDA Global - I - 503 - ĐL Kim Thuỷ 1 - Abamex (Pet tròn) (nước đục) - 450ml - 40")</f>
        <v>LOT IDA Global - I - 503 - ĐL Kim Thuỷ 1 - Abamex (Pet tròn) (nước đục) - 450ml - 40</v>
      </c>
    </row>
    <row r="450">
      <c r="A450" s="86">
        <f>IFERROR(__xludf.DUMMYFUNCTION("""COMPUTED_VALUE"""),448.0)</f>
        <v>448</v>
      </c>
      <c r="B450" s="87" t="str">
        <f>IFERROR(__xludf.DUMMYFUNCTION("""COMPUTED_VALUE"""),"Nắp")</f>
        <v>Nắp</v>
      </c>
      <c r="C450" s="87" t="str">
        <f>IFERROR(__xludf.DUMMYFUNCTION("""COMPUTED_VALUE"""),"NAP0043")</f>
        <v>NAP0043</v>
      </c>
      <c r="D450" s="87" t="str">
        <f>IFERROR(__xludf.DUMMYFUNCTION("""COMPUTED_VALUE"""),"Nắp HDPE cổ 43 (10gr) logo IDA màu xanh dương")</f>
        <v>Nắp HDPE cổ 43 (10gr) logo IDA màu xanh dương</v>
      </c>
      <c r="E450" s="87" t="str">
        <f>IFERROR(__xludf.DUMMYFUNCTION("""COMPUTED_VALUE"""),"Prima 04")</f>
        <v>Prima 04</v>
      </c>
      <c r="F450" s="87" t="str">
        <f>IFERROR(__xludf.DUMMYFUNCTION("""COMPUTED_VALUE"""),"HH0043")</f>
        <v>HH0043</v>
      </c>
      <c r="G450" s="87" t="str">
        <f>IFERROR(__xludf.DUMMYFUNCTION("""COMPUTED_VALUE"""),"GC - I - 505 - Agriscience - Calcibor (Chai Pet) - 500ml - 40")</f>
        <v>GC - I - 505 - Agriscience - Calcibor (Chai Pet) - 500ml - 40</v>
      </c>
    </row>
    <row r="451">
      <c r="A451" s="86">
        <f>IFERROR(__xludf.DUMMYFUNCTION("""COMPUTED_VALUE"""),449.0)</f>
        <v>449</v>
      </c>
      <c r="B451" s="87" t="str">
        <f>IFERROR(__xludf.DUMMYFUNCTION("""COMPUTED_VALUE"""),"Nắp")</f>
        <v>Nắp</v>
      </c>
      <c r="C451" s="87" t="str">
        <f>IFERROR(__xludf.DUMMYFUNCTION("""COMPUTED_VALUE"""),"NAP0044")</f>
        <v>NAP0044</v>
      </c>
      <c r="D451" s="87" t="str">
        <f>IFERROR(__xludf.DUMMYFUNCTION("""COMPUTED_VALUE"""),"Nắp PET cổ 43 chai vuông 1 lít - Xanh lá")</f>
        <v>Nắp PET cổ 43 chai vuông 1 lít - Xanh lá</v>
      </c>
      <c r="E451" s="87" t="str">
        <f>IFERROR(__xludf.DUMMYFUNCTION("""COMPUTED_VALUE"""),"Tiger five 6.5EC")</f>
        <v>Tiger five 6.5EC</v>
      </c>
      <c r="F451" s="87" t="str">
        <f>IFERROR(__xludf.DUMMYFUNCTION("""COMPUTED_VALUE"""),"HH0044")</f>
        <v>HH0044</v>
      </c>
      <c r="G451" s="87" t="str">
        <f>IFERROR(__xludf.DUMMYFUNCTION("""COMPUTED_VALUE"""),"GC - II - 506 - AGC - Redmite - diệt nhện (chai nhôm xanh) - 240ml - 40")</f>
        <v>GC - II - 506 - AGC - Redmite - diệt nhện (chai nhôm xanh) - 240ml - 40</v>
      </c>
    </row>
    <row r="452">
      <c r="A452" s="86">
        <f>IFERROR(__xludf.DUMMYFUNCTION("""COMPUTED_VALUE"""),450.0)</f>
        <v>450</v>
      </c>
      <c r="B452" s="87" t="str">
        <f>IFERROR(__xludf.DUMMYFUNCTION("""COMPUTED_VALUE"""),"Nắp")</f>
        <v>Nắp</v>
      </c>
      <c r="C452" s="87" t="str">
        <f>IFERROR(__xludf.DUMMYFUNCTION("""COMPUTED_VALUE"""),"NAP0045")</f>
        <v>NAP0045</v>
      </c>
      <c r="D452" s="87" t="str">
        <f>IFERROR(__xludf.DUMMYFUNCTION("""COMPUTED_VALUE"""),"Nắp PET cổ 43 chai vuông 1 lít - Đỏ")</f>
        <v>Nắp PET cổ 43 chai vuông 1 lít - Đỏ</v>
      </c>
      <c r="E452" s="87" t="str">
        <f>IFERROR(__xludf.DUMMYFUNCTION("""COMPUTED_VALUE"""),"Chitin 3.6EC")</f>
        <v>Chitin 3.6EC</v>
      </c>
      <c r="F452" s="87" t="str">
        <f>IFERROR(__xludf.DUMMYFUNCTION("""COMPUTED_VALUE"""),"HH0045")</f>
        <v>HH0045</v>
      </c>
      <c r="G452" s="87" t="str">
        <f>IFERROR(__xludf.DUMMYFUNCTION("""COMPUTED_VALUE"""),"GC - II - 516 - Phúc Hưng -Thần hổ diệt sâu nhện (Nước trong) (chai PET tròn) - 450 ml - 40")</f>
        <v>GC - II - 516 - Phúc Hưng -Thần hổ diệt sâu nhện (Nước trong) (chai PET tròn) - 450 ml - 40</v>
      </c>
    </row>
    <row r="453">
      <c r="A453" s="86">
        <f>IFERROR(__xludf.DUMMYFUNCTION("""COMPUTED_VALUE"""),451.0)</f>
        <v>451</v>
      </c>
      <c r="B453" s="87" t="str">
        <f>IFERROR(__xludf.DUMMYFUNCTION("""COMPUTED_VALUE"""),"Chai")</f>
        <v>Chai</v>
      </c>
      <c r="C453" s="87" t="str">
        <f>IFERROR(__xludf.DUMMYFUNCTION("""COMPUTED_VALUE"""),"CET0062")</f>
        <v>CET0062</v>
      </c>
      <c r="D453" s="87" t="str">
        <f>IFERROR(__xludf.DUMMYFUNCTION("""COMPUTED_VALUE"""),"Chai PAPE giả nhôm 250ml tròn cao 14 cm, cổ 38 màu xám bạc - Nắp trắng, có cốc đong")</f>
        <v>Chai PAPE giả nhôm 250ml tròn cao 14 cm, cổ 38 màu xám bạc - Nắp trắng, có cốc đong</v>
      </c>
      <c r="E453" s="87" t="str">
        <f>IFERROR(__xludf.DUMMYFUNCTION("""COMPUTED_VALUE"""),"VD2")</f>
        <v>VD2</v>
      </c>
      <c r="F453" s="87" t="str">
        <f>IFERROR(__xludf.DUMMYFUNCTION("""COMPUTED_VALUE"""),"HH0062")</f>
        <v>HH0062</v>
      </c>
      <c r="G453" s="87" t="str">
        <f>IFERROR(__xludf.DUMMYFUNCTION("""COMPUTED_VALUE"""),"GC - II - 517 - SH - Humiix (túi nhôm) - 1 Kg - 25")</f>
        <v>GC - II - 517 - SH - Humiix (túi nhôm) - 1 Kg - 25</v>
      </c>
    </row>
    <row r="454">
      <c r="A454" s="86">
        <f>IFERROR(__xludf.DUMMYFUNCTION("""COMPUTED_VALUE"""),452.0)</f>
        <v>452</v>
      </c>
      <c r="B454" s="87" t="str">
        <f>IFERROR(__xludf.DUMMYFUNCTION("""COMPUTED_VALUE"""),"Nắp")</f>
        <v>Nắp</v>
      </c>
      <c r="C454" s="87" t="str">
        <f>IFERROR(__xludf.DUMMYFUNCTION("""COMPUTED_VALUE"""),"NAP0046")</f>
        <v>NAP0046</v>
      </c>
      <c r="D454" s="87" t="str">
        <f>IFERROR(__xludf.DUMMYFUNCTION("""COMPUTED_VALUE"""),"Nắp PET cổ 43 (6.3g) Xanh lá")</f>
        <v>Nắp PET cổ 43 (6.3g) Xanh lá</v>
      </c>
      <c r="E454" s="87" t="str">
        <f>IFERROR(__xludf.DUMMYFUNCTION("""COMPUTED_VALUE"""),"Mekongvil 5SC")</f>
        <v>Mekongvil 5SC</v>
      </c>
      <c r="F454" s="87" t="str">
        <f>IFERROR(__xludf.DUMMYFUNCTION("""COMPUTED_VALUE"""),"HH0046")</f>
        <v>HH0046</v>
      </c>
      <c r="G454" s="87" t="str">
        <f>IFERROR(__xludf.DUMMYFUNCTION("""COMPUTED_VALUE"""),"GC - II - 518 - A Hoài - Annvil Duc (Chai HD cao cấp) - 1L - 20")</f>
        <v>GC - II - 518 - A Hoài - Annvil Duc (Chai HD cao cấp) - 1L - 20</v>
      </c>
    </row>
    <row r="455">
      <c r="A455" s="86">
        <f>IFERROR(__xludf.DUMMYFUNCTION("""COMPUTED_VALUE"""),453.0)</f>
        <v>453</v>
      </c>
      <c r="B455" s="87" t="str">
        <f>IFERROR(__xludf.DUMMYFUNCTION("""COMPUTED_VALUE"""),"Nắp")</f>
        <v>Nắp</v>
      </c>
      <c r="C455" s="87" t="str">
        <f>IFERROR(__xludf.DUMMYFUNCTION("""COMPUTED_VALUE"""),"NAP0047")</f>
        <v>NAP0047</v>
      </c>
      <c r="D455" s="87" t="str">
        <f>IFERROR(__xludf.DUMMYFUNCTION("""COMPUTED_VALUE"""),"Nắp PET cổ 43 chai vuông 1 lít - Vàng")</f>
        <v>Nắp PET cổ 43 chai vuông 1 lít - Vàng</v>
      </c>
      <c r="E455" s="87" t="str">
        <f>IFERROR(__xludf.DUMMYFUNCTION("""COMPUTED_VALUE"""),"TVZEB 800WP")</f>
        <v>TVZEB 800WP</v>
      </c>
      <c r="F455" s="87" t="str">
        <f>IFERROR(__xludf.DUMMYFUNCTION("""COMPUTED_VALUE"""),"HH0047")</f>
        <v>HH0047</v>
      </c>
      <c r="G455" s="87" t="str">
        <f>IFERROR(__xludf.DUMMYFUNCTION("""COMPUTED_VALUE"""),"GC - II - 519 - Phúc Hưng - Mancozeb Xanh - 1kg - 20")</f>
        <v>GC - II - 519 - Phúc Hưng - Mancozeb Xanh - 1kg - 20</v>
      </c>
    </row>
    <row r="456">
      <c r="A456" s="86">
        <f>IFERROR(__xludf.DUMMYFUNCTION("""COMPUTED_VALUE"""),454.0)</f>
        <v>454</v>
      </c>
      <c r="B456" s="87" t="str">
        <f>IFERROR(__xludf.DUMMYFUNCTION("""COMPUTED_VALUE"""),"Chai")</f>
        <v>Chai</v>
      </c>
      <c r="C456" s="87" t="str">
        <f>IFERROR(__xludf.DUMMYFUNCTION("""COMPUTED_VALUE"""),"CPT0063")</f>
        <v>CPT0063</v>
      </c>
      <c r="D456" s="87" t="str">
        <f>IFERROR(__xludf.DUMMYFUNCTION("""COMPUTED_VALUE"""),"TP - Chai PET tròn 1 lít (60gr) - Đỏ")</f>
        <v>TP - Chai PET tròn 1 lít (60gr) - Đỏ</v>
      </c>
      <c r="E456" s="87" t="str">
        <f>IFERROR(__xludf.DUMMYFUNCTION("""COMPUTED_VALUE"""),"TVZEB 800WP")</f>
        <v>TVZEB 800WP</v>
      </c>
      <c r="F456" s="87" t="str">
        <f>IFERROR(__xludf.DUMMYFUNCTION("""COMPUTED_VALUE"""),"HH0063")</f>
        <v>HH0063</v>
      </c>
      <c r="G456" s="87" t="str">
        <f>IFERROR(__xludf.DUMMYFUNCTION("""COMPUTED_VALUE"""),"GC - II - 519 - Phúc Hưng - Mancozeb Xanh - 1kg - 20")</f>
        <v>GC - II - 519 - Phúc Hưng - Mancozeb Xanh - 1kg - 20</v>
      </c>
    </row>
    <row r="457">
      <c r="A457" s="86">
        <f>IFERROR(__xludf.DUMMYFUNCTION("""COMPUTED_VALUE"""),455.0)</f>
        <v>455</v>
      </c>
      <c r="B457" s="87" t="str">
        <f>IFERROR(__xludf.DUMMYFUNCTION("""COMPUTED_VALUE"""),"Nắp")</f>
        <v>Nắp</v>
      </c>
      <c r="C457" s="87" t="str">
        <f>IFERROR(__xludf.DUMMYFUNCTION("""COMPUTED_VALUE"""),"NAP0048")</f>
        <v>NAP0048</v>
      </c>
      <c r="D457" s="87" t="str">
        <f>IFERROR(__xludf.DUMMYFUNCTION("""COMPUTED_VALUE"""),"Nắp PET chụp tròn chai 1 lít  (7,8gr) - Đỏ")</f>
        <v>Nắp PET chụp tròn chai 1 lít  (7,8gr) - Đỏ</v>
      </c>
      <c r="E457" s="87" t="str">
        <f>IFERROR(__xludf.DUMMYFUNCTION("""COMPUTED_VALUE"""),"TVZEB 800WP")</f>
        <v>TVZEB 800WP</v>
      </c>
      <c r="F457" s="87" t="str">
        <f>IFERROR(__xludf.DUMMYFUNCTION("""COMPUTED_VALUE"""),"HH0048")</f>
        <v>HH0048</v>
      </c>
      <c r="G457" s="87" t="str">
        <f>IFERROR(__xludf.DUMMYFUNCTION("""COMPUTED_VALUE"""),"GC - II - 520 - Agriplant - Mancozeb xanh - 100gr - 100")</f>
        <v>GC - II - 520 - Agriplant - Mancozeb xanh - 100gr - 100</v>
      </c>
    </row>
    <row r="458">
      <c r="A458" s="86">
        <f>IFERROR(__xludf.DUMMYFUNCTION("""COMPUTED_VALUE"""),456.0)</f>
        <v>456</v>
      </c>
      <c r="B458" s="87" t="str">
        <f>IFERROR(__xludf.DUMMYFUNCTION("""COMPUTED_VALUE"""),"Chai")</f>
        <v>Chai</v>
      </c>
      <c r="C458" s="87" t="str">
        <f>IFERROR(__xludf.DUMMYFUNCTION("""COMPUTED_VALUE"""),"CHT0064")</f>
        <v>CHT0064</v>
      </c>
      <c r="D458" s="87" t="str">
        <f>IFERROR(__xludf.DUMMYFUNCTION("""COMPUTED_VALUE"""),"Chai HD tròn cổ 48.3 250ml (28gr) Trắng - Nắp trắng (9gr)")</f>
        <v>Chai HD tròn cổ 48.3 250ml (28gr) Trắng - Nắp trắng (9gr)</v>
      </c>
      <c r="E458" s="87" t="str">
        <f>IFERROR(__xludf.DUMMYFUNCTION("""COMPUTED_VALUE"""),"Remy 19EC")</f>
        <v>Remy 19EC</v>
      </c>
      <c r="F458" s="87" t="str">
        <f>IFERROR(__xludf.DUMMYFUNCTION("""COMPUTED_VALUE"""),"HH0064")</f>
        <v>HH0064</v>
      </c>
      <c r="G458" s="87" t="str">
        <f>IFERROR(__xludf.DUMMYFUNCTION("""COMPUTED_VALUE"""),"GC - II - 521 - Agriplant - Cynda (Pet vuông) - 450ml - 40")</f>
        <v>GC - II - 521 - Agriplant - Cynda (Pet vuông) - 450ml - 40</v>
      </c>
    </row>
    <row r="459">
      <c r="A459" s="86">
        <f>IFERROR(__xludf.DUMMYFUNCTION("""COMPUTED_VALUE"""),457.0)</f>
        <v>457</v>
      </c>
      <c r="B459" s="87" t="str">
        <f>IFERROR(__xludf.DUMMYFUNCTION("""COMPUTED_VALUE"""),"Chai")</f>
        <v>Chai</v>
      </c>
      <c r="C459" s="87" t="str">
        <f>IFERROR(__xludf.DUMMYFUNCTION("""COMPUTED_VALUE"""),"CPT0065")</f>
        <v>CPT0065</v>
      </c>
      <c r="D459" s="87" t="str">
        <f>IFERROR(__xludf.DUMMYFUNCTION("""COMPUTED_VALUE"""),"Chai PET tròn 1 lít (60gr) - Xanh lá")</f>
        <v>Chai PET tròn 1 lít (60gr) - Xanh lá</v>
      </c>
      <c r="E459" s="87" t="str">
        <f>IFERROR(__xludf.DUMMYFUNCTION("""COMPUTED_VALUE"""),"Vi lượng Basel IDA 11")</f>
        <v>Vi lượng Basel IDA 11</v>
      </c>
      <c r="F459" s="87" t="str">
        <f>IFERROR(__xludf.DUMMYFUNCTION("""COMPUTED_VALUE"""),"HH0065")</f>
        <v>HH0065</v>
      </c>
      <c r="G459" s="87" t="str">
        <f>IFERROR(__xludf.DUMMYFUNCTION("""COMPUTED_VALUE"""),"GC - II - Agriplant - 522 - Bio Copper 150 - 165gr - 100")</f>
        <v>GC - II - Agriplant - 522 - Bio Copper 150 - 165gr - 100</v>
      </c>
    </row>
    <row r="460">
      <c r="A460" s="86">
        <f>IFERROR(__xludf.DUMMYFUNCTION("""COMPUTED_VALUE"""),458.0)</f>
        <v>458</v>
      </c>
      <c r="B460" s="87" t="str">
        <f>IFERROR(__xludf.DUMMYFUNCTION("""COMPUTED_VALUE"""),"Nắp")</f>
        <v>Nắp</v>
      </c>
      <c r="C460" s="87" t="str">
        <f>IFERROR(__xludf.DUMMYFUNCTION("""COMPUTED_VALUE"""),"NAP0049")</f>
        <v>NAP0049</v>
      </c>
      <c r="D460" s="87" t="str">
        <f>IFERROR(__xludf.DUMMYFUNCTION("""COMPUTED_VALUE"""),"Nắp PET cổ 43 (6.3g) Xanh dương đậm")</f>
        <v>Nắp PET cổ 43 (6.3g) Xanh dương đậm</v>
      </c>
      <c r="E460" s="87" t="str">
        <f>IFERROR(__xludf.DUMMYFUNCTION("""COMPUTED_VALUE"""),"Vi lượng Basel IDA 11")</f>
        <v>Vi lượng Basel IDA 11</v>
      </c>
      <c r="F460" s="87" t="str">
        <f>IFERROR(__xludf.DUMMYFUNCTION("""COMPUTED_VALUE"""),"HH0049")</f>
        <v>HH0049</v>
      </c>
      <c r="G460" s="87" t="str">
        <f>IFERROR(__xludf.DUMMYFUNCTION("""COMPUTED_VALUE"""),"GC - II - Agriplant - 522 - Bio Copper 150 - 165gr - 100")</f>
        <v>GC - II - Agriplant - 522 - Bio Copper 150 - 165gr - 100</v>
      </c>
    </row>
    <row r="461">
      <c r="A461" s="86">
        <f>IFERROR(__xludf.DUMMYFUNCTION("""COMPUTED_VALUE"""),459.0)</f>
        <v>459</v>
      </c>
      <c r="B461" s="87" t="str">
        <f>IFERROR(__xludf.DUMMYFUNCTION("""COMPUTED_VALUE"""),"Chai")</f>
        <v>Chai</v>
      </c>
      <c r="C461" s="87" t="str">
        <f>IFERROR(__xludf.DUMMYFUNCTION("""COMPUTED_VALUE"""),"CPT0066")</f>
        <v>CPT0066</v>
      </c>
      <c r="D461" s="87" t="str">
        <f>IFERROR(__xludf.DUMMYFUNCTION("""COMPUTED_VALUE"""),"Chai PET tròn cổ 43 500ml (76.3gr) trắng trong - Nắp trắng, có cóc đong")</f>
        <v>Chai PET tròn cổ 43 500ml (76.3gr) trắng trong - Nắp trắng, có cóc đong</v>
      </c>
      <c r="E461" s="87" t="str">
        <f>IFERROR(__xludf.DUMMYFUNCTION("""COMPUTED_VALUE"""),"Kamycinjapane 20SL")</f>
        <v>Kamycinjapane 20SL</v>
      </c>
      <c r="F461" s="87" t="str">
        <f>IFERROR(__xludf.DUMMYFUNCTION("""COMPUTED_VALUE"""),"HH0066")</f>
        <v>HH0066</v>
      </c>
      <c r="G461" s="87" t="str">
        <f>IFERROR(__xludf.DUMMYFUNCTION("""COMPUTED_VALUE"""),"GC - II - 523 - Luta - Kamycinjapane 20SL (Pet tron) - 480ml - 40")</f>
        <v>GC - II - 523 - Luta - Kamycinjapane 20SL (Pet tron) - 480ml - 40</v>
      </c>
    </row>
    <row r="462">
      <c r="A462" s="86">
        <f>IFERROR(__xludf.DUMMYFUNCTION("""COMPUTED_VALUE"""),460.0)</f>
        <v>460</v>
      </c>
      <c r="B462" s="87" t="str">
        <f>IFERROR(__xludf.DUMMYFUNCTION("""COMPUTED_VALUE"""),"Chai")</f>
        <v>Chai</v>
      </c>
      <c r="C462" s="87" t="str">
        <f>IFERROR(__xludf.DUMMYFUNCTION("""COMPUTED_VALUE"""),"CPT0067")</f>
        <v>CPT0067</v>
      </c>
      <c r="D462" s="87" t="str">
        <f>IFERROR(__xludf.DUMMYFUNCTION("""COMPUTED_VALUE"""),"Chai Pet tròn 1 lít cổ 43 - Nâu")</f>
        <v>Chai Pet tròn 1 lít cổ 43 - Nâu</v>
      </c>
      <c r="E462" s="87" t="str">
        <f>IFERROR(__xludf.DUMMYFUNCTION("""COMPUTED_VALUE"""),"TOPZOLE 800WG")</f>
        <v>TOPZOLE 800WG</v>
      </c>
      <c r="F462" s="87" t="str">
        <f>IFERROR(__xludf.DUMMYFUNCTION("""COMPUTED_VALUE"""),"HH0067")</f>
        <v>HH0067</v>
      </c>
      <c r="G462" s="87" t="str">
        <f>IFERROR(__xludf.DUMMYFUNCTION("""COMPUTED_VALUE"""),"GC - II - 524 - BM - Diệt đạo ôn cháy lá - 25 gr - 300")</f>
        <v>GC - II - 524 - BM - Diệt đạo ôn cháy lá - 25 gr - 300</v>
      </c>
    </row>
    <row r="463">
      <c r="A463" s="86">
        <f>IFERROR(__xludf.DUMMYFUNCTION("""COMPUTED_VALUE"""),461.0)</f>
        <v>461</v>
      </c>
      <c r="B463" s="87" t="str">
        <f>IFERROR(__xludf.DUMMYFUNCTION("""COMPUTED_VALUE"""),"Chai")</f>
        <v>Chai</v>
      </c>
      <c r="C463" s="87" t="str">
        <f>IFERROR(__xludf.DUMMYFUNCTION("""COMPUTED_VALUE"""),"CPT0068")</f>
        <v>CPT0068</v>
      </c>
      <c r="D463" s="87" t="str">
        <f>IFERROR(__xludf.DUMMYFUNCTION("""COMPUTED_VALUE"""),"Chai PET tròn 1 lít (60gr) - Vàng")</f>
        <v>Chai PET tròn 1 lít (60gr) - Vàng</v>
      </c>
      <c r="E463" s="87" t="str">
        <f>IFERROR(__xludf.DUMMYFUNCTION("""COMPUTED_VALUE"""),"TOPZOLE 800WG")</f>
        <v>TOPZOLE 800WG</v>
      </c>
      <c r="F463" s="87" t="str">
        <f>IFERROR(__xludf.DUMMYFUNCTION("""COMPUTED_VALUE"""),"HH0068")</f>
        <v>HH0068</v>
      </c>
      <c r="G463" s="87" t="str">
        <f>IFERROR(__xludf.DUMMYFUNCTION("""COMPUTED_VALUE"""),"GC - II - 524 - BM - Diệt đạo ôn cháy lá - 25 gr - 300")</f>
        <v>GC - II - 524 - BM - Diệt đạo ôn cháy lá - 25 gr - 300</v>
      </c>
    </row>
    <row r="464">
      <c r="A464" s="86">
        <f>IFERROR(__xludf.DUMMYFUNCTION("""COMPUTED_VALUE"""),462.0)</f>
        <v>462</v>
      </c>
      <c r="B464" s="87" t="str">
        <f>IFERROR(__xludf.DUMMYFUNCTION("""COMPUTED_VALUE"""),"Nắp")</f>
        <v>Nắp</v>
      </c>
      <c r="C464" s="87" t="str">
        <f>IFERROR(__xludf.DUMMYFUNCTION("""COMPUTED_VALUE"""),"NAP0050")</f>
        <v>NAP0050</v>
      </c>
      <c r="D464" s="87" t="str">
        <f>IFERROR(__xludf.DUMMYFUNCTION("""COMPUTED_VALUE"""),"Nắp PET chụp tròn chai 1 lít  (7,8gr) - Xanh lá")</f>
        <v>Nắp PET chụp tròn chai 1 lít  (7,8gr) - Xanh lá</v>
      </c>
      <c r="E464" s="87" t="str">
        <f>IFERROR(__xludf.DUMMYFUNCTION("""COMPUTED_VALUE"""),"Vi lượng Basel IDA 46")</f>
        <v>Vi lượng Basel IDA 46</v>
      </c>
      <c r="F464" s="87" t="str">
        <f>IFERROR(__xludf.DUMMYFUNCTION("""COMPUTED_VALUE"""),"HH0050")</f>
        <v>HH0050</v>
      </c>
      <c r="G464" s="87" t="str">
        <f>IFERROR(__xludf.DUMMYFUNCTION("""COMPUTED_VALUE"""),"IDA Global - I - 525 - Amazon SC (Drone) (PET trong cao) - 450ml - 40")</f>
        <v>IDA Global - I - 525 - Amazon SC (Drone) (PET trong cao) - 450ml - 40</v>
      </c>
    </row>
    <row r="465">
      <c r="A465" s="86">
        <f>IFERROR(__xludf.DUMMYFUNCTION("""COMPUTED_VALUE"""),463.0)</f>
        <v>463</v>
      </c>
      <c r="B465" s="87" t="str">
        <f>IFERROR(__xludf.DUMMYFUNCTION("""COMPUTED_VALUE"""),"Chai")</f>
        <v>Chai</v>
      </c>
      <c r="C465" s="87" t="str">
        <f>IFERROR(__xludf.DUMMYFUNCTION("""COMPUTED_VALUE"""),"CPT0069")</f>
        <v>CPT0069</v>
      </c>
      <c r="D465" s="87" t="str">
        <f>IFERROR(__xludf.DUMMYFUNCTION("""COMPUTED_VALUE"""),"Chai PET tròn 500ml - Cam")</f>
        <v>Chai PET tròn 500ml - Cam</v>
      </c>
      <c r="E465" s="87" t="str">
        <f>IFERROR(__xludf.DUMMYFUNCTION("""COMPUTED_VALUE"""),"Remy 19EC")</f>
        <v>Remy 19EC</v>
      </c>
      <c r="F465" s="87" t="str">
        <f>IFERROR(__xludf.DUMMYFUNCTION("""COMPUTED_VALUE"""),"HH0069")</f>
        <v>HH0069</v>
      </c>
      <c r="G465" s="87" t="str">
        <f>IFERROR(__xludf.DUMMYFUNCTION("""COMPUTED_VALUE"""),"GC - I - 527 - Thiên Di - Ema19 (Pet Vuông) - 450ml - 40")</f>
        <v>GC - I - 527 - Thiên Di - Ema19 (Pet Vuông) - 450ml - 40</v>
      </c>
    </row>
    <row r="466">
      <c r="A466" s="86">
        <f>IFERROR(__xludf.DUMMYFUNCTION("""COMPUTED_VALUE"""),464.0)</f>
        <v>464</v>
      </c>
      <c r="B466" s="87" t="str">
        <f>IFERROR(__xludf.DUMMYFUNCTION("""COMPUTED_VALUE"""),"Nắp")</f>
        <v>Nắp</v>
      </c>
      <c r="C466" s="87" t="str">
        <f>IFERROR(__xludf.DUMMYFUNCTION("""COMPUTED_VALUE"""),"NAP0051")</f>
        <v>NAP0051</v>
      </c>
      <c r="D466" s="87" t="str">
        <f>IFERROR(__xludf.DUMMYFUNCTION("""COMPUTED_VALUE"""),"Nắp PET chụp tròn chai 500ml - Đỏ")</f>
        <v>Nắp PET chụp tròn chai 500ml - Đỏ</v>
      </c>
      <c r="E466" s="87" t="str">
        <f>IFERROR(__xludf.DUMMYFUNCTION("""COMPUTED_VALUE"""),"Tikabamec 3.6EC")</f>
        <v>Tikabamec 3.6EC</v>
      </c>
      <c r="F466" s="87" t="str">
        <f>IFERROR(__xludf.DUMMYFUNCTION("""COMPUTED_VALUE"""),"HH0051")</f>
        <v>HH0051</v>
      </c>
      <c r="G466" s="87" t="str">
        <f>IFERROR(__xludf.DUMMYFUNCTION("""COMPUTED_VALUE"""),"GC - II - 528 - AGC - Gaba (Pet tròn) (nước đục) - 450ml - 40")</f>
        <v>GC - II - 528 - AGC - Gaba (Pet tròn) (nước đục) - 450ml - 40</v>
      </c>
    </row>
    <row r="467">
      <c r="A467" s="86">
        <f>IFERROR(__xludf.DUMMYFUNCTION("""COMPUTED_VALUE"""),465.0)</f>
        <v>465</v>
      </c>
      <c r="B467" s="87" t="str">
        <f>IFERROR(__xludf.DUMMYFUNCTION("""COMPUTED_VALUE"""),"Chai")</f>
        <v>Chai</v>
      </c>
      <c r="C467" s="87" t="str">
        <f>IFERROR(__xludf.DUMMYFUNCTION("""COMPUTED_VALUE"""),"CPT0070")</f>
        <v>CPT0070</v>
      </c>
      <c r="D467" s="87" t="str">
        <f>IFERROR(__xludf.DUMMYFUNCTION("""COMPUTED_VALUE"""),"Chai Pet tròn 1 lít cổ 43 - Trắng")</f>
        <v>Chai Pet tròn 1 lít cổ 43 - Trắng</v>
      </c>
      <c r="E467" s="87" t="str">
        <f>IFERROR(__xludf.DUMMYFUNCTION("""COMPUTED_VALUE"""),"Tikabamec 3.6EC")</f>
        <v>Tikabamec 3.6EC</v>
      </c>
      <c r="F467" s="87" t="str">
        <f>IFERROR(__xludf.DUMMYFUNCTION("""COMPUTED_VALUE"""),"HH0070")</f>
        <v>HH0070</v>
      </c>
      <c r="G467" s="87" t="str">
        <f>IFERROR(__xludf.DUMMYFUNCTION("""COMPUTED_VALUE"""),"GC - II - 529 - MK936 (Pet tròn) (nước đục) - 450ml - 40")</f>
        <v>GC - II - 529 - MK936 (Pet tròn) (nước đục) - 450ml - 40</v>
      </c>
    </row>
    <row r="468">
      <c r="A468" s="86">
        <f>IFERROR(__xludf.DUMMYFUNCTION("""COMPUTED_VALUE"""),466.0)</f>
        <v>466</v>
      </c>
      <c r="B468" s="87" t="str">
        <f>IFERROR(__xludf.DUMMYFUNCTION("""COMPUTED_VALUE"""),"Chai")</f>
        <v>Chai</v>
      </c>
      <c r="C468" s="87" t="str">
        <f>IFERROR(__xludf.DUMMYFUNCTION("""COMPUTED_VALUE"""),"CNT0071")</f>
        <v>CNT0071</v>
      </c>
      <c r="D468" s="87" t="str">
        <f>IFERROR(__xludf.DUMMYFUNCTION("""COMPUTED_VALUE"""),"Chai nhôm tròn 500ml Thân lùn (100gr) -  Trắng bạc - Nắp trắng có cốc đông")</f>
        <v>Chai nhôm tròn 500ml Thân lùn (100gr) -  Trắng bạc - Nắp trắng có cốc đông</v>
      </c>
      <c r="E468" s="87" t="str">
        <f>IFERROR(__xludf.DUMMYFUNCTION("""COMPUTED_VALUE"""),"Pim.Pim 75WP")</f>
        <v>Pim.Pim 75WP</v>
      </c>
      <c r="F468" s="87" t="str">
        <f>IFERROR(__xludf.DUMMYFUNCTION("""COMPUTED_VALUE"""),"HH0071")</f>
        <v>HH0071</v>
      </c>
      <c r="G468" s="87" t="str">
        <f>IFERROR(__xludf.DUMMYFUNCTION("""COMPUTED_VALUE"""),"IDA Global - I - 530.1 - Sức mạnh Tricyclazole - New 35gr - 300")</f>
        <v>IDA Global - I - 530.1 - Sức mạnh Tricyclazole - New 35gr - 300</v>
      </c>
    </row>
    <row r="469">
      <c r="A469" s="86">
        <f>IFERROR(__xludf.DUMMYFUNCTION("""COMPUTED_VALUE"""),467.0)</f>
        <v>467</v>
      </c>
      <c r="B469" s="87" t="str">
        <f>IFERROR(__xludf.DUMMYFUNCTION("""COMPUTED_VALUE"""),"Nắp")</f>
        <v>Nắp</v>
      </c>
      <c r="C469" s="87" t="str">
        <f>IFERROR(__xludf.DUMMYFUNCTION("""COMPUTED_VALUE"""),"NAP0052")</f>
        <v>NAP0052</v>
      </c>
      <c r="D469" s="87" t="str">
        <f>IFERROR(__xludf.DUMMYFUNCTION("""COMPUTED_VALUE"""),"Nắp PET cổ 43 (6.3g) Xanh lá")</f>
        <v>Nắp PET cổ 43 (6.3g) Xanh lá</v>
      </c>
      <c r="E469" s="87" t="str">
        <f>IFERROR(__xludf.DUMMYFUNCTION("""COMPUTED_VALUE"""),"Pim.Pim 75WP")</f>
        <v>Pim.Pim 75WP</v>
      </c>
      <c r="F469" s="87" t="str">
        <f>IFERROR(__xludf.DUMMYFUNCTION("""COMPUTED_VALUE"""),"HH0052")</f>
        <v>HH0052</v>
      </c>
      <c r="G469" s="87" t="str">
        <f>IFERROR(__xludf.DUMMYFUNCTION("""COMPUTED_VALUE"""),"IDA Global - I - 530.2 - Sức mạnh Tricyclazole - New 35gr - 300")</f>
        <v>IDA Global - I - 530.2 - Sức mạnh Tricyclazole - New 35gr - 300</v>
      </c>
    </row>
    <row r="470">
      <c r="A470" s="86">
        <f>IFERROR(__xludf.DUMMYFUNCTION("""COMPUTED_VALUE"""),468.0)</f>
        <v>468</v>
      </c>
      <c r="B470" s="87" t="str">
        <f>IFERROR(__xludf.DUMMYFUNCTION("""COMPUTED_VALUE"""),"Nắp")</f>
        <v>Nắp</v>
      </c>
      <c r="C470" s="87" t="str">
        <f>IFERROR(__xludf.DUMMYFUNCTION("""COMPUTED_VALUE"""),"NAP0053")</f>
        <v>NAP0053</v>
      </c>
      <c r="D470" s="87" t="str">
        <f>IFERROR(__xludf.DUMMYFUNCTION("""COMPUTED_VALUE"""),"Nắp  HDPE cổ 42.5 (10g) đỏ")</f>
        <v>Nắp  HDPE cổ 42.5 (10g) đỏ</v>
      </c>
      <c r="E470" s="87" t="str">
        <f>IFERROR(__xludf.DUMMYFUNCTION("""COMPUTED_VALUE"""),"Pim.Pim 75WP")</f>
        <v>Pim.Pim 75WP</v>
      </c>
      <c r="F470" s="87" t="str">
        <f>IFERROR(__xludf.DUMMYFUNCTION("""COMPUTED_VALUE"""),"HH0053")</f>
        <v>HH0053</v>
      </c>
      <c r="G470" s="87" t="str">
        <f>IFERROR(__xludf.DUMMYFUNCTION("""COMPUTED_VALUE"""),"IDA Global - I - 530.2 - Sức mạnh Tricyclazole - New 35gr - 300")</f>
        <v>IDA Global - I - 530.2 - Sức mạnh Tricyclazole - New 35gr - 300</v>
      </c>
    </row>
    <row r="471">
      <c r="A471" s="86">
        <f>IFERROR(__xludf.DUMMYFUNCTION("""COMPUTED_VALUE"""),469.0)</f>
        <v>469</v>
      </c>
      <c r="B471" s="87" t="str">
        <f>IFERROR(__xludf.DUMMYFUNCTION("""COMPUTED_VALUE"""),"Chai")</f>
        <v>Chai</v>
      </c>
      <c r="C471" s="87" t="str">
        <f>IFERROR(__xludf.DUMMYFUNCTION("""COMPUTED_VALUE"""),"CHT0072")</f>
        <v>CHT0072</v>
      </c>
      <c r="D471" s="87" t="str">
        <f>IFERROR(__xludf.DUMMYFUNCTION("""COMPUTED_VALUE"""),"Chai HDPE tròn cổ 43 (19gr) 60ml trắng -  Nắp đỏ")</f>
        <v>Chai HDPE tròn cổ 43 (19gr) 60ml trắng -  Nắp đỏ</v>
      </c>
      <c r="E471" s="87" t="str">
        <f>IFERROR(__xludf.DUMMYFUNCTION("""COMPUTED_VALUE"""),"Prima 04")</f>
        <v>Prima 04</v>
      </c>
      <c r="F471" s="87" t="str">
        <f>IFERROR(__xludf.DUMMYFUNCTION("""COMPUTED_VALUE"""),"HH0072")</f>
        <v>HH0072</v>
      </c>
      <c r="G471" s="87" t="str">
        <f>IFERROR(__xludf.DUMMYFUNCTION("""COMPUTED_VALUE"""),"GC - II - 531 - AGC - Bo.CaX (PET tròn) - 500ml - 40")</f>
        <v>GC - II - 531 - AGC - Bo.CaX (PET tròn) - 500ml - 40</v>
      </c>
    </row>
    <row r="472">
      <c r="A472" s="86">
        <f>IFERROR(__xludf.DUMMYFUNCTION("""COMPUTED_VALUE"""),470.0)</f>
        <v>470</v>
      </c>
      <c r="B472" s="87" t="str">
        <f>IFERROR(__xludf.DUMMYFUNCTION("""COMPUTED_VALUE"""),"Chai")</f>
        <v>Chai</v>
      </c>
      <c r="C472" s="87" t="str">
        <f>IFERROR(__xludf.DUMMYFUNCTION("""COMPUTED_VALUE"""),"CET0073")</f>
        <v>CET0073</v>
      </c>
      <c r="D472" s="87" t="str">
        <f>IFERROR(__xludf.DUMMYFUNCTION("""COMPUTED_VALUE"""),"Chai PAPE tròn cổ 42.5 250ml (40gr) - Trắng")</f>
        <v>Chai PAPE tròn cổ 42.5 250ml (40gr) - Trắng</v>
      </c>
      <c r="E472" s="87" t="str">
        <f>IFERROR(__xludf.DUMMYFUNCTION("""COMPUTED_VALUE"""),"TVZEB 800WP")</f>
        <v>TVZEB 800WP</v>
      </c>
      <c r="F472" s="87" t="str">
        <f>IFERROR(__xludf.DUMMYFUNCTION("""COMPUTED_VALUE"""),"HH0073")</f>
        <v>HH0073</v>
      </c>
      <c r="G472" s="87" t="str">
        <f>IFERROR(__xludf.DUMMYFUNCTION("""COMPUTED_VALUE"""),"GC - II - 539 - Luta - Mancozeb vàng - 1kg - 20")</f>
        <v>GC - II - 539 - Luta - Mancozeb vàng - 1kg - 20</v>
      </c>
    </row>
    <row r="473">
      <c r="A473" s="86">
        <f>IFERROR(__xludf.DUMMYFUNCTION("""COMPUTED_VALUE"""),471.0)</f>
        <v>471</v>
      </c>
      <c r="B473" s="87" t="str">
        <f>IFERROR(__xludf.DUMMYFUNCTION("""COMPUTED_VALUE"""),"Chai")</f>
        <v>Chai</v>
      </c>
      <c r="C473" s="87" t="str">
        <f>IFERROR(__xludf.DUMMYFUNCTION("""COMPUTED_VALUE"""),"CPT0074")</f>
        <v>CPT0074</v>
      </c>
      <c r="D473" s="87" t="str">
        <f>IFERROR(__xludf.DUMMYFUNCTION("""COMPUTED_VALUE"""),"TP - Chai PET tròn cổ 38 250ml (43gr) Trắng sữa +  Nắp tai bèo trắng")</f>
        <v>TP - Chai PET tròn cổ 38 250ml (43gr) Trắng sữa +  Nắp tai bèo trắng</v>
      </c>
      <c r="E473" s="87" t="str">
        <f>IFERROR(__xludf.DUMMYFUNCTION("""COMPUTED_VALUE"""),"TVZEB 800WP")</f>
        <v>TVZEB 800WP</v>
      </c>
      <c r="F473" s="87" t="str">
        <f>IFERROR(__xludf.DUMMYFUNCTION("""COMPUTED_VALUE"""),"HH0074")</f>
        <v>HH0074</v>
      </c>
      <c r="G473" s="87" t="str">
        <f>IFERROR(__xludf.DUMMYFUNCTION("""COMPUTED_VALUE"""),"GC - II - 539 - Luta - Mancozeb vàng - 1kg - 20")</f>
        <v>GC - II - 539 - Luta - Mancozeb vàng - 1kg - 20</v>
      </c>
    </row>
    <row r="474">
      <c r="A474" s="86">
        <f>IFERROR(__xludf.DUMMYFUNCTION("""COMPUTED_VALUE"""),472.0)</f>
        <v>472</v>
      </c>
      <c r="B474" s="87" t="str">
        <f>IFERROR(__xludf.DUMMYFUNCTION("""COMPUTED_VALUE"""),"Nắp")</f>
        <v>Nắp</v>
      </c>
      <c r="C474" s="87" t="str">
        <f>IFERROR(__xludf.DUMMYFUNCTION("""COMPUTED_VALUE"""),"NAP0054")</f>
        <v>NAP0054</v>
      </c>
      <c r="D474" s="87" t="str">
        <f>IFERROR(__xludf.DUMMYFUNCTION("""COMPUTED_VALUE"""),"TP - Nắp PET cổ 38 (7.4gr) Trắng")</f>
        <v>TP - Nắp PET cổ 38 (7.4gr) Trắng</v>
      </c>
      <c r="E474" s="87" t="str">
        <f>IFERROR(__xludf.DUMMYFUNCTION("""COMPUTED_VALUE"""),"Prima 04")</f>
        <v>Prima 04</v>
      </c>
      <c r="F474" s="87" t="str">
        <f>IFERROR(__xludf.DUMMYFUNCTION("""COMPUTED_VALUE"""),"HH0054")</f>
        <v>HH0054</v>
      </c>
      <c r="G474" s="87" t="str">
        <f>IFERROR(__xludf.DUMMYFUNCTION("""COMPUTED_VALUE"""),"GC - II - 540 - Luta - Myhu - 1 kg - 25")</f>
        <v>GC - II - 540 - Luta - Myhu - 1 kg - 25</v>
      </c>
    </row>
    <row r="475">
      <c r="A475" s="86">
        <f>IFERROR(__xludf.DUMMYFUNCTION("""COMPUTED_VALUE"""),473.0)</f>
        <v>473</v>
      </c>
      <c r="B475" s="87" t="str">
        <f>IFERROR(__xludf.DUMMYFUNCTION("""COMPUTED_VALUE"""),"Chai")</f>
        <v>Chai</v>
      </c>
      <c r="C475" s="87" t="str">
        <f>IFERROR(__xludf.DUMMYFUNCTION("""COMPUTED_VALUE"""),"CPT0075")</f>
        <v>CPT0075</v>
      </c>
      <c r="D475" s="87" t="str">
        <f>IFERROR(__xludf.DUMMYFUNCTION("""COMPUTED_VALUE"""),"TP - Chai PET tròn cổ 43 500ml (44g) Trắng")</f>
        <v>TP - Chai PET tròn cổ 43 500ml (44g) Trắng</v>
      </c>
      <c r="E475" s="87" t="str">
        <f>IFERROR(__xludf.DUMMYFUNCTION("""COMPUTED_VALUE"""),"TOPZOLE 800WG")</f>
        <v>TOPZOLE 800WG</v>
      </c>
      <c r="F475" s="87" t="str">
        <f>IFERROR(__xludf.DUMMYFUNCTION("""COMPUTED_VALUE"""),"HH0075")</f>
        <v>HH0075</v>
      </c>
      <c r="G475" s="87" t="str">
        <f>IFERROR(__xludf.DUMMYFUNCTION("""COMPUTED_VALUE"""),"GC - I - 546 - AU - Diệt đạo ôn - 20gr - 300")</f>
        <v>GC - I - 546 - AU - Diệt đạo ôn - 20gr - 300</v>
      </c>
    </row>
    <row r="476">
      <c r="A476" s="86">
        <f>IFERROR(__xludf.DUMMYFUNCTION("""COMPUTED_VALUE"""),474.0)</f>
        <v>474</v>
      </c>
      <c r="B476" s="87" t="str">
        <f>IFERROR(__xludf.DUMMYFUNCTION("""COMPUTED_VALUE"""),"Nắp")</f>
        <v>Nắp</v>
      </c>
      <c r="C476" s="87" t="str">
        <f>IFERROR(__xludf.DUMMYFUNCTION("""COMPUTED_VALUE"""),"NAP0055")</f>
        <v>NAP0055</v>
      </c>
      <c r="D476" s="87" t="str">
        <f>IFERROR(__xludf.DUMMYFUNCTION("""COMPUTED_VALUE"""),"TP - Nắp PET cổ 43 (8g) Vàng")</f>
        <v>TP - Nắp PET cổ 43 (8g) Vàng</v>
      </c>
      <c r="E476" s="87" t="str">
        <f>IFERROR(__xludf.DUMMYFUNCTION("""COMPUTED_VALUE"""),"Remy 19EC")</f>
        <v>Remy 19EC</v>
      </c>
      <c r="F476" s="87" t="str">
        <f>IFERROR(__xludf.DUMMYFUNCTION("""COMPUTED_VALUE"""),"HH0055")</f>
        <v>HH0055</v>
      </c>
      <c r="G476" s="87" t="str">
        <f>IFERROR(__xludf.DUMMYFUNCTION("""COMPUTED_VALUE"""),"GC - II - 551 - Huy Phát - Hufatin (PET vuông) - 450ml - 40")</f>
        <v>GC - II - 551 - Huy Phát - Hufatin (PET vuông) - 450ml - 40</v>
      </c>
    </row>
    <row r="477">
      <c r="A477" s="86">
        <f>IFERROR(__xludf.DUMMYFUNCTION("""COMPUTED_VALUE"""),475.0)</f>
        <v>475</v>
      </c>
      <c r="B477" s="87" t="str">
        <f>IFERROR(__xludf.DUMMYFUNCTION("""COMPUTED_VALUE"""),"Nắp")</f>
        <v>Nắp</v>
      </c>
      <c r="C477" s="87" t="str">
        <f>IFERROR(__xludf.DUMMYFUNCTION("""COMPUTED_VALUE"""),"NAP0056")</f>
        <v>NAP0056</v>
      </c>
      <c r="D477" s="87" t="str">
        <f>IFERROR(__xludf.DUMMYFUNCTION("""COMPUTED_VALUE"""),"TP - Nắp PET cổ 43 (8g) Đỏ")</f>
        <v>TP - Nắp PET cổ 43 (8g) Đỏ</v>
      </c>
      <c r="E477" s="87" t="str">
        <f>IFERROR(__xludf.DUMMYFUNCTION("""COMPUTED_VALUE"""),"Vi lượng Slow Growth")</f>
        <v>Vi lượng Slow Growth</v>
      </c>
      <c r="F477" s="87" t="str">
        <f>IFERROR(__xludf.DUMMYFUNCTION("""COMPUTED_VALUE"""),"HH0056")</f>
        <v>HH0056</v>
      </c>
      <c r="G477" s="87" t="str">
        <f>IFERROR(__xludf.DUMMYFUNCTION("""COMPUTED_VALUE"""),"GC - II - 565 - A Thời GNH - Black Humixx - 1kg - 25")</f>
        <v>GC - II - 565 - A Thời GNH - Black Humixx - 1kg - 25</v>
      </c>
    </row>
    <row r="478">
      <c r="A478" s="86">
        <f>IFERROR(__xludf.DUMMYFUNCTION("""COMPUTED_VALUE"""),476.0)</f>
        <v>476</v>
      </c>
      <c r="B478" s="87" t="str">
        <f>IFERROR(__xludf.DUMMYFUNCTION("""COMPUTED_VALUE"""),"Nắp")</f>
        <v>Nắp</v>
      </c>
      <c r="C478" s="87" t="str">
        <f>IFERROR(__xludf.DUMMYFUNCTION("""COMPUTED_VALUE"""),"NAP0057")</f>
        <v>NAP0057</v>
      </c>
      <c r="D478" s="87" t="str">
        <f>IFERROR(__xludf.DUMMYFUNCTION("""COMPUTED_VALUE"""),"TP - Nắp PET cổ 43 (8g) - Trắng")</f>
        <v>TP - Nắp PET cổ 43 (8g) - Trắng</v>
      </c>
      <c r="E478" s="87" t="str">
        <f>IFERROR(__xludf.DUMMYFUNCTION("""COMPUTED_VALUE"""),"Vi lượng Slow Growth")</f>
        <v>Vi lượng Slow Growth</v>
      </c>
      <c r="F478" s="87" t="str">
        <f>IFERROR(__xludf.DUMMYFUNCTION("""COMPUTED_VALUE"""),"HH0057")</f>
        <v>HH0057</v>
      </c>
      <c r="G478" s="87" t="str">
        <f>IFERROR(__xludf.DUMMYFUNCTION("""COMPUTED_VALUE"""),"GC - II - 566 - A Thời GNH - Black Gold Humite - 1kg - 25")</f>
        <v>GC - II - 566 - A Thời GNH - Black Gold Humite - 1kg - 25</v>
      </c>
    </row>
    <row r="479">
      <c r="A479" s="86">
        <f>IFERROR(__xludf.DUMMYFUNCTION("""COMPUTED_VALUE"""),477.0)</f>
        <v>477</v>
      </c>
      <c r="B479" s="87" t="str">
        <f>IFERROR(__xludf.DUMMYFUNCTION("""COMPUTED_VALUE"""),"Nắp")</f>
        <v>Nắp</v>
      </c>
      <c r="C479" s="87" t="str">
        <f>IFERROR(__xludf.DUMMYFUNCTION("""COMPUTED_VALUE"""),"NAP0058")</f>
        <v>NAP0058</v>
      </c>
      <c r="D479" s="87" t="str">
        <f>IFERROR(__xludf.DUMMYFUNCTION("""COMPUTED_VALUE"""),"TP - Nắp PET cổ 43 (8g)  Xanh dương đậm")</f>
        <v>TP - Nắp PET cổ 43 (8g)  Xanh dương đậm</v>
      </c>
      <c r="E479" s="87" t="str">
        <f>IFERROR(__xludf.DUMMYFUNCTION("""COMPUTED_VALUE"""),"Vi lượng Slow Growth")</f>
        <v>Vi lượng Slow Growth</v>
      </c>
      <c r="F479" s="87" t="str">
        <f>IFERROR(__xludf.DUMMYFUNCTION("""COMPUTED_VALUE"""),"HH0058")</f>
        <v>HH0058</v>
      </c>
      <c r="G479" s="87" t="str">
        <f>IFERROR(__xludf.DUMMYFUNCTION("""COMPUTED_VALUE"""),"GC - II - 567 - A Thời GNH - Hummax- 1kg - 25")</f>
        <v>GC - II - 567 - A Thời GNH - Hummax- 1kg - 25</v>
      </c>
    </row>
    <row r="480">
      <c r="A480" s="86">
        <f>IFERROR(__xludf.DUMMYFUNCTION("""COMPUTED_VALUE"""),478.0)</f>
        <v>478</v>
      </c>
      <c r="B480" s="87" t="str">
        <f>IFERROR(__xludf.DUMMYFUNCTION("""COMPUTED_VALUE"""),"Chai")</f>
        <v>Chai</v>
      </c>
      <c r="C480" s="87" t="str">
        <f>IFERROR(__xludf.DUMMYFUNCTION("""COMPUTED_VALUE"""),"CPV0076")</f>
        <v>CPV0076</v>
      </c>
      <c r="D480" s="87" t="str">
        <f>IFERROR(__xludf.DUMMYFUNCTION("""COMPUTED_VALUE"""),"TP - Chai PET vuông cổ 35 500ml (60g) Vàng (A)")</f>
        <v>TP - Chai PET vuông cổ 35 500ml (60g) Vàng (A)</v>
      </c>
      <c r="E480" s="87" t="str">
        <f>IFERROR(__xludf.DUMMYFUNCTION("""COMPUTED_VALUE"""),"Vi lượng Slow Growth")</f>
        <v>Vi lượng Slow Growth</v>
      </c>
      <c r="F480" s="87" t="str">
        <f>IFERROR(__xludf.DUMMYFUNCTION("""COMPUTED_VALUE"""),"HH0076")</f>
        <v>HH0076</v>
      </c>
      <c r="G480" s="87" t="str">
        <f>IFERROR(__xludf.DUMMYFUNCTION("""COMPUTED_VALUE"""),"GC - II - 567 - A Thời GNH - Hummax- 1kg - 25")</f>
        <v>GC - II - 567 - A Thời GNH - Hummax- 1kg - 25</v>
      </c>
    </row>
    <row r="481">
      <c r="A481" s="86">
        <f>IFERROR(__xludf.DUMMYFUNCTION("""COMPUTED_VALUE"""),479.0)</f>
        <v>479</v>
      </c>
      <c r="B481" s="87" t="str">
        <f>IFERROR(__xludf.DUMMYFUNCTION("""COMPUTED_VALUE"""),"Nắp")</f>
        <v>Nắp</v>
      </c>
      <c r="C481" s="87" t="str">
        <f>IFERROR(__xludf.DUMMYFUNCTION("""COMPUTED_VALUE"""),"NAP0059")</f>
        <v>NAP0059</v>
      </c>
      <c r="D481" s="87" t="str">
        <f>IFERROR(__xludf.DUMMYFUNCTION("""COMPUTED_VALUE"""),"TP - Nắp PET cổ 35 (5g) Vàng")</f>
        <v>TP - Nắp PET cổ 35 (5g) Vàng</v>
      </c>
      <c r="E481" s="87" t="str">
        <f>IFERROR(__xludf.DUMMYFUNCTION("""COMPUTED_VALUE"""),"Tikabamec 3.6EC")</f>
        <v>Tikabamec 3.6EC</v>
      </c>
      <c r="F481" s="87" t="str">
        <f>IFERROR(__xludf.DUMMYFUNCTION("""COMPUTED_VALUE"""),"HH0059")</f>
        <v>HH0059</v>
      </c>
      <c r="G481" s="87" t="str">
        <f>IFERROR(__xludf.DUMMYFUNCTION("""COMPUTED_VALUE"""),"GC - II - 570 - Ánh Dương - Tikabamec (Pet Vuông) (nước đục) - 450ml - 40")</f>
        <v>GC - II - 570 - Ánh Dương - Tikabamec (Pet Vuông) (nước đục) - 450ml - 40</v>
      </c>
    </row>
    <row r="482">
      <c r="A482" s="86">
        <f>IFERROR(__xludf.DUMMYFUNCTION("""COMPUTED_VALUE"""),480.0)</f>
        <v>480</v>
      </c>
      <c r="B482" s="87" t="str">
        <f>IFERROR(__xludf.DUMMYFUNCTION("""COMPUTED_VALUE"""),"Chai")</f>
        <v>Chai</v>
      </c>
      <c r="C482" s="87" t="str">
        <f>IFERROR(__xludf.DUMMYFUNCTION("""COMPUTED_VALUE"""),"CPV0077")</f>
        <v>CPV0077</v>
      </c>
      <c r="D482" s="87" t="str">
        <f>IFERROR(__xludf.DUMMYFUNCTION("""COMPUTED_VALUE"""),"TP - Chai PET vuông cổ 35 500ml (60g) Trắng sữa (A)")</f>
        <v>TP - Chai PET vuông cổ 35 500ml (60g) Trắng sữa (A)</v>
      </c>
      <c r="E482" s="87" t="str">
        <f>IFERROR(__xludf.DUMMYFUNCTION("""COMPUTED_VALUE"""),"Apple 700WP")</f>
        <v>Apple 700WP</v>
      </c>
      <c r="F482" s="87" t="str">
        <f>IFERROR(__xludf.DUMMYFUNCTION("""COMPUTED_VALUE"""),"HH0077")</f>
        <v>HH0077</v>
      </c>
      <c r="G482" s="87" t="str">
        <f>IFERROR(__xludf.DUMMYFUNCTION("""COMPUTED_VALUE"""),"GC - II - 571 - BM - Apple 700WP - 100 gr - 100")</f>
        <v>GC - II - 571 - BM - Apple 700WP - 100 gr - 100</v>
      </c>
    </row>
    <row r="483">
      <c r="A483" s="86">
        <f>IFERROR(__xludf.DUMMYFUNCTION("""COMPUTED_VALUE"""),481.0)</f>
        <v>481</v>
      </c>
      <c r="B483" s="87" t="str">
        <f>IFERROR(__xludf.DUMMYFUNCTION("""COMPUTED_VALUE"""),"Nắp")</f>
        <v>Nắp</v>
      </c>
      <c r="C483" s="87" t="str">
        <f>IFERROR(__xludf.DUMMYFUNCTION("""COMPUTED_VALUE"""),"NAP0060")</f>
        <v>NAP0060</v>
      </c>
      <c r="D483" s="87" t="str">
        <f>IFERROR(__xludf.DUMMYFUNCTION("""COMPUTED_VALUE"""),"TP - Nắp PET cổ 35 (5g) Đỏ")</f>
        <v>TP - Nắp PET cổ 35 (5g) Đỏ</v>
      </c>
      <c r="E483" s="87" t="str">
        <f>IFERROR(__xludf.DUMMYFUNCTION("""COMPUTED_VALUE"""),"Apple 700WP")</f>
        <v>Apple 700WP</v>
      </c>
      <c r="F483" s="87" t="str">
        <f>IFERROR(__xludf.DUMMYFUNCTION("""COMPUTED_VALUE"""),"HH0060")</f>
        <v>HH0060</v>
      </c>
      <c r="G483" s="87" t="str">
        <f>IFERROR(__xludf.DUMMYFUNCTION("""COMPUTED_VALUE"""),"GC - II - 571 - BM - Apple 700WP - 100 gr - 100")</f>
        <v>GC - II - 571 - BM - Apple 700WP - 100 gr - 100</v>
      </c>
    </row>
    <row r="484">
      <c r="A484" s="86">
        <f>IFERROR(__xludf.DUMMYFUNCTION("""COMPUTED_VALUE"""),482.0)</f>
        <v>482</v>
      </c>
      <c r="B484" s="87" t="str">
        <f>IFERROR(__xludf.DUMMYFUNCTION("""COMPUTED_VALUE"""),"Nắp")</f>
        <v>Nắp</v>
      </c>
      <c r="C484" s="87" t="str">
        <f>IFERROR(__xludf.DUMMYFUNCTION("""COMPUTED_VALUE"""),"NAP0061")</f>
        <v>NAP0061</v>
      </c>
      <c r="D484" s="87" t="str">
        <f>IFERROR(__xludf.DUMMYFUNCTION("""COMPUTED_VALUE"""),"TP - Nắp PET cổ 35 (5g) Trắng")</f>
        <v>TP - Nắp PET cổ 35 (5g) Trắng</v>
      </c>
      <c r="E484" s="87" t="str">
        <f>IFERROR(__xludf.DUMMYFUNCTION("""COMPUTED_VALUE"""),"COCHAY 200SL")</f>
        <v>COCHAY 200SL</v>
      </c>
      <c r="F484" s="87" t="str">
        <f>IFERROR(__xludf.DUMMYFUNCTION("""COMPUTED_VALUE"""),"HH0061")</f>
        <v>HH0061</v>
      </c>
      <c r="G484" s="87" t="str">
        <f>IFERROR(__xludf.DUMMYFUNCTION("""COMPUTED_VALUE"""),"GC - II - K - 572 - AGC - Cochay (chai PET vuông) - 1L - 20")</f>
        <v>GC - II - K - 572 - AGC - Cochay (chai PET vuông) - 1L - 20</v>
      </c>
    </row>
    <row r="485">
      <c r="A485" s="86">
        <f>IFERROR(__xludf.DUMMYFUNCTION("""COMPUTED_VALUE"""),483.0)</f>
        <v>483</v>
      </c>
      <c r="B485" s="87" t="str">
        <f>IFERROR(__xludf.DUMMYFUNCTION("""COMPUTED_VALUE"""),"Chai")</f>
        <v>Chai</v>
      </c>
      <c r="C485" s="87" t="str">
        <f>IFERROR(__xludf.DUMMYFUNCTION("""COMPUTED_VALUE"""),"CPT0078")</f>
        <v>CPT0078</v>
      </c>
      <c r="D485" s="87" t="str">
        <f>IFERROR(__xludf.DUMMYFUNCTION("""COMPUTED_VALUE"""),"TP - Chai PET tròn cổ 43 500ml (44g) - Nâu")</f>
        <v>TP - Chai PET tròn cổ 43 500ml (44g) - Nâu</v>
      </c>
      <c r="E485" s="87" t="str">
        <f>IFERROR(__xludf.DUMMYFUNCTION("""COMPUTED_VALUE"""),"Vi lượng Quantity New")</f>
        <v>Vi lượng Quantity New</v>
      </c>
      <c r="F485" s="87" t="str">
        <f>IFERROR(__xludf.DUMMYFUNCTION("""COMPUTED_VALUE"""),"HH0078")</f>
        <v>HH0078</v>
      </c>
      <c r="G485" s="87" t="str">
        <f>IFERROR(__xludf.DUMMYFUNCTION("""COMPUTED_VALUE"""),"GC - II - 574 - A Thời GNH - Boke (Chai HD) - 500ml - 40")</f>
        <v>GC - II - 574 - A Thời GNH - Boke (Chai HD) - 500ml - 40</v>
      </c>
    </row>
    <row r="486">
      <c r="A486" s="86">
        <f>IFERROR(__xludf.DUMMYFUNCTION("""COMPUTED_VALUE"""),484.0)</f>
        <v>484</v>
      </c>
      <c r="B486" s="87" t="str">
        <f>IFERROR(__xludf.DUMMYFUNCTION("""COMPUTED_VALUE"""),"Chai")</f>
        <v>Chai</v>
      </c>
      <c r="C486" s="87" t="str">
        <f>IFERROR(__xludf.DUMMYFUNCTION("""COMPUTED_VALUE"""),"CHT0079")</f>
        <v>CHT0079</v>
      </c>
      <c r="D486" s="87" t="str">
        <f>IFERROR(__xludf.DUMMYFUNCTION("""COMPUTED_VALUE"""),"TP- Chai HDPE tròn cổ 42.5 1Lít (85g) - Xám (không ganty)")</f>
        <v>TP- Chai HDPE tròn cổ 42.5 1Lít (85g) - Xám (không ganty)</v>
      </c>
      <c r="E486" s="87" t="str">
        <f>IFERROR(__xludf.DUMMYFUNCTION("""COMPUTED_VALUE"""),"Vi lượng Quantity New")</f>
        <v>Vi lượng Quantity New</v>
      </c>
      <c r="F486" s="87" t="str">
        <f>IFERROR(__xludf.DUMMYFUNCTION("""COMPUTED_VALUE"""),"HH0079")</f>
        <v>HH0079</v>
      </c>
      <c r="G486" s="87" t="str">
        <f>IFERROR(__xludf.DUMMYFUNCTION("""COMPUTED_VALUE"""),"GC - II - 575 - A Thời GNH - Calbor (Chai HD) - 500ml - 40")</f>
        <v>GC - II - 575 - A Thời GNH - Calbor (Chai HD) - 500ml - 40</v>
      </c>
    </row>
    <row r="487">
      <c r="A487" s="86">
        <f>IFERROR(__xludf.DUMMYFUNCTION("""COMPUTED_VALUE"""),485.0)</f>
        <v>485</v>
      </c>
      <c r="B487" s="87" t="str">
        <f>IFERROR(__xludf.DUMMYFUNCTION("""COMPUTED_VALUE"""),"Nắp")</f>
        <v>Nắp</v>
      </c>
      <c r="C487" s="87" t="str">
        <f>IFERROR(__xludf.DUMMYFUNCTION("""COMPUTED_VALUE"""),"NAP0062")</f>
        <v>NAP0062</v>
      </c>
      <c r="D487" s="87" t="str">
        <f>IFERROR(__xludf.DUMMYFUNCTION("""COMPUTED_VALUE"""),"TP- Nắp HDPE cổ 42.5 (8g) Vàng (không ganty)")</f>
        <v>TP- Nắp HDPE cổ 42.5 (8g) Vàng (không ganty)</v>
      </c>
      <c r="E487" s="87" t="str">
        <f>IFERROR(__xludf.DUMMYFUNCTION("""COMPUTED_VALUE"""),"Vi lượng Quantity New")</f>
        <v>Vi lượng Quantity New</v>
      </c>
      <c r="F487" s="87" t="str">
        <f>IFERROR(__xludf.DUMMYFUNCTION("""COMPUTED_VALUE"""),"HH0062")</f>
        <v>HH0062</v>
      </c>
      <c r="G487" s="87" t="str">
        <f>IFERROR(__xludf.DUMMYFUNCTION("""COMPUTED_VALUE"""),"GC - II - 576 - A Thời GNH - Chắc Hạt (Chai HD) - 1L - 20")</f>
        <v>GC - II - 576 - A Thời GNH - Chắc Hạt (Chai HD) - 1L - 20</v>
      </c>
    </row>
    <row r="488">
      <c r="A488" s="86">
        <f>IFERROR(__xludf.DUMMYFUNCTION("""COMPUTED_VALUE"""),486.0)</f>
        <v>486</v>
      </c>
      <c r="B488" s="87" t="str">
        <f>IFERROR(__xludf.DUMMYFUNCTION("""COMPUTED_VALUE"""),"Nắp")</f>
        <v>Nắp</v>
      </c>
      <c r="C488" s="87" t="str">
        <f>IFERROR(__xludf.DUMMYFUNCTION("""COMPUTED_VALUE"""),"NAP0063")</f>
        <v>NAP0063</v>
      </c>
      <c r="D488" s="87" t="str">
        <f>IFERROR(__xludf.DUMMYFUNCTION("""COMPUTED_VALUE"""),"TP- Nắp HDPE cổ 42.5 (8g) Xanh Dương (không ganty)")</f>
        <v>TP- Nắp HDPE cổ 42.5 (8g) Xanh Dương (không ganty)</v>
      </c>
      <c r="E488" s="87" t="str">
        <f>IFERROR(__xludf.DUMMYFUNCTION("""COMPUTED_VALUE"""),"Vi lượng Quantity New")</f>
        <v>Vi lượng Quantity New</v>
      </c>
      <c r="F488" s="87" t="str">
        <f>IFERROR(__xludf.DUMMYFUNCTION("""COMPUTED_VALUE"""),"HH0063")</f>
        <v>HH0063</v>
      </c>
      <c r="G488" s="87" t="str">
        <f>IFERROR(__xludf.DUMMYFUNCTION("""COMPUTED_VALUE"""),"GC - II - 577 - A Thời GNH - Flower + (Chai HD) - 1L - 20")</f>
        <v>GC - II - 577 - A Thời GNH - Flower + (Chai HD) - 1L - 20</v>
      </c>
    </row>
    <row r="489">
      <c r="A489" s="86">
        <f>IFERROR(__xludf.DUMMYFUNCTION("""COMPUTED_VALUE"""),487.0)</f>
        <v>487</v>
      </c>
      <c r="B489" s="87" t="str">
        <f>IFERROR(__xludf.DUMMYFUNCTION("""COMPUTED_VALUE"""),"Nắp")</f>
        <v>Nắp</v>
      </c>
      <c r="C489" s="87" t="str">
        <f>IFERROR(__xludf.DUMMYFUNCTION("""COMPUTED_VALUE"""),"NAP0064")</f>
        <v>NAP0064</v>
      </c>
      <c r="D489" s="87" t="str">
        <f>IFERROR(__xludf.DUMMYFUNCTION("""COMPUTED_VALUE"""),"TP- Nắp HDPE cổ 42.5 (8g) Xanh Lá (không ganty)")</f>
        <v>TP- Nắp HDPE cổ 42.5 (8g) Xanh Lá (không ganty)</v>
      </c>
      <c r="E489" s="87" t="str">
        <f>IFERROR(__xludf.DUMMYFUNCTION("""COMPUTED_VALUE"""),"Vi lượng Quantity New")</f>
        <v>Vi lượng Quantity New</v>
      </c>
      <c r="F489" s="87" t="str">
        <f>IFERROR(__xludf.DUMMYFUNCTION("""COMPUTED_VALUE"""),"HH0064")</f>
        <v>HH0064</v>
      </c>
      <c r="G489" s="87" t="str">
        <f>IFERROR(__xludf.DUMMYFUNCTION("""COMPUTED_VALUE"""),"GC - II - 577 - A Thời GNH - Flower + (Chai HD) - 1L - 20")</f>
        <v>GC - II - 577 - A Thời GNH - Flower + (Chai HD) - 1L - 20</v>
      </c>
    </row>
    <row r="490">
      <c r="A490" s="86">
        <f>IFERROR(__xludf.DUMMYFUNCTION("""COMPUTED_VALUE"""),488.0)</f>
        <v>488</v>
      </c>
      <c r="B490" s="87" t="str">
        <f>IFERROR(__xludf.DUMMYFUNCTION("""COMPUTED_VALUE"""),"Can")</f>
        <v>Can</v>
      </c>
      <c r="C490" s="87" t="str">
        <f>IFERROR(__xludf.DUMMYFUNCTION("""COMPUTED_VALUE"""),"CAN0005")</f>
        <v>CAN0005</v>
      </c>
      <c r="D490" s="87" t="str">
        <f>IFERROR(__xludf.DUMMYFUNCTION("""COMPUTED_VALUE"""),"Can HDPE 5L vuông trắng, 4 chấm chống trượt (315gr) - Nắp trắng (13gr)")</f>
        <v>Can HDPE 5L vuông trắng, 4 chấm chống trượt (315gr) - Nắp trắng (13gr)</v>
      </c>
      <c r="E490" s="87" t="str">
        <f>IFERROR(__xludf.DUMMYFUNCTION("""COMPUTED_VALUE"""),"Vi lượng Quantity New")</f>
        <v>Vi lượng Quantity New</v>
      </c>
      <c r="F490" s="87" t="str">
        <f>IFERROR(__xludf.DUMMYFUNCTION("""COMPUTED_VALUE"""),"HH0005")</f>
        <v>HH0005</v>
      </c>
      <c r="G490" s="87" t="str">
        <f>IFERROR(__xludf.DUMMYFUNCTION("""COMPUTED_VALUE"""),"GC - II - 578 - A Thời GNH - Kamax (Chai HD) - 100ml - 100")</f>
        <v>GC - II - 578 - A Thời GNH - Kamax (Chai HD) - 100ml - 100</v>
      </c>
    </row>
    <row r="491">
      <c r="A491" s="86">
        <f>IFERROR(__xludf.DUMMYFUNCTION("""COMPUTED_VALUE"""),489.0)</f>
        <v>489</v>
      </c>
      <c r="B491" s="87" t="str">
        <f>IFERROR(__xludf.DUMMYFUNCTION("""COMPUTED_VALUE"""),"Chai")</f>
        <v>Chai</v>
      </c>
      <c r="C491" s="87" t="str">
        <f>IFERROR(__xludf.DUMMYFUNCTION("""COMPUTED_VALUE"""),"CHT0080")</f>
        <v>CHT0080</v>
      </c>
      <c r="D491" s="87" t="str">
        <f>IFERROR(__xludf.DUMMYFUNCTION("""COMPUTED_VALUE"""),"Chai HDPE tròn cổ 43 100ml (30gr) Trắng - Nắp trắng")</f>
        <v>Chai HDPE tròn cổ 43 100ml (30gr) Trắng - Nắp trắng</v>
      </c>
      <c r="E491" s="87" t="str">
        <f>IFERROR(__xludf.DUMMYFUNCTION("""COMPUTED_VALUE"""),"Vi lượng Quantity New")</f>
        <v>Vi lượng Quantity New</v>
      </c>
      <c r="F491" s="87" t="str">
        <f>IFERROR(__xludf.DUMMYFUNCTION("""COMPUTED_VALUE"""),"HH0080")</f>
        <v>HH0080</v>
      </c>
      <c r="G491" s="87" t="str">
        <f>IFERROR(__xludf.DUMMYFUNCTION("""COMPUTED_VALUE"""),"GC - II - 579 - A Thời GNH - Kitotra (Chai HD) - 500ml - 40")</f>
        <v>GC - II - 579 - A Thời GNH - Kitotra (Chai HD) - 500ml - 40</v>
      </c>
    </row>
    <row r="492">
      <c r="A492" s="86">
        <f>IFERROR(__xludf.DUMMYFUNCTION("""COMPUTED_VALUE"""),490.0)</f>
        <v>490</v>
      </c>
      <c r="B492" s="87" t="str">
        <f>IFERROR(__xludf.DUMMYFUNCTION("""COMPUTED_VALUE"""),"Chai")</f>
        <v>Chai</v>
      </c>
      <c r="C492" s="87" t="str">
        <f>IFERROR(__xludf.DUMMYFUNCTION("""COMPUTED_VALUE"""),"CPT0081")</f>
        <v>CPT0081</v>
      </c>
      <c r="D492" s="87" t="str">
        <f>IFERROR(__xludf.DUMMYFUNCTION("""COMPUTED_VALUE"""),"Chai Pet tròn lùn cổ 35 500ml Nâu gián - Nắp vàng, có cóc đong")</f>
        <v>Chai Pet tròn lùn cổ 35 500ml Nâu gián - Nắp vàng, có cóc đong</v>
      </c>
      <c r="E492" s="87" t="str">
        <f>IFERROR(__xludf.DUMMYFUNCTION("""COMPUTED_VALUE"""),"Vi lượng Quantity New")</f>
        <v>Vi lượng Quantity New</v>
      </c>
      <c r="F492" s="87" t="str">
        <f>IFERROR(__xludf.DUMMYFUNCTION("""COMPUTED_VALUE"""),"HH0081")</f>
        <v>HH0081</v>
      </c>
      <c r="G492" s="87" t="str">
        <f>IFERROR(__xludf.DUMMYFUNCTION("""COMPUTED_VALUE"""),"GC - II - 580 - A Thời GNH - Ra rễ nở bụi (Chai HD) - 500ml - 40")</f>
        <v>GC - II - 580 - A Thời GNH - Ra rễ nở bụi (Chai HD) - 500ml - 40</v>
      </c>
    </row>
    <row r="493">
      <c r="A493" s="86">
        <f>IFERROR(__xludf.DUMMYFUNCTION("""COMPUTED_VALUE"""),491.0)</f>
        <v>491</v>
      </c>
      <c r="B493" s="87" t="str">
        <f>IFERROR(__xludf.DUMMYFUNCTION("""COMPUTED_VALUE"""),"Chai")</f>
        <v>Chai</v>
      </c>
      <c r="C493" s="87" t="str">
        <f>IFERROR(__xludf.DUMMYFUNCTION("""COMPUTED_VALUE"""),"CPT0082")</f>
        <v>CPT0082</v>
      </c>
      <c r="D493" s="87" t="str">
        <f>IFERROR(__xludf.DUMMYFUNCTION("""COMPUTED_VALUE"""),"Chai Pet tròn cao giả nhôm 250ml cổ 33 (35gr) Màu bạc")</f>
        <v>Chai Pet tròn cao giả nhôm 250ml cổ 33 (35gr) Màu bạc</v>
      </c>
      <c r="E493" s="87" t="str">
        <f>IFERROR(__xludf.DUMMYFUNCTION("""COMPUTED_VALUE"""),"Vi lượng Quantity New")</f>
        <v>Vi lượng Quantity New</v>
      </c>
      <c r="F493" s="87" t="str">
        <f>IFERROR(__xludf.DUMMYFUNCTION("""COMPUTED_VALUE"""),"HH0082")</f>
        <v>HH0082</v>
      </c>
      <c r="G493" s="87" t="str">
        <f>IFERROR(__xludf.DUMMYFUNCTION("""COMPUTED_VALUE"""),"GC - II - 581 - A Thời GNH - Bung Chồi Vọt Đọt (Cây có múi) (Chai HD) - 500ml - 40")</f>
        <v>GC - II - 581 - A Thời GNH - Bung Chồi Vọt Đọt (Cây có múi) (Chai HD) - 500ml - 40</v>
      </c>
    </row>
    <row r="494">
      <c r="A494" s="86">
        <f>IFERROR(__xludf.DUMMYFUNCTION("""COMPUTED_VALUE"""),492.0)</f>
        <v>492</v>
      </c>
      <c r="B494" s="87" t="str">
        <f>IFERROR(__xludf.DUMMYFUNCTION("""COMPUTED_VALUE"""),"Chai")</f>
        <v>Chai</v>
      </c>
      <c r="C494" s="87" t="str">
        <f>IFERROR(__xludf.DUMMYFUNCTION("""COMPUTED_VALUE"""),"CPT0083")</f>
        <v>CPT0083</v>
      </c>
      <c r="D494" s="87" t="str">
        <f>IFERROR(__xludf.DUMMYFUNCTION("""COMPUTED_VALUE"""),"TP- Chai PET tròn cổ 35 500ml (40g) - Trắng sữa")</f>
        <v>TP- Chai PET tròn cổ 35 500ml (40g) - Trắng sữa</v>
      </c>
      <c r="E494" s="87" t="str">
        <f>IFERROR(__xludf.DUMMYFUNCTION("""COMPUTED_VALUE"""),"Vi lượng Quantity New")</f>
        <v>Vi lượng Quantity New</v>
      </c>
      <c r="F494" s="87" t="str">
        <f>IFERROR(__xludf.DUMMYFUNCTION("""COMPUTED_VALUE"""),"HH0083")</f>
        <v>HH0083</v>
      </c>
      <c r="G494" s="87" t="str">
        <f>IFERROR(__xludf.DUMMYFUNCTION("""COMPUTED_VALUE"""),"GC - II - 581 - A Thời GNH - Bung Chồi Vọt Đọt (Cây có múi) (Chai HD) - 500ml - 40")</f>
        <v>GC - II - 581 - A Thời GNH - Bung Chồi Vọt Đọt (Cây có múi) (Chai HD) - 500ml - 40</v>
      </c>
    </row>
    <row r="495">
      <c r="A495" s="86">
        <f>IFERROR(__xludf.DUMMYFUNCTION("""COMPUTED_VALUE"""),493.0)</f>
        <v>493</v>
      </c>
      <c r="B495" s="87" t="str">
        <f>IFERROR(__xludf.DUMMYFUNCTION("""COMPUTED_VALUE"""),"Nắp")</f>
        <v>Nắp</v>
      </c>
      <c r="C495" s="87" t="str">
        <f>IFERROR(__xludf.DUMMYFUNCTION("""COMPUTED_VALUE"""),"NAP0065")</f>
        <v>NAP0065</v>
      </c>
      <c r="D495" s="87" t="str">
        <f>IFERROR(__xludf.DUMMYFUNCTION("""COMPUTED_VALUE"""),"Nắp PET cổ 28 (3gr) đỏ")</f>
        <v>Nắp PET cổ 28 (3gr) đỏ</v>
      </c>
      <c r="E495" s="87" t="str">
        <f>IFERROR(__xludf.DUMMYFUNCTION("""COMPUTED_VALUE"""),"Vi lượng Quantity New")</f>
        <v>Vi lượng Quantity New</v>
      </c>
      <c r="F495" s="87" t="str">
        <f>IFERROR(__xludf.DUMMYFUNCTION("""COMPUTED_VALUE"""),"HH0065")</f>
        <v>HH0065</v>
      </c>
      <c r="G495" s="87" t="str">
        <f>IFERROR(__xludf.DUMMYFUNCTION("""COMPUTED_VALUE"""),"GC - II - 582 - A Thời GNH - Siêu Bung Đọt (Chuyên Mai) (Chai HD) - 500ml - 40 ([btp],n,c)")</f>
        <v>GC - II - 582 - A Thời GNH - Siêu Bung Đọt (Chuyên Mai) (Chai HD) - 500ml - 40 ([btp],n,c)</v>
      </c>
    </row>
    <row r="496">
      <c r="A496" s="86">
        <f>IFERROR(__xludf.DUMMYFUNCTION("""COMPUTED_VALUE"""),494.0)</f>
        <v>494</v>
      </c>
      <c r="B496" s="87" t="str">
        <f>IFERROR(__xludf.DUMMYFUNCTION("""COMPUTED_VALUE"""),"Nắp")</f>
        <v>Nắp</v>
      </c>
      <c r="C496" s="87" t="str">
        <f>IFERROR(__xludf.DUMMYFUNCTION("""COMPUTED_VALUE"""),"NAP0066")</f>
        <v>NAP0066</v>
      </c>
      <c r="D496" s="87" t="str">
        <f>IFERROR(__xludf.DUMMYFUNCTION("""COMPUTED_VALUE"""),"TP - Nắp PET cổ 43 (8g) Xanh lá")</f>
        <v>TP - Nắp PET cổ 43 (8g) Xanh lá</v>
      </c>
      <c r="E496" s="87" t="str">
        <f>IFERROR(__xludf.DUMMYFUNCTION("""COMPUTED_VALUE"""),"Vi lượng Quantity New")</f>
        <v>Vi lượng Quantity New</v>
      </c>
      <c r="F496" s="87" t="str">
        <f>IFERROR(__xludf.DUMMYFUNCTION("""COMPUTED_VALUE"""),"HH0066")</f>
        <v>HH0066</v>
      </c>
      <c r="G496" s="87" t="str">
        <f>IFERROR(__xludf.DUMMYFUNCTION("""COMPUTED_VALUE"""),"GC - II - 583 - A Thời GNH - Siêu ra hoa (Chai HD) - 500ml - 40")</f>
        <v>GC - II - 583 - A Thời GNH - Siêu ra hoa (Chai HD) - 500ml - 40</v>
      </c>
    </row>
    <row r="497">
      <c r="A497" s="86">
        <f>IFERROR(__xludf.DUMMYFUNCTION("""COMPUTED_VALUE"""),495.0)</f>
        <v>495</v>
      </c>
      <c r="B497" s="87" t="str">
        <f>IFERROR(__xludf.DUMMYFUNCTION("""COMPUTED_VALUE"""),"Chai")</f>
        <v>Chai</v>
      </c>
      <c r="C497" s="87" t="str">
        <f>IFERROR(__xludf.DUMMYFUNCTION("""COMPUTED_VALUE"""),"CPV0084")</f>
        <v>CPV0084</v>
      </c>
      <c r="D497" s="87" t="str">
        <f>IFERROR(__xludf.DUMMYFUNCTION("""COMPUTED_VALUE"""),"TP - Chai PET vuông cổ 35 500ml (60g) Trắng sữa nhãn dài")</f>
        <v>TP - Chai PET vuông cổ 35 500ml (60g) Trắng sữa nhãn dài</v>
      </c>
      <c r="E497" s="87" t="str">
        <f>IFERROR(__xludf.DUMMYFUNCTION("""COMPUTED_VALUE"""),"Vi lượng Quantity New")</f>
        <v>Vi lượng Quantity New</v>
      </c>
      <c r="F497" s="87" t="str">
        <f>IFERROR(__xludf.DUMMYFUNCTION("""COMPUTED_VALUE"""),"HH0084")</f>
        <v>HH0084</v>
      </c>
      <c r="G497" s="87" t="str">
        <f>IFERROR(__xludf.DUMMYFUNCTION("""COMPUTED_VALUE"""),"GC - II - 583 - A Thời GNH - Siêu ra hoa (Chai HD) - 500ml - 40")</f>
        <v>GC - II - 583 - A Thời GNH - Siêu ra hoa (Chai HD) - 500ml - 40</v>
      </c>
    </row>
    <row r="498">
      <c r="A498" s="86">
        <f>IFERROR(__xludf.DUMMYFUNCTION("""COMPUTED_VALUE"""),496.0)</f>
        <v>496</v>
      </c>
      <c r="B498" s="87" t="str">
        <f>IFERROR(__xludf.DUMMYFUNCTION("""COMPUTED_VALUE"""),"Nắp")</f>
        <v>Nắp</v>
      </c>
      <c r="C498" s="87" t="str">
        <f>IFERROR(__xludf.DUMMYFUNCTION("""COMPUTED_VALUE"""),"NAP0067")</f>
        <v>NAP0067</v>
      </c>
      <c r="D498" s="87" t="str">
        <f>IFERROR(__xludf.DUMMYFUNCTION("""COMPUTED_VALUE"""),"Nắp Can HDPE vuông 5L cổ 50 - Trắng (can 200gr)")</f>
        <v>Nắp Can HDPE vuông 5L cổ 50 - Trắng (can 200gr)</v>
      </c>
      <c r="E498" s="87" t="str">
        <f>IFERROR(__xludf.DUMMYFUNCTION("""COMPUTED_VALUE"""),"Vi lượng Quantity New")</f>
        <v>Vi lượng Quantity New</v>
      </c>
      <c r="F498" s="87" t="str">
        <f>IFERROR(__xludf.DUMMYFUNCTION("""COMPUTED_VALUE"""),"HH0067")</f>
        <v>HH0067</v>
      </c>
      <c r="G498" s="87" t="str">
        <f>IFERROR(__xludf.DUMMYFUNCTION("""COMPUTED_VALUE"""),"GC - II - 584 - A Thời GNH - Siêu rau quả (Chai HD) - 500ml - 40")</f>
        <v>GC - II - 584 - A Thời GNH - Siêu rau quả (Chai HD) - 500ml - 40</v>
      </c>
    </row>
    <row r="499">
      <c r="A499" s="86">
        <f>IFERROR(__xludf.DUMMYFUNCTION("""COMPUTED_VALUE"""),497.0)</f>
        <v>497</v>
      </c>
      <c r="B499" s="87" t="str">
        <f>IFERROR(__xludf.DUMMYFUNCTION("""COMPUTED_VALUE"""),"Chai")</f>
        <v>Chai</v>
      </c>
      <c r="C499" s="87" t="str">
        <f>IFERROR(__xludf.DUMMYFUNCTION("""COMPUTED_VALUE"""),"CHT0084")</f>
        <v>CHT0084</v>
      </c>
      <c r="D499" s="87" t="str">
        <f>IFERROR(__xludf.DUMMYFUNCTION("""COMPUTED_VALUE"""),"TP- Chai HDPE tròn cổ 42.5 1Lít (85g) - Trắng (không ganty)")</f>
        <v>TP- Chai HDPE tròn cổ 42.5 1Lít (85g) - Trắng (không ganty)</v>
      </c>
      <c r="E499" s="87" t="str">
        <f>IFERROR(__xludf.DUMMYFUNCTION("""COMPUTED_VALUE"""),"Vi lượng Quantity New")</f>
        <v>Vi lượng Quantity New</v>
      </c>
      <c r="F499" s="87" t="str">
        <f>IFERROR(__xludf.DUMMYFUNCTION("""COMPUTED_VALUE"""),"HH0084")</f>
        <v>HH0084</v>
      </c>
      <c r="G499" s="87" t="str">
        <f>IFERROR(__xludf.DUMMYFUNCTION("""COMPUTED_VALUE"""),"GC - II - 584 - A Thời GNH - Siêu rau quả (Chai HD) - 500ml - 40")</f>
        <v>GC - II - 584 - A Thời GNH - Siêu rau quả (Chai HD) - 500ml - 40</v>
      </c>
    </row>
    <row r="500">
      <c r="A500" s="86">
        <f>IFERROR(__xludf.DUMMYFUNCTION("""COMPUTED_VALUE"""),498.0)</f>
        <v>498</v>
      </c>
      <c r="B500" s="87" t="str">
        <f>IFERROR(__xludf.DUMMYFUNCTION("""COMPUTED_VALUE"""),"Nắp")</f>
        <v>Nắp</v>
      </c>
      <c r="C500" s="87" t="str">
        <f>IFERROR(__xludf.DUMMYFUNCTION("""COMPUTED_VALUE"""),"NAP0068")</f>
        <v>NAP0068</v>
      </c>
      <c r="D500" s="87" t="str">
        <f>IFERROR(__xludf.DUMMYFUNCTION("""COMPUTED_VALUE"""),"TP- Nắp HDPE cổ 42.5 (8g)  Trắng (không ganty)")</f>
        <v>TP- Nắp HDPE cổ 42.5 (8g)  Trắng (không ganty)</v>
      </c>
      <c r="E500" s="87" t="str">
        <f>IFERROR(__xludf.DUMMYFUNCTION("""COMPUTED_VALUE"""),"Vi lượng Quantity New")</f>
        <v>Vi lượng Quantity New</v>
      </c>
      <c r="F500" s="87" t="str">
        <f>IFERROR(__xludf.DUMMYFUNCTION("""COMPUTED_VALUE"""),"HH0068")</f>
        <v>HH0068</v>
      </c>
      <c r="G500" s="87" t="str">
        <f>IFERROR(__xludf.DUMMYFUNCTION("""COMPUTED_VALUE"""),"GC - II - 585 - A Thời GNH - Siêu tăng trưởng (Chai HD) - 1L - 20")</f>
        <v>GC - II - 585 - A Thời GNH - Siêu tăng trưởng (Chai HD) - 1L - 20</v>
      </c>
    </row>
    <row r="501">
      <c r="A501" s="86">
        <f>IFERROR(__xludf.DUMMYFUNCTION("""COMPUTED_VALUE"""),499.0)</f>
        <v>499</v>
      </c>
      <c r="B501" s="87" t="str">
        <f>IFERROR(__xludf.DUMMYFUNCTION("""COMPUTED_VALUE"""),"Chai")</f>
        <v>Chai</v>
      </c>
      <c r="C501" s="87" t="str">
        <f>IFERROR(__xludf.DUMMYFUNCTION("""COMPUTED_VALUE"""),"CPT0085")</f>
        <v>CPT0085</v>
      </c>
      <c r="D501" s="87" t="str">
        <f>IFERROR(__xludf.DUMMYFUNCTION("""COMPUTED_VALUE"""),"TP- Chai PET tròn cổ 43 500ml  - Trắng (vân 3 vòng trên thân)")</f>
        <v>TP- Chai PET tròn cổ 43 500ml  - Trắng (vân 3 vòng trên thân)</v>
      </c>
      <c r="E501" s="87" t="str">
        <f>IFERROR(__xludf.DUMMYFUNCTION("""COMPUTED_VALUE"""),"Vi lượng Quantity New")</f>
        <v>Vi lượng Quantity New</v>
      </c>
      <c r="F501" s="87" t="str">
        <f>IFERROR(__xludf.DUMMYFUNCTION("""COMPUTED_VALUE"""),"HH0085")</f>
        <v>HH0085</v>
      </c>
      <c r="G501" s="87" t="str">
        <f>IFERROR(__xludf.DUMMYFUNCTION("""COMPUTED_VALUE"""),"GC - II - 585 - A Thời GNH - Siêu tăng trưởng (Chai HD) - 1L - 20")</f>
        <v>GC - II - 585 - A Thời GNH - Siêu tăng trưởng (Chai HD) - 1L - 20</v>
      </c>
    </row>
    <row r="502">
      <c r="A502" s="86">
        <f>IFERROR(__xludf.DUMMYFUNCTION("""COMPUTED_VALUE"""),500.0)</f>
        <v>500</v>
      </c>
      <c r="B502" s="87" t="str">
        <f>IFERROR(__xludf.DUMMYFUNCTION("""COMPUTED_VALUE"""),"Cóc")</f>
        <v>Cóc</v>
      </c>
      <c r="C502" s="87" t="str">
        <f>IFERROR(__xludf.DUMMYFUNCTION("""COMPUTED_VALUE"""),"COC0002")</f>
        <v>COC0002</v>
      </c>
      <c r="D502" s="87" t="str">
        <f>IFERROR(__xludf.DUMMYFUNCTION("""COMPUTED_VALUE"""),"Cóc đong cổ 43 50ml (5gr) - Trắng trong")</f>
        <v>Cóc đong cổ 43 50ml (5gr) - Trắng trong</v>
      </c>
      <c r="E502" s="87" t="str">
        <f>IFERROR(__xludf.DUMMYFUNCTION("""COMPUTED_VALUE"""),"Vi lượng Quantity New")</f>
        <v>Vi lượng Quantity New</v>
      </c>
      <c r="F502" s="87" t="str">
        <f>IFERROR(__xludf.DUMMYFUNCTION("""COMPUTED_VALUE"""),"HH0002")</f>
        <v>HH0002</v>
      </c>
      <c r="G502" s="87" t="str">
        <f>IFERROR(__xludf.DUMMYFUNCTION("""COMPUTED_VALUE"""),"GC - II - 587 - A Thời GNH - Siêu Vô gạo (Chai HD) - 500 ml - 40")</f>
        <v>GC - II - 587 - A Thời GNH - Siêu Vô gạo (Chai HD) - 500 ml - 40</v>
      </c>
    </row>
    <row r="503">
      <c r="A503" s="86">
        <f>IFERROR(__xludf.DUMMYFUNCTION("""COMPUTED_VALUE"""),501.0)</f>
        <v>501</v>
      </c>
      <c r="B503" s="87" t="str">
        <f>IFERROR(__xludf.DUMMYFUNCTION("""COMPUTED_VALUE"""),"Cóc")</f>
        <v>Cóc</v>
      </c>
      <c r="C503" s="87" t="str">
        <f>IFERROR(__xludf.DUMMYFUNCTION("""COMPUTED_VALUE"""),"COC0003")</f>
        <v>COC0003</v>
      </c>
      <c r="D503" s="87" t="str">
        <f>IFERROR(__xludf.DUMMYFUNCTION("""COMPUTED_VALUE"""),"Cốc đong cổ 60 100ml (8.2gr) - Trắng trong")</f>
        <v>Cốc đong cổ 60 100ml (8.2gr) - Trắng trong</v>
      </c>
      <c r="E503" s="87" t="str">
        <f>IFERROR(__xludf.DUMMYFUNCTION("""COMPUTED_VALUE"""),"Vi lượng Quantity New")</f>
        <v>Vi lượng Quantity New</v>
      </c>
      <c r="F503" s="87" t="str">
        <f>IFERROR(__xludf.DUMMYFUNCTION("""COMPUTED_VALUE"""),"HH0003")</f>
        <v>HH0003</v>
      </c>
      <c r="G503" s="87" t="str">
        <f>IFERROR(__xludf.DUMMYFUNCTION("""COMPUTED_VALUE"""),"GC - II - 588 - A Thời GNH - Siêu mạnh cá hồi (Chai HD) - 1L - 20")</f>
        <v>GC - II - 588 - A Thời GNH - Siêu mạnh cá hồi (Chai HD) - 1L - 20</v>
      </c>
    </row>
    <row r="504">
      <c r="A504" s="86">
        <f>IFERROR(__xludf.DUMMYFUNCTION("""COMPUTED_VALUE"""),502.0)</f>
        <v>502</v>
      </c>
      <c r="B504" s="87" t="str">
        <f>IFERROR(__xludf.DUMMYFUNCTION("""COMPUTED_VALUE"""),"Chai")</f>
        <v>Chai</v>
      </c>
      <c r="C504" s="87" t="str">
        <f>IFERROR(__xludf.DUMMYFUNCTION("""COMPUTED_VALUE"""),"CPV0086")</f>
        <v>CPV0086</v>
      </c>
      <c r="D504" s="87" t="str">
        <f>IFERROR(__xludf.DUMMYFUNCTION("""COMPUTED_VALUE"""),"TP- Chai PET vuông cổ 28 250ml (40gr)  - Trắng sữa (A)")</f>
        <v>TP- Chai PET vuông cổ 28 250ml (40gr)  - Trắng sữa (A)</v>
      </c>
      <c r="E504" s="87" t="str">
        <f>IFERROR(__xludf.DUMMYFUNCTION("""COMPUTED_VALUE"""),"Vi lượng Quantity New")</f>
        <v>Vi lượng Quantity New</v>
      </c>
      <c r="F504" s="87" t="str">
        <f>IFERROR(__xludf.DUMMYFUNCTION("""COMPUTED_VALUE"""),"HH0086")</f>
        <v>HH0086</v>
      </c>
      <c r="G504" s="87" t="str">
        <f>IFERROR(__xludf.DUMMYFUNCTION("""COMPUTED_VALUE"""),"GC - II - 588 - A Thời GNH - Siêu mạnh cá hồi (Chai HD) - 1L - 20")</f>
        <v>GC - II - 588 - A Thời GNH - Siêu mạnh cá hồi (Chai HD) - 1L - 20</v>
      </c>
    </row>
    <row r="505">
      <c r="A505" s="86">
        <f>IFERROR(__xludf.DUMMYFUNCTION("""COMPUTED_VALUE"""),503.0)</f>
        <v>503</v>
      </c>
      <c r="B505" s="87" t="str">
        <f>IFERROR(__xludf.DUMMYFUNCTION("""COMPUTED_VALUE"""),"Nắp")</f>
        <v>Nắp</v>
      </c>
      <c r="C505" s="87" t="str">
        <f>IFERROR(__xludf.DUMMYFUNCTION("""COMPUTED_VALUE"""),"NAP0069")</f>
        <v>NAP0069</v>
      </c>
      <c r="D505" s="87" t="str">
        <f>IFERROR(__xludf.DUMMYFUNCTION("""COMPUTED_VALUE"""),"TP - Nắp PET cổ 28 (4gr) - Đỏ")</f>
        <v>TP - Nắp PET cổ 28 (4gr) - Đỏ</v>
      </c>
      <c r="E505" s="87" t="str">
        <f>IFERROR(__xludf.DUMMYFUNCTION("""COMPUTED_VALUE"""),"Vi lượng Quantity New")</f>
        <v>Vi lượng Quantity New</v>
      </c>
      <c r="F505" s="87" t="str">
        <f>IFERROR(__xludf.DUMMYFUNCTION("""COMPUTED_VALUE"""),"HH0069")</f>
        <v>HH0069</v>
      </c>
      <c r="G505" s="87" t="str">
        <f>IFERROR(__xludf.DUMMYFUNCTION("""COMPUTED_VALUE"""),"GC - II - 589 - A Thời GNH - Super Fruit (Chai HD) - 500ml - 40")</f>
        <v>GC - II - 589 - A Thời GNH - Super Fruit (Chai HD) - 500ml - 40</v>
      </c>
    </row>
    <row r="506">
      <c r="A506" s="86">
        <f>IFERROR(__xludf.DUMMYFUNCTION("""COMPUTED_VALUE"""),504.0)</f>
        <v>504</v>
      </c>
      <c r="B506" s="87" t="str">
        <f>IFERROR(__xludf.DUMMYFUNCTION("""COMPUTED_VALUE"""),"Chai")</f>
        <v>Chai</v>
      </c>
      <c r="C506" s="87" t="str">
        <f>IFERROR(__xludf.DUMMYFUNCTION("""COMPUTED_VALUE"""),"CHT0087")</f>
        <v>CHT0087</v>
      </c>
      <c r="D506" s="87" t="str">
        <f>IFERROR(__xludf.DUMMYFUNCTION("""COMPUTED_VALUE"""),"Chai HDPE tròn 1 Lít cổ 50 (105gr) - Trắng")</f>
        <v>Chai HDPE tròn 1 Lít cổ 50 (105gr) - Trắng</v>
      </c>
      <c r="E506" s="87" t="str">
        <f>IFERROR(__xludf.DUMMYFUNCTION("""COMPUTED_VALUE"""),"Vi lượng Quantity New")</f>
        <v>Vi lượng Quantity New</v>
      </c>
      <c r="F506" s="87" t="str">
        <f>IFERROR(__xludf.DUMMYFUNCTION("""COMPUTED_VALUE"""),"HH0087")</f>
        <v>HH0087</v>
      </c>
      <c r="G506" s="87" t="str">
        <f>IFERROR(__xludf.DUMMYFUNCTION("""COMPUTED_VALUE"""),"GC - II - 590- A Thời GNH - Super Root (Chai HD) - 100ml - 100")</f>
        <v>GC - II - 590- A Thời GNH - Super Root (Chai HD) - 100ml - 100</v>
      </c>
    </row>
    <row r="507">
      <c r="A507" s="86">
        <f>IFERROR(__xludf.DUMMYFUNCTION("""COMPUTED_VALUE"""),505.0)</f>
        <v>505</v>
      </c>
      <c r="B507" s="87" t="str">
        <f>IFERROR(__xludf.DUMMYFUNCTION("""COMPUTED_VALUE"""),"Nắp")</f>
        <v>Nắp</v>
      </c>
      <c r="C507" s="87" t="str">
        <f>IFERROR(__xludf.DUMMYFUNCTION("""COMPUTED_VALUE"""),"NAP0070")</f>
        <v>NAP0070</v>
      </c>
      <c r="D507" s="87" t="str">
        <f>IFERROR(__xludf.DUMMYFUNCTION("""COMPUTED_VALUE"""),"Nắp HDPE có bèo cổ 50 (10gr) - Trắng")</f>
        <v>Nắp HDPE có bèo cổ 50 (10gr) - Trắng</v>
      </c>
      <c r="E507" s="87" t="str">
        <f>IFERROR(__xludf.DUMMYFUNCTION("""COMPUTED_VALUE"""),"Vi lượng Quantity New")</f>
        <v>Vi lượng Quantity New</v>
      </c>
      <c r="F507" s="87" t="str">
        <f>IFERROR(__xludf.DUMMYFUNCTION("""COMPUTED_VALUE"""),"HH0070")</f>
        <v>HH0070</v>
      </c>
      <c r="G507" s="87" t="str">
        <f>IFERROR(__xludf.DUMMYFUNCTION("""COMPUTED_VALUE"""),"GC - II - 591 - A Thời GNH - Chuyên lác (Chai HD) - 1L - 20")</f>
        <v>GC - II - 591 - A Thời GNH - Chuyên lác (Chai HD) - 1L - 20</v>
      </c>
    </row>
    <row r="508">
      <c r="A508" s="86">
        <f>IFERROR(__xludf.DUMMYFUNCTION("""COMPUTED_VALUE"""),506.0)</f>
        <v>506</v>
      </c>
      <c r="B508" s="87" t="str">
        <f>IFERROR(__xludf.DUMMYFUNCTION("""COMPUTED_VALUE"""),"Nắp")</f>
        <v>Nắp</v>
      </c>
      <c r="C508" s="87" t="str">
        <f>IFERROR(__xludf.DUMMYFUNCTION("""COMPUTED_VALUE"""),"NAP0071")</f>
        <v>NAP0071</v>
      </c>
      <c r="D508" s="87" t="str">
        <f>IFERROR(__xludf.DUMMYFUNCTION("""COMPUTED_VALUE"""),"TP- Nắp HDPE cổ 42.5 (8g) Đỏ (không ganty)")</f>
        <v>TP- Nắp HDPE cổ 42.5 (8g) Đỏ (không ganty)</v>
      </c>
      <c r="E508" s="87" t="str">
        <f>IFERROR(__xludf.DUMMYFUNCTION("""COMPUTED_VALUE"""),"THALONIL 75WP")</f>
        <v>THALONIL 75WP</v>
      </c>
      <c r="F508" s="87" t="str">
        <f>IFERROR(__xludf.DUMMYFUNCTION("""COMPUTED_VALUE"""),"HH0071")</f>
        <v>HH0071</v>
      </c>
      <c r="G508" s="87" t="str">
        <f>IFERROR(__xludf.DUMMYFUNCTION("""COMPUTED_VALUE"""),"GC - I - 592 - Thiên Di - Thalonil 75WP (flexo) - 100gr - 100")</f>
        <v>GC - I - 592 - Thiên Di - Thalonil 75WP (flexo) - 100gr - 100</v>
      </c>
    </row>
    <row r="509">
      <c r="A509" s="86">
        <f>IFERROR(__xludf.DUMMYFUNCTION("""COMPUTED_VALUE"""),507.0)</f>
        <v>507</v>
      </c>
      <c r="B509" s="87" t="str">
        <f>IFERROR(__xludf.DUMMYFUNCTION("""COMPUTED_VALUE"""),"Nắp")</f>
        <v>Nắp</v>
      </c>
      <c r="C509" s="87" t="str">
        <f>IFERROR(__xludf.DUMMYFUNCTION("""COMPUTED_VALUE"""),"NAP0072")</f>
        <v>NAP0072</v>
      </c>
      <c r="D509" s="87" t="str">
        <f>IFERROR(__xludf.DUMMYFUNCTION("""COMPUTED_VALUE"""),"TP - Nắp PET cổ 28 - Đỏ")</f>
        <v>TP - Nắp PET cổ 28 - Đỏ</v>
      </c>
      <c r="E509" s="87" t="str">
        <f>IFERROR(__xludf.DUMMYFUNCTION("""COMPUTED_VALUE"""),"COCHAY 200SL")</f>
        <v>COCHAY 200SL</v>
      </c>
      <c r="F509" s="87" t="str">
        <f>IFERROR(__xludf.DUMMYFUNCTION("""COMPUTED_VALUE"""),"HH0072")</f>
        <v>HH0072</v>
      </c>
      <c r="G509" s="87" t="str">
        <f>IFERROR(__xludf.DUMMYFUNCTION("""COMPUTED_VALUE"""),"GC - II - K - 594 - MK Group - Cỏ Cháy Thế Hệ Mới (chai PET vuông) - 900ml- 20")</f>
        <v>GC - II - K - 594 - MK Group - Cỏ Cháy Thế Hệ Mới (chai PET vuông) - 900ml- 20</v>
      </c>
    </row>
    <row r="510">
      <c r="A510" s="86">
        <f>IFERROR(__xludf.DUMMYFUNCTION("""COMPUTED_VALUE"""),508.0)</f>
        <v>508</v>
      </c>
      <c r="B510" s="87" t="str">
        <f>IFERROR(__xludf.DUMMYFUNCTION("""COMPUTED_VALUE"""),"Chai")</f>
        <v>Chai</v>
      </c>
      <c r="C510" s="87" t="str">
        <f>IFERROR(__xludf.DUMMYFUNCTION("""COMPUTED_VALUE"""),"CPT0088")</f>
        <v>CPT0088</v>
      </c>
      <c r="D510" s="87" t="str">
        <f>IFERROR(__xludf.DUMMYFUNCTION("""COMPUTED_VALUE"""),"TP- Chai PET tròn cổ 28 500ml (40gr) - Nâu")</f>
        <v>TP- Chai PET tròn cổ 28 500ml (40gr) - Nâu</v>
      </c>
      <c r="E510" s="87" t="str">
        <f>IFERROR(__xludf.DUMMYFUNCTION("""COMPUTED_VALUE"""),"COCHAY 200SL")</f>
        <v>COCHAY 200SL</v>
      </c>
      <c r="F510" s="87" t="str">
        <f>IFERROR(__xludf.DUMMYFUNCTION("""COMPUTED_VALUE"""),"HH0088")</f>
        <v>HH0088</v>
      </c>
      <c r="G510" s="87" t="str">
        <f>IFERROR(__xludf.DUMMYFUNCTION("""COMPUTED_VALUE"""),"GC - II - K - 594 - MK Group - Cỏ Cháy Thế Hệ Mới (chai PET vuông) - 900ml- 20")</f>
        <v>GC - II - K - 594 - MK Group - Cỏ Cháy Thế Hệ Mới (chai PET vuông) - 900ml- 20</v>
      </c>
    </row>
    <row r="511">
      <c r="A511" s="86">
        <f>IFERROR(__xludf.DUMMYFUNCTION("""COMPUTED_VALUE"""),509.0)</f>
        <v>509</v>
      </c>
      <c r="B511" s="87" t="str">
        <f>IFERROR(__xludf.DUMMYFUNCTION("""COMPUTED_VALUE"""),"Chai")</f>
        <v>Chai</v>
      </c>
      <c r="C511" s="87" t="str">
        <f>IFERROR(__xludf.DUMMYFUNCTION("""COMPUTED_VALUE"""),"CPT0089")</f>
        <v>CPT0089</v>
      </c>
      <c r="D511" s="87" t="str">
        <f>IFERROR(__xludf.DUMMYFUNCTION("""COMPUTED_VALUE"""),"TP- Chai PET tròn cổ 43 250ml (29g) - Trắng")</f>
        <v>TP- Chai PET tròn cổ 43 250ml (29g) - Trắng</v>
      </c>
      <c r="E511" s="87" t="str">
        <f>IFERROR(__xludf.DUMMYFUNCTION("""COMPUTED_VALUE"""),"CHAYRUI 150SL")</f>
        <v>CHAYRUI 150SL</v>
      </c>
      <c r="F511" s="87" t="str">
        <f>IFERROR(__xludf.DUMMYFUNCTION("""COMPUTED_VALUE"""),"HH0089")</f>
        <v>HH0089</v>
      </c>
      <c r="G511" s="87" t="str">
        <f>IFERROR(__xludf.DUMMYFUNCTION("""COMPUTED_VALUE"""),"GC - II - MK Group - 595 - Cháy cỏ khai hoang (PET vuông) - 900ml - 20")</f>
        <v>GC - II - MK Group - 595 - Cháy cỏ khai hoang (PET vuông) - 900ml - 20</v>
      </c>
    </row>
    <row r="512">
      <c r="A512" s="86">
        <f>IFERROR(__xludf.DUMMYFUNCTION("""COMPUTED_VALUE"""),510.0)</f>
        <v>510</v>
      </c>
      <c r="B512" s="87" t="str">
        <f>IFERROR(__xludf.DUMMYFUNCTION("""COMPUTED_VALUE"""),"Nắp")</f>
        <v>Nắp</v>
      </c>
      <c r="C512" s="87" t="str">
        <f>IFERROR(__xludf.DUMMYFUNCTION("""COMPUTED_VALUE"""),"NAP0073")</f>
        <v>NAP0073</v>
      </c>
      <c r="D512" s="87" t="str">
        <f>IFERROR(__xludf.DUMMYFUNCTION("""COMPUTED_VALUE"""),"TP- Nắp PET cổ 43 (8g) - Trắng, có cốc đong")</f>
        <v>TP- Nắp PET cổ 43 (8g) - Trắng, có cốc đong</v>
      </c>
      <c r="E512" s="87" t="str">
        <f>IFERROR(__xludf.DUMMYFUNCTION("""COMPUTED_VALUE"""),"Remy 19EC")</f>
        <v>Remy 19EC</v>
      </c>
      <c r="F512" s="87" t="str">
        <f>IFERROR(__xludf.DUMMYFUNCTION("""COMPUTED_VALUE"""),"HH0073")</f>
        <v>HH0073</v>
      </c>
      <c r="G512" s="87" t="str">
        <f>IFERROR(__xludf.DUMMYFUNCTION("""COMPUTED_VALUE"""),"GC - II - 596 - MK Group - Remy 19EC (chai tròn) - 450ml - 40")</f>
        <v>GC - II - 596 - MK Group - Remy 19EC (chai tròn) - 450ml - 40</v>
      </c>
    </row>
    <row r="513">
      <c r="A513" s="86">
        <f>IFERROR(__xludf.DUMMYFUNCTION("""COMPUTED_VALUE"""),511.0)</f>
        <v>511</v>
      </c>
      <c r="B513" s="87" t="str">
        <f>IFERROR(__xludf.DUMMYFUNCTION("""COMPUTED_VALUE"""),"Chai")</f>
        <v>Chai</v>
      </c>
      <c r="C513" s="87" t="str">
        <f>IFERROR(__xludf.DUMMYFUNCTION("""COMPUTED_VALUE"""),"CPT0090")</f>
        <v>CPT0090</v>
      </c>
      <c r="D513" s="87" t="str">
        <f>IFERROR(__xludf.DUMMYFUNCTION("""COMPUTED_VALUE"""),"TP - Chai PET tròn cổ 35 1 lít (60gr) - Vàng")</f>
        <v>TP - Chai PET tròn cổ 35 1 lít (60gr) - Vàng</v>
      </c>
      <c r="E513" s="87" t="str">
        <f>IFERROR(__xludf.DUMMYFUNCTION("""COMPUTED_VALUE"""),"Tikabamec 3.6EC")</f>
        <v>Tikabamec 3.6EC</v>
      </c>
      <c r="F513" s="87" t="str">
        <f>IFERROR(__xludf.DUMMYFUNCTION("""COMPUTED_VALUE"""),"HH0090")</f>
        <v>HH0090</v>
      </c>
      <c r="G513" s="87" t="str">
        <f>IFERROR(__xludf.DUMMYFUNCTION("""COMPUTED_VALUE"""),"GC - II - 597 - MK Group - Amec 3.6EC (Pet tròn) (nước trong) (thân trắng, nắp trắng) - 450ml - 40")</f>
        <v>GC - II - 597 - MK Group - Amec 3.6EC (Pet tròn) (nước trong) (thân trắng, nắp trắng) - 450ml - 40</v>
      </c>
    </row>
    <row r="514">
      <c r="A514" s="86">
        <f>IFERROR(__xludf.DUMMYFUNCTION("""COMPUTED_VALUE"""),512.0)</f>
        <v>512</v>
      </c>
      <c r="B514" s="87" t="str">
        <f>IFERROR(__xludf.DUMMYFUNCTION("""COMPUTED_VALUE"""),"Nắp")</f>
        <v>Nắp</v>
      </c>
      <c r="C514" s="87" t="str">
        <f>IFERROR(__xludf.DUMMYFUNCTION("""COMPUTED_VALUE"""),"NAP0074")</f>
        <v>NAP0074</v>
      </c>
      <c r="D514" s="87" t="str">
        <f>IFERROR(__xludf.DUMMYFUNCTION("""COMPUTED_VALUE"""),"TP - Nắp PET chụp tròn cổ 35 chai 1 lít (10gr) - Đỏ")</f>
        <v>TP - Nắp PET chụp tròn cổ 35 chai 1 lít (10gr) - Đỏ</v>
      </c>
      <c r="E514" s="87" t="str">
        <f>IFERROR(__xludf.DUMMYFUNCTION("""COMPUTED_VALUE"""),"Tikabamec 3.6EC")</f>
        <v>Tikabamec 3.6EC</v>
      </c>
      <c r="F514" s="87" t="str">
        <f>IFERROR(__xludf.DUMMYFUNCTION("""COMPUTED_VALUE"""),"HH0074")</f>
        <v>HH0074</v>
      </c>
      <c r="G514" s="87" t="str">
        <f>IFERROR(__xludf.DUMMYFUNCTION("""COMPUTED_VALUE"""),"GC - II - 597.1 - MK Group - Amec 3.6EC (nước nâu)(Pet tròn) (thân trắng, nắp đỏ) - 450ml - 40")</f>
        <v>GC - II - 597.1 - MK Group - Amec 3.6EC (nước nâu)(Pet tròn) (thân trắng, nắp đỏ) - 450ml - 40</v>
      </c>
    </row>
    <row r="515">
      <c r="A515" s="86">
        <f>IFERROR(__xludf.DUMMYFUNCTION("""COMPUTED_VALUE"""),513.0)</f>
        <v>513</v>
      </c>
      <c r="B515" s="87" t="str">
        <f>IFERROR(__xludf.DUMMYFUNCTION("""COMPUTED_VALUE"""),"Chai")</f>
        <v>Chai</v>
      </c>
      <c r="C515" s="87" t="str">
        <f>IFERROR(__xludf.DUMMYFUNCTION("""COMPUTED_VALUE"""),"CPT0091")</f>
        <v>CPT0091</v>
      </c>
      <c r="D515" s="87" t="str">
        <f>IFERROR(__xludf.DUMMYFUNCTION("""COMPUTED_VALUE"""),"TP - Chai PET tròn cổ 43 500ml (44g) - Vàng")</f>
        <v>TP - Chai PET tròn cổ 43 500ml (44g) - Vàng</v>
      </c>
      <c r="E515" s="87" t="str">
        <f>IFERROR(__xludf.DUMMYFUNCTION("""COMPUTED_VALUE"""),"Mekongvil 5SC")</f>
        <v>Mekongvil 5SC</v>
      </c>
      <c r="F515" s="87" t="str">
        <f>IFERROR(__xludf.DUMMYFUNCTION("""COMPUTED_VALUE"""),"HH0091")</f>
        <v>HH0091</v>
      </c>
      <c r="G515" s="87" t="str">
        <f>IFERROR(__xludf.DUMMYFUNCTION("""COMPUTED_VALUE"""),"GC - II - 598 - MK Group - Siêu Trừ Bệnh (Pet tròn) - 1 lít - 20")</f>
        <v>GC - II - 598 - MK Group - Siêu Trừ Bệnh (Pet tròn) - 1 lít - 20</v>
      </c>
    </row>
    <row r="516">
      <c r="A516" s="86">
        <f>IFERROR(__xludf.DUMMYFUNCTION("""COMPUTED_VALUE"""),514.0)</f>
        <v>514</v>
      </c>
      <c r="B516" s="87" t="str">
        <f>IFERROR(__xludf.DUMMYFUNCTION("""COMPUTED_VALUE"""),"Chai")</f>
        <v>Chai</v>
      </c>
      <c r="C516" s="87" t="str">
        <f>IFERROR(__xludf.DUMMYFUNCTION("""COMPUTED_VALUE"""),"CPT0092")</f>
        <v>CPT0092</v>
      </c>
      <c r="D516" s="87" t="str">
        <f>IFERROR(__xludf.DUMMYFUNCTION("""COMPUTED_VALUE"""),"TP - Chai PET tròn cổ 35 1 lít (60gr) - Xanh lá")</f>
        <v>TP - Chai PET tròn cổ 35 1 lít (60gr) - Xanh lá</v>
      </c>
      <c r="E516" s="87" t="str">
        <f>IFERROR(__xludf.DUMMYFUNCTION("""COMPUTED_VALUE"""),"TVZEB 800WP")</f>
        <v>TVZEB 800WP</v>
      </c>
      <c r="F516" s="87" t="str">
        <f>IFERROR(__xludf.DUMMYFUNCTION("""COMPUTED_VALUE"""),"HH0092")</f>
        <v>HH0092</v>
      </c>
      <c r="G516" s="87" t="str">
        <f>IFERROR(__xludf.DUMMYFUNCTION("""COMPUTED_VALUE"""),"GC - II - 599 - MK Group - Mancozeb xanh - 1kg - 20")</f>
        <v>GC - II - 599 - MK Group - Mancozeb xanh - 1kg - 20</v>
      </c>
    </row>
    <row r="517">
      <c r="A517" s="86">
        <f>IFERROR(__xludf.DUMMYFUNCTION("""COMPUTED_VALUE"""),515.0)</f>
        <v>515</v>
      </c>
      <c r="B517" s="87" t="str">
        <f>IFERROR(__xludf.DUMMYFUNCTION("""COMPUTED_VALUE"""),"Chai")</f>
        <v>Chai</v>
      </c>
      <c r="C517" s="87" t="str">
        <f>IFERROR(__xludf.DUMMYFUNCTION("""COMPUTED_VALUE"""),"CPT0093")</f>
        <v>CPT0093</v>
      </c>
      <c r="D517" s="87" t="str">
        <f>IFERROR(__xludf.DUMMYFUNCTION("""COMPUTED_VALUE"""),"TP - Chai PET tròn cổ 38 500ml (65gr) - Trong")</f>
        <v>TP - Chai PET tròn cổ 38 500ml (65gr) - Trong</v>
      </c>
      <c r="E517" s="87" t="str">
        <f>IFERROR(__xludf.DUMMYFUNCTION("""COMPUTED_VALUE"""),"TVZEB 800WP")</f>
        <v>TVZEB 800WP</v>
      </c>
      <c r="F517" s="87" t="str">
        <f>IFERROR(__xludf.DUMMYFUNCTION("""COMPUTED_VALUE"""),"HH0093")</f>
        <v>HH0093</v>
      </c>
      <c r="G517" s="87" t="str">
        <f>IFERROR(__xludf.DUMMYFUNCTION("""COMPUTED_VALUE"""),"GC - II - 599 - MK Group - Mancozeb xanh - 1kg - 20")</f>
        <v>GC - II - 599 - MK Group - Mancozeb xanh - 1kg - 20</v>
      </c>
    </row>
    <row r="518">
      <c r="A518" s="86">
        <f>IFERROR(__xludf.DUMMYFUNCTION("""COMPUTED_VALUE"""),516.0)</f>
        <v>516</v>
      </c>
      <c r="B518" s="87" t="str">
        <f>IFERROR(__xludf.DUMMYFUNCTION("""COMPUTED_VALUE"""),"Nắp")</f>
        <v>Nắp</v>
      </c>
      <c r="C518" s="87" t="str">
        <f>IFERROR(__xludf.DUMMYFUNCTION("""COMPUTED_VALUE"""),"NAP0075")</f>
        <v>NAP0075</v>
      </c>
      <c r="D518" s="87" t="str">
        <f>IFERROR(__xludf.DUMMYFUNCTION("""COMPUTED_VALUE"""),"Nắp PET cổ 38 (7.5gr) - Đỏ")</f>
        <v>Nắp PET cổ 38 (7.5gr) - Đỏ</v>
      </c>
      <c r="E518" s="87" t="str">
        <f>IFERROR(__xludf.DUMMYFUNCTION("""COMPUTED_VALUE"""),"DRAGONTIN 370SC")</f>
        <v>DRAGONTIN 370SC</v>
      </c>
      <c r="F518" s="87" t="str">
        <f>IFERROR(__xludf.DUMMYFUNCTION("""COMPUTED_VALUE"""),"HH0075")</f>
        <v>HH0075</v>
      </c>
      <c r="G518" s="87" t="str">
        <f>IFERROR(__xludf.DUMMYFUNCTION("""COMPUTED_VALUE"""),"GC - II - 600 - MK Group - Rồng Lửa (Pet tròn) - 100ml - 100")</f>
        <v>GC - II - 600 - MK Group - Rồng Lửa (Pet tròn) - 100ml - 100</v>
      </c>
    </row>
    <row r="519">
      <c r="A519" s="86">
        <f>IFERROR(__xludf.DUMMYFUNCTION("""COMPUTED_VALUE"""),517.0)</f>
        <v>517</v>
      </c>
      <c r="B519" s="87" t="str">
        <f>IFERROR(__xludf.DUMMYFUNCTION("""COMPUTED_VALUE"""),"Chai")</f>
        <v>Chai</v>
      </c>
      <c r="C519" s="87" t="str">
        <f>IFERROR(__xludf.DUMMYFUNCTION("""COMPUTED_VALUE"""),"CPT0094")</f>
        <v>CPT0094</v>
      </c>
      <c r="D519" s="87" t="str">
        <f>IFERROR(__xludf.DUMMYFUNCTION("""COMPUTED_VALUE"""),"HNS - Chai PET tròn cổ 28 250ml (13.2g) - Trắng")</f>
        <v>HNS - Chai PET tròn cổ 28 250ml (13.2g) - Trắng</v>
      </c>
      <c r="E519" s="87" t="str">
        <f>IFERROR(__xludf.DUMMYFUNCTION("""COMPUTED_VALUE"""),"Vi lượng Basel IDA 46")</f>
        <v>Vi lượng Basel IDA 46</v>
      </c>
      <c r="F519" s="87" t="str">
        <f>IFERROR(__xludf.DUMMYFUNCTION("""COMPUTED_VALUE"""),"HH0094")</f>
        <v>HH0094</v>
      </c>
      <c r="G519" s="87" t="str">
        <f>IFERROR(__xludf.DUMMYFUNCTION("""COMPUTED_VALUE"""),"IDA Global - I - 602 - Amazon 80 (chai HD) - 100ml - 100")</f>
        <v>IDA Global - I - 602 - Amazon 80 (chai HD) - 100ml - 100</v>
      </c>
    </row>
    <row r="520">
      <c r="A520" s="86">
        <f>IFERROR(__xludf.DUMMYFUNCTION("""COMPUTED_VALUE"""),518.0)</f>
        <v>518</v>
      </c>
      <c r="B520" s="87" t="str">
        <f>IFERROR(__xludf.DUMMYFUNCTION("""COMPUTED_VALUE"""),"Nắp")</f>
        <v>Nắp</v>
      </c>
      <c r="C520" s="87" t="str">
        <f>IFERROR(__xludf.DUMMYFUNCTION("""COMPUTED_VALUE"""),"NAP0076")</f>
        <v>NAP0076</v>
      </c>
      <c r="D520" s="87" t="str">
        <f>IFERROR(__xludf.DUMMYFUNCTION("""COMPUTED_VALUE"""),"HNS - Nắp PET cổ 28 (3.4g) - Xanh lá")</f>
        <v>HNS - Nắp PET cổ 28 (3.4g) - Xanh lá</v>
      </c>
      <c r="E520" s="87" t="str">
        <f>IFERROR(__xludf.DUMMYFUNCTION("""COMPUTED_VALUE"""),"Prima 04")</f>
        <v>Prima 04</v>
      </c>
      <c r="F520" s="87" t="str">
        <f>IFERROR(__xludf.DUMMYFUNCTION("""COMPUTED_VALUE"""),"HH0076")</f>
        <v>HH0076</v>
      </c>
      <c r="G520" s="87" t="str">
        <f>IFERROR(__xludf.DUMMYFUNCTION("""COMPUTED_VALUE"""),"GC - II - 603 - Agritech - Humik - 1 kg - 25")</f>
        <v>GC - II - 603 - Agritech - Humik - 1 kg - 25</v>
      </c>
    </row>
    <row r="521">
      <c r="A521" s="86">
        <f>IFERROR(__xludf.DUMMYFUNCTION("""COMPUTED_VALUE"""),519.0)</f>
        <v>519</v>
      </c>
      <c r="B521" s="87" t="str">
        <f>IFERROR(__xludf.DUMMYFUNCTION("""COMPUTED_VALUE"""),"Chai")</f>
        <v>Chai</v>
      </c>
      <c r="C521" s="87" t="str">
        <f>IFERROR(__xludf.DUMMYFUNCTION("""COMPUTED_VALUE"""),"CPV0095")</f>
        <v>CPV0095</v>
      </c>
      <c r="D521" s="87" t="str">
        <f>IFERROR(__xludf.DUMMYFUNCTION("""COMPUTED_VALUE"""),"TP - Chai PET vuông cổ 35 500ml (60g) Trắng nhũ nhãn dài")</f>
        <v>TP - Chai PET vuông cổ 35 500ml (60g) Trắng nhũ nhãn dài</v>
      </c>
      <c r="E521" s="87" t="str">
        <f>IFERROR(__xludf.DUMMYFUNCTION("""COMPUTED_VALUE"""),"Vi lượng Basel IDA 50")</f>
        <v>Vi lượng Basel IDA 50</v>
      </c>
      <c r="F521" s="87" t="str">
        <f>IFERROR(__xludf.DUMMYFUNCTION("""COMPUTED_VALUE"""),"HH0095")</f>
        <v>HH0095</v>
      </c>
      <c r="G521" s="87" t="str">
        <f>IFERROR(__xludf.DUMMYFUNCTION("""COMPUTED_VALUE"""),"LOT IDA Global - I - 604 - TT - Power (5 sao) - 500ml - 40")</f>
        <v>LOT IDA Global - I - 604 - TT - Power (5 sao) - 500ml - 40</v>
      </c>
    </row>
    <row r="522">
      <c r="A522" s="86">
        <f>IFERROR(__xludf.DUMMYFUNCTION("""COMPUTED_VALUE"""),520.0)</f>
        <v>520</v>
      </c>
      <c r="B522" s="87" t="str">
        <f>IFERROR(__xludf.DUMMYFUNCTION("""COMPUTED_VALUE"""),"Chai")</f>
        <v>Chai</v>
      </c>
      <c r="C522" s="87" t="str">
        <f>IFERROR(__xludf.DUMMYFUNCTION("""COMPUTED_VALUE"""),"CPV0096")</f>
        <v>CPV0096</v>
      </c>
      <c r="D522" s="87" t="str">
        <f>IFERROR(__xludf.DUMMYFUNCTION("""COMPUTED_VALUE"""),"TP - Chai PET vuông cổ 43 500ml (70g) - Trong")</f>
        <v>TP - Chai PET vuông cổ 43 500ml (70g) - Trong</v>
      </c>
      <c r="E522" s="87" t="str">
        <f>IFERROR(__xludf.DUMMYFUNCTION("""COMPUTED_VALUE"""),"Vi lượng Basel IDA 47")</f>
        <v>Vi lượng Basel IDA 47</v>
      </c>
      <c r="F522" s="87" t="str">
        <f>IFERROR(__xludf.DUMMYFUNCTION("""COMPUTED_VALUE"""),"HH0096")</f>
        <v>HH0096</v>
      </c>
      <c r="G522" s="87" t="str">
        <f>IFERROR(__xludf.DUMMYFUNCTION("""COMPUTED_VALUE"""),"LOT IDA Global - I - 605 - TT - Flower Top (05 sao)- 500ml - 40")</f>
        <v>LOT IDA Global - I - 605 - TT - Flower Top (05 sao)- 500ml - 40</v>
      </c>
    </row>
    <row r="523">
      <c r="A523" s="86">
        <f>IFERROR(__xludf.DUMMYFUNCTION("""COMPUTED_VALUE"""),521.0)</f>
        <v>521</v>
      </c>
      <c r="B523" s="87" t="str">
        <f>IFERROR(__xludf.DUMMYFUNCTION("""COMPUTED_VALUE"""),"Nắp")</f>
        <v>Nắp</v>
      </c>
      <c r="C523" s="87" t="str">
        <f>IFERROR(__xludf.DUMMYFUNCTION("""COMPUTED_VALUE"""),"NAP0077")</f>
        <v>NAP0077</v>
      </c>
      <c r="D523" s="87" t="str">
        <f>IFERROR(__xludf.DUMMYFUNCTION("""COMPUTED_VALUE"""),"TP- Nắp PET cổ 43 (8g) - Cam")</f>
        <v>TP- Nắp PET cổ 43 (8g) - Cam</v>
      </c>
      <c r="E523" s="87" t="str">
        <f>IFERROR(__xludf.DUMMYFUNCTION("""COMPUTED_VALUE"""),"Oxycin 100WP")</f>
        <v>Oxycin 100WP</v>
      </c>
      <c r="F523" s="87" t="str">
        <f>IFERROR(__xludf.DUMMYFUNCTION("""COMPUTED_VALUE"""),"HH0077")</f>
        <v>HH0077</v>
      </c>
      <c r="G523" s="87" t="str">
        <f>IFERROR(__xludf.DUMMYFUNCTION("""COMPUTED_VALUE"""),"LOT IDA Global - I - 606 - TT - Sạch khuẩn - 25gr - 300")</f>
        <v>LOT IDA Global - I - 606 - TT - Sạch khuẩn - 25gr - 300</v>
      </c>
    </row>
    <row r="524">
      <c r="A524" s="86">
        <f>IFERROR(__xludf.DUMMYFUNCTION("""COMPUTED_VALUE"""),522.0)</f>
        <v>522</v>
      </c>
      <c r="B524" s="87" t="str">
        <f>IFERROR(__xludf.DUMMYFUNCTION("""COMPUTED_VALUE"""),"Chai")</f>
        <v>Chai</v>
      </c>
      <c r="C524" s="87" t="str">
        <f>IFERROR(__xludf.DUMMYFUNCTION("""COMPUTED_VALUE"""),"CHT0097")</f>
        <v>CHT0097</v>
      </c>
      <c r="D524" s="87" t="str">
        <f>IFERROR(__xludf.DUMMYFUNCTION("""COMPUTED_VALUE"""),"TP - Chai HDPE tròn cổ 48 500ml (60g) - Trắng")</f>
        <v>TP - Chai HDPE tròn cổ 48 500ml (60g) - Trắng</v>
      </c>
      <c r="E524" s="87" t="str">
        <f>IFERROR(__xludf.DUMMYFUNCTION("""COMPUTED_VALUE"""),"Pim.Pim 75WP")</f>
        <v>Pim.Pim 75WP</v>
      </c>
      <c r="F524" s="87" t="str">
        <f>IFERROR(__xludf.DUMMYFUNCTION("""COMPUTED_VALUE"""),"HH0097")</f>
        <v>HH0097</v>
      </c>
      <c r="G524" s="87" t="str">
        <f>IFERROR(__xludf.DUMMYFUNCTION("""COMPUTED_VALUE"""),"LOT IDA Global - I - 607 - TT - Sạch đạo ôn - 25gr - 300")</f>
        <v>LOT IDA Global - I - 607 - TT - Sạch đạo ôn - 25gr - 300</v>
      </c>
    </row>
    <row r="525">
      <c r="A525" s="86">
        <f>IFERROR(__xludf.DUMMYFUNCTION("""COMPUTED_VALUE"""),523.0)</f>
        <v>523</v>
      </c>
      <c r="B525" s="87" t="str">
        <f>IFERROR(__xludf.DUMMYFUNCTION("""COMPUTED_VALUE"""),"Nắp")</f>
        <v>Nắp</v>
      </c>
      <c r="C525" s="87" t="str">
        <f>IFERROR(__xludf.DUMMYFUNCTION("""COMPUTED_VALUE"""),"NAP0078")</f>
        <v>NAP0078</v>
      </c>
      <c r="D525" s="87" t="str">
        <f>IFERROR(__xludf.DUMMYFUNCTION("""COMPUTED_VALUE"""),"TP- Nắp HDPE có bèo cổ 48 (12g) - Xanh lá")</f>
        <v>TP- Nắp HDPE có bèo cổ 48 (12g) - Xanh lá</v>
      </c>
      <c r="E525" s="87" t="str">
        <f>IFERROR(__xludf.DUMMYFUNCTION("""COMPUTED_VALUE"""),"Pim.Pim 75WP")</f>
        <v>Pim.Pim 75WP</v>
      </c>
      <c r="F525" s="87" t="str">
        <f>IFERROR(__xludf.DUMMYFUNCTION("""COMPUTED_VALUE"""),"HH0078")</f>
        <v>HH0078</v>
      </c>
      <c r="G525" s="87" t="str">
        <f>IFERROR(__xludf.DUMMYFUNCTION("""COMPUTED_VALUE"""),"LOT IDA Global - I - 608 - TT - Sạch đạo ôn - 35gr - 300")</f>
        <v>LOT IDA Global - I - 608 - TT - Sạch đạo ôn - 35gr - 300</v>
      </c>
    </row>
    <row r="526">
      <c r="A526" s="86">
        <f>IFERROR(__xludf.DUMMYFUNCTION("""COMPUTED_VALUE"""),524.0)</f>
        <v>524</v>
      </c>
      <c r="B526" s="87" t="str">
        <f>IFERROR(__xludf.DUMMYFUNCTION("""COMPUTED_VALUE"""),"Nắp")</f>
        <v>Nắp</v>
      </c>
      <c r="C526" s="87" t="str">
        <f>IFERROR(__xludf.DUMMYFUNCTION("""COMPUTED_VALUE"""),"NAP0079")</f>
        <v>NAP0079</v>
      </c>
      <c r="D526" s="87" t="str">
        <f>IFERROR(__xludf.DUMMYFUNCTION("""COMPUTED_VALUE"""),"TP - Nắp PET cổ 35 (5g) Xanh dương")</f>
        <v>TP - Nắp PET cổ 35 (5g) Xanh dương</v>
      </c>
      <c r="E526" s="87" t="str">
        <f>IFERROR(__xludf.DUMMYFUNCTION("""COMPUTED_VALUE"""),"DREAM 480SL")</f>
        <v>DREAM 480SL</v>
      </c>
      <c r="F526" s="87" t="str">
        <f>IFERROR(__xludf.DUMMYFUNCTION("""COMPUTED_VALUE"""),"HH0079")</f>
        <v>HH0079</v>
      </c>
      <c r="G526" s="87" t="str">
        <f>IFERROR(__xludf.DUMMYFUNCTION("""COMPUTED_VALUE"""),"GC - K - 609 - Thuốc Dream 480SL - 609 - 900ml - 20")</f>
        <v>GC - K - 609 - Thuốc Dream 480SL - 609 - 900ml - 20</v>
      </c>
    </row>
    <row r="527">
      <c r="A527" s="86">
        <f>IFERROR(__xludf.DUMMYFUNCTION("""COMPUTED_VALUE"""),525.0)</f>
        <v>525</v>
      </c>
      <c r="B527" s="87" t="str">
        <f>IFERROR(__xludf.DUMMYFUNCTION("""COMPUTED_VALUE"""),"Chai")</f>
        <v>Chai</v>
      </c>
      <c r="C527" s="87" t="str">
        <f>IFERROR(__xludf.DUMMYFUNCTION("""COMPUTED_VALUE"""),"CET0098")</f>
        <v>CET0098</v>
      </c>
      <c r="D527" s="87" t="str">
        <f>IFERROR(__xludf.DUMMYFUNCTION("""COMPUTED_VALUE"""),"Chai PAPE tròn cổ 43 240,250ml (40gr) Trắng (PHL)")</f>
        <v>Chai PAPE tròn cổ 43 240,250ml (40gr) Trắng (PHL)</v>
      </c>
      <c r="E527" s="87" t="str">
        <f>IFERROR(__xludf.DUMMYFUNCTION("""COMPUTED_VALUE"""),"Mekongvil 5SC")</f>
        <v>Mekongvil 5SC</v>
      </c>
      <c r="F527" s="87" t="str">
        <f>IFERROR(__xludf.DUMMYFUNCTION("""COMPUTED_VALUE"""),"HH0098")</f>
        <v>HH0098</v>
      </c>
      <c r="G527" s="87" t="str">
        <f>IFERROR(__xludf.DUMMYFUNCTION("""COMPUTED_VALUE"""),"GC - II - 611 - AGC NEW- Gvil 5SC (mới) (HD) - 1 Lit - 20 (btp,nl)")</f>
        <v>GC - II - 611 - AGC NEW- Gvil 5SC (mới) (HD) - 1 Lit - 20 (btp,nl)</v>
      </c>
    </row>
    <row r="528">
      <c r="A528" s="86">
        <f>IFERROR(__xludf.DUMMYFUNCTION("""COMPUTED_VALUE"""),526.0)</f>
        <v>526</v>
      </c>
      <c r="B528" s="87" t="str">
        <f>IFERROR(__xludf.DUMMYFUNCTION("""COMPUTED_VALUE"""),"Chai")</f>
        <v>Chai</v>
      </c>
      <c r="C528" s="87" t="str">
        <f>IFERROR(__xludf.DUMMYFUNCTION("""COMPUTED_VALUE"""),"CPT0099")</f>
        <v>CPT0099</v>
      </c>
      <c r="D528" s="87" t="str">
        <f>IFERROR(__xludf.DUMMYFUNCTION("""COMPUTED_VALUE"""),"TP- Chai PET tròn cổ 35 500ml (40g) - Nâu")</f>
        <v>TP- Chai PET tròn cổ 35 500ml (40g) - Nâu</v>
      </c>
      <c r="E528" s="87" t="str">
        <f>IFERROR(__xludf.DUMMYFUNCTION("""COMPUTED_VALUE"""),"Tikabamec 3.6EC")</f>
        <v>Tikabamec 3.6EC</v>
      </c>
      <c r="F528" s="87" t="str">
        <f>IFERROR(__xludf.DUMMYFUNCTION("""COMPUTED_VALUE"""),"HH0099")</f>
        <v>HH0099</v>
      </c>
      <c r="G528" s="87" t="str">
        <f>IFERROR(__xludf.DUMMYFUNCTION("""COMPUTED_VALUE"""),"GC - II - 612 - AGC NEW - Bamec 3.6 (Nước Trong) (Pet tròn) - 450ml - 40")</f>
        <v>GC - II - 612 - AGC NEW - Bamec 3.6 (Nước Trong) (Pet tròn) - 450ml - 40</v>
      </c>
    </row>
    <row r="529">
      <c r="A529" s="86">
        <f>IFERROR(__xludf.DUMMYFUNCTION("""COMPUTED_VALUE"""),527.0)</f>
        <v>527</v>
      </c>
      <c r="B529" s="87" t="str">
        <f>IFERROR(__xludf.DUMMYFUNCTION("""COMPUTED_VALUE"""),"Nắp")</f>
        <v>Nắp</v>
      </c>
      <c r="C529" s="87" t="str">
        <f>IFERROR(__xludf.DUMMYFUNCTION("""COMPUTED_VALUE"""),"NAP0080")</f>
        <v>NAP0080</v>
      </c>
      <c r="D529" s="87" t="str">
        <f>IFERROR(__xludf.DUMMYFUNCTION("""COMPUTED_VALUE"""),"TP - Nắp PET cổ 28 (4gr) - Trắng")</f>
        <v>TP - Nắp PET cổ 28 (4gr) - Trắng</v>
      </c>
      <c r="E529" s="87" t="str">
        <f>IFERROR(__xludf.DUMMYFUNCTION("""COMPUTED_VALUE"""),"Apple 700WP")</f>
        <v>Apple 700WP</v>
      </c>
      <c r="F529" s="87" t="str">
        <f>IFERROR(__xludf.DUMMYFUNCTION("""COMPUTED_VALUE"""),"HH0080")</f>
        <v>HH0080</v>
      </c>
      <c r="G529" s="87" t="str">
        <f>IFERROR(__xludf.DUMMYFUNCTION("""COMPUTED_VALUE"""),"GC - II - 613 - AGC NEW - Ple 700WP - 70 gr - 100")</f>
        <v>GC - II - 613 - AGC NEW - Ple 700WP - 70 gr - 100</v>
      </c>
    </row>
    <row r="530">
      <c r="A530" s="86">
        <f>IFERROR(__xludf.DUMMYFUNCTION("""COMPUTED_VALUE"""),528.0)</f>
        <v>528</v>
      </c>
      <c r="B530" s="87" t="str">
        <f>IFERROR(__xludf.DUMMYFUNCTION("""COMPUTED_VALUE"""),"Chai")</f>
        <v>Chai</v>
      </c>
      <c r="C530" s="87" t="str">
        <f>IFERROR(__xludf.DUMMYFUNCTION("""COMPUTED_VALUE"""),"CPV0100")</f>
        <v>CPV0100</v>
      </c>
      <c r="D530" s="87" t="str">
        <f>IFERROR(__xludf.DUMMYFUNCTION("""COMPUTED_VALUE"""),"TP- Chai PET vuông cổ 35 500ml (60gr)  - Trong (A)")</f>
        <v>TP- Chai PET vuông cổ 35 500ml (60gr)  - Trong (A)</v>
      </c>
      <c r="E530" s="87" t="str">
        <f>IFERROR(__xludf.DUMMYFUNCTION("""COMPUTED_VALUE"""),"CHAYRUI 150SL")</f>
        <v>CHAYRUI 150SL</v>
      </c>
      <c r="F530" s="87" t="str">
        <f>IFERROR(__xludf.DUMMYFUNCTION("""COMPUTED_VALUE"""),"HH0100")</f>
        <v>HH0100</v>
      </c>
      <c r="G530" s="87" t="str">
        <f>IFERROR(__xludf.DUMMYFUNCTION("""COMPUTED_VALUE"""),"GC - II - AGC - 614 - Cháy cỏ khai hoang (PET vuông) - 900ml - 20")</f>
        <v>GC - II - AGC - 614 - Cháy cỏ khai hoang (PET vuông) - 900ml - 20</v>
      </c>
    </row>
    <row r="531">
      <c r="A531" s="86">
        <f>IFERROR(__xludf.DUMMYFUNCTION("""COMPUTED_VALUE"""),529.0)</f>
        <v>529</v>
      </c>
      <c r="B531" s="87" t="str">
        <f>IFERROR(__xludf.DUMMYFUNCTION("""COMPUTED_VALUE"""),"Nắp")</f>
        <v>Nắp</v>
      </c>
      <c r="C531" s="87" t="str">
        <f>IFERROR(__xludf.DUMMYFUNCTION("""COMPUTED_VALUE"""),"NAP0081")</f>
        <v>NAP0081</v>
      </c>
      <c r="D531" s="87" t="str">
        <f>IFERROR(__xludf.DUMMYFUNCTION("""COMPUTED_VALUE"""),"TP - Nắp PET cổ 35 (5g) - Xanh lá đậm")</f>
        <v>TP - Nắp PET cổ 35 (5g) - Xanh lá đậm</v>
      </c>
      <c r="E531" s="87" t="str">
        <f>IFERROR(__xludf.DUMMYFUNCTION("""COMPUTED_VALUE"""),"CHIM ƯNG 3.8EC")</f>
        <v>CHIM ƯNG 3.8EC</v>
      </c>
      <c r="F531" s="87" t="str">
        <f>IFERROR(__xludf.DUMMYFUNCTION("""COMPUTED_VALUE"""),"HH0081")</f>
        <v>HH0081</v>
      </c>
      <c r="G531" s="87" t="str">
        <f>IFERROR(__xludf.DUMMYFUNCTION("""COMPUTED_VALUE"""),"GC - II - 615 - AGC NEW - Mite - Killer (chai nhôm đỏ) - 240ml - 40")</f>
        <v>GC - II - 615 - AGC NEW - Mite - Killer (chai nhôm đỏ) - 240ml - 40</v>
      </c>
    </row>
    <row r="532">
      <c r="A532" s="86">
        <f>IFERROR(__xludf.DUMMYFUNCTION("""COMPUTED_VALUE"""),530.0)</f>
        <v>530</v>
      </c>
      <c r="B532" s="87" t="str">
        <f>IFERROR(__xludf.DUMMYFUNCTION("""COMPUTED_VALUE"""),"Chai")</f>
        <v>Chai</v>
      </c>
      <c r="C532" s="87" t="str">
        <f>IFERROR(__xludf.DUMMYFUNCTION("""COMPUTED_VALUE"""),"CHT0101")</f>
        <v>CHT0101</v>
      </c>
      <c r="D532" s="87" t="str">
        <f>IFERROR(__xludf.DUMMYFUNCTION("""COMPUTED_VALUE"""),"HNS - Chai HDPE tròn cổ 48 (35gr) trắng - Nắp Xanh Tím (9gr)")</f>
        <v>HNS - Chai HDPE tròn cổ 48 (35gr) trắng - Nắp Xanh Tím (9gr)</v>
      </c>
      <c r="E532" s="87" t="str">
        <f>IFERROR(__xludf.DUMMYFUNCTION("""COMPUTED_VALUE"""),"CHIM ƯNG 3.8EC")</f>
        <v>CHIM ƯNG 3.8EC</v>
      </c>
      <c r="F532" s="87" t="str">
        <f>IFERROR(__xludf.DUMMYFUNCTION("""COMPUTED_VALUE"""),"HH0101")</f>
        <v>HH0101</v>
      </c>
      <c r="G532" s="87" t="str">
        <f>IFERROR(__xludf.DUMMYFUNCTION("""COMPUTED_VALUE"""),"GC - II - 618 - AGC NEW - Leafroll (chai nhôm đỏ) - 240ml - 40")</f>
        <v>GC - II - 618 - AGC NEW - Leafroll (chai nhôm đỏ) - 240ml - 40</v>
      </c>
    </row>
    <row r="533">
      <c r="A533" s="86">
        <f>IFERROR(__xludf.DUMMYFUNCTION("""COMPUTED_VALUE"""),531.0)</f>
        <v>531</v>
      </c>
      <c r="B533" s="87" t="str">
        <f>IFERROR(__xludf.DUMMYFUNCTION("""COMPUTED_VALUE"""),"Chai")</f>
        <v>Chai</v>
      </c>
      <c r="C533" s="87" t="str">
        <f>IFERROR(__xludf.DUMMYFUNCTION("""COMPUTED_VALUE"""),"CHT0102")</f>
        <v>CHT0102</v>
      </c>
      <c r="D533" s="87" t="str">
        <f>IFERROR(__xludf.DUMMYFUNCTION("""COMPUTED_VALUE"""),"Chai HDPE tròn cổ 50 500ml (60gr) - Vàng - HG08")</f>
        <v>Chai HDPE tròn cổ 50 500ml (60gr) - Vàng - HG08</v>
      </c>
      <c r="E533" s="87" t="str">
        <f>IFERROR(__xludf.DUMMYFUNCTION("""COMPUTED_VALUE"""),"Oxycin 100WP")</f>
        <v>Oxycin 100WP</v>
      </c>
      <c r="F533" s="87" t="str">
        <f>IFERROR(__xludf.DUMMYFUNCTION("""COMPUTED_VALUE"""),"HH0102")</f>
        <v>HH0102</v>
      </c>
      <c r="G533" s="87" t="str">
        <f>IFERROR(__xludf.DUMMYFUNCTION("""COMPUTED_VALUE"""),"IDA Global - I - 621 - Vi Khuẩn Thái (Drone) - 100gr - 100")</f>
        <v>IDA Global - I - 621 - Vi Khuẩn Thái (Drone) - 100gr - 100</v>
      </c>
    </row>
    <row r="534">
      <c r="A534" s="86">
        <f>IFERROR(__xludf.DUMMYFUNCTION("""COMPUTED_VALUE"""),532.0)</f>
        <v>532</v>
      </c>
      <c r="B534" s="87" t="str">
        <f>IFERROR(__xludf.DUMMYFUNCTION("""COMPUTED_VALUE"""),"Nắp")</f>
        <v>Nắp</v>
      </c>
      <c r="C534" s="87" t="str">
        <f>IFERROR(__xludf.DUMMYFUNCTION("""COMPUTED_VALUE"""),"NAP0082")</f>
        <v>NAP0082</v>
      </c>
      <c r="D534" s="87" t="str">
        <f>IFERROR(__xludf.DUMMYFUNCTION("""COMPUTED_VALUE"""),"Nắp HD cổ 50 (10.5gr) - Vàng - HG08")</f>
        <v>Nắp HD cổ 50 (10.5gr) - Vàng - HG08</v>
      </c>
      <c r="E534" s="87" t="str">
        <f>IFERROR(__xludf.DUMMYFUNCTION("""COMPUTED_VALUE"""),"TOPZOLE 800WG")</f>
        <v>TOPZOLE 800WG</v>
      </c>
      <c r="F534" s="87" t="str">
        <f>IFERROR(__xludf.DUMMYFUNCTION("""COMPUTED_VALUE"""),"HH0082")</f>
        <v>HH0082</v>
      </c>
      <c r="G534" s="87" t="str">
        <f>IFERROR(__xludf.DUMMYFUNCTION("""COMPUTED_VALUE"""),"GC - II - 622 - MK Group - Siêu Trừ Đạo Ôn Vi Khuẩn - 15.6 gr - 300")</f>
        <v>GC - II - 622 - MK Group - Siêu Trừ Đạo Ôn Vi Khuẩn - 15.6 gr - 300</v>
      </c>
    </row>
    <row r="535">
      <c r="A535" s="86">
        <f>IFERROR(__xludf.DUMMYFUNCTION("""COMPUTED_VALUE"""),533.0)</f>
        <v>533</v>
      </c>
      <c r="B535" s="87" t="str">
        <f>IFERROR(__xludf.DUMMYFUNCTION("""COMPUTED_VALUE"""),"Can")</f>
        <v>Can</v>
      </c>
      <c r="C535" s="87" t="str">
        <f>IFERROR(__xludf.DUMMYFUNCTION("""COMPUTED_VALUE"""),"CAN0007")</f>
        <v>CAN0007</v>
      </c>
      <c r="D535" s="87" t="str">
        <f>IFERROR(__xludf.DUMMYFUNCTION("""COMPUTED_VALUE"""),"Can HDPE 5L vuông vàng, 4 chấm chống trượt (450gr) - Nắp đen (13gr)")</f>
        <v>Can HDPE 5L vuông vàng, 4 chấm chống trượt (450gr) - Nắp đen (13gr)</v>
      </c>
      <c r="E535" s="87" t="str">
        <f>IFERROR(__xludf.DUMMYFUNCTION("""COMPUTED_VALUE"""),"TOPZOLE 800WG")</f>
        <v>TOPZOLE 800WG</v>
      </c>
      <c r="F535" s="87" t="str">
        <f>IFERROR(__xludf.DUMMYFUNCTION("""COMPUTED_VALUE"""),"HH0007")</f>
        <v>HH0007</v>
      </c>
      <c r="G535" s="87" t="str">
        <f>IFERROR(__xludf.DUMMYFUNCTION("""COMPUTED_VALUE"""),"GC - II - 622 - MK Group - Siêu Trừ Đạo Ôn Vi Khuẩn - 15.6 gr - 300")</f>
        <v>GC - II - 622 - MK Group - Siêu Trừ Đạo Ôn Vi Khuẩn - 15.6 gr - 300</v>
      </c>
    </row>
    <row r="536">
      <c r="A536" s="86">
        <f>IFERROR(__xludf.DUMMYFUNCTION("""COMPUTED_VALUE"""),534.0)</f>
        <v>534</v>
      </c>
      <c r="B536" s="87" t="str">
        <f>IFERROR(__xludf.DUMMYFUNCTION("""COMPUTED_VALUE"""),"Chai")</f>
        <v>Chai</v>
      </c>
      <c r="C536" s="87" t="str">
        <f>IFERROR(__xludf.DUMMYFUNCTION("""COMPUTED_VALUE"""),"CPV0103")</f>
        <v>CPV0103</v>
      </c>
      <c r="D536" s="87" t="str">
        <f>IFERROR(__xludf.DUMMYFUNCTION("""COMPUTED_VALUE"""),"TP- Chai PET vuông cổ 28 250ml (40gr)  - Trắng sữa nhãn dài")</f>
        <v>TP- Chai PET vuông cổ 28 250ml (40gr)  - Trắng sữa nhãn dài</v>
      </c>
      <c r="E536" s="87" t="str">
        <f>IFERROR(__xludf.DUMMYFUNCTION("""COMPUTED_VALUE"""),"THALONIL 75WP")</f>
        <v>THALONIL 75WP</v>
      </c>
      <c r="F536" s="87" t="str">
        <f>IFERROR(__xludf.DUMMYFUNCTION("""COMPUTED_VALUE"""),"HH0103")</f>
        <v>HH0103</v>
      </c>
      <c r="G536" s="87" t="str">
        <f>IFERROR(__xludf.DUMMYFUNCTION("""COMPUTED_VALUE"""),"GC - II - 624 - MK Group - Siêu Trừ Nấm (flexo) - 250gr - 60")</f>
        <v>GC - II - 624 - MK Group - Siêu Trừ Nấm (flexo) - 250gr - 60</v>
      </c>
    </row>
    <row r="537">
      <c r="A537" s="86">
        <f>IFERROR(__xludf.DUMMYFUNCTION("""COMPUTED_VALUE"""),535.0)</f>
        <v>535</v>
      </c>
      <c r="B537" s="87" t="str">
        <f>IFERROR(__xludf.DUMMYFUNCTION("""COMPUTED_VALUE"""),"Chai")</f>
        <v>Chai</v>
      </c>
      <c r="C537" s="87" t="str">
        <f>IFERROR(__xludf.DUMMYFUNCTION("""COMPUTED_VALUE"""),"CHT0104")</f>
        <v>CHT0104</v>
      </c>
      <c r="D537" s="87" t="str">
        <f>IFERROR(__xludf.DUMMYFUNCTION("""COMPUTED_VALUE"""),"TP - Chai HDPE tròn HM cổ 47  500ml ( 60g) - Trắng")</f>
        <v>TP - Chai HDPE tròn HM cổ 47  500ml ( 60g) - Trắng</v>
      </c>
      <c r="E537" s="87" t="str">
        <f>IFERROR(__xludf.DUMMYFUNCTION("""COMPUTED_VALUE"""),"Vi lượng AV-CFC Plus")</f>
        <v>Vi lượng AV-CFC Plus</v>
      </c>
      <c r="F537" s="87" t="str">
        <f>IFERROR(__xludf.DUMMYFUNCTION("""COMPUTED_VALUE"""),"HH0104")</f>
        <v>HH0104</v>
      </c>
      <c r="G537" s="87" t="str">
        <f>IFERROR(__xludf.DUMMYFUNCTION("""COMPUTED_VALUE"""),"GC - I - 626 - AU - Organic IQ - 50ml - 200")</f>
        <v>GC - I - 626 - AU - Organic IQ - 50ml - 200</v>
      </c>
    </row>
    <row r="538">
      <c r="A538" s="86">
        <f>IFERROR(__xludf.DUMMYFUNCTION("""COMPUTED_VALUE"""),536.0)</f>
        <v>536</v>
      </c>
      <c r="B538" s="87" t="str">
        <f>IFERROR(__xludf.DUMMYFUNCTION("""COMPUTED_VALUE"""),"Nắp")</f>
        <v>Nắp</v>
      </c>
      <c r="C538" s="87" t="str">
        <f>IFERROR(__xludf.DUMMYFUNCTION("""COMPUTED_VALUE"""),"NAP0084")</f>
        <v>NAP0084</v>
      </c>
      <c r="D538" s="87" t="str">
        <f>IFERROR(__xludf.DUMMYFUNCTION("""COMPUTED_VALUE"""),"TP - Nắp chai HDPE tròn HM cổ 47 (12g) - Trắng")</f>
        <v>TP - Nắp chai HDPE tròn HM cổ 47 (12g) - Trắng</v>
      </c>
      <c r="E538" s="87" t="str">
        <f>IFERROR(__xludf.DUMMYFUNCTION("""COMPUTED_VALUE"""),"COCHAY 200SL")</f>
        <v>COCHAY 200SL</v>
      </c>
      <c r="F538" s="87" t="str">
        <f>IFERROR(__xludf.DUMMYFUNCTION("""COMPUTED_VALUE"""),"HH0084")</f>
        <v>HH0084</v>
      </c>
      <c r="G538" s="87" t="str">
        <f>IFERROR(__xludf.DUMMYFUNCTION("""COMPUTED_VALUE"""),"GC - II - K - 627 - HC- Cochay 200SL (chai PET vuông) - 900ml- 20")</f>
        <v>GC - II - K - 627 - HC- Cochay 200SL (chai PET vuông) - 900ml- 20</v>
      </c>
    </row>
    <row r="539">
      <c r="A539" s="86">
        <f>IFERROR(__xludf.DUMMYFUNCTION("""COMPUTED_VALUE"""),537.0)</f>
        <v>537</v>
      </c>
      <c r="B539" s="87" t="str">
        <f>IFERROR(__xludf.DUMMYFUNCTION("""COMPUTED_VALUE"""),"Chai")</f>
        <v>Chai</v>
      </c>
      <c r="C539" s="87" t="str">
        <f>IFERROR(__xludf.DUMMYFUNCTION("""COMPUTED_VALUE"""),"CPT0105")</f>
        <v>CPT0105</v>
      </c>
      <c r="D539" s="87" t="str">
        <f>IFERROR(__xludf.DUMMYFUNCTION("""COMPUTED_VALUE"""),"TP - Chai PET tròn cổ 43 500ml (65g) - Trong")</f>
        <v>TP - Chai PET tròn cổ 43 500ml (65g) - Trong</v>
      </c>
      <c r="E539" s="87" t="str">
        <f>IFERROR(__xludf.DUMMYFUNCTION("""COMPUTED_VALUE"""),"TVZEB 800WP")</f>
        <v>TVZEB 800WP</v>
      </c>
      <c r="F539" s="87" t="str">
        <f>IFERROR(__xludf.DUMMYFUNCTION("""COMPUTED_VALUE"""),"HH0105")</f>
        <v>HH0105</v>
      </c>
      <c r="G539" s="87" t="str">
        <f>IFERROR(__xludf.DUMMYFUNCTION("""COMPUTED_VALUE"""),"LOT IDA Global - I - 628 - VTNN HN - Mancozeb xanh - 1 kg - 20")</f>
        <v>LOT IDA Global - I - 628 - VTNN HN - Mancozeb xanh - 1 kg - 20</v>
      </c>
    </row>
    <row r="540">
      <c r="A540" s="86">
        <f>IFERROR(__xludf.DUMMYFUNCTION("""COMPUTED_VALUE"""),538.0)</f>
        <v>538</v>
      </c>
      <c r="B540" s="87" t="str">
        <f>IFERROR(__xludf.DUMMYFUNCTION("""COMPUTED_VALUE"""),"Nắp")</f>
        <v>Nắp</v>
      </c>
      <c r="C540" s="87" t="str">
        <f>IFERROR(__xludf.DUMMYFUNCTION("""COMPUTED_VALUE"""),"NAP0085")</f>
        <v>NAP0085</v>
      </c>
      <c r="D540" s="87" t="str">
        <f>IFERROR(__xludf.DUMMYFUNCTION("""COMPUTED_VALUE"""),"TP - Nắp PET cổ 43 500ml (15g) - Đen")</f>
        <v>TP - Nắp PET cổ 43 500ml (15g) - Đen</v>
      </c>
      <c r="E540" s="87" t="str">
        <f>IFERROR(__xludf.DUMMYFUNCTION("""COMPUTED_VALUE"""),"TVZEB 800WP")</f>
        <v>TVZEB 800WP</v>
      </c>
      <c r="F540" s="87" t="str">
        <f>IFERROR(__xludf.DUMMYFUNCTION("""COMPUTED_VALUE"""),"HH0085")</f>
        <v>HH0085</v>
      </c>
      <c r="G540" s="87" t="str">
        <f>IFERROR(__xludf.DUMMYFUNCTION("""COMPUTED_VALUE"""),"LOT IDA Global - I - 628 - VTNN HN - Mancozeb xanh - 1 kg - 20")</f>
        <v>LOT IDA Global - I - 628 - VTNN HN - Mancozeb xanh - 1 kg - 20</v>
      </c>
    </row>
    <row r="541">
      <c r="A541" s="86">
        <f>IFERROR(__xludf.DUMMYFUNCTION("""COMPUTED_VALUE"""),539.0)</f>
        <v>539</v>
      </c>
      <c r="B541" s="87" t="str">
        <f>IFERROR(__xludf.DUMMYFUNCTION("""COMPUTED_VALUE"""),"Nắp")</f>
        <v>Nắp</v>
      </c>
      <c r="C541" s="87" t="str">
        <f>IFERROR(__xludf.DUMMYFUNCTION("""COMPUTED_VALUE"""),"NAP0086")</f>
        <v>NAP0086</v>
      </c>
      <c r="D541" s="87" t="str">
        <f>IFERROR(__xludf.DUMMYFUNCTION("""COMPUTED_VALUE"""),"TP - Nắp PET cổ 28 - Xanh lá")</f>
        <v>TP - Nắp PET cổ 28 - Xanh lá</v>
      </c>
      <c r="E541" s="87" t="str">
        <f>IFERROR(__xludf.DUMMYFUNCTION("""COMPUTED_VALUE"""),"CHIM ƯNG 3.8EC")</f>
        <v>CHIM ƯNG 3.8EC</v>
      </c>
      <c r="F541" s="87" t="str">
        <f>IFERROR(__xludf.DUMMYFUNCTION("""COMPUTED_VALUE"""),"HH0086")</f>
        <v>HH0086</v>
      </c>
      <c r="G541" s="87" t="str">
        <f>IFERROR(__xludf.DUMMYFUNCTION("""COMPUTED_VALUE"""),"GC - II - 629 - AGC - Redmite (Chim Ưng) (chai nhôm đỏ) - 240ml - 40")</f>
        <v>GC - II - 629 - AGC - Redmite (Chim Ưng) (chai nhôm đỏ) - 240ml - 40</v>
      </c>
    </row>
    <row r="542">
      <c r="A542" s="86">
        <f>IFERROR(__xludf.DUMMYFUNCTION("""COMPUTED_VALUE"""),540.0)</f>
        <v>540</v>
      </c>
      <c r="B542" s="87" t="str">
        <f>IFERROR(__xludf.DUMMYFUNCTION("""COMPUTED_VALUE"""),"Chai")</f>
        <v>Chai</v>
      </c>
      <c r="C542" s="87" t="str">
        <f>IFERROR(__xludf.DUMMYFUNCTION("""COMPUTED_VALUE"""),"CPV0106")</f>
        <v>CPV0106</v>
      </c>
      <c r="D542" s="87" t="str">
        <f>IFERROR(__xludf.DUMMYFUNCTION("""COMPUTED_VALUE"""),"TP - Chai PET Vuông cổ 28 100ml (21gr) trắng")</f>
        <v>TP - Chai PET Vuông cổ 28 100ml (21gr) trắng</v>
      </c>
      <c r="E542" s="87" t="str">
        <f>IFERROR(__xludf.DUMMYFUNCTION("""COMPUTED_VALUE"""),"Remy 19EC")</f>
        <v>Remy 19EC</v>
      </c>
      <c r="F542" s="87" t="str">
        <f>IFERROR(__xludf.DUMMYFUNCTION("""COMPUTED_VALUE"""),"HH0106")</f>
        <v>HH0106</v>
      </c>
      <c r="G542" s="87" t="str">
        <f>IFERROR(__xludf.DUMMYFUNCTION("""COMPUTED_VALUE"""),"GC - II - 630 - KAFF - Remy 19EC - 500ml - 40")</f>
        <v>GC - II - 630 - KAFF - Remy 19EC - 500ml - 40</v>
      </c>
    </row>
    <row r="543">
      <c r="A543" s="86">
        <f>IFERROR(__xludf.DUMMYFUNCTION("""COMPUTED_VALUE"""),541.0)</f>
        <v>541</v>
      </c>
      <c r="B543" s="87" t="str">
        <f>IFERROR(__xludf.DUMMYFUNCTION("""COMPUTED_VALUE"""),"Nắp")</f>
        <v>Nắp</v>
      </c>
      <c r="C543" s="87" t="str">
        <f>IFERROR(__xludf.DUMMYFUNCTION("""COMPUTED_VALUE"""),"NAP0087")</f>
        <v>NAP0087</v>
      </c>
      <c r="D543" s="87" t="str">
        <f>IFERROR(__xludf.DUMMYFUNCTION("""COMPUTED_VALUE"""),"TP - Nắp PET vuông cổ 28 (3gr) vàng")</f>
        <v>TP - Nắp PET vuông cổ 28 (3gr) vàng</v>
      </c>
      <c r="E543" s="87" t="str">
        <f>IFERROR(__xludf.DUMMYFUNCTION("""COMPUTED_VALUE"""),"Centertaner 500WP")</f>
        <v>Centertaner 500WP</v>
      </c>
      <c r="F543" s="87" t="str">
        <f>IFERROR(__xludf.DUMMYFUNCTION("""COMPUTED_VALUE"""),"HH0087")</f>
        <v>HH0087</v>
      </c>
      <c r="G543" s="87" t="str">
        <f>IFERROR(__xludf.DUMMYFUNCTION("""COMPUTED_VALUE"""),"GC - II - 631 - MK Group - Siêu Diệt Khuẩn - 10.5 gr - 500")</f>
        <v>GC - II - 631 - MK Group - Siêu Diệt Khuẩn - 10.5 gr - 500</v>
      </c>
    </row>
    <row r="544">
      <c r="A544" s="86">
        <f>IFERROR(__xludf.DUMMYFUNCTION("""COMPUTED_VALUE"""),542.0)</f>
        <v>542</v>
      </c>
      <c r="B544" s="87" t="str">
        <f>IFERROR(__xludf.DUMMYFUNCTION("""COMPUTED_VALUE"""),"Can")</f>
        <v>Can</v>
      </c>
      <c r="C544" s="87" t="str">
        <f>IFERROR(__xludf.DUMMYFUNCTION("""COMPUTED_VALUE"""),"CAN0008")</f>
        <v>CAN0008</v>
      </c>
      <c r="D544" s="87" t="str">
        <f>IFERROR(__xludf.DUMMYFUNCTION("""COMPUTED_VALUE"""),"Can HDPE 25L vuông xanh dương, 4 chấm chống trượt (28.5x24x47.5)  - Nắp đỏ")</f>
        <v>Can HDPE 25L vuông xanh dương, 4 chấm chống trượt (28.5x24x47.5)  - Nắp đỏ</v>
      </c>
      <c r="E544" s="87" t="str">
        <f>IFERROR(__xludf.DUMMYFUNCTION("""COMPUTED_VALUE"""),"RAYXANH 200WP")</f>
        <v>RAYXANH 200WP</v>
      </c>
      <c r="F544" s="87" t="str">
        <f>IFERROR(__xludf.DUMMYFUNCTION("""COMPUTED_VALUE"""),"HH0008")</f>
        <v>HH0008</v>
      </c>
      <c r="G544" s="87" t="str">
        <f>IFERROR(__xludf.DUMMYFUNCTION("""COMPUTED_VALUE"""),"GC - II - 632 - MK Group - Ray xanh - 80gr - 150")</f>
        <v>GC - II - 632 - MK Group - Ray xanh - 80gr - 150</v>
      </c>
    </row>
    <row r="545">
      <c r="A545" s="86">
        <f>IFERROR(__xludf.DUMMYFUNCTION("""COMPUTED_VALUE"""),543.0)</f>
        <v>543</v>
      </c>
      <c r="B545" s="87" t="str">
        <f>IFERROR(__xludf.DUMMYFUNCTION("""COMPUTED_VALUE"""),"Can")</f>
        <v>Can</v>
      </c>
      <c r="C545" s="87" t="str">
        <f>IFERROR(__xludf.DUMMYFUNCTION("""COMPUTED_VALUE"""),"CAN0009")</f>
        <v>CAN0009</v>
      </c>
      <c r="D545" s="87" t="str">
        <f>IFERROR(__xludf.DUMMYFUNCTION("""COMPUTED_VALUE"""),"Can HDPE 30L vuông trắng sữa, nắp đỏ (38x20x48)")</f>
        <v>Can HDPE 30L vuông trắng sữa, nắp đỏ (38x20x48)</v>
      </c>
      <c r="E545" s="87" t="str">
        <f>IFERROR(__xludf.DUMMYFUNCTION("""COMPUTED_VALUE"""),"THALONIL 75WP")</f>
        <v>THALONIL 75WP</v>
      </c>
      <c r="F545" s="87" t="str">
        <f>IFERROR(__xludf.DUMMYFUNCTION("""COMPUTED_VALUE"""),"HH0009")</f>
        <v>HH0009</v>
      </c>
      <c r="G545" s="87" t="str">
        <f>IFERROR(__xludf.DUMMYFUNCTION("""COMPUTED_VALUE"""),"GC - II - 633 - AGC NEW - Alonil 75WP (flexo) - 250gr - 60")</f>
        <v>GC - II - 633 - AGC NEW - Alonil 75WP (flexo) - 250gr - 60</v>
      </c>
    </row>
    <row r="546">
      <c r="A546" s="86">
        <f>IFERROR(__xludf.DUMMYFUNCTION("""COMPUTED_VALUE"""),544.0)</f>
        <v>544</v>
      </c>
      <c r="B546" s="87" t="str">
        <f>IFERROR(__xludf.DUMMYFUNCTION("""COMPUTED_VALUE"""),"Can")</f>
        <v>Can</v>
      </c>
      <c r="C546" s="87" t="str">
        <f>IFERROR(__xludf.DUMMYFUNCTION("""COMPUTED_VALUE"""),"CAN0010")</f>
        <v>CAN0010</v>
      </c>
      <c r="D546" s="87" t="str">
        <f>IFERROR(__xludf.DUMMYFUNCTION("""COMPUTED_VALUE"""),"Can HDPE 20L vuông xanh dương, 4 chấm chống trượt (1.2kg) - Nắp trắng (27gr)")</f>
        <v>Can HDPE 20L vuông xanh dương, 4 chấm chống trượt (1.2kg) - Nắp trắng (27gr)</v>
      </c>
      <c r="E546" s="87" t="str">
        <f>IFERROR(__xludf.DUMMYFUNCTION("""COMPUTED_VALUE"""),"TOPZOLE 800WG")</f>
        <v>TOPZOLE 800WG</v>
      </c>
      <c r="F546" s="87" t="str">
        <f>IFERROR(__xludf.DUMMYFUNCTION("""COMPUTED_VALUE"""),"HH0010")</f>
        <v>HH0010</v>
      </c>
      <c r="G546" s="87" t="str">
        <f>IFERROR(__xludf.DUMMYFUNCTION("""COMPUTED_VALUE"""),"GC - II - 634 - AGC NEW- Pzole 800 WG - 18 gr - 300")</f>
        <v>GC - II - 634 - AGC NEW- Pzole 800 WG - 18 gr - 300</v>
      </c>
    </row>
    <row r="547">
      <c r="A547" s="86">
        <f>IFERROR(__xludf.DUMMYFUNCTION("""COMPUTED_VALUE"""),545.0)</f>
        <v>545</v>
      </c>
      <c r="B547" s="87" t="str">
        <f>IFERROR(__xludf.DUMMYFUNCTION("""COMPUTED_VALUE"""),"Can")</f>
        <v>Can</v>
      </c>
      <c r="C547" s="87" t="str">
        <f>IFERROR(__xludf.DUMMYFUNCTION("""COMPUTED_VALUE"""),"CAN0011")</f>
        <v>CAN0011</v>
      </c>
      <c r="D547" s="87" t="str">
        <f>IFERROR(__xludf.DUMMYFUNCTION("""COMPUTED_VALUE"""),"Can HDPE 10L vuông trắng sữa, nắp đỏ (95x85x133)")</f>
        <v>Can HDPE 10L vuông trắng sữa, nắp đỏ (95x85x133)</v>
      </c>
      <c r="E547" s="87" t="str">
        <f>IFERROR(__xludf.DUMMYFUNCTION("""COMPUTED_VALUE"""),"TOPZOLE 800WG")</f>
        <v>TOPZOLE 800WG</v>
      </c>
      <c r="F547" s="87" t="str">
        <f>IFERROR(__xludf.DUMMYFUNCTION("""COMPUTED_VALUE"""),"HH0011")</f>
        <v>HH0011</v>
      </c>
      <c r="G547" s="87" t="str">
        <f>IFERROR(__xludf.DUMMYFUNCTION("""COMPUTED_VALUE"""),"GC - II - 634 - AGC NEW- Pzole 800 WG - 18 gr - 300")</f>
        <v>GC - II - 634 - AGC NEW- Pzole 800 WG - 18 gr - 300</v>
      </c>
    </row>
    <row r="548">
      <c r="A548" s="86">
        <f>IFERROR(__xludf.DUMMYFUNCTION("""COMPUTED_VALUE"""),546.0)</f>
        <v>546</v>
      </c>
      <c r="B548" s="87" t="str">
        <f>IFERROR(__xludf.DUMMYFUNCTION("""COMPUTED_VALUE"""),"Chai")</f>
        <v>Chai</v>
      </c>
      <c r="C548" s="87" t="str">
        <f>IFERROR(__xludf.DUMMYFUNCTION("""COMPUTED_VALUE"""),"CHT0105")</f>
        <v>CHT0105</v>
      </c>
      <c r="D548" s="87" t="str">
        <f>IFERROR(__xludf.DUMMYFUNCTION("""COMPUTED_VALUE"""),"TP - Chai HDPE tròn cổ 36 250ml (44g) - Vàng")</f>
        <v>TP - Chai HDPE tròn cổ 36 250ml (44g) - Vàng</v>
      </c>
      <c r="E548" s="87" t="str">
        <f>IFERROR(__xludf.DUMMYFUNCTION("""COMPUTED_VALUE"""),"TOPNATI 281EW")</f>
        <v>TOPNATI 281EW</v>
      </c>
      <c r="F548" s="87" t="str">
        <f>IFERROR(__xludf.DUMMYFUNCTION("""COMPUTED_VALUE"""),"HH0105")</f>
        <v>HH0105</v>
      </c>
      <c r="G548" s="87" t="str">
        <f>IFERROR(__xludf.DUMMYFUNCTION("""COMPUTED_VALUE"""),"GC - II - 635 - AGC NEW- Nati 281EW (chai PET tròn)- 240ml - 40")</f>
        <v>GC - II - 635 - AGC NEW- Nati 281EW (chai PET tròn)- 240ml - 40</v>
      </c>
    </row>
    <row r="549">
      <c r="A549" s="86">
        <f>IFERROR(__xludf.DUMMYFUNCTION("""COMPUTED_VALUE"""),547.0)</f>
        <v>547</v>
      </c>
      <c r="B549" s="87" t="str">
        <f>IFERROR(__xludf.DUMMYFUNCTION("""COMPUTED_VALUE"""),"Nắp")</f>
        <v>Nắp</v>
      </c>
      <c r="C549" s="87" t="str">
        <f>IFERROR(__xludf.DUMMYFUNCTION("""COMPUTED_VALUE"""),"NAP0088")</f>
        <v>NAP0088</v>
      </c>
      <c r="D549" s="87" t="str">
        <f>IFERROR(__xludf.DUMMYFUNCTION("""COMPUTED_VALUE"""),"TP - Nắp HDPE cổ 36 (7g) - Vàng")</f>
        <v>TP - Nắp HDPE cổ 36 (7g) - Vàng</v>
      </c>
      <c r="E549" s="87" t="str">
        <f>IFERROR(__xludf.DUMMYFUNCTION("""COMPUTED_VALUE"""),"RAYXANH 200WP")</f>
        <v>RAYXANH 200WP</v>
      </c>
      <c r="F549" s="87" t="str">
        <f>IFERROR(__xludf.DUMMYFUNCTION("""COMPUTED_VALUE"""),"HH0088")</f>
        <v>HH0088</v>
      </c>
      <c r="G549" s="87" t="str">
        <f>IFERROR(__xludf.DUMMYFUNCTION("""COMPUTED_VALUE"""),"GC - II - 636 - AGC NEW - Ray xanh - 80gr - 150")</f>
        <v>GC - II - 636 - AGC NEW - Ray xanh - 80gr - 150</v>
      </c>
    </row>
    <row r="550">
      <c r="A550" s="86">
        <f>IFERROR(__xludf.DUMMYFUNCTION("""COMPUTED_VALUE"""),548.0)</f>
        <v>548</v>
      </c>
      <c r="B550" s="87" t="str">
        <f>IFERROR(__xludf.DUMMYFUNCTION("""COMPUTED_VALUE"""),"Chai")</f>
        <v>Chai</v>
      </c>
      <c r="C550" s="87" t="str">
        <f>IFERROR(__xludf.DUMMYFUNCTION("""COMPUTED_VALUE"""),"CPT0107")</f>
        <v>CPT0107</v>
      </c>
      <c r="D550" s="87" t="str">
        <f>IFERROR(__xludf.DUMMYFUNCTION("""COMPUTED_VALUE"""),"TP - Chai PET tròn cổ 43 500ml (44g) Xanh lá")</f>
        <v>TP - Chai PET tròn cổ 43 500ml (44g) Xanh lá</v>
      </c>
      <c r="E550" s="87" t="str">
        <f>IFERROR(__xludf.DUMMYFUNCTION("""COMPUTED_VALUE"""),"COCHAY 200SL")</f>
        <v>COCHAY 200SL</v>
      </c>
      <c r="F550" s="87" t="str">
        <f>IFERROR(__xludf.DUMMYFUNCTION("""COMPUTED_VALUE"""),"HH0107")</f>
        <v>HH0107</v>
      </c>
      <c r="G550" s="87" t="str">
        <f>IFERROR(__xludf.DUMMYFUNCTION("""COMPUTED_VALUE"""),"GC - II - K - 637 - AGC NEW - Cochay N0.3 (chai vuông) - 900ml- 20")</f>
        <v>GC - II - K - 637 - AGC NEW - Cochay N0.3 (chai vuông) - 900ml- 20</v>
      </c>
    </row>
    <row r="551">
      <c r="A551" s="86">
        <f>IFERROR(__xludf.DUMMYFUNCTION("""COMPUTED_VALUE"""),549.0)</f>
        <v>549</v>
      </c>
      <c r="B551" s="87" t="str">
        <f>IFERROR(__xludf.DUMMYFUNCTION("""COMPUTED_VALUE"""),"Lon")</f>
        <v>Lon</v>
      </c>
      <c r="C551" s="87" t="str">
        <f>IFERROR(__xludf.DUMMYFUNCTION("""COMPUTED_VALUE"""),"LON0001")</f>
        <v>LON0001</v>
      </c>
      <c r="D551" s="87" t="str">
        <f>IFERROR(__xludf.DUMMYFUNCTION("""COMPUTED_VALUE"""),"TP - Lon HDPE tròn cổ 85.2 200gr Trắng - Nắp HDPE tròn trắng (47gr)")</f>
        <v>TP - Lon HDPE tròn cổ 85.2 200gr Trắng - Nắp HDPE tròn trắng (47gr)</v>
      </c>
      <c r="E551" s="87" t="str">
        <f>IFERROR(__xludf.DUMMYFUNCTION("""COMPUTED_VALUE"""),"Centertaner 500WP")</f>
        <v>Centertaner 500WP</v>
      </c>
      <c r="F551" s="87" t="str">
        <f>IFERROR(__xludf.DUMMYFUNCTION("""COMPUTED_VALUE"""),"HH0001")</f>
        <v>HH0001</v>
      </c>
      <c r="G551" s="87" t="str">
        <f>IFERROR(__xludf.DUMMYFUNCTION("""COMPUTED_VALUE"""),"GC - II - 638 - AGC NEW - Centertaner 500 WP - 12.5 gr - 500")</f>
        <v>GC - II - 638 - AGC NEW - Centertaner 500 WP - 12.5 gr - 500</v>
      </c>
    </row>
    <row r="552">
      <c r="A552" s="86">
        <f>IFERROR(__xludf.DUMMYFUNCTION("""COMPUTED_VALUE"""),550.0)</f>
        <v>550</v>
      </c>
      <c r="B552" s="87" t="str">
        <f>IFERROR(__xludf.DUMMYFUNCTION("""COMPUTED_VALUE"""),"Chai")</f>
        <v>Chai</v>
      </c>
      <c r="C552" s="87" t="str">
        <f>IFERROR(__xludf.DUMMYFUNCTION("""COMPUTED_VALUE"""),"CHT0106")</f>
        <v>CHT0106</v>
      </c>
      <c r="D552" s="87" t="str">
        <f>IFERROR(__xludf.DUMMYFUNCTION("""COMPUTED_VALUE"""),"Chai HDPE tròn cổ 31 500ml (80g) xanh dương")</f>
        <v>Chai HDPE tròn cổ 31 500ml (80g) xanh dương</v>
      </c>
      <c r="E552" s="87" t="str">
        <f>IFERROR(__xludf.DUMMYFUNCTION("""COMPUTED_VALUE"""),"Centertaner 500WP")</f>
        <v>Centertaner 500WP</v>
      </c>
      <c r="F552" s="87" t="str">
        <f>IFERROR(__xludf.DUMMYFUNCTION("""COMPUTED_VALUE"""),"HH0106")</f>
        <v>HH0106</v>
      </c>
      <c r="G552" s="87" t="str">
        <f>IFERROR(__xludf.DUMMYFUNCTION("""COMPUTED_VALUE"""),"GC - II - 638.1 - AGC NEW - Centertaner 500 WP - 12.5 gr - 250")</f>
        <v>GC - II - 638.1 - AGC NEW - Centertaner 500 WP - 12.5 gr - 250</v>
      </c>
    </row>
    <row r="553">
      <c r="A553" s="86">
        <f>IFERROR(__xludf.DUMMYFUNCTION("""COMPUTED_VALUE"""),551.0)</f>
        <v>551</v>
      </c>
      <c r="B553" s="87" t="str">
        <f>IFERROR(__xludf.DUMMYFUNCTION("""COMPUTED_VALUE"""),"Nắp")</f>
        <v>Nắp</v>
      </c>
      <c r="C553" s="87" t="str">
        <f>IFERROR(__xludf.DUMMYFUNCTION("""COMPUTED_VALUE"""),"NAP0089")</f>
        <v>NAP0089</v>
      </c>
      <c r="D553" s="87" t="str">
        <f>IFERROR(__xludf.DUMMYFUNCTION("""COMPUTED_VALUE"""),"Nắp HDPE cổ 31 (7g) xanh dương")</f>
        <v>Nắp HDPE cổ 31 (7g) xanh dương</v>
      </c>
      <c r="E553" s="87" t="str">
        <f>IFERROR(__xludf.DUMMYFUNCTION("""COMPUTED_VALUE"""),"ASMILTATOPSUPER 400SC")</f>
        <v>ASMILTATOPSUPER 400SC</v>
      </c>
      <c r="F553" s="87" t="str">
        <f>IFERROR(__xludf.DUMMYFUNCTION("""COMPUTED_VALUE"""),"HH0089")</f>
        <v>HH0089</v>
      </c>
      <c r="G553" s="87" t="str">
        <f>IFERROR(__xludf.DUMMYFUNCTION("""COMPUTED_VALUE"""),"GC - II - 639 - AGC NEW- Atopsuper 400SC (chai PET tròn)- 240ml - 40")</f>
        <v>GC - II - 639 - AGC NEW- Atopsuper 400SC (chai PET tròn)- 240ml - 40</v>
      </c>
    </row>
    <row r="554">
      <c r="A554" s="86">
        <f>IFERROR(__xludf.DUMMYFUNCTION("""COMPUTED_VALUE"""),552.0)</f>
        <v>552</v>
      </c>
      <c r="B554" s="87" t="str">
        <f>IFERROR(__xludf.DUMMYFUNCTION("""COMPUTED_VALUE"""),"Nắp")</f>
        <v>Nắp</v>
      </c>
      <c r="C554" s="87" t="str">
        <f>IFERROR(__xludf.DUMMYFUNCTION("""COMPUTED_VALUE"""),"NAP0090")</f>
        <v>NAP0090</v>
      </c>
      <c r="D554" s="87" t="str">
        <f>IFERROR(__xludf.DUMMYFUNCTION("""COMPUTED_VALUE"""),"TP - Nắp PET cổ 43 (6.3g) đỏ")</f>
        <v>TP - Nắp PET cổ 43 (6.3g) đỏ</v>
      </c>
      <c r="E554" s="87" t="str">
        <f>IFERROR(__xludf.DUMMYFUNCTION("""COMPUTED_VALUE"""),"APLOUGENT 450SC")</f>
        <v>APLOUGENT 450SC</v>
      </c>
      <c r="F554" s="87" t="str">
        <f>IFERROR(__xludf.DUMMYFUNCTION("""COMPUTED_VALUE"""),"HH0090")</f>
        <v>HH0090</v>
      </c>
      <c r="G554" s="87" t="str">
        <f>IFERROR(__xludf.DUMMYFUNCTION("""COMPUTED_VALUE"""),"GC - II - 640 - AGC NEW - Lougent 450SC (chai PET tròn) - 240ml - 40")</f>
        <v>GC - II - 640 - AGC NEW - Lougent 450SC (chai PET tròn) - 240ml - 40</v>
      </c>
    </row>
    <row r="555">
      <c r="A555" s="86">
        <f>IFERROR(__xludf.DUMMYFUNCTION("""COMPUTED_VALUE"""),553.0)</f>
        <v>553</v>
      </c>
      <c r="B555" s="87" t="str">
        <f>IFERROR(__xludf.DUMMYFUNCTION("""COMPUTED_VALUE"""),"Chai")</f>
        <v>Chai</v>
      </c>
      <c r="C555" s="87" t="str">
        <f>IFERROR(__xludf.DUMMYFUNCTION("""COMPUTED_VALUE"""),"CPV0108")</f>
        <v>CPV0108</v>
      </c>
      <c r="D555" s="87" t="str">
        <f>IFERROR(__xludf.DUMMYFUNCTION("""COMPUTED_VALUE"""),"TP - Chai PET vuông cổ 43 1L (90gr) - Trắng")</f>
        <v>TP - Chai PET vuông cổ 43 1L (90gr) - Trắng</v>
      </c>
      <c r="E555" s="87" t="str">
        <f>IFERROR(__xludf.DUMMYFUNCTION("""COMPUTED_VALUE"""),"Kamycinjapane 20SL")</f>
        <v>Kamycinjapane 20SL</v>
      </c>
      <c r="F555" s="87" t="str">
        <f>IFERROR(__xludf.DUMMYFUNCTION("""COMPUTED_VALUE"""),"HH0108")</f>
        <v>HH0108</v>
      </c>
      <c r="G555" s="87" t="str">
        <f>IFERROR(__xludf.DUMMYFUNCTION("""COMPUTED_VALUE"""),"GC - II - 641 - AGC NEW - Japane 20SL (chai tròn) - 450ml - 40")</f>
        <v>GC - II - 641 - AGC NEW - Japane 20SL (chai tròn) - 450ml - 40</v>
      </c>
    </row>
    <row r="556">
      <c r="A556" s="86">
        <f>IFERROR(__xludf.DUMMYFUNCTION("""COMPUTED_VALUE"""),554.0)</f>
        <v>554</v>
      </c>
      <c r="B556" s="87" t="str">
        <f>IFERROR(__xludf.DUMMYFUNCTION("""COMPUTED_VALUE"""),"Chai")</f>
        <v>Chai</v>
      </c>
      <c r="C556" s="87" t="str">
        <f>IFERROR(__xludf.DUMMYFUNCTION("""COMPUTED_VALUE"""),"CPT0109")</f>
        <v>CPT0109</v>
      </c>
      <c r="D556" s="87" t="str">
        <f>IFERROR(__xludf.DUMMYFUNCTION("""COMPUTED_VALUE"""),"TP - Chai PET tròn cổ 35 1 lít (60gr) - Trắng trong")</f>
        <v>TP - Chai PET tròn cổ 35 1 lít (60gr) - Trắng trong</v>
      </c>
      <c r="E556" s="87" t="str">
        <f>IFERROR(__xludf.DUMMYFUNCTION("""COMPUTED_VALUE"""),"Remy 19EC")</f>
        <v>Remy 19EC</v>
      </c>
      <c r="F556" s="87" t="str">
        <f>IFERROR(__xludf.DUMMYFUNCTION("""COMPUTED_VALUE"""),"HH0109")</f>
        <v>HH0109</v>
      </c>
      <c r="G556" s="87" t="str">
        <f>IFERROR(__xludf.DUMMYFUNCTION("""COMPUTED_VALUE"""),"GC - II - 643 - AGC NEW - Emy 19EC (chai PET tròn) - 450ml - 40")</f>
        <v>GC - II - 643 - AGC NEW - Emy 19EC (chai PET tròn) - 450ml - 40</v>
      </c>
    </row>
    <row r="557">
      <c r="A557" s="86">
        <f>IFERROR(__xludf.DUMMYFUNCTION("""COMPUTED_VALUE"""),555.0)</f>
        <v>555</v>
      </c>
      <c r="B557" s="87" t="str">
        <f>IFERROR(__xludf.DUMMYFUNCTION("""COMPUTED_VALUE"""),"Nắp")</f>
        <v>Nắp</v>
      </c>
      <c r="C557" s="87" t="str">
        <f>IFERROR(__xludf.DUMMYFUNCTION("""COMPUTED_VALUE"""),"NAP0091")</f>
        <v>NAP0091</v>
      </c>
      <c r="D557" s="87" t="str">
        <f>IFERROR(__xludf.DUMMYFUNCTION("""COMPUTED_VALUE"""),"TP - Nắp PET chụp tròn  cổ 35 chai 1 lít (10gr) - Trắng trong")</f>
        <v>TP - Nắp PET chụp tròn  cổ 35 chai 1 lít (10gr) - Trắng trong</v>
      </c>
      <c r="E557" s="87" t="str">
        <f>IFERROR(__xludf.DUMMYFUNCTION("""COMPUTED_VALUE"""),"Tikabamec 3.6EC")</f>
        <v>Tikabamec 3.6EC</v>
      </c>
      <c r="F557" s="87" t="str">
        <f>IFERROR(__xludf.DUMMYFUNCTION("""COMPUTED_VALUE"""),"HH0091")</f>
        <v>HH0091</v>
      </c>
      <c r="G557" s="87" t="str">
        <f>IFERROR(__xludf.DUMMYFUNCTION("""COMPUTED_VALUE"""),"GC - II - 644 - AGC NEW - Bamec 3.6 (Pet tròn) (nước đục) - 450ml - 40")</f>
        <v>GC - II - 644 - AGC NEW - Bamec 3.6 (Pet tròn) (nước đục) - 450ml - 40</v>
      </c>
    </row>
    <row r="558">
      <c r="A558" s="86">
        <f>IFERROR(__xludf.DUMMYFUNCTION("""COMPUTED_VALUE"""),556.0)</f>
        <v>556</v>
      </c>
      <c r="B558" s="87" t="str">
        <f>IFERROR(__xludf.DUMMYFUNCTION("""COMPUTED_VALUE"""),"Chai")</f>
        <v>Chai</v>
      </c>
      <c r="C558" s="87" t="str">
        <f>IFERROR(__xludf.DUMMYFUNCTION("""COMPUTED_VALUE"""),"CPT0110")</f>
        <v>CPT0110</v>
      </c>
      <c r="D558" s="87" t="str">
        <f>IFERROR(__xludf.DUMMYFUNCTION("""COMPUTED_VALUE"""),"Chai PET tròn cổ 38 100ml (30gr) - Trắng trong")</f>
        <v>Chai PET tròn cổ 38 100ml (30gr) - Trắng trong</v>
      </c>
      <c r="E558" s="87" t="str">
        <f>IFERROR(__xludf.DUMMYFUNCTION("""COMPUTED_VALUE"""),"TVZEB 800WP")</f>
        <v>TVZEB 800WP</v>
      </c>
      <c r="F558" s="87" t="str">
        <f>IFERROR(__xludf.DUMMYFUNCTION("""COMPUTED_VALUE"""),"HH0110")</f>
        <v>HH0110</v>
      </c>
      <c r="G558" s="87" t="str">
        <f>IFERROR(__xludf.DUMMYFUNCTION("""COMPUTED_VALUE"""),"GC - II - 645 - AGC NEW - Mancozeb 800 Xanh - 1 kg - 20")</f>
        <v>GC - II - 645 - AGC NEW - Mancozeb 800 Xanh - 1 kg - 20</v>
      </c>
    </row>
    <row r="559">
      <c r="A559" s="86">
        <f>IFERROR(__xludf.DUMMYFUNCTION("""COMPUTED_VALUE"""),557.0)</f>
        <v>557</v>
      </c>
      <c r="B559" s="87" t="str">
        <f>IFERROR(__xludf.DUMMYFUNCTION("""COMPUTED_VALUE"""),"Nắp")</f>
        <v>Nắp</v>
      </c>
      <c r="C559" s="87" t="str">
        <f>IFERROR(__xludf.DUMMYFUNCTION("""COMPUTED_VALUE"""),"NAP0092")</f>
        <v>NAP0092</v>
      </c>
      <c r="D559" s="87" t="str">
        <f>IFERROR(__xludf.DUMMYFUNCTION("""COMPUTED_VALUE"""),"Nắp PET cổ 38 (7.5gr) - Trắng sữa")</f>
        <v>Nắp PET cổ 38 (7.5gr) - Trắng sữa</v>
      </c>
      <c r="E559" s="87" t="str">
        <f>IFERROR(__xludf.DUMMYFUNCTION("""COMPUTED_VALUE"""),"TVZEB 800WP")</f>
        <v>TVZEB 800WP</v>
      </c>
      <c r="F559" s="87" t="str">
        <f>IFERROR(__xludf.DUMMYFUNCTION("""COMPUTED_VALUE"""),"HH0092")</f>
        <v>HH0092</v>
      </c>
      <c r="G559" s="87" t="str">
        <f>IFERROR(__xludf.DUMMYFUNCTION("""COMPUTED_VALUE"""),"GC - II - 645 - AGC NEW - Mancozeb 800 Xanh - 1 kg - 20")</f>
        <v>GC - II - 645 - AGC NEW - Mancozeb 800 Xanh - 1 kg - 20</v>
      </c>
    </row>
    <row r="560">
      <c r="A560" s="86">
        <f>IFERROR(__xludf.DUMMYFUNCTION("""COMPUTED_VALUE"""),558.0)</f>
        <v>558</v>
      </c>
      <c r="B560" s="87" t="str">
        <f>IFERROR(__xludf.DUMMYFUNCTION("""COMPUTED_VALUE"""),"Chai")</f>
        <v>Chai</v>
      </c>
      <c r="C560" s="87" t="str">
        <f>IFERROR(__xludf.DUMMYFUNCTION("""COMPUTED_VALUE"""),"CPT0111")</f>
        <v>CPT0111</v>
      </c>
      <c r="D560" s="87" t="str">
        <f>IFERROR(__xludf.DUMMYFUNCTION("""COMPUTED_VALUE"""),"TP - Chai PET tròn cổ 35 1 lít (60gr) - Cam")</f>
        <v>TP - Chai PET tròn cổ 35 1 lít (60gr) - Cam</v>
      </c>
      <c r="E560" s="87" t="str">
        <f>IFERROR(__xludf.DUMMYFUNCTION("""COMPUTED_VALUE"""),"Vi lượng AV-CFC Plus")</f>
        <v>Vi lượng AV-CFC Plus</v>
      </c>
      <c r="F560" s="87" t="str">
        <f>IFERROR(__xludf.DUMMYFUNCTION("""COMPUTED_VALUE"""),"HH0111")</f>
        <v>HH0111</v>
      </c>
      <c r="G560" s="87" t="str">
        <f>IFERROR(__xludf.DUMMYFUNCTION("""COMPUTED_VALUE"""),"GC - II - 646 - Dưỡng Cây Mập Chồi 500 ml - 40")</f>
        <v>GC - II - 646 - Dưỡng Cây Mập Chồi 500 ml - 40</v>
      </c>
    </row>
    <row r="561">
      <c r="A561" s="86">
        <f>IFERROR(__xludf.DUMMYFUNCTION("""COMPUTED_VALUE"""),559.0)</f>
        <v>559</v>
      </c>
      <c r="B561" s="87" t="str">
        <f>IFERROR(__xludf.DUMMYFUNCTION("""COMPUTED_VALUE"""),"Nắp")</f>
        <v>Nắp</v>
      </c>
      <c r="C561" s="87" t="str">
        <f>IFERROR(__xludf.DUMMYFUNCTION("""COMPUTED_VALUE"""),"NAP0093")</f>
        <v>NAP0093</v>
      </c>
      <c r="D561" s="87" t="str">
        <f>IFERROR(__xludf.DUMMYFUNCTION("""COMPUTED_VALUE"""),"TP - Nắp PET chụp tròn cổ 35 chai 1 lít (10gr) - Cam")</f>
        <v>TP - Nắp PET chụp tròn cổ 35 chai 1 lít (10gr) - Cam</v>
      </c>
      <c r="E561" s="87" t="str">
        <f>IFERROR(__xludf.DUMMYFUNCTION("""COMPUTED_VALUE"""),"Solonapy 300SC")</f>
        <v>Solonapy 300SC</v>
      </c>
      <c r="F561" s="87" t="str">
        <f>IFERROR(__xludf.DUMMYFUNCTION("""COMPUTED_VALUE"""),"HH0093")</f>
        <v>HH0093</v>
      </c>
      <c r="G561" s="87" t="str">
        <f>IFERROR(__xludf.DUMMYFUNCTION("""COMPUTED_VALUE"""),"IDA Global - I - 647 - ĐL Cô Ba -Cá mập 300 plus - 240ml - 40")</f>
        <v>IDA Global - I - 647 - ĐL Cô Ba -Cá mập 300 plus - 240ml - 40</v>
      </c>
    </row>
    <row r="562">
      <c r="A562" s="86">
        <f>IFERROR(__xludf.DUMMYFUNCTION("""COMPUTED_VALUE"""),560.0)</f>
        <v>560</v>
      </c>
      <c r="B562" s="87" t="str">
        <f>IFERROR(__xludf.DUMMYFUNCTION("""COMPUTED_VALUE"""),"Chai")</f>
        <v>Chai</v>
      </c>
      <c r="C562" s="87" t="str">
        <f>IFERROR(__xludf.DUMMYFUNCTION("""COMPUTED_VALUE"""),"CPT0112")</f>
        <v>CPT0112</v>
      </c>
      <c r="D562" s="87" t="str">
        <f>IFERROR(__xludf.DUMMYFUNCTION("""COMPUTED_VALUE"""),"Chai PET tròn cổ 43 250ml - Trắng trong")</f>
        <v>Chai PET tròn cổ 43 250ml - Trắng trong</v>
      </c>
      <c r="E562" s="87" t="str">
        <f>IFERROR(__xludf.DUMMYFUNCTION("""COMPUTED_VALUE"""),"Prima 04")</f>
        <v>Prima 04</v>
      </c>
      <c r="F562" s="87" t="str">
        <f>IFERROR(__xludf.DUMMYFUNCTION("""COMPUTED_VALUE"""),"HH0112")</f>
        <v>HH0112</v>
      </c>
      <c r="G562" s="87" t="str">
        <f>IFERROR(__xludf.DUMMYFUNCTION("""COMPUTED_VALUE"""),"GC - II - 648 - AU - Humix - 1 kg - 25")</f>
        <v>GC - II - 648 - AU - Humix - 1 kg - 25</v>
      </c>
    </row>
    <row r="563">
      <c r="A563" s="86">
        <f>IFERROR(__xludf.DUMMYFUNCTION("""COMPUTED_VALUE"""),561.0)</f>
        <v>561</v>
      </c>
      <c r="B563" s="87" t="str">
        <f>IFERROR(__xludf.DUMMYFUNCTION("""COMPUTED_VALUE"""),"Chai")</f>
        <v>Chai</v>
      </c>
      <c r="C563" s="87" t="str">
        <f>IFERROR(__xludf.DUMMYFUNCTION("""COMPUTED_VALUE"""),"CPT0113")</f>
        <v>CPT0113</v>
      </c>
      <c r="D563" s="87" t="str">
        <f>IFERROR(__xludf.DUMMYFUNCTION("""COMPUTED_VALUE"""),"TP- Chai PET tròn cổ 28 500ml (40gr) - Trắng")</f>
        <v>TP- Chai PET tròn cổ 28 500ml (40gr) - Trắng</v>
      </c>
      <c r="E563" s="87" t="str">
        <f>IFERROR(__xludf.DUMMYFUNCTION("""COMPUTED_VALUE"""),"Prima 04")</f>
        <v>Prima 04</v>
      </c>
      <c r="F563" s="87" t="str">
        <f>IFERROR(__xludf.DUMMYFUNCTION("""COMPUTED_VALUE"""),"HH0113")</f>
        <v>HH0113</v>
      </c>
      <c r="G563" s="87" t="str">
        <f>IFERROR(__xludf.DUMMYFUNCTION("""COMPUTED_VALUE"""),"GC - II - 648 - AU - Humix - 1 kg - 25")</f>
        <v>GC - II - 648 - AU - Humix - 1 kg - 25</v>
      </c>
    </row>
    <row r="564">
      <c r="A564" s="86">
        <f>IFERROR(__xludf.DUMMYFUNCTION("""COMPUTED_VALUE"""),562.0)</f>
        <v>562</v>
      </c>
      <c r="B564" s="87" t="str">
        <f>IFERROR(__xludf.DUMMYFUNCTION("""COMPUTED_VALUE"""),"Chai")</f>
        <v>Chai</v>
      </c>
      <c r="C564" s="87" t="str">
        <f>IFERROR(__xludf.DUMMYFUNCTION("""COMPUTED_VALUE"""),"CPT0114")</f>
        <v>CPT0114</v>
      </c>
      <c r="D564" s="87" t="str">
        <f>IFERROR(__xludf.DUMMYFUNCTION("""COMPUTED_VALUE"""),"TP - Chai PET tròn cổ 35 900ml (60gr) - Trắng trong")</f>
        <v>TP - Chai PET tròn cổ 35 900ml (60gr) - Trắng trong</v>
      </c>
      <c r="E564" s="87" t="str">
        <f>IFERROR(__xludf.DUMMYFUNCTION("""COMPUTED_VALUE"""),"INMANDA 100WP")</f>
        <v>INMANDA 100WP</v>
      </c>
      <c r="F564" s="87" t="str">
        <f>IFERROR(__xludf.DUMMYFUNCTION("""COMPUTED_VALUE"""),"HH0114")</f>
        <v>HH0114</v>
      </c>
      <c r="G564" s="87" t="str">
        <f>IFERROR(__xludf.DUMMYFUNCTION("""COMPUTED_VALUE"""),"GC - II - 650 - MK Group - Anda 100WP - 100gr - 100")</f>
        <v>GC - II - 650 - MK Group - Anda 100WP - 100gr - 100</v>
      </c>
    </row>
    <row r="565">
      <c r="A565" s="86">
        <f>IFERROR(__xludf.DUMMYFUNCTION("""COMPUTED_VALUE"""),563.0)</f>
        <v>563</v>
      </c>
      <c r="B565" s="87" t="str">
        <f>IFERROR(__xludf.DUMMYFUNCTION("""COMPUTED_VALUE"""),"Nắp")</f>
        <v>Nắp</v>
      </c>
      <c r="C565" s="87" t="str">
        <f>IFERROR(__xludf.DUMMYFUNCTION("""COMPUTED_VALUE"""),"NAP0094")</f>
        <v>NAP0094</v>
      </c>
      <c r="D565" s="87" t="str">
        <f>IFERROR(__xludf.DUMMYFUNCTION("""COMPUTED_VALUE"""),"TP - Nắp PET chụp tròn cổ 35 chai 900ml (10gr) - Trắng đục")</f>
        <v>TP - Nắp PET chụp tròn cổ 35 chai 900ml (10gr) - Trắng đục</v>
      </c>
      <c r="E565" s="87" t="str">
        <f>IFERROR(__xludf.DUMMYFUNCTION("""COMPUTED_VALUE"""),"CHIM ƯNG 3.8EC")</f>
        <v>CHIM ƯNG 3.8EC</v>
      </c>
      <c r="F565" s="87" t="str">
        <f>IFERROR(__xludf.DUMMYFUNCTION("""COMPUTED_VALUE"""),"HH0094")</f>
        <v>HH0094</v>
      </c>
      <c r="G565" s="87" t="str">
        <f>IFERROR(__xludf.DUMMYFUNCTION("""COMPUTED_VALUE"""),"GC - II - 653 - Huy Phát - A-CARI (chai nhôm đỏ) - 240ml - 40")</f>
        <v>GC - II - 653 - Huy Phát - A-CARI (chai nhôm đỏ) - 240ml - 40</v>
      </c>
    </row>
    <row r="566">
      <c r="A566" s="86">
        <f>IFERROR(__xludf.DUMMYFUNCTION("""COMPUTED_VALUE"""),564.0)</f>
        <v>564</v>
      </c>
      <c r="B566" s="87" t="str">
        <f>IFERROR(__xludf.DUMMYFUNCTION("""COMPUTED_VALUE"""),"Bao")</f>
        <v>Bao</v>
      </c>
      <c r="C566" s="87" t="str">
        <f>IFERROR(__xludf.DUMMYFUNCTION("""COMPUTED_VALUE"""),"BAO0006")</f>
        <v>BAO0006</v>
      </c>
      <c r="D566" s="87" t="str">
        <f>IFERROR(__xludf.DUMMYFUNCTION("""COMPUTED_VALUE"""),"Bao PE trong (60x80cm), lòng xô 25kg")</f>
        <v>Bao PE trong (60x80cm), lòng xô 25kg</v>
      </c>
      <c r="E566" s="87" t="str">
        <f>IFERROR(__xludf.DUMMYFUNCTION("""COMPUTED_VALUE"""),"COCHAY 200SL")</f>
        <v>COCHAY 200SL</v>
      </c>
      <c r="F566" s="87" t="str">
        <f>IFERROR(__xludf.DUMMYFUNCTION("""COMPUTED_VALUE"""),"HH0006")</f>
        <v>HH0006</v>
      </c>
      <c r="G566" s="87" t="str">
        <f>IFERROR(__xludf.DUMMYFUNCTION("""COMPUTED_VALUE"""),"LOT IDA Global - I - K - 654 - Cochay 200SL (chai PET vuông) - 900ml- 20")</f>
        <v>LOT IDA Global - I - K - 654 - Cochay 200SL (chai PET vuông) - 900ml- 20</v>
      </c>
    </row>
    <row r="567">
      <c r="A567" s="86">
        <f>IFERROR(__xludf.DUMMYFUNCTION("""COMPUTED_VALUE"""),565.0)</f>
        <v>565</v>
      </c>
      <c r="B567" s="87" t="str">
        <f>IFERROR(__xludf.DUMMYFUNCTION("""COMPUTED_VALUE"""),"Can")</f>
        <v>Can</v>
      </c>
      <c r="C567" s="87" t="str">
        <f>IFERROR(__xludf.DUMMYFUNCTION("""COMPUTED_VALUE"""),"CAN0012")</f>
        <v>CAN0012</v>
      </c>
      <c r="D567" s="87" t="str">
        <f>IFERROR(__xludf.DUMMYFUNCTION("""COMPUTED_VALUE"""),"Can HDPE 5L vuông xanh dương, 4 chấm chống trượt (315gr) - Nắp vàng (13gr)")</f>
        <v>Can HDPE 5L vuông xanh dương, 4 chấm chống trượt (315gr) - Nắp vàng (13gr)</v>
      </c>
      <c r="E567" s="87" t="str">
        <f>IFERROR(__xludf.DUMMYFUNCTION("""COMPUTED_VALUE"""),"RAYXANH 200WP")</f>
        <v>RAYXANH 200WP</v>
      </c>
      <c r="F567" s="87" t="str">
        <f>IFERROR(__xludf.DUMMYFUNCTION("""COMPUTED_VALUE"""),"HH0012")</f>
        <v>HH0012</v>
      </c>
      <c r="G567" s="87" t="str">
        <f>IFERROR(__xludf.DUMMYFUNCTION("""COMPUTED_VALUE"""),"IDA Global - I - 655 - Ray xanh 200 WP - 100 gr - 100")</f>
        <v>IDA Global - I - 655 - Ray xanh 200 WP - 100 gr - 100</v>
      </c>
    </row>
    <row r="568">
      <c r="A568" s="86">
        <f>IFERROR(__xludf.DUMMYFUNCTION("""COMPUTED_VALUE"""),566.0)</f>
        <v>566</v>
      </c>
      <c r="B568" s="87" t="str">
        <f>IFERROR(__xludf.DUMMYFUNCTION("""COMPUTED_VALUE"""),"Seal")</f>
        <v>Seal</v>
      </c>
      <c r="C568" s="87" t="str">
        <f>IFERROR(__xludf.DUMMYFUNCTION("""COMPUTED_VALUE"""),"SEAL0004")</f>
        <v>SEAL0004</v>
      </c>
      <c r="D568" s="87" t="str">
        <f>IFERROR(__xludf.DUMMYFUNCTION("""COMPUTED_VALUE"""),"Seal nhiệt chai tròn cổ 38 - có in")</f>
        <v>Seal nhiệt chai tròn cổ 38 - có in</v>
      </c>
      <c r="E568" s="87" t="str">
        <f>IFERROR(__xludf.DUMMYFUNCTION("""COMPUTED_VALUE"""),"Solonapy 300SC")</f>
        <v>Solonapy 300SC</v>
      </c>
      <c r="F568" s="87" t="str">
        <f>IFERROR(__xludf.DUMMYFUNCTION("""COMPUTED_VALUE"""),"HH0004")</f>
        <v>HH0004</v>
      </c>
      <c r="G568" s="87" t="str">
        <f>IFERROR(__xludf.DUMMYFUNCTION("""COMPUTED_VALUE"""),"IDA Global - I - 656 - ĐL VĐ - Cá mập 300 (PET) - 240ml - 40")</f>
        <v>IDA Global - I - 656 - ĐL VĐ - Cá mập 300 (PET) - 240ml - 40</v>
      </c>
    </row>
    <row r="569">
      <c r="A569" s="86">
        <f>IFERROR(__xludf.DUMMYFUNCTION("""COMPUTED_VALUE"""),567.0)</f>
        <v>567</v>
      </c>
      <c r="B569" s="87" t="str">
        <f>IFERROR(__xludf.DUMMYFUNCTION("""COMPUTED_VALUE"""),"Chai")</f>
        <v>Chai</v>
      </c>
      <c r="C569" s="87" t="str">
        <f>IFERROR(__xludf.DUMMYFUNCTION("""COMPUTED_VALUE"""),"CHT0115")</f>
        <v>CHT0115</v>
      </c>
      <c r="D569" s="87" t="str">
        <f>IFERROR(__xludf.DUMMYFUNCTION("""COMPUTED_VALUE"""),"Chai HDPE tròn cổ 48 250ml (40gr) 3 gù - Vàng")</f>
        <v>Chai HDPE tròn cổ 48 250ml (40gr) 3 gù - Vàng</v>
      </c>
      <c r="E569" s="87" t="str">
        <f>IFERROR(__xludf.DUMMYFUNCTION("""COMPUTED_VALUE"""),"Mekongvil 5SC")</f>
        <v>Mekongvil 5SC</v>
      </c>
      <c r="F569" s="87" t="str">
        <f>IFERROR(__xludf.DUMMYFUNCTION("""COMPUTED_VALUE"""),"HH0115")</f>
        <v>HH0115</v>
      </c>
      <c r="G569" s="87" t="str">
        <f>IFERROR(__xludf.DUMMYFUNCTION("""COMPUTED_VALUE"""),"GC - II - 657 - AP - Nano Avil - 1lit - 20 (btp,nl)")</f>
        <v>GC - II - 657 - AP - Nano Avil - 1lit - 20 (btp,nl)</v>
      </c>
    </row>
    <row r="570">
      <c r="A570" s="86">
        <f>IFERROR(__xludf.DUMMYFUNCTION("""COMPUTED_VALUE"""),568.0)</f>
        <v>568</v>
      </c>
      <c r="B570" s="87" t="str">
        <f>IFERROR(__xludf.DUMMYFUNCTION("""COMPUTED_VALUE"""),"Nắp")</f>
        <v>Nắp</v>
      </c>
      <c r="C570" s="87" t="str">
        <f>IFERROR(__xludf.DUMMYFUNCTION("""COMPUTED_VALUE"""),"NAP0095")</f>
        <v>NAP0095</v>
      </c>
      <c r="D570" s="87" t="str">
        <f>IFERROR(__xludf.DUMMYFUNCTION("""COMPUTED_VALUE"""),"Nắp HDPE cổ 48 (12gr) - Vàng")</f>
        <v>Nắp HDPE cổ 48 (12gr) - Vàng</v>
      </c>
      <c r="E570" s="87" t="str">
        <f>IFERROR(__xludf.DUMMYFUNCTION("""COMPUTED_VALUE"""),"THALONIL 75WP")</f>
        <v>THALONIL 75WP</v>
      </c>
      <c r="F570" s="87" t="str">
        <f>IFERROR(__xludf.DUMMYFUNCTION("""COMPUTED_VALUE"""),"HH0095")</f>
        <v>HH0095</v>
      </c>
      <c r="G570" s="87" t="str">
        <f>IFERROR(__xludf.DUMMYFUNCTION("""COMPUTED_VALUE"""),"GC - II - 658 - Giang Tây - Thalonil 75WP (flexo) - 250gr - 52")</f>
        <v>GC - II - 658 - Giang Tây - Thalonil 75WP (flexo) - 250gr - 52</v>
      </c>
    </row>
    <row r="571">
      <c r="A571" s="86">
        <f>IFERROR(__xludf.DUMMYFUNCTION("""COMPUTED_VALUE"""),569.0)</f>
        <v>569</v>
      </c>
      <c r="B571" s="87" t="str">
        <f>IFERROR(__xludf.DUMMYFUNCTION("""COMPUTED_VALUE"""),"Nắp")</f>
        <v>Nắp</v>
      </c>
      <c r="C571" s="87" t="str">
        <f>IFERROR(__xludf.DUMMYFUNCTION("""COMPUTED_VALUE"""),"NAP0096")</f>
        <v>NAP0096</v>
      </c>
      <c r="D571" s="87" t="str">
        <f>IFERROR(__xludf.DUMMYFUNCTION("""COMPUTED_VALUE"""),"Nắp PET chụp tròn chai 1 lít  (9gr) - Xanh lá đậm")</f>
        <v>Nắp PET chụp tròn chai 1 lít  (9gr) - Xanh lá đậm</v>
      </c>
      <c r="E571" s="87" t="str">
        <f>IFERROR(__xludf.DUMMYFUNCTION("""COMPUTED_VALUE"""),"Mekongvil 5SC")</f>
        <v>Mekongvil 5SC</v>
      </c>
      <c r="F571" s="87" t="str">
        <f>IFERROR(__xludf.DUMMYFUNCTION("""COMPUTED_VALUE"""),"HH0096")</f>
        <v>HH0096</v>
      </c>
      <c r="G571" s="87" t="str">
        <f>IFERROR(__xludf.DUMMYFUNCTION("""COMPUTED_VALUE"""),"LOT IDA Global - I - 659 - ĐL Cô Ba - Hexa 5 sao- 1 Lít - 20(btp,nl)")</f>
        <v>LOT IDA Global - I - 659 - ĐL Cô Ba - Hexa 5 sao- 1 Lít - 20(btp,nl)</v>
      </c>
    </row>
    <row r="572">
      <c r="A572" s="86">
        <f>IFERROR(__xludf.DUMMYFUNCTION("""COMPUTED_VALUE"""),570.0)</f>
        <v>570</v>
      </c>
      <c r="B572" s="87" t="str">
        <f>IFERROR(__xludf.DUMMYFUNCTION("""COMPUTED_VALUE"""),"Can")</f>
        <v>Can</v>
      </c>
      <c r="C572" s="87" t="str">
        <f>IFERROR(__xludf.DUMMYFUNCTION("""COMPUTED_VALUE"""),"CAN0013")</f>
        <v>CAN0013</v>
      </c>
      <c r="D572" s="87" t="str">
        <f>IFERROR(__xludf.DUMMYFUNCTION("""COMPUTED_VALUE"""),"Can vuông HDPE 5L trắng sữa, nắp xanh lá (318g)")</f>
        <v>Can vuông HDPE 5L trắng sữa, nắp xanh lá (318g)</v>
      </c>
      <c r="E572" s="87" t="str">
        <f>IFERROR(__xludf.DUMMYFUNCTION("""COMPUTED_VALUE"""),"Prima 04")</f>
        <v>Prima 04</v>
      </c>
      <c r="F572" s="87" t="str">
        <f>IFERROR(__xludf.DUMMYFUNCTION("""COMPUTED_VALUE"""),"HH0013")</f>
        <v>HH0013</v>
      </c>
      <c r="G572" s="87" t="str">
        <f>IFERROR(__xludf.DUMMYFUNCTION("""COMPUTED_VALUE"""),"GC - II - 665 - Nông Lâm Hoà Phát - Humiix Us - 1kg - 25 ([btp],t)")</f>
        <v>GC - II - 665 - Nông Lâm Hoà Phát - Humiix Us - 1kg - 25 ([btp],t)</v>
      </c>
    </row>
    <row r="573">
      <c r="A573" s="86">
        <f>IFERROR(__xludf.DUMMYFUNCTION("""COMPUTED_VALUE"""),571.0)</f>
        <v>571</v>
      </c>
      <c r="B573" s="87" t="str">
        <f>IFERROR(__xludf.DUMMYFUNCTION("""COMPUTED_VALUE"""),"Nắp")</f>
        <v>Nắp</v>
      </c>
      <c r="C573" s="87" t="str">
        <f>IFERROR(__xludf.DUMMYFUNCTION("""COMPUTED_VALUE"""),"NAP0097")</f>
        <v>NAP0097</v>
      </c>
      <c r="D573" s="87" t="str">
        <f>IFERROR(__xludf.DUMMYFUNCTION("""COMPUTED_VALUE"""),"TP- Nắp HDPE cổ 42.5 (8g) Đen (không ganty)")</f>
        <v>TP- Nắp HDPE cổ 42.5 (8g) Đen (không ganty)</v>
      </c>
      <c r="E573" s="87" t="str">
        <f>IFERROR(__xludf.DUMMYFUNCTION("""COMPUTED_VALUE"""),"Prima 04")</f>
        <v>Prima 04</v>
      </c>
      <c r="F573" s="87" t="str">
        <f>IFERROR(__xludf.DUMMYFUNCTION("""COMPUTED_VALUE"""),"HH0097")</f>
        <v>HH0097</v>
      </c>
      <c r="G573" s="87" t="str">
        <f>IFERROR(__xludf.DUMMYFUNCTION("""COMPUTED_VALUE"""),"GC - II - 665 - Nông Lâm Hoà Phát - Humiix Us - 1kg - 25 ([btp],t)")</f>
        <v>GC - II - 665 - Nông Lâm Hoà Phát - Humiix Us - 1kg - 25 ([btp],t)</v>
      </c>
    </row>
    <row r="574">
      <c r="A574" s="86">
        <f>IFERROR(__xludf.DUMMYFUNCTION("""COMPUTED_VALUE"""),572.0)</f>
        <v>572</v>
      </c>
      <c r="B574" s="87" t="str">
        <f>IFERROR(__xludf.DUMMYFUNCTION("""COMPUTED_VALUE"""),"Chai")</f>
        <v>Chai</v>
      </c>
      <c r="C574" s="87" t="str">
        <f>IFERROR(__xludf.DUMMYFUNCTION("""COMPUTED_VALUE"""),"CHT0116")</f>
        <v>CHT0116</v>
      </c>
      <c r="D574" s="87" t="str">
        <f>IFERROR(__xludf.DUMMYFUNCTION("""COMPUTED_VALUE"""),"Chai HDPE tròn 1 Lít cổ 50 (120gr) - Trắng")</f>
        <v>Chai HDPE tròn 1 Lít cổ 50 (120gr) - Trắng</v>
      </c>
      <c r="E574" s="87" t="str">
        <f>IFERROR(__xludf.DUMMYFUNCTION("""COMPUTED_VALUE"""),"Prima 04")</f>
        <v>Prima 04</v>
      </c>
      <c r="F574" s="87" t="str">
        <f>IFERROR(__xludf.DUMMYFUNCTION("""COMPUTED_VALUE"""),"HH0116")</f>
        <v>HH0116</v>
      </c>
      <c r="G574" s="87" t="str">
        <f>IFERROR(__xludf.DUMMYFUNCTION("""COMPUTED_VALUE"""),"GC - II - 666 - AU - Gel Humiix - 20 kg - 1 ([btp],x,n)")</f>
        <v>GC - II - 666 - AU - Gel Humiix - 20 kg - 1 ([btp],x,n)</v>
      </c>
    </row>
    <row r="575">
      <c r="A575" s="86">
        <f>IFERROR(__xludf.DUMMYFUNCTION("""COMPUTED_VALUE"""),573.0)</f>
        <v>573</v>
      </c>
      <c r="B575" s="87" t="str">
        <f>IFERROR(__xludf.DUMMYFUNCTION("""COMPUTED_VALUE"""),"Can")</f>
        <v>Can</v>
      </c>
      <c r="C575" s="87" t="str">
        <f>IFERROR(__xludf.DUMMYFUNCTION("""COMPUTED_VALUE"""),"CAN0014")</f>
        <v>CAN0014</v>
      </c>
      <c r="D575" s="87" t="str">
        <f>IFERROR(__xludf.DUMMYFUNCTION("""COMPUTED_VALUE"""),"Can HDPE 20L tròn Vàng - Nắp vàng (1,5kg)")</f>
        <v>Can HDPE 20L tròn Vàng - Nắp vàng (1,5kg)</v>
      </c>
      <c r="E575" s="87" t="str">
        <f>IFERROR(__xludf.DUMMYFUNCTION("""COMPUTED_VALUE"""),"Prima 04")</f>
        <v>Prima 04</v>
      </c>
      <c r="F575" s="87" t="str">
        <f>IFERROR(__xludf.DUMMYFUNCTION("""COMPUTED_VALUE"""),"HH0014")</f>
        <v>HH0014</v>
      </c>
      <c r="G575" s="87" t="str">
        <f>IFERROR(__xludf.DUMMYFUNCTION("""COMPUTED_VALUE"""),"GC - II - 667 - AU - Root vọt đọt thần tốc - 5L - 4")</f>
        <v>GC - II - 667 - AU - Root vọt đọt thần tốc - 5L - 4</v>
      </c>
    </row>
    <row r="576">
      <c r="A576" s="86">
        <f>IFERROR(__xludf.DUMMYFUNCTION("""COMPUTED_VALUE"""),574.0)</f>
        <v>574</v>
      </c>
      <c r="B576" s="87" t="str">
        <f>IFERROR(__xludf.DUMMYFUNCTION("""COMPUTED_VALUE"""),"Can")</f>
        <v>Can</v>
      </c>
      <c r="C576" s="87" t="str">
        <f>IFERROR(__xludf.DUMMYFUNCTION("""COMPUTED_VALUE"""),"CAN0015")</f>
        <v>CAN0015</v>
      </c>
      <c r="D576" s="87" t="str">
        <f>IFERROR(__xludf.DUMMYFUNCTION("""COMPUTED_VALUE"""),"Can HDPE 20L tròn Tím - Nắp vàng (1,5kg)")</f>
        <v>Can HDPE 20L tròn Tím - Nắp vàng (1,5kg)</v>
      </c>
      <c r="E576" s="87" t="str">
        <f>IFERROR(__xludf.DUMMYFUNCTION("""COMPUTED_VALUE"""),"Prima 04")</f>
        <v>Prima 04</v>
      </c>
      <c r="F576" s="87" t="str">
        <f>IFERROR(__xludf.DUMMYFUNCTION("""COMPUTED_VALUE"""),"HH0015")</f>
        <v>HH0015</v>
      </c>
      <c r="G576" s="87" t="str">
        <f>IFERROR(__xludf.DUMMYFUNCTION("""COMPUTED_VALUE"""),"GC - II - 668 - Agriplant - Bio Strong Gold - 5L - 4 ([btp],t,c)")</f>
        <v>GC - II - 668 - Agriplant - Bio Strong Gold - 5L - 4 ([btp],t,c)</v>
      </c>
    </row>
    <row r="577">
      <c r="A577" s="86">
        <f>IFERROR(__xludf.DUMMYFUNCTION("""COMPUTED_VALUE"""),575.0)</f>
        <v>575</v>
      </c>
      <c r="B577" s="87" t="str">
        <f>IFERROR(__xludf.DUMMYFUNCTION("""COMPUTED_VALUE"""),"Nắp")</f>
        <v>Nắp</v>
      </c>
      <c r="C577" s="87" t="str">
        <f>IFERROR(__xludf.DUMMYFUNCTION("""COMPUTED_VALUE"""),"NAP0098")</f>
        <v>NAP0098</v>
      </c>
      <c r="D577" s="87" t="str">
        <f>IFERROR(__xludf.DUMMYFUNCTION("""COMPUTED_VALUE"""),"Nắp HDPE cổ 33 (5.5gr) đỏ logo IDA- Có cốc đong")</f>
        <v>Nắp HDPE cổ 33 (5.5gr) đỏ logo IDA- Có cốc đong</v>
      </c>
      <c r="E577" s="87" t="str">
        <f>IFERROR(__xludf.DUMMYFUNCTION("""COMPUTED_VALUE"""),"Mekongvil 5SC")</f>
        <v>Mekongvil 5SC</v>
      </c>
      <c r="F577" s="87" t="str">
        <f>IFERROR(__xludf.DUMMYFUNCTION("""COMPUTED_VALUE"""),"HH0098")</f>
        <v>HH0098</v>
      </c>
      <c r="G577" s="87" t="str">
        <f>IFERROR(__xludf.DUMMYFUNCTION("""COMPUTED_VALUE"""),"GC - II - 669 - A Hoài - Annvil Duc (Chai HD cao cấp) - 1L - 20")</f>
        <v>GC - II - 669 - A Hoài - Annvil Duc (Chai HD cao cấp) - 1L - 20</v>
      </c>
    </row>
    <row r="578">
      <c r="A578" s="86">
        <f>IFERROR(__xludf.DUMMYFUNCTION("""COMPUTED_VALUE"""),576.0)</f>
        <v>576</v>
      </c>
      <c r="B578" s="87" t="str">
        <f>IFERROR(__xludf.DUMMYFUNCTION("""COMPUTED_VALUE"""),"Can")</f>
        <v>Can</v>
      </c>
      <c r="C578" s="87" t="str">
        <f>IFERROR(__xludf.DUMMYFUNCTION("""COMPUTED_VALUE"""),"CAN0016")</f>
        <v>CAN0016</v>
      </c>
      <c r="D578" s="87" t="str">
        <f>IFERROR(__xludf.DUMMYFUNCTION("""COMPUTED_VALUE"""),"Can HDPE 20L vuông xanh lá, 4 chấm chống trượt (1.1kg) - Nắp trắng (27gr)")</f>
        <v>Can HDPE 20L vuông xanh lá, 4 chấm chống trượt (1.1kg) - Nắp trắng (27gr)</v>
      </c>
      <c r="E578" s="87" t="str">
        <f>IFERROR(__xludf.DUMMYFUNCTION("""COMPUTED_VALUE"""),"Mekongvil 5SC")</f>
        <v>Mekongvil 5SC</v>
      </c>
      <c r="F578" s="87" t="str">
        <f>IFERROR(__xludf.DUMMYFUNCTION("""COMPUTED_VALUE"""),"HH0016")</f>
        <v>HH0016</v>
      </c>
      <c r="G578" s="87" t="str">
        <f>IFERROR(__xludf.DUMMYFUNCTION("""COMPUTED_VALUE"""),"GC - II - 670 - Châu Giang - Mekongvil 5SC (chai HD) - 1L - 20")</f>
        <v>GC - II - 670 - Châu Giang - Mekongvil 5SC (chai HD) - 1L - 20</v>
      </c>
    </row>
    <row r="579">
      <c r="A579" s="86">
        <f>IFERROR(__xludf.DUMMYFUNCTION("""COMPUTED_VALUE"""),577.0)</f>
        <v>577</v>
      </c>
      <c r="B579" s="87" t="str">
        <f>IFERROR(__xludf.DUMMYFUNCTION("""COMPUTED_VALUE"""),"Chai")</f>
        <v>Chai</v>
      </c>
      <c r="C579" s="87" t="str">
        <f>IFERROR(__xludf.DUMMYFUNCTION("""COMPUTED_VALUE"""),"CHT0117")</f>
        <v>CHT0117</v>
      </c>
      <c r="D579" s="87" t="str">
        <f>IFERROR(__xludf.DUMMYFUNCTION("""COMPUTED_VALUE"""),"Chai HDPE tròn cổ 50 500ml (70gr) Trắng")</f>
        <v>Chai HDPE tròn cổ 50 500ml (70gr) Trắng</v>
      </c>
      <c r="E579" s="87" t="str">
        <f>IFERROR(__xludf.DUMMYFUNCTION("""COMPUTED_VALUE"""),"Mekongvil 5SC")</f>
        <v>Mekongvil 5SC</v>
      </c>
      <c r="F579" s="87" t="str">
        <f>IFERROR(__xludf.DUMMYFUNCTION("""COMPUTED_VALUE"""),"HH0117")</f>
        <v>HH0117</v>
      </c>
      <c r="G579" s="87" t="str">
        <f>IFERROR(__xludf.DUMMYFUNCTION("""COMPUTED_VALUE"""),"GC - II - 671 - SH Mekongvil 5SC - 1 lít - 20")</f>
        <v>GC - II - 671 - SH Mekongvil 5SC - 1 lít - 20</v>
      </c>
    </row>
    <row r="580">
      <c r="A580" s="86">
        <f>IFERROR(__xludf.DUMMYFUNCTION("""COMPUTED_VALUE"""),578.0)</f>
        <v>578</v>
      </c>
      <c r="B580" s="87" t="str">
        <f>IFERROR(__xludf.DUMMYFUNCTION("""COMPUTED_VALUE"""),"Nắp")</f>
        <v>Nắp</v>
      </c>
      <c r="C580" s="87" t="str">
        <f>IFERROR(__xludf.DUMMYFUNCTION("""COMPUTED_VALUE"""),"NAP0101")</f>
        <v>NAP0101</v>
      </c>
      <c r="D580" s="87" t="str">
        <f>IFERROR(__xludf.DUMMYFUNCTION("""COMPUTED_VALUE"""),"Nắp HDPE cổ 50 - trắng")</f>
        <v>Nắp HDPE cổ 50 - trắng</v>
      </c>
      <c r="E580" s="87" t="str">
        <f>IFERROR(__xludf.DUMMYFUNCTION("""COMPUTED_VALUE"""),"JAVI VIL 50SC")</f>
        <v>JAVI VIL 50SC</v>
      </c>
      <c r="F580" s="87" t="str">
        <f>IFERROR(__xludf.DUMMYFUNCTION("""COMPUTED_VALUE"""),"HH0101")</f>
        <v>HH0101</v>
      </c>
      <c r="G580" s="87" t="str">
        <f>IFERROR(__xludf.DUMMYFUNCTION("""COMPUTED_VALUE"""),"GC - IV - 672 - Agriscience - Javi vil 50SC (Chai HD CC) - (BTP Hồng)- 1L - 20")</f>
        <v>GC - IV - 672 - Agriscience - Javi vil 50SC (Chai HD CC) - (BTP Hồng)- 1L - 20</v>
      </c>
    </row>
    <row r="581">
      <c r="A581" s="86">
        <f>IFERROR(__xludf.DUMMYFUNCTION("""COMPUTED_VALUE"""),579.0)</f>
        <v>579</v>
      </c>
      <c r="B581" s="87" t="str">
        <f>IFERROR(__xludf.DUMMYFUNCTION("""COMPUTED_VALUE"""),"Nắp")</f>
        <v>Nắp</v>
      </c>
      <c r="C581" s="87" t="str">
        <f>IFERROR(__xludf.DUMMYFUNCTION("""COMPUTED_VALUE"""),"NAP0099")</f>
        <v>NAP0099</v>
      </c>
      <c r="D581" s="87" t="str">
        <f>IFERROR(__xludf.DUMMYFUNCTION("""COMPUTED_VALUE"""),"HNS - Nắp HDPE cổ 37.5 (7g) - Xanh lá")</f>
        <v>HNS - Nắp HDPE cổ 37.5 (7g) - Xanh lá</v>
      </c>
      <c r="E581" s="87" t="str">
        <f>IFERROR(__xludf.DUMMYFUNCTION("""COMPUTED_VALUE"""),"NEW FUZE 200SC")</f>
        <v>NEW FUZE 200SC</v>
      </c>
      <c r="F581" s="87" t="str">
        <f>IFERROR(__xludf.DUMMYFUNCTION("""COMPUTED_VALUE"""),"HH0099")</f>
        <v>HH0099</v>
      </c>
      <c r="G581" s="87" t="str">
        <f>IFERROR(__xludf.DUMMYFUNCTION("""COMPUTED_VALUE"""),"GC - IV - 673 - Agriscience - New Fuze 200SC (chai PET tròn)- 120ml -100")</f>
        <v>GC - IV - 673 - Agriscience - New Fuze 200SC (chai PET tròn)- 120ml -100</v>
      </c>
    </row>
    <row r="582">
      <c r="A582" s="86">
        <f>IFERROR(__xludf.DUMMYFUNCTION("""COMPUTED_VALUE"""),580.0)</f>
        <v>580</v>
      </c>
      <c r="B582" s="87" t="str">
        <f>IFERROR(__xludf.DUMMYFUNCTION("""COMPUTED_VALUE"""),"Seal")</f>
        <v>Seal</v>
      </c>
      <c r="C582" s="87" t="str">
        <f>IFERROR(__xludf.DUMMYFUNCTION("""COMPUTED_VALUE"""),"SEAL0005")</f>
        <v>SEAL0005</v>
      </c>
      <c r="D582" s="87" t="str">
        <f>IFERROR(__xludf.DUMMYFUNCTION("""COMPUTED_VALUE"""),"Seal nhiệt chai tròn cổ 37.5 - có in")</f>
        <v>Seal nhiệt chai tròn cổ 37.5 - có in</v>
      </c>
      <c r="E582" s="87" t="str">
        <f>IFERROR(__xludf.DUMMYFUNCTION("""COMPUTED_VALUE"""),"THALONIL 75WP")</f>
        <v>THALONIL 75WP</v>
      </c>
      <c r="F582" s="87" t="str">
        <f>IFERROR(__xludf.DUMMYFUNCTION("""COMPUTED_VALUE"""),"HH0005")</f>
        <v>HH0005</v>
      </c>
      <c r="G582" s="87" t="str">
        <f>IFERROR(__xludf.DUMMYFUNCTION("""COMPUTED_VALUE"""),"GC - IV - 674 - Agriscience - Thalonil 75WP (túi nhôm) - 100gr -100")</f>
        <v>GC - IV - 674 - Agriscience - Thalonil 75WP (túi nhôm) - 100gr -100</v>
      </c>
    </row>
    <row r="583">
      <c r="A583" s="86">
        <f>IFERROR(__xludf.DUMMYFUNCTION("""COMPUTED_VALUE"""),581.0)</f>
        <v>581</v>
      </c>
      <c r="B583" s="87" t="str">
        <f>IFERROR(__xludf.DUMMYFUNCTION("""COMPUTED_VALUE"""),"Can")</f>
        <v>Can</v>
      </c>
      <c r="C583" s="87" t="str">
        <f>IFERROR(__xludf.DUMMYFUNCTION("""COMPUTED_VALUE"""),"CAN0017")</f>
        <v>CAN0017</v>
      </c>
      <c r="D583" s="87" t="str">
        <f>IFERROR(__xludf.DUMMYFUNCTION("""COMPUTED_VALUE"""),"Can vuông HDPE 5L trắng sữa, nắp cam (318g)")</f>
        <v>Can vuông HDPE 5L trắng sữa, nắp cam (318g)</v>
      </c>
      <c r="E583" s="87" t="str">
        <f>IFERROR(__xludf.DUMMYFUNCTION("""COMPUTED_VALUE"""),"Mekongvil 5SC")</f>
        <v>Mekongvil 5SC</v>
      </c>
      <c r="F583" s="87" t="str">
        <f>IFERROR(__xludf.DUMMYFUNCTION("""COMPUTED_VALUE"""),"HH0017")</f>
        <v>HH0017</v>
      </c>
      <c r="G583" s="87" t="str">
        <f>IFERROR(__xludf.DUMMYFUNCTION("""COMPUTED_VALUE"""),"GC - II - 675 - BM - Vil 5SC - 1L - 20")</f>
        <v>GC - II - 675 - BM - Vil 5SC - 1L - 20</v>
      </c>
    </row>
    <row r="584">
      <c r="A584" s="86">
        <f>IFERROR(__xludf.DUMMYFUNCTION("""COMPUTED_VALUE"""),582.0)</f>
        <v>582</v>
      </c>
      <c r="B584" s="87" t="str">
        <f>IFERROR(__xludf.DUMMYFUNCTION("""COMPUTED_VALUE"""),"Nắp")</f>
        <v>Nắp</v>
      </c>
      <c r="C584" s="87" t="str">
        <f>IFERROR(__xludf.DUMMYFUNCTION("""COMPUTED_VALUE"""),"NAP0100")</f>
        <v>NAP0100</v>
      </c>
      <c r="D584" s="87" t="str">
        <f>IFERROR(__xludf.DUMMYFUNCTION("""COMPUTED_VALUE"""),"HNS - Nắp HDPE cổ 37.5 (7g) - Cam")</f>
        <v>HNS - Nắp HDPE cổ 37.5 (7g) - Cam</v>
      </c>
      <c r="E584" s="87" t="str">
        <f>IFERROR(__xludf.DUMMYFUNCTION("""COMPUTED_VALUE"""),"Tikabamec 3.6EC")</f>
        <v>Tikabamec 3.6EC</v>
      </c>
      <c r="F584" s="87" t="str">
        <f>IFERROR(__xludf.DUMMYFUNCTION("""COMPUTED_VALUE"""),"HH0100")</f>
        <v>HH0100</v>
      </c>
      <c r="G584" s="87" t="str">
        <f>IFERROR(__xludf.DUMMYFUNCTION("""COMPUTED_VALUE"""),"GC - II - 676 - Agriplant - Sâu - nhện (PET tròn) (BTP trong)- 450ml - 40")</f>
        <v>GC - II - 676 - Agriplant - Sâu - nhện (PET tròn) (BTP trong)- 450ml - 40</v>
      </c>
    </row>
    <row r="585">
      <c r="A585" s="86">
        <f>IFERROR(__xludf.DUMMYFUNCTION("""COMPUTED_VALUE"""),583.0)</f>
        <v>583</v>
      </c>
      <c r="B585" s="87" t="str">
        <f>IFERROR(__xludf.DUMMYFUNCTION("""COMPUTED_VALUE"""),"Chai")</f>
        <v>Chai</v>
      </c>
      <c r="C585" s="87" t="str">
        <f>IFERROR(__xludf.DUMMYFUNCTION("""COMPUTED_VALUE"""),"CHT0118")</f>
        <v>CHT0118</v>
      </c>
      <c r="D585" s="87" t="str">
        <f>IFERROR(__xludf.DUMMYFUNCTION("""COMPUTED_VALUE"""),"Chai HDPE tròn 43 250ml - trắng (không logo)")</f>
        <v>Chai HDPE tròn 43 250ml - trắng (không logo)</v>
      </c>
      <c r="E585" s="87" t="str">
        <f>IFERROR(__xludf.DUMMYFUNCTION("""COMPUTED_VALUE"""),"THALONIL 75WP")</f>
        <v>THALONIL 75WP</v>
      </c>
      <c r="F585" s="87" t="str">
        <f>IFERROR(__xludf.DUMMYFUNCTION("""COMPUTED_VALUE"""),"HH0118")</f>
        <v>HH0118</v>
      </c>
      <c r="G585" s="87" t="str">
        <f>IFERROR(__xludf.DUMMYFUNCTION("""COMPUTED_VALUE"""),"GC - II - 677 - AU - Diệt sạch nấm (flexo) - 100gr - 100")</f>
        <v>GC - II - 677 - AU - Diệt sạch nấm (flexo) - 100gr - 100</v>
      </c>
    </row>
    <row r="586">
      <c r="A586" s="86">
        <f>IFERROR(__xludf.DUMMYFUNCTION("""COMPUTED_VALUE"""),584.0)</f>
        <v>584</v>
      </c>
      <c r="B586" s="87" t="str">
        <f>IFERROR(__xludf.DUMMYFUNCTION("""COMPUTED_VALUE"""),"Nắp")</f>
        <v>Nắp</v>
      </c>
      <c r="C586" s="87" t="str">
        <f>IFERROR(__xludf.DUMMYFUNCTION("""COMPUTED_VALUE"""),"NAP0102")</f>
        <v>NAP0102</v>
      </c>
      <c r="D586" s="87" t="str">
        <f>IFERROR(__xludf.DUMMYFUNCTION("""COMPUTED_VALUE"""),"Nắp HDPE cổ 43 trắng - không logo")</f>
        <v>Nắp HDPE cổ 43 trắng - không logo</v>
      </c>
      <c r="E586" s="87" t="str">
        <f>IFERROR(__xludf.DUMMYFUNCTION("""COMPUTED_VALUE"""),"THALONIL 75WP")</f>
        <v>THALONIL 75WP</v>
      </c>
      <c r="F586" s="87" t="str">
        <f>IFERROR(__xludf.DUMMYFUNCTION("""COMPUTED_VALUE"""),"HH0102")</f>
        <v>HH0102</v>
      </c>
      <c r="G586" s="87" t="str">
        <f>IFERROR(__xludf.DUMMYFUNCTION("""COMPUTED_VALUE"""),"GC - II - 678 - AU - Chlorothalonil (flexo)- 100gr - 100")</f>
        <v>GC - II - 678 - AU - Chlorothalonil (flexo)- 100gr - 100</v>
      </c>
    </row>
    <row r="587">
      <c r="A587" s="86">
        <f>IFERROR(__xludf.DUMMYFUNCTION("""COMPUTED_VALUE"""),585.0)</f>
        <v>585</v>
      </c>
      <c r="B587" s="87" t="str">
        <f>IFERROR(__xludf.DUMMYFUNCTION("""COMPUTED_VALUE"""),"Can")</f>
        <v>Can</v>
      </c>
      <c r="C587" s="87" t="str">
        <f>IFERROR(__xludf.DUMMYFUNCTION("""COMPUTED_VALUE"""),"CAN0018")</f>
        <v>CAN0018</v>
      </c>
      <c r="D587" s="87" t="str">
        <f>IFERROR(__xludf.DUMMYFUNCTION("""COMPUTED_VALUE"""),"Can HDPE 20L vuông trắng, 4 chấm chống trượt (1.1kg) - Nắp trắng (27gr)")</f>
        <v>Can HDPE 20L vuông trắng, 4 chấm chống trượt (1.1kg) - Nắp trắng (27gr)</v>
      </c>
      <c r="E587" s="87" t="str">
        <f>IFERROR(__xludf.DUMMYFUNCTION("""COMPUTED_VALUE"""),"CHIM ƯNG 3.8EC")</f>
        <v>CHIM ƯNG 3.8EC</v>
      </c>
      <c r="F587" s="87" t="str">
        <f>IFERROR(__xludf.DUMMYFUNCTION("""COMPUTED_VALUE"""),"HH0018")</f>
        <v>HH0018</v>
      </c>
      <c r="G587" s="87" t="str">
        <f>IFERROR(__xludf.DUMMYFUNCTION("""COMPUTED_VALUE"""),"GC - I - 679 - AU - Diều Hâu Đen (chai nhôm xanh dương) - 240ml - 40")</f>
        <v>GC - I - 679 - AU - Diều Hâu Đen (chai nhôm xanh dương) - 240ml - 40</v>
      </c>
    </row>
    <row r="588">
      <c r="A588" s="86">
        <f>IFERROR(__xludf.DUMMYFUNCTION("""COMPUTED_VALUE"""),586.0)</f>
        <v>586</v>
      </c>
      <c r="B588" s="87" t="str">
        <f>IFERROR(__xludf.DUMMYFUNCTION("""COMPUTED_VALUE"""),"Xô")</f>
        <v>Xô</v>
      </c>
      <c r="C588" s="87" t="str">
        <f>IFERROR(__xludf.DUMMYFUNCTION("""COMPUTED_VALUE"""),"XOT0006")</f>
        <v>XOT0006</v>
      </c>
      <c r="D588" s="87" t="str">
        <f>IFERROR(__xludf.DUMMYFUNCTION("""COMPUTED_VALUE"""),"Xô Trắng Dương 25 Kg")</f>
        <v>Xô Trắng Dương 25 Kg</v>
      </c>
      <c r="E588" s="87" t="str">
        <f>IFERROR(__xludf.DUMMYFUNCTION("""COMPUTED_VALUE"""),"THALONIL 75WP")</f>
        <v>THALONIL 75WP</v>
      </c>
      <c r="F588" s="87" t="str">
        <f>IFERROR(__xludf.DUMMYFUNCTION("""COMPUTED_VALUE"""),"HH0006")</f>
        <v>HH0006</v>
      </c>
      <c r="G588" s="87" t="str">
        <f>IFERROR(__xludf.DUMMYFUNCTION("""COMPUTED_VALUE"""),"GC - II - 681 - Agrikey VN - Agronil (flexo) - 500gr - 30")</f>
        <v>GC - II - 681 - Agrikey VN - Agronil (flexo) - 500gr - 30</v>
      </c>
    </row>
    <row r="589">
      <c r="A589" s="86">
        <f>IFERROR(__xludf.DUMMYFUNCTION("""COMPUTED_VALUE"""),587.0)</f>
        <v>587</v>
      </c>
      <c r="B589" s="87" t="str">
        <f>IFERROR(__xludf.DUMMYFUNCTION("""COMPUTED_VALUE"""),"Chai")</f>
        <v>Chai</v>
      </c>
      <c r="C589" s="87" t="str">
        <f>IFERROR(__xludf.DUMMYFUNCTION("""COMPUTED_VALUE"""),"CPT0119")</f>
        <v>CPT0119</v>
      </c>
      <c r="D589" s="87" t="str">
        <f>IFERROR(__xludf.DUMMYFUNCTION("""COMPUTED_VALUE"""),"Chai PET giả nhôm 500ml tròn cổ 38 màu Xám bạc - Nắp trắng, có cốc đong")</f>
        <v>Chai PET giả nhôm 500ml tròn cổ 38 màu Xám bạc - Nắp trắng, có cốc đong</v>
      </c>
      <c r="E589" s="87" t="str">
        <f>IFERROR(__xludf.DUMMYFUNCTION("""COMPUTED_VALUE"""),"Remy 19EC")</f>
        <v>Remy 19EC</v>
      </c>
      <c r="F589" s="87" t="str">
        <f>IFERROR(__xludf.DUMMYFUNCTION("""COMPUTED_VALUE"""),"HH0119")</f>
        <v>HH0119</v>
      </c>
      <c r="G589" s="87" t="str">
        <f>IFERROR(__xludf.DUMMYFUNCTION("""COMPUTED_VALUE"""),"GC - II - 682 - Đồng Phát - Doffatine 19 - 450ml - 40")</f>
        <v>GC - II - 682 - Đồng Phát - Doffatine 19 - 450ml - 40</v>
      </c>
    </row>
    <row r="590">
      <c r="A590" s="86">
        <f>IFERROR(__xludf.DUMMYFUNCTION("""COMPUTED_VALUE"""),588.0)</f>
        <v>588</v>
      </c>
      <c r="B590" s="87" t="str">
        <f>IFERROR(__xludf.DUMMYFUNCTION("""COMPUTED_VALUE"""),"Túi")</f>
        <v>Túi</v>
      </c>
      <c r="C590" s="87" t="str">
        <f>IFERROR(__xludf.DUMMYFUNCTION("""COMPUTED_VALUE"""),"TUI0005")</f>
        <v>TUI0005</v>
      </c>
      <c r="D590" s="87" t="str">
        <f>IFERROR(__xludf.DUMMYFUNCTION("""COMPUTED_VALUE"""),"Túi PA 1 Kg 3 biên (20x30cm) - Trắng trong")</f>
        <v>Túi PA 1 Kg 3 biên (20x30cm) - Trắng trong</v>
      </c>
      <c r="E590" s="87" t="str">
        <f>IFERROR(__xludf.DUMMYFUNCTION("""COMPUTED_VALUE"""),"Kamycinjapane 20SL")</f>
        <v>Kamycinjapane 20SL</v>
      </c>
      <c r="F590" s="87" t="str">
        <f>IFERROR(__xludf.DUMMYFUNCTION("""COMPUTED_VALUE"""),"HH0005")</f>
        <v>HH0005</v>
      </c>
      <c r="G590" s="87" t="str">
        <f>IFERROR(__xludf.DUMMYFUNCTION("""COMPUTED_VALUE"""),"GC - II - 683 - AGC - Kamycinjapane 20SL (chai tròn) - 450ml - 40")</f>
        <v>GC - II - 683 - AGC - Kamycinjapane 20SL (chai tròn) - 450ml - 40</v>
      </c>
    </row>
    <row r="591">
      <c r="A591" s="86">
        <f>IFERROR(__xludf.DUMMYFUNCTION("""COMPUTED_VALUE"""),589.0)</f>
        <v>589</v>
      </c>
      <c r="B591" s="87" t="str">
        <f>IFERROR(__xludf.DUMMYFUNCTION("""COMPUTED_VALUE"""),"Chai")</f>
        <v>Chai</v>
      </c>
      <c r="C591" s="87" t="str">
        <f>IFERROR(__xludf.DUMMYFUNCTION("""COMPUTED_VALUE"""),"CPT0120")</f>
        <v>CPT0120</v>
      </c>
      <c r="D591" s="87" t="str">
        <f>IFERROR(__xludf.DUMMYFUNCTION("""COMPUTED_VALUE"""),"Chai PET vuông cổ 33 500ml (44g) - Vàng")</f>
        <v>Chai PET vuông cổ 33 500ml (44g) - Vàng</v>
      </c>
      <c r="E591" s="87" t="str">
        <f>IFERROR(__xludf.DUMMYFUNCTION("""COMPUTED_VALUE"""),"Remy 19EC")</f>
        <v>Remy 19EC</v>
      </c>
      <c r="F591" s="87" t="str">
        <f>IFERROR(__xludf.DUMMYFUNCTION("""COMPUTED_VALUE"""),"HH0120")</f>
        <v>HH0120</v>
      </c>
      <c r="G591" s="87" t="str">
        <f>IFERROR(__xludf.DUMMYFUNCTION("""COMPUTED_VALUE"""),"GC - II - 684 - AGC - Remy 19EC (chai tròn) - 450ml - 40")</f>
        <v>GC - II - 684 - AGC - Remy 19EC (chai tròn) - 450ml - 40</v>
      </c>
    </row>
    <row r="592">
      <c r="A592" s="86">
        <f>IFERROR(__xludf.DUMMYFUNCTION("""COMPUTED_VALUE"""),590.0)</f>
        <v>590</v>
      </c>
      <c r="B592" s="87" t="str">
        <f>IFERROR(__xludf.DUMMYFUNCTION("""COMPUTED_VALUE"""),"Nắp")</f>
        <v>Nắp</v>
      </c>
      <c r="C592" s="87" t="str">
        <f>IFERROR(__xludf.DUMMYFUNCTION("""COMPUTED_VALUE"""),"NAP0103")</f>
        <v>NAP0103</v>
      </c>
      <c r="D592" s="87" t="str">
        <f>IFERROR(__xludf.DUMMYFUNCTION("""COMPUTED_VALUE"""),"TP - Nắp PET cổ 43 (6.3g) - vàng")</f>
        <v>TP - Nắp PET cổ 43 (6.3g) - vàng</v>
      </c>
      <c r="E592" s="87" t="str">
        <f>IFERROR(__xludf.DUMMYFUNCTION("""COMPUTED_VALUE"""),"JAVI VIL 50SC")</f>
        <v>JAVI VIL 50SC</v>
      </c>
      <c r="F592" s="87" t="str">
        <f>IFERROR(__xludf.DUMMYFUNCTION("""COMPUTED_VALUE"""),"HH0103")</f>
        <v>HH0103</v>
      </c>
      <c r="G592" s="87" t="str">
        <f>IFERROR(__xludf.DUMMYFUNCTION("""COMPUTED_VALUE"""),"GC - II - 685 - Ánh Dương - Javi vil 50SC (Chai HD)- 1L - 20")</f>
        <v>GC - II - 685 - Ánh Dương - Javi vil 50SC (Chai HD)- 1L - 20</v>
      </c>
    </row>
    <row r="593">
      <c r="A593" s="86">
        <f>IFERROR(__xludf.DUMMYFUNCTION("""COMPUTED_VALUE"""),591.0)</f>
        <v>591</v>
      </c>
      <c r="B593" s="87" t="str">
        <f>IFERROR(__xludf.DUMMYFUNCTION("""COMPUTED_VALUE"""),"Bao")</f>
        <v>Bao</v>
      </c>
      <c r="C593" s="87" t="str">
        <f>IFERROR(__xludf.DUMMYFUNCTION("""COMPUTED_VALUE"""),"BAO0007")</f>
        <v>BAO0007</v>
      </c>
      <c r="D593" s="87" t="str">
        <f>IFERROR(__xludf.DUMMYFUNCTION("""COMPUTED_VALUE"""),"Bao PP trắng (60x100cm), có PE 25Kg")</f>
        <v>Bao PP trắng (60x100cm), có PE 25Kg</v>
      </c>
      <c r="E593" s="87" t="str">
        <f>IFERROR(__xludf.DUMMYFUNCTION("""COMPUTED_VALUE"""),"JAVI VIL 50SC")</f>
        <v>JAVI VIL 50SC</v>
      </c>
      <c r="F593" s="87" t="str">
        <f>IFERROR(__xludf.DUMMYFUNCTION("""COMPUTED_VALUE"""),"HH0007")</f>
        <v>HH0007</v>
      </c>
      <c r="G593" s="87" t="str">
        <f>IFERROR(__xludf.DUMMYFUNCTION("""COMPUTED_VALUE"""),"LOT IDA Global - I - 686 - Javi vil 50SC (Chai HD) (BTP TRẮNG SỮA) - 1L - 20 ([btp] ,t)")</f>
        <v>LOT IDA Global - I - 686 - Javi vil 50SC (Chai HD) (BTP TRẮNG SỮA) - 1L - 20 ([btp] ,t)</v>
      </c>
    </row>
    <row r="594">
      <c r="A594" s="86">
        <f>IFERROR(__xludf.DUMMYFUNCTION("""COMPUTED_VALUE"""),592.0)</f>
        <v>592</v>
      </c>
      <c r="B594" s="87" t="str">
        <f>IFERROR(__xludf.DUMMYFUNCTION("""COMPUTED_VALUE"""),"Chai")</f>
        <v>Chai</v>
      </c>
      <c r="C594" s="87" t="str">
        <f>IFERROR(__xludf.DUMMYFUNCTION("""COMPUTED_VALUE"""),"CPT0121")</f>
        <v>CPT0121</v>
      </c>
      <c r="D594" s="87" t="str">
        <f>IFERROR(__xludf.DUMMYFUNCTION("""COMPUTED_VALUE"""),"TP- Chai PET tròn cổ 35 500ml (40g) - Cam")</f>
        <v>TP- Chai PET tròn cổ 35 500ml (40g) - Cam</v>
      </c>
      <c r="E594" s="87" t="str">
        <f>IFERROR(__xludf.DUMMYFUNCTION("""COMPUTED_VALUE"""),"Tikabamec 3.6EC")</f>
        <v>Tikabamec 3.6EC</v>
      </c>
      <c r="F594" s="87" t="str">
        <f>IFERROR(__xludf.DUMMYFUNCTION("""COMPUTED_VALUE"""),"HH0121")</f>
        <v>HH0121</v>
      </c>
      <c r="G594" s="87" t="str">
        <f>IFERROR(__xludf.DUMMYFUNCTION("""COMPUTED_VALUE"""),"LOT IDA Global - I - 687 - Abamectin 3.6EC (Pet tròn) (nước đục) - 450ml - 40")</f>
        <v>LOT IDA Global - I - 687 - Abamectin 3.6EC (Pet tròn) (nước đục) - 450ml - 40</v>
      </c>
    </row>
    <row r="595">
      <c r="A595" s="86">
        <f>IFERROR(__xludf.DUMMYFUNCTION("""COMPUTED_VALUE"""),593.0)</f>
        <v>593</v>
      </c>
      <c r="B595" s="87" t="str">
        <f>IFERROR(__xludf.DUMMYFUNCTION("""COMPUTED_VALUE"""),"Chai")</f>
        <v>Chai</v>
      </c>
      <c r="C595" s="87" t="str">
        <f>IFERROR(__xludf.DUMMYFUNCTION("""COMPUTED_VALUE"""),"CPT0122")</f>
        <v>CPT0122</v>
      </c>
      <c r="D595" s="87" t="str">
        <f>IFERROR(__xludf.DUMMYFUNCTION("""COMPUTED_VALUE"""),"TP - Chai PET tròn trơn cổ 50 1 lít (60gr) - trắng")</f>
        <v>TP - Chai PET tròn trơn cổ 50 1 lít (60gr) - trắng</v>
      </c>
      <c r="E595" s="87" t="str">
        <f>IFERROR(__xludf.DUMMYFUNCTION("""COMPUTED_VALUE"""),"Prima 04")</f>
        <v>Prima 04</v>
      </c>
      <c r="F595" s="87" t="str">
        <f>IFERROR(__xludf.DUMMYFUNCTION("""COMPUTED_VALUE"""),"HH0122")</f>
        <v>HH0122</v>
      </c>
      <c r="G595" s="87" t="str">
        <f>IFERROR(__xludf.DUMMYFUNCTION("""COMPUTED_VALUE"""),"GC - II - 688 - AU - Gel Humiix - 10kg - 1 ([btp],x,n)")</f>
        <v>GC - II - 688 - AU - Gel Humiix - 10kg - 1 ([btp],x,n)</v>
      </c>
    </row>
    <row r="596">
      <c r="A596" s="86">
        <f>IFERROR(__xludf.DUMMYFUNCTION("""COMPUTED_VALUE"""),594.0)</f>
        <v>594</v>
      </c>
      <c r="B596" s="87" t="str">
        <f>IFERROR(__xludf.DUMMYFUNCTION("""COMPUTED_VALUE"""),"Nắp")</f>
        <v>Nắp</v>
      </c>
      <c r="C596" s="87" t="str">
        <f>IFERROR(__xludf.DUMMYFUNCTION("""COMPUTED_VALUE"""),"NAP0104")</f>
        <v>NAP0104</v>
      </c>
      <c r="D596" s="87" t="str">
        <f>IFERROR(__xludf.DUMMYFUNCTION("""COMPUTED_VALUE"""),"TP - Nắp PET cổ 50 (12.5gr) trắng")</f>
        <v>TP - Nắp PET cổ 50 (12.5gr) trắng</v>
      </c>
      <c r="E596" s="87" t="str">
        <f>IFERROR(__xludf.DUMMYFUNCTION("""COMPUTED_VALUE"""),"TVZEB 800WP")</f>
        <v>TVZEB 800WP</v>
      </c>
      <c r="F596" s="87" t="str">
        <f>IFERROR(__xludf.DUMMYFUNCTION("""COMPUTED_VALUE"""),"HH0104")</f>
        <v>HH0104</v>
      </c>
      <c r="G596" s="87" t="str">
        <f>IFERROR(__xludf.DUMMYFUNCTION("""COMPUTED_VALUE"""),"GC - IV - 689 - Kim Ngọc - Mancozeb Xanh - 1 kg - 20")</f>
        <v>GC - IV - 689 - Kim Ngọc - Mancozeb Xanh - 1 kg - 20</v>
      </c>
    </row>
    <row r="597">
      <c r="A597" s="86">
        <f>IFERROR(__xludf.DUMMYFUNCTION("""COMPUTED_VALUE"""),595.0)</f>
        <v>595</v>
      </c>
      <c r="B597" s="87" t="str">
        <f>IFERROR(__xludf.DUMMYFUNCTION("""COMPUTED_VALUE"""),"Túi")</f>
        <v>Túi</v>
      </c>
      <c r="C597" s="87" t="str">
        <f>IFERROR(__xludf.DUMMYFUNCTION("""COMPUTED_VALUE"""),"TUI0006")</f>
        <v>TUI0006</v>
      </c>
      <c r="D597" s="87" t="str">
        <f>IFERROR(__xludf.DUMMYFUNCTION("""COMPUTED_VALUE"""),"Túi Zip 17 x 25cm - Trắng trong")</f>
        <v>Túi Zip 17 x 25cm - Trắng trong</v>
      </c>
      <c r="E597" s="87" t="str">
        <f>IFERROR(__xludf.DUMMYFUNCTION("""COMPUTED_VALUE"""),"TVZEB 800WP")</f>
        <v>TVZEB 800WP</v>
      </c>
      <c r="F597" s="87" t="str">
        <f>IFERROR(__xludf.DUMMYFUNCTION("""COMPUTED_VALUE"""),"HH0006")</f>
        <v>HH0006</v>
      </c>
      <c r="G597" s="87" t="str">
        <f>IFERROR(__xludf.DUMMYFUNCTION("""COMPUTED_VALUE"""),"GC - IV - 689 - Kim Ngọc - Mancozeb Xanh - 1 kg - 20")</f>
        <v>GC - IV - 689 - Kim Ngọc - Mancozeb Xanh - 1 kg - 20</v>
      </c>
    </row>
    <row r="598">
      <c r="A598" s="86">
        <f>IFERROR(__xludf.DUMMYFUNCTION("""COMPUTED_VALUE"""),596.0)</f>
        <v>596</v>
      </c>
      <c r="B598" s="87" t="str">
        <f>IFERROR(__xludf.DUMMYFUNCTION("""COMPUTED_VALUE"""),"Seal")</f>
        <v>Seal</v>
      </c>
      <c r="C598" s="87" t="str">
        <f>IFERROR(__xludf.DUMMYFUNCTION("""COMPUTED_VALUE"""),"SEAL0006")</f>
        <v>SEAL0006</v>
      </c>
      <c r="D598" s="87" t="str">
        <f>IFERROR(__xludf.DUMMYFUNCTION("""COMPUTED_VALUE"""),"Seal nhiệt Can cổ 55 - thường")</f>
        <v>Seal nhiệt Can cổ 55 - thường</v>
      </c>
      <c r="E598" s="87" t="str">
        <f>IFERROR(__xludf.DUMMYFUNCTION("""COMPUTED_VALUE"""),"Centertaner 500WP")</f>
        <v>Centertaner 500WP</v>
      </c>
      <c r="F598" s="87" t="str">
        <f>IFERROR(__xludf.DUMMYFUNCTION("""COMPUTED_VALUE"""),"HH0006")</f>
        <v>HH0006</v>
      </c>
      <c r="G598" s="87" t="str">
        <f>IFERROR(__xludf.DUMMYFUNCTION("""COMPUTED_VALUE"""),"IDA Global - I - 690 - Centertaner 500 WP (túi nhôm) - 12 gr - 400")</f>
        <v>IDA Global - I - 690 - Centertaner 500 WP (túi nhôm) - 12 gr - 400</v>
      </c>
    </row>
    <row r="599">
      <c r="A599" s="86">
        <f>IFERROR(__xludf.DUMMYFUNCTION("""COMPUTED_VALUE"""),597.0)</f>
        <v>597</v>
      </c>
      <c r="B599" s="87" t="str">
        <f>IFERROR(__xludf.DUMMYFUNCTION("""COMPUTED_VALUE"""),"Chai")</f>
        <v>Chai</v>
      </c>
      <c r="C599" s="87" t="str">
        <f>IFERROR(__xludf.DUMMYFUNCTION("""COMPUTED_VALUE"""),"CPT0123")</f>
        <v>CPT0123</v>
      </c>
      <c r="D599" s="87" t="str">
        <f>IFERROR(__xludf.DUMMYFUNCTION("""COMPUTED_VALUE"""),"Chai PET 250ml tròn cổ 33 màu cam tươi - Nắp trắng, có cốc đong")</f>
        <v>Chai PET 250ml tròn cổ 33 màu cam tươi - Nắp trắng, có cốc đong</v>
      </c>
      <c r="E599" s="87" t="str">
        <f>IFERROR(__xludf.DUMMYFUNCTION("""COMPUTED_VALUE"""),"Centertaner 500WP")</f>
        <v>Centertaner 500WP</v>
      </c>
      <c r="F599" s="87" t="str">
        <f>IFERROR(__xludf.DUMMYFUNCTION("""COMPUTED_VALUE"""),"HH0123")</f>
        <v>HH0123</v>
      </c>
      <c r="G599" s="87" t="str">
        <f>IFERROR(__xludf.DUMMYFUNCTION("""COMPUTED_VALUE"""),"IDA Global - I - 690 - Centertaner 500 WP (túi nhôm) - 12 gr - 400")</f>
        <v>IDA Global - I - 690 - Centertaner 500 WP (túi nhôm) - 12 gr - 400</v>
      </c>
    </row>
    <row r="600">
      <c r="A600" s="86">
        <f>IFERROR(__xludf.DUMMYFUNCTION("""COMPUTED_VALUE"""),598.0)</f>
        <v>598</v>
      </c>
      <c r="B600" s="87" t="str">
        <f>IFERROR(__xludf.DUMMYFUNCTION("""COMPUTED_VALUE"""),"Can")</f>
        <v>Can</v>
      </c>
      <c r="C600" s="87" t="str">
        <f>IFERROR(__xludf.DUMMYFUNCTION("""COMPUTED_VALUE"""),"CAN0019")</f>
        <v>CAN0019</v>
      </c>
      <c r="D600" s="87" t="str">
        <f>IFERROR(__xludf.DUMMYFUNCTION("""COMPUTED_VALUE"""),"Can HDPE 20L vuông xanh dương (1,1kg) -  Nắp đỏ")</f>
        <v>Can HDPE 20L vuông xanh dương (1,1kg) -  Nắp đỏ</v>
      </c>
      <c r="E600" s="87" t="str">
        <f>IFERROR(__xludf.DUMMYFUNCTION("""COMPUTED_VALUE"""),"Centertaner 500WP")</f>
        <v>Centertaner 500WP</v>
      </c>
      <c r="F600" s="87" t="str">
        <f>IFERROR(__xludf.DUMMYFUNCTION("""COMPUTED_VALUE"""),"HH0019")</f>
        <v>HH0019</v>
      </c>
      <c r="G600" s="87" t="str">
        <f>IFERROR(__xludf.DUMMYFUNCTION("""COMPUTED_VALUE"""),"IDA Global - I - 690 - Centertaner 500 WP (túi nhôm) - 12 gr - 400")</f>
        <v>IDA Global - I - 690 - Centertaner 500 WP (túi nhôm) - 12 gr - 400</v>
      </c>
    </row>
    <row r="601">
      <c r="A601" s="86">
        <f>IFERROR(__xludf.DUMMYFUNCTION("""COMPUTED_VALUE"""),599.0)</f>
        <v>599</v>
      </c>
      <c r="B601" s="87" t="str">
        <f>IFERROR(__xludf.DUMMYFUNCTION("""COMPUTED_VALUE"""),"Chai")</f>
        <v>Chai</v>
      </c>
      <c r="C601" s="87" t="str">
        <f>IFERROR(__xludf.DUMMYFUNCTION("""COMPUTED_VALUE"""),"CPT0124")</f>
        <v>CPT0124</v>
      </c>
      <c r="D601" s="87" t="str">
        <f>IFERROR(__xludf.DUMMYFUNCTION("""COMPUTED_VALUE"""),"Chai PET 1 lít tròn cổ 43 màu trắng - Nắp trắng , có cốc đong")</f>
        <v>Chai PET 1 lít tròn cổ 43 màu trắng - Nắp trắng , có cốc đong</v>
      </c>
      <c r="E601" s="87" t="str">
        <f>IFERROR(__xludf.DUMMYFUNCTION("""COMPUTED_VALUE"""),"Prima 04")</f>
        <v>Prima 04</v>
      </c>
      <c r="F601" s="87" t="str">
        <f>IFERROR(__xludf.DUMMYFUNCTION("""COMPUTED_VALUE"""),"HH0124")</f>
        <v>HH0124</v>
      </c>
      <c r="G601" s="87" t="str">
        <f>IFERROR(__xludf.DUMMYFUNCTION("""COMPUTED_VALUE"""),"GC - II - 691 - Nông Lâm Hoà Phát - Humiix Us - 25kg - 1 ([btp],b,l)")</f>
        <v>GC - II - 691 - Nông Lâm Hoà Phát - Humiix Us - 25kg - 1 ([btp],b,l)</v>
      </c>
    </row>
    <row r="602">
      <c r="A602" s="86">
        <f>IFERROR(__xludf.DUMMYFUNCTION("""COMPUTED_VALUE"""),600.0)</f>
        <v>600</v>
      </c>
      <c r="B602" s="87" t="str">
        <f>IFERROR(__xludf.DUMMYFUNCTION("""COMPUTED_VALUE"""),"Chai")</f>
        <v>Chai</v>
      </c>
      <c r="C602" s="87" t="str">
        <f>IFERROR(__xludf.DUMMYFUNCTION("""COMPUTED_VALUE"""),"CPT0125")</f>
        <v>CPT0125</v>
      </c>
      <c r="D602" s="87" t="str">
        <f>IFERROR(__xludf.DUMMYFUNCTION("""COMPUTED_VALUE"""),"Chai PET tròn cổ 38 500ml (64gr) màu trắng - Nắp trắng tai bèo")</f>
        <v>Chai PET tròn cổ 38 500ml (64gr) màu trắng - Nắp trắng tai bèo</v>
      </c>
      <c r="E602" s="87" t="str">
        <f>IFERROR(__xludf.DUMMYFUNCTION("""COMPUTED_VALUE"""),"Vi lượng BM-KABO")</f>
        <v>Vi lượng BM-KABO</v>
      </c>
      <c r="F602" s="87" t="str">
        <f>IFERROR(__xludf.DUMMYFUNCTION("""COMPUTED_VALUE"""),"HH0125")</f>
        <v>HH0125</v>
      </c>
      <c r="G602" s="87" t="str">
        <f>IFERROR(__xludf.DUMMYFUNCTION("""COMPUTED_VALUE"""),"GC - II - 692 - A Thời GNH - Siêu Lớn Trái - 500ml (chai HD)- 40")</f>
        <v>GC - II - 692 - A Thời GNH - Siêu Lớn Trái - 500ml (chai HD)- 40</v>
      </c>
    </row>
    <row r="603">
      <c r="A603" s="86">
        <f>IFERROR(__xludf.DUMMYFUNCTION("""COMPUTED_VALUE"""),601.0)</f>
        <v>601</v>
      </c>
      <c r="B603" s="87" t="str">
        <f>IFERROR(__xludf.DUMMYFUNCTION("""COMPUTED_VALUE"""),"Can")</f>
        <v>Can</v>
      </c>
      <c r="C603" s="87" t="str">
        <f>IFERROR(__xludf.DUMMYFUNCTION("""COMPUTED_VALUE"""),"CAN0020")</f>
        <v>CAN0020</v>
      </c>
      <c r="D603" s="87" t="str">
        <f>IFERROR(__xludf.DUMMYFUNCTION("""COMPUTED_VALUE"""),"Can HDPE 5L vuông đỏ - Nắp xanh lá (320 gr)")</f>
        <v>Can HDPE 5L vuông đỏ - Nắp xanh lá (320 gr)</v>
      </c>
      <c r="E603" s="87" t="str">
        <f>IFERROR(__xludf.DUMMYFUNCTION("""COMPUTED_VALUE"""),"Vi lượng Quantity New")</f>
        <v>Vi lượng Quantity New</v>
      </c>
      <c r="F603" s="87" t="str">
        <f>IFERROR(__xludf.DUMMYFUNCTION("""COMPUTED_VALUE"""),"HH0020")</f>
        <v>HH0020</v>
      </c>
      <c r="G603" s="87" t="str">
        <f>IFERROR(__xludf.DUMMYFUNCTION("""COMPUTED_VALUE"""),"GC - II - 693 - A Thời GNH - Siêu bung đọt mai (chai HD) - 1L - 20")</f>
        <v>GC - II - 693 - A Thời GNH - Siêu bung đọt mai (chai HD) - 1L - 20</v>
      </c>
    </row>
    <row r="604">
      <c r="A604" s="86">
        <f>IFERROR(__xludf.DUMMYFUNCTION("""COMPUTED_VALUE"""),602.0)</f>
        <v>602</v>
      </c>
      <c r="B604" s="87" t="str">
        <f>IFERROR(__xludf.DUMMYFUNCTION("""COMPUTED_VALUE"""),"Chai")</f>
        <v>Chai</v>
      </c>
      <c r="C604" s="87" t="str">
        <f>IFERROR(__xludf.DUMMYFUNCTION("""COMPUTED_VALUE"""),"CHV0126")</f>
        <v>CHV0126</v>
      </c>
      <c r="D604" s="87" t="str">
        <f>IFERROR(__xludf.DUMMYFUNCTION("""COMPUTED_VALUE"""),"Chai HDPE vuông cổ 45 250ml Cam 1 gu - Nắp cam")</f>
        <v>Chai HDPE vuông cổ 45 250ml Cam 1 gu - Nắp cam</v>
      </c>
      <c r="E604" s="87" t="str">
        <f>IFERROR(__xludf.DUMMYFUNCTION("""COMPUTED_VALUE"""),"Vi lượng Quantity New")</f>
        <v>Vi lượng Quantity New</v>
      </c>
      <c r="F604" s="87" t="str">
        <f>IFERROR(__xludf.DUMMYFUNCTION("""COMPUTED_VALUE"""),"HH0126")</f>
        <v>HH0126</v>
      </c>
      <c r="G604" s="87" t="str">
        <f>IFERROR(__xludf.DUMMYFUNCTION("""COMPUTED_VALUE"""),"GC - II - 693 - A Thời GNH - Siêu bung đọt mai (chai HD) - 1L - 20")</f>
        <v>GC - II - 693 - A Thời GNH - Siêu bung đọt mai (chai HD) - 1L - 20</v>
      </c>
    </row>
    <row r="605">
      <c r="A605" s="86">
        <f>IFERROR(__xludf.DUMMYFUNCTION("""COMPUTED_VALUE"""),603.0)</f>
        <v>603</v>
      </c>
      <c r="B605" s="87" t="str">
        <f>IFERROR(__xludf.DUMMYFUNCTION("""COMPUTED_VALUE"""),"Chai")</f>
        <v>Chai</v>
      </c>
      <c r="C605" s="87" t="str">
        <f>IFERROR(__xludf.DUMMYFUNCTION("""COMPUTED_VALUE"""),"CHV0127")</f>
        <v>CHV0127</v>
      </c>
      <c r="D605" s="87" t="str">
        <f>IFERROR(__xludf.DUMMYFUNCTION("""COMPUTED_VALUE"""),"Chai HDPE vuông cổ 45 250ml Xanh lá non 2 gu - Nắp xanh lá")</f>
        <v>Chai HDPE vuông cổ 45 250ml Xanh lá non 2 gu - Nắp xanh lá</v>
      </c>
      <c r="E605" s="87" t="str">
        <f>IFERROR(__xludf.DUMMYFUNCTION("""COMPUTED_VALUE"""),"Tikabamec 3.6EC")</f>
        <v>Tikabamec 3.6EC</v>
      </c>
      <c r="F605" s="87" t="str">
        <f>IFERROR(__xludf.DUMMYFUNCTION("""COMPUTED_VALUE"""),"HH0127")</f>
        <v>HH0127</v>
      </c>
      <c r="G605" s="87" t="str">
        <f>IFERROR(__xludf.DUMMYFUNCTION("""COMPUTED_VALUE"""),"GC - II - 696 - AGC - Gaba (mới) (Pet tròn)(nước đục) - 450ml - 40")</f>
        <v>GC - II - 696 - AGC - Gaba (mới) (Pet tròn)(nước đục) - 450ml - 40</v>
      </c>
    </row>
    <row r="606">
      <c r="A606" s="86">
        <f>IFERROR(__xludf.DUMMYFUNCTION("""COMPUTED_VALUE"""),604.0)</f>
        <v>604</v>
      </c>
      <c r="B606" s="87" t="str">
        <f>IFERROR(__xludf.DUMMYFUNCTION("""COMPUTED_VALUE"""),"Chai")</f>
        <v>Chai</v>
      </c>
      <c r="C606" s="87" t="str">
        <f>IFERROR(__xludf.DUMMYFUNCTION("""COMPUTED_VALUE"""),"CHT0128")</f>
        <v>CHT0128</v>
      </c>
      <c r="D606" s="87" t="str">
        <f>IFERROR(__xludf.DUMMYFUNCTION("""COMPUTED_VALUE"""),"Chai HDPE tròn cổ 43 250ml - Trắng  (vân 3 vòng trên thân)")</f>
        <v>Chai HDPE tròn cổ 43 250ml - Trắng  (vân 3 vòng trên thân)</v>
      </c>
      <c r="E606" s="87" t="str">
        <f>IFERROR(__xludf.DUMMYFUNCTION("""COMPUTED_VALUE"""),"TVZEB 800WP")</f>
        <v>TVZEB 800WP</v>
      </c>
      <c r="F606" s="87" t="str">
        <f>IFERROR(__xludf.DUMMYFUNCTION("""COMPUTED_VALUE"""),"HH0128")</f>
        <v>HH0128</v>
      </c>
      <c r="G606" s="87" t="str">
        <f>IFERROR(__xludf.DUMMYFUNCTION("""COMPUTED_VALUE"""),"GC - II - 697 - Agriplant - Mancozeb Xanh - 1kg - 20")</f>
        <v>GC - II - 697 - Agriplant - Mancozeb Xanh - 1kg - 20</v>
      </c>
    </row>
    <row r="607">
      <c r="A607" s="86">
        <f>IFERROR(__xludf.DUMMYFUNCTION("""COMPUTED_VALUE"""),605.0)</f>
        <v>605</v>
      </c>
      <c r="B607" s="87" t="str">
        <f>IFERROR(__xludf.DUMMYFUNCTION("""COMPUTED_VALUE"""),"Chai")</f>
        <v>Chai</v>
      </c>
      <c r="C607" s="87" t="str">
        <f>IFERROR(__xludf.DUMMYFUNCTION("""COMPUTED_VALUE"""),"CHV0129")</f>
        <v>CHV0129</v>
      </c>
      <c r="D607" s="87" t="str">
        <f>IFERROR(__xludf.DUMMYFUNCTION("""COMPUTED_VALUE"""),"Chai HDPE vuông cổ 45 250ml Vàng  2 gu - Nắp vàng")</f>
        <v>Chai HDPE vuông cổ 45 250ml Vàng  2 gu - Nắp vàng</v>
      </c>
      <c r="E607" s="87" t="str">
        <f>IFERROR(__xludf.DUMMYFUNCTION("""COMPUTED_VALUE"""),"TVZEB 800WP")</f>
        <v>TVZEB 800WP</v>
      </c>
      <c r="F607" s="87" t="str">
        <f>IFERROR(__xludf.DUMMYFUNCTION("""COMPUTED_VALUE"""),"HH0129")</f>
        <v>HH0129</v>
      </c>
      <c r="G607" s="87" t="str">
        <f>IFERROR(__xludf.DUMMYFUNCTION("""COMPUTED_VALUE"""),"GC - II - 697 - Agriplant - Mancozeb Xanh - 1kg - 20")</f>
        <v>GC - II - 697 - Agriplant - Mancozeb Xanh - 1kg - 20</v>
      </c>
    </row>
    <row r="608">
      <c r="A608" s="86">
        <f>IFERROR(__xludf.DUMMYFUNCTION("""COMPUTED_VALUE"""),606.0)</f>
        <v>606</v>
      </c>
      <c r="B608" s="87" t="str">
        <f>IFERROR(__xludf.DUMMYFUNCTION("""COMPUTED_VALUE"""),"Nắp")</f>
        <v>Nắp</v>
      </c>
      <c r="C608" s="87" t="str">
        <f>IFERROR(__xludf.DUMMYFUNCTION("""COMPUTED_VALUE"""),"NAP0105")</f>
        <v>NAP0105</v>
      </c>
      <c r="D608" s="87" t="str">
        <f>IFERROR(__xludf.DUMMYFUNCTION("""COMPUTED_VALUE"""),"Nắp HD cổ 43 - Xanh dương")</f>
        <v>Nắp HD cổ 43 - Xanh dương</v>
      </c>
      <c r="E608" s="87" t="str">
        <f>IFERROR(__xludf.DUMMYFUNCTION("""COMPUTED_VALUE"""),"Vi lượng Quantity New")</f>
        <v>Vi lượng Quantity New</v>
      </c>
      <c r="F608" s="87" t="str">
        <f>IFERROR(__xludf.DUMMYFUNCTION("""COMPUTED_VALUE"""),"HH0105")</f>
        <v>HH0105</v>
      </c>
      <c r="G608" s="87" t="str">
        <f>IFERROR(__xludf.DUMMYFUNCTION("""COMPUTED_VALUE"""),"GC - II - 698 - Nông Lâm Hoà Phát - Nofa Super (Chai HD) - 500ml - 40 ([btp], c)")</f>
        <v>GC - II - 698 - Nông Lâm Hoà Phát - Nofa Super (Chai HD) - 500ml - 40 ([btp], c)</v>
      </c>
    </row>
    <row r="609">
      <c r="A609" s="86">
        <f>IFERROR(__xludf.DUMMYFUNCTION("""COMPUTED_VALUE"""),607.0)</f>
        <v>607</v>
      </c>
      <c r="B609" s="87" t="str">
        <f>IFERROR(__xludf.DUMMYFUNCTION("""COMPUTED_VALUE"""),"Nắp")</f>
        <v>Nắp</v>
      </c>
      <c r="C609" s="87" t="str">
        <f>IFERROR(__xludf.DUMMYFUNCTION("""COMPUTED_VALUE"""),"NAP0106")</f>
        <v>NAP0106</v>
      </c>
      <c r="D609" s="87" t="str">
        <f>IFERROR(__xludf.DUMMYFUNCTION("""COMPUTED_VALUE"""),"Nắp HD cổ 43 - đỏ")</f>
        <v>Nắp HD cổ 43 - đỏ</v>
      </c>
      <c r="E609" s="87" t="str">
        <f>IFERROR(__xludf.DUMMYFUNCTION("""COMPUTED_VALUE"""),"Vi lượng Quantity New")</f>
        <v>Vi lượng Quantity New</v>
      </c>
      <c r="F609" s="87" t="str">
        <f>IFERROR(__xludf.DUMMYFUNCTION("""COMPUTED_VALUE"""),"HH0106")</f>
        <v>HH0106</v>
      </c>
      <c r="G609" s="87" t="str">
        <f>IFERROR(__xludf.DUMMYFUNCTION("""COMPUTED_VALUE"""),"GC - II - 699 - Nông Lâm Hoà Phát - Nofa Super (chai HD) - 1L - 20 ([btp] , c)")</f>
        <v>GC - II - 699 - Nông Lâm Hoà Phát - Nofa Super (chai HD) - 1L - 20 ([btp] , c)</v>
      </c>
    </row>
    <row r="610">
      <c r="A610" s="86">
        <f>IFERROR(__xludf.DUMMYFUNCTION("""COMPUTED_VALUE"""),608.0)</f>
        <v>608</v>
      </c>
      <c r="B610" s="87" t="str">
        <f>IFERROR(__xludf.DUMMYFUNCTION("""COMPUTED_VALUE"""),"Chai")</f>
        <v>Chai</v>
      </c>
      <c r="C610" s="87" t="str">
        <f>IFERROR(__xludf.DUMMYFUNCTION("""COMPUTED_VALUE"""),"CPT0129")</f>
        <v>CPT0129</v>
      </c>
      <c r="D610" s="87" t="str">
        <f>IFERROR(__xludf.DUMMYFUNCTION("""COMPUTED_VALUE"""),"Chai PET tròn cổ 38 250ml - Đỏ đô (42gr) - Nắp đỏ")</f>
        <v>Chai PET tròn cổ 38 250ml - Đỏ đô (42gr) - Nắp đỏ</v>
      </c>
      <c r="E610" s="87" t="str">
        <f>IFERROR(__xludf.DUMMYFUNCTION("""COMPUTED_VALUE"""),"NPK Bổ sung Vi lượng Basel NPK 6-6-8 IDA 33")</f>
        <v>NPK Bổ sung Vi lượng Basel NPK 6-6-8 IDA 33</v>
      </c>
      <c r="F610" s="87" t="str">
        <f>IFERROR(__xludf.DUMMYFUNCTION("""COMPUTED_VALUE"""),"HH0129")</f>
        <v>HH0129</v>
      </c>
      <c r="G610" s="87" t="str">
        <f>IFERROR(__xludf.DUMMYFUNCTION("""COMPUTED_VALUE"""),"IDA Global - I - 700 - Toto Boost - 30ml - 400")</f>
        <v>IDA Global - I - 700 - Toto Boost - 30ml - 400</v>
      </c>
    </row>
    <row r="611">
      <c r="A611" s="86">
        <f>IFERROR(__xludf.DUMMYFUNCTION("""COMPUTED_VALUE"""),609.0)</f>
        <v>609</v>
      </c>
      <c r="B611" s="87" t="str">
        <f>IFERROR(__xludf.DUMMYFUNCTION("""COMPUTED_VALUE"""),"Chai")</f>
        <v>Chai</v>
      </c>
      <c r="C611" s="87" t="str">
        <f>IFERROR(__xludf.DUMMYFUNCTION("""COMPUTED_VALUE"""),"CPT0130")</f>
        <v>CPT0130</v>
      </c>
      <c r="D611" s="87" t="str">
        <f>IFERROR(__xludf.DUMMYFUNCTION("""COMPUTED_VALUE"""),"Chai PET tròn trơn cổ 35 350ml (40g) - Trắng + nắp trắng")</f>
        <v>Chai PET tròn trơn cổ 35 350ml (40g) - Trắng + nắp trắng</v>
      </c>
      <c r="E611" s="87" t="str">
        <f>IFERROR(__xludf.DUMMYFUNCTION("""COMPUTED_VALUE"""),"NPK Bổ sung Vi lượng Basel NPK 6-6-8 IDA 33")</f>
        <v>NPK Bổ sung Vi lượng Basel NPK 6-6-8 IDA 33</v>
      </c>
      <c r="F611" s="87" t="str">
        <f>IFERROR(__xludf.DUMMYFUNCTION("""COMPUTED_VALUE"""),"HH0130")</f>
        <v>HH0130</v>
      </c>
      <c r="G611" s="87" t="str">
        <f>IFERROR(__xludf.DUMMYFUNCTION("""COMPUTED_VALUE"""),"IDA Global - I - 700 - Toto Boost - 30ml - 400")</f>
        <v>IDA Global - I - 700 - Toto Boost - 30ml - 400</v>
      </c>
    </row>
    <row r="612">
      <c r="A612" s="86">
        <f>IFERROR(__xludf.DUMMYFUNCTION("""COMPUTED_VALUE"""),610.0)</f>
        <v>610</v>
      </c>
      <c r="B612" s="87" t="str">
        <f>IFERROR(__xludf.DUMMYFUNCTION("""COMPUTED_VALUE"""),"Chai")</f>
        <v>Chai</v>
      </c>
      <c r="C612" s="87" t="str">
        <f>IFERROR(__xludf.DUMMYFUNCTION("""COMPUTED_VALUE"""),"CHT0131")</f>
        <v>CHT0131</v>
      </c>
      <c r="D612" s="87" t="str">
        <f>IFERROR(__xludf.DUMMYFUNCTION("""COMPUTED_VALUE"""),"Chai HDPE tròn cổ 50 500ml (70gr) Trắng + Nắp Cam")</f>
        <v>Chai HDPE tròn cổ 50 500ml (70gr) Trắng + Nắp Cam</v>
      </c>
      <c r="E612" s="87" t="str">
        <f>IFERROR(__xludf.DUMMYFUNCTION("""COMPUTED_VALUE"""),"NPK Bổ sung Vi lượng Basel NPK 6-6-8 IDA 33")</f>
        <v>NPK Bổ sung Vi lượng Basel NPK 6-6-8 IDA 33</v>
      </c>
      <c r="F612" s="87" t="str">
        <f>IFERROR(__xludf.DUMMYFUNCTION("""COMPUTED_VALUE"""),"HH0131")</f>
        <v>HH0131</v>
      </c>
      <c r="G612" s="87" t="str">
        <f>IFERROR(__xludf.DUMMYFUNCTION("""COMPUTED_VALUE"""),"IDA Global - I - 700 - Toto Boost - 30ml - 400")</f>
        <v>IDA Global - I - 700 - Toto Boost - 30ml - 400</v>
      </c>
    </row>
    <row r="613">
      <c r="A613" s="86">
        <f>IFERROR(__xludf.DUMMYFUNCTION("""COMPUTED_VALUE"""),611.0)</f>
        <v>611</v>
      </c>
      <c r="B613" s="87" t="str">
        <f>IFERROR(__xludf.DUMMYFUNCTION("""COMPUTED_VALUE"""),"Can")</f>
        <v>Can</v>
      </c>
      <c r="C613" s="87" t="str">
        <f>IFERROR(__xludf.DUMMYFUNCTION("""COMPUTED_VALUE"""),"CAN0021")</f>
        <v>CAN0021</v>
      </c>
      <c r="D613" s="87" t="str">
        <f>IFERROR(__xludf.DUMMYFUNCTION("""COMPUTED_VALUE"""),"Can HDPE 20L vuông đỏ, 4 chấm chống trượt (1.1kg) - Nắp trắng (27gr)")</f>
        <v>Can HDPE 20L vuông đỏ, 4 chấm chống trượt (1.1kg) - Nắp trắng (27gr)</v>
      </c>
      <c r="E613" s="87" t="str">
        <f>IFERROR(__xludf.DUMMYFUNCTION("""COMPUTED_VALUE"""),"RAYXANH 200WP")</f>
        <v>RAYXANH 200WP</v>
      </c>
      <c r="F613" s="87" t="str">
        <f>IFERROR(__xludf.DUMMYFUNCTION("""COMPUTED_VALUE"""),"HH0021")</f>
        <v>HH0021</v>
      </c>
      <c r="G613" s="87" t="str">
        <f>IFERROR(__xludf.DUMMYFUNCTION("""COMPUTED_VALUE"""),"GC - II - 701 - GNH - Ray xanh 200WP - 80gr - 150")</f>
        <v>GC - II - 701 - GNH - Ray xanh 200WP - 80gr - 150</v>
      </c>
    </row>
    <row r="614">
      <c r="A614" s="86">
        <f>IFERROR(__xludf.DUMMYFUNCTION("""COMPUTED_VALUE"""),612.0)</f>
        <v>612</v>
      </c>
      <c r="B614" s="87" t="str">
        <f>IFERROR(__xludf.DUMMYFUNCTION("""COMPUTED_VALUE"""),"Chai")</f>
        <v>Chai</v>
      </c>
      <c r="C614" s="87" t="str">
        <f>IFERROR(__xludf.DUMMYFUNCTION("""COMPUTED_VALUE"""),"CPT0132")</f>
        <v>CPT0132</v>
      </c>
      <c r="D614" s="87" t="str">
        <f>IFERROR(__xludf.DUMMYFUNCTION("""COMPUTED_VALUE"""),"Chai Pet tròn cao giả nhôm 250ml cổ 33 (35gr) Màu Vàng  Gold-  Nắp trắng, có cóc đong")</f>
        <v>Chai Pet tròn cao giả nhôm 250ml cổ 33 (35gr) Màu Vàng  Gold-  Nắp trắng, có cóc đong</v>
      </c>
      <c r="E614" s="87" t="str">
        <f>IFERROR(__xludf.DUMMYFUNCTION("""COMPUTED_VALUE"""),"Remy 19EC")</f>
        <v>Remy 19EC</v>
      </c>
      <c r="F614" s="87" t="str">
        <f>IFERROR(__xludf.DUMMYFUNCTION("""COMPUTED_VALUE"""),"HH0132")</f>
        <v>HH0132</v>
      </c>
      <c r="G614" s="87" t="str">
        <f>IFERROR(__xludf.DUMMYFUNCTION("""COMPUTED_VALUE"""),"GC - II - 702 - Giang Tây - Remy 19EC (chai tròn) - 450ml - 40")</f>
        <v>GC - II - 702 - Giang Tây - Remy 19EC (chai tròn) - 450ml - 40</v>
      </c>
    </row>
    <row r="615">
      <c r="A615" s="86">
        <f>IFERROR(__xludf.DUMMYFUNCTION("""COMPUTED_VALUE"""),613.0)</f>
        <v>613</v>
      </c>
      <c r="B615" s="87" t="str">
        <f>IFERROR(__xludf.DUMMYFUNCTION("""COMPUTED_VALUE"""),"Chai")</f>
        <v>Chai</v>
      </c>
      <c r="C615" s="87" t="str">
        <f>IFERROR(__xludf.DUMMYFUNCTION("""COMPUTED_VALUE"""),"CHT0133")</f>
        <v>CHT0133</v>
      </c>
      <c r="D615" s="87" t="str">
        <f>IFERROR(__xludf.DUMMYFUNCTION("""COMPUTED_VALUE"""),"Chai HDPE tròn cổ 31 500ml (80g) Vàng")</f>
        <v>Chai HDPE tròn cổ 31 500ml (80g) Vàng</v>
      </c>
      <c r="E615" s="87" t="str">
        <f>IFERROR(__xludf.DUMMYFUNCTION("""COMPUTED_VALUE"""),"TVZEB 800WP")</f>
        <v>TVZEB 800WP</v>
      </c>
      <c r="F615" s="87" t="str">
        <f>IFERROR(__xludf.DUMMYFUNCTION("""COMPUTED_VALUE"""),"HH0133")</f>
        <v>HH0133</v>
      </c>
      <c r="G615" s="87" t="str">
        <f>IFERROR(__xludf.DUMMYFUNCTION("""COMPUTED_VALUE"""),"LOT IDA Global - I - 703 - ĐL Bảy Hiền - Mancozeb xanh - 1kg - 20")</f>
        <v>LOT IDA Global - I - 703 - ĐL Bảy Hiền - Mancozeb xanh - 1kg - 20</v>
      </c>
    </row>
    <row r="616">
      <c r="A616" s="86">
        <f>IFERROR(__xludf.DUMMYFUNCTION("""COMPUTED_VALUE"""),614.0)</f>
        <v>614</v>
      </c>
      <c r="B616" s="87" t="str">
        <f>IFERROR(__xludf.DUMMYFUNCTION("""COMPUTED_VALUE"""),"Nắp")</f>
        <v>Nắp</v>
      </c>
      <c r="C616" s="87" t="str">
        <f>IFERROR(__xludf.DUMMYFUNCTION("""COMPUTED_VALUE"""),"NAP0107")</f>
        <v>NAP0107</v>
      </c>
      <c r="D616" s="87" t="str">
        <f>IFERROR(__xludf.DUMMYFUNCTION("""COMPUTED_VALUE"""),"Nắp HDPE cổ 31 (7g) Vàng")</f>
        <v>Nắp HDPE cổ 31 (7g) Vàng</v>
      </c>
      <c r="E616" s="87" t="str">
        <f>IFERROR(__xludf.DUMMYFUNCTION("""COMPUTED_VALUE"""),"Chitin 3.6EC")</f>
        <v>Chitin 3.6EC</v>
      </c>
      <c r="F616" s="87" t="str">
        <f>IFERROR(__xludf.DUMMYFUNCTION("""COMPUTED_VALUE"""),"HH0107")</f>
        <v>HH0107</v>
      </c>
      <c r="G616" s="87" t="str">
        <f>IFERROR(__xludf.DUMMYFUNCTION("""COMPUTED_VALUE"""),"GC - II - 704 - A Mạnh - Vua nhện (chai nhôm trắng)- 240ml - 60")</f>
        <v>GC - II - 704 - A Mạnh - Vua nhện (chai nhôm trắng)- 240ml - 60</v>
      </c>
    </row>
    <row r="617">
      <c r="A617" s="86">
        <f>IFERROR(__xludf.DUMMYFUNCTION("""COMPUTED_VALUE"""),615.0)</f>
        <v>615</v>
      </c>
      <c r="B617" s="87" t="str">
        <f>IFERROR(__xludf.DUMMYFUNCTION("""COMPUTED_VALUE"""),"Chai")</f>
        <v>Chai</v>
      </c>
      <c r="C617" s="87" t="str">
        <f>IFERROR(__xludf.DUMMYFUNCTION("""COMPUTED_VALUE"""),"CHT0134")</f>
        <v>CHT0134</v>
      </c>
      <c r="D617" s="87" t="str">
        <f>IFERROR(__xludf.DUMMYFUNCTION("""COMPUTED_VALUE"""),"Chai HDPE tròn cổ 48 250ml (40gr) 3 gù - Đỏ")</f>
        <v>Chai HDPE tròn cổ 48 250ml (40gr) 3 gù - Đỏ</v>
      </c>
      <c r="E617" s="87" t="str">
        <f>IFERROR(__xludf.DUMMYFUNCTION("""COMPUTED_VALUE"""),"Chitin 3.6EC")</f>
        <v>Chitin 3.6EC</v>
      </c>
      <c r="F617" s="87" t="str">
        <f>IFERROR(__xludf.DUMMYFUNCTION("""COMPUTED_VALUE"""),"HH0134")</f>
        <v>HH0134</v>
      </c>
      <c r="G617" s="87" t="str">
        <f>IFERROR(__xludf.DUMMYFUNCTION("""COMPUTED_VALUE"""),"GC - II - 704 - A Mạnh - Vua nhện (chai nhôm trắng)- 240ml - 60")</f>
        <v>GC - II - 704 - A Mạnh - Vua nhện (chai nhôm trắng)- 240ml - 60</v>
      </c>
    </row>
    <row r="618">
      <c r="A618" s="86">
        <f>IFERROR(__xludf.DUMMYFUNCTION("""COMPUTED_VALUE"""),616.0)</f>
        <v>616</v>
      </c>
      <c r="B618" s="87" t="str">
        <f>IFERROR(__xludf.DUMMYFUNCTION("""COMPUTED_VALUE"""),"Nắp")</f>
        <v>Nắp</v>
      </c>
      <c r="C618" s="87" t="str">
        <f>IFERROR(__xludf.DUMMYFUNCTION("""COMPUTED_VALUE"""),"NAP0108")</f>
        <v>NAP0108</v>
      </c>
      <c r="D618" s="87" t="str">
        <f>IFERROR(__xludf.DUMMYFUNCTION("""COMPUTED_VALUE"""),"Nắp HDPE cổ 48 (12gr) - Đỏ")</f>
        <v>Nắp HDPE cổ 48 (12gr) - Đỏ</v>
      </c>
      <c r="E618" s="87" t="str">
        <f>IFERROR(__xludf.DUMMYFUNCTION("""COMPUTED_VALUE"""),"Chitin 3.6EC")</f>
        <v>Chitin 3.6EC</v>
      </c>
      <c r="F618" s="87" t="str">
        <f>IFERROR(__xludf.DUMMYFUNCTION("""COMPUTED_VALUE"""),"HH0108")</f>
        <v>HH0108</v>
      </c>
      <c r="G618" s="87" t="str">
        <f>IFERROR(__xludf.DUMMYFUNCTION("""COMPUTED_VALUE"""),"IDA Global - I - 705 - ĐL Nguyễn Huy Phú -Nhện đỏ - Chai nhôm đỏ - 240ml - 60")</f>
        <v>IDA Global - I - 705 - ĐL Nguyễn Huy Phú -Nhện đỏ - Chai nhôm đỏ - 240ml - 60</v>
      </c>
    </row>
    <row r="619">
      <c r="A619" s="86">
        <f>IFERROR(__xludf.DUMMYFUNCTION("""COMPUTED_VALUE"""),617.0)</f>
        <v>617</v>
      </c>
      <c r="B619" s="87" t="str">
        <f>IFERROR(__xludf.DUMMYFUNCTION("""COMPUTED_VALUE"""),"Chai")</f>
        <v>Chai</v>
      </c>
      <c r="C619" s="87" t="str">
        <f>IFERROR(__xludf.DUMMYFUNCTION("""COMPUTED_VALUE"""),"CPV0135")</f>
        <v>CPV0135</v>
      </c>
      <c r="D619" s="87" t="str">
        <f>IFERROR(__xludf.DUMMYFUNCTION("""COMPUTED_VALUE"""),"Chai PET vuông cổ 43 1 lít (90gr) - Cam nắp vàng")</f>
        <v>Chai PET vuông cổ 43 1 lít (90gr) - Cam nắp vàng</v>
      </c>
      <c r="E619" s="87" t="str">
        <f>IFERROR(__xludf.DUMMYFUNCTION("""COMPUTED_VALUE"""),"CHIM ƯNG 3.8EC")</f>
        <v>CHIM ƯNG 3.8EC</v>
      </c>
      <c r="F619" s="87" t="str">
        <f>IFERROR(__xludf.DUMMYFUNCTION("""COMPUTED_VALUE"""),"HH0135")</f>
        <v>HH0135</v>
      </c>
      <c r="G619" s="87" t="str">
        <f>IFERROR(__xludf.DUMMYFUNCTION("""COMPUTED_VALUE"""),"IDA Global - I - 706 - X-Spider (chai Pape) (BTP Đỏ) - 240ml - 40 ([btp],t,c)")</f>
        <v>IDA Global - I - 706 - X-Spider (chai Pape) (BTP Đỏ) - 240ml - 40 ([btp],t,c)</v>
      </c>
    </row>
    <row r="620">
      <c r="A620" s="86">
        <f>IFERROR(__xludf.DUMMYFUNCTION("""COMPUTED_VALUE"""),618.0)</f>
        <v>618</v>
      </c>
      <c r="B620" s="87" t="str">
        <f>IFERROR(__xludf.DUMMYFUNCTION("""COMPUTED_VALUE"""),"Chai")</f>
        <v>Chai</v>
      </c>
      <c r="C620" s="87" t="str">
        <f>IFERROR(__xludf.DUMMYFUNCTION("""COMPUTED_VALUE"""),"CNT0136")</f>
        <v>CNT0136</v>
      </c>
      <c r="D620" s="87" t="str">
        <f>IFERROR(__xludf.DUMMYFUNCTION("""COMPUTED_VALUE"""),"Chai nhôm tròn 250ml (60gr)  Xanh lá - Nắp trắng có cốc đông")</f>
        <v>Chai nhôm tròn 250ml (60gr)  Xanh lá - Nắp trắng có cốc đông</v>
      </c>
      <c r="E620" s="87" t="str">
        <f>IFERROR(__xludf.DUMMYFUNCTION("""COMPUTED_VALUE"""),"CHIM ƯNG 3.8EC")</f>
        <v>CHIM ƯNG 3.8EC</v>
      </c>
      <c r="F620" s="87" t="str">
        <f>IFERROR(__xludf.DUMMYFUNCTION("""COMPUTED_VALUE"""),"HH0136")</f>
        <v>HH0136</v>
      </c>
      <c r="G620" s="87" t="str">
        <f>IFERROR(__xludf.DUMMYFUNCTION("""COMPUTED_VALUE"""),"IDA Global - I - 706 - X-Spider (chai Pape) (BTP Đỏ) - 240ml - 40 ([btp],t,c)")</f>
        <v>IDA Global - I - 706 - X-Spider (chai Pape) (BTP Đỏ) - 240ml - 40 ([btp],t,c)</v>
      </c>
    </row>
    <row r="621">
      <c r="A621" s="86">
        <f>IFERROR(__xludf.DUMMYFUNCTION("""COMPUTED_VALUE"""),619.0)</f>
        <v>619</v>
      </c>
      <c r="B621" s="87" t="str">
        <f>IFERROR(__xludf.DUMMYFUNCTION("""COMPUTED_VALUE"""),"Chai")</f>
        <v>Chai</v>
      </c>
      <c r="C621" s="87" t="str">
        <f>IFERROR(__xludf.DUMMYFUNCTION("""COMPUTED_VALUE"""),"CHT0137")</f>
        <v>CHT0137</v>
      </c>
      <c r="D621" s="87" t="str">
        <f>IFERROR(__xludf.DUMMYFUNCTION("""COMPUTED_VALUE"""),"Chai HD giả nhôm 50ml  tròn cổ 33  Vàng - Nắp trắng, có cốc đong")</f>
        <v>Chai HD giả nhôm 50ml  tròn cổ 33  Vàng - Nắp trắng, có cốc đong</v>
      </c>
      <c r="E621" s="87" t="str">
        <f>IFERROR(__xludf.DUMMYFUNCTION("""COMPUTED_VALUE"""),"CA MAP 350SC")</f>
        <v>CA MAP 350SC</v>
      </c>
      <c r="F621" s="87" t="str">
        <f>IFERROR(__xludf.DUMMYFUNCTION("""COMPUTED_VALUE"""),"HH0137")</f>
        <v>HH0137</v>
      </c>
      <c r="G621" s="87" t="str">
        <f>IFERROR(__xludf.DUMMYFUNCTION("""COMPUTED_VALUE"""),"IDA Global - I - 707 - Cá mập 350SC (chai HD) - 250ml - 40 ([btp],t,c)")</f>
        <v>IDA Global - I - 707 - Cá mập 350SC (chai HD) - 250ml - 40 ([btp],t,c)</v>
      </c>
    </row>
    <row r="622">
      <c r="A622" s="86">
        <f>IFERROR(__xludf.DUMMYFUNCTION("""COMPUTED_VALUE"""),620.0)</f>
        <v>620</v>
      </c>
      <c r="B622" s="87" t="str">
        <f>IFERROR(__xludf.DUMMYFUNCTION("""COMPUTED_VALUE"""),"Nắp")</f>
        <v>Nắp</v>
      </c>
      <c r="C622" s="87" t="str">
        <f>IFERROR(__xludf.DUMMYFUNCTION("""COMPUTED_VALUE"""),"NAP0109")</f>
        <v>NAP0109</v>
      </c>
      <c r="D622" s="87" t="str">
        <f>IFERROR(__xludf.DUMMYFUNCTION("""COMPUTED_VALUE"""),"Nắp HDPE cổ 50 + Seal nhiệt  - Đen")</f>
        <v>Nắp HDPE cổ 50 + Seal nhiệt  - Đen</v>
      </c>
      <c r="E622" s="87" t="str">
        <f>IFERROR(__xludf.DUMMYFUNCTION("""COMPUTED_VALUE"""),"NEW FUZE 200SC")</f>
        <v>NEW FUZE 200SC</v>
      </c>
      <c r="F622" s="87" t="str">
        <f>IFERROR(__xludf.DUMMYFUNCTION("""COMPUTED_VALUE"""),"HH0109")</f>
        <v>HH0109</v>
      </c>
      <c r="G622" s="87" t="str">
        <f>IFERROR(__xludf.DUMMYFUNCTION("""COMPUTED_VALUE"""),"IDA Global - I - 708 - Ếch vàng 200 (chai HD) - 200ml - 40 ([btp],t,c)")</f>
        <v>IDA Global - I - 708 - Ếch vàng 200 (chai HD) - 200ml - 40 ([btp],t,c)</v>
      </c>
    </row>
    <row r="623">
      <c r="A623" s="86">
        <f>IFERROR(__xludf.DUMMYFUNCTION("""COMPUTED_VALUE"""),621.0)</f>
        <v>621</v>
      </c>
      <c r="B623" s="87" t="str">
        <f>IFERROR(__xludf.DUMMYFUNCTION("""COMPUTED_VALUE"""),"Chai")</f>
        <v>Chai</v>
      </c>
      <c r="C623" s="87" t="str">
        <f>IFERROR(__xludf.DUMMYFUNCTION("""COMPUTED_VALUE"""),"CHT0138")</f>
        <v>CHT0138</v>
      </c>
      <c r="D623" s="87" t="str">
        <f>IFERROR(__xludf.DUMMYFUNCTION("""COMPUTED_VALUE"""),"Chai HDPE tròn 2 vân trên thân cổ 43 250ml (42gr) Trắng - Nắp trắng có granty (HG04)")</f>
        <v>Chai HDPE tròn 2 vân trên thân cổ 43 250ml (42gr) Trắng - Nắp trắng có granty (HG04)</v>
      </c>
      <c r="E623" s="87" t="str">
        <f>IFERROR(__xludf.DUMMYFUNCTION("""COMPUTED_VALUE"""),"Creek 51WG")</f>
        <v>Creek 51WG</v>
      </c>
      <c r="F623" s="87" t="str">
        <f>IFERROR(__xludf.DUMMYFUNCTION("""COMPUTED_VALUE"""),"HH0138")</f>
        <v>HH0138</v>
      </c>
      <c r="G623" s="87" t="str">
        <f>IFERROR(__xludf.DUMMYFUNCTION("""COMPUTED_VALUE"""),"IDA Global - I - 709 - Creek 51WG (túi nhôm) - 10gr - 200 ([btp],t,h)")</f>
        <v>IDA Global - I - 709 - Creek 51WG (túi nhôm) - 10gr - 200 ([btp],t,h)</v>
      </c>
    </row>
    <row r="624">
      <c r="A624" s="86">
        <f>IFERROR(__xludf.DUMMYFUNCTION("""COMPUTED_VALUE"""),622.0)</f>
        <v>622</v>
      </c>
      <c r="B624" s="87" t="str">
        <f>IFERROR(__xludf.DUMMYFUNCTION("""COMPUTED_VALUE"""),"Chai")</f>
        <v>Chai</v>
      </c>
      <c r="C624" s="87" t="str">
        <f>IFERROR(__xludf.DUMMYFUNCTION("""COMPUTED_VALUE"""),"CHT0139")</f>
        <v>CHT0139</v>
      </c>
      <c r="D624" s="87" t="str">
        <f>IFERROR(__xludf.DUMMYFUNCTION("""COMPUTED_VALUE"""),"Chai HDPE tròn 2 vân trên thân cổ 43 500ml (68gr) Trắng -  Nắp Trắng có granty (HG05)")</f>
        <v>Chai HDPE tròn 2 vân trên thân cổ 43 500ml (68gr) Trắng -  Nắp Trắng có granty (HG05)</v>
      </c>
      <c r="E624" s="87" t="str">
        <f>IFERROR(__xludf.DUMMYFUNCTION("""COMPUTED_VALUE"""),"PHOPPAWAY 80WG")</f>
        <v>PHOPPAWAY 80WG</v>
      </c>
      <c r="F624" s="87" t="str">
        <f>IFERROR(__xludf.DUMMYFUNCTION("""COMPUTED_VALUE"""),"HH0139")</f>
        <v>HH0139</v>
      </c>
      <c r="G624" s="87" t="str">
        <f>IFERROR(__xludf.DUMMYFUNCTION("""COMPUTED_VALUE"""),"IDA Global - I - 710 - Phoppaway 80 WG (túi nhôm) - 16gr - 200")</f>
        <v>IDA Global - I - 710 - Phoppaway 80 WG (túi nhôm) - 16gr - 200</v>
      </c>
    </row>
    <row r="625">
      <c r="A625" s="86">
        <f>IFERROR(__xludf.DUMMYFUNCTION("""COMPUTED_VALUE"""),623.0)</f>
        <v>623</v>
      </c>
      <c r="B625" s="87" t="str">
        <f>IFERROR(__xludf.DUMMYFUNCTION("""COMPUTED_VALUE"""),"Chai")</f>
        <v>Chai</v>
      </c>
      <c r="C625" s="87" t="str">
        <f>IFERROR(__xludf.DUMMYFUNCTION("""COMPUTED_VALUE"""),"CPV0140")</f>
        <v>CPV0140</v>
      </c>
      <c r="D625" s="87" t="str">
        <f>IFERROR(__xludf.DUMMYFUNCTION("""COMPUTED_VALUE"""),"Chai PET vuông cổ 44 Logo VISANTO 300ml (44gr) Đỏ- Nắp đỏ, Seal")</f>
        <v>Chai PET vuông cổ 44 Logo VISANTO 300ml (44gr) Đỏ- Nắp đỏ, Seal</v>
      </c>
      <c r="E625" s="87" t="str">
        <f>IFERROR(__xludf.DUMMYFUNCTION("""COMPUTED_VALUE"""),"PHOPPAWAY 80WG")</f>
        <v>PHOPPAWAY 80WG</v>
      </c>
      <c r="F625" s="87" t="str">
        <f>IFERROR(__xludf.DUMMYFUNCTION("""COMPUTED_VALUE"""),"HH0140")</f>
        <v>HH0140</v>
      </c>
      <c r="G625" s="87" t="str">
        <f>IFERROR(__xludf.DUMMYFUNCTION("""COMPUTED_VALUE"""),"IDA Global - I - 710 - Phoppaway 80 WG (túi nhôm) - 16gr - 200")</f>
        <v>IDA Global - I - 710 - Phoppaway 80 WG (túi nhôm) - 16gr - 200</v>
      </c>
    </row>
    <row r="626">
      <c r="A626" s="86">
        <f>IFERROR(__xludf.DUMMYFUNCTION("""COMPUTED_VALUE"""),624.0)</f>
        <v>624</v>
      </c>
      <c r="B626" s="87" t="str">
        <f>IFERROR(__xludf.DUMMYFUNCTION("""COMPUTED_VALUE"""),"Nắp")</f>
        <v>Nắp</v>
      </c>
      <c r="C626" s="87" t="str">
        <f>IFERROR(__xludf.DUMMYFUNCTION("""COMPUTED_VALUE"""),"NAP0110")</f>
        <v>NAP0110</v>
      </c>
      <c r="D626" s="87" t="str">
        <f>IFERROR(__xludf.DUMMYFUNCTION("""COMPUTED_VALUE"""),"Nắp HD 43 xanh lá")</f>
        <v>Nắp HD 43 xanh lá</v>
      </c>
      <c r="E626" s="87" t="str">
        <f>IFERROR(__xludf.DUMMYFUNCTION("""COMPUTED_VALUE"""),"VOTE 34.2SC")</f>
        <v>VOTE 34.2SC</v>
      </c>
      <c r="F626" s="87" t="str">
        <f>IFERROR(__xludf.DUMMYFUNCTION("""COMPUTED_VALUE"""),"HH0110")</f>
        <v>HH0110</v>
      </c>
      <c r="G626" s="87" t="str">
        <f>IFERROR(__xludf.DUMMYFUNCTION("""COMPUTED_VALUE"""),"IDA Global - I - 711 - Vua chim trĩ (chai HD)- 100ml - 100 ([btp] ,t,c)")</f>
        <v>IDA Global - I - 711 - Vua chim trĩ (chai HD)- 100ml - 100 ([btp] ,t,c)</v>
      </c>
    </row>
    <row r="627">
      <c r="A627" s="86">
        <f>IFERROR(__xludf.DUMMYFUNCTION("""COMPUTED_VALUE"""),625.0)</f>
        <v>625</v>
      </c>
      <c r="B627" s="87" t="str">
        <f>IFERROR(__xludf.DUMMYFUNCTION("""COMPUTED_VALUE"""),"Chai")</f>
        <v>Chai</v>
      </c>
      <c r="C627" s="87" t="str">
        <f>IFERROR(__xludf.DUMMYFUNCTION("""COMPUTED_VALUE"""),"CHT0141")</f>
        <v>CHT0141</v>
      </c>
      <c r="D627" s="87" t="str">
        <f>IFERROR(__xludf.DUMMYFUNCTION("""COMPUTED_VALUE"""),"TP - Chai HDPE tròn cổ 48 500ml (60gr) - Xanh lá")</f>
        <v>TP - Chai HDPE tròn cổ 48 500ml (60gr) - Xanh lá</v>
      </c>
      <c r="E627" s="87" t="str">
        <f>IFERROR(__xludf.DUMMYFUNCTION("""COMPUTED_VALUE"""),"PYXOATE 44EC")</f>
        <v>PYXOATE 44EC</v>
      </c>
      <c r="F627" s="87" t="str">
        <f>IFERROR(__xludf.DUMMYFUNCTION("""COMPUTED_VALUE"""),"HH0141")</f>
        <v>HH0141</v>
      </c>
      <c r="G627" s="87" t="str">
        <f>IFERROR(__xludf.DUMMYFUNCTION("""COMPUTED_VALUE"""),"IDA Global - I - 712 - Siêu Xông Hơi (chai PET tròn)- 450ml - 40 ([btp],t)")</f>
        <v>IDA Global - I - 712 - Siêu Xông Hơi (chai PET tròn)- 450ml - 40 ([btp],t)</v>
      </c>
    </row>
    <row r="628">
      <c r="A628" s="86">
        <f>IFERROR(__xludf.DUMMYFUNCTION("""COMPUTED_VALUE"""),626.0)</f>
        <v>626</v>
      </c>
      <c r="B628" s="87" t="str">
        <f>IFERROR(__xludf.DUMMYFUNCTION("""COMPUTED_VALUE"""),"Nắp")</f>
        <v>Nắp</v>
      </c>
      <c r="C628" s="87" t="str">
        <f>IFERROR(__xludf.DUMMYFUNCTION("""COMPUTED_VALUE"""),"NAP0117")</f>
        <v>NAP0117</v>
      </c>
      <c r="D628" s="87" t="str">
        <f>IFERROR(__xludf.DUMMYFUNCTION("""COMPUTED_VALUE"""),"TP - Nắp PP có Guranter cổ 48 500ml (13gr)- Xanh lá")</f>
        <v>TP - Nắp PP có Guranter cổ 48 500ml (13gr)- Xanh lá</v>
      </c>
      <c r="E628" s="87" t="str">
        <f>IFERROR(__xludf.DUMMYFUNCTION("""COMPUTED_VALUE"""),"PICOSUPER 280SC")</f>
        <v>PICOSUPER 280SC</v>
      </c>
      <c r="F628" s="87" t="str">
        <f>IFERROR(__xludf.DUMMYFUNCTION("""COMPUTED_VALUE"""),"HH0117")</f>
        <v>HH0117</v>
      </c>
      <c r="G628" s="87" t="str">
        <f>IFERROR(__xludf.DUMMYFUNCTION("""COMPUTED_VALUE"""),"IDA Global - I - 713 - Picosuper 280SC (chai Pape) (BTP Trắng) - 250ml - 40 ([btp],t,c)")</f>
        <v>IDA Global - I - 713 - Picosuper 280SC (chai Pape) (BTP Trắng) - 250ml - 40 ([btp],t,c)</v>
      </c>
    </row>
    <row r="629">
      <c r="A629" s="86">
        <f>IFERROR(__xludf.DUMMYFUNCTION("""COMPUTED_VALUE"""),627.0)</f>
        <v>627</v>
      </c>
      <c r="B629" s="87" t="str">
        <f>IFERROR(__xludf.DUMMYFUNCTION("""COMPUTED_VALUE"""),"Cóc")</f>
        <v>Cóc</v>
      </c>
      <c r="C629" s="87" t="str">
        <f>IFERROR(__xludf.DUMMYFUNCTION("""COMPUTED_VALUE"""),"COC0004")</f>
        <v>COC0004</v>
      </c>
      <c r="D629" s="87" t="str">
        <f>IFERROR(__xludf.DUMMYFUNCTION("""COMPUTED_VALUE"""),"Cốc đong cổ 49 50ml - Trắng trong")</f>
        <v>Cốc đong cổ 49 50ml - Trắng trong</v>
      </c>
      <c r="E629" s="87" t="str">
        <f>IFERROR(__xludf.DUMMYFUNCTION("""COMPUTED_VALUE"""),"PICOSUPER 280SC")</f>
        <v>PICOSUPER 280SC</v>
      </c>
      <c r="F629" s="87" t="str">
        <f>IFERROR(__xludf.DUMMYFUNCTION("""COMPUTED_VALUE"""),"HH0004")</f>
        <v>HH0004</v>
      </c>
      <c r="G629" s="87" t="str">
        <f>IFERROR(__xludf.DUMMYFUNCTION("""COMPUTED_VALUE"""),"IDA Global - I - 713.1 - Picosuper 280SC (Chai Pape)(nước trắng sữa) - 240ml - 40 ([btp],t,c)")</f>
        <v>IDA Global - I - 713.1 - Picosuper 280SC (Chai Pape)(nước trắng sữa) - 240ml - 40 ([btp],t,c)</v>
      </c>
    </row>
    <row r="630">
      <c r="A630" s="86">
        <f>IFERROR(__xludf.DUMMYFUNCTION("""COMPUTED_VALUE"""),628.0)</f>
        <v>628</v>
      </c>
      <c r="B630" s="87" t="str">
        <f>IFERROR(__xludf.DUMMYFUNCTION("""COMPUTED_VALUE"""),"Chai")</f>
        <v>Chai</v>
      </c>
      <c r="C630" s="87" t="str">
        <f>IFERROR(__xludf.DUMMYFUNCTION("""COMPUTED_VALUE"""),"CHT0142")</f>
        <v>CHT0142</v>
      </c>
      <c r="D630" s="87" t="str">
        <f>IFERROR(__xludf.DUMMYFUNCTION("""COMPUTED_VALUE"""),"Chai HDPE tròn cổ 31 500ml (80g) Đen")</f>
        <v>Chai HDPE tròn cổ 31 500ml (80g) Đen</v>
      </c>
      <c r="E630" s="87" t="str">
        <f>IFERROR(__xludf.DUMMYFUNCTION("""COMPUTED_VALUE"""),"PICOSUPER 280SC")</f>
        <v>PICOSUPER 280SC</v>
      </c>
      <c r="F630" s="87" t="str">
        <f>IFERROR(__xludf.DUMMYFUNCTION("""COMPUTED_VALUE"""),"HH0142")</f>
        <v>HH0142</v>
      </c>
      <c r="G630" s="87" t="str">
        <f>IFERROR(__xludf.DUMMYFUNCTION("""COMPUTED_VALUE"""),"IDA Global - I - 713.1 - Picosuper 280SC (Chai Pape)(nước trắng sữa) - 240ml - 40 ([btp],t,c)")</f>
        <v>IDA Global - I - 713.1 - Picosuper 280SC (Chai Pape)(nước trắng sữa) - 240ml - 40 ([btp],t,c)</v>
      </c>
    </row>
    <row r="631">
      <c r="A631" s="86">
        <f>IFERROR(__xludf.DUMMYFUNCTION("""COMPUTED_VALUE"""),629.0)</f>
        <v>629</v>
      </c>
      <c r="B631" s="87" t="str">
        <f>IFERROR(__xludf.DUMMYFUNCTION("""COMPUTED_VALUE"""),"Nắp")</f>
        <v>Nắp</v>
      </c>
      <c r="C631" s="87" t="str">
        <f>IFERROR(__xludf.DUMMYFUNCTION("""COMPUTED_VALUE"""),"NAP0111")</f>
        <v>NAP0111</v>
      </c>
      <c r="D631" s="87" t="str">
        <f>IFERROR(__xludf.DUMMYFUNCTION("""COMPUTED_VALUE"""),"Nắp HDPE cổ 31 (7g) Đen")</f>
        <v>Nắp HDPE cổ 31 (7g) Đen</v>
      </c>
      <c r="E631" s="87" t="str">
        <f>IFERROR(__xludf.DUMMYFUNCTION("""COMPUTED_VALUE"""),"VATINO SUPER 525SE")</f>
        <v>VATINO SUPER 525SE</v>
      </c>
      <c r="F631" s="87" t="str">
        <f>IFERROR(__xludf.DUMMYFUNCTION("""COMPUTED_VALUE"""),"HH0111")</f>
        <v>HH0111</v>
      </c>
      <c r="G631" s="87" t="str">
        <f>IFERROR(__xludf.DUMMYFUNCTION("""COMPUTED_VALUE"""),"IDA Global - I - 714 - Vatino Super 525SE (Chai Pape) - 250ml - 40 ([btp],c,t)")</f>
        <v>IDA Global - I - 714 - Vatino Super 525SE (Chai Pape) - 250ml - 40 ([btp],c,t)</v>
      </c>
    </row>
    <row r="632">
      <c r="A632" s="86">
        <f>IFERROR(__xludf.DUMMYFUNCTION("""COMPUTED_VALUE"""),630.0)</f>
        <v>630</v>
      </c>
      <c r="B632" s="87" t="str">
        <f>IFERROR(__xludf.DUMMYFUNCTION("""COMPUTED_VALUE"""),"Băng keo")</f>
        <v>Băng keo</v>
      </c>
      <c r="C632" s="87" t="str">
        <f>IFERROR(__xludf.DUMMYFUNCTION("""COMPUTED_VALUE"""),"VT0054")</f>
        <v>VT0054</v>
      </c>
      <c r="D632" s="87" t="str">
        <f>IFERROR(__xludf.DUMMYFUNCTION("""COMPUTED_VALUE"""),"Băng keo - IDA")</f>
        <v>Băng keo - IDA</v>
      </c>
      <c r="E632" s="87" t="str">
        <f>IFERROR(__xludf.DUMMYFUNCTION("""COMPUTED_VALUE"""),"THALONIL 75WP")</f>
        <v>THALONIL 75WP</v>
      </c>
      <c r="F632" s="87" t="str">
        <f>IFERROR(__xludf.DUMMYFUNCTION("""COMPUTED_VALUE"""),"HH0054")</f>
        <v>HH0054</v>
      </c>
      <c r="G632" s="87" t="str">
        <f>IFERROR(__xludf.DUMMYFUNCTION("""COMPUTED_VALUE"""),"IDA Global - I - 715 - Chloronil (flexo) - 100gr - 100 ([btp] , t)")</f>
        <v>IDA Global - I - 715 - Chloronil (flexo) - 100gr - 100 ([btp] , t)</v>
      </c>
    </row>
    <row r="633">
      <c r="A633" s="86">
        <f>IFERROR(__xludf.DUMMYFUNCTION("""COMPUTED_VALUE"""),631.0)</f>
        <v>631</v>
      </c>
      <c r="B633" s="87" t="str">
        <f>IFERROR(__xludf.DUMMYFUNCTION("""COMPUTED_VALUE"""),"Cóc")</f>
        <v>Cóc</v>
      </c>
      <c r="C633" s="87" t="str">
        <f>IFERROR(__xludf.DUMMYFUNCTION("""COMPUTED_VALUE"""),"COC0005")</f>
        <v>COC0005</v>
      </c>
      <c r="D633" s="87" t="str">
        <f>IFERROR(__xludf.DUMMYFUNCTION("""COMPUTED_VALUE"""),"Cốc đong cổ 38-50 80ml - Trắng trong")</f>
        <v>Cốc đong cổ 38-50 80ml - Trắng trong</v>
      </c>
      <c r="E633" s="87" t="str">
        <f>IFERROR(__xludf.DUMMYFUNCTION("""COMPUTED_VALUE"""),"NPK Bổ sung Vi lượng Basel NPK 6-6-8 IDA 33")</f>
        <v>NPK Bổ sung Vi lượng Basel NPK 6-6-8 IDA 33</v>
      </c>
      <c r="F633" s="87" t="str">
        <f>IFERROR(__xludf.DUMMYFUNCTION("""COMPUTED_VALUE"""),"HH0005")</f>
        <v>HH0005</v>
      </c>
      <c r="G633" s="87" t="str">
        <f>IFERROR(__xludf.DUMMYFUNCTION("""COMPUTED_VALUE"""),"IDA Global - I - 716 - Toto - Boost (chai HD) - 240ml - 40 ([btp],t,c)")</f>
        <v>IDA Global - I - 716 - Toto - Boost (chai HD) - 240ml - 40 ([btp],t,c)</v>
      </c>
    </row>
    <row r="634">
      <c r="A634" s="86">
        <f>IFERROR(__xludf.DUMMYFUNCTION("""COMPUTED_VALUE"""),632.0)</f>
        <v>632</v>
      </c>
      <c r="B634" s="87" t="str">
        <f>IFERROR(__xludf.DUMMYFUNCTION("""COMPUTED_VALUE"""),"Chai")</f>
        <v>Chai</v>
      </c>
      <c r="C634" s="87" t="str">
        <f>IFERROR(__xludf.DUMMYFUNCTION("""COMPUTED_VALUE"""),"CPT0143")</f>
        <v>CPT0143</v>
      </c>
      <c r="D634" s="87" t="str">
        <f>IFERROR(__xludf.DUMMYFUNCTION("""COMPUTED_VALUE"""),"TP - Chai PET tròn cổ 43 250ml (29gr) -   Nâu")</f>
        <v>TP - Chai PET tròn cổ 43 250ml (29gr) -   Nâu</v>
      </c>
      <c r="E634" s="87" t="str">
        <f>IFERROR(__xludf.DUMMYFUNCTION("""COMPUTED_VALUE"""),"Vi lượng Basel IDA 49")</f>
        <v>Vi lượng Basel IDA 49</v>
      </c>
      <c r="F634" s="87" t="str">
        <f>IFERROR(__xludf.DUMMYFUNCTION("""COMPUTED_VALUE"""),"HH0143")</f>
        <v>HH0143</v>
      </c>
      <c r="G634" s="87" t="str">
        <f>IFERROR(__xludf.DUMMYFUNCTION("""COMPUTED_VALUE"""),"IDA Global - I - 717 - Combi Boost (chai HD) - 240ml - 40 ([btp],t,c)")</f>
        <v>IDA Global - I - 717 - Combi Boost (chai HD) - 240ml - 40 ([btp],t,c)</v>
      </c>
    </row>
    <row r="635">
      <c r="A635" s="86">
        <f>IFERROR(__xludf.DUMMYFUNCTION("""COMPUTED_VALUE"""),633.0)</f>
        <v>633</v>
      </c>
      <c r="B635" s="87" t="str">
        <f>IFERROR(__xludf.DUMMYFUNCTION("""COMPUTED_VALUE"""),"Chai")</f>
        <v>Chai</v>
      </c>
      <c r="C635" s="87" t="str">
        <f>IFERROR(__xludf.DUMMYFUNCTION("""COMPUTED_VALUE"""),"CPT0144")</f>
        <v>CPT0144</v>
      </c>
      <c r="D635" s="87" t="str">
        <f>IFERROR(__xludf.DUMMYFUNCTION("""COMPUTED_VALUE"""),"Chai Pet tròn giả nhôm 100ml cổ 33 Màu xám -  Nắp trắng, có cóc đong")</f>
        <v>Chai Pet tròn giả nhôm 100ml cổ 33 Màu xám -  Nắp trắng, có cóc đong</v>
      </c>
      <c r="E635" s="87" t="str">
        <f>IFERROR(__xludf.DUMMYFUNCTION("""COMPUTED_VALUE"""),"PYXOATE 44EC")</f>
        <v>PYXOATE 44EC</v>
      </c>
      <c r="F635" s="87" t="str">
        <f>IFERROR(__xludf.DUMMYFUNCTION("""COMPUTED_VALUE"""),"HH0144")</f>
        <v>HH0144</v>
      </c>
      <c r="G635" s="87" t="str">
        <f>IFERROR(__xludf.DUMMYFUNCTION("""COMPUTED_VALUE"""),"GC - IV - Châu Giang - 718 - Bi 58 Plus+ - (chai PET tròn) - 400ml - 30")</f>
        <v>GC - IV - Châu Giang - 718 - Bi 58 Plus+ - (chai PET tròn) - 400ml - 30</v>
      </c>
    </row>
    <row r="636">
      <c r="A636" s="86" t="str">
        <f>IFERROR(__xludf.DUMMYFUNCTION("""COMPUTED_VALUE"""),"")</f>
        <v/>
      </c>
      <c r="B636" s="87"/>
      <c r="C636" s="87" t="str">
        <f>IFERROR(__xludf.DUMMYFUNCTION("""COMPUTED_VALUE"""),"BON0145")</f>
        <v>BON0145</v>
      </c>
      <c r="D636" s="87" t="str">
        <f>IFERROR(__xludf.DUMMYFUNCTION("""COMPUTED_VALUE"""),"Bồn nhựa HDPE 500 Lít - Xanh dương")</f>
        <v>Bồn nhựa HDPE 500 Lít - Xanh dương</v>
      </c>
      <c r="E636" s="87" t="str">
        <f>IFERROR(__xludf.DUMMYFUNCTION("""COMPUTED_VALUE"""),"Prima 04")</f>
        <v>Prima 04</v>
      </c>
      <c r="F636" s="87" t="str">
        <f>IFERROR(__xludf.DUMMYFUNCTION("""COMPUTED_VALUE"""),"HH0145")</f>
        <v>HH0145</v>
      </c>
      <c r="G636" s="87" t="str">
        <f>IFERROR(__xludf.DUMMYFUNCTION("""COMPUTED_VALUE"""),"IDA Global - I - 719 - Cabor plus (chai HD) - 500ml - 40 ([btp],t,c)")</f>
        <v>IDA Global - I - 719 - Cabor plus (chai HD) - 500ml - 40 ([btp],t,c)</v>
      </c>
    </row>
    <row r="637">
      <c r="A637" s="86">
        <f>IFERROR(__xludf.DUMMYFUNCTION("""COMPUTED_VALUE"""),635.0)</f>
        <v>635</v>
      </c>
      <c r="B637" s="87" t="str">
        <f>IFERROR(__xludf.DUMMYFUNCTION("""COMPUTED_VALUE"""),"Chai")</f>
        <v>Chai</v>
      </c>
      <c r="C637" s="87" t="str">
        <f>IFERROR(__xludf.DUMMYFUNCTION("""COMPUTED_VALUE"""),"CPT0146")</f>
        <v>CPT0146</v>
      </c>
      <c r="D637" s="87" t="str">
        <f>IFERROR(__xludf.DUMMYFUNCTION("""COMPUTED_VALUE"""),"Chai PAPE  tròn giả nhôm 500ml  Màu đỏ -  Nắp trắng, có cóc đong")</f>
        <v>Chai PAPE  tròn giả nhôm 500ml  Màu đỏ -  Nắp trắng, có cóc đong</v>
      </c>
      <c r="E637" s="87" t="str">
        <f>IFERROR(__xludf.DUMMYFUNCTION("""COMPUTED_VALUE"""),"Tikabamec 3.6EC")</f>
        <v>Tikabamec 3.6EC</v>
      </c>
      <c r="F637" s="87" t="str">
        <f>IFERROR(__xludf.DUMMYFUNCTION("""COMPUTED_VALUE"""),"HH0146")</f>
        <v>HH0146</v>
      </c>
      <c r="G637" s="87" t="str">
        <f>IFERROR(__xludf.DUMMYFUNCTION("""COMPUTED_VALUE"""),"GC - IV - 720 - Agritech - Tikabamec 3.6 EC (PET tròn) (nước đục) - 450ml - 40")</f>
        <v>GC - IV - 720 - Agritech - Tikabamec 3.6 EC (PET tròn) (nước đục) - 450ml - 40</v>
      </c>
    </row>
    <row r="638">
      <c r="A638" s="86" t="str">
        <f>IFERROR(__xludf.DUMMYFUNCTION("""COMPUTED_VALUE"""),"")</f>
        <v/>
      </c>
      <c r="B638" s="87"/>
      <c r="C638" s="87" t="str">
        <f>IFERROR(__xludf.DUMMYFUNCTION("""COMPUTED_VALUE"""),"BON0147")</f>
        <v>BON0147</v>
      </c>
      <c r="D638" s="87" t="str">
        <f>IFERROR(__xludf.DUMMYFUNCTION("""COMPUTED_VALUE"""),"Phuy nhựa HDPE 200 Lít - Xanh dương")</f>
        <v>Phuy nhựa HDPE 200 Lít - Xanh dương</v>
      </c>
      <c r="E638" s="87" t="str">
        <f>IFERROR(__xludf.DUMMYFUNCTION("""COMPUTED_VALUE"""),"Tikabamec 3.6EC")</f>
        <v>Tikabamec 3.6EC</v>
      </c>
      <c r="F638" s="87" t="str">
        <f>IFERROR(__xludf.DUMMYFUNCTION("""COMPUTED_VALUE"""),"HH0147")</f>
        <v>HH0147</v>
      </c>
      <c r="G638" s="87" t="str">
        <f>IFERROR(__xludf.DUMMYFUNCTION("""COMPUTED_VALUE"""),"GC - IV - 721 - Agritech - Tikabamec 3.6 EC (PET tròn) (nước đục) - 450ml - 40")</f>
        <v>GC - IV - 721 - Agritech - Tikabamec 3.6 EC (PET tròn) (nước đục) - 450ml - 40</v>
      </c>
    </row>
    <row r="639">
      <c r="A639" s="86">
        <f>IFERROR(__xludf.DUMMYFUNCTION("""COMPUTED_VALUE"""),637.0)</f>
        <v>637</v>
      </c>
      <c r="B639" s="87" t="str">
        <f>IFERROR(__xludf.DUMMYFUNCTION("""COMPUTED_VALUE"""),"Chai")</f>
        <v>Chai</v>
      </c>
      <c r="C639" s="87" t="str">
        <f>IFERROR(__xludf.DUMMYFUNCTION("""COMPUTED_VALUE"""),"CPT0148")</f>
        <v>CPT0148</v>
      </c>
      <c r="D639" s="87" t="str">
        <f>IFERROR(__xludf.DUMMYFUNCTION("""COMPUTED_VALUE"""),"TP - Chai PET tròn 250ml cổ 38 (60gr) - Màu Vàng đồng - Nắp trắng")</f>
        <v>TP - Chai PET tròn 250ml cổ 38 (60gr) - Màu Vàng đồng - Nắp trắng</v>
      </c>
      <c r="E639" s="87" t="str">
        <f>IFERROR(__xludf.DUMMYFUNCTION("""COMPUTED_VALUE"""),"VOTE 34.2SC")</f>
        <v>VOTE 34.2SC</v>
      </c>
      <c r="F639" s="87" t="str">
        <f>IFERROR(__xludf.DUMMYFUNCTION("""COMPUTED_VALUE"""),"HH0148")</f>
        <v>HH0148</v>
      </c>
      <c r="G639" s="87" t="str">
        <f>IFERROR(__xludf.DUMMYFUNCTION("""COMPUTED_VALUE"""),"IDA Global - I - 722 - Vua chim trĩ (chai HD)- 240ml - 40 ([btp],t)")</f>
        <v>IDA Global - I - 722 - Vua chim trĩ (chai HD)- 240ml - 40 ([btp],t)</v>
      </c>
    </row>
    <row r="640">
      <c r="A640" s="86">
        <f>IFERROR(__xludf.DUMMYFUNCTION("""COMPUTED_VALUE"""),638.0)</f>
        <v>638</v>
      </c>
      <c r="B640" s="87" t="str">
        <f>IFERROR(__xludf.DUMMYFUNCTION("""COMPUTED_VALUE"""),"Chai")</f>
        <v>Chai</v>
      </c>
      <c r="C640" s="87" t="str">
        <f>IFERROR(__xludf.DUMMYFUNCTION("""COMPUTED_VALUE"""),"CPT0149")</f>
        <v>CPT0149</v>
      </c>
      <c r="D640" s="87" t="str">
        <f>IFERROR(__xludf.DUMMYFUNCTION("""COMPUTED_VALUE"""),"Chai pet tròn cổ 38 250ml - Màu tím (41gr) - Nắp tai bèo trắng (8gr) + cóc đong")</f>
        <v>Chai pet tròn cổ 38 250ml - Màu tím (41gr) - Nắp tai bèo trắng (8gr) + cóc đong</v>
      </c>
      <c r="E640" s="87" t="str">
        <f>IFERROR(__xludf.DUMMYFUNCTION("""COMPUTED_VALUE"""),"JAVI VIL 50SC")</f>
        <v>JAVI VIL 50SC</v>
      </c>
      <c r="F640" s="87" t="str">
        <f>IFERROR(__xludf.DUMMYFUNCTION("""COMPUTED_VALUE"""),"HH0149")</f>
        <v>HH0149</v>
      </c>
      <c r="G640" s="87" t="str">
        <f>IFERROR(__xludf.DUMMYFUNCTION("""COMPUTED_VALUE"""),"IDA Global - I - 723 - Javi vil 50SC (Chai HD) (BTP Vàng) - 1L - 20 ([btp], t)")</f>
        <v>IDA Global - I - 723 - Javi vil 50SC (Chai HD) (BTP Vàng) - 1L - 20 ([btp], t)</v>
      </c>
    </row>
    <row r="641">
      <c r="A641" s="86" t="str">
        <f>IFERROR(__xludf.DUMMYFUNCTION("""COMPUTED_VALUE"""),"")</f>
        <v/>
      </c>
      <c r="B641" s="87"/>
      <c r="C641" s="87" t="str">
        <f>IFERROR(__xludf.DUMMYFUNCTION("""COMPUTED_VALUE"""),"BON0150")</f>
        <v>BON0150</v>
      </c>
      <c r="D641" s="87" t="str">
        <f>IFERROR(__xludf.DUMMYFUNCTION("""COMPUTED_VALUE"""),"Phuy nhựa HDPE 200 Lít - Xanh dương  + Nắp xanh dương")</f>
        <v>Phuy nhựa HDPE 200 Lít - Xanh dương  + Nắp xanh dương</v>
      </c>
      <c r="E641" s="87" t="str">
        <f>IFERROR(__xludf.DUMMYFUNCTION("""COMPUTED_VALUE"""),"Prima 04")</f>
        <v>Prima 04</v>
      </c>
      <c r="F641" s="87" t="str">
        <f>IFERROR(__xludf.DUMMYFUNCTION("""COMPUTED_VALUE"""),"HH0150")</f>
        <v>HH0150</v>
      </c>
      <c r="G641" s="87" t="str">
        <f>IFERROR(__xludf.DUMMYFUNCTION("""COMPUTED_VALUE"""),"GC - II - 724 - Nông Lâm Hoà Phát - Humiix Us - 10kg - 1")</f>
        <v>GC - II - 724 - Nông Lâm Hoà Phát - Humiix Us - 10kg - 1</v>
      </c>
    </row>
    <row r="642">
      <c r="A642" s="86">
        <f>IFERROR(__xludf.DUMMYFUNCTION("""COMPUTED_VALUE"""),640.0)</f>
        <v>640</v>
      </c>
      <c r="B642" s="87" t="str">
        <f>IFERROR(__xludf.DUMMYFUNCTION("""COMPUTED_VALUE"""),"Chai")</f>
        <v>Chai</v>
      </c>
      <c r="C642" s="87" t="str">
        <f>IFERROR(__xludf.DUMMYFUNCTION("""COMPUTED_VALUE"""),"CHT0151")</f>
        <v>CHT0151</v>
      </c>
      <c r="D642" s="87" t="str">
        <f>IFERROR(__xludf.DUMMYFUNCTION("""COMPUTED_VALUE"""),"PN - Chai HDPE tròn cổ 45 1Lít (110g) - Trắng (không ganty)")</f>
        <v>PN - Chai HDPE tròn cổ 45 1Lít (110g) - Trắng (không ganty)</v>
      </c>
      <c r="E642" s="87" t="str">
        <f>IFERROR(__xludf.DUMMYFUNCTION("""COMPUTED_VALUE"""),"CA MAP 350SC")</f>
        <v>CA MAP 350SC</v>
      </c>
      <c r="F642" s="87" t="str">
        <f>IFERROR(__xludf.DUMMYFUNCTION("""COMPUTED_VALUE"""),"HH0151")</f>
        <v>HH0151</v>
      </c>
      <c r="G642" s="87" t="str">
        <f>IFERROR(__xludf.DUMMYFUNCTION("""COMPUTED_VALUE"""),"IDA Global - I - 725 - Cá mập 350SC (chai HD) - 100ml - 100 ([btp],t,c)")</f>
        <v>IDA Global - I - 725 - Cá mập 350SC (chai HD) - 100ml - 100 ([btp],t,c)</v>
      </c>
    </row>
    <row r="643">
      <c r="A643" s="86">
        <f>IFERROR(__xludf.DUMMYFUNCTION("""COMPUTED_VALUE"""),641.0)</f>
        <v>641</v>
      </c>
      <c r="B643" s="87" t="str">
        <f>IFERROR(__xludf.DUMMYFUNCTION("""COMPUTED_VALUE"""),"Nắp")</f>
        <v>Nắp</v>
      </c>
      <c r="C643" s="87" t="str">
        <f>IFERROR(__xludf.DUMMYFUNCTION("""COMPUTED_VALUE"""),"NAP0112")</f>
        <v>NAP0112</v>
      </c>
      <c r="D643" s="87" t="str">
        <f>IFERROR(__xludf.DUMMYFUNCTION("""COMPUTED_VALUE"""),"PN - Nắp HDPE cổ 45 Trắng (không ganty)")</f>
        <v>PN - Nắp HDPE cổ 45 Trắng (không ganty)</v>
      </c>
      <c r="E643" s="87" t="str">
        <f>IFERROR(__xludf.DUMMYFUNCTION("""COMPUTED_VALUE"""),"Vi lượng Quantity New")</f>
        <v>Vi lượng Quantity New</v>
      </c>
      <c r="F643" s="87" t="str">
        <f>IFERROR(__xludf.DUMMYFUNCTION("""COMPUTED_VALUE"""),"HH0112")</f>
        <v>HH0112</v>
      </c>
      <c r="G643" s="87" t="str">
        <f>IFERROR(__xludf.DUMMYFUNCTION("""COMPUTED_VALUE"""),"IDA Global - I - 726 - Vita Boost (chai HD)- 500 ml - 40 ([btp],t,c)")</f>
        <v>IDA Global - I - 726 - Vita Boost (chai HD)- 500 ml - 40 ([btp],t,c)</v>
      </c>
    </row>
    <row r="644">
      <c r="A644" s="86">
        <f>IFERROR(__xludf.DUMMYFUNCTION("""COMPUTED_VALUE"""),642.0)</f>
        <v>642</v>
      </c>
      <c r="B644" s="87" t="str">
        <f>IFERROR(__xludf.DUMMYFUNCTION("""COMPUTED_VALUE"""),"Nắp")</f>
        <v>Nắp</v>
      </c>
      <c r="C644" s="87" t="str">
        <f>IFERROR(__xludf.DUMMYFUNCTION("""COMPUTED_VALUE"""),"NAP0113")</f>
        <v>NAP0113</v>
      </c>
      <c r="D644" s="87" t="str">
        <f>IFERROR(__xludf.DUMMYFUNCTION("""COMPUTED_VALUE"""),"PN -  Nắp HDPE cổ 45 Xanh Dương (không ganty)")</f>
        <v>PN -  Nắp HDPE cổ 45 Xanh Dương (không ganty)</v>
      </c>
      <c r="E644" s="87" t="str">
        <f>IFERROR(__xludf.DUMMYFUNCTION("""COMPUTED_VALUE"""),"NEW FUZE 200SC")</f>
        <v>NEW FUZE 200SC</v>
      </c>
      <c r="F644" s="87" t="str">
        <f>IFERROR(__xludf.DUMMYFUNCTION("""COMPUTED_VALUE"""),"HH0113")</f>
        <v>HH0113</v>
      </c>
      <c r="G644" s="87" t="str">
        <f>IFERROR(__xludf.DUMMYFUNCTION("""COMPUTED_VALUE"""),"IDA Global - I - 727 - Ếch vàng 200 (chai HD) - 100ML - 100 ([btp],t,c)")</f>
        <v>IDA Global - I - 727 - Ếch vàng 200 (chai HD) - 100ML - 100 ([btp],t,c)</v>
      </c>
    </row>
    <row r="645">
      <c r="A645" s="86">
        <f>IFERROR(__xludf.DUMMYFUNCTION("""COMPUTED_VALUE"""),643.0)</f>
        <v>643</v>
      </c>
      <c r="B645" s="87" t="str">
        <f>IFERROR(__xludf.DUMMYFUNCTION("""COMPUTED_VALUE"""),"Chai")</f>
        <v>Chai</v>
      </c>
      <c r="C645" s="87" t="str">
        <f>IFERROR(__xludf.DUMMYFUNCTION("""COMPUTED_VALUE"""),"CHT0152")</f>
        <v>CHT0152</v>
      </c>
      <c r="D645" s="87" t="str">
        <f>IFERROR(__xludf.DUMMYFUNCTION("""COMPUTED_VALUE"""),"Chai HDPE tròn 3 cạnh cổ 30 100ml  Màu xanh lá - Nắp xanh lá")</f>
        <v>Chai HDPE tròn 3 cạnh cổ 30 100ml  Màu xanh lá - Nắp xanh lá</v>
      </c>
      <c r="E645" s="87" t="str">
        <f>IFERROR(__xludf.DUMMYFUNCTION("""COMPUTED_VALUE"""),"Doremon 70WP")</f>
        <v>Doremon 70WP</v>
      </c>
      <c r="F645" s="87" t="str">
        <f>IFERROR(__xludf.DUMMYFUNCTION("""COMPUTED_VALUE"""),"HH0152")</f>
        <v>HH0152</v>
      </c>
      <c r="G645" s="87" t="str">
        <f>IFERROR(__xludf.DUMMYFUNCTION("""COMPUTED_VALUE"""),"GC - II - 728 - Propineb 350gr - 24")</f>
        <v>GC - II - 728 - Propineb 350gr - 24</v>
      </c>
    </row>
    <row r="646">
      <c r="A646" s="86">
        <f>IFERROR(__xludf.DUMMYFUNCTION("""COMPUTED_VALUE"""),644.0)</f>
        <v>644</v>
      </c>
      <c r="B646" s="87" t="str">
        <f>IFERROR(__xludf.DUMMYFUNCTION("""COMPUTED_VALUE"""),"Chai")</f>
        <v>Chai</v>
      </c>
      <c r="C646" s="87" t="str">
        <f>IFERROR(__xludf.DUMMYFUNCTION("""COMPUTED_VALUE"""),"CPT0153")</f>
        <v>CPT0153</v>
      </c>
      <c r="D646" s="87" t="str">
        <f>IFERROR(__xludf.DUMMYFUNCTION("""COMPUTED_VALUE"""),"Chai Pet tròn cổ 38 500ml - Màu tím (65gr) - Nắp tai bèo trắng (8gr) + cóc đong")</f>
        <v>Chai Pet tròn cổ 38 500ml - Màu tím (65gr) - Nắp tai bèo trắng (8gr) + cóc đong</v>
      </c>
      <c r="E646" s="87" t="str">
        <f>IFERROR(__xludf.DUMMYFUNCTION("""COMPUTED_VALUE"""),"CHIM ƯNG 3.8EC")</f>
        <v>CHIM ƯNG 3.8EC</v>
      </c>
      <c r="F646" s="87" t="str">
        <f>IFERROR(__xludf.DUMMYFUNCTION("""COMPUTED_VALUE"""),"HH0153")</f>
        <v>HH0153</v>
      </c>
      <c r="G646" s="87" t="str">
        <f>IFERROR(__xludf.DUMMYFUNCTION("""COMPUTED_VALUE"""),"GC - II - 729 - AGC - Redmite (chai nhôm đỏ) (BTP Đỏ) - 240ml - 40")</f>
        <v>GC - II - 729 - AGC - Redmite (chai nhôm đỏ) (BTP Đỏ) - 240ml - 40</v>
      </c>
    </row>
    <row r="647">
      <c r="A647" s="86">
        <f>IFERROR(__xludf.DUMMYFUNCTION("""COMPUTED_VALUE"""),645.0)</f>
        <v>645</v>
      </c>
      <c r="B647" s="87" t="str">
        <f>IFERROR(__xludf.DUMMYFUNCTION("""COMPUTED_VALUE"""),"Chai")</f>
        <v>Chai</v>
      </c>
      <c r="C647" s="87" t="str">
        <f>IFERROR(__xludf.DUMMYFUNCTION("""COMPUTED_VALUE"""),"CPT0154")</f>
        <v>CPT0154</v>
      </c>
      <c r="D647" s="87" t="str">
        <f>IFERROR(__xludf.DUMMYFUNCTION("""COMPUTED_VALUE"""),"Chai Pet tròn giả nhôm 100ml cổ 33  Màu Vàng -  Nắp trắng, có cóc đong")</f>
        <v>Chai Pet tròn giả nhôm 100ml cổ 33  Màu Vàng -  Nắp trắng, có cóc đong</v>
      </c>
      <c r="E647" s="87" t="str">
        <f>IFERROR(__xludf.DUMMYFUNCTION("""COMPUTED_VALUE"""),"Creek 2.1EC")</f>
        <v>Creek 2.1EC</v>
      </c>
      <c r="F647" s="87" t="str">
        <f>IFERROR(__xludf.DUMMYFUNCTION("""COMPUTED_VALUE"""),"HH0154")</f>
        <v>HH0154</v>
      </c>
      <c r="G647" s="87" t="str">
        <f>IFERROR(__xludf.DUMMYFUNCTION("""COMPUTED_VALUE"""),"GC - I - 730 - ĐL Kim Khoa - Creek 2.1EC (Chai PET vuông) - 450ml - 40")</f>
        <v>GC - I - 730 - ĐL Kim Khoa - Creek 2.1EC (Chai PET vuông) - 450ml - 40</v>
      </c>
    </row>
    <row r="648">
      <c r="A648" s="86">
        <f>IFERROR(__xludf.DUMMYFUNCTION("""COMPUTED_VALUE"""),646.0)</f>
        <v>646</v>
      </c>
      <c r="B648" s="87" t="str">
        <f>IFERROR(__xludf.DUMMYFUNCTION("""COMPUTED_VALUE"""),"Chai")</f>
        <v>Chai</v>
      </c>
      <c r="C648" s="87" t="str">
        <f>IFERROR(__xludf.DUMMYFUNCTION("""COMPUTED_VALUE"""),"CPT0155")</f>
        <v>CPT0155</v>
      </c>
      <c r="D648" s="87" t="str">
        <f>IFERROR(__xludf.DUMMYFUNCTION("""COMPUTED_VALUE"""),"Chai Pet tròn cổ 38 500ml - Màu vàng giả nhôm (65gr) - Nắp trắng (7gr)")</f>
        <v>Chai Pet tròn cổ 38 500ml - Màu vàng giả nhôm (65gr) - Nắp trắng (7gr)</v>
      </c>
      <c r="E648" s="87" t="str">
        <f>IFERROR(__xludf.DUMMYFUNCTION("""COMPUTED_VALUE"""),"Creek 2.1EC")</f>
        <v>Creek 2.1EC</v>
      </c>
      <c r="F648" s="87" t="str">
        <f>IFERROR(__xludf.DUMMYFUNCTION("""COMPUTED_VALUE"""),"HH0155")</f>
        <v>HH0155</v>
      </c>
      <c r="G648" s="87" t="str">
        <f>IFERROR(__xludf.DUMMYFUNCTION("""COMPUTED_VALUE"""),"GC - I - 730 - ĐL Kim Khoa - Creek 2.1EC (Chai PET vuông) - 450ml - 40")</f>
        <v>GC - I - 730 - ĐL Kim Khoa - Creek 2.1EC (Chai PET vuông) - 450ml - 40</v>
      </c>
    </row>
    <row r="649">
      <c r="A649" s="86">
        <f>IFERROR(__xludf.DUMMYFUNCTION("""COMPUTED_VALUE"""),647.0)</f>
        <v>647</v>
      </c>
      <c r="B649" s="87" t="str">
        <f>IFERROR(__xludf.DUMMYFUNCTION("""COMPUTED_VALUE"""),"Chai")</f>
        <v>Chai</v>
      </c>
      <c r="C649" s="87" t="str">
        <f>IFERROR(__xludf.DUMMYFUNCTION("""COMPUTED_VALUE"""),"CPT0156")</f>
        <v>CPT0156</v>
      </c>
      <c r="D649" s="87" t="str">
        <f>IFERROR(__xludf.DUMMYFUNCTION("""COMPUTED_VALUE"""),"Chai Pet tròn giả nhôm 100ml cổ 33  Màu Xanh - Nắp trắng, có cóc đong")</f>
        <v>Chai Pet tròn giả nhôm 100ml cổ 33  Màu Xanh - Nắp trắng, có cóc đong</v>
      </c>
      <c r="E649" s="87" t="str">
        <f>IFERROR(__xludf.DUMMYFUNCTION("""COMPUTED_VALUE"""),"Tikabamec 3.6EC")</f>
        <v>Tikabamec 3.6EC</v>
      </c>
      <c r="F649" s="87" t="str">
        <f>IFERROR(__xludf.DUMMYFUNCTION("""COMPUTED_VALUE"""),"HH0156")</f>
        <v>HH0156</v>
      </c>
      <c r="G649" s="87" t="str">
        <f>IFERROR(__xludf.DUMMYFUNCTION("""COMPUTED_VALUE"""),"GC - IV - 731 - Agrikey VN - Abamex (PET vuông) (nước trong) - 450ml - 40")</f>
        <v>GC - IV - 731 - Agrikey VN - Abamex (PET vuông) (nước trong) - 450ml - 40</v>
      </c>
    </row>
    <row r="650">
      <c r="A650" s="86">
        <f>IFERROR(__xludf.DUMMYFUNCTION("""COMPUTED_VALUE"""),648.0)</f>
        <v>648</v>
      </c>
      <c r="B650" s="87" t="str">
        <f>IFERROR(__xludf.DUMMYFUNCTION("""COMPUTED_VALUE"""),"Chai")</f>
        <v>Chai</v>
      </c>
      <c r="C650" s="87" t="str">
        <f>IFERROR(__xludf.DUMMYFUNCTION("""COMPUTED_VALUE"""),"CPT0157")</f>
        <v>CPT0157</v>
      </c>
      <c r="D650" s="87" t="str">
        <f>IFERROR(__xludf.DUMMYFUNCTION("""COMPUTED_VALUE"""),"Chai Pet tròn giả nhôm 250ml cổ 33 - Màu Xanh - Nắp trắng, có cóc đong")</f>
        <v>Chai Pet tròn giả nhôm 250ml cổ 33 - Màu Xanh - Nắp trắng, có cóc đong</v>
      </c>
      <c r="E650" s="87" t="str">
        <f>IFERROR(__xludf.DUMMYFUNCTION("""COMPUTED_VALUE"""),"Tikabamec 3.6EC")</f>
        <v>Tikabamec 3.6EC</v>
      </c>
      <c r="F650" s="87" t="str">
        <f>IFERROR(__xludf.DUMMYFUNCTION("""COMPUTED_VALUE"""),"HH0157")</f>
        <v>HH0157</v>
      </c>
      <c r="G650" s="87" t="str">
        <f>IFERROR(__xludf.DUMMYFUNCTION("""COMPUTED_VALUE"""),"GC - IV - 732 - Agrikey VN - Kamex 36 (PET vuông) (nước trong) - 450ml - 40")</f>
        <v>GC - IV - 732 - Agrikey VN - Kamex 36 (PET vuông) (nước trong) - 450ml - 40</v>
      </c>
    </row>
    <row r="651">
      <c r="A651" s="86">
        <f>IFERROR(__xludf.DUMMYFUNCTION("""COMPUTED_VALUE"""),649.0)</f>
        <v>649</v>
      </c>
      <c r="B651" s="87" t="str">
        <f>IFERROR(__xludf.DUMMYFUNCTION("""COMPUTED_VALUE"""),"Chai")</f>
        <v>Chai</v>
      </c>
      <c r="C651" s="87" t="str">
        <f>IFERROR(__xludf.DUMMYFUNCTION("""COMPUTED_VALUE"""),"CPT0158")</f>
        <v>CPT0158</v>
      </c>
      <c r="D651" s="87" t="str">
        <f>IFERROR(__xludf.DUMMYFUNCTION("""COMPUTED_VALUE"""),"Chai Pet tròn giả nhôm 500ml cổ 38 - Màu Xanh - Nắp trắng")</f>
        <v>Chai Pet tròn giả nhôm 500ml cổ 38 - Màu Xanh - Nắp trắng</v>
      </c>
      <c r="E651" s="87" t="str">
        <f>IFERROR(__xludf.DUMMYFUNCTION("""COMPUTED_VALUE"""),"CHIM ƯNG 3.8EC")</f>
        <v>CHIM ƯNG 3.8EC</v>
      </c>
      <c r="F651" s="87" t="str">
        <f>IFERROR(__xludf.DUMMYFUNCTION("""COMPUTED_VALUE"""),"HH0158")</f>
        <v>HH0158</v>
      </c>
      <c r="G651" s="87" t="str">
        <f>IFERROR(__xludf.DUMMYFUNCTION("""COMPUTED_VALUE"""),"GC - IV - 733 - Kim Ngọc - Chim Ưng 3.8EC (chai nhôm đỏ) - 240ml - 40")</f>
        <v>GC - IV - 733 - Kim Ngọc - Chim Ưng 3.8EC (chai nhôm đỏ) - 240ml - 40</v>
      </c>
    </row>
    <row r="652">
      <c r="A652" s="86" t="str">
        <f>IFERROR(__xludf.DUMMYFUNCTION("""COMPUTED_VALUE"""),"")</f>
        <v/>
      </c>
      <c r="B652" s="87"/>
      <c r="C652" s="87" t="str">
        <f>IFERROR(__xludf.DUMMYFUNCTION("""COMPUTED_VALUE"""),"CET0159")</f>
        <v>CET0159</v>
      </c>
      <c r="D652" s="87" t="str">
        <f>IFERROR(__xludf.DUMMYFUNCTION("""COMPUTED_VALUE"""),"Chai PAPE tròn cổ 43 240,250ml (40gr) - Trắng, Nắp xanh lá, có cóc đong")</f>
        <v>Chai PAPE tròn cổ 43 240,250ml (40gr) - Trắng, Nắp xanh lá, có cóc đong</v>
      </c>
      <c r="E652" s="87" t="str">
        <f>IFERROR(__xludf.DUMMYFUNCTION("""COMPUTED_VALUE"""),"THALONIL 75WP")</f>
        <v>THALONIL 75WP</v>
      </c>
      <c r="F652" s="87" t="str">
        <f>IFERROR(__xludf.DUMMYFUNCTION("""COMPUTED_VALUE"""),"HH0159")</f>
        <v>HH0159</v>
      </c>
      <c r="G652" s="87" t="str">
        <f>IFERROR(__xludf.DUMMYFUNCTION("""COMPUTED_VALUE"""),"GC - IV - 734 - Kim Ngọc - Thalonil 75W (túi nhôm) - 100gr - 100")</f>
        <v>GC - IV - 734 - Kim Ngọc - Thalonil 75W (túi nhôm) - 100gr - 100</v>
      </c>
    </row>
    <row r="653">
      <c r="A653" s="86">
        <f>IFERROR(__xludf.DUMMYFUNCTION("""COMPUTED_VALUE"""),651.0)</f>
        <v>651</v>
      </c>
      <c r="B653" s="87" t="str">
        <f>IFERROR(__xludf.DUMMYFUNCTION("""COMPUTED_VALUE"""),"Chai")</f>
        <v>Chai</v>
      </c>
      <c r="C653" s="87" t="str">
        <f>IFERROR(__xludf.DUMMYFUNCTION("""COMPUTED_VALUE"""),"CPT0160")</f>
        <v>CPT0160</v>
      </c>
      <c r="D653" s="87" t="str">
        <f>IFERROR(__xludf.DUMMYFUNCTION("""COMPUTED_VALUE"""),"Chai Pet tròn 1 Lít - Màu trắng trơn - Nắp trắng(127gr)")</f>
        <v>Chai Pet tròn 1 Lít - Màu trắng trơn - Nắp trắng(127gr)</v>
      </c>
      <c r="E653" s="87" t="str">
        <f>IFERROR(__xludf.DUMMYFUNCTION("""COMPUTED_VALUE"""),"BYPHAN 800WP")</f>
        <v>BYPHAN 800WP</v>
      </c>
      <c r="F653" s="87" t="str">
        <f>IFERROR(__xludf.DUMMYFUNCTION("""COMPUTED_VALUE"""),"HH0160")</f>
        <v>HH0160</v>
      </c>
      <c r="G653" s="87" t="str">
        <f>IFERROR(__xludf.DUMMYFUNCTION("""COMPUTED_VALUE"""),"GC - IV - 735 - AU - Manco xanh (túi nhôm) - 1 Kg - 20")</f>
        <v>GC - IV - 735 - AU - Manco xanh (túi nhôm) - 1 Kg - 20</v>
      </c>
    </row>
    <row r="654">
      <c r="A654" s="86">
        <f>IFERROR(__xludf.DUMMYFUNCTION("""COMPUTED_VALUE"""),652.0)</f>
        <v>652</v>
      </c>
      <c r="B654" s="87" t="str">
        <f>IFERROR(__xludf.DUMMYFUNCTION("""COMPUTED_VALUE"""),"Chai")</f>
        <v>Chai</v>
      </c>
      <c r="C654" s="87" t="str">
        <f>IFERROR(__xludf.DUMMYFUNCTION("""COMPUTED_VALUE"""),"CPT0161")</f>
        <v>CPT0161</v>
      </c>
      <c r="D654" s="87" t="str">
        <f>IFERROR(__xludf.DUMMYFUNCTION("""COMPUTED_VALUE"""),"Chai PET tròn cổ 38 500ml - Cam")</f>
        <v>Chai PET tròn cổ 38 500ml - Cam</v>
      </c>
      <c r="E654" s="87" t="str">
        <f>IFERROR(__xludf.DUMMYFUNCTION("""COMPUTED_VALUE"""),"BYPHAN 800WP")</f>
        <v>BYPHAN 800WP</v>
      </c>
      <c r="F654" s="87" t="str">
        <f>IFERROR(__xludf.DUMMYFUNCTION("""COMPUTED_VALUE"""),"HH0161")</f>
        <v>HH0161</v>
      </c>
      <c r="G654" s="87" t="str">
        <f>IFERROR(__xludf.DUMMYFUNCTION("""COMPUTED_VALUE"""),"GC - IV - 735 - AU - Manco xanh (túi nhôm) - 1 Kg - 20")</f>
        <v>GC - IV - 735 - AU - Manco xanh (túi nhôm) - 1 Kg - 20</v>
      </c>
    </row>
    <row r="655">
      <c r="A655" s="86">
        <f>IFERROR(__xludf.DUMMYFUNCTION("""COMPUTED_VALUE"""),653.0)</f>
        <v>653</v>
      </c>
      <c r="B655" s="87" t="str">
        <f>IFERROR(__xludf.DUMMYFUNCTION("""COMPUTED_VALUE"""),"Chai")</f>
        <v>Chai</v>
      </c>
      <c r="C655" s="87" t="str">
        <f>IFERROR(__xludf.DUMMYFUNCTION("""COMPUTED_VALUE"""),"CHT0162")</f>
        <v>CHT0162</v>
      </c>
      <c r="D655" s="87" t="str">
        <f>IFERROR(__xludf.DUMMYFUNCTION("""COMPUTED_VALUE"""),"TP- Chai HDPE tròn cổ 47 240ml (40gr) 3 gù - Trắng, Nắp trắng")</f>
        <v>TP- Chai HDPE tròn cổ 47 240ml (40gr) 3 gù - Trắng, Nắp trắng</v>
      </c>
      <c r="E655" s="87" t="str">
        <f>IFERROR(__xludf.DUMMYFUNCTION("""COMPUTED_VALUE"""),"TVZEB 800WP")</f>
        <v>TVZEB 800WP</v>
      </c>
      <c r="F655" s="87" t="str">
        <f>IFERROR(__xludf.DUMMYFUNCTION("""COMPUTED_VALUE"""),"HH0162")</f>
        <v>HH0162</v>
      </c>
      <c r="G655" s="87" t="str">
        <f>IFERROR(__xludf.DUMMYFUNCTION("""COMPUTED_VALUE"""),"GC - IV - 736 - Huy Phát - Manco Xanh - 1kg - 20")</f>
        <v>GC - IV - 736 - Huy Phát - Manco Xanh - 1kg - 20</v>
      </c>
    </row>
    <row r="656">
      <c r="A656" s="86">
        <f>IFERROR(__xludf.DUMMYFUNCTION("""COMPUTED_VALUE"""),654.0)</f>
        <v>654</v>
      </c>
      <c r="B656" s="87" t="str">
        <f>IFERROR(__xludf.DUMMYFUNCTION("""COMPUTED_VALUE"""),"Bao")</f>
        <v>Bao</v>
      </c>
      <c r="C656" s="87" t="str">
        <f>IFERROR(__xludf.DUMMYFUNCTION("""COMPUTED_VALUE"""),"BAO0008")</f>
        <v>BAO0008</v>
      </c>
      <c r="D656" s="87" t="str">
        <f>IFERROR(__xludf.DUMMYFUNCTION("""COMPUTED_VALUE"""),"Bao trắng trong 1kg (25x35cm) - Có dây rút")</f>
        <v>Bao trắng trong 1kg (25x35cm) - Có dây rút</v>
      </c>
      <c r="E656" s="87" t="str">
        <f>IFERROR(__xludf.DUMMYFUNCTION("""COMPUTED_VALUE"""),"TVZEB 800WP")</f>
        <v>TVZEB 800WP</v>
      </c>
      <c r="F656" s="87" t="str">
        <f>IFERROR(__xludf.DUMMYFUNCTION("""COMPUTED_VALUE"""),"HH0008")</f>
        <v>HH0008</v>
      </c>
      <c r="G656" s="87" t="str">
        <f>IFERROR(__xludf.DUMMYFUNCTION("""COMPUTED_VALUE"""),"GC - IV - 736 - Huy Phát - Manco Xanh - 1kg - 20")</f>
        <v>GC - IV - 736 - Huy Phát - Manco Xanh - 1kg - 20</v>
      </c>
    </row>
    <row r="657">
      <c r="A657" s="86">
        <f>IFERROR(__xludf.DUMMYFUNCTION("""COMPUTED_VALUE"""),655.0)</f>
        <v>655</v>
      </c>
      <c r="B657" s="87" t="str">
        <f>IFERROR(__xludf.DUMMYFUNCTION("""COMPUTED_VALUE"""),"Lon")</f>
        <v>Lon</v>
      </c>
      <c r="C657" s="87" t="str">
        <f>IFERROR(__xludf.DUMMYFUNCTION("""COMPUTED_VALUE"""),"LON0002")</f>
        <v>LON0002</v>
      </c>
      <c r="D657" s="87" t="str">
        <f>IFERROR(__xludf.DUMMYFUNCTION("""COMPUTED_VALUE"""),"Lon HDPE tròn 1 kg (123gr) - Trắng, Nắp trắng")</f>
        <v>Lon HDPE tròn 1 kg (123gr) - Trắng, Nắp trắng</v>
      </c>
      <c r="E657" s="87" t="str">
        <f>IFERROR(__xludf.DUMMYFUNCTION("""COMPUTED_VALUE"""),"RAYXANH 200WP")</f>
        <v>RAYXANH 200WP</v>
      </c>
      <c r="F657" s="87" t="str">
        <f>IFERROR(__xludf.DUMMYFUNCTION("""COMPUTED_VALUE"""),"HH0002")</f>
        <v>HH0002</v>
      </c>
      <c r="G657" s="87" t="str">
        <f>IFERROR(__xludf.DUMMYFUNCTION("""COMPUTED_VALUE"""),"GC - IV - 737 - AU - Rayxanh 200WP (túi nhôm) - 85gr - 150")</f>
        <v>GC - IV - 737 - AU - Rayxanh 200WP (túi nhôm) - 85gr - 150</v>
      </c>
    </row>
    <row r="658">
      <c r="A658" s="86">
        <f>IFERROR(__xludf.DUMMYFUNCTION("""COMPUTED_VALUE"""),656.0)</f>
        <v>656</v>
      </c>
      <c r="B658" s="87" t="str">
        <f>IFERROR(__xludf.DUMMYFUNCTION("""COMPUTED_VALUE"""),"Chai")</f>
        <v>Chai</v>
      </c>
      <c r="C658" s="87" t="str">
        <f>IFERROR(__xludf.DUMMYFUNCTION("""COMPUTED_VALUE"""),"CHT0163")</f>
        <v>CHT0163</v>
      </c>
      <c r="D658" s="87" t="str">
        <f>IFERROR(__xludf.DUMMYFUNCTION("""COMPUTED_VALUE"""),"TP - Chai HDPE tròn cổ 48 500ml (60gr) - Xanh biển")</f>
        <v>TP - Chai HDPE tròn cổ 48 500ml (60gr) - Xanh biển</v>
      </c>
      <c r="E658" s="87" t="str">
        <f>IFERROR(__xludf.DUMMYFUNCTION("""COMPUTED_VALUE"""),"CITIZEN 333SC")</f>
        <v>CITIZEN 333SC</v>
      </c>
      <c r="F658" s="87" t="str">
        <f>IFERROR(__xludf.DUMMYFUNCTION("""COMPUTED_VALUE"""),"HH0163")</f>
        <v>HH0163</v>
      </c>
      <c r="G658" s="87" t="str">
        <f>IFERROR(__xludf.DUMMYFUNCTION("""COMPUTED_VALUE"""),"IDA Global - I - 738 - Citizen 333SC (chai HD) - 450ml - 40 ([btp],c)")</f>
        <v>IDA Global - I - 738 - Citizen 333SC (chai HD) - 450ml - 40 ([btp],c)</v>
      </c>
    </row>
    <row r="659">
      <c r="A659" s="86">
        <f>IFERROR(__xludf.DUMMYFUNCTION("""COMPUTED_VALUE"""),657.0)</f>
        <v>657</v>
      </c>
      <c r="B659" s="87" t="str">
        <f>IFERROR(__xludf.DUMMYFUNCTION("""COMPUTED_VALUE"""),"Chai")</f>
        <v>Chai</v>
      </c>
      <c r="C659" s="87" t="str">
        <f>IFERROR(__xludf.DUMMYFUNCTION("""COMPUTED_VALUE"""),"CPT0164")</f>
        <v>CPT0164</v>
      </c>
      <c r="D659" s="87" t="str">
        <f>IFERROR(__xludf.DUMMYFUNCTION("""COMPUTED_VALUE"""),"Chai PET tròn cổ 43 500ml (76.3gr) trắng trong - Nắp trắng, có cóc đong lớn")</f>
        <v>Chai PET tròn cổ 43 500ml (76.3gr) trắng trong - Nắp trắng, có cóc đong lớn</v>
      </c>
      <c r="E659" s="87" t="str">
        <f>IFERROR(__xludf.DUMMYFUNCTION("""COMPUTED_VALUE"""),"Mekongvil 5SC")</f>
        <v>Mekongvil 5SC</v>
      </c>
      <c r="F659" s="87" t="str">
        <f>IFERROR(__xludf.DUMMYFUNCTION("""COMPUTED_VALUE"""),"HH0164")</f>
        <v>HH0164</v>
      </c>
      <c r="G659" s="87" t="str">
        <f>IFERROR(__xludf.DUMMYFUNCTION("""COMPUTED_VALUE"""),"GC - IV - 739 - Luta - Mekongvil 5SC (PET tròn) - 500ml - 40")</f>
        <v>GC - IV - 739 - Luta - Mekongvil 5SC (PET tròn) - 500ml - 40</v>
      </c>
    </row>
    <row r="660">
      <c r="A660" s="86" t="str">
        <f>IFERROR(__xludf.DUMMYFUNCTION("""COMPUTED_VALUE"""),"")</f>
        <v/>
      </c>
      <c r="B660" s="87"/>
      <c r="C660" s="87" t="str">
        <f>IFERROR(__xludf.DUMMYFUNCTION("""COMPUTED_VALUE"""),"TEM0003")</f>
        <v>TEM0003</v>
      </c>
      <c r="D660" s="87" t="str">
        <f>IFERROR(__xludf.DUMMYFUNCTION("""COMPUTED_VALUE"""),"Tem decal thông tin lưu mẫu - LAB(8.3x33.8)")</f>
        <v>Tem decal thông tin lưu mẫu - LAB(8.3x33.8)</v>
      </c>
      <c r="E660" s="87" t="str">
        <f>IFERROR(__xludf.DUMMYFUNCTION("""COMPUTED_VALUE"""),"Mekongvil 5SC")</f>
        <v>Mekongvil 5SC</v>
      </c>
      <c r="F660" s="87" t="str">
        <f>IFERROR(__xludf.DUMMYFUNCTION("""COMPUTED_VALUE"""),"HH0003")</f>
        <v>HH0003</v>
      </c>
      <c r="G660" s="87" t="str">
        <f>IFERROR(__xludf.DUMMYFUNCTION("""COMPUTED_VALUE"""),"GC - IV - 740 - Luta - Mekongvil 5SC (HD cao cấp) - 1L - 20")</f>
        <v>GC - IV - 740 - Luta - Mekongvil 5SC (HD cao cấp) - 1L - 20</v>
      </c>
    </row>
    <row r="661">
      <c r="A661" s="86">
        <f>IFERROR(__xludf.DUMMYFUNCTION("""COMPUTED_VALUE"""),659.0)</f>
        <v>659</v>
      </c>
      <c r="B661" s="87" t="str">
        <f>IFERROR(__xludf.DUMMYFUNCTION("""COMPUTED_VALUE"""),"Can")</f>
        <v>Can</v>
      </c>
      <c r="C661" s="87" t="str">
        <f>IFERROR(__xludf.DUMMYFUNCTION("""COMPUTED_VALUE"""),"CAN0022")</f>
        <v>CAN0022</v>
      </c>
      <c r="D661" s="87" t="str">
        <f>IFERROR(__xludf.DUMMYFUNCTION("""COMPUTED_VALUE"""),"Can HDPE 5L vuông xanh lá - Nắp đỏ (320 gr)")</f>
        <v>Can HDPE 5L vuông xanh lá - Nắp đỏ (320 gr)</v>
      </c>
      <c r="E661" s="87" t="str">
        <f>IFERROR(__xludf.DUMMYFUNCTION("""COMPUTED_VALUE"""),"#N/A")</f>
        <v>#N/A</v>
      </c>
      <c r="F661" s="87" t="str">
        <f>IFERROR(__xludf.DUMMYFUNCTION("""COMPUTED_VALUE"""),"HH0022")</f>
        <v>HH0022</v>
      </c>
      <c r="G661" s="87" t="str">
        <f>IFERROR(__xludf.DUMMYFUNCTION("""COMPUTED_VALUE"""),"GC - II - 741.1 - Nông Lâm Hoà Phát - Humix Us - 10kg - 1")</f>
        <v>GC - II - 741.1 - Nông Lâm Hoà Phát - Humix Us - 10kg - 1</v>
      </c>
    </row>
    <row r="662">
      <c r="A662" s="86">
        <f>IFERROR(__xludf.DUMMYFUNCTION("""COMPUTED_VALUE"""),660.0)</f>
        <v>660</v>
      </c>
      <c r="B662" s="87" t="str">
        <f>IFERROR(__xludf.DUMMYFUNCTION("""COMPUTED_VALUE"""),"Chai")</f>
        <v>Chai</v>
      </c>
      <c r="C662" s="87" t="str">
        <f>IFERROR(__xludf.DUMMYFUNCTION("""COMPUTED_VALUE"""),"CHT0165")</f>
        <v>CHT0165</v>
      </c>
      <c r="D662" s="87" t="str">
        <f>IFERROR(__xludf.DUMMYFUNCTION("""COMPUTED_VALUE"""),"Chai HDPE tròn cổ 48 240ml  3 gù - Trắng (40gr)")</f>
        <v>Chai HDPE tròn cổ 48 240ml  3 gù - Trắng (40gr)</v>
      </c>
      <c r="E662" s="87" t="str">
        <f>IFERROR(__xludf.DUMMYFUNCTION("""COMPUTED_VALUE"""),"#N/A")</f>
        <v>#N/A</v>
      </c>
      <c r="F662" s="87" t="str">
        <f>IFERROR(__xludf.DUMMYFUNCTION("""COMPUTED_VALUE"""),"HH0165")</f>
        <v>HH0165</v>
      </c>
      <c r="G662" s="87" t="str">
        <f>IFERROR(__xludf.DUMMYFUNCTION("""COMPUTED_VALUE"""),"GC - II - 741.2 - Nông Lâm Hoà Phát - Humix Us - 15 kg - 1")</f>
        <v>GC - II - 741.2 - Nông Lâm Hoà Phát - Humix Us - 15 kg - 1</v>
      </c>
    </row>
    <row r="663">
      <c r="A663" s="86">
        <f>IFERROR(__xludf.DUMMYFUNCTION("""COMPUTED_VALUE"""),661.0)</f>
        <v>661</v>
      </c>
      <c r="B663" s="87" t="str">
        <f>IFERROR(__xludf.DUMMYFUNCTION("""COMPUTED_VALUE"""),"Chai")</f>
        <v>Chai</v>
      </c>
      <c r="C663" s="87" t="str">
        <f>IFERROR(__xludf.DUMMYFUNCTION("""COMPUTED_VALUE"""),"CHT0166")</f>
        <v>CHT0166</v>
      </c>
      <c r="D663" s="87" t="str">
        <f>IFERROR(__xludf.DUMMYFUNCTION("""COMPUTED_VALUE"""),"Chai HDPE tròn cổ 48 500ml  3 gù - Trắng, Nắp trắng (71,5gr)")</f>
        <v>Chai HDPE tròn cổ 48 500ml  3 gù - Trắng, Nắp trắng (71,5gr)</v>
      </c>
      <c r="E663" s="87" t="str">
        <f>IFERROR(__xludf.DUMMYFUNCTION("""COMPUTED_VALUE"""),"#N/A")</f>
        <v>#N/A</v>
      </c>
      <c r="F663" s="87" t="str">
        <f>IFERROR(__xludf.DUMMYFUNCTION("""COMPUTED_VALUE"""),"HH0166")</f>
        <v>HH0166</v>
      </c>
      <c r="G663" s="87" t="str">
        <f>IFERROR(__xludf.DUMMYFUNCTION("""COMPUTED_VALUE"""),"GC - II - 741.3 - Nông Lâm Hoà Phát - Humix Us - 20 kg - 1")</f>
        <v>GC - II - 741.3 - Nông Lâm Hoà Phát - Humix Us - 20 kg - 1</v>
      </c>
    </row>
    <row r="664">
      <c r="A664" s="86">
        <f>IFERROR(__xludf.DUMMYFUNCTION("""COMPUTED_VALUE"""),662.0)</f>
        <v>662</v>
      </c>
      <c r="B664" s="87" t="str">
        <f>IFERROR(__xludf.DUMMYFUNCTION("""COMPUTED_VALUE"""),"Chai")</f>
        <v>Chai</v>
      </c>
      <c r="C664" s="87" t="str">
        <f>IFERROR(__xludf.DUMMYFUNCTION("""COMPUTED_VALUE"""),"CHT0167")</f>
        <v>CHT0167</v>
      </c>
      <c r="D664" s="87" t="str">
        <f>IFERROR(__xludf.DUMMYFUNCTION("""COMPUTED_VALUE"""),"Chai HDPE tròn cổ 48 1L  3 gù - Trắng, Nắp trắng (111,5gr)")</f>
        <v>Chai HDPE tròn cổ 48 1L  3 gù - Trắng, Nắp trắng (111,5gr)</v>
      </c>
      <c r="E664" s="87" t="str">
        <f>IFERROR(__xludf.DUMMYFUNCTION("""COMPUTED_VALUE"""),"#N/A")</f>
        <v>#N/A</v>
      </c>
      <c r="F664" s="87" t="str">
        <f>IFERROR(__xludf.DUMMYFUNCTION("""COMPUTED_VALUE"""),"HH0167")</f>
        <v>HH0167</v>
      </c>
      <c r="G664" s="87" t="str">
        <f>IFERROR(__xludf.DUMMYFUNCTION("""COMPUTED_VALUE"""),"GC - II - 741.4 - Nông Lâm Hoà Phát - Humix Us - 25 kg - 1")</f>
        <v>GC - II - 741.4 - Nông Lâm Hoà Phát - Humix Us - 25 kg - 1</v>
      </c>
    </row>
    <row r="665">
      <c r="A665" s="86">
        <f>IFERROR(__xludf.DUMMYFUNCTION("""COMPUTED_VALUE"""),663.0)</f>
        <v>663</v>
      </c>
      <c r="B665" s="87" t="str">
        <f>IFERROR(__xludf.DUMMYFUNCTION("""COMPUTED_VALUE"""),"Chai")</f>
        <v>Chai</v>
      </c>
      <c r="C665" s="87" t="str">
        <f>IFERROR(__xludf.DUMMYFUNCTION("""COMPUTED_VALUE"""),"CHT0168")</f>
        <v>CHT0168</v>
      </c>
      <c r="D665" s="87" t="str">
        <f>IFERROR(__xludf.DUMMYFUNCTION("""COMPUTED_VALUE"""),"TP - Chai HDPE tròn cổ 48 500ml (60gr) - Vàng")</f>
        <v>TP - Chai HDPE tròn cổ 48 500ml (60gr) - Vàng</v>
      </c>
      <c r="E665" s="87" t="str">
        <f>IFERROR(__xludf.DUMMYFUNCTION("""COMPUTED_VALUE"""),"Mekongvil 5SC")</f>
        <v>Mekongvil 5SC</v>
      </c>
      <c r="F665" s="87" t="str">
        <f>IFERROR(__xludf.DUMMYFUNCTION("""COMPUTED_VALUE"""),"HH0168")</f>
        <v>HH0168</v>
      </c>
      <c r="G665" s="87" t="str">
        <f>IFERROR(__xludf.DUMMYFUNCTION("""COMPUTED_VALUE"""),"GC - II - 744 - AGC - Mekongvil 5SC (chai HD) - 1lit - 20")</f>
        <v>GC - II - 744 - AGC - Mekongvil 5SC (chai HD) - 1lit - 20</v>
      </c>
    </row>
    <row r="666">
      <c r="A666" s="86">
        <f>IFERROR(__xludf.DUMMYFUNCTION("""COMPUTED_VALUE"""),664.0)</f>
        <v>664</v>
      </c>
      <c r="B666" s="87" t="str">
        <f>IFERROR(__xludf.DUMMYFUNCTION("""COMPUTED_VALUE"""),"Chai")</f>
        <v>Chai</v>
      </c>
      <c r="C666" s="87" t="str">
        <f>IFERROR(__xludf.DUMMYFUNCTION("""COMPUTED_VALUE"""),"CHT0169")</f>
        <v>CHT0169</v>
      </c>
      <c r="D666" s="87" t="str">
        <f>IFERROR(__xludf.DUMMYFUNCTION("""COMPUTED_VALUE"""),"TP - Chai HDPE tròn cổ 48 có Gurantee 500ml (63gr) -Trắng")</f>
        <v>TP - Chai HDPE tròn cổ 48 có Gurantee 500ml (63gr) -Trắng</v>
      </c>
      <c r="E666" s="87" t="str">
        <f>IFERROR(__xludf.DUMMYFUNCTION("""COMPUTED_VALUE"""),"Tikabamec 3.6EC")</f>
        <v>Tikabamec 3.6EC</v>
      </c>
      <c r="F666" s="87" t="str">
        <f>IFERROR(__xludf.DUMMYFUNCTION("""COMPUTED_VALUE"""),"HH0169")</f>
        <v>HH0169</v>
      </c>
      <c r="G666" s="87" t="str">
        <f>IFERROR(__xludf.DUMMYFUNCTION("""COMPUTED_VALUE"""),"GC - IV - 746 - AU - Abamectin (PET tròn) (nước đục) - 450ml - 40")</f>
        <v>GC - IV - 746 - AU - Abamectin (PET tròn) (nước đục) - 450ml - 40</v>
      </c>
    </row>
    <row r="667">
      <c r="A667" s="86">
        <f>IFERROR(__xludf.DUMMYFUNCTION("""COMPUTED_VALUE"""),665.0)</f>
        <v>665</v>
      </c>
      <c r="B667" s="87" t="str">
        <f>IFERROR(__xludf.DUMMYFUNCTION("""COMPUTED_VALUE"""),"Nắp")</f>
        <v>Nắp</v>
      </c>
      <c r="C667" s="87" t="str">
        <f>IFERROR(__xludf.DUMMYFUNCTION("""COMPUTED_VALUE"""),"NAP0120")</f>
        <v>NAP0120</v>
      </c>
      <c r="D667" s="87" t="str">
        <f>IFERROR(__xludf.DUMMYFUNCTION("""COMPUTED_VALUE"""),"TP - Nắp PP có Gurantee cổ 48 500ml (10gr)- Trắng")</f>
        <v>TP - Nắp PP có Gurantee cổ 48 500ml (10gr)- Trắng</v>
      </c>
      <c r="E667" s="87" t="str">
        <f>IFERROR(__xludf.DUMMYFUNCTION("""COMPUTED_VALUE"""),"TVZEB 800WP")</f>
        <v>TVZEB 800WP</v>
      </c>
      <c r="F667" s="87" t="str">
        <f>IFERROR(__xludf.DUMMYFUNCTION("""COMPUTED_VALUE"""),"HH0120")</f>
        <v>HH0120</v>
      </c>
      <c r="G667" s="87" t="str">
        <f>IFERROR(__xludf.DUMMYFUNCTION("""COMPUTED_VALUE"""),"GC - IV - 747 - Thiên Di - Mancozeb - 100gr - 100")</f>
        <v>GC - IV - 747 - Thiên Di - Mancozeb - 100gr - 100</v>
      </c>
    </row>
    <row r="668">
      <c r="A668" s="86">
        <f>IFERROR(__xludf.DUMMYFUNCTION("""COMPUTED_VALUE"""),666.0)</f>
        <v>666</v>
      </c>
      <c r="B668" s="87" t="str">
        <f>IFERROR(__xludf.DUMMYFUNCTION("""COMPUTED_VALUE"""),"Nắp")</f>
        <v>Nắp</v>
      </c>
      <c r="C668" s="87" t="str">
        <f>IFERROR(__xludf.DUMMYFUNCTION("""COMPUTED_VALUE"""),"NAP0121")</f>
        <v>NAP0121</v>
      </c>
      <c r="D668" s="87" t="str">
        <f>IFERROR(__xludf.DUMMYFUNCTION("""COMPUTED_VALUE"""),"TP - Nắp PP có Gurantee cổ 48 500ml (10gr)- Xanh biển")</f>
        <v>TP - Nắp PP có Gurantee cổ 48 500ml (10gr)- Xanh biển</v>
      </c>
      <c r="E668" s="87" t="str">
        <f>IFERROR(__xludf.DUMMYFUNCTION("""COMPUTED_VALUE"""),"TVZEB 800WP")</f>
        <v>TVZEB 800WP</v>
      </c>
      <c r="F668" s="87" t="str">
        <f>IFERROR(__xludf.DUMMYFUNCTION("""COMPUTED_VALUE"""),"HH0121")</f>
        <v>HH0121</v>
      </c>
      <c r="G668" s="87" t="str">
        <f>IFERROR(__xludf.DUMMYFUNCTION("""COMPUTED_VALUE"""),"GC - IV - 747 - Thiên Di - Mancozeb - 100gr - 100")</f>
        <v>GC - IV - 747 - Thiên Di - Mancozeb - 100gr - 100</v>
      </c>
    </row>
    <row r="669">
      <c r="A669" s="86">
        <f>IFERROR(__xludf.DUMMYFUNCTION("""COMPUTED_VALUE"""),667.0)</f>
        <v>667</v>
      </c>
      <c r="B669" s="87" t="str">
        <f>IFERROR(__xludf.DUMMYFUNCTION("""COMPUTED_VALUE"""),"Cóc")</f>
        <v>Cóc</v>
      </c>
      <c r="C669" s="87" t="str">
        <f>IFERROR(__xludf.DUMMYFUNCTION("""COMPUTED_VALUE"""),"COC0006")</f>
        <v>COC0006</v>
      </c>
      <c r="D669" s="87" t="str">
        <f>IFERROR(__xludf.DUMMYFUNCTION("""COMPUTED_VALUE"""),"Cốc đong cổ 45 50ml - Trắng trong")</f>
        <v>Cốc đong cổ 45 50ml - Trắng trong</v>
      </c>
      <c r="E669" s="87" t="str">
        <f>IFERROR(__xludf.DUMMYFUNCTION("""COMPUTED_VALUE"""),"Remy 19EC")</f>
        <v>Remy 19EC</v>
      </c>
      <c r="F669" s="87" t="str">
        <f>IFERROR(__xludf.DUMMYFUNCTION("""COMPUTED_VALUE"""),"HH0006")</f>
        <v>HH0006</v>
      </c>
      <c r="G669" s="87" t="str">
        <f>IFERROR(__xludf.DUMMYFUNCTION("""COMPUTED_VALUE"""),"GC - II - 748 - AGC NEW - Emy 19EC (chai PET tròn) - 450ml - 40")</f>
        <v>GC - II - 748 - AGC NEW - Emy 19EC (chai PET tròn) - 450ml - 40</v>
      </c>
    </row>
    <row r="670">
      <c r="A670" s="86" t="str">
        <f>IFERROR(__xludf.DUMMYFUNCTION("""COMPUTED_VALUE"""),"")</f>
        <v/>
      </c>
      <c r="B670" s="87"/>
      <c r="C670" s="87" t="str">
        <f>IFERROR(__xludf.DUMMYFUNCTION("""COMPUTED_VALUE"""),"CAN0023")</f>
        <v>CAN0023</v>
      </c>
      <c r="D670" s="87" t="str">
        <f>IFERROR(__xludf.DUMMYFUNCTION("""COMPUTED_VALUE"""),"Can HDPE 10L vuông vàng , 4 chấm chống trượt (700gr) - Nắp đen")</f>
        <v>Can HDPE 10L vuông vàng , 4 chấm chống trượt (700gr) - Nắp đen</v>
      </c>
      <c r="E670" s="87" t="str">
        <f>IFERROR(__xludf.DUMMYFUNCTION("""COMPUTED_VALUE"""),"Tikabamec 3.6EC")</f>
        <v>Tikabamec 3.6EC</v>
      </c>
      <c r="F670" s="87" t="str">
        <f>IFERROR(__xludf.DUMMYFUNCTION("""COMPUTED_VALUE"""),"HH0023")</f>
        <v>HH0023</v>
      </c>
      <c r="G670" s="87" t="str">
        <f>IFERROR(__xludf.DUMMYFUNCTION("""COMPUTED_VALUE"""),"GC - II - 749 - AGC NEW - Bamec 3.6EC (PET tròn) ( nước trong) - 450ml - 40")</f>
        <v>GC - II - 749 - AGC NEW - Bamec 3.6EC (PET tròn) ( nước trong) - 450ml - 40</v>
      </c>
    </row>
    <row r="671">
      <c r="A671" s="86" t="str">
        <f>IFERROR(__xludf.DUMMYFUNCTION("""COMPUTED_VALUE"""),"")</f>
        <v/>
      </c>
      <c r="B671" s="87"/>
      <c r="C671" s="87" t="str">
        <f>IFERROR(__xludf.DUMMYFUNCTION("""COMPUTED_VALUE"""),"SEAL0007")</f>
        <v>SEAL0007</v>
      </c>
      <c r="D671" s="87" t="str">
        <f>IFERROR(__xludf.DUMMYFUNCTION("""COMPUTED_VALUE"""),"Seal nhiệt chai PET tròn cổ 44")</f>
        <v>Seal nhiệt chai PET tròn cổ 44</v>
      </c>
      <c r="E671" s="87" t="str">
        <f>IFERROR(__xludf.DUMMYFUNCTION("""COMPUTED_VALUE"""),"#N/A")</f>
        <v>#N/A</v>
      </c>
      <c r="F671" s="87" t="str">
        <f>IFERROR(__xludf.DUMMYFUNCTION("""COMPUTED_VALUE"""),"HH0007")</f>
        <v>HH0007</v>
      </c>
      <c r="G671" s="87" t="str">
        <f>IFERROR(__xludf.DUMMYFUNCTION("""COMPUTED_VALUE"""),"GC - II - 750.1 - A Thời GNH - Humic Growth - 10kg - 1")</f>
        <v>GC - II - 750.1 - A Thời GNH - Humic Growth - 10kg - 1</v>
      </c>
    </row>
    <row r="672">
      <c r="A672" s="86">
        <f>IFERROR(__xludf.DUMMYFUNCTION("""COMPUTED_VALUE"""),670.0)</f>
        <v>670</v>
      </c>
      <c r="B672" s="87" t="str">
        <f>IFERROR(__xludf.DUMMYFUNCTION("""COMPUTED_VALUE"""),"Nắp")</f>
        <v>Nắp</v>
      </c>
      <c r="C672" s="87" t="str">
        <f>IFERROR(__xludf.DUMMYFUNCTION("""COMPUTED_VALUE"""),"NAP0114")</f>
        <v>NAP0114</v>
      </c>
      <c r="D672" s="87" t="str">
        <f>IFERROR(__xludf.DUMMYFUNCTION("""COMPUTED_VALUE"""),"Nắp PET cổ 35 (8g) - Cam")</f>
        <v>Nắp PET cổ 35 (8g) - Cam</v>
      </c>
      <c r="E672" s="87" t="str">
        <f>IFERROR(__xludf.DUMMYFUNCTION("""COMPUTED_VALUE"""),"#N/A")</f>
        <v>#N/A</v>
      </c>
      <c r="F672" s="87" t="str">
        <f>IFERROR(__xludf.DUMMYFUNCTION("""COMPUTED_VALUE"""),"HH0114")</f>
        <v>HH0114</v>
      </c>
      <c r="G672" s="87" t="str">
        <f>IFERROR(__xludf.DUMMYFUNCTION("""COMPUTED_VALUE"""),"GC - II - 750.2 - A Thời GNH - Humic Growth - 20kg - 1")</f>
        <v>GC - II - 750.2 - A Thời GNH - Humic Growth - 20kg - 1</v>
      </c>
    </row>
    <row r="673">
      <c r="A673" s="86">
        <f>IFERROR(__xludf.DUMMYFUNCTION("""COMPUTED_VALUE"""),671.0)</f>
        <v>671</v>
      </c>
      <c r="B673" s="87" t="str">
        <f>IFERROR(__xludf.DUMMYFUNCTION("""COMPUTED_VALUE"""),"Nắp")</f>
        <v>Nắp</v>
      </c>
      <c r="C673" s="87" t="str">
        <f>IFERROR(__xludf.DUMMYFUNCTION("""COMPUTED_VALUE"""),"NAP0115")</f>
        <v>NAP0115</v>
      </c>
      <c r="D673" s="87" t="str">
        <f>IFERROR(__xludf.DUMMYFUNCTION("""COMPUTED_VALUE"""),"TP - Nắp HDPE có granty cổ 49 500ml - Trắng")</f>
        <v>TP - Nắp HDPE có granty cổ 49 500ml - Trắng</v>
      </c>
      <c r="E673" s="87" t="str">
        <f>IFERROR(__xludf.DUMMYFUNCTION("""COMPUTED_VALUE"""),"#N/A")</f>
        <v>#N/A</v>
      </c>
      <c r="F673" s="87" t="str">
        <f>IFERROR(__xludf.DUMMYFUNCTION("""COMPUTED_VALUE"""),"HH0115")</f>
        <v>HH0115</v>
      </c>
      <c r="G673" s="87" t="str">
        <f>IFERROR(__xludf.DUMMYFUNCTION("""COMPUTED_VALUE"""),"GC - II - 750.3 - A Thời GNH - Humic Growth - 25kg - 1")</f>
        <v>GC - II - 750.3 - A Thời GNH - Humic Growth - 25kg - 1</v>
      </c>
    </row>
    <row r="674">
      <c r="A674" s="86" t="str">
        <f>IFERROR(__xludf.DUMMYFUNCTION("""COMPUTED_VALUE"""),"")</f>
        <v/>
      </c>
      <c r="B674" s="87"/>
      <c r="C674" s="87" t="str">
        <f>IFERROR(__xludf.DUMMYFUNCTION("""COMPUTED_VALUE"""),"CAN0024")</f>
        <v>CAN0024</v>
      </c>
      <c r="D674" s="87" t="str">
        <f>IFERROR(__xludf.DUMMYFUNCTION("""COMPUTED_VALUE"""),"Can HDPE 5L vuông  1 quai Xanh lá - Nắp đỏ (265gr)")</f>
        <v>Can HDPE 5L vuông  1 quai Xanh lá - Nắp đỏ (265gr)</v>
      </c>
      <c r="E674" s="87" t="str">
        <f>IFERROR(__xludf.DUMMYFUNCTION("""COMPUTED_VALUE"""),"Mekongvil 5SC")</f>
        <v>Mekongvil 5SC</v>
      </c>
      <c r="F674" s="87" t="str">
        <f>IFERROR(__xludf.DUMMYFUNCTION("""COMPUTED_VALUE"""),"HH0024")</f>
        <v>HH0024</v>
      </c>
      <c r="G674" s="87" t="str">
        <f>IFERROR(__xludf.DUMMYFUNCTION("""COMPUTED_VALUE"""),"LOT IDA Global - I - 751 - Ng Hữu Trí - Hexa 5 Sao (HD cao cấp) - 1L - 20")</f>
        <v>LOT IDA Global - I - 751 - Ng Hữu Trí - Hexa 5 Sao (HD cao cấp) - 1L - 20</v>
      </c>
    </row>
    <row r="675">
      <c r="A675" s="86">
        <f>IFERROR(__xludf.DUMMYFUNCTION("""COMPUTED_VALUE"""),673.0)</f>
        <v>673</v>
      </c>
      <c r="B675" s="87" t="str">
        <f>IFERROR(__xludf.DUMMYFUNCTION("""COMPUTED_VALUE"""),"Chai")</f>
        <v>Chai</v>
      </c>
      <c r="C675" s="87" t="str">
        <f>IFERROR(__xludf.DUMMYFUNCTION("""COMPUTED_VALUE"""),"CPT0170")</f>
        <v>CPT0170</v>
      </c>
      <c r="D675" s="87" t="str">
        <f>IFERROR(__xludf.DUMMYFUNCTION("""COMPUTED_VALUE"""),"Chai PET tròn cổ 43 500ml trắng thân lùn - Nắp đỏ (75 gr)")</f>
        <v>Chai PET tròn cổ 43 500ml trắng thân lùn - Nắp đỏ (75 gr)</v>
      </c>
      <c r="E675" s="87" t="str">
        <f>IFERROR(__xludf.DUMMYFUNCTION("""COMPUTED_VALUE"""),"Apple 700WP")</f>
        <v>Apple 700WP</v>
      </c>
      <c r="F675" s="87" t="str">
        <f>IFERROR(__xludf.DUMMYFUNCTION("""COMPUTED_VALUE"""),"HH0170")</f>
        <v>HH0170</v>
      </c>
      <c r="G675" s="87" t="str">
        <f>IFERROR(__xludf.DUMMYFUNCTION("""COMPUTED_VALUE"""),"GC - IV - 753 - PP - Ốc Ý - 70 gr - 150")</f>
        <v>GC - IV - 753 - PP - Ốc Ý - 70 gr - 150</v>
      </c>
    </row>
    <row r="676">
      <c r="A676" s="86">
        <f>IFERROR(__xludf.DUMMYFUNCTION("""COMPUTED_VALUE"""),674.0)</f>
        <v>674</v>
      </c>
      <c r="B676" s="87" t="str">
        <f>IFERROR(__xludf.DUMMYFUNCTION("""COMPUTED_VALUE"""),"Tem")</f>
        <v>Tem</v>
      </c>
      <c r="C676" s="87" t="str">
        <f>IFERROR(__xludf.DUMMYFUNCTION("""COMPUTED_VALUE"""),"TEM0004")</f>
        <v>TEM0004</v>
      </c>
      <c r="D676" s="87" t="str">
        <f>IFERROR(__xludf.DUMMYFUNCTION("""COMPUTED_VALUE"""),"Tem decal thông tin lưu mẫu - LAB(10.3x4.3)")</f>
        <v>Tem decal thông tin lưu mẫu - LAB(10.3x4.3)</v>
      </c>
      <c r="E676" s="87" t="str">
        <f>IFERROR(__xludf.DUMMYFUNCTION("""COMPUTED_VALUE"""),"Apple 700WP")</f>
        <v>Apple 700WP</v>
      </c>
      <c r="F676" s="87" t="str">
        <f>IFERROR(__xludf.DUMMYFUNCTION("""COMPUTED_VALUE"""),"HH0004")</f>
        <v>HH0004</v>
      </c>
      <c r="G676" s="87" t="str">
        <f>IFERROR(__xludf.DUMMYFUNCTION("""COMPUTED_VALUE"""),"GC - IV - 754 - PP - Apple 700WP - 70 gr - 150")</f>
        <v>GC - IV - 754 - PP - Apple 700WP - 70 gr - 150</v>
      </c>
    </row>
    <row r="677">
      <c r="A677" s="86" t="str">
        <f>IFERROR(__xludf.DUMMYFUNCTION("""COMPUTED_VALUE"""),"")</f>
        <v/>
      </c>
      <c r="B677" s="87"/>
      <c r="C677" s="87" t="str">
        <f>IFERROR(__xludf.DUMMYFUNCTION("""COMPUTED_VALUE"""),"VT0174")</f>
        <v>VT0174</v>
      </c>
      <c r="D677" s="87" t="str">
        <f>IFERROR(__xludf.DUMMYFUNCTION("""COMPUTED_VALUE"""),"Dụng Cụ Mở Nắp Can Nhựa 20-30L bằng nhựa")</f>
        <v>Dụng Cụ Mở Nắp Can Nhựa 20-30L bằng nhựa</v>
      </c>
      <c r="E677" s="87" t="str">
        <f>IFERROR(__xludf.DUMMYFUNCTION("""COMPUTED_VALUE"""),"TVZEB 800WP")</f>
        <v>TVZEB 800WP</v>
      </c>
      <c r="F677" s="87" t="str">
        <f>IFERROR(__xludf.DUMMYFUNCTION("""COMPUTED_VALUE"""),"HH0174")</f>
        <v>HH0174</v>
      </c>
      <c r="G677" s="87" t="str">
        <f>IFERROR(__xludf.DUMMYFUNCTION("""COMPUTED_VALUE"""),"LOT IDA Global - I - 755 - Mancozeb xanh - 1 kg - 20")</f>
        <v>LOT IDA Global - I - 755 - Mancozeb xanh - 1 kg - 20</v>
      </c>
    </row>
    <row r="678">
      <c r="A678" s="86">
        <f>IFERROR(__xludf.DUMMYFUNCTION("""COMPUTED_VALUE"""),676.0)</f>
        <v>676</v>
      </c>
      <c r="B678" s="87" t="str">
        <f>IFERROR(__xludf.DUMMYFUNCTION("""COMPUTED_VALUE"""),"Lon")</f>
        <v>Lon</v>
      </c>
      <c r="C678" s="87" t="str">
        <f>IFERROR(__xludf.DUMMYFUNCTION("""COMPUTED_VALUE"""),"LON0003")</f>
        <v>LON0003</v>
      </c>
      <c r="D678" s="87" t="str">
        <f>IFERROR(__xludf.DUMMYFUNCTION("""COMPUTED_VALUE"""),"Lon Nhựa tròn cổ 89 250gr (500ml- 600ml) trong  - Nắp trắng")</f>
        <v>Lon Nhựa tròn cổ 89 250gr (500ml- 600ml) trong  - Nắp trắng</v>
      </c>
      <c r="E678" s="87" t="str">
        <f>IFERROR(__xludf.DUMMYFUNCTION("""COMPUTED_VALUE"""),"TVZEB 800WP")</f>
        <v>TVZEB 800WP</v>
      </c>
      <c r="F678" s="87" t="str">
        <f>IFERROR(__xludf.DUMMYFUNCTION("""COMPUTED_VALUE"""),"HH0003")</f>
        <v>HH0003</v>
      </c>
      <c r="G678" s="87" t="str">
        <f>IFERROR(__xludf.DUMMYFUNCTION("""COMPUTED_VALUE"""),"LOT IDA Global - I - 755 - Mancozeb xanh - 1 kg - 20")</f>
        <v>LOT IDA Global - I - 755 - Mancozeb xanh - 1 kg - 20</v>
      </c>
    </row>
    <row r="679">
      <c r="A679" s="86">
        <f>IFERROR(__xludf.DUMMYFUNCTION("""COMPUTED_VALUE"""),677.0)</f>
        <v>677</v>
      </c>
      <c r="B679" s="87" t="str">
        <f>IFERROR(__xludf.DUMMYFUNCTION("""COMPUTED_VALUE"""),"Lon")</f>
        <v>Lon</v>
      </c>
      <c r="C679" s="87" t="str">
        <f>IFERROR(__xludf.DUMMYFUNCTION("""COMPUTED_VALUE"""),"LON0004")</f>
        <v>LON0004</v>
      </c>
      <c r="D679" s="87" t="str">
        <f>IFERROR(__xludf.DUMMYFUNCTION("""COMPUTED_VALUE"""),"Lon Nhựa tròn cổ 89 500gr(1000ml- 1200ml) trong  - Nắp trắng")</f>
        <v>Lon Nhựa tròn cổ 89 500gr(1000ml- 1200ml) trong  - Nắp trắng</v>
      </c>
      <c r="E679" s="87" t="str">
        <f>IFERROR(__xludf.DUMMYFUNCTION("""COMPUTED_VALUE"""),"Apple 700WP")</f>
        <v>Apple 700WP</v>
      </c>
      <c r="F679" s="87" t="str">
        <f>IFERROR(__xludf.DUMMYFUNCTION("""COMPUTED_VALUE"""),"HH0004")</f>
        <v>HH0004</v>
      </c>
      <c r="G679" s="87" t="str">
        <f>IFERROR(__xludf.DUMMYFUNCTION("""COMPUTED_VALUE"""),"GC - IV - 756 - Agritech - Apple 700WP - 70 gr - 150")</f>
        <v>GC - IV - 756 - Agritech - Apple 700WP - 70 gr - 150</v>
      </c>
    </row>
    <row r="680">
      <c r="A680" s="86">
        <f>IFERROR(__xludf.DUMMYFUNCTION("""COMPUTED_VALUE"""),678.0)</f>
        <v>678</v>
      </c>
      <c r="B680" s="87" t="str">
        <f>IFERROR(__xludf.DUMMYFUNCTION("""COMPUTED_VALUE"""),"Chai")</f>
        <v>Chai</v>
      </c>
      <c r="C680" s="87" t="str">
        <f>IFERROR(__xludf.DUMMYFUNCTION("""COMPUTED_VALUE"""),"CHT0171")</f>
        <v>CHT0171</v>
      </c>
      <c r="D680" s="87" t="str">
        <f>IFERROR(__xludf.DUMMYFUNCTION("""COMPUTED_VALUE"""),"Chai HDPE Vàng 500ml - Nắp Bta vàng")</f>
        <v>Chai HDPE Vàng 500ml - Nắp Bta vàng</v>
      </c>
      <c r="E680" s="87" t="str">
        <f>IFERROR(__xludf.DUMMYFUNCTION("""COMPUTED_VALUE"""),"TVZEB 800WP")</f>
        <v>TVZEB 800WP</v>
      </c>
      <c r="F680" s="87" t="str">
        <f>IFERROR(__xludf.DUMMYFUNCTION("""COMPUTED_VALUE"""),"HH0171")</f>
        <v>HH0171</v>
      </c>
      <c r="G680" s="87" t="str">
        <f>IFERROR(__xludf.DUMMYFUNCTION("""COMPUTED_VALUE"""),"GC - IV - 757 - Manco green - 1 kg - 20")</f>
        <v>GC - IV - 757 - Manco green - 1 kg - 20</v>
      </c>
    </row>
    <row r="681">
      <c r="A681" s="86">
        <f>IFERROR(__xludf.DUMMYFUNCTION("""COMPUTED_VALUE"""),679.0)</f>
        <v>679</v>
      </c>
      <c r="B681" s="87" t="str">
        <f>IFERROR(__xludf.DUMMYFUNCTION("""COMPUTED_VALUE"""),"Nắp")</f>
        <v>Nắp</v>
      </c>
      <c r="C681" s="87" t="str">
        <f>IFERROR(__xludf.DUMMYFUNCTION("""COMPUTED_VALUE"""),"NAP0116")</f>
        <v>NAP0116</v>
      </c>
      <c r="D681" s="87" t="str">
        <f>IFERROR(__xludf.DUMMYFUNCTION("""COMPUTED_VALUE"""),"TP- Nắp HDPE cổ 42.5 (8g)  Tím  (không ganty)")</f>
        <v>TP- Nắp HDPE cổ 42.5 (8g)  Tím  (không ganty)</v>
      </c>
      <c r="E681" s="87" t="str">
        <f>IFERROR(__xludf.DUMMYFUNCTION("""COMPUTED_VALUE"""),"TVZEB 800WP")</f>
        <v>TVZEB 800WP</v>
      </c>
      <c r="F681" s="87" t="str">
        <f>IFERROR(__xludf.DUMMYFUNCTION("""COMPUTED_VALUE"""),"HH0116")</f>
        <v>HH0116</v>
      </c>
      <c r="G681" s="87" t="str">
        <f>IFERROR(__xludf.DUMMYFUNCTION("""COMPUTED_VALUE"""),"GC - IV - 757 - Manco green - 1 kg - 20")</f>
        <v>GC - IV - 757 - Manco green - 1 kg - 20</v>
      </c>
    </row>
    <row r="682">
      <c r="A682" s="86">
        <f>IFERROR(__xludf.DUMMYFUNCTION("""COMPUTED_VALUE"""),680.0)</f>
        <v>680</v>
      </c>
      <c r="B682" s="87" t="str">
        <f>IFERROR(__xludf.DUMMYFUNCTION("""COMPUTED_VALUE"""),"Xô")</f>
        <v>Xô</v>
      </c>
      <c r="C682" s="87" t="str">
        <f>IFERROR(__xludf.DUMMYFUNCTION("""COMPUTED_VALUE"""),"XOT0007")</f>
        <v>XOT0007</v>
      </c>
      <c r="D682" s="87" t="str">
        <f>IFERROR(__xludf.DUMMYFUNCTION("""COMPUTED_VALUE"""),"Xô Đỏ 35L - Nắp đỏ (Duy Tân)")</f>
        <v>Xô Đỏ 35L - Nắp đỏ (Duy Tân)</v>
      </c>
      <c r="E682" s="87" t="str">
        <f>IFERROR(__xludf.DUMMYFUNCTION("""COMPUTED_VALUE"""),"Vi lượng Quantity New")</f>
        <v>Vi lượng Quantity New</v>
      </c>
      <c r="F682" s="87" t="str">
        <f>IFERROR(__xludf.DUMMYFUNCTION("""COMPUTED_VALUE"""),"HH0007")</f>
        <v>HH0007</v>
      </c>
      <c r="G682" s="87" t="str">
        <f>IFERROR(__xludf.DUMMYFUNCTION("""COMPUTED_VALUE"""),"GC - II - 758 - A Thời GNH - Ra rễ nở bụi (Chai HD) - 500ml - 40")</f>
        <v>GC - II - 758 - A Thời GNH - Ra rễ nở bụi (Chai HD) - 500ml - 40</v>
      </c>
    </row>
    <row r="683">
      <c r="A683" s="86" t="str">
        <f>IFERROR(__xludf.DUMMYFUNCTION("""COMPUTED_VALUE"""),"")</f>
        <v/>
      </c>
      <c r="B683" s="87"/>
      <c r="C683" s="87" t="str">
        <f>IFERROR(__xludf.DUMMYFUNCTION("""COMPUTED_VALUE"""),"VT0175")</f>
        <v>VT0175</v>
      </c>
      <c r="D683" s="87" t="str">
        <f>IFERROR(__xludf.DUMMYFUNCTION("""COMPUTED_VALUE"""),"Hủ thủy tinh cổ 48 (70ml ) - Nắp thiếc vàng")</f>
        <v>Hủ thủy tinh cổ 48 (70ml ) - Nắp thiếc vàng</v>
      </c>
      <c r="E683" s="87" t="str">
        <f>IFERROR(__xludf.DUMMYFUNCTION("""COMPUTED_VALUE"""),"Vi lượng Quantity New")</f>
        <v>Vi lượng Quantity New</v>
      </c>
      <c r="F683" s="87" t="str">
        <f>IFERROR(__xludf.DUMMYFUNCTION("""COMPUTED_VALUE"""),"HH0175")</f>
        <v>HH0175</v>
      </c>
      <c r="G683" s="87" t="str">
        <f>IFERROR(__xludf.DUMMYFUNCTION("""COMPUTED_VALUE"""),"GC - II - 758 - A Thời GNH - Ra rễ nở bụi (Chai HD) - 500ml - 40")</f>
        <v>GC - II - 758 - A Thời GNH - Ra rễ nở bụi (Chai HD) - 500ml - 40</v>
      </c>
    </row>
    <row r="684">
      <c r="A684" s="86">
        <f>IFERROR(__xludf.DUMMYFUNCTION("""COMPUTED_VALUE"""),682.0)</f>
        <v>682</v>
      </c>
      <c r="B684" s="87" t="str">
        <f>IFERROR(__xludf.DUMMYFUNCTION("""COMPUTED_VALUE"""),"Chai")</f>
        <v>Chai</v>
      </c>
      <c r="C684" s="87" t="str">
        <f>IFERROR(__xludf.DUMMYFUNCTION("""COMPUTED_VALUE"""),"CHT0172")</f>
        <v>CHT0172</v>
      </c>
      <c r="D684" s="87" t="str">
        <f>IFERROR(__xludf.DUMMYFUNCTION("""COMPUTED_VALUE"""),"Chai HDPE 100ml phi 28 gân cổ xám  - Nắp đỏ")</f>
        <v>Chai HDPE 100ml phi 28 gân cổ xám  - Nắp đỏ</v>
      </c>
      <c r="E684" s="87" t="str">
        <f>IFERROR(__xludf.DUMMYFUNCTION("""COMPUTED_VALUE"""),"Vi lượng BM-KABO")</f>
        <v>Vi lượng BM-KABO</v>
      </c>
      <c r="F684" s="87" t="str">
        <f>IFERROR(__xludf.DUMMYFUNCTION("""COMPUTED_VALUE"""),"HH0172")</f>
        <v>HH0172</v>
      </c>
      <c r="G684" s="87" t="str">
        <f>IFERROR(__xludf.DUMMYFUNCTION("""COMPUTED_VALUE"""),"GC - II - 759 - A Thời GNH - Siêu To Củ - 500ml (chai HD)- 40")</f>
        <v>GC - II - 759 - A Thời GNH - Siêu To Củ - 500ml (chai HD)- 40</v>
      </c>
    </row>
    <row r="685">
      <c r="A685" s="86" t="str">
        <f>IFERROR(__xludf.DUMMYFUNCTION("""COMPUTED_VALUE"""),"")</f>
        <v/>
      </c>
      <c r="B685" s="87"/>
      <c r="C685" s="87" t="str">
        <f>IFERROR(__xludf.DUMMYFUNCTION("""COMPUTED_VALUE"""),"CTT0173")</f>
        <v>CTT0173</v>
      </c>
      <c r="D685" s="87" t="str">
        <f>IFERROR(__xludf.DUMMYFUNCTION("""COMPUTED_VALUE"""),"Chai thủy tinh trong suốt bóp giọt (50ml ) - Nắp trắng")</f>
        <v>Chai thủy tinh trong suốt bóp giọt (50ml ) - Nắp trắng</v>
      </c>
      <c r="E685" s="87" t="str">
        <f>IFERROR(__xludf.DUMMYFUNCTION("""COMPUTED_VALUE"""),"PYXOATE 44EC")</f>
        <v>PYXOATE 44EC</v>
      </c>
      <c r="F685" s="87" t="str">
        <f>IFERROR(__xludf.DUMMYFUNCTION("""COMPUTED_VALUE"""),"HH0173")</f>
        <v>HH0173</v>
      </c>
      <c r="G685" s="87" t="str">
        <f>IFERROR(__xludf.DUMMYFUNCTION("""COMPUTED_VALUE"""),"IDA Global - I - 761 - Siêu Xông Hơi nhãn cam (PET tròn) - 450ml - 40")</f>
        <v>IDA Global - I - 761 - Siêu Xông Hơi nhãn cam (PET tròn) - 450ml - 40</v>
      </c>
    </row>
    <row r="686">
      <c r="A686" s="86">
        <f>IFERROR(__xludf.DUMMYFUNCTION("""COMPUTED_VALUE"""),684.0)</f>
        <v>684</v>
      </c>
      <c r="B686" s="87" t="str">
        <f>IFERROR(__xludf.DUMMYFUNCTION("""COMPUTED_VALUE"""),"Chai")</f>
        <v>Chai</v>
      </c>
      <c r="C686" s="87" t="str">
        <f>IFERROR(__xludf.DUMMYFUNCTION("""COMPUTED_VALUE"""),"CHT0174")</f>
        <v>CHT0174</v>
      </c>
      <c r="D686" s="87" t="str">
        <f>IFERROR(__xludf.DUMMYFUNCTION("""COMPUTED_VALUE"""),"Chai HDPE tròn cổ 43 450ml-500ml (72gr) logo IDA màu trắng")</f>
        <v>Chai HDPE tròn cổ 43 450ml-500ml (72gr) logo IDA màu trắng</v>
      </c>
      <c r="E686" s="87" t="str">
        <f>IFERROR(__xludf.DUMMYFUNCTION("""COMPUTED_VALUE"""),"Vi lượng Quantity New")</f>
        <v>Vi lượng Quantity New</v>
      </c>
      <c r="F686" s="87" t="str">
        <f>IFERROR(__xludf.DUMMYFUNCTION("""COMPUTED_VALUE"""),"HH0174")</f>
        <v>HH0174</v>
      </c>
      <c r="G686" s="87" t="str">
        <f>IFERROR(__xludf.DUMMYFUNCTION("""COMPUTED_VALUE"""),"GC - II - 762 - A Thời GNH - Siêu kích rễ (chai HD) - 500ml - 40")</f>
        <v>GC - II - 762 - A Thời GNH - Siêu kích rễ (chai HD) - 500ml - 40</v>
      </c>
    </row>
    <row r="687">
      <c r="A687" s="86">
        <f>IFERROR(__xludf.DUMMYFUNCTION("""COMPUTED_VALUE"""),685.0)</f>
        <v>685</v>
      </c>
      <c r="B687" s="87" t="str">
        <f>IFERROR(__xludf.DUMMYFUNCTION("""COMPUTED_VALUE"""),"Chai")</f>
        <v>Chai</v>
      </c>
      <c r="C687" s="87" t="str">
        <f>IFERROR(__xludf.DUMMYFUNCTION("""COMPUTED_VALUE"""),"CPT0175")</f>
        <v>CPT0175</v>
      </c>
      <c r="D687" s="87" t="str">
        <f>IFERROR(__xludf.DUMMYFUNCTION("""COMPUTED_VALUE"""),"TP - Chai PET tròn cổ 43 500ml (44g) Đỏ")</f>
        <v>TP - Chai PET tròn cổ 43 500ml (44g) Đỏ</v>
      </c>
      <c r="E687" s="87" t="str">
        <f>IFERROR(__xludf.DUMMYFUNCTION("""COMPUTED_VALUE"""),"VD2")</f>
        <v>VD2</v>
      </c>
      <c r="F687" s="87" t="str">
        <f>IFERROR(__xludf.DUMMYFUNCTION("""COMPUTED_VALUE"""),"HH0175")</f>
        <v>HH0175</v>
      </c>
      <c r="G687" s="87" t="str">
        <f>IFERROR(__xludf.DUMMYFUNCTION("""COMPUTED_VALUE"""),"GC - II - 763 - A Thời GNH - Humic Growth (Túi Nhôm) - 1kg - 20")</f>
        <v>GC - II - 763 - A Thời GNH - Humic Growth (Túi Nhôm) - 1kg - 20</v>
      </c>
    </row>
    <row r="688">
      <c r="A688" s="86">
        <f>IFERROR(__xludf.DUMMYFUNCTION("""COMPUTED_VALUE"""),686.0)</f>
        <v>686</v>
      </c>
      <c r="B688" s="87" t="str">
        <f>IFERROR(__xludf.DUMMYFUNCTION("""COMPUTED_VALUE"""),"Chai")</f>
        <v>Chai</v>
      </c>
      <c r="C688" s="87" t="str">
        <f>IFERROR(__xludf.DUMMYFUNCTION("""COMPUTED_VALUE"""),"CPV0176")</f>
        <v>CPV0176</v>
      </c>
      <c r="D688" s="87" t="str">
        <f>IFERROR(__xludf.DUMMYFUNCTION("""COMPUTED_VALUE"""),"TP - Chai PET vuông cổ 35 500ml Trắng sữa (60g)- Nắp Trắng")</f>
        <v>TP - Chai PET vuông cổ 35 500ml Trắng sữa (60g)- Nắp Trắng</v>
      </c>
      <c r="E688" s="87" t="str">
        <f>IFERROR(__xludf.DUMMYFUNCTION("""COMPUTED_VALUE"""),"SHA CHONG JING 95WP")</f>
        <v>SHA CHONG JING 95WP</v>
      </c>
      <c r="F688" s="87" t="str">
        <f>IFERROR(__xludf.DUMMYFUNCTION("""COMPUTED_VALUE"""),"HH0176")</f>
        <v>HH0176</v>
      </c>
      <c r="G688" s="87" t="str">
        <f>IFERROR(__xludf.DUMMYFUNCTION("""COMPUTED_VALUE"""),"IDA Global - I - 764 - Siêu diệt sâu (túi nhôm) - 100gr - 100")</f>
        <v>IDA Global - I - 764 - Siêu diệt sâu (túi nhôm) - 100gr - 100</v>
      </c>
    </row>
    <row r="689">
      <c r="A689" s="86" t="str">
        <f>IFERROR(__xludf.DUMMYFUNCTION("""COMPUTED_VALUE"""),"")</f>
        <v/>
      </c>
      <c r="B689" s="87"/>
      <c r="C689" s="87" t="str">
        <f>IFERROR(__xludf.DUMMYFUNCTION("""COMPUTED_VALUE"""),"CAN0025")</f>
        <v>CAN0025</v>
      </c>
      <c r="D689" s="87" t="str">
        <f>IFERROR(__xludf.DUMMYFUNCTION("""COMPUTED_VALUE"""),"Can vuông 5L (2 quai) thân trắng, nắp trắng (320g)")</f>
        <v>Can vuông 5L (2 quai) thân trắng, nắp trắng (320g)</v>
      </c>
      <c r="E689" s="87" t="str">
        <f>IFERROR(__xludf.DUMMYFUNCTION("""COMPUTED_VALUE"""),"JAVI VIL 50SC")</f>
        <v>JAVI VIL 50SC</v>
      </c>
      <c r="F689" s="87" t="str">
        <f>IFERROR(__xludf.DUMMYFUNCTION("""COMPUTED_VALUE"""),"HH0025")</f>
        <v>HH0025</v>
      </c>
      <c r="G689" s="87" t="str">
        <f>IFERROR(__xludf.DUMMYFUNCTION("""COMPUTED_VALUE"""),"LOT IDA Global - I - ĐL Lệ Hồng 1 - 765 - Javi vil 50SC (BTP Trắng Sữa) (Nhãn đỏ)- 1L - 20")</f>
        <v>LOT IDA Global - I - ĐL Lệ Hồng 1 - 765 - Javi vil 50SC (BTP Trắng Sữa) (Nhãn đỏ)- 1L - 20</v>
      </c>
    </row>
    <row r="690">
      <c r="A690" s="86">
        <f>IFERROR(__xludf.DUMMYFUNCTION("""COMPUTED_VALUE"""),688.0)</f>
        <v>688</v>
      </c>
      <c r="B690" s="87" t="str">
        <f>IFERROR(__xludf.DUMMYFUNCTION("""COMPUTED_VALUE"""),"Chai")</f>
        <v>Chai</v>
      </c>
      <c r="C690" s="87" t="str">
        <f>IFERROR(__xludf.DUMMYFUNCTION("""COMPUTED_VALUE"""),"CHT0177")</f>
        <v>CHT0177</v>
      </c>
      <c r="D690" s="87" t="str">
        <f>IFERROR(__xludf.DUMMYFUNCTION("""COMPUTED_VALUE"""),"Chai HDPE tròn cổ 31 500ml (80g) - Đỏ")</f>
        <v>Chai HDPE tròn cổ 31 500ml (80g) - Đỏ</v>
      </c>
      <c r="E690" s="87" t="str">
        <f>IFERROR(__xludf.DUMMYFUNCTION("""COMPUTED_VALUE"""),"Mekongvil 5SC")</f>
        <v>Mekongvil 5SC</v>
      </c>
      <c r="F690" s="87" t="str">
        <f>IFERROR(__xludf.DUMMYFUNCTION("""COMPUTED_VALUE"""),"HH0177")</f>
        <v>HH0177</v>
      </c>
      <c r="G690" s="87" t="str">
        <f>IFERROR(__xludf.DUMMYFUNCTION("""COMPUTED_VALUE"""),"GC - IV - 766 - VTNN Bảy Phận - Phanvil (chai HD cc)- 1L - 20")</f>
        <v>GC - IV - 766 - VTNN Bảy Phận - Phanvil (chai HD cc)- 1L - 20</v>
      </c>
    </row>
    <row r="691">
      <c r="A691" s="86">
        <f>IFERROR(__xludf.DUMMYFUNCTION("""COMPUTED_VALUE"""),689.0)</f>
        <v>689</v>
      </c>
      <c r="B691" s="87" t="str">
        <f>IFERROR(__xludf.DUMMYFUNCTION("""COMPUTED_VALUE"""),"Nắp")</f>
        <v>Nắp</v>
      </c>
      <c r="C691" s="87" t="str">
        <f>IFERROR(__xludf.DUMMYFUNCTION("""COMPUTED_VALUE"""),"NAP0123")</f>
        <v>NAP0123</v>
      </c>
      <c r="D691" s="87" t="str">
        <f>IFERROR(__xludf.DUMMYFUNCTION("""COMPUTED_VALUE"""),"Nắp HDPE cổ 31 (7g) - Đỏ")</f>
        <v>Nắp HDPE cổ 31 (7g) - Đỏ</v>
      </c>
      <c r="E691" s="87" t="str">
        <f>IFERROR(__xludf.DUMMYFUNCTION("""COMPUTED_VALUE"""),"Mekongvil 5SC")</f>
        <v>Mekongvil 5SC</v>
      </c>
      <c r="F691" s="87" t="str">
        <f>IFERROR(__xludf.DUMMYFUNCTION("""COMPUTED_VALUE"""),"HH0123")</f>
        <v>HH0123</v>
      </c>
      <c r="G691" s="87" t="str">
        <f>IFERROR(__xludf.DUMMYFUNCTION("""COMPUTED_VALUE"""),"GC - IV - 766 - VTNN Bảy Phận - Phanvil (chai HD cc)- 1L - 20")</f>
        <v>GC - IV - 766 - VTNN Bảy Phận - Phanvil (chai HD cc)- 1L - 20</v>
      </c>
    </row>
    <row r="692">
      <c r="A692" s="86">
        <f>IFERROR(__xludf.DUMMYFUNCTION("""COMPUTED_VALUE"""),690.0)</f>
        <v>690</v>
      </c>
      <c r="B692" s="87" t="str">
        <f>IFERROR(__xludf.DUMMYFUNCTION("""COMPUTED_VALUE"""),"Nắp")</f>
        <v>Nắp</v>
      </c>
      <c r="C692" s="87" t="str">
        <f>IFERROR(__xludf.DUMMYFUNCTION("""COMPUTED_VALUE"""),"NAP0118")</f>
        <v>NAP0118</v>
      </c>
      <c r="D692" s="87" t="str">
        <f>IFERROR(__xludf.DUMMYFUNCTION("""COMPUTED_VALUE"""),"TP - Nắp PP có Guranter cổ 48 500ml (13gr)- Vàng")</f>
        <v>TP - Nắp PP có Guranter cổ 48 500ml (13gr)- Vàng</v>
      </c>
      <c r="E692" s="87" t="str">
        <f>IFERROR(__xludf.DUMMYFUNCTION("""COMPUTED_VALUE"""),"CHIM ƯNG 3.8EC")</f>
        <v>CHIM ƯNG 3.8EC</v>
      </c>
      <c r="F692" s="87" t="str">
        <f>IFERROR(__xludf.DUMMYFUNCTION("""COMPUTED_VALUE"""),"HH0118")</f>
        <v>HH0118</v>
      </c>
      <c r="G692" s="87" t="str">
        <f>IFERROR(__xludf.DUMMYFUNCTION("""COMPUTED_VALUE"""),"GC - IV - 767 - AU - Diều Hâu Đen (chai nhôm xanh dương) - 240ml - 40")</f>
        <v>GC - IV - 767 - AU - Diều Hâu Đen (chai nhôm xanh dương) - 240ml - 40</v>
      </c>
    </row>
    <row r="693">
      <c r="A693" s="86">
        <f>IFERROR(__xludf.DUMMYFUNCTION("""COMPUTED_VALUE"""),691.0)</f>
        <v>691</v>
      </c>
      <c r="B693" s="87" t="str">
        <f>IFERROR(__xludf.DUMMYFUNCTION("""COMPUTED_VALUE"""),"Chai")</f>
        <v>Chai</v>
      </c>
      <c r="C693" s="87" t="str">
        <f>IFERROR(__xludf.DUMMYFUNCTION("""COMPUTED_VALUE"""),"CHV0178")</f>
        <v>CHV0178</v>
      </c>
      <c r="D693" s="87" t="str">
        <f>IFERROR(__xludf.DUMMYFUNCTION("""COMPUTED_VALUE"""),"Chai HDPE vuông cổ 43 800ml (120gr) Vàng đồng - Nắp vàng đồng")</f>
        <v>Chai HDPE vuông cổ 43 800ml (120gr) Vàng đồng - Nắp vàng đồng</v>
      </c>
      <c r="E693" s="87" t="str">
        <f>IFERROR(__xludf.DUMMYFUNCTION("""COMPUTED_VALUE"""),"Vi lượng Quantity New")</f>
        <v>Vi lượng Quantity New</v>
      </c>
      <c r="F693" s="87" t="str">
        <f>IFERROR(__xludf.DUMMYFUNCTION("""COMPUTED_VALUE"""),"HH0178")</f>
        <v>HH0178</v>
      </c>
      <c r="G693" s="87" t="str">
        <f>IFERROR(__xludf.DUMMYFUNCTION("""COMPUTED_VALUE"""),"GC - II - 768 - A Thời GNH - Ra rễ nở bụi (Chai HD) - 1L - 20")</f>
        <v>GC - II - 768 - A Thời GNH - Ra rễ nở bụi (Chai HD) - 1L - 20</v>
      </c>
    </row>
    <row r="694">
      <c r="A694" s="86">
        <f>IFERROR(__xludf.DUMMYFUNCTION("""COMPUTED_VALUE"""),692.0)</f>
        <v>692</v>
      </c>
      <c r="B694" s="87" t="str">
        <f>IFERROR(__xludf.DUMMYFUNCTION("""COMPUTED_VALUE"""),"Chai")</f>
        <v>Chai</v>
      </c>
      <c r="C694" s="87" t="str">
        <f>IFERROR(__xludf.DUMMYFUNCTION("""COMPUTED_VALUE"""),"CPT0179")</f>
        <v>CPT0179</v>
      </c>
      <c r="D694" s="87" t="str">
        <f>IFERROR(__xludf.DUMMYFUNCTION("""COMPUTED_VALUE"""),"Chai Pet tròn cao giả nhôm 250ml cổ 33 (55gr) Màu Vàng đồng-  Nắp trắng, có cóc đong")</f>
        <v>Chai Pet tròn cao giả nhôm 250ml cổ 33 (55gr) Màu Vàng đồng-  Nắp trắng, có cóc đong</v>
      </c>
      <c r="E694" s="87" t="str">
        <f>IFERROR(__xludf.DUMMYFUNCTION("""COMPUTED_VALUE"""),"Vi lượng AV-CFC
(Dạng rắn)")</f>
        <v>Vi lượng AV-CFC
(Dạng rắn)</v>
      </c>
      <c r="F694" s="87" t="str">
        <f>IFERROR(__xludf.DUMMYFUNCTION("""COMPUTED_VALUE"""),"HH0179")</f>
        <v>HH0179</v>
      </c>
      <c r="G694" s="87" t="str">
        <f>IFERROR(__xludf.DUMMYFUNCTION("""COMPUTED_VALUE"""),"IDA Global - I - ĐL Minh Nga - 769 - Humi Green - 1kg - 25")</f>
        <v>IDA Global - I - ĐL Minh Nga - 769 - Humi Green - 1kg - 25</v>
      </c>
    </row>
    <row r="695">
      <c r="A695" s="86">
        <f>IFERROR(__xludf.DUMMYFUNCTION("""COMPUTED_VALUE"""),693.0)</f>
        <v>693</v>
      </c>
      <c r="B695" s="87" t="str">
        <f>IFERROR(__xludf.DUMMYFUNCTION("""COMPUTED_VALUE"""),"Chai")</f>
        <v>Chai</v>
      </c>
      <c r="C695" s="87" t="str">
        <f>IFERROR(__xludf.DUMMYFUNCTION("""COMPUTED_VALUE"""),"CHT0180")</f>
        <v>CHT0180</v>
      </c>
      <c r="D695" s="87" t="str">
        <f>IFERROR(__xludf.DUMMYFUNCTION("""COMPUTED_VALUE"""),"Chai HDPE trắng 500ml - Nắp Bta Trắng")</f>
        <v>Chai HDPE trắng 500ml - Nắp Bta Trắng</v>
      </c>
      <c r="E695" s="87" t="str">
        <f>IFERROR(__xludf.DUMMYFUNCTION("""COMPUTED_VALUE"""),"Tikabamec 3.6EC")</f>
        <v>Tikabamec 3.6EC</v>
      </c>
      <c r="F695" s="87" t="str">
        <f>IFERROR(__xludf.DUMMYFUNCTION("""COMPUTED_VALUE"""),"HH0180")</f>
        <v>HH0180</v>
      </c>
      <c r="G695" s="87" t="str">
        <f>IFERROR(__xludf.DUMMYFUNCTION("""COMPUTED_VALUE"""),"LOT IDA Global - I - ĐL Minh Nga - 770 - Abamec 3.6EC (Pet tròn) (nước đục) - 450ml - 40")</f>
        <v>LOT IDA Global - I - ĐL Minh Nga - 770 - Abamec 3.6EC (Pet tròn) (nước đục) - 450ml - 40</v>
      </c>
    </row>
    <row r="696">
      <c r="A696" s="86">
        <f>IFERROR(__xludf.DUMMYFUNCTION("""COMPUTED_VALUE"""),694.0)</f>
        <v>694</v>
      </c>
      <c r="B696" s="87" t="str">
        <f>IFERROR(__xludf.DUMMYFUNCTION("""COMPUTED_VALUE"""),"Chai")</f>
        <v>Chai</v>
      </c>
      <c r="C696" s="87" t="str">
        <f>IFERROR(__xludf.DUMMYFUNCTION("""COMPUTED_VALUE"""),"CHT0181")</f>
        <v>CHT0181</v>
      </c>
      <c r="D696" s="87" t="str">
        <f>IFERROR(__xludf.DUMMYFUNCTION("""COMPUTED_VALUE"""),"Chai HDPE Vàng 600ml - Nắp Bta Vàng")</f>
        <v>Chai HDPE Vàng 600ml - Nắp Bta Vàng</v>
      </c>
      <c r="E696" s="87" t="str">
        <f>IFERROR(__xludf.DUMMYFUNCTION("""COMPUTED_VALUE"""),"Tikabamec 3.6EC")</f>
        <v>Tikabamec 3.6EC</v>
      </c>
      <c r="F696" s="87" t="str">
        <f>IFERROR(__xludf.DUMMYFUNCTION("""COMPUTED_VALUE"""),"HH0181")</f>
        <v>HH0181</v>
      </c>
      <c r="G696" s="87" t="str">
        <f>IFERROR(__xludf.DUMMYFUNCTION("""COMPUTED_VALUE"""),"LOT IDA Global - I - ĐL Minh Nga - 770 - Abamec 3.6EC (Pet tròn) (nước đục) - 450ml - 40")</f>
        <v>LOT IDA Global - I - ĐL Minh Nga - 770 - Abamec 3.6EC (Pet tròn) (nước đục) - 450ml - 40</v>
      </c>
    </row>
    <row r="697">
      <c r="A697" s="86">
        <f>IFERROR(__xludf.DUMMYFUNCTION("""COMPUTED_VALUE"""),695.0)</f>
        <v>695</v>
      </c>
      <c r="B697" s="87" t="str">
        <f>IFERROR(__xludf.DUMMYFUNCTION("""COMPUTED_VALUE"""),"Chai")</f>
        <v>Chai</v>
      </c>
      <c r="C697" s="87" t="str">
        <f>IFERROR(__xludf.DUMMYFUNCTION("""COMPUTED_VALUE"""),"CHT0182")</f>
        <v>CHT0182</v>
      </c>
      <c r="D697" s="87" t="str">
        <f>IFERROR(__xludf.DUMMYFUNCTION("""COMPUTED_VALUE"""),"Chai HDPE Xanh dương 600ml - Nắp Bta Xanh dương")</f>
        <v>Chai HDPE Xanh dương 600ml - Nắp Bta Xanh dương</v>
      </c>
      <c r="E697" s="87" t="str">
        <f>IFERROR(__xludf.DUMMYFUNCTION("""COMPUTED_VALUE"""),"Kamycinjapane 20SL")</f>
        <v>Kamycinjapane 20SL</v>
      </c>
      <c r="F697" s="87" t="str">
        <f>IFERROR(__xludf.DUMMYFUNCTION("""COMPUTED_VALUE"""),"HH0182")</f>
        <v>HH0182</v>
      </c>
      <c r="G697" s="87" t="str">
        <f>IFERROR(__xludf.DUMMYFUNCTION("""COMPUTED_VALUE"""),"GC - IV - 772 - Nông Lâm Hòa Phát - Kamy-cinjapane 20SL - 450ml - 40")</f>
        <v>GC - IV - 772 - Nông Lâm Hòa Phát - Kamy-cinjapane 20SL - 450ml - 40</v>
      </c>
    </row>
    <row r="698">
      <c r="A698" s="86">
        <f>IFERROR(__xludf.DUMMYFUNCTION("""COMPUTED_VALUE"""),696.0)</f>
        <v>696</v>
      </c>
      <c r="B698" s="87" t="str">
        <f>IFERROR(__xludf.DUMMYFUNCTION("""COMPUTED_VALUE"""),"Chai")</f>
        <v>Chai</v>
      </c>
      <c r="C698" s="87" t="str">
        <f>IFERROR(__xludf.DUMMYFUNCTION("""COMPUTED_VALUE"""),"CHT0183")</f>
        <v>CHT0183</v>
      </c>
      <c r="D698" s="87" t="str">
        <f>IFERROR(__xludf.DUMMYFUNCTION("""COMPUTED_VALUE"""),"TP - Chai HDPE tròn cổ 48 500ml (60gr) - Cam")</f>
        <v>TP - Chai HDPE tròn cổ 48 500ml (60gr) - Cam</v>
      </c>
      <c r="E698" s="87" t="str">
        <f>IFERROR(__xludf.DUMMYFUNCTION("""COMPUTED_VALUE"""),"Kamycinjapane 20SL")</f>
        <v>Kamycinjapane 20SL</v>
      </c>
      <c r="F698" s="87" t="str">
        <f>IFERROR(__xludf.DUMMYFUNCTION("""COMPUTED_VALUE"""),"HH0183")</f>
        <v>HH0183</v>
      </c>
      <c r="G698" s="87" t="str">
        <f>IFERROR(__xludf.DUMMYFUNCTION("""COMPUTED_VALUE"""),"GC - IV - 772 - Nông Lâm Hòa Phát - Kamy-cinjapane 20SL - 450ml - 40")</f>
        <v>GC - IV - 772 - Nông Lâm Hòa Phát - Kamy-cinjapane 20SL - 450ml - 40</v>
      </c>
    </row>
    <row r="699">
      <c r="A699" s="86">
        <f>IFERROR(__xludf.DUMMYFUNCTION("""COMPUTED_VALUE"""),697.0)</f>
        <v>697</v>
      </c>
      <c r="B699" s="87" t="str">
        <f>IFERROR(__xludf.DUMMYFUNCTION("""COMPUTED_VALUE"""),"Nắp")</f>
        <v>Nắp</v>
      </c>
      <c r="C699" s="87" t="str">
        <f>IFERROR(__xludf.DUMMYFUNCTION("""COMPUTED_VALUE"""),"NAP0119")</f>
        <v>NAP0119</v>
      </c>
      <c r="D699" s="87" t="str">
        <f>IFERROR(__xludf.DUMMYFUNCTION("""COMPUTED_VALUE"""),"TP - Nắp PP có Guranter cổ 48 500ml (13gr)- Cam")</f>
        <v>TP - Nắp PP có Guranter cổ 48 500ml (13gr)- Cam</v>
      </c>
      <c r="E699" s="87" t="str">
        <f>IFERROR(__xludf.DUMMYFUNCTION("""COMPUTED_VALUE"""),"Vi lượng Basel VA01")</f>
        <v>Vi lượng Basel VA01</v>
      </c>
      <c r="F699" s="87" t="str">
        <f>IFERROR(__xludf.DUMMYFUNCTION("""COMPUTED_VALUE"""),"HH0119")</f>
        <v>HH0119</v>
      </c>
      <c r="G699" s="87" t="str">
        <f>IFERROR(__xludf.DUMMYFUNCTION("""COMPUTED_VALUE"""),"GC - IV - 773 - Agriscience - Agri-plus+ - 50ml -100")</f>
        <v>GC - IV - 773 - Agriscience - Agri-plus+ - 50ml -100</v>
      </c>
    </row>
    <row r="700">
      <c r="A700" s="86" t="str">
        <f>IFERROR(__xludf.DUMMYFUNCTION("""COMPUTED_VALUE"""),"")</f>
        <v/>
      </c>
      <c r="B700" s="87"/>
      <c r="C700" s="87" t="str">
        <f>IFERROR(__xludf.DUMMYFUNCTION("""COMPUTED_VALUE"""),"CEV0184")</f>
        <v>CEV0184</v>
      </c>
      <c r="D700" s="87" t="str">
        <f>IFERROR(__xludf.DUMMYFUNCTION("""COMPUTED_VALUE"""),"TP - Chai PAPE vuông cổ 21 100ml (24gr) Trắng - Nắp trắng")</f>
        <v>TP - Chai PAPE vuông cổ 21 100ml (24gr) Trắng - Nắp trắng</v>
      </c>
      <c r="E700" s="87" t="str">
        <f>IFERROR(__xludf.DUMMYFUNCTION("""COMPUTED_VALUE"""),"Mekongvil 5SC")</f>
        <v>Mekongvil 5SC</v>
      </c>
      <c r="F700" s="87" t="str">
        <f>IFERROR(__xludf.DUMMYFUNCTION("""COMPUTED_VALUE"""),"HH0184")</f>
        <v>HH0184</v>
      </c>
      <c r="G700" s="87" t="str">
        <f>IFERROR(__xludf.DUMMYFUNCTION("""COMPUTED_VALUE"""),"GC - IV - 774 - VTNN Xuân Sơn - Mekongvil 5SC- 1L - 20")</f>
        <v>GC - IV - 774 - VTNN Xuân Sơn - Mekongvil 5SC- 1L - 20</v>
      </c>
    </row>
    <row r="701">
      <c r="A701" s="86">
        <f>IFERROR(__xludf.DUMMYFUNCTION("""COMPUTED_VALUE"""),699.0)</f>
        <v>699</v>
      </c>
      <c r="B701" s="87" t="str">
        <f>IFERROR(__xludf.DUMMYFUNCTION("""COMPUTED_VALUE"""),"Chai")</f>
        <v>Chai</v>
      </c>
      <c r="C701" s="87" t="str">
        <f>IFERROR(__xludf.DUMMYFUNCTION("""COMPUTED_VALUE"""),"CHT0185")</f>
        <v>CHT0185</v>
      </c>
      <c r="D701" s="87" t="str">
        <f>IFERROR(__xludf.DUMMYFUNCTION("""COMPUTED_VALUE"""),"Chai HDPE tròn cổ 50 1L  (100gr) trắng - HG09")</f>
        <v>Chai HDPE tròn cổ 50 1L  (100gr) trắng - HG09</v>
      </c>
      <c r="E701" s="87" t="str">
        <f>IFERROR(__xludf.DUMMYFUNCTION("""COMPUTED_VALUE"""),"Tikabamec 3.6EC")</f>
        <v>Tikabamec 3.6EC</v>
      </c>
      <c r="F701" s="87" t="str">
        <f>IFERROR(__xludf.DUMMYFUNCTION("""COMPUTED_VALUE"""),"HH0185")</f>
        <v>HH0185</v>
      </c>
      <c r="G701" s="87" t="str">
        <f>IFERROR(__xludf.DUMMYFUNCTION("""COMPUTED_VALUE"""),"LOT IDA Global - I - ĐL Bảo Hiền - 775 - Tika Thái (Pet tròn) - 450ml - 40")</f>
        <v>LOT IDA Global - I - ĐL Bảo Hiền - 775 - Tika Thái (Pet tròn) - 450ml - 40</v>
      </c>
    </row>
    <row r="702">
      <c r="A702" s="86">
        <f>IFERROR(__xludf.DUMMYFUNCTION("""COMPUTED_VALUE"""),700.0)</f>
        <v>700</v>
      </c>
      <c r="B702" s="87" t="str">
        <f>IFERROR(__xludf.DUMMYFUNCTION("""COMPUTED_VALUE"""),"Nắp")</f>
        <v>Nắp</v>
      </c>
      <c r="C702" s="87" t="str">
        <f>IFERROR(__xludf.DUMMYFUNCTION("""COMPUTED_VALUE"""),"NAP0122")</f>
        <v>NAP0122</v>
      </c>
      <c r="D702" s="87" t="str">
        <f>IFERROR(__xludf.DUMMYFUNCTION("""COMPUTED_VALUE"""),"Nắp HD có Guarantee cổ 50 (10.5gr) trắng - HG09")</f>
        <v>Nắp HD có Guarantee cổ 50 (10.5gr) trắng - HG09</v>
      </c>
      <c r="E702" s="87" t="str">
        <f>IFERROR(__xludf.DUMMYFUNCTION("""COMPUTED_VALUE"""),"Tikabamec 3.6EC")</f>
        <v>Tikabamec 3.6EC</v>
      </c>
      <c r="F702" s="87" t="str">
        <f>IFERROR(__xludf.DUMMYFUNCTION("""COMPUTED_VALUE"""),"HH0122")</f>
        <v>HH0122</v>
      </c>
      <c r="G702" s="87" t="str">
        <f>IFERROR(__xludf.DUMMYFUNCTION("""COMPUTED_VALUE"""),"LOT IDA Global - I - ĐL Bảo Hiền - 775 - Tika Thái (Pet tròn) - 450ml - 40")</f>
        <v>LOT IDA Global - I - ĐL Bảo Hiền - 775 - Tika Thái (Pet tròn) - 450ml - 40</v>
      </c>
    </row>
    <row r="703">
      <c r="A703" s="86" t="str">
        <f>IFERROR(__xludf.DUMMYFUNCTION("""COMPUTED_VALUE"""),"")</f>
        <v/>
      </c>
      <c r="B703" s="87"/>
      <c r="C703" s="87" t="str">
        <f>IFERROR(__xludf.DUMMYFUNCTION("""COMPUTED_VALUE"""),"HA0001")</f>
        <v>HA0001</v>
      </c>
      <c r="D703" s="87" t="str">
        <f>IFERROR(__xludf.DUMMYFUNCTION("""COMPUTED_VALUE"""),"Túi hút ẩm gói 1gr")</f>
        <v>Túi hút ẩm gói 1gr</v>
      </c>
      <c r="E703" s="87" t="str">
        <f>IFERROR(__xludf.DUMMYFUNCTION("""COMPUTED_VALUE"""),"COCHAY 200SL")</f>
        <v>COCHAY 200SL</v>
      </c>
      <c r="F703" s="87" t="str">
        <f>IFERROR(__xludf.DUMMYFUNCTION("""COMPUTED_VALUE"""),"HH0001")</f>
        <v>HH0001</v>
      </c>
      <c r="G703" s="87" t="str">
        <f>IFERROR(__xludf.DUMMYFUNCTION("""COMPUTED_VALUE"""),"LOT IDA Global - I - 776 - ĐL Minh - Cháy cỏ X7 (chai PET vuông) - 800ml- 20")</f>
        <v>LOT IDA Global - I - 776 - ĐL Minh - Cháy cỏ X7 (chai PET vuông) - 800ml- 20</v>
      </c>
    </row>
    <row r="704">
      <c r="A704" s="86">
        <f>IFERROR(__xludf.DUMMYFUNCTION("""COMPUTED_VALUE"""),702.0)</f>
        <v>702</v>
      </c>
      <c r="B704" s="87" t="str">
        <f>IFERROR(__xludf.DUMMYFUNCTION("""COMPUTED_VALUE"""),"Chai")</f>
        <v>Chai</v>
      </c>
      <c r="C704" s="87" t="str">
        <f>IFERROR(__xludf.DUMMYFUNCTION("""COMPUTED_VALUE"""),"CHV0186")</f>
        <v>CHV0186</v>
      </c>
      <c r="D704" s="87" t="str">
        <f>IFERROR(__xludf.DUMMYFUNCTION("""COMPUTED_VALUE"""),"AT - Chai HDPE vuông cổ 39 1L Trắng (130gr)")</f>
        <v>AT - Chai HDPE vuông cổ 39 1L Trắng (130gr)</v>
      </c>
      <c r="E704" s="87" t="str">
        <f>IFERROR(__xludf.DUMMYFUNCTION("""COMPUTED_VALUE"""),"Hỗn hợp NPK BASEL NPK 7-5-44 IDA 45")</f>
        <v>Hỗn hợp NPK BASEL NPK 7-5-44 IDA 45</v>
      </c>
      <c r="F704" s="87" t="str">
        <f>IFERROR(__xludf.DUMMYFUNCTION("""COMPUTED_VALUE"""),"HH0186")</f>
        <v>HH0186</v>
      </c>
      <c r="G704" s="87" t="str">
        <f>IFERROR(__xludf.DUMMYFUNCTION("""COMPUTED_VALUE"""),"IDA Global - I - ĐL Minh Nga - 777 - Winner - 50gr - 300")</f>
        <v>IDA Global - I - ĐL Minh Nga - 777 - Winner - 50gr - 300</v>
      </c>
    </row>
    <row r="705">
      <c r="A705" s="86">
        <f>IFERROR(__xludf.DUMMYFUNCTION("""COMPUTED_VALUE"""),703.0)</f>
        <v>703</v>
      </c>
      <c r="B705" s="87" t="str">
        <f>IFERROR(__xludf.DUMMYFUNCTION("""COMPUTED_VALUE"""),"Bao")</f>
        <v>Bao</v>
      </c>
      <c r="C705" s="87" t="str">
        <f>IFERROR(__xludf.DUMMYFUNCTION("""COMPUTED_VALUE"""),"BAO0009")</f>
        <v>BAO0009</v>
      </c>
      <c r="D705" s="87" t="str">
        <f>IFERROR(__xludf.DUMMYFUNCTION("""COMPUTED_VALUE"""),"Bao nhôm xanh dương 10kg (40x56cm) - Có lót túi PE trong")</f>
        <v>Bao nhôm xanh dương 10kg (40x56cm) - Có lót túi PE trong</v>
      </c>
      <c r="E705" s="87" t="str">
        <f>IFERROR(__xludf.DUMMYFUNCTION("""COMPUTED_VALUE"""),"Vi lượng Basel IDA 47")</f>
        <v>Vi lượng Basel IDA 47</v>
      </c>
      <c r="F705" s="87" t="str">
        <f>IFERROR(__xludf.DUMMYFUNCTION("""COMPUTED_VALUE"""),"HH0009")</f>
        <v>HH0009</v>
      </c>
      <c r="G705" s="87" t="str">
        <f>IFERROR(__xludf.DUMMYFUNCTION("""COMPUTED_VALUE"""),"IDA GLOBAL - I - 778 - ĐL Minh Nga - Flower Top - 50ml - 300")</f>
        <v>IDA GLOBAL - I - 778 - ĐL Minh Nga - Flower Top - 50ml - 300</v>
      </c>
    </row>
    <row r="706">
      <c r="A706" s="86">
        <f>IFERROR(__xludf.DUMMYFUNCTION("""COMPUTED_VALUE"""),704.0)</f>
        <v>704</v>
      </c>
      <c r="B706" s="87" t="str">
        <f>IFERROR(__xludf.DUMMYFUNCTION("""COMPUTED_VALUE"""),"Bao")</f>
        <v>Bao</v>
      </c>
      <c r="C706" s="87" t="str">
        <f>IFERROR(__xludf.DUMMYFUNCTION("""COMPUTED_VALUE"""),"BAO0010")</f>
        <v>BAO0010</v>
      </c>
      <c r="D706" s="87" t="str">
        <f>IFERROR(__xludf.DUMMYFUNCTION("""COMPUTED_VALUE"""),"Bao nhôm hồng 5kg (32x40cm) - Có lót túi PE trong")</f>
        <v>Bao nhôm hồng 5kg (32x40cm) - Có lót túi PE trong</v>
      </c>
      <c r="E706" s="87" t="str">
        <f>IFERROR(__xludf.DUMMYFUNCTION("""COMPUTED_VALUE"""),"TVZEB 800WP")</f>
        <v>TVZEB 800WP</v>
      </c>
      <c r="F706" s="87" t="str">
        <f>IFERROR(__xludf.DUMMYFUNCTION("""COMPUTED_VALUE"""),"HH0010")</f>
        <v>HH0010</v>
      </c>
      <c r="G706" s="87" t="str">
        <f>IFERROR(__xludf.DUMMYFUNCTION("""COMPUTED_VALUE"""),"LOT IDA Global - I - 779 - ĐL Minh Nga - TVZEB 800WP - 1kg - 20")</f>
        <v>LOT IDA Global - I - 779 - ĐL Minh Nga - TVZEB 800WP - 1kg - 20</v>
      </c>
    </row>
    <row r="707">
      <c r="A707" s="86">
        <f>IFERROR(__xludf.DUMMYFUNCTION("""COMPUTED_VALUE"""),705.0)</f>
        <v>705</v>
      </c>
      <c r="B707" s="87" t="str">
        <f>IFERROR(__xludf.DUMMYFUNCTION("""COMPUTED_VALUE"""),"Lon")</f>
        <v>Lon</v>
      </c>
      <c r="C707" s="87" t="str">
        <f>IFERROR(__xludf.DUMMYFUNCTION("""COMPUTED_VALUE"""),"LON0005")</f>
        <v>LON0005</v>
      </c>
      <c r="D707" s="87" t="str">
        <f>IFERROR(__xludf.DUMMYFUNCTION("""COMPUTED_VALUE"""),"Lon HDPE tròn cổ 48 23gr (100gr) trắng- Nắp trắng")</f>
        <v>Lon HDPE tròn cổ 48 23gr (100gr) trắng- Nắp trắng</v>
      </c>
      <c r="E707" s="87" t="str">
        <f>IFERROR(__xludf.DUMMYFUNCTION("""COMPUTED_VALUE"""),"TVZEB 800WP")</f>
        <v>TVZEB 800WP</v>
      </c>
      <c r="F707" s="87" t="str">
        <f>IFERROR(__xludf.DUMMYFUNCTION("""COMPUTED_VALUE"""),"HH0005")</f>
        <v>HH0005</v>
      </c>
      <c r="G707" s="87" t="str">
        <f>IFERROR(__xludf.DUMMYFUNCTION("""COMPUTED_VALUE"""),"LOT IDA Global - I - 779 - ĐL Minh Nga - TVZEB 800WP - 1kg - 20")</f>
        <v>LOT IDA Global - I - 779 - ĐL Minh Nga - TVZEB 800WP - 1kg - 20</v>
      </c>
    </row>
    <row r="708">
      <c r="A708" s="86" t="str">
        <f>IFERROR(__xludf.DUMMYFUNCTION("""COMPUTED_VALUE"""),"")</f>
        <v/>
      </c>
      <c r="B708" s="87"/>
      <c r="C708" s="87" t="str">
        <f>IFERROR(__xludf.DUMMYFUNCTION("""COMPUTED_VALUE"""),"CET0187")</f>
        <v>CET0187</v>
      </c>
      <c r="D708" s="87" t="str">
        <f>IFERROR(__xludf.DUMMYFUNCTION("""COMPUTED_VALUE"""),"Chai PAPE tròn cổ 43 240,250ml (40gr) - Trắng, Nắp Đỏ, có cóc đong")</f>
        <v>Chai PAPE tròn cổ 43 240,250ml (40gr) - Trắng, Nắp Đỏ, có cóc đong</v>
      </c>
      <c r="E708" s="87" t="str">
        <f>IFERROR(__xludf.DUMMYFUNCTION("""COMPUTED_VALUE"""),"TVZEB 800WP")</f>
        <v>TVZEB 800WP</v>
      </c>
      <c r="F708" s="87" t="str">
        <f>IFERROR(__xludf.DUMMYFUNCTION("""COMPUTED_VALUE"""),"HH0187")</f>
        <v>HH0187</v>
      </c>
      <c r="G708" s="87" t="str">
        <f>IFERROR(__xludf.DUMMYFUNCTION("""COMPUTED_VALUE"""),"LOT IDA Global - I - 779.1 - TVZEB 800WP - 1kg - 20")</f>
        <v>LOT IDA Global - I - 779.1 - TVZEB 800WP - 1kg - 20</v>
      </c>
    </row>
    <row r="709">
      <c r="A709" s="86">
        <f>IFERROR(__xludf.DUMMYFUNCTION("""COMPUTED_VALUE"""),707.0)</f>
        <v>707</v>
      </c>
      <c r="B709" s="87" t="str">
        <f>IFERROR(__xludf.DUMMYFUNCTION("""COMPUTED_VALUE"""),"Chai")</f>
        <v>Chai</v>
      </c>
      <c r="C709" s="87" t="str">
        <f>IFERROR(__xludf.DUMMYFUNCTION("""COMPUTED_VALUE"""),"CPT0188")</f>
        <v>CPT0188</v>
      </c>
      <c r="D709" s="87" t="str">
        <f>IFERROR(__xludf.DUMMYFUNCTION("""COMPUTED_VALUE"""),"Chai pet tròn cổ 38 250ml - Màu xanh biển (41gr) - Nắp tai bèo xanh biển (6gr)")</f>
        <v>Chai pet tròn cổ 38 250ml - Màu xanh biển (41gr) - Nắp tai bèo xanh biển (6gr)</v>
      </c>
      <c r="E709" s="87" t="str">
        <f>IFERROR(__xludf.DUMMYFUNCTION("""COMPUTED_VALUE"""),"Remy 19EC")</f>
        <v>Remy 19EC</v>
      </c>
      <c r="F709" s="87" t="str">
        <f>IFERROR(__xludf.DUMMYFUNCTION("""COMPUTED_VALUE"""),"HH0188")</f>
        <v>HH0188</v>
      </c>
      <c r="G709" s="87" t="str">
        <f>IFERROR(__xludf.DUMMYFUNCTION("""COMPUTED_VALUE"""),"GC - II - 781 - Nông Lâm Hoà Phát - Emamex 1.9 (PET tròn) - 450ml - 40")</f>
        <v>GC - II - 781 - Nông Lâm Hoà Phát - Emamex 1.9 (PET tròn) - 450ml - 40</v>
      </c>
    </row>
    <row r="710">
      <c r="A710" s="86">
        <f>IFERROR(__xludf.DUMMYFUNCTION("""COMPUTED_VALUE"""),708.0)</f>
        <v>708</v>
      </c>
      <c r="B710" s="87" t="str">
        <f>IFERROR(__xludf.DUMMYFUNCTION("""COMPUTED_VALUE"""),"Chai")</f>
        <v>Chai</v>
      </c>
      <c r="C710" s="87" t="str">
        <f>IFERROR(__xludf.DUMMYFUNCTION("""COMPUTED_VALUE"""),"CPT0189")</f>
        <v>CPT0189</v>
      </c>
      <c r="D710" s="87" t="str">
        <f>IFERROR(__xludf.DUMMYFUNCTION("""COMPUTED_VALUE"""),"Chai pet tròn cổ 38 250ml - Màu trắng (41gr)")</f>
        <v>Chai pet tròn cổ 38 250ml - Màu trắng (41gr)</v>
      </c>
      <c r="E710" s="87" t="str">
        <f>IFERROR(__xludf.DUMMYFUNCTION("""COMPUTED_VALUE"""),"Tikabamec 3.6EC")</f>
        <v>Tikabamec 3.6EC</v>
      </c>
      <c r="F710" s="87" t="str">
        <f>IFERROR(__xludf.DUMMYFUNCTION("""COMPUTED_VALUE"""),"HH0189")</f>
        <v>HH0189</v>
      </c>
      <c r="G710" s="87" t="str">
        <f>IFERROR(__xludf.DUMMYFUNCTION("""COMPUTED_VALUE"""),"LOT IDA Global - I - ĐL Hai Nhóm - 782 - Tikabamec 3.6EC (Pet tròn) (nước đục)- 450ml - 40")</f>
        <v>LOT IDA Global - I - ĐL Hai Nhóm - 782 - Tikabamec 3.6EC (Pet tròn) (nước đục)- 450ml - 40</v>
      </c>
    </row>
    <row r="711">
      <c r="A711" s="86" t="str">
        <f>IFERROR(__xludf.DUMMYFUNCTION("""COMPUTED_VALUE"""),"")</f>
        <v/>
      </c>
      <c r="B711" s="87"/>
      <c r="C711" s="87" t="str">
        <f>IFERROR(__xludf.DUMMYFUNCTION("""COMPUTED_VALUE"""),"TEM0001")</f>
        <v>TEM0001</v>
      </c>
      <c r="D711" s="87" t="str">
        <f>IFERROR(__xludf.DUMMYFUNCTION("""COMPUTED_VALUE"""),"Tem chống hàng giả Agritech Import Co, Ltd tròn 20 x20mm - Trắng bạc")</f>
        <v>Tem chống hàng giả Agritech Import Co, Ltd tròn 20 x20mm - Trắng bạc</v>
      </c>
      <c r="E711" s="87" t="str">
        <f>IFERROR(__xludf.DUMMYFUNCTION("""COMPUTED_VALUE"""),"Tikabamec 3.6EC")</f>
        <v>Tikabamec 3.6EC</v>
      </c>
      <c r="F711" s="87" t="str">
        <f>IFERROR(__xludf.DUMMYFUNCTION("""COMPUTED_VALUE"""),"HH0001")</f>
        <v>HH0001</v>
      </c>
      <c r="G711" s="87" t="str">
        <f>IFERROR(__xludf.DUMMYFUNCTION("""COMPUTED_VALUE"""),"GC - I - 785 - CT Tây Nguyên - Tikabamec 3.6EC (PET vuông) - 450ml - 40")</f>
        <v>GC - I - 785 - CT Tây Nguyên - Tikabamec 3.6EC (PET vuông) - 450ml - 40</v>
      </c>
    </row>
    <row r="712">
      <c r="A712" s="86" t="str">
        <f>IFERROR(__xludf.DUMMYFUNCTION("""COMPUTED_VALUE"""),"")</f>
        <v/>
      </c>
      <c r="B712" s="87"/>
      <c r="C712" s="87" t="str">
        <f>IFERROR(__xludf.DUMMYFUNCTION("""COMPUTED_VALUE"""),"BAO0011")</f>
        <v>BAO0011</v>
      </c>
      <c r="D712" s="87" t="str">
        <f>IFERROR(__xludf.DUMMYFUNCTION("""COMPUTED_VALUE"""),"Bao PE trong (80x120cm)")</f>
        <v>Bao PE trong (80x120cm)</v>
      </c>
      <c r="E712" s="87" t="str">
        <f>IFERROR(__xludf.DUMMYFUNCTION("""COMPUTED_VALUE"""),"SHA CHONG JING 95WP")</f>
        <v>SHA CHONG JING 95WP</v>
      </c>
      <c r="F712" s="87" t="str">
        <f>IFERROR(__xludf.DUMMYFUNCTION("""COMPUTED_VALUE"""),"HH0011")</f>
        <v>HH0011</v>
      </c>
      <c r="G712" s="87" t="str">
        <f>IFERROR(__xludf.DUMMYFUNCTION("""COMPUTED_VALUE"""),"GC - IV - 786 - ĐL Thái Hoàng - Én Đỏ (túi nhôm) - 60gr - 120")</f>
        <v>GC - IV - 786 - ĐL Thái Hoàng - Én Đỏ (túi nhôm) - 60gr - 120</v>
      </c>
    </row>
    <row r="713">
      <c r="A713" s="86" t="str">
        <f>IFERROR(__xludf.DUMMYFUNCTION("""COMPUTED_VALUE"""),"")</f>
        <v/>
      </c>
      <c r="B713" s="87"/>
      <c r="C713" s="87" t="str">
        <f>IFERROR(__xludf.DUMMYFUNCTION("""COMPUTED_VALUE"""),"BAO0012")</f>
        <v>BAO0012</v>
      </c>
      <c r="D713" s="87" t="str">
        <f>IFERROR(__xludf.DUMMYFUNCTION("""COMPUTED_VALUE"""),"Bao nhôm xanh lá 10kg (40x70cm) - Có lót túi PE trong")</f>
        <v>Bao nhôm xanh lá 10kg (40x70cm) - Có lót túi PE trong</v>
      </c>
      <c r="E713" s="87" t="str">
        <f>IFERROR(__xludf.DUMMYFUNCTION("""COMPUTED_VALUE"""),"SHA CHONG JING 95WP")</f>
        <v>SHA CHONG JING 95WP</v>
      </c>
      <c r="F713" s="87" t="str">
        <f>IFERROR(__xludf.DUMMYFUNCTION("""COMPUTED_VALUE"""),"HH0012")</f>
        <v>HH0012</v>
      </c>
      <c r="G713" s="87" t="str">
        <f>IFERROR(__xludf.DUMMYFUNCTION("""COMPUTED_VALUE"""),"GC - IV - 787 - ĐL Thái Hoàng - Đầu Gà (túi nhôm) - 80gr - 150")</f>
        <v>GC - IV - 787 - ĐL Thái Hoàng - Đầu Gà (túi nhôm) - 80gr - 150</v>
      </c>
    </row>
    <row r="714">
      <c r="A714" s="86" t="str">
        <f>IFERROR(__xludf.DUMMYFUNCTION("""COMPUTED_VALUE"""),"")</f>
        <v/>
      </c>
      <c r="B714" s="87"/>
      <c r="C714" s="87" t="str">
        <f>IFERROR(__xludf.DUMMYFUNCTION("""COMPUTED_VALUE"""),"TEM0005")</f>
        <v>TEM0005</v>
      </c>
      <c r="D714" s="87" t="str">
        <f>IFERROR(__xludf.DUMMYFUNCTION("""COMPUTED_VALUE"""),"Tem chống hàng giả ASAHI 1.4x5cm - Decal 7 màu")</f>
        <v>Tem chống hàng giả ASAHI 1.4x5cm - Decal 7 màu</v>
      </c>
      <c r="E714" s="87" t="str">
        <f>IFERROR(__xludf.DUMMYFUNCTION("""COMPUTED_VALUE"""),"COCHAY 200SL")</f>
        <v>COCHAY 200SL</v>
      </c>
      <c r="F714" s="87" t="str">
        <f>IFERROR(__xludf.DUMMYFUNCTION("""COMPUTED_VALUE"""),"HH0005")</f>
        <v>HH0005</v>
      </c>
      <c r="G714" s="87" t="str">
        <f>IFERROR(__xludf.DUMMYFUNCTION("""COMPUTED_VALUE"""),"LOT IDA Global - I - 789 - ĐL Minh - Cháy cỏ X7 (chai PET vuông) - 900ml- 20")</f>
        <v>LOT IDA Global - I - 789 - ĐL Minh - Cháy cỏ X7 (chai PET vuông) - 900ml- 20</v>
      </c>
    </row>
    <row r="715">
      <c r="A715" s="86" t="str">
        <f>IFERROR(__xludf.DUMMYFUNCTION("""COMPUTED_VALUE"""),"")</f>
        <v/>
      </c>
      <c r="B715" s="87"/>
      <c r="C715" s="87" t="str">
        <f>IFERROR(__xludf.DUMMYFUNCTION("""COMPUTED_VALUE"""),"TEM0006")</f>
        <v>TEM0006</v>
      </c>
      <c r="D715" s="87" t="str">
        <f>IFERROR(__xludf.DUMMYFUNCTION("""COMPUTED_VALUE"""),"Tem chống hàng giả ASAHI 1.8x7cm - Decal 7 màu")</f>
        <v>Tem chống hàng giả ASAHI 1.8x7cm - Decal 7 màu</v>
      </c>
      <c r="E715" s="87" t="str">
        <f>IFERROR(__xludf.DUMMYFUNCTION("""COMPUTED_VALUE"""),"PICOSUPER 280SC")</f>
        <v>PICOSUPER 280SC</v>
      </c>
      <c r="F715" s="87" t="str">
        <f>IFERROR(__xludf.DUMMYFUNCTION("""COMPUTED_VALUE"""),"HH0006")</f>
        <v>HH0006</v>
      </c>
      <c r="G715" s="87" t="str">
        <f>IFERROR(__xludf.DUMMYFUNCTION("""COMPUTED_VALUE"""),"IDA Global - I - 790 - ĐL Hoàng Hoa - Picosuper 280SC (chai Pape) - 250ml - 40")</f>
        <v>IDA Global - I - 790 - ĐL Hoàng Hoa - Picosuper 280SC (chai Pape) - 250ml - 40</v>
      </c>
    </row>
    <row r="716">
      <c r="A716" s="86" t="str">
        <f>IFERROR(__xludf.DUMMYFUNCTION("""COMPUTED_VALUE"""),"")</f>
        <v/>
      </c>
      <c r="B716" s="87"/>
      <c r="C716" s="87" t="str">
        <f>IFERROR(__xludf.DUMMYFUNCTION("""COMPUTED_VALUE"""),"TEM0007")</f>
        <v>TEM0007</v>
      </c>
      <c r="D716" s="87" t="str">
        <f>IFERROR(__xludf.DUMMYFUNCTION("""COMPUTED_VALUE"""),"Tem chống hàng giả ASAHI 1.5x4cm hình chữ nhật bế demi- Decal bể")</f>
        <v>Tem chống hàng giả ASAHI 1.5x4cm hình chữ nhật bế demi- Decal bể</v>
      </c>
      <c r="E716" s="87" t="str">
        <f>IFERROR(__xludf.DUMMYFUNCTION("""COMPUTED_VALUE"""),"Mekongvil 5SC")</f>
        <v>Mekongvil 5SC</v>
      </c>
      <c r="F716" s="87" t="str">
        <f>IFERROR(__xludf.DUMMYFUNCTION("""COMPUTED_VALUE"""),"HH0007")</f>
        <v>HH0007</v>
      </c>
      <c r="G716" s="87" t="str">
        <f>IFERROR(__xludf.DUMMYFUNCTION("""COMPUTED_VALUE"""),"GC - IV - 791 - Nông Lâm Hoà Phát - HPVIL (Chai HD cc) - 1L - 20")</f>
        <v>GC - IV - 791 - Nông Lâm Hoà Phát - HPVIL (Chai HD cc) - 1L - 20</v>
      </c>
    </row>
    <row r="717">
      <c r="A717" s="86" t="str">
        <f>IFERROR(__xludf.DUMMYFUNCTION("""COMPUTED_VALUE"""),"")</f>
        <v/>
      </c>
      <c r="B717" s="87"/>
      <c r="C717" s="87" t="str">
        <f>IFERROR(__xludf.DUMMYFUNCTION("""COMPUTED_VALUE"""),"TEM0008")</f>
        <v>TEM0008</v>
      </c>
      <c r="D717" s="87" t="str">
        <f>IFERROR(__xludf.DUMMYFUNCTION("""COMPUTED_VALUE"""),"Tem chống hàng giả ASAHI 1.8x7cm hình chữ nhật bế demi- Decal bể")</f>
        <v>Tem chống hàng giả ASAHI 1.8x7cm hình chữ nhật bế demi- Decal bể</v>
      </c>
      <c r="E717" s="87" t="str">
        <f>IFERROR(__xludf.DUMMYFUNCTION("""COMPUTED_VALUE"""),"Mekongvil 5SC")</f>
        <v>Mekongvil 5SC</v>
      </c>
      <c r="F717" s="87" t="str">
        <f>IFERROR(__xludf.DUMMYFUNCTION("""COMPUTED_VALUE"""),"HH0008")</f>
        <v>HH0008</v>
      </c>
      <c r="G717" s="87" t="str">
        <f>IFERROR(__xludf.DUMMYFUNCTION("""COMPUTED_VALUE"""),"GC - IV - 792 - Agritech - Hexavil (chai HD) - 1L - 20")</f>
        <v>GC - IV - 792 - Agritech - Hexavil (chai HD) - 1L - 20</v>
      </c>
    </row>
    <row r="718">
      <c r="A718" s="86">
        <f>IFERROR(__xludf.DUMMYFUNCTION("""COMPUTED_VALUE"""),716.0)</f>
        <v>716</v>
      </c>
      <c r="B718" s="87" t="str">
        <f>IFERROR(__xludf.DUMMYFUNCTION("""COMPUTED_VALUE"""),"Chai")</f>
        <v>Chai</v>
      </c>
      <c r="C718" s="87" t="str">
        <f>IFERROR(__xludf.DUMMYFUNCTION("""COMPUTED_VALUE"""),"CHT0190")</f>
        <v>CHT0190</v>
      </c>
      <c r="D718" s="87" t="str">
        <f>IFERROR(__xludf.DUMMYFUNCTION("""COMPUTED_VALUE"""),"Chai HDPE vuông cổ 38.5 250ml  (38gr) - Trắng")</f>
        <v>Chai HDPE vuông cổ 38.5 250ml  (38gr) - Trắng</v>
      </c>
      <c r="E718" s="87" t="str">
        <f>IFERROR(__xludf.DUMMYFUNCTION("""COMPUTED_VALUE"""),"Kamycinjapane 20SL")</f>
        <v>Kamycinjapane 20SL</v>
      </c>
      <c r="F718" s="87" t="str">
        <f>IFERROR(__xludf.DUMMYFUNCTION("""COMPUTED_VALUE"""),"HH0190")</f>
        <v>HH0190</v>
      </c>
      <c r="G718" s="87" t="str">
        <f>IFERROR(__xludf.DUMMYFUNCTION("""COMPUTED_VALUE"""),"GC - IV - 793 - AU - Kamycinjapane 20SL - 450ml - 40")</f>
        <v>GC - IV - 793 - AU - Kamycinjapane 20SL - 450ml - 40</v>
      </c>
    </row>
    <row r="719">
      <c r="A719" s="86">
        <f>IFERROR(__xludf.DUMMYFUNCTION("""COMPUTED_VALUE"""),717.0)</f>
        <v>717</v>
      </c>
      <c r="B719" s="87" t="str">
        <f>IFERROR(__xludf.DUMMYFUNCTION("""COMPUTED_VALUE"""),"Nắp")</f>
        <v>Nắp</v>
      </c>
      <c r="C719" s="87" t="str">
        <f>IFERROR(__xludf.DUMMYFUNCTION("""COMPUTED_VALUE"""),"NAP0124")</f>
        <v>NAP0124</v>
      </c>
      <c r="D719" s="87" t="str">
        <f>IFERROR(__xludf.DUMMYFUNCTION("""COMPUTED_VALUE"""),"Nắp HD bèo cổ 38.5  (7gr) - Trắng")</f>
        <v>Nắp HD bèo cổ 38.5  (7gr) - Trắng</v>
      </c>
      <c r="E719" s="87" t="str">
        <f>IFERROR(__xludf.DUMMYFUNCTION("""COMPUTED_VALUE"""),"TVZEB 800WP")</f>
        <v>TVZEB 800WP</v>
      </c>
      <c r="F719" s="87" t="str">
        <f>IFERROR(__xludf.DUMMYFUNCTION("""COMPUTED_VALUE"""),"HH0124")</f>
        <v>HH0124</v>
      </c>
      <c r="G719" s="87" t="str">
        <f>IFERROR(__xludf.DUMMYFUNCTION("""COMPUTED_VALUE"""),"GC - IV - 794 - AU - Mancozeb Xanh - 1 kg - 20")</f>
        <v>GC - IV - 794 - AU - Mancozeb Xanh - 1 kg - 20</v>
      </c>
    </row>
    <row r="720">
      <c r="A720" s="86">
        <f>IFERROR(__xludf.DUMMYFUNCTION("""COMPUTED_VALUE"""),718.0)</f>
        <v>718</v>
      </c>
      <c r="B720" s="87" t="str">
        <f>IFERROR(__xludf.DUMMYFUNCTION("""COMPUTED_VALUE"""),"Chai")</f>
        <v>Chai</v>
      </c>
      <c r="C720" s="87" t="str">
        <f>IFERROR(__xludf.DUMMYFUNCTION("""COMPUTED_VALUE"""),"CHT0191")</f>
        <v>CHT0191</v>
      </c>
      <c r="D720" s="87" t="str">
        <f>IFERROR(__xludf.DUMMYFUNCTION("""COMPUTED_VALUE"""),"Chai HDPE Đen 500ml - Nắp Bta đen")</f>
        <v>Chai HDPE Đen 500ml - Nắp Bta đen</v>
      </c>
      <c r="E720" s="87" t="str">
        <f>IFERROR(__xludf.DUMMYFUNCTION("""COMPUTED_VALUE"""),"Vi lượng Quantity New")</f>
        <v>Vi lượng Quantity New</v>
      </c>
      <c r="F720" s="87" t="str">
        <f>IFERROR(__xludf.DUMMYFUNCTION("""COMPUTED_VALUE"""),"HH0191")</f>
        <v>HH0191</v>
      </c>
      <c r="G720" s="87" t="str">
        <f>IFERROR(__xludf.DUMMYFUNCTION("""COMPUTED_VALUE"""),"GC - II - 795 - A Thời GNH - Siêu Vô Gạo (chai HD) - 500ml - 40")</f>
        <v>GC - II - 795 - A Thời GNH - Siêu Vô Gạo (chai HD) - 500ml - 40</v>
      </c>
    </row>
    <row r="721">
      <c r="A721" s="86" t="str">
        <f>IFERROR(__xludf.DUMMYFUNCTION("""COMPUTED_VALUE"""),"")</f>
        <v/>
      </c>
      <c r="B721" s="87"/>
      <c r="C721" s="87" t="str">
        <f>IFERROR(__xludf.DUMMYFUNCTION("""COMPUTED_VALUE"""),"CAN0026")</f>
        <v>CAN0026</v>
      </c>
      <c r="D721" s="87" t="str">
        <f>IFERROR(__xludf.DUMMYFUNCTION("""COMPUTED_VALUE"""),"Can HDPE 20L vuông bầu trắng đục (1.1kg) - Nắp trắng (27gr)")</f>
        <v>Can HDPE 20L vuông bầu trắng đục (1.1kg) - Nắp trắng (27gr)</v>
      </c>
      <c r="E721" s="87" t="str">
        <f>IFERROR(__xludf.DUMMYFUNCTION("""COMPUTED_VALUE"""),"Vi lượng Quantity New")</f>
        <v>Vi lượng Quantity New</v>
      </c>
      <c r="F721" s="87" t="str">
        <f>IFERROR(__xludf.DUMMYFUNCTION("""COMPUTED_VALUE"""),"HH0026")</f>
        <v>HH0026</v>
      </c>
      <c r="G721" s="87" t="str">
        <f>IFERROR(__xludf.DUMMYFUNCTION("""COMPUTED_VALUE"""),"GC - II - 796 - A Thời GNH - Siêu Bung Đọt (chai HD) - 500ml - 40")</f>
        <v>GC - II - 796 - A Thời GNH - Siêu Bung Đọt (chai HD) - 500ml - 40</v>
      </c>
    </row>
    <row r="722">
      <c r="A722" s="86">
        <f>IFERROR(__xludf.DUMMYFUNCTION("""COMPUTED_VALUE"""),720.0)</f>
        <v>720</v>
      </c>
      <c r="B722" s="87" t="str">
        <f>IFERROR(__xludf.DUMMYFUNCTION("""COMPUTED_VALUE"""),"Nắp")</f>
        <v>Nắp</v>
      </c>
      <c r="C722" s="87" t="str">
        <f>IFERROR(__xludf.DUMMYFUNCTION("""COMPUTED_VALUE"""),"NAP0125")</f>
        <v>NAP0125</v>
      </c>
      <c r="D722" s="87" t="str">
        <f>IFERROR(__xludf.DUMMYFUNCTION("""COMPUTED_VALUE"""),"TP - Nắp PET cổ 35 (5g) - Tím nhạt")</f>
        <v>TP - Nắp PET cổ 35 (5g) - Tím nhạt</v>
      </c>
      <c r="E722" s="87" t="str">
        <f>IFERROR(__xludf.DUMMYFUNCTION("""COMPUTED_VALUE"""),"Mekongvil 5SC")</f>
        <v>Mekongvil 5SC</v>
      </c>
      <c r="F722" s="87" t="str">
        <f>IFERROR(__xludf.DUMMYFUNCTION("""COMPUTED_VALUE"""),"HH0125")</f>
        <v>HH0125</v>
      </c>
      <c r="G722" s="87" t="str">
        <f>IFERROR(__xludf.DUMMYFUNCTION("""COMPUTED_VALUE"""),"GC - II - 798 - AGC - Gvil (Chai HD cc) - 1lit - 20")</f>
        <v>GC - II - 798 - AGC - Gvil (Chai HD cc) - 1lit - 20</v>
      </c>
    </row>
    <row r="723">
      <c r="A723" s="86">
        <f>IFERROR(__xludf.DUMMYFUNCTION("""COMPUTED_VALUE"""),721.0)</f>
        <v>721</v>
      </c>
      <c r="B723" s="87" t="str">
        <f>IFERROR(__xludf.DUMMYFUNCTION("""COMPUTED_VALUE"""),"Chai")</f>
        <v>Chai</v>
      </c>
      <c r="C723" s="87" t="str">
        <f>IFERROR(__xludf.DUMMYFUNCTION("""COMPUTED_VALUE"""),"CHT0192")</f>
        <v>CHT0192</v>
      </c>
      <c r="D723" s="87" t="str">
        <f>IFERROR(__xludf.DUMMYFUNCTION("""COMPUTED_VALUE"""),"Chai HDPE Trắng 600ml - Nắp Bta trắng")</f>
        <v>Chai HDPE Trắng 600ml - Nắp Bta trắng</v>
      </c>
      <c r="E723" s="87" t="str">
        <f>IFERROR(__xludf.DUMMYFUNCTION("""COMPUTED_VALUE"""),"TVZEB 800WP")</f>
        <v>TVZEB 800WP</v>
      </c>
      <c r="F723" s="87" t="str">
        <f>IFERROR(__xludf.DUMMYFUNCTION("""COMPUTED_VALUE"""),"HH0192")</f>
        <v>HH0192</v>
      </c>
      <c r="G723" s="87" t="str">
        <f>IFERROR(__xludf.DUMMYFUNCTION("""COMPUTED_VALUE"""),"GC - II - 799 - AGC - Man Xanh - 1 kg - 20")</f>
        <v>GC - II - 799 - AGC - Man Xanh - 1 kg - 20</v>
      </c>
    </row>
    <row r="724">
      <c r="A724" s="86">
        <f>IFERROR(__xludf.DUMMYFUNCTION("""COMPUTED_VALUE"""),722.0)</f>
        <v>722</v>
      </c>
      <c r="B724" s="87" t="str">
        <f>IFERROR(__xludf.DUMMYFUNCTION("""COMPUTED_VALUE"""),"Chai")</f>
        <v>Chai</v>
      </c>
      <c r="C724" s="87" t="str">
        <f>IFERROR(__xludf.DUMMYFUNCTION("""COMPUTED_VALUE"""),"CPT0193")</f>
        <v>CPT0193</v>
      </c>
      <c r="D724" s="87" t="str">
        <f>IFERROR(__xludf.DUMMYFUNCTION("""COMPUTED_VALUE"""),"TP - Chai PET tròn cổ 38 100ml (30gr) - Trắng đục")</f>
        <v>TP - Chai PET tròn cổ 38 100ml (30gr) - Trắng đục</v>
      </c>
      <c r="E724" s="87" t="str">
        <f>IFERROR(__xludf.DUMMYFUNCTION("""COMPUTED_VALUE"""),"TVZEB 800WP")</f>
        <v>TVZEB 800WP</v>
      </c>
      <c r="F724" s="87" t="str">
        <f>IFERROR(__xludf.DUMMYFUNCTION("""COMPUTED_VALUE"""),"HH0193")</f>
        <v>HH0193</v>
      </c>
      <c r="G724" s="87" t="str">
        <f>IFERROR(__xludf.DUMMYFUNCTION("""COMPUTED_VALUE"""),"GC - II - 799 - AGC - Man Xanh - 1 kg - 20")</f>
        <v>GC - II - 799 - AGC - Man Xanh - 1 kg - 20</v>
      </c>
    </row>
    <row r="725">
      <c r="A725" s="86">
        <f>IFERROR(__xludf.DUMMYFUNCTION("""COMPUTED_VALUE"""),723.0)</f>
        <v>723</v>
      </c>
      <c r="B725" s="87" t="str">
        <f>IFERROR(__xludf.DUMMYFUNCTION("""COMPUTED_VALUE"""),"Nắp")</f>
        <v>Nắp</v>
      </c>
      <c r="C725" s="87" t="str">
        <f>IFERROR(__xludf.DUMMYFUNCTION("""COMPUTED_VALUE"""),"NAP0128")</f>
        <v>NAP0128</v>
      </c>
      <c r="D725" s="87" t="str">
        <f>IFERROR(__xludf.DUMMYFUNCTION("""COMPUTED_VALUE"""),"TP - Nắp PET cổ 38 (7.5gr) - Xanh biển")</f>
        <v>TP - Nắp PET cổ 38 (7.5gr) - Xanh biển</v>
      </c>
      <c r="E725" s="87" t="str">
        <f>IFERROR(__xludf.DUMMYFUNCTION("""COMPUTED_VALUE"""),"IMIPRID 10WP")</f>
        <v>IMIPRID 10WP</v>
      </c>
      <c r="F725" s="87" t="str">
        <f>IFERROR(__xludf.DUMMYFUNCTION("""COMPUTED_VALUE"""),"HH0128")</f>
        <v>HH0128</v>
      </c>
      <c r="G725" s="87" t="str">
        <f>IFERROR(__xludf.DUMMYFUNCTION("""COMPUTED_VALUE"""),"GC - II - 800 - AGC - Vua Rầy - 100gr - 100")</f>
        <v>GC - II - 800 - AGC - Vua Rầy - 100gr - 100</v>
      </c>
    </row>
    <row r="726">
      <c r="A726" s="86" t="str">
        <f>IFERROR(__xludf.DUMMYFUNCTION("""COMPUTED_VALUE"""),"")</f>
        <v/>
      </c>
      <c r="B726" s="87"/>
      <c r="C726" s="87" t="str">
        <f>IFERROR(__xludf.DUMMYFUNCTION("""COMPUTED_VALUE"""),"VT0178")</f>
        <v>VT0178</v>
      </c>
      <c r="D726" s="87" t="str">
        <f>IFERROR(__xludf.DUMMYFUNCTION("""COMPUTED_VALUE"""),"Bộ kẽm 24 nhãn")</f>
        <v>Bộ kẽm 24 nhãn</v>
      </c>
      <c r="E726" s="87" t="str">
        <f>IFERROR(__xludf.DUMMYFUNCTION("""COMPUTED_VALUE"""),"SHA CHONG JING 95WP")</f>
        <v>SHA CHONG JING 95WP</v>
      </c>
      <c r="F726" s="87" t="str">
        <f>IFERROR(__xludf.DUMMYFUNCTION("""COMPUTED_VALUE"""),"HH0178")</f>
        <v>HH0178</v>
      </c>
      <c r="G726" s="87" t="str">
        <f>IFERROR(__xludf.DUMMYFUNCTION("""COMPUTED_VALUE"""),"GC - II - 801 - Dr.xanh - PANDA 95 - 100gr - 100")</f>
        <v>GC - II - 801 - Dr.xanh - PANDA 95 - 100gr - 100</v>
      </c>
    </row>
    <row r="727">
      <c r="A727" s="86" t="str">
        <f>IFERROR(__xludf.DUMMYFUNCTION("""COMPUTED_VALUE"""),"")</f>
        <v/>
      </c>
      <c r="B727" s="87"/>
      <c r="C727" s="87" t="str">
        <f>IFERROR(__xludf.DUMMYFUNCTION("""COMPUTED_VALUE"""),"VT0179")</f>
        <v>VT0179</v>
      </c>
      <c r="D727" s="87" t="str">
        <f>IFERROR(__xludf.DUMMYFUNCTION("""COMPUTED_VALUE"""),"Sọt vuông sóng hở lớn 84x62.2x53.4cm")</f>
        <v>Sọt vuông sóng hở lớn 84x62.2x53.4cm</v>
      </c>
      <c r="E727" s="87" t="str">
        <f>IFERROR(__xludf.DUMMYFUNCTION("""COMPUTED_VALUE"""),"SHA CHONG JING 95WP")</f>
        <v>SHA CHONG JING 95WP</v>
      </c>
      <c r="F727" s="87" t="str">
        <f>IFERROR(__xludf.DUMMYFUNCTION("""COMPUTED_VALUE"""),"HH0179")</f>
        <v>HH0179</v>
      </c>
      <c r="G727" s="87" t="str">
        <f>IFERROR(__xludf.DUMMYFUNCTION("""COMPUTED_VALUE"""),"GC - II - 801 - Dr.xanh - PANDA 95 - 100gr - 100")</f>
        <v>GC - II - 801 - Dr.xanh - PANDA 95 - 100gr - 100</v>
      </c>
    </row>
    <row r="728">
      <c r="A728" s="86" t="str">
        <f>IFERROR(__xludf.DUMMYFUNCTION("""COMPUTED_VALUE"""),"")</f>
        <v/>
      </c>
      <c r="B728" s="87"/>
      <c r="C728" s="87" t="str">
        <f>IFERROR(__xludf.DUMMYFUNCTION("""COMPUTED_VALUE"""),"VT0180")</f>
        <v>VT0180</v>
      </c>
      <c r="D728" s="87" t="str">
        <f>IFERROR(__xludf.DUMMYFUNCTION("""COMPUTED_VALUE"""),"Sọt vuông sóng hở nhỏ 77.8x49.6x44.5cm")</f>
        <v>Sọt vuông sóng hở nhỏ 77.8x49.6x44.5cm</v>
      </c>
      <c r="E728" s="87" t="str">
        <f>IFERROR(__xludf.DUMMYFUNCTION("""COMPUTED_VALUE"""),"SHA CHONG JING 95WP")</f>
        <v>SHA CHONG JING 95WP</v>
      </c>
      <c r="F728" s="87" t="str">
        <f>IFERROR(__xludf.DUMMYFUNCTION("""COMPUTED_VALUE"""),"HH0180")</f>
        <v>HH0180</v>
      </c>
      <c r="G728" s="87" t="str">
        <f>IFERROR(__xludf.DUMMYFUNCTION("""COMPUTED_VALUE"""),"GC - II - 802 - AGC - Siêu Sâu - 100gr - 100")</f>
        <v>GC - II - 802 - AGC - Siêu Sâu - 100gr - 100</v>
      </c>
    </row>
    <row r="729">
      <c r="A729" s="86">
        <f>IFERROR(__xludf.DUMMYFUNCTION("""COMPUTED_VALUE"""),727.0)</f>
        <v>727</v>
      </c>
      <c r="B729" s="87" t="str">
        <f>IFERROR(__xludf.DUMMYFUNCTION("""COMPUTED_VALUE"""),"Chai")</f>
        <v>Chai</v>
      </c>
      <c r="C729" s="87" t="str">
        <f>IFERROR(__xludf.DUMMYFUNCTION("""COMPUTED_VALUE"""),"CHV0194")</f>
        <v>CHV0194</v>
      </c>
      <c r="D729" s="87" t="str">
        <f>IFERROR(__xludf.DUMMYFUNCTION("""COMPUTED_VALUE"""),"AT - Chai HDPE vuông cổ 39 500ml (55gr) - Trắng")</f>
        <v>AT - Chai HDPE vuông cổ 39 500ml (55gr) - Trắng</v>
      </c>
      <c r="E729" s="87" t="str">
        <f>IFERROR(__xludf.DUMMYFUNCTION("""COMPUTED_VALUE"""),"RAYXANH 200WP")</f>
        <v>RAYXANH 200WP</v>
      </c>
      <c r="F729" s="87" t="str">
        <f>IFERROR(__xludf.DUMMYFUNCTION("""COMPUTED_VALUE"""),"HH0194")</f>
        <v>HH0194</v>
      </c>
      <c r="G729" s="87" t="str">
        <f>IFERROR(__xludf.DUMMYFUNCTION("""COMPUTED_VALUE"""),"GC - II - 804 - AGC - Ray xanh 200WP - 80gr - 150")</f>
        <v>GC - II - 804 - AGC - Ray xanh 200WP - 80gr - 150</v>
      </c>
    </row>
    <row r="730">
      <c r="A730" s="86">
        <f>IFERROR(__xludf.DUMMYFUNCTION("""COMPUTED_VALUE"""),728.0)</f>
        <v>728</v>
      </c>
      <c r="B730" s="87" t="str">
        <f>IFERROR(__xludf.DUMMYFUNCTION("""COMPUTED_VALUE"""),"Nắp")</f>
        <v>Nắp</v>
      </c>
      <c r="C730" s="87" t="str">
        <f>IFERROR(__xludf.DUMMYFUNCTION("""COMPUTED_VALUE"""),"NAP0126")</f>
        <v>NAP0126</v>
      </c>
      <c r="D730" s="87" t="str">
        <f>IFERROR(__xludf.DUMMYFUNCTION("""COMPUTED_VALUE"""),"AT - Nắp HD có Guarantee cổ 39 (8.2gr) - Vàng")</f>
        <v>AT - Nắp HD có Guarantee cổ 39 (8.2gr) - Vàng</v>
      </c>
      <c r="E730" s="87" t="str">
        <f>IFERROR(__xludf.DUMMYFUNCTION("""COMPUTED_VALUE"""),"Mekongvil 5SC")</f>
        <v>Mekongvil 5SC</v>
      </c>
      <c r="F730" s="87" t="str">
        <f>IFERROR(__xludf.DUMMYFUNCTION("""COMPUTED_VALUE"""),"HH0126")</f>
        <v>HH0126</v>
      </c>
      <c r="G730" s="87" t="str">
        <f>IFERROR(__xludf.DUMMYFUNCTION("""COMPUTED_VALUE"""),"GC - IV - 805 - Ánh Dương - Ad.Vin (HD cao cấp) - 1L - 20")</f>
        <v>GC - IV - 805 - Ánh Dương - Ad.Vin (HD cao cấp) - 1L - 20</v>
      </c>
    </row>
    <row r="731">
      <c r="A731" s="86">
        <f>IFERROR(__xludf.DUMMYFUNCTION("""COMPUTED_VALUE"""),729.0)</f>
        <v>729</v>
      </c>
      <c r="B731" s="87" t="str">
        <f>IFERROR(__xludf.DUMMYFUNCTION("""COMPUTED_VALUE"""),"Chai")</f>
        <v>Chai</v>
      </c>
      <c r="C731" s="87" t="str">
        <f>IFERROR(__xludf.DUMMYFUNCTION("""COMPUTED_VALUE"""),"CHV0195")</f>
        <v>CHV0195</v>
      </c>
      <c r="D731" s="87" t="str">
        <f>IFERROR(__xludf.DUMMYFUNCTION("""COMPUTED_VALUE"""),"AT - Chai HDPE vuông cổ 39 500ml (55gr) - Xanh lá")</f>
        <v>AT - Chai HDPE vuông cổ 39 500ml (55gr) - Xanh lá</v>
      </c>
      <c r="E731" s="87" t="str">
        <f>IFERROR(__xludf.DUMMYFUNCTION("""COMPUTED_VALUE"""),"Mekongvil 5SC")</f>
        <v>Mekongvil 5SC</v>
      </c>
      <c r="F731" s="87" t="str">
        <f>IFERROR(__xludf.DUMMYFUNCTION("""COMPUTED_VALUE"""),"HH0195")</f>
        <v>HH0195</v>
      </c>
      <c r="G731" s="87" t="str">
        <f>IFERROR(__xludf.DUMMYFUNCTION("""COMPUTED_VALUE"""),"GC - II - 806 - Võ Duy Khương - An.Vin My (HD cao cấp)- 1L - 20")</f>
        <v>GC - II - 806 - Võ Duy Khương - An.Vin My (HD cao cấp)- 1L - 20</v>
      </c>
    </row>
    <row r="732">
      <c r="A732" s="86">
        <f>IFERROR(__xludf.DUMMYFUNCTION("""COMPUTED_VALUE"""),730.0)</f>
        <v>730</v>
      </c>
      <c r="B732" s="87" t="str">
        <f>IFERROR(__xludf.DUMMYFUNCTION("""COMPUTED_VALUE"""),"Nắp")</f>
        <v>Nắp</v>
      </c>
      <c r="C732" s="87" t="str">
        <f>IFERROR(__xludf.DUMMYFUNCTION("""COMPUTED_VALUE"""),"NAP0127")</f>
        <v>NAP0127</v>
      </c>
      <c r="D732" s="87" t="str">
        <f>IFERROR(__xludf.DUMMYFUNCTION("""COMPUTED_VALUE"""),"AT - Nắp HD có Guarantee cổ 39 (8.2gr) - Xanh lá")</f>
        <v>AT - Nắp HD có Guarantee cổ 39 (8.2gr) - Xanh lá</v>
      </c>
      <c r="E732" s="87" t="str">
        <f>IFERROR(__xludf.DUMMYFUNCTION("""COMPUTED_VALUE"""),"Sherdoba 55WG")</f>
        <v>Sherdoba 55WG</v>
      </c>
      <c r="F732" s="87" t="str">
        <f>IFERROR(__xludf.DUMMYFUNCTION("""COMPUTED_VALUE"""),"HH0127")</f>
        <v>HH0127</v>
      </c>
      <c r="G732" s="87" t="str">
        <f>IFERROR(__xludf.DUMMYFUNCTION("""COMPUTED_VALUE"""),"GC - II - 807 - AGC - Thần Sấm - 100gr - 100")</f>
        <v>GC - II - 807 - AGC - Thần Sấm - 100gr - 100</v>
      </c>
    </row>
    <row r="733">
      <c r="A733" s="86" t="str">
        <f>IFERROR(__xludf.DUMMYFUNCTION("""COMPUTED_VALUE"""),"")</f>
        <v/>
      </c>
      <c r="B733" s="87"/>
      <c r="C733" s="87" t="str">
        <f>IFERROR(__xludf.DUMMYFUNCTION("""COMPUTED_VALUE"""),"CAN0027")</f>
        <v>CAN0027</v>
      </c>
      <c r="D733" s="87" t="str">
        <f>IFERROR(__xludf.DUMMYFUNCTION("""COMPUTED_VALUE"""),"Can HDPE 5L vuông, 4 chấm chống trượt (340gr) - Xanh dương đậm")</f>
        <v>Can HDPE 5L vuông, 4 chấm chống trượt (340gr) - Xanh dương đậm</v>
      </c>
      <c r="E733" s="87" t="str">
        <f>IFERROR(__xludf.DUMMYFUNCTION("""COMPUTED_VALUE"""),"Potassium Nitrate 13.5-0-46.2")</f>
        <v>Potassium Nitrate 13.5-0-46.2</v>
      </c>
      <c r="F733" s="87" t="str">
        <f>IFERROR(__xludf.DUMMYFUNCTION("""COMPUTED_VALUE"""),"HH0027")</f>
        <v>HH0027</v>
      </c>
      <c r="G733" s="87" t="str">
        <f>IFERROR(__xludf.DUMMYFUNCTION("""COMPUTED_VALUE"""),"GC - II - 808 - Multi-K GG - 1 kg - 22")</f>
        <v>GC - II - 808 - Multi-K GG - 1 kg - 22</v>
      </c>
    </row>
    <row r="734">
      <c r="A734" s="86">
        <f>IFERROR(__xludf.DUMMYFUNCTION("""COMPUTED_VALUE"""),732.0)</f>
        <v>732</v>
      </c>
      <c r="B734" s="87" t="str">
        <f>IFERROR(__xludf.DUMMYFUNCTION("""COMPUTED_VALUE"""),"Nắp")</f>
        <v>Nắp</v>
      </c>
      <c r="C734" s="87" t="str">
        <f>IFERROR(__xludf.DUMMYFUNCTION("""COMPUTED_VALUE"""),"NAP0129")</f>
        <v>NAP0129</v>
      </c>
      <c r="D734" s="87" t="str">
        <f>IFERROR(__xludf.DUMMYFUNCTION("""COMPUTED_VALUE"""),"Nắp can HDPE 5L (13gr) - Trắng")</f>
        <v>Nắp can HDPE 5L (13gr) - Trắng</v>
      </c>
      <c r="E734" s="87" t="str">
        <f>IFERROR(__xludf.DUMMYFUNCTION("""COMPUTED_VALUE"""),"Oxycin 100WP")</f>
        <v>Oxycin 100WP</v>
      </c>
      <c r="F734" s="87" t="str">
        <f>IFERROR(__xludf.DUMMYFUNCTION("""COMPUTED_VALUE"""),"HH0129")</f>
        <v>HH0129</v>
      </c>
      <c r="G734" s="87" t="str">
        <f>IFERROR(__xludf.DUMMYFUNCTION("""COMPUTED_VALUE"""),"GC - IV - 809 - Hưng Thạnh Phát - Diệt sạch vi khuẩn (bột trắng) - 25gr - 300")</f>
        <v>GC - IV - 809 - Hưng Thạnh Phát - Diệt sạch vi khuẩn (bột trắng) - 25gr - 300</v>
      </c>
    </row>
    <row r="735">
      <c r="A735" s="86" t="str">
        <f>IFERROR(__xludf.DUMMYFUNCTION("""COMPUTED_VALUE"""),"")</f>
        <v/>
      </c>
      <c r="B735" s="87"/>
      <c r="C735" s="87" t="str">
        <f>IFERROR(__xludf.DUMMYFUNCTION("""COMPUTED_VALUE"""),"CAN0028")</f>
        <v>CAN0028</v>
      </c>
      <c r="D735" s="87" t="str">
        <f>IFERROR(__xludf.DUMMYFUNCTION("""COMPUTED_VALUE"""),"Can HDPE 5L vuông , 4 chấm chống trượt (340gr) - Vàng")</f>
        <v>Can HDPE 5L vuông , 4 chấm chống trượt (340gr) - Vàng</v>
      </c>
      <c r="E735" s="87" t="str">
        <f>IFERROR(__xludf.DUMMYFUNCTION("""COMPUTED_VALUE"""),"Vi lượng Quantity New")</f>
        <v>Vi lượng Quantity New</v>
      </c>
      <c r="F735" s="87" t="str">
        <f>IFERROR(__xludf.DUMMYFUNCTION("""COMPUTED_VALUE"""),"HH0028")</f>
        <v>HH0028</v>
      </c>
      <c r="G735" s="87" t="str">
        <f>IFERROR(__xludf.DUMMYFUNCTION("""COMPUTED_VALUE"""),"GC - II - 810 - AGC - Big C (Gel nâu đen) (chai HD) - 500ml - 40")</f>
        <v>GC - II - 810 - AGC - Big C (Gel nâu đen) (chai HD) - 500ml - 40</v>
      </c>
    </row>
    <row r="736">
      <c r="A736" s="86">
        <f>IFERROR(__xludf.DUMMYFUNCTION("""COMPUTED_VALUE"""),734.0)</f>
        <v>734</v>
      </c>
      <c r="B736" s="87" t="str">
        <f>IFERROR(__xludf.DUMMYFUNCTION("""COMPUTED_VALUE"""),"Nắp")</f>
        <v>Nắp</v>
      </c>
      <c r="C736" s="87" t="str">
        <f>IFERROR(__xludf.DUMMYFUNCTION("""COMPUTED_VALUE"""),"NAP0130")</f>
        <v>NAP0130</v>
      </c>
      <c r="D736" s="87" t="str">
        <f>IFERROR(__xludf.DUMMYFUNCTION("""COMPUTED_VALUE"""),"Nắp can HDPE 5L (13gr) - Đen")</f>
        <v>Nắp can HDPE 5L (13gr) - Đen</v>
      </c>
      <c r="E736" s="87" t="str">
        <f>IFERROR(__xludf.DUMMYFUNCTION("""COMPUTED_VALUE"""),"Vi lượng Quantity New")</f>
        <v>Vi lượng Quantity New</v>
      </c>
      <c r="F736" s="87" t="str">
        <f>IFERROR(__xludf.DUMMYFUNCTION("""COMPUTED_VALUE"""),"HH0130")</f>
        <v>HH0130</v>
      </c>
      <c r="G736" s="87" t="str">
        <f>IFERROR(__xludf.DUMMYFUNCTION("""COMPUTED_VALUE"""),"GC - II - 811 - AGC - Power + (Gel nâu đen) (chai HD) - 500ml - 40")</f>
        <v>GC - II - 811 - AGC - Power + (Gel nâu đen) (chai HD) - 500ml - 40</v>
      </c>
    </row>
    <row r="737">
      <c r="A737" s="86" t="str">
        <f>IFERROR(__xludf.DUMMYFUNCTION("""COMPUTED_VALUE"""),"")</f>
        <v/>
      </c>
      <c r="B737" s="87"/>
      <c r="C737" s="87" t="str">
        <f>IFERROR(__xludf.DUMMYFUNCTION("""COMPUTED_VALUE"""),"CAN0029")</f>
        <v>CAN0029</v>
      </c>
      <c r="D737" s="87" t="str">
        <f>IFERROR(__xludf.DUMMYFUNCTION("""COMPUTED_VALUE"""),"Can HDPE 20L vuông vàng, 4 chấm chống trượt (1.1kg) - Nắp đen (27gr)")</f>
        <v>Can HDPE 20L vuông vàng, 4 chấm chống trượt (1.1kg) - Nắp đen (27gr)</v>
      </c>
      <c r="E737" s="87" t="str">
        <f>IFERROR(__xludf.DUMMYFUNCTION("""COMPUTED_VALUE"""),"Vi lượng Quantity New")</f>
        <v>Vi lượng Quantity New</v>
      </c>
      <c r="F737" s="87" t="str">
        <f>IFERROR(__xludf.DUMMYFUNCTION("""COMPUTED_VALUE"""),"HH0029")</f>
        <v>HH0029</v>
      </c>
      <c r="G737" s="87" t="str">
        <f>IFERROR(__xludf.DUMMYFUNCTION("""COMPUTED_VALUE"""),"GC - II - 812 - AGC - Rooter - (Gel nâu đen) (chai HD) - 500ml - 40")</f>
        <v>GC - II - 812 - AGC - Rooter - (Gel nâu đen) (chai HD) - 500ml - 40</v>
      </c>
    </row>
    <row r="738">
      <c r="A738" s="86" t="str">
        <f>IFERROR(__xludf.DUMMYFUNCTION("""COMPUTED_VALUE"""),"")</f>
        <v/>
      </c>
      <c r="B738" s="87"/>
      <c r="C738" s="87" t="str">
        <f>IFERROR(__xludf.DUMMYFUNCTION("""COMPUTED_VALUE"""),"CAN0030")</f>
        <v>CAN0030</v>
      </c>
      <c r="D738" s="87" t="str">
        <f>IFERROR(__xludf.DUMMYFUNCTION("""COMPUTED_VALUE"""),"Can HDPE 20L vuông xanh dương, 4 chấm chống trượt (1.1kg) - Nắp trắng (27gr)")</f>
        <v>Can HDPE 20L vuông xanh dương, 4 chấm chống trượt (1.1kg) - Nắp trắng (27gr)</v>
      </c>
      <c r="E738" s="87" t="str">
        <f>IFERROR(__xludf.DUMMYFUNCTION("""COMPUTED_VALUE"""),"Vi lượng Quantity New")</f>
        <v>Vi lượng Quantity New</v>
      </c>
      <c r="F738" s="87" t="str">
        <f>IFERROR(__xludf.DUMMYFUNCTION("""COMPUTED_VALUE"""),"HH0030")</f>
        <v>HH0030</v>
      </c>
      <c r="G738" s="87" t="str">
        <f>IFERROR(__xludf.DUMMYFUNCTION("""COMPUTED_VALUE"""),"GC - II - 813 - AGC - Open Xtra 44L - (nước vàng) (chai PET tròn) - 120ml - 50")</f>
        <v>GC - II - 813 - AGC - Open Xtra 44L - (nước vàng) (chai PET tròn) - 120ml - 50</v>
      </c>
    </row>
    <row r="739">
      <c r="A739" s="86">
        <f>IFERROR(__xludf.DUMMYFUNCTION("""COMPUTED_VALUE"""),737.0)</f>
        <v>737</v>
      </c>
      <c r="B739" s="87" t="str">
        <f>IFERROR(__xludf.DUMMYFUNCTION("""COMPUTED_VALUE"""),"Chai")</f>
        <v>Chai</v>
      </c>
      <c r="C739" s="87" t="str">
        <f>IFERROR(__xludf.DUMMYFUNCTION("""COMPUTED_VALUE"""),"CHT0196")</f>
        <v>CHT0196</v>
      </c>
      <c r="D739" s="87" t="str">
        <f>IFERROR(__xludf.DUMMYFUNCTION("""COMPUTED_VALUE"""),"Chai HDPE Vàng 750ml - Nắp Bta Vàng - Vòng đệm")</f>
        <v>Chai HDPE Vàng 750ml - Nắp Bta Vàng - Vòng đệm</v>
      </c>
      <c r="E739" s="87" t="str">
        <f>IFERROR(__xludf.DUMMYFUNCTION("""COMPUTED_VALUE"""),"Vi lượng Slow Growth")</f>
        <v>Vi lượng Slow Growth</v>
      </c>
      <c r="F739" s="87" t="str">
        <f>IFERROR(__xludf.DUMMYFUNCTION("""COMPUTED_VALUE"""),"HH0196")</f>
        <v>HH0196</v>
      </c>
      <c r="G739" s="87" t="str">
        <f>IFERROR(__xludf.DUMMYFUNCTION("""COMPUTED_VALUE"""),"GC - II - 814 - AGC - Humi Black (màu nâu đen) - 1kg - 25")</f>
        <v>GC - II - 814 - AGC - Humi Black (màu nâu đen) - 1kg - 25</v>
      </c>
    </row>
    <row r="740">
      <c r="A740" s="86">
        <f>IFERROR(__xludf.DUMMYFUNCTION("""COMPUTED_VALUE"""),738.0)</f>
        <v>738</v>
      </c>
      <c r="B740" s="87" t="str">
        <f>IFERROR(__xludf.DUMMYFUNCTION("""COMPUTED_VALUE"""),"Chai")</f>
        <v>Chai</v>
      </c>
      <c r="C740" s="87" t="str">
        <f>IFERROR(__xludf.DUMMYFUNCTION("""COMPUTED_VALUE"""),"CHT0197")</f>
        <v>CHT0197</v>
      </c>
      <c r="D740" s="87" t="str">
        <f>IFERROR(__xludf.DUMMYFUNCTION("""COMPUTED_VALUE"""),"Trùng CHT0181 (Hủy mã CHT0197) Chai HDPE Vàng 600ml - Nắp Bta Vàng - Vòng đệm")</f>
        <v>Trùng CHT0181 (Hủy mã CHT0197) Chai HDPE Vàng 600ml - Nắp Bta Vàng - Vòng đệm</v>
      </c>
      <c r="E740" s="87" t="str">
        <f>IFERROR(__xludf.DUMMYFUNCTION("""COMPUTED_VALUE"""),"Mekongvil 5SC")</f>
        <v>Mekongvil 5SC</v>
      </c>
      <c r="F740" s="87" t="str">
        <f>IFERROR(__xludf.DUMMYFUNCTION("""COMPUTED_VALUE"""),"HH0197")</f>
        <v>HH0197</v>
      </c>
      <c r="G740" s="87" t="str">
        <f>IFERROR(__xludf.DUMMYFUNCTION("""COMPUTED_VALUE"""),"LOT IDA Global - I - 815 - IDA Vil (Xanh Lá)(HD xám)(nắp xanh)(nước trắng) - 1 Lít - 20")</f>
        <v>LOT IDA Global - I - 815 - IDA Vil (Xanh Lá)(HD xám)(nắp xanh)(nước trắng) - 1 Lít - 20</v>
      </c>
    </row>
    <row r="741">
      <c r="A741" s="86">
        <f>IFERROR(__xludf.DUMMYFUNCTION("""COMPUTED_VALUE"""),739.0)</f>
        <v>739</v>
      </c>
      <c r="B741" s="87" t="str">
        <f>IFERROR(__xludf.DUMMYFUNCTION("""COMPUTED_VALUE"""),"Chai")</f>
        <v>Chai</v>
      </c>
      <c r="C741" s="87" t="str">
        <f>IFERROR(__xludf.DUMMYFUNCTION("""COMPUTED_VALUE"""),"CHT0198")</f>
        <v>CHT0198</v>
      </c>
      <c r="D741" s="87" t="str">
        <f>IFERROR(__xludf.DUMMYFUNCTION("""COMPUTED_VALUE"""),"Chai HDPE tròn cổ 31 600ml (75g) Vàng + Nắp vàng vân nhỏ")</f>
        <v>Chai HDPE tròn cổ 31 600ml (75g) Vàng + Nắp vàng vân nhỏ</v>
      </c>
      <c r="E741" s="87" t="str">
        <f>IFERROR(__xludf.DUMMYFUNCTION("""COMPUTED_VALUE"""),"Creek 2.1EC")</f>
        <v>Creek 2.1EC</v>
      </c>
      <c r="F741" s="87" t="str">
        <f>IFERROR(__xludf.DUMMYFUNCTION("""COMPUTED_VALUE"""),"HH0198")</f>
        <v>HH0198</v>
      </c>
      <c r="G741" s="87" t="str">
        <f>IFERROR(__xludf.DUMMYFUNCTION("""COMPUTED_VALUE"""),"IDA GLOBAL - I - 816 - Creek 2.1EC (pet vuông) (nước đỏ) - 450ml - 40")</f>
        <v>IDA GLOBAL - I - 816 - Creek 2.1EC (pet vuông) (nước đỏ) - 450ml - 40</v>
      </c>
    </row>
    <row r="742">
      <c r="A742" s="86">
        <f>IFERROR(__xludf.DUMMYFUNCTION("""COMPUTED_VALUE"""),740.0)</f>
        <v>740</v>
      </c>
      <c r="B742" s="87" t="str">
        <f>IFERROR(__xludf.DUMMYFUNCTION("""COMPUTED_VALUE"""),"Chai")</f>
        <v>Chai</v>
      </c>
      <c r="C742" s="87" t="str">
        <f>IFERROR(__xludf.DUMMYFUNCTION("""COMPUTED_VALUE"""),"CHT0199")</f>
        <v>CHT0199</v>
      </c>
      <c r="D742" s="87" t="str">
        <f>IFERROR(__xludf.DUMMYFUNCTION("""COMPUTED_VALUE"""),"Chai HDPE tròn cổ 63 500ml (55g) Trắng  logo Thadico + Nắp trắng (18gr) có granty")</f>
        <v>Chai HDPE tròn cổ 63 500ml (55g) Trắng  logo Thadico + Nắp trắng (18gr) có granty</v>
      </c>
      <c r="E742" s="87" t="str">
        <f>IFERROR(__xludf.DUMMYFUNCTION("""COMPUTED_VALUE"""),"Creek 2.1EC")</f>
        <v>Creek 2.1EC</v>
      </c>
      <c r="F742" s="87" t="str">
        <f>IFERROR(__xludf.DUMMYFUNCTION("""COMPUTED_VALUE"""),"HH0199")</f>
        <v>HH0199</v>
      </c>
      <c r="G742" s="87" t="str">
        <f>IFERROR(__xludf.DUMMYFUNCTION("""COMPUTED_VALUE"""),"IDA GLOBAL - I - 816 - Creek 2.1EC (pet vuông) (nước đỏ) - 450ml - 40")</f>
        <v>IDA GLOBAL - I - 816 - Creek 2.1EC (pet vuông) (nước đỏ) - 450ml - 40</v>
      </c>
    </row>
    <row r="743">
      <c r="A743" s="86">
        <f>IFERROR(__xludf.DUMMYFUNCTION("""COMPUTED_VALUE"""),741.0)</f>
        <v>741</v>
      </c>
      <c r="B743" s="87" t="str">
        <f>IFERROR(__xludf.DUMMYFUNCTION("""COMPUTED_VALUE"""),"Nắp")</f>
        <v>Nắp</v>
      </c>
      <c r="C743" s="87" t="str">
        <f>IFERROR(__xludf.DUMMYFUNCTION("""COMPUTED_VALUE"""),"NAP0131")</f>
        <v>NAP0131</v>
      </c>
      <c r="D743" s="87" t="str">
        <f>IFERROR(__xludf.DUMMYFUNCTION("""COMPUTED_VALUE"""),"AT - Nắp HD có Guarantee cổ 39 (8.2gr) -Trắng")</f>
        <v>AT - Nắp HD có Guarantee cổ 39 (8.2gr) -Trắng</v>
      </c>
      <c r="E743" s="87" t="str">
        <f>IFERROR(__xludf.DUMMYFUNCTION("""COMPUTED_VALUE"""),"Prima 04")</f>
        <v>Prima 04</v>
      </c>
      <c r="F743" s="87" t="str">
        <f>IFERROR(__xludf.DUMMYFUNCTION("""COMPUTED_VALUE"""),"HH0131")</f>
        <v>HH0131</v>
      </c>
      <c r="G743" s="87" t="str">
        <f>IFERROR(__xludf.DUMMYFUNCTION("""COMPUTED_VALUE"""),"GC - IV - 817 - Agriscience - Calcibor (Chai Pet) - 500ml - 40")</f>
        <v>GC - IV - 817 - Agriscience - Calcibor (Chai Pet) - 500ml - 40</v>
      </c>
    </row>
    <row r="744">
      <c r="A744" s="86">
        <f>IFERROR(__xludf.DUMMYFUNCTION("""COMPUTED_VALUE"""),742.0)</f>
        <v>742</v>
      </c>
      <c r="B744" s="87" t="str">
        <f>IFERROR(__xludf.DUMMYFUNCTION("""COMPUTED_VALUE"""),"Chai")</f>
        <v>Chai</v>
      </c>
      <c r="C744" s="87" t="str">
        <f>IFERROR(__xludf.DUMMYFUNCTION("""COMPUTED_VALUE"""),"CPT0200")</f>
        <v>CPT0200</v>
      </c>
      <c r="D744" s="87" t="str">
        <f>IFERROR(__xludf.DUMMYFUNCTION("""COMPUTED_VALUE"""),"TP - Chai PET tròn cổ 38 240ml(44gr) -  Trắng")</f>
        <v>TP - Chai PET tròn cổ 38 240ml(44gr) -  Trắng</v>
      </c>
      <c r="E744" s="87" t="str">
        <f>IFERROR(__xludf.DUMMYFUNCTION("""COMPUTED_VALUE"""),"Prima 04")</f>
        <v>Prima 04</v>
      </c>
      <c r="F744" s="87" t="str">
        <f>IFERROR(__xludf.DUMMYFUNCTION("""COMPUTED_VALUE"""),"HH0200")</f>
        <v>HH0200</v>
      </c>
      <c r="G744" s="87" t="str">
        <f>IFERROR(__xludf.DUMMYFUNCTION("""COMPUTED_VALUE"""),"GC - IV - 817 - Agriscience - Calcibor (Chai Pet) - 500ml - 40")</f>
        <v>GC - IV - 817 - Agriscience - Calcibor (Chai Pet) - 500ml - 40</v>
      </c>
    </row>
    <row r="745">
      <c r="A745" s="86">
        <f>IFERROR(__xludf.DUMMYFUNCTION("""COMPUTED_VALUE"""),743.0)</f>
        <v>743</v>
      </c>
      <c r="B745" s="87" t="str">
        <f>IFERROR(__xludf.DUMMYFUNCTION("""COMPUTED_VALUE"""),"Nắp")</f>
        <v>Nắp</v>
      </c>
      <c r="C745" s="87" t="str">
        <f>IFERROR(__xludf.DUMMYFUNCTION("""COMPUTED_VALUE"""),"NAP0132")</f>
        <v>NAP0132</v>
      </c>
      <c r="D745" s="87" t="str">
        <f>IFERROR(__xludf.DUMMYFUNCTION("""COMPUTED_VALUE"""),"TP - Nắp PET cổ 38 240ml (7,2gr) - Xanh dương đậm")</f>
        <v>TP - Nắp PET cổ 38 240ml (7,2gr) - Xanh dương đậm</v>
      </c>
      <c r="E745" s="87" t="str">
        <f>IFERROR(__xludf.DUMMYFUNCTION("""COMPUTED_VALUE"""),"Chitin 3.6EC")</f>
        <v>Chitin 3.6EC</v>
      </c>
      <c r="F745" s="87" t="str">
        <f>IFERROR(__xludf.DUMMYFUNCTION("""COMPUTED_VALUE"""),"HH0132")</f>
        <v>HH0132</v>
      </c>
      <c r="G745" s="87" t="str">
        <f>IFERROR(__xludf.DUMMYFUNCTION("""COMPUTED_VALUE"""),"GC - II - 818 - AGC - Gaba (nước đục) (chai PET tròn) - 450 ml - 40")</f>
        <v>GC - II - 818 - AGC - Gaba (nước đục) (chai PET tròn) - 450 ml - 40</v>
      </c>
    </row>
    <row r="746">
      <c r="A746" s="86">
        <f>IFERROR(__xludf.DUMMYFUNCTION("""COMPUTED_VALUE"""),744.0)</f>
        <v>744</v>
      </c>
      <c r="B746" s="87" t="str">
        <f>IFERROR(__xludf.DUMMYFUNCTION("""COMPUTED_VALUE"""),"Chai")</f>
        <v>Chai</v>
      </c>
      <c r="C746" s="87" t="str">
        <f>IFERROR(__xludf.DUMMYFUNCTION("""COMPUTED_VALUE"""),"CPT0201")</f>
        <v>CPT0201</v>
      </c>
      <c r="D746" s="87" t="str">
        <f>IFERROR(__xludf.DUMMYFUNCTION("""COMPUTED_VALUE"""),"Chai PET tròn cổ 38 (63.2gr) 500ml - Xanh lá đậm")</f>
        <v>Chai PET tròn cổ 38 (63.2gr) 500ml - Xanh lá đậm</v>
      </c>
      <c r="E746" s="87" t="str">
        <f>IFERROR(__xludf.DUMMYFUNCTION("""COMPUTED_VALUE"""),"Chitin 3.6EC")</f>
        <v>Chitin 3.6EC</v>
      </c>
      <c r="F746" s="87" t="str">
        <f>IFERROR(__xludf.DUMMYFUNCTION("""COMPUTED_VALUE"""),"HH0201")</f>
        <v>HH0201</v>
      </c>
      <c r="G746" s="87" t="str">
        <f>IFERROR(__xludf.DUMMYFUNCTION("""COMPUTED_VALUE"""),"GC - II - 818 - AGC - Gaba (nước đục) (chai PET tròn) - 450 ml - 40")</f>
        <v>GC - II - 818 - AGC - Gaba (nước đục) (chai PET tròn) - 450 ml - 40</v>
      </c>
    </row>
    <row r="747">
      <c r="A747" s="86">
        <f>IFERROR(__xludf.DUMMYFUNCTION("""COMPUTED_VALUE"""),745.0)</f>
        <v>745</v>
      </c>
      <c r="B747" s="87" t="str">
        <f>IFERROR(__xludf.DUMMYFUNCTION("""COMPUTED_VALUE"""),"Nắp")</f>
        <v>Nắp</v>
      </c>
      <c r="C747" s="87" t="str">
        <f>IFERROR(__xludf.DUMMYFUNCTION("""COMPUTED_VALUE"""),"NAP0133")</f>
        <v>NAP0133</v>
      </c>
      <c r="D747" s="87" t="str">
        <f>IFERROR(__xludf.DUMMYFUNCTION("""COMPUTED_VALUE"""),"TP - Nắp PET cổ 35 450ml- Trắng")</f>
        <v>TP - Nắp PET cổ 35 450ml- Trắng</v>
      </c>
      <c r="E747" s="87" t="str">
        <f>IFERROR(__xludf.DUMMYFUNCTION("""COMPUTED_VALUE"""),"Creek 2.1EC")</f>
        <v>Creek 2.1EC</v>
      </c>
      <c r="F747" s="87" t="str">
        <f>IFERROR(__xludf.DUMMYFUNCTION("""COMPUTED_VALUE"""),"HH0133")</f>
        <v>HH0133</v>
      </c>
      <c r="G747" s="87" t="str">
        <f>IFERROR(__xludf.DUMMYFUNCTION("""COMPUTED_VALUE"""),"GC - II - 819 - AGC - Gamma (nước đỏ) (chai PET vuông) - 450ml - 40")</f>
        <v>GC - II - 819 - AGC - Gamma (nước đỏ) (chai PET vuông) - 450ml - 40</v>
      </c>
    </row>
    <row r="748">
      <c r="A748" s="86">
        <f>IFERROR(__xludf.DUMMYFUNCTION("""COMPUTED_VALUE"""),746.0)</f>
        <v>746</v>
      </c>
      <c r="B748" s="87" t="str">
        <f>IFERROR(__xludf.DUMMYFUNCTION("""COMPUTED_VALUE"""),"Nắp")</f>
        <v>Nắp</v>
      </c>
      <c r="C748" s="87" t="str">
        <f>IFERROR(__xludf.DUMMYFUNCTION("""COMPUTED_VALUE"""),"NAP0134")</f>
        <v>NAP0134</v>
      </c>
      <c r="D748" s="87" t="str">
        <f>IFERROR(__xludf.DUMMYFUNCTION("""COMPUTED_VALUE"""),"Nắp HDPE cổ 43 (10gr) logo IDA màu xanh lá đậm")</f>
        <v>Nắp HDPE cổ 43 (10gr) logo IDA màu xanh lá đậm</v>
      </c>
      <c r="E748" s="87" t="str">
        <f>IFERROR(__xludf.DUMMYFUNCTION("""COMPUTED_VALUE"""),"Chitin 3.6EC")</f>
        <v>Chitin 3.6EC</v>
      </c>
      <c r="F748" s="87" t="str">
        <f>IFERROR(__xludf.DUMMYFUNCTION("""COMPUTED_VALUE"""),"HH0134")</f>
        <v>HH0134</v>
      </c>
      <c r="G748" s="87" t="str">
        <f>IFERROR(__xludf.DUMMYFUNCTION("""COMPUTED_VALUE"""),"GC - IV - 820 - Agritech - Amectin 36 (PET tròn) (nước đục) - 450ml - 40")</f>
        <v>GC - IV - 820 - Agritech - Amectin 36 (PET tròn) (nước đục) - 450ml - 40</v>
      </c>
    </row>
    <row r="749">
      <c r="A749" s="86">
        <f>IFERROR(__xludf.DUMMYFUNCTION("""COMPUTED_VALUE"""),747.0)</f>
        <v>747</v>
      </c>
      <c r="B749" s="87" t="str">
        <f>IFERROR(__xludf.DUMMYFUNCTION("""COMPUTED_VALUE"""),"Chai")</f>
        <v>Chai</v>
      </c>
      <c r="C749" s="87" t="str">
        <f>IFERROR(__xludf.DUMMYFUNCTION("""COMPUTED_VALUE"""),"CPT0202")</f>
        <v>CPT0202</v>
      </c>
      <c r="D749" s="87" t="str">
        <f>IFERROR(__xludf.DUMMYFUNCTION("""COMPUTED_VALUE"""),"TP - Chai PET tròn cổ 43 500ml (44g)  Trong")</f>
        <v>TP - Chai PET tròn cổ 43 500ml (44g)  Trong</v>
      </c>
      <c r="E749" s="87" t="str">
        <f>IFERROR(__xludf.DUMMYFUNCTION("""COMPUTED_VALUE"""),"Chitin 3.6EC")</f>
        <v>Chitin 3.6EC</v>
      </c>
      <c r="F749" s="87" t="str">
        <f>IFERROR(__xludf.DUMMYFUNCTION("""COMPUTED_VALUE"""),"HH0202")</f>
        <v>HH0202</v>
      </c>
      <c r="G749" s="87" t="str">
        <f>IFERROR(__xludf.DUMMYFUNCTION("""COMPUTED_VALUE"""),"GC - IV - 820 - Agritech - Amectin 36 (PET tròn) (nước đục) - 450ml - 40")</f>
        <v>GC - IV - 820 - Agritech - Amectin 36 (PET tròn) (nước đục) - 450ml - 40</v>
      </c>
    </row>
    <row r="750">
      <c r="A750" s="86">
        <f>IFERROR(__xludf.DUMMYFUNCTION("""COMPUTED_VALUE"""),748.0)</f>
        <v>748</v>
      </c>
      <c r="B750" s="87" t="str">
        <f>IFERROR(__xludf.DUMMYFUNCTION("""COMPUTED_VALUE"""),"Chai")</f>
        <v>Chai</v>
      </c>
      <c r="C750" s="87" t="str">
        <f>IFERROR(__xludf.DUMMYFUNCTION("""COMPUTED_VALUE"""),"CPT0203")</f>
        <v>CPT0203</v>
      </c>
      <c r="D750" s="87" t="str">
        <f>IFERROR(__xludf.DUMMYFUNCTION("""COMPUTED_VALUE"""),"Chai Pet tròn cổ 38 500ml - Màu Vàng (65gr) - Nắp tai bèo trắng (8gr)")</f>
        <v>Chai Pet tròn cổ 38 500ml - Màu Vàng (65gr) - Nắp tai bèo trắng (8gr)</v>
      </c>
      <c r="E750" s="87" t="str">
        <f>IFERROR(__xludf.DUMMYFUNCTION("""COMPUTED_VALUE"""),"JAVI VIL 50SC")</f>
        <v>JAVI VIL 50SC</v>
      </c>
      <c r="F750" s="87" t="str">
        <f>IFERROR(__xludf.DUMMYFUNCTION("""COMPUTED_VALUE"""),"HH0203")</f>
        <v>HH0203</v>
      </c>
      <c r="G750" s="87" t="str">
        <f>IFERROR(__xludf.DUMMYFUNCTION("""COMPUTED_VALUE"""),"IDA Global - I - 822 - ĐL Đức Minh -Javi vil 50SC (chai HD) (nước Vàng) (nắp xanh dương) - 1L - 20")</f>
        <v>IDA Global - I - 822 - ĐL Đức Minh -Javi vil 50SC (chai HD) (nước Vàng) (nắp xanh dương) - 1L - 20</v>
      </c>
    </row>
    <row r="751">
      <c r="A751" s="86">
        <f>IFERROR(__xludf.DUMMYFUNCTION("""COMPUTED_VALUE"""),749.0)</f>
        <v>749</v>
      </c>
      <c r="B751" s="87" t="str">
        <f>IFERROR(__xludf.DUMMYFUNCTION("""COMPUTED_VALUE"""),"Lon")</f>
        <v>Lon</v>
      </c>
      <c r="C751" s="87" t="str">
        <f>IFERROR(__xludf.DUMMYFUNCTION("""COMPUTED_VALUE"""),"LON0006")</f>
        <v>LON0006</v>
      </c>
      <c r="D751" s="87" t="str">
        <f>IFERROR(__xludf.DUMMYFUNCTION("""COMPUTED_VALUE"""),"Lon HDPE tròn cổ 48 150gr (35gr) trắng- Nắp trắng")</f>
        <v>Lon HDPE tròn cổ 48 150gr (35gr) trắng- Nắp trắng</v>
      </c>
      <c r="E751" s="87" t="str">
        <f>IFERROR(__xludf.DUMMYFUNCTION("""COMPUTED_VALUE"""),"NEWFOSINATE 150SL")</f>
        <v>NEWFOSINATE 150SL</v>
      </c>
      <c r="F751" s="87" t="str">
        <f>IFERROR(__xludf.DUMMYFUNCTION("""COMPUTED_VALUE"""),"HH0006")</f>
        <v>HH0006</v>
      </c>
      <c r="G751" s="87" t="str">
        <f>IFERROR(__xludf.DUMMYFUNCTION("""COMPUTED_VALUE"""),"GC - II - 824 - AGC - Diệt cỏ cháy sạch (PET vuông) - 900ml - 20")</f>
        <v>GC - II - 824 - AGC - Diệt cỏ cháy sạch (PET vuông) - 900ml - 20</v>
      </c>
    </row>
    <row r="752">
      <c r="A752" s="86">
        <f>IFERROR(__xludf.DUMMYFUNCTION("""COMPUTED_VALUE"""),750.0)</f>
        <v>750</v>
      </c>
      <c r="B752" s="87" t="str">
        <f>IFERROR(__xludf.DUMMYFUNCTION("""COMPUTED_VALUE"""),"Chai")</f>
        <v>Chai</v>
      </c>
      <c r="C752" s="87" t="str">
        <f>IFERROR(__xludf.DUMMYFUNCTION("""COMPUTED_VALUE"""),"CHT0204")</f>
        <v>CHT0204</v>
      </c>
      <c r="D752" s="87" t="str">
        <f>IFERROR(__xludf.DUMMYFUNCTION("""COMPUTED_VALUE"""),"AT - Chai HDPE tròn cổ 63 1L (125g) - Nắp trắng")</f>
        <v>AT - Chai HDPE tròn cổ 63 1L (125g) - Nắp trắng</v>
      </c>
      <c r="E752" s="87" t="str">
        <f>IFERROR(__xludf.DUMMYFUNCTION("""COMPUTED_VALUE"""),"SHA CHONG JING 95WP")</f>
        <v>SHA CHONG JING 95WP</v>
      </c>
      <c r="F752" s="87" t="str">
        <f>IFERROR(__xludf.DUMMYFUNCTION("""COMPUTED_VALUE"""),"HH0204")</f>
        <v>HH0204</v>
      </c>
      <c r="G752" s="87" t="str">
        <f>IFERROR(__xludf.DUMMYFUNCTION("""COMPUTED_VALUE"""),"GC - IV - 826 - AU - Siêu Săn Sâu (túi nhôm)(bột trắng)- 100gr - 100")</f>
        <v>GC - IV - 826 - AU - Siêu Săn Sâu (túi nhôm)(bột trắng)- 100gr - 100</v>
      </c>
    </row>
    <row r="753">
      <c r="A753" s="86">
        <f>IFERROR(__xludf.DUMMYFUNCTION("""COMPUTED_VALUE"""),751.0)</f>
        <v>751</v>
      </c>
      <c r="B753" s="87" t="str">
        <f>IFERROR(__xludf.DUMMYFUNCTION("""COMPUTED_VALUE"""),"Chai")</f>
        <v>Chai</v>
      </c>
      <c r="C753" s="87" t="str">
        <f>IFERROR(__xludf.DUMMYFUNCTION("""COMPUTED_VALUE"""),"CHT0205")</f>
        <v>CHT0205</v>
      </c>
      <c r="D753" s="87" t="str">
        <f>IFERROR(__xludf.DUMMYFUNCTION("""COMPUTED_VALUE"""),"AT- Chai HDPE tròn cổ 63 500ml Trắng (65g) - Nắp trắng")</f>
        <v>AT- Chai HDPE tròn cổ 63 500ml Trắng (65g) - Nắp trắng</v>
      </c>
      <c r="E753" s="87" t="str">
        <f>IFERROR(__xludf.DUMMYFUNCTION("""COMPUTED_VALUE"""),"SHA CHONG JING 95WP")</f>
        <v>SHA CHONG JING 95WP</v>
      </c>
      <c r="F753" s="87" t="str">
        <f>IFERROR(__xludf.DUMMYFUNCTION("""COMPUTED_VALUE"""),"HH0205")</f>
        <v>HH0205</v>
      </c>
      <c r="G753" s="87" t="str">
        <f>IFERROR(__xludf.DUMMYFUNCTION("""COMPUTED_VALUE"""),"GC - IV - 826 - AU - Siêu Săn Sâu (túi nhôm)(bột trắng)- 100gr - 100")</f>
        <v>GC - IV - 826 - AU - Siêu Săn Sâu (túi nhôm)(bột trắng)- 100gr - 100</v>
      </c>
    </row>
    <row r="754">
      <c r="A754" s="86">
        <f>IFERROR(__xludf.DUMMYFUNCTION("""COMPUTED_VALUE"""),752.0)</f>
        <v>752</v>
      </c>
      <c r="B754" s="87" t="str">
        <f>IFERROR(__xludf.DUMMYFUNCTION("""COMPUTED_VALUE"""),"Chai")</f>
        <v>Chai</v>
      </c>
      <c r="C754" s="87" t="str">
        <f>IFERROR(__xludf.DUMMYFUNCTION("""COMPUTED_VALUE"""),"CPT0206")</f>
        <v>CPT0206</v>
      </c>
      <c r="D754" s="87" t="str">
        <f>IFERROR(__xludf.DUMMYFUNCTION("""COMPUTED_VALUE"""),"Chai Pet tròn cổ 38 500ml - Màu xanh biển (65gr) - Nắp tai bèo xanh biển (8gr)")</f>
        <v>Chai Pet tròn cổ 38 500ml - Màu xanh biển (65gr) - Nắp tai bèo xanh biển (8gr)</v>
      </c>
      <c r="E754" s="87" t="str">
        <f>IFERROR(__xludf.DUMMYFUNCTION("""COMPUTED_VALUE"""),"NEWFOSINATE 150SL")</f>
        <v>NEWFOSINATE 150SL</v>
      </c>
      <c r="F754" s="87" t="str">
        <f>IFERROR(__xludf.DUMMYFUNCTION("""COMPUTED_VALUE"""),"HH0206")</f>
        <v>HH0206</v>
      </c>
      <c r="G754" s="87" t="str">
        <f>IFERROR(__xludf.DUMMYFUNCTION("""COMPUTED_VALUE"""),"LOT IDA Global - I - 827 - GLUFO150 - 900ml - 20")</f>
        <v>LOT IDA Global - I - 827 - GLUFO150 - 900ml - 20</v>
      </c>
    </row>
    <row r="755">
      <c r="A755" s="86">
        <f>IFERROR(__xludf.DUMMYFUNCTION("""COMPUTED_VALUE"""),753.0)</f>
        <v>753</v>
      </c>
      <c r="B755" s="87" t="str">
        <f>IFERROR(__xludf.DUMMYFUNCTION("""COMPUTED_VALUE"""),"Chai")</f>
        <v>Chai</v>
      </c>
      <c r="C755" s="87" t="str">
        <f>IFERROR(__xludf.DUMMYFUNCTION("""COMPUTED_VALUE"""),"CHT0207")</f>
        <v>CHT0207</v>
      </c>
      <c r="D755" s="87" t="str">
        <f>IFERROR(__xludf.DUMMYFUNCTION("""COMPUTED_VALUE"""),"Chai HDPE tròn cổ 43 500ml - Trắng + Nắp gurantee Xanh lá  HG-05C")</f>
        <v>Chai HDPE tròn cổ 43 500ml - Trắng + Nắp gurantee Xanh lá  HG-05C</v>
      </c>
      <c r="E755" s="87" t="str">
        <f>IFERROR(__xludf.DUMMYFUNCTION("""COMPUTED_VALUE"""),"Chitin 3.6EC")</f>
        <v>Chitin 3.6EC</v>
      </c>
      <c r="F755" s="87" t="str">
        <f>IFERROR(__xludf.DUMMYFUNCTION("""COMPUTED_VALUE"""),"HH0207")</f>
        <v>HH0207</v>
      </c>
      <c r="G755" s="87" t="str">
        <f>IFERROR(__xludf.DUMMYFUNCTION("""COMPUTED_VALUE"""),"LOT IDA Global - I - 828 - Avermectin 36 (Pet tròn)(nước nâu đen) - 450ml - 40")</f>
        <v>LOT IDA Global - I - 828 - Avermectin 36 (Pet tròn)(nước nâu đen) - 450ml - 40</v>
      </c>
    </row>
    <row r="756">
      <c r="A756" s="86" t="str">
        <f>IFERROR(__xludf.DUMMYFUNCTION("""COMPUTED_VALUE"""),"")</f>
        <v/>
      </c>
      <c r="B756" s="87"/>
      <c r="C756" s="87" t="str">
        <f>IFERROR(__xludf.DUMMYFUNCTION("""COMPUTED_VALUE"""),"TEM0009")</f>
        <v>TEM0009</v>
      </c>
      <c r="D756" s="87" t="str">
        <f>IFERROR(__xludf.DUMMYFUNCTION("""COMPUTED_VALUE"""),"Tem chính hãng ASAHI 1.2x4cm hình chữ nhật bế demi-Decal bể")</f>
        <v>Tem chính hãng ASAHI 1.2x4cm hình chữ nhật bế demi-Decal bể</v>
      </c>
      <c r="E756" s="87" t="str">
        <f>IFERROR(__xludf.DUMMYFUNCTION("""COMPUTED_VALUE"""),"Chitin 3.6EC")</f>
        <v>Chitin 3.6EC</v>
      </c>
      <c r="F756" s="87" t="str">
        <f>IFERROR(__xludf.DUMMYFUNCTION("""COMPUTED_VALUE"""),"HH0009")</f>
        <v>HH0009</v>
      </c>
      <c r="G756" s="87" t="str">
        <f>IFERROR(__xludf.DUMMYFUNCTION("""COMPUTED_VALUE"""),"LOT IDA Global - I - 828 - Avermectin 36 (Pet tròn)(nước nâu đen) - 450ml - 40")</f>
        <v>LOT IDA Global - I - 828 - Avermectin 36 (Pet tròn)(nước nâu đen) - 450ml - 40</v>
      </c>
    </row>
    <row r="757">
      <c r="A757" s="86">
        <f>IFERROR(__xludf.DUMMYFUNCTION("""COMPUTED_VALUE"""),755.0)</f>
        <v>755</v>
      </c>
      <c r="B757" s="87" t="str">
        <f>IFERROR(__xludf.DUMMYFUNCTION("""COMPUTED_VALUE"""),"Chai")</f>
        <v>Chai</v>
      </c>
      <c r="C757" s="87" t="str">
        <f>IFERROR(__xludf.DUMMYFUNCTION("""COMPUTED_VALUE"""),"CPT0208")</f>
        <v>CPT0208</v>
      </c>
      <c r="D757" s="87" t="str">
        <f>IFERROR(__xludf.DUMMYFUNCTION("""COMPUTED_VALUE"""),"TP - Chai PET tròn cổ 48 1L (100gr) - Trắng")</f>
        <v>TP - Chai PET tròn cổ 48 1L (100gr) - Trắng</v>
      </c>
      <c r="E757" s="87" t="str">
        <f>IFERROR(__xludf.DUMMYFUNCTION("""COMPUTED_VALUE"""),"Sherdoba 55WG")</f>
        <v>Sherdoba 55WG</v>
      </c>
      <c r="F757" s="87" t="str">
        <f>IFERROR(__xludf.DUMMYFUNCTION("""COMPUTED_VALUE"""),"HH0208")</f>
        <v>HH0208</v>
      </c>
      <c r="G757" s="87" t="str">
        <f>IFERROR(__xludf.DUMMYFUNCTION("""COMPUTED_VALUE"""),"GC - IV - 829 - Thiên Di - Super 55 - 100gr -100")</f>
        <v>GC - IV - 829 - Thiên Di - Super 55 - 100gr -100</v>
      </c>
    </row>
    <row r="758">
      <c r="A758" s="86">
        <f>IFERROR(__xludf.DUMMYFUNCTION("""COMPUTED_VALUE"""),756.0)</f>
        <v>756</v>
      </c>
      <c r="B758" s="87" t="str">
        <f>IFERROR(__xludf.DUMMYFUNCTION("""COMPUTED_VALUE"""),"Nắp")</f>
        <v>Nắp</v>
      </c>
      <c r="C758" s="87" t="str">
        <f>IFERROR(__xludf.DUMMYFUNCTION("""COMPUTED_VALUE"""),"NAP0135")</f>
        <v>NAP0135</v>
      </c>
      <c r="D758" s="87" t="str">
        <f>IFERROR(__xludf.DUMMYFUNCTION("""COMPUTED_VALUE"""),"TP - Nắp PET cổ 48 1L (13gr) tay bèo - Vàng Đồng")</f>
        <v>TP - Nắp PET cổ 48 1L (13gr) tay bèo - Vàng Đồng</v>
      </c>
      <c r="E758" s="87" t="str">
        <f>IFERROR(__xludf.DUMMYFUNCTION("""COMPUTED_VALUE"""),"Sherdoba 55WG")</f>
        <v>Sherdoba 55WG</v>
      </c>
      <c r="F758" s="87" t="str">
        <f>IFERROR(__xludf.DUMMYFUNCTION("""COMPUTED_VALUE"""),"HH0135")</f>
        <v>HH0135</v>
      </c>
      <c r="G758" s="87" t="str">
        <f>IFERROR(__xludf.DUMMYFUNCTION("""COMPUTED_VALUE"""),"GC - IV - 830 - Thiên Di - Super 55 - 50gr - 150")</f>
        <v>GC - IV - 830 - Thiên Di - Super 55 - 50gr - 150</v>
      </c>
    </row>
    <row r="759">
      <c r="A759" s="86">
        <f>IFERROR(__xludf.DUMMYFUNCTION("""COMPUTED_VALUE"""),757.0)</f>
        <v>757</v>
      </c>
      <c r="B759" s="87" t="str">
        <f>IFERROR(__xludf.DUMMYFUNCTION("""COMPUTED_VALUE"""),"Chai")</f>
        <v>Chai</v>
      </c>
      <c r="C759" s="87" t="str">
        <f>IFERROR(__xludf.DUMMYFUNCTION("""COMPUTED_VALUE"""),"CPV0209")</f>
        <v>CPV0209</v>
      </c>
      <c r="D759" s="87" t="str">
        <f>IFERROR(__xludf.DUMMYFUNCTION("""COMPUTED_VALUE"""),"Chai PET vuông cổ 44 Logo VISANTO 300ml (44gr) Vàng - Nắp Vàng , Seal")</f>
        <v>Chai PET vuông cổ 44 Logo VISANTO 300ml (44gr) Vàng - Nắp Vàng , Seal</v>
      </c>
      <c r="E759" s="87" t="str">
        <f>IFERROR(__xludf.DUMMYFUNCTION("""COMPUTED_VALUE"""),"Sherdoba 55WG")</f>
        <v>Sherdoba 55WG</v>
      </c>
      <c r="F759" s="87" t="str">
        <f>IFERROR(__xludf.DUMMYFUNCTION("""COMPUTED_VALUE"""),"HH0209")</f>
        <v>HH0209</v>
      </c>
      <c r="G759" s="87" t="str">
        <f>IFERROR(__xludf.DUMMYFUNCTION("""COMPUTED_VALUE"""),"GC - IV - 831 - Thiên Di - Super 55 - 18gr - 200")</f>
        <v>GC - IV - 831 - Thiên Di - Super 55 - 18gr - 200</v>
      </c>
    </row>
    <row r="760">
      <c r="A760" s="86">
        <f>IFERROR(__xludf.DUMMYFUNCTION("""COMPUTED_VALUE"""),758.0)</f>
        <v>758</v>
      </c>
      <c r="B760" s="87" t="str">
        <f>IFERROR(__xludf.DUMMYFUNCTION("""COMPUTED_VALUE"""),"Chai")</f>
        <v>Chai</v>
      </c>
      <c r="C760" s="87" t="str">
        <f>IFERROR(__xludf.DUMMYFUNCTION("""COMPUTED_VALUE"""),"CPV0210")</f>
        <v>CPV0210</v>
      </c>
      <c r="D760" s="87" t="str">
        <f>IFERROR(__xludf.DUMMYFUNCTION("""COMPUTED_VALUE"""),"Chai PET vuông cổ 44 Logo VISANTO 500ml (44gr) Hồng - Nắp hồng , Seal")</f>
        <v>Chai PET vuông cổ 44 Logo VISANTO 500ml (44gr) Hồng - Nắp hồng , Seal</v>
      </c>
      <c r="E760" s="87" t="str">
        <f>IFERROR(__xludf.DUMMYFUNCTION("""COMPUTED_VALUE"""),"IMIPRID 10WP")</f>
        <v>IMIPRID 10WP</v>
      </c>
      <c r="F760" s="87" t="str">
        <f>IFERROR(__xludf.DUMMYFUNCTION("""COMPUTED_VALUE"""),"HH0210")</f>
        <v>HH0210</v>
      </c>
      <c r="G760" s="87" t="str">
        <f>IFERROR(__xludf.DUMMYFUNCTION("""COMPUTED_VALUE"""),"GC - IV - 832 - Thiên Di - Imipro 10 - 100gr - 150")</f>
        <v>GC - IV - 832 - Thiên Di - Imipro 10 - 100gr - 150</v>
      </c>
    </row>
    <row r="761">
      <c r="A761" s="86">
        <f>IFERROR(__xludf.DUMMYFUNCTION("""COMPUTED_VALUE"""),759.0)</f>
        <v>759</v>
      </c>
      <c r="B761" s="87" t="str">
        <f>IFERROR(__xludf.DUMMYFUNCTION("""COMPUTED_VALUE"""),"Chai")</f>
        <v>Chai</v>
      </c>
      <c r="C761" s="87" t="str">
        <f>IFERROR(__xludf.DUMMYFUNCTION("""COMPUTED_VALUE"""),"CPV0211")</f>
        <v>CPV0211</v>
      </c>
      <c r="D761" s="87" t="str">
        <f>IFERROR(__xludf.DUMMYFUNCTION("""COMPUTED_VALUE"""),"Chai PET vuông cổ 44 Logo VISANTO 500ml (44gr) Vàng chanh- Nắp Vàng chanh, Seal")</f>
        <v>Chai PET vuông cổ 44 Logo VISANTO 500ml (44gr) Vàng chanh- Nắp Vàng chanh, Seal</v>
      </c>
      <c r="E761" s="87" t="str">
        <f>IFERROR(__xludf.DUMMYFUNCTION("""COMPUTED_VALUE"""),"IMIPRID 10WP")</f>
        <v>IMIPRID 10WP</v>
      </c>
      <c r="F761" s="87" t="str">
        <f>IFERROR(__xludf.DUMMYFUNCTION("""COMPUTED_VALUE"""),"HH0211")</f>
        <v>HH0211</v>
      </c>
      <c r="G761" s="87" t="str">
        <f>IFERROR(__xludf.DUMMYFUNCTION("""COMPUTED_VALUE"""),"GC - IV - 832 - Thiên Di - Imipro 10 - 100gr - 150")</f>
        <v>GC - IV - 832 - Thiên Di - Imipro 10 - 100gr - 150</v>
      </c>
    </row>
    <row r="762">
      <c r="A762" s="86">
        <f>IFERROR(__xludf.DUMMYFUNCTION("""COMPUTED_VALUE"""),760.0)</f>
        <v>760</v>
      </c>
      <c r="B762" s="87" t="str">
        <f>IFERROR(__xludf.DUMMYFUNCTION("""COMPUTED_VALUE"""),"Chai")</f>
        <v>Chai</v>
      </c>
      <c r="C762" s="87" t="str">
        <f>IFERROR(__xludf.DUMMYFUNCTION("""COMPUTED_VALUE"""),"CHT0212")</f>
        <v>CHT0212</v>
      </c>
      <c r="D762" s="87" t="str">
        <f>IFERROR(__xludf.DUMMYFUNCTION("""COMPUTED_VALUE"""),"PN - Chai HDPE tròn cổ 63 500ml  (80g)  - Trắng")</f>
        <v>PN - Chai HDPE tròn cổ 63 500ml  (80g)  - Trắng</v>
      </c>
      <c r="E762" s="87" t="str">
        <f>IFERROR(__xludf.DUMMYFUNCTION("""COMPUTED_VALUE"""),"Creek 2.1EC")</f>
        <v>Creek 2.1EC</v>
      </c>
      <c r="F762" s="87" t="str">
        <f>IFERROR(__xludf.DUMMYFUNCTION("""COMPUTED_VALUE"""),"HH0212")</f>
        <v>HH0212</v>
      </c>
      <c r="G762" s="87" t="str">
        <f>IFERROR(__xludf.DUMMYFUNCTION("""COMPUTED_VALUE"""),"GC - IV - 833 - Huy Phát - HP Pro Max (nước đỏ)(Pet Vuông)- 400ml - 40")</f>
        <v>GC - IV - 833 - Huy Phát - HP Pro Max (nước đỏ)(Pet Vuông)- 400ml - 40</v>
      </c>
    </row>
    <row r="763">
      <c r="A763" s="86">
        <f>IFERROR(__xludf.DUMMYFUNCTION("""COMPUTED_VALUE"""),761.0)</f>
        <v>761</v>
      </c>
      <c r="B763" s="87" t="str">
        <f>IFERROR(__xludf.DUMMYFUNCTION("""COMPUTED_VALUE"""),"Nắp")</f>
        <v>Nắp</v>
      </c>
      <c r="C763" s="87" t="str">
        <f>IFERROR(__xludf.DUMMYFUNCTION("""COMPUTED_VALUE"""),"NAP0136")</f>
        <v>NAP0136</v>
      </c>
      <c r="D763" s="87" t="str">
        <f>IFERROR(__xludf.DUMMYFUNCTION("""COMPUTED_VALUE"""),"PN - Nắp HDPE cổ 63 có gurantee  - Trắng")</f>
        <v>PN - Nắp HDPE cổ 63 có gurantee  - Trắng</v>
      </c>
      <c r="E763" s="87" t="str">
        <f>IFERROR(__xludf.DUMMYFUNCTION("""COMPUTED_VALUE"""),"Creek 2.1EC")</f>
        <v>Creek 2.1EC</v>
      </c>
      <c r="F763" s="87" t="str">
        <f>IFERROR(__xludf.DUMMYFUNCTION("""COMPUTED_VALUE"""),"HH0136")</f>
        <v>HH0136</v>
      </c>
      <c r="G763" s="87" t="str">
        <f>IFERROR(__xludf.DUMMYFUNCTION("""COMPUTED_VALUE"""),"GC - IV - 833 - Huy Phát - HP Pro Max (nước đỏ)(Pet Vuông)- 400ml - 40")</f>
        <v>GC - IV - 833 - Huy Phát - HP Pro Max (nước đỏ)(Pet Vuông)- 400ml - 40</v>
      </c>
    </row>
    <row r="764">
      <c r="A764" s="86">
        <f>IFERROR(__xludf.DUMMYFUNCTION("""COMPUTED_VALUE"""),762.0)</f>
        <v>762</v>
      </c>
      <c r="B764" s="87" t="str">
        <f>IFERROR(__xludf.DUMMYFUNCTION("""COMPUTED_VALUE"""),"Lon")</f>
        <v>Lon</v>
      </c>
      <c r="C764" s="87" t="str">
        <f>IFERROR(__xludf.DUMMYFUNCTION("""COMPUTED_VALUE"""),"LON0007")</f>
        <v>LON0007</v>
      </c>
      <c r="D764" s="87" t="str">
        <f>IFERROR(__xludf.DUMMYFUNCTION("""COMPUTED_VALUE"""),"Lon HDPE tròn cổ 87 500gr Trắng - Nắp HDPE tròn trắng (70gr)")</f>
        <v>Lon HDPE tròn cổ 87 500gr Trắng - Nắp HDPE tròn trắng (70gr)</v>
      </c>
      <c r="E764" s="87" t="str">
        <f>IFERROR(__xludf.DUMMYFUNCTION("""COMPUTED_VALUE"""),"Creek 2.1EC")</f>
        <v>Creek 2.1EC</v>
      </c>
      <c r="F764" s="87" t="str">
        <f>IFERROR(__xludf.DUMMYFUNCTION("""COMPUTED_VALUE"""),"HH0007")</f>
        <v>HH0007</v>
      </c>
      <c r="G764" s="87" t="str">
        <f>IFERROR(__xludf.DUMMYFUNCTION("""COMPUTED_VALUE"""),"GC - IV - 833 - Huy Phát - HP Pro Max (nước đỏ)(Pet Vuông)- 400ml - 40")</f>
        <v>GC - IV - 833 - Huy Phát - HP Pro Max (nước đỏ)(Pet Vuông)- 400ml - 40</v>
      </c>
    </row>
    <row r="765">
      <c r="A765" s="86">
        <f>IFERROR(__xludf.DUMMYFUNCTION("""COMPUTED_VALUE"""),763.0)</f>
        <v>763</v>
      </c>
      <c r="B765" s="87" t="str">
        <f>IFERROR(__xludf.DUMMYFUNCTION("""COMPUTED_VALUE"""),"Lon")</f>
        <v>Lon</v>
      </c>
      <c r="C765" s="87" t="str">
        <f>IFERROR(__xludf.DUMMYFUNCTION("""COMPUTED_VALUE"""),"LON0008")</f>
        <v>LON0008</v>
      </c>
      <c r="D765" s="87" t="str">
        <f>IFERROR(__xludf.DUMMYFUNCTION("""COMPUTED_VALUE"""),"Lon HDPE tròn 250gr Trắng - Nắp HDPE tròn cam (47gr)")</f>
        <v>Lon HDPE tròn 250gr Trắng - Nắp HDPE tròn cam (47gr)</v>
      </c>
      <c r="E765" s="87" t="str">
        <f>IFERROR(__xludf.DUMMYFUNCTION("""COMPUTED_VALUE"""),"THALONIL 75WP")</f>
        <v>THALONIL 75WP</v>
      </c>
      <c r="F765" s="87" t="str">
        <f>IFERROR(__xludf.DUMMYFUNCTION("""COMPUTED_VALUE"""),"HH0008")</f>
        <v>HH0008</v>
      </c>
      <c r="G765" s="87" t="str">
        <f>IFERROR(__xludf.DUMMYFUNCTION("""COMPUTED_VALUE"""),"GC - IV - 837 - Agriplant - Thalonil 75WWP - 100gr - 100")</f>
        <v>GC - IV - 837 - Agriplant - Thalonil 75WWP - 100gr - 100</v>
      </c>
    </row>
    <row r="766">
      <c r="A766" s="86" t="str">
        <f>IFERROR(__xludf.DUMMYFUNCTION("""COMPUTED_VALUE"""),"")</f>
        <v/>
      </c>
      <c r="B766" s="87"/>
      <c r="C766" s="87" t="str">
        <f>IFERROR(__xludf.DUMMYFUNCTION("""COMPUTED_VALUE"""),"CAN0031")</f>
        <v>CAN0031</v>
      </c>
      <c r="D766" s="87" t="str">
        <f>IFERROR(__xludf.DUMMYFUNCTION("""COMPUTED_VALUE"""),"Can HDPE 20L vuông,Xanh dương đậm - Nắp xanh dương đậm")</f>
        <v>Can HDPE 20L vuông,Xanh dương đậm - Nắp xanh dương đậm</v>
      </c>
      <c r="E766" s="87" t="str">
        <f>IFERROR(__xludf.DUMMYFUNCTION("""COMPUTED_VALUE"""),"CHITIN 3.6EC")</f>
        <v>CHITIN 3.6EC</v>
      </c>
      <c r="F766" s="87" t="str">
        <f>IFERROR(__xludf.DUMMYFUNCTION("""COMPUTED_VALUE"""),"HH0031")</f>
        <v>HH0031</v>
      </c>
      <c r="G766" s="87" t="str">
        <f>IFERROR(__xludf.DUMMYFUNCTION("""COMPUTED_VALUE"""),"GC - IV - 840 - Agritech - Agritech Abamectin 36 (Chai tròn) (Nước nâu đen) - 450ml - 40")</f>
        <v>GC - IV - 840 - Agritech - Agritech Abamectin 36 (Chai tròn) (Nước nâu đen) - 450ml - 40</v>
      </c>
    </row>
    <row r="767">
      <c r="A767" s="86" t="str">
        <f>IFERROR(__xludf.DUMMYFUNCTION("""COMPUTED_VALUE"""),"")</f>
        <v/>
      </c>
      <c r="B767" s="87"/>
      <c r="C767" s="87" t="str">
        <f>IFERROR(__xludf.DUMMYFUNCTION("""COMPUTED_VALUE"""),"CAN0032")</f>
        <v>CAN0032</v>
      </c>
      <c r="D767" s="87" t="str">
        <f>IFERROR(__xludf.DUMMYFUNCTION("""COMPUTED_VALUE"""),"Can HDPE 20L vuông, Vàng- Nắp vàng")</f>
        <v>Can HDPE 20L vuông, Vàng- Nắp vàng</v>
      </c>
      <c r="E767" s="87" t="str">
        <f>IFERROR(__xludf.DUMMYFUNCTION("""COMPUTED_VALUE"""),"CHITIN 3.6EC")</f>
        <v>CHITIN 3.6EC</v>
      </c>
      <c r="F767" s="87" t="str">
        <f>IFERROR(__xludf.DUMMYFUNCTION("""COMPUTED_VALUE"""),"HH0032")</f>
        <v>HH0032</v>
      </c>
      <c r="G767" s="87" t="str">
        <f>IFERROR(__xludf.DUMMYFUNCTION("""COMPUTED_VALUE"""),"GC - IV - 840 - Agritech - Agritech Abamectin 36 (Chai tròn) (Nước nâu đen) - 450ml - 40")</f>
        <v>GC - IV - 840 - Agritech - Agritech Abamectin 36 (Chai tròn) (Nước nâu đen) - 450ml - 40</v>
      </c>
    </row>
    <row r="768">
      <c r="A768" s="86" t="str">
        <f>IFERROR(__xludf.DUMMYFUNCTION("""COMPUTED_VALUE"""),"")</f>
        <v/>
      </c>
      <c r="B768" s="87"/>
      <c r="C768" s="87" t="str">
        <f>IFERROR(__xludf.DUMMYFUNCTION("""COMPUTED_VALUE"""),"TEM0010")</f>
        <v>TEM0010</v>
      </c>
      <c r="D768" s="87" t="str">
        <f>IFERROR(__xludf.DUMMYFUNCTION("""COMPUTED_VALUE"""),"Tem chính hãng ASAHI 1.8x7cm hình chữ nhật bế demi-Decal bể")</f>
        <v>Tem chính hãng ASAHI 1.8x7cm hình chữ nhật bế demi-Decal bể</v>
      </c>
      <c r="E768" s="87" t="str">
        <f>IFERROR(__xludf.DUMMYFUNCTION("""COMPUTED_VALUE"""),"BYPHAN 800WP")</f>
        <v>BYPHAN 800WP</v>
      </c>
      <c r="F768" s="87" t="str">
        <f>IFERROR(__xludf.DUMMYFUNCTION("""COMPUTED_VALUE"""),"HH0010")</f>
        <v>HH0010</v>
      </c>
      <c r="G768" s="87" t="str">
        <f>IFERROR(__xludf.DUMMYFUNCTION("""COMPUTED_VALUE"""),"GC - IV - 841 - GNH - Manco Green (túi nhôm)(bột xanh) - 1 Kg - 20")</f>
        <v>GC - IV - 841 - GNH - Manco Green (túi nhôm)(bột xanh) - 1 Kg - 20</v>
      </c>
    </row>
    <row r="769">
      <c r="A769" s="86">
        <f>IFERROR(__xludf.DUMMYFUNCTION("""COMPUTED_VALUE"""),767.0)</f>
        <v>767</v>
      </c>
      <c r="B769" s="87" t="str">
        <f>IFERROR(__xludf.DUMMYFUNCTION("""COMPUTED_VALUE"""),"Chai")</f>
        <v>Chai</v>
      </c>
      <c r="C769" s="87" t="str">
        <f>IFERROR(__xludf.DUMMYFUNCTION("""COMPUTED_VALUE"""),"CPT0213")</f>
        <v>CPT0213</v>
      </c>
      <c r="D769" s="87" t="str">
        <f>IFERROR(__xludf.DUMMYFUNCTION("""COMPUTED_VALUE"""),"Chai PET tròn cổ 38 500ml màu trắng - Nắp đỏ tai bèo")</f>
        <v>Chai PET tròn cổ 38 500ml màu trắng - Nắp đỏ tai bèo</v>
      </c>
      <c r="E769" s="87" t="str">
        <f>IFERROR(__xludf.DUMMYFUNCTION("""COMPUTED_VALUE"""),"Chitin 3.6EC")</f>
        <v>Chitin 3.6EC</v>
      </c>
      <c r="F769" s="87" t="str">
        <f>IFERROR(__xludf.DUMMYFUNCTION("""COMPUTED_VALUE"""),"HH0213")</f>
        <v>HH0213</v>
      </c>
      <c r="G769" s="87" t="str">
        <f>IFERROR(__xludf.DUMMYFUNCTION("""COMPUTED_VALUE"""),"LOT IDA Global - I - 842 - ĐL Hồng Lời - Avermectin 36 (Pet tròn) (nắp vàng)(nước nâu đen) - 450ml - 40")</f>
        <v>LOT IDA Global - I - 842 - ĐL Hồng Lời - Avermectin 36 (Pet tròn) (nắp vàng)(nước nâu đen) - 450ml - 40</v>
      </c>
    </row>
    <row r="770">
      <c r="A770" s="86">
        <f>IFERROR(__xludf.DUMMYFUNCTION("""COMPUTED_VALUE"""),768.0)</f>
        <v>768</v>
      </c>
      <c r="B770" s="87" t="str">
        <f>IFERROR(__xludf.DUMMYFUNCTION("""COMPUTED_VALUE"""),"Chai")</f>
        <v>Chai</v>
      </c>
      <c r="C770" s="87" t="str">
        <f>IFERROR(__xludf.DUMMYFUNCTION("""COMPUTED_VALUE"""),"CPT0214")</f>
        <v>CPT0214</v>
      </c>
      <c r="D770" s="87" t="str">
        <f>IFERROR(__xludf.DUMMYFUNCTION("""COMPUTED_VALUE"""),"Chai PET tròn cổ 28 100ml Trong - Nắp đen (20gr)")</f>
        <v>Chai PET tròn cổ 28 100ml Trong - Nắp đen (20gr)</v>
      </c>
      <c r="E770" s="87" t="str">
        <f>IFERROR(__xludf.DUMMYFUNCTION("""COMPUTED_VALUE"""),"Chitin 3.6EC")</f>
        <v>Chitin 3.6EC</v>
      </c>
      <c r="F770" s="87" t="str">
        <f>IFERROR(__xludf.DUMMYFUNCTION("""COMPUTED_VALUE"""),"HH0214")</f>
        <v>HH0214</v>
      </c>
      <c r="G770" s="87" t="str">
        <f>IFERROR(__xludf.DUMMYFUNCTION("""COMPUTED_VALUE"""),"LOT IDA Global - I - 842 - ĐL Hồng Lời - Avermectin 36 (Pet tròn) (nắp vàng)(nước nâu đen) - 450ml - 40")</f>
        <v>LOT IDA Global - I - 842 - ĐL Hồng Lời - Avermectin 36 (Pet tròn) (nắp vàng)(nước nâu đen) - 450ml - 40</v>
      </c>
    </row>
    <row r="771">
      <c r="A771" s="86">
        <f>IFERROR(__xludf.DUMMYFUNCTION("""COMPUTED_VALUE"""),769.0)</f>
        <v>769</v>
      </c>
      <c r="B771" s="87" t="str">
        <f>IFERROR(__xludf.DUMMYFUNCTION("""COMPUTED_VALUE"""),"Xô")</f>
        <v>Xô</v>
      </c>
      <c r="C771" s="87" t="str">
        <f>IFERROR(__xludf.DUMMYFUNCTION("""COMPUTED_VALUE"""),"XOT0008")</f>
        <v>XOT0008</v>
      </c>
      <c r="D771" s="87" t="str">
        <f>IFERROR(__xludf.DUMMYFUNCTION("""COMPUTED_VALUE"""),"Xô Trắng  tròn 10 Kg(368gr) - Nắp trắng (124 gr)")</f>
        <v>Xô Trắng  tròn 10 Kg(368gr) - Nắp trắng (124 gr)</v>
      </c>
      <c r="E771" s="87" t="str">
        <f>IFERROR(__xludf.DUMMYFUNCTION("""COMPUTED_VALUE"""),"Chitin 3.6EC")</f>
        <v>Chitin 3.6EC</v>
      </c>
      <c r="F771" s="87" t="str">
        <f>IFERROR(__xludf.DUMMYFUNCTION("""COMPUTED_VALUE"""),"HH0008")</f>
        <v>HH0008</v>
      </c>
      <c r="G771" s="87" t="str">
        <f>IFERROR(__xludf.DUMMYFUNCTION("""COMPUTED_VALUE"""),"LOT IDA Global - I - 843 - ĐL Lê Trinh - Avermectin 36 (Pet tròn) (nắp đỏ)(nước nâu đen) - 450ml - 40")</f>
        <v>LOT IDA Global - I - 843 - ĐL Lê Trinh - Avermectin 36 (Pet tròn) (nắp đỏ)(nước nâu đen) - 450ml - 40</v>
      </c>
    </row>
    <row r="772">
      <c r="A772" s="86">
        <f>IFERROR(__xludf.DUMMYFUNCTION("""COMPUTED_VALUE"""),770.0)</f>
        <v>770</v>
      </c>
      <c r="B772" s="87" t="str">
        <f>IFERROR(__xludf.DUMMYFUNCTION("""COMPUTED_VALUE"""),"Túi")</f>
        <v>Túi</v>
      </c>
      <c r="C772" s="87" t="str">
        <f>IFERROR(__xludf.DUMMYFUNCTION("""COMPUTED_VALUE"""),"TUI0007")</f>
        <v>TUI0007</v>
      </c>
      <c r="D772" s="87" t="str">
        <f>IFERROR(__xludf.DUMMYFUNCTION("""COMPUTED_VALUE"""),"Túi PA 2Kg 3 biên (22x32cm) - Trắng trong")</f>
        <v>Túi PA 2Kg 3 biên (22x32cm) - Trắng trong</v>
      </c>
      <c r="E772" s="87" t="str">
        <f>IFERROR(__xludf.DUMMYFUNCTION("""COMPUTED_VALUE"""),"Chitin 3.6EC")</f>
        <v>Chitin 3.6EC</v>
      </c>
      <c r="F772" s="87" t="str">
        <f>IFERROR(__xludf.DUMMYFUNCTION("""COMPUTED_VALUE"""),"HH0007")</f>
        <v>HH0007</v>
      </c>
      <c r="G772" s="87" t="str">
        <f>IFERROR(__xludf.DUMMYFUNCTION("""COMPUTED_VALUE"""),"LOT IDA Global - I - 843 - ĐL Lê Trinh - Avermectin 36 (Pet tròn) (nắp đỏ)(nước nâu đen) - 450ml - 40")</f>
        <v>LOT IDA Global - I - 843 - ĐL Lê Trinh - Avermectin 36 (Pet tròn) (nắp đỏ)(nước nâu đen) - 450ml - 40</v>
      </c>
    </row>
    <row r="773">
      <c r="A773" s="86">
        <f>IFERROR(__xludf.DUMMYFUNCTION("""COMPUTED_VALUE"""),771.0)</f>
        <v>771</v>
      </c>
      <c r="B773" s="87" t="str">
        <f>IFERROR(__xludf.DUMMYFUNCTION("""COMPUTED_VALUE"""),"Túi")</f>
        <v>Túi</v>
      </c>
      <c r="C773" s="87" t="str">
        <f>IFERROR(__xludf.DUMMYFUNCTION("""COMPUTED_VALUE"""),"TUI0008")</f>
        <v>TUI0008</v>
      </c>
      <c r="D773" s="87" t="str">
        <f>IFERROR(__xludf.DUMMYFUNCTION("""COMPUTED_VALUE"""),"Túi Zip 40 x 60cm - Trắng trong")</f>
        <v>Túi Zip 40 x 60cm - Trắng trong</v>
      </c>
      <c r="E773" s="87" t="str">
        <f>IFERROR(__xludf.DUMMYFUNCTION("""COMPUTED_VALUE"""),"Chitin 3.6EC")</f>
        <v>Chitin 3.6EC</v>
      </c>
      <c r="F773" s="87" t="str">
        <f>IFERROR(__xludf.DUMMYFUNCTION("""COMPUTED_VALUE"""),"HH0008")</f>
        <v>HH0008</v>
      </c>
      <c r="G773" s="87" t="str">
        <f>IFERROR(__xludf.DUMMYFUNCTION("""COMPUTED_VALUE"""),"LOT IDA Global - I - 844 - ĐL Hoàng Phi - Chitin 3.6EC (Pet tròn) (nắp đỏ)(nước nâu đen) - 450ml - 40")</f>
        <v>LOT IDA Global - I - 844 - ĐL Hoàng Phi - Chitin 3.6EC (Pet tròn) (nắp đỏ)(nước nâu đen) - 450ml - 40</v>
      </c>
    </row>
    <row r="774">
      <c r="A774" s="86" t="str">
        <f>IFERROR(__xludf.DUMMYFUNCTION("""COMPUTED_VALUE"""),"")</f>
        <v/>
      </c>
      <c r="B774" s="87"/>
      <c r="C774" s="87" t="str">
        <f>IFERROR(__xludf.DUMMYFUNCTION("""COMPUTED_VALUE"""),"CET0213")</f>
        <v>CET0213</v>
      </c>
      <c r="D774" s="87" t="str">
        <f>IFERROR(__xludf.DUMMYFUNCTION("""COMPUTED_VALUE"""),"Chai PAPE  giả nhôm 50ml  tròn cổ 33  Xám - Nắp trắng, có cốc đong")</f>
        <v>Chai PAPE  giả nhôm 50ml  tròn cổ 33  Xám - Nắp trắng, có cốc đong</v>
      </c>
      <c r="E774" s="87" t="str">
        <f>IFERROR(__xludf.DUMMYFUNCTION("""COMPUTED_VALUE"""),"Chitin 3.6EC")</f>
        <v>Chitin 3.6EC</v>
      </c>
      <c r="F774" s="87" t="str">
        <f>IFERROR(__xludf.DUMMYFUNCTION("""COMPUTED_VALUE"""),"HH0213")</f>
        <v>HH0213</v>
      </c>
      <c r="G774" s="87" t="str">
        <f>IFERROR(__xludf.DUMMYFUNCTION("""COMPUTED_VALUE"""),"LOT IDA Global - I - 844 - ĐL Hoàng Phi - Chitin 3.6EC (Pet tròn) (nắp đỏ)(nước nâu đen) - 450ml - 40")</f>
        <v>LOT IDA Global - I - 844 - ĐL Hoàng Phi - Chitin 3.6EC (Pet tròn) (nắp đỏ)(nước nâu đen) - 450ml - 40</v>
      </c>
    </row>
    <row r="775">
      <c r="A775" s="86">
        <f>IFERROR(__xludf.DUMMYFUNCTION("""COMPUTED_VALUE"""),773.0)</f>
        <v>773</v>
      </c>
      <c r="B775" s="87" t="str">
        <f>IFERROR(__xludf.DUMMYFUNCTION("""COMPUTED_VALUE"""),"Nắp")</f>
        <v>Nắp</v>
      </c>
      <c r="C775" s="87" t="str">
        <f>IFERROR(__xludf.DUMMYFUNCTION("""COMPUTED_VALUE"""),"NAP0137")</f>
        <v>NAP0137</v>
      </c>
      <c r="D775" s="87" t="str">
        <f>IFERROR(__xludf.DUMMYFUNCTION("""COMPUTED_VALUE"""),"AT - Nắp HD có Guarantee cổ 39 (8.2gr) - Xanh lá tươi")</f>
        <v>AT - Nắp HD có Guarantee cổ 39 (8.2gr) - Xanh lá tươi</v>
      </c>
      <c r="E775" s="87" t="str">
        <f>IFERROR(__xludf.DUMMYFUNCTION("""COMPUTED_VALUE"""),"Chitin 3.6EC")</f>
        <v>Chitin 3.6EC</v>
      </c>
      <c r="F775" s="87" t="str">
        <f>IFERROR(__xludf.DUMMYFUNCTION("""COMPUTED_VALUE"""),"HH0137")</f>
        <v>HH0137</v>
      </c>
      <c r="G775" s="87" t="str">
        <f>IFERROR(__xludf.DUMMYFUNCTION("""COMPUTED_VALUE"""),"LOT IDA Global - I - 845 - ĐL Hồng Phong - Avermectin 36 (Pet vuông) (nắp vàng)(nước nâu đen) - 450ml - 40")</f>
        <v>LOT IDA Global - I - 845 - ĐL Hồng Phong - Avermectin 36 (Pet vuông) (nắp vàng)(nước nâu đen) - 450ml - 40</v>
      </c>
    </row>
    <row r="776">
      <c r="A776" s="86">
        <f>IFERROR(__xludf.DUMMYFUNCTION("""COMPUTED_VALUE"""),774.0)</f>
        <v>774</v>
      </c>
      <c r="B776" s="87" t="str">
        <f>IFERROR(__xludf.DUMMYFUNCTION("""COMPUTED_VALUE"""),"Chai")</f>
        <v>Chai</v>
      </c>
      <c r="C776" s="87" t="str">
        <f>IFERROR(__xludf.DUMMYFUNCTION("""COMPUTED_VALUE"""),"CPT0215")</f>
        <v>CPT0215</v>
      </c>
      <c r="D776" s="87" t="str">
        <f>IFERROR(__xludf.DUMMYFUNCTION("""COMPUTED_VALUE"""),"Chai PET tròn cổ 38 (65gr) 500ml - Màu trắng")</f>
        <v>Chai PET tròn cổ 38 (65gr) 500ml - Màu trắng</v>
      </c>
      <c r="E776" s="87" t="str">
        <f>IFERROR(__xludf.DUMMYFUNCTION("""COMPUTED_VALUE"""),"BYPHAN 800WP")</f>
        <v>BYPHAN 800WP</v>
      </c>
      <c r="F776" s="87" t="str">
        <f>IFERROR(__xludf.DUMMYFUNCTION("""COMPUTED_VALUE"""),"HH0215")</f>
        <v>HH0215</v>
      </c>
      <c r="G776" s="87" t="str">
        <f>IFERROR(__xludf.DUMMYFUNCTION("""COMPUTED_VALUE"""),"LOT IDA Global - I - 847 - ĐL Hồng Liệt - Mancozeb xanh - 1 Kg - 20")</f>
        <v>LOT IDA Global - I - 847 - ĐL Hồng Liệt - Mancozeb xanh - 1 Kg - 20</v>
      </c>
    </row>
    <row r="777">
      <c r="A777" s="86">
        <f>IFERROR(__xludf.DUMMYFUNCTION("""COMPUTED_VALUE"""),775.0)</f>
        <v>775</v>
      </c>
      <c r="B777" s="87" t="str">
        <f>IFERROR(__xludf.DUMMYFUNCTION("""COMPUTED_VALUE"""),"Nắp")</f>
        <v>Nắp</v>
      </c>
      <c r="C777" s="87" t="str">
        <f>IFERROR(__xludf.DUMMYFUNCTION("""COMPUTED_VALUE"""),"NAP0138")</f>
        <v>NAP0138</v>
      </c>
      <c r="D777" s="87" t="str">
        <f>IFERROR(__xludf.DUMMYFUNCTION("""COMPUTED_VALUE"""),"Nắp PET cổ 38 (7gr) gầy- Màu trắng")</f>
        <v>Nắp PET cổ 38 (7gr) gầy- Màu trắng</v>
      </c>
      <c r="E777" s="87" t="str">
        <f>IFERROR(__xludf.DUMMYFUNCTION("""COMPUTED_VALUE"""),"BYPHAN 800WP")</f>
        <v>BYPHAN 800WP</v>
      </c>
      <c r="F777" s="87" t="str">
        <f>IFERROR(__xludf.DUMMYFUNCTION("""COMPUTED_VALUE"""),"HH0138")</f>
        <v>HH0138</v>
      </c>
      <c r="G777" s="87" t="str">
        <f>IFERROR(__xludf.DUMMYFUNCTION("""COMPUTED_VALUE"""),"LOT IDA Global - I - 847 - ĐL Hồng Liệt - Mancozeb xanh - 1 Kg - 20")</f>
        <v>LOT IDA Global - I - 847 - ĐL Hồng Liệt - Mancozeb xanh - 1 Kg - 20</v>
      </c>
    </row>
    <row r="778">
      <c r="A778" s="86">
        <f>IFERROR(__xludf.DUMMYFUNCTION("""COMPUTED_VALUE"""),776.0)</f>
        <v>776</v>
      </c>
      <c r="B778" s="87" t="str">
        <f>IFERROR(__xludf.DUMMYFUNCTION("""COMPUTED_VALUE"""),"Chai")</f>
        <v>Chai</v>
      </c>
      <c r="C778" s="87" t="str">
        <f>IFERROR(__xludf.DUMMYFUNCTION("""COMPUTED_VALUE"""),"CPT0216")</f>
        <v>CPT0216</v>
      </c>
      <c r="D778" s="87" t="str">
        <f>IFERROR(__xludf.DUMMYFUNCTION("""COMPUTED_VALUE"""),"Chai HDPE tròn cổ 38  màu trắng - Nắp xanh dương nhạt (60gr) (Boom)")</f>
        <v>Chai HDPE tròn cổ 38  màu trắng - Nắp xanh dương nhạt (60gr) (Boom)</v>
      </c>
      <c r="E778" s="87" t="str">
        <f>IFERROR(__xludf.DUMMYFUNCTION("""COMPUTED_VALUE"""),"Mekongvil 5SC")</f>
        <v>Mekongvil 5SC</v>
      </c>
      <c r="F778" s="87" t="str">
        <f>IFERROR(__xludf.DUMMYFUNCTION("""COMPUTED_VALUE"""),"HH0216")</f>
        <v>HH0216</v>
      </c>
      <c r="G778" s="87" t="str">
        <f>IFERROR(__xludf.DUMMYFUNCTION("""COMPUTED_VALUE"""),"GC - IV - 848 - Xuân Sơn - Mekongvil 5SC (chai HD)(nắp xanh)(nước trắng)- 1L - 20")</f>
        <v>GC - IV - 848 - Xuân Sơn - Mekongvil 5SC (chai HD)(nắp xanh)(nước trắng)- 1L - 20</v>
      </c>
    </row>
    <row r="779">
      <c r="A779" s="86">
        <f>IFERROR(__xludf.DUMMYFUNCTION("""COMPUTED_VALUE"""),777.0)</f>
        <v>777</v>
      </c>
      <c r="B779" s="87" t="str">
        <f>IFERROR(__xludf.DUMMYFUNCTION("""COMPUTED_VALUE"""),"Chai")</f>
        <v>Chai</v>
      </c>
      <c r="C779" s="87" t="str">
        <f>IFERROR(__xludf.DUMMYFUNCTION("""COMPUTED_VALUE"""),"CHT0217")</f>
        <v>CHT0217</v>
      </c>
      <c r="D779" s="87" t="str">
        <f>IFERROR(__xludf.DUMMYFUNCTION("""COMPUTED_VALUE"""),"Chai HDPE tròn cổ 50 1L  (120gr) trắng - HG09")</f>
        <v>Chai HDPE tròn cổ 50 1L  (120gr) trắng - HG09</v>
      </c>
      <c r="E779" s="87" t="str">
        <f>IFERROR(__xludf.DUMMYFUNCTION("""COMPUTED_VALUE"""),"HAIHAMEC 3.6EC")</f>
        <v>HAIHAMEC 3.6EC</v>
      </c>
      <c r="F779" s="87" t="str">
        <f>IFERROR(__xludf.DUMMYFUNCTION("""COMPUTED_VALUE"""),"HH0217")</f>
        <v>HH0217</v>
      </c>
      <c r="G779" s="87" t="str">
        <f>IFERROR(__xludf.DUMMYFUNCTION("""COMPUTED_VALUE"""),"GC - IV - 849 - A Thời GNH - MK936 (Pet tròn) (nước nâu đen) - 450ml - 40")</f>
        <v>GC - IV - 849 - A Thời GNH - MK936 (Pet tròn) (nước nâu đen) - 450ml - 40</v>
      </c>
    </row>
    <row r="780">
      <c r="A780" s="86">
        <f>IFERROR(__xludf.DUMMYFUNCTION("""COMPUTED_VALUE"""),778.0)</f>
        <v>778</v>
      </c>
      <c r="B780" s="87" t="str">
        <f>IFERROR(__xludf.DUMMYFUNCTION("""COMPUTED_VALUE"""),"Chai")</f>
        <v>Chai</v>
      </c>
      <c r="C780" s="87" t="str">
        <f>IFERROR(__xludf.DUMMYFUNCTION("""COMPUTED_VALUE"""),"CHT0218")</f>
        <v>CHT0218</v>
      </c>
      <c r="D780" s="87" t="str">
        <f>IFERROR(__xludf.DUMMYFUNCTION("""COMPUTED_VALUE"""),"PN - Chai HDPE tròn 1 Lít cổ 63 (130gr) - Trắng")</f>
        <v>PN - Chai HDPE tròn 1 Lít cổ 63 (130gr) - Trắng</v>
      </c>
      <c r="E780" s="87" t="str">
        <f>IFERROR(__xludf.DUMMYFUNCTION("""COMPUTED_VALUE"""),"HAIHAMEC 3.6EC")</f>
        <v>HAIHAMEC 3.6EC</v>
      </c>
      <c r="F780" s="87" t="str">
        <f>IFERROR(__xludf.DUMMYFUNCTION("""COMPUTED_VALUE"""),"HH0218")</f>
        <v>HH0218</v>
      </c>
      <c r="G780" s="87" t="str">
        <f>IFERROR(__xludf.DUMMYFUNCTION("""COMPUTED_VALUE"""),"GC - IV - 849 - A Thời GNH - MK936 (Pet tròn) (nước nâu đen) - 450ml - 40")</f>
        <v>GC - IV - 849 - A Thời GNH - MK936 (Pet tròn) (nước nâu đen) - 450ml - 40</v>
      </c>
    </row>
    <row r="781">
      <c r="A781" s="86">
        <f>IFERROR(__xludf.DUMMYFUNCTION("""COMPUTED_VALUE"""),779.0)</f>
        <v>779</v>
      </c>
      <c r="B781" s="87" t="str">
        <f>IFERROR(__xludf.DUMMYFUNCTION("""COMPUTED_VALUE"""),"Cóc")</f>
        <v>Cóc</v>
      </c>
      <c r="C781" s="87" t="str">
        <f>IFERROR(__xludf.DUMMYFUNCTION("""COMPUTED_VALUE"""),"COC0007")</f>
        <v>COC0007</v>
      </c>
      <c r="D781" s="87" t="str">
        <f>IFERROR(__xludf.DUMMYFUNCTION("""COMPUTED_VALUE"""),"Cốc đong cổ 33 20ml - Trắng trong")</f>
        <v>Cốc đong cổ 33 20ml - Trắng trong</v>
      </c>
      <c r="E781" s="87" t="str">
        <f>IFERROR(__xludf.DUMMYFUNCTION("""COMPUTED_VALUE"""),"Remy 19EC")</f>
        <v>Remy 19EC</v>
      </c>
      <c r="F781" s="87" t="str">
        <f>IFERROR(__xludf.DUMMYFUNCTION("""COMPUTED_VALUE"""),"HH0007")</f>
        <v>HH0007</v>
      </c>
      <c r="G781" s="87" t="str">
        <f>IFERROR(__xludf.DUMMYFUNCTION("""COMPUTED_VALUE"""),"GC - IV - 850 - Huy Phát - Hufatin (PET vuông) - 450ml - 40")</f>
        <v>GC - IV - 850 - Huy Phát - Hufatin (PET vuông) - 450ml - 40</v>
      </c>
    </row>
    <row r="782">
      <c r="A782" s="86">
        <f>IFERROR(__xludf.DUMMYFUNCTION("""COMPUTED_VALUE"""),780.0)</f>
        <v>780</v>
      </c>
      <c r="B782" s="87" t="str">
        <f>IFERROR(__xludf.DUMMYFUNCTION("""COMPUTED_VALUE"""),"Chai")</f>
        <v>Chai</v>
      </c>
      <c r="C782" s="87" t="str">
        <f>IFERROR(__xludf.DUMMYFUNCTION("""COMPUTED_VALUE"""),"CPT0219")</f>
        <v>CPT0219</v>
      </c>
      <c r="D782" s="87" t="str">
        <f>IFERROR(__xludf.DUMMYFUNCTION("""COMPUTED_VALUE"""),"Chai PET tròn cổ 38 250ml (43gr) - Cam")</f>
        <v>Chai PET tròn cổ 38 250ml (43gr) - Cam</v>
      </c>
      <c r="E782" s="87" t="str">
        <f>IFERROR(__xludf.DUMMYFUNCTION("""COMPUTED_VALUE"""),"IMIPRID 10WP")</f>
        <v>IMIPRID 10WP</v>
      </c>
      <c r="F782" s="87" t="str">
        <f>IFERROR(__xludf.DUMMYFUNCTION("""COMPUTED_VALUE"""),"HH0219")</f>
        <v>HH0219</v>
      </c>
      <c r="G782" s="87" t="str">
        <f>IFERROR(__xludf.DUMMYFUNCTION("""COMPUTED_VALUE"""),"GC - IV - 851 - NN Việt Đức - VD - 100 Thai - 100gr - 150")</f>
        <v>GC - IV - 851 - NN Việt Đức - VD - 100 Thai - 100gr - 150</v>
      </c>
    </row>
    <row r="783">
      <c r="A783" s="86">
        <f>IFERROR(__xludf.DUMMYFUNCTION("""COMPUTED_VALUE"""),781.0)</f>
        <v>781</v>
      </c>
      <c r="B783" s="87" t="str">
        <f>IFERROR(__xludf.DUMMYFUNCTION("""COMPUTED_VALUE"""),"Nắp")</f>
        <v>Nắp</v>
      </c>
      <c r="C783" s="87" t="str">
        <f>IFERROR(__xludf.DUMMYFUNCTION("""COMPUTED_VALUE"""),"NAP0139")</f>
        <v>NAP0139</v>
      </c>
      <c r="D783" s="87" t="str">
        <f>IFERROR(__xludf.DUMMYFUNCTION("""COMPUTED_VALUE"""),"Nắp PET cổ 38 (7.5gr) tai bèo - Cam")</f>
        <v>Nắp PET cổ 38 (7.5gr) tai bèo - Cam</v>
      </c>
      <c r="E783" s="87" t="str">
        <f>IFERROR(__xludf.DUMMYFUNCTION("""COMPUTED_VALUE"""),"PYXOATE 44EC")</f>
        <v>PYXOATE 44EC</v>
      </c>
      <c r="F783" s="87" t="str">
        <f>IFERROR(__xludf.DUMMYFUNCTION("""COMPUTED_VALUE"""),"HH0139")</f>
        <v>HH0139</v>
      </c>
      <c r="G783" s="87" t="str">
        <f>IFERROR(__xludf.DUMMYFUNCTION("""COMPUTED_VALUE"""),"IDA GLOBAL - I - 852 - Hoàng Phi - Siêu Xông Hơi (Rồng Lửa) (Pet tròn) - 450ml - 40")</f>
        <v>IDA GLOBAL - I - 852 - Hoàng Phi - Siêu Xông Hơi (Rồng Lửa) (Pet tròn) - 450ml - 40</v>
      </c>
    </row>
    <row r="784">
      <c r="A784" s="86">
        <f>IFERROR(__xludf.DUMMYFUNCTION("""COMPUTED_VALUE"""),782.0)</f>
        <v>782</v>
      </c>
      <c r="B784" s="87" t="str">
        <f>IFERROR(__xludf.DUMMYFUNCTION("""COMPUTED_VALUE"""),"Chai")</f>
        <v>Chai</v>
      </c>
      <c r="C784" s="87" t="str">
        <f>IFERROR(__xludf.DUMMYFUNCTION("""COMPUTED_VALUE"""),"CHV0220")</f>
        <v>CHV0220</v>
      </c>
      <c r="D784" s="87" t="str">
        <f>IFERROR(__xludf.DUMMYFUNCTION("""COMPUTED_VALUE"""),"Chai HDPE vuông 800ml trắng - Nắp trắng (siêu thoát khí)")</f>
        <v>Chai HDPE vuông 800ml trắng - Nắp trắng (siêu thoát khí)</v>
      </c>
      <c r="E784" s="87" t="str">
        <f>IFERROR(__xludf.DUMMYFUNCTION("""COMPUTED_VALUE"""),"Chitin 3.6EC")</f>
        <v>Chitin 3.6EC</v>
      </c>
      <c r="F784" s="87" t="str">
        <f>IFERROR(__xludf.DUMMYFUNCTION("""COMPUTED_VALUE"""),"HH0220")</f>
        <v>HH0220</v>
      </c>
      <c r="G784" s="87" t="str">
        <f>IFERROR(__xludf.DUMMYFUNCTION("""COMPUTED_VALUE"""),"GC - IV - 853 - Newstar - Cá Sấu (Pet Vuông) (nắp vàng)(Nước nâu đen) - 450ml - 40")</f>
        <v>GC - IV - 853 - Newstar - Cá Sấu (Pet Vuông) (nắp vàng)(Nước nâu đen) - 450ml - 40</v>
      </c>
    </row>
    <row r="785">
      <c r="A785" s="86">
        <f>IFERROR(__xludf.DUMMYFUNCTION("""COMPUTED_VALUE"""),783.0)</f>
        <v>783</v>
      </c>
      <c r="B785" s="87" t="str">
        <f>IFERROR(__xludf.DUMMYFUNCTION("""COMPUTED_VALUE"""),"Chai")</f>
        <v>Chai</v>
      </c>
      <c r="C785" s="87" t="str">
        <f>IFERROR(__xludf.DUMMYFUNCTION("""COMPUTED_VALUE"""),"CPT0221")</f>
        <v>CPT0221</v>
      </c>
      <c r="D785" s="87" t="str">
        <f>IFERROR(__xludf.DUMMYFUNCTION("""COMPUTED_VALUE"""),"Chai PET tròn 600 ml cổ 43 (70gr)  Trắng trong")</f>
        <v>Chai PET tròn 600 ml cổ 43 (70gr)  Trắng trong</v>
      </c>
      <c r="E785" s="87" t="str">
        <f>IFERROR(__xludf.DUMMYFUNCTION("""COMPUTED_VALUE"""),"Chitin 3.6EC")</f>
        <v>Chitin 3.6EC</v>
      </c>
      <c r="F785" s="87" t="str">
        <f>IFERROR(__xludf.DUMMYFUNCTION("""COMPUTED_VALUE"""),"HH0221")</f>
        <v>HH0221</v>
      </c>
      <c r="G785" s="87" t="str">
        <f>IFERROR(__xludf.DUMMYFUNCTION("""COMPUTED_VALUE"""),"GC - IV - 853 - Newstar - Cá Sấu (Pet Vuông) (nắp vàng)(Nước nâu đen) - 450ml - 40")</f>
        <v>GC - IV - 853 - Newstar - Cá Sấu (Pet Vuông) (nắp vàng)(Nước nâu đen) - 450ml - 40</v>
      </c>
    </row>
    <row r="786">
      <c r="A786" s="86">
        <f>IFERROR(__xludf.DUMMYFUNCTION("""COMPUTED_VALUE"""),784.0)</f>
        <v>784</v>
      </c>
      <c r="B786" s="87" t="str">
        <f>IFERROR(__xludf.DUMMYFUNCTION("""COMPUTED_VALUE"""),"Nắp")</f>
        <v>Nắp</v>
      </c>
      <c r="C786" s="87" t="str">
        <f>IFERROR(__xludf.DUMMYFUNCTION("""COMPUTED_VALUE"""),"NAP0140")</f>
        <v>NAP0140</v>
      </c>
      <c r="D786" s="87" t="str">
        <f>IFERROR(__xludf.DUMMYFUNCTION("""COMPUTED_VALUE"""),"Nắp PAPE cổ 43 (10g) logo Shino - Màu cam")</f>
        <v>Nắp PAPE cổ 43 (10g) logo Shino - Màu cam</v>
      </c>
      <c r="E786" s="87" t="str">
        <f>IFERROR(__xludf.DUMMYFUNCTION("""COMPUTED_VALUE"""),"Chitin 3.6EC")</f>
        <v>Chitin 3.6EC</v>
      </c>
      <c r="F786" s="87" t="str">
        <f>IFERROR(__xludf.DUMMYFUNCTION("""COMPUTED_VALUE"""),"HH0140")</f>
        <v>HH0140</v>
      </c>
      <c r="G786" s="87" t="str">
        <f>IFERROR(__xludf.DUMMYFUNCTION("""COMPUTED_VALUE"""),"GC - IV - 854 - Newstar - Đổ Ốc(Pet Vuông) (nắp vàng)(Nước nâu đen) - 450ml - 40")</f>
        <v>GC - IV - 854 - Newstar - Đổ Ốc(Pet Vuông) (nắp vàng)(Nước nâu đen) - 450ml - 40</v>
      </c>
    </row>
    <row r="787">
      <c r="A787" s="86">
        <f>IFERROR(__xludf.DUMMYFUNCTION("""COMPUTED_VALUE"""),785.0)</f>
        <v>785</v>
      </c>
      <c r="B787" s="87" t="str">
        <f>IFERROR(__xludf.DUMMYFUNCTION("""COMPUTED_VALUE"""),"Nắp")</f>
        <v>Nắp</v>
      </c>
      <c r="C787" s="87" t="str">
        <f>IFERROR(__xludf.DUMMYFUNCTION("""COMPUTED_VALUE"""),"NAP0141")</f>
        <v>NAP0141</v>
      </c>
      <c r="D787" s="87" t="str">
        <f>IFERROR(__xludf.DUMMYFUNCTION("""COMPUTED_VALUE"""),"Nắp PAPE cổ 43 (10g) logo Shino - Màu đỏ")</f>
        <v>Nắp PAPE cổ 43 (10g) logo Shino - Màu đỏ</v>
      </c>
      <c r="E787" s="87" t="str">
        <f>IFERROR(__xludf.DUMMYFUNCTION("""COMPUTED_VALUE"""),"Chitin 3.6EC")</f>
        <v>Chitin 3.6EC</v>
      </c>
      <c r="F787" s="87" t="str">
        <f>IFERROR(__xludf.DUMMYFUNCTION("""COMPUTED_VALUE"""),"HH0141")</f>
        <v>HH0141</v>
      </c>
      <c r="G787" s="87" t="str">
        <f>IFERROR(__xludf.DUMMYFUNCTION("""COMPUTED_VALUE"""),"GC - IV - 854 - Newstar - Đổ Ốc(Pet Vuông) (nắp vàng)(Nước nâu đen) - 450ml - 40")</f>
        <v>GC - IV - 854 - Newstar - Đổ Ốc(Pet Vuông) (nắp vàng)(Nước nâu đen) - 450ml - 40</v>
      </c>
    </row>
    <row r="788">
      <c r="A788" s="86">
        <f>IFERROR(__xludf.DUMMYFUNCTION("""COMPUTED_VALUE"""),786.0)</f>
        <v>786</v>
      </c>
      <c r="B788" s="87" t="str">
        <f>IFERROR(__xludf.DUMMYFUNCTION("""COMPUTED_VALUE"""),"Chai")</f>
        <v>Chai</v>
      </c>
      <c r="C788" s="87" t="str">
        <f>IFERROR(__xludf.DUMMYFUNCTION("""COMPUTED_VALUE"""),"CHT0222")</f>
        <v>CHT0222</v>
      </c>
      <c r="D788" s="87" t="str">
        <f>IFERROR(__xludf.DUMMYFUNCTION("""COMPUTED_VALUE"""),"TP- Chai HDPE tròn cổ 42.5 1Lít (105g) - Xám (không ganty)")</f>
        <v>TP- Chai HDPE tròn cổ 42.5 1Lít (105g) - Xám (không ganty)</v>
      </c>
      <c r="E788" s="87" t="str">
        <f>IFERROR(__xludf.DUMMYFUNCTION("""COMPUTED_VALUE"""),"PYXOATE 44EC")</f>
        <v>PYXOATE 44EC</v>
      </c>
      <c r="F788" s="87" t="str">
        <f>IFERROR(__xludf.DUMMYFUNCTION("""COMPUTED_VALUE"""),"HH0222")</f>
        <v>HH0222</v>
      </c>
      <c r="G788" s="87" t="str">
        <f>IFERROR(__xludf.DUMMYFUNCTION("""COMPUTED_VALUE"""),"GC - IV - Agritech - 855 - Pyxoate 44EC (PET tròn) (nắp trắng)(nước đỏ) - 450ml - 40")</f>
        <v>GC - IV - Agritech - 855 - Pyxoate 44EC (PET tròn) (nắp trắng)(nước đỏ) - 450ml - 40</v>
      </c>
    </row>
    <row r="789">
      <c r="A789" s="86">
        <f>IFERROR(__xludf.DUMMYFUNCTION("""COMPUTED_VALUE"""),787.0)</f>
        <v>787</v>
      </c>
      <c r="B789" s="87" t="str">
        <f>IFERROR(__xludf.DUMMYFUNCTION("""COMPUTED_VALUE"""),"Chai")</f>
        <v>Chai</v>
      </c>
      <c r="C789" s="87" t="str">
        <f>IFERROR(__xludf.DUMMYFUNCTION("""COMPUTED_VALUE"""),"CHT0223")</f>
        <v>CHT0223</v>
      </c>
      <c r="D789" s="87" t="str">
        <f>IFERROR(__xludf.DUMMYFUNCTION("""COMPUTED_VALUE"""),"TP- Chai HDPE tròn cổ 42.5 1Lít  (105g) - Trắng (không ganty)")</f>
        <v>TP- Chai HDPE tròn cổ 42.5 1Lít  (105g) - Trắng (không ganty)</v>
      </c>
      <c r="E789" s="87" t="str">
        <f>IFERROR(__xludf.DUMMYFUNCTION("""COMPUTED_VALUE"""),"Chitin 3.6EC")</f>
        <v>Chitin 3.6EC</v>
      </c>
      <c r="F789" s="87" t="str">
        <f>IFERROR(__xludf.DUMMYFUNCTION("""COMPUTED_VALUE"""),"HH0223")</f>
        <v>HH0223</v>
      </c>
      <c r="G789" s="87" t="str">
        <f>IFERROR(__xludf.DUMMYFUNCTION("""COMPUTED_VALUE"""),"GC - IV - 856 - Xuân Sơn 02L - Abametin 3.6 (Ốc Vàng - Nhãn Cam) (Pet tròn)(nước nâu đen) - 450ml - 40")</f>
        <v>GC - IV - 856 - Xuân Sơn 02L - Abametin 3.6 (Ốc Vàng - Nhãn Cam) (Pet tròn)(nước nâu đen) - 450ml - 40</v>
      </c>
    </row>
    <row r="790">
      <c r="A790" s="86">
        <f>IFERROR(__xludf.DUMMYFUNCTION("""COMPUTED_VALUE"""),788.0)</f>
        <v>788</v>
      </c>
      <c r="B790" s="87" t="str">
        <f>IFERROR(__xludf.DUMMYFUNCTION("""COMPUTED_VALUE"""),"Nắp")</f>
        <v>Nắp</v>
      </c>
      <c r="C790" s="87" t="str">
        <f>IFERROR(__xludf.DUMMYFUNCTION("""COMPUTED_VALUE"""),"NAP0142")</f>
        <v>NAP0142</v>
      </c>
      <c r="D790" s="87" t="str">
        <f>IFERROR(__xludf.DUMMYFUNCTION("""COMPUTED_VALUE"""),"Nắp HDPE Xô 10Kg - Trắng (100 gr)")</f>
        <v>Nắp HDPE Xô 10Kg - Trắng (100 gr)</v>
      </c>
      <c r="E790" s="87" t="str">
        <f>IFERROR(__xludf.DUMMYFUNCTION("""COMPUTED_VALUE"""),"Chitin 3.6EC")</f>
        <v>Chitin 3.6EC</v>
      </c>
      <c r="F790" s="87" t="str">
        <f>IFERROR(__xludf.DUMMYFUNCTION("""COMPUTED_VALUE"""),"HH0142")</f>
        <v>HH0142</v>
      </c>
      <c r="G790" s="87" t="str">
        <f>IFERROR(__xludf.DUMMYFUNCTION("""COMPUTED_VALUE"""),"GC - IV - 856 - Xuân Sơn 02L - Abametin 3.6 (Ốc Vàng - Nhãn Cam) (Pet tròn)(nước nâu đen) - 450ml - 40")</f>
        <v>GC - IV - 856 - Xuân Sơn 02L - Abametin 3.6 (Ốc Vàng - Nhãn Cam) (Pet tròn)(nước nâu đen) - 450ml - 40</v>
      </c>
    </row>
    <row r="791">
      <c r="A791" s="86">
        <f>IFERROR(__xludf.DUMMYFUNCTION("""COMPUTED_VALUE"""),789.0)</f>
        <v>789</v>
      </c>
      <c r="B791" s="87" t="str">
        <f>IFERROR(__xludf.DUMMYFUNCTION("""COMPUTED_VALUE"""),"Chai")</f>
        <v>Chai</v>
      </c>
      <c r="C791" s="87" t="str">
        <f>IFERROR(__xludf.DUMMYFUNCTION("""COMPUTED_VALUE"""),"CHT0216")</f>
        <v>CHT0216</v>
      </c>
      <c r="D791" s="87" t="str">
        <f>IFERROR(__xludf.DUMMYFUNCTION("""COMPUTED_VALUE"""),"Chai HDPE tròn cổ 48 250ml  3 cánh - Đen (40gr)")</f>
        <v>Chai HDPE tròn cổ 48 250ml  3 cánh - Đen (40gr)</v>
      </c>
      <c r="E791" s="87" t="str">
        <f>IFERROR(__xludf.DUMMYFUNCTION("""COMPUTED_VALUE"""),"Chitin 3.6EC")</f>
        <v>Chitin 3.6EC</v>
      </c>
      <c r="F791" s="87" t="str">
        <f>IFERROR(__xludf.DUMMYFUNCTION("""COMPUTED_VALUE"""),"HH0216")</f>
        <v>HH0216</v>
      </c>
      <c r="G791" s="87" t="str">
        <f>IFERROR(__xludf.DUMMYFUNCTION("""COMPUTED_VALUE"""),"GC - IV - 857 - Xuân Sơn 02L - Abametin 3.6 (Ốc Vàng - Nhãn Cam) (Pet vuông)(nước nâu đen)- 450ml - 40")</f>
        <v>GC - IV - 857 - Xuân Sơn 02L - Abametin 3.6 (Ốc Vàng - Nhãn Cam) (Pet vuông)(nước nâu đen)- 450ml - 40</v>
      </c>
    </row>
    <row r="792">
      <c r="A792" s="86">
        <f>IFERROR(__xludf.DUMMYFUNCTION("""COMPUTED_VALUE"""),790.0)</f>
        <v>790</v>
      </c>
      <c r="B792" s="87" t="str">
        <f>IFERROR(__xludf.DUMMYFUNCTION("""COMPUTED_VALUE"""),"Nắp")</f>
        <v>Nắp</v>
      </c>
      <c r="C792" s="87" t="str">
        <f>IFERROR(__xludf.DUMMYFUNCTION("""COMPUTED_VALUE"""),"NAP0150")</f>
        <v>NAP0150</v>
      </c>
      <c r="D792" s="87" t="str">
        <f>IFERROR(__xludf.DUMMYFUNCTION("""COMPUTED_VALUE"""),"Nắp HDPE cổ 48 chai 3 cánh - Đen (12gr)")</f>
        <v>Nắp HDPE cổ 48 chai 3 cánh - Đen (12gr)</v>
      </c>
      <c r="E792" s="87" t="str">
        <f>IFERROR(__xludf.DUMMYFUNCTION("""COMPUTED_VALUE"""),"Chitin 3.6EC")</f>
        <v>Chitin 3.6EC</v>
      </c>
      <c r="F792" s="87" t="str">
        <f>IFERROR(__xludf.DUMMYFUNCTION("""COMPUTED_VALUE"""),"HH0150")</f>
        <v>HH0150</v>
      </c>
      <c r="G792" s="87" t="str">
        <f>IFERROR(__xludf.DUMMYFUNCTION("""COMPUTED_VALUE"""),"GC - IV - 857 - Xuân Sơn 02L - Abametin 3.6 (Ốc Vàng - Nhãn Cam) (Pet vuông)(nước nâu đen)- 450ml - 40")</f>
        <v>GC - IV - 857 - Xuân Sơn 02L - Abametin 3.6 (Ốc Vàng - Nhãn Cam) (Pet vuông)(nước nâu đen)- 450ml - 40</v>
      </c>
    </row>
    <row r="793">
      <c r="A793" s="86">
        <f>IFERROR(__xludf.DUMMYFUNCTION("""COMPUTED_VALUE"""),791.0)</f>
        <v>791</v>
      </c>
      <c r="B793" s="87" t="str">
        <f>IFERROR(__xludf.DUMMYFUNCTION("""COMPUTED_VALUE"""),"Nắp")</f>
        <v>Nắp</v>
      </c>
      <c r="C793" s="87" t="str">
        <f>IFERROR(__xludf.DUMMYFUNCTION("""COMPUTED_VALUE"""),"NAP0143")</f>
        <v>NAP0143</v>
      </c>
      <c r="D793" s="87" t="str">
        <f>IFERROR(__xludf.DUMMYFUNCTION("""COMPUTED_VALUE"""),"Nắp HDPE cổ 38 (7.5gr)  có gurantee  - Trắng")</f>
        <v>Nắp HDPE cổ 38 (7.5gr)  có gurantee  - Trắng</v>
      </c>
      <c r="E793" s="87" t="str">
        <f>IFERROR(__xludf.DUMMYFUNCTION("""COMPUTED_VALUE"""),"Chitin 3.6EC")</f>
        <v>Chitin 3.6EC</v>
      </c>
      <c r="F793" s="87" t="str">
        <f>IFERROR(__xludf.DUMMYFUNCTION("""COMPUTED_VALUE"""),"HH0143")</f>
        <v>HH0143</v>
      </c>
      <c r="G793" s="87" t="str">
        <f>IFERROR(__xludf.DUMMYFUNCTION("""COMPUTED_VALUE"""),"GC - IV - 858 - Nguyễn Huy Phú - Chitin 3.6EC (Chai tròn) (Nước nâu đen) - 450ml - 40")</f>
        <v>GC - IV - 858 - Nguyễn Huy Phú - Chitin 3.6EC (Chai tròn) (Nước nâu đen) - 450ml - 40</v>
      </c>
    </row>
    <row r="794">
      <c r="A794" s="86">
        <f>IFERROR(__xludf.DUMMYFUNCTION("""COMPUTED_VALUE"""),792.0)</f>
        <v>792</v>
      </c>
      <c r="B794" s="87" t="str">
        <f>IFERROR(__xludf.DUMMYFUNCTION("""COMPUTED_VALUE"""),"Cóc")</f>
        <v>Cóc</v>
      </c>
      <c r="C794" s="87" t="str">
        <f>IFERROR(__xludf.DUMMYFUNCTION("""COMPUTED_VALUE"""),"COC0008")</f>
        <v>COC0008</v>
      </c>
      <c r="D794" s="87" t="str">
        <f>IFERROR(__xludf.DUMMYFUNCTION("""COMPUTED_VALUE"""),"Cốc đong cổ 38 60ml - Trắng trong")</f>
        <v>Cốc đong cổ 38 60ml - Trắng trong</v>
      </c>
      <c r="E794" s="87" t="str">
        <f>IFERROR(__xludf.DUMMYFUNCTION("""COMPUTED_VALUE"""),"Chitin 3.6EC")</f>
        <v>Chitin 3.6EC</v>
      </c>
      <c r="F794" s="87" t="str">
        <f>IFERROR(__xludf.DUMMYFUNCTION("""COMPUTED_VALUE"""),"HH0008")</f>
        <v>HH0008</v>
      </c>
      <c r="G794" s="87" t="str">
        <f>IFERROR(__xludf.DUMMYFUNCTION("""COMPUTED_VALUE"""),"GC - IV - 858 - Nguyễn Huy Phú - Chitin 3.6EC (Chai tròn) (Nước nâu đen) - 450ml - 40")</f>
        <v>GC - IV - 858 - Nguyễn Huy Phú - Chitin 3.6EC (Chai tròn) (Nước nâu đen) - 450ml - 40</v>
      </c>
    </row>
    <row r="795">
      <c r="A795" s="86">
        <f>IFERROR(__xludf.DUMMYFUNCTION("""COMPUTED_VALUE"""),793.0)</f>
        <v>793</v>
      </c>
      <c r="B795" s="87" t="str">
        <f>IFERROR(__xludf.DUMMYFUNCTION("""COMPUTED_VALUE"""),"Nắp")</f>
        <v>Nắp</v>
      </c>
      <c r="C795" s="87" t="str">
        <f>IFERROR(__xludf.DUMMYFUNCTION("""COMPUTED_VALUE"""),"NAP0143")</f>
        <v>NAP0143</v>
      </c>
      <c r="D795" s="87" t="str">
        <f>IFERROR(__xludf.DUMMYFUNCTION("""COMPUTED_VALUE"""),"Nắp HDPE cổ 48 (7.5gr)  có gurantee  - Trắng")</f>
        <v>Nắp HDPE cổ 48 (7.5gr)  có gurantee  - Trắng</v>
      </c>
      <c r="E795" s="87" t="str">
        <f>IFERROR(__xludf.DUMMYFUNCTION("""COMPUTED_VALUE"""),"Chitin 3.6EC")</f>
        <v>Chitin 3.6EC</v>
      </c>
      <c r="F795" s="87" t="str">
        <f>IFERROR(__xludf.DUMMYFUNCTION("""COMPUTED_VALUE"""),"HH0143")</f>
        <v>HH0143</v>
      </c>
      <c r="G795" s="87" t="str">
        <f>IFERROR(__xludf.DUMMYFUNCTION("""COMPUTED_VALUE"""),"GC - IV - 858 - Nguyễn Huy Phú - Chitin 3.6EC (Chai tròn) (Nước nâu đen) - 450ml - 40")</f>
        <v>GC - IV - 858 - Nguyễn Huy Phú - Chitin 3.6EC (Chai tròn) (Nước nâu đen) - 450ml - 40</v>
      </c>
    </row>
    <row r="796">
      <c r="A796" s="86">
        <f>IFERROR(__xludf.DUMMYFUNCTION("""COMPUTED_VALUE"""),794.0)</f>
        <v>794</v>
      </c>
      <c r="B796" s="87" t="str">
        <f>IFERROR(__xludf.DUMMYFUNCTION("""COMPUTED_VALUE"""),"Nắp")</f>
        <v>Nắp</v>
      </c>
      <c r="C796" s="87" t="str">
        <f>IFERROR(__xludf.DUMMYFUNCTION("""COMPUTED_VALUE"""),"NAP0144")</f>
        <v>NAP0144</v>
      </c>
      <c r="D796" s="87" t="str">
        <f>IFERROR(__xludf.DUMMYFUNCTION("""COMPUTED_VALUE"""),"Nắp HDPE cổ 49 (7.5gr)  có gurantee  - Trắng")</f>
        <v>Nắp HDPE cổ 49 (7.5gr)  có gurantee  - Trắng</v>
      </c>
      <c r="E796" s="87" t="str">
        <f>IFERROR(__xludf.DUMMYFUNCTION("""COMPUTED_VALUE"""),"Chitin 3.6EC")</f>
        <v>Chitin 3.6EC</v>
      </c>
      <c r="F796" s="87" t="str">
        <f>IFERROR(__xludf.DUMMYFUNCTION("""COMPUTED_VALUE"""),"HH0144")</f>
        <v>HH0144</v>
      </c>
      <c r="G796" s="87" t="str">
        <f>IFERROR(__xludf.DUMMYFUNCTION("""COMPUTED_VALUE"""),"GC - IV - 862 - Agritech - Agritech Abamectin 36 (Chai Vuông) (Nước nâu đen) - 450ml - 40")</f>
        <v>GC - IV - 862 - Agritech - Agritech Abamectin 36 (Chai Vuông) (Nước nâu đen) - 450ml - 40</v>
      </c>
    </row>
    <row r="797">
      <c r="A797" s="86">
        <f>IFERROR(__xludf.DUMMYFUNCTION("""COMPUTED_VALUE"""),795.0)</f>
        <v>795</v>
      </c>
      <c r="B797" s="87" t="str">
        <f>IFERROR(__xludf.DUMMYFUNCTION("""COMPUTED_VALUE"""),"Nắp")</f>
        <v>Nắp</v>
      </c>
      <c r="C797" s="87" t="str">
        <f>IFERROR(__xludf.DUMMYFUNCTION("""COMPUTED_VALUE"""),"NAP0145")</f>
        <v>NAP0145</v>
      </c>
      <c r="D797" s="87" t="str">
        <f>IFERROR(__xludf.DUMMYFUNCTION("""COMPUTED_VALUE"""),"Nắp PET cổ 38 (7.5gr) tai bèo - Trắng")</f>
        <v>Nắp PET cổ 38 (7.5gr) tai bèo - Trắng</v>
      </c>
      <c r="E797" s="87" t="str">
        <f>IFERROR(__xludf.DUMMYFUNCTION("""COMPUTED_VALUE"""),"Chitin 3.6EC")</f>
        <v>Chitin 3.6EC</v>
      </c>
      <c r="F797" s="87" t="str">
        <f>IFERROR(__xludf.DUMMYFUNCTION("""COMPUTED_VALUE"""),"HH0145")</f>
        <v>HH0145</v>
      </c>
      <c r="G797" s="87" t="str">
        <f>IFERROR(__xludf.DUMMYFUNCTION("""COMPUTED_VALUE"""),"GC - IV - 863 - Xuân Sơn 02L - Abametin 3.6 (Ốc Vàng - Nhãn đen) (Pet tròn)(nước nâu đen)- 450ml - 40")</f>
        <v>GC - IV - 863 - Xuân Sơn 02L - Abametin 3.6 (Ốc Vàng - Nhãn đen) (Pet tròn)(nước nâu đen)- 450ml - 40</v>
      </c>
    </row>
    <row r="798">
      <c r="A798" s="86">
        <f>IFERROR(__xludf.DUMMYFUNCTION("""COMPUTED_VALUE"""),796.0)</f>
        <v>796</v>
      </c>
      <c r="B798" s="87" t="str">
        <f>IFERROR(__xludf.DUMMYFUNCTION("""COMPUTED_VALUE"""),"Nắp")</f>
        <v>Nắp</v>
      </c>
      <c r="C798" s="87" t="str">
        <f>IFERROR(__xludf.DUMMYFUNCTION("""COMPUTED_VALUE"""),"NAP0146")</f>
        <v>NAP0146</v>
      </c>
      <c r="D798" s="87" t="str">
        <f>IFERROR(__xludf.DUMMYFUNCTION("""COMPUTED_VALUE"""),"Nắp PET cổ 43 - Trắng")</f>
        <v>Nắp PET cổ 43 - Trắng</v>
      </c>
      <c r="E798" s="87" t="str">
        <f>IFERROR(__xludf.DUMMYFUNCTION("""COMPUTED_VALUE"""),"Chitin 3.6EC")</f>
        <v>Chitin 3.6EC</v>
      </c>
      <c r="F798" s="87" t="str">
        <f>IFERROR(__xludf.DUMMYFUNCTION("""COMPUTED_VALUE"""),"HH0146")</f>
        <v>HH0146</v>
      </c>
      <c r="G798" s="87" t="str">
        <f>IFERROR(__xludf.DUMMYFUNCTION("""COMPUTED_VALUE"""),"GC - IV - 863 - Xuân Sơn 02L - Abametin 3.6 (Ốc Vàng - Nhãn đen) (Pet tròn)(nước nâu đen)- 450ml - 40")</f>
        <v>GC - IV - 863 - Xuân Sơn 02L - Abametin 3.6 (Ốc Vàng - Nhãn đen) (Pet tròn)(nước nâu đen)- 450ml - 40</v>
      </c>
    </row>
    <row r="799">
      <c r="A799" s="86">
        <f>IFERROR(__xludf.DUMMYFUNCTION("""COMPUTED_VALUE"""),797.0)</f>
        <v>797</v>
      </c>
      <c r="B799" s="87" t="str">
        <f>IFERROR(__xludf.DUMMYFUNCTION("""COMPUTED_VALUE"""),"Nắp")</f>
        <v>Nắp</v>
      </c>
      <c r="C799" s="87" t="str">
        <f>IFERROR(__xludf.DUMMYFUNCTION("""COMPUTED_VALUE"""),"NAP0147")</f>
        <v>NAP0147</v>
      </c>
      <c r="D799" s="87" t="str">
        <f>IFERROR(__xludf.DUMMYFUNCTION("""COMPUTED_VALUE"""),"Nắp HDPE cổ 43 chai 100ml - Trắng")</f>
        <v>Nắp HDPE cổ 43 chai 100ml - Trắng</v>
      </c>
      <c r="E799" s="87" t="str">
        <f>IFERROR(__xludf.DUMMYFUNCTION("""COMPUTED_VALUE"""),"Chitin 3.6EC")</f>
        <v>Chitin 3.6EC</v>
      </c>
      <c r="F799" s="87" t="str">
        <f>IFERROR(__xludf.DUMMYFUNCTION("""COMPUTED_VALUE"""),"HH0147")</f>
        <v>HH0147</v>
      </c>
      <c r="G799" s="87" t="str">
        <f>IFERROR(__xludf.DUMMYFUNCTION("""COMPUTED_VALUE"""),"GC - IV - 864 - Xuân Sơn 02L - Abametin 3.6 (Ốc Vàng - Nhãn đen) (Pet vuông)(nước nâu đen) - 450ml - 40")</f>
        <v>GC - IV - 864 - Xuân Sơn 02L - Abametin 3.6 (Ốc Vàng - Nhãn đen) (Pet vuông)(nước nâu đen) - 450ml - 40</v>
      </c>
    </row>
    <row r="800">
      <c r="A800" s="86">
        <f>IFERROR(__xludf.DUMMYFUNCTION("""COMPUTED_VALUE"""),798.0)</f>
        <v>798</v>
      </c>
      <c r="B800" s="87" t="str">
        <f>IFERROR(__xludf.DUMMYFUNCTION("""COMPUTED_VALUE"""),"Cóc")</f>
        <v>Cóc</v>
      </c>
      <c r="C800" s="87" t="str">
        <f>IFERROR(__xludf.DUMMYFUNCTION("""COMPUTED_VALUE"""),"COC0009")</f>
        <v>COC0009</v>
      </c>
      <c r="D800" s="87" t="str">
        <f>IFERROR(__xludf.DUMMYFUNCTION("""COMPUTED_VALUE"""),"Cốc đong cổ 43 50ml - Trắng trong")</f>
        <v>Cốc đong cổ 43 50ml - Trắng trong</v>
      </c>
      <c r="E800" s="87" t="str">
        <f>IFERROR(__xludf.DUMMYFUNCTION("""COMPUTED_VALUE"""),"Chitin 3.6EC")</f>
        <v>Chitin 3.6EC</v>
      </c>
      <c r="F800" s="87" t="str">
        <f>IFERROR(__xludf.DUMMYFUNCTION("""COMPUTED_VALUE"""),"HH0009")</f>
        <v>HH0009</v>
      </c>
      <c r="G800" s="87" t="str">
        <f>IFERROR(__xludf.DUMMYFUNCTION("""COMPUTED_VALUE"""),"GC - IV - 864 - Xuân Sơn 02L - Abametin 3.6 (Ốc Vàng - Nhãn đen) (Pet vuông)(nước nâu đen) - 450ml - 40")</f>
        <v>GC - IV - 864 - Xuân Sơn 02L - Abametin 3.6 (Ốc Vàng - Nhãn đen) (Pet vuông)(nước nâu đen) - 450ml - 40</v>
      </c>
    </row>
    <row r="801">
      <c r="A801" s="86">
        <f>IFERROR(__xludf.DUMMYFUNCTION("""COMPUTED_VALUE"""),799.0)</f>
        <v>799</v>
      </c>
      <c r="B801" s="87" t="str">
        <f>IFERROR(__xludf.DUMMYFUNCTION("""COMPUTED_VALUE"""),"Chai")</f>
        <v>Chai</v>
      </c>
      <c r="C801" s="87" t="str">
        <f>IFERROR(__xludf.DUMMYFUNCTION("""COMPUTED_VALUE"""),"CHT0224")</f>
        <v>CHT0224</v>
      </c>
      <c r="D801" s="87" t="str">
        <f>IFERROR(__xludf.DUMMYFUNCTION("""COMPUTED_VALUE"""),"Chai HDPE 300ml, tròn 2G vai Beehive cổ 50 (45g) - Xanh Thiên Thanh")</f>
        <v>Chai HDPE 300ml, tròn 2G vai Beehive cổ 50 (45g) - Xanh Thiên Thanh</v>
      </c>
      <c r="E801" s="87" t="str">
        <f>IFERROR(__xludf.DUMMYFUNCTION("""COMPUTED_VALUE"""),"Chitin 3.6EC")</f>
        <v>Chitin 3.6EC</v>
      </c>
      <c r="F801" s="87" t="str">
        <f>IFERROR(__xludf.DUMMYFUNCTION("""COMPUTED_VALUE"""),"HH0224")</f>
        <v>HH0224</v>
      </c>
      <c r="G801" s="87" t="str">
        <f>IFERROR(__xludf.DUMMYFUNCTION("""COMPUTED_VALUE"""),"LOT IDA Global - I - 865 - ĐL Huỳnh Văn Đậu - Thần Hổ 4.0 (Pet tròn) (nắp đỏ)(nước nâu đen) - 450ml - 40")</f>
        <v>LOT IDA Global - I - 865 - ĐL Huỳnh Văn Đậu - Thần Hổ 4.0 (Pet tròn) (nắp đỏ)(nước nâu đen) - 450ml - 40</v>
      </c>
    </row>
    <row r="802">
      <c r="A802" s="86">
        <f>IFERROR(__xludf.DUMMYFUNCTION("""COMPUTED_VALUE"""),800.0)</f>
        <v>800</v>
      </c>
      <c r="B802" s="87" t="str">
        <f>IFERROR(__xludf.DUMMYFUNCTION("""COMPUTED_VALUE"""),"Nắp")</f>
        <v>Nắp</v>
      </c>
      <c r="C802" s="87" t="str">
        <f>IFERROR(__xludf.DUMMYFUNCTION("""COMPUTED_VALUE"""),"NAP0148")</f>
        <v>NAP0148</v>
      </c>
      <c r="D802" s="87" t="str">
        <f>IFERROR(__xludf.DUMMYFUNCTION("""COMPUTED_VALUE"""),"Nắp HDPE cổ 50 gruratee - Xanh thiên thanh")</f>
        <v>Nắp HDPE cổ 50 gruratee - Xanh thiên thanh</v>
      </c>
      <c r="E802" s="87" t="str">
        <f>IFERROR(__xludf.DUMMYFUNCTION("""COMPUTED_VALUE"""),"Chitin 3.6EC")</f>
        <v>Chitin 3.6EC</v>
      </c>
      <c r="F802" s="87" t="str">
        <f>IFERROR(__xludf.DUMMYFUNCTION("""COMPUTED_VALUE"""),"HH0148")</f>
        <v>HH0148</v>
      </c>
      <c r="G802" s="87" t="str">
        <f>IFERROR(__xludf.DUMMYFUNCTION("""COMPUTED_VALUE"""),"LOT IDA Global - I - 865 - ĐL Huỳnh Văn Đậu - Thần Hổ 4.0 (Pet tròn) (nắp đỏ)(nước nâu đen) - 450ml - 40")</f>
        <v>LOT IDA Global - I - 865 - ĐL Huỳnh Văn Đậu - Thần Hổ 4.0 (Pet tròn) (nắp đỏ)(nước nâu đen) - 450ml - 40</v>
      </c>
    </row>
    <row r="803">
      <c r="A803" s="86">
        <f>IFERROR(__xludf.DUMMYFUNCTION("""COMPUTED_VALUE"""),801.0)</f>
        <v>801</v>
      </c>
      <c r="B803" s="87" t="str">
        <f>IFERROR(__xludf.DUMMYFUNCTION("""COMPUTED_VALUE"""),"Cóc")</f>
        <v>Cóc</v>
      </c>
      <c r="C803" s="87" t="str">
        <f>IFERROR(__xludf.DUMMYFUNCTION("""COMPUTED_VALUE"""),"COC0010")</f>
        <v>COC0010</v>
      </c>
      <c r="D803" s="87" t="str">
        <f>IFERROR(__xludf.DUMMYFUNCTION("""COMPUTED_VALUE"""),"Cốc đong cổ 50 75ml - Trắng trong")</f>
        <v>Cốc đong cổ 50 75ml - Trắng trong</v>
      </c>
      <c r="E803" s="87" t="str">
        <f>IFERROR(__xludf.DUMMYFUNCTION("""COMPUTED_VALUE"""),"Chitin 3.6EC")</f>
        <v>Chitin 3.6EC</v>
      </c>
      <c r="F803" s="87" t="str">
        <f>IFERROR(__xludf.DUMMYFUNCTION("""COMPUTED_VALUE"""),"HH0010")</f>
        <v>HH0010</v>
      </c>
      <c r="G803" s="87" t="str">
        <f>IFERROR(__xludf.DUMMYFUNCTION("""COMPUTED_VALUE"""),"LOT IDA Global - I - 866 - ĐL Hoàng Châu Long - Thần Hổ (Pet tròn) (nắp vàng)(nước nâu đen) - 450ml - 40")</f>
        <v>LOT IDA Global - I - 866 - ĐL Hoàng Châu Long - Thần Hổ (Pet tròn) (nắp vàng)(nước nâu đen) - 450ml - 40</v>
      </c>
    </row>
    <row r="804">
      <c r="A804" s="86">
        <f>IFERROR(__xludf.DUMMYFUNCTION("""COMPUTED_VALUE"""),802.0)</f>
        <v>802</v>
      </c>
      <c r="B804" s="87" t="str">
        <f>IFERROR(__xludf.DUMMYFUNCTION("""COMPUTED_VALUE"""),"Chai")</f>
        <v>Chai</v>
      </c>
      <c r="C804" s="87" t="str">
        <f>IFERROR(__xludf.DUMMYFUNCTION("""COMPUTED_VALUE"""),"CHT0225")</f>
        <v>CHT0225</v>
      </c>
      <c r="D804" s="87" t="str">
        <f>IFERROR(__xludf.DUMMYFUNCTION("""COMPUTED_VALUE"""),"Chai HDPE 300ml, tròn 2G vai Beehive cổ 50 (45g) - Cam")</f>
        <v>Chai HDPE 300ml, tròn 2G vai Beehive cổ 50 (45g) - Cam</v>
      </c>
      <c r="E804" s="87" t="str">
        <f>IFERROR(__xludf.DUMMYFUNCTION("""COMPUTED_VALUE"""),"Chitin 3.6EC")</f>
        <v>Chitin 3.6EC</v>
      </c>
      <c r="F804" s="87" t="str">
        <f>IFERROR(__xludf.DUMMYFUNCTION("""COMPUTED_VALUE"""),"HH0225")</f>
        <v>HH0225</v>
      </c>
      <c r="G804" s="87" t="str">
        <f>IFERROR(__xludf.DUMMYFUNCTION("""COMPUTED_VALUE"""),"LOT IDA Global - I - 866 - ĐL Hoàng Châu Long - Thần Hổ (Pet tròn) (nắp vàng)(nước nâu đen) - 450ml - 40")</f>
        <v>LOT IDA Global - I - 866 - ĐL Hoàng Châu Long - Thần Hổ (Pet tròn) (nắp vàng)(nước nâu đen) - 450ml - 40</v>
      </c>
    </row>
    <row r="805">
      <c r="A805" s="86">
        <f>IFERROR(__xludf.DUMMYFUNCTION("""COMPUTED_VALUE"""),803.0)</f>
        <v>803</v>
      </c>
      <c r="B805" s="87" t="str">
        <f>IFERROR(__xludf.DUMMYFUNCTION("""COMPUTED_VALUE"""),"Nắp")</f>
        <v>Nắp</v>
      </c>
      <c r="C805" s="87" t="str">
        <f>IFERROR(__xludf.DUMMYFUNCTION("""COMPUTED_VALUE"""),"NAP0149")</f>
        <v>NAP0149</v>
      </c>
      <c r="D805" s="87" t="str">
        <f>IFERROR(__xludf.DUMMYFUNCTION("""COMPUTED_VALUE"""),"Nắp HDPE cổ 50 gruratee - Cam")</f>
        <v>Nắp HDPE cổ 50 gruratee - Cam</v>
      </c>
      <c r="E805" s="87" t="str">
        <f>IFERROR(__xludf.DUMMYFUNCTION("""COMPUTED_VALUE"""),"Chitin 3.6EC")</f>
        <v>Chitin 3.6EC</v>
      </c>
      <c r="F805" s="87" t="str">
        <f>IFERROR(__xludf.DUMMYFUNCTION("""COMPUTED_VALUE"""),"HH0149")</f>
        <v>HH0149</v>
      </c>
      <c r="G805" s="87" t="str">
        <f>IFERROR(__xludf.DUMMYFUNCTION("""COMPUTED_VALUE"""),"LOT IDA Global - I - 867 - ĐL Bảo Hiền - Bò Cạp Thái(Pet tròn) (nắp vàng)(nước nâu đen) - 450ml - 40")</f>
        <v>LOT IDA Global - I - 867 - ĐL Bảo Hiền - Bò Cạp Thái(Pet tròn) (nắp vàng)(nước nâu đen) - 450ml - 40</v>
      </c>
    </row>
    <row r="806">
      <c r="A806" s="86">
        <f>IFERROR(__xludf.DUMMYFUNCTION("""COMPUTED_VALUE"""),804.0)</f>
        <v>804</v>
      </c>
      <c r="B806" s="87" t="str">
        <f>IFERROR(__xludf.DUMMYFUNCTION("""COMPUTED_VALUE"""),"Chai")</f>
        <v>Chai</v>
      </c>
      <c r="C806" s="87" t="str">
        <f>IFERROR(__xludf.DUMMYFUNCTION("""COMPUTED_VALUE"""),"CHT0226")</f>
        <v>CHT0226</v>
      </c>
      <c r="D806" s="87" t="str">
        <f>IFERROR(__xludf.DUMMYFUNCTION("""COMPUTED_VALUE"""),"Chai HDPE tròn cổ 48 500ml  3 cánh - Đen (70gr)")</f>
        <v>Chai HDPE tròn cổ 48 500ml  3 cánh - Đen (70gr)</v>
      </c>
      <c r="E806" s="87" t="str">
        <f>IFERROR(__xludf.DUMMYFUNCTION("""COMPUTED_VALUE"""),"Chitin 3.6EC")</f>
        <v>Chitin 3.6EC</v>
      </c>
      <c r="F806" s="87" t="str">
        <f>IFERROR(__xludf.DUMMYFUNCTION("""COMPUTED_VALUE"""),"HH0226")</f>
        <v>HH0226</v>
      </c>
      <c r="G806" s="87" t="str">
        <f>IFERROR(__xludf.DUMMYFUNCTION("""COMPUTED_VALUE"""),"LOT IDA Global - I - 867 - ĐL Bảo Hiền - Bò Cạp Thái(Pet tròn) (nắp vàng)(nước nâu đen) - 450ml - 40")</f>
        <v>LOT IDA Global - I - 867 - ĐL Bảo Hiền - Bò Cạp Thái(Pet tròn) (nắp vàng)(nước nâu đen) - 450ml - 40</v>
      </c>
    </row>
    <row r="807">
      <c r="A807" s="86">
        <f>IFERROR(__xludf.DUMMYFUNCTION("""COMPUTED_VALUE"""),805.0)</f>
        <v>805</v>
      </c>
      <c r="B807" s="87" t="str">
        <f>IFERROR(__xludf.DUMMYFUNCTION("""COMPUTED_VALUE"""),"Nắp")</f>
        <v>Nắp</v>
      </c>
      <c r="C807" s="87" t="str">
        <f>IFERROR(__xludf.DUMMYFUNCTION("""COMPUTED_VALUE"""),"NAP0151")</f>
        <v>NAP0151</v>
      </c>
      <c r="D807" s="87" t="str">
        <f>IFERROR(__xludf.DUMMYFUNCTION("""COMPUTED_VALUE"""),"AT- Nắp HDPE tròn cổ 63 Trắng")</f>
        <v>AT- Nắp HDPE tròn cổ 63 Trắng</v>
      </c>
      <c r="E807" s="87" t="str">
        <f>IFERROR(__xludf.DUMMYFUNCTION("""COMPUTED_VALUE"""),"Chitin 3.6EC")</f>
        <v>Chitin 3.6EC</v>
      </c>
      <c r="F807" s="87" t="str">
        <f>IFERROR(__xludf.DUMMYFUNCTION("""COMPUTED_VALUE"""),"HH0151")</f>
        <v>HH0151</v>
      </c>
      <c r="G807" s="87" t="str">
        <f>IFERROR(__xludf.DUMMYFUNCTION("""COMPUTED_VALUE"""),"LOT IDA Global - I - 868 - ĐL Minh Nga - Avermectin 36 (Pet tròn) (nắp đỏ)(nước nâu đen) - 450ml - 40")</f>
        <v>LOT IDA Global - I - 868 - ĐL Minh Nga - Avermectin 36 (Pet tròn) (nắp đỏ)(nước nâu đen) - 450ml - 40</v>
      </c>
    </row>
    <row r="808">
      <c r="A808" s="86">
        <f>IFERROR(__xludf.DUMMYFUNCTION("""COMPUTED_VALUE"""),806.0)</f>
        <v>806</v>
      </c>
      <c r="B808" s="87" t="str">
        <f>IFERROR(__xludf.DUMMYFUNCTION("""COMPUTED_VALUE"""),"Chai")</f>
        <v>Chai</v>
      </c>
      <c r="C808" s="87" t="str">
        <f>IFERROR(__xludf.DUMMYFUNCTION("""COMPUTED_VALUE"""),"CHT0227")</f>
        <v>CHT0227</v>
      </c>
      <c r="D808" s="87" t="str">
        <f>IFERROR(__xludf.DUMMYFUNCTION("""COMPUTED_VALUE"""),"Chai HDPE xanh dương 500ml - Nắp Bta Xanh dương")</f>
        <v>Chai HDPE xanh dương 500ml - Nắp Bta Xanh dương</v>
      </c>
      <c r="E808" s="87" t="str">
        <f>IFERROR(__xludf.DUMMYFUNCTION("""COMPUTED_VALUE"""),"Chitin 3.6EC")</f>
        <v>Chitin 3.6EC</v>
      </c>
      <c r="F808" s="87" t="str">
        <f>IFERROR(__xludf.DUMMYFUNCTION("""COMPUTED_VALUE"""),"HH0227")</f>
        <v>HH0227</v>
      </c>
      <c r="G808" s="87" t="str">
        <f>IFERROR(__xludf.DUMMYFUNCTION("""COMPUTED_VALUE"""),"LOT IDA Global - I - 868 - ĐL Minh Nga - Avermectin 36 (Pet tròn) (nắp đỏ)(nước nâu đen) - 450ml - 40")</f>
        <v>LOT IDA Global - I - 868 - ĐL Minh Nga - Avermectin 36 (Pet tròn) (nắp đỏ)(nước nâu đen) - 450ml - 40</v>
      </c>
    </row>
    <row r="809">
      <c r="A809" s="86">
        <f>IFERROR(__xludf.DUMMYFUNCTION("""COMPUTED_VALUE"""),807.0)</f>
        <v>807</v>
      </c>
      <c r="B809" s="87" t="str">
        <f>IFERROR(__xludf.DUMMYFUNCTION("""COMPUTED_VALUE"""),"Chai")</f>
        <v>Chai</v>
      </c>
      <c r="C809" s="87" t="str">
        <f>IFERROR(__xludf.DUMMYFUNCTION("""COMPUTED_VALUE"""),"CHT0228")</f>
        <v>CHT0228</v>
      </c>
      <c r="D809" s="87" t="str">
        <f>IFERROR(__xludf.DUMMYFUNCTION("""COMPUTED_VALUE"""),"Chai HDPE tròn cổ 63 500ml (80g) - Trắng")</f>
        <v>Chai HDPE tròn cổ 63 500ml (80g) - Trắng</v>
      </c>
      <c r="E809" s="87" t="str">
        <f>IFERROR(__xludf.DUMMYFUNCTION("""COMPUTED_VALUE"""),"Chitin 3.6EC")</f>
        <v>Chitin 3.6EC</v>
      </c>
      <c r="F809" s="87" t="str">
        <f>IFERROR(__xludf.DUMMYFUNCTION("""COMPUTED_VALUE"""),"HH0228")</f>
        <v>HH0228</v>
      </c>
      <c r="G809" s="87" t="str">
        <f>IFERROR(__xludf.DUMMYFUNCTION("""COMPUTED_VALUE"""),"LOT IDA Global - I - 869 - ĐL Phú Nông - Vua 3.6 (Pet tròn) (nắp đỏ)(nước nâu đen) - 450ml - 40")</f>
        <v>LOT IDA Global - I - 869 - ĐL Phú Nông - Vua 3.6 (Pet tròn) (nắp đỏ)(nước nâu đen) - 450ml - 40</v>
      </c>
    </row>
    <row r="810">
      <c r="A810" s="86">
        <f>IFERROR(__xludf.DUMMYFUNCTION("""COMPUTED_VALUE"""),808.0)</f>
        <v>808</v>
      </c>
      <c r="B810" s="87" t="str">
        <f>IFERROR(__xludf.DUMMYFUNCTION("""COMPUTED_VALUE"""),"Nắp")</f>
        <v>Nắp</v>
      </c>
      <c r="C810" s="87" t="str">
        <f>IFERROR(__xludf.DUMMYFUNCTION("""COMPUTED_VALUE"""),"NAP0152")</f>
        <v>NAP0152</v>
      </c>
      <c r="D810" s="87" t="str">
        <f>IFERROR(__xludf.DUMMYFUNCTION("""COMPUTED_VALUE"""),"Nắp HDPE tròn cổ 63 Trắng")</f>
        <v>Nắp HDPE tròn cổ 63 Trắng</v>
      </c>
      <c r="E810" s="87" t="str">
        <f>IFERROR(__xludf.DUMMYFUNCTION("""COMPUTED_VALUE"""),"Chitin 3.6EC")</f>
        <v>Chitin 3.6EC</v>
      </c>
      <c r="F810" s="87" t="str">
        <f>IFERROR(__xludf.DUMMYFUNCTION("""COMPUTED_VALUE"""),"HH0152")</f>
        <v>HH0152</v>
      </c>
      <c r="G810" s="87" t="str">
        <f>IFERROR(__xludf.DUMMYFUNCTION("""COMPUTED_VALUE"""),"LOT IDA Global - I - 869 - ĐL Phú Nông - Vua 3.6 (Pet tròn) (nắp đỏ)(nước nâu đen) - 450ml - 40")</f>
        <v>LOT IDA Global - I - 869 - ĐL Phú Nông - Vua 3.6 (Pet tròn) (nắp đỏ)(nước nâu đen) - 450ml - 40</v>
      </c>
    </row>
    <row r="811">
      <c r="A811" s="86">
        <f>IFERROR(__xludf.DUMMYFUNCTION("""COMPUTED_VALUE"""),809.0)</f>
        <v>809</v>
      </c>
      <c r="B811" s="87" t="str">
        <f>IFERROR(__xludf.DUMMYFUNCTION("""COMPUTED_VALUE"""),"Chai")</f>
        <v>Chai</v>
      </c>
      <c r="C811" s="87" t="str">
        <f>IFERROR(__xludf.DUMMYFUNCTION("""COMPUTED_VALUE"""),"CHT0229")</f>
        <v>CHT0229</v>
      </c>
      <c r="D811" s="87" t="str">
        <f>IFERROR(__xludf.DUMMYFUNCTION("""COMPUTED_VALUE"""),"Chai HDPE tròn cổ 50 500ml, vai vuông (60g) Gruratee - Trắng")</f>
        <v>Chai HDPE tròn cổ 50 500ml, vai vuông (60g) Gruratee - Trắng</v>
      </c>
      <c r="E811" s="87" t="str">
        <f>IFERROR(__xludf.DUMMYFUNCTION("""COMPUTED_VALUE"""),"Chitin 3.6EC")</f>
        <v>Chitin 3.6EC</v>
      </c>
      <c r="F811" s="87" t="str">
        <f>IFERROR(__xludf.DUMMYFUNCTION("""COMPUTED_VALUE"""),"HH0229")</f>
        <v>HH0229</v>
      </c>
      <c r="G811" s="87" t="str">
        <f>IFERROR(__xludf.DUMMYFUNCTION("""COMPUTED_VALUE"""),"LOT IDA Global - I - 870 - ĐL Nhựt Mẫn - Avermectin (Pet tròn) (nắp đỏ)(nước nâu đen) - 450ml - 40")</f>
        <v>LOT IDA Global - I - 870 - ĐL Nhựt Mẫn - Avermectin (Pet tròn) (nắp đỏ)(nước nâu đen) - 450ml - 40</v>
      </c>
    </row>
    <row r="812">
      <c r="A812" s="86">
        <f>IFERROR(__xludf.DUMMYFUNCTION("""COMPUTED_VALUE"""),810.0)</f>
        <v>810</v>
      </c>
      <c r="B812" s="87" t="str">
        <f>IFERROR(__xludf.DUMMYFUNCTION("""COMPUTED_VALUE"""),"Nắp")</f>
        <v>Nắp</v>
      </c>
      <c r="C812" s="87" t="str">
        <f>IFERROR(__xludf.DUMMYFUNCTION("""COMPUTED_VALUE"""),"NAP0153")</f>
        <v>NAP0153</v>
      </c>
      <c r="D812" s="87" t="str">
        <f>IFERROR(__xludf.DUMMYFUNCTION("""COMPUTED_VALUE"""),"Nắp HDPE cổ 50 gruratee - Trắng")</f>
        <v>Nắp HDPE cổ 50 gruratee - Trắng</v>
      </c>
      <c r="E812" s="87" t="str">
        <f>IFERROR(__xludf.DUMMYFUNCTION("""COMPUTED_VALUE"""),"Chitin 3.6EC")</f>
        <v>Chitin 3.6EC</v>
      </c>
      <c r="F812" s="87" t="str">
        <f>IFERROR(__xludf.DUMMYFUNCTION("""COMPUTED_VALUE"""),"HH0153")</f>
        <v>HH0153</v>
      </c>
      <c r="G812" s="87" t="str">
        <f>IFERROR(__xludf.DUMMYFUNCTION("""COMPUTED_VALUE"""),"LOT IDA Global - I - 870 - ĐL Nhựt Mẫn - Avermectin (Pet tròn) (nắp đỏ)(nước nâu đen) - 450ml - 40")</f>
        <v>LOT IDA Global - I - 870 - ĐL Nhựt Mẫn - Avermectin (Pet tròn) (nắp đỏ)(nước nâu đen) - 450ml - 40</v>
      </c>
    </row>
    <row r="813">
      <c r="A813" s="86">
        <f>IFERROR(__xludf.DUMMYFUNCTION("""COMPUTED_VALUE"""),811.0)</f>
        <v>811</v>
      </c>
      <c r="B813" s="87" t="str">
        <f>IFERROR(__xludf.DUMMYFUNCTION("""COMPUTED_VALUE"""),"Chai")</f>
        <v>Chai</v>
      </c>
      <c r="C813" s="87" t="str">
        <f>IFERROR(__xludf.DUMMYFUNCTION("""COMPUTED_VALUE"""),"CHT0230")</f>
        <v>CHT0230</v>
      </c>
      <c r="D813" s="87" t="str">
        <f>IFERROR(__xludf.DUMMYFUNCTION("""COMPUTED_VALUE"""),"Chai HDPE tròn cổ 50 550ml (75g) Gruratee - Trắng")</f>
        <v>Chai HDPE tròn cổ 50 550ml (75g) Gruratee - Trắng</v>
      </c>
      <c r="E813" s="87" t="str">
        <f>IFERROR(__xludf.DUMMYFUNCTION("""COMPUTED_VALUE"""),"CITIZEN 333SC")</f>
        <v>CITIZEN 333SC</v>
      </c>
      <c r="F813" s="87" t="str">
        <f>IFERROR(__xludf.DUMMYFUNCTION("""COMPUTED_VALUE"""),"HH0230")</f>
        <v>HH0230</v>
      </c>
      <c r="G813" s="87" t="str">
        <f>IFERROR(__xludf.DUMMYFUNCTION("""COMPUTED_VALUE"""),"IDA Global - I - 872 - Citizen 333SC (Drone) (chai HD)(nước cam sữa) - 450ml - 40")</f>
        <v>IDA Global - I - 872 - Citizen 333SC (Drone) (chai HD)(nước cam sữa) - 450ml - 40</v>
      </c>
    </row>
    <row r="814">
      <c r="A814" s="86">
        <f>IFERROR(__xludf.DUMMYFUNCTION("""COMPUTED_VALUE"""),812.0)</f>
        <v>812</v>
      </c>
      <c r="B814" s="87" t="str">
        <f>IFERROR(__xludf.DUMMYFUNCTION("""COMPUTED_VALUE"""),"Chai")</f>
        <v>Chai</v>
      </c>
      <c r="C814" s="87" t="str">
        <f>IFERROR(__xludf.DUMMYFUNCTION("""COMPUTED_VALUE"""),"CHT0231")</f>
        <v>CHT0231</v>
      </c>
      <c r="D814" s="87" t="str">
        <f>IFERROR(__xludf.DUMMYFUNCTION("""COMPUTED_VALUE"""),"Chai HDPE 300ml, tròn 2G vai Beehive cổ 50 (45g) - Trắng")</f>
        <v>Chai HDPE 300ml, tròn 2G vai Beehive cổ 50 (45g) - Trắng</v>
      </c>
      <c r="E814" s="87" t="str">
        <f>IFERROR(__xludf.DUMMYFUNCTION("""COMPUTED_VALUE"""),"CITIZEN 333SC")</f>
        <v>CITIZEN 333SC</v>
      </c>
      <c r="F814" s="87" t="str">
        <f>IFERROR(__xludf.DUMMYFUNCTION("""COMPUTED_VALUE"""),"HH0231")</f>
        <v>HH0231</v>
      </c>
      <c r="G814" s="87" t="str">
        <f>IFERROR(__xludf.DUMMYFUNCTION("""COMPUTED_VALUE"""),"IDA Global - I - 872 - Citizen 333SC (Drone) (chai HD)(nước cam sữa) - 450ml - 40")</f>
        <v>IDA Global - I - 872 - Citizen 333SC (Drone) (chai HD)(nước cam sữa) - 450ml - 40</v>
      </c>
    </row>
    <row r="815">
      <c r="A815" s="86">
        <f>IFERROR(__xludf.DUMMYFUNCTION("""COMPUTED_VALUE"""),813.0)</f>
        <v>813</v>
      </c>
      <c r="B815" s="87" t="str">
        <f>IFERROR(__xludf.DUMMYFUNCTION("""COMPUTED_VALUE"""),"Chai")</f>
        <v>Chai</v>
      </c>
      <c r="C815" s="87" t="str">
        <f>IFERROR(__xludf.DUMMYFUNCTION("""COMPUTED_VALUE"""),"CPT0232")</f>
        <v>CPT0232</v>
      </c>
      <c r="D815" s="87" t="str">
        <f>IFERROR(__xludf.DUMMYFUNCTION("""COMPUTED_VALUE"""),"Chai PET 250ml cổ 33 tam giác (35g) - Trắng")</f>
        <v>Chai PET 250ml cổ 33 tam giác (35g) - Trắng</v>
      </c>
      <c r="E815" s="87" t="str">
        <f>IFERROR(__xludf.DUMMYFUNCTION("""COMPUTED_VALUE"""),"Vi lượng Basel IDA 50")</f>
        <v>Vi lượng Basel IDA 50</v>
      </c>
      <c r="F815" s="87" t="str">
        <f>IFERROR(__xludf.DUMMYFUNCTION("""COMPUTED_VALUE"""),"HH0232")</f>
        <v>HH0232</v>
      </c>
      <c r="G815" s="87" t="str">
        <f>IFERROR(__xludf.DUMMYFUNCTION("""COMPUTED_VALUE"""),"IDA Global - I - 873 - Chito - M55 (drone vàng) - 500ml - 40")</f>
        <v>IDA Global - I - 873 - Chito - M55 (drone vàng) - 500ml - 40</v>
      </c>
    </row>
    <row r="816">
      <c r="A816" s="86">
        <f>IFERROR(__xludf.DUMMYFUNCTION("""COMPUTED_VALUE"""),814.0)</f>
        <v>814</v>
      </c>
      <c r="B816" s="87" t="str">
        <f>IFERROR(__xludf.DUMMYFUNCTION("""COMPUTED_VALUE"""),"Chai")</f>
        <v>Chai</v>
      </c>
      <c r="C816" s="87" t="str">
        <f>IFERROR(__xludf.DUMMYFUNCTION("""COMPUTED_VALUE"""),"CPT0233")</f>
        <v>CPT0233</v>
      </c>
      <c r="D816" s="87" t="str">
        <f>IFERROR(__xludf.DUMMYFUNCTION("""COMPUTED_VALUE"""),"Chai PET 500ml cổ 38 tam giác (64g) - Trắng")</f>
        <v>Chai PET 500ml cổ 38 tam giác (64g) - Trắng</v>
      </c>
      <c r="E816" s="87" t="str">
        <f>IFERROR(__xludf.DUMMYFUNCTION("""COMPUTED_VALUE"""),"Vi lượng Basel IDA 50")</f>
        <v>Vi lượng Basel IDA 50</v>
      </c>
      <c r="F816" s="87" t="str">
        <f>IFERROR(__xludf.DUMMYFUNCTION("""COMPUTED_VALUE"""),"HH0233")</f>
        <v>HH0233</v>
      </c>
      <c r="G816" s="87" t="str">
        <f>IFERROR(__xludf.DUMMYFUNCTION("""COMPUTED_VALUE"""),"IDA Global - I - 873 - Chito - M55 (drone vàng) - 500ml - 40")</f>
        <v>IDA Global - I - 873 - Chito - M55 (drone vàng) - 500ml - 40</v>
      </c>
    </row>
    <row r="817">
      <c r="A817" s="86">
        <f>IFERROR(__xludf.DUMMYFUNCTION("""COMPUTED_VALUE"""),815.0)</f>
        <v>815</v>
      </c>
      <c r="B817" s="87" t="str">
        <f>IFERROR(__xludf.DUMMYFUNCTION("""COMPUTED_VALUE"""),"Nắp")</f>
        <v>Nắp</v>
      </c>
      <c r="C817" s="87" t="str">
        <f>IFERROR(__xludf.DUMMYFUNCTION("""COMPUTED_VALUE"""),"NAP0154")</f>
        <v>NAP0154</v>
      </c>
      <c r="D817" s="87" t="str">
        <f>IFERROR(__xludf.DUMMYFUNCTION("""COMPUTED_VALUE"""),"Nắp PET cổ 33 (7.5g) - Màu bạc")</f>
        <v>Nắp PET cổ 33 (7.5g) - Màu bạc</v>
      </c>
      <c r="E817" s="87" t="str">
        <f>IFERROR(__xludf.DUMMYFUNCTION("""COMPUTED_VALUE"""),"Chitin 3.6EC")</f>
        <v>Chitin 3.6EC</v>
      </c>
      <c r="F817" s="87" t="str">
        <f>IFERROR(__xludf.DUMMYFUNCTION("""COMPUTED_VALUE"""),"HH0154")</f>
        <v>HH0154</v>
      </c>
      <c r="G817" s="87" t="str">
        <f>IFERROR(__xludf.DUMMYFUNCTION("""COMPUTED_VALUE"""),"LOT IDA Global - I - 874 - ĐL Dũng Oanh - Avermectin 36 (Pet tròn) (nắp trắng)(nước nâu đen) - 450ml - 40")</f>
        <v>LOT IDA Global - I - 874 - ĐL Dũng Oanh - Avermectin 36 (Pet tròn) (nắp trắng)(nước nâu đen) - 450ml - 40</v>
      </c>
    </row>
    <row r="818">
      <c r="A818" s="86">
        <f>IFERROR(__xludf.DUMMYFUNCTION("""COMPUTED_VALUE"""),816.0)</f>
        <v>816</v>
      </c>
      <c r="B818" s="87" t="str">
        <f>IFERROR(__xludf.DUMMYFUNCTION("""COMPUTED_VALUE"""),"Nắp")</f>
        <v>Nắp</v>
      </c>
      <c r="C818" s="87" t="str">
        <f>IFERROR(__xludf.DUMMYFUNCTION("""COMPUTED_VALUE"""),"NAP0155")</f>
        <v>NAP0155</v>
      </c>
      <c r="D818" s="87" t="str">
        <f>IFERROR(__xludf.DUMMYFUNCTION("""COMPUTED_VALUE"""),"Nắp PET cổ 38 (8gr) tai bèo - Xanh lá đậm")</f>
        <v>Nắp PET cổ 38 (8gr) tai bèo - Xanh lá đậm</v>
      </c>
      <c r="E818" s="87" t="str">
        <f>IFERROR(__xludf.DUMMYFUNCTION("""COMPUTED_VALUE"""),"Chitin 3.6EC")</f>
        <v>Chitin 3.6EC</v>
      </c>
      <c r="F818" s="87" t="str">
        <f>IFERROR(__xludf.DUMMYFUNCTION("""COMPUTED_VALUE"""),"HH0155")</f>
        <v>HH0155</v>
      </c>
      <c r="G818" s="87" t="str">
        <f>IFERROR(__xludf.DUMMYFUNCTION("""COMPUTED_VALUE"""),"LOT IDA Global - I - 874 - ĐL Dũng Oanh - Avermectin 36 (Pet tròn) (nắp trắng)(nước nâu đen) - 450ml - 40")</f>
        <v>LOT IDA Global - I - 874 - ĐL Dũng Oanh - Avermectin 36 (Pet tròn) (nắp trắng)(nước nâu đen) - 450ml - 40</v>
      </c>
    </row>
    <row r="819">
      <c r="A819" s="86">
        <f>IFERROR(__xludf.DUMMYFUNCTION("""COMPUTED_VALUE"""),817.0)</f>
        <v>817</v>
      </c>
      <c r="B819" s="87" t="str">
        <f>IFERROR(__xludf.DUMMYFUNCTION("""COMPUTED_VALUE"""),"Chai")</f>
        <v>Chai</v>
      </c>
      <c r="C819" s="87" t="str">
        <f>IFERROR(__xludf.DUMMYFUNCTION("""COMPUTED_VALUE"""),"CPT0234")</f>
        <v>CPT0234</v>
      </c>
      <c r="D819" s="87" t="str">
        <f>IFERROR(__xludf.DUMMYFUNCTION("""COMPUTED_VALUE"""),"Chai PET tròn cổ 44 500ml (45g) Trắng")</f>
        <v>Chai PET tròn cổ 44 500ml (45g) Trắng</v>
      </c>
      <c r="E819" s="87" t="str">
        <f>IFERROR(__xludf.DUMMYFUNCTION("""COMPUTED_VALUE"""),"Chitin 3.6EC")</f>
        <v>Chitin 3.6EC</v>
      </c>
      <c r="F819" s="87" t="str">
        <f>IFERROR(__xludf.DUMMYFUNCTION("""COMPUTED_VALUE"""),"HH0234")</f>
        <v>HH0234</v>
      </c>
      <c r="G819" s="87" t="str">
        <f>IFERROR(__xludf.DUMMYFUNCTION("""COMPUTED_VALUE"""),"LOT IDA Global - I - 875 - ĐL Bảo Tại - Avermectin 36 (Pet tròn) (nắp đỏ)(nước nâu đen) - 450ml - 40")</f>
        <v>LOT IDA Global - I - 875 - ĐL Bảo Tại - Avermectin 36 (Pet tròn) (nắp đỏ)(nước nâu đen) - 450ml - 40</v>
      </c>
    </row>
    <row r="820">
      <c r="A820" s="86">
        <f>IFERROR(__xludf.DUMMYFUNCTION("""COMPUTED_VALUE"""),818.0)</f>
        <v>818</v>
      </c>
      <c r="B820" s="87" t="str">
        <f>IFERROR(__xludf.DUMMYFUNCTION("""COMPUTED_VALUE"""),"Nắp")</f>
        <v>Nắp</v>
      </c>
      <c r="C820" s="87" t="str">
        <f>IFERROR(__xludf.DUMMYFUNCTION("""COMPUTED_VALUE"""),"NAP0156")</f>
        <v>NAP0156</v>
      </c>
      <c r="D820" s="87" t="str">
        <f>IFERROR(__xludf.DUMMYFUNCTION("""COMPUTED_VALUE"""),"Nắp PET cổ 44 (9g) Đỏ")</f>
        <v>Nắp PET cổ 44 (9g) Đỏ</v>
      </c>
      <c r="E820" s="87" t="str">
        <f>IFERROR(__xludf.DUMMYFUNCTION("""COMPUTED_VALUE"""),"Chitin 3.6EC")</f>
        <v>Chitin 3.6EC</v>
      </c>
      <c r="F820" s="87" t="str">
        <f>IFERROR(__xludf.DUMMYFUNCTION("""COMPUTED_VALUE"""),"HH0156")</f>
        <v>HH0156</v>
      </c>
      <c r="G820" s="87" t="str">
        <f>IFERROR(__xludf.DUMMYFUNCTION("""COMPUTED_VALUE"""),"LOT IDA Global - I - 875 - ĐL Bảo Tại - Avermectin 36 (Pet tròn) (nắp đỏ)(nước nâu đen) - 450ml - 40")</f>
        <v>LOT IDA Global - I - 875 - ĐL Bảo Tại - Avermectin 36 (Pet tròn) (nắp đỏ)(nước nâu đen) - 450ml - 40</v>
      </c>
    </row>
    <row r="821">
      <c r="A821" s="86">
        <f>IFERROR(__xludf.DUMMYFUNCTION("""COMPUTED_VALUE"""),819.0)</f>
        <v>819</v>
      </c>
      <c r="B821" s="87" t="str">
        <f>IFERROR(__xludf.DUMMYFUNCTION("""COMPUTED_VALUE"""),"Nắp")</f>
        <v>Nắp</v>
      </c>
      <c r="C821" s="87" t="str">
        <f>IFERROR(__xludf.DUMMYFUNCTION("""COMPUTED_VALUE"""),"NAP0157")</f>
        <v>NAP0157</v>
      </c>
      <c r="D821" s="87" t="str">
        <f>IFERROR(__xludf.DUMMYFUNCTION("""COMPUTED_VALUE"""),"PN - Nắp HDPE cổ 45 Vàng (không ganty)")</f>
        <v>PN - Nắp HDPE cổ 45 Vàng (không ganty)</v>
      </c>
      <c r="E821" s="87" t="str">
        <f>IFERROR(__xludf.DUMMYFUNCTION("""COMPUTED_VALUE"""),"BYPHAN 800WP")</f>
        <v>BYPHAN 800WP</v>
      </c>
      <c r="F821" s="87" t="str">
        <f>IFERROR(__xludf.DUMMYFUNCTION("""COMPUTED_VALUE"""),"HH0157")</f>
        <v>HH0157</v>
      </c>
      <c r="G821" s="87" t="str">
        <f>IFERROR(__xludf.DUMMYFUNCTION("""COMPUTED_VALUE"""),"GC - IV - 877 - Bảy Phận - Manco Xanh (túi nhôm)(bột xanh) - 1 Kg - 20")</f>
        <v>GC - IV - 877 - Bảy Phận - Manco Xanh (túi nhôm)(bột xanh) - 1 Kg - 20</v>
      </c>
    </row>
    <row r="822">
      <c r="A822" s="86">
        <f>IFERROR(__xludf.DUMMYFUNCTION("""COMPUTED_VALUE"""),820.0)</f>
        <v>820</v>
      </c>
      <c r="B822" s="87" t="str">
        <f>IFERROR(__xludf.DUMMYFUNCTION("""COMPUTED_VALUE"""),"Chai")</f>
        <v>Chai</v>
      </c>
      <c r="C822" s="87" t="str">
        <f>IFERROR(__xludf.DUMMYFUNCTION("""COMPUTED_VALUE"""),"CHT0235")</f>
        <v>CHT0235</v>
      </c>
      <c r="D822" s="87" t="str">
        <f>IFERROR(__xludf.DUMMYFUNCTION("""COMPUTED_VALUE"""),"Chai HDPE tròn cổ 48 250ml  3 cánh - Đen (50gr)")</f>
        <v>Chai HDPE tròn cổ 48 250ml  3 cánh - Đen (50gr)</v>
      </c>
      <c r="E822" s="87" t="str">
        <f>IFERROR(__xludf.DUMMYFUNCTION("""COMPUTED_VALUE"""),"HAIHAMEC 3.6EC")</f>
        <v>HAIHAMEC 3.6EC</v>
      </c>
      <c r="F822" s="87" t="str">
        <f>IFERROR(__xludf.DUMMYFUNCTION("""COMPUTED_VALUE"""),"HH0235")</f>
        <v>HH0235</v>
      </c>
      <c r="G822" s="87" t="str">
        <f>IFERROR(__xludf.DUMMYFUNCTION("""COMPUTED_VALUE"""),"LOT IDA Global - I - 880 - ĐL Phúc Nông - Thần Hổ (Pet vuông) (nắp vàng)(nước nâu đen) - 450ml - 40")</f>
        <v>LOT IDA Global - I - 880 - ĐL Phúc Nông - Thần Hổ (Pet vuông) (nắp vàng)(nước nâu đen) - 450ml - 40</v>
      </c>
    </row>
    <row r="823">
      <c r="A823" s="86">
        <f>IFERROR(__xludf.DUMMYFUNCTION("""COMPUTED_VALUE"""),821.0)</f>
        <v>821</v>
      </c>
      <c r="B823" s="87" t="str">
        <f>IFERROR(__xludf.DUMMYFUNCTION("""COMPUTED_VALUE"""),"Chai")</f>
        <v>Chai</v>
      </c>
      <c r="C823" s="87" t="str">
        <f>IFERROR(__xludf.DUMMYFUNCTION("""COMPUTED_VALUE"""),"CHT0236")</f>
        <v>CHT0236</v>
      </c>
      <c r="D823" s="87" t="str">
        <f>IFERROR(__xludf.DUMMYFUNCTION("""COMPUTED_VALUE"""),"PN- Chai HDPE 500ml cổ 42.5 3 viền trên thân (60g) - Màu trắng")</f>
        <v>PN- Chai HDPE 500ml cổ 42.5 3 viền trên thân (60g) - Màu trắng</v>
      </c>
      <c r="E823" s="87" t="str">
        <f>IFERROR(__xludf.DUMMYFUNCTION("""COMPUTED_VALUE"""),"HAIHAMEC 3.6EC")</f>
        <v>HAIHAMEC 3.6EC</v>
      </c>
      <c r="F823" s="87" t="str">
        <f>IFERROR(__xludf.DUMMYFUNCTION("""COMPUTED_VALUE"""),"HH0236")</f>
        <v>HH0236</v>
      </c>
      <c r="G823" s="87" t="str">
        <f>IFERROR(__xludf.DUMMYFUNCTION("""COMPUTED_VALUE"""),"LOT IDA Global - I - 880 - ĐL Phúc Nông - Thần Hổ (Pet vuông) (nắp vàng)(nước nâu đen) - 450ml - 40")</f>
        <v>LOT IDA Global - I - 880 - ĐL Phúc Nông - Thần Hổ (Pet vuông) (nắp vàng)(nước nâu đen) - 450ml - 40</v>
      </c>
    </row>
    <row r="824">
      <c r="A824" s="86">
        <f>IFERROR(__xludf.DUMMYFUNCTION("""COMPUTED_VALUE"""),822.0)</f>
        <v>822</v>
      </c>
      <c r="B824" s="87" t="str">
        <f>IFERROR(__xludf.DUMMYFUNCTION("""COMPUTED_VALUE"""),"Nắp")</f>
        <v>Nắp</v>
      </c>
      <c r="C824" s="87" t="str">
        <f>IFERROR(__xludf.DUMMYFUNCTION("""COMPUTED_VALUE"""),"NAP0158")</f>
        <v>NAP0158</v>
      </c>
      <c r="D824" s="87" t="str">
        <f>IFERROR(__xludf.DUMMYFUNCTION("""COMPUTED_VALUE"""),"PN - Nắp HDPE 42.5 (10g) Gruratee - Trắng")</f>
        <v>PN - Nắp HDPE 42.5 (10g) Gruratee - Trắng</v>
      </c>
      <c r="E824" s="87" t="str">
        <f>IFERROR(__xludf.DUMMYFUNCTION("""COMPUTED_VALUE"""),"Chitin 3.6EC")</f>
        <v>Chitin 3.6EC</v>
      </c>
      <c r="F824" s="87" t="str">
        <f>IFERROR(__xludf.DUMMYFUNCTION("""COMPUTED_VALUE"""),"HH0158")</f>
        <v>HH0158</v>
      </c>
      <c r="G824" s="87" t="str">
        <f>IFERROR(__xludf.DUMMYFUNCTION("""COMPUTED_VALUE"""),"LOT IDA Global - I - 881 - ĐL Trung Nhã - Avermectin (Pet vuông) (nắp vàng)(nước nâu đen) - 450ml - 40")</f>
        <v>LOT IDA Global - I - 881 - ĐL Trung Nhã - Avermectin (Pet vuông) (nắp vàng)(nước nâu đen) - 450ml - 40</v>
      </c>
    </row>
    <row r="825">
      <c r="A825" s="86">
        <f>IFERROR(__xludf.DUMMYFUNCTION("""COMPUTED_VALUE"""),823.0)</f>
        <v>823</v>
      </c>
      <c r="B825" s="87" t="str">
        <f>IFERROR(__xludf.DUMMYFUNCTION("""COMPUTED_VALUE"""),"Chai")</f>
        <v>Chai</v>
      </c>
      <c r="C825" s="87" t="str">
        <f>IFERROR(__xludf.DUMMYFUNCTION("""COMPUTED_VALUE"""),"CHT0237")</f>
        <v>CHT0237</v>
      </c>
      <c r="D825" s="87" t="str">
        <f>IFERROR(__xludf.DUMMYFUNCTION("""COMPUTED_VALUE"""),"PN - Chai HDPE tròn cổ 45 1Lít (110g) - Xám (không ganty)")</f>
        <v>PN - Chai HDPE tròn cổ 45 1Lít (110g) - Xám (không ganty)</v>
      </c>
      <c r="E825" s="87" t="str">
        <f>IFERROR(__xludf.DUMMYFUNCTION("""COMPUTED_VALUE"""),"Chitin 3.6EC")</f>
        <v>Chitin 3.6EC</v>
      </c>
      <c r="F825" s="87" t="str">
        <f>IFERROR(__xludf.DUMMYFUNCTION("""COMPUTED_VALUE"""),"HH0237")</f>
        <v>HH0237</v>
      </c>
      <c r="G825" s="87" t="str">
        <f>IFERROR(__xludf.DUMMYFUNCTION("""COMPUTED_VALUE"""),"LOT IDA Global - I - 881 - ĐL Trung Nhã - Avermectin (Pet vuông) (nắp vàng)(nước nâu đen) - 450ml - 40")</f>
        <v>LOT IDA Global - I - 881 - ĐL Trung Nhã - Avermectin (Pet vuông) (nắp vàng)(nước nâu đen) - 450ml - 40</v>
      </c>
    </row>
    <row r="826">
      <c r="A826" s="86">
        <f>IFERROR(__xludf.DUMMYFUNCTION("""COMPUTED_VALUE"""),824.0)</f>
        <v>824</v>
      </c>
      <c r="B826" s="87" t="str">
        <f>IFERROR(__xludf.DUMMYFUNCTION("""COMPUTED_VALUE"""),"Nắp")</f>
        <v>Nắp</v>
      </c>
      <c r="C826" s="87" t="str">
        <f>IFERROR(__xludf.DUMMYFUNCTION("""COMPUTED_VALUE"""),"NAP0159")</f>
        <v>NAP0159</v>
      </c>
      <c r="D826" s="87" t="str">
        <f>IFERROR(__xludf.DUMMYFUNCTION("""COMPUTED_VALUE"""),"PN- Nắp HDPE cổ 45 (8g) - Xanh Lá (không ganty)")</f>
        <v>PN- Nắp HDPE cổ 45 (8g) - Xanh Lá (không ganty)</v>
      </c>
      <c r="E826" s="87" t="str">
        <f>IFERROR(__xludf.DUMMYFUNCTION("""COMPUTED_VALUE"""),"Chitin 3.6EC")</f>
        <v>Chitin 3.6EC</v>
      </c>
      <c r="F826" s="87" t="str">
        <f>IFERROR(__xludf.DUMMYFUNCTION("""COMPUTED_VALUE"""),"HH0159")</f>
        <v>HH0159</v>
      </c>
      <c r="G826" s="87" t="str">
        <f>IFERROR(__xludf.DUMMYFUNCTION("""COMPUTED_VALUE"""),"LOT IDA Global - I - 882 - CT Notraco - Avermectin (Pet tròn) (nắp vàng)(nước nâu đen) - 450ml - 40")</f>
        <v>LOT IDA Global - I - 882 - CT Notraco - Avermectin (Pet tròn) (nắp vàng)(nước nâu đen) - 450ml - 40</v>
      </c>
    </row>
    <row r="827">
      <c r="A827" s="86">
        <f>IFERROR(__xludf.DUMMYFUNCTION("""COMPUTED_VALUE"""),825.0)</f>
        <v>825</v>
      </c>
      <c r="B827" s="87" t="str">
        <f>IFERROR(__xludf.DUMMYFUNCTION("""COMPUTED_VALUE"""),"Nắp")</f>
        <v>Nắp</v>
      </c>
      <c r="C827" s="87" t="str">
        <f>IFERROR(__xludf.DUMMYFUNCTION("""COMPUTED_VALUE"""),"NAP0160")</f>
        <v>NAP0160</v>
      </c>
      <c r="D827" s="87" t="str">
        <f>IFERROR(__xludf.DUMMYFUNCTION("""COMPUTED_VALUE"""),"PN- Nắp HDPE cổ 45 (8g) - Đỏ (không ganty)")</f>
        <v>PN- Nắp HDPE cổ 45 (8g) - Đỏ (không ganty)</v>
      </c>
      <c r="E827" s="87" t="str">
        <f>IFERROR(__xludf.DUMMYFUNCTION("""COMPUTED_VALUE"""),"Chitin 3.6EC")</f>
        <v>Chitin 3.6EC</v>
      </c>
      <c r="F827" s="87" t="str">
        <f>IFERROR(__xludf.DUMMYFUNCTION("""COMPUTED_VALUE"""),"HH0160")</f>
        <v>HH0160</v>
      </c>
      <c r="G827" s="87" t="str">
        <f>IFERROR(__xludf.DUMMYFUNCTION("""COMPUTED_VALUE"""),"LOT IDA Global - I - 882 - CT Notraco - Avermectin (Pet tròn) (nắp vàng)(nước nâu đen) - 450ml - 40")</f>
        <v>LOT IDA Global - I - 882 - CT Notraco - Avermectin (Pet tròn) (nắp vàng)(nước nâu đen) - 450ml - 40</v>
      </c>
    </row>
    <row r="828">
      <c r="A828" s="86">
        <f>IFERROR(__xludf.DUMMYFUNCTION("""COMPUTED_VALUE"""),826.0)</f>
        <v>826</v>
      </c>
      <c r="B828" s="87" t="str">
        <f>IFERROR(__xludf.DUMMYFUNCTION("""COMPUTED_VALUE"""),"Chai")</f>
        <v>Chai</v>
      </c>
      <c r="C828" s="87" t="str">
        <f>IFERROR(__xludf.DUMMYFUNCTION("""COMPUTED_VALUE"""),"CHT0238")</f>
        <v>CHT0238</v>
      </c>
      <c r="D828" s="87" t="str">
        <f>IFERROR(__xludf.DUMMYFUNCTION("""COMPUTED_VALUE"""),"Chai HDPE tròn 3 lá cổ 32 100ml (21gr) - Màu trắng")</f>
        <v>Chai HDPE tròn 3 lá cổ 32 100ml (21gr) - Màu trắng</v>
      </c>
      <c r="E828" s="87" t="str">
        <f>IFERROR(__xludf.DUMMYFUNCTION("""COMPUTED_VALUE"""),"Chitin 3.6EC")</f>
        <v>Chitin 3.6EC</v>
      </c>
      <c r="F828" s="87" t="str">
        <f>IFERROR(__xludf.DUMMYFUNCTION("""COMPUTED_VALUE"""),"HH0238")</f>
        <v>HH0238</v>
      </c>
      <c r="G828" s="87" t="str">
        <f>IFERROR(__xludf.DUMMYFUNCTION("""COMPUTED_VALUE"""),"LOT IDA Global - I - 885 - ĐL Hai Nhóm - Avermectin (Pet tròn) (nắp trắng)(nước nâu đen) - 450ml - 40")</f>
        <v>LOT IDA Global - I - 885 - ĐL Hai Nhóm - Avermectin (Pet tròn) (nắp trắng)(nước nâu đen) - 450ml - 40</v>
      </c>
    </row>
    <row r="829">
      <c r="A829" s="86">
        <f>IFERROR(__xludf.DUMMYFUNCTION("""COMPUTED_VALUE"""),827.0)</f>
        <v>827</v>
      </c>
      <c r="B829" s="87" t="str">
        <f>IFERROR(__xludf.DUMMYFUNCTION("""COMPUTED_VALUE"""),"Nắp")</f>
        <v>Nắp</v>
      </c>
      <c r="C829" s="87" t="str">
        <f>IFERROR(__xludf.DUMMYFUNCTION("""COMPUTED_VALUE"""),"NAP0161")</f>
        <v>NAP0161</v>
      </c>
      <c r="D829" s="87" t="str">
        <f>IFERROR(__xludf.DUMMYFUNCTION("""COMPUTED_VALUE"""),"Nắp HDPE cổ 32 chai 100ml - Màu Trắng")</f>
        <v>Nắp HDPE cổ 32 chai 100ml - Màu Trắng</v>
      </c>
      <c r="E829" s="87" t="str">
        <f>IFERROR(__xludf.DUMMYFUNCTION("""COMPUTED_VALUE"""),"Chitin 3.6EC")</f>
        <v>Chitin 3.6EC</v>
      </c>
      <c r="F829" s="87" t="str">
        <f>IFERROR(__xludf.DUMMYFUNCTION("""COMPUTED_VALUE"""),"HH0161")</f>
        <v>HH0161</v>
      </c>
      <c r="G829" s="87" t="str">
        <f>IFERROR(__xludf.DUMMYFUNCTION("""COMPUTED_VALUE"""),"LOT IDA Global - I - 885 - ĐL Hai Nhóm - Avermectin (Pet tròn) (nắp trắng)(nước nâu đen) - 450ml - 40")</f>
        <v>LOT IDA Global - I - 885 - ĐL Hai Nhóm - Avermectin (Pet tròn) (nắp trắng)(nước nâu đen) - 450ml - 40</v>
      </c>
    </row>
    <row r="830">
      <c r="A830" s="86">
        <f>IFERROR(__xludf.DUMMYFUNCTION("""COMPUTED_VALUE"""),828.0)</f>
        <v>828</v>
      </c>
      <c r="B830" s="87" t="str">
        <f>IFERROR(__xludf.DUMMYFUNCTION("""COMPUTED_VALUE"""),"Chai")</f>
        <v>Chai</v>
      </c>
      <c r="C830" s="87" t="str">
        <f>IFERROR(__xludf.DUMMYFUNCTION("""COMPUTED_VALUE"""),"CHT0239")</f>
        <v>CHT0239</v>
      </c>
      <c r="D830" s="87" t="str">
        <f>IFERROR(__xludf.DUMMYFUNCTION("""COMPUTED_VALUE"""),"Chai HDPE tròn cổ 50 1.3 Lít, vai vuông  (130g) Gruratee  - Trắng")</f>
        <v>Chai HDPE tròn cổ 50 1.3 Lít, vai vuông  (130g) Gruratee  - Trắng</v>
      </c>
      <c r="E830" s="87" t="str">
        <f>IFERROR(__xludf.DUMMYFUNCTION("""COMPUTED_VALUE"""),"IMIPRID 10WP")</f>
        <v>IMIPRID 10WP</v>
      </c>
      <c r="F830" s="87" t="str">
        <f>IFERROR(__xludf.DUMMYFUNCTION("""COMPUTED_VALUE"""),"HH0239")</f>
        <v>HH0239</v>
      </c>
      <c r="G830" s="87" t="str">
        <f>IFERROR(__xludf.DUMMYFUNCTION("""COMPUTED_VALUE"""),"GC - IV - 887 - Huy Phát - IMI Pro Max - 100gr - 150")</f>
        <v>GC - IV - 887 - Huy Phát - IMI Pro Max - 100gr - 150</v>
      </c>
    </row>
    <row r="831">
      <c r="A831" s="86">
        <f>IFERROR(__xludf.DUMMYFUNCTION("""COMPUTED_VALUE"""),829.0)</f>
        <v>829</v>
      </c>
      <c r="B831" s="87" t="str">
        <f>IFERROR(__xludf.DUMMYFUNCTION("""COMPUTED_VALUE"""),"Cóc")</f>
        <v>Cóc</v>
      </c>
      <c r="C831" s="87" t="str">
        <f>IFERROR(__xludf.DUMMYFUNCTION("""COMPUTED_VALUE"""),"COC0011")</f>
        <v>COC0011</v>
      </c>
      <c r="D831" s="87" t="str">
        <f>IFERROR(__xludf.DUMMYFUNCTION("""COMPUTED_VALUE"""),"Cốc đong cổ 43 100ml - Trắng trong")</f>
        <v>Cốc đong cổ 43 100ml - Trắng trong</v>
      </c>
      <c r="E831" s="87" t="str">
        <f>IFERROR(__xludf.DUMMYFUNCTION("""COMPUTED_VALUE"""),"IMIPRID 10WP")</f>
        <v>IMIPRID 10WP</v>
      </c>
      <c r="F831" s="87" t="str">
        <f>IFERROR(__xludf.DUMMYFUNCTION("""COMPUTED_VALUE"""),"HH0011")</f>
        <v>HH0011</v>
      </c>
      <c r="G831" s="87" t="str">
        <f>IFERROR(__xludf.DUMMYFUNCTION("""COMPUTED_VALUE"""),"GC - IV - 887.1 - Huy Phát - IMI Pro Max (Bột trắng) - 100gr - 100")</f>
        <v>GC - IV - 887.1 - Huy Phát - IMI Pro Max (Bột trắng) - 100gr - 100</v>
      </c>
    </row>
    <row r="832">
      <c r="A832" s="86">
        <f>IFERROR(__xludf.DUMMYFUNCTION("""COMPUTED_VALUE"""),830.0)</f>
        <v>830</v>
      </c>
      <c r="B832" s="87" t="str">
        <f>IFERROR(__xludf.DUMMYFUNCTION("""COMPUTED_VALUE"""),"Nắp")</f>
        <v>Nắp</v>
      </c>
      <c r="C832" s="87" t="str">
        <f>IFERROR(__xludf.DUMMYFUNCTION("""COMPUTED_VALUE"""),"NAP0162")</f>
        <v>NAP0162</v>
      </c>
      <c r="D832" s="87" t="str">
        <f>IFERROR(__xludf.DUMMYFUNCTION("""COMPUTED_VALUE"""),"Nắp PET cổ 33 (7.5g) - Màu Trắng")</f>
        <v>Nắp PET cổ 33 (7.5g) - Màu Trắng</v>
      </c>
      <c r="E832" s="87" t="str">
        <f>IFERROR(__xludf.DUMMYFUNCTION("""COMPUTED_VALUE"""),"IMIPRID 10WP")</f>
        <v>IMIPRID 10WP</v>
      </c>
      <c r="F832" s="87" t="str">
        <f>IFERROR(__xludf.DUMMYFUNCTION("""COMPUTED_VALUE"""),"HH0162")</f>
        <v>HH0162</v>
      </c>
      <c r="G832" s="87" t="str">
        <f>IFERROR(__xludf.DUMMYFUNCTION("""COMPUTED_VALUE"""),"GC - IV - 888 - Huy Phát - BI Pro Max - 100gr - 150")</f>
        <v>GC - IV - 888 - Huy Phát - BI Pro Max - 100gr - 150</v>
      </c>
    </row>
    <row r="833">
      <c r="A833" s="86">
        <f>IFERROR(__xludf.DUMMYFUNCTION("""COMPUTED_VALUE"""),831.0)</f>
        <v>831</v>
      </c>
      <c r="B833" s="87" t="str">
        <f>IFERROR(__xludf.DUMMYFUNCTION("""COMPUTED_VALUE"""),"Nắp")</f>
        <v>Nắp</v>
      </c>
      <c r="C833" s="87" t="str">
        <f>IFERROR(__xludf.DUMMYFUNCTION("""COMPUTED_VALUE"""),"NAP0163")</f>
        <v>NAP0163</v>
      </c>
      <c r="D833" s="87" t="str">
        <f>IFERROR(__xludf.DUMMYFUNCTION("""COMPUTED_VALUE"""),"Nắp PET cổ 44 (9g) - Trắng")</f>
        <v>Nắp PET cổ 44 (9g) - Trắng</v>
      </c>
      <c r="E833" s="87" t="str">
        <f>IFERROR(__xludf.DUMMYFUNCTION("""COMPUTED_VALUE"""),"IMIPRID 10WP")</f>
        <v>IMIPRID 10WP</v>
      </c>
      <c r="F833" s="87" t="str">
        <f>IFERROR(__xludf.DUMMYFUNCTION("""COMPUTED_VALUE"""),"HH0163")</f>
        <v>HH0163</v>
      </c>
      <c r="G833" s="87" t="str">
        <f>IFERROR(__xludf.DUMMYFUNCTION("""COMPUTED_VALUE"""),"GC - IV - 888.1 - Huy Phát - BI Pro Max (Bột trắng) - 100gr - 100")</f>
        <v>GC - IV - 888.1 - Huy Phát - BI Pro Max (Bột trắng) - 100gr - 100</v>
      </c>
    </row>
    <row r="834">
      <c r="A834" s="86">
        <f>IFERROR(__xludf.DUMMYFUNCTION("""COMPUTED_VALUE"""),832.0)</f>
        <v>832</v>
      </c>
      <c r="B834" s="87" t="str">
        <f>IFERROR(__xludf.DUMMYFUNCTION("""COMPUTED_VALUE"""),"Nắp")</f>
        <v>Nắp</v>
      </c>
      <c r="C834" s="87" t="str">
        <f>IFERROR(__xludf.DUMMYFUNCTION("""COMPUTED_VALUE"""),"NAP0164")</f>
        <v>NAP0164</v>
      </c>
      <c r="D834" s="87" t="str">
        <f>IFERROR(__xludf.DUMMYFUNCTION("""COMPUTED_VALUE"""),"Nắp HDPE cổ 39 can 5L - Trắng")</f>
        <v>Nắp HDPE cổ 39 can 5L - Trắng</v>
      </c>
      <c r="E834" s="87" t="str">
        <f>IFERROR(__xludf.DUMMYFUNCTION("""COMPUTED_VALUE"""),"Chitin 3.6EC")</f>
        <v>Chitin 3.6EC</v>
      </c>
      <c r="F834" s="87" t="str">
        <f>IFERROR(__xludf.DUMMYFUNCTION("""COMPUTED_VALUE"""),"HH0164")</f>
        <v>HH0164</v>
      </c>
      <c r="G834" s="87" t="str">
        <f>IFERROR(__xludf.DUMMYFUNCTION("""COMPUTED_VALUE"""),"LOT IDA Global - I - 890 - ĐL Năm Long - Abamectin 3.6 (Pet vuông) (nắp vàng)(nước nâu đen) - 450ml - 40")</f>
        <v>LOT IDA Global - I - 890 - ĐL Năm Long - Abamectin 3.6 (Pet vuông) (nắp vàng)(nước nâu đen) - 450ml - 40</v>
      </c>
    </row>
    <row r="835">
      <c r="A835" s="86" t="str">
        <f>IFERROR(__xludf.DUMMYFUNCTION("""COMPUTED_VALUE"""),"")</f>
        <v/>
      </c>
      <c r="B835" s="87"/>
      <c r="C835" s="87" t="str">
        <f>IFERROR(__xludf.DUMMYFUNCTION("""COMPUTED_VALUE"""),"CAN0033")</f>
        <v>CAN0033</v>
      </c>
      <c r="D835" s="87" t="str">
        <f>IFERROR(__xludf.DUMMYFUNCTION("""COMPUTED_VALUE"""),"Can vuông HDPE 5L dẹp - Trắng sữa (NM CAN006)")</f>
        <v>Can vuông HDPE 5L dẹp - Trắng sữa (NM CAN006)</v>
      </c>
      <c r="E835" s="87" t="str">
        <f>IFERROR(__xludf.DUMMYFUNCTION("""COMPUTED_VALUE"""),"Chitin 3.6EC")</f>
        <v>Chitin 3.6EC</v>
      </c>
      <c r="F835" s="87" t="str">
        <f>IFERROR(__xludf.DUMMYFUNCTION("""COMPUTED_VALUE"""),"HH0033")</f>
        <v>HH0033</v>
      </c>
      <c r="G835" s="87" t="str">
        <f>IFERROR(__xludf.DUMMYFUNCTION("""COMPUTED_VALUE"""),"LOT IDA Global - I - 890 - ĐL Năm Long - Abamectin 3.6 (Pet vuông) (nắp vàng)(nước nâu đen) - 450ml - 40")</f>
        <v>LOT IDA Global - I - 890 - ĐL Năm Long - Abamectin 3.6 (Pet vuông) (nắp vàng)(nước nâu đen) - 450ml - 40</v>
      </c>
    </row>
    <row r="836">
      <c r="A836" s="86">
        <f>IFERROR(__xludf.DUMMYFUNCTION("""COMPUTED_VALUE"""),834.0)</f>
        <v>834</v>
      </c>
      <c r="B836" s="87" t="str">
        <f>IFERROR(__xludf.DUMMYFUNCTION("""COMPUTED_VALUE"""),"Chai")</f>
        <v>Chai</v>
      </c>
      <c r="C836" s="87" t="str">
        <f>IFERROR(__xludf.DUMMYFUNCTION("""COMPUTED_VALUE"""),"CPT0240")</f>
        <v>CPT0240</v>
      </c>
      <c r="D836" s="87" t="str">
        <f>IFERROR(__xludf.DUMMYFUNCTION("""COMPUTED_VALUE"""),"Chai PET tròn 500ml cổ 38 (64g) - Màu xanh Tiffany")</f>
        <v>Chai PET tròn 500ml cổ 38 (64g) - Màu xanh Tiffany</v>
      </c>
      <c r="E836" s="87" t="str">
        <f>IFERROR(__xludf.DUMMYFUNCTION("""COMPUTED_VALUE"""),"Chitin 3.6EC")</f>
        <v>Chitin 3.6EC</v>
      </c>
      <c r="F836" s="87" t="str">
        <f>IFERROR(__xludf.DUMMYFUNCTION("""COMPUTED_VALUE"""),"HH0240")</f>
        <v>HH0240</v>
      </c>
      <c r="G836" s="87" t="str">
        <f>IFERROR(__xludf.DUMMYFUNCTION("""COMPUTED_VALUE"""),"LOT IDA Global - I - 891 - ĐL Hoàng Ngọc - Avermectin 36 (Pet vuông) (nắp vàng)(nước nâu đen) - 450ml - 40")</f>
        <v>LOT IDA Global - I - 891 - ĐL Hoàng Ngọc - Avermectin 36 (Pet vuông) (nắp vàng)(nước nâu đen) - 450ml - 40</v>
      </c>
    </row>
    <row r="837">
      <c r="A837" s="86">
        <f>IFERROR(__xludf.DUMMYFUNCTION("""COMPUTED_VALUE"""),835.0)</f>
        <v>835</v>
      </c>
      <c r="B837" s="87" t="str">
        <f>IFERROR(__xludf.DUMMYFUNCTION("""COMPUTED_VALUE"""),"Chai")</f>
        <v>Chai</v>
      </c>
      <c r="C837" s="87" t="str">
        <f>IFERROR(__xludf.DUMMYFUNCTION("""COMPUTED_VALUE"""),"CPT0241")</f>
        <v>CPT0241</v>
      </c>
      <c r="D837" s="87" t="str">
        <f>IFERROR(__xludf.DUMMYFUNCTION("""COMPUTED_VALUE"""),"Chai PET tròn 500ml cổ 38 (64g) - Màu vàng")</f>
        <v>Chai PET tròn 500ml cổ 38 (64g) - Màu vàng</v>
      </c>
      <c r="E837" s="87" t="str">
        <f>IFERROR(__xludf.DUMMYFUNCTION("""COMPUTED_VALUE"""),"Chitin 3.6EC")</f>
        <v>Chitin 3.6EC</v>
      </c>
      <c r="F837" s="87" t="str">
        <f>IFERROR(__xludf.DUMMYFUNCTION("""COMPUTED_VALUE"""),"HH0241")</f>
        <v>HH0241</v>
      </c>
      <c r="G837" s="87" t="str">
        <f>IFERROR(__xludf.DUMMYFUNCTION("""COMPUTED_VALUE"""),"LOT IDA Global - I - 891 - ĐL Hoàng Ngọc - Avermectin 36 (Pet vuông) (nắp vàng)(nước nâu đen) - 450ml - 40")</f>
        <v>LOT IDA Global - I - 891 - ĐL Hoàng Ngọc - Avermectin 36 (Pet vuông) (nắp vàng)(nước nâu đen) - 450ml - 40</v>
      </c>
    </row>
    <row r="838">
      <c r="A838" s="86">
        <f>IFERROR(__xludf.DUMMYFUNCTION("""COMPUTED_VALUE"""),836.0)</f>
        <v>836</v>
      </c>
      <c r="B838" s="87" t="str">
        <f>IFERROR(__xludf.DUMMYFUNCTION("""COMPUTED_VALUE"""),"Nắp")</f>
        <v>Nắp</v>
      </c>
      <c r="C838" s="87" t="str">
        <f>IFERROR(__xludf.DUMMYFUNCTION("""COMPUTED_VALUE"""),"NAP0165")</f>
        <v>NAP0165</v>
      </c>
      <c r="D838" s="87" t="str">
        <f>IFERROR(__xludf.DUMMYFUNCTION("""COMPUTED_VALUE"""),"Nắp HDPE tròn cổ 43, vân tròn trên nắp - Trắng")</f>
        <v>Nắp HDPE tròn cổ 43, vân tròn trên nắp - Trắng</v>
      </c>
      <c r="E838" s="87" t="str">
        <f>IFERROR(__xludf.DUMMYFUNCTION("""COMPUTED_VALUE"""),"SHA CHONG JING 95WP")</f>
        <v>SHA CHONG JING 95WP</v>
      </c>
      <c r="F838" s="87" t="str">
        <f>IFERROR(__xludf.DUMMYFUNCTION("""COMPUTED_VALUE"""),"HH0165")</f>
        <v>HH0165</v>
      </c>
      <c r="G838" s="87" t="str">
        <f>IFERROR(__xludf.DUMMYFUNCTION("""COMPUTED_VALUE"""),"GC - IV - 892 - Thái Hoàng - Én Đỏ (Nhãn Trục) - 60gr - 200")</f>
        <v>GC - IV - 892 - Thái Hoàng - Én Đỏ (Nhãn Trục) - 60gr - 200</v>
      </c>
    </row>
    <row r="839">
      <c r="A839" s="86">
        <f>IFERROR(__xludf.DUMMYFUNCTION("""COMPUTED_VALUE"""),837.0)</f>
        <v>837</v>
      </c>
      <c r="B839" s="87" t="str">
        <f>IFERROR(__xludf.DUMMYFUNCTION("""COMPUTED_VALUE"""),"Nắp")</f>
        <v>Nắp</v>
      </c>
      <c r="C839" s="87" t="str">
        <f>IFERROR(__xludf.DUMMYFUNCTION("""COMPUTED_VALUE"""),"NAP0166")</f>
        <v>NAP0166</v>
      </c>
      <c r="D839" s="87" t="str">
        <f>IFERROR(__xludf.DUMMYFUNCTION("""COMPUTED_VALUE"""),"Nắp PET cổ 44 (9g) - Vàng")</f>
        <v>Nắp PET cổ 44 (9g) - Vàng</v>
      </c>
      <c r="E839" s="87" t="str">
        <f>IFERROR(__xludf.DUMMYFUNCTION("""COMPUTED_VALUE"""),"SHA CHONG JING 95WP")</f>
        <v>SHA CHONG JING 95WP</v>
      </c>
      <c r="F839" s="87" t="str">
        <f>IFERROR(__xludf.DUMMYFUNCTION("""COMPUTED_VALUE"""),"HH0166")</f>
        <v>HH0166</v>
      </c>
      <c r="G839" s="87" t="str">
        <f>IFERROR(__xludf.DUMMYFUNCTION("""COMPUTED_VALUE"""),"GC - IV - 893 - Thái Hoàng - Đầu Gà (Nhãn Trục) - 80gr - 150")</f>
        <v>GC - IV - 893 - Thái Hoàng - Đầu Gà (Nhãn Trục) - 80gr - 150</v>
      </c>
    </row>
    <row r="840">
      <c r="A840" s="86">
        <f>IFERROR(__xludf.DUMMYFUNCTION("""COMPUTED_VALUE"""),838.0)</f>
        <v>838</v>
      </c>
      <c r="B840" s="87" t="str">
        <f>IFERROR(__xludf.DUMMYFUNCTION("""COMPUTED_VALUE"""),"Chai")</f>
        <v>Chai</v>
      </c>
      <c r="C840" s="87" t="str">
        <f>IFERROR(__xludf.DUMMYFUNCTION("""COMPUTED_VALUE"""),"CPT0242")</f>
        <v>CPT0242</v>
      </c>
      <c r="D840" s="87" t="str">
        <f>IFERROR(__xludf.DUMMYFUNCTION("""COMPUTED_VALUE"""),"Chai PET 500ml cổ 45 69g Tròn Hai Gờ - Trắng")</f>
        <v>Chai PET 500ml cổ 45 69g Tròn Hai Gờ - Trắng</v>
      </c>
      <c r="E840" s="87" t="str">
        <f>IFERROR(__xludf.DUMMYFUNCTION("""COMPUTED_VALUE"""),"BYPHAN 800WP")</f>
        <v>BYPHAN 800WP</v>
      </c>
      <c r="F840" s="87" t="str">
        <f>IFERROR(__xludf.DUMMYFUNCTION("""COMPUTED_VALUE"""),"HH0242")</f>
        <v>HH0242</v>
      </c>
      <c r="G840" s="87" t="str">
        <f>IFERROR(__xludf.DUMMYFUNCTION("""COMPUTED_VALUE"""),"GC - IV - 894 - A Thời GNH- Manco Yellow (túi nhôm)(bột vàng) - 1 Kg - 20")</f>
        <v>GC - IV - 894 - A Thời GNH- Manco Yellow (túi nhôm)(bột vàng) - 1 Kg - 20</v>
      </c>
    </row>
    <row r="841">
      <c r="A841" s="86">
        <f>IFERROR(__xludf.DUMMYFUNCTION("""COMPUTED_VALUE"""),839.0)</f>
        <v>839</v>
      </c>
      <c r="B841" s="87" t="str">
        <f>IFERROR(__xludf.DUMMYFUNCTION("""COMPUTED_VALUE"""),"Nắp")</f>
        <v>Nắp</v>
      </c>
      <c r="C841" s="87" t="str">
        <f>IFERROR(__xludf.DUMMYFUNCTION("""COMPUTED_VALUE"""),"NAP0167")</f>
        <v>NAP0167</v>
      </c>
      <c r="D841" s="87" t="str">
        <f>IFERROR(__xludf.DUMMYFUNCTION("""COMPUTED_VALUE"""),"Nắp PET cổ 45 - Màu trắng")</f>
        <v>Nắp PET cổ 45 - Màu trắng</v>
      </c>
      <c r="E841" s="87" t="str">
        <f>IFERROR(__xludf.DUMMYFUNCTION("""COMPUTED_VALUE"""),"BYPHAN 800WP")</f>
        <v>BYPHAN 800WP</v>
      </c>
      <c r="F841" s="87" t="str">
        <f>IFERROR(__xludf.DUMMYFUNCTION("""COMPUTED_VALUE"""),"HH0167")</f>
        <v>HH0167</v>
      </c>
      <c r="G841" s="87" t="str">
        <f>IFERROR(__xludf.DUMMYFUNCTION("""COMPUTED_VALUE"""),"GC - IV - 895 - Manco Green (túi nhôm)(bột xanh) - 1 Kg - 20")</f>
        <v>GC - IV - 895 - Manco Green (túi nhôm)(bột xanh) - 1 Kg - 20</v>
      </c>
    </row>
    <row r="842">
      <c r="A842" s="86">
        <f>IFERROR(__xludf.DUMMYFUNCTION("""COMPUTED_VALUE"""),840.0)</f>
        <v>840</v>
      </c>
      <c r="B842" s="87" t="str">
        <f>IFERROR(__xludf.DUMMYFUNCTION("""COMPUTED_VALUE"""),"Nắp")</f>
        <v>Nắp</v>
      </c>
      <c r="C842" s="87" t="str">
        <f>IFERROR(__xludf.DUMMYFUNCTION("""COMPUTED_VALUE"""),"NAP0168")</f>
        <v>NAP0168</v>
      </c>
      <c r="D842" s="87" t="str">
        <f>IFERROR(__xludf.DUMMYFUNCTION("""COMPUTED_VALUE"""),"Nắp PET cổ 38 (7.5g) - Màu bạc")</f>
        <v>Nắp PET cổ 38 (7.5g) - Màu bạc</v>
      </c>
      <c r="E842" s="87" t="str">
        <f>IFERROR(__xludf.DUMMYFUNCTION("""COMPUTED_VALUE"""),"Chitin 3.6EC")</f>
        <v>Chitin 3.6EC</v>
      </c>
      <c r="F842" s="87" t="str">
        <f>IFERROR(__xludf.DUMMYFUNCTION("""COMPUTED_VALUE"""),"HH0168")</f>
        <v>HH0168</v>
      </c>
      <c r="G842" s="87" t="str">
        <f>IFERROR(__xludf.DUMMYFUNCTION("""COMPUTED_VALUE"""),"LOT IDA Global - I - 896 - ĐL Mỹ Xuyên - Thần Hổ 4.0 (Pet tròn) (nắp trắng)(nước nâu đen) - 450ml - 40")</f>
        <v>LOT IDA Global - I - 896 - ĐL Mỹ Xuyên - Thần Hổ 4.0 (Pet tròn) (nắp trắng)(nước nâu đen) - 450ml - 40</v>
      </c>
    </row>
    <row r="843">
      <c r="A843" s="86">
        <f>IFERROR(__xludf.DUMMYFUNCTION("""COMPUTED_VALUE"""),841.0)</f>
        <v>841</v>
      </c>
      <c r="B843" s="87" t="str">
        <f>IFERROR(__xludf.DUMMYFUNCTION("""COMPUTED_VALUE"""),"Chai")</f>
        <v>Chai</v>
      </c>
      <c r="C843" s="87" t="str">
        <f>IFERROR(__xludf.DUMMYFUNCTION("""COMPUTED_VALUE"""),"CPT0243")</f>
        <v>CPT0243</v>
      </c>
      <c r="D843" s="87" t="str">
        <f>IFERROR(__xludf.DUMMYFUNCTION("""COMPUTED_VALUE"""),"Chai PET tròn 600ml cổ 44 (70gr) -  Trắng")</f>
        <v>Chai PET tròn 600ml cổ 44 (70gr) -  Trắng</v>
      </c>
      <c r="E843" s="87" t="str">
        <f>IFERROR(__xludf.DUMMYFUNCTION("""COMPUTED_VALUE"""),"Chitin 3.6EC")</f>
        <v>Chitin 3.6EC</v>
      </c>
      <c r="F843" s="87" t="str">
        <f>IFERROR(__xludf.DUMMYFUNCTION("""COMPUTED_VALUE"""),"HH0243")</f>
        <v>HH0243</v>
      </c>
      <c r="G843" s="87" t="str">
        <f>IFERROR(__xludf.DUMMYFUNCTION("""COMPUTED_VALUE"""),"LOT IDA Global - I - 896 - ĐL Mỹ Xuyên - Thần Hổ 4.0 (Pet tròn) (nắp trắng)(nước nâu đen) - 450ml - 40")</f>
        <v>LOT IDA Global - I - 896 - ĐL Mỹ Xuyên - Thần Hổ 4.0 (Pet tròn) (nắp trắng)(nước nâu đen) - 450ml - 40</v>
      </c>
    </row>
    <row r="844">
      <c r="A844" s="86">
        <f>IFERROR(__xludf.DUMMYFUNCTION("""COMPUTED_VALUE"""),842.0)</f>
        <v>842</v>
      </c>
      <c r="B844" s="87" t="str">
        <f>IFERROR(__xludf.DUMMYFUNCTION("""COMPUTED_VALUE"""),"Chai")</f>
        <v>Chai</v>
      </c>
      <c r="C844" s="87" t="str">
        <f>IFERROR(__xludf.DUMMYFUNCTION("""COMPUTED_VALUE"""),"CPV0244")</f>
        <v>CPV0244</v>
      </c>
      <c r="D844" s="87" t="str">
        <f>IFERROR(__xludf.DUMMYFUNCTION("""COMPUTED_VALUE"""),"Chai PET vuông 500ml cổ cao 35 (60g) - Trắng sữa")</f>
        <v>Chai PET vuông 500ml cổ cao 35 (60g) - Trắng sữa</v>
      </c>
      <c r="E844" s="87" t="str">
        <f>IFERROR(__xludf.DUMMYFUNCTION("""COMPUTED_VALUE"""),"HAIHAMEC 3.6EC")</f>
        <v>HAIHAMEC 3.6EC</v>
      </c>
      <c r="F844" s="87" t="str">
        <f>IFERROR(__xludf.DUMMYFUNCTION("""COMPUTED_VALUE"""),"HH0244")</f>
        <v>HH0244</v>
      </c>
      <c r="G844" s="87" t="str">
        <f>IFERROR(__xludf.DUMMYFUNCTION("""COMPUTED_VALUE"""),"LOT IDA Global - I - 898 - ĐL Thanh Thảo - Avermetic 36 (Pet tròn) (nắp vàng)(nước nâu đen) - 450ml - 40")</f>
        <v>LOT IDA Global - I - 898 - ĐL Thanh Thảo - Avermetic 36 (Pet tròn) (nắp vàng)(nước nâu đen) - 450ml - 40</v>
      </c>
    </row>
    <row r="845">
      <c r="A845" s="86">
        <f>IFERROR(__xludf.DUMMYFUNCTION("""COMPUTED_VALUE"""),843.0)</f>
        <v>843</v>
      </c>
      <c r="B845" s="87" t="str">
        <f>IFERROR(__xludf.DUMMYFUNCTION("""COMPUTED_VALUE"""),"Nắp")</f>
        <v>Nắp</v>
      </c>
      <c r="C845" s="87" t="str">
        <f>IFERROR(__xludf.DUMMYFUNCTION("""COMPUTED_VALUE"""),"NAP0169")</f>
        <v>NAP0169</v>
      </c>
      <c r="D845" s="87" t="str">
        <f>IFERROR(__xludf.DUMMYFUNCTION("""COMPUTED_VALUE"""),"Nắp PET cổ 35 (5gr) - Trắng")</f>
        <v>Nắp PET cổ 35 (5gr) - Trắng</v>
      </c>
      <c r="E845" s="87" t="str">
        <f>IFERROR(__xludf.DUMMYFUNCTION("""COMPUTED_VALUE"""),"HAIHAMEC 3.6EC")</f>
        <v>HAIHAMEC 3.6EC</v>
      </c>
      <c r="F845" s="87" t="str">
        <f>IFERROR(__xludf.DUMMYFUNCTION("""COMPUTED_VALUE"""),"HH0169")</f>
        <v>HH0169</v>
      </c>
      <c r="G845" s="87" t="str">
        <f>IFERROR(__xludf.DUMMYFUNCTION("""COMPUTED_VALUE"""),"LOT IDA Global - I - 898 - ĐL Thanh Thảo - Avermetic 36 (Pet tròn) (nắp vàng)(nước nâu đen) - 450ml - 40")</f>
        <v>LOT IDA Global - I - 898 - ĐL Thanh Thảo - Avermetic 36 (Pet tròn) (nắp vàng)(nước nâu đen) - 450ml - 40</v>
      </c>
    </row>
    <row r="846">
      <c r="A846" s="86">
        <f>IFERROR(__xludf.DUMMYFUNCTION("""COMPUTED_VALUE"""),844.0)</f>
        <v>844</v>
      </c>
      <c r="B846" s="87" t="str">
        <f>IFERROR(__xludf.DUMMYFUNCTION("""COMPUTED_VALUE"""),"Chai")</f>
        <v>Chai</v>
      </c>
      <c r="C846" s="87" t="str">
        <f>IFERROR(__xludf.DUMMYFUNCTION("""COMPUTED_VALUE"""),"CPT0245")</f>
        <v>CPT0245</v>
      </c>
      <c r="D846" s="87" t="str">
        <f>IFERROR(__xludf.DUMMYFUNCTION("""COMPUTED_VALUE"""),"Chai PET tròn cổ 38 (63.2gr) 500ml - Trắng")</f>
        <v>Chai PET tròn cổ 38 (63.2gr) 500ml - Trắng</v>
      </c>
      <c r="E846" s="87" t="str">
        <f>IFERROR(__xludf.DUMMYFUNCTION("""COMPUTED_VALUE"""),"BYPHAN 800WP")</f>
        <v>BYPHAN 800WP</v>
      </c>
      <c r="F846" s="87" t="str">
        <f>IFERROR(__xludf.DUMMYFUNCTION("""COMPUTED_VALUE"""),"HH0245")</f>
        <v>HH0245</v>
      </c>
      <c r="G846" s="87" t="str">
        <f>IFERROR(__xludf.DUMMYFUNCTION("""COMPUTED_VALUE"""),"LOT IDA Global - I - 899 - ĐL Bảy Hiền - Manco xanh (bột xanh)(túi nhôm)- 1 Kg - 20")</f>
        <v>LOT IDA Global - I - 899 - ĐL Bảy Hiền - Manco xanh (bột xanh)(túi nhôm)- 1 Kg - 20</v>
      </c>
    </row>
    <row r="847">
      <c r="A847" s="86">
        <f>IFERROR(__xludf.DUMMYFUNCTION("""COMPUTED_VALUE"""),845.0)</f>
        <v>845</v>
      </c>
      <c r="B847" s="87" t="str">
        <f>IFERROR(__xludf.DUMMYFUNCTION("""COMPUTED_VALUE"""),"Nắp")</f>
        <v>Nắp</v>
      </c>
      <c r="C847" s="87" t="str">
        <f>IFERROR(__xludf.DUMMYFUNCTION("""COMPUTED_VALUE"""),"NAP0170")</f>
        <v>NAP0170</v>
      </c>
      <c r="D847" s="87" t="str">
        <f>IFERROR(__xludf.DUMMYFUNCTION("""COMPUTED_VALUE"""),"Nắp PET cổ 38 (8.1gr) gầy - Trắng")</f>
        <v>Nắp PET cổ 38 (8.1gr) gầy - Trắng</v>
      </c>
      <c r="E847" s="87" t="str">
        <f>IFERROR(__xludf.DUMMYFUNCTION("""COMPUTED_VALUE"""),"HAIHAMEC 3.6EC")</f>
        <v>HAIHAMEC 3.6EC</v>
      </c>
      <c r="F847" s="87" t="str">
        <f>IFERROR(__xludf.DUMMYFUNCTION("""COMPUTED_VALUE"""),"HH0170")</f>
        <v>HH0170</v>
      </c>
      <c r="G847" s="87" t="str">
        <f>IFERROR(__xludf.DUMMYFUNCTION("""COMPUTED_VALUE"""),"GC - IV - 900 - Tago - Bọ cạp chúa (Pet tròn) (nước nâu đen) - 450ml - 40")</f>
        <v>GC - IV - 900 - Tago - Bọ cạp chúa (Pet tròn) (nước nâu đen) - 450ml - 40</v>
      </c>
    </row>
    <row r="848">
      <c r="A848" s="86">
        <f>IFERROR(__xludf.DUMMYFUNCTION("""COMPUTED_VALUE"""),846.0)</f>
        <v>846</v>
      </c>
      <c r="B848" s="87" t="str">
        <f>IFERROR(__xludf.DUMMYFUNCTION("""COMPUTED_VALUE"""),"Nắp")</f>
        <v>Nắp</v>
      </c>
      <c r="C848" s="87" t="str">
        <f>IFERROR(__xludf.DUMMYFUNCTION("""COMPUTED_VALUE"""),"NAP0171")</f>
        <v>NAP0171</v>
      </c>
      <c r="D848" s="87" t="str">
        <f>IFERROR(__xludf.DUMMYFUNCTION("""COMPUTED_VALUE"""),"Nắp HDPE có bèo cổ 50 (10gr) - Cam")</f>
        <v>Nắp HDPE có bèo cổ 50 (10gr) - Cam</v>
      </c>
      <c r="E848" s="87" t="str">
        <f>IFERROR(__xludf.DUMMYFUNCTION("""COMPUTED_VALUE"""),"HAIHAMEC 3.6EC")</f>
        <v>HAIHAMEC 3.6EC</v>
      </c>
      <c r="F848" s="87" t="str">
        <f>IFERROR(__xludf.DUMMYFUNCTION("""COMPUTED_VALUE"""),"HH0171")</f>
        <v>HH0171</v>
      </c>
      <c r="G848" s="87" t="str">
        <f>IFERROR(__xludf.DUMMYFUNCTION("""COMPUTED_VALUE"""),"GC - IV - 900 - Tago - Bọ cạp chúa (Pet tròn) (nước nâu đen) - 450ml - 40")</f>
        <v>GC - IV - 900 - Tago - Bọ cạp chúa (Pet tròn) (nước nâu đen) - 450ml - 40</v>
      </c>
    </row>
    <row r="849">
      <c r="A849" s="86">
        <f>IFERROR(__xludf.DUMMYFUNCTION("""COMPUTED_VALUE"""),847.0)</f>
        <v>847</v>
      </c>
      <c r="B849" s="87" t="str">
        <f>IFERROR(__xludf.DUMMYFUNCTION("""COMPUTED_VALUE"""),"Chai")</f>
        <v>Chai</v>
      </c>
      <c r="C849" s="87" t="str">
        <f>IFERROR(__xludf.DUMMYFUNCTION("""COMPUTED_VALUE"""),"CPT0246")</f>
        <v>CPT0246</v>
      </c>
      <c r="D849" s="87" t="str">
        <f>IFERROR(__xludf.DUMMYFUNCTION("""COMPUTED_VALUE"""),"Chai PET tròn cổ 38 (28gr) 100ml - Trắng")</f>
        <v>Chai PET tròn cổ 38 (28gr) 100ml - Trắng</v>
      </c>
      <c r="E849" s="87" t="str">
        <f>IFERROR(__xludf.DUMMYFUNCTION("""COMPUTED_VALUE"""),"CHITIN 3.6EC")</f>
        <v>CHITIN 3.6EC</v>
      </c>
      <c r="F849" s="87" t="str">
        <f>IFERROR(__xludf.DUMMYFUNCTION("""COMPUTED_VALUE"""),"HH0246")</f>
        <v>HH0246</v>
      </c>
      <c r="G849" s="87" t="str">
        <f>IFERROR(__xludf.DUMMYFUNCTION("""COMPUTED_VALUE"""),"GC - IV - 901 - AU - Sức mạnh thần sấm (Pet tròn)(nắp vàng)(nước nâu đen) - 450ml - 40")</f>
        <v>GC - IV - 901 - AU - Sức mạnh thần sấm (Pet tròn)(nắp vàng)(nước nâu đen) - 450ml - 40</v>
      </c>
    </row>
    <row r="850">
      <c r="A850" s="86">
        <f>IFERROR(__xludf.DUMMYFUNCTION("""COMPUTED_VALUE"""),848.0)</f>
        <v>848</v>
      </c>
      <c r="B850" s="87" t="str">
        <f>IFERROR(__xludf.DUMMYFUNCTION("""COMPUTED_VALUE"""),"Chai")</f>
        <v>Chai</v>
      </c>
      <c r="C850" s="87" t="str">
        <f>IFERROR(__xludf.DUMMYFUNCTION("""COMPUTED_VALUE"""),"CHT0247")</f>
        <v>CHT0247</v>
      </c>
      <c r="D850" s="87" t="str">
        <f>IFERROR(__xludf.DUMMYFUNCTION("""COMPUTED_VALUE"""),"Chai HDPE tròn cổ 49 có granty logo ABA 500ml (65gr) - Trắng")</f>
        <v>Chai HDPE tròn cổ 49 có granty logo ABA 500ml (65gr) - Trắng</v>
      </c>
      <c r="E850" s="87" t="str">
        <f>IFERROR(__xludf.DUMMYFUNCTION("""COMPUTED_VALUE"""),"CHITIN 3.6EC")</f>
        <v>CHITIN 3.6EC</v>
      </c>
      <c r="F850" s="87" t="str">
        <f>IFERROR(__xludf.DUMMYFUNCTION("""COMPUTED_VALUE"""),"HH0247")</f>
        <v>HH0247</v>
      </c>
      <c r="G850" s="87" t="str">
        <f>IFERROR(__xludf.DUMMYFUNCTION("""COMPUTED_VALUE"""),"GC - IV - 901 - AU - Sức mạnh thần sấm (Pet tròn)(nắp vàng)(nước nâu đen) - 450ml - 40")</f>
        <v>GC - IV - 901 - AU - Sức mạnh thần sấm (Pet tròn)(nắp vàng)(nước nâu đen) - 450ml - 40</v>
      </c>
    </row>
    <row r="851">
      <c r="A851" s="86">
        <f>IFERROR(__xludf.DUMMYFUNCTION("""COMPUTED_VALUE"""),849.0)</f>
        <v>849</v>
      </c>
      <c r="B851" s="87" t="str">
        <f>IFERROR(__xludf.DUMMYFUNCTION("""COMPUTED_VALUE"""),"Nắp")</f>
        <v>Nắp</v>
      </c>
      <c r="C851" s="87" t="str">
        <f>IFERROR(__xludf.DUMMYFUNCTION("""COMPUTED_VALUE"""),"NAP0172")</f>
        <v>NAP0172</v>
      </c>
      <c r="D851" s="87" t="str">
        <f>IFERROR(__xludf.DUMMYFUNCTION("""COMPUTED_VALUE"""),"Nắp HDPE có granty cổ 49 500ml (10g) - Trắng")</f>
        <v>Nắp HDPE có granty cổ 49 500ml (10g) - Trắng</v>
      </c>
      <c r="E851" s="87" t="str">
        <f>IFERROR(__xludf.DUMMYFUNCTION("""COMPUTED_VALUE"""),"HAIHAMEC 3.6EC")</f>
        <v>HAIHAMEC 3.6EC</v>
      </c>
      <c r="F851" s="87" t="str">
        <f>IFERROR(__xludf.DUMMYFUNCTION("""COMPUTED_VALUE"""),"HH0172")</f>
        <v>HH0172</v>
      </c>
      <c r="G851" s="87" t="str">
        <f>IFERROR(__xludf.DUMMYFUNCTION("""COMPUTED_VALUE"""),"GC - IV - 902 - AU - Sức Mạnh Avermectin (Pet tròn)(nắp trắng)(nước trong) - 450ml - 40")</f>
        <v>GC - IV - 902 - AU - Sức Mạnh Avermectin (Pet tròn)(nắp trắng)(nước trong) - 450ml - 40</v>
      </c>
    </row>
    <row r="852">
      <c r="A852" s="86">
        <f>IFERROR(__xludf.DUMMYFUNCTION("""COMPUTED_VALUE"""),850.0)</f>
        <v>850</v>
      </c>
      <c r="B852" s="87" t="str">
        <f>IFERROR(__xludf.DUMMYFUNCTION("""COMPUTED_VALUE"""),"Chai")</f>
        <v>Chai</v>
      </c>
      <c r="C852" s="87" t="str">
        <f>IFERROR(__xludf.DUMMYFUNCTION("""COMPUTED_VALUE"""),"CHT0248")</f>
        <v>CHT0248</v>
      </c>
      <c r="D852" s="87" t="str">
        <f>IFERROR(__xludf.DUMMYFUNCTION("""COMPUTED_VALUE"""),"Chai HDPE tròn cổ 49 có granty logo ABA 500ml (65gr) - Xanh lá")</f>
        <v>Chai HDPE tròn cổ 49 có granty logo ABA 500ml (65gr) - Xanh lá</v>
      </c>
      <c r="E852" s="87" t="str">
        <f>IFERROR(__xludf.DUMMYFUNCTION("""COMPUTED_VALUE"""),"HAIHAMEC 3.6EC")</f>
        <v>HAIHAMEC 3.6EC</v>
      </c>
      <c r="F852" s="87" t="str">
        <f>IFERROR(__xludf.DUMMYFUNCTION("""COMPUTED_VALUE"""),"HH0248")</f>
        <v>HH0248</v>
      </c>
      <c r="G852" s="87" t="str">
        <f>IFERROR(__xludf.DUMMYFUNCTION("""COMPUTED_VALUE"""),"GC - IV - 902 - AU - Sức Mạnh Avermectin (Pet tròn)(nắp trắng)(nước trong) - 450ml - 40")</f>
        <v>GC - IV - 902 - AU - Sức Mạnh Avermectin (Pet tròn)(nắp trắng)(nước trong) - 450ml - 40</v>
      </c>
    </row>
    <row r="853">
      <c r="A853" s="86">
        <f>IFERROR(__xludf.DUMMYFUNCTION("""COMPUTED_VALUE"""),851.0)</f>
        <v>851</v>
      </c>
      <c r="B853" s="87" t="str">
        <f>IFERROR(__xludf.DUMMYFUNCTION("""COMPUTED_VALUE"""),"Nắp")</f>
        <v>Nắp</v>
      </c>
      <c r="C853" s="87" t="str">
        <f>IFERROR(__xludf.DUMMYFUNCTION("""COMPUTED_VALUE"""),"NAP0173")</f>
        <v>NAP0173</v>
      </c>
      <c r="D853" s="87" t="str">
        <f>IFERROR(__xludf.DUMMYFUNCTION("""COMPUTED_VALUE"""),"Nắp HDPE có granty cổ 49 500ml (10g) - Xanh lá")</f>
        <v>Nắp HDPE có granty cổ 49 500ml (10g) - Xanh lá</v>
      </c>
      <c r="E853" s="87" t="str">
        <f>IFERROR(__xludf.DUMMYFUNCTION("""COMPUTED_VALUE"""),"Chitin 3.6EC")</f>
        <v>Chitin 3.6EC</v>
      </c>
      <c r="F853" s="87" t="str">
        <f>IFERROR(__xludf.DUMMYFUNCTION("""COMPUTED_VALUE"""),"HH0173")</f>
        <v>HH0173</v>
      </c>
      <c r="G853" s="87" t="str">
        <f>IFERROR(__xludf.DUMMYFUNCTION("""COMPUTED_VALUE"""),"LOT IDA Global - I - 903 - ĐL Hoàng Em - Thần Hổ (Pet tròn) (nắp đỏ)(nước nâu đen) - 450ml - 40")</f>
        <v>LOT IDA Global - I - 903 - ĐL Hoàng Em - Thần Hổ (Pet tròn) (nắp đỏ)(nước nâu đen) - 450ml - 40</v>
      </c>
    </row>
    <row r="854">
      <c r="A854" s="86">
        <f>IFERROR(__xludf.DUMMYFUNCTION("""COMPUTED_VALUE"""),852.0)</f>
        <v>852</v>
      </c>
      <c r="B854" s="87" t="str">
        <f>IFERROR(__xludf.DUMMYFUNCTION("""COMPUTED_VALUE"""),"Chai")</f>
        <v>Chai</v>
      </c>
      <c r="C854" s="87" t="str">
        <f>IFERROR(__xludf.DUMMYFUNCTION("""COMPUTED_VALUE"""),"CPT0249")</f>
        <v>CPT0249</v>
      </c>
      <c r="D854" s="87" t="str">
        <f>IFERROR(__xludf.DUMMYFUNCTION("""COMPUTED_VALUE"""),"Chai PET tròn 250ml cổ 38 (50gr) - Vàng đồng")</f>
        <v>Chai PET tròn 250ml cổ 38 (50gr) - Vàng đồng</v>
      </c>
      <c r="E854" s="87" t="str">
        <f>IFERROR(__xludf.DUMMYFUNCTION("""COMPUTED_VALUE"""),"Chitin 3.6EC")</f>
        <v>Chitin 3.6EC</v>
      </c>
      <c r="F854" s="87" t="str">
        <f>IFERROR(__xludf.DUMMYFUNCTION("""COMPUTED_VALUE"""),"HH0249")</f>
        <v>HH0249</v>
      </c>
      <c r="G854" s="87" t="str">
        <f>IFERROR(__xludf.DUMMYFUNCTION("""COMPUTED_VALUE"""),"LOT IDA Global - I - 903 - ĐL Hoàng Em - Thần Hổ (Pet tròn) (nắp đỏ)(nước nâu đen) - 450ml - 40")</f>
        <v>LOT IDA Global - I - 903 - ĐL Hoàng Em - Thần Hổ (Pet tròn) (nắp đỏ)(nước nâu đen) - 450ml - 40</v>
      </c>
    </row>
    <row r="855">
      <c r="A855" s="86">
        <f>IFERROR(__xludf.DUMMYFUNCTION("""COMPUTED_VALUE"""),853.0)</f>
        <v>853</v>
      </c>
      <c r="B855" s="87" t="str">
        <f>IFERROR(__xludf.DUMMYFUNCTION("""COMPUTED_VALUE"""),"Nắp")</f>
        <v>Nắp</v>
      </c>
      <c r="C855" s="87" t="str">
        <f>IFERROR(__xludf.DUMMYFUNCTION("""COMPUTED_VALUE"""),"NAP0174")</f>
        <v>NAP0174</v>
      </c>
      <c r="D855" s="87" t="str">
        <f>IFERROR(__xludf.DUMMYFUNCTION("""COMPUTED_VALUE"""),"Nắp PET cổ 38  tai bèo (10gr) - Trắng")</f>
        <v>Nắp PET cổ 38  tai bèo (10gr) - Trắng</v>
      </c>
      <c r="E855" s="87" t="str">
        <f>IFERROR(__xludf.DUMMYFUNCTION("""COMPUTED_VALUE"""),"IMIPRID 10WP")</f>
        <v>IMIPRID 10WP</v>
      </c>
      <c r="F855" s="87" t="str">
        <f>IFERROR(__xludf.DUMMYFUNCTION("""COMPUTED_VALUE"""),"HH0174")</f>
        <v>HH0174</v>
      </c>
      <c r="G855" s="87" t="str">
        <f>IFERROR(__xludf.DUMMYFUNCTION("""COMPUTED_VALUE"""),"GC - IV - 904 - Agriplant - Knock Out Sâu-Rầy (bột trắng)(túi nhôm) - 100gr - 150")</f>
        <v>GC - IV - 904 - Agriplant - Knock Out Sâu-Rầy (bột trắng)(túi nhôm) - 100gr - 150</v>
      </c>
    </row>
    <row r="856">
      <c r="A856" s="86">
        <f>IFERROR(__xludf.DUMMYFUNCTION("""COMPUTED_VALUE"""),854.0)</f>
        <v>854</v>
      </c>
      <c r="B856" s="87" t="str">
        <f>IFERROR(__xludf.DUMMYFUNCTION("""COMPUTED_VALUE"""),"Chai")</f>
        <v>Chai</v>
      </c>
      <c r="C856" s="87" t="str">
        <f>IFERROR(__xludf.DUMMYFUNCTION("""COMPUTED_VALUE"""),"CHT0250")</f>
        <v>CHT0250</v>
      </c>
      <c r="D856" s="87" t="str">
        <f>IFERROR(__xludf.DUMMYFUNCTION("""COMPUTED_VALUE"""),"Chai HDPE tròn cổ 49 có granty logo ABA 500ml (65gr) - Xanh biển")</f>
        <v>Chai HDPE tròn cổ 49 có granty logo ABA 500ml (65gr) - Xanh biển</v>
      </c>
      <c r="E856" s="87" t="str">
        <f>IFERROR(__xludf.DUMMYFUNCTION("""COMPUTED_VALUE"""),"HAIHAMEC 3.6EC")</f>
        <v>HAIHAMEC 3.6EC</v>
      </c>
      <c r="F856" s="87" t="str">
        <f>IFERROR(__xludf.DUMMYFUNCTION("""COMPUTED_VALUE"""),"HH0250")</f>
        <v>HH0250</v>
      </c>
      <c r="G856" s="87" t="str">
        <f>IFERROR(__xludf.DUMMYFUNCTION("""COMPUTED_VALUE"""),"LOT IDA Global - I - 907 - ĐL Nguyễn Đức Minh - Thần Hổ (Pet tròn)(nắp đỏ)(nước nâu đen) - 450ml - 40")</f>
        <v>LOT IDA Global - I - 907 - ĐL Nguyễn Đức Minh - Thần Hổ (Pet tròn)(nắp đỏ)(nước nâu đen) - 450ml - 40</v>
      </c>
    </row>
    <row r="857">
      <c r="A857" s="86">
        <f>IFERROR(__xludf.DUMMYFUNCTION("""COMPUTED_VALUE"""),855.0)</f>
        <v>855</v>
      </c>
      <c r="B857" s="87" t="str">
        <f>IFERROR(__xludf.DUMMYFUNCTION("""COMPUTED_VALUE"""),"Nắp")</f>
        <v>Nắp</v>
      </c>
      <c r="C857" s="87" t="str">
        <f>IFERROR(__xludf.DUMMYFUNCTION("""COMPUTED_VALUE"""),"NAP0175")</f>
        <v>NAP0175</v>
      </c>
      <c r="D857" s="87" t="str">
        <f>IFERROR(__xludf.DUMMYFUNCTION("""COMPUTED_VALUE"""),"Nắp HDPE có granty cổ 49 500ml (10g) - Xanh biển")</f>
        <v>Nắp HDPE có granty cổ 49 500ml (10g) - Xanh biển</v>
      </c>
      <c r="E857" s="87" t="str">
        <f>IFERROR(__xludf.DUMMYFUNCTION("""COMPUTED_VALUE"""),"Chitin 3.6EC")</f>
        <v>Chitin 3.6EC</v>
      </c>
      <c r="F857" s="87" t="str">
        <f>IFERROR(__xludf.DUMMYFUNCTION("""COMPUTED_VALUE"""),"HH0175")</f>
        <v>HH0175</v>
      </c>
      <c r="G857" s="87" t="str">
        <f>IFERROR(__xludf.DUMMYFUNCTION("""COMPUTED_VALUE"""),"LOT IDA Global - I - 908 - ĐL Quốc Thái - Avermectin 36 (Pet vuông) (nắp vàng)(nước nâu đen) - 450ml - 40")</f>
        <v>LOT IDA Global - I - 908 - ĐL Quốc Thái - Avermectin 36 (Pet vuông) (nắp vàng)(nước nâu đen) - 450ml - 40</v>
      </c>
    </row>
    <row r="858">
      <c r="A858" s="86">
        <f>IFERROR(__xludf.DUMMYFUNCTION("""COMPUTED_VALUE"""),856.0)</f>
        <v>856</v>
      </c>
      <c r="B858" s="87" t="str">
        <f>IFERROR(__xludf.DUMMYFUNCTION("""COMPUTED_VALUE"""),"Nắp")</f>
        <v>Nắp</v>
      </c>
      <c r="C858" s="87" t="str">
        <f>IFERROR(__xludf.DUMMYFUNCTION("""COMPUTED_VALUE"""),"NAP0176")</f>
        <v>NAP0176</v>
      </c>
      <c r="D858" s="87" t="str">
        <f>IFERROR(__xludf.DUMMYFUNCTION("""COMPUTED_VALUE"""),"Nắp HDPE cổ 50 gruratee (10gr) - Xanh lá đậm")</f>
        <v>Nắp HDPE cổ 50 gruratee (10gr) - Xanh lá đậm</v>
      </c>
      <c r="E858" s="87" t="str">
        <f>IFERROR(__xludf.DUMMYFUNCTION("""COMPUTED_VALUE"""),"Chitin 3.6EC")</f>
        <v>Chitin 3.6EC</v>
      </c>
      <c r="F858" s="87" t="str">
        <f>IFERROR(__xludf.DUMMYFUNCTION("""COMPUTED_VALUE"""),"HH0176")</f>
        <v>HH0176</v>
      </c>
      <c r="G858" s="87" t="str">
        <f>IFERROR(__xludf.DUMMYFUNCTION("""COMPUTED_VALUE"""),"LOT IDA Global - I - 908 - ĐL Quốc Thái - Avermectin 36 (Pet vuông) (nắp vàng)(nước nâu đen) - 450ml - 40")</f>
        <v>LOT IDA Global - I - 908 - ĐL Quốc Thái - Avermectin 36 (Pet vuông) (nắp vàng)(nước nâu đen) - 450ml - 40</v>
      </c>
    </row>
    <row r="859">
      <c r="A859" s="86">
        <f>IFERROR(__xludf.DUMMYFUNCTION("""COMPUTED_VALUE"""),857.0)</f>
        <v>857</v>
      </c>
      <c r="B859" s="87" t="str">
        <f>IFERROR(__xludf.DUMMYFUNCTION("""COMPUTED_VALUE"""),"Nắp")</f>
        <v>Nắp</v>
      </c>
      <c r="C859" s="87" t="str">
        <f>IFERROR(__xludf.DUMMYFUNCTION("""COMPUTED_VALUE"""),"NAP0177")</f>
        <v>NAP0177</v>
      </c>
      <c r="D859" s="87" t="str">
        <f>IFERROR(__xludf.DUMMYFUNCTION("""COMPUTED_VALUE"""),"PN- Nắp HDPE cổ 45 (8g) - tím (không ganty)")</f>
        <v>PN- Nắp HDPE cổ 45 (8g) - tím (không ganty)</v>
      </c>
      <c r="E859" s="87" t="str">
        <f>IFERROR(__xludf.DUMMYFUNCTION("""COMPUTED_VALUE"""),"Chitin 3.6EC")</f>
        <v>Chitin 3.6EC</v>
      </c>
      <c r="F859" s="87" t="str">
        <f>IFERROR(__xludf.DUMMYFUNCTION("""COMPUTED_VALUE"""),"HH0177")</f>
        <v>HH0177</v>
      </c>
      <c r="G859" s="87" t="str">
        <f>IFERROR(__xludf.DUMMYFUNCTION("""COMPUTED_VALUE"""),"LOT IDA Global - I - 909 - ĐL Nguyễn Văn Tây - Avermectin 36 (Pet tròn) (nắp đỏ)(nước nâu đen) - 450ml - 40")</f>
        <v>LOT IDA Global - I - 909 - ĐL Nguyễn Văn Tây - Avermectin 36 (Pet tròn) (nắp đỏ)(nước nâu đen) - 450ml - 40</v>
      </c>
    </row>
    <row r="860">
      <c r="A860" s="86">
        <f>IFERROR(__xludf.DUMMYFUNCTION("""COMPUTED_VALUE"""),858.0)</f>
        <v>858</v>
      </c>
      <c r="B860" s="87" t="str">
        <f>IFERROR(__xludf.DUMMYFUNCTION("""COMPUTED_VALUE"""),"Xô")</f>
        <v>Xô</v>
      </c>
      <c r="C860" s="87" t="str">
        <f>IFERROR(__xludf.DUMMYFUNCTION("""COMPUTED_VALUE"""),"XOT0009")</f>
        <v>XOT0009</v>
      </c>
      <c r="D860" s="87" t="str">
        <f>IFERROR(__xludf.DUMMYFUNCTION("""COMPUTED_VALUE"""),"Xô HDPE tròn 12 Lít (420gr) - Trắng")</f>
        <v>Xô HDPE tròn 12 Lít (420gr) - Trắng</v>
      </c>
      <c r="E860" s="87" t="str">
        <f>IFERROR(__xludf.DUMMYFUNCTION("""COMPUTED_VALUE"""),"Chitin 3.6EC")</f>
        <v>Chitin 3.6EC</v>
      </c>
      <c r="F860" s="87" t="str">
        <f>IFERROR(__xludf.DUMMYFUNCTION("""COMPUTED_VALUE"""),"HH0009")</f>
        <v>HH0009</v>
      </c>
      <c r="G860" s="87" t="str">
        <f>IFERROR(__xludf.DUMMYFUNCTION("""COMPUTED_VALUE"""),"LOT IDA Global - I - 909 - ĐL Nguyễn Văn Tây - Avermectin 36 (Pet tròn) (nắp đỏ)(nước nâu đen) - 450ml - 40")</f>
        <v>LOT IDA Global - I - 909 - ĐL Nguyễn Văn Tây - Avermectin 36 (Pet tròn) (nắp đỏ)(nước nâu đen) - 450ml - 40</v>
      </c>
    </row>
    <row r="861">
      <c r="A861" s="86">
        <f>IFERROR(__xludf.DUMMYFUNCTION("""COMPUTED_VALUE"""),859.0)</f>
        <v>859</v>
      </c>
      <c r="B861" s="87" t="str">
        <f>IFERROR(__xludf.DUMMYFUNCTION("""COMPUTED_VALUE"""),"Nắp")</f>
        <v>Nắp</v>
      </c>
      <c r="C861" s="87" t="str">
        <f>IFERROR(__xludf.DUMMYFUNCTION("""COMPUTED_VALUE"""),"NAP0178")</f>
        <v>NAP0178</v>
      </c>
      <c r="D861" s="87" t="str">
        <f>IFERROR(__xludf.DUMMYFUNCTION("""COMPUTED_VALUE"""),"Nắp HDPE Xô 12 Lít (110gr) - Trắng")</f>
        <v>Nắp HDPE Xô 12 Lít (110gr) - Trắng</v>
      </c>
      <c r="E861" s="87" t="str">
        <f>IFERROR(__xludf.DUMMYFUNCTION("""COMPUTED_VALUE"""),"Chitin 3.6EC")</f>
        <v>Chitin 3.6EC</v>
      </c>
      <c r="F861" s="87" t="str">
        <f>IFERROR(__xludf.DUMMYFUNCTION("""COMPUTED_VALUE"""),"HH0178")</f>
        <v>HH0178</v>
      </c>
      <c r="G861" s="87" t="str">
        <f>IFERROR(__xludf.DUMMYFUNCTION("""COMPUTED_VALUE"""),"LOT IDA Global - I - 910 - ĐL Tập Hưng - Avermetic 36 (Pet vuông) (nắp vàng)(nước nâu đen) - 450ml - 40")</f>
        <v>LOT IDA Global - I - 910 - ĐL Tập Hưng - Avermetic 36 (Pet vuông) (nắp vàng)(nước nâu đen) - 450ml - 40</v>
      </c>
    </row>
    <row r="862">
      <c r="A862" s="86">
        <f>IFERROR(__xludf.DUMMYFUNCTION("""COMPUTED_VALUE"""),860.0)</f>
        <v>860</v>
      </c>
      <c r="B862" s="87" t="str">
        <f>IFERROR(__xludf.DUMMYFUNCTION("""COMPUTED_VALUE"""),"Chai")</f>
        <v>Chai</v>
      </c>
      <c r="C862" s="87" t="str">
        <f>IFERROR(__xludf.DUMMYFUNCTION("""COMPUTED_VALUE"""),"CHT0251")</f>
        <v>CHT0251</v>
      </c>
      <c r="D862" s="87" t="str">
        <f>IFERROR(__xludf.DUMMYFUNCTION("""COMPUTED_VALUE"""),"Chai HDPE tròn cổ 43 100ml (30gr) - Cam")</f>
        <v>Chai HDPE tròn cổ 43 100ml (30gr) - Cam</v>
      </c>
      <c r="E862" s="87" t="str">
        <f>IFERROR(__xludf.DUMMYFUNCTION("""COMPUTED_VALUE"""),"Chitin 3.6EC")</f>
        <v>Chitin 3.6EC</v>
      </c>
      <c r="F862" s="87" t="str">
        <f>IFERROR(__xludf.DUMMYFUNCTION("""COMPUTED_VALUE"""),"HH0251")</f>
        <v>HH0251</v>
      </c>
      <c r="G862" s="87" t="str">
        <f>IFERROR(__xludf.DUMMYFUNCTION("""COMPUTED_VALUE"""),"LOT IDA Global - I - 910 - ĐL Tập Hưng - Avermetic 36 (Pet vuông) (nắp vàng)(nước nâu đen) - 450ml - 40")</f>
        <v>LOT IDA Global - I - 910 - ĐL Tập Hưng - Avermetic 36 (Pet vuông) (nắp vàng)(nước nâu đen) - 450ml - 40</v>
      </c>
    </row>
    <row r="863">
      <c r="A863" s="86">
        <f>IFERROR(__xludf.DUMMYFUNCTION("""COMPUTED_VALUE"""),861.0)</f>
        <v>861</v>
      </c>
      <c r="B863" s="87" t="str">
        <f>IFERROR(__xludf.DUMMYFUNCTION("""COMPUTED_VALUE"""),"Nắp")</f>
        <v>Nắp</v>
      </c>
      <c r="C863" s="87" t="str">
        <f>IFERROR(__xludf.DUMMYFUNCTION("""COMPUTED_VALUE"""),"NAP0179")</f>
        <v>NAP0179</v>
      </c>
      <c r="D863" s="87" t="str">
        <f>IFERROR(__xludf.DUMMYFUNCTION("""COMPUTED_VALUE"""),"Nắp HDPE tròn cổ 43, vân tròn trên nắp - Cam")</f>
        <v>Nắp HDPE tròn cổ 43, vân tròn trên nắp - Cam</v>
      </c>
      <c r="E863" s="87" t="str">
        <f>IFERROR(__xludf.DUMMYFUNCTION("""COMPUTED_VALUE"""),"BYPHAN 800WP")</f>
        <v>BYPHAN 800WP</v>
      </c>
      <c r="F863" s="87" t="str">
        <f>IFERROR(__xludf.DUMMYFUNCTION("""COMPUTED_VALUE"""),"HH0179")</f>
        <v>HH0179</v>
      </c>
      <c r="G863" s="87" t="str">
        <f>IFERROR(__xludf.DUMMYFUNCTION("""COMPUTED_VALUE"""),"LOT IDA Global - I - 911 - ĐL Hai Nhóm - Mancozeb xanh (túi nhôm)(bột xanh) - 1 Kg - 20")</f>
        <v>LOT IDA Global - I - 911 - ĐL Hai Nhóm - Mancozeb xanh (túi nhôm)(bột xanh) - 1 Kg - 20</v>
      </c>
    </row>
    <row r="864">
      <c r="A864" s="86">
        <f>IFERROR(__xludf.DUMMYFUNCTION("""COMPUTED_VALUE"""),862.0)</f>
        <v>862</v>
      </c>
      <c r="B864" s="87" t="str">
        <f>IFERROR(__xludf.DUMMYFUNCTION("""COMPUTED_VALUE"""),"Chai")</f>
        <v>Chai</v>
      </c>
      <c r="C864" s="87" t="str">
        <f>IFERROR(__xludf.DUMMYFUNCTION("""COMPUTED_VALUE"""),"CHT0252")</f>
        <v>CHT0252</v>
      </c>
      <c r="D864" s="87" t="str">
        <f>IFERROR(__xludf.DUMMYFUNCTION("""COMPUTED_VALUE"""),"Chai HDPE tròn cổ 49 có granty logo ABA 500ml (65gr) - Vàng")</f>
        <v>Chai HDPE tròn cổ 49 có granty logo ABA 500ml (65gr) - Vàng</v>
      </c>
      <c r="E864" s="87" t="str">
        <f>IFERROR(__xludf.DUMMYFUNCTION("""COMPUTED_VALUE"""),"Vi lượng Quantity New")</f>
        <v>Vi lượng Quantity New</v>
      </c>
      <c r="F864" s="87" t="str">
        <f>IFERROR(__xludf.DUMMYFUNCTION("""COMPUTED_VALUE"""),"HH0252")</f>
        <v>HH0252</v>
      </c>
      <c r="G864" s="87" t="str">
        <f>IFERROR(__xludf.DUMMYFUNCTION("""COMPUTED_VALUE"""),"GC - IV - 912 - Agritech - Agri Root (Gel nâu đen) (chai HD) - 500ml - 40")</f>
        <v>GC - IV - 912 - Agritech - Agri Root (Gel nâu đen) (chai HD) - 500ml - 40</v>
      </c>
    </row>
    <row r="865">
      <c r="A865" s="86">
        <f>IFERROR(__xludf.DUMMYFUNCTION("""COMPUTED_VALUE"""),863.0)</f>
        <v>863</v>
      </c>
      <c r="B865" s="87" t="str">
        <f>IFERROR(__xludf.DUMMYFUNCTION("""COMPUTED_VALUE"""),"Nắp")</f>
        <v>Nắp</v>
      </c>
      <c r="C865" s="87" t="str">
        <f>IFERROR(__xludf.DUMMYFUNCTION("""COMPUTED_VALUE"""),"NAP0180")</f>
        <v>NAP0180</v>
      </c>
      <c r="D865" s="87" t="str">
        <f>IFERROR(__xludf.DUMMYFUNCTION("""COMPUTED_VALUE"""),"Nắp HDPE có granty cổ 49 500ml (10g) - Vàng")</f>
        <v>Nắp HDPE có granty cổ 49 500ml (10g) - Vàng</v>
      </c>
      <c r="E865" s="87" t="str">
        <f>IFERROR(__xludf.DUMMYFUNCTION("""COMPUTED_VALUE"""),"Vi lượng Quantity New")</f>
        <v>Vi lượng Quantity New</v>
      </c>
      <c r="F865" s="87" t="str">
        <f>IFERROR(__xludf.DUMMYFUNCTION("""COMPUTED_VALUE"""),"HH0180")</f>
        <v>HH0180</v>
      </c>
      <c r="G865" s="87" t="str">
        <f>IFERROR(__xludf.DUMMYFUNCTION("""COMPUTED_VALUE"""),"GC - IV - 912 - Agritech - Agri Root (Gel nâu đen) (chai HD) - 500ml - 40")</f>
        <v>GC - IV - 912 - Agritech - Agri Root (Gel nâu đen) (chai HD) - 500ml - 40</v>
      </c>
    </row>
    <row r="866">
      <c r="A866" s="86">
        <f>IFERROR(__xludf.DUMMYFUNCTION("""COMPUTED_VALUE"""),864.0)</f>
        <v>864</v>
      </c>
      <c r="B866" s="87" t="str">
        <f>IFERROR(__xludf.DUMMYFUNCTION("""COMPUTED_VALUE"""),"Nắp")</f>
        <v>Nắp</v>
      </c>
      <c r="C866" s="87" t="str">
        <f>IFERROR(__xludf.DUMMYFUNCTION("""COMPUTED_VALUE"""),"NAP0181")</f>
        <v>NAP0181</v>
      </c>
      <c r="D866" s="87" t="str">
        <f>IFERROR(__xludf.DUMMYFUNCTION("""COMPUTED_VALUE"""),"Nắp PET cổ 44 (9g) - Xanh lá")</f>
        <v>Nắp PET cổ 44 (9g) - Xanh lá</v>
      </c>
      <c r="E866" s="87" t="str">
        <f>IFERROR(__xludf.DUMMYFUNCTION("""COMPUTED_VALUE"""),"Chitin 3.6EC")</f>
        <v>Chitin 3.6EC</v>
      </c>
      <c r="F866" s="87" t="str">
        <f>IFERROR(__xludf.DUMMYFUNCTION("""COMPUTED_VALUE"""),"HH0181")</f>
        <v>HH0181</v>
      </c>
      <c r="G866" s="87" t="str">
        <f>IFERROR(__xludf.DUMMYFUNCTION("""COMPUTED_VALUE"""),"LOT IDA Global - I - 913 - ĐL Hai Nhứt - Avermetic 36 (Pet tròn) (nắp đỏ)(nước nâu đen) - 450ml - 40")</f>
        <v>LOT IDA Global - I - 913 - ĐL Hai Nhứt - Avermetic 36 (Pet tròn) (nắp đỏ)(nước nâu đen) - 450ml - 40</v>
      </c>
    </row>
    <row r="867">
      <c r="A867" s="86">
        <f>IFERROR(__xludf.DUMMYFUNCTION("""COMPUTED_VALUE"""),865.0)</f>
        <v>865</v>
      </c>
      <c r="B867" s="87" t="str">
        <f>IFERROR(__xludf.DUMMYFUNCTION("""COMPUTED_VALUE"""),"Nắp")</f>
        <v>Nắp</v>
      </c>
      <c r="C867" s="87" t="str">
        <f>IFERROR(__xludf.DUMMYFUNCTION("""COMPUTED_VALUE"""),"NAP0182")</f>
        <v>NAP0182</v>
      </c>
      <c r="D867" s="87" t="str">
        <f>IFERROR(__xludf.DUMMYFUNCTION("""COMPUTED_VALUE"""),"Nắp PET cổ 35 (5gr) - Xanh dương")</f>
        <v>Nắp PET cổ 35 (5gr) - Xanh dương</v>
      </c>
      <c r="E867" s="87" t="str">
        <f>IFERROR(__xludf.DUMMYFUNCTION("""COMPUTED_VALUE"""),"Chitin 3.6EC")</f>
        <v>Chitin 3.6EC</v>
      </c>
      <c r="F867" s="87" t="str">
        <f>IFERROR(__xludf.DUMMYFUNCTION("""COMPUTED_VALUE"""),"HH0182")</f>
        <v>HH0182</v>
      </c>
      <c r="G867" s="87" t="str">
        <f>IFERROR(__xludf.DUMMYFUNCTION("""COMPUTED_VALUE"""),"LOT IDA Global - I - 913 - ĐL Hai Nhứt - Avermetic 36 (Pet tròn) (nắp đỏ)(nước nâu đen) - 450ml - 40")</f>
        <v>LOT IDA Global - I - 913 - ĐL Hai Nhứt - Avermetic 36 (Pet tròn) (nắp đỏ)(nước nâu đen) - 450ml - 40</v>
      </c>
    </row>
    <row r="868">
      <c r="A868" s="86">
        <f>IFERROR(__xludf.DUMMYFUNCTION("""COMPUTED_VALUE"""),866.0)</f>
        <v>866</v>
      </c>
      <c r="B868" s="87" t="str">
        <f>IFERROR(__xludf.DUMMYFUNCTION("""COMPUTED_VALUE"""),"Chai")</f>
        <v>Chai</v>
      </c>
      <c r="C868" s="87" t="str">
        <f>IFERROR(__xludf.DUMMYFUNCTION("""COMPUTED_VALUE"""),"CHT0253")</f>
        <v>CHT0253</v>
      </c>
      <c r="D868" s="87" t="str">
        <f>IFERROR(__xludf.DUMMYFUNCTION("""COMPUTED_VALUE"""),"Chai HDPE tròn cổ 49 có granty logo ABA 500ml (65gr) - Cam")</f>
        <v>Chai HDPE tròn cổ 49 có granty logo ABA 500ml (65gr) - Cam</v>
      </c>
      <c r="E868" s="87" t="str">
        <f>IFERROR(__xludf.DUMMYFUNCTION("""COMPUTED_VALUE"""),"Chitin 3.6EC")</f>
        <v>Chitin 3.6EC</v>
      </c>
      <c r="F868" s="87" t="str">
        <f>IFERROR(__xludf.DUMMYFUNCTION("""COMPUTED_VALUE"""),"HH0253")</f>
        <v>HH0253</v>
      </c>
      <c r="G868" s="87" t="str">
        <f>IFERROR(__xludf.DUMMYFUNCTION("""COMPUTED_VALUE"""),"LOT IDA Global - I - 914 - ĐL Đạt Huê - Thần Hổ 4.0 (Pet tròn) (nắp đỏ)(nước nâu đen) - 450ml - 40")</f>
        <v>LOT IDA Global - I - 914 - ĐL Đạt Huê - Thần Hổ 4.0 (Pet tròn) (nắp đỏ)(nước nâu đen) - 450ml - 40</v>
      </c>
    </row>
    <row r="869">
      <c r="A869" s="86">
        <f>IFERROR(__xludf.DUMMYFUNCTION("""COMPUTED_VALUE"""),867.0)</f>
        <v>867</v>
      </c>
      <c r="B869" s="87" t="str">
        <f>IFERROR(__xludf.DUMMYFUNCTION("""COMPUTED_VALUE"""),"Nắp")</f>
        <v>Nắp</v>
      </c>
      <c r="C869" s="87" t="str">
        <f>IFERROR(__xludf.DUMMYFUNCTION("""COMPUTED_VALUE"""),"NAP0183")</f>
        <v>NAP0183</v>
      </c>
      <c r="D869" s="87" t="str">
        <f>IFERROR(__xludf.DUMMYFUNCTION("""COMPUTED_VALUE"""),"Nắp HDPE có granty cổ 49 500ml (10g) - Cam")</f>
        <v>Nắp HDPE có granty cổ 49 500ml (10g) - Cam</v>
      </c>
      <c r="E869" s="87" t="str">
        <f>IFERROR(__xludf.DUMMYFUNCTION("""COMPUTED_VALUE"""),"Chitin 3.6EC")</f>
        <v>Chitin 3.6EC</v>
      </c>
      <c r="F869" s="87" t="str">
        <f>IFERROR(__xludf.DUMMYFUNCTION("""COMPUTED_VALUE"""),"HH0183")</f>
        <v>HH0183</v>
      </c>
      <c r="G869" s="87" t="str">
        <f>IFERROR(__xludf.DUMMYFUNCTION("""COMPUTED_VALUE"""),"LOT IDA Global - I - 914 - ĐL Đạt Huê - Thần Hổ 4.0 (Pet tròn) (nắp đỏ)(nước nâu đen) - 450ml - 40")</f>
        <v>LOT IDA Global - I - 914 - ĐL Đạt Huê - Thần Hổ 4.0 (Pet tròn) (nắp đỏ)(nước nâu đen) - 450ml - 40</v>
      </c>
    </row>
    <row r="870">
      <c r="A870" s="86">
        <f>IFERROR(__xludf.DUMMYFUNCTION("""COMPUTED_VALUE"""),868.0)</f>
        <v>868</v>
      </c>
      <c r="B870" s="87" t="str">
        <f>IFERROR(__xludf.DUMMYFUNCTION("""COMPUTED_VALUE"""),"Seal")</f>
        <v>Seal</v>
      </c>
      <c r="C870" s="87" t="str">
        <f>IFERROR(__xludf.DUMMYFUNCTION("""COMPUTED_VALUE"""),"SEAL0008")</f>
        <v>SEAL0008</v>
      </c>
      <c r="D870" s="87" t="str">
        <f>IFERROR(__xludf.DUMMYFUNCTION("""COMPUTED_VALUE"""),"Seal nhiệt chai HDPE cổ 50 - có in")</f>
        <v>Seal nhiệt chai HDPE cổ 50 - có in</v>
      </c>
      <c r="E870" s="87" t="str">
        <f>IFERROR(__xludf.DUMMYFUNCTION("""COMPUTED_VALUE"""),"Chitin 3.6EC")</f>
        <v>Chitin 3.6EC</v>
      </c>
      <c r="F870" s="87" t="str">
        <f>IFERROR(__xludf.DUMMYFUNCTION("""COMPUTED_VALUE"""),"HH0008")</f>
        <v>HH0008</v>
      </c>
      <c r="G870" s="87" t="str">
        <f>IFERROR(__xludf.DUMMYFUNCTION("""COMPUTED_VALUE"""),"LOT IDA Global - I - 916 - ĐL Quốc Dũng - Thần Hổ (Pet tròn) (nắp đỏ)(nước nâu đen) - 450ml - 40")</f>
        <v>LOT IDA Global - I - 916 - ĐL Quốc Dũng - Thần Hổ (Pet tròn) (nắp đỏ)(nước nâu đen) - 450ml - 40</v>
      </c>
    </row>
    <row r="871">
      <c r="A871" s="86">
        <f>IFERROR(__xludf.DUMMYFUNCTION("""COMPUTED_VALUE"""),869.0)</f>
        <v>869</v>
      </c>
      <c r="B871" s="87" t="str">
        <f>IFERROR(__xludf.DUMMYFUNCTION("""COMPUTED_VALUE"""),"Lon")</f>
        <v>Lon</v>
      </c>
      <c r="C871" s="87" t="str">
        <f>IFERROR(__xludf.DUMMYFUNCTION("""COMPUTED_VALUE"""),"LON0009")</f>
        <v>LON0009</v>
      </c>
      <c r="D871" s="87" t="str">
        <f>IFERROR(__xludf.DUMMYFUNCTION("""COMPUTED_VALUE"""),"Lon HDPE tròn cổ 92 (45gr) - Trắng")</f>
        <v>Lon HDPE tròn cổ 92 (45gr) - Trắng</v>
      </c>
      <c r="E871" s="87" t="str">
        <f>IFERROR(__xludf.DUMMYFUNCTION("""COMPUTED_VALUE"""),"Chitin 3.6EC")</f>
        <v>Chitin 3.6EC</v>
      </c>
      <c r="F871" s="87" t="str">
        <f>IFERROR(__xludf.DUMMYFUNCTION("""COMPUTED_VALUE"""),"HH0009")</f>
        <v>HH0009</v>
      </c>
      <c r="G871" s="87" t="str">
        <f>IFERROR(__xludf.DUMMYFUNCTION("""COMPUTED_VALUE"""),"LOT IDA Global - I - 916 - ĐL Quốc Dũng - Thần Hổ (Pet tròn) (nắp đỏ)(nước nâu đen) - 450ml - 40")</f>
        <v>LOT IDA Global - I - 916 - ĐL Quốc Dũng - Thần Hổ (Pet tròn) (nắp đỏ)(nước nâu đen) - 450ml - 40</v>
      </c>
    </row>
    <row r="872">
      <c r="A872" s="86">
        <f>IFERROR(__xludf.DUMMYFUNCTION("""COMPUTED_VALUE"""),870.0)</f>
        <v>870</v>
      </c>
      <c r="B872" s="87" t="str">
        <f>IFERROR(__xludf.DUMMYFUNCTION("""COMPUTED_VALUE"""),"Nắp")</f>
        <v>Nắp</v>
      </c>
      <c r="C872" s="87" t="str">
        <f>IFERROR(__xludf.DUMMYFUNCTION("""COMPUTED_VALUE"""),"NAP0184")</f>
        <v>NAP0184</v>
      </c>
      <c r="D872" s="87" t="str">
        <f>IFERROR(__xludf.DUMMYFUNCTION("""COMPUTED_VALUE"""),"Nắp HDPE lon tròn cổ 92 (20gr) - Trắng")</f>
        <v>Nắp HDPE lon tròn cổ 92 (20gr) - Trắng</v>
      </c>
      <c r="E872" s="87" t="str">
        <f>IFERROR(__xludf.DUMMYFUNCTION("""COMPUTED_VALUE"""),"HAIHAMEC 3.6EC")</f>
        <v>HAIHAMEC 3.6EC</v>
      </c>
      <c r="F872" s="87" t="str">
        <f>IFERROR(__xludf.DUMMYFUNCTION("""COMPUTED_VALUE"""),"HH0184")</f>
        <v>HH0184</v>
      </c>
      <c r="G872" s="87" t="str">
        <f>IFERROR(__xludf.DUMMYFUNCTION("""COMPUTED_VALUE"""),"GC - IV - 918 - Tago - Đổ ốc (Pet tròn) (nắp đỏ) (nước nâu đen) - 450ml - 40")</f>
        <v>GC - IV - 918 - Tago - Đổ ốc (Pet tròn) (nắp đỏ) (nước nâu đen) - 450ml - 40</v>
      </c>
    </row>
    <row r="873">
      <c r="A873" s="86">
        <f>IFERROR(__xludf.DUMMYFUNCTION("""COMPUTED_VALUE"""),871.0)</f>
        <v>871</v>
      </c>
      <c r="B873" s="87" t="str">
        <f>IFERROR(__xludf.DUMMYFUNCTION("""COMPUTED_VALUE"""),"Nắp")</f>
        <v>Nắp</v>
      </c>
      <c r="C873" s="87" t="str">
        <f>IFERROR(__xludf.DUMMYFUNCTION("""COMPUTED_VALUE"""),"NAP0185")</f>
        <v>NAP0185</v>
      </c>
      <c r="D873" s="87" t="str">
        <f>IFERROR(__xludf.DUMMYFUNCTION("""COMPUTED_VALUE"""),"Nắp HDPE cổ 48 chai 3 cánh - Trắng (12gr)")</f>
        <v>Nắp HDPE cổ 48 chai 3 cánh - Trắng (12gr)</v>
      </c>
      <c r="E873" s="87" t="str">
        <f>IFERROR(__xludf.DUMMYFUNCTION("""COMPUTED_VALUE"""),"HAIHAMEC 3.6EC")</f>
        <v>HAIHAMEC 3.6EC</v>
      </c>
      <c r="F873" s="87" t="str">
        <f>IFERROR(__xludf.DUMMYFUNCTION("""COMPUTED_VALUE"""),"HH0185")</f>
        <v>HH0185</v>
      </c>
      <c r="G873" s="87" t="str">
        <f>IFERROR(__xludf.DUMMYFUNCTION("""COMPUTED_VALUE"""),"GC - IV - 918 - Tago - Đổ ốc (Pet tròn) (nắp đỏ) (nước nâu đen) - 450ml - 40")</f>
        <v>GC - IV - 918 - Tago - Đổ ốc (Pet tròn) (nắp đỏ) (nước nâu đen) - 450ml - 40</v>
      </c>
    </row>
    <row r="874">
      <c r="A874" s="86">
        <f>IFERROR(__xludf.DUMMYFUNCTION("""COMPUTED_VALUE"""),872.0)</f>
        <v>872</v>
      </c>
      <c r="B874" s="87" t="str">
        <f>IFERROR(__xludf.DUMMYFUNCTION("""COMPUTED_VALUE"""),"Can")</f>
        <v>Can</v>
      </c>
      <c r="C874" s="87" t="str">
        <f>IFERROR(__xludf.DUMMYFUNCTION("""COMPUTED_VALUE"""),"CAN0034")</f>
        <v>CAN0034</v>
      </c>
      <c r="D874" s="87" t="str">
        <f>IFERROR(__xludf.DUMMYFUNCTION("""COMPUTED_VALUE"""),"Can vuông HDPE 2L - Trắng - Nắp trắng")</f>
        <v>Can vuông HDPE 2L - Trắng - Nắp trắng</v>
      </c>
      <c r="E874" s="87" t="str">
        <f>IFERROR(__xludf.DUMMYFUNCTION("""COMPUTED_VALUE"""),"Chitin 3.6EC")</f>
        <v>Chitin 3.6EC</v>
      </c>
      <c r="F874" s="87" t="str">
        <f>IFERROR(__xludf.DUMMYFUNCTION("""COMPUTED_VALUE"""),"HH0034")</f>
        <v>HH0034</v>
      </c>
      <c r="G874" s="87" t="str">
        <f>IFERROR(__xludf.DUMMYFUNCTION("""COMPUTED_VALUE"""),"LOT IDA Global - I - 919 - ĐL Lệ Hồng 1 - Thần Hổ (Pet tròn) (nắp đỏ)(nước nâu đen) - 450ml - 40")</f>
        <v>LOT IDA Global - I - 919 - ĐL Lệ Hồng 1 - Thần Hổ (Pet tròn) (nắp đỏ)(nước nâu đen) - 450ml - 40</v>
      </c>
    </row>
    <row r="875">
      <c r="A875" s="86">
        <f>IFERROR(__xludf.DUMMYFUNCTION("""COMPUTED_VALUE"""),873.0)</f>
        <v>873</v>
      </c>
      <c r="B875" s="87" t="str">
        <f>IFERROR(__xludf.DUMMYFUNCTION("""COMPUTED_VALUE"""),"Nắp")</f>
        <v>Nắp</v>
      </c>
      <c r="C875" s="87" t="str">
        <f>IFERROR(__xludf.DUMMYFUNCTION("""COMPUTED_VALUE"""),"NAP0186")</f>
        <v>NAP0186</v>
      </c>
      <c r="D875" s="87" t="str">
        <f>IFERROR(__xludf.DUMMYFUNCTION("""COMPUTED_VALUE"""),"Nắp HDPE can 2L, seal xốp - Trắng")</f>
        <v>Nắp HDPE can 2L, seal xốp - Trắng</v>
      </c>
      <c r="E875" s="87" t="str">
        <f>IFERROR(__xludf.DUMMYFUNCTION("""COMPUTED_VALUE"""),"Centertaner 500WP")</f>
        <v>Centertaner 500WP</v>
      </c>
      <c r="F875" s="87" t="str">
        <f>IFERROR(__xludf.DUMMYFUNCTION("""COMPUTED_VALUE"""),"HH0186")</f>
        <v>HH0186</v>
      </c>
      <c r="G875" s="87" t="str">
        <f>IFERROR(__xludf.DUMMYFUNCTION("""COMPUTED_VALUE"""),"IDA Global - I - 920 - Centertaner 500 WP (túi nhôm)(bột vàng nhạt)- 50 gr - 100")</f>
        <v>IDA Global - I - 920 - Centertaner 500 WP (túi nhôm)(bột vàng nhạt)- 50 gr - 100</v>
      </c>
    </row>
    <row r="876">
      <c r="A876" s="86">
        <f>IFERROR(__xludf.DUMMYFUNCTION("""COMPUTED_VALUE"""),874.0)</f>
        <v>874</v>
      </c>
      <c r="B876" s="87" t="str">
        <f>IFERROR(__xludf.DUMMYFUNCTION("""COMPUTED_VALUE"""),"Chai")</f>
        <v>Chai</v>
      </c>
      <c r="C876" s="87" t="str">
        <f>IFERROR(__xludf.DUMMYFUNCTION("""COMPUTED_VALUE"""),"CPT0255")</f>
        <v>CPT0255</v>
      </c>
      <c r="D876" s="87" t="str">
        <f>IFERROR(__xludf.DUMMYFUNCTION("""COMPUTED_VALUE"""),"Chai PET tròn cổ 38 500ml màu đỏ - Nắp đỏ")</f>
        <v>Chai PET tròn cổ 38 500ml màu đỏ - Nắp đỏ</v>
      </c>
      <c r="E876" s="87" t="str">
        <f>IFERROR(__xludf.DUMMYFUNCTION("""COMPUTED_VALUE"""),"BYPHAN 800WP")</f>
        <v>BYPHAN 800WP</v>
      </c>
      <c r="F876" s="87" t="str">
        <f>IFERROR(__xludf.DUMMYFUNCTION("""COMPUTED_VALUE"""),"HH0255")</f>
        <v>HH0255</v>
      </c>
      <c r="G876" s="87" t="str">
        <f>IFERROR(__xludf.DUMMYFUNCTION("""COMPUTED_VALUE"""),"GC - II - 921 - AGC - Man Xanh (Túi nhôm)(bột xanh) - 1kg - 20")</f>
        <v>GC - II - 921 - AGC - Man Xanh (Túi nhôm)(bột xanh) - 1kg - 20</v>
      </c>
    </row>
    <row r="877">
      <c r="A877" s="86">
        <f>IFERROR(__xludf.DUMMYFUNCTION("""COMPUTED_VALUE"""),875.0)</f>
        <v>875</v>
      </c>
      <c r="B877" s="87" t="str">
        <f>IFERROR(__xludf.DUMMYFUNCTION("""COMPUTED_VALUE"""),"Bao")</f>
        <v>Bao</v>
      </c>
      <c r="C877" s="87" t="str">
        <f>IFERROR(__xludf.DUMMYFUNCTION("""COMPUTED_VALUE"""),"BAO0013")</f>
        <v>BAO0013</v>
      </c>
      <c r="D877" s="87" t="str">
        <f>IFERROR(__xludf.DUMMYFUNCTION("""COMPUTED_VALUE"""),"Bao PE trong (40x60cm), lòng xô 10kg")</f>
        <v>Bao PE trong (40x60cm), lòng xô 10kg</v>
      </c>
      <c r="E877" s="87" t="str">
        <f>IFERROR(__xludf.DUMMYFUNCTION("""COMPUTED_VALUE"""),"Chitin 3.6EC")</f>
        <v>Chitin 3.6EC</v>
      </c>
      <c r="F877" s="87" t="str">
        <f>IFERROR(__xludf.DUMMYFUNCTION("""COMPUTED_VALUE"""),"HH0013")</f>
        <v>HH0013</v>
      </c>
      <c r="G877" s="87" t="str">
        <f>IFERROR(__xludf.DUMMYFUNCTION("""COMPUTED_VALUE"""),"LOT IDA Global - I - 922 - ĐL Thuỳ Trinh - Avermectin 36 (Pet tròn) (nắp trắng)(nước nâu đen) - 450ml - 40")</f>
        <v>LOT IDA Global - I - 922 - ĐL Thuỳ Trinh - Avermectin 36 (Pet tròn) (nắp trắng)(nước nâu đen) - 450ml - 40</v>
      </c>
    </row>
    <row r="878">
      <c r="A878" s="86">
        <f>IFERROR(__xludf.DUMMYFUNCTION("""COMPUTED_VALUE"""),876.0)</f>
        <v>876</v>
      </c>
      <c r="B878" s="87" t="str">
        <f>IFERROR(__xludf.DUMMYFUNCTION("""COMPUTED_VALUE"""),"Bao")</f>
        <v>Bao</v>
      </c>
      <c r="C878" s="87" t="str">
        <f>IFERROR(__xludf.DUMMYFUNCTION("""COMPUTED_VALUE"""),"BAO0014")</f>
        <v>BAO0014</v>
      </c>
      <c r="D878" s="87" t="str">
        <f>IFERROR(__xludf.DUMMYFUNCTION("""COMPUTED_VALUE"""),"Bao PE trong (60x100cm), lòng xô 20 lít")</f>
        <v>Bao PE trong (60x100cm), lòng xô 20 lít</v>
      </c>
      <c r="E878" s="87" t="str">
        <f>IFERROR(__xludf.DUMMYFUNCTION("""COMPUTED_VALUE"""),"Chitin 3.6EC")</f>
        <v>Chitin 3.6EC</v>
      </c>
      <c r="F878" s="87" t="str">
        <f>IFERROR(__xludf.DUMMYFUNCTION("""COMPUTED_VALUE"""),"HH0014")</f>
        <v>HH0014</v>
      </c>
      <c r="G878" s="87" t="str">
        <f>IFERROR(__xludf.DUMMYFUNCTION("""COMPUTED_VALUE"""),"LOT IDA Global - I - 922 - ĐL Thuỳ Trinh - Avermectin 36 (Pet tròn) (nắp trắng)(nước nâu đen) - 450ml - 40")</f>
        <v>LOT IDA Global - I - 922 - ĐL Thuỳ Trinh - Avermectin 36 (Pet tròn) (nắp trắng)(nước nâu đen) - 450ml - 40</v>
      </c>
    </row>
    <row r="879">
      <c r="A879" s="86">
        <f>IFERROR(__xludf.DUMMYFUNCTION("""COMPUTED_VALUE"""),877.0)</f>
        <v>877</v>
      </c>
      <c r="B879" s="87" t="str">
        <f>IFERROR(__xludf.DUMMYFUNCTION("""COMPUTED_VALUE"""),"Chai")</f>
        <v>Chai</v>
      </c>
      <c r="C879" s="87" t="str">
        <f>IFERROR(__xludf.DUMMYFUNCTION("""COMPUTED_VALUE"""),"CHT0256")</f>
        <v>CHT0256</v>
      </c>
      <c r="D879" s="87" t="str">
        <f>IFERROR(__xludf.DUMMYFUNCTION("""COMPUTED_VALUE"""),"Chai HDPE tròn cổ 43 250ml (40gr) logo IDA màu xanh lá")</f>
        <v>Chai HDPE tròn cổ 43 250ml (40gr) logo IDA màu xanh lá</v>
      </c>
      <c r="E879" s="87" t="str">
        <f>IFERROR(__xludf.DUMMYFUNCTION("""COMPUTED_VALUE"""),"Chitin 3.6EC")</f>
        <v>Chitin 3.6EC</v>
      </c>
      <c r="F879" s="87" t="str">
        <f>IFERROR(__xludf.DUMMYFUNCTION("""COMPUTED_VALUE"""),"HH0256")</f>
        <v>HH0256</v>
      </c>
      <c r="G879" s="87" t="str">
        <f>IFERROR(__xludf.DUMMYFUNCTION("""COMPUTED_VALUE"""),"LOT IDA Global - I - 923 - ĐL Châu Bá - Avermectin 36 (Pet tròn) (nắp trắng)(nước nâu đen) - 450ml - 40")</f>
        <v>LOT IDA Global - I - 923 - ĐL Châu Bá - Avermectin 36 (Pet tròn) (nắp trắng)(nước nâu đen) - 450ml - 40</v>
      </c>
    </row>
    <row r="880">
      <c r="A880" s="86">
        <f>IFERROR(__xludf.DUMMYFUNCTION("""COMPUTED_VALUE"""),878.0)</f>
        <v>878</v>
      </c>
      <c r="B880" s="87" t="str">
        <f>IFERROR(__xludf.DUMMYFUNCTION("""COMPUTED_VALUE"""),"Chai")</f>
        <v>Chai</v>
      </c>
      <c r="C880" s="87" t="str">
        <f>IFERROR(__xludf.DUMMYFUNCTION("""COMPUTED_VALUE"""),"CHT0257")</f>
        <v>CHT0257</v>
      </c>
      <c r="D880" s="87" t="str">
        <f>IFERROR(__xludf.DUMMYFUNCTION("""COMPUTED_VALUE"""),"Chai HDPE tròn cổ 33 150ml - Trắng")</f>
        <v>Chai HDPE tròn cổ 33 150ml - Trắng</v>
      </c>
      <c r="E880" s="87" t="str">
        <f>IFERROR(__xludf.DUMMYFUNCTION("""COMPUTED_VALUE"""),"Chitin 3.6EC")</f>
        <v>Chitin 3.6EC</v>
      </c>
      <c r="F880" s="87" t="str">
        <f>IFERROR(__xludf.DUMMYFUNCTION("""COMPUTED_VALUE"""),"HH0257")</f>
        <v>HH0257</v>
      </c>
      <c r="G880" s="87" t="str">
        <f>IFERROR(__xludf.DUMMYFUNCTION("""COMPUTED_VALUE"""),"LOT IDA Global - I - 923 - ĐL Châu Bá - Avermectin 36 (Pet tròn) (nắp trắng)(nước nâu đen) - 450ml - 40")</f>
        <v>LOT IDA Global - I - 923 - ĐL Châu Bá - Avermectin 36 (Pet tròn) (nắp trắng)(nước nâu đen) - 450ml - 40</v>
      </c>
    </row>
    <row r="881">
      <c r="A881" s="86">
        <f>IFERROR(__xludf.DUMMYFUNCTION("""COMPUTED_VALUE"""),879.0)</f>
        <v>879</v>
      </c>
      <c r="B881" s="87" t="str">
        <f>IFERROR(__xludf.DUMMYFUNCTION("""COMPUTED_VALUE"""),"Chai")</f>
        <v>Chai</v>
      </c>
      <c r="C881" s="87" t="str">
        <f>IFERROR(__xludf.DUMMYFUNCTION("""COMPUTED_VALUE"""),"CHT0258")</f>
        <v>CHT0258</v>
      </c>
      <c r="D881" s="87" t="str">
        <f>IFERROR(__xludf.DUMMYFUNCTION("""COMPUTED_VALUE"""),"Chai HDPE tròn cổ 32 50ml 3 cạnh (14g)  - Trắng")</f>
        <v>Chai HDPE tròn cổ 32 50ml 3 cạnh (14g)  - Trắng</v>
      </c>
      <c r="E881" s="87" t="str">
        <f>IFERROR(__xludf.DUMMYFUNCTION("""COMPUTED_VALUE"""),"Sherdoba 55WG")</f>
        <v>Sherdoba 55WG</v>
      </c>
      <c r="F881" s="87" t="str">
        <f>IFERROR(__xludf.DUMMYFUNCTION("""COMPUTED_VALUE"""),"HH0258")</f>
        <v>HH0258</v>
      </c>
      <c r="G881" s="87" t="str">
        <f>IFERROR(__xludf.DUMMYFUNCTION("""COMPUTED_VALUE"""),"NB - I - 924 - Sunrise - Sherdoba 55WG (túi nhôm)(dạng cốm màu trắng) - 15gr - 400")</f>
        <v>NB - I - 924 - Sunrise - Sherdoba 55WG (túi nhôm)(dạng cốm màu trắng) - 15gr - 400</v>
      </c>
    </row>
    <row r="882">
      <c r="A882" s="86">
        <f>IFERROR(__xludf.DUMMYFUNCTION("""COMPUTED_VALUE"""),880.0)</f>
        <v>880</v>
      </c>
      <c r="B882" s="87" t="str">
        <f>IFERROR(__xludf.DUMMYFUNCTION("""COMPUTED_VALUE"""),"Nắp")</f>
        <v>Nắp</v>
      </c>
      <c r="C882" s="87" t="str">
        <f>IFERROR(__xludf.DUMMYFUNCTION("""COMPUTED_VALUE"""),"NAP0187")</f>
        <v>NAP0187</v>
      </c>
      <c r="D882" s="87" t="str">
        <f>IFERROR(__xludf.DUMMYFUNCTION("""COMPUTED_VALUE"""),"Nắp HDPE cổ 32 chai 50ml 3 cạnh (5.6g) - Xanh lá non")</f>
        <v>Nắp HDPE cổ 32 chai 50ml 3 cạnh (5.6g) - Xanh lá non</v>
      </c>
      <c r="E882" s="87" t="str">
        <f>IFERROR(__xludf.DUMMYFUNCTION("""COMPUTED_VALUE"""),"Sherdoba 55WG")</f>
        <v>Sherdoba 55WG</v>
      </c>
      <c r="F882" s="87" t="str">
        <f>IFERROR(__xludf.DUMMYFUNCTION("""COMPUTED_VALUE"""),"HH0187")</f>
        <v>HH0187</v>
      </c>
      <c r="G882" s="87" t="str">
        <f>IFERROR(__xludf.DUMMYFUNCTION("""COMPUTED_VALUE"""),"NB - I - 924 - Sunrise - Sherdoba 55WG (túi nhôm)(dạng cốm màu trắng) - 15gr - 400")</f>
        <v>NB - I - 924 - Sunrise - Sherdoba 55WG (túi nhôm)(dạng cốm màu trắng) - 15gr - 400</v>
      </c>
    </row>
    <row r="883">
      <c r="A883" s="86">
        <f>IFERROR(__xludf.DUMMYFUNCTION("""COMPUTED_VALUE"""),881.0)</f>
        <v>881</v>
      </c>
      <c r="B883" s="87" t="str">
        <f>IFERROR(__xludf.DUMMYFUNCTION("""COMPUTED_VALUE"""),"Nhãn")</f>
        <v>Nhãn</v>
      </c>
      <c r="C883" s="87" t="str">
        <f>IFERROR(__xludf.DUMMYFUNCTION("""COMPUTED_VALUE"""),"NHD0013.1")</f>
        <v>NHD0013.1</v>
      </c>
      <c r="D883" s="87" t="str">
        <f>IFERROR(__xludf.DUMMYFUNCTION("""COMPUTED_VALUE"""),"[Nhãn] GC - II- 13.1 - Lớn Trái Thanh Long (Đỏ) - 22 kg - 1 ([btp],n)")</f>
        <v>[Nhãn] GC - II- 13.1 - Lớn Trái Thanh Long (Đỏ) - 22 kg - 1 ([btp],n)</v>
      </c>
      <c r="E883" s="87" t="str">
        <f>IFERROR(__xludf.DUMMYFUNCTION("""COMPUTED_VALUE"""),"NPK Bổ sung Vi lượng Basel NPK 6-6-8 IDA 33")</f>
        <v>NPK Bổ sung Vi lượng Basel NPK 6-6-8 IDA 33</v>
      </c>
      <c r="F883" s="87" t="str">
        <f>IFERROR(__xludf.DUMMYFUNCTION("""COMPUTED_VALUE"""),"HH13.1")</f>
        <v>HH13.1</v>
      </c>
      <c r="G883" s="87" t="str">
        <f>IFERROR(__xludf.DUMMYFUNCTION("""COMPUTED_VALUE"""),"GC - II- 13.1 - Lớn Trái Thanh Long (Đỏ) - 22 kg - 1 ([btp],n)")</f>
        <v>GC - II- 13.1 - Lớn Trái Thanh Long (Đỏ) - 22 kg - 1 ([btp],n)</v>
      </c>
    </row>
    <row r="884">
      <c r="A884" s="86">
        <f>IFERROR(__xludf.DUMMYFUNCTION("""COMPUTED_VALUE"""),882.0)</f>
        <v>882</v>
      </c>
      <c r="B884" s="87" t="str">
        <f>IFERROR(__xludf.DUMMYFUNCTION("""COMPUTED_VALUE"""),"Nhãn")</f>
        <v>Nhãn</v>
      </c>
      <c r="C884" s="87" t="str">
        <f>IFERROR(__xludf.DUMMYFUNCTION("""COMPUTED_VALUE"""),"NTN0024")</f>
        <v>NTN0024</v>
      </c>
      <c r="D884" s="87" t="str">
        <f>IFERROR(__xludf.DUMMYFUNCTION("""COMPUTED_VALUE"""),"[Nhãn] GC - II - 24 - Aqua Gold ra bông xoài 1kg -25")</f>
        <v>[Nhãn] GC - II - 24 - Aqua Gold ra bông xoài 1kg -25</v>
      </c>
      <c r="E884" s="87" t="str">
        <f>IFERROR(__xludf.DUMMYFUNCTION("""COMPUTED_VALUE"""),"Vi lượng AV4")</f>
        <v>Vi lượng AV4</v>
      </c>
      <c r="F884" s="87" t="str">
        <f>IFERROR(__xludf.DUMMYFUNCTION("""COMPUTED_VALUE"""),"HH0024")</f>
        <v>HH0024</v>
      </c>
      <c r="G884" s="87" t="str">
        <f>IFERROR(__xludf.DUMMYFUNCTION("""COMPUTED_VALUE"""),"GC - II - 24 - Aqua Gold ra bông xoài 1kg -25")</f>
        <v>GC - II - 24 - Aqua Gold ra bông xoài 1kg -25</v>
      </c>
    </row>
    <row r="885">
      <c r="A885" s="86">
        <f>IFERROR(__xludf.DUMMYFUNCTION("""COMPUTED_VALUE"""),883.0)</f>
        <v>883</v>
      </c>
      <c r="B885" s="87" t="str">
        <f>IFERROR(__xludf.DUMMYFUNCTION("""COMPUTED_VALUE"""),"Nhãn")</f>
        <v>Nhãn</v>
      </c>
      <c r="C885" s="87" t="str">
        <f>IFERROR(__xludf.DUMMYFUNCTION("""COMPUTED_VALUE"""),"NTN0033.1")</f>
        <v>NTN0033.1</v>
      </c>
      <c r="D885" s="87" t="str">
        <f>IFERROR(__xludf.DUMMYFUNCTION("""COMPUTED_VALUE"""),"[Nhãn] GC - II - 33.1 - Siêu ra hoa xoài - 1kg - 25")</f>
        <v>[Nhãn] GC - II - 33.1 - Siêu ra hoa xoài - 1kg - 25</v>
      </c>
      <c r="E885" s="87" t="str">
        <f>IFERROR(__xludf.DUMMYFUNCTION("""COMPUTED_VALUE"""),"Vi lượng AV-US2")</f>
        <v>Vi lượng AV-US2</v>
      </c>
      <c r="F885" s="87" t="str">
        <f>IFERROR(__xludf.DUMMYFUNCTION("""COMPUTED_VALUE"""),"HH33.1")</f>
        <v>HH33.1</v>
      </c>
      <c r="G885" s="87" t="str">
        <f>IFERROR(__xludf.DUMMYFUNCTION("""COMPUTED_VALUE"""),"GC - II - 33.1 - Siêu ra hoa xoài - 1kg - 25")</f>
        <v>GC - II - 33.1 - Siêu ra hoa xoài - 1kg - 25</v>
      </c>
    </row>
    <row r="886">
      <c r="A886" s="86">
        <f>IFERROR(__xludf.DUMMYFUNCTION("""COMPUTED_VALUE"""),884.0)</f>
        <v>884</v>
      </c>
      <c r="B886" s="87" t="str">
        <f>IFERROR(__xludf.DUMMYFUNCTION("""COMPUTED_VALUE"""),"Nhãn")</f>
        <v>Nhãn</v>
      </c>
      <c r="C886" s="87" t="str">
        <f>IFERROR(__xludf.DUMMYFUNCTION("""COMPUTED_VALUE"""),"NTN0064")</f>
        <v>NTN0064</v>
      </c>
      <c r="D886" s="87" t="str">
        <f>IFERROR(__xludf.DUMMYFUNCTION("""COMPUTED_VALUE"""),"[Nhãn] GC - II - 64 - Aqua Siêu ra hoa xoài (clr) - 1kg - 25")</f>
        <v>[Nhãn] GC - II - 64 - Aqua Siêu ra hoa xoài (clr) - 1kg - 25</v>
      </c>
      <c r="E886" s="87" t="str">
        <f>IFERROR(__xludf.DUMMYFUNCTION("""COMPUTED_VALUE"""),"Vi lượng AV4")</f>
        <v>Vi lượng AV4</v>
      </c>
      <c r="F886" s="87" t="str">
        <f>IFERROR(__xludf.DUMMYFUNCTION("""COMPUTED_VALUE"""),"HH0064")</f>
        <v>HH0064</v>
      </c>
      <c r="G886" s="87" t="str">
        <f>IFERROR(__xludf.DUMMYFUNCTION("""COMPUTED_VALUE"""),"GC - II - 64 - Aqua Siêu ra hoa xoài (clr) - 1kg - 25")</f>
        <v>GC - II - 64 - Aqua Siêu ra hoa xoài (clr) - 1kg - 25</v>
      </c>
    </row>
    <row r="887">
      <c r="A887" s="86">
        <f>IFERROR(__xludf.DUMMYFUNCTION("""COMPUTED_VALUE"""),885.0)</f>
        <v>885</v>
      </c>
      <c r="B887" s="87" t="str">
        <f>IFERROR(__xludf.DUMMYFUNCTION("""COMPUTED_VALUE"""),"Nhãn")</f>
        <v>Nhãn</v>
      </c>
      <c r="C887" s="87" t="str">
        <f>IFERROR(__xludf.DUMMYFUNCTION("""COMPUTED_VALUE"""),"NTN0075")</f>
        <v>NTN0075</v>
      </c>
      <c r="D887" s="87" t="str">
        <f>IFERROR(__xludf.DUMMYFUNCTION("""COMPUTED_VALUE"""),"[Nhãn] GC - III - 75 - Bio Siêu ra hoa cây có múi - 600 gr - 40")</f>
        <v>[Nhãn] GC - III - 75 - Bio Siêu ra hoa cây có múi - 600 gr - 40</v>
      </c>
      <c r="E887" s="87" t="str">
        <f>IFERROR(__xludf.DUMMYFUNCTION("""COMPUTED_VALUE"""),"Vi lượng AV4")</f>
        <v>Vi lượng AV4</v>
      </c>
      <c r="F887" s="87" t="str">
        <f>IFERROR(__xludf.DUMMYFUNCTION("""COMPUTED_VALUE"""),"HH0075")</f>
        <v>HH0075</v>
      </c>
      <c r="G887" s="87" t="str">
        <f>IFERROR(__xludf.DUMMYFUNCTION("""COMPUTED_VALUE"""),"GC - III - 75 - Bio Siêu ra hoa cây có múi - 600 gr - 40")</f>
        <v>GC - III - 75 - Bio Siêu ra hoa cây có múi - 600 gr - 40</v>
      </c>
    </row>
    <row r="888">
      <c r="A888" s="86">
        <f>IFERROR(__xludf.DUMMYFUNCTION("""COMPUTED_VALUE"""),886.0)</f>
        <v>886</v>
      </c>
      <c r="B888" s="87" t="str">
        <f>IFERROR(__xludf.DUMMYFUNCTION("""COMPUTED_VALUE"""),"Nhãn")</f>
        <v>Nhãn</v>
      </c>
      <c r="C888" s="87" t="str">
        <f>IFERROR(__xludf.DUMMYFUNCTION("""COMPUTED_VALUE"""),"NTN0095.1")</f>
        <v>NTN0095.1</v>
      </c>
      <c r="D888" s="87" t="str">
        <f>IFERROR(__xludf.DUMMYFUNCTION("""COMPUTED_VALUE"""),"[Nhãn] GC - II - 95.1 - AGC - Siêu ra hoa cây có múi - 600 gr - 40")</f>
        <v>[Nhãn] GC - II - 95.1 - AGC - Siêu ra hoa cây có múi - 600 gr - 40</v>
      </c>
      <c r="E888" s="87" t="str">
        <f>IFERROR(__xludf.DUMMYFUNCTION("""COMPUTED_VALUE"""),"Vi lượng AV4-BO633")</f>
        <v>Vi lượng AV4-BO633</v>
      </c>
      <c r="F888" s="87" t="str">
        <f>IFERROR(__xludf.DUMMYFUNCTION("""COMPUTED_VALUE"""),"HH95.1")</f>
        <v>HH95.1</v>
      </c>
      <c r="G888" s="87" t="str">
        <f>IFERROR(__xludf.DUMMYFUNCTION("""COMPUTED_VALUE"""),"GC - II - 95.1 - AGC - Siêu ra hoa cây có múi - 600 gr - 40")</f>
        <v>GC - II - 95.1 - AGC - Siêu ra hoa cây có múi - 600 gr - 40</v>
      </c>
    </row>
    <row r="889">
      <c r="A889" s="86">
        <f>IFERROR(__xludf.DUMMYFUNCTION("""COMPUTED_VALUE"""),887.0)</f>
        <v>887</v>
      </c>
      <c r="B889" s="87" t="str">
        <f>IFERROR(__xludf.DUMMYFUNCTION("""COMPUTED_VALUE"""),"Nhãn")</f>
        <v>Nhãn</v>
      </c>
      <c r="C889" s="87" t="str">
        <f>IFERROR(__xludf.DUMMYFUNCTION("""COMPUTED_VALUE"""),"NHD0105.2")</f>
        <v>NHD0105.2</v>
      </c>
      <c r="D889" s="87" t="str">
        <f>IFERROR(__xludf.DUMMYFUNCTION("""COMPUTED_VALUE"""),"[Nhãn] GC - II - 105.2 - Lớn trái thanh long (Xanh) - 22 kg -1")</f>
        <v>[Nhãn] GC - II - 105.2 - Lớn trái thanh long (Xanh) - 22 kg -1</v>
      </c>
      <c r="E889" s="87" t="str">
        <f>IFERROR(__xludf.DUMMYFUNCTION("""COMPUTED_VALUE"""),"NPK Bổ sung Vi lượng Basel NPK 6-6-8 IDA 33")</f>
        <v>NPK Bổ sung Vi lượng Basel NPK 6-6-8 IDA 33</v>
      </c>
      <c r="F889" s="87" t="str">
        <f>IFERROR(__xludf.DUMMYFUNCTION("""COMPUTED_VALUE"""),"HH05.2")</f>
        <v>HH05.2</v>
      </c>
      <c r="G889" s="87" t="str">
        <f>IFERROR(__xludf.DUMMYFUNCTION("""COMPUTED_VALUE"""),"GC - II - 105.2 - Lớn trái thanh long (Xanh) - 22 kg -1")</f>
        <v>GC - II - 105.2 - Lớn trái thanh long (Xanh) - 22 kg -1</v>
      </c>
    </row>
    <row r="890">
      <c r="A890" s="86">
        <f>IFERROR(__xludf.DUMMYFUNCTION("""COMPUTED_VALUE"""),888.0)</f>
        <v>888</v>
      </c>
      <c r="B890" s="87" t="str">
        <f>IFERROR(__xludf.DUMMYFUNCTION("""COMPUTED_VALUE"""),"Nhãn")</f>
        <v>Nhãn</v>
      </c>
      <c r="C890" s="87" t="str">
        <f>IFERROR(__xludf.DUMMYFUNCTION("""COMPUTED_VALUE"""),"NHG0107")</f>
        <v>NHG0107</v>
      </c>
      <c r="D890" s="87" t="str">
        <f>IFERROR(__xludf.DUMMYFUNCTION("""COMPUTED_VALUE"""),"[Nhãn] GC - 107 - Nutri Nutri Silitop - 60 ml - 300")</f>
        <v>[Nhãn] GC - 107 - Nutri Nutri Silitop - 60 ml - 300</v>
      </c>
      <c r="E890" s="87" t="str">
        <f>IFERROR(__xludf.DUMMYFUNCTION("""COMPUTED_VALUE"""),"Vi lượng AV6")</f>
        <v>Vi lượng AV6</v>
      </c>
      <c r="F890" s="87" t="str">
        <f>IFERROR(__xludf.DUMMYFUNCTION("""COMPUTED_VALUE"""),"HH0107")</f>
        <v>HH0107</v>
      </c>
      <c r="G890" s="87" t="str">
        <f>IFERROR(__xludf.DUMMYFUNCTION("""COMPUTED_VALUE"""),"GC - 107 - Nutri Nutri Silitop - 60 ml - 300")</f>
        <v>GC - 107 - Nutri Nutri Silitop - 60 ml - 300</v>
      </c>
    </row>
    <row r="891">
      <c r="A891" s="86">
        <f>IFERROR(__xludf.DUMMYFUNCTION("""COMPUTED_VALUE"""),889.0)</f>
        <v>889</v>
      </c>
      <c r="B891" s="87" t="str">
        <f>IFERROR(__xludf.DUMMYFUNCTION("""COMPUTED_VALUE"""),"Nhãn")</f>
        <v>Nhãn</v>
      </c>
      <c r="C891" s="87" t="str">
        <f>IFERROR(__xludf.DUMMYFUNCTION("""COMPUTED_VALUE"""),"NTN0207")</f>
        <v>NTN0207</v>
      </c>
      <c r="D891" s="87" t="str">
        <f>IFERROR(__xludf.DUMMYFUNCTION("""COMPUTED_VALUE"""),"[Nhãn] GC - I - 207 - Mancozeb Xanh - Xanh Cam - 1kg - 20")</f>
        <v>[Nhãn] GC - I - 207 - Mancozeb Xanh - Xanh Cam - 1kg - 20</v>
      </c>
      <c r="E891" s="87" t="str">
        <f>IFERROR(__xludf.DUMMYFUNCTION("""COMPUTED_VALUE"""),"AnnongManco 80WP")</f>
        <v>AnnongManco 80WP</v>
      </c>
      <c r="F891" s="87" t="str">
        <f>IFERROR(__xludf.DUMMYFUNCTION("""COMPUTED_VALUE"""),"HH0207")</f>
        <v>HH0207</v>
      </c>
      <c r="G891" s="87" t="str">
        <f>IFERROR(__xludf.DUMMYFUNCTION("""COMPUTED_VALUE"""),"GC - I - 207 - Mancozeb Xanh - Xanh Cam - 1kg - 20")</f>
        <v>GC - I - 207 - Mancozeb Xanh - Xanh Cam - 1kg - 20</v>
      </c>
    </row>
    <row r="892">
      <c r="A892" s="86">
        <f>IFERROR(__xludf.DUMMYFUNCTION("""COMPUTED_VALUE"""),890.0)</f>
        <v>890</v>
      </c>
      <c r="B892" s="87" t="str">
        <f>IFERROR(__xludf.DUMMYFUNCTION("""COMPUTED_VALUE"""),"Nhãn")</f>
        <v>Nhãn</v>
      </c>
      <c r="C892" s="87" t="str">
        <f>IFERROR(__xludf.DUMMYFUNCTION("""COMPUTED_VALUE"""),"NTN0208")</f>
        <v>NTN0208</v>
      </c>
      <c r="D892" s="87" t="str">
        <f>IFERROR(__xludf.DUMMYFUNCTION("""COMPUTED_VALUE"""),"[Nhãn] GC - I - 208 - Lân 86 - 1Kg - 20")</f>
        <v>[Nhãn] GC - I - 208 - Lân 86 - 1Kg - 20</v>
      </c>
      <c r="E892" s="87" t="str">
        <f>IFERROR(__xludf.DUMMYFUNCTION("""COMPUTED_VALUE"""),"Vi lượng IDA49")</f>
        <v>Vi lượng IDA49</v>
      </c>
      <c r="F892" s="87" t="str">
        <f>IFERROR(__xludf.DUMMYFUNCTION("""COMPUTED_VALUE"""),"HH0208")</f>
        <v>HH0208</v>
      </c>
      <c r="G892" s="87" t="str">
        <f>IFERROR(__xludf.DUMMYFUNCTION("""COMPUTED_VALUE"""),"GC - I - 208 - Lân 86 - 1Kg - 20")</f>
        <v>GC - I - 208 - Lân 86 - 1Kg - 20</v>
      </c>
    </row>
    <row r="893">
      <c r="A893" s="86">
        <f>IFERROR(__xludf.DUMMYFUNCTION("""COMPUTED_VALUE"""),891.0)</f>
        <v>891</v>
      </c>
      <c r="B893" s="87" t="str">
        <f>IFERROR(__xludf.DUMMYFUNCTION("""COMPUTED_VALUE"""),"Nhãn")</f>
        <v>Nhãn</v>
      </c>
      <c r="C893" s="87" t="str">
        <f>IFERROR(__xludf.DUMMYFUNCTION("""COMPUTED_VALUE"""),"NTN0221.1")</f>
        <v>NTN0221.1</v>
      </c>
      <c r="D893" s="87" t="str">
        <f>IFERROR(__xludf.DUMMYFUNCTION("""COMPUTED_VALUE"""),"[Nhãn] IDA Global - I - 221.1 - Metalaxyl (drone) - 100gr - 100")</f>
        <v>[Nhãn] IDA Global - I - 221.1 - Metalaxyl (drone) - 100gr - 100</v>
      </c>
      <c r="E893" s="87" t="str">
        <f>IFERROR(__xludf.DUMMYFUNCTION("""COMPUTED_VALUE"""),"Acodyl 35WP")</f>
        <v>Acodyl 35WP</v>
      </c>
      <c r="F893" s="87" t="str">
        <f>IFERROR(__xludf.DUMMYFUNCTION("""COMPUTED_VALUE"""),"HH21.1")</f>
        <v>HH21.1</v>
      </c>
      <c r="G893" s="87" t="str">
        <f>IFERROR(__xludf.DUMMYFUNCTION("""COMPUTED_VALUE"""),"IDA Global - I - 221.1 - Metalaxyl (drone) - 100gr - 100")</f>
        <v>IDA Global - I - 221.1 - Metalaxyl (drone) - 100gr - 100</v>
      </c>
    </row>
    <row r="894">
      <c r="A894" s="86">
        <f>IFERROR(__xludf.DUMMYFUNCTION("""COMPUTED_VALUE"""),892.0)</f>
        <v>892</v>
      </c>
      <c r="B894" s="87" t="str">
        <f>IFERROR(__xludf.DUMMYFUNCTION("""COMPUTED_VALUE"""),"Nhãn")</f>
        <v>Nhãn</v>
      </c>
      <c r="C894" s="87" t="str">
        <f>IFERROR(__xludf.DUMMYFUNCTION("""COMPUTED_VALUE"""),"NTN0222.2")</f>
        <v>NTN0222.2</v>
      </c>
      <c r="D894" s="87" t="str">
        <f>IFERROR(__xludf.DUMMYFUNCTION("""COMPUTED_VALUE"""),"[Nhãn] IDA Global - I - 222.2 - Siêu Diệt Vi Khuẩn Thái (Mới) - 25gr - 300")</f>
        <v>[Nhãn] IDA Global - I - 222.2 - Siêu Diệt Vi Khuẩn Thái (Mới) - 25gr - 300</v>
      </c>
      <c r="E894" s="87" t="str">
        <f>IFERROR(__xludf.DUMMYFUNCTION("""COMPUTED_VALUE"""),"Oxycin 100WP")</f>
        <v>Oxycin 100WP</v>
      </c>
      <c r="F894" s="87" t="str">
        <f>IFERROR(__xludf.DUMMYFUNCTION("""COMPUTED_VALUE"""),"HH22.2")</f>
        <v>HH22.2</v>
      </c>
      <c r="G894" s="87" t="str">
        <f>IFERROR(__xludf.DUMMYFUNCTION("""COMPUTED_VALUE"""),"IDA Global - I - 222.2 - Siêu Diệt Vi Khuẩn Thái (Mới) - 25gr - 300")</f>
        <v>IDA Global - I - 222.2 - Siêu Diệt Vi Khuẩn Thái (Mới) - 25gr - 300</v>
      </c>
    </row>
    <row r="895">
      <c r="A895" s="86">
        <f>IFERROR(__xludf.DUMMYFUNCTION("""COMPUTED_VALUE"""),893.0)</f>
        <v>893</v>
      </c>
      <c r="B895" s="87" t="str">
        <f>IFERROR(__xludf.DUMMYFUNCTION("""COMPUTED_VALUE"""),"Nhãn")</f>
        <v>Nhãn</v>
      </c>
      <c r="C895" s="87" t="str">
        <f>IFERROR(__xludf.DUMMYFUNCTION("""COMPUTED_VALUE"""),"NHG0223")</f>
        <v>NHG0223</v>
      </c>
      <c r="D895" s="87" t="str">
        <f>IFERROR(__xludf.DUMMYFUNCTION("""COMPUTED_VALUE"""),"[Nhãn] IDA Global - I - 223 - Nhện đỏ - Chai nhôm đỏ - 240ml - 60")</f>
        <v>[Nhãn] IDA Global - I - 223 - Nhện đỏ - Chai nhôm đỏ - 240ml - 60</v>
      </c>
      <c r="E895" s="87" t="str">
        <f>IFERROR(__xludf.DUMMYFUNCTION("""COMPUTED_VALUE"""),"Chitin 3.6EC")</f>
        <v>Chitin 3.6EC</v>
      </c>
      <c r="F895" s="87" t="str">
        <f>IFERROR(__xludf.DUMMYFUNCTION("""COMPUTED_VALUE"""),"HH0223")</f>
        <v>HH0223</v>
      </c>
      <c r="G895" s="87" t="str">
        <f>IFERROR(__xludf.DUMMYFUNCTION("""COMPUTED_VALUE"""),"IDA Global - I - 223 - Nhện đỏ - Chai nhôm đỏ - 240ml - 60")</f>
        <v>IDA Global - I - 223 - Nhện đỏ - Chai nhôm đỏ - 240ml - 60</v>
      </c>
    </row>
    <row r="896">
      <c r="A896" s="86">
        <f>IFERROR(__xludf.DUMMYFUNCTION("""COMPUTED_VALUE"""),894.0)</f>
        <v>894</v>
      </c>
      <c r="B896" s="87" t="str">
        <f>IFERROR(__xludf.DUMMYFUNCTION("""COMPUTED_VALUE"""),"Nhãn")</f>
        <v>Nhãn</v>
      </c>
      <c r="C896" s="87" t="str">
        <f>IFERROR(__xludf.DUMMYFUNCTION("""COMPUTED_VALUE"""),"NHG0223.1")</f>
        <v>NHG0223.1</v>
      </c>
      <c r="D896" s="87" t="str">
        <f>IFERROR(__xludf.DUMMYFUNCTION("""COMPUTED_VALUE"""),"[Nhãn] IDA Global - I - 223.1 - Nhện đỏ - Chai nhôm đỏ - 240ml - 60")</f>
        <v>[Nhãn] IDA Global - I - 223.1 - Nhện đỏ - Chai nhôm đỏ - 240ml - 60</v>
      </c>
      <c r="E896" s="87" t="str">
        <f>IFERROR(__xludf.DUMMYFUNCTION("""COMPUTED_VALUE"""),"Chitin 3.6EC")</f>
        <v>Chitin 3.6EC</v>
      </c>
      <c r="F896" s="87" t="str">
        <f>IFERROR(__xludf.DUMMYFUNCTION("""COMPUTED_VALUE"""),"HH23.1")</f>
        <v>HH23.1</v>
      </c>
      <c r="G896" s="87" t="str">
        <f>IFERROR(__xludf.DUMMYFUNCTION("""COMPUTED_VALUE"""),"IDA Global - I - 223.1 - Nhện đỏ - Chai nhôm đỏ - 240ml - 60")</f>
        <v>IDA Global - I - 223.1 - Nhện đỏ - Chai nhôm đỏ - 240ml - 60</v>
      </c>
    </row>
    <row r="897">
      <c r="A897" s="86">
        <f>IFERROR(__xludf.DUMMYFUNCTION("""COMPUTED_VALUE"""),895.0)</f>
        <v>895</v>
      </c>
      <c r="B897" s="87" t="str">
        <f>IFERROR(__xludf.DUMMYFUNCTION("""COMPUTED_VALUE"""),"Nhãn thùng")</f>
        <v>Nhãn thùng</v>
      </c>
      <c r="C897" s="87" t="str">
        <f>IFERROR(__xludf.DUMMYFUNCTION("""COMPUTED_VALUE"""),"NDT223.1")</f>
        <v>NDT223.1</v>
      </c>
      <c r="D897" s="87" t="str">
        <f>IFERROR(__xludf.DUMMYFUNCTION("""COMPUTED_VALUE"""),"[Nhãn thùng] IDA Global - I - 223.1 - Nhện đỏ - Chai nhôm đỏ - 240ml - 60")</f>
        <v>[Nhãn thùng] IDA Global - I - 223.1 - Nhện đỏ - Chai nhôm đỏ - 240ml - 60</v>
      </c>
      <c r="E897" s="87" t="str">
        <f>IFERROR(__xludf.DUMMYFUNCTION("""COMPUTED_VALUE"""),"Chitin 3.6EC")</f>
        <v>Chitin 3.6EC</v>
      </c>
      <c r="F897" s="87" t="str">
        <f>IFERROR(__xludf.DUMMYFUNCTION("""COMPUTED_VALUE"""),"HH23.1")</f>
        <v>HH23.1</v>
      </c>
      <c r="G897" s="87" t="str">
        <f>IFERROR(__xludf.DUMMYFUNCTION("""COMPUTED_VALUE"""),"IDA Global - I - 223.1 - Nhện đỏ - Chai nhôm đỏ - 240ml - 60")</f>
        <v>IDA Global - I - 223.1 - Nhện đỏ - Chai nhôm đỏ - 240ml - 60</v>
      </c>
    </row>
    <row r="898">
      <c r="A898" s="86">
        <f>IFERROR(__xludf.DUMMYFUNCTION("""COMPUTED_VALUE"""),896.0)</f>
        <v>896</v>
      </c>
      <c r="B898" s="87" t="str">
        <f>IFERROR(__xludf.DUMMYFUNCTION("""COMPUTED_VALUE"""),"Nhãn")</f>
        <v>Nhãn</v>
      </c>
      <c r="C898" s="87" t="str">
        <f>IFERROR(__xludf.DUMMYFUNCTION("""COMPUTED_VALUE"""),"NTN0249")</f>
        <v>NTN0249</v>
      </c>
      <c r="D898" s="87" t="str">
        <f>IFERROR(__xludf.DUMMYFUNCTION("""COMPUTED_VALUE"""),"[Nhãn] GC - I - 249 - SIÊU COC - 1kg - 20")</f>
        <v>[Nhãn] GC - I - 249 - SIÊU COC - 1kg - 20</v>
      </c>
      <c r="E898" s="87" t="str">
        <f>IFERROR(__xludf.DUMMYFUNCTION("""COMPUTED_VALUE"""),"Vi lượng IDA 11")</f>
        <v>Vi lượng IDA 11</v>
      </c>
      <c r="F898" s="87" t="str">
        <f>IFERROR(__xludf.DUMMYFUNCTION("""COMPUTED_VALUE"""),"HH0249")</f>
        <v>HH0249</v>
      </c>
      <c r="G898" s="87" t="str">
        <f>IFERROR(__xludf.DUMMYFUNCTION("""COMPUTED_VALUE"""),"GC - I - 249 - SIÊU COC - 1kg - 20")</f>
        <v>GC - I - 249 - SIÊU COC - 1kg - 20</v>
      </c>
    </row>
    <row r="899">
      <c r="A899" s="86">
        <f>IFERROR(__xludf.DUMMYFUNCTION("""COMPUTED_VALUE"""),897.0)</f>
        <v>897</v>
      </c>
      <c r="B899" s="87" t="str">
        <f>IFERROR(__xludf.DUMMYFUNCTION("""COMPUTED_VALUE"""),"Nhãn")</f>
        <v>Nhãn</v>
      </c>
      <c r="C899" s="87" t="str">
        <f>IFERROR(__xludf.DUMMYFUNCTION("""COMPUTED_VALUE"""),"NHG0253.1")</f>
        <v>NHG0253.1</v>
      </c>
      <c r="D899" s="87" t="str">
        <f>IFERROR(__xludf.DUMMYFUNCTION("""COMPUTED_VALUE"""),"[Nhãn] GC - II - 253.1 - Thiện Thành - Nutri Hữu Cơ 999 (nước nâu đen) - 25kg - 1")</f>
        <v>[Nhãn] GC - II - 253.1 - Thiện Thành - Nutri Hữu Cơ 999 (nước nâu đen) - 25kg - 1</v>
      </c>
      <c r="E899" s="87" t="str">
        <f>IFERROR(__xludf.DUMMYFUNCTION("""COMPUTED_VALUE"""),"#N/A")</f>
        <v>#N/A</v>
      </c>
      <c r="F899" s="87" t="str">
        <f>IFERROR(__xludf.DUMMYFUNCTION("""COMPUTED_VALUE"""),"HH53.1")</f>
        <v>HH53.1</v>
      </c>
      <c r="G899" s="87" t="str">
        <f>IFERROR(__xludf.DUMMYFUNCTION("""COMPUTED_VALUE"""),"GC - II - 253.1 - Thiện Thành - Nutri Hữu Cơ 999 (nước nâu đen) - 25kg - 1")</f>
        <v>GC - II - 253.1 - Thiện Thành - Nutri Hữu Cơ 999 (nước nâu đen) - 25kg - 1</v>
      </c>
    </row>
    <row r="900">
      <c r="A900" s="86">
        <f>IFERROR(__xludf.DUMMYFUNCTION("""COMPUTED_VALUE"""),898.0)</f>
        <v>898</v>
      </c>
      <c r="B900" s="87" t="str">
        <f>IFERROR(__xludf.DUMMYFUNCTION("""COMPUTED_VALUE"""),"Nhãn")</f>
        <v>Nhãn</v>
      </c>
      <c r="C900" s="87" t="str">
        <f>IFERROR(__xludf.DUMMYFUNCTION("""COMPUTED_VALUE"""),"NHD0256.1")</f>
        <v>NHD0256.1</v>
      </c>
      <c r="D900" s="87" t="str">
        <f>IFERROR(__xludf.DUMMYFUNCTION("""COMPUTED_VALUE"""),"[Nhãn] GC - I - 256.1 - CT Tây Nguyên - Rong rêu (chai vuông Pet) - 250ml - 40")</f>
        <v>[Nhãn] GC - I - 256.1 - CT Tây Nguyên - Rong rêu (chai vuông Pet) - 250ml - 40</v>
      </c>
      <c r="E900" s="87" t="str">
        <f>IFERROR(__xludf.DUMMYFUNCTION("""COMPUTED_VALUE"""),"Vi lượng Basel IDA 11")</f>
        <v>Vi lượng Basel IDA 11</v>
      </c>
      <c r="F900" s="87" t="str">
        <f>IFERROR(__xludf.DUMMYFUNCTION("""COMPUTED_VALUE"""),"HH56.1")</f>
        <v>HH56.1</v>
      </c>
      <c r="G900" s="87" t="str">
        <f>IFERROR(__xludf.DUMMYFUNCTION("""COMPUTED_VALUE"""),"GC - I - 256.1 - CT Tây Nguyên - Rong rêu (chai vuông Pet) - 250ml - 40")</f>
        <v>GC - I - 256.1 - CT Tây Nguyên - Rong rêu (chai vuông Pet) - 250ml - 40</v>
      </c>
    </row>
    <row r="901">
      <c r="A901" s="86">
        <f>IFERROR(__xludf.DUMMYFUNCTION("""COMPUTED_VALUE"""),899.0)</f>
        <v>899</v>
      </c>
      <c r="B901" s="87" t="str">
        <f>IFERROR(__xludf.DUMMYFUNCTION("""COMPUTED_VALUE"""),"Nhãn")</f>
        <v>Nhãn</v>
      </c>
      <c r="C901" s="87" t="str">
        <f>IFERROR(__xludf.DUMMYFUNCTION("""COMPUTED_VALUE"""),"NTN0259")</f>
        <v>NTN0259</v>
      </c>
      <c r="D901" s="87" t="str">
        <f>IFERROR(__xludf.DUMMYFUNCTION("""COMPUTED_VALUE"""),"[Nhãn] GC - I - 259 - CTP - Hiệu cuốn lá - 15ml - 400")</f>
        <v>[Nhãn] GC - I - 259 - CTP - Hiệu cuốn lá - 15ml - 400</v>
      </c>
      <c r="E901" s="87" t="str">
        <f>IFERROR(__xludf.DUMMYFUNCTION("""COMPUTED_VALUE"""),"Leafroll 260SC")</f>
        <v>Leafroll 260SC</v>
      </c>
      <c r="F901" s="87" t="str">
        <f>IFERROR(__xludf.DUMMYFUNCTION("""COMPUTED_VALUE"""),"HH0259")</f>
        <v>HH0259</v>
      </c>
      <c r="G901" s="87" t="str">
        <f>IFERROR(__xludf.DUMMYFUNCTION("""COMPUTED_VALUE"""),"GC - I - 259 - CTP - Hiệu cuốn lá - 15ml - 400")</f>
        <v>GC - I - 259 - CTP - Hiệu cuốn lá - 15ml - 400</v>
      </c>
    </row>
    <row r="902">
      <c r="A902" s="86">
        <f>IFERROR(__xludf.DUMMYFUNCTION("""COMPUTED_VALUE"""),900.0)</f>
        <v>900</v>
      </c>
      <c r="B902" s="87" t="str">
        <f>IFERROR(__xludf.DUMMYFUNCTION("""COMPUTED_VALUE"""),"Nhãn")</f>
        <v>Nhãn</v>
      </c>
      <c r="C902" s="87" t="str">
        <f>IFERROR(__xludf.DUMMYFUNCTION("""COMPUTED_VALUE"""),"NHG0260")</f>
        <v>NHG0260</v>
      </c>
      <c r="D902" s="87" t="str">
        <f>IFERROR(__xludf.DUMMYFUNCTION("""COMPUTED_VALUE"""),"[Nhãn] GC - I - 260 - Bohex SC - 450ml - 40")</f>
        <v>[Nhãn] GC - I - 260 - Bohex SC - 450ml - 40</v>
      </c>
      <c r="E902" s="87" t="str">
        <f>IFERROR(__xludf.DUMMYFUNCTION("""COMPUTED_VALUE"""),"Vi lượng Basel IDA 47")</f>
        <v>Vi lượng Basel IDA 47</v>
      </c>
      <c r="F902" s="87" t="str">
        <f>IFERROR(__xludf.DUMMYFUNCTION("""COMPUTED_VALUE"""),"HH0260")</f>
        <v>HH0260</v>
      </c>
      <c r="G902" s="87" t="str">
        <f>IFERROR(__xludf.DUMMYFUNCTION("""COMPUTED_VALUE"""),"GC - I - 260 - Bohex SC - 450ml - 40")</f>
        <v>GC - I - 260 - Bohex SC - 450ml - 40</v>
      </c>
    </row>
    <row r="903">
      <c r="A903" s="86">
        <f>IFERROR(__xludf.DUMMYFUNCTION("""COMPUTED_VALUE"""),901.0)</f>
        <v>901</v>
      </c>
      <c r="B903" s="87" t="str">
        <f>IFERROR(__xludf.DUMMYFUNCTION("""COMPUTED_VALUE"""),"Nhãn")</f>
        <v>Nhãn</v>
      </c>
      <c r="C903" s="87" t="str">
        <f>IFERROR(__xludf.DUMMYFUNCTION("""COMPUTED_VALUE"""),"NHG0274")</f>
        <v>NHG0274</v>
      </c>
      <c r="D903" s="87" t="str">
        <f>IFERROR(__xludf.DUMMYFUNCTION("""COMPUTED_VALUE"""),"[Nhãn] GC - I - 274 - Tinmy (Chai HDPE nhãn giấy) - 250ml - 40")</f>
        <v>[Nhãn] GC - I - 274 - Tinmy (Chai HDPE nhãn giấy) - 250ml - 40</v>
      </c>
      <c r="E903" s="87" t="str">
        <f>IFERROR(__xludf.DUMMYFUNCTION("""COMPUTED_VALUE"""),"Tinmy new super 300EC")</f>
        <v>Tinmy new super 300EC</v>
      </c>
      <c r="F903" s="87" t="str">
        <f>IFERROR(__xludf.DUMMYFUNCTION("""COMPUTED_VALUE"""),"HH0274")</f>
        <v>HH0274</v>
      </c>
      <c r="G903" s="87" t="str">
        <f>IFERROR(__xludf.DUMMYFUNCTION("""COMPUTED_VALUE"""),"GC - I - 274 - Tinmy (Chai HDPE nhãn giấy) - 250ml - 40")</f>
        <v>GC - I - 274 - Tinmy (Chai HDPE nhãn giấy) - 250ml - 40</v>
      </c>
    </row>
    <row r="904">
      <c r="A904" s="86">
        <f>IFERROR(__xludf.DUMMYFUNCTION("""COMPUTED_VALUE"""),902.0)</f>
        <v>902</v>
      </c>
      <c r="B904" s="87" t="str">
        <f>IFERROR(__xludf.DUMMYFUNCTION("""COMPUTED_VALUE"""),"Nhãn")</f>
        <v>Nhãn</v>
      </c>
      <c r="C904" s="87" t="str">
        <f>IFERROR(__xludf.DUMMYFUNCTION("""COMPUTED_VALUE"""),"NTG0293")</f>
        <v>NTG0293</v>
      </c>
      <c r="D904" s="87" t="str">
        <f>IFERROR(__xludf.DUMMYFUNCTION("""COMPUTED_VALUE"""),"[Nhãn] GC - I - 293 - CTP - Diệt sạch đạo ôn - 100gr - 100")</f>
        <v>[Nhãn] GC - I - 293 - CTP - Diệt sạch đạo ôn - 100gr - 100</v>
      </c>
      <c r="E904" s="87" t="str">
        <f>IFERROR(__xludf.DUMMYFUNCTION("""COMPUTED_VALUE"""),"Pim.Pim 75WP")</f>
        <v>Pim.Pim 75WP</v>
      </c>
      <c r="F904" s="87" t="str">
        <f>IFERROR(__xludf.DUMMYFUNCTION("""COMPUTED_VALUE"""),"HH0293")</f>
        <v>HH0293</v>
      </c>
      <c r="G904" s="87" t="str">
        <f>IFERROR(__xludf.DUMMYFUNCTION("""COMPUTED_VALUE"""),"GC - I - 293 - CTP - Diệt sạch đạo ôn - 100gr - 100")</f>
        <v>GC - I - 293 - CTP - Diệt sạch đạo ôn - 100gr - 100</v>
      </c>
    </row>
    <row r="905">
      <c r="A905" s="86">
        <f>IFERROR(__xludf.DUMMYFUNCTION("""COMPUTED_VALUE"""),903.0)</f>
        <v>903</v>
      </c>
      <c r="B905" s="87" t="str">
        <f>IFERROR(__xludf.DUMMYFUNCTION("""COMPUTED_VALUE"""),"Nhãn")</f>
        <v>Nhãn</v>
      </c>
      <c r="C905" s="87" t="str">
        <f>IFERROR(__xludf.DUMMYFUNCTION("""COMPUTED_VALUE"""),"NHG0295.2")</f>
        <v>NHG0295.2</v>
      </c>
      <c r="D905" s="87" t="str">
        <f>IFERROR(__xludf.DUMMYFUNCTION("""COMPUTED_VALUE"""),"[Nhãn] IDA Globa - I - 295.2 - Prohed 400EC (mới)- 240ml - 60 ( [nl] ,c, n, t)")</f>
        <v>[Nhãn] IDA Globa - I - 295.2 - Prohed 400EC (mới)- 240ml - 60 ( [nl] ,c, n, t)</v>
      </c>
      <c r="E905" s="87" t="str">
        <f>IFERROR(__xludf.DUMMYFUNCTION("""COMPUTED_VALUE"""),"Prohed 400EC")</f>
        <v>Prohed 400EC</v>
      </c>
      <c r="F905" s="87" t="str">
        <f>IFERROR(__xludf.DUMMYFUNCTION("""COMPUTED_VALUE"""),"HH95.2")</f>
        <v>HH95.2</v>
      </c>
      <c r="G905" s="87" t="str">
        <f>IFERROR(__xludf.DUMMYFUNCTION("""COMPUTED_VALUE"""),"IDA Globa - I - 295.2 - Prohed 400EC (mới)- 240ml - 60 ( [nl] ,c, n, t)")</f>
        <v>IDA Globa - I - 295.2 - Prohed 400EC (mới)- 240ml - 60 ( [nl] ,c, n, t)</v>
      </c>
    </row>
    <row r="906">
      <c r="A906" s="86">
        <f>IFERROR(__xludf.DUMMYFUNCTION("""COMPUTED_VALUE"""),904.0)</f>
        <v>904</v>
      </c>
      <c r="B906" s="87" t="str">
        <f>IFERROR(__xludf.DUMMYFUNCTION("""COMPUTED_VALUE"""),"Nhãn")</f>
        <v>Nhãn</v>
      </c>
      <c r="C906" s="87" t="str">
        <f>IFERROR(__xludf.DUMMYFUNCTION("""COMPUTED_VALUE"""),"NHG0297.1")</f>
        <v>NHG0297.1</v>
      </c>
      <c r="D906" s="87" t="str">
        <f>IFERROR(__xludf.DUMMYFUNCTION("""COMPUTED_VALUE"""),"[Nhãn] GC - I - 297.1 - CTP - Pick Super - 250ml - 40")</f>
        <v>[Nhãn] GC - I - 297.1 - CTP - Pick Super - 250ml - 40</v>
      </c>
      <c r="E906" s="87" t="str">
        <f>IFERROR(__xludf.DUMMYFUNCTION("""COMPUTED_VALUE"""),"Vi lượng Basel IDA 46")</f>
        <v>Vi lượng Basel IDA 46</v>
      </c>
      <c r="F906" s="87" t="str">
        <f>IFERROR(__xludf.DUMMYFUNCTION("""COMPUTED_VALUE"""),"HH97.1")</f>
        <v>HH97.1</v>
      </c>
      <c r="G906" s="87" t="str">
        <f>IFERROR(__xludf.DUMMYFUNCTION("""COMPUTED_VALUE"""),"GC - I - 297.1 - CTP - Pick Super - 250ml - 40")</f>
        <v>GC - I - 297.1 - CTP - Pick Super - 250ml - 40</v>
      </c>
    </row>
    <row r="907">
      <c r="A907" s="86">
        <f>IFERROR(__xludf.DUMMYFUNCTION("""COMPUTED_VALUE"""),905.0)</f>
        <v>905</v>
      </c>
      <c r="B907" s="87" t="str">
        <f>IFERROR(__xludf.DUMMYFUNCTION("""COMPUTED_VALUE"""),"Nhãn")</f>
        <v>Nhãn</v>
      </c>
      <c r="C907" s="87" t="str">
        <f>IFERROR(__xludf.DUMMYFUNCTION("""COMPUTED_VALUE"""),"NTN0299")</f>
        <v>NTN0299</v>
      </c>
      <c r="D907" s="87" t="str">
        <f>IFERROR(__xludf.DUMMYFUNCTION("""COMPUTED_VALUE"""),"[Nhãn] IDA Global - I - 299 - PH - Apashuang (Xanh Tím) - 100gr - 100")</f>
        <v>[Nhãn] IDA Global - I - 299 - PH - Apashuang (Xanh Tím) - 100gr - 100</v>
      </c>
      <c r="E907" s="87" t="str">
        <f>IFERROR(__xludf.DUMMYFUNCTION("""COMPUTED_VALUE"""),"Apashuang 95WP")</f>
        <v>Apashuang 95WP</v>
      </c>
      <c r="F907" s="87" t="str">
        <f>IFERROR(__xludf.DUMMYFUNCTION("""COMPUTED_VALUE"""),"HH0299")</f>
        <v>HH0299</v>
      </c>
      <c r="G907" s="87" t="str">
        <f>IFERROR(__xludf.DUMMYFUNCTION("""COMPUTED_VALUE"""),"IDA Global - I - 299 - PH - Apashuang (Xanh Tím) - 100gr - 100")</f>
        <v>IDA Global - I - 299 - PH - Apashuang (Xanh Tím) - 100gr - 100</v>
      </c>
    </row>
    <row r="908">
      <c r="A908" s="86">
        <f>IFERROR(__xludf.DUMMYFUNCTION("""COMPUTED_VALUE"""),906.0)</f>
        <v>906</v>
      </c>
      <c r="B908" s="87" t="str">
        <f>IFERROR(__xludf.DUMMYFUNCTION("""COMPUTED_VALUE"""),"Nhãn")</f>
        <v>Nhãn</v>
      </c>
      <c r="C908" s="87" t="str">
        <f>IFERROR(__xludf.DUMMYFUNCTION("""COMPUTED_VALUE"""),"NHD0300")</f>
        <v>NHD0300</v>
      </c>
      <c r="D908" s="87" t="str">
        <f>IFERROR(__xludf.DUMMYFUNCTION("""COMPUTED_VALUE"""),"[Nhãn] GC - II - 300 - Agriplant - Creek 2.1EC (chai vuông nhãn đỏ) - 450ml - 40")</f>
        <v>[Nhãn] GC - II - 300 - Agriplant - Creek 2.1EC (chai vuông nhãn đỏ) - 450ml - 40</v>
      </c>
      <c r="E908" s="87" t="str">
        <f>IFERROR(__xludf.DUMMYFUNCTION("""COMPUTED_VALUE"""),"Creek 2.1EC")</f>
        <v>Creek 2.1EC</v>
      </c>
      <c r="F908" s="87" t="str">
        <f>IFERROR(__xludf.DUMMYFUNCTION("""COMPUTED_VALUE"""),"HH0300")</f>
        <v>HH0300</v>
      </c>
      <c r="G908" s="87" t="str">
        <f>IFERROR(__xludf.DUMMYFUNCTION("""COMPUTED_VALUE"""),"GC - II - 300 - Agriplant - Creek 2.1EC (chai vuông nhãn đỏ) - 450ml - 40")</f>
        <v>GC - II - 300 - Agriplant - Creek 2.1EC (chai vuông nhãn đỏ) - 450ml - 40</v>
      </c>
    </row>
    <row r="909">
      <c r="A909" s="86">
        <f>IFERROR(__xludf.DUMMYFUNCTION("""COMPUTED_VALUE"""),907.0)</f>
        <v>907</v>
      </c>
      <c r="B909" s="87" t="str">
        <f>IFERROR(__xludf.DUMMYFUNCTION("""COMPUTED_VALUE"""),"Nhãn")</f>
        <v>Nhãn</v>
      </c>
      <c r="C909" s="87" t="str">
        <f>IFERROR(__xludf.DUMMYFUNCTION("""COMPUTED_VALUE"""),"NHG0301")</f>
        <v>NHG0301</v>
      </c>
      <c r="D909" s="87" t="str">
        <f>IFERROR(__xludf.DUMMYFUNCTION("""COMPUTED_VALUE"""),"[Nhãn] GC - I - 301 - Dưỡng chất vô cơ chuyên sầu riêng - 500ml - 40")</f>
        <v>[Nhãn] GC - I - 301 - Dưỡng chất vô cơ chuyên sầu riêng - 500ml - 40</v>
      </c>
      <c r="E909" s="87" t="str">
        <f>IFERROR(__xludf.DUMMYFUNCTION("""COMPUTED_VALUE"""),"NPK Bổ sung Vi lượng Basel NPK 6-16-3 IDA 15")</f>
        <v>NPK Bổ sung Vi lượng Basel NPK 6-16-3 IDA 15</v>
      </c>
      <c r="F909" s="87" t="str">
        <f>IFERROR(__xludf.DUMMYFUNCTION("""COMPUTED_VALUE"""),"HH0301")</f>
        <v>HH0301</v>
      </c>
      <c r="G909" s="87" t="str">
        <f>IFERROR(__xludf.DUMMYFUNCTION("""COMPUTED_VALUE"""),"GC - I - 301 - Dưỡng chất vô cơ chuyên sầu riêng - 500ml - 40")</f>
        <v>GC - I - 301 - Dưỡng chất vô cơ chuyên sầu riêng - 500ml - 40</v>
      </c>
    </row>
    <row r="910">
      <c r="A910" s="86">
        <f>IFERROR(__xludf.DUMMYFUNCTION("""COMPUTED_VALUE"""),908.0)</f>
        <v>908</v>
      </c>
      <c r="B910" s="87" t="str">
        <f>IFERROR(__xludf.DUMMYFUNCTION("""COMPUTED_VALUE"""),"Nhãn")</f>
        <v>Nhãn</v>
      </c>
      <c r="C910" s="87" t="str">
        <f>IFERROR(__xludf.DUMMYFUNCTION("""COMPUTED_VALUE"""),"NHG0302")</f>
        <v>NHG0302</v>
      </c>
      <c r="D910" s="87" t="str">
        <f>IFERROR(__xludf.DUMMYFUNCTION("""COMPUTED_VALUE"""),"[Nhãn] GC - I - 302 - Dưỡng cây xanh lá - 500ml - 40")</f>
        <v>[Nhãn] GC - I - 302 - Dưỡng cây xanh lá - 500ml - 40</v>
      </c>
      <c r="E910" s="87" t="str">
        <f>IFERROR(__xludf.DUMMYFUNCTION("""COMPUTED_VALUE"""),"Vi lượng Basel IDA 46")</f>
        <v>Vi lượng Basel IDA 46</v>
      </c>
      <c r="F910" s="87" t="str">
        <f>IFERROR(__xludf.DUMMYFUNCTION("""COMPUTED_VALUE"""),"HH0302")</f>
        <v>HH0302</v>
      </c>
      <c r="G910" s="87" t="str">
        <f>IFERROR(__xludf.DUMMYFUNCTION("""COMPUTED_VALUE"""),"GC - I - 302 - Dưỡng cây xanh lá - 500ml - 40")</f>
        <v>GC - I - 302 - Dưỡng cây xanh lá - 500ml - 40</v>
      </c>
    </row>
    <row r="911">
      <c r="A911" s="86">
        <f>IFERROR(__xludf.DUMMYFUNCTION("""COMPUTED_VALUE"""),909.0)</f>
        <v>909</v>
      </c>
      <c r="B911" s="87" t="str">
        <f>IFERROR(__xludf.DUMMYFUNCTION("""COMPUTED_VALUE"""),"Nhãn")</f>
        <v>Nhãn</v>
      </c>
      <c r="C911" s="87" t="str">
        <f>IFERROR(__xludf.DUMMYFUNCTION("""COMPUTED_VALUE"""),"NHD0304")</f>
        <v>NHD0304</v>
      </c>
      <c r="D911" s="87" t="str">
        <f>IFERROR(__xludf.DUMMYFUNCTION("""COMPUTED_VALUE"""),"[Nhãn] GC - I - 304 - Thiên Di Creek 2.1EC (chai pet vuông) - 400ml - 40")</f>
        <v>[Nhãn] GC - I - 304 - Thiên Di Creek 2.1EC (chai pet vuông) - 400ml - 40</v>
      </c>
      <c r="E911" s="87" t="str">
        <f>IFERROR(__xludf.DUMMYFUNCTION("""COMPUTED_VALUE"""),"Creek 2.1EC")</f>
        <v>Creek 2.1EC</v>
      </c>
      <c r="F911" s="87" t="str">
        <f>IFERROR(__xludf.DUMMYFUNCTION("""COMPUTED_VALUE"""),"HH0304")</f>
        <v>HH0304</v>
      </c>
      <c r="G911" s="87" t="str">
        <f>IFERROR(__xludf.DUMMYFUNCTION("""COMPUTED_VALUE"""),"GC - I - 304 - Thiên Di Creek 2.1EC (chai pet vuông) - 400ml - 40")</f>
        <v>GC - I - 304 - Thiên Di Creek 2.1EC (chai pet vuông) - 400ml - 40</v>
      </c>
    </row>
    <row r="912">
      <c r="A912" s="86">
        <f>IFERROR(__xludf.DUMMYFUNCTION("""COMPUTED_VALUE"""),910.0)</f>
        <v>910</v>
      </c>
      <c r="B912" s="87" t="str">
        <f>IFERROR(__xludf.DUMMYFUNCTION("""COMPUTED_VALUE"""),"Nhãn")</f>
        <v>Nhãn</v>
      </c>
      <c r="C912" s="87" t="str">
        <f>IFERROR(__xludf.DUMMYFUNCTION("""COMPUTED_VALUE"""),"NTN0309")</f>
        <v>NTN0309</v>
      </c>
      <c r="D912" s="87" t="str">
        <f>IFERROR(__xludf.DUMMYFUNCTION("""COMPUTED_VALUE"""),"[Nhãn] GC - I - 309 - Wettable Powder - 100gr - 100")</f>
        <v>[Nhãn] GC - I - 309 - Wettable Powder - 100gr - 100</v>
      </c>
      <c r="E912" s="87" t="str">
        <f>IFERROR(__xludf.DUMMYFUNCTION("""COMPUTED_VALUE"""),"Acodyl 35WP")</f>
        <v>Acodyl 35WP</v>
      </c>
      <c r="F912" s="87" t="str">
        <f>IFERROR(__xludf.DUMMYFUNCTION("""COMPUTED_VALUE"""),"HH0309")</f>
        <v>HH0309</v>
      </c>
      <c r="G912" s="87" t="str">
        <f>IFERROR(__xludf.DUMMYFUNCTION("""COMPUTED_VALUE"""),"GC - I - 309 - Wettable Powder - 100gr - 100")</f>
        <v>GC - I - 309 - Wettable Powder - 100gr - 100</v>
      </c>
    </row>
    <row r="913">
      <c r="A913" s="86">
        <f>IFERROR(__xludf.DUMMYFUNCTION("""COMPUTED_VALUE"""),911.0)</f>
        <v>911</v>
      </c>
      <c r="B913" s="87" t="str">
        <f>IFERROR(__xludf.DUMMYFUNCTION("""COMPUTED_VALUE"""),"Nhãn")</f>
        <v>Nhãn</v>
      </c>
      <c r="C913" s="87" t="str">
        <f>IFERROR(__xludf.DUMMYFUNCTION("""COMPUTED_VALUE"""),"NHD0312")</f>
        <v>NHD0312</v>
      </c>
      <c r="D913" s="87" t="str">
        <f>IFERROR(__xludf.DUMMYFUNCTION("""COMPUTED_VALUE"""),"[Nhãn] LOT IDA Global - I - 312 - Creek 2.1EC (chai pet vuông)- 450ml - 40")</f>
        <v>[Nhãn] LOT IDA Global - I - 312 - Creek 2.1EC (chai pet vuông)- 450ml - 40</v>
      </c>
      <c r="E913" s="87" t="str">
        <f>IFERROR(__xludf.DUMMYFUNCTION("""COMPUTED_VALUE"""),"Creek 2.1EC")</f>
        <v>Creek 2.1EC</v>
      </c>
      <c r="F913" s="87" t="str">
        <f>IFERROR(__xludf.DUMMYFUNCTION("""COMPUTED_VALUE"""),"HH0312")</f>
        <v>HH0312</v>
      </c>
      <c r="G913" s="87" t="str">
        <f>IFERROR(__xludf.DUMMYFUNCTION("""COMPUTED_VALUE"""),"LOT IDA Global - I - 312 - Creek 2.1EC (chai pet vuông)- 450ml - 40")</f>
        <v>LOT IDA Global - I - 312 - Creek 2.1EC (chai pet vuông)- 450ml - 40</v>
      </c>
    </row>
    <row r="914">
      <c r="A914" s="86">
        <f>IFERROR(__xludf.DUMMYFUNCTION("""COMPUTED_VALUE"""),912.0)</f>
        <v>912</v>
      </c>
      <c r="B914" s="87" t="str">
        <f>IFERROR(__xludf.DUMMYFUNCTION("""COMPUTED_VALUE"""),"Nhãn")</f>
        <v>Nhãn</v>
      </c>
      <c r="C914" s="87" t="str">
        <f>IFERROR(__xludf.DUMMYFUNCTION("""COMPUTED_VALUE"""),"NHG0313.1")</f>
        <v>NHG0313.1</v>
      </c>
      <c r="D914" s="87" t="str">
        <f>IFERROR(__xludf.DUMMYFUNCTION("""COMPUTED_VALUE"""),"[Nhãn] LOT IDA Global - I - 313.1 - Chlorpyrifos (xanh dương) (PET tròn)- 480ml - 40")</f>
        <v>[Nhãn] LOT IDA Global - I - 313.1 - Chlorpyrifos (xanh dương) (PET tròn)- 480ml - 40</v>
      </c>
      <c r="E914" s="87" t="str">
        <f>IFERROR(__xludf.DUMMYFUNCTION("""COMPUTED_VALUE"""),"Pro-tin 480EC")</f>
        <v>Pro-tin 480EC</v>
      </c>
      <c r="F914" s="87" t="str">
        <f>IFERROR(__xludf.DUMMYFUNCTION("""COMPUTED_VALUE"""),"HH13.1")</f>
        <v>HH13.1</v>
      </c>
      <c r="G914" s="87" t="str">
        <f>IFERROR(__xludf.DUMMYFUNCTION("""COMPUTED_VALUE"""),"LOT IDA Global - I - 313.1 - Chlorpyrifos (xanh dương) (PET tròn)- 480ml - 40")</f>
        <v>LOT IDA Global - I - 313.1 - Chlorpyrifos (xanh dương) (PET tròn)- 480ml - 40</v>
      </c>
    </row>
    <row r="915">
      <c r="A915" s="86">
        <f>IFERROR(__xludf.DUMMYFUNCTION("""COMPUTED_VALUE"""),913.0)</f>
        <v>913</v>
      </c>
      <c r="B915" s="87" t="str">
        <f>IFERROR(__xludf.DUMMYFUNCTION("""COMPUTED_VALUE"""),"Nhãn")</f>
        <v>Nhãn</v>
      </c>
      <c r="C915" s="87" t="str">
        <f>IFERROR(__xludf.DUMMYFUNCTION("""COMPUTED_VALUE"""),"NTN0320.1")</f>
        <v>NTN0320.1</v>
      </c>
      <c r="D915" s="87" t="str">
        <f>IFERROR(__xludf.DUMMYFUNCTION("""COMPUTED_VALUE"""),"[Nhãn] GC - II - 320.1 - AU - Diệp Lục Tố (Túi Trục) - 50ml - 200")</f>
        <v>[Nhãn] GC - II - 320.1 - AU - Diệp Lục Tố (Túi Trục) - 50ml - 200</v>
      </c>
      <c r="E915" s="87" t="str">
        <f>IFERROR(__xludf.DUMMYFUNCTION("""COMPUTED_VALUE"""),"Vi lượng Basel IDA 46")</f>
        <v>Vi lượng Basel IDA 46</v>
      </c>
      <c r="F915" s="87" t="str">
        <f>IFERROR(__xludf.DUMMYFUNCTION("""COMPUTED_VALUE"""),"HH20.1")</f>
        <v>HH20.1</v>
      </c>
      <c r="G915" s="87" t="str">
        <f>IFERROR(__xludf.DUMMYFUNCTION("""COMPUTED_VALUE"""),"GC - II - 320.1 - AU - Diệp Lục Tố (Túi Trục) - 50ml - 200")</f>
        <v>GC - II - 320.1 - AU - Diệp Lục Tố (Túi Trục) - 50ml - 200</v>
      </c>
    </row>
    <row r="916">
      <c r="A916" s="86">
        <f>IFERROR(__xludf.DUMMYFUNCTION("""COMPUTED_VALUE"""),914.0)</f>
        <v>914</v>
      </c>
      <c r="B916" s="87" t="str">
        <f>IFERROR(__xludf.DUMMYFUNCTION("""COMPUTED_VALUE"""),"Nhãn")</f>
        <v>Nhãn</v>
      </c>
      <c r="C916" s="87" t="str">
        <f>IFERROR(__xludf.DUMMYFUNCTION("""COMPUTED_VALUE"""),"NHG0324")</f>
        <v>NHG0324</v>
      </c>
      <c r="D916" s="87" t="str">
        <f>IFERROR(__xludf.DUMMYFUNCTION("""COMPUTED_VALUE"""),"[Nhãn] IDA Global - I - 324 - Chito M55 - 500ml - 40")</f>
        <v>[Nhãn] IDA Global - I - 324 - Chito M55 - 500ml - 40</v>
      </c>
      <c r="E916" s="87" t="str">
        <f>IFERROR(__xludf.DUMMYFUNCTION("""COMPUTED_VALUE"""),"Vi lượng Basel IDA 46")</f>
        <v>Vi lượng Basel IDA 46</v>
      </c>
      <c r="F916" s="87" t="str">
        <f>IFERROR(__xludf.DUMMYFUNCTION("""COMPUTED_VALUE"""),"HH0324")</f>
        <v>HH0324</v>
      </c>
      <c r="G916" s="87" t="str">
        <f>IFERROR(__xludf.DUMMYFUNCTION("""COMPUTED_VALUE"""),"IDA Global - I - 324 - Chito M55 - 500ml - 40")</f>
        <v>IDA Global - I - 324 - Chito M55 - 500ml - 40</v>
      </c>
    </row>
    <row r="917">
      <c r="A917" s="86">
        <f>IFERROR(__xludf.DUMMYFUNCTION("""COMPUTED_VALUE"""),915.0)</f>
        <v>915</v>
      </c>
      <c r="B917" s="87" t="str">
        <f>IFERROR(__xludf.DUMMYFUNCTION("""COMPUTED_VALUE"""),"HỘP")</f>
        <v>HỘP</v>
      </c>
      <c r="C917" s="87" t="str">
        <f>IFERROR(__xludf.DUMMYFUNCTION("""COMPUTED_VALUE"""),"HOP0326")</f>
        <v>HOP0326</v>
      </c>
      <c r="D917" s="87" t="str">
        <f>IFERROR(__xludf.DUMMYFUNCTION("""COMPUTED_VALUE"""),"[HOP] GC - I - 326 - CTP - Viên sủi to hạt Trúng mùa số 1 - 5gr - 1000")</f>
        <v>[HOP] GC - I - 326 - CTP - Viên sủi to hạt Trúng mùa số 1 - 5gr - 1000</v>
      </c>
      <c r="E917" s="87" t="str">
        <f>IFERROR(__xludf.DUMMYFUNCTION("""COMPUTED_VALUE"""),"Vi lượng Basel DANA 20")</f>
        <v>Vi lượng Basel DANA 20</v>
      </c>
      <c r="F917" s="87" t="str">
        <f>IFERROR(__xludf.DUMMYFUNCTION("""COMPUTED_VALUE"""),"HH0326")</f>
        <v>HH0326</v>
      </c>
      <c r="G917" s="87" t="str">
        <f>IFERROR(__xludf.DUMMYFUNCTION("""COMPUTED_VALUE"""),"GC - I - 326 - CTP - Viên sủi to hạt Trúng mùa số 1 - 5gr - 1000")</f>
        <v>GC - I - 326 - CTP - Viên sủi to hạt Trúng mùa số 1 - 5gr - 1000</v>
      </c>
    </row>
    <row r="918">
      <c r="A918" s="86">
        <f>IFERROR(__xludf.DUMMYFUNCTION("""COMPUTED_VALUE"""),916.0)</f>
        <v>916</v>
      </c>
      <c r="B918" s="87" t="str">
        <f>IFERROR(__xludf.DUMMYFUNCTION("""COMPUTED_VALUE"""),"Nhãn")</f>
        <v>Nhãn</v>
      </c>
      <c r="C918" s="87" t="str">
        <f>IFERROR(__xludf.DUMMYFUNCTION("""COMPUTED_VALUE"""),"NHG0328")</f>
        <v>NHG0328</v>
      </c>
      <c r="D918" s="87" t="str">
        <f>IFERROR(__xludf.DUMMYFUNCTION("""COMPUTED_VALUE"""),"[Nhãn] GC - II - 328 - Agriplant - Bio siêu đậu trái lớn trái xoài (Mới) - 500ml - 40")</f>
        <v>[Nhãn] GC - II - 328 - Agriplant - Bio siêu đậu trái lớn trái xoài (Mới) - 500ml - 40</v>
      </c>
      <c r="E918" s="87" t="str">
        <f>IFERROR(__xludf.DUMMYFUNCTION("""COMPUTED_VALUE"""),"Vi lượng AV-CFC Plus")</f>
        <v>Vi lượng AV-CFC Plus</v>
      </c>
      <c r="F918" s="87" t="str">
        <f>IFERROR(__xludf.DUMMYFUNCTION("""COMPUTED_VALUE"""),"HH0328")</f>
        <v>HH0328</v>
      </c>
      <c r="G918" s="87" t="str">
        <f>IFERROR(__xludf.DUMMYFUNCTION("""COMPUTED_VALUE"""),"GC - II - 328 - Agriplant - Bio siêu đậu trái lớn trái xoài (Mới) - 500ml - 40")</f>
        <v>GC - II - 328 - Agriplant - Bio siêu đậu trái lớn trái xoài (Mới) - 500ml - 40</v>
      </c>
    </row>
    <row r="919">
      <c r="A919" s="86">
        <f>IFERROR(__xludf.DUMMYFUNCTION("""COMPUTED_VALUE"""),917.0)</f>
        <v>917</v>
      </c>
      <c r="B919" s="87" t="str">
        <f>IFERROR(__xludf.DUMMYFUNCTION("""COMPUTED_VALUE"""),"Nhãn")</f>
        <v>Nhãn</v>
      </c>
      <c r="C919" s="87" t="str">
        <f>IFERROR(__xludf.DUMMYFUNCTION("""COMPUTED_VALUE"""),"NTN0349")</f>
        <v>NTN0349</v>
      </c>
      <c r="D919" s="87" t="str">
        <f>IFERROR(__xludf.DUMMYFUNCTION("""COMPUTED_VALUE"""),"[Nhãn] IDA Global - I - 349 - Ronado (mới)- 50ml - 300")</f>
        <v>[Nhãn] IDA Global - I - 349 - Ronado (mới)- 50ml - 300</v>
      </c>
      <c r="E919" s="87" t="str">
        <f>IFERROR(__xludf.DUMMYFUNCTION("""COMPUTED_VALUE"""),"NPK Bổ sung Vi lượng Basel NPK 6-16-3 IDA 15")</f>
        <v>NPK Bổ sung Vi lượng Basel NPK 6-16-3 IDA 15</v>
      </c>
      <c r="F919" s="87" t="str">
        <f>IFERROR(__xludf.DUMMYFUNCTION("""COMPUTED_VALUE"""),"HH0349")</f>
        <v>HH0349</v>
      </c>
      <c r="G919" s="87" t="str">
        <f>IFERROR(__xludf.DUMMYFUNCTION("""COMPUTED_VALUE"""),"IDA Global - I - 349 - Ronado (mới)- 50ml - 300")</f>
        <v>IDA Global - I - 349 - Ronado (mới)- 50ml - 300</v>
      </c>
    </row>
    <row r="920">
      <c r="A920" s="86">
        <f>IFERROR(__xludf.DUMMYFUNCTION("""COMPUTED_VALUE"""),918.0)</f>
        <v>918</v>
      </c>
      <c r="B920" s="87" t="str">
        <f>IFERROR(__xludf.DUMMYFUNCTION("""COMPUTED_VALUE"""),"Nhãn")</f>
        <v>Nhãn</v>
      </c>
      <c r="C920" s="87" t="str">
        <f>IFERROR(__xludf.DUMMYFUNCTION("""COMPUTED_VALUE"""),"NTN0351")</f>
        <v>NTN0351</v>
      </c>
      <c r="D920" s="87" t="str">
        <f>IFERROR(__xludf.DUMMYFUNCTION("""COMPUTED_VALUE"""),"[Nhãn] IDA Global - I - 351 - Ra rễ mập chồi (mới) - 50ml - 300")</f>
        <v>[Nhãn] IDA Global - I - 351 - Ra rễ mập chồi (mới) - 50ml - 300</v>
      </c>
      <c r="E920" s="87" t="str">
        <f>IFERROR(__xludf.DUMMYFUNCTION("""COMPUTED_VALUE"""),"NPK Bổ sung Vi lượng Basel NPK 6-16-3 IDA 15")</f>
        <v>NPK Bổ sung Vi lượng Basel NPK 6-16-3 IDA 15</v>
      </c>
      <c r="F920" s="87" t="str">
        <f>IFERROR(__xludf.DUMMYFUNCTION("""COMPUTED_VALUE"""),"HH0351")</f>
        <v>HH0351</v>
      </c>
      <c r="G920" s="87" t="str">
        <f>IFERROR(__xludf.DUMMYFUNCTION("""COMPUTED_VALUE"""),"IDA Global - I - 351 - Ra rễ mập chồi (mới) - 50ml - 300")</f>
        <v>IDA Global - I - 351 - Ra rễ mập chồi (mới) - 50ml - 300</v>
      </c>
    </row>
    <row r="921">
      <c r="A921" s="86">
        <f>IFERROR(__xludf.DUMMYFUNCTION("""COMPUTED_VALUE"""),919.0)</f>
        <v>919</v>
      </c>
      <c r="B921" s="87" t="str">
        <f>IFERROR(__xludf.DUMMYFUNCTION("""COMPUTED_VALUE"""),"Nhãn")</f>
        <v>Nhãn</v>
      </c>
      <c r="C921" s="87" t="str">
        <f>IFERROR(__xludf.DUMMYFUNCTION("""COMPUTED_VALUE"""),"NHG0354")</f>
        <v>NHG0354</v>
      </c>
      <c r="D921" s="87" t="str">
        <f>IFERROR(__xludf.DUMMYFUNCTION("""COMPUTED_VALUE"""),"[Nhãn] LOT IDA Global - I - 354 - Sức mạnh cá mập 260 - 120ml - 100")</f>
        <v>[Nhãn] LOT IDA Global - I - 354 - Sức mạnh cá mập 260 - 120ml - 100</v>
      </c>
      <c r="E921" s="87" t="str">
        <f>IFERROR(__xludf.DUMMYFUNCTION("""COMPUTED_VALUE"""),"Leafroll 260SC")</f>
        <v>Leafroll 260SC</v>
      </c>
      <c r="F921" s="87" t="str">
        <f>IFERROR(__xludf.DUMMYFUNCTION("""COMPUTED_VALUE"""),"HH0354")</f>
        <v>HH0354</v>
      </c>
      <c r="G921" s="87" t="str">
        <f>IFERROR(__xludf.DUMMYFUNCTION("""COMPUTED_VALUE"""),"LOT IDA Global - I - 354 - Sức mạnh cá mập 260 - 120ml - 100")</f>
        <v>LOT IDA Global - I - 354 - Sức mạnh cá mập 260 - 120ml - 100</v>
      </c>
    </row>
    <row r="922">
      <c r="A922" s="86">
        <f>IFERROR(__xludf.DUMMYFUNCTION("""COMPUTED_VALUE"""),920.0)</f>
        <v>920</v>
      </c>
      <c r="B922" s="87" t="str">
        <f>IFERROR(__xludf.DUMMYFUNCTION("""COMPUTED_VALUE"""),"Nhãn")</f>
        <v>Nhãn</v>
      </c>
      <c r="C922" s="87" t="str">
        <f>IFERROR(__xludf.DUMMYFUNCTION("""COMPUTED_VALUE"""),"NHG0355")</f>
        <v>NHG0355</v>
      </c>
      <c r="D922" s="87" t="str">
        <f>IFERROR(__xludf.DUMMYFUNCTION("""COMPUTED_VALUE"""),"[Nhãn] GC - II - 355 - AK - T-AK01 - 500ml - 40")</f>
        <v>[Nhãn] GC - II - 355 - AK - T-AK01 - 500ml - 40</v>
      </c>
      <c r="E922" s="87" t="str">
        <f>IFERROR(__xludf.DUMMYFUNCTION("""COMPUTED_VALUE"""),"Vi lượng AV-CFC
(Dạng lỏng)")</f>
        <v>Vi lượng AV-CFC
(Dạng lỏng)</v>
      </c>
      <c r="F922" s="87" t="str">
        <f>IFERROR(__xludf.DUMMYFUNCTION("""COMPUTED_VALUE"""),"HH0355")</f>
        <v>HH0355</v>
      </c>
      <c r="G922" s="87" t="str">
        <f>IFERROR(__xludf.DUMMYFUNCTION("""COMPUTED_VALUE"""),"GC - II - 355 - AK - T-AK01 - 500ml - 40")</f>
        <v>GC - II - 355 - AK - T-AK01 - 500ml - 40</v>
      </c>
    </row>
    <row r="923">
      <c r="A923" s="86">
        <f>IFERROR(__xludf.DUMMYFUNCTION("""COMPUTED_VALUE"""),921.0)</f>
        <v>921</v>
      </c>
      <c r="B923" s="87" t="str">
        <f>IFERROR(__xludf.DUMMYFUNCTION("""COMPUTED_VALUE"""),"Nhãn")</f>
        <v>Nhãn</v>
      </c>
      <c r="C923" s="87" t="str">
        <f>IFERROR(__xludf.DUMMYFUNCTION("""COMPUTED_VALUE"""),"NHG0357")</f>
        <v>NHG0357</v>
      </c>
      <c r="D923" s="87" t="str">
        <f>IFERROR(__xludf.DUMMYFUNCTION("""COMPUTED_VALUE"""),"[Nhãn] GC - II - 357 - AK - T-AK02 - 500ml - 40")</f>
        <v>[Nhãn] GC - II - 357 - AK - T-AK02 - 500ml - 40</v>
      </c>
      <c r="E923" s="87" t="str">
        <f>IFERROR(__xludf.DUMMYFUNCTION("""COMPUTED_VALUE"""),"Vi lượng Basel IDA 49")</f>
        <v>Vi lượng Basel IDA 49</v>
      </c>
      <c r="F923" s="87" t="str">
        <f>IFERROR(__xludf.DUMMYFUNCTION("""COMPUTED_VALUE"""),"HH0357")</f>
        <v>HH0357</v>
      </c>
      <c r="G923" s="87" t="str">
        <f>IFERROR(__xludf.DUMMYFUNCTION("""COMPUTED_VALUE"""),"GC - II - 357 - AK - T-AK02 - 500ml - 40")</f>
        <v>GC - II - 357 - AK - T-AK02 - 500ml - 40</v>
      </c>
    </row>
    <row r="924">
      <c r="A924" s="86">
        <f>IFERROR(__xludf.DUMMYFUNCTION("""COMPUTED_VALUE"""),922.0)</f>
        <v>922</v>
      </c>
      <c r="B924" s="87" t="str">
        <f>IFERROR(__xludf.DUMMYFUNCTION("""COMPUTED_VALUE"""),"Nhãn")</f>
        <v>Nhãn</v>
      </c>
      <c r="C924" s="87" t="str">
        <f>IFERROR(__xludf.DUMMYFUNCTION("""COMPUTED_VALUE"""),"NTN0358")</f>
        <v>NTN0358</v>
      </c>
      <c r="D924" s="87" t="str">
        <f>IFERROR(__xludf.DUMMYFUNCTION("""COMPUTED_VALUE"""),"[Nhãn] GC - II - 358 - Hoàng Thảo - HumiK - 1kg - 25")</f>
        <v>[Nhãn] GC - II - 358 - Hoàng Thảo - HumiK - 1kg - 25</v>
      </c>
      <c r="E924" s="87" t="str">
        <f>IFERROR(__xludf.DUMMYFUNCTION("""COMPUTED_VALUE"""),"Vi lượng AV-CFC
(Dạng rắn)")</f>
        <v>Vi lượng AV-CFC
(Dạng rắn)</v>
      </c>
      <c r="F924" s="87" t="str">
        <f>IFERROR(__xludf.DUMMYFUNCTION("""COMPUTED_VALUE"""),"HH0358")</f>
        <v>HH0358</v>
      </c>
      <c r="G924" s="87" t="str">
        <f>IFERROR(__xludf.DUMMYFUNCTION("""COMPUTED_VALUE"""),"GC - II - 358 - Hoàng Thảo - HumiK - 1kg - 25")</f>
        <v>GC - II - 358 - Hoàng Thảo - HumiK - 1kg - 25</v>
      </c>
    </row>
    <row r="925">
      <c r="A925" s="86">
        <f>IFERROR(__xludf.DUMMYFUNCTION("""COMPUTED_VALUE"""),923.0)</f>
        <v>923</v>
      </c>
      <c r="B925" s="87" t="str">
        <f>IFERROR(__xludf.DUMMYFUNCTION("""COMPUTED_VALUE"""),"Nhãn")</f>
        <v>Nhãn</v>
      </c>
      <c r="C925" s="87" t="str">
        <f>IFERROR(__xludf.DUMMYFUNCTION("""COMPUTED_VALUE"""),"NHG0359")</f>
        <v>NHG0359</v>
      </c>
      <c r="D925" s="87" t="str">
        <f>IFERROR(__xludf.DUMMYFUNCTION("""COMPUTED_VALUE"""),"[Nhãn] GC - I - 359 - AU - Stronger Plus - 500ml - 40")</f>
        <v>[Nhãn] GC - I - 359 - AU - Stronger Plus - 500ml - 40</v>
      </c>
      <c r="E925" s="87" t="str">
        <f>IFERROR(__xludf.DUMMYFUNCTION("""COMPUTED_VALUE"""),"Vi lượng Basel DANA 20")</f>
        <v>Vi lượng Basel DANA 20</v>
      </c>
      <c r="F925" s="87" t="str">
        <f>IFERROR(__xludf.DUMMYFUNCTION("""COMPUTED_VALUE"""),"HH0359")</f>
        <v>HH0359</v>
      </c>
      <c r="G925" s="87" t="str">
        <f>IFERROR(__xludf.DUMMYFUNCTION("""COMPUTED_VALUE"""),"GC - I - 359 - AU - Stronger Plus - 500ml - 40")</f>
        <v>GC - I - 359 - AU - Stronger Plus - 500ml - 40</v>
      </c>
    </row>
    <row r="926">
      <c r="A926" s="86">
        <f>IFERROR(__xludf.DUMMYFUNCTION("""COMPUTED_VALUE"""),924.0)</f>
        <v>924</v>
      </c>
      <c r="B926" s="87" t="str">
        <f>IFERROR(__xludf.DUMMYFUNCTION("""COMPUTED_VALUE"""),"Nhãn")</f>
        <v>Nhãn</v>
      </c>
      <c r="C926" s="87" t="str">
        <f>IFERROR(__xludf.DUMMYFUNCTION("""COMPUTED_VALUE"""),"NHG0361")</f>
        <v>NHG0361</v>
      </c>
      <c r="D926" s="87" t="str">
        <f>IFERROR(__xludf.DUMMYFUNCTION("""COMPUTED_VALUE"""),"[Nhãn] GC - II -361 - Kali Sữa - 500ml - 40")</f>
        <v>[Nhãn] GC - II -361 - Kali Sữa - 500ml - 40</v>
      </c>
      <c r="E926" s="87" t="str">
        <f>IFERROR(__xludf.DUMMYFUNCTION("""COMPUTED_VALUE"""),"Vi lượng AV-VINA US-BOKALI")</f>
        <v>Vi lượng AV-VINA US-BOKALI</v>
      </c>
      <c r="F926" s="87" t="str">
        <f>IFERROR(__xludf.DUMMYFUNCTION("""COMPUTED_VALUE"""),"HH0361")</f>
        <v>HH0361</v>
      </c>
      <c r="G926" s="87" t="str">
        <f>IFERROR(__xludf.DUMMYFUNCTION("""COMPUTED_VALUE"""),"GC - II -361 - Kali Sữa - 500ml - 40")</f>
        <v>GC - II -361 - Kali Sữa - 500ml - 40</v>
      </c>
    </row>
    <row r="927">
      <c r="A927" s="86">
        <f>IFERROR(__xludf.DUMMYFUNCTION("""COMPUTED_VALUE"""),925.0)</f>
        <v>925</v>
      </c>
      <c r="B927" s="87" t="str">
        <f>IFERROR(__xludf.DUMMYFUNCTION("""COMPUTED_VALUE"""),"Nhãn")</f>
        <v>Nhãn</v>
      </c>
      <c r="C927" s="87" t="str">
        <f>IFERROR(__xludf.DUMMYFUNCTION("""COMPUTED_VALUE"""),"NHG0363")</f>
        <v>NHG0363</v>
      </c>
      <c r="D927" s="87" t="str">
        <f>IFERROR(__xludf.DUMMYFUNCTION("""COMPUTED_VALUE"""),"[Nhãn] GC - I - 363 - AU - Diệt sạch sâu - nhện AGC (Chai nhôm đỏ) - 220ml - 40")</f>
        <v>[Nhãn] GC - I - 363 - AU - Diệt sạch sâu - nhện AGC (Chai nhôm đỏ) - 220ml - 40</v>
      </c>
      <c r="E927" s="87" t="str">
        <f>IFERROR(__xludf.DUMMYFUNCTION("""COMPUTED_VALUE"""),"Tiger five 6.5EC")</f>
        <v>Tiger five 6.5EC</v>
      </c>
      <c r="F927" s="87" t="str">
        <f>IFERROR(__xludf.DUMMYFUNCTION("""COMPUTED_VALUE"""),"HH0363")</f>
        <v>HH0363</v>
      </c>
      <c r="G927" s="87" t="str">
        <f>IFERROR(__xludf.DUMMYFUNCTION("""COMPUTED_VALUE"""),"GC - I - 363 - AU - Diệt sạch sâu - nhện AGC (Chai nhôm đỏ) - 220ml - 40")</f>
        <v>GC - I - 363 - AU - Diệt sạch sâu - nhện AGC (Chai nhôm đỏ) - 220ml - 40</v>
      </c>
    </row>
    <row r="928">
      <c r="A928" s="86">
        <f>IFERROR(__xludf.DUMMYFUNCTION("""COMPUTED_VALUE"""),926.0)</f>
        <v>926</v>
      </c>
      <c r="B928" s="87" t="str">
        <f>IFERROR(__xludf.DUMMYFUNCTION("""COMPUTED_VALUE"""),"Nhãn")</f>
        <v>Nhãn</v>
      </c>
      <c r="C928" s="87" t="str">
        <f>IFERROR(__xludf.DUMMYFUNCTION("""COMPUTED_VALUE"""),"NTN0365.1")</f>
        <v>NTN0365.1</v>
      </c>
      <c r="D928" s="87" t="str">
        <f>IFERROR(__xludf.DUMMYFUNCTION("""COMPUTED_VALUE"""),"[Nhãn] IDA Global - I - 365.1 - Humi Total (Xanh Dương) - 1kg - 25")</f>
        <v>[Nhãn] IDA Global - I - 365.1 - Humi Total (Xanh Dương) - 1kg - 25</v>
      </c>
      <c r="E928" s="87" t="str">
        <f>IFERROR(__xludf.DUMMYFUNCTION("""COMPUTED_VALUE"""),"Vi lượng AV-CFC
(Dạng rắn)")</f>
        <v>Vi lượng AV-CFC
(Dạng rắn)</v>
      </c>
      <c r="F928" s="87" t="str">
        <f>IFERROR(__xludf.DUMMYFUNCTION("""COMPUTED_VALUE"""),"HH65.1")</f>
        <v>HH65.1</v>
      </c>
      <c r="G928" s="87" t="str">
        <f>IFERROR(__xludf.DUMMYFUNCTION("""COMPUTED_VALUE"""),"IDA Global - I - 365.1 - Humi Total (Xanh Dương) - 1kg - 25")</f>
        <v>IDA Global - I - 365.1 - Humi Total (Xanh Dương) - 1kg - 25</v>
      </c>
    </row>
    <row r="929">
      <c r="A929" s="86">
        <f>IFERROR(__xludf.DUMMYFUNCTION("""COMPUTED_VALUE"""),927.0)</f>
        <v>927</v>
      </c>
      <c r="B929" s="87" t="str">
        <f>IFERROR(__xludf.DUMMYFUNCTION("""COMPUTED_VALUE"""),"Nhãn")</f>
        <v>Nhãn</v>
      </c>
      <c r="C929" s="87" t="str">
        <f>IFERROR(__xludf.DUMMYFUNCTION("""COMPUTED_VALUE"""),"NHG0367")</f>
        <v>NHG0367</v>
      </c>
      <c r="D929" s="87" t="str">
        <f>IFERROR(__xludf.DUMMYFUNCTION("""COMPUTED_VALUE"""),"[Nhãn] GC - I - 367 - AU - BOZINC - 500ml - 40")</f>
        <v>[Nhãn] GC - I - 367 - AU - BOZINC - 500ml - 40</v>
      </c>
      <c r="E929" s="87" t="str">
        <f>IFERROR(__xludf.DUMMYFUNCTION("""COMPUTED_VALUE"""),"Vi lượng Basel DANA 20")</f>
        <v>Vi lượng Basel DANA 20</v>
      </c>
      <c r="F929" s="87" t="str">
        <f>IFERROR(__xludf.DUMMYFUNCTION("""COMPUTED_VALUE"""),"HH0367")</f>
        <v>HH0367</v>
      </c>
      <c r="G929" s="87" t="str">
        <f>IFERROR(__xludf.DUMMYFUNCTION("""COMPUTED_VALUE"""),"GC - I - 367 - AU - BOZINC - 500ml - 40")</f>
        <v>GC - I - 367 - AU - BOZINC - 500ml - 40</v>
      </c>
    </row>
    <row r="930">
      <c r="A930" s="86">
        <f>IFERROR(__xludf.DUMMYFUNCTION("""COMPUTED_VALUE"""),928.0)</f>
        <v>928</v>
      </c>
      <c r="B930" s="87" t="str">
        <f>IFERROR(__xludf.DUMMYFUNCTION("""COMPUTED_VALUE"""),"Nhãn")</f>
        <v>Nhãn</v>
      </c>
      <c r="C930" s="87" t="str">
        <f>IFERROR(__xludf.DUMMYFUNCTION("""COMPUTED_VALUE"""),"NHG0368")</f>
        <v>NHG0368</v>
      </c>
      <c r="D930" s="87" t="str">
        <f>IFERROR(__xludf.DUMMYFUNCTION("""COMPUTED_VALUE"""),"[Nhãn] GC - I - 368 - AU - Root Plus - 1lít - 20")</f>
        <v>[Nhãn] GC - I - 368 - AU - Root Plus - 1lít - 20</v>
      </c>
      <c r="E930" s="87" t="str">
        <f>IFERROR(__xludf.DUMMYFUNCTION("""COMPUTED_VALUE"""),"Vi lượng Basel DANA 20")</f>
        <v>Vi lượng Basel DANA 20</v>
      </c>
      <c r="F930" s="87" t="str">
        <f>IFERROR(__xludf.DUMMYFUNCTION("""COMPUTED_VALUE"""),"HH0368")</f>
        <v>HH0368</v>
      </c>
      <c r="G930" s="87" t="str">
        <f>IFERROR(__xludf.DUMMYFUNCTION("""COMPUTED_VALUE"""),"GC - I - 368 - AU - Root Plus - 1lít - 20")</f>
        <v>GC - I - 368 - AU - Root Plus - 1lít - 20</v>
      </c>
    </row>
    <row r="931">
      <c r="A931" s="86">
        <f>IFERROR(__xludf.DUMMYFUNCTION("""COMPUTED_VALUE"""),929.0)</f>
        <v>929</v>
      </c>
      <c r="B931" s="87" t="str">
        <f>IFERROR(__xludf.DUMMYFUNCTION("""COMPUTED_VALUE"""),"Nhãn")</f>
        <v>Nhãn</v>
      </c>
      <c r="C931" s="87" t="str">
        <f>IFERROR(__xludf.DUMMYFUNCTION("""COMPUTED_VALUE"""),"NTN0374")</f>
        <v>NTN0374</v>
      </c>
      <c r="D931" s="87" t="str">
        <f>IFERROR(__xludf.DUMMYFUNCTION("""COMPUTED_VALUE"""),"[Nhãn] GC - II - 374 - Dinh dưỡng 7in1 - 50ml - 200")</f>
        <v>[Nhãn] GC - II - 374 - Dinh dưỡng 7in1 - 50ml - 200</v>
      </c>
      <c r="E931" s="87" t="str">
        <f>IFERROR(__xludf.DUMMYFUNCTION("""COMPUTED_VALUE"""),"Vi lượng AV-CFC Plus")</f>
        <v>Vi lượng AV-CFC Plus</v>
      </c>
      <c r="F931" s="87" t="str">
        <f>IFERROR(__xludf.DUMMYFUNCTION("""COMPUTED_VALUE"""),"HH0374")</f>
        <v>HH0374</v>
      </c>
      <c r="G931" s="87" t="str">
        <f>IFERROR(__xludf.DUMMYFUNCTION("""COMPUTED_VALUE"""),"GC - II - 374 - Dinh dưỡng 7in1 - 50ml - 200")</f>
        <v>GC - II - 374 - Dinh dưỡng 7in1 - 50ml - 200</v>
      </c>
    </row>
    <row r="932">
      <c r="A932" s="86">
        <f>IFERROR(__xludf.DUMMYFUNCTION("""COMPUTED_VALUE"""),930.0)</f>
        <v>930</v>
      </c>
      <c r="B932" s="87" t="str">
        <f>IFERROR(__xludf.DUMMYFUNCTION("""COMPUTED_VALUE"""),"Nhãn")</f>
        <v>Nhãn</v>
      </c>
      <c r="C932" s="87" t="str">
        <f>IFERROR(__xludf.DUMMYFUNCTION("""COMPUTED_VALUE"""),"NTN0376")</f>
        <v>NTN0376</v>
      </c>
      <c r="D932" s="87" t="str">
        <f>IFERROR(__xludf.DUMMYFUNCTION("""COMPUTED_VALUE"""),"[Nhãn] GC - IV - 376 - Agriplant - Ra hoa xoài - 1kg - 25")</f>
        <v>[Nhãn] GC - IV - 376 - Agriplant - Ra hoa xoài - 1kg - 25</v>
      </c>
      <c r="E932" s="87" t="str">
        <f>IFERROR(__xludf.DUMMYFUNCTION("""COMPUTED_VALUE"""),"Vi lượng AV2-963BOZIN")</f>
        <v>Vi lượng AV2-963BOZIN</v>
      </c>
      <c r="F932" s="87" t="str">
        <f>IFERROR(__xludf.DUMMYFUNCTION("""COMPUTED_VALUE"""),"HH0376")</f>
        <v>HH0376</v>
      </c>
      <c r="G932" s="87" t="str">
        <f>IFERROR(__xludf.DUMMYFUNCTION("""COMPUTED_VALUE"""),"GC - IV - 376 - Agriplant - Ra hoa xoài - 1kg - 25")</f>
        <v>GC - IV - 376 - Agriplant - Ra hoa xoài - 1kg - 25</v>
      </c>
    </row>
    <row r="933">
      <c r="A933" s="86">
        <f>IFERROR(__xludf.DUMMYFUNCTION("""COMPUTED_VALUE"""),931.0)</f>
        <v>931</v>
      </c>
      <c r="B933" s="87" t="str">
        <f>IFERROR(__xludf.DUMMYFUNCTION("""COMPUTED_VALUE"""),"Nhãn")</f>
        <v>Nhãn</v>
      </c>
      <c r="C933" s="87" t="str">
        <f>IFERROR(__xludf.DUMMYFUNCTION("""COMPUTED_VALUE"""),"NHG0388")</f>
        <v>NHG0388</v>
      </c>
      <c r="D933" s="87" t="str">
        <f>IFERROR(__xludf.DUMMYFUNCTION("""COMPUTED_VALUE"""),"[Nhãn] IDA Global - I - 388 - YUMY Leafroll 260SC - 120ml - 100")</f>
        <v>[Nhãn] IDA Global - I - 388 - YUMY Leafroll 260SC - 120ml - 100</v>
      </c>
      <c r="E933" s="87" t="str">
        <f>IFERROR(__xludf.DUMMYFUNCTION("""COMPUTED_VALUE"""),"Leafroll 260SC")</f>
        <v>Leafroll 260SC</v>
      </c>
      <c r="F933" s="87" t="str">
        <f>IFERROR(__xludf.DUMMYFUNCTION("""COMPUTED_VALUE"""),"HH0388")</f>
        <v>HH0388</v>
      </c>
      <c r="G933" s="87" t="str">
        <f>IFERROR(__xludf.DUMMYFUNCTION("""COMPUTED_VALUE"""),"IDA Global - I - 388 - YUMY Leafroll 260SC - 120ml - 100")</f>
        <v>IDA Global - I - 388 - YUMY Leafroll 260SC - 120ml - 100</v>
      </c>
    </row>
    <row r="934">
      <c r="A934" s="86">
        <f>IFERROR(__xludf.DUMMYFUNCTION("""COMPUTED_VALUE"""),932.0)</f>
        <v>932</v>
      </c>
      <c r="B934" s="87" t="str">
        <f>IFERROR(__xludf.DUMMYFUNCTION("""COMPUTED_VALUE"""),"Nhãn")</f>
        <v>Nhãn</v>
      </c>
      <c r="C934" s="87" t="str">
        <f>IFERROR(__xludf.DUMMYFUNCTION("""COMPUTED_VALUE"""),"NTN0390.1")</f>
        <v>NTN0390.1</v>
      </c>
      <c r="D934" s="87" t="str">
        <f>IFERROR(__xludf.DUMMYFUNCTION("""COMPUTED_VALUE"""),"[Nhãn] IDA Global - I - 390.1 - Humi Total (nhãn viền cam) - 1kg - 25")</f>
        <v>[Nhãn] IDA Global - I - 390.1 - Humi Total (nhãn viền cam) - 1kg - 25</v>
      </c>
      <c r="E934" s="87" t="str">
        <f>IFERROR(__xludf.DUMMYFUNCTION("""COMPUTED_VALUE"""),"Vi lượng AV-CFC
(Dạng rắn)")</f>
        <v>Vi lượng AV-CFC
(Dạng rắn)</v>
      </c>
      <c r="F934" s="87" t="str">
        <f>IFERROR(__xludf.DUMMYFUNCTION("""COMPUTED_VALUE"""),"HH90.1")</f>
        <v>HH90.1</v>
      </c>
      <c r="G934" s="87" t="str">
        <f>IFERROR(__xludf.DUMMYFUNCTION("""COMPUTED_VALUE"""),"IDA Global - I - 390.1 - Humi Total (nhãn viền cam) - 1kg - 25")</f>
        <v>IDA Global - I - 390.1 - Humi Total (nhãn viền cam) - 1kg - 25</v>
      </c>
    </row>
    <row r="935">
      <c r="A935" s="86">
        <f>IFERROR(__xludf.DUMMYFUNCTION("""COMPUTED_VALUE"""),933.0)</f>
        <v>933</v>
      </c>
      <c r="B935" s="87" t="str">
        <f>IFERROR(__xludf.DUMMYFUNCTION("""COMPUTED_VALUE"""),"Nhãn")</f>
        <v>Nhãn</v>
      </c>
      <c r="C935" s="87" t="str">
        <f>IFERROR(__xludf.DUMMYFUNCTION("""COMPUTED_VALUE"""),"NHG0391")</f>
        <v>NHG0391</v>
      </c>
      <c r="D935" s="87" t="str">
        <f>IFERROR(__xludf.DUMMYFUNCTION("""COMPUTED_VALUE"""),"[Nhãn] GC - II - 391 - SH Mekongvil 5SC - 1 lít - 20")</f>
        <v>[Nhãn] GC - II - 391 - SH Mekongvil 5SC - 1 lít - 20</v>
      </c>
      <c r="E935" s="87" t="str">
        <f>IFERROR(__xludf.DUMMYFUNCTION("""COMPUTED_VALUE"""),"Mekongvil 5SC")</f>
        <v>Mekongvil 5SC</v>
      </c>
      <c r="F935" s="87" t="str">
        <f>IFERROR(__xludf.DUMMYFUNCTION("""COMPUTED_VALUE"""),"HH0391")</f>
        <v>HH0391</v>
      </c>
      <c r="G935" s="87" t="str">
        <f>IFERROR(__xludf.DUMMYFUNCTION("""COMPUTED_VALUE"""),"GC - II - 391 - SH Mekongvil 5SC - 1 lít - 20")</f>
        <v>GC - II - 391 - SH Mekongvil 5SC - 1 lít - 20</v>
      </c>
    </row>
    <row r="936">
      <c r="A936" s="86">
        <f>IFERROR(__xludf.DUMMYFUNCTION("""COMPUTED_VALUE"""),934.0)</f>
        <v>934</v>
      </c>
      <c r="B936" s="87" t="str">
        <f>IFERROR(__xludf.DUMMYFUNCTION("""COMPUTED_VALUE"""),"Nhãn")</f>
        <v>Nhãn</v>
      </c>
      <c r="C936" s="87" t="str">
        <f>IFERROR(__xludf.DUMMYFUNCTION("""COMPUTED_VALUE"""),"NTN0392")</f>
        <v>NTN0392</v>
      </c>
      <c r="D936" s="87" t="str">
        <f>IFERROR(__xludf.DUMMYFUNCTION("""COMPUTED_VALUE"""),"[Nhãn] GC - II - 392 - SH Pim.Pim 75WP - 100gr - 100")</f>
        <v>[Nhãn] GC - II - 392 - SH Pim.Pim 75WP - 100gr - 100</v>
      </c>
      <c r="E936" s="87" t="str">
        <f>IFERROR(__xludf.DUMMYFUNCTION("""COMPUTED_VALUE"""),"Pim.Pim 75WP")</f>
        <v>Pim.Pim 75WP</v>
      </c>
      <c r="F936" s="87" t="str">
        <f>IFERROR(__xludf.DUMMYFUNCTION("""COMPUTED_VALUE"""),"HH0392")</f>
        <v>HH0392</v>
      </c>
      <c r="G936" s="87" t="str">
        <f>IFERROR(__xludf.DUMMYFUNCTION("""COMPUTED_VALUE"""),"GC - II - 392 - SH Pim.Pim 75WP - 100gr - 100")</f>
        <v>GC - II - 392 - SH Pim.Pim 75WP - 100gr - 100</v>
      </c>
    </row>
    <row r="937">
      <c r="A937" s="86">
        <f>IFERROR(__xludf.DUMMYFUNCTION("""COMPUTED_VALUE"""),935.0)</f>
        <v>935</v>
      </c>
      <c r="B937" s="87" t="str">
        <f>IFERROR(__xludf.DUMMYFUNCTION("""COMPUTED_VALUE"""),"Nhãn")</f>
        <v>Nhãn</v>
      </c>
      <c r="C937" s="87" t="str">
        <f>IFERROR(__xludf.DUMMYFUNCTION("""COMPUTED_VALUE"""),"NTN0394")</f>
        <v>NTN0394</v>
      </c>
      <c r="D937" s="87" t="str">
        <f>IFERROR(__xludf.DUMMYFUNCTION("""COMPUTED_VALUE"""),"[Nhãn] GC - II - 394 - SH Siêu vô gạo - 65gr - 300")</f>
        <v>[Nhãn] GC - II - 394 - SH Siêu vô gạo - 65gr - 300</v>
      </c>
      <c r="E937" s="87" t="str">
        <f>IFERROR(__xludf.DUMMYFUNCTION("""COMPUTED_VALUE"""),"Vi lượng Basel DANA 20")</f>
        <v>Vi lượng Basel DANA 20</v>
      </c>
      <c r="F937" s="87" t="str">
        <f>IFERROR(__xludf.DUMMYFUNCTION("""COMPUTED_VALUE"""),"HH0394")</f>
        <v>HH0394</v>
      </c>
      <c r="G937" s="87" t="str">
        <f>IFERROR(__xludf.DUMMYFUNCTION("""COMPUTED_VALUE"""),"GC - II - 394 - SH Siêu vô gạo - 65gr - 300")</f>
        <v>GC - II - 394 - SH Siêu vô gạo - 65gr - 300</v>
      </c>
    </row>
    <row r="938">
      <c r="A938" s="86">
        <f>IFERROR(__xludf.DUMMYFUNCTION("""COMPUTED_VALUE"""),936.0)</f>
        <v>936</v>
      </c>
      <c r="B938" s="87" t="str">
        <f>IFERROR(__xludf.DUMMYFUNCTION("""COMPUTED_VALUE"""),"Nhãn")</f>
        <v>Nhãn</v>
      </c>
      <c r="C938" s="87" t="str">
        <f>IFERROR(__xludf.DUMMYFUNCTION("""COMPUTED_VALUE"""),"NTN0396")</f>
        <v>NTN0396</v>
      </c>
      <c r="D938" s="87" t="str">
        <f>IFERROR(__xludf.DUMMYFUNCTION("""COMPUTED_VALUE"""),"[Nhãn] GC - II - 396 - SH Rice+ - 65gr - 300")</f>
        <v>[Nhãn] GC - II - 396 - SH Rice+ - 65gr - 300</v>
      </c>
      <c r="E938" s="87" t="str">
        <f>IFERROR(__xludf.DUMMYFUNCTION("""COMPUTED_VALUE"""),"Vi lượng Basel DANA 20")</f>
        <v>Vi lượng Basel DANA 20</v>
      </c>
      <c r="F938" s="87" t="str">
        <f>IFERROR(__xludf.DUMMYFUNCTION("""COMPUTED_VALUE"""),"HH0396")</f>
        <v>HH0396</v>
      </c>
      <c r="G938" s="87" t="str">
        <f>IFERROR(__xludf.DUMMYFUNCTION("""COMPUTED_VALUE"""),"GC - II - 396 - SH Rice+ - 65gr - 300")</f>
        <v>GC - II - 396 - SH Rice+ - 65gr - 300</v>
      </c>
    </row>
    <row r="939">
      <c r="A939" s="86">
        <f>IFERROR(__xludf.DUMMYFUNCTION("""COMPUTED_VALUE"""),937.0)</f>
        <v>937</v>
      </c>
      <c r="B939" s="87" t="str">
        <f>IFERROR(__xludf.DUMMYFUNCTION("""COMPUTED_VALUE"""),"Nhãn")</f>
        <v>Nhãn</v>
      </c>
      <c r="C939" s="87" t="str">
        <f>IFERROR(__xludf.DUMMYFUNCTION("""COMPUTED_VALUE"""),"NTN0397")</f>
        <v>NTN0397</v>
      </c>
      <c r="D939" s="87" t="str">
        <f>IFERROR(__xludf.DUMMYFUNCTION("""COMPUTED_VALUE"""),"[Nhãn] GC - II - 397 - SH ROOT+ - 60ml - 300")</f>
        <v>[Nhãn] GC - II - 397 - SH ROOT+ - 60ml - 300</v>
      </c>
      <c r="E939" s="87" t="str">
        <f>IFERROR(__xludf.DUMMYFUNCTION("""COMPUTED_VALUE"""),"Vi lượng Basel DANA 20")</f>
        <v>Vi lượng Basel DANA 20</v>
      </c>
      <c r="F939" s="87" t="str">
        <f>IFERROR(__xludf.DUMMYFUNCTION("""COMPUTED_VALUE"""),"HH0397")</f>
        <v>HH0397</v>
      </c>
      <c r="G939" s="87" t="str">
        <f>IFERROR(__xludf.DUMMYFUNCTION("""COMPUTED_VALUE"""),"GC - II - 397 - SH ROOT+ - 60ml - 300")</f>
        <v>GC - II - 397 - SH ROOT+ - 60ml - 300</v>
      </c>
    </row>
    <row r="940">
      <c r="A940" s="86">
        <f>IFERROR(__xludf.DUMMYFUNCTION("""COMPUTED_VALUE"""),938.0)</f>
        <v>938</v>
      </c>
      <c r="B940" s="87" t="str">
        <f>IFERROR(__xludf.DUMMYFUNCTION("""COMPUTED_VALUE"""),"Nhãn")</f>
        <v>Nhãn</v>
      </c>
      <c r="C940" s="87" t="str">
        <f>IFERROR(__xludf.DUMMYFUNCTION("""COMPUTED_VALUE"""),"NTG0398")</f>
        <v>NTG0398</v>
      </c>
      <c r="D940" s="87" t="str">
        <f>IFERROR(__xludf.DUMMYFUNCTION("""COMPUTED_VALUE"""),"[Nhãn] GC - II - 398 - Luta Siêu diệt vi khuẩn - 25gr - 300")</f>
        <v>[Nhãn] GC - II - 398 - Luta Siêu diệt vi khuẩn - 25gr - 300</v>
      </c>
      <c r="E940" s="87" t="str">
        <f>IFERROR(__xludf.DUMMYFUNCTION("""COMPUTED_VALUE"""),"Oxycin 100WP")</f>
        <v>Oxycin 100WP</v>
      </c>
      <c r="F940" s="87" t="str">
        <f>IFERROR(__xludf.DUMMYFUNCTION("""COMPUTED_VALUE"""),"HH0398")</f>
        <v>HH0398</v>
      </c>
      <c r="G940" s="87" t="str">
        <f>IFERROR(__xludf.DUMMYFUNCTION("""COMPUTED_VALUE"""),"GC - II - 398 - Luta Siêu diệt vi khuẩn - 25gr - 300")</f>
        <v>GC - II - 398 - Luta Siêu diệt vi khuẩn - 25gr - 300</v>
      </c>
    </row>
    <row r="941">
      <c r="A941" s="86">
        <f>IFERROR(__xludf.DUMMYFUNCTION("""COMPUTED_VALUE"""),939.0)</f>
        <v>939</v>
      </c>
      <c r="B941" s="87" t="str">
        <f>IFERROR(__xludf.DUMMYFUNCTION("""COMPUTED_VALUE"""),"Nhãn")</f>
        <v>Nhãn</v>
      </c>
      <c r="C941" s="87" t="str">
        <f>IFERROR(__xludf.DUMMYFUNCTION("""COMPUTED_VALUE"""),"NHG0401.1")</f>
        <v>NHG0401.1</v>
      </c>
      <c r="D941" s="87" t="str">
        <f>IFERROR(__xludf.DUMMYFUNCTION("""COMPUTED_VALUE"""),"[Nhãn] IDA Global - I - 401.1 - Chito - M55 (drone) - 500ml - 40")</f>
        <v>[Nhãn] IDA Global - I - 401.1 - Chito - M55 (drone) - 500ml - 40</v>
      </c>
      <c r="E941" s="87" t="str">
        <f>IFERROR(__xludf.DUMMYFUNCTION("""COMPUTED_VALUE"""),"Vi lượng Basel IDA 50")</f>
        <v>Vi lượng Basel IDA 50</v>
      </c>
      <c r="F941" s="87" t="str">
        <f>IFERROR(__xludf.DUMMYFUNCTION("""COMPUTED_VALUE"""),"HH01.1")</f>
        <v>HH01.1</v>
      </c>
      <c r="G941" s="87" t="str">
        <f>IFERROR(__xludf.DUMMYFUNCTION("""COMPUTED_VALUE"""),"IDA Global - I - 401.1 - Chito - M55 (drone) - 500ml - 40")</f>
        <v>IDA Global - I - 401.1 - Chito - M55 (drone) - 500ml - 40</v>
      </c>
    </row>
    <row r="942">
      <c r="A942" s="86">
        <f>IFERROR(__xludf.DUMMYFUNCTION("""COMPUTED_VALUE"""),940.0)</f>
        <v>940</v>
      </c>
      <c r="B942" s="87" t="str">
        <f>IFERROR(__xludf.DUMMYFUNCTION("""COMPUTED_VALUE"""),"Nhãn")</f>
        <v>Nhãn</v>
      </c>
      <c r="C942" s="87" t="str">
        <f>IFERROR(__xludf.DUMMYFUNCTION("""COMPUTED_VALUE"""),"NHG0401.2")</f>
        <v>NHG0401.2</v>
      </c>
      <c r="D942" s="87" t="str">
        <f>IFERROR(__xludf.DUMMYFUNCTION("""COMPUTED_VALUE"""),"[Nhãn] IDA Global - I - 401.2 - Chito - M55 (drone) (mới)- 500ml - 40")</f>
        <v>[Nhãn] IDA Global - I - 401.2 - Chito - M55 (drone) (mới)- 500ml - 40</v>
      </c>
      <c r="E942" s="87" t="str">
        <f>IFERROR(__xludf.DUMMYFUNCTION("""COMPUTED_VALUE"""),"Vi lượng Basel IDA 50")</f>
        <v>Vi lượng Basel IDA 50</v>
      </c>
      <c r="F942" s="87" t="str">
        <f>IFERROR(__xludf.DUMMYFUNCTION("""COMPUTED_VALUE"""),"HH01.2")</f>
        <v>HH01.2</v>
      </c>
      <c r="G942" s="87" t="str">
        <f>IFERROR(__xludf.DUMMYFUNCTION("""COMPUTED_VALUE"""),"IDA Global - I - 401.2 - Chito - M55 (drone) (mới)- 500ml - 40")</f>
        <v>IDA Global - I - 401.2 - Chito - M55 (drone) (mới)- 500ml - 40</v>
      </c>
    </row>
    <row r="943">
      <c r="A943" s="86">
        <f>IFERROR(__xludf.DUMMYFUNCTION("""COMPUTED_VALUE"""),941.0)</f>
        <v>941</v>
      </c>
      <c r="B943" s="87" t="str">
        <f>IFERROR(__xludf.DUMMYFUNCTION("""COMPUTED_VALUE"""),"Nhãn")</f>
        <v>Nhãn</v>
      </c>
      <c r="C943" s="87" t="str">
        <f>IFERROR(__xludf.DUMMYFUNCTION("""COMPUTED_VALUE"""),"NTN0407")</f>
        <v>NTN0407</v>
      </c>
      <c r="D943" s="87" t="str">
        <f>IFERROR(__xludf.DUMMYFUNCTION("""COMPUTED_VALUE"""),"[Nhãn] GC - II - 407 - Agriplant - Bio Dưỡng Cây - Mập Chồi - 50ml - 200")</f>
        <v>[Nhãn] GC - II - 407 - Agriplant - Bio Dưỡng Cây - Mập Chồi - 50ml - 200</v>
      </c>
      <c r="E943" s="87" t="str">
        <f>IFERROR(__xludf.DUMMYFUNCTION("""COMPUTED_VALUE"""),"Vi lượng AV-CFC Plus")</f>
        <v>Vi lượng AV-CFC Plus</v>
      </c>
      <c r="F943" s="87" t="str">
        <f>IFERROR(__xludf.DUMMYFUNCTION("""COMPUTED_VALUE"""),"HH0407")</f>
        <v>HH0407</v>
      </c>
      <c r="G943" s="87" t="str">
        <f>IFERROR(__xludf.DUMMYFUNCTION("""COMPUTED_VALUE"""),"GC - II - 407 - Agriplant - Bio Dưỡng Cây - Mập Chồi - 50ml - 200")</f>
        <v>GC - II - 407 - Agriplant - Bio Dưỡng Cây - Mập Chồi - 50ml - 200</v>
      </c>
    </row>
    <row r="944">
      <c r="A944" s="86">
        <f>IFERROR(__xludf.DUMMYFUNCTION("""COMPUTED_VALUE"""),942.0)</f>
        <v>942</v>
      </c>
      <c r="B944" s="87" t="str">
        <f>IFERROR(__xludf.DUMMYFUNCTION("""COMPUTED_VALUE"""),"Nhãn")</f>
        <v>Nhãn</v>
      </c>
      <c r="C944" s="87" t="str">
        <f>IFERROR(__xludf.DUMMYFUNCTION("""COMPUTED_VALUE"""),"NTG0408")</f>
        <v>NTG0408</v>
      </c>
      <c r="D944" s="87" t="str">
        <f>IFERROR(__xludf.DUMMYFUNCTION("""COMPUTED_VALUE"""),"[Nhãn] GC - II - 408 - PH - Dr. Phoenix (clr) - 50gr - 300")</f>
        <v>[Nhãn] GC - II - 408 - PH - Dr. Phoenix (clr) - 50gr - 300</v>
      </c>
      <c r="E944" s="87" t="str">
        <f>IFERROR(__xludf.DUMMYFUNCTION("""COMPUTED_VALUE"""),"Vi lượng Basel IDA 11")</f>
        <v>Vi lượng Basel IDA 11</v>
      </c>
      <c r="F944" s="87" t="str">
        <f>IFERROR(__xludf.DUMMYFUNCTION("""COMPUTED_VALUE"""),"HH0408")</f>
        <v>HH0408</v>
      </c>
      <c r="G944" s="87" t="str">
        <f>IFERROR(__xludf.DUMMYFUNCTION("""COMPUTED_VALUE"""),"GC - II - 408 - PH - Dr. Phoenix (clr) - 50gr - 300")</f>
        <v>GC - II - 408 - PH - Dr. Phoenix (clr) - 50gr - 300</v>
      </c>
    </row>
    <row r="945">
      <c r="A945" s="86">
        <f>IFERROR(__xludf.DUMMYFUNCTION("""COMPUTED_VALUE"""),943.0)</f>
        <v>943</v>
      </c>
      <c r="B945" s="87" t="str">
        <f>IFERROR(__xludf.DUMMYFUNCTION("""COMPUTED_VALUE"""),"Nhãn")</f>
        <v>Nhãn</v>
      </c>
      <c r="C945" s="87" t="str">
        <f>IFERROR(__xludf.DUMMYFUNCTION("""COMPUTED_VALUE"""),"NTN0410")</f>
        <v>NTN0410</v>
      </c>
      <c r="D945" s="87" t="str">
        <f>IFERROR(__xludf.DUMMYFUNCTION("""COMPUTED_VALUE"""),"[Nhãn] GC - I - 410 - AU - Aqua Dưỡng Chất Hữu Cơ (Chuyên Ớt, Dưa Hấu)- 50ml - 200")</f>
        <v>[Nhãn] GC - I - 410 - AU - Aqua Dưỡng Chất Hữu Cơ (Chuyên Ớt, Dưa Hấu)- 50ml - 200</v>
      </c>
      <c r="E945" s="87" t="str">
        <f>IFERROR(__xludf.DUMMYFUNCTION("""COMPUTED_VALUE"""),"Vi lượng AV-CFC Plus")</f>
        <v>Vi lượng AV-CFC Plus</v>
      </c>
      <c r="F945" s="87" t="str">
        <f>IFERROR(__xludf.DUMMYFUNCTION("""COMPUTED_VALUE"""),"HH0410")</f>
        <v>HH0410</v>
      </c>
      <c r="G945" s="87" t="str">
        <f>IFERROR(__xludf.DUMMYFUNCTION("""COMPUTED_VALUE"""),"GC - I - 410 - AU - Aqua Dưỡng Chất Hữu Cơ (Chuyên Ớt, Dưa Hấu)- 50ml - 200")</f>
        <v>GC - I - 410 - AU - Aqua Dưỡng Chất Hữu Cơ (Chuyên Ớt, Dưa Hấu)- 50ml - 200</v>
      </c>
    </row>
    <row r="946">
      <c r="A946" s="86">
        <f>IFERROR(__xludf.DUMMYFUNCTION("""COMPUTED_VALUE"""),944.0)</f>
        <v>944</v>
      </c>
      <c r="B946" s="87" t="str">
        <f>IFERROR(__xludf.DUMMYFUNCTION("""COMPUTED_VALUE"""),"Nhãn")</f>
        <v>Nhãn</v>
      </c>
      <c r="C946" s="87" t="str">
        <f>IFERROR(__xludf.DUMMYFUNCTION("""COMPUTED_VALUE"""),"NTN0416")</f>
        <v>NTN0416</v>
      </c>
      <c r="D946" s="87" t="str">
        <f>IFERROR(__xludf.DUMMYFUNCTION("""COMPUTED_VALUE"""),"[Nhãn] IDA GLOBAL - I - 416 - Flower Top (drone) - 50ml - 300")</f>
        <v>[Nhãn] IDA GLOBAL - I - 416 - Flower Top (drone) - 50ml - 300</v>
      </c>
      <c r="E946" s="87" t="str">
        <f>IFERROR(__xludf.DUMMYFUNCTION("""COMPUTED_VALUE"""),"Vi lượng Basel IDA 47")</f>
        <v>Vi lượng Basel IDA 47</v>
      </c>
      <c r="F946" s="87" t="str">
        <f>IFERROR(__xludf.DUMMYFUNCTION("""COMPUTED_VALUE"""),"HH0416")</f>
        <v>HH0416</v>
      </c>
      <c r="G946" s="87" t="str">
        <f>IFERROR(__xludf.DUMMYFUNCTION("""COMPUTED_VALUE"""),"IDA GLOBAL - I - 416 - Flower Top (drone) - 50ml - 300")</f>
        <v>IDA GLOBAL - I - 416 - Flower Top (drone) - 50ml - 300</v>
      </c>
    </row>
    <row r="947">
      <c r="A947" s="86">
        <f>IFERROR(__xludf.DUMMYFUNCTION("""COMPUTED_VALUE"""),945.0)</f>
        <v>945</v>
      </c>
      <c r="B947" s="87" t="str">
        <f>IFERROR(__xludf.DUMMYFUNCTION("""COMPUTED_VALUE"""),"Nhãn")</f>
        <v>Nhãn</v>
      </c>
      <c r="C947" s="87" t="str">
        <f>IFERROR(__xludf.DUMMYFUNCTION("""COMPUTED_VALUE"""),"NHG0417.1")</f>
        <v>NHG0417.1</v>
      </c>
      <c r="D947" s="87" t="str">
        <f>IFERROR(__xludf.DUMMYFUNCTION("""COMPUTED_VALUE"""),"[Nhãn] IDA Global - I - 417.1 - Flower Top Chuyên Lúa Và Rau Màu (drone) (Chai CP) - 450ml - 40")</f>
        <v>[Nhãn] IDA Global - I - 417.1 - Flower Top Chuyên Lúa Và Rau Màu (drone) (Chai CP) - 450ml - 40</v>
      </c>
      <c r="E947" s="87" t="str">
        <f>IFERROR(__xludf.DUMMYFUNCTION("""COMPUTED_VALUE"""),"Vi lượng Basel IDA 47")</f>
        <v>Vi lượng Basel IDA 47</v>
      </c>
      <c r="F947" s="87" t="str">
        <f>IFERROR(__xludf.DUMMYFUNCTION("""COMPUTED_VALUE"""),"HH17.1")</f>
        <v>HH17.1</v>
      </c>
      <c r="G947" s="87" t="str">
        <f>IFERROR(__xludf.DUMMYFUNCTION("""COMPUTED_VALUE"""),"IDA Global - I - 417.1 - Flower Top Chuyên Lúa Và Rau Màu (drone) (Chai CP) - 450ml - 40")</f>
        <v>IDA Global - I - 417.1 - Flower Top Chuyên Lúa Và Rau Màu (drone) (Chai CP) - 450ml - 40</v>
      </c>
    </row>
    <row r="948">
      <c r="A948" s="86">
        <f>IFERROR(__xludf.DUMMYFUNCTION("""COMPUTED_VALUE"""),946.0)</f>
        <v>946</v>
      </c>
      <c r="B948" s="87" t="str">
        <f>IFERROR(__xludf.DUMMYFUNCTION("""COMPUTED_VALUE"""),"Nhãn")</f>
        <v>Nhãn</v>
      </c>
      <c r="C948" s="87" t="str">
        <f>IFERROR(__xludf.DUMMYFUNCTION("""COMPUTED_VALUE"""),"NHG0417.2")</f>
        <v>NHG0417.2</v>
      </c>
      <c r="D948" s="87" t="str">
        <f>IFERROR(__xludf.DUMMYFUNCTION("""COMPUTED_VALUE"""),"[Nhãn] IDA Global - I - 417.2 - Flower Top Chuyên Lúa Và Rau Màu (drone) (Chai CP) - 450ml - 40")</f>
        <v>[Nhãn] IDA Global - I - 417.2 - Flower Top Chuyên Lúa Và Rau Màu (drone) (Chai CP) - 450ml - 40</v>
      </c>
      <c r="E948" s="87" t="str">
        <f>IFERROR(__xludf.DUMMYFUNCTION("""COMPUTED_VALUE"""),"Vi lượng Basel IDA 47")</f>
        <v>Vi lượng Basel IDA 47</v>
      </c>
      <c r="F948" s="87" t="str">
        <f>IFERROR(__xludf.DUMMYFUNCTION("""COMPUTED_VALUE"""),"HH17.2")</f>
        <v>HH17.2</v>
      </c>
      <c r="G948" s="87" t="str">
        <f>IFERROR(__xludf.DUMMYFUNCTION("""COMPUTED_VALUE"""),"IDA Global - I - 417.2 - Flower Top Chuyên Lúa Và Rau Màu (drone) (Chai CP) - 450ml - 40")</f>
        <v>IDA Global - I - 417.2 - Flower Top Chuyên Lúa Và Rau Màu (drone) (Chai CP) - 450ml - 40</v>
      </c>
    </row>
    <row r="949">
      <c r="A949" s="86">
        <f>IFERROR(__xludf.DUMMYFUNCTION("""COMPUTED_VALUE"""),947.0)</f>
        <v>947</v>
      </c>
      <c r="B949" s="87" t="str">
        <f>IFERROR(__xludf.DUMMYFUNCTION("""COMPUTED_VALUE"""),"Nhãn thùng")</f>
        <v>Nhãn thùng</v>
      </c>
      <c r="C949" s="87" t="str">
        <f>IFERROR(__xludf.DUMMYFUNCTION("""COMPUTED_VALUE"""),"NDT0417.2")</f>
        <v>NDT0417.2</v>
      </c>
      <c r="D949" s="87" t="str">
        <f>IFERROR(__xludf.DUMMYFUNCTION("""COMPUTED_VALUE"""),"[Nhãn thùng] IDA Global - I - 417.2 - Flower Top Chuyên Lúa Và Rau Màu (drone) (Chai CP) - 450ml - 40")</f>
        <v>[Nhãn thùng] IDA Global - I - 417.2 - Flower Top Chuyên Lúa Và Rau Màu (drone) (Chai CP) - 450ml - 40</v>
      </c>
      <c r="E949" s="87" t="str">
        <f>IFERROR(__xludf.DUMMYFUNCTION("""COMPUTED_VALUE"""),"Vi lượng Basel IDA 47")</f>
        <v>Vi lượng Basel IDA 47</v>
      </c>
      <c r="F949" s="87" t="str">
        <f>IFERROR(__xludf.DUMMYFUNCTION("""COMPUTED_VALUE"""),"HH17.2")</f>
        <v>HH17.2</v>
      </c>
      <c r="G949" s="87" t="str">
        <f>IFERROR(__xludf.DUMMYFUNCTION("""COMPUTED_VALUE"""),"IDA Global - I - 417.2 - Flower Top Chuyên Lúa Và Rau Màu (drone) (Chai CP) - 450ml - 40")</f>
        <v>IDA Global - I - 417.2 - Flower Top Chuyên Lúa Và Rau Màu (drone) (Chai CP) - 450ml - 40</v>
      </c>
    </row>
    <row r="950">
      <c r="A950" s="86">
        <f>IFERROR(__xludf.DUMMYFUNCTION("""COMPUTED_VALUE"""),948.0)</f>
        <v>948</v>
      </c>
      <c r="B950" s="87" t="str">
        <f>IFERROR(__xludf.DUMMYFUNCTION("""COMPUTED_VALUE"""),"Nhãn")</f>
        <v>Nhãn</v>
      </c>
      <c r="C950" s="87" t="str">
        <f>IFERROR(__xludf.DUMMYFUNCTION("""COMPUTED_VALUE"""),"NHG0418.1")</f>
        <v>NHG0418.1</v>
      </c>
      <c r="D950" s="87" t="str">
        <f>IFERROR(__xludf.DUMMYFUNCTION("""COMPUTED_VALUE"""),"[Nhãn] IDA Global - I - 418.1 - Flower Top Chuyên cây ăn trái (drone) (Chai CP) - 450ml - 40")</f>
        <v>[Nhãn] IDA Global - I - 418.1 - Flower Top Chuyên cây ăn trái (drone) (Chai CP) - 450ml - 40</v>
      </c>
      <c r="E950" s="87" t="str">
        <f>IFERROR(__xludf.DUMMYFUNCTION("""COMPUTED_VALUE"""),"Vi lượng Basel IDA 47")</f>
        <v>Vi lượng Basel IDA 47</v>
      </c>
      <c r="F950" s="87" t="str">
        <f>IFERROR(__xludf.DUMMYFUNCTION("""COMPUTED_VALUE"""),"HH18.1")</f>
        <v>HH18.1</v>
      </c>
      <c r="G950" s="87" t="str">
        <f>IFERROR(__xludf.DUMMYFUNCTION("""COMPUTED_VALUE"""),"IDA Global - I - 418.1 - Flower Top Chuyên cây ăn trái (drone) (Chai CP) - 450ml - 40")</f>
        <v>IDA Global - I - 418.1 - Flower Top Chuyên cây ăn trái (drone) (Chai CP) - 450ml - 40</v>
      </c>
    </row>
    <row r="951">
      <c r="A951" s="86">
        <f>IFERROR(__xludf.DUMMYFUNCTION("""COMPUTED_VALUE"""),949.0)</f>
        <v>949</v>
      </c>
      <c r="B951" s="87" t="str">
        <f>IFERROR(__xludf.DUMMYFUNCTION("""COMPUTED_VALUE"""),"Nhãn")</f>
        <v>Nhãn</v>
      </c>
      <c r="C951" s="87" t="str">
        <f>IFERROR(__xludf.DUMMYFUNCTION("""COMPUTED_VALUE"""),"NHG0419.1")</f>
        <v>NHG0419.1</v>
      </c>
      <c r="D951" s="87" t="str">
        <f>IFERROR(__xludf.DUMMYFUNCTION("""COMPUTED_VALUE"""),"[Nhãn] IDA Global - I - 419.1 - Ronado (drone) (mới)- 450ml - 40")</f>
        <v>[Nhãn] IDA Global - I - 419.1 - Ronado (drone) (mới)- 450ml - 40</v>
      </c>
      <c r="E951" s="87" t="str">
        <f>IFERROR(__xludf.DUMMYFUNCTION("""COMPUTED_VALUE"""),"NPK Bổ sung Vi lượng Basel NPK 6-6-8 IDA 33")</f>
        <v>NPK Bổ sung Vi lượng Basel NPK 6-6-8 IDA 33</v>
      </c>
      <c r="F951" s="87" t="str">
        <f>IFERROR(__xludf.DUMMYFUNCTION("""COMPUTED_VALUE"""),"HH19.1")</f>
        <v>HH19.1</v>
      </c>
      <c r="G951" s="87" t="str">
        <f>IFERROR(__xludf.DUMMYFUNCTION("""COMPUTED_VALUE"""),"IDA Global - I - 419.1 - Ronado (drone) (mới)- 450ml - 40")</f>
        <v>IDA Global - I - 419.1 - Ronado (drone) (mới)- 450ml - 40</v>
      </c>
    </row>
    <row r="952">
      <c r="A952" s="86">
        <f>IFERROR(__xludf.DUMMYFUNCTION("""COMPUTED_VALUE"""),950.0)</f>
        <v>950</v>
      </c>
      <c r="B952" s="87" t="str">
        <f>IFERROR(__xludf.DUMMYFUNCTION("""COMPUTED_VALUE"""),"Nhãn")</f>
        <v>Nhãn</v>
      </c>
      <c r="C952" s="87" t="str">
        <f>IFERROR(__xludf.DUMMYFUNCTION("""COMPUTED_VALUE"""),"NTN0420")</f>
        <v>NTN0420</v>
      </c>
      <c r="D952" s="87" t="str">
        <f>IFERROR(__xludf.DUMMYFUNCTION("""COMPUTED_VALUE"""),"[Nhãn] IDA Global - I - 420 - Ronado (drone) - 50ml - 300")</f>
        <v>[Nhãn] IDA Global - I - 420 - Ronado (drone) - 50ml - 300</v>
      </c>
      <c r="E952" s="87" t="str">
        <f>IFERROR(__xludf.DUMMYFUNCTION("""COMPUTED_VALUE"""),"NPK Bổ sung Vi lượng Basel NPK 6-6-8 IDA 33")</f>
        <v>NPK Bổ sung Vi lượng Basel NPK 6-6-8 IDA 33</v>
      </c>
      <c r="F952" s="87" t="str">
        <f>IFERROR(__xludf.DUMMYFUNCTION("""COMPUTED_VALUE"""),"HH0420")</f>
        <v>HH0420</v>
      </c>
      <c r="G952" s="87" t="str">
        <f>IFERROR(__xludf.DUMMYFUNCTION("""COMPUTED_VALUE"""),"IDA Global - I - 420 - Ronado (drone) - 50ml - 300")</f>
        <v>IDA Global - I - 420 - Ronado (drone) - 50ml - 300</v>
      </c>
    </row>
    <row r="953">
      <c r="A953" s="86">
        <f>IFERROR(__xludf.DUMMYFUNCTION("""COMPUTED_VALUE"""),951.0)</f>
        <v>951</v>
      </c>
      <c r="B953" s="87" t="str">
        <f>IFERROR(__xludf.DUMMYFUNCTION("""COMPUTED_VALUE"""),"Nhãn")</f>
        <v>Nhãn</v>
      </c>
      <c r="C953" s="87" t="str">
        <f>IFERROR(__xludf.DUMMYFUNCTION("""COMPUTED_VALUE"""),"NHG0421")</f>
        <v>NHG0421</v>
      </c>
      <c r="D953" s="87" t="str">
        <f>IFERROR(__xludf.DUMMYFUNCTION("""COMPUTED_VALUE"""),"[Nhãn] IDA Global - I - 421 - Tree Top (drone) - 450ml - 40")</f>
        <v>[Nhãn] IDA Global - I - 421 - Tree Top (drone) - 450ml - 40</v>
      </c>
      <c r="E953" s="87" t="str">
        <f>IFERROR(__xludf.DUMMYFUNCTION("""COMPUTED_VALUE"""),"Vi lượng Basel IDA 49")</f>
        <v>Vi lượng Basel IDA 49</v>
      </c>
      <c r="F953" s="87" t="str">
        <f>IFERROR(__xludf.DUMMYFUNCTION("""COMPUTED_VALUE"""),"HH0421")</f>
        <v>HH0421</v>
      </c>
      <c r="G953" s="87" t="str">
        <f>IFERROR(__xludf.DUMMYFUNCTION("""COMPUTED_VALUE"""),"IDA Global - I - 421 - Tree Top (drone) - 450ml - 40")</f>
        <v>IDA Global - I - 421 - Tree Top (drone) - 450ml - 40</v>
      </c>
    </row>
    <row r="954">
      <c r="A954" s="86">
        <f>IFERROR(__xludf.DUMMYFUNCTION("""COMPUTED_VALUE"""),952.0)</f>
        <v>952</v>
      </c>
      <c r="B954" s="87" t="str">
        <f>IFERROR(__xludf.DUMMYFUNCTION("""COMPUTED_VALUE"""),"HỘP")</f>
        <v>HỘP</v>
      </c>
      <c r="C954" s="87" t="str">
        <f>IFERROR(__xludf.DUMMYFUNCTION("""COMPUTED_VALUE"""),"HOP0422")</f>
        <v>HOP0422</v>
      </c>
      <c r="D954" s="87" t="str">
        <f>IFERROR(__xludf.DUMMYFUNCTION("""COMPUTED_VALUE"""),"[HOP] IDA Global - I - 422 - Winner (drone) - 50gr - 300")</f>
        <v>[HOP] IDA Global - I - 422 - Winner (drone) - 50gr - 300</v>
      </c>
      <c r="E954" s="87" t="str">
        <f>IFERROR(__xludf.DUMMYFUNCTION("""COMPUTED_VALUE"""),"Hỗn hợp NPK BASEL NPK 7-5-44 IDA 45")</f>
        <v>Hỗn hợp NPK BASEL NPK 7-5-44 IDA 45</v>
      </c>
      <c r="F954" s="87" t="str">
        <f>IFERROR(__xludf.DUMMYFUNCTION("""COMPUTED_VALUE"""),"HH0422")</f>
        <v>HH0422</v>
      </c>
      <c r="G954" s="87" t="str">
        <f>IFERROR(__xludf.DUMMYFUNCTION("""COMPUTED_VALUE"""),"IDA Global - I - 422 - Winner (drone) - 50gr - 300")</f>
        <v>IDA Global - I - 422 - Winner (drone) - 50gr - 300</v>
      </c>
    </row>
    <row r="955">
      <c r="A955" s="86">
        <f>IFERROR(__xludf.DUMMYFUNCTION("""COMPUTED_VALUE"""),953.0)</f>
        <v>953</v>
      </c>
      <c r="B955" s="87" t="str">
        <f>IFERROR(__xludf.DUMMYFUNCTION("""COMPUTED_VALUE"""),"Nhãn")</f>
        <v>Nhãn</v>
      </c>
      <c r="C955" s="87" t="str">
        <f>IFERROR(__xludf.DUMMYFUNCTION("""COMPUTED_VALUE"""),"NTN0422")</f>
        <v>NTN0422</v>
      </c>
      <c r="D955" s="87" t="str">
        <f>IFERROR(__xludf.DUMMYFUNCTION("""COMPUTED_VALUE"""),"[Nhãn] IDA Global - I - 422 - Winner (drone) - 50gr - 300")</f>
        <v>[Nhãn] IDA Global - I - 422 - Winner (drone) - 50gr - 300</v>
      </c>
      <c r="E955" s="87" t="str">
        <f>IFERROR(__xludf.DUMMYFUNCTION("""COMPUTED_VALUE"""),"Hỗn hợp NPK BASEL NPK 7-5-44 IDA 45")</f>
        <v>Hỗn hợp NPK BASEL NPK 7-5-44 IDA 45</v>
      </c>
      <c r="F955" s="87" t="str">
        <f>IFERROR(__xludf.DUMMYFUNCTION("""COMPUTED_VALUE"""),"HH0422")</f>
        <v>HH0422</v>
      </c>
      <c r="G955" s="87" t="str">
        <f>IFERROR(__xludf.DUMMYFUNCTION("""COMPUTED_VALUE"""),"IDA Global - I - 422 - Winner (drone) - 50gr - 300")</f>
        <v>IDA Global - I - 422 - Winner (drone) - 50gr - 300</v>
      </c>
    </row>
    <row r="956">
      <c r="A956" s="86">
        <f>IFERROR(__xludf.DUMMYFUNCTION("""COMPUTED_VALUE"""),954.0)</f>
        <v>954</v>
      </c>
      <c r="B956" s="87" t="str">
        <f>IFERROR(__xludf.DUMMYFUNCTION("""COMPUTED_VALUE"""),"Nhãn")</f>
        <v>Nhãn</v>
      </c>
      <c r="C956" s="87" t="str">
        <f>IFERROR(__xludf.DUMMYFUNCTION("""COMPUTED_VALUE"""),"NHG0424")</f>
        <v>NHG0424</v>
      </c>
      <c r="D956" s="87" t="str">
        <f>IFERROR(__xludf.DUMMYFUNCTION("""COMPUTED_VALUE"""),"[Nhãn] GC - II - 424 - Agriplant - Vua Diệt Nhện (PET TRON)- 240ml - 40")</f>
        <v>[Nhãn] GC - II - 424 - Agriplant - Vua Diệt Nhện (PET TRON)- 240ml - 40</v>
      </c>
      <c r="E956" s="87" t="str">
        <f>IFERROR(__xludf.DUMMYFUNCTION("""COMPUTED_VALUE"""),"Chitin 3.6EC")</f>
        <v>Chitin 3.6EC</v>
      </c>
      <c r="F956" s="87" t="str">
        <f>IFERROR(__xludf.DUMMYFUNCTION("""COMPUTED_VALUE"""),"HH0424")</f>
        <v>HH0424</v>
      </c>
      <c r="G956" s="87" t="str">
        <f>IFERROR(__xludf.DUMMYFUNCTION("""COMPUTED_VALUE"""),"GC - II - 424 - Agriplant - Vua Diệt Nhện (PET TRON)- 240ml - 40")</f>
        <v>GC - II - 424 - Agriplant - Vua Diệt Nhện (PET TRON)- 240ml - 40</v>
      </c>
    </row>
    <row r="957">
      <c r="A957" s="86">
        <f>IFERROR(__xludf.DUMMYFUNCTION("""COMPUTED_VALUE"""),955.0)</f>
        <v>955</v>
      </c>
      <c r="B957" s="87" t="str">
        <f>IFERROR(__xludf.DUMMYFUNCTION("""COMPUTED_VALUE"""),"Nhãn")</f>
        <v>Nhãn</v>
      </c>
      <c r="C957" s="87" t="str">
        <f>IFERROR(__xludf.DUMMYFUNCTION("""COMPUTED_VALUE"""),"NTG0429")</f>
        <v>NTG0429</v>
      </c>
      <c r="D957" s="87" t="str">
        <f>IFERROR(__xludf.DUMMYFUNCTION("""COMPUTED_VALUE"""),"[Nhãn] GC - II - 429 - Agriplant - Sức Mạnh Siêu Diệt Khuẩn - 25gr - 300")</f>
        <v>[Nhãn] GC - II - 429 - Agriplant - Sức Mạnh Siêu Diệt Khuẩn - 25gr - 300</v>
      </c>
      <c r="E957" s="87" t="str">
        <f>IFERROR(__xludf.DUMMYFUNCTION("""COMPUTED_VALUE"""),"Oxycin 100WP")</f>
        <v>Oxycin 100WP</v>
      </c>
      <c r="F957" s="87" t="str">
        <f>IFERROR(__xludf.DUMMYFUNCTION("""COMPUTED_VALUE"""),"HH0429")</f>
        <v>HH0429</v>
      </c>
      <c r="G957" s="87" t="str">
        <f>IFERROR(__xludf.DUMMYFUNCTION("""COMPUTED_VALUE"""),"GC - II - 429 - Agriplant - Sức Mạnh Siêu Diệt Khuẩn - 25gr - 300")</f>
        <v>GC - II - 429 - Agriplant - Sức Mạnh Siêu Diệt Khuẩn - 25gr - 300</v>
      </c>
    </row>
    <row r="958">
      <c r="A958" s="86">
        <f>IFERROR(__xludf.DUMMYFUNCTION("""COMPUTED_VALUE"""),956.0)</f>
        <v>956</v>
      </c>
      <c r="B958" s="87" t="str">
        <f>IFERROR(__xludf.DUMMYFUNCTION("""COMPUTED_VALUE"""),"Nhãn")</f>
        <v>Nhãn</v>
      </c>
      <c r="C958" s="87" t="str">
        <f>IFERROR(__xludf.DUMMYFUNCTION("""COMPUTED_VALUE"""),"NTG0430")</f>
        <v>NTG0430</v>
      </c>
      <c r="D958" s="87" t="str">
        <f>IFERROR(__xludf.DUMMYFUNCTION("""COMPUTED_VALUE"""),"[Nhãn] GC - II - 430 - PH - Diệt Sạch Khuẩn (Túi ghép giấy) 100 (clr) - 25gr - 200")</f>
        <v>[Nhãn] GC - II - 430 - PH - Diệt Sạch Khuẩn (Túi ghép giấy) 100 (clr) - 25gr - 200</v>
      </c>
      <c r="E958" s="87" t="str">
        <f>IFERROR(__xludf.DUMMYFUNCTION("""COMPUTED_VALUE"""),"Oxycin 100WP")</f>
        <v>Oxycin 100WP</v>
      </c>
      <c r="F958" s="87" t="str">
        <f>IFERROR(__xludf.DUMMYFUNCTION("""COMPUTED_VALUE"""),"HH0430")</f>
        <v>HH0430</v>
      </c>
      <c r="G958" s="87" t="str">
        <f>IFERROR(__xludf.DUMMYFUNCTION("""COMPUTED_VALUE"""),"GC - II - 430 - PH - Diệt Sạch Khuẩn (Túi ghép giấy) 100 (clr) - 25gr - 200")</f>
        <v>GC - II - 430 - PH - Diệt Sạch Khuẩn (Túi ghép giấy) 100 (clr) - 25gr - 200</v>
      </c>
    </row>
    <row r="959">
      <c r="A959" s="86">
        <f>IFERROR(__xludf.DUMMYFUNCTION("""COMPUTED_VALUE"""),957.0)</f>
        <v>957</v>
      </c>
      <c r="B959" s="87" t="str">
        <f>IFERROR(__xludf.DUMMYFUNCTION("""COMPUTED_VALUE"""),"Nhãn")</f>
        <v>Nhãn</v>
      </c>
      <c r="C959" s="87" t="str">
        <f>IFERROR(__xludf.DUMMYFUNCTION("""COMPUTED_VALUE"""),"NTN0432")</f>
        <v>NTN0432</v>
      </c>
      <c r="D959" s="87" t="str">
        <f>IFERROR(__xludf.DUMMYFUNCTION("""COMPUTED_VALUE"""),"[Nhãn] GC - I - 432 - AU - Dưỡng Chất Hữu Cơ (túi nhôm) - 50ml - 200")</f>
        <v>[Nhãn] GC - I - 432 - AU - Dưỡng Chất Hữu Cơ (túi nhôm) - 50ml - 200</v>
      </c>
      <c r="E959" s="87" t="str">
        <f>IFERROR(__xludf.DUMMYFUNCTION("""COMPUTED_VALUE"""),"Vi lượng AV-CFC Plus")</f>
        <v>Vi lượng AV-CFC Plus</v>
      </c>
      <c r="F959" s="87" t="str">
        <f>IFERROR(__xludf.DUMMYFUNCTION("""COMPUTED_VALUE"""),"HH0432")</f>
        <v>HH0432</v>
      </c>
      <c r="G959" s="87" t="str">
        <f>IFERROR(__xludf.DUMMYFUNCTION("""COMPUTED_VALUE"""),"GC - I - 432 - AU - Dưỡng Chất Hữu Cơ (túi nhôm) - 50ml - 200")</f>
        <v>GC - I - 432 - AU - Dưỡng Chất Hữu Cơ (túi nhôm) - 50ml - 200</v>
      </c>
    </row>
    <row r="960">
      <c r="A960" s="86">
        <f>IFERROR(__xludf.DUMMYFUNCTION("""COMPUTED_VALUE"""),958.0)</f>
        <v>958</v>
      </c>
      <c r="B960" s="87" t="str">
        <f>IFERROR(__xludf.DUMMYFUNCTION("""COMPUTED_VALUE"""),"Nhãn")</f>
        <v>Nhãn</v>
      </c>
      <c r="C960" s="87" t="str">
        <f>IFERROR(__xludf.DUMMYFUNCTION("""COMPUTED_VALUE"""),"NTG0433")</f>
        <v>NTG0433</v>
      </c>
      <c r="D960" s="87" t="str">
        <f>IFERROR(__xludf.DUMMYFUNCTION("""COMPUTED_VALUE"""),"[Nhãn] GC - II - 433 - Agriplant - Bio Siêu Ra Hoa Xoài - 1kg - 25")</f>
        <v>[Nhãn] GC - II - 433 - Agriplant - Bio Siêu Ra Hoa Xoài - 1kg - 25</v>
      </c>
      <c r="E960" s="87" t="str">
        <f>IFERROR(__xludf.DUMMYFUNCTION("""COMPUTED_VALUE"""),"Vi lượng AV4-BO633")</f>
        <v>Vi lượng AV4-BO633</v>
      </c>
      <c r="F960" s="87" t="str">
        <f>IFERROR(__xludf.DUMMYFUNCTION("""COMPUTED_VALUE"""),"HH0433")</f>
        <v>HH0433</v>
      </c>
      <c r="G960" s="87" t="str">
        <f>IFERROR(__xludf.DUMMYFUNCTION("""COMPUTED_VALUE"""),"GC - II - 433 - Agriplant - Bio Siêu Ra Hoa Xoài - 1kg - 25")</f>
        <v>GC - II - 433 - Agriplant - Bio Siêu Ra Hoa Xoài - 1kg - 25</v>
      </c>
    </row>
    <row r="961">
      <c r="A961" s="86">
        <f>IFERROR(__xludf.DUMMYFUNCTION("""COMPUTED_VALUE"""),959.0)</f>
        <v>959</v>
      </c>
      <c r="B961" s="87" t="str">
        <f>IFERROR(__xludf.DUMMYFUNCTION("""COMPUTED_VALUE"""),"Nhãn")</f>
        <v>Nhãn</v>
      </c>
      <c r="C961" s="87" t="str">
        <f>IFERROR(__xludf.DUMMYFUNCTION("""COMPUTED_VALUE"""),"NTN0434")</f>
        <v>NTN0434</v>
      </c>
      <c r="D961" s="87" t="str">
        <f>IFERROR(__xludf.DUMMYFUNCTION("""COMPUTED_VALUE"""),"[Nhãn] GC - II - 434 - Ariplant - Siêu ra hoa sầu riêng (mới) - 250 gr- 100")</f>
        <v>[Nhãn] GC - II - 434 - Ariplant - Siêu ra hoa sầu riêng (mới) - 250 gr- 100</v>
      </c>
      <c r="E961" s="87" t="str">
        <f>IFERROR(__xludf.DUMMYFUNCTION("""COMPUTED_VALUE"""),"Vi lượng AV4-BO633")</f>
        <v>Vi lượng AV4-BO633</v>
      </c>
      <c r="F961" s="87" t="str">
        <f>IFERROR(__xludf.DUMMYFUNCTION("""COMPUTED_VALUE"""),"HH0434")</f>
        <v>HH0434</v>
      </c>
      <c r="G961" s="87" t="str">
        <f>IFERROR(__xludf.DUMMYFUNCTION("""COMPUTED_VALUE"""),"GC - II - 434 - Ariplant - Siêu ra hoa sầu riêng (mới) - 250 gr- 100")</f>
        <v>GC - II - 434 - Ariplant - Siêu ra hoa sầu riêng (mới) - 250 gr- 100</v>
      </c>
    </row>
    <row r="962">
      <c r="A962" s="86">
        <f>IFERROR(__xludf.DUMMYFUNCTION("""COMPUTED_VALUE"""),960.0)</f>
        <v>960</v>
      </c>
      <c r="B962" s="87" t="str">
        <f>IFERROR(__xludf.DUMMYFUNCTION("""COMPUTED_VALUE"""),"Nhãn")</f>
        <v>Nhãn</v>
      </c>
      <c r="C962" s="87" t="str">
        <f>IFERROR(__xludf.DUMMYFUNCTION("""COMPUTED_VALUE"""),"NHG0436")</f>
        <v>NHG0436</v>
      </c>
      <c r="D962" s="87" t="str">
        <f>IFERROR(__xludf.DUMMYFUNCTION("""COMPUTED_VALUE"""),"[Nhãn] IDA Global - I - 436 - Leafroll 260SC - 220ml - 40")</f>
        <v>[Nhãn] IDA Global - I - 436 - Leafroll 260SC - 220ml - 40</v>
      </c>
      <c r="E962" s="87" t="str">
        <f>IFERROR(__xludf.DUMMYFUNCTION("""COMPUTED_VALUE"""),"Leafroll 260SC")</f>
        <v>Leafroll 260SC</v>
      </c>
      <c r="F962" s="87" t="str">
        <f>IFERROR(__xludf.DUMMYFUNCTION("""COMPUTED_VALUE"""),"HH0436")</f>
        <v>HH0436</v>
      </c>
      <c r="G962" s="87" t="str">
        <f>IFERROR(__xludf.DUMMYFUNCTION("""COMPUTED_VALUE"""),"IDA Global - I - 436 - Leafroll 260SC - 220ml - 40")</f>
        <v>IDA Global - I - 436 - Leafroll 260SC - 220ml - 40</v>
      </c>
    </row>
    <row r="963">
      <c r="A963" s="86">
        <f>IFERROR(__xludf.DUMMYFUNCTION("""COMPUTED_VALUE"""),961.0)</f>
        <v>961</v>
      </c>
      <c r="B963" s="87" t="str">
        <f>IFERROR(__xludf.DUMMYFUNCTION("""COMPUTED_VALUE"""),"Nhãn")</f>
        <v>Nhãn</v>
      </c>
      <c r="C963" s="87" t="str">
        <f>IFERROR(__xludf.DUMMYFUNCTION("""COMPUTED_VALUE"""),"NTN0442")</f>
        <v>NTN0442</v>
      </c>
      <c r="D963" s="87" t="str">
        <f>IFERROR(__xludf.DUMMYFUNCTION("""COMPUTED_VALUE"""),"[Nhãn] IDA Global - I - 442 - Creek 51WG (Dạng cốm) - 30gr - 300")</f>
        <v>[Nhãn] IDA Global - I - 442 - Creek 51WG (Dạng cốm) - 30gr - 300</v>
      </c>
      <c r="E963" s="87" t="str">
        <f>IFERROR(__xludf.DUMMYFUNCTION("""COMPUTED_VALUE"""),"Creek 51WG")</f>
        <v>Creek 51WG</v>
      </c>
      <c r="F963" s="87" t="str">
        <f>IFERROR(__xludf.DUMMYFUNCTION("""COMPUTED_VALUE"""),"HH0442")</f>
        <v>HH0442</v>
      </c>
      <c r="G963" s="87" t="str">
        <f>IFERROR(__xludf.DUMMYFUNCTION("""COMPUTED_VALUE"""),"IDA Global - I - 442 - Creek 51WG (Dạng cốm) - 30gr - 300")</f>
        <v>IDA Global - I - 442 - Creek 51WG (Dạng cốm) - 30gr - 300</v>
      </c>
    </row>
    <row r="964">
      <c r="A964" s="86">
        <f>IFERROR(__xludf.DUMMYFUNCTION("""COMPUTED_VALUE"""),962.0)</f>
        <v>962</v>
      </c>
      <c r="B964" s="87" t="str">
        <f>IFERROR(__xludf.DUMMYFUNCTION("""COMPUTED_VALUE"""),"Nhãn")</f>
        <v>Nhãn</v>
      </c>
      <c r="C964" s="87" t="str">
        <f>IFERROR(__xludf.DUMMYFUNCTION("""COMPUTED_VALUE"""),"NTN0442.1")</f>
        <v>NTN0442.1</v>
      </c>
      <c r="D964" s="87" t="str">
        <f>IFERROR(__xludf.DUMMYFUNCTION("""COMPUTED_VALUE"""),"[Nhãn] IDA Global - I - 442.1 - Creek 51WG (mới) - 30gr - 300")</f>
        <v>[Nhãn] IDA Global - I - 442.1 - Creek 51WG (mới) - 30gr - 300</v>
      </c>
      <c r="E964" s="87" t="str">
        <f>IFERROR(__xludf.DUMMYFUNCTION("""COMPUTED_VALUE"""),"Creek 51WG")</f>
        <v>Creek 51WG</v>
      </c>
      <c r="F964" s="87" t="str">
        <f>IFERROR(__xludf.DUMMYFUNCTION("""COMPUTED_VALUE"""),"HH42.1")</f>
        <v>HH42.1</v>
      </c>
      <c r="G964" s="87" t="str">
        <f>IFERROR(__xludf.DUMMYFUNCTION("""COMPUTED_VALUE"""),"IDA Global - I - 442.1 - Creek 51WG (mới) - 30gr - 300")</f>
        <v>IDA Global - I - 442.1 - Creek 51WG (mới) - 30gr - 300</v>
      </c>
    </row>
    <row r="965">
      <c r="A965" s="86">
        <f>IFERROR(__xludf.DUMMYFUNCTION("""COMPUTED_VALUE"""),963.0)</f>
        <v>963</v>
      </c>
      <c r="B965" s="87" t="str">
        <f>IFERROR(__xludf.DUMMYFUNCTION("""COMPUTED_VALUE"""),"Nhãn")</f>
        <v>Nhãn</v>
      </c>
      <c r="C965" s="87" t="str">
        <f>IFERROR(__xludf.DUMMYFUNCTION("""COMPUTED_VALUE"""),"NTN0442.2")</f>
        <v>NTN0442.2</v>
      </c>
      <c r="D965" s="87" t="str">
        <f>IFERROR(__xludf.DUMMYFUNCTION("""COMPUTED_VALUE"""),"[Nhãn] IDA Global - I - 442.2 - Creek 51WG (mới) - 30gr - 300")</f>
        <v>[Nhãn] IDA Global - I - 442.2 - Creek 51WG (mới) - 30gr - 300</v>
      </c>
      <c r="E965" s="87" t="str">
        <f>IFERROR(__xludf.DUMMYFUNCTION("""COMPUTED_VALUE"""),"Creek 51WG")</f>
        <v>Creek 51WG</v>
      </c>
      <c r="F965" s="87" t="str">
        <f>IFERROR(__xludf.DUMMYFUNCTION("""COMPUTED_VALUE"""),"HH42.2")</f>
        <v>HH42.2</v>
      </c>
      <c r="G965" s="87" t="str">
        <f>IFERROR(__xludf.DUMMYFUNCTION("""COMPUTED_VALUE"""),"IDA Global - I - 442.2 - Creek 51WG (mới) - 30gr - 300")</f>
        <v>IDA Global - I - 442.2 - Creek 51WG (mới) - 30gr - 300</v>
      </c>
    </row>
    <row r="966">
      <c r="A966" s="86">
        <f>IFERROR(__xludf.DUMMYFUNCTION("""COMPUTED_VALUE"""),964.0)</f>
        <v>964</v>
      </c>
      <c r="B966" s="87" t="str">
        <f>IFERROR(__xludf.DUMMYFUNCTION("""COMPUTED_VALUE"""),"Nhãn")</f>
        <v>Nhãn</v>
      </c>
      <c r="C966" s="87" t="str">
        <f>IFERROR(__xludf.DUMMYFUNCTION("""COMPUTED_VALUE"""),"NTG0443")</f>
        <v>NTG0443</v>
      </c>
      <c r="D966" s="87" t="str">
        <f>IFERROR(__xludf.DUMMYFUNCTION("""COMPUTED_VALUE"""),"[Nhãn] IDA Global - I - 443 - Creek 51WG (Dạng cốm) - 150gr - 100")</f>
        <v>[Nhãn] IDA Global - I - 443 - Creek 51WG (Dạng cốm) - 150gr - 100</v>
      </c>
      <c r="E966" s="87" t="str">
        <f>IFERROR(__xludf.DUMMYFUNCTION("""COMPUTED_VALUE"""),"Creek 51WG")</f>
        <v>Creek 51WG</v>
      </c>
      <c r="F966" s="87" t="str">
        <f>IFERROR(__xludf.DUMMYFUNCTION("""COMPUTED_VALUE"""),"HH0443")</f>
        <v>HH0443</v>
      </c>
      <c r="G966" s="87" t="str">
        <f>IFERROR(__xludf.DUMMYFUNCTION("""COMPUTED_VALUE"""),"IDA Global - I - 443 - Creek 51WG (Dạng cốm) - 150gr - 100")</f>
        <v>IDA Global - I - 443 - Creek 51WG (Dạng cốm) - 150gr - 100</v>
      </c>
    </row>
    <row r="967">
      <c r="A967" s="86">
        <f>IFERROR(__xludf.DUMMYFUNCTION("""COMPUTED_VALUE"""),965.0)</f>
        <v>965</v>
      </c>
      <c r="B967" s="87" t="str">
        <f>IFERROR(__xludf.DUMMYFUNCTION("""COMPUTED_VALUE"""),"Nhãn")</f>
        <v>Nhãn</v>
      </c>
      <c r="C967" s="87" t="str">
        <f>IFERROR(__xludf.DUMMYFUNCTION("""COMPUTED_VALUE"""),"NTN0443.1")</f>
        <v>NTN0443.1</v>
      </c>
      <c r="D967" s="87" t="str">
        <f>IFERROR(__xludf.DUMMYFUNCTION("""COMPUTED_VALUE"""),"[Nhãn] IDA Global - I - 443.1 - Creek 51WG (Dạng cốm) - 150gr - 100")</f>
        <v>[Nhãn] IDA Global - I - 443.1 - Creek 51WG (Dạng cốm) - 150gr - 100</v>
      </c>
      <c r="E967" s="87" t="str">
        <f>IFERROR(__xludf.DUMMYFUNCTION("""COMPUTED_VALUE"""),"Creek 51WG")</f>
        <v>Creek 51WG</v>
      </c>
      <c r="F967" s="87" t="str">
        <f>IFERROR(__xludf.DUMMYFUNCTION("""COMPUTED_VALUE"""),"HH43.1")</f>
        <v>HH43.1</v>
      </c>
      <c r="G967" s="87" t="str">
        <f>IFERROR(__xludf.DUMMYFUNCTION("""COMPUTED_VALUE"""),"IDA Global - I - 443.1 - Creek 51WG (Dạng cốm) - 150gr - 100")</f>
        <v>IDA Global - I - 443.1 - Creek 51WG (Dạng cốm) - 150gr - 100</v>
      </c>
    </row>
    <row r="968">
      <c r="A968" s="86">
        <f>IFERROR(__xludf.DUMMYFUNCTION("""COMPUTED_VALUE"""),966.0)</f>
        <v>966</v>
      </c>
      <c r="B968" s="87" t="str">
        <f>IFERROR(__xludf.DUMMYFUNCTION("""COMPUTED_VALUE"""),"Nhãn")</f>
        <v>Nhãn</v>
      </c>
      <c r="C968" s="87" t="str">
        <f>IFERROR(__xludf.DUMMYFUNCTION("""COMPUTED_VALUE"""),"NHG0444")</f>
        <v>NHG0444</v>
      </c>
      <c r="D968" s="87" t="str">
        <f>IFERROR(__xludf.DUMMYFUNCTION("""COMPUTED_VALUE"""),"[Nhãn] IDA Global - I - 444 - Sức Mạnh Cá Mập 300 (PET) - 100ml - 100")</f>
        <v>[Nhãn] IDA Global - I - 444 - Sức Mạnh Cá Mập 300 (PET) - 100ml - 100</v>
      </c>
      <c r="E968" s="87" t="str">
        <f>IFERROR(__xludf.DUMMYFUNCTION("""COMPUTED_VALUE"""),"Solonapy 300SC")</f>
        <v>Solonapy 300SC</v>
      </c>
      <c r="F968" s="87" t="str">
        <f>IFERROR(__xludf.DUMMYFUNCTION("""COMPUTED_VALUE"""),"HH0444")</f>
        <v>HH0444</v>
      </c>
      <c r="G968" s="87" t="str">
        <f>IFERROR(__xludf.DUMMYFUNCTION("""COMPUTED_VALUE"""),"IDA Global - I - 444 - Sức Mạnh Cá Mập 300 (PET) - 100ml - 100")</f>
        <v>IDA Global - I - 444 - Sức Mạnh Cá Mập 300 (PET) - 100ml - 100</v>
      </c>
    </row>
    <row r="969">
      <c r="A969" s="86">
        <f>IFERROR(__xludf.DUMMYFUNCTION("""COMPUTED_VALUE"""),967.0)</f>
        <v>967</v>
      </c>
      <c r="B969" s="87" t="str">
        <f>IFERROR(__xludf.DUMMYFUNCTION("""COMPUTED_VALUE"""),"Nhãn")</f>
        <v>Nhãn</v>
      </c>
      <c r="C969" s="87" t="str">
        <f>IFERROR(__xludf.DUMMYFUNCTION("""COMPUTED_VALUE"""),"NHG0445")</f>
        <v>NHG0445</v>
      </c>
      <c r="D969" s="87" t="str">
        <f>IFERROR(__xludf.DUMMYFUNCTION("""COMPUTED_VALUE"""),"[Nhãn] IDA Global - I - 445 - Sức Mạnh Cá Mập 300 (PET) - 240ml - 40")</f>
        <v>[Nhãn] IDA Global - I - 445 - Sức Mạnh Cá Mập 300 (PET) - 240ml - 40</v>
      </c>
      <c r="E969" s="87" t="str">
        <f>IFERROR(__xludf.DUMMYFUNCTION("""COMPUTED_VALUE"""),"Solonapy 300SC")</f>
        <v>Solonapy 300SC</v>
      </c>
      <c r="F969" s="87" t="str">
        <f>IFERROR(__xludf.DUMMYFUNCTION("""COMPUTED_VALUE"""),"HH0445")</f>
        <v>HH0445</v>
      </c>
      <c r="G969" s="87" t="str">
        <f>IFERROR(__xludf.DUMMYFUNCTION("""COMPUTED_VALUE"""),"IDA Global - I - 445 - Sức Mạnh Cá Mập 300 (PET) - 240ml - 40")</f>
        <v>IDA Global - I - 445 - Sức Mạnh Cá Mập 300 (PET) - 240ml - 40</v>
      </c>
    </row>
    <row r="970">
      <c r="A970" s="86">
        <f>IFERROR(__xludf.DUMMYFUNCTION("""COMPUTED_VALUE"""),968.0)</f>
        <v>968</v>
      </c>
      <c r="B970" s="87" t="str">
        <f>IFERROR(__xludf.DUMMYFUNCTION("""COMPUTED_VALUE"""),"Nhãn")</f>
        <v>Nhãn</v>
      </c>
      <c r="C970" s="87" t="str">
        <f>IFERROR(__xludf.DUMMYFUNCTION("""COMPUTED_VALUE"""),"NTN0447")</f>
        <v>NTN0447</v>
      </c>
      <c r="D970" s="87" t="str">
        <f>IFERROR(__xludf.DUMMYFUNCTION("""COMPUTED_VALUE"""),"[Nhãn] GC - I - 447- AU - Mancozeb Xanh - 1kg - 20")</f>
        <v>[Nhãn] GC - I - 447- AU - Mancozeb Xanh - 1kg - 20</v>
      </c>
      <c r="E970" s="87" t="str">
        <f>IFERROR(__xludf.DUMMYFUNCTION("""COMPUTED_VALUE"""),"TVZEB 800WP")</f>
        <v>TVZEB 800WP</v>
      </c>
      <c r="F970" s="87" t="str">
        <f>IFERROR(__xludf.DUMMYFUNCTION("""COMPUTED_VALUE"""),"HH0447")</f>
        <v>HH0447</v>
      </c>
      <c r="G970" s="87" t="str">
        <f>IFERROR(__xludf.DUMMYFUNCTION("""COMPUTED_VALUE"""),"GC - I - 447- AU - Mancozeb Xanh - 1kg - 20")</f>
        <v>GC - I - 447- AU - Mancozeb Xanh - 1kg - 20</v>
      </c>
    </row>
    <row r="971">
      <c r="A971" s="86">
        <f>IFERROR(__xludf.DUMMYFUNCTION("""COMPUTED_VALUE"""),969.0)</f>
        <v>969</v>
      </c>
      <c r="B971" s="87" t="str">
        <f>IFERROR(__xludf.DUMMYFUNCTION("""COMPUTED_VALUE"""),"Nhãn thùng")</f>
        <v>Nhãn thùng</v>
      </c>
      <c r="C971" s="87" t="str">
        <f>IFERROR(__xludf.DUMMYFUNCTION("""COMPUTED_VALUE"""),"NDT0447")</f>
        <v>NDT0447</v>
      </c>
      <c r="D971" s="87" t="str">
        <f>IFERROR(__xludf.DUMMYFUNCTION("""COMPUTED_VALUE"""),"[Nhãn thùng] GC - I - 447- AU - Mancozeb Xanh - 1kg - 20")</f>
        <v>[Nhãn thùng] GC - I - 447- AU - Mancozeb Xanh - 1kg - 20</v>
      </c>
      <c r="E971" s="87" t="str">
        <f>IFERROR(__xludf.DUMMYFUNCTION("""COMPUTED_VALUE"""),"TVZEB 800WP")</f>
        <v>TVZEB 800WP</v>
      </c>
      <c r="F971" s="87" t="str">
        <f>IFERROR(__xludf.DUMMYFUNCTION("""COMPUTED_VALUE"""),"HH0447")</f>
        <v>HH0447</v>
      </c>
      <c r="G971" s="87" t="str">
        <f>IFERROR(__xludf.DUMMYFUNCTION("""COMPUTED_VALUE"""),"GC - I - 447- AU - Mancozeb Xanh - 1kg - 20")</f>
        <v>GC - I - 447- AU - Mancozeb Xanh - 1kg - 20</v>
      </c>
    </row>
    <row r="972">
      <c r="A972" s="86">
        <f>IFERROR(__xludf.DUMMYFUNCTION("""COMPUTED_VALUE"""),970.0)</f>
        <v>970</v>
      </c>
      <c r="B972" s="87" t="str">
        <f>IFERROR(__xludf.DUMMYFUNCTION("""COMPUTED_VALUE"""),"Nhãn")</f>
        <v>Nhãn</v>
      </c>
      <c r="C972" s="87" t="str">
        <f>IFERROR(__xludf.DUMMYFUNCTION("""COMPUTED_VALUE"""),"NTN0448")</f>
        <v>NTN0448</v>
      </c>
      <c r="D972" s="87" t="str">
        <f>IFERROR(__xludf.DUMMYFUNCTION("""COMPUTED_VALUE"""),"[Nhãn] GC - 448 - I - Thiên Di - Mancozeb Xanh (Nhãn xanh Lá) - 100gr - 100")</f>
        <v>[Nhãn] GC - 448 - I - Thiên Di - Mancozeb Xanh (Nhãn xanh Lá) - 100gr - 100</v>
      </c>
      <c r="E972" s="87" t="str">
        <f>IFERROR(__xludf.DUMMYFUNCTION("""COMPUTED_VALUE"""),"TVZEB 800WP")</f>
        <v>TVZEB 800WP</v>
      </c>
      <c r="F972" s="87" t="str">
        <f>IFERROR(__xludf.DUMMYFUNCTION("""COMPUTED_VALUE"""),"HH0448")</f>
        <v>HH0448</v>
      </c>
      <c r="G972" s="87" t="str">
        <f>IFERROR(__xludf.DUMMYFUNCTION("""COMPUTED_VALUE"""),"GC - 448 - I - Thiên Di - Mancozeb Xanh (Nhãn xanh Lá) - 100gr - 100")</f>
        <v>GC - 448 - I - Thiên Di - Mancozeb Xanh (Nhãn xanh Lá) - 100gr - 100</v>
      </c>
    </row>
    <row r="973">
      <c r="A973" s="86">
        <f>IFERROR(__xludf.DUMMYFUNCTION("""COMPUTED_VALUE"""),971.0)</f>
        <v>971</v>
      </c>
      <c r="B973" s="87" t="str">
        <f>IFERROR(__xludf.DUMMYFUNCTION("""COMPUTED_VALUE"""),"Nhãn thùng")</f>
        <v>Nhãn thùng</v>
      </c>
      <c r="C973" s="87" t="str">
        <f>IFERROR(__xludf.DUMMYFUNCTION("""COMPUTED_VALUE"""),"NDT0448")</f>
        <v>NDT0448</v>
      </c>
      <c r="D973" s="87" t="str">
        <f>IFERROR(__xludf.DUMMYFUNCTION("""COMPUTED_VALUE"""),"[Nhãn thùng] GC - 448 - I - Thiên Di - Mancozeb Xanh (Nhãn xanh Lá) - 100gr - 100")</f>
        <v>[Nhãn thùng] GC - 448 - I - Thiên Di - Mancozeb Xanh (Nhãn xanh Lá) - 100gr - 100</v>
      </c>
      <c r="E973" s="87" t="str">
        <f>IFERROR(__xludf.DUMMYFUNCTION("""COMPUTED_VALUE"""),"TVZEB 800WP")</f>
        <v>TVZEB 800WP</v>
      </c>
      <c r="F973" s="87" t="str">
        <f>IFERROR(__xludf.DUMMYFUNCTION("""COMPUTED_VALUE"""),"HH0448")</f>
        <v>HH0448</v>
      </c>
      <c r="G973" s="87" t="str">
        <f>IFERROR(__xludf.DUMMYFUNCTION("""COMPUTED_VALUE"""),"GC - 448 - I - Thiên Di - Mancozeb Xanh (Nhãn xanh Lá) - 100gr - 100")</f>
        <v>GC - 448 - I - Thiên Di - Mancozeb Xanh (Nhãn xanh Lá) - 100gr - 100</v>
      </c>
    </row>
    <row r="974">
      <c r="A974" s="86">
        <f>IFERROR(__xludf.DUMMYFUNCTION("""COMPUTED_VALUE"""),972.0)</f>
        <v>972</v>
      </c>
      <c r="B974" s="87" t="str">
        <f>IFERROR(__xludf.DUMMYFUNCTION("""COMPUTED_VALUE"""),"Nhãn")</f>
        <v>Nhãn</v>
      </c>
      <c r="C974" s="87" t="str">
        <f>IFERROR(__xludf.DUMMYFUNCTION("""COMPUTED_VALUE"""),"NTN0449")</f>
        <v>NTN0449</v>
      </c>
      <c r="D974" s="87" t="str">
        <f>IFERROR(__xludf.DUMMYFUNCTION("""COMPUTED_VALUE"""),"[Nhãn] GC - I - 449 - Thiên Di - Mancozeb Xanh (Nhãn xanh Dương) - 1kg - 20")</f>
        <v>[Nhãn] GC - I - 449 - Thiên Di - Mancozeb Xanh (Nhãn xanh Dương) - 1kg - 20</v>
      </c>
      <c r="E974" s="87" t="str">
        <f>IFERROR(__xludf.DUMMYFUNCTION("""COMPUTED_VALUE"""),"TVZEB 800WP")</f>
        <v>TVZEB 800WP</v>
      </c>
      <c r="F974" s="87" t="str">
        <f>IFERROR(__xludf.DUMMYFUNCTION("""COMPUTED_VALUE"""),"HH0449")</f>
        <v>HH0449</v>
      </c>
      <c r="G974" s="87" t="str">
        <f>IFERROR(__xludf.DUMMYFUNCTION("""COMPUTED_VALUE"""),"GC - I - 449 - Thiên Di - Mancozeb Xanh (Nhãn xanh Dương) - 1kg - 20")</f>
        <v>GC - I - 449 - Thiên Di - Mancozeb Xanh (Nhãn xanh Dương) - 1kg - 20</v>
      </c>
    </row>
    <row r="975">
      <c r="A975" s="86">
        <f>IFERROR(__xludf.DUMMYFUNCTION("""COMPUTED_VALUE"""),973.0)</f>
        <v>973</v>
      </c>
      <c r="B975" s="87" t="str">
        <f>IFERROR(__xludf.DUMMYFUNCTION("""COMPUTED_VALUE"""),"Nhãn thùng")</f>
        <v>Nhãn thùng</v>
      </c>
      <c r="C975" s="87" t="str">
        <f>IFERROR(__xludf.DUMMYFUNCTION("""COMPUTED_VALUE"""),"NDT0449")</f>
        <v>NDT0449</v>
      </c>
      <c r="D975" s="87" t="str">
        <f>IFERROR(__xludf.DUMMYFUNCTION("""COMPUTED_VALUE"""),"[Nhãn thùng] GC - I - 449 - Thiên Di - Mancozeb Xanh (Nhãn xanh Dương) - 1kg - 20")</f>
        <v>[Nhãn thùng] GC - I - 449 - Thiên Di - Mancozeb Xanh (Nhãn xanh Dương) - 1kg - 20</v>
      </c>
      <c r="E975" s="87" t="str">
        <f>IFERROR(__xludf.DUMMYFUNCTION("""COMPUTED_VALUE"""),"TVZEB 800WP")</f>
        <v>TVZEB 800WP</v>
      </c>
      <c r="F975" s="87" t="str">
        <f>IFERROR(__xludf.DUMMYFUNCTION("""COMPUTED_VALUE"""),"HH0449")</f>
        <v>HH0449</v>
      </c>
      <c r="G975" s="87" t="str">
        <f>IFERROR(__xludf.DUMMYFUNCTION("""COMPUTED_VALUE"""),"GC - I - 449 - Thiên Di - Mancozeb Xanh (Nhãn xanh Dương) - 1kg - 20")</f>
        <v>GC - I - 449 - Thiên Di - Mancozeb Xanh (Nhãn xanh Dương) - 1kg - 20</v>
      </c>
    </row>
    <row r="976">
      <c r="A976" s="86">
        <f>IFERROR(__xludf.DUMMYFUNCTION("""COMPUTED_VALUE"""),974.0)</f>
        <v>974</v>
      </c>
      <c r="B976" s="87" t="str">
        <f>IFERROR(__xludf.DUMMYFUNCTION("""COMPUTED_VALUE"""),"Nhãn")</f>
        <v>Nhãn</v>
      </c>
      <c r="C976" s="87" t="str">
        <f>IFERROR(__xludf.DUMMYFUNCTION("""COMPUTED_VALUE"""),"NTN0450")</f>
        <v>NTN0450</v>
      </c>
      <c r="D976" s="87" t="str">
        <f>IFERROR(__xludf.DUMMYFUNCTION("""COMPUTED_VALUE"""),"[Nhãn] GC - II - 450 - Agriplant - Mancozeb vàng - 1kg - 20")</f>
        <v>[Nhãn] GC - II - 450 - Agriplant - Mancozeb vàng - 1kg - 20</v>
      </c>
      <c r="E976" s="87" t="str">
        <f>IFERROR(__xludf.DUMMYFUNCTION("""COMPUTED_VALUE"""),"TVZEB 800WP")</f>
        <v>TVZEB 800WP</v>
      </c>
      <c r="F976" s="87" t="str">
        <f>IFERROR(__xludf.DUMMYFUNCTION("""COMPUTED_VALUE"""),"HH0450")</f>
        <v>HH0450</v>
      </c>
      <c r="G976" s="87" t="str">
        <f>IFERROR(__xludf.DUMMYFUNCTION("""COMPUTED_VALUE"""),"GC - II - 450 - Agriplant - Mancozeb vàng - 1kg - 20")</f>
        <v>GC - II - 450 - Agriplant - Mancozeb vàng - 1kg - 20</v>
      </c>
    </row>
    <row r="977">
      <c r="A977" s="86">
        <f>IFERROR(__xludf.DUMMYFUNCTION("""COMPUTED_VALUE"""),975.0)</f>
        <v>975</v>
      </c>
      <c r="B977" s="87" t="str">
        <f>IFERROR(__xludf.DUMMYFUNCTION("""COMPUTED_VALUE"""),"Nhãn thùng")</f>
        <v>Nhãn thùng</v>
      </c>
      <c r="C977" s="87" t="str">
        <f>IFERROR(__xludf.DUMMYFUNCTION("""COMPUTED_VALUE"""),"NDT0450")</f>
        <v>NDT0450</v>
      </c>
      <c r="D977" s="87" t="str">
        <f>IFERROR(__xludf.DUMMYFUNCTION("""COMPUTED_VALUE"""),"[Nhãn thùng] GC - II - 450 - Agriplant - Mancozeb vàng - 1kg - 20")</f>
        <v>[Nhãn thùng] GC - II - 450 - Agriplant - Mancozeb vàng - 1kg - 20</v>
      </c>
      <c r="E977" s="87" t="str">
        <f>IFERROR(__xludf.DUMMYFUNCTION("""COMPUTED_VALUE"""),"TVZEB 800WP")</f>
        <v>TVZEB 800WP</v>
      </c>
      <c r="F977" s="87" t="str">
        <f>IFERROR(__xludf.DUMMYFUNCTION("""COMPUTED_VALUE"""),"HH0450")</f>
        <v>HH0450</v>
      </c>
      <c r="G977" s="87" t="str">
        <f>IFERROR(__xludf.DUMMYFUNCTION("""COMPUTED_VALUE"""),"GC - II - 450 - Agriplant - Mancozeb vàng - 1kg - 20")</f>
        <v>GC - II - 450 - Agriplant - Mancozeb vàng - 1kg - 20</v>
      </c>
    </row>
    <row r="978">
      <c r="A978" s="86">
        <f>IFERROR(__xludf.DUMMYFUNCTION("""COMPUTED_VALUE"""),976.0)</f>
        <v>976</v>
      </c>
      <c r="B978" s="87" t="str">
        <f>IFERROR(__xludf.DUMMYFUNCTION("""COMPUTED_VALUE"""),"Nhãn")</f>
        <v>Nhãn</v>
      </c>
      <c r="C978" s="87" t="str">
        <f>IFERROR(__xludf.DUMMYFUNCTION("""COMPUTED_VALUE"""),"NTN0451")</f>
        <v>NTN0451</v>
      </c>
      <c r="D978" s="87" t="str">
        <f>IFERROR(__xludf.DUMMYFUNCTION("""COMPUTED_VALUE"""),"[Nhãn] GC - II - 451 - AGC - Mancozeb Xanh - Fungicide - 1 kg - 20")</f>
        <v>[Nhãn] GC - II - 451 - AGC - Mancozeb Xanh - Fungicide - 1 kg - 20</v>
      </c>
      <c r="E978" s="87" t="str">
        <f>IFERROR(__xludf.DUMMYFUNCTION("""COMPUTED_VALUE"""),"TVZEB 800WP")</f>
        <v>TVZEB 800WP</v>
      </c>
      <c r="F978" s="87" t="str">
        <f>IFERROR(__xludf.DUMMYFUNCTION("""COMPUTED_VALUE"""),"HH0451")</f>
        <v>HH0451</v>
      </c>
      <c r="G978" s="87" t="str">
        <f>IFERROR(__xludf.DUMMYFUNCTION("""COMPUTED_VALUE"""),"GC - II - 451 - AGC - Mancozeb Xanh - Fungicide - 1 kg - 20")</f>
        <v>GC - II - 451 - AGC - Mancozeb Xanh - Fungicide - 1 kg - 20</v>
      </c>
    </row>
    <row r="979">
      <c r="A979" s="86">
        <f>IFERROR(__xludf.DUMMYFUNCTION("""COMPUTED_VALUE"""),977.0)</f>
        <v>977</v>
      </c>
      <c r="B979" s="87" t="str">
        <f>IFERROR(__xludf.DUMMYFUNCTION("""COMPUTED_VALUE"""),"Nhãn thùng")</f>
        <v>Nhãn thùng</v>
      </c>
      <c r="C979" s="87" t="str">
        <f>IFERROR(__xludf.DUMMYFUNCTION("""COMPUTED_VALUE"""),"NDT0451")</f>
        <v>NDT0451</v>
      </c>
      <c r="D979" s="87" t="str">
        <f>IFERROR(__xludf.DUMMYFUNCTION("""COMPUTED_VALUE"""),"[Nhãn thùng] GC - II - 451 - AGC - Mancozeb Xanh - Fungicide - 1 kg - 20")</f>
        <v>[Nhãn thùng] GC - II - 451 - AGC - Mancozeb Xanh - Fungicide - 1 kg - 20</v>
      </c>
      <c r="E979" s="87" t="str">
        <f>IFERROR(__xludf.DUMMYFUNCTION("""COMPUTED_VALUE"""),"TVZEB 800WP")</f>
        <v>TVZEB 800WP</v>
      </c>
      <c r="F979" s="87" t="str">
        <f>IFERROR(__xludf.DUMMYFUNCTION("""COMPUTED_VALUE"""),"HH0451")</f>
        <v>HH0451</v>
      </c>
      <c r="G979" s="87" t="str">
        <f>IFERROR(__xludf.DUMMYFUNCTION("""COMPUTED_VALUE"""),"GC - II - 451 - AGC - Mancozeb Xanh - Fungicide - 1 kg - 20")</f>
        <v>GC - II - 451 - AGC - Mancozeb Xanh - Fungicide - 1 kg - 20</v>
      </c>
    </row>
    <row r="980">
      <c r="A980" s="86">
        <f>IFERROR(__xludf.DUMMYFUNCTION("""COMPUTED_VALUE"""),978.0)</f>
        <v>978</v>
      </c>
      <c r="B980" s="87" t="str">
        <f>IFERROR(__xludf.DUMMYFUNCTION("""COMPUTED_VALUE"""),"Nhãn")</f>
        <v>Nhãn</v>
      </c>
      <c r="C980" s="87" t="str">
        <f>IFERROR(__xludf.DUMMYFUNCTION("""COMPUTED_VALUE"""),"NTN0452")</f>
        <v>NTN0452</v>
      </c>
      <c r="D980" s="87" t="str">
        <f>IFERROR(__xludf.DUMMYFUNCTION("""COMPUTED_VALUE"""),"[Nhãn] GC - II - 452 - AGC -Mancozeb Vàng - Fungicide - 1 kg - 20")</f>
        <v>[Nhãn] GC - II - 452 - AGC -Mancozeb Vàng - Fungicide - 1 kg - 20</v>
      </c>
      <c r="E980" s="87" t="str">
        <f>IFERROR(__xludf.DUMMYFUNCTION("""COMPUTED_VALUE"""),"TVZEB 800WP")</f>
        <v>TVZEB 800WP</v>
      </c>
      <c r="F980" s="87" t="str">
        <f>IFERROR(__xludf.DUMMYFUNCTION("""COMPUTED_VALUE"""),"HH0452")</f>
        <v>HH0452</v>
      </c>
      <c r="G980" s="87" t="str">
        <f>IFERROR(__xludf.DUMMYFUNCTION("""COMPUTED_VALUE"""),"GC - II - 452 - AGC -Mancozeb Vàng - Fungicide - 1 kg - 20")</f>
        <v>GC - II - 452 - AGC -Mancozeb Vàng - Fungicide - 1 kg - 20</v>
      </c>
    </row>
    <row r="981">
      <c r="A981" s="86">
        <f>IFERROR(__xludf.DUMMYFUNCTION("""COMPUTED_VALUE"""),979.0)</f>
        <v>979</v>
      </c>
      <c r="B981" s="87" t="str">
        <f>IFERROR(__xludf.DUMMYFUNCTION("""COMPUTED_VALUE"""),"Nhãn thùng")</f>
        <v>Nhãn thùng</v>
      </c>
      <c r="C981" s="87" t="str">
        <f>IFERROR(__xludf.DUMMYFUNCTION("""COMPUTED_VALUE"""),"NDT0452")</f>
        <v>NDT0452</v>
      </c>
      <c r="D981" s="87" t="str">
        <f>IFERROR(__xludf.DUMMYFUNCTION("""COMPUTED_VALUE"""),"[Nhãn thùng] GC - II - 452 - AGC -Mancozeb Vàng - Fungicide - 1 kg - 20")</f>
        <v>[Nhãn thùng] GC - II - 452 - AGC -Mancozeb Vàng - Fungicide - 1 kg - 20</v>
      </c>
      <c r="E981" s="87" t="str">
        <f>IFERROR(__xludf.DUMMYFUNCTION("""COMPUTED_VALUE"""),"TVZEB 800WP")</f>
        <v>TVZEB 800WP</v>
      </c>
      <c r="F981" s="87" t="str">
        <f>IFERROR(__xludf.DUMMYFUNCTION("""COMPUTED_VALUE"""),"HH0452")</f>
        <v>HH0452</v>
      </c>
      <c r="G981" s="87" t="str">
        <f>IFERROR(__xludf.DUMMYFUNCTION("""COMPUTED_VALUE"""),"GC - II - 452 - AGC -Mancozeb Vàng - Fungicide - 1 kg - 20")</f>
        <v>GC - II - 452 - AGC -Mancozeb Vàng - Fungicide - 1 kg - 20</v>
      </c>
    </row>
    <row r="982">
      <c r="A982" s="86">
        <f>IFERROR(__xludf.DUMMYFUNCTION("""COMPUTED_VALUE"""),980.0)</f>
        <v>980</v>
      </c>
      <c r="B982" s="87" t="str">
        <f>IFERROR(__xludf.DUMMYFUNCTION("""COMPUTED_VALUE"""),"Nhãn")</f>
        <v>Nhãn</v>
      </c>
      <c r="C982" s="87" t="str">
        <f>IFERROR(__xludf.DUMMYFUNCTION("""COMPUTED_VALUE"""),"NTN0454")</f>
        <v>NTN0454</v>
      </c>
      <c r="D982" s="87" t="str">
        <f>IFERROR(__xludf.DUMMYFUNCTION("""COMPUTED_VALUE"""),"[Nhãn] GC - II - 454 - BM - Mancozeb Xanh (Nhãn Đỏ) - 1kg - 20")</f>
        <v>[Nhãn] GC - II - 454 - BM - Mancozeb Xanh (Nhãn Đỏ) - 1kg - 20</v>
      </c>
      <c r="E982" s="87" t="str">
        <f>IFERROR(__xludf.DUMMYFUNCTION("""COMPUTED_VALUE"""),"TVZEB 800WP")</f>
        <v>TVZEB 800WP</v>
      </c>
      <c r="F982" s="87" t="str">
        <f>IFERROR(__xludf.DUMMYFUNCTION("""COMPUTED_VALUE"""),"HH0454")</f>
        <v>HH0454</v>
      </c>
      <c r="G982" s="87" t="str">
        <f>IFERROR(__xludf.DUMMYFUNCTION("""COMPUTED_VALUE"""),"GC - II - 454 - BM - Mancozeb Xanh (Nhãn Đỏ) - 1kg - 20")</f>
        <v>GC - II - 454 - BM - Mancozeb Xanh (Nhãn Đỏ) - 1kg - 20</v>
      </c>
    </row>
    <row r="983">
      <c r="A983" s="86">
        <f>IFERROR(__xludf.DUMMYFUNCTION("""COMPUTED_VALUE"""),981.0)</f>
        <v>981</v>
      </c>
      <c r="B983" s="87" t="str">
        <f>IFERROR(__xludf.DUMMYFUNCTION("""COMPUTED_VALUE"""),"Nhãn")</f>
        <v>Nhãn</v>
      </c>
      <c r="C983" s="87" t="str">
        <f>IFERROR(__xludf.DUMMYFUNCTION("""COMPUTED_VALUE"""),"NTN0455")</f>
        <v>NTN0455</v>
      </c>
      <c r="D983" s="87" t="str">
        <f>IFERROR(__xludf.DUMMYFUNCTION("""COMPUTED_VALUE"""),"[Nhãn] GC - II - 455 - BM (JAPAN) - Mancozeb Xanh (Nhãn xanh Lá) - 1kg - 20")</f>
        <v>[Nhãn] GC - II - 455 - BM (JAPAN) - Mancozeb Xanh (Nhãn xanh Lá) - 1kg - 20</v>
      </c>
      <c r="E983" s="87" t="str">
        <f>IFERROR(__xludf.DUMMYFUNCTION("""COMPUTED_VALUE"""),"TVZEB 800WP")</f>
        <v>TVZEB 800WP</v>
      </c>
      <c r="F983" s="87" t="str">
        <f>IFERROR(__xludf.DUMMYFUNCTION("""COMPUTED_VALUE"""),"HH0455")</f>
        <v>HH0455</v>
      </c>
      <c r="G983" s="87" t="str">
        <f>IFERROR(__xludf.DUMMYFUNCTION("""COMPUTED_VALUE"""),"GC - II - 455 - BM (JAPAN) - Mancozeb Xanh (Nhãn xanh Lá) - 1kg - 20")</f>
        <v>GC - II - 455 - BM (JAPAN) - Mancozeb Xanh (Nhãn xanh Lá) - 1kg - 20</v>
      </c>
    </row>
    <row r="984">
      <c r="A984" s="86">
        <f>IFERROR(__xludf.DUMMYFUNCTION("""COMPUTED_VALUE"""),982.0)</f>
        <v>982</v>
      </c>
      <c r="B984" s="87" t="str">
        <f>IFERROR(__xludf.DUMMYFUNCTION("""COMPUTED_VALUE"""),"Nhãn thùng")</f>
        <v>Nhãn thùng</v>
      </c>
      <c r="C984" s="87" t="str">
        <f>IFERROR(__xludf.DUMMYFUNCTION("""COMPUTED_VALUE"""),"NDT0455")</f>
        <v>NDT0455</v>
      </c>
      <c r="D984" s="87" t="str">
        <f>IFERROR(__xludf.DUMMYFUNCTION("""COMPUTED_VALUE"""),"[Nhãn thùng] GC - II - 455 - BM (JAPAN) - Mancozeb Xanh (Nhãn xanh Lá) - 1kg - 20")</f>
        <v>[Nhãn thùng] GC - II - 455 - BM (JAPAN) - Mancozeb Xanh (Nhãn xanh Lá) - 1kg - 20</v>
      </c>
      <c r="E984" s="87" t="str">
        <f>IFERROR(__xludf.DUMMYFUNCTION("""COMPUTED_VALUE"""),"TVZEB 800WP")</f>
        <v>TVZEB 800WP</v>
      </c>
      <c r="F984" s="87" t="str">
        <f>IFERROR(__xludf.DUMMYFUNCTION("""COMPUTED_VALUE"""),"HH0455")</f>
        <v>HH0455</v>
      </c>
      <c r="G984" s="87" t="str">
        <f>IFERROR(__xludf.DUMMYFUNCTION("""COMPUTED_VALUE"""),"GC - II - 455 - BM (JAPAN) - Mancozeb Xanh (Nhãn xanh Lá) - 1kg - 20")</f>
        <v>GC - II - 455 - BM (JAPAN) - Mancozeb Xanh (Nhãn xanh Lá) - 1kg - 20</v>
      </c>
    </row>
    <row r="985">
      <c r="A985" s="86">
        <f>IFERROR(__xludf.DUMMYFUNCTION("""COMPUTED_VALUE"""),983.0)</f>
        <v>983</v>
      </c>
      <c r="B985" s="87" t="str">
        <f>IFERROR(__xludf.DUMMYFUNCTION("""COMPUTED_VALUE"""),"Nhãn")</f>
        <v>Nhãn</v>
      </c>
      <c r="C985" s="87" t="str">
        <f>IFERROR(__xludf.DUMMYFUNCTION("""COMPUTED_VALUE"""),"NHG0459")</f>
        <v>NHG0459</v>
      </c>
      <c r="D985" s="87" t="str">
        <f>IFERROR(__xludf.DUMMYFUNCTION("""COMPUTED_VALUE"""),"[Nhãn] GC - II - 459 - AGC - Pro-tin 480EC (PET) - 450ml - 40")</f>
        <v>[Nhãn] GC - II - 459 - AGC - Pro-tin 480EC (PET) - 450ml - 40</v>
      </c>
      <c r="E985" s="87" t="str">
        <f>IFERROR(__xludf.DUMMYFUNCTION("""COMPUTED_VALUE"""),"Pro-tin 480EC")</f>
        <v>Pro-tin 480EC</v>
      </c>
      <c r="F985" s="87" t="str">
        <f>IFERROR(__xludf.DUMMYFUNCTION("""COMPUTED_VALUE"""),"HH0459")</f>
        <v>HH0459</v>
      </c>
      <c r="G985" s="87" t="str">
        <f>IFERROR(__xludf.DUMMYFUNCTION("""COMPUTED_VALUE"""),"GC - II - 459 - AGC - Pro-tin 480EC (PET) - 450ml - 40")</f>
        <v>GC - II - 459 - AGC - Pro-tin 480EC (PET) - 450ml - 40</v>
      </c>
    </row>
    <row r="986">
      <c r="A986" s="86">
        <f>IFERROR(__xludf.DUMMYFUNCTION("""COMPUTED_VALUE"""),984.0)</f>
        <v>984</v>
      </c>
      <c r="B986" s="87" t="str">
        <f>IFERROR(__xludf.DUMMYFUNCTION("""COMPUTED_VALUE"""),"Nhãn")</f>
        <v>Nhãn</v>
      </c>
      <c r="C986" s="87" t="str">
        <f>IFERROR(__xludf.DUMMYFUNCTION("""COMPUTED_VALUE"""),"NHG0462")</f>
        <v>NHG0462</v>
      </c>
      <c r="D986" s="87" t="str">
        <f>IFERROR(__xludf.DUMMYFUNCTION("""COMPUTED_VALUE"""),"[Nhãn] GC - II - 462 - LuTa - Mekongvil 5SC (HD) - 500ml - 40")</f>
        <v>[Nhãn] GC - II - 462 - LuTa - Mekongvil 5SC (HD) - 500ml - 40</v>
      </c>
      <c r="E986" s="87" t="str">
        <f>IFERROR(__xludf.DUMMYFUNCTION("""COMPUTED_VALUE"""),"Mekongvil 5SC")</f>
        <v>Mekongvil 5SC</v>
      </c>
      <c r="F986" s="87" t="str">
        <f>IFERROR(__xludf.DUMMYFUNCTION("""COMPUTED_VALUE"""),"HH0462")</f>
        <v>HH0462</v>
      </c>
      <c r="G986" s="87" t="str">
        <f>IFERROR(__xludf.DUMMYFUNCTION("""COMPUTED_VALUE"""),"GC - II - 462 - LuTa - Mekongvil 5SC (HD) - 500ml - 40")</f>
        <v>GC - II - 462 - LuTa - Mekongvil 5SC (HD) - 500ml - 40</v>
      </c>
    </row>
    <row r="987">
      <c r="A987" s="86">
        <f>IFERROR(__xludf.DUMMYFUNCTION("""COMPUTED_VALUE"""),985.0)</f>
        <v>985</v>
      </c>
      <c r="B987" s="87" t="str">
        <f>IFERROR(__xludf.DUMMYFUNCTION("""COMPUTED_VALUE"""),"Nhãn")</f>
        <v>Nhãn</v>
      </c>
      <c r="C987" s="87" t="str">
        <f>IFERROR(__xludf.DUMMYFUNCTION("""COMPUTED_VALUE"""),"NHG0465")</f>
        <v>NHG0465</v>
      </c>
      <c r="D987" s="87" t="str">
        <f>IFERROR(__xludf.DUMMYFUNCTION("""COMPUTED_VALUE"""),"[Nhãn] GC - II - 465 - AGC - Kamycinjapane 20SL (chai tròn) - 450ml - 40")</f>
        <v>[Nhãn] GC - II - 465 - AGC - Kamycinjapane 20SL (chai tròn) - 450ml - 40</v>
      </c>
      <c r="E987" s="87" t="str">
        <f>IFERROR(__xludf.DUMMYFUNCTION("""COMPUTED_VALUE"""),"Kamycinjapane 20SL")</f>
        <v>Kamycinjapane 20SL</v>
      </c>
      <c r="F987" s="87" t="str">
        <f>IFERROR(__xludf.DUMMYFUNCTION("""COMPUTED_VALUE"""),"HH0465")</f>
        <v>HH0465</v>
      </c>
      <c r="G987" s="87" t="str">
        <f>IFERROR(__xludf.DUMMYFUNCTION("""COMPUTED_VALUE"""),"GC - II - 465 - AGC - Kamycinjapane 20SL (chai tròn) - 450ml - 40")</f>
        <v>GC - II - 465 - AGC - Kamycinjapane 20SL (chai tròn) - 450ml - 40</v>
      </c>
    </row>
    <row r="988">
      <c r="A988" s="86">
        <f>IFERROR(__xludf.DUMMYFUNCTION("""COMPUTED_VALUE"""),986.0)</f>
        <v>986</v>
      </c>
      <c r="B988" s="87" t="str">
        <f>IFERROR(__xludf.DUMMYFUNCTION("""COMPUTED_VALUE"""),"Nhãn")</f>
        <v>Nhãn</v>
      </c>
      <c r="C988" s="87" t="str">
        <f>IFERROR(__xludf.DUMMYFUNCTION("""COMPUTED_VALUE"""),"NTN0471")</f>
        <v>NTN0471</v>
      </c>
      <c r="D988" s="87" t="str">
        <f>IFERROR(__xludf.DUMMYFUNCTION("""COMPUTED_VALUE"""),"[Nhãn] GC - I - 471 - TLB - Humi Plus (Túi nhôm) - 1kg - 25")</f>
        <v>[Nhãn] GC - I - 471 - TLB - Humi Plus (Túi nhôm) - 1kg - 25</v>
      </c>
      <c r="E988" s="87" t="str">
        <f>IFERROR(__xludf.DUMMYFUNCTION("""COMPUTED_VALUE"""),"Vi lượng AV-CFC
(Dạng rắn)")</f>
        <v>Vi lượng AV-CFC
(Dạng rắn)</v>
      </c>
      <c r="F988" s="87" t="str">
        <f>IFERROR(__xludf.DUMMYFUNCTION("""COMPUTED_VALUE"""),"HH0471")</f>
        <v>HH0471</v>
      </c>
      <c r="G988" s="87" t="str">
        <f>IFERROR(__xludf.DUMMYFUNCTION("""COMPUTED_VALUE"""),"GC - I - 471 - TLB - Humi Plus (Túi nhôm) - 1kg - 25")</f>
        <v>GC - I - 471 - TLB - Humi Plus (Túi nhôm) - 1kg - 25</v>
      </c>
    </row>
    <row r="989">
      <c r="A989" s="86">
        <f>IFERROR(__xludf.DUMMYFUNCTION("""COMPUTED_VALUE"""),987.0)</f>
        <v>987</v>
      </c>
      <c r="B989" s="87" t="str">
        <f>IFERROR(__xludf.DUMMYFUNCTION("""COMPUTED_VALUE"""),"Nhãn")</f>
        <v>Nhãn</v>
      </c>
      <c r="C989" s="87" t="str">
        <f>IFERROR(__xludf.DUMMYFUNCTION("""COMPUTED_VALUE"""),"NTN0475")</f>
        <v>NTN0475</v>
      </c>
      <c r="D989" s="87" t="str">
        <f>IFERROR(__xludf.DUMMYFUNCTION("""COMPUTED_VALUE"""),"[Nhãn] GC - II - 475 - AK - Metalaxyl (túi nhôm) - 100g - 100")</f>
        <v>[Nhãn] GC - II - 475 - AK - Metalaxyl (túi nhôm) - 100g - 100</v>
      </c>
      <c r="E989" s="87" t="str">
        <f>IFERROR(__xludf.DUMMYFUNCTION("""COMPUTED_VALUE"""),"Acodyl 35WP")</f>
        <v>Acodyl 35WP</v>
      </c>
      <c r="F989" s="87" t="str">
        <f>IFERROR(__xludf.DUMMYFUNCTION("""COMPUTED_VALUE"""),"HH0475")</f>
        <v>HH0475</v>
      </c>
      <c r="G989" s="87" t="str">
        <f>IFERROR(__xludf.DUMMYFUNCTION("""COMPUTED_VALUE"""),"GC - II - 475 - AK - Metalaxyl (túi nhôm) - 100g - 100")</f>
        <v>GC - II - 475 - AK - Metalaxyl (túi nhôm) - 100g - 100</v>
      </c>
    </row>
    <row r="990">
      <c r="A990" s="86">
        <f>IFERROR(__xludf.DUMMYFUNCTION("""COMPUTED_VALUE"""),988.0)</f>
        <v>988</v>
      </c>
      <c r="B990" s="87" t="str">
        <f>IFERROR(__xludf.DUMMYFUNCTION("""COMPUTED_VALUE"""),"Nhãn")</f>
        <v>Nhãn</v>
      </c>
      <c r="C990" s="87" t="str">
        <f>IFERROR(__xludf.DUMMYFUNCTION("""COMPUTED_VALUE"""),"NTN0478")</f>
        <v>NTN0478</v>
      </c>
      <c r="D990" s="87" t="str">
        <f>IFERROR(__xludf.DUMMYFUNCTION("""COMPUTED_VALUE"""),"[Nhãn] GC - II - 478 - AGC - Apple 700WP - 100 gr - 100")</f>
        <v>[Nhãn] GC - II - 478 - AGC - Apple 700WP - 100 gr - 100</v>
      </c>
      <c r="E990" s="87" t="str">
        <f>IFERROR(__xludf.DUMMYFUNCTION("""COMPUTED_VALUE"""),"Apple 700WP")</f>
        <v>Apple 700WP</v>
      </c>
      <c r="F990" s="87" t="str">
        <f>IFERROR(__xludf.DUMMYFUNCTION("""COMPUTED_VALUE"""),"HH0478")</f>
        <v>HH0478</v>
      </c>
      <c r="G990" s="87" t="str">
        <f>IFERROR(__xludf.DUMMYFUNCTION("""COMPUTED_VALUE"""),"GC - II - 478 - AGC - Apple 700WP - 100 gr - 100")</f>
        <v>GC - II - 478 - AGC - Apple 700WP - 100 gr - 100</v>
      </c>
    </row>
    <row r="991">
      <c r="A991" s="86">
        <f>IFERROR(__xludf.DUMMYFUNCTION("""COMPUTED_VALUE"""),989.0)</f>
        <v>989</v>
      </c>
      <c r="B991" s="87" t="str">
        <f>IFERROR(__xludf.DUMMYFUNCTION("""COMPUTED_VALUE"""),"Nhãn thùng")</f>
        <v>Nhãn thùng</v>
      </c>
      <c r="C991" s="87" t="str">
        <f>IFERROR(__xludf.DUMMYFUNCTION("""COMPUTED_VALUE"""),"NDT0478")</f>
        <v>NDT0478</v>
      </c>
      <c r="D991" s="87" t="str">
        <f>IFERROR(__xludf.DUMMYFUNCTION("""COMPUTED_VALUE"""),"[Nhãn thùng] GC - II - 478 - AGC - Apple 700WP - 100 gr - 100")</f>
        <v>[Nhãn thùng] GC - II - 478 - AGC - Apple 700WP - 100 gr - 100</v>
      </c>
      <c r="E991" s="87" t="str">
        <f>IFERROR(__xludf.DUMMYFUNCTION("""COMPUTED_VALUE"""),"Apple 700WP")</f>
        <v>Apple 700WP</v>
      </c>
      <c r="F991" s="87" t="str">
        <f>IFERROR(__xludf.DUMMYFUNCTION("""COMPUTED_VALUE"""),"HH0478")</f>
        <v>HH0478</v>
      </c>
      <c r="G991" s="87" t="str">
        <f>IFERROR(__xludf.DUMMYFUNCTION("""COMPUTED_VALUE"""),"GC - II - 478 - AGC - Apple 700WP - 100 gr - 100")</f>
        <v>GC - II - 478 - AGC - Apple 700WP - 100 gr - 100</v>
      </c>
    </row>
    <row r="992">
      <c r="A992" s="86">
        <f>IFERROR(__xludf.DUMMYFUNCTION("""COMPUTED_VALUE"""),990.0)</f>
        <v>990</v>
      </c>
      <c r="B992" s="87" t="str">
        <f>IFERROR(__xludf.DUMMYFUNCTION("""COMPUTED_VALUE"""),"Nhãn")</f>
        <v>Nhãn</v>
      </c>
      <c r="C992" s="87" t="str">
        <f>IFERROR(__xludf.DUMMYFUNCTION("""COMPUTED_VALUE"""),"NTN0479.1")</f>
        <v>NTN0479.1</v>
      </c>
      <c r="D992" s="87" t="str">
        <f>IFERROR(__xludf.DUMMYFUNCTION("""COMPUTED_VALUE"""),"[Nhãn] IDA Global - I - 479.1 -Tricyclazole (Drone) - 100gr - 100")</f>
        <v>[Nhãn] IDA Global - I - 479.1 -Tricyclazole (Drone) - 100gr - 100</v>
      </c>
      <c r="E992" s="87" t="str">
        <f>IFERROR(__xludf.DUMMYFUNCTION("""COMPUTED_VALUE"""),"Pim.Pim 75WP")</f>
        <v>Pim.Pim 75WP</v>
      </c>
      <c r="F992" s="87" t="str">
        <f>IFERROR(__xludf.DUMMYFUNCTION("""COMPUTED_VALUE"""),"HH79.1")</f>
        <v>HH79.1</v>
      </c>
      <c r="G992" s="87" t="str">
        <f>IFERROR(__xludf.DUMMYFUNCTION("""COMPUTED_VALUE"""),"IDA Global - I - 479.1 -Tricyclazole (Drone) - 100gr - 100")</f>
        <v>IDA Global - I - 479.1 -Tricyclazole (Drone) - 100gr - 100</v>
      </c>
    </row>
    <row r="993">
      <c r="A993" s="86">
        <f>IFERROR(__xludf.DUMMYFUNCTION("""COMPUTED_VALUE"""),991.0)</f>
        <v>991</v>
      </c>
      <c r="B993" s="87" t="str">
        <f>IFERROR(__xludf.DUMMYFUNCTION("""COMPUTED_VALUE"""),"Nhãn")</f>
        <v>Nhãn</v>
      </c>
      <c r="C993" s="87" t="str">
        <f>IFERROR(__xludf.DUMMYFUNCTION("""COMPUTED_VALUE"""),"NHG0479.1")</f>
        <v>NHG0479.1</v>
      </c>
      <c r="D993" s="87" t="str">
        <f>IFERROR(__xludf.DUMMYFUNCTION("""COMPUTED_VALUE"""),"[Nhãn] IDA Global - I - 479.1 -Tricyclazole (Drone) - 100gr - 100")</f>
        <v>[Nhãn] IDA Global - I - 479.1 -Tricyclazole (Drone) - 100gr - 100</v>
      </c>
      <c r="E993" s="87" t="str">
        <f>IFERROR(__xludf.DUMMYFUNCTION("""COMPUTED_VALUE"""),"Pim.Pim 75WP")</f>
        <v>Pim.Pim 75WP</v>
      </c>
      <c r="F993" s="87" t="str">
        <f>IFERROR(__xludf.DUMMYFUNCTION("""COMPUTED_VALUE"""),"HH79.1")</f>
        <v>HH79.1</v>
      </c>
      <c r="G993" s="87" t="str">
        <f>IFERROR(__xludf.DUMMYFUNCTION("""COMPUTED_VALUE"""),"IDA Global - I - 479.1 -Tricyclazole (Drone) - 100gr - 100")</f>
        <v>IDA Global - I - 479.1 -Tricyclazole (Drone) - 100gr - 100</v>
      </c>
    </row>
    <row r="994">
      <c r="A994" s="86">
        <f>IFERROR(__xludf.DUMMYFUNCTION("""COMPUTED_VALUE"""),992.0)</f>
        <v>992</v>
      </c>
      <c r="B994" s="87" t="str">
        <f>IFERROR(__xludf.DUMMYFUNCTION("""COMPUTED_VALUE"""),"Nhãn")</f>
        <v>Nhãn</v>
      </c>
      <c r="C994" s="87" t="str">
        <f>IFERROR(__xludf.DUMMYFUNCTION("""COMPUTED_VALUE"""),"NHG0481")</f>
        <v>NHG0481</v>
      </c>
      <c r="D994" s="87" t="str">
        <f>IFERROR(__xludf.DUMMYFUNCTION("""COMPUTED_VALUE"""),"[Nhãn] GC - I - 481 - AU - Remy 19EC (Pet Tròn) - 450ml - 40")</f>
        <v>[Nhãn] GC - I - 481 - AU - Remy 19EC (Pet Tròn) - 450ml - 40</v>
      </c>
      <c r="E994" s="87" t="str">
        <f>IFERROR(__xludf.DUMMYFUNCTION("""COMPUTED_VALUE"""),"Remy 19EC")</f>
        <v>Remy 19EC</v>
      </c>
      <c r="F994" s="87" t="str">
        <f>IFERROR(__xludf.DUMMYFUNCTION("""COMPUTED_VALUE"""),"HH0481")</f>
        <v>HH0481</v>
      </c>
      <c r="G994" s="87" t="str">
        <f>IFERROR(__xludf.DUMMYFUNCTION("""COMPUTED_VALUE"""),"GC - I - 481 - AU - Remy 19EC (Pet Tròn) - 450ml - 40")</f>
        <v>GC - I - 481 - AU - Remy 19EC (Pet Tròn) - 450ml - 40</v>
      </c>
    </row>
    <row r="995">
      <c r="A995" s="86">
        <f>IFERROR(__xludf.DUMMYFUNCTION("""COMPUTED_VALUE"""),993.0)</f>
        <v>993</v>
      </c>
      <c r="B995" s="87" t="str">
        <f>IFERROR(__xludf.DUMMYFUNCTION("""COMPUTED_VALUE"""),"Nhãn")</f>
        <v>Nhãn</v>
      </c>
      <c r="C995" s="87" t="str">
        <f>IFERROR(__xludf.DUMMYFUNCTION("""COMPUTED_VALUE"""),"NHD0485")</f>
        <v>NHD0485</v>
      </c>
      <c r="D995" s="87" t="str">
        <f>IFERROR(__xludf.DUMMYFUNCTION("""COMPUTED_VALUE"""),"[Nhãn] GC - II - 485 - LuTa vẩy cá (Humic vẩy) - 10kg - 1")</f>
        <v>[Nhãn] GC - II - 485 - LuTa vẩy cá (Humic vẩy) - 10kg - 1</v>
      </c>
      <c r="E995" s="87" t="str">
        <f>IFERROR(__xludf.DUMMYFUNCTION("""COMPUTED_VALUE"""),"Prima 04")</f>
        <v>Prima 04</v>
      </c>
      <c r="F995" s="87" t="str">
        <f>IFERROR(__xludf.DUMMYFUNCTION("""COMPUTED_VALUE"""),"HH0485")</f>
        <v>HH0485</v>
      </c>
      <c r="G995" s="87" t="str">
        <f>IFERROR(__xludf.DUMMYFUNCTION("""COMPUTED_VALUE"""),"GC - II - 485 - LuTa vẩy cá (Humic vẩy) - 10kg - 1")</f>
        <v>GC - II - 485 - LuTa vẩy cá (Humic vẩy) - 10kg - 1</v>
      </c>
    </row>
    <row r="996">
      <c r="A996" s="86">
        <f>IFERROR(__xludf.DUMMYFUNCTION("""COMPUTED_VALUE"""),994.0)</f>
        <v>994</v>
      </c>
      <c r="B996" s="87" t="str">
        <f>IFERROR(__xludf.DUMMYFUNCTION("""COMPUTED_VALUE"""),"Nhãn")</f>
        <v>Nhãn</v>
      </c>
      <c r="C996" s="87" t="str">
        <f>IFERROR(__xludf.DUMMYFUNCTION("""COMPUTED_VALUE"""),"NTN0486")</f>
        <v>NTN0486</v>
      </c>
      <c r="D996" s="87" t="str">
        <f>IFERROR(__xludf.DUMMYFUNCTION("""COMPUTED_VALUE"""),"[Nhãn] GC - II - 486 - Luta Vẩy cá (mới) - 1kg - 25")</f>
        <v>[Nhãn] GC - II - 486 - Luta Vẩy cá (mới) - 1kg - 25</v>
      </c>
      <c r="E996" s="87" t="str">
        <f>IFERROR(__xludf.DUMMYFUNCTION("""COMPUTED_VALUE"""),"Prima 04")</f>
        <v>Prima 04</v>
      </c>
      <c r="F996" s="87" t="str">
        <f>IFERROR(__xludf.DUMMYFUNCTION("""COMPUTED_VALUE"""),"HH0486")</f>
        <v>HH0486</v>
      </c>
      <c r="G996" s="87" t="str">
        <f>IFERROR(__xludf.DUMMYFUNCTION("""COMPUTED_VALUE"""),"GC - II - 486 - Luta Vẩy cá (mới) - 1kg - 25")</f>
        <v>GC - II - 486 - Luta Vẩy cá (mới) - 1kg - 25</v>
      </c>
    </row>
    <row r="997">
      <c r="A997" s="86">
        <f>IFERROR(__xludf.DUMMYFUNCTION("""COMPUTED_VALUE"""),995.0)</f>
        <v>995</v>
      </c>
      <c r="B997" s="87" t="str">
        <f>IFERROR(__xludf.DUMMYFUNCTION("""COMPUTED_VALUE"""),"Nhãn")</f>
        <v>Nhãn</v>
      </c>
      <c r="C997" s="87" t="str">
        <f>IFERROR(__xludf.DUMMYFUNCTION("""COMPUTED_VALUE"""),"NTG0489")</f>
        <v>NTG0489</v>
      </c>
      <c r="D997" s="87" t="str">
        <f>IFERROR(__xludf.DUMMYFUNCTION("""COMPUTED_VALUE"""),"[Nhãn] IDA Global - I - 489 - Tricylazole (drone) - 25gr - 300")</f>
        <v>[Nhãn] IDA Global - I - 489 - Tricylazole (drone) - 25gr - 300</v>
      </c>
      <c r="E997" s="87" t="str">
        <f>IFERROR(__xludf.DUMMYFUNCTION("""COMPUTED_VALUE"""),"Pim.Pim 75WP")</f>
        <v>Pim.Pim 75WP</v>
      </c>
      <c r="F997" s="87" t="str">
        <f>IFERROR(__xludf.DUMMYFUNCTION("""COMPUTED_VALUE"""),"HH0489")</f>
        <v>HH0489</v>
      </c>
      <c r="G997" s="87" t="str">
        <f>IFERROR(__xludf.DUMMYFUNCTION("""COMPUTED_VALUE"""),"IDA Global - I - 489 - Tricylazole (drone) - 25gr - 300")</f>
        <v>IDA Global - I - 489 - Tricylazole (drone) - 25gr - 300</v>
      </c>
    </row>
    <row r="998">
      <c r="A998" s="86">
        <f>IFERROR(__xludf.DUMMYFUNCTION("""COMPUTED_VALUE"""),996.0)</f>
        <v>996</v>
      </c>
      <c r="B998" s="87" t="str">
        <f>IFERROR(__xludf.DUMMYFUNCTION("""COMPUTED_VALUE"""),"Nhãn")</f>
        <v>Nhãn</v>
      </c>
      <c r="C998" s="87" t="str">
        <f>IFERROR(__xludf.DUMMYFUNCTION("""COMPUTED_VALUE"""),"NTG0489.1")</f>
        <v>NTG0489.1</v>
      </c>
      <c r="D998" s="87" t="str">
        <f>IFERROR(__xludf.DUMMYFUNCTION("""COMPUTED_VALUE"""),"[Nhãn] IDA Global - I - 489.1 - Tricylazole (drone) - 25gr - 300")</f>
        <v>[Nhãn] IDA Global - I - 489.1 - Tricylazole (drone) - 25gr - 300</v>
      </c>
      <c r="E998" s="87" t="str">
        <f>IFERROR(__xludf.DUMMYFUNCTION("""COMPUTED_VALUE"""),"Pim.Pim 75WP")</f>
        <v>Pim.Pim 75WP</v>
      </c>
      <c r="F998" s="87" t="str">
        <f>IFERROR(__xludf.DUMMYFUNCTION("""COMPUTED_VALUE"""),"HH89.1")</f>
        <v>HH89.1</v>
      </c>
      <c r="G998" s="87" t="str">
        <f>IFERROR(__xludf.DUMMYFUNCTION("""COMPUTED_VALUE"""),"IDA Global - I - 489.1 - Tricylazole (drone) - 25gr - 300")</f>
        <v>IDA Global - I - 489.1 - Tricylazole (drone) - 25gr - 300</v>
      </c>
    </row>
    <row r="999">
      <c r="A999" s="86">
        <f>IFERROR(__xludf.DUMMYFUNCTION("""COMPUTED_VALUE"""),997.0)</f>
        <v>997</v>
      </c>
      <c r="B999" s="87" t="str">
        <f>IFERROR(__xludf.DUMMYFUNCTION("""COMPUTED_VALUE"""),"Nhãn")</f>
        <v>Nhãn</v>
      </c>
      <c r="C999" s="87" t="str">
        <f>IFERROR(__xludf.DUMMYFUNCTION("""COMPUTED_VALUE"""),"NTN0489.1")</f>
        <v>NTN0489.1</v>
      </c>
      <c r="D999" s="87" t="str">
        <f>IFERROR(__xludf.DUMMYFUNCTION("""COMPUTED_VALUE"""),"[Nhãn] IDA Global - I - 489.1 - Tricylazole (drone) - 25gr - 300")</f>
        <v>[Nhãn] IDA Global - I - 489.1 - Tricylazole (drone) - 25gr - 300</v>
      </c>
      <c r="E999" s="87" t="str">
        <f>IFERROR(__xludf.DUMMYFUNCTION("""COMPUTED_VALUE"""),"Pim.Pim 75WP")</f>
        <v>Pim.Pim 75WP</v>
      </c>
      <c r="F999" s="87" t="str">
        <f>IFERROR(__xludf.DUMMYFUNCTION("""COMPUTED_VALUE"""),"HH89.1")</f>
        <v>HH89.1</v>
      </c>
      <c r="G999" s="87" t="str">
        <f>IFERROR(__xludf.DUMMYFUNCTION("""COMPUTED_VALUE"""),"IDA Global - I - 489.1 - Tricylazole (drone) - 25gr - 300")</f>
        <v>IDA Global - I - 489.1 - Tricylazole (drone) - 25gr - 300</v>
      </c>
    </row>
    <row r="1000">
      <c r="A1000" s="86">
        <f>IFERROR(__xludf.DUMMYFUNCTION("""COMPUTED_VALUE"""),998.0)</f>
        <v>998</v>
      </c>
      <c r="B1000" s="87" t="str">
        <f>IFERROR(__xludf.DUMMYFUNCTION("""COMPUTED_VALUE"""),"Nhãn")</f>
        <v>Nhãn</v>
      </c>
      <c r="C1000" s="87" t="str">
        <f>IFERROR(__xludf.DUMMYFUNCTION("""COMPUTED_VALUE"""),"NTN0490")</f>
        <v>NTN0490</v>
      </c>
      <c r="D1000" s="87" t="str">
        <f>IFERROR(__xludf.DUMMYFUNCTION("""COMPUTED_VALUE"""),"[Nhãn] GC - I - 490 - AU - Manco vàng - 1kg - 20")</f>
        <v>[Nhãn] GC - I - 490 - AU - Manco vàng - 1kg - 20</v>
      </c>
      <c r="E1000" s="87" t="str">
        <f>IFERROR(__xludf.DUMMYFUNCTION("""COMPUTED_VALUE"""),"TVZEB 800WP")</f>
        <v>TVZEB 800WP</v>
      </c>
      <c r="F1000" s="87" t="str">
        <f>IFERROR(__xludf.DUMMYFUNCTION("""COMPUTED_VALUE"""),"HH0490")</f>
        <v>HH0490</v>
      </c>
      <c r="G1000" s="87" t="str">
        <f>IFERROR(__xludf.DUMMYFUNCTION("""COMPUTED_VALUE"""),"GC - I - 490 - AU - Manco vàng - 1kg - 20")</f>
        <v>GC - I - 490 - AU - Manco vàng - 1kg - 20</v>
      </c>
    </row>
    <row r="1001">
      <c r="A1001" s="86">
        <f>IFERROR(__xludf.DUMMYFUNCTION("""COMPUTED_VALUE"""),999.0)</f>
        <v>999</v>
      </c>
      <c r="B1001" s="87" t="str">
        <f>IFERROR(__xludf.DUMMYFUNCTION("""COMPUTED_VALUE"""),"Nhãn")</f>
        <v>Nhãn</v>
      </c>
      <c r="C1001" s="87" t="str">
        <f>IFERROR(__xludf.DUMMYFUNCTION("""COMPUTED_VALUE"""),"NTN0491")</f>
        <v>NTN0491</v>
      </c>
      <c r="D1001" s="87" t="str">
        <f>IFERROR(__xludf.DUMMYFUNCTION("""COMPUTED_VALUE"""),"[Nhãn] GC - I - 491 - AU - Manco xanh (Nhãn đỏ) - 1kg - 20")</f>
        <v>[Nhãn] GC - I - 491 - AU - Manco xanh (Nhãn đỏ) - 1kg - 20</v>
      </c>
      <c r="E1001" s="87" t="str">
        <f>IFERROR(__xludf.DUMMYFUNCTION("""COMPUTED_VALUE"""),"TVZEB 800WP")</f>
        <v>TVZEB 800WP</v>
      </c>
      <c r="F1001" s="87" t="str">
        <f>IFERROR(__xludf.DUMMYFUNCTION("""COMPUTED_VALUE"""),"HH0491")</f>
        <v>HH0491</v>
      </c>
      <c r="G1001" s="87" t="str">
        <f>IFERROR(__xludf.DUMMYFUNCTION("""COMPUTED_VALUE"""),"GC - I - 491 - AU - Manco xanh (Nhãn đỏ) - 1kg - 20")</f>
        <v>GC - I - 491 - AU - Manco xanh (Nhãn đỏ) - 1kg - 20</v>
      </c>
    </row>
    <row r="1002">
      <c r="A1002" s="86">
        <f>IFERROR(__xludf.DUMMYFUNCTION("""COMPUTED_VALUE"""),1000.0)</f>
        <v>1000</v>
      </c>
      <c r="B1002" s="87" t="str">
        <f>IFERROR(__xludf.DUMMYFUNCTION("""COMPUTED_VALUE"""),"Nhãn")</f>
        <v>Nhãn</v>
      </c>
      <c r="C1002" s="87" t="str">
        <f>IFERROR(__xludf.DUMMYFUNCTION("""COMPUTED_VALUE"""),"NTN0492")</f>
        <v>NTN0492</v>
      </c>
      <c r="D1002" s="87" t="str">
        <f>IFERROR(__xludf.DUMMYFUNCTION("""COMPUTED_VALUE"""),"[Nhãn] LOT IDA Global - I - 492 - Mancozeb xanh - 1 kg - 20")</f>
        <v>[Nhãn] LOT IDA Global - I - 492 - Mancozeb xanh - 1 kg - 20</v>
      </c>
      <c r="E1002" s="87" t="str">
        <f>IFERROR(__xludf.DUMMYFUNCTION("""COMPUTED_VALUE"""),"TVZEB 800WP")</f>
        <v>TVZEB 800WP</v>
      </c>
      <c r="F1002" s="87" t="str">
        <f>IFERROR(__xludf.DUMMYFUNCTION("""COMPUTED_VALUE"""),"HH0492")</f>
        <v>HH0492</v>
      </c>
      <c r="G1002" s="87" t="str">
        <f>IFERROR(__xludf.DUMMYFUNCTION("""COMPUTED_VALUE"""),"LOT IDA Global - I - 492 - Mancozeb xanh - 1 kg - 20")</f>
        <v>LOT IDA Global - I - 492 - Mancozeb xanh - 1 kg - 20</v>
      </c>
    </row>
    <row r="1003">
      <c r="A1003" s="86">
        <f>IFERROR(__xludf.DUMMYFUNCTION("""COMPUTED_VALUE"""),1001.0)</f>
        <v>1001</v>
      </c>
      <c r="B1003" s="87" t="str">
        <f>IFERROR(__xludf.DUMMYFUNCTION("""COMPUTED_VALUE"""),"Nhãn thùng")</f>
        <v>Nhãn thùng</v>
      </c>
      <c r="C1003" s="87" t="str">
        <f>IFERROR(__xludf.DUMMYFUNCTION("""COMPUTED_VALUE"""),"NDT0492")</f>
        <v>NDT0492</v>
      </c>
      <c r="D1003" s="87" t="str">
        <f>IFERROR(__xludf.DUMMYFUNCTION("""COMPUTED_VALUE"""),"[Nhãn thùng] LOT IDA Global - I - 492 - Mancozeb xanh - 1 kg - 20")</f>
        <v>[Nhãn thùng] LOT IDA Global - I - 492 - Mancozeb xanh - 1 kg - 20</v>
      </c>
      <c r="E1003" s="87" t="str">
        <f>IFERROR(__xludf.DUMMYFUNCTION("""COMPUTED_VALUE"""),"TVZEB 800WP")</f>
        <v>TVZEB 800WP</v>
      </c>
      <c r="F1003" s="87" t="str">
        <f>IFERROR(__xludf.DUMMYFUNCTION("""COMPUTED_VALUE"""),"HH0492")</f>
        <v>HH0492</v>
      </c>
      <c r="G1003" s="87" t="str">
        <f>IFERROR(__xludf.DUMMYFUNCTION("""COMPUTED_VALUE"""),"LOT IDA Global - I - 492 - Mancozeb xanh - 1 kg - 20")</f>
        <v>LOT IDA Global - I - 492 - Mancozeb xanh - 1 kg - 20</v>
      </c>
    </row>
    <row r="1004">
      <c r="A1004" s="86">
        <f>IFERROR(__xludf.DUMMYFUNCTION("""COMPUTED_VALUE"""),1002.0)</f>
        <v>1002</v>
      </c>
      <c r="B1004" s="87" t="str">
        <f>IFERROR(__xludf.DUMMYFUNCTION("""COMPUTED_VALUE"""),"Nhãn")</f>
        <v>Nhãn</v>
      </c>
      <c r="C1004" s="87" t="str">
        <f>IFERROR(__xludf.DUMMYFUNCTION("""COMPUTED_VALUE"""),"NTN0494")</f>
        <v>NTN0494</v>
      </c>
      <c r="D1004" s="87" t="str">
        <f>IFERROR(__xludf.DUMMYFUNCTION("""COMPUTED_VALUE"""),"[Nhãn] IDA Global - I - 494 - Apashuang (Drone) - 100gr - 100")</f>
        <v>[Nhãn] IDA Global - I - 494 - Apashuang (Drone) - 100gr - 100</v>
      </c>
      <c r="E1004" s="87" t="str">
        <f>IFERROR(__xludf.DUMMYFUNCTION("""COMPUTED_VALUE"""),"Apashuang 95WP")</f>
        <v>Apashuang 95WP</v>
      </c>
      <c r="F1004" s="87" t="str">
        <f>IFERROR(__xludf.DUMMYFUNCTION("""COMPUTED_VALUE"""),"HH0494")</f>
        <v>HH0494</v>
      </c>
      <c r="G1004" s="87" t="str">
        <f>IFERROR(__xludf.DUMMYFUNCTION("""COMPUTED_VALUE"""),"IDA Global - I - 494 - Apashuang (Drone) - 100gr - 100")</f>
        <v>IDA Global - I - 494 - Apashuang (Drone) - 100gr - 100</v>
      </c>
    </row>
    <row r="1005">
      <c r="A1005" s="86">
        <f>IFERROR(__xludf.DUMMYFUNCTION("""COMPUTED_VALUE"""),1003.0)</f>
        <v>1003</v>
      </c>
      <c r="B1005" s="87" t="str">
        <f>IFERROR(__xludf.DUMMYFUNCTION("""COMPUTED_VALUE"""),"Nhãn")</f>
        <v>Nhãn</v>
      </c>
      <c r="C1005" s="87" t="str">
        <f>IFERROR(__xludf.DUMMYFUNCTION("""COMPUTED_VALUE"""),"NTN0497")</f>
        <v>NTN0497</v>
      </c>
      <c r="D1005" s="87" t="str">
        <f>IFERROR(__xludf.DUMMYFUNCTION("""COMPUTED_VALUE"""),"[Nhãn] GC - II - 497 - Luta - Mancozeb xanh - 1kg - 20")</f>
        <v>[Nhãn] GC - II - 497 - Luta - Mancozeb xanh - 1kg - 20</v>
      </c>
      <c r="E1005" s="87" t="str">
        <f>IFERROR(__xludf.DUMMYFUNCTION("""COMPUTED_VALUE"""),"TVZEB 800WP")</f>
        <v>TVZEB 800WP</v>
      </c>
      <c r="F1005" s="87" t="str">
        <f>IFERROR(__xludf.DUMMYFUNCTION("""COMPUTED_VALUE"""),"HH0497")</f>
        <v>HH0497</v>
      </c>
      <c r="G1005" s="87" t="str">
        <f>IFERROR(__xludf.DUMMYFUNCTION("""COMPUTED_VALUE"""),"GC - II - 497 - Luta - Mancozeb xanh - 1kg - 20")</f>
        <v>GC - II - 497 - Luta - Mancozeb xanh - 1kg - 20</v>
      </c>
    </row>
    <row r="1006">
      <c r="A1006" s="86">
        <f>IFERROR(__xludf.DUMMYFUNCTION("""COMPUTED_VALUE"""),1004.0)</f>
        <v>1004</v>
      </c>
      <c r="B1006" s="87" t="str">
        <f>IFERROR(__xludf.DUMMYFUNCTION("""COMPUTED_VALUE"""),"Nhãn thùng")</f>
        <v>Nhãn thùng</v>
      </c>
      <c r="C1006" s="87" t="str">
        <f>IFERROR(__xludf.DUMMYFUNCTION("""COMPUTED_VALUE"""),"NDT0497")</f>
        <v>NDT0497</v>
      </c>
      <c r="D1006" s="87" t="str">
        <f>IFERROR(__xludf.DUMMYFUNCTION("""COMPUTED_VALUE"""),"[Nhãn thùng] GC - II - 497 - Luta - Mancozeb xanh - 1kg - 20")</f>
        <v>[Nhãn thùng] GC - II - 497 - Luta - Mancozeb xanh - 1kg - 20</v>
      </c>
      <c r="E1006" s="87" t="str">
        <f>IFERROR(__xludf.DUMMYFUNCTION("""COMPUTED_VALUE"""),"TVZEB 800WP")</f>
        <v>TVZEB 800WP</v>
      </c>
      <c r="F1006" s="87" t="str">
        <f>IFERROR(__xludf.DUMMYFUNCTION("""COMPUTED_VALUE"""),"HH0497")</f>
        <v>HH0497</v>
      </c>
      <c r="G1006" s="87" t="str">
        <f>IFERROR(__xludf.DUMMYFUNCTION("""COMPUTED_VALUE"""),"GC - II - 497 - Luta - Mancozeb xanh - 1kg - 20")</f>
        <v>GC - II - 497 - Luta - Mancozeb xanh - 1kg - 20</v>
      </c>
    </row>
    <row r="1007">
      <c r="A1007" s="86">
        <f>IFERROR(__xludf.DUMMYFUNCTION("""COMPUTED_VALUE"""),1005.0)</f>
        <v>1005</v>
      </c>
      <c r="B1007" s="87" t="str">
        <f>IFERROR(__xludf.DUMMYFUNCTION("""COMPUTED_VALUE"""),"Nhãn")</f>
        <v>Nhãn</v>
      </c>
      <c r="C1007" s="87" t="str">
        <f>IFERROR(__xludf.DUMMYFUNCTION("""COMPUTED_VALUE"""),"NHG0498")</f>
        <v>NHG0498</v>
      </c>
      <c r="D1007" s="87" t="str">
        <f>IFERROR(__xludf.DUMMYFUNCTION("""COMPUTED_VALUE"""),"[Nhãn] GC - II - 498 - AU - Dưỡng chất hữu cơ (đâm chồi) - chai HD- 500ml - 40")</f>
        <v>[Nhãn] GC - II - 498 - AU - Dưỡng chất hữu cơ (đâm chồi) - chai HD- 500ml - 40</v>
      </c>
      <c r="E1007" s="87" t="str">
        <f>IFERROR(__xludf.DUMMYFUNCTION("""COMPUTED_VALUE"""),"Vi lượng AV-CFC Plus")</f>
        <v>Vi lượng AV-CFC Plus</v>
      </c>
      <c r="F1007" s="87" t="str">
        <f>IFERROR(__xludf.DUMMYFUNCTION("""COMPUTED_VALUE"""),"HH0498")</f>
        <v>HH0498</v>
      </c>
      <c r="G1007" s="87" t="str">
        <f>IFERROR(__xludf.DUMMYFUNCTION("""COMPUTED_VALUE"""),"GC - II - 498 - AU - Dưỡng chất hữu cơ (đâm chồi) - chai HD- 500ml - 40")</f>
        <v>GC - II - 498 - AU - Dưỡng chất hữu cơ (đâm chồi) - chai HD- 500ml - 40</v>
      </c>
    </row>
    <row r="1008">
      <c r="A1008" s="86">
        <f>IFERROR(__xludf.DUMMYFUNCTION("""COMPUTED_VALUE"""),1006.0)</f>
        <v>1006</v>
      </c>
      <c r="B1008" s="87" t="str">
        <f>IFERROR(__xludf.DUMMYFUNCTION("""COMPUTED_VALUE"""),"Nhãn")</f>
        <v>Nhãn</v>
      </c>
      <c r="C1008" s="87" t="str">
        <f>IFERROR(__xludf.DUMMYFUNCTION("""COMPUTED_VALUE"""),"NHG0503")</f>
        <v>NHG0503</v>
      </c>
      <c r="D1008" s="87" t="str">
        <f>IFERROR(__xludf.DUMMYFUNCTION("""COMPUTED_VALUE"""),"[Nhãn] LOT IDA Global - I - 503 - ĐL Kim Thuỷ 1 - Abamex (Pet tròn) (nước đục) - 450ml - 40")</f>
        <v>[Nhãn] LOT IDA Global - I - 503 - ĐL Kim Thuỷ 1 - Abamex (Pet tròn) (nước đục) - 450ml - 40</v>
      </c>
      <c r="E1008" s="87" t="str">
        <f>IFERROR(__xludf.DUMMYFUNCTION("""COMPUTED_VALUE"""),"Tikabamec 3.6EC")</f>
        <v>Tikabamec 3.6EC</v>
      </c>
      <c r="F1008" s="87" t="str">
        <f>IFERROR(__xludf.DUMMYFUNCTION("""COMPUTED_VALUE"""),"HH0503")</f>
        <v>HH0503</v>
      </c>
      <c r="G1008" s="87" t="str">
        <f>IFERROR(__xludf.DUMMYFUNCTION("""COMPUTED_VALUE"""),"LOT IDA Global - I - 503 - ĐL Kim Thuỷ 1 - Abamex (Pet tròn) (nước đục) - 450ml - 40")</f>
        <v>LOT IDA Global - I - 503 - ĐL Kim Thuỷ 1 - Abamex (Pet tròn) (nước đục) - 450ml - 40</v>
      </c>
    </row>
    <row r="1009">
      <c r="A1009" s="86">
        <f>IFERROR(__xludf.DUMMYFUNCTION("""COMPUTED_VALUE"""),1007.0)</f>
        <v>1007</v>
      </c>
      <c r="B1009" s="87" t="str">
        <f>IFERROR(__xludf.DUMMYFUNCTION("""COMPUTED_VALUE"""),"Nhãn")</f>
        <v>Nhãn</v>
      </c>
      <c r="C1009" s="87" t="str">
        <f>IFERROR(__xludf.DUMMYFUNCTION("""COMPUTED_VALUE"""),"NHG0505")</f>
        <v>NHG0505</v>
      </c>
      <c r="D1009" s="87" t="str">
        <f>IFERROR(__xludf.DUMMYFUNCTION("""COMPUTED_VALUE"""),"[Nhãn] GC - I - 505 - Agriscience - Calcibor (Chai Pet) - 500ml - 40")</f>
        <v>[Nhãn] GC - I - 505 - Agriscience - Calcibor (Chai Pet) - 500ml - 40</v>
      </c>
      <c r="E1009" s="87" t="str">
        <f>IFERROR(__xludf.DUMMYFUNCTION("""COMPUTED_VALUE"""),"Prima 04")</f>
        <v>Prima 04</v>
      </c>
      <c r="F1009" s="87" t="str">
        <f>IFERROR(__xludf.DUMMYFUNCTION("""COMPUTED_VALUE"""),"HH0505")</f>
        <v>HH0505</v>
      </c>
      <c r="G1009" s="87" t="str">
        <f>IFERROR(__xludf.DUMMYFUNCTION("""COMPUTED_VALUE"""),"GC - I - 505 - Agriscience - Calcibor (Chai Pet) - 500ml - 40")</f>
        <v>GC - I - 505 - Agriscience - Calcibor (Chai Pet) - 500ml - 40</v>
      </c>
    </row>
    <row r="1010">
      <c r="A1010" s="86">
        <f>IFERROR(__xludf.DUMMYFUNCTION("""COMPUTED_VALUE"""),1008.0)</f>
        <v>1008</v>
      </c>
      <c r="B1010" s="87" t="str">
        <f>IFERROR(__xludf.DUMMYFUNCTION("""COMPUTED_VALUE"""),"Nhãn")</f>
        <v>Nhãn</v>
      </c>
      <c r="C1010" s="87" t="str">
        <f>IFERROR(__xludf.DUMMYFUNCTION("""COMPUTED_VALUE"""),"NHG0506")</f>
        <v>NHG0506</v>
      </c>
      <c r="D1010" s="87" t="str">
        <f>IFERROR(__xludf.DUMMYFUNCTION("""COMPUTED_VALUE"""),"[Nhãn] GC - II - 506 - AGC - Redmite - diệt nhện (chai nhôm xanh) - 240ml - 40")</f>
        <v>[Nhãn] GC - II - 506 - AGC - Redmite - diệt nhện (chai nhôm xanh) - 240ml - 40</v>
      </c>
      <c r="E1010" s="87" t="str">
        <f>IFERROR(__xludf.DUMMYFUNCTION("""COMPUTED_VALUE"""),"Tiger five 6.5EC")</f>
        <v>Tiger five 6.5EC</v>
      </c>
      <c r="F1010" s="87" t="str">
        <f>IFERROR(__xludf.DUMMYFUNCTION("""COMPUTED_VALUE"""),"HH0506")</f>
        <v>HH0506</v>
      </c>
      <c r="G1010" s="87" t="str">
        <f>IFERROR(__xludf.DUMMYFUNCTION("""COMPUTED_VALUE"""),"GC - II - 506 - AGC - Redmite - diệt nhện (chai nhôm xanh) - 240ml - 40")</f>
        <v>GC - II - 506 - AGC - Redmite - diệt nhện (chai nhôm xanh) - 240ml - 40</v>
      </c>
    </row>
    <row r="1011">
      <c r="A1011" s="86">
        <f>IFERROR(__xludf.DUMMYFUNCTION("""COMPUTED_VALUE"""),1009.0)</f>
        <v>1009</v>
      </c>
      <c r="B1011" s="87" t="str">
        <f>IFERROR(__xludf.DUMMYFUNCTION("""COMPUTED_VALUE"""),"Nhãn")</f>
        <v>Nhãn</v>
      </c>
      <c r="C1011" s="87" t="str">
        <f>IFERROR(__xludf.DUMMYFUNCTION("""COMPUTED_VALUE"""),"NTN0517")</f>
        <v>NTN0517</v>
      </c>
      <c r="D1011" s="87" t="str">
        <f>IFERROR(__xludf.DUMMYFUNCTION("""COMPUTED_VALUE"""),"[Nhãn] GC - II - 517 - SH - Humiix (túi nhôm) - 1 Kg - 25")</f>
        <v>[Nhãn] GC - II - 517 - SH - Humiix (túi nhôm) - 1 Kg - 25</v>
      </c>
      <c r="E1011" s="87" t="str">
        <f>IFERROR(__xludf.DUMMYFUNCTION("""COMPUTED_VALUE"""),"VD2")</f>
        <v>VD2</v>
      </c>
      <c r="F1011" s="87" t="str">
        <f>IFERROR(__xludf.DUMMYFUNCTION("""COMPUTED_VALUE"""),"HH0517")</f>
        <v>HH0517</v>
      </c>
      <c r="G1011" s="87" t="str">
        <f>IFERROR(__xludf.DUMMYFUNCTION("""COMPUTED_VALUE"""),"GC - II - 517 - SH - Humiix (túi nhôm) - 1 Kg - 25")</f>
        <v>GC - II - 517 - SH - Humiix (túi nhôm) - 1 Kg - 25</v>
      </c>
    </row>
    <row r="1012">
      <c r="A1012" s="86">
        <f>IFERROR(__xludf.DUMMYFUNCTION("""COMPUTED_VALUE"""),1010.0)</f>
        <v>1010</v>
      </c>
      <c r="B1012" s="87" t="str">
        <f>IFERROR(__xludf.DUMMYFUNCTION("""COMPUTED_VALUE"""),"Nhãn")</f>
        <v>Nhãn</v>
      </c>
      <c r="C1012" s="87" t="str">
        <f>IFERROR(__xludf.DUMMYFUNCTION("""COMPUTED_VALUE"""),"NHG0518")</f>
        <v>NHG0518</v>
      </c>
      <c r="D1012" s="87" t="str">
        <f>IFERROR(__xludf.DUMMYFUNCTION("""COMPUTED_VALUE"""),"[Nhãn] GC - II - 518 - A Hoài - Annvil Duc (Chai HD cao cấp) - 1L - 20")</f>
        <v>[Nhãn] GC - II - 518 - A Hoài - Annvil Duc (Chai HD cao cấp) - 1L - 20</v>
      </c>
      <c r="E1012" s="87" t="str">
        <f>IFERROR(__xludf.DUMMYFUNCTION("""COMPUTED_VALUE"""),"Mekongvil 5SC")</f>
        <v>Mekongvil 5SC</v>
      </c>
      <c r="F1012" s="87" t="str">
        <f>IFERROR(__xludf.DUMMYFUNCTION("""COMPUTED_VALUE"""),"HH0518")</f>
        <v>HH0518</v>
      </c>
      <c r="G1012" s="87" t="str">
        <f>IFERROR(__xludf.DUMMYFUNCTION("""COMPUTED_VALUE"""),"GC - II - 518 - A Hoài - Annvil Duc (Chai HD cao cấp) - 1L - 20")</f>
        <v>GC - II - 518 - A Hoài - Annvil Duc (Chai HD cao cấp) - 1L - 20</v>
      </c>
    </row>
    <row r="1013">
      <c r="A1013" s="86">
        <f>IFERROR(__xludf.DUMMYFUNCTION("""COMPUTED_VALUE"""),1011.0)</f>
        <v>1011</v>
      </c>
      <c r="B1013" s="87" t="str">
        <f>IFERROR(__xludf.DUMMYFUNCTION("""COMPUTED_VALUE"""),"Nhãn")</f>
        <v>Nhãn</v>
      </c>
      <c r="C1013" s="87" t="str">
        <f>IFERROR(__xludf.DUMMYFUNCTION("""COMPUTED_VALUE"""),"NTN0519")</f>
        <v>NTN0519</v>
      </c>
      <c r="D1013" s="87" t="str">
        <f>IFERROR(__xludf.DUMMYFUNCTION("""COMPUTED_VALUE"""),"[Nhãn] GC - II - 519 - Phúc Hưng - Mancozeb Xanh - 1kg - 20")</f>
        <v>[Nhãn] GC - II - 519 - Phúc Hưng - Mancozeb Xanh - 1kg - 20</v>
      </c>
      <c r="E1013" s="87" t="str">
        <f>IFERROR(__xludf.DUMMYFUNCTION("""COMPUTED_VALUE"""),"TVZEB 800WP")</f>
        <v>TVZEB 800WP</v>
      </c>
      <c r="F1013" s="87" t="str">
        <f>IFERROR(__xludf.DUMMYFUNCTION("""COMPUTED_VALUE"""),"HH0519")</f>
        <v>HH0519</v>
      </c>
      <c r="G1013" s="87" t="str">
        <f>IFERROR(__xludf.DUMMYFUNCTION("""COMPUTED_VALUE"""),"GC - II - 519 - Phúc Hưng - Mancozeb Xanh - 1kg - 20")</f>
        <v>GC - II - 519 - Phúc Hưng - Mancozeb Xanh - 1kg - 20</v>
      </c>
    </row>
    <row r="1014">
      <c r="A1014" s="86">
        <f>IFERROR(__xludf.DUMMYFUNCTION("""COMPUTED_VALUE"""),1012.0)</f>
        <v>1012</v>
      </c>
      <c r="B1014" s="87" t="str">
        <f>IFERROR(__xludf.DUMMYFUNCTION("""COMPUTED_VALUE"""),"Nhãn thùng")</f>
        <v>Nhãn thùng</v>
      </c>
      <c r="C1014" s="87" t="str">
        <f>IFERROR(__xludf.DUMMYFUNCTION("""COMPUTED_VALUE"""),"NDT0519")</f>
        <v>NDT0519</v>
      </c>
      <c r="D1014" s="87" t="str">
        <f>IFERROR(__xludf.DUMMYFUNCTION("""COMPUTED_VALUE"""),"[Nhãn thùng] GC - II - 519 - Phúc Hưng - Mancozeb Xanh - 1kg - 20")</f>
        <v>[Nhãn thùng] GC - II - 519 - Phúc Hưng - Mancozeb Xanh - 1kg - 20</v>
      </c>
      <c r="E1014" s="87" t="str">
        <f>IFERROR(__xludf.DUMMYFUNCTION("""COMPUTED_VALUE"""),"TVZEB 800WP")</f>
        <v>TVZEB 800WP</v>
      </c>
      <c r="F1014" s="87" t="str">
        <f>IFERROR(__xludf.DUMMYFUNCTION("""COMPUTED_VALUE"""),"HH0519")</f>
        <v>HH0519</v>
      </c>
      <c r="G1014" s="87" t="str">
        <f>IFERROR(__xludf.DUMMYFUNCTION("""COMPUTED_VALUE"""),"GC - II - 519 - Phúc Hưng - Mancozeb Xanh - 1kg - 20")</f>
        <v>GC - II - 519 - Phúc Hưng - Mancozeb Xanh - 1kg - 20</v>
      </c>
    </row>
    <row r="1015">
      <c r="A1015" s="86">
        <f>IFERROR(__xludf.DUMMYFUNCTION("""COMPUTED_VALUE"""),1013.0)</f>
        <v>1013</v>
      </c>
      <c r="B1015" s="87" t="str">
        <f>IFERROR(__xludf.DUMMYFUNCTION("""COMPUTED_VALUE"""),"Nhãn")</f>
        <v>Nhãn</v>
      </c>
      <c r="C1015" s="87" t="str">
        <f>IFERROR(__xludf.DUMMYFUNCTION("""COMPUTED_VALUE"""),"NTN0520")</f>
        <v>NTN0520</v>
      </c>
      <c r="D1015" s="87" t="str">
        <f>IFERROR(__xludf.DUMMYFUNCTION("""COMPUTED_VALUE"""),"[Nhãn] GC - II - 520 - Agriplant - Mancozeb xanh - 100gr - 100")</f>
        <v>[Nhãn] GC - II - 520 - Agriplant - Mancozeb xanh - 100gr - 100</v>
      </c>
      <c r="E1015" s="87" t="str">
        <f>IFERROR(__xludf.DUMMYFUNCTION("""COMPUTED_VALUE"""),"TVZEB 800WP")</f>
        <v>TVZEB 800WP</v>
      </c>
      <c r="F1015" s="87" t="str">
        <f>IFERROR(__xludf.DUMMYFUNCTION("""COMPUTED_VALUE"""),"HH0520")</f>
        <v>HH0520</v>
      </c>
      <c r="G1015" s="87" t="str">
        <f>IFERROR(__xludf.DUMMYFUNCTION("""COMPUTED_VALUE"""),"GC - II - 520 - Agriplant - Mancozeb xanh - 100gr - 100")</f>
        <v>GC - II - 520 - Agriplant - Mancozeb xanh - 100gr - 100</v>
      </c>
    </row>
    <row r="1016">
      <c r="A1016" s="86">
        <f>IFERROR(__xludf.DUMMYFUNCTION("""COMPUTED_VALUE"""),1014.0)</f>
        <v>1014</v>
      </c>
      <c r="B1016" s="87" t="str">
        <f>IFERROR(__xludf.DUMMYFUNCTION("""COMPUTED_VALUE"""),"Nhãn")</f>
        <v>Nhãn</v>
      </c>
      <c r="C1016" s="87" t="str">
        <f>IFERROR(__xludf.DUMMYFUNCTION("""COMPUTED_VALUE"""),"NHD0521")</f>
        <v>NHD0521</v>
      </c>
      <c r="D1016" s="87" t="str">
        <f>IFERROR(__xludf.DUMMYFUNCTION("""COMPUTED_VALUE"""),"[Nhãn] GC - II - 521 - Agriplant - Cynda (Pet vuông) - 450ml - 40")</f>
        <v>[Nhãn] GC - II - 521 - Agriplant - Cynda (Pet vuông) - 450ml - 40</v>
      </c>
      <c r="E1016" s="87" t="str">
        <f>IFERROR(__xludf.DUMMYFUNCTION("""COMPUTED_VALUE"""),"Remy 19EC")</f>
        <v>Remy 19EC</v>
      </c>
      <c r="F1016" s="87" t="str">
        <f>IFERROR(__xludf.DUMMYFUNCTION("""COMPUTED_VALUE"""),"HH0521")</f>
        <v>HH0521</v>
      </c>
      <c r="G1016" s="87" t="str">
        <f>IFERROR(__xludf.DUMMYFUNCTION("""COMPUTED_VALUE"""),"GC - II - 521 - Agriplant - Cynda (Pet vuông) - 450ml - 40")</f>
        <v>GC - II - 521 - Agriplant - Cynda (Pet vuông) - 450ml - 40</v>
      </c>
    </row>
    <row r="1017">
      <c r="A1017" s="86">
        <f>IFERROR(__xludf.DUMMYFUNCTION("""COMPUTED_VALUE"""),1015.0)</f>
        <v>1015</v>
      </c>
      <c r="B1017" s="87" t="str">
        <f>IFERROR(__xludf.DUMMYFUNCTION("""COMPUTED_VALUE"""),"Nhãn")</f>
        <v>Nhãn</v>
      </c>
      <c r="C1017" s="87" t="str">
        <f>IFERROR(__xludf.DUMMYFUNCTION("""COMPUTED_VALUE"""),"NTG0522")</f>
        <v>NTG0522</v>
      </c>
      <c r="D1017" s="87" t="str">
        <f>IFERROR(__xludf.DUMMYFUNCTION("""COMPUTED_VALUE"""),"[Nhãn] GC - II - Agriplant - 522 - Bio Copper 150 - 165gr - 100")</f>
        <v>[Nhãn] GC - II - Agriplant - 522 - Bio Copper 150 - 165gr - 100</v>
      </c>
      <c r="E1017" s="87" t="str">
        <f>IFERROR(__xludf.DUMMYFUNCTION("""COMPUTED_VALUE"""),"Vi lượng Basel IDA 11")</f>
        <v>Vi lượng Basel IDA 11</v>
      </c>
      <c r="F1017" s="87" t="str">
        <f>IFERROR(__xludf.DUMMYFUNCTION("""COMPUTED_VALUE"""),"HH0522")</f>
        <v>HH0522</v>
      </c>
      <c r="G1017" s="87" t="str">
        <f>IFERROR(__xludf.DUMMYFUNCTION("""COMPUTED_VALUE"""),"GC - II - Agriplant - 522 - Bio Copper 150 - 165gr - 100")</f>
        <v>GC - II - Agriplant - 522 - Bio Copper 150 - 165gr - 100</v>
      </c>
    </row>
    <row r="1018">
      <c r="A1018" s="86">
        <f>IFERROR(__xludf.DUMMYFUNCTION("""COMPUTED_VALUE"""),1016.0)</f>
        <v>1016</v>
      </c>
      <c r="B1018" s="87" t="str">
        <f>IFERROR(__xludf.DUMMYFUNCTION("""COMPUTED_VALUE"""),"Nhãn")</f>
        <v>Nhãn</v>
      </c>
      <c r="C1018" s="87" t="str">
        <f>IFERROR(__xludf.DUMMYFUNCTION("""COMPUTED_VALUE"""),"NTN0522")</f>
        <v>NTN0522</v>
      </c>
      <c r="D1018" s="87" t="str">
        <f>IFERROR(__xludf.DUMMYFUNCTION("""COMPUTED_VALUE"""),"[Nhãn] GC - II - Agriplant - 522 - Bio Copper 150 - 165gr - 100")</f>
        <v>[Nhãn] GC - II - Agriplant - 522 - Bio Copper 150 - 165gr - 100</v>
      </c>
      <c r="E1018" s="87" t="str">
        <f>IFERROR(__xludf.DUMMYFUNCTION("""COMPUTED_VALUE"""),"Vi lượng Basel IDA 11")</f>
        <v>Vi lượng Basel IDA 11</v>
      </c>
      <c r="F1018" s="87" t="str">
        <f>IFERROR(__xludf.DUMMYFUNCTION("""COMPUTED_VALUE"""),"HH0522")</f>
        <v>HH0522</v>
      </c>
      <c r="G1018" s="87" t="str">
        <f>IFERROR(__xludf.DUMMYFUNCTION("""COMPUTED_VALUE"""),"GC - II - Agriplant - 522 - Bio Copper 150 - 165gr - 100")</f>
        <v>GC - II - Agriplant - 522 - Bio Copper 150 - 165gr - 100</v>
      </c>
    </row>
    <row r="1019">
      <c r="A1019" s="86">
        <f>IFERROR(__xludf.DUMMYFUNCTION("""COMPUTED_VALUE"""),1017.0)</f>
        <v>1017</v>
      </c>
      <c r="B1019" s="87" t="str">
        <f>IFERROR(__xludf.DUMMYFUNCTION("""COMPUTED_VALUE"""),"Nhãn")</f>
        <v>Nhãn</v>
      </c>
      <c r="C1019" s="87" t="str">
        <f>IFERROR(__xludf.DUMMYFUNCTION("""COMPUTED_VALUE"""),"NHG0523")</f>
        <v>NHG0523</v>
      </c>
      <c r="D1019" s="87" t="str">
        <f>IFERROR(__xludf.DUMMYFUNCTION("""COMPUTED_VALUE"""),"[Nhãn] GC - II - 523 - Luta - Kamycinjapane 20SL (Pet tron) - 480ml - 40")</f>
        <v>[Nhãn] GC - II - 523 - Luta - Kamycinjapane 20SL (Pet tron) - 480ml - 40</v>
      </c>
      <c r="E1019" s="87" t="str">
        <f>IFERROR(__xludf.DUMMYFUNCTION("""COMPUTED_VALUE"""),"Kamycinjapane 20SL")</f>
        <v>Kamycinjapane 20SL</v>
      </c>
      <c r="F1019" s="87" t="str">
        <f>IFERROR(__xludf.DUMMYFUNCTION("""COMPUTED_VALUE"""),"HH0523")</f>
        <v>HH0523</v>
      </c>
      <c r="G1019" s="87" t="str">
        <f>IFERROR(__xludf.DUMMYFUNCTION("""COMPUTED_VALUE"""),"GC - II - 523 - Luta - Kamycinjapane 20SL (Pet tron) - 480ml - 40")</f>
        <v>GC - II - 523 - Luta - Kamycinjapane 20SL (Pet tron) - 480ml - 40</v>
      </c>
    </row>
    <row r="1020">
      <c r="A1020" s="86">
        <f>IFERROR(__xludf.DUMMYFUNCTION("""COMPUTED_VALUE"""),1018.0)</f>
        <v>1018</v>
      </c>
      <c r="B1020" s="87" t="str">
        <f>IFERROR(__xludf.DUMMYFUNCTION("""COMPUTED_VALUE"""),"Nhãn")</f>
        <v>Nhãn</v>
      </c>
      <c r="C1020" s="87" t="str">
        <f>IFERROR(__xludf.DUMMYFUNCTION("""COMPUTED_VALUE"""),"NTN0524")</f>
        <v>NTN0524</v>
      </c>
      <c r="D1020" s="87" t="str">
        <f>IFERROR(__xludf.DUMMYFUNCTION("""COMPUTED_VALUE"""),"[Nhãn] GC - II - 524 - BM - Diệt đạo ôn cháy lá - 25 gr - 300")</f>
        <v>[Nhãn] GC - II - 524 - BM - Diệt đạo ôn cháy lá - 25 gr - 300</v>
      </c>
      <c r="E1020" s="87" t="str">
        <f>IFERROR(__xludf.DUMMYFUNCTION("""COMPUTED_VALUE"""),"TOPZOLE 800WG")</f>
        <v>TOPZOLE 800WG</v>
      </c>
      <c r="F1020" s="87" t="str">
        <f>IFERROR(__xludf.DUMMYFUNCTION("""COMPUTED_VALUE"""),"HH0524")</f>
        <v>HH0524</v>
      </c>
      <c r="G1020" s="87" t="str">
        <f>IFERROR(__xludf.DUMMYFUNCTION("""COMPUTED_VALUE"""),"GC - II - 524 - BM - Diệt đạo ôn cháy lá - 25 gr - 300")</f>
        <v>GC - II - 524 - BM - Diệt đạo ôn cháy lá - 25 gr - 300</v>
      </c>
    </row>
    <row r="1021">
      <c r="A1021" s="86">
        <f>IFERROR(__xludf.DUMMYFUNCTION("""COMPUTED_VALUE"""),1019.0)</f>
        <v>1019</v>
      </c>
      <c r="B1021" s="87" t="str">
        <f>IFERROR(__xludf.DUMMYFUNCTION("""COMPUTED_VALUE"""),"Nhãn thùng")</f>
        <v>Nhãn thùng</v>
      </c>
      <c r="C1021" s="87" t="str">
        <f>IFERROR(__xludf.DUMMYFUNCTION("""COMPUTED_VALUE"""),"NDT0524")</f>
        <v>NDT0524</v>
      </c>
      <c r="D1021" s="87" t="str">
        <f>IFERROR(__xludf.DUMMYFUNCTION("""COMPUTED_VALUE"""),"[Nhãn thùng] GC - II - 524 - BM - Diệt đạo ôn cháy lá - 25 gr - 300")</f>
        <v>[Nhãn thùng] GC - II - 524 - BM - Diệt đạo ôn cháy lá - 25 gr - 300</v>
      </c>
      <c r="E1021" s="87" t="str">
        <f>IFERROR(__xludf.DUMMYFUNCTION("""COMPUTED_VALUE"""),"TOPZOLE 800WG")</f>
        <v>TOPZOLE 800WG</v>
      </c>
      <c r="F1021" s="87" t="str">
        <f>IFERROR(__xludf.DUMMYFUNCTION("""COMPUTED_VALUE"""),"HH0524")</f>
        <v>HH0524</v>
      </c>
      <c r="G1021" s="87" t="str">
        <f>IFERROR(__xludf.DUMMYFUNCTION("""COMPUTED_VALUE"""),"GC - II - 524 - BM - Diệt đạo ôn cháy lá - 25 gr - 300")</f>
        <v>GC - II - 524 - BM - Diệt đạo ôn cháy lá - 25 gr - 300</v>
      </c>
    </row>
    <row r="1022">
      <c r="A1022" s="86">
        <f>IFERROR(__xludf.DUMMYFUNCTION("""COMPUTED_VALUE"""),1020.0)</f>
        <v>1020</v>
      </c>
      <c r="B1022" s="87" t="str">
        <f>IFERROR(__xludf.DUMMYFUNCTION("""COMPUTED_VALUE"""),"Nhãn")</f>
        <v>Nhãn</v>
      </c>
      <c r="C1022" s="87" t="str">
        <f>IFERROR(__xludf.DUMMYFUNCTION("""COMPUTED_VALUE"""),"NHG0525")</f>
        <v>NHG0525</v>
      </c>
      <c r="D1022" s="87" t="str">
        <f>IFERROR(__xludf.DUMMYFUNCTION("""COMPUTED_VALUE"""),"[Nhãn] IDA Global - I - 525 - Amazon SC (Drone) (PET trong cao) - 450ml - 40")</f>
        <v>[Nhãn] IDA Global - I - 525 - Amazon SC (Drone) (PET trong cao) - 450ml - 40</v>
      </c>
      <c r="E1022" s="87" t="str">
        <f>IFERROR(__xludf.DUMMYFUNCTION("""COMPUTED_VALUE"""),"Vi lượng Basel IDA 46")</f>
        <v>Vi lượng Basel IDA 46</v>
      </c>
      <c r="F1022" s="87" t="str">
        <f>IFERROR(__xludf.DUMMYFUNCTION("""COMPUTED_VALUE"""),"HH0525")</f>
        <v>HH0525</v>
      </c>
      <c r="G1022" s="87" t="str">
        <f>IFERROR(__xludf.DUMMYFUNCTION("""COMPUTED_VALUE"""),"IDA Global - I - 525 - Amazon SC (Drone) (PET trong cao) - 450ml - 40")</f>
        <v>IDA Global - I - 525 - Amazon SC (Drone) (PET trong cao) - 450ml - 40</v>
      </c>
    </row>
    <row r="1023">
      <c r="A1023" s="86">
        <f>IFERROR(__xludf.DUMMYFUNCTION("""COMPUTED_VALUE"""),1021.0)</f>
        <v>1021</v>
      </c>
      <c r="B1023" s="87" t="str">
        <f>IFERROR(__xludf.DUMMYFUNCTION("""COMPUTED_VALUE"""),"Nhãn")</f>
        <v>Nhãn</v>
      </c>
      <c r="C1023" s="87" t="str">
        <f>IFERROR(__xludf.DUMMYFUNCTION("""COMPUTED_VALUE"""),"NHD0527")</f>
        <v>NHD0527</v>
      </c>
      <c r="D1023" s="87" t="str">
        <f>IFERROR(__xludf.DUMMYFUNCTION("""COMPUTED_VALUE"""),"[Nhãn] GC - I - 527 - Thiên Di - Ema19 (Pet Vuông) - 450ml - 40")</f>
        <v>[Nhãn] GC - I - 527 - Thiên Di - Ema19 (Pet Vuông) - 450ml - 40</v>
      </c>
      <c r="E1023" s="87" t="str">
        <f>IFERROR(__xludf.DUMMYFUNCTION("""COMPUTED_VALUE"""),"Remy 19EC")</f>
        <v>Remy 19EC</v>
      </c>
      <c r="F1023" s="87" t="str">
        <f>IFERROR(__xludf.DUMMYFUNCTION("""COMPUTED_VALUE"""),"HH0527")</f>
        <v>HH0527</v>
      </c>
      <c r="G1023" s="87" t="str">
        <f>IFERROR(__xludf.DUMMYFUNCTION("""COMPUTED_VALUE"""),"GC - I - 527 - Thiên Di - Ema19 (Pet Vuông) - 450ml - 40")</f>
        <v>GC - I - 527 - Thiên Di - Ema19 (Pet Vuông) - 450ml - 40</v>
      </c>
    </row>
    <row r="1024">
      <c r="A1024" s="86">
        <f>IFERROR(__xludf.DUMMYFUNCTION("""COMPUTED_VALUE"""),1022.0)</f>
        <v>1022</v>
      </c>
      <c r="B1024" s="87" t="str">
        <f>IFERROR(__xludf.DUMMYFUNCTION("""COMPUTED_VALUE"""),"Nhãn")</f>
        <v>Nhãn</v>
      </c>
      <c r="C1024" s="87" t="str">
        <f>IFERROR(__xludf.DUMMYFUNCTION("""COMPUTED_VALUE"""),"NHG0528")</f>
        <v>NHG0528</v>
      </c>
      <c r="D1024" s="87" t="str">
        <f>IFERROR(__xludf.DUMMYFUNCTION("""COMPUTED_VALUE"""),"[Nhãn] GC - II - 528 - AGC - Gaba (Pet tròn) (nước đục) - 450ml - 40")</f>
        <v>[Nhãn] GC - II - 528 - AGC - Gaba (Pet tròn) (nước đục) - 450ml - 40</v>
      </c>
      <c r="E1024" s="87" t="str">
        <f>IFERROR(__xludf.DUMMYFUNCTION("""COMPUTED_VALUE"""),"Tikabamec 3.6EC")</f>
        <v>Tikabamec 3.6EC</v>
      </c>
      <c r="F1024" s="87" t="str">
        <f>IFERROR(__xludf.DUMMYFUNCTION("""COMPUTED_VALUE"""),"HH0528")</f>
        <v>HH0528</v>
      </c>
      <c r="G1024" s="87" t="str">
        <f>IFERROR(__xludf.DUMMYFUNCTION("""COMPUTED_VALUE"""),"GC - II - 528 - AGC - Gaba (Pet tròn) (nước đục) - 450ml - 40")</f>
        <v>GC - II - 528 - AGC - Gaba (Pet tròn) (nước đục) - 450ml - 40</v>
      </c>
    </row>
    <row r="1025">
      <c r="A1025" s="86">
        <f>IFERROR(__xludf.DUMMYFUNCTION("""COMPUTED_VALUE"""),1023.0)</f>
        <v>1023</v>
      </c>
      <c r="B1025" s="87" t="str">
        <f>IFERROR(__xludf.DUMMYFUNCTION("""COMPUTED_VALUE"""),"Nhãn")</f>
        <v>Nhãn</v>
      </c>
      <c r="C1025" s="87" t="str">
        <f>IFERROR(__xludf.DUMMYFUNCTION("""COMPUTED_VALUE"""),"NHG0529")</f>
        <v>NHG0529</v>
      </c>
      <c r="D1025" s="87" t="str">
        <f>IFERROR(__xludf.DUMMYFUNCTION("""COMPUTED_VALUE"""),"[Nhãn] GC - II - 529 - MK936 (Pet tròn) (nước đục) - 450ml - 40")</f>
        <v>[Nhãn] GC - II - 529 - MK936 (Pet tròn) (nước đục) - 450ml - 40</v>
      </c>
      <c r="E1025" s="87" t="str">
        <f>IFERROR(__xludf.DUMMYFUNCTION("""COMPUTED_VALUE"""),"Tikabamec 3.6EC")</f>
        <v>Tikabamec 3.6EC</v>
      </c>
      <c r="F1025" s="87" t="str">
        <f>IFERROR(__xludf.DUMMYFUNCTION("""COMPUTED_VALUE"""),"HH0529")</f>
        <v>HH0529</v>
      </c>
      <c r="G1025" s="87" t="str">
        <f>IFERROR(__xludf.DUMMYFUNCTION("""COMPUTED_VALUE"""),"GC - II - 529 - MK936 (Pet tròn) (nước đục) - 450ml - 40")</f>
        <v>GC - II - 529 - MK936 (Pet tròn) (nước đục) - 450ml - 40</v>
      </c>
    </row>
    <row r="1026">
      <c r="A1026" s="86">
        <f>IFERROR(__xludf.DUMMYFUNCTION("""COMPUTED_VALUE"""),1024.0)</f>
        <v>1024</v>
      </c>
      <c r="B1026" s="87" t="str">
        <f>IFERROR(__xludf.DUMMYFUNCTION("""COMPUTED_VALUE"""),"Nhãn")</f>
        <v>Nhãn</v>
      </c>
      <c r="C1026" s="87" t="str">
        <f>IFERROR(__xludf.DUMMYFUNCTION("""COMPUTED_VALUE"""),"NTG0530.1")</f>
        <v>NTG0530.1</v>
      </c>
      <c r="D1026" s="87" t="str">
        <f>IFERROR(__xludf.DUMMYFUNCTION("""COMPUTED_VALUE"""),"[Nhãn] IDA Global - I - 530.1 - Sức mạnh Tricyclazole - New 35gr - 300")</f>
        <v>[Nhãn] IDA Global - I - 530.1 - Sức mạnh Tricyclazole - New 35gr - 300</v>
      </c>
      <c r="E1026" s="87" t="str">
        <f>IFERROR(__xludf.DUMMYFUNCTION("""COMPUTED_VALUE"""),"Pim.Pim 75WP")</f>
        <v>Pim.Pim 75WP</v>
      </c>
      <c r="F1026" s="87" t="str">
        <f>IFERROR(__xludf.DUMMYFUNCTION("""COMPUTED_VALUE"""),"HH30.1")</f>
        <v>HH30.1</v>
      </c>
      <c r="G1026" s="87" t="str">
        <f>IFERROR(__xludf.DUMMYFUNCTION("""COMPUTED_VALUE"""),"IDA Global - I - 530.1 - Sức mạnh Tricyclazole - New 35gr - 300")</f>
        <v>IDA Global - I - 530.1 - Sức mạnh Tricyclazole - New 35gr - 300</v>
      </c>
    </row>
    <row r="1027">
      <c r="A1027" s="86">
        <f>IFERROR(__xludf.DUMMYFUNCTION("""COMPUTED_VALUE"""),1025.0)</f>
        <v>1025</v>
      </c>
      <c r="B1027" s="87" t="str">
        <f>IFERROR(__xludf.DUMMYFUNCTION("""COMPUTED_VALUE"""),"Nhãn")</f>
        <v>Nhãn</v>
      </c>
      <c r="C1027" s="87" t="str">
        <f>IFERROR(__xludf.DUMMYFUNCTION("""COMPUTED_VALUE"""),"NTG0530.2")</f>
        <v>NTG0530.2</v>
      </c>
      <c r="D1027" s="87" t="str">
        <f>IFERROR(__xludf.DUMMYFUNCTION("""COMPUTED_VALUE"""),"[Nhãn] IDA Global - I - 530.2 - Sức mạnh Tricyclazole - New 35gr - 300")</f>
        <v>[Nhãn] IDA Global - I - 530.2 - Sức mạnh Tricyclazole - New 35gr - 300</v>
      </c>
      <c r="E1027" s="87" t="str">
        <f>IFERROR(__xludf.DUMMYFUNCTION("""COMPUTED_VALUE"""),"Pim.Pim 75WP")</f>
        <v>Pim.Pim 75WP</v>
      </c>
      <c r="F1027" s="87" t="str">
        <f>IFERROR(__xludf.DUMMYFUNCTION("""COMPUTED_VALUE"""),"HH30.2")</f>
        <v>HH30.2</v>
      </c>
      <c r="G1027" s="87" t="str">
        <f>IFERROR(__xludf.DUMMYFUNCTION("""COMPUTED_VALUE"""),"IDA Global - I - 530.2 - Sức mạnh Tricyclazole - New 35gr - 300")</f>
        <v>IDA Global - I - 530.2 - Sức mạnh Tricyclazole - New 35gr - 300</v>
      </c>
    </row>
    <row r="1028">
      <c r="A1028" s="86">
        <f>IFERROR(__xludf.DUMMYFUNCTION("""COMPUTED_VALUE"""),1026.0)</f>
        <v>1026</v>
      </c>
      <c r="B1028" s="87" t="str">
        <f>IFERROR(__xludf.DUMMYFUNCTION("""COMPUTED_VALUE"""),"Nhãn")</f>
        <v>Nhãn</v>
      </c>
      <c r="C1028" s="87" t="str">
        <f>IFERROR(__xludf.DUMMYFUNCTION("""COMPUTED_VALUE"""),"NTN0530.2")</f>
        <v>NTN0530.2</v>
      </c>
      <c r="D1028" s="87" t="str">
        <f>IFERROR(__xludf.DUMMYFUNCTION("""COMPUTED_VALUE"""),"[TÚI] IDA Global - I - 530.2 - Sức mạnh Tricyclazole - New 35gr - 300")</f>
        <v>[TÚI] IDA Global - I - 530.2 - Sức mạnh Tricyclazole - New 35gr - 300</v>
      </c>
      <c r="E1028" s="87" t="str">
        <f>IFERROR(__xludf.DUMMYFUNCTION("""COMPUTED_VALUE"""),"Pim.Pim 75WP")</f>
        <v>Pim.Pim 75WP</v>
      </c>
      <c r="F1028" s="87" t="str">
        <f>IFERROR(__xludf.DUMMYFUNCTION("""COMPUTED_VALUE"""),"HH30.2")</f>
        <v>HH30.2</v>
      </c>
      <c r="G1028" s="87" t="str">
        <f>IFERROR(__xludf.DUMMYFUNCTION("""COMPUTED_VALUE"""),"IDA Global - I - 530.2 - Sức mạnh Tricyclazole - New 35gr - 300")</f>
        <v>IDA Global - I - 530.2 - Sức mạnh Tricyclazole - New 35gr - 300</v>
      </c>
    </row>
    <row r="1029">
      <c r="A1029" s="86">
        <f>IFERROR(__xludf.DUMMYFUNCTION("""COMPUTED_VALUE"""),1027.0)</f>
        <v>1027</v>
      </c>
      <c r="B1029" s="87" t="str">
        <f>IFERROR(__xludf.DUMMYFUNCTION("""COMPUTED_VALUE"""),"Nhãn")</f>
        <v>Nhãn</v>
      </c>
      <c r="C1029" s="87" t="str">
        <f>IFERROR(__xludf.DUMMYFUNCTION("""COMPUTED_VALUE"""),"NHG0531")</f>
        <v>NHG0531</v>
      </c>
      <c r="D1029" s="87" t="str">
        <f>IFERROR(__xludf.DUMMYFUNCTION("""COMPUTED_VALUE"""),"[Nhãn] GC - II - 531 - AGC - Bo.CaX (PET tròn) - 500ml - 40")</f>
        <v>[Nhãn] GC - II - 531 - AGC - Bo.CaX (PET tròn) - 500ml - 40</v>
      </c>
      <c r="E1029" s="87" t="str">
        <f>IFERROR(__xludf.DUMMYFUNCTION("""COMPUTED_VALUE"""),"Prima 04")</f>
        <v>Prima 04</v>
      </c>
      <c r="F1029" s="87" t="str">
        <f>IFERROR(__xludf.DUMMYFUNCTION("""COMPUTED_VALUE"""),"HH0531")</f>
        <v>HH0531</v>
      </c>
      <c r="G1029" s="87" t="str">
        <f>IFERROR(__xludf.DUMMYFUNCTION("""COMPUTED_VALUE"""),"GC - II - 531 - AGC - Bo.CaX (PET tròn) - 500ml - 40")</f>
        <v>GC - II - 531 - AGC - Bo.CaX (PET tròn) - 500ml - 40</v>
      </c>
    </row>
    <row r="1030">
      <c r="A1030" s="86">
        <f>IFERROR(__xludf.DUMMYFUNCTION("""COMPUTED_VALUE"""),1028.0)</f>
        <v>1028</v>
      </c>
      <c r="B1030" s="87" t="str">
        <f>IFERROR(__xludf.DUMMYFUNCTION("""COMPUTED_VALUE"""),"Nhãn")</f>
        <v>Nhãn</v>
      </c>
      <c r="C1030" s="87" t="str">
        <f>IFERROR(__xludf.DUMMYFUNCTION("""COMPUTED_VALUE"""),"NTN0539")</f>
        <v>NTN0539</v>
      </c>
      <c r="D1030" s="87" t="str">
        <f>IFERROR(__xludf.DUMMYFUNCTION("""COMPUTED_VALUE"""),"[Nhãn] GC - II - 539 - Luta - Mancozeb vàng - 1kg - 20")</f>
        <v>[Nhãn] GC - II - 539 - Luta - Mancozeb vàng - 1kg - 20</v>
      </c>
      <c r="E1030" s="87" t="str">
        <f>IFERROR(__xludf.DUMMYFUNCTION("""COMPUTED_VALUE"""),"TVZEB 800WP")</f>
        <v>TVZEB 800WP</v>
      </c>
      <c r="F1030" s="87" t="str">
        <f>IFERROR(__xludf.DUMMYFUNCTION("""COMPUTED_VALUE"""),"HH0539")</f>
        <v>HH0539</v>
      </c>
      <c r="G1030" s="87" t="str">
        <f>IFERROR(__xludf.DUMMYFUNCTION("""COMPUTED_VALUE"""),"GC - II - 539 - Luta - Mancozeb vàng - 1kg - 20")</f>
        <v>GC - II - 539 - Luta - Mancozeb vàng - 1kg - 20</v>
      </c>
    </row>
    <row r="1031">
      <c r="A1031" s="86">
        <f>IFERROR(__xludf.DUMMYFUNCTION("""COMPUTED_VALUE"""),1029.0)</f>
        <v>1029</v>
      </c>
      <c r="B1031" s="87" t="str">
        <f>IFERROR(__xludf.DUMMYFUNCTION("""COMPUTED_VALUE"""),"Nhãn thùng")</f>
        <v>Nhãn thùng</v>
      </c>
      <c r="C1031" s="87" t="str">
        <f>IFERROR(__xludf.DUMMYFUNCTION("""COMPUTED_VALUE"""),"NDT0539")</f>
        <v>NDT0539</v>
      </c>
      <c r="D1031" s="87" t="str">
        <f>IFERROR(__xludf.DUMMYFUNCTION("""COMPUTED_VALUE"""),"[Nhãn thùng] GC - II - 539 - Luta - Mancozeb vàng - 1kg - 20")</f>
        <v>[Nhãn thùng] GC - II - 539 - Luta - Mancozeb vàng - 1kg - 20</v>
      </c>
      <c r="E1031" s="87" t="str">
        <f>IFERROR(__xludf.DUMMYFUNCTION("""COMPUTED_VALUE"""),"TVZEB 800WP")</f>
        <v>TVZEB 800WP</v>
      </c>
      <c r="F1031" s="87" t="str">
        <f>IFERROR(__xludf.DUMMYFUNCTION("""COMPUTED_VALUE"""),"HH0539")</f>
        <v>HH0539</v>
      </c>
      <c r="G1031" s="87" t="str">
        <f>IFERROR(__xludf.DUMMYFUNCTION("""COMPUTED_VALUE"""),"GC - II - 539 - Luta - Mancozeb vàng - 1kg - 20")</f>
        <v>GC - II - 539 - Luta - Mancozeb vàng - 1kg - 20</v>
      </c>
    </row>
    <row r="1032">
      <c r="A1032" s="86">
        <f>IFERROR(__xludf.DUMMYFUNCTION("""COMPUTED_VALUE"""),1030.0)</f>
        <v>1030</v>
      </c>
      <c r="B1032" s="87" t="str">
        <f>IFERROR(__xludf.DUMMYFUNCTION("""COMPUTED_VALUE"""),"Nhãn")</f>
        <v>Nhãn</v>
      </c>
      <c r="C1032" s="87" t="str">
        <f>IFERROR(__xludf.DUMMYFUNCTION("""COMPUTED_VALUE"""),"NTN0540")</f>
        <v>NTN0540</v>
      </c>
      <c r="D1032" s="87" t="str">
        <f>IFERROR(__xludf.DUMMYFUNCTION("""COMPUTED_VALUE"""),"[Nhãn] GC - II - 540 - Luta - Myhu - 1 kg - 25")</f>
        <v>[Nhãn] GC - II - 540 - Luta - Myhu - 1 kg - 25</v>
      </c>
      <c r="E1032" s="87" t="str">
        <f>IFERROR(__xludf.DUMMYFUNCTION("""COMPUTED_VALUE"""),"Prima 04")</f>
        <v>Prima 04</v>
      </c>
      <c r="F1032" s="87" t="str">
        <f>IFERROR(__xludf.DUMMYFUNCTION("""COMPUTED_VALUE"""),"HH0540")</f>
        <v>HH0540</v>
      </c>
      <c r="G1032" s="87" t="str">
        <f>IFERROR(__xludf.DUMMYFUNCTION("""COMPUTED_VALUE"""),"GC - II - 540 - Luta - Myhu - 1 kg - 25")</f>
        <v>GC - II - 540 - Luta - Myhu - 1 kg - 25</v>
      </c>
    </row>
    <row r="1033">
      <c r="A1033" s="86">
        <f>IFERROR(__xludf.DUMMYFUNCTION("""COMPUTED_VALUE"""),1031.0)</f>
        <v>1031</v>
      </c>
      <c r="B1033" s="87" t="str">
        <f>IFERROR(__xludf.DUMMYFUNCTION("""COMPUTED_VALUE"""),"Nhãn")</f>
        <v>Nhãn</v>
      </c>
      <c r="C1033" s="87" t="str">
        <f>IFERROR(__xludf.DUMMYFUNCTION("""COMPUTED_VALUE"""),"NTN0546")</f>
        <v>NTN0546</v>
      </c>
      <c r="D1033" s="87" t="str">
        <f>IFERROR(__xludf.DUMMYFUNCTION("""COMPUTED_VALUE"""),"[Nhãn] GC - I - 546 - AU - Diệt đạo ôn - 20gr - 300")</f>
        <v>[Nhãn] GC - I - 546 - AU - Diệt đạo ôn - 20gr - 300</v>
      </c>
      <c r="E1033" s="87" t="str">
        <f>IFERROR(__xludf.DUMMYFUNCTION("""COMPUTED_VALUE"""),"TOPZOLE 800WG")</f>
        <v>TOPZOLE 800WG</v>
      </c>
      <c r="F1033" s="87" t="str">
        <f>IFERROR(__xludf.DUMMYFUNCTION("""COMPUTED_VALUE"""),"HH0546")</f>
        <v>HH0546</v>
      </c>
      <c r="G1033" s="87" t="str">
        <f>IFERROR(__xludf.DUMMYFUNCTION("""COMPUTED_VALUE"""),"GC - I - 546 - AU - Diệt đạo ôn - 20gr - 300")</f>
        <v>GC - I - 546 - AU - Diệt đạo ôn - 20gr - 300</v>
      </c>
    </row>
    <row r="1034">
      <c r="A1034" s="86">
        <f>IFERROR(__xludf.DUMMYFUNCTION("""COMPUTED_VALUE"""),1032.0)</f>
        <v>1032</v>
      </c>
      <c r="B1034" s="87" t="str">
        <f>IFERROR(__xludf.DUMMYFUNCTION("""COMPUTED_VALUE"""),"Nhãn")</f>
        <v>Nhãn</v>
      </c>
      <c r="C1034" s="87" t="str">
        <f>IFERROR(__xludf.DUMMYFUNCTION("""COMPUTED_VALUE"""),"NHD0551")</f>
        <v>NHD0551</v>
      </c>
      <c r="D1034" s="87" t="str">
        <f>IFERROR(__xludf.DUMMYFUNCTION("""COMPUTED_VALUE"""),"[Nhãn] GC - II - 551 - Huy Phát - Hufatin (PET vuông) - 450ml - 40")</f>
        <v>[Nhãn] GC - II - 551 - Huy Phát - Hufatin (PET vuông) - 450ml - 40</v>
      </c>
      <c r="E1034" s="87" t="str">
        <f>IFERROR(__xludf.DUMMYFUNCTION("""COMPUTED_VALUE"""),"Remy 19EC")</f>
        <v>Remy 19EC</v>
      </c>
      <c r="F1034" s="87" t="str">
        <f>IFERROR(__xludf.DUMMYFUNCTION("""COMPUTED_VALUE"""),"HH0551")</f>
        <v>HH0551</v>
      </c>
      <c r="G1034" s="87" t="str">
        <f>IFERROR(__xludf.DUMMYFUNCTION("""COMPUTED_VALUE"""),"GC - II - 551 - Huy Phát - Hufatin (PET vuông) - 450ml - 40")</f>
        <v>GC - II - 551 - Huy Phát - Hufatin (PET vuông) - 450ml - 40</v>
      </c>
    </row>
    <row r="1035">
      <c r="A1035" s="86">
        <f>IFERROR(__xludf.DUMMYFUNCTION("""COMPUTED_VALUE"""),1033.0)</f>
        <v>1033</v>
      </c>
      <c r="B1035" s="87" t="str">
        <f>IFERROR(__xludf.DUMMYFUNCTION("""COMPUTED_VALUE"""),"Nhãn")</f>
        <v>Nhãn</v>
      </c>
      <c r="C1035" s="87" t="str">
        <f>IFERROR(__xludf.DUMMYFUNCTION("""COMPUTED_VALUE"""),"NTN0565")</f>
        <v>NTN0565</v>
      </c>
      <c r="D1035" s="87" t="str">
        <f>IFERROR(__xludf.DUMMYFUNCTION("""COMPUTED_VALUE"""),"[Nhãn] GC - II - 565 - A Thời GNH - Black Humixx - 1kg - 25")</f>
        <v>[Nhãn] GC - II - 565 - A Thời GNH - Black Humixx - 1kg - 25</v>
      </c>
      <c r="E1035" s="87" t="str">
        <f>IFERROR(__xludf.DUMMYFUNCTION("""COMPUTED_VALUE"""),"Vi lượng Slow Growth")</f>
        <v>Vi lượng Slow Growth</v>
      </c>
      <c r="F1035" s="87" t="str">
        <f>IFERROR(__xludf.DUMMYFUNCTION("""COMPUTED_VALUE"""),"HH0565")</f>
        <v>HH0565</v>
      </c>
      <c r="G1035" s="87" t="str">
        <f>IFERROR(__xludf.DUMMYFUNCTION("""COMPUTED_VALUE"""),"GC - II - 565 - A Thời GNH - Black Humixx - 1kg - 25")</f>
        <v>GC - II - 565 - A Thời GNH - Black Humixx - 1kg - 25</v>
      </c>
    </row>
    <row r="1036">
      <c r="A1036" s="86">
        <f>IFERROR(__xludf.DUMMYFUNCTION("""COMPUTED_VALUE"""),1034.0)</f>
        <v>1034</v>
      </c>
      <c r="B1036" s="87" t="str">
        <f>IFERROR(__xludf.DUMMYFUNCTION("""COMPUTED_VALUE"""),"Nhãn")</f>
        <v>Nhãn</v>
      </c>
      <c r="C1036" s="87" t="str">
        <f>IFERROR(__xludf.DUMMYFUNCTION("""COMPUTED_VALUE"""),"NTN0566")</f>
        <v>NTN0566</v>
      </c>
      <c r="D1036" s="87" t="str">
        <f>IFERROR(__xludf.DUMMYFUNCTION("""COMPUTED_VALUE"""),"[Nhãn] GC - II - 566 - A Thời GNH - Black Gold Humite - 1kg - 25")</f>
        <v>[Nhãn] GC - II - 566 - A Thời GNH - Black Gold Humite - 1kg - 25</v>
      </c>
      <c r="E1036" s="87" t="str">
        <f>IFERROR(__xludf.DUMMYFUNCTION("""COMPUTED_VALUE"""),"Vi lượng Slow Growth")</f>
        <v>Vi lượng Slow Growth</v>
      </c>
      <c r="F1036" s="87" t="str">
        <f>IFERROR(__xludf.DUMMYFUNCTION("""COMPUTED_VALUE"""),"HH0566")</f>
        <v>HH0566</v>
      </c>
      <c r="G1036" s="87" t="str">
        <f>IFERROR(__xludf.DUMMYFUNCTION("""COMPUTED_VALUE"""),"GC - II - 566 - A Thời GNH - Black Gold Humite - 1kg - 25")</f>
        <v>GC - II - 566 - A Thời GNH - Black Gold Humite - 1kg - 25</v>
      </c>
    </row>
    <row r="1037">
      <c r="A1037" s="86">
        <f>IFERROR(__xludf.DUMMYFUNCTION("""COMPUTED_VALUE"""),1035.0)</f>
        <v>1035</v>
      </c>
      <c r="B1037" s="87" t="str">
        <f>IFERROR(__xludf.DUMMYFUNCTION("""COMPUTED_VALUE"""),"Nhãn")</f>
        <v>Nhãn</v>
      </c>
      <c r="C1037" s="87" t="str">
        <f>IFERROR(__xludf.DUMMYFUNCTION("""COMPUTED_VALUE"""),"NTN0567")</f>
        <v>NTN0567</v>
      </c>
      <c r="D1037" s="87" t="str">
        <f>IFERROR(__xludf.DUMMYFUNCTION("""COMPUTED_VALUE"""),"[Nhãn] GC - II - 567 - A Thời GNH - Hummax- 1kg - 25")</f>
        <v>[Nhãn] GC - II - 567 - A Thời GNH - Hummax- 1kg - 25</v>
      </c>
      <c r="E1037" s="87" t="str">
        <f>IFERROR(__xludf.DUMMYFUNCTION("""COMPUTED_VALUE"""),"Vi lượng Slow Growth")</f>
        <v>Vi lượng Slow Growth</v>
      </c>
      <c r="F1037" s="87" t="str">
        <f>IFERROR(__xludf.DUMMYFUNCTION("""COMPUTED_VALUE"""),"HH0567")</f>
        <v>HH0567</v>
      </c>
      <c r="G1037" s="87" t="str">
        <f>IFERROR(__xludf.DUMMYFUNCTION("""COMPUTED_VALUE"""),"GC - II - 567 - A Thời GNH - Hummax- 1kg - 25")</f>
        <v>GC - II - 567 - A Thời GNH - Hummax- 1kg - 25</v>
      </c>
    </row>
    <row r="1038">
      <c r="A1038" s="86">
        <f>IFERROR(__xludf.DUMMYFUNCTION("""COMPUTED_VALUE"""),1036.0)</f>
        <v>1036</v>
      </c>
      <c r="B1038" s="87" t="str">
        <f>IFERROR(__xludf.DUMMYFUNCTION("""COMPUTED_VALUE"""),"Nhãn thùng")</f>
        <v>Nhãn thùng</v>
      </c>
      <c r="C1038" s="87" t="str">
        <f>IFERROR(__xludf.DUMMYFUNCTION("""COMPUTED_VALUE"""),"NDT0567")</f>
        <v>NDT0567</v>
      </c>
      <c r="D1038" s="87" t="str">
        <f>IFERROR(__xludf.DUMMYFUNCTION("""COMPUTED_VALUE"""),"[Nhãn thùng] GC - II - 567 - A Thời GNH - Hummax- 1kg - 25")</f>
        <v>[Nhãn thùng] GC - II - 567 - A Thời GNH - Hummax- 1kg - 25</v>
      </c>
      <c r="E1038" s="87" t="str">
        <f>IFERROR(__xludf.DUMMYFUNCTION("""COMPUTED_VALUE"""),"Vi lượng Slow Growth")</f>
        <v>Vi lượng Slow Growth</v>
      </c>
      <c r="F1038" s="87" t="str">
        <f>IFERROR(__xludf.DUMMYFUNCTION("""COMPUTED_VALUE"""),"HH0567")</f>
        <v>HH0567</v>
      </c>
      <c r="G1038" s="87" t="str">
        <f>IFERROR(__xludf.DUMMYFUNCTION("""COMPUTED_VALUE"""),"GC - II - 567 - A Thời GNH - Hummax- 1kg - 25")</f>
        <v>GC - II - 567 - A Thời GNH - Hummax- 1kg - 25</v>
      </c>
    </row>
    <row r="1039">
      <c r="A1039" s="86">
        <f>IFERROR(__xludf.DUMMYFUNCTION("""COMPUTED_VALUE"""),1037.0)</f>
        <v>1037</v>
      </c>
      <c r="B1039" s="87" t="str">
        <f>IFERROR(__xludf.DUMMYFUNCTION("""COMPUTED_VALUE"""),"Nhãn")</f>
        <v>Nhãn</v>
      </c>
      <c r="C1039" s="87" t="str">
        <f>IFERROR(__xludf.DUMMYFUNCTION("""COMPUTED_VALUE"""),"NHD0570")</f>
        <v>NHD0570</v>
      </c>
      <c r="D1039" s="87" t="str">
        <f>IFERROR(__xludf.DUMMYFUNCTION("""COMPUTED_VALUE"""),"[Nhãn] GC - II - 570 - Ánh Dương - Tikabamec (Pet Vuông) (nước đục) - 450ml - 40")</f>
        <v>[Nhãn] GC - II - 570 - Ánh Dương - Tikabamec (Pet Vuông) (nước đục) - 450ml - 40</v>
      </c>
      <c r="E1039" s="87" t="str">
        <f>IFERROR(__xludf.DUMMYFUNCTION("""COMPUTED_VALUE"""),"Tikabamec 3.6EC")</f>
        <v>Tikabamec 3.6EC</v>
      </c>
      <c r="F1039" s="87" t="str">
        <f>IFERROR(__xludf.DUMMYFUNCTION("""COMPUTED_VALUE"""),"HH0570")</f>
        <v>HH0570</v>
      </c>
      <c r="G1039" s="87" t="str">
        <f>IFERROR(__xludf.DUMMYFUNCTION("""COMPUTED_VALUE"""),"GC - II - 570 - Ánh Dương - Tikabamec (Pet Vuông) (nước đục) - 450ml - 40")</f>
        <v>GC - II - 570 - Ánh Dương - Tikabamec (Pet Vuông) (nước đục) - 450ml - 40</v>
      </c>
    </row>
    <row r="1040">
      <c r="A1040" s="86">
        <f>IFERROR(__xludf.DUMMYFUNCTION("""COMPUTED_VALUE"""),1038.0)</f>
        <v>1038</v>
      </c>
      <c r="B1040" s="87" t="str">
        <f>IFERROR(__xludf.DUMMYFUNCTION("""COMPUTED_VALUE"""),"Nhãn")</f>
        <v>Nhãn</v>
      </c>
      <c r="C1040" s="87" t="str">
        <f>IFERROR(__xludf.DUMMYFUNCTION("""COMPUTED_VALUE"""),"NTN0571")</f>
        <v>NTN0571</v>
      </c>
      <c r="D1040" s="87" t="str">
        <f>IFERROR(__xludf.DUMMYFUNCTION("""COMPUTED_VALUE"""),"[Nhãn] GC - II - 571 - BM - Apple 700WP - 100 gr - 100")</f>
        <v>[Nhãn] GC - II - 571 - BM - Apple 700WP - 100 gr - 100</v>
      </c>
      <c r="E1040" s="87" t="str">
        <f>IFERROR(__xludf.DUMMYFUNCTION("""COMPUTED_VALUE"""),"Apple 700WP")</f>
        <v>Apple 700WP</v>
      </c>
      <c r="F1040" s="87" t="str">
        <f>IFERROR(__xludf.DUMMYFUNCTION("""COMPUTED_VALUE"""),"HH0571")</f>
        <v>HH0571</v>
      </c>
      <c r="G1040" s="87" t="str">
        <f>IFERROR(__xludf.DUMMYFUNCTION("""COMPUTED_VALUE"""),"GC - II - 571 - BM - Apple 700WP - 100 gr - 100")</f>
        <v>GC - II - 571 - BM - Apple 700WP - 100 gr - 100</v>
      </c>
    </row>
    <row r="1041">
      <c r="A1041" s="86">
        <f>IFERROR(__xludf.DUMMYFUNCTION("""COMPUTED_VALUE"""),1039.0)</f>
        <v>1039</v>
      </c>
      <c r="B1041" s="87" t="str">
        <f>IFERROR(__xludf.DUMMYFUNCTION("""COMPUTED_VALUE"""),"Nhãn thùng")</f>
        <v>Nhãn thùng</v>
      </c>
      <c r="C1041" s="87" t="str">
        <f>IFERROR(__xludf.DUMMYFUNCTION("""COMPUTED_VALUE"""),"NDT0571")</f>
        <v>NDT0571</v>
      </c>
      <c r="D1041" s="87" t="str">
        <f>IFERROR(__xludf.DUMMYFUNCTION("""COMPUTED_VALUE"""),"[Nhãn thùng] GC - II - 571 - BM - Apple 700WP - 100 gr - 100")</f>
        <v>[Nhãn thùng] GC - II - 571 - BM - Apple 700WP - 100 gr - 100</v>
      </c>
      <c r="E1041" s="87" t="str">
        <f>IFERROR(__xludf.DUMMYFUNCTION("""COMPUTED_VALUE"""),"Apple 700WP")</f>
        <v>Apple 700WP</v>
      </c>
      <c r="F1041" s="87" t="str">
        <f>IFERROR(__xludf.DUMMYFUNCTION("""COMPUTED_VALUE"""),"HH0571")</f>
        <v>HH0571</v>
      </c>
      <c r="G1041" s="87" t="str">
        <f>IFERROR(__xludf.DUMMYFUNCTION("""COMPUTED_VALUE"""),"GC - II - 571 - BM - Apple 700WP - 100 gr - 100")</f>
        <v>GC - II - 571 - BM - Apple 700WP - 100 gr - 100</v>
      </c>
    </row>
    <row r="1042">
      <c r="A1042" s="86">
        <f>IFERROR(__xludf.DUMMYFUNCTION("""COMPUTED_VALUE"""),1040.0)</f>
        <v>1040</v>
      </c>
      <c r="B1042" s="87" t="str">
        <f>IFERROR(__xludf.DUMMYFUNCTION("""COMPUTED_VALUE"""),"Nhãn")</f>
        <v>Nhãn</v>
      </c>
      <c r="C1042" s="87" t="str">
        <f>IFERROR(__xludf.DUMMYFUNCTION("""COMPUTED_VALUE"""),"NHG0574")</f>
        <v>NHG0574</v>
      </c>
      <c r="D1042" s="87" t="str">
        <f>IFERROR(__xludf.DUMMYFUNCTION("""COMPUTED_VALUE"""),"[Nhãn] GC - II - 574 - A Thời GNH - Boke (Chai HD) - 500ml - 40")</f>
        <v>[Nhãn] GC - II - 574 - A Thời GNH - Boke (Chai HD) - 500ml - 40</v>
      </c>
      <c r="E1042" s="87" t="str">
        <f>IFERROR(__xludf.DUMMYFUNCTION("""COMPUTED_VALUE"""),"Vi lượng Quantity New")</f>
        <v>Vi lượng Quantity New</v>
      </c>
      <c r="F1042" s="87" t="str">
        <f>IFERROR(__xludf.DUMMYFUNCTION("""COMPUTED_VALUE"""),"HH0574")</f>
        <v>HH0574</v>
      </c>
      <c r="G1042" s="87" t="str">
        <f>IFERROR(__xludf.DUMMYFUNCTION("""COMPUTED_VALUE"""),"GC - II - 574 - A Thời GNH - Boke (Chai HD) - 500ml - 40")</f>
        <v>GC - II - 574 - A Thời GNH - Boke (Chai HD) - 500ml - 40</v>
      </c>
    </row>
    <row r="1043">
      <c r="A1043" s="86">
        <f>IFERROR(__xludf.DUMMYFUNCTION("""COMPUTED_VALUE"""),1041.0)</f>
        <v>1041</v>
      </c>
      <c r="B1043" s="87" t="str">
        <f>IFERROR(__xludf.DUMMYFUNCTION("""COMPUTED_VALUE"""),"Nhãn")</f>
        <v>Nhãn</v>
      </c>
      <c r="C1043" s="87" t="str">
        <f>IFERROR(__xludf.DUMMYFUNCTION("""COMPUTED_VALUE"""),"NHG0575")</f>
        <v>NHG0575</v>
      </c>
      <c r="D1043" s="87" t="str">
        <f>IFERROR(__xludf.DUMMYFUNCTION("""COMPUTED_VALUE"""),"[Nhãn] GC - II - 575 - A Thời GNH - Calbor (Chai HD) - 500ml - 40")</f>
        <v>[Nhãn] GC - II - 575 - A Thời GNH - Calbor (Chai HD) - 500ml - 40</v>
      </c>
      <c r="E1043" s="87" t="str">
        <f>IFERROR(__xludf.DUMMYFUNCTION("""COMPUTED_VALUE"""),"Vi lượng Quantity New")</f>
        <v>Vi lượng Quantity New</v>
      </c>
      <c r="F1043" s="87" t="str">
        <f>IFERROR(__xludf.DUMMYFUNCTION("""COMPUTED_VALUE"""),"HH0575")</f>
        <v>HH0575</v>
      </c>
      <c r="G1043" s="87" t="str">
        <f>IFERROR(__xludf.DUMMYFUNCTION("""COMPUTED_VALUE"""),"GC - II - 575 - A Thời GNH - Calbor (Chai HD) - 500ml - 40")</f>
        <v>GC - II - 575 - A Thời GNH - Calbor (Chai HD) - 500ml - 40</v>
      </c>
    </row>
    <row r="1044">
      <c r="A1044" s="86">
        <f>IFERROR(__xludf.DUMMYFUNCTION("""COMPUTED_VALUE"""),1042.0)</f>
        <v>1042</v>
      </c>
      <c r="B1044" s="87" t="str">
        <f>IFERROR(__xludf.DUMMYFUNCTION("""COMPUTED_VALUE"""),"Nhãn")</f>
        <v>Nhãn</v>
      </c>
      <c r="C1044" s="87" t="str">
        <f>IFERROR(__xludf.DUMMYFUNCTION("""COMPUTED_VALUE"""),"NHG0576")</f>
        <v>NHG0576</v>
      </c>
      <c r="D1044" s="87" t="str">
        <f>IFERROR(__xludf.DUMMYFUNCTION("""COMPUTED_VALUE"""),"[Nhãn] GC - II - 576 - A Thời GNH - Chắc Hạt (Chai HD) - 1L - 20")</f>
        <v>[Nhãn] GC - II - 576 - A Thời GNH - Chắc Hạt (Chai HD) - 1L - 20</v>
      </c>
      <c r="E1044" s="87" t="str">
        <f>IFERROR(__xludf.DUMMYFUNCTION("""COMPUTED_VALUE"""),"Vi lượng Quantity New")</f>
        <v>Vi lượng Quantity New</v>
      </c>
      <c r="F1044" s="87" t="str">
        <f>IFERROR(__xludf.DUMMYFUNCTION("""COMPUTED_VALUE"""),"HH0576")</f>
        <v>HH0576</v>
      </c>
      <c r="G1044" s="87" t="str">
        <f>IFERROR(__xludf.DUMMYFUNCTION("""COMPUTED_VALUE"""),"GC - II - 576 - A Thời GNH - Chắc Hạt (Chai HD) - 1L - 20")</f>
        <v>GC - II - 576 - A Thời GNH - Chắc Hạt (Chai HD) - 1L - 20</v>
      </c>
    </row>
    <row r="1045">
      <c r="A1045" s="86">
        <f>IFERROR(__xludf.DUMMYFUNCTION("""COMPUTED_VALUE"""),1043.0)</f>
        <v>1043</v>
      </c>
      <c r="B1045" s="87" t="str">
        <f>IFERROR(__xludf.DUMMYFUNCTION("""COMPUTED_VALUE"""),"Nhãn")</f>
        <v>Nhãn</v>
      </c>
      <c r="C1045" s="87" t="str">
        <f>IFERROR(__xludf.DUMMYFUNCTION("""COMPUTED_VALUE"""),"NHG0577")</f>
        <v>NHG0577</v>
      </c>
      <c r="D1045" s="87" t="str">
        <f>IFERROR(__xludf.DUMMYFUNCTION("""COMPUTED_VALUE"""),"[Nhãn] GC - II - 577 - A Thời GNH - Flower + (Chai HD) - 1L - 20")</f>
        <v>[Nhãn] GC - II - 577 - A Thời GNH - Flower + (Chai HD) - 1L - 20</v>
      </c>
      <c r="E1045" s="87" t="str">
        <f>IFERROR(__xludf.DUMMYFUNCTION("""COMPUTED_VALUE"""),"Vi lượng Quantity New")</f>
        <v>Vi lượng Quantity New</v>
      </c>
      <c r="F1045" s="87" t="str">
        <f>IFERROR(__xludf.DUMMYFUNCTION("""COMPUTED_VALUE"""),"HH0577")</f>
        <v>HH0577</v>
      </c>
      <c r="G1045" s="87" t="str">
        <f>IFERROR(__xludf.DUMMYFUNCTION("""COMPUTED_VALUE"""),"GC - II - 577 - A Thời GNH - Flower + (Chai HD) - 1L - 20")</f>
        <v>GC - II - 577 - A Thời GNH - Flower + (Chai HD) - 1L - 20</v>
      </c>
    </row>
    <row r="1046">
      <c r="A1046" s="86">
        <f>IFERROR(__xludf.DUMMYFUNCTION("""COMPUTED_VALUE"""),1044.0)</f>
        <v>1044</v>
      </c>
      <c r="B1046" s="87" t="str">
        <f>IFERROR(__xludf.DUMMYFUNCTION("""COMPUTED_VALUE"""),"Nhãn thùng")</f>
        <v>Nhãn thùng</v>
      </c>
      <c r="C1046" s="87" t="str">
        <f>IFERROR(__xludf.DUMMYFUNCTION("""COMPUTED_VALUE"""),"NDT0577")</f>
        <v>NDT0577</v>
      </c>
      <c r="D1046" s="87" t="str">
        <f>IFERROR(__xludf.DUMMYFUNCTION("""COMPUTED_VALUE"""),"[Nhãn thùng] GC - II - 577 - A Thời GNH - Flower + (Chai HD) - 1L - 20")</f>
        <v>[Nhãn thùng] GC - II - 577 - A Thời GNH - Flower + (Chai HD) - 1L - 20</v>
      </c>
      <c r="E1046" s="87" t="str">
        <f>IFERROR(__xludf.DUMMYFUNCTION("""COMPUTED_VALUE"""),"Vi lượng Quantity New")</f>
        <v>Vi lượng Quantity New</v>
      </c>
      <c r="F1046" s="87" t="str">
        <f>IFERROR(__xludf.DUMMYFUNCTION("""COMPUTED_VALUE"""),"HH0577")</f>
        <v>HH0577</v>
      </c>
      <c r="G1046" s="87" t="str">
        <f>IFERROR(__xludf.DUMMYFUNCTION("""COMPUTED_VALUE"""),"GC - II - 577 - A Thời GNH - Flower + (Chai HD) - 1L - 20")</f>
        <v>GC - II - 577 - A Thời GNH - Flower + (Chai HD) - 1L - 20</v>
      </c>
    </row>
    <row r="1047">
      <c r="A1047" s="86">
        <f>IFERROR(__xludf.DUMMYFUNCTION("""COMPUTED_VALUE"""),1045.0)</f>
        <v>1045</v>
      </c>
      <c r="B1047" s="87" t="str">
        <f>IFERROR(__xludf.DUMMYFUNCTION("""COMPUTED_VALUE"""),"Nhãn")</f>
        <v>Nhãn</v>
      </c>
      <c r="C1047" s="87" t="str">
        <f>IFERROR(__xludf.DUMMYFUNCTION("""COMPUTED_VALUE"""),"NHG0578")</f>
        <v>NHG0578</v>
      </c>
      <c r="D1047" s="87" t="str">
        <f>IFERROR(__xludf.DUMMYFUNCTION("""COMPUTED_VALUE"""),"[Nhãn] GC - II - 578 - A Thời GNH - Kamax (Chai HD) - 100ml - 100")</f>
        <v>[Nhãn] GC - II - 578 - A Thời GNH - Kamax (Chai HD) - 100ml - 100</v>
      </c>
      <c r="E1047" s="87" t="str">
        <f>IFERROR(__xludf.DUMMYFUNCTION("""COMPUTED_VALUE"""),"Vi lượng Quantity New")</f>
        <v>Vi lượng Quantity New</v>
      </c>
      <c r="F1047" s="87" t="str">
        <f>IFERROR(__xludf.DUMMYFUNCTION("""COMPUTED_VALUE"""),"HH0578")</f>
        <v>HH0578</v>
      </c>
      <c r="G1047" s="87" t="str">
        <f>IFERROR(__xludf.DUMMYFUNCTION("""COMPUTED_VALUE"""),"GC - II - 578 - A Thời GNH - Kamax (Chai HD) - 100ml - 100")</f>
        <v>GC - II - 578 - A Thời GNH - Kamax (Chai HD) - 100ml - 100</v>
      </c>
    </row>
    <row r="1048">
      <c r="A1048" s="86">
        <f>IFERROR(__xludf.DUMMYFUNCTION("""COMPUTED_VALUE"""),1046.0)</f>
        <v>1046</v>
      </c>
      <c r="B1048" s="87" t="str">
        <f>IFERROR(__xludf.DUMMYFUNCTION("""COMPUTED_VALUE"""),"Nhãn")</f>
        <v>Nhãn</v>
      </c>
      <c r="C1048" s="87" t="str">
        <f>IFERROR(__xludf.DUMMYFUNCTION("""COMPUTED_VALUE"""),"NHG0579")</f>
        <v>NHG0579</v>
      </c>
      <c r="D1048" s="87" t="str">
        <f>IFERROR(__xludf.DUMMYFUNCTION("""COMPUTED_VALUE"""),"[Nhãn] GC - II - 579 - A Thời GNH - Kitotra (Chai HD) - 500ml - 40")</f>
        <v>[Nhãn] GC - II - 579 - A Thời GNH - Kitotra (Chai HD) - 500ml - 40</v>
      </c>
      <c r="E1048" s="87" t="str">
        <f>IFERROR(__xludf.DUMMYFUNCTION("""COMPUTED_VALUE"""),"Vi lượng Quantity New")</f>
        <v>Vi lượng Quantity New</v>
      </c>
      <c r="F1048" s="87" t="str">
        <f>IFERROR(__xludf.DUMMYFUNCTION("""COMPUTED_VALUE"""),"HH0579")</f>
        <v>HH0579</v>
      </c>
      <c r="G1048" s="87" t="str">
        <f>IFERROR(__xludf.DUMMYFUNCTION("""COMPUTED_VALUE"""),"GC - II - 579 - A Thời GNH - Kitotra (Chai HD) - 500ml - 40")</f>
        <v>GC - II - 579 - A Thời GNH - Kitotra (Chai HD) - 500ml - 40</v>
      </c>
    </row>
    <row r="1049">
      <c r="A1049" s="86">
        <f>IFERROR(__xludf.DUMMYFUNCTION("""COMPUTED_VALUE"""),1047.0)</f>
        <v>1047</v>
      </c>
      <c r="B1049" s="87" t="str">
        <f>IFERROR(__xludf.DUMMYFUNCTION("""COMPUTED_VALUE"""),"Nhãn")</f>
        <v>Nhãn</v>
      </c>
      <c r="C1049" s="87" t="str">
        <f>IFERROR(__xludf.DUMMYFUNCTION("""COMPUTED_VALUE"""),"NHG0580")</f>
        <v>NHG0580</v>
      </c>
      <c r="D1049" s="87" t="str">
        <f>IFERROR(__xludf.DUMMYFUNCTION("""COMPUTED_VALUE"""),"[Nhãn] GC - II - 580 - A Thời GNH - Ra rễ nở bụi (Chai HD) - 500ml - 40")</f>
        <v>[Nhãn] GC - II - 580 - A Thời GNH - Ra rễ nở bụi (Chai HD) - 500ml - 40</v>
      </c>
      <c r="E1049" s="87" t="str">
        <f>IFERROR(__xludf.DUMMYFUNCTION("""COMPUTED_VALUE"""),"Vi lượng Quantity New")</f>
        <v>Vi lượng Quantity New</v>
      </c>
      <c r="F1049" s="87" t="str">
        <f>IFERROR(__xludf.DUMMYFUNCTION("""COMPUTED_VALUE"""),"HH0580")</f>
        <v>HH0580</v>
      </c>
      <c r="G1049" s="87" t="str">
        <f>IFERROR(__xludf.DUMMYFUNCTION("""COMPUTED_VALUE"""),"GC - II - 580 - A Thời GNH - Ra rễ nở bụi (Chai HD) - 500ml - 40")</f>
        <v>GC - II - 580 - A Thời GNH - Ra rễ nở bụi (Chai HD) - 500ml - 40</v>
      </c>
    </row>
    <row r="1050">
      <c r="A1050" s="86">
        <f>IFERROR(__xludf.DUMMYFUNCTION("""COMPUTED_VALUE"""),1048.0)</f>
        <v>1048</v>
      </c>
      <c r="B1050" s="87" t="str">
        <f>IFERROR(__xludf.DUMMYFUNCTION("""COMPUTED_VALUE"""),"Nhãn")</f>
        <v>Nhãn</v>
      </c>
      <c r="C1050" s="87" t="str">
        <f>IFERROR(__xludf.DUMMYFUNCTION("""COMPUTED_VALUE"""),"NHG0581")</f>
        <v>NHG0581</v>
      </c>
      <c r="D1050" s="87" t="str">
        <f>IFERROR(__xludf.DUMMYFUNCTION("""COMPUTED_VALUE"""),"[Nhãn] GC - II - 581 - A Thời GNH - Bung Chồi Vọt Đọt (Cây có múi) (Chai HD) - 500ml - 40")</f>
        <v>[Nhãn] GC - II - 581 - A Thời GNH - Bung Chồi Vọt Đọt (Cây có múi) (Chai HD) - 500ml - 40</v>
      </c>
      <c r="E1050" s="87" t="str">
        <f>IFERROR(__xludf.DUMMYFUNCTION("""COMPUTED_VALUE"""),"Vi lượng Quantity New")</f>
        <v>Vi lượng Quantity New</v>
      </c>
      <c r="F1050" s="87" t="str">
        <f>IFERROR(__xludf.DUMMYFUNCTION("""COMPUTED_VALUE"""),"HH0581")</f>
        <v>HH0581</v>
      </c>
      <c r="G1050" s="87" t="str">
        <f>IFERROR(__xludf.DUMMYFUNCTION("""COMPUTED_VALUE"""),"GC - II - 581 - A Thời GNH - Bung Chồi Vọt Đọt (Cây có múi) (Chai HD) - 500ml - 40")</f>
        <v>GC - II - 581 - A Thời GNH - Bung Chồi Vọt Đọt (Cây có múi) (Chai HD) - 500ml - 40</v>
      </c>
    </row>
    <row r="1051">
      <c r="A1051" s="86">
        <f>IFERROR(__xludf.DUMMYFUNCTION("""COMPUTED_VALUE"""),1049.0)</f>
        <v>1049</v>
      </c>
      <c r="B1051" s="87" t="str">
        <f>IFERROR(__xludf.DUMMYFUNCTION("""COMPUTED_VALUE"""),"Nhãn thùng")</f>
        <v>Nhãn thùng</v>
      </c>
      <c r="C1051" s="87" t="str">
        <f>IFERROR(__xludf.DUMMYFUNCTION("""COMPUTED_VALUE"""),"NDT0581")</f>
        <v>NDT0581</v>
      </c>
      <c r="D1051" s="87" t="str">
        <f>IFERROR(__xludf.DUMMYFUNCTION("""COMPUTED_VALUE"""),"[Nhãn thùng] GC - II - 581 - A Thời GNH - Bung Chồi Vọt Đọt (Cây có múi) (Chai HD) - 500ml - 40")</f>
        <v>[Nhãn thùng] GC - II - 581 - A Thời GNH - Bung Chồi Vọt Đọt (Cây có múi) (Chai HD) - 500ml - 40</v>
      </c>
      <c r="E1051" s="87" t="str">
        <f>IFERROR(__xludf.DUMMYFUNCTION("""COMPUTED_VALUE"""),"Vi lượng Quantity New")</f>
        <v>Vi lượng Quantity New</v>
      </c>
      <c r="F1051" s="87" t="str">
        <f>IFERROR(__xludf.DUMMYFUNCTION("""COMPUTED_VALUE"""),"HH0581")</f>
        <v>HH0581</v>
      </c>
      <c r="G1051" s="87" t="str">
        <f>IFERROR(__xludf.DUMMYFUNCTION("""COMPUTED_VALUE"""),"GC - II - 581 - A Thời GNH - Bung Chồi Vọt Đọt (Cây có múi) (Chai HD) - 500ml - 40")</f>
        <v>GC - II - 581 - A Thời GNH - Bung Chồi Vọt Đọt (Cây có múi) (Chai HD) - 500ml - 40</v>
      </c>
    </row>
    <row r="1052">
      <c r="A1052" s="86">
        <f>IFERROR(__xludf.DUMMYFUNCTION("""COMPUTED_VALUE"""),1050.0)</f>
        <v>1050</v>
      </c>
      <c r="B1052" s="87" t="str">
        <f>IFERROR(__xludf.DUMMYFUNCTION("""COMPUTED_VALUE"""),"Nhãn")</f>
        <v>Nhãn</v>
      </c>
      <c r="C1052" s="87" t="str">
        <f>IFERROR(__xludf.DUMMYFUNCTION("""COMPUTED_VALUE"""),"NHG0582")</f>
        <v>NHG0582</v>
      </c>
      <c r="D1052" s="87" t="str">
        <f>IFERROR(__xludf.DUMMYFUNCTION("""COMPUTED_VALUE"""),"[Nhãn] GC - II - 582 - A Thời GNH - Siêu Bung Đọt (Chuyên Mai) (Chai HD) - 500ml - 40 ([btp],n,c)")</f>
        <v>[Nhãn] GC - II - 582 - A Thời GNH - Siêu Bung Đọt (Chuyên Mai) (Chai HD) - 500ml - 40 ([btp],n,c)</v>
      </c>
      <c r="E1052" s="87" t="str">
        <f>IFERROR(__xludf.DUMMYFUNCTION("""COMPUTED_VALUE"""),"Vi lượng Quantity New")</f>
        <v>Vi lượng Quantity New</v>
      </c>
      <c r="F1052" s="87" t="str">
        <f>IFERROR(__xludf.DUMMYFUNCTION("""COMPUTED_VALUE"""),"HH0582")</f>
        <v>HH0582</v>
      </c>
      <c r="G1052" s="87" t="str">
        <f>IFERROR(__xludf.DUMMYFUNCTION("""COMPUTED_VALUE"""),"GC - II - 582 - A Thời GNH - Siêu Bung Đọt (Chuyên Mai) (Chai HD) - 500ml - 40 ([btp],n,c)")</f>
        <v>GC - II - 582 - A Thời GNH - Siêu Bung Đọt (Chuyên Mai) (Chai HD) - 500ml - 40 ([btp],n,c)</v>
      </c>
    </row>
    <row r="1053">
      <c r="A1053" s="86">
        <f>IFERROR(__xludf.DUMMYFUNCTION("""COMPUTED_VALUE"""),1051.0)</f>
        <v>1051</v>
      </c>
      <c r="B1053" s="87" t="str">
        <f>IFERROR(__xludf.DUMMYFUNCTION("""COMPUTED_VALUE"""),"Nhãn")</f>
        <v>Nhãn</v>
      </c>
      <c r="C1053" s="87" t="str">
        <f>IFERROR(__xludf.DUMMYFUNCTION("""COMPUTED_VALUE"""),"NHG0583")</f>
        <v>NHG0583</v>
      </c>
      <c r="D1053" s="87" t="str">
        <f>IFERROR(__xludf.DUMMYFUNCTION("""COMPUTED_VALUE"""),"[Nhãn] GC - II - 583 - A Thời GNH - Siêu ra hoa (Chai HD) - 500ml - 40")</f>
        <v>[Nhãn] GC - II - 583 - A Thời GNH - Siêu ra hoa (Chai HD) - 500ml - 40</v>
      </c>
      <c r="E1053" s="87" t="str">
        <f>IFERROR(__xludf.DUMMYFUNCTION("""COMPUTED_VALUE"""),"Vi lượng Quantity New")</f>
        <v>Vi lượng Quantity New</v>
      </c>
      <c r="F1053" s="87" t="str">
        <f>IFERROR(__xludf.DUMMYFUNCTION("""COMPUTED_VALUE"""),"HH0583")</f>
        <v>HH0583</v>
      </c>
      <c r="G1053" s="87" t="str">
        <f>IFERROR(__xludf.DUMMYFUNCTION("""COMPUTED_VALUE"""),"GC - II - 583 - A Thời GNH - Siêu ra hoa (Chai HD) - 500ml - 40")</f>
        <v>GC - II - 583 - A Thời GNH - Siêu ra hoa (Chai HD) - 500ml - 40</v>
      </c>
    </row>
    <row r="1054">
      <c r="A1054" s="86">
        <f>IFERROR(__xludf.DUMMYFUNCTION("""COMPUTED_VALUE"""),1052.0)</f>
        <v>1052</v>
      </c>
      <c r="B1054" s="87" t="str">
        <f>IFERROR(__xludf.DUMMYFUNCTION("""COMPUTED_VALUE"""),"Nhãn thùng")</f>
        <v>Nhãn thùng</v>
      </c>
      <c r="C1054" s="87" t="str">
        <f>IFERROR(__xludf.DUMMYFUNCTION("""COMPUTED_VALUE"""),"NDT0583")</f>
        <v>NDT0583</v>
      </c>
      <c r="D1054" s="87" t="str">
        <f>IFERROR(__xludf.DUMMYFUNCTION("""COMPUTED_VALUE"""),"[Nhãn thùng] GC - II - 583 - A Thời GNH - Siêu ra hoa (Chai HD) - 500ml - 40")</f>
        <v>[Nhãn thùng] GC - II - 583 - A Thời GNH - Siêu ra hoa (Chai HD) - 500ml - 40</v>
      </c>
      <c r="E1054" s="87" t="str">
        <f>IFERROR(__xludf.DUMMYFUNCTION("""COMPUTED_VALUE"""),"Vi lượng Quantity New")</f>
        <v>Vi lượng Quantity New</v>
      </c>
      <c r="F1054" s="87" t="str">
        <f>IFERROR(__xludf.DUMMYFUNCTION("""COMPUTED_VALUE"""),"HH0583")</f>
        <v>HH0583</v>
      </c>
      <c r="G1054" s="87" t="str">
        <f>IFERROR(__xludf.DUMMYFUNCTION("""COMPUTED_VALUE"""),"GC - II - 583 - A Thời GNH - Siêu ra hoa (Chai HD) - 500ml - 40")</f>
        <v>GC - II - 583 - A Thời GNH - Siêu ra hoa (Chai HD) - 500ml - 40</v>
      </c>
    </row>
    <row r="1055">
      <c r="A1055" s="86">
        <f>IFERROR(__xludf.DUMMYFUNCTION("""COMPUTED_VALUE"""),1053.0)</f>
        <v>1053</v>
      </c>
      <c r="B1055" s="87" t="str">
        <f>IFERROR(__xludf.DUMMYFUNCTION("""COMPUTED_VALUE"""),"Nhãn")</f>
        <v>Nhãn</v>
      </c>
      <c r="C1055" s="87" t="str">
        <f>IFERROR(__xludf.DUMMYFUNCTION("""COMPUTED_VALUE"""),"NHG0584")</f>
        <v>NHG0584</v>
      </c>
      <c r="D1055" s="87" t="str">
        <f>IFERROR(__xludf.DUMMYFUNCTION("""COMPUTED_VALUE"""),"[Nhãn] GC - II - 584 - A Thời GNH - Siêu rau quả (Chai HD) - 500ml - 40")</f>
        <v>[Nhãn] GC - II - 584 - A Thời GNH - Siêu rau quả (Chai HD) - 500ml - 40</v>
      </c>
      <c r="E1055" s="87" t="str">
        <f>IFERROR(__xludf.DUMMYFUNCTION("""COMPUTED_VALUE"""),"Vi lượng Quantity New")</f>
        <v>Vi lượng Quantity New</v>
      </c>
      <c r="F1055" s="87" t="str">
        <f>IFERROR(__xludf.DUMMYFUNCTION("""COMPUTED_VALUE"""),"HH0584")</f>
        <v>HH0584</v>
      </c>
      <c r="G1055" s="87" t="str">
        <f>IFERROR(__xludf.DUMMYFUNCTION("""COMPUTED_VALUE"""),"GC - II - 584 - A Thời GNH - Siêu rau quả (Chai HD) - 500ml - 40")</f>
        <v>GC - II - 584 - A Thời GNH - Siêu rau quả (Chai HD) - 500ml - 40</v>
      </c>
    </row>
    <row r="1056">
      <c r="A1056" s="86" t="str">
        <f>IFERROR(__xludf.DUMMYFUNCTION("""COMPUTED_VALUE"""),"")</f>
        <v/>
      </c>
      <c r="B1056" s="87"/>
      <c r="C1056" s="87" t="str">
        <f>IFERROR(__xludf.DUMMYFUNCTION("""COMPUTED_VALUE"""),"Chai PET tròn 43 trắng
Nắp đỏ")</f>
        <v>Chai PET tròn 43 trắng
Nắp đỏ</v>
      </c>
      <c r="D1056" s="87" t="str">
        <f>IFERROR(__xludf.DUMMYFUNCTION("""COMPUTED_VALUE"""),"Nhãn giấy cán bóng")</f>
        <v>Nhãn giấy cán bóng</v>
      </c>
      <c r="E1056" s="87" t="str">
        <f>IFERROR(__xludf.DUMMYFUNCTION("""COMPUTED_VALUE"""),"dùng nhãn chính")</f>
        <v>dùng nhãn chính</v>
      </c>
      <c r="F1056" s="87" t="str">
        <f>IFERROR(__xludf.DUMMYFUNCTION("""COMPUTED_VALUE"""),"Thùng xanh lá IDA")</f>
        <v>Thùng xanh lá IDA</v>
      </c>
      <c r="G1056" s="87" t="str">
        <f>IFERROR(__xludf.DUMMYFUNCTION("""COMPUTED_VALUE"""),"KT DRC 62.5x38.5x20cm - 3.6 (D43 TRÒN)")</f>
        <v>KT DRC 62.5x38.5x20cm - 3.6 (D43 TRÒN)</v>
      </c>
    </row>
    <row r="1057">
      <c r="A1057" s="86">
        <f>IFERROR(__xludf.DUMMYFUNCTION("""COMPUTED_VALUE"""),1055.0)</f>
        <v>1055</v>
      </c>
      <c r="B1057" s="87" t="str">
        <f>IFERROR(__xludf.DUMMYFUNCTION("""COMPUTED_VALUE"""),"Nhãn thùng")</f>
        <v>Nhãn thùng</v>
      </c>
      <c r="C1057" s="87" t="str">
        <f>IFERROR(__xludf.DUMMYFUNCTION("""COMPUTED_VALUE"""),"NDT0584")</f>
        <v>NDT0584</v>
      </c>
      <c r="D1057" s="87" t="str">
        <f>IFERROR(__xludf.DUMMYFUNCTION("""COMPUTED_VALUE"""),"[Nhãn thùng] GC - II - 584 - A Thời GNH - Siêu rau quả (Chai HD) - 500ml - 40")</f>
        <v>[Nhãn thùng] GC - II - 584 - A Thời GNH - Siêu rau quả (Chai HD) - 500ml - 40</v>
      </c>
      <c r="E1057" s="87" t="str">
        <f>IFERROR(__xludf.DUMMYFUNCTION("""COMPUTED_VALUE"""),"Vi lượng Quantity New")</f>
        <v>Vi lượng Quantity New</v>
      </c>
      <c r="F1057" s="87" t="str">
        <f>IFERROR(__xludf.DUMMYFUNCTION("""COMPUTED_VALUE"""),"HH0584")</f>
        <v>HH0584</v>
      </c>
      <c r="G1057" s="87" t="str">
        <f>IFERROR(__xludf.DUMMYFUNCTION("""COMPUTED_VALUE"""),"GC - II - 584 - A Thời GNH - Siêu rau quả (Chai HD) - 500ml - 40")</f>
        <v>GC - II - 584 - A Thời GNH - Siêu rau quả (Chai HD) - 500ml - 40</v>
      </c>
    </row>
    <row r="1058">
      <c r="A1058" s="86">
        <f>IFERROR(__xludf.DUMMYFUNCTION("""COMPUTED_VALUE"""),1056.0)</f>
        <v>1056</v>
      </c>
      <c r="B1058" s="87" t="str">
        <f>IFERROR(__xludf.DUMMYFUNCTION("""COMPUTED_VALUE"""),"Nhãn")</f>
        <v>Nhãn</v>
      </c>
      <c r="C1058" s="87" t="str">
        <f>IFERROR(__xludf.DUMMYFUNCTION("""COMPUTED_VALUE"""),"NHG0585")</f>
        <v>NHG0585</v>
      </c>
      <c r="D1058" s="87" t="str">
        <f>IFERROR(__xludf.DUMMYFUNCTION("""COMPUTED_VALUE"""),"[Nhãn] GC - II - 585 - A Thời GNH - Siêu tăng trưởng (Chai HD) - 1L - 20")</f>
        <v>[Nhãn] GC - II - 585 - A Thời GNH - Siêu tăng trưởng (Chai HD) - 1L - 20</v>
      </c>
      <c r="E1058" s="87" t="str">
        <f>IFERROR(__xludf.DUMMYFUNCTION("""COMPUTED_VALUE"""),"Vi lượng Quantity New")</f>
        <v>Vi lượng Quantity New</v>
      </c>
      <c r="F1058" s="87" t="str">
        <f>IFERROR(__xludf.DUMMYFUNCTION("""COMPUTED_VALUE"""),"HH0585")</f>
        <v>HH0585</v>
      </c>
      <c r="G1058" s="87" t="str">
        <f>IFERROR(__xludf.DUMMYFUNCTION("""COMPUTED_VALUE"""),"GC - II - 585 - A Thời GNH - Siêu tăng trưởng (Chai HD) - 1L - 20")</f>
        <v>GC - II - 585 - A Thời GNH - Siêu tăng trưởng (Chai HD) - 1L - 20</v>
      </c>
    </row>
    <row r="1059">
      <c r="A1059" s="86">
        <f>IFERROR(__xludf.DUMMYFUNCTION("""COMPUTED_VALUE"""),1057.0)</f>
        <v>1057</v>
      </c>
      <c r="B1059" s="87" t="str">
        <f>IFERROR(__xludf.DUMMYFUNCTION("""COMPUTED_VALUE"""),"Nhãn thùng")</f>
        <v>Nhãn thùng</v>
      </c>
      <c r="C1059" s="87" t="str">
        <f>IFERROR(__xludf.DUMMYFUNCTION("""COMPUTED_VALUE"""),"NDT0585")</f>
        <v>NDT0585</v>
      </c>
      <c r="D1059" s="87" t="str">
        <f>IFERROR(__xludf.DUMMYFUNCTION("""COMPUTED_VALUE"""),"[Nhãn thùng] GC - II - 585 - A Thời GNH - Siêu tăng trưởng (Chai HD) - 1L - 20")</f>
        <v>[Nhãn thùng] GC - II - 585 - A Thời GNH - Siêu tăng trưởng (Chai HD) - 1L - 20</v>
      </c>
      <c r="E1059" s="87" t="str">
        <f>IFERROR(__xludf.DUMMYFUNCTION("""COMPUTED_VALUE"""),"Vi lượng Quantity New")</f>
        <v>Vi lượng Quantity New</v>
      </c>
      <c r="F1059" s="87" t="str">
        <f>IFERROR(__xludf.DUMMYFUNCTION("""COMPUTED_VALUE"""),"HH0585")</f>
        <v>HH0585</v>
      </c>
      <c r="G1059" s="87" t="str">
        <f>IFERROR(__xludf.DUMMYFUNCTION("""COMPUTED_VALUE"""),"GC - II - 585 - A Thời GNH - Siêu tăng trưởng (Chai HD) - 1L - 20")</f>
        <v>GC - II - 585 - A Thời GNH - Siêu tăng trưởng (Chai HD) - 1L - 20</v>
      </c>
    </row>
    <row r="1060">
      <c r="A1060" s="86">
        <f>IFERROR(__xludf.DUMMYFUNCTION("""COMPUTED_VALUE"""),1058.0)</f>
        <v>1058</v>
      </c>
      <c r="B1060" s="87" t="str">
        <f>IFERROR(__xludf.DUMMYFUNCTION("""COMPUTED_VALUE"""),"Nhãn")</f>
        <v>Nhãn</v>
      </c>
      <c r="C1060" s="87" t="str">
        <f>IFERROR(__xludf.DUMMYFUNCTION("""COMPUTED_VALUE"""),"NHG0587")</f>
        <v>NHG0587</v>
      </c>
      <c r="D1060" s="87" t="str">
        <f>IFERROR(__xludf.DUMMYFUNCTION("""COMPUTED_VALUE"""),"[Nhãn] GC - II - 587 - A Thời GNH - Siêu Vô gạo (Chai HD) - 500 ml - 40")</f>
        <v>[Nhãn] GC - II - 587 - A Thời GNH - Siêu Vô gạo (Chai HD) - 500 ml - 40</v>
      </c>
      <c r="E1060" s="87" t="str">
        <f>IFERROR(__xludf.DUMMYFUNCTION("""COMPUTED_VALUE"""),"Vi lượng Quantity New")</f>
        <v>Vi lượng Quantity New</v>
      </c>
      <c r="F1060" s="87" t="str">
        <f>IFERROR(__xludf.DUMMYFUNCTION("""COMPUTED_VALUE"""),"HH0587")</f>
        <v>HH0587</v>
      </c>
      <c r="G1060" s="87" t="str">
        <f>IFERROR(__xludf.DUMMYFUNCTION("""COMPUTED_VALUE"""),"GC - II - 587 - A Thời GNH - Siêu Vô gạo (Chai HD) - 500 ml - 40")</f>
        <v>GC - II - 587 - A Thời GNH - Siêu Vô gạo (Chai HD) - 500 ml - 40</v>
      </c>
    </row>
    <row r="1061">
      <c r="A1061" s="86">
        <f>IFERROR(__xludf.DUMMYFUNCTION("""COMPUTED_VALUE"""),1059.0)</f>
        <v>1059</v>
      </c>
      <c r="B1061" s="87" t="str">
        <f>IFERROR(__xludf.DUMMYFUNCTION("""COMPUTED_VALUE"""),"Nhãn")</f>
        <v>Nhãn</v>
      </c>
      <c r="C1061" s="87" t="str">
        <f>IFERROR(__xludf.DUMMYFUNCTION("""COMPUTED_VALUE"""),"NHG0588")</f>
        <v>NHG0588</v>
      </c>
      <c r="D1061" s="87" t="str">
        <f>IFERROR(__xludf.DUMMYFUNCTION("""COMPUTED_VALUE"""),"[Nhãn] GC - II - 588 - A Thời GNH - Siêu mạnh cá hồi (Chai HD) - 1L - 20")</f>
        <v>[Nhãn] GC - II - 588 - A Thời GNH - Siêu mạnh cá hồi (Chai HD) - 1L - 20</v>
      </c>
      <c r="E1061" s="87" t="str">
        <f>IFERROR(__xludf.DUMMYFUNCTION("""COMPUTED_VALUE"""),"Vi lượng Quantity New")</f>
        <v>Vi lượng Quantity New</v>
      </c>
      <c r="F1061" s="87" t="str">
        <f>IFERROR(__xludf.DUMMYFUNCTION("""COMPUTED_VALUE"""),"HH0588")</f>
        <v>HH0588</v>
      </c>
      <c r="G1061" s="87" t="str">
        <f>IFERROR(__xludf.DUMMYFUNCTION("""COMPUTED_VALUE"""),"GC - II - 588 - A Thời GNH - Siêu mạnh cá hồi (Chai HD) - 1L - 20")</f>
        <v>GC - II - 588 - A Thời GNH - Siêu mạnh cá hồi (Chai HD) - 1L - 20</v>
      </c>
    </row>
    <row r="1062">
      <c r="A1062" s="86">
        <f>IFERROR(__xludf.DUMMYFUNCTION("""COMPUTED_VALUE"""),1060.0)</f>
        <v>1060</v>
      </c>
      <c r="B1062" s="87" t="str">
        <f>IFERROR(__xludf.DUMMYFUNCTION("""COMPUTED_VALUE"""),"Nhãn thùng")</f>
        <v>Nhãn thùng</v>
      </c>
      <c r="C1062" s="87" t="str">
        <f>IFERROR(__xludf.DUMMYFUNCTION("""COMPUTED_VALUE"""),"NDT0588")</f>
        <v>NDT0588</v>
      </c>
      <c r="D1062" s="87" t="str">
        <f>IFERROR(__xludf.DUMMYFUNCTION("""COMPUTED_VALUE"""),"[Nhãn thùng] GC - II - 588 - A Thời GNH - Siêu mạnh cá hồi (Chai HD) - 1L - 20")</f>
        <v>[Nhãn thùng] GC - II - 588 - A Thời GNH - Siêu mạnh cá hồi (Chai HD) - 1L - 20</v>
      </c>
      <c r="E1062" s="87" t="str">
        <f>IFERROR(__xludf.DUMMYFUNCTION("""COMPUTED_VALUE"""),"Vi lượng Quantity New")</f>
        <v>Vi lượng Quantity New</v>
      </c>
      <c r="F1062" s="87" t="str">
        <f>IFERROR(__xludf.DUMMYFUNCTION("""COMPUTED_VALUE"""),"HH0588")</f>
        <v>HH0588</v>
      </c>
      <c r="G1062" s="87" t="str">
        <f>IFERROR(__xludf.DUMMYFUNCTION("""COMPUTED_VALUE"""),"GC - II - 588 - A Thời GNH - Siêu mạnh cá hồi (Chai HD) - 1L - 20")</f>
        <v>GC - II - 588 - A Thời GNH - Siêu mạnh cá hồi (Chai HD) - 1L - 20</v>
      </c>
    </row>
    <row r="1063">
      <c r="A1063" s="86">
        <f>IFERROR(__xludf.DUMMYFUNCTION("""COMPUTED_VALUE"""),1061.0)</f>
        <v>1061</v>
      </c>
      <c r="B1063" s="87" t="str">
        <f>IFERROR(__xludf.DUMMYFUNCTION("""COMPUTED_VALUE"""),"Nhãn")</f>
        <v>Nhãn</v>
      </c>
      <c r="C1063" s="87" t="str">
        <f>IFERROR(__xludf.DUMMYFUNCTION("""COMPUTED_VALUE"""),"NHG0589")</f>
        <v>NHG0589</v>
      </c>
      <c r="D1063" s="87" t="str">
        <f>IFERROR(__xludf.DUMMYFUNCTION("""COMPUTED_VALUE"""),"[Nhãn] GC - II - 589 - A Thời GNH - Super Fruit (Chai HD) - 500ml - 40")</f>
        <v>[Nhãn] GC - II - 589 - A Thời GNH - Super Fruit (Chai HD) - 500ml - 40</v>
      </c>
      <c r="E1063" s="87" t="str">
        <f>IFERROR(__xludf.DUMMYFUNCTION("""COMPUTED_VALUE"""),"Vi lượng Quantity New")</f>
        <v>Vi lượng Quantity New</v>
      </c>
      <c r="F1063" s="87" t="str">
        <f>IFERROR(__xludf.DUMMYFUNCTION("""COMPUTED_VALUE"""),"HH0589")</f>
        <v>HH0589</v>
      </c>
      <c r="G1063" s="87" t="str">
        <f>IFERROR(__xludf.DUMMYFUNCTION("""COMPUTED_VALUE"""),"GC - II - 589 - A Thời GNH - Super Fruit (Chai HD) - 500ml - 40")</f>
        <v>GC - II - 589 - A Thời GNH - Super Fruit (Chai HD) - 500ml - 40</v>
      </c>
    </row>
    <row r="1064">
      <c r="A1064" s="86">
        <f>IFERROR(__xludf.DUMMYFUNCTION("""COMPUTED_VALUE"""),1062.0)</f>
        <v>1062</v>
      </c>
      <c r="B1064" s="87" t="str">
        <f>IFERROR(__xludf.DUMMYFUNCTION("""COMPUTED_VALUE"""),"Nhãn")</f>
        <v>Nhãn</v>
      </c>
      <c r="C1064" s="87" t="str">
        <f>IFERROR(__xludf.DUMMYFUNCTION("""COMPUTED_VALUE"""),"NHG0590")</f>
        <v>NHG0590</v>
      </c>
      <c r="D1064" s="87" t="str">
        <f>IFERROR(__xludf.DUMMYFUNCTION("""COMPUTED_VALUE"""),"[Nhãn] GC - II - 590- A Thời GNH - Super Root (Chai HD) - 100ml - 100")</f>
        <v>[Nhãn] GC - II - 590- A Thời GNH - Super Root (Chai HD) - 100ml - 100</v>
      </c>
      <c r="E1064" s="87" t="str">
        <f>IFERROR(__xludf.DUMMYFUNCTION("""COMPUTED_VALUE"""),"Vi lượng Quantity New")</f>
        <v>Vi lượng Quantity New</v>
      </c>
      <c r="F1064" s="87" t="str">
        <f>IFERROR(__xludf.DUMMYFUNCTION("""COMPUTED_VALUE"""),"HH0590")</f>
        <v>HH0590</v>
      </c>
      <c r="G1064" s="87" t="str">
        <f>IFERROR(__xludf.DUMMYFUNCTION("""COMPUTED_VALUE"""),"GC - II - 590- A Thời GNH - Super Root (Chai HD) - 100ml - 100")</f>
        <v>GC - II - 590- A Thời GNH - Super Root (Chai HD) - 100ml - 100</v>
      </c>
    </row>
    <row r="1065">
      <c r="A1065" s="86">
        <f>IFERROR(__xludf.DUMMYFUNCTION("""COMPUTED_VALUE"""),1063.0)</f>
        <v>1063</v>
      </c>
      <c r="B1065" s="87" t="str">
        <f>IFERROR(__xludf.DUMMYFUNCTION("""COMPUTED_VALUE"""),"Nhãn")</f>
        <v>Nhãn</v>
      </c>
      <c r="C1065" s="87" t="str">
        <f>IFERROR(__xludf.DUMMYFUNCTION("""COMPUTED_VALUE"""),"NHG0591")</f>
        <v>NHG0591</v>
      </c>
      <c r="D1065" s="87" t="str">
        <f>IFERROR(__xludf.DUMMYFUNCTION("""COMPUTED_VALUE"""),"[Nhãn] GC - II - 591 - A Thời GNH - Chuyên lác (Chai HD) - 1L - 20")</f>
        <v>[Nhãn] GC - II - 591 - A Thời GNH - Chuyên lác (Chai HD) - 1L - 20</v>
      </c>
      <c r="E1065" s="87" t="str">
        <f>IFERROR(__xludf.DUMMYFUNCTION("""COMPUTED_VALUE"""),"Vi lượng Quantity New")</f>
        <v>Vi lượng Quantity New</v>
      </c>
      <c r="F1065" s="87" t="str">
        <f>IFERROR(__xludf.DUMMYFUNCTION("""COMPUTED_VALUE"""),"HH0591")</f>
        <v>HH0591</v>
      </c>
      <c r="G1065" s="87" t="str">
        <f>IFERROR(__xludf.DUMMYFUNCTION("""COMPUTED_VALUE"""),"GC - II - 591 - A Thời GNH - Chuyên lác (Chai HD) - 1L - 20")</f>
        <v>GC - II - 591 - A Thời GNH - Chuyên lác (Chai HD) - 1L - 20</v>
      </c>
    </row>
    <row r="1066">
      <c r="A1066" s="86">
        <f>IFERROR(__xludf.DUMMYFUNCTION("""COMPUTED_VALUE"""),1064.0)</f>
        <v>1064</v>
      </c>
      <c r="B1066" s="87" t="str">
        <f>IFERROR(__xludf.DUMMYFUNCTION("""COMPUTED_VALUE"""),"Nhãn")</f>
        <v>Nhãn</v>
      </c>
      <c r="C1066" s="87" t="str">
        <f>IFERROR(__xludf.DUMMYFUNCTION("""COMPUTED_VALUE"""),"NTN0592")</f>
        <v>NTN0592</v>
      </c>
      <c r="D1066" s="87" t="str">
        <f>IFERROR(__xludf.DUMMYFUNCTION("""COMPUTED_VALUE"""),"[Nhãn] GC - I - 592 - Thiên Di - Thalonil 75WP (flexo) - 100gr - 100")</f>
        <v>[Nhãn] GC - I - 592 - Thiên Di - Thalonil 75WP (flexo) - 100gr - 100</v>
      </c>
      <c r="E1066" s="87" t="str">
        <f>IFERROR(__xludf.DUMMYFUNCTION("""COMPUTED_VALUE"""),"THALONIL 75WP")</f>
        <v>THALONIL 75WP</v>
      </c>
      <c r="F1066" s="87" t="str">
        <f>IFERROR(__xludf.DUMMYFUNCTION("""COMPUTED_VALUE"""),"HH0592")</f>
        <v>HH0592</v>
      </c>
      <c r="G1066" s="87" t="str">
        <f>IFERROR(__xludf.DUMMYFUNCTION("""COMPUTED_VALUE"""),"GC - I - 592 - Thiên Di - Thalonil 75WP (flexo) - 100gr - 100")</f>
        <v>GC - I - 592 - Thiên Di - Thalonil 75WP (flexo) - 100gr - 100</v>
      </c>
    </row>
    <row r="1067">
      <c r="A1067" s="86">
        <f>IFERROR(__xludf.DUMMYFUNCTION("""COMPUTED_VALUE"""),1065.0)</f>
        <v>1065</v>
      </c>
      <c r="B1067" s="87" t="str">
        <f>IFERROR(__xludf.DUMMYFUNCTION("""COMPUTED_VALUE"""),"Nhãn")</f>
        <v>Nhãn</v>
      </c>
      <c r="C1067" s="87" t="str">
        <f>IFERROR(__xludf.DUMMYFUNCTION("""COMPUTED_VALUE"""),"NHD0594")</f>
        <v>NHD0594</v>
      </c>
      <c r="D1067" s="87" t="str">
        <f>IFERROR(__xludf.DUMMYFUNCTION("""COMPUTED_VALUE"""),"[Nhãn] GC - II - K - 594 - MK Group - Cỏ Cháy Thế Hệ Mới (chai PET vuông) - 900ml- 20")</f>
        <v>[Nhãn] GC - II - K - 594 - MK Group - Cỏ Cháy Thế Hệ Mới (chai PET vuông) - 900ml- 20</v>
      </c>
      <c r="E1067" s="87" t="str">
        <f>IFERROR(__xludf.DUMMYFUNCTION("""COMPUTED_VALUE"""),"COCHAY 200SL")</f>
        <v>COCHAY 200SL</v>
      </c>
      <c r="F1067" s="87" t="str">
        <f>IFERROR(__xludf.DUMMYFUNCTION("""COMPUTED_VALUE"""),"HH0594")</f>
        <v>HH0594</v>
      </c>
      <c r="G1067" s="87" t="str">
        <f>IFERROR(__xludf.DUMMYFUNCTION("""COMPUTED_VALUE"""),"GC - II - K - 594 - MK Group - Cỏ Cháy Thế Hệ Mới (chai PET vuông) - 900ml- 20")</f>
        <v>GC - II - K - 594 - MK Group - Cỏ Cháy Thế Hệ Mới (chai PET vuông) - 900ml- 20</v>
      </c>
    </row>
    <row r="1068">
      <c r="A1068" s="86">
        <f>IFERROR(__xludf.DUMMYFUNCTION("""COMPUTED_VALUE"""),1066.0)</f>
        <v>1066</v>
      </c>
      <c r="B1068" s="87" t="str">
        <f>IFERROR(__xludf.DUMMYFUNCTION("""COMPUTED_VALUE"""),"Nhãn thùng")</f>
        <v>Nhãn thùng</v>
      </c>
      <c r="C1068" s="87" t="str">
        <f>IFERROR(__xludf.DUMMYFUNCTION("""COMPUTED_VALUE"""),"NDT0594")</f>
        <v>NDT0594</v>
      </c>
      <c r="D1068" s="87" t="str">
        <f>IFERROR(__xludf.DUMMYFUNCTION("""COMPUTED_VALUE"""),"[Nhãn thùng] GC - II - K - 594 - MK Group - Cỏ Cháy Thế Hệ Mới (chai PET vuông) - 900ml- 20")</f>
        <v>[Nhãn thùng] GC - II - K - 594 - MK Group - Cỏ Cháy Thế Hệ Mới (chai PET vuông) - 900ml- 20</v>
      </c>
      <c r="E1068" s="87" t="str">
        <f>IFERROR(__xludf.DUMMYFUNCTION("""COMPUTED_VALUE"""),"COCHAY 200SL")</f>
        <v>COCHAY 200SL</v>
      </c>
      <c r="F1068" s="87" t="str">
        <f>IFERROR(__xludf.DUMMYFUNCTION("""COMPUTED_VALUE"""),"HH0594")</f>
        <v>HH0594</v>
      </c>
      <c r="G1068" s="87" t="str">
        <f>IFERROR(__xludf.DUMMYFUNCTION("""COMPUTED_VALUE"""),"GC - II - K - 594 - MK Group - Cỏ Cháy Thế Hệ Mới (chai PET vuông) - 900ml- 20")</f>
        <v>GC - II - K - 594 - MK Group - Cỏ Cháy Thế Hệ Mới (chai PET vuông) - 900ml- 20</v>
      </c>
    </row>
    <row r="1069">
      <c r="A1069" s="86">
        <f>IFERROR(__xludf.DUMMYFUNCTION("""COMPUTED_VALUE"""),1067.0)</f>
        <v>1067</v>
      </c>
      <c r="B1069" s="87" t="str">
        <f>IFERROR(__xludf.DUMMYFUNCTION("""COMPUTED_VALUE"""),"Nhãn")</f>
        <v>Nhãn</v>
      </c>
      <c r="C1069" s="87" t="str">
        <f>IFERROR(__xludf.DUMMYFUNCTION("""COMPUTED_VALUE"""),"NHD0595")</f>
        <v>NHD0595</v>
      </c>
      <c r="D1069" s="87" t="str">
        <f>IFERROR(__xludf.DUMMYFUNCTION("""COMPUTED_VALUE"""),"[Nhãn] GC - II - MK Group - 595 - Cháy cỏ khai hoang (PET vuông) - 900ml - 20")</f>
        <v>[Nhãn] GC - II - MK Group - 595 - Cháy cỏ khai hoang (PET vuông) - 900ml - 20</v>
      </c>
      <c r="E1069" s="87" t="str">
        <f>IFERROR(__xludf.DUMMYFUNCTION("""COMPUTED_VALUE"""),"CHAYRUI 150SL")</f>
        <v>CHAYRUI 150SL</v>
      </c>
      <c r="F1069" s="87" t="str">
        <f>IFERROR(__xludf.DUMMYFUNCTION("""COMPUTED_VALUE"""),"HH0595")</f>
        <v>HH0595</v>
      </c>
      <c r="G1069" s="87" t="str">
        <f>IFERROR(__xludf.DUMMYFUNCTION("""COMPUTED_VALUE"""),"GC - II - MK Group - 595 - Cháy cỏ khai hoang (PET vuông) - 900ml - 20")</f>
        <v>GC - II - MK Group - 595 - Cháy cỏ khai hoang (PET vuông) - 900ml - 20</v>
      </c>
    </row>
    <row r="1070">
      <c r="A1070" s="86">
        <f>IFERROR(__xludf.DUMMYFUNCTION("""COMPUTED_VALUE"""),1068.0)</f>
        <v>1068</v>
      </c>
      <c r="B1070" s="87" t="str">
        <f>IFERROR(__xludf.DUMMYFUNCTION("""COMPUTED_VALUE"""),"Nhãn")</f>
        <v>Nhãn</v>
      </c>
      <c r="C1070" s="87" t="str">
        <f>IFERROR(__xludf.DUMMYFUNCTION("""COMPUTED_VALUE"""),"NHG0596")</f>
        <v>NHG0596</v>
      </c>
      <c r="D1070" s="87" t="str">
        <f>IFERROR(__xludf.DUMMYFUNCTION("""COMPUTED_VALUE"""),"[Nhãn] GC - II - 596 - MK Group - Remy 19EC (chai tròn) - 450ml - 40")</f>
        <v>[Nhãn] GC - II - 596 - MK Group - Remy 19EC (chai tròn) - 450ml - 40</v>
      </c>
      <c r="E1070" s="87" t="str">
        <f>IFERROR(__xludf.DUMMYFUNCTION("""COMPUTED_VALUE"""),"Remy 19EC")</f>
        <v>Remy 19EC</v>
      </c>
      <c r="F1070" s="87" t="str">
        <f>IFERROR(__xludf.DUMMYFUNCTION("""COMPUTED_VALUE"""),"HH0596")</f>
        <v>HH0596</v>
      </c>
      <c r="G1070" s="87" t="str">
        <f>IFERROR(__xludf.DUMMYFUNCTION("""COMPUTED_VALUE"""),"GC - II - 596 - MK Group - Remy 19EC (chai tròn) - 450ml - 40")</f>
        <v>GC - II - 596 - MK Group - Remy 19EC (chai tròn) - 450ml - 40</v>
      </c>
    </row>
    <row r="1071">
      <c r="A1071" s="86">
        <f>IFERROR(__xludf.DUMMYFUNCTION("""COMPUTED_VALUE"""),1069.0)</f>
        <v>1069</v>
      </c>
      <c r="B1071" s="87" t="str">
        <f>IFERROR(__xludf.DUMMYFUNCTION("""COMPUTED_VALUE"""),"Nhãn")</f>
        <v>Nhãn</v>
      </c>
      <c r="C1071" s="87" t="str">
        <f>IFERROR(__xludf.DUMMYFUNCTION("""COMPUTED_VALUE"""),"NHG0597")</f>
        <v>NHG0597</v>
      </c>
      <c r="D1071" s="87" t="str">
        <f>IFERROR(__xludf.DUMMYFUNCTION("""COMPUTED_VALUE"""),"[Nhãn] GC - II - 597 - MK Group - Amec 3.6EC (Pet tròn) (nước trong) (thân trắng, nắp trắng) - 450ml - 40")</f>
        <v>[Nhãn] GC - II - 597 - MK Group - Amec 3.6EC (Pet tròn) (nước trong) (thân trắng, nắp trắng) - 450ml - 40</v>
      </c>
      <c r="E1071" s="87" t="str">
        <f>IFERROR(__xludf.DUMMYFUNCTION("""COMPUTED_VALUE"""),"Tikabamec 3.6EC")</f>
        <v>Tikabamec 3.6EC</v>
      </c>
      <c r="F1071" s="87" t="str">
        <f>IFERROR(__xludf.DUMMYFUNCTION("""COMPUTED_VALUE"""),"HH0597")</f>
        <v>HH0597</v>
      </c>
      <c r="G1071" s="87" t="str">
        <f>IFERROR(__xludf.DUMMYFUNCTION("""COMPUTED_VALUE"""),"GC - II - 597 - MK Group - Amec 3.6EC (Pet tròn) (nước trong) (thân trắng, nắp trắng) - 450ml - 40")</f>
        <v>GC - II - 597 - MK Group - Amec 3.6EC (Pet tròn) (nước trong) (thân trắng, nắp trắng) - 450ml - 40</v>
      </c>
    </row>
    <row r="1072">
      <c r="A1072" s="86">
        <f>IFERROR(__xludf.DUMMYFUNCTION("""COMPUTED_VALUE"""),1070.0)</f>
        <v>1070</v>
      </c>
      <c r="B1072" s="87" t="str">
        <f>IFERROR(__xludf.DUMMYFUNCTION("""COMPUTED_VALUE"""),"Nhãn")</f>
        <v>Nhãn</v>
      </c>
      <c r="C1072" s="87" t="str">
        <f>IFERROR(__xludf.DUMMYFUNCTION("""COMPUTED_VALUE"""),"NHG0597.1")</f>
        <v>NHG0597.1</v>
      </c>
      <c r="D1072" s="87" t="str">
        <f>IFERROR(__xludf.DUMMYFUNCTION("""COMPUTED_VALUE"""),"[Nhãn] GC - II - 597.1 - MK Group - Amec 3.6EC (nước nâu)(Pet tròn) (thân trắng, nắp đỏ) - 450ml - 40")</f>
        <v>[Nhãn] GC - II - 597.1 - MK Group - Amec 3.6EC (nước nâu)(Pet tròn) (thân trắng, nắp đỏ) - 450ml - 40</v>
      </c>
      <c r="E1072" s="87" t="str">
        <f>IFERROR(__xludf.DUMMYFUNCTION("""COMPUTED_VALUE"""),"Tikabamec 3.6EC")</f>
        <v>Tikabamec 3.6EC</v>
      </c>
      <c r="F1072" s="87" t="str">
        <f>IFERROR(__xludf.DUMMYFUNCTION("""COMPUTED_VALUE"""),"HH97.1")</f>
        <v>HH97.1</v>
      </c>
      <c r="G1072" s="87" t="str">
        <f>IFERROR(__xludf.DUMMYFUNCTION("""COMPUTED_VALUE"""),"GC - II - 597.1 - MK Group - Amec 3.6EC (nước nâu)(Pet tròn) (thân trắng, nắp đỏ) - 450ml - 40")</f>
        <v>GC - II - 597.1 - MK Group - Amec 3.6EC (nước nâu)(Pet tròn) (thân trắng, nắp đỏ) - 450ml - 40</v>
      </c>
    </row>
    <row r="1073">
      <c r="A1073" s="86">
        <f>IFERROR(__xludf.DUMMYFUNCTION("""COMPUTED_VALUE"""),1071.0)</f>
        <v>1071</v>
      </c>
      <c r="B1073" s="87" t="str">
        <f>IFERROR(__xludf.DUMMYFUNCTION("""COMPUTED_VALUE"""),"Nhãn")</f>
        <v>Nhãn</v>
      </c>
      <c r="C1073" s="87" t="str">
        <f>IFERROR(__xludf.DUMMYFUNCTION("""COMPUTED_VALUE"""),"NHG0598")</f>
        <v>NHG0598</v>
      </c>
      <c r="D1073" s="87" t="str">
        <f>IFERROR(__xludf.DUMMYFUNCTION("""COMPUTED_VALUE"""),"[Nhãn] GC - II - 598 - MK Group - Siêu Trừ Bệnh (Pet tròn) - 1 lít - 20")</f>
        <v>[Nhãn] GC - II - 598 - MK Group - Siêu Trừ Bệnh (Pet tròn) - 1 lít - 20</v>
      </c>
      <c r="E1073" s="87" t="str">
        <f>IFERROR(__xludf.DUMMYFUNCTION("""COMPUTED_VALUE"""),"Mekongvil 5SC")</f>
        <v>Mekongvil 5SC</v>
      </c>
      <c r="F1073" s="87" t="str">
        <f>IFERROR(__xludf.DUMMYFUNCTION("""COMPUTED_VALUE"""),"HH0598")</f>
        <v>HH0598</v>
      </c>
      <c r="G1073" s="87" t="str">
        <f>IFERROR(__xludf.DUMMYFUNCTION("""COMPUTED_VALUE"""),"GC - II - 598 - MK Group - Siêu Trừ Bệnh (Pet tròn) - 1 lít - 20")</f>
        <v>GC - II - 598 - MK Group - Siêu Trừ Bệnh (Pet tròn) - 1 lít - 20</v>
      </c>
    </row>
    <row r="1074">
      <c r="A1074" s="86">
        <f>IFERROR(__xludf.DUMMYFUNCTION("""COMPUTED_VALUE"""),1072.0)</f>
        <v>1072</v>
      </c>
      <c r="B1074" s="87" t="str">
        <f>IFERROR(__xludf.DUMMYFUNCTION("""COMPUTED_VALUE"""),"Nhãn")</f>
        <v>Nhãn</v>
      </c>
      <c r="C1074" s="87" t="str">
        <f>IFERROR(__xludf.DUMMYFUNCTION("""COMPUTED_VALUE"""),"NTN0599")</f>
        <v>NTN0599</v>
      </c>
      <c r="D1074" s="87" t="str">
        <f>IFERROR(__xludf.DUMMYFUNCTION("""COMPUTED_VALUE"""),"[Nhãn] GC - II - 599 - MK Group - Mancozeb xanh - 1kg - 20")</f>
        <v>[Nhãn] GC - II - 599 - MK Group - Mancozeb xanh - 1kg - 20</v>
      </c>
      <c r="E1074" s="87" t="str">
        <f>IFERROR(__xludf.DUMMYFUNCTION("""COMPUTED_VALUE"""),"TVZEB 800WP")</f>
        <v>TVZEB 800WP</v>
      </c>
      <c r="F1074" s="87" t="str">
        <f>IFERROR(__xludf.DUMMYFUNCTION("""COMPUTED_VALUE"""),"HH0599")</f>
        <v>HH0599</v>
      </c>
      <c r="G1074" s="87" t="str">
        <f>IFERROR(__xludf.DUMMYFUNCTION("""COMPUTED_VALUE"""),"GC - II - 599 - MK Group - Mancozeb xanh - 1kg - 20")</f>
        <v>GC - II - 599 - MK Group - Mancozeb xanh - 1kg - 20</v>
      </c>
    </row>
    <row r="1075">
      <c r="A1075" s="86">
        <f>IFERROR(__xludf.DUMMYFUNCTION("""COMPUTED_VALUE"""),1073.0)</f>
        <v>1073</v>
      </c>
      <c r="B1075" s="87" t="str">
        <f>IFERROR(__xludf.DUMMYFUNCTION("""COMPUTED_VALUE"""),"Nhãn thùng")</f>
        <v>Nhãn thùng</v>
      </c>
      <c r="C1075" s="87" t="str">
        <f>IFERROR(__xludf.DUMMYFUNCTION("""COMPUTED_VALUE"""),"NDT0599")</f>
        <v>NDT0599</v>
      </c>
      <c r="D1075" s="87" t="str">
        <f>IFERROR(__xludf.DUMMYFUNCTION("""COMPUTED_VALUE"""),"[Nhãn thùng] GC - II - 599 - MK Group - Mancozeb xanh - 1kg - 20")</f>
        <v>[Nhãn thùng] GC - II - 599 - MK Group - Mancozeb xanh - 1kg - 20</v>
      </c>
      <c r="E1075" s="87" t="str">
        <f>IFERROR(__xludf.DUMMYFUNCTION("""COMPUTED_VALUE"""),"TVZEB 800WP")</f>
        <v>TVZEB 800WP</v>
      </c>
      <c r="F1075" s="87" t="str">
        <f>IFERROR(__xludf.DUMMYFUNCTION("""COMPUTED_VALUE"""),"HH0599")</f>
        <v>HH0599</v>
      </c>
      <c r="G1075" s="87" t="str">
        <f>IFERROR(__xludf.DUMMYFUNCTION("""COMPUTED_VALUE"""),"GC - II - 599 - MK Group - Mancozeb xanh - 1kg - 20")</f>
        <v>GC - II - 599 - MK Group - Mancozeb xanh - 1kg - 20</v>
      </c>
    </row>
    <row r="1076">
      <c r="A1076" s="86">
        <f>IFERROR(__xludf.DUMMYFUNCTION("""COMPUTED_VALUE"""),1074.0)</f>
        <v>1074</v>
      </c>
      <c r="B1076" s="87" t="str">
        <f>IFERROR(__xludf.DUMMYFUNCTION("""COMPUTED_VALUE"""),"Nhãn")</f>
        <v>Nhãn</v>
      </c>
      <c r="C1076" s="87" t="str">
        <f>IFERROR(__xludf.DUMMYFUNCTION("""COMPUTED_VALUE"""),"NHG0600")</f>
        <v>NHG0600</v>
      </c>
      <c r="D1076" s="87" t="str">
        <f>IFERROR(__xludf.DUMMYFUNCTION("""COMPUTED_VALUE"""),"[Nhãn] GC - II - 600 - MK Group - Rồng Lửa (Pet tròn) - 100ml - 100")</f>
        <v>[Nhãn] GC - II - 600 - MK Group - Rồng Lửa (Pet tròn) - 100ml - 100</v>
      </c>
      <c r="E1076" s="87" t="str">
        <f>IFERROR(__xludf.DUMMYFUNCTION("""COMPUTED_VALUE"""),"DRAGONTIN 370SC")</f>
        <v>DRAGONTIN 370SC</v>
      </c>
      <c r="F1076" s="87" t="str">
        <f>IFERROR(__xludf.DUMMYFUNCTION("""COMPUTED_VALUE"""),"HH0600")</f>
        <v>HH0600</v>
      </c>
      <c r="G1076" s="87" t="str">
        <f>IFERROR(__xludf.DUMMYFUNCTION("""COMPUTED_VALUE"""),"GC - II - 600 - MK Group - Rồng Lửa (Pet tròn) - 100ml - 100")</f>
        <v>GC - II - 600 - MK Group - Rồng Lửa (Pet tròn) - 100ml - 100</v>
      </c>
    </row>
    <row r="1077">
      <c r="A1077" s="86">
        <f>IFERROR(__xludf.DUMMYFUNCTION("""COMPUTED_VALUE"""),1075.0)</f>
        <v>1075</v>
      </c>
      <c r="B1077" s="87" t="str">
        <f>IFERROR(__xludf.DUMMYFUNCTION("""COMPUTED_VALUE"""),"Nhãn")</f>
        <v>Nhãn</v>
      </c>
      <c r="C1077" s="87" t="str">
        <f>IFERROR(__xludf.DUMMYFUNCTION("""COMPUTED_VALUE"""),"NHG0602")</f>
        <v>NHG0602</v>
      </c>
      <c r="D1077" s="87" t="str">
        <f>IFERROR(__xludf.DUMMYFUNCTION("""COMPUTED_VALUE"""),"[Nhãn] IDA Global - I - 602 - Amazon 80 (chai HD) - 100ml - 100")</f>
        <v>[Nhãn] IDA Global - I - 602 - Amazon 80 (chai HD) - 100ml - 100</v>
      </c>
      <c r="E1077" s="87" t="str">
        <f>IFERROR(__xludf.DUMMYFUNCTION("""COMPUTED_VALUE"""),"Vi lượng Basel IDA 46")</f>
        <v>Vi lượng Basel IDA 46</v>
      </c>
      <c r="F1077" s="87" t="str">
        <f>IFERROR(__xludf.DUMMYFUNCTION("""COMPUTED_VALUE"""),"HH0602")</f>
        <v>HH0602</v>
      </c>
      <c r="G1077" s="87" t="str">
        <f>IFERROR(__xludf.DUMMYFUNCTION("""COMPUTED_VALUE"""),"IDA Global - I - 602 - Amazon 80 (chai HD) - 100ml - 100")</f>
        <v>IDA Global - I - 602 - Amazon 80 (chai HD) - 100ml - 100</v>
      </c>
    </row>
    <row r="1078">
      <c r="A1078" s="86">
        <f>IFERROR(__xludf.DUMMYFUNCTION("""COMPUTED_VALUE"""),1076.0)</f>
        <v>1076</v>
      </c>
      <c r="B1078" s="87" t="str">
        <f>IFERROR(__xludf.DUMMYFUNCTION("""COMPUTED_VALUE"""),"Nhãn")</f>
        <v>Nhãn</v>
      </c>
      <c r="C1078" s="87" t="str">
        <f>IFERROR(__xludf.DUMMYFUNCTION("""COMPUTED_VALUE"""),"NTN0603")</f>
        <v>NTN0603</v>
      </c>
      <c r="D1078" s="87" t="str">
        <f>IFERROR(__xludf.DUMMYFUNCTION("""COMPUTED_VALUE"""),"[Nhãn] GC - II - 603 - Agritech - Humik - 1 kg - 25")</f>
        <v>[Nhãn] GC - II - 603 - Agritech - Humik - 1 kg - 25</v>
      </c>
      <c r="E1078" s="87" t="str">
        <f>IFERROR(__xludf.DUMMYFUNCTION("""COMPUTED_VALUE"""),"Prima 04")</f>
        <v>Prima 04</v>
      </c>
      <c r="F1078" s="87" t="str">
        <f>IFERROR(__xludf.DUMMYFUNCTION("""COMPUTED_VALUE"""),"HH0603")</f>
        <v>HH0603</v>
      </c>
      <c r="G1078" s="87" t="str">
        <f>IFERROR(__xludf.DUMMYFUNCTION("""COMPUTED_VALUE"""),"GC - II - 603 - Agritech - Humik - 1 kg - 25")</f>
        <v>GC - II - 603 - Agritech - Humik - 1 kg - 25</v>
      </c>
    </row>
    <row r="1079">
      <c r="A1079" s="86">
        <f>IFERROR(__xludf.DUMMYFUNCTION("""COMPUTED_VALUE"""),1077.0)</f>
        <v>1077</v>
      </c>
      <c r="B1079" s="87" t="str">
        <f>IFERROR(__xludf.DUMMYFUNCTION("""COMPUTED_VALUE"""),"Nhãn")</f>
        <v>Nhãn</v>
      </c>
      <c r="C1079" s="87" t="str">
        <f>IFERROR(__xludf.DUMMYFUNCTION("""COMPUTED_VALUE"""),"NHG0604")</f>
        <v>NHG0604</v>
      </c>
      <c r="D1079" s="87" t="str">
        <f>IFERROR(__xludf.DUMMYFUNCTION("""COMPUTED_VALUE"""),"[Nhãn] LOT IDA Global - I - 604 - TT - Power (5 sao) - 500ml - 40")</f>
        <v>[Nhãn] LOT IDA Global - I - 604 - TT - Power (5 sao) - 500ml - 40</v>
      </c>
      <c r="E1079" s="87" t="str">
        <f>IFERROR(__xludf.DUMMYFUNCTION("""COMPUTED_VALUE"""),"Vi lượng Basel IDA 50")</f>
        <v>Vi lượng Basel IDA 50</v>
      </c>
      <c r="F1079" s="87" t="str">
        <f>IFERROR(__xludf.DUMMYFUNCTION("""COMPUTED_VALUE"""),"HH0604")</f>
        <v>HH0604</v>
      </c>
      <c r="G1079" s="87" t="str">
        <f>IFERROR(__xludf.DUMMYFUNCTION("""COMPUTED_VALUE"""),"LOT IDA Global - I - 604 - TT - Power (5 sao) - 500ml - 40")</f>
        <v>LOT IDA Global - I - 604 - TT - Power (5 sao) - 500ml - 40</v>
      </c>
    </row>
    <row r="1080">
      <c r="A1080" s="86">
        <f>IFERROR(__xludf.DUMMYFUNCTION("""COMPUTED_VALUE"""),1078.0)</f>
        <v>1078</v>
      </c>
      <c r="B1080" s="87" t="str">
        <f>IFERROR(__xludf.DUMMYFUNCTION("""COMPUTED_VALUE"""),"Nhãn")</f>
        <v>Nhãn</v>
      </c>
      <c r="C1080" s="87" t="str">
        <f>IFERROR(__xludf.DUMMYFUNCTION("""COMPUTED_VALUE"""),"NHG0605")</f>
        <v>NHG0605</v>
      </c>
      <c r="D1080" s="87" t="str">
        <f>IFERROR(__xludf.DUMMYFUNCTION("""COMPUTED_VALUE"""),"[Nhãn] LOT IDA Global - I - 605 - TT - Flower Top (05 sao)- 500ml - 40")</f>
        <v>[Nhãn] LOT IDA Global - I - 605 - TT - Flower Top (05 sao)- 500ml - 40</v>
      </c>
      <c r="E1080" s="87" t="str">
        <f>IFERROR(__xludf.DUMMYFUNCTION("""COMPUTED_VALUE"""),"Vi lượng Basel IDA 47")</f>
        <v>Vi lượng Basel IDA 47</v>
      </c>
      <c r="F1080" s="87" t="str">
        <f>IFERROR(__xludf.DUMMYFUNCTION("""COMPUTED_VALUE"""),"HH0605")</f>
        <v>HH0605</v>
      </c>
      <c r="G1080" s="87" t="str">
        <f>IFERROR(__xludf.DUMMYFUNCTION("""COMPUTED_VALUE"""),"LOT IDA Global - I - 605 - TT - Flower Top (05 sao)- 500ml - 40")</f>
        <v>LOT IDA Global - I - 605 - TT - Flower Top (05 sao)- 500ml - 40</v>
      </c>
    </row>
    <row r="1081">
      <c r="A1081" s="86">
        <f>IFERROR(__xludf.DUMMYFUNCTION("""COMPUTED_VALUE"""),1079.0)</f>
        <v>1079</v>
      </c>
      <c r="B1081" s="87" t="str">
        <f>IFERROR(__xludf.DUMMYFUNCTION("""COMPUTED_VALUE"""),"Nhãn")</f>
        <v>Nhãn</v>
      </c>
      <c r="C1081" s="87" t="str">
        <f>IFERROR(__xludf.DUMMYFUNCTION("""COMPUTED_VALUE"""),"NTG0606")</f>
        <v>NTG0606</v>
      </c>
      <c r="D1081" s="87" t="str">
        <f>IFERROR(__xludf.DUMMYFUNCTION("""COMPUTED_VALUE"""),"[Nhãn] LOT IDA Global - I - 606 - TT - Sạch khuẩn - 25gr - 300")</f>
        <v>[Nhãn] LOT IDA Global - I - 606 - TT - Sạch khuẩn - 25gr - 300</v>
      </c>
      <c r="E1081" s="87" t="str">
        <f>IFERROR(__xludf.DUMMYFUNCTION("""COMPUTED_VALUE"""),"Oxycin 100WP")</f>
        <v>Oxycin 100WP</v>
      </c>
      <c r="F1081" s="87" t="str">
        <f>IFERROR(__xludf.DUMMYFUNCTION("""COMPUTED_VALUE"""),"HH0606")</f>
        <v>HH0606</v>
      </c>
      <c r="G1081" s="87" t="str">
        <f>IFERROR(__xludf.DUMMYFUNCTION("""COMPUTED_VALUE"""),"LOT IDA Global - I - 606 - TT - Sạch khuẩn - 25gr - 300")</f>
        <v>LOT IDA Global - I - 606 - TT - Sạch khuẩn - 25gr - 300</v>
      </c>
    </row>
    <row r="1082">
      <c r="A1082" s="86">
        <f>IFERROR(__xludf.DUMMYFUNCTION("""COMPUTED_VALUE"""),1080.0)</f>
        <v>1080</v>
      </c>
      <c r="B1082" s="87" t="str">
        <f>IFERROR(__xludf.DUMMYFUNCTION("""COMPUTED_VALUE"""),"Nhãn")</f>
        <v>Nhãn</v>
      </c>
      <c r="C1082" s="87" t="str">
        <f>IFERROR(__xludf.DUMMYFUNCTION("""COMPUTED_VALUE"""),"NTN0607")</f>
        <v>NTN0607</v>
      </c>
      <c r="D1082" s="87" t="str">
        <f>IFERROR(__xludf.DUMMYFUNCTION("""COMPUTED_VALUE"""),"[Nhãn] LOT IDA Global - I - 607 - TT - Sạch đạo ôn - 25gr - 300")</f>
        <v>[Nhãn] LOT IDA Global - I - 607 - TT - Sạch đạo ôn - 25gr - 300</v>
      </c>
      <c r="E1082" s="87" t="str">
        <f>IFERROR(__xludf.DUMMYFUNCTION("""COMPUTED_VALUE"""),"Pim.Pim 75WP")</f>
        <v>Pim.Pim 75WP</v>
      </c>
      <c r="F1082" s="87" t="str">
        <f>IFERROR(__xludf.DUMMYFUNCTION("""COMPUTED_VALUE"""),"HH0607")</f>
        <v>HH0607</v>
      </c>
      <c r="G1082" s="87" t="str">
        <f>IFERROR(__xludf.DUMMYFUNCTION("""COMPUTED_VALUE"""),"LOT IDA Global - I - 607 - TT - Sạch đạo ôn - 25gr - 300")</f>
        <v>LOT IDA Global - I - 607 - TT - Sạch đạo ôn - 25gr - 300</v>
      </c>
    </row>
    <row r="1083">
      <c r="A1083" s="86">
        <f>IFERROR(__xludf.DUMMYFUNCTION("""COMPUTED_VALUE"""),1081.0)</f>
        <v>1081</v>
      </c>
      <c r="B1083" s="87" t="str">
        <f>IFERROR(__xludf.DUMMYFUNCTION("""COMPUTED_VALUE"""),"Nhãn")</f>
        <v>Nhãn</v>
      </c>
      <c r="C1083" s="87" t="str">
        <f>IFERROR(__xludf.DUMMYFUNCTION("""COMPUTED_VALUE"""),"NTN0608")</f>
        <v>NTN0608</v>
      </c>
      <c r="D1083" s="87" t="str">
        <f>IFERROR(__xludf.DUMMYFUNCTION("""COMPUTED_VALUE"""),"[Nhãn] LOT IDA Global - I - 608 - TT - Sạch đạo ôn - 35gr - 300")</f>
        <v>[Nhãn] LOT IDA Global - I - 608 - TT - Sạch đạo ôn - 35gr - 300</v>
      </c>
      <c r="E1083" s="87" t="str">
        <f>IFERROR(__xludf.DUMMYFUNCTION("""COMPUTED_VALUE"""),"Pim.Pim 75WP")</f>
        <v>Pim.Pim 75WP</v>
      </c>
      <c r="F1083" s="87" t="str">
        <f>IFERROR(__xludf.DUMMYFUNCTION("""COMPUTED_VALUE"""),"HH0608")</f>
        <v>HH0608</v>
      </c>
      <c r="G1083" s="87" t="str">
        <f>IFERROR(__xludf.DUMMYFUNCTION("""COMPUTED_VALUE"""),"LOT IDA Global - I - 608 - TT - Sạch đạo ôn - 35gr - 300")</f>
        <v>LOT IDA Global - I - 608 - TT - Sạch đạo ôn - 35gr - 300</v>
      </c>
    </row>
    <row r="1084">
      <c r="A1084" s="86">
        <f>IFERROR(__xludf.DUMMYFUNCTION("""COMPUTED_VALUE"""),1082.0)</f>
        <v>1082</v>
      </c>
      <c r="B1084" s="87" t="str">
        <f>IFERROR(__xludf.DUMMYFUNCTION("""COMPUTED_VALUE"""),"Nhãn")</f>
        <v>Nhãn</v>
      </c>
      <c r="C1084" s="87" t="str">
        <f>IFERROR(__xludf.DUMMYFUNCTION("""COMPUTED_VALUE"""),"NHG0609")</f>
        <v>NHG0609</v>
      </c>
      <c r="D1084" s="87" t="str">
        <f>IFERROR(__xludf.DUMMYFUNCTION("""COMPUTED_VALUE"""),"[Nhãn] GC - K - 609 - Thuốc Dream 480SL - 609 - 900ml - 20")</f>
        <v>[Nhãn] GC - K - 609 - Thuốc Dream 480SL - 609 - 900ml - 20</v>
      </c>
      <c r="E1084" s="87" t="str">
        <f>IFERROR(__xludf.DUMMYFUNCTION("""COMPUTED_VALUE"""),"DREAM 480SL")</f>
        <v>DREAM 480SL</v>
      </c>
      <c r="F1084" s="87" t="str">
        <f>IFERROR(__xludf.DUMMYFUNCTION("""COMPUTED_VALUE"""),"HH0609")</f>
        <v>HH0609</v>
      </c>
      <c r="G1084" s="87" t="str">
        <f>IFERROR(__xludf.DUMMYFUNCTION("""COMPUTED_VALUE"""),"GC - K - 609 - Thuốc Dream 480SL - 609 - 900ml - 20")</f>
        <v>GC - K - 609 - Thuốc Dream 480SL - 609 - 900ml - 20</v>
      </c>
    </row>
    <row r="1085">
      <c r="A1085" s="86">
        <f>IFERROR(__xludf.DUMMYFUNCTION("""COMPUTED_VALUE"""),1083.0)</f>
        <v>1083</v>
      </c>
      <c r="B1085" s="87" t="str">
        <f>IFERROR(__xludf.DUMMYFUNCTION("""COMPUTED_VALUE"""),"Nhãn")</f>
        <v>Nhãn</v>
      </c>
      <c r="C1085" s="87" t="str">
        <f>IFERROR(__xludf.DUMMYFUNCTION("""COMPUTED_VALUE"""),"NHG0611")</f>
        <v>NHG0611</v>
      </c>
      <c r="D1085" s="87" t="str">
        <f>IFERROR(__xludf.DUMMYFUNCTION("""COMPUTED_VALUE"""),"[Nhãn] GC - II - 611 - AGC NEW- Gvil 5SC (mới) (HD) - 1 Lit - 20 (btp,nl)")</f>
        <v>[Nhãn] GC - II - 611 - AGC NEW- Gvil 5SC (mới) (HD) - 1 Lit - 20 (btp,nl)</v>
      </c>
      <c r="E1085" s="87" t="str">
        <f>IFERROR(__xludf.DUMMYFUNCTION("""COMPUTED_VALUE"""),"Mekongvil 5SC")</f>
        <v>Mekongvil 5SC</v>
      </c>
      <c r="F1085" s="87" t="str">
        <f>IFERROR(__xludf.DUMMYFUNCTION("""COMPUTED_VALUE"""),"HH0611")</f>
        <v>HH0611</v>
      </c>
      <c r="G1085" s="87" t="str">
        <f>IFERROR(__xludf.DUMMYFUNCTION("""COMPUTED_VALUE"""),"GC - II - 611 - AGC NEW- Gvil 5SC (mới) (HD) - 1 Lit - 20 (btp,nl)")</f>
        <v>GC - II - 611 - AGC NEW- Gvil 5SC (mới) (HD) - 1 Lit - 20 (btp,nl)</v>
      </c>
    </row>
    <row r="1086">
      <c r="A1086" s="86">
        <f>IFERROR(__xludf.DUMMYFUNCTION("""COMPUTED_VALUE"""),1084.0)</f>
        <v>1084</v>
      </c>
      <c r="B1086" s="87" t="str">
        <f>IFERROR(__xludf.DUMMYFUNCTION("""COMPUTED_VALUE"""),"Nhãn")</f>
        <v>Nhãn</v>
      </c>
      <c r="C1086" s="87" t="str">
        <f>IFERROR(__xludf.DUMMYFUNCTION("""COMPUTED_VALUE"""),"NHG0612")</f>
        <v>NHG0612</v>
      </c>
      <c r="D1086" s="87" t="str">
        <f>IFERROR(__xludf.DUMMYFUNCTION("""COMPUTED_VALUE"""),"[Nhãn] GC - II - 612 - AGC NEW - Bamec 3.6 (Nước Trong) (Pet tròn) - 450ml - 40")</f>
        <v>[Nhãn] GC - II - 612 - AGC NEW - Bamec 3.6 (Nước Trong) (Pet tròn) - 450ml - 40</v>
      </c>
      <c r="E1086" s="87" t="str">
        <f>IFERROR(__xludf.DUMMYFUNCTION("""COMPUTED_VALUE"""),"Tikabamec 3.6EC")</f>
        <v>Tikabamec 3.6EC</v>
      </c>
      <c r="F1086" s="87" t="str">
        <f>IFERROR(__xludf.DUMMYFUNCTION("""COMPUTED_VALUE"""),"HH0612")</f>
        <v>HH0612</v>
      </c>
      <c r="G1086" s="87" t="str">
        <f>IFERROR(__xludf.DUMMYFUNCTION("""COMPUTED_VALUE"""),"GC - II - 612 - AGC NEW - Bamec 3.6 (Nước Trong) (Pet tròn) - 450ml - 40")</f>
        <v>GC - II - 612 - AGC NEW - Bamec 3.6 (Nước Trong) (Pet tròn) - 450ml - 40</v>
      </c>
    </row>
    <row r="1087">
      <c r="A1087" s="86">
        <f>IFERROR(__xludf.DUMMYFUNCTION("""COMPUTED_VALUE"""),1085.0)</f>
        <v>1085</v>
      </c>
      <c r="B1087" s="87" t="str">
        <f>IFERROR(__xludf.DUMMYFUNCTION("""COMPUTED_VALUE"""),"Nhãn")</f>
        <v>Nhãn</v>
      </c>
      <c r="C1087" s="87" t="str">
        <f>IFERROR(__xludf.DUMMYFUNCTION("""COMPUTED_VALUE"""),"NTN0613")</f>
        <v>NTN0613</v>
      </c>
      <c r="D1087" s="87" t="str">
        <f>IFERROR(__xludf.DUMMYFUNCTION("""COMPUTED_VALUE"""),"[Nhãn] GC - II - 613 - AGC NEW - Ple 700WP - 70 gr - 100")</f>
        <v>[Nhãn] GC - II - 613 - AGC NEW - Ple 700WP - 70 gr - 100</v>
      </c>
      <c r="E1087" s="87" t="str">
        <f>IFERROR(__xludf.DUMMYFUNCTION("""COMPUTED_VALUE"""),"Apple 700WP")</f>
        <v>Apple 700WP</v>
      </c>
      <c r="F1087" s="87" t="str">
        <f>IFERROR(__xludf.DUMMYFUNCTION("""COMPUTED_VALUE"""),"HH0613")</f>
        <v>HH0613</v>
      </c>
      <c r="G1087" s="87" t="str">
        <f>IFERROR(__xludf.DUMMYFUNCTION("""COMPUTED_VALUE"""),"GC - II - 613 - AGC NEW - Ple 700WP - 70 gr - 100")</f>
        <v>GC - II - 613 - AGC NEW - Ple 700WP - 70 gr - 100</v>
      </c>
    </row>
    <row r="1088">
      <c r="A1088" s="86">
        <f>IFERROR(__xludf.DUMMYFUNCTION("""COMPUTED_VALUE"""),1086.0)</f>
        <v>1086</v>
      </c>
      <c r="B1088" s="87" t="str">
        <f>IFERROR(__xludf.DUMMYFUNCTION("""COMPUTED_VALUE"""),"Nhãn")</f>
        <v>Nhãn</v>
      </c>
      <c r="C1088" s="87" t="str">
        <f>IFERROR(__xludf.DUMMYFUNCTION("""COMPUTED_VALUE"""),"NHD0614")</f>
        <v>NHD0614</v>
      </c>
      <c r="D1088" s="87" t="str">
        <f>IFERROR(__xludf.DUMMYFUNCTION("""COMPUTED_VALUE"""),"[Nhãn] GC - II - AGC - 614 - Cháy cỏ khai hoang (PET vuông) - 900ml - 20")</f>
        <v>[Nhãn] GC - II - AGC - 614 - Cháy cỏ khai hoang (PET vuông) - 900ml - 20</v>
      </c>
      <c r="E1088" s="87" t="str">
        <f>IFERROR(__xludf.DUMMYFUNCTION("""COMPUTED_VALUE"""),"CHAYRUI 150SL")</f>
        <v>CHAYRUI 150SL</v>
      </c>
      <c r="F1088" s="87" t="str">
        <f>IFERROR(__xludf.DUMMYFUNCTION("""COMPUTED_VALUE"""),"HH0614")</f>
        <v>HH0614</v>
      </c>
      <c r="G1088" s="87" t="str">
        <f>IFERROR(__xludf.DUMMYFUNCTION("""COMPUTED_VALUE"""),"GC - II - AGC - 614 - Cháy cỏ khai hoang (PET vuông) - 900ml - 20")</f>
        <v>GC - II - AGC - 614 - Cháy cỏ khai hoang (PET vuông) - 900ml - 20</v>
      </c>
    </row>
    <row r="1089">
      <c r="A1089" s="86">
        <f>IFERROR(__xludf.DUMMYFUNCTION("""COMPUTED_VALUE"""),1087.0)</f>
        <v>1087</v>
      </c>
      <c r="B1089" s="87" t="str">
        <f>IFERROR(__xludf.DUMMYFUNCTION("""COMPUTED_VALUE"""),"Nhãn")</f>
        <v>Nhãn</v>
      </c>
      <c r="C1089" s="87" t="str">
        <f>IFERROR(__xludf.DUMMYFUNCTION("""COMPUTED_VALUE"""),"NHG0615")</f>
        <v>NHG0615</v>
      </c>
      <c r="D1089" s="87" t="str">
        <f>IFERROR(__xludf.DUMMYFUNCTION("""COMPUTED_VALUE"""),"[Nhãn] GC - II - 615 - AGC NEW - Mite - Killer (chai nhôm đỏ) - 240ml - 40")</f>
        <v>[Nhãn] GC - II - 615 - AGC NEW - Mite - Killer (chai nhôm đỏ) - 240ml - 40</v>
      </c>
      <c r="E1089" s="87" t="str">
        <f>IFERROR(__xludf.DUMMYFUNCTION("""COMPUTED_VALUE"""),"CHIM ƯNG 3.8EC")</f>
        <v>CHIM ƯNG 3.8EC</v>
      </c>
      <c r="F1089" s="87" t="str">
        <f>IFERROR(__xludf.DUMMYFUNCTION("""COMPUTED_VALUE"""),"HH0615")</f>
        <v>HH0615</v>
      </c>
      <c r="G1089" s="87" t="str">
        <f>IFERROR(__xludf.DUMMYFUNCTION("""COMPUTED_VALUE"""),"GC - II - 615 - AGC NEW - Mite - Killer (chai nhôm đỏ) - 240ml - 40")</f>
        <v>GC - II - 615 - AGC NEW - Mite - Killer (chai nhôm đỏ) - 240ml - 40</v>
      </c>
    </row>
    <row r="1090">
      <c r="A1090" s="86">
        <f>IFERROR(__xludf.DUMMYFUNCTION("""COMPUTED_VALUE"""),1088.0)</f>
        <v>1088</v>
      </c>
      <c r="B1090" s="87" t="str">
        <f>IFERROR(__xludf.DUMMYFUNCTION("""COMPUTED_VALUE"""),"Nhãn")</f>
        <v>Nhãn</v>
      </c>
      <c r="C1090" s="87" t="str">
        <f>IFERROR(__xludf.DUMMYFUNCTION("""COMPUTED_VALUE"""),"NHG0618")</f>
        <v>NHG0618</v>
      </c>
      <c r="D1090" s="87" t="str">
        <f>IFERROR(__xludf.DUMMYFUNCTION("""COMPUTED_VALUE"""),"[Nhãn] GC - II - 618 - AGC NEW - Leafroll (chai nhôm đỏ) - 240ml - 40")</f>
        <v>[Nhãn] GC - II - 618 - AGC NEW - Leafroll (chai nhôm đỏ) - 240ml - 40</v>
      </c>
      <c r="E1090" s="87" t="str">
        <f>IFERROR(__xludf.DUMMYFUNCTION("""COMPUTED_VALUE"""),"CHIM ƯNG 3.8EC")</f>
        <v>CHIM ƯNG 3.8EC</v>
      </c>
      <c r="F1090" s="87" t="str">
        <f>IFERROR(__xludf.DUMMYFUNCTION("""COMPUTED_VALUE"""),"HH0618")</f>
        <v>HH0618</v>
      </c>
      <c r="G1090" s="87" t="str">
        <f>IFERROR(__xludf.DUMMYFUNCTION("""COMPUTED_VALUE"""),"GC - II - 618 - AGC NEW - Leafroll (chai nhôm đỏ) - 240ml - 40")</f>
        <v>GC - II - 618 - AGC NEW - Leafroll (chai nhôm đỏ) - 240ml - 40</v>
      </c>
    </row>
    <row r="1091">
      <c r="A1091" s="86">
        <f>IFERROR(__xludf.DUMMYFUNCTION("""COMPUTED_VALUE"""),1089.0)</f>
        <v>1089</v>
      </c>
      <c r="B1091" s="87" t="str">
        <f>IFERROR(__xludf.DUMMYFUNCTION("""COMPUTED_VALUE"""),"Nhãn")</f>
        <v>Nhãn</v>
      </c>
      <c r="C1091" s="87" t="str">
        <f>IFERROR(__xludf.DUMMYFUNCTION("""COMPUTED_VALUE"""),"NTN0621")</f>
        <v>NTN0621</v>
      </c>
      <c r="D1091" s="87" t="str">
        <f>IFERROR(__xludf.DUMMYFUNCTION("""COMPUTED_VALUE"""),"[Nhãn] IDA Global - I - 621 - Vi Khuẩn Thái (Drone) - 100gr - 100")</f>
        <v>[Nhãn] IDA Global - I - 621 - Vi Khuẩn Thái (Drone) - 100gr - 100</v>
      </c>
      <c r="E1091" s="87" t="str">
        <f>IFERROR(__xludf.DUMMYFUNCTION("""COMPUTED_VALUE"""),"Oxycin 100WP")</f>
        <v>Oxycin 100WP</v>
      </c>
      <c r="F1091" s="87" t="str">
        <f>IFERROR(__xludf.DUMMYFUNCTION("""COMPUTED_VALUE"""),"HH0621")</f>
        <v>HH0621</v>
      </c>
      <c r="G1091" s="87" t="str">
        <f>IFERROR(__xludf.DUMMYFUNCTION("""COMPUTED_VALUE"""),"IDA Global - I - 621 - Vi Khuẩn Thái (Drone) - 100gr - 100")</f>
        <v>IDA Global - I - 621 - Vi Khuẩn Thái (Drone) - 100gr - 100</v>
      </c>
    </row>
    <row r="1092">
      <c r="A1092" s="86">
        <f>IFERROR(__xludf.DUMMYFUNCTION("""COMPUTED_VALUE"""),1090.0)</f>
        <v>1090</v>
      </c>
      <c r="B1092" s="87" t="str">
        <f>IFERROR(__xludf.DUMMYFUNCTION("""COMPUTED_VALUE"""),"Nhãn")</f>
        <v>Nhãn</v>
      </c>
      <c r="C1092" s="87" t="str">
        <f>IFERROR(__xludf.DUMMYFUNCTION("""COMPUTED_VALUE"""),"NTG0622")</f>
        <v>NTG0622</v>
      </c>
      <c r="D1092" s="87" t="str">
        <f>IFERROR(__xludf.DUMMYFUNCTION("""COMPUTED_VALUE"""),"[Nhãn] GC - II - 622 - MK Group - Siêu Trừ Đạo Ôn Vi Khuẩn - 15.6 gr - 300")</f>
        <v>[Nhãn] GC - II - 622 - MK Group - Siêu Trừ Đạo Ôn Vi Khuẩn - 15.6 gr - 300</v>
      </c>
      <c r="E1092" s="87" t="str">
        <f>IFERROR(__xludf.DUMMYFUNCTION("""COMPUTED_VALUE"""),"TOPZOLE 800WG")</f>
        <v>TOPZOLE 800WG</v>
      </c>
      <c r="F1092" s="87" t="str">
        <f>IFERROR(__xludf.DUMMYFUNCTION("""COMPUTED_VALUE"""),"HH0622")</f>
        <v>HH0622</v>
      </c>
      <c r="G1092" s="87" t="str">
        <f>IFERROR(__xludf.DUMMYFUNCTION("""COMPUTED_VALUE"""),"GC - II - 622 - MK Group - Siêu Trừ Đạo Ôn Vi Khuẩn - 15.6 gr - 300")</f>
        <v>GC - II - 622 - MK Group - Siêu Trừ Đạo Ôn Vi Khuẩn - 15.6 gr - 300</v>
      </c>
    </row>
    <row r="1093">
      <c r="A1093" s="86">
        <f>IFERROR(__xludf.DUMMYFUNCTION("""COMPUTED_VALUE"""),1091.0)</f>
        <v>1091</v>
      </c>
      <c r="B1093" s="87" t="str">
        <f>IFERROR(__xludf.DUMMYFUNCTION("""COMPUTED_VALUE"""),"Nhãn thùng")</f>
        <v>Nhãn thùng</v>
      </c>
      <c r="C1093" s="87" t="str">
        <f>IFERROR(__xludf.DUMMYFUNCTION("""COMPUTED_VALUE"""),"NDT0622")</f>
        <v>NDT0622</v>
      </c>
      <c r="D1093" s="87" t="str">
        <f>IFERROR(__xludf.DUMMYFUNCTION("""COMPUTED_VALUE"""),"[Nhãn thùng] GC - II - 622 - MK Group - Siêu Trừ Đạo Ôn Vi Khuẩn - 15.6 gr - 300")</f>
        <v>[Nhãn thùng] GC - II - 622 - MK Group - Siêu Trừ Đạo Ôn Vi Khuẩn - 15.6 gr - 300</v>
      </c>
      <c r="E1093" s="87" t="str">
        <f>IFERROR(__xludf.DUMMYFUNCTION("""COMPUTED_VALUE"""),"TOPZOLE 800WG")</f>
        <v>TOPZOLE 800WG</v>
      </c>
      <c r="F1093" s="87" t="str">
        <f>IFERROR(__xludf.DUMMYFUNCTION("""COMPUTED_VALUE"""),"HH0622")</f>
        <v>HH0622</v>
      </c>
      <c r="G1093" s="87" t="str">
        <f>IFERROR(__xludf.DUMMYFUNCTION("""COMPUTED_VALUE"""),"GC - II - 622 - MK Group - Siêu Trừ Đạo Ôn Vi Khuẩn - 15.6 gr - 300")</f>
        <v>GC - II - 622 - MK Group - Siêu Trừ Đạo Ôn Vi Khuẩn - 15.6 gr - 300</v>
      </c>
    </row>
    <row r="1094">
      <c r="A1094" s="86">
        <f>IFERROR(__xludf.DUMMYFUNCTION("""COMPUTED_VALUE"""),1092.0)</f>
        <v>1092</v>
      </c>
      <c r="B1094" s="87" t="str">
        <f>IFERROR(__xludf.DUMMYFUNCTION("""COMPUTED_VALUE"""),"Nhãn")</f>
        <v>Nhãn</v>
      </c>
      <c r="C1094" s="87" t="str">
        <f>IFERROR(__xludf.DUMMYFUNCTION("""COMPUTED_VALUE"""),"NTN0624")</f>
        <v>NTN0624</v>
      </c>
      <c r="D1094" s="87" t="str">
        <f>IFERROR(__xludf.DUMMYFUNCTION("""COMPUTED_VALUE"""),"[Nhãn] GC - II - 624 - MK Group - Siêu Trừ Nấm (flexo) - 250gr - 60")</f>
        <v>[Nhãn] GC - II - 624 - MK Group - Siêu Trừ Nấm (flexo) - 250gr - 60</v>
      </c>
      <c r="E1094" s="87" t="str">
        <f>IFERROR(__xludf.DUMMYFUNCTION("""COMPUTED_VALUE"""),"THALONIL 75WP")</f>
        <v>THALONIL 75WP</v>
      </c>
      <c r="F1094" s="87" t="str">
        <f>IFERROR(__xludf.DUMMYFUNCTION("""COMPUTED_VALUE"""),"HH0624")</f>
        <v>HH0624</v>
      </c>
      <c r="G1094" s="87" t="str">
        <f>IFERROR(__xludf.DUMMYFUNCTION("""COMPUTED_VALUE"""),"GC - II - 624 - MK Group - Siêu Trừ Nấm (flexo) - 250gr - 60")</f>
        <v>GC - II - 624 - MK Group - Siêu Trừ Nấm (flexo) - 250gr - 60</v>
      </c>
    </row>
    <row r="1095">
      <c r="A1095" s="86">
        <f>IFERROR(__xludf.DUMMYFUNCTION("""COMPUTED_VALUE"""),1093.0)</f>
        <v>1093</v>
      </c>
      <c r="B1095" s="87" t="str">
        <f>IFERROR(__xludf.DUMMYFUNCTION("""COMPUTED_VALUE"""),"Nhãn")</f>
        <v>Nhãn</v>
      </c>
      <c r="C1095" s="87" t="str">
        <f>IFERROR(__xludf.DUMMYFUNCTION("""COMPUTED_VALUE"""),"NTN0626")</f>
        <v>NTN0626</v>
      </c>
      <c r="D1095" s="87" t="str">
        <f>IFERROR(__xludf.DUMMYFUNCTION("""COMPUTED_VALUE"""),"[Nhãn] GC - I - 626 - AU - Organic IQ - 50ml - 200")</f>
        <v>[Nhãn] GC - I - 626 - AU - Organic IQ - 50ml - 200</v>
      </c>
      <c r="E1095" s="87" t="str">
        <f>IFERROR(__xludf.DUMMYFUNCTION("""COMPUTED_VALUE"""),"Vi lượng AV-CFC Plus")</f>
        <v>Vi lượng AV-CFC Plus</v>
      </c>
      <c r="F1095" s="87" t="str">
        <f>IFERROR(__xludf.DUMMYFUNCTION("""COMPUTED_VALUE"""),"HH0626")</f>
        <v>HH0626</v>
      </c>
      <c r="G1095" s="87" t="str">
        <f>IFERROR(__xludf.DUMMYFUNCTION("""COMPUTED_VALUE"""),"GC - I - 626 - AU - Organic IQ - 50ml - 200")</f>
        <v>GC - I - 626 - AU - Organic IQ - 50ml - 200</v>
      </c>
    </row>
    <row r="1096">
      <c r="A1096" s="86">
        <f>IFERROR(__xludf.DUMMYFUNCTION("""COMPUTED_VALUE"""),1094.0)</f>
        <v>1094</v>
      </c>
      <c r="B1096" s="87" t="str">
        <f>IFERROR(__xludf.DUMMYFUNCTION("""COMPUTED_VALUE"""),"Nhãn")</f>
        <v>Nhãn</v>
      </c>
      <c r="C1096" s="87" t="str">
        <f>IFERROR(__xludf.DUMMYFUNCTION("""COMPUTED_VALUE"""),"NHD0627")</f>
        <v>NHD0627</v>
      </c>
      <c r="D1096" s="87" t="str">
        <f>IFERROR(__xludf.DUMMYFUNCTION("""COMPUTED_VALUE"""),"[Nhãn] GC - II - K - 627 - HC- Cochay 200SL (chai PET vuông) - 900ml- 20")</f>
        <v>[Nhãn] GC - II - K - 627 - HC- Cochay 200SL (chai PET vuông) - 900ml- 20</v>
      </c>
      <c r="E1096" s="87" t="str">
        <f>IFERROR(__xludf.DUMMYFUNCTION("""COMPUTED_VALUE"""),"COCHAY 200SL")</f>
        <v>COCHAY 200SL</v>
      </c>
      <c r="F1096" s="87" t="str">
        <f>IFERROR(__xludf.DUMMYFUNCTION("""COMPUTED_VALUE"""),"HH0627")</f>
        <v>HH0627</v>
      </c>
      <c r="G1096" s="87" t="str">
        <f>IFERROR(__xludf.DUMMYFUNCTION("""COMPUTED_VALUE"""),"GC - II - K - 627 - HC- Cochay 200SL (chai PET vuông) - 900ml- 20")</f>
        <v>GC - II - K - 627 - HC- Cochay 200SL (chai PET vuông) - 900ml- 20</v>
      </c>
    </row>
    <row r="1097">
      <c r="A1097" s="86">
        <f>IFERROR(__xludf.DUMMYFUNCTION("""COMPUTED_VALUE"""),1095.0)</f>
        <v>1095</v>
      </c>
      <c r="B1097" s="87" t="str">
        <f>IFERROR(__xludf.DUMMYFUNCTION("""COMPUTED_VALUE"""),"Nhãn")</f>
        <v>Nhãn</v>
      </c>
      <c r="C1097" s="87" t="str">
        <f>IFERROR(__xludf.DUMMYFUNCTION("""COMPUTED_VALUE"""),"NTN0628")</f>
        <v>NTN0628</v>
      </c>
      <c r="D1097" s="87" t="str">
        <f>IFERROR(__xludf.DUMMYFUNCTION("""COMPUTED_VALUE"""),"[Nhãn] LOT IDA Global - I - 628 - VTNN HN - Mancozeb xanh - 1 kg - 20")</f>
        <v>[Nhãn] LOT IDA Global - I - 628 - VTNN HN - Mancozeb xanh - 1 kg - 20</v>
      </c>
      <c r="E1097" s="87" t="str">
        <f>IFERROR(__xludf.DUMMYFUNCTION("""COMPUTED_VALUE"""),"TVZEB 800WP")</f>
        <v>TVZEB 800WP</v>
      </c>
      <c r="F1097" s="87" t="str">
        <f>IFERROR(__xludf.DUMMYFUNCTION("""COMPUTED_VALUE"""),"HH0628")</f>
        <v>HH0628</v>
      </c>
      <c r="G1097" s="87" t="str">
        <f>IFERROR(__xludf.DUMMYFUNCTION("""COMPUTED_VALUE"""),"LOT IDA Global - I - 628 - VTNN HN - Mancozeb xanh - 1 kg - 20")</f>
        <v>LOT IDA Global - I - 628 - VTNN HN - Mancozeb xanh - 1 kg - 20</v>
      </c>
    </row>
    <row r="1098">
      <c r="A1098" s="86">
        <f>IFERROR(__xludf.DUMMYFUNCTION("""COMPUTED_VALUE"""),1096.0)</f>
        <v>1096</v>
      </c>
      <c r="B1098" s="87" t="str">
        <f>IFERROR(__xludf.DUMMYFUNCTION("""COMPUTED_VALUE"""),"Nhãn thùng")</f>
        <v>Nhãn thùng</v>
      </c>
      <c r="C1098" s="87" t="str">
        <f>IFERROR(__xludf.DUMMYFUNCTION("""COMPUTED_VALUE"""),"NDT0628")</f>
        <v>NDT0628</v>
      </c>
      <c r="D1098" s="87" t="str">
        <f>IFERROR(__xludf.DUMMYFUNCTION("""COMPUTED_VALUE"""),"[Nhãn thùng] LOT IDA Global - I - 628 - VTNN HN - Mancozeb xanh - 1 kg - 20")</f>
        <v>[Nhãn thùng] LOT IDA Global - I - 628 - VTNN HN - Mancozeb xanh - 1 kg - 20</v>
      </c>
      <c r="E1098" s="87" t="str">
        <f>IFERROR(__xludf.DUMMYFUNCTION("""COMPUTED_VALUE"""),"TVZEB 800WP")</f>
        <v>TVZEB 800WP</v>
      </c>
      <c r="F1098" s="87" t="str">
        <f>IFERROR(__xludf.DUMMYFUNCTION("""COMPUTED_VALUE"""),"HH0628")</f>
        <v>HH0628</v>
      </c>
      <c r="G1098" s="87" t="str">
        <f>IFERROR(__xludf.DUMMYFUNCTION("""COMPUTED_VALUE"""),"LOT IDA Global - I - 628 - VTNN HN - Mancozeb xanh - 1 kg - 20")</f>
        <v>LOT IDA Global - I - 628 - VTNN HN - Mancozeb xanh - 1 kg - 20</v>
      </c>
    </row>
    <row r="1099">
      <c r="A1099" s="86">
        <f>IFERROR(__xludf.DUMMYFUNCTION("""COMPUTED_VALUE"""),1097.0)</f>
        <v>1097</v>
      </c>
      <c r="B1099" s="87" t="str">
        <f>IFERROR(__xludf.DUMMYFUNCTION("""COMPUTED_VALUE"""),"Nhãn")</f>
        <v>Nhãn</v>
      </c>
      <c r="C1099" s="87" t="str">
        <f>IFERROR(__xludf.DUMMYFUNCTION("""COMPUTED_VALUE"""),"NHG0629")</f>
        <v>NHG0629</v>
      </c>
      <c r="D1099" s="87" t="str">
        <f>IFERROR(__xludf.DUMMYFUNCTION("""COMPUTED_VALUE"""),"[Nhãn] GC - II - 629 - AGC - Redmite (Chim Ưng) (chai nhôm đỏ) - 240ml - 40")</f>
        <v>[Nhãn] GC - II - 629 - AGC - Redmite (Chim Ưng) (chai nhôm đỏ) - 240ml - 40</v>
      </c>
      <c r="E1099" s="87" t="str">
        <f>IFERROR(__xludf.DUMMYFUNCTION("""COMPUTED_VALUE"""),"CHIM ƯNG 3.8EC")</f>
        <v>CHIM ƯNG 3.8EC</v>
      </c>
      <c r="F1099" s="87" t="str">
        <f>IFERROR(__xludf.DUMMYFUNCTION("""COMPUTED_VALUE"""),"HH0629")</f>
        <v>HH0629</v>
      </c>
      <c r="G1099" s="87" t="str">
        <f>IFERROR(__xludf.DUMMYFUNCTION("""COMPUTED_VALUE"""),"GC - II - 629 - AGC - Redmite (Chim Ưng) (chai nhôm đỏ) - 240ml - 40")</f>
        <v>GC - II - 629 - AGC - Redmite (Chim Ưng) (chai nhôm đỏ) - 240ml - 40</v>
      </c>
    </row>
    <row r="1100">
      <c r="A1100" s="86">
        <f>IFERROR(__xludf.DUMMYFUNCTION("""COMPUTED_VALUE"""),1098.0)</f>
        <v>1098</v>
      </c>
      <c r="B1100" s="87" t="str">
        <f>IFERROR(__xludf.DUMMYFUNCTION("""COMPUTED_VALUE"""),"Nhãn")</f>
        <v>Nhãn</v>
      </c>
      <c r="C1100" s="87" t="str">
        <f>IFERROR(__xludf.DUMMYFUNCTION("""COMPUTED_VALUE"""),"NHG0630")</f>
        <v>NHG0630</v>
      </c>
      <c r="D1100" s="87" t="str">
        <f>IFERROR(__xludf.DUMMYFUNCTION("""COMPUTED_VALUE"""),"[Nhãn] GC - II - 630 - KAFF - Remy 19EC - 500ml - 40")</f>
        <v>[Nhãn] GC - II - 630 - KAFF - Remy 19EC - 500ml - 40</v>
      </c>
      <c r="E1100" s="87" t="str">
        <f>IFERROR(__xludf.DUMMYFUNCTION("""COMPUTED_VALUE"""),"Remy 19EC")</f>
        <v>Remy 19EC</v>
      </c>
      <c r="F1100" s="87" t="str">
        <f>IFERROR(__xludf.DUMMYFUNCTION("""COMPUTED_VALUE"""),"HH0630")</f>
        <v>HH0630</v>
      </c>
      <c r="G1100" s="87" t="str">
        <f>IFERROR(__xludf.DUMMYFUNCTION("""COMPUTED_VALUE"""),"GC - II - 630 - KAFF - Remy 19EC - 500ml - 40")</f>
        <v>GC - II - 630 - KAFF - Remy 19EC - 500ml - 40</v>
      </c>
    </row>
    <row r="1101">
      <c r="A1101" s="86">
        <f>IFERROR(__xludf.DUMMYFUNCTION("""COMPUTED_VALUE"""),1099.0)</f>
        <v>1099</v>
      </c>
      <c r="B1101" s="87" t="str">
        <f>IFERROR(__xludf.DUMMYFUNCTION("""COMPUTED_VALUE"""),"Nhãn")</f>
        <v>Nhãn</v>
      </c>
      <c r="C1101" s="87" t="str">
        <f>IFERROR(__xludf.DUMMYFUNCTION("""COMPUTED_VALUE"""),"NTN0631")</f>
        <v>NTN0631</v>
      </c>
      <c r="D1101" s="87" t="str">
        <f>IFERROR(__xludf.DUMMYFUNCTION("""COMPUTED_VALUE"""),"[Nhãn] GC - II - 631 - MK Group - Siêu Diệt Khuẩn - 10.5 gr - 500")</f>
        <v>[Nhãn] GC - II - 631 - MK Group - Siêu Diệt Khuẩn - 10.5 gr - 500</v>
      </c>
      <c r="E1101" s="87" t="str">
        <f>IFERROR(__xludf.DUMMYFUNCTION("""COMPUTED_VALUE"""),"Centertaner 500WP")</f>
        <v>Centertaner 500WP</v>
      </c>
      <c r="F1101" s="87" t="str">
        <f>IFERROR(__xludf.DUMMYFUNCTION("""COMPUTED_VALUE"""),"HH0631")</f>
        <v>HH0631</v>
      </c>
      <c r="G1101" s="87" t="str">
        <f>IFERROR(__xludf.DUMMYFUNCTION("""COMPUTED_VALUE"""),"GC - II - 631 - MK Group - Siêu Diệt Khuẩn - 10.5 gr - 500")</f>
        <v>GC - II - 631 - MK Group - Siêu Diệt Khuẩn - 10.5 gr - 500</v>
      </c>
    </row>
    <row r="1102">
      <c r="A1102" s="86">
        <f>IFERROR(__xludf.DUMMYFUNCTION("""COMPUTED_VALUE"""),1100.0)</f>
        <v>1100</v>
      </c>
      <c r="B1102" s="87" t="str">
        <f>IFERROR(__xludf.DUMMYFUNCTION("""COMPUTED_VALUE"""),"Nhãn")</f>
        <v>Nhãn</v>
      </c>
      <c r="C1102" s="87" t="str">
        <f>IFERROR(__xludf.DUMMYFUNCTION("""COMPUTED_VALUE"""),"NTN0632")</f>
        <v>NTN0632</v>
      </c>
      <c r="D1102" s="87" t="str">
        <f>IFERROR(__xludf.DUMMYFUNCTION("""COMPUTED_VALUE"""),"[Nhãn] GC - II - 632 - MK Group - Ray xanh - 80gr - 150")</f>
        <v>[Nhãn] GC - II - 632 - MK Group - Ray xanh - 80gr - 150</v>
      </c>
      <c r="E1102" s="87" t="str">
        <f>IFERROR(__xludf.DUMMYFUNCTION("""COMPUTED_VALUE"""),"RAYXANH 200WP")</f>
        <v>RAYXANH 200WP</v>
      </c>
      <c r="F1102" s="87" t="str">
        <f>IFERROR(__xludf.DUMMYFUNCTION("""COMPUTED_VALUE"""),"HH0632")</f>
        <v>HH0632</v>
      </c>
      <c r="G1102" s="87" t="str">
        <f>IFERROR(__xludf.DUMMYFUNCTION("""COMPUTED_VALUE"""),"GC - II - 632 - MK Group - Ray xanh - 80gr - 150")</f>
        <v>GC - II - 632 - MK Group - Ray xanh - 80gr - 150</v>
      </c>
    </row>
    <row r="1103">
      <c r="A1103" s="86">
        <f>IFERROR(__xludf.DUMMYFUNCTION("""COMPUTED_VALUE"""),1101.0)</f>
        <v>1101</v>
      </c>
      <c r="B1103" s="87" t="str">
        <f>IFERROR(__xludf.DUMMYFUNCTION("""COMPUTED_VALUE"""),"Nhãn")</f>
        <v>Nhãn</v>
      </c>
      <c r="C1103" s="87" t="str">
        <f>IFERROR(__xludf.DUMMYFUNCTION("""COMPUTED_VALUE"""),"NTN0633")</f>
        <v>NTN0633</v>
      </c>
      <c r="D1103" s="87" t="str">
        <f>IFERROR(__xludf.DUMMYFUNCTION("""COMPUTED_VALUE"""),"[Nhãn] GC - II - 633 - AGC NEW - Alonil 75WP (flexo) - 250gr - 60")</f>
        <v>[Nhãn] GC - II - 633 - AGC NEW - Alonil 75WP (flexo) - 250gr - 60</v>
      </c>
      <c r="E1103" s="87" t="str">
        <f>IFERROR(__xludf.DUMMYFUNCTION("""COMPUTED_VALUE"""),"THALONIL 75WP")</f>
        <v>THALONIL 75WP</v>
      </c>
      <c r="F1103" s="87" t="str">
        <f>IFERROR(__xludf.DUMMYFUNCTION("""COMPUTED_VALUE"""),"HH0633")</f>
        <v>HH0633</v>
      </c>
      <c r="G1103" s="87" t="str">
        <f>IFERROR(__xludf.DUMMYFUNCTION("""COMPUTED_VALUE"""),"GC - II - 633 - AGC NEW - Alonil 75WP (flexo) - 250gr - 60")</f>
        <v>GC - II - 633 - AGC NEW - Alonil 75WP (flexo) - 250gr - 60</v>
      </c>
    </row>
    <row r="1104">
      <c r="A1104" s="86">
        <f>IFERROR(__xludf.DUMMYFUNCTION("""COMPUTED_VALUE"""),1102.0)</f>
        <v>1102</v>
      </c>
      <c r="B1104" s="87" t="str">
        <f>IFERROR(__xludf.DUMMYFUNCTION("""COMPUTED_VALUE"""),"Nhãn")</f>
        <v>Nhãn</v>
      </c>
      <c r="C1104" s="87" t="str">
        <f>IFERROR(__xludf.DUMMYFUNCTION("""COMPUTED_VALUE"""),"NTG0634")</f>
        <v>NTG0634</v>
      </c>
      <c r="D1104" s="87" t="str">
        <f>IFERROR(__xludf.DUMMYFUNCTION("""COMPUTED_VALUE"""),"[Nhãn] GC - II - 634 - AGC NEW- Pzole 800 WG - 18 gr - 300")</f>
        <v>[Nhãn] GC - II - 634 - AGC NEW- Pzole 800 WG - 18 gr - 300</v>
      </c>
      <c r="E1104" s="87" t="str">
        <f>IFERROR(__xludf.DUMMYFUNCTION("""COMPUTED_VALUE"""),"TOPZOLE 800WG")</f>
        <v>TOPZOLE 800WG</v>
      </c>
      <c r="F1104" s="87" t="str">
        <f>IFERROR(__xludf.DUMMYFUNCTION("""COMPUTED_VALUE"""),"HH0634")</f>
        <v>HH0634</v>
      </c>
      <c r="G1104" s="87" t="str">
        <f>IFERROR(__xludf.DUMMYFUNCTION("""COMPUTED_VALUE"""),"GC - II - 634 - AGC NEW- Pzole 800 WG - 18 gr - 300")</f>
        <v>GC - II - 634 - AGC NEW- Pzole 800 WG - 18 gr - 300</v>
      </c>
    </row>
    <row r="1105">
      <c r="A1105" s="86">
        <f>IFERROR(__xludf.DUMMYFUNCTION("""COMPUTED_VALUE"""),1103.0)</f>
        <v>1103</v>
      </c>
      <c r="B1105" s="87" t="str">
        <f>IFERROR(__xludf.DUMMYFUNCTION("""COMPUTED_VALUE"""),"Nhãn thùng")</f>
        <v>Nhãn thùng</v>
      </c>
      <c r="C1105" s="87" t="str">
        <f>IFERROR(__xludf.DUMMYFUNCTION("""COMPUTED_VALUE"""),"NDT0634")</f>
        <v>NDT0634</v>
      </c>
      <c r="D1105" s="87" t="str">
        <f>IFERROR(__xludf.DUMMYFUNCTION("""COMPUTED_VALUE"""),"[Nhãn thùng] GC - II - 634 - AGC NEW- Pzole 800 WG - 18 gr - 300")</f>
        <v>[Nhãn thùng] GC - II - 634 - AGC NEW- Pzole 800 WG - 18 gr - 300</v>
      </c>
      <c r="E1105" s="87" t="str">
        <f>IFERROR(__xludf.DUMMYFUNCTION("""COMPUTED_VALUE"""),"TOPZOLE 800WG")</f>
        <v>TOPZOLE 800WG</v>
      </c>
      <c r="F1105" s="87" t="str">
        <f>IFERROR(__xludf.DUMMYFUNCTION("""COMPUTED_VALUE"""),"HH0634")</f>
        <v>HH0634</v>
      </c>
      <c r="G1105" s="87" t="str">
        <f>IFERROR(__xludf.DUMMYFUNCTION("""COMPUTED_VALUE"""),"GC - II - 634 - AGC NEW- Pzole 800 WG - 18 gr - 300")</f>
        <v>GC - II - 634 - AGC NEW- Pzole 800 WG - 18 gr - 300</v>
      </c>
    </row>
    <row r="1106">
      <c r="A1106" s="86">
        <f>IFERROR(__xludf.DUMMYFUNCTION("""COMPUTED_VALUE"""),1104.0)</f>
        <v>1104</v>
      </c>
      <c r="B1106" s="87" t="str">
        <f>IFERROR(__xludf.DUMMYFUNCTION("""COMPUTED_VALUE"""),"Nhãn")</f>
        <v>Nhãn</v>
      </c>
      <c r="C1106" s="87" t="str">
        <f>IFERROR(__xludf.DUMMYFUNCTION("""COMPUTED_VALUE"""),"NHG0635")</f>
        <v>NHG0635</v>
      </c>
      <c r="D1106" s="87" t="str">
        <f>IFERROR(__xludf.DUMMYFUNCTION("""COMPUTED_VALUE"""),"[Nhãn] GC - II - 635 - AGC NEW- Nati 281EW (chai PET tròn)- 240ml - 40")</f>
        <v>[Nhãn] GC - II - 635 - AGC NEW- Nati 281EW (chai PET tròn)- 240ml - 40</v>
      </c>
      <c r="E1106" s="87" t="str">
        <f>IFERROR(__xludf.DUMMYFUNCTION("""COMPUTED_VALUE"""),"TOPNATI 281EW")</f>
        <v>TOPNATI 281EW</v>
      </c>
      <c r="F1106" s="87" t="str">
        <f>IFERROR(__xludf.DUMMYFUNCTION("""COMPUTED_VALUE"""),"HH0635")</f>
        <v>HH0635</v>
      </c>
      <c r="G1106" s="87" t="str">
        <f>IFERROR(__xludf.DUMMYFUNCTION("""COMPUTED_VALUE"""),"GC - II - 635 - AGC NEW- Nati 281EW (chai PET tròn)- 240ml - 40")</f>
        <v>GC - II - 635 - AGC NEW- Nati 281EW (chai PET tròn)- 240ml - 40</v>
      </c>
    </row>
    <row r="1107">
      <c r="A1107" s="86">
        <f>IFERROR(__xludf.DUMMYFUNCTION("""COMPUTED_VALUE"""),1105.0)</f>
        <v>1105</v>
      </c>
      <c r="B1107" s="87" t="str">
        <f>IFERROR(__xludf.DUMMYFUNCTION("""COMPUTED_VALUE"""),"Nhãn")</f>
        <v>Nhãn</v>
      </c>
      <c r="C1107" s="87" t="str">
        <f>IFERROR(__xludf.DUMMYFUNCTION("""COMPUTED_VALUE"""),"NTN0636")</f>
        <v>NTN0636</v>
      </c>
      <c r="D1107" s="87" t="str">
        <f>IFERROR(__xludf.DUMMYFUNCTION("""COMPUTED_VALUE"""),"[Nhãn] GC - II - 636 - AGC NEW - Ray xanh - 80gr - 150")</f>
        <v>[Nhãn] GC - II - 636 - AGC NEW - Ray xanh - 80gr - 150</v>
      </c>
      <c r="E1107" s="87" t="str">
        <f>IFERROR(__xludf.DUMMYFUNCTION("""COMPUTED_VALUE"""),"RAYXANH 200WP")</f>
        <v>RAYXANH 200WP</v>
      </c>
      <c r="F1107" s="87" t="str">
        <f>IFERROR(__xludf.DUMMYFUNCTION("""COMPUTED_VALUE"""),"HH0636")</f>
        <v>HH0636</v>
      </c>
      <c r="G1107" s="87" t="str">
        <f>IFERROR(__xludf.DUMMYFUNCTION("""COMPUTED_VALUE"""),"GC - II - 636 - AGC NEW - Ray xanh - 80gr - 150")</f>
        <v>GC - II - 636 - AGC NEW - Ray xanh - 80gr - 150</v>
      </c>
    </row>
    <row r="1108">
      <c r="A1108" s="86">
        <f>IFERROR(__xludf.DUMMYFUNCTION("""COMPUTED_VALUE"""),1106.0)</f>
        <v>1106</v>
      </c>
      <c r="B1108" s="87" t="str">
        <f>IFERROR(__xludf.DUMMYFUNCTION("""COMPUTED_VALUE"""),"Nhãn")</f>
        <v>Nhãn</v>
      </c>
      <c r="C1108" s="87" t="str">
        <f>IFERROR(__xludf.DUMMYFUNCTION("""COMPUTED_VALUE"""),"NHD0637")</f>
        <v>NHD0637</v>
      </c>
      <c r="D1108" s="87" t="str">
        <f>IFERROR(__xludf.DUMMYFUNCTION("""COMPUTED_VALUE"""),"[Nhãn] GC - II - K - 637 - AGC NEW - Cochay N0.3 (chai vuông) - 900ml- 20")</f>
        <v>[Nhãn] GC - II - K - 637 - AGC NEW - Cochay N0.3 (chai vuông) - 900ml- 20</v>
      </c>
      <c r="E1108" s="87" t="str">
        <f>IFERROR(__xludf.DUMMYFUNCTION("""COMPUTED_VALUE"""),"COCHAY 200SL")</f>
        <v>COCHAY 200SL</v>
      </c>
      <c r="F1108" s="87" t="str">
        <f>IFERROR(__xludf.DUMMYFUNCTION("""COMPUTED_VALUE"""),"HH0637")</f>
        <v>HH0637</v>
      </c>
      <c r="G1108" s="87" t="str">
        <f>IFERROR(__xludf.DUMMYFUNCTION("""COMPUTED_VALUE"""),"GC - II - K - 637 - AGC NEW - Cochay N0.3 (chai vuông) - 900ml- 20")</f>
        <v>GC - II - K - 637 - AGC NEW - Cochay N0.3 (chai vuông) - 900ml- 20</v>
      </c>
    </row>
    <row r="1109">
      <c r="A1109" s="86">
        <f>IFERROR(__xludf.DUMMYFUNCTION("""COMPUTED_VALUE"""),1107.0)</f>
        <v>1107</v>
      </c>
      <c r="B1109" s="87" t="str">
        <f>IFERROR(__xludf.DUMMYFUNCTION("""COMPUTED_VALUE"""),"Nhãn")</f>
        <v>Nhãn</v>
      </c>
      <c r="C1109" s="87" t="str">
        <f>IFERROR(__xludf.DUMMYFUNCTION("""COMPUTED_VALUE"""),"NTN0638")</f>
        <v>NTN0638</v>
      </c>
      <c r="D1109" s="87" t="str">
        <f>IFERROR(__xludf.DUMMYFUNCTION("""COMPUTED_VALUE"""),"[Nhãn] GC - II - 638 - AGC NEW - Centertaner 500 WP - 12.5 gr - 500")</f>
        <v>[Nhãn] GC - II - 638 - AGC NEW - Centertaner 500 WP - 12.5 gr - 500</v>
      </c>
      <c r="E1109" s="87" t="str">
        <f>IFERROR(__xludf.DUMMYFUNCTION("""COMPUTED_VALUE"""),"Centertaner 500WP")</f>
        <v>Centertaner 500WP</v>
      </c>
      <c r="F1109" s="87" t="str">
        <f>IFERROR(__xludf.DUMMYFUNCTION("""COMPUTED_VALUE"""),"HH0638")</f>
        <v>HH0638</v>
      </c>
      <c r="G1109" s="87" t="str">
        <f>IFERROR(__xludf.DUMMYFUNCTION("""COMPUTED_VALUE"""),"GC - II - 638 - AGC NEW - Centertaner 500 WP - 12.5 gr - 500")</f>
        <v>GC - II - 638 - AGC NEW - Centertaner 500 WP - 12.5 gr - 500</v>
      </c>
    </row>
    <row r="1110">
      <c r="A1110" s="86">
        <f>IFERROR(__xludf.DUMMYFUNCTION("""COMPUTED_VALUE"""),1108.0)</f>
        <v>1108</v>
      </c>
      <c r="B1110" s="87" t="str">
        <f>IFERROR(__xludf.DUMMYFUNCTION("""COMPUTED_VALUE"""),"Nhãn")</f>
        <v>Nhãn</v>
      </c>
      <c r="C1110" s="87" t="str">
        <f>IFERROR(__xludf.DUMMYFUNCTION("""COMPUTED_VALUE"""),"NTN0638.1")</f>
        <v>NTN0638.1</v>
      </c>
      <c r="D1110" s="87" t="str">
        <f>IFERROR(__xludf.DUMMYFUNCTION("""COMPUTED_VALUE"""),"[Nhãn] GC - II - 638.1 - AGC NEW - Centertaner 500 WP - 12.5 gr - 250")</f>
        <v>[Nhãn] GC - II - 638.1 - AGC NEW - Centertaner 500 WP - 12.5 gr - 250</v>
      </c>
      <c r="E1110" s="87" t="str">
        <f>IFERROR(__xludf.DUMMYFUNCTION("""COMPUTED_VALUE"""),"Centertaner 500WP")</f>
        <v>Centertaner 500WP</v>
      </c>
      <c r="F1110" s="87" t="str">
        <f>IFERROR(__xludf.DUMMYFUNCTION("""COMPUTED_VALUE"""),"HH38.1")</f>
        <v>HH38.1</v>
      </c>
      <c r="G1110" s="87" t="str">
        <f>IFERROR(__xludf.DUMMYFUNCTION("""COMPUTED_VALUE"""),"GC - II - 638.1 - AGC NEW - Centertaner 500 WP - 12.5 gr - 250")</f>
        <v>GC - II - 638.1 - AGC NEW - Centertaner 500 WP - 12.5 gr - 250</v>
      </c>
    </row>
    <row r="1111">
      <c r="A1111" s="86">
        <f>IFERROR(__xludf.DUMMYFUNCTION("""COMPUTED_VALUE"""),1109.0)</f>
        <v>1109</v>
      </c>
      <c r="B1111" s="87" t="str">
        <f>IFERROR(__xludf.DUMMYFUNCTION("""COMPUTED_VALUE"""),"Nhãn")</f>
        <v>Nhãn</v>
      </c>
      <c r="C1111" s="87" t="str">
        <f>IFERROR(__xludf.DUMMYFUNCTION("""COMPUTED_VALUE"""),"NHG0639")</f>
        <v>NHG0639</v>
      </c>
      <c r="D1111" s="87" t="str">
        <f>IFERROR(__xludf.DUMMYFUNCTION("""COMPUTED_VALUE"""),"[Nhãn] GC - II - 639 - AGC NEW- Atopsuper 400SC (chai PET tròn)- 240ml - 40")</f>
        <v>[Nhãn] GC - II - 639 - AGC NEW- Atopsuper 400SC (chai PET tròn)- 240ml - 40</v>
      </c>
      <c r="E1111" s="87" t="str">
        <f>IFERROR(__xludf.DUMMYFUNCTION("""COMPUTED_VALUE"""),"ASMILTATOPSUPER 400SC")</f>
        <v>ASMILTATOPSUPER 400SC</v>
      </c>
      <c r="F1111" s="87" t="str">
        <f>IFERROR(__xludf.DUMMYFUNCTION("""COMPUTED_VALUE"""),"HH0639")</f>
        <v>HH0639</v>
      </c>
      <c r="G1111" s="87" t="str">
        <f>IFERROR(__xludf.DUMMYFUNCTION("""COMPUTED_VALUE"""),"GC - II - 639 - AGC NEW- Atopsuper 400SC (chai PET tròn)- 240ml - 40")</f>
        <v>GC - II - 639 - AGC NEW- Atopsuper 400SC (chai PET tròn)- 240ml - 40</v>
      </c>
    </row>
    <row r="1112">
      <c r="A1112" s="86">
        <f>IFERROR(__xludf.DUMMYFUNCTION("""COMPUTED_VALUE"""),1110.0)</f>
        <v>1110</v>
      </c>
      <c r="B1112" s="87" t="str">
        <f>IFERROR(__xludf.DUMMYFUNCTION("""COMPUTED_VALUE"""),"Nhãn")</f>
        <v>Nhãn</v>
      </c>
      <c r="C1112" s="87" t="str">
        <f>IFERROR(__xludf.DUMMYFUNCTION("""COMPUTED_VALUE"""),"NHG0640")</f>
        <v>NHG0640</v>
      </c>
      <c r="D1112" s="87" t="str">
        <f>IFERROR(__xludf.DUMMYFUNCTION("""COMPUTED_VALUE"""),"[Nhãn] GC - II - 640 - AGC NEW - Lougent 450SC (chai PET tròn) - 240ml - 40")</f>
        <v>[Nhãn] GC - II - 640 - AGC NEW - Lougent 450SC (chai PET tròn) - 240ml - 40</v>
      </c>
      <c r="E1112" s="87" t="str">
        <f>IFERROR(__xludf.DUMMYFUNCTION("""COMPUTED_VALUE"""),"APLOUGENT 450SC")</f>
        <v>APLOUGENT 450SC</v>
      </c>
      <c r="F1112" s="87" t="str">
        <f>IFERROR(__xludf.DUMMYFUNCTION("""COMPUTED_VALUE"""),"HH0640")</f>
        <v>HH0640</v>
      </c>
      <c r="G1112" s="87" t="str">
        <f>IFERROR(__xludf.DUMMYFUNCTION("""COMPUTED_VALUE"""),"GC - II - 640 - AGC NEW - Lougent 450SC (chai PET tròn) - 240ml - 40")</f>
        <v>GC - II - 640 - AGC NEW - Lougent 450SC (chai PET tròn) - 240ml - 40</v>
      </c>
    </row>
    <row r="1113">
      <c r="A1113" s="86">
        <f>IFERROR(__xludf.DUMMYFUNCTION("""COMPUTED_VALUE"""),1111.0)</f>
        <v>1111</v>
      </c>
      <c r="B1113" s="87" t="str">
        <f>IFERROR(__xludf.DUMMYFUNCTION("""COMPUTED_VALUE"""),"Nhãn")</f>
        <v>Nhãn</v>
      </c>
      <c r="C1113" s="87" t="str">
        <f>IFERROR(__xludf.DUMMYFUNCTION("""COMPUTED_VALUE"""),"NHG0641")</f>
        <v>NHG0641</v>
      </c>
      <c r="D1113" s="87" t="str">
        <f>IFERROR(__xludf.DUMMYFUNCTION("""COMPUTED_VALUE"""),"[Nhãn] GC - II - 641 - AGC NEW - Japane 20SL (chai tròn) - 450ml - 40")</f>
        <v>[Nhãn] GC - II - 641 - AGC NEW - Japane 20SL (chai tròn) - 450ml - 40</v>
      </c>
      <c r="E1113" s="87" t="str">
        <f>IFERROR(__xludf.DUMMYFUNCTION("""COMPUTED_VALUE"""),"Kamycinjapane 20SL")</f>
        <v>Kamycinjapane 20SL</v>
      </c>
      <c r="F1113" s="87" t="str">
        <f>IFERROR(__xludf.DUMMYFUNCTION("""COMPUTED_VALUE"""),"HH0641")</f>
        <v>HH0641</v>
      </c>
      <c r="G1113" s="87" t="str">
        <f>IFERROR(__xludf.DUMMYFUNCTION("""COMPUTED_VALUE"""),"GC - II - 641 - AGC NEW - Japane 20SL (chai tròn) - 450ml - 40")</f>
        <v>GC - II - 641 - AGC NEW - Japane 20SL (chai tròn) - 450ml - 40</v>
      </c>
    </row>
    <row r="1114">
      <c r="A1114" s="86">
        <f>IFERROR(__xludf.DUMMYFUNCTION("""COMPUTED_VALUE"""),1112.0)</f>
        <v>1112</v>
      </c>
      <c r="B1114" s="87" t="str">
        <f>IFERROR(__xludf.DUMMYFUNCTION("""COMPUTED_VALUE"""),"Nhãn")</f>
        <v>Nhãn</v>
      </c>
      <c r="C1114" s="87" t="str">
        <f>IFERROR(__xludf.DUMMYFUNCTION("""COMPUTED_VALUE"""),"NHG0643")</f>
        <v>NHG0643</v>
      </c>
      <c r="D1114" s="87" t="str">
        <f>IFERROR(__xludf.DUMMYFUNCTION("""COMPUTED_VALUE"""),"[Nhãn] GC - II - 643 - AGC NEW - Emy 19EC (chai PET tròn) - 450ml - 40")</f>
        <v>[Nhãn] GC - II - 643 - AGC NEW - Emy 19EC (chai PET tròn) - 450ml - 40</v>
      </c>
      <c r="E1114" s="87" t="str">
        <f>IFERROR(__xludf.DUMMYFUNCTION("""COMPUTED_VALUE"""),"Remy 19EC")</f>
        <v>Remy 19EC</v>
      </c>
      <c r="F1114" s="87" t="str">
        <f>IFERROR(__xludf.DUMMYFUNCTION("""COMPUTED_VALUE"""),"HH0643")</f>
        <v>HH0643</v>
      </c>
      <c r="G1114" s="87" t="str">
        <f>IFERROR(__xludf.DUMMYFUNCTION("""COMPUTED_VALUE"""),"GC - II - 643 - AGC NEW - Emy 19EC (chai PET tròn) - 450ml - 40")</f>
        <v>GC - II - 643 - AGC NEW - Emy 19EC (chai PET tròn) - 450ml - 40</v>
      </c>
    </row>
    <row r="1115">
      <c r="A1115" s="86">
        <f>IFERROR(__xludf.DUMMYFUNCTION("""COMPUTED_VALUE"""),1113.0)</f>
        <v>1113</v>
      </c>
      <c r="B1115" s="87" t="str">
        <f>IFERROR(__xludf.DUMMYFUNCTION("""COMPUTED_VALUE"""),"Nhãn")</f>
        <v>Nhãn</v>
      </c>
      <c r="C1115" s="87" t="str">
        <f>IFERROR(__xludf.DUMMYFUNCTION("""COMPUTED_VALUE"""),"NHG0644")</f>
        <v>NHG0644</v>
      </c>
      <c r="D1115" s="87" t="str">
        <f>IFERROR(__xludf.DUMMYFUNCTION("""COMPUTED_VALUE"""),"[Nhãn] GC - II - 644 - AGC NEW - Bamec 3.6 (Pet tròn) (nước đục) - 450ml - 40")</f>
        <v>[Nhãn] GC - II - 644 - AGC NEW - Bamec 3.6 (Pet tròn) (nước đục) - 450ml - 40</v>
      </c>
      <c r="E1115" s="87" t="str">
        <f>IFERROR(__xludf.DUMMYFUNCTION("""COMPUTED_VALUE"""),"Tikabamec 3.6EC")</f>
        <v>Tikabamec 3.6EC</v>
      </c>
      <c r="F1115" s="87" t="str">
        <f>IFERROR(__xludf.DUMMYFUNCTION("""COMPUTED_VALUE"""),"HH0644")</f>
        <v>HH0644</v>
      </c>
      <c r="G1115" s="87" t="str">
        <f>IFERROR(__xludf.DUMMYFUNCTION("""COMPUTED_VALUE"""),"GC - II - 644 - AGC NEW - Bamec 3.6 (Pet tròn) (nước đục) - 450ml - 40")</f>
        <v>GC - II - 644 - AGC NEW - Bamec 3.6 (Pet tròn) (nước đục) - 450ml - 40</v>
      </c>
    </row>
    <row r="1116">
      <c r="A1116" s="86">
        <f>IFERROR(__xludf.DUMMYFUNCTION("""COMPUTED_VALUE"""),1114.0)</f>
        <v>1114</v>
      </c>
      <c r="B1116" s="87" t="str">
        <f>IFERROR(__xludf.DUMMYFUNCTION("""COMPUTED_VALUE"""),"Nhãn")</f>
        <v>Nhãn</v>
      </c>
      <c r="C1116" s="87" t="str">
        <f>IFERROR(__xludf.DUMMYFUNCTION("""COMPUTED_VALUE"""),"NTN0645")</f>
        <v>NTN0645</v>
      </c>
      <c r="D1116" s="87" t="str">
        <f>IFERROR(__xludf.DUMMYFUNCTION("""COMPUTED_VALUE"""),"[Nhãn] GC - II - 645 - AGC NEW - Mancozeb 800 Xanh - 1 kg - 20")</f>
        <v>[Nhãn] GC - II - 645 - AGC NEW - Mancozeb 800 Xanh - 1 kg - 20</v>
      </c>
      <c r="E1116" s="87" t="str">
        <f>IFERROR(__xludf.DUMMYFUNCTION("""COMPUTED_VALUE"""),"TVZEB 800WP")</f>
        <v>TVZEB 800WP</v>
      </c>
      <c r="F1116" s="87" t="str">
        <f>IFERROR(__xludf.DUMMYFUNCTION("""COMPUTED_VALUE"""),"HH0645")</f>
        <v>HH0645</v>
      </c>
      <c r="G1116" s="87" t="str">
        <f>IFERROR(__xludf.DUMMYFUNCTION("""COMPUTED_VALUE"""),"GC - II - 645 - AGC NEW - Mancozeb 800 Xanh - 1 kg - 20")</f>
        <v>GC - II - 645 - AGC NEW - Mancozeb 800 Xanh - 1 kg - 20</v>
      </c>
    </row>
    <row r="1117">
      <c r="A1117" s="86">
        <f>IFERROR(__xludf.DUMMYFUNCTION("""COMPUTED_VALUE"""),1115.0)</f>
        <v>1115</v>
      </c>
      <c r="B1117" s="87" t="str">
        <f>IFERROR(__xludf.DUMMYFUNCTION("""COMPUTED_VALUE"""),"Nhãn thùng")</f>
        <v>Nhãn thùng</v>
      </c>
      <c r="C1117" s="87" t="str">
        <f>IFERROR(__xludf.DUMMYFUNCTION("""COMPUTED_VALUE"""),"NDT0645")</f>
        <v>NDT0645</v>
      </c>
      <c r="D1117" s="87" t="str">
        <f>IFERROR(__xludf.DUMMYFUNCTION("""COMPUTED_VALUE"""),"[Nhãn thùng] GC - II - 645 - AGC NEW - Mancozeb 800 Xanh - 1 kg - 20")</f>
        <v>[Nhãn thùng] GC - II - 645 - AGC NEW - Mancozeb 800 Xanh - 1 kg - 20</v>
      </c>
      <c r="E1117" s="87" t="str">
        <f>IFERROR(__xludf.DUMMYFUNCTION("""COMPUTED_VALUE"""),"TVZEB 800WP")</f>
        <v>TVZEB 800WP</v>
      </c>
      <c r="F1117" s="87" t="str">
        <f>IFERROR(__xludf.DUMMYFUNCTION("""COMPUTED_VALUE"""),"HH0645")</f>
        <v>HH0645</v>
      </c>
      <c r="G1117" s="87" t="str">
        <f>IFERROR(__xludf.DUMMYFUNCTION("""COMPUTED_VALUE"""),"GC - II - 645 - AGC NEW - Mancozeb 800 Xanh - 1 kg - 20")</f>
        <v>GC - II - 645 - AGC NEW - Mancozeb 800 Xanh - 1 kg - 20</v>
      </c>
    </row>
    <row r="1118">
      <c r="A1118" s="86">
        <f>IFERROR(__xludf.DUMMYFUNCTION("""COMPUTED_VALUE"""),1116.0)</f>
        <v>1116</v>
      </c>
      <c r="B1118" s="87" t="str">
        <f>IFERROR(__xludf.DUMMYFUNCTION("""COMPUTED_VALUE"""),"Nhãn")</f>
        <v>Nhãn</v>
      </c>
      <c r="C1118" s="87" t="str">
        <f>IFERROR(__xludf.DUMMYFUNCTION("""COMPUTED_VALUE"""),"NHG0646")</f>
        <v>NHG0646</v>
      </c>
      <c r="D1118" s="87" t="str">
        <f>IFERROR(__xludf.DUMMYFUNCTION("""COMPUTED_VALUE"""),"[Nhãn] GC - II - 646 - Dưỡng Cây Mập Chồi 500 ml - 40")</f>
        <v>[Nhãn] GC - II - 646 - Dưỡng Cây Mập Chồi 500 ml - 40</v>
      </c>
      <c r="E1118" s="87" t="str">
        <f>IFERROR(__xludf.DUMMYFUNCTION("""COMPUTED_VALUE"""),"Vi lượng AV-CFC Plus")</f>
        <v>Vi lượng AV-CFC Plus</v>
      </c>
      <c r="F1118" s="87" t="str">
        <f>IFERROR(__xludf.DUMMYFUNCTION("""COMPUTED_VALUE"""),"HH0646")</f>
        <v>HH0646</v>
      </c>
      <c r="G1118" s="87" t="str">
        <f>IFERROR(__xludf.DUMMYFUNCTION("""COMPUTED_VALUE"""),"GC - II - 646 - Dưỡng Cây Mập Chồi 500 ml - 40")</f>
        <v>GC - II - 646 - Dưỡng Cây Mập Chồi 500 ml - 40</v>
      </c>
    </row>
    <row r="1119">
      <c r="A1119" s="86">
        <f>IFERROR(__xludf.DUMMYFUNCTION("""COMPUTED_VALUE"""),1117.0)</f>
        <v>1117</v>
      </c>
      <c r="B1119" s="87" t="str">
        <f>IFERROR(__xludf.DUMMYFUNCTION("""COMPUTED_VALUE"""),"Nhãn")</f>
        <v>Nhãn</v>
      </c>
      <c r="C1119" s="87" t="str">
        <f>IFERROR(__xludf.DUMMYFUNCTION("""COMPUTED_VALUE"""),"NHG0647")</f>
        <v>NHG0647</v>
      </c>
      <c r="D1119" s="87" t="str">
        <f>IFERROR(__xludf.DUMMYFUNCTION("""COMPUTED_VALUE"""),"[Nhãn] IDA Global - I - 647 - ĐL Cô Ba -Cá mập 300 plus - 240ml - 40")</f>
        <v>[Nhãn] IDA Global - I - 647 - ĐL Cô Ba -Cá mập 300 plus - 240ml - 40</v>
      </c>
      <c r="E1119" s="87" t="str">
        <f>IFERROR(__xludf.DUMMYFUNCTION("""COMPUTED_VALUE"""),"Solonapy 300SC")</f>
        <v>Solonapy 300SC</v>
      </c>
      <c r="F1119" s="87" t="str">
        <f>IFERROR(__xludf.DUMMYFUNCTION("""COMPUTED_VALUE"""),"HH0647")</f>
        <v>HH0647</v>
      </c>
      <c r="G1119" s="87" t="str">
        <f>IFERROR(__xludf.DUMMYFUNCTION("""COMPUTED_VALUE"""),"IDA Global - I - 647 - ĐL Cô Ba -Cá mập 300 plus - 240ml - 40")</f>
        <v>IDA Global - I - 647 - ĐL Cô Ba -Cá mập 300 plus - 240ml - 40</v>
      </c>
    </row>
    <row r="1120">
      <c r="A1120" s="86">
        <f>IFERROR(__xludf.DUMMYFUNCTION("""COMPUTED_VALUE"""),1118.0)</f>
        <v>1118</v>
      </c>
      <c r="B1120" s="87" t="str">
        <f>IFERROR(__xludf.DUMMYFUNCTION("""COMPUTED_VALUE"""),"Nhãn")</f>
        <v>Nhãn</v>
      </c>
      <c r="C1120" s="87" t="str">
        <f>IFERROR(__xludf.DUMMYFUNCTION("""COMPUTED_VALUE"""),"NTN0648")</f>
        <v>NTN0648</v>
      </c>
      <c r="D1120" s="87" t="str">
        <f>IFERROR(__xludf.DUMMYFUNCTION("""COMPUTED_VALUE"""),"[Nhãn] GC - II - 648 - AU - Humix - 1 kg - 25")</f>
        <v>[Nhãn] GC - II - 648 - AU - Humix - 1 kg - 25</v>
      </c>
      <c r="E1120" s="87" t="str">
        <f>IFERROR(__xludf.DUMMYFUNCTION("""COMPUTED_VALUE"""),"Prima 04")</f>
        <v>Prima 04</v>
      </c>
      <c r="F1120" s="87" t="str">
        <f>IFERROR(__xludf.DUMMYFUNCTION("""COMPUTED_VALUE"""),"HH0648")</f>
        <v>HH0648</v>
      </c>
      <c r="G1120" s="87" t="str">
        <f>IFERROR(__xludf.DUMMYFUNCTION("""COMPUTED_VALUE"""),"GC - II - 648 - AU - Humix - 1 kg - 25")</f>
        <v>GC - II - 648 - AU - Humix - 1 kg - 25</v>
      </c>
    </row>
    <row r="1121">
      <c r="A1121" s="86">
        <f>IFERROR(__xludf.DUMMYFUNCTION("""COMPUTED_VALUE"""),1119.0)</f>
        <v>1119</v>
      </c>
      <c r="B1121" s="87" t="str">
        <f>IFERROR(__xludf.DUMMYFUNCTION("""COMPUTED_VALUE"""),"Nhãn")</f>
        <v>Nhãn</v>
      </c>
      <c r="C1121" s="87" t="str">
        <f>IFERROR(__xludf.DUMMYFUNCTION("""COMPUTED_VALUE"""),"NHG0648")</f>
        <v>NHG0648</v>
      </c>
      <c r="D1121" s="87" t="str">
        <f>IFERROR(__xludf.DUMMYFUNCTION("""COMPUTED_VALUE"""),"[Nhãn] GC - II - 648 - AU - Humix - 1 kg - 25")</f>
        <v>[Nhãn] GC - II - 648 - AU - Humix - 1 kg - 25</v>
      </c>
      <c r="E1121" s="87" t="str">
        <f>IFERROR(__xludf.DUMMYFUNCTION("""COMPUTED_VALUE"""),"Prima 04")</f>
        <v>Prima 04</v>
      </c>
      <c r="F1121" s="87" t="str">
        <f>IFERROR(__xludf.DUMMYFUNCTION("""COMPUTED_VALUE"""),"HH0648")</f>
        <v>HH0648</v>
      </c>
      <c r="G1121" s="87" t="str">
        <f>IFERROR(__xludf.DUMMYFUNCTION("""COMPUTED_VALUE"""),"GC - II - 648 - AU - Humix - 1 kg - 25")</f>
        <v>GC - II - 648 - AU - Humix - 1 kg - 25</v>
      </c>
    </row>
    <row r="1122">
      <c r="A1122" s="86">
        <f>IFERROR(__xludf.DUMMYFUNCTION("""COMPUTED_VALUE"""),1120.0)</f>
        <v>1120</v>
      </c>
      <c r="B1122" s="87" t="str">
        <f>IFERROR(__xludf.DUMMYFUNCTION("""COMPUTED_VALUE"""),"Nhãn")</f>
        <v>Nhãn</v>
      </c>
      <c r="C1122" s="87" t="str">
        <f>IFERROR(__xludf.DUMMYFUNCTION("""COMPUTED_VALUE"""),"NHG0653")</f>
        <v>NHG0653</v>
      </c>
      <c r="D1122" s="87" t="str">
        <f>IFERROR(__xludf.DUMMYFUNCTION("""COMPUTED_VALUE"""),"[Nhãn] GC - II - 653 - Huy Phát - A-CARI (chai nhôm đỏ) - 240ml - 40")</f>
        <v>[Nhãn] GC - II - 653 - Huy Phát - A-CARI (chai nhôm đỏ) - 240ml - 40</v>
      </c>
      <c r="E1122" s="87" t="str">
        <f>IFERROR(__xludf.DUMMYFUNCTION("""COMPUTED_VALUE"""),"CHIM ƯNG 3.8EC")</f>
        <v>CHIM ƯNG 3.8EC</v>
      </c>
      <c r="F1122" s="87" t="str">
        <f>IFERROR(__xludf.DUMMYFUNCTION("""COMPUTED_VALUE"""),"HH0653")</f>
        <v>HH0653</v>
      </c>
      <c r="G1122" s="87" t="str">
        <f>IFERROR(__xludf.DUMMYFUNCTION("""COMPUTED_VALUE"""),"GC - II - 653 - Huy Phát - A-CARI (chai nhôm đỏ) - 240ml - 40")</f>
        <v>GC - II - 653 - Huy Phát - A-CARI (chai nhôm đỏ) - 240ml - 40</v>
      </c>
    </row>
    <row r="1123">
      <c r="A1123" s="86">
        <f>IFERROR(__xludf.DUMMYFUNCTION("""COMPUTED_VALUE"""),1121.0)</f>
        <v>1121</v>
      </c>
      <c r="B1123" s="87" t="str">
        <f>IFERROR(__xludf.DUMMYFUNCTION("""COMPUTED_VALUE"""),"Nhãn")</f>
        <v>Nhãn</v>
      </c>
      <c r="C1123" s="87" t="str">
        <f>IFERROR(__xludf.DUMMYFUNCTION("""COMPUTED_VALUE"""),"NHD0654")</f>
        <v>NHD0654</v>
      </c>
      <c r="D1123" s="87" t="str">
        <f>IFERROR(__xludf.DUMMYFUNCTION("""COMPUTED_VALUE"""),"[Nhãn] LOT IDA Global - I - K - 654 - Cochay 200SL (chai PET vuông) - 900ml- 20")</f>
        <v>[Nhãn] LOT IDA Global - I - K - 654 - Cochay 200SL (chai PET vuông) - 900ml- 20</v>
      </c>
      <c r="E1123" s="87" t="str">
        <f>IFERROR(__xludf.DUMMYFUNCTION("""COMPUTED_VALUE"""),"COCHAY 200SL")</f>
        <v>COCHAY 200SL</v>
      </c>
      <c r="F1123" s="87" t="str">
        <f>IFERROR(__xludf.DUMMYFUNCTION("""COMPUTED_VALUE"""),"HH0654")</f>
        <v>HH0654</v>
      </c>
      <c r="G1123" s="87" t="str">
        <f>IFERROR(__xludf.DUMMYFUNCTION("""COMPUTED_VALUE"""),"LOT IDA Global - I - K - 654 - Cochay 200SL (chai PET vuông) - 900ml- 20")</f>
        <v>LOT IDA Global - I - K - 654 - Cochay 200SL (chai PET vuông) - 900ml- 20</v>
      </c>
    </row>
    <row r="1124">
      <c r="A1124" s="86">
        <f>IFERROR(__xludf.DUMMYFUNCTION("""COMPUTED_VALUE"""),1122.0)</f>
        <v>1122</v>
      </c>
      <c r="B1124" s="87" t="str">
        <f>IFERROR(__xludf.DUMMYFUNCTION("""COMPUTED_VALUE"""),"Nhãn")</f>
        <v>Nhãn</v>
      </c>
      <c r="C1124" s="87" t="str">
        <f>IFERROR(__xludf.DUMMYFUNCTION("""COMPUTED_VALUE"""),"NTG0655")</f>
        <v>NTG0655</v>
      </c>
      <c r="D1124" s="87" t="str">
        <f>IFERROR(__xludf.DUMMYFUNCTION("""COMPUTED_VALUE"""),"[Nhãn] IDA Global - I - 655 - Ray xanh 200 WP - 100 gr - 100")</f>
        <v>[Nhãn] IDA Global - I - 655 - Ray xanh 200 WP - 100 gr - 100</v>
      </c>
      <c r="E1124" s="87" t="str">
        <f>IFERROR(__xludf.DUMMYFUNCTION("""COMPUTED_VALUE"""),"RAYXANH 200WP")</f>
        <v>RAYXANH 200WP</v>
      </c>
      <c r="F1124" s="87" t="str">
        <f>IFERROR(__xludf.DUMMYFUNCTION("""COMPUTED_VALUE"""),"HH0655")</f>
        <v>HH0655</v>
      </c>
      <c r="G1124" s="87" t="str">
        <f>IFERROR(__xludf.DUMMYFUNCTION("""COMPUTED_VALUE"""),"IDA Global - I - 655 - Ray xanh 200 WP - 100 gr - 100")</f>
        <v>IDA Global - I - 655 - Ray xanh 200 WP - 100 gr - 100</v>
      </c>
    </row>
    <row r="1125">
      <c r="A1125" s="86">
        <f>IFERROR(__xludf.DUMMYFUNCTION("""COMPUTED_VALUE"""),1123.0)</f>
        <v>1123</v>
      </c>
      <c r="B1125" s="87" t="str">
        <f>IFERROR(__xludf.DUMMYFUNCTION("""COMPUTED_VALUE"""),"Nhãn")</f>
        <v>Nhãn</v>
      </c>
      <c r="C1125" s="87" t="str">
        <f>IFERROR(__xludf.DUMMYFUNCTION("""COMPUTED_VALUE"""),"NHG0656")</f>
        <v>NHG0656</v>
      </c>
      <c r="D1125" s="87" t="str">
        <f>IFERROR(__xludf.DUMMYFUNCTION("""COMPUTED_VALUE"""),"[Nhãn] IDA Global - I - 656 - ĐL VĐ - Cá mập 300 (PET) - 240ml - 40")</f>
        <v>[Nhãn] IDA Global - I - 656 - ĐL VĐ - Cá mập 300 (PET) - 240ml - 40</v>
      </c>
      <c r="E1125" s="87" t="str">
        <f>IFERROR(__xludf.DUMMYFUNCTION("""COMPUTED_VALUE"""),"Solonapy 300SC")</f>
        <v>Solonapy 300SC</v>
      </c>
      <c r="F1125" s="87" t="str">
        <f>IFERROR(__xludf.DUMMYFUNCTION("""COMPUTED_VALUE"""),"HH0656")</f>
        <v>HH0656</v>
      </c>
      <c r="G1125" s="87" t="str">
        <f>IFERROR(__xludf.DUMMYFUNCTION("""COMPUTED_VALUE"""),"IDA Global - I - 656 - ĐL VĐ - Cá mập 300 (PET) - 240ml - 40")</f>
        <v>IDA Global - I - 656 - ĐL VĐ - Cá mập 300 (PET) - 240ml - 40</v>
      </c>
    </row>
    <row r="1126">
      <c r="A1126" s="86">
        <f>IFERROR(__xludf.DUMMYFUNCTION("""COMPUTED_VALUE"""),1124.0)</f>
        <v>1124</v>
      </c>
      <c r="B1126" s="87" t="str">
        <f>IFERROR(__xludf.DUMMYFUNCTION("""COMPUTED_VALUE"""),"Nhãn")</f>
        <v>Nhãn</v>
      </c>
      <c r="C1126" s="87" t="str">
        <f>IFERROR(__xludf.DUMMYFUNCTION("""COMPUTED_VALUE"""),"NHG0657")</f>
        <v>NHG0657</v>
      </c>
      <c r="D1126" s="87" t="str">
        <f>IFERROR(__xludf.DUMMYFUNCTION("""COMPUTED_VALUE"""),"[Nhãn] GC - II - 657 - AP - Nano Avil - 1lit - 20 (btp,nl)")</f>
        <v>[Nhãn] GC - II - 657 - AP - Nano Avil - 1lit - 20 (btp,nl)</v>
      </c>
      <c r="E1126" s="87" t="str">
        <f>IFERROR(__xludf.DUMMYFUNCTION("""COMPUTED_VALUE"""),"Mekongvil 5SC")</f>
        <v>Mekongvil 5SC</v>
      </c>
      <c r="F1126" s="87" t="str">
        <f>IFERROR(__xludf.DUMMYFUNCTION("""COMPUTED_VALUE"""),"HH0657")</f>
        <v>HH0657</v>
      </c>
      <c r="G1126" s="87" t="str">
        <f>IFERROR(__xludf.DUMMYFUNCTION("""COMPUTED_VALUE"""),"GC - II - 657 - AP - Nano Avil - 1lit - 20 (btp,nl)")</f>
        <v>GC - II - 657 - AP - Nano Avil - 1lit - 20 (btp,nl)</v>
      </c>
    </row>
    <row r="1127">
      <c r="A1127" s="86">
        <f>IFERROR(__xludf.DUMMYFUNCTION("""COMPUTED_VALUE"""),1125.0)</f>
        <v>1125</v>
      </c>
      <c r="B1127" s="87" t="str">
        <f>IFERROR(__xludf.DUMMYFUNCTION("""COMPUTED_VALUE"""),"Nhãn")</f>
        <v>Nhãn</v>
      </c>
      <c r="C1127" s="87" t="str">
        <f>IFERROR(__xludf.DUMMYFUNCTION("""COMPUTED_VALUE"""),"NTN0658")</f>
        <v>NTN0658</v>
      </c>
      <c r="D1127" s="87" t="str">
        <f>IFERROR(__xludf.DUMMYFUNCTION("""COMPUTED_VALUE"""),"[Nhãn] GC - II - 658 - Giang Tây - Thalonil 75WP (flexo) - 250gr - 52")</f>
        <v>[Nhãn] GC - II - 658 - Giang Tây - Thalonil 75WP (flexo) - 250gr - 52</v>
      </c>
      <c r="E1127" s="87" t="str">
        <f>IFERROR(__xludf.DUMMYFUNCTION("""COMPUTED_VALUE"""),"THALONIL 75WP")</f>
        <v>THALONIL 75WP</v>
      </c>
      <c r="F1127" s="87" t="str">
        <f>IFERROR(__xludf.DUMMYFUNCTION("""COMPUTED_VALUE"""),"HH0658")</f>
        <v>HH0658</v>
      </c>
      <c r="G1127" s="87" t="str">
        <f>IFERROR(__xludf.DUMMYFUNCTION("""COMPUTED_VALUE"""),"GC - II - 658 - Giang Tây - Thalonil 75WP (flexo) - 250gr - 52")</f>
        <v>GC - II - 658 - Giang Tây - Thalonil 75WP (flexo) - 250gr - 52</v>
      </c>
    </row>
    <row r="1128">
      <c r="A1128" s="86">
        <f>IFERROR(__xludf.DUMMYFUNCTION("""COMPUTED_VALUE"""),1126.0)</f>
        <v>1126</v>
      </c>
      <c r="B1128" s="87" t="str">
        <f>IFERROR(__xludf.DUMMYFUNCTION("""COMPUTED_VALUE"""),"Nhãn")</f>
        <v>Nhãn</v>
      </c>
      <c r="C1128" s="87" t="str">
        <f>IFERROR(__xludf.DUMMYFUNCTION("""COMPUTED_VALUE"""),"NHG0659")</f>
        <v>NHG0659</v>
      </c>
      <c r="D1128" s="87" t="str">
        <f>IFERROR(__xludf.DUMMYFUNCTION("""COMPUTED_VALUE"""),"[Nhãn] LOT IDA Global - I - 659 - ĐL Cô Ba - Hexa 5 sao- 1 Lít - 20(btp,nl)")</f>
        <v>[Nhãn] LOT IDA Global - I - 659 - ĐL Cô Ba - Hexa 5 sao- 1 Lít - 20(btp,nl)</v>
      </c>
      <c r="E1128" s="87" t="str">
        <f>IFERROR(__xludf.DUMMYFUNCTION("""COMPUTED_VALUE"""),"Mekongvil 5SC")</f>
        <v>Mekongvil 5SC</v>
      </c>
      <c r="F1128" s="87" t="str">
        <f>IFERROR(__xludf.DUMMYFUNCTION("""COMPUTED_VALUE"""),"HH0659")</f>
        <v>HH0659</v>
      </c>
      <c r="G1128" s="87" t="str">
        <f>IFERROR(__xludf.DUMMYFUNCTION("""COMPUTED_VALUE"""),"LOT IDA Global - I - 659 - ĐL Cô Ba - Hexa 5 sao- 1 Lít - 20(btp,nl)")</f>
        <v>LOT IDA Global - I - 659 - ĐL Cô Ba - Hexa 5 sao- 1 Lít - 20(btp,nl)</v>
      </c>
    </row>
    <row r="1129">
      <c r="A1129" s="86">
        <f>IFERROR(__xludf.DUMMYFUNCTION("""COMPUTED_VALUE"""),1127.0)</f>
        <v>1127</v>
      </c>
      <c r="B1129" s="87" t="str">
        <f>IFERROR(__xludf.DUMMYFUNCTION("""COMPUTED_VALUE"""),"Nhãn")</f>
        <v>Nhãn</v>
      </c>
      <c r="C1129" s="87" t="str">
        <f>IFERROR(__xludf.DUMMYFUNCTION("""COMPUTED_VALUE"""),"NTN0665")</f>
        <v>NTN0665</v>
      </c>
      <c r="D1129" s="87" t="str">
        <f>IFERROR(__xludf.DUMMYFUNCTION("""COMPUTED_VALUE"""),"[Nhãn] GC - II - 665 - Nông Lâm Hoà Phát - Humiix Us - 1kg - 25 ([btp],t)")</f>
        <v>[Nhãn] GC - II - 665 - Nông Lâm Hoà Phát - Humiix Us - 1kg - 25 ([btp],t)</v>
      </c>
      <c r="E1129" s="87" t="str">
        <f>IFERROR(__xludf.DUMMYFUNCTION("""COMPUTED_VALUE"""),"Prima 04")</f>
        <v>Prima 04</v>
      </c>
      <c r="F1129" s="87" t="str">
        <f>IFERROR(__xludf.DUMMYFUNCTION("""COMPUTED_VALUE"""),"HH0665")</f>
        <v>HH0665</v>
      </c>
      <c r="G1129" s="87" t="str">
        <f>IFERROR(__xludf.DUMMYFUNCTION("""COMPUTED_VALUE"""),"GC - II - 665 - Nông Lâm Hoà Phát - Humiix Us - 1kg - 25 ([btp],t)")</f>
        <v>GC - II - 665 - Nông Lâm Hoà Phát - Humiix Us - 1kg - 25 ([btp],t)</v>
      </c>
    </row>
    <row r="1130">
      <c r="A1130" s="86">
        <f>IFERROR(__xludf.DUMMYFUNCTION("""COMPUTED_VALUE"""),1128.0)</f>
        <v>1128</v>
      </c>
      <c r="B1130" s="87" t="str">
        <f>IFERROR(__xludf.DUMMYFUNCTION("""COMPUTED_VALUE"""),"Nhãn")</f>
        <v>Nhãn</v>
      </c>
      <c r="C1130" s="87" t="str">
        <f>IFERROR(__xludf.DUMMYFUNCTION("""COMPUTED_VALUE"""),"NDT0665")</f>
        <v>NDT0665</v>
      </c>
      <c r="D1130" s="87" t="str">
        <f>IFERROR(__xludf.DUMMYFUNCTION("""COMPUTED_VALUE"""),"[Nhãn] GC - II - 665 - Nông Lâm Hoà Phát - Humiix Us - 1kg - 25 ([btp],t)")</f>
        <v>[Nhãn] GC - II - 665 - Nông Lâm Hoà Phát - Humiix Us - 1kg - 25 ([btp],t)</v>
      </c>
      <c r="E1130" s="87" t="str">
        <f>IFERROR(__xludf.DUMMYFUNCTION("""COMPUTED_VALUE"""),"Prima 04")</f>
        <v>Prima 04</v>
      </c>
      <c r="F1130" s="87" t="str">
        <f>IFERROR(__xludf.DUMMYFUNCTION("""COMPUTED_VALUE"""),"HH0665")</f>
        <v>HH0665</v>
      </c>
      <c r="G1130" s="87" t="str">
        <f>IFERROR(__xludf.DUMMYFUNCTION("""COMPUTED_VALUE"""),"GC - II - 665 - Nông Lâm Hoà Phát - Humiix Us - 1kg - 25 ([btp],t)")</f>
        <v>GC - II - 665 - Nông Lâm Hoà Phát - Humiix Us - 1kg - 25 ([btp],t)</v>
      </c>
    </row>
    <row r="1131">
      <c r="A1131" s="86">
        <f>IFERROR(__xludf.DUMMYFUNCTION("""COMPUTED_VALUE"""),1129.0)</f>
        <v>1129</v>
      </c>
      <c r="B1131" s="87" t="str">
        <f>IFERROR(__xludf.DUMMYFUNCTION("""COMPUTED_VALUE"""),"Nhãn")</f>
        <v>Nhãn</v>
      </c>
      <c r="C1131" s="87" t="str">
        <f>IFERROR(__xludf.DUMMYFUNCTION("""COMPUTED_VALUE"""),"NHD0666")</f>
        <v>NHD0666</v>
      </c>
      <c r="D1131" s="87" t="str">
        <f>IFERROR(__xludf.DUMMYFUNCTION("""COMPUTED_VALUE"""),"[Nhãn] GC - II - 666 - AU - Gel Humiix - 20 kg - 1 ([btp],x,n)")</f>
        <v>[Nhãn] GC - II - 666 - AU - Gel Humiix - 20 kg - 1 ([btp],x,n)</v>
      </c>
      <c r="E1131" s="87" t="str">
        <f>IFERROR(__xludf.DUMMYFUNCTION("""COMPUTED_VALUE"""),"Prima 04")</f>
        <v>Prima 04</v>
      </c>
      <c r="F1131" s="87" t="str">
        <f>IFERROR(__xludf.DUMMYFUNCTION("""COMPUTED_VALUE"""),"HH0666")</f>
        <v>HH0666</v>
      </c>
      <c r="G1131" s="87" t="str">
        <f>IFERROR(__xludf.DUMMYFUNCTION("""COMPUTED_VALUE"""),"GC - II - 666 - AU - Gel Humiix - 20 kg - 1 ([btp],x,n)")</f>
        <v>GC - II - 666 - AU - Gel Humiix - 20 kg - 1 ([btp],x,n)</v>
      </c>
    </row>
    <row r="1132">
      <c r="A1132" s="86">
        <f>IFERROR(__xludf.DUMMYFUNCTION("""COMPUTED_VALUE"""),1130.0)</f>
        <v>1130</v>
      </c>
      <c r="B1132" s="87" t="str">
        <f>IFERROR(__xludf.DUMMYFUNCTION("""COMPUTED_VALUE"""),"Nhãn")</f>
        <v>Nhãn</v>
      </c>
      <c r="C1132" s="87" t="str">
        <f>IFERROR(__xludf.DUMMYFUNCTION("""COMPUTED_VALUE"""),"NHD0667")</f>
        <v>NHD0667</v>
      </c>
      <c r="D1132" s="87" t="str">
        <f>IFERROR(__xludf.DUMMYFUNCTION("""COMPUTED_VALUE"""),"[Nhãn] GC - II - 667 - AU - Root vọt đọt thần tốc - 5L - 4")</f>
        <v>[Nhãn] GC - II - 667 - AU - Root vọt đọt thần tốc - 5L - 4</v>
      </c>
      <c r="E1132" s="87" t="str">
        <f>IFERROR(__xludf.DUMMYFUNCTION("""COMPUTED_VALUE"""),"Prima 04")</f>
        <v>Prima 04</v>
      </c>
      <c r="F1132" s="87" t="str">
        <f>IFERROR(__xludf.DUMMYFUNCTION("""COMPUTED_VALUE"""),"HH0667")</f>
        <v>HH0667</v>
      </c>
      <c r="G1132" s="87" t="str">
        <f>IFERROR(__xludf.DUMMYFUNCTION("""COMPUTED_VALUE"""),"GC - II - 667 - AU - Root vọt đọt thần tốc - 5L - 4")</f>
        <v>GC - II - 667 - AU - Root vọt đọt thần tốc - 5L - 4</v>
      </c>
    </row>
    <row r="1133">
      <c r="A1133" s="86">
        <f>IFERROR(__xludf.DUMMYFUNCTION("""COMPUTED_VALUE"""),1131.0)</f>
        <v>1131</v>
      </c>
      <c r="B1133" s="87" t="str">
        <f>IFERROR(__xludf.DUMMYFUNCTION("""COMPUTED_VALUE"""),"Nhãn")</f>
        <v>Nhãn</v>
      </c>
      <c r="C1133" s="87" t="str">
        <f>IFERROR(__xludf.DUMMYFUNCTION("""COMPUTED_VALUE"""),"NHG0668")</f>
        <v>NHG0668</v>
      </c>
      <c r="D1133" s="87" t="str">
        <f>IFERROR(__xludf.DUMMYFUNCTION("""COMPUTED_VALUE"""),"[Nhãn] GC - II - 668 - Agriplant - Bio Strong Gold - 5L - 4 ([btp],t,c)")</f>
        <v>[Nhãn] GC - II - 668 - Agriplant - Bio Strong Gold - 5L - 4 ([btp],t,c)</v>
      </c>
      <c r="E1133" s="87" t="str">
        <f>IFERROR(__xludf.DUMMYFUNCTION("""COMPUTED_VALUE"""),"Prima 04")</f>
        <v>Prima 04</v>
      </c>
      <c r="F1133" s="87" t="str">
        <f>IFERROR(__xludf.DUMMYFUNCTION("""COMPUTED_VALUE"""),"HH0668")</f>
        <v>HH0668</v>
      </c>
      <c r="G1133" s="87" t="str">
        <f>IFERROR(__xludf.DUMMYFUNCTION("""COMPUTED_VALUE"""),"GC - II - 668 - Agriplant - Bio Strong Gold - 5L - 4 ([btp],t,c)")</f>
        <v>GC - II - 668 - Agriplant - Bio Strong Gold - 5L - 4 ([btp],t,c)</v>
      </c>
    </row>
    <row r="1134">
      <c r="A1134" s="86">
        <f>IFERROR(__xludf.DUMMYFUNCTION("""COMPUTED_VALUE"""),1132.0)</f>
        <v>1132</v>
      </c>
      <c r="B1134" s="87" t="str">
        <f>IFERROR(__xludf.DUMMYFUNCTION("""COMPUTED_VALUE"""),"Nhãn")</f>
        <v>Nhãn</v>
      </c>
      <c r="C1134" s="87" t="str">
        <f>IFERROR(__xludf.DUMMYFUNCTION("""COMPUTED_VALUE"""),"NHG0669")</f>
        <v>NHG0669</v>
      </c>
      <c r="D1134" s="87" t="str">
        <f>IFERROR(__xludf.DUMMYFUNCTION("""COMPUTED_VALUE"""),"[Nhãn] GC - II - 669 - A Hoài - Annvil Duc (Chai HD cao cấp) - 1L - 20")</f>
        <v>[Nhãn] GC - II - 669 - A Hoài - Annvil Duc (Chai HD cao cấp) - 1L - 20</v>
      </c>
      <c r="E1134" s="87" t="str">
        <f>IFERROR(__xludf.DUMMYFUNCTION("""COMPUTED_VALUE"""),"Mekongvil 5SC")</f>
        <v>Mekongvil 5SC</v>
      </c>
      <c r="F1134" s="87" t="str">
        <f>IFERROR(__xludf.DUMMYFUNCTION("""COMPUTED_VALUE"""),"HH0669")</f>
        <v>HH0669</v>
      </c>
      <c r="G1134" s="87" t="str">
        <f>IFERROR(__xludf.DUMMYFUNCTION("""COMPUTED_VALUE"""),"GC - II - 669 - A Hoài - Annvil Duc (Chai HD cao cấp) - 1L - 20")</f>
        <v>GC - II - 669 - A Hoài - Annvil Duc (Chai HD cao cấp) - 1L - 20</v>
      </c>
    </row>
    <row r="1135">
      <c r="A1135" s="86">
        <f>IFERROR(__xludf.DUMMYFUNCTION("""COMPUTED_VALUE"""),1133.0)</f>
        <v>1133</v>
      </c>
      <c r="B1135" s="87" t="str">
        <f>IFERROR(__xludf.DUMMYFUNCTION("""COMPUTED_VALUE"""),"Nhãn")</f>
        <v>Nhãn</v>
      </c>
      <c r="C1135" s="87" t="str">
        <f>IFERROR(__xludf.DUMMYFUNCTION("""COMPUTED_VALUE"""),"NHG0670")</f>
        <v>NHG0670</v>
      </c>
      <c r="D1135" s="87" t="str">
        <f>IFERROR(__xludf.DUMMYFUNCTION("""COMPUTED_VALUE"""),"[Nhãn] GC - II - 670 - Châu Giang - Mekongvil 5SC (chai HD) - 1L - 20")</f>
        <v>[Nhãn] GC - II - 670 - Châu Giang - Mekongvil 5SC (chai HD) - 1L - 20</v>
      </c>
      <c r="E1135" s="87" t="str">
        <f>IFERROR(__xludf.DUMMYFUNCTION("""COMPUTED_VALUE"""),"Mekongvil 5SC")</f>
        <v>Mekongvil 5SC</v>
      </c>
      <c r="F1135" s="87" t="str">
        <f>IFERROR(__xludf.DUMMYFUNCTION("""COMPUTED_VALUE"""),"HH0670")</f>
        <v>HH0670</v>
      </c>
      <c r="G1135" s="87" t="str">
        <f>IFERROR(__xludf.DUMMYFUNCTION("""COMPUTED_VALUE"""),"GC - II - 670 - Châu Giang - Mekongvil 5SC (chai HD) - 1L - 20")</f>
        <v>GC - II - 670 - Châu Giang - Mekongvil 5SC (chai HD) - 1L - 20</v>
      </c>
    </row>
    <row r="1136">
      <c r="A1136" s="86">
        <f>IFERROR(__xludf.DUMMYFUNCTION("""COMPUTED_VALUE"""),1134.0)</f>
        <v>1134</v>
      </c>
      <c r="B1136" s="87" t="str">
        <f>IFERROR(__xludf.DUMMYFUNCTION("""COMPUTED_VALUE"""),"Nhãn")</f>
        <v>Nhãn</v>
      </c>
      <c r="C1136" s="87" t="str">
        <f>IFERROR(__xludf.DUMMYFUNCTION("""COMPUTED_VALUE"""),"NHG0671")</f>
        <v>NHG0671</v>
      </c>
      <c r="D1136" s="87" t="str">
        <f>IFERROR(__xludf.DUMMYFUNCTION("""COMPUTED_VALUE"""),"[Nhãn] GC - II - 671 - SH Mekongvil 5SC - 1 lít - 20")</f>
        <v>[Nhãn] GC - II - 671 - SH Mekongvil 5SC - 1 lít - 20</v>
      </c>
      <c r="E1136" s="87" t="str">
        <f>IFERROR(__xludf.DUMMYFUNCTION("""COMPUTED_VALUE"""),"Mekongvil 5SC")</f>
        <v>Mekongvil 5SC</v>
      </c>
      <c r="F1136" s="87" t="str">
        <f>IFERROR(__xludf.DUMMYFUNCTION("""COMPUTED_VALUE"""),"HH0671")</f>
        <v>HH0671</v>
      </c>
      <c r="G1136" s="87" t="str">
        <f>IFERROR(__xludf.DUMMYFUNCTION("""COMPUTED_VALUE"""),"GC - II - 671 - SH Mekongvil 5SC - 1 lít - 20")</f>
        <v>GC - II - 671 - SH Mekongvil 5SC - 1 lít - 20</v>
      </c>
    </row>
    <row r="1137">
      <c r="A1137" s="86">
        <f>IFERROR(__xludf.DUMMYFUNCTION("""COMPUTED_VALUE"""),1135.0)</f>
        <v>1135</v>
      </c>
      <c r="B1137" s="87" t="str">
        <f>IFERROR(__xludf.DUMMYFUNCTION("""COMPUTED_VALUE"""),"Nhãn")</f>
        <v>Nhãn</v>
      </c>
      <c r="C1137" s="87" t="str">
        <f>IFERROR(__xludf.DUMMYFUNCTION("""COMPUTED_VALUE"""),"NHG0672")</f>
        <v>NHG0672</v>
      </c>
      <c r="D1137" s="87" t="str">
        <f>IFERROR(__xludf.DUMMYFUNCTION("""COMPUTED_VALUE"""),"[Nhãn] GC - IV - 672 - Agriscience - Javi vil 50SC (Chai HD CC) - (BTP Hồng)- 1L - 20")</f>
        <v>[Nhãn] GC - IV - 672 - Agriscience - Javi vil 50SC (Chai HD CC) - (BTP Hồng)- 1L - 20</v>
      </c>
      <c r="E1137" s="87" t="str">
        <f>IFERROR(__xludf.DUMMYFUNCTION("""COMPUTED_VALUE"""),"JAVI VIL 50SC")</f>
        <v>JAVI VIL 50SC</v>
      </c>
      <c r="F1137" s="87" t="str">
        <f>IFERROR(__xludf.DUMMYFUNCTION("""COMPUTED_VALUE"""),"HH0672")</f>
        <v>HH0672</v>
      </c>
      <c r="G1137" s="87" t="str">
        <f>IFERROR(__xludf.DUMMYFUNCTION("""COMPUTED_VALUE"""),"GC - IV - 672 - Agriscience - Javi vil 50SC (Chai HD CC) - (BTP Hồng)- 1L - 20")</f>
        <v>GC - IV - 672 - Agriscience - Javi vil 50SC (Chai HD CC) - (BTP Hồng)- 1L - 20</v>
      </c>
    </row>
    <row r="1138">
      <c r="A1138" s="86">
        <f>IFERROR(__xludf.DUMMYFUNCTION("""COMPUTED_VALUE"""),1136.0)</f>
        <v>1136</v>
      </c>
      <c r="B1138" s="87" t="str">
        <f>IFERROR(__xludf.DUMMYFUNCTION("""COMPUTED_VALUE"""),"Nhãn")</f>
        <v>Nhãn</v>
      </c>
      <c r="C1138" s="87" t="str">
        <f>IFERROR(__xludf.DUMMYFUNCTION("""COMPUTED_VALUE"""),"NHG0673")</f>
        <v>NHG0673</v>
      </c>
      <c r="D1138" s="87" t="str">
        <f>IFERROR(__xludf.DUMMYFUNCTION("""COMPUTED_VALUE"""),"[Nhãn] GC - IV - 673 - Agriscience - New Fuze 200SC (chai PET tròn)- 120ml -100")</f>
        <v>[Nhãn] GC - IV - 673 - Agriscience - New Fuze 200SC (chai PET tròn)- 120ml -100</v>
      </c>
      <c r="E1138" s="87" t="str">
        <f>IFERROR(__xludf.DUMMYFUNCTION("""COMPUTED_VALUE"""),"NEW FUZE 200SC")</f>
        <v>NEW FUZE 200SC</v>
      </c>
      <c r="F1138" s="87" t="str">
        <f>IFERROR(__xludf.DUMMYFUNCTION("""COMPUTED_VALUE"""),"HH0673")</f>
        <v>HH0673</v>
      </c>
      <c r="G1138" s="87" t="str">
        <f>IFERROR(__xludf.DUMMYFUNCTION("""COMPUTED_VALUE"""),"GC - IV - 673 - Agriscience - New Fuze 200SC (chai PET tròn)- 120ml -100")</f>
        <v>GC - IV - 673 - Agriscience - New Fuze 200SC (chai PET tròn)- 120ml -100</v>
      </c>
    </row>
    <row r="1139">
      <c r="A1139" s="86">
        <f>IFERROR(__xludf.DUMMYFUNCTION("""COMPUTED_VALUE"""),1137.0)</f>
        <v>1137</v>
      </c>
      <c r="B1139" s="87" t="str">
        <f>IFERROR(__xludf.DUMMYFUNCTION("""COMPUTED_VALUE"""),"Nhãn")</f>
        <v>Nhãn</v>
      </c>
      <c r="C1139" s="87" t="str">
        <f>IFERROR(__xludf.DUMMYFUNCTION("""COMPUTED_VALUE"""),"NTN0674")</f>
        <v>NTN0674</v>
      </c>
      <c r="D1139" s="87" t="str">
        <f>IFERROR(__xludf.DUMMYFUNCTION("""COMPUTED_VALUE"""),"[Nhãn] GC - IV - 674 - Agriscience - Thalonil 75WP (túi nhôm) - 100gr -100")</f>
        <v>[Nhãn] GC - IV - 674 - Agriscience - Thalonil 75WP (túi nhôm) - 100gr -100</v>
      </c>
      <c r="E1139" s="87" t="str">
        <f>IFERROR(__xludf.DUMMYFUNCTION("""COMPUTED_VALUE"""),"THALONIL 75WP")</f>
        <v>THALONIL 75WP</v>
      </c>
      <c r="F1139" s="87" t="str">
        <f>IFERROR(__xludf.DUMMYFUNCTION("""COMPUTED_VALUE"""),"HH0674")</f>
        <v>HH0674</v>
      </c>
      <c r="G1139" s="87" t="str">
        <f>IFERROR(__xludf.DUMMYFUNCTION("""COMPUTED_VALUE"""),"GC - IV - 674 - Agriscience - Thalonil 75WP (túi nhôm) - 100gr -100")</f>
        <v>GC - IV - 674 - Agriscience - Thalonil 75WP (túi nhôm) - 100gr -100</v>
      </c>
    </row>
    <row r="1140">
      <c r="A1140" s="86">
        <f>IFERROR(__xludf.DUMMYFUNCTION("""COMPUTED_VALUE"""),1138.0)</f>
        <v>1138</v>
      </c>
      <c r="B1140" s="87" t="str">
        <f>IFERROR(__xludf.DUMMYFUNCTION("""COMPUTED_VALUE"""),"Nhãn")</f>
        <v>Nhãn</v>
      </c>
      <c r="C1140" s="87" t="str">
        <f>IFERROR(__xludf.DUMMYFUNCTION("""COMPUTED_VALUE"""),"NHG0675")</f>
        <v>NHG0675</v>
      </c>
      <c r="D1140" s="87" t="str">
        <f>IFERROR(__xludf.DUMMYFUNCTION("""COMPUTED_VALUE"""),"[Nhãn] GC - II - 675 - BM - Vil 5SC - 1L - 20")</f>
        <v>[Nhãn] GC - II - 675 - BM - Vil 5SC - 1L - 20</v>
      </c>
      <c r="E1140" s="87" t="str">
        <f>IFERROR(__xludf.DUMMYFUNCTION("""COMPUTED_VALUE"""),"Mekongvil 5SC")</f>
        <v>Mekongvil 5SC</v>
      </c>
      <c r="F1140" s="87" t="str">
        <f>IFERROR(__xludf.DUMMYFUNCTION("""COMPUTED_VALUE"""),"HH0675")</f>
        <v>HH0675</v>
      </c>
      <c r="G1140" s="87" t="str">
        <f>IFERROR(__xludf.DUMMYFUNCTION("""COMPUTED_VALUE"""),"GC - II - 675 - BM - Vil 5SC - 1L - 20")</f>
        <v>GC - II - 675 - BM - Vil 5SC - 1L - 20</v>
      </c>
    </row>
    <row r="1141">
      <c r="A1141" s="86">
        <f>IFERROR(__xludf.DUMMYFUNCTION("""COMPUTED_VALUE"""),1139.0)</f>
        <v>1139</v>
      </c>
      <c r="B1141" s="87" t="str">
        <f>IFERROR(__xludf.DUMMYFUNCTION("""COMPUTED_VALUE"""),"Nhãn")</f>
        <v>Nhãn</v>
      </c>
      <c r="C1141" s="87" t="str">
        <f>IFERROR(__xludf.DUMMYFUNCTION("""COMPUTED_VALUE"""),"NHG0676")</f>
        <v>NHG0676</v>
      </c>
      <c r="D1141" s="87" t="str">
        <f>IFERROR(__xludf.DUMMYFUNCTION("""COMPUTED_VALUE"""),"[Nhãn] GC - II - 676 - Agriplant - Sâu - nhện (PET tròn) (BTP trong)- 450ml - 40")</f>
        <v>[Nhãn] GC - II - 676 - Agriplant - Sâu - nhện (PET tròn) (BTP trong)- 450ml - 40</v>
      </c>
      <c r="E1141" s="87" t="str">
        <f>IFERROR(__xludf.DUMMYFUNCTION("""COMPUTED_VALUE"""),"Tikabamec 3.6EC")</f>
        <v>Tikabamec 3.6EC</v>
      </c>
      <c r="F1141" s="87" t="str">
        <f>IFERROR(__xludf.DUMMYFUNCTION("""COMPUTED_VALUE"""),"HH0676")</f>
        <v>HH0676</v>
      </c>
      <c r="G1141" s="87" t="str">
        <f>IFERROR(__xludf.DUMMYFUNCTION("""COMPUTED_VALUE"""),"GC - II - 676 - Agriplant - Sâu - nhện (PET tròn) (BTP trong)- 450ml - 40")</f>
        <v>GC - II - 676 - Agriplant - Sâu - nhện (PET tròn) (BTP trong)- 450ml - 40</v>
      </c>
    </row>
    <row r="1142">
      <c r="A1142" s="86">
        <f>IFERROR(__xludf.DUMMYFUNCTION("""COMPUTED_VALUE"""),1140.0)</f>
        <v>1140</v>
      </c>
      <c r="B1142" s="87" t="str">
        <f>IFERROR(__xludf.DUMMYFUNCTION("""COMPUTED_VALUE"""),"Nhãn")</f>
        <v>Nhãn</v>
      </c>
      <c r="C1142" s="87" t="str">
        <f>IFERROR(__xludf.DUMMYFUNCTION("""COMPUTED_VALUE"""),"NTN0677")</f>
        <v>NTN0677</v>
      </c>
      <c r="D1142" s="87" t="str">
        <f>IFERROR(__xludf.DUMMYFUNCTION("""COMPUTED_VALUE"""),"[Nhãn] GC - II - 677 - AU - Diệt sạch nấm (flexo) - 100gr - 100")</f>
        <v>[Nhãn] GC - II - 677 - AU - Diệt sạch nấm (flexo) - 100gr - 100</v>
      </c>
      <c r="E1142" s="87" t="str">
        <f>IFERROR(__xludf.DUMMYFUNCTION("""COMPUTED_VALUE"""),"THALONIL 75WP")</f>
        <v>THALONIL 75WP</v>
      </c>
      <c r="F1142" s="87" t="str">
        <f>IFERROR(__xludf.DUMMYFUNCTION("""COMPUTED_VALUE"""),"HH0677")</f>
        <v>HH0677</v>
      </c>
      <c r="G1142" s="87" t="str">
        <f>IFERROR(__xludf.DUMMYFUNCTION("""COMPUTED_VALUE"""),"GC - II - 677 - AU - Diệt sạch nấm (flexo) - 100gr - 100")</f>
        <v>GC - II - 677 - AU - Diệt sạch nấm (flexo) - 100gr - 100</v>
      </c>
    </row>
    <row r="1143">
      <c r="A1143" s="86">
        <f>IFERROR(__xludf.DUMMYFUNCTION("""COMPUTED_VALUE"""),1141.0)</f>
        <v>1141</v>
      </c>
      <c r="B1143" s="87" t="str">
        <f>IFERROR(__xludf.DUMMYFUNCTION("""COMPUTED_VALUE"""),"Nhãn")</f>
        <v>Nhãn</v>
      </c>
      <c r="C1143" s="87" t="str">
        <f>IFERROR(__xludf.DUMMYFUNCTION("""COMPUTED_VALUE"""),"NTN0678")</f>
        <v>NTN0678</v>
      </c>
      <c r="D1143" s="87" t="str">
        <f>IFERROR(__xludf.DUMMYFUNCTION("""COMPUTED_VALUE"""),"[Nhãn] GC - II - 678 - AU - Chlorothalonil (flexo)- 100gr - 100")</f>
        <v>[Nhãn] GC - II - 678 - AU - Chlorothalonil (flexo)- 100gr - 100</v>
      </c>
      <c r="E1143" s="87" t="str">
        <f>IFERROR(__xludf.DUMMYFUNCTION("""COMPUTED_VALUE"""),"THALONIL 75WP")</f>
        <v>THALONIL 75WP</v>
      </c>
      <c r="F1143" s="87" t="str">
        <f>IFERROR(__xludf.DUMMYFUNCTION("""COMPUTED_VALUE"""),"HH0678")</f>
        <v>HH0678</v>
      </c>
      <c r="G1143" s="87" t="str">
        <f>IFERROR(__xludf.DUMMYFUNCTION("""COMPUTED_VALUE"""),"GC - II - 678 - AU - Chlorothalonil (flexo)- 100gr - 100")</f>
        <v>GC - II - 678 - AU - Chlorothalonil (flexo)- 100gr - 100</v>
      </c>
    </row>
    <row r="1144">
      <c r="A1144" s="86">
        <f>IFERROR(__xludf.DUMMYFUNCTION("""COMPUTED_VALUE"""),1142.0)</f>
        <v>1142</v>
      </c>
      <c r="B1144" s="87" t="str">
        <f>IFERROR(__xludf.DUMMYFUNCTION("""COMPUTED_VALUE"""),"Nhãn")</f>
        <v>Nhãn</v>
      </c>
      <c r="C1144" s="87" t="str">
        <f>IFERROR(__xludf.DUMMYFUNCTION("""COMPUTED_VALUE"""),"NHG0679")</f>
        <v>NHG0679</v>
      </c>
      <c r="D1144" s="87" t="str">
        <f>IFERROR(__xludf.DUMMYFUNCTION("""COMPUTED_VALUE"""),"[Nhãn] GC - I - 679 - AU - Diều Hâu Đen (chai nhôm xanh dương) - 240ml - 40")</f>
        <v>[Nhãn] GC - I - 679 - AU - Diều Hâu Đen (chai nhôm xanh dương) - 240ml - 40</v>
      </c>
      <c r="E1144" s="87" t="str">
        <f>IFERROR(__xludf.DUMMYFUNCTION("""COMPUTED_VALUE"""),"CHIM ƯNG 3.8EC")</f>
        <v>CHIM ƯNG 3.8EC</v>
      </c>
      <c r="F1144" s="87" t="str">
        <f>IFERROR(__xludf.DUMMYFUNCTION("""COMPUTED_VALUE"""),"HH0679")</f>
        <v>HH0679</v>
      </c>
      <c r="G1144" s="87" t="str">
        <f>IFERROR(__xludf.DUMMYFUNCTION("""COMPUTED_VALUE"""),"GC - I - 679 - AU - Diều Hâu Đen (chai nhôm xanh dương) - 240ml - 40")</f>
        <v>GC - I - 679 - AU - Diều Hâu Đen (chai nhôm xanh dương) - 240ml - 40</v>
      </c>
    </row>
    <row r="1145">
      <c r="A1145" s="86">
        <f>IFERROR(__xludf.DUMMYFUNCTION("""COMPUTED_VALUE"""),1143.0)</f>
        <v>1143</v>
      </c>
      <c r="B1145" s="87" t="str">
        <f>IFERROR(__xludf.DUMMYFUNCTION("""COMPUTED_VALUE"""),"Nhãn")</f>
        <v>Nhãn</v>
      </c>
      <c r="C1145" s="87" t="str">
        <f>IFERROR(__xludf.DUMMYFUNCTION("""COMPUTED_VALUE"""),"NTN0681")</f>
        <v>NTN0681</v>
      </c>
      <c r="D1145" s="87" t="str">
        <f>IFERROR(__xludf.DUMMYFUNCTION("""COMPUTED_VALUE"""),"[Nhãn] GC - II - 681 - Agrikey VN - Agronil (flexo) - 500gr - 30")</f>
        <v>[Nhãn] GC - II - 681 - Agrikey VN - Agronil (flexo) - 500gr - 30</v>
      </c>
      <c r="E1145" s="87" t="str">
        <f>IFERROR(__xludf.DUMMYFUNCTION("""COMPUTED_VALUE"""),"THALONIL 75WP")</f>
        <v>THALONIL 75WP</v>
      </c>
      <c r="F1145" s="87" t="str">
        <f>IFERROR(__xludf.DUMMYFUNCTION("""COMPUTED_VALUE"""),"HH0681")</f>
        <v>HH0681</v>
      </c>
      <c r="G1145" s="87" t="str">
        <f>IFERROR(__xludf.DUMMYFUNCTION("""COMPUTED_VALUE"""),"GC - II - 681 - Agrikey VN - Agronil (flexo) - 500gr - 30")</f>
        <v>GC - II - 681 - Agrikey VN - Agronil (flexo) - 500gr - 30</v>
      </c>
    </row>
    <row r="1146">
      <c r="A1146" s="86">
        <f>IFERROR(__xludf.DUMMYFUNCTION("""COMPUTED_VALUE"""),1144.0)</f>
        <v>1144</v>
      </c>
      <c r="B1146" s="87" t="str">
        <f>IFERROR(__xludf.DUMMYFUNCTION("""COMPUTED_VALUE"""),"Nhãn")</f>
        <v>Nhãn</v>
      </c>
      <c r="C1146" s="87" t="str">
        <f>IFERROR(__xludf.DUMMYFUNCTION("""COMPUTED_VALUE"""),"NHD0682")</f>
        <v>NHD0682</v>
      </c>
      <c r="D1146" s="87" t="str">
        <f>IFERROR(__xludf.DUMMYFUNCTION("""COMPUTED_VALUE"""),"[Nhãn] GC - II - 682 - Đồng Phát - Doffatine 19 - 450ml - 40")</f>
        <v>[Nhãn] GC - II - 682 - Đồng Phát - Doffatine 19 - 450ml - 40</v>
      </c>
      <c r="E1146" s="87" t="str">
        <f>IFERROR(__xludf.DUMMYFUNCTION("""COMPUTED_VALUE"""),"Remy 19EC")</f>
        <v>Remy 19EC</v>
      </c>
      <c r="F1146" s="87" t="str">
        <f>IFERROR(__xludf.DUMMYFUNCTION("""COMPUTED_VALUE"""),"HH0682")</f>
        <v>HH0682</v>
      </c>
      <c r="G1146" s="87" t="str">
        <f>IFERROR(__xludf.DUMMYFUNCTION("""COMPUTED_VALUE"""),"GC - II - 682 - Đồng Phát - Doffatine 19 - 450ml - 40")</f>
        <v>GC - II - 682 - Đồng Phát - Doffatine 19 - 450ml - 40</v>
      </c>
    </row>
    <row r="1147">
      <c r="A1147" s="86">
        <f>IFERROR(__xludf.DUMMYFUNCTION("""COMPUTED_VALUE"""),1145.0)</f>
        <v>1145</v>
      </c>
      <c r="B1147" s="87" t="str">
        <f>IFERROR(__xludf.DUMMYFUNCTION("""COMPUTED_VALUE"""),"Nhãn")</f>
        <v>Nhãn</v>
      </c>
      <c r="C1147" s="87" t="str">
        <f>IFERROR(__xludf.DUMMYFUNCTION("""COMPUTED_VALUE"""),"NHG0683")</f>
        <v>NHG0683</v>
      </c>
      <c r="D1147" s="87" t="str">
        <f>IFERROR(__xludf.DUMMYFUNCTION("""COMPUTED_VALUE"""),"[Nhãn] GC - II - 683 - AGC - Kamycinjapane 20SL (chai tròn) - 450ml - 40")</f>
        <v>[Nhãn] GC - II - 683 - AGC - Kamycinjapane 20SL (chai tròn) - 450ml - 40</v>
      </c>
      <c r="E1147" s="87" t="str">
        <f>IFERROR(__xludf.DUMMYFUNCTION("""COMPUTED_VALUE"""),"Kamycinjapane 20SL")</f>
        <v>Kamycinjapane 20SL</v>
      </c>
      <c r="F1147" s="87" t="str">
        <f>IFERROR(__xludf.DUMMYFUNCTION("""COMPUTED_VALUE"""),"HH0683")</f>
        <v>HH0683</v>
      </c>
      <c r="G1147" s="87" t="str">
        <f>IFERROR(__xludf.DUMMYFUNCTION("""COMPUTED_VALUE"""),"GC - II - 683 - AGC - Kamycinjapane 20SL (chai tròn) - 450ml - 40")</f>
        <v>GC - II - 683 - AGC - Kamycinjapane 20SL (chai tròn) - 450ml - 40</v>
      </c>
    </row>
    <row r="1148">
      <c r="A1148" s="86">
        <f>IFERROR(__xludf.DUMMYFUNCTION("""COMPUTED_VALUE"""),1146.0)</f>
        <v>1146</v>
      </c>
      <c r="B1148" s="87" t="str">
        <f>IFERROR(__xludf.DUMMYFUNCTION("""COMPUTED_VALUE"""),"Nhãn")</f>
        <v>Nhãn</v>
      </c>
      <c r="C1148" s="87" t="str">
        <f>IFERROR(__xludf.DUMMYFUNCTION("""COMPUTED_VALUE"""),"NHG0684")</f>
        <v>NHG0684</v>
      </c>
      <c r="D1148" s="87" t="str">
        <f>IFERROR(__xludf.DUMMYFUNCTION("""COMPUTED_VALUE"""),"[Nhãn] GC - II - 684 - AGC - Remy 19EC (chai tròn) - 450ml - 40")</f>
        <v>[Nhãn] GC - II - 684 - AGC - Remy 19EC (chai tròn) - 450ml - 40</v>
      </c>
      <c r="E1148" s="87" t="str">
        <f>IFERROR(__xludf.DUMMYFUNCTION("""COMPUTED_VALUE"""),"Remy 19EC")</f>
        <v>Remy 19EC</v>
      </c>
      <c r="F1148" s="87" t="str">
        <f>IFERROR(__xludf.DUMMYFUNCTION("""COMPUTED_VALUE"""),"HH0684")</f>
        <v>HH0684</v>
      </c>
      <c r="G1148" s="87" t="str">
        <f>IFERROR(__xludf.DUMMYFUNCTION("""COMPUTED_VALUE"""),"GC - II - 684 - AGC - Remy 19EC (chai tròn) - 450ml - 40")</f>
        <v>GC - II - 684 - AGC - Remy 19EC (chai tròn) - 450ml - 40</v>
      </c>
    </row>
    <row r="1149">
      <c r="A1149" s="86">
        <f>IFERROR(__xludf.DUMMYFUNCTION("""COMPUTED_VALUE"""),1147.0)</f>
        <v>1147</v>
      </c>
      <c r="B1149" s="87" t="str">
        <f>IFERROR(__xludf.DUMMYFUNCTION("""COMPUTED_VALUE"""),"Nhãn")</f>
        <v>Nhãn</v>
      </c>
      <c r="C1149" s="87" t="str">
        <f>IFERROR(__xludf.DUMMYFUNCTION("""COMPUTED_VALUE"""),"NHG0685")</f>
        <v>NHG0685</v>
      </c>
      <c r="D1149" s="87" t="str">
        <f>IFERROR(__xludf.DUMMYFUNCTION("""COMPUTED_VALUE"""),"[Nhãn] GC - II - 685 - Ánh Dương - Javi vil 50SC (Chai HD)- 1L - 20")</f>
        <v>[Nhãn] GC - II - 685 - Ánh Dương - Javi vil 50SC (Chai HD)- 1L - 20</v>
      </c>
      <c r="E1149" s="87" t="str">
        <f>IFERROR(__xludf.DUMMYFUNCTION("""COMPUTED_VALUE"""),"JAVI VIL 50SC")</f>
        <v>JAVI VIL 50SC</v>
      </c>
      <c r="F1149" s="87" t="str">
        <f>IFERROR(__xludf.DUMMYFUNCTION("""COMPUTED_VALUE"""),"HH0685")</f>
        <v>HH0685</v>
      </c>
      <c r="G1149" s="87" t="str">
        <f>IFERROR(__xludf.DUMMYFUNCTION("""COMPUTED_VALUE"""),"GC - II - 685 - Ánh Dương - Javi vil 50SC (Chai HD)- 1L - 20")</f>
        <v>GC - II - 685 - Ánh Dương - Javi vil 50SC (Chai HD)- 1L - 20</v>
      </c>
    </row>
    <row r="1150">
      <c r="A1150" s="86">
        <f>IFERROR(__xludf.DUMMYFUNCTION("""COMPUTED_VALUE"""),1148.0)</f>
        <v>1148</v>
      </c>
      <c r="B1150" s="87" t="str">
        <f>IFERROR(__xludf.DUMMYFUNCTION("""COMPUTED_VALUE"""),"Nhãn")</f>
        <v>Nhãn</v>
      </c>
      <c r="C1150" s="87" t="str">
        <f>IFERROR(__xludf.DUMMYFUNCTION("""COMPUTED_VALUE"""),"NHG0686")</f>
        <v>NHG0686</v>
      </c>
      <c r="D1150" s="87" t="str">
        <f>IFERROR(__xludf.DUMMYFUNCTION("""COMPUTED_VALUE"""),"[Nhãn] LOT IDA Global - I - 686 - Javi vil 50SC (Chai HD) (BTP TRẮNG SỮA) - 1L - 20 ([btp] ,t)")</f>
        <v>[Nhãn] LOT IDA Global - I - 686 - Javi vil 50SC (Chai HD) (BTP TRẮNG SỮA) - 1L - 20 ([btp] ,t)</v>
      </c>
      <c r="E1150" s="87" t="str">
        <f>IFERROR(__xludf.DUMMYFUNCTION("""COMPUTED_VALUE"""),"JAVI VIL 50SC")</f>
        <v>JAVI VIL 50SC</v>
      </c>
      <c r="F1150" s="87" t="str">
        <f>IFERROR(__xludf.DUMMYFUNCTION("""COMPUTED_VALUE"""),"HH0686")</f>
        <v>HH0686</v>
      </c>
      <c r="G1150" s="87" t="str">
        <f>IFERROR(__xludf.DUMMYFUNCTION("""COMPUTED_VALUE"""),"LOT IDA Global - I - 686 - Javi vil 50SC (Chai HD) (BTP TRẮNG SỮA) - 1L - 20 ([btp] ,t)")</f>
        <v>LOT IDA Global - I - 686 - Javi vil 50SC (Chai HD) (BTP TRẮNG SỮA) - 1L - 20 ([btp] ,t)</v>
      </c>
    </row>
    <row r="1151">
      <c r="A1151" s="86">
        <f>IFERROR(__xludf.DUMMYFUNCTION("""COMPUTED_VALUE"""),1149.0)</f>
        <v>1149</v>
      </c>
      <c r="B1151" s="87" t="str">
        <f>IFERROR(__xludf.DUMMYFUNCTION("""COMPUTED_VALUE"""),"Nhãn")</f>
        <v>Nhãn</v>
      </c>
      <c r="C1151" s="87" t="str">
        <f>IFERROR(__xludf.DUMMYFUNCTION("""COMPUTED_VALUE"""),"NHG0687")</f>
        <v>NHG0687</v>
      </c>
      <c r="D1151" s="87" t="str">
        <f>IFERROR(__xludf.DUMMYFUNCTION("""COMPUTED_VALUE"""),"[Nhãn] LOT IDA Global - I - 687 - Abamectin 3.6EC (Pet tròn) (nước đục) - 450ml - 40")</f>
        <v>[Nhãn] LOT IDA Global - I - 687 - Abamectin 3.6EC (Pet tròn) (nước đục) - 450ml - 40</v>
      </c>
      <c r="E1151" s="87" t="str">
        <f>IFERROR(__xludf.DUMMYFUNCTION("""COMPUTED_VALUE"""),"Tikabamec 3.6EC")</f>
        <v>Tikabamec 3.6EC</v>
      </c>
      <c r="F1151" s="87" t="str">
        <f>IFERROR(__xludf.DUMMYFUNCTION("""COMPUTED_VALUE"""),"HH0687")</f>
        <v>HH0687</v>
      </c>
      <c r="G1151" s="87" t="str">
        <f>IFERROR(__xludf.DUMMYFUNCTION("""COMPUTED_VALUE"""),"LOT IDA Global - I - 687 - Abamectin 3.6EC (Pet tròn) (nước đục) - 450ml - 40")</f>
        <v>LOT IDA Global - I - 687 - Abamectin 3.6EC (Pet tròn) (nước đục) - 450ml - 40</v>
      </c>
    </row>
    <row r="1152">
      <c r="A1152" s="86">
        <f>IFERROR(__xludf.DUMMYFUNCTION("""COMPUTED_VALUE"""),1150.0)</f>
        <v>1150</v>
      </c>
      <c r="B1152" s="87" t="str">
        <f>IFERROR(__xludf.DUMMYFUNCTION("""COMPUTED_VALUE"""),"Nhãn")</f>
        <v>Nhãn</v>
      </c>
      <c r="C1152" s="87" t="str">
        <f>IFERROR(__xludf.DUMMYFUNCTION("""COMPUTED_VALUE"""),"NHD0688")</f>
        <v>NHD0688</v>
      </c>
      <c r="D1152" s="87" t="str">
        <f>IFERROR(__xludf.DUMMYFUNCTION("""COMPUTED_VALUE"""),"[Nhãn] GC - II - 688 - AU - Gel Humiix - 10kg - 1 ([btp],x,n)")</f>
        <v>[Nhãn] GC - II - 688 - AU - Gel Humiix - 10kg - 1 ([btp],x,n)</v>
      </c>
      <c r="E1152" s="87" t="str">
        <f>IFERROR(__xludf.DUMMYFUNCTION("""COMPUTED_VALUE"""),"Prima 04")</f>
        <v>Prima 04</v>
      </c>
      <c r="F1152" s="87" t="str">
        <f>IFERROR(__xludf.DUMMYFUNCTION("""COMPUTED_VALUE"""),"HH0688")</f>
        <v>HH0688</v>
      </c>
      <c r="G1152" s="87" t="str">
        <f>IFERROR(__xludf.DUMMYFUNCTION("""COMPUTED_VALUE"""),"GC - II - 688 - AU - Gel Humiix - 10kg - 1 ([btp],x,n)")</f>
        <v>GC - II - 688 - AU - Gel Humiix - 10kg - 1 ([btp],x,n)</v>
      </c>
    </row>
    <row r="1153">
      <c r="A1153" s="86">
        <f>IFERROR(__xludf.DUMMYFUNCTION("""COMPUTED_VALUE"""),1151.0)</f>
        <v>1151</v>
      </c>
      <c r="B1153" s="87" t="str">
        <f>IFERROR(__xludf.DUMMYFUNCTION("""COMPUTED_VALUE"""),"Nhãn")</f>
        <v>Nhãn</v>
      </c>
      <c r="C1153" s="87" t="str">
        <f>IFERROR(__xludf.DUMMYFUNCTION("""COMPUTED_VALUE"""),"NTN0689")</f>
        <v>NTN0689</v>
      </c>
      <c r="D1153" s="87" t="str">
        <f>IFERROR(__xludf.DUMMYFUNCTION("""COMPUTED_VALUE"""),"[Nhãn] GC - IV - 689 - Kim Ngọc - Mancozeb Xanh - 1 kg - 20")</f>
        <v>[Nhãn] GC - IV - 689 - Kim Ngọc - Mancozeb Xanh - 1 kg - 20</v>
      </c>
      <c r="E1153" s="87" t="str">
        <f>IFERROR(__xludf.DUMMYFUNCTION("""COMPUTED_VALUE"""),"TVZEB 800WP")</f>
        <v>TVZEB 800WP</v>
      </c>
      <c r="F1153" s="87" t="str">
        <f>IFERROR(__xludf.DUMMYFUNCTION("""COMPUTED_VALUE"""),"HH0689")</f>
        <v>HH0689</v>
      </c>
      <c r="G1153" s="87" t="str">
        <f>IFERROR(__xludf.DUMMYFUNCTION("""COMPUTED_VALUE"""),"GC - IV - 689 - Kim Ngọc - Mancozeb Xanh - 1 kg - 20")</f>
        <v>GC - IV - 689 - Kim Ngọc - Mancozeb Xanh - 1 kg - 20</v>
      </c>
    </row>
    <row r="1154">
      <c r="A1154" s="86">
        <f>IFERROR(__xludf.DUMMYFUNCTION("""COMPUTED_VALUE"""),1152.0)</f>
        <v>1152</v>
      </c>
      <c r="B1154" s="87" t="str">
        <f>IFERROR(__xludf.DUMMYFUNCTION("""COMPUTED_VALUE"""),"Nhãn thùng")</f>
        <v>Nhãn thùng</v>
      </c>
      <c r="C1154" s="87" t="str">
        <f>IFERROR(__xludf.DUMMYFUNCTION("""COMPUTED_VALUE"""),"NDT0689")</f>
        <v>NDT0689</v>
      </c>
      <c r="D1154" s="87" t="str">
        <f>IFERROR(__xludf.DUMMYFUNCTION("""COMPUTED_VALUE"""),"[Nhãn thùng] GC - IV - 689 - Kim Ngọc - Mancozeb Xanh - 1 kg - 20")</f>
        <v>[Nhãn thùng] GC - IV - 689 - Kim Ngọc - Mancozeb Xanh - 1 kg - 20</v>
      </c>
      <c r="E1154" s="87" t="str">
        <f>IFERROR(__xludf.DUMMYFUNCTION("""COMPUTED_VALUE"""),"TVZEB 800WP")</f>
        <v>TVZEB 800WP</v>
      </c>
      <c r="F1154" s="87" t="str">
        <f>IFERROR(__xludf.DUMMYFUNCTION("""COMPUTED_VALUE"""),"HH0689")</f>
        <v>HH0689</v>
      </c>
      <c r="G1154" s="87" t="str">
        <f>IFERROR(__xludf.DUMMYFUNCTION("""COMPUTED_VALUE"""),"GC - IV - 689 - Kim Ngọc - Mancozeb Xanh - 1 kg - 20")</f>
        <v>GC - IV - 689 - Kim Ngọc - Mancozeb Xanh - 1 kg - 20</v>
      </c>
    </row>
    <row r="1155">
      <c r="A1155" s="86">
        <f>IFERROR(__xludf.DUMMYFUNCTION("""COMPUTED_VALUE"""),1153.0)</f>
        <v>1153</v>
      </c>
      <c r="B1155" s="87" t="str">
        <f>IFERROR(__xludf.DUMMYFUNCTION("""COMPUTED_VALUE"""),"HỘP")</f>
        <v>HỘP</v>
      </c>
      <c r="C1155" s="87" t="str">
        <f>IFERROR(__xludf.DUMMYFUNCTION("""COMPUTED_VALUE"""),"HOP0690")</f>
        <v>HOP0690</v>
      </c>
      <c r="D1155" s="87" t="str">
        <f>IFERROR(__xludf.DUMMYFUNCTION("""COMPUTED_VALUE"""),"[HOP]IDA Global - I - 690 - Centertaner 500 WP (túi nhôm) - 12 gr - 400")</f>
        <v>[HOP]IDA Global - I - 690 - Centertaner 500 WP (túi nhôm) - 12 gr - 400</v>
      </c>
      <c r="E1155" s="87" t="str">
        <f>IFERROR(__xludf.DUMMYFUNCTION("""COMPUTED_VALUE"""),"Centertaner 500WP")</f>
        <v>Centertaner 500WP</v>
      </c>
      <c r="F1155" s="87" t="str">
        <f>IFERROR(__xludf.DUMMYFUNCTION("""COMPUTED_VALUE"""),"HH0690")</f>
        <v>HH0690</v>
      </c>
      <c r="G1155" s="87" t="str">
        <f>IFERROR(__xludf.DUMMYFUNCTION("""COMPUTED_VALUE"""),"IDA Global - I - 690 - Centertaner 500 WP (túi nhôm) - 12 gr - 400")</f>
        <v>IDA Global - I - 690 - Centertaner 500 WP (túi nhôm) - 12 gr - 400</v>
      </c>
    </row>
    <row r="1156">
      <c r="A1156" s="86">
        <f>IFERROR(__xludf.DUMMYFUNCTION("""COMPUTED_VALUE"""),1154.0)</f>
        <v>1154</v>
      </c>
      <c r="B1156" s="87" t="str">
        <f>IFERROR(__xludf.DUMMYFUNCTION("""COMPUTED_VALUE"""),"Nhãn")</f>
        <v>Nhãn</v>
      </c>
      <c r="C1156" s="87" t="str">
        <f>IFERROR(__xludf.DUMMYFUNCTION("""COMPUTED_VALUE"""),"NTN0690")</f>
        <v>NTN0690</v>
      </c>
      <c r="D1156" s="87" t="str">
        <f>IFERROR(__xludf.DUMMYFUNCTION("""COMPUTED_VALUE"""),"[Nhãn] IDA Global - I - 690 - Centertaner 500 WP (túi nhôm) - 12 gr - 400")</f>
        <v>[Nhãn] IDA Global - I - 690 - Centertaner 500 WP (túi nhôm) - 12 gr - 400</v>
      </c>
      <c r="E1156" s="87" t="str">
        <f>IFERROR(__xludf.DUMMYFUNCTION("""COMPUTED_VALUE"""),"Centertaner 500WP")</f>
        <v>Centertaner 500WP</v>
      </c>
      <c r="F1156" s="87" t="str">
        <f>IFERROR(__xludf.DUMMYFUNCTION("""COMPUTED_VALUE"""),"HH0690")</f>
        <v>HH0690</v>
      </c>
      <c r="G1156" s="87" t="str">
        <f>IFERROR(__xludf.DUMMYFUNCTION("""COMPUTED_VALUE"""),"IDA Global - I - 690 - Centertaner 500 WP (túi nhôm) - 12 gr - 400")</f>
        <v>IDA Global - I - 690 - Centertaner 500 WP (túi nhôm) - 12 gr - 400</v>
      </c>
    </row>
    <row r="1157">
      <c r="A1157" s="86">
        <f>IFERROR(__xludf.DUMMYFUNCTION("""COMPUTED_VALUE"""),1155.0)</f>
        <v>1155</v>
      </c>
      <c r="B1157" s="87" t="str">
        <f>IFERROR(__xludf.DUMMYFUNCTION("""COMPUTED_VALUE"""),"Nhãn thùng")</f>
        <v>Nhãn thùng</v>
      </c>
      <c r="C1157" s="87" t="str">
        <f>IFERROR(__xludf.DUMMYFUNCTION("""COMPUTED_VALUE"""),"NDT0690")</f>
        <v>NDT0690</v>
      </c>
      <c r="D1157" s="87" t="str">
        <f>IFERROR(__xludf.DUMMYFUNCTION("""COMPUTED_VALUE"""),"[Nhãn thùng] IDA Global - I - 690 - Centertaner 500 WP (túi nhôm) - 12 gr - 400")</f>
        <v>[Nhãn thùng] IDA Global - I - 690 - Centertaner 500 WP (túi nhôm) - 12 gr - 400</v>
      </c>
      <c r="E1157" s="87" t="str">
        <f>IFERROR(__xludf.DUMMYFUNCTION("""COMPUTED_VALUE"""),"Centertaner 500WP")</f>
        <v>Centertaner 500WP</v>
      </c>
      <c r="F1157" s="87" t="str">
        <f>IFERROR(__xludf.DUMMYFUNCTION("""COMPUTED_VALUE"""),"HH0690")</f>
        <v>HH0690</v>
      </c>
      <c r="G1157" s="87" t="str">
        <f>IFERROR(__xludf.DUMMYFUNCTION("""COMPUTED_VALUE"""),"IDA Global - I - 690 - Centertaner 500 WP (túi nhôm) - 12 gr - 400")</f>
        <v>IDA Global - I - 690 - Centertaner 500 WP (túi nhôm) - 12 gr - 400</v>
      </c>
    </row>
    <row r="1158">
      <c r="A1158" s="86">
        <f>IFERROR(__xludf.DUMMYFUNCTION("""COMPUTED_VALUE"""),1156.0)</f>
        <v>1156</v>
      </c>
      <c r="B1158" s="87" t="str">
        <f>IFERROR(__xludf.DUMMYFUNCTION("""COMPUTED_VALUE"""),"Nhãn")</f>
        <v>Nhãn</v>
      </c>
      <c r="C1158" s="87" t="str">
        <f>IFERROR(__xludf.DUMMYFUNCTION("""COMPUTED_VALUE"""),"NHD0691")</f>
        <v>NHD0691</v>
      </c>
      <c r="D1158" s="87" t="str">
        <f>IFERROR(__xludf.DUMMYFUNCTION("""COMPUTED_VALUE"""),"[Nhãn] GC - II - 691 - Nông Lâm Hoà Phát - Humiix Us - 25kg - 1 ([btp],b,l)")</f>
        <v>[Nhãn] GC - II - 691 - Nông Lâm Hoà Phát - Humiix Us - 25kg - 1 ([btp],b,l)</v>
      </c>
      <c r="E1158" s="87" t="str">
        <f>IFERROR(__xludf.DUMMYFUNCTION("""COMPUTED_VALUE"""),"Prima 04")</f>
        <v>Prima 04</v>
      </c>
      <c r="F1158" s="87" t="str">
        <f>IFERROR(__xludf.DUMMYFUNCTION("""COMPUTED_VALUE"""),"HH0691")</f>
        <v>HH0691</v>
      </c>
      <c r="G1158" s="87" t="str">
        <f>IFERROR(__xludf.DUMMYFUNCTION("""COMPUTED_VALUE"""),"GC - II - 691 - Nông Lâm Hoà Phát - Humiix Us - 25kg - 1 ([btp],b,l)")</f>
        <v>GC - II - 691 - Nông Lâm Hoà Phát - Humiix Us - 25kg - 1 ([btp],b,l)</v>
      </c>
    </row>
    <row r="1159">
      <c r="A1159" s="86">
        <f>IFERROR(__xludf.DUMMYFUNCTION("""COMPUTED_VALUE"""),1157.0)</f>
        <v>1157</v>
      </c>
      <c r="B1159" s="87" t="str">
        <f>IFERROR(__xludf.DUMMYFUNCTION("""COMPUTED_VALUE"""),"Nhãn")</f>
        <v>Nhãn</v>
      </c>
      <c r="C1159" s="87" t="str">
        <f>IFERROR(__xludf.DUMMYFUNCTION("""COMPUTED_VALUE"""),"NHG0692")</f>
        <v>NHG0692</v>
      </c>
      <c r="D1159" s="87" t="str">
        <f>IFERROR(__xludf.DUMMYFUNCTION("""COMPUTED_VALUE"""),"[Nhãn] GC - II - 692 - A Thời GNH - Siêu Lớn Trái - 500ml (chai HD)- 40")</f>
        <v>[Nhãn] GC - II - 692 - A Thời GNH - Siêu Lớn Trái - 500ml (chai HD)- 40</v>
      </c>
      <c r="E1159" s="87" t="str">
        <f>IFERROR(__xludf.DUMMYFUNCTION("""COMPUTED_VALUE"""),"Vi lượng BM-KABO")</f>
        <v>Vi lượng BM-KABO</v>
      </c>
      <c r="F1159" s="87" t="str">
        <f>IFERROR(__xludf.DUMMYFUNCTION("""COMPUTED_VALUE"""),"HH0692")</f>
        <v>HH0692</v>
      </c>
      <c r="G1159" s="87" t="str">
        <f>IFERROR(__xludf.DUMMYFUNCTION("""COMPUTED_VALUE"""),"GC - II - 692 - A Thời GNH - Siêu Lớn Trái - 500ml (chai HD)- 40")</f>
        <v>GC - II - 692 - A Thời GNH - Siêu Lớn Trái - 500ml (chai HD)- 40</v>
      </c>
    </row>
    <row r="1160">
      <c r="A1160" s="86">
        <f>IFERROR(__xludf.DUMMYFUNCTION("""COMPUTED_VALUE"""),1158.0)</f>
        <v>1158</v>
      </c>
      <c r="B1160" s="87" t="str">
        <f>IFERROR(__xludf.DUMMYFUNCTION("""COMPUTED_VALUE"""),"Nhãn")</f>
        <v>Nhãn</v>
      </c>
      <c r="C1160" s="87" t="str">
        <f>IFERROR(__xludf.DUMMYFUNCTION("""COMPUTED_VALUE"""),"NHG0693")</f>
        <v>NHG0693</v>
      </c>
      <c r="D1160" s="87" t="str">
        <f>IFERROR(__xludf.DUMMYFUNCTION("""COMPUTED_VALUE"""),"[Nhãn] GC - II - 693 - A Thời GNH - Siêu bung đọt mai (chai HD) - 1L - 20")</f>
        <v>[Nhãn] GC - II - 693 - A Thời GNH - Siêu bung đọt mai (chai HD) - 1L - 20</v>
      </c>
      <c r="E1160" s="87" t="str">
        <f>IFERROR(__xludf.DUMMYFUNCTION("""COMPUTED_VALUE"""),"Vi lượng Quantity New")</f>
        <v>Vi lượng Quantity New</v>
      </c>
      <c r="F1160" s="87" t="str">
        <f>IFERROR(__xludf.DUMMYFUNCTION("""COMPUTED_VALUE"""),"HH0693")</f>
        <v>HH0693</v>
      </c>
      <c r="G1160" s="87" t="str">
        <f>IFERROR(__xludf.DUMMYFUNCTION("""COMPUTED_VALUE"""),"GC - II - 693 - A Thời GNH - Siêu bung đọt mai (chai HD) - 1L - 20")</f>
        <v>GC - II - 693 - A Thời GNH - Siêu bung đọt mai (chai HD) - 1L - 20</v>
      </c>
    </row>
    <row r="1161">
      <c r="A1161" s="86">
        <f>IFERROR(__xludf.DUMMYFUNCTION("""COMPUTED_VALUE"""),1159.0)</f>
        <v>1159</v>
      </c>
      <c r="B1161" s="87" t="str">
        <f>IFERROR(__xludf.DUMMYFUNCTION("""COMPUTED_VALUE"""),"Nhãn thùng")</f>
        <v>Nhãn thùng</v>
      </c>
      <c r="C1161" s="87" t="str">
        <f>IFERROR(__xludf.DUMMYFUNCTION("""COMPUTED_VALUE"""),"NDT0693")</f>
        <v>NDT0693</v>
      </c>
      <c r="D1161" s="87" t="str">
        <f>IFERROR(__xludf.DUMMYFUNCTION("""COMPUTED_VALUE"""),"[Nhãn thùng] GC - II - 693 - A Thời GNH - Siêu bung đọt mai (chai HD) - 1L - 20")</f>
        <v>[Nhãn thùng] GC - II - 693 - A Thời GNH - Siêu bung đọt mai (chai HD) - 1L - 20</v>
      </c>
      <c r="E1161" s="87" t="str">
        <f>IFERROR(__xludf.DUMMYFUNCTION("""COMPUTED_VALUE"""),"Vi lượng Quantity New")</f>
        <v>Vi lượng Quantity New</v>
      </c>
      <c r="F1161" s="87" t="str">
        <f>IFERROR(__xludf.DUMMYFUNCTION("""COMPUTED_VALUE"""),"HH0693")</f>
        <v>HH0693</v>
      </c>
      <c r="G1161" s="87" t="str">
        <f>IFERROR(__xludf.DUMMYFUNCTION("""COMPUTED_VALUE"""),"GC - II - 693 - A Thời GNH - Siêu bung đọt mai (chai HD) - 1L - 20")</f>
        <v>GC - II - 693 - A Thời GNH - Siêu bung đọt mai (chai HD) - 1L - 20</v>
      </c>
    </row>
    <row r="1162">
      <c r="A1162" s="86">
        <f>IFERROR(__xludf.DUMMYFUNCTION("""COMPUTED_VALUE"""),1160.0)</f>
        <v>1160</v>
      </c>
      <c r="B1162" s="87" t="str">
        <f>IFERROR(__xludf.DUMMYFUNCTION("""COMPUTED_VALUE"""),"Nhãn")</f>
        <v>Nhãn</v>
      </c>
      <c r="C1162" s="87" t="str">
        <f>IFERROR(__xludf.DUMMYFUNCTION("""COMPUTED_VALUE"""),"NHG0696")</f>
        <v>NHG0696</v>
      </c>
      <c r="D1162" s="87" t="str">
        <f>IFERROR(__xludf.DUMMYFUNCTION("""COMPUTED_VALUE"""),"[Nhãn] GC - II - 696 - AGC - Gaba (mới) (Pet tròn)(nước đục) - 450ml - 40")</f>
        <v>[Nhãn] GC - II - 696 - AGC - Gaba (mới) (Pet tròn)(nước đục) - 450ml - 40</v>
      </c>
      <c r="E1162" s="87" t="str">
        <f>IFERROR(__xludf.DUMMYFUNCTION("""COMPUTED_VALUE"""),"Tikabamec 3.6EC")</f>
        <v>Tikabamec 3.6EC</v>
      </c>
      <c r="F1162" s="87" t="str">
        <f>IFERROR(__xludf.DUMMYFUNCTION("""COMPUTED_VALUE"""),"HH0696")</f>
        <v>HH0696</v>
      </c>
      <c r="G1162" s="87" t="str">
        <f>IFERROR(__xludf.DUMMYFUNCTION("""COMPUTED_VALUE"""),"GC - II - 696 - AGC - Gaba (mới) (Pet tròn)(nước đục) - 450ml - 40")</f>
        <v>GC - II - 696 - AGC - Gaba (mới) (Pet tròn)(nước đục) - 450ml - 40</v>
      </c>
    </row>
    <row r="1163">
      <c r="A1163" s="86">
        <f>IFERROR(__xludf.DUMMYFUNCTION("""COMPUTED_VALUE"""),1161.0)</f>
        <v>1161</v>
      </c>
      <c r="B1163" s="87" t="str">
        <f>IFERROR(__xludf.DUMMYFUNCTION("""COMPUTED_VALUE"""),"Nhãn")</f>
        <v>Nhãn</v>
      </c>
      <c r="C1163" s="87" t="str">
        <f>IFERROR(__xludf.DUMMYFUNCTION("""COMPUTED_VALUE"""),"NTN0697")</f>
        <v>NTN0697</v>
      </c>
      <c r="D1163" s="87" t="str">
        <f>IFERROR(__xludf.DUMMYFUNCTION("""COMPUTED_VALUE"""),"[Nhãn] GC - II - 697 - Agriplant - Mancozeb Xanh - 1kg - 20")</f>
        <v>[Nhãn] GC - II - 697 - Agriplant - Mancozeb Xanh - 1kg - 20</v>
      </c>
      <c r="E1163" s="87" t="str">
        <f>IFERROR(__xludf.DUMMYFUNCTION("""COMPUTED_VALUE"""),"TVZEB 800WP")</f>
        <v>TVZEB 800WP</v>
      </c>
      <c r="F1163" s="87" t="str">
        <f>IFERROR(__xludf.DUMMYFUNCTION("""COMPUTED_VALUE"""),"HH0697")</f>
        <v>HH0697</v>
      </c>
      <c r="G1163" s="87" t="str">
        <f>IFERROR(__xludf.DUMMYFUNCTION("""COMPUTED_VALUE"""),"GC - II - 697 - Agriplant - Mancozeb Xanh - 1kg - 20")</f>
        <v>GC - II - 697 - Agriplant - Mancozeb Xanh - 1kg - 20</v>
      </c>
    </row>
    <row r="1164">
      <c r="A1164" s="86">
        <f>IFERROR(__xludf.DUMMYFUNCTION("""COMPUTED_VALUE"""),1162.0)</f>
        <v>1162</v>
      </c>
      <c r="B1164" s="87" t="str">
        <f>IFERROR(__xludf.DUMMYFUNCTION("""COMPUTED_VALUE"""),"Nhãn thùng")</f>
        <v>Nhãn thùng</v>
      </c>
      <c r="C1164" s="87" t="str">
        <f>IFERROR(__xludf.DUMMYFUNCTION("""COMPUTED_VALUE"""),"NDT0697")</f>
        <v>NDT0697</v>
      </c>
      <c r="D1164" s="87" t="str">
        <f>IFERROR(__xludf.DUMMYFUNCTION("""COMPUTED_VALUE"""),"[Nhãn thùng] GC - II - 697 - Agriplant - Mancozeb Xanh - 1kg - 20")</f>
        <v>[Nhãn thùng] GC - II - 697 - Agriplant - Mancozeb Xanh - 1kg - 20</v>
      </c>
      <c r="E1164" s="87" t="str">
        <f>IFERROR(__xludf.DUMMYFUNCTION("""COMPUTED_VALUE"""),"TVZEB 800WP")</f>
        <v>TVZEB 800WP</v>
      </c>
      <c r="F1164" s="87" t="str">
        <f>IFERROR(__xludf.DUMMYFUNCTION("""COMPUTED_VALUE"""),"HH0697")</f>
        <v>HH0697</v>
      </c>
      <c r="G1164" s="87" t="str">
        <f>IFERROR(__xludf.DUMMYFUNCTION("""COMPUTED_VALUE"""),"GC - II - 697 - Agriplant - Mancozeb Xanh - 1kg - 20")</f>
        <v>GC - II - 697 - Agriplant - Mancozeb Xanh - 1kg - 20</v>
      </c>
    </row>
    <row r="1165">
      <c r="A1165" s="86">
        <f>IFERROR(__xludf.DUMMYFUNCTION("""COMPUTED_VALUE"""),1163.0)</f>
        <v>1163</v>
      </c>
      <c r="B1165" s="87" t="str">
        <f>IFERROR(__xludf.DUMMYFUNCTION("""COMPUTED_VALUE"""),"Nhãn")</f>
        <v>Nhãn</v>
      </c>
      <c r="C1165" s="87" t="str">
        <f>IFERROR(__xludf.DUMMYFUNCTION("""COMPUTED_VALUE"""),"NHG0698")</f>
        <v>NHG0698</v>
      </c>
      <c r="D1165" s="87" t="str">
        <f>IFERROR(__xludf.DUMMYFUNCTION("""COMPUTED_VALUE"""),"[Nhãn] GC - II - 698 - Nông Lâm Hoà Phát - Nofa Super (Chai HD) - 500ml - 40 ([btp], c)")</f>
        <v>[Nhãn] GC - II - 698 - Nông Lâm Hoà Phát - Nofa Super (Chai HD) - 500ml - 40 ([btp], c)</v>
      </c>
      <c r="E1165" s="87" t="str">
        <f>IFERROR(__xludf.DUMMYFUNCTION("""COMPUTED_VALUE"""),"Vi lượng Quantity New")</f>
        <v>Vi lượng Quantity New</v>
      </c>
      <c r="F1165" s="87" t="str">
        <f>IFERROR(__xludf.DUMMYFUNCTION("""COMPUTED_VALUE"""),"HH0698")</f>
        <v>HH0698</v>
      </c>
      <c r="G1165" s="87" t="str">
        <f>IFERROR(__xludf.DUMMYFUNCTION("""COMPUTED_VALUE"""),"GC - II - 698 - Nông Lâm Hoà Phát - Nofa Super (Chai HD) - 500ml - 40 ([btp], c)")</f>
        <v>GC - II - 698 - Nông Lâm Hoà Phát - Nofa Super (Chai HD) - 500ml - 40 ([btp], c)</v>
      </c>
    </row>
    <row r="1166">
      <c r="A1166" s="86">
        <f>IFERROR(__xludf.DUMMYFUNCTION("""COMPUTED_VALUE"""),1164.0)</f>
        <v>1164</v>
      </c>
      <c r="B1166" s="87" t="str">
        <f>IFERROR(__xludf.DUMMYFUNCTION("""COMPUTED_VALUE"""),"Nhãn")</f>
        <v>Nhãn</v>
      </c>
      <c r="C1166" s="87" t="str">
        <f>IFERROR(__xludf.DUMMYFUNCTION("""COMPUTED_VALUE"""),"NHG0699")</f>
        <v>NHG0699</v>
      </c>
      <c r="D1166" s="87" t="str">
        <f>IFERROR(__xludf.DUMMYFUNCTION("""COMPUTED_VALUE"""),"[Nhãn] GC - II - 699 - Nông Lâm Hoà Phát - Nofa Super (chai HD) - 1L - 20 ([btp] , c)")</f>
        <v>[Nhãn] GC - II - 699 - Nông Lâm Hoà Phát - Nofa Super (chai HD) - 1L - 20 ([btp] , c)</v>
      </c>
      <c r="E1166" s="87" t="str">
        <f>IFERROR(__xludf.DUMMYFUNCTION("""COMPUTED_VALUE"""),"Vi lượng Quantity New")</f>
        <v>Vi lượng Quantity New</v>
      </c>
      <c r="F1166" s="87" t="str">
        <f>IFERROR(__xludf.DUMMYFUNCTION("""COMPUTED_VALUE"""),"HH0699")</f>
        <v>HH0699</v>
      </c>
      <c r="G1166" s="87" t="str">
        <f>IFERROR(__xludf.DUMMYFUNCTION("""COMPUTED_VALUE"""),"GC - II - 699 - Nông Lâm Hoà Phát - Nofa Super (chai HD) - 1L - 20 ([btp] , c)")</f>
        <v>GC - II - 699 - Nông Lâm Hoà Phát - Nofa Super (chai HD) - 1L - 20 ([btp] , c)</v>
      </c>
    </row>
    <row r="1167">
      <c r="A1167" s="86">
        <f>IFERROR(__xludf.DUMMYFUNCTION("""COMPUTED_VALUE"""),1165.0)</f>
        <v>1165</v>
      </c>
      <c r="B1167" s="87" t="str">
        <f>IFERROR(__xludf.DUMMYFUNCTION("""COMPUTED_VALUE"""),"HỘP")</f>
        <v>HỘP</v>
      </c>
      <c r="C1167" s="87" t="str">
        <f>IFERROR(__xludf.DUMMYFUNCTION("""COMPUTED_VALUE"""),"HOP0700")</f>
        <v>HOP0700</v>
      </c>
      <c r="D1167" s="87" t="str">
        <f>IFERROR(__xludf.DUMMYFUNCTION("""COMPUTED_VALUE"""),"[HOP] IDA Global - I - 700 - Toto Boost - 30ml - 400")</f>
        <v>[HOP] IDA Global - I - 700 - Toto Boost - 30ml - 400</v>
      </c>
      <c r="E1167" s="87" t="str">
        <f>IFERROR(__xludf.DUMMYFUNCTION("""COMPUTED_VALUE"""),"NPK Bổ sung Vi lượng Basel NPK 6-6-8 IDA 33")</f>
        <v>NPK Bổ sung Vi lượng Basel NPK 6-6-8 IDA 33</v>
      </c>
      <c r="F1167" s="87" t="str">
        <f>IFERROR(__xludf.DUMMYFUNCTION("""COMPUTED_VALUE"""),"HH0700")</f>
        <v>HH0700</v>
      </c>
      <c r="G1167" s="87" t="str">
        <f>IFERROR(__xludf.DUMMYFUNCTION("""COMPUTED_VALUE"""),"IDA Global - I - 700 - Toto Boost - 30ml - 400")</f>
        <v>IDA Global - I - 700 - Toto Boost - 30ml - 400</v>
      </c>
    </row>
    <row r="1168">
      <c r="A1168" s="86">
        <f>IFERROR(__xludf.DUMMYFUNCTION("""COMPUTED_VALUE"""),1166.0)</f>
        <v>1166</v>
      </c>
      <c r="B1168" s="87" t="str">
        <f>IFERROR(__xludf.DUMMYFUNCTION("""COMPUTED_VALUE"""),"Nhãn")</f>
        <v>Nhãn</v>
      </c>
      <c r="C1168" s="87" t="str">
        <f>IFERROR(__xludf.DUMMYFUNCTION("""COMPUTED_VALUE"""),"NTN0700")</f>
        <v>NTN0700</v>
      </c>
      <c r="D1168" s="87" t="str">
        <f>IFERROR(__xludf.DUMMYFUNCTION("""COMPUTED_VALUE"""),"[Nhãn] IDA Global - I - 700 - Toto Boost - 30ml - 400")</f>
        <v>[Nhãn] IDA Global - I - 700 - Toto Boost - 30ml - 400</v>
      </c>
      <c r="E1168" s="87" t="str">
        <f>IFERROR(__xludf.DUMMYFUNCTION("""COMPUTED_VALUE"""),"NPK Bổ sung Vi lượng Basel NPK 6-6-8 IDA 33")</f>
        <v>NPK Bổ sung Vi lượng Basel NPK 6-6-8 IDA 33</v>
      </c>
      <c r="F1168" s="87" t="str">
        <f>IFERROR(__xludf.DUMMYFUNCTION("""COMPUTED_VALUE"""),"HH0700")</f>
        <v>HH0700</v>
      </c>
      <c r="G1168" s="87" t="str">
        <f>IFERROR(__xludf.DUMMYFUNCTION("""COMPUTED_VALUE"""),"IDA Global - I - 700 - Toto Boost - 30ml - 400")</f>
        <v>IDA Global - I - 700 - Toto Boost - 30ml - 400</v>
      </c>
    </row>
    <row r="1169">
      <c r="A1169" s="86">
        <f>IFERROR(__xludf.DUMMYFUNCTION("""COMPUTED_VALUE"""),1167.0)</f>
        <v>1167</v>
      </c>
      <c r="B1169" s="87" t="str">
        <f>IFERROR(__xludf.DUMMYFUNCTION("""COMPUTED_VALUE"""),"Nhãn thùng")</f>
        <v>Nhãn thùng</v>
      </c>
      <c r="C1169" s="87" t="str">
        <f>IFERROR(__xludf.DUMMYFUNCTION("""COMPUTED_VALUE"""),"NDT0700")</f>
        <v>NDT0700</v>
      </c>
      <c r="D1169" s="87" t="str">
        <f>IFERROR(__xludf.DUMMYFUNCTION("""COMPUTED_VALUE"""),"[Nhãn thùng] IDA Global - I - 700 - Toto Boost - 30ml - 400")</f>
        <v>[Nhãn thùng] IDA Global - I - 700 - Toto Boost - 30ml - 400</v>
      </c>
      <c r="E1169" s="87" t="str">
        <f>IFERROR(__xludf.DUMMYFUNCTION("""COMPUTED_VALUE"""),"NPK Bổ sung Vi lượng Basel NPK 6-6-8 IDA 33")</f>
        <v>NPK Bổ sung Vi lượng Basel NPK 6-6-8 IDA 33</v>
      </c>
      <c r="F1169" s="87" t="str">
        <f>IFERROR(__xludf.DUMMYFUNCTION("""COMPUTED_VALUE"""),"HH0700")</f>
        <v>HH0700</v>
      </c>
      <c r="G1169" s="87" t="str">
        <f>IFERROR(__xludf.DUMMYFUNCTION("""COMPUTED_VALUE"""),"IDA Global - I - 700 - Toto Boost - 30ml - 400")</f>
        <v>IDA Global - I - 700 - Toto Boost - 30ml - 400</v>
      </c>
    </row>
    <row r="1170">
      <c r="A1170" s="86">
        <f>IFERROR(__xludf.DUMMYFUNCTION("""COMPUTED_VALUE"""),1168.0)</f>
        <v>1168</v>
      </c>
      <c r="B1170" s="87" t="str">
        <f>IFERROR(__xludf.DUMMYFUNCTION("""COMPUTED_VALUE"""),"Nhãn")</f>
        <v>Nhãn</v>
      </c>
      <c r="C1170" s="87" t="str">
        <f>IFERROR(__xludf.DUMMYFUNCTION("""COMPUTED_VALUE"""),"NTN0701")</f>
        <v>NTN0701</v>
      </c>
      <c r="D1170" s="87" t="str">
        <f>IFERROR(__xludf.DUMMYFUNCTION("""COMPUTED_VALUE"""),"[Nhãn] GC - II - 701 - GNH - Ray xanh 200WP - 80gr - 150")</f>
        <v>[Nhãn] GC - II - 701 - GNH - Ray xanh 200WP - 80gr - 150</v>
      </c>
      <c r="E1170" s="87" t="str">
        <f>IFERROR(__xludf.DUMMYFUNCTION("""COMPUTED_VALUE"""),"RAYXANH 200WP")</f>
        <v>RAYXANH 200WP</v>
      </c>
      <c r="F1170" s="87" t="str">
        <f>IFERROR(__xludf.DUMMYFUNCTION("""COMPUTED_VALUE"""),"HH0701")</f>
        <v>HH0701</v>
      </c>
      <c r="G1170" s="87" t="str">
        <f>IFERROR(__xludf.DUMMYFUNCTION("""COMPUTED_VALUE"""),"GC - II - 701 - GNH - Ray xanh 200WP - 80gr - 150")</f>
        <v>GC - II - 701 - GNH - Ray xanh 200WP - 80gr - 150</v>
      </c>
    </row>
    <row r="1171">
      <c r="A1171" s="86">
        <f>IFERROR(__xludf.DUMMYFUNCTION("""COMPUTED_VALUE"""),1169.0)</f>
        <v>1169</v>
      </c>
      <c r="B1171" s="87" t="str">
        <f>IFERROR(__xludf.DUMMYFUNCTION("""COMPUTED_VALUE"""),"Nhãn")</f>
        <v>Nhãn</v>
      </c>
      <c r="C1171" s="87" t="str">
        <f>IFERROR(__xludf.DUMMYFUNCTION("""COMPUTED_VALUE"""),"NHG0702")</f>
        <v>NHG0702</v>
      </c>
      <c r="D1171" s="87" t="str">
        <f>IFERROR(__xludf.DUMMYFUNCTION("""COMPUTED_VALUE"""),"[Nhãn] GC - II - 702 - Giang Tây - Remy 19EC (chai tròn) - 450ml - 40")</f>
        <v>[Nhãn] GC - II - 702 - Giang Tây - Remy 19EC (chai tròn) - 450ml - 40</v>
      </c>
      <c r="E1171" s="87" t="str">
        <f>IFERROR(__xludf.DUMMYFUNCTION("""COMPUTED_VALUE"""),"Remy 19EC")</f>
        <v>Remy 19EC</v>
      </c>
      <c r="F1171" s="87" t="str">
        <f>IFERROR(__xludf.DUMMYFUNCTION("""COMPUTED_VALUE"""),"HH0702")</f>
        <v>HH0702</v>
      </c>
      <c r="G1171" s="87" t="str">
        <f>IFERROR(__xludf.DUMMYFUNCTION("""COMPUTED_VALUE"""),"GC - II - 702 - Giang Tây - Remy 19EC (chai tròn) - 450ml - 40")</f>
        <v>GC - II - 702 - Giang Tây - Remy 19EC (chai tròn) - 450ml - 40</v>
      </c>
    </row>
    <row r="1172">
      <c r="A1172" s="86">
        <f>IFERROR(__xludf.DUMMYFUNCTION("""COMPUTED_VALUE"""),1170.0)</f>
        <v>1170</v>
      </c>
      <c r="B1172" s="87" t="str">
        <f>IFERROR(__xludf.DUMMYFUNCTION("""COMPUTED_VALUE"""),"Nhãn")</f>
        <v>Nhãn</v>
      </c>
      <c r="C1172" s="87" t="str">
        <f>IFERROR(__xludf.DUMMYFUNCTION("""COMPUTED_VALUE"""),"NTN0703")</f>
        <v>NTN0703</v>
      </c>
      <c r="D1172" s="87" t="str">
        <f>IFERROR(__xludf.DUMMYFUNCTION("""COMPUTED_VALUE"""),"[Nhãn] LOT IDA Global - I - 703 - ĐL Bảy Hiền - Mancozeb xanh - 1kg - 20")</f>
        <v>[Nhãn] LOT IDA Global - I - 703 - ĐL Bảy Hiền - Mancozeb xanh - 1kg - 20</v>
      </c>
      <c r="E1172" s="87" t="str">
        <f>IFERROR(__xludf.DUMMYFUNCTION("""COMPUTED_VALUE"""),"TVZEB 800WP")</f>
        <v>TVZEB 800WP</v>
      </c>
      <c r="F1172" s="87" t="str">
        <f>IFERROR(__xludf.DUMMYFUNCTION("""COMPUTED_VALUE"""),"HH0703")</f>
        <v>HH0703</v>
      </c>
      <c r="G1172" s="87" t="str">
        <f>IFERROR(__xludf.DUMMYFUNCTION("""COMPUTED_VALUE"""),"LOT IDA Global - I - 703 - ĐL Bảy Hiền - Mancozeb xanh - 1kg - 20")</f>
        <v>LOT IDA Global - I - 703 - ĐL Bảy Hiền - Mancozeb xanh - 1kg - 20</v>
      </c>
    </row>
    <row r="1173">
      <c r="A1173" s="86">
        <f>IFERROR(__xludf.DUMMYFUNCTION("""COMPUTED_VALUE"""),1171.0)</f>
        <v>1171</v>
      </c>
      <c r="B1173" s="87" t="str">
        <f>IFERROR(__xludf.DUMMYFUNCTION("""COMPUTED_VALUE"""),"Nhãn")</f>
        <v>Nhãn</v>
      </c>
      <c r="C1173" s="87" t="str">
        <f>IFERROR(__xludf.DUMMYFUNCTION("""COMPUTED_VALUE"""),"NHG0704")</f>
        <v>NHG0704</v>
      </c>
      <c r="D1173" s="87" t="str">
        <f>IFERROR(__xludf.DUMMYFUNCTION("""COMPUTED_VALUE"""),"[Nhãn] GC - II - 704 - A Mạnh - Vua nhện (chai nhôm trắng)- 240ml - 60")</f>
        <v>[Nhãn] GC - II - 704 - A Mạnh - Vua nhện (chai nhôm trắng)- 240ml - 60</v>
      </c>
      <c r="E1173" s="87" t="str">
        <f>IFERROR(__xludf.DUMMYFUNCTION("""COMPUTED_VALUE"""),"Chitin 3.6EC")</f>
        <v>Chitin 3.6EC</v>
      </c>
      <c r="F1173" s="87" t="str">
        <f>IFERROR(__xludf.DUMMYFUNCTION("""COMPUTED_VALUE"""),"HH0704")</f>
        <v>HH0704</v>
      </c>
      <c r="G1173" s="87" t="str">
        <f>IFERROR(__xludf.DUMMYFUNCTION("""COMPUTED_VALUE"""),"GC - II - 704 - A Mạnh - Vua nhện (chai nhôm trắng)- 240ml - 60")</f>
        <v>GC - II - 704 - A Mạnh - Vua nhện (chai nhôm trắng)- 240ml - 60</v>
      </c>
    </row>
    <row r="1174">
      <c r="A1174" s="86">
        <f>IFERROR(__xludf.DUMMYFUNCTION("""COMPUTED_VALUE"""),1172.0)</f>
        <v>1172</v>
      </c>
      <c r="B1174" s="87" t="str">
        <f>IFERROR(__xludf.DUMMYFUNCTION("""COMPUTED_VALUE"""),"Nhãn")</f>
        <v>Nhãn</v>
      </c>
      <c r="C1174" s="87" t="str">
        <f>IFERROR(__xludf.DUMMYFUNCTION("""COMPUTED_VALUE"""),"NHG0706")</f>
        <v>NHG0706</v>
      </c>
      <c r="D1174" s="87" t="str">
        <f>IFERROR(__xludf.DUMMYFUNCTION("""COMPUTED_VALUE"""),"[Nhãn] IDA Global - I - 706 - X-Spider (chai Pape) (BTP Đỏ) - 240ml - 40 ([btp],t,c)")</f>
        <v>[Nhãn] IDA Global - I - 706 - X-Spider (chai Pape) (BTP Đỏ) - 240ml - 40 ([btp],t,c)</v>
      </c>
      <c r="E1174" s="87" t="str">
        <f>IFERROR(__xludf.DUMMYFUNCTION("""COMPUTED_VALUE"""),"CHIM ƯNG 3.8EC")</f>
        <v>CHIM ƯNG 3.8EC</v>
      </c>
      <c r="F1174" s="87" t="str">
        <f>IFERROR(__xludf.DUMMYFUNCTION("""COMPUTED_VALUE"""),"HH0706")</f>
        <v>HH0706</v>
      </c>
      <c r="G1174" s="87" t="str">
        <f>IFERROR(__xludf.DUMMYFUNCTION("""COMPUTED_VALUE"""),"IDA Global - I - 706 - X-Spider (chai Pape) (BTP Đỏ) - 240ml - 40 ([btp],t,c)")</f>
        <v>IDA Global - I - 706 - X-Spider (chai Pape) (BTP Đỏ) - 240ml - 40 ([btp],t,c)</v>
      </c>
    </row>
    <row r="1175">
      <c r="A1175" s="86">
        <f>IFERROR(__xludf.DUMMYFUNCTION("""COMPUTED_VALUE"""),1173.0)</f>
        <v>1173</v>
      </c>
      <c r="B1175" s="87" t="str">
        <f>IFERROR(__xludf.DUMMYFUNCTION("""COMPUTED_VALUE"""),"Nhãn thùng")</f>
        <v>Nhãn thùng</v>
      </c>
      <c r="C1175" s="87" t="str">
        <f>IFERROR(__xludf.DUMMYFUNCTION("""COMPUTED_VALUE"""),"NDT0706")</f>
        <v>NDT0706</v>
      </c>
      <c r="D1175" s="87" t="str">
        <f>IFERROR(__xludf.DUMMYFUNCTION("""COMPUTED_VALUE"""),"[Nhãn thùng] IDA Global - I - 706 - X-Spider (chai Pape) (BTP Đỏ) - 240ml - 40 ([btp],t,c)")</f>
        <v>[Nhãn thùng] IDA Global - I - 706 - X-Spider (chai Pape) (BTP Đỏ) - 240ml - 40 ([btp],t,c)</v>
      </c>
      <c r="E1175" s="87" t="str">
        <f>IFERROR(__xludf.DUMMYFUNCTION("""COMPUTED_VALUE"""),"CHIM ƯNG 3.8EC")</f>
        <v>CHIM ƯNG 3.8EC</v>
      </c>
      <c r="F1175" s="87" t="str">
        <f>IFERROR(__xludf.DUMMYFUNCTION("""COMPUTED_VALUE"""),"HH0706")</f>
        <v>HH0706</v>
      </c>
      <c r="G1175" s="87" t="str">
        <f>IFERROR(__xludf.DUMMYFUNCTION("""COMPUTED_VALUE"""),"IDA Global - I - 706 - X-Spider (chai Pape) (BTP Đỏ) - 240ml - 40 ([btp],t,c)")</f>
        <v>IDA Global - I - 706 - X-Spider (chai Pape) (BTP Đỏ) - 240ml - 40 ([btp],t,c)</v>
      </c>
    </row>
    <row r="1176">
      <c r="A1176" s="86">
        <f>IFERROR(__xludf.DUMMYFUNCTION("""COMPUTED_VALUE"""),1174.0)</f>
        <v>1174</v>
      </c>
      <c r="B1176" s="87" t="str">
        <f>IFERROR(__xludf.DUMMYFUNCTION("""COMPUTED_VALUE"""),"Nhãn")</f>
        <v>Nhãn</v>
      </c>
      <c r="C1176" s="87" t="str">
        <f>IFERROR(__xludf.DUMMYFUNCTION("""COMPUTED_VALUE"""),"NHG0707")</f>
        <v>NHG0707</v>
      </c>
      <c r="D1176" s="87" t="str">
        <f>IFERROR(__xludf.DUMMYFUNCTION("""COMPUTED_VALUE"""),"[Nhãn] IDA Global - I - 707 - Cá mập 350SC (chai HD) - 250ml - 40 ([btp],t,c)")</f>
        <v>[Nhãn] IDA Global - I - 707 - Cá mập 350SC (chai HD) - 250ml - 40 ([btp],t,c)</v>
      </c>
      <c r="E1176" s="87" t="str">
        <f>IFERROR(__xludf.DUMMYFUNCTION("""COMPUTED_VALUE"""),"CA MAP 350SC")</f>
        <v>CA MAP 350SC</v>
      </c>
      <c r="F1176" s="87" t="str">
        <f>IFERROR(__xludf.DUMMYFUNCTION("""COMPUTED_VALUE"""),"HH0707")</f>
        <v>HH0707</v>
      </c>
      <c r="G1176" s="87" t="str">
        <f>IFERROR(__xludf.DUMMYFUNCTION("""COMPUTED_VALUE"""),"IDA Global - I - 707 - Cá mập 350SC (chai HD) - 250ml - 40 ([btp],t,c)")</f>
        <v>IDA Global - I - 707 - Cá mập 350SC (chai HD) - 250ml - 40 ([btp],t,c)</v>
      </c>
    </row>
    <row r="1177">
      <c r="A1177" s="86">
        <f>IFERROR(__xludf.DUMMYFUNCTION("""COMPUTED_VALUE"""),1175.0)</f>
        <v>1175</v>
      </c>
      <c r="B1177" s="87" t="str">
        <f>IFERROR(__xludf.DUMMYFUNCTION("""COMPUTED_VALUE"""),"Nhãn")</f>
        <v>Nhãn</v>
      </c>
      <c r="C1177" s="87" t="str">
        <f>IFERROR(__xludf.DUMMYFUNCTION("""COMPUTED_VALUE"""),"NHG0708")</f>
        <v>NHG0708</v>
      </c>
      <c r="D1177" s="87" t="str">
        <f>IFERROR(__xludf.DUMMYFUNCTION("""COMPUTED_VALUE"""),"[Nhãn] IDA Global - I - 708 - Ếch vàng 200 (chai HD) - 200ml - 40 ([btp],t,c)")</f>
        <v>[Nhãn] IDA Global - I - 708 - Ếch vàng 200 (chai HD) - 200ml - 40 ([btp],t,c)</v>
      </c>
      <c r="E1177" s="87" t="str">
        <f>IFERROR(__xludf.DUMMYFUNCTION("""COMPUTED_VALUE"""),"NEW FUZE 200SC")</f>
        <v>NEW FUZE 200SC</v>
      </c>
      <c r="F1177" s="87" t="str">
        <f>IFERROR(__xludf.DUMMYFUNCTION("""COMPUTED_VALUE"""),"HH0708")</f>
        <v>HH0708</v>
      </c>
      <c r="G1177" s="87" t="str">
        <f>IFERROR(__xludf.DUMMYFUNCTION("""COMPUTED_VALUE"""),"IDA Global - I - 708 - Ếch vàng 200 (chai HD) - 200ml - 40 ([btp],t,c)")</f>
        <v>IDA Global - I - 708 - Ếch vàng 200 (chai HD) - 200ml - 40 ([btp],t,c)</v>
      </c>
    </row>
    <row r="1178">
      <c r="A1178" s="86">
        <f>IFERROR(__xludf.DUMMYFUNCTION("""COMPUTED_VALUE"""),1176.0)</f>
        <v>1176</v>
      </c>
      <c r="B1178" s="87" t="str">
        <f>IFERROR(__xludf.DUMMYFUNCTION("""COMPUTED_VALUE"""),"Nhãn")</f>
        <v>Nhãn</v>
      </c>
      <c r="C1178" s="87" t="str">
        <f>IFERROR(__xludf.DUMMYFUNCTION("""COMPUTED_VALUE"""),"NTN0709")</f>
        <v>NTN0709</v>
      </c>
      <c r="D1178" s="87" t="str">
        <f>IFERROR(__xludf.DUMMYFUNCTION("""COMPUTED_VALUE"""),"[Nhãn] IDA Global - I - 709 - Creek 51WG (túi nhôm) - 10gr - 200 ([btp],t,h)")</f>
        <v>[Nhãn] IDA Global - I - 709 - Creek 51WG (túi nhôm) - 10gr - 200 ([btp],t,h)</v>
      </c>
      <c r="E1178" s="87" t="str">
        <f>IFERROR(__xludf.DUMMYFUNCTION("""COMPUTED_VALUE"""),"Creek 51WG")</f>
        <v>Creek 51WG</v>
      </c>
      <c r="F1178" s="87" t="str">
        <f>IFERROR(__xludf.DUMMYFUNCTION("""COMPUTED_VALUE"""),"HH0709")</f>
        <v>HH0709</v>
      </c>
      <c r="G1178" s="87" t="str">
        <f>IFERROR(__xludf.DUMMYFUNCTION("""COMPUTED_VALUE"""),"IDA Global - I - 709 - Creek 51WG (túi nhôm) - 10gr - 200 ([btp],t,h)")</f>
        <v>IDA Global - I - 709 - Creek 51WG (túi nhôm) - 10gr - 200 ([btp],t,h)</v>
      </c>
    </row>
    <row r="1179">
      <c r="A1179" s="86">
        <f>IFERROR(__xludf.DUMMYFUNCTION("""COMPUTED_VALUE"""),1177.0)</f>
        <v>1177</v>
      </c>
      <c r="B1179" s="87" t="str">
        <f>IFERROR(__xludf.DUMMYFUNCTION("""COMPUTED_VALUE"""),"Nhãn")</f>
        <v>Nhãn</v>
      </c>
      <c r="C1179" s="87" t="str">
        <f>IFERROR(__xludf.DUMMYFUNCTION("""COMPUTED_VALUE"""),"NTN0710")</f>
        <v>NTN0710</v>
      </c>
      <c r="D1179" s="87" t="str">
        <f>IFERROR(__xludf.DUMMYFUNCTION("""COMPUTED_VALUE"""),"[Nhãn] IDA Global - I - 710 - Phoppaway 80 WG (túi nhôm) - 16gr - 200")</f>
        <v>[Nhãn] IDA Global - I - 710 - Phoppaway 80 WG (túi nhôm) - 16gr - 200</v>
      </c>
      <c r="E1179" s="87" t="str">
        <f>IFERROR(__xludf.DUMMYFUNCTION("""COMPUTED_VALUE"""),"PHOPPAWAY 80WG")</f>
        <v>PHOPPAWAY 80WG</v>
      </c>
      <c r="F1179" s="87" t="str">
        <f>IFERROR(__xludf.DUMMYFUNCTION("""COMPUTED_VALUE"""),"HH0710")</f>
        <v>HH0710</v>
      </c>
      <c r="G1179" s="87" t="str">
        <f>IFERROR(__xludf.DUMMYFUNCTION("""COMPUTED_VALUE"""),"IDA Global - I - 710 - Phoppaway 80 WG (túi nhôm) - 16gr - 200")</f>
        <v>IDA Global - I - 710 - Phoppaway 80 WG (túi nhôm) - 16gr - 200</v>
      </c>
    </row>
    <row r="1180">
      <c r="A1180" s="86">
        <f>IFERROR(__xludf.DUMMYFUNCTION("""COMPUTED_VALUE"""),1178.0)</f>
        <v>1178</v>
      </c>
      <c r="B1180" s="87" t="str">
        <f>IFERROR(__xludf.DUMMYFUNCTION("""COMPUTED_VALUE"""),"Nhãn thùng")</f>
        <v>Nhãn thùng</v>
      </c>
      <c r="C1180" s="87" t="str">
        <f>IFERROR(__xludf.DUMMYFUNCTION("""COMPUTED_VALUE"""),"NDT0710")</f>
        <v>NDT0710</v>
      </c>
      <c r="D1180" s="87" t="str">
        <f>IFERROR(__xludf.DUMMYFUNCTION("""COMPUTED_VALUE"""),"[Nhãn thùng] IDA Global - I - 710 - Phoppaway 80 WG (túi nhôm) - 16gr - 200")</f>
        <v>[Nhãn thùng] IDA Global - I - 710 - Phoppaway 80 WG (túi nhôm) - 16gr - 200</v>
      </c>
      <c r="E1180" s="87" t="str">
        <f>IFERROR(__xludf.DUMMYFUNCTION("""COMPUTED_VALUE"""),"PHOPPAWAY 80WG")</f>
        <v>PHOPPAWAY 80WG</v>
      </c>
      <c r="F1180" s="87" t="str">
        <f>IFERROR(__xludf.DUMMYFUNCTION("""COMPUTED_VALUE"""),"HH0710")</f>
        <v>HH0710</v>
      </c>
      <c r="G1180" s="87" t="str">
        <f>IFERROR(__xludf.DUMMYFUNCTION("""COMPUTED_VALUE"""),"IDA Global - I - 710 - Phoppaway 80 WG (túi nhôm) - 16gr - 200")</f>
        <v>IDA Global - I - 710 - Phoppaway 80 WG (túi nhôm) - 16gr - 200</v>
      </c>
    </row>
    <row r="1181">
      <c r="A1181" s="86">
        <f>IFERROR(__xludf.DUMMYFUNCTION("""COMPUTED_VALUE"""),1179.0)</f>
        <v>1179</v>
      </c>
      <c r="B1181" s="87" t="str">
        <f>IFERROR(__xludf.DUMMYFUNCTION("""COMPUTED_VALUE"""),"Nhãn")</f>
        <v>Nhãn</v>
      </c>
      <c r="C1181" s="87" t="str">
        <f>IFERROR(__xludf.DUMMYFUNCTION("""COMPUTED_VALUE"""),"NHG0711")</f>
        <v>NHG0711</v>
      </c>
      <c r="D1181" s="87" t="str">
        <f>IFERROR(__xludf.DUMMYFUNCTION("""COMPUTED_VALUE"""),"[Nhãn] IDA Global - I - 711 - Vua chim trĩ (chai HD)- 100ml - 100 ([btp] ,t,c)")</f>
        <v>[Nhãn] IDA Global - I - 711 - Vua chim trĩ (chai HD)- 100ml - 100 ([btp] ,t,c)</v>
      </c>
      <c r="E1181" s="87" t="str">
        <f>IFERROR(__xludf.DUMMYFUNCTION("""COMPUTED_VALUE"""),"VOTE 34.2SC")</f>
        <v>VOTE 34.2SC</v>
      </c>
      <c r="F1181" s="87" t="str">
        <f>IFERROR(__xludf.DUMMYFUNCTION("""COMPUTED_VALUE"""),"HH0711")</f>
        <v>HH0711</v>
      </c>
      <c r="G1181" s="87" t="str">
        <f>IFERROR(__xludf.DUMMYFUNCTION("""COMPUTED_VALUE"""),"IDA Global - I - 711 - Vua chim trĩ (chai HD)- 100ml - 100 ([btp] ,t,c)")</f>
        <v>IDA Global - I - 711 - Vua chim trĩ (chai HD)- 100ml - 100 ([btp] ,t,c)</v>
      </c>
    </row>
    <row r="1182">
      <c r="A1182" s="86">
        <f>IFERROR(__xludf.DUMMYFUNCTION("""COMPUTED_VALUE"""),1180.0)</f>
        <v>1180</v>
      </c>
      <c r="B1182" s="87" t="str">
        <f>IFERROR(__xludf.DUMMYFUNCTION("""COMPUTED_VALUE"""),"Nhãn")</f>
        <v>Nhãn</v>
      </c>
      <c r="C1182" s="87" t="str">
        <f>IFERROR(__xludf.DUMMYFUNCTION("""COMPUTED_VALUE"""),"NHG0712")</f>
        <v>NHG0712</v>
      </c>
      <c r="D1182" s="87" t="str">
        <f>IFERROR(__xludf.DUMMYFUNCTION("""COMPUTED_VALUE"""),"[Nhãn] IDA Global - I - 712 - Siêu Xông Hơi (chai PET tròn)- 450ml - 40 ([btp],t)")</f>
        <v>[Nhãn] IDA Global - I - 712 - Siêu Xông Hơi (chai PET tròn)- 450ml - 40 ([btp],t)</v>
      </c>
      <c r="E1182" s="87" t="str">
        <f>IFERROR(__xludf.DUMMYFUNCTION("""COMPUTED_VALUE"""),"PYXOATE 44EC")</f>
        <v>PYXOATE 44EC</v>
      </c>
      <c r="F1182" s="87" t="str">
        <f>IFERROR(__xludf.DUMMYFUNCTION("""COMPUTED_VALUE"""),"HH0712")</f>
        <v>HH0712</v>
      </c>
      <c r="G1182" s="87" t="str">
        <f>IFERROR(__xludf.DUMMYFUNCTION("""COMPUTED_VALUE"""),"IDA Global - I - 712 - Siêu Xông Hơi (chai PET tròn)- 450ml - 40 ([btp],t)")</f>
        <v>IDA Global - I - 712 - Siêu Xông Hơi (chai PET tròn)- 450ml - 40 ([btp],t)</v>
      </c>
    </row>
    <row r="1183">
      <c r="A1183" s="86">
        <f>IFERROR(__xludf.DUMMYFUNCTION("""COMPUTED_VALUE"""),1181.0)</f>
        <v>1181</v>
      </c>
      <c r="B1183" s="87" t="str">
        <f>IFERROR(__xludf.DUMMYFUNCTION("""COMPUTED_VALUE"""),"Nhãn")</f>
        <v>Nhãn</v>
      </c>
      <c r="C1183" s="87" t="str">
        <f>IFERROR(__xludf.DUMMYFUNCTION("""COMPUTED_VALUE"""),"NHG0713")</f>
        <v>NHG0713</v>
      </c>
      <c r="D1183" s="87" t="str">
        <f>IFERROR(__xludf.DUMMYFUNCTION("""COMPUTED_VALUE"""),"[Nhãn] IDA Global - I - 713 - Picosuper 280SC (chai Pape) (BTP Trắng) - 250ml - 40 ([btp],t,c)")</f>
        <v>[Nhãn] IDA Global - I - 713 - Picosuper 280SC (chai Pape) (BTP Trắng) - 250ml - 40 ([btp],t,c)</v>
      </c>
      <c r="E1183" s="87" t="str">
        <f>IFERROR(__xludf.DUMMYFUNCTION("""COMPUTED_VALUE"""),"PICOSUPER 280SC")</f>
        <v>PICOSUPER 280SC</v>
      </c>
      <c r="F1183" s="87" t="str">
        <f>IFERROR(__xludf.DUMMYFUNCTION("""COMPUTED_VALUE"""),"HH0713")</f>
        <v>HH0713</v>
      </c>
      <c r="G1183" s="87" t="str">
        <f>IFERROR(__xludf.DUMMYFUNCTION("""COMPUTED_VALUE"""),"IDA Global - I - 713 - Picosuper 280SC (chai Pape) (BTP Trắng) - 250ml - 40 ([btp],t,c)")</f>
        <v>IDA Global - I - 713 - Picosuper 280SC (chai Pape) (BTP Trắng) - 250ml - 40 ([btp],t,c)</v>
      </c>
    </row>
    <row r="1184">
      <c r="A1184" s="86">
        <f>IFERROR(__xludf.DUMMYFUNCTION("""COMPUTED_VALUE"""),1182.0)</f>
        <v>1182</v>
      </c>
      <c r="B1184" s="87" t="str">
        <f>IFERROR(__xludf.DUMMYFUNCTION("""COMPUTED_VALUE"""),"Nhãn")</f>
        <v>Nhãn</v>
      </c>
      <c r="C1184" s="87" t="str">
        <f>IFERROR(__xludf.DUMMYFUNCTION("""COMPUTED_VALUE"""),"NHG0713.1")</f>
        <v>NHG0713.1</v>
      </c>
      <c r="D1184" s="87" t="str">
        <f>IFERROR(__xludf.DUMMYFUNCTION("""COMPUTED_VALUE"""),"[Nhãn] IDA Global - I - 713.1 - Picosuper 280SC (Chai Pape)(nước trắng sữa) - 240ml - 40 ([btp],t,c)")</f>
        <v>[Nhãn] IDA Global - I - 713.1 - Picosuper 280SC (Chai Pape)(nước trắng sữa) - 240ml - 40 ([btp],t,c)</v>
      </c>
      <c r="E1184" s="87" t="str">
        <f>IFERROR(__xludf.DUMMYFUNCTION("""COMPUTED_VALUE"""),"PICOSUPER 280SC")</f>
        <v>PICOSUPER 280SC</v>
      </c>
      <c r="F1184" s="87" t="str">
        <f>IFERROR(__xludf.DUMMYFUNCTION("""COMPUTED_VALUE"""),"HH13.1")</f>
        <v>HH13.1</v>
      </c>
      <c r="G1184" s="87" t="str">
        <f>IFERROR(__xludf.DUMMYFUNCTION("""COMPUTED_VALUE"""),"IDA Global - I - 713.1 - Picosuper 280SC (Chai Pape)(nước trắng sữa) - 240ml - 40 ([btp],t,c)")</f>
        <v>IDA Global - I - 713.1 - Picosuper 280SC (Chai Pape)(nước trắng sữa) - 240ml - 40 ([btp],t,c)</v>
      </c>
    </row>
    <row r="1185">
      <c r="A1185" s="86">
        <f>IFERROR(__xludf.DUMMYFUNCTION("""COMPUTED_VALUE"""),1183.0)</f>
        <v>1183</v>
      </c>
      <c r="B1185" s="87" t="str">
        <f>IFERROR(__xludf.DUMMYFUNCTION("""COMPUTED_VALUE"""),"Nhãn thùng")</f>
        <v>Nhãn thùng</v>
      </c>
      <c r="C1185" s="87" t="str">
        <f>IFERROR(__xludf.DUMMYFUNCTION("""COMPUTED_VALUE"""),"NDT0713.1")</f>
        <v>NDT0713.1</v>
      </c>
      <c r="D1185" s="87" t="str">
        <f>IFERROR(__xludf.DUMMYFUNCTION("""COMPUTED_VALUE"""),"[Nhãn thùng] IDA Global - I - 713.1 - Picosuper 280SC (Chai Pape)(nước trắng sữa) - 240ml - 40 ([btp],t,c)")</f>
        <v>[Nhãn thùng] IDA Global - I - 713.1 - Picosuper 280SC (Chai Pape)(nước trắng sữa) - 240ml - 40 ([btp],t,c)</v>
      </c>
      <c r="E1185" s="87" t="str">
        <f>IFERROR(__xludf.DUMMYFUNCTION("""COMPUTED_VALUE"""),"PICOSUPER 280SC")</f>
        <v>PICOSUPER 280SC</v>
      </c>
      <c r="F1185" s="87" t="str">
        <f>IFERROR(__xludf.DUMMYFUNCTION("""COMPUTED_VALUE"""),"HH13.1")</f>
        <v>HH13.1</v>
      </c>
      <c r="G1185" s="87" t="str">
        <f>IFERROR(__xludf.DUMMYFUNCTION("""COMPUTED_VALUE"""),"IDA Global - I - 713.1 - Picosuper 280SC (Chai Pape)(nước trắng sữa) - 240ml - 40 ([btp],t,c)")</f>
        <v>IDA Global - I - 713.1 - Picosuper 280SC (Chai Pape)(nước trắng sữa) - 240ml - 40 ([btp],t,c)</v>
      </c>
    </row>
    <row r="1186">
      <c r="A1186" s="86">
        <f>IFERROR(__xludf.DUMMYFUNCTION("""COMPUTED_VALUE"""),1184.0)</f>
        <v>1184</v>
      </c>
      <c r="B1186" s="87" t="str">
        <f>IFERROR(__xludf.DUMMYFUNCTION("""COMPUTED_VALUE"""),"Nhãn")</f>
        <v>Nhãn</v>
      </c>
      <c r="C1186" s="87" t="str">
        <f>IFERROR(__xludf.DUMMYFUNCTION("""COMPUTED_VALUE"""),"NHG0714")</f>
        <v>NHG0714</v>
      </c>
      <c r="D1186" s="87" t="str">
        <f>IFERROR(__xludf.DUMMYFUNCTION("""COMPUTED_VALUE"""),"[Nhãn] IDA Global - I - 714 - Vatino Super 525SE (Chai Pape) - 250ml - 40 ([btp],c,t)")</f>
        <v>[Nhãn] IDA Global - I - 714 - Vatino Super 525SE (Chai Pape) - 250ml - 40 ([btp],c,t)</v>
      </c>
      <c r="E1186" s="87" t="str">
        <f>IFERROR(__xludf.DUMMYFUNCTION("""COMPUTED_VALUE"""),"VATINO SUPER 525SE")</f>
        <v>VATINO SUPER 525SE</v>
      </c>
      <c r="F1186" s="87" t="str">
        <f>IFERROR(__xludf.DUMMYFUNCTION("""COMPUTED_VALUE"""),"HH0714")</f>
        <v>HH0714</v>
      </c>
      <c r="G1186" s="87" t="str">
        <f>IFERROR(__xludf.DUMMYFUNCTION("""COMPUTED_VALUE"""),"IDA Global - I - 714 - Vatino Super 525SE (Chai Pape) - 250ml - 40 ([btp],c,t)")</f>
        <v>IDA Global - I - 714 - Vatino Super 525SE (Chai Pape) - 250ml - 40 ([btp],c,t)</v>
      </c>
    </row>
    <row r="1187">
      <c r="A1187" s="86">
        <f>IFERROR(__xludf.DUMMYFUNCTION("""COMPUTED_VALUE"""),1185.0)</f>
        <v>1185</v>
      </c>
      <c r="B1187" s="87" t="str">
        <f>IFERROR(__xludf.DUMMYFUNCTION("""COMPUTED_VALUE"""),"Nhãn")</f>
        <v>Nhãn</v>
      </c>
      <c r="C1187" s="87" t="str">
        <f>IFERROR(__xludf.DUMMYFUNCTION("""COMPUTED_VALUE"""),"NTN0715")</f>
        <v>NTN0715</v>
      </c>
      <c r="D1187" s="87" t="str">
        <f>IFERROR(__xludf.DUMMYFUNCTION("""COMPUTED_VALUE"""),"[Nhãn] IDA Global - I - 715 - Chloronil (flexo) - 100gr - 100 ([btp] , t)")</f>
        <v>[Nhãn] IDA Global - I - 715 - Chloronil (flexo) - 100gr - 100 ([btp] , t)</v>
      </c>
      <c r="E1187" s="87" t="str">
        <f>IFERROR(__xludf.DUMMYFUNCTION("""COMPUTED_VALUE"""),"THALONIL 75WP")</f>
        <v>THALONIL 75WP</v>
      </c>
      <c r="F1187" s="87" t="str">
        <f>IFERROR(__xludf.DUMMYFUNCTION("""COMPUTED_VALUE"""),"HH0715")</f>
        <v>HH0715</v>
      </c>
      <c r="G1187" s="87" t="str">
        <f>IFERROR(__xludf.DUMMYFUNCTION("""COMPUTED_VALUE"""),"IDA Global - I - 715 - Chloronil (flexo) - 100gr - 100 ([btp] , t)")</f>
        <v>IDA Global - I - 715 - Chloronil (flexo) - 100gr - 100 ([btp] , t)</v>
      </c>
    </row>
    <row r="1188">
      <c r="A1188" s="86">
        <f>IFERROR(__xludf.DUMMYFUNCTION("""COMPUTED_VALUE"""),1186.0)</f>
        <v>1186</v>
      </c>
      <c r="B1188" s="87" t="str">
        <f>IFERROR(__xludf.DUMMYFUNCTION("""COMPUTED_VALUE"""),"Nhãn")</f>
        <v>Nhãn</v>
      </c>
      <c r="C1188" s="87" t="str">
        <f>IFERROR(__xludf.DUMMYFUNCTION("""COMPUTED_VALUE"""),"NHG0716")</f>
        <v>NHG0716</v>
      </c>
      <c r="D1188" s="87" t="str">
        <f>IFERROR(__xludf.DUMMYFUNCTION("""COMPUTED_VALUE"""),"[Nhãn] IDA Global - I - 716 - Toto - Boost (chai HD) - 240ml - 40 ([btp],t,c)")</f>
        <v>[Nhãn] IDA Global - I - 716 - Toto - Boost (chai HD) - 240ml - 40 ([btp],t,c)</v>
      </c>
      <c r="E1188" s="87" t="str">
        <f>IFERROR(__xludf.DUMMYFUNCTION("""COMPUTED_VALUE"""),"NPK Bổ sung Vi lượng Basel NPK 6-6-8 IDA 33")</f>
        <v>NPK Bổ sung Vi lượng Basel NPK 6-6-8 IDA 33</v>
      </c>
      <c r="F1188" s="87" t="str">
        <f>IFERROR(__xludf.DUMMYFUNCTION("""COMPUTED_VALUE"""),"HH0716")</f>
        <v>HH0716</v>
      </c>
      <c r="G1188" s="87" t="str">
        <f>IFERROR(__xludf.DUMMYFUNCTION("""COMPUTED_VALUE"""),"IDA Global - I - 716 - Toto - Boost (chai HD) - 240ml - 40 ([btp],t,c)")</f>
        <v>IDA Global - I - 716 - Toto - Boost (chai HD) - 240ml - 40 ([btp],t,c)</v>
      </c>
    </row>
    <row r="1189">
      <c r="A1189" s="86">
        <f>IFERROR(__xludf.DUMMYFUNCTION("""COMPUTED_VALUE"""),1187.0)</f>
        <v>1187</v>
      </c>
      <c r="B1189" s="87" t="str">
        <f>IFERROR(__xludf.DUMMYFUNCTION("""COMPUTED_VALUE"""),"Nhãn")</f>
        <v>Nhãn</v>
      </c>
      <c r="C1189" s="87" t="str">
        <f>IFERROR(__xludf.DUMMYFUNCTION("""COMPUTED_VALUE"""),"NHG0717")</f>
        <v>NHG0717</v>
      </c>
      <c r="D1189" s="87" t="str">
        <f>IFERROR(__xludf.DUMMYFUNCTION("""COMPUTED_VALUE"""),"[Nhãn] IDA Global - I - 717 - Combi Boost (chai HD) - 240ml - 40 ([btp],t,c)")</f>
        <v>[Nhãn] IDA Global - I - 717 - Combi Boost (chai HD) - 240ml - 40 ([btp],t,c)</v>
      </c>
      <c r="E1189" s="87" t="str">
        <f>IFERROR(__xludf.DUMMYFUNCTION("""COMPUTED_VALUE"""),"Vi lượng Basel IDA 49")</f>
        <v>Vi lượng Basel IDA 49</v>
      </c>
      <c r="F1189" s="87" t="str">
        <f>IFERROR(__xludf.DUMMYFUNCTION("""COMPUTED_VALUE"""),"HH0717")</f>
        <v>HH0717</v>
      </c>
      <c r="G1189" s="87" t="str">
        <f>IFERROR(__xludf.DUMMYFUNCTION("""COMPUTED_VALUE"""),"IDA Global - I - 717 - Combi Boost (chai HD) - 240ml - 40 ([btp],t,c)")</f>
        <v>IDA Global - I - 717 - Combi Boost (chai HD) - 240ml - 40 ([btp],t,c)</v>
      </c>
    </row>
    <row r="1190">
      <c r="A1190" s="86">
        <f>IFERROR(__xludf.DUMMYFUNCTION("""COMPUTED_VALUE"""),1188.0)</f>
        <v>1188</v>
      </c>
      <c r="B1190" s="87" t="str">
        <f>IFERROR(__xludf.DUMMYFUNCTION("""COMPUTED_VALUE"""),"Nhãn")</f>
        <v>Nhãn</v>
      </c>
      <c r="C1190" s="87" t="str">
        <f>IFERROR(__xludf.DUMMYFUNCTION("""COMPUTED_VALUE"""),"NHG0718")</f>
        <v>NHG0718</v>
      </c>
      <c r="D1190" s="87" t="str">
        <f>IFERROR(__xludf.DUMMYFUNCTION("""COMPUTED_VALUE"""),"[Nhãn] GC - IV - Châu Giang - 718 - Bi 58 Plus+ - (chai PET tròn) - 400ml - 30")</f>
        <v>[Nhãn] GC - IV - Châu Giang - 718 - Bi 58 Plus+ - (chai PET tròn) - 400ml - 30</v>
      </c>
      <c r="E1190" s="87" t="str">
        <f>IFERROR(__xludf.DUMMYFUNCTION("""COMPUTED_VALUE"""),"PYXOATE 44EC")</f>
        <v>PYXOATE 44EC</v>
      </c>
      <c r="F1190" s="87" t="str">
        <f>IFERROR(__xludf.DUMMYFUNCTION("""COMPUTED_VALUE"""),"HH0718")</f>
        <v>HH0718</v>
      </c>
      <c r="G1190" s="87" t="str">
        <f>IFERROR(__xludf.DUMMYFUNCTION("""COMPUTED_VALUE"""),"GC - IV - Châu Giang - 718 - Bi 58 Plus+ - (chai PET tròn) - 400ml - 30")</f>
        <v>GC - IV - Châu Giang - 718 - Bi 58 Plus+ - (chai PET tròn) - 400ml - 30</v>
      </c>
    </row>
    <row r="1191">
      <c r="A1191" s="86">
        <f>IFERROR(__xludf.DUMMYFUNCTION("""COMPUTED_VALUE"""),1189.0)</f>
        <v>1189</v>
      </c>
      <c r="B1191" s="87" t="str">
        <f>IFERROR(__xludf.DUMMYFUNCTION("""COMPUTED_VALUE"""),"Nhãn")</f>
        <v>Nhãn</v>
      </c>
      <c r="C1191" s="87" t="str">
        <f>IFERROR(__xludf.DUMMYFUNCTION("""COMPUTED_VALUE"""),"NHG0719")</f>
        <v>NHG0719</v>
      </c>
      <c r="D1191" s="87" t="str">
        <f>IFERROR(__xludf.DUMMYFUNCTION("""COMPUTED_VALUE"""),"[Nhãn] IDA Global - I - 719 - Cabor plus (chai HD) - 500ml - 40 ([btp],t,c)")</f>
        <v>[Nhãn] IDA Global - I - 719 - Cabor plus (chai HD) - 500ml - 40 ([btp],t,c)</v>
      </c>
      <c r="E1191" s="87" t="str">
        <f>IFERROR(__xludf.DUMMYFUNCTION("""COMPUTED_VALUE"""),"Prima 04")</f>
        <v>Prima 04</v>
      </c>
      <c r="F1191" s="87" t="str">
        <f>IFERROR(__xludf.DUMMYFUNCTION("""COMPUTED_VALUE"""),"HH0719")</f>
        <v>HH0719</v>
      </c>
      <c r="G1191" s="87" t="str">
        <f>IFERROR(__xludf.DUMMYFUNCTION("""COMPUTED_VALUE"""),"IDA Global - I - 719 - Cabor plus (chai HD) - 500ml - 40 ([btp],t,c)")</f>
        <v>IDA Global - I - 719 - Cabor plus (chai HD) - 500ml - 40 ([btp],t,c)</v>
      </c>
    </row>
    <row r="1192">
      <c r="A1192" s="86">
        <f>IFERROR(__xludf.DUMMYFUNCTION("""COMPUTED_VALUE"""),1190.0)</f>
        <v>1190</v>
      </c>
      <c r="B1192" s="87" t="str">
        <f>IFERROR(__xludf.DUMMYFUNCTION("""COMPUTED_VALUE"""),"Nhãn")</f>
        <v>Nhãn</v>
      </c>
      <c r="C1192" s="87" t="str">
        <f>IFERROR(__xludf.DUMMYFUNCTION("""COMPUTED_VALUE"""),"NHG0720")</f>
        <v>NHG0720</v>
      </c>
      <c r="D1192" s="87" t="str">
        <f>IFERROR(__xludf.DUMMYFUNCTION("""COMPUTED_VALUE"""),"[Nhãn] GC - IV - 720 - Agritech - Tikabamec 3.6 EC (PET tròn) (nước đục) - 450ml - 40")</f>
        <v>[Nhãn] GC - IV - 720 - Agritech - Tikabamec 3.6 EC (PET tròn) (nước đục) - 450ml - 40</v>
      </c>
      <c r="E1192" s="87" t="str">
        <f>IFERROR(__xludf.DUMMYFUNCTION("""COMPUTED_VALUE"""),"Tikabamec 3.6EC")</f>
        <v>Tikabamec 3.6EC</v>
      </c>
      <c r="F1192" s="87" t="str">
        <f>IFERROR(__xludf.DUMMYFUNCTION("""COMPUTED_VALUE"""),"HH0720")</f>
        <v>HH0720</v>
      </c>
      <c r="G1192" s="87" t="str">
        <f>IFERROR(__xludf.DUMMYFUNCTION("""COMPUTED_VALUE"""),"GC - IV - 720 - Agritech - Tikabamec 3.6 EC (PET tròn) (nước đục) - 450ml - 40")</f>
        <v>GC - IV - 720 - Agritech - Tikabamec 3.6 EC (PET tròn) (nước đục) - 450ml - 40</v>
      </c>
    </row>
    <row r="1193">
      <c r="A1193" s="86">
        <f>IFERROR(__xludf.DUMMYFUNCTION("""COMPUTED_VALUE"""),1191.0)</f>
        <v>1191</v>
      </c>
      <c r="B1193" s="87" t="str">
        <f>IFERROR(__xludf.DUMMYFUNCTION("""COMPUTED_VALUE"""),"Nhãn")</f>
        <v>Nhãn</v>
      </c>
      <c r="C1193" s="87" t="str">
        <f>IFERROR(__xludf.DUMMYFUNCTION("""COMPUTED_VALUE"""),"NHG0721")</f>
        <v>NHG0721</v>
      </c>
      <c r="D1193" s="87" t="str">
        <f>IFERROR(__xludf.DUMMYFUNCTION("""COMPUTED_VALUE"""),"[Nhãn] GC - IV - 721 - Agritech - Tikabamec 3.6 EC (PET tròn) (nước đục) - 450ml - 40")</f>
        <v>[Nhãn] GC - IV - 721 - Agritech - Tikabamec 3.6 EC (PET tròn) (nước đục) - 450ml - 40</v>
      </c>
      <c r="E1193" s="87" t="str">
        <f>IFERROR(__xludf.DUMMYFUNCTION("""COMPUTED_VALUE"""),"Tikabamec 3.6EC")</f>
        <v>Tikabamec 3.6EC</v>
      </c>
      <c r="F1193" s="87" t="str">
        <f>IFERROR(__xludf.DUMMYFUNCTION("""COMPUTED_VALUE"""),"HH0721")</f>
        <v>HH0721</v>
      </c>
      <c r="G1193" s="87" t="str">
        <f>IFERROR(__xludf.DUMMYFUNCTION("""COMPUTED_VALUE"""),"GC - IV - 721 - Agritech - Tikabamec 3.6 EC (PET tròn) (nước đục) - 450ml - 40")</f>
        <v>GC - IV - 721 - Agritech - Tikabamec 3.6 EC (PET tròn) (nước đục) - 450ml - 40</v>
      </c>
    </row>
    <row r="1194">
      <c r="A1194" s="86">
        <f>IFERROR(__xludf.DUMMYFUNCTION("""COMPUTED_VALUE"""),1192.0)</f>
        <v>1192</v>
      </c>
      <c r="B1194" s="87" t="str">
        <f>IFERROR(__xludf.DUMMYFUNCTION("""COMPUTED_VALUE"""),"Nhãn")</f>
        <v>Nhãn</v>
      </c>
      <c r="C1194" s="87" t="str">
        <f>IFERROR(__xludf.DUMMYFUNCTION("""COMPUTED_VALUE"""),"NHG0722")</f>
        <v>NHG0722</v>
      </c>
      <c r="D1194" s="87" t="str">
        <f>IFERROR(__xludf.DUMMYFUNCTION("""COMPUTED_VALUE"""),"[Nhãn] IDA Global - I - 722 - Vua chim trĩ (chai HD)- 240ml - 40 ([btp],t)")</f>
        <v>[Nhãn] IDA Global - I - 722 - Vua chim trĩ (chai HD)- 240ml - 40 ([btp],t)</v>
      </c>
      <c r="E1194" s="87" t="str">
        <f>IFERROR(__xludf.DUMMYFUNCTION("""COMPUTED_VALUE"""),"VOTE 34.2SC")</f>
        <v>VOTE 34.2SC</v>
      </c>
      <c r="F1194" s="87" t="str">
        <f>IFERROR(__xludf.DUMMYFUNCTION("""COMPUTED_VALUE"""),"HH0722")</f>
        <v>HH0722</v>
      </c>
      <c r="G1194" s="87" t="str">
        <f>IFERROR(__xludf.DUMMYFUNCTION("""COMPUTED_VALUE"""),"IDA Global - I - 722 - Vua chim trĩ (chai HD)- 240ml - 40 ([btp],t)")</f>
        <v>IDA Global - I - 722 - Vua chim trĩ (chai HD)- 240ml - 40 ([btp],t)</v>
      </c>
    </row>
    <row r="1195">
      <c r="A1195" s="86">
        <f>IFERROR(__xludf.DUMMYFUNCTION("""COMPUTED_VALUE"""),1193.0)</f>
        <v>1193</v>
      </c>
      <c r="B1195" s="87" t="str">
        <f>IFERROR(__xludf.DUMMYFUNCTION("""COMPUTED_VALUE"""),"Nhãn")</f>
        <v>Nhãn</v>
      </c>
      <c r="C1195" s="87" t="str">
        <f>IFERROR(__xludf.DUMMYFUNCTION("""COMPUTED_VALUE"""),"NHG0723")</f>
        <v>NHG0723</v>
      </c>
      <c r="D1195" s="87" t="str">
        <f>IFERROR(__xludf.DUMMYFUNCTION("""COMPUTED_VALUE"""),"[Nhãn] IDA Global - I - 723 - Javi vil 50SC (Chai HD) (BTP Vàng) - 1L - 20 ([btp], t)")</f>
        <v>[Nhãn] IDA Global - I - 723 - Javi vil 50SC (Chai HD) (BTP Vàng) - 1L - 20 ([btp], t)</v>
      </c>
      <c r="E1195" s="87" t="str">
        <f>IFERROR(__xludf.DUMMYFUNCTION("""COMPUTED_VALUE"""),"JAVI VIL 50SC")</f>
        <v>JAVI VIL 50SC</v>
      </c>
      <c r="F1195" s="87" t="str">
        <f>IFERROR(__xludf.DUMMYFUNCTION("""COMPUTED_VALUE"""),"HH0723")</f>
        <v>HH0723</v>
      </c>
      <c r="G1195" s="87" t="str">
        <f>IFERROR(__xludf.DUMMYFUNCTION("""COMPUTED_VALUE"""),"IDA Global - I - 723 - Javi vil 50SC (Chai HD) (BTP Vàng) - 1L - 20 ([btp], t)")</f>
        <v>IDA Global - I - 723 - Javi vil 50SC (Chai HD) (BTP Vàng) - 1L - 20 ([btp], t)</v>
      </c>
    </row>
    <row r="1196">
      <c r="A1196" s="86">
        <f>IFERROR(__xludf.DUMMYFUNCTION("""COMPUTED_VALUE"""),1194.0)</f>
        <v>1194</v>
      </c>
      <c r="B1196" s="87" t="str">
        <f>IFERROR(__xludf.DUMMYFUNCTION("""COMPUTED_VALUE"""),"Nhãn")</f>
        <v>Nhãn</v>
      </c>
      <c r="C1196" s="87" t="str">
        <f>IFERROR(__xludf.DUMMYFUNCTION("""COMPUTED_VALUE"""),"NHD0724")</f>
        <v>NHD0724</v>
      </c>
      <c r="D1196" s="87" t="str">
        <f>IFERROR(__xludf.DUMMYFUNCTION("""COMPUTED_VALUE"""),"[Nhãn] GC - II - 724 - Nông Lâm Hoà Phát - Humiix Us - 10kg - 1")</f>
        <v>[Nhãn] GC - II - 724 - Nông Lâm Hoà Phát - Humiix Us - 10kg - 1</v>
      </c>
      <c r="E1196" s="87" t="str">
        <f>IFERROR(__xludf.DUMMYFUNCTION("""COMPUTED_VALUE"""),"Prima 04")</f>
        <v>Prima 04</v>
      </c>
      <c r="F1196" s="87" t="str">
        <f>IFERROR(__xludf.DUMMYFUNCTION("""COMPUTED_VALUE"""),"HH0724")</f>
        <v>HH0724</v>
      </c>
      <c r="G1196" s="87" t="str">
        <f>IFERROR(__xludf.DUMMYFUNCTION("""COMPUTED_VALUE"""),"GC - II - 724 - Nông Lâm Hoà Phát - Humiix Us - 10kg - 1")</f>
        <v>GC - II - 724 - Nông Lâm Hoà Phát - Humiix Us - 10kg - 1</v>
      </c>
    </row>
    <row r="1197">
      <c r="A1197" s="86">
        <f>IFERROR(__xludf.DUMMYFUNCTION("""COMPUTED_VALUE"""),1195.0)</f>
        <v>1195</v>
      </c>
      <c r="B1197" s="87" t="str">
        <f>IFERROR(__xludf.DUMMYFUNCTION("""COMPUTED_VALUE"""),"Nhãn")</f>
        <v>Nhãn</v>
      </c>
      <c r="C1197" s="87" t="str">
        <f>IFERROR(__xludf.DUMMYFUNCTION("""COMPUTED_VALUE"""),"NHG0725")</f>
        <v>NHG0725</v>
      </c>
      <c r="D1197" s="87" t="str">
        <f>IFERROR(__xludf.DUMMYFUNCTION("""COMPUTED_VALUE"""),"[Nhãn] IDA Global - I - 725 - Cá mập 350SC (chai HD) - 100ml - 100 ([btp],t,c)")</f>
        <v>[Nhãn] IDA Global - I - 725 - Cá mập 350SC (chai HD) - 100ml - 100 ([btp],t,c)</v>
      </c>
      <c r="E1197" s="87" t="str">
        <f>IFERROR(__xludf.DUMMYFUNCTION("""COMPUTED_VALUE"""),"CA MAP 350SC")</f>
        <v>CA MAP 350SC</v>
      </c>
      <c r="F1197" s="87" t="str">
        <f>IFERROR(__xludf.DUMMYFUNCTION("""COMPUTED_VALUE"""),"HH0725")</f>
        <v>HH0725</v>
      </c>
      <c r="G1197" s="87" t="str">
        <f>IFERROR(__xludf.DUMMYFUNCTION("""COMPUTED_VALUE"""),"IDA Global - I - 725 - Cá mập 350SC (chai HD) - 100ml - 100 ([btp],t,c)")</f>
        <v>IDA Global - I - 725 - Cá mập 350SC (chai HD) - 100ml - 100 ([btp],t,c)</v>
      </c>
    </row>
    <row r="1198">
      <c r="A1198" s="86">
        <f>IFERROR(__xludf.DUMMYFUNCTION("""COMPUTED_VALUE"""),1196.0)</f>
        <v>1196</v>
      </c>
      <c r="B1198" s="87" t="str">
        <f>IFERROR(__xludf.DUMMYFUNCTION("""COMPUTED_VALUE"""),"Nhãn")</f>
        <v>Nhãn</v>
      </c>
      <c r="C1198" s="87" t="str">
        <f>IFERROR(__xludf.DUMMYFUNCTION("""COMPUTED_VALUE"""),"NHG0726")</f>
        <v>NHG0726</v>
      </c>
      <c r="D1198" s="87" t="str">
        <f>IFERROR(__xludf.DUMMYFUNCTION("""COMPUTED_VALUE"""),"[Nhãn] IDA Global - I - 726 - Vita Boost (chai HD)- 500 ml - 40 ([btp],t,c)")</f>
        <v>[Nhãn] IDA Global - I - 726 - Vita Boost (chai HD)- 500 ml - 40 ([btp],t,c)</v>
      </c>
      <c r="E1198" s="87" t="str">
        <f>IFERROR(__xludf.DUMMYFUNCTION("""COMPUTED_VALUE"""),"Vi lượng Quantity New")</f>
        <v>Vi lượng Quantity New</v>
      </c>
      <c r="F1198" s="87" t="str">
        <f>IFERROR(__xludf.DUMMYFUNCTION("""COMPUTED_VALUE"""),"HH0726")</f>
        <v>HH0726</v>
      </c>
      <c r="G1198" s="87" t="str">
        <f>IFERROR(__xludf.DUMMYFUNCTION("""COMPUTED_VALUE"""),"IDA Global - I - 726 - Vita Boost (chai HD)- 500 ml - 40 ([btp],t,c)")</f>
        <v>IDA Global - I - 726 - Vita Boost (chai HD)- 500 ml - 40 ([btp],t,c)</v>
      </c>
    </row>
    <row r="1199">
      <c r="A1199" s="86">
        <f>IFERROR(__xludf.DUMMYFUNCTION("""COMPUTED_VALUE"""),1197.0)</f>
        <v>1197</v>
      </c>
      <c r="B1199" s="87" t="str">
        <f>IFERROR(__xludf.DUMMYFUNCTION("""COMPUTED_VALUE"""),"Nhãn")</f>
        <v>Nhãn</v>
      </c>
      <c r="C1199" s="87" t="str">
        <f>IFERROR(__xludf.DUMMYFUNCTION("""COMPUTED_VALUE"""),"NHG0727")</f>
        <v>NHG0727</v>
      </c>
      <c r="D1199" s="87" t="str">
        <f>IFERROR(__xludf.DUMMYFUNCTION("""COMPUTED_VALUE"""),"[Nhãn] IDA Global - I - 727 - Ếch vàng 200 (chai HD) - 100ML - 100 ([btp],t,c)")</f>
        <v>[Nhãn] IDA Global - I - 727 - Ếch vàng 200 (chai HD) - 100ML - 100 ([btp],t,c)</v>
      </c>
      <c r="E1199" s="87" t="str">
        <f>IFERROR(__xludf.DUMMYFUNCTION("""COMPUTED_VALUE"""),"NEW FUZE 200SC")</f>
        <v>NEW FUZE 200SC</v>
      </c>
      <c r="F1199" s="87" t="str">
        <f>IFERROR(__xludf.DUMMYFUNCTION("""COMPUTED_VALUE"""),"HH0727")</f>
        <v>HH0727</v>
      </c>
      <c r="G1199" s="87" t="str">
        <f>IFERROR(__xludf.DUMMYFUNCTION("""COMPUTED_VALUE"""),"IDA Global - I - 727 - Ếch vàng 200 (chai HD) - 100ML - 100 ([btp],t,c)")</f>
        <v>IDA Global - I - 727 - Ếch vàng 200 (chai HD) - 100ML - 100 ([btp],t,c)</v>
      </c>
    </row>
    <row r="1200">
      <c r="A1200" s="86">
        <f>IFERROR(__xludf.DUMMYFUNCTION("""COMPUTED_VALUE"""),1198.0)</f>
        <v>1198</v>
      </c>
      <c r="B1200" s="87" t="str">
        <f>IFERROR(__xludf.DUMMYFUNCTION("""COMPUTED_VALUE"""),"Nhãn")</f>
        <v>Nhãn</v>
      </c>
      <c r="C1200" s="87" t="str">
        <f>IFERROR(__xludf.DUMMYFUNCTION("""COMPUTED_VALUE"""),"NTN0728")</f>
        <v>NTN0728</v>
      </c>
      <c r="D1200" s="87" t="str">
        <f>IFERROR(__xludf.DUMMYFUNCTION("""COMPUTED_VALUE"""),"[Nhãn] GC - II - 728 - Propineb 350gr - 24")</f>
        <v>[Nhãn] GC - II - 728 - Propineb 350gr - 24</v>
      </c>
      <c r="E1200" s="87" t="str">
        <f>IFERROR(__xludf.DUMMYFUNCTION("""COMPUTED_VALUE"""),"Doremon 70WP")</f>
        <v>Doremon 70WP</v>
      </c>
      <c r="F1200" s="87" t="str">
        <f>IFERROR(__xludf.DUMMYFUNCTION("""COMPUTED_VALUE"""),"HH0728")</f>
        <v>HH0728</v>
      </c>
      <c r="G1200" s="87" t="str">
        <f>IFERROR(__xludf.DUMMYFUNCTION("""COMPUTED_VALUE"""),"GC - II - 728 - Propineb 350gr - 24")</f>
        <v>GC - II - 728 - Propineb 350gr - 24</v>
      </c>
    </row>
    <row r="1201">
      <c r="A1201" s="86">
        <f>IFERROR(__xludf.DUMMYFUNCTION("""COMPUTED_VALUE"""),1199.0)</f>
        <v>1199</v>
      </c>
      <c r="B1201" s="87" t="str">
        <f>IFERROR(__xludf.DUMMYFUNCTION("""COMPUTED_VALUE"""),"Nhãn")</f>
        <v>Nhãn</v>
      </c>
      <c r="C1201" s="87" t="str">
        <f>IFERROR(__xludf.DUMMYFUNCTION("""COMPUTED_VALUE"""),"NHG0729")</f>
        <v>NHG0729</v>
      </c>
      <c r="D1201" s="87" t="str">
        <f>IFERROR(__xludf.DUMMYFUNCTION("""COMPUTED_VALUE"""),"[Nhãn] GC - II - 729 - AGC - Redmite (chai nhôm đỏ) (BTP Đỏ) - 240ml - 40")</f>
        <v>[Nhãn] GC - II - 729 - AGC - Redmite (chai nhôm đỏ) (BTP Đỏ) - 240ml - 40</v>
      </c>
      <c r="E1201" s="87" t="str">
        <f>IFERROR(__xludf.DUMMYFUNCTION("""COMPUTED_VALUE"""),"CHIM ƯNG 3.8EC")</f>
        <v>CHIM ƯNG 3.8EC</v>
      </c>
      <c r="F1201" s="87" t="str">
        <f>IFERROR(__xludf.DUMMYFUNCTION("""COMPUTED_VALUE"""),"HH0729")</f>
        <v>HH0729</v>
      </c>
      <c r="G1201" s="87" t="str">
        <f>IFERROR(__xludf.DUMMYFUNCTION("""COMPUTED_VALUE"""),"GC - II - 729 - AGC - Redmite (chai nhôm đỏ) (BTP Đỏ) - 240ml - 40")</f>
        <v>GC - II - 729 - AGC - Redmite (chai nhôm đỏ) (BTP Đỏ) - 240ml - 40</v>
      </c>
    </row>
    <row r="1202">
      <c r="A1202" s="86">
        <f>IFERROR(__xludf.DUMMYFUNCTION("""COMPUTED_VALUE"""),1200.0)</f>
        <v>1200</v>
      </c>
      <c r="B1202" s="87" t="str">
        <f>IFERROR(__xludf.DUMMYFUNCTION("""COMPUTED_VALUE"""),"NDT")</f>
        <v>NDT</v>
      </c>
      <c r="C1202" s="87" t="str">
        <f>IFERROR(__xludf.DUMMYFUNCTION("""COMPUTED_VALUE"""),"NDT0730")</f>
        <v>NDT0730</v>
      </c>
      <c r="D1202" s="87" t="str">
        <f>IFERROR(__xludf.DUMMYFUNCTION("""COMPUTED_VALUE"""),"[Nhãn thùng] GC - I - 730 - ĐL Kim Khoa - Creek 2.1EC (Chai PET vuông) - 450ml - 40")</f>
        <v>[Nhãn thùng] GC - I - 730 - ĐL Kim Khoa - Creek 2.1EC (Chai PET vuông) - 450ml - 40</v>
      </c>
      <c r="E1202" s="87" t="str">
        <f>IFERROR(__xludf.DUMMYFUNCTION("""COMPUTED_VALUE"""),"Creek 2.1EC")</f>
        <v>Creek 2.1EC</v>
      </c>
      <c r="F1202" s="87" t="str">
        <f>IFERROR(__xludf.DUMMYFUNCTION("""COMPUTED_VALUE"""),"HH0730")</f>
        <v>HH0730</v>
      </c>
      <c r="G1202" s="87" t="str">
        <f>IFERROR(__xludf.DUMMYFUNCTION("""COMPUTED_VALUE"""),"GC - I - 730 - ĐL Kim Khoa - Creek 2.1EC (Chai PET vuông) - 450ml - 40")</f>
        <v>GC - I - 730 - ĐL Kim Khoa - Creek 2.1EC (Chai PET vuông) - 450ml - 40</v>
      </c>
    </row>
    <row r="1203">
      <c r="A1203" s="86">
        <f>IFERROR(__xludf.DUMMYFUNCTION("""COMPUTED_VALUE"""),1201.0)</f>
        <v>1201</v>
      </c>
      <c r="B1203" s="87" t="str">
        <f>IFERROR(__xludf.DUMMYFUNCTION("""COMPUTED_VALUE"""),"Nhãn")</f>
        <v>Nhãn</v>
      </c>
      <c r="C1203" s="87" t="str">
        <f>IFERROR(__xludf.DUMMYFUNCTION("""COMPUTED_VALUE"""),"NHD0730")</f>
        <v>NHD0730</v>
      </c>
      <c r="D1203" s="87" t="str">
        <f>IFERROR(__xludf.DUMMYFUNCTION("""COMPUTED_VALUE"""),"[Nhãn] GC - I - 730 - ĐL Kim Khoa - Creek 2.1EC (Chai PET vuông) - 450ml - 40")</f>
        <v>[Nhãn] GC - I - 730 - ĐL Kim Khoa - Creek 2.1EC (Chai PET vuông) - 450ml - 40</v>
      </c>
      <c r="E1203" s="87" t="str">
        <f>IFERROR(__xludf.DUMMYFUNCTION("""COMPUTED_VALUE"""),"Creek 2.1EC")</f>
        <v>Creek 2.1EC</v>
      </c>
      <c r="F1203" s="87" t="str">
        <f>IFERROR(__xludf.DUMMYFUNCTION("""COMPUTED_VALUE"""),"HH0730")</f>
        <v>HH0730</v>
      </c>
      <c r="G1203" s="87" t="str">
        <f>IFERROR(__xludf.DUMMYFUNCTION("""COMPUTED_VALUE"""),"GC - I - 730 - ĐL Kim Khoa - Creek 2.1EC (Chai PET vuông) - 450ml - 40")</f>
        <v>GC - I - 730 - ĐL Kim Khoa - Creek 2.1EC (Chai PET vuông) - 450ml - 40</v>
      </c>
    </row>
    <row r="1204">
      <c r="A1204" s="86">
        <f>IFERROR(__xludf.DUMMYFUNCTION("""COMPUTED_VALUE"""),1202.0)</f>
        <v>1202</v>
      </c>
      <c r="B1204" s="87" t="str">
        <f>IFERROR(__xludf.DUMMYFUNCTION("""COMPUTED_VALUE"""),"Nhãn")</f>
        <v>Nhãn</v>
      </c>
      <c r="C1204" s="87" t="str">
        <f>IFERROR(__xludf.DUMMYFUNCTION("""COMPUTED_VALUE"""),"NHD0731")</f>
        <v>NHD0731</v>
      </c>
      <c r="D1204" s="87" t="str">
        <f>IFERROR(__xludf.DUMMYFUNCTION("""COMPUTED_VALUE"""),"[Nhãn] GC - IV - 731 - Agrikey VN - Abamex (PET vuông) (nước trong) - 450ml - 40")</f>
        <v>[Nhãn] GC - IV - 731 - Agrikey VN - Abamex (PET vuông) (nước trong) - 450ml - 40</v>
      </c>
      <c r="E1204" s="87" t="str">
        <f>IFERROR(__xludf.DUMMYFUNCTION("""COMPUTED_VALUE"""),"Tikabamec 3.6EC")</f>
        <v>Tikabamec 3.6EC</v>
      </c>
      <c r="F1204" s="87" t="str">
        <f>IFERROR(__xludf.DUMMYFUNCTION("""COMPUTED_VALUE"""),"HH0731")</f>
        <v>HH0731</v>
      </c>
      <c r="G1204" s="87" t="str">
        <f>IFERROR(__xludf.DUMMYFUNCTION("""COMPUTED_VALUE"""),"GC - IV - 731 - Agrikey VN - Abamex (PET vuông) (nước trong) - 450ml - 40")</f>
        <v>GC - IV - 731 - Agrikey VN - Abamex (PET vuông) (nước trong) - 450ml - 40</v>
      </c>
    </row>
    <row r="1205">
      <c r="A1205" s="86">
        <f>IFERROR(__xludf.DUMMYFUNCTION("""COMPUTED_VALUE"""),1203.0)</f>
        <v>1203</v>
      </c>
      <c r="B1205" s="87" t="str">
        <f>IFERROR(__xludf.DUMMYFUNCTION("""COMPUTED_VALUE"""),"Nhãn")</f>
        <v>Nhãn</v>
      </c>
      <c r="C1205" s="87" t="str">
        <f>IFERROR(__xludf.DUMMYFUNCTION("""COMPUTED_VALUE"""),"NHD0732")</f>
        <v>NHD0732</v>
      </c>
      <c r="D1205" s="87" t="str">
        <f>IFERROR(__xludf.DUMMYFUNCTION("""COMPUTED_VALUE"""),"[Nhãn] GC - IV - 732 - Agrikey VN - Kamex 36 (PET vuông) (nước trong) - 450ml - 40")</f>
        <v>[Nhãn] GC - IV - 732 - Agrikey VN - Kamex 36 (PET vuông) (nước trong) - 450ml - 40</v>
      </c>
      <c r="E1205" s="87" t="str">
        <f>IFERROR(__xludf.DUMMYFUNCTION("""COMPUTED_VALUE"""),"Tikabamec 3.6EC")</f>
        <v>Tikabamec 3.6EC</v>
      </c>
      <c r="F1205" s="87" t="str">
        <f>IFERROR(__xludf.DUMMYFUNCTION("""COMPUTED_VALUE"""),"HH0732")</f>
        <v>HH0732</v>
      </c>
      <c r="G1205" s="87" t="str">
        <f>IFERROR(__xludf.DUMMYFUNCTION("""COMPUTED_VALUE"""),"GC - IV - 732 - Agrikey VN - Kamex 36 (PET vuông) (nước trong) - 450ml - 40")</f>
        <v>GC - IV - 732 - Agrikey VN - Kamex 36 (PET vuông) (nước trong) - 450ml - 40</v>
      </c>
    </row>
    <row r="1206">
      <c r="A1206" s="86">
        <f>IFERROR(__xludf.DUMMYFUNCTION("""COMPUTED_VALUE"""),1204.0)</f>
        <v>1204</v>
      </c>
      <c r="B1206" s="87" t="str">
        <f>IFERROR(__xludf.DUMMYFUNCTION("""COMPUTED_VALUE"""),"Nhãn")</f>
        <v>Nhãn</v>
      </c>
      <c r="C1206" s="87" t="str">
        <f>IFERROR(__xludf.DUMMYFUNCTION("""COMPUTED_VALUE"""),"NHG0733")</f>
        <v>NHG0733</v>
      </c>
      <c r="D1206" s="87" t="str">
        <f>IFERROR(__xludf.DUMMYFUNCTION("""COMPUTED_VALUE"""),"[Nhãn] GC - IV - 733 - Kim Ngọc - Chim Ưng 3.8EC (chai nhôm đỏ) - 240ml - 40")</f>
        <v>[Nhãn] GC - IV - 733 - Kim Ngọc - Chim Ưng 3.8EC (chai nhôm đỏ) - 240ml - 40</v>
      </c>
      <c r="E1206" s="87" t="str">
        <f>IFERROR(__xludf.DUMMYFUNCTION("""COMPUTED_VALUE"""),"CHIM ƯNG 3.8EC")</f>
        <v>CHIM ƯNG 3.8EC</v>
      </c>
      <c r="F1206" s="87" t="str">
        <f>IFERROR(__xludf.DUMMYFUNCTION("""COMPUTED_VALUE"""),"HH0733")</f>
        <v>HH0733</v>
      </c>
      <c r="G1206" s="87" t="str">
        <f>IFERROR(__xludf.DUMMYFUNCTION("""COMPUTED_VALUE"""),"GC - IV - 733 - Kim Ngọc - Chim Ưng 3.8EC (chai nhôm đỏ) - 240ml - 40")</f>
        <v>GC - IV - 733 - Kim Ngọc - Chim Ưng 3.8EC (chai nhôm đỏ) - 240ml - 40</v>
      </c>
    </row>
    <row r="1207">
      <c r="A1207" s="86">
        <f>IFERROR(__xludf.DUMMYFUNCTION("""COMPUTED_VALUE"""),1205.0)</f>
        <v>1205</v>
      </c>
      <c r="B1207" s="87" t="str">
        <f>IFERROR(__xludf.DUMMYFUNCTION("""COMPUTED_VALUE"""),"Nhãn")</f>
        <v>Nhãn</v>
      </c>
      <c r="C1207" s="87" t="str">
        <f>IFERROR(__xludf.DUMMYFUNCTION("""COMPUTED_VALUE"""),"NTN0734")</f>
        <v>NTN0734</v>
      </c>
      <c r="D1207" s="87" t="str">
        <f>IFERROR(__xludf.DUMMYFUNCTION("""COMPUTED_VALUE"""),"[Nhãn] GC - IV - 734 - Kim Ngọc - Thalonil 75W (túi nhôm) - 100gr - 100")</f>
        <v>[Nhãn] GC - IV - 734 - Kim Ngọc - Thalonil 75W (túi nhôm) - 100gr - 100</v>
      </c>
      <c r="E1207" s="87" t="str">
        <f>IFERROR(__xludf.DUMMYFUNCTION("""COMPUTED_VALUE"""),"THALONIL 75WP")</f>
        <v>THALONIL 75WP</v>
      </c>
      <c r="F1207" s="87" t="str">
        <f>IFERROR(__xludf.DUMMYFUNCTION("""COMPUTED_VALUE"""),"HH0734")</f>
        <v>HH0734</v>
      </c>
      <c r="G1207" s="87" t="str">
        <f>IFERROR(__xludf.DUMMYFUNCTION("""COMPUTED_VALUE"""),"GC - IV - 734 - Kim Ngọc - Thalonil 75W (túi nhôm) - 100gr - 100")</f>
        <v>GC - IV - 734 - Kim Ngọc - Thalonil 75W (túi nhôm) - 100gr - 100</v>
      </c>
    </row>
    <row r="1208">
      <c r="A1208" s="86">
        <f>IFERROR(__xludf.DUMMYFUNCTION("""COMPUTED_VALUE"""),1206.0)</f>
        <v>1206</v>
      </c>
      <c r="B1208" s="87" t="str">
        <f>IFERROR(__xludf.DUMMYFUNCTION("""COMPUTED_VALUE"""),"Nhãn")</f>
        <v>Nhãn</v>
      </c>
      <c r="C1208" s="87" t="str">
        <f>IFERROR(__xludf.DUMMYFUNCTION("""COMPUTED_VALUE"""),"NTN0735")</f>
        <v>NTN0735</v>
      </c>
      <c r="D1208" s="87" t="str">
        <f>IFERROR(__xludf.DUMMYFUNCTION("""COMPUTED_VALUE"""),"[Nhãn] GC - IV - 735 - AU - Manco xanh (túi nhôm) - 1 Kg - 20")</f>
        <v>[Nhãn] GC - IV - 735 - AU - Manco xanh (túi nhôm) - 1 Kg - 20</v>
      </c>
      <c r="E1208" s="87" t="str">
        <f>IFERROR(__xludf.DUMMYFUNCTION("""COMPUTED_VALUE"""),"BYPHAN 800WP")</f>
        <v>BYPHAN 800WP</v>
      </c>
      <c r="F1208" s="87" t="str">
        <f>IFERROR(__xludf.DUMMYFUNCTION("""COMPUTED_VALUE"""),"HH0735")</f>
        <v>HH0735</v>
      </c>
      <c r="G1208" s="87" t="str">
        <f>IFERROR(__xludf.DUMMYFUNCTION("""COMPUTED_VALUE"""),"GC - IV - 735 - AU - Manco xanh (túi nhôm) - 1 Kg - 20")</f>
        <v>GC - IV - 735 - AU - Manco xanh (túi nhôm) - 1 Kg - 20</v>
      </c>
    </row>
    <row r="1209">
      <c r="A1209" s="86">
        <f>IFERROR(__xludf.DUMMYFUNCTION("""COMPUTED_VALUE"""),1207.0)</f>
        <v>1207</v>
      </c>
      <c r="B1209" s="87" t="str">
        <f>IFERROR(__xludf.DUMMYFUNCTION("""COMPUTED_VALUE"""),"Nhãn thùng")</f>
        <v>Nhãn thùng</v>
      </c>
      <c r="C1209" s="87" t="str">
        <f>IFERROR(__xludf.DUMMYFUNCTION("""COMPUTED_VALUE"""),"NDT0735")</f>
        <v>NDT0735</v>
      </c>
      <c r="D1209" s="87" t="str">
        <f>IFERROR(__xludf.DUMMYFUNCTION("""COMPUTED_VALUE"""),"[Nhãn thùng] GC - IV - 735 - AU - Manco xanh (túi nhôm) - 1 Kg - 20")</f>
        <v>[Nhãn thùng] GC - IV - 735 - AU - Manco xanh (túi nhôm) - 1 Kg - 20</v>
      </c>
      <c r="E1209" s="87" t="str">
        <f>IFERROR(__xludf.DUMMYFUNCTION("""COMPUTED_VALUE"""),"BYPHAN 800WP")</f>
        <v>BYPHAN 800WP</v>
      </c>
      <c r="F1209" s="87" t="str">
        <f>IFERROR(__xludf.DUMMYFUNCTION("""COMPUTED_VALUE"""),"HH0735")</f>
        <v>HH0735</v>
      </c>
      <c r="G1209" s="87" t="str">
        <f>IFERROR(__xludf.DUMMYFUNCTION("""COMPUTED_VALUE"""),"GC - IV - 735 - AU - Manco xanh (túi nhôm) - 1 Kg - 20")</f>
        <v>GC - IV - 735 - AU - Manco xanh (túi nhôm) - 1 Kg - 20</v>
      </c>
    </row>
    <row r="1210">
      <c r="A1210" s="86">
        <f>IFERROR(__xludf.DUMMYFUNCTION("""COMPUTED_VALUE"""),1208.0)</f>
        <v>1208</v>
      </c>
      <c r="B1210" s="87" t="str">
        <f>IFERROR(__xludf.DUMMYFUNCTION("""COMPUTED_VALUE"""),"Nhãn")</f>
        <v>Nhãn</v>
      </c>
      <c r="C1210" s="87" t="str">
        <f>IFERROR(__xludf.DUMMYFUNCTION("""COMPUTED_VALUE"""),"NTN0736")</f>
        <v>NTN0736</v>
      </c>
      <c r="D1210" s="87" t="str">
        <f>IFERROR(__xludf.DUMMYFUNCTION("""COMPUTED_VALUE"""),"[Nhãn] GC - IV - 736 - Huy Phát - Manco Xanh - 1kg - 20")</f>
        <v>[Nhãn] GC - IV - 736 - Huy Phát - Manco Xanh - 1kg - 20</v>
      </c>
      <c r="E1210" s="87" t="str">
        <f>IFERROR(__xludf.DUMMYFUNCTION("""COMPUTED_VALUE"""),"TVZEB 800WP")</f>
        <v>TVZEB 800WP</v>
      </c>
      <c r="F1210" s="87" t="str">
        <f>IFERROR(__xludf.DUMMYFUNCTION("""COMPUTED_VALUE"""),"HH0736")</f>
        <v>HH0736</v>
      </c>
      <c r="G1210" s="87" t="str">
        <f>IFERROR(__xludf.DUMMYFUNCTION("""COMPUTED_VALUE"""),"GC - IV - 736 - Huy Phát - Manco Xanh - 1kg - 20")</f>
        <v>GC - IV - 736 - Huy Phát - Manco Xanh - 1kg - 20</v>
      </c>
    </row>
    <row r="1211">
      <c r="A1211" s="86">
        <f>IFERROR(__xludf.DUMMYFUNCTION("""COMPUTED_VALUE"""),1209.0)</f>
        <v>1209</v>
      </c>
      <c r="B1211" s="87" t="str">
        <f>IFERROR(__xludf.DUMMYFUNCTION("""COMPUTED_VALUE"""),"Nhãn thùng")</f>
        <v>Nhãn thùng</v>
      </c>
      <c r="C1211" s="87" t="str">
        <f>IFERROR(__xludf.DUMMYFUNCTION("""COMPUTED_VALUE"""),"NDT0736")</f>
        <v>NDT0736</v>
      </c>
      <c r="D1211" s="87" t="str">
        <f>IFERROR(__xludf.DUMMYFUNCTION("""COMPUTED_VALUE"""),"[Nhãn thùng] GC - IV - 736 - Huy Phát - Manco Xanh - 1kg - 20")</f>
        <v>[Nhãn thùng] GC - IV - 736 - Huy Phát - Manco Xanh - 1kg - 20</v>
      </c>
      <c r="E1211" s="87" t="str">
        <f>IFERROR(__xludf.DUMMYFUNCTION("""COMPUTED_VALUE"""),"TVZEB 800WP")</f>
        <v>TVZEB 800WP</v>
      </c>
      <c r="F1211" s="87" t="str">
        <f>IFERROR(__xludf.DUMMYFUNCTION("""COMPUTED_VALUE"""),"HH0736")</f>
        <v>HH0736</v>
      </c>
      <c r="G1211" s="87" t="str">
        <f>IFERROR(__xludf.DUMMYFUNCTION("""COMPUTED_VALUE"""),"GC - IV - 736 - Huy Phát - Manco Xanh - 1kg - 20")</f>
        <v>GC - IV - 736 - Huy Phát - Manco Xanh - 1kg - 20</v>
      </c>
    </row>
    <row r="1212">
      <c r="A1212" s="86">
        <f>IFERROR(__xludf.DUMMYFUNCTION("""COMPUTED_VALUE"""),1210.0)</f>
        <v>1210</v>
      </c>
      <c r="B1212" s="87" t="str">
        <f>IFERROR(__xludf.DUMMYFUNCTION("""COMPUTED_VALUE"""),"Nhãn")</f>
        <v>Nhãn</v>
      </c>
      <c r="C1212" s="87" t="str">
        <f>IFERROR(__xludf.DUMMYFUNCTION("""COMPUTED_VALUE"""),"NTN0737")</f>
        <v>NTN0737</v>
      </c>
      <c r="D1212" s="87" t="str">
        <f>IFERROR(__xludf.DUMMYFUNCTION("""COMPUTED_VALUE"""),"[Nhãn] GC - IV - 737 - AU - Rayxanh 200WP (túi nhôm) - 85gr - 150")</f>
        <v>[Nhãn] GC - IV - 737 - AU - Rayxanh 200WP (túi nhôm) - 85gr - 150</v>
      </c>
      <c r="E1212" s="87" t="str">
        <f>IFERROR(__xludf.DUMMYFUNCTION("""COMPUTED_VALUE"""),"RAYXANH 200WP")</f>
        <v>RAYXANH 200WP</v>
      </c>
      <c r="F1212" s="87" t="str">
        <f>IFERROR(__xludf.DUMMYFUNCTION("""COMPUTED_VALUE"""),"HH0737")</f>
        <v>HH0737</v>
      </c>
      <c r="G1212" s="87" t="str">
        <f>IFERROR(__xludf.DUMMYFUNCTION("""COMPUTED_VALUE"""),"GC - IV - 737 - AU - Rayxanh 200WP (túi nhôm) - 85gr - 150")</f>
        <v>GC - IV - 737 - AU - Rayxanh 200WP (túi nhôm) - 85gr - 150</v>
      </c>
    </row>
    <row r="1213">
      <c r="A1213" s="86">
        <f>IFERROR(__xludf.DUMMYFUNCTION("""COMPUTED_VALUE"""),1211.0)</f>
        <v>1211</v>
      </c>
      <c r="B1213" s="87" t="str">
        <f>IFERROR(__xludf.DUMMYFUNCTION("""COMPUTED_VALUE"""),"Nhãn")</f>
        <v>Nhãn</v>
      </c>
      <c r="C1213" s="87" t="str">
        <f>IFERROR(__xludf.DUMMYFUNCTION("""COMPUTED_VALUE"""),"NHD0738")</f>
        <v>NHD0738</v>
      </c>
      <c r="D1213" s="87" t="str">
        <f>IFERROR(__xludf.DUMMYFUNCTION("""COMPUTED_VALUE"""),"[Nhãn] IDA Global - I - 738 - Citizen 333SC (chai HD) - 450ml - 40 ([btp],c)")</f>
        <v>[Nhãn] IDA Global - I - 738 - Citizen 333SC (chai HD) - 450ml - 40 ([btp],c)</v>
      </c>
      <c r="E1213" s="87" t="str">
        <f>IFERROR(__xludf.DUMMYFUNCTION("""COMPUTED_VALUE"""),"CITIZEN 333SC")</f>
        <v>CITIZEN 333SC</v>
      </c>
      <c r="F1213" s="87" t="str">
        <f>IFERROR(__xludf.DUMMYFUNCTION("""COMPUTED_VALUE"""),"HH0738")</f>
        <v>HH0738</v>
      </c>
      <c r="G1213" s="87" t="str">
        <f>IFERROR(__xludf.DUMMYFUNCTION("""COMPUTED_VALUE"""),"IDA Global - I - 738 - Citizen 333SC (chai HD) - 450ml - 40 ([btp],c)")</f>
        <v>IDA Global - I - 738 - Citizen 333SC (chai HD) - 450ml - 40 ([btp],c)</v>
      </c>
    </row>
    <row r="1214">
      <c r="A1214" s="86">
        <f>IFERROR(__xludf.DUMMYFUNCTION("""COMPUTED_VALUE"""),1212.0)</f>
        <v>1212</v>
      </c>
      <c r="B1214" s="87" t="str">
        <f>IFERROR(__xludf.DUMMYFUNCTION("""COMPUTED_VALUE"""),"Nhãn")</f>
        <v>Nhãn</v>
      </c>
      <c r="C1214" s="87" t="str">
        <f>IFERROR(__xludf.DUMMYFUNCTION("""COMPUTED_VALUE"""),"NHG0739")</f>
        <v>NHG0739</v>
      </c>
      <c r="D1214" s="87" t="str">
        <f>IFERROR(__xludf.DUMMYFUNCTION("""COMPUTED_VALUE"""),"[Nhãn] GC - IV - 739 - Luta - Mekongvil 5SC (PET tròn) - 500ml - 40")</f>
        <v>[Nhãn] GC - IV - 739 - Luta - Mekongvil 5SC (PET tròn) - 500ml - 40</v>
      </c>
      <c r="E1214" s="87" t="str">
        <f>IFERROR(__xludf.DUMMYFUNCTION("""COMPUTED_VALUE"""),"Mekongvil 5SC")</f>
        <v>Mekongvil 5SC</v>
      </c>
      <c r="F1214" s="87" t="str">
        <f>IFERROR(__xludf.DUMMYFUNCTION("""COMPUTED_VALUE"""),"HH0739")</f>
        <v>HH0739</v>
      </c>
      <c r="G1214" s="87" t="str">
        <f>IFERROR(__xludf.DUMMYFUNCTION("""COMPUTED_VALUE"""),"GC - IV - 739 - Luta - Mekongvil 5SC (PET tròn) - 500ml - 40")</f>
        <v>GC - IV - 739 - Luta - Mekongvil 5SC (PET tròn) - 500ml - 40</v>
      </c>
    </row>
    <row r="1215">
      <c r="A1215" s="86">
        <f>IFERROR(__xludf.DUMMYFUNCTION("""COMPUTED_VALUE"""),1213.0)</f>
        <v>1213</v>
      </c>
      <c r="B1215" s="87" t="str">
        <f>IFERROR(__xludf.DUMMYFUNCTION("""COMPUTED_VALUE"""),"Nhãn")</f>
        <v>Nhãn</v>
      </c>
      <c r="C1215" s="87" t="str">
        <f>IFERROR(__xludf.DUMMYFUNCTION("""COMPUTED_VALUE"""),"NHG0740")</f>
        <v>NHG0740</v>
      </c>
      <c r="D1215" s="87" t="str">
        <f>IFERROR(__xludf.DUMMYFUNCTION("""COMPUTED_VALUE"""),"[Nhãn] GC - IV - 740 - Luta - Mekongvil 5SC (HD cao cấp) - 1L - 20")</f>
        <v>[Nhãn] GC - IV - 740 - Luta - Mekongvil 5SC (HD cao cấp) - 1L - 20</v>
      </c>
      <c r="E1215" s="87" t="str">
        <f>IFERROR(__xludf.DUMMYFUNCTION("""COMPUTED_VALUE"""),"Mekongvil 5SC")</f>
        <v>Mekongvil 5SC</v>
      </c>
      <c r="F1215" s="87" t="str">
        <f>IFERROR(__xludf.DUMMYFUNCTION("""COMPUTED_VALUE"""),"HH0740")</f>
        <v>HH0740</v>
      </c>
      <c r="G1215" s="87" t="str">
        <f>IFERROR(__xludf.DUMMYFUNCTION("""COMPUTED_VALUE"""),"GC - IV - 740 - Luta - Mekongvil 5SC (HD cao cấp) - 1L - 20")</f>
        <v>GC - IV - 740 - Luta - Mekongvil 5SC (HD cao cấp) - 1L - 20</v>
      </c>
    </row>
    <row r="1216">
      <c r="A1216" s="86">
        <f>IFERROR(__xludf.DUMMYFUNCTION("""COMPUTED_VALUE"""),1214.0)</f>
        <v>1214</v>
      </c>
      <c r="B1216" s="87" t="str">
        <f>IFERROR(__xludf.DUMMYFUNCTION("""COMPUTED_VALUE"""),"Nhãn")</f>
        <v>Nhãn</v>
      </c>
      <c r="C1216" s="87" t="str">
        <f>IFERROR(__xludf.DUMMYFUNCTION("""COMPUTED_VALUE"""),"NHD0741.1")</f>
        <v>NHD0741.1</v>
      </c>
      <c r="D1216" s="87" t="str">
        <f>IFERROR(__xludf.DUMMYFUNCTION("""COMPUTED_VALUE"""),"[Nhãn] GC - II - 741.1 - Nông Lâm Hoà Phát - Humix Us - 10kg - 1")</f>
        <v>[Nhãn] GC - II - 741.1 - Nông Lâm Hoà Phát - Humix Us - 10kg - 1</v>
      </c>
      <c r="E1216" s="87" t="str">
        <f>IFERROR(__xludf.DUMMYFUNCTION("""COMPUTED_VALUE"""),"#N/A")</f>
        <v>#N/A</v>
      </c>
      <c r="F1216" s="87" t="str">
        <f>IFERROR(__xludf.DUMMYFUNCTION("""COMPUTED_VALUE"""),"HH41.1")</f>
        <v>HH41.1</v>
      </c>
      <c r="G1216" s="87" t="str">
        <f>IFERROR(__xludf.DUMMYFUNCTION("""COMPUTED_VALUE"""),"GC - II - 741.1 - Nông Lâm Hoà Phát - Humix Us - 10kg - 1")</f>
        <v>GC - II - 741.1 - Nông Lâm Hoà Phát - Humix Us - 10kg - 1</v>
      </c>
    </row>
    <row r="1217">
      <c r="A1217" s="86">
        <f>IFERROR(__xludf.DUMMYFUNCTION("""COMPUTED_VALUE"""),1215.0)</f>
        <v>1215</v>
      </c>
      <c r="B1217" s="87" t="str">
        <f>IFERROR(__xludf.DUMMYFUNCTION("""COMPUTED_VALUE"""),"Nhãn")</f>
        <v>Nhãn</v>
      </c>
      <c r="C1217" s="87" t="str">
        <f>IFERROR(__xludf.DUMMYFUNCTION("""COMPUTED_VALUE"""),"NHD0741.2")</f>
        <v>NHD0741.2</v>
      </c>
      <c r="D1217" s="87" t="str">
        <f>IFERROR(__xludf.DUMMYFUNCTION("""COMPUTED_VALUE"""),"[Nhãn] GC - II - 741.2 - Nông Lâm Hoà Phát - Humix Us - 15 kg - 1")</f>
        <v>[Nhãn] GC - II - 741.2 - Nông Lâm Hoà Phát - Humix Us - 15 kg - 1</v>
      </c>
      <c r="E1217" s="87" t="str">
        <f>IFERROR(__xludf.DUMMYFUNCTION("""COMPUTED_VALUE"""),"#N/A")</f>
        <v>#N/A</v>
      </c>
      <c r="F1217" s="87" t="str">
        <f>IFERROR(__xludf.DUMMYFUNCTION("""COMPUTED_VALUE"""),"HH41.2")</f>
        <v>HH41.2</v>
      </c>
      <c r="G1217" s="87" t="str">
        <f>IFERROR(__xludf.DUMMYFUNCTION("""COMPUTED_VALUE"""),"GC - II - 741.2 - Nông Lâm Hoà Phát - Humix Us - 15 kg - 1")</f>
        <v>GC - II - 741.2 - Nông Lâm Hoà Phát - Humix Us - 15 kg - 1</v>
      </c>
    </row>
    <row r="1218">
      <c r="A1218" s="86">
        <f>IFERROR(__xludf.DUMMYFUNCTION("""COMPUTED_VALUE"""),1216.0)</f>
        <v>1216</v>
      </c>
      <c r="B1218" s="87" t="str">
        <f>IFERROR(__xludf.DUMMYFUNCTION("""COMPUTED_VALUE"""),"Nhãn")</f>
        <v>Nhãn</v>
      </c>
      <c r="C1218" s="87" t="str">
        <f>IFERROR(__xludf.DUMMYFUNCTION("""COMPUTED_VALUE"""),"NHD0741.3")</f>
        <v>NHD0741.3</v>
      </c>
      <c r="D1218" s="87" t="str">
        <f>IFERROR(__xludf.DUMMYFUNCTION("""COMPUTED_VALUE"""),"[Nhãn] GC - II - 741.3 - Nông Lâm Hoà Phát - Humix Us - 20 kg - 1")</f>
        <v>[Nhãn] GC - II - 741.3 - Nông Lâm Hoà Phát - Humix Us - 20 kg - 1</v>
      </c>
      <c r="E1218" s="87" t="str">
        <f>IFERROR(__xludf.DUMMYFUNCTION("""COMPUTED_VALUE"""),"#N/A")</f>
        <v>#N/A</v>
      </c>
      <c r="F1218" s="87" t="str">
        <f>IFERROR(__xludf.DUMMYFUNCTION("""COMPUTED_VALUE"""),"HH41.3")</f>
        <v>HH41.3</v>
      </c>
      <c r="G1218" s="87" t="str">
        <f>IFERROR(__xludf.DUMMYFUNCTION("""COMPUTED_VALUE"""),"GC - II - 741.3 - Nông Lâm Hoà Phát - Humix Us - 20 kg - 1")</f>
        <v>GC - II - 741.3 - Nông Lâm Hoà Phát - Humix Us - 20 kg - 1</v>
      </c>
    </row>
    <row r="1219">
      <c r="A1219" s="86">
        <f>IFERROR(__xludf.DUMMYFUNCTION("""COMPUTED_VALUE"""),1217.0)</f>
        <v>1217</v>
      </c>
      <c r="B1219" s="87" t="str">
        <f>IFERROR(__xludf.DUMMYFUNCTION("""COMPUTED_VALUE"""),"Nhãn")</f>
        <v>Nhãn</v>
      </c>
      <c r="C1219" s="87" t="str">
        <f>IFERROR(__xludf.DUMMYFUNCTION("""COMPUTED_VALUE"""),"NHD0741.4")</f>
        <v>NHD0741.4</v>
      </c>
      <c r="D1219" s="87" t="str">
        <f>IFERROR(__xludf.DUMMYFUNCTION("""COMPUTED_VALUE"""),"[Nhãn] GC - II - 741.4 - Nông Lâm Hoà Phát - Humix Us - 25 kg - 1")</f>
        <v>[Nhãn] GC - II - 741.4 - Nông Lâm Hoà Phát - Humix Us - 25 kg - 1</v>
      </c>
      <c r="E1219" s="87" t="str">
        <f>IFERROR(__xludf.DUMMYFUNCTION("""COMPUTED_VALUE"""),"#N/A")</f>
        <v>#N/A</v>
      </c>
      <c r="F1219" s="87" t="str">
        <f>IFERROR(__xludf.DUMMYFUNCTION("""COMPUTED_VALUE"""),"HH41.4")</f>
        <v>HH41.4</v>
      </c>
      <c r="G1219" s="87" t="str">
        <f>IFERROR(__xludf.DUMMYFUNCTION("""COMPUTED_VALUE"""),"GC - II - 741.4 - Nông Lâm Hoà Phát - Humix Us - 25 kg - 1")</f>
        <v>GC - II - 741.4 - Nông Lâm Hoà Phát - Humix Us - 25 kg - 1</v>
      </c>
    </row>
    <row r="1220">
      <c r="A1220" s="86">
        <f>IFERROR(__xludf.DUMMYFUNCTION("""COMPUTED_VALUE"""),1218.0)</f>
        <v>1218</v>
      </c>
      <c r="B1220" s="87" t="str">
        <f>IFERROR(__xludf.DUMMYFUNCTION("""COMPUTED_VALUE"""),"Nhãn")</f>
        <v>Nhãn</v>
      </c>
      <c r="C1220" s="87" t="str">
        <f>IFERROR(__xludf.DUMMYFUNCTION("""COMPUTED_VALUE"""),"NHG0744")</f>
        <v>NHG0744</v>
      </c>
      <c r="D1220" s="87" t="str">
        <f>IFERROR(__xludf.DUMMYFUNCTION("""COMPUTED_VALUE"""),"[Nhãn] GC - II - 744 - AGC - Mekongvil 5SC (chai HD) - 1lit - 20")</f>
        <v>[Nhãn] GC - II - 744 - AGC - Mekongvil 5SC (chai HD) - 1lit - 20</v>
      </c>
      <c r="E1220" s="87" t="str">
        <f>IFERROR(__xludf.DUMMYFUNCTION("""COMPUTED_VALUE"""),"Mekongvil 5SC")</f>
        <v>Mekongvil 5SC</v>
      </c>
      <c r="F1220" s="87" t="str">
        <f>IFERROR(__xludf.DUMMYFUNCTION("""COMPUTED_VALUE"""),"HH0744")</f>
        <v>HH0744</v>
      </c>
      <c r="G1220" s="87" t="str">
        <f>IFERROR(__xludf.DUMMYFUNCTION("""COMPUTED_VALUE"""),"GC - II - 744 - AGC - Mekongvil 5SC (chai HD) - 1lit - 20")</f>
        <v>GC - II - 744 - AGC - Mekongvil 5SC (chai HD) - 1lit - 20</v>
      </c>
    </row>
    <row r="1221">
      <c r="A1221" s="86">
        <f>IFERROR(__xludf.DUMMYFUNCTION("""COMPUTED_VALUE"""),1219.0)</f>
        <v>1219</v>
      </c>
      <c r="B1221" s="87" t="str">
        <f>IFERROR(__xludf.DUMMYFUNCTION("""COMPUTED_VALUE"""),"Nhãn")</f>
        <v>Nhãn</v>
      </c>
      <c r="C1221" s="87" t="str">
        <f>IFERROR(__xludf.DUMMYFUNCTION("""COMPUTED_VALUE"""),"NHG0746")</f>
        <v>NHG0746</v>
      </c>
      <c r="D1221" s="87" t="str">
        <f>IFERROR(__xludf.DUMMYFUNCTION("""COMPUTED_VALUE"""),"[Nhãn] GC - IV - 746 - AU - Abamectin (PET tròn) (nước đục) - 450ml - 40")</f>
        <v>[Nhãn] GC - IV - 746 - AU - Abamectin (PET tròn) (nước đục) - 450ml - 40</v>
      </c>
      <c r="E1221" s="87" t="str">
        <f>IFERROR(__xludf.DUMMYFUNCTION("""COMPUTED_VALUE"""),"Tikabamec 3.6EC")</f>
        <v>Tikabamec 3.6EC</v>
      </c>
      <c r="F1221" s="87" t="str">
        <f>IFERROR(__xludf.DUMMYFUNCTION("""COMPUTED_VALUE"""),"HH0746")</f>
        <v>HH0746</v>
      </c>
      <c r="G1221" s="87" t="str">
        <f>IFERROR(__xludf.DUMMYFUNCTION("""COMPUTED_VALUE"""),"GC - IV - 746 - AU - Abamectin (PET tròn) (nước đục) - 450ml - 40")</f>
        <v>GC - IV - 746 - AU - Abamectin (PET tròn) (nước đục) - 450ml - 40</v>
      </c>
    </row>
    <row r="1222">
      <c r="A1222" s="86">
        <f>IFERROR(__xludf.DUMMYFUNCTION("""COMPUTED_VALUE"""),1220.0)</f>
        <v>1220</v>
      </c>
      <c r="B1222" s="87" t="str">
        <f>IFERROR(__xludf.DUMMYFUNCTION("""COMPUTED_VALUE"""),"Nhãn")</f>
        <v>Nhãn</v>
      </c>
      <c r="C1222" s="87" t="str">
        <f>IFERROR(__xludf.DUMMYFUNCTION("""COMPUTED_VALUE"""),"NTN0747")</f>
        <v>NTN0747</v>
      </c>
      <c r="D1222" s="87" t="str">
        <f>IFERROR(__xludf.DUMMYFUNCTION("""COMPUTED_VALUE"""),"[Nhãn] GC - IV - 747 - Thiên Di - Mancozeb - 100gr - 100")</f>
        <v>[Nhãn] GC - IV - 747 - Thiên Di - Mancozeb - 100gr - 100</v>
      </c>
      <c r="E1222" s="87" t="str">
        <f>IFERROR(__xludf.DUMMYFUNCTION("""COMPUTED_VALUE"""),"TVZEB 800WP")</f>
        <v>TVZEB 800WP</v>
      </c>
      <c r="F1222" s="87" t="str">
        <f>IFERROR(__xludf.DUMMYFUNCTION("""COMPUTED_VALUE"""),"HH0747")</f>
        <v>HH0747</v>
      </c>
      <c r="G1222" s="87" t="str">
        <f>IFERROR(__xludf.DUMMYFUNCTION("""COMPUTED_VALUE"""),"GC - IV - 747 - Thiên Di - Mancozeb - 100gr - 100")</f>
        <v>GC - IV - 747 - Thiên Di - Mancozeb - 100gr - 100</v>
      </c>
    </row>
    <row r="1223">
      <c r="A1223" s="86">
        <f>IFERROR(__xludf.DUMMYFUNCTION("""COMPUTED_VALUE"""),1221.0)</f>
        <v>1221</v>
      </c>
      <c r="B1223" s="87" t="str">
        <f>IFERROR(__xludf.DUMMYFUNCTION("""COMPUTED_VALUE"""),"Nhãn thùng")</f>
        <v>Nhãn thùng</v>
      </c>
      <c r="C1223" s="87" t="str">
        <f>IFERROR(__xludf.DUMMYFUNCTION("""COMPUTED_VALUE"""),"NDT0747")</f>
        <v>NDT0747</v>
      </c>
      <c r="D1223" s="87" t="str">
        <f>IFERROR(__xludf.DUMMYFUNCTION("""COMPUTED_VALUE"""),"[Nhãn thùng] GC - IV - 747 - Thiên Di - Mancozeb - 100gr - 100")</f>
        <v>[Nhãn thùng] GC - IV - 747 - Thiên Di - Mancozeb - 100gr - 100</v>
      </c>
      <c r="E1223" s="87" t="str">
        <f>IFERROR(__xludf.DUMMYFUNCTION("""COMPUTED_VALUE"""),"TVZEB 800WP")</f>
        <v>TVZEB 800WP</v>
      </c>
      <c r="F1223" s="87" t="str">
        <f>IFERROR(__xludf.DUMMYFUNCTION("""COMPUTED_VALUE"""),"HH0747")</f>
        <v>HH0747</v>
      </c>
      <c r="G1223" s="87" t="str">
        <f>IFERROR(__xludf.DUMMYFUNCTION("""COMPUTED_VALUE"""),"GC - IV - 747 - Thiên Di - Mancozeb - 100gr - 100")</f>
        <v>GC - IV - 747 - Thiên Di - Mancozeb - 100gr - 100</v>
      </c>
    </row>
    <row r="1224">
      <c r="A1224" s="86">
        <f>IFERROR(__xludf.DUMMYFUNCTION("""COMPUTED_VALUE"""),1222.0)</f>
        <v>1222</v>
      </c>
      <c r="B1224" s="87" t="str">
        <f>IFERROR(__xludf.DUMMYFUNCTION("""COMPUTED_VALUE"""),"Nhãn")</f>
        <v>Nhãn</v>
      </c>
      <c r="C1224" s="87" t="str">
        <f>IFERROR(__xludf.DUMMYFUNCTION("""COMPUTED_VALUE"""),"NHG0748")</f>
        <v>NHG0748</v>
      </c>
      <c r="D1224" s="87" t="str">
        <f>IFERROR(__xludf.DUMMYFUNCTION("""COMPUTED_VALUE"""),"[Nhãn] GC - II - 748 - AGC NEW - Emy 19EC (chai PET tròn) - 450ml - 40")</f>
        <v>[Nhãn] GC - II - 748 - AGC NEW - Emy 19EC (chai PET tròn) - 450ml - 40</v>
      </c>
      <c r="E1224" s="87" t="str">
        <f>IFERROR(__xludf.DUMMYFUNCTION("""COMPUTED_VALUE"""),"Remy 19EC")</f>
        <v>Remy 19EC</v>
      </c>
      <c r="F1224" s="87" t="str">
        <f>IFERROR(__xludf.DUMMYFUNCTION("""COMPUTED_VALUE"""),"HH0748")</f>
        <v>HH0748</v>
      </c>
      <c r="G1224" s="87" t="str">
        <f>IFERROR(__xludf.DUMMYFUNCTION("""COMPUTED_VALUE"""),"GC - II - 748 - AGC NEW - Emy 19EC (chai PET tròn) - 450ml - 40")</f>
        <v>GC - II - 748 - AGC NEW - Emy 19EC (chai PET tròn) - 450ml - 40</v>
      </c>
    </row>
    <row r="1225">
      <c r="A1225" s="86">
        <f>IFERROR(__xludf.DUMMYFUNCTION("""COMPUTED_VALUE"""),1223.0)</f>
        <v>1223</v>
      </c>
      <c r="B1225" s="87" t="str">
        <f>IFERROR(__xludf.DUMMYFUNCTION("""COMPUTED_VALUE"""),"Nhãn")</f>
        <v>Nhãn</v>
      </c>
      <c r="C1225" s="87" t="str">
        <f>IFERROR(__xludf.DUMMYFUNCTION("""COMPUTED_VALUE"""),"NHG0749")</f>
        <v>NHG0749</v>
      </c>
      <c r="D1225" s="87" t="str">
        <f>IFERROR(__xludf.DUMMYFUNCTION("""COMPUTED_VALUE"""),"[Nhãn] GC - II - 749 - AGC NEW - Bamec 3.6EC (PET tròn) ( nước trong) - 450ml - 40")</f>
        <v>[Nhãn] GC - II - 749 - AGC NEW - Bamec 3.6EC (PET tròn) ( nước trong) - 450ml - 40</v>
      </c>
      <c r="E1225" s="87" t="str">
        <f>IFERROR(__xludf.DUMMYFUNCTION("""COMPUTED_VALUE"""),"Tikabamec 3.6EC")</f>
        <v>Tikabamec 3.6EC</v>
      </c>
      <c r="F1225" s="87" t="str">
        <f>IFERROR(__xludf.DUMMYFUNCTION("""COMPUTED_VALUE"""),"HH0749")</f>
        <v>HH0749</v>
      </c>
      <c r="G1225" s="87" t="str">
        <f>IFERROR(__xludf.DUMMYFUNCTION("""COMPUTED_VALUE"""),"GC - II - 749 - AGC NEW - Bamec 3.6EC (PET tròn) ( nước trong) - 450ml - 40")</f>
        <v>GC - II - 749 - AGC NEW - Bamec 3.6EC (PET tròn) ( nước trong) - 450ml - 40</v>
      </c>
    </row>
    <row r="1226">
      <c r="A1226" s="86">
        <f>IFERROR(__xludf.DUMMYFUNCTION("""COMPUTED_VALUE"""),1224.0)</f>
        <v>1224</v>
      </c>
      <c r="B1226" s="87" t="str">
        <f>IFERROR(__xludf.DUMMYFUNCTION("""COMPUTED_VALUE"""),"Nhãn")</f>
        <v>Nhãn</v>
      </c>
      <c r="C1226" s="87" t="str">
        <f>IFERROR(__xludf.DUMMYFUNCTION("""COMPUTED_VALUE"""),"NHD0750.1")</f>
        <v>NHD0750.1</v>
      </c>
      <c r="D1226" s="87" t="str">
        <f>IFERROR(__xludf.DUMMYFUNCTION("""COMPUTED_VALUE"""),"[Nhãn] GC - II - 750.1 - A Thời GNH - Humic Growth - 10kg - 1")</f>
        <v>[Nhãn] GC - II - 750.1 - A Thời GNH - Humic Growth - 10kg - 1</v>
      </c>
      <c r="E1226" s="87" t="str">
        <f>IFERROR(__xludf.DUMMYFUNCTION("""COMPUTED_VALUE"""),"#N/A")</f>
        <v>#N/A</v>
      </c>
      <c r="F1226" s="87" t="str">
        <f>IFERROR(__xludf.DUMMYFUNCTION("""COMPUTED_VALUE"""),"HH50.1")</f>
        <v>HH50.1</v>
      </c>
      <c r="G1226" s="87" t="str">
        <f>IFERROR(__xludf.DUMMYFUNCTION("""COMPUTED_VALUE"""),"GC - II - 750.1 - A Thời GNH - Humic Growth - 10kg - 1")</f>
        <v>GC - II - 750.1 - A Thời GNH - Humic Growth - 10kg - 1</v>
      </c>
    </row>
    <row r="1227">
      <c r="A1227" s="86">
        <f>IFERROR(__xludf.DUMMYFUNCTION("""COMPUTED_VALUE"""),1225.0)</f>
        <v>1225</v>
      </c>
      <c r="B1227" s="87" t="str">
        <f>IFERROR(__xludf.DUMMYFUNCTION("""COMPUTED_VALUE"""),"Nhãn")</f>
        <v>Nhãn</v>
      </c>
      <c r="C1227" s="87" t="str">
        <f>IFERROR(__xludf.DUMMYFUNCTION("""COMPUTED_VALUE"""),"NTN0750.2")</f>
        <v>NTN0750.2</v>
      </c>
      <c r="D1227" s="87" t="str">
        <f>IFERROR(__xludf.DUMMYFUNCTION("""COMPUTED_VALUE"""),"[Nhãn] GC - II - 750.2 - A Thời GNH - Humic Growth - 20kg - 1")</f>
        <v>[Nhãn] GC - II - 750.2 - A Thời GNH - Humic Growth - 20kg - 1</v>
      </c>
      <c r="E1227" s="87" t="str">
        <f>IFERROR(__xludf.DUMMYFUNCTION("""COMPUTED_VALUE"""),"#N/A")</f>
        <v>#N/A</v>
      </c>
      <c r="F1227" s="87" t="str">
        <f>IFERROR(__xludf.DUMMYFUNCTION("""COMPUTED_VALUE"""),"HH50.2")</f>
        <v>HH50.2</v>
      </c>
      <c r="G1227" s="87" t="str">
        <f>IFERROR(__xludf.DUMMYFUNCTION("""COMPUTED_VALUE"""),"GC - II - 750.2 - A Thời GNH - Humic Growth - 20kg - 1")</f>
        <v>GC - II - 750.2 - A Thời GNH - Humic Growth - 20kg - 1</v>
      </c>
    </row>
    <row r="1228">
      <c r="A1228" s="86">
        <f>IFERROR(__xludf.DUMMYFUNCTION("""COMPUTED_VALUE"""),1226.0)</f>
        <v>1226</v>
      </c>
      <c r="B1228" s="87" t="str">
        <f>IFERROR(__xludf.DUMMYFUNCTION("""COMPUTED_VALUE"""),"Nhãn")</f>
        <v>Nhãn</v>
      </c>
      <c r="C1228" s="87" t="str">
        <f>IFERROR(__xludf.DUMMYFUNCTION("""COMPUTED_VALUE"""),"NTN0750.3")</f>
        <v>NTN0750.3</v>
      </c>
      <c r="D1228" s="87" t="str">
        <f>IFERROR(__xludf.DUMMYFUNCTION("""COMPUTED_VALUE"""),"[Nhãn] GC - II - 750.3 - A Thời GNH - Humic Growth - 25kg - 1")</f>
        <v>[Nhãn] GC - II - 750.3 - A Thời GNH - Humic Growth - 25kg - 1</v>
      </c>
      <c r="E1228" s="87" t="str">
        <f>IFERROR(__xludf.DUMMYFUNCTION("""COMPUTED_VALUE"""),"#N/A")</f>
        <v>#N/A</v>
      </c>
      <c r="F1228" s="87" t="str">
        <f>IFERROR(__xludf.DUMMYFUNCTION("""COMPUTED_VALUE"""),"HH50.3")</f>
        <v>HH50.3</v>
      </c>
      <c r="G1228" s="87" t="str">
        <f>IFERROR(__xludf.DUMMYFUNCTION("""COMPUTED_VALUE"""),"GC - II - 750.3 - A Thời GNH - Humic Growth - 25kg - 1")</f>
        <v>GC - II - 750.3 - A Thời GNH - Humic Growth - 25kg - 1</v>
      </c>
    </row>
    <row r="1229">
      <c r="A1229" s="86">
        <f>IFERROR(__xludf.DUMMYFUNCTION("""COMPUTED_VALUE"""),1227.0)</f>
        <v>1227</v>
      </c>
      <c r="B1229" s="87" t="str">
        <f>IFERROR(__xludf.DUMMYFUNCTION("""COMPUTED_VALUE"""),"Nhãn")</f>
        <v>Nhãn</v>
      </c>
      <c r="C1229" s="87" t="str">
        <f>IFERROR(__xludf.DUMMYFUNCTION("""COMPUTED_VALUE"""),"NHG0751")</f>
        <v>NHG0751</v>
      </c>
      <c r="D1229" s="87" t="str">
        <f>IFERROR(__xludf.DUMMYFUNCTION("""COMPUTED_VALUE"""),"[Nhãn] LOT IDA Global - I - 751 - Ng Hữu Trí - Hexa 5 Sao (HD cao cấp) - 1L - 20")</f>
        <v>[Nhãn] LOT IDA Global - I - 751 - Ng Hữu Trí - Hexa 5 Sao (HD cao cấp) - 1L - 20</v>
      </c>
      <c r="E1229" s="87" t="str">
        <f>IFERROR(__xludf.DUMMYFUNCTION("""COMPUTED_VALUE"""),"Mekongvil 5SC")</f>
        <v>Mekongvil 5SC</v>
      </c>
      <c r="F1229" s="87" t="str">
        <f>IFERROR(__xludf.DUMMYFUNCTION("""COMPUTED_VALUE"""),"HH0751")</f>
        <v>HH0751</v>
      </c>
      <c r="G1229" s="87" t="str">
        <f>IFERROR(__xludf.DUMMYFUNCTION("""COMPUTED_VALUE"""),"LOT IDA Global - I - 751 - Ng Hữu Trí - Hexa 5 Sao (HD cao cấp) - 1L - 20")</f>
        <v>LOT IDA Global - I - 751 - Ng Hữu Trí - Hexa 5 Sao (HD cao cấp) - 1L - 20</v>
      </c>
    </row>
    <row r="1230">
      <c r="A1230" s="86">
        <f>IFERROR(__xludf.DUMMYFUNCTION("""COMPUTED_VALUE"""),1228.0)</f>
        <v>1228</v>
      </c>
      <c r="B1230" s="87" t="str">
        <f>IFERROR(__xludf.DUMMYFUNCTION("""COMPUTED_VALUE"""),"Nhãn")</f>
        <v>Nhãn</v>
      </c>
      <c r="C1230" s="87" t="str">
        <f>IFERROR(__xludf.DUMMYFUNCTION("""COMPUTED_VALUE"""),"NTN0753")</f>
        <v>NTN0753</v>
      </c>
      <c r="D1230" s="87" t="str">
        <f>IFERROR(__xludf.DUMMYFUNCTION("""COMPUTED_VALUE"""),"[Nhãn] GC - IV - 753 - PP - Ốc Ý - 70 gr - 150")</f>
        <v>[Nhãn] GC - IV - 753 - PP - Ốc Ý - 70 gr - 150</v>
      </c>
      <c r="E1230" s="87" t="str">
        <f>IFERROR(__xludf.DUMMYFUNCTION("""COMPUTED_VALUE"""),"Apple 700WP")</f>
        <v>Apple 700WP</v>
      </c>
      <c r="F1230" s="87" t="str">
        <f>IFERROR(__xludf.DUMMYFUNCTION("""COMPUTED_VALUE"""),"HH0753")</f>
        <v>HH0753</v>
      </c>
      <c r="G1230" s="87" t="str">
        <f>IFERROR(__xludf.DUMMYFUNCTION("""COMPUTED_VALUE"""),"GC - IV - 753 - PP - Ốc Ý - 70 gr - 150")</f>
        <v>GC - IV - 753 - PP - Ốc Ý - 70 gr - 150</v>
      </c>
    </row>
    <row r="1231">
      <c r="A1231" s="86">
        <f>IFERROR(__xludf.DUMMYFUNCTION("""COMPUTED_VALUE"""),1229.0)</f>
        <v>1229</v>
      </c>
      <c r="B1231" s="87" t="str">
        <f>IFERROR(__xludf.DUMMYFUNCTION("""COMPUTED_VALUE"""),"Nhãn")</f>
        <v>Nhãn</v>
      </c>
      <c r="C1231" s="87" t="str">
        <f>IFERROR(__xludf.DUMMYFUNCTION("""COMPUTED_VALUE"""),"NTN0754")</f>
        <v>NTN0754</v>
      </c>
      <c r="D1231" s="87" t="str">
        <f>IFERROR(__xludf.DUMMYFUNCTION("""COMPUTED_VALUE"""),"[Nhãn] GC - IV - 754 - PP - Apple 700WP - 70 gr - 150")</f>
        <v>[Nhãn] GC - IV - 754 - PP - Apple 700WP - 70 gr - 150</v>
      </c>
      <c r="E1231" s="87" t="str">
        <f>IFERROR(__xludf.DUMMYFUNCTION("""COMPUTED_VALUE"""),"Apple 700WP")</f>
        <v>Apple 700WP</v>
      </c>
      <c r="F1231" s="87" t="str">
        <f>IFERROR(__xludf.DUMMYFUNCTION("""COMPUTED_VALUE"""),"HH0754")</f>
        <v>HH0754</v>
      </c>
      <c r="G1231" s="87" t="str">
        <f>IFERROR(__xludf.DUMMYFUNCTION("""COMPUTED_VALUE"""),"GC - IV - 754 - PP - Apple 700WP - 70 gr - 150")</f>
        <v>GC - IV - 754 - PP - Apple 700WP - 70 gr - 150</v>
      </c>
    </row>
    <row r="1232">
      <c r="A1232" s="86">
        <f>IFERROR(__xludf.DUMMYFUNCTION("""COMPUTED_VALUE"""),1230.0)</f>
        <v>1230</v>
      </c>
      <c r="B1232" s="87" t="str">
        <f>IFERROR(__xludf.DUMMYFUNCTION("""COMPUTED_VALUE"""),"Nhãn")</f>
        <v>Nhãn</v>
      </c>
      <c r="C1232" s="87" t="str">
        <f>IFERROR(__xludf.DUMMYFUNCTION("""COMPUTED_VALUE"""),"NTN0755")</f>
        <v>NTN0755</v>
      </c>
      <c r="D1232" s="87" t="str">
        <f>IFERROR(__xludf.DUMMYFUNCTION("""COMPUTED_VALUE"""),"[Nhãn] LOT IDA Global - I - 755 - Mancozeb xanh - 1 kg - 20")</f>
        <v>[Nhãn] LOT IDA Global - I - 755 - Mancozeb xanh - 1 kg - 20</v>
      </c>
      <c r="E1232" s="87" t="str">
        <f>IFERROR(__xludf.DUMMYFUNCTION("""COMPUTED_VALUE"""),"TVZEB 800WP")</f>
        <v>TVZEB 800WP</v>
      </c>
      <c r="F1232" s="87" t="str">
        <f>IFERROR(__xludf.DUMMYFUNCTION("""COMPUTED_VALUE"""),"HH0755")</f>
        <v>HH0755</v>
      </c>
      <c r="G1232" s="87" t="str">
        <f>IFERROR(__xludf.DUMMYFUNCTION("""COMPUTED_VALUE"""),"LOT IDA Global - I - 755 - Mancozeb xanh - 1 kg - 20")</f>
        <v>LOT IDA Global - I - 755 - Mancozeb xanh - 1 kg - 20</v>
      </c>
    </row>
    <row r="1233">
      <c r="A1233" s="86">
        <f>IFERROR(__xludf.DUMMYFUNCTION("""COMPUTED_VALUE"""),1231.0)</f>
        <v>1231</v>
      </c>
      <c r="B1233" s="87" t="str">
        <f>IFERROR(__xludf.DUMMYFUNCTION("""COMPUTED_VALUE"""),"Nhãn thùng")</f>
        <v>Nhãn thùng</v>
      </c>
      <c r="C1233" s="87" t="str">
        <f>IFERROR(__xludf.DUMMYFUNCTION("""COMPUTED_VALUE"""),"NDT0755")</f>
        <v>NDT0755</v>
      </c>
      <c r="D1233" s="87" t="str">
        <f>IFERROR(__xludf.DUMMYFUNCTION("""COMPUTED_VALUE"""),"[Nhãn thùng] LOT IDA Global - I - 755 - Mancozeb xanh - 1 kg - 20")</f>
        <v>[Nhãn thùng] LOT IDA Global - I - 755 - Mancozeb xanh - 1 kg - 20</v>
      </c>
      <c r="E1233" s="87" t="str">
        <f>IFERROR(__xludf.DUMMYFUNCTION("""COMPUTED_VALUE"""),"TVZEB 800WP")</f>
        <v>TVZEB 800WP</v>
      </c>
      <c r="F1233" s="87" t="str">
        <f>IFERROR(__xludf.DUMMYFUNCTION("""COMPUTED_VALUE"""),"HH0755")</f>
        <v>HH0755</v>
      </c>
      <c r="G1233" s="87" t="str">
        <f>IFERROR(__xludf.DUMMYFUNCTION("""COMPUTED_VALUE"""),"LOT IDA Global - I - 755 - Mancozeb xanh - 1 kg - 20")</f>
        <v>LOT IDA Global - I - 755 - Mancozeb xanh - 1 kg - 20</v>
      </c>
    </row>
    <row r="1234">
      <c r="A1234" s="86">
        <f>IFERROR(__xludf.DUMMYFUNCTION("""COMPUTED_VALUE"""),1232.0)</f>
        <v>1232</v>
      </c>
      <c r="B1234" s="87" t="str">
        <f>IFERROR(__xludf.DUMMYFUNCTION("""COMPUTED_VALUE"""),"Nhãn")</f>
        <v>Nhãn</v>
      </c>
      <c r="C1234" s="87" t="str">
        <f>IFERROR(__xludf.DUMMYFUNCTION("""COMPUTED_VALUE"""),"NTN0756")</f>
        <v>NTN0756</v>
      </c>
      <c r="D1234" s="87" t="str">
        <f>IFERROR(__xludf.DUMMYFUNCTION("""COMPUTED_VALUE"""),"[Nhãn] GC - IV - 756 - Agritech - Apple 700WP - 70 gr - 150")</f>
        <v>[Nhãn] GC - IV - 756 - Agritech - Apple 700WP - 70 gr - 150</v>
      </c>
      <c r="E1234" s="87" t="str">
        <f>IFERROR(__xludf.DUMMYFUNCTION("""COMPUTED_VALUE"""),"Apple 700WP")</f>
        <v>Apple 700WP</v>
      </c>
      <c r="F1234" s="87" t="str">
        <f>IFERROR(__xludf.DUMMYFUNCTION("""COMPUTED_VALUE"""),"HH0756")</f>
        <v>HH0756</v>
      </c>
      <c r="G1234" s="87" t="str">
        <f>IFERROR(__xludf.DUMMYFUNCTION("""COMPUTED_VALUE"""),"GC - IV - 756 - Agritech - Apple 700WP - 70 gr - 150")</f>
        <v>GC - IV - 756 - Agritech - Apple 700WP - 70 gr - 150</v>
      </c>
    </row>
    <row r="1235">
      <c r="A1235" s="86">
        <f>IFERROR(__xludf.DUMMYFUNCTION("""COMPUTED_VALUE"""),1233.0)</f>
        <v>1233</v>
      </c>
      <c r="B1235" s="87" t="str">
        <f>IFERROR(__xludf.DUMMYFUNCTION("""COMPUTED_VALUE"""),"Nhãn")</f>
        <v>Nhãn</v>
      </c>
      <c r="C1235" s="87" t="str">
        <f>IFERROR(__xludf.DUMMYFUNCTION("""COMPUTED_VALUE"""),"NTN0757")</f>
        <v>NTN0757</v>
      </c>
      <c r="D1235" s="87" t="str">
        <f>IFERROR(__xludf.DUMMYFUNCTION("""COMPUTED_VALUE"""),"[Nhãn] GC - IV - 757 - Manco green - 1 kg - 20")</f>
        <v>[Nhãn] GC - IV - 757 - Manco green - 1 kg - 20</v>
      </c>
      <c r="E1235" s="87" t="str">
        <f>IFERROR(__xludf.DUMMYFUNCTION("""COMPUTED_VALUE"""),"TVZEB 800WP")</f>
        <v>TVZEB 800WP</v>
      </c>
      <c r="F1235" s="87" t="str">
        <f>IFERROR(__xludf.DUMMYFUNCTION("""COMPUTED_VALUE"""),"HH0757")</f>
        <v>HH0757</v>
      </c>
      <c r="G1235" s="87" t="str">
        <f>IFERROR(__xludf.DUMMYFUNCTION("""COMPUTED_VALUE"""),"GC - IV - 757 - Manco green - 1 kg - 20")</f>
        <v>GC - IV - 757 - Manco green - 1 kg - 20</v>
      </c>
    </row>
    <row r="1236">
      <c r="A1236" s="86">
        <f>IFERROR(__xludf.DUMMYFUNCTION("""COMPUTED_VALUE"""),1234.0)</f>
        <v>1234</v>
      </c>
      <c r="B1236" s="87" t="str">
        <f>IFERROR(__xludf.DUMMYFUNCTION("""COMPUTED_VALUE"""),"Nhãn thùng")</f>
        <v>Nhãn thùng</v>
      </c>
      <c r="C1236" s="87" t="str">
        <f>IFERROR(__xludf.DUMMYFUNCTION("""COMPUTED_VALUE"""),"NDT0757")</f>
        <v>NDT0757</v>
      </c>
      <c r="D1236" s="87" t="str">
        <f>IFERROR(__xludf.DUMMYFUNCTION("""COMPUTED_VALUE"""),"[Nhãn thùng] GC - IV - 757 - Manco green - 1 kg - 20")</f>
        <v>[Nhãn thùng] GC - IV - 757 - Manco green - 1 kg - 20</v>
      </c>
      <c r="E1236" s="87" t="str">
        <f>IFERROR(__xludf.DUMMYFUNCTION("""COMPUTED_VALUE"""),"TVZEB 800WP")</f>
        <v>TVZEB 800WP</v>
      </c>
      <c r="F1236" s="87" t="str">
        <f>IFERROR(__xludf.DUMMYFUNCTION("""COMPUTED_VALUE"""),"HH0757")</f>
        <v>HH0757</v>
      </c>
      <c r="G1236" s="87" t="str">
        <f>IFERROR(__xludf.DUMMYFUNCTION("""COMPUTED_VALUE"""),"GC - IV - 757 - Manco green - 1 kg - 20")</f>
        <v>GC - IV - 757 - Manco green - 1 kg - 20</v>
      </c>
    </row>
    <row r="1237">
      <c r="A1237" s="86">
        <f>IFERROR(__xludf.DUMMYFUNCTION("""COMPUTED_VALUE"""),1235.0)</f>
        <v>1235</v>
      </c>
      <c r="B1237" s="87" t="str">
        <f>IFERROR(__xludf.DUMMYFUNCTION("""COMPUTED_VALUE"""),"Nhãn")</f>
        <v>Nhãn</v>
      </c>
      <c r="C1237" s="87" t="str">
        <f>IFERROR(__xludf.DUMMYFUNCTION("""COMPUTED_VALUE"""),"NHG0758")</f>
        <v>NHG0758</v>
      </c>
      <c r="D1237" s="87" t="str">
        <f>IFERROR(__xludf.DUMMYFUNCTION("""COMPUTED_VALUE"""),"[Nhãn] GC - II - 758 - A Thời GNH - Ra rễ nở bụi (Chai HD) - 500ml - 40")</f>
        <v>[Nhãn] GC - II - 758 - A Thời GNH - Ra rễ nở bụi (Chai HD) - 500ml - 40</v>
      </c>
      <c r="E1237" s="87" t="str">
        <f>IFERROR(__xludf.DUMMYFUNCTION("""COMPUTED_VALUE"""),"Vi lượng Quantity New")</f>
        <v>Vi lượng Quantity New</v>
      </c>
      <c r="F1237" s="87" t="str">
        <f>IFERROR(__xludf.DUMMYFUNCTION("""COMPUTED_VALUE"""),"HH0758")</f>
        <v>HH0758</v>
      </c>
      <c r="G1237" s="87" t="str">
        <f>IFERROR(__xludf.DUMMYFUNCTION("""COMPUTED_VALUE"""),"GC - II - 758 - A Thời GNH - Ra rễ nở bụi (Chai HD) - 500ml - 40")</f>
        <v>GC - II - 758 - A Thời GNH - Ra rễ nở bụi (Chai HD) - 500ml - 40</v>
      </c>
    </row>
    <row r="1238">
      <c r="A1238" s="86">
        <f>IFERROR(__xludf.DUMMYFUNCTION("""COMPUTED_VALUE"""),1236.0)</f>
        <v>1236</v>
      </c>
      <c r="B1238" s="87" t="str">
        <f>IFERROR(__xludf.DUMMYFUNCTION("""COMPUTED_VALUE"""),"Nhãn thùng")</f>
        <v>Nhãn thùng</v>
      </c>
      <c r="C1238" s="87" t="str">
        <f>IFERROR(__xludf.DUMMYFUNCTION("""COMPUTED_VALUE"""),"NDT0758")</f>
        <v>NDT0758</v>
      </c>
      <c r="D1238" s="87" t="str">
        <f>IFERROR(__xludf.DUMMYFUNCTION("""COMPUTED_VALUE"""),"[Nhãn thùng] GC - II - 758 - A Thời GNH - Ra rễ nở bụi (Chai HD) - 500ml - 40")</f>
        <v>[Nhãn thùng] GC - II - 758 - A Thời GNH - Ra rễ nở bụi (Chai HD) - 500ml - 40</v>
      </c>
      <c r="E1238" s="87" t="str">
        <f>IFERROR(__xludf.DUMMYFUNCTION("""COMPUTED_VALUE"""),"Vi lượng Quantity New")</f>
        <v>Vi lượng Quantity New</v>
      </c>
      <c r="F1238" s="87" t="str">
        <f>IFERROR(__xludf.DUMMYFUNCTION("""COMPUTED_VALUE"""),"HH0758")</f>
        <v>HH0758</v>
      </c>
      <c r="G1238" s="87" t="str">
        <f>IFERROR(__xludf.DUMMYFUNCTION("""COMPUTED_VALUE"""),"GC - II - 758 - A Thời GNH - Ra rễ nở bụi (Chai HD) - 500ml - 40")</f>
        <v>GC - II - 758 - A Thời GNH - Ra rễ nở bụi (Chai HD) - 500ml - 40</v>
      </c>
    </row>
    <row r="1239">
      <c r="A1239" s="86">
        <f>IFERROR(__xludf.DUMMYFUNCTION("""COMPUTED_VALUE"""),1237.0)</f>
        <v>1237</v>
      </c>
      <c r="B1239" s="87" t="str">
        <f>IFERROR(__xludf.DUMMYFUNCTION("""COMPUTED_VALUE"""),"Nhãn")</f>
        <v>Nhãn</v>
      </c>
      <c r="C1239" s="87" t="str">
        <f>IFERROR(__xludf.DUMMYFUNCTION("""COMPUTED_VALUE"""),"NHG0759")</f>
        <v>NHG0759</v>
      </c>
      <c r="D1239" s="87" t="str">
        <f>IFERROR(__xludf.DUMMYFUNCTION("""COMPUTED_VALUE"""),"[Nhãn] GC - II - 759 - A Thời GNH - Siêu To Củ - 500ml (chai HD)- 40")</f>
        <v>[Nhãn] GC - II - 759 - A Thời GNH - Siêu To Củ - 500ml (chai HD)- 40</v>
      </c>
      <c r="E1239" s="87" t="str">
        <f>IFERROR(__xludf.DUMMYFUNCTION("""COMPUTED_VALUE"""),"Vi lượng BM-KABO")</f>
        <v>Vi lượng BM-KABO</v>
      </c>
      <c r="F1239" s="87" t="str">
        <f>IFERROR(__xludf.DUMMYFUNCTION("""COMPUTED_VALUE"""),"HH0759")</f>
        <v>HH0759</v>
      </c>
      <c r="G1239" s="87" t="str">
        <f>IFERROR(__xludf.DUMMYFUNCTION("""COMPUTED_VALUE"""),"GC - II - 759 - A Thời GNH - Siêu To Củ - 500ml (chai HD)- 40")</f>
        <v>GC - II - 759 - A Thời GNH - Siêu To Củ - 500ml (chai HD)- 40</v>
      </c>
    </row>
    <row r="1240">
      <c r="A1240" s="86">
        <f>IFERROR(__xludf.DUMMYFUNCTION("""COMPUTED_VALUE"""),1238.0)</f>
        <v>1238</v>
      </c>
      <c r="B1240" s="87" t="str">
        <f>IFERROR(__xludf.DUMMYFUNCTION("""COMPUTED_VALUE"""),"Nhãn")</f>
        <v>Nhãn</v>
      </c>
      <c r="C1240" s="87" t="str">
        <f>IFERROR(__xludf.DUMMYFUNCTION("""COMPUTED_VALUE"""),"NHG0761")</f>
        <v>NHG0761</v>
      </c>
      <c r="D1240" s="87" t="str">
        <f>IFERROR(__xludf.DUMMYFUNCTION("""COMPUTED_VALUE"""),"[Nhãn] IDA Global - I - 761 - Siêu Xông Hơi nhãn cam (PET tròn) - 450ml - 40")</f>
        <v>[Nhãn] IDA Global - I - 761 - Siêu Xông Hơi nhãn cam (PET tròn) - 450ml - 40</v>
      </c>
      <c r="E1240" s="87" t="str">
        <f>IFERROR(__xludf.DUMMYFUNCTION("""COMPUTED_VALUE"""),"PYXOATE 44EC")</f>
        <v>PYXOATE 44EC</v>
      </c>
      <c r="F1240" s="87" t="str">
        <f>IFERROR(__xludf.DUMMYFUNCTION("""COMPUTED_VALUE"""),"HH0761")</f>
        <v>HH0761</v>
      </c>
      <c r="G1240" s="87" t="str">
        <f>IFERROR(__xludf.DUMMYFUNCTION("""COMPUTED_VALUE"""),"IDA Global - I - 761 - Siêu Xông Hơi nhãn cam (PET tròn) - 450ml - 40")</f>
        <v>IDA Global - I - 761 - Siêu Xông Hơi nhãn cam (PET tròn) - 450ml - 40</v>
      </c>
    </row>
    <row r="1241">
      <c r="A1241" s="86">
        <f>IFERROR(__xludf.DUMMYFUNCTION("""COMPUTED_VALUE"""),1239.0)</f>
        <v>1239</v>
      </c>
      <c r="B1241" s="87" t="str">
        <f>IFERROR(__xludf.DUMMYFUNCTION("""COMPUTED_VALUE"""),"Nhãn")</f>
        <v>Nhãn</v>
      </c>
      <c r="C1241" s="87" t="str">
        <f>IFERROR(__xludf.DUMMYFUNCTION("""COMPUTED_VALUE"""),"NHG0762")</f>
        <v>NHG0762</v>
      </c>
      <c r="D1241" s="87" t="str">
        <f>IFERROR(__xludf.DUMMYFUNCTION("""COMPUTED_VALUE"""),"[Nhãn] GC - II - 762 - A Thời GNH - Siêu kích rễ (chai HD) - 500ml - 40")</f>
        <v>[Nhãn] GC - II - 762 - A Thời GNH - Siêu kích rễ (chai HD) - 500ml - 40</v>
      </c>
      <c r="E1241" s="87" t="str">
        <f>IFERROR(__xludf.DUMMYFUNCTION("""COMPUTED_VALUE"""),"Vi lượng Quantity New")</f>
        <v>Vi lượng Quantity New</v>
      </c>
      <c r="F1241" s="87" t="str">
        <f>IFERROR(__xludf.DUMMYFUNCTION("""COMPUTED_VALUE"""),"HH0762")</f>
        <v>HH0762</v>
      </c>
      <c r="G1241" s="87" t="str">
        <f>IFERROR(__xludf.DUMMYFUNCTION("""COMPUTED_VALUE"""),"GC - II - 762 - A Thời GNH - Siêu kích rễ (chai HD) - 500ml - 40")</f>
        <v>GC - II - 762 - A Thời GNH - Siêu kích rễ (chai HD) - 500ml - 40</v>
      </c>
    </row>
    <row r="1242">
      <c r="A1242" s="86">
        <f>IFERROR(__xludf.DUMMYFUNCTION("""COMPUTED_VALUE"""),1240.0)</f>
        <v>1240</v>
      </c>
      <c r="B1242" s="87" t="str">
        <f>IFERROR(__xludf.DUMMYFUNCTION("""COMPUTED_VALUE"""),"Nhãn")</f>
        <v>Nhãn</v>
      </c>
      <c r="C1242" s="87" t="str">
        <f>IFERROR(__xludf.DUMMYFUNCTION("""COMPUTED_VALUE"""),"NTN0763")</f>
        <v>NTN0763</v>
      </c>
      <c r="D1242" s="87" t="str">
        <f>IFERROR(__xludf.DUMMYFUNCTION("""COMPUTED_VALUE"""),"[Nhãn] GC - II - 763 - A Thời GNH - Humic Growth (Túi Nhôm) - 1kg - 20")</f>
        <v>[Nhãn] GC - II - 763 - A Thời GNH - Humic Growth (Túi Nhôm) - 1kg - 20</v>
      </c>
      <c r="E1242" s="87" t="str">
        <f>IFERROR(__xludf.DUMMYFUNCTION("""COMPUTED_VALUE"""),"VD2")</f>
        <v>VD2</v>
      </c>
      <c r="F1242" s="87" t="str">
        <f>IFERROR(__xludf.DUMMYFUNCTION("""COMPUTED_VALUE"""),"HH0763")</f>
        <v>HH0763</v>
      </c>
      <c r="G1242" s="87" t="str">
        <f>IFERROR(__xludf.DUMMYFUNCTION("""COMPUTED_VALUE"""),"GC - II - 763 - A Thời GNH - Humic Growth (Túi Nhôm) - 1kg - 20")</f>
        <v>GC - II - 763 - A Thời GNH - Humic Growth (Túi Nhôm) - 1kg - 20</v>
      </c>
    </row>
    <row r="1243">
      <c r="A1243" s="86">
        <f>IFERROR(__xludf.DUMMYFUNCTION("""COMPUTED_VALUE"""),1241.0)</f>
        <v>1241</v>
      </c>
      <c r="B1243" s="87" t="str">
        <f>IFERROR(__xludf.DUMMYFUNCTION("""COMPUTED_VALUE"""),"Nhãn")</f>
        <v>Nhãn</v>
      </c>
      <c r="C1243" s="87" t="str">
        <f>IFERROR(__xludf.DUMMYFUNCTION("""COMPUTED_VALUE"""),"NTN0764")</f>
        <v>NTN0764</v>
      </c>
      <c r="D1243" s="87" t="str">
        <f>IFERROR(__xludf.DUMMYFUNCTION("""COMPUTED_VALUE"""),"[Nhãn] IDA Global - I - 764 - Siêu diệt sâu (túi nhôm) - 100gr - 100")</f>
        <v>[Nhãn] IDA Global - I - 764 - Siêu diệt sâu (túi nhôm) - 100gr - 100</v>
      </c>
      <c r="E1243" s="87" t="str">
        <f>IFERROR(__xludf.DUMMYFUNCTION("""COMPUTED_VALUE"""),"SHA CHONG JING 95WP")</f>
        <v>SHA CHONG JING 95WP</v>
      </c>
      <c r="F1243" s="87" t="str">
        <f>IFERROR(__xludf.DUMMYFUNCTION("""COMPUTED_VALUE"""),"HH0764")</f>
        <v>HH0764</v>
      </c>
      <c r="G1243" s="87" t="str">
        <f>IFERROR(__xludf.DUMMYFUNCTION("""COMPUTED_VALUE"""),"IDA Global - I - 764 - Siêu diệt sâu (túi nhôm) - 100gr - 100")</f>
        <v>IDA Global - I - 764 - Siêu diệt sâu (túi nhôm) - 100gr - 100</v>
      </c>
    </row>
    <row r="1244">
      <c r="A1244" s="86">
        <f>IFERROR(__xludf.DUMMYFUNCTION("""COMPUTED_VALUE"""),1242.0)</f>
        <v>1242</v>
      </c>
      <c r="B1244" s="87" t="str">
        <f>IFERROR(__xludf.DUMMYFUNCTION("""COMPUTED_VALUE"""),"Nhãn")</f>
        <v>Nhãn</v>
      </c>
      <c r="C1244" s="87" t="str">
        <f>IFERROR(__xludf.DUMMYFUNCTION("""COMPUTED_VALUE"""),"NHG0765")</f>
        <v>NHG0765</v>
      </c>
      <c r="D1244" s="87" t="str">
        <f>IFERROR(__xludf.DUMMYFUNCTION("""COMPUTED_VALUE"""),"[Nhãn] LOT IDA Global - I - ĐL Lệ Hồng 1 - 765 - Javi vil 50SC (BTP Trắng Sữa) (Nhãn đỏ)- 1L - 20")</f>
        <v>[Nhãn] LOT IDA Global - I - ĐL Lệ Hồng 1 - 765 - Javi vil 50SC (BTP Trắng Sữa) (Nhãn đỏ)- 1L - 20</v>
      </c>
      <c r="E1244" s="87" t="str">
        <f>IFERROR(__xludf.DUMMYFUNCTION("""COMPUTED_VALUE"""),"JAVI VIL 50SC")</f>
        <v>JAVI VIL 50SC</v>
      </c>
      <c r="F1244" s="87" t="str">
        <f>IFERROR(__xludf.DUMMYFUNCTION("""COMPUTED_VALUE"""),"HH0765")</f>
        <v>HH0765</v>
      </c>
      <c r="G1244" s="87" t="str">
        <f>IFERROR(__xludf.DUMMYFUNCTION("""COMPUTED_VALUE"""),"LOT IDA Global - I - ĐL Lệ Hồng 1 - 765 - Javi vil 50SC (BTP Trắng Sữa) (Nhãn đỏ)- 1L - 20")</f>
        <v>LOT IDA Global - I - ĐL Lệ Hồng 1 - 765 - Javi vil 50SC (BTP Trắng Sữa) (Nhãn đỏ)- 1L - 20</v>
      </c>
    </row>
    <row r="1245">
      <c r="A1245" s="86">
        <f>IFERROR(__xludf.DUMMYFUNCTION("""COMPUTED_VALUE"""),1243.0)</f>
        <v>1243</v>
      </c>
      <c r="B1245" s="87" t="str">
        <f>IFERROR(__xludf.DUMMYFUNCTION("""COMPUTED_VALUE"""),"Nhãn")</f>
        <v>Nhãn</v>
      </c>
      <c r="C1245" s="87" t="str">
        <f>IFERROR(__xludf.DUMMYFUNCTION("""COMPUTED_VALUE"""),"NHG0766")</f>
        <v>NHG0766</v>
      </c>
      <c r="D1245" s="87" t="str">
        <f>IFERROR(__xludf.DUMMYFUNCTION("""COMPUTED_VALUE"""),"[Nhãn] GC - IV - 766 - VTNN Bảy Phận - Phanvil (chai HD cc)- 1L - 20")</f>
        <v>[Nhãn] GC - IV - 766 - VTNN Bảy Phận - Phanvil (chai HD cc)- 1L - 20</v>
      </c>
      <c r="E1245" s="87" t="str">
        <f>IFERROR(__xludf.DUMMYFUNCTION("""COMPUTED_VALUE"""),"Mekongvil 5SC")</f>
        <v>Mekongvil 5SC</v>
      </c>
      <c r="F1245" s="87" t="str">
        <f>IFERROR(__xludf.DUMMYFUNCTION("""COMPUTED_VALUE"""),"HH0766")</f>
        <v>HH0766</v>
      </c>
      <c r="G1245" s="87" t="str">
        <f>IFERROR(__xludf.DUMMYFUNCTION("""COMPUTED_VALUE"""),"GC - IV - 766 - VTNN Bảy Phận - Phanvil (chai HD cc)- 1L - 20")</f>
        <v>GC - IV - 766 - VTNN Bảy Phận - Phanvil (chai HD cc)- 1L - 20</v>
      </c>
    </row>
    <row r="1246">
      <c r="A1246" s="86">
        <f>IFERROR(__xludf.DUMMYFUNCTION("""COMPUTED_VALUE"""),1244.0)</f>
        <v>1244</v>
      </c>
      <c r="B1246" s="87" t="str">
        <f>IFERROR(__xludf.DUMMYFUNCTION("""COMPUTED_VALUE"""),"Nhãn thùng")</f>
        <v>Nhãn thùng</v>
      </c>
      <c r="C1246" s="87" t="str">
        <f>IFERROR(__xludf.DUMMYFUNCTION("""COMPUTED_VALUE"""),"NDT0766")</f>
        <v>NDT0766</v>
      </c>
      <c r="D1246" s="87" t="str">
        <f>IFERROR(__xludf.DUMMYFUNCTION("""COMPUTED_VALUE"""),"[Nhãn thùng] GC - IV - 766 - VTNN Bảy Phận - Phanvil (chai HD cc)- 1L - 20")</f>
        <v>[Nhãn thùng] GC - IV - 766 - VTNN Bảy Phận - Phanvil (chai HD cc)- 1L - 20</v>
      </c>
      <c r="E1246" s="87" t="str">
        <f>IFERROR(__xludf.DUMMYFUNCTION("""COMPUTED_VALUE"""),"Mekongvil 5SC")</f>
        <v>Mekongvil 5SC</v>
      </c>
      <c r="F1246" s="87" t="str">
        <f>IFERROR(__xludf.DUMMYFUNCTION("""COMPUTED_VALUE"""),"HH0766")</f>
        <v>HH0766</v>
      </c>
      <c r="G1246" s="87" t="str">
        <f>IFERROR(__xludf.DUMMYFUNCTION("""COMPUTED_VALUE"""),"GC - IV - 766 - VTNN Bảy Phận - Phanvil (chai HD cc)- 1L - 20")</f>
        <v>GC - IV - 766 - VTNN Bảy Phận - Phanvil (chai HD cc)- 1L - 20</v>
      </c>
    </row>
    <row r="1247">
      <c r="A1247" s="86">
        <f>IFERROR(__xludf.DUMMYFUNCTION("""COMPUTED_VALUE"""),1245.0)</f>
        <v>1245</v>
      </c>
      <c r="B1247" s="87" t="str">
        <f>IFERROR(__xludf.DUMMYFUNCTION("""COMPUTED_VALUE"""),"Nhãn")</f>
        <v>Nhãn</v>
      </c>
      <c r="C1247" s="87" t="str">
        <f>IFERROR(__xludf.DUMMYFUNCTION("""COMPUTED_VALUE"""),"NHG0767")</f>
        <v>NHG0767</v>
      </c>
      <c r="D1247" s="87" t="str">
        <f>IFERROR(__xludf.DUMMYFUNCTION("""COMPUTED_VALUE"""),"[Nhãn] GC - IV - 767 - AU - Diều Hâu Đen (chai nhôm xanh dương) - 240ml - 40")</f>
        <v>[Nhãn] GC - IV - 767 - AU - Diều Hâu Đen (chai nhôm xanh dương) - 240ml - 40</v>
      </c>
      <c r="E1247" s="87" t="str">
        <f>IFERROR(__xludf.DUMMYFUNCTION("""COMPUTED_VALUE"""),"CHIM ƯNG 3.8EC")</f>
        <v>CHIM ƯNG 3.8EC</v>
      </c>
      <c r="F1247" s="87" t="str">
        <f>IFERROR(__xludf.DUMMYFUNCTION("""COMPUTED_VALUE"""),"HH0767")</f>
        <v>HH0767</v>
      </c>
      <c r="G1247" s="87" t="str">
        <f>IFERROR(__xludf.DUMMYFUNCTION("""COMPUTED_VALUE"""),"GC - IV - 767 - AU - Diều Hâu Đen (chai nhôm xanh dương) - 240ml - 40")</f>
        <v>GC - IV - 767 - AU - Diều Hâu Đen (chai nhôm xanh dương) - 240ml - 40</v>
      </c>
    </row>
    <row r="1248">
      <c r="A1248" s="86">
        <f>IFERROR(__xludf.DUMMYFUNCTION("""COMPUTED_VALUE"""),1246.0)</f>
        <v>1246</v>
      </c>
      <c r="B1248" s="87" t="str">
        <f>IFERROR(__xludf.DUMMYFUNCTION("""COMPUTED_VALUE"""),"Nhãn")</f>
        <v>Nhãn</v>
      </c>
      <c r="C1248" s="87" t="str">
        <f>IFERROR(__xludf.DUMMYFUNCTION("""COMPUTED_VALUE"""),"NHG0768")</f>
        <v>NHG0768</v>
      </c>
      <c r="D1248" s="87" t="str">
        <f>IFERROR(__xludf.DUMMYFUNCTION("""COMPUTED_VALUE"""),"[Nhãn] GC - II - 768 - A Thời GNH - Ra rễ nở bụi (Chai HD) - 1L - 20")</f>
        <v>[Nhãn] GC - II - 768 - A Thời GNH - Ra rễ nở bụi (Chai HD) - 1L - 20</v>
      </c>
      <c r="E1248" s="87" t="str">
        <f>IFERROR(__xludf.DUMMYFUNCTION("""COMPUTED_VALUE"""),"Vi lượng Quantity New")</f>
        <v>Vi lượng Quantity New</v>
      </c>
      <c r="F1248" s="87" t="str">
        <f>IFERROR(__xludf.DUMMYFUNCTION("""COMPUTED_VALUE"""),"HH0768")</f>
        <v>HH0768</v>
      </c>
      <c r="G1248" s="87" t="str">
        <f>IFERROR(__xludf.DUMMYFUNCTION("""COMPUTED_VALUE"""),"GC - II - 768 - A Thời GNH - Ra rễ nở bụi (Chai HD) - 1L - 20")</f>
        <v>GC - II - 768 - A Thời GNH - Ra rễ nở bụi (Chai HD) - 1L - 20</v>
      </c>
    </row>
    <row r="1249">
      <c r="A1249" s="86">
        <f>IFERROR(__xludf.DUMMYFUNCTION("""COMPUTED_VALUE"""),1247.0)</f>
        <v>1247</v>
      </c>
      <c r="B1249" s="87" t="str">
        <f>IFERROR(__xludf.DUMMYFUNCTION("""COMPUTED_VALUE"""),"Nhãn")</f>
        <v>Nhãn</v>
      </c>
      <c r="C1249" s="87" t="str">
        <f>IFERROR(__xludf.DUMMYFUNCTION("""COMPUTED_VALUE"""),"NTN0769")</f>
        <v>NTN0769</v>
      </c>
      <c r="D1249" s="87" t="str">
        <f>IFERROR(__xludf.DUMMYFUNCTION("""COMPUTED_VALUE"""),"[Nhãn] IDA Global - I - ĐL Minh Nga - 769 - Humi Green - 1kg - 25")</f>
        <v>[Nhãn] IDA Global - I - ĐL Minh Nga - 769 - Humi Green - 1kg - 25</v>
      </c>
      <c r="E1249" s="87" t="str">
        <f>IFERROR(__xludf.DUMMYFUNCTION("""COMPUTED_VALUE"""),"Vi lượng AV-CFC
(Dạng rắn)")</f>
        <v>Vi lượng AV-CFC
(Dạng rắn)</v>
      </c>
      <c r="F1249" s="87" t="str">
        <f>IFERROR(__xludf.DUMMYFUNCTION("""COMPUTED_VALUE"""),"HH0769")</f>
        <v>HH0769</v>
      </c>
      <c r="G1249" s="87" t="str">
        <f>IFERROR(__xludf.DUMMYFUNCTION("""COMPUTED_VALUE"""),"IDA Global - I - ĐL Minh Nga - 769 - Humi Green - 1kg - 25")</f>
        <v>IDA Global - I - ĐL Minh Nga - 769 - Humi Green - 1kg - 25</v>
      </c>
    </row>
    <row r="1250">
      <c r="A1250" s="86">
        <f>IFERROR(__xludf.DUMMYFUNCTION("""COMPUTED_VALUE"""),1248.0)</f>
        <v>1248</v>
      </c>
      <c r="B1250" s="87" t="str">
        <f>IFERROR(__xludf.DUMMYFUNCTION("""COMPUTED_VALUE"""),"Nhãn")</f>
        <v>Nhãn</v>
      </c>
      <c r="C1250" s="87" t="str">
        <f>IFERROR(__xludf.DUMMYFUNCTION("""COMPUTED_VALUE"""),"NHG0770")</f>
        <v>NHG0770</v>
      </c>
      <c r="D1250" s="87" t="str">
        <f>IFERROR(__xludf.DUMMYFUNCTION("""COMPUTED_VALUE"""),"[Nhãn] LOT IDA Global - I - ĐL Minh Nga - 770 - Abamec 3.6EC (Pet tròn) (nước đục) - 450ml - 40")</f>
        <v>[Nhãn] LOT IDA Global - I - ĐL Minh Nga - 770 - Abamec 3.6EC (Pet tròn) (nước đục) - 450ml - 40</v>
      </c>
      <c r="E1250" s="87" t="str">
        <f>IFERROR(__xludf.DUMMYFUNCTION("""COMPUTED_VALUE"""),"Tikabamec 3.6EC")</f>
        <v>Tikabamec 3.6EC</v>
      </c>
      <c r="F1250" s="87" t="str">
        <f>IFERROR(__xludf.DUMMYFUNCTION("""COMPUTED_VALUE"""),"HH0770")</f>
        <v>HH0770</v>
      </c>
      <c r="G1250" s="87" t="str">
        <f>IFERROR(__xludf.DUMMYFUNCTION("""COMPUTED_VALUE"""),"LOT IDA Global - I - ĐL Minh Nga - 770 - Abamec 3.6EC (Pet tròn) (nước đục) - 450ml - 40")</f>
        <v>LOT IDA Global - I - ĐL Minh Nga - 770 - Abamec 3.6EC (Pet tròn) (nước đục) - 450ml - 40</v>
      </c>
    </row>
    <row r="1251">
      <c r="A1251" s="86">
        <f>IFERROR(__xludf.DUMMYFUNCTION("""COMPUTED_VALUE"""),1249.0)</f>
        <v>1249</v>
      </c>
      <c r="B1251" s="87" t="str">
        <f>IFERROR(__xludf.DUMMYFUNCTION("""COMPUTED_VALUE"""),"Nhãn thùng")</f>
        <v>Nhãn thùng</v>
      </c>
      <c r="C1251" s="87" t="str">
        <f>IFERROR(__xludf.DUMMYFUNCTION("""COMPUTED_VALUE"""),"NDT0770")</f>
        <v>NDT0770</v>
      </c>
      <c r="D1251" s="87" t="str">
        <f>IFERROR(__xludf.DUMMYFUNCTION("""COMPUTED_VALUE"""),"[Nhãn thùng] LOT IDA Global - I - ĐL Minh Nga - 770 - Abamec 3.6EC (Pet tròn) (nước đục) - 450ml - 40")</f>
        <v>[Nhãn thùng] LOT IDA Global - I - ĐL Minh Nga - 770 - Abamec 3.6EC (Pet tròn) (nước đục) - 450ml - 40</v>
      </c>
      <c r="E1251" s="87" t="str">
        <f>IFERROR(__xludf.DUMMYFUNCTION("""COMPUTED_VALUE"""),"Tikabamec 3.6EC")</f>
        <v>Tikabamec 3.6EC</v>
      </c>
      <c r="F1251" s="87" t="str">
        <f>IFERROR(__xludf.DUMMYFUNCTION("""COMPUTED_VALUE"""),"HH0770")</f>
        <v>HH0770</v>
      </c>
      <c r="G1251" s="87" t="str">
        <f>IFERROR(__xludf.DUMMYFUNCTION("""COMPUTED_VALUE"""),"LOT IDA Global - I - ĐL Minh Nga - 770 - Abamec 3.6EC (Pet tròn) (nước đục) - 450ml - 40")</f>
        <v>LOT IDA Global - I - ĐL Minh Nga - 770 - Abamec 3.6EC (Pet tròn) (nước đục) - 450ml - 40</v>
      </c>
    </row>
    <row r="1252">
      <c r="A1252" s="86">
        <f>IFERROR(__xludf.DUMMYFUNCTION("""COMPUTED_VALUE"""),1250.0)</f>
        <v>1250</v>
      </c>
      <c r="B1252" s="87" t="str">
        <f>IFERROR(__xludf.DUMMYFUNCTION("""COMPUTED_VALUE"""),"Nhãn")</f>
        <v>Nhãn</v>
      </c>
      <c r="C1252" s="87" t="str">
        <f>IFERROR(__xludf.DUMMYFUNCTION("""COMPUTED_VALUE"""),"NHG0772")</f>
        <v>NHG0772</v>
      </c>
      <c r="D1252" s="87" t="str">
        <f>IFERROR(__xludf.DUMMYFUNCTION("""COMPUTED_VALUE"""),"[Nhãn] GC - IV - 772 - Nông Lâm Hòa Phát - Kamy-cinjapane 20SL - 450ml - 40")</f>
        <v>[Nhãn] GC - IV - 772 - Nông Lâm Hòa Phát - Kamy-cinjapane 20SL - 450ml - 40</v>
      </c>
      <c r="E1252" s="87" t="str">
        <f>IFERROR(__xludf.DUMMYFUNCTION("""COMPUTED_VALUE"""),"Kamycinjapane 20SL")</f>
        <v>Kamycinjapane 20SL</v>
      </c>
      <c r="F1252" s="87" t="str">
        <f>IFERROR(__xludf.DUMMYFUNCTION("""COMPUTED_VALUE"""),"HH0772")</f>
        <v>HH0772</v>
      </c>
      <c r="G1252" s="87" t="str">
        <f>IFERROR(__xludf.DUMMYFUNCTION("""COMPUTED_VALUE"""),"GC - IV - 772 - Nông Lâm Hòa Phát - Kamy-cinjapane 20SL - 450ml - 40")</f>
        <v>GC - IV - 772 - Nông Lâm Hòa Phát - Kamy-cinjapane 20SL - 450ml - 40</v>
      </c>
    </row>
    <row r="1253">
      <c r="A1253" s="86">
        <f>IFERROR(__xludf.DUMMYFUNCTION("""COMPUTED_VALUE"""),1251.0)</f>
        <v>1251</v>
      </c>
      <c r="B1253" s="87" t="str">
        <f>IFERROR(__xludf.DUMMYFUNCTION("""COMPUTED_VALUE"""),"Nhãn thùng")</f>
        <v>Nhãn thùng</v>
      </c>
      <c r="C1253" s="87" t="str">
        <f>IFERROR(__xludf.DUMMYFUNCTION("""COMPUTED_VALUE"""),"NDT0772")</f>
        <v>NDT0772</v>
      </c>
      <c r="D1253" s="87" t="str">
        <f>IFERROR(__xludf.DUMMYFUNCTION("""COMPUTED_VALUE"""),"[Nhãn thùng] GC - IV - 772 - Nông Lâm Hòa Phát - Kamy-cinjapane 20SL - 450ml - 40")</f>
        <v>[Nhãn thùng] GC - IV - 772 - Nông Lâm Hòa Phát - Kamy-cinjapane 20SL - 450ml - 40</v>
      </c>
      <c r="E1253" s="87" t="str">
        <f>IFERROR(__xludf.DUMMYFUNCTION("""COMPUTED_VALUE"""),"Kamycinjapane 20SL")</f>
        <v>Kamycinjapane 20SL</v>
      </c>
      <c r="F1253" s="87" t="str">
        <f>IFERROR(__xludf.DUMMYFUNCTION("""COMPUTED_VALUE"""),"HH0772")</f>
        <v>HH0772</v>
      </c>
      <c r="G1253" s="87" t="str">
        <f>IFERROR(__xludf.DUMMYFUNCTION("""COMPUTED_VALUE"""),"GC - IV - 772 - Nông Lâm Hòa Phát - Kamy-cinjapane 20SL - 450ml - 40")</f>
        <v>GC - IV - 772 - Nông Lâm Hòa Phát - Kamy-cinjapane 20SL - 450ml - 40</v>
      </c>
    </row>
    <row r="1254">
      <c r="A1254" s="86">
        <f>IFERROR(__xludf.DUMMYFUNCTION("""COMPUTED_VALUE"""),1252.0)</f>
        <v>1252</v>
      </c>
      <c r="B1254" s="87" t="str">
        <f>IFERROR(__xludf.DUMMYFUNCTION("""COMPUTED_VALUE"""),"Nhãn")</f>
        <v>Nhãn</v>
      </c>
      <c r="C1254" s="87" t="str">
        <f>IFERROR(__xludf.DUMMYFUNCTION("""COMPUTED_VALUE"""),"NHG0773")</f>
        <v>NHG0773</v>
      </c>
      <c r="D1254" s="87" t="str">
        <f>IFERROR(__xludf.DUMMYFUNCTION("""COMPUTED_VALUE"""),"[Nhãn] GC - IV - 773 - Agriscience - Agri-plus+ - 50ml -100")</f>
        <v>[Nhãn] GC - IV - 773 - Agriscience - Agri-plus+ - 50ml -100</v>
      </c>
      <c r="E1254" s="87" t="str">
        <f>IFERROR(__xludf.DUMMYFUNCTION("""COMPUTED_VALUE"""),"Vi lượng Basel VA01")</f>
        <v>Vi lượng Basel VA01</v>
      </c>
      <c r="F1254" s="87" t="str">
        <f>IFERROR(__xludf.DUMMYFUNCTION("""COMPUTED_VALUE"""),"HH0773")</f>
        <v>HH0773</v>
      </c>
      <c r="G1254" s="87" t="str">
        <f>IFERROR(__xludf.DUMMYFUNCTION("""COMPUTED_VALUE"""),"GC - IV - 773 - Agriscience - Agri-plus+ - 50ml -100")</f>
        <v>GC - IV - 773 - Agriscience - Agri-plus+ - 50ml -100</v>
      </c>
    </row>
    <row r="1255">
      <c r="A1255" s="86">
        <f>IFERROR(__xludf.DUMMYFUNCTION("""COMPUTED_VALUE"""),1253.0)</f>
        <v>1253</v>
      </c>
      <c r="B1255" s="87" t="str">
        <f>IFERROR(__xludf.DUMMYFUNCTION("""COMPUTED_VALUE"""),"Nhãn")</f>
        <v>Nhãn</v>
      </c>
      <c r="C1255" s="87" t="str">
        <f>IFERROR(__xludf.DUMMYFUNCTION("""COMPUTED_VALUE"""),"NHG0774")</f>
        <v>NHG0774</v>
      </c>
      <c r="D1255" s="87" t="str">
        <f>IFERROR(__xludf.DUMMYFUNCTION("""COMPUTED_VALUE"""),"[Nhãn] GC - IV - 774 - VTNN Xuân Sơn - Mekongvil 5SC- 1L - 20")</f>
        <v>[Nhãn] GC - IV - 774 - VTNN Xuân Sơn - Mekongvil 5SC- 1L - 20</v>
      </c>
      <c r="E1255" s="87" t="str">
        <f>IFERROR(__xludf.DUMMYFUNCTION("""COMPUTED_VALUE"""),"Mekongvil 5SC")</f>
        <v>Mekongvil 5SC</v>
      </c>
      <c r="F1255" s="87" t="str">
        <f>IFERROR(__xludf.DUMMYFUNCTION("""COMPUTED_VALUE"""),"HH0774")</f>
        <v>HH0774</v>
      </c>
      <c r="G1255" s="87" t="str">
        <f>IFERROR(__xludf.DUMMYFUNCTION("""COMPUTED_VALUE"""),"GC - IV - 774 - VTNN Xuân Sơn - Mekongvil 5SC- 1L - 20")</f>
        <v>GC - IV - 774 - VTNN Xuân Sơn - Mekongvil 5SC- 1L - 20</v>
      </c>
    </row>
    <row r="1256">
      <c r="A1256" s="86">
        <f>IFERROR(__xludf.DUMMYFUNCTION("""COMPUTED_VALUE"""),1254.0)</f>
        <v>1254</v>
      </c>
      <c r="B1256" s="87" t="str">
        <f>IFERROR(__xludf.DUMMYFUNCTION("""COMPUTED_VALUE"""),"Nhãn")</f>
        <v>Nhãn</v>
      </c>
      <c r="C1256" s="87" t="str">
        <f>IFERROR(__xludf.DUMMYFUNCTION("""COMPUTED_VALUE"""),"NHG0775")</f>
        <v>NHG0775</v>
      </c>
      <c r="D1256" s="87" t="str">
        <f>IFERROR(__xludf.DUMMYFUNCTION("""COMPUTED_VALUE"""),"[Nhãn] LOT IDA Global - I - ĐL Bảo Hiền - 775 - Tika Thái (Pet tròn) - 450ml - 40")</f>
        <v>[Nhãn] LOT IDA Global - I - ĐL Bảo Hiền - 775 - Tika Thái (Pet tròn) - 450ml - 40</v>
      </c>
      <c r="E1256" s="87" t="str">
        <f>IFERROR(__xludf.DUMMYFUNCTION("""COMPUTED_VALUE"""),"Tikabamec 3.6EC")</f>
        <v>Tikabamec 3.6EC</v>
      </c>
      <c r="F1256" s="87" t="str">
        <f>IFERROR(__xludf.DUMMYFUNCTION("""COMPUTED_VALUE"""),"HH0775")</f>
        <v>HH0775</v>
      </c>
      <c r="G1256" s="87" t="str">
        <f>IFERROR(__xludf.DUMMYFUNCTION("""COMPUTED_VALUE"""),"LOT IDA Global - I - ĐL Bảo Hiền - 775 - Tika Thái (Pet tròn) - 450ml - 40")</f>
        <v>LOT IDA Global - I - ĐL Bảo Hiền - 775 - Tika Thái (Pet tròn) - 450ml - 40</v>
      </c>
    </row>
    <row r="1257">
      <c r="A1257" s="86">
        <f>IFERROR(__xludf.DUMMYFUNCTION("""COMPUTED_VALUE"""),1255.0)</f>
        <v>1255</v>
      </c>
      <c r="B1257" s="87" t="str">
        <f>IFERROR(__xludf.DUMMYFUNCTION("""COMPUTED_VALUE"""),"Nhãn thùng")</f>
        <v>Nhãn thùng</v>
      </c>
      <c r="C1257" s="87" t="str">
        <f>IFERROR(__xludf.DUMMYFUNCTION("""COMPUTED_VALUE"""),"NDT0775")</f>
        <v>NDT0775</v>
      </c>
      <c r="D1257" s="87" t="str">
        <f>IFERROR(__xludf.DUMMYFUNCTION("""COMPUTED_VALUE"""),"[Nhãn thùng] LOT IDA Global - I - ĐL Bảo Hiền - 775 - Tika Thái (Pet tròn) - 450ml - 40")</f>
        <v>[Nhãn thùng] LOT IDA Global - I - ĐL Bảo Hiền - 775 - Tika Thái (Pet tròn) - 450ml - 40</v>
      </c>
      <c r="E1257" s="87" t="str">
        <f>IFERROR(__xludf.DUMMYFUNCTION("""COMPUTED_VALUE"""),"Tikabamec 3.6EC")</f>
        <v>Tikabamec 3.6EC</v>
      </c>
      <c r="F1257" s="87" t="str">
        <f>IFERROR(__xludf.DUMMYFUNCTION("""COMPUTED_VALUE"""),"HH0775")</f>
        <v>HH0775</v>
      </c>
      <c r="G1257" s="87" t="str">
        <f>IFERROR(__xludf.DUMMYFUNCTION("""COMPUTED_VALUE"""),"LOT IDA Global - I - ĐL Bảo Hiền - 775 - Tika Thái (Pet tròn) - 450ml - 40")</f>
        <v>LOT IDA Global - I - ĐL Bảo Hiền - 775 - Tika Thái (Pet tròn) - 450ml - 40</v>
      </c>
    </row>
    <row r="1258">
      <c r="A1258" s="86">
        <f>IFERROR(__xludf.DUMMYFUNCTION("""COMPUTED_VALUE"""),1256.0)</f>
        <v>1256</v>
      </c>
      <c r="B1258" s="87" t="str">
        <f>IFERROR(__xludf.DUMMYFUNCTION("""COMPUTED_VALUE"""),"Nhãn")</f>
        <v>Nhãn</v>
      </c>
      <c r="C1258" s="87" t="str">
        <f>IFERROR(__xludf.DUMMYFUNCTION("""COMPUTED_VALUE"""),"NHD0776")</f>
        <v>NHD0776</v>
      </c>
      <c r="D1258" s="87" t="str">
        <f>IFERROR(__xludf.DUMMYFUNCTION("""COMPUTED_VALUE"""),"[Nhãn] LOT IDA Global - I - 776 - ĐL Minh - Cháy cỏ X7 (chai PET vuông) - 800ml- 20")</f>
        <v>[Nhãn] LOT IDA Global - I - 776 - ĐL Minh - Cháy cỏ X7 (chai PET vuông) - 800ml- 20</v>
      </c>
      <c r="E1258" s="87" t="str">
        <f>IFERROR(__xludf.DUMMYFUNCTION("""COMPUTED_VALUE"""),"COCHAY 200SL")</f>
        <v>COCHAY 200SL</v>
      </c>
      <c r="F1258" s="87" t="str">
        <f>IFERROR(__xludf.DUMMYFUNCTION("""COMPUTED_VALUE"""),"HH0776")</f>
        <v>HH0776</v>
      </c>
      <c r="G1258" s="87" t="str">
        <f>IFERROR(__xludf.DUMMYFUNCTION("""COMPUTED_VALUE"""),"LOT IDA Global - I - 776 - ĐL Minh - Cháy cỏ X7 (chai PET vuông) - 800ml- 20")</f>
        <v>LOT IDA Global - I - 776 - ĐL Minh - Cháy cỏ X7 (chai PET vuông) - 800ml- 20</v>
      </c>
    </row>
    <row r="1259">
      <c r="A1259" s="86">
        <f>IFERROR(__xludf.DUMMYFUNCTION("""COMPUTED_VALUE"""),1257.0)</f>
        <v>1257</v>
      </c>
      <c r="B1259" s="87" t="str">
        <f>IFERROR(__xludf.DUMMYFUNCTION("""COMPUTED_VALUE"""),"Nhãn")</f>
        <v>Nhãn</v>
      </c>
      <c r="C1259" s="87" t="str">
        <f>IFERROR(__xludf.DUMMYFUNCTION("""COMPUTED_VALUE"""),"NTN0777")</f>
        <v>NTN0777</v>
      </c>
      <c r="D1259" s="87" t="str">
        <f>IFERROR(__xludf.DUMMYFUNCTION("""COMPUTED_VALUE"""),"[Nhãn] IDA Global - I - ĐL Minh Nga - 777 - Winner - 50gr - 300")</f>
        <v>[Nhãn] IDA Global - I - ĐL Minh Nga - 777 - Winner - 50gr - 300</v>
      </c>
      <c r="E1259" s="87" t="str">
        <f>IFERROR(__xludf.DUMMYFUNCTION("""COMPUTED_VALUE"""),"Hỗn hợp NPK BASEL NPK 7-5-44 IDA 45")</f>
        <v>Hỗn hợp NPK BASEL NPK 7-5-44 IDA 45</v>
      </c>
      <c r="F1259" s="87" t="str">
        <f>IFERROR(__xludf.DUMMYFUNCTION("""COMPUTED_VALUE"""),"HH0777")</f>
        <v>HH0777</v>
      </c>
      <c r="G1259" s="87" t="str">
        <f>IFERROR(__xludf.DUMMYFUNCTION("""COMPUTED_VALUE"""),"IDA Global - I - ĐL Minh Nga - 777 - Winner - 50gr - 300")</f>
        <v>IDA Global - I - ĐL Minh Nga - 777 - Winner - 50gr - 300</v>
      </c>
    </row>
    <row r="1260">
      <c r="A1260" s="86">
        <f>IFERROR(__xludf.DUMMYFUNCTION("""COMPUTED_VALUE"""),1258.0)</f>
        <v>1258</v>
      </c>
      <c r="B1260" s="87" t="str">
        <f>IFERROR(__xludf.DUMMYFUNCTION("""COMPUTED_VALUE"""),"Nhãn")</f>
        <v>Nhãn</v>
      </c>
      <c r="C1260" s="87" t="str">
        <f>IFERROR(__xludf.DUMMYFUNCTION("""COMPUTED_VALUE"""),"NTN0778")</f>
        <v>NTN0778</v>
      </c>
      <c r="D1260" s="87" t="str">
        <f>IFERROR(__xludf.DUMMYFUNCTION("""COMPUTED_VALUE"""),"[Nhãn] IDA GLOBAL - I - 778 - ĐL Minh Nga - Flower Top - 50ml - 300")</f>
        <v>[Nhãn] IDA GLOBAL - I - 778 - ĐL Minh Nga - Flower Top - 50ml - 300</v>
      </c>
      <c r="E1260" s="87" t="str">
        <f>IFERROR(__xludf.DUMMYFUNCTION("""COMPUTED_VALUE"""),"Vi lượng Basel IDA 47")</f>
        <v>Vi lượng Basel IDA 47</v>
      </c>
      <c r="F1260" s="87" t="str">
        <f>IFERROR(__xludf.DUMMYFUNCTION("""COMPUTED_VALUE"""),"HH0778")</f>
        <v>HH0778</v>
      </c>
      <c r="G1260" s="87" t="str">
        <f>IFERROR(__xludf.DUMMYFUNCTION("""COMPUTED_VALUE"""),"IDA GLOBAL - I - 778 - ĐL Minh Nga - Flower Top - 50ml - 300")</f>
        <v>IDA GLOBAL - I - 778 - ĐL Minh Nga - Flower Top - 50ml - 300</v>
      </c>
    </row>
    <row r="1261">
      <c r="A1261" s="86">
        <f>IFERROR(__xludf.DUMMYFUNCTION("""COMPUTED_VALUE"""),1259.0)</f>
        <v>1259</v>
      </c>
      <c r="B1261" s="87" t="str">
        <f>IFERROR(__xludf.DUMMYFUNCTION("""COMPUTED_VALUE"""),"Nhãn")</f>
        <v>Nhãn</v>
      </c>
      <c r="C1261" s="87" t="str">
        <f>IFERROR(__xludf.DUMMYFUNCTION("""COMPUTED_VALUE"""),"NTN0779")</f>
        <v>NTN0779</v>
      </c>
      <c r="D1261" s="87" t="str">
        <f>IFERROR(__xludf.DUMMYFUNCTION("""COMPUTED_VALUE"""),"[Nhãn] LOT IDA Global - I - 779 - ĐL Minh Nga - TVZEB 800WP - 1kg - 20")</f>
        <v>[Nhãn] LOT IDA Global - I - 779 - ĐL Minh Nga - TVZEB 800WP - 1kg - 20</v>
      </c>
      <c r="E1261" s="87" t="str">
        <f>IFERROR(__xludf.DUMMYFUNCTION("""COMPUTED_VALUE"""),"TVZEB 800WP")</f>
        <v>TVZEB 800WP</v>
      </c>
      <c r="F1261" s="87" t="str">
        <f>IFERROR(__xludf.DUMMYFUNCTION("""COMPUTED_VALUE"""),"HH0779")</f>
        <v>HH0779</v>
      </c>
      <c r="G1261" s="87" t="str">
        <f>IFERROR(__xludf.DUMMYFUNCTION("""COMPUTED_VALUE"""),"LOT IDA Global - I - 779 - ĐL Minh Nga - TVZEB 800WP - 1kg - 20")</f>
        <v>LOT IDA Global - I - 779 - ĐL Minh Nga - TVZEB 800WP - 1kg - 20</v>
      </c>
    </row>
    <row r="1262">
      <c r="A1262" s="86">
        <f>IFERROR(__xludf.DUMMYFUNCTION("""COMPUTED_VALUE"""),1260.0)</f>
        <v>1260</v>
      </c>
      <c r="B1262" s="87" t="str">
        <f>IFERROR(__xludf.DUMMYFUNCTION("""COMPUTED_VALUE"""),"Nhãn thùng")</f>
        <v>Nhãn thùng</v>
      </c>
      <c r="C1262" s="87" t="str">
        <f>IFERROR(__xludf.DUMMYFUNCTION("""COMPUTED_VALUE"""),"NDT0779")</f>
        <v>NDT0779</v>
      </c>
      <c r="D1262" s="87" t="str">
        <f>IFERROR(__xludf.DUMMYFUNCTION("""COMPUTED_VALUE"""),"[Nhãn thùng] LOT IDA Global - I - 779 - ĐL Minh Nga - TVZEB 800WP - 1kg - 20")</f>
        <v>[Nhãn thùng] LOT IDA Global - I - 779 - ĐL Minh Nga - TVZEB 800WP - 1kg - 20</v>
      </c>
      <c r="E1262" s="87" t="str">
        <f>IFERROR(__xludf.DUMMYFUNCTION("""COMPUTED_VALUE"""),"TVZEB 800WP")</f>
        <v>TVZEB 800WP</v>
      </c>
      <c r="F1262" s="87" t="str">
        <f>IFERROR(__xludf.DUMMYFUNCTION("""COMPUTED_VALUE"""),"HH0779")</f>
        <v>HH0779</v>
      </c>
      <c r="G1262" s="87" t="str">
        <f>IFERROR(__xludf.DUMMYFUNCTION("""COMPUTED_VALUE"""),"LOT IDA Global - I - 779 - ĐL Minh Nga - TVZEB 800WP - 1kg - 20")</f>
        <v>LOT IDA Global - I - 779 - ĐL Minh Nga - TVZEB 800WP - 1kg - 20</v>
      </c>
    </row>
    <row r="1263">
      <c r="A1263" s="86">
        <f>IFERROR(__xludf.DUMMYFUNCTION("""COMPUTED_VALUE"""),1261.0)</f>
        <v>1261</v>
      </c>
      <c r="B1263" s="87" t="str">
        <f>IFERROR(__xludf.DUMMYFUNCTION("""COMPUTED_VALUE"""),"Nhãn")</f>
        <v>Nhãn</v>
      </c>
      <c r="C1263" s="87" t="str">
        <f>IFERROR(__xludf.DUMMYFUNCTION("""COMPUTED_VALUE"""),"NTN0779.1")</f>
        <v>NTN0779.1</v>
      </c>
      <c r="D1263" s="87" t="str">
        <f>IFERROR(__xludf.DUMMYFUNCTION("""COMPUTED_VALUE"""),"[Nhãn] LOT IDA Global - I - 779.1 - TVZEB 800WP - 1kg - 20")</f>
        <v>[Nhãn] LOT IDA Global - I - 779.1 - TVZEB 800WP - 1kg - 20</v>
      </c>
      <c r="E1263" s="87" t="str">
        <f>IFERROR(__xludf.DUMMYFUNCTION("""COMPUTED_VALUE"""),"TVZEB 800WP")</f>
        <v>TVZEB 800WP</v>
      </c>
      <c r="F1263" s="87" t="str">
        <f>IFERROR(__xludf.DUMMYFUNCTION("""COMPUTED_VALUE"""),"HH79.1")</f>
        <v>HH79.1</v>
      </c>
      <c r="G1263" s="87" t="str">
        <f>IFERROR(__xludf.DUMMYFUNCTION("""COMPUTED_VALUE"""),"LOT IDA Global - I - 779.1 - TVZEB 800WP - 1kg - 20")</f>
        <v>LOT IDA Global - I - 779.1 - TVZEB 800WP - 1kg - 20</v>
      </c>
    </row>
    <row r="1264">
      <c r="A1264" s="86">
        <f>IFERROR(__xludf.DUMMYFUNCTION("""COMPUTED_VALUE"""),1262.0)</f>
        <v>1262</v>
      </c>
      <c r="B1264" s="87" t="str">
        <f>IFERROR(__xludf.DUMMYFUNCTION("""COMPUTED_VALUE"""),"Nhãn")</f>
        <v>Nhãn</v>
      </c>
      <c r="C1264" s="87" t="str">
        <f>IFERROR(__xludf.DUMMYFUNCTION("""COMPUTED_VALUE"""),"NHG0781")</f>
        <v>NHG0781</v>
      </c>
      <c r="D1264" s="87" t="str">
        <f>IFERROR(__xludf.DUMMYFUNCTION("""COMPUTED_VALUE"""),"[Nhãn] GC - II - 781 - Nông Lâm Hoà Phát - Emamex 1.9 (PET tròn) - 450ml - 40")</f>
        <v>[Nhãn] GC - II - 781 - Nông Lâm Hoà Phát - Emamex 1.9 (PET tròn) - 450ml - 40</v>
      </c>
      <c r="E1264" s="87" t="str">
        <f>IFERROR(__xludf.DUMMYFUNCTION("""COMPUTED_VALUE"""),"Remy 19EC")</f>
        <v>Remy 19EC</v>
      </c>
      <c r="F1264" s="87" t="str">
        <f>IFERROR(__xludf.DUMMYFUNCTION("""COMPUTED_VALUE"""),"HH0781")</f>
        <v>HH0781</v>
      </c>
      <c r="G1264" s="87" t="str">
        <f>IFERROR(__xludf.DUMMYFUNCTION("""COMPUTED_VALUE"""),"GC - II - 781 - Nông Lâm Hoà Phát - Emamex 1.9 (PET tròn) - 450ml - 40")</f>
        <v>GC - II - 781 - Nông Lâm Hoà Phát - Emamex 1.9 (PET tròn) - 450ml - 40</v>
      </c>
    </row>
    <row r="1265">
      <c r="A1265" s="86">
        <f>IFERROR(__xludf.DUMMYFUNCTION("""COMPUTED_VALUE"""),1263.0)</f>
        <v>1263</v>
      </c>
      <c r="B1265" s="87" t="str">
        <f>IFERROR(__xludf.DUMMYFUNCTION("""COMPUTED_VALUE"""),"Nhãn")</f>
        <v>Nhãn</v>
      </c>
      <c r="C1265" s="87" t="str">
        <f>IFERROR(__xludf.DUMMYFUNCTION("""COMPUTED_VALUE"""),"NHG0782")</f>
        <v>NHG0782</v>
      </c>
      <c r="D1265" s="87" t="str">
        <f>IFERROR(__xludf.DUMMYFUNCTION("""COMPUTED_VALUE"""),"[Nhãn] LOT IDA Global - I - ĐL Hai Nhóm - 782 - Tikabamec 3.6EC (Pet tròn) (nước đục)- 450ml - 40")</f>
        <v>[Nhãn] LOT IDA Global - I - ĐL Hai Nhóm - 782 - Tikabamec 3.6EC (Pet tròn) (nước đục)- 450ml - 40</v>
      </c>
      <c r="E1265" s="87" t="str">
        <f>IFERROR(__xludf.DUMMYFUNCTION("""COMPUTED_VALUE"""),"Tikabamec 3.6EC")</f>
        <v>Tikabamec 3.6EC</v>
      </c>
      <c r="F1265" s="87" t="str">
        <f>IFERROR(__xludf.DUMMYFUNCTION("""COMPUTED_VALUE"""),"HH0782")</f>
        <v>HH0782</v>
      </c>
      <c r="G1265" s="87" t="str">
        <f>IFERROR(__xludf.DUMMYFUNCTION("""COMPUTED_VALUE"""),"LOT IDA Global - I - ĐL Hai Nhóm - 782 - Tikabamec 3.6EC (Pet tròn) (nước đục)- 450ml - 40")</f>
        <v>LOT IDA Global - I - ĐL Hai Nhóm - 782 - Tikabamec 3.6EC (Pet tròn) (nước đục)- 450ml - 40</v>
      </c>
    </row>
    <row r="1266">
      <c r="A1266" s="86">
        <f>IFERROR(__xludf.DUMMYFUNCTION("""COMPUTED_VALUE"""),1264.0)</f>
        <v>1264</v>
      </c>
      <c r="B1266" s="87" t="str">
        <f>IFERROR(__xludf.DUMMYFUNCTION("""COMPUTED_VALUE"""),"Nhãn")</f>
        <v>Nhãn</v>
      </c>
      <c r="C1266" s="87" t="str">
        <f>IFERROR(__xludf.DUMMYFUNCTION("""COMPUTED_VALUE"""),"NHD0785")</f>
        <v>NHD0785</v>
      </c>
      <c r="D1266" s="87" t="str">
        <f>IFERROR(__xludf.DUMMYFUNCTION("""COMPUTED_VALUE"""),"[Nhãn] GC - I - 785 - CT Tây Nguyên - Tikabamec 3.6EC (PET vuông) - 450ml - 40")</f>
        <v>[Nhãn] GC - I - 785 - CT Tây Nguyên - Tikabamec 3.6EC (PET vuông) - 450ml - 40</v>
      </c>
      <c r="E1266" s="87" t="str">
        <f>IFERROR(__xludf.DUMMYFUNCTION("""COMPUTED_VALUE"""),"Tikabamec 3.6EC")</f>
        <v>Tikabamec 3.6EC</v>
      </c>
      <c r="F1266" s="87" t="str">
        <f>IFERROR(__xludf.DUMMYFUNCTION("""COMPUTED_VALUE"""),"HH0785")</f>
        <v>HH0785</v>
      </c>
      <c r="G1266" s="87" t="str">
        <f>IFERROR(__xludf.DUMMYFUNCTION("""COMPUTED_VALUE"""),"GC - I - 785 - CT Tây Nguyên - Tikabamec 3.6EC (PET vuông) - 450ml - 40")</f>
        <v>GC - I - 785 - CT Tây Nguyên - Tikabamec 3.6EC (PET vuông) - 450ml - 40</v>
      </c>
    </row>
    <row r="1267">
      <c r="A1267" s="86">
        <f>IFERROR(__xludf.DUMMYFUNCTION("""COMPUTED_VALUE"""),1265.0)</f>
        <v>1265</v>
      </c>
      <c r="B1267" s="87" t="str">
        <f>IFERROR(__xludf.DUMMYFUNCTION("""COMPUTED_VALUE"""),"Nhãn")</f>
        <v>Nhãn</v>
      </c>
      <c r="C1267" s="87" t="str">
        <f>IFERROR(__xludf.DUMMYFUNCTION("""COMPUTED_VALUE"""),"NTN0786")</f>
        <v>NTN0786</v>
      </c>
      <c r="D1267" s="87" t="str">
        <f>IFERROR(__xludf.DUMMYFUNCTION("""COMPUTED_VALUE"""),"[Nhãn] GC - IV - 786 - ĐL Thái Hoàng - Én Đỏ (túi nhôm) - 60gr - 120")</f>
        <v>[Nhãn] GC - IV - 786 - ĐL Thái Hoàng - Én Đỏ (túi nhôm) - 60gr - 120</v>
      </c>
      <c r="E1267" s="87" t="str">
        <f>IFERROR(__xludf.DUMMYFUNCTION("""COMPUTED_VALUE"""),"SHA CHONG JING 95WP")</f>
        <v>SHA CHONG JING 95WP</v>
      </c>
      <c r="F1267" s="87" t="str">
        <f>IFERROR(__xludf.DUMMYFUNCTION("""COMPUTED_VALUE"""),"HH0786")</f>
        <v>HH0786</v>
      </c>
      <c r="G1267" s="87" t="str">
        <f>IFERROR(__xludf.DUMMYFUNCTION("""COMPUTED_VALUE"""),"GC - IV - 786 - ĐL Thái Hoàng - Én Đỏ (túi nhôm) - 60gr - 120")</f>
        <v>GC - IV - 786 - ĐL Thái Hoàng - Én Đỏ (túi nhôm) - 60gr - 120</v>
      </c>
    </row>
    <row r="1268">
      <c r="A1268" s="86">
        <f>IFERROR(__xludf.DUMMYFUNCTION("""COMPUTED_VALUE"""),1266.0)</f>
        <v>1266</v>
      </c>
      <c r="B1268" s="87" t="str">
        <f>IFERROR(__xludf.DUMMYFUNCTION("""COMPUTED_VALUE"""),"Nhãn")</f>
        <v>Nhãn</v>
      </c>
      <c r="C1268" s="87" t="str">
        <f>IFERROR(__xludf.DUMMYFUNCTION("""COMPUTED_VALUE"""),"NTN0787")</f>
        <v>NTN0787</v>
      </c>
      <c r="D1268" s="87" t="str">
        <f>IFERROR(__xludf.DUMMYFUNCTION("""COMPUTED_VALUE"""),"[Nhãn] GC - IV - 787 - ĐL Thái Hoàng - Đầu Gà (túi nhôm) - 80gr - 150")</f>
        <v>[Nhãn] GC - IV - 787 - ĐL Thái Hoàng - Đầu Gà (túi nhôm) - 80gr - 150</v>
      </c>
      <c r="E1268" s="87" t="str">
        <f>IFERROR(__xludf.DUMMYFUNCTION("""COMPUTED_VALUE"""),"SHA CHONG JING 95WP")</f>
        <v>SHA CHONG JING 95WP</v>
      </c>
      <c r="F1268" s="87" t="str">
        <f>IFERROR(__xludf.DUMMYFUNCTION("""COMPUTED_VALUE"""),"HH0787")</f>
        <v>HH0787</v>
      </c>
      <c r="G1268" s="87" t="str">
        <f>IFERROR(__xludf.DUMMYFUNCTION("""COMPUTED_VALUE"""),"GC - IV - 787 - ĐL Thái Hoàng - Đầu Gà (túi nhôm) - 80gr - 150")</f>
        <v>GC - IV - 787 - ĐL Thái Hoàng - Đầu Gà (túi nhôm) - 80gr - 150</v>
      </c>
    </row>
    <row r="1269">
      <c r="A1269" s="86">
        <f>IFERROR(__xludf.DUMMYFUNCTION("""COMPUTED_VALUE"""),1267.0)</f>
        <v>1267</v>
      </c>
      <c r="B1269" s="87" t="str">
        <f>IFERROR(__xludf.DUMMYFUNCTION("""COMPUTED_VALUE"""),"Nhãn")</f>
        <v>Nhãn</v>
      </c>
      <c r="C1269" s="87" t="str">
        <f>IFERROR(__xludf.DUMMYFUNCTION("""COMPUTED_VALUE"""),"NHD0789")</f>
        <v>NHD0789</v>
      </c>
      <c r="D1269" s="87" t="str">
        <f>IFERROR(__xludf.DUMMYFUNCTION("""COMPUTED_VALUE"""),"[Nhãn] LOT IDA Global - I - 789 - ĐL Minh - Cháy cỏ X7 (chai PET vuông) - 900ml- 20")</f>
        <v>[Nhãn] LOT IDA Global - I - 789 - ĐL Minh - Cháy cỏ X7 (chai PET vuông) - 900ml- 20</v>
      </c>
      <c r="E1269" s="87" t="str">
        <f>IFERROR(__xludf.DUMMYFUNCTION("""COMPUTED_VALUE"""),"COCHAY 200SL")</f>
        <v>COCHAY 200SL</v>
      </c>
      <c r="F1269" s="87" t="str">
        <f>IFERROR(__xludf.DUMMYFUNCTION("""COMPUTED_VALUE"""),"HH0789")</f>
        <v>HH0789</v>
      </c>
      <c r="G1269" s="87" t="str">
        <f>IFERROR(__xludf.DUMMYFUNCTION("""COMPUTED_VALUE"""),"LOT IDA Global - I - 789 - ĐL Minh - Cháy cỏ X7 (chai PET vuông) - 900ml- 20")</f>
        <v>LOT IDA Global - I - 789 - ĐL Minh - Cháy cỏ X7 (chai PET vuông) - 900ml- 20</v>
      </c>
    </row>
    <row r="1270">
      <c r="A1270" s="86">
        <f>IFERROR(__xludf.DUMMYFUNCTION("""COMPUTED_VALUE"""),1268.0)</f>
        <v>1268</v>
      </c>
      <c r="B1270" s="87" t="str">
        <f>IFERROR(__xludf.DUMMYFUNCTION("""COMPUTED_VALUE"""),"Nhãn")</f>
        <v>Nhãn</v>
      </c>
      <c r="C1270" s="87" t="str">
        <f>IFERROR(__xludf.DUMMYFUNCTION("""COMPUTED_VALUE"""),"NHG0790")</f>
        <v>NHG0790</v>
      </c>
      <c r="D1270" s="87" t="str">
        <f>IFERROR(__xludf.DUMMYFUNCTION("""COMPUTED_VALUE"""),"[Nhãn] IDA Global - I - 790 - ĐL Hoàng Hoa - Picosuper 280SC (chai Pape) - 250ml - 40")</f>
        <v>[Nhãn] IDA Global - I - 790 - ĐL Hoàng Hoa - Picosuper 280SC (chai Pape) - 250ml - 40</v>
      </c>
      <c r="E1270" s="87" t="str">
        <f>IFERROR(__xludf.DUMMYFUNCTION("""COMPUTED_VALUE"""),"PICOSUPER 280SC")</f>
        <v>PICOSUPER 280SC</v>
      </c>
      <c r="F1270" s="87" t="str">
        <f>IFERROR(__xludf.DUMMYFUNCTION("""COMPUTED_VALUE"""),"HH0790")</f>
        <v>HH0790</v>
      </c>
      <c r="G1270" s="87" t="str">
        <f>IFERROR(__xludf.DUMMYFUNCTION("""COMPUTED_VALUE"""),"IDA Global - I - 790 - ĐL Hoàng Hoa - Picosuper 280SC (chai Pape) - 250ml - 40")</f>
        <v>IDA Global - I - 790 - ĐL Hoàng Hoa - Picosuper 280SC (chai Pape) - 250ml - 40</v>
      </c>
    </row>
    <row r="1271">
      <c r="A1271" s="86">
        <f>IFERROR(__xludf.DUMMYFUNCTION("""COMPUTED_VALUE"""),1269.0)</f>
        <v>1269</v>
      </c>
      <c r="B1271" s="87" t="str">
        <f>IFERROR(__xludf.DUMMYFUNCTION("""COMPUTED_VALUE"""),"Nhãn")</f>
        <v>Nhãn</v>
      </c>
      <c r="C1271" s="87" t="str">
        <f>IFERROR(__xludf.DUMMYFUNCTION("""COMPUTED_VALUE"""),"NHG0791")</f>
        <v>NHG0791</v>
      </c>
      <c r="D1271" s="87" t="str">
        <f>IFERROR(__xludf.DUMMYFUNCTION("""COMPUTED_VALUE"""),"[Nhãn] GC - IV - 791 - Nông Lâm Hoà Phát - HPVIL (Chai HD cc) - 1L - 20")</f>
        <v>[Nhãn] GC - IV - 791 - Nông Lâm Hoà Phát - HPVIL (Chai HD cc) - 1L - 20</v>
      </c>
      <c r="E1271" s="87" t="str">
        <f>IFERROR(__xludf.DUMMYFUNCTION("""COMPUTED_VALUE"""),"Mekongvil 5SC")</f>
        <v>Mekongvil 5SC</v>
      </c>
      <c r="F1271" s="87" t="str">
        <f>IFERROR(__xludf.DUMMYFUNCTION("""COMPUTED_VALUE"""),"HH0791")</f>
        <v>HH0791</v>
      </c>
      <c r="G1271" s="87" t="str">
        <f>IFERROR(__xludf.DUMMYFUNCTION("""COMPUTED_VALUE"""),"GC - IV - 791 - Nông Lâm Hoà Phát - HPVIL (Chai HD cc) - 1L - 20")</f>
        <v>GC - IV - 791 - Nông Lâm Hoà Phát - HPVIL (Chai HD cc) - 1L - 20</v>
      </c>
    </row>
    <row r="1272">
      <c r="A1272" s="86">
        <f>IFERROR(__xludf.DUMMYFUNCTION("""COMPUTED_VALUE"""),1270.0)</f>
        <v>1270</v>
      </c>
      <c r="B1272" s="87" t="str">
        <f>IFERROR(__xludf.DUMMYFUNCTION("""COMPUTED_VALUE"""),"Nhãn")</f>
        <v>Nhãn</v>
      </c>
      <c r="C1272" s="87" t="str">
        <f>IFERROR(__xludf.DUMMYFUNCTION("""COMPUTED_VALUE"""),"NHG0792")</f>
        <v>NHG0792</v>
      </c>
      <c r="D1272" s="87" t="str">
        <f>IFERROR(__xludf.DUMMYFUNCTION("""COMPUTED_VALUE"""),"[Nhãn] GC - IV - 792 - Agritech - Hexavil (chai HD) - 1L - 20")</f>
        <v>[Nhãn] GC - IV - 792 - Agritech - Hexavil (chai HD) - 1L - 20</v>
      </c>
      <c r="E1272" s="87" t="str">
        <f>IFERROR(__xludf.DUMMYFUNCTION("""COMPUTED_VALUE"""),"Mekongvil 5SC")</f>
        <v>Mekongvil 5SC</v>
      </c>
      <c r="F1272" s="87" t="str">
        <f>IFERROR(__xludf.DUMMYFUNCTION("""COMPUTED_VALUE"""),"HH0792")</f>
        <v>HH0792</v>
      </c>
      <c r="G1272" s="87" t="str">
        <f>IFERROR(__xludf.DUMMYFUNCTION("""COMPUTED_VALUE"""),"GC - IV - 792 - Agritech - Hexavil (chai HD) - 1L - 20")</f>
        <v>GC - IV - 792 - Agritech - Hexavil (chai HD) - 1L - 20</v>
      </c>
    </row>
    <row r="1273">
      <c r="A1273" s="86">
        <f>IFERROR(__xludf.DUMMYFUNCTION("""COMPUTED_VALUE"""),1271.0)</f>
        <v>1271</v>
      </c>
      <c r="B1273" s="87" t="str">
        <f>IFERROR(__xludf.DUMMYFUNCTION("""COMPUTED_VALUE"""),"Nhãn")</f>
        <v>Nhãn</v>
      </c>
      <c r="C1273" s="87" t="str">
        <f>IFERROR(__xludf.DUMMYFUNCTION("""COMPUTED_VALUE"""),"NHG0793")</f>
        <v>NHG0793</v>
      </c>
      <c r="D1273" s="87" t="str">
        <f>IFERROR(__xludf.DUMMYFUNCTION("""COMPUTED_VALUE"""),"[Nhãn] GC - IV - 793 - AU - Kamycinjapane 20SL - 450ml - 40")</f>
        <v>[Nhãn] GC - IV - 793 - AU - Kamycinjapane 20SL - 450ml - 40</v>
      </c>
      <c r="E1273" s="87" t="str">
        <f>IFERROR(__xludf.DUMMYFUNCTION("""COMPUTED_VALUE"""),"Kamycinjapane 20SL")</f>
        <v>Kamycinjapane 20SL</v>
      </c>
      <c r="F1273" s="87" t="str">
        <f>IFERROR(__xludf.DUMMYFUNCTION("""COMPUTED_VALUE"""),"HH0793")</f>
        <v>HH0793</v>
      </c>
      <c r="G1273" s="87" t="str">
        <f>IFERROR(__xludf.DUMMYFUNCTION("""COMPUTED_VALUE"""),"GC - IV - 793 - AU - Kamycinjapane 20SL - 450ml - 40")</f>
        <v>GC - IV - 793 - AU - Kamycinjapane 20SL - 450ml - 40</v>
      </c>
    </row>
    <row r="1274">
      <c r="A1274" s="86">
        <f>IFERROR(__xludf.DUMMYFUNCTION("""COMPUTED_VALUE"""),1272.0)</f>
        <v>1272</v>
      </c>
      <c r="B1274" s="87" t="str">
        <f>IFERROR(__xludf.DUMMYFUNCTION("""COMPUTED_VALUE"""),"Nhãn")</f>
        <v>Nhãn</v>
      </c>
      <c r="C1274" s="87" t="str">
        <f>IFERROR(__xludf.DUMMYFUNCTION("""COMPUTED_VALUE"""),"NTN0794")</f>
        <v>NTN0794</v>
      </c>
      <c r="D1274" s="87" t="str">
        <f>IFERROR(__xludf.DUMMYFUNCTION("""COMPUTED_VALUE"""),"[Nhãn] GC - IV - 794 - AU - Mancozeb Xanh - 1 kg - 20")</f>
        <v>[Nhãn] GC - IV - 794 - AU - Mancozeb Xanh - 1 kg - 20</v>
      </c>
      <c r="E1274" s="87" t="str">
        <f>IFERROR(__xludf.DUMMYFUNCTION("""COMPUTED_VALUE"""),"TVZEB 800WP")</f>
        <v>TVZEB 800WP</v>
      </c>
      <c r="F1274" s="87" t="str">
        <f>IFERROR(__xludf.DUMMYFUNCTION("""COMPUTED_VALUE"""),"HH0794")</f>
        <v>HH0794</v>
      </c>
      <c r="G1274" s="87" t="str">
        <f>IFERROR(__xludf.DUMMYFUNCTION("""COMPUTED_VALUE"""),"GC - IV - 794 - AU - Mancozeb Xanh - 1 kg - 20")</f>
        <v>GC - IV - 794 - AU - Mancozeb Xanh - 1 kg - 20</v>
      </c>
    </row>
    <row r="1275">
      <c r="A1275" s="86">
        <f>IFERROR(__xludf.DUMMYFUNCTION("""COMPUTED_VALUE"""),1273.0)</f>
        <v>1273</v>
      </c>
      <c r="B1275" s="87" t="str">
        <f>IFERROR(__xludf.DUMMYFUNCTION("""COMPUTED_VALUE"""),"Nhãn")</f>
        <v>Nhãn</v>
      </c>
      <c r="C1275" s="87" t="str">
        <f>IFERROR(__xludf.DUMMYFUNCTION("""COMPUTED_VALUE"""),"NHG0795")</f>
        <v>NHG0795</v>
      </c>
      <c r="D1275" s="87" t="str">
        <f>IFERROR(__xludf.DUMMYFUNCTION("""COMPUTED_VALUE"""),"[Nhãn] GC - II - 795 - A Thời GNH - Siêu Vô Gạo (chai HD) - 500ml - 40")</f>
        <v>[Nhãn] GC - II - 795 - A Thời GNH - Siêu Vô Gạo (chai HD) - 500ml - 40</v>
      </c>
      <c r="E1275" s="87" t="str">
        <f>IFERROR(__xludf.DUMMYFUNCTION("""COMPUTED_VALUE"""),"Vi lượng Quantity New")</f>
        <v>Vi lượng Quantity New</v>
      </c>
      <c r="F1275" s="87" t="str">
        <f>IFERROR(__xludf.DUMMYFUNCTION("""COMPUTED_VALUE"""),"HH0795")</f>
        <v>HH0795</v>
      </c>
      <c r="G1275" s="87" t="str">
        <f>IFERROR(__xludf.DUMMYFUNCTION("""COMPUTED_VALUE"""),"GC - II - 795 - A Thời GNH - Siêu Vô Gạo (chai HD) - 500ml - 40")</f>
        <v>GC - II - 795 - A Thời GNH - Siêu Vô Gạo (chai HD) - 500ml - 40</v>
      </c>
    </row>
    <row r="1276">
      <c r="A1276" s="86">
        <f>IFERROR(__xludf.DUMMYFUNCTION("""COMPUTED_VALUE"""),1274.0)</f>
        <v>1274</v>
      </c>
      <c r="B1276" s="87" t="str">
        <f>IFERROR(__xludf.DUMMYFUNCTION("""COMPUTED_VALUE"""),"Nhãn")</f>
        <v>Nhãn</v>
      </c>
      <c r="C1276" s="87" t="str">
        <f>IFERROR(__xludf.DUMMYFUNCTION("""COMPUTED_VALUE"""),"NHG0796")</f>
        <v>NHG0796</v>
      </c>
      <c r="D1276" s="87" t="str">
        <f>IFERROR(__xludf.DUMMYFUNCTION("""COMPUTED_VALUE"""),"[Nhãn] GC - II - 796 - A Thời GNH - Siêu Bung Đọt (chai HD) - 500ml - 40")</f>
        <v>[Nhãn] GC - II - 796 - A Thời GNH - Siêu Bung Đọt (chai HD) - 500ml - 40</v>
      </c>
      <c r="E1276" s="87" t="str">
        <f>IFERROR(__xludf.DUMMYFUNCTION("""COMPUTED_VALUE"""),"Vi lượng Quantity New")</f>
        <v>Vi lượng Quantity New</v>
      </c>
      <c r="F1276" s="87" t="str">
        <f>IFERROR(__xludf.DUMMYFUNCTION("""COMPUTED_VALUE"""),"HH0796")</f>
        <v>HH0796</v>
      </c>
      <c r="G1276" s="87" t="str">
        <f>IFERROR(__xludf.DUMMYFUNCTION("""COMPUTED_VALUE"""),"GC - II - 796 - A Thời GNH - Siêu Bung Đọt (chai HD) - 500ml - 40")</f>
        <v>GC - II - 796 - A Thời GNH - Siêu Bung Đọt (chai HD) - 500ml - 40</v>
      </c>
    </row>
    <row r="1277">
      <c r="A1277" s="86">
        <f>IFERROR(__xludf.DUMMYFUNCTION("""COMPUTED_VALUE"""),1275.0)</f>
        <v>1275</v>
      </c>
      <c r="B1277" s="87" t="str">
        <f>IFERROR(__xludf.DUMMYFUNCTION("""COMPUTED_VALUE"""),"Nhãn")</f>
        <v>Nhãn</v>
      </c>
      <c r="C1277" s="87" t="str">
        <f>IFERROR(__xludf.DUMMYFUNCTION("""COMPUTED_VALUE"""),"NHG0798")</f>
        <v>NHG0798</v>
      </c>
      <c r="D1277" s="87" t="str">
        <f>IFERROR(__xludf.DUMMYFUNCTION("""COMPUTED_VALUE"""),"[Nhãn] GC - II - 798 - AGC - Gvil (Chai HD cc) - 1lit - 20")</f>
        <v>[Nhãn] GC - II - 798 - AGC - Gvil (Chai HD cc) - 1lit - 20</v>
      </c>
      <c r="E1277" s="87" t="str">
        <f>IFERROR(__xludf.DUMMYFUNCTION("""COMPUTED_VALUE"""),"Mekongvil 5SC")</f>
        <v>Mekongvil 5SC</v>
      </c>
      <c r="F1277" s="87" t="str">
        <f>IFERROR(__xludf.DUMMYFUNCTION("""COMPUTED_VALUE"""),"HH0798")</f>
        <v>HH0798</v>
      </c>
      <c r="G1277" s="87" t="str">
        <f>IFERROR(__xludf.DUMMYFUNCTION("""COMPUTED_VALUE"""),"GC - II - 798 - AGC - Gvil (Chai HD cc) - 1lit - 20")</f>
        <v>GC - II - 798 - AGC - Gvil (Chai HD cc) - 1lit - 20</v>
      </c>
    </row>
    <row r="1278">
      <c r="A1278" s="86">
        <f>IFERROR(__xludf.DUMMYFUNCTION("""COMPUTED_VALUE"""),1276.0)</f>
        <v>1276</v>
      </c>
      <c r="B1278" s="87" t="str">
        <f>IFERROR(__xludf.DUMMYFUNCTION("""COMPUTED_VALUE"""),"Nhãn")</f>
        <v>Nhãn</v>
      </c>
      <c r="C1278" s="87" t="str">
        <f>IFERROR(__xludf.DUMMYFUNCTION("""COMPUTED_VALUE"""),"NTN0799")</f>
        <v>NTN0799</v>
      </c>
      <c r="D1278" s="87" t="str">
        <f>IFERROR(__xludf.DUMMYFUNCTION("""COMPUTED_VALUE"""),"[Nhãn] GC - II - 799 - AGC - Man Xanh - 1 kg - 20")</f>
        <v>[Nhãn] GC - II - 799 - AGC - Man Xanh - 1 kg - 20</v>
      </c>
      <c r="E1278" s="87" t="str">
        <f>IFERROR(__xludf.DUMMYFUNCTION("""COMPUTED_VALUE"""),"TVZEB 800WP")</f>
        <v>TVZEB 800WP</v>
      </c>
      <c r="F1278" s="87" t="str">
        <f>IFERROR(__xludf.DUMMYFUNCTION("""COMPUTED_VALUE"""),"HH0799")</f>
        <v>HH0799</v>
      </c>
      <c r="G1278" s="87" t="str">
        <f>IFERROR(__xludf.DUMMYFUNCTION("""COMPUTED_VALUE"""),"GC - II - 799 - AGC - Man Xanh - 1 kg - 20")</f>
        <v>GC - II - 799 - AGC - Man Xanh - 1 kg - 20</v>
      </c>
    </row>
    <row r="1279">
      <c r="A1279" s="86">
        <f>IFERROR(__xludf.DUMMYFUNCTION("""COMPUTED_VALUE"""),1277.0)</f>
        <v>1277</v>
      </c>
      <c r="B1279" s="87" t="str">
        <f>IFERROR(__xludf.DUMMYFUNCTION("""COMPUTED_VALUE"""),"Nhãn thùng")</f>
        <v>Nhãn thùng</v>
      </c>
      <c r="C1279" s="87" t="str">
        <f>IFERROR(__xludf.DUMMYFUNCTION("""COMPUTED_VALUE"""),"NDT0799")</f>
        <v>NDT0799</v>
      </c>
      <c r="D1279" s="87" t="str">
        <f>IFERROR(__xludf.DUMMYFUNCTION("""COMPUTED_VALUE"""),"[Nhãn thùng] GC - II - 799 - AGC - Man Xanh - 1 kg - 20")</f>
        <v>[Nhãn thùng] GC - II - 799 - AGC - Man Xanh - 1 kg - 20</v>
      </c>
      <c r="E1279" s="87" t="str">
        <f>IFERROR(__xludf.DUMMYFUNCTION("""COMPUTED_VALUE"""),"TVZEB 800WP")</f>
        <v>TVZEB 800WP</v>
      </c>
      <c r="F1279" s="87" t="str">
        <f>IFERROR(__xludf.DUMMYFUNCTION("""COMPUTED_VALUE"""),"HH0799")</f>
        <v>HH0799</v>
      </c>
      <c r="G1279" s="87" t="str">
        <f>IFERROR(__xludf.DUMMYFUNCTION("""COMPUTED_VALUE"""),"GC - II - 799 - AGC - Man Xanh - 1 kg - 20")</f>
        <v>GC - II - 799 - AGC - Man Xanh - 1 kg - 20</v>
      </c>
    </row>
    <row r="1280">
      <c r="A1280" s="86">
        <f>IFERROR(__xludf.DUMMYFUNCTION("""COMPUTED_VALUE"""),1278.0)</f>
        <v>1278</v>
      </c>
      <c r="B1280" s="87" t="str">
        <f>IFERROR(__xludf.DUMMYFUNCTION("""COMPUTED_VALUE"""),"Nhãn")</f>
        <v>Nhãn</v>
      </c>
      <c r="C1280" s="87" t="str">
        <f>IFERROR(__xludf.DUMMYFUNCTION("""COMPUTED_VALUE"""),"NTN0800")</f>
        <v>NTN0800</v>
      </c>
      <c r="D1280" s="87" t="str">
        <f>IFERROR(__xludf.DUMMYFUNCTION("""COMPUTED_VALUE"""),"[Nhãn] GC - II - 800 - AGC - Vua Rầy - 100gr - 100")</f>
        <v>[Nhãn] GC - II - 800 - AGC - Vua Rầy - 100gr - 100</v>
      </c>
      <c r="E1280" s="87" t="str">
        <f>IFERROR(__xludf.DUMMYFUNCTION("""COMPUTED_VALUE"""),"IMIPRID 10WP")</f>
        <v>IMIPRID 10WP</v>
      </c>
      <c r="F1280" s="87" t="str">
        <f>IFERROR(__xludf.DUMMYFUNCTION("""COMPUTED_VALUE"""),"HH0800")</f>
        <v>HH0800</v>
      </c>
      <c r="G1280" s="87" t="str">
        <f>IFERROR(__xludf.DUMMYFUNCTION("""COMPUTED_VALUE"""),"GC - II - 800 - AGC - Vua Rầy - 100gr - 100")</f>
        <v>GC - II - 800 - AGC - Vua Rầy - 100gr - 100</v>
      </c>
    </row>
    <row r="1281">
      <c r="A1281" s="86">
        <f>IFERROR(__xludf.DUMMYFUNCTION("""COMPUTED_VALUE"""),1279.0)</f>
        <v>1279</v>
      </c>
      <c r="B1281" s="87" t="str">
        <f>IFERROR(__xludf.DUMMYFUNCTION("""COMPUTED_VALUE"""),"Nhãn")</f>
        <v>Nhãn</v>
      </c>
      <c r="C1281" s="87" t="str">
        <f>IFERROR(__xludf.DUMMYFUNCTION("""COMPUTED_VALUE"""),"NTN0801")</f>
        <v>NTN0801</v>
      </c>
      <c r="D1281" s="87" t="str">
        <f>IFERROR(__xludf.DUMMYFUNCTION("""COMPUTED_VALUE"""),"[Nhãn] GC - II - 801 - Dr.xanh - PANDA 95 - 100gr - 100")</f>
        <v>[Nhãn] GC - II - 801 - Dr.xanh - PANDA 95 - 100gr - 100</v>
      </c>
      <c r="E1281" s="87" t="str">
        <f>IFERROR(__xludf.DUMMYFUNCTION("""COMPUTED_VALUE"""),"SHA CHONG JING 95WP")</f>
        <v>SHA CHONG JING 95WP</v>
      </c>
      <c r="F1281" s="87" t="str">
        <f>IFERROR(__xludf.DUMMYFUNCTION("""COMPUTED_VALUE"""),"HH0801")</f>
        <v>HH0801</v>
      </c>
      <c r="G1281" s="87" t="str">
        <f>IFERROR(__xludf.DUMMYFUNCTION("""COMPUTED_VALUE"""),"GC - II - 801 - Dr.xanh - PANDA 95 - 100gr - 100")</f>
        <v>GC - II - 801 - Dr.xanh - PANDA 95 - 100gr - 100</v>
      </c>
    </row>
    <row r="1282">
      <c r="A1282" s="86">
        <f>IFERROR(__xludf.DUMMYFUNCTION("""COMPUTED_VALUE"""),1280.0)</f>
        <v>1280</v>
      </c>
      <c r="B1282" s="87" t="str">
        <f>IFERROR(__xludf.DUMMYFUNCTION("""COMPUTED_VALUE"""),"Nhãn")</f>
        <v>Nhãn</v>
      </c>
      <c r="C1282" s="87" t="str">
        <f>IFERROR(__xludf.DUMMYFUNCTION("""COMPUTED_VALUE"""),"NDT0801")</f>
        <v>NDT0801</v>
      </c>
      <c r="D1282" s="87" t="str">
        <f>IFERROR(__xludf.DUMMYFUNCTION("""COMPUTED_VALUE"""),"[Nhãn] GC - II - 801 - Dr.xanh - PANDA 95 - 100gr - 100")</f>
        <v>[Nhãn] GC - II - 801 - Dr.xanh - PANDA 95 - 100gr - 100</v>
      </c>
      <c r="E1282" s="87" t="str">
        <f>IFERROR(__xludf.DUMMYFUNCTION("""COMPUTED_VALUE"""),"SHA CHONG JING 95WP")</f>
        <v>SHA CHONG JING 95WP</v>
      </c>
      <c r="F1282" s="87" t="str">
        <f>IFERROR(__xludf.DUMMYFUNCTION("""COMPUTED_VALUE"""),"HH0801")</f>
        <v>HH0801</v>
      </c>
      <c r="G1282" s="87" t="str">
        <f>IFERROR(__xludf.DUMMYFUNCTION("""COMPUTED_VALUE"""),"GC - II - 801 - Dr.xanh - PANDA 95 - 100gr - 100")</f>
        <v>GC - II - 801 - Dr.xanh - PANDA 95 - 100gr - 100</v>
      </c>
    </row>
    <row r="1283">
      <c r="A1283" s="86">
        <f>IFERROR(__xludf.DUMMYFUNCTION("""COMPUTED_VALUE"""),1281.0)</f>
        <v>1281</v>
      </c>
      <c r="B1283" s="87" t="str">
        <f>IFERROR(__xludf.DUMMYFUNCTION("""COMPUTED_VALUE"""),"Nhãn")</f>
        <v>Nhãn</v>
      </c>
      <c r="C1283" s="87" t="str">
        <f>IFERROR(__xludf.DUMMYFUNCTION("""COMPUTED_VALUE"""),"NTN0802")</f>
        <v>NTN0802</v>
      </c>
      <c r="D1283" s="87" t="str">
        <f>IFERROR(__xludf.DUMMYFUNCTION("""COMPUTED_VALUE"""),"[Nhãn] GC - II - 802 - AGC - Siêu Sâu - 100gr - 100")</f>
        <v>[Nhãn] GC - II - 802 - AGC - Siêu Sâu - 100gr - 100</v>
      </c>
      <c r="E1283" s="87" t="str">
        <f>IFERROR(__xludf.DUMMYFUNCTION("""COMPUTED_VALUE"""),"SHA CHONG JING 95WP")</f>
        <v>SHA CHONG JING 95WP</v>
      </c>
      <c r="F1283" s="87" t="str">
        <f>IFERROR(__xludf.DUMMYFUNCTION("""COMPUTED_VALUE"""),"HH0802")</f>
        <v>HH0802</v>
      </c>
      <c r="G1283" s="87" t="str">
        <f>IFERROR(__xludf.DUMMYFUNCTION("""COMPUTED_VALUE"""),"GC - II - 802 - AGC - Siêu Sâu - 100gr - 100")</f>
        <v>GC - II - 802 - AGC - Siêu Sâu - 100gr - 100</v>
      </c>
    </row>
    <row r="1284">
      <c r="A1284" s="86" t="str">
        <f>IFERROR(__xludf.DUMMYFUNCTION("""COMPUTED_VALUE"""),"")</f>
        <v/>
      </c>
      <c r="B1284" s="87"/>
      <c r="C1284" s="87" t="str">
        <f>IFERROR(__xludf.DUMMYFUNCTION("""COMPUTED_VALUE"""),"Can xanh lá Nắp trắng")</f>
        <v>Can xanh lá Nắp trắng</v>
      </c>
      <c r="D1284" s="87" t="str">
        <f>IFERROR(__xludf.DUMMYFUNCTION("""COMPUTED_VALUE"""),"Nhãn decal bóng")</f>
        <v>Nhãn decal bóng</v>
      </c>
      <c r="E1284" s="87" t="str">
        <f>IFERROR(__xludf.DUMMYFUNCTION("""COMPUTED_VALUE"""),"x")</f>
        <v>x</v>
      </c>
      <c r="F1284" s="87"/>
      <c r="G1284" s="87"/>
    </row>
    <row r="1285">
      <c r="A1285" s="86">
        <f>IFERROR(__xludf.DUMMYFUNCTION("""COMPUTED_VALUE"""),1283.0)</f>
        <v>1283</v>
      </c>
      <c r="B1285" s="87" t="str">
        <f>IFERROR(__xludf.DUMMYFUNCTION("""COMPUTED_VALUE"""),"Nhãn")</f>
        <v>Nhãn</v>
      </c>
      <c r="C1285" s="87" t="str">
        <f>IFERROR(__xludf.DUMMYFUNCTION("""COMPUTED_VALUE"""),"NTN0804")</f>
        <v>NTN0804</v>
      </c>
      <c r="D1285" s="87" t="str">
        <f>IFERROR(__xludf.DUMMYFUNCTION("""COMPUTED_VALUE"""),"[Nhãn] GC - II - 804 - AGC - Ray xanh 200WP - 80gr - 150")</f>
        <v>[Nhãn] GC - II - 804 - AGC - Ray xanh 200WP - 80gr - 150</v>
      </c>
      <c r="E1285" s="87" t="str">
        <f>IFERROR(__xludf.DUMMYFUNCTION("""COMPUTED_VALUE"""),"RAYXANH 200WP")</f>
        <v>RAYXANH 200WP</v>
      </c>
      <c r="F1285" s="87" t="str">
        <f>IFERROR(__xludf.DUMMYFUNCTION("""COMPUTED_VALUE"""),"HH0804")</f>
        <v>HH0804</v>
      </c>
      <c r="G1285" s="87" t="str">
        <f>IFERROR(__xludf.DUMMYFUNCTION("""COMPUTED_VALUE"""),"GC - II - 804 - AGC - Ray xanh 200WP - 80gr - 150")</f>
        <v>GC - II - 804 - AGC - Ray xanh 200WP - 80gr - 150</v>
      </c>
    </row>
    <row r="1286">
      <c r="A1286" s="86">
        <f>IFERROR(__xludf.DUMMYFUNCTION("""COMPUTED_VALUE"""),1284.0)</f>
        <v>1284</v>
      </c>
      <c r="B1286" s="87" t="str">
        <f>IFERROR(__xludf.DUMMYFUNCTION("""COMPUTED_VALUE"""),"Nhãn")</f>
        <v>Nhãn</v>
      </c>
      <c r="C1286" s="87" t="str">
        <f>IFERROR(__xludf.DUMMYFUNCTION("""COMPUTED_VALUE"""),"NHG0805")</f>
        <v>NHG0805</v>
      </c>
      <c r="D1286" s="87" t="str">
        <f>IFERROR(__xludf.DUMMYFUNCTION("""COMPUTED_VALUE"""),"[Nhãn] GC - IV - 805 - Ánh Dương - Ad.Vin (HD cao cấp) - 1L - 20")</f>
        <v>[Nhãn] GC - IV - 805 - Ánh Dương - Ad.Vin (HD cao cấp) - 1L - 20</v>
      </c>
      <c r="E1286" s="87" t="str">
        <f>IFERROR(__xludf.DUMMYFUNCTION("""COMPUTED_VALUE"""),"Mekongvil 5SC")</f>
        <v>Mekongvil 5SC</v>
      </c>
      <c r="F1286" s="87" t="str">
        <f>IFERROR(__xludf.DUMMYFUNCTION("""COMPUTED_VALUE"""),"HH0805")</f>
        <v>HH0805</v>
      </c>
      <c r="G1286" s="87" t="str">
        <f>IFERROR(__xludf.DUMMYFUNCTION("""COMPUTED_VALUE"""),"GC - IV - 805 - Ánh Dương - Ad.Vin (HD cao cấp) - 1L - 20")</f>
        <v>GC - IV - 805 - Ánh Dương - Ad.Vin (HD cao cấp) - 1L - 20</v>
      </c>
    </row>
    <row r="1287">
      <c r="A1287" s="86">
        <f>IFERROR(__xludf.DUMMYFUNCTION("""COMPUTED_VALUE"""),1285.0)</f>
        <v>1285</v>
      </c>
      <c r="B1287" s="87" t="str">
        <f>IFERROR(__xludf.DUMMYFUNCTION("""COMPUTED_VALUE"""),"Nhãn")</f>
        <v>Nhãn</v>
      </c>
      <c r="C1287" s="87" t="str">
        <f>IFERROR(__xludf.DUMMYFUNCTION("""COMPUTED_VALUE"""),"NTN0807")</f>
        <v>NTN0807</v>
      </c>
      <c r="D1287" s="87" t="str">
        <f>IFERROR(__xludf.DUMMYFUNCTION("""COMPUTED_VALUE"""),"[Nhãn] GC - II - 807 - AGC - Thần Sấm - 100gr - 100")</f>
        <v>[Nhãn] GC - II - 807 - AGC - Thần Sấm - 100gr - 100</v>
      </c>
      <c r="E1287" s="87" t="str">
        <f>IFERROR(__xludf.DUMMYFUNCTION("""COMPUTED_VALUE"""),"Sherdoba 55WG")</f>
        <v>Sherdoba 55WG</v>
      </c>
      <c r="F1287" s="87" t="str">
        <f>IFERROR(__xludf.DUMMYFUNCTION("""COMPUTED_VALUE"""),"HH0807")</f>
        <v>HH0807</v>
      </c>
      <c r="G1287" s="87" t="str">
        <f>IFERROR(__xludf.DUMMYFUNCTION("""COMPUTED_VALUE"""),"GC - II - 807 - AGC - Thần Sấm - 100gr - 100")</f>
        <v>GC - II - 807 - AGC - Thần Sấm - 100gr - 100</v>
      </c>
    </row>
    <row r="1288">
      <c r="A1288" s="86">
        <f>IFERROR(__xludf.DUMMYFUNCTION("""COMPUTED_VALUE"""),1286.0)</f>
        <v>1286</v>
      </c>
      <c r="B1288" s="87" t="str">
        <f>IFERROR(__xludf.DUMMYFUNCTION("""COMPUTED_VALUE"""),"Nhãn")</f>
        <v>Nhãn</v>
      </c>
      <c r="C1288" s="87" t="str">
        <f>IFERROR(__xludf.DUMMYFUNCTION("""COMPUTED_VALUE"""),"NTN0808")</f>
        <v>NTN0808</v>
      </c>
      <c r="D1288" s="87" t="str">
        <f>IFERROR(__xludf.DUMMYFUNCTION("""COMPUTED_VALUE"""),"[Nhãn] GC - II - 808 - Multi-K GG - 1 kg - 22")</f>
        <v>[Nhãn] GC - II - 808 - Multi-K GG - 1 kg - 22</v>
      </c>
      <c r="E1288" s="87" t="str">
        <f>IFERROR(__xludf.DUMMYFUNCTION("""COMPUTED_VALUE"""),"Potassium Nitrate 13.5-0-46.2")</f>
        <v>Potassium Nitrate 13.5-0-46.2</v>
      </c>
      <c r="F1288" s="87" t="str">
        <f>IFERROR(__xludf.DUMMYFUNCTION("""COMPUTED_VALUE"""),"HH0808")</f>
        <v>HH0808</v>
      </c>
      <c r="G1288" s="87" t="str">
        <f>IFERROR(__xludf.DUMMYFUNCTION("""COMPUTED_VALUE"""),"GC - II - 808 - Multi-K GG - 1 kg - 22")</f>
        <v>GC - II - 808 - Multi-K GG - 1 kg - 22</v>
      </c>
    </row>
    <row r="1289">
      <c r="A1289" s="86">
        <f>IFERROR(__xludf.DUMMYFUNCTION("""COMPUTED_VALUE"""),1287.0)</f>
        <v>1287</v>
      </c>
      <c r="B1289" s="87" t="str">
        <f>IFERROR(__xludf.DUMMYFUNCTION("""COMPUTED_VALUE"""),"Nhãn")</f>
        <v>Nhãn</v>
      </c>
      <c r="C1289" s="87" t="str">
        <f>IFERROR(__xludf.DUMMYFUNCTION("""COMPUTED_VALUE"""),"NTN0809")</f>
        <v>NTN0809</v>
      </c>
      <c r="D1289" s="87" t="str">
        <f>IFERROR(__xludf.DUMMYFUNCTION("""COMPUTED_VALUE"""),"[Nhãn] GC - IV - 809 - Hưng Thạnh Phát - Diệt sạch vi khuẩn (bột trắng) - 25gr - 300")</f>
        <v>[Nhãn] GC - IV - 809 - Hưng Thạnh Phát - Diệt sạch vi khuẩn (bột trắng) - 25gr - 300</v>
      </c>
      <c r="E1289" s="87" t="str">
        <f>IFERROR(__xludf.DUMMYFUNCTION("""COMPUTED_VALUE"""),"Oxycin 100WP")</f>
        <v>Oxycin 100WP</v>
      </c>
      <c r="F1289" s="87" t="str">
        <f>IFERROR(__xludf.DUMMYFUNCTION("""COMPUTED_VALUE"""),"HH0809")</f>
        <v>HH0809</v>
      </c>
      <c r="G1289" s="87" t="str">
        <f>IFERROR(__xludf.DUMMYFUNCTION("""COMPUTED_VALUE"""),"GC - IV - 809 - Hưng Thạnh Phát - Diệt sạch vi khuẩn (bột trắng) - 25gr - 300")</f>
        <v>GC - IV - 809 - Hưng Thạnh Phát - Diệt sạch vi khuẩn (bột trắng) - 25gr - 300</v>
      </c>
    </row>
    <row r="1290">
      <c r="A1290" s="86">
        <f>IFERROR(__xludf.DUMMYFUNCTION("""COMPUTED_VALUE"""),1288.0)</f>
        <v>1288</v>
      </c>
      <c r="B1290" s="87" t="str">
        <f>IFERROR(__xludf.DUMMYFUNCTION("""COMPUTED_VALUE"""),"Nhãn")</f>
        <v>Nhãn</v>
      </c>
      <c r="C1290" s="87" t="str">
        <f>IFERROR(__xludf.DUMMYFUNCTION("""COMPUTED_VALUE"""),"NHD0810")</f>
        <v>NHD0810</v>
      </c>
      <c r="D1290" s="87" t="str">
        <f>IFERROR(__xludf.DUMMYFUNCTION("""COMPUTED_VALUE"""),"[Nhãn] GC - II - 810 - AGC - Big C (Gel nâu đen) (chai HD) - 500ml - 40")</f>
        <v>[Nhãn] GC - II - 810 - AGC - Big C (Gel nâu đen) (chai HD) - 500ml - 40</v>
      </c>
      <c r="E1290" s="87" t="str">
        <f>IFERROR(__xludf.DUMMYFUNCTION("""COMPUTED_VALUE"""),"Vi lượng Quantity New")</f>
        <v>Vi lượng Quantity New</v>
      </c>
      <c r="F1290" s="87" t="str">
        <f>IFERROR(__xludf.DUMMYFUNCTION("""COMPUTED_VALUE"""),"HH0810")</f>
        <v>HH0810</v>
      </c>
      <c r="G1290" s="87" t="str">
        <f>IFERROR(__xludf.DUMMYFUNCTION("""COMPUTED_VALUE"""),"GC - II - 810 - AGC - Big C (Gel nâu đen) (chai HD) - 500ml - 40")</f>
        <v>GC - II - 810 - AGC - Big C (Gel nâu đen) (chai HD) - 500ml - 40</v>
      </c>
    </row>
    <row r="1291">
      <c r="A1291" s="86">
        <f>IFERROR(__xludf.DUMMYFUNCTION("""COMPUTED_VALUE"""),1289.0)</f>
        <v>1289</v>
      </c>
      <c r="B1291" s="87" t="str">
        <f>IFERROR(__xludf.DUMMYFUNCTION("""COMPUTED_VALUE"""),"Nhãn")</f>
        <v>Nhãn</v>
      </c>
      <c r="C1291" s="87" t="str">
        <f>IFERROR(__xludf.DUMMYFUNCTION("""COMPUTED_VALUE"""),"NHG0811")</f>
        <v>NHG0811</v>
      </c>
      <c r="D1291" s="87" t="str">
        <f>IFERROR(__xludf.DUMMYFUNCTION("""COMPUTED_VALUE"""),"[Nhãn] GC - II - 811 - AGC - Power + (Gel nâu đen) (chai HD) - 500ml - 40")</f>
        <v>[Nhãn] GC - II - 811 - AGC - Power + (Gel nâu đen) (chai HD) - 500ml - 40</v>
      </c>
      <c r="E1291" s="87" t="str">
        <f>IFERROR(__xludf.DUMMYFUNCTION("""COMPUTED_VALUE"""),"Vi lượng Quantity New")</f>
        <v>Vi lượng Quantity New</v>
      </c>
      <c r="F1291" s="87" t="str">
        <f>IFERROR(__xludf.DUMMYFUNCTION("""COMPUTED_VALUE"""),"HH0811")</f>
        <v>HH0811</v>
      </c>
      <c r="G1291" s="87" t="str">
        <f>IFERROR(__xludf.DUMMYFUNCTION("""COMPUTED_VALUE"""),"GC - II - 811 - AGC - Power + (Gel nâu đen) (chai HD) - 500ml - 40")</f>
        <v>GC - II - 811 - AGC - Power + (Gel nâu đen) (chai HD) - 500ml - 40</v>
      </c>
    </row>
    <row r="1292">
      <c r="A1292" s="86">
        <f>IFERROR(__xludf.DUMMYFUNCTION("""COMPUTED_VALUE"""),1290.0)</f>
        <v>1290</v>
      </c>
      <c r="B1292" s="87" t="str">
        <f>IFERROR(__xludf.DUMMYFUNCTION("""COMPUTED_VALUE"""),"Nhãn")</f>
        <v>Nhãn</v>
      </c>
      <c r="C1292" s="87" t="str">
        <f>IFERROR(__xludf.DUMMYFUNCTION("""COMPUTED_VALUE"""),"NHG0812")</f>
        <v>NHG0812</v>
      </c>
      <c r="D1292" s="87" t="str">
        <f>IFERROR(__xludf.DUMMYFUNCTION("""COMPUTED_VALUE"""),"[Nhãn] GC - II - 812 - AGC - Rooter - (Gel nâu đen) (chai HD) - 500ml - 40")</f>
        <v>[Nhãn] GC - II - 812 - AGC - Rooter - (Gel nâu đen) (chai HD) - 500ml - 40</v>
      </c>
      <c r="E1292" s="87" t="str">
        <f>IFERROR(__xludf.DUMMYFUNCTION("""COMPUTED_VALUE"""),"Vi lượng Quantity New")</f>
        <v>Vi lượng Quantity New</v>
      </c>
      <c r="F1292" s="87" t="str">
        <f>IFERROR(__xludf.DUMMYFUNCTION("""COMPUTED_VALUE"""),"HH0812")</f>
        <v>HH0812</v>
      </c>
      <c r="G1292" s="87" t="str">
        <f>IFERROR(__xludf.DUMMYFUNCTION("""COMPUTED_VALUE"""),"GC - II - 812 - AGC - Rooter - (Gel nâu đen) (chai HD) - 500ml - 40")</f>
        <v>GC - II - 812 - AGC - Rooter - (Gel nâu đen) (chai HD) - 500ml - 40</v>
      </c>
    </row>
    <row r="1293">
      <c r="A1293" s="86">
        <f>IFERROR(__xludf.DUMMYFUNCTION("""COMPUTED_VALUE"""),1291.0)</f>
        <v>1291</v>
      </c>
      <c r="B1293" s="87" t="str">
        <f>IFERROR(__xludf.DUMMYFUNCTION("""COMPUTED_VALUE"""),"Nhãn")</f>
        <v>Nhãn</v>
      </c>
      <c r="C1293" s="87" t="str">
        <f>IFERROR(__xludf.DUMMYFUNCTION("""COMPUTED_VALUE"""),"NHG0813")</f>
        <v>NHG0813</v>
      </c>
      <c r="D1293" s="87" t="str">
        <f>IFERROR(__xludf.DUMMYFUNCTION("""COMPUTED_VALUE"""),"[Nhãn] GC - II - 813 - AGC - Open Xtra 44L - (nước vàng) (chai PET tròn) - 120ml - 50")</f>
        <v>[Nhãn] GC - II - 813 - AGC - Open Xtra 44L - (nước vàng) (chai PET tròn) - 120ml - 50</v>
      </c>
      <c r="E1293" s="87" t="str">
        <f>IFERROR(__xludf.DUMMYFUNCTION("""COMPUTED_VALUE"""),"Vi lượng Quantity New")</f>
        <v>Vi lượng Quantity New</v>
      </c>
      <c r="F1293" s="87" t="str">
        <f>IFERROR(__xludf.DUMMYFUNCTION("""COMPUTED_VALUE"""),"HH0813")</f>
        <v>HH0813</v>
      </c>
      <c r="G1293" s="87" t="str">
        <f>IFERROR(__xludf.DUMMYFUNCTION("""COMPUTED_VALUE"""),"GC - II - 813 - AGC - Open Xtra 44L - (nước vàng) (chai PET tròn) - 120ml - 50")</f>
        <v>GC - II - 813 - AGC - Open Xtra 44L - (nước vàng) (chai PET tròn) - 120ml - 50</v>
      </c>
    </row>
    <row r="1294">
      <c r="A1294" s="86">
        <f>IFERROR(__xludf.DUMMYFUNCTION("""COMPUTED_VALUE"""),1292.0)</f>
        <v>1292</v>
      </c>
      <c r="B1294" s="87" t="str">
        <f>IFERROR(__xludf.DUMMYFUNCTION("""COMPUTED_VALUE"""),"Nhãn")</f>
        <v>Nhãn</v>
      </c>
      <c r="C1294" s="87" t="str">
        <f>IFERROR(__xludf.DUMMYFUNCTION("""COMPUTED_VALUE"""),"NTN0814")</f>
        <v>NTN0814</v>
      </c>
      <c r="D1294" s="87" t="str">
        <f>IFERROR(__xludf.DUMMYFUNCTION("""COMPUTED_VALUE"""),"[Nhãn] GC - II - 814 - AGC - Humi Black (màu nâu đen) - 1kg - 25")</f>
        <v>[Nhãn] GC - II - 814 - AGC - Humi Black (màu nâu đen) - 1kg - 25</v>
      </c>
      <c r="E1294" s="87" t="str">
        <f>IFERROR(__xludf.DUMMYFUNCTION("""COMPUTED_VALUE"""),"Vi lượng Slow Growth")</f>
        <v>Vi lượng Slow Growth</v>
      </c>
      <c r="F1294" s="87" t="str">
        <f>IFERROR(__xludf.DUMMYFUNCTION("""COMPUTED_VALUE"""),"HH0814")</f>
        <v>HH0814</v>
      </c>
      <c r="G1294" s="87" t="str">
        <f>IFERROR(__xludf.DUMMYFUNCTION("""COMPUTED_VALUE"""),"GC - II - 814 - AGC - Humi Black (màu nâu đen) - 1kg - 25")</f>
        <v>GC - II - 814 - AGC - Humi Black (màu nâu đen) - 1kg - 25</v>
      </c>
    </row>
    <row r="1295">
      <c r="A1295" s="86">
        <f>IFERROR(__xludf.DUMMYFUNCTION("""COMPUTED_VALUE"""),1293.0)</f>
        <v>1293</v>
      </c>
      <c r="B1295" s="87" t="str">
        <f>IFERROR(__xludf.DUMMYFUNCTION("""COMPUTED_VALUE"""),"Nhãn")</f>
        <v>Nhãn</v>
      </c>
      <c r="C1295" s="87" t="str">
        <f>IFERROR(__xludf.DUMMYFUNCTION("""COMPUTED_VALUE"""),"NHG0815")</f>
        <v>NHG0815</v>
      </c>
      <c r="D1295" s="87" t="str">
        <f>IFERROR(__xludf.DUMMYFUNCTION("""COMPUTED_VALUE"""),"[Nhãn] LOT IDA Global - I - 815 - IDA Vil (Xanh Lá)(HD xám)(nắp xanh)(nước trắng) - 1 Lít - 20")</f>
        <v>[Nhãn] LOT IDA Global - I - 815 - IDA Vil (Xanh Lá)(HD xám)(nắp xanh)(nước trắng) - 1 Lít - 20</v>
      </c>
      <c r="E1295" s="87" t="str">
        <f>IFERROR(__xludf.DUMMYFUNCTION("""COMPUTED_VALUE"""),"Mekongvil 5SC")</f>
        <v>Mekongvil 5SC</v>
      </c>
      <c r="F1295" s="87" t="str">
        <f>IFERROR(__xludf.DUMMYFUNCTION("""COMPUTED_VALUE"""),"HH0815")</f>
        <v>HH0815</v>
      </c>
      <c r="G1295" s="87" t="str">
        <f>IFERROR(__xludf.DUMMYFUNCTION("""COMPUTED_VALUE"""),"LOT IDA Global - I - 815 - IDA Vil (Xanh Lá)(HD xám)(nắp xanh)(nước trắng) - 1 Lít - 20")</f>
        <v>LOT IDA Global - I - 815 - IDA Vil (Xanh Lá)(HD xám)(nắp xanh)(nước trắng) - 1 Lít - 20</v>
      </c>
    </row>
    <row r="1296">
      <c r="A1296" s="86">
        <f>IFERROR(__xludf.DUMMYFUNCTION("""COMPUTED_VALUE"""),1294.0)</f>
        <v>1294</v>
      </c>
      <c r="B1296" s="87" t="str">
        <f>IFERROR(__xludf.DUMMYFUNCTION("""COMPUTED_VALUE"""),"Nhãn")</f>
        <v>Nhãn</v>
      </c>
      <c r="C1296" s="87" t="str">
        <f>IFERROR(__xludf.DUMMYFUNCTION("""COMPUTED_VALUE"""),"NHD0816")</f>
        <v>NHD0816</v>
      </c>
      <c r="D1296" s="87" t="str">
        <f>IFERROR(__xludf.DUMMYFUNCTION("""COMPUTED_VALUE"""),"[Nhãn] IDA GLOBAL - I - 816 - Creek 2.1EC (pet vuông) (nước đỏ) - 450ml - 40")</f>
        <v>[Nhãn] IDA GLOBAL - I - 816 - Creek 2.1EC (pet vuông) (nước đỏ) - 450ml - 40</v>
      </c>
      <c r="E1296" s="87" t="str">
        <f>IFERROR(__xludf.DUMMYFUNCTION("""COMPUTED_VALUE"""),"Creek 2.1EC")</f>
        <v>Creek 2.1EC</v>
      </c>
      <c r="F1296" s="87" t="str">
        <f>IFERROR(__xludf.DUMMYFUNCTION("""COMPUTED_VALUE"""),"HH0816")</f>
        <v>HH0816</v>
      </c>
      <c r="G1296" s="87" t="str">
        <f>IFERROR(__xludf.DUMMYFUNCTION("""COMPUTED_VALUE"""),"IDA GLOBAL - I - 816 - Creek 2.1EC (pet vuông) (nước đỏ) - 450ml - 40")</f>
        <v>IDA GLOBAL - I - 816 - Creek 2.1EC (pet vuông) (nước đỏ) - 450ml - 40</v>
      </c>
    </row>
    <row r="1297">
      <c r="A1297" s="86">
        <f>IFERROR(__xludf.DUMMYFUNCTION("""COMPUTED_VALUE"""),1295.0)</f>
        <v>1295</v>
      </c>
      <c r="B1297" s="87" t="str">
        <f>IFERROR(__xludf.DUMMYFUNCTION("""COMPUTED_VALUE"""),"Nhãn thùng")</f>
        <v>Nhãn thùng</v>
      </c>
      <c r="C1297" s="87" t="str">
        <f>IFERROR(__xludf.DUMMYFUNCTION("""COMPUTED_VALUE"""),"NDT0816")</f>
        <v>NDT0816</v>
      </c>
      <c r="D1297" s="87" t="str">
        <f>IFERROR(__xludf.DUMMYFUNCTION("""COMPUTED_VALUE"""),"[Nhãn thùng] IDA GLOBAL - I - 816 - Creek 2.1EC (pet vuông) (nước đỏ) - 450ml - 40")</f>
        <v>[Nhãn thùng] IDA GLOBAL - I - 816 - Creek 2.1EC (pet vuông) (nước đỏ) - 450ml - 40</v>
      </c>
      <c r="E1297" s="87" t="str">
        <f>IFERROR(__xludf.DUMMYFUNCTION("""COMPUTED_VALUE"""),"Creek 2.1EC")</f>
        <v>Creek 2.1EC</v>
      </c>
      <c r="F1297" s="87" t="str">
        <f>IFERROR(__xludf.DUMMYFUNCTION("""COMPUTED_VALUE"""),"HH0816")</f>
        <v>HH0816</v>
      </c>
      <c r="G1297" s="87" t="str">
        <f>IFERROR(__xludf.DUMMYFUNCTION("""COMPUTED_VALUE"""),"IDA GLOBAL - I - 816 - Creek 2.1EC (pet vuông) (nước đỏ) - 450ml - 40")</f>
        <v>IDA GLOBAL - I - 816 - Creek 2.1EC (pet vuông) (nước đỏ) - 450ml - 40</v>
      </c>
    </row>
    <row r="1298">
      <c r="A1298" s="86">
        <f>IFERROR(__xludf.DUMMYFUNCTION("""COMPUTED_VALUE"""),1296.0)</f>
        <v>1296</v>
      </c>
      <c r="B1298" s="87" t="str">
        <f>IFERROR(__xludf.DUMMYFUNCTION("""COMPUTED_VALUE"""),"Nhãn")</f>
        <v>Nhãn</v>
      </c>
      <c r="C1298" s="87" t="str">
        <f>IFERROR(__xludf.DUMMYFUNCTION("""COMPUTED_VALUE"""),"NHG0817")</f>
        <v>NHG0817</v>
      </c>
      <c r="D1298" s="87" t="str">
        <f>IFERROR(__xludf.DUMMYFUNCTION("""COMPUTED_VALUE"""),"[Nhãn] GC - IV - 817 - Agriscience - Calcibor (Chai Pet) - 500ml - 40")</f>
        <v>[Nhãn] GC - IV - 817 - Agriscience - Calcibor (Chai Pet) - 500ml - 40</v>
      </c>
      <c r="E1298" s="87" t="str">
        <f>IFERROR(__xludf.DUMMYFUNCTION("""COMPUTED_VALUE"""),"Prima 04")</f>
        <v>Prima 04</v>
      </c>
      <c r="F1298" s="87" t="str">
        <f>IFERROR(__xludf.DUMMYFUNCTION("""COMPUTED_VALUE"""),"HH0817")</f>
        <v>HH0817</v>
      </c>
      <c r="G1298" s="87" t="str">
        <f>IFERROR(__xludf.DUMMYFUNCTION("""COMPUTED_VALUE"""),"GC - IV - 817 - Agriscience - Calcibor (Chai Pet) - 500ml - 40")</f>
        <v>GC - IV - 817 - Agriscience - Calcibor (Chai Pet) - 500ml - 40</v>
      </c>
    </row>
    <row r="1299">
      <c r="A1299" s="86">
        <f>IFERROR(__xludf.DUMMYFUNCTION("""COMPUTED_VALUE"""),1297.0)</f>
        <v>1297</v>
      </c>
      <c r="B1299" s="87" t="str">
        <f>IFERROR(__xludf.DUMMYFUNCTION("""COMPUTED_VALUE"""),"Nhãn phụ")</f>
        <v>Nhãn phụ</v>
      </c>
      <c r="C1299" s="87" t="str">
        <f>IFERROR(__xludf.DUMMYFUNCTION("""COMPUTED_VALUE"""),"NHP0817")</f>
        <v>NHP0817</v>
      </c>
      <c r="D1299" s="87" t="str">
        <f>IFERROR(__xludf.DUMMYFUNCTION("""COMPUTED_VALUE"""),"[Nhãn phụ] GC - IV - 817 - Agriscience - Calcibor (Chai Pet) - 500ml - 40")</f>
        <v>[Nhãn phụ] GC - IV - 817 - Agriscience - Calcibor (Chai Pet) - 500ml - 40</v>
      </c>
      <c r="E1299" s="87" t="str">
        <f>IFERROR(__xludf.DUMMYFUNCTION("""COMPUTED_VALUE"""),"Prima 04")</f>
        <v>Prima 04</v>
      </c>
      <c r="F1299" s="87" t="str">
        <f>IFERROR(__xludf.DUMMYFUNCTION("""COMPUTED_VALUE"""),"HH0817")</f>
        <v>HH0817</v>
      </c>
      <c r="G1299" s="87" t="str">
        <f>IFERROR(__xludf.DUMMYFUNCTION("""COMPUTED_VALUE"""),"GC - IV - 817 - Agriscience - Calcibor (Chai Pet) - 500ml - 40")</f>
        <v>GC - IV - 817 - Agriscience - Calcibor (Chai Pet) - 500ml - 40</v>
      </c>
    </row>
    <row r="1300">
      <c r="A1300" s="86">
        <f>IFERROR(__xludf.DUMMYFUNCTION("""COMPUTED_VALUE"""),1298.0)</f>
        <v>1298</v>
      </c>
      <c r="B1300" s="87" t="str">
        <f>IFERROR(__xludf.DUMMYFUNCTION("""COMPUTED_VALUE"""),"Nhãn")</f>
        <v>Nhãn</v>
      </c>
      <c r="C1300" s="87" t="str">
        <f>IFERROR(__xludf.DUMMYFUNCTION("""COMPUTED_VALUE"""),"NHG0818")</f>
        <v>NHG0818</v>
      </c>
      <c r="D1300" s="87" t="str">
        <f>IFERROR(__xludf.DUMMYFUNCTION("""COMPUTED_VALUE"""),"[Nhãn] GC - II - 818 - AGC - Gaba (nước đục) (chai PET tròn) - 450 ml - 40")</f>
        <v>[Nhãn] GC - II - 818 - AGC - Gaba (nước đục) (chai PET tròn) - 450 ml - 40</v>
      </c>
      <c r="E1300" s="87" t="str">
        <f>IFERROR(__xludf.DUMMYFUNCTION("""COMPUTED_VALUE"""),"Chitin 3.6EC")</f>
        <v>Chitin 3.6EC</v>
      </c>
      <c r="F1300" s="87" t="str">
        <f>IFERROR(__xludf.DUMMYFUNCTION("""COMPUTED_VALUE"""),"HH0818")</f>
        <v>HH0818</v>
      </c>
      <c r="G1300" s="87" t="str">
        <f>IFERROR(__xludf.DUMMYFUNCTION("""COMPUTED_VALUE"""),"GC - II - 818 - AGC - Gaba (nước đục) (chai PET tròn) - 450 ml - 40")</f>
        <v>GC - II - 818 - AGC - Gaba (nước đục) (chai PET tròn) - 450 ml - 40</v>
      </c>
    </row>
    <row r="1301">
      <c r="A1301" s="86">
        <f>IFERROR(__xludf.DUMMYFUNCTION("""COMPUTED_VALUE"""),1299.0)</f>
        <v>1299</v>
      </c>
      <c r="B1301" s="87" t="str">
        <f>IFERROR(__xludf.DUMMYFUNCTION("""COMPUTED_VALUE"""),"Nhãn thùng")</f>
        <v>Nhãn thùng</v>
      </c>
      <c r="C1301" s="87" t="str">
        <f>IFERROR(__xludf.DUMMYFUNCTION("""COMPUTED_VALUE"""),"NDT0818")</f>
        <v>NDT0818</v>
      </c>
      <c r="D1301" s="87" t="str">
        <f>IFERROR(__xludf.DUMMYFUNCTION("""COMPUTED_VALUE"""),"[Nhãn thùng] GC - II - 818 - AGC - Gaba (nước đục) (chai PET tròn) - 450 ml - 40")</f>
        <v>[Nhãn thùng] GC - II - 818 - AGC - Gaba (nước đục) (chai PET tròn) - 450 ml - 40</v>
      </c>
      <c r="E1301" s="87" t="str">
        <f>IFERROR(__xludf.DUMMYFUNCTION("""COMPUTED_VALUE"""),"Chitin 3.6EC")</f>
        <v>Chitin 3.6EC</v>
      </c>
      <c r="F1301" s="87" t="str">
        <f>IFERROR(__xludf.DUMMYFUNCTION("""COMPUTED_VALUE"""),"HH0818")</f>
        <v>HH0818</v>
      </c>
      <c r="G1301" s="87" t="str">
        <f>IFERROR(__xludf.DUMMYFUNCTION("""COMPUTED_VALUE"""),"GC - II - 818 - AGC - Gaba (nước đục) (chai PET tròn) - 450 ml - 40")</f>
        <v>GC - II - 818 - AGC - Gaba (nước đục) (chai PET tròn) - 450 ml - 40</v>
      </c>
    </row>
    <row r="1302">
      <c r="A1302" s="86">
        <f>IFERROR(__xludf.DUMMYFUNCTION("""COMPUTED_VALUE"""),1300.0)</f>
        <v>1300</v>
      </c>
      <c r="B1302" s="87" t="str">
        <f>IFERROR(__xludf.DUMMYFUNCTION("""COMPUTED_VALUE"""),"Nhãn")</f>
        <v>Nhãn</v>
      </c>
      <c r="C1302" s="87" t="str">
        <f>IFERROR(__xludf.DUMMYFUNCTION("""COMPUTED_VALUE"""),"NHD0819")</f>
        <v>NHD0819</v>
      </c>
      <c r="D1302" s="87" t="str">
        <f>IFERROR(__xludf.DUMMYFUNCTION("""COMPUTED_VALUE"""),"[Nhãn] GC - II - 819 - AGC - Gamma (nước đỏ) (chai PET vuông) - 450ml - 40")</f>
        <v>[Nhãn] GC - II - 819 - AGC - Gamma (nước đỏ) (chai PET vuông) - 450ml - 40</v>
      </c>
      <c r="E1302" s="87" t="str">
        <f>IFERROR(__xludf.DUMMYFUNCTION("""COMPUTED_VALUE"""),"Creek 2.1EC")</f>
        <v>Creek 2.1EC</v>
      </c>
      <c r="F1302" s="87" t="str">
        <f>IFERROR(__xludf.DUMMYFUNCTION("""COMPUTED_VALUE"""),"HH0819")</f>
        <v>HH0819</v>
      </c>
      <c r="G1302" s="87" t="str">
        <f>IFERROR(__xludf.DUMMYFUNCTION("""COMPUTED_VALUE"""),"GC - II - 819 - AGC - Gamma (nước đỏ) (chai PET vuông) - 450ml - 40")</f>
        <v>GC - II - 819 - AGC - Gamma (nước đỏ) (chai PET vuông) - 450ml - 40</v>
      </c>
    </row>
    <row r="1303">
      <c r="A1303" s="86">
        <f>IFERROR(__xludf.DUMMYFUNCTION("""COMPUTED_VALUE"""),1301.0)</f>
        <v>1301</v>
      </c>
      <c r="B1303" s="87" t="str">
        <f>IFERROR(__xludf.DUMMYFUNCTION("""COMPUTED_VALUE"""),"Nhãn")</f>
        <v>Nhãn</v>
      </c>
      <c r="C1303" s="87" t="str">
        <f>IFERROR(__xludf.DUMMYFUNCTION("""COMPUTED_VALUE"""),"NHG0820")</f>
        <v>NHG0820</v>
      </c>
      <c r="D1303" s="87" t="str">
        <f>IFERROR(__xludf.DUMMYFUNCTION("""COMPUTED_VALUE"""),"[Nhãn] GC - IV - 820 - Agritech - Amectin 36 (PET tròn) (nước đục) - 450ml - 40")</f>
        <v>[Nhãn] GC - IV - 820 - Agritech - Amectin 36 (PET tròn) (nước đục) - 450ml - 40</v>
      </c>
      <c r="E1303" s="87" t="str">
        <f>IFERROR(__xludf.DUMMYFUNCTION("""COMPUTED_VALUE"""),"Chitin 3.6EC")</f>
        <v>Chitin 3.6EC</v>
      </c>
      <c r="F1303" s="87" t="str">
        <f>IFERROR(__xludf.DUMMYFUNCTION("""COMPUTED_VALUE"""),"HH0820")</f>
        <v>HH0820</v>
      </c>
      <c r="G1303" s="87" t="str">
        <f>IFERROR(__xludf.DUMMYFUNCTION("""COMPUTED_VALUE"""),"GC - IV - 820 - Agritech - Amectin 36 (PET tròn) (nước đục) - 450ml - 40")</f>
        <v>GC - IV - 820 - Agritech - Amectin 36 (PET tròn) (nước đục) - 450ml - 40</v>
      </c>
    </row>
    <row r="1304">
      <c r="A1304" s="86">
        <f>IFERROR(__xludf.DUMMYFUNCTION("""COMPUTED_VALUE"""),1302.0)</f>
        <v>1302</v>
      </c>
      <c r="B1304" s="87" t="str">
        <f>IFERROR(__xludf.DUMMYFUNCTION("""COMPUTED_VALUE"""),"Nhãn thùng")</f>
        <v>Nhãn thùng</v>
      </c>
      <c r="C1304" s="87" t="str">
        <f>IFERROR(__xludf.DUMMYFUNCTION("""COMPUTED_VALUE"""),"NDT0820")</f>
        <v>NDT0820</v>
      </c>
      <c r="D1304" s="87" t="str">
        <f>IFERROR(__xludf.DUMMYFUNCTION("""COMPUTED_VALUE"""),"[Nhãn thùng] GC - IV - 820 - Agritech - Amectin 36 (PET tròn) (nước đục) - 450ml - 40")</f>
        <v>[Nhãn thùng] GC - IV - 820 - Agritech - Amectin 36 (PET tròn) (nước đục) - 450ml - 40</v>
      </c>
      <c r="E1304" s="87" t="str">
        <f>IFERROR(__xludf.DUMMYFUNCTION("""COMPUTED_VALUE"""),"Chitin 3.6EC")</f>
        <v>Chitin 3.6EC</v>
      </c>
      <c r="F1304" s="87" t="str">
        <f>IFERROR(__xludf.DUMMYFUNCTION("""COMPUTED_VALUE"""),"HH0820")</f>
        <v>HH0820</v>
      </c>
      <c r="G1304" s="87" t="str">
        <f>IFERROR(__xludf.DUMMYFUNCTION("""COMPUTED_VALUE"""),"GC - IV - 820 - Agritech - Amectin 36 (PET tròn) (nước đục) - 450ml - 40")</f>
        <v>GC - IV - 820 - Agritech - Amectin 36 (PET tròn) (nước đục) - 450ml - 40</v>
      </c>
    </row>
    <row r="1305">
      <c r="A1305" s="86">
        <f>IFERROR(__xludf.DUMMYFUNCTION("""COMPUTED_VALUE"""),1303.0)</f>
        <v>1303</v>
      </c>
      <c r="B1305" s="87" t="str">
        <f>IFERROR(__xludf.DUMMYFUNCTION("""COMPUTED_VALUE"""),"Nhãn")</f>
        <v>Nhãn</v>
      </c>
      <c r="C1305" s="87" t="str">
        <f>IFERROR(__xludf.DUMMYFUNCTION("""COMPUTED_VALUE"""),"NHG0822")</f>
        <v>NHG0822</v>
      </c>
      <c r="D1305" s="87" t="str">
        <f>IFERROR(__xludf.DUMMYFUNCTION("""COMPUTED_VALUE"""),"[Nhãn] IDA Global - I - 822 - ĐL Đức Minh -Javi vil 50SC (chai HD) (nước Vàng) (nắp xanh dương) - 1L - 20")</f>
        <v>[Nhãn] IDA Global - I - 822 - ĐL Đức Minh -Javi vil 50SC (chai HD) (nước Vàng) (nắp xanh dương) - 1L - 20</v>
      </c>
      <c r="E1305" s="87" t="str">
        <f>IFERROR(__xludf.DUMMYFUNCTION("""COMPUTED_VALUE"""),"JAVI VIL 50SC")</f>
        <v>JAVI VIL 50SC</v>
      </c>
      <c r="F1305" s="87" t="str">
        <f>IFERROR(__xludf.DUMMYFUNCTION("""COMPUTED_VALUE"""),"HH0822")</f>
        <v>HH0822</v>
      </c>
      <c r="G1305" s="87" t="str">
        <f>IFERROR(__xludf.DUMMYFUNCTION("""COMPUTED_VALUE"""),"IDA Global - I - 822 - ĐL Đức Minh -Javi vil 50SC (chai HD) (nước Vàng) (nắp xanh dương) - 1L - 20")</f>
        <v>IDA Global - I - 822 - ĐL Đức Minh -Javi vil 50SC (chai HD) (nước Vàng) (nắp xanh dương) - 1L - 20</v>
      </c>
    </row>
    <row r="1306">
      <c r="A1306" s="86">
        <f>IFERROR(__xludf.DUMMYFUNCTION("""COMPUTED_VALUE"""),1304.0)</f>
        <v>1304</v>
      </c>
      <c r="B1306" s="87" t="str">
        <f>IFERROR(__xludf.DUMMYFUNCTION("""COMPUTED_VALUE"""),"Nhãn")</f>
        <v>Nhãn</v>
      </c>
      <c r="C1306" s="87" t="str">
        <f>IFERROR(__xludf.DUMMYFUNCTION("""COMPUTED_VALUE"""),"NHD0824")</f>
        <v>NHD0824</v>
      </c>
      <c r="D1306" s="87" t="str">
        <f>IFERROR(__xludf.DUMMYFUNCTION("""COMPUTED_VALUE"""),"[Nhãn] GC - II - 824 - AGC - Diệt cỏ cháy sạch (PET vuông) - 900ml - 20")</f>
        <v>[Nhãn] GC - II - 824 - AGC - Diệt cỏ cháy sạch (PET vuông) - 900ml - 20</v>
      </c>
      <c r="E1306" s="87" t="str">
        <f>IFERROR(__xludf.DUMMYFUNCTION("""COMPUTED_VALUE"""),"NEWFOSINATE 150SL")</f>
        <v>NEWFOSINATE 150SL</v>
      </c>
      <c r="F1306" s="87" t="str">
        <f>IFERROR(__xludf.DUMMYFUNCTION("""COMPUTED_VALUE"""),"HH0824")</f>
        <v>HH0824</v>
      </c>
      <c r="G1306" s="87" t="str">
        <f>IFERROR(__xludf.DUMMYFUNCTION("""COMPUTED_VALUE"""),"GC - II - 824 - AGC - Diệt cỏ cháy sạch (PET vuông) - 900ml - 20")</f>
        <v>GC - II - 824 - AGC - Diệt cỏ cháy sạch (PET vuông) - 900ml - 20</v>
      </c>
    </row>
    <row r="1307">
      <c r="A1307" s="86">
        <f>IFERROR(__xludf.DUMMYFUNCTION("""COMPUTED_VALUE"""),1305.0)</f>
        <v>1305</v>
      </c>
      <c r="B1307" s="87" t="str">
        <f>IFERROR(__xludf.DUMMYFUNCTION("""COMPUTED_VALUE"""),"Nhãn")</f>
        <v>Nhãn</v>
      </c>
      <c r="C1307" s="87" t="str">
        <f>IFERROR(__xludf.DUMMYFUNCTION("""COMPUTED_VALUE"""),"NTN0826")</f>
        <v>NTN0826</v>
      </c>
      <c r="D1307" s="87" t="str">
        <f>IFERROR(__xludf.DUMMYFUNCTION("""COMPUTED_VALUE"""),"[Nhãn] GC - IV - 826 - AU - Siêu Săn Sâu (túi nhôm)(bột trắng)- 100gr - 100")</f>
        <v>[Nhãn] GC - IV - 826 - AU - Siêu Săn Sâu (túi nhôm)(bột trắng)- 100gr - 100</v>
      </c>
      <c r="E1307" s="87" t="str">
        <f>IFERROR(__xludf.DUMMYFUNCTION("""COMPUTED_VALUE"""),"SHA CHONG JING 95WP")</f>
        <v>SHA CHONG JING 95WP</v>
      </c>
      <c r="F1307" s="87" t="str">
        <f>IFERROR(__xludf.DUMMYFUNCTION("""COMPUTED_VALUE"""),"HH0826")</f>
        <v>HH0826</v>
      </c>
      <c r="G1307" s="87" t="str">
        <f>IFERROR(__xludf.DUMMYFUNCTION("""COMPUTED_VALUE"""),"GC - IV - 826 - AU - Siêu Săn Sâu (túi nhôm)(bột trắng)- 100gr - 100")</f>
        <v>GC - IV - 826 - AU - Siêu Săn Sâu (túi nhôm)(bột trắng)- 100gr - 100</v>
      </c>
    </row>
    <row r="1308">
      <c r="A1308" s="86">
        <f>IFERROR(__xludf.DUMMYFUNCTION("""COMPUTED_VALUE"""),1306.0)</f>
        <v>1306</v>
      </c>
      <c r="B1308" s="87" t="str">
        <f>IFERROR(__xludf.DUMMYFUNCTION("""COMPUTED_VALUE"""),"Nhãn thùng")</f>
        <v>Nhãn thùng</v>
      </c>
      <c r="C1308" s="87" t="str">
        <f>IFERROR(__xludf.DUMMYFUNCTION("""COMPUTED_VALUE"""),"NDT0826")</f>
        <v>NDT0826</v>
      </c>
      <c r="D1308" s="87" t="str">
        <f>IFERROR(__xludf.DUMMYFUNCTION("""COMPUTED_VALUE"""),"[Nhãn thùng] GC - IV - 826 - AU - Siêu Săn Sâu (túi nhôm)(bột trắng)- 100gr - 100")</f>
        <v>[Nhãn thùng] GC - IV - 826 - AU - Siêu Săn Sâu (túi nhôm)(bột trắng)- 100gr - 100</v>
      </c>
      <c r="E1308" s="87" t="str">
        <f>IFERROR(__xludf.DUMMYFUNCTION("""COMPUTED_VALUE"""),"SHA CHONG JING 95WP")</f>
        <v>SHA CHONG JING 95WP</v>
      </c>
      <c r="F1308" s="87" t="str">
        <f>IFERROR(__xludf.DUMMYFUNCTION("""COMPUTED_VALUE"""),"HH0826")</f>
        <v>HH0826</v>
      </c>
      <c r="G1308" s="87" t="str">
        <f>IFERROR(__xludf.DUMMYFUNCTION("""COMPUTED_VALUE"""),"GC - IV - 826 - AU - Siêu Săn Sâu (túi nhôm)(bột trắng)- 100gr - 100")</f>
        <v>GC - IV - 826 - AU - Siêu Săn Sâu (túi nhôm)(bột trắng)- 100gr - 100</v>
      </c>
    </row>
    <row r="1309">
      <c r="A1309" s="86">
        <f>IFERROR(__xludf.DUMMYFUNCTION("""COMPUTED_VALUE"""),1307.0)</f>
        <v>1307</v>
      </c>
      <c r="B1309" s="87" t="str">
        <f>IFERROR(__xludf.DUMMYFUNCTION("""COMPUTED_VALUE"""),"Nhãn")</f>
        <v>Nhãn</v>
      </c>
      <c r="C1309" s="87" t="str">
        <f>IFERROR(__xludf.DUMMYFUNCTION("""COMPUTED_VALUE"""),"NHD0827")</f>
        <v>NHD0827</v>
      </c>
      <c r="D1309" s="87" t="str">
        <f>IFERROR(__xludf.DUMMYFUNCTION("""COMPUTED_VALUE"""),"[Nhãn] LOT IDA Global - I - 827 - GLUFO150 - 900ml - 20")</f>
        <v>[Nhãn] LOT IDA Global - I - 827 - GLUFO150 - 900ml - 20</v>
      </c>
      <c r="E1309" s="87" t="str">
        <f>IFERROR(__xludf.DUMMYFUNCTION("""COMPUTED_VALUE"""),"NEWFOSINATE 150SL")</f>
        <v>NEWFOSINATE 150SL</v>
      </c>
      <c r="F1309" s="87" t="str">
        <f>IFERROR(__xludf.DUMMYFUNCTION("""COMPUTED_VALUE"""),"HH0827")</f>
        <v>HH0827</v>
      </c>
      <c r="G1309" s="87" t="str">
        <f>IFERROR(__xludf.DUMMYFUNCTION("""COMPUTED_VALUE"""),"LOT IDA Global - I - 827 - GLUFO150 - 900ml - 20")</f>
        <v>LOT IDA Global - I - 827 - GLUFO150 - 900ml - 20</v>
      </c>
    </row>
    <row r="1310">
      <c r="A1310" s="86">
        <f>IFERROR(__xludf.DUMMYFUNCTION("""COMPUTED_VALUE"""),1308.0)</f>
        <v>1308</v>
      </c>
      <c r="B1310" s="87" t="str">
        <f>IFERROR(__xludf.DUMMYFUNCTION("""COMPUTED_VALUE"""),"Nhãn")</f>
        <v>Nhãn</v>
      </c>
      <c r="C1310" s="87" t="str">
        <f>IFERROR(__xludf.DUMMYFUNCTION("""COMPUTED_VALUE"""),"NHG0828")</f>
        <v>NHG0828</v>
      </c>
      <c r="D1310" s="87" t="str">
        <f>IFERROR(__xludf.DUMMYFUNCTION("""COMPUTED_VALUE"""),"[Nhãn] LOT IDA Global - I - 828 - Avermectin 36 (Pet tròn)(nước nâu đen) - 450ml - 40")</f>
        <v>[Nhãn] LOT IDA Global - I - 828 - Avermectin 36 (Pet tròn)(nước nâu đen) - 450ml - 40</v>
      </c>
      <c r="E1310" s="87" t="str">
        <f>IFERROR(__xludf.DUMMYFUNCTION("""COMPUTED_VALUE"""),"Chitin 3.6EC")</f>
        <v>Chitin 3.6EC</v>
      </c>
      <c r="F1310" s="87" t="str">
        <f>IFERROR(__xludf.DUMMYFUNCTION("""COMPUTED_VALUE"""),"HH0828")</f>
        <v>HH0828</v>
      </c>
      <c r="G1310" s="87" t="str">
        <f>IFERROR(__xludf.DUMMYFUNCTION("""COMPUTED_VALUE"""),"LOT IDA Global - I - 828 - Avermectin 36 (Pet tròn)(nước nâu đen) - 450ml - 40")</f>
        <v>LOT IDA Global - I - 828 - Avermectin 36 (Pet tròn)(nước nâu đen) - 450ml - 40</v>
      </c>
    </row>
    <row r="1311">
      <c r="A1311" s="86">
        <f>IFERROR(__xludf.DUMMYFUNCTION("""COMPUTED_VALUE"""),1309.0)</f>
        <v>1309</v>
      </c>
      <c r="B1311" s="87" t="str">
        <f>IFERROR(__xludf.DUMMYFUNCTION("""COMPUTED_VALUE"""),"Nhãn thùng")</f>
        <v>Nhãn thùng</v>
      </c>
      <c r="C1311" s="87" t="str">
        <f>IFERROR(__xludf.DUMMYFUNCTION("""COMPUTED_VALUE"""),"NDT0828")</f>
        <v>NDT0828</v>
      </c>
      <c r="D1311" s="87" t="str">
        <f>IFERROR(__xludf.DUMMYFUNCTION("""COMPUTED_VALUE"""),"[Nhãn thùng] LOT IDA Global - I - 828 - Avermectin 36 (Pet tròn)(nước nâu đen) - 450ml - 40")</f>
        <v>[Nhãn thùng] LOT IDA Global - I - 828 - Avermectin 36 (Pet tròn)(nước nâu đen) - 450ml - 40</v>
      </c>
      <c r="E1311" s="87" t="str">
        <f>IFERROR(__xludf.DUMMYFUNCTION("""COMPUTED_VALUE"""),"Chitin 3.6EC")</f>
        <v>Chitin 3.6EC</v>
      </c>
      <c r="F1311" s="87" t="str">
        <f>IFERROR(__xludf.DUMMYFUNCTION("""COMPUTED_VALUE"""),"HH0828")</f>
        <v>HH0828</v>
      </c>
      <c r="G1311" s="87" t="str">
        <f>IFERROR(__xludf.DUMMYFUNCTION("""COMPUTED_VALUE"""),"LOT IDA Global - I - 828 - Avermectin 36 (Pet tròn)(nước nâu đen) - 450ml - 40")</f>
        <v>LOT IDA Global - I - 828 - Avermectin 36 (Pet tròn)(nước nâu đen) - 450ml - 40</v>
      </c>
    </row>
    <row r="1312">
      <c r="A1312" s="86">
        <f>IFERROR(__xludf.DUMMYFUNCTION("""COMPUTED_VALUE"""),1310.0)</f>
        <v>1310</v>
      </c>
      <c r="B1312" s="87" t="str">
        <f>IFERROR(__xludf.DUMMYFUNCTION("""COMPUTED_VALUE"""),"Nhãn")</f>
        <v>Nhãn</v>
      </c>
      <c r="C1312" s="87" t="str">
        <f>IFERROR(__xludf.DUMMYFUNCTION("""COMPUTED_VALUE"""),"NTN0829")</f>
        <v>NTN0829</v>
      </c>
      <c r="D1312" s="87" t="str">
        <f>IFERROR(__xludf.DUMMYFUNCTION("""COMPUTED_VALUE"""),"[Nhãn] GC - IV - 829 - Thiên Di - Super 55 - 100gr -100")</f>
        <v>[Nhãn] GC - IV - 829 - Thiên Di - Super 55 - 100gr -100</v>
      </c>
      <c r="E1312" s="87" t="str">
        <f>IFERROR(__xludf.DUMMYFUNCTION("""COMPUTED_VALUE"""),"Sherdoba 55WG")</f>
        <v>Sherdoba 55WG</v>
      </c>
      <c r="F1312" s="87" t="str">
        <f>IFERROR(__xludf.DUMMYFUNCTION("""COMPUTED_VALUE"""),"HH0829")</f>
        <v>HH0829</v>
      </c>
      <c r="G1312" s="87" t="str">
        <f>IFERROR(__xludf.DUMMYFUNCTION("""COMPUTED_VALUE"""),"GC - IV - 829 - Thiên Di - Super 55 - 100gr -100")</f>
        <v>GC - IV - 829 - Thiên Di - Super 55 - 100gr -100</v>
      </c>
    </row>
    <row r="1313">
      <c r="A1313" s="86">
        <f>IFERROR(__xludf.DUMMYFUNCTION("""COMPUTED_VALUE"""),1311.0)</f>
        <v>1311</v>
      </c>
      <c r="B1313" s="87" t="str">
        <f>IFERROR(__xludf.DUMMYFUNCTION("""COMPUTED_VALUE"""),"Nhãn")</f>
        <v>Nhãn</v>
      </c>
      <c r="C1313" s="87" t="str">
        <f>IFERROR(__xludf.DUMMYFUNCTION("""COMPUTED_VALUE"""),"NTN0830")</f>
        <v>NTN0830</v>
      </c>
      <c r="D1313" s="87" t="str">
        <f>IFERROR(__xludf.DUMMYFUNCTION("""COMPUTED_VALUE"""),"[Nhãn] GC - IV - 830 - Thiên Di - Super 55 - 50gr - 150")</f>
        <v>[Nhãn] GC - IV - 830 - Thiên Di - Super 55 - 50gr - 150</v>
      </c>
      <c r="E1313" s="87" t="str">
        <f>IFERROR(__xludf.DUMMYFUNCTION("""COMPUTED_VALUE"""),"Sherdoba 55WG")</f>
        <v>Sherdoba 55WG</v>
      </c>
      <c r="F1313" s="87" t="str">
        <f>IFERROR(__xludf.DUMMYFUNCTION("""COMPUTED_VALUE"""),"HH0830")</f>
        <v>HH0830</v>
      </c>
      <c r="G1313" s="87" t="str">
        <f>IFERROR(__xludf.DUMMYFUNCTION("""COMPUTED_VALUE"""),"GC - IV - 830 - Thiên Di - Super 55 - 50gr - 150")</f>
        <v>GC - IV - 830 - Thiên Di - Super 55 - 50gr - 150</v>
      </c>
    </row>
    <row r="1314">
      <c r="A1314" s="86">
        <f>IFERROR(__xludf.DUMMYFUNCTION("""COMPUTED_VALUE"""),1312.0)</f>
        <v>1312</v>
      </c>
      <c r="B1314" s="87" t="str">
        <f>IFERROR(__xludf.DUMMYFUNCTION("""COMPUTED_VALUE"""),"Nhãn")</f>
        <v>Nhãn</v>
      </c>
      <c r="C1314" s="87" t="str">
        <f>IFERROR(__xludf.DUMMYFUNCTION("""COMPUTED_VALUE"""),"NTN0831")</f>
        <v>NTN0831</v>
      </c>
      <c r="D1314" s="87" t="str">
        <f>IFERROR(__xludf.DUMMYFUNCTION("""COMPUTED_VALUE"""),"[Nhãn] GC - IV - 831 - Thiên Di - Super 55 - 18gr - 200")</f>
        <v>[Nhãn] GC - IV - 831 - Thiên Di - Super 55 - 18gr - 200</v>
      </c>
      <c r="E1314" s="87" t="str">
        <f>IFERROR(__xludf.DUMMYFUNCTION("""COMPUTED_VALUE"""),"Sherdoba 55WG")</f>
        <v>Sherdoba 55WG</v>
      </c>
      <c r="F1314" s="87" t="str">
        <f>IFERROR(__xludf.DUMMYFUNCTION("""COMPUTED_VALUE"""),"HH0831")</f>
        <v>HH0831</v>
      </c>
      <c r="G1314" s="87" t="str">
        <f>IFERROR(__xludf.DUMMYFUNCTION("""COMPUTED_VALUE"""),"GC - IV - 831 - Thiên Di - Super 55 - 18gr - 200")</f>
        <v>GC - IV - 831 - Thiên Di - Super 55 - 18gr - 200</v>
      </c>
    </row>
    <row r="1315">
      <c r="A1315" s="86">
        <f>IFERROR(__xludf.DUMMYFUNCTION("""COMPUTED_VALUE"""),1313.0)</f>
        <v>1313</v>
      </c>
      <c r="B1315" s="87" t="str">
        <f>IFERROR(__xludf.DUMMYFUNCTION("""COMPUTED_VALUE"""),"Nhãn")</f>
        <v>Nhãn</v>
      </c>
      <c r="C1315" s="87" t="str">
        <f>IFERROR(__xludf.DUMMYFUNCTION("""COMPUTED_VALUE"""),"NTN0832")</f>
        <v>NTN0832</v>
      </c>
      <c r="D1315" s="87" t="str">
        <f>IFERROR(__xludf.DUMMYFUNCTION("""COMPUTED_VALUE"""),"[Nhãn] GC - IV - 832 - Thiên Di - Imipro 10 - 100gr - 150")</f>
        <v>[Nhãn] GC - IV - 832 - Thiên Di - Imipro 10 - 100gr - 150</v>
      </c>
      <c r="E1315" s="87" t="str">
        <f>IFERROR(__xludf.DUMMYFUNCTION("""COMPUTED_VALUE"""),"IMIPRID 10WP")</f>
        <v>IMIPRID 10WP</v>
      </c>
      <c r="F1315" s="87" t="str">
        <f>IFERROR(__xludf.DUMMYFUNCTION("""COMPUTED_VALUE"""),"HH0832")</f>
        <v>HH0832</v>
      </c>
      <c r="G1315" s="87" t="str">
        <f>IFERROR(__xludf.DUMMYFUNCTION("""COMPUTED_VALUE"""),"GC - IV - 832 - Thiên Di - Imipro 10 - 100gr - 150")</f>
        <v>GC - IV - 832 - Thiên Di - Imipro 10 - 100gr - 150</v>
      </c>
    </row>
    <row r="1316">
      <c r="A1316" s="86">
        <f>IFERROR(__xludf.DUMMYFUNCTION("""COMPUTED_VALUE"""),1314.0)</f>
        <v>1314</v>
      </c>
      <c r="B1316" s="87" t="str">
        <f>IFERROR(__xludf.DUMMYFUNCTION("""COMPUTED_VALUE"""),"Nhãn thùng")</f>
        <v>Nhãn thùng</v>
      </c>
      <c r="C1316" s="87" t="str">
        <f>IFERROR(__xludf.DUMMYFUNCTION("""COMPUTED_VALUE"""),"NDT0832")</f>
        <v>NDT0832</v>
      </c>
      <c r="D1316" s="87" t="str">
        <f>IFERROR(__xludf.DUMMYFUNCTION("""COMPUTED_VALUE"""),"[Nhãn thùng] GC - IV - 832 - Thiên Di - Imipro 10 - 100gr - 150")</f>
        <v>[Nhãn thùng] GC - IV - 832 - Thiên Di - Imipro 10 - 100gr - 150</v>
      </c>
      <c r="E1316" s="87" t="str">
        <f>IFERROR(__xludf.DUMMYFUNCTION("""COMPUTED_VALUE"""),"IMIPRID 10WP")</f>
        <v>IMIPRID 10WP</v>
      </c>
      <c r="F1316" s="87" t="str">
        <f>IFERROR(__xludf.DUMMYFUNCTION("""COMPUTED_VALUE"""),"HH0832")</f>
        <v>HH0832</v>
      </c>
      <c r="G1316" s="87" t="str">
        <f>IFERROR(__xludf.DUMMYFUNCTION("""COMPUTED_VALUE"""),"GC - IV - 832 - Thiên Di - Imipro 10 - 100gr - 150")</f>
        <v>GC - IV - 832 - Thiên Di - Imipro 10 - 100gr - 150</v>
      </c>
    </row>
    <row r="1317">
      <c r="A1317" s="86">
        <f>IFERROR(__xludf.DUMMYFUNCTION("""COMPUTED_VALUE"""),1315.0)</f>
        <v>1315</v>
      </c>
      <c r="B1317" s="87" t="str">
        <f>IFERROR(__xludf.DUMMYFUNCTION("""COMPUTED_VALUE"""),"Nhãn")</f>
        <v>Nhãn</v>
      </c>
      <c r="C1317" s="87" t="str">
        <f>IFERROR(__xludf.DUMMYFUNCTION("""COMPUTED_VALUE"""),"NHD0833")</f>
        <v>NHD0833</v>
      </c>
      <c r="D1317" s="87" t="str">
        <f>IFERROR(__xludf.DUMMYFUNCTION("""COMPUTED_VALUE"""),"[Nhãn] GC - IV - 833 - Huy Phát - HP Pro Max (nước đỏ)(Pet Vuông)- 400ml - 40")</f>
        <v>[Nhãn] GC - IV - 833 - Huy Phát - HP Pro Max (nước đỏ)(Pet Vuông)- 400ml - 40</v>
      </c>
      <c r="E1317" s="87" t="str">
        <f>IFERROR(__xludf.DUMMYFUNCTION("""COMPUTED_VALUE"""),"Creek 2.1EC")</f>
        <v>Creek 2.1EC</v>
      </c>
      <c r="F1317" s="87" t="str">
        <f>IFERROR(__xludf.DUMMYFUNCTION("""COMPUTED_VALUE"""),"HH0833")</f>
        <v>HH0833</v>
      </c>
      <c r="G1317" s="87" t="str">
        <f>IFERROR(__xludf.DUMMYFUNCTION("""COMPUTED_VALUE"""),"GC - IV - 833 - Huy Phát - HP Pro Max (nước đỏ)(Pet Vuông)- 400ml - 40")</f>
        <v>GC - IV - 833 - Huy Phát - HP Pro Max (nước đỏ)(Pet Vuông)- 400ml - 40</v>
      </c>
    </row>
    <row r="1318">
      <c r="A1318" s="86">
        <f>IFERROR(__xludf.DUMMYFUNCTION("""COMPUTED_VALUE"""),1316.0)</f>
        <v>1316</v>
      </c>
      <c r="B1318" s="87" t="str">
        <f>IFERROR(__xludf.DUMMYFUNCTION("""COMPUTED_VALUE"""),"Nhãn")</f>
        <v>Nhãn</v>
      </c>
      <c r="C1318" s="87" t="str">
        <f>IFERROR(__xludf.DUMMYFUNCTION("""COMPUTED_VALUE"""),"NHD0833")</f>
        <v>NHD0833</v>
      </c>
      <c r="D1318" s="87" t="str">
        <f>IFERROR(__xludf.DUMMYFUNCTION("""COMPUTED_VALUE"""),"[Nhãn] GC - IV - 833 - Huy Phát - HP Pro Max (nước đỏ)(Pet Vuông)- 400ml - 40")</f>
        <v>[Nhãn] GC - IV - 833 - Huy Phát - HP Pro Max (nước đỏ)(Pet Vuông)- 400ml - 40</v>
      </c>
      <c r="E1318" s="87" t="str">
        <f>IFERROR(__xludf.DUMMYFUNCTION("""COMPUTED_VALUE"""),"Creek 2.1EC")</f>
        <v>Creek 2.1EC</v>
      </c>
      <c r="F1318" s="87" t="str">
        <f>IFERROR(__xludf.DUMMYFUNCTION("""COMPUTED_VALUE"""),"HH0833")</f>
        <v>HH0833</v>
      </c>
      <c r="G1318" s="87" t="str">
        <f>IFERROR(__xludf.DUMMYFUNCTION("""COMPUTED_VALUE"""),"GC - IV - 833 - Huy Phát - HP Pro Max (nước đỏ)(Pet Vuông)- 400ml - 40")</f>
        <v>GC - IV - 833 - Huy Phát - HP Pro Max (nước đỏ)(Pet Vuông)- 400ml - 40</v>
      </c>
    </row>
    <row r="1319">
      <c r="A1319" s="86">
        <f>IFERROR(__xludf.DUMMYFUNCTION("""COMPUTED_VALUE"""),1317.0)</f>
        <v>1317</v>
      </c>
      <c r="B1319" s="87" t="str">
        <f>IFERROR(__xludf.DUMMYFUNCTION("""COMPUTED_VALUE"""),"Nhãn thùng")</f>
        <v>Nhãn thùng</v>
      </c>
      <c r="C1319" s="87" t="str">
        <f>IFERROR(__xludf.DUMMYFUNCTION("""COMPUTED_VALUE"""),"NDT0833")</f>
        <v>NDT0833</v>
      </c>
      <c r="D1319" s="87" t="str">
        <f>IFERROR(__xludf.DUMMYFUNCTION("""COMPUTED_VALUE"""),"[Nhãn thùng] GC - IV - 833 - Huy Phát - HP Pro Max (nước đỏ)(Pet Vuông)- 400ml - 40")</f>
        <v>[Nhãn thùng] GC - IV - 833 - Huy Phát - HP Pro Max (nước đỏ)(Pet Vuông)- 400ml - 40</v>
      </c>
      <c r="E1319" s="87" t="str">
        <f>IFERROR(__xludf.DUMMYFUNCTION("""COMPUTED_VALUE"""),"Creek 2.1EC")</f>
        <v>Creek 2.1EC</v>
      </c>
      <c r="F1319" s="87" t="str">
        <f>IFERROR(__xludf.DUMMYFUNCTION("""COMPUTED_VALUE"""),"HH0833")</f>
        <v>HH0833</v>
      </c>
      <c r="G1319" s="87" t="str">
        <f>IFERROR(__xludf.DUMMYFUNCTION("""COMPUTED_VALUE"""),"GC - IV - 833 - Huy Phát - HP Pro Max (nước đỏ)(Pet Vuông)- 400ml - 40")</f>
        <v>GC - IV - 833 - Huy Phát - HP Pro Max (nước đỏ)(Pet Vuông)- 400ml - 40</v>
      </c>
    </row>
    <row r="1320">
      <c r="A1320" s="86">
        <f>IFERROR(__xludf.DUMMYFUNCTION("""COMPUTED_VALUE"""),1318.0)</f>
        <v>1318</v>
      </c>
      <c r="B1320" s="87" t="str">
        <f>IFERROR(__xludf.DUMMYFUNCTION("""COMPUTED_VALUE"""),"Nhãn")</f>
        <v>Nhãn</v>
      </c>
      <c r="C1320" s="87" t="str">
        <f>IFERROR(__xludf.DUMMYFUNCTION("""COMPUTED_VALUE"""),"NTN0837")</f>
        <v>NTN0837</v>
      </c>
      <c r="D1320" s="87" t="str">
        <f>IFERROR(__xludf.DUMMYFUNCTION("""COMPUTED_VALUE"""),"[Nhãn] GC - IV - 837 - Agriplant - Thalonil 75WWP - 100gr - 100")</f>
        <v>[Nhãn] GC - IV - 837 - Agriplant - Thalonil 75WWP - 100gr - 100</v>
      </c>
      <c r="E1320" s="87" t="str">
        <f>IFERROR(__xludf.DUMMYFUNCTION("""COMPUTED_VALUE"""),"THALONIL 75WP")</f>
        <v>THALONIL 75WP</v>
      </c>
      <c r="F1320" s="87" t="str">
        <f>IFERROR(__xludf.DUMMYFUNCTION("""COMPUTED_VALUE"""),"HH0837")</f>
        <v>HH0837</v>
      </c>
      <c r="G1320" s="87" t="str">
        <f>IFERROR(__xludf.DUMMYFUNCTION("""COMPUTED_VALUE"""),"GC - IV - 837 - Agriplant - Thalonil 75WWP - 100gr - 100")</f>
        <v>GC - IV - 837 - Agriplant - Thalonil 75WWP - 100gr - 100</v>
      </c>
    </row>
    <row r="1321">
      <c r="A1321" s="86">
        <f>IFERROR(__xludf.DUMMYFUNCTION("""COMPUTED_VALUE"""),1319.0)</f>
        <v>1319</v>
      </c>
      <c r="B1321" s="87" t="str">
        <f>IFERROR(__xludf.DUMMYFUNCTION("""COMPUTED_VALUE"""),"Nhãn")</f>
        <v>Nhãn</v>
      </c>
      <c r="C1321" s="87" t="str">
        <f>IFERROR(__xludf.DUMMYFUNCTION("""COMPUTED_VALUE"""),"NHG0840")</f>
        <v>NHG0840</v>
      </c>
      <c r="D1321" s="87" t="str">
        <f>IFERROR(__xludf.DUMMYFUNCTION("""COMPUTED_VALUE"""),"[Nhãn] GC - IV - 840 - Agritech - Agritech Abamectin 36 (Chai tròn) (Nước nâu đen) - 450ml - 40")</f>
        <v>[Nhãn] GC - IV - 840 - Agritech - Agritech Abamectin 36 (Chai tròn) (Nước nâu đen) - 450ml - 40</v>
      </c>
      <c r="E1321" s="87" t="str">
        <f>IFERROR(__xludf.DUMMYFUNCTION("""COMPUTED_VALUE"""),"CHITIN 3.6EC")</f>
        <v>CHITIN 3.6EC</v>
      </c>
      <c r="F1321" s="87" t="str">
        <f>IFERROR(__xludf.DUMMYFUNCTION("""COMPUTED_VALUE"""),"HH0840")</f>
        <v>HH0840</v>
      </c>
      <c r="G1321" s="87" t="str">
        <f>IFERROR(__xludf.DUMMYFUNCTION("""COMPUTED_VALUE"""),"GC - IV - 840 - Agritech - Agritech Abamectin 36 (Chai tròn) (Nước nâu đen) - 450ml - 40")</f>
        <v>GC - IV - 840 - Agritech - Agritech Abamectin 36 (Chai tròn) (Nước nâu đen) - 450ml - 40</v>
      </c>
    </row>
    <row r="1322">
      <c r="A1322" s="86">
        <f>IFERROR(__xludf.DUMMYFUNCTION("""COMPUTED_VALUE"""),1320.0)</f>
        <v>1320</v>
      </c>
      <c r="B1322" s="87" t="str">
        <f>IFERROR(__xludf.DUMMYFUNCTION("""COMPUTED_VALUE"""),"Nhãn thùng")</f>
        <v>Nhãn thùng</v>
      </c>
      <c r="C1322" s="87" t="str">
        <f>IFERROR(__xludf.DUMMYFUNCTION("""COMPUTED_VALUE"""),"NDT0840")</f>
        <v>NDT0840</v>
      </c>
      <c r="D1322" s="87" t="str">
        <f>IFERROR(__xludf.DUMMYFUNCTION("""COMPUTED_VALUE"""),"[Nhãn thùng] GC - IV - 840 - Agritech - Agritech Abamectin 36 (Chai tròn) (Nước nâu đen) - 450ml - 40")</f>
        <v>[Nhãn thùng] GC - IV - 840 - Agritech - Agritech Abamectin 36 (Chai tròn) (Nước nâu đen) - 450ml - 40</v>
      </c>
      <c r="E1322" s="87" t="str">
        <f>IFERROR(__xludf.DUMMYFUNCTION("""COMPUTED_VALUE"""),"CHITIN 3.6EC")</f>
        <v>CHITIN 3.6EC</v>
      </c>
      <c r="F1322" s="87" t="str">
        <f>IFERROR(__xludf.DUMMYFUNCTION("""COMPUTED_VALUE"""),"HH0840")</f>
        <v>HH0840</v>
      </c>
      <c r="G1322" s="87" t="str">
        <f>IFERROR(__xludf.DUMMYFUNCTION("""COMPUTED_VALUE"""),"GC - IV - 840 - Agritech - Agritech Abamectin 36 (Chai tròn) (Nước nâu đen) - 450ml - 40")</f>
        <v>GC - IV - 840 - Agritech - Agritech Abamectin 36 (Chai tròn) (Nước nâu đen) - 450ml - 40</v>
      </c>
    </row>
    <row r="1323">
      <c r="A1323" s="86">
        <f>IFERROR(__xludf.DUMMYFUNCTION("""COMPUTED_VALUE"""),1321.0)</f>
        <v>1321</v>
      </c>
      <c r="B1323" s="87" t="str">
        <f>IFERROR(__xludf.DUMMYFUNCTION("""COMPUTED_VALUE"""),"Nhãn")</f>
        <v>Nhãn</v>
      </c>
      <c r="C1323" s="87" t="str">
        <f>IFERROR(__xludf.DUMMYFUNCTION("""COMPUTED_VALUE"""),"NTN0841")</f>
        <v>NTN0841</v>
      </c>
      <c r="D1323" s="87" t="str">
        <f>IFERROR(__xludf.DUMMYFUNCTION("""COMPUTED_VALUE"""),"[Nhãn] GC - IV - 841 - GNH - Manco Green (túi nhôm)(bột xanh) - 1 Kg - 20")</f>
        <v>[Nhãn] GC - IV - 841 - GNH - Manco Green (túi nhôm)(bột xanh) - 1 Kg - 20</v>
      </c>
      <c r="E1323" s="87" t="str">
        <f>IFERROR(__xludf.DUMMYFUNCTION("""COMPUTED_VALUE"""),"BYPHAN 800WP")</f>
        <v>BYPHAN 800WP</v>
      </c>
      <c r="F1323" s="87" t="str">
        <f>IFERROR(__xludf.DUMMYFUNCTION("""COMPUTED_VALUE"""),"HH0841")</f>
        <v>HH0841</v>
      </c>
      <c r="G1323" s="87" t="str">
        <f>IFERROR(__xludf.DUMMYFUNCTION("""COMPUTED_VALUE"""),"GC - IV - 841 - GNH - Manco Green (túi nhôm)(bột xanh) - 1 Kg - 20")</f>
        <v>GC - IV - 841 - GNH - Manco Green (túi nhôm)(bột xanh) - 1 Kg - 20</v>
      </c>
    </row>
    <row r="1324">
      <c r="A1324" s="86">
        <f>IFERROR(__xludf.DUMMYFUNCTION("""COMPUTED_VALUE"""),1322.0)</f>
        <v>1322</v>
      </c>
      <c r="B1324" s="87" t="str">
        <f>IFERROR(__xludf.DUMMYFUNCTION("""COMPUTED_VALUE"""),"Nhãn")</f>
        <v>Nhãn</v>
      </c>
      <c r="C1324" s="87" t="str">
        <f>IFERROR(__xludf.DUMMYFUNCTION("""COMPUTED_VALUE"""),"NHG0842")</f>
        <v>NHG0842</v>
      </c>
      <c r="D1324" s="87" t="str">
        <f>IFERROR(__xludf.DUMMYFUNCTION("""COMPUTED_VALUE"""),"[Nhãn] LOT IDA Global - I - 842 - ĐL Hồng Lời - Avermectin 36 (Pet tròn) (nắp vàng)(nước nâu đen) - 450ml - 40")</f>
        <v>[Nhãn] LOT IDA Global - I - 842 - ĐL Hồng Lời - Avermectin 36 (Pet tròn) (nắp vàng)(nước nâu đen) - 450ml - 40</v>
      </c>
      <c r="E1324" s="87" t="str">
        <f>IFERROR(__xludf.DUMMYFUNCTION("""COMPUTED_VALUE"""),"Chitin 3.6EC")</f>
        <v>Chitin 3.6EC</v>
      </c>
      <c r="F1324" s="87" t="str">
        <f>IFERROR(__xludf.DUMMYFUNCTION("""COMPUTED_VALUE"""),"HH0842")</f>
        <v>HH0842</v>
      </c>
      <c r="G1324" s="87" t="str">
        <f>IFERROR(__xludf.DUMMYFUNCTION("""COMPUTED_VALUE"""),"LOT IDA Global - I - 842 - ĐL Hồng Lời - Avermectin 36 (Pet tròn) (nắp vàng)(nước nâu đen) - 450ml - 40")</f>
        <v>LOT IDA Global - I - 842 - ĐL Hồng Lời - Avermectin 36 (Pet tròn) (nắp vàng)(nước nâu đen) - 450ml - 40</v>
      </c>
    </row>
    <row r="1325">
      <c r="A1325" s="86">
        <f>IFERROR(__xludf.DUMMYFUNCTION("""COMPUTED_VALUE"""),1323.0)</f>
        <v>1323</v>
      </c>
      <c r="B1325" s="87" t="str">
        <f>IFERROR(__xludf.DUMMYFUNCTION("""COMPUTED_VALUE"""),"Nhãn thùng")</f>
        <v>Nhãn thùng</v>
      </c>
      <c r="C1325" s="87" t="str">
        <f>IFERROR(__xludf.DUMMYFUNCTION("""COMPUTED_VALUE"""),"NDT0842")</f>
        <v>NDT0842</v>
      </c>
      <c r="D1325" s="87" t="str">
        <f>IFERROR(__xludf.DUMMYFUNCTION("""COMPUTED_VALUE"""),"[Nhãn thùng] LOT IDA Global - I - 842 - ĐL Hồng Lời - Avermectin 36 (Pet tròn) (nắp vàng)(nước nâu đen) - 450ml - 40")</f>
        <v>[Nhãn thùng] LOT IDA Global - I - 842 - ĐL Hồng Lời - Avermectin 36 (Pet tròn) (nắp vàng)(nước nâu đen) - 450ml - 40</v>
      </c>
      <c r="E1325" s="87" t="str">
        <f>IFERROR(__xludf.DUMMYFUNCTION("""COMPUTED_VALUE"""),"Chitin 3.6EC")</f>
        <v>Chitin 3.6EC</v>
      </c>
      <c r="F1325" s="87" t="str">
        <f>IFERROR(__xludf.DUMMYFUNCTION("""COMPUTED_VALUE"""),"HH0842")</f>
        <v>HH0842</v>
      </c>
      <c r="G1325" s="87" t="str">
        <f>IFERROR(__xludf.DUMMYFUNCTION("""COMPUTED_VALUE"""),"LOT IDA Global - I - 842 - ĐL Hồng Lời - Avermectin 36 (Pet tròn) (nắp vàng)(nước nâu đen) - 450ml - 40")</f>
        <v>LOT IDA Global - I - 842 - ĐL Hồng Lời - Avermectin 36 (Pet tròn) (nắp vàng)(nước nâu đen) - 450ml - 40</v>
      </c>
    </row>
    <row r="1326">
      <c r="A1326" s="86">
        <f>IFERROR(__xludf.DUMMYFUNCTION("""COMPUTED_VALUE"""),1324.0)</f>
        <v>1324</v>
      </c>
      <c r="B1326" s="87" t="str">
        <f>IFERROR(__xludf.DUMMYFUNCTION("""COMPUTED_VALUE"""),"Nhãn")</f>
        <v>Nhãn</v>
      </c>
      <c r="C1326" s="87" t="str">
        <f>IFERROR(__xludf.DUMMYFUNCTION("""COMPUTED_VALUE"""),"NHG0843")</f>
        <v>NHG0843</v>
      </c>
      <c r="D1326" s="87" t="str">
        <f>IFERROR(__xludf.DUMMYFUNCTION("""COMPUTED_VALUE"""),"[Nhãn] LOT IDA Global - I - 843 - ĐL Lê Trinh - Avermectin 36 (Pet tròn) (nắp đỏ)(nước nâu đen) - 450ml - 40")</f>
        <v>[Nhãn] LOT IDA Global - I - 843 - ĐL Lê Trinh - Avermectin 36 (Pet tròn) (nắp đỏ)(nước nâu đen) - 450ml - 40</v>
      </c>
      <c r="E1326" s="87" t="str">
        <f>IFERROR(__xludf.DUMMYFUNCTION("""COMPUTED_VALUE"""),"Chitin 3.6EC")</f>
        <v>Chitin 3.6EC</v>
      </c>
      <c r="F1326" s="87" t="str">
        <f>IFERROR(__xludf.DUMMYFUNCTION("""COMPUTED_VALUE"""),"HH0843")</f>
        <v>HH0843</v>
      </c>
      <c r="G1326" s="87" t="str">
        <f>IFERROR(__xludf.DUMMYFUNCTION("""COMPUTED_VALUE"""),"LOT IDA Global - I - 843 - ĐL Lê Trinh - Avermectin 36 (Pet tròn) (nắp đỏ)(nước nâu đen) - 450ml - 40")</f>
        <v>LOT IDA Global - I - 843 - ĐL Lê Trinh - Avermectin 36 (Pet tròn) (nắp đỏ)(nước nâu đen) - 450ml - 40</v>
      </c>
    </row>
    <row r="1327">
      <c r="A1327" s="86">
        <f>IFERROR(__xludf.DUMMYFUNCTION("""COMPUTED_VALUE"""),1325.0)</f>
        <v>1325</v>
      </c>
      <c r="B1327" s="87" t="str">
        <f>IFERROR(__xludf.DUMMYFUNCTION("""COMPUTED_VALUE"""),"Nhãn thùng")</f>
        <v>Nhãn thùng</v>
      </c>
      <c r="C1327" s="87" t="str">
        <f>IFERROR(__xludf.DUMMYFUNCTION("""COMPUTED_VALUE"""),"NDT0843")</f>
        <v>NDT0843</v>
      </c>
      <c r="D1327" s="87" t="str">
        <f>IFERROR(__xludf.DUMMYFUNCTION("""COMPUTED_VALUE"""),"[Nhãn thùng] LOT IDA Global - I - 843 - ĐL Lê Trinh - Avermectin 36 (Pet tròn) (nắp đỏ)(nước nâu đen) - 450ml - 40")</f>
        <v>[Nhãn thùng] LOT IDA Global - I - 843 - ĐL Lê Trinh - Avermectin 36 (Pet tròn) (nắp đỏ)(nước nâu đen) - 450ml - 40</v>
      </c>
      <c r="E1327" s="87" t="str">
        <f>IFERROR(__xludf.DUMMYFUNCTION("""COMPUTED_VALUE"""),"Chitin 3.6EC")</f>
        <v>Chitin 3.6EC</v>
      </c>
      <c r="F1327" s="87" t="str">
        <f>IFERROR(__xludf.DUMMYFUNCTION("""COMPUTED_VALUE"""),"HH0843")</f>
        <v>HH0843</v>
      </c>
      <c r="G1327" s="87" t="str">
        <f>IFERROR(__xludf.DUMMYFUNCTION("""COMPUTED_VALUE"""),"LOT IDA Global - I - 843 - ĐL Lê Trinh - Avermectin 36 (Pet tròn) (nắp đỏ)(nước nâu đen) - 450ml - 40")</f>
        <v>LOT IDA Global - I - 843 - ĐL Lê Trinh - Avermectin 36 (Pet tròn) (nắp đỏ)(nước nâu đen) - 450ml - 40</v>
      </c>
    </row>
    <row r="1328">
      <c r="A1328" s="86">
        <f>IFERROR(__xludf.DUMMYFUNCTION("""COMPUTED_VALUE"""),1326.0)</f>
        <v>1326</v>
      </c>
      <c r="B1328" s="87" t="str">
        <f>IFERROR(__xludf.DUMMYFUNCTION("""COMPUTED_VALUE"""),"Nhãn")</f>
        <v>Nhãn</v>
      </c>
      <c r="C1328" s="87" t="str">
        <f>IFERROR(__xludf.DUMMYFUNCTION("""COMPUTED_VALUE"""),"NHG0844")</f>
        <v>NHG0844</v>
      </c>
      <c r="D1328" s="87" t="str">
        <f>IFERROR(__xludf.DUMMYFUNCTION("""COMPUTED_VALUE"""),"[Nhãn] LOT IDA Global - I - 844 - ĐL Hoàng Phi - Chitin 3.6EC (Pet tròn) (nắp đỏ)(nước nâu đen) - 450ml - 40")</f>
        <v>[Nhãn] LOT IDA Global - I - 844 - ĐL Hoàng Phi - Chitin 3.6EC (Pet tròn) (nắp đỏ)(nước nâu đen) - 450ml - 40</v>
      </c>
      <c r="E1328" s="87" t="str">
        <f>IFERROR(__xludf.DUMMYFUNCTION("""COMPUTED_VALUE"""),"Chitin 3.6EC")</f>
        <v>Chitin 3.6EC</v>
      </c>
      <c r="F1328" s="87" t="str">
        <f>IFERROR(__xludf.DUMMYFUNCTION("""COMPUTED_VALUE"""),"HH0844")</f>
        <v>HH0844</v>
      </c>
      <c r="G1328" s="87" t="str">
        <f>IFERROR(__xludf.DUMMYFUNCTION("""COMPUTED_VALUE"""),"LOT IDA Global - I - 844 - ĐL Hoàng Phi - Chitin 3.6EC (Pet tròn) (nắp đỏ)(nước nâu đen) - 450ml - 40")</f>
        <v>LOT IDA Global - I - 844 - ĐL Hoàng Phi - Chitin 3.6EC (Pet tròn) (nắp đỏ)(nước nâu đen) - 450ml - 40</v>
      </c>
    </row>
    <row r="1329">
      <c r="A1329" s="86">
        <f>IFERROR(__xludf.DUMMYFUNCTION("""COMPUTED_VALUE"""),1327.0)</f>
        <v>1327</v>
      </c>
      <c r="B1329" s="87" t="str">
        <f>IFERROR(__xludf.DUMMYFUNCTION("""COMPUTED_VALUE"""),"Nhãn thùng")</f>
        <v>Nhãn thùng</v>
      </c>
      <c r="C1329" s="87" t="str">
        <f>IFERROR(__xludf.DUMMYFUNCTION("""COMPUTED_VALUE"""),"NDT0844")</f>
        <v>NDT0844</v>
      </c>
      <c r="D1329" s="87" t="str">
        <f>IFERROR(__xludf.DUMMYFUNCTION("""COMPUTED_VALUE"""),"[Nhãn thùng] LOT IDA Global - I - 844 - ĐL Hoàng Phi - Chitin 3.6EC (Pet tròn) (nắp đỏ)(nước nâu đen) - 450ml - 40")</f>
        <v>[Nhãn thùng] LOT IDA Global - I - 844 - ĐL Hoàng Phi - Chitin 3.6EC (Pet tròn) (nắp đỏ)(nước nâu đen) - 450ml - 40</v>
      </c>
      <c r="E1329" s="87" t="str">
        <f>IFERROR(__xludf.DUMMYFUNCTION("""COMPUTED_VALUE"""),"Chitin 3.6EC")</f>
        <v>Chitin 3.6EC</v>
      </c>
      <c r="F1329" s="87" t="str">
        <f>IFERROR(__xludf.DUMMYFUNCTION("""COMPUTED_VALUE"""),"HH0844")</f>
        <v>HH0844</v>
      </c>
      <c r="G1329" s="87" t="str">
        <f>IFERROR(__xludf.DUMMYFUNCTION("""COMPUTED_VALUE"""),"LOT IDA Global - I - 844 - ĐL Hoàng Phi - Chitin 3.6EC (Pet tròn) (nắp đỏ)(nước nâu đen) - 450ml - 40")</f>
        <v>LOT IDA Global - I - 844 - ĐL Hoàng Phi - Chitin 3.6EC (Pet tròn) (nắp đỏ)(nước nâu đen) - 450ml - 40</v>
      </c>
    </row>
    <row r="1330">
      <c r="A1330" s="86">
        <f>IFERROR(__xludf.DUMMYFUNCTION("""COMPUTED_VALUE"""),1328.0)</f>
        <v>1328</v>
      </c>
      <c r="B1330" s="87" t="str">
        <f>IFERROR(__xludf.DUMMYFUNCTION("""COMPUTED_VALUE"""),"Nhãn")</f>
        <v>Nhãn</v>
      </c>
      <c r="C1330" s="87" t="str">
        <f>IFERROR(__xludf.DUMMYFUNCTION("""COMPUTED_VALUE"""),"NHD0845")</f>
        <v>NHD0845</v>
      </c>
      <c r="D1330" s="87" t="str">
        <f>IFERROR(__xludf.DUMMYFUNCTION("""COMPUTED_VALUE"""),"[Nhãn] LOT IDA Global - I - 845 - ĐL Hồng Phong - Avermectin 36 (Pet vuông) (nắp vàng)(nước nâu đen) - 450ml - 40")</f>
        <v>[Nhãn] LOT IDA Global - I - 845 - ĐL Hồng Phong - Avermectin 36 (Pet vuông) (nắp vàng)(nước nâu đen) - 450ml - 40</v>
      </c>
      <c r="E1330" s="87" t="str">
        <f>IFERROR(__xludf.DUMMYFUNCTION("""COMPUTED_VALUE"""),"Chitin 3.6EC")</f>
        <v>Chitin 3.6EC</v>
      </c>
      <c r="F1330" s="87" t="str">
        <f>IFERROR(__xludf.DUMMYFUNCTION("""COMPUTED_VALUE"""),"HH0845")</f>
        <v>HH0845</v>
      </c>
      <c r="G1330" s="87" t="str">
        <f>IFERROR(__xludf.DUMMYFUNCTION("""COMPUTED_VALUE"""),"LOT IDA Global - I - 845 - ĐL Hồng Phong - Avermectin 36 (Pet vuông) (nắp vàng)(nước nâu đen) - 450ml - 40")</f>
        <v>LOT IDA Global - I - 845 - ĐL Hồng Phong - Avermectin 36 (Pet vuông) (nắp vàng)(nước nâu đen) - 450ml - 40</v>
      </c>
    </row>
    <row r="1331">
      <c r="A1331" s="86">
        <f>IFERROR(__xludf.DUMMYFUNCTION("""COMPUTED_VALUE"""),1329.0)</f>
        <v>1329</v>
      </c>
      <c r="B1331" s="87" t="str">
        <f>IFERROR(__xludf.DUMMYFUNCTION("""COMPUTED_VALUE"""),"Nhãn")</f>
        <v>Nhãn</v>
      </c>
      <c r="C1331" s="87" t="str">
        <f>IFERROR(__xludf.DUMMYFUNCTION("""COMPUTED_VALUE"""),"NTN0847")</f>
        <v>NTN0847</v>
      </c>
      <c r="D1331" s="87" t="str">
        <f>IFERROR(__xludf.DUMMYFUNCTION("""COMPUTED_VALUE"""),"[Nhãn] LOT IDA Global - I - 847 - ĐL Hồng Liệt - Mancozeb xanh - 1 Kg - 20")</f>
        <v>[Nhãn] LOT IDA Global - I - 847 - ĐL Hồng Liệt - Mancozeb xanh - 1 Kg - 20</v>
      </c>
      <c r="E1331" s="87" t="str">
        <f>IFERROR(__xludf.DUMMYFUNCTION("""COMPUTED_VALUE"""),"BYPHAN 800WP")</f>
        <v>BYPHAN 800WP</v>
      </c>
      <c r="F1331" s="87" t="str">
        <f>IFERROR(__xludf.DUMMYFUNCTION("""COMPUTED_VALUE"""),"HH0847")</f>
        <v>HH0847</v>
      </c>
      <c r="G1331" s="87" t="str">
        <f>IFERROR(__xludf.DUMMYFUNCTION("""COMPUTED_VALUE"""),"LOT IDA Global - I - 847 - ĐL Hồng Liệt - Mancozeb xanh - 1 Kg - 20")</f>
        <v>LOT IDA Global - I - 847 - ĐL Hồng Liệt - Mancozeb xanh - 1 Kg - 20</v>
      </c>
    </row>
    <row r="1332">
      <c r="A1332" s="86">
        <f>IFERROR(__xludf.DUMMYFUNCTION("""COMPUTED_VALUE"""),1330.0)</f>
        <v>1330</v>
      </c>
      <c r="B1332" s="87" t="str">
        <f>IFERROR(__xludf.DUMMYFUNCTION("""COMPUTED_VALUE"""),"Nhãn thùng")</f>
        <v>Nhãn thùng</v>
      </c>
      <c r="C1332" s="87" t="str">
        <f>IFERROR(__xludf.DUMMYFUNCTION("""COMPUTED_VALUE"""),"NDT0847")</f>
        <v>NDT0847</v>
      </c>
      <c r="D1332" s="87" t="str">
        <f>IFERROR(__xludf.DUMMYFUNCTION("""COMPUTED_VALUE"""),"[Nhãn thùng] LOT IDA Global - I - 847 - ĐL Hồng Liệt - Mancozeb xanh - 1 Kg - 20")</f>
        <v>[Nhãn thùng] LOT IDA Global - I - 847 - ĐL Hồng Liệt - Mancozeb xanh - 1 Kg - 20</v>
      </c>
      <c r="E1332" s="87" t="str">
        <f>IFERROR(__xludf.DUMMYFUNCTION("""COMPUTED_VALUE"""),"BYPHAN 800WP")</f>
        <v>BYPHAN 800WP</v>
      </c>
      <c r="F1332" s="87" t="str">
        <f>IFERROR(__xludf.DUMMYFUNCTION("""COMPUTED_VALUE"""),"HH0847")</f>
        <v>HH0847</v>
      </c>
      <c r="G1332" s="87" t="str">
        <f>IFERROR(__xludf.DUMMYFUNCTION("""COMPUTED_VALUE"""),"LOT IDA Global - I - 847 - ĐL Hồng Liệt - Mancozeb xanh - 1 Kg - 20")</f>
        <v>LOT IDA Global - I - 847 - ĐL Hồng Liệt - Mancozeb xanh - 1 Kg - 20</v>
      </c>
    </row>
    <row r="1333">
      <c r="A1333" s="86">
        <f>IFERROR(__xludf.DUMMYFUNCTION("""COMPUTED_VALUE"""),1331.0)</f>
        <v>1331</v>
      </c>
      <c r="B1333" s="87" t="str">
        <f>IFERROR(__xludf.DUMMYFUNCTION("""COMPUTED_VALUE"""),"Nhãn")</f>
        <v>Nhãn</v>
      </c>
      <c r="C1333" s="87" t="str">
        <f>IFERROR(__xludf.DUMMYFUNCTION("""COMPUTED_VALUE"""),"NHG0848")</f>
        <v>NHG0848</v>
      </c>
      <c r="D1333" s="87" t="str">
        <f>IFERROR(__xludf.DUMMYFUNCTION("""COMPUTED_VALUE"""),"[Nhãn] GC - IV - 848 - Xuân Sơn - Mekongvil 5SC (chai HD)(nắp xanh)(nước trắng)- 1L - 20")</f>
        <v>[Nhãn] GC - IV - 848 - Xuân Sơn - Mekongvil 5SC (chai HD)(nắp xanh)(nước trắng)- 1L - 20</v>
      </c>
      <c r="E1333" s="87" t="str">
        <f>IFERROR(__xludf.DUMMYFUNCTION("""COMPUTED_VALUE"""),"Mekongvil 5SC")</f>
        <v>Mekongvil 5SC</v>
      </c>
      <c r="F1333" s="87" t="str">
        <f>IFERROR(__xludf.DUMMYFUNCTION("""COMPUTED_VALUE"""),"HH0848")</f>
        <v>HH0848</v>
      </c>
      <c r="G1333" s="87" t="str">
        <f>IFERROR(__xludf.DUMMYFUNCTION("""COMPUTED_VALUE"""),"GC - IV - 848 - Xuân Sơn - Mekongvil 5SC (chai HD)(nắp xanh)(nước trắng)- 1L - 20")</f>
        <v>GC - IV - 848 - Xuân Sơn - Mekongvil 5SC (chai HD)(nắp xanh)(nước trắng)- 1L - 20</v>
      </c>
    </row>
    <row r="1334">
      <c r="A1334" s="86">
        <f>IFERROR(__xludf.DUMMYFUNCTION("""COMPUTED_VALUE"""),1332.0)</f>
        <v>1332</v>
      </c>
      <c r="B1334" s="87" t="str">
        <f>IFERROR(__xludf.DUMMYFUNCTION("""COMPUTED_VALUE"""),"Nhãn")</f>
        <v>Nhãn</v>
      </c>
      <c r="C1334" s="87" t="str">
        <f>IFERROR(__xludf.DUMMYFUNCTION("""COMPUTED_VALUE"""),"NHG0849")</f>
        <v>NHG0849</v>
      </c>
      <c r="D1334" s="87" t="str">
        <f>IFERROR(__xludf.DUMMYFUNCTION("""COMPUTED_VALUE"""),"[Nhãn] GC - IV - 849 - A Thời GNH - MK936 (Pet tròn) (nước nâu đen) - 450ml - 40")</f>
        <v>[Nhãn] GC - IV - 849 - A Thời GNH - MK936 (Pet tròn) (nước nâu đen) - 450ml - 40</v>
      </c>
      <c r="E1334" s="87" t="str">
        <f>IFERROR(__xludf.DUMMYFUNCTION("""COMPUTED_VALUE"""),"HAIHAMEC 3.6EC")</f>
        <v>HAIHAMEC 3.6EC</v>
      </c>
      <c r="F1334" s="87" t="str">
        <f>IFERROR(__xludf.DUMMYFUNCTION("""COMPUTED_VALUE"""),"HH0849")</f>
        <v>HH0849</v>
      </c>
      <c r="G1334" s="87" t="str">
        <f>IFERROR(__xludf.DUMMYFUNCTION("""COMPUTED_VALUE"""),"GC - IV - 849 - A Thời GNH - MK936 (Pet tròn) (nước nâu đen) - 450ml - 40")</f>
        <v>GC - IV - 849 - A Thời GNH - MK936 (Pet tròn) (nước nâu đen) - 450ml - 40</v>
      </c>
    </row>
    <row r="1335">
      <c r="A1335" s="86">
        <f>IFERROR(__xludf.DUMMYFUNCTION("""COMPUTED_VALUE"""),1333.0)</f>
        <v>1333</v>
      </c>
      <c r="B1335" s="87" t="str">
        <f>IFERROR(__xludf.DUMMYFUNCTION("""COMPUTED_VALUE"""),"Nhãn thùng")</f>
        <v>Nhãn thùng</v>
      </c>
      <c r="C1335" s="87" t="str">
        <f>IFERROR(__xludf.DUMMYFUNCTION("""COMPUTED_VALUE"""),"NDT0849")</f>
        <v>NDT0849</v>
      </c>
      <c r="D1335" s="87" t="str">
        <f>IFERROR(__xludf.DUMMYFUNCTION("""COMPUTED_VALUE"""),"[Nhãn thùng] GC - IV - 849 - A Thời GNH - MK936 (Pet tròn) (nước nâu đen) - 450ml - 40")</f>
        <v>[Nhãn thùng] GC - IV - 849 - A Thời GNH - MK936 (Pet tròn) (nước nâu đen) - 450ml - 40</v>
      </c>
      <c r="E1335" s="87" t="str">
        <f>IFERROR(__xludf.DUMMYFUNCTION("""COMPUTED_VALUE"""),"HAIHAMEC 3.6EC")</f>
        <v>HAIHAMEC 3.6EC</v>
      </c>
      <c r="F1335" s="87" t="str">
        <f>IFERROR(__xludf.DUMMYFUNCTION("""COMPUTED_VALUE"""),"HH0849")</f>
        <v>HH0849</v>
      </c>
      <c r="G1335" s="87" t="str">
        <f>IFERROR(__xludf.DUMMYFUNCTION("""COMPUTED_VALUE"""),"GC - IV - 849 - A Thời GNH - MK936 (Pet tròn) (nước nâu đen) - 450ml - 40")</f>
        <v>GC - IV - 849 - A Thời GNH - MK936 (Pet tròn) (nước nâu đen) - 450ml - 40</v>
      </c>
    </row>
    <row r="1336">
      <c r="A1336" s="86">
        <f>IFERROR(__xludf.DUMMYFUNCTION("""COMPUTED_VALUE"""),1334.0)</f>
        <v>1334</v>
      </c>
      <c r="B1336" s="87" t="str">
        <f>IFERROR(__xludf.DUMMYFUNCTION("""COMPUTED_VALUE"""),"Nhãn")</f>
        <v>Nhãn</v>
      </c>
      <c r="C1336" s="87" t="str">
        <f>IFERROR(__xludf.DUMMYFUNCTION("""COMPUTED_VALUE"""),"NHD0850")</f>
        <v>NHD0850</v>
      </c>
      <c r="D1336" s="87" t="str">
        <f>IFERROR(__xludf.DUMMYFUNCTION("""COMPUTED_VALUE"""),"[Nhãn] GC - IV - 850 - Huy Phát - Hufatin (PET vuông) - 450ml - 40")</f>
        <v>[Nhãn] GC - IV - 850 - Huy Phát - Hufatin (PET vuông) - 450ml - 40</v>
      </c>
      <c r="E1336" s="87" t="str">
        <f>IFERROR(__xludf.DUMMYFUNCTION("""COMPUTED_VALUE"""),"Remy 19EC")</f>
        <v>Remy 19EC</v>
      </c>
      <c r="F1336" s="87" t="str">
        <f>IFERROR(__xludf.DUMMYFUNCTION("""COMPUTED_VALUE"""),"HH0850")</f>
        <v>HH0850</v>
      </c>
      <c r="G1336" s="87" t="str">
        <f>IFERROR(__xludf.DUMMYFUNCTION("""COMPUTED_VALUE"""),"GC - IV - 850 - Huy Phát - Hufatin (PET vuông) - 450ml - 40")</f>
        <v>GC - IV - 850 - Huy Phát - Hufatin (PET vuông) - 450ml - 40</v>
      </c>
    </row>
    <row r="1337">
      <c r="A1337" s="86">
        <f>IFERROR(__xludf.DUMMYFUNCTION("""COMPUTED_VALUE"""),1335.0)</f>
        <v>1335</v>
      </c>
      <c r="B1337" s="87" t="str">
        <f>IFERROR(__xludf.DUMMYFUNCTION("""COMPUTED_VALUE"""),"Nhãn")</f>
        <v>Nhãn</v>
      </c>
      <c r="C1337" s="87" t="str">
        <f>IFERROR(__xludf.DUMMYFUNCTION("""COMPUTED_VALUE"""),"NTN0851")</f>
        <v>NTN0851</v>
      </c>
      <c r="D1337" s="87" t="str">
        <f>IFERROR(__xludf.DUMMYFUNCTION("""COMPUTED_VALUE"""),"[Nhãn] GC - IV - 851 - NN Việt Đức - VD - 100 Thai - 100gr - 150")</f>
        <v>[Nhãn] GC - IV - 851 - NN Việt Đức - VD - 100 Thai - 100gr - 150</v>
      </c>
      <c r="E1337" s="87" t="str">
        <f>IFERROR(__xludf.DUMMYFUNCTION("""COMPUTED_VALUE"""),"IMIPRID 10WP")</f>
        <v>IMIPRID 10WP</v>
      </c>
      <c r="F1337" s="87" t="str">
        <f>IFERROR(__xludf.DUMMYFUNCTION("""COMPUTED_VALUE"""),"HH0851")</f>
        <v>HH0851</v>
      </c>
      <c r="G1337" s="87" t="str">
        <f>IFERROR(__xludf.DUMMYFUNCTION("""COMPUTED_VALUE"""),"GC - IV - 851 - NN Việt Đức - VD - 100 Thai - 100gr - 150")</f>
        <v>GC - IV - 851 - NN Việt Đức - VD - 100 Thai - 100gr - 150</v>
      </c>
    </row>
    <row r="1338">
      <c r="A1338" s="86">
        <f>IFERROR(__xludf.DUMMYFUNCTION("""COMPUTED_VALUE"""),1336.0)</f>
        <v>1336</v>
      </c>
      <c r="B1338" s="87" t="str">
        <f>IFERROR(__xludf.DUMMYFUNCTION("""COMPUTED_VALUE"""),"Nhãn")</f>
        <v>Nhãn</v>
      </c>
      <c r="C1338" s="87" t="str">
        <f>IFERROR(__xludf.DUMMYFUNCTION("""COMPUTED_VALUE"""),"NHG0852")</f>
        <v>NHG0852</v>
      </c>
      <c r="D1338" s="87" t="str">
        <f>IFERROR(__xludf.DUMMYFUNCTION("""COMPUTED_VALUE"""),"[Nhãn] IDA GLOBAL - I - 852 - Hoàng Phi - Siêu Xông Hơi (Rồng Lửa) (Pet tròn) - 450ml - 40")</f>
        <v>[Nhãn] IDA GLOBAL - I - 852 - Hoàng Phi - Siêu Xông Hơi (Rồng Lửa) (Pet tròn) - 450ml - 40</v>
      </c>
      <c r="E1338" s="87" t="str">
        <f>IFERROR(__xludf.DUMMYFUNCTION("""COMPUTED_VALUE"""),"PYXOATE 44EC")</f>
        <v>PYXOATE 44EC</v>
      </c>
      <c r="F1338" s="87" t="str">
        <f>IFERROR(__xludf.DUMMYFUNCTION("""COMPUTED_VALUE"""),"HH0852")</f>
        <v>HH0852</v>
      </c>
      <c r="G1338" s="87" t="str">
        <f>IFERROR(__xludf.DUMMYFUNCTION("""COMPUTED_VALUE"""),"IDA GLOBAL - I - 852 - Hoàng Phi - Siêu Xông Hơi (Rồng Lửa) (Pet tròn) - 450ml - 40")</f>
        <v>IDA GLOBAL - I - 852 - Hoàng Phi - Siêu Xông Hơi (Rồng Lửa) (Pet tròn) - 450ml - 40</v>
      </c>
    </row>
    <row r="1339">
      <c r="A1339" s="86">
        <f>IFERROR(__xludf.DUMMYFUNCTION("""COMPUTED_VALUE"""),1337.0)</f>
        <v>1337</v>
      </c>
      <c r="B1339" s="87" t="str">
        <f>IFERROR(__xludf.DUMMYFUNCTION("""COMPUTED_VALUE"""),"Nhãn")</f>
        <v>Nhãn</v>
      </c>
      <c r="C1339" s="87" t="str">
        <f>IFERROR(__xludf.DUMMYFUNCTION("""COMPUTED_VALUE"""),"NHD0853")</f>
        <v>NHD0853</v>
      </c>
      <c r="D1339" s="87" t="str">
        <f>IFERROR(__xludf.DUMMYFUNCTION("""COMPUTED_VALUE"""),"[Nhãn] GC - IV - 853 - Newstar - Cá Sấu (Pet Vuông) (nắp vàng)(Nước nâu đen) - 450ml - 40")</f>
        <v>[Nhãn] GC - IV - 853 - Newstar - Cá Sấu (Pet Vuông) (nắp vàng)(Nước nâu đen) - 450ml - 40</v>
      </c>
      <c r="E1339" s="87" t="str">
        <f>IFERROR(__xludf.DUMMYFUNCTION("""COMPUTED_VALUE"""),"Chitin 3.6EC")</f>
        <v>Chitin 3.6EC</v>
      </c>
      <c r="F1339" s="87" t="str">
        <f>IFERROR(__xludf.DUMMYFUNCTION("""COMPUTED_VALUE"""),"HH0853")</f>
        <v>HH0853</v>
      </c>
      <c r="G1339" s="87" t="str">
        <f>IFERROR(__xludf.DUMMYFUNCTION("""COMPUTED_VALUE"""),"GC - IV - 853 - Newstar - Cá Sấu (Pet Vuông) (nắp vàng)(Nước nâu đen) - 450ml - 40")</f>
        <v>GC - IV - 853 - Newstar - Cá Sấu (Pet Vuông) (nắp vàng)(Nước nâu đen) - 450ml - 40</v>
      </c>
    </row>
    <row r="1340">
      <c r="A1340" s="86">
        <f>IFERROR(__xludf.DUMMYFUNCTION("""COMPUTED_VALUE"""),1338.0)</f>
        <v>1338</v>
      </c>
      <c r="B1340" s="87" t="str">
        <f>IFERROR(__xludf.DUMMYFUNCTION("""COMPUTED_VALUE"""),"Nhãn thùng")</f>
        <v>Nhãn thùng</v>
      </c>
      <c r="C1340" s="87" t="str">
        <f>IFERROR(__xludf.DUMMYFUNCTION("""COMPUTED_VALUE"""),"NDT0853")</f>
        <v>NDT0853</v>
      </c>
      <c r="D1340" s="87" t="str">
        <f>IFERROR(__xludf.DUMMYFUNCTION("""COMPUTED_VALUE"""),"[Nhãn thùng] GC - IV - 853 - Newstar - Cá Sấu (Pet Vuông) (nắp vàng)(Nước nâu đen) - 450ml - 40")</f>
        <v>[Nhãn thùng] GC - IV - 853 - Newstar - Cá Sấu (Pet Vuông) (nắp vàng)(Nước nâu đen) - 450ml - 40</v>
      </c>
      <c r="E1340" s="87" t="str">
        <f>IFERROR(__xludf.DUMMYFUNCTION("""COMPUTED_VALUE"""),"Chitin 3.6EC")</f>
        <v>Chitin 3.6EC</v>
      </c>
      <c r="F1340" s="87" t="str">
        <f>IFERROR(__xludf.DUMMYFUNCTION("""COMPUTED_VALUE"""),"HH0853")</f>
        <v>HH0853</v>
      </c>
      <c r="G1340" s="87" t="str">
        <f>IFERROR(__xludf.DUMMYFUNCTION("""COMPUTED_VALUE"""),"GC - IV - 853 - Newstar - Cá Sấu (Pet Vuông) (nắp vàng)(Nước nâu đen) - 450ml - 40")</f>
        <v>GC - IV - 853 - Newstar - Cá Sấu (Pet Vuông) (nắp vàng)(Nước nâu đen) - 450ml - 40</v>
      </c>
    </row>
    <row r="1341">
      <c r="A1341" s="86">
        <f>IFERROR(__xludf.DUMMYFUNCTION("""COMPUTED_VALUE"""),1339.0)</f>
        <v>1339</v>
      </c>
      <c r="B1341" s="87" t="str">
        <f>IFERROR(__xludf.DUMMYFUNCTION("""COMPUTED_VALUE"""),"Nhãn")</f>
        <v>Nhãn</v>
      </c>
      <c r="C1341" s="87" t="str">
        <f>IFERROR(__xludf.DUMMYFUNCTION("""COMPUTED_VALUE"""),"NHD0854")</f>
        <v>NHD0854</v>
      </c>
      <c r="D1341" s="87" t="str">
        <f>IFERROR(__xludf.DUMMYFUNCTION("""COMPUTED_VALUE"""),"[Nhãn] GC - IV - 854 - Newstar - Đổ Ốc(Pet Vuông) (nắp vàng)(Nước nâu đen) - 450ml - 40")</f>
        <v>[Nhãn] GC - IV - 854 - Newstar - Đổ Ốc(Pet Vuông) (nắp vàng)(Nước nâu đen) - 450ml - 40</v>
      </c>
      <c r="E1341" s="87" t="str">
        <f>IFERROR(__xludf.DUMMYFUNCTION("""COMPUTED_VALUE"""),"Chitin 3.6EC")</f>
        <v>Chitin 3.6EC</v>
      </c>
      <c r="F1341" s="87" t="str">
        <f>IFERROR(__xludf.DUMMYFUNCTION("""COMPUTED_VALUE"""),"HH0854")</f>
        <v>HH0854</v>
      </c>
      <c r="G1341" s="87" t="str">
        <f>IFERROR(__xludf.DUMMYFUNCTION("""COMPUTED_VALUE"""),"GC - IV - 854 - Newstar - Đổ Ốc(Pet Vuông) (nắp vàng)(Nước nâu đen) - 450ml - 40")</f>
        <v>GC - IV - 854 - Newstar - Đổ Ốc(Pet Vuông) (nắp vàng)(Nước nâu đen) - 450ml - 40</v>
      </c>
    </row>
    <row r="1342">
      <c r="A1342" s="86">
        <f>IFERROR(__xludf.DUMMYFUNCTION("""COMPUTED_VALUE"""),1340.0)</f>
        <v>1340</v>
      </c>
      <c r="B1342" s="87" t="str">
        <f>IFERROR(__xludf.DUMMYFUNCTION("""COMPUTED_VALUE"""),"Nhãn thùng")</f>
        <v>Nhãn thùng</v>
      </c>
      <c r="C1342" s="87" t="str">
        <f>IFERROR(__xludf.DUMMYFUNCTION("""COMPUTED_VALUE"""),"NDT0854")</f>
        <v>NDT0854</v>
      </c>
      <c r="D1342" s="87" t="str">
        <f>IFERROR(__xludf.DUMMYFUNCTION("""COMPUTED_VALUE"""),"[Nhãn thùng] GC - IV - 854 - Newstar - Đổ Ốc(Pet Vuông) (nắp vàng)(Nước nâu đen) - 450ml - 40")</f>
        <v>[Nhãn thùng] GC - IV - 854 - Newstar - Đổ Ốc(Pet Vuông) (nắp vàng)(Nước nâu đen) - 450ml - 40</v>
      </c>
      <c r="E1342" s="87" t="str">
        <f>IFERROR(__xludf.DUMMYFUNCTION("""COMPUTED_VALUE"""),"Chitin 3.6EC")</f>
        <v>Chitin 3.6EC</v>
      </c>
      <c r="F1342" s="87" t="str">
        <f>IFERROR(__xludf.DUMMYFUNCTION("""COMPUTED_VALUE"""),"HH0854")</f>
        <v>HH0854</v>
      </c>
      <c r="G1342" s="87" t="str">
        <f>IFERROR(__xludf.DUMMYFUNCTION("""COMPUTED_VALUE"""),"GC - IV - 854 - Newstar - Đổ Ốc(Pet Vuông) (nắp vàng)(Nước nâu đen) - 450ml - 40")</f>
        <v>GC - IV - 854 - Newstar - Đổ Ốc(Pet Vuông) (nắp vàng)(Nước nâu đen) - 450ml - 40</v>
      </c>
    </row>
    <row r="1343">
      <c r="A1343" s="86">
        <f>IFERROR(__xludf.DUMMYFUNCTION("""COMPUTED_VALUE"""),1341.0)</f>
        <v>1341</v>
      </c>
      <c r="B1343" s="87" t="str">
        <f>IFERROR(__xludf.DUMMYFUNCTION("""COMPUTED_VALUE"""),"Nhãn")</f>
        <v>Nhãn</v>
      </c>
      <c r="C1343" s="87" t="str">
        <f>IFERROR(__xludf.DUMMYFUNCTION("""COMPUTED_VALUE"""),"NHG0855")</f>
        <v>NHG0855</v>
      </c>
      <c r="D1343" s="87" t="str">
        <f>IFERROR(__xludf.DUMMYFUNCTION("""COMPUTED_VALUE"""),"[Nhãn] GC - IV - Agritech - 855 - Pyxoate 44EC (PET tròn) (nắp trắng)(nước đỏ) - 450ml - 40")</f>
        <v>[Nhãn] GC - IV - Agritech - 855 - Pyxoate 44EC (PET tròn) (nắp trắng)(nước đỏ) - 450ml - 40</v>
      </c>
      <c r="E1343" s="87" t="str">
        <f>IFERROR(__xludf.DUMMYFUNCTION("""COMPUTED_VALUE"""),"PYXOATE 44EC")</f>
        <v>PYXOATE 44EC</v>
      </c>
      <c r="F1343" s="87" t="str">
        <f>IFERROR(__xludf.DUMMYFUNCTION("""COMPUTED_VALUE"""),"HH0855")</f>
        <v>HH0855</v>
      </c>
      <c r="G1343" s="87" t="str">
        <f>IFERROR(__xludf.DUMMYFUNCTION("""COMPUTED_VALUE"""),"GC - IV - Agritech - 855 - Pyxoate 44EC (PET tròn) (nắp trắng)(nước đỏ) - 450ml - 40")</f>
        <v>GC - IV - Agritech - 855 - Pyxoate 44EC (PET tròn) (nắp trắng)(nước đỏ) - 450ml - 40</v>
      </c>
    </row>
    <row r="1344">
      <c r="A1344" s="86">
        <f>IFERROR(__xludf.DUMMYFUNCTION("""COMPUTED_VALUE"""),1342.0)</f>
        <v>1342</v>
      </c>
      <c r="B1344" s="87" t="str">
        <f>IFERROR(__xludf.DUMMYFUNCTION("""COMPUTED_VALUE"""),"Nhãn")</f>
        <v>Nhãn</v>
      </c>
      <c r="C1344" s="87" t="str">
        <f>IFERROR(__xludf.DUMMYFUNCTION("""COMPUTED_VALUE"""),"NHG0856")</f>
        <v>NHG0856</v>
      </c>
      <c r="D1344" s="87" t="str">
        <f>IFERROR(__xludf.DUMMYFUNCTION("""COMPUTED_VALUE"""),"[Nhãn] GC - IV - 856 - Xuân Sơn 02L - Abametin 3.6 (Ốc Vàng - Nhãn Cam) (Pet tròn)(nước nâu đen) - 450ml - 40")</f>
        <v>[Nhãn] GC - IV - 856 - Xuân Sơn 02L - Abametin 3.6 (Ốc Vàng - Nhãn Cam) (Pet tròn)(nước nâu đen) - 450ml - 40</v>
      </c>
      <c r="E1344" s="87" t="str">
        <f>IFERROR(__xludf.DUMMYFUNCTION("""COMPUTED_VALUE"""),"Chitin 3.6EC")</f>
        <v>Chitin 3.6EC</v>
      </c>
      <c r="F1344" s="87" t="str">
        <f>IFERROR(__xludf.DUMMYFUNCTION("""COMPUTED_VALUE"""),"HH0856")</f>
        <v>HH0856</v>
      </c>
      <c r="G1344" s="87" t="str">
        <f>IFERROR(__xludf.DUMMYFUNCTION("""COMPUTED_VALUE"""),"GC - IV - 856 - Xuân Sơn 02L - Abametin 3.6 (Ốc Vàng - Nhãn Cam) (Pet tròn)(nước nâu đen) - 450ml - 40")</f>
        <v>GC - IV - 856 - Xuân Sơn 02L - Abametin 3.6 (Ốc Vàng - Nhãn Cam) (Pet tròn)(nước nâu đen) - 450ml - 40</v>
      </c>
    </row>
    <row r="1345">
      <c r="A1345" s="86">
        <f>IFERROR(__xludf.DUMMYFUNCTION("""COMPUTED_VALUE"""),1343.0)</f>
        <v>1343</v>
      </c>
      <c r="B1345" s="87" t="str">
        <f>IFERROR(__xludf.DUMMYFUNCTION("""COMPUTED_VALUE"""),"Nhãn thùng")</f>
        <v>Nhãn thùng</v>
      </c>
      <c r="C1345" s="87" t="str">
        <f>IFERROR(__xludf.DUMMYFUNCTION("""COMPUTED_VALUE"""),"NDT0856")</f>
        <v>NDT0856</v>
      </c>
      <c r="D1345" s="87" t="str">
        <f>IFERROR(__xludf.DUMMYFUNCTION("""COMPUTED_VALUE"""),"[Nhãn thùng] GC - IV - 856 - Xuân Sơn 02L - Abametin 3.6 (Ốc Vàng - Nhãn Cam) (Pet tròn)(nước nâu đen) - 450ml - 40")</f>
        <v>[Nhãn thùng] GC - IV - 856 - Xuân Sơn 02L - Abametin 3.6 (Ốc Vàng - Nhãn Cam) (Pet tròn)(nước nâu đen) - 450ml - 40</v>
      </c>
      <c r="E1345" s="87" t="str">
        <f>IFERROR(__xludf.DUMMYFUNCTION("""COMPUTED_VALUE"""),"Chitin 3.6EC")</f>
        <v>Chitin 3.6EC</v>
      </c>
      <c r="F1345" s="87" t="str">
        <f>IFERROR(__xludf.DUMMYFUNCTION("""COMPUTED_VALUE"""),"HH0856")</f>
        <v>HH0856</v>
      </c>
      <c r="G1345" s="87" t="str">
        <f>IFERROR(__xludf.DUMMYFUNCTION("""COMPUTED_VALUE"""),"GC - IV - 856 - Xuân Sơn 02L - Abametin 3.6 (Ốc Vàng - Nhãn Cam) (Pet tròn)(nước nâu đen) - 450ml - 40")</f>
        <v>GC - IV - 856 - Xuân Sơn 02L - Abametin 3.6 (Ốc Vàng - Nhãn Cam) (Pet tròn)(nước nâu đen) - 450ml - 40</v>
      </c>
    </row>
    <row r="1346">
      <c r="A1346" s="86">
        <f>IFERROR(__xludf.DUMMYFUNCTION("""COMPUTED_VALUE"""),1344.0)</f>
        <v>1344</v>
      </c>
      <c r="B1346" s="87" t="str">
        <f>IFERROR(__xludf.DUMMYFUNCTION("""COMPUTED_VALUE"""),"Nhãn")</f>
        <v>Nhãn</v>
      </c>
      <c r="C1346" s="87" t="str">
        <f>IFERROR(__xludf.DUMMYFUNCTION("""COMPUTED_VALUE"""),"NHD0857")</f>
        <v>NHD0857</v>
      </c>
      <c r="D1346" s="87" t="str">
        <f>IFERROR(__xludf.DUMMYFUNCTION("""COMPUTED_VALUE"""),"[Nhãn] GC - IV - 857 - Xuân Sơn 02L - Abametin 3.6 (Ốc Vàng - Nhãn Cam) (Pet vuông)(nước nâu đen)- 450ml - 40")</f>
        <v>[Nhãn] GC - IV - 857 - Xuân Sơn 02L - Abametin 3.6 (Ốc Vàng - Nhãn Cam) (Pet vuông)(nước nâu đen)- 450ml - 40</v>
      </c>
      <c r="E1346" s="87" t="str">
        <f>IFERROR(__xludf.DUMMYFUNCTION("""COMPUTED_VALUE"""),"Chitin 3.6EC")</f>
        <v>Chitin 3.6EC</v>
      </c>
      <c r="F1346" s="87" t="str">
        <f>IFERROR(__xludf.DUMMYFUNCTION("""COMPUTED_VALUE"""),"HH0857")</f>
        <v>HH0857</v>
      </c>
      <c r="G1346" s="87" t="str">
        <f>IFERROR(__xludf.DUMMYFUNCTION("""COMPUTED_VALUE"""),"GC - IV - 857 - Xuân Sơn 02L - Abametin 3.6 (Ốc Vàng - Nhãn Cam) (Pet vuông)(nước nâu đen)- 450ml - 40")</f>
        <v>GC - IV - 857 - Xuân Sơn 02L - Abametin 3.6 (Ốc Vàng - Nhãn Cam) (Pet vuông)(nước nâu đen)- 450ml - 40</v>
      </c>
    </row>
    <row r="1347">
      <c r="A1347" s="86">
        <f>IFERROR(__xludf.DUMMYFUNCTION("""COMPUTED_VALUE"""),1345.0)</f>
        <v>1345</v>
      </c>
      <c r="B1347" s="87" t="str">
        <f>IFERROR(__xludf.DUMMYFUNCTION("""COMPUTED_VALUE"""),"Nhãn thùng")</f>
        <v>Nhãn thùng</v>
      </c>
      <c r="C1347" s="87" t="str">
        <f>IFERROR(__xludf.DUMMYFUNCTION("""COMPUTED_VALUE"""),"NDT0857")</f>
        <v>NDT0857</v>
      </c>
      <c r="D1347" s="87" t="str">
        <f>IFERROR(__xludf.DUMMYFUNCTION("""COMPUTED_VALUE"""),"[Nhãn thùng] GC - IV - 857 - Xuân Sơn 02L - Abametin 3.6 (Ốc Vàng - Nhãn Cam) (Pet vuông)(nước nâu đen)- 450ml - 40")</f>
        <v>[Nhãn thùng] GC - IV - 857 - Xuân Sơn 02L - Abametin 3.6 (Ốc Vàng - Nhãn Cam) (Pet vuông)(nước nâu đen)- 450ml - 40</v>
      </c>
      <c r="E1347" s="87" t="str">
        <f>IFERROR(__xludf.DUMMYFUNCTION("""COMPUTED_VALUE"""),"Chitin 3.6EC")</f>
        <v>Chitin 3.6EC</v>
      </c>
      <c r="F1347" s="87" t="str">
        <f>IFERROR(__xludf.DUMMYFUNCTION("""COMPUTED_VALUE"""),"HH0857")</f>
        <v>HH0857</v>
      </c>
      <c r="G1347" s="87" t="str">
        <f>IFERROR(__xludf.DUMMYFUNCTION("""COMPUTED_VALUE"""),"GC - IV - 857 - Xuân Sơn 02L - Abametin 3.6 (Ốc Vàng - Nhãn Cam) (Pet vuông)(nước nâu đen)- 450ml - 40")</f>
        <v>GC - IV - 857 - Xuân Sơn 02L - Abametin 3.6 (Ốc Vàng - Nhãn Cam) (Pet vuông)(nước nâu đen)- 450ml - 40</v>
      </c>
    </row>
    <row r="1348">
      <c r="A1348" s="86">
        <f>IFERROR(__xludf.DUMMYFUNCTION("""COMPUTED_VALUE"""),1346.0)</f>
        <v>1346</v>
      </c>
      <c r="B1348" s="87" t="str">
        <f>IFERROR(__xludf.DUMMYFUNCTION("""COMPUTED_VALUE"""),"Nhãn")</f>
        <v>Nhãn</v>
      </c>
      <c r="C1348" s="87" t="str">
        <f>IFERROR(__xludf.DUMMYFUNCTION("""COMPUTED_VALUE"""),"NHG0858")</f>
        <v>NHG0858</v>
      </c>
      <c r="D1348" s="87" t="str">
        <f>IFERROR(__xludf.DUMMYFUNCTION("""COMPUTED_VALUE"""),"[Nhãn] GC - IV - 858 - Nguyễn Huy Phú - Chitin 3.6EC (Chai tròn) (Nước nâu đen) - 450ml - 40")</f>
        <v>[Nhãn] GC - IV - 858 - Nguyễn Huy Phú - Chitin 3.6EC (Chai tròn) (Nước nâu đen) - 450ml - 40</v>
      </c>
      <c r="E1348" s="87" t="str">
        <f>IFERROR(__xludf.DUMMYFUNCTION("""COMPUTED_VALUE"""),"Chitin 3.6EC")</f>
        <v>Chitin 3.6EC</v>
      </c>
      <c r="F1348" s="87" t="str">
        <f>IFERROR(__xludf.DUMMYFUNCTION("""COMPUTED_VALUE"""),"HH0858")</f>
        <v>HH0858</v>
      </c>
      <c r="G1348" s="87" t="str">
        <f>IFERROR(__xludf.DUMMYFUNCTION("""COMPUTED_VALUE"""),"GC - IV - 858 - Nguyễn Huy Phú - Chitin 3.6EC (Chai tròn) (Nước nâu đen) - 450ml - 40")</f>
        <v>GC - IV - 858 - Nguyễn Huy Phú - Chitin 3.6EC (Chai tròn) (Nước nâu đen) - 450ml - 40</v>
      </c>
    </row>
    <row r="1349">
      <c r="A1349" s="86">
        <f>IFERROR(__xludf.DUMMYFUNCTION("""COMPUTED_VALUE"""),1347.0)</f>
        <v>1347</v>
      </c>
      <c r="B1349" s="87" t="str">
        <f>IFERROR(__xludf.DUMMYFUNCTION("""COMPUTED_VALUE"""),"Nhãn thùng")</f>
        <v>Nhãn thùng</v>
      </c>
      <c r="C1349" s="87" t="str">
        <f>IFERROR(__xludf.DUMMYFUNCTION("""COMPUTED_VALUE"""),"NDT0858")</f>
        <v>NDT0858</v>
      </c>
      <c r="D1349" s="87" t="str">
        <f>IFERROR(__xludf.DUMMYFUNCTION("""COMPUTED_VALUE"""),"[Nhãn thùng] GC - IV - 858 - Nguyễn Huy Phú - Chitin 3.6EC (Chai tròn) (Nước nâu đen) - 450ml - 40")</f>
        <v>[Nhãn thùng] GC - IV - 858 - Nguyễn Huy Phú - Chitin 3.6EC (Chai tròn) (Nước nâu đen) - 450ml - 40</v>
      </c>
      <c r="E1349" s="87" t="str">
        <f>IFERROR(__xludf.DUMMYFUNCTION("""COMPUTED_VALUE"""),"Chitin 3.6EC")</f>
        <v>Chitin 3.6EC</v>
      </c>
      <c r="F1349" s="87" t="str">
        <f>IFERROR(__xludf.DUMMYFUNCTION("""COMPUTED_VALUE"""),"HH0858")</f>
        <v>HH0858</v>
      </c>
      <c r="G1349" s="87" t="str">
        <f>IFERROR(__xludf.DUMMYFUNCTION("""COMPUTED_VALUE"""),"GC - IV - 858 - Nguyễn Huy Phú - Chitin 3.6EC (Chai tròn) (Nước nâu đen) - 450ml - 40")</f>
        <v>GC - IV - 858 - Nguyễn Huy Phú - Chitin 3.6EC (Chai tròn) (Nước nâu đen) - 450ml - 40</v>
      </c>
    </row>
    <row r="1350">
      <c r="A1350" s="86">
        <f>IFERROR(__xludf.DUMMYFUNCTION("""COMPUTED_VALUE"""),1348.0)</f>
        <v>1348</v>
      </c>
      <c r="B1350" s="87" t="str">
        <f>IFERROR(__xludf.DUMMYFUNCTION("""COMPUTED_VALUE"""),"Nhãn")</f>
        <v>Nhãn</v>
      </c>
      <c r="C1350" s="87" t="str">
        <f>IFERROR(__xludf.DUMMYFUNCTION("""COMPUTED_VALUE"""),"NHD0862")</f>
        <v>NHD0862</v>
      </c>
      <c r="D1350" s="87" t="str">
        <f>IFERROR(__xludf.DUMMYFUNCTION("""COMPUTED_VALUE"""),"[Nhãn] GC - IV - 862 - Agritech - Agritech Abamectin 36 (Chai Vuông) (Nước nâu đen) - 450ml - 40")</f>
        <v>[Nhãn] GC - IV - 862 - Agritech - Agritech Abamectin 36 (Chai Vuông) (Nước nâu đen) - 450ml - 40</v>
      </c>
      <c r="E1350" s="87" t="str">
        <f>IFERROR(__xludf.DUMMYFUNCTION("""COMPUTED_VALUE"""),"Chitin 3.6EC")</f>
        <v>Chitin 3.6EC</v>
      </c>
      <c r="F1350" s="87" t="str">
        <f>IFERROR(__xludf.DUMMYFUNCTION("""COMPUTED_VALUE"""),"HH0862")</f>
        <v>HH0862</v>
      </c>
      <c r="G1350" s="87" t="str">
        <f>IFERROR(__xludf.DUMMYFUNCTION("""COMPUTED_VALUE"""),"GC - IV - 862 - Agritech - Agritech Abamectin 36 (Chai Vuông) (Nước nâu đen) - 450ml - 40")</f>
        <v>GC - IV - 862 - Agritech - Agritech Abamectin 36 (Chai Vuông) (Nước nâu đen) - 450ml - 40</v>
      </c>
    </row>
    <row r="1351">
      <c r="A1351" s="86">
        <f>IFERROR(__xludf.DUMMYFUNCTION("""COMPUTED_VALUE"""),1349.0)</f>
        <v>1349</v>
      </c>
      <c r="B1351" s="87" t="str">
        <f>IFERROR(__xludf.DUMMYFUNCTION("""COMPUTED_VALUE"""),"Nhãn thùng")</f>
        <v>Nhãn thùng</v>
      </c>
      <c r="C1351" s="87" t="str">
        <f>IFERROR(__xludf.DUMMYFUNCTION("""COMPUTED_VALUE"""),"NDT0862")</f>
        <v>NDT0862</v>
      </c>
      <c r="D1351" s="87" t="str">
        <f>IFERROR(__xludf.DUMMYFUNCTION("""COMPUTED_VALUE"""),"[Nhãn thùng] GC - IV - 862 - Agritech - Agritech Abamectin 36 (Chai Vuông) (Nước nâu đen) - 450ml - 40")</f>
        <v>[Nhãn thùng] GC - IV - 862 - Agritech - Agritech Abamectin 36 (Chai Vuông) (Nước nâu đen) - 450ml - 40</v>
      </c>
      <c r="E1351" s="87" t="str">
        <f>IFERROR(__xludf.DUMMYFUNCTION("""COMPUTED_VALUE"""),"Chitin 3.6EC")</f>
        <v>Chitin 3.6EC</v>
      </c>
      <c r="F1351" s="87" t="str">
        <f>IFERROR(__xludf.DUMMYFUNCTION("""COMPUTED_VALUE"""),"HH0862")</f>
        <v>HH0862</v>
      </c>
      <c r="G1351" s="87" t="str">
        <f>IFERROR(__xludf.DUMMYFUNCTION("""COMPUTED_VALUE"""),"GC - IV - 862 - Agritech - Agritech Abamectin 36 (Chai Vuông) (Nước nâu đen) - 450ml - 40")</f>
        <v>GC - IV - 862 - Agritech - Agritech Abamectin 36 (Chai Vuông) (Nước nâu đen) - 450ml - 40</v>
      </c>
    </row>
    <row r="1352">
      <c r="A1352" s="86">
        <f>IFERROR(__xludf.DUMMYFUNCTION("""COMPUTED_VALUE"""),1350.0)</f>
        <v>1350</v>
      </c>
      <c r="B1352" s="87" t="str">
        <f>IFERROR(__xludf.DUMMYFUNCTION("""COMPUTED_VALUE"""),"Nhãn")</f>
        <v>Nhãn</v>
      </c>
      <c r="C1352" s="87" t="str">
        <f>IFERROR(__xludf.DUMMYFUNCTION("""COMPUTED_VALUE"""),"NHG0863")</f>
        <v>NHG0863</v>
      </c>
      <c r="D1352" s="87" t="str">
        <f>IFERROR(__xludf.DUMMYFUNCTION("""COMPUTED_VALUE"""),"[Nhãn] GC - IV - 863 - Xuân Sơn 02L - Abametin 3.6 (Ốc Vàng - Nhãn đen) (Pet tròn)(nước nâu đen)- 450ml - 40")</f>
        <v>[Nhãn] GC - IV - 863 - Xuân Sơn 02L - Abametin 3.6 (Ốc Vàng - Nhãn đen) (Pet tròn)(nước nâu đen)- 450ml - 40</v>
      </c>
      <c r="E1352" s="87" t="str">
        <f>IFERROR(__xludf.DUMMYFUNCTION("""COMPUTED_VALUE"""),"Chitin 3.6EC")</f>
        <v>Chitin 3.6EC</v>
      </c>
      <c r="F1352" s="87" t="str">
        <f>IFERROR(__xludf.DUMMYFUNCTION("""COMPUTED_VALUE"""),"HH0863")</f>
        <v>HH0863</v>
      </c>
      <c r="G1352" s="87" t="str">
        <f>IFERROR(__xludf.DUMMYFUNCTION("""COMPUTED_VALUE"""),"GC - IV - 863 - Xuân Sơn 02L - Abametin 3.6 (Ốc Vàng - Nhãn đen) (Pet tròn)(nước nâu đen)- 450ml - 40")</f>
        <v>GC - IV - 863 - Xuân Sơn 02L - Abametin 3.6 (Ốc Vàng - Nhãn đen) (Pet tròn)(nước nâu đen)- 450ml - 40</v>
      </c>
    </row>
    <row r="1353">
      <c r="A1353" s="86">
        <f>IFERROR(__xludf.DUMMYFUNCTION("""COMPUTED_VALUE"""),1351.0)</f>
        <v>1351</v>
      </c>
      <c r="B1353" s="87" t="str">
        <f>IFERROR(__xludf.DUMMYFUNCTION("""COMPUTED_VALUE"""),"Nhãn thùng")</f>
        <v>Nhãn thùng</v>
      </c>
      <c r="C1353" s="87" t="str">
        <f>IFERROR(__xludf.DUMMYFUNCTION("""COMPUTED_VALUE"""),"NDT0863")</f>
        <v>NDT0863</v>
      </c>
      <c r="D1353" s="87" t="str">
        <f>IFERROR(__xludf.DUMMYFUNCTION("""COMPUTED_VALUE"""),"[Nhãn thùng] GC - IV - 863 - Xuân Sơn 02L - Abametin 3.6 (Ốc Vàng - Nhãn đen) (Pet tròn)(nước nâu đen)- 450ml - 40")</f>
        <v>[Nhãn thùng] GC - IV - 863 - Xuân Sơn 02L - Abametin 3.6 (Ốc Vàng - Nhãn đen) (Pet tròn)(nước nâu đen)- 450ml - 40</v>
      </c>
      <c r="E1353" s="87" t="str">
        <f>IFERROR(__xludf.DUMMYFUNCTION("""COMPUTED_VALUE"""),"Chitin 3.6EC")</f>
        <v>Chitin 3.6EC</v>
      </c>
      <c r="F1353" s="87" t="str">
        <f>IFERROR(__xludf.DUMMYFUNCTION("""COMPUTED_VALUE"""),"HH0863")</f>
        <v>HH0863</v>
      </c>
      <c r="G1353" s="87" t="str">
        <f>IFERROR(__xludf.DUMMYFUNCTION("""COMPUTED_VALUE"""),"GC - IV - 863 - Xuân Sơn 02L - Abametin 3.6 (Ốc Vàng - Nhãn đen) (Pet tròn)(nước nâu đen)- 450ml - 40")</f>
        <v>GC - IV - 863 - Xuân Sơn 02L - Abametin 3.6 (Ốc Vàng - Nhãn đen) (Pet tròn)(nước nâu đen)- 450ml - 40</v>
      </c>
    </row>
    <row r="1354">
      <c r="A1354" s="86">
        <f>IFERROR(__xludf.DUMMYFUNCTION("""COMPUTED_VALUE"""),1352.0)</f>
        <v>1352</v>
      </c>
      <c r="B1354" s="87" t="str">
        <f>IFERROR(__xludf.DUMMYFUNCTION("""COMPUTED_VALUE"""),"Nhãn")</f>
        <v>Nhãn</v>
      </c>
      <c r="C1354" s="87" t="str">
        <f>IFERROR(__xludf.DUMMYFUNCTION("""COMPUTED_VALUE"""),"NHD0864")</f>
        <v>NHD0864</v>
      </c>
      <c r="D1354" s="87" t="str">
        <f>IFERROR(__xludf.DUMMYFUNCTION("""COMPUTED_VALUE"""),"[Nhãn] GC - IV - 864 - Xuân Sơn 02L - Abametin 3.6 (Ốc Vàng - Nhãn đen) (Pet vuông)(nước nâu đen) - 450ml - 40")</f>
        <v>[Nhãn] GC - IV - 864 - Xuân Sơn 02L - Abametin 3.6 (Ốc Vàng - Nhãn đen) (Pet vuông)(nước nâu đen) - 450ml - 40</v>
      </c>
      <c r="E1354" s="87" t="str">
        <f>IFERROR(__xludf.DUMMYFUNCTION("""COMPUTED_VALUE"""),"Chitin 3.6EC")</f>
        <v>Chitin 3.6EC</v>
      </c>
      <c r="F1354" s="87" t="str">
        <f>IFERROR(__xludf.DUMMYFUNCTION("""COMPUTED_VALUE"""),"HH0864")</f>
        <v>HH0864</v>
      </c>
      <c r="G1354" s="87" t="str">
        <f>IFERROR(__xludf.DUMMYFUNCTION("""COMPUTED_VALUE"""),"GC - IV - 864 - Xuân Sơn 02L - Abametin 3.6 (Ốc Vàng - Nhãn đen) (Pet vuông)(nước nâu đen) - 450ml - 40")</f>
        <v>GC - IV - 864 - Xuân Sơn 02L - Abametin 3.6 (Ốc Vàng - Nhãn đen) (Pet vuông)(nước nâu đen) - 450ml - 40</v>
      </c>
    </row>
    <row r="1355">
      <c r="A1355" s="86">
        <f>IFERROR(__xludf.DUMMYFUNCTION("""COMPUTED_VALUE"""),1353.0)</f>
        <v>1353</v>
      </c>
      <c r="B1355" s="87" t="str">
        <f>IFERROR(__xludf.DUMMYFUNCTION("""COMPUTED_VALUE"""),"Nhãn thùng")</f>
        <v>Nhãn thùng</v>
      </c>
      <c r="C1355" s="87" t="str">
        <f>IFERROR(__xludf.DUMMYFUNCTION("""COMPUTED_VALUE"""),"NDT0864")</f>
        <v>NDT0864</v>
      </c>
      <c r="D1355" s="87" t="str">
        <f>IFERROR(__xludf.DUMMYFUNCTION("""COMPUTED_VALUE"""),"[Nhãn thùng] GC - IV - 864 - Xuân Sơn 02L - Abametin 3.6 (Ốc Vàng - Nhãn đen) (Pet vuông)(nước nâu đen) - 450ml - 40")</f>
        <v>[Nhãn thùng] GC - IV - 864 - Xuân Sơn 02L - Abametin 3.6 (Ốc Vàng - Nhãn đen) (Pet vuông)(nước nâu đen) - 450ml - 40</v>
      </c>
      <c r="E1355" s="87" t="str">
        <f>IFERROR(__xludf.DUMMYFUNCTION("""COMPUTED_VALUE"""),"Chitin 3.6EC")</f>
        <v>Chitin 3.6EC</v>
      </c>
      <c r="F1355" s="87" t="str">
        <f>IFERROR(__xludf.DUMMYFUNCTION("""COMPUTED_VALUE"""),"HH0864")</f>
        <v>HH0864</v>
      </c>
      <c r="G1355" s="87" t="str">
        <f>IFERROR(__xludf.DUMMYFUNCTION("""COMPUTED_VALUE"""),"GC - IV - 864 - Xuân Sơn 02L - Abametin 3.6 (Ốc Vàng - Nhãn đen) (Pet vuông)(nước nâu đen) - 450ml - 40")</f>
        <v>GC - IV - 864 - Xuân Sơn 02L - Abametin 3.6 (Ốc Vàng - Nhãn đen) (Pet vuông)(nước nâu đen) - 450ml - 40</v>
      </c>
    </row>
    <row r="1356">
      <c r="A1356" s="86">
        <f>IFERROR(__xludf.DUMMYFUNCTION("""COMPUTED_VALUE"""),1354.0)</f>
        <v>1354</v>
      </c>
      <c r="B1356" s="87" t="str">
        <f>IFERROR(__xludf.DUMMYFUNCTION("""COMPUTED_VALUE"""),"Nhãn")</f>
        <v>Nhãn</v>
      </c>
      <c r="C1356" s="87" t="str">
        <f>IFERROR(__xludf.DUMMYFUNCTION("""COMPUTED_VALUE"""),"NHG0865")</f>
        <v>NHG0865</v>
      </c>
      <c r="D1356" s="87" t="str">
        <f>IFERROR(__xludf.DUMMYFUNCTION("""COMPUTED_VALUE"""),"[Nhãn] LOT IDA Global - I - 865 - ĐL Huỳnh Văn Đậu - Thần Hổ 4.0 (Pet tròn) (nắp đỏ)(nước nâu đen) - 450ml - 40")</f>
        <v>[Nhãn] LOT IDA Global - I - 865 - ĐL Huỳnh Văn Đậu - Thần Hổ 4.0 (Pet tròn) (nắp đỏ)(nước nâu đen) - 450ml - 40</v>
      </c>
      <c r="E1356" s="87" t="str">
        <f>IFERROR(__xludf.DUMMYFUNCTION("""COMPUTED_VALUE"""),"Chitin 3.6EC")</f>
        <v>Chitin 3.6EC</v>
      </c>
      <c r="F1356" s="87" t="str">
        <f>IFERROR(__xludf.DUMMYFUNCTION("""COMPUTED_VALUE"""),"HH0865")</f>
        <v>HH0865</v>
      </c>
      <c r="G1356" s="87" t="str">
        <f>IFERROR(__xludf.DUMMYFUNCTION("""COMPUTED_VALUE"""),"LOT IDA Global - I - 865 - ĐL Huỳnh Văn Đậu - Thần Hổ 4.0 (Pet tròn) (nắp đỏ)(nước nâu đen) - 450ml - 40")</f>
        <v>LOT IDA Global - I - 865 - ĐL Huỳnh Văn Đậu - Thần Hổ 4.0 (Pet tròn) (nắp đỏ)(nước nâu đen) - 450ml - 40</v>
      </c>
    </row>
    <row r="1357">
      <c r="A1357" s="86">
        <f>IFERROR(__xludf.DUMMYFUNCTION("""COMPUTED_VALUE"""),1355.0)</f>
        <v>1355</v>
      </c>
      <c r="B1357" s="87" t="str">
        <f>IFERROR(__xludf.DUMMYFUNCTION("""COMPUTED_VALUE"""),"Nhãn thùng")</f>
        <v>Nhãn thùng</v>
      </c>
      <c r="C1357" s="87" t="str">
        <f>IFERROR(__xludf.DUMMYFUNCTION("""COMPUTED_VALUE"""),"NDT0865")</f>
        <v>NDT0865</v>
      </c>
      <c r="D1357" s="87" t="str">
        <f>IFERROR(__xludf.DUMMYFUNCTION("""COMPUTED_VALUE"""),"[Nhãn thùng] LOT IDA Global - I - 865 - ĐL Huỳnh Văn Đậu - Thần Hổ 4.0 (Pet tròn) (nắp đỏ)(nước nâu đen) - 450ml - 40")</f>
        <v>[Nhãn thùng] LOT IDA Global - I - 865 - ĐL Huỳnh Văn Đậu - Thần Hổ 4.0 (Pet tròn) (nắp đỏ)(nước nâu đen) - 450ml - 40</v>
      </c>
      <c r="E1357" s="87" t="str">
        <f>IFERROR(__xludf.DUMMYFUNCTION("""COMPUTED_VALUE"""),"Chitin 3.6EC")</f>
        <v>Chitin 3.6EC</v>
      </c>
      <c r="F1357" s="87" t="str">
        <f>IFERROR(__xludf.DUMMYFUNCTION("""COMPUTED_VALUE"""),"HH0865")</f>
        <v>HH0865</v>
      </c>
      <c r="G1357" s="87" t="str">
        <f>IFERROR(__xludf.DUMMYFUNCTION("""COMPUTED_VALUE"""),"LOT IDA Global - I - 865 - ĐL Huỳnh Văn Đậu - Thần Hổ 4.0 (Pet tròn) (nắp đỏ)(nước nâu đen) - 450ml - 40")</f>
        <v>LOT IDA Global - I - 865 - ĐL Huỳnh Văn Đậu - Thần Hổ 4.0 (Pet tròn) (nắp đỏ)(nước nâu đen) - 450ml - 40</v>
      </c>
    </row>
    <row r="1358">
      <c r="A1358" s="86">
        <f>IFERROR(__xludf.DUMMYFUNCTION("""COMPUTED_VALUE"""),1356.0)</f>
        <v>1356</v>
      </c>
      <c r="B1358" s="87" t="str">
        <f>IFERROR(__xludf.DUMMYFUNCTION("""COMPUTED_VALUE"""),"Nhãn")</f>
        <v>Nhãn</v>
      </c>
      <c r="C1358" s="87" t="str">
        <f>IFERROR(__xludf.DUMMYFUNCTION("""COMPUTED_VALUE"""),"NHG0866")</f>
        <v>NHG0866</v>
      </c>
      <c r="D1358" s="87" t="str">
        <f>IFERROR(__xludf.DUMMYFUNCTION("""COMPUTED_VALUE"""),"[Nhãn] LOT IDA Global - I - 866 - ĐL Hoàng Châu Long - Thần Hổ (Pet tròn) (nắp vàng)(nước nâu đen) - 450ml - 40")</f>
        <v>[Nhãn] LOT IDA Global - I - 866 - ĐL Hoàng Châu Long - Thần Hổ (Pet tròn) (nắp vàng)(nước nâu đen) - 450ml - 40</v>
      </c>
      <c r="E1358" s="87" t="str">
        <f>IFERROR(__xludf.DUMMYFUNCTION("""COMPUTED_VALUE"""),"Chitin 3.6EC")</f>
        <v>Chitin 3.6EC</v>
      </c>
      <c r="F1358" s="87" t="str">
        <f>IFERROR(__xludf.DUMMYFUNCTION("""COMPUTED_VALUE"""),"HH0866")</f>
        <v>HH0866</v>
      </c>
      <c r="G1358" s="87" t="str">
        <f>IFERROR(__xludf.DUMMYFUNCTION("""COMPUTED_VALUE"""),"LOT IDA Global - I - 866 - ĐL Hoàng Châu Long - Thần Hổ (Pet tròn) (nắp vàng)(nước nâu đen) - 450ml - 40")</f>
        <v>LOT IDA Global - I - 866 - ĐL Hoàng Châu Long - Thần Hổ (Pet tròn) (nắp vàng)(nước nâu đen) - 450ml - 40</v>
      </c>
    </row>
    <row r="1359">
      <c r="A1359" s="86">
        <f>IFERROR(__xludf.DUMMYFUNCTION("""COMPUTED_VALUE"""),1357.0)</f>
        <v>1357</v>
      </c>
      <c r="B1359" s="87" t="str">
        <f>IFERROR(__xludf.DUMMYFUNCTION("""COMPUTED_VALUE"""),"Nhãn thùng")</f>
        <v>Nhãn thùng</v>
      </c>
      <c r="C1359" s="87" t="str">
        <f>IFERROR(__xludf.DUMMYFUNCTION("""COMPUTED_VALUE"""),"NDT0866")</f>
        <v>NDT0866</v>
      </c>
      <c r="D1359" s="87" t="str">
        <f>IFERROR(__xludf.DUMMYFUNCTION("""COMPUTED_VALUE"""),"[Nhãn thùng] LOT IDA Global - I - 866 - ĐL Hoàng Châu Long - Thần Hổ (Pet tròn) (nắp vàng)(nước nâu đen) - 450ml - 40")</f>
        <v>[Nhãn thùng] LOT IDA Global - I - 866 - ĐL Hoàng Châu Long - Thần Hổ (Pet tròn) (nắp vàng)(nước nâu đen) - 450ml - 40</v>
      </c>
      <c r="E1359" s="87" t="str">
        <f>IFERROR(__xludf.DUMMYFUNCTION("""COMPUTED_VALUE"""),"Chitin 3.6EC")</f>
        <v>Chitin 3.6EC</v>
      </c>
      <c r="F1359" s="87" t="str">
        <f>IFERROR(__xludf.DUMMYFUNCTION("""COMPUTED_VALUE"""),"HH0866")</f>
        <v>HH0866</v>
      </c>
      <c r="G1359" s="87" t="str">
        <f>IFERROR(__xludf.DUMMYFUNCTION("""COMPUTED_VALUE"""),"LOT IDA Global - I - 866 - ĐL Hoàng Châu Long - Thần Hổ (Pet tròn) (nắp vàng)(nước nâu đen) - 450ml - 40")</f>
        <v>LOT IDA Global - I - 866 - ĐL Hoàng Châu Long - Thần Hổ (Pet tròn) (nắp vàng)(nước nâu đen) - 450ml - 40</v>
      </c>
    </row>
    <row r="1360">
      <c r="A1360" s="86">
        <f>IFERROR(__xludf.DUMMYFUNCTION("""COMPUTED_VALUE"""),1358.0)</f>
        <v>1358</v>
      </c>
      <c r="B1360" s="87" t="str">
        <f>IFERROR(__xludf.DUMMYFUNCTION("""COMPUTED_VALUE"""),"Nhãn")</f>
        <v>Nhãn</v>
      </c>
      <c r="C1360" s="87" t="str">
        <f>IFERROR(__xludf.DUMMYFUNCTION("""COMPUTED_VALUE"""),"NHG0867")</f>
        <v>NHG0867</v>
      </c>
      <c r="D1360" s="87" t="str">
        <f>IFERROR(__xludf.DUMMYFUNCTION("""COMPUTED_VALUE"""),"[Nhãn] LOT IDA Global - I - 867 - ĐL Bảo Hiền - Bò Cạp Thái(Pet tròn) (nắp vàng)(nước nâu đen) - 450ml - 40")</f>
        <v>[Nhãn] LOT IDA Global - I - 867 - ĐL Bảo Hiền - Bò Cạp Thái(Pet tròn) (nắp vàng)(nước nâu đen) - 450ml - 40</v>
      </c>
      <c r="E1360" s="87" t="str">
        <f>IFERROR(__xludf.DUMMYFUNCTION("""COMPUTED_VALUE"""),"Chitin 3.6EC")</f>
        <v>Chitin 3.6EC</v>
      </c>
      <c r="F1360" s="87" t="str">
        <f>IFERROR(__xludf.DUMMYFUNCTION("""COMPUTED_VALUE"""),"HH0867")</f>
        <v>HH0867</v>
      </c>
      <c r="G1360" s="87" t="str">
        <f>IFERROR(__xludf.DUMMYFUNCTION("""COMPUTED_VALUE"""),"LOT IDA Global - I - 867 - ĐL Bảo Hiền - Bò Cạp Thái(Pet tròn) (nắp vàng)(nước nâu đen) - 450ml - 40")</f>
        <v>LOT IDA Global - I - 867 - ĐL Bảo Hiền - Bò Cạp Thái(Pet tròn) (nắp vàng)(nước nâu đen) - 450ml - 40</v>
      </c>
    </row>
    <row r="1361">
      <c r="A1361" s="86">
        <f>IFERROR(__xludf.DUMMYFUNCTION("""COMPUTED_VALUE"""),1359.0)</f>
        <v>1359</v>
      </c>
      <c r="B1361" s="87" t="str">
        <f>IFERROR(__xludf.DUMMYFUNCTION("""COMPUTED_VALUE"""),"Nhãn thùng")</f>
        <v>Nhãn thùng</v>
      </c>
      <c r="C1361" s="87" t="str">
        <f>IFERROR(__xludf.DUMMYFUNCTION("""COMPUTED_VALUE"""),"NDT0867")</f>
        <v>NDT0867</v>
      </c>
      <c r="D1361" s="87" t="str">
        <f>IFERROR(__xludf.DUMMYFUNCTION("""COMPUTED_VALUE"""),"[Nhãn thùng] LOT IDA Global - I - 867 - ĐL Bảo Hiền - Bò Cạp Thái(Pet tròn) (nắp vàng)(nước nâu đen) - 450ml - 40")</f>
        <v>[Nhãn thùng] LOT IDA Global - I - 867 - ĐL Bảo Hiền - Bò Cạp Thái(Pet tròn) (nắp vàng)(nước nâu đen) - 450ml - 40</v>
      </c>
      <c r="E1361" s="87" t="str">
        <f>IFERROR(__xludf.DUMMYFUNCTION("""COMPUTED_VALUE"""),"Chitin 3.6EC")</f>
        <v>Chitin 3.6EC</v>
      </c>
      <c r="F1361" s="87" t="str">
        <f>IFERROR(__xludf.DUMMYFUNCTION("""COMPUTED_VALUE"""),"HH0867")</f>
        <v>HH0867</v>
      </c>
      <c r="G1361" s="87" t="str">
        <f>IFERROR(__xludf.DUMMYFUNCTION("""COMPUTED_VALUE"""),"LOT IDA Global - I - 867 - ĐL Bảo Hiền - Bò Cạp Thái(Pet tròn) (nắp vàng)(nước nâu đen) - 450ml - 40")</f>
        <v>LOT IDA Global - I - 867 - ĐL Bảo Hiền - Bò Cạp Thái(Pet tròn) (nắp vàng)(nước nâu đen) - 450ml - 40</v>
      </c>
    </row>
    <row r="1362">
      <c r="A1362" s="86">
        <f>IFERROR(__xludf.DUMMYFUNCTION("""COMPUTED_VALUE"""),1360.0)</f>
        <v>1360</v>
      </c>
      <c r="B1362" s="87" t="str">
        <f>IFERROR(__xludf.DUMMYFUNCTION("""COMPUTED_VALUE"""),"Nhãn")</f>
        <v>Nhãn</v>
      </c>
      <c r="C1362" s="87" t="str">
        <f>IFERROR(__xludf.DUMMYFUNCTION("""COMPUTED_VALUE"""),"NHG0868")</f>
        <v>NHG0868</v>
      </c>
      <c r="D1362" s="87" t="str">
        <f>IFERROR(__xludf.DUMMYFUNCTION("""COMPUTED_VALUE"""),"[Nhãn] LOT IDA Global - I - 868 - ĐL Minh Nga - Avermectin 36 (Pet tròn) (nắp đỏ)(nước nâu đen) - 450ml - 40")</f>
        <v>[Nhãn] LOT IDA Global - I - 868 - ĐL Minh Nga - Avermectin 36 (Pet tròn) (nắp đỏ)(nước nâu đen) - 450ml - 40</v>
      </c>
      <c r="E1362" s="87" t="str">
        <f>IFERROR(__xludf.DUMMYFUNCTION("""COMPUTED_VALUE"""),"Chitin 3.6EC")</f>
        <v>Chitin 3.6EC</v>
      </c>
      <c r="F1362" s="87" t="str">
        <f>IFERROR(__xludf.DUMMYFUNCTION("""COMPUTED_VALUE"""),"HH0868")</f>
        <v>HH0868</v>
      </c>
      <c r="G1362" s="87" t="str">
        <f>IFERROR(__xludf.DUMMYFUNCTION("""COMPUTED_VALUE"""),"LOT IDA Global - I - 868 - ĐL Minh Nga - Avermectin 36 (Pet tròn) (nắp đỏ)(nước nâu đen) - 450ml - 40")</f>
        <v>LOT IDA Global - I - 868 - ĐL Minh Nga - Avermectin 36 (Pet tròn) (nắp đỏ)(nước nâu đen) - 450ml - 40</v>
      </c>
    </row>
    <row r="1363">
      <c r="A1363" s="86">
        <f>IFERROR(__xludf.DUMMYFUNCTION("""COMPUTED_VALUE"""),1361.0)</f>
        <v>1361</v>
      </c>
      <c r="B1363" s="87" t="str">
        <f>IFERROR(__xludf.DUMMYFUNCTION("""COMPUTED_VALUE"""),"Nhãn thùng")</f>
        <v>Nhãn thùng</v>
      </c>
      <c r="C1363" s="87" t="str">
        <f>IFERROR(__xludf.DUMMYFUNCTION("""COMPUTED_VALUE"""),"NDT0868")</f>
        <v>NDT0868</v>
      </c>
      <c r="D1363" s="87" t="str">
        <f>IFERROR(__xludf.DUMMYFUNCTION("""COMPUTED_VALUE"""),"[Nhãn thùng] LOT IDA Global - I - 868 - ĐL Minh Nga - Avermectin 36 (Pet tròn) (nắp đỏ)(nước nâu đen) - 450ml - 40")</f>
        <v>[Nhãn thùng] LOT IDA Global - I - 868 - ĐL Minh Nga - Avermectin 36 (Pet tròn) (nắp đỏ)(nước nâu đen) - 450ml - 40</v>
      </c>
      <c r="E1363" s="87" t="str">
        <f>IFERROR(__xludf.DUMMYFUNCTION("""COMPUTED_VALUE"""),"Chitin 3.6EC")</f>
        <v>Chitin 3.6EC</v>
      </c>
      <c r="F1363" s="87" t="str">
        <f>IFERROR(__xludf.DUMMYFUNCTION("""COMPUTED_VALUE"""),"HH0868")</f>
        <v>HH0868</v>
      </c>
      <c r="G1363" s="87" t="str">
        <f>IFERROR(__xludf.DUMMYFUNCTION("""COMPUTED_VALUE"""),"LOT IDA Global - I - 868 - ĐL Minh Nga - Avermectin 36 (Pet tròn) (nắp đỏ)(nước nâu đen) - 450ml - 40")</f>
        <v>LOT IDA Global - I - 868 - ĐL Minh Nga - Avermectin 36 (Pet tròn) (nắp đỏ)(nước nâu đen) - 450ml - 40</v>
      </c>
    </row>
    <row r="1364">
      <c r="A1364" s="86">
        <f>IFERROR(__xludf.DUMMYFUNCTION("""COMPUTED_VALUE"""),1362.0)</f>
        <v>1362</v>
      </c>
      <c r="B1364" s="87" t="str">
        <f>IFERROR(__xludf.DUMMYFUNCTION("""COMPUTED_VALUE"""),"Nhãn")</f>
        <v>Nhãn</v>
      </c>
      <c r="C1364" s="87" t="str">
        <f>IFERROR(__xludf.DUMMYFUNCTION("""COMPUTED_VALUE"""),"NHG0869")</f>
        <v>NHG0869</v>
      </c>
      <c r="D1364" s="87" t="str">
        <f>IFERROR(__xludf.DUMMYFUNCTION("""COMPUTED_VALUE"""),"[Nhãn] LOT IDA Global - I - 869 - ĐL Phú Nông - Vua 3.6 (Pet tròn) (nắp đỏ)(nước nâu đen) - 450ml - 40")</f>
        <v>[Nhãn] LOT IDA Global - I - 869 - ĐL Phú Nông - Vua 3.6 (Pet tròn) (nắp đỏ)(nước nâu đen) - 450ml - 40</v>
      </c>
      <c r="E1364" s="87" t="str">
        <f>IFERROR(__xludf.DUMMYFUNCTION("""COMPUTED_VALUE"""),"Chitin 3.6EC")</f>
        <v>Chitin 3.6EC</v>
      </c>
      <c r="F1364" s="87" t="str">
        <f>IFERROR(__xludf.DUMMYFUNCTION("""COMPUTED_VALUE"""),"HH0869")</f>
        <v>HH0869</v>
      </c>
      <c r="G1364" s="87" t="str">
        <f>IFERROR(__xludf.DUMMYFUNCTION("""COMPUTED_VALUE"""),"LOT IDA Global - I - 869 - ĐL Phú Nông - Vua 3.6 (Pet tròn) (nắp đỏ)(nước nâu đen) - 450ml - 40")</f>
        <v>LOT IDA Global - I - 869 - ĐL Phú Nông - Vua 3.6 (Pet tròn) (nắp đỏ)(nước nâu đen) - 450ml - 40</v>
      </c>
    </row>
    <row r="1365">
      <c r="A1365" s="86">
        <f>IFERROR(__xludf.DUMMYFUNCTION("""COMPUTED_VALUE"""),1363.0)</f>
        <v>1363</v>
      </c>
      <c r="B1365" s="87" t="str">
        <f>IFERROR(__xludf.DUMMYFUNCTION("""COMPUTED_VALUE"""),"Nhãn thùng")</f>
        <v>Nhãn thùng</v>
      </c>
      <c r="C1365" s="87" t="str">
        <f>IFERROR(__xludf.DUMMYFUNCTION("""COMPUTED_VALUE"""),"NDT0869")</f>
        <v>NDT0869</v>
      </c>
      <c r="D1365" s="87" t="str">
        <f>IFERROR(__xludf.DUMMYFUNCTION("""COMPUTED_VALUE"""),"[Nhãn thùng] LOT IDA Global - I - 869 - ĐL Phú Nông - Vua 3.6 (Pet tròn) (nắp đỏ)(nước nâu đen) - 450ml - 40")</f>
        <v>[Nhãn thùng] LOT IDA Global - I - 869 - ĐL Phú Nông - Vua 3.6 (Pet tròn) (nắp đỏ)(nước nâu đen) - 450ml - 40</v>
      </c>
      <c r="E1365" s="87" t="str">
        <f>IFERROR(__xludf.DUMMYFUNCTION("""COMPUTED_VALUE"""),"Chitin 3.6EC")</f>
        <v>Chitin 3.6EC</v>
      </c>
      <c r="F1365" s="87" t="str">
        <f>IFERROR(__xludf.DUMMYFUNCTION("""COMPUTED_VALUE"""),"HH0869")</f>
        <v>HH0869</v>
      </c>
      <c r="G1365" s="87" t="str">
        <f>IFERROR(__xludf.DUMMYFUNCTION("""COMPUTED_VALUE"""),"LOT IDA Global - I - 869 - ĐL Phú Nông - Vua 3.6 (Pet tròn) (nắp đỏ)(nước nâu đen) - 450ml - 40")</f>
        <v>LOT IDA Global - I - 869 - ĐL Phú Nông - Vua 3.6 (Pet tròn) (nắp đỏ)(nước nâu đen) - 450ml - 40</v>
      </c>
    </row>
    <row r="1366">
      <c r="A1366" s="86">
        <f>IFERROR(__xludf.DUMMYFUNCTION("""COMPUTED_VALUE"""),1364.0)</f>
        <v>1364</v>
      </c>
      <c r="B1366" s="87" t="str">
        <f>IFERROR(__xludf.DUMMYFUNCTION("""COMPUTED_VALUE"""),"Nhãn")</f>
        <v>Nhãn</v>
      </c>
      <c r="C1366" s="87" t="str">
        <f>IFERROR(__xludf.DUMMYFUNCTION("""COMPUTED_VALUE"""),"NHG0870")</f>
        <v>NHG0870</v>
      </c>
      <c r="D1366" s="87" t="str">
        <f>IFERROR(__xludf.DUMMYFUNCTION("""COMPUTED_VALUE"""),"[Nhãn] LOT IDA Global - I - 870 - ĐL Nhựt Mẫn - Avermectin (Pet tròn) (nắp đỏ)(nước nâu đen) - 450ml - 40")</f>
        <v>[Nhãn] LOT IDA Global - I - 870 - ĐL Nhựt Mẫn - Avermectin (Pet tròn) (nắp đỏ)(nước nâu đen) - 450ml - 40</v>
      </c>
      <c r="E1366" s="87" t="str">
        <f>IFERROR(__xludf.DUMMYFUNCTION("""COMPUTED_VALUE"""),"Chitin 3.6EC")</f>
        <v>Chitin 3.6EC</v>
      </c>
      <c r="F1366" s="87" t="str">
        <f>IFERROR(__xludf.DUMMYFUNCTION("""COMPUTED_VALUE"""),"HH0870")</f>
        <v>HH0870</v>
      </c>
      <c r="G1366" s="87" t="str">
        <f>IFERROR(__xludf.DUMMYFUNCTION("""COMPUTED_VALUE"""),"LOT IDA Global - I - 870 - ĐL Nhựt Mẫn - Avermectin (Pet tròn) (nắp đỏ)(nước nâu đen) - 450ml - 40")</f>
        <v>LOT IDA Global - I - 870 - ĐL Nhựt Mẫn - Avermectin (Pet tròn) (nắp đỏ)(nước nâu đen) - 450ml - 40</v>
      </c>
    </row>
    <row r="1367">
      <c r="A1367" s="86">
        <f>IFERROR(__xludf.DUMMYFUNCTION("""COMPUTED_VALUE"""),1365.0)</f>
        <v>1365</v>
      </c>
      <c r="B1367" s="87" t="str">
        <f>IFERROR(__xludf.DUMMYFUNCTION("""COMPUTED_VALUE"""),"Nhãn thùng")</f>
        <v>Nhãn thùng</v>
      </c>
      <c r="C1367" s="87" t="str">
        <f>IFERROR(__xludf.DUMMYFUNCTION("""COMPUTED_VALUE"""),"NDT0870")</f>
        <v>NDT0870</v>
      </c>
      <c r="D1367" s="87" t="str">
        <f>IFERROR(__xludf.DUMMYFUNCTION("""COMPUTED_VALUE"""),"[Nhãn thùng] LOT IDA Global - I - 870 - ĐL Nhựt Mẫn - Avermectin (Pet tròn) (nắp đỏ)(nước nâu đen) - 450ml - 40")</f>
        <v>[Nhãn thùng] LOT IDA Global - I - 870 - ĐL Nhựt Mẫn - Avermectin (Pet tròn) (nắp đỏ)(nước nâu đen) - 450ml - 40</v>
      </c>
      <c r="E1367" s="87" t="str">
        <f>IFERROR(__xludf.DUMMYFUNCTION("""COMPUTED_VALUE"""),"Chitin 3.6EC")</f>
        <v>Chitin 3.6EC</v>
      </c>
      <c r="F1367" s="87" t="str">
        <f>IFERROR(__xludf.DUMMYFUNCTION("""COMPUTED_VALUE"""),"HH0870")</f>
        <v>HH0870</v>
      </c>
      <c r="G1367" s="87" t="str">
        <f>IFERROR(__xludf.DUMMYFUNCTION("""COMPUTED_VALUE"""),"LOT IDA Global - I - 870 - ĐL Nhựt Mẫn - Avermectin (Pet tròn) (nắp đỏ)(nước nâu đen) - 450ml - 40")</f>
        <v>LOT IDA Global - I - 870 - ĐL Nhựt Mẫn - Avermectin (Pet tròn) (nắp đỏ)(nước nâu đen) - 450ml - 40</v>
      </c>
    </row>
    <row r="1368">
      <c r="A1368" s="86">
        <f>IFERROR(__xludf.DUMMYFUNCTION("""COMPUTED_VALUE"""),1366.0)</f>
        <v>1366</v>
      </c>
      <c r="B1368" s="87" t="str">
        <f>IFERROR(__xludf.DUMMYFUNCTION("""COMPUTED_VALUE"""),"Nhãn")</f>
        <v>Nhãn</v>
      </c>
      <c r="C1368" s="87" t="str">
        <f>IFERROR(__xludf.DUMMYFUNCTION("""COMPUTED_VALUE"""),"NHG0872")</f>
        <v>NHG0872</v>
      </c>
      <c r="D1368" s="87" t="str">
        <f>IFERROR(__xludf.DUMMYFUNCTION("""COMPUTED_VALUE"""),"[Nhãn] IDA Global - I - 872 - Citizen 333SC (Drone) (chai HD)(nước cam sữa) - 450ml - 40")</f>
        <v>[Nhãn] IDA Global - I - 872 - Citizen 333SC (Drone) (chai HD)(nước cam sữa) - 450ml - 40</v>
      </c>
      <c r="E1368" s="87" t="str">
        <f>IFERROR(__xludf.DUMMYFUNCTION("""COMPUTED_VALUE"""),"CITIZEN 333SC")</f>
        <v>CITIZEN 333SC</v>
      </c>
      <c r="F1368" s="87" t="str">
        <f>IFERROR(__xludf.DUMMYFUNCTION("""COMPUTED_VALUE"""),"HH0872")</f>
        <v>HH0872</v>
      </c>
      <c r="G1368" s="87" t="str">
        <f>IFERROR(__xludf.DUMMYFUNCTION("""COMPUTED_VALUE"""),"IDA Global - I - 872 - Citizen 333SC (Drone) (chai HD)(nước cam sữa) - 450ml - 40")</f>
        <v>IDA Global - I - 872 - Citizen 333SC (Drone) (chai HD)(nước cam sữa) - 450ml - 40</v>
      </c>
    </row>
    <row r="1369">
      <c r="A1369" s="86">
        <f>IFERROR(__xludf.DUMMYFUNCTION("""COMPUTED_VALUE"""),1367.0)</f>
        <v>1367</v>
      </c>
      <c r="B1369" s="87" t="str">
        <f>IFERROR(__xludf.DUMMYFUNCTION("""COMPUTED_VALUE"""),"Nhãn thùng")</f>
        <v>Nhãn thùng</v>
      </c>
      <c r="C1369" s="87" t="str">
        <f>IFERROR(__xludf.DUMMYFUNCTION("""COMPUTED_VALUE"""),"NDT0872")</f>
        <v>NDT0872</v>
      </c>
      <c r="D1369" s="87" t="str">
        <f>IFERROR(__xludf.DUMMYFUNCTION("""COMPUTED_VALUE"""),"[Nhãn thùng] IDA Global - I - 872 - Citizen 333SC (Drone) (chai HD)(nước cam sữa) - 450ml - 40")</f>
        <v>[Nhãn thùng] IDA Global - I - 872 - Citizen 333SC (Drone) (chai HD)(nước cam sữa) - 450ml - 40</v>
      </c>
      <c r="E1369" s="87" t="str">
        <f>IFERROR(__xludf.DUMMYFUNCTION("""COMPUTED_VALUE"""),"CITIZEN 333SC")</f>
        <v>CITIZEN 333SC</v>
      </c>
      <c r="F1369" s="87" t="str">
        <f>IFERROR(__xludf.DUMMYFUNCTION("""COMPUTED_VALUE"""),"HH0872")</f>
        <v>HH0872</v>
      </c>
      <c r="G1369" s="87" t="str">
        <f>IFERROR(__xludf.DUMMYFUNCTION("""COMPUTED_VALUE"""),"IDA Global - I - 872 - Citizen 333SC (Drone) (chai HD)(nước cam sữa) - 450ml - 40")</f>
        <v>IDA Global - I - 872 - Citizen 333SC (Drone) (chai HD)(nước cam sữa) - 450ml - 40</v>
      </c>
    </row>
    <row r="1370">
      <c r="A1370" s="86">
        <f>IFERROR(__xludf.DUMMYFUNCTION("""COMPUTED_VALUE"""),1368.0)</f>
        <v>1368</v>
      </c>
      <c r="B1370" s="87" t="str">
        <f>IFERROR(__xludf.DUMMYFUNCTION("""COMPUTED_VALUE"""),"Nhãn")</f>
        <v>Nhãn</v>
      </c>
      <c r="C1370" s="87" t="str">
        <f>IFERROR(__xludf.DUMMYFUNCTION("""COMPUTED_VALUE"""),"NHG0873")</f>
        <v>NHG0873</v>
      </c>
      <c r="D1370" s="87" t="str">
        <f>IFERROR(__xludf.DUMMYFUNCTION("""COMPUTED_VALUE"""),"[Nhãn] IDA Global - I - 873 - Chito - M55 (drone vàng) - 500ml - 40")</f>
        <v>[Nhãn] IDA Global - I - 873 - Chito - M55 (drone vàng) - 500ml - 40</v>
      </c>
      <c r="E1370" s="87" t="str">
        <f>IFERROR(__xludf.DUMMYFUNCTION("""COMPUTED_VALUE"""),"Vi lượng Basel IDA 50")</f>
        <v>Vi lượng Basel IDA 50</v>
      </c>
      <c r="F1370" s="87" t="str">
        <f>IFERROR(__xludf.DUMMYFUNCTION("""COMPUTED_VALUE"""),"HH0873")</f>
        <v>HH0873</v>
      </c>
      <c r="G1370" s="87" t="str">
        <f>IFERROR(__xludf.DUMMYFUNCTION("""COMPUTED_VALUE"""),"IDA Global - I - 873 - Chito - M55 (drone vàng) - 500ml - 40")</f>
        <v>IDA Global - I - 873 - Chito - M55 (drone vàng) - 500ml - 40</v>
      </c>
    </row>
    <row r="1371">
      <c r="A1371" s="86">
        <f>IFERROR(__xludf.DUMMYFUNCTION("""COMPUTED_VALUE"""),1369.0)</f>
        <v>1369</v>
      </c>
      <c r="B1371" s="87" t="str">
        <f>IFERROR(__xludf.DUMMYFUNCTION("""COMPUTED_VALUE"""),"Nhãn thùng")</f>
        <v>Nhãn thùng</v>
      </c>
      <c r="C1371" s="87" t="str">
        <f>IFERROR(__xludf.DUMMYFUNCTION("""COMPUTED_VALUE"""),"NDT0873")</f>
        <v>NDT0873</v>
      </c>
      <c r="D1371" s="87" t="str">
        <f>IFERROR(__xludf.DUMMYFUNCTION("""COMPUTED_VALUE"""),"[Nhãn thùng] IDA Global - I - 873 - Chito - M55 (drone vàng) - 500ml - 40")</f>
        <v>[Nhãn thùng] IDA Global - I - 873 - Chito - M55 (drone vàng) - 500ml - 40</v>
      </c>
      <c r="E1371" s="87" t="str">
        <f>IFERROR(__xludf.DUMMYFUNCTION("""COMPUTED_VALUE"""),"Vi lượng Basel IDA 50")</f>
        <v>Vi lượng Basel IDA 50</v>
      </c>
      <c r="F1371" s="87" t="str">
        <f>IFERROR(__xludf.DUMMYFUNCTION("""COMPUTED_VALUE"""),"HH0873")</f>
        <v>HH0873</v>
      </c>
      <c r="G1371" s="87" t="str">
        <f>IFERROR(__xludf.DUMMYFUNCTION("""COMPUTED_VALUE"""),"IDA Global - I - 873 - Chito - M55 (drone vàng) - 500ml - 40")</f>
        <v>IDA Global - I - 873 - Chito - M55 (drone vàng) - 500ml - 40</v>
      </c>
    </row>
    <row r="1372">
      <c r="A1372" s="86">
        <f>IFERROR(__xludf.DUMMYFUNCTION("""COMPUTED_VALUE"""),1370.0)</f>
        <v>1370</v>
      </c>
      <c r="B1372" s="87" t="str">
        <f>IFERROR(__xludf.DUMMYFUNCTION("""COMPUTED_VALUE"""),"Nhãn")</f>
        <v>Nhãn</v>
      </c>
      <c r="C1372" s="87" t="str">
        <f>IFERROR(__xludf.DUMMYFUNCTION("""COMPUTED_VALUE"""),"NHG0874")</f>
        <v>NHG0874</v>
      </c>
      <c r="D1372" s="87" t="str">
        <f>IFERROR(__xludf.DUMMYFUNCTION("""COMPUTED_VALUE"""),"[Nhãn] LOT IDA Global - I - 874 - ĐL Dũng Oanh - Avermectin 36 (Pet tròn) (nắp trắng)(nước nâu đen) - 450ml - 40")</f>
        <v>[Nhãn] LOT IDA Global - I - 874 - ĐL Dũng Oanh - Avermectin 36 (Pet tròn) (nắp trắng)(nước nâu đen) - 450ml - 40</v>
      </c>
      <c r="E1372" s="87" t="str">
        <f>IFERROR(__xludf.DUMMYFUNCTION("""COMPUTED_VALUE"""),"Chitin 3.6EC")</f>
        <v>Chitin 3.6EC</v>
      </c>
      <c r="F1372" s="87" t="str">
        <f>IFERROR(__xludf.DUMMYFUNCTION("""COMPUTED_VALUE"""),"HH0874")</f>
        <v>HH0874</v>
      </c>
      <c r="G1372" s="87" t="str">
        <f>IFERROR(__xludf.DUMMYFUNCTION("""COMPUTED_VALUE"""),"LOT IDA Global - I - 874 - ĐL Dũng Oanh - Avermectin 36 (Pet tròn) (nắp trắng)(nước nâu đen) - 450ml - 40")</f>
        <v>LOT IDA Global - I - 874 - ĐL Dũng Oanh - Avermectin 36 (Pet tròn) (nắp trắng)(nước nâu đen) - 450ml - 40</v>
      </c>
    </row>
    <row r="1373">
      <c r="A1373" s="86">
        <f>IFERROR(__xludf.DUMMYFUNCTION("""COMPUTED_VALUE"""),1371.0)</f>
        <v>1371</v>
      </c>
      <c r="B1373" s="87" t="str">
        <f>IFERROR(__xludf.DUMMYFUNCTION("""COMPUTED_VALUE"""),"Nhãn thùng")</f>
        <v>Nhãn thùng</v>
      </c>
      <c r="C1373" s="87" t="str">
        <f>IFERROR(__xludf.DUMMYFUNCTION("""COMPUTED_VALUE"""),"NDT0874")</f>
        <v>NDT0874</v>
      </c>
      <c r="D1373" s="87" t="str">
        <f>IFERROR(__xludf.DUMMYFUNCTION("""COMPUTED_VALUE"""),"[Nhãn thùng] LOT IDA Global - I - 874 - ĐL Dũng Oanh - Avermectin 36 (Pet tròn) (nắp trắng)(nước nâu đen) - 450ml - 40")</f>
        <v>[Nhãn thùng] LOT IDA Global - I - 874 - ĐL Dũng Oanh - Avermectin 36 (Pet tròn) (nắp trắng)(nước nâu đen) - 450ml - 40</v>
      </c>
      <c r="E1373" s="87" t="str">
        <f>IFERROR(__xludf.DUMMYFUNCTION("""COMPUTED_VALUE"""),"Chitin 3.6EC")</f>
        <v>Chitin 3.6EC</v>
      </c>
      <c r="F1373" s="87" t="str">
        <f>IFERROR(__xludf.DUMMYFUNCTION("""COMPUTED_VALUE"""),"HH0874")</f>
        <v>HH0874</v>
      </c>
      <c r="G1373" s="87" t="str">
        <f>IFERROR(__xludf.DUMMYFUNCTION("""COMPUTED_VALUE"""),"LOT IDA Global - I - 874 - ĐL Dũng Oanh - Avermectin 36 (Pet tròn) (nắp trắng)(nước nâu đen) - 450ml - 40")</f>
        <v>LOT IDA Global - I - 874 - ĐL Dũng Oanh - Avermectin 36 (Pet tròn) (nắp trắng)(nước nâu đen) - 450ml - 40</v>
      </c>
    </row>
    <row r="1374">
      <c r="A1374" s="86">
        <f>IFERROR(__xludf.DUMMYFUNCTION("""COMPUTED_VALUE"""),1372.0)</f>
        <v>1372</v>
      </c>
      <c r="B1374" s="87" t="str">
        <f>IFERROR(__xludf.DUMMYFUNCTION("""COMPUTED_VALUE"""),"Nhãn")</f>
        <v>Nhãn</v>
      </c>
      <c r="C1374" s="87" t="str">
        <f>IFERROR(__xludf.DUMMYFUNCTION("""COMPUTED_VALUE"""),"NHG0875")</f>
        <v>NHG0875</v>
      </c>
      <c r="D1374" s="87" t="str">
        <f>IFERROR(__xludf.DUMMYFUNCTION("""COMPUTED_VALUE"""),"[Nhãn] LOT IDA Global - I - 875 - ĐL Bảo Tại - Avermectin 36 (Pet tròn) (nắp đỏ)(nước nâu đen) - 450ml - 40")</f>
        <v>[Nhãn] LOT IDA Global - I - 875 - ĐL Bảo Tại - Avermectin 36 (Pet tròn) (nắp đỏ)(nước nâu đen) - 450ml - 40</v>
      </c>
      <c r="E1374" s="87" t="str">
        <f>IFERROR(__xludf.DUMMYFUNCTION("""COMPUTED_VALUE"""),"Chitin 3.6EC")</f>
        <v>Chitin 3.6EC</v>
      </c>
      <c r="F1374" s="87" t="str">
        <f>IFERROR(__xludf.DUMMYFUNCTION("""COMPUTED_VALUE"""),"HH0875")</f>
        <v>HH0875</v>
      </c>
      <c r="G1374" s="87" t="str">
        <f>IFERROR(__xludf.DUMMYFUNCTION("""COMPUTED_VALUE"""),"LOT IDA Global - I - 875 - ĐL Bảo Tại - Avermectin 36 (Pet tròn) (nắp đỏ)(nước nâu đen) - 450ml - 40")</f>
        <v>LOT IDA Global - I - 875 - ĐL Bảo Tại - Avermectin 36 (Pet tròn) (nắp đỏ)(nước nâu đen) - 450ml - 40</v>
      </c>
    </row>
    <row r="1375">
      <c r="A1375" s="86">
        <f>IFERROR(__xludf.DUMMYFUNCTION("""COMPUTED_VALUE"""),1373.0)</f>
        <v>1373</v>
      </c>
      <c r="B1375" s="87" t="str">
        <f>IFERROR(__xludf.DUMMYFUNCTION("""COMPUTED_VALUE"""),"Nhãn thùng")</f>
        <v>Nhãn thùng</v>
      </c>
      <c r="C1375" s="87" t="str">
        <f>IFERROR(__xludf.DUMMYFUNCTION("""COMPUTED_VALUE"""),"NDT0875")</f>
        <v>NDT0875</v>
      </c>
      <c r="D1375" s="87" t="str">
        <f>IFERROR(__xludf.DUMMYFUNCTION("""COMPUTED_VALUE"""),"[Nhãn thùng] LOT IDA Global - I - 875 - ĐL Bảo Tại - Avermectin 36 (Pet tròn) (nắp đỏ)(nước nâu đen) - 450ml - 40")</f>
        <v>[Nhãn thùng] LOT IDA Global - I - 875 - ĐL Bảo Tại - Avermectin 36 (Pet tròn) (nắp đỏ)(nước nâu đen) - 450ml - 40</v>
      </c>
      <c r="E1375" s="87" t="str">
        <f>IFERROR(__xludf.DUMMYFUNCTION("""COMPUTED_VALUE"""),"Chitin 3.6EC")</f>
        <v>Chitin 3.6EC</v>
      </c>
      <c r="F1375" s="87" t="str">
        <f>IFERROR(__xludf.DUMMYFUNCTION("""COMPUTED_VALUE"""),"HH0875")</f>
        <v>HH0875</v>
      </c>
      <c r="G1375" s="87" t="str">
        <f>IFERROR(__xludf.DUMMYFUNCTION("""COMPUTED_VALUE"""),"LOT IDA Global - I - 875 - ĐL Bảo Tại - Avermectin 36 (Pet tròn) (nắp đỏ)(nước nâu đen) - 450ml - 40")</f>
        <v>LOT IDA Global - I - 875 - ĐL Bảo Tại - Avermectin 36 (Pet tròn) (nắp đỏ)(nước nâu đen) - 450ml - 40</v>
      </c>
    </row>
    <row r="1376">
      <c r="A1376" s="86">
        <f>IFERROR(__xludf.DUMMYFUNCTION("""COMPUTED_VALUE"""),1374.0)</f>
        <v>1374</v>
      </c>
      <c r="B1376" s="87" t="str">
        <f>IFERROR(__xludf.DUMMYFUNCTION("""COMPUTED_VALUE"""),"Nhãn")</f>
        <v>Nhãn</v>
      </c>
      <c r="C1376" s="87" t="str">
        <f>IFERROR(__xludf.DUMMYFUNCTION("""COMPUTED_VALUE"""),"NTN0877")</f>
        <v>NTN0877</v>
      </c>
      <c r="D1376" s="87" t="str">
        <f>IFERROR(__xludf.DUMMYFUNCTION("""COMPUTED_VALUE"""),"[Nhãn] GC - IV - 877 - Bảy Phận - Manco Xanh (túi nhôm)(bột xanh) - 1 Kg - 20")</f>
        <v>[Nhãn] GC - IV - 877 - Bảy Phận - Manco Xanh (túi nhôm)(bột xanh) - 1 Kg - 20</v>
      </c>
      <c r="E1376" s="87" t="str">
        <f>IFERROR(__xludf.DUMMYFUNCTION("""COMPUTED_VALUE"""),"BYPHAN 800WP")</f>
        <v>BYPHAN 800WP</v>
      </c>
      <c r="F1376" s="87" t="str">
        <f>IFERROR(__xludf.DUMMYFUNCTION("""COMPUTED_VALUE"""),"HH0877")</f>
        <v>HH0877</v>
      </c>
      <c r="G1376" s="87" t="str">
        <f>IFERROR(__xludf.DUMMYFUNCTION("""COMPUTED_VALUE"""),"GC - IV - 877 - Bảy Phận - Manco Xanh (túi nhôm)(bột xanh) - 1 Kg - 20")</f>
        <v>GC - IV - 877 - Bảy Phận - Manco Xanh (túi nhôm)(bột xanh) - 1 Kg - 20</v>
      </c>
    </row>
    <row r="1377">
      <c r="A1377" s="86">
        <f>IFERROR(__xludf.DUMMYFUNCTION("""COMPUTED_VALUE"""),1375.0)</f>
        <v>1375</v>
      </c>
      <c r="B1377" s="87" t="str">
        <f>IFERROR(__xludf.DUMMYFUNCTION("""COMPUTED_VALUE"""),"Nhãn")</f>
        <v>Nhãn</v>
      </c>
      <c r="C1377" s="87" t="str">
        <f>IFERROR(__xludf.DUMMYFUNCTION("""COMPUTED_VALUE"""),"NHD0880")</f>
        <v>NHD0880</v>
      </c>
      <c r="D1377" s="87" t="str">
        <f>IFERROR(__xludf.DUMMYFUNCTION("""COMPUTED_VALUE"""),"[Nhãn] LOT IDA Global - I - 880 - ĐL Phúc Nông - Thần Hổ (Pet vuông) (nắp vàng)(nước nâu đen) - 450ml - 40")</f>
        <v>[Nhãn] LOT IDA Global - I - 880 - ĐL Phúc Nông - Thần Hổ (Pet vuông) (nắp vàng)(nước nâu đen) - 450ml - 40</v>
      </c>
      <c r="E1377" s="87" t="str">
        <f>IFERROR(__xludf.DUMMYFUNCTION("""COMPUTED_VALUE"""),"HAIHAMEC 3.6EC")</f>
        <v>HAIHAMEC 3.6EC</v>
      </c>
      <c r="F1377" s="87" t="str">
        <f>IFERROR(__xludf.DUMMYFUNCTION("""COMPUTED_VALUE"""),"HH0880")</f>
        <v>HH0880</v>
      </c>
      <c r="G1377" s="87" t="str">
        <f>IFERROR(__xludf.DUMMYFUNCTION("""COMPUTED_VALUE"""),"LOT IDA Global - I - 880 - ĐL Phúc Nông - Thần Hổ (Pet vuông) (nắp vàng)(nước nâu đen) - 450ml - 40")</f>
        <v>LOT IDA Global - I - 880 - ĐL Phúc Nông - Thần Hổ (Pet vuông) (nắp vàng)(nước nâu đen) - 450ml - 40</v>
      </c>
    </row>
    <row r="1378">
      <c r="A1378" s="86">
        <f>IFERROR(__xludf.DUMMYFUNCTION("""COMPUTED_VALUE"""),1376.0)</f>
        <v>1376</v>
      </c>
      <c r="B1378" s="87" t="str">
        <f>IFERROR(__xludf.DUMMYFUNCTION("""COMPUTED_VALUE"""),"Nhãn thùng")</f>
        <v>Nhãn thùng</v>
      </c>
      <c r="C1378" s="87" t="str">
        <f>IFERROR(__xludf.DUMMYFUNCTION("""COMPUTED_VALUE"""),"NDT0880")</f>
        <v>NDT0880</v>
      </c>
      <c r="D1378" s="87" t="str">
        <f>IFERROR(__xludf.DUMMYFUNCTION("""COMPUTED_VALUE"""),"[Nhãn thùng] LOT IDA Global - I - 880 - ĐL Phúc Nông - Thần Hổ (Pet vuông) (nắp vàng)(nước nâu đen) - 450ml - 40")</f>
        <v>[Nhãn thùng] LOT IDA Global - I - 880 - ĐL Phúc Nông - Thần Hổ (Pet vuông) (nắp vàng)(nước nâu đen) - 450ml - 40</v>
      </c>
      <c r="E1378" s="87" t="str">
        <f>IFERROR(__xludf.DUMMYFUNCTION("""COMPUTED_VALUE"""),"HAIHAMEC 3.6EC")</f>
        <v>HAIHAMEC 3.6EC</v>
      </c>
      <c r="F1378" s="87" t="str">
        <f>IFERROR(__xludf.DUMMYFUNCTION("""COMPUTED_VALUE"""),"HH0880")</f>
        <v>HH0880</v>
      </c>
      <c r="G1378" s="87" t="str">
        <f>IFERROR(__xludf.DUMMYFUNCTION("""COMPUTED_VALUE"""),"LOT IDA Global - I - 880 - ĐL Phúc Nông - Thần Hổ (Pet vuông) (nắp vàng)(nước nâu đen) - 450ml - 40")</f>
        <v>LOT IDA Global - I - 880 - ĐL Phúc Nông - Thần Hổ (Pet vuông) (nắp vàng)(nước nâu đen) - 450ml - 40</v>
      </c>
    </row>
    <row r="1379">
      <c r="A1379" s="86">
        <f>IFERROR(__xludf.DUMMYFUNCTION("""COMPUTED_VALUE"""),1377.0)</f>
        <v>1377</v>
      </c>
      <c r="B1379" s="87" t="str">
        <f>IFERROR(__xludf.DUMMYFUNCTION("""COMPUTED_VALUE"""),"Nhãn")</f>
        <v>Nhãn</v>
      </c>
      <c r="C1379" s="87" t="str">
        <f>IFERROR(__xludf.DUMMYFUNCTION("""COMPUTED_VALUE"""),"NHD0881")</f>
        <v>NHD0881</v>
      </c>
      <c r="D1379" s="87" t="str">
        <f>IFERROR(__xludf.DUMMYFUNCTION("""COMPUTED_VALUE"""),"[Nhãn] LOT IDA Global - I - 881 - ĐL Trung Nhã - Avermectin (Pet vuông) (nắp vàng)(nước nâu đen) - 450ml - 40")</f>
        <v>[Nhãn] LOT IDA Global - I - 881 - ĐL Trung Nhã - Avermectin (Pet vuông) (nắp vàng)(nước nâu đen) - 450ml - 40</v>
      </c>
      <c r="E1379" s="87" t="str">
        <f>IFERROR(__xludf.DUMMYFUNCTION("""COMPUTED_VALUE"""),"Chitin 3.6EC")</f>
        <v>Chitin 3.6EC</v>
      </c>
      <c r="F1379" s="87" t="str">
        <f>IFERROR(__xludf.DUMMYFUNCTION("""COMPUTED_VALUE"""),"HH0881")</f>
        <v>HH0881</v>
      </c>
      <c r="G1379" s="87" t="str">
        <f>IFERROR(__xludf.DUMMYFUNCTION("""COMPUTED_VALUE"""),"LOT IDA Global - I - 881 - ĐL Trung Nhã - Avermectin (Pet vuông) (nắp vàng)(nước nâu đen) - 450ml - 40")</f>
        <v>LOT IDA Global - I - 881 - ĐL Trung Nhã - Avermectin (Pet vuông) (nắp vàng)(nước nâu đen) - 450ml - 40</v>
      </c>
    </row>
    <row r="1380">
      <c r="A1380" s="86">
        <f>IFERROR(__xludf.DUMMYFUNCTION("""COMPUTED_VALUE"""),1378.0)</f>
        <v>1378</v>
      </c>
      <c r="B1380" s="87" t="str">
        <f>IFERROR(__xludf.DUMMYFUNCTION("""COMPUTED_VALUE"""),"Nhãn thùng")</f>
        <v>Nhãn thùng</v>
      </c>
      <c r="C1380" s="87" t="str">
        <f>IFERROR(__xludf.DUMMYFUNCTION("""COMPUTED_VALUE"""),"NDT0881")</f>
        <v>NDT0881</v>
      </c>
      <c r="D1380" s="87" t="str">
        <f>IFERROR(__xludf.DUMMYFUNCTION("""COMPUTED_VALUE"""),"[Nhãn thùng] LOT IDA Global - I - 881 - ĐL Trung Nhã - Avermectin (Pet vuông) (nắp vàng)(nước nâu đen) - 450ml - 40")</f>
        <v>[Nhãn thùng] LOT IDA Global - I - 881 - ĐL Trung Nhã - Avermectin (Pet vuông) (nắp vàng)(nước nâu đen) - 450ml - 40</v>
      </c>
      <c r="E1380" s="87" t="str">
        <f>IFERROR(__xludf.DUMMYFUNCTION("""COMPUTED_VALUE"""),"Chitin 3.6EC")</f>
        <v>Chitin 3.6EC</v>
      </c>
      <c r="F1380" s="87" t="str">
        <f>IFERROR(__xludf.DUMMYFUNCTION("""COMPUTED_VALUE"""),"HH0881")</f>
        <v>HH0881</v>
      </c>
      <c r="G1380" s="87" t="str">
        <f>IFERROR(__xludf.DUMMYFUNCTION("""COMPUTED_VALUE"""),"LOT IDA Global - I - 881 - ĐL Trung Nhã - Avermectin (Pet vuông) (nắp vàng)(nước nâu đen) - 450ml - 40")</f>
        <v>LOT IDA Global - I - 881 - ĐL Trung Nhã - Avermectin (Pet vuông) (nắp vàng)(nước nâu đen) - 450ml - 40</v>
      </c>
    </row>
    <row r="1381">
      <c r="A1381" s="86">
        <f>IFERROR(__xludf.DUMMYFUNCTION("""COMPUTED_VALUE"""),1379.0)</f>
        <v>1379</v>
      </c>
      <c r="B1381" s="87" t="str">
        <f>IFERROR(__xludf.DUMMYFUNCTION("""COMPUTED_VALUE"""),"Nhãn")</f>
        <v>Nhãn</v>
      </c>
      <c r="C1381" s="87" t="str">
        <f>IFERROR(__xludf.DUMMYFUNCTION("""COMPUTED_VALUE"""),"NHG0882")</f>
        <v>NHG0882</v>
      </c>
      <c r="D1381" s="87" t="str">
        <f>IFERROR(__xludf.DUMMYFUNCTION("""COMPUTED_VALUE"""),"[Nhãn] LOT IDA Global - I - 882 - CT Notraco - Avermectin (Pet tròn) (nắp vàng)(nước nâu đen) - 450ml - 40")</f>
        <v>[Nhãn] LOT IDA Global - I - 882 - CT Notraco - Avermectin (Pet tròn) (nắp vàng)(nước nâu đen) - 450ml - 40</v>
      </c>
      <c r="E1381" s="87" t="str">
        <f>IFERROR(__xludf.DUMMYFUNCTION("""COMPUTED_VALUE"""),"Chitin 3.6EC")</f>
        <v>Chitin 3.6EC</v>
      </c>
      <c r="F1381" s="87" t="str">
        <f>IFERROR(__xludf.DUMMYFUNCTION("""COMPUTED_VALUE"""),"HH0882")</f>
        <v>HH0882</v>
      </c>
      <c r="G1381" s="87" t="str">
        <f>IFERROR(__xludf.DUMMYFUNCTION("""COMPUTED_VALUE"""),"LOT IDA Global - I - 882 - CT Notraco - Avermectin (Pet tròn) (nắp vàng)(nước nâu đen) - 450ml - 40")</f>
        <v>LOT IDA Global - I - 882 - CT Notraco - Avermectin (Pet tròn) (nắp vàng)(nước nâu đen) - 450ml - 40</v>
      </c>
    </row>
    <row r="1382">
      <c r="A1382" s="86">
        <f>IFERROR(__xludf.DUMMYFUNCTION("""COMPUTED_VALUE"""),1380.0)</f>
        <v>1380</v>
      </c>
      <c r="B1382" s="87" t="str">
        <f>IFERROR(__xludf.DUMMYFUNCTION("""COMPUTED_VALUE"""),"Nhãn thùng")</f>
        <v>Nhãn thùng</v>
      </c>
      <c r="C1382" s="87" t="str">
        <f>IFERROR(__xludf.DUMMYFUNCTION("""COMPUTED_VALUE"""),"NDT0882")</f>
        <v>NDT0882</v>
      </c>
      <c r="D1382" s="87" t="str">
        <f>IFERROR(__xludf.DUMMYFUNCTION("""COMPUTED_VALUE"""),"[Nhãn thùng] LOT IDA Global - I - 882 - CT Notraco - Avermectin (Pet tròn) (nắp vàng)(nước nâu đen) - 450ml - 40")</f>
        <v>[Nhãn thùng] LOT IDA Global - I - 882 - CT Notraco - Avermectin (Pet tròn) (nắp vàng)(nước nâu đen) - 450ml - 40</v>
      </c>
      <c r="E1382" s="87" t="str">
        <f>IFERROR(__xludf.DUMMYFUNCTION("""COMPUTED_VALUE"""),"Chitin 3.6EC")</f>
        <v>Chitin 3.6EC</v>
      </c>
      <c r="F1382" s="87" t="str">
        <f>IFERROR(__xludf.DUMMYFUNCTION("""COMPUTED_VALUE"""),"HH0882")</f>
        <v>HH0882</v>
      </c>
      <c r="G1382" s="87" t="str">
        <f>IFERROR(__xludf.DUMMYFUNCTION("""COMPUTED_VALUE"""),"LOT IDA Global - I - 882 - CT Notraco - Avermectin (Pet tròn) (nắp vàng)(nước nâu đen) - 450ml - 40")</f>
        <v>LOT IDA Global - I - 882 - CT Notraco - Avermectin (Pet tròn) (nắp vàng)(nước nâu đen) - 450ml - 40</v>
      </c>
    </row>
    <row r="1383">
      <c r="A1383" s="86">
        <f>IFERROR(__xludf.DUMMYFUNCTION("""COMPUTED_VALUE"""),1381.0)</f>
        <v>1381</v>
      </c>
      <c r="B1383" s="87" t="str">
        <f>IFERROR(__xludf.DUMMYFUNCTION("""COMPUTED_VALUE"""),"Nhãn")</f>
        <v>Nhãn</v>
      </c>
      <c r="C1383" s="87" t="str">
        <f>IFERROR(__xludf.DUMMYFUNCTION("""COMPUTED_VALUE"""),"NHG0885")</f>
        <v>NHG0885</v>
      </c>
      <c r="D1383" s="87" t="str">
        <f>IFERROR(__xludf.DUMMYFUNCTION("""COMPUTED_VALUE"""),"[Nhãn] LOT IDA Global - I - 885 - ĐL Hai Nhóm - Avermectin (Pet tròn) (nắp trắng)(nước nâu đen) - 450ml - 40")</f>
        <v>[Nhãn] LOT IDA Global - I - 885 - ĐL Hai Nhóm - Avermectin (Pet tròn) (nắp trắng)(nước nâu đen) - 450ml - 40</v>
      </c>
      <c r="E1383" s="87" t="str">
        <f>IFERROR(__xludf.DUMMYFUNCTION("""COMPUTED_VALUE"""),"Chitin 3.6EC")</f>
        <v>Chitin 3.6EC</v>
      </c>
      <c r="F1383" s="87" t="str">
        <f>IFERROR(__xludf.DUMMYFUNCTION("""COMPUTED_VALUE"""),"HH0885")</f>
        <v>HH0885</v>
      </c>
      <c r="G1383" s="87" t="str">
        <f>IFERROR(__xludf.DUMMYFUNCTION("""COMPUTED_VALUE"""),"LOT IDA Global - I - 885 - ĐL Hai Nhóm - Avermectin (Pet tròn) (nắp trắng)(nước nâu đen) - 450ml - 40")</f>
        <v>LOT IDA Global - I - 885 - ĐL Hai Nhóm - Avermectin (Pet tròn) (nắp trắng)(nước nâu đen) - 450ml - 40</v>
      </c>
    </row>
    <row r="1384">
      <c r="A1384" s="86">
        <f>IFERROR(__xludf.DUMMYFUNCTION("""COMPUTED_VALUE"""),1382.0)</f>
        <v>1382</v>
      </c>
      <c r="B1384" s="87" t="str">
        <f>IFERROR(__xludf.DUMMYFUNCTION("""COMPUTED_VALUE"""),"Nhãn thùng")</f>
        <v>Nhãn thùng</v>
      </c>
      <c r="C1384" s="87" t="str">
        <f>IFERROR(__xludf.DUMMYFUNCTION("""COMPUTED_VALUE"""),"NDT0885")</f>
        <v>NDT0885</v>
      </c>
      <c r="D1384" s="87" t="str">
        <f>IFERROR(__xludf.DUMMYFUNCTION("""COMPUTED_VALUE"""),"[Nhãn thùng] LOT IDA Global - I - 885 - ĐL Hai Nhóm - Avermectin (Pet tròn) (nắp trắng)(nước nâu đen) - 450ml - 40")</f>
        <v>[Nhãn thùng] LOT IDA Global - I - 885 - ĐL Hai Nhóm - Avermectin (Pet tròn) (nắp trắng)(nước nâu đen) - 450ml - 40</v>
      </c>
      <c r="E1384" s="87" t="str">
        <f>IFERROR(__xludf.DUMMYFUNCTION("""COMPUTED_VALUE"""),"Chitin 3.6EC")</f>
        <v>Chitin 3.6EC</v>
      </c>
      <c r="F1384" s="87" t="str">
        <f>IFERROR(__xludf.DUMMYFUNCTION("""COMPUTED_VALUE"""),"HH0885")</f>
        <v>HH0885</v>
      </c>
      <c r="G1384" s="87" t="str">
        <f>IFERROR(__xludf.DUMMYFUNCTION("""COMPUTED_VALUE"""),"LOT IDA Global - I - 885 - ĐL Hai Nhóm - Avermectin (Pet tròn) (nắp trắng)(nước nâu đen) - 450ml - 40")</f>
        <v>LOT IDA Global - I - 885 - ĐL Hai Nhóm - Avermectin (Pet tròn) (nắp trắng)(nước nâu đen) - 450ml - 40</v>
      </c>
    </row>
    <row r="1385">
      <c r="A1385" s="86">
        <f>IFERROR(__xludf.DUMMYFUNCTION("""COMPUTED_VALUE"""),1383.0)</f>
        <v>1383</v>
      </c>
      <c r="B1385" s="87" t="str">
        <f>IFERROR(__xludf.DUMMYFUNCTION("""COMPUTED_VALUE"""),"Nhãn")</f>
        <v>Nhãn</v>
      </c>
      <c r="C1385" s="87" t="str">
        <f>IFERROR(__xludf.DUMMYFUNCTION("""COMPUTED_VALUE"""),"NTN0887")</f>
        <v>NTN0887</v>
      </c>
      <c r="D1385" s="87" t="str">
        <f>IFERROR(__xludf.DUMMYFUNCTION("""COMPUTED_VALUE"""),"[Nhãn] GC - IV - 887 - Huy Phát - IMI Pro Max - 100gr - 150")</f>
        <v>[Nhãn] GC - IV - 887 - Huy Phát - IMI Pro Max - 100gr - 150</v>
      </c>
      <c r="E1385" s="87" t="str">
        <f>IFERROR(__xludf.DUMMYFUNCTION("""COMPUTED_VALUE"""),"IMIPRID 10WP")</f>
        <v>IMIPRID 10WP</v>
      </c>
      <c r="F1385" s="87" t="str">
        <f>IFERROR(__xludf.DUMMYFUNCTION("""COMPUTED_VALUE"""),"HH0887")</f>
        <v>HH0887</v>
      </c>
      <c r="G1385" s="87" t="str">
        <f>IFERROR(__xludf.DUMMYFUNCTION("""COMPUTED_VALUE"""),"GC - IV - 887 - Huy Phát - IMI Pro Max - 100gr - 150")</f>
        <v>GC - IV - 887 - Huy Phát - IMI Pro Max - 100gr - 150</v>
      </c>
    </row>
    <row r="1386">
      <c r="A1386" s="86">
        <f>IFERROR(__xludf.DUMMYFUNCTION("""COMPUTED_VALUE"""),1384.0)</f>
        <v>1384</v>
      </c>
      <c r="B1386" s="87" t="str">
        <f>IFERROR(__xludf.DUMMYFUNCTION("""COMPUTED_VALUE"""),"Nhãn")</f>
        <v>Nhãn</v>
      </c>
      <c r="C1386" s="87" t="str">
        <f>IFERROR(__xludf.DUMMYFUNCTION("""COMPUTED_VALUE"""),"NTN0887.1")</f>
        <v>NTN0887.1</v>
      </c>
      <c r="D1386" s="87" t="str">
        <f>IFERROR(__xludf.DUMMYFUNCTION("""COMPUTED_VALUE"""),"[Nhãn] GC - IV - 887.1 - Huy Phát - IMI Pro Max (Bột trắng) - 100gr - 100")</f>
        <v>[Nhãn] GC - IV - 887.1 - Huy Phát - IMI Pro Max (Bột trắng) - 100gr - 100</v>
      </c>
      <c r="E1386" s="87" t="str">
        <f>IFERROR(__xludf.DUMMYFUNCTION("""COMPUTED_VALUE"""),"IMIPRID 10WP")</f>
        <v>IMIPRID 10WP</v>
      </c>
      <c r="F1386" s="87" t="str">
        <f>IFERROR(__xludf.DUMMYFUNCTION("""COMPUTED_VALUE"""),"HH87.1")</f>
        <v>HH87.1</v>
      </c>
      <c r="G1386" s="87" t="str">
        <f>IFERROR(__xludf.DUMMYFUNCTION("""COMPUTED_VALUE"""),"GC - IV - 887.1 - Huy Phát - IMI Pro Max (Bột trắng) - 100gr - 100")</f>
        <v>GC - IV - 887.1 - Huy Phát - IMI Pro Max (Bột trắng) - 100gr - 100</v>
      </c>
    </row>
    <row r="1387">
      <c r="A1387" s="86">
        <f>IFERROR(__xludf.DUMMYFUNCTION("""COMPUTED_VALUE"""),1385.0)</f>
        <v>1385</v>
      </c>
      <c r="B1387" s="87" t="str">
        <f>IFERROR(__xludf.DUMMYFUNCTION("""COMPUTED_VALUE"""),"Nhãn")</f>
        <v>Nhãn</v>
      </c>
      <c r="C1387" s="87" t="str">
        <f>IFERROR(__xludf.DUMMYFUNCTION("""COMPUTED_VALUE"""),"NTN0888")</f>
        <v>NTN0888</v>
      </c>
      <c r="D1387" s="87" t="str">
        <f>IFERROR(__xludf.DUMMYFUNCTION("""COMPUTED_VALUE"""),"[Nhãn] GC - IV - 888 - Huy Phát - BI Pro Max - 100gr - 150")</f>
        <v>[Nhãn] GC - IV - 888 - Huy Phát - BI Pro Max - 100gr - 150</v>
      </c>
      <c r="E1387" s="87" t="str">
        <f>IFERROR(__xludf.DUMMYFUNCTION("""COMPUTED_VALUE"""),"IMIPRID 10WP")</f>
        <v>IMIPRID 10WP</v>
      </c>
      <c r="F1387" s="87" t="str">
        <f>IFERROR(__xludf.DUMMYFUNCTION("""COMPUTED_VALUE"""),"HH0888")</f>
        <v>HH0888</v>
      </c>
      <c r="G1387" s="87" t="str">
        <f>IFERROR(__xludf.DUMMYFUNCTION("""COMPUTED_VALUE"""),"GC - IV - 888 - Huy Phát - BI Pro Max - 100gr - 150")</f>
        <v>GC - IV - 888 - Huy Phát - BI Pro Max - 100gr - 150</v>
      </c>
    </row>
    <row r="1388">
      <c r="A1388" s="86">
        <f>IFERROR(__xludf.DUMMYFUNCTION("""COMPUTED_VALUE"""),1386.0)</f>
        <v>1386</v>
      </c>
      <c r="B1388" s="87" t="str">
        <f>IFERROR(__xludf.DUMMYFUNCTION("""COMPUTED_VALUE"""),"Nhãn")</f>
        <v>Nhãn</v>
      </c>
      <c r="C1388" s="87" t="str">
        <f>IFERROR(__xludf.DUMMYFUNCTION("""COMPUTED_VALUE"""),"NTN0888.1")</f>
        <v>NTN0888.1</v>
      </c>
      <c r="D1388" s="87" t="str">
        <f>IFERROR(__xludf.DUMMYFUNCTION("""COMPUTED_VALUE"""),"[Nhãn] GC - IV - 888.1 - Huy Phát - BI Pro Max (Bột trắng) - 100gr - 100")</f>
        <v>[Nhãn] GC - IV - 888.1 - Huy Phát - BI Pro Max (Bột trắng) - 100gr - 100</v>
      </c>
      <c r="E1388" s="87" t="str">
        <f>IFERROR(__xludf.DUMMYFUNCTION("""COMPUTED_VALUE"""),"IMIPRID 10WP")</f>
        <v>IMIPRID 10WP</v>
      </c>
      <c r="F1388" s="87" t="str">
        <f>IFERROR(__xludf.DUMMYFUNCTION("""COMPUTED_VALUE"""),"HH88.1")</f>
        <v>HH88.1</v>
      </c>
      <c r="G1388" s="87" t="str">
        <f>IFERROR(__xludf.DUMMYFUNCTION("""COMPUTED_VALUE"""),"GC - IV - 888.1 - Huy Phát - BI Pro Max (Bột trắng) - 100gr - 100")</f>
        <v>GC - IV - 888.1 - Huy Phát - BI Pro Max (Bột trắng) - 100gr - 100</v>
      </c>
    </row>
    <row r="1389">
      <c r="A1389" s="86">
        <f>IFERROR(__xludf.DUMMYFUNCTION("""COMPUTED_VALUE"""),1387.0)</f>
        <v>1387</v>
      </c>
      <c r="B1389" s="87" t="str">
        <f>IFERROR(__xludf.DUMMYFUNCTION("""COMPUTED_VALUE"""),"Nhãn")</f>
        <v>Nhãn</v>
      </c>
      <c r="C1389" s="87" t="str">
        <f>IFERROR(__xludf.DUMMYFUNCTION("""COMPUTED_VALUE"""),"NHD0890")</f>
        <v>NHD0890</v>
      </c>
      <c r="D1389" s="87" t="str">
        <f>IFERROR(__xludf.DUMMYFUNCTION("""COMPUTED_VALUE"""),"[Nhãn] LOT IDA Global - I - 890 - ĐL Năm Long - Abamectin 3.6 (Pet vuông) (nắp vàng)(nước nâu đen) - 450ml - 40")</f>
        <v>[Nhãn] LOT IDA Global - I - 890 - ĐL Năm Long - Abamectin 3.6 (Pet vuông) (nắp vàng)(nước nâu đen) - 450ml - 40</v>
      </c>
      <c r="E1389" s="87" t="str">
        <f>IFERROR(__xludf.DUMMYFUNCTION("""COMPUTED_VALUE"""),"Chitin 3.6EC")</f>
        <v>Chitin 3.6EC</v>
      </c>
      <c r="F1389" s="87" t="str">
        <f>IFERROR(__xludf.DUMMYFUNCTION("""COMPUTED_VALUE"""),"HH0890")</f>
        <v>HH0890</v>
      </c>
      <c r="G1389" s="87" t="str">
        <f>IFERROR(__xludf.DUMMYFUNCTION("""COMPUTED_VALUE"""),"LOT IDA Global - I - 890 - ĐL Năm Long - Abamectin 3.6 (Pet vuông) (nắp vàng)(nước nâu đen) - 450ml - 40")</f>
        <v>LOT IDA Global - I - 890 - ĐL Năm Long - Abamectin 3.6 (Pet vuông) (nắp vàng)(nước nâu đen) - 450ml - 40</v>
      </c>
    </row>
    <row r="1390">
      <c r="A1390" s="86">
        <f>IFERROR(__xludf.DUMMYFUNCTION("""COMPUTED_VALUE"""),1388.0)</f>
        <v>1388</v>
      </c>
      <c r="B1390" s="87" t="str">
        <f>IFERROR(__xludf.DUMMYFUNCTION("""COMPUTED_VALUE"""),"Nhãn thùng")</f>
        <v>Nhãn thùng</v>
      </c>
      <c r="C1390" s="87" t="str">
        <f>IFERROR(__xludf.DUMMYFUNCTION("""COMPUTED_VALUE"""),"NDT0890")</f>
        <v>NDT0890</v>
      </c>
      <c r="D1390" s="87" t="str">
        <f>IFERROR(__xludf.DUMMYFUNCTION("""COMPUTED_VALUE"""),"[Nhãn thùng] LOT IDA Global - I - 890 - ĐL Năm Long - Abamectin 3.6 (Pet vuông) (nắp vàng)(nước nâu đen) - 450ml - 40")</f>
        <v>[Nhãn thùng] LOT IDA Global - I - 890 - ĐL Năm Long - Abamectin 3.6 (Pet vuông) (nắp vàng)(nước nâu đen) - 450ml - 40</v>
      </c>
      <c r="E1390" s="87" t="str">
        <f>IFERROR(__xludf.DUMMYFUNCTION("""COMPUTED_VALUE"""),"Chitin 3.6EC")</f>
        <v>Chitin 3.6EC</v>
      </c>
      <c r="F1390" s="87" t="str">
        <f>IFERROR(__xludf.DUMMYFUNCTION("""COMPUTED_VALUE"""),"HH0890")</f>
        <v>HH0890</v>
      </c>
      <c r="G1390" s="87" t="str">
        <f>IFERROR(__xludf.DUMMYFUNCTION("""COMPUTED_VALUE"""),"LOT IDA Global - I - 890 - ĐL Năm Long - Abamectin 3.6 (Pet vuông) (nắp vàng)(nước nâu đen) - 450ml - 40")</f>
        <v>LOT IDA Global - I - 890 - ĐL Năm Long - Abamectin 3.6 (Pet vuông) (nắp vàng)(nước nâu đen) - 450ml - 40</v>
      </c>
    </row>
    <row r="1391">
      <c r="A1391" s="86">
        <f>IFERROR(__xludf.DUMMYFUNCTION("""COMPUTED_VALUE"""),1389.0)</f>
        <v>1389</v>
      </c>
      <c r="B1391" s="87" t="str">
        <f>IFERROR(__xludf.DUMMYFUNCTION("""COMPUTED_VALUE"""),"Nhãn")</f>
        <v>Nhãn</v>
      </c>
      <c r="C1391" s="87" t="str">
        <f>IFERROR(__xludf.DUMMYFUNCTION("""COMPUTED_VALUE"""),"NHD0891")</f>
        <v>NHD0891</v>
      </c>
      <c r="D1391" s="87" t="str">
        <f>IFERROR(__xludf.DUMMYFUNCTION("""COMPUTED_VALUE"""),"[Nhãn] LOT IDA Global - I - 891 - ĐL Hoàng Ngọc - Avermectin 36 (Pet vuông) (nắp vàng)(nước nâu đen) - 450ml - 40")</f>
        <v>[Nhãn] LOT IDA Global - I - 891 - ĐL Hoàng Ngọc - Avermectin 36 (Pet vuông) (nắp vàng)(nước nâu đen) - 450ml - 40</v>
      </c>
      <c r="E1391" s="87" t="str">
        <f>IFERROR(__xludf.DUMMYFUNCTION("""COMPUTED_VALUE"""),"Chitin 3.6EC")</f>
        <v>Chitin 3.6EC</v>
      </c>
      <c r="F1391" s="87" t="str">
        <f>IFERROR(__xludf.DUMMYFUNCTION("""COMPUTED_VALUE"""),"HH0891")</f>
        <v>HH0891</v>
      </c>
      <c r="G1391" s="87" t="str">
        <f>IFERROR(__xludf.DUMMYFUNCTION("""COMPUTED_VALUE"""),"LOT IDA Global - I - 891 - ĐL Hoàng Ngọc - Avermectin 36 (Pet vuông) (nắp vàng)(nước nâu đen) - 450ml - 40")</f>
        <v>LOT IDA Global - I - 891 - ĐL Hoàng Ngọc - Avermectin 36 (Pet vuông) (nắp vàng)(nước nâu đen) - 450ml - 40</v>
      </c>
    </row>
    <row r="1392">
      <c r="A1392" s="86">
        <f>IFERROR(__xludf.DUMMYFUNCTION("""COMPUTED_VALUE"""),1390.0)</f>
        <v>1390</v>
      </c>
      <c r="B1392" s="87" t="str">
        <f>IFERROR(__xludf.DUMMYFUNCTION("""COMPUTED_VALUE"""),"Nhãn thùng")</f>
        <v>Nhãn thùng</v>
      </c>
      <c r="C1392" s="87" t="str">
        <f>IFERROR(__xludf.DUMMYFUNCTION("""COMPUTED_VALUE"""),"NDT0891")</f>
        <v>NDT0891</v>
      </c>
      <c r="D1392" s="87" t="str">
        <f>IFERROR(__xludf.DUMMYFUNCTION("""COMPUTED_VALUE"""),"[Nhãn thùng] LOT IDA Global - I - 891 - ĐL Hoàng Ngọc - Avermectin 36 (Pet vuông) (nắp vàng)(nước nâu đen) - 450ml - 40")</f>
        <v>[Nhãn thùng] LOT IDA Global - I - 891 - ĐL Hoàng Ngọc - Avermectin 36 (Pet vuông) (nắp vàng)(nước nâu đen) - 450ml - 40</v>
      </c>
      <c r="E1392" s="87" t="str">
        <f>IFERROR(__xludf.DUMMYFUNCTION("""COMPUTED_VALUE"""),"Chitin 3.6EC")</f>
        <v>Chitin 3.6EC</v>
      </c>
      <c r="F1392" s="87" t="str">
        <f>IFERROR(__xludf.DUMMYFUNCTION("""COMPUTED_VALUE"""),"HH0891")</f>
        <v>HH0891</v>
      </c>
      <c r="G1392" s="87" t="str">
        <f>IFERROR(__xludf.DUMMYFUNCTION("""COMPUTED_VALUE"""),"LOT IDA Global - I - 891 - ĐL Hoàng Ngọc - Avermectin 36 (Pet vuông) (nắp vàng)(nước nâu đen) - 450ml - 40")</f>
        <v>LOT IDA Global - I - 891 - ĐL Hoàng Ngọc - Avermectin 36 (Pet vuông) (nắp vàng)(nước nâu đen) - 450ml - 40</v>
      </c>
    </row>
    <row r="1393">
      <c r="A1393" s="86">
        <f>IFERROR(__xludf.DUMMYFUNCTION("""COMPUTED_VALUE"""),1391.0)</f>
        <v>1391</v>
      </c>
      <c r="B1393" s="87" t="str">
        <f>IFERROR(__xludf.DUMMYFUNCTION("""COMPUTED_VALUE"""),"Nhãn")</f>
        <v>Nhãn</v>
      </c>
      <c r="C1393" s="87" t="str">
        <f>IFERROR(__xludf.DUMMYFUNCTION("""COMPUTED_VALUE"""),"NTN0892")</f>
        <v>NTN0892</v>
      </c>
      <c r="D1393" s="87" t="str">
        <f>IFERROR(__xludf.DUMMYFUNCTION("""COMPUTED_VALUE"""),"[Nhãn] GC - IV - 892 - Thái Hoàng - Én Đỏ (Nhãn Trục) - 60gr - 200")</f>
        <v>[Nhãn] GC - IV - 892 - Thái Hoàng - Én Đỏ (Nhãn Trục) - 60gr - 200</v>
      </c>
      <c r="E1393" s="87" t="str">
        <f>IFERROR(__xludf.DUMMYFUNCTION("""COMPUTED_VALUE"""),"SHA CHONG JING 95WP")</f>
        <v>SHA CHONG JING 95WP</v>
      </c>
      <c r="F1393" s="87" t="str">
        <f>IFERROR(__xludf.DUMMYFUNCTION("""COMPUTED_VALUE"""),"HH0892")</f>
        <v>HH0892</v>
      </c>
      <c r="G1393" s="87" t="str">
        <f>IFERROR(__xludf.DUMMYFUNCTION("""COMPUTED_VALUE"""),"GC - IV - 892 - Thái Hoàng - Én Đỏ (Nhãn Trục) - 60gr - 200")</f>
        <v>GC - IV - 892 - Thái Hoàng - Én Đỏ (Nhãn Trục) - 60gr - 200</v>
      </c>
    </row>
    <row r="1394">
      <c r="A1394" s="86">
        <f>IFERROR(__xludf.DUMMYFUNCTION("""COMPUTED_VALUE"""),1392.0)</f>
        <v>1392</v>
      </c>
      <c r="B1394" s="87" t="str">
        <f>IFERROR(__xludf.DUMMYFUNCTION("""COMPUTED_VALUE"""),"Nhãn")</f>
        <v>Nhãn</v>
      </c>
      <c r="C1394" s="87" t="str">
        <f>IFERROR(__xludf.DUMMYFUNCTION("""COMPUTED_VALUE"""),"NTN0893")</f>
        <v>NTN0893</v>
      </c>
      <c r="D1394" s="87" t="str">
        <f>IFERROR(__xludf.DUMMYFUNCTION("""COMPUTED_VALUE"""),"[Nhãn] GC - IV - 893 - Thái Hoàng - Đầu Gà (Nhãn Trục) - 80gr - 150")</f>
        <v>[Nhãn] GC - IV - 893 - Thái Hoàng - Đầu Gà (Nhãn Trục) - 80gr - 150</v>
      </c>
      <c r="E1394" s="87" t="str">
        <f>IFERROR(__xludf.DUMMYFUNCTION("""COMPUTED_VALUE"""),"SHA CHONG JING 95WP")</f>
        <v>SHA CHONG JING 95WP</v>
      </c>
      <c r="F1394" s="87" t="str">
        <f>IFERROR(__xludf.DUMMYFUNCTION("""COMPUTED_VALUE"""),"HH0893")</f>
        <v>HH0893</v>
      </c>
      <c r="G1394" s="87" t="str">
        <f>IFERROR(__xludf.DUMMYFUNCTION("""COMPUTED_VALUE"""),"GC - IV - 893 - Thái Hoàng - Đầu Gà (Nhãn Trục) - 80gr - 150")</f>
        <v>GC - IV - 893 - Thái Hoàng - Đầu Gà (Nhãn Trục) - 80gr - 150</v>
      </c>
    </row>
    <row r="1395">
      <c r="A1395" s="86">
        <f>IFERROR(__xludf.DUMMYFUNCTION("""COMPUTED_VALUE"""),1393.0)</f>
        <v>1393</v>
      </c>
      <c r="B1395" s="87" t="str">
        <f>IFERROR(__xludf.DUMMYFUNCTION("""COMPUTED_VALUE"""),"Nhãn")</f>
        <v>Nhãn</v>
      </c>
      <c r="C1395" s="87" t="str">
        <f>IFERROR(__xludf.DUMMYFUNCTION("""COMPUTED_VALUE"""),"NTN0894")</f>
        <v>NTN0894</v>
      </c>
      <c r="D1395" s="87" t="str">
        <f>IFERROR(__xludf.DUMMYFUNCTION("""COMPUTED_VALUE"""),"[Nhãn] GC - IV - 894 - A Thời GNH- Manco Yellow (túi nhôm)(bột vàng) - 1 Kg - 20")</f>
        <v>[Nhãn] GC - IV - 894 - A Thời GNH- Manco Yellow (túi nhôm)(bột vàng) - 1 Kg - 20</v>
      </c>
      <c r="E1395" s="87" t="str">
        <f>IFERROR(__xludf.DUMMYFUNCTION("""COMPUTED_VALUE"""),"BYPHAN 800WP")</f>
        <v>BYPHAN 800WP</v>
      </c>
      <c r="F1395" s="87" t="str">
        <f>IFERROR(__xludf.DUMMYFUNCTION("""COMPUTED_VALUE"""),"HH0894")</f>
        <v>HH0894</v>
      </c>
      <c r="G1395" s="87" t="str">
        <f>IFERROR(__xludf.DUMMYFUNCTION("""COMPUTED_VALUE"""),"GC - IV - 894 - A Thời GNH- Manco Yellow (túi nhôm)(bột vàng) - 1 Kg - 20")</f>
        <v>GC - IV - 894 - A Thời GNH- Manco Yellow (túi nhôm)(bột vàng) - 1 Kg - 20</v>
      </c>
    </row>
    <row r="1396">
      <c r="A1396" s="86">
        <f>IFERROR(__xludf.DUMMYFUNCTION("""COMPUTED_VALUE"""),1394.0)</f>
        <v>1394</v>
      </c>
      <c r="B1396" s="87" t="str">
        <f>IFERROR(__xludf.DUMMYFUNCTION("""COMPUTED_VALUE"""),"Nhãn")</f>
        <v>Nhãn</v>
      </c>
      <c r="C1396" s="87" t="str">
        <f>IFERROR(__xludf.DUMMYFUNCTION("""COMPUTED_VALUE"""),"NTN0895")</f>
        <v>NTN0895</v>
      </c>
      <c r="D1396" s="87" t="str">
        <f>IFERROR(__xludf.DUMMYFUNCTION("""COMPUTED_VALUE"""),"[Nhãn] GC - IV - 895 - Manco Green (túi nhôm)(bột xanh) - 1 Kg - 20")</f>
        <v>[Nhãn] GC - IV - 895 - Manco Green (túi nhôm)(bột xanh) - 1 Kg - 20</v>
      </c>
      <c r="E1396" s="87" t="str">
        <f>IFERROR(__xludf.DUMMYFUNCTION("""COMPUTED_VALUE"""),"BYPHAN 800WP")</f>
        <v>BYPHAN 800WP</v>
      </c>
      <c r="F1396" s="87" t="str">
        <f>IFERROR(__xludf.DUMMYFUNCTION("""COMPUTED_VALUE"""),"HH0895")</f>
        <v>HH0895</v>
      </c>
      <c r="G1396" s="87" t="str">
        <f>IFERROR(__xludf.DUMMYFUNCTION("""COMPUTED_VALUE"""),"GC - IV - 895 - Manco Green (túi nhôm)(bột xanh) - 1 Kg - 20")</f>
        <v>GC - IV - 895 - Manco Green (túi nhôm)(bột xanh) - 1 Kg - 20</v>
      </c>
    </row>
    <row r="1397">
      <c r="A1397" s="86">
        <f>IFERROR(__xludf.DUMMYFUNCTION("""COMPUTED_VALUE"""),1395.0)</f>
        <v>1395</v>
      </c>
      <c r="B1397" s="87" t="str">
        <f>IFERROR(__xludf.DUMMYFUNCTION("""COMPUTED_VALUE"""),"Nhãn")</f>
        <v>Nhãn</v>
      </c>
      <c r="C1397" s="87" t="str">
        <f>IFERROR(__xludf.DUMMYFUNCTION("""COMPUTED_VALUE"""),"NHG0896")</f>
        <v>NHG0896</v>
      </c>
      <c r="D1397" s="87" t="str">
        <f>IFERROR(__xludf.DUMMYFUNCTION("""COMPUTED_VALUE"""),"[Nhãn] LOT IDA Global - I - 896 - ĐL Mỹ Xuyên - Thần Hổ 4.0 (Pet tròn) (nắp trắng)(nước nâu đen) - 450ml - 40")</f>
        <v>[Nhãn] LOT IDA Global - I - 896 - ĐL Mỹ Xuyên - Thần Hổ 4.0 (Pet tròn) (nắp trắng)(nước nâu đen) - 450ml - 40</v>
      </c>
      <c r="E1397" s="87" t="str">
        <f>IFERROR(__xludf.DUMMYFUNCTION("""COMPUTED_VALUE"""),"Chitin 3.6EC")</f>
        <v>Chitin 3.6EC</v>
      </c>
      <c r="F1397" s="87" t="str">
        <f>IFERROR(__xludf.DUMMYFUNCTION("""COMPUTED_VALUE"""),"HH0896")</f>
        <v>HH0896</v>
      </c>
      <c r="G1397" s="87" t="str">
        <f>IFERROR(__xludf.DUMMYFUNCTION("""COMPUTED_VALUE"""),"LOT IDA Global - I - 896 - ĐL Mỹ Xuyên - Thần Hổ 4.0 (Pet tròn) (nắp trắng)(nước nâu đen) - 450ml - 40")</f>
        <v>LOT IDA Global - I - 896 - ĐL Mỹ Xuyên - Thần Hổ 4.0 (Pet tròn) (nắp trắng)(nước nâu đen) - 450ml - 40</v>
      </c>
    </row>
    <row r="1398">
      <c r="A1398" s="86">
        <f>IFERROR(__xludf.DUMMYFUNCTION("""COMPUTED_VALUE"""),1396.0)</f>
        <v>1396</v>
      </c>
      <c r="B1398" s="87" t="str">
        <f>IFERROR(__xludf.DUMMYFUNCTION("""COMPUTED_VALUE"""),"Nhãn thùng")</f>
        <v>Nhãn thùng</v>
      </c>
      <c r="C1398" s="87" t="str">
        <f>IFERROR(__xludf.DUMMYFUNCTION("""COMPUTED_VALUE"""),"NDT0896")</f>
        <v>NDT0896</v>
      </c>
      <c r="D1398" s="87" t="str">
        <f>IFERROR(__xludf.DUMMYFUNCTION("""COMPUTED_VALUE"""),"[Nhãn thùng] LOT IDA Global - I - 896 - ĐL Mỹ Xuyên - Thần Hổ 4.0 (Pet tròn) (nắp trắng)(nước nâu đen) - 450ml - 40")</f>
        <v>[Nhãn thùng] LOT IDA Global - I - 896 - ĐL Mỹ Xuyên - Thần Hổ 4.0 (Pet tròn) (nắp trắng)(nước nâu đen) - 450ml - 40</v>
      </c>
      <c r="E1398" s="87" t="str">
        <f>IFERROR(__xludf.DUMMYFUNCTION("""COMPUTED_VALUE"""),"Chitin 3.6EC")</f>
        <v>Chitin 3.6EC</v>
      </c>
      <c r="F1398" s="87" t="str">
        <f>IFERROR(__xludf.DUMMYFUNCTION("""COMPUTED_VALUE"""),"HH0896")</f>
        <v>HH0896</v>
      </c>
      <c r="G1398" s="87" t="str">
        <f>IFERROR(__xludf.DUMMYFUNCTION("""COMPUTED_VALUE"""),"LOT IDA Global - I - 896 - ĐL Mỹ Xuyên - Thần Hổ 4.0 (Pet tròn) (nắp trắng)(nước nâu đen) - 450ml - 40")</f>
        <v>LOT IDA Global - I - 896 - ĐL Mỹ Xuyên - Thần Hổ 4.0 (Pet tròn) (nắp trắng)(nước nâu đen) - 450ml - 40</v>
      </c>
    </row>
    <row r="1399">
      <c r="A1399" s="86">
        <f>IFERROR(__xludf.DUMMYFUNCTION("""COMPUTED_VALUE"""),1397.0)</f>
        <v>1397</v>
      </c>
      <c r="B1399" s="87" t="str">
        <f>IFERROR(__xludf.DUMMYFUNCTION("""COMPUTED_VALUE"""),"Nhãn")</f>
        <v>Nhãn</v>
      </c>
      <c r="C1399" s="87" t="str">
        <f>IFERROR(__xludf.DUMMYFUNCTION("""COMPUTED_VALUE"""),"NHG0898")</f>
        <v>NHG0898</v>
      </c>
      <c r="D1399" s="87" t="str">
        <f>IFERROR(__xludf.DUMMYFUNCTION("""COMPUTED_VALUE"""),"[Nhãn] LOT IDA Global - I - 898 - ĐL Thanh Thảo - Avermetic 36 (Pet tròn) (nắp vàng)(nước nâu đen) - 450ml - 40")</f>
        <v>[Nhãn] LOT IDA Global - I - 898 - ĐL Thanh Thảo - Avermetic 36 (Pet tròn) (nắp vàng)(nước nâu đen) - 450ml - 40</v>
      </c>
      <c r="E1399" s="87" t="str">
        <f>IFERROR(__xludf.DUMMYFUNCTION("""COMPUTED_VALUE"""),"HAIHAMEC 3.6EC")</f>
        <v>HAIHAMEC 3.6EC</v>
      </c>
      <c r="F1399" s="87" t="str">
        <f>IFERROR(__xludf.DUMMYFUNCTION("""COMPUTED_VALUE"""),"HH0898")</f>
        <v>HH0898</v>
      </c>
      <c r="G1399" s="87" t="str">
        <f>IFERROR(__xludf.DUMMYFUNCTION("""COMPUTED_VALUE"""),"LOT IDA Global - I - 898 - ĐL Thanh Thảo - Avermetic 36 (Pet tròn) (nắp vàng)(nước nâu đen) - 450ml - 40")</f>
        <v>LOT IDA Global - I - 898 - ĐL Thanh Thảo - Avermetic 36 (Pet tròn) (nắp vàng)(nước nâu đen) - 450ml - 40</v>
      </c>
    </row>
    <row r="1400">
      <c r="A1400" s="86">
        <f>IFERROR(__xludf.DUMMYFUNCTION("""COMPUTED_VALUE"""),1398.0)</f>
        <v>1398</v>
      </c>
      <c r="B1400" s="87" t="str">
        <f>IFERROR(__xludf.DUMMYFUNCTION("""COMPUTED_VALUE"""),"Nhãn thùng")</f>
        <v>Nhãn thùng</v>
      </c>
      <c r="C1400" s="87" t="str">
        <f>IFERROR(__xludf.DUMMYFUNCTION("""COMPUTED_VALUE"""),"NDT0898")</f>
        <v>NDT0898</v>
      </c>
      <c r="D1400" s="87" t="str">
        <f>IFERROR(__xludf.DUMMYFUNCTION("""COMPUTED_VALUE"""),"[Nhãn thùng] LOT IDA Global - I - 898 - ĐL Thanh Thảo - Avermetic 36 (Pet tròn) (nắp vàng)(nước nâu đen) - 450ml - 40")</f>
        <v>[Nhãn thùng] LOT IDA Global - I - 898 - ĐL Thanh Thảo - Avermetic 36 (Pet tròn) (nắp vàng)(nước nâu đen) - 450ml - 40</v>
      </c>
      <c r="E1400" s="87" t="str">
        <f>IFERROR(__xludf.DUMMYFUNCTION("""COMPUTED_VALUE"""),"HAIHAMEC 3.6EC")</f>
        <v>HAIHAMEC 3.6EC</v>
      </c>
      <c r="F1400" s="87" t="str">
        <f>IFERROR(__xludf.DUMMYFUNCTION("""COMPUTED_VALUE"""),"HH0898")</f>
        <v>HH0898</v>
      </c>
      <c r="G1400" s="87" t="str">
        <f>IFERROR(__xludf.DUMMYFUNCTION("""COMPUTED_VALUE"""),"LOT IDA Global - I - 898 - ĐL Thanh Thảo - Avermetic 36 (Pet tròn) (nắp vàng)(nước nâu đen) - 450ml - 40")</f>
        <v>LOT IDA Global - I - 898 - ĐL Thanh Thảo - Avermetic 36 (Pet tròn) (nắp vàng)(nước nâu đen) - 450ml - 40</v>
      </c>
    </row>
    <row r="1401">
      <c r="A1401" s="86">
        <f>IFERROR(__xludf.DUMMYFUNCTION("""COMPUTED_VALUE"""),1399.0)</f>
        <v>1399</v>
      </c>
      <c r="B1401" s="87" t="str">
        <f>IFERROR(__xludf.DUMMYFUNCTION("""COMPUTED_VALUE"""),"Nhãn")</f>
        <v>Nhãn</v>
      </c>
      <c r="C1401" s="87" t="str">
        <f>IFERROR(__xludf.DUMMYFUNCTION("""COMPUTED_VALUE"""),"NTN0899")</f>
        <v>NTN0899</v>
      </c>
      <c r="D1401" s="87" t="str">
        <f>IFERROR(__xludf.DUMMYFUNCTION("""COMPUTED_VALUE"""),"[Nhãn] LOT IDA Global - I - 899 - ĐL Bảy Hiền - Manco xanh (bột xanh)(túi nhôm)- 1 Kg - 20")</f>
        <v>[Nhãn] LOT IDA Global - I - 899 - ĐL Bảy Hiền - Manco xanh (bột xanh)(túi nhôm)- 1 Kg - 20</v>
      </c>
      <c r="E1401" s="87" t="str">
        <f>IFERROR(__xludf.DUMMYFUNCTION("""COMPUTED_VALUE"""),"BYPHAN 800WP")</f>
        <v>BYPHAN 800WP</v>
      </c>
      <c r="F1401" s="87" t="str">
        <f>IFERROR(__xludf.DUMMYFUNCTION("""COMPUTED_VALUE"""),"HH0899")</f>
        <v>HH0899</v>
      </c>
      <c r="G1401" s="87" t="str">
        <f>IFERROR(__xludf.DUMMYFUNCTION("""COMPUTED_VALUE"""),"LOT IDA Global - I - 899 - ĐL Bảy Hiền - Manco xanh (bột xanh)(túi nhôm)- 1 Kg - 20")</f>
        <v>LOT IDA Global - I - 899 - ĐL Bảy Hiền - Manco xanh (bột xanh)(túi nhôm)- 1 Kg - 20</v>
      </c>
    </row>
    <row r="1402">
      <c r="A1402" s="86">
        <f>IFERROR(__xludf.DUMMYFUNCTION("""COMPUTED_VALUE"""),1400.0)</f>
        <v>1400</v>
      </c>
      <c r="B1402" s="87" t="str">
        <f>IFERROR(__xludf.DUMMYFUNCTION("""COMPUTED_VALUE"""),"Nhãn thùng")</f>
        <v>Nhãn thùng</v>
      </c>
      <c r="C1402" s="87" t="str">
        <f>IFERROR(__xludf.DUMMYFUNCTION("""COMPUTED_VALUE"""),"NDT0900")</f>
        <v>NDT0900</v>
      </c>
      <c r="D1402" s="87" t="str">
        <f>IFERROR(__xludf.DUMMYFUNCTION("""COMPUTED_VALUE"""),"[Nhãn thùng] GC - IV - 900 - Tago - Bọ cạp chúa (Pet tròn) (nước nâu đen) - 450ml - 40")</f>
        <v>[Nhãn thùng] GC - IV - 900 - Tago - Bọ cạp chúa (Pet tròn) (nước nâu đen) - 450ml - 40</v>
      </c>
      <c r="E1402" s="87" t="str">
        <f>IFERROR(__xludf.DUMMYFUNCTION("""COMPUTED_VALUE"""),"HAIHAMEC 3.6EC")</f>
        <v>HAIHAMEC 3.6EC</v>
      </c>
      <c r="F1402" s="87" t="str">
        <f>IFERROR(__xludf.DUMMYFUNCTION("""COMPUTED_VALUE"""),"HH0900")</f>
        <v>HH0900</v>
      </c>
      <c r="G1402" s="87" t="str">
        <f>IFERROR(__xludf.DUMMYFUNCTION("""COMPUTED_VALUE"""),"GC - IV - 900 - Tago - Bọ cạp chúa (Pet tròn) (nước nâu đen) - 450ml - 40")</f>
        <v>GC - IV - 900 - Tago - Bọ cạp chúa (Pet tròn) (nước nâu đen) - 450ml - 40</v>
      </c>
    </row>
    <row r="1403">
      <c r="A1403" s="86">
        <f>IFERROR(__xludf.DUMMYFUNCTION("""COMPUTED_VALUE"""),1401.0)</f>
        <v>1401</v>
      </c>
      <c r="B1403" s="87" t="str">
        <f>IFERROR(__xludf.DUMMYFUNCTION("""COMPUTED_VALUE"""),"Nhãn")</f>
        <v>Nhãn</v>
      </c>
      <c r="C1403" s="87" t="str">
        <f>IFERROR(__xludf.DUMMYFUNCTION("""COMPUTED_VALUE"""),"NHG0901")</f>
        <v>NHG0901</v>
      </c>
      <c r="D1403" s="87" t="str">
        <f>IFERROR(__xludf.DUMMYFUNCTION("""COMPUTED_VALUE"""),"[Nhãn] GC - IV - 901 - AU - Sức mạnh thần sấm (Pet tròn)(nắp vàng)(nước nâu đen) - 450ml - 40")</f>
        <v>[Nhãn] GC - IV - 901 - AU - Sức mạnh thần sấm (Pet tròn)(nắp vàng)(nước nâu đen) - 450ml - 40</v>
      </c>
      <c r="E1403" s="87" t="str">
        <f>IFERROR(__xludf.DUMMYFUNCTION("""COMPUTED_VALUE"""),"CHITIN 3.6EC")</f>
        <v>CHITIN 3.6EC</v>
      </c>
      <c r="F1403" s="87" t="str">
        <f>IFERROR(__xludf.DUMMYFUNCTION("""COMPUTED_VALUE"""),"HH0901")</f>
        <v>HH0901</v>
      </c>
      <c r="G1403" s="87" t="str">
        <f>IFERROR(__xludf.DUMMYFUNCTION("""COMPUTED_VALUE"""),"GC - IV - 901 - AU - Sức mạnh thần sấm (Pet tròn)(nắp vàng)(nước nâu đen) - 450ml - 40")</f>
        <v>GC - IV - 901 - AU - Sức mạnh thần sấm (Pet tròn)(nắp vàng)(nước nâu đen) - 450ml - 40</v>
      </c>
    </row>
    <row r="1404">
      <c r="A1404" s="86">
        <f>IFERROR(__xludf.DUMMYFUNCTION("""COMPUTED_VALUE"""),1402.0)</f>
        <v>1402</v>
      </c>
      <c r="B1404" s="87" t="str">
        <f>IFERROR(__xludf.DUMMYFUNCTION("""COMPUTED_VALUE"""),"Nhãn thùng")</f>
        <v>Nhãn thùng</v>
      </c>
      <c r="C1404" s="87" t="str">
        <f>IFERROR(__xludf.DUMMYFUNCTION("""COMPUTED_VALUE"""),"NDT0901")</f>
        <v>NDT0901</v>
      </c>
      <c r="D1404" s="87" t="str">
        <f>IFERROR(__xludf.DUMMYFUNCTION("""COMPUTED_VALUE"""),"[Nhãn thùng] GC - IV - 901 - AU - Sức mạnh thần sấm (Pet tròn)(nắp vàng)(nước nâu đen) - 450ml - 40")</f>
        <v>[Nhãn thùng] GC - IV - 901 - AU - Sức mạnh thần sấm (Pet tròn)(nắp vàng)(nước nâu đen) - 450ml - 40</v>
      </c>
      <c r="E1404" s="87" t="str">
        <f>IFERROR(__xludf.DUMMYFUNCTION("""COMPUTED_VALUE"""),"CHITIN 3.6EC")</f>
        <v>CHITIN 3.6EC</v>
      </c>
      <c r="F1404" s="87" t="str">
        <f>IFERROR(__xludf.DUMMYFUNCTION("""COMPUTED_VALUE"""),"HH0901")</f>
        <v>HH0901</v>
      </c>
      <c r="G1404" s="87" t="str">
        <f>IFERROR(__xludf.DUMMYFUNCTION("""COMPUTED_VALUE"""),"GC - IV - 901 - AU - Sức mạnh thần sấm (Pet tròn)(nắp vàng)(nước nâu đen) - 450ml - 40")</f>
        <v>GC - IV - 901 - AU - Sức mạnh thần sấm (Pet tròn)(nắp vàng)(nước nâu đen) - 450ml - 40</v>
      </c>
    </row>
    <row r="1405">
      <c r="A1405" s="86">
        <f>IFERROR(__xludf.DUMMYFUNCTION("""COMPUTED_VALUE"""),1403.0)</f>
        <v>1403</v>
      </c>
      <c r="B1405" s="87" t="str">
        <f>IFERROR(__xludf.DUMMYFUNCTION("""COMPUTED_VALUE"""),"Nhãn")</f>
        <v>Nhãn</v>
      </c>
      <c r="C1405" s="87" t="str">
        <f>IFERROR(__xludf.DUMMYFUNCTION("""COMPUTED_VALUE"""),"NHG0902")</f>
        <v>NHG0902</v>
      </c>
      <c r="D1405" s="87" t="str">
        <f>IFERROR(__xludf.DUMMYFUNCTION("""COMPUTED_VALUE"""),"[Nhãn] GC - IV - 902 - AU - Sức Mạnh Avermectin (Pet tròn)(nắp trắng)(nước trong) - 450ml - 40")</f>
        <v>[Nhãn] GC - IV - 902 - AU - Sức Mạnh Avermectin (Pet tròn)(nắp trắng)(nước trong) - 450ml - 40</v>
      </c>
      <c r="E1405" s="87" t="str">
        <f>IFERROR(__xludf.DUMMYFUNCTION("""COMPUTED_VALUE"""),"HAIHAMEC 3.6EC")</f>
        <v>HAIHAMEC 3.6EC</v>
      </c>
      <c r="F1405" s="87" t="str">
        <f>IFERROR(__xludf.DUMMYFUNCTION("""COMPUTED_VALUE"""),"HH0902")</f>
        <v>HH0902</v>
      </c>
      <c r="G1405" s="87" t="str">
        <f>IFERROR(__xludf.DUMMYFUNCTION("""COMPUTED_VALUE"""),"GC - IV - 902 - AU - Sức Mạnh Avermectin (Pet tròn)(nắp trắng)(nước trong) - 450ml - 40")</f>
        <v>GC - IV - 902 - AU - Sức Mạnh Avermectin (Pet tròn)(nắp trắng)(nước trong) - 450ml - 40</v>
      </c>
    </row>
    <row r="1406">
      <c r="A1406" s="86">
        <f>IFERROR(__xludf.DUMMYFUNCTION("""COMPUTED_VALUE"""),1404.0)</f>
        <v>1404</v>
      </c>
      <c r="B1406" s="87" t="str">
        <f>IFERROR(__xludf.DUMMYFUNCTION("""COMPUTED_VALUE"""),"Nhãn thùng")</f>
        <v>Nhãn thùng</v>
      </c>
      <c r="C1406" s="87" t="str">
        <f>IFERROR(__xludf.DUMMYFUNCTION("""COMPUTED_VALUE"""),"NDT0902")</f>
        <v>NDT0902</v>
      </c>
      <c r="D1406" s="87" t="str">
        <f>IFERROR(__xludf.DUMMYFUNCTION("""COMPUTED_VALUE"""),"[Nhãn thùng] GC - IV - 902 - AU - Sức Mạnh Avermectin (Pet tròn)(nắp trắng)(nước trong) - 450ml - 40")</f>
        <v>[Nhãn thùng] GC - IV - 902 - AU - Sức Mạnh Avermectin (Pet tròn)(nắp trắng)(nước trong) - 450ml - 40</v>
      </c>
      <c r="E1406" s="87" t="str">
        <f>IFERROR(__xludf.DUMMYFUNCTION("""COMPUTED_VALUE"""),"HAIHAMEC 3.6EC")</f>
        <v>HAIHAMEC 3.6EC</v>
      </c>
      <c r="F1406" s="87" t="str">
        <f>IFERROR(__xludf.DUMMYFUNCTION("""COMPUTED_VALUE"""),"HH0902")</f>
        <v>HH0902</v>
      </c>
      <c r="G1406" s="87" t="str">
        <f>IFERROR(__xludf.DUMMYFUNCTION("""COMPUTED_VALUE"""),"GC - IV - 902 - AU - Sức Mạnh Avermectin (Pet tròn)(nắp trắng)(nước trong) - 450ml - 40")</f>
        <v>GC - IV - 902 - AU - Sức Mạnh Avermectin (Pet tròn)(nắp trắng)(nước trong) - 450ml - 40</v>
      </c>
    </row>
    <row r="1407">
      <c r="A1407" s="86">
        <f>IFERROR(__xludf.DUMMYFUNCTION("""COMPUTED_VALUE"""),1405.0)</f>
        <v>1405</v>
      </c>
      <c r="B1407" s="87" t="str">
        <f>IFERROR(__xludf.DUMMYFUNCTION("""COMPUTED_VALUE"""),"Nhãn")</f>
        <v>Nhãn</v>
      </c>
      <c r="C1407" s="87" t="str">
        <f>IFERROR(__xludf.DUMMYFUNCTION("""COMPUTED_VALUE"""),"NHG0903")</f>
        <v>NHG0903</v>
      </c>
      <c r="D1407" s="87" t="str">
        <f>IFERROR(__xludf.DUMMYFUNCTION("""COMPUTED_VALUE"""),"[Nhãn] LOT IDA Global - I - 903 - ĐL Hoàng Em - Thần Hổ (Pet tròn) (nắp đỏ)(nước nâu đen) - 450ml - 40")</f>
        <v>[Nhãn] LOT IDA Global - I - 903 - ĐL Hoàng Em - Thần Hổ (Pet tròn) (nắp đỏ)(nước nâu đen) - 450ml - 40</v>
      </c>
      <c r="E1407" s="87" t="str">
        <f>IFERROR(__xludf.DUMMYFUNCTION("""COMPUTED_VALUE"""),"Chitin 3.6EC")</f>
        <v>Chitin 3.6EC</v>
      </c>
      <c r="F1407" s="87" t="str">
        <f>IFERROR(__xludf.DUMMYFUNCTION("""COMPUTED_VALUE"""),"HH0903")</f>
        <v>HH0903</v>
      </c>
      <c r="G1407" s="87" t="str">
        <f>IFERROR(__xludf.DUMMYFUNCTION("""COMPUTED_VALUE"""),"LOT IDA Global - I - 903 - ĐL Hoàng Em - Thần Hổ (Pet tròn) (nắp đỏ)(nước nâu đen) - 450ml - 40")</f>
        <v>LOT IDA Global - I - 903 - ĐL Hoàng Em - Thần Hổ (Pet tròn) (nắp đỏ)(nước nâu đen) - 450ml - 40</v>
      </c>
    </row>
    <row r="1408">
      <c r="A1408" s="86">
        <f>IFERROR(__xludf.DUMMYFUNCTION("""COMPUTED_VALUE"""),1406.0)</f>
        <v>1406</v>
      </c>
      <c r="B1408" s="87" t="str">
        <f>IFERROR(__xludf.DUMMYFUNCTION("""COMPUTED_VALUE"""),"Nhãn thùng")</f>
        <v>Nhãn thùng</v>
      </c>
      <c r="C1408" s="87" t="str">
        <f>IFERROR(__xludf.DUMMYFUNCTION("""COMPUTED_VALUE"""),"NDT0903")</f>
        <v>NDT0903</v>
      </c>
      <c r="D1408" s="87" t="str">
        <f>IFERROR(__xludf.DUMMYFUNCTION("""COMPUTED_VALUE"""),"[Nhãn thùng] LOT IDA Global - I - 903 - ĐL Hoàng Em - Thần Hổ (Pet tròn) (nắp đỏ)(nước nâu đen) - 450ml - 40")</f>
        <v>[Nhãn thùng] LOT IDA Global - I - 903 - ĐL Hoàng Em - Thần Hổ (Pet tròn) (nắp đỏ)(nước nâu đen) - 450ml - 40</v>
      </c>
      <c r="E1408" s="87" t="str">
        <f>IFERROR(__xludf.DUMMYFUNCTION("""COMPUTED_VALUE"""),"Chitin 3.6EC")</f>
        <v>Chitin 3.6EC</v>
      </c>
      <c r="F1408" s="87" t="str">
        <f>IFERROR(__xludf.DUMMYFUNCTION("""COMPUTED_VALUE"""),"HH0903")</f>
        <v>HH0903</v>
      </c>
      <c r="G1408" s="87" t="str">
        <f>IFERROR(__xludf.DUMMYFUNCTION("""COMPUTED_VALUE"""),"LOT IDA Global - I - 903 - ĐL Hoàng Em - Thần Hổ (Pet tròn) (nắp đỏ)(nước nâu đen) - 450ml - 40")</f>
        <v>LOT IDA Global - I - 903 - ĐL Hoàng Em - Thần Hổ (Pet tròn) (nắp đỏ)(nước nâu đen) - 450ml - 40</v>
      </c>
    </row>
    <row r="1409">
      <c r="A1409" s="86">
        <f>IFERROR(__xludf.DUMMYFUNCTION("""COMPUTED_VALUE"""),1407.0)</f>
        <v>1407</v>
      </c>
      <c r="B1409" s="87" t="str">
        <f>IFERROR(__xludf.DUMMYFUNCTION("""COMPUTED_VALUE"""),"Nhãn")</f>
        <v>Nhãn</v>
      </c>
      <c r="C1409" s="87" t="str">
        <f>IFERROR(__xludf.DUMMYFUNCTION("""COMPUTED_VALUE"""),"NTN0904")</f>
        <v>NTN0904</v>
      </c>
      <c r="D1409" s="87" t="str">
        <f>IFERROR(__xludf.DUMMYFUNCTION("""COMPUTED_VALUE"""),"[Nhãn] GC - IV - 904 - Agriplant - Knock Out Sâu-Rầy (bột trắng)(túi nhôm) - 100gr - 150")</f>
        <v>[Nhãn] GC - IV - 904 - Agriplant - Knock Out Sâu-Rầy (bột trắng)(túi nhôm) - 100gr - 150</v>
      </c>
      <c r="E1409" s="87" t="str">
        <f>IFERROR(__xludf.DUMMYFUNCTION("""COMPUTED_VALUE"""),"IMIPRID 10WP")</f>
        <v>IMIPRID 10WP</v>
      </c>
      <c r="F1409" s="87" t="str">
        <f>IFERROR(__xludf.DUMMYFUNCTION("""COMPUTED_VALUE"""),"HH0904")</f>
        <v>HH0904</v>
      </c>
      <c r="G1409" s="87" t="str">
        <f>IFERROR(__xludf.DUMMYFUNCTION("""COMPUTED_VALUE"""),"GC - IV - 904 - Agriplant - Knock Out Sâu-Rầy (bột trắng)(túi nhôm) - 100gr - 150")</f>
        <v>GC - IV - 904 - Agriplant - Knock Out Sâu-Rầy (bột trắng)(túi nhôm) - 100gr - 150</v>
      </c>
    </row>
    <row r="1410">
      <c r="A1410" s="86">
        <f>IFERROR(__xludf.DUMMYFUNCTION("""COMPUTED_VALUE"""),1408.0)</f>
        <v>1408</v>
      </c>
      <c r="B1410" s="87" t="str">
        <f>IFERROR(__xludf.DUMMYFUNCTION("""COMPUTED_VALUE"""),"Nhãn")</f>
        <v>Nhãn</v>
      </c>
      <c r="C1410" s="87" t="str">
        <f>IFERROR(__xludf.DUMMYFUNCTION("""COMPUTED_VALUE"""),"NHG0907")</f>
        <v>NHG0907</v>
      </c>
      <c r="D1410" s="87" t="str">
        <f>IFERROR(__xludf.DUMMYFUNCTION("""COMPUTED_VALUE"""),"[Nhãn] LOT IDA Global - I - 907 - ĐL Nguyễn Đức Minh - Thần Hổ (Pet tròn)(nắp đỏ)(nước nâu đen) - 450ml - 40")</f>
        <v>[Nhãn] LOT IDA Global - I - 907 - ĐL Nguyễn Đức Minh - Thần Hổ (Pet tròn)(nắp đỏ)(nước nâu đen) - 450ml - 40</v>
      </c>
      <c r="E1410" s="87" t="str">
        <f>IFERROR(__xludf.DUMMYFUNCTION("""COMPUTED_VALUE"""),"HAIHAMEC 3.6EC")</f>
        <v>HAIHAMEC 3.6EC</v>
      </c>
      <c r="F1410" s="87" t="str">
        <f>IFERROR(__xludf.DUMMYFUNCTION("""COMPUTED_VALUE"""),"HH0907")</f>
        <v>HH0907</v>
      </c>
      <c r="G1410" s="87" t="str">
        <f>IFERROR(__xludf.DUMMYFUNCTION("""COMPUTED_VALUE"""),"LOT IDA Global - I - 907 - ĐL Nguyễn Đức Minh - Thần Hổ (Pet tròn)(nắp đỏ)(nước nâu đen) - 450ml - 40")</f>
        <v>LOT IDA Global - I - 907 - ĐL Nguyễn Đức Minh - Thần Hổ (Pet tròn)(nắp đỏ)(nước nâu đen) - 450ml - 40</v>
      </c>
    </row>
    <row r="1411">
      <c r="A1411" s="86">
        <f>IFERROR(__xludf.DUMMYFUNCTION("""COMPUTED_VALUE"""),1409.0)</f>
        <v>1409</v>
      </c>
      <c r="B1411" s="87" t="str">
        <f>IFERROR(__xludf.DUMMYFUNCTION("""COMPUTED_VALUE"""),"Nhãn")</f>
        <v>Nhãn</v>
      </c>
      <c r="C1411" s="87" t="str">
        <f>IFERROR(__xludf.DUMMYFUNCTION("""COMPUTED_VALUE"""),"NHD0908")</f>
        <v>NHD0908</v>
      </c>
      <c r="D1411" s="87" t="str">
        <f>IFERROR(__xludf.DUMMYFUNCTION("""COMPUTED_VALUE"""),"[Nhãn] LOT IDA Global - I - 908 - ĐL Quốc Thái - Avermectin 36 (Pet vuông) (nắp vàng)(nước nâu đen) - 450ml - 40")</f>
        <v>[Nhãn] LOT IDA Global - I - 908 - ĐL Quốc Thái - Avermectin 36 (Pet vuông) (nắp vàng)(nước nâu đen) - 450ml - 40</v>
      </c>
      <c r="E1411" s="87" t="str">
        <f>IFERROR(__xludf.DUMMYFUNCTION("""COMPUTED_VALUE"""),"Chitin 3.6EC")</f>
        <v>Chitin 3.6EC</v>
      </c>
      <c r="F1411" s="87" t="str">
        <f>IFERROR(__xludf.DUMMYFUNCTION("""COMPUTED_VALUE"""),"HH0908")</f>
        <v>HH0908</v>
      </c>
      <c r="G1411" s="87" t="str">
        <f>IFERROR(__xludf.DUMMYFUNCTION("""COMPUTED_VALUE"""),"LOT IDA Global - I - 908 - ĐL Quốc Thái - Avermectin 36 (Pet vuông) (nắp vàng)(nước nâu đen) - 450ml - 40")</f>
        <v>LOT IDA Global - I - 908 - ĐL Quốc Thái - Avermectin 36 (Pet vuông) (nắp vàng)(nước nâu đen) - 450ml - 40</v>
      </c>
    </row>
    <row r="1412">
      <c r="A1412" s="86">
        <f>IFERROR(__xludf.DUMMYFUNCTION("""COMPUTED_VALUE"""),1410.0)</f>
        <v>1410</v>
      </c>
      <c r="B1412" s="87" t="str">
        <f>IFERROR(__xludf.DUMMYFUNCTION("""COMPUTED_VALUE"""),"Nhãn thùng")</f>
        <v>Nhãn thùng</v>
      </c>
      <c r="C1412" s="87" t="str">
        <f>IFERROR(__xludf.DUMMYFUNCTION("""COMPUTED_VALUE"""),"NDT0908")</f>
        <v>NDT0908</v>
      </c>
      <c r="D1412" s="87" t="str">
        <f>IFERROR(__xludf.DUMMYFUNCTION("""COMPUTED_VALUE"""),"[Nhãn thùng] LOT IDA Global - I - 908 - ĐL Quốc Thái - Avermectin 36 (Pet vuông) (nắp vàng)(nước nâu đen) - 450ml - 40")</f>
        <v>[Nhãn thùng] LOT IDA Global - I - 908 - ĐL Quốc Thái - Avermectin 36 (Pet vuông) (nắp vàng)(nước nâu đen) - 450ml - 40</v>
      </c>
      <c r="E1412" s="87" t="str">
        <f>IFERROR(__xludf.DUMMYFUNCTION("""COMPUTED_VALUE"""),"Chitin 3.6EC")</f>
        <v>Chitin 3.6EC</v>
      </c>
      <c r="F1412" s="87" t="str">
        <f>IFERROR(__xludf.DUMMYFUNCTION("""COMPUTED_VALUE"""),"HH0908")</f>
        <v>HH0908</v>
      </c>
      <c r="G1412" s="87" t="str">
        <f>IFERROR(__xludf.DUMMYFUNCTION("""COMPUTED_VALUE"""),"LOT IDA Global - I - 908 - ĐL Quốc Thái - Avermectin 36 (Pet vuông) (nắp vàng)(nước nâu đen) - 450ml - 40")</f>
        <v>LOT IDA Global - I - 908 - ĐL Quốc Thái - Avermectin 36 (Pet vuông) (nắp vàng)(nước nâu đen) - 450ml - 40</v>
      </c>
    </row>
    <row r="1413">
      <c r="A1413" s="86">
        <f>IFERROR(__xludf.DUMMYFUNCTION("""COMPUTED_VALUE"""),1411.0)</f>
        <v>1411</v>
      </c>
      <c r="B1413" s="87" t="str">
        <f>IFERROR(__xludf.DUMMYFUNCTION("""COMPUTED_VALUE"""),"Nhãn")</f>
        <v>Nhãn</v>
      </c>
      <c r="C1413" s="87" t="str">
        <f>IFERROR(__xludf.DUMMYFUNCTION("""COMPUTED_VALUE"""),"NHG0909")</f>
        <v>NHG0909</v>
      </c>
      <c r="D1413" s="87" t="str">
        <f>IFERROR(__xludf.DUMMYFUNCTION("""COMPUTED_VALUE"""),"[Nhãn] LOT IDA Global - I - 909 - ĐL Nguyễn Văn Tây - Avermectin 36 (Pet tròn) (nắp đỏ)(nước nâu đen) - 450ml - 40")</f>
        <v>[Nhãn] LOT IDA Global - I - 909 - ĐL Nguyễn Văn Tây - Avermectin 36 (Pet tròn) (nắp đỏ)(nước nâu đen) - 450ml - 40</v>
      </c>
      <c r="E1413" s="87" t="str">
        <f>IFERROR(__xludf.DUMMYFUNCTION("""COMPUTED_VALUE"""),"Chitin 3.6EC")</f>
        <v>Chitin 3.6EC</v>
      </c>
      <c r="F1413" s="87" t="str">
        <f>IFERROR(__xludf.DUMMYFUNCTION("""COMPUTED_VALUE"""),"HH0909")</f>
        <v>HH0909</v>
      </c>
      <c r="G1413" s="87" t="str">
        <f>IFERROR(__xludf.DUMMYFUNCTION("""COMPUTED_VALUE"""),"LOT IDA Global - I - 909 - ĐL Nguyễn Văn Tây - Avermectin 36 (Pet tròn) (nắp đỏ)(nước nâu đen) - 450ml - 40")</f>
        <v>LOT IDA Global - I - 909 - ĐL Nguyễn Văn Tây - Avermectin 36 (Pet tròn) (nắp đỏ)(nước nâu đen) - 450ml - 40</v>
      </c>
    </row>
    <row r="1414">
      <c r="A1414" s="86">
        <f>IFERROR(__xludf.DUMMYFUNCTION("""COMPUTED_VALUE"""),1412.0)</f>
        <v>1412</v>
      </c>
      <c r="B1414" s="87" t="str">
        <f>IFERROR(__xludf.DUMMYFUNCTION("""COMPUTED_VALUE"""),"Nhãn thùng")</f>
        <v>Nhãn thùng</v>
      </c>
      <c r="C1414" s="87" t="str">
        <f>IFERROR(__xludf.DUMMYFUNCTION("""COMPUTED_VALUE"""),"NDT0909")</f>
        <v>NDT0909</v>
      </c>
      <c r="D1414" s="87" t="str">
        <f>IFERROR(__xludf.DUMMYFUNCTION("""COMPUTED_VALUE"""),"[Nhãn thùng] LOT IDA Global - I - 909 - ĐL Nguyễn Văn Tây - Avermectin 36 (Pet tròn) (nắp đỏ)(nước nâu đen) - 450ml - 40")</f>
        <v>[Nhãn thùng] LOT IDA Global - I - 909 - ĐL Nguyễn Văn Tây - Avermectin 36 (Pet tròn) (nắp đỏ)(nước nâu đen) - 450ml - 40</v>
      </c>
      <c r="E1414" s="87" t="str">
        <f>IFERROR(__xludf.DUMMYFUNCTION("""COMPUTED_VALUE"""),"Chitin 3.6EC")</f>
        <v>Chitin 3.6EC</v>
      </c>
      <c r="F1414" s="87" t="str">
        <f>IFERROR(__xludf.DUMMYFUNCTION("""COMPUTED_VALUE"""),"HH0909")</f>
        <v>HH0909</v>
      </c>
      <c r="G1414" s="87" t="str">
        <f>IFERROR(__xludf.DUMMYFUNCTION("""COMPUTED_VALUE"""),"LOT IDA Global - I - 909 - ĐL Nguyễn Văn Tây - Avermectin 36 (Pet tròn) (nắp đỏ)(nước nâu đen) - 450ml - 40")</f>
        <v>LOT IDA Global - I - 909 - ĐL Nguyễn Văn Tây - Avermectin 36 (Pet tròn) (nắp đỏ)(nước nâu đen) - 450ml - 40</v>
      </c>
    </row>
    <row r="1415">
      <c r="A1415" s="86">
        <f>IFERROR(__xludf.DUMMYFUNCTION("""COMPUTED_VALUE"""),1413.0)</f>
        <v>1413</v>
      </c>
      <c r="B1415" s="87" t="str">
        <f>IFERROR(__xludf.DUMMYFUNCTION("""COMPUTED_VALUE"""),"Nhãn")</f>
        <v>Nhãn</v>
      </c>
      <c r="C1415" s="87" t="str">
        <f>IFERROR(__xludf.DUMMYFUNCTION("""COMPUTED_VALUE"""),"NHD0910")</f>
        <v>NHD0910</v>
      </c>
      <c r="D1415" s="87" t="str">
        <f>IFERROR(__xludf.DUMMYFUNCTION("""COMPUTED_VALUE"""),"[Nhãn] LOT IDA Global - I - 910 - ĐL Tập Hưng - Avermetic 36 (Pet vuông) (nắp vàng)(nước nâu đen) - 450ml - 40")</f>
        <v>[Nhãn] LOT IDA Global - I - 910 - ĐL Tập Hưng - Avermetic 36 (Pet vuông) (nắp vàng)(nước nâu đen) - 450ml - 40</v>
      </c>
      <c r="E1415" s="87" t="str">
        <f>IFERROR(__xludf.DUMMYFUNCTION("""COMPUTED_VALUE"""),"Chitin 3.6EC")</f>
        <v>Chitin 3.6EC</v>
      </c>
      <c r="F1415" s="87" t="str">
        <f>IFERROR(__xludf.DUMMYFUNCTION("""COMPUTED_VALUE"""),"HH0910")</f>
        <v>HH0910</v>
      </c>
      <c r="G1415" s="87" t="str">
        <f>IFERROR(__xludf.DUMMYFUNCTION("""COMPUTED_VALUE"""),"LOT IDA Global - I - 910 - ĐL Tập Hưng - Avermetic 36 (Pet vuông) (nắp vàng)(nước nâu đen) - 450ml - 40")</f>
        <v>LOT IDA Global - I - 910 - ĐL Tập Hưng - Avermetic 36 (Pet vuông) (nắp vàng)(nước nâu đen) - 450ml - 40</v>
      </c>
    </row>
    <row r="1416">
      <c r="A1416" s="86">
        <f>IFERROR(__xludf.DUMMYFUNCTION("""COMPUTED_VALUE"""),1414.0)</f>
        <v>1414</v>
      </c>
      <c r="B1416" s="87" t="str">
        <f>IFERROR(__xludf.DUMMYFUNCTION("""COMPUTED_VALUE"""),"Nhãn thùng")</f>
        <v>Nhãn thùng</v>
      </c>
      <c r="C1416" s="87" t="str">
        <f>IFERROR(__xludf.DUMMYFUNCTION("""COMPUTED_VALUE"""),"NDT0910")</f>
        <v>NDT0910</v>
      </c>
      <c r="D1416" s="87" t="str">
        <f>IFERROR(__xludf.DUMMYFUNCTION("""COMPUTED_VALUE"""),"[Nhãn thùng] LOT IDA Global - I - 910 - ĐL Tập Hưng - Avermetic 36 (Pet vuông) (nắp vàng)(nước nâu đen) - 450ml - 40")</f>
        <v>[Nhãn thùng] LOT IDA Global - I - 910 - ĐL Tập Hưng - Avermetic 36 (Pet vuông) (nắp vàng)(nước nâu đen) - 450ml - 40</v>
      </c>
      <c r="E1416" s="87" t="str">
        <f>IFERROR(__xludf.DUMMYFUNCTION("""COMPUTED_VALUE"""),"Chitin 3.6EC")</f>
        <v>Chitin 3.6EC</v>
      </c>
      <c r="F1416" s="87" t="str">
        <f>IFERROR(__xludf.DUMMYFUNCTION("""COMPUTED_VALUE"""),"HH0910")</f>
        <v>HH0910</v>
      </c>
      <c r="G1416" s="87" t="str">
        <f>IFERROR(__xludf.DUMMYFUNCTION("""COMPUTED_VALUE"""),"LOT IDA Global - I - 910 - ĐL Tập Hưng - Avermetic 36 (Pet vuông) (nắp vàng)(nước nâu đen) - 450ml - 40")</f>
        <v>LOT IDA Global - I - 910 - ĐL Tập Hưng - Avermetic 36 (Pet vuông) (nắp vàng)(nước nâu đen) - 450ml - 40</v>
      </c>
    </row>
    <row r="1417">
      <c r="A1417" s="86">
        <f>IFERROR(__xludf.DUMMYFUNCTION("""COMPUTED_VALUE"""),1415.0)</f>
        <v>1415</v>
      </c>
      <c r="B1417" s="87" t="str">
        <f>IFERROR(__xludf.DUMMYFUNCTION("""COMPUTED_VALUE"""),"Nhãn")</f>
        <v>Nhãn</v>
      </c>
      <c r="C1417" s="87" t="str">
        <f>IFERROR(__xludf.DUMMYFUNCTION("""COMPUTED_VALUE"""),"NTN0911")</f>
        <v>NTN0911</v>
      </c>
      <c r="D1417" s="87" t="str">
        <f>IFERROR(__xludf.DUMMYFUNCTION("""COMPUTED_VALUE"""),"[Nhãn] LOT IDA Global - I - 911 - ĐL Hai Nhóm - Mancozeb xanh (túi nhôm)(bột xanh) - 1 Kg - 20")</f>
        <v>[Nhãn] LOT IDA Global - I - 911 - ĐL Hai Nhóm - Mancozeb xanh (túi nhôm)(bột xanh) - 1 Kg - 20</v>
      </c>
      <c r="E1417" s="87" t="str">
        <f>IFERROR(__xludf.DUMMYFUNCTION("""COMPUTED_VALUE"""),"BYPHAN 800WP")</f>
        <v>BYPHAN 800WP</v>
      </c>
      <c r="F1417" s="87" t="str">
        <f>IFERROR(__xludf.DUMMYFUNCTION("""COMPUTED_VALUE"""),"HH0911")</f>
        <v>HH0911</v>
      </c>
      <c r="G1417" s="87" t="str">
        <f>IFERROR(__xludf.DUMMYFUNCTION("""COMPUTED_VALUE"""),"LOT IDA Global - I - 911 - ĐL Hai Nhóm - Mancozeb xanh (túi nhôm)(bột xanh) - 1 Kg - 20")</f>
        <v>LOT IDA Global - I - 911 - ĐL Hai Nhóm - Mancozeb xanh (túi nhôm)(bột xanh) - 1 Kg - 20</v>
      </c>
    </row>
    <row r="1418">
      <c r="A1418" s="86">
        <f>IFERROR(__xludf.DUMMYFUNCTION("""COMPUTED_VALUE"""),1416.0)</f>
        <v>1416</v>
      </c>
      <c r="B1418" s="87" t="str">
        <f>IFERROR(__xludf.DUMMYFUNCTION("""COMPUTED_VALUE"""),"Nhãn")</f>
        <v>Nhãn</v>
      </c>
      <c r="C1418" s="87" t="str">
        <f>IFERROR(__xludf.DUMMYFUNCTION("""COMPUTED_VALUE"""),"NHG0912")</f>
        <v>NHG0912</v>
      </c>
      <c r="D1418" s="87" t="str">
        <f>IFERROR(__xludf.DUMMYFUNCTION("""COMPUTED_VALUE"""),"[Nhãn] GC - IV - 912 - Agritech - Agri Root (Gel nâu đen) (chai HD) - 500ml - 40")</f>
        <v>[Nhãn] GC - IV - 912 - Agritech - Agri Root (Gel nâu đen) (chai HD) - 500ml - 40</v>
      </c>
      <c r="E1418" s="87" t="str">
        <f>IFERROR(__xludf.DUMMYFUNCTION("""COMPUTED_VALUE"""),"Vi lượng Quantity New")</f>
        <v>Vi lượng Quantity New</v>
      </c>
      <c r="F1418" s="87" t="str">
        <f>IFERROR(__xludf.DUMMYFUNCTION("""COMPUTED_VALUE"""),"HH0912")</f>
        <v>HH0912</v>
      </c>
      <c r="G1418" s="87" t="str">
        <f>IFERROR(__xludf.DUMMYFUNCTION("""COMPUTED_VALUE"""),"GC - IV - 912 - Agritech - Agri Root (Gel nâu đen) (chai HD) - 500ml - 40")</f>
        <v>GC - IV - 912 - Agritech - Agri Root (Gel nâu đen) (chai HD) - 500ml - 40</v>
      </c>
    </row>
    <row r="1419">
      <c r="A1419" s="86">
        <f>IFERROR(__xludf.DUMMYFUNCTION("""COMPUTED_VALUE"""),1417.0)</f>
        <v>1417</v>
      </c>
      <c r="B1419" s="87" t="str">
        <f>IFERROR(__xludf.DUMMYFUNCTION("""COMPUTED_VALUE"""),"Nhãn thùng")</f>
        <v>Nhãn thùng</v>
      </c>
      <c r="C1419" s="87" t="str">
        <f>IFERROR(__xludf.DUMMYFUNCTION("""COMPUTED_VALUE"""),"NDT0912")</f>
        <v>NDT0912</v>
      </c>
      <c r="D1419" s="87" t="str">
        <f>IFERROR(__xludf.DUMMYFUNCTION("""COMPUTED_VALUE"""),"[Nhãn thùng] GC - IV - 912 - Agritech - Agri Root (Gel nâu đen) (chai HD) - 500ml - 40")</f>
        <v>[Nhãn thùng] GC - IV - 912 - Agritech - Agri Root (Gel nâu đen) (chai HD) - 500ml - 40</v>
      </c>
      <c r="E1419" s="87" t="str">
        <f>IFERROR(__xludf.DUMMYFUNCTION("""COMPUTED_VALUE"""),"Vi lượng Quantity New")</f>
        <v>Vi lượng Quantity New</v>
      </c>
      <c r="F1419" s="87" t="str">
        <f>IFERROR(__xludf.DUMMYFUNCTION("""COMPUTED_VALUE"""),"HH0912")</f>
        <v>HH0912</v>
      </c>
      <c r="G1419" s="87" t="str">
        <f>IFERROR(__xludf.DUMMYFUNCTION("""COMPUTED_VALUE"""),"GC - IV - 912 - Agritech - Agri Root (Gel nâu đen) (chai HD) - 500ml - 40")</f>
        <v>GC - IV - 912 - Agritech - Agri Root (Gel nâu đen) (chai HD) - 500ml - 40</v>
      </c>
    </row>
    <row r="1420">
      <c r="A1420" s="86">
        <f>IFERROR(__xludf.DUMMYFUNCTION("""COMPUTED_VALUE"""),1418.0)</f>
        <v>1418</v>
      </c>
      <c r="B1420" s="87" t="str">
        <f>IFERROR(__xludf.DUMMYFUNCTION("""COMPUTED_VALUE"""),"Nhãn")</f>
        <v>Nhãn</v>
      </c>
      <c r="C1420" s="87" t="str">
        <f>IFERROR(__xludf.DUMMYFUNCTION("""COMPUTED_VALUE"""),"NHG0913")</f>
        <v>NHG0913</v>
      </c>
      <c r="D1420" s="87" t="str">
        <f>IFERROR(__xludf.DUMMYFUNCTION("""COMPUTED_VALUE"""),"[Nhãn] LOT IDA Global - I - 913 - ĐL Hai Nhứt - Avermetic 36 (Pet tròn) (nắp đỏ)(nước nâu đen) - 450ml - 40")</f>
        <v>[Nhãn] LOT IDA Global - I - 913 - ĐL Hai Nhứt - Avermetic 36 (Pet tròn) (nắp đỏ)(nước nâu đen) - 450ml - 40</v>
      </c>
      <c r="E1420" s="87" t="str">
        <f>IFERROR(__xludf.DUMMYFUNCTION("""COMPUTED_VALUE"""),"Chitin 3.6EC")</f>
        <v>Chitin 3.6EC</v>
      </c>
      <c r="F1420" s="87" t="str">
        <f>IFERROR(__xludf.DUMMYFUNCTION("""COMPUTED_VALUE"""),"HH0913")</f>
        <v>HH0913</v>
      </c>
      <c r="G1420" s="87" t="str">
        <f>IFERROR(__xludf.DUMMYFUNCTION("""COMPUTED_VALUE"""),"LOT IDA Global - I - 913 - ĐL Hai Nhứt - Avermetic 36 (Pet tròn) (nắp đỏ)(nước nâu đen) - 450ml - 40")</f>
        <v>LOT IDA Global - I - 913 - ĐL Hai Nhứt - Avermetic 36 (Pet tròn) (nắp đỏ)(nước nâu đen) - 450ml - 40</v>
      </c>
    </row>
    <row r="1421">
      <c r="A1421" s="86">
        <f>IFERROR(__xludf.DUMMYFUNCTION("""COMPUTED_VALUE"""),1419.0)</f>
        <v>1419</v>
      </c>
      <c r="B1421" s="87" t="str">
        <f>IFERROR(__xludf.DUMMYFUNCTION("""COMPUTED_VALUE"""),"Nhãn thùng")</f>
        <v>Nhãn thùng</v>
      </c>
      <c r="C1421" s="87" t="str">
        <f>IFERROR(__xludf.DUMMYFUNCTION("""COMPUTED_VALUE"""),"NDT0913")</f>
        <v>NDT0913</v>
      </c>
      <c r="D1421" s="87" t="str">
        <f>IFERROR(__xludf.DUMMYFUNCTION("""COMPUTED_VALUE"""),"[Nhãn thùng] LOT IDA Global - I - 913 - ĐL Hai Nhứt - Avermetic 36 (Pet tròn) (nắp đỏ)(nước nâu đen) - 450ml - 40")</f>
        <v>[Nhãn thùng] LOT IDA Global - I - 913 - ĐL Hai Nhứt - Avermetic 36 (Pet tròn) (nắp đỏ)(nước nâu đen) - 450ml - 40</v>
      </c>
      <c r="E1421" s="87" t="str">
        <f>IFERROR(__xludf.DUMMYFUNCTION("""COMPUTED_VALUE"""),"Chitin 3.6EC")</f>
        <v>Chitin 3.6EC</v>
      </c>
      <c r="F1421" s="87" t="str">
        <f>IFERROR(__xludf.DUMMYFUNCTION("""COMPUTED_VALUE"""),"HH0913")</f>
        <v>HH0913</v>
      </c>
      <c r="G1421" s="87" t="str">
        <f>IFERROR(__xludf.DUMMYFUNCTION("""COMPUTED_VALUE"""),"LOT IDA Global - I - 913 - ĐL Hai Nhứt - Avermetic 36 (Pet tròn) (nắp đỏ)(nước nâu đen) - 450ml - 40")</f>
        <v>LOT IDA Global - I - 913 - ĐL Hai Nhứt - Avermetic 36 (Pet tròn) (nắp đỏ)(nước nâu đen) - 450ml - 40</v>
      </c>
    </row>
    <row r="1422">
      <c r="A1422" s="86">
        <f>IFERROR(__xludf.DUMMYFUNCTION("""COMPUTED_VALUE"""),1420.0)</f>
        <v>1420</v>
      </c>
      <c r="B1422" s="87" t="str">
        <f>IFERROR(__xludf.DUMMYFUNCTION("""COMPUTED_VALUE"""),"Nhãn")</f>
        <v>Nhãn</v>
      </c>
      <c r="C1422" s="87" t="str">
        <f>IFERROR(__xludf.DUMMYFUNCTION("""COMPUTED_VALUE"""),"NHG0914")</f>
        <v>NHG0914</v>
      </c>
      <c r="D1422" s="87" t="str">
        <f>IFERROR(__xludf.DUMMYFUNCTION("""COMPUTED_VALUE"""),"[Nhãn] LOT IDA Global - I - 914 - ĐL Đạt Huê - Thần Hổ 4.0 (Pet tròn) (nắp đỏ)(nước nâu đen) - 450ml - 40")</f>
        <v>[Nhãn] LOT IDA Global - I - 914 - ĐL Đạt Huê - Thần Hổ 4.0 (Pet tròn) (nắp đỏ)(nước nâu đen) - 450ml - 40</v>
      </c>
      <c r="E1422" s="87" t="str">
        <f>IFERROR(__xludf.DUMMYFUNCTION("""COMPUTED_VALUE"""),"Chitin 3.6EC")</f>
        <v>Chitin 3.6EC</v>
      </c>
      <c r="F1422" s="87" t="str">
        <f>IFERROR(__xludf.DUMMYFUNCTION("""COMPUTED_VALUE"""),"HH0914")</f>
        <v>HH0914</v>
      </c>
      <c r="G1422" s="87" t="str">
        <f>IFERROR(__xludf.DUMMYFUNCTION("""COMPUTED_VALUE"""),"LOT IDA Global - I - 914 - ĐL Đạt Huê - Thần Hổ 4.0 (Pet tròn) (nắp đỏ)(nước nâu đen) - 450ml - 40")</f>
        <v>LOT IDA Global - I - 914 - ĐL Đạt Huê - Thần Hổ 4.0 (Pet tròn) (nắp đỏ)(nước nâu đen) - 450ml - 40</v>
      </c>
    </row>
    <row r="1423">
      <c r="A1423" s="86">
        <f>IFERROR(__xludf.DUMMYFUNCTION("""COMPUTED_VALUE"""),1421.0)</f>
        <v>1421</v>
      </c>
      <c r="B1423" s="87" t="str">
        <f>IFERROR(__xludf.DUMMYFUNCTION("""COMPUTED_VALUE"""),"Nhãn thùng")</f>
        <v>Nhãn thùng</v>
      </c>
      <c r="C1423" s="87" t="str">
        <f>IFERROR(__xludf.DUMMYFUNCTION("""COMPUTED_VALUE"""),"NDT0914")</f>
        <v>NDT0914</v>
      </c>
      <c r="D1423" s="87" t="str">
        <f>IFERROR(__xludf.DUMMYFUNCTION("""COMPUTED_VALUE"""),"[Nhãn thùng] LOT IDA Global - I - 914 - ĐL Đạt Huê - Thần Hổ 4.0 (Pet tròn) (nắp đỏ)(nước nâu đen) - 450ml - 40")</f>
        <v>[Nhãn thùng] LOT IDA Global - I - 914 - ĐL Đạt Huê - Thần Hổ 4.0 (Pet tròn) (nắp đỏ)(nước nâu đen) - 450ml - 40</v>
      </c>
      <c r="E1423" s="87" t="str">
        <f>IFERROR(__xludf.DUMMYFUNCTION("""COMPUTED_VALUE"""),"Chitin 3.6EC")</f>
        <v>Chitin 3.6EC</v>
      </c>
      <c r="F1423" s="87" t="str">
        <f>IFERROR(__xludf.DUMMYFUNCTION("""COMPUTED_VALUE"""),"HH0914")</f>
        <v>HH0914</v>
      </c>
      <c r="G1423" s="87" t="str">
        <f>IFERROR(__xludf.DUMMYFUNCTION("""COMPUTED_VALUE"""),"LOT IDA Global - I - 914 - ĐL Đạt Huê - Thần Hổ 4.0 (Pet tròn) (nắp đỏ)(nước nâu đen) - 450ml - 40")</f>
        <v>LOT IDA Global - I - 914 - ĐL Đạt Huê - Thần Hổ 4.0 (Pet tròn) (nắp đỏ)(nước nâu đen) - 450ml - 40</v>
      </c>
    </row>
    <row r="1424">
      <c r="A1424" s="86">
        <f>IFERROR(__xludf.DUMMYFUNCTION("""COMPUTED_VALUE"""),1422.0)</f>
        <v>1422</v>
      </c>
      <c r="B1424" s="87" t="str">
        <f>IFERROR(__xludf.DUMMYFUNCTION("""COMPUTED_VALUE"""),"Nhãn")</f>
        <v>Nhãn</v>
      </c>
      <c r="C1424" s="87" t="str">
        <f>IFERROR(__xludf.DUMMYFUNCTION("""COMPUTED_VALUE"""),"NHG0916")</f>
        <v>NHG0916</v>
      </c>
      <c r="D1424" s="87" t="str">
        <f>IFERROR(__xludf.DUMMYFUNCTION("""COMPUTED_VALUE"""),"[Nhãn] LOT IDA Global - I - 916 - ĐL Quốc Dũng - Thần Hổ (Pet tròn) (nắp đỏ)(nước nâu đen) - 450ml - 40")</f>
        <v>[Nhãn] LOT IDA Global - I - 916 - ĐL Quốc Dũng - Thần Hổ (Pet tròn) (nắp đỏ)(nước nâu đen) - 450ml - 40</v>
      </c>
      <c r="E1424" s="87" t="str">
        <f>IFERROR(__xludf.DUMMYFUNCTION("""COMPUTED_VALUE"""),"Chitin 3.6EC")</f>
        <v>Chitin 3.6EC</v>
      </c>
      <c r="F1424" s="87" t="str">
        <f>IFERROR(__xludf.DUMMYFUNCTION("""COMPUTED_VALUE"""),"HH0916")</f>
        <v>HH0916</v>
      </c>
      <c r="G1424" s="87" t="str">
        <f>IFERROR(__xludf.DUMMYFUNCTION("""COMPUTED_VALUE"""),"LOT IDA Global - I - 916 - ĐL Quốc Dũng - Thần Hổ (Pet tròn) (nắp đỏ)(nước nâu đen) - 450ml - 40")</f>
        <v>LOT IDA Global - I - 916 - ĐL Quốc Dũng - Thần Hổ (Pet tròn) (nắp đỏ)(nước nâu đen) - 450ml - 40</v>
      </c>
    </row>
    <row r="1425">
      <c r="A1425" s="86">
        <f>IFERROR(__xludf.DUMMYFUNCTION("""COMPUTED_VALUE"""),1423.0)</f>
        <v>1423</v>
      </c>
      <c r="B1425" s="87" t="str">
        <f>IFERROR(__xludf.DUMMYFUNCTION("""COMPUTED_VALUE"""),"Nhãn thùng")</f>
        <v>Nhãn thùng</v>
      </c>
      <c r="C1425" s="87" t="str">
        <f>IFERROR(__xludf.DUMMYFUNCTION("""COMPUTED_VALUE"""),"NDT0916")</f>
        <v>NDT0916</v>
      </c>
      <c r="D1425" s="87" t="str">
        <f>IFERROR(__xludf.DUMMYFUNCTION("""COMPUTED_VALUE"""),"[Nhãn thùng] LOT IDA Global - I - 916 - ĐL Quốc Dũng - Thần Hổ (Pet tròn) (nắp đỏ)(nước nâu đen) - 450ml - 40")</f>
        <v>[Nhãn thùng] LOT IDA Global - I - 916 - ĐL Quốc Dũng - Thần Hổ (Pet tròn) (nắp đỏ)(nước nâu đen) - 450ml - 40</v>
      </c>
      <c r="E1425" s="87" t="str">
        <f>IFERROR(__xludf.DUMMYFUNCTION("""COMPUTED_VALUE"""),"Chitin 3.6EC")</f>
        <v>Chitin 3.6EC</v>
      </c>
      <c r="F1425" s="87" t="str">
        <f>IFERROR(__xludf.DUMMYFUNCTION("""COMPUTED_VALUE"""),"HH0916")</f>
        <v>HH0916</v>
      </c>
      <c r="G1425" s="87" t="str">
        <f>IFERROR(__xludf.DUMMYFUNCTION("""COMPUTED_VALUE"""),"LOT IDA Global - I - 916 - ĐL Quốc Dũng - Thần Hổ (Pet tròn) (nắp đỏ)(nước nâu đen) - 450ml - 40")</f>
        <v>LOT IDA Global - I - 916 - ĐL Quốc Dũng - Thần Hổ (Pet tròn) (nắp đỏ)(nước nâu đen) - 450ml - 40</v>
      </c>
    </row>
    <row r="1426">
      <c r="A1426" s="86">
        <f>IFERROR(__xludf.DUMMYFUNCTION("""COMPUTED_VALUE"""),1424.0)</f>
        <v>1424</v>
      </c>
      <c r="B1426" s="87" t="str">
        <f>IFERROR(__xludf.DUMMYFUNCTION("""COMPUTED_VALUE"""),"Nhãn")</f>
        <v>Nhãn</v>
      </c>
      <c r="C1426" s="87" t="str">
        <f>IFERROR(__xludf.DUMMYFUNCTION("""COMPUTED_VALUE"""),"NHG0918")</f>
        <v>NHG0918</v>
      </c>
      <c r="D1426" s="87" t="str">
        <f>IFERROR(__xludf.DUMMYFUNCTION("""COMPUTED_VALUE"""),"[Nhãn] GC - IV - 918 - Tago - Đổ ốc (Pet tròn) (nắp đỏ) (nước nâu đen) - 450ml - 40")</f>
        <v>[Nhãn] GC - IV - 918 - Tago - Đổ ốc (Pet tròn) (nắp đỏ) (nước nâu đen) - 450ml - 40</v>
      </c>
      <c r="E1426" s="87" t="str">
        <f>IFERROR(__xludf.DUMMYFUNCTION("""COMPUTED_VALUE"""),"HAIHAMEC 3.6EC")</f>
        <v>HAIHAMEC 3.6EC</v>
      </c>
      <c r="F1426" s="87" t="str">
        <f>IFERROR(__xludf.DUMMYFUNCTION("""COMPUTED_VALUE"""),"HH0918")</f>
        <v>HH0918</v>
      </c>
      <c r="G1426" s="87" t="str">
        <f>IFERROR(__xludf.DUMMYFUNCTION("""COMPUTED_VALUE"""),"GC - IV - 918 - Tago - Đổ ốc (Pet tròn) (nắp đỏ) (nước nâu đen) - 450ml - 40")</f>
        <v>GC - IV - 918 - Tago - Đổ ốc (Pet tròn) (nắp đỏ) (nước nâu đen) - 450ml - 40</v>
      </c>
    </row>
    <row r="1427">
      <c r="A1427" s="86">
        <f>IFERROR(__xludf.DUMMYFUNCTION("""COMPUTED_VALUE"""),1425.0)</f>
        <v>1425</v>
      </c>
      <c r="B1427" s="87" t="str">
        <f>IFERROR(__xludf.DUMMYFUNCTION("""COMPUTED_VALUE"""),"Nhãn thùng")</f>
        <v>Nhãn thùng</v>
      </c>
      <c r="C1427" s="87" t="str">
        <f>IFERROR(__xludf.DUMMYFUNCTION("""COMPUTED_VALUE"""),"NDT0918")</f>
        <v>NDT0918</v>
      </c>
      <c r="D1427" s="87" t="str">
        <f>IFERROR(__xludf.DUMMYFUNCTION("""COMPUTED_VALUE"""),"[Nhãn thùng] GC - IV - 918 - Tago - Đổ ốc (Pet tròn) (nắp đỏ) (nước nâu đen) - 450ml - 40")</f>
        <v>[Nhãn thùng] GC - IV - 918 - Tago - Đổ ốc (Pet tròn) (nắp đỏ) (nước nâu đen) - 450ml - 40</v>
      </c>
      <c r="E1427" s="87" t="str">
        <f>IFERROR(__xludf.DUMMYFUNCTION("""COMPUTED_VALUE"""),"HAIHAMEC 3.6EC")</f>
        <v>HAIHAMEC 3.6EC</v>
      </c>
      <c r="F1427" s="87" t="str">
        <f>IFERROR(__xludf.DUMMYFUNCTION("""COMPUTED_VALUE"""),"HH0918")</f>
        <v>HH0918</v>
      </c>
      <c r="G1427" s="87" t="str">
        <f>IFERROR(__xludf.DUMMYFUNCTION("""COMPUTED_VALUE"""),"GC - IV - 918 - Tago - Đổ ốc (Pet tròn) (nắp đỏ) (nước nâu đen) - 450ml - 40")</f>
        <v>GC - IV - 918 - Tago - Đổ ốc (Pet tròn) (nắp đỏ) (nước nâu đen) - 450ml - 40</v>
      </c>
    </row>
    <row r="1428">
      <c r="A1428" s="86">
        <f>IFERROR(__xludf.DUMMYFUNCTION("""COMPUTED_VALUE"""),1426.0)</f>
        <v>1426</v>
      </c>
      <c r="B1428" s="87" t="str">
        <f>IFERROR(__xludf.DUMMYFUNCTION("""COMPUTED_VALUE"""),"Nhãn")</f>
        <v>Nhãn</v>
      </c>
      <c r="C1428" s="87" t="str">
        <f>IFERROR(__xludf.DUMMYFUNCTION("""COMPUTED_VALUE"""),"NHG0919")</f>
        <v>NHG0919</v>
      </c>
      <c r="D1428" s="87" t="str">
        <f>IFERROR(__xludf.DUMMYFUNCTION("""COMPUTED_VALUE"""),"[Nhãn] LOT IDA Global - I - 919 - ĐL Lệ Hồng 1 - Thần Hổ (Pet tròn) (nắp đỏ)(nước nâu đen) - 450ml - 40")</f>
        <v>[Nhãn] LOT IDA Global - I - 919 - ĐL Lệ Hồng 1 - Thần Hổ (Pet tròn) (nắp đỏ)(nước nâu đen) - 450ml - 40</v>
      </c>
      <c r="E1428" s="87" t="str">
        <f>IFERROR(__xludf.DUMMYFUNCTION("""COMPUTED_VALUE"""),"Chitin 3.6EC")</f>
        <v>Chitin 3.6EC</v>
      </c>
      <c r="F1428" s="87" t="str">
        <f>IFERROR(__xludf.DUMMYFUNCTION("""COMPUTED_VALUE"""),"HH0919")</f>
        <v>HH0919</v>
      </c>
      <c r="G1428" s="87" t="str">
        <f>IFERROR(__xludf.DUMMYFUNCTION("""COMPUTED_VALUE"""),"LOT IDA Global - I - 919 - ĐL Lệ Hồng 1 - Thần Hổ (Pet tròn) (nắp đỏ)(nước nâu đen) - 450ml - 40")</f>
        <v>LOT IDA Global - I - 919 - ĐL Lệ Hồng 1 - Thần Hổ (Pet tròn) (nắp đỏ)(nước nâu đen) - 450ml - 40</v>
      </c>
    </row>
    <row r="1429">
      <c r="A1429" s="86">
        <f>IFERROR(__xludf.DUMMYFUNCTION("""COMPUTED_VALUE"""),1427.0)</f>
        <v>1427</v>
      </c>
      <c r="B1429" s="87" t="str">
        <f>IFERROR(__xludf.DUMMYFUNCTION("""COMPUTED_VALUE"""),"Nhãn thùng")</f>
        <v>Nhãn thùng</v>
      </c>
      <c r="C1429" s="87" t="str">
        <f>IFERROR(__xludf.DUMMYFUNCTION("""COMPUTED_VALUE"""),"NDT0919")</f>
        <v>NDT0919</v>
      </c>
      <c r="D1429" s="87" t="str">
        <f>IFERROR(__xludf.DUMMYFUNCTION("""COMPUTED_VALUE"""),"[Nhãn thùng] LOT IDA Global - I - 919 - ĐL Lệ Hồng 1 - Thần Hổ (Pet tròn) (nắp đỏ)(nước nâu đen) - 450ml - 40")</f>
        <v>[Nhãn thùng] LOT IDA Global - I - 919 - ĐL Lệ Hồng 1 - Thần Hổ (Pet tròn) (nắp đỏ)(nước nâu đen) - 450ml - 40</v>
      </c>
      <c r="E1429" s="87" t="str">
        <f>IFERROR(__xludf.DUMMYFUNCTION("""COMPUTED_VALUE"""),"Chitin 3.6EC")</f>
        <v>Chitin 3.6EC</v>
      </c>
      <c r="F1429" s="87" t="str">
        <f>IFERROR(__xludf.DUMMYFUNCTION("""COMPUTED_VALUE"""),"HH0919")</f>
        <v>HH0919</v>
      </c>
      <c r="G1429" s="87" t="str">
        <f>IFERROR(__xludf.DUMMYFUNCTION("""COMPUTED_VALUE"""),"LOT IDA Global - I - 919 - ĐL Lệ Hồng 1 - Thần Hổ (Pet tròn) (nắp đỏ)(nước nâu đen) - 450ml - 40")</f>
        <v>LOT IDA Global - I - 919 - ĐL Lệ Hồng 1 - Thần Hổ (Pet tròn) (nắp đỏ)(nước nâu đen) - 450ml - 40</v>
      </c>
    </row>
    <row r="1430">
      <c r="A1430" s="86">
        <f>IFERROR(__xludf.DUMMYFUNCTION("""COMPUTED_VALUE"""),1428.0)</f>
        <v>1428</v>
      </c>
      <c r="B1430" s="87" t="str">
        <f>IFERROR(__xludf.DUMMYFUNCTION("""COMPUTED_VALUE"""),"Nhãn")</f>
        <v>Nhãn</v>
      </c>
      <c r="C1430" s="87" t="str">
        <f>IFERROR(__xludf.DUMMYFUNCTION("""COMPUTED_VALUE"""),"NTN0920")</f>
        <v>NTN0920</v>
      </c>
      <c r="D1430" s="87" t="str">
        <f>IFERROR(__xludf.DUMMYFUNCTION("""COMPUTED_VALUE"""),"[Nhãn] IDA Global - I - 920 - Centertaner 500 WP (túi nhôm)(bột vàng nhạt)- 50 gr - 100")</f>
        <v>[Nhãn] IDA Global - I - 920 - Centertaner 500 WP (túi nhôm)(bột vàng nhạt)- 50 gr - 100</v>
      </c>
      <c r="E1430" s="87" t="str">
        <f>IFERROR(__xludf.DUMMYFUNCTION("""COMPUTED_VALUE"""),"Centertaner 500WP")</f>
        <v>Centertaner 500WP</v>
      </c>
      <c r="F1430" s="87" t="str">
        <f>IFERROR(__xludf.DUMMYFUNCTION("""COMPUTED_VALUE"""),"HH0920")</f>
        <v>HH0920</v>
      </c>
      <c r="G1430" s="87" t="str">
        <f>IFERROR(__xludf.DUMMYFUNCTION("""COMPUTED_VALUE"""),"IDA Global - I - 920 - Centertaner 500 WP (túi nhôm)(bột vàng nhạt)- 50 gr - 100")</f>
        <v>IDA Global - I - 920 - Centertaner 500 WP (túi nhôm)(bột vàng nhạt)- 50 gr - 100</v>
      </c>
    </row>
    <row r="1431">
      <c r="A1431" s="86">
        <f>IFERROR(__xludf.DUMMYFUNCTION("""COMPUTED_VALUE"""),1429.0)</f>
        <v>1429</v>
      </c>
      <c r="B1431" s="87" t="str">
        <f>IFERROR(__xludf.DUMMYFUNCTION("""COMPUTED_VALUE"""),"Nhãn")</f>
        <v>Nhãn</v>
      </c>
      <c r="C1431" s="87" t="str">
        <f>IFERROR(__xludf.DUMMYFUNCTION("""COMPUTED_VALUE"""),"NTN0921")</f>
        <v>NTN0921</v>
      </c>
      <c r="D1431" s="87" t="str">
        <f>IFERROR(__xludf.DUMMYFUNCTION("""COMPUTED_VALUE"""),"[Nhãn] GC - II - 921 - AGC - Man Xanh (Túi nhôm)(bột xanh) - 1kg - 20")</f>
        <v>[Nhãn] GC - II - 921 - AGC - Man Xanh (Túi nhôm)(bột xanh) - 1kg - 20</v>
      </c>
      <c r="E1431" s="87" t="str">
        <f>IFERROR(__xludf.DUMMYFUNCTION("""COMPUTED_VALUE"""),"BYPHAN 800WP")</f>
        <v>BYPHAN 800WP</v>
      </c>
      <c r="F1431" s="87" t="str">
        <f>IFERROR(__xludf.DUMMYFUNCTION("""COMPUTED_VALUE"""),"HH0921")</f>
        <v>HH0921</v>
      </c>
      <c r="G1431" s="87" t="str">
        <f>IFERROR(__xludf.DUMMYFUNCTION("""COMPUTED_VALUE"""),"GC - II - 921 - AGC - Man Xanh (Túi nhôm)(bột xanh) - 1kg - 20")</f>
        <v>GC - II - 921 - AGC - Man Xanh (Túi nhôm)(bột xanh) - 1kg - 20</v>
      </c>
    </row>
    <row r="1432">
      <c r="A1432" s="86">
        <f>IFERROR(__xludf.DUMMYFUNCTION("""COMPUTED_VALUE"""),1430.0)</f>
        <v>1430</v>
      </c>
      <c r="B1432" s="87" t="str">
        <f>IFERROR(__xludf.DUMMYFUNCTION("""COMPUTED_VALUE"""),"Nhãn")</f>
        <v>Nhãn</v>
      </c>
      <c r="C1432" s="87" t="str">
        <f>IFERROR(__xludf.DUMMYFUNCTION("""COMPUTED_VALUE"""),"NHG0922")</f>
        <v>NHG0922</v>
      </c>
      <c r="D1432" s="87" t="str">
        <f>IFERROR(__xludf.DUMMYFUNCTION("""COMPUTED_VALUE"""),"[Nhãn] LOT IDA Global - I - 922 - ĐL Thuỳ Trinh - Avermectin 36 (Pet tròn) (nắp trắng)(nước nâu đen) - 450ml - 40")</f>
        <v>[Nhãn] LOT IDA Global - I - 922 - ĐL Thuỳ Trinh - Avermectin 36 (Pet tròn) (nắp trắng)(nước nâu đen) - 450ml - 40</v>
      </c>
      <c r="E1432" s="87" t="str">
        <f>IFERROR(__xludf.DUMMYFUNCTION("""COMPUTED_VALUE"""),"Chitin 3.6EC")</f>
        <v>Chitin 3.6EC</v>
      </c>
      <c r="F1432" s="87" t="str">
        <f>IFERROR(__xludf.DUMMYFUNCTION("""COMPUTED_VALUE"""),"HH0922")</f>
        <v>HH0922</v>
      </c>
      <c r="G1432" s="87" t="str">
        <f>IFERROR(__xludf.DUMMYFUNCTION("""COMPUTED_VALUE"""),"LOT IDA Global - I - 922 - ĐL Thuỳ Trinh - Avermectin 36 (Pet tròn) (nắp trắng)(nước nâu đen) - 450ml - 40")</f>
        <v>LOT IDA Global - I - 922 - ĐL Thuỳ Trinh - Avermectin 36 (Pet tròn) (nắp trắng)(nước nâu đen) - 450ml - 40</v>
      </c>
    </row>
    <row r="1433">
      <c r="A1433" s="86">
        <f>IFERROR(__xludf.DUMMYFUNCTION("""COMPUTED_VALUE"""),1431.0)</f>
        <v>1431</v>
      </c>
      <c r="B1433" s="87" t="str">
        <f>IFERROR(__xludf.DUMMYFUNCTION("""COMPUTED_VALUE"""),"Nhãn thùng")</f>
        <v>Nhãn thùng</v>
      </c>
      <c r="C1433" s="87" t="str">
        <f>IFERROR(__xludf.DUMMYFUNCTION("""COMPUTED_VALUE"""),"NDT0922")</f>
        <v>NDT0922</v>
      </c>
      <c r="D1433" s="87" t="str">
        <f>IFERROR(__xludf.DUMMYFUNCTION("""COMPUTED_VALUE"""),"[Nhãn thùng] LOT IDA Global - I - 922 - ĐL Thuỳ Trinh - Avermectin 36 (Pet tròn) (nắp trắng)(nước nâu đen) - 450ml - 40")</f>
        <v>[Nhãn thùng] LOT IDA Global - I - 922 - ĐL Thuỳ Trinh - Avermectin 36 (Pet tròn) (nắp trắng)(nước nâu đen) - 450ml - 40</v>
      </c>
      <c r="E1433" s="87" t="str">
        <f>IFERROR(__xludf.DUMMYFUNCTION("""COMPUTED_VALUE"""),"Chitin 3.6EC")</f>
        <v>Chitin 3.6EC</v>
      </c>
      <c r="F1433" s="87" t="str">
        <f>IFERROR(__xludf.DUMMYFUNCTION("""COMPUTED_VALUE"""),"HH0922")</f>
        <v>HH0922</v>
      </c>
      <c r="G1433" s="87" t="str">
        <f>IFERROR(__xludf.DUMMYFUNCTION("""COMPUTED_VALUE"""),"LOT IDA Global - I - 922 - ĐL Thuỳ Trinh - Avermectin 36 (Pet tròn) (nắp trắng)(nước nâu đen) - 450ml - 40")</f>
        <v>LOT IDA Global - I - 922 - ĐL Thuỳ Trinh - Avermectin 36 (Pet tròn) (nắp trắng)(nước nâu đen) - 450ml - 40</v>
      </c>
    </row>
    <row r="1434">
      <c r="A1434" s="86">
        <f>IFERROR(__xludf.DUMMYFUNCTION("""COMPUTED_VALUE"""),1432.0)</f>
        <v>1432</v>
      </c>
      <c r="B1434" s="87" t="str">
        <f>IFERROR(__xludf.DUMMYFUNCTION("""COMPUTED_VALUE"""),"Nhãn")</f>
        <v>Nhãn</v>
      </c>
      <c r="C1434" s="87" t="str">
        <f>IFERROR(__xludf.DUMMYFUNCTION("""COMPUTED_VALUE"""),"NHG0923")</f>
        <v>NHG0923</v>
      </c>
      <c r="D1434" s="87" t="str">
        <f>IFERROR(__xludf.DUMMYFUNCTION("""COMPUTED_VALUE"""),"[Nhãn] LOT IDA Global - I - 923 - ĐL Châu Bá - Avermectin 36 (Pet tròn) (nắp trắng)(nước nâu đen) - 450ml - 40")</f>
        <v>[Nhãn] LOT IDA Global - I - 923 - ĐL Châu Bá - Avermectin 36 (Pet tròn) (nắp trắng)(nước nâu đen) - 450ml - 40</v>
      </c>
      <c r="E1434" s="87" t="str">
        <f>IFERROR(__xludf.DUMMYFUNCTION("""COMPUTED_VALUE"""),"Chitin 3.6EC")</f>
        <v>Chitin 3.6EC</v>
      </c>
      <c r="F1434" s="87" t="str">
        <f>IFERROR(__xludf.DUMMYFUNCTION("""COMPUTED_VALUE"""),"HH0923")</f>
        <v>HH0923</v>
      </c>
      <c r="G1434" s="87" t="str">
        <f>IFERROR(__xludf.DUMMYFUNCTION("""COMPUTED_VALUE"""),"LOT IDA Global - I - 923 - ĐL Châu Bá - Avermectin 36 (Pet tròn) (nắp trắng)(nước nâu đen) - 450ml - 40")</f>
        <v>LOT IDA Global - I - 923 - ĐL Châu Bá - Avermectin 36 (Pet tròn) (nắp trắng)(nước nâu đen) - 450ml - 40</v>
      </c>
    </row>
    <row r="1435">
      <c r="A1435" s="86">
        <f>IFERROR(__xludf.DUMMYFUNCTION("""COMPUTED_VALUE"""),1433.0)</f>
        <v>1433</v>
      </c>
      <c r="B1435" s="87" t="str">
        <f>IFERROR(__xludf.DUMMYFUNCTION("""COMPUTED_VALUE"""),"Nhãn thùng")</f>
        <v>Nhãn thùng</v>
      </c>
      <c r="C1435" s="87" t="str">
        <f>IFERROR(__xludf.DUMMYFUNCTION("""COMPUTED_VALUE"""),"NDT0923")</f>
        <v>NDT0923</v>
      </c>
      <c r="D1435" s="87" t="str">
        <f>IFERROR(__xludf.DUMMYFUNCTION("""COMPUTED_VALUE"""),"[Nhãn thùng] LOT IDA Global - I - 923 - ĐL Châu Bá - Avermectin 36 (Pet tròn) (nắp trắng)(nước nâu đen) - 450ml - 40")</f>
        <v>[Nhãn thùng] LOT IDA Global - I - 923 - ĐL Châu Bá - Avermectin 36 (Pet tròn) (nắp trắng)(nước nâu đen) - 450ml - 40</v>
      </c>
      <c r="E1435" s="87" t="str">
        <f>IFERROR(__xludf.DUMMYFUNCTION("""COMPUTED_VALUE"""),"Chitin 3.6EC")</f>
        <v>Chitin 3.6EC</v>
      </c>
      <c r="F1435" s="87" t="str">
        <f>IFERROR(__xludf.DUMMYFUNCTION("""COMPUTED_VALUE"""),"HH0923")</f>
        <v>HH0923</v>
      </c>
      <c r="G1435" s="87" t="str">
        <f>IFERROR(__xludf.DUMMYFUNCTION("""COMPUTED_VALUE"""),"LOT IDA Global - I - 923 - ĐL Châu Bá - Avermectin 36 (Pet tròn) (nắp trắng)(nước nâu đen) - 450ml - 40")</f>
        <v>LOT IDA Global - I - 923 - ĐL Châu Bá - Avermectin 36 (Pet tròn) (nắp trắng)(nước nâu đen) - 450ml - 40</v>
      </c>
    </row>
    <row r="1436">
      <c r="A1436" s="86">
        <f>IFERROR(__xludf.DUMMYFUNCTION("""COMPUTED_VALUE"""),1434.0)</f>
        <v>1434</v>
      </c>
      <c r="B1436" s="87" t="str">
        <f>IFERROR(__xludf.DUMMYFUNCTION("""COMPUTED_VALUE"""),"Nhãn")</f>
        <v>Nhãn</v>
      </c>
      <c r="C1436" s="87" t="str">
        <f>IFERROR(__xludf.DUMMYFUNCTION("""COMPUTED_VALUE"""),"NTN0924")</f>
        <v>NTN0924</v>
      </c>
      <c r="D1436" s="87" t="str">
        <f>IFERROR(__xludf.DUMMYFUNCTION("""COMPUTED_VALUE"""),"[Nhãn] NB - I - 924 - Sunrise - Sherdoba 55WG (túi nhôm)(dạng cốm màu trắng) - 15gr - 400")</f>
        <v>[Nhãn] NB - I - 924 - Sunrise - Sherdoba 55WG (túi nhôm)(dạng cốm màu trắng) - 15gr - 400</v>
      </c>
      <c r="E1436" s="87" t="str">
        <f>IFERROR(__xludf.DUMMYFUNCTION("""COMPUTED_VALUE"""),"Sherdoba 55WG")</f>
        <v>Sherdoba 55WG</v>
      </c>
      <c r="F1436" s="87" t="str">
        <f>IFERROR(__xludf.DUMMYFUNCTION("""COMPUTED_VALUE"""),"HH0924")</f>
        <v>HH0924</v>
      </c>
      <c r="G1436" s="87" t="str">
        <f>IFERROR(__xludf.DUMMYFUNCTION("""COMPUTED_VALUE"""),"NB - I - 924 - Sunrise - Sherdoba 55WG (túi nhôm)(dạng cốm màu trắng) - 15gr - 400")</f>
        <v>NB - I - 924 - Sunrise - Sherdoba 55WG (túi nhôm)(dạng cốm màu trắng) - 15gr - 400</v>
      </c>
    </row>
    <row r="1437">
      <c r="A1437" s="86">
        <f>IFERROR(__xludf.DUMMYFUNCTION("""COMPUTED_VALUE"""),1435.0)</f>
        <v>1435</v>
      </c>
      <c r="B1437" s="87" t="str">
        <f>IFERROR(__xludf.DUMMYFUNCTION("""COMPUTED_VALUE"""),"Nhãn")</f>
        <v>Nhãn</v>
      </c>
      <c r="C1437" s="87" t="str">
        <f>IFERROR(__xludf.DUMMYFUNCTION("""COMPUTED_VALUE"""),"NHO0924")</f>
        <v>NHO0924</v>
      </c>
      <c r="D1437" s="87" t="str">
        <f>IFERROR(__xludf.DUMMYFUNCTION("""COMPUTED_VALUE"""),"[Nhãn] NB - I - 924 - Sunrise - Sherdoba 55WG (túi nhôm)(dạng cốm màu trắng) - 15gr - 400")</f>
        <v>[Nhãn] NB - I - 924 - Sunrise - Sherdoba 55WG (túi nhôm)(dạng cốm màu trắng) - 15gr - 400</v>
      </c>
      <c r="E1437" s="87" t="str">
        <f>IFERROR(__xludf.DUMMYFUNCTION("""COMPUTED_VALUE"""),"Sherdoba 55WG")</f>
        <v>Sherdoba 55WG</v>
      </c>
      <c r="F1437" s="87" t="str">
        <f>IFERROR(__xludf.DUMMYFUNCTION("""COMPUTED_VALUE"""),"HH0924")</f>
        <v>HH0924</v>
      </c>
      <c r="G1437" s="87" t="str">
        <f>IFERROR(__xludf.DUMMYFUNCTION("""COMPUTED_VALUE"""),"NB - I - 924 - Sunrise - Sherdoba 55WG (túi nhôm)(dạng cốm màu trắng) - 15gr - 400")</f>
        <v>NB - I - 924 - Sunrise - Sherdoba 55WG (túi nhôm)(dạng cốm màu trắng) - 15gr - 400</v>
      </c>
    </row>
    <row r="1438">
      <c r="A1438" s="86">
        <f>IFERROR(__xludf.DUMMYFUNCTION("""COMPUTED_VALUE"""),1436.0)</f>
        <v>1436</v>
      </c>
      <c r="B1438" s="87" t="str">
        <f>IFERROR(__xludf.DUMMYFUNCTION("""COMPUTED_VALUE"""),"Nhãn")</f>
        <v>Nhãn</v>
      </c>
      <c r="C1438" s="87" t="str">
        <f>IFERROR(__xludf.DUMMYFUNCTION("""COMPUTED_VALUE"""),"NHG0925")</f>
        <v>NHG0925</v>
      </c>
      <c r="D1438" s="87" t="str">
        <f>IFERROR(__xludf.DUMMYFUNCTION("""COMPUTED_VALUE"""),"[Nhãn] NB - I - 925 - Sunrise - Thần sấm (Pet tròn)(nắp đỏ)(nước nâu đen) - 450ml - 40")</f>
        <v>[Nhãn] NB - I - 925 - Sunrise - Thần sấm (Pet tròn)(nắp đỏ)(nước nâu đen) - 450ml - 40</v>
      </c>
      <c r="E1438" s="87" t="str">
        <f>IFERROR(__xludf.DUMMYFUNCTION("""COMPUTED_VALUE"""),"HAIHAMEC 3.6EC")</f>
        <v>HAIHAMEC 3.6EC</v>
      </c>
      <c r="F1438" s="87" t="str">
        <f>IFERROR(__xludf.DUMMYFUNCTION("""COMPUTED_VALUE"""),"HH0925")</f>
        <v>HH0925</v>
      </c>
      <c r="G1438" s="87" t="str">
        <f>IFERROR(__xludf.DUMMYFUNCTION("""COMPUTED_VALUE"""),"NB - I - 925 - Sunrise - Thần sấm (Pet tròn)(nắp đỏ)(nước nâu đen) - 450ml - 40")</f>
        <v>NB - I - 925 - Sunrise - Thần sấm (Pet tròn)(nắp đỏ)(nước nâu đen) - 450ml - 40</v>
      </c>
    </row>
    <row r="1439">
      <c r="A1439" s="86">
        <f>IFERROR(__xludf.DUMMYFUNCTION("""COMPUTED_VALUE"""),1437.0)</f>
        <v>1437</v>
      </c>
      <c r="B1439" s="87" t="str">
        <f>IFERROR(__xludf.DUMMYFUNCTION("""COMPUTED_VALUE"""),"Nhãn thùng")</f>
        <v>Nhãn thùng</v>
      </c>
      <c r="C1439" s="87" t="str">
        <f>IFERROR(__xludf.DUMMYFUNCTION("""COMPUTED_VALUE"""),"NDT0925")</f>
        <v>NDT0925</v>
      </c>
      <c r="D1439" s="87" t="str">
        <f>IFERROR(__xludf.DUMMYFUNCTION("""COMPUTED_VALUE"""),"[Nhãn thùng] NB - I - 925 - Sunrise - Thần sấm (Pet tròn)(nắp đỏ)(nước nâu đen) - 450ml - 40")</f>
        <v>[Nhãn thùng] NB - I - 925 - Sunrise - Thần sấm (Pet tròn)(nắp đỏ)(nước nâu đen) - 450ml - 40</v>
      </c>
      <c r="E1439" s="87" t="str">
        <f>IFERROR(__xludf.DUMMYFUNCTION("""COMPUTED_VALUE"""),"HAIHAMEC 3.6EC")</f>
        <v>HAIHAMEC 3.6EC</v>
      </c>
      <c r="F1439" s="87" t="str">
        <f>IFERROR(__xludf.DUMMYFUNCTION("""COMPUTED_VALUE"""),"HH0925")</f>
        <v>HH0925</v>
      </c>
      <c r="G1439" s="87" t="str">
        <f>IFERROR(__xludf.DUMMYFUNCTION("""COMPUTED_VALUE"""),"NB - I - 925 - Sunrise - Thần sấm (Pet tròn)(nắp đỏ)(nước nâu đen) - 450ml - 40")</f>
        <v>NB - I - 925 - Sunrise - Thần sấm (Pet tròn)(nắp đỏ)(nước nâu đen) - 450ml - 40</v>
      </c>
    </row>
    <row r="1440">
      <c r="A1440" s="86">
        <f>IFERROR(__xludf.DUMMYFUNCTION("""COMPUTED_VALUE"""),1438.0)</f>
        <v>1438</v>
      </c>
      <c r="B1440" s="87" t="str">
        <f>IFERROR(__xludf.DUMMYFUNCTION("""COMPUTED_VALUE"""),"Nhãn")</f>
        <v>Nhãn</v>
      </c>
      <c r="C1440" s="87" t="str">
        <f>IFERROR(__xludf.DUMMYFUNCTION("""COMPUTED_VALUE"""),"NHD0926")</f>
        <v>NHD0926</v>
      </c>
      <c r="D1440" s="87" t="str">
        <f>IFERROR(__xludf.DUMMYFUNCTION("""COMPUTED_VALUE"""),"[Nhãn] NB - I - 926 - Cty Toàn Cầu - Đại bàng lửa (Pet vuông cam)(nắp đỏ)(nước nâu đen) - 450ml - 40")</f>
        <v>[Nhãn] NB - I - 926 - Cty Toàn Cầu - Đại bàng lửa (Pet vuông cam)(nắp đỏ)(nước nâu đen) - 450ml - 40</v>
      </c>
      <c r="E1440" s="87" t="str">
        <f>IFERROR(__xludf.DUMMYFUNCTION("""COMPUTED_VALUE"""),"HAIHAMEC 3.6EC")</f>
        <v>HAIHAMEC 3.6EC</v>
      </c>
      <c r="F1440" s="87" t="str">
        <f>IFERROR(__xludf.DUMMYFUNCTION("""COMPUTED_VALUE"""),"HH0926")</f>
        <v>HH0926</v>
      </c>
      <c r="G1440" s="87" t="str">
        <f>IFERROR(__xludf.DUMMYFUNCTION("""COMPUTED_VALUE"""),"NB - I - 926 - Cty Toàn Cầu - Đại bàng lửa (Pet vuông cam)(nắp đỏ)(nước nâu đen) - 450ml - 40")</f>
        <v>NB - I - 926 - Cty Toàn Cầu - Đại bàng lửa (Pet vuông cam)(nắp đỏ)(nước nâu đen) - 450ml - 40</v>
      </c>
    </row>
    <row r="1441">
      <c r="A1441" s="86">
        <f>IFERROR(__xludf.DUMMYFUNCTION("""COMPUTED_VALUE"""),1439.0)</f>
        <v>1439</v>
      </c>
      <c r="B1441" s="87" t="str">
        <f>IFERROR(__xludf.DUMMYFUNCTION("""COMPUTED_VALUE"""),"Nhãn thùng")</f>
        <v>Nhãn thùng</v>
      </c>
      <c r="C1441" s="87" t="str">
        <f>IFERROR(__xludf.DUMMYFUNCTION("""COMPUTED_VALUE"""),"NDT0926")</f>
        <v>NDT0926</v>
      </c>
      <c r="D1441" s="87" t="str">
        <f>IFERROR(__xludf.DUMMYFUNCTION("""COMPUTED_VALUE"""),"[Nhãn thùng] NB - I - 926 - Cty Toàn Cầu - Đại bàng lửa (Pet vuông cam)(nắp đỏ)(nước nâu đen) - 450ml - 40")</f>
        <v>[Nhãn thùng] NB - I - 926 - Cty Toàn Cầu - Đại bàng lửa (Pet vuông cam)(nắp đỏ)(nước nâu đen) - 450ml - 40</v>
      </c>
      <c r="E1441" s="87" t="str">
        <f>IFERROR(__xludf.DUMMYFUNCTION("""COMPUTED_VALUE"""),"HAIHAMEC 3.6EC")</f>
        <v>HAIHAMEC 3.6EC</v>
      </c>
      <c r="F1441" s="87" t="str">
        <f>IFERROR(__xludf.DUMMYFUNCTION("""COMPUTED_VALUE"""),"HH0926")</f>
        <v>HH0926</v>
      </c>
      <c r="G1441" s="87" t="str">
        <f>IFERROR(__xludf.DUMMYFUNCTION("""COMPUTED_VALUE"""),"NB - I - 926 - Cty Toàn Cầu - Đại bàng lửa (Pet vuông cam)(nắp đỏ)(nước nâu đen) - 450ml - 40")</f>
        <v>NB - I - 926 - Cty Toàn Cầu - Đại bàng lửa (Pet vuông cam)(nắp đỏ)(nước nâu đen) - 450ml - 40</v>
      </c>
    </row>
    <row r="1442">
      <c r="A1442" s="86">
        <f>IFERROR(__xludf.DUMMYFUNCTION("""COMPUTED_VALUE"""),1440.0)</f>
        <v>1440</v>
      </c>
      <c r="B1442" s="87" t="str">
        <f>IFERROR(__xludf.DUMMYFUNCTION("""COMPUTED_VALUE"""),"Nhãn")</f>
        <v>Nhãn</v>
      </c>
      <c r="C1442" s="87" t="str">
        <f>IFERROR(__xludf.DUMMYFUNCTION("""COMPUTED_VALUE"""),"NHG0927")</f>
        <v>NHG0927</v>
      </c>
      <c r="D1442" s="87" t="str">
        <f>IFERROR(__xludf.DUMMYFUNCTION("""COMPUTED_VALUE"""),"[Nhãn] NB - I - 927 - Davi - Voi Đỏ (Pet tròn)(nắp đỏ)(nước nâu đen) - 450ml - 40")</f>
        <v>[Nhãn] NB - I - 927 - Davi - Voi Đỏ (Pet tròn)(nắp đỏ)(nước nâu đen) - 450ml - 40</v>
      </c>
      <c r="E1442" s="87" t="str">
        <f>IFERROR(__xludf.DUMMYFUNCTION("""COMPUTED_VALUE"""),"HAIHAMEC 3.6EC")</f>
        <v>HAIHAMEC 3.6EC</v>
      </c>
      <c r="F1442" s="87" t="str">
        <f>IFERROR(__xludf.DUMMYFUNCTION("""COMPUTED_VALUE"""),"HH0927")</f>
        <v>HH0927</v>
      </c>
      <c r="G1442" s="87" t="str">
        <f>IFERROR(__xludf.DUMMYFUNCTION("""COMPUTED_VALUE"""),"NB - I - 927 - Davi - Voi Đỏ (Pet tròn)(nắp đỏ)(nước nâu đen) - 450ml - 40")</f>
        <v>NB - I - 927 - Davi - Voi Đỏ (Pet tròn)(nắp đỏ)(nước nâu đen) - 450ml - 40</v>
      </c>
    </row>
    <row r="1443">
      <c r="A1443" s="86">
        <f>IFERROR(__xludf.DUMMYFUNCTION("""COMPUTED_VALUE"""),1441.0)</f>
        <v>1441</v>
      </c>
      <c r="B1443" s="87" t="str">
        <f>IFERROR(__xludf.DUMMYFUNCTION("""COMPUTED_VALUE"""),"Nhãn thùng")</f>
        <v>Nhãn thùng</v>
      </c>
      <c r="C1443" s="87" t="str">
        <f>IFERROR(__xludf.DUMMYFUNCTION("""COMPUTED_VALUE"""),"NDT0927")</f>
        <v>NDT0927</v>
      </c>
      <c r="D1443" s="87" t="str">
        <f>IFERROR(__xludf.DUMMYFUNCTION("""COMPUTED_VALUE"""),"[Nhãn thùng] NB - I - 927 - Davi - Voi Đỏ (Pet tròn)(nắp đỏ)(nước nâu đen) - 450ml - 40")</f>
        <v>[Nhãn thùng] NB - I - 927 - Davi - Voi Đỏ (Pet tròn)(nắp đỏ)(nước nâu đen) - 450ml - 40</v>
      </c>
      <c r="E1443" s="87" t="str">
        <f>IFERROR(__xludf.DUMMYFUNCTION("""COMPUTED_VALUE"""),"HAIHAMEC 3.6EC")</f>
        <v>HAIHAMEC 3.6EC</v>
      </c>
      <c r="F1443" s="87" t="str">
        <f>IFERROR(__xludf.DUMMYFUNCTION("""COMPUTED_VALUE"""),"HH0927")</f>
        <v>HH0927</v>
      </c>
      <c r="G1443" s="87" t="str">
        <f>IFERROR(__xludf.DUMMYFUNCTION("""COMPUTED_VALUE"""),"NB - I - 927 - Davi - Voi Đỏ (Pet tròn)(nắp đỏ)(nước nâu đen) - 450ml - 40")</f>
        <v>NB - I - 927 - Davi - Voi Đỏ (Pet tròn)(nắp đỏ)(nước nâu đen) - 450ml - 40</v>
      </c>
    </row>
    <row r="1444">
      <c r="A1444" s="86">
        <f>IFERROR(__xludf.DUMMYFUNCTION("""COMPUTED_VALUE"""),1442.0)</f>
        <v>1442</v>
      </c>
      <c r="B1444" s="87" t="str">
        <f>IFERROR(__xludf.DUMMYFUNCTION("""COMPUTED_VALUE"""),"Nhãn")</f>
        <v>Nhãn</v>
      </c>
      <c r="C1444" s="87" t="str">
        <f>IFERROR(__xludf.DUMMYFUNCTION("""COMPUTED_VALUE"""),"NHD0928")</f>
        <v>NHD0928</v>
      </c>
      <c r="D1444" s="87" t="str">
        <f>IFERROR(__xludf.DUMMYFUNCTION("""COMPUTED_VALUE"""),"[Nhãn] GC - IV - 928 - Agritech - Haihamec 3.6EC (Pet vuông) (nắp trắng) (nước trong) - 450ml - 40")</f>
        <v>[Nhãn] GC - IV - 928 - Agritech - Haihamec 3.6EC (Pet vuông) (nắp trắng) (nước trong) - 450ml - 40</v>
      </c>
      <c r="E1444" s="87" t="str">
        <f>IFERROR(__xludf.DUMMYFUNCTION("""COMPUTED_VALUE"""),"HAIHAMEC 3.6EC")</f>
        <v>HAIHAMEC 3.6EC</v>
      </c>
      <c r="F1444" s="87" t="str">
        <f>IFERROR(__xludf.DUMMYFUNCTION("""COMPUTED_VALUE"""),"HH0928")</f>
        <v>HH0928</v>
      </c>
      <c r="G1444" s="87" t="str">
        <f>IFERROR(__xludf.DUMMYFUNCTION("""COMPUTED_VALUE"""),"GC - IV - 928 - Agritech - Haihamec 3.6EC (Pet vuông) (nắp trắng) (nước trong) - 450ml - 40")</f>
        <v>GC - IV - 928 - Agritech - Haihamec 3.6EC (Pet vuông) (nắp trắng) (nước trong) - 450ml - 40</v>
      </c>
    </row>
    <row r="1445">
      <c r="A1445" s="86">
        <f>IFERROR(__xludf.DUMMYFUNCTION("""COMPUTED_VALUE"""),1443.0)</f>
        <v>1443</v>
      </c>
      <c r="B1445" s="87" t="str">
        <f>IFERROR(__xludf.DUMMYFUNCTION("""COMPUTED_VALUE"""),"Nhãn thùng")</f>
        <v>Nhãn thùng</v>
      </c>
      <c r="C1445" s="87" t="str">
        <f>IFERROR(__xludf.DUMMYFUNCTION("""COMPUTED_VALUE"""),"NDT0928")</f>
        <v>NDT0928</v>
      </c>
      <c r="D1445" s="87" t="str">
        <f>IFERROR(__xludf.DUMMYFUNCTION("""COMPUTED_VALUE"""),"[Nhãn thùng] GC - IV - 928 - Agritech - Haihamec 3.6EC (Pet vuông) (nắp trắng) (nước trong) - 450ml - 40")</f>
        <v>[Nhãn thùng] GC - IV - 928 - Agritech - Haihamec 3.6EC (Pet vuông) (nắp trắng) (nước trong) - 450ml - 40</v>
      </c>
      <c r="E1445" s="87" t="str">
        <f>IFERROR(__xludf.DUMMYFUNCTION("""COMPUTED_VALUE"""),"HAIHAMEC 3.6EC")</f>
        <v>HAIHAMEC 3.6EC</v>
      </c>
      <c r="F1445" s="87" t="str">
        <f>IFERROR(__xludf.DUMMYFUNCTION("""COMPUTED_VALUE"""),"HH0928")</f>
        <v>HH0928</v>
      </c>
      <c r="G1445" s="87" t="str">
        <f>IFERROR(__xludf.DUMMYFUNCTION("""COMPUTED_VALUE"""),"GC - IV - 928 - Agritech - Haihamec 3.6EC (Pet vuông) (nắp trắng) (nước trong) - 450ml - 40")</f>
        <v>GC - IV - 928 - Agritech - Haihamec 3.6EC (Pet vuông) (nắp trắng) (nước trong) - 450ml - 40</v>
      </c>
    </row>
    <row r="1446">
      <c r="A1446" s="86">
        <f>IFERROR(__xludf.DUMMYFUNCTION("""COMPUTED_VALUE"""),1444.0)</f>
        <v>1444</v>
      </c>
      <c r="B1446" s="87" t="str">
        <f>IFERROR(__xludf.DUMMYFUNCTION("""COMPUTED_VALUE"""),"Nhãn")</f>
        <v>Nhãn</v>
      </c>
      <c r="C1446" s="87" t="str">
        <f>IFERROR(__xludf.DUMMYFUNCTION("""COMPUTED_VALUE"""),"NHD0929")</f>
        <v>NHD0929</v>
      </c>
      <c r="D1446" s="87" t="str">
        <f>IFERROR(__xludf.DUMMYFUNCTION("""COMPUTED_VALUE"""),"[Nhãn] GC - IV - 929 - Agritech - Creek 2.1EC (Pet vuông)(nắp trắng)(nước đỏ) - 400ml - 40")</f>
        <v>[Nhãn] GC - IV - 929 - Agritech - Creek 2.1EC (Pet vuông)(nắp trắng)(nước đỏ) - 400ml - 40</v>
      </c>
      <c r="E1446" s="87" t="str">
        <f>IFERROR(__xludf.DUMMYFUNCTION("""COMPUTED_VALUE"""),"CREEK 2.1EC")</f>
        <v>CREEK 2.1EC</v>
      </c>
      <c r="F1446" s="87" t="str">
        <f>IFERROR(__xludf.DUMMYFUNCTION("""COMPUTED_VALUE"""),"HH0929")</f>
        <v>HH0929</v>
      </c>
      <c r="G1446" s="87" t="str">
        <f>IFERROR(__xludf.DUMMYFUNCTION("""COMPUTED_VALUE"""),"GC - IV - 929 - Agritech - Creek 2.1EC (Pet vuông)(nắp trắng)(nước đỏ) - 400ml - 40")</f>
        <v>GC - IV - 929 - Agritech - Creek 2.1EC (Pet vuông)(nắp trắng)(nước đỏ) - 400ml - 40</v>
      </c>
    </row>
    <row r="1447">
      <c r="A1447" s="86">
        <f>IFERROR(__xludf.DUMMYFUNCTION("""COMPUTED_VALUE"""),1445.0)</f>
        <v>1445</v>
      </c>
      <c r="B1447" s="87" t="str">
        <f>IFERROR(__xludf.DUMMYFUNCTION("""COMPUTED_VALUE"""),"Nhãn thùng")</f>
        <v>Nhãn thùng</v>
      </c>
      <c r="C1447" s="87" t="str">
        <f>IFERROR(__xludf.DUMMYFUNCTION("""COMPUTED_VALUE"""),"NDT0929")</f>
        <v>NDT0929</v>
      </c>
      <c r="D1447" s="87" t="str">
        <f>IFERROR(__xludf.DUMMYFUNCTION("""COMPUTED_VALUE"""),"[Nhãn thùng] GC - IV - 929 - Agritech - Creek 2.1EC (Pet vuông)(nắp trắng)(nước đỏ) - 400ml - 40")</f>
        <v>[Nhãn thùng] GC - IV - 929 - Agritech - Creek 2.1EC (Pet vuông)(nắp trắng)(nước đỏ) - 400ml - 40</v>
      </c>
      <c r="E1447" s="87" t="str">
        <f>IFERROR(__xludf.DUMMYFUNCTION("""COMPUTED_VALUE"""),"CREEK 2.1EC")</f>
        <v>CREEK 2.1EC</v>
      </c>
      <c r="F1447" s="87" t="str">
        <f>IFERROR(__xludf.DUMMYFUNCTION("""COMPUTED_VALUE"""),"HH0929")</f>
        <v>HH0929</v>
      </c>
      <c r="G1447" s="87" t="str">
        <f>IFERROR(__xludf.DUMMYFUNCTION("""COMPUTED_VALUE"""),"GC - IV - 929 - Agritech - Creek 2.1EC (Pet vuông)(nắp trắng)(nước đỏ) - 400ml - 40")</f>
        <v>GC - IV - 929 - Agritech - Creek 2.1EC (Pet vuông)(nắp trắng)(nước đỏ) - 400ml - 40</v>
      </c>
    </row>
    <row r="1448">
      <c r="A1448" s="86">
        <f>IFERROR(__xludf.DUMMYFUNCTION("""COMPUTED_VALUE"""),1446.0)</f>
        <v>1446</v>
      </c>
      <c r="B1448" s="87" t="str">
        <f>IFERROR(__xludf.DUMMYFUNCTION("""COMPUTED_VALUE"""),"Nhãn")</f>
        <v>Nhãn</v>
      </c>
      <c r="C1448" s="87" t="str">
        <f>IFERROR(__xludf.DUMMYFUNCTION("""COMPUTED_VALUE"""),"NTN0930")</f>
        <v>NTN0930</v>
      </c>
      <c r="D1448" s="87" t="str">
        <f>IFERROR(__xludf.DUMMYFUNCTION("""COMPUTED_VALUE"""),"[Nhãn] GC - IV - 930 - Agritech - Thalonil 75WP (túi nhôm)(bột trắng) - 100gr -100")</f>
        <v>[Nhãn] GC - IV - 930 - Agritech - Thalonil 75WP (túi nhôm)(bột trắng) - 100gr -100</v>
      </c>
      <c r="E1448" s="87" t="str">
        <f>IFERROR(__xludf.DUMMYFUNCTION("""COMPUTED_VALUE"""),"THALONIL 75WP")</f>
        <v>THALONIL 75WP</v>
      </c>
      <c r="F1448" s="87" t="str">
        <f>IFERROR(__xludf.DUMMYFUNCTION("""COMPUTED_VALUE"""),"HH0930")</f>
        <v>HH0930</v>
      </c>
      <c r="G1448" s="87" t="str">
        <f>IFERROR(__xludf.DUMMYFUNCTION("""COMPUTED_VALUE"""),"GC - IV - 930 - Agritech - Thalonil 75WP (túi nhôm)(bột trắng) - 100gr -100")</f>
        <v>GC - IV - 930 - Agritech - Thalonil 75WP (túi nhôm)(bột trắng) - 100gr -100</v>
      </c>
    </row>
    <row r="1449">
      <c r="A1449" s="86">
        <f>IFERROR(__xludf.DUMMYFUNCTION("""COMPUTED_VALUE"""),1447.0)</f>
        <v>1447</v>
      </c>
      <c r="B1449" s="87" t="str">
        <f>IFERROR(__xludf.DUMMYFUNCTION("""COMPUTED_VALUE"""),"Nhãn thùng")</f>
        <v>Nhãn thùng</v>
      </c>
      <c r="C1449" s="87" t="str">
        <f>IFERROR(__xludf.DUMMYFUNCTION("""COMPUTED_VALUE"""),"NDT0932")</f>
        <v>NDT0932</v>
      </c>
      <c r="D1449" s="87" t="str">
        <f>IFERROR(__xludf.DUMMYFUNCTION("""COMPUTED_VALUE"""),"[Nhãn thùng] GC - IV - 932 - GNH - Dưỡng Nụ &amp; Cánh Hoa (HD trắng)(nước nâu đen) - 250ml - 40")</f>
        <v>[Nhãn thùng] GC - IV - 932 - GNH - Dưỡng Nụ &amp; Cánh Hoa (HD trắng)(nước nâu đen) - 250ml - 40</v>
      </c>
      <c r="E1449" s="87" t="str">
        <f>IFERROR(__xludf.DUMMYFUNCTION("""COMPUTED_VALUE"""),"Vi lượng Quantity New")</f>
        <v>Vi lượng Quantity New</v>
      </c>
      <c r="F1449" s="87" t="str">
        <f>IFERROR(__xludf.DUMMYFUNCTION("""COMPUTED_VALUE"""),"HH0932")</f>
        <v>HH0932</v>
      </c>
      <c r="G1449" s="87" t="str">
        <f>IFERROR(__xludf.DUMMYFUNCTION("""COMPUTED_VALUE"""),"GC - IV - 932 - GNH - Dưỡng Nụ &amp; Cánh Hoa (HD trắng)(nước nâu đen) - 250ml - 40")</f>
        <v>GC - IV - 932 - GNH - Dưỡng Nụ &amp; Cánh Hoa (HD trắng)(nước nâu đen) - 250ml - 40</v>
      </c>
    </row>
    <row r="1450">
      <c r="A1450" s="86">
        <f>IFERROR(__xludf.DUMMYFUNCTION("""COMPUTED_VALUE"""),1448.0)</f>
        <v>1448</v>
      </c>
      <c r="B1450" s="87" t="str">
        <f>IFERROR(__xludf.DUMMYFUNCTION("""COMPUTED_VALUE"""),"Nhãn")</f>
        <v>Nhãn</v>
      </c>
      <c r="C1450" s="87" t="str">
        <f>IFERROR(__xludf.DUMMYFUNCTION("""COMPUTED_VALUE"""),"NHG0933")</f>
        <v>NHG0933</v>
      </c>
      <c r="D1450" s="87" t="str">
        <f>IFERROR(__xludf.DUMMYFUNCTION("""COMPUTED_VALUE"""),"[Nhãn] GC - IV - 933 - GNH - Mekongvil 5SC (chai HD)(nắp xanh)(nước trắng)- 1L - 20")</f>
        <v>[Nhãn] GC - IV - 933 - GNH - Mekongvil 5SC (chai HD)(nắp xanh)(nước trắng)- 1L - 20</v>
      </c>
      <c r="E1450" s="87" t="str">
        <f>IFERROR(__xludf.DUMMYFUNCTION("""COMPUTED_VALUE"""),"Mekongvil 5SC")</f>
        <v>Mekongvil 5SC</v>
      </c>
      <c r="F1450" s="87" t="str">
        <f>IFERROR(__xludf.DUMMYFUNCTION("""COMPUTED_VALUE"""),"HH0933")</f>
        <v>HH0933</v>
      </c>
      <c r="G1450" s="87" t="str">
        <f>IFERROR(__xludf.DUMMYFUNCTION("""COMPUTED_VALUE"""),"GC - IV - 933 - GNH - Mekongvil 5SC (chai HD)(nắp xanh)(nước trắng)- 1L - 20")</f>
        <v>GC - IV - 933 - GNH - Mekongvil 5SC (chai HD)(nắp xanh)(nước trắng)- 1L - 20</v>
      </c>
    </row>
    <row r="1451">
      <c r="A1451" s="86">
        <f>IFERROR(__xludf.DUMMYFUNCTION("""COMPUTED_VALUE"""),1449.0)</f>
        <v>1449</v>
      </c>
      <c r="B1451" s="87" t="str">
        <f>IFERROR(__xludf.DUMMYFUNCTION("""COMPUTED_VALUE"""),"Nhãn thùng")</f>
        <v>Nhãn thùng</v>
      </c>
      <c r="C1451" s="87" t="str">
        <f>IFERROR(__xludf.DUMMYFUNCTION("""COMPUTED_VALUE"""),"NDT0933")</f>
        <v>NDT0933</v>
      </c>
      <c r="D1451" s="87" t="str">
        <f>IFERROR(__xludf.DUMMYFUNCTION("""COMPUTED_VALUE"""),"[Nhãn thùng] GC - IV - 933 - GNH - Mekongvil 5SC (chai HD)(nắp xanh)(nước trắng)- 1L - 20")</f>
        <v>[Nhãn thùng] GC - IV - 933 - GNH - Mekongvil 5SC (chai HD)(nắp xanh)(nước trắng)- 1L - 20</v>
      </c>
      <c r="E1451" s="87" t="str">
        <f>IFERROR(__xludf.DUMMYFUNCTION("""COMPUTED_VALUE"""),"Mekongvil 5SC")</f>
        <v>Mekongvil 5SC</v>
      </c>
      <c r="F1451" s="87" t="str">
        <f>IFERROR(__xludf.DUMMYFUNCTION("""COMPUTED_VALUE"""),"HH0933")</f>
        <v>HH0933</v>
      </c>
      <c r="G1451" s="87" t="str">
        <f>IFERROR(__xludf.DUMMYFUNCTION("""COMPUTED_VALUE"""),"GC - IV - 933 - GNH - Mekongvil 5SC (chai HD)(nắp xanh)(nước trắng)- 1L - 20")</f>
        <v>GC - IV - 933 - GNH - Mekongvil 5SC (chai HD)(nắp xanh)(nước trắng)- 1L - 20</v>
      </c>
    </row>
    <row r="1452">
      <c r="A1452" s="86">
        <f>IFERROR(__xludf.DUMMYFUNCTION("""COMPUTED_VALUE"""),1450.0)</f>
        <v>1450</v>
      </c>
      <c r="B1452" s="87" t="str">
        <f>IFERROR(__xludf.DUMMYFUNCTION("""COMPUTED_VALUE"""),"Nhãn")</f>
        <v>Nhãn</v>
      </c>
      <c r="C1452" s="87" t="str">
        <f>IFERROR(__xludf.DUMMYFUNCTION("""COMPUTED_VALUE"""),"NHD0934")</f>
        <v>NHD0934</v>
      </c>
      <c r="D1452" s="87" t="str">
        <f>IFERROR(__xludf.DUMMYFUNCTION("""COMPUTED_VALUE"""),"[Nhãn] GC - IV - 934 - GNH - Creek 2.1EC (Pet vuông)(nắp đỏ)(nước đỏ) - 400ml - 40")</f>
        <v>[Nhãn] GC - IV - 934 - GNH - Creek 2.1EC (Pet vuông)(nắp đỏ)(nước đỏ) - 400ml - 40</v>
      </c>
      <c r="E1452" s="87" t="str">
        <f>IFERROR(__xludf.DUMMYFUNCTION("""COMPUTED_VALUE"""),"Creek 2.1EC")</f>
        <v>Creek 2.1EC</v>
      </c>
      <c r="F1452" s="87" t="str">
        <f>IFERROR(__xludf.DUMMYFUNCTION("""COMPUTED_VALUE"""),"HH0934")</f>
        <v>HH0934</v>
      </c>
      <c r="G1452" s="87" t="str">
        <f>IFERROR(__xludf.DUMMYFUNCTION("""COMPUTED_VALUE"""),"GC - IV - 934 - GNH - Creek 2.1EC (Pet vuông)(nắp đỏ)(nước đỏ) - 400ml - 40")</f>
        <v>GC - IV - 934 - GNH - Creek 2.1EC (Pet vuông)(nắp đỏ)(nước đỏ) - 400ml - 40</v>
      </c>
    </row>
    <row r="1453">
      <c r="A1453" s="86">
        <f>IFERROR(__xludf.DUMMYFUNCTION("""COMPUTED_VALUE"""),1451.0)</f>
        <v>1451</v>
      </c>
      <c r="B1453" s="87" t="str">
        <f>IFERROR(__xludf.DUMMYFUNCTION("""COMPUTED_VALUE"""),"Nhãn thùng")</f>
        <v>Nhãn thùng</v>
      </c>
      <c r="C1453" s="87" t="str">
        <f>IFERROR(__xludf.DUMMYFUNCTION("""COMPUTED_VALUE"""),"NDT0934")</f>
        <v>NDT0934</v>
      </c>
      <c r="D1453" s="87" t="str">
        <f>IFERROR(__xludf.DUMMYFUNCTION("""COMPUTED_VALUE"""),"[Nhãn thùng] GC - IV - 934 - GNH - Creek 2.1EC (Pet vuông)(nắp đỏ)(nước đỏ) - 400ml - 40")</f>
        <v>[Nhãn thùng] GC - IV - 934 - GNH - Creek 2.1EC (Pet vuông)(nắp đỏ)(nước đỏ) - 400ml - 40</v>
      </c>
      <c r="E1453" s="87" t="str">
        <f>IFERROR(__xludf.DUMMYFUNCTION("""COMPUTED_VALUE"""),"Creek 2.1EC")</f>
        <v>Creek 2.1EC</v>
      </c>
      <c r="F1453" s="87" t="str">
        <f>IFERROR(__xludf.DUMMYFUNCTION("""COMPUTED_VALUE"""),"HH0934")</f>
        <v>HH0934</v>
      </c>
      <c r="G1453" s="87" t="str">
        <f>IFERROR(__xludf.DUMMYFUNCTION("""COMPUTED_VALUE"""),"GC - IV - 934 - GNH - Creek 2.1EC (Pet vuông)(nắp đỏ)(nước đỏ) - 400ml - 40")</f>
        <v>GC - IV - 934 - GNH - Creek 2.1EC (Pet vuông)(nắp đỏ)(nước đỏ) - 400ml - 40</v>
      </c>
    </row>
    <row r="1454">
      <c r="A1454" s="86">
        <f>IFERROR(__xludf.DUMMYFUNCTION("""COMPUTED_VALUE"""),1452.0)</f>
        <v>1452</v>
      </c>
      <c r="B1454" s="87" t="str">
        <f>IFERROR(__xludf.DUMMYFUNCTION("""COMPUTED_VALUE"""),"Nhãn")</f>
        <v>Nhãn</v>
      </c>
      <c r="C1454" s="87" t="str">
        <f>IFERROR(__xludf.DUMMYFUNCTION("""COMPUTED_VALUE"""),"NHD0935")</f>
        <v>NHD0935</v>
      </c>
      <c r="D1454" s="87" t="str">
        <f>IFERROR(__xludf.DUMMYFUNCTION("""COMPUTED_VALUE"""),"[Nhãn] GC - IV - 935 - Ngọc Thiên - Siêu Diệt Sâu (Pet vuông)(nắp đỏ)(nước nâu đen) - 450ml - 40")</f>
        <v>[Nhãn] GC - IV - 935 - Ngọc Thiên - Siêu Diệt Sâu (Pet vuông)(nắp đỏ)(nước nâu đen) - 450ml - 40</v>
      </c>
      <c r="E1454" s="87" t="str">
        <f>IFERROR(__xludf.DUMMYFUNCTION("""COMPUTED_VALUE"""),"HAIHAMEC 3.6EC")</f>
        <v>HAIHAMEC 3.6EC</v>
      </c>
      <c r="F1454" s="87" t="str">
        <f>IFERROR(__xludf.DUMMYFUNCTION("""COMPUTED_VALUE"""),"HH0935")</f>
        <v>HH0935</v>
      </c>
      <c r="G1454" s="87" t="str">
        <f>IFERROR(__xludf.DUMMYFUNCTION("""COMPUTED_VALUE"""),"GC - IV - 935 - Ngọc Thiên - Siêu Diệt Sâu (Pet vuông)(nắp đỏ)(nước nâu đen) - 450ml - 40")</f>
        <v>GC - IV - 935 - Ngọc Thiên - Siêu Diệt Sâu (Pet vuông)(nắp đỏ)(nước nâu đen) - 450ml - 40</v>
      </c>
    </row>
    <row r="1455">
      <c r="A1455" s="86">
        <f>IFERROR(__xludf.DUMMYFUNCTION("""COMPUTED_VALUE"""),1453.0)</f>
        <v>1453</v>
      </c>
      <c r="B1455" s="87" t="str">
        <f>IFERROR(__xludf.DUMMYFUNCTION("""COMPUTED_VALUE"""),"Nhãn thùng")</f>
        <v>Nhãn thùng</v>
      </c>
      <c r="C1455" s="87" t="str">
        <f>IFERROR(__xludf.DUMMYFUNCTION("""COMPUTED_VALUE"""),"NDT0935")</f>
        <v>NDT0935</v>
      </c>
      <c r="D1455" s="87" t="str">
        <f>IFERROR(__xludf.DUMMYFUNCTION("""COMPUTED_VALUE"""),"[Nhãn thùng] GC - IV - 935 - Ngọc Thiên - Siêu Diệt Sâu (Pet vuông)(nắp đỏ)(nước nâu đen) - 450ml - 40")</f>
        <v>[Nhãn thùng] GC - IV - 935 - Ngọc Thiên - Siêu Diệt Sâu (Pet vuông)(nắp đỏ)(nước nâu đen) - 450ml - 40</v>
      </c>
      <c r="E1455" s="87" t="str">
        <f>IFERROR(__xludf.DUMMYFUNCTION("""COMPUTED_VALUE"""),"HAIHAMEC 3.6EC")</f>
        <v>HAIHAMEC 3.6EC</v>
      </c>
      <c r="F1455" s="87" t="str">
        <f>IFERROR(__xludf.DUMMYFUNCTION("""COMPUTED_VALUE"""),"HH0935")</f>
        <v>HH0935</v>
      </c>
      <c r="G1455" s="87" t="str">
        <f>IFERROR(__xludf.DUMMYFUNCTION("""COMPUTED_VALUE"""),"GC - IV - 935 - Ngọc Thiên - Siêu Diệt Sâu (Pet vuông)(nắp đỏ)(nước nâu đen) - 450ml - 40")</f>
        <v>GC - IV - 935 - Ngọc Thiên - Siêu Diệt Sâu (Pet vuông)(nắp đỏ)(nước nâu đen) - 450ml - 40</v>
      </c>
    </row>
    <row r="1456">
      <c r="A1456" s="86">
        <f>IFERROR(__xludf.DUMMYFUNCTION("""COMPUTED_VALUE"""),1454.0)</f>
        <v>1454</v>
      </c>
      <c r="B1456" s="87" t="str">
        <f>IFERROR(__xludf.DUMMYFUNCTION("""COMPUTED_VALUE"""),"Nhãn")</f>
        <v>Nhãn</v>
      </c>
      <c r="C1456" s="87" t="str">
        <f>IFERROR(__xludf.DUMMYFUNCTION("""COMPUTED_VALUE"""),"NHG0936")</f>
        <v>NHG0936</v>
      </c>
      <c r="D1456" s="87" t="str">
        <f>IFERROR(__xludf.DUMMYFUNCTION("""COMPUTED_VALUE"""),"[Nhãn] GC - IV - 936 - Ngọc Thiên - Sạch Sâu (Pet tròn)(nắp vàng)(nước nâu đen) - 450ml - 40")</f>
        <v>[Nhãn] GC - IV - 936 - Ngọc Thiên - Sạch Sâu (Pet tròn)(nắp vàng)(nước nâu đen) - 450ml - 40</v>
      </c>
      <c r="E1456" s="87" t="str">
        <f>IFERROR(__xludf.DUMMYFUNCTION("""COMPUTED_VALUE"""),"HAIHAMEC 3.6EC")</f>
        <v>HAIHAMEC 3.6EC</v>
      </c>
      <c r="F1456" s="87" t="str">
        <f>IFERROR(__xludf.DUMMYFUNCTION("""COMPUTED_VALUE"""),"HH0936")</f>
        <v>HH0936</v>
      </c>
      <c r="G1456" s="87" t="str">
        <f>IFERROR(__xludf.DUMMYFUNCTION("""COMPUTED_VALUE"""),"GC - IV - 936 - Ngọc Thiên - Sạch Sâu (Pet tròn)(nắp vàng)(nước nâu đen) - 450ml - 40")</f>
        <v>GC - IV - 936 - Ngọc Thiên - Sạch Sâu (Pet tròn)(nắp vàng)(nước nâu đen) - 450ml - 40</v>
      </c>
    </row>
    <row r="1457">
      <c r="A1457" s="86">
        <f>IFERROR(__xludf.DUMMYFUNCTION("""COMPUTED_VALUE"""),1455.0)</f>
        <v>1455</v>
      </c>
      <c r="B1457" s="87" t="str">
        <f>IFERROR(__xludf.DUMMYFUNCTION("""COMPUTED_VALUE"""),"Nhãn thùng")</f>
        <v>Nhãn thùng</v>
      </c>
      <c r="C1457" s="87" t="str">
        <f>IFERROR(__xludf.DUMMYFUNCTION("""COMPUTED_VALUE"""),"NDT0936")</f>
        <v>NDT0936</v>
      </c>
      <c r="D1457" s="87" t="str">
        <f>IFERROR(__xludf.DUMMYFUNCTION("""COMPUTED_VALUE"""),"[Nhãn thùng] GC - IV - 936 - Ngọc Thiên - Sạch Sâu (Pet tròn)(nắp vàng)(nước nâu đen) - 450ml - 40")</f>
        <v>[Nhãn thùng] GC - IV - 936 - Ngọc Thiên - Sạch Sâu (Pet tròn)(nắp vàng)(nước nâu đen) - 450ml - 40</v>
      </c>
      <c r="E1457" s="87" t="str">
        <f>IFERROR(__xludf.DUMMYFUNCTION("""COMPUTED_VALUE"""),"HAIHAMEC 3.6EC")</f>
        <v>HAIHAMEC 3.6EC</v>
      </c>
      <c r="F1457" s="87" t="str">
        <f>IFERROR(__xludf.DUMMYFUNCTION("""COMPUTED_VALUE"""),"HH0936")</f>
        <v>HH0936</v>
      </c>
      <c r="G1457" s="87" t="str">
        <f>IFERROR(__xludf.DUMMYFUNCTION("""COMPUTED_VALUE"""),"GC - IV - 936 - Ngọc Thiên - Sạch Sâu (Pet tròn)(nắp vàng)(nước nâu đen) - 450ml - 40")</f>
        <v>GC - IV - 936 - Ngọc Thiên - Sạch Sâu (Pet tròn)(nắp vàng)(nước nâu đen) - 450ml - 40</v>
      </c>
    </row>
    <row r="1458">
      <c r="A1458" s="86">
        <f>IFERROR(__xludf.DUMMYFUNCTION("""COMPUTED_VALUE"""),1456.0)</f>
        <v>1456</v>
      </c>
      <c r="B1458" s="87" t="str">
        <f>IFERROR(__xludf.DUMMYFUNCTION("""COMPUTED_VALUE"""),"Nhãn")</f>
        <v>Nhãn</v>
      </c>
      <c r="C1458" s="87" t="str">
        <f>IFERROR(__xludf.DUMMYFUNCTION("""COMPUTED_VALUE"""),"NHG0937")</f>
        <v>NHG0937</v>
      </c>
      <c r="D1458" s="87" t="str">
        <f>IFERROR(__xludf.DUMMYFUNCTION("""COMPUTED_VALUE"""),"[Nhãn] NB - I - 937 - Cty Toàn Cầu - Đại bàng lửa (Pet tròn nâu)(nắp đỏ)(nước nâu đen) - 450ml - 40")</f>
        <v>[Nhãn] NB - I - 937 - Cty Toàn Cầu - Đại bàng lửa (Pet tròn nâu)(nắp đỏ)(nước nâu đen) - 450ml - 40</v>
      </c>
      <c r="E1458" s="87" t="str">
        <f>IFERROR(__xludf.DUMMYFUNCTION("""COMPUTED_VALUE"""),"HAIHAMEC 3.6EC")</f>
        <v>HAIHAMEC 3.6EC</v>
      </c>
      <c r="F1458" s="87" t="str">
        <f>IFERROR(__xludf.DUMMYFUNCTION("""COMPUTED_VALUE"""),"HH0937")</f>
        <v>HH0937</v>
      </c>
      <c r="G1458" s="87" t="str">
        <f>IFERROR(__xludf.DUMMYFUNCTION("""COMPUTED_VALUE"""),"NB - I - 937 - Cty Toàn Cầu - Đại bàng lửa (Pet tròn nâu)(nắp đỏ)(nước nâu đen) - 450ml - 40")</f>
        <v>NB - I - 937 - Cty Toàn Cầu - Đại bàng lửa (Pet tròn nâu)(nắp đỏ)(nước nâu đen) - 450ml - 40</v>
      </c>
    </row>
    <row r="1459">
      <c r="A1459" s="86">
        <f>IFERROR(__xludf.DUMMYFUNCTION("""COMPUTED_VALUE"""),1457.0)</f>
        <v>1457</v>
      </c>
      <c r="B1459" s="87" t="str">
        <f>IFERROR(__xludf.DUMMYFUNCTION("""COMPUTED_VALUE"""),"Nhãn thùng")</f>
        <v>Nhãn thùng</v>
      </c>
      <c r="C1459" s="87" t="str">
        <f>IFERROR(__xludf.DUMMYFUNCTION("""COMPUTED_VALUE"""),"NDT0937")</f>
        <v>NDT0937</v>
      </c>
      <c r="D1459" s="87" t="str">
        <f>IFERROR(__xludf.DUMMYFUNCTION("""COMPUTED_VALUE"""),"[Nhãn thùng] NB - I - 937 - Cty Toàn Cầu - Đại bàng lửa (Pet tròn nâu)(nắp đỏ)(nước nâu đen) - 450ml - 40")</f>
        <v>[Nhãn thùng] NB - I - 937 - Cty Toàn Cầu - Đại bàng lửa (Pet tròn nâu)(nắp đỏ)(nước nâu đen) - 450ml - 40</v>
      </c>
      <c r="E1459" s="87" t="str">
        <f>IFERROR(__xludf.DUMMYFUNCTION("""COMPUTED_VALUE"""),"HAIHAMEC 3.6EC")</f>
        <v>HAIHAMEC 3.6EC</v>
      </c>
      <c r="F1459" s="87" t="str">
        <f>IFERROR(__xludf.DUMMYFUNCTION("""COMPUTED_VALUE"""),"HH0937")</f>
        <v>HH0937</v>
      </c>
      <c r="G1459" s="87" t="str">
        <f>IFERROR(__xludf.DUMMYFUNCTION("""COMPUTED_VALUE"""),"NB - I - 937 - Cty Toàn Cầu - Đại bàng lửa (Pet tròn nâu)(nắp đỏ)(nước nâu đen) - 450ml - 40")</f>
        <v>NB - I - 937 - Cty Toàn Cầu - Đại bàng lửa (Pet tròn nâu)(nắp đỏ)(nước nâu đen) - 450ml - 40</v>
      </c>
    </row>
    <row r="1460">
      <c r="A1460" s="86">
        <f>IFERROR(__xludf.DUMMYFUNCTION("""COMPUTED_VALUE"""),1458.0)</f>
        <v>1458</v>
      </c>
      <c r="B1460" s="87" t="str">
        <f>IFERROR(__xludf.DUMMYFUNCTION("""COMPUTED_VALUE"""),"Nhãn")</f>
        <v>Nhãn</v>
      </c>
      <c r="C1460" s="87" t="str">
        <f>IFERROR(__xludf.DUMMYFUNCTION("""COMPUTED_VALUE"""),"NHD0938")</f>
        <v>NHD0938</v>
      </c>
      <c r="D1460" s="87" t="str">
        <f>IFERROR(__xludf.DUMMYFUNCTION("""COMPUTED_VALUE"""),"[Nhãn] GC - IV - 938 - Agrikey VN - Abamek (Pet vuông)(nắp trắng)(nước trong) - 450ml - 40")</f>
        <v>[Nhãn] GC - IV - 938 - Agrikey VN - Abamek (Pet vuông)(nắp trắng)(nước trong) - 450ml - 40</v>
      </c>
      <c r="E1460" s="87" t="str">
        <f>IFERROR(__xludf.DUMMYFUNCTION("""COMPUTED_VALUE"""),"HAIHAMEC 3.6EC")</f>
        <v>HAIHAMEC 3.6EC</v>
      </c>
      <c r="F1460" s="87" t="str">
        <f>IFERROR(__xludf.DUMMYFUNCTION("""COMPUTED_VALUE"""),"HH0938")</f>
        <v>HH0938</v>
      </c>
      <c r="G1460" s="87" t="str">
        <f>IFERROR(__xludf.DUMMYFUNCTION("""COMPUTED_VALUE"""),"GC - IV - 938 - Agrikey VN - Abamek (Pet vuông)(nắp trắng)(nước trong) - 450ml - 40")</f>
        <v>GC - IV - 938 - Agrikey VN - Abamek (Pet vuông)(nắp trắng)(nước trong) - 450ml - 40</v>
      </c>
    </row>
    <row r="1461">
      <c r="A1461" s="86">
        <f>IFERROR(__xludf.DUMMYFUNCTION("""COMPUTED_VALUE"""),1459.0)</f>
        <v>1459</v>
      </c>
      <c r="B1461" s="87" t="str">
        <f>IFERROR(__xludf.DUMMYFUNCTION("""COMPUTED_VALUE"""),"Nhãn")</f>
        <v>Nhãn</v>
      </c>
      <c r="C1461" s="87" t="str">
        <f>IFERROR(__xludf.DUMMYFUNCTION("""COMPUTED_VALUE"""),"NHD938.1")</f>
        <v>NHD938.1</v>
      </c>
      <c r="D1461" s="87" t="str">
        <f>IFERROR(__xludf.DUMMYFUNCTION("""COMPUTED_VALUE"""),"[Nhãn] GC - I - 938.1  - Agrikey VN - Abamek (nước trong) - 450ml - 40")</f>
        <v>[Nhãn] GC - I - 938.1  - Agrikey VN - Abamek (nước trong) - 450ml - 40</v>
      </c>
      <c r="E1461" s="87" t="str">
        <f>IFERROR(__xludf.DUMMYFUNCTION("""COMPUTED_VALUE"""),"HAIHAMEC 3.6EC")</f>
        <v>HAIHAMEC 3.6EC</v>
      </c>
      <c r="F1461" s="87" t="str">
        <f>IFERROR(__xludf.DUMMYFUNCTION("""COMPUTED_VALUE"""),"HH38.1")</f>
        <v>HH38.1</v>
      </c>
      <c r="G1461" s="87" t="str">
        <f>IFERROR(__xludf.DUMMYFUNCTION("""COMPUTED_VALUE"""),"GC - I - 938.1  - Agrikey VN - Abamek (nước trong) - 450ml - 40")</f>
        <v>GC - I - 938.1  - Agrikey VN - Abamek (nước trong) - 450ml - 40</v>
      </c>
    </row>
    <row r="1462">
      <c r="A1462" s="86">
        <f>IFERROR(__xludf.DUMMYFUNCTION("""COMPUTED_VALUE"""),1460.0)</f>
        <v>1460</v>
      </c>
      <c r="B1462" s="87" t="str">
        <f>IFERROR(__xludf.DUMMYFUNCTION("""COMPUTED_VALUE"""),"Nhãn")</f>
        <v>Nhãn</v>
      </c>
      <c r="C1462" s="87" t="str">
        <f>IFERROR(__xludf.DUMMYFUNCTION("""COMPUTED_VALUE"""),"NHD0939")</f>
        <v>NHD0939</v>
      </c>
      <c r="D1462" s="87" t="str">
        <f>IFERROR(__xludf.DUMMYFUNCTION("""COMPUTED_VALUE"""),"[Nhãn] GC - IV - 939 - Agrikey VN - Kamek 36 (Pet vuông)(nắp trắng)(nước trong) - 450ml - 40")</f>
        <v>[Nhãn] GC - IV - 939 - Agrikey VN - Kamek 36 (Pet vuông)(nắp trắng)(nước trong) - 450ml - 40</v>
      </c>
      <c r="E1462" s="87" t="str">
        <f>IFERROR(__xludf.DUMMYFUNCTION("""COMPUTED_VALUE"""),"HAIHAMEC 3.6EC")</f>
        <v>HAIHAMEC 3.6EC</v>
      </c>
      <c r="F1462" s="87" t="str">
        <f>IFERROR(__xludf.DUMMYFUNCTION("""COMPUTED_VALUE"""),"HH0939")</f>
        <v>HH0939</v>
      </c>
      <c r="G1462" s="87" t="str">
        <f>IFERROR(__xludf.DUMMYFUNCTION("""COMPUTED_VALUE"""),"GC - IV - 939 - Agrikey VN - Kamek 36 (Pet vuông)(nắp trắng)(nước trong) - 450ml - 40")</f>
        <v>GC - IV - 939 - Agrikey VN - Kamek 36 (Pet vuông)(nắp trắng)(nước trong) - 450ml - 40</v>
      </c>
    </row>
    <row r="1463">
      <c r="A1463" s="86">
        <f>IFERROR(__xludf.DUMMYFUNCTION("""COMPUTED_VALUE"""),1461.0)</f>
        <v>1461</v>
      </c>
      <c r="B1463" s="87" t="str">
        <f>IFERROR(__xludf.DUMMYFUNCTION("""COMPUTED_VALUE"""),"Nhãn thùng")</f>
        <v>Nhãn thùng</v>
      </c>
      <c r="C1463" s="87" t="str">
        <f>IFERROR(__xludf.DUMMYFUNCTION("""COMPUTED_VALUE"""),"NDT0939")</f>
        <v>NDT0939</v>
      </c>
      <c r="D1463" s="87" t="str">
        <f>IFERROR(__xludf.DUMMYFUNCTION("""COMPUTED_VALUE"""),"[Nhãn thùng] GC - IV - 939 - Agrikey VN - Kamek 36 (Pet vuông)(nắp trắng)(nước trong) - 450ml - 40")</f>
        <v>[Nhãn thùng] GC - IV - 939 - Agrikey VN - Kamek 36 (Pet vuông)(nắp trắng)(nước trong) - 450ml - 40</v>
      </c>
      <c r="E1463" s="87" t="str">
        <f>IFERROR(__xludf.DUMMYFUNCTION("""COMPUTED_VALUE"""),"HAIHAMEC 3.6EC")</f>
        <v>HAIHAMEC 3.6EC</v>
      </c>
      <c r="F1463" s="87" t="str">
        <f>IFERROR(__xludf.DUMMYFUNCTION("""COMPUTED_VALUE"""),"HH0939")</f>
        <v>HH0939</v>
      </c>
      <c r="G1463" s="87" t="str">
        <f>IFERROR(__xludf.DUMMYFUNCTION("""COMPUTED_VALUE"""),"GC - IV - 939 - Agrikey VN - Kamek 36 (Pet vuông)(nắp trắng)(nước trong) - 450ml - 40")</f>
        <v>GC - IV - 939 - Agrikey VN - Kamek 36 (Pet vuông)(nắp trắng)(nước trong) - 450ml - 40</v>
      </c>
    </row>
    <row r="1464">
      <c r="A1464" s="86">
        <f>IFERROR(__xludf.DUMMYFUNCTION("""COMPUTED_VALUE"""),1462.0)</f>
        <v>1462</v>
      </c>
      <c r="B1464" s="87" t="str">
        <f>IFERROR(__xludf.DUMMYFUNCTION("""COMPUTED_VALUE"""),"Nhãn")</f>
        <v>Nhãn</v>
      </c>
      <c r="C1464" s="87" t="str">
        <f>IFERROR(__xludf.DUMMYFUNCTION("""COMPUTED_VALUE"""),"NHD0939.1")</f>
        <v>NHD0939.1</v>
      </c>
      <c r="D1464" s="87" t="str">
        <f>IFERROR(__xludf.DUMMYFUNCTION("""COMPUTED_VALUE"""),"[Nhãn] GC - I - 939.1  - Agrikey VN - Kamek 36 (nước trong) - 450ml - 40")</f>
        <v>[Nhãn] GC - I - 939.1  - Agrikey VN - Kamek 36 (nước trong) - 450ml - 40</v>
      </c>
      <c r="E1464" s="87" t="str">
        <f>IFERROR(__xludf.DUMMYFUNCTION("""COMPUTED_VALUE"""),"HAIHAMEC 3.6EC")</f>
        <v>HAIHAMEC 3.6EC</v>
      </c>
      <c r="F1464" s="87" t="str">
        <f>IFERROR(__xludf.DUMMYFUNCTION("""COMPUTED_VALUE"""),"HH39.1")</f>
        <v>HH39.1</v>
      </c>
      <c r="G1464" s="87" t="str">
        <f>IFERROR(__xludf.DUMMYFUNCTION("""COMPUTED_VALUE"""),"GC - I - 939.1  - Agrikey VN - Kamek 36 (nước trong) - 450ml - 40")</f>
        <v>GC - I - 939.1  - Agrikey VN - Kamek 36 (nước trong) - 450ml - 40</v>
      </c>
    </row>
    <row r="1465">
      <c r="A1465" s="86">
        <f>IFERROR(__xludf.DUMMYFUNCTION("""COMPUTED_VALUE"""),1463.0)</f>
        <v>1463</v>
      </c>
      <c r="B1465" s="87" t="str">
        <f>IFERROR(__xludf.DUMMYFUNCTION("""COMPUTED_VALUE"""),"Nhãn")</f>
        <v>Nhãn</v>
      </c>
      <c r="C1465" s="87" t="str">
        <f>IFERROR(__xludf.DUMMYFUNCTION("""COMPUTED_VALUE"""),"NHG0941")</f>
        <v>NHG0941</v>
      </c>
      <c r="D1465" s="87" t="str">
        <f>IFERROR(__xludf.DUMMYFUNCTION("""COMPUTED_VALUE"""),"[Nhãn] LOT IDA Global - I - 941 - ĐL Kim Thuỷ 1 - Hiệu Abamex (Pet tròn)(nắp trắng)(nước nâu đen) - 450ml - 40")</f>
        <v>[Nhãn] LOT IDA Global - I - 941 - ĐL Kim Thuỷ 1 - Hiệu Abamex (Pet tròn)(nắp trắng)(nước nâu đen) - 450ml - 40</v>
      </c>
      <c r="E1465" s="87" t="str">
        <f>IFERROR(__xludf.DUMMYFUNCTION("""COMPUTED_VALUE"""),"HAIHAMEC 3.6EC")</f>
        <v>HAIHAMEC 3.6EC</v>
      </c>
      <c r="F1465" s="87" t="str">
        <f>IFERROR(__xludf.DUMMYFUNCTION("""COMPUTED_VALUE"""),"HH0941")</f>
        <v>HH0941</v>
      </c>
      <c r="G1465" s="87" t="str">
        <f>IFERROR(__xludf.DUMMYFUNCTION("""COMPUTED_VALUE"""),"LOT IDA Global - I - 941 - ĐL Kim Thuỷ 1 - Hiệu Abamex (Pet tròn)(nắp trắng)(nước nâu đen) - 450ml - 40")</f>
        <v>LOT IDA Global - I - 941 - ĐL Kim Thuỷ 1 - Hiệu Abamex (Pet tròn)(nắp trắng)(nước nâu đen) - 450ml - 40</v>
      </c>
    </row>
    <row r="1466">
      <c r="A1466" s="86">
        <f>IFERROR(__xludf.DUMMYFUNCTION("""COMPUTED_VALUE"""),1464.0)</f>
        <v>1464</v>
      </c>
      <c r="B1466" s="87" t="str">
        <f>IFERROR(__xludf.DUMMYFUNCTION("""COMPUTED_VALUE"""),"Nhãn thùng")</f>
        <v>Nhãn thùng</v>
      </c>
      <c r="C1466" s="87" t="str">
        <f>IFERROR(__xludf.DUMMYFUNCTION("""COMPUTED_VALUE"""),"NDT0941")</f>
        <v>NDT0941</v>
      </c>
      <c r="D1466" s="87" t="str">
        <f>IFERROR(__xludf.DUMMYFUNCTION("""COMPUTED_VALUE"""),"[Nhãn thùng] LOT IDA Global - I - 941 - ĐL Kim Thuỷ 1 - Hiệu Abamex (Pet tròn)(nắp trắng)(nước nâu đen) - 450ml - 40")</f>
        <v>[Nhãn thùng] LOT IDA Global - I - 941 - ĐL Kim Thuỷ 1 - Hiệu Abamex (Pet tròn)(nắp trắng)(nước nâu đen) - 450ml - 40</v>
      </c>
      <c r="E1466" s="87" t="str">
        <f>IFERROR(__xludf.DUMMYFUNCTION("""COMPUTED_VALUE"""),"HAIHAMEC 3.6EC")</f>
        <v>HAIHAMEC 3.6EC</v>
      </c>
      <c r="F1466" s="87" t="str">
        <f>IFERROR(__xludf.DUMMYFUNCTION("""COMPUTED_VALUE"""),"HH0941")</f>
        <v>HH0941</v>
      </c>
      <c r="G1466" s="87" t="str">
        <f>IFERROR(__xludf.DUMMYFUNCTION("""COMPUTED_VALUE"""),"LOT IDA Global - I - 941 - ĐL Kim Thuỷ 1 - Hiệu Abamex (Pet tròn)(nắp trắng)(nước nâu đen) - 450ml - 40")</f>
        <v>LOT IDA Global - I - 941 - ĐL Kim Thuỷ 1 - Hiệu Abamex (Pet tròn)(nắp trắng)(nước nâu đen) - 450ml - 40</v>
      </c>
    </row>
    <row r="1467">
      <c r="A1467" s="86">
        <f>IFERROR(__xludf.DUMMYFUNCTION("""COMPUTED_VALUE"""),1465.0)</f>
        <v>1465</v>
      </c>
      <c r="B1467" s="87" t="str">
        <f>IFERROR(__xludf.DUMMYFUNCTION("""COMPUTED_VALUE"""),"Nhãn")</f>
        <v>Nhãn</v>
      </c>
      <c r="C1467" s="87" t="str">
        <f>IFERROR(__xludf.DUMMYFUNCTION("""COMPUTED_VALUE"""),"NHG0942")</f>
        <v>NHG0942</v>
      </c>
      <c r="D1467" s="87" t="str">
        <f>IFERROR(__xludf.DUMMYFUNCTION("""COMPUTED_VALUE"""),"[Nhãn] GC - IV - 942 - Bảy Phận - Abamectin 3.6 (tím) (Pet tròn)(nắp trắng) (nước nâu đen) - 450ml - 40")</f>
        <v>[Nhãn] GC - IV - 942 - Bảy Phận - Abamectin 3.6 (tím) (Pet tròn)(nắp trắng) (nước nâu đen) - 450ml - 40</v>
      </c>
      <c r="E1467" s="87" t="str">
        <f>IFERROR(__xludf.DUMMYFUNCTION("""COMPUTED_VALUE"""),"HAIHAMEC 3.6EC")</f>
        <v>HAIHAMEC 3.6EC</v>
      </c>
      <c r="F1467" s="87" t="str">
        <f>IFERROR(__xludf.DUMMYFUNCTION("""COMPUTED_VALUE"""),"HH0942")</f>
        <v>HH0942</v>
      </c>
      <c r="G1467" s="87" t="str">
        <f>IFERROR(__xludf.DUMMYFUNCTION("""COMPUTED_VALUE"""),"GC - IV - 942 - Bảy Phận - Abamectin 3.6 (tím) (Pet tròn)(nắp trắng) (nước nâu đen) - 450ml - 40")</f>
        <v>GC - IV - 942 - Bảy Phận - Abamectin 3.6 (tím) (Pet tròn)(nắp trắng) (nước nâu đen) - 450ml - 40</v>
      </c>
    </row>
    <row r="1468">
      <c r="A1468" s="86">
        <f>IFERROR(__xludf.DUMMYFUNCTION("""COMPUTED_VALUE"""),1466.0)</f>
        <v>1466</v>
      </c>
      <c r="B1468" s="87" t="str">
        <f>IFERROR(__xludf.DUMMYFUNCTION("""COMPUTED_VALUE"""),"Nhãn thùng")</f>
        <v>Nhãn thùng</v>
      </c>
      <c r="C1468" s="87" t="str">
        <f>IFERROR(__xludf.DUMMYFUNCTION("""COMPUTED_VALUE"""),"NDT0942")</f>
        <v>NDT0942</v>
      </c>
      <c r="D1468" s="87" t="str">
        <f>IFERROR(__xludf.DUMMYFUNCTION("""COMPUTED_VALUE"""),"[Nhãn thùng] GC - IV - 942 - Bảy Phận - Abamectin 3.6 (tím) (Pet tròn)(nắp trắng) (nước nâu đen) - 450ml - 40")</f>
        <v>[Nhãn thùng] GC - IV - 942 - Bảy Phận - Abamectin 3.6 (tím) (Pet tròn)(nắp trắng) (nước nâu đen) - 450ml - 40</v>
      </c>
      <c r="E1468" s="87" t="str">
        <f>IFERROR(__xludf.DUMMYFUNCTION("""COMPUTED_VALUE"""),"HAIHAMEC 3.6EC")</f>
        <v>HAIHAMEC 3.6EC</v>
      </c>
      <c r="F1468" s="87" t="str">
        <f>IFERROR(__xludf.DUMMYFUNCTION("""COMPUTED_VALUE"""),"HH0942")</f>
        <v>HH0942</v>
      </c>
      <c r="G1468" s="87" t="str">
        <f>IFERROR(__xludf.DUMMYFUNCTION("""COMPUTED_VALUE"""),"GC - IV - 942 - Bảy Phận - Abamectin 3.6 (tím) (Pet tròn)(nắp trắng) (nước nâu đen) - 450ml - 40")</f>
        <v>GC - IV - 942 - Bảy Phận - Abamectin 3.6 (tím) (Pet tròn)(nắp trắng) (nước nâu đen) - 450ml - 40</v>
      </c>
    </row>
    <row r="1469">
      <c r="A1469" s="86">
        <f>IFERROR(__xludf.DUMMYFUNCTION("""COMPUTED_VALUE"""),1467.0)</f>
        <v>1467</v>
      </c>
      <c r="B1469" s="87" t="str">
        <f>IFERROR(__xludf.DUMMYFUNCTION("""COMPUTED_VALUE"""),"Nhãn")</f>
        <v>Nhãn</v>
      </c>
      <c r="C1469" s="87" t="str">
        <f>IFERROR(__xludf.DUMMYFUNCTION("""COMPUTED_VALUE"""),"NHD0943")</f>
        <v>NHD0943</v>
      </c>
      <c r="D1469" s="87" t="str">
        <f>IFERROR(__xludf.DUMMYFUNCTION("""COMPUTED_VALUE"""),"[Nhãn] GC - IV - 943 - Bảy Phận - Abamectin 3.6 (Pet vuông)(nắp trắng) (nước nâu đen) - 450ml - 40")</f>
        <v>[Nhãn] GC - IV - 943 - Bảy Phận - Abamectin 3.6 (Pet vuông)(nắp trắng) (nước nâu đen) - 450ml - 40</v>
      </c>
      <c r="E1469" s="87" t="str">
        <f>IFERROR(__xludf.DUMMYFUNCTION("""COMPUTED_VALUE"""),"HAIHAMEC 3.6EC")</f>
        <v>HAIHAMEC 3.6EC</v>
      </c>
      <c r="F1469" s="87" t="str">
        <f>IFERROR(__xludf.DUMMYFUNCTION("""COMPUTED_VALUE"""),"HH0943")</f>
        <v>HH0943</v>
      </c>
      <c r="G1469" s="87" t="str">
        <f>IFERROR(__xludf.DUMMYFUNCTION("""COMPUTED_VALUE"""),"GC - IV - 943 - Bảy Phận - Abamectin 3.6 (Pet vuông)(nắp trắng) (nước nâu đen) - 450ml - 40")</f>
        <v>GC - IV - 943 - Bảy Phận - Abamectin 3.6 (Pet vuông)(nắp trắng) (nước nâu đen) - 450ml - 40</v>
      </c>
    </row>
    <row r="1470">
      <c r="A1470" s="86">
        <f>IFERROR(__xludf.DUMMYFUNCTION("""COMPUTED_VALUE"""),1468.0)</f>
        <v>1468</v>
      </c>
      <c r="B1470" s="87" t="str">
        <f>IFERROR(__xludf.DUMMYFUNCTION("""COMPUTED_VALUE"""),"Nhãn")</f>
        <v>Nhãn</v>
      </c>
      <c r="C1470" s="87" t="str">
        <f>IFERROR(__xludf.DUMMYFUNCTION("""COMPUTED_VALUE"""),"NHG0944")</f>
        <v>NHG0944</v>
      </c>
      <c r="D1470" s="87" t="str">
        <f>IFERROR(__xludf.DUMMYFUNCTION("""COMPUTED_VALUE"""),"[Nhãn] GC - IV - 944 - Bảy Phận - Abamectin 3.6 (Pet tròn)(nắp đỏ)(nước nâu đen) - 450ml - 40")</f>
        <v>[Nhãn] GC - IV - 944 - Bảy Phận - Abamectin 3.6 (Pet tròn)(nắp đỏ)(nước nâu đen) - 450ml - 40</v>
      </c>
      <c r="E1470" s="87" t="str">
        <f>IFERROR(__xludf.DUMMYFUNCTION("""COMPUTED_VALUE"""),"HAIHAMEC 3.6EC")</f>
        <v>HAIHAMEC 3.6EC</v>
      </c>
      <c r="F1470" s="87" t="str">
        <f>IFERROR(__xludf.DUMMYFUNCTION("""COMPUTED_VALUE"""),"HH0944")</f>
        <v>HH0944</v>
      </c>
      <c r="G1470" s="87" t="str">
        <f>IFERROR(__xludf.DUMMYFUNCTION("""COMPUTED_VALUE"""),"GC - IV - 944 - Bảy Phận - Abamectin 3.6 (Pet tròn)(nắp đỏ)(nước nâu đen) - 450ml - 40")</f>
        <v>GC - IV - 944 - Bảy Phận - Abamectin 3.6 (Pet tròn)(nắp đỏ)(nước nâu đen) - 450ml - 40</v>
      </c>
    </row>
    <row r="1471">
      <c r="A1471" s="86">
        <f>IFERROR(__xludf.DUMMYFUNCTION("""COMPUTED_VALUE"""),1469.0)</f>
        <v>1469</v>
      </c>
      <c r="B1471" s="87" t="str">
        <f>IFERROR(__xludf.DUMMYFUNCTION("""COMPUTED_VALUE"""),"Nhãn thùng")</f>
        <v>Nhãn thùng</v>
      </c>
      <c r="C1471" s="87" t="str">
        <f>IFERROR(__xludf.DUMMYFUNCTION("""COMPUTED_VALUE"""),"NDT0944")</f>
        <v>NDT0944</v>
      </c>
      <c r="D1471" s="87" t="str">
        <f>IFERROR(__xludf.DUMMYFUNCTION("""COMPUTED_VALUE"""),"[Nhãn thùng] GC - IV - 944 - Bảy Phận - Abamectin 3.6 (Pet tròn)(nắp đỏ)(nước nâu đen) - 450ml - 40")</f>
        <v>[Nhãn thùng] GC - IV - 944 - Bảy Phận - Abamectin 3.6 (Pet tròn)(nắp đỏ)(nước nâu đen) - 450ml - 40</v>
      </c>
      <c r="E1471" s="87" t="str">
        <f>IFERROR(__xludf.DUMMYFUNCTION("""COMPUTED_VALUE"""),"HAIHAMEC 3.6EC")</f>
        <v>HAIHAMEC 3.6EC</v>
      </c>
      <c r="F1471" s="87" t="str">
        <f>IFERROR(__xludf.DUMMYFUNCTION("""COMPUTED_VALUE"""),"HH0944")</f>
        <v>HH0944</v>
      </c>
      <c r="G1471" s="87" t="str">
        <f>IFERROR(__xludf.DUMMYFUNCTION("""COMPUTED_VALUE"""),"GC - IV - 944 - Bảy Phận - Abamectin 3.6 (Pet tròn)(nắp đỏ)(nước nâu đen) - 450ml - 40")</f>
        <v>GC - IV - 944 - Bảy Phận - Abamectin 3.6 (Pet tròn)(nắp đỏ)(nước nâu đen) - 450ml - 40</v>
      </c>
    </row>
    <row r="1472">
      <c r="A1472" s="86">
        <f>IFERROR(__xludf.DUMMYFUNCTION("""COMPUTED_VALUE"""),1470.0)</f>
        <v>1470</v>
      </c>
      <c r="B1472" s="87" t="str">
        <f>IFERROR(__xludf.DUMMYFUNCTION("""COMPUTED_VALUE"""),"Nhãn")</f>
        <v>Nhãn</v>
      </c>
      <c r="C1472" s="87" t="str">
        <f>IFERROR(__xludf.DUMMYFUNCTION("""COMPUTED_VALUE"""),"NHD0945")</f>
        <v>NHD0945</v>
      </c>
      <c r="D1472" s="87" t="str">
        <f>IFERROR(__xludf.DUMMYFUNCTION("""COMPUTED_VALUE"""),"[Nhãn] GC - IV - 945 - Bảy Phận - Abamectin 3.6 (Pet vuông)(nắp vàng) (nước nâu đen) - 450ml - 40")</f>
        <v>[Nhãn] GC - IV - 945 - Bảy Phận - Abamectin 3.6 (Pet vuông)(nắp vàng) (nước nâu đen) - 450ml - 40</v>
      </c>
      <c r="E1472" s="87" t="str">
        <f>IFERROR(__xludf.DUMMYFUNCTION("""COMPUTED_VALUE"""),"HAIHAMEC 3.6EC")</f>
        <v>HAIHAMEC 3.6EC</v>
      </c>
      <c r="F1472" s="87" t="str">
        <f>IFERROR(__xludf.DUMMYFUNCTION("""COMPUTED_VALUE"""),"HH0945")</f>
        <v>HH0945</v>
      </c>
      <c r="G1472" s="87" t="str">
        <f>IFERROR(__xludf.DUMMYFUNCTION("""COMPUTED_VALUE"""),"GC - IV - 945 - Bảy Phận - Abamectin 3.6 (Pet vuông)(nắp vàng) (nước nâu đen) - 450ml - 40")</f>
        <v>GC - IV - 945 - Bảy Phận - Abamectin 3.6 (Pet vuông)(nắp vàng) (nước nâu đen) - 450ml - 40</v>
      </c>
    </row>
    <row r="1473">
      <c r="A1473" s="86">
        <f>IFERROR(__xludf.DUMMYFUNCTION("""COMPUTED_VALUE"""),1471.0)</f>
        <v>1471</v>
      </c>
      <c r="B1473" s="87" t="str">
        <f>IFERROR(__xludf.DUMMYFUNCTION("""COMPUTED_VALUE"""),"Nhãn thùng")</f>
        <v>Nhãn thùng</v>
      </c>
      <c r="C1473" s="87" t="str">
        <f>IFERROR(__xludf.DUMMYFUNCTION("""COMPUTED_VALUE"""),"NDT0945")</f>
        <v>NDT0945</v>
      </c>
      <c r="D1473" s="87" t="str">
        <f>IFERROR(__xludf.DUMMYFUNCTION("""COMPUTED_VALUE"""),"[Nhãn thùng] GC - IV - 945 - Bảy Phận - Abamectin 3.6 (Pet vuông)(nắp vàng) (nước nâu đen) - 450ml - 40")</f>
        <v>[Nhãn thùng] GC - IV - 945 - Bảy Phận - Abamectin 3.6 (Pet vuông)(nắp vàng) (nước nâu đen) - 450ml - 40</v>
      </c>
      <c r="E1473" s="87" t="str">
        <f>IFERROR(__xludf.DUMMYFUNCTION("""COMPUTED_VALUE"""),"HAIHAMEC 3.6EC")</f>
        <v>HAIHAMEC 3.6EC</v>
      </c>
      <c r="F1473" s="87" t="str">
        <f>IFERROR(__xludf.DUMMYFUNCTION("""COMPUTED_VALUE"""),"HH0945")</f>
        <v>HH0945</v>
      </c>
      <c r="G1473" s="87" t="str">
        <f>IFERROR(__xludf.DUMMYFUNCTION("""COMPUTED_VALUE"""),"GC - IV - 945 - Bảy Phận - Abamectin 3.6 (Pet vuông)(nắp vàng) (nước nâu đen) - 450ml - 40")</f>
        <v>GC - IV - 945 - Bảy Phận - Abamectin 3.6 (Pet vuông)(nắp vàng) (nước nâu đen) - 450ml - 40</v>
      </c>
    </row>
    <row r="1474">
      <c r="A1474" s="86">
        <f>IFERROR(__xludf.DUMMYFUNCTION("""COMPUTED_VALUE"""),1472.0)</f>
        <v>1472</v>
      </c>
      <c r="B1474" s="87" t="str">
        <f>IFERROR(__xludf.DUMMYFUNCTION("""COMPUTED_VALUE"""),"Nhãn")</f>
        <v>Nhãn</v>
      </c>
      <c r="C1474" s="87" t="str">
        <f>IFERROR(__xludf.DUMMYFUNCTION("""COMPUTED_VALUE"""),"NHD0946")</f>
        <v>NHD0946</v>
      </c>
      <c r="D1474" s="87" t="str">
        <f>IFERROR(__xludf.DUMMYFUNCTION("""COMPUTED_VALUE"""),"[Nhãn] GC - IV - 946 - Bảy Phận - Abamectin 3.6 (7 màu) (Pet vuông)(nắp trắng) (nước trong) - 450ml - 40")</f>
        <v>[Nhãn] GC - IV - 946 - Bảy Phận - Abamectin 3.6 (7 màu) (Pet vuông)(nắp trắng) (nước trong) - 450ml - 40</v>
      </c>
      <c r="E1474" s="87" t="str">
        <f>IFERROR(__xludf.DUMMYFUNCTION("""COMPUTED_VALUE"""),"HAIHAMEC 3.6EC")</f>
        <v>HAIHAMEC 3.6EC</v>
      </c>
      <c r="F1474" s="87" t="str">
        <f>IFERROR(__xludf.DUMMYFUNCTION("""COMPUTED_VALUE"""),"HH0946")</f>
        <v>HH0946</v>
      </c>
      <c r="G1474" s="87" t="str">
        <f>IFERROR(__xludf.DUMMYFUNCTION("""COMPUTED_VALUE"""),"GC - IV - 946 - Bảy Phận - Abamectin 3.6 (7 màu) (Pet vuông)(nắp trắng) (nước trong) - 450ml - 40")</f>
        <v>GC - IV - 946 - Bảy Phận - Abamectin 3.6 (7 màu) (Pet vuông)(nắp trắng) (nước trong) - 450ml - 40</v>
      </c>
    </row>
    <row r="1475">
      <c r="A1475" s="86">
        <f>IFERROR(__xludf.DUMMYFUNCTION("""COMPUTED_VALUE"""),1473.0)</f>
        <v>1473</v>
      </c>
      <c r="B1475" s="87" t="str">
        <f>IFERROR(__xludf.DUMMYFUNCTION("""COMPUTED_VALUE"""),"Nhãn thùng")</f>
        <v>Nhãn thùng</v>
      </c>
      <c r="C1475" s="87" t="str">
        <f>IFERROR(__xludf.DUMMYFUNCTION("""COMPUTED_VALUE"""),"NDT0946")</f>
        <v>NDT0946</v>
      </c>
      <c r="D1475" s="87" t="str">
        <f>IFERROR(__xludf.DUMMYFUNCTION("""COMPUTED_VALUE"""),"[Nhãn thùng] GC - IV - 946 - Bảy Phận - Abamectin 3.6 (7 màu) (Pet vuông)(nắp trắng) (nước trong) - 450ml - 40")</f>
        <v>[Nhãn thùng] GC - IV - 946 - Bảy Phận - Abamectin 3.6 (7 màu) (Pet vuông)(nắp trắng) (nước trong) - 450ml - 40</v>
      </c>
      <c r="E1475" s="87" t="str">
        <f>IFERROR(__xludf.DUMMYFUNCTION("""COMPUTED_VALUE"""),"HAIHAMEC 3.6EC")</f>
        <v>HAIHAMEC 3.6EC</v>
      </c>
      <c r="F1475" s="87" t="str">
        <f>IFERROR(__xludf.DUMMYFUNCTION("""COMPUTED_VALUE"""),"HH0946")</f>
        <v>HH0946</v>
      </c>
      <c r="G1475" s="87" t="str">
        <f>IFERROR(__xludf.DUMMYFUNCTION("""COMPUTED_VALUE"""),"GC - IV - 946 - Bảy Phận - Abamectin 3.6 (7 màu) (Pet vuông)(nắp trắng) (nước trong) - 450ml - 40")</f>
        <v>GC - IV - 946 - Bảy Phận - Abamectin 3.6 (7 màu) (Pet vuông)(nắp trắng) (nước trong) - 450ml - 40</v>
      </c>
    </row>
    <row r="1476">
      <c r="A1476" s="86">
        <f>IFERROR(__xludf.DUMMYFUNCTION("""COMPUTED_VALUE"""),1474.0)</f>
        <v>1474</v>
      </c>
      <c r="B1476" s="87" t="str">
        <f>IFERROR(__xludf.DUMMYFUNCTION("""COMPUTED_VALUE"""),"Nhãn")</f>
        <v>Nhãn</v>
      </c>
      <c r="C1476" s="87" t="str">
        <f>IFERROR(__xludf.DUMMYFUNCTION("""COMPUTED_VALUE"""),"NHG0947")</f>
        <v>NHG0947</v>
      </c>
      <c r="D1476" s="87" t="str">
        <f>IFERROR(__xludf.DUMMYFUNCTION("""COMPUTED_VALUE"""),"[Nhãn] GC - II - 947 - AGC NEW - Amec 3.6EC (Pet tròn)(nắp trắng)(nước trong) - 450ml - 40")</f>
        <v>[Nhãn] GC - II - 947 - AGC NEW - Amec 3.6EC (Pet tròn)(nắp trắng)(nước trong) - 450ml - 40</v>
      </c>
      <c r="E1476" s="87" t="str">
        <f>IFERROR(__xludf.DUMMYFUNCTION("""COMPUTED_VALUE"""),"HAIHAMEC 3.6EC")</f>
        <v>HAIHAMEC 3.6EC</v>
      </c>
      <c r="F1476" s="87" t="str">
        <f>IFERROR(__xludf.DUMMYFUNCTION("""COMPUTED_VALUE"""),"HH0947")</f>
        <v>HH0947</v>
      </c>
      <c r="G1476" s="87" t="str">
        <f>IFERROR(__xludf.DUMMYFUNCTION("""COMPUTED_VALUE"""),"GC - II - 947 - AGC NEW - Amec 3.6EC (Pet tròn)(nắp trắng)(nước trong) - 450ml - 40")</f>
        <v>GC - II - 947 - AGC NEW - Amec 3.6EC (Pet tròn)(nắp trắng)(nước trong) - 450ml - 40</v>
      </c>
    </row>
    <row r="1477">
      <c r="A1477" s="86">
        <f>IFERROR(__xludf.DUMMYFUNCTION("""COMPUTED_VALUE"""),1475.0)</f>
        <v>1475</v>
      </c>
      <c r="B1477" s="87" t="str">
        <f>IFERROR(__xludf.DUMMYFUNCTION("""COMPUTED_VALUE"""),"Nhãn thùng")</f>
        <v>Nhãn thùng</v>
      </c>
      <c r="C1477" s="87" t="str">
        <f>IFERROR(__xludf.DUMMYFUNCTION("""COMPUTED_VALUE"""),"NDT0947")</f>
        <v>NDT0947</v>
      </c>
      <c r="D1477" s="87" t="str">
        <f>IFERROR(__xludf.DUMMYFUNCTION("""COMPUTED_VALUE"""),"[Nhãn thùng] GC - II - 947 - AGC NEW - Amec 3.6EC (Pet tròn)(nắp trắng)(nước trong) - 450ml - 40")</f>
        <v>[Nhãn thùng] GC - II - 947 - AGC NEW - Amec 3.6EC (Pet tròn)(nắp trắng)(nước trong) - 450ml - 40</v>
      </c>
      <c r="E1477" s="87" t="str">
        <f>IFERROR(__xludf.DUMMYFUNCTION("""COMPUTED_VALUE"""),"HAIHAMEC 3.6EC")</f>
        <v>HAIHAMEC 3.6EC</v>
      </c>
      <c r="F1477" s="87" t="str">
        <f>IFERROR(__xludf.DUMMYFUNCTION("""COMPUTED_VALUE"""),"HH0947")</f>
        <v>HH0947</v>
      </c>
      <c r="G1477" s="87" t="str">
        <f>IFERROR(__xludf.DUMMYFUNCTION("""COMPUTED_VALUE"""),"GC - II - 947 - AGC NEW - Amec 3.6EC (Pet tròn)(nắp trắng)(nước trong) - 450ml - 40")</f>
        <v>GC - II - 947 - AGC NEW - Amec 3.6EC (Pet tròn)(nắp trắng)(nước trong) - 450ml - 40</v>
      </c>
    </row>
    <row r="1478">
      <c r="A1478" s="86">
        <f>IFERROR(__xludf.DUMMYFUNCTION("""COMPUTED_VALUE"""),1476.0)</f>
        <v>1476</v>
      </c>
      <c r="B1478" s="87" t="str">
        <f>IFERROR(__xludf.DUMMYFUNCTION("""COMPUTED_VALUE"""),"Nhãn")</f>
        <v>Nhãn</v>
      </c>
      <c r="C1478" s="87" t="str">
        <f>IFERROR(__xludf.DUMMYFUNCTION("""COMPUTED_VALUE"""),"NHG0948")</f>
        <v>NHG0948</v>
      </c>
      <c r="D1478" s="87" t="str">
        <f>IFERROR(__xludf.DUMMYFUNCTION("""COMPUTED_VALUE"""),"[Nhãn] GC - II - 948 - AGC - Hổ Chúa (nước nâu đen) - 450ml - 40")</f>
        <v>[Nhãn] GC - II - 948 - AGC - Hổ Chúa (nước nâu đen) - 450ml - 40</v>
      </c>
      <c r="E1478" s="87" t="str">
        <f>IFERROR(__xludf.DUMMYFUNCTION("""COMPUTED_VALUE"""),"HAIHAMEC 3.6EC")</f>
        <v>HAIHAMEC 3.6EC</v>
      </c>
      <c r="F1478" s="87" t="str">
        <f>IFERROR(__xludf.DUMMYFUNCTION("""COMPUTED_VALUE"""),"HH0948")</f>
        <v>HH0948</v>
      </c>
      <c r="G1478" s="87" t="str">
        <f>IFERROR(__xludf.DUMMYFUNCTION("""COMPUTED_VALUE"""),"GC - II - 948 - AGC - Hổ Chúa (nước nâu đen) - 450ml - 40")</f>
        <v>GC - II - 948 - AGC - Hổ Chúa (nước nâu đen) - 450ml - 40</v>
      </c>
    </row>
    <row r="1479">
      <c r="A1479" s="86">
        <f>IFERROR(__xludf.DUMMYFUNCTION("""COMPUTED_VALUE"""),1477.0)</f>
        <v>1477</v>
      </c>
      <c r="B1479" s="87" t="str">
        <f>IFERROR(__xludf.DUMMYFUNCTION("""COMPUTED_VALUE"""),"Nhãn")</f>
        <v>Nhãn</v>
      </c>
      <c r="C1479" s="87" t="str">
        <f>IFERROR(__xludf.DUMMYFUNCTION("""COMPUTED_VALUE"""),"NHG0949")</f>
        <v>NHG0949</v>
      </c>
      <c r="D1479" s="87" t="str">
        <f>IFERROR(__xludf.DUMMYFUNCTION("""COMPUTED_VALUE"""),"[Nhãn] GC - II - 949 - AGC - Báo Đen (nước trong) - 450ml - 40")</f>
        <v>[Nhãn] GC - II - 949 - AGC - Báo Đen (nước trong) - 450ml - 40</v>
      </c>
      <c r="E1479" s="87" t="str">
        <f>IFERROR(__xludf.DUMMYFUNCTION("""COMPUTED_VALUE"""),"HAIHAMEC 3.6EC")</f>
        <v>HAIHAMEC 3.6EC</v>
      </c>
      <c r="F1479" s="87" t="str">
        <f>IFERROR(__xludf.DUMMYFUNCTION("""COMPUTED_VALUE"""),"HH0949")</f>
        <v>HH0949</v>
      </c>
      <c r="G1479" s="87" t="str">
        <f>IFERROR(__xludf.DUMMYFUNCTION("""COMPUTED_VALUE"""),"GC - II - 949 - AGC - Báo Đen (nước trong) - 450ml - 40")</f>
        <v>GC - II - 949 - AGC - Báo Đen (nước trong) - 450ml - 40</v>
      </c>
    </row>
    <row r="1480">
      <c r="A1480" s="86">
        <f>IFERROR(__xludf.DUMMYFUNCTION("""COMPUTED_VALUE"""),1478.0)</f>
        <v>1478</v>
      </c>
      <c r="B1480" s="87" t="str">
        <f>IFERROR(__xludf.DUMMYFUNCTION("""COMPUTED_VALUE"""),"Nhãn")</f>
        <v>Nhãn</v>
      </c>
      <c r="C1480" s="87" t="str">
        <f>IFERROR(__xludf.DUMMYFUNCTION("""COMPUTED_VALUE"""),"NTN0950")</f>
        <v>NTN0950</v>
      </c>
      <c r="D1480" s="87" t="str">
        <f>IFERROR(__xludf.DUMMYFUNCTION("""COMPUTED_VALUE"""),"[Nhãn] GC - IV - 950 - Xuân Sơn - Diệt sạch rầy (túi nhôm)(bột trắng)- 100gr - 150")</f>
        <v>[Nhãn] GC - IV - 950 - Xuân Sơn - Diệt sạch rầy (túi nhôm)(bột trắng)- 100gr - 150</v>
      </c>
      <c r="E1480" s="87" t="str">
        <f>IFERROR(__xludf.DUMMYFUNCTION("""COMPUTED_VALUE"""),"IMIPRID 10WP")</f>
        <v>IMIPRID 10WP</v>
      </c>
      <c r="F1480" s="87" t="str">
        <f>IFERROR(__xludf.DUMMYFUNCTION("""COMPUTED_VALUE"""),"HH0950")</f>
        <v>HH0950</v>
      </c>
      <c r="G1480" s="87" t="str">
        <f>IFERROR(__xludf.DUMMYFUNCTION("""COMPUTED_VALUE"""),"GC - IV - 950 - Xuân Sơn - Diệt sạch rầy (túi nhôm)(bột trắng)- 100gr - 150")</f>
        <v>GC - IV - 950 - Xuân Sơn - Diệt sạch rầy (túi nhôm)(bột trắng)- 100gr - 150</v>
      </c>
    </row>
    <row r="1481">
      <c r="A1481" s="86">
        <f>IFERROR(__xludf.DUMMYFUNCTION("""COMPUTED_VALUE"""),1479.0)</f>
        <v>1479</v>
      </c>
      <c r="B1481" s="87" t="str">
        <f>IFERROR(__xludf.DUMMYFUNCTION("""COMPUTED_VALUE"""),"Nhãn")</f>
        <v>Nhãn</v>
      </c>
      <c r="C1481" s="87" t="str">
        <f>IFERROR(__xludf.DUMMYFUNCTION("""COMPUTED_VALUE"""),"NHD0951")</f>
        <v>NHD0951</v>
      </c>
      <c r="D1481" s="87" t="str">
        <f>IFERROR(__xludf.DUMMYFUNCTION("""COMPUTED_VALUE"""),"[Nhãn] NB - I - 951 - Pesticidex - Ánh Dương - Haihamec 3.6EC (Pet vuông)(nắp đỏ)(nước nâu đen) - 450ml - 40")</f>
        <v>[Nhãn] NB - I - 951 - Pesticidex - Ánh Dương - Haihamec 3.6EC (Pet vuông)(nắp đỏ)(nước nâu đen) - 450ml - 40</v>
      </c>
      <c r="E1481" s="87" t="str">
        <f>IFERROR(__xludf.DUMMYFUNCTION("""COMPUTED_VALUE"""),"HAIHAMEC 3.6EC")</f>
        <v>HAIHAMEC 3.6EC</v>
      </c>
      <c r="F1481" s="87" t="str">
        <f>IFERROR(__xludf.DUMMYFUNCTION("""COMPUTED_VALUE"""),"HH0951")</f>
        <v>HH0951</v>
      </c>
      <c r="G1481" s="87" t="str">
        <f>IFERROR(__xludf.DUMMYFUNCTION("""COMPUTED_VALUE"""),"NB - I - 951 - Pesticidex - Ánh Dương - Haihamec 3.6EC (Pet vuông)(nắp đỏ)(nước nâu đen) - 450ml - 40")</f>
        <v>NB - I - 951 - Pesticidex - Ánh Dương - Haihamec 3.6EC (Pet vuông)(nắp đỏ)(nước nâu đen) - 450ml - 40</v>
      </c>
    </row>
    <row r="1482">
      <c r="A1482" s="86">
        <f>IFERROR(__xludf.DUMMYFUNCTION("""COMPUTED_VALUE"""),1480.0)</f>
        <v>1480</v>
      </c>
      <c r="B1482" s="87" t="str">
        <f>IFERROR(__xludf.DUMMYFUNCTION("""COMPUTED_VALUE"""),"Nhãn thùng")</f>
        <v>Nhãn thùng</v>
      </c>
      <c r="C1482" s="87" t="str">
        <f>IFERROR(__xludf.DUMMYFUNCTION("""COMPUTED_VALUE"""),"NDT0951")</f>
        <v>NDT0951</v>
      </c>
      <c r="D1482" s="87" t="str">
        <f>IFERROR(__xludf.DUMMYFUNCTION("""COMPUTED_VALUE"""),"[Nhãn thùng] NB - I - 951 - Pesticidex - Ánh Dương - Haihamec 3.6EC (Pet vuông)(nắp đỏ)(nước nâu đen) - 450ml - 40")</f>
        <v>[Nhãn thùng] NB - I - 951 - Pesticidex - Ánh Dương - Haihamec 3.6EC (Pet vuông)(nắp đỏ)(nước nâu đen) - 450ml - 40</v>
      </c>
      <c r="E1482" s="87" t="str">
        <f>IFERROR(__xludf.DUMMYFUNCTION("""COMPUTED_VALUE"""),"HAIHAMEC 3.6EC")</f>
        <v>HAIHAMEC 3.6EC</v>
      </c>
      <c r="F1482" s="87" t="str">
        <f>IFERROR(__xludf.DUMMYFUNCTION("""COMPUTED_VALUE"""),"HH0951")</f>
        <v>HH0951</v>
      </c>
      <c r="G1482" s="87" t="str">
        <f>IFERROR(__xludf.DUMMYFUNCTION("""COMPUTED_VALUE"""),"NB - I - 951 - Pesticidex - Ánh Dương - Haihamec 3.6EC (Pet vuông)(nắp đỏ)(nước nâu đen) - 450ml - 40")</f>
        <v>NB - I - 951 - Pesticidex - Ánh Dương - Haihamec 3.6EC (Pet vuông)(nắp đỏ)(nước nâu đen) - 450ml - 40</v>
      </c>
    </row>
    <row r="1483">
      <c r="A1483" s="86">
        <f>IFERROR(__xludf.DUMMYFUNCTION("""COMPUTED_VALUE"""),1481.0)</f>
        <v>1481</v>
      </c>
      <c r="B1483" s="87" t="str">
        <f>IFERROR(__xludf.DUMMYFUNCTION("""COMPUTED_VALUE"""),"Nhãn")</f>
        <v>Nhãn</v>
      </c>
      <c r="C1483" s="87" t="str">
        <f>IFERROR(__xludf.DUMMYFUNCTION("""COMPUTED_VALUE"""),"NHG0953")</f>
        <v>NHG0953</v>
      </c>
      <c r="D1483" s="87" t="str">
        <f>IFERROR(__xludf.DUMMYFUNCTION("""COMPUTED_VALUE"""),"[Nhãn] LOT IDA Global - I - 953 - ĐL Nguyễn Thị Hiệp - Avermectin (Pet tròn) (nắp trắng)(nước nâu đen) - 450ml - 40")</f>
        <v>[Nhãn] LOT IDA Global - I - 953 - ĐL Nguyễn Thị Hiệp - Avermectin (Pet tròn) (nắp trắng)(nước nâu đen) - 450ml - 40</v>
      </c>
      <c r="E1483" s="87" t="str">
        <f>IFERROR(__xludf.DUMMYFUNCTION("""COMPUTED_VALUE"""),"Chitin 3.6EC")</f>
        <v>Chitin 3.6EC</v>
      </c>
      <c r="F1483" s="87" t="str">
        <f>IFERROR(__xludf.DUMMYFUNCTION("""COMPUTED_VALUE"""),"HH0953")</f>
        <v>HH0953</v>
      </c>
      <c r="G1483" s="87" t="str">
        <f>IFERROR(__xludf.DUMMYFUNCTION("""COMPUTED_VALUE"""),"LOT IDA Global - I - 953 - ĐL Nguyễn Thị Hiệp - Avermectin (Pet tròn) (nắp trắng)(nước nâu đen) - 450ml - 40")</f>
        <v>LOT IDA Global - I - 953 - ĐL Nguyễn Thị Hiệp - Avermectin (Pet tròn) (nắp trắng)(nước nâu đen) - 450ml - 40</v>
      </c>
    </row>
    <row r="1484">
      <c r="A1484" s="86">
        <f>IFERROR(__xludf.DUMMYFUNCTION("""COMPUTED_VALUE"""),1482.0)</f>
        <v>1482</v>
      </c>
      <c r="B1484" s="87" t="str">
        <f>IFERROR(__xludf.DUMMYFUNCTION("""COMPUTED_VALUE"""),"Nhãn")</f>
        <v>Nhãn</v>
      </c>
      <c r="C1484" s="87" t="str">
        <f>IFERROR(__xludf.DUMMYFUNCTION("""COMPUTED_VALUE"""),"NHG0954")</f>
        <v>NHG0954</v>
      </c>
      <c r="D1484" s="87" t="str">
        <f>IFERROR(__xludf.DUMMYFUNCTION("""COMPUTED_VALUE"""),"[Nhãn] LOT IDA Global - I - 954 - ĐL Vân Lương - Thần Hổ 4.0 (Pet tròn)(nắp đỏ)(nước nâu đen) - 450ml - 40")</f>
        <v>[Nhãn] LOT IDA Global - I - 954 - ĐL Vân Lương - Thần Hổ 4.0 (Pet tròn)(nắp đỏ)(nước nâu đen) - 450ml - 40</v>
      </c>
      <c r="E1484" s="87" t="str">
        <f>IFERROR(__xludf.DUMMYFUNCTION("""COMPUTED_VALUE"""),"Chitin 3.6EC")</f>
        <v>Chitin 3.6EC</v>
      </c>
      <c r="F1484" s="87" t="str">
        <f>IFERROR(__xludf.DUMMYFUNCTION("""COMPUTED_VALUE"""),"HH0954")</f>
        <v>HH0954</v>
      </c>
      <c r="G1484" s="87" t="str">
        <f>IFERROR(__xludf.DUMMYFUNCTION("""COMPUTED_VALUE"""),"LOT IDA Global - I - 954 - ĐL Vân Lương - Thần Hổ 4.0 (Pet tròn)(nắp đỏ)(nước nâu đen) - 450ml - 40")</f>
        <v>LOT IDA Global - I - 954 - ĐL Vân Lương - Thần Hổ 4.0 (Pet tròn)(nắp đỏ)(nước nâu đen) - 450ml - 40</v>
      </c>
    </row>
    <row r="1485">
      <c r="A1485" s="86">
        <f>IFERROR(__xludf.DUMMYFUNCTION("""COMPUTED_VALUE"""),1483.0)</f>
        <v>1483</v>
      </c>
      <c r="B1485" s="87" t="str">
        <f>IFERROR(__xludf.DUMMYFUNCTION("""COMPUTED_VALUE"""),"Nhãn thùng")</f>
        <v>Nhãn thùng</v>
      </c>
      <c r="C1485" s="87" t="str">
        <f>IFERROR(__xludf.DUMMYFUNCTION("""COMPUTED_VALUE"""),"NDT0954")</f>
        <v>NDT0954</v>
      </c>
      <c r="D1485" s="87" t="str">
        <f>IFERROR(__xludf.DUMMYFUNCTION("""COMPUTED_VALUE"""),"[Nhãn thùng] LOT IDA Global - I - 954 - ĐL Vân Lương - Thần Hổ 4.0 (Pet tròn)(nắp đỏ)(nước nâu đen) - 450ml - 40")</f>
        <v>[Nhãn thùng] LOT IDA Global - I - 954 - ĐL Vân Lương - Thần Hổ 4.0 (Pet tròn)(nắp đỏ)(nước nâu đen) - 450ml - 40</v>
      </c>
      <c r="E1485" s="87" t="str">
        <f>IFERROR(__xludf.DUMMYFUNCTION("""COMPUTED_VALUE"""),"Chitin 3.6EC")</f>
        <v>Chitin 3.6EC</v>
      </c>
      <c r="F1485" s="87" t="str">
        <f>IFERROR(__xludf.DUMMYFUNCTION("""COMPUTED_VALUE"""),"HH0954")</f>
        <v>HH0954</v>
      </c>
      <c r="G1485" s="87" t="str">
        <f>IFERROR(__xludf.DUMMYFUNCTION("""COMPUTED_VALUE"""),"LOT IDA Global - I - 954 - ĐL Vân Lương - Thần Hổ 4.0 (Pet tròn)(nắp đỏ)(nước nâu đen) - 450ml - 40")</f>
        <v>LOT IDA Global - I - 954 - ĐL Vân Lương - Thần Hổ 4.0 (Pet tròn)(nắp đỏ)(nước nâu đen) - 450ml - 40</v>
      </c>
    </row>
    <row r="1486">
      <c r="A1486" s="86">
        <f>IFERROR(__xludf.DUMMYFUNCTION("""COMPUTED_VALUE"""),1484.0)</f>
        <v>1484</v>
      </c>
      <c r="B1486" s="87" t="str">
        <f>IFERROR(__xludf.DUMMYFUNCTION("""COMPUTED_VALUE"""),"Nhãn")</f>
        <v>Nhãn</v>
      </c>
      <c r="C1486" s="87" t="str">
        <f>IFERROR(__xludf.DUMMYFUNCTION("""COMPUTED_VALUE"""),"NHG0955")</f>
        <v>NHG0955</v>
      </c>
      <c r="D1486" s="87" t="str">
        <f>IFERROR(__xludf.DUMMYFUNCTION("""COMPUTED_VALUE"""),"[Nhãn] GC - IV - 955 - Agriplant - Sâu-Nhện (Pet tròn)(nắp trắng)(nước trong) - 450ml - 40")</f>
        <v>[Nhãn] GC - IV - 955 - Agriplant - Sâu-Nhện (Pet tròn)(nắp trắng)(nước trong) - 450ml - 40</v>
      </c>
      <c r="E1486" s="87" t="str">
        <f>IFERROR(__xludf.DUMMYFUNCTION("""COMPUTED_VALUE"""),"HAIHAMEC 3.6EC")</f>
        <v>HAIHAMEC 3.6EC</v>
      </c>
      <c r="F1486" s="87" t="str">
        <f>IFERROR(__xludf.DUMMYFUNCTION("""COMPUTED_VALUE"""),"HH0955")</f>
        <v>HH0955</v>
      </c>
      <c r="G1486" s="87" t="str">
        <f>IFERROR(__xludf.DUMMYFUNCTION("""COMPUTED_VALUE"""),"GC - IV - 955 - Agriplant - Sâu-Nhện (Pet tròn)(nắp trắng)(nước trong) - 450ml - 40")</f>
        <v>GC - IV - 955 - Agriplant - Sâu-Nhện (Pet tròn)(nắp trắng)(nước trong) - 450ml - 40</v>
      </c>
    </row>
    <row r="1487">
      <c r="A1487" s="86">
        <f>IFERROR(__xludf.DUMMYFUNCTION("""COMPUTED_VALUE"""),1485.0)</f>
        <v>1485</v>
      </c>
      <c r="B1487" s="87" t="str">
        <f>IFERROR(__xludf.DUMMYFUNCTION("""COMPUTED_VALUE"""),"Nhãn thùng")</f>
        <v>Nhãn thùng</v>
      </c>
      <c r="C1487" s="87" t="str">
        <f>IFERROR(__xludf.DUMMYFUNCTION("""COMPUTED_VALUE"""),"NDT0955")</f>
        <v>NDT0955</v>
      </c>
      <c r="D1487" s="87" t="str">
        <f>IFERROR(__xludf.DUMMYFUNCTION("""COMPUTED_VALUE"""),"[Nhãn thùng] GC - IV - 955 - Agriplant - Sâu-Nhện (Pet tròn)(nắp trắng)(nước trong) - 450ml - 40")</f>
        <v>[Nhãn thùng] GC - IV - 955 - Agriplant - Sâu-Nhện (Pet tròn)(nắp trắng)(nước trong) - 450ml - 40</v>
      </c>
      <c r="E1487" s="87" t="str">
        <f>IFERROR(__xludf.DUMMYFUNCTION("""COMPUTED_VALUE"""),"HAIHAMEC 3.6EC")</f>
        <v>HAIHAMEC 3.6EC</v>
      </c>
      <c r="F1487" s="87" t="str">
        <f>IFERROR(__xludf.DUMMYFUNCTION("""COMPUTED_VALUE"""),"HH0955")</f>
        <v>HH0955</v>
      </c>
      <c r="G1487" s="87" t="str">
        <f>IFERROR(__xludf.DUMMYFUNCTION("""COMPUTED_VALUE"""),"GC - IV - 955 - Agriplant - Sâu-Nhện (Pet tròn)(nắp trắng)(nước trong) - 450ml - 40")</f>
        <v>GC - IV - 955 - Agriplant - Sâu-Nhện (Pet tròn)(nắp trắng)(nước trong) - 450ml - 40</v>
      </c>
    </row>
    <row r="1488">
      <c r="A1488" s="86">
        <f>IFERROR(__xludf.DUMMYFUNCTION("""COMPUTED_VALUE"""),1486.0)</f>
        <v>1486</v>
      </c>
      <c r="B1488" s="87" t="str">
        <f>IFERROR(__xludf.DUMMYFUNCTION("""COMPUTED_VALUE"""),"Nhãn")</f>
        <v>Nhãn</v>
      </c>
      <c r="C1488" s="87" t="str">
        <f>IFERROR(__xludf.DUMMYFUNCTION("""COMPUTED_VALUE"""),"NTN0959")</f>
        <v>NTN0959</v>
      </c>
      <c r="D1488" s="87" t="str">
        <f>IFERROR(__xludf.DUMMYFUNCTION("""COMPUTED_VALUE"""),"[Nhãn] GC - IV - 959 - AU - Sherdoba 55WG (túi nhôm)(cốm trắng) - 100gr -100")</f>
        <v>[Nhãn] GC - IV - 959 - AU - Sherdoba 55WG (túi nhôm)(cốm trắng) - 100gr -100</v>
      </c>
      <c r="E1488" s="87" t="str">
        <f>IFERROR(__xludf.DUMMYFUNCTION("""COMPUTED_VALUE"""),"Sherdoba 55WG")</f>
        <v>Sherdoba 55WG</v>
      </c>
      <c r="F1488" s="87" t="str">
        <f>IFERROR(__xludf.DUMMYFUNCTION("""COMPUTED_VALUE"""),"HH0959")</f>
        <v>HH0959</v>
      </c>
      <c r="G1488" s="87" t="str">
        <f>IFERROR(__xludf.DUMMYFUNCTION("""COMPUTED_VALUE"""),"GC - IV - 959 - AU - Sherdoba 55WG (túi nhôm)(cốm trắng) - 100gr -100")</f>
        <v>GC - IV - 959 - AU - Sherdoba 55WG (túi nhôm)(cốm trắng) - 100gr -100</v>
      </c>
    </row>
    <row r="1489">
      <c r="A1489" s="86">
        <f>IFERROR(__xludf.DUMMYFUNCTION("""COMPUTED_VALUE"""),1487.0)</f>
        <v>1487</v>
      </c>
      <c r="B1489" s="87" t="str">
        <f>IFERROR(__xludf.DUMMYFUNCTION("""COMPUTED_VALUE"""),"Nhãn")</f>
        <v>Nhãn</v>
      </c>
      <c r="C1489" s="87" t="str">
        <f>IFERROR(__xludf.DUMMYFUNCTION("""COMPUTED_VALUE"""),"NHD0960")</f>
        <v>NHD0960</v>
      </c>
      <c r="D1489" s="87" t="str">
        <f>IFERROR(__xludf.DUMMYFUNCTION("""COMPUTED_VALUE"""),"[Nhãn] LOT IDA Global - I - 960 - Trần Vũ - Abamectin 3.6 (cờ thái) (nước nâu đen) - 450ml - 40")</f>
        <v>[Nhãn] LOT IDA Global - I - 960 - Trần Vũ - Abamectin 3.6 (cờ thái) (nước nâu đen) - 450ml - 40</v>
      </c>
      <c r="E1489" s="87" t="str">
        <f>IFERROR(__xludf.DUMMYFUNCTION("""COMPUTED_VALUE"""),"HAIHAMEC 3.6EC")</f>
        <v>HAIHAMEC 3.6EC</v>
      </c>
      <c r="F1489" s="87" t="str">
        <f>IFERROR(__xludf.DUMMYFUNCTION("""COMPUTED_VALUE"""),"HH0960")</f>
        <v>HH0960</v>
      </c>
      <c r="G1489" s="87" t="str">
        <f>IFERROR(__xludf.DUMMYFUNCTION("""COMPUTED_VALUE"""),"LOT IDA Global - I - 960 - Trần Vũ - Abamectin 3.6 (cờ thái) (nước nâu đen) - 450ml - 40")</f>
        <v>LOT IDA Global - I - 960 - Trần Vũ - Abamectin 3.6 (cờ thái) (nước nâu đen) - 450ml - 40</v>
      </c>
    </row>
    <row r="1490">
      <c r="A1490" s="86">
        <f>IFERROR(__xludf.DUMMYFUNCTION("""COMPUTED_VALUE"""),1488.0)</f>
        <v>1488</v>
      </c>
      <c r="B1490" s="87" t="str">
        <f>IFERROR(__xludf.DUMMYFUNCTION("""COMPUTED_VALUE"""),"Nhãn")</f>
        <v>Nhãn</v>
      </c>
      <c r="C1490" s="87" t="str">
        <f>IFERROR(__xludf.DUMMYFUNCTION("""COMPUTED_VALUE"""),"NHG0961")</f>
        <v>NHG0961</v>
      </c>
      <c r="D1490" s="87" t="str">
        <f>IFERROR(__xludf.DUMMYFUNCTION("""COMPUTED_VALUE"""),"[Nhãn] GC - IV - 961 - Nguyễn Huy Phú - Newmite (Pet tròn)(nắp trắng)(nước trong) - 450ml - 40")</f>
        <v>[Nhãn] GC - IV - 961 - Nguyễn Huy Phú - Newmite (Pet tròn)(nắp trắng)(nước trong) - 450ml - 40</v>
      </c>
      <c r="E1490" s="87" t="str">
        <f>IFERROR(__xludf.DUMMYFUNCTION("""COMPUTED_VALUE"""),"HAIHAMEC 3.6EC")</f>
        <v>HAIHAMEC 3.6EC</v>
      </c>
      <c r="F1490" s="87" t="str">
        <f>IFERROR(__xludf.DUMMYFUNCTION("""COMPUTED_VALUE"""),"HH0961")</f>
        <v>HH0961</v>
      </c>
      <c r="G1490" s="87" t="str">
        <f>IFERROR(__xludf.DUMMYFUNCTION("""COMPUTED_VALUE"""),"GC - IV - 961 - Nguyễn Huy Phú - Newmite (Pet tròn)(nắp trắng)(nước trong) - 450ml - 40")</f>
        <v>GC - IV - 961 - Nguyễn Huy Phú - Newmite (Pet tròn)(nắp trắng)(nước trong) - 450ml - 40</v>
      </c>
    </row>
    <row r="1491">
      <c r="A1491" s="86">
        <f>IFERROR(__xludf.DUMMYFUNCTION("""COMPUTED_VALUE"""),1489.0)</f>
        <v>1489</v>
      </c>
      <c r="B1491" s="87" t="str">
        <f>IFERROR(__xludf.DUMMYFUNCTION("""COMPUTED_VALUE"""),"Nhãn thùng")</f>
        <v>Nhãn thùng</v>
      </c>
      <c r="C1491" s="87" t="str">
        <f>IFERROR(__xludf.DUMMYFUNCTION("""COMPUTED_VALUE"""),"NDT0961")</f>
        <v>NDT0961</v>
      </c>
      <c r="D1491" s="87" t="str">
        <f>IFERROR(__xludf.DUMMYFUNCTION("""COMPUTED_VALUE"""),"[Nhãn thùng] GC - IV - 961 - Nguyễn Huy Phú - Newmite (Pet tròn)(nắp trắng)(nước trong) - 450ml - 40")</f>
        <v>[Nhãn thùng] GC - IV - 961 - Nguyễn Huy Phú - Newmite (Pet tròn)(nắp trắng)(nước trong) - 450ml - 40</v>
      </c>
      <c r="E1491" s="87" t="str">
        <f>IFERROR(__xludf.DUMMYFUNCTION("""COMPUTED_VALUE"""),"HAIHAMEC 3.6EC")</f>
        <v>HAIHAMEC 3.6EC</v>
      </c>
      <c r="F1491" s="87" t="str">
        <f>IFERROR(__xludf.DUMMYFUNCTION("""COMPUTED_VALUE"""),"HH0961")</f>
        <v>HH0961</v>
      </c>
      <c r="G1491" s="87" t="str">
        <f>IFERROR(__xludf.DUMMYFUNCTION("""COMPUTED_VALUE"""),"GC - IV - 961 - Nguyễn Huy Phú - Newmite (Pet tròn)(nắp trắng)(nước trong) - 450ml - 40")</f>
        <v>GC - IV - 961 - Nguyễn Huy Phú - Newmite (Pet tròn)(nắp trắng)(nước trong) - 450ml - 40</v>
      </c>
    </row>
    <row r="1492">
      <c r="A1492" s="86">
        <f>IFERROR(__xludf.DUMMYFUNCTION("""COMPUTED_VALUE"""),1490.0)</f>
        <v>1490</v>
      </c>
      <c r="B1492" s="87" t="str">
        <f>IFERROR(__xludf.DUMMYFUNCTION("""COMPUTED_VALUE"""),"Nhãn")</f>
        <v>Nhãn</v>
      </c>
      <c r="C1492" s="87" t="str">
        <f>IFERROR(__xludf.DUMMYFUNCTION("""COMPUTED_VALUE"""),"NHG0962")</f>
        <v>NHG0962</v>
      </c>
      <c r="D1492" s="87" t="str">
        <f>IFERROR(__xludf.DUMMYFUNCTION("""COMPUTED_VALUE"""),"[Nhãn] GC - IV - 962 - Châu Giang - Mekongvil 5SC (chai HD)(nắp xanh)(nước trắng)- 1L - 20")</f>
        <v>[Nhãn] GC - IV - 962 - Châu Giang - Mekongvil 5SC (chai HD)(nắp xanh)(nước trắng)- 1L - 20</v>
      </c>
      <c r="E1492" s="87" t="str">
        <f>IFERROR(__xludf.DUMMYFUNCTION("""COMPUTED_VALUE"""),"Mekongvil 5SC")</f>
        <v>Mekongvil 5SC</v>
      </c>
      <c r="F1492" s="87" t="str">
        <f>IFERROR(__xludf.DUMMYFUNCTION("""COMPUTED_VALUE"""),"HH0962")</f>
        <v>HH0962</v>
      </c>
      <c r="G1492" s="87" t="str">
        <f>IFERROR(__xludf.DUMMYFUNCTION("""COMPUTED_VALUE"""),"GC - IV - 962 - Châu Giang - Mekongvil 5SC (chai HD)(nắp xanh)(nước trắng)- 1L - 20")</f>
        <v>GC - IV - 962 - Châu Giang - Mekongvil 5SC (chai HD)(nắp xanh)(nước trắng)- 1L - 20</v>
      </c>
    </row>
    <row r="1493">
      <c r="A1493" s="86">
        <f>IFERROR(__xludf.DUMMYFUNCTION("""COMPUTED_VALUE"""),1491.0)</f>
        <v>1491</v>
      </c>
      <c r="B1493" s="87" t="str">
        <f>IFERROR(__xludf.DUMMYFUNCTION("""COMPUTED_VALUE"""),"Nhãn thùng")</f>
        <v>Nhãn thùng</v>
      </c>
      <c r="C1493" s="87" t="str">
        <f>IFERROR(__xludf.DUMMYFUNCTION("""COMPUTED_VALUE"""),"NDT0962")</f>
        <v>NDT0962</v>
      </c>
      <c r="D1493" s="87" t="str">
        <f>IFERROR(__xludf.DUMMYFUNCTION("""COMPUTED_VALUE"""),"[Nhãn thùng] GC - IV - 962 - Châu Giang - Mekongvil 5SC (chai HD)(nắp xanh)(nước trắng)- 1L - 20")</f>
        <v>[Nhãn thùng] GC - IV - 962 - Châu Giang - Mekongvil 5SC (chai HD)(nắp xanh)(nước trắng)- 1L - 20</v>
      </c>
      <c r="E1493" s="87" t="str">
        <f>IFERROR(__xludf.DUMMYFUNCTION("""COMPUTED_VALUE"""),"Mekongvil 5SC")</f>
        <v>Mekongvil 5SC</v>
      </c>
      <c r="F1493" s="87" t="str">
        <f>IFERROR(__xludf.DUMMYFUNCTION("""COMPUTED_VALUE"""),"HH0962")</f>
        <v>HH0962</v>
      </c>
      <c r="G1493" s="87" t="str">
        <f>IFERROR(__xludf.DUMMYFUNCTION("""COMPUTED_VALUE"""),"GC - IV - 962 - Châu Giang - Mekongvil 5SC (chai HD)(nắp xanh)(nước trắng)- 1L - 20")</f>
        <v>GC - IV - 962 - Châu Giang - Mekongvil 5SC (chai HD)(nắp xanh)(nước trắng)- 1L - 20</v>
      </c>
    </row>
    <row r="1494">
      <c r="A1494" s="86">
        <f>IFERROR(__xludf.DUMMYFUNCTION("""COMPUTED_VALUE"""),1492.0)</f>
        <v>1492</v>
      </c>
      <c r="B1494" s="87" t="str">
        <f>IFERROR(__xludf.DUMMYFUNCTION("""COMPUTED_VALUE"""),"Nhãn")</f>
        <v>Nhãn</v>
      </c>
      <c r="C1494" s="87" t="str">
        <f>IFERROR(__xludf.DUMMYFUNCTION("""COMPUTED_VALUE"""),"NTN0963")</f>
        <v>NTN0963</v>
      </c>
      <c r="D1494" s="87" t="str">
        <f>IFERROR(__xludf.DUMMYFUNCTION("""COMPUTED_VALUE"""),"[Nhãn] GC - IV - 963 - AU - Manco Xanh (túi nhôm)(bột xanh) - 1 Kg - 20")</f>
        <v>[Nhãn] GC - IV - 963 - AU - Manco Xanh (túi nhôm)(bột xanh) - 1 Kg - 20</v>
      </c>
      <c r="E1494" s="87" t="str">
        <f>IFERROR(__xludf.DUMMYFUNCTION("""COMPUTED_VALUE"""),"BYPHAN 800WP")</f>
        <v>BYPHAN 800WP</v>
      </c>
      <c r="F1494" s="87" t="str">
        <f>IFERROR(__xludf.DUMMYFUNCTION("""COMPUTED_VALUE"""),"HH0963")</f>
        <v>HH0963</v>
      </c>
      <c r="G1494" s="87" t="str">
        <f>IFERROR(__xludf.DUMMYFUNCTION("""COMPUTED_VALUE"""),"GC - IV - 963 - AU - Manco Xanh (túi nhôm)(bột xanh) - 1 Kg - 20")</f>
        <v>GC - IV - 963 - AU - Manco Xanh (túi nhôm)(bột xanh) - 1 Kg - 20</v>
      </c>
    </row>
    <row r="1495">
      <c r="A1495" s="86">
        <f>IFERROR(__xludf.DUMMYFUNCTION("""COMPUTED_VALUE"""),1493.0)</f>
        <v>1493</v>
      </c>
      <c r="B1495" s="87" t="str">
        <f>IFERROR(__xludf.DUMMYFUNCTION("""COMPUTED_VALUE"""),"Nhãn")</f>
        <v>Nhãn</v>
      </c>
      <c r="C1495" s="87" t="str">
        <f>IFERROR(__xludf.DUMMYFUNCTION("""COMPUTED_VALUE"""),"NTN0966")</f>
        <v>NTN0966</v>
      </c>
      <c r="D1495" s="87" t="str">
        <f>IFERROR(__xludf.DUMMYFUNCTION("""COMPUTED_VALUE"""),"[Nhãn] GC - IV - 966 - Xuân Sơn - Pandan (túi nhôm)(bột trắng)- 45gr - 300")</f>
        <v>[Nhãn] GC - IV - 966 - Xuân Sơn - Pandan (túi nhôm)(bột trắng)- 45gr - 300</v>
      </c>
      <c r="E1495" s="87" t="str">
        <f>IFERROR(__xludf.DUMMYFUNCTION("""COMPUTED_VALUE"""),"SHA CHONG JING 95WP")</f>
        <v>SHA CHONG JING 95WP</v>
      </c>
      <c r="F1495" s="87" t="str">
        <f>IFERROR(__xludf.DUMMYFUNCTION("""COMPUTED_VALUE"""),"HH0966")</f>
        <v>HH0966</v>
      </c>
      <c r="G1495" s="87" t="str">
        <f>IFERROR(__xludf.DUMMYFUNCTION("""COMPUTED_VALUE"""),"GC - IV - 966 - Xuân Sơn - Pandan (túi nhôm)(bột trắng)- 45gr - 300")</f>
        <v>GC - IV - 966 - Xuân Sơn - Pandan (túi nhôm)(bột trắng)- 45gr - 300</v>
      </c>
    </row>
    <row r="1496">
      <c r="A1496" s="86">
        <f>IFERROR(__xludf.DUMMYFUNCTION("""COMPUTED_VALUE"""),1494.0)</f>
        <v>1494</v>
      </c>
      <c r="B1496" s="87" t="str">
        <f>IFERROR(__xludf.DUMMYFUNCTION("""COMPUTED_VALUE"""),"Nhãn")</f>
        <v>Nhãn</v>
      </c>
      <c r="C1496" s="87" t="str">
        <f>IFERROR(__xludf.DUMMYFUNCTION("""COMPUTED_VALUE"""),"NHD0967")</f>
        <v>NHD0967</v>
      </c>
      <c r="D1496" s="87" t="str">
        <f>IFERROR(__xludf.DUMMYFUNCTION("""COMPUTED_VALUE"""),"[Nhãn] NB - I - 967 - Pesticidex - Haihamec 3.6EC (Pet vuông)(nắp đỏ)(nước nâu đen) - 450ml - 40")</f>
        <v>[Nhãn] NB - I - 967 - Pesticidex - Haihamec 3.6EC (Pet vuông)(nắp đỏ)(nước nâu đen) - 450ml - 40</v>
      </c>
      <c r="E1496" s="87" t="str">
        <f>IFERROR(__xludf.DUMMYFUNCTION("""COMPUTED_VALUE"""),"HAIHAMEC 3.6EC")</f>
        <v>HAIHAMEC 3.6EC</v>
      </c>
      <c r="F1496" s="87" t="str">
        <f>IFERROR(__xludf.DUMMYFUNCTION("""COMPUTED_VALUE"""),"HH0967")</f>
        <v>HH0967</v>
      </c>
      <c r="G1496" s="87" t="str">
        <f>IFERROR(__xludf.DUMMYFUNCTION("""COMPUTED_VALUE"""),"NB - I - 967 - Pesticidex - Haihamec 3.6EC (Pet vuông)(nắp đỏ)(nước nâu đen) - 450ml - 40")</f>
        <v>NB - I - 967 - Pesticidex - Haihamec 3.6EC (Pet vuông)(nắp đỏ)(nước nâu đen) - 450ml - 40</v>
      </c>
    </row>
    <row r="1497">
      <c r="A1497" s="86">
        <f>IFERROR(__xludf.DUMMYFUNCTION("""COMPUTED_VALUE"""),1495.0)</f>
        <v>1495</v>
      </c>
      <c r="B1497" s="87" t="str">
        <f>IFERROR(__xludf.DUMMYFUNCTION("""COMPUTED_VALUE"""),"Nhãn")</f>
        <v>Nhãn</v>
      </c>
      <c r="C1497" s="87" t="str">
        <f>IFERROR(__xludf.DUMMYFUNCTION("""COMPUTED_VALUE"""),"NHN0967")</f>
        <v>NHN0967</v>
      </c>
      <c r="D1497" s="87" t="str">
        <f>IFERROR(__xludf.DUMMYFUNCTION("""COMPUTED_VALUE"""),"[Nhãn] NB - I - 967 - Pesticidex - Haihamec 3.6EC (Pet vuông)(nắp đỏ)(nước nâu đen) - 450ml - 40")</f>
        <v>[Nhãn] NB - I - 967 - Pesticidex - Haihamec 3.6EC (Pet vuông)(nắp đỏ)(nước nâu đen) - 450ml - 40</v>
      </c>
      <c r="E1497" s="87" t="str">
        <f>IFERROR(__xludf.DUMMYFUNCTION("""COMPUTED_VALUE"""),"HAIHAMEC 3.6EC")</f>
        <v>HAIHAMEC 3.6EC</v>
      </c>
      <c r="F1497" s="87" t="str">
        <f>IFERROR(__xludf.DUMMYFUNCTION("""COMPUTED_VALUE"""),"HH0967")</f>
        <v>HH0967</v>
      </c>
      <c r="G1497" s="87" t="str">
        <f>IFERROR(__xludf.DUMMYFUNCTION("""COMPUTED_VALUE"""),"NB - I - 967 - Pesticidex - Haihamec 3.6EC (Pet vuông)(nắp đỏ)(nước nâu đen) - 450ml - 40")</f>
        <v>NB - I - 967 - Pesticidex - Haihamec 3.6EC (Pet vuông)(nắp đỏ)(nước nâu đen) - 450ml - 40</v>
      </c>
    </row>
    <row r="1498">
      <c r="A1498" s="86">
        <f>IFERROR(__xludf.DUMMYFUNCTION("""COMPUTED_VALUE"""),1496.0)</f>
        <v>1496</v>
      </c>
      <c r="B1498" s="87" t="str">
        <f>IFERROR(__xludf.DUMMYFUNCTION("""COMPUTED_VALUE"""),"Nhãn thùng")</f>
        <v>Nhãn thùng</v>
      </c>
      <c r="C1498" s="87" t="str">
        <f>IFERROR(__xludf.DUMMYFUNCTION("""COMPUTED_VALUE"""),"NDT0967")</f>
        <v>NDT0967</v>
      </c>
      <c r="D1498" s="87" t="str">
        <f>IFERROR(__xludf.DUMMYFUNCTION("""COMPUTED_VALUE"""),"[Nhãn thùng] NB - I - 967 - Pesticidex - Haihamec 3.6EC (Pet vuông)(nắp đỏ)(nước nâu đen) - 450ml - 40")</f>
        <v>[Nhãn thùng] NB - I - 967 - Pesticidex - Haihamec 3.6EC (Pet vuông)(nắp đỏ)(nước nâu đen) - 450ml - 40</v>
      </c>
      <c r="E1498" s="87" t="str">
        <f>IFERROR(__xludf.DUMMYFUNCTION("""COMPUTED_VALUE"""),"HAIHAMEC 3.6EC")</f>
        <v>HAIHAMEC 3.6EC</v>
      </c>
      <c r="F1498" s="87" t="str">
        <f>IFERROR(__xludf.DUMMYFUNCTION("""COMPUTED_VALUE"""),"HH0967")</f>
        <v>HH0967</v>
      </c>
      <c r="G1498" s="87" t="str">
        <f>IFERROR(__xludf.DUMMYFUNCTION("""COMPUTED_VALUE"""),"NB - I - 967 - Pesticidex - Haihamec 3.6EC (Pet vuông)(nắp đỏ)(nước nâu đen) - 450ml - 40")</f>
        <v>NB - I - 967 - Pesticidex - Haihamec 3.6EC (Pet vuông)(nắp đỏ)(nước nâu đen) - 450ml - 40</v>
      </c>
    </row>
    <row r="1499">
      <c r="A1499" s="86">
        <f>IFERROR(__xludf.DUMMYFUNCTION("""COMPUTED_VALUE"""),1497.0)</f>
        <v>1497</v>
      </c>
      <c r="B1499" s="87" t="str">
        <f>IFERROR(__xludf.DUMMYFUNCTION("""COMPUTED_VALUE"""),"Nhãn")</f>
        <v>Nhãn</v>
      </c>
      <c r="C1499" s="87" t="str">
        <f>IFERROR(__xludf.DUMMYFUNCTION("""COMPUTED_VALUE"""),"NHG0968")</f>
        <v>NHG0968</v>
      </c>
      <c r="D1499" s="87" t="str">
        <f>IFERROR(__xludf.DUMMYFUNCTION("""COMPUTED_VALUE"""),"[Nhãn] GC - IV - 968 - Kim Ngọc - Kino Root (HD trắng)(nước nâu đen) - 500ml - 40")</f>
        <v>[Nhãn] GC - IV - 968 - Kim Ngọc - Kino Root (HD trắng)(nước nâu đen) - 500ml - 40</v>
      </c>
      <c r="E1499" s="87" t="str">
        <f>IFERROR(__xludf.DUMMYFUNCTION("""COMPUTED_VALUE"""),"Vi lượng Basel VA01")</f>
        <v>Vi lượng Basel VA01</v>
      </c>
      <c r="F1499" s="87" t="str">
        <f>IFERROR(__xludf.DUMMYFUNCTION("""COMPUTED_VALUE"""),"HH0968")</f>
        <v>HH0968</v>
      </c>
      <c r="G1499" s="87" t="str">
        <f>IFERROR(__xludf.DUMMYFUNCTION("""COMPUTED_VALUE"""),"GC - IV - 968 - Kim Ngọc - Kino Root (HD trắng)(nước nâu đen) - 500ml - 40")</f>
        <v>GC - IV - 968 - Kim Ngọc - Kino Root (HD trắng)(nước nâu đen) - 500ml - 40</v>
      </c>
    </row>
    <row r="1500">
      <c r="A1500" s="86">
        <f>IFERROR(__xludf.DUMMYFUNCTION("""COMPUTED_VALUE"""),1498.0)</f>
        <v>1498</v>
      </c>
      <c r="B1500" s="87" t="str">
        <f>IFERROR(__xludf.DUMMYFUNCTION("""COMPUTED_VALUE"""),"Nhãn")</f>
        <v>Nhãn</v>
      </c>
      <c r="C1500" s="87" t="str">
        <f>IFERROR(__xludf.DUMMYFUNCTION("""COMPUTED_VALUE"""),"NTN0969")</f>
        <v>NTN0969</v>
      </c>
      <c r="D1500" s="87" t="str">
        <f>IFERROR(__xludf.DUMMYFUNCTION("""COMPUTED_VALUE"""),"[Nhãn] GC - IV - 969 - Kim Ngọc - Imiprid 10WP (túi nhôm)(bột trắng) - 100gr - 100")</f>
        <v>[Nhãn] GC - IV - 969 - Kim Ngọc - Imiprid 10WP (túi nhôm)(bột trắng) - 100gr - 100</v>
      </c>
      <c r="E1500" s="87" t="str">
        <f>IFERROR(__xludf.DUMMYFUNCTION("""COMPUTED_VALUE"""),"IMIPRID 10WP")</f>
        <v>IMIPRID 10WP</v>
      </c>
      <c r="F1500" s="87" t="str">
        <f>IFERROR(__xludf.DUMMYFUNCTION("""COMPUTED_VALUE"""),"HH0969")</f>
        <v>HH0969</v>
      </c>
      <c r="G1500" s="87" t="str">
        <f>IFERROR(__xludf.DUMMYFUNCTION("""COMPUTED_VALUE"""),"GC - IV - 969 - Kim Ngọc - Imiprid 10WP (túi nhôm)(bột trắng) - 100gr - 100")</f>
        <v>GC - IV - 969 - Kim Ngọc - Imiprid 10WP (túi nhôm)(bột trắng) - 100gr - 100</v>
      </c>
    </row>
    <row r="1501">
      <c r="A1501" s="86">
        <f>IFERROR(__xludf.DUMMYFUNCTION("""COMPUTED_VALUE"""),1499.0)</f>
        <v>1499</v>
      </c>
      <c r="B1501" s="87" t="str">
        <f>IFERROR(__xludf.DUMMYFUNCTION("""COMPUTED_VALUE"""),"Nhãn thùng")</f>
        <v>Nhãn thùng</v>
      </c>
      <c r="C1501" s="87" t="str">
        <f>IFERROR(__xludf.DUMMYFUNCTION("""COMPUTED_VALUE"""),"NDT0969")</f>
        <v>NDT0969</v>
      </c>
      <c r="D1501" s="87" t="str">
        <f>IFERROR(__xludf.DUMMYFUNCTION("""COMPUTED_VALUE"""),"[Nhãn thùng] GC - IV - 969 - Kim Ngọc - Imiprid 10WP (túi nhôm)(bột trắng) - 100gr - 100")</f>
        <v>[Nhãn thùng] GC - IV - 969 - Kim Ngọc - Imiprid 10WP (túi nhôm)(bột trắng) - 100gr - 100</v>
      </c>
      <c r="E1501" s="87" t="str">
        <f>IFERROR(__xludf.DUMMYFUNCTION("""COMPUTED_VALUE"""),"IMIPRID 10WP")</f>
        <v>IMIPRID 10WP</v>
      </c>
      <c r="F1501" s="87" t="str">
        <f>IFERROR(__xludf.DUMMYFUNCTION("""COMPUTED_VALUE"""),"HH0969")</f>
        <v>HH0969</v>
      </c>
      <c r="G1501" s="87" t="str">
        <f>IFERROR(__xludf.DUMMYFUNCTION("""COMPUTED_VALUE"""),"GC - IV - 969 - Kim Ngọc - Imiprid 10WP (túi nhôm)(bột trắng) - 100gr - 100")</f>
        <v>GC - IV - 969 - Kim Ngọc - Imiprid 10WP (túi nhôm)(bột trắng) - 100gr - 100</v>
      </c>
    </row>
    <row r="1502">
      <c r="A1502" s="86">
        <f>IFERROR(__xludf.DUMMYFUNCTION("""COMPUTED_VALUE"""),1500.0)</f>
        <v>1500</v>
      </c>
      <c r="B1502" s="87" t="str">
        <f>IFERROR(__xludf.DUMMYFUNCTION("""COMPUTED_VALUE"""),"Nhãn")</f>
        <v>Nhãn</v>
      </c>
      <c r="C1502" s="87" t="str">
        <f>IFERROR(__xludf.DUMMYFUNCTION("""COMPUTED_VALUE"""),"NTN0970")</f>
        <v>NTN0970</v>
      </c>
      <c r="D1502" s="87" t="str">
        <f>IFERROR(__xludf.DUMMYFUNCTION("""COMPUTED_VALUE"""),"[Nhãn] GC - IV - 970 - Kim Ngọc - Mancozeb Xanh (túi nhôm)(bột xanh) - 1 Kg - 20")</f>
        <v>[Nhãn] GC - IV - 970 - Kim Ngọc - Mancozeb Xanh (túi nhôm)(bột xanh) - 1 Kg - 20</v>
      </c>
      <c r="E1502" s="87" t="str">
        <f>IFERROR(__xludf.DUMMYFUNCTION("""COMPUTED_VALUE"""),"BYPHAN 800WP")</f>
        <v>BYPHAN 800WP</v>
      </c>
      <c r="F1502" s="87" t="str">
        <f>IFERROR(__xludf.DUMMYFUNCTION("""COMPUTED_VALUE"""),"HH0970")</f>
        <v>HH0970</v>
      </c>
      <c r="G1502" s="87" t="str">
        <f>IFERROR(__xludf.DUMMYFUNCTION("""COMPUTED_VALUE"""),"GC - IV - 970 - Kim Ngọc - Mancozeb Xanh (túi nhôm)(bột xanh) - 1 Kg - 20")</f>
        <v>GC - IV - 970 - Kim Ngọc - Mancozeb Xanh (túi nhôm)(bột xanh) - 1 Kg - 20</v>
      </c>
    </row>
    <row r="1503">
      <c r="A1503" s="86">
        <f>IFERROR(__xludf.DUMMYFUNCTION("""COMPUTED_VALUE"""),1501.0)</f>
        <v>1501</v>
      </c>
      <c r="B1503" s="87" t="str">
        <f>IFERROR(__xludf.DUMMYFUNCTION("""COMPUTED_VALUE"""),"Nhãn")</f>
        <v>Nhãn</v>
      </c>
      <c r="C1503" s="87" t="str">
        <f>IFERROR(__xludf.DUMMYFUNCTION("""COMPUTED_VALUE"""),"NHD0971")</f>
        <v>NHD0971</v>
      </c>
      <c r="D1503" s="87" t="str">
        <f>IFERROR(__xludf.DUMMYFUNCTION("""COMPUTED_VALUE"""),"[Nhãn] GC - IV - Bảy Phận - 971 - Chuyên gia diệt muỗi siêu xông hơi (PET vuông)(nắp vàng)(nước đỏ) - 450ml - 40")</f>
        <v>[Nhãn] GC - IV - Bảy Phận - 971 - Chuyên gia diệt muỗi siêu xông hơi (PET vuông)(nắp vàng)(nước đỏ) - 450ml - 40</v>
      </c>
      <c r="E1503" s="87" t="str">
        <f>IFERROR(__xludf.DUMMYFUNCTION("""COMPUTED_VALUE"""),"PYXOATE 44EC")</f>
        <v>PYXOATE 44EC</v>
      </c>
      <c r="F1503" s="87" t="str">
        <f>IFERROR(__xludf.DUMMYFUNCTION("""COMPUTED_VALUE"""),"HH0971")</f>
        <v>HH0971</v>
      </c>
      <c r="G1503" s="87" t="str">
        <f>IFERROR(__xludf.DUMMYFUNCTION("""COMPUTED_VALUE"""),"GC - IV - Bảy Phận - 971 - Chuyên gia diệt muỗi siêu xông hơi (PET vuông)(nắp vàng)(nước đỏ) - 450ml - 40")</f>
        <v>GC - IV - Bảy Phận - 971 - Chuyên gia diệt muỗi siêu xông hơi (PET vuông)(nắp vàng)(nước đỏ) - 450ml - 40</v>
      </c>
    </row>
    <row r="1504">
      <c r="A1504" s="86">
        <f>IFERROR(__xludf.DUMMYFUNCTION("""COMPUTED_VALUE"""),1502.0)</f>
        <v>1502</v>
      </c>
      <c r="B1504" s="87" t="str">
        <f>IFERROR(__xludf.DUMMYFUNCTION("""COMPUTED_VALUE"""),"Nhãn")</f>
        <v>Nhãn</v>
      </c>
      <c r="C1504" s="87" t="str">
        <f>IFERROR(__xludf.DUMMYFUNCTION("""COMPUTED_VALUE"""),"NHD0972")</f>
        <v>NHD0972</v>
      </c>
      <c r="D1504" s="87" t="str">
        <f>IFERROR(__xludf.DUMMYFUNCTION("""COMPUTED_VALUE"""),"[Nhãn] NB - I - 972 - Pesticidex - Aichi Nhật Bản - Siêu Đổ Ốc (Pet vuông)(nắp đỏ)(nước nâu đen) - 450ml - 40")</f>
        <v>[Nhãn] NB - I - 972 - Pesticidex - Aichi Nhật Bản - Siêu Đổ Ốc (Pet vuông)(nắp đỏ)(nước nâu đen) - 450ml - 40</v>
      </c>
      <c r="E1504" s="87" t="str">
        <f>IFERROR(__xludf.DUMMYFUNCTION("""COMPUTED_VALUE"""),"HAIHAMEC 3.6EC")</f>
        <v>HAIHAMEC 3.6EC</v>
      </c>
      <c r="F1504" s="87" t="str">
        <f>IFERROR(__xludf.DUMMYFUNCTION("""COMPUTED_VALUE"""),"HH0972")</f>
        <v>HH0972</v>
      </c>
      <c r="G1504" s="87" t="str">
        <f>IFERROR(__xludf.DUMMYFUNCTION("""COMPUTED_VALUE"""),"NB - I - 972 - Pesticidex - Aichi Nhật Bản - Siêu Đổ Ốc (Pet vuông)(nắp đỏ)(nước nâu đen) - 450ml - 40")</f>
        <v>NB - I - 972 - Pesticidex - Aichi Nhật Bản - Siêu Đổ Ốc (Pet vuông)(nắp đỏ)(nước nâu đen) - 450ml - 40</v>
      </c>
    </row>
    <row r="1505">
      <c r="A1505" s="86">
        <f>IFERROR(__xludf.DUMMYFUNCTION("""COMPUTED_VALUE"""),1503.0)</f>
        <v>1503</v>
      </c>
      <c r="B1505" s="87" t="str">
        <f>IFERROR(__xludf.DUMMYFUNCTION("""COMPUTED_VALUE"""),"Nhãn")</f>
        <v>Nhãn</v>
      </c>
      <c r="C1505" s="87" t="str">
        <f>IFERROR(__xludf.DUMMYFUNCTION("""COMPUTED_VALUE"""),"NHD0973")</f>
        <v>NHD0973</v>
      </c>
      <c r="D1505" s="87" t="str">
        <f>IFERROR(__xludf.DUMMYFUNCTION("""COMPUTED_VALUE"""),"[Nhãn] NB - I - 973 - Pesticidex - Dupont USA - Haihamec 3.6EC (Pet vuông)(nắp vàng)(nước nâu đen) - 450ml - 40")</f>
        <v>[Nhãn] NB - I - 973 - Pesticidex - Dupont USA - Haihamec 3.6EC (Pet vuông)(nắp vàng)(nước nâu đen) - 450ml - 40</v>
      </c>
      <c r="E1505" s="87" t="str">
        <f>IFERROR(__xludf.DUMMYFUNCTION("""COMPUTED_VALUE"""),"HAIHAMEC 3.6EC")</f>
        <v>HAIHAMEC 3.6EC</v>
      </c>
      <c r="F1505" s="87" t="str">
        <f>IFERROR(__xludf.DUMMYFUNCTION("""COMPUTED_VALUE"""),"HH0973")</f>
        <v>HH0973</v>
      </c>
      <c r="G1505" s="87" t="str">
        <f>IFERROR(__xludf.DUMMYFUNCTION("""COMPUTED_VALUE"""),"NB - I - 973 - Pesticidex - Dupont USA - Haihamec 3.6EC (Pet vuông)(nắp vàng)(nước nâu đen) - 450ml - 40")</f>
        <v>NB - I - 973 - Pesticidex - Dupont USA - Haihamec 3.6EC (Pet vuông)(nắp vàng)(nước nâu đen) - 450ml - 40</v>
      </c>
    </row>
    <row r="1506">
      <c r="A1506" s="86">
        <f>IFERROR(__xludf.DUMMYFUNCTION("""COMPUTED_VALUE"""),1504.0)</f>
        <v>1504</v>
      </c>
      <c r="B1506" s="87" t="str">
        <f>IFERROR(__xludf.DUMMYFUNCTION("""COMPUTED_VALUE"""),"Nhãn")</f>
        <v>Nhãn</v>
      </c>
      <c r="C1506" s="87" t="str">
        <f>IFERROR(__xludf.DUMMYFUNCTION("""COMPUTED_VALUE"""),"NHD0974")</f>
        <v>NHD0974</v>
      </c>
      <c r="D1506" s="87" t="str">
        <f>IFERROR(__xludf.DUMMYFUNCTION("""COMPUTED_VALUE"""),"[Nhãn] GC - IV - Bảy Phận - 974 - Thương Hiệu Đuổi Chuột (PET vuông)(nắp trắng)(nước đỏ) - 450ml - 40")</f>
        <v>[Nhãn] GC - IV - Bảy Phận - 974 - Thương Hiệu Đuổi Chuột (PET vuông)(nắp trắng)(nước đỏ) - 450ml - 40</v>
      </c>
      <c r="E1506" s="87" t="str">
        <f>IFERROR(__xludf.DUMMYFUNCTION("""COMPUTED_VALUE"""),"PYXOATE 44EC")</f>
        <v>PYXOATE 44EC</v>
      </c>
      <c r="F1506" s="87" t="str">
        <f>IFERROR(__xludf.DUMMYFUNCTION("""COMPUTED_VALUE"""),"HH0974")</f>
        <v>HH0974</v>
      </c>
      <c r="G1506" s="87" t="str">
        <f>IFERROR(__xludf.DUMMYFUNCTION("""COMPUTED_VALUE"""),"GC - IV - Bảy Phận - 974 - Thương Hiệu Đuổi Chuột (PET vuông)(nắp trắng)(nước đỏ) - 450ml - 40")</f>
        <v>GC - IV - Bảy Phận - 974 - Thương Hiệu Đuổi Chuột (PET vuông)(nắp trắng)(nước đỏ) - 450ml - 40</v>
      </c>
    </row>
    <row r="1507">
      <c r="A1507" s="86">
        <f>IFERROR(__xludf.DUMMYFUNCTION("""COMPUTED_VALUE"""),1505.0)</f>
        <v>1505</v>
      </c>
      <c r="B1507" s="87" t="str">
        <f>IFERROR(__xludf.DUMMYFUNCTION("""COMPUTED_VALUE"""),"Nhãn thùng")</f>
        <v>Nhãn thùng</v>
      </c>
      <c r="C1507" s="87" t="str">
        <f>IFERROR(__xludf.DUMMYFUNCTION("""COMPUTED_VALUE"""),"NDT0974")</f>
        <v>NDT0974</v>
      </c>
      <c r="D1507" s="87" t="str">
        <f>IFERROR(__xludf.DUMMYFUNCTION("""COMPUTED_VALUE"""),"[Nhãn thùng] GC - IV - Bảy Phận - 974 - Thương Hiệu Đuổi Chuột (PET vuông)(nắp trắng)(nước đỏ) - 450ml - 40")</f>
        <v>[Nhãn thùng] GC - IV - Bảy Phận - 974 - Thương Hiệu Đuổi Chuột (PET vuông)(nắp trắng)(nước đỏ) - 450ml - 40</v>
      </c>
      <c r="E1507" s="87" t="str">
        <f>IFERROR(__xludf.DUMMYFUNCTION("""COMPUTED_VALUE"""),"PYXOATE 44EC")</f>
        <v>PYXOATE 44EC</v>
      </c>
      <c r="F1507" s="87" t="str">
        <f>IFERROR(__xludf.DUMMYFUNCTION("""COMPUTED_VALUE"""),"HH0974")</f>
        <v>HH0974</v>
      </c>
      <c r="G1507" s="87" t="str">
        <f>IFERROR(__xludf.DUMMYFUNCTION("""COMPUTED_VALUE"""),"GC - IV - Bảy Phận - 974 - Thương Hiệu Đuổi Chuột (PET vuông)(nắp trắng)(nước đỏ) - 450ml - 40")</f>
        <v>GC - IV - Bảy Phận - 974 - Thương Hiệu Đuổi Chuột (PET vuông)(nắp trắng)(nước đỏ) - 450ml - 40</v>
      </c>
    </row>
    <row r="1508">
      <c r="A1508" s="86">
        <f>IFERROR(__xludf.DUMMYFUNCTION("""COMPUTED_VALUE"""),1506.0)</f>
        <v>1506</v>
      </c>
      <c r="B1508" s="87" t="str">
        <f>IFERROR(__xludf.DUMMYFUNCTION("""COMPUTED_VALUE"""),"Nhãn")</f>
        <v>Nhãn</v>
      </c>
      <c r="C1508" s="87" t="str">
        <f>IFERROR(__xludf.DUMMYFUNCTION("""COMPUTED_VALUE"""),"NTN0975")</f>
        <v>NTN0975</v>
      </c>
      <c r="D1508" s="87" t="str">
        <f>IFERROR(__xludf.DUMMYFUNCTION("""COMPUTED_VALUE"""),"[Nhãn] LOT IDA Global - I - 975 - Mancozeb xanh (túi nhôm)(bột xanh) - 1 kg - 20")</f>
        <v>[Nhãn] LOT IDA Global - I - 975 - Mancozeb xanh (túi nhôm)(bột xanh) - 1 kg - 20</v>
      </c>
      <c r="E1508" s="87" t="str">
        <f>IFERROR(__xludf.DUMMYFUNCTION("""COMPUTED_VALUE"""),"BYPHAN 800WP")</f>
        <v>BYPHAN 800WP</v>
      </c>
      <c r="F1508" s="87" t="str">
        <f>IFERROR(__xludf.DUMMYFUNCTION("""COMPUTED_VALUE"""),"HH0975")</f>
        <v>HH0975</v>
      </c>
      <c r="G1508" s="87" t="str">
        <f>IFERROR(__xludf.DUMMYFUNCTION("""COMPUTED_VALUE"""),"LOT IDA Global - I - 975 - Mancozeb xanh (túi nhôm)(bột xanh) - 1 kg - 20")</f>
        <v>LOT IDA Global - I - 975 - Mancozeb xanh (túi nhôm)(bột xanh) - 1 kg - 20</v>
      </c>
    </row>
    <row r="1509">
      <c r="A1509" s="86">
        <f>IFERROR(__xludf.DUMMYFUNCTION("""COMPUTED_VALUE"""),1507.0)</f>
        <v>1507</v>
      </c>
      <c r="B1509" s="87" t="str">
        <f>IFERROR(__xludf.DUMMYFUNCTION("""COMPUTED_VALUE"""),"Nhãn thùng")</f>
        <v>Nhãn thùng</v>
      </c>
      <c r="C1509" s="87" t="str">
        <f>IFERROR(__xludf.DUMMYFUNCTION("""COMPUTED_VALUE"""),"NDT0975")</f>
        <v>NDT0975</v>
      </c>
      <c r="D1509" s="87" t="str">
        <f>IFERROR(__xludf.DUMMYFUNCTION("""COMPUTED_VALUE"""),"[Nhãn thùng] LOT IDA Global - I - 975 - Mancozeb xanh (túi nhôm)(bột xanh) - 1 kg - 20")</f>
        <v>[Nhãn thùng] LOT IDA Global - I - 975 - Mancozeb xanh (túi nhôm)(bột xanh) - 1 kg - 20</v>
      </c>
      <c r="E1509" s="87" t="str">
        <f>IFERROR(__xludf.DUMMYFUNCTION("""COMPUTED_VALUE"""),"BYPHAN 800WP")</f>
        <v>BYPHAN 800WP</v>
      </c>
      <c r="F1509" s="87" t="str">
        <f>IFERROR(__xludf.DUMMYFUNCTION("""COMPUTED_VALUE"""),"HH0975")</f>
        <v>HH0975</v>
      </c>
      <c r="G1509" s="87" t="str">
        <f>IFERROR(__xludf.DUMMYFUNCTION("""COMPUTED_VALUE"""),"LOT IDA Global - I - 975 - Mancozeb xanh (túi nhôm)(bột xanh) - 1 kg - 20")</f>
        <v>LOT IDA Global - I - 975 - Mancozeb xanh (túi nhôm)(bột xanh) - 1 kg - 20</v>
      </c>
    </row>
    <row r="1510">
      <c r="A1510" s="86">
        <f>IFERROR(__xludf.DUMMYFUNCTION("""COMPUTED_VALUE"""),1508.0)</f>
        <v>1508</v>
      </c>
      <c r="B1510" s="87" t="str">
        <f>IFERROR(__xludf.DUMMYFUNCTION("""COMPUTED_VALUE"""),"Nhãn")</f>
        <v>Nhãn</v>
      </c>
      <c r="C1510" s="87" t="str">
        <f>IFERROR(__xludf.DUMMYFUNCTION("""COMPUTED_VALUE"""),"NTN0976")</f>
        <v>NTN0976</v>
      </c>
      <c r="D1510" s="87" t="str">
        <f>IFERROR(__xludf.DUMMYFUNCTION("""COMPUTED_VALUE"""),"[Nhãn] GC - IV - 976 - AU - Sherdoba 55WG (túi nhôm)(cốm trắng) - 20gr -200")</f>
        <v>[Nhãn] GC - IV - 976 - AU - Sherdoba 55WG (túi nhôm)(cốm trắng) - 20gr -200</v>
      </c>
      <c r="E1510" s="87" t="str">
        <f>IFERROR(__xludf.DUMMYFUNCTION("""COMPUTED_VALUE"""),"Sherdoba 55WG")</f>
        <v>Sherdoba 55WG</v>
      </c>
      <c r="F1510" s="87" t="str">
        <f>IFERROR(__xludf.DUMMYFUNCTION("""COMPUTED_VALUE"""),"HH0976")</f>
        <v>HH0976</v>
      </c>
      <c r="G1510" s="87" t="str">
        <f>IFERROR(__xludf.DUMMYFUNCTION("""COMPUTED_VALUE"""),"GC - IV - 976 - AU - Sherdoba 55WG (túi nhôm)(cốm trắng) - 20gr -200")</f>
        <v>GC - IV - 976 - AU - Sherdoba 55WG (túi nhôm)(cốm trắng) - 20gr -200</v>
      </c>
    </row>
    <row r="1511">
      <c r="A1511" s="86">
        <f>IFERROR(__xludf.DUMMYFUNCTION("""COMPUTED_VALUE"""),1509.0)</f>
        <v>1509</v>
      </c>
      <c r="B1511" s="87" t="str">
        <f>IFERROR(__xludf.DUMMYFUNCTION("""COMPUTED_VALUE"""),"Nhãn")</f>
        <v>Nhãn</v>
      </c>
      <c r="C1511" s="87" t="str">
        <f>IFERROR(__xludf.DUMMYFUNCTION("""COMPUTED_VALUE"""),"NHG0977")</f>
        <v>NHG0977</v>
      </c>
      <c r="D1511" s="87" t="str">
        <f>IFERROR(__xludf.DUMMYFUNCTION("""COMPUTED_VALUE"""),"[Nhãn] GC - IV - 977 - Agriplant - Diệt nhện-Bọ Trĩ (Pet tròn)(nắp trắng)(nước trong) - 450ml - 40")</f>
        <v>[Nhãn] GC - IV - 977 - Agriplant - Diệt nhện-Bọ Trĩ (Pet tròn)(nắp trắng)(nước trong) - 450ml - 40</v>
      </c>
      <c r="E1511" s="87" t="str">
        <f>IFERROR(__xludf.DUMMYFUNCTION("""COMPUTED_VALUE"""),"HAIHAMEC 3.6EC")</f>
        <v>HAIHAMEC 3.6EC</v>
      </c>
      <c r="F1511" s="87" t="str">
        <f>IFERROR(__xludf.DUMMYFUNCTION("""COMPUTED_VALUE"""),"HH0977")</f>
        <v>HH0977</v>
      </c>
      <c r="G1511" s="87" t="str">
        <f>IFERROR(__xludf.DUMMYFUNCTION("""COMPUTED_VALUE"""),"GC - IV - 977 - Agriplant - Diệt nhện-Bọ Trĩ (Pet tròn)(nắp trắng)(nước trong) - 450ml - 40")</f>
        <v>GC - IV - 977 - Agriplant - Diệt nhện-Bọ Trĩ (Pet tròn)(nắp trắng)(nước trong) - 450ml - 40</v>
      </c>
    </row>
    <row r="1512">
      <c r="A1512" s="86">
        <f>IFERROR(__xludf.DUMMYFUNCTION("""COMPUTED_VALUE"""),1510.0)</f>
        <v>1510</v>
      </c>
      <c r="B1512" s="87" t="str">
        <f>IFERROR(__xludf.DUMMYFUNCTION("""COMPUTED_VALUE"""),"Nhãn thùng")</f>
        <v>Nhãn thùng</v>
      </c>
      <c r="C1512" s="87" t="str">
        <f>IFERROR(__xludf.DUMMYFUNCTION("""COMPUTED_VALUE"""),"NDT0977")</f>
        <v>NDT0977</v>
      </c>
      <c r="D1512" s="87" t="str">
        <f>IFERROR(__xludf.DUMMYFUNCTION("""COMPUTED_VALUE"""),"[Nhãn thùng] GC - IV - 977 - Agriplant - Diệt nhện-Bọ Trĩ (Pet tròn)(nắp trắng)(nước trong) - 450ml - 40")</f>
        <v>[Nhãn thùng] GC - IV - 977 - Agriplant - Diệt nhện-Bọ Trĩ (Pet tròn)(nắp trắng)(nước trong) - 450ml - 40</v>
      </c>
      <c r="E1512" s="87" t="str">
        <f>IFERROR(__xludf.DUMMYFUNCTION("""COMPUTED_VALUE"""),"HAIHAMEC 3.6EC")</f>
        <v>HAIHAMEC 3.6EC</v>
      </c>
      <c r="F1512" s="87" t="str">
        <f>IFERROR(__xludf.DUMMYFUNCTION("""COMPUTED_VALUE"""),"HH0977")</f>
        <v>HH0977</v>
      </c>
      <c r="G1512" s="87" t="str">
        <f>IFERROR(__xludf.DUMMYFUNCTION("""COMPUTED_VALUE"""),"GC - IV - 977 - Agriplant - Diệt nhện-Bọ Trĩ (Pet tròn)(nắp trắng)(nước trong) - 450ml - 40")</f>
        <v>GC - IV - 977 - Agriplant - Diệt nhện-Bọ Trĩ (Pet tròn)(nắp trắng)(nước trong) - 450ml - 40</v>
      </c>
    </row>
    <row r="1513">
      <c r="A1513" s="86">
        <f>IFERROR(__xludf.DUMMYFUNCTION("""COMPUTED_VALUE"""),1511.0)</f>
        <v>1511</v>
      </c>
      <c r="B1513" s="87" t="str">
        <f>IFERROR(__xludf.DUMMYFUNCTION("""COMPUTED_VALUE"""),"Nhãn")</f>
        <v>Nhãn</v>
      </c>
      <c r="C1513" s="87" t="str">
        <f>IFERROR(__xludf.DUMMYFUNCTION("""COMPUTED_VALUE"""),"NHG0978")</f>
        <v>NHG0978</v>
      </c>
      <c r="D1513" s="87" t="str">
        <f>IFERROR(__xludf.DUMMYFUNCTION("""COMPUTED_VALUE"""),"[Nhãn] GC - IV - 978- VTNN Bảy Phận - Phanvil (HD xám)(nắp đen)(nước trắng)- 1L - 20")</f>
        <v>[Nhãn] GC - IV - 978- VTNN Bảy Phận - Phanvil (HD xám)(nắp đen)(nước trắng)- 1L - 20</v>
      </c>
      <c r="E1513" s="87" t="str">
        <f>IFERROR(__xludf.DUMMYFUNCTION("""COMPUTED_VALUE"""),"Mekongvil 5SC")</f>
        <v>Mekongvil 5SC</v>
      </c>
      <c r="F1513" s="87" t="str">
        <f>IFERROR(__xludf.DUMMYFUNCTION("""COMPUTED_VALUE"""),"HH0978")</f>
        <v>HH0978</v>
      </c>
      <c r="G1513" s="87" t="str">
        <f>IFERROR(__xludf.DUMMYFUNCTION("""COMPUTED_VALUE"""),"GC - IV - 978- VTNN Bảy Phận - Phanvil (HD xám)(nắp đen)(nước trắng)- 1L - 20")</f>
        <v>GC - IV - 978- VTNN Bảy Phận - Phanvil (HD xám)(nắp đen)(nước trắng)- 1L - 20</v>
      </c>
    </row>
    <row r="1514">
      <c r="A1514" s="86">
        <f>IFERROR(__xludf.DUMMYFUNCTION("""COMPUTED_VALUE"""),1512.0)</f>
        <v>1512</v>
      </c>
      <c r="B1514" s="87" t="str">
        <f>IFERROR(__xludf.DUMMYFUNCTION("""COMPUTED_VALUE"""),"Nhãn")</f>
        <v>Nhãn</v>
      </c>
      <c r="C1514" s="87" t="str">
        <f>IFERROR(__xludf.DUMMYFUNCTION("""COMPUTED_VALUE"""),"NTN0980")</f>
        <v>NTN0980</v>
      </c>
      <c r="D1514" s="87" t="str">
        <f>IFERROR(__xludf.DUMMYFUNCTION("""COMPUTED_VALUE"""),"[Nhãn] GC - IV - 980 - Thiên Di - Panadan Nhật 95SP (túi nhôm)(bột trắng)- 100gr - 100")</f>
        <v>[Nhãn] GC - IV - 980 - Thiên Di - Panadan Nhật 95SP (túi nhôm)(bột trắng)- 100gr - 100</v>
      </c>
      <c r="E1514" s="87" t="str">
        <f>IFERROR(__xludf.DUMMYFUNCTION("""COMPUTED_VALUE"""),"SHA CHONG JING 95WP")</f>
        <v>SHA CHONG JING 95WP</v>
      </c>
      <c r="F1514" s="87" t="str">
        <f>IFERROR(__xludf.DUMMYFUNCTION("""COMPUTED_VALUE"""),"HH0980")</f>
        <v>HH0980</v>
      </c>
      <c r="G1514" s="87" t="str">
        <f>IFERROR(__xludf.DUMMYFUNCTION("""COMPUTED_VALUE"""),"GC - IV - 980 - Thiên Di - Panadan Nhật 95SP (túi nhôm)(bột trắng)- 100gr - 100")</f>
        <v>GC - IV - 980 - Thiên Di - Panadan Nhật 95SP (túi nhôm)(bột trắng)- 100gr - 100</v>
      </c>
    </row>
    <row r="1515">
      <c r="A1515" s="86">
        <f>IFERROR(__xludf.DUMMYFUNCTION("""COMPUTED_VALUE"""),1513.0)</f>
        <v>1513</v>
      </c>
      <c r="B1515" s="87" t="str">
        <f>IFERROR(__xludf.DUMMYFUNCTION("""COMPUTED_VALUE"""),"Nhãn")</f>
        <v>Nhãn</v>
      </c>
      <c r="C1515" s="87" t="str">
        <f>IFERROR(__xludf.DUMMYFUNCTION("""COMPUTED_VALUE"""),"NTN0983")</f>
        <v>NTN0983</v>
      </c>
      <c r="D1515" s="87" t="str">
        <f>IFERROR(__xludf.DUMMYFUNCTION("""COMPUTED_VALUE"""),"[Nhãn] GC - IV - 983 - Agriplant - Mancozeb Xanh (túi nhôm)(bột xanh) - 1 kg - 20")</f>
        <v>[Nhãn] GC - IV - 983 - Agriplant - Mancozeb Xanh (túi nhôm)(bột xanh) - 1 kg - 20</v>
      </c>
      <c r="E1515" s="87" t="str">
        <f>IFERROR(__xludf.DUMMYFUNCTION("""COMPUTED_VALUE"""),"TVZEB 800WP")</f>
        <v>TVZEB 800WP</v>
      </c>
      <c r="F1515" s="87" t="str">
        <f>IFERROR(__xludf.DUMMYFUNCTION("""COMPUTED_VALUE"""),"HH0983")</f>
        <v>HH0983</v>
      </c>
      <c r="G1515" s="87" t="str">
        <f>IFERROR(__xludf.DUMMYFUNCTION("""COMPUTED_VALUE"""),"GC - IV - 983 - Agriplant - Mancozeb Xanh (túi nhôm)(bột xanh) - 1 kg - 20")</f>
        <v>GC - IV - 983 - Agriplant - Mancozeb Xanh (túi nhôm)(bột xanh) - 1 kg - 20</v>
      </c>
    </row>
    <row r="1516">
      <c r="A1516" s="86">
        <f>IFERROR(__xludf.DUMMYFUNCTION("""COMPUTED_VALUE"""),1514.0)</f>
        <v>1514</v>
      </c>
      <c r="B1516" s="87" t="str">
        <f>IFERROR(__xludf.DUMMYFUNCTION("""COMPUTED_VALUE"""),"Nhãn")</f>
        <v>Nhãn</v>
      </c>
      <c r="C1516" s="87" t="str">
        <f>IFERROR(__xludf.DUMMYFUNCTION("""COMPUTED_VALUE"""),"NTN0984")</f>
        <v>NTN0984</v>
      </c>
      <c r="D1516" s="87" t="str">
        <f>IFERROR(__xludf.DUMMYFUNCTION("""COMPUTED_VALUE"""),"[Nhãn] GC - IV - 984 - Thiên Di - Mancozeb Xanh (túi nhôm)(bột xanh) - 1 kg - 20")</f>
        <v>[Nhãn] GC - IV - 984 - Thiên Di - Mancozeb Xanh (túi nhôm)(bột xanh) - 1 kg - 20</v>
      </c>
      <c r="E1516" s="87" t="str">
        <f>IFERROR(__xludf.DUMMYFUNCTION("""COMPUTED_VALUE"""),"TVZEB 800WP")</f>
        <v>TVZEB 800WP</v>
      </c>
      <c r="F1516" s="87" t="str">
        <f>IFERROR(__xludf.DUMMYFUNCTION("""COMPUTED_VALUE"""),"HH0984")</f>
        <v>HH0984</v>
      </c>
      <c r="G1516" s="87" t="str">
        <f>IFERROR(__xludf.DUMMYFUNCTION("""COMPUTED_VALUE"""),"GC - IV - 984 - Thiên Di - Mancozeb Xanh (túi nhôm)(bột xanh) - 1 kg - 20")</f>
        <v>GC - IV - 984 - Thiên Di - Mancozeb Xanh (túi nhôm)(bột xanh) - 1 kg - 20</v>
      </c>
    </row>
    <row r="1517">
      <c r="A1517" s="86">
        <f>IFERROR(__xludf.DUMMYFUNCTION("""COMPUTED_VALUE"""),1515.0)</f>
        <v>1515</v>
      </c>
      <c r="B1517" s="87" t="str">
        <f>IFERROR(__xludf.DUMMYFUNCTION("""COMPUTED_VALUE"""),"Nhãn")</f>
        <v>Nhãn</v>
      </c>
      <c r="C1517" s="87" t="str">
        <f>IFERROR(__xludf.DUMMYFUNCTION("""COMPUTED_VALUE"""),"NHG0985")</f>
        <v>NHG0985</v>
      </c>
      <c r="D1517" s="87" t="str">
        <f>IFERROR(__xludf.DUMMYFUNCTION("""COMPUTED_VALUE"""),"[Nhãn] NB - I - 985 - Pesticidex - Ánh Dương - Haihamec 3.6EC (Pet tròn)(nắp đỏ)(nước nâu đen) - 450ml - 40")</f>
        <v>[Nhãn] NB - I - 985 - Pesticidex - Ánh Dương - Haihamec 3.6EC (Pet tròn)(nắp đỏ)(nước nâu đen) - 450ml - 40</v>
      </c>
      <c r="E1517" s="87" t="str">
        <f>IFERROR(__xludf.DUMMYFUNCTION("""COMPUTED_VALUE"""),"HAIHAMEC 3.6EC")</f>
        <v>HAIHAMEC 3.6EC</v>
      </c>
      <c r="F1517" s="87" t="str">
        <f>IFERROR(__xludf.DUMMYFUNCTION("""COMPUTED_VALUE"""),"HH0985")</f>
        <v>HH0985</v>
      </c>
      <c r="G1517" s="87" t="str">
        <f>IFERROR(__xludf.DUMMYFUNCTION("""COMPUTED_VALUE"""),"NB - I - 985 - Pesticidex - Ánh Dương - Haihamec 3.6EC (Pet tròn)(nắp đỏ)(nước nâu đen) - 450ml - 40")</f>
        <v>NB - I - 985 - Pesticidex - Ánh Dương - Haihamec 3.6EC (Pet tròn)(nắp đỏ)(nước nâu đen) - 450ml - 40</v>
      </c>
    </row>
    <row r="1518">
      <c r="A1518" s="86">
        <f>IFERROR(__xludf.DUMMYFUNCTION("""COMPUTED_VALUE"""),1516.0)</f>
        <v>1516</v>
      </c>
      <c r="B1518" s="87" t="str">
        <f>IFERROR(__xludf.DUMMYFUNCTION("""COMPUTED_VALUE"""),"Nhãn")</f>
        <v>Nhãn</v>
      </c>
      <c r="C1518" s="87" t="str">
        <f>IFERROR(__xludf.DUMMYFUNCTION("""COMPUTED_VALUE"""),"NHG0986")</f>
        <v>NHG0986</v>
      </c>
      <c r="D1518" s="87" t="str">
        <f>IFERROR(__xludf.DUMMYFUNCTION("""COMPUTED_VALUE"""),"[Nhãn] LOT IDA Global - I - 986 - ĐL Minh Nga - Abamectin 3.6 (nhãn xanh lá)(nước nâu đen) - 450ml - 40")</f>
        <v>[Nhãn] LOT IDA Global - I - 986 - ĐL Minh Nga - Abamectin 3.6 (nhãn xanh lá)(nước nâu đen) - 450ml - 40</v>
      </c>
      <c r="E1518" s="87" t="str">
        <f>IFERROR(__xludf.DUMMYFUNCTION("""COMPUTED_VALUE"""),"Chitin 3.6EC")</f>
        <v>Chitin 3.6EC</v>
      </c>
      <c r="F1518" s="87" t="str">
        <f>IFERROR(__xludf.DUMMYFUNCTION("""COMPUTED_VALUE"""),"HH0986")</f>
        <v>HH0986</v>
      </c>
      <c r="G1518" s="87" t="str">
        <f>IFERROR(__xludf.DUMMYFUNCTION("""COMPUTED_VALUE"""),"LOT IDA Global - I - 986 - ĐL Minh Nga - Abamectin 3.6 (nhãn xanh lá)(nước nâu đen) - 450ml - 40")</f>
        <v>LOT IDA Global - I - 986 - ĐL Minh Nga - Abamectin 3.6 (nhãn xanh lá)(nước nâu đen) - 450ml - 40</v>
      </c>
    </row>
    <row r="1519">
      <c r="A1519" s="86">
        <f>IFERROR(__xludf.DUMMYFUNCTION("""COMPUTED_VALUE"""),1517.0)</f>
        <v>1517</v>
      </c>
      <c r="B1519" s="87" t="str">
        <f>IFERROR(__xludf.DUMMYFUNCTION("""COMPUTED_VALUE"""),"Nhãn")</f>
        <v>Nhãn</v>
      </c>
      <c r="C1519" s="87" t="str">
        <f>IFERROR(__xludf.DUMMYFUNCTION("""COMPUTED_VALUE"""),"NHG0987")</f>
        <v>NHG0987</v>
      </c>
      <c r="D1519" s="87" t="str">
        <f>IFERROR(__xludf.DUMMYFUNCTION("""COMPUTED_VALUE"""),"[Nhãn] LOT IDA Global - I - 987 - ĐL Minh Nga - Abamectin 3.6 (Pet tròn)(nắp trắng)(nước nâu đen) - 450ml - 40")</f>
        <v>[Nhãn] LOT IDA Global - I - 987 - ĐL Minh Nga - Abamectin 3.6 (Pet tròn)(nắp trắng)(nước nâu đen) - 450ml - 40</v>
      </c>
      <c r="E1519" s="87" t="str">
        <f>IFERROR(__xludf.DUMMYFUNCTION("""COMPUTED_VALUE"""),"Chitin 3.6EC")</f>
        <v>Chitin 3.6EC</v>
      </c>
      <c r="F1519" s="87" t="str">
        <f>IFERROR(__xludf.DUMMYFUNCTION("""COMPUTED_VALUE"""),"HH0987")</f>
        <v>HH0987</v>
      </c>
      <c r="G1519" s="87" t="str">
        <f>IFERROR(__xludf.DUMMYFUNCTION("""COMPUTED_VALUE"""),"LOT IDA Global - I - 987 - ĐL Minh Nga - Abamectin 3.6 (Pet tròn)(nắp trắng)(nước nâu đen) - 450ml - 40")</f>
        <v>LOT IDA Global - I - 987 - ĐL Minh Nga - Abamectin 3.6 (Pet tròn)(nắp trắng)(nước nâu đen) - 450ml - 40</v>
      </c>
    </row>
    <row r="1520">
      <c r="A1520" s="86">
        <f>IFERROR(__xludf.DUMMYFUNCTION("""COMPUTED_VALUE"""),1518.0)</f>
        <v>1518</v>
      </c>
      <c r="B1520" s="87" t="str">
        <f>IFERROR(__xludf.DUMMYFUNCTION("""COMPUTED_VALUE"""),"Nhãn")</f>
        <v>Nhãn</v>
      </c>
      <c r="C1520" s="87" t="str">
        <f>IFERROR(__xludf.DUMMYFUNCTION("""COMPUTED_VALUE"""),"NHG0988")</f>
        <v>NHG0988</v>
      </c>
      <c r="D1520" s="87" t="str">
        <f>IFERROR(__xludf.DUMMYFUNCTION("""COMPUTED_VALUE"""),"[Nhãn] GC - IV - 988 - AU - Hexa 50 (HD xám)(nắp xanh)(nước trắng)- 1L - 20")</f>
        <v>[Nhãn] GC - IV - 988 - AU - Hexa 50 (HD xám)(nắp xanh)(nước trắng)- 1L - 20</v>
      </c>
      <c r="E1520" s="87" t="str">
        <f>IFERROR(__xludf.DUMMYFUNCTION("""COMPUTED_VALUE"""),"Mekongvil 5SC")</f>
        <v>Mekongvil 5SC</v>
      </c>
      <c r="F1520" s="87" t="str">
        <f>IFERROR(__xludf.DUMMYFUNCTION("""COMPUTED_VALUE"""),"HH0988")</f>
        <v>HH0988</v>
      </c>
      <c r="G1520" s="87" t="str">
        <f>IFERROR(__xludf.DUMMYFUNCTION("""COMPUTED_VALUE"""),"GC - IV - 988 - AU - Hexa 50 (HD xám)(nắp xanh)(nước trắng)- 1L - 20")</f>
        <v>GC - IV - 988 - AU - Hexa 50 (HD xám)(nắp xanh)(nước trắng)- 1L - 20</v>
      </c>
    </row>
    <row r="1521">
      <c r="A1521" s="86">
        <f>IFERROR(__xludf.DUMMYFUNCTION("""COMPUTED_VALUE"""),1519.0)</f>
        <v>1519</v>
      </c>
      <c r="B1521" s="87" t="str">
        <f>IFERROR(__xludf.DUMMYFUNCTION("""COMPUTED_VALUE"""),"Nhãn")</f>
        <v>Nhãn</v>
      </c>
      <c r="C1521" s="87" t="str">
        <f>IFERROR(__xludf.DUMMYFUNCTION("""COMPUTED_VALUE"""),"NHG0989")</f>
        <v>NHG0989</v>
      </c>
      <c r="D1521" s="87" t="str">
        <f>IFERROR(__xludf.DUMMYFUNCTION("""COMPUTED_VALUE"""),"[Nhãn] LOT IDA Global - I - 989 - Lê bảo Tại - Mekongvil 5SC (nước trắng) - 1 Lít - 20")</f>
        <v>[Nhãn] LOT IDA Global - I - 989 - Lê bảo Tại - Mekongvil 5SC (nước trắng) - 1 Lít - 20</v>
      </c>
      <c r="E1521" s="87" t="str">
        <f>IFERROR(__xludf.DUMMYFUNCTION("""COMPUTED_VALUE"""),"Mekongvil 5SC")</f>
        <v>Mekongvil 5SC</v>
      </c>
      <c r="F1521" s="87" t="str">
        <f>IFERROR(__xludf.DUMMYFUNCTION("""COMPUTED_VALUE"""),"HH0989")</f>
        <v>HH0989</v>
      </c>
      <c r="G1521" s="87" t="str">
        <f>IFERROR(__xludf.DUMMYFUNCTION("""COMPUTED_VALUE"""),"LOT IDA Global - I - 989 - Lê bảo Tại - Mekongvil 5SC (nước trắng) - 1 Lít - 20")</f>
        <v>LOT IDA Global - I - 989 - Lê bảo Tại - Mekongvil 5SC (nước trắng) - 1 Lít - 20</v>
      </c>
    </row>
    <row r="1522">
      <c r="A1522" s="86">
        <f>IFERROR(__xludf.DUMMYFUNCTION("""COMPUTED_VALUE"""),1520.0)</f>
        <v>1520</v>
      </c>
      <c r="B1522" s="87" t="str">
        <f>IFERROR(__xludf.DUMMYFUNCTION("""COMPUTED_VALUE"""),"Nhãn")</f>
        <v>Nhãn</v>
      </c>
      <c r="C1522" s="87" t="str">
        <f>IFERROR(__xludf.DUMMYFUNCTION("""COMPUTED_VALUE"""),"NHG0990")</f>
        <v>NHG0990</v>
      </c>
      <c r="D1522" s="87" t="str">
        <f>IFERROR(__xludf.DUMMYFUNCTION("""COMPUTED_VALUE"""),"[Nhãn] LOT IDA Global - I - 990 - Hồng Liệt - Creek 2.1EC Gold 9999 (Pet tròn)(nắp xanh)(nước đỏ)- 450ml - 40")</f>
        <v>[Nhãn] LOT IDA Global - I - 990 - Hồng Liệt - Creek 2.1EC Gold 9999 (Pet tròn)(nắp xanh)(nước đỏ)- 450ml - 40</v>
      </c>
      <c r="E1522" s="87" t="str">
        <f>IFERROR(__xludf.DUMMYFUNCTION("""COMPUTED_VALUE"""),"Creek 2.1EC")</f>
        <v>Creek 2.1EC</v>
      </c>
      <c r="F1522" s="87" t="str">
        <f>IFERROR(__xludf.DUMMYFUNCTION("""COMPUTED_VALUE"""),"HH0990")</f>
        <v>HH0990</v>
      </c>
      <c r="G1522" s="87" t="str">
        <f>IFERROR(__xludf.DUMMYFUNCTION("""COMPUTED_VALUE"""),"LOT IDA Global - I - 990 - Hồng Liệt - Creek 2.1EC Gold 9999 (Pet tròn)(nắp xanh)(nước đỏ)- 450ml - 40")</f>
        <v>LOT IDA Global - I - 990 - Hồng Liệt - Creek 2.1EC Gold 9999 (Pet tròn)(nắp xanh)(nước đỏ)- 450ml - 40</v>
      </c>
    </row>
    <row r="1523">
      <c r="A1523" s="86">
        <f>IFERROR(__xludf.DUMMYFUNCTION("""COMPUTED_VALUE"""),1521.0)</f>
        <v>1521</v>
      </c>
      <c r="B1523" s="87" t="str">
        <f>IFERROR(__xludf.DUMMYFUNCTION("""COMPUTED_VALUE"""),"Nhãn")</f>
        <v>Nhãn</v>
      </c>
      <c r="C1523" s="87" t="str">
        <f>IFERROR(__xludf.DUMMYFUNCTION("""COMPUTED_VALUE"""),"NTN0992")</f>
        <v>NTN0992</v>
      </c>
      <c r="D1523" s="87" t="str">
        <f>IFERROR(__xludf.DUMMYFUNCTION("""COMPUTED_VALUE"""),"[Nhãn] GC - IV - 992 - Thiên Di - Mancozeb Xanh - 100gr - 100")</f>
        <v>[Nhãn] GC - IV - 992 - Thiên Di - Mancozeb Xanh - 100gr - 100</v>
      </c>
      <c r="E1523" s="87" t="str">
        <f>IFERROR(__xludf.DUMMYFUNCTION("""COMPUTED_VALUE"""),"TVZEB 800WP")</f>
        <v>TVZEB 800WP</v>
      </c>
      <c r="F1523" s="87" t="str">
        <f>IFERROR(__xludf.DUMMYFUNCTION("""COMPUTED_VALUE"""),"HH0992")</f>
        <v>HH0992</v>
      </c>
      <c r="G1523" s="87" t="str">
        <f>IFERROR(__xludf.DUMMYFUNCTION("""COMPUTED_VALUE"""),"GC - IV - 992 - Thiên Di - Mancozeb Xanh - 100gr - 100")</f>
        <v>GC - IV - 992 - Thiên Di - Mancozeb Xanh - 100gr - 100</v>
      </c>
    </row>
    <row r="1524">
      <c r="A1524" s="86">
        <f>IFERROR(__xludf.DUMMYFUNCTION("""COMPUTED_VALUE"""),1522.0)</f>
        <v>1522</v>
      </c>
      <c r="B1524" s="87" t="str">
        <f>IFERROR(__xludf.DUMMYFUNCTION("""COMPUTED_VALUE"""),"Nhãn")</f>
        <v>Nhãn</v>
      </c>
      <c r="C1524" s="87" t="str">
        <f>IFERROR(__xludf.DUMMYFUNCTION("""COMPUTED_VALUE"""),"NHD0993")</f>
        <v>NHD0993</v>
      </c>
      <c r="D1524" s="87" t="str">
        <f>IFERROR(__xludf.DUMMYFUNCTION("""COMPUTED_VALUE"""),"[Nhãn] GC - IV - K - 993 - Huy Phú - Siêu cháy cỏ (Pet vuông)(nắp xanh)(nước tím) - 900ml - 20")</f>
        <v>[Nhãn] GC - IV - K - 993 - Huy Phú - Siêu cháy cỏ (Pet vuông)(nắp xanh)(nước tím) - 900ml - 20</v>
      </c>
      <c r="E1524" s="87" t="str">
        <f>IFERROR(__xludf.DUMMYFUNCTION("""COMPUTED_VALUE"""),"COCHAY 200SL")</f>
        <v>COCHAY 200SL</v>
      </c>
      <c r="F1524" s="87" t="str">
        <f>IFERROR(__xludf.DUMMYFUNCTION("""COMPUTED_VALUE"""),"HH0993")</f>
        <v>HH0993</v>
      </c>
      <c r="G1524" s="87" t="str">
        <f>IFERROR(__xludf.DUMMYFUNCTION("""COMPUTED_VALUE"""),"GC - IV - K - 993 - Huy Phú - Siêu cháy cỏ (Pet vuông)(nắp xanh)(nước tím) - 900ml - 20")</f>
        <v>GC - IV - K - 993 - Huy Phú - Siêu cháy cỏ (Pet vuông)(nắp xanh)(nước tím) - 900ml - 20</v>
      </c>
    </row>
    <row r="1525">
      <c r="A1525" s="86">
        <f>IFERROR(__xludf.DUMMYFUNCTION("""COMPUTED_VALUE"""),1523.0)</f>
        <v>1523</v>
      </c>
      <c r="B1525" s="87" t="str">
        <f>IFERROR(__xludf.DUMMYFUNCTION("""COMPUTED_VALUE"""),"Nhãn")</f>
        <v>Nhãn</v>
      </c>
      <c r="C1525" s="87" t="str">
        <f>IFERROR(__xludf.DUMMYFUNCTION("""COMPUTED_VALUE"""),"NTN0994")</f>
        <v>NTN0994</v>
      </c>
      <c r="D1525" s="87" t="str">
        <f>IFERROR(__xludf.DUMMYFUNCTION("""COMPUTED_VALUE"""),"[Nhãn] GC - II - 994 - AGC - Ra Hoa (RH03) - 600gr - 40")</f>
        <v>[Nhãn] GC - II - 994 - AGC - Ra Hoa (RH03) - 600gr - 40</v>
      </c>
      <c r="E1525" s="87" t="str">
        <f>IFERROR(__xludf.DUMMYFUNCTION("""COMPUTED_VALUE"""),"Vi lượng AV4-BO633")</f>
        <v>Vi lượng AV4-BO633</v>
      </c>
      <c r="F1525" s="87" t="str">
        <f>IFERROR(__xludf.DUMMYFUNCTION("""COMPUTED_VALUE"""),"HH0994")</f>
        <v>HH0994</v>
      </c>
      <c r="G1525" s="87" t="str">
        <f>IFERROR(__xludf.DUMMYFUNCTION("""COMPUTED_VALUE"""),"GC - II - 994 - AGC - Ra Hoa (RH03) - 600gr - 40")</f>
        <v>GC - II - 994 - AGC - Ra Hoa (RH03) - 600gr - 40</v>
      </c>
    </row>
    <row r="1526">
      <c r="A1526" s="86">
        <f>IFERROR(__xludf.DUMMYFUNCTION("""COMPUTED_VALUE"""),1524.0)</f>
        <v>1524</v>
      </c>
      <c r="B1526" s="87" t="str">
        <f>IFERROR(__xludf.DUMMYFUNCTION("""COMPUTED_VALUE"""),"Nhãn")</f>
        <v>Nhãn</v>
      </c>
      <c r="C1526" s="87" t="str">
        <f>IFERROR(__xludf.DUMMYFUNCTION("""COMPUTED_VALUE"""),"NTN0995")</f>
        <v>NTN0995</v>
      </c>
      <c r="D1526" s="87" t="str">
        <f>IFERROR(__xludf.DUMMYFUNCTION("""COMPUTED_VALUE"""),"[Nhãn] GC - II - 995 - An Khang - Thalonil 75WP (túi nhôm)(bột trắng)- 100gr -100")</f>
        <v>[Nhãn] GC - II - 995 - An Khang - Thalonil 75WP (túi nhôm)(bột trắng)- 100gr -100</v>
      </c>
      <c r="E1526" s="87" t="str">
        <f>IFERROR(__xludf.DUMMYFUNCTION("""COMPUTED_VALUE"""),"THALONIL 75WP")</f>
        <v>THALONIL 75WP</v>
      </c>
      <c r="F1526" s="87" t="str">
        <f>IFERROR(__xludf.DUMMYFUNCTION("""COMPUTED_VALUE"""),"HH0995")</f>
        <v>HH0995</v>
      </c>
      <c r="G1526" s="87" t="str">
        <f>IFERROR(__xludf.DUMMYFUNCTION("""COMPUTED_VALUE"""),"GC - II - 995 - An Khang - Thalonil 75WP (túi nhôm)(bột trắng)- 100gr -100")</f>
        <v>GC - II - 995 - An Khang - Thalonil 75WP (túi nhôm)(bột trắng)- 100gr -100</v>
      </c>
    </row>
    <row r="1527">
      <c r="A1527" s="86">
        <f>IFERROR(__xludf.DUMMYFUNCTION("""COMPUTED_VALUE"""),1525.0)</f>
        <v>1525</v>
      </c>
      <c r="B1527" s="87" t="str">
        <f>IFERROR(__xludf.DUMMYFUNCTION("""COMPUTED_VALUE"""),"Nhãn")</f>
        <v>Nhãn</v>
      </c>
      <c r="C1527" s="87" t="str">
        <f>IFERROR(__xludf.DUMMYFUNCTION("""COMPUTED_VALUE"""),"NHG0999")</f>
        <v>NHG0999</v>
      </c>
      <c r="D1527" s="87" t="str">
        <f>IFERROR(__xludf.DUMMYFUNCTION("""COMPUTED_VALUE"""),"[Nhãn]   IDA Global - I - 999 - IDA Vil (Vàng) (HD xám)(nắp vàng)(nước vàng) - 1 Lít - 20")</f>
        <v>[Nhãn]   IDA Global - I - 999 - IDA Vil (Vàng) (HD xám)(nắp vàng)(nước vàng) - 1 Lít - 20</v>
      </c>
      <c r="E1527" s="87" t="str">
        <f>IFERROR(__xludf.DUMMYFUNCTION("""COMPUTED_VALUE"""),"Mekongvil 5SC")</f>
        <v>Mekongvil 5SC</v>
      </c>
      <c r="F1527" s="87" t="str">
        <f>IFERROR(__xludf.DUMMYFUNCTION("""COMPUTED_VALUE"""),"HH0999")</f>
        <v>HH0999</v>
      </c>
      <c r="G1527" s="87" t="str">
        <f>IFERROR(__xludf.DUMMYFUNCTION("""COMPUTED_VALUE"""),"IDA Global - I - 999 - IDA Vil (Vàng) (HD xám)(nắp vàng)(nước vàng) - 1 Lít - 20")</f>
        <v>IDA Global - I - 999 - IDA Vil (Vàng) (HD xám)(nắp vàng)(nước vàng) - 1 Lít - 20</v>
      </c>
    </row>
    <row r="1528">
      <c r="A1528" s="86">
        <f>IFERROR(__xludf.DUMMYFUNCTION("""COMPUTED_VALUE"""),1526.0)</f>
        <v>1526</v>
      </c>
      <c r="B1528" s="87" t="str">
        <f>IFERROR(__xludf.DUMMYFUNCTION("""COMPUTED_VALUE"""),"Nhãn")</f>
        <v>Nhãn</v>
      </c>
      <c r="C1528" s="87" t="str">
        <f>IFERROR(__xludf.DUMMYFUNCTION("""COMPUTED_VALUE"""),"NHD1000")</f>
        <v>NHD1000</v>
      </c>
      <c r="D1528" s="87" t="str">
        <f>IFERROR(__xludf.DUMMYFUNCTION("""COMPUTED_VALUE"""),"[Nhãn] GC - II - 1000 - Nguyễn Huy Phú - Leo Mix (Nước nâu đen) - 25kg - 1")</f>
        <v>[Nhãn] GC - II - 1000 - Nguyễn Huy Phú - Leo Mix (Nước nâu đen) - 25kg - 1</v>
      </c>
      <c r="E1528" s="87" t="str">
        <f>IFERROR(__xludf.DUMMYFUNCTION("""COMPUTED_VALUE"""),"Vi lượng Quantity New")</f>
        <v>Vi lượng Quantity New</v>
      </c>
      <c r="F1528" s="87" t="str">
        <f>IFERROR(__xludf.DUMMYFUNCTION("""COMPUTED_VALUE"""),"HH1000")</f>
        <v>HH1000</v>
      </c>
      <c r="G1528" s="87" t="str">
        <f>IFERROR(__xludf.DUMMYFUNCTION("""COMPUTED_VALUE"""),"GC - II - 1000 - Nguyễn Huy Phú - Leo Mix (Nước nâu đen) - 25kg - 1")</f>
        <v>GC - II - 1000 - Nguyễn Huy Phú - Leo Mix (Nước nâu đen) - 25kg - 1</v>
      </c>
    </row>
    <row r="1529">
      <c r="A1529" s="86">
        <f>IFERROR(__xludf.DUMMYFUNCTION("""COMPUTED_VALUE"""),1527.0)</f>
        <v>1527</v>
      </c>
      <c r="B1529" s="87" t="str">
        <f>IFERROR(__xludf.DUMMYFUNCTION("""COMPUTED_VALUE"""),"Nhãn")</f>
        <v>Nhãn</v>
      </c>
      <c r="C1529" s="87" t="str">
        <f>IFERROR(__xludf.DUMMYFUNCTION("""COMPUTED_VALUE"""),"NHG1001")</f>
        <v>NHG1001</v>
      </c>
      <c r="D1529" s="87" t="str">
        <f>IFERROR(__xludf.DUMMYFUNCTION("""COMPUTED_VALUE"""),"[Nhãn] LOT IDA Global - K - 1001 - Akka 3.6EC (Pet tròn)(nắp đỏ)(nước nâu đen)- 450ml - 40")</f>
        <v>[Nhãn] LOT IDA Global - K - 1001 - Akka 3.6EC (Pet tròn)(nắp đỏ)(nước nâu đen)- 450ml - 40</v>
      </c>
      <c r="E1529" s="87" t="str">
        <f>IFERROR(__xludf.DUMMYFUNCTION("""COMPUTED_VALUE"""),"AKKA 3.6EC")</f>
        <v>AKKA 3.6EC</v>
      </c>
      <c r="F1529" s="87" t="str">
        <f>IFERROR(__xludf.DUMMYFUNCTION("""COMPUTED_VALUE"""),"HH1001")</f>
        <v>HH1001</v>
      </c>
      <c r="G1529" s="87" t="str">
        <f>IFERROR(__xludf.DUMMYFUNCTION("""COMPUTED_VALUE"""),"LOT IDA Global - K - 1001 - Akka 3.6EC (Pet tròn)(nắp đỏ)(nước nâu đen)- 450ml - 40")</f>
        <v>LOT IDA Global - K - 1001 - Akka 3.6EC (Pet tròn)(nắp đỏ)(nước nâu đen)- 450ml - 40</v>
      </c>
    </row>
    <row r="1530">
      <c r="A1530" s="86">
        <f>IFERROR(__xludf.DUMMYFUNCTION("""COMPUTED_VALUE"""),1528.0)</f>
        <v>1528</v>
      </c>
      <c r="B1530" s="87" t="str">
        <f>IFERROR(__xludf.DUMMYFUNCTION("""COMPUTED_VALUE"""),"Nhãn")</f>
        <v>Nhãn</v>
      </c>
      <c r="C1530" s="87" t="str">
        <f>IFERROR(__xludf.DUMMYFUNCTION("""COMPUTED_VALUE"""),"NHD1003")</f>
        <v>NHD1003</v>
      </c>
      <c r="D1530" s="87" t="str">
        <f>IFERROR(__xludf.DUMMYFUNCTION("""COMPUTED_VALUE"""),"[Nhãn] LOT IDA Global - K - 1003 - Ố-Ka (Pet vuông)(nước nâu đen)- 450ml - 40")</f>
        <v>[Nhãn] LOT IDA Global - K - 1003 - Ố-Ka (Pet vuông)(nước nâu đen)- 450ml - 40</v>
      </c>
      <c r="E1530" s="87" t="str">
        <f>IFERROR(__xludf.DUMMYFUNCTION("""COMPUTED_VALUE"""),"ANKAMEC 3.6EC")</f>
        <v>ANKAMEC 3.6EC</v>
      </c>
      <c r="F1530" s="87" t="str">
        <f>IFERROR(__xludf.DUMMYFUNCTION("""COMPUTED_VALUE"""),"HH1003")</f>
        <v>HH1003</v>
      </c>
      <c r="G1530" s="87" t="str">
        <f>IFERROR(__xludf.DUMMYFUNCTION("""COMPUTED_VALUE"""),"LOT IDA Global - K - 1003 - Ố-Ka (Pet vuông)(nước nâu đen)- 450ml - 40")</f>
        <v>LOT IDA Global - K - 1003 - Ố-Ka (Pet vuông)(nước nâu đen)- 450ml - 40</v>
      </c>
    </row>
    <row r="1531">
      <c r="A1531" s="86">
        <f>IFERROR(__xludf.DUMMYFUNCTION("""COMPUTED_VALUE"""),1529.0)</f>
        <v>1529</v>
      </c>
      <c r="B1531" s="87" t="str">
        <f>IFERROR(__xludf.DUMMYFUNCTION("""COMPUTED_VALUE"""),"Nhãn")</f>
        <v>Nhãn</v>
      </c>
      <c r="C1531" s="87" t="str">
        <f>IFERROR(__xludf.DUMMYFUNCTION("""COMPUTED_VALUE"""),"NHG1004")</f>
        <v>NHG1004</v>
      </c>
      <c r="D1531" s="87" t="str">
        <f>IFERROR(__xludf.DUMMYFUNCTION("""COMPUTED_VALUE"""),"[Nhãn] GC - II - 1004 - AGC NEW - Amec 3.6EC (Pet tròn)(nắp trắng)(nước trong) - 450ml - 40")</f>
        <v>[Nhãn] GC - II - 1004 - AGC NEW - Amec 3.6EC (Pet tròn)(nắp trắng)(nước trong) - 450ml - 40</v>
      </c>
      <c r="E1531" s="87" t="str">
        <f>IFERROR(__xludf.DUMMYFUNCTION("""COMPUTED_VALUE"""),"HAIHAMEC 3.6EC")</f>
        <v>HAIHAMEC 3.6EC</v>
      </c>
      <c r="F1531" s="87" t="str">
        <f>IFERROR(__xludf.DUMMYFUNCTION("""COMPUTED_VALUE"""),"HH1004")</f>
        <v>HH1004</v>
      </c>
      <c r="G1531" s="87" t="str">
        <f>IFERROR(__xludf.DUMMYFUNCTION("""COMPUTED_VALUE"""),"GC - II - 1004 - AGC NEW - Amec 3.6EC (Pet tròn)(nắp trắng)(nước trong) - 450ml - 40")</f>
        <v>GC - II - 1004 - AGC NEW - Amec 3.6EC (Pet tròn)(nắp trắng)(nước trong) - 450ml - 40</v>
      </c>
    </row>
    <row r="1532">
      <c r="A1532" s="86">
        <f>IFERROR(__xludf.DUMMYFUNCTION("""COMPUTED_VALUE"""),1530.0)</f>
        <v>1530</v>
      </c>
      <c r="B1532" s="87" t="str">
        <f>IFERROR(__xludf.DUMMYFUNCTION("""COMPUTED_VALUE"""),"Nhãn thùng")</f>
        <v>Nhãn thùng</v>
      </c>
      <c r="C1532" s="87" t="str">
        <f>IFERROR(__xludf.DUMMYFUNCTION("""COMPUTED_VALUE"""),"NDT1004")</f>
        <v>NDT1004</v>
      </c>
      <c r="D1532" s="87" t="str">
        <f>IFERROR(__xludf.DUMMYFUNCTION("""COMPUTED_VALUE"""),"[Nhãn thùng] GC - II - 1004 - AGC NEW - Amec 3.6EC (Pet tròn)(nắp trắng)(nước trong) - 450ml - 40")</f>
        <v>[Nhãn thùng] GC - II - 1004 - AGC NEW - Amec 3.6EC (Pet tròn)(nắp trắng)(nước trong) - 450ml - 40</v>
      </c>
      <c r="E1532" s="87" t="str">
        <f>IFERROR(__xludf.DUMMYFUNCTION("""COMPUTED_VALUE"""),"HAIHAMEC 3.6EC")</f>
        <v>HAIHAMEC 3.6EC</v>
      </c>
      <c r="F1532" s="87" t="str">
        <f>IFERROR(__xludf.DUMMYFUNCTION("""COMPUTED_VALUE"""),"HH1004")</f>
        <v>HH1004</v>
      </c>
      <c r="G1532" s="87" t="str">
        <f>IFERROR(__xludf.DUMMYFUNCTION("""COMPUTED_VALUE"""),"GC - II - 1004 - AGC NEW - Amec 3.6EC (Pet tròn)(nắp trắng)(nước trong) - 450ml - 40")</f>
        <v>GC - II - 1004 - AGC NEW - Amec 3.6EC (Pet tròn)(nắp trắng)(nước trong) - 450ml - 40</v>
      </c>
    </row>
    <row r="1533">
      <c r="A1533" s="86">
        <f>IFERROR(__xludf.DUMMYFUNCTION("""COMPUTED_VALUE"""),1531.0)</f>
        <v>1531</v>
      </c>
      <c r="B1533" s="87" t="str">
        <f>IFERROR(__xludf.DUMMYFUNCTION("""COMPUTED_VALUE"""),"Nhãn")</f>
        <v>Nhãn</v>
      </c>
      <c r="C1533" s="87" t="str">
        <f>IFERROR(__xludf.DUMMYFUNCTION("""COMPUTED_VALUE"""),"NTN1005")</f>
        <v>NTN1005</v>
      </c>
      <c r="D1533" s="87" t="str">
        <f>IFERROR(__xludf.DUMMYFUNCTION("""COMPUTED_VALUE"""),"[Nhãn] IDA Global - I - 1005 - Sạch đạo ôn (bột cam) - 100gr - 100")</f>
        <v>[Nhãn] IDA Global - I - 1005 - Sạch đạo ôn (bột cam) - 100gr - 100</v>
      </c>
      <c r="E1533" s="87" t="str">
        <f>IFERROR(__xludf.DUMMYFUNCTION("""COMPUTED_VALUE"""),"Pim.Pim 75WP")</f>
        <v>Pim.Pim 75WP</v>
      </c>
      <c r="F1533" s="87" t="str">
        <f>IFERROR(__xludf.DUMMYFUNCTION("""COMPUTED_VALUE"""),"HH1005")</f>
        <v>HH1005</v>
      </c>
      <c r="G1533" s="87" t="str">
        <f>IFERROR(__xludf.DUMMYFUNCTION("""COMPUTED_VALUE"""),"IDA Global - I - 1005 - Sạch đạo ôn (bột cam) - 100gr - 100")</f>
        <v>IDA Global - I - 1005 - Sạch đạo ôn (bột cam) - 100gr - 100</v>
      </c>
    </row>
    <row r="1534">
      <c r="A1534" s="86">
        <f>IFERROR(__xludf.DUMMYFUNCTION("""COMPUTED_VALUE"""),1532.0)</f>
        <v>1532</v>
      </c>
      <c r="B1534" s="87" t="str">
        <f>IFERROR(__xludf.DUMMYFUNCTION("""COMPUTED_VALUE"""),"Nhãn")</f>
        <v>Nhãn</v>
      </c>
      <c r="C1534" s="87" t="str">
        <f>IFERROR(__xludf.DUMMYFUNCTION("""COMPUTED_VALUE"""),"NHG1006")</f>
        <v>NHG1006</v>
      </c>
      <c r="D1534" s="87" t="str">
        <f>IFERROR(__xludf.DUMMYFUNCTION("""COMPUTED_VALUE"""),"[Nhãn] IDA GLOBAL - TIK WEP 247EC - SIÊU XÔNG HƠI - 250ml - 40")</f>
        <v>[Nhãn] IDA GLOBAL - TIK WEP 247EC - SIÊU XÔNG HƠI - 250ml - 40</v>
      </c>
      <c r="E1534" s="87" t="str">
        <f>IFERROR(__xludf.DUMMYFUNCTION("""COMPUTED_VALUE"""),"TIK WEP 247EC")</f>
        <v>TIK WEP 247EC</v>
      </c>
      <c r="F1534" s="87" t="str">
        <f>IFERROR(__xludf.DUMMYFUNCTION("""COMPUTED_VALUE"""),"HH1006")</f>
        <v>HH1006</v>
      </c>
      <c r="G1534" s="87" t="str">
        <f>IFERROR(__xludf.DUMMYFUNCTION("""COMPUTED_VALUE"""),"IDA GLOBAL - TIK WEP 247EC - SIÊU XÔNG HƠI - 250ml - 40")</f>
        <v>IDA GLOBAL - TIK WEP 247EC - SIÊU XÔNG HƠI - 250ml - 40</v>
      </c>
    </row>
    <row r="1535">
      <c r="A1535" s="86">
        <f>IFERROR(__xludf.DUMMYFUNCTION("""COMPUTED_VALUE"""),1533.0)</f>
        <v>1533</v>
      </c>
      <c r="B1535" s="87" t="str">
        <f>IFERROR(__xludf.DUMMYFUNCTION("""COMPUTED_VALUE"""),"Nhãn")</f>
        <v>Nhãn</v>
      </c>
      <c r="C1535" s="87" t="str">
        <f>IFERROR(__xludf.DUMMYFUNCTION("""COMPUTED_VALUE"""),"NHG1007")</f>
        <v>NHG1007</v>
      </c>
      <c r="D1535" s="87" t="str">
        <f>IFERROR(__xludf.DUMMYFUNCTION("""COMPUTED_VALUE"""),"[Nhãn] IDA Global - I - 1007 - Flower Top SC (Lúa &amp; Rau Màu) (nước trắng sữa) - 450ml - 40")</f>
        <v>[Nhãn] IDA Global - I - 1007 - Flower Top SC (Lúa &amp; Rau Màu) (nước trắng sữa) - 450ml - 40</v>
      </c>
      <c r="E1535" s="87" t="str">
        <f>IFERROR(__xludf.DUMMYFUNCTION("""COMPUTED_VALUE"""),"Vi lượng Basel IDA 47")</f>
        <v>Vi lượng Basel IDA 47</v>
      </c>
      <c r="F1535" s="87" t="str">
        <f>IFERROR(__xludf.DUMMYFUNCTION("""COMPUTED_VALUE"""),"HH1007")</f>
        <v>HH1007</v>
      </c>
      <c r="G1535" s="87" t="str">
        <f>IFERROR(__xludf.DUMMYFUNCTION("""COMPUTED_VALUE"""),"IDA Global - I - 1007 - Flower Top SC (Lúa &amp; Rau Màu) (nước trắng sữa) - 450ml - 40")</f>
        <v>IDA Global - I - 1007 - Flower Top SC (Lúa &amp; Rau Màu) (nước trắng sữa) - 450ml - 40</v>
      </c>
    </row>
    <row r="1536">
      <c r="A1536" s="86">
        <f>IFERROR(__xludf.DUMMYFUNCTION("""COMPUTED_VALUE"""),1534.0)</f>
        <v>1534</v>
      </c>
      <c r="B1536" s="87" t="str">
        <f>IFERROR(__xludf.DUMMYFUNCTION("""COMPUTED_VALUE"""),"Nhãn thùng")</f>
        <v>Nhãn thùng</v>
      </c>
      <c r="C1536" s="87" t="str">
        <f>IFERROR(__xludf.DUMMYFUNCTION("""COMPUTED_VALUE"""),"NDT1007")</f>
        <v>NDT1007</v>
      </c>
      <c r="D1536" s="87" t="str">
        <f>IFERROR(__xludf.DUMMYFUNCTION("""COMPUTED_VALUE"""),"[Nhãn thùng] IDA Global - I - 1007 - Flower Top SC (Lúa &amp; Rau Màu) (nước trắng sữa) - 450ml - 40")</f>
        <v>[Nhãn thùng] IDA Global - I - 1007 - Flower Top SC (Lúa &amp; Rau Màu) (nước trắng sữa) - 450ml - 40</v>
      </c>
      <c r="E1536" s="87" t="str">
        <f>IFERROR(__xludf.DUMMYFUNCTION("""COMPUTED_VALUE"""),"Vi lượng Basel IDA 47")</f>
        <v>Vi lượng Basel IDA 47</v>
      </c>
      <c r="F1536" s="87" t="str">
        <f>IFERROR(__xludf.DUMMYFUNCTION("""COMPUTED_VALUE"""),"HH1007")</f>
        <v>HH1007</v>
      </c>
      <c r="G1536" s="87" t="str">
        <f>IFERROR(__xludf.DUMMYFUNCTION("""COMPUTED_VALUE"""),"IDA Global - I - 1007 - Flower Top SC (Lúa &amp; Rau Màu) (nước trắng sữa) - 450ml - 40")</f>
        <v>IDA Global - I - 1007 - Flower Top SC (Lúa &amp; Rau Màu) (nước trắng sữa) - 450ml - 40</v>
      </c>
    </row>
    <row r="1537">
      <c r="A1537" s="86">
        <f>IFERROR(__xludf.DUMMYFUNCTION("""COMPUTED_VALUE"""),1535.0)</f>
        <v>1535</v>
      </c>
      <c r="B1537" s="87" t="str">
        <f>IFERROR(__xludf.DUMMYFUNCTION("""COMPUTED_VALUE"""),"Nhãn")</f>
        <v>Nhãn</v>
      </c>
      <c r="C1537" s="87" t="str">
        <f>IFERROR(__xludf.DUMMYFUNCTION("""COMPUTED_VALUE"""),"NHD1008")</f>
        <v>NHD1008</v>
      </c>
      <c r="D1537" s="87" t="str">
        <f>IFERROR(__xludf.DUMMYFUNCTION("""COMPUTED_VALUE"""),"[Nhãn] GC - IV - 1008 - A Tèo - Amec 3.6 Trị Nhện (Pet vuông)(nắp vàng)(nước trong) - 450ml - 40")</f>
        <v>[Nhãn] GC - IV - 1008 - A Tèo - Amec 3.6 Trị Nhện (Pet vuông)(nắp vàng)(nước trong) - 450ml - 40</v>
      </c>
      <c r="E1537" s="87" t="str">
        <f>IFERROR(__xludf.DUMMYFUNCTION("""COMPUTED_VALUE"""),"HAIHAMEC 3.6EC")</f>
        <v>HAIHAMEC 3.6EC</v>
      </c>
      <c r="F1537" s="87" t="str">
        <f>IFERROR(__xludf.DUMMYFUNCTION("""COMPUTED_VALUE"""),"HH1008")</f>
        <v>HH1008</v>
      </c>
      <c r="G1537" s="87" t="str">
        <f>IFERROR(__xludf.DUMMYFUNCTION("""COMPUTED_VALUE"""),"GC - IV - 1008 - A Tèo - Amec 3.6 Trị Nhện (Pet vuông)(nắp vàng)(nước trong) - 450ml - 40")</f>
        <v>GC - IV - 1008 - A Tèo - Amec 3.6 Trị Nhện (Pet vuông)(nắp vàng)(nước trong) - 450ml - 40</v>
      </c>
    </row>
    <row r="1538">
      <c r="A1538" s="86">
        <f>IFERROR(__xludf.DUMMYFUNCTION("""COMPUTED_VALUE"""),1536.0)</f>
        <v>1536</v>
      </c>
      <c r="B1538" s="87" t="str">
        <f>IFERROR(__xludf.DUMMYFUNCTION("""COMPUTED_VALUE"""),"Nhãn")</f>
        <v>Nhãn</v>
      </c>
      <c r="C1538" s="87" t="str">
        <f>IFERROR(__xludf.DUMMYFUNCTION("""COMPUTED_VALUE"""),"NHG1009")</f>
        <v>NHG1009</v>
      </c>
      <c r="D1538" s="87" t="str">
        <f>IFERROR(__xludf.DUMMYFUNCTION("""COMPUTED_VALUE"""),"#N/A")</f>
        <v>#N/A</v>
      </c>
      <c r="E1538" s="87"/>
      <c r="F1538" s="87" t="str">
        <f>IFERROR(__xludf.DUMMYFUNCTION("""COMPUTED_VALUE"""),"HH1009")</f>
        <v>HH1009</v>
      </c>
      <c r="G1538" s="87"/>
    </row>
    <row r="1539">
      <c r="A1539" s="86">
        <f>IFERROR(__xludf.DUMMYFUNCTION("""COMPUTED_VALUE"""),1537.0)</f>
        <v>1537</v>
      </c>
      <c r="B1539" s="87" t="str">
        <f>IFERROR(__xludf.DUMMYFUNCTION("""COMPUTED_VALUE"""),"Nhãn")</f>
        <v>Nhãn</v>
      </c>
      <c r="C1539" s="87" t="str">
        <f>IFERROR(__xludf.DUMMYFUNCTION("""COMPUTED_VALUE"""),"NTN1010")</f>
        <v>NTN1010</v>
      </c>
      <c r="D1539" s="87" t="str">
        <f>IFERROR(__xludf.DUMMYFUNCTION("""COMPUTED_VALUE"""),"[Nhãn] GC - IV - 1010 - Kim Ngọc - Sạch nấm bệnh (túi nhôm) - 100gr - 100")</f>
        <v>[Nhãn] GC - IV - 1010 - Kim Ngọc - Sạch nấm bệnh (túi nhôm) - 100gr - 100</v>
      </c>
      <c r="E1539" s="87" t="str">
        <f>IFERROR(__xludf.DUMMYFUNCTION("""COMPUTED_VALUE"""),"THALONIL 75WP")</f>
        <v>THALONIL 75WP</v>
      </c>
      <c r="F1539" s="87" t="str">
        <f>IFERROR(__xludf.DUMMYFUNCTION("""COMPUTED_VALUE"""),"HH1010")</f>
        <v>HH1010</v>
      </c>
      <c r="G1539" s="87" t="str">
        <f>IFERROR(__xludf.DUMMYFUNCTION("""COMPUTED_VALUE"""),"GC - IV - 1010 - Kim Ngọc - Sạch nấm bệnh (túi nhôm) - 100gr - 100")</f>
        <v>GC - IV - 1010 - Kim Ngọc - Sạch nấm bệnh (túi nhôm) - 100gr - 100</v>
      </c>
    </row>
    <row r="1540">
      <c r="A1540" s="86">
        <f>IFERROR(__xludf.DUMMYFUNCTION("""COMPUTED_VALUE"""),1538.0)</f>
        <v>1538</v>
      </c>
      <c r="B1540" s="87" t="str">
        <f>IFERROR(__xludf.DUMMYFUNCTION("""COMPUTED_VALUE"""),"Nhãn thùng")</f>
        <v>Nhãn thùng</v>
      </c>
      <c r="C1540" s="87" t="str">
        <f>IFERROR(__xludf.DUMMYFUNCTION("""COMPUTED_VALUE"""),"NDT1010")</f>
        <v>NDT1010</v>
      </c>
      <c r="D1540" s="87" t="str">
        <f>IFERROR(__xludf.DUMMYFUNCTION("""COMPUTED_VALUE"""),"[Nhãn thùng] GC - IV - 1010 - Kim Ngọc - Sạch nấm bệnh (túi nhôm) - 100gr - 100")</f>
        <v>[Nhãn thùng] GC - IV - 1010 - Kim Ngọc - Sạch nấm bệnh (túi nhôm) - 100gr - 100</v>
      </c>
      <c r="E1540" s="87" t="str">
        <f>IFERROR(__xludf.DUMMYFUNCTION("""COMPUTED_VALUE"""),"THALONIL 75WP")</f>
        <v>THALONIL 75WP</v>
      </c>
      <c r="F1540" s="87" t="str">
        <f>IFERROR(__xludf.DUMMYFUNCTION("""COMPUTED_VALUE"""),"HH1010")</f>
        <v>HH1010</v>
      </c>
      <c r="G1540" s="87" t="str">
        <f>IFERROR(__xludf.DUMMYFUNCTION("""COMPUTED_VALUE"""),"GC - IV - 1010 - Kim Ngọc - Sạch nấm bệnh (túi nhôm) - 100gr - 100")</f>
        <v>GC - IV - 1010 - Kim Ngọc - Sạch nấm bệnh (túi nhôm) - 100gr - 100</v>
      </c>
    </row>
    <row r="1541">
      <c r="A1541" s="86">
        <f>IFERROR(__xludf.DUMMYFUNCTION("""COMPUTED_VALUE"""),1539.0)</f>
        <v>1539</v>
      </c>
      <c r="B1541" s="87" t="str">
        <f>IFERROR(__xludf.DUMMYFUNCTION("""COMPUTED_VALUE"""),"Nhãn")</f>
        <v>Nhãn</v>
      </c>
      <c r="C1541" s="87" t="str">
        <f>IFERROR(__xludf.DUMMYFUNCTION("""COMPUTED_VALUE"""),"NTN1011")</f>
        <v>NTN1011</v>
      </c>
      <c r="D1541" s="87" t="str">
        <f>IFERROR(__xludf.DUMMYFUNCTION("""COMPUTED_VALUE"""),"#N/A")</f>
        <v>#N/A</v>
      </c>
      <c r="E1541" s="87"/>
      <c r="F1541" s="87" t="str">
        <f>IFERROR(__xludf.DUMMYFUNCTION("""COMPUTED_VALUE"""),"HH1011")</f>
        <v>HH1011</v>
      </c>
      <c r="G1541" s="87"/>
    </row>
    <row r="1542">
      <c r="A1542" s="86">
        <f>IFERROR(__xludf.DUMMYFUNCTION("""COMPUTED_VALUE"""),1540.0)</f>
        <v>1540</v>
      </c>
      <c r="B1542" s="87" t="str">
        <f>IFERROR(__xludf.DUMMYFUNCTION("""COMPUTED_VALUE"""),"Nhãn")</f>
        <v>Nhãn</v>
      </c>
      <c r="C1542" s="87" t="str">
        <f>IFERROR(__xludf.DUMMYFUNCTION("""COMPUTED_VALUE"""),"NTN1012")</f>
        <v>NTN1012</v>
      </c>
      <c r="D1542" s="87" t="str">
        <f>IFERROR(__xludf.DUMMYFUNCTION("""COMPUTED_VALUE"""),"[Nhãn] GC - II - 1012 - AGC - Alonil (bột trắng) - 100gr - 100")</f>
        <v>[Nhãn] GC - II - 1012 - AGC - Alonil (bột trắng) - 100gr - 100</v>
      </c>
      <c r="E1542" s="87" t="str">
        <f>IFERROR(__xludf.DUMMYFUNCTION("""COMPUTED_VALUE"""),"THALONIL 75WP")</f>
        <v>THALONIL 75WP</v>
      </c>
      <c r="F1542" s="87" t="str">
        <f>IFERROR(__xludf.DUMMYFUNCTION("""COMPUTED_VALUE"""),"HH1012")</f>
        <v>HH1012</v>
      </c>
      <c r="G1542" s="87" t="str">
        <f>IFERROR(__xludf.DUMMYFUNCTION("""COMPUTED_VALUE"""),"GC - II - 1012 - AGC - Alonil (bột trắng) - 100gr - 100")</f>
        <v>GC - II - 1012 - AGC - Alonil (bột trắng) - 100gr - 100</v>
      </c>
    </row>
    <row r="1543">
      <c r="A1543" s="86">
        <f>IFERROR(__xludf.DUMMYFUNCTION("""COMPUTED_VALUE"""),1541.0)</f>
        <v>1541</v>
      </c>
      <c r="B1543" s="87" t="str">
        <f>IFERROR(__xludf.DUMMYFUNCTION("""COMPUTED_VALUE"""),"Nhãn")</f>
        <v>Nhãn</v>
      </c>
      <c r="C1543" s="87" t="str">
        <f>IFERROR(__xludf.DUMMYFUNCTION("""COMPUTED_VALUE"""),"NTN1013")</f>
        <v>NTN1013</v>
      </c>
      <c r="D1543" s="87" t="str">
        <f>IFERROR(__xludf.DUMMYFUNCTION("""COMPUTED_VALUE"""),"#N/A")</f>
        <v>#N/A</v>
      </c>
      <c r="E1543" s="87"/>
      <c r="F1543" s="87" t="str">
        <f>IFERROR(__xludf.DUMMYFUNCTION("""COMPUTED_VALUE"""),"HH1013")</f>
        <v>HH1013</v>
      </c>
      <c r="G1543" s="87"/>
    </row>
    <row r="1544">
      <c r="A1544" s="86">
        <f>IFERROR(__xludf.DUMMYFUNCTION("""COMPUTED_VALUE"""),1542.0)</f>
        <v>1542</v>
      </c>
      <c r="B1544" s="87" t="str">
        <f>IFERROR(__xludf.DUMMYFUNCTION("""COMPUTED_VALUE"""),"Nhãn")</f>
        <v>Nhãn</v>
      </c>
      <c r="C1544" s="87" t="str">
        <f>IFERROR(__xludf.DUMMYFUNCTION("""COMPUTED_VALUE"""),"NTN1014")</f>
        <v>NTN1014</v>
      </c>
      <c r="D1544" s="87" t="str">
        <f>IFERROR(__xludf.DUMMYFUNCTION("""COMPUTED_VALUE"""),"[Nhãn] IDA Global - I - 1014 - Sạch Vi Khuẩn (bột trắng) - 25gr - 300")</f>
        <v>[Nhãn] IDA Global - I - 1014 - Sạch Vi Khuẩn (bột trắng) - 25gr - 300</v>
      </c>
      <c r="E1544" s="87" t="str">
        <f>IFERROR(__xludf.DUMMYFUNCTION("""COMPUTED_VALUE"""),"Oxycin 100WP")</f>
        <v>Oxycin 100WP</v>
      </c>
      <c r="F1544" s="87" t="str">
        <f>IFERROR(__xludf.DUMMYFUNCTION("""COMPUTED_VALUE"""),"HH1014")</f>
        <v>HH1014</v>
      </c>
      <c r="G1544" s="87" t="str">
        <f>IFERROR(__xludf.DUMMYFUNCTION("""COMPUTED_VALUE"""),"IDA Global - I - 1014 - Sạch Vi Khuẩn (bột trắng) - 25gr - 300")</f>
        <v>IDA Global - I - 1014 - Sạch Vi Khuẩn (bột trắng) - 25gr - 300</v>
      </c>
    </row>
    <row r="1545">
      <c r="A1545" s="86">
        <f>IFERROR(__xludf.DUMMYFUNCTION("""COMPUTED_VALUE"""),1543.0)</f>
        <v>1543</v>
      </c>
      <c r="B1545" s="87" t="str">
        <f>IFERROR(__xludf.DUMMYFUNCTION("""COMPUTED_VALUE"""),"Nhãn")</f>
        <v>Nhãn</v>
      </c>
      <c r="C1545" s="87" t="str">
        <f>IFERROR(__xludf.DUMMYFUNCTION("""COMPUTED_VALUE"""),"NHD1015")</f>
        <v>NHD1015</v>
      </c>
      <c r="D1545" s="87" t="str">
        <f>IFERROR(__xludf.DUMMYFUNCTION("""COMPUTED_VALUE"""),"[Nhãn] NB - K - 1015 - Mầm Vàng - Chúa Sơn Lâm (Pet vuông)(nắp đỏ)(nước nâu đen) - 450ml - 40")</f>
        <v>[Nhãn] NB - K - 1015 - Mầm Vàng - Chúa Sơn Lâm (Pet vuông)(nắp đỏ)(nước nâu đen) - 450ml - 40</v>
      </c>
      <c r="E1545" s="87" t="str">
        <f>IFERROR(__xludf.DUMMYFUNCTION("""COMPUTED_VALUE"""),"HAIHAMEC 3.6EC")</f>
        <v>HAIHAMEC 3.6EC</v>
      </c>
      <c r="F1545" s="87" t="str">
        <f>IFERROR(__xludf.DUMMYFUNCTION("""COMPUTED_VALUE"""),"HH1015")</f>
        <v>HH1015</v>
      </c>
      <c r="G1545" s="87" t="str">
        <f>IFERROR(__xludf.DUMMYFUNCTION("""COMPUTED_VALUE"""),"NB - K - 1015 - Mầm Vàng - Chúa Sơn Lâm (Pet vuông)(nắp đỏ)(nước nâu đen) - 450ml - 40")</f>
        <v>NB - K - 1015 - Mầm Vàng - Chúa Sơn Lâm (Pet vuông)(nắp đỏ)(nước nâu đen) - 450ml - 40</v>
      </c>
    </row>
    <row r="1546">
      <c r="A1546" s="86">
        <f>IFERROR(__xludf.DUMMYFUNCTION("""COMPUTED_VALUE"""),1544.0)</f>
        <v>1544</v>
      </c>
      <c r="B1546" s="87" t="str">
        <f>IFERROR(__xludf.DUMMYFUNCTION("""COMPUTED_VALUE"""),"Nhãn")</f>
        <v>Nhãn</v>
      </c>
      <c r="C1546" s="87" t="str">
        <f>IFERROR(__xludf.DUMMYFUNCTION("""COMPUTED_VALUE"""),"NTN1016")</f>
        <v>NTN1016</v>
      </c>
      <c r="D1546" s="87" t="str">
        <f>IFERROR(__xludf.DUMMYFUNCTION("""COMPUTED_VALUE"""),"[Nhãn] GC - IV - 1016 - Agritech - Nesto 95 (bột trắng) - 100gr - 100")</f>
        <v>[Nhãn] GC - IV - 1016 - Agritech - Nesto 95 (bột trắng) - 100gr - 100</v>
      </c>
      <c r="E1546" s="87" t="str">
        <f>IFERROR(__xludf.DUMMYFUNCTION("""COMPUTED_VALUE"""),"SHA CHONG JING 95WP")</f>
        <v>SHA CHONG JING 95WP</v>
      </c>
      <c r="F1546" s="87" t="str">
        <f>IFERROR(__xludf.DUMMYFUNCTION("""COMPUTED_VALUE"""),"HH1016")</f>
        <v>HH1016</v>
      </c>
      <c r="G1546" s="87" t="str">
        <f>IFERROR(__xludf.DUMMYFUNCTION("""COMPUTED_VALUE"""),"GC - IV - 1016 - Agritech - Nesto 95 (bột trắng) - 100gr - 100")</f>
        <v>GC - IV - 1016 - Agritech - Nesto 95 (bột trắng) - 100gr - 100</v>
      </c>
    </row>
    <row r="1547">
      <c r="A1547" s="86">
        <f>IFERROR(__xludf.DUMMYFUNCTION("""COMPUTED_VALUE"""),1545.0)</f>
        <v>1545</v>
      </c>
      <c r="B1547" s="87" t="str">
        <f>IFERROR(__xludf.DUMMYFUNCTION("""COMPUTED_VALUE"""),"Nhãn thùng")</f>
        <v>Nhãn thùng</v>
      </c>
      <c r="C1547" s="87" t="str">
        <f>IFERROR(__xludf.DUMMYFUNCTION("""COMPUTED_VALUE"""),"NDT1016")</f>
        <v>NDT1016</v>
      </c>
      <c r="D1547" s="87" t="str">
        <f>IFERROR(__xludf.DUMMYFUNCTION("""COMPUTED_VALUE"""),"[Nhãn thùng] GC - IV - 1016 - Agritech - Nesto 95 (bột trắng) - 100gr - 100")</f>
        <v>[Nhãn thùng] GC - IV - 1016 - Agritech - Nesto 95 (bột trắng) - 100gr - 100</v>
      </c>
      <c r="E1547" s="87" t="str">
        <f>IFERROR(__xludf.DUMMYFUNCTION("""COMPUTED_VALUE"""),"SHA CHONG JING 95WP")</f>
        <v>SHA CHONG JING 95WP</v>
      </c>
      <c r="F1547" s="87" t="str">
        <f>IFERROR(__xludf.DUMMYFUNCTION("""COMPUTED_VALUE"""),"HH1016")</f>
        <v>HH1016</v>
      </c>
      <c r="G1547" s="87" t="str">
        <f>IFERROR(__xludf.DUMMYFUNCTION("""COMPUTED_VALUE"""),"GC - IV - 1016 - Agritech - Nesto 95 (bột trắng) - 100gr - 100")</f>
        <v>GC - IV - 1016 - Agritech - Nesto 95 (bột trắng) - 100gr - 100</v>
      </c>
    </row>
    <row r="1548">
      <c r="A1548" s="86">
        <f>IFERROR(__xludf.DUMMYFUNCTION("""COMPUTED_VALUE"""),1546.0)</f>
        <v>1546</v>
      </c>
      <c r="B1548" s="87" t="str">
        <f>IFERROR(__xludf.DUMMYFUNCTION("""COMPUTED_VALUE"""),"Nhãn")</f>
        <v>Nhãn</v>
      </c>
      <c r="C1548" s="87" t="str">
        <f>IFERROR(__xludf.DUMMYFUNCTION("""COMPUTED_VALUE"""),"NTN1017")</f>
        <v>NTN1017</v>
      </c>
      <c r="D1548" s="87" t="str">
        <f>IFERROR(__xludf.DUMMYFUNCTION("""COMPUTED_VALUE"""),"[Nhãn] GC - IV - 1017 - Agritech - Imiprid 10WP (bột trắng) - 100gr - 150")</f>
        <v>[Nhãn] GC - IV - 1017 - Agritech - Imiprid 10WP (bột trắng) - 100gr - 150</v>
      </c>
      <c r="E1548" s="87" t="str">
        <f>IFERROR(__xludf.DUMMYFUNCTION("""COMPUTED_VALUE"""),"IMIPRID 10WP")</f>
        <v>IMIPRID 10WP</v>
      </c>
      <c r="F1548" s="87" t="str">
        <f>IFERROR(__xludf.DUMMYFUNCTION("""COMPUTED_VALUE"""),"HH1017")</f>
        <v>HH1017</v>
      </c>
      <c r="G1548" s="87" t="str">
        <f>IFERROR(__xludf.DUMMYFUNCTION("""COMPUTED_VALUE"""),"GC - IV - 1017 - Agritech - Imiprid 10WP (bột trắng) - 100gr - 150")</f>
        <v>GC - IV - 1017 - Agritech - Imiprid 10WP (bột trắng) - 100gr - 150</v>
      </c>
    </row>
    <row r="1549">
      <c r="A1549" s="86">
        <f>IFERROR(__xludf.DUMMYFUNCTION("""COMPUTED_VALUE"""),1547.0)</f>
        <v>1547</v>
      </c>
      <c r="B1549" s="87" t="str">
        <f>IFERROR(__xludf.DUMMYFUNCTION("""COMPUTED_VALUE"""),"Nhãn thùng")</f>
        <v>Nhãn thùng</v>
      </c>
      <c r="C1549" s="87" t="str">
        <f>IFERROR(__xludf.DUMMYFUNCTION("""COMPUTED_VALUE"""),"NDT1017")</f>
        <v>NDT1017</v>
      </c>
      <c r="D1549" s="87" t="str">
        <f>IFERROR(__xludf.DUMMYFUNCTION("""COMPUTED_VALUE"""),"[Nhãn thùng] GC - IV - 1017 - Agritech - Imiprid 10WP (bột trắng) - 100gr - 150")</f>
        <v>[Nhãn thùng] GC - IV - 1017 - Agritech - Imiprid 10WP (bột trắng) - 100gr - 150</v>
      </c>
      <c r="E1549" s="87" t="str">
        <f>IFERROR(__xludf.DUMMYFUNCTION("""COMPUTED_VALUE"""),"IMIPRID 10WP")</f>
        <v>IMIPRID 10WP</v>
      </c>
      <c r="F1549" s="87" t="str">
        <f>IFERROR(__xludf.DUMMYFUNCTION("""COMPUTED_VALUE"""),"HH1017")</f>
        <v>HH1017</v>
      </c>
      <c r="G1549" s="87" t="str">
        <f>IFERROR(__xludf.DUMMYFUNCTION("""COMPUTED_VALUE"""),"GC - IV - 1017 - Agritech - Imiprid 10WP (bột trắng) - 100gr - 150")</f>
        <v>GC - IV - 1017 - Agritech - Imiprid 10WP (bột trắng) - 100gr - 150</v>
      </c>
    </row>
    <row r="1550">
      <c r="A1550" s="86">
        <f>IFERROR(__xludf.DUMMYFUNCTION("""COMPUTED_VALUE"""),1548.0)</f>
        <v>1548</v>
      </c>
      <c r="B1550" s="87" t="str">
        <f>IFERROR(__xludf.DUMMYFUNCTION("""COMPUTED_VALUE"""),"Nhãn")</f>
        <v>Nhãn</v>
      </c>
      <c r="C1550" s="87" t="str">
        <f>IFERROR(__xludf.DUMMYFUNCTION("""COMPUTED_VALUE"""),"NHG1018")</f>
        <v>NHG1018</v>
      </c>
      <c r="D1550" s="87" t="str">
        <f>IFERROR(__xludf.DUMMYFUNCTION("""COMPUTED_VALUE"""),"[Nhãn] GC - II - 1018 - AGC - Siêu Trừ Nấm Khuẩn  - 250ml - 40")</f>
        <v>[Nhãn] GC - II - 1018 - AGC - Siêu Trừ Nấm Khuẩn  - 250ml - 40</v>
      </c>
      <c r="E1550" s="87" t="str">
        <f>IFERROR(__xludf.DUMMYFUNCTION("""COMPUTED_VALUE"""),"GENOL 1.2SL")</f>
        <v>GENOL 1.2SL</v>
      </c>
      <c r="F1550" s="87" t="str">
        <f>IFERROR(__xludf.DUMMYFUNCTION("""COMPUTED_VALUE"""),"HH1018")</f>
        <v>HH1018</v>
      </c>
      <c r="G1550" s="87" t="str">
        <f>IFERROR(__xludf.DUMMYFUNCTION("""COMPUTED_VALUE"""),"GC - II - 1018 - AGC - Siêu Trừ Nấm Khuẩn  - 250ml - 40")</f>
        <v>GC - II - 1018 - AGC - Siêu Trừ Nấm Khuẩn  - 250ml - 40</v>
      </c>
    </row>
    <row r="1551">
      <c r="A1551" s="86">
        <f>IFERROR(__xludf.DUMMYFUNCTION("""COMPUTED_VALUE"""),1549.0)</f>
        <v>1549</v>
      </c>
      <c r="B1551" s="87" t="str">
        <f>IFERROR(__xludf.DUMMYFUNCTION("""COMPUTED_VALUE"""),"Nhãn")</f>
        <v>Nhãn</v>
      </c>
      <c r="C1551" s="87" t="str">
        <f>IFERROR(__xludf.DUMMYFUNCTION("""COMPUTED_VALUE"""),"NHG1019")</f>
        <v>NHG1019</v>
      </c>
      <c r="D1551" s="87" t="str">
        <f>IFERROR(__xludf.DUMMYFUNCTION("""COMPUTED_VALUE"""),"[Nhãn] GC - II - 1019 - AGC - Siêu diệt rệp (Pet tròn)(nước tím) - 480ml - 40")</f>
        <v>[Nhãn] GC - II - 1019 - AGC - Siêu diệt rệp (Pet tròn)(nước tím) - 480ml - 40</v>
      </c>
      <c r="E1551" s="87" t="str">
        <f>IFERROR(__xludf.DUMMYFUNCTION("""COMPUTED_VALUE"""),"ABASBA 50EC")</f>
        <v>ABASBA 50EC</v>
      </c>
      <c r="F1551" s="87" t="str">
        <f>IFERROR(__xludf.DUMMYFUNCTION("""COMPUTED_VALUE"""),"HH1019")</f>
        <v>HH1019</v>
      </c>
      <c r="G1551" s="87" t="str">
        <f>IFERROR(__xludf.DUMMYFUNCTION("""COMPUTED_VALUE"""),"GC - II - 1019 - AGC - Siêu diệt rệp (Pet tròn)(nước tím) - 480ml - 40")</f>
        <v>GC - II - 1019 - AGC - Siêu diệt rệp (Pet tròn)(nước tím) - 480ml - 40</v>
      </c>
    </row>
    <row r="1552">
      <c r="A1552" s="86">
        <f>IFERROR(__xludf.DUMMYFUNCTION("""COMPUTED_VALUE"""),1550.0)</f>
        <v>1550</v>
      </c>
      <c r="B1552" s="87" t="str">
        <f>IFERROR(__xludf.DUMMYFUNCTION("""COMPUTED_VALUE"""),"Nhãn")</f>
        <v>Nhãn</v>
      </c>
      <c r="C1552" s="87" t="str">
        <f>IFERROR(__xludf.DUMMYFUNCTION("""COMPUTED_VALUE"""),"NHG1021")</f>
        <v>NHG1021</v>
      </c>
      <c r="D1552" s="87" t="str">
        <f>IFERROR(__xludf.DUMMYFUNCTION("""COMPUTED_VALUE"""),"[Nhãn] GC - IV - 1021 - Thiên Di - Hexa Vil Thai 50 (nước trắng sữa) - 1L - 20")</f>
        <v>[Nhãn] GC - IV - 1021 - Thiên Di - Hexa Vil Thai 50 (nước trắng sữa) - 1L - 20</v>
      </c>
      <c r="E1552" s="87" t="str">
        <f>IFERROR(__xludf.DUMMYFUNCTION("""COMPUTED_VALUE"""),"Mekongvil 5SC")</f>
        <v>Mekongvil 5SC</v>
      </c>
      <c r="F1552" s="87" t="str">
        <f>IFERROR(__xludf.DUMMYFUNCTION("""COMPUTED_VALUE"""),"HH1021")</f>
        <v>HH1021</v>
      </c>
      <c r="G1552" s="87" t="str">
        <f>IFERROR(__xludf.DUMMYFUNCTION("""COMPUTED_VALUE"""),"GC - IV - 1021 - Thiên Di - Hexa Vil Thai 50 (nước trắng sữa) - 1L - 20")</f>
        <v>GC - IV - 1021 - Thiên Di - Hexa Vil Thai 50 (nước trắng sữa) - 1L - 20</v>
      </c>
    </row>
    <row r="1553">
      <c r="A1553" s="86">
        <f>IFERROR(__xludf.DUMMYFUNCTION("""COMPUTED_VALUE"""),1551.0)</f>
        <v>1551</v>
      </c>
      <c r="B1553" s="87" t="str">
        <f>IFERROR(__xludf.DUMMYFUNCTION("""COMPUTED_VALUE"""),"Nhãn")</f>
        <v>Nhãn</v>
      </c>
      <c r="C1553" s="87" t="str">
        <f>IFERROR(__xludf.DUMMYFUNCTION("""COMPUTED_VALUE"""),"NHD1022")</f>
        <v>NHD1022</v>
      </c>
      <c r="D1553" s="87" t="str">
        <f>IFERROR(__xludf.DUMMYFUNCTION("""COMPUTED_VALUE"""),"[Nhãn] GC - II - 1022 - An Khang - Haihamec 3.6EC (Pet vuông)(nắp trắng)(nước nâu đen) - 450ml - 40")</f>
        <v>[Nhãn] GC - II - 1022 - An Khang - Haihamec 3.6EC (Pet vuông)(nắp trắng)(nước nâu đen) - 450ml - 40</v>
      </c>
      <c r="E1553" s="87" t="str">
        <f>IFERROR(__xludf.DUMMYFUNCTION("""COMPUTED_VALUE"""),"HAIHAMEC 3.6EC")</f>
        <v>HAIHAMEC 3.6EC</v>
      </c>
      <c r="F1553" s="87" t="str">
        <f>IFERROR(__xludf.DUMMYFUNCTION("""COMPUTED_VALUE"""),"HH1022")</f>
        <v>HH1022</v>
      </c>
      <c r="G1553" s="87" t="str">
        <f>IFERROR(__xludf.DUMMYFUNCTION("""COMPUTED_VALUE"""),"GC - II - 1022 - An Khang - Haihamec 3.6EC (Pet vuông)(nắp trắng)(nước nâu đen) - 450ml - 40")</f>
        <v>GC - II - 1022 - An Khang - Haihamec 3.6EC (Pet vuông)(nắp trắng)(nước nâu đen) - 450ml - 40</v>
      </c>
    </row>
    <row r="1554">
      <c r="A1554" s="86">
        <f>IFERROR(__xludf.DUMMYFUNCTION("""COMPUTED_VALUE"""),1552.0)</f>
        <v>1552</v>
      </c>
      <c r="B1554" s="87" t="str">
        <f>IFERROR(__xludf.DUMMYFUNCTION("""COMPUTED_VALUE"""),"Nhãn")</f>
        <v>Nhãn</v>
      </c>
      <c r="C1554" s="87" t="str">
        <f>IFERROR(__xludf.DUMMYFUNCTION("""COMPUTED_VALUE"""),"NHG1023")</f>
        <v>NHG1023</v>
      </c>
      <c r="D1554" s="87" t="str">
        <f>IFERROR(__xludf.DUMMYFUNCTION("""COMPUTED_VALUE"""),"[Nhãn] GC - II - 1023 - AGC - Thần Ưng (nước đỏ) - 250ml - 40")</f>
        <v>[Nhãn] GC - II - 1023 - AGC - Thần Ưng (nước đỏ) - 250ml - 40</v>
      </c>
      <c r="E1554" s="87" t="str">
        <f>IFERROR(__xludf.DUMMYFUNCTION("""COMPUTED_VALUE"""),"TIK WEP 247EC")</f>
        <v>TIK WEP 247EC</v>
      </c>
      <c r="F1554" s="87" t="str">
        <f>IFERROR(__xludf.DUMMYFUNCTION("""COMPUTED_VALUE"""),"HH1023")</f>
        <v>HH1023</v>
      </c>
      <c r="G1554" s="87" t="str">
        <f>IFERROR(__xludf.DUMMYFUNCTION("""COMPUTED_VALUE"""),"GC - II - 1023 - AGC - Thần Ưng (nước đỏ) - 250ml - 40")</f>
        <v>GC - II - 1023 - AGC - Thần Ưng (nước đỏ) - 250ml - 40</v>
      </c>
    </row>
    <row r="1555">
      <c r="A1555" s="86">
        <f>IFERROR(__xludf.DUMMYFUNCTION("""COMPUTED_VALUE"""),1553.0)</f>
        <v>1553</v>
      </c>
      <c r="B1555" s="87" t="str">
        <f>IFERROR(__xludf.DUMMYFUNCTION("""COMPUTED_VALUE"""),"Nhãn")</f>
        <v>Nhãn</v>
      </c>
      <c r="C1555" s="87" t="str">
        <f>IFERROR(__xludf.DUMMYFUNCTION("""COMPUTED_VALUE"""),"NHG1025")</f>
        <v>NHG1025</v>
      </c>
      <c r="D1555" s="87" t="str">
        <f>IFERROR(__xludf.DUMMYFUNCTION("""COMPUTED_VALUE"""),"[Nhãn] GC - IV - 1025 - GNH - Chắc hạt (HD trắng)(nước nâu đen) - 1L - 20")</f>
        <v>[Nhãn] GC - IV - 1025 - GNH - Chắc hạt (HD trắng)(nước nâu đen) - 1L - 20</v>
      </c>
      <c r="E1555" s="87" t="str">
        <f>IFERROR(__xludf.DUMMYFUNCTION("""COMPUTED_VALUE"""),"Vi lượng Basel VA01")</f>
        <v>Vi lượng Basel VA01</v>
      </c>
      <c r="F1555" s="87" t="str">
        <f>IFERROR(__xludf.DUMMYFUNCTION("""COMPUTED_VALUE"""),"HH1025")</f>
        <v>HH1025</v>
      </c>
      <c r="G1555" s="87" t="str">
        <f>IFERROR(__xludf.DUMMYFUNCTION("""COMPUTED_VALUE"""),"GC - IV - 1025 - GNH - Chắc hạt (HD trắng)(nước nâu đen) - 1L - 20")</f>
        <v>GC - IV - 1025 - GNH - Chắc hạt (HD trắng)(nước nâu đen) - 1L - 20</v>
      </c>
    </row>
    <row r="1556">
      <c r="A1556" s="86">
        <f>IFERROR(__xludf.DUMMYFUNCTION("""COMPUTED_VALUE"""),1554.0)</f>
        <v>1554</v>
      </c>
      <c r="B1556" s="87" t="str">
        <f>IFERROR(__xludf.DUMMYFUNCTION("""COMPUTED_VALUE"""),"Nhãn thùng")</f>
        <v>Nhãn thùng</v>
      </c>
      <c r="C1556" s="87" t="str">
        <f>IFERROR(__xludf.DUMMYFUNCTION("""COMPUTED_VALUE"""),"NDT1025")</f>
        <v>NDT1025</v>
      </c>
      <c r="D1556" s="87" t="str">
        <f>IFERROR(__xludf.DUMMYFUNCTION("""COMPUTED_VALUE"""),"[Nhãn thùng] GC - IV - 1025 - GNH - Chắc hạt (HD trắng)(nước nâu đen) - 1L - 20")</f>
        <v>[Nhãn thùng] GC - IV - 1025 - GNH - Chắc hạt (HD trắng)(nước nâu đen) - 1L - 20</v>
      </c>
      <c r="E1556" s="87" t="str">
        <f>IFERROR(__xludf.DUMMYFUNCTION("""COMPUTED_VALUE"""),"Vi lượng Basel VA01")</f>
        <v>Vi lượng Basel VA01</v>
      </c>
      <c r="F1556" s="87" t="str">
        <f>IFERROR(__xludf.DUMMYFUNCTION("""COMPUTED_VALUE"""),"HH1025")</f>
        <v>HH1025</v>
      </c>
      <c r="G1556" s="87" t="str">
        <f>IFERROR(__xludf.DUMMYFUNCTION("""COMPUTED_VALUE"""),"GC - IV - 1025 - GNH - Chắc hạt (HD trắng)(nước nâu đen) - 1L - 20")</f>
        <v>GC - IV - 1025 - GNH - Chắc hạt (HD trắng)(nước nâu đen) - 1L - 20</v>
      </c>
    </row>
    <row r="1557">
      <c r="A1557" s="86">
        <f>IFERROR(__xludf.DUMMYFUNCTION("""COMPUTED_VALUE"""),1555.0)</f>
        <v>1555</v>
      </c>
      <c r="B1557" s="87" t="str">
        <f>IFERROR(__xludf.DUMMYFUNCTION("""COMPUTED_VALUE"""),"Nhãn")</f>
        <v>Nhãn</v>
      </c>
      <c r="C1557" s="87" t="str">
        <f>IFERROR(__xludf.DUMMYFUNCTION("""COMPUTED_VALUE"""),"NHG1026")</f>
        <v>NHG1026</v>
      </c>
      <c r="D1557" s="87" t="str">
        <f>IFERROR(__xludf.DUMMYFUNCTION("""COMPUTED_VALUE"""),"[Nhãn] GC - IV - 1026 - GNH - Carbor (HD trắng)(nước nâu đen) - 500ml - 40")</f>
        <v>[Nhãn] GC - IV - 1026 - GNH - Carbor (HD trắng)(nước nâu đen) - 500ml - 40</v>
      </c>
      <c r="E1557" s="87" t="str">
        <f>IFERROR(__xludf.DUMMYFUNCTION("""COMPUTED_VALUE"""),"Vi lượng Basel VA01")</f>
        <v>Vi lượng Basel VA01</v>
      </c>
      <c r="F1557" s="87" t="str">
        <f>IFERROR(__xludf.DUMMYFUNCTION("""COMPUTED_VALUE"""),"HH1026")</f>
        <v>HH1026</v>
      </c>
      <c r="G1557" s="87" t="str">
        <f>IFERROR(__xludf.DUMMYFUNCTION("""COMPUTED_VALUE"""),"GC - IV - 1026 - GNH - Carbor (HD trắng)(nước nâu đen) - 500ml - 40")</f>
        <v>GC - IV - 1026 - GNH - Carbor (HD trắng)(nước nâu đen) - 500ml - 40</v>
      </c>
    </row>
    <row r="1558">
      <c r="A1558" s="86">
        <f>IFERROR(__xludf.DUMMYFUNCTION("""COMPUTED_VALUE"""),1556.0)</f>
        <v>1556</v>
      </c>
      <c r="B1558" s="87" t="str">
        <f>IFERROR(__xludf.DUMMYFUNCTION("""COMPUTED_VALUE"""),"Nhãn thùng")</f>
        <v>Nhãn thùng</v>
      </c>
      <c r="C1558" s="87" t="str">
        <f>IFERROR(__xludf.DUMMYFUNCTION("""COMPUTED_VALUE"""),"NDT1026")</f>
        <v>NDT1026</v>
      </c>
      <c r="D1558" s="87" t="str">
        <f>IFERROR(__xludf.DUMMYFUNCTION("""COMPUTED_VALUE"""),"[Nhãn thùng] GC - IV - 1026 - GNH - Carbor (HD trắng)(nước nâu đen) - 500ml - 40")</f>
        <v>[Nhãn thùng] GC - IV - 1026 - GNH - Carbor (HD trắng)(nước nâu đen) - 500ml - 40</v>
      </c>
      <c r="E1558" s="87" t="str">
        <f>IFERROR(__xludf.DUMMYFUNCTION("""COMPUTED_VALUE"""),"Vi lượng Basel VA01")</f>
        <v>Vi lượng Basel VA01</v>
      </c>
      <c r="F1558" s="87" t="str">
        <f>IFERROR(__xludf.DUMMYFUNCTION("""COMPUTED_VALUE"""),"HH1026")</f>
        <v>HH1026</v>
      </c>
      <c r="G1558" s="87" t="str">
        <f>IFERROR(__xludf.DUMMYFUNCTION("""COMPUTED_VALUE"""),"GC - IV - 1026 - GNH - Carbor (HD trắng)(nước nâu đen) - 500ml - 40")</f>
        <v>GC - IV - 1026 - GNH - Carbor (HD trắng)(nước nâu đen) - 500ml - 40</v>
      </c>
    </row>
    <row r="1559">
      <c r="A1559" s="86">
        <f>IFERROR(__xludf.DUMMYFUNCTION("""COMPUTED_VALUE"""),1557.0)</f>
        <v>1557</v>
      </c>
      <c r="B1559" s="87" t="str">
        <f>IFERROR(__xludf.DUMMYFUNCTION("""COMPUTED_VALUE"""),"Nhãn")</f>
        <v>Nhãn</v>
      </c>
      <c r="C1559" s="87" t="str">
        <f>IFERROR(__xludf.DUMMYFUNCTION("""COMPUTED_VALUE"""),"NHG1028")</f>
        <v>NHG1028</v>
      </c>
      <c r="D1559" s="87" t="str">
        <f>IFERROR(__xludf.DUMMYFUNCTION("""COMPUTED_VALUE"""),"[Nhãn] IDA Global - I - 1028 - Cá Mập 300 (PET) - 240ml - 40")</f>
        <v>[Nhãn] IDA Global - I - 1028 - Cá Mập 300 (PET) - 240ml - 40</v>
      </c>
      <c r="E1559" s="87" t="str">
        <f>IFERROR(__xludf.DUMMYFUNCTION("""COMPUTED_VALUE"""),"Solonapy 300SC")</f>
        <v>Solonapy 300SC</v>
      </c>
      <c r="F1559" s="87" t="str">
        <f>IFERROR(__xludf.DUMMYFUNCTION("""COMPUTED_VALUE"""),"HH1028")</f>
        <v>HH1028</v>
      </c>
      <c r="G1559" s="87" t="str">
        <f>IFERROR(__xludf.DUMMYFUNCTION("""COMPUTED_VALUE"""),"IDA Global - I - 1028 - Cá Mập 300 (PET) - 240ml - 40")</f>
        <v>IDA Global - I - 1028 - Cá Mập 300 (PET) - 240ml - 40</v>
      </c>
    </row>
    <row r="1560">
      <c r="A1560" s="86">
        <f>IFERROR(__xludf.DUMMYFUNCTION("""COMPUTED_VALUE"""),1558.0)</f>
        <v>1558</v>
      </c>
      <c r="B1560" s="87" t="str">
        <f>IFERROR(__xludf.DUMMYFUNCTION("""COMPUTED_VALUE"""),"Nhãn thùng")</f>
        <v>Nhãn thùng</v>
      </c>
      <c r="C1560" s="87" t="str">
        <f>IFERROR(__xludf.DUMMYFUNCTION("""COMPUTED_VALUE"""),"NDT1028")</f>
        <v>NDT1028</v>
      </c>
      <c r="D1560" s="87" t="str">
        <f>IFERROR(__xludf.DUMMYFUNCTION("""COMPUTED_VALUE"""),"[Nhãn thùng] IDA Global - I - 1028 - Cá Mập 300 (PET) - 240ml - 40")</f>
        <v>[Nhãn thùng] IDA Global - I - 1028 - Cá Mập 300 (PET) - 240ml - 40</v>
      </c>
      <c r="E1560" s="87" t="str">
        <f>IFERROR(__xludf.DUMMYFUNCTION("""COMPUTED_VALUE"""),"Solonapy 300SC")</f>
        <v>Solonapy 300SC</v>
      </c>
      <c r="F1560" s="87" t="str">
        <f>IFERROR(__xludf.DUMMYFUNCTION("""COMPUTED_VALUE"""),"HH1028")</f>
        <v>HH1028</v>
      </c>
      <c r="G1560" s="87" t="str">
        <f>IFERROR(__xludf.DUMMYFUNCTION("""COMPUTED_VALUE"""),"IDA Global - I - 1028 - Cá Mập 300 (PET) - 240ml - 40")</f>
        <v>IDA Global - I - 1028 - Cá Mập 300 (PET) - 240ml - 40</v>
      </c>
    </row>
    <row r="1561">
      <c r="A1561" s="86">
        <f>IFERROR(__xludf.DUMMYFUNCTION("""COMPUTED_VALUE"""),1559.0)</f>
        <v>1559</v>
      </c>
      <c r="B1561" s="87" t="str">
        <f>IFERROR(__xludf.DUMMYFUNCTION("""COMPUTED_VALUE"""),"Nhãn")</f>
        <v>Nhãn</v>
      </c>
      <c r="C1561" s="87" t="str">
        <f>IFERROR(__xludf.DUMMYFUNCTION("""COMPUTED_VALUE"""),"NHG1029")</f>
        <v>NHG1029</v>
      </c>
      <c r="D1561" s="87" t="str">
        <f>IFERROR(__xludf.DUMMYFUNCTION("""COMPUTED_VALUE"""),"[Nhãn] IDA Global - I - 1029 - Ca Map 350SC (chai HD) - 100ml - 100")</f>
        <v>[Nhãn] IDA Global - I - 1029 - Ca Map 350SC (chai HD) - 100ml - 100</v>
      </c>
      <c r="E1561" s="87" t="str">
        <f>IFERROR(__xludf.DUMMYFUNCTION("""COMPUTED_VALUE"""),"CA MAP 350SC")</f>
        <v>CA MAP 350SC</v>
      </c>
      <c r="F1561" s="87" t="str">
        <f>IFERROR(__xludf.DUMMYFUNCTION("""COMPUTED_VALUE"""),"HH1029")</f>
        <v>HH1029</v>
      </c>
      <c r="G1561" s="87" t="str">
        <f>IFERROR(__xludf.DUMMYFUNCTION("""COMPUTED_VALUE"""),"IDA Global - I - 1029 - Ca Map 350SC (chai HD) - 100ml - 100")</f>
        <v>IDA Global - I - 1029 - Ca Map 350SC (chai HD) - 100ml - 100</v>
      </c>
    </row>
    <row r="1562">
      <c r="A1562" s="86">
        <f>IFERROR(__xludf.DUMMYFUNCTION("""COMPUTED_VALUE"""),1560.0)</f>
        <v>1560</v>
      </c>
      <c r="B1562" s="87" t="str">
        <f>IFERROR(__xludf.DUMMYFUNCTION("""COMPUTED_VALUE"""),"Nhãn thùng")</f>
        <v>Nhãn thùng</v>
      </c>
      <c r="C1562" s="87" t="str">
        <f>IFERROR(__xludf.DUMMYFUNCTION("""COMPUTED_VALUE"""),"NDT1029")</f>
        <v>NDT1029</v>
      </c>
      <c r="D1562" s="87" t="str">
        <f>IFERROR(__xludf.DUMMYFUNCTION("""COMPUTED_VALUE"""),"[Nhãn thùng] IDA Global - I - 1029 - Ca Map 350SC (chai HD) - 100ml - 100")</f>
        <v>[Nhãn thùng] IDA Global - I - 1029 - Ca Map 350SC (chai HD) - 100ml - 100</v>
      </c>
      <c r="E1562" s="87" t="str">
        <f>IFERROR(__xludf.DUMMYFUNCTION("""COMPUTED_VALUE"""),"CA MAP 350SC")</f>
        <v>CA MAP 350SC</v>
      </c>
      <c r="F1562" s="87" t="str">
        <f>IFERROR(__xludf.DUMMYFUNCTION("""COMPUTED_VALUE"""),"HH1029")</f>
        <v>HH1029</v>
      </c>
      <c r="G1562" s="87" t="str">
        <f>IFERROR(__xludf.DUMMYFUNCTION("""COMPUTED_VALUE"""),"IDA Global - I - 1029 - Ca Map 350SC (chai HD) - 100ml - 100")</f>
        <v>IDA Global - I - 1029 - Ca Map 350SC (chai HD) - 100ml - 100</v>
      </c>
    </row>
    <row r="1563">
      <c r="A1563" s="86">
        <f>IFERROR(__xludf.DUMMYFUNCTION("""COMPUTED_VALUE"""),1561.0)</f>
        <v>1561</v>
      </c>
      <c r="B1563" s="87" t="str">
        <f>IFERROR(__xludf.DUMMYFUNCTION("""COMPUTED_VALUE"""),"Nhãn")</f>
        <v>Nhãn</v>
      </c>
      <c r="C1563" s="87" t="str">
        <f>IFERROR(__xludf.DUMMYFUNCTION("""COMPUTED_VALUE"""),"NHG1030")</f>
        <v>NHG1030</v>
      </c>
      <c r="D1563" s="87" t="str">
        <f>IFERROR(__xludf.DUMMYFUNCTION("""COMPUTED_VALUE"""),"[Nhãn] IDA Global - I - 1030 - Ca Map 350SC (chai HD) - 250ml - 40")</f>
        <v>[Nhãn] IDA Global - I - 1030 - Ca Map 350SC (chai HD) - 250ml - 40</v>
      </c>
      <c r="E1563" s="87" t="str">
        <f>IFERROR(__xludf.DUMMYFUNCTION("""COMPUTED_VALUE"""),"CA MAP 350SC")</f>
        <v>CA MAP 350SC</v>
      </c>
      <c r="F1563" s="87" t="str">
        <f>IFERROR(__xludf.DUMMYFUNCTION("""COMPUTED_VALUE"""),"HH1030")</f>
        <v>HH1030</v>
      </c>
      <c r="G1563" s="87" t="str">
        <f>IFERROR(__xludf.DUMMYFUNCTION("""COMPUTED_VALUE"""),"IDA Global - I - 1030 - Ca Map 350SC (chai HD) - 250ml - 40")</f>
        <v>IDA Global - I - 1030 - Ca Map 350SC (chai HD) - 250ml - 40</v>
      </c>
    </row>
    <row r="1564">
      <c r="A1564" s="86">
        <f>IFERROR(__xludf.DUMMYFUNCTION("""COMPUTED_VALUE"""),1562.0)</f>
        <v>1562</v>
      </c>
      <c r="B1564" s="87" t="str">
        <f>IFERROR(__xludf.DUMMYFUNCTION("""COMPUTED_VALUE"""),"Nhãn thùng")</f>
        <v>Nhãn thùng</v>
      </c>
      <c r="C1564" s="87" t="str">
        <f>IFERROR(__xludf.DUMMYFUNCTION("""COMPUTED_VALUE"""),"NDT1030")</f>
        <v>NDT1030</v>
      </c>
      <c r="D1564" s="87" t="str">
        <f>IFERROR(__xludf.DUMMYFUNCTION("""COMPUTED_VALUE"""),"[Nhãn thùng] IDA Global - I - 1030 - Ca Map 350SC (chai HD) - 250ml - 40")</f>
        <v>[Nhãn thùng] IDA Global - I - 1030 - Ca Map 350SC (chai HD) - 250ml - 40</v>
      </c>
      <c r="E1564" s="87" t="str">
        <f>IFERROR(__xludf.DUMMYFUNCTION("""COMPUTED_VALUE"""),"CA MAP 350SC")</f>
        <v>CA MAP 350SC</v>
      </c>
      <c r="F1564" s="87" t="str">
        <f>IFERROR(__xludf.DUMMYFUNCTION("""COMPUTED_VALUE"""),"HH1030")</f>
        <v>HH1030</v>
      </c>
      <c r="G1564" s="87" t="str">
        <f>IFERROR(__xludf.DUMMYFUNCTION("""COMPUTED_VALUE"""),"IDA Global - I - 1030 - Ca Map 350SC (chai HD) - 250ml - 40")</f>
        <v>IDA Global - I - 1030 - Ca Map 350SC (chai HD) - 250ml - 40</v>
      </c>
    </row>
    <row r="1565">
      <c r="A1565" s="86">
        <f>IFERROR(__xludf.DUMMYFUNCTION("""COMPUTED_VALUE"""),1563.0)</f>
        <v>1563</v>
      </c>
      <c r="B1565" s="87" t="str">
        <f>IFERROR(__xludf.DUMMYFUNCTION("""COMPUTED_VALUE"""),"Nhãn")</f>
        <v>Nhãn</v>
      </c>
      <c r="C1565" s="87" t="str">
        <f>IFERROR(__xludf.DUMMYFUNCTION("""COMPUTED_VALUE"""),"NTN1032")</f>
        <v>NTN1032</v>
      </c>
      <c r="D1565" s="87" t="str">
        <f>IFERROR(__xludf.DUMMYFUNCTION("""COMPUTED_VALUE"""),"[Nhãn] IDA Global - I - 1032 - Sức mạnh Tricyclazole (bột cam) - 25gr - 300")</f>
        <v>[Nhãn] IDA Global - I - 1032 - Sức mạnh Tricyclazole (bột cam) - 25gr - 300</v>
      </c>
      <c r="E1565" s="87" t="str">
        <f>IFERROR(__xludf.DUMMYFUNCTION("""COMPUTED_VALUE"""),"Pim.Pim 75WP")</f>
        <v>Pim.Pim 75WP</v>
      </c>
      <c r="F1565" s="87" t="str">
        <f>IFERROR(__xludf.DUMMYFUNCTION("""COMPUTED_VALUE"""),"HH1032")</f>
        <v>HH1032</v>
      </c>
      <c r="G1565" s="87" t="str">
        <f>IFERROR(__xludf.DUMMYFUNCTION("""COMPUTED_VALUE"""),"IDA Global - I - 1032 - Sức mạnh Tricyclazole (bột cam) - 25gr - 300")</f>
        <v>IDA Global - I - 1032 - Sức mạnh Tricyclazole (bột cam) - 25gr - 300</v>
      </c>
    </row>
    <row r="1566">
      <c r="A1566" s="86">
        <f>IFERROR(__xludf.DUMMYFUNCTION("""COMPUTED_VALUE"""),1564.0)</f>
        <v>1564</v>
      </c>
      <c r="B1566" s="87" t="str">
        <f>IFERROR(__xludf.DUMMYFUNCTION("""COMPUTED_VALUE"""),"Nhãn thùng")</f>
        <v>Nhãn thùng</v>
      </c>
      <c r="C1566" s="87" t="str">
        <f>IFERROR(__xludf.DUMMYFUNCTION("""COMPUTED_VALUE"""),"NDT1032")</f>
        <v>NDT1032</v>
      </c>
      <c r="D1566" s="87" t="str">
        <f>IFERROR(__xludf.DUMMYFUNCTION("""COMPUTED_VALUE"""),"[Nhãn thùng] IDA Global - I - 1032 - Sức mạnh Tricyclazole (bột cam) - 25gr - 300")</f>
        <v>[Nhãn thùng] IDA Global - I - 1032 - Sức mạnh Tricyclazole (bột cam) - 25gr - 300</v>
      </c>
      <c r="E1566" s="87" t="str">
        <f>IFERROR(__xludf.DUMMYFUNCTION("""COMPUTED_VALUE"""),"Pim.Pim 75WP")</f>
        <v>Pim.Pim 75WP</v>
      </c>
      <c r="F1566" s="87" t="str">
        <f>IFERROR(__xludf.DUMMYFUNCTION("""COMPUTED_VALUE"""),"HH1032")</f>
        <v>HH1032</v>
      </c>
      <c r="G1566" s="87" t="str">
        <f>IFERROR(__xludf.DUMMYFUNCTION("""COMPUTED_VALUE"""),"IDA Global - I - 1032 - Sức mạnh Tricyclazole (bột cam) - 25gr - 300")</f>
        <v>IDA Global - I - 1032 - Sức mạnh Tricyclazole (bột cam) - 25gr - 300</v>
      </c>
    </row>
    <row r="1567">
      <c r="A1567" s="86">
        <f>IFERROR(__xludf.DUMMYFUNCTION("""COMPUTED_VALUE"""),1565.0)</f>
        <v>1565</v>
      </c>
      <c r="B1567" s="87" t="str">
        <f>IFERROR(__xludf.DUMMYFUNCTION("""COMPUTED_VALUE"""),"Nhãn")</f>
        <v>Nhãn</v>
      </c>
      <c r="C1567" s="87" t="str">
        <f>IFERROR(__xludf.DUMMYFUNCTION("""COMPUTED_VALUE"""),"NTN1033")</f>
        <v>NTN1033</v>
      </c>
      <c r="D1567" s="87" t="str">
        <f>IFERROR(__xludf.DUMMYFUNCTION("""COMPUTED_VALUE"""),"[Nhãn] IDA Global - I - 1033 - Sức mạnh Tricyclazole (New 35gr)(bột cam) - 35gr - 300")</f>
        <v>[Nhãn] IDA Global - I - 1033 - Sức mạnh Tricyclazole (New 35gr)(bột cam) - 35gr - 300</v>
      </c>
      <c r="E1567" s="87" t="str">
        <f>IFERROR(__xludf.DUMMYFUNCTION("""COMPUTED_VALUE"""),"Pim.Pim 75WP")</f>
        <v>Pim.Pim 75WP</v>
      </c>
      <c r="F1567" s="87" t="str">
        <f>IFERROR(__xludf.DUMMYFUNCTION("""COMPUTED_VALUE"""),"HH1033")</f>
        <v>HH1033</v>
      </c>
      <c r="G1567" s="87" t="str">
        <f>IFERROR(__xludf.DUMMYFUNCTION("""COMPUTED_VALUE"""),"IDA Global - I - 1033 - Sức mạnh Tricyclazole (New 35gr)(bột cam) - 35gr - 300")</f>
        <v>IDA Global - I - 1033 - Sức mạnh Tricyclazole (New 35gr)(bột cam) - 35gr - 300</v>
      </c>
    </row>
    <row r="1568">
      <c r="A1568" s="86">
        <f>IFERROR(__xludf.DUMMYFUNCTION("""COMPUTED_VALUE"""),1566.0)</f>
        <v>1566</v>
      </c>
      <c r="B1568" s="87" t="str">
        <f>IFERROR(__xludf.DUMMYFUNCTION("""COMPUTED_VALUE"""),"Nhãn thùng")</f>
        <v>Nhãn thùng</v>
      </c>
      <c r="C1568" s="87" t="str">
        <f>IFERROR(__xludf.DUMMYFUNCTION("""COMPUTED_VALUE"""),"NDT1033")</f>
        <v>NDT1033</v>
      </c>
      <c r="D1568" s="87" t="str">
        <f>IFERROR(__xludf.DUMMYFUNCTION("""COMPUTED_VALUE"""),"[Nhãn thùng] IDA Global - I - 1033 - Sức mạnh Tricyclazole (New 35gr)(bột cam) - 35gr - 300")</f>
        <v>[Nhãn thùng] IDA Global - I - 1033 - Sức mạnh Tricyclazole (New 35gr)(bột cam) - 35gr - 300</v>
      </c>
      <c r="E1568" s="87" t="str">
        <f>IFERROR(__xludf.DUMMYFUNCTION("""COMPUTED_VALUE"""),"Pim.Pim 75WP")</f>
        <v>Pim.Pim 75WP</v>
      </c>
      <c r="F1568" s="87" t="str">
        <f>IFERROR(__xludf.DUMMYFUNCTION("""COMPUTED_VALUE"""),"HH1033")</f>
        <v>HH1033</v>
      </c>
      <c r="G1568" s="87" t="str">
        <f>IFERROR(__xludf.DUMMYFUNCTION("""COMPUTED_VALUE"""),"IDA Global - I - 1033 - Sức mạnh Tricyclazole (New 35gr)(bột cam) - 35gr - 300")</f>
        <v>IDA Global - I - 1033 - Sức mạnh Tricyclazole (New 35gr)(bột cam) - 35gr - 300</v>
      </c>
    </row>
    <row r="1569">
      <c r="A1569" s="86">
        <f>IFERROR(__xludf.DUMMYFUNCTION("""COMPUTED_VALUE"""),1567.0)</f>
        <v>1567</v>
      </c>
      <c r="B1569" s="87" t="str">
        <f>IFERROR(__xludf.DUMMYFUNCTION("""COMPUTED_VALUE"""),"Nhãn")</f>
        <v>Nhãn</v>
      </c>
      <c r="C1569" s="87" t="str">
        <f>IFERROR(__xludf.DUMMYFUNCTION("""COMPUTED_VALUE"""),"NTN1034")</f>
        <v>NTN1034</v>
      </c>
      <c r="D1569" s="87" t="str">
        <f>IFERROR(__xludf.DUMMYFUNCTION("""COMPUTED_VALUE"""),"[Nhãn] IDA Global - I - 1034 - Sức mạnh Tricyclazole (Bột cam) - 100gr - 100")</f>
        <v>[Nhãn] IDA Global - I - 1034 - Sức mạnh Tricyclazole (Bột cam) - 100gr - 100</v>
      </c>
      <c r="E1569" s="87" t="str">
        <f>IFERROR(__xludf.DUMMYFUNCTION("""COMPUTED_VALUE"""),"Pim.Pim 75WP")</f>
        <v>Pim.Pim 75WP</v>
      </c>
      <c r="F1569" s="87" t="str">
        <f>IFERROR(__xludf.DUMMYFUNCTION("""COMPUTED_VALUE"""),"HH1034")</f>
        <v>HH1034</v>
      </c>
      <c r="G1569" s="87" t="str">
        <f>IFERROR(__xludf.DUMMYFUNCTION("""COMPUTED_VALUE"""),"IDA Global - I - 1034 - Sức mạnh Tricyclazole (Bột cam) - 100gr - 100")</f>
        <v>IDA Global - I - 1034 - Sức mạnh Tricyclazole (Bột cam) - 100gr - 100</v>
      </c>
    </row>
    <row r="1570">
      <c r="A1570" s="86">
        <f>IFERROR(__xludf.DUMMYFUNCTION("""COMPUTED_VALUE"""),1568.0)</f>
        <v>1568</v>
      </c>
      <c r="B1570" s="87" t="str">
        <f>IFERROR(__xludf.DUMMYFUNCTION("""COMPUTED_VALUE"""),"Nhãn thùng")</f>
        <v>Nhãn thùng</v>
      </c>
      <c r="C1570" s="87" t="str">
        <f>IFERROR(__xludf.DUMMYFUNCTION("""COMPUTED_VALUE"""),"NDT1034")</f>
        <v>NDT1034</v>
      </c>
      <c r="D1570" s="87" t="str">
        <f>IFERROR(__xludf.DUMMYFUNCTION("""COMPUTED_VALUE"""),"[Nhãn thùng] IDA Global - I - 1034 - Sức mạnh Tricyclazole (Bột cam) - 100gr - 100")</f>
        <v>[Nhãn thùng] IDA Global - I - 1034 - Sức mạnh Tricyclazole (Bột cam) - 100gr - 100</v>
      </c>
      <c r="E1570" s="87" t="str">
        <f>IFERROR(__xludf.DUMMYFUNCTION("""COMPUTED_VALUE"""),"Pim.Pim 75WP")</f>
        <v>Pim.Pim 75WP</v>
      </c>
      <c r="F1570" s="87" t="str">
        <f>IFERROR(__xludf.DUMMYFUNCTION("""COMPUTED_VALUE"""),"HH1034")</f>
        <v>HH1034</v>
      </c>
      <c r="G1570" s="87" t="str">
        <f>IFERROR(__xludf.DUMMYFUNCTION("""COMPUTED_VALUE"""),"IDA Global - I - 1034 - Sức mạnh Tricyclazole (Bột cam) - 100gr - 100")</f>
        <v>IDA Global - I - 1034 - Sức mạnh Tricyclazole (Bột cam) - 100gr - 100</v>
      </c>
    </row>
    <row r="1571">
      <c r="A1571" s="86">
        <f>IFERROR(__xludf.DUMMYFUNCTION("""COMPUTED_VALUE"""),1569.0)</f>
        <v>1569</v>
      </c>
      <c r="B1571" s="87" t="str">
        <f>IFERROR(__xludf.DUMMYFUNCTION("""COMPUTED_VALUE"""),"Nhãn")</f>
        <v>Nhãn</v>
      </c>
      <c r="C1571" s="87" t="str">
        <f>IFERROR(__xludf.DUMMYFUNCTION("""COMPUTED_VALUE"""),"NHG1035")</f>
        <v>NHG1035</v>
      </c>
      <c r="D1571" s="87" t="str">
        <f>IFERROR(__xludf.DUMMYFUNCTION("""COMPUTED_VALUE"""),"[Nhãn] GC - II - 1035 - AGC - Redmite (chai nhôm đỏ) - 240ml - 40")</f>
        <v>[Nhãn] GC - II - 1035 - AGC - Redmite (chai nhôm đỏ) - 240ml - 40</v>
      </c>
      <c r="E1571" s="87" t="str">
        <f>IFERROR(__xludf.DUMMYFUNCTION("""COMPUTED_VALUE"""),"CHIM ƯNG 3.8EC")</f>
        <v>CHIM ƯNG 3.8EC</v>
      </c>
      <c r="F1571" s="87" t="str">
        <f>IFERROR(__xludf.DUMMYFUNCTION("""COMPUTED_VALUE"""),"HH1035")</f>
        <v>HH1035</v>
      </c>
      <c r="G1571" s="87" t="str">
        <f>IFERROR(__xludf.DUMMYFUNCTION("""COMPUTED_VALUE"""),"GC - II - 1035 - AGC - Redmite (chai nhôm đỏ) - 240ml - 40")</f>
        <v>GC - II - 1035 - AGC - Redmite (chai nhôm đỏ) - 240ml - 40</v>
      </c>
    </row>
    <row r="1572">
      <c r="A1572" s="86">
        <f>IFERROR(__xludf.DUMMYFUNCTION("""COMPUTED_VALUE"""),1570.0)</f>
        <v>1570</v>
      </c>
      <c r="B1572" s="87" t="str">
        <f>IFERROR(__xludf.DUMMYFUNCTION("""COMPUTED_VALUE"""),"Nhãn thùng")</f>
        <v>Nhãn thùng</v>
      </c>
      <c r="C1572" s="87" t="str">
        <f>IFERROR(__xludf.DUMMYFUNCTION("""COMPUTED_VALUE"""),"NDT1035")</f>
        <v>NDT1035</v>
      </c>
      <c r="D1572" s="87" t="str">
        <f>IFERROR(__xludf.DUMMYFUNCTION("""COMPUTED_VALUE"""),"[Nhãn thùng] GC - II - 1035 - AGC - Redmite (chai nhôm đỏ) - 240ml - 40")</f>
        <v>[Nhãn thùng] GC - II - 1035 - AGC - Redmite (chai nhôm đỏ) - 240ml - 40</v>
      </c>
      <c r="E1572" s="87" t="str">
        <f>IFERROR(__xludf.DUMMYFUNCTION("""COMPUTED_VALUE"""),"CHIM ƯNG 3.8EC")</f>
        <v>CHIM ƯNG 3.8EC</v>
      </c>
      <c r="F1572" s="87" t="str">
        <f>IFERROR(__xludf.DUMMYFUNCTION("""COMPUTED_VALUE"""),"HH1035")</f>
        <v>HH1035</v>
      </c>
      <c r="G1572" s="87" t="str">
        <f>IFERROR(__xludf.DUMMYFUNCTION("""COMPUTED_VALUE"""),"GC - II - 1035 - AGC - Redmite (chai nhôm đỏ) - 240ml - 40")</f>
        <v>GC - II - 1035 - AGC - Redmite (chai nhôm đỏ) - 240ml - 40</v>
      </c>
    </row>
    <row r="1573">
      <c r="A1573" s="86">
        <f>IFERROR(__xludf.DUMMYFUNCTION("""COMPUTED_VALUE"""),1571.0)</f>
        <v>1571</v>
      </c>
      <c r="B1573" s="87" t="str">
        <f>IFERROR(__xludf.DUMMYFUNCTION("""COMPUTED_VALUE"""),"Nhãn")</f>
        <v>Nhãn</v>
      </c>
      <c r="C1573" s="87" t="str">
        <f>IFERROR(__xludf.DUMMYFUNCTION("""COMPUTED_VALUE"""),"NHG1036")</f>
        <v>NHG1036</v>
      </c>
      <c r="D1573" s="87" t="str">
        <f>IFERROR(__xludf.DUMMYFUNCTION("""COMPUTED_VALUE"""),"[Nhãn] GC - IV - 1036 - AU - Diều Hâu Đen (chai nhôm xanh dương) - 240ml - 40")</f>
        <v>[Nhãn] GC - IV - 1036 - AU - Diều Hâu Đen (chai nhôm xanh dương) - 240ml - 40</v>
      </c>
      <c r="E1573" s="87" t="str">
        <f>IFERROR(__xludf.DUMMYFUNCTION("""COMPUTED_VALUE"""),"CHIM ƯNG 3.8EC")</f>
        <v>CHIM ƯNG 3.8EC</v>
      </c>
      <c r="F1573" s="87" t="str">
        <f>IFERROR(__xludf.DUMMYFUNCTION("""COMPUTED_VALUE"""),"HH1036")</f>
        <v>HH1036</v>
      </c>
      <c r="G1573" s="87" t="str">
        <f>IFERROR(__xludf.DUMMYFUNCTION("""COMPUTED_VALUE"""),"GC - IV - 1036 - AU - Diều Hâu Đen (chai nhôm xanh dương) - 240ml - 40")</f>
        <v>GC - IV - 1036 - AU - Diều Hâu Đen (chai nhôm xanh dương) - 240ml - 40</v>
      </c>
    </row>
    <row r="1574">
      <c r="A1574" s="86">
        <f>IFERROR(__xludf.DUMMYFUNCTION("""COMPUTED_VALUE"""),1572.0)</f>
        <v>1572</v>
      </c>
      <c r="B1574" s="87" t="str">
        <f>IFERROR(__xludf.DUMMYFUNCTION("""COMPUTED_VALUE"""),"Nhãn thùng")</f>
        <v>Nhãn thùng</v>
      </c>
      <c r="C1574" s="87" t="str">
        <f>IFERROR(__xludf.DUMMYFUNCTION("""COMPUTED_VALUE"""),"NDT1036")</f>
        <v>NDT1036</v>
      </c>
      <c r="D1574" s="87" t="str">
        <f>IFERROR(__xludf.DUMMYFUNCTION("""COMPUTED_VALUE"""),"[Nhãn thùng] GC - IV - 1036 - AU - Diều Hâu Đen (chai nhôm xanh dương) - 240ml - 40")</f>
        <v>[Nhãn thùng] GC - IV - 1036 - AU - Diều Hâu Đen (chai nhôm xanh dương) - 240ml - 40</v>
      </c>
      <c r="E1574" s="87" t="str">
        <f>IFERROR(__xludf.DUMMYFUNCTION("""COMPUTED_VALUE"""),"CHIM ƯNG 3.8EC")</f>
        <v>CHIM ƯNG 3.8EC</v>
      </c>
      <c r="F1574" s="87" t="str">
        <f>IFERROR(__xludf.DUMMYFUNCTION("""COMPUTED_VALUE"""),"HH1036")</f>
        <v>HH1036</v>
      </c>
      <c r="G1574" s="87" t="str">
        <f>IFERROR(__xludf.DUMMYFUNCTION("""COMPUTED_VALUE"""),"GC - IV - 1036 - AU - Diều Hâu Đen (chai nhôm xanh dương) - 240ml - 40")</f>
        <v>GC - IV - 1036 - AU - Diều Hâu Đen (chai nhôm xanh dương) - 240ml - 40</v>
      </c>
    </row>
    <row r="1575">
      <c r="A1575" s="86">
        <f>IFERROR(__xludf.DUMMYFUNCTION("""COMPUTED_VALUE"""),1573.0)</f>
        <v>1573</v>
      </c>
      <c r="B1575" s="87" t="str">
        <f>IFERROR(__xludf.DUMMYFUNCTION("""COMPUTED_VALUE"""),"Nhãn")</f>
        <v>Nhãn</v>
      </c>
      <c r="C1575" s="87" t="str">
        <f>IFERROR(__xludf.DUMMYFUNCTION("""COMPUTED_VALUE"""),"NTN1037")</f>
        <v>NTN1037</v>
      </c>
      <c r="D1575" s="87" t="str">
        <f>IFERROR(__xludf.DUMMYFUNCTION("""COMPUTED_VALUE"""),"[Nhãn] GC - II - 1037 - Xuân Sơn - Rầy O2 - 100gr - 150")</f>
        <v>[Nhãn] GC - II - 1037 - Xuân Sơn - Rầy O2 - 100gr - 150</v>
      </c>
      <c r="E1575" s="87" t="str">
        <f>IFERROR(__xludf.DUMMYFUNCTION("""COMPUTED_VALUE"""),"IMIPRID 10WP")</f>
        <v>IMIPRID 10WP</v>
      </c>
      <c r="F1575" s="87" t="str">
        <f>IFERROR(__xludf.DUMMYFUNCTION("""COMPUTED_VALUE"""),"HH1037")</f>
        <v>HH1037</v>
      </c>
      <c r="G1575" s="87" t="str">
        <f>IFERROR(__xludf.DUMMYFUNCTION("""COMPUTED_VALUE"""),"GC - II - 1037 - Xuân Sơn - Rầy O2 - 100gr - 150")</f>
        <v>GC - II - 1037 - Xuân Sơn - Rầy O2 - 100gr - 150</v>
      </c>
    </row>
    <row r="1576">
      <c r="A1576" s="86">
        <f>IFERROR(__xludf.DUMMYFUNCTION("""COMPUTED_VALUE"""),1574.0)</f>
        <v>1574</v>
      </c>
      <c r="B1576" s="87" t="str">
        <f>IFERROR(__xludf.DUMMYFUNCTION("""COMPUTED_VALUE"""),"Nhãn thùng")</f>
        <v>Nhãn thùng</v>
      </c>
      <c r="C1576" s="87" t="str">
        <f>IFERROR(__xludf.DUMMYFUNCTION("""COMPUTED_VALUE"""),"NDT1037")</f>
        <v>NDT1037</v>
      </c>
      <c r="D1576" s="87" t="str">
        <f>IFERROR(__xludf.DUMMYFUNCTION("""COMPUTED_VALUE"""),"[Nhãn thùng] GC - II - 1037 - Xuân Sơn - Rầy O2 - 100gr - 150")</f>
        <v>[Nhãn thùng] GC - II - 1037 - Xuân Sơn - Rầy O2 - 100gr - 150</v>
      </c>
      <c r="E1576" s="87" t="str">
        <f>IFERROR(__xludf.DUMMYFUNCTION("""COMPUTED_VALUE"""),"IMIPRID 10WP")</f>
        <v>IMIPRID 10WP</v>
      </c>
      <c r="F1576" s="87" t="str">
        <f>IFERROR(__xludf.DUMMYFUNCTION("""COMPUTED_VALUE"""),"HH1037")</f>
        <v>HH1037</v>
      </c>
      <c r="G1576" s="87" t="str">
        <f>IFERROR(__xludf.DUMMYFUNCTION("""COMPUTED_VALUE"""),"GC - II - 1037 - Xuân Sơn - Rầy O2 - 100gr - 150")</f>
        <v>GC - II - 1037 - Xuân Sơn - Rầy O2 - 100gr - 150</v>
      </c>
    </row>
    <row r="1577">
      <c r="A1577" s="86">
        <f>IFERROR(__xludf.DUMMYFUNCTION("""COMPUTED_VALUE"""),1575.0)</f>
        <v>1575</v>
      </c>
      <c r="B1577" s="87" t="str">
        <f>IFERROR(__xludf.DUMMYFUNCTION("""COMPUTED_VALUE"""),"Nhãn")</f>
        <v>Nhãn</v>
      </c>
      <c r="C1577" s="87" t="str">
        <f>IFERROR(__xludf.DUMMYFUNCTION("""COMPUTED_VALUE"""),"NTN1038")</f>
        <v>NTN1038</v>
      </c>
      <c r="D1577" s="87" t="str">
        <f>IFERROR(__xludf.DUMMYFUNCTION("""COMPUTED_VALUE"""),"[Nhãn] GC - II - 1038 - Xuân Sơn - AIC Thailand - 100gr - 150")</f>
        <v>[Nhãn] GC - II - 1038 - Xuân Sơn - AIC Thailand - 100gr - 150</v>
      </c>
      <c r="E1577" s="87" t="str">
        <f>IFERROR(__xludf.DUMMYFUNCTION("""COMPUTED_VALUE"""),"IMIPRID 10WP")</f>
        <v>IMIPRID 10WP</v>
      </c>
      <c r="F1577" s="87" t="str">
        <f>IFERROR(__xludf.DUMMYFUNCTION("""COMPUTED_VALUE"""),"HH1038")</f>
        <v>HH1038</v>
      </c>
      <c r="G1577" s="87" t="str">
        <f>IFERROR(__xludf.DUMMYFUNCTION("""COMPUTED_VALUE"""),"GC - II - 1038 - Xuân Sơn - AIC Thailand - 100gr - 150")</f>
        <v>GC - II - 1038 - Xuân Sơn - AIC Thailand - 100gr - 150</v>
      </c>
    </row>
    <row r="1578">
      <c r="A1578" s="86">
        <f>IFERROR(__xludf.DUMMYFUNCTION("""COMPUTED_VALUE"""),1576.0)</f>
        <v>1576</v>
      </c>
      <c r="B1578" s="87" t="str">
        <f>IFERROR(__xludf.DUMMYFUNCTION("""COMPUTED_VALUE"""),"Nhãn thùng")</f>
        <v>Nhãn thùng</v>
      </c>
      <c r="C1578" s="87" t="str">
        <f>IFERROR(__xludf.DUMMYFUNCTION("""COMPUTED_VALUE"""),"NDT1038")</f>
        <v>NDT1038</v>
      </c>
      <c r="D1578" s="87" t="str">
        <f>IFERROR(__xludf.DUMMYFUNCTION("""COMPUTED_VALUE"""),"[Nhãn thùng] GC - II - 1038 - Xuân Sơn - AIC Thailand - 100gr - 150")</f>
        <v>[Nhãn thùng] GC - II - 1038 - Xuân Sơn - AIC Thailand - 100gr - 150</v>
      </c>
      <c r="E1578" s="87" t="str">
        <f>IFERROR(__xludf.DUMMYFUNCTION("""COMPUTED_VALUE"""),"IMIPRID 10WP")</f>
        <v>IMIPRID 10WP</v>
      </c>
      <c r="F1578" s="87" t="str">
        <f>IFERROR(__xludf.DUMMYFUNCTION("""COMPUTED_VALUE"""),"HH1038")</f>
        <v>HH1038</v>
      </c>
      <c r="G1578" s="87" t="str">
        <f>IFERROR(__xludf.DUMMYFUNCTION("""COMPUTED_VALUE"""),"GC - II - 1038 - Xuân Sơn - AIC Thailand - 100gr - 150")</f>
        <v>GC - II - 1038 - Xuân Sơn - AIC Thailand - 100gr - 150</v>
      </c>
    </row>
    <row r="1579">
      <c r="A1579" s="86">
        <f>IFERROR(__xludf.DUMMYFUNCTION("""COMPUTED_VALUE"""),1577.0)</f>
        <v>1577</v>
      </c>
      <c r="B1579" s="87" t="str">
        <f>IFERROR(__xludf.DUMMYFUNCTION("""COMPUTED_VALUE"""),"Nhãn")</f>
        <v>Nhãn</v>
      </c>
      <c r="C1579" s="87" t="str">
        <f>IFERROR(__xludf.DUMMYFUNCTION("""COMPUTED_VALUE"""),"NHG1039")</f>
        <v>NHG1039</v>
      </c>
      <c r="D1579" s="87" t="str">
        <f>IFERROR(__xludf.DUMMYFUNCTION("""COMPUTED_VALUE"""),"[Nhãn] GC - IV - 1039 - Kim Ngọc - Nano Root (HD trắng)(nước nâu đen) - 500ml - 40")</f>
        <v>[Nhãn] GC - IV - 1039 - Kim Ngọc - Nano Root (HD trắng)(nước nâu đen) - 500ml - 40</v>
      </c>
      <c r="E1579" s="87" t="str">
        <f>IFERROR(__xludf.DUMMYFUNCTION("""COMPUTED_VALUE"""),"Vi lượng Basel VA01")</f>
        <v>Vi lượng Basel VA01</v>
      </c>
      <c r="F1579" s="87" t="str">
        <f>IFERROR(__xludf.DUMMYFUNCTION("""COMPUTED_VALUE"""),"HH1039")</f>
        <v>HH1039</v>
      </c>
      <c r="G1579" s="87" t="str">
        <f>IFERROR(__xludf.DUMMYFUNCTION("""COMPUTED_VALUE"""),"GC - IV - 1039 - Kim Ngọc - Nano Root (HD trắng)(nước nâu đen) - 500ml - 40")</f>
        <v>GC - IV - 1039 - Kim Ngọc - Nano Root (HD trắng)(nước nâu đen) - 500ml - 40</v>
      </c>
    </row>
    <row r="1580">
      <c r="A1580" s="86">
        <f>IFERROR(__xludf.DUMMYFUNCTION("""COMPUTED_VALUE"""),1578.0)</f>
        <v>1578</v>
      </c>
      <c r="B1580" s="87" t="str">
        <f>IFERROR(__xludf.DUMMYFUNCTION("""COMPUTED_VALUE"""),"Nhãn")</f>
        <v>Nhãn</v>
      </c>
      <c r="C1580" s="87" t="str">
        <f>IFERROR(__xludf.DUMMYFUNCTION("""COMPUTED_VALUE"""),"NTG1041")</f>
        <v>NTG1041</v>
      </c>
      <c r="D1580" s="87" t="str">
        <f>IFERROR(__xludf.DUMMYFUNCTION("""COMPUTED_VALUE"""),"[Nhãn] GC - IV - 1041 - CTP - Diệt sạch đạo ôn (bột cam) - 100gr - 100")</f>
        <v>[Nhãn] GC - IV - 1041 - CTP - Diệt sạch đạo ôn (bột cam) - 100gr - 100</v>
      </c>
      <c r="E1580" s="87" t="str">
        <f>IFERROR(__xludf.DUMMYFUNCTION("""COMPUTED_VALUE"""),"Pim.Pim 75WP")</f>
        <v>Pim.Pim 75WP</v>
      </c>
      <c r="F1580" s="87" t="str">
        <f>IFERROR(__xludf.DUMMYFUNCTION("""COMPUTED_VALUE"""),"HH1041")</f>
        <v>HH1041</v>
      </c>
      <c r="G1580" s="87" t="str">
        <f>IFERROR(__xludf.DUMMYFUNCTION("""COMPUTED_VALUE"""),"GC - IV - 1041 - CTP - Diệt sạch đạo ôn (bột cam) - 100gr - 100")</f>
        <v>GC - IV - 1041 - CTP - Diệt sạch đạo ôn (bột cam) - 100gr - 100</v>
      </c>
    </row>
    <row r="1581">
      <c r="A1581" s="86">
        <f>IFERROR(__xludf.DUMMYFUNCTION("""COMPUTED_VALUE"""),1579.0)</f>
        <v>1579</v>
      </c>
      <c r="B1581" s="87" t="str">
        <f>IFERROR(__xludf.DUMMYFUNCTION("""COMPUTED_VALUE"""),"Nhãn thùng")</f>
        <v>Nhãn thùng</v>
      </c>
      <c r="C1581" s="87" t="str">
        <f>IFERROR(__xludf.DUMMYFUNCTION("""COMPUTED_VALUE"""),"NDT1041")</f>
        <v>NDT1041</v>
      </c>
      <c r="D1581" s="87" t="str">
        <f>IFERROR(__xludf.DUMMYFUNCTION("""COMPUTED_VALUE"""),"[Nhãn thùng] GC - IV - 1041 - CTP - Diệt sạch đạo ôn (bột cam) - 100gr - 100")</f>
        <v>[Nhãn thùng] GC - IV - 1041 - CTP - Diệt sạch đạo ôn (bột cam) - 100gr - 100</v>
      </c>
      <c r="E1581" s="87" t="str">
        <f>IFERROR(__xludf.DUMMYFUNCTION("""COMPUTED_VALUE"""),"Pim.Pim 75WP")</f>
        <v>Pim.Pim 75WP</v>
      </c>
      <c r="F1581" s="87" t="str">
        <f>IFERROR(__xludf.DUMMYFUNCTION("""COMPUTED_VALUE"""),"HH1041")</f>
        <v>HH1041</v>
      </c>
      <c r="G1581" s="87" t="str">
        <f>IFERROR(__xludf.DUMMYFUNCTION("""COMPUTED_VALUE"""),"GC - IV - 1041 - CTP - Diệt sạch đạo ôn (bột cam) - 100gr - 100")</f>
        <v>GC - IV - 1041 - CTP - Diệt sạch đạo ôn (bột cam) - 100gr - 100</v>
      </c>
    </row>
    <row r="1582">
      <c r="A1582" s="86">
        <f>IFERROR(__xludf.DUMMYFUNCTION("""COMPUTED_VALUE"""),1580.0)</f>
        <v>1580</v>
      </c>
      <c r="B1582" s="87" t="str">
        <f>IFERROR(__xludf.DUMMYFUNCTION("""COMPUTED_VALUE"""),"Nhãn")</f>
        <v>Nhãn</v>
      </c>
      <c r="C1582" s="87" t="str">
        <f>IFERROR(__xludf.DUMMYFUNCTION("""COMPUTED_VALUE"""),"NTN1042")</f>
        <v>NTN1042</v>
      </c>
      <c r="D1582" s="87" t="str">
        <f>IFERROR(__xludf.DUMMYFUNCTION("""COMPUTED_VALUE"""),"[Nhãn] GC - IV - 1042 - GNH - Manco Green (túi nhôm)(bột xanh) - 100gr - 100")</f>
        <v>[Nhãn] GC - IV - 1042 - GNH - Manco Green (túi nhôm)(bột xanh) - 100gr - 100</v>
      </c>
      <c r="E1582" s="87" t="str">
        <f>IFERROR(__xludf.DUMMYFUNCTION("""COMPUTED_VALUE"""),"BYPHAN 800WP")</f>
        <v>BYPHAN 800WP</v>
      </c>
      <c r="F1582" s="87" t="str">
        <f>IFERROR(__xludf.DUMMYFUNCTION("""COMPUTED_VALUE"""),"HH1042")</f>
        <v>HH1042</v>
      </c>
      <c r="G1582" s="87" t="str">
        <f>IFERROR(__xludf.DUMMYFUNCTION("""COMPUTED_VALUE"""),"GC - IV - 1042 - GNH - Manco Green (túi nhôm)(bột xanh) - 100gr - 100")</f>
        <v>GC - IV - 1042 - GNH - Manco Green (túi nhôm)(bột xanh) - 100gr - 100</v>
      </c>
    </row>
    <row r="1583">
      <c r="A1583" s="86">
        <f>IFERROR(__xludf.DUMMYFUNCTION("""COMPUTED_VALUE"""),1581.0)</f>
        <v>1581</v>
      </c>
      <c r="B1583" s="87" t="str">
        <f>IFERROR(__xludf.DUMMYFUNCTION("""COMPUTED_VALUE"""),"Nhãn")</f>
        <v>Nhãn</v>
      </c>
      <c r="C1583" s="87" t="str">
        <f>IFERROR(__xludf.DUMMYFUNCTION("""COMPUTED_VALUE"""),"NTG1043")</f>
        <v>NTG1043</v>
      </c>
      <c r="D1583" s="87" t="str">
        <f>IFERROR(__xludf.DUMMYFUNCTION("""COMPUTED_VALUE"""),"[Nhãn] GC - IV - 1043 - GNH - Sạch khuẩn 100X (bột trắng ngà) - 25gr - 200")</f>
        <v>[Nhãn] GC - IV - 1043 - GNH - Sạch khuẩn 100X (bột trắng ngà) - 25gr - 200</v>
      </c>
      <c r="E1583" s="87" t="str">
        <f>IFERROR(__xludf.DUMMYFUNCTION("""COMPUTED_VALUE"""),"Oxycin 100WP")</f>
        <v>Oxycin 100WP</v>
      </c>
      <c r="F1583" s="87" t="str">
        <f>IFERROR(__xludf.DUMMYFUNCTION("""COMPUTED_VALUE"""),"HH1043")</f>
        <v>HH1043</v>
      </c>
      <c r="G1583" s="87" t="str">
        <f>IFERROR(__xludf.DUMMYFUNCTION("""COMPUTED_VALUE"""),"GC - IV - 1043 - GNH - Sạch khuẩn 100X (bột trắng ngà) - 25gr - 200")</f>
        <v>GC - IV - 1043 - GNH - Sạch khuẩn 100X (bột trắng ngà) - 25gr - 200</v>
      </c>
    </row>
    <row r="1584">
      <c r="A1584" s="86">
        <f>IFERROR(__xludf.DUMMYFUNCTION("""COMPUTED_VALUE"""),1582.0)</f>
        <v>1582</v>
      </c>
      <c r="B1584" s="87" t="str">
        <f>IFERROR(__xludf.DUMMYFUNCTION("""COMPUTED_VALUE"""),"Nhãn thùng")</f>
        <v>Nhãn thùng</v>
      </c>
      <c r="C1584" s="87" t="str">
        <f>IFERROR(__xludf.DUMMYFUNCTION("""COMPUTED_VALUE"""),"NDT1043")</f>
        <v>NDT1043</v>
      </c>
      <c r="D1584" s="87" t="str">
        <f>IFERROR(__xludf.DUMMYFUNCTION("""COMPUTED_VALUE"""),"[Nhãn thùng] GC - IV - 1043 - GNH - Sạch khuẩn 100X (bột trắng ngà) - 25gr - 200")</f>
        <v>[Nhãn thùng] GC - IV - 1043 - GNH - Sạch khuẩn 100X (bột trắng ngà) - 25gr - 200</v>
      </c>
      <c r="E1584" s="87" t="str">
        <f>IFERROR(__xludf.DUMMYFUNCTION("""COMPUTED_VALUE"""),"Oxycin 100WP")</f>
        <v>Oxycin 100WP</v>
      </c>
      <c r="F1584" s="87" t="str">
        <f>IFERROR(__xludf.DUMMYFUNCTION("""COMPUTED_VALUE"""),"HH1043")</f>
        <v>HH1043</v>
      </c>
      <c r="G1584" s="87" t="str">
        <f>IFERROR(__xludf.DUMMYFUNCTION("""COMPUTED_VALUE"""),"GC - IV - 1043 - GNH - Sạch khuẩn 100X (bột trắng ngà) - 25gr - 200")</f>
        <v>GC - IV - 1043 - GNH - Sạch khuẩn 100X (bột trắng ngà) - 25gr - 200</v>
      </c>
    </row>
    <row r="1585">
      <c r="A1585" s="86">
        <f>IFERROR(__xludf.DUMMYFUNCTION("""COMPUTED_VALUE"""),1583.0)</f>
        <v>1583</v>
      </c>
      <c r="B1585" s="87" t="str">
        <f>IFERROR(__xludf.DUMMYFUNCTION("""COMPUTED_VALUE"""),"Nhãn")</f>
        <v>Nhãn</v>
      </c>
      <c r="C1585" s="87" t="str">
        <f>IFERROR(__xludf.DUMMYFUNCTION("""COMPUTED_VALUE"""),"NHG1044")</f>
        <v>NHG1044</v>
      </c>
      <c r="D1585" s="87" t="str">
        <f>IFERROR(__xludf.DUMMYFUNCTION("""COMPUTED_VALUE"""),"[Nhãn] GC - IV - 1044 - Kim Ngọc - Boca (nước vàng) - 500ml - 40")</f>
        <v>[Nhãn] GC - IV - 1044 - Kim Ngọc - Boca (nước vàng) - 500ml - 40</v>
      </c>
      <c r="E1585" s="87" t="str">
        <f>IFERROR(__xludf.DUMMYFUNCTION("""COMPUTED_VALUE"""),"Vi lượng Basel IDA 49")</f>
        <v>Vi lượng Basel IDA 49</v>
      </c>
      <c r="F1585" s="87" t="str">
        <f>IFERROR(__xludf.DUMMYFUNCTION("""COMPUTED_VALUE"""),"HH1044")</f>
        <v>HH1044</v>
      </c>
      <c r="G1585" s="87" t="str">
        <f>IFERROR(__xludf.DUMMYFUNCTION("""COMPUTED_VALUE"""),"GC - IV - 1044 - Kim Ngọc - Boca (nước vàng) - 500ml - 40")</f>
        <v>GC - IV - 1044 - Kim Ngọc - Boca (nước vàng) - 500ml - 40</v>
      </c>
    </row>
    <row r="1586">
      <c r="A1586" s="86">
        <f>IFERROR(__xludf.DUMMYFUNCTION("""COMPUTED_VALUE"""),1584.0)</f>
        <v>1584</v>
      </c>
      <c r="B1586" s="87" t="str">
        <f>IFERROR(__xludf.DUMMYFUNCTION("""COMPUTED_VALUE"""),"Nhãn")</f>
        <v>Nhãn</v>
      </c>
      <c r="C1586" s="87" t="str">
        <f>IFERROR(__xludf.DUMMYFUNCTION("""COMPUTED_VALUE"""),"NTN1046")</f>
        <v>NTN1046</v>
      </c>
      <c r="D1586" s="87" t="str">
        <f>IFERROR(__xludf.DUMMYFUNCTION("""COMPUTED_VALUE"""),"[Nhãn] GC - IV - 1046 - Kim Ngọc - Siêu Dưỡng 30.10.10 (bột trắng) - 50gr - 400")</f>
        <v>[Nhãn] GC - IV - 1046 - Kim Ngọc - Siêu Dưỡng 30.10.10 (bột trắng) - 50gr - 400</v>
      </c>
      <c r="E1586" s="87" t="str">
        <f>IFERROR(__xludf.DUMMYFUNCTION("""COMPUTED_VALUE"""),"Vi lượng Basel DANA 20")</f>
        <v>Vi lượng Basel DANA 20</v>
      </c>
      <c r="F1586" s="87" t="str">
        <f>IFERROR(__xludf.DUMMYFUNCTION("""COMPUTED_VALUE"""),"HH1046")</f>
        <v>HH1046</v>
      </c>
      <c r="G1586" s="87" t="str">
        <f>IFERROR(__xludf.DUMMYFUNCTION("""COMPUTED_VALUE"""),"GC - IV - 1046 - Kim Ngọc - Siêu Dưỡng 30.10.10 (bột trắng) - 50gr - 400")</f>
        <v>GC - IV - 1046 - Kim Ngọc - Siêu Dưỡng 30.10.10 (bột trắng) - 50gr - 400</v>
      </c>
    </row>
    <row r="1587">
      <c r="A1587" s="86">
        <f>IFERROR(__xludf.DUMMYFUNCTION("""COMPUTED_VALUE"""),1585.0)</f>
        <v>1585</v>
      </c>
      <c r="B1587" s="87" t="str">
        <f>IFERROR(__xludf.DUMMYFUNCTION("""COMPUTED_VALUE"""),"Nhãn")</f>
        <v>Nhãn</v>
      </c>
      <c r="C1587" s="87" t="str">
        <f>IFERROR(__xludf.DUMMYFUNCTION("""COMPUTED_VALUE"""),"NDT1046")</f>
        <v>NDT1046</v>
      </c>
      <c r="D1587" s="87" t="str">
        <f>IFERROR(__xludf.DUMMYFUNCTION("""COMPUTED_VALUE"""),"[Nhãn] GC - IV - 1046 - Kim Ngọc - Siêu Dưỡng 30.10.10 (bột trắng) - 50gr - 400")</f>
        <v>[Nhãn] GC - IV - 1046 - Kim Ngọc - Siêu Dưỡng 30.10.10 (bột trắng) - 50gr - 400</v>
      </c>
      <c r="E1587" s="87" t="str">
        <f>IFERROR(__xludf.DUMMYFUNCTION("""COMPUTED_VALUE"""),"Vi lượng Basel DANA 20")</f>
        <v>Vi lượng Basel DANA 20</v>
      </c>
      <c r="F1587" s="87" t="str">
        <f>IFERROR(__xludf.DUMMYFUNCTION("""COMPUTED_VALUE"""),"HH1046")</f>
        <v>HH1046</v>
      </c>
      <c r="G1587" s="87" t="str">
        <f>IFERROR(__xludf.DUMMYFUNCTION("""COMPUTED_VALUE"""),"GC - IV - 1046 - Kim Ngọc - Siêu Dưỡng 30.10.10 (bột trắng) - 50gr - 400")</f>
        <v>GC - IV - 1046 - Kim Ngọc - Siêu Dưỡng 30.10.10 (bột trắng) - 50gr - 400</v>
      </c>
    </row>
    <row r="1588">
      <c r="A1588" s="86">
        <f>IFERROR(__xludf.DUMMYFUNCTION("""COMPUTED_VALUE"""),1586.0)</f>
        <v>1586</v>
      </c>
      <c r="B1588" s="87" t="str">
        <f>IFERROR(__xludf.DUMMYFUNCTION("""COMPUTED_VALUE"""),"Nhãn")</f>
        <v>Nhãn</v>
      </c>
      <c r="C1588" s="87" t="str">
        <f>IFERROR(__xludf.DUMMYFUNCTION("""COMPUTED_VALUE"""),"NDT1047")</f>
        <v>NDT1047</v>
      </c>
      <c r="D1588" s="87" t="str">
        <f>IFERROR(__xludf.DUMMYFUNCTION("""COMPUTED_VALUE"""),"[Nhãn] GC - IV - 1047 - Kim Ngọc - Siêu đậu trái Boca (nước vàng) - 50ml - 400")</f>
        <v>[Nhãn] GC - IV - 1047 - Kim Ngọc - Siêu đậu trái Boca (nước vàng) - 50ml - 400</v>
      </c>
      <c r="E1588" s="87" t="str">
        <f>IFERROR(__xludf.DUMMYFUNCTION("""COMPUTED_VALUE"""),"Vi lượng Basel IDA 49")</f>
        <v>Vi lượng Basel IDA 49</v>
      </c>
      <c r="F1588" s="87" t="str">
        <f>IFERROR(__xludf.DUMMYFUNCTION("""COMPUTED_VALUE"""),"HH1047")</f>
        <v>HH1047</v>
      </c>
      <c r="G1588" s="87" t="str">
        <f>IFERROR(__xludf.DUMMYFUNCTION("""COMPUTED_VALUE"""),"GC - IV - 1047 - Kim Ngọc - Siêu đậu trái Boca (nước vàng) - 50ml - 400")</f>
        <v>GC - IV - 1047 - Kim Ngọc - Siêu đậu trái Boca (nước vàng) - 50ml - 400</v>
      </c>
    </row>
    <row r="1589">
      <c r="A1589" s="86">
        <f>IFERROR(__xludf.DUMMYFUNCTION("""COMPUTED_VALUE"""),1587.0)</f>
        <v>1587</v>
      </c>
      <c r="B1589" s="87" t="str">
        <f>IFERROR(__xludf.DUMMYFUNCTION("""COMPUTED_VALUE"""),"Nhãn")</f>
        <v>Nhãn</v>
      </c>
      <c r="C1589" s="87" t="str">
        <f>IFERROR(__xludf.DUMMYFUNCTION("""COMPUTED_VALUE"""),"NTN1048")</f>
        <v>NTN1048</v>
      </c>
      <c r="D1589" s="87" t="str">
        <f>IFERROR(__xludf.DUMMYFUNCTION("""COMPUTED_VALUE"""),"[Nhãn] GC - IV - 1048 - Kim Ngọc - Siêu ra rễ rong biển (bột trắng) - 50gr - 400")</f>
        <v>[Nhãn] GC - IV - 1048 - Kim Ngọc - Siêu ra rễ rong biển (bột trắng) - 50gr - 400</v>
      </c>
      <c r="E1589" s="87" t="str">
        <f>IFERROR(__xludf.DUMMYFUNCTION("""COMPUTED_VALUE"""),"Vi lượng Basel VA68")</f>
        <v>Vi lượng Basel VA68</v>
      </c>
      <c r="F1589" s="87" t="str">
        <f>IFERROR(__xludf.DUMMYFUNCTION("""COMPUTED_VALUE"""),"HH1048")</f>
        <v>HH1048</v>
      </c>
      <c r="G1589" s="87" t="str">
        <f>IFERROR(__xludf.DUMMYFUNCTION("""COMPUTED_VALUE"""),"GC - IV - 1048 - Kim Ngọc - Siêu ra rễ rong biển (bột trắng) - 50gr - 400")</f>
        <v>GC - IV - 1048 - Kim Ngọc - Siêu ra rễ rong biển (bột trắng) - 50gr - 400</v>
      </c>
    </row>
    <row r="1590">
      <c r="A1590" s="86">
        <f>IFERROR(__xludf.DUMMYFUNCTION("""COMPUTED_VALUE"""),1588.0)</f>
        <v>1588</v>
      </c>
      <c r="B1590" s="87" t="str">
        <f>IFERROR(__xludf.DUMMYFUNCTION("""COMPUTED_VALUE"""),"Nhãn")</f>
        <v>Nhãn</v>
      </c>
      <c r="C1590" s="87" t="str">
        <f>IFERROR(__xludf.DUMMYFUNCTION("""COMPUTED_VALUE"""),"NDT1048")</f>
        <v>NDT1048</v>
      </c>
      <c r="D1590" s="87" t="str">
        <f>IFERROR(__xludf.DUMMYFUNCTION("""COMPUTED_VALUE"""),"[Nhãn] GC - IV - 1048 - Kim Ngọc - Siêu ra rễ rong biển (bột trắng) - 50gr - 400")</f>
        <v>[Nhãn] GC - IV - 1048 - Kim Ngọc - Siêu ra rễ rong biển (bột trắng) - 50gr - 400</v>
      </c>
      <c r="E1590" s="87" t="str">
        <f>IFERROR(__xludf.DUMMYFUNCTION("""COMPUTED_VALUE"""),"Vi lượng Basel VA68")</f>
        <v>Vi lượng Basel VA68</v>
      </c>
      <c r="F1590" s="87" t="str">
        <f>IFERROR(__xludf.DUMMYFUNCTION("""COMPUTED_VALUE"""),"HH1048")</f>
        <v>HH1048</v>
      </c>
      <c r="G1590" s="87" t="str">
        <f>IFERROR(__xludf.DUMMYFUNCTION("""COMPUTED_VALUE"""),"GC - IV - 1048 - Kim Ngọc - Siêu ra rễ rong biển (bột trắng) - 50gr - 400")</f>
        <v>GC - IV - 1048 - Kim Ngọc - Siêu ra rễ rong biển (bột trắng) - 50gr - 400</v>
      </c>
    </row>
    <row r="1591">
      <c r="A1591" s="86">
        <f>IFERROR(__xludf.DUMMYFUNCTION("""COMPUTED_VALUE"""),1589.0)</f>
        <v>1589</v>
      </c>
      <c r="B1591" s="87" t="str">
        <f>IFERROR(__xludf.DUMMYFUNCTION("""COMPUTED_VALUE"""),"Nhãn")</f>
        <v>Nhãn</v>
      </c>
      <c r="C1591" s="87" t="str">
        <f>IFERROR(__xludf.DUMMYFUNCTION("""COMPUTED_VALUE"""),"NHG1050")</f>
        <v>NHG1050</v>
      </c>
      <c r="D1591" s="87" t="str">
        <f>IFERROR(__xludf.DUMMYFUNCTION("""COMPUTED_VALUE"""),"[Nhãn] GC - IV - 1050 - Huy Phát - A-CARI (chai nhôm đỏ) - 240ml - 40")</f>
        <v>[Nhãn] GC - IV - 1050 - Huy Phát - A-CARI (chai nhôm đỏ) - 240ml - 40</v>
      </c>
      <c r="E1591" s="87" t="str">
        <f>IFERROR(__xludf.DUMMYFUNCTION("""COMPUTED_VALUE"""),"CHIM ƯNG 3.8EC")</f>
        <v>CHIM ƯNG 3.8EC</v>
      </c>
      <c r="F1591" s="87" t="str">
        <f>IFERROR(__xludf.DUMMYFUNCTION("""COMPUTED_VALUE"""),"HH1050")</f>
        <v>HH1050</v>
      </c>
      <c r="G1591" s="87" t="str">
        <f>IFERROR(__xludf.DUMMYFUNCTION("""COMPUTED_VALUE"""),"GC - IV - 1050 - Huy Phát - A-CARI (chai nhôm đỏ) - 240ml - 40")</f>
        <v>GC - IV - 1050 - Huy Phát - A-CARI (chai nhôm đỏ) - 240ml - 40</v>
      </c>
    </row>
    <row r="1592">
      <c r="A1592" s="86">
        <f>IFERROR(__xludf.DUMMYFUNCTION("""COMPUTED_VALUE"""),1590.0)</f>
        <v>1590</v>
      </c>
      <c r="B1592" s="87" t="str">
        <f>IFERROR(__xludf.DUMMYFUNCTION("""COMPUTED_VALUE"""),"Nhãn")</f>
        <v>Nhãn</v>
      </c>
      <c r="C1592" s="87" t="str">
        <f>IFERROR(__xludf.DUMMYFUNCTION("""COMPUTED_VALUE"""),"NHD1054")</f>
        <v>NHD1054</v>
      </c>
      <c r="D1592" s="87" t="str">
        <f>IFERROR(__xludf.DUMMYFUNCTION("""COMPUTED_VALUE"""),"[Nhãn] NB - K - 1054 - Mầm Vàng - Vua Trừ Nhện - (Pet vuông)(nắp đỏ)(nước nâu đen) - 450ml - 40")</f>
        <v>[Nhãn] NB - K - 1054 - Mầm Vàng - Vua Trừ Nhện - (Pet vuông)(nắp đỏ)(nước nâu đen) - 450ml - 40</v>
      </c>
      <c r="E1592" s="87" t="str">
        <f>IFERROR(__xludf.DUMMYFUNCTION("""COMPUTED_VALUE"""),"HAIHAMEC 3.6EC")</f>
        <v>HAIHAMEC 3.6EC</v>
      </c>
      <c r="F1592" s="87" t="str">
        <f>IFERROR(__xludf.DUMMYFUNCTION("""COMPUTED_VALUE"""),"HH1054")</f>
        <v>HH1054</v>
      </c>
      <c r="G1592" s="87" t="str">
        <f>IFERROR(__xludf.DUMMYFUNCTION("""COMPUTED_VALUE"""),"NB - K - 1054 - Mầm Vàng - Vua Trừ Nhện - (Pet vuông)(nắp đỏ)(nước nâu đen) - 450ml - 40")</f>
        <v>NB - K - 1054 - Mầm Vàng - Vua Trừ Nhện - (Pet vuông)(nắp đỏ)(nước nâu đen) - 450ml - 40</v>
      </c>
    </row>
    <row r="1593">
      <c r="A1593" s="86">
        <f>IFERROR(__xludf.DUMMYFUNCTION("""COMPUTED_VALUE"""),1591.0)</f>
        <v>1591</v>
      </c>
      <c r="B1593" s="87" t="str">
        <f>IFERROR(__xludf.DUMMYFUNCTION("""COMPUTED_VALUE"""),"Nhãn")</f>
        <v>Nhãn</v>
      </c>
      <c r="C1593" s="87" t="str">
        <f>IFERROR(__xludf.DUMMYFUNCTION("""COMPUTED_VALUE"""),"NHG1055")</f>
        <v>NHG1055</v>
      </c>
      <c r="D1593" s="87" t="str">
        <f>IFERROR(__xludf.DUMMYFUNCTION("""COMPUTED_VALUE"""),"[Nhãn] GC - IV - 1055 - GNH - Siêu Kích Rễ (HD trắng)(nước nâu đen) - 500ml - 40")</f>
        <v>[Nhãn] GC - IV - 1055 - GNH - Siêu Kích Rễ (HD trắng)(nước nâu đen) - 500ml - 40</v>
      </c>
      <c r="E1593" s="87" t="str">
        <f>IFERROR(__xludf.DUMMYFUNCTION("""COMPUTED_VALUE"""),"Vi lượng Quantity New")</f>
        <v>Vi lượng Quantity New</v>
      </c>
      <c r="F1593" s="87" t="str">
        <f>IFERROR(__xludf.DUMMYFUNCTION("""COMPUTED_VALUE"""),"HH1055")</f>
        <v>HH1055</v>
      </c>
      <c r="G1593" s="87" t="str">
        <f>IFERROR(__xludf.DUMMYFUNCTION("""COMPUTED_VALUE"""),"GC - IV - 1055 - GNH - Siêu Kích Rễ (HD trắng)(nước nâu đen) - 500ml - 40")</f>
        <v>GC - IV - 1055 - GNH - Siêu Kích Rễ (HD trắng)(nước nâu đen) - 500ml - 40</v>
      </c>
    </row>
    <row r="1594">
      <c r="A1594" s="86">
        <f>IFERROR(__xludf.DUMMYFUNCTION("""COMPUTED_VALUE"""),1592.0)</f>
        <v>1592</v>
      </c>
      <c r="B1594" s="87" t="str">
        <f>IFERROR(__xludf.DUMMYFUNCTION("""COMPUTED_VALUE"""),"Nhãn")</f>
        <v>Nhãn</v>
      </c>
      <c r="C1594" s="87" t="str">
        <f>IFERROR(__xludf.DUMMYFUNCTION("""COMPUTED_VALUE"""),"NHG1056")</f>
        <v>NHG1056</v>
      </c>
      <c r="D1594" s="87" t="str">
        <f>IFERROR(__xludf.DUMMYFUNCTION("""COMPUTED_VALUE"""),"[Nhãn] IDA Global - I - 1056 - Cá Mập 300 (nhãn đỏ)(chai HD)(nước trắng sữa) - 240ml - 40")</f>
        <v>[Nhãn] IDA Global - I - 1056 - Cá Mập 300 (nhãn đỏ)(chai HD)(nước trắng sữa) - 240ml - 40</v>
      </c>
      <c r="E1594" s="87" t="str">
        <f>IFERROR(__xludf.DUMMYFUNCTION("""COMPUTED_VALUE"""),"Solonapy 300SC")</f>
        <v>Solonapy 300SC</v>
      </c>
      <c r="F1594" s="87" t="str">
        <f>IFERROR(__xludf.DUMMYFUNCTION("""COMPUTED_VALUE"""),"HH1056")</f>
        <v>HH1056</v>
      </c>
      <c r="G1594" s="87" t="str">
        <f>IFERROR(__xludf.DUMMYFUNCTION("""COMPUTED_VALUE"""),"IDA Global - I - 1056 - Cá Mập 300 (nhãn đỏ)(chai HD)(nước trắng sữa) - 240ml - 40")</f>
        <v>IDA Global - I - 1056 - Cá Mập 300 (nhãn đỏ)(chai HD)(nước trắng sữa) - 240ml - 40</v>
      </c>
    </row>
    <row r="1595">
      <c r="A1595" s="86">
        <f>IFERROR(__xludf.DUMMYFUNCTION("""COMPUTED_VALUE"""),1593.0)</f>
        <v>1593</v>
      </c>
      <c r="B1595" s="87" t="str">
        <f>IFERROR(__xludf.DUMMYFUNCTION("""COMPUTED_VALUE"""),"Nhãn")</f>
        <v>Nhãn</v>
      </c>
      <c r="C1595" s="87" t="str">
        <f>IFERROR(__xludf.DUMMYFUNCTION("""COMPUTED_VALUE"""),"NHD1059")</f>
        <v>NHD1059</v>
      </c>
      <c r="D1595" s="87" t="str">
        <f>IFERROR(__xludf.DUMMYFUNCTION("""COMPUTED_VALUE"""),"[Nhãn] GC - II - 1059 - An Khang - Fullvix 15 (nước nâu đen) - 5L - 4")</f>
        <v>[Nhãn] GC - II - 1059 - An Khang - Fullvix 15 (nước nâu đen) - 5L - 4</v>
      </c>
      <c r="E1595" s="87" t="str">
        <f>IFERROR(__xludf.DUMMYFUNCTION("""COMPUTED_VALUE"""),"Vi lượng Basel VA01")</f>
        <v>Vi lượng Basel VA01</v>
      </c>
      <c r="F1595" s="87" t="str">
        <f>IFERROR(__xludf.DUMMYFUNCTION("""COMPUTED_VALUE"""),"HH1059")</f>
        <v>HH1059</v>
      </c>
      <c r="G1595" s="87" t="str">
        <f>IFERROR(__xludf.DUMMYFUNCTION("""COMPUTED_VALUE"""),"GC - II - 1059 - An Khang - Fullvix 15 (nước nâu đen) - 5L - 4")</f>
        <v>GC - II - 1059 - An Khang - Fullvix 15 (nước nâu đen) - 5L - 4</v>
      </c>
    </row>
    <row r="1596">
      <c r="A1596" s="86">
        <f>IFERROR(__xludf.DUMMYFUNCTION("""COMPUTED_VALUE"""),1594.0)</f>
        <v>1594</v>
      </c>
      <c r="B1596" s="87" t="str">
        <f>IFERROR(__xludf.DUMMYFUNCTION("""COMPUTED_VALUE"""),"Nhãn")</f>
        <v>Nhãn</v>
      </c>
      <c r="C1596" s="87" t="str">
        <f>IFERROR(__xludf.DUMMYFUNCTION("""COMPUTED_VALUE"""),"NTN1060")</f>
        <v>NTN1060</v>
      </c>
      <c r="D1596" s="87" t="str">
        <f>IFERROR(__xludf.DUMMYFUNCTION("""COMPUTED_VALUE"""),"[Nhãn] GC - II - 1060 - Mầm Vàng - Padagold (bột trắng) - 30gr - 600")</f>
        <v>[Nhãn] GC - II - 1060 - Mầm Vàng - Padagold (bột trắng) - 30gr - 600</v>
      </c>
      <c r="E1596" s="87" t="str">
        <f>IFERROR(__xludf.DUMMYFUNCTION("""COMPUTED_VALUE"""),"SHA CHONG JING 95WP")</f>
        <v>SHA CHONG JING 95WP</v>
      </c>
      <c r="F1596" s="87" t="str">
        <f>IFERROR(__xludf.DUMMYFUNCTION("""COMPUTED_VALUE"""),"HH1060")</f>
        <v>HH1060</v>
      </c>
      <c r="G1596" s="87" t="str">
        <f>IFERROR(__xludf.DUMMYFUNCTION("""COMPUTED_VALUE"""),"GC - II - 1060 - Mầm Vàng - Padagold (bột trắng) - 30gr - 600")</f>
        <v>GC - II - 1060 - Mầm Vàng - Padagold (bột trắng) - 30gr - 600</v>
      </c>
    </row>
    <row r="1597">
      <c r="A1597" s="86">
        <f>IFERROR(__xludf.DUMMYFUNCTION("""COMPUTED_VALUE"""),1595.0)</f>
        <v>1595</v>
      </c>
      <c r="B1597" s="87" t="str">
        <f>IFERROR(__xludf.DUMMYFUNCTION("""COMPUTED_VALUE"""),"Nhãn")</f>
        <v>Nhãn</v>
      </c>
      <c r="C1597" s="87" t="str">
        <f>IFERROR(__xludf.DUMMYFUNCTION("""COMPUTED_VALUE"""),"NDT1060")</f>
        <v>NDT1060</v>
      </c>
      <c r="D1597" s="87" t="str">
        <f>IFERROR(__xludf.DUMMYFUNCTION("""COMPUTED_VALUE"""),"[Nhãn] GC - II - 1060 - Mầm Vàng - Padagold (bột trắng) - 30gr - 600")</f>
        <v>[Nhãn] GC - II - 1060 - Mầm Vàng - Padagold (bột trắng) - 30gr - 600</v>
      </c>
      <c r="E1597" s="87" t="str">
        <f>IFERROR(__xludf.DUMMYFUNCTION("""COMPUTED_VALUE"""),"SHA CHONG JING 95WP")</f>
        <v>SHA CHONG JING 95WP</v>
      </c>
      <c r="F1597" s="87" t="str">
        <f>IFERROR(__xludf.DUMMYFUNCTION("""COMPUTED_VALUE"""),"HH1060")</f>
        <v>HH1060</v>
      </c>
      <c r="G1597" s="87" t="str">
        <f>IFERROR(__xludf.DUMMYFUNCTION("""COMPUTED_VALUE"""),"GC - II - 1060 - Mầm Vàng - Padagold (bột trắng) - 30gr - 600")</f>
        <v>GC - II - 1060 - Mầm Vàng - Padagold (bột trắng) - 30gr - 600</v>
      </c>
    </row>
    <row r="1598">
      <c r="A1598" s="86">
        <f>IFERROR(__xludf.DUMMYFUNCTION("""COMPUTED_VALUE"""),1596.0)</f>
        <v>1596</v>
      </c>
      <c r="B1598" s="87" t="str">
        <f>IFERROR(__xludf.DUMMYFUNCTION("""COMPUTED_VALUE"""),"Nhãn")</f>
        <v>Nhãn</v>
      </c>
      <c r="C1598" s="87" t="str">
        <f>IFERROR(__xludf.DUMMYFUNCTION("""COMPUTED_VALUE"""),"NTN1062")</f>
        <v>NTN1062</v>
      </c>
      <c r="D1598" s="87" t="str">
        <f>IFERROR(__xludf.DUMMYFUNCTION("""COMPUTED_VALUE"""),"[Nhãn] GC - II - 1062 - Mầm Vàng - Bemglod800 (bột cam) - 10gr - 800")</f>
        <v>[Nhãn] GC - II - 1062 - Mầm Vàng - Bemglod800 (bột cam) - 10gr - 800</v>
      </c>
      <c r="E1598" s="87" t="str">
        <f>IFERROR(__xludf.DUMMYFUNCTION("""COMPUTED_VALUE"""),"Pim.Pim 75WP")</f>
        <v>Pim.Pim 75WP</v>
      </c>
      <c r="F1598" s="87" t="str">
        <f>IFERROR(__xludf.DUMMYFUNCTION("""COMPUTED_VALUE"""),"HH1062")</f>
        <v>HH1062</v>
      </c>
      <c r="G1598" s="87" t="str">
        <f>IFERROR(__xludf.DUMMYFUNCTION("""COMPUTED_VALUE"""),"GC - II - 1062 - Mầm Vàng - Bemglod800 (bột cam) - 10gr - 800")</f>
        <v>GC - II - 1062 - Mầm Vàng - Bemglod800 (bột cam) - 10gr - 800</v>
      </c>
    </row>
    <row r="1599">
      <c r="A1599" s="86">
        <f>IFERROR(__xludf.DUMMYFUNCTION("""COMPUTED_VALUE"""),1597.0)</f>
        <v>1597</v>
      </c>
      <c r="B1599" s="87" t="str">
        <f>IFERROR(__xludf.DUMMYFUNCTION("""COMPUTED_VALUE"""),"Nhãn")</f>
        <v>Nhãn</v>
      </c>
      <c r="C1599" s="87" t="str">
        <f>IFERROR(__xludf.DUMMYFUNCTION("""COMPUTED_VALUE"""),"NDT1062")</f>
        <v>NDT1062</v>
      </c>
      <c r="D1599" s="87" t="str">
        <f>IFERROR(__xludf.DUMMYFUNCTION("""COMPUTED_VALUE"""),"[Nhãn] GC - II - 1062 - Mầm Vàng - Bemglod800 (bột cam) - 10gr - 800")</f>
        <v>[Nhãn] GC - II - 1062 - Mầm Vàng - Bemglod800 (bột cam) - 10gr - 800</v>
      </c>
      <c r="E1599" s="87" t="str">
        <f>IFERROR(__xludf.DUMMYFUNCTION("""COMPUTED_VALUE"""),"Pim.Pim 75WP")</f>
        <v>Pim.Pim 75WP</v>
      </c>
      <c r="F1599" s="87" t="str">
        <f>IFERROR(__xludf.DUMMYFUNCTION("""COMPUTED_VALUE"""),"HH1062")</f>
        <v>HH1062</v>
      </c>
      <c r="G1599" s="87" t="str">
        <f>IFERROR(__xludf.DUMMYFUNCTION("""COMPUTED_VALUE"""),"GC - II - 1062 - Mầm Vàng - Bemglod800 (bột cam) - 10gr - 800")</f>
        <v>GC - II - 1062 - Mầm Vàng - Bemglod800 (bột cam) - 10gr - 800</v>
      </c>
    </row>
    <row r="1600">
      <c r="A1600" s="86">
        <f>IFERROR(__xludf.DUMMYFUNCTION("""COMPUTED_VALUE"""),1598.0)</f>
        <v>1598</v>
      </c>
      <c r="B1600" s="87" t="str">
        <f>IFERROR(__xludf.DUMMYFUNCTION("""COMPUTED_VALUE"""),"Nhãn")</f>
        <v>Nhãn</v>
      </c>
      <c r="C1600" s="87" t="str">
        <f>IFERROR(__xludf.DUMMYFUNCTION("""COMPUTED_VALUE"""),"NTN1063")</f>
        <v>NTN1063</v>
      </c>
      <c r="D1600" s="87" t="str">
        <f>IFERROR(__xludf.DUMMYFUNCTION("""COMPUTED_VALUE"""),"[Nhãn] GC - II - 1063 - Mầm Vàng - Bim 800 (bột cam) - 7.5gr - 1200")</f>
        <v>[Nhãn] GC - II - 1063 - Mầm Vàng - Bim 800 (bột cam) - 7.5gr - 1200</v>
      </c>
      <c r="E1600" s="87" t="str">
        <f>IFERROR(__xludf.DUMMYFUNCTION("""COMPUTED_VALUE"""),"Pim.Pim 75WP")</f>
        <v>Pim.Pim 75WP</v>
      </c>
      <c r="F1600" s="87" t="str">
        <f>IFERROR(__xludf.DUMMYFUNCTION("""COMPUTED_VALUE"""),"HH1063")</f>
        <v>HH1063</v>
      </c>
      <c r="G1600" s="87" t="str">
        <f>IFERROR(__xludf.DUMMYFUNCTION("""COMPUTED_VALUE"""),"GC - II - 1063 - Mầm Vàng - Bim 800 (bột cam) - 7.5gr - 1200")</f>
        <v>GC - II - 1063 - Mầm Vàng - Bim 800 (bột cam) - 7.5gr - 1200</v>
      </c>
    </row>
    <row r="1601">
      <c r="A1601" s="86">
        <f>IFERROR(__xludf.DUMMYFUNCTION("""COMPUTED_VALUE"""),1599.0)</f>
        <v>1599</v>
      </c>
      <c r="B1601" s="87" t="str">
        <f>IFERROR(__xludf.DUMMYFUNCTION("""COMPUTED_VALUE"""),"Nhãn")</f>
        <v>Nhãn</v>
      </c>
      <c r="C1601" s="87" t="str">
        <f>IFERROR(__xludf.DUMMYFUNCTION("""COMPUTED_VALUE"""),"NDT1063")</f>
        <v>NDT1063</v>
      </c>
      <c r="D1601" s="87" t="str">
        <f>IFERROR(__xludf.DUMMYFUNCTION("""COMPUTED_VALUE"""),"[Nhãn] GC - II - 1063 - Mầm Vàng - Bim 800 (bột cam) - 7.5gr - 1200")</f>
        <v>[Nhãn] GC - II - 1063 - Mầm Vàng - Bim 800 (bột cam) - 7.5gr - 1200</v>
      </c>
      <c r="E1601" s="87" t="str">
        <f>IFERROR(__xludf.DUMMYFUNCTION("""COMPUTED_VALUE"""),"Pim.Pim 75WP")</f>
        <v>Pim.Pim 75WP</v>
      </c>
      <c r="F1601" s="87" t="str">
        <f>IFERROR(__xludf.DUMMYFUNCTION("""COMPUTED_VALUE"""),"HH1063")</f>
        <v>HH1063</v>
      </c>
      <c r="G1601" s="87" t="str">
        <f>IFERROR(__xludf.DUMMYFUNCTION("""COMPUTED_VALUE"""),"GC - II - 1063 - Mầm Vàng - Bim 800 (bột cam) - 7.5gr - 1200")</f>
        <v>GC - II - 1063 - Mầm Vàng - Bim 800 (bột cam) - 7.5gr - 1200</v>
      </c>
    </row>
    <row r="1602">
      <c r="A1602" s="86">
        <f>IFERROR(__xludf.DUMMYFUNCTION("""COMPUTED_VALUE"""),1600.0)</f>
        <v>1600</v>
      </c>
      <c r="B1602" s="87" t="str">
        <f>IFERROR(__xludf.DUMMYFUNCTION("""COMPUTED_VALUE"""),"Nhãn")</f>
        <v>Nhãn</v>
      </c>
      <c r="C1602" s="87" t="str">
        <f>IFERROR(__xludf.DUMMYFUNCTION("""COMPUTED_VALUE"""),"NTN1064")</f>
        <v>NTN1064</v>
      </c>
      <c r="D1602" s="87" t="str">
        <f>IFERROR(__xludf.DUMMYFUNCTION("""COMPUTED_VALUE"""),"[Nhãn] GC - II - 1064 - Mầm Vàng - Vua đục thân (bột trắng) - 35gr - 600")</f>
        <v>[Nhãn] GC - II - 1064 - Mầm Vàng - Vua đục thân (bột trắng) - 35gr - 600</v>
      </c>
      <c r="E1602" s="87" t="str">
        <f>IFERROR(__xludf.DUMMYFUNCTION("""COMPUTED_VALUE"""),"SHA CHONG JING 95WP")</f>
        <v>SHA CHONG JING 95WP</v>
      </c>
      <c r="F1602" s="87" t="str">
        <f>IFERROR(__xludf.DUMMYFUNCTION("""COMPUTED_VALUE"""),"HH1064")</f>
        <v>HH1064</v>
      </c>
      <c r="G1602" s="87" t="str">
        <f>IFERROR(__xludf.DUMMYFUNCTION("""COMPUTED_VALUE"""),"GC - II - 1064 - Mầm Vàng - Vua đục thân (bột trắng) - 35gr - 600")</f>
        <v>GC - II - 1064 - Mầm Vàng - Vua đục thân (bột trắng) - 35gr - 600</v>
      </c>
    </row>
    <row r="1603">
      <c r="A1603" s="86">
        <f>IFERROR(__xludf.DUMMYFUNCTION("""COMPUTED_VALUE"""),1601.0)</f>
        <v>1601</v>
      </c>
      <c r="B1603" s="87" t="str">
        <f>IFERROR(__xludf.DUMMYFUNCTION("""COMPUTED_VALUE"""),"Nhãn")</f>
        <v>Nhãn</v>
      </c>
      <c r="C1603" s="87" t="str">
        <f>IFERROR(__xludf.DUMMYFUNCTION("""COMPUTED_VALUE"""),"NDT1064")</f>
        <v>NDT1064</v>
      </c>
      <c r="D1603" s="87" t="str">
        <f>IFERROR(__xludf.DUMMYFUNCTION("""COMPUTED_VALUE"""),"[Nhãn] GC - II - 1064 - Mầm Vàng - Vua đục thân (bột trắng) - 35gr - 600")</f>
        <v>[Nhãn] GC - II - 1064 - Mầm Vàng - Vua đục thân (bột trắng) - 35gr - 600</v>
      </c>
      <c r="E1603" s="87" t="str">
        <f>IFERROR(__xludf.DUMMYFUNCTION("""COMPUTED_VALUE"""),"SHA CHONG JING 95WP")</f>
        <v>SHA CHONG JING 95WP</v>
      </c>
      <c r="F1603" s="87" t="str">
        <f>IFERROR(__xludf.DUMMYFUNCTION("""COMPUTED_VALUE"""),"HH1064")</f>
        <v>HH1064</v>
      </c>
      <c r="G1603" s="87" t="str">
        <f>IFERROR(__xludf.DUMMYFUNCTION("""COMPUTED_VALUE"""),"GC - II - 1064 - Mầm Vàng - Vua đục thân (bột trắng) - 35gr - 600")</f>
        <v>GC - II - 1064 - Mầm Vàng - Vua đục thân (bột trắng) - 35gr - 600</v>
      </c>
    </row>
    <row r="1604">
      <c r="A1604" s="86">
        <f>IFERROR(__xludf.DUMMYFUNCTION("""COMPUTED_VALUE"""),1602.0)</f>
        <v>1602</v>
      </c>
      <c r="B1604" s="87" t="str">
        <f>IFERROR(__xludf.DUMMYFUNCTION("""COMPUTED_VALUE"""),"Nhãn")</f>
        <v>Nhãn</v>
      </c>
      <c r="C1604" s="87" t="str">
        <f>IFERROR(__xludf.DUMMYFUNCTION("""COMPUTED_VALUE"""),"NTN1066")</f>
        <v>NTN1066</v>
      </c>
      <c r="D1604" s="87" t="str">
        <f>IFERROR(__xludf.DUMMYFUNCTION("""COMPUTED_VALUE"""),"[Nhãn] GC - IV - 1066 - Thần Nông - Mancozeb xanh (bột xanh) - 1 Kg - 20")</f>
        <v>[Nhãn] GC - IV - 1066 - Thần Nông - Mancozeb xanh (bột xanh) - 1 Kg - 20</v>
      </c>
      <c r="E1604" s="87" t="str">
        <f>IFERROR(__xludf.DUMMYFUNCTION("""COMPUTED_VALUE"""),"BYPHAN 800WP")</f>
        <v>BYPHAN 800WP</v>
      </c>
      <c r="F1604" s="87" t="str">
        <f>IFERROR(__xludf.DUMMYFUNCTION("""COMPUTED_VALUE"""),"HH1066")</f>
        <v>HH1066</v>
      </c>
      <c r="G1604" s="87" t="str">
        <f>IFERROR(__xludf.DUMMYFUNCTION("""COMPUTED_VALUE"""),"GC - IV - 1066 - Thần Nông - Mancozeb xanh (bột xanh) - 1 Kg - 20")</f>
        <v>GC - IV - 1066 - Thần Nông - Mancozeb xanh (bột xanh) - 1 Kg - 20</v>
      </c>
    </row>
    <row r="1605">
      <c r="A1605" s="86">
        <f>IFERROR(__xludf.DUMMYFUNCTION("""COMPUTED_VALUE"""),1603.0)</f>
        <v>1603</v>
      </c>
      <c r="B1605" s="87" t="str">
        <f>IFERROR(__xludf.DUMMYFUNCTION("""COMPUTED_VALUE"""),"Nhãn")</f>
        <v>Nhãn</v>
      </c>
      <c r="C1605" s="87" t="str">
        <f>IFERROR(__xludf.DUMMYFUNCTION("""COMPUTED_VALUE"""),"NDT1066")</f>
        <v>NDT1066</v>
      </c>
      <c r="D1605" s="87" t="str">
        <f>IFERROR(__xludf.DUMMYFUNCTION("""COMPUTED_VALUE"""),"[Nhãn] GC - IV - 1066 - Thần Nông - Mancozeb xanh (bột xanh) - 1 Kg - 20")</f>
        <v>[Nhãn] GC - IV - 1066 - Thần Nông - Mancozeb xanh (bột xanh) - 1 Kg - 20</v>
      </c>
      <c r="E1605" s="87" t="str">
        <f>IFERROR(__xludf.DUMMYFUNCTION("""COMPUTED_VALUE"""),"BYPHAN 800WP")</f>
        <v>BYPHAN 800WP</v>
      </c>
      <c r="F1605" s="87" t="str">
        <f>IFERROR(__xludf.DUMMYFUNCTION("""COMPUTED_VALUE"""),"HH1066")</f>
        <v>HH1066</v>
      </c>
      <c r="G1605" s="87" t="str">
        <f>IFERROR(__xludf.DUMMYFUNCTION("""COMPUTED_VALUE"""),"GC - IV - 1066 - Thần Nông - Mancozeb xanh (bột xanh) - 1 Kg - 20")</f>
        <v>GC - IV - 1066 - Thần Nông - Mancozeb xanh (bột xanh) - 1 Kg - 20</v>
      </c>
    </row>
    <row r="1606">
      <c r="A1606" s="86">
        <f>IFERROR(__xludf.DUMMYFUNCTION("""COMPUTED_VALUE"""),1604.0)</f>
        <v>1604</v>
      </c>
      <c r="B1606" s="87" t="str">
        <f>IFERROR(__xludf.DUMMYFUNCTION("""COMPUTED_VALUE"""),"Nhãn")</f>
        <v>Nhãn</v>
      </c>
      <c r="C1606" s="87" t="str">
        <f>IFERROR(__xludf.DUMMYFUNCTION("""COMPUTED_VALUE"""),"NHD1067")</f>
        <v>NHD1067</v>
      </c>
      <c r="D1606" s="87" t="str">
        <f>IFERROR(__xludf.DUMMYFUNCTION("""COMPUTED_VALUE"""),"[Nhãn] GC - IV - 1067 - Kim Ngọc - Đạm Cá USA  (Nước nâu đen) - 5L - 4")</f>
        <v>[Nhãn] GC - IV - 1067 - Kim Ngọc - Đạm Cá USA  (Nước nâu đen) - 5L - 4</v>
      </c>
      <c r="E1606" s="87" t="str">
        <f>IFERROR(__xludf.DUMMYFUNCTION("""COMPUTED_VALUE"""),"Vi lượng Basel VA02")</f>
        <v>Vi lượng Basel VA02</v>
      </c>
      <c r="F1606" s="87" t="str">
        <f>IFERROR(__xludf.DUMMYFUNCTION("""COMPUTED_VALUE"""),"HH1067")</f>
        <v>HH1067</v>
      </c>
      <c r="G1606" s="87" t="str">
        <f>IFERROR(__xludf.DUMMYFUNCTION("""COMPUTED_VALUE"""),"GC - IV - 1067 - Kim Ngọc - Đạm Cá USA  (Nước nâu đen) - 5L - 4")</f>
        <v>GC - IV - 1067 - Kim Ngọc - Đạm Cá USA  (Nước nâu đen) - 5L - 4</v>
      </c>
    </row>
    <row r="1607">
      <c r="A1607" s="86">
        <f>IFERROR(__xludf.DUMMYFUNCTION("""COMPUTED_VALUE"""),1605.0)</f>
        <v>1605</v>
      </c>
      <c r="B1607" s="87" t="str">
        <f>IFERROR(__xludf.DUMMYFUNCTION("""COMPUTED_VALUE"""),"Nhãn")</f>
        <v>Nhãn</v>
      </c>
      <c r="C1607" s="87" t="str">
        <f>IFERROR(__xludf.DUMMYFUNCTION("""COMPUTED_VALUE"""),"NTN1068")</f>
        <v>NTN1068</v>
      </c>
      <c r="D1607" s="87" t="str">
        <f>IFERROR(__xludf.DUMMYFUNCTION("""COMPUTED_VALUE"""),"[Nhãn] IDA Global - I - 1068 - Humi Total (nhãn viền cam)(vẩy màu đen) - 1kg - 25")</f>
        <v>[Nhãn] IDA Global - I - 1068 - Humi Total (nhãn viền cam)(vẩy màu đen) - 1kg - 25</v>
      </c>
      <c r="E1607" s="87" t="str">
        <f>IFERROR(__xludf.DUMMYFUNCTION("""COMPUTED_VALUE"""),"Vi lượng AV-CFC
(Dạng rắn)")</f>
        <v>Vi lượng AV-CFC
(Dạng rắn)</v>
      </c>
      <c r="F1607" s="87" t="str">
        <f>IFERROR(__xludf.DUMMYFUNCTION("""COMPUTED_VALUE"""),"HH1068")</f>
        <v>HH1068</v>
      </c>
      <c r="G1607" s="87" t="str">
        <f>IFERROR(__xludf.DUMMYFUNCTION("""COMPUTED_VALUE"""),"IDA Global - I - 1068 - Humi Total (nhãn viền cam)(vẩy màu đen) - 1kg - 25")</f>
        <v>IDA Global - I - 1068 - Humi Total (nhãn viền cam)(vẩy màu đen) - 1kg - 25</v>
      </c>
    </row>
    <row r="1608">
      <c r="A1608" s="86">
        <f>IFERROR(__xludf.DUMMYFUNCTION("""COMPUTED_VALUE"""),1606.0)</f>
        <v>1606</v>
      </c>
      <c r="B1608" s="87" t="str">
        <f>IFERROR(__xludf.DUMMYFUNCTION("""COMPUTED_VALUE"""),"Nhãn")</f>
        <v>Nhãn</v>
      </c>
      <c r="C1608" s="87" t="str">
        <f>IFERROR(__xludf.DUMMYFUNCTION("""COMPUTED_VALUE"""),"NDT1068")</f>
        <v>NDT1068</v>
      </c>
      <c r="D1608" s="87" t="str">
        <f>IFERROR(__xludf.DUMMYFUNCTION("""COMPUTED_VALUE"""),"[Nhãn] IDA Global - I - 1068 - Humi Total (nhãn viền cam)(vẩy màu đen) - 1kg - 25")</f>
        <v>[Nhãn] IDA Global - I - 1068 - Humi Total (nhãn viền cam)(vẩy màu đen) - 1kg - 25</v>
      </c>
      <c r="E1608" s="87" t="str">
        <f>IFERROR(__xludf.DUMMYFUNCTION("""COMPUTED_VALUE"""),"Vi lượng AV-CFC
(Dạng rắn)")</f>
        <v>Vi lượng AV-CFC
(Dạng rắn)</v>
      </c>
      <c r="F1608" s="87" t="str">
        <f>IFERROR(__xludf.DUMMYFUNCTION("""COMPUTED_VALUE"""),"HH1068")</f>
        <v>HH1068</v>
      </c>
      <c r="G1608" s="87" t="str">
        <f>IFERROR(__xludf.DUMMYFUNCTION("""COMPUTED_VALUE"""),"IDA Global - I - 1068 - Humi Total (nhãn viền cam)(vẩy màu đen) - 1kg - 25")</f>
        <v>IDA Global - I - 1068 - Humi Total (nhãn viền cam)(vẩy màu đen) - 1kg - 25</v>
      </c>
    </row>
    <row r="1609">
      <c r="A1609" s="86">
        <f>IFERROR(__xludf.DUMMYFUNCTION("""COMPUTED_VALUE"""),1607.0)</f>
        <v>1607</v>
      </c>
      <c r="B1609" s="87" t="str">
        <f>IFERROR(__xludf.DUMMYFUNCTION("""COMPUTED_VALUE"""),"Nhãn")</f>
        <v>Nhãn</v>
      </c>
      <c r="C1609" s="87" t="str">
        <f>IFERROR(__xludf.DUMMYFUNCTION("""COMPUTED_VALUE"""),"NTN1069")</f>
        <v>NTN1069</v>
      </c>
      <c r="D1609" s="87" t="str">
        <f>IFERROR(__xludf.DUMMYFUNCTION("""COMPUTED_VALUE"""),"[Nhãn] GC - II - 1069 - Mầm Vàng - Bemglod800 (bột cam) - 15gr - 600")</f>
        <v>[Nhãn] GC - II - 1069 - Mầm Vàng - Bemglod800 (bột cam) - 15gr - 600</v>
      </c>
      <c r="E1609" s="87" t="str">
        <f>IFERROR(__xludf.DUMMYFUNCTION("""COMPUTED_VALUE"""),"Pim.Pim 75WP")</f>
        <v>Pim.Pim 75WP</v>
      </c>
      <c r="F1609" s="87" t="str">
        <f>IFERROR(__xludf.DUMMYFUNCTION("""COMPUTED_VALUE"""),"HH1069")</f>
        <v>HH1069</v>
      </c>
      <c r="G1609" s="87" t="str">
        <f>IFERROR(__xludf.DUMMYFUNCTION("""COMPUTED_VALUE"""),"GC - II - 1069 - Mầm Vàng - Bemglod800 (bột cam) - 15gr - 600")</f>
        <v>GC - II - 1069 - Mầm Vàng - Bemglod800 (bột cam) - 15gr - 600</v>
      </c>
    </row>
    <row r="1610">
      <c r="A1610" s="86">
        <f>IFERROR(__xludf.DUMMYFUNCTION("""COMPUTED_VALUE"""),1608.0)</f>
        <v>1608</v>
      </c>
      <c r="B1610" s="87" t="str">
        <f>IFERROR(__xludf.DUMMYFUNCTION("""COMPUTED_VALUE"""),"Nhãn")</f>
        <v>Nhãn</v>
      </c>
      <c r="C1610" s="87" t="str">
        <f>IFERROR(__xludf.DUMMYFUNCTION("""COMPUTED_VALUE"""),"NDT1069")</f>
        <v>NDT1069</v>
      </c>
      <c r="D1610" s="87" t="str">
        <f>IFERROR(__xludf.DUMMYFUNCTION("""COMPUTED_VALUE"""),"[Nhãn] GC - II - 1069 - Mầm Vàng - Bemglod800 (bột cam) - 15gr - 600")</f>
        <v>[Nhãn] GC - II - 1069 - Mầm Vàng - Bemglod800 (bột cam) - 15gr - 600</v>
      </c>
      <c r="E1610" s="87" t="str">
        <f>IFERROR(__xludf.DUMMYFUNCTION("""COMPUTED_VALUE"""),"Pim.Pim 75WP")</f>
        <v>Pim.Pim 75WP</v>
      </c>
      <c r="F1610" s="87" t="str">
        <f>IFERROR(__xludf.DUMMYFUNCTION("""COMPUTED_VALUE"""),"HH1069")</f>
        <v>HH1069</v>
      </c>
      <c r="G1610" s="87" t="str">
        <f>IFERROR(__xludf.DUMMYFUNCTION("""COMPUTED_VALUE"""),"GC - II - 1069 - Mầm Vàng - Bemglod800 (bột cam) - 15gr - 600")</f>
        <v>GC - II - 1069 - Mầm Vàng - Bemglod800 (bột cam) - 15gr - 600</v>
      </c>
    </row>
    <row r="1611">
      <c r="A1611" s="86">
        <f>IFERROR(__xludf.DUMMYFUNCTION("""COMPUTED_VALUE"""),1609.0)</f>
        <v>1609</v>
      </c>
      <c r="B1611" s="87" t="str">
        <f>IFERROR(__xludf.DUMMYFUNCTION("""COMPUTED_VALUE"""),"Nhãn")</f>
        <v>Nhãn</v>
      </c>
      <c r="C1611" s="87" t="str">
        <f>IFERROR(__xludf.DUMMYFUNCTION("""COMPUTED_VALUE"""),"NHG1070")</f>
        <v>NHG1070</v>
      </c>
      <c r="D1611" s="87" t="str">
        <f>IFERROR(__xludf.DUMMYFUNCTION("""COMPUTED_VALUE"""),"[Nhãn] IDA Global - I - 1070 - Prohed 400EC (nước vàng) - 240ml - 60")</f>
        <v>[Nhãn] IDA Global - I - 1070 - Prohed 400EC (nước vàng) - 240ml - 60</v>
      </c>
      <c r="E1611" s="87" t="str">
        <f>IFERROR(__xludf.DUMMYFUNCTION("""COMPUTED_VALUE"""),"Prohed 400EC")</f>
        <v>Prohed 400EC</v>
      </c>
      <c r="F1611" s="87" t="str">
        <f>IFERROR(__xludf.DUMMYFUNCTION("""COMPUTED_VALUE"""),"HH1070")</f>
        <v>HH1070</v>
      </c>
      <c r="G1611" s="87" t="str">
        <f>IFERROR(__xludf.DUMMYFUNCTION("""COMPUTED_VALUE"""),"IDA Global - I - 1070 - Prohed 400EC (nước vàng) - 240ml - 60")</f>
        <v>IDA Global - I - 1070 - Prohed 400EC (nước vàng) - 240ml - 60</v>
      </c>
    </row>
    <row r="1612">
      <c r="A1612" s="86">
        <f>IFERROR(__xludf.DUMMYFUNCTION("""COMPUTED_VALUE"""),1610.0)</f>
        <v>1610</v>
      </c>
      <c r="B1612" s="87" t="str">
        <f>IFERROR(__xludf.DUMMYFUNCTION("""COMPUTED_VALUE"""),"Nhãn")</f>
        <v>Nhãn</v>
      </c>
      <c r="C1612" s="87" t="str">
        <f>IFERROR(__xludf.DUMMYFUNCTION("""COMPUTED_VALUE"""),"NHD1074")</f>
        <v>NHD1074</v>
      </c>
      <c r="D1612" s="87" t="str">
        <f>IFERROR(__xludf.DUMMYFUNCTION("""COMPUTED_VALUE"""),"[Nhãn] GC - II - 1074 - Thiện Thành - Xô Aky 999 (nước nâu đen) - 23.5kg - 1")</f>
        <v>[Nhãn] GC - II - 1074 - Thiện Thành - Xô Aky 999 (nước nâu đen) - 23.5kg - 1</v>
      </c>
      <c r="E1612" s="87" t="str">
        <f>IFERROR(__xludf.DUMMYFUNCTION("""COMPUTED_VALUE"""),"Vi lượng Basel VA01")</f>
        <v>Vi lượng Basel VA01</v>
      </c>
      <c r="F1612" s="87" t="str">
        <f>IFERROR(__xludf.DUMMYFUNCTION("""COMPUTED_VALUE"""),"HH1074")</f>
        <v>HH1074</v>
      </c>
      <c r="G1612" s="87" t="str">
        <f>IFERROR(__xludf.DUMMYFUNCTION("""COMPUTED_VALUE"""),"GC - II - 1074 - Thiện Thành - Xô Aky 999 (nước nâu đen) - 23.5kg - 1")</f>
        <v>GC - II - 1074 - Thiện Thành - Xô Aky 999 (nước nâu đen) - 23.5kg - 1</v>
      </c>
    </row>
    <row r="1613">
      <c r="A1613" s="86">
        <f>IFERROR(__xludf.DUMMYFUNCTION("""COMPUTED_VALUE"""),1611.0)</f>
        <v>1611</v>
      </c>
      <c r="B1613" s="87" t="str">
        <f>IFERROR(__xludf.DUMMYFUNCTION("""COMPUTED_VALUE"""),"Nhãn")</f>
        <v>Nhãn</v>
      </c>
      <c r="C1613" s="87" t="str">
        <f>IFERROR(__xludf.DUMMYFUNCTION("""COMPUTED_VALUE"""),"NTN1075")</f>
        <v>NTN1075</v>
      </c>
      <c r="D1613" s="87" t="str">
        <f>IFERROR(__xludf.DUMMYFUNCTION("""COMPUTED_VALUE"""),"[Nhãn] GC - IV - 1075 - Việt Đức - Imida Thái (bột trắng) - 100gr - 150")</f>
        <v>[Nhãn] GC - IV - 1075 - Việt Đức - Imida Thái (bột trắng) - 100gr - 150</v>
      </c>
      <c r="E1613" s="87" t="str">
        <f>IFERROR(__xludf.DUMMYFUNCTION("""COMPUTED_VALUE"""),"IMIPRID 10WP")</f>
        <v>IMIPRID 10WP</v>
      </c>
      <c r="F1613" s="87" t="str">
        <f>IFERROR(__xludf.DUMMYFUNCTION("""COMPUTED_VALUE"""),"HH1075")</f>
        <v>HH1075</v>
      </c>
      <c r="G1613" s="87" t="str">
        <f>IFERROR(__xludf.DUMMYFUNCTION("""COMPUTED_VALUE"""),"GC - IV - 1075 - Việt Đức - Imida Thái (bột trắng) - 100gr - 150")</f>
        <v>GC - IV - 1075 - Việt Đức - Imida Thái (bột trắng) - 100gr - 150</v>
      </c>
    </row>
    <row r="1614">
      <c r="A1614" s="86">
        <f>IFERROR(__xludf.DUMMYFUNCTION("""COMPUTED_VALUE"""),1612.0)</f>
        <v>1612</v>
      </c>
      <c r="B1614" s="87" t="str">
        <f>IFERROR(__xludf.DUMMYFUNCTION("""COMPUTED_VALUE"""),"Nhãn")</f>
        <v>Nhãn</v>
      </c>
      <c r="C1614" s="87" t="str">
        <f>IFERROR(__xludf.DUMMYFUNCTION("""COMPUTED_VALUE"""),"NTN1078")</f>
        <v>NTN1078</v>
      </c>
      <c r="D1614" s="87" t="str">
        <f>IFERROR(__xludf.DUMMYFUNCTION("""COMPUTED_VALUE"""),"[Nhãn] GC - IV - 1078 - GNH - Diệt đạo ôn (bột cam) - 25gr - 300")</f>
        <v>[Nhãn] GC - IV - 1078 - GNH - Diệt đạo ôn (bột cam) - 25gr - 300</v>
      </c>
      <c r="E1614" s="87" t="str">
        <f>IFERROR(__xludf.DUMMYFUNCTION("""COMPUTED_VALUE"""),"Pim.Pim 75WP")</f>
        <v>Pim.Pim 75WP</v>
      </c>
      <c r="F1614" s="87" t="str">
        <f>IFERROR(__xludf.DUMMYFUNCTION("""COMPUTED_VALUE"""),"HH1078")</f>
        <v>HH1078</v>
      </c>
      <c r="G1614" s="87" t="str">
        <f>IFERROR(__xludf.DUMMYFUNCTION("""COMPUTED_VALUE"""),"GC - IV - 1078 - GNH - Diệt đạo ôn (bột cam) - 25gr - 300")</f>
        <v>GC - IV - 1078 - GNH - Diệt đạo ôn (bột cam) - 25gr - 300</v>
      </c>
    </row>
    <row r="1615">
      <c r="A1615" s="86">
        <f>IFERROR(__xludf.DUMMYFUNCTION("""COMPUTED_VALUE"""),1613.0)</f>
        <v>1613</v>
      </c>
      <c r="B1615" s="87" t="str">
        <f>IFERROR(__xludf.DUMMYFUNCTION("""COMPUTED_VALUE"""),"Nhãn")</f>
        <v>Nhãn</v>
      </c>
      <c r="C1615" s="87" t="str">
        <f>IFERROR(__xludf.DUMMYFUNCTION("""COMPUTED_VALUE"""),"NTN1079")</f>
        <v>NTN1079</v>
      </c>
      <c r="D1615" s="87" t="str">
        <f>IFERROR(__xludf.DUMMYFUNCTION("""COMPUTED_VALUE"""),"[Nhãn] GC - IV - 1079 - Lâm Thành - Thần Diệt Trùng - Thái (bột trắng) - 100gr - 150")</f>
        <v>[Nhãn] GC - IV - 1079 - Lâm Thành - Thần Diệt Trùng - Thái (bột trắng) - 100gr - 150</v>
      </c>
      <c r="E1615" s="87" t="str">
        <f>IFERROR(__xludf.DUMMYFUNCTION("""COMPUTED_VALUE"""),"IMIPRID 10WP")</f>
        <v>IMIPRID 10WP</v>
      </c>
      <c r="F1615" s="87" t="str">
        <f>IFERROR(__xludf.DUMMYFUNCTION("""COMPUTED_VALUE"""),"HH1079")</f>
        <v>HH1079</v>
      </c>
      <c r="G1615" s="87" t="str">
        <f>IFERROR(__xludf.DUMMYFUNCTION("""COMPUTED_VALUE"""),"GC - IV - 1079 - Lâm Thành - Thần Diệt Trùng - Thái (bột trắng) - 100gr - 150")</f>
        <v>GC - IV - 1079 - Lâm Thành - Thần Diệt Trùng - Thái (bột trắng) - 100gr - 150</v>
      </c>
    </row>
    <row r="1616">
      <c r="A1616" s="86">
        <f>IFERROR(__xludf.DUMMYFUNCTION("""COMPUTED_VALUE"""),1614.0)</f>
        <v>1614</v>
      </c>
      <c r="B1616" s="87" t="str">
        <f>IFERROR(__xludf.DUMMYFUNCTION("""COMPUTED_VALUE"""),"Nhãn")</f>
        <v>Nhãn</v>
      </c>
      <c r="C1616" s="87" t="str">
        <f>IFERROR(__xludf.DUMMYFUNCTION("""COMPUTED_VALUE"""),"NHG1080")</f>
        <v>NHG1080</v>
      </c>
      <c r="D1616" s="87" t="str">
        <f>IFERROR(__xludf.DUMMYFUNCTION("""COMPUTED_VALUE"""),"[Nhãn] GC - IV - 1080 - Kim Ngọc - Sức Mạnh Chim Ưng (nước đỏ) - 240ml - 40")</f>
        <v>[Nhãn] GC - IV - 1080 - Kim Ngọc - Sức Mạnh Chim Ưng (nước đỏ) - 240ml - 40</v>
      </c>
      <c r="E1616" s="87" t="str">
        <f>IFERROR(__xludf.DUMMYFUNCTION("""COMPUTED_VALUE"""),"CHIM ƯNG 3.8EC")</f>
        <v>CHIM ƯNG 3.8EC</v>
      </c>
      <c r="F1616" s="87" t="str">
        <f>IFERROR(__xludf.DUMMYFUNCTION("""COMPUTED_VALUE"""),"HH1080")</f>
        <v>HH1080</v>
      </c>
      <c r="G1616" s="87" t="str">
        <f>IFERROR(__xludf.DUMMYFUNCTION("""COMPUTED_VALUE"""),"GC - IV - 1080 - Kim Ngọc - Sức Mạnh Chim Ưng (nước đỏ) - 240ml - 40")</f>
        <v>GC - IV - 1080 - Kim Ngọc - Sức Mạnh Chim Ưng (nước đỏ) - 240ml - 40</v>
      </c>
    </row>
    <row r="1617">
      <c r="A1617" s="86">
        <f>IFERROR(__xludf.DUMMYFUNCTION("""COMPUTED_VALUE"""),1615.0)</f>
        <v>1615</v>
      </c>
      <c r="B1617" s="87" t="str">
        <f>IFERROR(__xludf.DUMMYFUNCTION("""COMPUTED_VALUE"""),"Nhãn")</f>
        <v>Nhãn</v>
      </c>
      <c r="C1617" s="87" t="str">
        <f>IFERROR(__xludf.DUMMYFUNCTION("""COMPUTED_VALUE"""),"NHG1081")</f>
        <v>NHG1081</v>
      </c>
      <c r="D1617" s="87" t="str">
        <f>IFERROR(__xludf.DUMMYFUNCTION("""COMPUTED_VALUE"""),"[Nhãn] GC - IV - 1081 - Agritech -Mite-Killer (nước đỏ) - 240ml - 40")</f>
        <v>[Nhãn] GC - IV - 1081 - Agritech -Mite-Killer (nước đỏ) - 240ml - 40</v>
      </c>
      <c r="E1617" s="87" t="str">
        <f>IFERROR(__xludf.DUMMYFUNCTION("""COMPUTED_VALUE"""),"CHIM ƯNG 3.8EC")</f>
        <v>CHIM ƯNG 3.8EC</v>
      </c>
      <c r="F1617" s="87" t="str">
        <f>IFERROR(__xludf.DUMMYFUNCTION("""COMPUTED_VALUE"""),"HH1081")</f>
        <v>HH1081</v>
      </c>
      <c r="G1617" s="87" t="str">
        <f>IFERROR(__xludf.DUMMYFUNCTION("""COMPUTED_VALUE"""),"GC - IV - 1081 - Agritech -Mite-Killer (nước đỏ) - 240ml - 40")</f>
        <v>GC - IV - 1081 - Agritech -Mite-Killer (nước đỏ) - 240ml - 40</v>
      </c>
    </row>
    <row r="1618">
      <c r="A1618" s="86">
        <f>IFERROR(__xludf.DUMMYFUNCTION("""COMPUTED_VALUE"""),1616.0)</f>
        <v>1616</v>
      </c>
      <c r="B1618" s="87" t="str">
        <f>IFERROR(__xludf.DUMMYFUNCTION("""COMPUTED_VALUE"""),"Nhãn")</f>
        <v>Nhãn</v>
      </c>
      <c r="C1618" s="87" t="str">
        <f>IFERROR(__xludf.DUMMYFUNCTION("""COMPUTED_VALUE"""),"NHD1082")</f>
        <v>NHD1082</v>
      </c>
      <c r="D1618" s="87" t="str">
        <f>IFERROR(__xludf.DUMMYFUNCTION("""COMPUTED_VALUE"""),"[Nhãn] GC - I - 1082 - CT Tây Nguyên - Tikabamec 3.6EC (PET vuông) - 450ml - 40")</f>
        <v>[Nhãn] GC - I - 1082 - CT Tây Nguyên - Tikabamec 3.6EC (PET vuông) - 450ml - 40</v>
      </c>
      <c r="E1618" s="87" t="str">
        <f>IFERROR(__xludf.DUMMYFUNCTION("""COMPUTED_VALUE"""),"Tikabamec 3.6EC")</f>
        <v>Tikabamec 3.6EC</v>
      </c>
      <c r="F1618" s="87" t="str">
        <f>IFERROR(__xludf.DUMMYFUNCTION("""COMPUTED_VALUE"""),"HH1082")</f>
        <v>HH1082</v>
      </c>
      <c r="G1618" s="87" t="str">
        <f>IFERROR(__xludf.DUMMYFUNCTION("""COMPUTED_VALUE"""),"GC - I - 1082 - CT Tây Nguyên - Tikabamec 3.6EC (PET vuông) - 450ml - 40")</f>
        <v>GC - I - 1082 - CT Tây Nguyên - Tikabamec 3.6EC (PET vuông) - 450ml - 40</v>
      </c>
    </row>
    <row r="1619">
      <c r="A1619" s="86">
        <f>IFERROR(__xludf.DUMMYFUNCTION("""COMPUTED_VALUE"""),1617.0)</f>
        <v>1617</v>
      </c>
      <c r="B1619" s="87" t="str">
        <f>IFERROR(__xludf.DUMMYFUNCTION("""COMPUTED_VALUE"""),"Nhãn")</f>
        <v>Nhãn</v>
      </c>
      <c r="C1619" s="87" t="str">
        <f>IFERROR(__xludf.DUMMYFUNCTION("""COMPUTED_VALUE"""),"NHD1083")</f>
        <v>NHD1083</v>
      </c>
      <c r="D1619" s="87" t="str">
        <f>IFERROR(__xludf.DUMMYFUNCTION("""COMPUTED_VALUE"""),"[Nhãn] GC - I - 1083 - Notraco - Đổ Ốc (nước nâu đen) -  450ml - 40")</f>
        <v>[Nhãn] GC - I - 1083 - Notraco - Đổ Ốc (nước nâu đen) -  450ml - 40</v>
      </c>
      <c r="E1619" s="87" t="str">
        <f>IFERROR(__xludf.DUMMYFUNCTION("""COMPUTED_VALUE"""),"HAIHAMEC 3.6EC")</f>
        <v>HAIHAMEC 3.6EC</v>
      </c>
      <c r="F1619" s="87" t="str">
        <f>IFERROR(__xludf.DUMMYFUNCTION("""COMPUTED_VALUE"""),"HH1083")</f>
        <v>HH1083</v>
      </c>
      <c r="G1619" s="87" t="str">
        <f>IFERROR(__xludf.DUMMYFUNCTION("""COMPUTED_VALUE"""),"GC - I - 1083 - Notraco - Đổ Ốc (nước nâu đen) -  450ml - 40")</f>
        <v>GC - I - 1083 - Notraco - Đổ Ốc (nước nâu đen) -  450ml - 40</v>
      </c>
    </row>
    <row r="1620">
      <c r="A1620" s="86">
        <f>IFERROR(__xludf.DUMMYFUNCTION("""COMPUTED_VALUE"""),1618.0)</f>
        <v>1618</v>
      </c>
      <c r="B1620" s="87" t="str">
        <f>IFERROR(__xludf.DUMMYFUNCTION("""COMPUTED_VALUE"""),"Nhãn")</f>
        <v>Nhãn</v>
      </c>
      <c r="C1620" s="87" t="str">
        <f>IFERROR(__xludf.DUMMYFUNCTION("""COMPUTED_VALUE"""),"NTN1084")</f>
        <v>NTN1084</v>
      </c>
      <c r="D1620" s="87" t="str">
        <f>IFERROR(__xludf.DUMMYFUNCTION("""COMPUTED_VALUE"""),"[Nhãn] GC - IV - 1084 - Biotech Hà Lan - Siêu Rầy Thái (bột trắng) - 100gr - 150")</f>
        <v>[Nhãn] GC - IV - 1084 - Biotech Hà Lan - Siêu Rầy Thái (bột trắng) - 100gr - 150</v>
      </c>
      <c r="E1620" s="87" t="str">
        <f>IFERROR(__xludf.DUMMYFUNCTION("""COMPUTED_VALUE"""),"IMIPRID 10WP")</f>
        <v>IMIPRID 10WP</v>
      </c>
      <c r="F1620" s="87" t="str">
        <f>IFERROR(__xludf.DUMMYFUNCTION("""COMPUTED_VALUE"""),"HH1084")</f>
        <v>HH1084</v>
      </c>
      <c r="G1620" s="87" t="str">
        <f>IFERROR(__xludf.DUMMYFUNCTION("""COMPUTED_VALUE"""),"GC - IV - 1084 - Biotech Hà Lan - Siêu Rầy Thái (bột trắng) - 100gr - 150")</f>
        <v>GC - IV - 1084 - Biotech Hà Lan - Siêu Rầy Thái (bột trắng) - 100gr - 150</v>
      </c>
    </row>
    <row r="1621">
      <c r="A1621" s="86">
        <f>IFERROR(__xludf.DUMMYFUNCTION("""COMPUTED_VALUE"""),1619.0)</f>
        <v>1619</v>
      </c>
      <c r="B1621" s="87" t="str">
        <f>IFERROR(__xludf.DUMMYFUNCTION("""COMPUTED_VALUE"""),"Nhãn")</f>
        <v>Nhãn</v>
      </c>
      <c r="C1621" s="87" t="str">
        <f>IFERROR(__xludf.DUMMYFUNCTION("""COMPUTED_VALUE"""),"NTN1085")</f>
        <v>NTN1085</v>
      </c>
      <c r="D1621" s="87" t="str">
        <f>IFERROR(__xludf.DUMMYFUNCTION("""COMPUTED_VALUE"""),"[Nhãn] GC - IV -1085 - Huy Phát - Imiprid (bột trắng) - 100gr - 100")</f>
        <v>[Nhãn] GC - IV -1085 - Huy Phát - Imiprid (bột trắng) - 100gr - 100</v>
      </c>
      <c r="E1621" s="87" t="str">
        <f>IFERROR(__xludf.DUMMYFUNCTION("""COMPUTED_VALUE"""),"IMIPRID 10WP")</f>
        <v>IMIPRID 10WP</v>
      </c>
      <c r="F1621" s="87" t="str">
        <f>IFERROR(__xludf.DUMMYFUNCTION("""COMPUTED_VALUE"""),"HH1085")</f>
        <v>HH1085</v>
      </c>
      <c r="G1621" s="87" t="str">
        <f>IFERROR(__xludf.DUMMYFUNCTION("""COMPUTED_VALUE"""),"GC - IV -1085 - Huy Phát - Imiprid (bột trắng) - 100gr - 100")</f>
        <v>GC - IV -1085 - Huy Phát - Imiprid (bột trắng) - 100gr - 100</v>
      </c>
    </row>
    <row r="1622">
      <c r="A1622" s="86">
        <f>IFERROR(__xludf.DUMMYFUNCTION("""COMPUTED_VALUE"""),1620.0)</f>
        <v>1620</v>
      </c>
      <c r="B1622" s="87" t="str">
        <f>IFERROR(__xludf.DUMMYFUNCTION("""COMPUTED_VALUE"""),"Nhãn")</f>
        <v>Nhãn</v>
      </c>
      <c r="C1622" s="87" t="str">
        <f>IFERROR(__xludf.DUMMYFUNCTION("""COMPUTED_VALUE"""),"NHG1087")</f>
        <v>NHG1087</v>
      </c>
      <c r="D1622" s="87" t="str">
        <f>IFERROR(__xludf.DUMMYFUNCTION("""COMPUTED_VALUE"""),"[Nhãn] IDA Global - I - 1087 - X-Spider (nước đỏ) - 240ml - 40")</f>
        <v>[Nhãn] IDA Global - I - 1087 - X-Spider (nước đỏ) - 240ml - 40</v>
      </c>
      <c r="E1622" s="87" t="str">
        <f>IFERROR(__xludf.DUMMYFUNCTION("""COMPUTED_VALUE"""),"CHIM ƯNG 3.8EC")</f>
        <v>CHIM ƯNG 3.8EC</v>
      </c>
      <c r="F1622" s="87" t="str">
        <f>IFERROR(__xludf.DUMMYFUNCTION("""COMPUTED_VALUE"""),"HH1087")</f>
        <v>HH1087</v>
      </c>
      <c r="G1622" s="87" t="str">
        <f>IFERROR(__xludf.DUMMYFUNCTION("""COMPUTED_VALUE"""),"IDA Global - I - 1087 - X-Spider (nước đỏ) - 240ml - 40")</f>
        <v>IDA Global - I - 1087 - X-Spider (nước đỏ) - 240ml - 40</v>
      </c>
    </row>
    <row r="1623">
      <c r="A1623" s="86">
        <f>IFERROR(__xludf.DUMMYFUNCTION("""COMPUTED_VALUE"""),1621.0)</f>
        <v>1621</v>
      </c>
      <c r="B1623" s="87" t="str">
        <f>IFERROR(__xludf.DUMMYFUNCTION("""COMPUTED_VALUE"""),"Nhãn")</f>
        <v>Nhãn</v>
      </c>
      <c r="C1623" s="87" t="str">
        <f>IFERROR(__xludf.DUMMYFUNCTION("""COMPUTED_VALUE"""),"NHD1090")</f>
        <v>NHD1090</v>
      </c>
      <c r="D1623" s="87" t="str">
        <f>IFERROR(__xludf.DUMMYFUNCTION("""COMPUTED_VALUE"""),"[Nhãn] NB - I  - 1090 - Toàn Cầu - Sư Tử Vàng (nước nâu đen) -  450ml - 40")</f>
        <v>[Nhãn] NB - I  - 1090 - Toàn Cầu - Sư Tử Vàng (nước nâu đen) -  450ml - 40</v>
      </c>
      <c r="E1623" s="87" t="str">
        <f>IFERROR(__xludf.DUMMYFUNCTION("""COMPUTED_VALUE"""),"HAIHAMEC 3.6EC")</f>
        <v>HAIHAMEC 3.6EC</v>
      </c>
      <c r="F1623" s="87" t="str">
        <f>IFERROR(__xludf.DUMMYFUNCTION("""COMPUTED_VALUE"""),"HH1090")</f>
        <v>HH1090</v>
      </c>
      <c r="G1623" s="87" t="str">
        <f>IFERROR(__xludf.DUMMYFUNCTION("""COMPUTED_VALUE"""),"NB - I  - 1090 - Toàn Cầu - Sư Tử Vàng (nước nâu đen) -  450ml - 40")</f>
        <v>NB - I  - 1090 - Toàn Cầu - Sư Tử Vàng (nước nâu đen) -  450ml - 40</v>
      </c>
    </row>
    <row r="1624">
      <c r="A1624" s="86">
        <f>IFERROR(__xludf.DUMMYFUNCTION("""COMPUTED_VALUE"""),1622.0)</f>
        <v>1622</v>
      </c>
      <c r="B1624" s="87" t="str">
        <f>IFERROR(__xludf.DUMMYFUNCTION("""COMPUTED_VALUE"""),"Nhãn")</f>
        <v>Nhãn</v>
      </c>
      <c r="C1624" s="87" t="str">
        <f>IFERROR(__xludf.DUMMYFUNCTION("""COMPUTED_VALUE"""),"NHG1091")</f>
        <v>NHG1091</v>
      </c>
      <c r="D1624" s="87" t="str">
        <f>IFERROR(__xludf.DUMMYFUNCTION("""COMPUTED_VALUE"""),"[Nhãn] NB - I - 1091 - Pesticidex - Nông Dược Thuỵ Sĩ -  Dũng sĩ 3.6 (nước nâu đen) -  450ml - 40")</f>
        <v>[Nhãn] NB - I - 1091 - Pesticidex - Nông Dược Thuỵ Sĩ -  Dũng sĩ 3.6 (nước nâu đen) -  450ml - 40</v>
      </c>
      <c r="E1624" s="87" t="str">
        <f>IFERROR(__xludf.DUMMYFUNCTION("""COMPUTED_VALUE"""),"HAIHAMEC 3.6EC")</f>
        <v>HAIHAMEC 3.6EC</v>
      </c>
      <c r="F1624" s="87" t="str">
        <f>IFERROR(__xludf.DUMMYFUNCTION("""COMPUTED_VALUE"""),"HH1091")</f>
        <v>HH1091</v>
      </c>
      <c r="G1624" s="87" t="str">
        <f>IFERROR(__xludf.DUMMYFUNCTION("""COMPUTED_VALUE"""),"NB - I - 1091 - Pesticidex - Nông Dược Thuỵ Sĩ -  Dũng sĩ 3.6 (nước nâu đen) -  450ml - 40")</f>
        <v>NB - I - 1091 - Pesticidex - Nông Dược Thuỵ Sĩ -  Dũng sĩ 3.6 (nước nâu đen) -  450ml - 40</v>
      </c>
    </row>
    <row r="1625">
      <c r="A1625" s="86">
        <f>IFERROR(__xludf.DUMMYFUNCTION("""COMPUTED_VALUE"""),1623.0)</f>
        <v>1623</v>
      </c>
      <c r="B1625" s="87" t="str">
        <f>IFERROR(__xludf.DUMMYFUNCTION("""COMPUTED_VALUE"""),"Nhãn")</f>
        <v>Nhãn</v>
      </c>
      <c r="C1625" s="87" t="str">
        <f>IFERROR(__xludf.DUMMYFUNCTION("""COMPUTED_VALUE"""),"NDT1091")</f>
        <v>NDT1091</v>
      </c>
      <c r="D1625" s="87" t="str">
        <f>IFERROR(__xludf.DUMMYFUNCTION("""COMPUTED_VALUE"""),"[Nhãn] NB - I - 1091 - Pesticidex - Nông Dược Thuỵ Sĩ -  Dũng sĩ 3.6 (nước nâu đen) -  450ml - 40")</f>
        <v>[Nhãn] NB - I - 1091 - Pesticidex - Nông Dược Thuỵ Sĩ -  Dũng sĩ 3.6 (nước nâu đen) -  450ml - 40</v>
      </c>
      <c r="E1625" s="87" t="str">
        <f>IFERROR(__xludf.DUMMYFUNCTION("""COMPUTED_VALUE"""),"HAIHAMEC 3.6EC")</f>
        <v>HAIHAMEC 3.6EC</v>
      </c>
      <c r="F1625" s="87" t="str">
        <f>IFERROR(__xludf.DUMMYFUNCTION("""COMPUTED_VALUE"""),"HH1091")</f>
        <v>HH1091</v>
      </c>
      <c r="G1625" s="87" t="str">
        <f>IFERROR(__xludf.DUMMYFUNCTION("""COMPUTED_VALUE"""),"NB - I - 1091 - Pesticidex - Nông Dược Thuỵ Sĩ -  Dũng sĩ 3.6 (nước nâu đen) -  450ml - 40")</f>
        <v>NB - I - 1091 - Pesticidex - Nông Dược Thuỵ Sĩ -  Dũng sĩ 3.6 (nước nâu đen) -  450ml - 40</v>
      </c>
    </row>
    <row r="1626">
      <c r="A1626" s="86">
        <f>IFERROR(__xludf.DUMMYFUNCTION("""COMPUTED_VALUE"""),1624.0)</f>
        <v>1624</v>
      </c>
      <c r="B1626" s="87" t="str">
        <f>IFERROR(__xludf.DUMMYFUNCTION("""COMPUTED_VALUE"""),"Nhãn")</f>
        <v>Nhãn</v>
      </c>
      <c r="C1626" s="87" t="str">
        <f>IFERROR(__xludf.DUMMYFUNCTION("""COMPUTED_VALUE"""),"NHG1092")</f>
        <v>NHG1092</v>
      </c>
      <c r="D1626" s="87" t="str">
        <f>IFERROR(__xludf.DUMMYFUNCTION("""COMPUTED_VALUE"""),"[Nhãn] GC - II - 1092 - Xuân Sơn - Cò Ốc (nước nâu đen) -  450ml - 40")</f>
        <v>[Nhãn] GC - II - 1092 - Xuân Sơn - Cò Ốc (nước nâu đen) -  450ml - 40</v>
      </c>
      <c r="E1626" s="87" t="str">
        <f>IFERROR(__xludf.DUMMYFUNCTION("""COMPUTED_VALUE"""),"HAIHAMEC 3.6EC")</f>
        <v>HAIHAMEC 3.6EC</v>
      </c>
      <c r="F1626" s="87" t="str">
        <f>IFERROR(__xludf.DUMMYFUNCTION("""COMPUTED_VALUE"""),"HH1092")</f>
        <v>HH1092</v>
      </c>
      <c r="G1626" s="87" t="str">
        <f>IFERROR(__xludf.DUMMYFUNCTION("""COMPUTED_VALUE"""),"GC - II - 1092 - Xuân Sơn - Cò Ốc (nước nâu đen) -  450ml - 40")</f>
        <v>GC - II - 1092 - Xuân Sơn - Cò Ốc (nước nâu đen) -  450ml - 40</v>
      </c>
    </row>
    <row r="1627">
      <c r="A1627" s="86">
        <f>IFERROR(__xludf.DUMMYFUNCTION("""COMPUTED_VALUE"""),1625.0)</f>
        <v>1625</v>
      </c>
      <c r="B1627" s="87" t="str">
        <f>IFERROR(__xludf.DUMMYFUNCTION("""COMPUTED_VALUE"""),"Nhãn")</f>
        <v>Nhãn</v>
      </c>
      <c r="C1627" s="87" t="str">
        <f>IFERROR(__xludf.DUMMYFUNCTION("""COMPUTED_VALUE"""),"NHD1093")</f>
        <v>NHD1093</v>
      </c>
      <c r="D1627" s="87" t="str">
        <f>IFERROR(__xludf.DUMMYFUNCTION("""COMPUTED_VALUE"""),"[Nhãn] LOT IDA Global - I - 1093 - ĐL Huyên Thọ - Voi Thái(nước nâu đen) - 450ml - 40")</f>
        <v>[Nhãn] LOT IDA Global - I - 1093 - ĐL Huyên Thọ - Voi Thái(nước nâu đen) - 450ml - 40</v>
      </c>
      <c r="E1627" s="87" t="str">
        <f>IFERROR(__xludf.DUMMYFUNCTION("""COMPUTED_VALUE"""),"Chitin 3.6EC")</f>
        <v>Chitin 3.6EC</v>
      </c>
      <c r="F1627" s="87" t="str">
        <f>IFERROR(__xludf.DUMMYFUNCTION("""COMPUTED_VALUE"""),"HH1093")</f>
        <v>HH1093</v>
      </c>
      <c r="G1627" s="87" t="str">
        <f>IFERROR(__xludf.DUMMYFUNCTION("""COMPUTED_VALUE"""),"LOT IDA Global - I - 1093 - ĐL Huyên Thọ - Voi Thái(nước nâu đen) - 450ml - 40")</f>
        <v>LOT IDA Global - I - 1093 - ĐL Huyên Thọ - Voi Thái(nước nâu đen) - 450ml - 40</v>
      </c>
    </row>
    <row r="1628">
      <c r="A1628" s="86">
        <f>IFERROR(__xludf.DUMMYFUNCTION("""COMPUTED_VALUE"""),1626.0)</f>
        <v>1626</v>
      </c>
      <c r="B1628" s="87" t="str">
        <f>IFERROR(__xludf.DUMMYFUNCTION("""COMPUTED_VALUE"""),"Nhãn")</f>
        <v>Nhãn</v>
      </c>
      <c r="C1628" s="87" t="str">
        <f>IFERROR(__xludf.DUMMYFUNCTION("""COMPUTED_VALUE"""),"NHG1094")</f>
        <v>NHG1094</v>
      </c>
      <c r="D1628" s="87" t="str">
        <f>IFERROR(__xludf.DUMMYFUNCTION("""COMPUTED_VALUE"""),"[Nhãn] GC - II -1094 - Kali Sữa - 500ml - 40")</f>
        <v>[Nhãn] GC - II -1094 - Kali Sữa - 500ml - 40</v>
      </c>
      <c r="E1628" s="87" t="str">
        <f>IFERROR(__xludf.DUMMYFUNCTION("""COMPUTED_VALUE"""),"Vi lượng AV-VINA US-BOKALI")</f>
        <v>Vi lượng AV-VINA US-BOKALI</v>
      </c>
      <c r="F1628" s="87" t="str">
        <f>IFERROR(__xludf.DUMMYFUNCTION("""COMPUTED_VALUE"""),"HH1094")</f>
        <v>HH1094</v>
      </c>
      <c r="G1628" s="87" t="str">
        <f>IFERROR(__xludf.DUMMYFUNCTION("""COMPUTED_VALUE"""),"GC - II -1094 - Kali Sữa - 500ml - 40")</f>
        <v>GC - II -1094 - Kali Sữa - 500ml - 40</v>
      </c>
    </row>
    <row r="1629">
      <c r="A1629" s="86">
        <f>IFERROR(__xludf.DUMMYFUNCTION("""COMPUTED_VALUE"""),1627.0)</f>
        <v>1627</v>
      </c>
      <c r="B1629" s="87" t="str">
        <f>IFERROR(__xludf.DUMMYFUNCTION("""COMPUTED_VALUE"""),"Nhãn")</f>
        <v>Nhãn</v>
      </c>
      <c r="C1629" s="87" t="str">
        <f>IFERROR(__xludf.DUMMYFUNCTION("""COMPUTED_VALUE"""),"NTN1095")</f>
        <v>NTN1095</v>
      </c>
      <c r="D1629" s="87" t="str">
        <f>IFERROR(__xludf.DUMMYFUNCTION("""COMPUTED_VALUE"""),"[Nhãn] GC - II - 1095 - Hoàng Thảo - HumiK - 1kg - 25")</f>
        <v>[Nhãn] GC - II - 1095 - Hoàng Thảo - HumiK - 1kg - 25</v>
      </c>
      <c r="E1629" s="87" t="str">
        <f>IFERROR(__xludf.DUMMYFUNCTION("""COMPUTED_VALUE"""),"Vi lượng AV-CFC
(Dạng rắn)")</f>
        <v>Vi lượng AV-CFC
(Dạng rắn)</v>
      </c>
      <c r="F1629" s="87" t="str">
        <f>IFERROR(__xludf.DUMMYFUNCTION("""COMPUTED_VALUE"""),"HH1095")</f>
        <v>HH1095</v>
      </c>
      <c r="G1629" s="87" t="str">
        <f>IFERROR(__xludf.DUMMYFUNCTION("""COMPUTED_VALUE"""),"GC - II - 1095 - Hoàng Thảo - HumiK - 1kg - 25")</f>
        <v>GC - II - 1095 - Hoàng Thảo - HumiK - 1kg - 25</v>
      </c>
    </row>
    <row r="1630">
      <c r="A1630" s="86">
        <f>IFERROR(__xludf.DUMMYFUNCTION("""COMPUTED_VALUE"""),1628.0)</f>
        <v>1628</v>
      </c>
      <c r="B1630" s="87" t="str">
        <f>IFERROR(__xludf.DUMMYFUNCTION("""COMPUTED_VALUE"""),"Nhãn")</f>
        <v>Nhãn</v>
      </c>
      <c r="C1630" s="87" t="str">
        <f>IFERROR(__xludf.DUMMYFUNCTION("""COMPUTED_VALUE"""),"NHG1096")</f>
        <v>NHG1096</v>
      </c>
      <c r="D1630" s="87" t="str">
        <f>IFERROR(__xludf.DUMMYFUNCTION("""COMPUTED_VALUE"""),"[Nhãn] GC - IV - 1096 - Agritech - Emamex Tin 1.9% (Nước vàng nhạt) - 450ml - 40")</f>
        <v>[Nhãn] GC - IV - 1096 - Agritech - Emamex Tin 1.9% (Nước vàng nhạt) - 450ml - 40</v>
      </c>
      <c r="E1630" s="87" t="str">
        <f>IFERROR(__xludf.DUMMYFUNCTION("""COMPUTED_VALUE"""),"Remy 19EC")</f>
        <v>Remy 19EC</v>
      </c>
      <c r="F1630" s="87" t="str">
        <f>IFERROR(__xludf.DUMMYFUNCTION("""COMPUTED_VALUE"""),"HH1096")</f>
        <v>HH1096</v>
      </c>
      <c r="G1630" s="87" t="str">
        <f>IFERROR(__xludf.DUMMYFUNCTION("""COMPUTED_VALUE"""),"GC - IV - 1096 - Agritech - Emamex Tin 1.9% (Nước vàng nhạt) - 450ml - 40")</f>
        <v>GC - IV - 1096 - Agritech - Emamex Tin 1.9% (Nước vàng nhạt) - 450ml - 40</v>
      </c>
    </row>
    <row r="1631">
      <c r="A1631" s="86">
        <f>IFERROR(__xludf.DUMMYFUNCTION("""COMPUTED_VALUE"""),1629.0)</f>
        <v>1629</v>
      </c>
      <c r="B1631" s="87" t="str">
        <f>IFERROR(__xludf.DUMMYFUNCTION("""COMPUTED_VALUE"""),"Nhãn")</f>
        <v>Nhãn</v>
      </c>
      <c r="C1631" s="87" t="str">
        <f>IFERROR(__xludf.DUMMYFUNCTION("""COMPUTED_VALUE"""),"NHG1097")</f>
        <v>NHG1097</v>
      </c>
      <c r="D1631" s="87" t="str">
        <f>IFERROR(__xludf.DUMMYFUNCTION("""COMPUTED_VALUE"""),"[Nhãn] LOT IDA Global - I - 1097 - Ba Con Cò - Sạch lem lép (nước trắng) - 1 Lít - 20")</f>
        <v>[Nhãn] LOT IDA Global - I - 1097 - Ba Con Cò - Sạch lem lép (nước trắng) - 1 Lít - 20</v>
      </c>
      <c r="E1631" s="87" t="str">
        <f>IFERROR(__xludf.DUMMYFUNCTION("""COMPUTED_VALUE"""),"Mekongvil 5SC")</f>
        <v>Mekongvil 5SC</v>
      </c>
      <c r="F1631" s="87" t="str">
        <f>IFERROR(__xludf.DUMMYFUNCTION("""COMPUTED_VALUE"""),"HH1097")</f>
        <v>HH1097</v>
      </c>
      <c r="G1631" s="87" t="str">
        <f>IFERROR(__xludf.DUMMYFUNCTION("""COMPUTED_VALUE"""),"LOT IDA Global - I - 1097 - Ba Con Cò - Sạch lem lép (nước trắng) - 1 Lít - 20")</f>
        <v>LOT IDA Global - I - 1097 - Ba Con Cò - Sạch lem lép (nước trắng) - 1 Lít - 20</v>
      </c>
    </row>
    <row r="1632">
      <c r="A1632" s="86">
        <f>IFERROR(__xludf.DUMMYFUNCTION("""COMPUTED_VALUE"""),1630.0)</f>
        <v>1630</v>
      </c>
      <c r="B1632" s="87" t="str">
        <f>IFERROR(__xludf.DUMMYFUNCTION("""COMPUTED_VALUE"""),"Nhãn")</f>
        <v>Nhãn</v>
      </c>
      <c r="C1632" s="87" t="str">
        <f>IFERROR(__xludf.DUMMYFUNCTION("""COMPUTED_VALUE"""),"NHG1099")</f>
        <v>NHG1099</v>
      </c>
      <c r="D1632" s="87" t="str">
        <f>IFERROR(__xludf.DUMMYFUNCTION("""COMPUTED_VALUE"""),"[Nhãn] GC - II - 1099 - NHP - Nhện Đỏ (Nước Tím) - 240ml - 40")</f>
        <v>[Nhãn] GC - II - 1099 - NHP - Nhện Đỏ (Nước Tím) - 240ml - 40</v>
      </c>
      <c r="E1632" s="87" t="str">
        <f>IFERROR(__xludf.DUMMYFUNCTION("""COMPUTED_VALUE"""),"Chitin 3.6EC")</f>
        <v>Chitin 3.6EC</v>
      </c>
      <c r="F1632" s="87" t="str">
        <f>IFERROR(__xludf.DUMMYFUNCTION("""COMPUTED_VALUE"""),"HH1099")</f>
        <v>HH1099</v>
      </c>
      <c r="G1632" s="87" t="str">
        <f>IFERROR(__xludf.DUMMYFUNCTION("""COMPUTED_VALUE"""),"GC - II - 1099 - NHP - Nhện Đỏ (Nước Tím) - 240ml - 40")</f>
        <v>GC - II - 1099 - NHP - Nhện Đỏ (Nước Tím) - 240ml - 40</v>
      </c>
    </row>
    <row r="1633">
      <c r="A1633" s="86">
        <f>IFERROR(__xludf.DUMMYFUNCTION("""COMPUTED_VALUE"""),1631.0)</f>
        <v>1631</v>
      </c>
      <c r="B1633" s="87" t="str">
        <f>IFERROR(__xludf.DUMMYFUNCTION("""COMPUTED_VALUE"""),"Nhãn")</f>
        <v>Nhãn</v>
      </c>
      <c r="C1633" s="87" t="str">
        <f>IFERROR(__xludf.DUMMYFUNCTION("""COMPUTED_VALUE"""),"NTN1102")</f>
        <v>NTN1102</v>
      </c>
      <c r="D1633" s="87" t="str">
        <f>IFERROR(__xludf.DUMMYFUNCTION("""COMPUTED_VALUE"""),"[Nhãn] GC - IV - 1102 - Nông Hưng Phát - Imida (Bột trắng) - 100gr - 100")</f>
        <v>[Nhãn] GC - IV - 1102 - Nông Hưng Phát - Imida (Bột trắng) - 100gr - 100</v>
      </c>
      <c r="E1633" s="87" t="str">
        <f>IFERROR(__xludf.DUMMYFUNCTION("""COMPUTED_VALUE"""),"IMIPRID 10WP")</f>
        <v>IMIPRID 10WP</v>
      </c>
      <c r="F1633" s="87" t="str">
        <f>IFERROR(__xludf.DUMMYFUNCTION("""COMPUTED_VALUE"""),"HH1102")</f>
        <v>HH1102</v>
      </c>
      <c r="G1633" s="87" t="str">
        <f>IFERROR(__xludf.DUMMYFUNCTION("""COMPUTED_VALUE"""),"GC - IV - 1102 - Nông Hưng Phát - Imida (Bột trắng) - 100gr - 100")</f>
        <v>GC - IV - 1102 - Nông Hưng Phát - Imida (Bột trắng) - 100gr - 100</v>
      </c>
    </row>
    <row r="1634">
      <c r="A1634" s="86">
        <f>IFERROR(__xludf.DUMMYFUNCTION("""COMPUTED_VALUE"""),1632.0)</f>
        <v>1632</v>
      </c>
      <c r="B1634" s="87" t="str">
        <f>IFERROR(__xludf.DUMMYFUNCTION("""COMPUTED_VALUE"""),"Nhãn")</f>
        <v>Nhãn</v>
      </c>
      <c r="C1634" s="87" t="str">
        <f>IFERROR(__xludf.DUMMYFUNCTION("""COMPUTED_VALUE"""),"NHG1103")</f>
        <v>NHG1103</v>
      </c>
      <c r="D1634" s="87" t="str">
        <f>IFERROR(__xludf.DUMMYFUNCTION("""COMPUTED_VALUE"""),"[Nhãn] GC - IV - 1103 - Sen Hồng - Siêu Vô Gạo (nước trắng ngà) - 500ml - 40")</f>
        <v>[Nhãn] GC - IV - 1103 - Sen Hồng - Siêu Vô Gạo (nước trắng ngà) - 500ml - 40</v>
      </c>
      <c r="E1634" s="87" t="str">
        <f>IFERROR(__xludf.DUMMYFUNCTION("""COMPUTED_VALUE"""),"Vi lượng Basel VA01")</f>
        <v>Vi lượng Basel VA01</v>
      </c>
      <c r="F1634" s="87" t="str">
        <f>IFERROR(__xludf.DUMMYFUNCTION("""COMPUTED_VALUE"""),"HH1103")</f>
        <v>HH1103</v>
      </c>
      <c r="G1634" s="87" t="str">
        <f>IFERROR(__xludf.DUMMYFUNCTION("""COMPUTED_VALUE"""),"GC - IV - 1103 - Sen Hồng - Siêu Vô Gạo (nước trắng ngà) - 500ml - 40")</f>
        <v>GC - IV - 1103 - Sen Hồng - Siêu Vô Gạo (nước trắng ngà) - 500ml - 40</v>
      </c>
    </row>
    <row r="1635">
      <c r="A1635" s="86">
        <f>IFERROR(__xludf.DUMMYFUNCTION("""COMPUTED_VALUE"""),1633.0)</f>
        <v>1633</v>
      </c>
      <c r="B1635" s="87" t="str">
        <f>IFERROR(__xludf.DUMMYFUNCTION("""COMPUTED_VALUE"""),"Nhãn")</f>
        <v>Nhãn</v>
      </c>
      <c r="C1635" s="87" t="str">
        <f>IFERROR(__xludf.DUMMYFUNCTION("""COMPUTED_VALUE"""),"NTG1104")</f>
        <v>NTG1104</v>
      </c>
      <c r="D1635" s="87" t="str">
        <f>IFERROR(__xludf.DUMMYFUNCTION("""COMPUTED_VALUE"""),"[Nhãn] GC - IV - 1104 - Nông Lâm Hoà Phát - Siêu diệt khuẩn (bột trắng) - 100gr - 100")</f>
        <v>[Nhãn] GC - IV - 1104 - Nông Lâm Hoà Phát - Siêu diệt khuẩn (bột trắng) - 100gr - 100</v>
      </c>
      <c r="E1635" s="87" t="str">
        <f>IFERROR(__xludf.DUMMYFUNCTION("""COMPUTED_VALUE"""),"Oxycin 100WP")</f>
        <v>Oxycin 100WP</v>
      </c>
      <c r="F1635" s="87" t="str">
        <f>IFERROR(__xludf.DUMMYFUNCTION("""COMPUTED_VALUE"""),"HH1104")</f>
        <v>HH1104</v>
      </c>
      <c r="G1635" s="87" t="str">
        <f>IFERROR(__xludf.DUMMYFUNCTION("""COMPUTED_VALUE"""),"GC - IV - 1104 - Nông Lâm Hoà Phát - Siêu diệt khuẩn (bột trắng) - 100gr - 100")</f>
        <v>GC - IV - 1104 - Nông Lâm Hoà Phát - Siêu diệt khuẩn (bột trắng) - 100gr - 100</v>
      </c>
    </row>
    <row r="1636">
      <c r="A1636" s="86" t="str">
        <f>IFERROR(__xludf.DUMMYFUNCTION("""COMPUTED_VALUE"""),"")</f>
        <v/>
      </c>
      <c r="B1636" s="87"/>
      <c r="C1636" s="87" t="str">
        <f>IFERROR(__xludf.DUMMYFUNCTION("""COMPUTED_VALUE"""),"Túi nhôm")</f>
        <v>Túi nhôm</v>
      </c>
      <c r="D1636" s="87" t="str">
        <f>IFERROR(__xludf.DUMMYFUNCTION("""COMPUTED_VALUE"""),"Nhãn in flexo")</f>
        <v>Nhãn in flexo</v>
      </c>
      <c r="E1636" s="87" t="str">
        <f>IFERROR(__xludf.DUMMYFUNCTION("""COMPUTED_VALUE"""),"KT 20x8cm")</f>
        <v>KT 20x8cm</v>
      </c>
      <c r="F1636" s="87" t="str">
        <f>IFERROR(__xludf.DUMMYFUNCTION("""COMPUTED_VALUE"""),"Thùng chung PEST")</f>
        <v>Thùng chung PEST</v>
      </c>
      <c r="G1636" s="87"/>
    </row>
    <row r="1637">
      <c r="A1637" s="86">
        <f>IFERROR(__xludf.DUMMYFUNCTION("""COMPUTED_VALUE"""),1635.0)</f>
        <v>1635</v>
      </c>
      <c r="B1637" s="87" t="str">
        <f>IFERROR(__xludf.DUMMYFUNCTION("""COMPUTED_VALUE"""),"Nhãn")</f>
        <v>Nhãn</v>
      </c>
      <c r="C1637" s="87" t="str">
        <f>IFERROR(__xludf.DUMMYFUNCTION("""COMPUTED_VALUE"""),"NHG1107")</f>
        <v>NHG1107</v>
      </c>
      <c r="D1637" s="87" t="str">
        <f>IFERROR(__xludf.DUMMYFUNCTION("""COMPUTED_VALUE"""),"[Nhãn] LOT IDA Global - I - 1107 - Phúc Nông - Picosuper 280SC (nước trắng sữa) - 100ml - 100")</f>
        <v>[Nhãn] LOT IDA Global - I - 1107 - Phúc Nông - Picosuper 280SC (nước trắng sữa) - 100ml - 100</v>
      </c>
      <c r="E1637" s="87" t="str">
        <f>IFERROR(__xludf.DUMMYFUNCTION("""COMPUTED_VALUE"""),"PICOSUPER 280SC")</f>
        <v>PICOSUPER 280SC</v>
      </c>
      <c r="F1637" s="87" t="str">
        <f>IFERROR(__xludf.DUMMYFUNCTION("""COMPUTED_VALUE"""),"HH1107")</f>
        <v>HH1107</v>
      </c>
      <c r="G1637" s="87" t="str">
        <f>IFERROR(__xludf.DUMMYFUNCTION("""COMPUTED_VALUE"""),"LOT IDA Global - I - 1107 - Phúc Nông - Picosuper 280SC (nước trắng sữa) - 100ml - 100")</f>
        <v>LOT IDA Global - I - 1107 - Phúc Nông - Picosuper 280SC (nước trắng sữa) - 100ml - 100</v>
      </c>
    </row>
    <row r="1638">
      <c r="A1638" s="86">
        <f>IFERROR(__xludf.DUMMYFUNCTION("""COMPUTED_VALUE"""),1636.0)</f>
        <v>1636</v>
      </c>
      <c r="B1638" s="87" t="str">
        <f>IFERROR(__xludf.DUMMYFUNCTION("""COMPUTED_VALUE"""),"Nhãn")</f>
        <v>Nhãn</v>
      </c>
      <c r="C1638" s="87" t="str">
        <f>IFERROR(__xludf.DUMMYFUNCTION("""COMPUTED_VALUE"""),"NHG1108")</f>
        <v>NHG1108</v>
      </c>
      <c r="D1638" s="87" t="str">
        <f>IFERROR(__xludf.DUMMYFUNCTION("""COMPUTED_VALUE"""),"[Nhãn] GC - II - 1108 -  Mekong Group - Kamycin Japane 20SL (nước xanh lá) - 450ml - 40")</f>
        <v>[Nhãn] GC - II - 1108 -  Mekong Group - Kamycin Japane 20SL (nước xanh lá) - 450ml - 40</v>
      </c>
      <c r="E1638" s="87" t="str">
        <f>IFERROR(__xludf.DUMMYFUNCTION("""COMPUTED_VALUE"""),"Kamycinjapane 20SL")</f>
        <v>Kamycinjapane 20SL</v>
      </c>
      <c r="F1638" s="87" t="str">
        <f>IFERROR(__xludf.DUMMYFUNCTION("""COMPUTED_VALUE"""),"HH1108")</f>
        <v>HH1108</v>
      </c>
      <c r="G1638" s="87" t="str">
        <f>IFERROR(__xludf.DUMMYFUNCTION("""COMPUTED_VALUE"""),"GC - II - 1108 -  Mekong Group - Kamycin Japane 20SL (nước xanh lá) - 450ml - 40")</f>
        <v>GC - II - 1108 -  Mekong Group - Kamycin Japane 20SL (nước xanh lá) - 450ml - 40</v>
      </c>
    </row>
    <row r="1639">
      <c r="A1639" s="86">
        <f>IFERROR(__xludf.DUMMYFUNCTION("""COMPUTED_VALUE"""),1637.0)</f>
        <v>1637</v>
      </c>
      <c r="B1639" s="87" t="str">
        <f>IFERROR(__xludf.DUMMYFUNCTION("""COMPUTED_VALUE"""),"Nhãn")</f>
        <v>Nhãn</v>
      </c>
      <c r="C1639" s="87" t="str">
        <f>IFERROR(__xludf.DUMMYFUNCTION("""COMPUTED_VALUE"""),"NHG1109")</f>
        <v>NHG1109</v>
      </c>
      <c r="D1639" s="87" t="str">
        <f>IFERROR(__xludf.DUMMYFUNCTION("""COMPUTED_VALUE"""),"[Nhãn] GC - IV - 1109 - AU - Eco Stronger (nước nâu đen) - 500ml - 40")</f>
        <v>[Nhãn] GC - IV - 1109 - AU - Eco Stronger (nước nâu đen) - 500ml - 40</v>
      </c>
      <c r="E1639" s="87" t="str">
        <f>IFERROR(__xludf.DUMMYFUNCTION("""COMPUTED_VALUE"""),"Vi lượng Basel VA01")</f>
        <v>Vi lượng Basel VA01</v>
      </c>
      <c r="F1639" s="87" t="str">
        <f>IFERROR(__xludf.DUMMYFUNCTION("""COMPUTED_VALUE"""),"HH1109")</f>
        <v>HH1109</v>
      </c>
      <c r="G1639" s="87" t="str">
        <f>IFERROR(__xludf.DUMMYFUNCTION("""COMPUTED_VALUE"""),"GC - IV - 1109 - AU - Eco Stronger (nước nâu đen) - 500ml - 40")</f>
        <v>GC - IV - 1109 - AU - Eco Stronger (nước nâu đen) - 500ml - 40</v>
      </c>
    </row>
    <row r="1640">
      <c r="A1640" s="86">
        <f>IFERROR(__xludf.DUMMYFUNCTION("""COMPUTED_VALUE"""),1638.0)</f>
        <v>1638</v>
      </c>
      <c r="B1640" s="87" t="str">
        <f>IFERROR(__xludf.DUMMYFUNCTION("""COMPUTED_VALUE"""),"Nhãn")</f>
        <v>Nhãn</v>
      </c>
      <c r="C1640" s="87" t="str">
        <f>IFERROR(__xludf.DUMMYFUNCTION("""COMPUTED_VALUE"""),"NHG1110")</f>
        <v>NHG1110</v>
      </c>
      <c r="D1640" s="87" t="str">
        <f>IFERROR(__xludf.DUMMYFUNCTION("""COMPUTED_VALUE"""),"[Nhãn] LOT IDA Global - I - 1110 - Hai Dũng -  Avermectin (nước nâu đen) - 450ml - 40")</f>
        <v>[Nhãn] LOT IDA Global - I - 1110 - Hai Dũng -  Avermectin (nước nâu đen) - 450ml - 40</v>
      </c>
      <c r="E1640" s="87" t="str">
        <f>IFERROR(__xludf.DUMMYFUNCTION("""COMPUTED_VALUE"""),"Chitin 3.6EC")</f>
        <v>Chitin 3.6EC</v>
      </c>
      <c r="F1640" s="87" t="str">
        <f>IFERROR(__xludf.DUMMYFUNCTION("""COMPUTED_VALUE"""),"HH1110")</f>
        <v>HH1110</v>
      </c>
      <c r="G1640" s="87" t="str">
        <f>IFERROR(__xludf.DUMMYFUNCTION("""COMPUTED_VALUE"""),"LOT IDA Global - I - 1110 - Hai Dũng -  Avermectin (nước nâu đen) - 450ml - 40")</f>
        <v>LOT IDA Global - I - 1110 - Hai Dũng -  Avermectin (nước nâu đen) - 450ml - 40</v>
      </c>
    </row>
    <row r="1641">
      <c r="A1641" s="86">
        <f>IFERROR(__xludf.DUMMYFUNCTION("""COMPUTED_VALUE"""),1639.0)</f>
        <v>1639</v>
      </c>
      <c r="B1641" s="87" t="str">
        <f>IFERROR(__xludf.DUMMYFUNCTION("""COMPUTED_VALUE"""),"Nhãn")</f>
        <v>Nhãn</v>
      </c>
      <c r="C1641" s="87" t="str">
        <f>IFERROR(__xludf.DUMMYFUNCTION("""COMPUTED_VALUE"""),"NHD1111")</f>
        <v>NHD1111</v>
      </c>
      <c r="D1641" s="87" t="str">
        <f>IFERROR(__xludf.DUMMYFUNCTION("""COMPUTED_VALUE"""),"[Nhãn] GC- I - 1111 - Agritech - Haihamec 3.6EC (nước trong) -  450ml - 40")</f>
        <v>[Nhãn] GC- I - 1111 - Agritech - Haihamec 3.6EC (nước trong) -  450ml - 40</v>
      </c>
      <c r="E1641" s="87" t="str">
        <f>IFERROR(__xludf.DUMMYFUNCTION("""COMPUTED_VALUE"""),"HAIHAMEC 3.6EC")</f>
        <v>HAIHAMEC 3.6EC</v>
      </c>
      <c r="F1641" s="87" t="str">
        <f>IFERROR(__xludf.DUMMYFUNCTION("""COMPUTED_VALUE"""),"HH1111")</f>
        <v>HH1111</v>
      </c>
      <c r="G1641" s="87" t="str">
        <f>IFERROR(__xludf.DUMMYFUNCTION("""COMPUTED_VALUE"""),"GC- I - 1111 - Agritech - Haihamec 3.6EC (nước trong) -  450ml - 40")</f>
        <v>GC- I - 1111 - Agritech - Haihamec 3.6EC (nước trong) -  450ml - 40</v>
      </c>
    </row>
    <row r="1642">
      <c r="A1642" s="86">
        <f>IFERROR(__xludf.DUMMYFUNCTION("""COMPUTED_VALUE"""),1640.0)</f>
        <v>1640</v>
      </c>
      <c r="B1642" s="87" t="str">
        <f>IFERROR(__xludf.DUMMYFUNCTION("""COMPUTED_VALUE"""),"Nhãn")</f>
        <v>Nhãn</v>
      </c>
      <c r="C1642" s="87" t="str">
        <f>IFERROR(__xludf.DUMMYFUNCTION("""COMPUTED_VALUE"""),"NHD1112")</f>
        <v>NHD1112</v>
      </c>
      <c r="D1642" s="87" t="str">
        <f>IFERROR(__xludf.DUMMYFUNCTION("""COMPUTED_VALUE"""),"[Nhãn] GC - IV - 1112  - Thế Danh - Haihamec 3.6EC (nước trong) - 90ml - 100")</f>
        <v>[Nhãn] GC - IV - 1112  - Thế Danh - Haihamec 3.6EC (nước trong) - 90ml - 100</v>
      </c>
      <c r="E1642" s="87" t="str">
        <f>IFERROR(__xludf.DUMMYFUNCTION("""COMPUTED_VALUE"""),"HAIHAMEC 3.6EC")</f>
        <v>HAIHAMEC 3.6EC</v>
      </c>
      <c r="F1642" s="87" t="str">
        <f>IFERROR(__xludf.DUMMYFUNCTION("""COMPUTED_VALUE"""),"HH1112")</f>
        <v>HH1112</v>
      </c>
      <c r="G1642" s="87" t="str">
        <f>IFERROR(__xludf.DUMMYFUNCTION("""COMPUTED_VALUE"""),"GC - IV - 1112  - Thế Danh - Haihamec 3.6EC (nước trong) - 90ml - 100")</f>
        <v>GC - IV - 1112  - Thế Danh - Haihamec 3.6EC (nước trong) - 90ml - 100</v>
      </c>
    </row>
    <row r="1643">
      <c r="A1643" s="86">
        <f>IFERROR(__xludf.DUMMYFUNCTION("""COMPUTED_VALUE"""),1641.0)</f>
        <v>1641</v>
      </c>
      <c r="B1643" s="87" t="str">
        <f>IFERROR(__xludf.DUMMYFUNCTION("""COMPUTED_VALUE"""),"Nhãn thùng")</f>
        <v>Nhãn thùng</v>
      </c>
      <c r="C1643" s="87" t="str">
        <f>IFERROR(__xludf.DUMMYFUNCTION("""COMPUTED_VALUE"""),"NDT1112")</f>
        <v>NDT1112</v>
      </c>
      <c r="D1643" s="87" t="str">
        <f>IFERROR(__xludf.DUMMYFUNCTION("""COMPUTED_VALUE"""),"[Nhãn thùng] GC - IV - 1112  - Thế Danh - Haihamec 3.6EC (nước trong) - 90ml - 100")</f>
        <v>[Nhãn thùng] GC - IV - 1112  - Thế Danh - Haihamec 3.6EC (nước trong) - 90ml - 100</v>
      </c>
      <c r="E1643" s="87" t="str">
        <f>IFERROR(__xludf.DUMMYFUNCTION("""COMPUTED_VALUE"""),"HAIHAMEC 3.6EC")</f>
        <v>HAIHAMEC 3.6EC</v>
      </c>
      <c r="F1643" s="87" t="str">
        <f>IFERROR(__xludf.DUMMYFUNCTION("""COMPUTED_VALUE"""),"HH1112")</f>
        <v>HH1112</v>
      </c>
      <c r="G1643" s="87" t="str">
        <f>IFERROR(__xludf.DUMMYFUNCTION("""COMPUTED_VALUE"""),"GC - IV - 1112  - Thế Danh - Haihamec 3.6EC (nước trong) - 90ml - 100")</f>
        <v>GC - IV - 1112  - Thế Danh - Haihamec 3.6EC (nước trong) - 90ml - 100</v>
      </c>
    </row>
    <row r="1644">
      <c r="A1644" s="86">
        <f>IFERROR(__xludf.DUMMYFUNCTION("""COMPUTED_VALUE"""),1642.0)</f>
        <v>1642</v>
      </c>
      <c r="B1644" s="87" t="str">
        <f>IFERROR(__xludf.DUMMYFUNCTION("""COMPUTED_VALUE"""),"Nhãn")</f>
        <v>Nhãn</v>
      </c>
      <c r="C1644" s="87" t="str">
        <f>IFERROR(__xludf.DUMMYFUNCTION("""COMPUTED_VALUE"""),"NHD1113")</f>
        <v>NHD1113</v>
      </c>
      <c r="D1644" s="87" t="str">
        <f>IFERROR(__xludf.DUMMYFUNCTION("""COMPUTED_VALUE"""),"[Nhãn] GC - IV - 1113 - Thế Danh -  Haihamec 3.6EC (nước trong) - 450ml - 40")</f>
        <v>[Nhãn] GC - IV - 1113 - Thế Danh -  Haihamec 3.6EC (nước trong) - 450ml - 40</v>
      </c>
      <c r="E1644" s="87" t="str">
        <f>IFERROR(__xludf.DUMMYFUNCTION("""COMPUTED_VALUE"""),"HAIHAMEC 3.6EC")</f>
        <v>HAIHAMEC 3.6EC</v>
      </c>
      <c r="F1644" s="87" t="str">
        <f>IFERROR(__xludf.DUMMYFUNCTION("""COMPUTED_VALUE"""),"HH1113")</f>
        <v>HH1113</v>
      </c>
      <c r="G1644" s="87" t="str">
        <f>IFERROR(__xludf.DUMMYFUNCTION("""COMPUTED_VALUE"""),"GC - IV - 1113 - Thế Danh -  Haihamec 3.6EC (nước trong) - 450ml - 40")</f>
        <v>GC - IV - 1113 - Thế Danh -  Haihamec 3.6EC (nước trong) - 450ml - 40</v>
      </c>
    </row>
    <row r="1645">
      <c r="A1645" s="86">
        <f>IFERROR(__xludf.DUMMYFUNCTION("""COMPUTED_VALUE"""),1643.0)</f>
        <v>1643</v>
      </c>
      <c r="B1645" s="87" t="str">
        <f>IFERROR(__xludf.DUMMYFUNCTION("""COMPUTED_VALUE"""),"Nhãn")</f>
        <v>Nhãn</v>
      </c>
      <c r="C1645" s="87" t="str">
        <f>IFERROR(__xludf.DUMMYFUNCTION("""COMPUTED_VALUE"""),"NHG1114")</f>
        <v>NHG1114</v>
      </c>
      <c r="D1645" s="87" t="str">
        <f>IFERROR(__xludf.DUMMYFUNCTION("""COMPUTED_VALUE"""),"[Nhãn] LOT IDA Global - I - 1114 - Ba Con Cò - Ca Map 350SC - Gold (Nước trắng sữa) - 200ml - 40")</f>
        <v>[Nhãn] LOT IDA Global - I - 1114 - Ba Con Cò - Ca Map 350SC - Gold (Nước trắng sữa) - 200ml - 40</v>
      </c>
      <c r="E1645" s="87" t="str">
        <f>IFERROR(__xludf.DUMMYFUNCTION("""COMPUTED_VALUE"""),"CA MAP 350SC")</f>
        <v>CA MAP 350SC</v>
      </c>
      <c r="F1645" s="87" t="str">
        <f>IFERROR(__xludf.DUMMYFUNCTION("""COMPUTED_VALUE"""),"HH1114")</f>
        <v>HH1114</v>
      </c>
      <c r="G1645" s="87" t="str">
        <f>IFERROR(__xludf.DUMMYFUNCTION("""COMPUTED_VALUE"""),"LOT IDA Global - I - 1114 - Ba Con Cò - Ca Map 350SC - Gold (Nước trắng sữa) - 200ml - 40")</f>
        <v>LOT IDA Global - I - 1114 - Ba Con Cò - Ca Map 350SC - Gold (Nước trắng sữa) - 200ml - 40</v>
      </c>
    </row>
    <row r="1646">
      <c r="A1646" s="86">
        <f>IFERROR(__xludf.DUMMYFUNCTION("""COMPUTED_VALUE"""),1644.0)</f>
        <v>1644</v>
      </c>
      <c r="B1646" s="87" t="str">
        <f>IFERROR(__xludf.DUMMYFUNCTION("""COMPUTED_VALUE"""),"Nhãn")</f>
        <v>Nhãn</v>
      </c>
      <c r="C1646" s="87" t="str">
        <f>IFERROR(__xludf.DUMMYFUNCTION("""COMPUTED_VALUE"""),"NTN1115")</f>
        <v>NTN1115</v>
      </c>
      <c r="D1646" s="87" t="str">
        <f>IFERROR(__xludf.DUMMYFUNCTION("""COMPUTED_VALUE"""),"[Nhãn] GC - IV - 1115 - AU - Mancozeb Xanh (Bột xanh) - 1kg - 20")</f>
        <v>[Nhãn] GC - IV - 1115 - AU - Mancozeb Xanh (Bột xanh) - 1kg - 20</v>
      </c>
      <c r="E1646" s="87" t="str">
        <f>IFERROR(__xludf.DUMMYFUNCTION("""COMPUTED_VALUE"""),"TVZEB 800WP")</f>
        <v>TVZEB 800WP</v>
      </c>
      <c r="F1646" s="87" t="str">
        <f>IFERROR(__xludf.DUMMYFUNCTION("""COMPUTED_VALUE"""),"HH1115")</f>
        <v>HH1115</v>
      </c>
      <c r="G1646" s="87" t="str">
        <f>IFERROR(__xludf.DUMMYFUNCTION("""COMPUTED_VALUE"""),"GC - IV - 1115 - AU - Mancozeb Xanh (Bột xanh) - 1kg - 20")</f>
        <v>GC - IV - 1115 - AU - Mancozeb Xanh (Bột xanh) - 1kg - 20</v>
      </c>
    </row>
    <row r="1647">
      <c r="A1647" s="86">
        <f>IFERROR(__xludf.DUMMYFUNCTION("""COMPUTED_VALUE"""),1645.0)</f>
        <v>1645</v>
      </c>
      <c r="B1647" s="87" t="str">
        <f>IFERROR(__xludf.DUMMYFUNCTION("""COMPUTED_VALUE"""),"Nhãn thùng")</f>
        <v>Nhãn thùng</v>
      </c>
      <c r="C1647" s="87" t="str">
        <f>IFERROR(__xludf.DUMMYFUNCTION("""COMPUTED_VALUE"""),"NDT1115")</f>
        <v>NDT1115</v>
      </c>
      <c r="D1647" s="87" t="str">
        <f>IFERROR(__xludf.DUMMYFUNCTION("""COMPUTED_VALUE"""),"[Nhãn thùng] GC - IV - 1115 - AU - Mancozeb Xanh (Bột xanh) - 1kg - 20")</f>
        <v>[Nhãn thùng] GC - IV - 1115 - AU - Mancozeb Xanh (Bột xanh) - 1kg - 20</v>
      </c>
      <c r="E1647" s="87" t="str">
        <f>IFERROR(__xludf.DUMMYFUNCTION("""COMPUTED_VALUE"""),"TVZEB 800WP")</f>
        <v>TVZEB 800WP</v>
      </c>
      <c r="F1647" s="87" t="str">
        <f>IFERROR(__xludf.DUMMYFUNCTION("""COMPUTED_VALUE"""),"HH1115")</f>
        <v>HH1115</v>
      </c>
      <c r="G1647" s="87" t="str">
        <f>IFERROR(__xludf.DUMMYFUNCTION("""COMPUTED_VALUE"""),"GC - IV - 1115 - AU - Mancozeb Xanh (Bột xanh) - 1kg - 20")</f>
        <v>GC - IV - 1115 - AU - Mancozeb Xanh (Bột xanh) - 1kg - 20</v>
      </c>
    </row>
    <row r="1648">
      <c r="A1648" s="86">
        <f>IFERROR(__xludf.DUMMYFUNCTION("""COMPUTED_VALUE"""),1646.0)</f>
        <v>1646</v>
      </c>
      <c r="B1648" s="87" t="str">
        <f>IFERROR(__xludf.DUMMYFUNCTION("""COMPUTED_VALUE"""),"Nhãn")</f>
        <v>Nhãn</v>
      </c>
      <c r="C1648" s="87" t="str">
        <f>IFERROR(__xludf.DUMMYFUNCTION("""COMPUTED_VALUE"""),"NHG1116")</f>
        <v>NHG1116</v>
      </c>
      <c r="D1648" s="87" t="str">
        <f>IFERROR(__xludf.DUMMYFUNCTION("""COMPUTED_VALUE"""),"[Nhãn] GC - IV - 1116 - GNH - Siêu Bung Đọt(nước nâu đen) - 500ml - 40")</f>
        <v>[Nhãn] GC - IV - 1116 - GNH - Siêu Bung Đọt(nước nâu đen) - 500ml - 40</v>
      </c>
      <c r="E1648" s="87" t="str">
        <f>IFERROR(__xludf.DUMMYFUNCTION("""COMPUTED_VALUE"""),"Vi lượng Basel VA01")</f>
        <v>Vi lượng Basel VA01</v>
      </c>
      <c r="F1648" s="87" t="str">
        <f>IFERROR(__xludf.DUMMYFUNCTION("""COMPUTED_VALUE"""),"HH1116")</f>
        <v>HH1116</v>
      </c>
      <c r="G1648" s="87" t="str">
        <f>IFERROR(__xludf.DUMMYFUNCTION("""COMPUTED_VALUE"""),"GC - IV - 1116 - GNH - Siêu Bung Đọt(nước nâu đen) - 500ml - 40")</f>
        <v>GC - IV - 1116 - GNH - Siêu Bung Đọt(nước nâu đen) - 500ml - 40</v>
      </c>
    </row>
    <row r="1649">
      <c r="A1649" s="86">
        <f>IFERROR(__xludf.DUMMYFUNCTION("""COMPUTED_VALUE"""),1647.0)</f>
        <v>1647</v>
      </c>
      <c r="B1649" s="87" t="str">
        <f>IFERROR(__xludf.DUMMYFUNCTION("""COMPUTED_VALUE"""),"Nhãn")</f>
        <v>Nhãn</v>
      </c>
      <c r="C1649" s="87" t="str">
        <f>IFERROR(__xludf.DUMMYFUNCTION("""COMPUTED_VALUE"""),"NHG1117")</f>
        <v>NHG1117</v>
      </c>
      <c r="D1649" s="87" t="str">
        <f>IFERROR(__xludf.DUMMYFUNCTION("""COMPUTED_VALUE"""),"[Nhãn] GC - IV - 1117 - GNH - Siêu Bung Đọt(nước nâu đen) - 1L - 20")</f>
        <v>[Nhãn] GC - IV - 1117 - GNH - Siêu Bung Đọt(nước nâu đen) - 1L - 20</v>
      </c>
      <c r="E1649" s="87" t="str">
        <f>IFERROR(__xludf.DUMMYFUNCTION("""COMPUTED_VALUE"""),"Vi lượng Basel VA01")</f>
        <v>Vi lượng Basel VA01</v>
      </c>
      <c r="F1649" s="87" t="str">
        <f>IFERROR(__xludf.DUMMYFUNCTION("""COMPUTED_VALUE"""),"HH1117")</f>
        <v>HH1117</v>
      </c>
      <c r="G1649" s="87" t="str">
        <f>IFERROR(__xludf.DUMMYFUNCTION("""COMPUTED_VALUE"""),"GC - IV - 1117 - GNH - Siêu Bung Đọt(nước nâu đen) - 1L - 20")</f>
        <v>GC - IV - 1117 - GNH - Siêu Bung Đọt(nước nâu đen) - 1L - 20</v>
      </c>
    </row>
    <row r="1650">
      <c r="A1650" s="86">
        <f>IFERROR(__xludf.DUMMYFUNCTION("""COMPUTED_VALUE"""),1648.0)</f>
        <v>1648</v>
      </c>
      <c r="B1650" s="87" t="str">
        <f>IFERROR(__xludf.DUMMYFUNCTION("""COMPUTED_VALUE"""),"Nhãn")</f>
        <v>Nhãn</v>
      </c>
      <c r="C1650" s="87" t="str">
        <f>IFERROR(__xludf.DUMMYFUNCTION("""COMPUTED_VALUE"""),"NHG1118")</f>
        <v>NHG1118</v>
      </c>
      <c r="D1650" s="87" t="str">
        <f>IFERROR(__xludf.DUMMYFUNCTION("""COMPUTED_VALUE"""),"[Nhãn] GC - IV - 1118 - GNH - Siêu tăng trưởng (nước nâu đen) - 1L - 20")</f>
        <v>[Nhãn] GC - IV - 1118 - GNH - Siêu tăng trưởng (nước nâu đen) - 1L - 20</v>
      </c>
      <c r="E1650" s="87" t="str">
        <f>IFERROR(__xludf.DUMMYFUNCTION("""COMPUTED_VALUE"""),"Vi lượng Basel VA01")</f>
        <v>Vi lượng Basel VA01</v>
      </c>
      <c r="F1650" s="87" t="str">
        <f>IFERROR(__xludf.DUMMYFUNCTION("""COMPUTED_VALUE"""),"HH1118")</f>
        <v>HH1118</v>
      </c>
      <c r="G1650" s="87" t="str">
        <f>IFERROR(__xludf.DUMMYFUNCTION("""COMPUTED_VALUE"""),"GC - IV - 1118 - GNH - Siêu tăng trưởng (nước nâu đen) - 1L - 20")</f>
        <v>GC - IV - 1118 - GNH - Siêu tăng trưởng (nước nâu đen) - 1L - 20</v>
      </c>
    </row>
    <row r="1651">
      <c r="A1651" s="86">
        <f>IFERROR(__xludf.DUMMYFUNCTION("""COMPUTED_VALUE"""),1649.0)</f>
        <v>1649</v>
      </c>
      <c r="B1651" s="87" t="str">
        <f>IFERROR(__xludf.DUMMYFUNCTION("""COMPUTED_VALUE"""),"Nhãn")</f>
        <v>Nhãn</v>
      </c>
      <c r="C1651" s="87" t="str">
        <f>IFERROR(__xludf.DUMMYFUNCTION("""COMPUTED_VALUE"""),"NHG1119")</f>
        <v>NHG1119</v>
      </c>
      <c r="D1651" s="87" t="str">
        <f>IFERROR(__xludf.DUMMYFUNCTION("""COMPUTED_VALUE"""),"[Nhãn] GC - IV - 1119 - GNH - Siêu vô gạo (nước nâu đen) - 500ml - 40")</f>
        <v>[Nhãn] GC - IV - 1119 - GNH - Siêu vô gạo (nước nâu đen) - 500ml - 40</v>
      </c>
      <c r="E1651" s="87" t="str">
        <f>IFERROR(__xludf.DUMMYFUNCTION("""COMPUTED_VALUE"""),"Vi lượng BM-KABO")</f>
        <v>Vi lượng BM-KABO</v>
      </c>
      <c r="F1651" s="87" t="str">
        <f>IFERROR(__xludf.DUMMYFUNCTION("""COMPUTED_VALUE"""),"HH1119")</f>
        <v>HH1119</v>
      </c>
      <c r="G1651" s="87" t="str">
        <f>IFERROR(__xludf.DUMMYFUNCTION("""COMPUTED_VALUE"""),"GC - IV - 1119 - GNH - Siêu vô gạo (nước nâu đen) - 500ml - 40")</f>
        <v>GC - IV - 1119 - GNH - Siêu vô gạo (nước nâu đen) - 500ml - 40</v>
      </c>
    </row>
    <row r="1652">
      <c r="A1652" s="86">
        <f>IFERROR(__xludf.DUMMYFUNCTION("""COMPUTED_VALUE"""),1650.0)</f>
        <v>1650</v>
      </c>
      <c r="B1652" s="87" t="str">
        <f>IFERROR(__xludf.DUMMYFUNCTION("""COMPUTED_VALUE"""),"Nhãn")</f>
        <v>Nhãn</v>
      </c>
      <c r="C1652" s="87" t="str">
        <f>IFERROR(__xludf.DUMMYFUNCTION("""COMPUTED_VALUE"""),"NHG1120")</f>
        <v>NHG1120</v>
      </c>
      <c r="D1652" s="87" t="str">
        <f>IFERROR(__xludf.DUMMYFUNCTION("""COMPUTED_VALUE"""),"[Nhãn] GC - IV - 1120 - GNH - Siêu to củ (nước nâu đen) - 500ml - 40")</f>
        <v>[Nhãn] GC - IV - 1120 - GNH - Siêu to củ (nước nâu đen) - 500ml - 40</v>
      </c>
      <c r="E1652" s="87" t="str">
        <f>IFERROR(__xludf.DUMMYFUNCTION("""COMPUTED_VALUE"""),"Vi lượng BM-KABO")</f>
        <v>Vi lượng BM-KABO</v>
      </c>
      <c r="F1652" s="87" t="str">
        <f>IFERROR(__xludf.DUMMYFUNCTION("""COMPUTED_VALUE"""),"HH1120")</f>
        <v>HH1120</v>
      </c>
      <c r="G1652" s="87" t="str">
        <f>IFERROR(__xludf.DUMMYFUNCTION("""COMPUTED_VALUE"""),"GC - IV - 1120 - GNH - Siêu to củ (nước nâu đen) - 500ml - 40")</f>
        <v>GC - IV - 1120 - GNH - Siêu to củ (nước nâu đen) - 500ml - 40</v>
      </c>
    </row>
    <row r="1653">
      <c r="A1653" s="86">
        <f>IFERROR(__xludf.DUMMYFUNCTION("""COMPUTED_VALUE"""),1651.0)</f>
        <v>1651</v>
      </c>
      <c r="B1653" s="87" t="str">
        <f>IFERROR(__xludf.DUMMYFUNCTION("""COMPUTED_VALUE"""),"Nhãn")</f>
        <v>Nhãn</v>
      </c>
      <c r="C1653" s="87" t="str">
        <f>IFERROR(__xludf.DUMMYFUNCTION("""COMPUTED_VALUE"""),"NHG1121")</f>
        <v>NHG1121</v>
      </c>
      <c r="D1653" s="87" t="str">
        <f>IFERROR(__xludf.DUMMYFUNCTION("""COMPUTED_VALUE"""),"[Nhãn] GC - IV - 1121 - GNH - Sức mạnh cá hồi (nước nâu đen) - 1L - 20")</f>
        <v>[Nhãn] GC - IV - 1121 - GNH - Sức mạnh cá hồi (nước nâu đen) - 1L - 20</v>
      </c>
      <c r="E1653" s="87" t="str">
        <f>IFERROR(__xludf.DUMMYFUNCTION("""COMPUTED_VALUE"""),"Vi lượng Quantity New")</f>
        <v>Vi lượng Quantity New</v>
      </c>
      <c r="F1653" s="87" t="str">
        <f>IFERROR(__xludf.DUMMYFUNCTION("""COMPUTED_VALUE"""),"HH1121")</f>
        <v>HH1121</v>
      </c>
      <c r="G1653" s="87" t="str">
        <f>IFERROR(__xludf.DUMMYFUNCTION("""COMPUTED_VALUE"""),"GC - IV - 1121 - GNH - Sức mạnh cá hồi (nước nâu đen) - 1L - 20")</f>
        <v>GC - IV - 1121 - GNH - Sức mạnh cá hồi (nước nâu đen) - 1L - 20</v>
      </c>
    </row>
    <row r="1654">
      <c r="A1654" s="86">
        <f>IFERROR(__xludf.DUMMYFUNCTION("""COMPUTED_VALUE"""),1652.0)</f>
        <v>1652</v>
      </c>
      <c r="B1654" s="87" t="str">
        <f>IFERROR(__xludf.DUMMYFUNCTION("""COMPUTED_VALUE"""),"Nhãn")</f>
        <v>Nhãn</v>
      </c>
      <c r="C1654" s="87" t="str">
        <f>IFERROR(__xludf.DUMMYFUNCTION("""COMPUTED_VALUE"""),"NHG1122")</f>
        <v>NHG1122</v>
      </c>
      <c r="D1654" s="87" t="str">
        <f>IFERROR(__xludf.DUMMYFUNCTION("""COMPUTED_VALUE"""),"[Nhãn] GC - IV - 1122 - GNH - Chuyên lác (nước nâu đen) - 1L - 20")</f>
        <v>[Nhãn] GC - IV - 1122 - GNH - Chuyên lác (nước nâu đen) - 1L - 20</v>
      </c>
      <c r="E1654" s="87" t="str">
        <f>IFERROR(__xludf.DUMMYFUNCTION("""COMPUTED_VALUE"""),"Vi lượng Quantity New")</f>
        <v>Vi lượng Quantity New</v>
      </c>
      <c r="F1654" s="87" t="str">
        <f>IFERROR(__xludf.DUMMYFUNCTION("""COMPUTED_VALUE"""),"HH1122")</f>
        <v>HH1122</v>
      </c>
      <c r="G1654" s="87" t="str">
        <f>IFERROR(__xludf.DUMMYFUNCTION("""COMPUTED_VALUE"""),"GC - IV - 1122 - GNH - Chuyên lác (nước nâu đen) - 1L - 20")</f>
        <v>GC - IV - 1122 - GNH - Chuyên lác (nước nâu đen) - 1L - 20</v>
      </c>
    </row>
    <row r="1655">
      <c r="A1655" s="86">
        <f>IFERROR(__xludf.DUMMYFUNCTION("""COMPUTED_VALUE"""),1653.0)</f>
        <v>1653</v>
      </c>
      <c r="B1655" s="87" t="str">
        <f>IFERROR(__xludf.DUMMYFUNCTION("""COMPUTED_VALUE"""),"Nhãn")</f>
        <v>Nhãn</v>
      </c>
      <c r="C1655" s="87" t="str">
        <f>IFERROR(__xludf.DUMMYFUNCTION("""COMPUTED_VALUE"""),"NHG1123")</f>
        <v>NHG1123</v>
      </c>
      <c r="D1655" s="87" t="str">
        <f>IFERROR(__xludf.DUMMYFUNCTION("""COMPUTED_VALUE"""),"[Nhãn] GC - IV - 1123 - GNH - Ra Rễ Nở Bụi (nước nâu đen) - 500ml - 40")</f>
        <v>[Nhãn] GC - IV - 1123 - GNH - Ra Rễ Nở Bụi (nước nâu đen) - 500ml - 40</v>
      </c>
      <c r="E1655" s="87" t="str">
        <f>IFERROR(__xludf.DUMMYFUNCTION("""COMPUTED_VALUE"""),"Vi lượng Quantity New")</f>
        <v>Vi lượng Quantity New</v>
      </c>
      <c r="F1655" s="87" t="str">
        <f>IFERROR(__xludf.DUMMYFUNCTION("""COMPUTED_VALUE"""),"HH1123")</f>
        <v>HH1123</v>
      </c>
      <c r="G1655" s="87" t="str">
        <f>IFERROR(__xludf.DUMMYFUNCTION("""COMPUTED_VALUE"""),"GC - IV - 1123 - GNH - Ra Rễ Nở Bụi (nước nâu đen) - 500ml - 40")</f>
        <v>GC - IV - 1123 - GNH - Ra Rễ Nở Bụi (nước nâu đen) - 500ml - 40</v>
      </c>
    </row>
    <row r="1656">
      <c r="A1656" s="86">
        <f>IFERROR(__xludf.DUMMYFUNCTION("""COMPUTED_VALUE"""),1654.0)</f>
        <v>1654</v>
      </c>
      <c r="B1656" s="87" t="str">
        <f>IFERROR(__xludf.DUMMYFUNCTION("""COMPUTED_VALUE"""),"Nhãn")</f>
        <v>Nhãn</v>
      </c>
      <c r="C1656" s="87" t="str">
        <f>IFERROR(__xludf.DUMMYFUNCTION("""COMPUTED_VALUE"""),"NHG1124")</f>
        <v>NHG1124</v>
      </c>
      <c r="D1656" s="87" t="str">
        <f>IFERROR(__xludf.DUMMYFUNCTION("""COMPUTED_VALUE"""),"[Nhãn] GC - IV - 1124 - GNH - Ra Rễ Nở Bụi (nước nâu đen) - 1L - 20")</f>
        <v>[Nhãn] GC - IV - 1124 - GNH - Ra Rễ Nở Bụi (nước nâu đen) - 1L - 20</v>
      </c>
      <c r="E1656" s="87" t="str">
        <f>IFERROR(__xludf.DUMMYFUNCTION("""COMPUTED_VALUE"""),"Vi lượng Quantity New")</f>
        <v>Vi lượng Quantity New</v>
      </c>
      <c r="F1656" s="87" t="str">
        <f>IFERROR(__xludf.DUMMYFUNCTION("""COMPUTED_VALUE"""),"HH1124")</f>
        <v>HH1124</v>
      </c>
      <c r="G1656" s="87" t="str">
        <f>IFERROR(__xludf.DUMMYFUNCTION("""COMPUTED_VALUE"""),"GC - IV - 1124 - GNH - Ra Rễ Nở Bụi (nước nâu đen) - 1L - 20")</f>
        <v>GC - IV - 1124 - GNH - Ra Rễ Nở Bụi (nước nâu đen) - 1L - 20</v>
      </c>
    </row>
    <row r="1657">
      <c r="A1657" s="86">
        <f>IFERROR(__xludf.DUMMYFUNCTION("""COMPUTED_VALUE"""),1655.0)</f>
        <v>1655</v>
      </c>
      <c r="B1657" s="87" t="str">
        <f>IFERROR(__xludf.DUMMYFUNCTION("""COMPUTED_VALUE"""),"Nhãn")</f>
        <v>Nhãn</v>
      </c>
      <c r="C1657" s="87" t="str">
        <f>IFERROR(__xludf.DUMMYFUNCTION("""COMPUTED_VALUE"""),"NHG1125")</f>
        <v>NHG1125</v>
      </c>
      <c r="D1657" s="87" t="str">
        <f>IFERROR(__xludf.DUMMYFUNCTION("""COMPUTED_VALUE"""),"[Nhãn] GC - IV - 1125 - GNH - Siêu Rau Quả (nước nâu đen) - 500ml - 40")</f>
        <v>[Nhãn] GC - IV - 1125 - GNH - Siêu Rau Quả (nước nâu đen) - 500ml - 40</v>
      </c>
      <c r="E1657" s="87" t="str">
        <f>IFERROR(__xludf.DUMMYFUNCTION("""COMPUTED_VALUE"""),"Vi lượng Quantity New")</f>
        <v>Vi lượng Quantity New</v>
      </c>
      <c r="F1657" s="87" t="str">
        <f>IFERROR(__xludf.DUMMYFUNCTION("""COMPUTED_VALUE"""),"HH1125")</f>
        <v>HH1125</v>
      </c>
      <c r="G1657" s="87" t="str">
        <f>IFERROR(__xludf.DUMMYFUNCTION("""COMPUTED_VALUE"""),"GC - IV - 1125 - GNH - Siêu Rau Quả (nước nâu đen) - 500ml - 40")</f>
        <v>GC - IV - 1125 - GNH - Siêu Rau Quả (nước nâu đen) - 500ml - 40</v>
      </c>
    </row>
    <row r="1658">
      <c r="A1658" s="86">
        <f>IFERROR(__xludf.DUMMYFUNCTION("""COMPUTED_VALUE"""),1656.0)</f>
        <v>1656</v>
      </c>
      <c r="B1658" s="87" t="str">
        <f>IFERROR(__xludf.DUMMYFUNCTION("""COMPUTED_VALUE"""),"Nhãn")</f>
        <v>Nhãn</v>
      </c>
      <c r="C1658" s="87" t="str">
        <f>IFERROR(__xludf.DUMMYFUNCTION("""COMPUTED_VALUE"""),"NHG1126")</f>
        <v>NHG1126</v>
      </c>
      <c r="D1658" s="87" t="str">
        <f>IFERROR(__xludf.DUMMYFUNCTION("""COMPUTED_VALUE"""),"[Nhãn] NB - I - 1126 - Pesticidex - Hoá Nông Phú Hùng - B50 (nước nâu đen) -  450ml - 40")</f>
        <v>[Nhãn] NB - I - 1126 - Pesticidex - Hoá Nông Phú Hùng - B50 (nước nâu đen) -  450ml - 40</v>
      </c>
      <c r="E1658" s="87" t="str">
        <f>IFERROR(__xludf.DUMMYFUNCTION("""COMPUTED_VALUE"""),"HAIHAMEC 3.6EC")</f>
        <v>HAIHAMEC 3.6EC</v>
      </c>
      <c r="F1658" s="87" t="str">
        <f>IFERROR(__xludf.DUMMYFUNCTION("""COMPUTED_VALUE"""),"HH1126")</f>
        <v>HH1126</v>
      </c>
      <c r="G1658" s="87" t="str">
        <f>IFERROR(__xludf.DUMMYFUNCTION("""COMPUTED_VALUE"""),"NB - I - 1126 - Pesticidex - Hoá Nông Phú Hùng - B50 (nước nâu đen) -  450ml - 40")</f>
        <v>NB - I - 1126 - Pesticidex - Hoá Nông Phú Hùng - B50 (nước nâu đen) -  450ml - 40</v>
      </c>
    </row>
    <row r="1659">
      <c r="A1659" s="86">
        <f>IFERROR(__xludf.DUMMYFUNCTION("""COMPUTED_VALUE"""),1657.0)</f>
        <v>1657</v>
      </c>
      <c r="B1659" s="87" t="str">
        <f>IFERROR(__xludf.DUMMYFUNCTION("""COMPUTED_VALUE"""),"Nhãn")</f>
        <v>Nhãn</v>
      </c>
      <c r="C1659" s="87" t="str">
        <f>IFERROR(__xludf.DUMMYFUNCTION("""COMPUTED_VALUE"""),"NHG1127")</f>
        <v>NHG1127</v>
      </c>
      <c r="D1659" s="87" t="str">
        <f>IFERROR(__xludf.DUMMYFUNCTION("""COMPUTED_VALUE"""),"[Nhãn] NB - I - 1127 - Pesticidex - Hoá Nông Phú Hùng - B52 (nước nâu đen) -  450ml - 40")</f>
        <v>[Nhãn] NB - I - 1127 - Pesticidex - Hoá Nông Phú Hùng - B52 (nước nâu đen) -  450ml - 40</v>
      </c>
      <c r="E1659" s="87" t="str">
        <f>IFERROR(__xludf.DUMMYFUNCTION("""COMPUTED_VALUE"""),"HAIHAMEC 3.6EC")</f>
        <v>HAIHAMEC 3.6EC</v>
      </c>
      <c r="F1659" s="87" t="str">
        <f>IFERROR(__xludf.DUMMYFUNCTION("""COMPUTED_VALUE"""),"HH1127")</f>
        <v>HH1127</v>
      </c>
      <c r="G1659" s="87" t="str">
        <f>IFERROR(__xludf.DUMMYFUNCTION("""COMPUTED_VALUE"""),"NB - I - 1127 - Pesticidex - Hoá Nông Phú Hùng - B52 (nước nâu đen) -  450ml - 40")</f>
        <v>NB - I - 1127 - Pesticidex - Hoá Nông Phú Hùng - B52 (nước nâu đen) -  450ml - 40</v>
      </c>
    </row>
    <row r="1660">
      <c r="A1660" s="86">
        <f>IFERROR(__xludf.DUMMYFUNCTION("""COMPUTED_VALUE"""),1658.0)</f>
        <v>1658</v>
      </c>
      <c r="B1660" s="87" t="str">
        <f>IFERROR(__xludf.DUMMYFUNCTION("""COMPUTED_VALUE"""),"Nhãn")</f>
        <v>Nhãn</v>
      </c>
      <c r="C1660" s="87" t="str">
        <f>IFERROR(__xludf.DUMMYFUNCTION("""COMPUTED_VALUE"""),"NHD1129")</f>
        <v>NHD1129</v>
      </c>
      <c r="D1660" s="87" t="str">
        <f>IFERROR(__xludf.DUMMYFUNCTION("""COMPUTED_VALUE"""),"[Nhãn] GC - IV - 1129  - Thế Danh - Haihamec 3.6EC (nước trong) - 90ml - 100")</f>
        <v>[Nhãn] GC - IV - 1129  - Thế Danh - Haihamec 3.6EC (nước trong) - 90ml - 100</v>
      </c>
      <c r="E1660" s="87" t="str">
        <f>IFERROR(__xludf.DUMMYFUNCTION("""COMPUTED_VALUE"""),"HAIHAMEC 3.6EC")</f>
        <v>HAIHAMEC 3.6EC</v>
      </c>
      <c r="F1660" s="87" t="str">
        <f>IFERROR(__xludf.DUMMYFUNCTION("""COMPUTED_VALUE"""),"HH1129")</f>
        <v>HH1129</v>
      </c>
      <c r="G1660" s="87" t="str">
        <f>IFERROR(__xludf.DUMMYFUNCTION("""COMPUTED_VALUE"""),"GC - IV - 1129  - Thế Danh - Haihamec 3.6EC (nước trong) - 90ml - 100")</f>
        <v>GC - IV - 1129  - Thế Danh - Haihamec 3.6EC (nước trong) - 90ml - 100</v>
      </c>
    </row>
    <row r="1661">
      <c r="A1661" s="86">
        <f>IFERROR(__xludf.DUMMYFUNCTION("""COMPUTED_VALUE"""),1659.0)</f>
        <v>1659</v>
      </c>
      <c r="B1661" s="87" t="str">
        <f>IFERROR(__xludf.DUMMYFUNCTION("""COMPUTED_VALUE"""),"Nhãn")</f>
        <v>Nhãn</v>
      </c>
      <c r="C1661" s="87" t="str">
        <f>IFERROR(__xludf.DUMMYFUNCTION("""COMPUTED_VALUE"""),"NHD1130")</f>
        <v>NHD1130</v>
      </c>
      <c r="D1661" s="87" t="str">
        <f>IFERROR(__xludf.DUMMYFUNCTION("""COMPUTED_VALUE"""),"[Nhãn] GC - IV - 1130  - Thế Danh - Haihamec 3.6EC (nước trong) - 450ml - 40")</f>
        <v>[Nhãn] GC - IV - 1130  - Thế Danh - Haihamec 3.6EC (nước trong) - 450ml - 40</v>
      </c>
      <c r="E1661" s="87" t="str">
        <f>IFERROR(__xludf.DUMMYFUNCTION("""COMPUTED_VALUE"""),"HAIHAMEC 3.6EC")</f>
        <v>HAIHAMEC 3.6EC</v>
      </c>
      <c r="F1661" s="87" t="str">
        <f>IFERROR(__xludf.DUMMYFUNCTION("""COMPUTED_VALUE"""),"HH1130")</f>
        <v>HH1130</v>
      </c>
      <c r="G1661" s="87" t="str">
        <f>IFERROR(__xludf.DUMMYFUNCTION("""COMPUTED_VALUE"""),"GC - IV - 1130  - Thế Danh - Haihamec 3.6EC (nước trong) - 450ml - 40")</f>
        <v>GC - IV - 1130  - Thế Danh - Haihamec 3.6EC (nước trong) - 450ml - 40</v>
      </c>
    </row>
    <row r="1662">
      <c r="A1662" s="86">
        <f>IFERROR(__xludf.DUMMYFUNCTION("""COMPUTED_VALUE"""),1660.0)</f>
        <v>1660</v>
      </c>
      <c r="B1662" s="87" t="str">
        <f>IFERROR(__xludf.DUMMYFUNCTION("""COMPUTED_VALUE"""),"Nhãn")</f>
        <v>Nhãn</v>
      </c>
      <c r="C1662" s="87" t="str">
        <f>IFERROR(__xludf.DUMMYFUNCTION("""COMPUTED_VALUE"""),"NHD1131")</f>
        <v>NHD1131</v>
      </c>
      <c r="D1662" s="87" t="str">
        <f>IFERROR(__xludf.DUMMYFUNCTION("""COMPUTED_VALUE"""),"[Nhãn] GC - IV -  K - 1131 - Thế Danh - Cochay 200SL (Nước tím) - 900ml - 20")</f>
        <v>[Nhãn] GC - IV -  K - 1131 - Thế Danh - Cochay 200SL (Nước tím) - 900ml - 20</v>
      </c>
      <c r="E1662" s="87" t="str">
        <f>IFERROR(__xludf.DUMMYFUNCTION("""COMPUTED_VALUE"""),"COCHAY 200SL")</f>
        <v>COCHAY 200SL</v>
      </c>
      <c r="F1662" s="87" t="str">
        <f>IFERROR(__xludf.DUMMYFUNCTION("""COMPUTED_VALUE"""),"HH1131")</f>
        <v>HH1131</v>
      </c>
      <c r="G1662" s="87" t="str">
        <f>IFERROR(__xludf.DUMMYFUNCTION("""COMPUTED_VALUE"""),"GC - IV -  K - 1131 - Thế Danh - Cochay 200SL (Nước tím) - 900ml - 20")</f>
        <v>GC - IV -  K - 1131 - Thế Danh - Cochay 200SL (Nước tím) - 900ml - 20</v>
      </c>
    </row>
    <row r="1663">
      <c r="A1663" s="86">
        <f>IFERROR(__xludf.DUMMYFUNCTION("""COMPUTED_VALUE"""),1661.0)</f>
        <v>1661</v>
      </c>
      <c r="B1663" s="87" t="str">
        <f>IFERROR(__xludf.DUMMYFUNCTION("""COMPUTED_VALUE"""),"Nhãn")</f>
        <v>Nhãn</v>
      </c>
      <c r="C1663" s="87" t="str">
        <f>IFERROR(__xludf.DUMMYFUNCTION("""COMPUTED_VALUE"""),"NHG1132")</f>
        <v>NHG1132</v>
      </c>
      <c r="D1663" s="87" t="str">
        <f>IFERROR(__xludf.DUMMYFUNCTION("""COMPUTED_VALUE"""),"[Nhãn] LOT IDA Global - I - 1132 - Hai Dũng - Thần Hổ (nước trong) - 450ml - 40")</f>
        <v>[Nhãn] LOT IDA Global - I - 1132 - Hai Dũng - Thần Hổ (nước trong) - 450ml - 40</v>
      </c>
      <c r="E1663" s="87" t="str">
        <f>IFERROR(__xludf.DUMMYFUNCTION("""COMPUTED_VALUE"""),"HAIHAMEC 3.6EC")</f>
        <v>HAIHAMEC 3.6EC</v>
      </c>
      <c r="F1663" s="87" t="str">
        <f>IFERROR(__xludf.DUMMYFUNCTION("""COMPUTED_VALUE"""),"HH1132")</f>
        <v>HH1132</v>
      </c>
      <c r="G1663" s="87" t="str">
        <f>IFERROR(__xludf.DUMMYFUNCTION("""COMPUTED_VALUE"""),"LOT IDA Global - I - 1132 - Hai Dũng - Thần Hổ (nước trong) - 450ml - 40")</f>
        <v>LOT IDA Global - I - 1132 - Hai Dũng - Thần Hổ (nước trong) - 450ml - 40</v>
      </c>
    </row>
    <row r="1664">
      <c r="A1664" s="86">
        <f>IFERROR(__xludf.DUMMYFUNCTION("""COMPUTED_VALUE"""),1662.0)</f>
        <v>1662</v>
      </c>
      <c r="B1664" s="87" t="str">
        <f>IFERROR(__xludf.DUMMYFUNCTION("""COMPUTED_VALUE"""),"Nhãn")</f>
        <v>Nhãn</v>
      </c>
      <c r="C1664" s="87" t="str">
        <f>IFERROR(__xludf.DUMMYFUNCTION("""COMPUTED_VALUE"""),"NHD1133")</f>
        <v>NHD1133</v>
      </c>
      <c r="D1664" s="87" t="str">
        <f>IFERROR(__xludf.DUMMYFUNCTION("""COMPUTED_VALUE"""),"[Nhãn] GC - IV -  K - 1133 - Thế Danh - Cochay 200SL (Nước tím) - 180ml - 40")</f>
        <v>[Nhãn] GC - IV -  K - 1133 - Thế Danh - Cochay 200SL (Nước tím) - 180ml - 40</v>
      </c>
      <c r="E1664" s="87" t="str">
        <f>IFERROR(__xludf.DUMMYFUNCTION("""COMPUTED_VALUE"""),"COCHAY 200SL")</f>
        <v>COCHAY 200SL</v>
      </c>
      <c r="F1664" s="87" t="str">
        <f>IFERROR(__xludf.DUMMYFUNCTION("""COMPUTED_VALUE"""),"HH1133")</f>
        <v>HH1133</v>
      </c>
      <c r="G1664" s="87" t="str">
        <f>IFERROR(__xludf.DUMMYFUNCTION("""COMPUTED_VALUE"""),"GC - IV -  K - 1133 - Thế Danh - Cochay 200SL (Nước tím) - 180ml - 40")</f>
        <v>GC - IV -  K - 1133 - Thế Danh - Cochay 200SL (Nước tím) - 180ml - 40</v>
      </c>
    </row>
    <row r="1665">
      <c r="A1665" s="86">
        <f>IFERROR(__xludf.DUMMYFUNCTION("""COMPUTED_VALUE"""),1663.0)</f>
        <v>1663</v>
      </c>
      <c r="B1665" s="87" t="str">
        <f>IFERROR(__xludf.DUMMYFUNCTION("""COMPUTED_VALUE"""),"Nhãn")</f>
        <v>Nhãn</v>
      </c>
      <c r="C1665" s="87" t="str">
        <f>IFERROR(__xludf.DUMMYFUNCTION("""COMPUTED_VALUE"""),"NHG1134")</f>
        <v>NHG1134</v>
      </c>
      <c r="D1665" s="87" t="str">
        <f>IFERROR(__xludf.DUMMYFUNCTION("""COMPUTED_VALUE"""),"[Nhãn] GC - IV - 1134 - AU - Chadotop (nước nâu đen) - 1L - 20")</f>
        <v>[Nhãn] GC - IV - 1134 - AU - Chadotop (nước nâu đen) - 1L - 20</v>
      </c>
      <c r="E1665" s="87" t="str">
        <f>IFERROR(__xludf.DUMMYFUNCTION("""COMPUTED_VALUE"""),"Vi lượng Quantity New")</f>
        <v>Vi lượng Quantity New</v>
      </c>
      <c r="F1665" s="87" t="str">
        <f>IFERROR(__xludf.DUMMYFUNCTION("""COMPUTED_VALUE"""),"HH1134")</f>
        <v>HH1134</v>
      </c>
      <c r="G1665" s="87" t="str">
        <f>IFERROR(__xludf.DUMMYFUNCTION("""COMPUTED_VALUE"""),"GC - IV - 1134 - AU - Chadotop (nước nâu đen) - 1L - 20")</f>
        <v>GC - IV - 1134 - AU - Chadotop (nước nâu đen) - 1L - 20</v>
      </c>
    </row>
    <row r="1666">
      <c r="A1666" s="86">
        <f>IFERROR(__xludf.DUMMYFUNCTION("""COMPUTED_VALUE"""),1664.0)</f>
        <v>1664</v>
      </c>
      <c r="B1666" s="87" t="str">
        <f>IFERROR(__xludf.DUMMYFUNCTION("""COMPUTED_VALUE"""),"Nhãn")</f>
        <v>Nhãn</v>
      </c>
      <c r="C1666" s="87" t="str">
        <f>IFERROR(__xludf.DUMMYFUNCTION("""COMPUTED_VALUE"""),"NHG1135")</f>
        <v>NHG1135</v>
      </c>
      <c r="D1666" s="87" t="str">
        <f>IFERROR(__xludf.DUMMYFUNCTION("""COMPUTED_VALUE"""),"[Nhãn] GC - IV - 1135 - GNH - Kabo sữa (nước trắng ngà) - 500ml - 40")</f>
        <v>[Nhãn] GC - IV - 1135 - GNH - Kabo sữa (nước trắng ngà) - 500ml - 40</v>
      </c>
      <c r="E1666" s="87" t="str">
        <f>IFERROR(__xludf.DUMMYFUNCTION("""COMPUTED_VALUE"""),"Vi lượng BM-KABO")</f>
        <v>Vi lượng BM-KABO</v>
      </c>
      <c r="F1666" s="87" t="str">
        <f>IFERROR(__xludf.DUMMYFUNCTION("""COMPUTED_VALUE"""),"HH1135")</f>
        <v>HH1135</v>
      </c>
      <c r="G1666" s="87" t="str">
        <f>IFERROR(__xludf.DUMMYFUNCTION("""COMPUTED_VALUE"""),"GC - IV - 1135 - GNH - Kabo sữa (nước trắng ngà) - 500ml - 40")</f>
        <v>GC - IV - 1135 - GNH - Kabo sữa (nước trắng ngà) - 500ml - 40</v>
      </c>
    </row>
    <row r="1667">
      <c r="A1667" s="86">
        <f>IFERROR(__xludf.DUMMYFUNCTION("""COMPUTED_VALUE"""),1665.0)</f>
        <v>1665</v>
      </c>
      <c r="B1667" s="87" t="str">
        <f>IFERROR(__xludf.DUMMYFUNCTION("""COMPUTED_VALUE"""),"Nhãn")</f>
        <v>Nhãn</v>
      </c>
      <c r="C1667" s="87" t="str">
        <f>IFERROR(__xludf.DUMMYFUNCTION("""COMPUTED_VALUE"""),"NHG1136")</f>
        <v>NHG1136</v>
      </c>
      <c r="D1667" s="87" t="str">
        <f>IFERROR(__xludf.DUMMYFUNCTION("""COMPUTED_VALUE"""),"[Nhãn] GC - IV - 1136 - GNH - Kamycinjapane 20SL - 450ml - 40")</f>
        <v>[Nhãn] GC - IV - 1136 - GNH - Kamycinjapane 20SL - 450ml - 40</v>
      </c>
      <c r="E1667" s="87" t="str">
        <f>IFERROR(__xludf.DUMMYFUNCTION("""COMPUTED_VALUE"""),"Kamycinjapane 20SL")</f>
        <v>Kamycinjapane 20SL</v>
      </c>
      <c r="F1667" s="87" t="str">
        <f>IFERROR(__xludf.DUMMYFUNCTION("""COMPUTED_VALUE"""),"HH1136")</f>
        <v>HH1136</v>
      </c>
      <c r="G1667" s="87" t="str">
        <f>IFERROR(__xludf.DUMMYFUNCTION("""COMPUTED_VALUE"""),"GC - IV - 1136 - GNH - Kamycinjapane 20SL - 450ml - 40")</f>
        <v>GC - IV - 1136 - GNH - Kamycinjapane 20SL - 450ml - 40</v>
      </c>
    </row>
    <row r="1668">
      <c r="A1668" s="86">
        <f>IFERROR(__xludf.DUMMYFUNCTION("""COMPUTED_VALUE"""),1666.0)</f>
        <v>1666</v>
      </c>
      <c r="B1668" s="87" t="str">
        <f>IFERROR(__xludf.DUMMYFUNCTION("""COMPUTED_VALUE"""),"Nhãn")</f>
        <v>Nhãn</v>
      </c>
      <c r="C1668" s="87" t="str">
        <f>IFERROR(__xludf.DUMMYFUNCTION("""COMPUTED_VALUE"""),"NHG1137")</f>
        <v>NHG1137</v>
      </c>
      <c r="D1668" s="87" t="str">
        <f>IFERROR(__xludf.DUMMYFUNCTION("""COMPUTED_VALUE"""),"[Nhãn] GC - IV - 1137 - Nông Lâm Hoà Phát - Kamy-cinjapane 20SL (nước xanh lá) - 450ml - 40")</f>
        <v>[Nhãn] GC - IV - 1137 - Nông Lâm Hoà Phát - Kamy-cinjapane 20SL (nước xanh lá) - 450ml - 40</v>
      </c>
      <c r="E1668" s="87" t="str">
        <f>IFERROR(__xludf.DUMMYFUNCTION("""COMPUTED_VALUE"""),"Kamycinjapane 20SL")</f>
        <v>Kamycinjapane 20SL</v>
      </c>
      <c r="F1668" s="87" t="str">
        <f>IFERROR(__xludf.DUMMYFUNCTION("""COMPUTED_VALUE"""),"HH1137")</f>
        <v>HH1137</v>
      </c>
      <c r="G1668" s="87" t="str">
        <f>IFERROR(__xludf.DUMMYFUNCTION("""COMPUTED_VALUE"""),"GC - IV - 1137 - Nông Lâm Hoà Phát - Kamy-cinjapane 20SL (nước xanh lá) - 450ml - 40")</f>
        <v>GC - IV - 1137 - Nông Lâm Hoà Phát - Kamy-cinjapane 20SL (nước xanh lá) - 450ml - 40</v>
      </c>
    </row>
    <row r="1669">
      <c r="A1669" s="86">
        <f>IFERROR(__xludf.DUMMYFUNCTION("""COMPUTED_VALUE"""),1667.0)</f>
        <v>1667</v>
      </c>
      <c r="B1669" s="87" t="str">
        <f>IFERROR(__xludf.DUMMYFUNCTION("""COMPUTED_VALUE"""),"Nhãn")</f>
        <v>Nhãn</v>
      </c>
      <c r="C1669" s="87" t="str">
        <f>IFERROR(__xludf.DUMMYFUNCTION("""COMPUTED_VALUE"""),"NTN1138")</f>
        <v>NTN1138</v>
      </c>
      <c r="D1669" s="87" t="str">
        <f>IFERROR(__xludf.DUMMYFUNCTION("""COMPUTED_VALUE"""),"[Nhãn] LOT IDA Global - I - 1138 - Đại Thắng 2 - Manco xanh (bột xanh) - 1 Kg - 20")</f>
        <v>[Nhãn] LOT IDA Global - I - 1138 - Đại Thắng 2 - Manco xanh (bột xanh) - 1 Kg - 20</v>
      </c>
      <c r="E1669" s="87" t="str">
        <f>IFERROR(__xludf.DUMMYFUNCTION("""COMPUTED_VALUE"""),"BYPHAN 800WP")</f>
        <v>BYPHAN 800WP</v>
      </c>
      <c r="F1669" s="87" t="str">
        <f>IFERROR(__xludf.DUMMYFUNCTION("""COMPUTED_VALUE"""),"HH1138")</f>
        <v>HH1138</v>
      </c>
      <c r="G1669" s="87" t="str">
        <f>IFERROR(__xludf.DUMMYFUNCTION("""COMPUTED_VALUE"""),"LOT IDA Global - I - 1138 - Đại Thắng 2 - Manco xanh (bột xanh) - 1 Kg - 20")</f>
        <v>LOT IDA Global - I - 1138 - Đại Thắng 2 - Manco xanh (bột xanh) - 1 Kg - 20</v>
      </c>
    </row>
    <row r="1670">
      <c r="A1670" s="86">
        <f>IFERROR(__xludf.DUMMYFUNCTION("""COMPUTED_VALUE"""),1668.0)</f>
        <v>1668</v>
      </c>
      <c r="B1670" s="87" t="str">
        <f>IFERROR(__xludf.DUMMYFUNCTION("""COMPUTED_VALUE"""),"Nhãn thùng")</f>
        <v>Nhãn thùng</v>
      </c>
      <c r="C1670" s="87" t="str">
        <f>IFERROR(__xludf.DUMMYFUNCTION("""COMPUTED_VALUE"""),"NDT1138")</f>
        <v>NDT1138</v>
      </c>
      <c r="D1670" s="87" t="str">
        <f>IFERROR(__xludf.DUMMYFUNCTION("""COMPUTED_VALUE"""),"[Nhãn thùng] LOT IDA Global - I - 1138 - Đại Thắng 2 - Manco xanh (bột xanh) - 1 Kg - 20")</f>
        <v>[Nhãn thùng] LOT IDA Global - I - 1138 - Đại Thắng 2 - Manco xanh (bột xanh) - 1 Kg - 20</v>
      </c>
      <c r="E1670" s="87" t="str">
        <f>IFERROR(__xludf.DUMMYFUNCTION("""COMPUTED_VALUE"""),"BYPHAN 800WP")</f>
        <v>BYPHAN 800WP</v>
      </c>
      <c r="F1670" s="87" t="str">
        <f>IFERROR(__xludf.DUMMYFUNCTION("""COMPUTED_VALUE"""),"HH1138")</f>
        <v>HH1138</v>
      </c>
      <c r="G1670" s="87" t="str">
        <f>IFERROR(__xludf.DUMMYFUNCTION("""COMPUTED_VALUE"""),"LOT IDA Global - I - 1138 - Đại Thắng 2 - Manco xanh (bột xanh) - 1 Kg - 20")</f>
        <v>LOT IDA Global - I - 1138 - Đại Thắng 2 - Manco xanh (bột xanh) - 1 Kg - 20</v>
      </c>
    </row>
    <row r="1671">
      <c r="A1671" s="86">
        <f>IFERROR(__xludf.DUMMYFUNCTION("""COMPUTED_VALUE"""),1669.0)</f>
        <v>1669</v>
      </c>
      <c r="B1671" s="87" t="str">
        <f>IFERROR(__xludf.DUMMYFUNCTION("""COMPUTED_VALUE"""),"Nhãn")</f>
        <v>Nhãn</v>
      </c>
      <c r="C1671" s="87" t="str">
        <f>IFERROR(__xludf.DUMMYFUNCTION("""COMPUTED_VALUE"""),"NHG1139")</f>
        <v>NHG1139</v>
      </c>
      <c r="D1671" s="87" t="str">
        <f>IFERROR(__xludf.DUMMYFUNCTION("""COMPUTED_VALUE"""),"[Nhãn] GC - IV - 1139 - GNH - Canbo sữa (nước trắng ngà) - 500ml - 40")</f>
        <v>[Nhãn] GC - IV - 1139 - GNH - Canbo sữa (nước trắng ngà) - 500ml - 40</v>
      </c>
      <c r="E1671" s="87" t="str">
        <f>IFERROR(__xludf.DUMMYFUNCTION("""COMPUTED_VALUE"""),"Vi lượng BM-KABO")</f>
        <v>Vi lượng BM-KABO</v>
      </c>
      <c r="F1671" s="87" t="str">
        <f>IFERROR(__xludf.DUMMYFUNCTION("""COMPUTED_VALUE"""),"HH1139")</f>
        <v>HH1139</v>
      </c>
      <c r="G1671" s="87" t="str">
        <f>IFERROR(__xludf.DUMMYFUNCTION("""COMPUTED_VALUE"""),"GC - IV - 1139 - GNH - Canbo sữa (nước trắng ngà) - 500ml - 40")</f>
        <v>GC - IV - 1139 - GNH - Canbo sữa (nước trắng ngà) - 500ml - 40</v>
      </c>
    </row>
    <row r="1672">
      <c r="A1672" s="86">
        <f>IFERROR(__xludf.DUMMYFUNCTION("""COMPUTED_VALUE"""),1670.0)</f>
        <v>1670</v>
      </c>
      <c r="B1672" s="87" t="str">
        <f>IFERROR(__xludf.DUMMYFUNCTION("""COMPUTED_VALUE"""),"Nhãn")</f>
        <v>Nhãn</v>
      </c>
      <c r="C1672" s="87" t="str">
        <f>IFERROR(__xludf.DUMMYFUNCTION("""COMPUTED_VALUE"""),"NHG1140")</f>
        <v>NHG1140</v>
      </c>
      <c r="D1672" s="87" t="str">
        <f>IFERROR(__xludf.DUMMYFUNCTION("""COMPUTED_VALUE"""),"[Nhãn] LOT IDA Global - I - 1140 - Đại Thắng 2 - IDA Vil 5SC (nước vàng) - 1L - 20")</f>
        <v>[Nhãn] LOT IDA Global - I - 1140 - Đại Thắng 2 - IDA Vil 5SC (nước vàng) - 1L - 20</v>
      </c>
      <c r="E1672" s="87" t="str">
        <f>IFERROR(__xludf.DUMMYFUNCTION("""COMPUTED_VALUE"""),"Mekongvil 5SC")</f>
        <v>Mekongvil 5SC</v>
      </c>
      <c r="F1672" s="87" t="str">
        <f>IFERROR(__xludf.DUMMYFUNCTION("""COMPUTED_VALUE"""),"HH1140")</f>
        <v>HH1140</v>
      </c>
      <c r="G1672" s="87" t="str">
        <f>IFERROR(__xludf.DUMMYFUNCTION("""COMPUTED_VALUE"""),"LOT IDA Global - I - 1140 - Đại Thắng 2 - IDA Vil 5SC (nước vàng) - 1L - 20")</f>
        <v>LOT IDA Global - I - 1140 - Đại Thắng 2 - IDA Vil 5SC (nước vàng) - 1L - 20</v>
      </c>
    </row>
    <row r="1673">
      <c r="A1673" s="86">
        <f>IFERROR(__xludf.DUMMYFUNCTION("""COMPUTED_VALUE"""),1671.0)</f>
        <v>1671</v>
      </c>
      <c r="B1673" s="87" t="str">
        <f>IFERROR(__xludf.DUMMYFUNCTION("""COMPUTED_VALUE"""),"Nhãn")</f>
        <v>Nhãn</v>
      </c>
      <c r="C1673" s="87" t="str">
        <f>IFERROR(__xludf.DUMMYFUNCTION("""COMPUTED_VALUE"""),"NHG1141")</f>
        <v>NHG1141</v>
      </c>
      <c r="D1673" s="87" t="str">
        <f>IFERROR(__xludf.DUMMYFUNCTION("""COMPUTED_VALUE"""),"[Nhãn] GC - IV - 1141 - Australia - Genol 1.2SL (nước tím) - 250ml - 40")</f>
        <v>[Nhãn] GC - IV - 1141 - Australia - Genol 1.2SL (nước tím) - 250ml - 40</v>
      </c>
      <c r="E1673" s="87" t="str">
        <f>IFERROR(__xludf.DUMMYFUNCTION("""COMPUTED_VALUE"""),"GENOL 1.2SL")</f>
        <v>GENOL 1.2SL</v>
      </c>
      <c r="F1673" s="87" t="str">
        <f>IFERROR(__xludf.DUMMYFUNCTION("""COMPUTED_VALUE"""),"HH1141")</f>
        <v>HH1141</v>
      </c>
      <c r="G1673" s="87" t="str">
        <f>IFERROR(__xludf.DUMMYFUNCTION("""COMPUTED_VALUE"""),"GC - IV - 1141 - Australia - Genol 1.2SL (nước tím) - 250ml - 40")</f>
        <v>GC - IV - 1141 - Australia - Genol 1.2SL (nước tím) - 250ml - 40</v>
      </c>
    </row>
    <row r="1674">
      <c r="A1674" s="86">
        <f>IFERROR(__xludf.DUMMYFUNCTION("""COMPUTED_VALUE"""),1672.0)</f>
        <v>1672</v>
      </c>
      <c r="B1674" s="87" t="str">
        <f>IFERROR(__xludf.DUMMYFUNCTION("""COMPUTED_VALUE"""),"Nhãn")</f>
        <v>Nhãn</v>
      </c>
      <c r="C1674" s="87" t="str">
        <f>IFERROR(__xludf.DUMMYFUNCTION("""COMPUTED_VALUE"""),"NHG1142.1")</f>
        <v>NHG1142.1</v>
      </c>
      <c r="D1674" s="87" t="str">
        <f>IFERROR(__xludf.DUMMYFUNCTION("""COMPUTED_VALUE"""),"[Nhãn] GC - II - 1142.1 - A Mạnh - Vua diệt nhện 7.2 (nước tím) - 240ml - 60")</f>
        <v>[Nhãn] GC - II - 1142.1 - A Mạnh - Vua diệt nhện 7.2 (nước tím) - 240ml - 60</v>
      </c>
      <c r="E1674" s="87" t="str">
        <f>IFERROR(__xludf.DUMMYFUNCTION("""COMPUTED_VALUE"""),"HAIHAMEC 3.6EC")</f>
        <v>HAIHAMEC 3.6EC</v>
      </c>
      <c r="F1674" s="87" t="str">
        <f>IFERROR(__xludf.DUMMYFUNCTION("""COMPUTED_VALUE"""),"HH42.1")</f>
        <v>HH42.1</v>
      </c>
      <c r="G1674" s="87" t="str">
        <f>IFERROR(__xludf.DUMMYFUNCTION("""COMPUTED_VALUE"""),"GC - II - 1142.1 - A Mạnh - Vua diệt nhện 7.2 (nước tím) - 240ml - 60")</f>
        <v>GC - II - 1142.1 - A Mạnh - Vua diệt nhện 7.2 (nước tím) - 240ml - 60</v>
      </c>
    </row>
    <row r="1675">
      <c r="A1675" s="86">
        <f>IFERROR(__xludf.DUMMYFUNCTION("""COMPUTED_VALUE"""),1673.0)</f>
        <v>1673</v>
      </c>
      <c r="B1675" s="87" t="str">
        <f>IFERROR(__xludf.DUMMYFUNCTION("""COMPUTED_VALUE"""),"Nhãn")</f>
        <v>Nhãn</v>
      </c>
      <c r="C1675" s="87" t="str">
        <f>IFERROR(__xludf.DUMMYFUNCTION("""COMPUTED_VALUE"""),"NHG1143")</f>
        <v>NHG1143</v>
      </c>
      <c r="D1675" s="87" t="str">
        <f>IFERROR(__xludf.DUMMYFUNCTION("""COMPUTED_VALUE"""),"[Nhãn] GC - IV - 1143 - Australia - Genol 1.2SL (nước tím) - 500ml - 30")</f>
        <v>[Nhãn] GC - IV - 1143 - Australia - Genol 1.2SL (nước tím) - 500ml - 30</v>
      </c>
      <c r="E1675" s="87" t="str">
        <f>IFERROR(__xludf.DUMMYFUNCTION("""COMPUTED_VALUE"""),"GENOL 1.2SL")</f>
        <v>GENOL 1.2SL</v>
      </c>
      <c r="F1675" s="87" t="str">
        <f>IFERROR(__xludf.DUMMYFUNCTION("""COMPUTED_VALUE"""),"HH1143")</f>
        <v>HH1143</v>
      </c>
      <c r="G1675" s="87" t="str">
        <f>IFERROR(__xludf.DUMMYFUNCTION("""COMPUTED_VALUE"""),"GC - IV - 1143 - Australia - Genol 1.2SL (nước tím) - 500ml - 30")</f>
        <v>GC - IV - 1143 - Australia - Genol 1.2SL (nước tím) - 500ml - 30</v>
      </c>
    </row>
    <row r="1676">
      <c r="A1676" s="86">
        <f>IFERROR(__xludf.DUMMYFUNCTION("""COMPUTED_VALUE"""),1674.0)</f>
        <v>1674</v>
      </c>
      <c r="B1676" s="87" t="str">
        <f>IFERROR(__xludf.DUMMYFUNCTION("""COMPUTED_VALUE"""),"Nhãn thùng")</f>
        <v>Nhãn thùng</v>
      </c>
      <c r="C1676" s="87" t="str">
        <f>IFERROR(__xludf.DUMMYFUNCTION("""COMPUTED_VALUE"""),"NDT1143")</f>
        <v>NDT1143</v>
      </c>
      <c r="D1676" s="87" t="str">
        <f>IFERROR(__xludf.DUMMYFUNCTION("""COMPUTED_VALUE"""),"[Nhãn thùng] GC - IV - 1143 - Australia - Genol 1.2SL (nước tím) - 500ml - 30")</f>
        <v>[Nhãn thùng] GC - IV - 1143 - Australia - Genol 1.2SL (nước tím) - 500ml - 30</v>
      </c>
      <c r="E1676" s="87" t="str">
        <f>IFERROR(__xludf.DUMMYFUNCTION("""COMPUTED_VALUE"""),"GENOL 1.2SL")</f>
        <v>GENOL 1.2SL</v>
      </c>
      <c r="F1676" s="87" t="str">
        <f>IFERROR(__xludf.DUMMYFUNCTION("""COMPUTED_VALUE"""),"HH1143")</f>
        <v>HH1143</v>
      </c>
      <c r="G1676" s="87" t="str">
        <f>IFERROR(__xludf.DUMMYFUNCTION("""COMPUTED_VALUE"""),"GC - IV - 1143 - Australia - Genol 1.2SL (nước tím) - 500ml - 30")</f>
        <v>GC - IV - 1143 - Australia - Genol 1.2SL (nước tím) - 500ml - 30</v>
      </c>
    </row>
    <row r="1677">
      <c r="A1677" s="86">
        <f>IFERROR(__xludf.DUMMYFUNCTION("""COMPUTED_VALUE"""),1675.0)</f>
        <v>1675</v>
      </c>
      <c r="B1677" s="87" t="str">
        <f>IFERROR(__xludf.DUMMYFUNCTION("""COMPUTED_VALUE"""),"Nhãn")</f>
        <v>Nhãn</v>
      </c>
      <c r="C1677" s="87" t="str">
        <f>IFERROR(__xludf.DUMMYFUNCTION("""COMPUTED_VALUE"""),"NHD1144")</f>
        <v>NHD1144</v>
      </c>
      <c r="D1677" s="87" t="str">
        <f>IFERROR(__xludf.DUMMYFUNCTION("""COMPUTED_VALUE"""),"[Nhãn] GC - IV - 1144  - Phương An - Haihamec 3.6EC (nước nâu đen) - 450ml - 40")</f>
        <v>[Nhãn] GC - IV - 1144  - Phương An - Haihamec 3.6EC (nước nâu đen) - 450ml - 40</v>
      </c>
      <c r="E1677" s="87" t="str">
        <f>IFERROR(__xludf.DUMMYFUNCTION("""COMPUTED_VALUE"""),"HAIHAMEC 3.6EC")</f>
        <v>HAIHAMEC 3.6EC</v>
      </c>
      <c r="F1677" s="87" t="str">
        <f>IFERROR(__xludf.DUMMYFUNCTION("""COMPUTED_VALUE"""),"HH1144")</f>
        <v>HH1144</v>
      </c>
      <c r="G1677" s="87" t="str">
        <f>IFERROR(__xludf.DUMMYFUNCTION("""COMPUTED_VALUE"""),"GC - IV - 1144  - Phương An - Haihamec 3.6EC (nước nâu đen) - 450ml - 40")</f>
        <v>GC - IV - 1144  - Phương An - Haihamec 3.6EC (nước nâu đen) - 450ml - 40</v>
      </c>
    </row>
    <row r="1678">
      <c r="A1678" s="86">
        <f>IFERROR(__xludf.DUMMYFUNCTION("""COMPUTED_VALUE"""),1676.0)</f>
        <v>1676</v>
      </c>
      <c r="B1678" s="87" t="str">
        <f>IFERROR(__xludf.DUMMYFUNCTION("""COMPUTED_VALUE"""),"Nhãn")</f>
        <v>Nhãn</v>
      </c>
      <c r="C1678" s="87" t="str">
        <f>IFERROR(__xludf.DUMMYFUNCTION("""COMPUTED_VALUE"""),"NHG1145")</f>
        <v>NHG1145</v>
      </c>
      <c r="D1678" s="87" t="str">
        <f>IFERROR(__xludf.DUMMYFUNCTION("""COMPUTED_VALUE"""),"[Nhãn] GC - IV - 1145 - Agricare Úc - Thipro 550EC (nước tím) - 200ml - 40")</f>
        <v>[Nhãn] GC - IV - 1145 - Agricare Úc - Thipro 550EC (nước tím) - 200ml - 40</v>
      </c>
      <c r="E1678" s="87" t="str">
        <f>IFERROR(__xludf.DUMMYFUNCTION("""COMPUTED_VALUE"""),"Thipro 550EC")</f>
        <v>Thipro 550EC</v>
      </c>
      <c r="F1678" s="87" t="str">
        <f>IFERROR(__xludf.DUMMYFUNCTION("""COMPUTED_VALUE"""),"HH1145")</f>
        <v>HH1145</v>
      </c>
      <c r="G1678" s="87" t="str">
        <f>IFERROR(__xludf.DUMMYFUNCTION("""COMPUTED_VALUE"""),"GC - IV - 1145 - Agricare Úc - Thipro 550EC (nước tím) - 200ml - 40")</f>
        <v>GC - IV - 1145 - Agricare Úc - Thipro 550EC (nước tím) - 200ml - 40</v>
      </c>
    </row>
    <row r="1679">
      <c r="A1679" s="86">
        <f>IFERROR(__xludf.DUMMYFUNCTION("""COMPUTED_VALUE"""),1677.0)</f>
        <v>1677</v>
      </c>
      <c r="B1679" s="87" t="str">
        <f>IFERROR(__xludf.DUMMYFUNCTION("""COMPUTED_VALUE"""),"Nhãn")</f>
        <v>Nhãn</v>
      </c>
      <c r="C1679" s="87" t="str">
        <f>IFERROR(__xludf.DUMMYFUNCTION("""COMPUTED_VALUE"""),"NTN1149")</f>
        <v>NTN1149</v>
      </c>
      <c r="D1679" s="87" t="str">
        <f>IFERROR(__xludf.DUMMYFUNCTION("""COMPUTED_VALUE"""),"[Nhãn] GC - IV - 1149 - Manco Yellow (bột vàng) - 1 kg - 20")</f>
        <v>[Nhãn] GC - IV - 1149 - Manco Yellow (bột vàng) - 1 kg - 20</v>
      </c>
      <c r="E1679" s="87" t="str">
        <f>IFERROR(__xludf.DUMMYFUNCTION("""COMPUTED_VALUE"""),"TVZEB 800WP")</f>
        <v>TVZEB 800WP</v>
      </c>
      <c r="F1679" s="87" t="str">
        <f>IFERROR(__xludf.DUMMYFUNCTION("""COMPUTED_VALUE"""),"HH1149")</f>
        <v>HH1149</v>
      </c>
      <c r="G1679" s="87" t="str">
        <f>IFERROR(__xludf.DUMMYFUNCTION("""COMPUTED_VALUE"""),"GC - IV - 1149 - Manco Yellow (bột vàng) - 1 kg - 20")</f>
        <v>GC - IV - 1149 - Manco Yellow (bột vàng) - 1 kg - 20</v>
      </c>
    </row>
    <row r="1680">
      <c r="A1680" s="86">
        <f>IFERROR(__xludf.DUMMYFUNCTION("""COMPUTED_VALUE"""),1678.0)</f>
        <v>1678</v>
      </c>
      <c r="B1680" s="87" t="str">
        <f>IFERROR(__xludf.DUMMYFUNCTION("""COMPUTED_VALUE"""),"Nhãn")</f>
        <v>Nhãn</v>
      </c>
      <c r="C1680" s="87" t="str">
        <f>IFERROR(__xludf.DUMMYFUNCTION("""COMPUTED_VALUE"""),"NHG1150")</f>
        <v>NHG1150</v>
      </c>
      <c r="D1680" s="87" t="str">
        <f>IFERROR(__xludf.DUMMYFUNCTION("""COMPUTED_VALUE"""),"[Nhãn] GC - IV - 1150 - Sen Hồng - Mekongvil 5SC (nước trắng sữa) - 1L - 20")</f>
        <v>[Nhãn] GC - IV - 1150 - Sen Hồng - Mekongvil 5SC (nước trắng sữa) - 1L - 20</v>
      </c>
      <c r="E1680" s="87" t="str">
        <f>IFERROR(__xludf.DUMMYFUNCTION("""COMPUTED_VALUE"""),"Mekongvil 5SC")</f>
        <v>Mekongvil 5SC</v>
      </c>
      <c r="F1680" s="87" t="str">
        <f>IFERROR(__xludf.DUMMYFUNCTION("""COMPUTED_VALUE"""),"HH1150")</f>
        <v>HH1150</v>
      </c>
      <c r="G1680" s="87" t="str">
        <f>IFERROR(__xludf.DUMMYFUNCTION("""COMPUTED_VALUE"""),"GC - IV - 1150 - Sen Hồng - Mekongvil 5SC (nước trắng sữa) - 1L - 20")</f>
        <v>GC - IV - 1150 - Sen Hồng - Mekongvil 5SC (nước trắng sữa) - 1L - 20</v>
      </c>
    </row>
    <row r="1681">
      <c r="A1681" s="86">
        <f>IFERROR(__xludf.DUMMYFUNCTION("""COMPUTED_VALUE"""),1679.0)</f>
        <v>1679</v>
      </c>
      <c r="B1681" s="87" t="str">
        <f>IFERROR(__xludf.DUMMYFUNCTION("""COMPUTED_VALUE"""),"Nhãn")</f>
        <v>Nhãn</v>
      </c>
      <c r="C1681" s="87" t="str">
        <f>IFERROR(__xludf.DUMMYFUNCTION("""COMPUTED_VALUE"""),"NTN1151")</f>
        <v>NTN1151</v>
      </c>
      <c r="D1681" s="87" t="str">
        <f>IFERROR(__xludf.DUMMYFUNCTION("""COMPUTED_VALUE"""),"[Nhãn] GC - II - 1151 - Mekong Group - Pim.Pim 75WP (bột cam) - 25gr - 300")</f>
        <v>[Nhãn] GC - II - 1151 - Mekong Group - Pim.Pim 75WP (bột cam) - 25gr - 300</v>
      </c>
      <c r="E1681" s="87" t="str">
        <f>IFERROR(__xludf.DUMMYFUNCTION("""COMPUTED_VALUE"""),"Pim.Pim 75WP")</f>
        <v>Pim.Pim 75WP</v>
      </c>
      <c r="F1681" s="87" t="str">
        <f>IFERROR(__xludf.DUMMYFUNCTION("""COMPUTED_VALUE"""),"HH1151")</f>
        <v>HH1151</v>
      </c>
      <c r="G1681" s="87" t="str">
        <f>IFERROR(__xludf.DUMMYFUNCTION("""COMPUTED_VALUE"""),"GC - II - 1151 - Mekong Group - Pim.Pim 75WP (bột cam) - 25gr - 300")</f>
        <v>GC - II - 1151 - Mekong Group - Pim.Pim 75WP (bột cam) - 25gr - 300</v>
      </c>
    </row>
    <row r="1682">
      <c r="A1682" s="86">
        <f>IFERROR(__xludf.DUMMYFUNCTION("""COMPUTED_VALUE"""),1680.0)</f>
        <v>1680</v>
      </c>
      <c r="B1682" s="87" t="str">
        <f>IFERROR(__xludf.DUMMYFUNCTION("""COMPUTED_VALUE"""),"Nhãn")</f>
        <v>Nhãn</v>
      </c>
      <c r="C1682" s="87" t="str">
        <f>IFERROR(__xludf.DUMMYFUNCTION("""COMPUTED_VALUE"""),"NHG1152")</f>
        <v>NHG1152</v>
      </c>
      <c r="D1682" s="87" t="str">
        <f>IFERROR(__xludf.DUMMYFUNCTION("""COMPUTED_VALUE"""),"[Nhãn] GC - IV - 1152 - Sen Hồng - Thần Kê (nước xanh dương) - 200ml - 40")</f>
        <v>[Nhãn] GC - IV - 1152 - Sen Hồng - Thần Kê (nước xanh dương) - 200ml - 40</v>
      </c>
      <c r="E1682" s="87" t="str">
        <f>IFERROR(__xludf.DUMMYFUNCTION("""COMPUTED_VALUE"""),"NEW FUZE 200SC")</f>
        <v>NEW FUZE 200SC</v>
      </c>
      <c r="F1682" s="87" t="str">
        <f>IFERROR(__xludf.DUMMYFUNCTION("""COMPUTED_VALUE"""),"HH1152")</f>
        <v>HH1152</v>
      </c>
      <c r="G1682" s="87" t="str">
        <f>IFERROR(__xludf.DUMMYFUNCTION("""COMPUTED_VALUE"""),"GC - IV - 1152 - Sen Hồng - Thần Kê (nước xanh dương) - 200ml - 40")</f>
        <v>GC - IV - 1152 - Sen Hồng - Thần Kê (nước xanh dương) - 200ml - 40</v>
      </c>
    </row>
    <row r="1683">
      <c r="A1683" s="86">
        <f>IFERROR(__xludf.DUMMYFUNCTION("""COMPUTED_VALUE"""),1681.0)</f>
        <v>1681</v>
      </c>
      <c r="B1683" s="87" t="str">
        <f>IFERROR(__xludf.DUMMYFUNCTION("""COMPUTED_VALUE"""),"Nhãn")</f>
        <v>Nhãn</v>
      </c>
      <c r="C1683" s="87" t="str">
        <f>IFERROR(__xludf.DUMMYFUNCTION("""COMPUTED_VALUE"""),"NHG1153")</f>
        <v>NHG1153</v>
      </c>
      <c r="D1683" s="87" t="str">
        <f>IFERROR(__xludf.DUMMYFUNCTION("""COMPUTED_VALUE"""),"[Nhãn] LOT IDA Global - I - 1153 - Đại Thắng 2 - Flower Top SC (Lúa và Rau Màu) (nước trắng ngà) - 450ml - 40")</f>
        <v>[Nhãn] LOT IDA Global - I - 1153 - Đại Thắng 2 - Flower Top SC (Lúa và Rau Màu) (nước trắng ngà) - 450ml - 40</v>
      </c>
      <c r="E1683" s="87" t="str">
        <f>IFERROR(__xludf.DUMMYFUNCTION("""COMPUTED_VALUE"""),"Vi lượng Basel IDA 47")</f>
        <v>Vi lượng Basel IDA 47</v>
      </c>
      <c r="F1683" s="87" t="str">
        <f>IFERROR(__xludf.DUMMYFUNCTION("""COMPUTED_VALUE"""),"HH1153")</f>
        <v>HH1153</v>
      </c>
      <c r="G1683" s="87" t="str">
        <f>IFERROR(__xludf.DUMMYFUNCTION("""COMPUTED_VALUE"""),"LOT IDA Global - I - 1153 - Đại Thắng 2 - Flower Top SC (Lúa và Rau Màu) (nước trắng ngà) - 450ml - 40")</f>
        <v>LOT IDA Global - I - 1153 - Đại Thắng 2 - Flower Top SC (Lúa và Rau Màu) (nước trắng ngà) - 450ml - 40</v>
      </c>
    </row>
    <row r="1684">
      <c r="A1684" s="86">
        <f>IFERROR(__xludf.DUMMYFUNCTION("""COMPUTED_VALUE"""),1682.0)</f>
        <v>1682</v>
      </c>
      <c r="B1684" s="87" t="str">
        <f>IFERROR(__xludf.DUMMYFUNCTION("""COMPUTED_VALUE"""),"Nhãn")</f>
        <v>Nhãn</v>
      </c>
      <c r="C1684" s="87" t="str">
        <f>IFERROR(__xludf.DUMMYFUNCTION("""COMPUTED_VALUE"""),"NHG1155")</f>
        <v>NHG1155</v>
      </c>
      <c r="D1684" s="87" t="str">
        <f>IFERROR(__xludf.DUMMYFUNCTION("""COMPUTED_VALUE"""),"[Nhãn] GC - IV - 1155 - Australia - Goruden 350SC (nước trắng sữa) - 240ml - 40")</f>
        <v>[Nhãn] GC - IV - 1155 - Australia - Goruden 350SC (nước trắng sữa) - 240ml - 40</v>
      </c>
      <c r="E1684" s="87" t="str">
        <f>IFERROR(__xludf.DUMMYFUNCTION("""COMPUTED_VALUE"""),"Goruden 350SC")</f>
        <v>Goruden 350SC</v>
      </c>
      <c r="F1684" s="87" t="str">
        <f>IFERROR(__xludf.DUMMYFUNCTION("""COMPUTED_VALUE"""),"HH1155")</f>
        <v>HH1155</v>
      </c>
      <c r="G1684" s="87" t="str">
        <f>IFERROR(__xludf.DUMMYFUNCTION("""COMPUTED_VALUE"""),"GC - IV - 1155 - Australia - Goruden 350SC (nước trắng sữa) - 240ml - 40")</f>
        <v>GC - IV - 1155 - Australia - Goruden 350SC (nước trắng sữa) - 240ml - 40</v>
      </c>
    </row>
    <row r="1685">
      <c r="A1685" s="86">
        <f>IFERROR(__xludf.DUMMYFUNCTION("""COMPUTED_VALUE"""),1683.0)</f>
        <v>1683</v>
      </c>
      <c r="B1685" s="87" t="str">
        <f>IFERROR(__xludf.DUMMYFUNCTION("""COMPUTED_VALUE"""),"Nhãn thùng")</f>
        <v>Nhãn thùng</v>
      </c>
      <c r="C1685" s="87" t="str">
        <f>IFERROR(__xludf.DUMMYFUNCTION("""COMPUTED_VALUE"""),"NDT1155")</f>
        <v>NDT1155</v>
      </c>
      <c r="D1685" s="87" t="str">
        <f>IFERROR(__xludf.DUMMYFUNCTION("""COMPUTED_VALUE"""),"[Nhãn thùng] GC - IV - 1155 - Australia - Goruden 350SC (nước trắng sữa) - 240ml - 40")</f>
        <v>[Nhãn thùng] GC - IV - 1155 - Australia - Goruden 350SC (nước trắng sữa) - 240ml - 40</v>
      </c>
      <c r="E1685" s="87" t="str">
        <f>IFERROR(__xludf.DUMMYFUNCTION("""COMPUTED_VALUE"""),"Goruden 350SC")</f>
        <v>Goruden 350SC</v>
      </c>
      <c r="F1685" s="87" t="str">
        <f>IFERROR(__xludf.DUMMYFUNCTION("""COMPUTED_VALUE"""),"HH1155")</f>
        <v>HH1155</v>
      </c>
      <c r="G1685" s="87" t="str">
        <f>IFERROR(__xludf.DUMMYFUNCTION("""COMPUTED_VALUE"""),"GC - IV - 1155 - Australia - Goruden 350SC (nước trắng sữa) - 240ml - 40")</f>
        <v>GC - IV - 1155 - Australia - Goruden 350SC (nước trắng sữa) - 240ml - 40</v>
      </c>
    </row>
    <row r="1686">
      <c r="A1686" s="86">
        <f>IFERROR(__xludf.DUMMYFUNCTION("""COMPUTED_VALUE"""),1684.0)</f>
        <v>1684</v>
      </c>
      <c r="B1686" s="87" t="str">
        <f>IFERROR(__xludf.DUMMYFUNCTION("""COMPUTED_VALUE"""),"Nhãn")</f>
        <v>Nhãn</v>
      </c>
      <c r="C1686" s="87" t="str">
        <f>IFERROR(__xludf.DUMMYFUNCTION("""COMPUTED_VALUE"""),"NTN1156")</f>
        <v>NTN1156</v>
      </c>
      <c r="D1686" s="87" t="str">
        <f>IFERROR(__xludf.DUMMYFUNCTION("""COMPUTED_VALUE"""),"[Nhãn] GC - IV - 1156 - SH - Manco Xanh (bột xanh) - 1 Kg - 20")</f>
        <v>[Nhãn] GC - IV - 1156 - SH - Manco Xanh (bột xanh) - 1 Kg - 20</v>
      </c>
      <c r="E1686" s="87" t="str">
        <f>IFERROR(__xludf.DUMMYFUNCTION("""COMPUTED_VALUE"""),"BYPHAN 800WP")</f>
        <v>BYPHAN 800WP</v>
      </c>
      <c r="F1686" s="87" t="str">
        <f>IFERROR(__xludf.DUMMYFUNCTION("""COMPUTED_VALUE"""),"HH1156")</f>
        <v>HH1156</v>
      </c>
      <c r="G1686" s="87" t="str">
        <f>IFERROR(__xludf.DUMMYFUNCTION("""COMPUTED_VALUE"""),"GC - IV - 1156 - SH - Manco Xanh (bột xanh) - 1 Kg - 20")</f>
        <v>GC - IV - 1156 - SH - Manco Xanh (bột xanh) - 1 Kg - 20</v>
      </c>
    </row>
    <row r="1687">
      <c r="A1687" s="86">
        <f>IFERROR(__xludf.DUMMYFUNCTION("""COMPUTED_VALUE"""),1685.0)</f>
        <v>1685</v>
      </c>
      <c r="B1687" s="87" t="str">
        <f>IFERROR(__xludf.DUMMYFUNCTION("""COMPUTED_VALUE"""),"Nhãn")</f>
        <v>Nhãn</v>
      </c>
      <c r="C1687" s="87" t="str">
        <f>IFERROR(__xludf.DUMMYFUNCTION("""COMPUTED_VALUE"""),"NHG1157")</f>
        <v>NHG1157</v>
      </c>
      <c r="D1687" s="87" t="str">
        <f>IFERROR(__xludf.DUMMYFUNCTION("""COMPUTED_VALUE"""),"[Nhãn] GC - IV - 1157 - Sufas - Haihamec 3.6EC (nước trong) - 450ml - 30")</f>
        <v>[Nhãn] GC - IV - 1157 - Sufas - Haihamec 3.6EC (nước trong) - 450ml - 30</v>
      </c>
      <c r="E1687" s="87" t="str">
        <f>IFERROR(__xludf.DUMMYFUNCTION("""COMPUTED_VALUE"""),"HAIHAMEC 3.6EC")</f>
        <v>HAIHAMEC 3.6EC</v>
      </c>
      <c r="F1687" s="87" t="str">
        <f>IFERROR(__xludf.DUMMYFUNCTION("""COMPUTED_VALUE"""),"HH1157")</f>
        <v>HH1157</v>
      </c>
      <c r="G1687" s="87" t="str">
        <f>IFERROR(__xludf.DUMMYFUNCTION("""COMPUTED_VALUE"""),"GC - IV - 1157 - Sufas - Haihamec 3.6EC (nước trong) - 450ml - 30")</f>
        <v>GC - IV - 1157 - Sufas - Haihamec 3.6EC (nước trong) - 450ml - 30</v>
      </c>
    </row>
    <row r="1688">
      <c r="A1688" s="86">
        <f>IFERROR(__xludf.DUMMYFUNCTION("""COMPUTED_VALUE"""),1686.0)</f>
        <v>1686</v>
      </c>
      <c r="B1688" s="87" t="str">
        <f>IFERROR(__xludf.DUMMYFUNCTION("""COMPUTED_VALUE"""),"Nhãn")</f>
        <v>Nhãn</v>
      </c>
      <c r="C1688" s="87" t="str">
        <f>IFERROR(__xludf.DUMMYFUNCTION("""COMPUTED_VALUE"""),"NTN1158")</f>
        <v>NTN1158</v>
      </c>
      <c r="D1688" s="87" t="str">
        <f>IFERROR(__xludf.DUMMYFUNCTION("""COMPUTED_VALUE"""),"[Nhãn] GC - IV - 1158 - Agritech Hà Lan - Manco Xanh (Bột xanh) - 1kg - 20")</f>
        <v>[Nhãn] GC - IV - 1158 - Agritech Hà Lan - Manco Xanh (Bột xanh) - 1kg - 20</v>
      </c>
      <c r="E1688" s="87" t="str">
        <f>IFERROR(__xludf.DUMMYFUNCTION("""COMPUTED_VALUE"""),"TVZEB 800WP")</f>
        <v>TVZEB 800WP</v>
      </c>
      <c r="F1688" s="87" t="str">
        <f>IFERROR(__xludf.DUMMYFUNCTION("""COMPUTED_VALUE"""),"HH1158")</f>
        <v>HH1158</v>
      </c>
      <c r="G1688" s="87" t="str">
        <f>IFERROR(__xludf.DUMMYFUNCTION("""COMPUTED_VALUE"""),"GC - IV - 1158 - Agritech Hà Lan - Manco Xanh (Bột xanh) - 1kg - 20")</f>
        <v>GC - IV - 1158 - Agritech Hà Lan - Manco Xanh (Bột xanh) - 1kg - 20</v>
      </c>
    </row>
    <row r="1689">
      <c r="A1689" s="86">
        <f>IFERROR(__xludf.DUMMYFUNCTION("""COMPUTED_VALUE"""),1687.0)</f>
        <v>1687</v>
      </c>
      <c r="B1689" s="87" t="str">
        <f>IFERROR(__xludf.DUMMYFUNCTION("""COMPUTED_VALUE"""),"Nhãn")</f>
        <v>Nhãn</v>
      </c>
      <c r="C1689" s="87" t="str">
        <f>IFERROR(__xludf.DUMMYFUNCTION("""COMPUTED_VALUE"""),"NTN1159")</f>
        <v>NTN1159</v>
      </c>
      <c r="D1689" s="87" t="str">
        <f>IFERROR(__xludf.DUMMYFUNCTION("""COMPUTED_VALUE"""),"[Nhãn] GC - IV - 1159 - Agritech Hà Lan - Thần Diệt Trùng - Vua Chích Hút (bột trắng) - 100gr - 100")</f>
        <v>[Nhãn] GC - IV - 1159 - Agritech Hà Lan - Thần Diệt Trùng - Vua Chích Hút (bột trắng) - 100gr - 100</v>
      </c>
      <c r="E1689" s="87" t="str">
        <f>IFERROR(__xludf.DUMMYFUNCTION("""COMPUTED_VALUE"""),"IMIPRID 10WP")</f>
        <v>IMIPRID 10WP</v>
      </c>
      <c r="F1689" s="87" t="str">
        <f>IFERROR(__xludf.DUMMYFUNCTION("""COMPUTED_VALUE"""),"HH1159")</f>
        <v>HH1159</v>
      </c>
      <c r="G1689" s="87" t="str">
        <f>IFERROR(__xludf.DUMMYFUNCTION("""COMPUTED_VALUE"""),"GC - IV - 1159 - Agritech Hà Lan - Thần Diệt Trùng - Vua Chích Hút (bột trắng) - 100gr - 100")</f>
        <v>GC - IV - 1159 - Agritech Hà Lan - Thần Diệt Trùng - Vua Chích Hút (bột trắng) - 100gr - 100</v>
      </c>
    </row>
    <row r="1690">
      <c r="A1690" s="86">
        <f>IFERROR(__xludf.DUMMYFUNCTION("""COMPUTED_VALUE"""),1688.0)</f>
        <v>1688</v>
      </c>
      <c r="B1690" s="87" t="str">
        <f>IFERROR(__xludf.DUMMYFUNCTION("""COMPUTED_VALUE"""),"Nhãn thùng")</f>
        <v>Nhãn thùng</v>
      </c>
      <c r="C1690" s="87" t="str">
        <f>IFERROR(__xludf.DUMMYFUNCTION("""COMPUTED_VALUE"""),"NDT1159")</f>
        <v>NDT1159</v>
      </c>
      <c r="D1690" s="87" t="str">
        <f>IFERROR(__xludf.DUMMYFUNCTION("""COMPUTED_VALUE"""),"[Nhãn thùng] GC - IV - 1159 - Agritech Hà Lan - Thần Diệt Trùng - Vua Chích Hút (bột trắng) - 100gr - 100")</f>
        <v>[Nhãn thùng] GC - IV - 1159 - Agritech Hà Lan - Thần Diệt Trùng - Vua Chích Hút (bột trắng) - 100gr - 100</v>
      </c>
      <c r="E1690" s="87" t="str">
        <f>IFERROR(__xludf.DUMMYFUNCTION("""COMPUTED_VALUE"""),"IMIPRID 10WP")</f>
        <v>IMIPRID 10WP</v>
      </c>
      <c r="F1690" s="87" t="str">
        <f>IFERROR(__xludf.DUMMYFUNCTION("""COMPUTED_VALUE"""),"HH1159")</f>
        <v>HH1159</v>
      </c>
      <c r="G1690" s="87" t="str">
        <f>IFERROR(__xludf.DUMMYFUNCTION("""COMPUTED_VALUE"""),"GC - IV - 1159 - Agritech Hà Lan - Thần Diệt Trùng - Vua Chích Hút (bột trắng) - 100gr - 100")</f>
        <v>GC - IV - 1159 - Agritech Hà Lan - Thần Diệt Trùng - Vua Chích Hút (bột trắng) - 100gr - 100</v>
      </c>
    </row>
    <row r="1691">
      <c r="A1691" s="86">
        <f>IFERROR(__xludf.DUMMYFUNCTION("""COMPUTED_VALUE"""),1689.0)</f>
        <v>1689</v>
      </c>
      <c r="B1691" s="87" t="str">
        <f>IFERROR(__xludf.DUMMYFUNCTION("""COMPUTED_VALUE"""),"Nhãn")</f>
        <v>Nhãn</v>
      </c>
      <c r="C1691" s="87" t="str">
        <f>IFERROR(__xludf.DUMMYFUNCTION("""COMPUTED_VALUE"""),"NHG1160")</f>
        <v>NHG1160</v>
      </c>
      <c r="D1691" s="87" t="str">
        <f>IFERROR(__xludf.DUMMYFUNCTION("""COMPUTED_VALUE"""),"[Nhãn] GC - IV - 1160 - Agrikey VN - C2 Gold (nước nâu đen) - 450ml - 40")</f>
        <v>[Nhãn] GC - IV - 1160 - Agrikey VN - C2 Gold (nước nâu đen) - 450ml - 40</v>
      </c>
      <c r="E1691" s="87" t="str">
        <f>IFERROR(__xludf.DUMMYFUNCTION("""COMPUTED_VALUE"""),"HAIHAMEC 3.6EC")</f>
        <v>HAIHAMEC 3.6EC</v>
      </c>
      <c r="F1691" s="87" t="str">
        <f>IFERROR(__xludf.DUMMYFUNCTION("""COMPUTED_VALUE"""),"HH1160")</f>
        <v>HH1160</v>
      </c>
      <c r="G1691" s="87" t="str">
        <f>IFERROR(__xludf.DUMMYFUNCTION("""COMPUTED_VALUE"""),"GC - IV - 1160 - Agrikey VN - C2 Gold (nước nâu đen) - 450ml - 40")</f>
        <v>GC - IV - 1160 - Agrikey VN - C2 Gold (nước nâu đen) - 450ml - 40</v>
      </c>
    </row>
    <row r="1692">
      <c r="A1692" s="86">
        <f>IFERROR(__xludf.DUMMYFUNCTION("""COMPUTED_VALUE"""),1690.0)</f>
        <v>1690</v>
      </c>
      <c r="B1692" s="87" t="str">
        <f>IFERROR(__xludf.DUMMYFUNCTION("""COMPUTED_VALUE"""),"Nhãn")</f>
        <v>Nhãn</v>
      </c>
      <c r="C1692" s="87" t="str">
        <f>IFERROR(__xludf.DUMMYFUNCTION("""COMPUTED_VALUE"""),"NHG1164")</f>
        <v>NHG1164</v>
      </c>
      <c r="D1692" s="87" t="str">
        <f>IFERROR(__xludf.DUMMYFUNCTION("""COMPUTED_VALUE"""),"[Nhãn] GC - IV - 1164 - Australia - Goruden 350SC (nước trắng sữa) - 450ml - 30")</f>
        <v>[Nhãn] GC - IV - 1164 - Australia - Goruden 350SC (nước trắng sữa) - 450ml - 30</v>
      </c>
      <c r="E1692" s="87" t="str">
        <f>IFERROR(__xludf.DUMMYFUNCTION("""COMPUTED_VALUE"""),"Goruden 350SC")</f>
        <v>Goruden 350SC</v>
      </c>
      <c r="F1692" s="87" t="str">
        <f>IFERROR(__xludf.DUMMYFUNCTION("""COMPUTED_VALUE"""),"HH1164")</f>
        <v>HH1164</v>
      </c>
      <c r="G1692" s="87" t="str">
        <f>IFERROR(__xludf.DUMMYFUNCTION("""COMPUTED_VALUE"""),"GC - IV - 1164 - Australia - Goruden 350SC (nước trắng sữa) - 450ml - 30")</f>
        <v>GC - IV - 1164 - Australia - Goruden 350SC (nước trắng sữa) - 450ml - 30</v>
      </c>
    </row>
    <row r="1693">
      <c r="A1693" s="86">
        <f>IFERROR(__xludf.DUMMYFUNCTION("""COMPUTED_VALUE"""),1691.0)</f>
        <v>1691</v>
      </c>
      <c r="B1693" s="87" t="str">
        <f>IFERROR(__xludf.DUMMYFUNCTION("""COMPUTED_VALUE"""),"Nhãn")</f>
        <v>Nhãn</v>
      </c>
      <c r="C1693" s="87" t="str">
        <f>IFERROR(__xludf.DUMMYFUNCTION("""COMPUTED_VALUE"""),"NHG1165")</f>
        <v>NHG1165</v>
      </c>
      <c r="D1693" s="87" t="str">
        <f>IFERROR(__xludf.DUMMYFUNCTION("""COMPUTED_VALUE"""),"[Nhãn] GC - IV - 1165 - Sen Hồng - Haihamec 3.6EC (nước nâu đen) - 450ml - 40")</f>
        <v>[Nhãn] GC - IV - 1165 - Sen Hồng - Haihamec 3.6EC (nước nâu đen) - 450ml - 40</v>
      </c>
      <c r="E1693" s="87" t="str">
        <f>IFERROR(__xludf.DUMMYFUNCTION("""COMPUTED_VALUE"""),"HAIHAMEC 3.6EC")</f>
        <v>HAIHAMEC 3.6EC</v>
      </c>
      <c r="F1693" s="87" t="str">
        <f>IFERROR(__xludf.DUMMYFUNCTION("""COMPUTED_VALUE"""),"HH1165")</f>
        <v>HH1165</v>
      </c>
      <c r="G1693" s="87" t="str">
        <f>IFERROR(__xludf.DUMMYFUNCTION("""COMPUTED_VALUE"""),"GC - IV - 1165 - Sen Hồng - Haihamec 3.6EC (nước nâu đen) - 450ml - 40")</f>
        <v>GC - IV - 1165 - Sen Hồng - Haihamec 3.6EC (nước nâu đen) - 450ml - 40</v>
      </c>
    </row>
    <row r="1694">
      <c r="A1694" s="86">
        <f>IFERROR(__xludf.DUMMYFUNCTION("""COMPUTED_VALUE"""),1692.0)</f>
        <v>1692</v>
      </c>
      <c r="B1694" s="87" t="str">
        <f>IFERROR(__xludf.DUMMYFUNCTION("""COMPUTED_VALUE"""),"Nhãn")</f>
        <v>Nhãn</v>
      </c>
      <c r="C1694" s="87" t="str">
        <f>IFERROR(__xludf.DUMMYFUNCTION("""COMPUTED_VALUE"""),"NTN1166")</f>
        <v>NTN1166</v>
      </c>
      <c r="D1694" s="87" t="str">
        <f>IFERROR(__xludf.DUMMYFUNCTION("""COMPUTED_VALUE"""),"[Nhãn] GC - IV - 1166 - Sen Hồng - Siêu đạo ôn (bột cam) - 25gr - 300")</f>
        <v>[Nhãn] GC - IV - 1166 - Sen Hồng - Siêu đạo ôn (bột cam) - 25gr - 300</v>
      </c>
      <c r="E1694" s="87" t="str">
        <f>IFERROR(__xludf.DUMMYFUNCTION("""COMPUTED_VALUE"""),"Pim.Pim 75WP")</f>
        <v>Pim.Pim 75WP</v>
      </c>
      <c r="F1694" s="87" t="str">
        <f>IFERROR(__xludf.DUMMYFUNCTION("""COMPUTED_VALUE"""),"HH1166")</f>
        <v>HH1166</v>
      </c>
      <c r="G1694" s="87" t="str">
        <f>IFERROR(__xludf.DUMMYFUNCTION("""COMPUTED_VALUE"""),"GC - IV - 1166 - Sen Hồng - Siêu đạo ôn (bột cam) - 25gr - 300")</f>
        <v>GC - IV - 1166 - Sen Hồng - Siêu đạo ôn (bột cam) - 25gr - 300</v>
      </c>
    </row>
    <row r="1695">
      <c r="A1695" s="86">
        <f>IFERROR(__xludf.DUMMYFUNCTION("""COMPUTED_VALUE"""),1693.0)</f>
        <v>1693</v>
      </c>
      <c r="B1695" s="87" t="str">
        <f>IFERROR(__xludf.DUMMYFUNCTION("""COMPUTED_VALUE"""),"Nhãn thùng")</f>
        <v>Nhãn thùng</v>
      </c>
      <c r="C1695" s="87" t="str">
        <f>IFERROR(__xludf.DUMMYFUNCTION("""COMPUTED_VALUE"""),"NDT1166")</f>
        <v>NDT1166</v>
      </c>
      <c r="D1695" s="87" t="str">
        <f>IFERROR(__xludf.DUMMYFUNCTION("""COMPUTED_VALUE"""),"[Nhãn thùng] GC - IV - 1166 - Sen Hồng - Siêu đạo ôn (bột cam) - 25gr - 300")</f>
        <v>[Nhãn thùng] GC - IV - 1166 - Sen Hồng - Siêu đạo ôn (bột cam) - 25gr - 300</v>
      </c>
      <c r="E1695" s="87" t="str">
        <f>IFERROR(__xludf.DUMMYFUNCTION("""COMPUTED_VALUE"""),"Pim.Pim 75WP")</f>
        <v>Pim.Pim 75WP</v>
      </c>
      <c r="F1695" s="87" t="str">
        <f>IFERROR(__xludf.DUMMYFUNCTION("""COMPUTED_VALUE"""),"HH1166")</f>
        <v>HH1166</v>
      </c>
      <c r="G1695" s="87" t="str">
        <f>IFERROR(__xludf.DUMMYFUNCTION("""COMPUTED_VALUE"""),"GC - IV - 1166 - Sen Hồng - Siêu đạo ôn (bột cam) - 25gr - 300")</f>
        <v>GC - IV - 1166 - Sen Hồng - Siêu đạo ôn (bột cam) - 25gr - 300</v>
      </c>
    </row>
    <row r="1696">
      <c r="A1696" s="86">
        <f>IFERROR(__xludf.DUMMYFUNCTION("""COMPUTED_VALUE"""),1694.0)</f>
        <v>1694</v>
      </c>
      <c r="B1696" s="87" t="str">
        <f>IFERROR(__xludf.DUMMYFUNCTION("""COMPUTED_VALUE"""),"Nhãn")</f>
        <v>Nhãn</v>
      </c>
      <c r="C1696" s="87" t="str">
        <f>IFERROR(__xludf.DUMMYFUNCTION("""COMPUTED_VALUE"""),"NHG1167")</f>
        <v>NHG1167</v>
      </c>
      <c r="D1696" s="87" t="str">
        <f>IFERROR(__xludf.DUMMYFUNCTION("""COMPUTED_VALUE"""),"[Nhãn] GC - IV - 1167 - Sen Hồng - Haihamec 3.6EC (nước trong) - 450ml - 40")</f>
        <v>[Nhãn] GC - IV - 1167 - Sen Hồng - Haihamec 3.6EC (nước trong) - 450ml - 40</v>
      </c>
      <c r="E1696" s="87" t="str">
        <f>IFERROR(__xludf.DUMMYFUNCTION("""COMPUTED_VALUE"""),"HAIHAMEC 3.6EC")</f>
        <v>HAIHAMEC 3.6EC</v>
      </c>
      <c r="F1696" s="87" t="str">
        <f>IFERROR(__xludf.DUMMYFUNCTION("""COMPUTED_VALUE"""),"HH1167")</f>
        <v>HH1167</v>
      </c>
      <c r="G1696" s="87" t="str">
        <f>IFERROR(__xludf.DUMMYFUNCTION("""COMPUTED_VALUE"""),"GC - IV - 1167 - Sen Hồng - Haihamec 3.6EC (nước trong) - 450ml - 40")</f>
        <v>GC - IV - 1167 - Sen Hồng - Haihamec 3.6EC (nước trong) - 450ml - 40</v>
      </c>
    </row>
    <row r="1697">
      <c r="A1697" s="86">
        <f>IFERROR(__xludf.DUMMYFUNCTION("""COMPUTED_VALUE"""),1695.0)</f>
        <v>1695</v>
      </c>
      <c r="B1697" s="87" t="str">
        <f>IFERROR(__xludf.DUMMYFUNCTION("""COMPUTED_VALUE"""),"Nhãn")</f>
        <v>Nhãn</v>
      </c>
      <c r="C1697" s="87" t="str">
        <f>IFERROR(__xludf.DUMMYFUNCTION("""COMPUTED_VALUE"""),"NTN1168")</f>
        <v>NTN1168</v>
      </c>
      <c r="D1697" s="87" t="str">
        <f>IFERROR(__xludf.DUMMYFUNCTION("""COMPUTED_VALUE"""),"[Nhãn] GC - IV - 1168 - Sen Hồng - Manco Xanh (Bột xanh) - 100gr - 100")</f>
        <v>[Nhãn] GC - IV - 1168 - Sen Hồng - Manco Xanh (Bột xanh) - 100gr - 100</v>
      </c>
      <c r="E1697" s="87" t="str">
        <f>IFERROR(__xludf.DUMMYFUNCTION("""COMPUTED_VALUE"""),"BYPHAN 800WP")</f>
        <v>BYPHAN 800WP</v>
      </c>
      <c r="F1697" s="87" t="str">
        <f>IFERROR(__xludf.DUMMYFUNCTION("""COMPUTED_VALUE"""),"HH1168")</f>
        <v>HH1168</v>
      </c>
      <c r="G1697" s="87" t="str">
        <f>IFERROR(__xludf.DUMMYFUNCTION("""COMPUTED_VALUE"""),"GC - IV - 1168 - Sen Hồng - Manco Xanh (Bột xanh) - 100gr - 100")</f>
        <v>GC - IV - 1168 - Sen Hồng - Manco Xanh (Bột xanh) - 100gr - 100</v>
      </c>
    </row>
    <row r="1698">
      <c r="A1698" s="86">
        <f>IFERROR(__xludf.DUMMYFUNCTION("""COMPUTED_VALUE"""),1696.0)</f>
        <v>1696</v>
      </c>
      <c r="B1698" s="87" t="str">
        <f>IFERROR(__xludf.DUMMYFUNCTION("""COMPUTED_VALUE"""),"Nhãn")</f>
        <v>Nhãn</v>
      </c>
      <c r="C1698" s="87" t="str">
        <f>IFERROR(__xludf.DUMMYFUNCTION("""COMPUTED_VALUE"""),"NHG1169")</f>
        <v>NHG1169</v>
      </c>
      <c r="D1698" s="87" t="str">
        <f>IFERROR(__xludf.DUMMYFUNCTION("""COMPUTED_VALUE"""),"[Nhãn] GC - IV - 1169 - Gold Field - Caci-Bo (nước vàng mật ong) - 500ml - 30")</f>
        <v>[Nhãn] GC - IV - 1169 - Gold Field - Caci-Bo (nước vàng mật ong) - 500ml - 30</v>
      </c>
      <c r="E1698" s="87" t="str">
        <f>IFERROR(__xludf.DUMMYFUNCTION("""COMPUTED_VALUE"""),"Vi lượng Basel IDA 49")</f>
        <v>Vi lượng Basel IDA 49</v>
      </c>
      <c r="F1698" s="87" t="str">
        <f>IFERROR(__xludf.DUMMYFUNCTION("""COMPUTED_VALUE"""),"HH1169")</f>
        <v>HH1169</v>
      </c>
      <c r="G1698" s="87" t="str">
        <f>IFERROR(__xludf.DUMMYFUNCTION("""COMPUTED_VALUE"""),"GC - IV - 1169 - Gold Field - Caci-Bo (nước vàng mật ong) - 500ml - 30")</f>
        <v>GC - IV - 1169 - Gold Field - Caci-Bo (nước vàng mật ong) - 500ml - 30</v>
      </c>
    </row>
    <row r="1699">
      <c r="A1699" s="86">
        <f>IFERROR(__xludf.DUMMYFUNCTION("""COMPUTED_VALUE"""),1697.0)</f>
        <v>1697</v>
      </c>
      <c r="B1699" s="87" t="str">
        <f>IFERROR(__xludf.DUMMYFUNCTION("""COMPUTED_VALUE"""),"Nhãn thùng")</f>
        <v>Nhãn thùng</v>
      </c>
      <c r="C1699" s="87" t="str">
        <f>IFERROR(__xludf.DUMMYFUNCTION("""COMPUTED_VALUE"""),"NDT1169")</f>
        <v>NDT1169</v>
      </c>
      <c r="D1699" s="87" t="str">
        <f>IFERROR(__xludf.DUMMYFUNCTION("""COMPUTED_VALUE"""),"[Nhãn thùng] GC - IV - 1169 - Gold Field - Caci-Bo (nước vàng mật ong) - 500ml - 30")</f>
        <v>[Nhãn thùng] GC - IV - 1169 - Gold Field - Caci-Bo (nước vàng mật ong) - 500ml - 30</v>
      </c>
      <c r="E1699" s="87" t="str">
        <f>IFERROR(__xludf.DUMMYFUNCTION("""COMPUTED_VALUE"""),"Vi lượng Basel IDA 49")</f>
        <v>Vi lượng Basel IDA 49</v>
      </c>
      <c r="F1699" s="87" t="str">
        <f>IFERROR(__xludf.DUMMYFUNCTION("""COMPUTED_VALUE"""),"HH1169")</f>
        <v>HH1169</v>
      </c>
      <c r="G1699" s="87" t="str">
        <f>IFERROR(__xludf.DUMMYFUNCTION("""COMPUTED_VALUE"""),"GC - IV - 1169 - Gold Field - Caci-Bo (nước vàng mật ong) - 500ml - 30")</f>
        <v>GC - IV - 1169 - Gold Field - Caci-Bo (nước vàng mật ong) - 500ml - 30</v>
      </c>
    </row>
    <row r="1700">
      <c r="A1700" s="86">
        <f>IFERROR(__xludf.DUMMYFUNCTION("""COMPUTED_VALUE"""),1698.0)</f>
        <v>1698</v>
      </c>
      <c r="B1700" s="87" t="str">
        <f>IFERROR(__xludf.DUMMYFUNCTION("""COMPUTED_VALUE"""),"Nhãn")</f>
        <v>Nhãn</v>
      </c>
      <c r="C1700" s="87" t="str">
        <f>IFERROR(__xludf.DUMMYFUNCTION("""COMPUTED_VALUE"""),"NTN1170")</f>
        <v>NTN1170</v>
      </c>
      <c r="D1700" s="87" t="str">
        <f>IFERROR(__xludf.DUMMYFUNCTION("""COMPUTED_VALUE"""),"[Nhãn] GC - IV - 1170 - Agritech -  Manco Xanh (bột xanh) - 1 Kg - 20")</f>
        <v>[Nhãn] GC - IV - 1170 - Agritech -  Manco Xanh (bột xanh) - 1 Kg - 20</v>
      </c>
      <c r="E1700" s="87" t="str">
        <f>IFERROR(__xludf.DUMMYFUNCTION("""COMPUTED_VALUE"""),"BYPHAN 800WP")</f>
        <v>BYPHAN 800WP</v>
      </c>
      <c r="F1700" s="87" t="str">
        <f>IFERROR(__xludf.DUMMYFUNCTION("""COMPUTED_VALUE"""),"HH1170")</f>
        <v>HH1170</v>
      </c>
      <c r="G1700" s="87" t="str">
        <f>IFERROR(__xludf.DUMMYFUNCTION("""COMPUTED_VALUE"""),"GC - IV - 1170 - Agritech -  Manco Xanh (bột xanh) - 1 Kg - 20")</f>
        <v>GC - IV - 1170 - Agritech -  Manco Xanh (bột xanh) - 1 Kg - 20</v>
      </c>
    </row>
    <row r="1701">
      <c r="A1701" s="86">
        <f>IFERROR(__xludf.DUMMYFUNCTION("""COMPUTED_VALUE"""),1699.0)</f>
        <v>1699</v>
      </c>
      <c r="B1701" s="87" t="str">
        <f>IFERROR(__xludf.DUMMYFUNCTION("""COMPUTED_VALUE"""),"Nhãn")</f>
        <v>Nhãn</v>
      </c>
      <c r="C1701" s="87" t="str">
        <f>IFERROR(__xludf.DUMMYFUNCTION("""COMPUTED_VALUE"""),"NHG1172")</f>
        <v>NHG1172</v>
      </c>
      <c r="D1701" s="87" t="str">
        <f>IFERROR(__xludf.DUMMYFUNCTION("""COMPUTED_VALUE"""),"[Nhãn] IDA Global - I - 1172 - ĐL Thanh Phụng - Flower Top SC (Lúa và Rau Màu) (nước trắng ngà) - 450ml - 40")</f>
        <v>[Nhãn] IDA Global - I - 1172 - ĐL Thanh Phụng - Flower Top SC (Lúa và Rau Màu) (nước trắng ngà) - 450ml - 40</v>
      </c>
      <c r="E1701" s="87" t="str">
        <f>IFERROR(__xludf.DUMMYFUNCTION("""COMPUTED_VALUE"""),"Vi lượng Basel IDA 47")</f>
        <v>Vi lượng Basel IDA 47</v>
      </c>
      <c r="F1701" s="87" t="str">
        <f>IFERROR(__xludf.DUMMYFUNCTION("""COMPUTED_VALUE"""),"HH1172")</f>
        <v>HH1172</v>
      </c>
      <c r="G1701" s="87" t="str">
        <f>IFERROR(__xludf.DUMMYFUNCTION("""COMPUTED_VALUE"""),"IDA Global - I - 1172 - ĐL Thanh Phụng - Flower Top SC (Lúa và Rau Màu) (nước trắng ngà) - 450ml - 40")</f>
        <v>IDA Global - I - 1172 - ĐL Thanh Phụng - Flower Top SC (Lúa và Rau Màu) (nước trắng ngà) - 450ml - 40</v>
      </c>
    </row>
    <row r="1702">
      <c r="A1702" s="86">
        <f>IFERROR(__xludf.DUMMYFUNCTION("""COMPUTED_VALUE"""),1700.0)</f>
        <v>1700</v>
      </c>
      <c r="B1702" s="87" t="str">
        <f>IFERROR(__xludf.DUMMYFUNCTION("""COMPUTED_VALUE"""),"Nhãn")</f>
        <v>Nhãn</v>
      </c>
      <c r="C1702" s="87" t="str">
        <f>IFERROR(__xludf.DUMMYFUNCTION("""COMPUTED_VALUE"""),"NHD1173")</f>
        <v>NHD1173</v>
      </c>
      <c r="D1702" s="87" t="str">
        <f>IFERROR(__xludf.DUMMYFUNCTION("""COMPUTED_VALUE"""),"[Nhãn] LOT IDA Global - I - 1173 - ĐL Phúc Nông - Thần Hổ (nước nâu đen) - 100ml - 100")</f>
        <v>[Nhãn] LOT IDA Global - I - 1173 - ĐL Phúc Nông - Thần Hổ (nước nâu đen) - 100ml - 100</v>
      </c>
      <c r="E1702" s="87" t="str">
        <f>IFERROR(__xludf.DUMMYFUNCTION("""COMPUTED_VALUE"""),"HAIHAMEC 3.6EC")</f>
        <v>HAIHAMEC 3.6EC</v>
      </c>
      <c r="F1702" s="87" t="str">
        <f>IFERROR(__xludf.DUMMYFUNCTION("""COMPUTED_VALUE"""),"HH1173")</f>
        <v>HH1173</v>
      </c>
      <c r="G1702" s="87" t="str">
        <f>IFERROR(__xludf.DUMMYFUNCTION("""COMPUTED_VALUE"""),"LOT IDA Global - I - 1173 - ĐL Phúc Nông - Thần Hổ (nước nâu đen) - 100ml - 100")</f>
        <v>LOT IDA Global - I - 1173 - ĐL Phúc Nông - Thần Hổ (nước nâu đen) - 100ml - 100</v>
      </c>
    </row>
    <row r="1703">
      <c r="A1703" s="86">
        <f>IFERROR(__xludf.DUMMYFUNCTION("""COMPUTED_VALUE"""),1701.0)</f>
        <v>1701</v>
      </c>
      <c r="B1703" s="87" t="str">
        <f>IFERROR(__xludf.DUMMYFUNCTION("""COMPUTED_VALUE"""),"Nhãn thùng")</f>
        <v>Nhãn thùng</v>
      </c>
      <c r="C1703" s="87" t="str">
        <f>IFERROR(__xludf.DUMMYFUNCTION("""COMPUTED_VALUE"""),"NDT1173")</f>
        <v>NDT1173</v>
      </c>
      <c r="D1703" s="87" t="str">
        <f>IFERROR(__xludf.DUMMYFUNCTION("""COMPUTED_VALUE"""),"[Nhãn thùng] LOT IDA Global - I - 1173 - ĐL Phúc Nông - Thần Hổ (nước nâu đen) - 100ml - 100")</f>
        <v>[Nhãn thùng] LOT IDA Global - I - 1173 - ĐL Phúc Nông - Thần Hổ (nước nâu đen) - 100ml - 100</v>
      </c>
      <c r="E1703" s="87" t="str">
        <f>IFERROR(__xludf.DUMMYFUNCTION("""COMPUTED_VALUE"""),"HAIHAMEC 3.6EC")</f>
        <v>HAIHAMEC 3.6EC</v>
      </c>
      <c r="F1703" s="87" t="str">
        <f>IFERROR(__xludf.DUMMYFUNCTION("""COMPUTED_VALUE"""),"HH1173")</f>
        <v>HH1173</v>
      </c>
      <c r="G1703" s="87" t="str">
        <f>IFERROR(__xludf.DUMMYFUNCTION("""COMPUTED_VALUE"""),"LOT IDA Global - I - 1173 - ĐL Phúc Nông - Thần Hổ (nước nâu đen) - 100ml - 100")</f>
        <v>LOT IDA Global - I - 1173 - ĐL Phúc Nông - Thần Hổ (nước nâu đen) - 100ml - 100</v>
      </c>
    </row>
    <row r="1704">
      <c r="A1704" s="86">
        <f>IFERROR(__xludf.DUMMYFUNCTION("""COMPUTED_VALUE"""),1702.0)</f>
        <v>1702</v>
      </c>
      <c r="B1704" s="87" t="str">
        <f>IFERROR(__xludf.DUMMYFUNCTION("""COMPUTED_VALUE"""),"Nhãn")</f>
        <v>Nhãn</v>
      </c>
      <c r="C1704" s="87" t="str">
        <f>IFERROR(__xludf.DUMMYFUNCTION("""COMPUTED_VALUE"""),"NHG1174")</f>
        <v>NHG1174</v>
      </c>
      <c r="D1704" s="87" t="str">
        <f>IFERROR(__xludf.DUMMYFUNCTION("""COMPUTED_VALUE"""),"[Nhãn] GC - IV - 1174 -  VietChem - Avin Thái (nước trắng sữa) - 1L - 20")</f>
        <v>[Nhãn] GC - IV - 1174 -  VietChem - Avin Thái (nước trắng sữa) - 1L - 20</v>
      </c>
      <c r="E1704" s="87" t="str">
        <f>IFERROR(__xludf.DUMMYFUNCTION("""COMPUTED_VALUE"""),"MEKONGVIL 5SC")</f>
        <v>MEKONGVIL 5SC</v>
      </c>
      <c r="F1704" s="87" t="str">
        <f>IFERROR(__xludf.DUMMYFUNCTION("""COMPUTED_VALUE"""),"HH1174")</f>
        <v>HH1174</v>
      </c>
      <c r="G1704" s="87" t="str">
        <f>IFERROR(__xludf.DUMMYFUNCTION("""COMPUTED_VALUE"""),"GC - IV - 1174 -  VietChem - Avin Thái (nước trắng sữa) - 1L - 20")</f>
        <v>GC - IV - 1174 -  VietChem - Avin Thái (nước trắng sữa) - 1L - 20</v>
      </c>
    </row>
    <row r="1705">
      <c r="A1705" s="86">
        <f>IFERROR(__xludf.DUMMYFUNCTION("""COMPUTED_VALUE"""),1703.0)</f>
        <v>1703</v>
      </c>
      <c r="B1705" s="87" t="str">
        <f>IFERROR(__xludf.DUMMYFUNCTION("""COMPUTED_VALUE"""),"Nhãn")</f>
        <v>Nhãn</v>
      </c>
      <c r="C1705" s="87" t="str">
        <f>IFERROR(__xludf.DUMMYFUNCTION("""COMPUTED_VALUE"""),"NHG1175")</f>
        <v>NHG1175</v>
      </c>
      <c r="D1705" s="87" t="str">
        <f>IFERROR(__xludf.DUMMYFUNCTION("""COMPUTED_VALUE"""),"[Nhãn] GC - IV - 1175 -  VietChem - Hextop 5SC (nước trắng sữa) - 1L - 20")</f>
        <v>[Nhãn] GC - IV - 1175 -  VietChem - Hextop 5SC (nước trắng sữa) - 1L - 20</v>
      </c>
      <c r="E1705" s="87" t="str">
        <f>IFERROR(__xludf.DUMMYFUNCTION("""COMPUTED_VALUE"""),"MEKONGVIL 5SC")</f>
        <v>MEKONGVIL 5SC</v>
      </c>
      <c r="F1705" s="87" t="str">
        <f>IFERROR(__xludf.DUMMYFUNCTION("""COMPUTED_VALUE"""),"HH1175")</f>
        <v>HH1175</v>
      </c>
      <c r="G1705" s="87" t="str">
        <f>IFERROR(__xludf.DUMMYFUNCTION("""COMPUTED_VALUE"""),"GC - IV - 1175 -  VietChem - Hextop 5SC (nước trắng sữa) - 1L - 20")</f>
        <v>GC - IV - 1175 -  VietChem - Hextop 5SC (nước trắng sữa) - 1L - 20</v>
      </c>
    </row>
    <row r="1706">
      <c r="A1706" s="86">
        <f>IFERROR(__xludf.DUMMYFUNCTION("""COMPUTED_VALUE"""),1704.0)</f>
        <v>1704</v>
      </c>
      <c r="B1706" s="87" t="str">
        <f>IFERROR(__xludf.DUMMYFUNCTION("""COMPUTED_VALUE"""),"Nhãn")</f>
        <v>Nhãn</v>
      </c>
      <c r="C1706" s="87" t="str">
        <f>IFERROR(__xludf.DUMMYFUNCTION("""COMPUTED_VALUE"""),"NHG1176")</f>
        <v>NHG1176</v>
      </c>
      <c r="D1706" s="87" t="str">
        <f>IFERROR(__xludf.DUMMYFUNCTION("""COMPUTED_VALUE"""),"[Nhãn] GC - IV - 1176 -  VietChem - Vingold kẽm (nước xanh dương) - 1L - 20")</f>
        <v>[Nhãn] GC - IV - 1176 -  VietChem - Vingold kẽm (nước xanh dương) - 1L - 20</v>
      </c>
      <c r="E1706" s="87" t="str">
        <f>IFERROR(__xludf.DUMMYFUNCTION("""COMPUTED_VALUE"""),"MEKONGVIL 5SC")</f>
        <v>MEKONGVIL 5SC</v>
      </c>
      <c r="F1706" s="87" t="str">
        <f>IFERROR(__xludf.DUMMYFUNCTION("""COMPUTED_VALUE"""),"HH1176")</f>
        <v>HH1176</v>
      </c>
      <c r="G1706" s="87" t="str">
        <f>IFERROR(__xludf.DUMMYFUNCTION("""COMPUTED_VALUE"""),"GC - IV - 1176 -  VietChem - Vingold kẽm (nước xanh dương) - 1L - 20")</f>
        <v>GC - IV - 1176 -  VietChem - Vingold kẽm (nước xanh dương) - 1L - 20</v>
      </c>
    </row>
    <row r="1707">
      <c r="A1707" s="86">
        <f>IFERROR(__xludf.DUMMYFUNCTION("""COMPUTED_VALUE"""),1705.0)</f>
        <v>1705</v>
      </c>
      <c r="B1707" s="87" t="str">
        <f>IFERROR(__xludf.DUMMYFUNCTION("""COMPUTED_VALUE"""),"Nhãn")</f>
        <v>Nhãn</v>
      </c>
      <c r="C1707" s="87" t="str">
        <f>IFERROR(__xludf.DUMMYFUNCTION("""COMPUTED_VALUE"""),"NTN1177")</f>
        <v>NTN1177</v>
      </c>
      <c r="D1707" s="87" t="str">
        <f>IFERROR(__xludf.DUMMYFUNCTION("""COMPUTED_VALUE"""),"[Nhãn] IDA Global - I - 1177 - Nereistoxin (bột trắng) - 100gr - 100")</f>
        <v>[Nhãn] IDA Global - I - 1177 - Nereistoxin (bột trắng) - 100gr - 100</v>
      </c>
      <c r="E1707" s="87" t="str">
        <f>IFERROR(__xludf.DUMMYFUNCTION("""COMPUTED_VALUE"""),"SHA CHONG JING 95WP")</f>
        <v>SHA CHONG JING 95WP</v>
      </c>
      <c r="F1707" s="87" t="str">
        <f>IFERROR(__xludf.DUMMYFUNCTION("""COMPUTED_VALUE"""),"HH1177")</f>
        <v>HH1177</v>
      </c>
      <c r="G1707" s="87" t="str">
        <f>IFERROR(__xludf.DUMMYFUNCTION("""COMPUTED_VALUE"""),"IDA Global - I - 1177 - Nereistoxin (bột trắng) - 100gr - 100")</f>
        <v>IDA Global - I - 1177 - Nereistoxin (bột trắng) - 100gr - 100</v>
      </c>
    </row>
    <row r="1708">
      <c r="A1708" s="86">
        <f>IFERROR(__xludf.DUMMYFUNCTION("""COMPUTED_VALUE"""),1706.0)</f>
        <v>1706</v>
      </c>
      <c r="B1708" s="87" t="str">
        <f>IFERROR(__xludf.DUMMYFUNCTION("""COMPUTED_VALUE"""),"Nhãn")</f>
        <v>Nhãn</v>
      </c>
      <c r="C1708" s="87" t="str">
        <f>IFERROR(__xludf.DUMMYFUNCTION("""COMPUTED_VALUE"""),"NHG1178")</f>
        <v>NHG1178</v>
      </c>
      <c r="D1708" s="87" t="str">
        <f>IFERROR(__xludf.DUMMYFUNCTION("""COMPUTED_VALUE"""),"[Nhãn] GC - IV - 1178 - Sen Hồng - Genol 1.2SL (nước tím) - 250ml - 40")</f>
        <v>[Nhãn] GC - IV - 1178 - Sen Hồng - Genol 1.2SL (nước tím) - 250ml - 40</v>
      </c>
      <c r="E1708" s="87" t="str">
        <f>IFERROR(__xludf.DUMMYFUNCTION("""COMPUTED_VALUE"""),"GENOL 1.2SL")</f>
        <v>GENOL 1.2SL</v>
      </c>
      <c r="F1708" s="87" t="str">
        <f>IFERROR(__xludf.DUMMYFUNCTION("""COMPUTED_VALUE"""),"HH1178")</f>
        <v>HH1178</v>
      </c>
      <c r="G1708" s="87" t="str">
        <f>IFERROR(__xludf.DUMMYFUNCTION("""COMPUTED_VALUE"""),"GC - IV - 1178 - Sen Hồng - Genol 1.2SL (nước tím) - 250ml - 40")</f>
        <v>GC - IV - 1178 - Sen Hồng - Genol 1.2SL (nước tím) - 250ml - 40</v>
      </c>
    </row>
    <row r="1709">
      <c r="A1709" s="86">
        <f>IFERROR(__xludf.DUMMYFUNCTION("""COMPUTED_VALUE"""),1707.0)</f>
        <v>1707</v>
      </c>
      <c r="B1709" s="87" t="str">
        <f>IFERROR(__xludf.DUMMYFUNCTION("""COMPUTED_VALUE"""),"Nhãn")</f>
        <v>Nhãn</v>
      </c>
      <c r="C1709" s="87" t="str">
        <f>IFERROR(__xludf.DUMMYFUNCTION("""COMPUTED_VALUE"""),"NHD1179")</f>
        <v>NHD1179</v>
      </c>
      <c r="D1709" s="87" t="str">
        <f>IFERROR(__xludf.DUMMYFUNCTION("""COMPUTED_VALUE"""),"[Nhãn] GC - IV - 1179 - GNH - Siêu Bung Đọt(nước nâu đen) - 5L - 4")</f>
        <v>[Nhãn] GC - IV - 1179 - GNH - Siêu Bung Đọt(nước nâu đen) - 5L - 4</v>
      </c>
      <c r="E1709" s="87" t="str">
        <f>IFERROR(__xludf.DUMMYFUNCTION("""COMPUTED_VALUE"""),"Vi lượng Basel VA01")</f>
        <v>Vi lượng Basel VA01</v>
      </c>
      <c r="F1709" s="87" t="str">
        <f>IFERROR(__xludf.DUMMYFUNCTION("""COMPUTED_VALUE"""),"HH1179")</f>
        <v>HH1179</v>
      </c>
      <c r="G1709" s="87" t="str">
        <f>IFERROR(__xludf.DUMMYFUNCTION("""COMPUTED_VALUE"""),"GC - IV - 1179 - GNH - Siêu Bung Đọt(nước nâu đen) - 5L - 4")</f>
        <v>GC - IV - 1179 - GNH - Siêu Bung Đọt(nước nâu đen) - 5L - 4</v>
      </c>
    </row>
    <row r="1710">
      <c r="A1710" s="86">
        <f>IFERROR(__xludf.DUMMYFUNCTION("""COMPUTED_VALUE"""),1708.0)</f>
        <v>1708</v>
      </c>
      <c r="B1710" s="87" t="str">
        <f>IFERROR(__xludf.DUMMYFUNCTION("""COMPUTED_VALUE"""),"Nhãn thùng")</f>
        <v>Nhãn thùng</v>
      </c>
      <c r="C1710" s="87" t="str">
        <f>IFERROR(__xludf.DUMMYFUNCTION("""COMPUTED_VALUE"""),"NDT1179")</f>
        <v>NDT1179</v>
      </c>
      <c r="D1710" s="87" t="str">
        <f>IFERROR(__xludf.DUMMYFUNCTION("""COMPUTED_VALUE"""),"[Nhãn thùng] GC - IV - 1179 - GNH - Siêu Bung Đọt(nước nâu đen) - 5L - 4")</f>
        <v>[Nhãn thùng] GC - IV - 1179 - GNH - Siêu Bung Đọt(nước nâu đen) - 5L - 4</v>
      </c>
      <c r="E1710" s="87" t="str">
        <f>IFERROR(__xludf.DUMMYFUNCTION("""COMPUTED_VALUE"""),"Vi lượng Basel VA01")</f>
        <v>Vi lượng Basel VA01</v>
      </c>
      <c r="F1710" s="87" t="str">
        <f>IFERROR(__xludf.DUMMYFUNCTION("""COMPUTED_VALUE"""),"HH1179")</f>
        <v>HH1179</v>
      </c>
      <c r="G1710" s="87" t="str">
        <f>IFERROR(__xludf.DUMMYFUNCTION("""COMPUTED_VALUE"""),"GC - IV - 1179 - GNH - Siêu Bung Đọt(nước nâu đen) - 5L - 4")</f>
        <v>GC - IV - 1179 - GNH - Siêu Bung Đọt(nước nâu đen) - 5L - 4</v>
      </c>
    </row>
    <row r="1711">
      <c r="A1711" s="86">
        <f>IFERROR(__xludf.DUMMYFUNCTION("""COMPUTED_VALUE"""),1709.0)</f>
        <v>1709</v>
      </c>
      <c r="B1711" s="87" t="str">
        <f>IFERROR(__xludf.DUMMYFUNCTION("""COMPUTED_VALUE"""),"Nhãn")</f>
        <v>Nhãn</v>
      </c>
      <c r="C1711" s="87" t="str">
        <f>IFERROR(__xludf.DUMMYFUNCTION("""COMPUTED_VALUE"""),"NTN1180")</f>
        <v>NTN1180</v>
      </c>
      <c r="D1711" s="87" t="str">
        <f>IFERROR(__xludf.DUMMYFUNCTION("""COMPUTED_VALUE"""),"[Nhãn] GC - IV - 1180 - Agritech - Nesto 95 (Bột trắng) - 80gr - 150")</f>
        <v>[Nhãn] GC - IV - 1180 - Agritech - Nesto 95 (Bột trắng) - 80gr - 150</v>
      </c>
      <c r="E1711" s="87" t="str">
        <f>IFERROR(__xludf.DUMMYFUNCTION("""COMPUTED_VALUE"""),"SHA CHONG JING 95WP")</f>
        <v>SHA CHONG JING 95WP</v>
      </c>
      <c r="F1711" s="87" t="str">
        <f>IFERROR(__xludf.DUMMYFUNCTION("""COMPUTED_VALUE"""),"HH1180")</f>
        <v>HH1180</v>
      </c>
      <c r="G1711" s="87" t="str">
        <f>IFERROR(__xludf.DUMMYFUNCTION("""COMPUTED_VALUE"""),"GC - IV - 1180 - Agritech - Nesto 95 (Bột trắng) - 80gr - 150")</f>
        <v>GC - IV - 1180 - Agritech - Nesto 95 (Bột trắng) - 80gr - 150</v>
      </c>
    </row>
    <row r="1712">
      <c r="A1712" s="86">
        <f>IFERROR(__xludf.DUMMYFUNCTION("""COMPUTED_VALUE"""),1710.0)</f>
        <v>1710</v>
      </c>
      <c r="B1712" s="87" t="str">
        <f>IFERROR(__xludf.DUMMYFUNCTION("""COMPUTED_VALUE"""),"Nhãn")</f>
        <v>Nhãn</v>
      </c>
      <c r="C1712" s="87" t="str">
        <f>IFERROR(__xludf.DUMMYFUNCTION("""COMPUTED_VALUE"""),"NHG1181")</f>
        <v>NHG1181</v>
      </c>
      <c r="D1712" s="87" t="str">
        <f>IFERROR(__xludf.DUMMYFUNCTION("""COMPUTED_VALUE"""),"[Nhãn] LOT IDA Global - I - 1181 - Thanh Thảo - Abamectin (nước nâu đen) - 450ml - 40")</f>
        <v>[Nhãn] LOT IDA Global - I - 1181 - Thanh Thảo - Abamectin (nước nâu đen) - 450ml - 40</v>
      </c>
      <c r="E1712" s="87" t="str">
        <f>IFERROR(__xludf.DUMMYFUNCTION("""COMPUTED_VALUE"""),"Chitin 3.6EC")</f>
        <v>Chitin 3.6EC</v>
      </c>
      <c r="F1712" s="87" t="str">
        <f>IFERROR(__xludf.DUMMYFUNCTION("""COMPUTED_VALUE"""),"HH1181")</f>
        <v>HH1181</v>
      </c>
      <c r="G1712" s="87" t="str">
        <f>IFERROR(__xludf.DUMMYFUNCTION("""COMPUTED_VALUE"""),"LOT IDA Global - I - 1181 - Thanh Thảo - Abamectin (nước nâu đen) - 450ml - 40")</f>
        <v>LOT IDA Global - I - 1181 - Thanh Thảo - Abamectin (nước nâu đen) - 450ml - 40</v>
      </c>
    </row>
    <row r="1713">
      <c r="A1713" s="86">
        <f>IFERROR(__xludf.DUMMYFUNCTION("""COMPUTED_VALUE"""),1711.0)</f>
        <v>1711</v>
      </c>
      <c r="B1713" s="87" t="str">
        <f>IFERROR(__xludf.DUMMYFUNCTION("""COMPUTED_VALUE"""),"Nhãn")</f>
        <v>Nhãn</v>
      </c>
      <c r="C1713" s="87" t="str">
        <f>IFERROR(__xludf.DUMMYFUNCTION("""COMPUTED_VALUE"""),"NHG1182")</f>
        <v>NHG1182</v>
      </c>
      <c r="D1713" s="87" t="str">
        <f>IFERROR(__xludf.DUMMYFUNCTION("""COMPUTED_VALUE"""),"[Nhãn] LOT IDA Global - I - 1182  - Rồng Đỏ (nước trong) - 450ml - 40")</f>
        <v>[Nhãn] LOT IDA Global - I - 1182  - Rồng Đỏ (nước trong) - 450ml - 40</v>
      </c>
      <c r="E1713" s="87" t="str">
        <f>IFERROR(__xludf.DUMMYFUNCTION("""COMPUTED_VALUE"""),"HAIHAMEC 3.6EC")</f>
        <v>HAIHAMEC 3.6EC</v>
      </c>
      <c r="F1713" s="87" t="str">
        <f>IFERROR(__xludf.DUMMYFUNCTION("""COMPUTED_VALUE"""),"HH1182")</f>
        <v>HH1182</v>
      </c>
      <c r="G1713" s="87" t="str">
        <f>IFERROR(__xludf.DUMMYFUNCTION("""COMPUTED_VALUE"""),"LOT IDA Global - I - 1182  - Rồng Đỏ (nước trong) - 450ml - 40")</f>
        <v>LOT IDA Global - I - 1182  - Rồng Đỏ (nước trong) - 450ml - 40</v>
      </c>
    </row>
    <row r="1714">
      <c r="A1714" s="86">
        <f>IFERROR(__xludf.DUMMYFUNCTION("""COMPUTED_VALUE"""),1712.0)</f>
        <v>1712</v>
      </c>
      <c r="B1714" s="87" t="str">
        <f>IFERROR(__xludf.DUMMYFUNCTION("""COMPUTED_VALUE"""),"Nhãn")</f>
        <v>Nhãn</v>
      </c>
      <c r="C1714" s="87" t="str">
        <f>IFERROR(__xludf.DUMMYFUNCTION("""COMPUTED_VALUE"""),"NHD1183")</f>
        <v>NHD1183</v>
      </c>
      <c r="D1714" s="87" t="str">
        <f>IFERROR(__xludf.DUMMYFUNCTION("""COMPUTED_VALUE"""),"[Nhãn] LOT IDA Global - I - 1183 - Thần Hổ 1.9 (nước trong)- 450ml - 40")</f>
        <v>[Nhãn] LOT IDA Global - I - 1183 - Thần Hổ 1.9 (nước trong)- 450ml - 40</v>
      </c>
      <c r="E1714" s="87" t="str">
        <f>IFERROR(__xludf.DUMMYFUNCTION("""COMPUTED_VALUE"""),"Creek 2.1EC")</f>
        <v>Creek 2.1EC</v>
      </c>
      <c r="F1714" s="87" t="str">
        <f>IFERROR(__xludf.DUMMYFUNCTION("""COMPUTED_VALUE"""),"HH1183")</f>
        <v>HH1183</v>
      </c>
      <c r="G1714" s="87" t="str">
        <f>IFERROR(__xludf.DUMMYFUNCTION("""COMPUTED_VALUE"""),"LOT IDA Global - I - 1183 - Thần Hổ 1.9 (nước trong)- 450ml - 40")</f>
        <v>LOT IDA Global - I - 1183 - Thần Hổ 1.9 (nước trong)- 450ml - 40</v>
      </c>
    </row>
    <row r="1715">
      <c r="A1715" s="86">
        <f>IFERROR(__xludf.DUMMYFUNCTION("""COMPUTED_VALUE"""),1713.0)</f>
        <v>1713</v>
      </c>
      <c r="B1715" s="87" t="str">
        <f>IFERROR(__xludf.DUMMYFUNCTION("""COMPUTED_VALUE"""),"Nhãn")</f>
        <v>Nhãn</v>
      </c>
      <c r="C1715" s="87" t="str">
        <f>IFERROR(__xludf.DUMMYFUNCTION("""COMPUTED_VALUE"""),"NHG1184")</f>
        <v>NHG1184</v>
      </c>
      <c r="D1715" s="87" t="str">
        <f>IFERROR(__xludf.DUMMYFUNCTION("""COMPUTED_VALUE"""),"[Nhãn] GC - IV - 1184 - GNH - Siêu Kích Rễ  (nước nâu đen) - 100ml - 100")</f>
        <v>[Nhãn] GC - IV - 1184 - GNH - Siêu Kích Rễ  (nước nâu đen) - 100ml - 100</v>
      </c>
      <c r="E1715" s="87" t="str">
        <f>IFERROR(__xludf.DUMMYFUNCTION("""COMPUTED_VALUE"""),"Vi lượng Quantity New")</f>
        <v>Vi lượng Quantity New</v>
      </c>
      <c r="F1715" s="87" t="str">
        <f>IFERROR(__xludf.DUMMYFUNCTION("""COMPUTED_VALUE"""),"HH1184")</f>
        <v>HH1184</v>
      </c>
      <c r="G1715" s="87" t="str">
        <f>IFERROR(__xludf.DUMMYFUNCTION("""COMPUTED_VALUE"""),"GC - IV - 1184 - GNH - Siêu Kích Rễ  (nước nâu đen) - 100ml - 100")</f>
        <v>GC - IV - 1184 - GNH - Siêu Kích Rễ  (nước nâu đen) - 100ml - 100</v>
      </c>
    </row>
    <row r="1716">
      <c r="A1716" s="86">
        <f>IFERROR(__xludf.DUMMYFUNCTION("""COMPUTED_VALUE"""),1714.0)</f>
        <v>1714</v>
      </c>
      <c r="B1716" s="87" t="str">
        <f>IFERROR(__xludf.DUMMYFUNCTION("""COMPUTED_VALUE"""),"Nhãn")</f>
        <v>Nhãn</v>
      </c>
      <c r="C1716" s="87" t="str">
        <f>IFERROR(__xludf.DUMMYFUNCTION("""COMPUTED_VALUE"""),"NTN1185")</f>
        <v>NTN1185</v>
      </c>
      <c r="D1716" s="87" t="str">
        <f>IFERROR(__xludf.DUMMYFUNCTION("""COMPUTED_VALUE"""),"[Nhãn] LOT IDA Global - I - 1185 - Hồng Liệt - Vua diệt sâu Gold (Bột trắng) - 100gr - 100")</f>
        <v>[Nhãn] LOT IDA Global - I - 1185 - Hồng Liệt - Vua diệt sâu Gold (Bột trắng) - 100gr - 100</v>
      </c>
      <c r="E1716" s="87" t="str">
        <f>IFERROR(__xludf.DUMMYFUNCTION("""COMPUTED_VALUE"""),"SHA CHONG JING 95WP")</f>
        <v>SHA CHONG JING 95WP</v>
      </c>
      <c r="F1716" s="87" t="str">
        <f>IFERROR(__xludf.DUMMYFUNCTION("""COMPUTED_VALUE"""),"HH1185")</f>
        <v>HH1185</v>
      </c>
      <c r="G1716" s="87" t="str">
        <f>IFERROR(__xludf.DUMMYFUNCTION("""COMPUTED_VALUE"""),"LOT IDA Global - I - 1185 - Hồng Liệt - Vua diệt sâu Gold (Bột trắng) - 100gr - 100")</f>
        <v>LOT IDA Global - I - 1185 - Hồng Liệt - Vua diệt sâu Gold (Bột trắng) - 100gr - 100</v>
      </c>
    </row>
    <row r="1717">
      <c r="A1717" s="86">
        <f>IFERROR(__xludf.DUMMYFUNCTION("""COMPUTED_VALUE"""),1715.0)</f>
        <v>1715</v>
      </c>
      <c r="B1717" s="87" t="str">
        <f>IFERROR(__xludf.DUMMYFUNCTION("""COMPUTED_VALUE"""),"Nhãn")</f>
        <v>Nhãn</v>
      </c>
      <c r="C1717" s="87" t="str">
        <f>IFERROR(__xludf.DUMMYFUNCTION("""COMPUTED_VALUE"""),"NTN1186")</f>
        <v>NTN1186</v>
      </c>
      <c r="D1717" s="87" t="str">
        <f>IFERROR(__xludf.DUMMYFUNCTION("""COMPUTED_VALUE"""),"[Nhãn] GC - IV - 1186 - ĐịnhThành - Diệt Sạch Bệnh (bột hồng) 100gr - 100")</f>
        <v>[Nhãn] GC - IV - 1186 - ĐịnhThành - Diệt Sạch Bệnh (bột hồng) 100gr - 100</v>
      </c>
      <c r="E1717" s="87" t="str">
        <f>IFERROR(__xludf.DUMMYFUNCTION("""COMPUTED_VALUE"""),"Acodyl 35WP")</f>
        <v>Acodyl 35WP</v>
      </c>
      <c r="F1717" s="87" t="str">
        <f>IFERROR(__xludf.DUMMYFUNCTION("""COMPUTED_VALUE"""),"HH1186")</f>
        <v>HH1186</v>
      </c>
      <c r="G1717" s="87" t="str">
        <f>IFERROR(__xludf.DUMMYFUNCTION("""COMPUTED_VALUE"""),"GC - IV - 1186 - ĐịnhThành - Diệt Sạch Bệnh (bột hồng) 100gr - 100")</f>
        <v>GC - IV - 1186 - ĐịnhThành - Diệt Sạch Bệnh (bột hồng) 100gr - 100</v>
      </c>
    </row>
    <row r="1718">
      <c r="A1718" s="86">
        <f>IFERROR(__xludf.DUMMYFUNCTION("""COMPUTED_VALUE"""),1716.0)</f>
        <v>1716</v>
      </c>
      <c r="B1718" s="87" t="str">
        <f>IFERROR(__xludf.DUMMYFUNCTION("""COMPUTED_VALUE"""),"Nhãn thùng")</f>
        <v>Nhãn thùng</v>
      </c>
      <c r="C1718" s="87" t="str">
        <f>IFERROR(__xludf.DUMMYFUNCTION("""COMPUTED_VALUE"""),"NDT1186")</f>
        <v>NDT1186</v>
      </c>
      <c r="D1718" s="87" t="str">
        <f>IFERROR(__xludf.DUMMYFUNCTION("""COMPUTED_VALUE"""),"[Nhãn thùng] GC - IV - 1186 - ĐịnhThành - Diệt Sạch Bệnh (bột hồng) 100gr - 100")</f>
        <v>[Nhãn thùng] GC - IV - 1186 - ĐịnhThành - Diệt Sạch Bệnh (bột hồng) 100gr - 100</v>
      </c>
      <c r="E1718" s="87" t="str">
        <f>IFERROR(__xludf.DUMMYFUNCTION("""COMPUTED_VALUE"""),"Acodyl 35WP")</f>
        <v>Acodyl 35WP</v>
      </c>
      <c r="F1718" s="87" t="str">
        <f>IFERROR(__xludf.DUMMYFUNCTION("""COMPUTED_VALUE"""),"HH1186")</f>
        <v>HH1186</v>
      </c>
      <c r="G1718" s="87" t="str">
        <f>IFERROR(__xludf.DUMMYFUNCTION("""COMPUTED_VALUE"""),"GC - IV - 1186 - ĐịnhThành - Diệt Sạch Bệnh (bột hồng) 100gr - 100")</f>
        <v>GC - IV - 1186 - ĐịnhThành - Diệt Sạch Bệnh (bột hồng) 100gr - 100</v>
      </c>
    </row>
    <row r="1719">
      <c r="A1719" s="86">
        <f>IFERROR(__xludf.DUMMYFUNCTION("""COMPUTED_VALUE"""),1717.0)</f>
        <v>1717</v>
      </c>
      <c r="B1719" s="87" t="str">
        <f>IFERROR(__xludf.DUMMYFUNCTION("""COMPUTED_VALUE"""),"Nhãn")</f>
        <v>Nhãn</v>
      </c>
      <c r="C1719" s="87" t="str">
        <f>IFERROR(__xludf.DUMMYFUNCTION("""COMPUTED_VALUE"""),"NHD1187")</f>
        <v>NHD1187</v>
      </c>
      <c r="D1719" s="87" t="str">
        <f>IFERROR(__xludf.DUMMYFUNCTION("""COMPUTED_VALUE"""),"[Nhãn] GC - IV - 1187 - Kim Ngọc - Panacea (nước tím) - 250ml - 40")</f>
        <v>[Nhãn] GC - IV - 1187 - Kim Ngọc - Panacea (nước tím) - 250ml - 40</v>
      </c>
      <c r="E1719" s="87" t="str">
        <f>IFERROR(__xludf.DUMMYFUNCTION("""COMPUTED_VALUE"""),"GENOL 1.2SL")</f>
        <v>GENOL 1.2SL</v>
      </c>
      <c r="F1719" s="87" t="str">
        <f>IFERROR(__xludf.DUMMYFUNCTION("""COMPUTED_VALUE"""),"HH1187")</f>
        <v>HH1187</v>
      </c>
      <c r="G1719" s="87" t="str">
        <f>IFERROR(__xludf.DUMMYFUNCTION("""COMPUTED_VALUE"""),"GC - IV - 1187 - Kim Ngọc - Panacea (nước tím) - 250ml - 40")</f>
        <v>GC - IV - 1187 - Kim Ngọc - Panacea (nước tím) - 250ml - 40</v>
      </c>
    </row>
    <row r="1720">
      <c r="A1720" s="86">
        <f>IFERROR(__xludf.DUMMYFUNCTION("""COMPUTED_VALUE"""),1718.0)</f>
        <v>1718</v>
      </c>
      <c r="B1720" s="87" t="str">
        <f>IFERROR(__xludf.DUMMYFUNCTION("""COMPUTED_VALUE"""),"Nhãn")</f>
        <v>Nhãn</v>
      </c>
      <c r="C1720" s="87" t="str">
        <f>IFERROR(__xludf.DUMMYFUNCTION("""COMPUTED_VALUE"""),"NTN1188")</f>
        <v>NTN1188</v>
      </c>
      <c r="D1720" s="87" t="str">
        <f>IFERROR(__xludf.DUMMYFUNCTION("""COMPUTED_VALUE"""),"[Nhãn] GC - IV - 1188 - Kim Ngọc - Sạch sâu (dạng cốm màu trắng ngà) - 10gr -1000")</f>
        <v>[Nhãn] GC - IV - 1188 - Kim Ngọc - Sạch sâu (dạng cốm màu trắng ngà) - 10gr -1000</v>
      </c>
      <c r="E1720" s="87" t="str">
        <f>IFERROR(__xludf.DUMMYFUNCTION("""COMPUTED_VALUE"""),"Sherdoba 55WG")</f>
        <v>Sherdoba 55WG</v>
      </c>
      <c r="F1720" s="87" t="str">
        <f>IFERROR(__xludf.DUMMYFUNCTION("""COMPUTED_VALUE"""),"HH1188")</f>
        <v>HH1188</v>
      </c>
      <c r="G1720" s="87" t="str">
        <f>IFERROR(__xludf.DUMMYFUNCTION("""COMPUTED_VALUE"""),"GC - IV - 1188 - Kim Ngọc - Sạch sâu (dạng cốm màu trắng ngà) - 10gr -1000")</f>
        <v>GC - IV - 1188 - Kim Ngọc - Sạch sâu (dạng cốm màu trắng ngà) - 10gr -1000</v>
      </c>
    </row>
    <row r="1721">
      <c r="A1721" s="86">
        <f>IFERROR(__xludf.DUMMYFUNCTION("""COMPUTED_VALUE"""),1719.0)</f>
        <v>1719</v>
      </c>
      <c r="B1721" s="87" t="str">
        <f>IFERROR(__xludf.DUMMYFUNCTION("""COMPUTED_VALUE"""),"Nhãn thùng")</f>
        <v>Nhãn thùng</v>
      </c>
      <c r="C1721" s="87" t="str">
        <f>IFERROR(__xludf.DUMMYFUNCTION("""COMPUTED_VALUE"""),"NDT1188")</f>
        <v>NDT1188</v>
      </c>
      <c r="D1721" s="87" t="str">
        <f>IFERROR(__xludf.DUMMYFUNCTION("""COMPUTED_VALUE"""),"[Nhãn thùng] GC - IV - 1188 - Kim Ngọc - Sạch sâu (dạng cốm màu trắng ngà) - 10gr -1000")</f>
        <v>[Nhãn thùng] GC - IV - 1188 - Kim Ngọc - Sạch sâu (dạng cốm màu trắng ngà) - 10gr -1000</v>
      </c>
      <c r="E1721" s="87" t="str">
        <f>IFERROR(__xludf.DUMMYFUNCTION("""COMPUTED_VALUE"""),"Sherdoba 55WG")</f>
        <v>Sherdoba 55WG</v>
      </c>
      <c r="F1721" s="87" t="str">
        <f>IFERROR(__xludf.DUMMYFUNCTION("""COMPUTED_VALUE"""),"HH1188")</f>
        <v>HH1188</v>
      </c>
      <c r="G1721" s="87" t="str">
        <f>IFERROR(__xludf.DUMMYFUNCTION("""COMPUTED_VALUE"""),"GC - IV - 1188 - Kim Ngọc - Sạch sâu (dạng cốm màu trắng ngà) - 10gr -1000")</f>
        <v>GC - IV - 1188 - Kim Ngọc - Sạch sâu (dạng cốm màu trắng ngà) - 10gr -1000</v>
      </c>
    </row>
    <row r="1722">
      <c r="A1722" s="86">
        <f>IFERROR(__xludf.DUMMYFUNCTION("""COMPUTED_VALUE"""),1720.0)</f>
        <v>1720</v>
      </c>
      <c r="B1722" s="87" t="str">
        <f>IFERROR(__xludf.DUMMYFUNCTION("""COMPUTED_VALUE"""),"Nhãn")</f>
        <v>Nhãn</v>
      </c>
      <c r="C1722" s="87" t="str">
        <f>IFERROR(__xludf.DUMMYFUNCTION("""COMPUTED_VALUE"""),"NHD1189")</f>
        <v>NHD1189</v>
      </c>
      <c r="D1722" s="87" t="str">
        <f>IFERROR(__xludf.DUMMYFUNCTION("""COMPUTED_VALUE"""),"[Nhãn]  GC - IV - 1189 - Thiên Di - Ema 21 Gold (nước vàng trà) - 450ml - 40")</f>
        <v>[Nhãn]  GC - IV - 1189 - Thiên Di - Ema 21 Gold (nước vàng trà) - 450ml - 40</v>
      </c>
      <c r="E1722" s="87" t="str">
        <f>IFERROR(__xludf.DUMMYFUNCTION("""COMPUTED_VALUE"""),"Creek 2.1EC")</f>
        <v>Creek 2.1EC</v>
      </c>
      <c r="F1722" s="87" t="str">
        <f>IFERROR(__xludf.DUMMYFUNCTION("""COMPUTED_VALUE"""),"HH1189")</f>
        <v>HH1189</v>
      </c>
      <c r="G1722" s="87" t="str">
        <f>IFERROR(__xludf.DUMMYFUNCTION("""COMPUTED_VALUE"""),"GC - IV - 1189 - Thiên Di - Ema 21 Gold (nước vàng trà) - 450ml - 40")</f>
        <v>GC - IV - 1189 - Thiên Di - Ema 21 Gold (nước vàng trà) - 450ml - 40</v>
      </c>
    </row>
    <row r="1723">
      <c r="A1723" s="86">
        <f>IFERROR(__xludf.DUMMYFUNCTION("""COMPUTED_VALUE"""),1721.0)</f>
        <v>1721</v>
      </c>
      <c r="B1723" s="87" t="str">
        <f>IFERROR(__xludf.DUMMYFUNCTION("""COMPUTED_VALUE"""),"Nhãn")</f>
        <v>Nhãn</v>
      </c>
      <c r="C1723" s="87" t="str">
        <f>IFERROR(__xludf.DUMMYFUNCTION("""COMPUTED_VALUE"""),"NHD1190")</f>
        <v>NHD1190</v>
      </c>
      <c r="D1723" s="87" t="str">
        <f>IFERROR(__xludf.DUMMYFUNCTION("""COMPUTED_VALUE"""),"[Nhãn] GC - II - 1190 - AGC - Diệt cỏ cháy sạch (nước xanh lá) - 900ml - 20")</f>
        <v>[Nhãn] GC - II - 1190 - AGC - Diệt cỏ cháy sạch (nước xanh lá) - 900ml - 20</v>
      </c>
      <c r="E1723" s="87" t="str">
        <f>IFERROR(__xludf.DUMMYFUNCTION("""COMPUTED_VALUE"""),"NEWFOSINATE 150SL")</f>
        <v>NEWFOSINATE 150SL</v>
      </c>
      <c r="F1723" s="87" t="str">
        <f>IFERROR(__xludf.DUMMYFUNCTION("""COMPUTED_VALUE"""),"HH1190")</f>
        <v>HH1190</v>
      </c>
      <c r="G1723" s="87" t="str">
        <f>IFERROR(__xludf.DUMMYFUNCTION("""COMPUTED_VALUE"""),"GC - II - 1190 - AGC - Diệt cỏ cháy sạch (nước xanh lá) - 900ml - 20")</f>
        <v>GC - II - 1190 - AGC - Diệt cỏ cháy sạch (nước xanh lá) - 900ml - 20</v>
      </c>
    </row>
    <row r="1724">
      <c r="A1724" s="86">
        <f>IFERROR(__xludf.DUMMYFUNCTION("""COMPUTED_VALUE"""),1722.0)</f>
        <v>1722</v>
      </c>
      <c r="B1724" s="87" t="str">
        <f>IFERROR(__xludf.DUMMYFUNCTION("""COMPUTED_VALUE"""),"Nhãn")</f>
        <v>Nhãn</v>
      </c>
      <c r="C1724" s="87" t="str">
        <f>IFERROR(__xludf.DUMMYFUNCTION("""COMPUTED_VALUE"""),"NHG1191")</f>
        <v>NHG1191</v>
      </c>
      <c r="D1724" s="87" t="str">
        <f>IFERROR(__xludf.DUMMYFUNCTION("""COMPUTED_VALUE"""),"[Nhãn] LOT AGC - II - 1191 - AGC - Cỏ Lưu Dẫn - 900ml - 20")</f>
        <v>[Nhãn] LOT AGC - II - 1191 - AGC - Cỏ Lưu Dẫn - 900ml - 20</v>
      </c>
      <c r="E1724" s="87" t="str">
        <f>IFERROR(__xludf.DUMMYFUNCTION("""COMPUTED_VALUE"""),"NEWFOSINATE 150SL")</f>
        <v>NEWFOSINATE 150SL</v>
      </c>
      <c r="F1724" s="87" t="str">
        <f>IFERROR(__xludf.DUMMYFUNCTION("""COMPUTED_VALUE"""),"HH1191")</f>
        <v>HH1191</v>
      </c>
      <c r="G1724" s="87" t="str">
        <f>IFERROR(__xludf.DUMMYFUNCTION("""COMPUTED_VALUE"""),"LOT AGC - II - 1191 - AGC - Cỏ Lưu Dẫn - 900ml - 20")</f>
        <v>LOT AGC - II - 1191 - AGC - Cỏ Lưu Dẫn - 900ml - 20</v>
      </c>
    </row>
    <row r="1725">
      <c r="A1725" s="86">
        <f>IFERROR(__xludf.DUMMYFUNCTION("""COMPUTED_VALUE"""),1723.0)</f>
        <v>1723</v>
      </c>
      <c r="B1725" s="87" t="str">
        <f>IFERROR(__xludf.DUMMYFUNCTION("""COMPUTED_VALUE"""),"Nhãn")</f>
        <v>Nhãn</v>
      </c>
      <c r="C1725" s="87" t="str">
        <f>IFERROR(__xludf.DUMMYFUNCTION("""COMPUTED_VALUE"""),"NHG1192")</f>
        <v>NHG1192</v>
      </c>
      <c r="D1725" s="87" t="str">
        <f>IFERROR(__xludf.DUMMYFUNCTION("""COMPUTED_VALUE"""),"[Nhãn]  IDA Global - I - 1192 - IDA Genol 1.2SL (nước đỏ) - 480ml - 40")</f>
        <v>[Nhãn]  IDA Global - I - 1192 - IDA Genol 1.2SL (nước đỏ) - 480ml - 40</v>
      </c>
      <c r="E1725" s="87" t="str">
        <f>IFERROR(__xludf.DUMMYFUNCTION("""COMPUTED_VALUE"""),"GENOL 1.2SL")</f>
        <v>GENOL 1.2SL</v>
      </c>
      <c r="F1725" s="87" t="str">
        <f>IFERROR(__xludf.DUMMYFUNCTION("""COMPUTED_VALUE"""),"HH1192")</f>
        <v>HH1192</v>
      </c>
      <c r="G1725" s="87" t="str">
        <f>IFERROR(__xludf.DUMMYFUNCTION("""COMPUTED_VALUE"""),"IDA Global - I - 1192 - IDA Genol 1.2SL (nước đỏ) - 480ml - 40")</f>
        <v>IDA Global - I - 1192 - IDA Genol 1.2SL (nước đỏ) - 480ml - 40</v>
      </c>
    </row>
    <row r="1726">
      <c r="A1726" s="86">
        <f>IFERROR(__xludf.DUMMYFUNCTION("""COMPUTED_VALUE"""),1724.0)</f>
        <v>1724</v>
      </c>
      <c r="B1726" s="87" t="str">
        <f>IFERROR(__xludf.DUMMYFUNCTION("""COMPUTED_VALUE"""),"Nhãn")</f>
        <v>Nhãn</v>
      </c>
      <c r="C1726" s="87" t="str">
        <f>IFERROR(__xludf.DUMMYFUNCTION("""COMPUTED_VALUE"""),"NHD1193")</f>
        <v>NHD1193</v>
      </c>
      <c r="D1726" s="87" t="str">
        <f>IFERROR(__xludf.DUMMYFUNCTION("""COMPUTED_VALUE"""),"[Nhãn] GC - IV - 1193 - Sen Hồng - Siêu Cháy Cỏ - 900ml - 20")</f>
        <v>[Nhãn] GC - IV - 1193 - Sen Hồng - Siêu Cháy Cỏ - 900ml - 20</v>
      </c>
      <c r="E1726" s="87" t="str">
        <f>IFERROR(__xludf.DUMMYFUNCTION("""COMPUTED_VALUE"""),"NEWFOSINATE 150SL")</f>
        <v>NEWFOSINATE 150SL</v>
      </c>
      <c r="F1726" s="87" t="str">
        <f>IFERROR(__xludf.DUMMYFUNCTION("""COMPUTED_VALUE"""),"HH1193")</f>
        <v>HH1193</v>
      </c>
      <c r="G1726" s="87" t="str">
        <f>IFERROR(__xludf.DUMMYFUNCTION("""COMPUTED_VALUE"""),"GC - IV - 1193 - Sen Hồng - Siêu Cháy Cỏ - 900ml - 20")</f>
        <v>GC - IV - 1193 - Sen Hồng - Siêu Cháy Cỏ - 900ml - 20</v>
      </c>
    </row>
    <row r="1727">
      <c r="A1727" s="86">
        <f>IFERROR(__xludf.DUMMYFUNCTION("""COMPUTED_VALUE"""),1725.0)</f>
        <v>1725</v>
      </c>
      <c r="B1727" s="87" t="str">
        <f>IFERROR(__xludf.DUMMYFUNCTION("""COMPUTED_VALUE"""),"Nhãn")</f>
        <v>Nhãn</v>
      </c>
      <c r="C1727" s="87" t="str">
        <f>IFERROR(__xludf.DUMMYFUNCTION("""COMPUTED_VALUE"""),"NHD1193")</f>
        <v>NHD1193</v>
      </c>
      <c r="D1727" s="87" t="str">
        <f>IFERROR(__xludf.DUMMYFUNCTION("""COMPUTED_VALUE"""),"[Nhãn] GC - IV - 1193 - Sen Hồng - Siêu Cháy Cỏ - 900ml - 20")</f>
        <v>[Nhãn] GC - IV - 1193 - Sen Hồng - Siêu Cháy Cỏ - 900ml - 20</v>
      </c>
      <c r="E1727" s="87" t="str">
        <f>IFERROR(__xludf.DUMMYFUNCTION("""COMPUTED_VALUE"""),"NEWFOSINATE 150SL")</f>
        <v>NEWFOSINATE 150SL</v>
      </c>
      <c r="F1727" s="87" t="str">
        <f>IFERROR(__xludf.DUMMYFUNCTION("""COMPUTED_VALUE"""),"HH1193")</f>
        <v>HH1193</v>
      </c>
      <c r="G1727" s="87" t="str">
        <f>IFERROR(__xludf.DUMMYFUNCTION("""COMPUTED_VALUE"""),"GC - IV - 1193 - Sen Hồng - Siêu Cháy Cỏ - 900ml - 20")</f>
        <v>GC - IV - 1193 - Sen Hồng - Siêu Cháy Cỏ - 900ml - 20</v>
      </c>
    </row>
    <row r="1728">
      <c r="A1728" s="86">
        <f>IFERROR(__xludf.DUMMYFUNCTION("""COMPUTED_VALUE"""),1726.0)</f>
        <v>1726</v>
      </c>
      <c r="B1728" s="87" t="str">
        <f>IFERROR(__xludf.DUMMYFUNCTION("""COMPUTED_VALUE"""),"Nhãn")</f>
        <v>Nhãn</v>
      </c>
      <c r="C1728" s="87" t="str">
        <f>IFERROR(__xludf.DUMMYFUNCTION("""COMPUTED_VALUE"""),"NHG1194")</f>
        <v>NHG1194</v>
      </c>
      <c r="D1728" s="87" t="str">
        <f>IFERROR(__xludf.DUMMYFUNCTION("""COMPUTED_VALUE"""),"[Nhãn] LOT IDA Global - I - 1194 - CTY BIG FARM USA - Picosuper 280SC (nước trắng sữa) - 250ml - 40")</f>
        <v>[Nhãn] LOT IDA Global - I - 1194 - CTY BIG FARM USA - Picosuper 280SC (nước trắng sữa) - 250ml - 40</v>
      </c>
      <c r="E1728" s="87" t="str">
        <f>IFERROR(__xludf.DUMMYFUNCTION("""COMPUTED_VALUE"""),"PICOSUPER 280SC")</f>
        <v>PICOSUPER 280SC</v>
      </c>
      <c r="F1728" s="87" t="str">
        <f>IFERROR(__xludf.DUMMYFUNCTION("""COMPUTED_VALUE"""),"HH1194")</f>
        <v>HH1194</v>
      </c>
      <c r="G1728" s="87" t="str">
        <f>IFERROR(__xludf.DUMMYFUNCTION("""COMPUTED_VALUE"""),"LOT IDA Global - I - 1194 - CTY BIG FARM USA - Picosuper 280SC (nước trắng sữa) - 250ml - 40")</f>
        <v>LOT IDA Global - I - 1194 - CTY BIG FARM USA - Picosuper 280SC (nước trắng sữa) - 250ml - 40</v>
      </c>
    </row>
    <row r="1729">
      <c r="A1729" s="86">
        <f>IFERROR(__xludf.DUMMYFUNCTION("""COMPUTED_VALUE"""),1727.0)</f>
        <v>1727</v>
      </c>
      <c r="B1729" s="87" t="str">
        <f>IFERROR(__xludf.DUMMYFUNCTION("""COMPUTED_VALUE"""),"Nhãn")</f>
        <v>Nhãn</v>
      </c>
      <c r="C1729" s="87" t="str">
        <f>IFERROR(__xludf.DUMMYFUNCTION("""COMPUTED_VALUE"""),"NHD1195")</f>
        <v>NHD1195</v>
      </c>
      <c r="D1729" s="87" t="str">
        <f>IFERROR(__xludf.DUMMYFUNCTION("""COMPUTED_VALUE"""),"[Nhãn] GC - II - 1195 - AGC - Cỏ Lưu Dẫn - 4.5L - 4")</f>
        <v>[Nhãn] GC - II - 1195 - AGC - Cỏ Lưu Dẫn - 4.5L - 4</v>
      </c>
      <c r="E1729" s="87" t="str">
        <f>IFERROR(__xludf.DUMMYFUNCTION("""COMPUTED_VALUE"""),"NEWFOSINATE 150SL")</f>
        <v>NEWFOSINATE 150SL</v>
      </c>
      <c r="F1729" s="87" t="str">
        <f>IFERROR(__xludf.DUMMYFUNCTION("""COMPUTED_VALUE"""),"HH1195")</f>
        <v>HH1195</v>
      </c>
      <c r="G1729" s="87" t="str">
        <f>IFERROR(__xludf.DUMMYFUNCTION("""COMPUTED_VALUE"""),"GC - II - 1195 - AGC - Cỏ Lưu Dẫn - 4.5L - 4")</f>
        <v>GC - II - 1195 - AGC - Cỏ Lưu Dẫn - 4.5L - 4</v>
      </c>
    </row>
    <row r="1730">
      <c r="A1730" s="86">
        <f>IFERROR(__xludf.DUMMYFUNCTION("""COMPUTED_VALUE"""),1728.0)</f>
        <v>1728</v>
      </c>
      <c r="B1730" s="87" t="str">
        <f>IFERROR(__xludf.DUMMYFUNCTION("""COMPUTED_VALUE"""),"Nhãn")</f>
        <v>Nhãn</v>
      </c>
      <c r="C1730" s="87" t="str">
        <f>IFERROR(__xludf.DUMMYFUNCTION("""COMPUTED_VALUE"""),"NHG1196")</f>
        <v>NHG1196</v>
      </c>
      <c r="D1730" s="87" t="str">
        <f>IFERROR(__xludf.DUMMYFUNCTION("""COMPUTED_VALUE"""),"[Nhãn] GC - II - 1196 - Anh Ngà - Hoả Long - 900ml - 20")</f>
        <v>[Nhãn] GC - II - 1196 - Anh Ngà - Hoả Long - 900ml - 20</v>
      </c>
      <c r="E1730" s="87" t="str">
        <f>IFERROR(__xludf.DUMMYFUNCTION("""COMPUTED_VALUE"""),"NEWFOSINATE 150SL")</f>
        <v>NEWFOSINATE 150SL</v>
      </c>
      <c r="F1730" s="87" t="str">
        <f>IFERROR(__xludf.DUMMYFUNCTION("""COMPUTED_VALUE"""),"HH1196")</f>
        <v>HH1196</v>
      </c>
      <c r="G1730" s="87" t="str">
        <f>IFERROR(__xludf.DUMMYFUNCTION("""COMPUTED_VALUE"""),"GC - II - 1196 - Anh Ngà - Hoả Long - 900ml - 20")</f>
        <v>GC - II - 1196 - Anh Ngà - Hoả Long - 900ml - 20</v>
      </c>
    </row>
    <row r="1731">
      <c r="A1731" s="86">
        <f>IFERROR(__xludf.DUMMYFUNCTION("""COMPUTED_VALUE"""),1729.0)</f>
        <v>1729</v>
      </c>
      <c r="B1731" s="87" t="str">
        <f>IFERROR(__xludf.DUMMYFUNCTION("""COMPUTED_VALUE"""),"Nhãn")</f>
        <v>Nhãn</v>
      </c>
      <c r="C1731" s="87" t="str">
        <f>IFERROR(__xludf.DUMMYFUNCTION("""COMPUTED_VALUE"""),"NTN1197")</f>
        <v>NTN1197</v>
      </c>
      <c r="D1731" s="87" t="str">
        <f>IFERROR(__xludf.DUMMYFUNCTION("""COMPUTED_VALUE"""),"[Nhãn] GC - II - 1197 - Anh Ngà - Imipro (bột trắng) - 100gr - 100")</f>
        <v>[Nhãn] GC - II - 1197 - Anh Ngà - Imipro (bột trắng) - 100gr - 100</v>
      </c>
      <c r="E1731" s="87" t="str">
        <f>IFERROR(__xludf.DUMMYFUNCTION("""COMPUTED_VALUE"""),"IMIPRID 10WP")</f>
        <v>IMIPRID 10WP</v>
      </c>
      <c r="F1731" s="87" t="str">
        <f>IFERROR(__xludf.DUMMYFUNCTION("""COMPUTED_VALUE"""),"HH1197")</f>
        <v>HH1197</v>
      </c>
      <c r="G1731" s="87" t="str">
        <f>IFERROR(__xludf.DUMMYFUNCTION("""COMPUTED_VALUE"""),"GC - II - 1197 - Anh Ngà - Imipro (bột trắng) - 100gr - 100")</f>
        <v>GC - II - 1197 - Anh Ngà - Imipro (bột trắng) - 100gr - 100</v>
      </c>
    </row>
    <row r="1732">
      <c r="A1732" s="86">
        <f>IFERROR(__xludf.DUMMYFUNCTION("""COMPUTED_VALUE"""),1730.0)</f>
        <v>1730</v>
      </c>
      <c r="B1732" s="87" t="str">
        <f>IFERROR(__xludf.DUMMYFUNCTION("""COMPUTED_VALUE"""),"Nhãn")</f>
        <v>Nhãn</v>
      </c>
      <c r="C1732" s="87" t="str">
        <f>IFERROR(__xludf.DUMMYFUNCTION("""COMPUTED_VALUE"""),"NHD1199")</f>
        <v>NHD1199</v>
      </c>
      <c r="D1732" s="87" t="str">
        <f>IFERROR(__xludf.DUMMYFUNCTION("""COMPUTED_VALUE"""),"[Nhãn] GC - II - 1199 - Anh Ngà - Hỏa Long - 4.5L - 4")</f>
        <v>[Nhãn] GC - II - 1199 - Anh Ngà - Hỏa Long - 4.5L - 4</v>
      </c>
      <c r="E1732" s="87" t="str">
        <f>IFERROR(__xludf.DUMMYFUNCTION("""COMPUTED_VALUE"""),"NEWFOSINATE 150SL")</f>
        <v>NEWFOSINATE 150SL</v>
      </c>
      <c r="F1732" s="87" t="str">
        <f>IFERROR(__xludf.DUMMYFUNCTION("""COMPUTED_VALUE"""),"HH1199")</f>
        <v>HH1199</v>
      </c>
      <c r="G1732" s="87" t="str">
        <f>IFERROR(__xludf.DUMMYFUNCTION("""COMPUTED_VALUE"""),"GC - II - 1199 - Anh Ngà - Hỏa Long - 4.5L - 4")</f>
        <v>GC - II - 1199 - Anh Ngà - Hỏa Long - 4.5L - 4</v>
      </c>
    </row>
    <row r="1733">
      <c r="A1733" s="86">
        <f>IFERROR(__xludf.DUMMYFUNCTION("""COMPUTED_VALUE"""),1731.0)</f>
        <v>1731</v>
      </c>
      <c r="B1733" s="87" t="str">
        <f>IFERROR(__xludf.DUMMYFUNCTION("""COMPUTED_VALUE"""),"Nhãn")</f>
        <v>Nhãn</v>
      </c>
      <c r="C1733" s="87" t="str">
        <f>IFERROR(__xludf.DUMMYFUNCTION("""COMPUTED_VALUE"""),"NTN1200")</f>
        <v>NTN1200</v>
      </c>
      <c r="D1733" s="87" t="str">
        <f>IFERROR(__xludf.DUMMYFUNCTION("""COMPUTED_VALUE"""),"[Nhãn] GC - II - 1200 - Anh Ngà - Bupro (bột trắng) - 100gr - 100")</f>
        <v>[Nhãn] GC - II - 1200 - Anh Ngà - Bupro (bột trắng) - 100gr - 100</v>
      </c>
      <c r="E1733" s="87" t="str">
        <f>IFERROR(__xludf.DUMMYFUNCTION("""COMPUTED_VALUE"""),"IMIPRID 10WP")</f>
        <v>IMIPRID 10WP</v>
      </c>
      <c r="F1733" s="87" t="str">
        <f>IFERROR(__xludf.DUMMYFUNCTION("""COMPUTED_VALUE"""),"HH1200")</f>
        <v>HH1200</v>
      </c>
      <c r="G1733" s="87" t="str">
        <f>IFERROR(__xludf.DUMMYFUNCTION("""COMPUTED_VALUE"""),"GC - II - 1200 - Anh Ngà - Bupro (bột trắng) - 100gr - 100")</f>
        <v>GC - II - 1200 - Anh Ngà - Bupro (bột trắng) - 100gr - 100</v>
      </c>
    </row>
    <row r="1734">
      <c r="A1734" s="86">
        <f>IFERROR(__xludf.DUMMYFUNCTION("""COMPUTED_VALUE"""),1732.0)</f>
        <v>1732</v>
      </c>
      <c r="B1734" s="87" t="str">
        <f>IFERROR(__xludf.DUMMYFUNCTION("""COMPUTED_VALUE"""),"Nhãn")</f>
        <v>Nhãn</v>
      </c>
      <c r="C1734" s="87" t="str">
        <f>IFERROR(__xludf.DUMMYFUNCTION("""COMPUTED_VALUE"""),"NHG1201")</f>
        <v>NHG1201</v>
      </c>
      <c r="D1734" s="87" t="str">
        <f>IFERROR(__xludf.DUMMYFUNCTION("""COMPUTED_VALUE"""),"[Nhãn] LOT IDA Global - I - 1201 - Đức Minh KG - Báo Đen (nước nâu đen) - 450ml - 40")</f>
        <v>[Nhãn] LOT IDA Global - I - 1201 - Đức Minh KG - Báo Đen (nước nâu đen) - 450ml - 40</v>
      </c>
      <c r="E1734" s="87" t="str">
        <f>IFERROR(__xludf.DUMMYFUNCTION("""COMPUTED_VALUE"""),"HAIHAMEC 3.6EC")</f>
        <v>HAIHAMEC 3.6EC</v>
      </c>
      <c r="F1734" s="87" t="str">
        <f>IFERROR(__xludf.DUMMYFUNCTION("""COMPUTED_VALUE"""),"HH1201")</f>
        <v>HH1201</v>
      </c>
      <c r="G1734" s="87" t="str">
        <f>IFERROR(__xludf.DUMMYFUNCTION("""COMPUTED_VALUE"""),"LOT IDA Global - I - 1201 - Đức Minh KG - Báo Đen (nước nâu đen) - 450ml - 40")</f>
        <v>LOT IDA Global - I - 1201 - Đức Minh KG - Báo Đen (nước nâu đen) - 450ml - 40</v>
      </c>
    </row>
    <row r="1735">
      <c r="A1735" s="86">
        <f>IFERROR(__xludf.DUMMYFUNCTION("""COMPUTED_VALUE"""),1733.0)</f>
        <v>1733</v>
      </c>
      <c r="B1735" s="87" t="str">
        <f>IFERROR(__xludf.DUMMYFUNCTION("""COMPUTED_VALUE"""),"Nhãn")</f>
        <v>Nhãn</v>
      </c>
      <c r="C1735" s="87" t="str">
        <f>IFERROR(__xludf.DUMMYFUNCTION("""COMPUTED_VALUE"""),"NTN1203")</f>
        <v>NTN1203</v>
      </c>
      <c r="D1735" s="87" t="str">
        <f>IFERROR(__xludf.DUMMYFUNCTION("""COMPUTED_VALUE"""),"[Nhãn] GC - IV - 1203 - Agriplant - Siêu ra hoa cây có múi - 600gr - 40")</f>
        <v>[Nhãn] GC - IV - 1203 - Agriplant - Siêu ra hoa cây có múi - 600gr - 40</v>
      </c>
      <c r="E1735" s="87" t="str">
        <f>IFERROR(__xludf.DUMMYFUNCTION("""COMPUTED_VALUE"""),"Vi lượng AV4-BO633")</f>
        <v>Vi lượng AV4-BO633</v>
      </c>
      <c r="F1735" s="87" t="str">
        <f>IFERROR(__xludf.DUMMYFUNCTION("""COMPUTED_VALUE"""),"HH1203")</f>
        <v>HH1203</v>
      </c>
      <c r="G1735" s="87" t="str">
        <f>IFERROR(__xludf.DUMMYFUNCTION("""COMPUTED_VALUE"""),"GC - IV - 1203 - Agriplant - Siêu ra hoa cây có múi - 600gr - 40")</f>
        <v>GC - IV - 1203 - Agriplant - Siêu ra hoa cây có múi - 600gr - 40</v>
      </c>
    </row>
    <row r="1736">
      <c r="A1736" s="86">
        <f>IFERROR(__xludf.DUMMYFUNCTION("""COMPUTED_VALUE"""),1734.0)</f>
        <v>1734</v>
      </c>
      <c r="B1736" s="87" t="str">
        <f>IFERROR(__xludf.DUMMYFUNCTION("""COMPUTED_VALUE"""),"Nhãn")</f>
        <v>Nhãn</v>
      </c>
      <c r="C1736" s="87" t="str">
        <f>IFERROR(__xludf.DUMMYFUNCTION("""COMPUTED_VALUE"""),"NHG1205")</f>
        <v>NHG1205</v>
      </c>
      <c r="D1736" s="87" t="str">
        <f>IFERROR(__xludf.DUMMYFUNCTION("""COMPUTED_VALUE"""),"[Nhãn] LOT AGC - II - 1205 - Triha Chemicals - Vua Diệt Rầy (nước tím) - 480ml - 40")</f>
        <v>[Nhãn] LOT AGC - II - 1205 - Triha Chemicals - Vua Diệt Rầy (nước tím) - 480ml - 40</v>
      </c>
      <c r="E1736" s="87" t="str">
        <f>IFERROR(__xludf.DUMMYFUNCTION("""COMPUTED_VALUE"""),"ABASBA 50EC")</f>
        <v>ABASBA 50EC</v>
      </c>
      <c r="F1736" s="87" t="str">
        <f>IFERROR(__xludf.DUMMYFUNCTION("""COMPUTED_VALUE"""),"HH1205")</f>
        <v>HH1205</v>
      </c>
      <c r="G1736" s="87" t="str">
        <f>IFERROR(__xludf.DUMMYFUNCTION("""COMPUTED_VALUE"""),"LOT AGC - II - 1205 - Triha Chemicals - Vua Diệt Rầy (nước tím) - 480ml - 40")</f>
        <v>LOT AGC - II - 1205 - Triha Chemicals - Vua Diệt Rầy (nước tím) - 480ml - 40</v>
      </c>
    </row>
    <row r="1737">
      <c r="A1737" s="86">
        <f>IFERROR(__xludf.DUMMYFUNCTION("""COMPUTED_VALUE"""),1735.0)</f>
        <v>1735</v>
      </c>
      <c r="B1737" s="87" t="str">
        <f>IFERROR(__xludf.DUMMYFUNCTION("""COMPUTED_VALUE"""),"Nhãn")</f>
        <v>Nhãn</v>
      </c>
      <c r="C1737" s="87" t="str">
        <f>IFERROR(__xludf.DUMMYFUNCTION("""COMPUTED_VALUE"""),"NHG1207")</f>
        <v>NHG1207</v>
      </c>
      <c r="D1737" s="87" t="str">
        <f>IFERROR(__xludf.DUMMYFUNCTION("""COMPUTED_VALUE"""),"[Nhãn] IDA Global - I - 1207 - Picosuper 280SC (nước trắng sữa) - 100ml - 100")</f>
        <v>[Nhãn] IDA Global - I - 1207 - Picosuper 280SC (nước trắng sữa) - 100ml - 100</v>
      </c>
      <c r="E1737" s="87"/>
      <c r="F1737" s="87"/>
      <c r="G1737" s="87"/>
    </row>
    <row r="1738">
      <c r="A1738" s="86">
        <f>IFERROR(__xludf.DUMMYFUNCTION("""COMPUTED_VALUE"""),1736.0)</f>
        <v>1736</v>
      </c>
      <c r="B1738" s="87" t="str">
        <f>IFERROR(__xludf.DUMMYFUNCTION("""COMPUTED_VALUE"""),"AGC")</f>
        <v>AGC</v>
      </c>
      <c r="C1738" s="87" t="str">
        <f>IFERROR(__xludf.DUMMYFUNCTION("""COMPUTED_VALUE"""),"1kg")</f>
        <v>1kg</v>
      </c>
      <c r="D1738" s="87" t="str">
        <f>IFERROR(__xludf.DUMMYFUNCTION("""COMPUTED_VALUE"""),"1")</f>
        <v>1</v>
      </c>
      <c r="E1738" s="87" t="str">
        <f>IFERROR(__xludf.DUMMYFUNCTION("""COMPUTED_VALUE"""),"Nhãn giấy")</f>
        <v>Nhãn giấy</v>
      </c>
      <c r="F1738" s="87" t="str">
        <f>IFERROR(__xludf.DUMMYFUNCTION("""COMPUTED_VALUE"""),"Cái")</f>
        <v>Cái</v>
      </c>
      <c r="G1738" s="87"/>
    </row>
    <row r="1739">
      <c r="A1739" s="86">
        <f>IFERROR(__xludf.DUMMYFUNCTION("""COMPUTED_VALUE"""),1737.0)</f>
        <v>1737</v>
      </c>
      <c r="B1739" s="87" t="str">
        <f>IFERROR(__xludf.DUMMYFUNCTION("""COMPUTED_VALUE"""),"Nhãn")</f>
        <v>Nhãn</v>
      </c>
      <c r="C1739" s="87" t="str">
        <f>IFERROR(__xludf.DUMMYFUNCTION("""COMPUTED_VALUE"""),"NHG1208")</f>
        <v>NHG1208</v>
      </c>
      <c r="D1739" s="87" t="str">
        <f>IFERROR(__xludf.DUMMYFUNCTION("""COMPUTED_VALUE"""),"[Nhãn] GC - IV - Agritech - 1208 - Thipro 550EC (nước tím) - 220ml - 40")</f>
        <v>[Nhãn] GC - IV - Agritech - 1208 - Thipro 550EC (nước tím) - 220ml - 40</v>
      </c>
      <c r="E1739" s="87" t="str">
        <f>IFERROR(__xludf.DUMMYFUNCTION("""COMPUTED_VALUE"""),"Thipro 550EC")</f>
        <v>Thipro 550EC</v>
      </c>
      <c r="F1739" s="87" t="str">
        <f>IFERROR(__xludf.DUMMYFUNCTION("""COMPUTED_VALUE"""),"HH1208")</f>
        <v>HH1208</v>
      </c>
      <c r="G1739" s="87" t="str">
        <f>IFERROR(__xludf.DUMMYFUNCTION("""COMPUTED_VALUE"""),"GC - IV - Agritech - 1208 - Thipro 550EC (nước tím) - 220ml - 40")</f>
        <v>GC - IV - Agritech - 1208 - Thipro 550EC (nước tím) - 220ml - 40</v>
      </c>
    </row>
    <row r="1740">
      <c r="A1740" s="86">
        <f>IFERROR(__xludf.DUMMYFUNCTION("""COMPUTED_VALUE"""),1738.0)</f>
        <v>1738</v>
      </c>
      <c r="B1740" s="87" t="str">
        <f>IFERROR(__xludf.DUMMYFUNCTION("""COMPUTED_VALUE"""),"Nhãn")</f>
        <v>Nhãn</v>
      </c>
      <c r="C1740" s="87" t="str">
        <f>IFERROR(__xludf.DUMMYFUNCTION("""COMPUTED_VALUE"""),"NHG1209")</f>
        <v>NHG1209</v>
      </c>
      <c r="D1740" s="87" t="str">
        <f>IFERROR(__xludf.DUMMYFUNCTION("""COMPUTED_VALUE"""),"[Nhãn] GC - IV - 1209 - Agritech - Diệt nấm khuẩn (nước tím) - 250ml - 40")</f>
        <v>[Nhãn] GC - IV - 1209 - Agritech - Diệt nấm khuẩn (nước tím) - 250ml - 40</v>
      </c>
      <c r="E1740" s="87" t="str">
        <f>IFERROR(__xludf.DUMMYFUNCTION("""COMPUTED_VALUE"""),"GENOL 1.2SL")</f>
        <v>GENOL 1.2SL</v>
      </c>
      <c r="F1740" s="87" t="str">
        <f>IFERROR(__xludf.DUMMYFUNCTION("""COMPUTED_VALUE"""),"HH1209")</f>
        <v>HH1209</v>
      </c>
      <c r="G1740" s="87" t="str">
        <f>IFERROR(__xludf.DUMMYFUNCTION("""COMPUTED_VALUE"""),"GC - IV - 1209 - Agritech - Diệt nấm khuẩn (nước tím) - 250ml - 40")</f>
        <v>GC - IV - 1209 - Agritech - Diệt nấm khuẩn (nước tím) - 250ml - 40</v>
      </c>
    </row>
    <row r="1741">
      <c r="A1741" s="86">
        <f>IFERROR(__xludf.DUMMYFUNCTION("""COMPUTED_VALUE"""),1739.0)</f>
        <v>1739</v>
      </c>
      <c r="B1741" s="87" t="str">
        <f>IFERROR(__xludf.DUMMYFUNCTION("""COMPUTED_VALUE"""),"Nhãn")</f>
        <v>Nhãn</v>
      </c>
      <c r="C1741" s="87" t="str">
        <f>IFERROR(__xludf.DUMMYFUNCTION("""COMPUTED_VALUE"""),"NHD1210")</f>
        <v>NHD1210</v>
      </c>
      <c r="D1741" s="87" t="str">
        <f>IFERROR(__xludf.DUMMYFUNCTION("""COMPUTED_VALUE"""),"[Nhãn] LOT IDA Global - I - 1210 - Nông Dược Đất Việt - Haihamec 3.6EC (nước nâu đen) - 450ml - 40")</f>
        <v>[Nhãn] LOT IDA Global - I - 1210 - Nông Dược Đất Việt - Haihamec 3.6EC (nước nâu đen) - 450ml - 40</v>
      </c>
      <c r="E1741" s="87" t="str">
        <f>IFERROR(__xludf.DUMMYFUNCTION("""COMPUTED_VALUE"""),"HAIHAMEC 3.6EC")</f>
        <v>HAIHAMEC 3.6EC</v>
      </c>
      <c r="F1741" s="87" t="str">
        <f>IFERROR(__xludf.DUMMYFUNCTION("""COMPUTED_VALUE"""),"HH1210")</f>
        <v>HH1210</v>
      </c>
      <c r="G1741" s="87" t="str">
        <f>IFERROR(__xludf.DUMMYFUNCTION("""COMPUTED_VALUE"""),"LOT IDA Global - I - 1210 - Nông Dược Đất Việt - Haihamec 3.6EC (nước nâu đen) - 450ml - 40")</f>
        <v>LOT IDA Global - I - 1210 - Nông Dược Đất Việt - Haihamec 3.6EC (nước nâu đen) - 450ml - 40</v>
      </c>
    </row>
    <row r="1742">
      <c r="A1742" s="86">
        <f>IFERROR(__xludf.DUMMYFUNCTION("""COMPUTED_VALUE"""),1740.0)</f>
        <v>1740</v>
      </c>
      <c r="B1742" s="87" t="str">
        <f>IFERROR(__xludf.DUMMYFUNCTION("""COMPUTED_VALUE"""),"Nhãn")</f>
        <v>Nhãn</v>
      </c>
      <c r="C1742" s="87" t="str">
        <f>IFERROR(__xludf.DUMMYFUNCTION("""COMPUTED_VALUE"""),"NHG1211")</f>
        <v>NHG1211</v>
      </c>
      <c r="D1742" s="87" t="str">
        <f>IFERROR(__xludf.DUMMYFUNCTION("""COMPUTED_VALUE"""),"[Nhãn] GC - IV - 1211 - Agritech - Thipro 550EC (nước tím) - 220ml - 40")</f>
        <v>[Nhãn] GC - IV - 1211 - Agritech - Thipro 550EC (nước tím) - 220ml - 40</v>
      </c>
      <c r="E1742" s="87" t="str">
        <f>IFERROR(__xludf.DUMMYFUNCTION("""COMPUTED_VALUE"""),"Thipro 550EC")</f>
        <v>Thipro 550EC</v>
      </c>
      <c r="F1742" s="87" t="str">
        <f>IFERROR(__xludf.DUMMYFUNCTION("""COMPUTED_VALUE"""),"HH1211")</f>
        <v>HH1211</v>
      </c>
      <c r="G1742" s="87" t="str">
        <f>IFERROR(__xludf.DUMMYFUNCTION("""COMPUTED_VALUE"""),"GC - IV - 1211 - Agritech - Thipro 550EC (nước tím) - 220ml - 40")</f>
        <v>GC - IV - 1211 - Agritech - Thipro 550EC (nước tím) - 220ml - 40</v>
      </c>
    </row>
    <row r="1743">
      <c r="A1743" s="86">
        <f>IFERROR(__xludf.DUMMYFUNCTION("""COMPUTED_VALUE"""),1741.0)</f>
        <v>1741</v>
      </c>
      <c r="B1743" s="87" t="str">
        <f>IFERROR(__xludf.DUMMYFUNCTION("""COMPUTED_VALUE"""),"Nhãn")</f>
        <v>Nhãn</v>
      </c>
      <c r="C1743" s="87" t="str">
        <f>IFERROR(__xludf.DUMMYFUNCTION("""COMPUTED_VALUE"""),"NHG1212")</f>
        <v>NHG1212</v>
      </c>
      <c r="D1743" s="87" t="str">
        <f>IFERROR(__xludf.DUMMYFUNCTION("""COMPUTED_VALUE"""),"[Nhãn]  GC - IV - 1212 - Thế Danh - Cá Heo - 900ml - 20")</f>
        <v>[Nhãn]  GC - IV - 1212 - Thế Danh - Cá Heo - 900ml - 20</v>
      </c>
      <c r="E1743" s="87" t="str">
        <f>IFERROR(__xludf.DUMMYFUNCTION("""COMPUTED_VALUE"""),"NEWFOSINATE 150SL")</f>
        <v>NEWFOSINATE 150SL</v>
      </c>
      <c r="F1743" s="87" t="str">
        <f>IFERROR(__xludf.DUMMYFUNCTION("""COMPUTED_VALUE"""),"HH1212")</f>
        <v>HH1212</v>
      </c>
      <c r="G1743" s="87" t="str">
        <f>IFERROR(__xludf.DUMMYFUNCTION("""COMPUTED_VALUE"""),"GC - IV - 1212 - Thế Danh - Cá Heo - 900ml - 20")</f>
        <v>GC - IV - 1212 - Thế Danh - Cá Heo - 900ml - 20</v>
      </c>
    </row>
    <row r="1744">
      <c r="A1744" s="86">
        <f>IFERROR(__xludf.DUMMYFUNCTION("""COMPUTED_VALUE"""),1742.0)</f>
        <v>1742</v>
      </c>
      <c r="B1744" s="87" t="str">
        <f>IFERROR(__xludf.DUMMYFUNCTION("""COMPUTED_VALUE"""),"Nhãn")</f>
        <v>Nhãn</v>
      </c>
      <c r="C1744" s="87" t="str">
        <f>IFERROR(__xludf.DUMMYFUNCTION("""COMPUTED_VALUE"""),"NHD1213")</f>
        <v>NHD1213</v>
      </c>
      <c r="D1744" s="87" t="str">
        <f>IFERROR(__xludf.DUMMYFUNCTION("""COMPUTED_VALUE"""),"[Nhãn] LOT AGC - II - 1213 - Ba Tiền - Siêu Lớn Trái (nước nâu đen) - 5L - 4")</f>
        <v>[Nhãn] LOT AGC - II - 1213 - Ba Tiền - Siêu Lớn Trái (nước nâu đen) - 5L - 4</v>
      </c>
      <c r="E1744" s="87" t="str">
        <f>IFERROR(__xludf.DUMMYFUNCTION("""COMPUTED_VALUE"""),"Vi lượng Quantity New")</f>
        <v>Vi lượng Quantity New</v>
      </c>
      <c r="F1744" s="87" t="str">
        <f>IFERROR(__xludf.DUMMYFUNCTION("""COMPUTED_VALUE"""),"HH1213")</f>
        <v>HH1213</v>
      </c>
      <c r="G1744" s="87" t="str">
        <f>IFERROR(__xludf.DUMMYFUNCTION("""COMPUTED_VALUE"""),"LOT AGC - II - 1213 - Ba Tiền - Siêu Lớn Trái (nước nâu đen) - 5L - 4")</f>
        <v>LOT AGC - II - 1213 - Ba Tiền - Siêu Lớn Trái (nước nâu đen) - 5L - 4</v>
      </c>
    </row>
    <row r="1745">
      <c r="A1745" s="86">
        <f>IFERROR(__xludf.DUMMYFUNCTION("""COMPUTED_VALUE"""),1743.0)</f>
        <v>1743</v>
      </c>
      <c r="B1745" s="87" t="str">
        <f>IFERROR(__xludf.DUMMYFUNCTION("""COMPUTED_VALUE"""),"Nhãn")</f>
        <v>Nhãn</v>
      </c>
      <c r="C1745" s="87" t="str">
        <f>IFERROR(__xludf.DUMMYFUNCTION("""COMPUTED_VALUE"""),"NHD1214")</f>
        <v>NHD1214</v>
      </c>
      <c r="D1745" s="87" t="str">
        <f>IFERROR(__xludf.DUMMYFUNCTION("""COMPUTED_VALUE"""),"[Nhãn] GC - IV - 1214  - Hóa Chất Sinh Học Xanh - Vua Oc (nước nâu đen) - 450ml - 40")</f>
        <v>[Nhãn] GC - IV - 1214  - Hóa Chất Sinh Học Xanh - Vua Oc (nước nâu đen) - 450ml - 40</v>
      </c>
      <c r="E1745" s="87" t="str">
        <f>IFERROR(__xludf.DUMMYFUNCTION("""COMPUTED_VALUE"""),"HAIHAMEC 3.6EC")</f>
        <v>HAIHAMEC 3.6EC</v>
      </c>
      <c r="F1745" s="87" t="str">
        <f>IFERROR(__xludf.DUMMYFUNCTION("""COMPUTED_VALUE"""),"HH1214")</f>
        <v>HH1214</v>
      </c>
      <c r="G1745" s="87" t="str">
        <f>IFERROR(__xludf.DUMMYFUNCTION("""COMPUTED_VALUE"""),"GC - IV - 1214  - Hóa Chất Sinh Học Xanh - Vua Oc (nước nâu đen) - 450ml - 40")</f>
        <v>GC - IV - 1214  - Hóa Chất Sinh Học Xanh - Vua Oc (nước nâu đen) - 450ml - 40</v>
      </c>
    </row>
    <row r="1746">
      <c r="A1746" s="86">
        <f>IFERROR(__xludf.DUMMYFUNCTION("""COMPUTED_VALUE"""),1744.0)</f>
        <v>1744</v>
      </c>
      <c r="B1746" s="87" t="str">
        <f>IFERROR(__xludf.DUMMYFUNCTION("""COMPUTED_VALUE"""),"Nhãn")</f>
        <v>Nhãn</v>
      </c>
      <c r="C1746" s="87" t="str">
        <f>IFERROR(__xludf.DUMMYFUNCTION("""COMPUTED_VALUE"""),"NHD1215")</f>
        <v>NHD1215</v>
      </c>
      <c r="D1746" s="87" t="str">
        <f>IFERROR(__xludf.DUMMYFUNCTION("""COMPUTED_VALUE"""),"[Nhãn] GC - IV - 1215  - An Phát - Nat Oc (nước nâu đen) - 450ml - 40")</f>
        <v>[Nhãn] GC - IV - 1215  - An Phát - Nat Oc (nước nâu đen) - 450ml - 40</v>
      </c>
      <c r="E1746" s="87" t="str">
        <f>IFERROR(__xludf.DUMMYFUNCTION("""COMPUTED_VALUE"""),"HAIHAMEC 3.6EC")</f>
        <v>HAIHAMEC 3.6EC</v>
      </c>
      <c r="F1746" s="87" t="str">
        <f>IFERROR(__xludf.DUMMYFUNCTION("""COMPUTED_VALUE"""),"HH1215")</f>
        <v>HH1215</v>
      </c>
      <c r="G1746" s="87" t="str">
        <f>IFERROR(__xludf.DUMMYFUNCTION("""COMPUTED_VALUE"""),"GC - IV - 1215  - An Phát - Nat Oc (nước nâu đen) - 450ml - 40")</f>
        <v>GC - IV - 1215  - An Phát - Nat Oc (nước nâu đen) - 450ml - 40</v>
      </c>
    </row>
    <row r="1747">
      <c r="A1747" s="86">
        <f>IFERROR(__xludf.DUMMYFUNCTION("""COMPUTED_VALUE"""),1745.0)</f>
        <v>1745</v>
      </c>
      <c r="B1747" s="87" t="str">
        <f>IFERROR(__xludf.DUMMYFUNCTION("""COMPUTED_VALUE"""),"Nhãn")</f>
        <v>Nhãn</v>
      </c>
      <c r="C1747" s="87" t="str">
        <f>IFERROR(__xludf.DUMMYFUNCTION("""COMPUTED_VALUE"""),"NHG1216")</f>
        <v>NHG1216</v>
      </c>
      <c r="D1747" s="87" t="str">
        <f>IFERROR(__xludf.DUMMYFUNCTION("""COMPUTED_VALUE"""),"[Nhãn] LOT IDA Global - I - 1216 - Hai Nhóm - Siêu Diệt Nấm Khuẩn (nước đỏ) - 480ml - 40")</f>
        <v>[Nhãn] LOT IDA Global - I - 1216 - Hai Nhóm - Siêu Diệt Nấm Khuẩn (nước đỏ) - 480ml - 40</v>
      </c>
      <c r="E1747" s="87" t="str">
        <f>IFERROR(__xludf.DUMMYFUNCTION("""COMPUTED_VALUE"""),"GENOL 1.2SL")</f>
        <v>GENOL 1.2SL</v>
      </c>
      <c r="F1747" s="87" t="str">
        <f>IFERROR(__xludf.DUMMYFUNCTION("""COMPUTED_VALUE"""),"HH1216")</f>
        <v>HH1216</v>
      </c>
      <c r="G1747" s="87" t="str">
        <f>IFERROR(__xludf.DUMMYFUNCTION("""COMPUTED_VALUE"""),"LOT IDA Global - I - 1216 - Hai Nhóm - Siêu Diệt Nấm Khuẩn (nước đỏ) - 480ml - 40")</f>
        <v>LOT IDA Global - I - 1216 - Hai Nhóm - Siêu Diệt Nấm Khuẩn (nước đỏ) - 480ml - 40</v>
      </c>
    </row>
    <row r="1748">
      <c r="A1748" s="86">
        <f>IFERROR(__xludf.DUMMYFUNCTION("""COMPUTED_VALUE"""),1746.0)</f>
        <v>1746</v>
      </c>
      <c r="B1748" s="87" t="str">
        <f>IFERROR(__xludf.DUMMYFUNCTION("""COMPUTED_VALUE"""),"Nhãn")</f>
        <v>Nhãn</v>
      </c>
      <c r="C1748" s="87" t="str">
        <f>IFERROR(__xludf.DUMMYFUNCTION("""COMPUTED_VALUE"""),"NHD1217")</f>
        <v>NHD1217</v>
      </c>
      <c r="D1748" s="87" t="str">
        <f>IFERROR(__xludf.DUMMYFUNCTION("""COMPUTED_VALUE"""),"[Nhãn] GC - IV - 1217 - Khả Lâm - Ema 21 Gold (nước vàng) - 900ml - 20")</f>
        <v>[Nhãn] GC - IV - 1217 - Khả Lâm - Ema 21 Gold (nước vàng) - 900ml - 20</v>
      </c>
      <c r="E1748" s="87" t="str">
        <f>IFERROR(__xludf.DUMMYFUNCTION("""COMPUTED_VALUE"""),"Creek 2.1EC")</f>
        <v>Creek 2.1EC</v>
      </c>
      <c r="F1748" s="87" t="str">
        <f>IFERROR(__xludf.DUMMYFUNCTION("""COMPUTED_VALUE"""),"HH1217")</f>
        <v>HH1217</v>
      </c>
      <c r="G1748" s="87" t="str">
        <f>IFERROR(__xludf.DUMMYFUNCTION("""COMPUTED_VALUE"""),"GC - IV - 1217 - Khả Lâm - Ema 21 Gold (nước vàng) - 900ml - 20")</f>
        <v>GC - IV - 1217 - Khả Lâm - Ema 21 Gold (nước vàng) - 900ml - 20</v>
      </c>
    </row>
    <row r="1749">
      <c r="A1749" s="86">
        <f>IFERROR(__xludf.DUMMYFUNCTION("""COMPUTED_VALUE"""),1747.0)</f>
        <v>1747</v>
      </c>
      <c r="B1749" s="87" t="str">
        <f>IFERROR(__xludf.DUMMYFUNCTION("""COMPUTED_VALUE"""),"Nhãn")</f>
        <v>Nhãn</v>
      </c>
      <c r="C1749" s="87" t="str">
        <f>IFERROR(__xludf.DUMMYFUNCTION("""COMPUTED_VALUE"""),"NHD1218")</f>
        <v>NHD1218</v>
      </c>
      <c r="D1749" s="87" t="str">
        <f>IFERROR(__xludf.DUMMYFUNCTION("""COMPUTED_VALUE"""),"[Nhãn] LOT IDA Global - I - 1218 - ĐL Phúc Nông - Thần Hổ (nước trong) - 100ml - 100")</f>
        <v>[Nhãn] LOT IDA Global - I - 1218 - ĐL Phúc Nông - Thần Hổ (nước trong) - 100ml - 100</v>
      </c>
      <c r="E1749" s="87" t="str">
        <f>IFERROR(__xludf.DUMMYFUNCTION("""COMPUTED_VALUE"""),"Creek 2.1EC")</f>
        <v>Creek 2.1EC</v>
      </c>
      <c r="F1749" s="87" t="str">
        <f>IFERROR(__xludf.DUMMYFUNCTION("""COMPUTED_VALUE"""),"HH1218")</f>
        <v>HH1218</v>
      </c>
      <c r="G1749" s="87" t="str">
        <f>IFERROR(__xludf.DUMMYFUNCTION("""COMPUTED_VALUE"""),"LOT IDA Global - I - 1218 - ĐL Phúc Nông - Thần Hổ (nước trong) - 100ml - 100")</f>
        <v>LOT IDA Global - I - 1218 - ĐL Phúc Nông - Thần Hổ (nước trong) - 100ml - 100</v>
      </c>
    </row>
    <row r="1750">
      <c r="A1750" s="86">
        <f>IFERROR(__xludf.DUMMYFUNCTION("""COMPUTED_VALUE"""),1748.0)</f>
        <v>1748</v>
      </c>
      <c r="B1750" s="87" t="str">
        <f>IFERROR(__xludf.DUMMYFUNCTION("""COMPUTED_VALUE"""),"Nhãn")</f>
        <v>Nhãn</v>
      </c>
      <c r="C1750" s="87" t="str">
        <f>IFERROR(__xludf.DUMMYFUNCTION("""COMPUTED_VALUE"""),"NHG1219")</f>
        <v>NHG1219</v>
      </c>
      <c r="D1750" s="87" t="str">
        <f>IFERROR(__xludf.DUMMYFUNCTION("""COMPUTED_VALUE"""),"[Nhãn] LOT IDA Global - I - 1219 - Delta Thụy Sĩ - Picosuper 280SC (nước trắng sữa) - 250ml - 40")</f>
        <v>[Nhãn] LOT IDA Global - I - 1219 - Delta Thụy Sĩ - Picosuper 280SC (nước trắng sữa) - 250ml - 40</v>
      </c>
      <c r="E1750" s="87" t="str">
        <f>IFERROR(__xludf.DUMMYFUNCTION("""COMPUTED_VALUE"""),"PICOSUPER 280SC")</f>
        <v>PICOSUPER 280SC</v>
      </c>
      <c r="F1750" s="87" t="str">
        <f>IFERROR(__xludf.DUMMYFUNCTION("""COMPUTED_VALUE"""),"HH1219")</f>
        <v>HH1219</v>
      </c>
      <c r="G1750" s="87" t="str">
        <f>IFERROR(__xludf.DUMMYFUNCTION("""COMPUTED_VALUE"""),"LOT IDA Global - I - 1219 - Delta Thụy Sĩ - Picosuper 280SC (nước trắng sữa) - 250ml - 40")</f>
        <v>LOT IDA Global - I - 1219 - Delta Thụy Sĩ - Picosuper 280SC (nước trắng sữa) - 250ml - 40</v>
      </c>
    </row>
    <row r="1751">
      <c r="A1751" s="86">
        <f>IFERROR(__xludf.DUMMYFUNCTION("""COMPUTED_VALUE"""),1749.0)</f>
        <v>1749</v>
      </c>
      <c r="B1751" s="87" t="str">
        <f>IFERROR(__xludf.DUMMYFUNCTION("""COMPUTED_VALUE"""),"Nhãn")</f>
        <v>Nhãn</v>
      </c>
      <c r="C1751" s="87" t="str">
        <f>IFERROR(__xludf.DUMMYFUNCTION("""COMPUTED_VALUE"""),"NTN1220")</f>
        <v>NTN1220</v>
      </c>
      <c r="D1751" s="87" t="str">
        <f>IFERROR(__xludf.DUMMYFUNCTION("""COMPUTED_VALUE"""),"[Nhãn] GC - IV - 1220 - Nông Hưng Phát - Imida (Bột trắng) - 100gr - 100")</f>
        <v>[Nhãn] GC - IV - 1220 - Nông Hưng Phát - Imida (Bột trắng) - 100gr - 100</v>
      </c>
      <c r="E1751" s="87" t="str">
        <f>IFERROR(__xludf.DUMMYFUNCTION("""COMPUTED_VALUE"""),"IMIPRID 10WP")</f>
        <v>IMIPRID 10WP</v>
      </c>
      <c r="F1751" s="87" t="str">
        <f>IFERROR(__xludf.DUMMYFUNCTION("""COMPUTED_VALUE"""),"HH1220")</f>
        <v>HH1220</v>
      </c>
      <c r="G1751" s="87" t="str">
        <f>IFERROR(__xludf.DUMMYFUNCTION("""COMPUTED_VALUE"""),"GC - IV - 1220 - Nông Hưng Phát - Imida (Bột trắng) - 100gr - 100")</f>
        <v>GC - IV - 1220 - Nông Hưng Phát - Imida (Bột trắng) - 100gr - 100</v>
      </c>
    </row>
    <row r="1752">
      <c r="A1752" s="86">
        <f>IFERROR(__xludf.DUMMYFUNCTION("""COMPUTED_VALUE"""),1750.0)</f>
        <v>1750</v>
      </c>
      <c r="B1752" s="87" t="str">
        <f>IFERROR(__xludf.DUMMYFUNCTION("""COMPUTED_VALUE"""),"Nhãn")</f>
        <v>Nhãn</v>
      </c>
      <c r="C1752" s="87" t="str">
        <f>IFERROR(__xludf.DUMMYFUNCTION("""COMPUTED_VALUE"""),"NHG1221")</f>
        <v>NHG1221</v>
      </c>
      <c r="D1752" s="87" t="str">
        <f>IFERROR(__xludf.DUMMYFUNCTION("""COMPUTED_VALUE"""),"[Nhãn]  GC - IV - 1221 - Sen Hồng - Mập Đòng (Gel nâu đen) - 500ml - 40")</f>
        <v>[Nhãn]  GC - IV - 1221 - Sen Hồng - Mập Đòng (Gel nâu đen) - 500ml - 40</v>
      </c>
      <c r="E1752" s="87" t="str">
        <f>IFERROR(__xludf.DUMMYFUNCTION("""COMPUTED_VALUE"""),"Vi lượng Basel VA02")</f>
        <v>Vi lượng Basel VA02</v>
      </c>
      <c r="F1752" s="87" t="str">
        <f>IFERROR(__xludf.DUMMYFUNCTION("""COMPUTED_VALUE"""),"HH1221")</f>
        <v>HH1221</v>
      </c>
      <c r="G1752" s="87" t="str">
        <f>IFERROR(__xludf.DUMMYFUNCTION("""COMPUTED_VALUE"""),"GC - IV - 1221 - Sen Hồng - Mập Đòng (Gel nâu đen) - 500ml - 40")</f>
        <v>GC - IV - 1221 - Sen Hồng - Mập Đòng (Gel nâu đen) - 500ml - 40</v>
      </c>
    </row>
    <row r="1753">
      <c r="A1753" s="86">
        <f>IFERROR(__xludf.DUMMYFUNCTION("""COMPUTED_VALUE"""),1751.0)</f>
        <v>1751</v>
      </c>
      <c r="B1753" s="87" t="str">
        <f>IFERROR(__xludf.DUMMYFUNCTION("""COMPUTED_VALUE"""),"Nhãn")</f>
        <v>Nhãn</v>
      </c>
      <c r="C1753" s="87" t="str">
        <f>IFERROR(__xludf.DUMMYFUNCTION("""COMPUTED_VALUE"""),"NHG1222")</f>
        <v>NHG1222</v>
      </c>
      <c r="D1753" s="87" t="str">
        <f>IFERROR(__xludf.DUMMYFUNCTION("""COMPUTED_VALUE"""),"[Nhãn] GC - II - 1222 - Nguyễn Ngọc Cảnh - Haihamec 3.6EC (nước nâu) - 450ml - 40")</f>
        <v>[Nhãn] GC - II - 1222 - Nguyễn Ngọc Cảnh - Haihamec 3.6EC (nước nâu) - 450ml - 40</v>
      </c>
      <c r="E1753" s="87" t="str">
        <f>IFERROR(__xludf.DUMMYFUNCTION("""COMPUTED_VALUE"""),"HAIHAMEC 3.6EC")</f>
        <v>HAIHAMEC 3.6EC</v>
      </c>
      <c r="F1753" s="87" t="str">
        <f>IFERROR(__xludf.DUMMYFUNCTION("""COMPUTED_VALUE"""),"HH1222")</f>
        <v>HH1222</v>
      </c>
      <c r="G1753" s="87" t="str">
        <f>IFERROR(__xludf.DUMMYFUNCTION("""COMPUTED_VALUE"""),"GC - II - 1222 - Nguyễn Ngọc Cảnh - Haihamec 3.6EC (nước nâu) - 450ml - 40")</f>
        <v>GC - II - 1222 - Nguyễn Ngọc Cảnh - Haihamec 3.6EC (nước nâu) - 450ml - 40</v>
      </c>
    </row>
    <row r="1754">
      <c r="A1754" s="86">
        <f>IFERROR(__xludf.DUMMYFUNCTION("""COMPUTED_VALUE"""),1752.0)</f>
        <v>1752</v>
      </c>
      <c r="B1754" s="87" t="str">
        <f>IFERROR(__xludf.DUMMYFUNCTION("""COMPUTED_VALUE"""),"Nhãn")</f>
        <v>Nhãn</v>
      </c>
      <c r="C1754" s="87" t="str">
        <f>IFERROR(__xludf.DUMMYFUNCTION("""COMPUTED_VALUE"""),"NHG1223")</f>
        <v>NHG1223</v>
      </c>
      <c r="D1754" s="87" t="str">
        <f>IFERROR(__xludf.DUMMYFUNCTION("""COMPUTED_VALUE"""),"[Nhãn] GC - II - 1223 - AGC - Ema19 (nước vàng trà) - 450ml - 40")</f>
        <v>[Nhãn] GC - II - 1223 - AGC - Ema19 (nước vàng trà) - 450ml - 40</v>
      </c>
      <c r="E1754" s="87" t="str">
        <f>IFERROR(__xludf.DUMMYFUNCTION("""COMPUTED_VALUE"""),"Creek 2.1EC")</f>
        <v>Creek 2.1EC</v>
      </c>
      <c r="F1754" s="87" t="str">
        <f>IFERROR(__xludf.DUMMYFUNCTION("""COMPUTED_VALUE"""),"HH1223")</f>
        <v>HH1223</v>
      </c>
      <c r="G1754" s="87" t="str">
        <f>IFERROR(__xludf.DUMMYFUNCTION("""COMPUTED_VALUE"""),"GC - II - 1223 - AGC - Ema19 (nước vàng trà) - 450ml - 40")</f>
        <v>GC - II - 1223 - AGC - Ema19 (nước vàng trà) - 450ml - 40</v>
      </c>
    </row>
    <row r="1755">
      <c r="A1755" s="86">
        <f>IFERROR(__xludf.DUMMYFUNCTION("""COMPUTED_VALUE"""),1753.0)</f>
        <v>1753</v>
      </c>
      <c r="B1755" s="87" t="str">
        <f>IFERROR(__xludf.DUMMYFUNCTION("""COMPUTED_VALUE"""),"Nhãn")</f>
        <v>Nhãn</v>
      </c>
      <c r="C1755" s="87" t="str">
        <f>IFERROR(__xludf.DUMMYFUNCTION("""COMPUTED_VALUE"""),"NHG1224")</f>
        <v>NHG1224</v>
      </c>
      <c r="D1755" s="87" t="str">
        <f>IFERROR(__xludf.DUMMYFUNCTION("""COMPUTED_VALUE"""),"[Nhãn] GC - II - 1224 - Mekongvil 5SC (nước trắng sữa) - 1L - 20")</f>
        <v>[Nhãn] GC - II - 1224 - Mekongvil 5SC (nước trắng sữa) - 1L - 20</v>
      </c>
      <c r="E1755" s="87" t="str">
        <f>IFERROR(__xludf.DUMMYFUNCTION("""COMPUTED_VALUE"""),"Mekongvil 5SC")</f>
        <v>Mekongvil 5SC</v>
      </c>
      <c r="F1755" s="87" t="str">
        <f>IFERROR(__xludf.DUMMYFUNCTION("""COMPUTED_VALUE"""),"HH1224")</f>
        <v>HH1224</v>
      </c>
      <c r="G1755" s="87" t="str">
        <f>IFERROR(__xludf.DUMMYFUNCTION("""COMPUTED_VALUE"""),"GC - II - 1224 - Mekongvil 5SC (nước trắng sữa) - 1L - 20")</f>
        <v>GC - II - 1224 - Mekongvil 5SC (nước trắng sữa) - 1L - 20</v>
      </c>
    </row>
    <row r="1756">
      <c r="A1756" s="86">
        <f>IFERROR(__xludf.DUMMYFUNCTION("""COMPUTED_VALUE"""),1754.0)</f>
        <v>1754</v>
      </c>
      <c r="B1756" s="87" t="str">
        <f>IFERROR(__xludf.DUMMYFUNCTION("""COMPUTED_VALUE"""),"Nhãn")</f>
        <v>Nhãn</v>
      </c>
      <c r="C1756" s="87" t="str">
        <f>IFERROR(__xludf.DUMMYFUNCTION("""COMPUTED_VALUE"""),"NHG1226")</f>
        <v>NHG1226</v>
      </c>
      <c r="D1756" s="87" t="str">
        <f>IFERROR(__xludf.DUMMYFUNCTION("""COMPUTED_VALUE"""),"[Nhãn]  GC - IV - 1226 - A Thời GNH - Super Fruit Lớn Trái (Nước nâu đen) - 500ml - 40")</f>
        <v>[Nhãn]  GC - IV - 1226 - A Thời GNH - Super Fruit Lớn Trái (Nước nâu đen) - 500ml - 40</v>
      </c>
      <c r="E1756" s="87" t="str">
        <f>IFERROR(__xludf.DUMMYFUNCTION("""COMPUTED_VALUE"""),"Vi lượng Basel VA02")</f>
        <v>Vi lượng Basel VA02</v>
      </c>
      <c r="F1756" s="87" t="str">
        <f>IFERROR(__xludf.DUMMYFUNCTION("""COMPUTED_VALUE"""),"HH1226")</f>
        <v>HH1226</v>
      </c>
      <c r="G1756" s="87" t="str">
        <f>IFERROR(__xludf.DUMMYFUNCTION("""COMPUTED_VALUE"""),"GC - IV - 1226 - A Thời GNH - Super Fruit Lớn Trái (Nước nâu đen) - 500ml - 40")</f>
        <v>GC - IV - 1226 - A Thời GNH - Super Fruit Lớn Trái (Nước nâu đen) - 500ml - 40</v>
      </c>
    </row>
    <row r="1757">
      <c r="A1757" s="86">
        <f>IFERROR(__xludf.DUMMYFUNCTION("""COMPUTED_VALUE"""),1755.0)</f>
        <v>1755</v>
      </c>
      <c r="B1757" s="87" t="str">
        <f>IFERROR(__xludf.DUMMYFUNCTION("""COMPUTED_VALUE"""),"Nhãn")</f>
        <v>Nhãn</v>
      </c>
      <c r="C1757" s="87" t="str">
        <f>IFERROR(__xludf.DUMMYFUNCTION("""COMPUTED_VALUE"""),"NHG1227")</f>
        <v>NHG1227</v>
      </c>
      <c r="D1757" s="87" t="str">
        <f>IFERROR(__xludf.DUMMYFUNCTION("""COMPUTED_VALUE"""),"[Nhãn] GC - IV - 1227 - A Thời GNH - Siêu To Củ (Nước nâu đen) - 500ml - 40")</f>
        <v>[Nhãn] GC - IV - 1227 - A Thời GNH - Siêu To Củ (Nước nâu đen) - 500ml - 40</v>
      </c>
      <c r="E1757" s="87" t="str">
        <f>IFERROR(__xludf.DUMMYFUNCTION("""COMPUTED_VALUE"""),"Vi lượng Basel VA02")</f>
        <v>Vi lượng Basel VA02</v>
      </c>
      <c r="F1757" s="87" t="str">
        <f>IFERROR(__xludf.DUMMYFUNCTION("""COMPUTED_VALUE"""),"HH1227")</f>
        <v>HH1227</v>
      </c>
      <c r="G1757" s="87" t="str">
        <f>IFERROR(__xludf.DUMMYFUNCTION("""COMPUTED_VALUE"""),"GC - IV - 1227 - A Thời GNH - Siêu To Củ (Nước nâu đen) - 500ml - 40")</f>
        <v>GC - IV - 1227 - A Thời GNH - Siêu To Củ (Nước nâu đen) - 500ml - 40</v>
      </c>
    </row>
    <row r="1758">
      <c r="A1758" s="86">
        <f>IFERROR(__xludf.DUMMYFUNCTION("""COMPUTED_VALUE"""),1756.0)</f>
        <v>1756</v>
      </c>
      <c r="B1758" s="87" t="str">
        <f>IFERROR(__xludf.DUMMYFUNCTION("""COMPUTED_VALUE"""),"Nhãn")</f>
        <v>Nhãn</v>
      </c>
      <c r="C1758" s="87" t="str">
        <f>IFERROR(__xludf.DUMMYFUNCTION("""COMPUTED_VALUE"""),"NHG1228")</f>
        <v>NHG1228</v>
      </c>
      <c r="D1758" s="87" t="str">
        <f>IFERROR(__xludf.DUMMYFUNCTION("""COMPUTED_VALUE"""),"[Nhãn]  GC - IV - 1228 - A Thời GNH - Siêu Lớn Trái (Nước nâu đen) - 500ml - 40")</f>
        <v>[Nhãn]  GC - IV - 1228 - A Thời GNH - Siêu Lớn Trái (Nước nâu đen) - 500ml - 40</v>
      </c>
      <c r="E1758" s="87" t="str">
        <f>IFERROR(__xludf.DUMMYFUNCTION("""COMPUTED_VALUE"""),"Vi lượng Basel VA02")</f>
        <v>Vi lượng Basel VA02</v>
      </c>
      <c r="F1758" s="87" t="str">
        <f>IFERROR(__xludf.DUMMYFUNCTION("""COMPUTED_VALUE"""),"HH1228")</f>
        <v>HH1228</v>
      </c>
      <c r="G1758" s="87" t="str">
        <f>IFERROR(__xludf.DUMMYFUNCTION("""COMPUTED_VALUE"""),"GC - IV - 1228 - A Thời GNH - Siêu Lớn Trái (Nước nâu đen) - 500ml - 40")</f>
        <v>GC - IV - 1228 - A Thời GNH - Siêu Lớn Trái (Nước nâu đen) - 500ml - 40</v>
      </c>
    </row>
    <row r="1759">
      <c r="A1759" s="86">
        <f>IFERROR(__xludf.DUMMYFUNCTION("""COMPUTED_VALUE"""),1757.0)</f>
        <v>1757</v>
      </c>
      <c r="B1759" s="87" t="str">
        <f>IFERROR(__xludf.DUMMYFUNCTION("""COMPUTED_VALUE"""),"Nhãn")</f>
        <v>Nhãn</v>
      </c>
      <c r="C1759" s="87" t="str">
        <f>IFERROR(__xludf.DUMMYFUNCTION("""COMPUTED_VALUE"""),"NHG1229")</f>
        <v>NHG1229</v>
      </c>
      <c r="D1759" s="87" t="str">
        <f>IFERROR(__xludf.DUMMYFUNCTION("""COMPUTED_VALUE"""),"[Nhãn] GC - IV - 1229 - A Thời GNH - Bung Chòi Vọt Đọt (nước nâu đen) - 500ml - 40")</f>
        <v>[Nhãn] GC - IV - 1229 - A Thời GNH - Bung Chòi Vọt Đọt (nước nâu đen) - 500ml - 40</v>
      </c>
      <c r="E1759" s="87" t="str">
        <f>IFERROR(__xludf.DUMMYFUNCTION("""COMPUTED_VALUE"""),"Vi lượng Basel VA01")</f>
        <v>Vi lượng Basel VA01</v>
      </c>
      <c r="F1759" s="87" t="str">
        <f>IFERROR(__xludf.DUMMYFUNCTION("""COMPUTED_VALUE"""),"HH1229")</f>
        <v>HH1229</v>
      </c>
      <c r="G1759" s="87" t="str">
        <f>IFERROR(__xludf.DUMMYFUNCTION("""COMPUTED_VALUE"""),"GC - IV - 1229 - A Thời GNH - Bung Chòi Vọt Đọt (nước nâu đen) - 500ml - 40")</f>
        <v>GC - IV - 1229 - A Thời GNH - Bung Chòi Vọt Đọt (nước nâu đen) - 500ml - 40</v>
      </c>
    </row>
    <row r="1760">
      <c r="A1760" s="86">
        <f>IFERROR(__xludf.DUMMYFUNCTION("""COMPUTED_VALUE"""),1758.0)</f>
        <v>1758</v>
      </c>
      <c r="B1760" s="87" t="str">
        <f>IFERROR(__xludf.DUMMYFUNCTION("""COMPUTED_VALUE"""),"Nhãn")</f>
        <v>Nhãn</v>
      </c>
      <c r="C1760" s="87" t="str">
        <f>IFERROR(__xludf.DUMMYFUNCTION("""COMPUTED_VALUE"""),"NHG1230")</f>
        <v>NHG1230</v>
      </c>
      <c r="D1760" s="87" t="str">
        <f>IFERROR(__xludf.DUMMYFUNCTION("""COMPUTED_VALUE"""),"[Nhãn] GC - IV - 1230 - GNH - Ra Rễ Nở Bụi (nước nâu đen) - 1L - 20")</f>
        <v>[Nhãn] GC - IV - 1230 - GNH - Ra Rễ Nở Bụi (nước nâu đen) - 1L - 20</v>
      </c>
      <c r="E1760" s="87" t="str">
        <f>IFERROR(__xludf.DUMMYFUNCTION("""COMPUTED_VALUE"""),"Vi lượng Basel VA01")</f>
        <v>Vi lượng Basel VA01</v>
      </c>
      <c r="F1760" s="87" t="str">
        <f>IFERROR(__xludf.DUMMYFUNCTION("""COMPUTED_VALUE"""),"HH1230")</f>
        <v>HH1230</v>
      </c>
      <c r="G1760" s="87" t="str">
        <f>IFERROR(__xludf.DUMMYFUNCTION("""COMPUTED_VALUE"""),"GC - IV - 1230 - GNH - Ra Rễ Nở Bụi (nước nâu đen) - 1L - 20")</f>
        <v>GC - IV - 1230 - GNH - Ra Rễ Nở Bụi (nước nâu đen) - 1L - 20</v>
      </c>
    </row>
    <row r="1761">
      <c r="A1761" s="86">
        <f>IFERROR(__xludf.DUMMYFUNCTION("""COMPUTED_VALUE"""),1759.0)</f>
        <v>1759</v>
      </c>
      <c r="B1761" s="87" t="str">
        <f>IFERROR(__xludf.DUMMYFUNCTION("""COMPUTED_VALUE"""),"Nhãn")</f>
        <v>Nhãn</v>
      </c>
      <c r="C1761" s="87" t="str">
        <f>IFERROR(__xludf.DUMMYFUNCTION("""COMPUTED_VALUE"""),"NHG1231")</f>
        <v>NHG1231</v>
      </c>
      <c r="D1761" s="87" t="str">
        <f>IFERROR(__xludf.DUMMYFUNCTION("""COMPUTED_VALUE"""),"[Nhãn] GC - IV - 1231 - GNH - Sức Mạnh Cá Hồi (nước nâu đen) - 1L - 20")</f>
        <v>[Nhãn] GC - IV - 1231 - GNH - Sức Mạnh Cá Hồi (nước nâu đen) - 1L - 20</v>
      </c>
      <c r="E1761" s="87" t="str">
        <f>IFERROR(__xludf.DUMMYFUNCTION("""COMPUTED_VALUE"""),"Vi lượng Basel VA01")</f>
        <v>Vi lượng Basel VA01</v>
      </c>
      <c r="F1761" s="87" t="str">
        <f>IFERROR(__xludf.DUMMYFUNCTION("""COMPUTED_VALUE"""),"HH1231")</f>
        <v>HH1231</v>
      </c>
      <c r="G1761" s="87" t="str">
        <f>IFERROR(__xludf.DUMMYFUNCTION("""COMPUTED_VALUE"""),"GC - IV - 1231 - GNH - Sức Mạnh Cá Hồi (nước nâu đen) - 1L - 20")</f>
        <v>GC - IV - 1231 - GNH - Sức Mạnh Cá Hồi (nước nâu đen) - 1L - 20</v>
      </c>
    </row>
    <row r="1762">
      <c r="A1762" s="86">
        <f>IFERROR(__xludf.DUMMYFUNCTION("""COMPUTED_VALUE"""),1760.0)</f>
        <v>1760</v>
      </c>
      <c r="B1762" s="87" t="str">
        <f>IFERROR(__xludf.DUMMYFUNCTION("""COMPUTED_VALUE"""),"Nhãn")</f>
        <v>Nhãn</v>
      </c>
      <c r="C1762" s="87" t="str">
        <f>IFERROR(__xludf.DUMMYFUNCTION("""COMPUTED_VALUE"""),"NHG1232")</f>
        <v>NHG1232</v>
      </c>
      <c r="D1762" s="87" t="str">
        <f>IFERROR(__xludf.DUMMYFUNCTION("""COMPUTED_VALUE"""),"[Nhãn] GC - IV - 1232 - Nhất Tiến Nông - Cò Ốc (nước nâu đen) -  450ml - 40")</f>
        <v>[Nhãn] GC - IV - 1232 - Nhất Tiến Nông - Cò Ốc (nước nâu đen) -  450ml - 40</v>
      </c>
      <c r="E1762" s="87" t="str">
        <f>IFERROR(__xludf.DUMMYFUNCTION("""COMPUTED_VALUE"""),"HAIHAMEC 3.6EC")</f>
        <v>HAIHAMEC 3.6EC</v>
      </c>
      <c r="F1762" s="87" t="str">
        <f>IFERROR(__xludf.DUMMYFUNCTION("""COMPUTED_VALUE"""),"HH1232")</f>
        <v>HH1232</v>
      </c>
      <c r="G1762" s="87" t="str">
        <f>IFERROR(__xludf.DUMMYFUNCTION("""COMPUTED_VALUE"""),"GC - IV - 1232 - Nhất Tiến Nông - Cò Ốc (nước nâu đen) -  450ml - 40")</f>
        <v>GC - IV - 1232 - Nhất Tiến Nông - Cò Ốc (nước nâu đen) -  450ml - 40</v>
      </c>
    </row>
    <row r="1763">
      <c r="A1763" s="86">
        <f>IFERROR(__xludf.DUMMYFUNCTION("""COMPUTED_VALUE"""),1761.0)</f>
        <v>1761</v>
      </c>
      <c r="B1763" s="87" t="str">
        <f>IFERROR(__xludf.DUMMYFUNCTION("""COMPUTED_VALUE"""),"Nhãn")</f>
        <v>Nhãn</v>
      </c>
      <c r="C1763" s="87" t="str">
        <f>IFERROR(__xludf.DUMMYFUNCTION("""COMPUTED_VALUE"""),"NHG1235")</f>
        <v>NHG1235</v>
      </c>
      <c r="D1763" s="87" t="str">
        <f>IFERROR(__xludf.DUMMYFUNCTION("""COMPUTED_VALUE"""),"[Nhãn] LOT IDA Global - I - 1235 - Cty Agronet - Sói Xám (nước nâu đen) - 450ml - 40")</f>
        <v>[Nhãn] LOT IDA Global - I - 1235 - Cty Agronet - Sói Xám (nước nâu đen) - 450ml - 40</v>
      </c>
      <c r="E1763" s="87" t="str">
        <f>IFERROR(__xludf.DUMMYFUNCTION("""COMPUTED_VALUE"""),"HAIHAMEC 3.6EC")</f>
        <v>HAIHAMEC 3.6EC</v>
      </c>
      <c r="F1763" s="87" t="str">
        <f>IFERROR(__xludf.DUMMYFUNCTION("""COMPUTED_VALUE"""),"HH1235")</f>
        <v>HH1235</v>
      </c>
      <c r="G1763" s="87" t="str">
        <f>IFERROR(__xludf.DUMMYFUNCTION("""COMPUTED_VALUE"""),"LOT IDA Global - I - 1235 - Cty Agronet - Sói Xám (nước nâu đen) - 450ml - 40")</f>
        <v>LOT IDA Global - I - 1235 - Cty Agronet - Sói Xám (nước nâu đen) - 450ml - 40</v>
      </c>
    </row>
    <row r="1764">
      <c r="A1764" s="86">
        <f>IFERROR(__xludf.DUMMYFUNCTION("""COMPUTED_VALUE"""),1762.0)</f>
        <v>1762</v>
      </c>
      <c r="B1764" s="87" t="str">
        <f>IFERROR(__xludf.DUMMYFUNCTION("""COMPUTED_VALUE"""),"Nhãn")</f>
        <v>Nhãn</v>
      </c>
      <c r="C1764" s="87" t="str">
        <f>IFERROR(__xludf.DUMMYFUNCTION("""COMPUTED_VALUE"""),"NHG1236")</f>
        <v>NHG1236</v>
      </c>
      <c r="D1764" s="87" t="str">
        <f>IFERROR(__xludf.DUMMYFUNCTION("""COMPUTED_VALUE"""),"[Nhãn] LOT IDA Global - I - 1236 - Cty Agronet - Báo Đốm (nước nâu đen) - 450ml - 40")</f>
        <v>[Nhãn] LOT IDA Global - I - 1236 - Cty Agronet - Báo Đốm (nước nâu đen) - 450ml - 40</v>
      </c>
      <c r="E1764" s="87" t="str">
        <f>IFERROR(__xludf.DUMMYFUNCTION("""COMPUTED_VALUE"""),"HAIHAMEC 3.6EC")</f>
        <v>HAIHAMEC 3.6EC</v>
      </c>
      <c r="F1764" s="87" t="str">
        <f>IFERROR(__xludf.DUMMYFUNCTION("""COMPUTED_VALUE"""),"HH1236")</f>
        <v>HH1236</v>
      </c>
      <c r="G1764" s="87" t="str">
        <f>IFERROR(__xludf.DUMMYFUNCTION("""COMPUTED_VALUE"""),"LOT IDA Global - I - 1236 - Cty Agronet - Báo Đốm (nước nâu đen) - 450ml - 40")</f>
        <v>LOT IDA Global - I - 1236 - Cty Agronet - Báo Đốm (nước nâu đen) - 450ml - 40</v>
      </c>
    </row>
    <row r="1765">
      <c r="A1765" s="86">
        <f>IFERROR(__xludf.DUMMYFUNCTION("""COMPUTED_VALUE"""),1763.0)</f>
        <v>1763</v>
      </c>
      <c r="B1765" s="87" t="str">
        <f>IFERROR(__xludf.DUMMYFUNCTION("""COMPUTED_VALUE"""),"Nhãn")</f>
        <v>Nhãn</v>
      </c>
      <c r="C1765" s="87" t="str">
        <f>IFERROR(__xludf.DUMMYFUNCTION("""COMPUTED_VALUE"""),"NHG1237")</f>
        <v>NHG1237</v>
      </c>
      <c r="D1765" s="87" t="str">
        <f>IFERROR(__xludf.DUMMYFUNCTION("""COMPUTED_VALUE"""),"[Nhãn] GC - IV - 1237 - GNH - Canbo sữa (Nước trắng ngà) - 500ml - 40")</f>
        <v>[Nhãn] GC - IV - 1237 - GNH - Canbo sữa (Nước trắng ngà) - 500ml - 40</v>
      </c>
      <c r="E1765" s="87" t="str">
        <f>IFERROR(__xludf.DUMMYFUNCTION("""COMPUTED_VALUE"""),"Vi lượng Basel IDA 49")</f>
        <v>Vi lượng Basel IDA 49</v>
      </c>
      <c r="F1765" s="87" t="str">
        <f>IFERROR(__xludf.DUMMYFUNCTION("""COMPUTED_VALUE"""),"HH1237")</f>
        <v>HH1237</v>
      </c>
      <c r="G1765" s="87" t="str">
        <f>IFERROR(__xludf.DUMMYFUNCTION("""COMPUTED_VALUE"""),"GC - IV - 1237 - GNH - Canbo sữa (Nước trắng ngà) - 500ml - 40")</f>
        <v>GC - IV - 1237 - GNH - Canbo sữa (Nước trắng ngà) - 500ml - 40</v>
      </c>
    </row>
    <row r="1766">
      <c r="A1766" s="86">
        <f>IFERROR(__xludf.DUMMYFUNCTION("""COMPUTED_VALUE"""),1764.0)</f>
        <v>1764</v>
      </c>
      <c r="B1766" s="87" t="str">
        <f>IFERROR(__xludf.DUMMYFUNCTION("""COMPUTED_VALUE"""),"Nhãn")</f>
        <v>Nhãn</v>
      </c>
      <c r="C1766" s="87" t="str">
        <f>IFERROR(__xludf.DUMMYFUNCTION("""COMPUTED_VALUE"""),"NHG1238")</f>
        <v>NHG1238</v>
      </c>
      <c r="D1766" s="87" t="str">
        <f>IFERROR(__xludf.DUMMYFUNCTION("""COMPUTED_VALUE"""),"[Nhãn] GC - IV - 1238 - GNH - Kabo sữa (Nước trắng ngà) - 500ml - 40")</f>
        <v>[Nhãn] GC - IV - 1238 - GNH - Kabo sữa (Nước trắng ngà) - 500ml - 40</v>
      </c>
      <c r="E1766" s="87" t="str">
        <f>IFERROR(__xludf.DUMMYFUNCTION("""COMPUTED_VALUE"""),"Vi lượng Basel IDA 49")</f>
        <v>Vi lượng Basel IDA 49</v>
      </c>
      <c r="F1766" s="87" t="str">
        <f>IFERROR(__xludf.DUMMYFUNCTION("""COMPUTED_VALUE"""),"HH1238")</f>
        <v>HH1238</v>
      </c>
      <c r="G1766" s="87" t="str">
        <f>IFERROR(__xludf.DUMMYFUNCTION("""COMPUTED_VALUE"""),"GC - IV - 1238 - GNH - Kabo sữa (Nước trắng ngà) - 500ml - 40")</f>
        <v>GC - IV - 1238 - GNH - Kabo sữa (Nước trắng ngà) - 500ml - 40</v>
      </c>
    </row>
    <row r="1767">
      <c r="A1767" s="86">
        <f>IFERROR(__xludf.DUMMYFUNCTION("""COMPUTED_VALUE"""),1765.0)</f>
        <v>1765</v>
      </c>
      <c r="B1767" s="87" t="str">
        <f>IFERROR(__xludf.DUMMYFUNCTION("""COMPUTED_VALUE"""),"Nhãn")</f>
        <v>Nhãn</v>
      </c>
      <c r="C1767" s="87" t="str">
        <f>IFERROR(__xludf.DUMMYFUNCTION("""COMPUTED_VALUE"""),"NHG1239")</f>
        <v>NHG1239</v>
      </c>
      <c r="D1767" s="87" t="str">
        <f>IFERROR(__xludf.DUMMYFUNCTION("""COMPUTED_VALUE"""),"[Nhãn] GC - II - 1239 - Kim Ngọc - Trợ Lực Thấm (nước vàng) (chai PET tròn) - 120ml - 50")</f>
        <v>[Nhãn] GC - II - 1239 - Kim Ngọc - Trợ Lực Thấm (nước vàng) (chai PET tròn) - 120ml - 50</v>
      </c>
      <c r="E1767" s="87" t="str">
        <f>IFERROR(__xludf.DUMMYFUNCTION("""COMPUTED_VALUE"""),"Vi lượng Quantity New")</f>
        <v>Vi lượng Quantity New</v>
      </c>
      <c r="F1767" s="87" t="str">
        <f>IFERROR(__xludf.DUMMYFUNCTION("""COMPUTED_VALUE"""),"HH1239")</f>
        <v>HH1239</v>
      </c>
      <c r="G1767" s="87" t="str">
        <f>IFERROR(__xludf.DUMMYFUNCTION("""COMPUTED_VALUE"""),"GC - II - 1239 - Kim Ngọc - Trợ Lực Thấm (nước vàng) (chai PET tròn) - 120ml - 50")</f>
        <v>GC - II - 1239 - Kim Ngọc - Trợ Lực Thấm (nước vàng) (chai PET tròn) - 120ml - 50</v>
      </c>
    </row>
    <row r="1768">
      <c r="A1768" s="86">
        <f>IFERROR(__xludf.DUMMYFUNCTION("""COMPUTED_VALUE"""),1766.0)</f>
        <v>1766</v>
      </c>
      <c r="B1768" s="87" t="str">
        <f>IFERROR(__xludf.DUMMYFUNCTION("""COMPUTED_VALUE"""),"Nhãn")</f>
        <v>Nhãn</v>
      </c>
      <c r="C1768" s="87" t="str">
        <f>IFERROR(__xludf.DUMMYFUNCTION("""COMPUTED_VALUE"""),"NHG1240")</f>
        <v>NHG1240</v>
      </c>
      <c r="D1768" s="87" t="str">
        <f>IFERROR(__xludf.DUMMYFUNCTION("""COMPUTED_VALUE"""),"[Nhãn] GC - IV - 1240 - Nông Hưng Phát - Dưỡng Chất 7 in 1 (Nước nâu đen) - 250ml - 40")</f>
        <v>[Nhãn] GC - IV - 1240 - Nông Hưng Phát - Dưỡng Chất 7 in 1 (Nước nâu đen) - 250ml - 40</v>
      </c>
      <c r="E1768" s="87" t="str">
        <f>IFERROR(__xludf.DUMMYFUNCTION("""COMPUTED_VALUE"""),"Vi lượng Basel VA68")</f>
        <v>Vi lượng Basel VA68</v>
      </c>
      <c r="F1768" s="87" t="str">
        <f>IFERROR(__xludf.DUMMYFUNCTION("""COMPUTED_VALUE"""),"HH1240")</f>
        <v>HH1240</v>
      </c>
      <c r="G1768" s="87" t="str">
        <f>IFERROR(__xludf.DUMMYFUNCTION("""COMPUTED_VALUE"""),"GC - IV - 1240 - Nông Hưng Phát - Dưỡng Chất 7 in 1 (Nước nâu đen) - 250ml - 40")</f>
        <v>GC - IV - 1240 - Nông Hưng Phát - Dưỡng Chất 7 in 1 (Nước nâu đen) - 250ml - 40</v>
      </c>
    </row>
    <row r="1769">
      <c r="A1769" s="86">
        <f>IFERROR(__xludf.DUMMYFUNCTION("""COMPUTED_VALUE"""),1767.0)</f>
        <v>1767</v>
      </c>
      <c r="B1769" s="87" t="str">
        <f>IFERROR(__xludf.DUMMYFUNCTION("""COMPUTED_VALUE"""),"Nhãn")</f>
        <v>Nhãn</v>
      </c>
      <c r="C1769" s="87" t="str">
        <f>IFERROR(__xludf.DUMMYFUNCTION("""COMPUTED_VALUE"""),"NTN1241")</f>
        <v>NTN1241</v>
      </c>
      <c r="D1769" s="87" t="str">
        <f>IFERROR(__xludf.DUMMYFUNCTION("""COMPUTED_VALUE"""),"[Nhãn] GC - IV - 1241- Nông Hưng Phát - Panda 95 (Bột trắng) - 100gr - 100")</f>
        <v>[Nhãn] GC - IV - 1241- Nông Hưng Phát - Panda 95 (Bột trắng) - 100gr - 100</v>
      </c>
      <c r="E1769" s="87" t="str">
        <f>IFERROR(__xludf.DUMMYFUNCTION("""COMPUTED_VALUE"""),"SHA CHONG JING 95WP")</f>
        <v>SHA CHONG JING 95WP</v>
      </c>
      <c r="F1769" s="87" t="str">
        <f>IFERROR(__xludf.DUMMYFUNCTION("""COMPUTED_VALUE"""),"HH1241")</f>
        <v>HH1241</v>
      </c>
      <c r="G1769" s="87" t="str">
        <f>IFERROR(__xludf.DUMMYFUNCTION("""COMPUTED_VALUE"""),"GC - IV - 1241- Nông Hưng Phát - Panda 95 (Bột trắng) - 100gr - 100")</f>
        <v>GC - IV - 1241- Nông Hưng Phát - Panda 95 (Bột trắng) - 100gr - 100</v>
      </c>
    </row>
    <row r="1770">
      <c r="A1770" s="86">
        <f>IFERROR(__xludf.DUMMYFUNCTION("""COMPUTED_VALUE"""),1768.0)</f>
        <v>1768</v>
      </c>
      <c r="B1770" s="87" t="str">
        <f>IFERROR(__xludf.DUMMYFUNCTION("""COMPUTED_VALUE"""),"Nhãn")</f>
        <v>Nhãn</v>
      </c>
      <c r="C1770" s="87" t="str">
        <f>IFERROR(__xludf.DUMMYFUNCTION("""COMPUTED_VALUE"""),"NHD1242")</f>
        <v>NHD1242</v>
      </c>
      <c r="D1770" s="87" t="str">
        <f>IFERROR(__xludf.DUMMYFUNCTION("""COMPUTED_VALUE"""),"[Nhãn] GC - II - 1242 - AGC - Gamma (nước đỏ) (chai PET vuông) - 450ml - 40")</f>
        <v>[Nhãn] GC - II - 1242 - AGC - Gamma (nước đỏ) (chai PET vuông) - 450ml - 40</v>
      </c>
      <c r="E1770" s="87" t="str">
        <f>IFERROR(__xludf.DUMMYFUNCTION("""COMPUTED_VALUE"""),"Creek 2.1EC")</f>
        <v>Creek 2.1EC</v>
      </c>
      <c r="F1770" s="87" t="str">
        <f>IFERROR(__xludf.DUMMYFUNCTION("""COMPUTED_VALUE"""),"HH1242")</f>
        <v>HH1242</v>
      </c>
      <c r="G1770" s="87" t="str">
        <f>IFERROR(__xludf.DUMMYFUNCTION("""COMPUTED_VALUE"""),"GC - II - 1242 - AGC - Gamma (nước đỏ) (chai PET vuông) - 450ml - 40")</f>
        <v>GC - II - 1242 - AGC - Gamma (nước đỏ) (chai PET vuông) - 450ml - 40</v>
      </c>
    </row>
    <row r="1771">
      <c r="A1771" s="86">
        <f>IFERROR(__xludf.DUMMYFUNCTION("""COMPUTED_VALUE"""),1769.0)</f>
        <v>1769</v>
      </c>
      <c r="B1771" s="87" t="str">
        <f>IFERROR(__xludf.DUMMYFUNCTION("""COMPUTED_VALUE"""),"Nhãn")</f>
        <v>Nhãn</v>
      </c>
      <c r="C1771" s="87" t="str">
        <f>IFERROR(__xludf.DUMMYFUNCTION("""COMPUTED_VALUE"""),"NTN1243")</f>
        <v>NTN1243</v>
      </c>
      <c r="D1771" s="87" t="str">
        <f>IFERROR(__xludf.DUMMYFUNCTION("""COMPUTED_VALUE"""),"[Nhãn] GC - II - 1243 - Humi Black (Dạng vẩy màu nâu đen) - 1kg - 25")</f>
        <v>[Nhãn] GC - II - 1243 - Humi Black (Dạng vẩy màu nâu đen) - 1kg - 25</v>
      </c>
      <c r="E1771" s="87" t="str">
        <f>IFERROR(__xludf.DUMMYFUNCTION("""COMPUTED_VALUE"""),"Vi lượng AV-CFC
(Dạng rắn)")</f>
        <v>Vi lượng AV-CFC
(Dạng rắn)</v>
      </c>
      <c r="F1771" s="87" t="str">
        <f>IFERROR(__xludf.DUMMYFUNCTION("""COMPUTED_VALUE"""),"HH1243")</f>
        <v>HH1243</v>
      </c>
      <c r="G1771" s="87" t="str">
        <f>IFERROR(__xludf.DUMMYFUNCTION("""COMPUTED_VALUE"""),"GC - II - 1243 - Humi Black (Dạng vẩy màu nâu đen) - 1kg - 25")</f>
        <v>GC - II - 1243 - Humi Black (Dạng vẩy màu nâu đen) - 1kg - 25</v>
      </c>
    </row>
    <row r="1772">
      <c r="A1772" s="86">
        <f>IFERROR(__xludf.DUMMYFUNCTION("""COMPUTED_VALUE"""),1770.0)</f>
        <v>1770</v>
      </c>
      <c r="B1772" s="87" t="str">
        <f>IFERROR(__xludf.DUMMYFUNCTION("""COMPUTED_VALUE"""),"Nhãn")</f>
        <v>Nhãn</v>
      </c>
      <c r="C1772" s="87" t="str">
        <f>IFERROR(__xludf.DUMMYFUNCTION("""COMPUTED_VALUE"""),"NHG1244")</f>
        <v>NHG1244</v>
      </c>
      <c r="D1772" s="87" t="str">
        <f>IFERROR(__xludf.DUMMYFUNCTION("""COMPUTED_VALUE"""),"[Nhãn] GC - IV - 1244 - Thế Danh - Vua Ốc (nước nâu đen) -  450ml - 40")</f>
        <v>[Nhãn] GC - IV - 1244 - Thế Danh - Vua Ốc (nước nâu đen) -  450ml - 40</v>
      </c>
      <c r="E1772" s="87" t="str">
        <f>IFERROR(__xludf.DUMMYFUNCTION("""COMPUTED_VALUE"""),"HAIHAMEC 3.6EC")</f>
        <v>HAIHAMEC 3.6EC</v>
      </c>
      <c r="F1772" s="87" t="str">
        <f>IFERROR(__xludf.DUMMYFUNCTION("""COMPUTED_VALUE"""),"HH1244")</f>
        <v>HH1244</v>
      </c>
      <c r="G1772" s="87" t="str">
        <f>IFERROR(__xludf.DUMMYFUNCTION("""COMPUTED_VALUE"""),"GC - IV - 1244 - Thế Danh - Vua Ốc (nước nâu đen) -  450ml - 40")</f>
        <v>GC - IV - 1244 - Thế Danh - Vua Ốc (nước nâu đen) -  450ml - 40</v>
      </c>
    </row>
    <row r="1773">
      <c r="A1773" s="86">
        <f>IFERROR(__xludf.DUMMYFUNCTION("""COMPUTED_VALUE"""),1771.0)</f>
        <v>1771</v>
      </c>
      <c r="B1773" s="87" t="str">
        <f>IFERROR(__xludf.DUMMYFUNCTION("""COMPUTED_VALUE"""),"Nhãn")</f>
        <v>Nhãn</v>
      </c>
      <c r="C1773" s="87" t="str">
        <f>IFERROR(__xludf.DUMMYFUNCTION("""COMPUTED_VALUE"""),"NHG1245")</f>
        <v>NHG1245</v>
      </c>
      <c r="D1773" s="87" t="str">
        <f>IFERROR(__xludf.DUMMYFUNCTION("""COMPUTED_VALUE"""),"[Nhãn] GC - IV - 1245 - Thế Danh - Cá Heo - 450ml - 40")</f>
        <v>[Nhãn] GC - IV - 1245 - Thế Danh - Cá Heo - 450ml - 40</v>
      </c>
      <c r="E1773" s="87" t="str">
        <f>IFERROR(__xludf.DUMMYFUNCTION("""COMPUTED_VALUE"""),"NEWFOSINATE 150SL")</f>
        <v>NEWFOSINATE 150SL</v>
      </c>
      <c r="F1773" s="87" t="str">
        <f>IFERROR(__xludf.DUMMYFUNCTION("""COMPUTED_VALUE"""),"HH1245")</f>
        <v>HH1245</v>
      </c>
      <c r="G1773" s="87" t="str">
        <f>IFERROR(__xludf.DUMMYFUNCTION("""COMPUTED_VALUE"""),"GC - IV - 1245 - Thế Danh - Cá Heo - 450ml - 40")</f>
        <v>GC - IV - 1245 - Thế Danh - Cá Heo - 450ml - 40</v>
      </c>
    </row>
    <row r="1774">
      <c r="A1774" s="86">
        <f>IFERROR(__xludf.DUMMYFUNCTION("""COMPUTED_VALUE"""),1772.0)</f>
        <v>1772</v>
      </c>
      <c r="B1774" s="87" t="str">
        <f>IFERROR(__xludf.DUMMYFUNCTION("""COMPUTED_VALUE"""),"Nhãn")</f>
        <v>Nhãn</v>
      </c>
      <c r="C1774" s="87" t="str">
        <f>IFERROR(__xludf.DUMMYFUNCTION("""COMPUTED_VALUE"""),"NHG1246")</f>
        <v>NHG1246</v>
      </c>
      <c r="D1774" s="87" t="str">
        <f>IFERROR(__xludf.DUMMYFUNCTION("""COMPUTED_VALUE"""),"[Nhãn] GC - IV - 1246 - Thế Danh - Con cò - 1L - 20")</f>
        <v>[Nhãn] GC - IV - 1246 - Thế Danh - Con cò - 1L - 20</v>
      </c>
      <c r="E1774" s="87" t="str">
        <f>IFERROR(__xludf.DUMMYFUNCTION("""COMPUTED_VALUE"""),"NEWFOSINATE 150SL")</f>
        <v>NEWFOSINATE 150SL</v>
      </c>
      <c r="F1774" s="87" t="str">
        <f>IFERROR(__xludf.DUMMYFUNCTION("""COMPUTED_VALUE"""),"HH1246")</f>
        <v>HH1246</v>
      </c>
      <c r="G1774" s="87" t="str">
        <f>IFERROR(__xludf.DUMMYFUNCTION("""COMPUTED_VALUE"""),"GC - IV - 1246 - Thế Danh - Con cò - 1L - 20")</f>
        <v>GC - IV - 1246 - Thế Danh - Con cò - 1L - 20</v>
      </c>
    </row>
    <row r="1775">
      <c r="A1775" s="86">
        <f>IFERROR(__xludf.DUMMYFUNCTION("""COMPUTED_VALUE"""),1773.0)</f>
        <v>1773</v>
      </c>
      <c r="B1775" s="87" t="str">
        <f>IFERROR(__xludf.DUMMYFUNCTION("""COMPUTED_VALUE"""),"Nhãn")</f>
        <v>Nhãn</v>
      </c>
      <c r="C1775" s="87" t="str">
        <f>IFERROR(__xludf.DUMMYFUNCTION("""COMPUTED_VALUE"""),"NHG1247")</f>
        <v>NHG1247</v>
      </c>
      <c r="D1775" s="87" t="str">
        <f>IFERROR(__xludf.DUMMYFUNCTION("""COMPUTED_VALUE"""),"[Nhãn] GC - IV - 1247 - Agricare Úc - Sức mạnh Avermectin (nước trong) - 450ml - 40")</f>
        <v>[Nhãn] GC - IV - 1247 - Agricare Úc - Sức mạnh Avermectin (nước trong) - 450ml - 40</v>
      </c>
      <c r="E1775" s="87" t="str">
        <f>IFERROR(__xludf.DUMMYFUNCTION("""COMPUTED_VALUE"""),"HAIHAMEC 3.6EC")</f>
        <v>HAIHAMEC 3.6EC</v>
      </c>
      <c r="F1775" s="87" t="str">
        <f>IFERROR(__xludf.DUMMYFUNCTION("""COMPUTED_VALUE"""),"HH1247")</f>
        <v>HH1247</v>
      </c>
      <c r="G1775" s="87" t="str">
        <f>IFERROR(__xludf.DUMMYFUNCTION("""COMPUTED_VALUE"""),"GC - IV - 1247 - Agricare Úc - Sức mạnh Avermectin (nước trong) - 450ml - 40")</f>
        <v>GC - IV - 1247 - Agricare Úc - Sức mạnh Avermectin (nước trong) - 450ml - 40</v>
      </c>
    </row>
    <row r="1776">
      <c r="A1776" s="86">
        <f>IFERROR(__xludf.DUMMYFUNCTION("""COMPUTED_VALUE"""),1774.0)</f>
        <v>1774</v>
      </c>
      <c r="B1776" s="87" t="str">
        <f>IFERROR(__xludf.DUMMYFUNCTION("""COMPUTED_VALUE"""),"Nhãn")</f>
        <v>Nhãn</v>
      </c>
      <c r="C1776" s="87" t="str">
        <f>IFERROR(__xludf.DUMMYFUNCTION("""COMPUTED_VALUE"""),"NHG1248")</f>
        <v>NHG1248</v>
      </c>
      <c r="D1776" s="87" t="str">
        <f>IFERROR(__xludf.DUMMYFUNCTION("""COMPUTED_VALUE"""),"[Nhãn] GC - IV - 1248 - Agriplant - Xanh Cây - Dày Lá (Nước xanh lá) - 500ml - 40")</f>
        <v>[Nhãn] GC - IV - 1248 - Agriplant - Xanh Cây - Dày Lá (Nước xanh lá) - 500ml - 40</v>
      </c>
      <c r="E1776" s="87" t="str">
        <f>IFERROR(__xludf.DUMMYFUNCTION("""COMPUTED_VALUE"""),"Vi lượng AV1-BOCAXI")</f>
        <v>Vi lượng AV1-BOCAXI</v>
      </c>
      <c r="F1776" s="87" t="str">
        <f>IFERROR(__xludf.DUMMYFUNCTION("""COMPUTED_VALUE"""),"HH1248")</f>
        <v>HH1248</v>
      </c>
      <c r="G1776" s="87" t="str">
        <f>IFERROR(__xludf.DUMMYFUNCTION("""COMPUTED_VALUE"""),"GC - IV - 1248 - Agriplant - Xanh Cây - Dày Lá (Nước xanh lá) - 500ml - 40")</f>
        <v>GC - IV - 1248 - Agriplant - Xanh Cây - Dày Lá (Nước xanh lá) - 500ml - 40</v>
      </c>
    </row>
    <row r="1777">
      <c r="A1777" s="86">
        <f>IFERROR(__xludf.DUMMYFUNCTION("""COMPUTED_VALUE"""),1775.0)</f>
        <v>1775</v>
      </c>
      <c r="B1777" s="87" t="str">
        <f>IFERROR(__xludf.DUMMYFUNCTION("""COMPUTED_VALUE"""),"Nhãn")</f>
        <v>Nhãn</v>
      </c>
      <c r="C1777" s="87" t="str">
        <f>IFERROR(__xludf.DUMMYFUNCTION("""COMPUTED_VALUE"""),"NTN1249")</f>
        <v>NTN1249</v>
      </c>
      <c r="D1777" s="87" t="str">
        <f>IFERROR(__xludf.DUMMYFUNCTION("""COMPUTED_VALUE"""),"[Nhãn] GC - IV - 1249 - Kim Ngọc - Rầy Thái (Bột trắng) - 100gr - 100")</f>
        <v>[Nhãn] GC - IV - 1249 - Kim Ngọc - Rầy Thái (Bột trắng) - 100gr - 100</v>
      </c>
      <c r="E1777" s="87" t="str">
        <f>IFERROR(__xludf.DUMMYFUNCTION("""COMPUTED_VALUE"""),"IMIPRID 10WP")</f>
        <v>IMIPRID 10WP</v>
      </c>
      <c r="F1777" s="87" t="str">
        <f>IFERROR(__xludf.DUMMYFUNCTION("""COMPUTED_VALUE"""),"HH1249")</f>
        <v>HH1249</v>
      </c>
      <c r="G1777" s="87" t="str">
        <f>IFERROR(__xludf.DUMMYFUNCTION("""COMPUTED_VALUE"""),"GC - IV - 1249 - Kim Ngọc - Rầy Thái (Bột trắng) - 100gr - 100")</f>
        <v>GC - IV - 1249 - Kim Ngọc - Rầy Thái (Bột trắng) - 100gr - 100</v>
      </c>
    </row>
    <row r="1778">
      <c r="A1778" s="86">
        <f>IFERROR(__xludf.DUMMYFUNCTION("""COMPUTED_VALUE"""),1776.0)</f>
        <v>1776</v>
      </c>
      <c r="B1778" s="87" t="str">
        <f>IFERROR(__xludf.DUMMYFUNCTION("""COMPUTED_VALUE"""),"Nhãn thùng")</f>
        <v>Nhãn thùng</v>
      </c>
      <c r="C1778" s="87" t="str">
        <f>IFERROR(__xludf.DUMMYFUNCTION("""COMPUTED_VALUE"""),"NDT1249")</f>
        <v>NDT1249</v>
      </c>
      <c r="D1778" s="87" t="str">
        <f>IFERROR(__xludf.DUMMYFUNCTION("""COMPUTED_VALUE"""),"[Nhãn thùng] GC - IV - 1249 - Kim Ngọc - Rầy Thái (Bột trắng) - 100gr - 100")</f>
        <v>[Nhãn thùng] GC - IV - 1249 - Kim Ngọc - Rầy Thái (Bột trắng) - 100gr - 100</v>
      </c>
      <c r="E1778" s="87" t="str">
        <f>IFERROR(__xludf.DUMMYFUNCTION("""COMPUTED_VALUE"""),"IMIPRID 10WP")</f>
        <v>IMIPRID 10WP</v>
      </c>
      <c r="F1778" s="87" t="str">
        <f>IFERROR(__xludf.DUMMYFUNCTION("""COMPUTED_VALUE"""),"HH1249")</f>
        <v>HH1249</v>
      </c>
      <c r="G1778" s="87" t="str">
        <f>IFERROR(__xludf.DUMMYFUNCTION("""COMPUTED_VALUE"""),"GC - IV - 1249 - Kim Ngọc - Rầy Thái (Bột trắng) - 100gr - 100")</f>
        <v>GC - IV - 1249 - Kim Ngọc - Rầy Thái (Bột trắng) - 100gr - 100</v>
      </c>
    </row>
    <row r="1779">
      <c r="A1779" s="86">
        <f>IFERROR(__xludf.DUMMYFUNCTION("""COMPUTED_VALUE"""),1777.0)</f>
        <v>1777</v>
      </c>
      <c r="B1779" s="87" t="str">
        <f>IFERROR(__xludf.DUMMYFUNCTION("""COMPUTED_VALUE"""),"Nhãn")</f>
        <v>Nhãn</v>
      </c>
      <c r="C1779" s="87" t="str">
        <f>IFERROR(__xludf.DUMMYFUNCTION("""COMPUTED_VALUE"""),"NHG1250")</f>
        <v>NHG1250</v>
      </c>
      <c r="D1779" s="87" t="str">
        <f>IFERROR(__xludf.DUMMYFUNCTION("""COMPUTED_VALUE"""),"[Nhãn] LOT IDA Global - I - 1250 - ĐL Ba Bự - Chim Ưng (nước nâu đen) - 450ml - 40")</f>
        <v>[Nhãn] LOT IDA Global - I - 1250 - ĐL Ba Bự - Chim Ưng (nước nâu đen) - 450ml - 40</v>
      </c>
      <c r="E1779" s="87" t="str">
        <f>IFERROR(__xludf.DUMMYFUNCTION("""COMPUTED_VALUE"""),"HAIHAMEC 3.6EC")</f>
        <v>HAIHAMEC 3.6EC</v>
      </c>
      <c r="F1779" s="87" t="str">
        <f>IFERROR(__xludf.DUMMYFUNCTION("""COMPUTED_VALUE"""),"HH1250")</f>
        <v>HH1250</v>
      </c>
      <c r="G1779" s="87" t="str">
        <f>IFERROR(__xludf.DUMMYFUNCTION("""COMPUTED_VALUE"""),"LOT IDA Global - I - 1250 - ĐL Ba Bự - Chim Ưng (nước nâu đen) - 450ml - 40")</f>
        <v>LOT IDA Global - I - 1250 - ĐL Ba Bự - Chim Ưng (nước nâu đen) - 450ml - 40</v>
      </c>
    </row>
    <row r="1780">
      <c r="A1780" s="86">
        <f>IFERROR(__xludf.DUMMYFUNCTION("""COMPUTED_VALUE"""),1778.0)</f>
        <v>1778</v>
      </c>
      <c r="B1780" s="87" t="str">
        <f>IFERROR(__xludf.DUMMYFUNCTION("""COMPUTED_VALUE"""),"Nhãn")</f>
        <v>Nhãn</v>
      </c>
      <c r="C1780" s="87" t="str">
        <f>IFERROR(__xludf.DUMMYFUNCTION("""COMPUTED_VALUE"""),"NHG1251")</f>
        <v>NHG1251</v>
      </c>
      <c r="D1780" s="87" t="str">
        <f>IFERROR(__xludf.DUMMYFUNCTION("""COMPUTED_VALUE"""),"[Nhãn] LOT IDA Global - I - 1251 - Cá Sấu Chúa (Nước nâu đen) - 450ml - 40")</f>
        <v>[Nhãn] LOT IDA Global - I - 1251 - Cá Sấu Chúa (Nước nâu đen) - 450ml - 40</v>
      </c>
      <c r="E1780" s="87" t="str">
        <f>IFERROR(__xludf.DUMMYFUNCTION("""COMPUTED_VALUE"""),"HAIHAMEC 3.6EC")</f>
        <v>HAIHAMEC 3.6EC</v>
      </c>
      <c r="F1780" s="87" t="str">
        <f>IFERROR(__xludf.DUMMYFUNCTION("""COMPUTED_VALUE"""),"HH1251")</f>
        <v>HH1251</v>
      </c>
      <c r="G1780" s="87" t="str">
        <f>IFERROR(__xludf.DUMMYFUNCTION("""COMPUTED_VALUE"""),"LOT IDA Global - I - 1251 - Cá Sấu Chúa (Nước nâu đen) - 450ml - 40")</f>
        <v>LOT IDA Global - I - 1251 - Cá Sấu Chúa (Nước nâu đen) - 450ml - 40</v>
      </c>
    </row>
    <row r="1781">
      <c r="A1781" s="86">
        <f>IFERROR(__xludf.DUMMYFUNCTION("""COMPUTED_VALUE"""),1779.0)</f>
        <v>1779</v>
      </c>
      <c r="B1781" s="87" t="str">
        <f>IFERROR(__xludf.DUMMYFUNCTION("""COMPUTED_VALUE"""),"Nhãn")</f>
        <v>Nhãn</v>
      </c>
      <c r="C1781" s="87" t="str">
        <f>IFERROR(__xludf.DUMMYFUNCTION("""COMPUTED_VALUE"""),"NHG1252")</f>
        <v>NHG1252</v>
      </c>
      <c r="D1781" s="87" t="str">
        <f>IFERROR(__xludf.DUMMYFUNCTION("""COMPUTED_VALUE"""),"[Nhãn] LOT IDA Global - I - 1252 - Abamectin 3.6 (Nước nâu đen) - 450ml - 40")</f>
        <v>[Nhãn] LOT IDA Global - I - 1252 - Abamectin 3.6 (Nước nâu đen) - 450ml - 40</v>
      </c>
      <c r="E1781" s="87" t="str">
        <f>IFERROR(__xludf.DUMMYFUNCTION("""COMPUTED_VALUE"""),"HAIHAMEC 3.6EC")</f>
        <v>HAIHAMEC 3.6EC</v>
      </c>
      <c r="F1781" s="87" t="str">
        <f>IFERROR(__xludf.DUMMYFUNCTION("""COMPUTED_VALUE"""),"HH1252")</f>
        <v>HH1252</v>
      </c>
      <c r="G1781" s="87" t="str">
        <f>IFERROR(__xludf.DUMMYFUNCTION("""COMPUTED_VALUE"""),"LOT IDA Global - I - 1252 - Abamectin 3.6 (Nước nâu đen) - 450ml - 40")</f>
        <v>LOT IDA Global - I - 1252 - Abamectin 3.6 (Nước nâu đen) - 450ml - 40</v>
      </c>
    </row>
    <row r="1782">
      <c r="A1782" s="86">
        <f>IFERROR(__xludf.DUMMYFUNCTION("""COMPUTED_VALUE"""),1780.0)</f>
        <v>1780</v>
      </c>
      <c r="B1782" s="87" t="str">
        <f>IFERROR(__xludf.DUMMYFUNCTION("""COMPUTED_VALUE"""),"Nhãn")</f>
        <v>Nhãn</v>
      </c>
      <c r="C1782" s="87" t="str">
        <f>IFERROR(__xludf.DUMMYFUNCTION("""COMPUTED_VALUE"""),"NHG1253")</f>
        <v>NHG1253</v>
      </c>
      <c r="D1782" s="87" t="str">
        <f>IFERROR(__xludf.DUMMYFUNCTION("""COMPUTED_VALUE"""),"[Nhãn]  GC - II - 1253 - AGRITECH - AGRI EXTRA - (nước vàng) - 120ml - 50")</f>
        <v>[Nhãn]  GC - II - 1253 - AGRITECH - AGRI EXTRA - (nước vàng) - 120ml - 50</v>
      </c>
      <c r="E1782" s="87" t="str">
        <f>IFERROR(__xludf.DUMMYFUNCTION("""COMPUTED_VALUE"""),"Vi lượng Quantity New")</f>
        <v>Vi lượng Quantity New</v>
      </c>
      <c r="F1782" s="87" t="str">
        <f>IFERROR(__xludf.DUMMYFUNCTION("""COMPUTED_VALUE"""),"HH1253")</f>
        <v>HH1253</v>
      </c>
      <c r="G1782" s="87" t="str">
        <f>IFERROR(__xludf.DUMMYFUNCTION("""COMPUTED_VALUE"""),"GC - II - 1253 - AGRITECH - AGRI EXTRA - (nước vàng) - 120ml - 50")</f>
        <v>GC - II - 1253 - AGRITECH - AGRI EXTRA - (nước vàng) - 120ml - 50</v>
      </c>
    </row>
    <row r="1783">
      <c r="A1783" s="86">
        <f>IFERROR(__xludf.DUMMYFUNCTION("""COMPUTED_VALUE"""),1781.0)</f>
        <v>1781</v>
      </c>
      <c r="B1783" s="87" t="str">
        <f>IFERROR(__xludf.DUMMYFUNCTION("""COMPUTED_VALUE"""),"Nhãn")</f>
        <v>Nhãn</v>
      </c>
      <c r="C1783" s="87" t="str">
        <f>IFERROR(__xludf.DUMMYFUNCTION("""COMPUTED_VALUE"""),"NHG1254")</f>
        <v>NHG1254</v>
      </c>
      <c r="D1783" s="87" t="str">
        <f>IFERROR(__xludf.DUMMYFUNCTION("""COMPUTED_VALUE"""),"[Nhãn] LOT IDA Global - I - 1254 - Chim Ưng (Nước nâu đen) - 450ml - 40")</f>
        <v>[Nhãn] LOT IDA Global - I - 1254 - Chim Ưng (Nước nâu đen) - 450ml - 40</v>
      </c>
      <c r="E1783" s="87" t="str">
        <f>IFERROR(__xludf.DUMMYFUNCTION("""COMPUTED_VALUE"""),"HAIHAMEC 3.6EC")</f>
        <v>HAIHAMEC 3.6EC</v>
      </c>
      <c r="F1783" s="87" t="str">
        <f>IFERROR(__xludf.DUMMYFUNCTION("""COMPUTED_VALUE"""),"HH1254")</f>
        <v>HH1254</v>
      </c>
      <c r="G1783" s="87" t="str">
        <f>IFERROR(__xludf.DUMMYFUNCTION("""COMPUTED_VALUE"""),"LOT IDA Global - I - 1254 - Chim Ưng (Nước nâu đen) - 450ml - 40")</f>
        <v>LOT IDA Global - I - 1254 - Chim Ưng (Nước nâu đen) - 450ml - 40</v>
      </c>
    </row>
    <row r="1784">
      <c r="A1784" s="86">
        <f>IFERROR(__xludf.DUMMYFUNCTION("""COMPUTED_VALUE"""),1782.0)</f>
        <v>1782</v>
      </c>
      <c r="B1784" s="87" t="str">
        <f>IFERROR(__xludf.DUMMYFUNCTION("""COMPUTED_VALUE"""),"Nhãn")</f>
        <v>Nhãn</v>
      </c>
      <c r="C1784" s="87" t="str">
        <f>IFERROR(__xludf.DUMMYFUNCTION("""COMPUTED_VALUE"""),"NHD1255")</f>
        <v>NHD1255</v>
      </c>
      <c r="D1784" s="87" t="str">
        <f>IFERROR(__xludf.DUMMYFUNCTION("""COMPUTED_VALUE"""),"[Nhãn] GC - IV - 1255 - Agritech - Reasgann 36 (nước nâu đen) - 450ml - 40")</f>
        <v>[Nhãn] GC - IV - 1255 - Agritech - Reasgann 36 (nước nâu đen) - 450ml - 40</v>
      </c>
      <c r="E1784" s="87" t="str">
        <f>IFERROR(__xludf.DUMMYFUNCTION("""COMPUTED_VALUE"""),"HAIHAMEC 3.6EC")</f>
        <v>HAIHAMEC 3.6EC</v>
      </c>
      <c r="F1784" s="87" t="str">
        <f>IFERROR(__xludf.DUMMYFUNCTION("""COMPUTED_VALUE"""),"HH1255")</f>
        <v>HH1255</v>
      </c>
      <c r="G1784" s="87" t="str">
        <f>IFERROR(__xludf.DUMMYFUNCTION("""COMPUTED_VALUE"""),"GC - IV - 1255 - Agritech - Reasgann 36 (nước nâu đen) - 450ml - 40")</f>
        <v>GC - IV - 1255 - Agritech - Reasgann 36 (nước nâu đen) - 450ml - 40</v>
      </c>
    </row>
    <row r="1785">
      <c r="A1785" s="86">
        <f>IFERROR(__xludf.DUMMYFUNCTION("""COMPUTED_VALUE"""),1783.0)</f>
        <v>1783</v>
      </c>
      <c r="B1785" s="87" t="str">
        <f>IFERROR(__xludf.DUMMYFUNCTION("""COMPUTED_VALUE"""),"Nhãn")</f>
        <v>Nhãn</v>
      </c>
      <c r="C1785" s="87" t="str">
        <f>IFERROR(__xludf.DUMMYFUNCTION("""COMPUTED_VALUE"""),"NHG1256")</f>
        <v>NHG1256</v>
      </c>
      <c r="D1785" s="87" t="str">
        <f>IFERROR(__xludf.DUMMYFUNCTION("""COMPUTED_VALUE"""),"[Nhãn] GC - II - 1256 - Mekong Group - Phượng Hoàng Lửa - 900ml - 20")</f>
        <v>[Nhãn] GC - II - 1256 - Mekong Group - Phượng Hoàng Lửa - 900ml - 20</v>
      </c>
      <c r="E1785" s="87" t="str">
        <f>IFERROR(__xludf.DUMMYFUNCTION("""COMPUTED_VALUE"""),"NEWFOSINATE 150SL")</f>
        <v>NEWFOSINATE 150SL</v>
      </c>
      <c r="F1785" s="87" t="str">
        <f>IFERROR(__xludf.DUMMYFUNCTION("""COMPUTED_VALUE"""),"HH1256")</f>
        <v>HH1256</v>
      </c>
      <c r="G1785" s="87" t="str">
        <f>IFERROR(__xludf.DUMMYFUNCTION("""COMPUTED_VALUE"""),"GC - II - 1256 - Mekong Group - Phượng Hoàng Lửa - 900ml - 20")</f>
        <v>GC - II - 1256 - Mekong Group - Phượng Hoàng Lửa - 900ml - 20</v>
      </c>
    </row>
    <row r="1786">
      <c r="A1786" s="86">
        <f>IFERROR(__xludf.DUMMYFUNCTION("""COMPUTED_VALUE"""),1784.0)</f>
        <v>1784</v>
      </c>
      <c r="B1786" s="87" t="str">
        <f>IFERROR(__xludf.DUMMYFUNCTION("""COMPUTED_VALUE"""),"Nhãn")</f>
        <v>Nhãn</v>
      </c>
      <c r="C1786" s="87" t="str">
        <f>IFERROR(__xludf.DUMMYFUNCTION("""COMPUTED_VALUE"""),"NHD1257")</f>
        <v>NHD1257</v>
      </c>
      <c r="D1786" s="87" t="str">
        <f>IFERROR(__xludf.DUMMYFUNCTION("""COMPUTED_VALUE"""),"[Nhãn] GC - IV - 1257 - ABA - Newfox-150 (Nước đỏ) - 900ml - 20")</f>
        <v>[Nhãn] GC - IV - 1257 - ABA - Newfox-150 (Nước đỏ) - 900ml - 20</v>
      </c>
      <c r="E1786" s="87" t="str">
        <f>IFERROR(__xludf.DUMMYFUNCTION("""COMPUTED_VALUE"""),"NEWFOSINATE 150SL")</f>
        <v>NEWFOSINATE 150SL</v>
      </c>
      <c r="F1786" s="87" t="str">
        <f>IFERROR(__xludf.DUMMYFUNCTION("""COMPUTED_VALUE"""),"HH1257")</f>
        <v>HH1257</v>
      </c>
      <c r="G1786" s="87" t="str">
        <f>IFERROR(__xludf.DUMMYFUNCTION("""COMPUTED_VALUE"""),"GC - IV - 1257 - ABA - Newfox-150 (Nước đỏ) - 900ml - 20")</f>
        <v>GC - IV - 1257 - ABA - Newfox-150 (Nước đỏ) - 900ml - 20</v>
      </c>
    </row>
    <row r="1787">
      <c r="A1787" s="86">
        <f>IFERROR(__xludf.DUMMYFUNCTION("""COMPUTED_VALUE"""),1785.0)</f>
        <v>1785</v>
      </c>
      <c r="B1787" s="87" t="str">
        <f>IFERROR(__xludf.DUMMYFUNCTION("""COMPUTED_VALUE"""),"Nhãn")</f>
        <v>Nhãn</v>
      </c>
      <c r="C1787" s="87" t="str">
        <f>IFERROR(__xludf.DUMMYFUNCTION("""COMPUTED_VALUE"""),"NHG1258")</f>
        <v>NHG1258</v>
      </c>
      <c r="D1787" s="87" t="str">
        <f>IFERROR(__xludf.DUMMYFUNCTION("""COMPUTED_VALUE"""),"[Nhãn] GC - IV - 1258 - Master Win - Amino Stalk (Nước nâu đen) - 500ml - 40")</f>
        <v>[Nhãn] GC - IV - 1258 - Master Win - Amino Stalk (Nước nâu đen) - 500ml - 40</v>
      </c>
      <c r="E1787" s="87" t="str">
        <f>IFERROR(__xludf.DUMMYFUNCTION("""COMPUTED_VALUE"""),"Vi lượng Basel VA02")</f>
        <v>Vi lượng Basel VA02</v>
      </c>
      <c r="F1787" s="87" t="str">
        <f>IFERROR(__xludf.DUMMYFUNCTION("""COMPUTED_VALUE"""),"HH1258")</f>
        <v>HH1258</v>
      </c>
      <c r="G1787" s="87" t="str">
        <f>IFERROR(__xludf.DUMMYFUNCTION("""COMPUTED_VALUE"""),"GC - IV - 1258 - Master Win - Amino Stalk (Nước nâu đen) - 500ml - 40")</f>
        <v>GC - IV - 1258 - Master Win - Amino Stalk (Nước nâu đen) - 500ml - 40</v>
      </c>
    </row>
    <row r="1788">
      <c r="A1788" s="86">
        <f>IFERROR(__xludf.DUMMYFUNCTION("""COMPUTED_VALUE"""),1786.0)</f>
        <v>1786</v>
      </c>
      <c r="B1788" s="87" t="str">
        <f>IFERROR(__xludf.DUMMYFUNCTION("""COMPUTED_VALUE"""),"Nhãn")</f>
        <v>Nhãn</v>
      </c>
      <c r="C1788" s="87" t="str">
        <f>IFERROR(__xludf.DUMMYFUNCTION("""COMPUTED_VALUE"""),"NHG1259")</f>
        <v>NHG1259</v>
      </c>
      <c r="D1788" s="87" t="str">
        <f>IFERROR(__xludf.DUMMYFUNCTION("""COMPUTED_VALUE"""),"[Nhãn] LOT IDA Global - I - 1259 - Cỏ Lưu Dẫn (Nước đỏ) - 900ml - 20")</f>
        <v>[Nhãn] LOT IDA Global - I - 1259 - Cỏ Lưu Dẫn (Nước đỏ) - 900ml - 20</v>
      </c>
      <c r="E1788" s="87" t="str">
        <f>IFERROR(__xludf.DUMMYFUNCTION("""COMPUTED_VALUE"""),"GLURIVER 200SL")</f>
        <v>GLURIVER 200SL</v>
      </c>
      <c r="F1788" s="87" t="str">
        <f>IFERROR(__xludf.DUMMYFUNCTION("""COMPUTED_VALUE"""),"HH1259")</f>
        <v>HH1259</v>
      </c>
      <c r="G1788" s="87" t="str">
        <f>IFERROR(__xludf.DUMMYFUNCTION("""COMPUTED_VALUE"""),"LOT IDA Global - I - 1259 - Cỏ Lưu Dẫn (Nước đỏ) - 900ml - 20")</f>
        <v>LOT IDA Global - I - 1259 - Cỏ Lưu Dẫn (Nước đỏ) - 900ml - 20</v>
      </c>
    </row>
    <row r="1789">
      <c r="A1789" s="86">
        <f>IFERROR(__xludf.DUMMYFUNCTION("""COMPUTED_VALUE"""),1787.0)</f>
        <v>1787</v>
      </c>
      <c r="B1789" s="87" t="str">
        <f>IFERROR(__xludf.DUMMYFUNCTION("""COMPUTED_VALUE"""),"Nhãn")</f>
        <v>Nhãn</v>
      </c>
      <c r="C1789" s="87" t="str">
        <f>IFERROR(__xludf.DUMMYFUNCTION("""COMPUTED_VALUE"""),"NHG1260")</f>
        <v>NHG1260</v>
      </c>
      <c r="D1789" s="87" t="str">
        <f>IFERROR(__xludf.DUMMYFUNCTION("""COMPUTED_VALUE"""),"[Nhãn] LOT IDA Global - I - 1260 - Cỏ Lưu Dẫn-Glu200 (Nước xanh lá) - 900ml - 20")</f>
        <v>[Nhãn] LOT IDA Global - I - 1260 - Cỏ Lưu Dẫn-Glu200 (Nước xanh lá) - 900ml - 20</v>
      </c>
      <c r="E1789" s="87" t="str">
        <f>IFERROR(__xludf.DUMMYFUNCTION("""COMPUTED_VALUE"""),"GLURIVER 200SL")</f>
        <v>GLURIVER 200SL</v>
      </c>
      <c r="F1789" s="87" t="str">
        <f>IFERROR(__xludf.DUMMYFUNCTION("""COMPUTED_VALUE"""),"HH1260")</f>
        <v>HH1260</v>
      </c>
      <c r="G1789" s="87" t="str">
        <f>IFERROR(__xludf.DUMMYFUNCTION("""COMPUTED_VALUE"""),"LOT IDA Global - I - 1260 - Cỏ Lưu Dẫn-Glu200 (Nước xanh lá) - 900ml - 20")</f>
        <v>LOT IDA Global - I - 1260 - Cỏ Lưu Dẫn-Glu200 (Nước xanh lá) - 900ml - 20</v>
      </c>
    </row>
    <row r="1790">
      <c r="A1790" s="86">
        <f>IFERROR(__xludf.DUMMYFUNCTION("""COMPUTED_VALUE"""),1788.0)</f>
        <v>1788</v>
      </c>
      <c r="B1790" s="87" t="str">
        <f>IFERROR(__xludf.DUMMYFUNCTION("""COMPUTED_VALUE"""),"Nhãn")</f>
        <v>Nhãn</v>
      </c>
      <c r="C1790" s="87" t="str">
        <f>IFERROR(__xludf.DUMMYFUNCTION("""COMPUTED_VALUE"""),"NHG1261")</f>
        <v>NHG1261</v>
      </c>
      <c r="D1790" s="87" t="str">
        <f>IFERROR(__xludf.DUMMYFUNCTION("""COMPUTED_VALUE"""),"[Nhãn] LOT IDA Global - I - 1261 - ĐL Tập Hưng - Gà Râu (Nước nâu đen) - 450ml - 40")</f>
        <v>[Nhãn] LOT IDA Global - I - 1261 - ĐL Tập Hưng - Gà Râu (Nước nâu đen) - 450ml - 40</v>
      </c>
      <c r="E1790" s="87" t="str">
        <f>IFERROR(__xludf.DUMMYFUNCTION("""COMPUTED_VALUE"""),"HAIHAMEC 3.6EC")</f>
        <v>HAIHAMEC 3.6EC</v>
      </c>
      <c r="F1790" s="87" t="str">
        <f>IFERROR(__xludf.DUMMYFUNCTION("""COMPUTED_VALUE"""),"HH1261")</f>
        <v>HH1261</v>
      </c>
      <c r="G1790" s="87" t="str">
        <f>IFERROR(__xludf.DUMMYFUNCTION("""COMPUTED_VALUE"""),"LOT IDA Global - I - 1261 - ĐL Tập Hưng - Gà Râu (Nước nâu đen) - 450ml - 40")</f>
        <v>LOT IDA Global - I - 1261 - ĐL Tập Hưng - Gà Râu (Nước nâu đen) - 450ml - 40</v>
      </c>
    </row>
    <row r="1791">
      <c r="A1791" s="86">
        <f>IFERROR(__xludf.DUMMYFUNCTION("""COMPUTED_VALUE"""),1789.0)</f>
        <v>1789</v>
      </c>
      <c r="B1791" s="87" t="str">
        <f>IFERROR(__xludf.DUMMYFUNCTION("""COMPUTED_VALUE"""),"Nhãn")</f>
        <v>Nhãn</v>
      </c>
      <c r="C1791" s="87" t="str">
        <f>IFERROR(__xludf.DUMMYFUNCTION("""COMPUTED_VALUE"""),"NHD1262")</f>
        <v>NHD1262</v>
      </c>
      <c r="D1791" s="87" t="str">
        <f>IFERROR(__xludf.DUMMYFUNCTION("""COMPUTED_VALUE"""),"[Nhãn] LOT IDA Global - I - 1262 - ĐL Tập Hưng - Con Cọp 36 (Nước nâu đen) - 450ml - 40")</f>
        <v>[Nhãn] LOT IDA Global - I - 1262 - ĐL Tập Hưng - Con Cọp 36 (Nước nâu đen) - 450ml - 40</v>
      </c>
      <c r="E1791" s="87" t="str">
        <f>IFERROR(__xludf.DUMMYFUNCTION("""COMPUTED_VALUE"""),"Chitin 3.6EC")</f>
        <v>Chitin 3.6EC</v>
      </c>
      <c r="F1791" s="87" t="str">
        <f>IFERROR(__xludf.DUMMYFUNCTION("""COMPUTED_VALUE"""),"HH1262")</f>
        <v>HH1262</v>
      </c>
      <c r="G1791" s="87" t="str">
        <f>IFERROR(__xludf.DUMMYFUNCTION("""COMPUTED_VALUE"""),"LOT IDA Global - I - 1262 - ĐL Tập Hưng - Con Cọp 36 (Nước nâu đen) - 450ml - 40")</f>
        <v>LOT IDA Global - I - 1262 - ĐL Tập Hưng - Con Cọp 36 (Nước nâu đen) - 450ml - 40</v>
      </c>
    </row>
    <row r="1792">
      <c r="A1792" s="86">
        <f>IFERROR(__xludf.DUMMYFUNCTION("""COMPUTED_VALUE"""),1790.0)</f>
        <v>1790</v>
      </c>
      <c r="B1792" s="87" t="str">
        <f>IFERROR(__xludf.DUMMYFUNCTION("""COMPUTED_VALUE"""),"Nhãn")</f>
        <v>Nhãn</v>
      </c>
      <c r="C1792" s="87" t="str">
        <f>IFERROR(__xludf.DUMMYFUNCTION("""COMPUTED_VALUE"""),"NTN1263")</f>
        <v>NTN1263</v>
      </c>
      <c r="D1792" s="87" t="str">
        <f>IFERROR(__xludf.DUMMYFUNCTION("""COMPUTED_VALUE"""),"[Nhãn] LOT IDA Global - I - 1263 - ĐL Hai Nhóm - Mancozeb xanh (bột xanh) - 1 Kg - 20")</f>
        <v>[Nhãn] LOT IDA Global - I - 1263 - ĐL Hai Nhóm - Mancozeb xanh (bột xanh) - 1 Kg - 20</v>
      </c>
      <c r="E1792" s="87" t="str">
        <f>IFERROR(__xludf.DUMMYFUNCTION("""COMPUTED_VALUE"""),"TVZEB 800WP")</f>
        <v>TVZEB 800WP</v>
      </c>
      <c r="F1792" s="87" t="str">
        <f>IFERROR(__xludf.DUMMYFUNCTION("""COMPUTED_VALUE"""),"HH1263")</f>
        <v>HH1263</v>
      </c>
      <c r="G1792" s="87" t="str">
        <f>IFERROR(__xludf.DUMMYFUNCTION("""COMPUTED_VALUE"""),"LOT IDA Global - I - 1263 - ĐL Hai Nhóm - Mancozeb xanh (bột xanh) - 1 Kg - 20")</f>
        <v>LOT IDA Global - I - 1263 - ĐL Hai Nhóm - Mancozeb xanh (bột xanh) - 1 Kg - 20</v>
      </c>
    </row>
    <row r="1793">
      <c r="A1793" s="86">
        <f>IFERROR(__xludf.DUMMYFUNCTION("""COMPUTED_VALUE"""),1791.0)</f>
        <v>1791</v>
      </c>
      <c r="B1793" s="87" t="str">
        <f>IFERROR(__xludf.DUMMYFUNCTION("""COMPUTED_VALUE"""),"Nhãn thùng")</f>
        <v>Nhãn thùng</v>
      </c>
      <c r="C1793" s="87" t="str">
        <f>IFERROR(__xludf.DUMMYFUNCTION("""COMPUTED_VALUE"""),"NDT1263")</f>
        <v>NDT1263</v>
      </c>
      <c r="D1793" s="87" t="str">
        <f>IFERROR(__xludf.DUMMYFUNCTION("""COMPUTED_VALUE"""),"[Nhãn thùng] LOT IDA Global - I - 1263 - ĐL Hai Nhóm - Mancozeb xanh (bột xanh) - 1 Kg - 20")</f>
        <v>[Nhãn thùng] LOT IDA Global - I - 1263 - ĐL Hai Nhóm - Mancozeb xanh (bột xanh) - 1 Kg - 20</v>
      </c>
      <c r="E1793" s="87" t="str">
        <f>IFERROR(__xludf.DUMMYFUNCTION("""COMPUTED_VALUE"""),"TVZEB 800WP")</f>
        <v>TVZEB 800WP</v>
      </c>
      <c r="F1793" s="87" t="str">
        <f>IFERROR(__xludf.DUMMYFUNCTION("""COMPUTED_VALUE"""),"HH1263")</f>
        <v>HH1263</v>
      </c>
      <c r="G1793" s="87" t="str">
        <f>IFERROR(__xludf.DUMMYFUNCTION("""COMPUTED_VALUE"""),"LOT IDA Global - I - 1263 - ĐL Hai Nhóm - Mancozeb xanh (bột xanh) - 1 Kg - 20")</f>
        <v>LOT IDA Global - I - 1263 - ĐL Hai Nhóm - Mancozeb xanh (bột xanh) - 1 Kg - 20</v>
      </c>
    </row>
    <row r="1794">
      <c r="A1794" s="86">
        <f>IFERROR(__xludf.DUMMYFUNCTION("""COMPUTED_VALUE"""),1792.0)</f>
        <v>1792</v>
      </c>
      <c r="B1794" s="87" t="str">
        <f>IFERROR(__xludf.DUMMYFUNCTION("""COMPUTED_VALUE"""),"Nhãn")</f>
        <v>Nhãn</v>
      </c>
      <c r="C1794" s="87" t="str">
        <f>IFERROR(__xludf.DUMMYFUNCTION("""COMPUTED_VALUE"""),"NHG1266")</f>
        <v>NHG1266</v>
      </c>
      <c r="D1794" s="87" t="str">
        <f>IFERROR(__xludf.DUMMYFUNCTION("""COMPUTED_VALUE"""),"[Nhãn] GC - II - 1266 - Mekong Group - Abamectin 36 (Nước nâu đen) - 450ml - 40")</f>
        <v>[Nhãn] GC - II - 1266 - Mekong Group - Abamectin 36 (Nước nâu đen) - 450ml - 40</v>
      </c>
      <c r="E1794" s="87" t="str">
        <f>IFERROR(__xludf.DUMMYFUNCTION("""COMPUTED_VALUE"""),"HAIHAMEC 3.6EC")</f>
        <v>HAIHAMEC 3.6EC</v>
      </c>
      <c r="F1794" s="87" t="str">
        <f>IFERROR(__xludf.DUMMYFUNCTION("""COMPUTED_VALUE"""),"HH1266")</f>
        <v>HH1266</v>
      </c>
      <c r="G1794" s="87" t="str">
        <f>IFERROR(__xludf.DUMMYFUNCTION("""COMPUTED_VALUE"""),"GC - II - 1266 - Mekong Group - Abamectin 36 (Nước nâu đen) - 450ml - 40")</f>
        <v>GC - II - 1266 - Mekong Group - Abamectin 36 (Nước nâu đen) - 450ml - 40</v>
      </c>
    </row>
    <row r="1795">
      <c r="A1795" s="86">
        <f>IFERROR(__xludf.DUMMYFUNCTION("""COMPUTED_VALUE"""),1793.0)</f>
        <v>1793</v>
      </c>
      <c r="B1795" s="87" t="str">
        <f>IFERROR(__xludf.DUMMYFUNCTION("""COMPUTED_VALUE"""),"Nhãn")</f>
        <v>Nhãn</v>
      </c>
      <c r="C1795" s="87" t="str">
        <f>IFERROR(__xludf.DUMMYFUNCTION("""COMPUTED_VALUE"""),"NHG1272")</f>
        <v>NHG1272</v>
      </c>
      <c r="D1795" s="87" t="str">
        <f>IFERROR(__xludf.DUMMYFUNCTION("""COMPUTED_VALUE"""),"[Nhãn] GC - II - 1272 - Mekong Group - Sức Mạnh Bò Tót (Nước đỏ) - 900ml - 20")</f>
        <v>[Nhãn] GC - II - 1272 - Mekong Group - Sức Mạnh Bò Tót (Nước đỏ) - 900ml - 20</v>
      </c>
      <c r="E1795" s="87" t="str">
        <f>IFERROR(__xludf.DUMMYFUNCTION("""COMPUTED_VALUE"""),"GLURIVER 200SL")</f>
        <v>GLURIVER 200SL</v>
      </c>
      <c r="F1795" s="87" t="str">
        <f>IFERROR(__xludf.DUMMYFUNCTION("""COMPUTED_VALUE"""),"HH1272")</f>
        <v>HH1272</v>
      </c>
      <c r="G1795" s="87" t="str">
        <f>IFERROR(__xludf.DUMMYFUNCTION("""COMPUTED_VALUE"""),"GC - II - 1272 - Mekong Group - Sức Mạnh Bò Tót (Nước đỏ) - 900ml - 20")</f>
        <v>GC - II - 1272 - Mekong Group - Sức Mạnh Bò Tót (Nước đỏ) - 900ml - 20</v>
      </c>
    </row>
    <row r="1796">
      <c r="A1796" s="86">
        <f>IFERROR(__xludf.DUMMYFUNCTION("""COMPUTED_VALUE"""),1794.0)</f>
        <v>1794</v>
      </c>
      <c r="B1796" s="87" t="str">
        <f>IFERROR(__xludf.DUMMYFUNCTION("""COMPUTED_VALUE"""),"Nhãn")</f>
        <v>Nhãn</v>
      </c>
      <c r="C1796" s="87" t="str">
        <f>IFERROR(__xludf.DUMMYFUNCTION("""COMPUTED_VALUE"""),"NTN1273")</f>
        <v>NTN1273</v>
      </c>
      <c r="D1796" s="87" t="str">
        <f>IFERROR(__xludf.DUMMYFUNCTION("""COMPUTED_VALUE"""),"[Nhãn] GC - IV - 1273 - Agrikey VN - Siêu diệt khuẩn (Bột trắng) - 25gr - 300")</f>
        <v>[Nhãn] GC - IV - 1273 - Agrikey VN - Siêu diệt khuẩn (Bột trắng) - 25gr - 300</v>
      </c>
      <c r="E1796" s="87" t="str">
        <f>IFERROR(__xludf.DUMMYFUNCTION("""COMPUTED_VALUE"""),"Oxycin 100WP")</f>
        <v>Oxycin 100WP</v>
      </c>
      <c r="F1796" s="87" t="str">
        <f>IFERROR(__xludf.DUMMYFUNCTION("""COMPUTED_VALUE"""),"HH1273")</f>
        <v>HH1273</v>
      </c>
      <c r="G1796" s="87" t="str">
        <f>IFERROR(__xludf.DUMMYFUNCTION("""COMPUTED_VALUE"""),"GC - IV - 1273 - Agrikey VN - Siêu diệt khuẩn (Bột trắng) - 25gr - 300")</f>
        <v>GC - IV - 1273 - Agrikey VN - Siêu diệt khuẩn (Bột trắng) - 25gr - 300</v>
      </c>
    </row>
    <row r="1797">
      <c r="A1797" s="86">
        <f>IFERROR(__xludf.DUMMYFUNCTION("""COMPUTED_VALUE"""),1795.0)</f>
        <v>1795</v>
      </c>
      <c r="B1797" s="87" t="str">
        <f>IFERROR(__xludf.DUMMYFUNCTION("""COMPUTED_VALUE"""),"Nhãn")</f>
        <v>Nhãn</v>
      </c>
      <c r="C1797" s="87" t="str">
        <f>IFERROR(__xludf.DUMMYFUNCTION("""COMPUTED_VALUE"""),"NHG1274")</f>
        <v>NHG1274</v>
      </c>
      <c r="D1797" s="87" t="str">
        <f>IFERROR(__xludf.DUMMYFUNCTION("""COMPUTED_VALUE"""),"[Nhãn] GC - IV - 1274 - GNH - Siêu Ra Hoa Đậu Trái (Nước nâu đen) - 500ml - 40")</f>
        <v>[Nhãn] GC - IV - 1274 - GNH - Siêu Ra Hoa Đậu Trái (Nước nâu đen) - 500ml - 40</v>
      </c>
      <c r="E1797" s="87" t="str">
        <f>IFERROR(__xludf.DUMMYFUNCTION("""COMPUTED_VALUE"""),"Vi lượng Basel VA02")</f>
        <v>Vi lượng Basel VA02</v>
      </c>
      <c r="F1797" s="87" t="str">
        <f>IFERROR(__xludf.DUMMYFUNCTION("""COMPUTED_VALUE"""),"HH1274")</f>
        <v>HH1274</v>
      </c>
      <c r="G1797" s="87" t="str">
        <f>IFERROR(__xludf.DUMMYFUNCTION("""COMPUTED_VALUE"""),"GC - IV - 1274 - GNH - Siêu Ra Hoa Đậu Trái (Nước nâu đen) - 500ml - 40")</f>
        <v>GC - IV - 1274 - GNH - Siêu Ra Hoa Đậu Trái (Nước nâu đen) - 500ml - 40</v>
      </c>
    </row>
    <row r="1798">
      <c r="A1798" s="86">
        <f>IFERROR(__xludf.DUMMYFUNCTION("""COMPUTED_VALUE"""),1796.0)</f>
        <v>1796</v>
      </c>
      <c r="B1798" s="87" t="str">
        <f>IFERROR(__xludf.DUMMYFUNCTION("""COMPUTED_VALUE"""),"Nhãn")</f>
        <v>Nhãn</v>
      </c>
      <c r="C1798" s="87" t="str">
        <f>IFERROR(__xludf.DUMMYFUNCTION("""COMPUTED_VALUE"""),"NTN1275")</f>
        <v>NTN1275</v>
      </c>
      <c r="D1798" s="87" t="str">
        <f>IFERROR(__xludf.DUMMYFUNCTION("""COMPUTED_VALUE"""),"[Nhãn] LOT AGC - II - 1275 - ĐL Ba Tiền - Imiprid 10WP (Bột trắng) - 100gr - 100")</f>
        <v>[Nhãn] LOT AGC - II - 1275 - ĐL Ba Tiền - Imiprid 10WP (Bột trắng) - 100gr - 100</v>
      </c>
      <c r="E1798" s="87" t="str">
        <f>IFERROR(__xludf.DUMMYFUNCTION("""COMPUTED_VALUE"""),"IMIPRID 10WP")</f>
        <v>IMIPRID 10WP</v>
      </c>
      <c r="F1798" s="87" t="str">
        <f>IFERROR(__xludf.DUMMYFUNCTION("""COMPUTED_VALUE"""),"HH1275")</f>
        <v>HH1275</v>
      </c>
      <c r="G1798" s="87" t="str">
        <f>IFERROR(__xludf.DUMMYFUNCTION("""COMPUTED_VALUE"""),"LOT AGC - II - 1275 - ĐL Ba Tiền - Imiprid 10WP (Bột trắng) - 100gr - 100")</f>
        <v>LOT AGC - II - 1275 - ĐL Ba Tiền - Imiprid 10WP (Bột trắng) - 100gr - 100</v>
      </c>
    </row>
    <row r="1799">
      <c r="A1799" s="86">
        <f>IFERROR(__xludf.DUMMYFUNCTION("""COMPUTED_VALUE"""),1797.0)</f>
        <v>1797</v>
      </c>
      <c r="B1799" s="87" t="str">
        <f>IFERROR(__xludf.DUMMYFUNCTION("""COMPUTED_VALUE"""),"Nhãn")</f>
        <v>Nhãn</v>
      </c>
      <c r="C1799" s="87" t="str">
        <f>IFERROR(__xludf.DUMMYFUNCTION("""COMPUTED_VALUE"""),"NHG1276")</f>
        <v>NHG1276</v>
      </c>
      <c r="D1799" s="87" t="str">
        <f>IFERROR(__xludf.DUMMYFUNCTION("""COMPUTED_VALUE"""),"[Nhãn] GC - IV - 1276 - Thế Danh - Con Dê (Nước xanh lá) - 900ml - 20")</f>
        <v>[Nhãn] GC - IV - 1276 - Thế Danh - Con Dê (Nước xanh lá) - 900ml - 20</v>
      </c>
      <c r="E1799" s="87" t="str">
        <f>IFERROR(__xludf.DUMMYFUNCTION("""COMPUTED_VALUE"""),"GLURIVER 200SL")</f>
        <v>GLURIVER 200SL</v>
      </c>
      <c r="F1799" s="87" t="str">
        <f>IFERROR(__xludf.DUMMYFUNCTION("""COMPUTED_VALUE"""),"HH1276")</f>
        <v>HH1276</v>
      </c>
      <c r="G1799" s="87" t="str">
        <f>IFERROR(__xludf.DUMMYFUNCTION("""COMPUTED_VALUE"""),"GC - IV - 1276 - Thế Danh - Con Dê (Nước xanh lá) - 900ml - 20")</f>
        <v>GC - IV - 1276 - Thế Danh - Con Dê (Nước xanh lá) - 900ml - 20</v>
      </c>
    </row>
    <row r="1800">
      <c r="A1800" s="86">
        <f>IFERROR(__xludf.DUMMYFUNCTION("""COMPUTED_VALUE"""),1798.0)</f>
        <v>1798</v>
      </c>
      <c r="B1800" s="87" t="str">
        <f>IFERROR(__xludf.DUMMYFUNCTION("""COMPUTED_VALUE"""),"Nhãn")</f>
        <v>Nhãn</v>
      </c>
      <c r="C1800" s="87" t="str">
        <f>IFERROR(__xludf.DUMMYFUNCTION("""COMPUTED_VALUE"""),"NHG1277")</f>
        <v>NHG1277</v>
      </c>
      <c r="D1800" s="87" t="str">
        <f>IFERROR(__xludf.DUMMYFUNCTION("""COMPUTED_VALUE"""),"[Nhãn] GC - IV - 1277 - Cty Nauy - Nauy Vô Gạo (Nước nâu đen) - 500ml - 40")</f>
        <v>[Nhãn] GC - IV - 1277 - Cty Nauy - Nauy Vô Gạo (Nước nâu đen) - 500ml - 40</v>
      </c>
      <c r="E1800" s="87" t="str">
        <f>IFERROR(__xludf.DUMMYFUNCTION("""COMPUTED_VALUE"""),"Vi lượng Basel VA02")</f>
        <v>Vi lượng Basel VA02</v>
      </c>
      <c r="F1800" s="87" t="str">
        <f>IFERROR(__xludf.DUMMYFUNCTION("""COMPUTED_VALUE"""),"HH1277")</f>
        <v>HH1277</v>
      </c>
      <c r="G1800" s="87" t="str">
        <f>IFERROR(__xludf.DUMMYFUNCTION("""COMPUTED_VALUE"""),"GC - IV - 1277 - Cty Nauy - Nauy Vô Gạo (Nước nâu đen) - 500ml - 40")</f>
        <v>GC - IV - 1277 - Cty Nauy - Nauy Vô Gạo (Nước nâu đen) - 500ml - 40</v>
      </c>
    </row>
    <row r="1801">
      <c r="A1801" s="86">
        <f>IFERROR(__xludf.DUMMYFUNCTION("""COMPUTED_VALUE"""),1799.0)</f>
        <v>1799</v>
      </c>
      <c r="B1801" s="87" t="str">
        <f>IFERROR(__xludf.DUMMYFUNCTION("""COMPUTED_VALUE"""),"Nhãn")</f>
        <v>Nhãn</v>
      </c>
      <c r="C1801" s="87" t="str">
        <f>IFERROR(__xludf.DUMMYFUNCTION("""COMPUTED_VALUE"""),"NHG1282")</f>
        <v>NHG1282</v>
      </c>
      <c r="D1801" s="87" t="str">
        <f>IFERROR(__xludf.DUMMYFUNCTION("""COMPUTED_VALUE"""),"[Nhãn] LOT IDA Global - I - 1282 - Cỏ Lưu Dẫn - Glu150 (Nước xanh lá) - 900ml - 20")</f>
        <v>[Nhãn] LOT IDA Global - I - 1282 - Cỏ Lưu Dẫn - Glu150 (Nước xanh lá) - 900ml - 20</v>
      </c>
      <c r="E1801" s="87" t="str">
        <f>IFERROR(__xludf.DUMMYFUNCTION("""COMPUTED_VALUE"""),"NEWFOSINATE 150SL")</f>
        <v>NEWFOSINATE 150SL</v>
      </c>
      <c r="F1801" s="87" t="str">
        <f>IFERROR(__xludf.DUMMYFUNCTION("""COMPUTED_VALUE"""),"HH1282")</f>
        <v>HH1282</v>
      </c>
      <c r="G1801" s="87" t="str">
        <f>IFERROR(__xludf.DUMMYFUNCTION("""COMPUTED_VALUE"""),"LOT IDA Global - I - 1282 - Cỏ Lưu Dẫn - Glu150 (Nước xanh lá) - 900ml - 20")</f>
        <v>LOT IDA Global - I - 1282 - Cỏ Lưu Dẫn - Glu150 (Nước xanh lá) - 900ml - 20</v>
      </c>
    </row>
    <row r="1802">
      <c r="A1802" s="86">
        <f>IFERROR(__xludf.DUMMYFUNCTION("""COMPUTED_VALUE"""),1800.0)</f>
        <v>1800</v>
      </c>
      <c r="B1802" s="87" t="str">
        <f>IFERROR(__xludf.DUMMYFUNCTION("""COMPUTED_VALUE"""),"Nhãn")</f>
        <v>Nhãn</v>
      </c>
      <c r="C1802" s="87" t="str">
        <f>IFERROR(__xludf.DUMMYFUNCTION("""COMPUTED_VALUE"""),"NHG1283")</f>
        <v>NHG1283</v>
      </c>
      <c r="D1802" s="87" t="str">
        <f>IFERROR(__xludf.DUMMYFUNCTION("""COMPUTED_VALUE"""),"[Nhãn] GC - IV - 1283 - Cty Agritech - Agri Amino (Chuyên lúa và rau màu) (Nước nâu đen) - 500ml - 40")</f>
        <v>[Nhãn] GC - IV - 1283 - Cty Agritech - Agri Amino (Chuyên lúa và rau màu) (Nước nâu đen) - 500ml - 40</v>
      </c>
      <c r="E1802" s="87" t="str">
        <f>IFERROR(__xludf.DUMMYFUNCTION("""COMPUTED_VALUE"""),"Vi lượng Basel VA02")</f>
        <v>Vi lượng Basel VA02</v>
      </c>
      <c r="F1802" s="87" t="str">
        <f>IFERROR(__xludf.DUMMYFUNCTION("""COMPUTED_VALUE"""),"HH1283")</f>
        <v>HH1283</v>
      </c>
      <c r="G1802" s="87" t="str">
        <f>IFERROR(__xludf.DUMMYFUNCTION("""COMPUTED_VALUE"""),"GC - IV - 1283 - Cty Agritech - Agri Amino (Chuyên lúa và rau màu) (Nước nâu đen) - 500ml - 40")</f>
        <v>GC - IV - 1283 - Cty Agritech - Agri Amino (Chuyên lúa và rau màu) (Nước nâu đen) - 500ml - 40</v>
      </c>
    </row>
    <row r="1803">
      <c r="A1803" s="86">
        <f>IFERROR(__xludf.DUMMYFUNCTION("""COMPUTED_VALUE"""),1801.0)</f>
        <v>1801</v>
      </c>
      <c r="B1803" s="87" t="str">
        <f>IFERROR(__xludf.DUMMYFUNCTION("""COMPUTED_VALUE"""),"Nhãn")</f>
        <v>Nhãn</v>
      </c>
      <c r="C1803" s="87" t="str">
        <f>IFERROR(__xludf.DUMMYFUNCTION("""COMPUTED_VALUE"""),"NHG1284")</f>
        <v>NHG1284</v>
      </c>
      <c r="D1803" s="87" t="str">
        <f>IFERROR(__xludf.DUMMYFUNCTION("""COMPUTED_VALUE"""),"[Nhãn] GC - IV - 1284 - Cty Agritech - Agri Amino (Chuyên cây ăn trái) (Nước nâu đen) - 500ml - 40")</f>
        <v>[Nhãn] GC - IV - 1284 - Cty Agritech - Agri Amino (Chuyên cây ăn trái) (Nước nâu đen) - 500ml - 40</v>
      </c>
      <c r="E1803" s="87" t="str">
        <f>IFERROR(__xludf.DUMMYFUNCTION("""COMPUTED_VALUE"""),"Vi lượng Basel VA02")</f>
        <v>Vi lượng Basel VA02</v>
      </c>
      <c r="F1803" s="87" t="str">
        <f>IFERROR(__xludf.DUMMYFUNCTION("""COMPUTED_VALUE"""),"HH1284")</f>
        <v>HH1284</v>
      </c>
      <c r="G1803" s="87" t="str">
        <f>IFERROR(__xludf.DUMMYFUNCTION("""COMPUTED_VALUE"""),"GC - IV - 1284 - Cty Agritech - Agri Amino (Chuyên cây ăn trái) (Nước nâu đen) - 500ml - 40")</f>
        <v>GC - IV - 1284 - Cty Agritech - Agri Amino (Chuyên cây ăn trái) (Nước nâu đen) - 500ml - 40</v>
      </c>
    </row>
    <row r="1804">
      <c r="A1804" s="86">
        <f>IFERROR(__xludf.DUMMYFUNCTION("""COMPUTED_VALUE"""),1802.0)</f>
        <v>1802</v>
      </c>
      <c r="B1804" s="87" t="str">
        <f>IFERROR(__xludf.DUMMYFUNCTION("""COMPUTED_VALUE"""),"Nhãn")</f>
        <v>Nhãn</v>
      </c>
      <c r="C1804" s="87" t="str">
        <f>IFERROR(__xludf.DUMMYFUNCTION("""COMPUTED_VALUE"""),"NHG1285")</f>
        <v>NHG1285</v>
      </c>
      <c r="D1804" s="87" t="str">
        <f>IFERROR(__xludf.DUMMYFUNCTION("""COMPUTED_VALUE"""),"[Nhãn] LOT IDA Global - I - 1285 - CTY Tân Thanh Hưng - Báo Đen 36 (Nước nâu đen) - 450ml - 40")</f>
        <v>[Nhãn] LOT IDA Global - I - 1285 - CTY Tân Thanh Hưng - Báo Đen 36 (Nước nâu đen) - 450ml - 40</v>
      </c>
      <c r="E1804" s="87" t="str">
        <f>IFERROR(__xludf.DUMMYFUNCTION("""COMPUTED_VALUE"""),"HAIHAMEC 3.6EC")</f>
        <v>HAIHAMEC 3.6EC</v>
      </c>
      <c r="F1804" s="87" t="str">
        <f>IFERROR(__xludf.DUMMYFUNCTION("""COMPUTED_VALUE"""),"HH1285")</f>
        <v>HH1285</v>
      </c>
      <c r="G1804" s="87" t="str">
        <f>IFERROR(__xludf.DUMMYFUNCTION("""COMPUTED_VALUE"""),"LOT IDA Global - I - 1285 - CTY Tân Thanh Hưng - Báo Đen 36 (Nước nâu đen) - 450ml - 40")</f>
        <v>LOT IDA Global - I - 1285 - CTY Tân Thanh Hưng - Báo Đen 36 (Nước nâu đen) - 450ml - 40</v>
      </c>
    </row>
    <row r="1805">
      <c r="A1805" s="86">
        <f>IFERROR(__xludf.DUMMYFUNCTION("""COMPUTED_VALUE"""),1803.0)</f>
        <v>1803</v>
      </c>
      <c r="B1805" s="87" t="str">
        <f>IFERROR(__xludf.DUMMYFUNCTION("""COMPUTED_VALUE"""),"Nhãn")</f>
        <v>Nhãn</v>
      </c>
      <c r="C1805" s="87" t="str">
        <f>IFERROR(__xludf.DUMMYFUNCTION("""COMPUTED_VALUE"""),"NHD1286")</f>
        <v>NHD1286</v>
      </c>
      <c r="D1805" s="87" t="str">
        <f>IFERROR(__xludf.DUMMYFUNCTION("""COMPUTED_VALUE"""),"[Nhãn] GC - IV - 1286 - Cty Master Win - Cháy cỏ phá hoang (Nước đỏ) - 900ml - 20")</f>
        <v>[Nhãn] GC - IV - 1286 - Cty Master Win - Cháy cỏ phá hoang (Nước đỏ) - 900ml - 20</v>
      </c>
      <c r="E1805" s="87" t="str">
        <f>IFERROR(__xludf.DUMMYFUNCTION("""COMPUTED_VALUE"""),"GLURIVER 200SL")</f>
        <v>GLURIVER 200SL</v>
      </c>
      <c r="F1805" s="87" t="str">
        <f>IFERROR(__xludf.DUMMYFUNCTION("""COMPUTED_VALUE"""),"HH1286")</f>
        <v>HH1286</v>
      </c>
      <c r="G1805" s="87" t="str">
        <f>IFERROR(__xludf.DUMMYFUNCTION("""COMPUTED_VALUE"""),"GC - IV - 1286 - Cty Master Win - Cháy cỏ phá hoang (Nước đỏ) - 900ml - 20")</f>
        <v>GC - IV - 1286 - Cty Master Win - Cháy cỏ phá hoang (Nước đỏ) - 900ml - 20</v>
      </c>
    </row>
    <row r="1806">
      <c r="A1806" s="86">
        <f>IFERROR(__xludf.DUMMYFUNCTION("""COMPUTED_VALUE"""),1804.0)</f>
        <v>1804</v>
      </c>
      <c r="B1806" s="87" t="str">
        <f>IFERROR(__xludf.DUMMYFUNCTION("""COMPUTED_VALUE"""),"Nhãn")</f>
        <v>Nhãn</v>
      </c>
      <c r="C1806" s="87" t="str">
        <f>IFERROR(__xludf.DUMMYFUNCTION("""COMPUTED_VALUE"""),"NHD1287")</f>
        <v>NHD1287</v>
      </c>
      <c r="D1806" s="87" t="str">
        <f>IFERROR(__xludf.DUMMYFUNCTION("""COMPUTED_VALUE"""),"[Nhãn] LOT AGC - II - 1287 - ĐL Hồng Liệt - Haihamec 3.6EC Gold (Nước nâu đen) - 450ml - 40")</f>
        <v>[Nhãn] LOT AGC - II - 1287 - ĐL Hồng Liệt - Haihamec 3.6EC Gold (Nước nâu đen) - 450ml - 40</v>
      </c>
      <c r="E1806" s="87" t="str">
        <f>IFERROR(__xludf.DUMMYFUNCTION("""COMPUTED_VALUE"""),"HAIHAMEC 3.6EC")</f>
        <v>HAIHAMEC 3.6EC</v>
      </c>
      <c r="F1806" s="87" t="str">
        <f>IFERROR(__xludf.DUMMYFUNCTION("""COMPUTED_VALUE"""),"HH1287")</f>
        <v>HH1287</v>
      </c>
      <c r="G1806" s="87" t="str">
        <f>IFERROR(__xludf.DUMMYFUNCTION("""COMPUTED_VALUE"""),"LOT AGC - II - 1287 - ĐL Hồng Liệt - Haihamec 3.6EC Gold (Nước nâu đen) - 450ml - 40")</f>
        <v>LOT AGC - II - 1287 - ĐL Hồng Liệt - Haihamec 3.6EC Gold (Nước nâu đen) - 450ml - 40</v>
      </c>
    </row>
    <row r="1807">
      <c r="A1807" s="86">
        <f>IFERROR(__xludf.DUMMYFUNCTION("""COMPUTED_VALUE"""),1805.0)</f>
        <v>1805</v>
      </c>
      <c r="B1807" s="87" t="str">
        <f>IFERROR(__xludf.DUMMYFUNCTION("""COMPUTED_VALUE"""),"Nhãn")</f>
        <v>Nhãn</v>
      </c>
      <c r="C1807" s="87" t="str">
        <f>IFERROR(__xludf.DUMMYFUNCTION("""COMPUTED_VALUE"""),"NHG1288")</f>
        <v>NHG1288</v>
      </c>
      <c r="D1807" s="87" t="str">
        <f>IFERROR(__xludf.DUMMYFUNCTION("""COMPUTED_VALUE"""),"[Nhãn] GC - IV - 1288 - Cty O2L - Kamycinjapane 20SL (nước xanh lá) - 450ml - 40")</f>
        <v>[Nhãn] GC - IV - 1288 - Cty O2L - Kamycinjapane 20SL (nước xanh lá) - 450ml - 40</v>
      </c>
      <c r="E1807" s="87" t="str">
        <f>IFERROR(__xludf.DUMMYFUNCTION("""COMPUTED_VALUE"""),"Kamycinjapane 20SL")</f>
        <v>Kamycinjapane 20SL</v>
      </c>
      <c r="F1807" s="87" t="str">
        <f>IFERROR(__xludf.DUMMYFUNCTION("""COMPUTED_VALUE"""),"HH1288")</f>
        <v>HH1288</v>
      </c>
      <c r="G1807" s="87" t="str">
        <f>IFERROR(__xludf.DUMMYFUNCTION("""COMPUTED_VALUE"""),"GC - IV - 1288 - Cty O2L - Kamycinjapane 20SL (nước xanh lá) - 450ml - 40")</f>
        <v>GC - IV - 1288 - Cty O2L - Kamycinjapane 20SL (nước xanh lá) - 450ml - 40</v>
      </c>
    </row>
    <row r="1808">
      <c r="A1808" s="86">
        <f>IFERROR(__xludf.DUMMYFUNCTION("""COMPUTED_VALUE"""),1806.0)</f>
        <v>1806</v>
      </c>
      <c r="B1808" s="87" t="str">
        <f>IFERROR(__xludf.DUMMYFUNCTION("""COMPUTED_VALUE"""),"Nhãn")</f>
        <v>Nhãn</v>
      </c>
      <c r="C1808" s="87" t="str">
        <f>IFERROR(__xludf.DUMMYFUNCTION("""COMPUTED_VALUE"""),"NTN1289")</f>
        <v>NTN1289</v>
      </c>
      <c r="D1808" s="87" t="str">
        <f>IFERROR(__xludf.DUMMYFUNCTION("""COMPUTED_VALUE"""),"[Nhãn] LOT IDA Global - I - 1289 - Cty World Green - Sau Khang USA (Nước xanh dương) - 20ml - 300")</f>
        <v>[Nhãn] LOT IDA Global - I - 1289 - Cty World Green - Sau Khang USA (Nước xanh dương) - 20ml - 300</v>
      </c>
      <c r="E1808" s="87" t="str">
        <f>IFERROR(__xludf.DUMMYFUNCTION("""COMPUTED_VALUE"""),"NEW FUZE 200SC")</f>
        <v>NEW FUZE 200SC</v>
      </c>
      <c r="F1808" s="87" t="str">
        <f>IFERROR(__xludf.DUMMYFUNCTION("""COMPUTED_VALUE"""),"HH1289")</f>
        <v>HH1289</v>
      </c>
      <c r="G1808" s="87" t="str">
        <f>IFERROR(__xludf.DUMMYFUNCTION("""COMPUTED_VALUE"""),"LOT IDA Global - I - 1289 - Cty World Green - Sau Khang USA (Nước xanh dương) - 20ml - 300")</f>
        <v>LOT IDA Global - I - 1289 - Cty World Green - Sau Khang USA (Nước xanh dương) - 20ml - 300</v>
      </c>
    </row>
    <row r="1809">
      <c r="A1809" s="86">
        <f>IFERROR(__xludf.DUMMYFUNCTION("""COMPUTED_VALUE"""),1807.0)</f>
        <v>1807</v>
      </c>
      <c r="B1809" s="87" t="str">
        <f>IFERROR(__xludf.DUMMYFUNCTION("""COMPUTED_VALUE"""),"Nhãn")</f>
        <v>Nhãn</v>
      </c>
      <c r="C1809" s="87" t="str">
        <f>IFERROR(__xludf.DUMMYFUNCTION("""COMPUTED_VALUE"""),"NTN1290")</f>
        <v>NTN1290</v>
      </c>
      <c r="D1809" s="87" t="str">
        <f>IFERROR(__xludf.DUMMYFUNCTION("""COMPUTED_VALUE"""),"[Nhãn] LOT IDA Global - I - 1290 - Cty World Green - Sau To USA (Nước xanh dương) - 15ml - 300")</f>
        <v>[Nhãn] LOT IDA Global - I - 1290 - Cty World Green - Sau To USA (Nước xanh dương) - 15ml - 300</v>
      </c>
      <c r="E1809" s="87" t="str">
        <f>IFERROR(__xludf.DUMMYFUNCTION("""COMPUTED_VALUE"""),"NEW FUZE 200SC")</f>
        <v>NEW FUZE 200SC</v>
      </c>
      <c r="F1809" s="87" t="str">
        <f>IFERROR(__xludf.DUMMYFUNCTION("""COMPUTED_VALUE"""),"HH1290")</f>
        <v>HH1290</v>
      </c>
      <c r="G1809" s="87" t="str">
        <f>IFERROR(__xludf.DUMMYFUNCTION("""COMPUTED_VALUE"""),"LOT IDA Global - I - 1290 - Cty World Green - Sau To USA (Nước xanh dương) - 15ml - 300")</f>
        <v>LOT IDA Global - I - 1290 - Cty World Green - Sau To USA (Nước xanh dương) - 15ml - 300</v>
      </c>
    </row>
    <row r="1810">
      <c r="A1810" s="86">
        <f>IFERROR(__xludf.DUMMYFUNCTION("""COMPUTED_VALUE"""),1808.0)</f>
        <v>1808</v>
      </c>
      <c r="B1810" s="87" t="str">
        <f>IFERROR(__xludf.DUMMYFUNCTION("""COMPUTED_VALUE"""),"Nhãn")</f>
        <v>Nhãn</v>
      </c>
      <c r="C1810" s="87" t="str">
        <f>IFERROR(__xludf.DUMMYFUNCTION("""COMPUTED_VALUE"""),"NHG1291")</f>
        <v>NHG1291</v>
      </c>
      <c r="D1810" s="87" t="str">
        <f>IFERROR(__xludf.DUMMYFUNCTION("""COMPUTED_VALUE"""),"[Nhãn] GC - II - 1291 - VTNN Mã Xuân Kim - Vua Sư Tử (nước nâu đen) - 450ml - 40")</f>
        <v>[Nhãn] GC - II - 1291 - VTNN Mã Xuân Kim - Vua Sư Tử (nước nâu đen) - 450ml - 40</v>
      </c>
      <c r="E1810" s="87" t="str">
        <f>IFERROR(__xludf.DUMMYFUNCTION("""COMPUTED_VALUE"""),"HAIHAMEC 3.6EC")</f>
        <v>HAIHAMEC 3.6EC</v>
      </c>
      <c r="F1810" s="87" t="str">
        <f>IFERROR(__xludf.DUMMYFUNCTION("""COMPUTED_VALUE"""),"HH1291")</f>
        <v>HH1291</v>
      </c>
      <c r="G1810" s="87" t="str">
        <f>IFERROR(__xludf.DUMMYFUNCTION("""COMPUTED_VALUE"""),"GC - II - 1291 - VTNN Mã Xuân Kim - Vua Sư Tử (nước nâu đen) - 450ml - 40")</f>
        <v>GC - II - 1291 - VTNN Mã Xuân Kim - Vua Sư Tử (nước nâu đen) - 450ml - 40</v>
      </c>
    </row>
    <row r="1811">
      <c r="A1811" s="86">
        <f>IFERROR(__xludf.DUMMYFUNCTION("""COMPUTED_VALUE"""),1809.0)</f>
        <v>1809</v>
      </c>
      <c r="B1811" s="87" t="str">
        <f>IFERROR(__xludf.DUMMYFUNCTION("""COMPUTED_VALUE"""),"Nhãn")</f>
        <v>Nhãn</v>
      </c>
      <c r="C1811" s="87" t="str">
        <f>IFERROR(__xludf.DUMMYFUNCTION("""COMPUTED_VALUE"""),"NHG1292")</f>
        <v>NHG1292</v>
      </c>
      <c r="D1811" s="87" t="str">
        <f>IFERROR(__xludf.DUMMYFUNCTION("""COMPUTED_VALUE"""),"[Nhãn] GC - IV - 1292 - VTNN Trí Đỉnh - Haihamec 3.6EC (nước nâu đen) - 450ml - 40")</f>
        <v>[Nhãn] GC - IV - 1292 - VTNN Trí Đỉnh - Haihamec 3.6EC (nước nâu đen) - 450ml - 40</v>
      </c>
      <c r="E1811" s="87" t="str">
        <f>IFERROR(__xludf.DUMMYFUNCTION("""COMPUTED_VALUE"""),"HAIHAMEC 3.6EC")</f>
        <v>HAIHAMEC 3.6EC</v>
      </c>
      <c r="F1811" s="87" t="str">
        <f>IFERROR(__xludf.DUMMYFUNCTION("""COMPUTED_VALUE"""),"HH1292")</f>
        <v>HH1292</v>
      </c>
      <c r="G1811" s="87" t="str">
        <f>IFERROR(__xludf.DUMMYFUNCTION("""COMPUTED_VALUE"""),"GC - IV - 1292 - VTNN Trí Đỉnh - Haihamec 3.6EC (nước nâu đen) - 450ml - 40")</f>
        <v>GC - IV - 1292 - VTNN Trí Đỉnh - Haihamec 3.6EC (nước nâu đen) - 450ml - 40</v>
      </c>
    </row>
    <row r="1812">
      <c r="A1812" s="86">
        <f>IFERROR(__xludf.DUMMYFUNCTION("""COMPUTED_VALUE"""),1810.0)</f>
        <v>1810</v>
      </c>
      <c r="B1812" s="87" t="str">
        <f>IFERROR(__xludf.DUMMYFUNCTION("""COMPUTED_VALUE"""),"Nhãn")</f>
        <v>Nhãn</v>
      </c>
      <c r="C1812" s="87" t="str">
        <f>IFERROR(__xludf.DUMMYFUNCTION("""COMPUTED_VALUE"""),"NHG1293")</f>
        <v>NHG1293</v>
      </c>
      <c r="D1812" s="87" t="str">
        <f>IFERROR(__xludf.DUMMYFUNCTION("""COMPUTED_VALUE"""),"[Nhãn] GC - IV - 1293 - A Thời GNH - Chuyên Lác (Nước nâu đen) - 1L - 20")</f>
        <v>[Nhãn] GC - IV - 1293 - A Thời GNH - Chuyên Lác (Nước nâu đen) - 1L - 20</v>
      </c>
      <c r="E1812" s="87" t="str">
        <f>IFERROR(__xludf.DUMMYFUNCTION("""COMPUTED_VALUE"""),"Vi lượng Basel VA02")</f>
        <v>Vi lượng Basel VA02</v>
      </c>
      <c r="F1812" s="87" t="str">
        <f>IFERROR(__xludf.DUMMYFUNCTION("""COMPUTED_VALUE"""),"HH1293")</f>
        <v>HH1293</v>
      </c>
      <c r="G1812" s="87" t="str">
        <f>IFERROR(__xludf.DUMMYFUNCTION("""COMPUTED_VALUE"""),"GC - IV - 1293 - A Thời GNH - Chuyên Lác (Nước nâu đen) - 1L - 20")</f>
        <v>GC - IV - 1293 - A Thời GNH - Chuyên Lác (Nước nâu đen) - 1L - 20</v>
      </c>
    </row>
    <row r="1813">
      <c r="A1813" s="86">
        <f>IFERROR(__xludf.DUMMYFUNCTION("""COMPUTED_VALUE"""),1811.0)</f>
        <v>1811</v>
      </c>
      <c r="B1813" s="87" t="str">
        <f>IFERROR(__xludf.DUMMYFUNCTION("""COMPUTED_VALUE"""),"Nhãn")</f>
        <v>Nhãn</v>
      </c>
      <c r="C1813" s="87" t="str">
        <f>IFERROR(__xludf.DUMMYFUNCTION("""COMPUTED_VALUE"""),"NHG1294")</f>
        <v>NHG1294</v>
      </c>
      <c r="D1813" s="87" t="str">
        <f>IFERROR(__xludf.DUMMYFUNCTION("""COMPUTED_VALUE"""),"[Nhãn] GC - IV - 1294 - A Thời GNH - Ra Rễ Nở Bụi (nước nâu đen) - 500ml - 40")</f>
        <v>[Nhãn] GC - IV - 1294 - A Thời GNH - Ra Rễ Nở Bụi (nước nâu đen) - 500ml - 40</v>
      </c>
      <c r="E1813" s="87" t="str">
        <f>IFERROR(__xludf.DUMMYFUNCTION("""COMPUTED_VALUE"""),"Vi lượng Basel VA01")</f>
        <v>Vi lượng Basel VA01</v>
      </c>
      <c r="F1813" s="87" t="str">
        <f>IFERROR(__xludf.DUMMYFUNCTION("""COMPUTED_VALUE"""),"HH1294")</f>
        <v>HH1294</v>
      </c>
      <c r="G1813" s="87" t="str">
        <f>IFERROR(__xludf.DUMMYFUNCTION("""COMPUTED_VALUE"""),"GC - IV - 1294 - A Thời GNH - Ra Rễ Nở Bụi (nước nâu đen) - 500ml - 40")</f>
        <v>GC - IV - 1294 - A Thời GNH - Ra Rễ Nở Bụi (nước nâu đen) - 500ml - 40</v>
      </c>
    </row>
    <row r="1814">
      <c r="A1814" s="86">
        <f>IFERROR(__xludf.DUMMYFUNCTION("""COMPUTED_VALUE"""),1812.0)</f>
        <v>1812</v>
      </c>
      <c r="B1814" s="87" t="str">
        <f>IFERROR(__xludf.DUMMYFUNCTION("""COMPUTED_VALUE"""),"Nhãn")</f>
        <v>Nhãn</v>
      </c>
      <c r="C1814" s="87" t="str">
        <f>IFERROR(__xludf.DUMMYFUNCTION("""COMPUTED_VALUE"""),"NHG1295")</f>
        <v>NHG1295</v>
      </c>
      <c r="D1814" s="87" t="str">
        <f>IFERROR(__xludf.DUMMYFUNCTION("""COMPUTED_VALUE"""),"[Nhãn] GC - IV - 1295 - A Thời GNH - Siêu Kích Rễ (Super Roots) (Nước nâu đen) - 100ml - 100")</f>
        <v>[Nhãn] GC - IV - 1295 - A Thời GNH - Siêu Kích Rễ (Super Roots) (Nước nâu đen) - 100ml - 100</v>
      </c>
      <c r="E1814" s="87" t="str">
        <f>IFERROR(__xludf.DUMMYFUNCTION("""COMPUTED_VALUE"""),"Vi lượng Basel VA01")</f>
        <v>Vi lượng Basel VA01</v>
      </c>
      <c r="F1814" s="87" t="str">
        <f>IFERROR(__xludf.DUMMYFUNCTION("""COMPUTED_VALUE"""),"HH1295")</f>
        <v>HH1295</v>
      </c>
      <c r="G1814" s="87" t="str">
        <f>IFERROR(__xludf.DUMMYFUNCTION("""COMPUTED_VALUE"""),"GC - IV - 1295 - A Thời GNH - Siêu Kích Rễ (Super Roots) (Nước nâu đen) - 100ml - 100")</f>
        <v>GC - IV - 1295 - A Thời GNH - Siêu Kích Rễ (Super Roots) (Nước nâu đen) - 100ml - 100</v>
      </c>
    </row>
    <row r="1815">
      <c r="A1815" s="86">
        <f>IFERROR(__xludf.DUMMYFUNCTION("""COMPUTED_VALUE"""),1813.0)</f>
        <v>1813</v>
      </c>
      <c r="B1815" s="87" t="str">
        <f>IFERROR(__xludf.DUMMYFUNCTION("""COMPUTED_VALUE"""),"Nhãn")</f>
        <v>Nhãn</v>
      </c>
      <c r="C1815" s="87" t="str">
        <f>IFERROR(__xludf.DUMMYFUNCTION("""COMPUTED_VALUE"""),"NTN1296")</f>
        <v>NTN1296</v>
      </c>
      <c r="D1815" s="87" t="str">
        <f>IFERROR(__xludf.DUMMYFUNCTION("""COMPUTED_VALUE"""),"[Nhãn] GC - IV - 1296 - CTY GNH - Lân 86 (Bột trắng) - 1kg - 25")</f>
        <v>[Nhãn] GC - IV - 1296 - CTY GNH - Lân 86 (Bột trắng) - 1kg - 25</v>
      </c>
      <c r="E1815" s="87" t="str">
        <f>IFERROR(__xludf.DUMMYFUNCTION("""COMPUTED_VALUE"""),"Vi lượng Yellow Farm")</f>
        <v>Vi lượng Yellow Farm</v>
      </c>
      <c r="F1815" s="87" t="str">
        <f>IFERROR(__xludf.DUMMYFUNCTION("""COMPUTED_VALUE"""),"HH1296")</f>
        <v>HH1296</v>
      </c>
      <c r="G1815" s="87" t="str">
        <f>IFERROR(__xludf.DUMMYFUNCTION("""COMPUTED_VALUE"""),"GC - IV - 1296 - CTY GNH - Lân 86 (Bột trắng) - 1kg - 25")</f>
        <v>GC - IV - 1296 - CTY GNH - Lân 86 (Bột trắng) - 1kg - 25</v>
      </c>
    </row>
    <row r="1816">
      <c r="A1816" s="86">
        <f>IFERROR(__xludf.DUMMYFUNCTION("""COMPUTED_VALUE"""),1814.0)</f>
        <v>1814</v>
      </c>
      <c r="B1816" s="87" t="str">
        <f>IFERROR(__xludf.DUMMYFUNCTION("""COMPUTED_VALUE"""),"Nhãn thùng")</f>
        <v>Nhãn thùng</v>
      </c>
      <c r="C1816" s="87" t="str">
        <f>IFERROR(__xludf.DUMMYFUNCTION("""COMPUTED_VALUE"""),"NDT1296")</f>
        <v>NDT1296</v>
      </c>
      <c r="D1816" s="87" t="str">
        <f>IFERROR(__xludf.DUMMYFUNCTION("""COMPUTED_VALUE"""),"[Nhãn thùng] GC - IV - 1296 - CTY GNH - Lân 86 (Bột trắng) - 1kg - 25")</f>
        <v>[Nhãn thùng] GC - IV - 1296 - CTY GNH - Lân 86 (Bột trắng) - 1kg - 25</v>
      </c>
      <c r="E1816" s="87" t="str">
        <f>IFERROR(__xludf.DUMMYFUNCTION("""COMPUTED_VALUE"""),"Vi lượng Yellow Farm")</f>
        <v>Vi lượng Yellow Farm</v>
      </c>
      <c r="F1816" s="87" t="str">
        <f>IFERROR(__xludf.DUMMYFUNCTION("""COMPUTED_VALUE"""),"HH1296")</f>
        <v>HH1296</v>
      </c>
      <c r="G1816" s="87" t="str">
        <f>IFERROR(__xludf.DUMMYFUNCTION("""COMPUTED_VALUE"""),"GC - IV - 1296 - CTY GNH - Lân 86 (Bột trắng) - 1kg - 25")</f>
        <v>GC - IV - 1296 - CTY GNH - Lân 86 (Bột trắng) - 1kg - 25</v>
      </c>
    </row>
    <row r="1817">
      <c r="A1817" s="86">
        <f>IFERROR(__xludf.DUMMYFUNCTION("""COMPUTED_VALUE"""),1815.0)</f>
        <v>1815</v>
      </c>
      <c r="B1817" s="87" t="str">
        <f>IFERROR(__xludf.DUMMYFUNCTION("""COMPUTED_VALUE"""),"Nhãn")</f>
        <v>Nhãn</v>
      </c>
      <c r="C1817" s="87" t="str">
        <f>IFERROR(__xludf.DUMMYFUNCTION("""COMPUTED_VALUE"""),"NTN1297")</f>
        <v>NTN1297</v>
      </c>
      <c r="D1817" s="87" t="str">
        <f>IFERROR(__xludf.DUMMYFUNCTION("""COMPUTED_VALUE"""),"[Nhãn] GC - IV - 1297 - CTY GNH - Siêu Lân (Bột trắng) - 1kg - 25")</f>
        <v>[Nhãn] GC - IV - 1297 - CTY GNH - Siêu Lân (Bột trắng) - 1kg - 25</v>
      </c>
      <c r="E1817" s="87" t="str">
        <f>IFERROR(__xludf.DUMMYFUNCTION("""COMPUTED_VALUE"""),"Vi lượng Yellow Farm")</f>
        <v>Vi lượng Yellow Farm</v>
      </c>
      <c r="F1817" s="87" t="str">
        <f>IFERROR(__xludf.DUMMYFUNCTION("""COMPUTED_VALUE"""),"HH1297")</f>
        <v>HH1297</v>
      </c>
      <c r="G1817" s="87" t="str">
        <f>IFERROR(__xludf.DUMMYFUNCTION("""COMPUTED_VALUE"""),"GC - IV - 1297 - CTY GNH - Siêu Lân (Bột trắng) - 1kg - 25")</f>
        <v>GC - IV - 1297 - CTY GNH - Siêu Lân (Bột trắng) - 1kg - 25</v>
      </c>
    </row>
    <row r="1818">
      <c r="A1818" s="86">
        <f>IFERROR(__xludf.DUMMYFUNCTION("""COMPUTED_VALUE"""),1816.0)</f>
        <v>1816</v>
      </c>
      <c r="B1818" s="87" t="str">
        <f>IFERROR(__xludf.DUMMYFUNCTION("""COMPUTED_VALUE"""),"Nhãn thùng")</f>
        <v>Nhãn thùng</v>
      </c>
      <c r="C1818" s="87" t="str">
        <f>IFERROR(__xludf.DUMMYFUNCTION("""COMPUTED_VALUE"""),"NDT1297")</f>
        <v>NDT1297</v>
      </c>
      <c r="D1818" s="87" t="str">
        <f>IFERROR(__xludf.DUMMYFUNCTION("""COMPUTED_VALUE"""),"[Nhãn thùng] GC - IV - 1297 - CTY GNH - Siêu Lân (Bột trắng) - 1kg - 25")</f>
        <v>[Nhãn thùng] GC - IV - 1297 - CTY GNH - Siêu Lân (Bột trắng) - 1kg - 25</v>
      </c>
      <c r="E1818" s="87" t="str">
        <f>IFERROR(__xludf.DUMMYFUNCTION("""COMPUTED_VALUE"""),"Vi lượng Yellow Farm")</f>
        <v>Vi lượng Yellow Farm</v>
      </c>
      <c r="F1818" s="87" t="str">
        <f>IFERROR(__xludf.DUMMYFUNCTION("""COMPUTED_VALUE"""),"HH1297")</f>
        <v>HH1297</v>
      </c>
      <c r="G1818" s="87" t="str">
        <f>IFERROR(__xludf.DUMMYFUNCTION("""COMPUTED_VALUE"""),"GC - IV - 1297 - CTY GNH - Siêu Lân (Bột trắng) - 1kg - 25")</f>
        <v>GC - IV - 1297 - CTY GNH - Siêu Lân (Bột trắng) - 1kg - 25</v>
      </c>
    </row>
    <row r="1819">
      <c r="A1819" s="86">
        <f>IFERROR(__xludf.DUMMYFUNCTION("""COMPUTED_VALUE"""),1817.0)</f>
        <v>1817</v>
      </c>
      <c r="B1819" s="87" t="str">
        <f>IFERROR(__xludf.DUMMYFUNCTION("""COMPUTED_VALUE"""),"Nhãn")</f>
        <v>Nhãn</v>
      </c>
      <c r="C1819" s="87" t="str">
        <f>IFERROR(__xludf.DUMMYFUNCTION("""COMPUTED_VALUE"""),"NHG1298")</f>
        <v>NHG1298</v>
      </c>
      <c r="D1819" s="87" t="str">
        <f>IFERROR(__xludf.DUMMYFUNCTION("""COMPUTED_VALUE"""),"[Nhãn] GC - II - 1298 - AGC - DR.STOP (Nước nâu đen) - 1L - 20")</f>
        <v>[Nhãn] GC - II - 1298 - AGC - DR.STOP (Nước nâu đen) - 1L - 20</v>
      </c>
      <c r="E1819" s="87" t="str">
        <f>IFERROR(__xludf.DUMMYFUNCTION("""COMPUTED_VALUE"""),"Vi lượng Quantity New")</f>
        <v>Vi lượng Quantity New</v>
      </c>
      <c r="F1819" s="87" t="str">
        <f>IFERROR(__xludf.DUMMYFUNCTION("""COMPUTED_VALUE"""),"HH1298")</f>
        <v>HH1298</v>
      </c>
      <c r="G1819" s="87" t="str">
        <f>IFERROR(__xludf.DUMMYFUNCTION("""COMPUTED_VALUE"""),"GC - II - 1298 - AGC - DR.STOP (Nước nâu đen) - 1L - 20")</f>
        <v>GC - II - 1298 - AGC - DR.STOP (Nước nâu đen) - 1L - 20</v>
      </c>
    </row>
    <row r="1820">
      <c r="A1820" s="86">
        <f>IFERROR(__xludf.DUMMYFUNCTION("""COMPUTED_VALUE"""),1818.0)</f>
        <v>1818</v>
      </c>
      <c r="B1820" s="87" t="str">
        <f>IFERROR(__xludf.DUMMYFUNCTION("""COMPUTED_VALUE"""),"Nhãn")</f>
        <v>Nhãn</v>
      </c>
      <c r="C1820" s="87" t="str">
        <f>IFERROR(__xludf.DUMMYFUNCTION("""COMPUTED_VALUE"""),"NHD1299")</f>
        <v>NHD1299</v>
      </c>
      <c r="D1820" s="87" t="str">
        <f>IFERROR(__xludf.DUMMYFUNCTION("""COMPUTED_VALUE"""),"[Nhãn] GC - IV - 1299 - Agricare Úc - Eco Blooms (Gel nâu đen) - 25kg - 1")</f>
        <v>[Nhãn] GC - IV - 1299 - Agricare Úc - Eco Blooms (Gel nâu đen) - 25kg - 1</v>
      </c>
      <c r="E1820" s="87" t="str">
        <f>IFERROR(__xludf.DUMMYFUNCTION("""COMPUTED_VALUE"""),"Vi lượng Quantity New")</f>
        <v>Vi lượng Quantity New</v>
      </c>
      <c r="F1820" s="87" t="str">
        <f>IFERROR(__xludf.DUMMYFUNCTION("""COMPUTED_VALUE"""),"HH1299")</f>
        <v>HH1299</v>
      </c>
      <c r="G1820" s="87" t="str">
        <f>IFERROR(__xludf.DUMMYFUNCTION("""COMPUTED_VALUE"""),"GC - IV - 1299 - Agricare Úc - Eco Blooms (Gel nâu đen) - 25kg - 1")</f>
        <v>GC - IV - 1299 - Agricare Úc - Eco Blooms (Gel nâu đen) - 25kg - 1</v>
      </c>
    </row>
    <row r="1821">
      <c r="A1821" s="86">
        <f>IFERROR(__xludf.DUMMYFUNCTION("""COMPUTED_VALUE"""),1819.0)</f>
        <v>1819</v>
      </c>
      <c r="B1821" s="87" t="str">
        <f>IFERROR(__xludf.DUMMYFUNCTION("""COMPUTED_VALUE"""),"Nhãn")</f>
        <v>Nhãn</v>
      </c>
      <c r="C1821" s="87" t="str">
        <f>IFERROR(__xludf.DUMMYFUNCTION("""COMPUTED_VALUE"""),"NHG1300")</f>
        <v>NHG1300</v>
      </c>
      <c r="D1821" s="87" t="str">
        <f>IFERROR(__xludf.DUMMYFUNCTION("""COMPUTED_VALUE"""),"[Nhãn] IDA Global - I - 1300 - IDA VOTE 34.2SC (Nước trắng sữa) - 240ml - 40")</f>
        <v>[Nhãn] IDA Global - I - 1300 - IDA VOTE 34.2SC (Nước trắng sữa) - 240ml - 40</v>
      </c>
      <c r="E1821" s="87" t="str">
        <f>IFERROR(__xludf.DUMMYFUNCTION("""COMPUTED_VALUE"""),"VOTE 34.2SC")</f>
        <v>VOTE 34.2SC</v>
      </c>
      <c r="F1821" s="87" t="str">
        <f>IFERROR(__xludf.DUMMYFUNCTION("""COMPUTED_VALUE"""),"HH1300")</f>
        <v>HH1300</v>
      </c>
      <c r="G1821" s="87" t="str">
        <f>IFERROR(__xludf.DUMMYFUNCTION("""COMPUTED_VALUE"""),"IDA Global - I - 1300 - IDA VOTE 34.2SC (Nước trắng sữa) - 240ml - 40")</f>
        <v>IDA Global - I - 1300 - IDA VOTE 34.2SC (Nước trắng sữa) - 240ml - 40</v>
      </c>
    </row>
    <row r="1822">
      <c r="A1822" s="86">
        <f>IFERROR(__xludf.DUMMYFUNCTION("""COMPUTED_VALUE"""),1820.0)</f>
        <v>1820</v>
      </c>
      <c r="B1822" s="87" t="str">
        <f>IFERROR(__xludf.DUMMYFUNCTION("""COMPUTED_VALUE"""),"Nhãn")</f>
        <v>Nhãn</v>
      </c>
      <c r="C1822" s="87" t="str">
        <f>IFERROR(__xludf.DUMMYFUNCTION("""COMPUTED_VALUE"""),"NTN1301")</f>
        <v>NTN1301</v>
      </c>
      <c r="D1822" s="87" t="str">
        <f>IFERROR(__xludf.DUMMYFUNCTION("""COMPUTED_VALUE"""),"[Nhãn] GC - IV - 1301 - Cty Nông Hưng Phát - Metalaxyl (bột hồng) 100gr - 100")</f>
        <v>[Nhãn] GC - IV - 1301 - Cty Nông Hưng Phát - Metalaxyl (bột hồng) 100gr - 100</v>
      </c>
      <c r="E1822" s="87" t="str">
        <f>IFERROR(__xludf.DUMMYFUNCTION("""COMPUTED_VALUE"""),"Acodyl 35WP")</f>
        <v>Acodyl 35WP</v>
      </c>
      <c r="F1822" s="87" t="str">
        <f>IFERROR(__xludf.DUMMYFUNCTION("""COMPUTED_VALUE"""),"HH1301")</f>
        <v>HH1301</v>
      </c>
      <c r="G1822" s="87" t="str">
        <f>IFERROR(__xludf.DUMMYFUNCTION("""COMPUTED_VALUE"""),"GC - IV - 1301 - Cty Nông Hưng Phát - Metalaxyl (bột hồng) 100gr - 100")</f>
        <v>GC - IV - 1301 - Cty Nông Hưng Phát - Metalaxyl (bột hồng) 100gr - 100</v>
      </c>
    </row>
    <row r="1823">
      <c r="A1823" s="86">
        <f>IFERROR(__xludf.DUMMYFUNCTION("""COMPUTED_VALUE"""),1821.0)</f>
        <v>1821</v>
      </c>
      <c r="B1823" s="87" t="str">
        <f>IFERROR(__xludf.DUMMYFUNCTION("""COMPUTED_VALUE"""),"Nhãn")</f>
        <v>Nhãn</v>
      </c>
      <c r="C1823" s="87" t="str">
        <f>IFERROR(__xludf.DUMMYFUNCTION("""COMPUTED_VALUE"""),"NHG1302")</f>
        <v>NHG1302</v>
      </c>
      <c r="D1823" s="87" t="str">
        <f>IFERROR(__xludf.DUMMYFUNCTION("""COMPUTED_VALUE"""),"[Nhãn] GC - IV - 1302 - Haihamec 3.6EC (nước nâu đen) - 450ml - 40")</f>
        <v>[Nhãn] GC - IV - 1302 - Haihamec 3.6EC (nước nâu đen) - 450ml - 40</v>
      </c>
      <c r="E1823" s="87" t="str">
        <f>IFERROR(__xludf.DUMMYFUNCTION("""COMPUTED_VALUE"""),"HAIHAMEC 3.6EC")</f>
        <v>HAIHAMEC 3.6EC</v>
      </c>
      <c r="F1823" s="87" t="str">
        <f>IFERROR(__xludf.DUMMYFUNCTION("""COMPUTED_VALUE"""),"HH1302")</f>
        <v>HH1302</v>
      </c>
      <c r="G1823" s="87" t="str">
        <f>IFERROR(__xludf.DUMMYFUNCTION("""COMPUTED_VALUE"""),"GC - IV - 1302 - Haihamec 3.6EC (nước nâu đen) - 450ml - 40")</f>
        <v>GC - IV - 1302 - Haihamec 3.6EC (nước nâu đen) - 450ml - 40</v>
      </c>
    </row>
    <row r="1824">
      <c r="A1824" s="86">
        <f>IFERROR(__xludf.DUMMYFUNCTION("""COMPUTED_VALUE"""),1822.0)</f>
        <v>1822</v>
      </c>
      <c r="B1824" s="87" t="str">
        <f>IFERROR(__xludf.DUMMYFUNCTION("""COMPUTED_VALUE"""),"Nhãn")</f>
        <v>Nhãn</v>
      </c>
      <c r="C1824" s="87" t="str">
        <f>IFERROR(__xludf.DUMMYFUNCTION("""COMPUTED_VALUE"""),"NHG1303")</f>
        <v>NHG1303</v>
      </c>
      <c r="D1824" s="87" t="str">
        <f>IFERROR(__xludf.DUMMYFUNCTION("""COMPUTED_VALUE"""),"[Nhãn] GC - IV - 1303 - Agricare Úc - Root Plus (Nước nâu đen) - 1L - 20")</f>
        <v>[Nhãn] GC - IV - 1303 - Agricare Úc - Root Plus (Nước nâu đen) - 1L - 20</v>
      </c>
      <c r="E1824" s="87" t="str">
        <f>IFERROR(__xludf.DUMMYFUNCTION("""COMPUTED_VALUE"""),"Vi lượng Basel DANA 20")</f>
        <v>Vi lượng Basel DANA 20</v>
      </c>
      <c r="F1824" s="87" t="str">
        <f>IFERROR(__xludf.DUMMYFUNCTION("""COMPUTED_VALUE"""),"HH1303")</f>
        <v>HH1303</v>
      </c>
      <c r="G1824" s="87" t="str">
        <f>IFERROR(__xludf.DUMMYFUNCTION("""COMPUTED_VALUE"""),"GC - IV - 1303 - Agricare Úc - Root Plus (Nước nâu đen) - 1L - 20")</f>
        <v>GC - IV - 1303 - Agricare Úc - Root Plus (Nước nâu đen) - 1L - 20</v>
      </c>
    </row>
    <row r="1825">
      <c r="A1825" s="86">
        <f>IFERROR(__xludf.DUMMYFUNCTION("""COMPUTED_VALUE"""),1823.0)</f>
        <v>1823</v>
      </c>
      <c r="B1825" s="87" t="str">
        <f>IFERROR(__xludf.DUMMYFUNCTION("""COMPUTED_VALUE"""),"Nhãn")</f>
        <v>Nhãn</v>
      </c>
      <c r="C1825" s="87" t="str">
        <f>IFERROR(__xludf.DUMMYFUNCTION("""COMPUTED_VALUE"""),"NHG1304")</f>
        <v>NHG1304</v>
      </c>
      <c r="D1825" s="87" t="str">
        <f>IFERROR(__xludf.DUMMYFUNCTION("""COMPUTED_VALUE"""),"[Nhãn] GC - IV - 1304 - Cty Sen Hồng - ROOT+ (Gel xanh dương) - 500ml - 40")</f>
        <v>[Nhãn] GC - IV - 1304 - Cty Sen Hồng - ROOT+ (Gel xanh dương) - 500ml - 40</v>
      </c>
      <c r="E1825" s="87" t="str">
        <f>IFERROR(__xludf.DUMMYFUNCTION("""COMPUTED_VALUE"""),"Vi lượng Basel DANA 20")</f>
        <v>Vi lượng Basel DANA 20</v>
      </c>
      <c r="F1825" s="87" t="str">
        <f>IFERROR(__xludf.DUMMYFUNCTION("""COMPUTED_VALUE"""),"HH1304")</f>
        <v>HH1304</v>
      </c>
      <c r="G1825" s="87" t="str">
        <f>IFERROR(__xludf.DUMMYFUNCTION("""COMPUTED_VALUE"""),"GC - IV - 1304 - Cty Sen Hồng - ROOT+ (Gel xanh dương) - 500ml - 40")</f>
        <v>GC - IV - 1304 - Cty Sen Hồng - ROOT+ (Gel xanh dương) - 500ml - 40</v>
      </c>
    </row>
    <row r="1826">
      <c r="A1826" s="86">
        <f>IFERROR(__xludf.DUMMYFUNCTION("""COMPUTED_VALUE"""),1824.0)</f>
        <v>1824</v>
      </c>
      <c r="B1826" s="87" t="str">
        <f>IFERROR(__xludf.DUMMYFUNCTION("""COMPUTED_VALUE"""),"Nhãn")</f>
        <v>Nhãn</v>
      </c>
      <c r="C1826" s="87" t="str">
        <f>IFERROR(__xludf.DUMMYFUNCTION("""COMPUTED_VALUE"""),"NHG1305")</f>
        <v>NHG1305</v>
      </c>
      <c r="D1826" s="87" t="str">
        <f>IFERROR(__xludf.DUMMYFUNCTION("""COMPUTED_VALUE"""),"[Nhãn] IDA Global - I - 1305 - Picosuper 280SC(nước trắng sữa) - 220ml - 40")</f>
        <v>[Nhãn] IDA Global - I - 1305 - Picosuper 280SC(nước trắng sữa) - 220ml - 40</v>
      </c>
      <c r="E1826" s="87" t="str">
        <f>IFERROR(__xludf.DUMMYFUNCTION("""COMPUTED_VALUE"""),"PICOSUPER 280SC")</f>
        <v>PICOSUPER 280SC</v>
      </c>
      <c r="F1826" s="87" t="str">
        <f>IFERROR(__xludf.DUMMYFUNCTION("""COMPUTED_VALUE"""),"HH1305")</f>
        <v>HH1305</v>
      </c>
      <c r="G1826" s="87" t="str">
        <f>IFERROR(__xludf.DUMMYFUNCTION("""COMPUTED_VALUE"""),"IDA Global - I - 1305 - Picosuper 280SC(nước trắng sữa) - 220ml - 40")</f>
        <v>IDA Global - I - 1305 - Picosuper 280SC(nước trắng sữa) - 220ml - 40</v>
      </c>
    </row>
    <row r="1827">
      <c r="A1827" s="86">
        <f>IFERROR(__xludf.DUMMYFUNCTION("""COMPUTED_VALUE"""),1825.0)</f>
        <v>1825</v>
      </c>
      <c r="B1827" s="87" t="str">
        <f>IFERROR(__xludf.DUMMYFUNCTION("""COMPUTED_VALUE"""),"Nhãn")</f>
        <v>Nhãn</v>
      </c>
      <c r="C1827" s="87" t="str">
        <f>IFERROR(__xludf.DUMMYFUNCTION("""COMPUTED_VALUE"""),"NHG1306")</f>
        <v>NHG1306</v>
      </c>
      <c r="D1827" s="87" t="str">
        <f>IFERROR(__xludf.DUMMYFUNCTION("""COMPUTED_VALUE"""),"[Nhãn] GC - IV - 1306 - Cty Agrictech - Emamex 19  (nước vàng) - 450ml - 40")</f>
        <v>[Nhãn] GC - IV - 1306 - Cty Agrictech - Emamex 19  (nước vàng) - 450ml - 40</v>
      </c>
      <c r="E1827" s="87" t="str">
        <f>IFERROR(__xludf.DUMMYFUNCTION("""COMPUTED_VALUE"""),"Creek 2.1EC")</f>
        <v>Creek 2.1EC</v>
      </c>
      <c r="F1827" s="87" t="str">
        <f>IFERROR(__xludf.DUMMYFUNCTION("""COMPUTED_VALUE"""),"HH1306")</f>
        <v>HH1306</v>
      </c>
      <c r="G1827" s="87" t="str">
        <f>IFERROR(__xludf.DUMMYFUNCTION("""COMPUTED_VALUE"""),"GC - IV - 1306 - Cty Agrictech - Emamex 19  (nước vàng) - 450ml - 40")</f>
        <v>GC - IV - 1306 - Cty Agrictech - Emamex 19  (nước vàng) - 450ml - 40</v>
      </c>
    </row>
    <row r="1828">
      <c r="A1828" s="86">
        <f>IFERROR(__xludf.DUMMYFUNCTION("""COMPUTED_VALUE"""),1826.0)</f>
        <v>1826</v>
      </c>
      <c r="B1828" s="87" t="str">
        <f>IFERROR(__xludf.DUMMYFUNCTION("""COMPUTED_VALUE"""),"Nhãn")</f>
        <v>Nhãn</v>
      </c>
      <c r="C1828" s="87" t="str">
        <f>IFERROR(__xludf.DUMMYFUNCTION("""COMPUTED_VALUE"""),"NTN1307")</f>
        <v>NTN1307</v>
      </c>
      <c r="D1828" s="87" t="str">
        <f>IFERROR(__xludf.DUMMYFUNCTION("""COMPUTED_VALUE"""),"[Nhãn] GC - II - 1307 - LOT AGC - Cty Dragon Sài Gòn - Imiprid 10WP (Bột trắng) - 100gr - 100")</f>
        <v>[Nhãn] GC - II - 1307 - LOT AGC - Cty Dragon Sài Gòn - Imiprid 10WP (Bột trắng) - 100gr - 100</v>
      </c>
      <c r="E1828" s="87" t="str">
        <f>IFERROR(__xludf.DUMMYFUNCTION("""COMPUTED_VALUE"""),"IMIPRID 10WP")</f>
        <v>IMIPRID 10WP</v>
      </c>
      <c r="F1828" s="87" t="str">
        <f>IFERROR(__xludf.DUMMYFUNCTION("""COMPUTED_VALUE"""),"HH1307")</f>
        <v>HH1307</v>
      </c>
      <c r="G1828" s="87" t="str">
        <f>IFERROR(__xludf.DUMMYFUNCTION("""COMPUTED_VALUE"""),"GC - II - 1307 - LOT AGC - Cty Dragon Sài Gòn - Imiprid 10WP (Bột trắng) - 100gr - 100")</f>
        <v>GC - II - 1307 - LOT AGC - Cty Dragon Sài Gòn - Imiprid 10WP (Bột trắng) - 100gr - 100</v>
      </c>
    </row>
    <row r="1829">
      <c r="A1829" s="86">
        <f>IFERROR(__xludf.DUMMYFUNCTION("""COMPUTED_VALUE"""),1827.0)</f>
        <v>1827</v>
      </c>
      <c r="B1829" s="87" t="str">
        <f>IFERROR(__xludf.DUMMYFUNCTION("""COMPUTED_VALUE"""),"Nhãn")</f>
        <v>Nhãn</v>
      </c>
      <c r="C1829" s="87" t="str">
        <f>IFERROR(__xludf.DUMMYFUNCTION("""COMPUTED_VALUE"""),"NHG1310")</f>
        <v>NHG1310</v>
      </c>
      <c r="D1829" s="87" t="str">
        <f>IFERROR(__xludf.DUMMYFUNCTION("""COMPUTED_VALUE"""),"[Nhãn] GC - II - 1310 - ĐL Thanh Đua - Mãnh Hổ (nước nâu đen) - 450ml - 40")</f>
        <v>[Nhãn] GC - II - 1310 - ĐL Thanh Đua - Mãnh Hổ (nước nâu đen) - 450ml - 40</v>
      </c>
      <c r="E1829" s="87" t="str">
        <f>IFERROR(__xludf.DUMMYFUNCTION("""COMPUTED_VALUE"""),"HAIHAMEC 3.6EC")</f>
        <v>HAIHAMEC 3.6EC</v>
      </c>
      <c r="F1829" s="87" t="str">
        <f>IFERROR(__xludf.DUMMYFUNCTION("""COMPUTED_VALUE"""),"HH1310")</f>
        <v>HH1310</v>
      </c>
      <c r="G1829" s="87" t="str">
        <f>IFERROR(__xludf.DUMMYFUNCTION("""COMPUTED_VALUE"""),"GC - II - 1310 - ĐL Thanh Đua - Mãnh Hổ (nước nâu đen) - 450ml - 40")</f>
        <v>GC - II - 1310 - ĐL Thanh Đua - Mãnh Hổ (nước nâu đen) - 450ml - 40</v>
      </c>
    </row>
    <row r="1830">
      <c r="A1830" s="86">
        <f>IFERROR(__xludf.DUMMYFUNCTION("""COMPUTED_VALUE"""),1828.0)</f>
        <v>1828</v>
      </c>
      <c r="B1830" s="87" t="str">
        <f>IFERROR(__xludf.DUMMYFUNCTION("""COMPUTED_VALUE"""),"Nhãn")</f>
        <v>Nhãn</v>
      </c>
      <c r="C1830" s="87" t="str">
        <f>IFERROR(__xludf.DUMMYFUNCTION("""COMPUTED_VALUE"""),"NHG1311")</f>
        <v>NHG1311</v>
      </c>
      <c r="D1830" s="87" t="str">
        <f>IFERROR(__xludf.DUMMYFUNCTION("""COMPUTED_VALUE"""),"[Nhãn] LOT IDA Global - I - 1311 - ĐL Kim Nga - Ema Thái (nước trong) - 400ml - 40")</f>
        <v>[Nhãn] LOT IDA Global - I - 1311 - ĐL Kim Nga - Ema Thái (nước trong) - 400ml - 40</v>
      </c>
      <c r="E1830" s="87" t="str">
        <f>IFERROR(__xludf.DUMMYFUNCTION("""COMPUTED_VALUE"""),"Creek 2.1EC")</f>
        <v>Creek 2.1EC</v>
      </c>
      <c r="F1830" s="87" t="str">
        <f>IFERROR(__xludf.DUMMYFUNCTION("""COMPUTED_VALUE"""),"HH1311")</f>
        <v>HH1311</v>
      </c>
      <c r="G1830" s="87" t="str">
        <f>IFERROR(__xludf.DUMMYFUNCTION("""COMPUTED_VALUE"""),"LOT IDA Global - I - 1311 - ĐL Kim Nga - Ema Thái (nước trong) - 400ml - 40")</f>
        <v>LOT IDA Global - I - 1311 - ĐL Kim Nga - Ema Thái (nước trong) - 400ml - 40</v>
      </c>
    </row>
    <row r="1831">
      <c r="A1831" s="86">
        <f>IFERROR(__xludf.DUMMYFUNCTION("""COMPUTED_VALUE"""),1829.0)</f>
        <v>1829</v>
      </c>
      <c r="B1831" s="87" t="str">
        <f>IFERROR(__xludf.DUMMYFUNCTION("""COMPUTED_VALUE"""),"Nhãn")</f>
        <v>Nhãn</v>
      </c>
      <c r="C1831" s="87" t="str">
        <f>IFERROR(__xludf.DUMMYFUNCTION("""COMPUTED_VALUE"""),"NHG1312")</f>
        <v>NHG1312</v>
      </c>
      <c r="D1831" s="87" t="str">
        <f>IFERROR(__xludf.DUMMYFUNCTION("""COMPUTED_VALUE"""),"[Nhãn] LOT IDA Global - I - 1312 - ĐL Út Quang - Chim Ưng (Nước nâu đen) - 450ml - 40")</f>
        <v>[Nhãn] LOT IDA Global - I - 1312 - ĐL Út Quang - Chim Ưng (Nước nâu đen) - 450ml - 40</v>
      </c>
      <c r="E1831" s="87" t="str">
        <f>IFERROR(__xludf.DUMMYFUNCTION("""COMPUTED_VALUE"""),"HAIHAMEC 3.6EC")</f>
        <v>HAIHAMEC 3.6EC</v>
      </c>
      <c r="F1831" s="87" t="str">
        <f>IFERROR(__xludf.DUMMYFUNCTION("""COMPUTED_VALUE"""),"HH1312")</f>
        <v>HH1312</v>
      </c>
      <c r="G1831" s="87" t="str">
        <f>IFERROR(__xludf.DUMMYFUNCTION("""COMPUTED_VALUE"""),"LOT IDA Global - I - 1312 - ĐL Út Quang - Chim Ưng (Nước nâu đen) - 450ml - 40")</f>
        <v>LOT IDA Global - I - 1312 - ĐL Út Quang - Chim Ưng (Nước nâu đen) - 450ml - 40</v>
      </c>
    </row>
    <row r="1832">
      <c r="A1832" s="86">
        <f>IFERROR(__xludf.DUMMYFUNCTION("""COMPUTED_VALUE"""),1830.0)</f>
        <v>1830</v>
      </c>
      <c r="B1832" s="87" t="str">
        <f>IFERROR(__xludf.DUMMYFUNCTION("""COMPUTED_VALUE"""),"Nhãn")</f>
        <v>Nhãn</v>
      </c>
      <c r="C1832" s="87" t="str">
        <f>IFERROR(__xludf.DUMMYFUNCTION("""COMPUTED_VALUE"""),"NHG1315")</f>
        <v>NHG1315</v>
      </c>
      <c r="D1832" s="87" t="str">
        <f>IFERROR(__xludf.DUMMYFUNCTION("""COMPUTED_VALUE"""),"[Nhãn] GC - II - 1315 - LOT AGC - ĐL Hai Quý - Siêu diệt rầy (Nước tím) - 450ml - 40")</f>
        <v>[Nhãn] GC - II - 1315 - LOT AGC - ĐL Hai Quý - Siêu diệt rầy (Nước tím) - 450ml - 40</v>
      </c>
      <c r="E1832" s="87" t="str">
        <f>IFERROR(__xludf.DUMMYFUNCTION("""COMPUTED_VALUE"""),"ABASBA 50EC")</f>
        <v>ABASBA 50EC</v>
      </c>
      <c r="F1832" s="87" t="str">
        <f>IFERROR(__xludf.DUMMYFUNCTION("""COMPUTED_VALUE"""),"HH1315")</f>
        <v>HH1315</v>
      </c>
      <c r="G1832" s="87" t="str">
        <f>IFERROR(__xludf.DUMMYFUNCTION("""COMPUTED_VALUE"""),"GC - II - 1315 - LOT AGC - ĐL Hai Quý - Siêu diệt rầy (Nước tím) - 450ml - 40")</f>
        <v>GC - II - 1315 - LOT AGC - ĐL Hai Quý - Siêu diệt rầy (Nước tím) - 450ml - 40</v>
      </c>
    </row>
    <row r="1833">
      <c r="A1833" s="86">
        <f>IFERROR(__xludf.DUMMYFUNCTION("""COMPUTED_VALUE"""),1831.0)</f>
        <v>1831</v>
      </c>
      <c r="B1833" s="87" t="str">
        <f>IFERROR(__xludf.DUMMYFUNCTION("""COMPUTED_VALUE"""),"Nhãn")</f>
        <v>Nhãn</v>
      </c>
      <c r="C1833" s="87" t="str">
        <f>IFERROR(__xludf.DUMMYFUNCTION("""COMPUTED_VALUE"""),"NTN1316")</f>
        <v>NTN1316</v>
      </c>
      <c r="D1833" s="87" t="str">
        <f>IFERROR(__xludf.DUMMYFUNCTION("""COMPUTED_VALUE"""),"[Nhãn] LOT IDA Global - I - 1316 - ĐL Phú Cường - Manco Xanh - 1 kg - 20")</f>
        <v>[Nhãn] LOT IDA Global - I - 1316 - ĐL Phú Cường - Manco Xanh - 1 kg - 20</v>
      </c>
      <c r="E1833" s="87" t="str">
        <f>IFERROR(__xludf.DUMMYFUNCTION("""COMPUTED_VALUE"""),"TVZEB 800WP")</f>
        <v>TVZEB 800WP</v>
      </c>
      <c r="F1833" s="87" t="str">
        <f>IFERROR(__xludf.DUMMYFUNCTION("""COMPUTED_VALUE"""),"HH1316")</f>
        <v>HH1316</v>
      </c>
      <c r="G1833" s="87" t="str">
        <f>IFERROR(__xludf.DUMMYFUNCTION("""COMPUTED_VALUE"""),"LOT IDA Global - I - 1316 - ĐL Phú Cường - Manco Xanh - 1 kg - 20")</f>
        <v>LOT IDA Global - I - 1316 - ĐL Phú Cường - Manco Xanh - 1 kg - 20</v>
      </c>
    </row>
    <row r="1834">
      <c r="A1834" s="86">
        <f>IFERROR(__xludf.DUMMYFUNCTION("""COMPUTED_VALUE"""),1832.0)</f>
        <v>1832</v>
      </c>
      <c r="B1834" s="87" t="str">
        <f>IFERROR(__xludf.DUMMYFUNCTION("""COMPUTED_VALUE"""),"Nhãn")</f>
        <v>Nhãn</v>
      </c>
      <c r="C1834" s="87" t="str">
        <f>IFERROR(__xludf.DUMMYFUNCTION("""COMPUTED_VALUE"""),"NHG1317")</f>
        <v>NHG1317</v>
      </c>
      <c r="D1834" s="87" t="str">
        <f>IFERROR(__xludf.DUMMYFUNCTION("""COMPUTED_VALUE"""),"[Nhãn] LOT IDA Global - I - 1317 - ĐL Hai Dũng - Genol 1.2SL (Drone) (nước đỏ) - 480ml - 40")</f>
        <v>[Nhãn] LOT IDA Global - I - 1317 - ĐL Hai Dũng - Genol 1.2SL (Drone) (nước đỏ) - 480ml - 40</v>
      </c>
      <c r="E1834" s="87" t="str">
        <f>IFERROR(__xludf.DUMMYFUNCTION("""COMPUTED_VALUE"""),"GENOL 1.2SL")</f>
        <v>GENOL 1.2SL</v>
      </c>
      <c r="F1834" s="87" t="str">
        <f>IFERROR(__xludf.DUMMYFUNCTION("""COMPUTED_VALUE"""),"HH1317")</f>
        <v>HH1317</v>
      </c>
      <c r="G1834" s="87" t="str">
        <f>IFERROR(__xludf.DUMMYFUNCTION("""COMPUTED_VALUE"""),"LOT IDA Global - I - 1317 - ĐL Hai Dũng - Genol 1.2SL (Drone) (nước đỏ) - 480ml - 40")</f>
        <v>LOT IDA Global - I - 1317 - ĐL Hai Dũng - Genol 1.2SL (Drone) (nước đỏ) - 480ml - 40</v>
      </c>
    </row>
    <row r="1835">
      <c r="A1835" s="86">
        <f>IFERROR(__xludf.DUMMYFUNCTION("""COMPUTED_VALUE"""),1833.0)</f>
        <v>1833</v>
      </c>
      <c r="B1835" s="87" t="str">
        <f>IFERROR(__xludf.DUMMYFUNCTION("""COMPUTED_VALUE"""),"Nhãn")</f>
        <v>Nhãn</v>
      </c>
      <c r="C1835" s="87" t="str">
        <f>IFERROR(__xludf.DUMMYFUNCTION("""COMPUTED_VALUE"""),"NHG1318")</f>
        <v>NHG1318</v>
      </c>
      <c r="D1835" s="87" t="str">
        <f>IFERROR(__xludf.DUMMYFUNCTION("""COMPUTED_VALUE"""),"[Nhãn] GC - II - 1318 -  LOT AGC - ĐL Thanh Liêm - Kamycijapane 20SL (Nước xanh lá) - 450ml - 40")</f>
        <v>[Nhãn] GC - II - 1318 -  LOT AGC - ĐL Thanh Liêm - Kamycijapane 20SL (Nước xanh lá) - 450ml - 40</v>
      </c>
      <c r="E1835" s="87" t="str">
        <f>IFERROR(__xludf.DUMMYFUNCTION("""COMPUTED_VALUE"""),"Kamycinjapane 20SL")</f>
        <v>Kamycinjapane 20SL</v>
      </c>
      <c r="F1835" s="87" t="str">
        <f>IFERROR(__xludf.DUMMYFUNCTION("""COMPUTED_VALUE"""),"HH1318")</f>
        <v>HH1318</v>
      </c>
      <c r="G1835" s="87" t="str">
        <f>IFERROR(__xludf.DUMMYFUNCTION("""COMPUTED_VALUE"""),"GC - II - 1318 -  LOT AGC - ĐL Thanh Liêm - Kamycijapane 20SL (Nước xanh lá) - 450ml - 40")</f>
        <v>GC - II - 1318 -  LOT AGC - ĐL Thanh Liêm - Kamycijapane 20SL (Nước xanh lá) - 450ml - 40</v>
      </c>
    </row>
    <row r="1836">
      <c r="A1836" s="86">
        <f>IFERROR(__xludf.DUMMYFUNCTION("""COMPUTED_VALUE"""),1834.0)</f>
        <v>1834</v>
      </c>
      <c r="B1836" s="87" t="str">
        <f>IFERROR(__xludf.DUMMYFUNCTION("""COMPUTED_VALUE"""),"Nhãn")</f>
        <v>Nhãn</v>
      </c>
      <c r="C1836" s="87" t="str">
        <f>IFERROR(__xludf.DUMMYFUNCTION("""COMPUTED_VALUE"""),"NHG1319")</f>
        <v>NHG1319</v>
      </c>
      <c r="D1836" s="87" t="str">
        <f>IFERROR(__xludf.DUMMYFUNCTION("""COMPUTED_VALUE"""),"[Nhãn] GC - IV - 1319 - CTY GNH - Siêu Vô Gạo (Nước nâu đen) - 500ml - 40")</f>
        <v>[Nhãn] GC - IV - 1319 - CTY GNH - Siêu Vô Gạo (Nước nâu đen) - 500ml - 40</v>
      </c>
      <c r="E1836" s="87" t="str">
        <f>IFERROR(__xludf.DUMMYFUNCTION("""COMPUTED_VALUE"""),"Vi lượng Basel VA02")</f>
        <v>Vi lượng Basel VA02</v>
      </c>
      <c r="F1836" s="87" t="str">
        <f>IFERROR(__xludf.DUMMYFUNCTION("""COMPUTED_VALUE"""),"HH1319")</f>
        <v>HH1319</v>
      </c>
      <c r="G1836" s="87" t="str">
        <f>IFERROR(__xludf.DUMMYFUNCTION("""COMPUTED_VALUE"""),"GC - IV - 1319 - CTY GNH - Siêu Vô Gạo (Nước nâu đen) - 500ml - 40")</f>
        <v>GC - IV - 1319 - CTY GNH - Siêu Vô Gạo (Nước nâu đen) - 500ml - 40</v>
      </c>
    </row>
    <row r="1837">
      <c r="A1837" s="86">
        <f>IFERROR(__xludf.DUMMYFUNCTION("""COMPUTED_VALUE"""),1835.0)</f>
        <v>1835</v>
      </c>
      <c r="B1837" s="87" t="str">
        <f>IFERROR(__xludf.DUMMYFUNCTION("""COMPUTED_VALUE"""),"Nhãn")</f>
        <v>Nhãn</v>
      </c>
      <c r="C1837" s="87" t="str">
        <f>IFERROR(__xludf.DUMMYFUNCTION("""COMPUTED_VALUE"""),"NHG1320")</f>
        <v>NHG1320</v>
      </c>
      <c r="D1837" s="87" t="str">
        <f>IFERROR(__xludf.DUMMYFUNCTION("""COMPUTED_VALUE"""),"[Nhãn] GC - IV - 1320 - CTY Sen Hồng - Knock Out Sâu Đục Thân (Nước trắng sữa) - 100ml - 100")</f>
        <v>[Nhãn] GC - IV - 1320 - CTY Sen Hồng - Knock Out Sâu Đục Thân (Nước trắng sữa) - 100ml - 100</v>
      </c>
      <c r="E1837" s="87" t="str">
        <f>IFERROR(__xludf.DUMMYFUNCTION("""COMPUTED_VALUE"""),"VOTE 34.2SC")</f>
        <v>VOTE 34.2SC</v>
      </c>
      <c r="F1837" s="87" t="str">
        <f>IFERROR(__xludf.DUMMYFUNCTION("""COMPUTED_VALUE"""),"HH1320")</f>
        <v>HH1320</v>
      </c>
      <c r="G1837" s="87" t="str">
        <f>IFERROR(__xludf.DUMMYFUNCTION("""COMPUTED_VALUE"""),"GC - IV - 1320 - CTY Sen Hồng - Knock Out Sâu Đục Thân (Nước trắng sữa) - 100ml - 100")</f>
        <v>GC - IV - 1320 - CTY Sen Hồng - Knock Out Sâu Đục Thân (Nước trắng sữa) - 100ml - 100</v>
      </c>
    </row>
    <row r="1838">
      <c r="A1838" s="86">
        <f>IFERROR(__xludf.DUMMYFUNCTION("""COMPUTED_VALUE"""),1836.0)</f>
        <v>1836</v>
      </c>
      <c r="B1838" s="87" t="str">
        <f>IFERROR(__xludf.DUMMYFUNCTION("""COMPUTED_VALUE"""),"Nhãn thùng")</f>
        <v>Nhãn thùng</v>
      </c>
      <c r="C1838" s="87" t="str">
        <f>IFERROR(__xludf.DUMMYFUNCTION("""COMPUTED_VALUE"""),"NDT1320")</f>
        <v>NDT1320</v>
      </c>
      <c r="D1838" s="87" t="str">
        <f>IFERROR(__xludf.DUMMYFUNCTION("""COMPUTED_VALUE"""),"[Nhãn thùng] GC - IV - 1320 - CTY Sen Hồng - Knock Out Sâu Đục Thân (Nước trắng sữa) - 100ml - 100")</f>
        <v>[Nhãn thùng] GC - IV - 1320 - CTY Sen Hồng - Knock Out Sâu Đục Thân (Nước trắng sữa) - 100ml - 100</v>
      </c>
      <c r="E1838" s="87" t="str">
        <f>IFERROR(__xludf.DUMMYFUNCTION("""COMPUTED_VALUE"""),"VOTE 34.2SC")</f>
        <v>VOTE 34.2SC</v>
      </c>
      <c r="F1838" s="87" t="str">
        <f>IFERROR(__xludf.DUMMYFUNCTION("""COMPUTED_VALUE"""),"HH1320")</f>
        <v>HH1320</v>
      </c>
      <c r="G1838" s="87" t="str">
        <f>IFERROR(__xludf.DUMMYFUNCTION("""COMPUTED_VALUE"""),"GC - IV - 1320 - CTY Sen Hồng - Knock Out Sâu Đục Thân (Nước trắng sữa) - 100ml - 100")</f>
        <v>GC - IV - 1320 - CTY Sen Hồng - Knock Out Sâu Đục Thân (Nước trắng sữa) - 100ml - 100</v>
      </c>
    </row>
    <row r="1839">
      <c r="A1839" s="86">
        <f>IFERROR(__xludf.DUMMYFUNCTION("""COMPUTED_VALUE"""),1837.0)</f>
        <v>1837</v>
      </c>
      <c r="B1839" s="87" t="str">
        <f>IFERROR(__xludf.DUMMYFUNCTION("""COMPUTED_VALUE"""),"Nhãn")</f>
        <v>Nhãn</v>
      </c>
      <c r="C1839" s="87" t="str">
        <f>IFERROR(__xludf.DUMMYFUNCTION("""COMPUTED_VALUE"""),"NHG1321")</f>
        <v>NHG1321</v>
      </c>
      <c r="D1839" s="87" t="str">
        <f>IFERROR(__xludf.DUMMYFUNCTION("""COMPUTED_VALUE"""),"[Nhãn] GC - IV - 1321 -  CTY Sen Hồng - Hexavil (nước xanh dương) - 1L - 20")</f>
        <v>[Nhãn] GC - IV - 1321 -  CTY Sen Hồng - Hexavil (nước xanh dương) - 1L - 20</v>
      </c>
      <c r="E1839" s="87" t="str">
        <f>IFERROR(__xludf.DUMMYFUNCTION("""COMPUTED_VALUE"""),"Mekongvil 5SC")</f>
        <v>Mekongvil 5SC</v>
      </c>
      <c r="F1839" s="87" t="str">
        <f>IFERROR(__xludf.DUMMYFUNCTION("""COMPUTED_VALUE"""),"HH1321")</f>
        <v>HH1321</v>
      </c>
      <c r="G1839" s="87" t="str">
        <f>IFERROR(__xludf.DUMMYFUNCTION("""COMPUTED_VALUE"""),"GC - IV - 1321 -  CTY Sen Hồng - Hexavil (nước xanh dương) - 1L - 20")</f>
        <v>GC - IV - 1321 -  CTY Sen Hồng - Hexavil (nước xanh dương) - 1L - 20</v>
      </c>
    </row>
    <row r="1840">
      <c r="A1840" s="86">
        <f>IFERROR(__xludf.DUMMYFUNCTION("""COMPUTED_VALUE"""),1838.0)</f>
        <v>1838</v>
      </c>
      <c r="B1840" s="87" t="str">
        <f>IFERROR(__xludf.DUMMYFUNCTION("""COMPUTED_VALUE"""),"Nhãn")</f>
        <v>Nhãn</v>
      </c>
      <c r="C1840" s="87" t="str">
        <f>IFERROR(__xludf.DUMMYFUNCTION("""COMPUTED_VALUE"""),"NHG1322")</f>
        <v>NHG1322</v>
      </c>
      <c r="D1840" s="87" t="str">
        <f>IFERROR(__xludf.DUMMYFUNCTION("""COMPUTED_VALUE"""),"[Nhãn]  GC - IV - 1322 -  CTY Sen Hồng - Alvin Sen Hồng (nước hồng) - 1L - 20")</f>
        <v>[Nhãn]  GC - IV - 1322 -  CTY Sen Hồng - Alvin Sen Hồng (nước hồng) - 1L - 20</v>
      </c>
      <c r="E1840" s="87" t="str">
        <f>IFERROR(__xludf.DUMMYFUNCTION("""COMPUTED_VALUE"""),"Mekongvil 5SC")</f>
        <v>Mekongvil 5SC</v>
      </c>
      <c r="F1840" s="87" t="str">
        <f>IFERROR(__xludf.DUMMYFUNCTION("""COMPUTED_VALUE"""),"HH1322")</f>
        <v>HH1322</v>
      </c>
      <c r="G1840" s="87" t="str">
        <f>IFERROR(__xludf.DUMMYFUNCTION("""COMPUTED_VALUE"""),"GC - IV - 1322 -  CTY Sen Hồng - Alvin Sen Hồng (nước hồng) - 1L - 20")</f>
        <v>GC - IV - 1322 -  CTY Sen Hồng - Alvin Sen Hồng (nước hồng) - 1L - 20</v>
      </c>
    </row>
    <row r="1841">
      <c r="A1841" s="86">
        <f>IFERROR(__xludf.DUMMYFUNCTION("""COMPUTED_VALUE"""),1839.0)</f>
        <v>1839</v>
      </c>
      <c r="B1841" s="87" t="str">
        <f>IFERROR(__xludf.DUMMYFUNCTION("""COMPUTED_VALUE"""),"Nhãn")</f>
        <v>Nhãn</v>
      </c>
      <c r="C1841" s="87" t="str">
        <f>IFERROR(__xludf.DUMMYFUNCTION("""COMPUTED_VALUE"""),"NHG1323")</f>
        <v>NHG1323</v>
      </c>
      <c r="D1841" s="87" t="str">
        <f>IFERROR(__xludf.DUMMYFUNCTION("""COMPUTED_VALUE"""),"[Nhãn] GC - IV - 1323 - Sen Hồng - Goruden 350SC (nước vàng) - 240ml - 40")</f>
        <v>[Nhãn] GC - IV - 1323 - Sen Hồng - Goruden 350SC (nước vàng) - 240ml - 40</v>
      </c>
      <c r="E1841" s="87" t="str">
        <f>IFERROR(__xludf.DUMMYFUNCTION("""COMPUTED_VALUE"""),"Goruden 350SC")</f>
        <v>Goruden 350SC</v>
      </c>
      <c r="F1841" s="87" t="str">
        <f>IFERROR(__xludf.DUMMYFUNCTION("""COMPUTED_VALUE"""),"HH1323")</f>
        <v>HH1323</v>
      </c>
      <c r="G1841" s="87" t="str">
        <f>IFERROR(__xludf.DUMMYFUNCTION("""COMPUTED_VALUE"""),"GC - IV - 1323 - Sen Hồng - Goruden 350SC (nước vàng) - 240ml - 40")</f>
        <v>GC - IV - 1323 - Sen Hồng - Goruden 350SC (nước vàng) - 240ml - 40</v>
      </c>
    </row>
    <row r="1842">
      <c r="A1842" s="86">
        <f>IFERROR(__xludf.DUMMYFUNCTION("""COMPUTED_VALUE"""),1840.0)</f>
        <v>1840</v>
      </c>
      <c r="B1842" s="87" t="str">
        <f>IFERROR(__xludf.DUMMYFUNCTION("""COMPUTED_VALUE"""),"Nhãn")</f>
        <v>Nhãn</v>
      </c>
      <c r="C1842" s="87" t="str">
        <f>IFERROR(__xludf.DUMMYFUNCTION("""COMPUTED_VALUE"""),"NHG1324")</f>
        <v>NHG1324</v>
      </c>
      <c r="D1842" s="87" t="str">
        <f>IFERROR(__xludf.DUMMYFUNCTION("""COMPUTED_VALUE"""),"[Nhãn] GC - IV - 1324 - Sen Hồng - Red Bull (Nước vàng) - 120ml - 90")</f>
        <v>[Nhãn] GC - IV - 1324 - Sen Hồng - Red Bull (Nước vàng) - 120ml - 90</v>
      </c>
      <c r="E1842" s="87" t="str">
        <f>IFERROR(__xludf.DUMMYFUNCTION("""COMPUTED_VALUE"""),"Vi lượng Quantity New")</f>
        <v>Vi lượng Quantity New</v>
      </c>
      <c r="F1842" s="87" t="str">
        <f>IFERROR(__xludf.DUMMYFUNCTION("""COMPUTED_VALUE"""),"HH1324")</f>
        <v>HH1324</v>
      </c>
      <c r="G1842" s="87" t="str">
        <f>IFERROR(__xludf.DUMMYFUNCTION("""COMPUTED_VALUE"""),"GC - IV - 1324 - Sen Hồng - Red Bull (Nước vàng) - 120ml - 90")</f>
        <v>GC - IV - 1324 - Sen Hồng - Red Bull (Nước vàng) - 120ml - 90</v>
      </c>
    </row>
    <row r="1843">
      <c r="A1843" s="86">
        <f>IFERROR(__xludf.DUMMYFUNCTION("""COMPUTED_VALUE"""),1841.0)</f>
        <v>1841</v>
      </c>
      <c r="B1843" s="87" t="str">
        <f>IFERROR(__xludf.DUMMYFUNCTION("""COMPUTED_VALUE"""),"Nhãn")</f>
        <v>Nhãn</v>
      </c>
      <c r="C1843" s="87" t="str">
        <f>IFERROR(__xludf.DUMMYFUNCTION("""COMPUTED_VALUE"""),"NHD1325")</f>
        <v>NHD1325</v>
      </c>
      <c r="D1843" s="87" t="str">
        <f>IFERROR(__xludf.DUMMYFUNCTION("""COMPUTED_VALUE"""),"[Nhãn]  GC - II - 1325 - LOT AGC - CTY Thành Nông-Rồng Vàng - Creek 2.1EC (nước vàng trà) - 450ml - 40")</f>
        <v>[Nhãn]  GC - II - 1325 - LOT AGC - CTY Thành Nông-Rồng Vàng - Creek 2.1EC (nước vàng trà) - 450ml - 40</v>
      </c>
      <c r="E1843" s="87" t="str">
        <f>IFERROR(__xludf.DUMMYFUNCTION("""COMPUTED_VALUE"""),"Creek 2.1EC")</f>
        <v>Creek 2.1EC</v>
      </c>
      <c r="F1843" s="87" t="str">
        <f>IFERROR(__xludf.DUMMYFUNCTION("""COMPUTED_VALUE"""),"HH1325")</f>
        <v>HH1325</v>
      </c>
      <c r="G1843" s="87" t="str">
        <f>IFERROR(__xludf.DUMMYFUNCTION("""COMPUTED_VALUE"""),"GC - II - 1325 - LOT AGC - CTY Thành Nông-Rồng Vàng - Creek 2.1EC (nước vàng trà) - 450ml - 40")</f>
        <v>GC - II - 1325 - LOT AGC - CTY Thành Nông-Rồng Vàng - Creek 2.1EC (nước vàng trà) - 450ml - 40</v>
      </c>
    </row>
    <row r="1844">
      <c r="A1844" s="86">
        <f>IFERROR(__xludf.DUMMYFUNCTION("""COMPUTED_VALUE"""),1842.0)</f>
        <v>1842</v>
      </c>
      <c r="B1844" s="87" t="str">
        <f>IFERROR(__xludf.DUMMYFUNCTION("""COMPUTED_VALUE"""),"Nhãn")</f>
        <v>Nhãn</v>
      </c>
      <c r="C1844" s="87" t="str">
        <f>IFERROR(__xludf.DUMMYFUNCTION("""COMPUTED_VALUE"""),"NTN1328")</f>
        <v>NTN1328</v>
      </c>
      <c r="D1844" s="87" t="str">
        <f>IFERROR(__xludf.DUMMYFUNCTION("""COMPUTED_VALUE"""),"[Nhãn] GC - II - 1328 - CSSX An Khang - Metalaxyl (bột trắng) 100gr - 100")</f>
        <v>[Nhãn] GC - II - 1328 - CSSX An Khang - Metalaxyl (bột trắng) 100gr - 100</v>
      </c>
      <c r="E1844" s="87" t="str">
        <f>IFERROR(__xludf.DUMMYFUNCTION("""COMPUTED_VALUE"""),"Acodyl 35WP")</f>
        <v>Acodyl 35WP</v>
      </c>
      <c r="F1844" s="87" t="str">
        <f>IFERROR(__xludf.DUMMYFUNCTION("""COMPUTED_VALUE"""),"HH1328")</f>
        <v>HH1328</v>
      </c>
      <c r="G1844" s="87" t="str">
        <f>IFERROR(__xludf.DUMMYFUNCTION("""COMPUTED_VALUE"""),"GC - II - 1328 - CSSX An Khang - Metalaxyl (bột trắng) 100gr - 100")</f>
        <v>GC - II - 1328 - CSSX An Khang - Metalaxyl (bột trắng) 100gr - 100</v>
      </c>
    </row>
    <row r="1845">
      <c r="A1845" s="86">
        <f>IFERROR(__xludf.DUMMYFUNCTION("""COMPUTED_VALUE"""),1843.0)</f>
        <v>1843</v>
      </c>
      <c r="B1845" s="87" t="str">
        <f>IFERROR(__xludf.DUMMYFUNCTION("""COMPUTED_VALUE"""),"Nhãn thùng")</f>
        <v>Nhãn thùng</v>
      </c>
      <c r="C1845" s="87" t="str">
        <f>IFERROR(__xludf.DUMMYFUNCTION("""COMPUTED_VALUE"""),"NDT1328")</f>
        <v>NDT1328</v>
      </c>
      <c r="D1845" s="87" t="str">
        <f>IFERROR(__xludf.DUMMYFUNCTION("""COMPUTED_VALUE"""),"[Nhãn thùng] GC - II - 1328 - CSSX An Khang - Metalaxyl (bột trắng) 100gr - 100")</f>
        <v>[Nhãn thùng] GC - II - 1328 - CSSX An Khang - Metalaxyl (bột trắng) 100gr - 100</v>
      </c>
      <c r="E1845" s="87" t="str">
        <f>IFERROR(__xludf.DUMMYFUNCTION("""COMPUTED_VALUE"""),"Acodyl 35WP")</f>
        <v>Acodyl 35WP</v>
      </c>
      <c r="F1845" s="87" t="str">
        <f>IFERROR(__xludf.DUMMYFUNCTION("""COMPUTED_VALUE"""),"HH1328")</f>
        <v>HH1328</v>
      </c>
      <c r="G1845" s="87" t="str">
        <f>IFERROR(__xludf.DUMMYFUNCTION("""COMPUTED_VALUE"""),"GC - II - 1328 - CSSX An Khang - Metalaxyl (bột trắng) 100gr - 100")</f>
        <v>GC - II - 1328 - CSSX An Khang - Metalaxyl (bột trắng) 100gr - 100</v>
      </c>
    </row>
    <row r="1846">
      <c r="A1846" s="86">
        <f>IFERROR(__xludf.DUMMYFUNCTION("""COMPUTED_VALUE"""),1844.0)</f>
        <v>1844</v>
      </c>
      <c r="B1846" s="87" t="str">
        <f>IFERROR(__xludf.DUMMYFUNCTION("""COMPUTED_VALUE"""),"Nhãn")</f>
        <v>Nhãn</v>
      </c>
      <c r="C1846" s="87" t="str">
        <f>IFERROR(__xludf.DUMMYFUNCTION("""COMPUTED_VALUE"""),"NHG1329")</f>
        <v>NHG1329</v>
      </c>
      <c r="D1846" s="87" t="str">
        <f>IFERROR(__xludf.DUMMYFUNCTION("""COMPUTED_VALUE"""),"[Nhãn] LOT IDA Global - I - 1329 - ĐL Thành Thu - ABA 3.6 (Nước nâu đen) - 450ml - 40")</f>
        <v>[Nhãn] LOT IDA Global - I - 1329 - ĐL Thành Thu - ABA 3.6 (Nước nâu đen) - 450ml - 40</v>
      </c>
      <c r="E1846" s="87" t="str">
        <f>IFERROR(__xludf.DUMMYFUNCTION("""COMPUTED_VALUE"""),"Chitin 3.6EC")</f>
        <v>Chitin 3.6EC</v>
      </c>
      <c r="F1846" s="87" t="str">
        <f>IFERROR(__xludf.DUMMYFUNCTION("""COMPUTED_VALUE"""),"HH1329")</f>
        <v>HH1329</v>
      </c>
      <c r="G1846" s="87" t="str">
        <f>IFERROR(__xludf.DUMMYFUNCTION("""COMPUTED_VALUE"""),"LOT IDA Global - I - 1329 - ĐL Thành Thu - ABA 3.6 (Nước nâu đen) - 450ml - 40")</f>
        <v>LOT IDA Global - I - 1329 - ĐL Thành Thu - ABA 3.6 (Nước nâu đen) - 450ml - 40</v>
      </c>
    </row>
    <row r="1847">
      <c r="A1847" s="86">
        <f>IFERROR(__xludf.DUMMYFUNCTION("""COMPUTED_VALUE"""),1845.0)</f>
        <v>1845</v>
      </c>
      <c r="B1847" s="87" t="str">
        <f>IFERROR(__xludf.DUMMYFUNCTION("""COMPUTED_VALUE"""),"Nhãn")</f>
        <v>Nhãn</v>
      </c>
      <c r="C1847" s="87" t="str">
        <f>IFERROR(__xludf.DUMMYFUNCTION("""COMPUTED_VALUE"""),"NHG1330")</f>
        <v>NHG1330</v>
      </c>
      <c r="D1847" s="87" t="str">
        <f>IFERROR(__xludf.DUMMYFUNCTION("""COMPUTED_VALUE"""),"[Nhãn] IDA Global - I - 1330 - ĐL Đức Minh (KG) - Sư tử chúa (nước nâu đen) - 450ml - 40")</f>
        <v>[Nhãn] IDA Global - I - 1330 - ĐL Đức Minh (KG) - Sư tử chúa (nước nâu đen) - 450ml - 40</v>
      </c>
      <c r="E1847" s="87" t="str">
        <f>IFERROR(__xludf.DUMMYFUNCTION("""COMPUTED_VALUE"""),"Chitin 3.6EC")</f>
        <v>Chitin 3.6EC</v>
      </c>
      <c r="F1847" s="87" t="str">
        <f>IFERROR(__xludf.DUMMYFUNCTION("""COMPUTED_VALUE"""),"HH1330")</f>
        <v>HH1330</v>
      </c>
      <c r="G1847" s="87" t="str">
        <f>IFERROR(__xludf.DUMMYFUNCTION("""COMPUTED_VALUE"""),"IDA Global - I - 1330 - ĐL Đức Minh (KG) - Sư tử chúa (nước nâu đen) - 450ml - 40")</f>
        <v>IDA Global - I - 1330 - ĐL Đức Minh (KG) - Sư tử chúa (nước nâu đen) - 450ml - 40</v>
      </c>
    </row>
    <row r="1848">
      <c r="A1848" s="86">
        <f>IFERROR(__xludf.DUMMYFUNCTION("""COMPUTED_VALUE"""),1846.0)</f>
        <v>1846</v>
      </c>
      <c r="B1848" s="87" t="str">
        <f>IFERROR(__xludf.DUMMYFUNCTION("""COMPUTED_VALUE"""),"Nhãn")</f>
        <v>Nhãn</v>
      </c>
      <c r="C1848" s="87" t="str">
        <f>IFERROR(__xludf.DUMMYFUNCTION("""COMPUTED_VALUE"""),"NHG1331")</f>
        <v>NHG1331</v>
      </c>
      <c r="D1848" s="87" t="str">
        <f>IFERROR(__xludf.DUMMYFUNCTION("""COMPUTED_VALUE"""),"[Nhãn] GC - IV - 1331 - CTY GNH - Siêu Lớn Trái (Nước nâu đen) - 500ml - 40")</f>
        <v>[Nhãn] GC - IV - 1331 - CTY GNH - Siêu Lớn Trái (Nước nâu đen) - 500ml - 40</v>
      </c>
      <c r="E1848" s="87" t="str">
        <f>IFERROR(__xludf.DUMMYFUNCTION("""COMPUTED_VALUE"""),"Vi lượng Basel VA02")</f>
        <v>Vi lượng Basel VA02</v>
      </c>
      <c r="F1848" s="87" t="str">
        <f>IFERROR(__xludf.DUMMYFUNCTION("""COMPUTED_VALUE"""),"HH1331")</f>
        <v>HH1331</v>
      </c>
      <c r="G1848" s="87" t="str">
        <f>IFERROR(__xludf.DUMMYFUNCTION("""COMPUTED_VALUE"""),"GC - IV - 1331 - CTY GNH - Siêu Lớn Trái (Nước nâu đen) - 500ml - 40")</f>
        <v>GC - IV - 1331 - CTY GNH - Siêu Lớn Trái (Nước nâu đen) - 500ml - 40</v>
      </c>
    </row>
    <row r="1849">
      <c r="A1849" s="86">
        <f>IFERROR(__xludf.DUMMYFUNCTION("""COMPUTED_VALUE"""),1847.0)</f>
        <v>1847</v>
      </c>
      <c r="B1849" s="87" t="str">
        <f>IFERROR(__xludf.DUMMYFUNCTION("""COMPUTED_VALUE"""),"Nhãn")</f>
        <v>Nhãn</v>
      </c>
      <c r="C1849" s="87" t="str">
        <f>IFERROR(__xludf.DUMMYFUNCTION("""COMPUTED_VALUE"""),"NHG1332")</f>
        <v>NHG1332</v>
      </c>
      <c r="D1849" s="87" t="str">
        <f>IFERROR(__xludf.DUMMYFUNCTION("""COMPUTED_VALUE"""),"[Nhãn] LOT IDA Global - I - 1332 - ĐL Nhật Linh - Abamectin 3.6 (nước nâu đen) - 450ml - 40")</f>
        <v>[Nhãn] LOT IDA Global - I - 1332 - ĐL Nhật Linh - Abamectin 3.6 (nước nâu đen) - 450ml - 40</v>
      </c>
      <c r="E1849" s="87" t="str">
        <f>IFERROR(__xludf.DUMMYFUNCTION("""COMPUTED_VALUE"""),"HAIHAMEC 3.6EC")</f>
        <v>HAIHAMEC 3.6EC</v>
      </c>
      <c r="F1849" s="87" t="str">
        <f>IFERROR(__xludf.DUMMYFUNCTION("""COMPUTED_VALUE"""),"HH1332")</f>
        <v>HH1332</v>
      </c>
      <c r="G1849" s="87" t="str">
        <f>IFERROR(__xludf.DUMMYFUNCTION("""COMPUTED_VALUE"""),"LOT IDA Global - I - 1332 - ĐL Nhật Linh - Abamectin 3.6 (nước nâu đen) - 450ml - 40")</f>
        <v>LOT IDA Global - I - 1332 - ĐL Nhật Linh - Abamectin 3.6 (nước nâu đen) - 450ml - 40</v>
      </c>
    </row>
    <row r="1850">
      <c r="A1850" s="86">
        <f>IFERROR(__xludf.DUMMYFUNCTION("""COMPUTED_VALUE"""),1848.0)</f>
        <v>1848</v>
      </c>
      <c r="B1850" s="87" t="str">
        <f>IFERROR(__xludf.DUMMYFUNCTION("""COMPUTED_VALUE"""),"Nhãn")</f>
        <v>Nhãn</v>
      </c>
      <c r="C1850" s="87" t="str">
        <f>IFERROR(__xludf.DUMMYFUNCTION("""COMPUTED_VALUE"""),"NHG1333")</f>
        <v>NHG1333</v>
      </c>
      <c r="D1850" s="87" t="str">
        <f>IFERROR(__xludf.DUMMYFUNCTION("""COMPUTED_VALUE"""),"[Nhãn] LOT IDA Global - I - 1333 - ĐL Tư Tro - Cá Sấu Chúa (nước nâu đen) - 450ml - 40")</f>
        <v>[Nhãn] LOT IDA Global - I - 1333 - ĐL Tư Tro - Cá Sấu Chúa (nước nâu đen) - 450ml - 40</v>
      </c>
      <c r="E1850" s="87" t="str">
        <f>IFERROR(__xludf.DUMMYFUNCTION("""COMPUTED_VALUE"""),"HAIHAMEC 3.6EC")</f>
        <v>HAIHAMEC 3.6EC</v>
      </c>
      <c r="F1850" s="87" t="str">
        <f>IFERROR(__xludf.DUMMYFUNCTION("""COMPUTED_VALUE"""),"HH1333")</f>
        <v>HH1333</v>
      </c>
      <c r="G1850" s="87" t="str">
        <f>IFERROR(__xludf.DUMMYFUNCTION("""COMPUTED_VALUE"""),"LOT IDA Global - I - 1333 - ĐL Tư Tro - Cá Sấu Chúa (nước nâu đen) - 450ml - 40")</f>
        <v>LOT IDA Global - I - 1333 - ĐL Tư Tro - Cá Sấu Chúa (nước nâu đen) - 450ml - 40</v>
      </c>
    </row>
    <row r="1851">
      <c r="A1851" s="86">
        <f>IFERROR(__xludf.DUMMYFUNCTION("""COMPUTED_VALUE"""),1849.0)</f>
        <v>1849</v>
      </c>
      <c r="B1851" s="87" t="str">
        <f>IFERROR(__xludf.DUMMYFUNCTION("""COMPUTED_VALUE"""),"Nhãn")</f>
        <v>Nhãn</v>
      </c>
      <c r="C1851" s="87" t="str">
        <f>IFERROR(__xludf.DUMMYFUNCTION("""COMPUTED_VALUE"""),"NHG1334")</f>
        <v>NHG1334</v>
      </c>
      <c r="D1851" s="87" t="str">
        <f>IFERROR(__xludf.DUMMYFUNCTION("""COMPUTED_VALUE"""),"[Nhãn] LOT IDA Global - I - 1334 - ĐL Bình Minh - Cá Sấu Chúa (nước nâu đen) - 450ml - 40")</f>
        <v>[Nhãn] LOT IDA Global - I - 1334 - ĐL Bình Minh - Cá Sấu Chúa (nước nâu đen) - 450ml - 40</v>
      </c>
      <c r="E1851" s="87" t="str">
        <f>IFERROR(__xludf.DUMMYFUNCTION("""COMPUTED_VALUE"""),"HAIHAMEC 3.6EC")</f>
        <v>HAIHAMEC 3.6EC</v>
      </c>
      <c r="F1851" s="87" t="str">
        <f>IFERROR(__xludf.DUMMYFUNCTION("""COMPUTED_VALUE"""),"HH1334")</f>
        <v>HH1334</v>
      </c>
      <c r="G1851" s="87" t="str">
        <f>IFERROR(__xludf.DUMMYFUNCTION("""COMPUTED_VALUE"""),"LOT IDA Global - I - 1334 - ĐL Bình Minh - Cá Sấu Chúa (nước nâu đen) - 450ml - 40")</f>
        <v>LOT IDA Global - I - 1334 - ĐL Bình Minh - Cá Sấu Chúa (nước nâu đen) - 450ml - 40</v>
      </c>
    </row>
    <row r="1852">
      <c r="A1852" s="86">
        <f>IFERROR(__xludf.DUMMYFUNCTION("""COMPUTED_VALUE"""),1850.0)</f>
        <v>1850</v>
      </c>
      <c r="B1852" s="87" t="str">
        <f>IFERROR(__xludf.DUMMYFUNCTION("""COMPUTED_VALUE"""),"Nhãn")</f>
        <v>Nhãn</v>
      </c>
      <c r="C1852" s="87" t="str">
        <f>IFERROR(__xludf.DUMMYFUNCTION("""COMPUTED_VALUE"""),"NHD1335")</f>
        <v>NHD1335</v>
      </c>
      <c r="D1852" s="87" t="str">
        <f>IFERROR(__xludf.DUMMYFUNCTION("""COMPUTED_VALUE"""),"[Nhãn] GC - IV - 1335 - CTY XNK O2L - Abamectin 3.6 (Ốc Vàng - Nhãn Đen) (Nước nâu đen) - 450ml - 40")</f>
        <v>[Nhãn] GC - IV - 1335 - CTY XNK O2L - Abamectin 3.6 (Ốc Vàng - Nhãn Đen) (Nước nâu đen) - 450ml - 40</v>
      </c>
      <c r="E1852" s="87" t="str">
        <f>IFERROR(__xludf.DUMMYFUNCTION("""COMPUTED_VALUE"""),"Chitin 3.6EC")</f>
        <v>Chitin 3.6EC</v>
      </c>
      <c r="F1852" s="87" t="str">
        <f>IFERROR(__xludf.DUMMYFUNCTION("""COMPUTED_VALUE"""),"HH1335")</f>
        <v>HH1335</v>
      </c>
      <c r="G1852" s="87" t="str">
        <f>IFERROR(__xludf.DUMMYFUNCTION("""COMPUTED_VALUE"""),"GC - IV - 1335 - CTY XNK O2L - Abamectin 3.6 (Ốc Vàng - Nhãn Đen) (Nước nâu đen) - 450ml - 40")</f>
        <v>GC - IV - 1335 - CTY XNK O2L - Abamectin 3.6 (Ốc Vàng - Nhãn Đen) (Nước nâu đen) - 450ml - 40</v>
      </c>
    </row>
    <row r="1853">
      <c r="A1853" s="86">
        <f>IFERROR(__xludf.DUMMYFUNCTION("""COMPUTED_VALUE"""),1851.0)</f>
        <v>1851</v>
      </c>
      <c r="B1853" s="87" t="str">
        <f>IFERROR(__xludf.DUMMYFUNCTION("""COMPUTED_VALUE"""),"Nhãn")</f>
        <v>Nhãn</v>
      </c>
      <c r="C1853" s="87" t="str">
        <f>IFERROR(__xludf.DUMMYFUNCTION("""COMPUTED_VALUE"""),"NHD1336")</f>
        <v>NHD1336</v>
      </c>
      <c r="D1853" s="87" t="str">
        <f>IFERROR(__xludf.DUMMYFUNCTION("""COMPUTED_VALUE"""),"[Nhãn] LOT IDA Global - I - 1336 - ĐL Trịnh Thến - Sư Tử Gold (Nước nâu đen) - 450ml - 40")</f>
        <v>[Nhãn] LOT IDA Global - I - 1336 - ĐL Trịnh Thến - Sư Tử Gold (Nước nâu đen) - 450ml - 40</v>
      </c>
      <c r="E1853" s="87" t="str">
        <f>IFERROR(__xludf.DUMMYFUNCTION("""COMPUTED_VALUE"""),"Chitin 3.6EC")</f>
        <v>Chitin 3.6EC</v>
      </c>
      <c r="F1853" s="87" t="str">
        <f>IFERROR(__xludf.DUMMYFUNCTION("""COMPUTED_VALUE"""),"HH1336")</f>
        <v>HH1336</v>
      </c>
      <c r="G1853" s="87" t="str">
        <f>IFERROR(__xludf.DUMMYFUNCTION("""COMPUTED_VALUE"""),"LOT IDA Global - I - 1336 - ĐL Trịnh Thến - Sư Tử Gold (Nước nâu đen) - 450ml - 40")</f>
        <v>LOT IDA Global - I - 1336 - ĐL Trịnh Thến - Sư Tử Gold (Nước nâu đen) - 450ml - 40</v>
      </c>
    </row>
    <row r="1854">
      <c r="A1854" s="86">
        <f>IFERROR(__xludf.DUMMYFUNCTION("""COMPUTED_VALUE"""),1852.0)</f>
        <v>1852</v>
      </c>
      <c r="B1854" s="87" t="str">
        <f>IFERROR(__xludf.DUMMYFUNCTION("""COMPUTED_VALUE"""),"Nhãn")</f>
        <v>Nhãn</v>
      </c>
      <c r="C1854" s="87" t="str">
        <f>IFERROR(__xludf.DUMMYFUNCTION("""COMPUTED_VALUE"""),"NHG1337")</f>
        <v>NHG1337</v>
      </c>
      <c r="D1854" s="87" t="str">
        <f>IFERROR(__xludf.DUMMYFUNCTION("""COMPUTED_VALUE"""),"[Nhãn] GC - IV - 1337 - ĐL Tập Hưng - Khai Hoang [Nước đỏ] (Nước đỏ thường) - 900ml - 20")</f>
        <v>[Nhãn] GC - IV - 1337 - ĐL Tập Hưng - Khai Hoang [Nước đỏ] (Nước đỏ thường) - 900ml - 20</v>
      </c>
      <c r="E1854" s="87" t="str">
        <f>IFERROR(__xludf.DUMMYFUNCTION("""COMPUTED_VALUE"""),"NEWFOSINATE 150SL")</f>
        <v>NEWFOSINATE 150SL</v>
      </c>
      <c r="F1854" s="87" t="str">
        <f>IFERROR(__xludf.DUMMYFUNCTION("""COMPUTED_VALUE"""),"HH1337")</f>
        <v>HH1337</v>
      </c>
      <c r="G1854" s="87" t="str">
        <f>IFERROR(__xludf.DUMMYFUNCTION("""COMPUTED_VALUE"""),"GC - IV - 1337 - ĐL Tập Hưng - Khai Hoang [Nước đỏ] (Nước đỏ thường) - 900ml - 20")</f>
        <v>GC - IV - 1337 - ĐL Tập Hưng - Khai Hoang [Nước đỏ] (Nước đỏ thường) - 900ml - 20</v>
      </c>
    </row>
    <row r="1855">
      <c r="A1855" s="86">
        <f>IFERROR(__xludf.DUMMYFUNCTION("""COMPUTED_VALUE"""),1853.0)</f>
        <v>1853</v>
      </c>
      <c r="B1855" s="87" t="str">
        <f>IFERROR(__xludf.DUMMYFUNCTION("""COMPUTED_VALUE"""),"Nhãn")</f>
        <v>Nhãn</v>
      </c>
      <c r="C1855" s="87" t="str">
        <f>IFERROR(__xludf.DUMMYFUNCTION("""COMPUTED_VALUE"""),"NHG1338")</f>
        <v>NHG1338</v>
      </c>
      <c r="D1855" s="87" t="str">
        <f>IFERROR(__xludf.DUMMYFUNCTION("""COMPUTED_VALUE"""),"[Nhãn] LOT IDA Global - I - 1338 - Cty Thịnh Vượng - Bò Cạp Vàng (nước nâu đen) - 450ml - 40")</f>
        <v>[Nhãn] LOT IDA Global - I - 1338 - Cty Thịnh Vượng - Bò Cạp Vàng (nước nâu đen) - 450ml - 40</v>
      </c>
      <c r="E1855" s="87" t="str">
        <f>IFERROR(__xludf.DUMMYFUNCTION("""COMPUTED_VALUE"""),"HAIHAMEC 3.6EC")</f>
        <v>HAIHAMEC 3.6EC</v>
      </c>
      <c r="F1855" s="87" t="str">
        <f>IFERROR(__xludf.DUMMYFUNCTION("""COMPUTED_VALUE"""),"HH1338")</f>
        <v>HH1338</v>
      </c>
      <c r="G1855" s="87" t="str">
        <f>IFERROR(__xludf.DUMMYFUNCTION("""COMPUTED_VALUE"""),"LOT IDA Global - I - 1338 - Cty Thịnh Vượng - Bò Cạp Vàng (nước nâu đen) - 450ml - 40")</f>
        <v>LOT IDA Global - I - 1338 - Cty Thịnh Vượng - Bò Cạp Vàng (nước nâu đen) - 450ml - 40</v>
      </c>
    </row>
    <row r="1856">
      <c r="A1856" s="86">
        <f>IFERROR(__xludf.DUMMYFUNCTION("""COMPUTED_VALUE"""),1854.0)</f>
        <v>1854</v>
      </c>
      <c r="B1856" s="87" t="str">
        <f>IFERROR(__xludf.DUMMYFUNCTION("""COMPUTED_VALUE"""),"Nhãn")</f>
        <v>Nhãn</v>
      </c>
      <c r="C1856" s="87" t="str">
        <f>IFERROR(__xludf.DUMMYFUNCTION("""COMPUTED_VALUE"""),"NHG1339")</f>
        <v>NHG1339</v>
      </c>
      <c r="D1856" s="87" t="str">
        <f>IFERROR(__xludf.DUMMYFUNCTION("""COMPUTED_VALUE"""),"[Nhãn] LOT IDA Global - I - 1339 - ĐL Trung Nhã - Bò Cạp 3.6 (nước nâu đen) - 450ml - 40")</f>
        <v>[Nhãn] LOT IDA Global - I - 1339 - ĐL Trung Nhã - Bò Cạp 3.6 (nước nâu đen) - 450ml - 40</v>
      </c>
      <c r="E1856" s="87" t="str">
        <f>IFERROR(__xludf.DUMMYFUNCTION("""COMPUTED_VALUE"""),"HAIHAMEC 3.6EC")</f>
        <v>HAIHAMEC 3.6EC</v>
      </c>
      <c r="F1856" s="87" t="str">
        <f>IFERROR(__xludf.DUMMYFUNCTION("""COMPUTED_VALUE"""),"HH1339")</f>
        <v>HH1339</v>
      </c>
      <c r="G1856" s="87" t="str">
        <f>IFERROR(__xludf.DUMMYFUNCTION("""COMPUTED_VALUE"""),"LOT IDA Global - I - 1339 - ĐL Trung Nhã - Bò Cạp 3.6 (nước nâu đen) - 450ml - 40")</f>
        <v>LOT IDA Global - I - 1339 - ĐL Trung Nhã - Bò Cạp 3.6 (nước nâu đen) - 450ml - 40</v>
      </c>
    </row>
    <row r="1857">
      <c r="A1857" s="86">
        <f>IFERROR(__xludf.DUMMYFUNCTION("""COMPUTED_VALUE"""),1855.0)</f>
        <v>1855</v>
      </c>
      <c r="B1857" s="87" t="str">
        <f>IFERROR(__xludf.DUMMYFUNCTION("""COMPUTED_VALUE"""),"Nhãn")</f>
        <v>Nhãn</v>
      </c>
      <c r="C1857" s="87" t="str">
        <f>IFERROR(__xludf.DUMMYFUNCTION("""COMPUTED_VALUE"""),"NHG1340")</f>
        <v>NHG1340</v>
      </c>
      <c r="D1857" s="87" t="str">
        <f>IFERROR(__xludf.DUMMYFUNCTION("""COMPUTED_VALUE"""),"[Nhãn] LOT IDA Global - I - 1340 - ĐL Minh Hải - Vua Đổ Ốc (nước nâu đen) - 450ml - 40")</f>
        <v>[Nhãn] LOT IDA Global - I - 1340 - ĐL Minh Hải - Vua Đổ Ốc (nước nâu đen) - 450ml - 40</v>
      </c>
      <c r="E1857" s="87" t="str">
        <f>IFERROR(__xludf.DUMMYFUNCTION("""COMPUTED_VALUE"""),"HAIHAMEC 3.6EC")</f>
        <v>HAIHAMEC 3.6EC</v>
      </c>
      <c r="F1857" s="87" t="str">
        <f>IFERROR(__xludf.DUMMYFUNCTION("""COMPUTED_VALUE"""),"HH1340")</f>
        <v>HH1340</v>
      </c>
      <c r="G1857" s="87" t="str">
        <f>IFERROR(__xludf.DUMMYFUNCTION("""COMPUTED_VALUE"""),"LOT IDA Global - I - 1340 - ĐL Minh Hải - Vua Đổ Ốc (nước nâu đen) - 450ml - 40")</f>
        <v>LOT IDA Global - I - 1340 - ĐL Minh Hải - Vua Đổ Ốc (nước nâu đen) - 450ml - 40</v>
      </c>
    </row>
    <row r="1858">
      <c r="A1858" s="86">
        <f>IFERROR(__xludf.DUMMYFUNCTION("""COMPUTED_VALUE"""),1856.0)</f>
        <v>1856</v>
      </c>
      <c r="B1858" s="87" t="str">
        <f>IFERROR(__xludf.DUMMYFUNCTION("""COMPUTED_VALUE"""),"Nhãn")</f>
        <v>Nhãn</v>
      </c>
      <c r="C1858" s="87" t="str">
        <f>IFERROR(__xludf.DUMMYFUNCTION("""COMPUTED_VALUE"""),"NHD1341")</f>
        <v>NHD1341</v>
      </c>
      <c r="D1858" s="87" t="str">
        <f>IFERROR(__xludf.DUMMYFUNCTION("""COMPUTED_VALUE"""),"[Nhãn] LOT IDA Global - I - 1341 - AGROTECH - HUYÊN THỌ - Voi Thái (Nước nâu đen) - 450ml - 40")</f>
        <v>[Nhãn] LOT IDA Global - I - 1341 - AGROTECH - HUYÊN THỌ - Voi Thái (Nước nâu đen) - 450ml - 40</v>
      </c>
      <c r="E1858" s="87" t="str">
        <f>IFERROR(__xludf.DUMMYFUNCTION("""COMPUTED_VALUE"""),"Chitin 3.6EC")</f>
        <v>Chitin 3.6EC</v>
      </c>
      <c r="F1858" s="87" t="str">
        <f>IFERROR(__xludf.DUMMYFUNCTION("""COMPUTED_VALUE"""),"HH1341")</f>
        <v>HH1341</v>
      </c>
      <c r="G1858" s="87" t="str">
        <f>IFERROR(__xludf.DUMMYFUNCTION("""COMPUTED_VALUE"""),"LOT IDA Global - I - 1341 - AGROTECH - HUYÊN THỌ - Voi Thái (Nước nâu đen) - 450ml - 40")</f>
        <v>LOT IDA Global - I - 1341 - AGROTECH - HUYÊN THỌ - Voi Thái (Nước nâu đen) - 450ml - 40</v>
      </c>
    </row>
    <row r="1859">
      <c r="A1859" s="86">
        <f>IFERROR(__xludf.DUMMYFUNCTION("""COMPUTED_VALUE"""),1857.0)</f>
        <v>1857</v>
      </c>
      <c r="B1859" s="87" t="str">
        <f>IFERROR(__xludf.DUMMYFUNCTION("""COMPUTED_VALUE"""),"Nhãn")</f>
        <v>Nhãn</v>
      </c>
      <c r="C1859" s="87" t="str">
        <f>IFERROR(__xludf.DUMMYFUNCTION("""COMPUTED_VALUE"""),"NHD1342")</f>
        <v>NHD1342</v>
      </c>
      <c r="D1859" s="87" t="str">
        <f>IFERROR(__xludf.DUMMYFUNCTION("""COMPUTED_VALUE"""),"[Nhãn] GC - II - 1342 - NANO FISH - Nano Dinh Dưỡng (Nước nâu đen) - 5L - 1")</f>
        <v>[Nhãn] GC - II - 1342 - NANO FISH - Nano Dinh Dưỡng (Nước nâu đen) - 5L - 1</v>
      </c>
      <c r="E1859" s="87" t="str">
        <f>IFERROR(__xludf.DUMMYFUNCTION("""COMPUTED_VALUE"""),"Vi lượng Quantity New")</f>
        <v>Vi lượng Quantity New</v>
      </c>
      <c r="F1859" s="87" t="str">
        <f>IFERROR(__xludf.DUMMYFUNCTION("""COMPUTED_VALUE"""),"HH1342")</f>
        <v>HH1342</v>
      </c>
      <c r="G1859" s="87" t="str">
        <f>IFERROR(__xludf.DUMMYFUNCTION("""COMPUTED_VALUE"""),"GC - II - 1342 - NANO FISH - Nano Dinh Dưỡng (Nước nâu đen) - 5L - 1")</f>
        <v>GC - II - 1342 - NANO FISH - Nano Dinh Dưỡng (Nước nâu đen) - 5L - 1</v>
      </c>
    </row>
    <row r="1860">
      <c r="A1860" s="86">
        <f>IFERROR(__xludf.DUMMYFUNCTION("""COMPUTED_VALUE"""),1858.0)</f>
        <v>1858</v>
      </c>
      <c r="B1860" s="87" t="str">
        <f>IFERROR(__xludf.DUMMYFUNCTION("""COMPUTED_VALUE"""),"Nhãn")</f>
        <v>Nhãn</v>
      </c>
      <c r="C1860" s="87" t="str">
        <f>IFERROR(__xludf.DUMMYFUNCTION("""COMPUTED_VALUE"""),"NHD1343")</f>
        <v>NHD1343</v>
      </c>
      <c r="D1860" s="87" t="str">
        <f>IFERROR(__xludf.DUMMYFUNCTION("""COMPUTED_VALUE"""),"[Nhãn] GC - II - 1343 - NANO FISH - Nano Kích Chồi (Nước nâu đen) - 5L - 1")</f>
        <v>[Nhãn] GC - II - 1343 - NANO FISH - Nano Kích Chồi (Nước nâu đen) - 5L - 1</v>
      </c>
      <c r="E1860" s="87" t="str">
        <f>IFERROR(__xludf.DUMMYFUNCTION("""COMPUTED_VALUE"""),"Vi lượng Quantity New")</f>
        <v>Vi lượng Quantity New</v>
      </c>
      <c r="F1860" s="87" t="str">
        <f>IFERROR(__xludf.DUMMYFUNCTION("""COMPUTED_VALUE"""),"HH1343")</f>
        <v>HH1343</v>
      </c>
      <c r="G1860" s="87" t="str">
        <f>IFERROR(__xludf.DUMMYFUNCTION("""COMPUTED_VALUE"""),"GC - II - 1343 - NANO FISH - Nano Kích Chồi (Nước nâu đen) - 5L - 1")</f>
        <v>GC - II - 1343 - NANO FISH - Nano Kích Chồi (Nước nâu đen) - 5L - 1</v>
      </c>
    </row>
    <row r="1861">
      <c r="A1861" s="86">
        <f>IFERROR(__xludf.DUMMYFUNCTION("""COMPUTED_VALUE"""),1859.0)</f>
        <v>1859</v>
      </c>
      <c r="B1861" s="87" t="str">
        <f>IFERROR(__xludf.DUMMYFUNCTION("""COMPUTED_VALUE"""),"Nhãn")</f>
        <v>Nhãn</v>
      </c>
      <c r="C1861" s="87" t="str">
        <f>IFERROR(__xludf.DUMMYFUNCTION("""COMPUTED_VALUE"""),"NHD1344")</f>
        <v>NHD1344</v>
      </c>
      <c r="D1861" s="87" t="str">
        <f>IFERROR(__xludf.DUMMYFUNCTION("""COMPUTED_VALUE"""),"[Nhãn] GC - II - 1344 - NANO FISH - Nano Soil (Nước nâu đen) - 5L - 4")</f>
        <v>[Nhãn] GC - II - 1344 - NANO FISH - Nano Soil (Nước nâu đen) - 5L - 4</v>
      </c>
      <c r="E1861" s="87" t="str">
        <f>IFERROR(__xludf.DUMMYFUNCTION("""COMPUTED_VALUE"""),"Vi lượng Quantity New")</f>
        <v>Vi lượng Quantity New</v>
      </c>
      <c r="F1861" s="87" t="str">
        <f>IFERROR(__xludf.DUMMYFUNCTION("""COMPUTED_VALUE"""),"HH1344")</f>
        <v>HH1344</v>
      </c>
      <c r="G1861" s="87" t="str">
        <f>IFERROR(__xludf.DUMMYFUNCTION("""COMPUTED_VALUE"""),"GC - II - 1344 - NANO FISH - Nano Soil (Nước nâu đen) - 5L - 4")</f>
        <v>GC - II - 1344 - NANO FISH - Nano Soil (Nước nâu đen) - 5L - 4</v>
      </c>
    </row>
    <row r="1862">
      <c r="A1862" s="86">
        <f>IFERROR(__xludf.DUMMYFUNCTION("""COMPUTED_VALUE"""),1860.0)</f>
        <v>1860</v>
      </c>
      <c r="B1862" s="87" t="str">
        <f>IFERROR(__xludf.DUMMYFUNCTION("""COMPUTED_VALUE"""),"Nhãn")</f>
        <v>Nhãn</v>
      </c>
      <c r="C1862" s="87" t="str">
        <f>IFERROR(__xludf.DUMMYFUNCTION("""COMPUTED_VALUE"""),"NHG1345")</f>
        <v>NHG1345</v>
      </c>
      <c r="D1862" s="87" t="str">
        <f>IFERROR(__xludf.DUMMYFUNCTION("""COMPUTED_VALUE"""),"[Nhãn] GC - II - 1345 - AGC - Kamycinjapane 20SL (Nước xanh lá) - 450ml - 40")</f>
        <v>[Nhãn] GC - II - 1345 - AGC - Kamycinjapane 20SL (Nước xanh lá) - 450ml - 40</v>
      </c>
      <c r="E1862" s="87" t="str">
        <f>IFERROR(__xludf.DUMMYFUNCTION("""COMPUTED_VALUE"""),"Kamycinjapane 20SL")</f>
        <v>Kamycinjapane 20SL</v>
      </c>
      <c r="F1862" s="87" t="str">
        <f>IFERROR(__xludf.DUMMYFUNCTION("""COMPUTED_VALUE"""),"HH1345")</f>
        <v>HH1345</v>
      </c>
      <c r="G1862" s="87" t="str">
        <f>IFERROR(__xludf.DUMMYFUNCTION("""COMPUTED_VALUE"""),"GC - II - 1345 - AGC - Kamycinjapane 20SL (Nước xanh lá) - 450ml - 40")</f>
        <v>GC - II - 1345 - AGC - Kamycinjapane 20SL (Nước xanh lá) - 450ml - 40</v>
      </c>
    </row>
    <row r="1863">
      <c r="A1863" s="86">
        <f>IFERROR(__xludf.DUMMYFUNCTION("""COMPUTED_VALUE"""),1861.0)</f>
        <v>1861</v>
      </c>
      <c r="B1863" s="87" t="str">
        <f>IFERROR(__xludf.DUMMYFUNCTION("""COMPUTED_VALUE"""),"Nhãn")</f>
        <v>Nhãn</v>
      </c>
      <c r="C1863" s="87" t="str">
        <f>IFERROR(__xludf.DUMMYFUNCTION("""COMPUTED_VALUE"""),"NHG1347")</f>
        <v>NHG1347</v>
      </c>
      <c r="D1863" s="87" t="str">
        <f>IFERROR(__xludf.DUMMYFUNCTION("""COMPUTED_VALUE"""),"[Nhãn] GC - IV - 1347 - NHẤT TIẾN NÔNG - Thần Ốc (nước nâu đen) - 450ml - 40")</f>
        <v>[Nhãn] GC - IV - 1347 - NHẤT TIẾN NÔNG - Thần Ốc (nước nâu đen) - 450ml - 40</v>
      </c>
      <c r="E1863" s="87" t="str">
        <f>IFERROR(__xludf.DUMMYFUNCTION("""COMPUTED_VALUE"""),"HAIHAMEC 3.6EC")</f>
        <v>HAIHAMEC 3.6EC</v>
      </c>
      <c r="F1863" s="87" t="str">
        <f>IFERROR(__xludf.DUMMYFUNCTION("""COMPUTED_VALUE"""),"HH1347")</f>
        <v>HH1347</v>
      </c>
      <c r="G1863" s="87" t="str">
        <f>IFERROR(__xludf.DUMMYFUNCTION("""COMPUTED_VALUE"""),"GC - IV - 1347 - NHẤT TIẾN NÔNG - Thần Ốc (nước nâu đen) - 450ml - 40")</f>
        <v>GC - IV - 1347 - NHẤT TIẾN NÔNG - Thần Ốc (nước nâu đen) - 450ml - 40</v>
      </c>
    </row>
    <row r="1864">
      <c r="A1864" s="86">
        <f>IFERROR(__xludf.DUMMYFUNCTION("""COMPUTED_VALUE"""),1862.0)</f>
        <v>1862</v>
      </c>
      <c r="B1864" s="87" t="str">
        <f>IFERROR(__xludf.DUMMYFUNCTION("""COMPUTED_VALUE"""),"Nhãn")</f>
        <v>Nhãn</v>
      </c>
      <c r="C1864" s="87" t="str">
        <f>IFERROR(__xludf.DUMMYFUNCTION("""COMPUTED_VALUE"""),"NHD1348")</f>
        <v>NHD1348</v>
      </c>
      <c r="D1864" s="87" t="str">
        <f>IFERROR(__xludf.DUMMYFUNCTION("""COMPUTED_VALUE"""),"[Nhãn] GC - IV - 1348 - AGRITECH - Haihamec 3.6EC (nước trong) - 450ml - 40")</f>
        <v>[Nhãn] GC - IV - 1348 - AGRITECH - Haihamec 3.6EC (nước trong) - 450ml - 40</v>
      </c>
      <c r="E1864" s="87" t="str">
        <f>IFERROR(__xludf.DUMMYFUNCTION("""COMPUTED_VALUE"""),"HAIHAMEC 3.6EC")</f>
        <v>HAIHAMEC 3.6EC</v>
      </c>
      <c r="F1864" s="87" t="str">
        <f>IFERROR(__xludf.DUMMYFUNCTION("""COMPUTED_VALUE"""),"HH1348")</f>
        <v>HH1348</v>
      </c>
      <c r="G1864" s="87" t="str">
        <f>IFERROR(__xludf.DUMMYFUNCTION("""COMPUTED_VALUE"""),"GC - IV - 1348 - AGRITECH - Haihamec 3.6EC (nước trong) - 450ml - 40")</f>
        <v>GC - IV - 1348 - AGRITECH - Haihamec 3.6EC (nước trong) - 450ml - 40</v>
      </c>
    </row>
    <row r="1865">
      <c r="A1865" s="86">
        <f>IFERROR(__xludf.DUMMYFUNCTION("""COMPUTED_VALUE"""),1863.0)</f>
        <v>1863</v>
      </c>
      <c r="B1865" s="87" t="str">
        <f>IFERROR(__xludf.DUMMYFUNCTION("""COMPUTED_VALUE"""),"Nhãn")</f>
        <v>Nhãn</v>
      </c>
      <c r="C1865" s="87" t="str">
        <f>IFERROR(__xludf.DUMMYFUNCTION("""COMPUTED_VALUE"""),"NHD1349")</f>
        <v>NHD1349</v>
      </c>
      <c r="D1865" s="87" t="str">
        <f>IFERROR(__xludf.DUMMYFUNCTION("""COMPUTED_VALUE"""),"[Nhãn] LOT IDA Global - I - 1349 - ĐL Ba Thủy - Avermectin 36 (Nước nâu đen) - 450ml - 40")</f>
        <v>[Nhãn] LOT IDA Global - I - 1349 - ĐL Ba Thủy - Avermectin 36 (Nước nâu đen) - 450ml - 40</v>
      </c>
      <c r="E1865" s="87" t="str">
        <f>IFERROR(__xludf.DUMMYFUNCTION("""COMPUTED_VALUE"""),"Chitin 3.6EC")</f>
        <v>Chitin 3.6EC</v>
      </c>
      <c r="F1865" s="87" t="str">
        <f>IFERROR(__xludf.DUMMYFUNCTION("""COMPUTED_VALUE"""),"HH1349")</f>
        <v>HH1349</v>
      </c>
      <c r="G1865" s="87" t="str">
        <f>IFERROR(__xludf.DUMMYFUNCTION("""COMPUTED_VALUE"""),"LOT IDA Global - I - 1349 - ĐL Ba Thủy - Avermectin 36 (Nước nâu đen) - 450ml - 40")</f>
        <v>LOT IDA Global - I - 1349 - ĐL Ba Thủy - Avermectin 36 (Nước nâu đen) - 450ml - 40</v>
      </c>
    </row>
    <row r="1866">
      <c r="A1866" s="86">
        <f>IFERROR(__xludf.DUMMYFUNCTION("""COMPUTED_VALUE"""),1864.0)</f>
        <v>1864</v>
      </c>
      <c r="B1866" s="87" t="str">
        <f>IFERROR(__xludf.DUMMYFUNCTION("""COMPUTED_VALUE"""),"Nhãn")</f>
        <v>Nhãn</v>
      </c>
      <c r="C1866" s="87" t="str">
        <f>IFERROR(__xludf.DUMMYFUNCTION("""COMPUTED_VALUE"""),"NHG1350")</f>
        <v>NHG1350</v>
      </c>
      <c r="D1866" s="87" t="str">
        <f>IFERROR(__xludf.DUMMYFUNCTION("""COMPUTED_VALUE"""),"[Nhãn] GC - IV - 1350 - BA MÙA - Mekongvil 5SC (Nước sữa trắng) - 1L - 20")</f>
        <v>[Nhãn] GC - IV - 1350 - BA MÙA - Mekongvil 5SC (Nước sữa trắng) - 1L - 20</v>
      </c>
      <c r="E1866" s="87" t="str">
        <f>IFERROR(__xludf.DUMMYFUNCTION("""COMPUTED_VALUE"""),"Mekongvil 5SC")</f>
        <v>Mekongvil 5SC</v>
      </c>
      <c r="F1866" s="87" t="str">
        <f>IFERROR(__xludf.DUMMYFUNCTION("""COMPUTED_VALUE"""),"HH1350")</f>
        <v>HH1350</v>
      </c>
      <c r="G1866" s="87" t="str">
        <f>IFERROR(__xludf.DUMMYFUNCTION("""COMPUTED_VALUE"""),"GC - IV - 1350 - BA MÙA - Mekongvil 5SC (Nước sữa trắng) - 1L - 20")</f>
        <v>GC - IV - 1350 - BA MÙA - Mekongvil 5SC (Nước sữa trắng) - 1L - 20</v>
      </c>
    </row>
    <row r="1867">
      <c r="A1867" s="86">
        <f>IFERROR(__xludf.DUMMYFUNCTION("""COMPUTED_VALUE"""),1865.0)</f>
        <v>1865</v>
      </c>
      <c r="B1867" s="87" t="str">
        <f>IFERROR(__xludf.DUMMYFUNCTION("""COMPUTED_VALUE"""),"Nhãn thùng")</f>
        <v>Nhãn thùng</v>
      </c>
      <c r="C1867" s="87" t="str">
        <f>IFERROR(__xludf.DUMMYFUNCTION("""COMPUTED_VALUE"""),"NDT1350")</f>
        <v>NDT1350</v>
      </c>
      <c r="D1867" s="87" t="str">
        <f>IFERROR(__xludf.DUMMYFUNCTION("""COMPUTED_VALUE"""),"[Nhãn thùng] GC - IV - 1350 - BA MÙA - Mekongvil 5SC (Nước sữa trắng) - 1L - 20")</f>
        <v>[Nhãn thùng] GC - IV - 1350 - BA MÙA - Mekongvil 5SC (Nước sữa trắng) - 1L - 20</v>
      </c>
      <c r="E1867" s="87" t="str">
        <f>IFERROR(__xludf.DUMMYFUNCTION("""COMPUTED_VALUE"""),"Mekongvil 5SC")</f>
        <v>Mekongvil 5SC</v>
      </c>
      <c r="F1867" s="87" t="str">
        <f>IFERROR(__xludf.DUMMYFUNCTION("""COMPUTED_VALUE"""),"HH1350")</f>
        <v>HH1350</v>
      </c>
      <c r="G1867" s="87" t="str">
        <f>IFERROR(__xludf.DUMMYFUNCTION("""COMPUTED_VALUE"""),"GC - IV - 1350 - BA MÙA - Mekongvil 5SC (Nước sữa trắng) - 1L - 20")</f>
        <v>GC - IV - 1350 - BA MÙA - Mekongvil 5SC (Nước sữa trắng) - 1L - 20</v>
      </c>
    </row>
    <row r="1868">
      <c r="A1868" s="86">
        <f>IFERROR(__xludf.DUMMYFUNCTION("""COMPUTED_VALUE"""),1866.0)</f>
        <v>1866</v>
      </c>
      <c r="B1868" s="87" t="str">
        <f>IFERROR(__xludf.DUMMYFUNCTION("""COMPUTED_VALUE"""),"Nhãn")</f>
        <v>Nhãn</v>
      </c>
      <c r="C1868" s="87" t="str">
        <f>IFERROR(__xludf.DUMMYFUNCTION("""COMPUTED_VALUE"""),"NTN1351")</f>
        <v>NTN1351</v>
      </c>
      <c r="D1868" s="87" t="str">
        <f>IFERROR(__xludf.DUMMYFUNCTION("""COMPUTED_VALUE"""),"[Nhãn] GC - IV - 1351 - AGRICARE ÚC - Mancozeb Xanh (Bột xanh) - 1kg - 20")</f>
        <v>[Nhãn] GC - IV - 1351 - AGRICARE ÚC - Mancozeb Xanh (Bột xanh) - 1kg - 20</v>
      </c>
      <c r="E1868" s="87" t="str">
        <f>IFERROR(__xludf.DUMMYFUNCTION("""COMPUTED_VALUE"""),"TVZEB 800WP")</f>
        <v>TVZEB 800WP</v>
      </c>
      <c r="F1868" s="87" t="str">
        <f>IFERROR(__xludf.DUMMYFUNCTION("""COMPUTED_VALUE"""),"HH1351")</f>
        <v>HH1351</v>
      </c>
      <c r="G1868" s="87" t="str">
        <f>IFERROR(__xludf.DUMMYFUNCTION("""COMPUTED_VALUE"""),"GC - IV - 1351 - AGRICARE ÚC - Mancozeb Xanh (Bột xanh) - 1kg - 20")</f>
        <v>GC - IV - 1351 - AGRICARE ÚC - Mancozeb Xanh (Bột xanh) - 1kg - 20</v>
      </c>
    </row>
    <row r="1869">
      <c r="A1869" s="86">
        <f>IFERROR(__xludf.DUMMYFUNCTION("""COMPUTED_VALUE"""),1867.0)</f>
        <v>1867</v>
      </c>
      <c r="B1869" s="87" t="str">
        <f>IFERROR(__xludf.DUMMYFUNCTION("""COMPUTED_VALUE"""),"Nhãn")</f>
        <v>Nhãn</v>
      </c>
      <c r="C1869" s="87" t="str">
        <f>IFERROR(__xludf.DUMMYFUNCTION("""COMPUTED_VALUE"""),"NHD1352")</f>
        <v>NHD1352</v>
      </c>
      <c r="D1869" s="87" t="str">
        <f>IFERROR(__xludf.DUMMYFUNCTION("""COMPUTED_VALUE"""),"[Nhãn] LOT IDA Global - I - 1352 - TẤN THÀNH - Abamectin 3.6 (Nước nâu đen) - 450ml - 40")</f>
        <v>[Nhãn] LOT IDA Global - I - 1352 - TẤN THÀNH - Abamectin 3.6 (Nước nâu đen) - 450ml - 40</v>
      </c>
      <c r="E1869" s="87" t="str">
        <f>IFERROR(__xludf.DUMMYFUNCTION("""COMPUTED_VALUE"""),"HAIHAMEC 3.6EC")</f>
        <v>HAIHAMEC 3.6EC</v>
      </c>
      <c r="F1869" s="87" t="str">
        <f>IFERROR(__xludf.DUMMYFUNCTION("""COMPUTED_VALUE"""),"HH1352")</f>
        <v>HH1352</v>
      </c>
      <c r="G1869" s="87" t="str">
        <f>IFERROR(__xludf.DUMMYFUNCTION("""COMPUTED_VALUE"""),"LOT IDA Global - I - 1352 - TẤN THÀNH - Abamectin 3.6 (Nước nâu đen) - 450ml - 40")</f>
        <v>LOT IDA Global - I - 1352 - TẤN THÀNH - Abamectin 3.6 (Nước nâu đen) - 450ml - 40</v>
      </c>
    </row>
    <row r="1870">
      <c r="A1870" s="86">
        <f>IFERROR(__xludf.DUMMYFUNCTION("""COMPUTED_VALUE"""),1868.0)</f>
        <v>1868</v>
      </c>
      <c r="B1870" s="87" t="str">
        <f>IFERROR(__xludf.DUMMYFUNCTION("""COMPUTED_VALUE"""),"Nhãn")</f>
        <v>Nhãn</v>
      </c>
      <c r="C1870" s="87" t="str">
        <f>IFERROR(__xludf.DUMMYFUNCTION("""COMPUTED_VALUE"""),"NHG1353")</f>
        <v>NHG1353</v>
      </c>
      <c r="D1870" s="87" t="str">
        <f>IFERROR(__xludf.DUMMYFUNCTION("""COMPUTED_VALUE"""),"[Nhãn] GC - IV - 1353 - HOÀNG THẮNG - 3.6 Diệt Sạch (Nước nâu đen) - 450ml - 40")</f>
        <v>[Nhãn] GC - IV - 1353 - HOÀNG THẮNG - 3.6 Diệt Sạch (Nước nâu đen) - 450ml - 40</v>
      </c>
      <c r="E1870" s="87" t="str">
        <f>IFERROR(__xludf.DUMMYFUNCTION("""COMPUTED_VALUE"""),"HAIHAMEC 3.6EC")</f>
        <v>HAIHAMEC 3.6EC</v>
      </c>
      <c r="F1870" s="87" t="str">
        <f>IFERROR(__xludf.DUMMYFUNCTION("""COMPUTED_VALUE"""),"HH1353")</f>
        <v>HH1353</v>
      </c>
      <c r="G1870" s="87" t="str">
        <f>IFERROR(__xludf.DUMMYFUNCTION("""COMPUTED_VALUE"""),"GC - IV - 1353 - HOÀNG THẮNG - 3.6 Diệt Sạch (Nước nâu đen) - 450ml - 40")</f>
        <v>GC - IV - 1353 - HOÀNG THẮNG - 3.6 Diệt Sạch (Nước nâu đen) - 450ml - 40</v>
      </c>
    </row>
    <row r="1871">
      <c r="A1871" s="86">
        <f>IFERROR(__xludf.DUMMYFUNCTION("""COMPUTED_VALUE"""),1869.0)</f>
        <v>1869</v>
      </c>
      <c r="B1871" s="87" t="str">
        <f>IFERROR(__xludf.DUMMYFUNCTION("""COMPUTED_VALUE"""),"Nhãn")</f>
        <v>Nhãn</v>
      </c>
      <c r="C1871" s="87" t="str">
        <f>IFERROR(__xludf.DUMMYFUNCTION("""COMPUTED_VALUE"""),"NHG1354")</f>
        <v>NHG1354</v>
      </c>
      <c r="D1871" s="87" t="str">
        <f>IFERROR(__xludf.DUMMYFUNCTION("""COMPUTED_VALUE"""),"[Nhãn] LOT IDA Global - I - 1354 - TẤN THÀNH - Cá Mập Trắng (Nước nâu đen) - 450ml - 40")</f>
        <v>[Nhãn] LOT IDA Global - I - 1354 - TẤN THÀNH - Cá Mập Trắng (Nước nâu đen) - 450ml - 40</v>
      </c>
      <c r="E1871" s="87" t="str">
        <f>IFERROR(__xludf.DUMMYFUNCTION("""COMPUTED_VALUE"""),"HAIHAMEC 3.6EC")</f>
        <v>HAIHAMEC 3.6EC</v>
      </c>
      <c r="F1871" s="87" t="str">
        <f>IFERROR(__xludf.DUMMYFUNCTION("""COMPUTED_VALUE"""),"HH1354")</f>
        <v>HH1354</v>
      </c>
      <c r="G1871" s="87" t="str">
        <f>IFERROR(__xludf.DUMMYFUNCTION("""COMPUTED_VALUE"""),"LOT IDA Global - I - 1354 - TẤN THÀNH - Cá Mập Trắng (Nước nâu đen) - 450ml - 40")</f>
        <v>LOT IDA Global - I - 1354 - TẤN THÀNH - Cá Mập Trắng (Nước nâu đen) - 450ml - 40</v>
      </c>
    </row>
    <row r="1872">
      <c r="A1872" s="86">
        <f>IFERROR(__xludf.DUMMYFUNCTION("""COMPUTED_VALUE"""),1870.0)</f>
        <v>1870</v>
      </c>
      <c r="B1872" s="87" t="str">
        <f>IFERROR(__xludf.DUMMYFUNCTION("""COMPUTED_VALUE"""),"Nhãn")</f>
        <v>Nhãn</v>
      </c>
      <c r="C1872" s="87" t="str">
        <f>IFERROR(__xludf.DUMMYFUNCTION("""COMPUTED_VALUE"""),"NHG1355")</f>
        <v>NHG1355</v>
      </c>
      <c r="D1872" s="87" t="str">
        <f>IFERROR(__xludf.DUMMYFUNCTION("""COMPUTED_VALUE"""),"[Nhãn] GC - IV - 1355 - Tago - Cạp Lửa (Nước nâu đen) - 450ml - 40")</f>
        <v>[Nhãn] GC - IV - 1355 - Tago - Cạp Lửa (Nước nâu đen) - 450ml - 40</v>
      </c>
      <c r="E1872" s="87" t="str">
        <f>IFERROR(__xludf.DUMMYFUNCTION("""COMPUTED_VALUE"""),"HAIHAMEC 3.6EC")</f>
        <v>HAIHAMEC 3.6EC</v>
      </c>
      <c r="F1872" s="87" t="str">
        <f>IFERROR(__xludf.DUMMYFUNCTION("""COMPUTED_VALUE"""),"HH1355")</f>
        <v>HH1355</v>
      </c>
      <c r="G1872" s="87" t="str">
        <f>IFERROR(__xludf.DUMMYFUNCTION("""COMPUTED_VALUE"""),"GC - IV - 1355 - Tago - Cạp Lửa (Nước nâu đen) - 450ml - 40")</f>
        <v>GC - IV - 1355 - Tago - Cạp Lửa (Nước nâu đen) - 450ml - 40</v>
      </c>
    </row>
    <row r="1873">
      <c r="A1873" s="86">
        <f>IFERROR(__xludf.DUMMYFUNCTION("""COMPUTED_VALUE"""),1871.0)</f>
        <v>1871</v>
      </c>
      <c r="B1873" s="87" t="str">
        <f>IFERROR(__xludf.DUMMYFUNCTION("""COMPUTED_VALUE"""),"Nhãn")</f>
        <v>Nhãn</v>
      </c>
      <c r="C1873" s="87" t="str">
        <f>IFERROR(__xludf.DUMMYFUNCTION("""COMPUTED_VALUE"""),"NTN1356")</f>
        <v>NTN1356</v>
      </c>
      <c r="D1873" s="87" t="str">
        <f>IFERROR(__xludf.DUMMYFUNCTION("""COMPUTED_VALUE"""),"[Nhãn] GC - IV - 1356 - SEN HỒNG - Manco Xanh ( Bột xanh) - 1kg - 20")</f>
        <v>[Nhãn] GC - IV - 1356 - SEN HỒNG - Manco Xanh ( Bột xanh) - 1kg - 20</v>
      </c>
      <c r="E1873" s="87" t="str">
        <f>IFERROR(__xludf.DUMMYFUNCTION("""COMPUTED_VALUE"""),"BYPHAN 800WP")</f>
        <v>BYPHAN 800WP</v>
      </c>
      <c r="F1873" s="87" t="str">
        <f>IFERROR(__xludf.DUMMYFUNCTION("""COMPUTED_VALUE"""),"HH1356")</f>
        <v>HH1356</v>
      </c>
      <c r="G1873" s="87" t="str">
        <f>IFERROR(__xludf.DUMMYFUNCTION("""COMPUTED_VALUE"""),"GC - IV - 1356 - SEN HỒNG - Manco Xanh ( Bột xanh) - 1kg - 20")</f>
        <v>GC - IV - 1356 - SEN HỒNG - Manco Xanh ( Bột xanh) - 1kg - 20</v>
      </c>
    </row>
    <row r="1874">
      <c r="A1874" s="86">
        <f>IFERROR(__xludf.DUMMYFUNCTION("""COMPUTED_VALUE"""),1872.0)</f>
        <v>1872</v>
      </c>
      <c r="B1874" s="87" t="str">
        <f>IFERROR(__xludf.DUMMYFUNCTION("""COMPUTED_VALUE"""),"Nhãn")</f>
        <v>Nhãn</v>
      </c>
      <c r="C1874" s="87" t="str">
        <f>IFERROR(__xludf.DUMMYFUNCTION("""COMPUTED_VALUE"""),"NHD1357")</f>
        <v>NHD1357</v>
      </c>
      <c r="D1874" s="87" t="str">
        <f>IFERROR(__xludf.DUMMYFUNCTION("""COMPUTED_VALUE"""),"[Nhãn] GC - II - 1357 - Hùng Mai - Vua Sư Tử (nước nâu đen) -  450ml - 40")</f>
        <v>[Nhãn] GC - II - 1357 - Hùng Mai - Vua Sư Tử (nước nâu đen) -  450ml - 40</v>
      </c>
      <c r="E1874" s="87" t="str">
        <f>IFERROR(__xludf.DUMMYFUNCTION("""COMPUTED_VALUE"""),"HAIHAMEC 3.6EC")</f>
        <v>HAIHAMEC 3.6EC</v>
      </c>
      <c r="F1874" s="87" t="str">
        <f>IFERROR(__xludf.DUMMYFUNCTION("""COMPUTED_VALUE"""),"HH1357")</f>
        <v>HH1357</v>
      </c>
      <c r="G1874" s="87" t="str">
        <f>IFERROR(__xludf.DUMMYFUNCTION("""COMPUTED_VALUE"""),"GC - II - 1357 - Hùng Mai - Vua Sư Tử (nước nâu đen) -  450ml - 40")</f>
        <v>GC - II - 1357 - Hùng Mai - Vua Sư Tử (nước nâu đen) -  450ml - 40</v>
      </c>
    </row>
    <row r="1875">
      <c r="A1875" s="86">
        <f>IFERROR(__xludf.DUMMYFUNCTION("""COMPUTED_VALUE"""),1873.0)</f>
        <v>1873</v>
      </c>
      <c r="B1875" s="87" t="str">
        <f>IFERROR(__xludf.DUMMYFUNCTION("""COMPUTED_VALUE"""),"Nhãn")</f>
        <v>Nhãn</v>
      </c>
      <c r="C1875" s="87" t="str">
        <f>IFERROR(__xludf.DUMMYFUNCTION("""COMPUTED_VALUE"""),"NHG1358")</f>
        <v>NHG1358</v>
      </c>
      <c r="D1875" s="87" t="str">
        <f>IFERROR(__xludf.DUMMYFUNCTION("""COMPUTED_VALUE"""),"[Nhãn] GC - IV - 1358 - GNH - Dưỡng Nụ &amp; Cánh Hoa (Nước nâu đen) - 250ml - 40")</f>
        <v>[Nhãn] GC - IV - 1358 - GNH - Dưỡng Nụ &amp; Cánh Hoa (Nước nâu đen) - 250ml - 40</v>
      </c>
      <c r="E1875" s="87" t="str">
        <f>IFERROR(__xludf.DUMMYFUNCTION("""COMPUTED_VALUE"""),"Vi lượng Basel VA02")</f>
        <v>Vi lượng Basel VA02</v>
      </c>
      <c r="F1875" s="87" t="str">
        <f>IFERROR(__xludf.DUMMYFUNCTION("""COMPUTED_VALUE"""),"HH1358")</f>
        <v>HH1358</v>
      </c>
      <c r="G1875" s="87" t="str">
        <f>IFERROR(__xludf.DUMMYFUNCTION("""COMPUTED_VALUE"""),"GC - IV - 1358 - GNH - Dưỡng Nụ &amp; Cánh Hoa (Nước nâu đen) - 250ml - 40")</f>
        <v>GC - IV - 1358 - GNH - Dưỡng Nụ &amp; Cánh Hoa (Nước nâu đen) - 250ml - 40</v>
      </c>
    </row>
    <row r="1876">
      <c r="A1876" s="86">
        <f>IFERROR(__xludf.DUMMYFUNCTION("""COMPUTED_VALUE"""),1874.0)</f>
        <v>1874</v>
      </c>
      <c r="B1876" s="87" t="str">
        <f>IFERROR(__xludf.DUMMYFUNCTION("""COMPUTED_VALUE"""),"Nhãn")</f>
        <v>Nhãn</v>
      </c>
      <c r="C1876" s="87" t="str">
        <f>IFERROR(__xludf.DUMMYFUNCTION("""COMPUTED_VALUE"""),"NTN1359")</f>
        <v>NTN1359</v>
      </c>
      <c r="D1876" s="87" t="str">
        <f>IFERROR(__xludf.DUMMYFUNCTION("""COMPUTED_VALUE"""),"[Nhãn] GC - IV - 1359 - GNH - DR.PHOENIX (Bột xanh lơ) - 50gr - 300")</f>
        <v>[Nhãn] GC - IV - 1359 - GNH - DR.PHOENIX (Bột xanh lơ) - 50gr - 300</v>
      </c>
      <c r="E1876" s="87" t="str">
        <f>IFERROR(__xludf.DUMMYFUNCTION("""COMPUTED_VALUE"""),"Vi lượng Basel IDA 11")</f>
        <v>Vi lượng Basel IDA 11</v>
      </c>
      <c r="F1876" s="87" t="str">
        <f>IFERROR(__xludf.DUMMYFUNCTION("""COMPUTED_VALUE"""),"HH1359")</f>
        <v>HH1359</v>
      </c>
      <c r="G1876" s="87" t="str">
        <f>IFERROR(__xludf.DUMMYFUNCTION("""COMPUTED_VALUE"""),"GC - IV - 1359 - GNH - DR.PHOENIX (Bột xanh lơ) - 50gr - 300")</f>
        <v>GC - IV - 1359 - GNH - DR.PHOENIX (Bột xanh lơ) - 50gr - 300</v>
      </c>
    </row>
    <row r="1877">
      <c r="A1877" s="86">
        <f>IFERROR(__xludf.DUMMYFUNCTION("""COMPUTED_VALUE"""),1875.0)</f>
        <v>1875</v>
      </c>
      <c r="B1877" s="87" t="str">
        <f>IFERROR(__xludf.DUMMYFUNCTION("""COMPUTED_VALUE"""),"Nhãn")</f>
        <v>Nhãn</v>
      </c>
      <c r="C1877" s="87" t="str">
        <f>IFERROR(__xludf.DUMMYFUNCTION("""COMPUTED_VALUE"""),"NHD1361")</f>
        <v>NHD1361</v>
      </c>
      <c r="D1877" s="87" t="str">
        <f>IFERROR(__xludf.DUMMYFUNCTION("""COMPUTED_VALUE"""),"[Nhãn]  GC - IV - 1361 - TRƯƠNG THÀNH VÕ - Abamectin 3.6 (Nước nâu đen) - 450ml - 40")</f>
        <v>[Nhãn]  GC - IV - 1361 - TRƯƠNG THÀNH VÕ - Abamectin 3.6 (Nước nâu đen) - 450ml - 40</v>
      </c>
      <c r="E1877" s="87" t="str">
        <f>IFERROR(__xludf.DUMMYFUNCTION("""COMPUTED_VALUE"""),"CHITIN 3.6EC")</f>
        <v>CHITIN 3.6EC</v>
      </c>
      <c r="F1877" s="87" t="str">
        <f>IFERROR(__xludf.DUMMYFUNCTION("""COMPUTED_VALUE"""),"HH1361")</f>
        <v>HH1361</v>
      </c>
      <c r="G1877" s="87" t="str">
        <f>IFERROR(__xludf.DUMMYFUNCTION("""COMPUTED_VALUE"""),"GC - IV - 1361 - TRƯƠNG THÀNH VÕ - Abamectin 3.6 (Nước nâu đen) - 450ml - 40")</f>
        <v>GC - IV - 1361 - TRƯƠNG THÀNH VÕ - Abamectin 3.6 (Nước nâu đen) - 450ml - 40</v>
      </c>
    </row>
    <row r="1878">
      <c r="A1878" s="86">
        <f>IFERROR(__xludf.DUMMYFUNCTION("""COMPUTED_VALUE"""),1876.0)</f>
        <v>1876</v>
      </c>
      <c r="B1878" s="87" t="str">
        <f>IFERROR(__xludf.DUMMYFUNCTION("""COMPUTED_VALUE"""),"Nhãn")</f>
        <v>Nhãn</v>
      </c>
      <c r="C1878" s="87" t="str">
        <f>IFERROR(__xludf.DUMMYFUNCTION("""COMPUTED_VALUE"""),"NHD1362")</f>
        <v>NHD1362</v>
      </c>
      <c r="D1878" s="87" t="str">
        <f>IFERROR(__xludf.DUMMYFUNCTION("""COMPUTED_VALUE"""),"[Nhãn] GC - IV - 1362 - NK AUSTRALIA - Đổ Ốc (Nước nâu đen) - 450ml - 40")</f>
        <v>[Nhãn] GC - IV - 1362 - NK AUSTRALIA - Đổ Ốc (Nước nâu đen) - 450ml - 40</v>
      </c>
      <c r="E1878" s="87" t="str">
        <f>IFERROR(__xludf.DUMMYFUNCTION("""COMPUTED_VALUE"""),"HAIHAMEC 3.6EC")</f>
        <v>HAIHAMEC 3.6EC</v>
      </c>
      <c r="F1878" s="87" t="str">
        <f>IFERROR(__xludf.DUMMYFUNCTION("""COMPUTED_VALUE"""),"HH1362")</f>
        <v>HH1362</v>
      </c>
      <c r="G1878" s="87" t="str">
        <f>IFERROR(__xludf.DUMMYFUNCTION("""COMPUTED_VALUE"""),"GC - IV - 1362 - NK AUSTRALIA - Đổ Ốc (Nước nâu đen) - 450ml - 40")</f>
        <v>GC - IV - 1362 - NK AUSTRALIA - Đổ Ốc (Nước nâu đen) - 450ml - 40</v>
      </c>
    </row>
    <row r="1879">
      <c r="A1879" s="86">
        <f>IFERROR(__xludf.DUMMYFUNCTION("""COMPUTED_VALUE"""),1877.0)</f>
        <v>1877</v>
      </c>
      <c r="B1879" s="87" t="str">
        <f>IFERROR(__xludf.DUMMYFUNCTION("""COMPUTED_VALUE"""),"Nhãn")</f>
        <v>Nhãn</v>
      </c>
      <c r="C1879" s="87" t="str">
        <f>IFERROR(__xludf.DUMMYFUNCTION("""COMPUTED_VALUE"""),"NHG1363")</f>
        <v>NHG1363</v>
      </c>
      <c r="D1879" s="87" t="str">
        <f>IFERROR(__xludf.DUMMYFUNCTION("""COMPUTED_VALUE"""),"[Nhãn] GC - IV - 1363 - GNH - Siêu Ra Hoa (Nước nâu đen) - 500ml - 40")</f>
        <v>[Nhãn] GC - IV - 1363 - GNH - Siêu Ra Hoa (Nước nâu đen) - 500ml - 40</v>
      </c>
      <c r="E1879" s="87" t="str">
        <f>IFERROR(__xludf.DUMMYFUNCTION("""COMPUTED_VALUE"""),"Vi lượng Basel VA02")</f>
        <v>Vi lượng Basel VA02</v>
      </c>
      <c r="F1879" s="87" t="str">
        <f>IFERROR(__xludf.DUMMYFUNCTION("""COMPUTED_VALUE"""),"HH1363")</f>
        <v>HH1363</v>
      </c>
      <c r="G1879" s="87" t="str">
        <f>IFERROR(__xludf.DUMMYFUNCTION("""COMPUTED_VALUE"""),"GC - IV - 1363 - GNH - Siêu Ra Hoa (Nước nâu đen) - 500ml - 40")</f>
        <v>GC - IV - 1363 - GNH - Siêu Ra Hoa (Nước nâu đen) - 500ml - 40</v>
      </c>
    </row>
    <row r="1880">
      <c r="A1880" s="86">
        <f>IFERROR(__xludf.DUMMYFUNCTION("""COMPUTED_VALUE"""),1878.0)</f>
        <v>1878</v>
      </c>
      <c r="B1880" s="87" t="str">
        <f>IFERROR(__xludf.DUMMYFUNCTION("""COMPUTED_VALUE"""),"Nhãn")</f>
        <v>Nhãn</v>
      </c>
      <c r="C1880" s="87" t="str">
        <f>IFERROR(__xludf.DUMMYFUNCTION("""COMPUTED_VALUE"""),"NHD1364")</f>
        <v>NHD1364</v>
      </c>
      <c r="D1880" s="87" t="str">
        <f>IFERROR(__xludf.DUMMYFUNCTION("""COMPUTED_VALUE"""),"[Nhãn] NB - I - 1364 - Sunrise - 3.6 Sunrise Cao Cấp (Nước nâu đen) - 450ml - 40")</f>
        <v>[Nhãn] NB - I - 1364 - Sunrise - 3.6 Sunrise Cao Cấp (Nước nâu đen) - 450ml - 40</v>
      </c>
      <c r="E1880" s="87" t="str">
        <f>IFERROR(__xludf.DUMMYFUNCTION("""COMPUTED_VALUE"""),"HAIHAMEC 3.6EC")</f>
        <v>HAIHAMEC 3.6EC</v>
      </c>
      <c r="F1880" s="87" t="str">
        <f>IFERROR(__xludf.DUMMYFUNCTION("""COMPUTED_VALUE"""),"HH1364")</f>
        <v>HH1364</v>
      </c>
      <c r="G1880" s="87" t="str">
        <f>IFERROR(__xludf.DUMMYFUNCTION("""COMPUTED_VALUE"""),"NB - I - 1364 - Sunrise - 3.6 Sunrise Cao Cấp (Nước nâu đen) - 450ml - 40")</f>
        <v>NB - I - 1364 - Sunrise - 3.6 Sunrise Cao Cấp (Nước nâu đen) - 450ml - 40</v>
      </c>
    </row>
    <row r="1881">
      <c r="A1881" s="86">
        <f>IFERROR(__xludf.DUMMYFUNCTION("""COMPUTED_VALUE"""),1879.0)</f>
        <v>1879</v>
      </c>
      <c r="B1881" s="87" t="str">
        <f>IFERROR(__xludf.DUMMYFUNCTION("""COMPUTED_VALUE"""),"Nhãn")</f>
        <v>Nhãn</v>
      </c>
      <c r="C1881" s="87" t="str">
        <f>IFERROR(__xludf.DUMMYFUNCTION("""COMPUTED_VALUE"""),"NHG1365")</f>
        <v>NHG1365</v>
      </c>
      <c r="D1881" s="87" t="str">
        <f>IFERROR(__xludf.DUMMYFUNCTION("""COMPUTED_VALUE"""),"[Nhãn] NB - I - 1365 - Sunrise - Rái Cá (Nước nâu đen) - 450ml - 40")</f>
        <v>[Nhãn] NB - I - 1365 - Sunrise - Rái Cá (Nước nâu đen) - 450ml - 40</v>
      </c>
      <c r="E1881" s="87" t="str">
        <f>IFERROR(__xludf.DUMMYFUNCTION("""COMPUTED_VALUE"""),"HAIHAMEC 3.6EC")</f>
        <v>HAIHAMEC 3.6EC</v>
      </c>
      <c r="F1881" s="87" t="str">
        <f>IFERROR(__xludf.DUMMYFUNCTION("""COMPUTED_VALUE"""),"HH1365")</f>
        <v>HH1365</v>
      </c>
      <c r="G1881" s="87" t="str">
        <f>IFERROR(__xludf.DUMMYFUNCTION("""COMPUTED_VALUE"""),"NB - I - 1365 - Sunrise - Rái Cá (Nước nâu đen) - 450ml - 40")</f>
        <v>NB - I - 1365 - Sunrise - Rái Cá (Nước nâu đen) - 450ml - 40</v>
      </c>
    </row>
    <row r="1882">
      <c r="A1882" s="86">
        <f>IFERROR(__xludf.DUMMYFUNCTION("""COMPUTED_VALUE"""),1880.0)</f>
        <v>1880</v>
      </c>
      <c r="B1882" s="87" t="str">
        <f>IFERROR(__xludf.DUMMYFUNCTION("""COMPUTED_VALUE"""),"Nhãn")</f>
        <v>Nhãn</v>
      </c>
      <c r="C1882" s="87" t="str">
        <f>IFERROR(__xludf.DUMMYFUNCTION("""COMPUTED_VALUE"""),"NTN1366")</f>
        <v>NTN1366</v>
      </c>
      <c r="D1882" s="87" t="str">
        <f>IFERROR(__xludf.DUMMYFUNCTION("""COMPUTED_VALUE"""),"[Nhãn] GC - IV - 1366 - BIOTECH HÀ LAN - Mancozeb Xanh (Bột xanh) - 1kg - 20")</f>
        <v>[Nhãn] GC - IV - 1366 - BIOTECH HÀ LAN - Mancozeb Xanh (Bột xanh) - 1kg - 20</v>
      </c>
      <c r="E1882" s="87" t="str">
        <f>IFERROR(__xludf.DUMMYFUNCTION("""COMPUTED_VALUE"""),"TVZEB 800WP")</f>
        <v>TVZEB 800WP</v>
      </c>
      <c r="F1882" s="87" t="str">
        <f>IFERROR(__xludf.DUMMYFUNCTION("""COMPUTED_VALUE"""),"HH1366")</f>
        <v>HH1366</v>
      </c>
      <c r="G1882" s="87" t="str">
        <f>IFERROR(__xludf.DUMMYFUNCTION("""COMPUTED_VALUE"""),"GC - IV - 1366 - BIOTECH HÀ LAN - Mancozeb Xanh (Bột xanh) - 1kg - 20")</f>
        <v>GC - IV - 1366 - BIOTECH HÀ LAN - Mancozeb Xanh (Bột xanh) - 1kg - 20</v>
      </c>
    </row>
    <row r="1883">
      <c r="A1883" s="86">
        <f>IFERROR(__xludf.DUMMYFUNCTION("""COMPUTED_VALUE"""),1881.0)</f>
        <v>1881</v>
      </c>
      <c r="B1883" s="87" t="str">
        <f>IFERROR(__xludf.DUMMYFUNCTION("""COMPUTED_VALUE"""),"Nhãn thùng")</f>
        <v>Nhãn thùng</v>
      </c>
      <c r="C1883" s="87" t="str">
        <f>IFERROR(__xludf.DUMMYFUNCTION("""COMPUTED_VALUE"""),"NDT1366")</f>
        <v>NDT1366</v>
      </c>
      <c r="D1883" s="87" t="str">
        <f>IFERROR(__xludf.DUMMYFUNCTION("""COMPUTED_VALUE"""),"[Nhãn thùng] GC - IV - 1366 - BIOTECH HÀ LAN - Mancozeb Xanh (Bột xanh) - 1kg - 20")</f>
        <v>[Nhãn thùng] GC - IV - 1366 - BIOTECH HÀ LAN - Mancozeb Xanh (Bột xanh) - 1kg - 20</v>
      </c>
      <c r="E1883" s="87" t="str">
        <f>IFERROR(__xludf.DUMMYFUNCTION("""COMPUTED_VALUE"""),"TVZEB 800WP")</f>
        <v>TVZEB 800WP</v>
      </c>
      <c r="F1883" s="87" t="str">
        <f>IFERROR(__xludf.DUMMYFUNCTION("""COMPUTED_VALUE"""),"HH1366")</f>
        <v>HH1366</v>
      </c>
      <c r="G1883" s="87" t="str">
        <f>IFERROR(__xludf.DUMMYFUNCTION("""COMPUTED_VALUE"""),"GC - IV - 1366 - BIOTECH HÀ LAN - Mancozeb Xanh (Bột xanh) - 1kg - 20")</f>
        <v>GC - IV - 1366 - BIOTECH HÀ LAN - Mancozeb Xanh (Bột xanh) - 1kg - 20</v>
      </c>
    </row>
    <row r="1884">
      <c r="A1884" s="86">
        <f>IFERROR(__xludf.DUMMYFUNCTION("""COMPUTED_VALUE"""),1882.0)</f>
        <v>1882</v>
      </c>
      <c r="B1884" s="87" t="str">
        <f>IFERROR(__xludf.DUMMYFUNCTION("""COMPUTED_VALUE"""),"Nhãn")</f>
        <v>Nhãn</v>
      </c>
      <c r="C1884" s="87" t="str">
        <f>IFERROR(__xludf.DUMMYFUNCTION("""COMPUTED_VALUE"""),"NHG1367")</f>
        <v>NHG1367</v>
      </c>
      <c r="D1884" s="87" t="str">
        <f>IFERROR(__xludf.DUMMYFUNCTION("""COMPUTED_VALUE"""),"[Nhãn] GC - II - 1367 - CTY KIM NGỌC - TRỢ LỰC THẤM - 50ml - 100")</f>
        <v>[Nhãn] GC - II - 1367 - CTY KIM NGỌC - TRỢ LỰC THẤM - 50ml - 100</v>
      </c>
      <c r="E1884" s="87" t="str">
        <f>IFERROR(__xludf.DUMMYFUNCTION("""COMPUTED_VALUE"""),"Vi lượng Quantity New")</f>
        <v>Vi lượng Quantity New</v>
      </c>
      <c r="F1884" s="87" t="str">
        <f>IFERROR(__xludf.DUMMYFUNCTION("""COMPUTED_VALUE"""),"HH1367")</f>
        <v>HH1367</v>
      </c>
      <c r="G1884" s="87" t="str">
        <f>IFERROR(__xludf.DUMMYFUNCTION("""COMPUTED_VALUE"""),"GC - II - 1367 - CTY KIM NGỌC - TRỢ LỰC THẤM - 50ml - 100")</f>
        <v>GC - II - 1367 - CTY KIM NGỌC - TRỢ LỰC THẤM - 50ml - 100</v>
      </c>
    </row>
    <row r="1885">
      <c r="A1885" s="86">
        <f>IFERROR(__xludf.DUMMYFUNCTION("""COMPUTED_VALUE"""),1883.0)</f>
        <v>1883</v>
      </c>
      <c r="B1885" s="87" t="str">
        <f>IFERROR(__xludf.DUMMYFUNCTION("""COMPUTED_VALUE"""),"Nhãn")</f>
        <v>Nhãn</v>
      </c>
      <c r="C1885" s="87" t="str">
        <f>IFERROR(__xludf.DUMMYFUNCTION("""COMPUTED_VALUE"""),"NHD1368")</f>
        <v>NHD1368</v>
      </c>
      <c r="D1885" s="87" t="str">
        <f>IFERROR(__xludf.DUMMYFUNCTION("""COMPUTED_VALUE"""),"[Nhãn] GC - IV - 1368 - Hướng Nông Xanh  - Chim Ưng 3.8EC (Nước tím) - 240ml - 40")</f>
        <v>[Nhãn] GC - IV - 1368 - Hướng Nông Xanh  - Chim Ưng 3.8EC (Nước tím) - 240ml - 40</v>
      </c>
      <c r="E1885" s="87" t="str">
        <f>IFERROR(__xludf.DUMMYFUNCTION("""COMPUTED_VALUE"""),"CHIM ƯNG 3.8EC")</f>
        <v>CHIM ƯNG 3.8EC</v>
      </c>
      <c r="F1885" s="87" t="str">
        <f>IFERROR(__xludf.DUMMYFUNCTION("""COMPUTED_VALUE"""),"HH1368")</f>
        <v>HH1368</v>
      </c>
      <c r="G1885" s="87" t="str">
        <f>IFERROR(__xludf.DUMMYFUNCTION("""COMPUTED_VALUE"""),"GC - IV - 1368 - Hướng Nông Xanh  - Chim Ưng 3.8EC (Nước tím) - 240ml - 40")</f>
        <v>GC - IV - 1368 - Hướng Nông Xanh  - Chim Ưng 3.8EC (Nước tím) - 240ml - 40</v>
      </c>
    </row>
    <row r="1886">
      <c r="A1886" s="86">
        <f>IFERROR(__xludf.DUMMYFUNCTION("""COMPUTED_VALUE"""),1884.0)</f>
        <v>1884</v>
      </c>
      <c r="B1886" s="87" t="str">
        <f>IFERROR(__xludf.DUMMYFUNCTION("""COMPUTED_VALUE"""),"Nhãn")</f>
        <v>Nhãn</v>
      </c>
      <c r="C1886" s="87" t="str">
        <f>IFERROR(__xludf.DUMMYFUNCTION("""COMPUTED_VALUE"""),"NHD1369")</f>
        <v>NHD1369</v>
      </c>
      <c r="D1886" s="87" t="str">
        <f>IFERROR(__xludf.DUMMYFUNCTION("""COMPUTED_VALUE"""),"[Nhãn] GC - IV - 1369 - Hướng Nông Xanh  - Genol 1.2SL (Nước đỏ) - 250ml - 40")</f>
        <v>[Nhãn] GC - IV - 1369 - Hướng Nông Xanh  - Genol 1.2SL (Nước đỏ) - 250ml - 40</v>
      </c>
      <c r="E1886" s="87" t="str">
        <f>IFERROR(__xludf.DUMMYFUNCTION("""COMPUTED_VALUE"""),"GENOL 1.2SL")</f>
        <v>GENOL 1.2SL</v>
      </c>
      <c r="F1886" s="87" t="str">
        <f>IFERROR(__xludf.DUMMYFUNCTION("""COMPUTED_VALUE"""),"HH1369")</f>
        <v>HH1369</v>
      </c>
      <c r="G1886" s="87" t="str">
        <f>IFERROR(__xludf.DUMMYFUNCTION("""COMPUTED_VALUE"""),"GC - IV - 1369 - Hướng Nông Xanh  - Genol 1.2SL (Nước đỏ) - 250ml - 40")</f>
        <v>GC - IV - 1369 - Hướng Nông Xanh  - Genol 1.2SL (Nước đỏ) - 250ml - 40</v>
      </c>
    </row>
    <row r="1887">
      <c r="A1887" s="86">
        <f>IFERROR(__xludf.DUMMYFUNCTION("""COMPUTED_VALUE"""),1885.0)</f>
        <v>1885</v>
      </c>
      <c r="B1887" s="87" t="str">
        <f>IFERROR(__xludf.DUMMYFUNCTION("""COMPUTED_VALUE"""),"Nhãn")</f>
        <v>Nhãn</v>
      </c>
      <c r="C1887" s="87" t="str">
        <f>IFERROR(__xludf.DUMMYFUNCTION("""COMPUTED_VALUE"""),"NHG1370")</f>
        <v>NHG1370</v>
      </c>
      <c r="D1887" s="87" t="str">
        <f>IFERROR(__xludf.DUMMYFUNCTION("""COMPUTED_VALUE"""),"[Nhãn] GC - IV - 1370 -  Hướng Nông Xanh - Mekongvil 5SC (Chuyên CAT) (nước xanh dương) - 1L - 20")</f>
        <v>[Nhãn] GC - IV - 1370 -  Hướng Nông Xanh - Mekongvil 5SC (Chuyên CAT) (nước xanh dương) - 1L - 20</v>
      </c>
      <c r="E1887" s="87" t="str">
        <f>IFERROR(__xludf.DUMMYFUNCTION("""COMPUTED_VALUE"""),"Mekongvil 5SC")</f>
        <v>Mekongvil 5SC</v>
      </c>
      <c r="F1887" s="87" t="str">
        <f>IFERROR(__xludf.DUMMYFUNCTION("""COMPUTED_VALUE"""),"HH1370")</f>
        <v>HH1370</v>
      </c>
      <c r="G1887" s="87" t="str">
        <f>IFERROR(__xludf.DUMMYFUNCTION("""COMPUTED_VALUE"""),"GC - IV - 1370 -  Hướng Nông Xanh - Mekongvil 5SC (Chuyên CAT) (nước xanh dương) - 1L - 20")</f>
        <v>GC - IV - 1370 -  Hướng Nông Xanh - Mekongvil 5SC (Chuyên CAT) (nước xanh dương) - 1L - 20</v>
      </c>
    </row>
    <row r="1888">
      <c r="A1888" s="86">
        <f>IFERROR(__xludf.DUMMYFUNCTION("""COMPUTED_VALUE"""),1886.0)</f>
        <v>1886</v>
      </c>
      <c r="B1888" s="87" t="str">
        <f>IFERROR(__xludf.DUMMYFUNCTION("""COMPUTED_VALUE"""),"Nhãn")</f>
        <v>Nhãn</v>
      </c>
      <c r="C1888" s="87" t="str">
        <f>IFERROR(__xludf.DUMMYFUNCTION("""COMPUTED_VALUE"""),"NHG1371")</f>
        <v>NHG1371</v>
      </c>
      <c r="D1888" s="87" t="str">
        <f>IFERROR(__xludf.DUMMYFUNCTION("""COMPUTED_VALUE"""),"[Nhãn] GC - IV - 1371 -  Hướng Nông Xanh - Mekongvil 5SC (Chuyên lúa) (nước xanh dương) - 1L - 20")</f>
        <v>[Nhãn] GC - IV - 1371 -  Hướng Nông Xanh - Mekongvil 5SC (Chuyên lúa) (nước xanh dương) - 1L - 20</v>
      </c>
      <c r="E1888" s="87" t="str">
        <f>IFERROR(__xludf.DUMMYFUNCTION("""COMPUTED_VALUE"""),"Mekongvil 5SC")</f>
        <v>Mekongvil 5SC</v>
      </c>
      <c r="F1888" s="87" t="str">
        <f>IFERROR(__xludf.DUMMYFUNCTION("""COMPUTED_VALUE"""),"HH1371")</f>
        <v>HH1371</v>
      </c>
      <c r="G1888" s="87" t="str">
        <f>IFERROR(__xludf.DUMMYFUNCTION("""COMPUTED_VALUE"""),"GC - IV - 1371 -  Hướng Nông Xanh - Mekongvil 5SC (Chuyên lúa) (nước xanh dương) - 1L - 20")</f>
        <v>GC - IV - 1371 -  Hướng Nông Xanh - Mekongvil 5SC (Chuyên lúa) (nước xanh dương) - 1L - 20</v>
      </c>
    </row>
    <row r="1889">
      <c r="A1889" s="86">
        <f>IFERROR(__xludf.DUMMYFUNCTION("""COMPUTED_VALUE"""),1887.0)</f>
        <v>1887</v>
      </c>
      <c r="B1889" s="87" t="str">
        <f>IFERROR(__xludf.DUMMYFUNCTION("""COMPUTED_VALUE"""),"Nhãn")</f>
        <v>Nhãn</v>
      </c>
      <c r="C1889" s="87" t="str">
        <f>IFERROR(__xludf.DUMMYFUNCTION("""COMPUTED_VALUE"""),"NTN1372")</f>
        <v>NTN1372</v>
      </c>
      <c r="D1889" s="87" t="str">
        <f>IFERROR(__xludf.DUMMYFUNCTION("""COMPUTED_VALUE"""),"[Nhãn] GC - IV - 1372 - Hướng Nông Xanh - Oxycin 100WP (Bột trắng) - 25gr - 300")</f>
        <v>[Nhãn] GC - IV - 1372 - Hướng Nông Xanh - Oxycin 100WP (Bột trắng) - 25gr - 300</v>
      </c>
      <c r="E1889" s="87" t="str">
        <f>IFERROR(__xludf.DUMMYFUNCTION("""COMPUTED_VALUE"""),"Oxycin 100WP")</f>
        <v>Oxycin 100WP</v>
      </c>
      <c r="F1889" s="87" t="str">
        <f>IFERROR(__xludf.DUMMYFUNCTION("""COMPUTED_VALUE"""),"HH1372")</f>
        <v>HH1372</v>
      </c>
      <c r="G1889" s="87" t="str">
        <f>IFERROR(__xludf.DUMMYFUNCTION("""COMPUTED_VALUE"""),"GC - IV - 1372 - Hướng Nông Xanh - Oxycin 100WP (Bột trắng) - 25gr - 300")</f>
        <v>GC - IV - 1372 - Hướng Nông Xanh - Oxycin 100WP (Bột trắng) - 25gr - 300</v>
      </c>
    </row>
    <row r="1890">
      <c r="A1890" s="86">
        <f>IFERROR(__xludf.DUMMYFUNCTION("""COMPUTED_VALUE"""),1888.0)</f>
        <v>1888</v>
      </c>
      <c r="B1890" s="87" t="str">
        <f>IFERROR(__xludf.DUMMYFUNCTION("""COMPUTED_VALUE"""),"Nhãn")</f>
        <v>Nhãn</v>
      </c>
      <c r="C1890" s="87" t="str">
        <f>IFERROR(__xludf.DUMMYFUNCTION("""COMPUTED_VALUE"""),"NTN1373")</f>
        <v>NTN1373</v>
      </c>
      <c r="D1890" s="87" t="str">
        <f>IFERROR(__xludf.DUMMYFUNCTION("""COMPUTED_VALUE"""),"[Nhãn] GC - IV - 1373 - Hướng Nông Xanh - Rayxanh 200WP (bột trắng) - 80gr - 150")</f>
        <v>[Nhãn] GC - IV - 1373 - Hướng Nông Xanh - Rayxanh 200WP (bột trắng) - 80gr - 150</v>
      </c>
      <c r="E1890" s="87" t="str">
        <f>IFERROR(__xludf.DUMMYFUNCTION("""COMPUTED_VALUE"""),"RAYXANH 200WP")</f>
        <v>RAYXANH 200WP</v>
      </c>
      <c r="F1890" s="87" t="str">
        <f>IFERROR(__xludf.DUMMYFUNCTION("""COMPUTED_VALUE"""),"HH1373")</f>
        <v>HH1373</v>
      </c>
      <c r="G1890" s="87" t="str">
        <f>IFERROR(__xludf.DUMMYFUNCTION("""COMPUTED_VALUE"""),"GC - IV - 1373 - Hướng Nông Xanh - Rayxanh 200WP (bột trắng) - 80gr - 150")</f>
        <v>GC - IV - 1373 - Hướng Nông Xanh - Rayxanh 200WP (bột trắng) - 80gr - 150</v>
      </c>
    </row>
    <row r="1891">
      <c r="A1891" s="86">
        <f>IFERROR(__xludf.DUMMYFUNCTION("""COMPUTED_VALUE"""),1889.0)</f>
        <v>1889</v>
      </c>
      <c r="B1891" s="87" t="str">
        <f>IFERROR(__xludf.DUMMYFUNCTION("""COMPUTED_VALUE"""),"Nhãn")</f>
        <v>Nhãn</v>
      </c>
      <c r="C1891" s="87" t="str">
        <f>IFERROR(__xludf.DUMMYFUNCTION("""COMPUTED_VALUE"""),"NHG1374")</f>
        <v>NHG1374</v>
      </c>
      <c r="D1891" s="87" t="str">
        <f>IFERROR(__xludf.DUMMYFUNCTION("""COMPUTED_VALUE"""),"[Nhãn] GC - II - 1374 - AGC - Mekongvil 5SC (Nước trắng sữa) - 1L - 20")</f>
        <v>[Nhãn] GC - II - 1374 - AGC - Mekongvil 5SC (Nước trắng sữa) - 1L - 20</v>
      </c>
      <c r="E1891" s="87" t="str">
        <f>IFERROR(__xludf.DUMMYFUNCTION("""COMPUTED_VALUE"""),"Mekongvil 5SC")</f>
        <v>Mekongvil 5SC</v>
      </c>
      <c r="F1891" s="87" t="str">
        <f>IFERROR(__xludf.DUMMYFUNCTION("""COMPUTED_VALUE"""),"HH1374")</f>
        <v>HH1374</v>
      </c>
      <c r="G1891" s="87" t="str">
        <f>IFERROR(__xludf.DUMMYFUNCTION("""COMPUTED_VALUE"""),"GC - II - 1374 - AGC - Mekongvil 5SC (Nước trắng sữa) - 1L - 20")</f>
        <v>GC - II - 1374 - AGC - Mekongvil 5SC (Nước trắng sữa) - 1L - 20</v>
      </c>
    </row>
    <row r="1892">
      <c r="A1892" s="86">
        <f>IFERROR(__xludf.DUMMYFUNCTION("""COMPUTED_VALUE"""),1890.0)</f>
        <v>1890</v>
      </c>
      <c r="B1892" s="87" t="str">
        <f>IFERROR(__xludf.DUMMYFUNCTION("""COMPUTED_VALUE"""),"Nhãn")</f>
        <v>Nhãn</v>
      </c>
      <c r="C1892" s="87" t="str">
        <f>IFERROR(__xludf.DUMMYFUNCTION("""COMPUTED_VALUE"""),"NHD1376")</f>
        <v>NHD1376</v>
      </c>
      <c r="D1892" s="87" t="str">
        <f>IFERROR(__xludf.DUMMYFUNCTION("""COMPUTED_VALUE"""),"[Nhãn] GC - IV - 1376 - Lâm Thành - Ema 19 (Nước xanh dương) - 450ml - 40")</f>
        <v>[Nhãn] GC - IV - 1376 - Lâm Thành - Ema 19 (Nước xanh dương) - 450ml - 40</v>
      </c>
      <c r="E1892" s="87" t="str">
        <f>IFERROR(__xludf.DUMMYFUNCTION("""COMPUTED_VALUE"""),"Creek 2.1EC")</f>
        <v>Creek 2.1EC</v>
      </c>
      <c r="F1892" s="87" t="str">
        <f>IFERROR(__xludf.DUMMYFUNCTION("""COMPUTED_VALUE"""),"HH1376")</f>
        <v>HH1376</v>
      </c>
      <c r="G1892" s="87" t="str">
        <f>IFERROR(__xludf.DUMMYFUNCTION("""COMPUTED_VALUE"""),"GC - IV - 1376 - Lâm Thành - Ema 19 (Nước xanh dương) - 450ml - 40")</f>
        <v>GC - IV - 1376 - Lâm Thành - Ema 19 (Nước xanh dương) - 450ml - 40</v>
      </c>
    </row>
    <row r="1893">
      <c r="A1893" s="86">
        <f>IFERROR(__xludf.DUMMYFUNCTION("""COMPUTED_VALUE"""),1891.0)</f>
        <v>1891</v>
      </c>
      <c r="B1893" s="87" t="str">
        <f>IFERROR(__xludf.DUMMYFUNCTION("""COMPUTED_VALUE"""),"Nhãn")</f>
        <v>Nhãn</v>
      </c>
      <c r="C1893" s="87" t="str">
        <f>IFERROR(__xludf.DUMMYFUNCTION("""COMPUTED_VALUE"""),"NHG1378")</f>
        <v>NHG1378</v>
      </c>
      <c r="D1893" s="87" t="str">
        <f>IFERROR(__xludf.DUMMYFUNCTION("""COMPUTED_VALUE"""),"[Nhãn] IDA Global - I - 1378 - Kido Boost (Nước nâu đen) - 500ml - 40")</f>
        <v>[Nhãn] IDA Global - I - 1378 - Kido Boost (Nước nâu đen) - 500ml - 40</v>
      </c>
      <c r="E1893" s="87" t="str">
        <f>IFERROR(__xludf.DUMMYFUNCTION("""COMPUTED_VALUE"""),"Vi lượng Quantity New")</f>
        <v>Vi lượng Quantity New</v>
      </c>
      <c r="F1893" s="87" t="str">
        <f>IFERROR(__xludf.DUMMYFUNCTION("""COMPUTED_VALUE"""),"HH1378")</f>
        <v>HH1378</v>
      </c>
      <c r="G1893" s="87" t="str">
        <f>IFERROR(__xludf.DUMMYFUNCTION("""COMPUTED_VALUE"""),"IDA Global - I - 1378 - Kido Boost (Nước nâu đen) - 500ml - 40")</f>
        <v>IDA Global - I - 1378 - Kido Boost (Nước nâu đen) - 500ml - 40</v>
      </c>
    </row>
    <row r="1894">
      <c r="A1894" s="86">
        <f>IFERROR(__xludf.DUMMYFUNCTION("""COMPUTED_VALUE"""),1892.0)</f>
        <v>1892</v>
      </c>
      <c r="B1894" s="87" t="str">
        <f>IFERROR(__xludf.DUMMYFUNCTION("""COMPUTED_VALUE"""),"Nhãn")</f>
        <v>Nhãn</v>
      </c>
      <c r="C1894" s="87" t="str">
        <f>IFERROR(__xludf.DUMMYFUNCTION("""COMPUTED_VALUE"""),"NHG1379")</f>
        <v>NHG1379</v>
      </c>
      <c r="D1894" s="87" t="str">
        <f>IFERROR(__xludf.DUMMYFUNCTION("""COMPUTED_VALUE"""),"[Nhãn] IDA Global - I - 1379 - Winner SC (Nước nâu đen) - 450ml - 40")</f>
        <v>[Nhãn] IDA Global - I - 1379 - Winner SC (Nước nâu đen) - 450ml - 40</v>
      </c>
      <c r="E1894" s="87" t="str">
        <f>IFERROR(__xludf.DUMMYFUNCTION("""COMPUTED_VALUE"""),"Vi lượng BM-KABO")</f>
        <v>Vi lượng BM-KABO</v>
      </c>
      <c r="F1894" s="87" t="str">
        <f>IFERROR(__xludf.DUMMYFUNCTION("""COMPUTED_VALUE"""),"HH1379")</f>
        <v>HH1379</v>
      </c>
      <c r="G1894" s="87" t="str">
        <f>IFERROR(__xludf.DUMMYFUNCTION("""COMPUTED_VALUE"""),"IDA Global - I - 1379 - Winner SC (Nước nâu đen) - 450ml - 40")</f>
        <v>IDA Global - I - 1379 - Winner SC (Nước nâu đen) - 450ml - 40</v>
      </c>
    </row>
    <row r="1895">
      <c r="A1895" s="86">
        <f>IFERROR(__xludf.DUMMYFUNCTION("""COMPUTED_VALUE"""),1893.0)</f>
        <v>1893</v>
      </c>
      <c r="B1895" s="87" t="str">
        <f>IFERROR(__xludf.DUMMYFUNCTION("""COMPUTED_VALUE"""),"Nhãn")</f>
        <v>Nhãn</v>
      </c>
      <c r="C1895" s="87" t="str">
        <f>IFERROR(__xludf.DUMMYFUNCTION("""COMPUTED_VALUE"""),"NHD1380")</f>
        <v>NHD1380</v>
      </c>
      <c r="D1895" s="87" t="str">
        <f>IFERROR(__xludf.DUMMYFUNCTION("""COMPUTED_VALUE"""),"[Nhãn] GC - II - 1380 - AGC - Nutri Bio King - (Gel nâu đen) - 5L - 4")</f>
        <v>[Nhãn] GC - II - 1380 - AGC - Nutri Bio King - (Gel nâu đen) - 5L - 4</v>
      </c>
      <c r="E1895" s="87" t="str">
        <f>IFERROR(__xludf.DUMMYFUNCTION("""COMPUTED_VALUE"""),"Vi lượng Quantity New")</f>
        <v>Vi lượng Quantity New</v>
      </c>
      <c r="F1895" s="87" t="str">
        <f>IFERROR(__xludf.DUMMYFUNCTION("""COMPUTED_VALUE"""),"HH1380")</f>
        <v>HH1380</v>
      </c>
      <c r="G1895" s="87" t="str">
        <f>IFERROR(__xludf.DUMMYFUNCTION("""COMPUTED_VALUE"""),"GC - II - 1380 - AGC - Nutri Bio King - (Gel nâu đen) - 5L - 4")</f>
        <v>GC - II - 1380 - AGC - Nutri Bio King - (Gel nâu đen) - 5L - 4</v>
      </c>
    </row>
    <row r="1896">
      <c r="A1896" s="86">
        <f>IFERROR(__xludf.DUMMYFUNCTION("""COMPUTED_VALUE"""),1894.0)</f>
        <v>1894</v>
      </c>
      <c r="B1896" s="87" t="str">
        <f>IFERROR(__xludf.DUMMYFUNCTION("""COMPUTED_VALUE"""),"Nhãn thùng")</f>
        <v>Nhãn thùng</v>
      </c>
      <c r="C1896" s="87" t="str">
        <f>IFERROR(__xludf.DUMMYFUNCTION("""COMPUTED_VALUE"""),"NDT1380")</f>
        <v>NDT1380</v>
      </c>
      <c r="D1896" s="87" t="str">
        <f>IFERROR(__xludf.DUMMYFUNCTION("""COMPUTED_VALUE"""),"[Nhãn thùng] GC - II - 1380 - AGC - Nutri Bio King - (Gel nâu đen) - 5L - 4")</f>
        <v>[Nhãn thùng] GC - II - 1380 - AGC - Nutri Bio King - (Gel nâu đen) - 5L - 4</v>
      </c>
      <c r="E1896" s="87" t="str">
        <f>IFERROR(__xludf.DUMMYFUNCTION("""COMPUTED_VALUE"""),"Vi lượng Quantity New")</f>
        <v>Vi lượng Quantity New</v>
      </c>
      <c r="F1896" s="87" t="str">
        <f>IFERROR(__xludf.DUMMYFUNCTION("""COMPUTED_VALUE"""),"HH1380")</f>
        <v>HH1380</v>
      </c>
      <c r="G1896" s="87" t="str">
        <f>IFERROR(__xludf.DUMMYFUNCTION("""COMPUTED_VALUE"""),"GC - II - 1380 - AGC - Nutri Bio King - (Gel nâu đen) - 5L - 4")</f>
        <v>GC - II - 1380 - AGC - Nutri Bio King - (Gel nâu đen) - 5L - 4</v>
      </c>
    </row>
    <row r="1897">
      <c r="A1897" s="86">
        <f>IFERROR(__xludf.DUMMYFUNCTION("""COMPUTED_VALUE"""),1895.0)</f>
        <v>1895</v>
      </c>
      <c r="B1897" s="87" t="str">
        <f>IFERROR(__xludf.DUMMYFUNCTION("""COMPUTED_VALUE"""),"Nhãn")</f>
        <v>Nhãn</v>
      </c>
      <c r="C1897" s="87" t="str">
        <f>IFERROR(__xludf.DUMMYFUNCTION("""COMPUTED_VALUE"""),"NHG1381")</f>
        <v>NHG1381</v>
      </c>
      <c r="D1897" s="87" t="str">
        <f>IFERROR(__xludf.DUMMYFUNCTION("""COMPUTED_VALUE"""),"[Nhãn] GC - IV - 1381 - Agriplant - Nhện-Bọ Trĩ (Nước trong) - 450ml - 40")</f>
        <v>[Nhãn] GC - IV - 1381 - Agriplant - Nhện-Bọ Trĩ (Nước trong) - 450ml - 40</v>
      </c>
      <c r="E1897" s="87" t="str">
        <f>IFERROR(__xludf.DUMMYFUNCTION("""COMPUTED_VALUE"""),"HAIHAMEC 3.6EC")</f>
        <v>HAIHAMEC 3.6EC</v>
      </c>
      <c r="F1897" s="87" t="str">
        <f>IFERROR(__xludf.DUMMYFUNCTION("""COMPUTED_VALUE"""),"HH1381")</f>
        <v>HH1381</v>
      </c>
      <c r="G1897" s="87" t="str">
        <f>IFERROR(__xludf.DUMMYFUNCTION("""COMPUTED_VALUE"""),"GC - IV - 1381 - Agriplant - Nhện-Bọ Trĩ (Nước trong) - 450ml - 40")</f>
        <v>GC - IV - 1381 - Agriplant - Nhện-Bọ Trĩ (Nước trong) - 450ml - 40</v>
      </c>
    </row>
    <row r="1898">
      <c r="A1898" s="86">
        <f>IFERROR(__xludf.DUMMYFUNCTION("""COMPUTED_VALUE"""),1896.0)</f>
        <v>1896</v>
      </c>
      <c r="B1898" s="87" t="str">
        <f>IFERROR(__xludf.DUMMYFUNCTION("""COMPUTED_VALUE"""),"Nhãn")</f>
        <v>Nhãn</v>
      </c>
      <c r="C1898" s="87" t="str">
        <f>IFERROR(__xludf.DUMMYFUNCTION("""COMPUTED_VALUE"""),"NHG1382")</f>
        <v>NHG1382</v>
      </c>
      <c r="D1898" s="87" t="str">
        <f>IFERROR(__xludf.DUMMYFUNCTION("""COMPUTED_VALUE"""),"[Nhãn] LOT IDA Global - I - 1382 - Cỏ Lưu Dẫn (Glu200-Đỏ) (Nước đỏ BT) - 900ml - 20")</f>
        <v>[Nhãn] LOT IDA Global - I - 1382 - Cỏ Lưu Dẫn (Glu200-Đỏ) (Nước đỏ BT) - 900ml - 20</v>
      </c>
      <c r="E1898" s="87" t="str">
        <f>IFERROR(__xludf.DUMMYFUNCTION("""COMPUTED_VALUE"""),"GUSSI BASTAR 200SL")</f>
        <v>GUSSI BASTAR 200SL</v>
      </c>
      <c r="F1898" s="87" t="str">
        <f>IFERROR(__xludf.DUMMYFUNCTION("""COMPUTED_VALUE"""),"HH1382")</f>
        <v>HH1382</v>
      </c>
      <c r="G1898" s="87" t="str">
        <f>IFERROR(__xludf.DUMMYFUNCTION("""COMPUTED_VALUE"""),"LOT IDA Global - I - 1382 - Cỏ Lưu Dẫn (Glu200-Đỏ) (Nước đỏ BT) - 900ml - 20")</f>
        <v>LOT IDA Global - I - 1382 - Cỏ Lưu Dẫn (Glu200-Đỏ) (Nước đỏ BT) - 900ml - 20</v>
      </c>
    </row>
    <row r="1899">
      <c r="A1899" s="86">
        <f>IFERROR(__xludf.DUMMYFUNCTION("""COMPUTED_VALUE"""),1897.0)</f>
        <v>1897</v>
      </c>
      <c r="B1899" s="87" t="str">
        <f>IFERROR(__xludf.DUMMYFUNCTION("""COMPUTED_VALUE"""),"Nhãn")</f>
        <v>Nhãn</v>
      </c>
      <c r="C1899" s="87" t="str">
        <f>IFERROR(__xludf.DUMMYFUNCTION("""COMPUTED_VALUE"""),"NHG1384")</f>
        <v>NHG1384</v>
      </c>
      <c r="D1899" s="87" t="str">
        <f>IFERROR(__xludf.DUMMYFUNCTION("""COMPUTED_VALUE"""),"[Nhãn] GC - IV - 1384 - Agritech - Cabor Plus+ (Màu vàng mật ong) - 500ml - 40")</f>
        <v>[Nhãn] GC - IV - 1384 - Agritech - Cabor Plus+ (Màu vàng mật ong) - 500ml - 40</v>
      </c>
      <c r="E1899" s="87" t="str">
        <f>IFERROR(__xludf.DUMMYFUNCTION("""COMPUTED_VALUE"""),"Prima 04")</f>
        <v>Prima 04</v>
      </c>
      <c r="F1899" s="87" t="str">
        <f>IFERROR(__xludf.DUMMYFUNCTION("""COMPUTED_VALUE"""),"HH1384")</f>
        <v>HH1384</v>
      </c>
      <c r="G1899" s="87" t="str">
        <f>IFERROR(__xludf.DUMMYFUNCTION("""COMPUTED_VALUE"""),"GC - IV - 1384 - Agritech - Cabor Plus+ (Màu vàng mật ong) - 500ml - 40")</f>
        <v>GC - IV - 1384 - Agritech - Cabor Plus+ (Màu vàng mật ong) - 500ml - 40</v>
      </c>
    </row>
    <row r="1900">
      <c r="A1900" s="86">
        <f>IFERROR(__xludf.DUMMYFUNCTION("""COMPUTED_VALUE"""),1898.0)</f>
        <v>1898</v>
      </c>
      <c r="B1900" s="87" t="str">
        <f>IFERROR(__xludf.DUMMYFUNCTION("""COMPUTED_VALUE"""),"Nhãn")</f>
        <v>Nhãn</v>
      </c>
      <c r="C1900" s="87" t="str">
        <f>IFERROR(__xludf.DUMMYFUNCTION("""COMPUTED_VALUE"""),"NHG1385")</f>
        <v>NHG1385</v>
      </c>
      <c r="D1900" s="87" t="str">
        <f>IFERROR(__xludf.DUMMYFUNCTION("""COMPUTED_VALUE"""),"[Nhãn] GC - IV - 1385 - Agritech - Totra Plus+ (Gel nâu đen) - 500ml - 40")</f>
        <v>[Nhãn] GC - IV - 1385 - Agritech - Totra Plus+ (Gel nâu đen) - 500ml - 40</v>
      </c>
      <c r="E1900" s="87" t="str">
        <f>IFERROR(__xludf.DUMMYFUNCTION("""COMPUTED_VALUE"""),"Vi lượng Quantity New")</f>
        <v>Vi lượng Quantity New</v>
      </c>
      <c r="F1900" s="87" t="str">
        <f>IFERROR(__xludf.DUMMYFUNCTION("""COMPUTED_VALUE"""),"HH1385")</f>
        <v>HH1385</v>
      </c>
      <c r="G1900" s="87" t="str">
        <f>IFERROR(__xludf.DUMMYFUNCTION("""COMPUTED_VALUE"""),"GC - IV - 1385 - Agritech - Totra Plus+ (Gel nâu đen) - 500ml - 40")</f>
        <v>GC - IV - 1385 - Agritech - Totra Plus+ (Gel nâu đen) - 500ml - 40</v>
      </c>
    </row>
    <row r="1901">
      <c r="A1901" s="86">
        <f>IFERROR(__xludf.DUMMYFUNCTION("""COMPUTED_VALUE"""),1899.0)</f>
        <v>1899</v>
      </c>
      <c r="B1901" s="87" t="str">
        <f>IFERROR(__xludf.DUMMYFUNCTION("""COMPUTED_VALUE"""),"Nhãn")</f>
        <v>Nhãn</v>
      </c>
      <c r="C1901" s="87" t="str">
        <f>IFERROR(__xludf.DUMMYFUNCTION("""COMPUTED_VALUE"""),"NTN1386")</f>
        <v>NTN1386</v>
      </c>
      <c r="D1901" s="87" t="str">
        <f>IFERROR(__xludf.DUMMYFUNCTION("""COMPUTED_VALUE"""),"[Nhãn] GC - IV - 1386 - Kim Ngọc - Mancozeb Xanh (túi nhôm)(bột xanh) - 1 kg - 20")</f>
        <v>[Nhãn] GC - IV - 1386 - Kim Ngọc - Mancozeb Xanh (túi nhôm)(bột xanh) - 1 kg - 20</v>
      </c>
      <c r="E1901" s="87" t="str">
        <f>IFERROR(__xludf.DUMMYFUNCTION("""COMPUTED_VALUE"""),"TVZEB 800WP")</f>
        <v>TVZEB 800WP</v>
      </c>
      <c r="F1901" s="87" t="str">
        <f>IFERROR(__xludf.DUMMYFUNCTION("""COMPUTED_VALUE"""),"HH1386")</f>
        <v>HH1386</v>
      </c>
      <c r="G1901" s="87" t="str">
        <f>IFERROR(__xludf.DUMMYFUNCTION("""COMPUTED_VALUE"""),"GC - IV - 1386 - Kim Ngọc - Mancozeb Xanh (túi nhôm)(bột xanh) - 1 kg - 20")</f>
        <v>GC - IV - 1386 - Kim Ngọc - Mancozeb Xanh (túi nhôm)(bột xanh) - 1 kg - 20</v>
      </c>
    </row>
    <row r="1902">
      <c r="A1902" s="86">
        <f>IFERROR(__xludf.DUMMYFUNCTION("""COMPUTED_VALUE"""),1900.0)</f>
        <v>1900</v>
      </c>
      <c r="B1902" s="87" t="str">
        <f>IFERROR(__xludf.DUMMYFUNCTION("""COMPUTED_VALUE"""),"Nhãn")</f>
        <v>Nhãn</v>
      </c>
      <c r="C1902" s="87" t="str">
        <f>IFERROR(__xludf.DUMMYFUNCTION("""COMPUTED_VALUE"""),"NHG1387")</f>
        <v>NHG1387</v>
      </c>
      <c r="D1902" s="87" t="str">
        <f>IFERROR(__xludf.DUMMYFUNCTION("""COMPUTED_VALUE"""),"[Nhãn] GC - IV - 1387 - Green Rice - Bọ Cạp Đen (Nước nâu đen) - 400ml - 40")</f>
        <v>[Nhãn] GC - IV - 1387 - Green Rice - Bọ Cạp Đen (Nước nâu đen) - 400ml - 40</v>
      </c>
      <c r="E1902" s="87" t="str">
        <f>IFERROR(__xludf.DUMMYFUNCTION("""COMPUTED_VALUE"""),"HAIHAMEC 3.6EC")</f>
        <v>HAIHAMEC 3.6EC</v>
      </c>
      <c r="F1902" s="87" t="str">
        <f>IFERROR(__xludf.DUMMYFUNCTION("""COMPUTED_VALUE"""),"HH1387")</f>
        <v>HH1387</v>
      </c>
      <c r="G1902" s="87" t="str">
        <f>IFERROR(__xludf.DUMMYFUNCTION("""COMPUTED_VALUE"""),"GC - IV - 1387 - Green Rice - Bọ Cạp Đen (Nước nâu đen) - 400ml - 40")</f>
        <v>GC - IV - 1387 - Green Rice - Bọ Cạp Đen (Nước nâu đen) - 400ml - 40</v>
      </c>
    </row>
    <row r="1903">
      <c r="A1903" s="86">
        <f>IFERROR(__xludf.DUMMYFUNCTION("""COMPUTED_VALUE"""),1901.0)</f>
        <v>1901</v>
      </c>
      <c r="B1903" s="87" t="str">
        <f>IFERROR(__xludf.DUMMYFUNCTION("""COMPUTED_VALUE"""),"Nhãn")</f>
        <v>Nhãn</v>
      </c>
      <c r="C1903" s="87" t="str">
        <f>IFERROR(__xludf.DUMMYFUNCTION("""COMPUTED_VALUE"""),"NHG1388")</f>
        <v>NHG1388</v>
      </c>
      <c r="D1903" s="87" t="str">
        <f>IFERROR(__xludf.DUMMYFUNCTION("""COMPUTED_VALUE"""),"[Nhãn] NB - I - 1388 - Pesticidex - Tấn Thành - Phượng Hoàng 3.6 (Nước nâu đen) -  450ml - 40")</f>
        <v>[Nhãn] NB - I - 1388 - Pesticidex - Tấn Thành - Phượng Hoàng 3.6 (Nước nâu đen) -  450ml - 40</v>
      </c>
      <c r="E1903" s="87" t="str">
        <f>IFERROR(__xludf.DUMMYFUNCTION("""COMPUTED_VALUE"""),"HAIHAMEC 3.6EC")</f>
        <v>HAIHAMEC 3.6EC</v>
      </c>
      <c r="F1903" s="87" t="str">
        <f>IFERROR(__xludf.DUMMYFUNCTION("""COMPUTED_VALUE"""),"HH1388")</f>
        <v>HH1388</v>
      </c>
      <c r="G1903" s="87" t="str">
        <f>IFERROR(__xludf.DUMMYFUNCTION("""COMPUTED_VALUE"""),"NB - I - 1388 - Pesticidex - Tấn Thành - Phượng Hoàng 3.6 (Nước nâu đen) -  450ml - 40")</f>
        <v>NB - I - 1388 - Pesticidex - Tấn Thành - Phượng Hoàng 3.6 (Nước nâu đen) -  450ml - 40</v>
      </c>
    </row>
    <row r="1904">
      <c r="A1904" s="86">
        <f>IFERROR(__xludf.DUMMYFUNCTION("""COMPUTED_VALUE"""),1902.0)</f>
        <v>1902</v>
      </c>
      <c r="B1904" s="87" t="str">
        <f>IFERROR(__xludf.DUMMYFUNCTION("""COMPUTED_VALUE"""),"Nhãn")</f>
        <v>Nhãn</v>
      </c>
      <c r="C1904" s="87" t="str">
        <f>IFERROR(__xludf.DUMMYFUNCTION("""COMPUTED_VALUE"""),"NHG1389")</f>
        <v>NHG1389</v>
      </c>
      <c r="D1904" s="87" t="str">
        <f>IFERROR(__xludf.DUMMYFUNCTION("""COMPUTED_VALUE"""),"[Nhãn] LOT IDA Global - II - 1389 - Kim Nga - Ema Thái (nước trong) - 400ml - 40")</f>
        <v>[Nhãn] LOT IDA Global - II - 1389 - Kim Nga - Ema Thái (nước trong) - 400ml - 40</v>
      </c>
      <c r="E1904" s="87" t="str">
        <f>IFERROR(__xludf.DUMMYFUNCTION("""COMPUTED_VALUE"""),"Creek 2.1EC")</f>
        <v>Creek 2.1EC</v>
      </c>
      <c r="F1904" s="87" t="str">
        <f>IFERROR(__xludf.DUMMYFUNCTION("""COMPUTED_VALUE"""),"HH1389")</f>
        <v>HH1389</v>
      </c>
      <c r="G1904" s="87" t="str">
        <f>IFERROR(__xludf.DUMMYFUNCTION("""COMPUTED_VALUE"""),"LOT IDA Global - II - 1389 - Kim Nga - Ema Thái (nước trong) - 400ml - 40")</f>
        <v>LOT IDA Global - II - 1389 - Kim Nga - Ema Thái (nước trong) - 400ml - 40</v>
      </c>
    </row>
    <row r="1905">
      <c r="A1905" s="86">
        <f>IFERROR(__xludf.DUMMYFUNCTION("""COMPUTED_VALUE"""),1903.0)</f>
        <v>1903</v>
      </c>
      <c r="B1905" s="87" t="str">
        <f>IFERROR(__xludf.DUMMYFUNCTION("""COMPUTED_VALUE"""),"Nhãn")</f>
        <v>Nhãn</v>
      </c>
      <c r="C1905" s="87" t="str">
        <f>IFERROR(__xludf.DUMMYFUNCTION("""COMPUTED_VALUE"""),"NHG1390")</f>
        <v>NHG1390</v>
      </c>
      <c r="D1905" s="87" t="str">
        <f>IFERROR(__xludf.DUMMYFUNCTION("""COMPUTED_VALUE"""),"[Nhãn] GC - II - 1390 - AGC - DR.BUD (nước nâu đen) - 1L - 20")</f>
        <v>[Nhãn] GC - II - 1390 - AGC - DR.BUD (nước nâu đen) - 1L - 20</v>
      </c>
      <c r="E1905" s="87" t="str">
        <f>IFERROR(__xludf.DUMMYFUNCTION("""COMPUTED_VALUE"""),"Vi lượng Quantity New")</f>
        <v>Vi lượng Quantity New</v>
      </c>
      <c r="F1905" s="87" t="str">
        <f>IFERROR(__xludf.DUMMYFUNCTION("""COMPUTED_VALUE"""),"HH1390")</f>
        <v>HH1390</v>
      </c>
      <c r="G1905" s="87" t="str">
        <f>IFERROR(__xludf.DUMMYFUNCTION("""COMPUTED_VALUE"""),"GC - II - 1390 - AGC - DR.BUD (nước nâu đen) - 1L - 20")</f>
        <v>GC - II - 1390 - AGC - DR.BUD (nước nâu đen) - 1L - 20</v>
      </c>
    </row>
    <row r="1906">
      <c r="A1906" s="86">
        <f>IFERROR(__xludf.DUMMYFUNCTION("""COMPUTED_VALUE"""),1904.0)</f>
        <v>1904</v>
      </c>
      <c r="B1906" s="87" t="str">
        <f>IFERROR(__xludf.DUMMYFUNCTION("""COMPUTED_VALUE"""),"Nhãn")</f>
        <v>Nhãn</v>
      </c>
      <c r="C1906" s="87" t="str">
        <f>IFERROR(__xludf.DUMMYFUNCTION("""COMPUTED_VALUE"""),"NHG1393")</f>
        <v>NHG1393</v>
      </c>
      <c r="D1906" s="87" t="str">
        <f>IFERROR(__xludf.DUMMYFUNCTION("""COMPUTED_VALUE"""),"[Nhãn] IDA Global - I - 1393 - Winner SC (Nước nâu đen) - 500ml - 40")</f>
        <v>[Nhãn] IDA Global - I - 1393 - Winner SC (Nước nâu đen) - 500ml - 40</v>
      </c>
      <c r="E1906" s="87" t="str">
        <f>IFERROR(__xludf.DUMMYFUNCTION("""COMPUTED_VALUE"""),"Vi lượng BM-KABO")</f>
        <v>Vi lượng BM-KABO</v>
      </c>
      <c r="F1906" s="87" t="str">
        <f>IFERROR(__xludf.DUMMYFUNCTION("""COMPUTED_VALUE"""),"HH1393")</f>
        <v>HH1393</v>
      </c>
      <c r="G1906" s="87" t="str">
        <f>IFERROR(__xludf.DUMMYFUNCTION("""COMPUTED_VALUE"""),"IDA Global - I - 1393 - Winner SC (Nước nâu đen) - 500ml - 40")</f>
        <v>IDA Global - I - 1393 - Winner SC (Nước nâu đen) - 500ml - 40</v>
      </c>
    </row>
    <row r="1907">
      <c r="A1907" s="86">
        <f>IFERROR(__xludf.DUMMYFUNCTION("""COMPUTED_VALUE"""),1905.0)</f>
        <v>1905</v>
      </c>
      <c r="B1907" s="87" t="str">
        <f>IFERROR(__xludf.DUMMYFUNCTION("""COMPUTED_VALUE"""),"Nhãn")</f>
        <v>Nhãn</v>
      </c>
      <c r="C1907" s="87" t="str">
        <f>IFERROR(__xludf.DUMMYFUNCTION("""COMPUTED_VALUE"""),"NHG1394")</f>
        <v>NHG1394</v>
      </c>
      <c r="D1907" s="87" t="str">
        <f>IFERROR(__xludf.DUMMYFUNCTION("""COMPUTED_VALUE"""),"[Nhãn] GC - IV -  1394 - Agritech - Pyxoate 44EC (nước đỏ) - 450ml - 40")</f>
        <v>[Nhãn] GC - IV -  1394 - Agritech - Pyxoate 44EC (nước đỏ) - 450ml - 40</v>
      </c>
      <c r="E1907" s="87" t="str">
        <f>IFERROR(__xludf.DUMMYFUNCTION("""COMPUTED_VALUE"""),"PYXOATE 44EC")</f>
        <v>PYXOATE 44EC</v>
      </c>
      <c r="F1907" s="87" t="str">
        <f>IFERROR(__xludf.DUMMYFUNCTION("""COMPUTED_VALUE"""),"HH1394")</f>
        <v>HH1394</v>
      </c>
      <c r="G1907" s="87" t="str">
        <f>IFERROR(__xludf.DUMMYFUNCTION("""COMPUTED_VALUE"""),"GC - IV -  1394 - Agritech - Pyxoate 44EC (nước đỏ) - 450ml - 40")</f>
        <v>GC - IV -  1394 - Agritech - Pyxoate 44EC (nước đỏ) - 450ml - 40</v>
      </c>
    </row>
    <row r="1908">
      <c r="A1908" s="86">
        <f>IFERROR(__xludf.DUMMYFUNCTION("""COMPUTED_VALUE"""),1906.0)</f>
        <v>1906</v>
      </c>
      <c r="B1908" s="87" t="str">
        <f>IFERROR(__xludf.DUMMYFUNCTION("""COMPUTED_VALUE"""),"Nhãn")</f>
        <v>Nhãn</v>
      </c>
      <c r="C1908" s="87" t="str">
        <f>IFERROR(__xludf.DUMMYFUNCTION("""COMPUTED_VALUE"""),"NHG1395")</f>
        <v>NHG1395</v>
      </c>
      <c r="D1908" s="87" t="str">
        <f>IFERROR(__xludf.DUMMYFUNCTION("""COMPUTED_VALUE"""),"[Nhãn] NB - I - 1395 - Pesticidex - Sunrise - Sunrise Extra 350 - 250ml - 40")</f>
        <v>[Nhãn] NB - I - 1395 - Pesticidex - Sunrise - Sunrise Extra 350 - 250ml - 40</v>
      </c>
      <c r="E1908" s="87" t="str">
        <f>IFERROR(__xludf.DUMMYFUNCTION("""COMPUTED_VALUE"""),"Goruden 350SC")</f>
        <v>Goruden 350SC</v>
      </c>
      <c r="F1908" s="87" t="str">
        <f>IFERROR(__xludf.DUMMYFUNCTION("""COMPUTED_VALUE"""),"HH1395")</f>
        <v>HH1395</v>
      </c>
      <c r="G1908" s="87" t="str">
        <f>IFERROR(__xludf.DUMMYFUNCTION("""COMPUTED_VALUE"""),"NB - I - 1395 - Pesticidex - Sunrise - Sunrise Extra 350 - 250ml - 40")</f>
        <v>NB - I - 1395 - Pesticidex - Sunrise - Sunrise Extra 350 - 250ml - 40</v>
      </c>
    </row>
    <row r="1909">
      <c r="A1909" s="86">
        <f>IFERROR(__xludf.DUMMYFUNCTION("""COMPUTED_VALUE"""),1907.0)</f>
        <v>1907</v>
      </c>
      <c r="B1909" s="87" t="str">
        <f>IFERROR(__xludf.DUMMYFUNCTION("""COMPUTED_VALUE"""),"Nhãn")</f>
        <v>Nhãn</v>
      </c>
      <c r="C1909" s="87" t="str">
        <f>IFERROR(__xludf.DUMMYFUNCTION("""COMPUTED_VALUE"""),"NTN1397")</f>
        <v>NTN1397</v>
      </c>
      <c r="D1909" s="87" t="str">
        <f>IFERROR(__xludf.DUMMYFUNCTION("""COMPUTED_VALUE"""),"[Nhãn] GC - IV - 1397 - Manco Green (Bột xanh) - 1 kg - 20")</f>
        <v>[Nhãn] GC - IV - 1397 - Manco Green (Bột xanh) - 1 kg - 20</v>
      </c>
      <c r="E1909" s="87" t="str">
        <f>IFERROR(__xludf.DUMMYFUNCTION("""COMPUTED_VALUE"""),"TVZEB 800WP")</f>
        <v>TVZEB 800WP</v>
      </c>
      <c r="F1909" s="87" t="str">
        <f>IFERROR(__xludf.DUMMYFUNCTION("""COMPUTED_VALUE"""),"HH1397")</f>
        <v>HH1397</v>
      </c>
      <c r="G1909" s="87" t="str">
        <f>IFERROR(__xludf.DUMMYFUNCTION("""COMPUTED_VALUE"""),"GC - IV - 1397 - Manco Green (Bột xanh) - 1 kg - 20")</f>
        <v>GC - IV - 1397 - Manco Green (Bột xanh) - 1 kg - 20</v>
      </c>
    </row>
    <row r="1910">
      <c r="A1910" s="86">
        <f>IFERROR(__xludf.DUMMYFUNCTION("""COMPUTED_VALUE"""),1908.0)</f>
        <v>1908</v>
      </c>
      <c r="B1910" s="87" t="str">
        <f>IFERROR(__xludf.DUMMYFUNCTION("""COMPUTED_VALUE"""),"Nhãn thùng")</f>
        <v>Nhãn thùng</v>
      </c>
      <c r="C1910" s="87" t="str">
        <f>IFERROR(__xludf.DUMMYFUNCTION("""COMPUTED_VALUE"""),"NDT1397")</f>
        <v>NDT1397</v>
      </c>
      <c r="D1910" s="87" t="str">
        <f>IFERROR(__xludf.DUMMYFUNCTION("""COMPUTED_VALUE"""),"[Nhãn thùng] GC - IV - 1397 - Manco Green (Bột xanh) - 1 kg - 20")</f>
        <v>[Nhãn thùng] GC - IV - 1397 - Manco Green (Bột xanh) - 1 kg - 20</v>
      </c>
      <c r="E1910" s="87" t="str">
        <f>IFERROR(__xludf.DUMMYFUNCTION("""COMPUTED_VALUE"""),"TVZEB 800WP")</f>
        <v>TVZEB 800WP</v>
      </c>
      <c r="F1910" s="87" t="str">
        <f>IFERROR(__xludf.DUMMYFUNCTION("""COMPUTED_VALUE"""),"HH1397")</f>
        <v>HH1397</v>
      </c>
      <c r="G1910" s="87" t="str">
        <f>IFERROR(__xludf.DUMMYFUNCTION("""COMPUTED_VALUE"""),"GC - IV - 1397 - Manco Green (Bột xanh) - 1 kg - 20")</f>
        <v>GC - IV - 1397 - Manco Green (Bột xanh) - 1 kg - 20</v>
      </c>
    </row>
    <row r="1911">
      <c r="A1911" s="86">
        <f>IFERROR(__xludf.DUMMYFUNCTION("""COMPUTED_VALUE"""),1909.0)</f>
        <v>1909</v>
      </c>
      <c r="B1911" s="87" t="str">
        <f>IFERROR(__xludf.DUMMYFUNCTION("""COMPUTED_VALUE"""),"Nhãn")</f>
        <v>Nhãn</v>
      </c>
      <c r="C1911" s="87" t="str">
        <f>IFERROR(__xludf.DUMMYFUNCTION("""COMPUTED_VALUE"""),"NHD1398")</f>
        <v>NHD1398</v>
      </c>
      <c r="D1911" s="87" t="str">
        <f>IFERROR(__xludf.DUMMYFUNCTION("""COMPUTED_VALUE"""),"[Nhãn] GC - II - 1398 - NANO FISH - Agri PH (Nước nâu đen) - 5L - 4")</f>
        <v>[Nhãn] GC - II - 1398 - NANO FISH - Agri PH (Nước nâu đen) - 5L - 4</v>
      </c>
      <c r="E1911" s="87" t="str">
        <f>IFERROR(__xludf.DUMMYFUNCTION("""COMPUTED_VALUE"""),"PBVL 14 GOLD RICE")</f>
        <v>PBVL 14 GOLD RICE</v>
      </c>
      <c r="F1911" s="87" t="str">
        <f>IFERROR(__xludf.DUMMYFUNCTION("""COMPUTED_VALUE"""),"HH1398")</f>
        <v>HH1398</v>
      </c>
      <c r="G1911" s="87" t="str">
        <f>IFERROR(__xludf.DUMMYFUNCTION("""COMPUTED_VALUE"""),"GC - II - 1398 - NANO FISH - Agri PH (Nước nâu đen) - 5L - 4")</f>
        <v>GC - II - 1398 - NANO FISH - Agri PH (Nước nâu đen) - 5L - 4</v>
      </c>
    </row>
    <row r="1912">
      <c r="A1912" s="86">
        <f>IFERROR(__xludf.DUMMYFUNCTION("""COMPUTED_VALUE"""),1910.0)</f>
        <v>1910</v>
      </c>
      <c r="B1912" s="87" t="str">
        <f>IFERROR(__xludf.DUMMYFUNCTION("""COMPUTED_VALUE"""),"Nhãn")</f>
        <v>Nhãn</v>
      </c>
      <c r="C1912" s="87" t="str">
        <f>IFERROR(__xludf.DUMMYFUNCTION("""COMPUTED_VALUE"""),"NHG1399")</f>
        <v>NHG1399</v>
      </c>
      <c r="D1912" s="87" t="str">
        <f>IFERROR(__xludf.DUMMYFUNCTION("""COMPUTED_VALUE"""),"[Nhãn] NB - K - 1399 - BMI - BMI ANVIN (Nước hồng) - 900ml - 40")</f>
        <v>[Nhãn] NB - K - 1399 - BMI - BMI ANVIN (Nước hồng) - 900ml - 40</v>
      </c>
      <c r="E1912" s="87" t="str">
        <f>IFERROR(__xludf.DUMMYFUNCTION("""COMPUTED_VALUE"""),"Mekongvil 5SC")</f>
        <v>Mekongvil 5SC</v>
      </c>
      <c r="F1912" s="87" t="str">
        <f>IFERROR(__xludf.DUMMYFUNCTION("""COMPUTED_VALUE"""),"HH1399")</f>
        <v>HH1399</v>
      </c>
      <c r="G1912" s="87" t="str">
        <f>IFERROR(__xludf.DUMMYFUNCTION("""COMPUTED_VALUE"""),"NB - K - 1399 - BMI - BMI ANVIN (Nước hồng) - 900ml - 40")</f>
        <v>NB - K - 1399 - BMI - BMI ANVIN (Nước hồng) - 900ml - 40</v>
      </c>
    </row>
    <row r="1913">
      <c r="A1913" s="86">
        <f>IFERROR(__xludf.DUMMYFUNCTION("""COMPUTED_VALUE"""),1911.0)</f>
        <v>1911</v>
      </c>
      <c r="B1913" s="87" t="str">
        <f>IFERROR(__xludf.DUMMYFUNCTION("""COMPUTED_VALUE"""),"Nhãn")</f>
        <v>Nhãn</v>
      </c>
      <c r="C1913" s="87" t="str">
        <f>IFERROR(__xludf.DUMMYFUNCTION("""COMPUTED_VALUE"""),"NHD1400")</f>
        <v>NHD1400</v>
      </c>
      <c r="D1913" s="87" t="str">
        <f>IFERROR(__xludf.DUMMYFUNCTION("""COMPUTED_VALUE"""),"[Nhãn] GC - IV - 1400 - Agritech - Bio Organic (Nước nâu đen) - 5L - 4")</f>
        <v>[Nhãn] GC - IV - 1400 - Agritech - Bio Organic (Nước nâu đen) - 5L - 4</v>
      </c>
      <c r="E1913" s="87" t="str">
        <f>IFERROR(__xludf.DUMMYFUNCTION("""COMPUTED_VALUE"""),"Vi lượng Quantity New")</f>
        <v>Vi lượng Quantity New</v>
      </c>
      <c r="F1913" s="87" t="str">
        <f>IFERROR(__xludf.DUMMYFUNCTION("""COMPUTED_VALUE"""),"HH1400")</f>
        <v>HH1400</v>
      </c>
      <c r="G1913" s="87" t="str">
        <f>IFERROR(__xludf.DUMMYFUNCTION("""COMPUTED_VALUE"""),"GC - IV - 1400 - Agritech - Bio Organic (Nước nâu đen) - 5L - 4")</f>
        <v>GC - IV - 1400 - Agritech - Bio Organic (Nước nâu đen) - 5L - 4</v>
      </c>
    </row>
    <row r="1914">
      <c r="A1914" s="86">
        <f>IFERROR(__xludf.DUMMYFUNCTION("""COMPUTED_VALUE"""),1912.0)</f>
        <v>1912</v>
      </c>
      <c r="B1914" s="87" t="str">
        <f>IFERROR(__xludf.DUMMYFUNCTION("""COMPUTED_VALUE"""),"Nhãn thùng")</f>
        <v>Nhãn thùng</v>
      </c>
      <c r="C1914" s="87" t="str">
        <f>IFERROR(__xludf.DUMMYFUNCTION("""COMPUTED_VALUE"""),"NDT1400")</f>
        <v>NDT1400</v>
      </c>
      <c r="D1914" s="87" t="str">
        <f>IFERROR(__xludf.DUMMYFUNCTION("""COMPUTED_VALUE"""),"[Nhãn thùng] GC - IV - 1400 - Agritech - Bio Organic (Nước nâu đen) - 5L - 4")</f>
        <v>[Nhãn thùng] GC - IV - 1400 - Agritech - Bio Organic (Nước nâu đen) - 5L - 4</v>
      </c>
      <c r="E1914" s="87" t="str">
        <f>IFERROR(__xludf.DUMMYFUNCTION("""COMPUTED_VALUE"""),"Vi lượng Quantity New")</f>
        <v>Vi lượng Quantity New</v>
      </c>
      <c r="F1914" s="87" t="str">
        <f>IFERROR(__xludf.DUMMYFUNCTION("""COMPUTED_VALUE"""),"HH1400")</f>
        <v>HH1400</v>
      </c>
      <c r="G1914" s="87" t="str">
        <f>IFERROR(__xludf.DUMMYFUNCTION("""COMPUTED_VALUE"""),"GC - IV - 1400 - Agritech - Bio Organic (Nước nâu đen) - 5L - 4")</f>
        <v>GC - IV - 1400 - Agritech - Bio Organic (Nước nâu đen) - 5L - 4</v>
      </c>
    </row>
    <row r="1915">
      <c r="A1915" s="86">
        <f>IFERROR(__xludf.DUMMYFUNCTION("""COMPUTED_VALUE"""),1913.0)</f>
        <v>1913</v>
      </c>
      <c r="B1915" s="87" t="str">
        <f>IFERROR(__xludf.DUMMYFUNCTION("""COMPUTED_VALUE"""),"Nhãn")</f>
        <v>Nhãn</v>
      </c>
      <c r="C1915" s="87" t="str">
        <f>IFERROR(__xludf.DUMMYFUNCTION("""COMPUTED_VALUE"""),"NHG1402")</f>
        <v>NHG1402</v>
      </c>
      <c r="D1915" s="87" t="str">
        <f>IFERROR(__xludf.DUMMYFUNCTION("""COMPUTED_VALUE"""),"[Nhãn] GC - II - 1402 - AGC - Bo.CaX (Nước vàng) - 500ml - 40")</f>
        <v>[Nhãn] GC - II - 1402 - AGC - Bo.CaX (Nước vàng) - 500ml - 40</v>
      </c>
      <c r="E1915" s="87" t="str">
        <f>IFERROR(__xludf.DUMMYFUNCTION("""COMPUTED_VALUE"""),"Prima 04")</f>
        <v>Prima 04</v>
      </c>
      <c r="F1915" s="87" t="str">
        <f>IFERROR(__xludf.DUMMYFUNCTION("""COMPUTED_VALUE"""),"HH1402")</f>
        <v>HH1402</v>
      </c>
      <c r="G1915" s="87" t="str">
        <f>IFERROR(__xludf.DUMMYFUNCTION("""COMPUTED_VALUE"""),"GC - II - 1402 - AGC - Bo.CaX (Nước vàng) - 500ml - 40")</f>
        <v>GC - II - 1402 - AGC - Bo.CaX (Nước vàng) - 500ml - 40</v>
      </c>
    </row>
    <row r="1916">
      <c r="A1916" s="86">
        <f>IFERROR(__xludf.DUMMYFUNCTION("""COMPUTED_VALUE"""),1914.0)</f>
        <v>1914</v>
      </c>
      <c r="B1916" s="87" t="str">
        <f>IFERROR(__xludf.DUMMYFUNCTION("""COMPUTED_VALUE"""),"Nhãn")</f>
        <v>Nhãn</v>
      </c>
      <c r="C1916" s="87" t="str">
        <f>IFERROR(__xludf.DUMMYFUNCTION("""COMPUTED_VALUE"""),"NHD1403")</f>
        <v>NHD1403</v>
      </c>
      <c r="D1916" s="87" t="str">
        <f>IFERROR(__xludf.DUMMYFUNCTION("""COMPUTED_VALUE"""),"[Nhãn] GC - IV - 1403 - Kim Ngọc - Sạch Rầy (nước tím) - 250ml - 40")</f>
        <v>[Nhãn] GC - IV - 1403 - Kim Ngọc - Sạch Rầy (nước tím) - 250ml - 40</v>
      </c>
      <c r="E1916" s="87" t="str">
        <f>IFERROR(__xludf.DUMMYFUNCTION("""COMPUTED_VALUE"""),"Thipro 550EC")</f>
        <v>Thipro 550EC</v>
      </c>
      <c r="F1916" s="87" t="str">
        <f>IFERROR(__xludf.DUMMYFUNCTION("""COMPUTED_VALUE"""),"HH1403")</f>
        <v>HH1403</v>
      </c>
      <c r="G1916" s="87" t="str">
        <f>IFERROR(__xludf.DUMMYFUNCTION("""COMPUTED_VALUE"""),"GC - IV - 1403 - Kim Ngọc - Sạch Rầy (nước tím) - 250ml - 40")</f>
        <v>GC - IV - 1403 - Kim Ngọc - Sạch Rầy (nước tím) - 250ml - 40</v>
      </c>
    </row>
    <row r="1917">
      <c r="A1917" s="86">
        <f>IFERROR(__xludf.DUMMYFUNCTION("""COMPUTED_VALUE"""),1915.0)</f>
        <v>1915</v>
      </c>
      <c r="B1917" s="87" t="str">
        <f>IFERROR(__xludf.DUMMYFUNCTION("""COMPUTED_VALUE"""),"Nhãn")</f>
        <v>Nhãn</v>
      </c>
      <c r="C1917" s="87" t="str">
        <f>IFERROR(__xludf.DUMMYFUNCTION("""COMPUTED_VALUE"""),"NHG1404")</f>
        <v>NHG1404</v>
      </c>
      <c r="D1917" s="87" t="str">
        <f>IFERROR(__xludf.DUMMYFUNCTION("""COMPUTED_VALUE"""),"[Nhãn] GC - IV - 1404 - NHP - Killmite (Nước tím) - 250ml - 40")</f>
        <v>[Nhãn] GC - IV - 1404 - NHP - Killmite (Nước tím) - 250ml - 40</v>
      </c>
      <c r="E1917" s="87" t="str">
        <f>IFERROR(__xludf.DUMMYFUNCTION("""COMPUTED_VALUE"""),"Chitin 3.6EC")</f>
        <v>Chitin 3.6EC</v>
      </c>
      <c r="F1917" s="87" t="str">
        <f>IFERROR(__xludf.DUMMYFUNCTION("""COMPUTED_VALUE"""),"HH1404")</f>
        <v>HH1404</v>
      </c>
      <c r="G1917" s="87" t="str">
        <f>IFERROR(__xludf.DUMMYFUNCTION("""COMPUTED_VALUE"""),"GC - IV - 1404 - NHP - Killmite (Nước tím) - 250ml - 40")</f>
        <v>GC - IV - 1404 - NHP - Killmite (Nước tím) - 250ml - 40</v>
      </c>
    </row>
    <row r="1918">
      <c r="A1918" s="86">
        <f>IFERROR(__xludf.DUMMYFUNCTION("""COMPUTED_VALUE"""),1916.0)</f>
        <v>1916</v>
      </c>
      <c r="B1918" s="87" t="str">
        <f>IFERROR(__xludf.DUMMYFUNCTION("""COMPUTED_VALUE"""),"Nhãn")</f>
        <v>Nhãn</v>
      </c>
      <c r="C1918" s="87" t="str">
        <f>IFERROR(__xludf.DUMMYFUNCTION("""COMPUTED_VALUE"""),"NTN1405")</f>
        <v>NTN1405</v>
      </c>
      <c r="D1918" s="87" t="str">
        <f>IFERROR(__xludf.DUMMYFUNCTION("""COMPUTED_VALUE"""),"[Nhãn] GC - IV - 1405 - NHP Group - Imiida (Bột trắng) - 100gr - 100")</f>
        <v>[Nhãn] GC - IV - 1405 - NHP Group - Imiida (Bột trắng) - 100gr - 100</v>
      </c>
      <c r="E1918" s="87" t="str">
        <f>IFERROR(__xludf.DUMMYFUNCTION("""COMPUTED_VALUE"""),"IMIPRID 10WP")</f>
        <v>IMIPRID 10WP</v>
      </c>
      <c r="F1918" s="87" t="str">
        <f>IFERROR(__xludf.DUMMYFUNCTION("""COMPUTED_VALUE"""),"HH1405")</f>
        <v>HH1405</v>
      </c>
      <c r="G1918" s="87" t="str">
        <f>IFERROR(__xludf.DUMMYFUNCTION("""COMPUTED_VALUE"""),"GC - IV - 1405 - NHP Group - Imiida (Bột trắng) - 100gr - 100")</f>
        <v>GC - IV - 1405 - NHP Group - Imiida (Bột trắng) - 100gr - 100</v>
      </c>
    </row>
    <row r="1919">
      <c r="A1919" s="86">
        <f>IFERROR(__xludf.DUMMYFUNCTION("""COMPUTED_VALUE"""),1917.0)</f>
        <v>1917</v>
      </c>
      <c r="B1919" s="87" t="str">
        <f>IFERROR(__xludf.DUMMYFUNCTION("""COMPUTED_VALUE"""),"Nhãn thùng")</f>
        <v>Nhãn thùng</v>
      </c>
      <c r="C1919" s="87" t="str">
        <f>IFERROR(__xludf.DUMMYFUNCTION("""COMPUTED_VALUE"""),"NDT1405")</f>
        <v>NDT1405</v>
      </c>
      <c r="D1919" s="87" t="str">
        <f>IFERROR(__xludf.DUMMYFUNCTION("""COMPUTED_VALUE"""),"[Nhãn thùng] GC - IV - 1405 - NHP Group - Imiida (Bột trắng) - 100gr - 100")</f>
        <v>[Nhãn thùng] GC - IV - 1405 - NHP Group - Imiida (Bột trắng) - 100gr - 100</v>
      </c>
      <c r="E1919" s="87" t="str">
        <f>IFERROR(__xludf.DUMMYFUNCTION("""COMPUTED_VALUE"""),"IMIPRID 10WP")</f>
        <v>IMIPRID 10WP</v>
      </c>
      <c r="F1919" s="87" t="str">
        <f>IFERROR(__xludf.DUMMYFUNCTION("""COMPUTED_VALUE"""),"HH1405")</f>
        <v>HH1405</v>
      </c>
      <c r="G1919" s="87" t="str">
        <f>IFERROR(__xludf.DUMMYFUNCTION("""COMPUTED_VALUE"""),"GC - IV - 1405 - NHP Group - Imiida (Bột trắng) - 100gr - 100")</f>
        <v>GC - IV - 1405 - NHP Group - Imiida (Bột trắng) - 100gr - 100</v>
      </c>
    </row>
    <row r="1920">
      <c r="A1920" s="86">
        <f>IFERROR(__xludf.DUMMYFUNCTION("""COMPUTED_VALUE"""),1918.0)</f>
        <v>1918</v>
      </c>
      <c r="B1920" s="87" t="str">
        <f>IFERROR(__xludf.DUMMYFUNCTION("""COMPUTED_VALUE"""),"Nhãn")</f>
        <v>Nhãn</v>
      </c>
      <c r="C1920" s="87" t="str">
        <f>IFERROR(__xludf.DUMMYFUNCTION("""COMPUTED_VALUE"""),"NHG1406")</f>
        <v>NHG1406</v>
      </c>
      <c r="D1920" s="87" t="str">
        <f>IFERROR(__xludf.DUMMYFUNCTION("""COMPUTED_VALUE"""),"[Nhãn] GC - II - 1406 - AGC - Open Xtra 44L - (nước vàng) - 120ml - 50")</f>
        <v>[Nhãn] GC - II - 1406 - AGC - Open Xtra 44L - (nước vàng) - 120ml - 50</v>
      </c>
      <c r="E1920" s="87" t="str">
        <f>IFERROR(__xludf.DUMMYFUNCTION("""COMPUTED_VALUE"""),"Vi lượng Quantity New")</f>
        <v>Vi lượng Quantity New</v>
      </c>
      <c r="F1920" s="87" t="str">
        <f>IFERROR(__xludf.DUMMYFUNCTION("""COMPUTED_VALUE"""),"HH1406")</f>
        <v>HH1406</v>
      </c>
      <c r="G1920" s="87" t="str">
        <f>IFERROR(__xludf.DUMMYFUNCTION("""COMPUTED_VALUE"""),"GC - II - 1406 - AGC - Open Xtra 44L - (nước vàng) - 120ml - 50")</f>
        <v>GC - II - 1406 - AGC - Open Xtra 44L - (nước vàng) - 120ml - 50</v>
      </c>
    </row>
    <row r="1921">
      <c r="A1921" s="86">
        <f>IFERROR(__xludf.DUMMYFUNCTION("""COMPUTED_VALUE"""),1919.0)</f>
        <v>1919</v>
      </c>
      <c r="B1921" s="87" t="str">
        <f>IFERROR(__xludf.DUMMYFUNCTION("""COMPUTED_VALUE"""),"Nhãn")</f>
        <v>Nhãn</v>
      </c>
      <c r="C1921" s="87" t="str">
        <f>IFERROR(__xludf.DUMMYFUNCTION("""COMPUTED_VALUE"""),"NHD1407")</f>
        <v>NHD1407</v>
      </c>
      <c r="D1921" s="87" t="str">
        <f>IFERROR(__xludf.DUMMYFUNCTION("""COMPUTED_VALUE"""),"[Nhãn] GC - II - 1407 - NANO FISH - Nano Grow (Nước nâu đen) - 5L - 4")</f>
        <v>[Nhãn] GC - II - 1407 - NANO FISH - Nano Grow (Nước nâu đen) - 5L - 4</v>
      </c>
      <c r="E1921" s="87" t="str">
        <f>IFERROR(__xludf.DUMMYFUNCTION("""COMPUTED_VALUE"""),"Vi lượng Quantity New")</f>
        <v>Vi lượng Quantity New</v>
      </c>
      <c r="F1921" s="87" t="str">
        <f>IFERROR(__xludf.DUMMYFUNCTION("""COMPUTED_VALUE"""),"HH1407")</f>
        <v>HH1407</v>
      </c>
      <c r="G1921" s="87" t="str">
        <f>IFERROR(__xludf.DUMMYFUNCTION("""COMPUTED_VALUE"""),"GC - II - 1407 - NANO FISH - Nano Grow (Nước nâu đen) - 5L - 4")</f>
        <v>GC - II - 1407 - NANO FISH - Nano Grow (Nước nâu đen) - 5L - 4</v>
      </c>
    </row>
    <row r="1922">
      <c r="A1922" s="86">
        <f>IFERROR(__xludf.DUMMYFUNCTION("""COMPUTED_VALUE"""),1920.0)</f>
        <v>1920</v>
      </c>
      <c r="B1922" s="87" t="str">
        <f>IFERROR(__xludf.DUMMYFUNCTION("""COMPUTED_VALUE"""),"Nhãn")</f>
        <v>Nhãn</v>
      </c>
      <c r="C1922" s="87" t="str">
        <f>IFERROR(__xludf.DUMMYFUNCTION("""COMPUTED_VALUE"""),"NHG1410")</f>
        <v>NHG1410</v>
      </c>
      <c r="D1922" s="87" t="str">
        <f>IFERROR(__xludf.DUMMYFUNCTION("""COMPUTED_VALUE"""),"[Nhãn] GC - IV - 1410 - GNH - Siêu Kích Rễ (Nước nâu đen) - 500ml - 40")</f>
        <v>[Nhãn] GC - IV - 1410 - GNH - Siêu Kích Rễ (Nước nâu đen) - 500ml - 40</v>
      </c>
      <c r="E1922" s="87" t="str">
        <f>IFERROR(__xludf.DUMMYFUNCTION("""COMPUTED_VALUE"""),"Vi lượng Basel VA01")</f>
        <v>Vi lượng Basel VA01</v>
      </c>
      <c r="F1922" s="87" t="str">
        <f>IFERROR(__xludf.DUMMYFUNCTION("""COMPUTED_VALUE"""),"HH1410")</f>
        <v>HH1410</v>
      </c>
      <c r="G1922" s="87" t="str">
        <f>IFERROR(__xludf.DUMMYFUNCTION("""COMPUTED_VALUE"""),"GC - IV - 1410 - GNH - Siêu Kích Rễ (Nước nâu đen) - 500ml - 40")</f>
        <v>GC - IV - 1410 - GNH - Siêu Kích Rễ (Nước nâu đen) - 500ml - 40</v>
      </c>
    </row>
    <row r="1923">
      <c r="A1923" s="86">
        <f>IFERROR(__xludf.DUMMYFUNCTION("""COMPUTED_VALUE"""),1921.0)</f>
        <v>1921</v>
      </c>
      <c r="B1923" s="87" t="str">
        <f>IFERROR(__xludf.DUMMYFUNCTION("""COMPUTED_VALUE"""),"Nhãn")</f>
        <v>Nhãn</v>
      </c>
      <c r="C1923" s="87" t="str">
        <f>IFERROR(__xludf.DUMMYFUNCTION("""COMPUTED_VALUE"""),"NHG1411")</f>
        <v>NHG1411</v>
      </c>
      <c r="D1923" s="87" t="str">
        <f>IFERROR(__xludf.DUMMYFUNCTION("""COMPUTED_VALUE"""),"[Nhãn] GC - IV - 1411 - GNH - Siêu Rau Quả (Nước nâu đen) - 500ml - 40")</f>
        <v>[Nhãn] GC - IV - 1411 - GNH - Siêu Rau Quả (Nước nâu đen) - 500ml - 40</v>
      </c>
      <c r="E1923" s="87" t="str">
        <f>IFERROR(__xludf.DUMMYFUNCTION("""COMPUTED_VALUE"""),"Vi lượng Basel VA01")</f>
        <v>Vi lượng Basel VA01</v>
      </c>
      <c r="F1923" s="87" t="str">
        <f>IFERROR(__xludf.DUMMYFUNCTION("""COMPUTED_VALUE"""),"HH1411")</f>
        <v>HH1411</v>
      </c>
      <c r="G1923" s="87" t="str">
        <f>IFERROR(__xludf.DUMMYFUNCTION("""COMPUTED_VALUE"""),"GC - IV - 1411 - GNH - Siêu Rau Quả (Nước nâu đen) - 500ml - 40")</f>
        <v>GC - IV - 1411 - GNH - Siêu Rau Quả (Nước nâu đen) - 500ml - 40</v>
      </c>
    </row>
    <row r="1924">
      <c r="A1924" s="86">
        <f>IFERROR(__xludf.DUMMYFUNCTION("""COMPUTED_VALUE"""),1922.0)</f>
        <v>1922</v>
      </c>
      <c r="B1924" s="87" t="str">
        <f>IFERROR(__xludf.DUMMYFUNCTION("""COMPUTED_VALUE"""),"Nhãn")</f>
        <v>Nhãn</v>
      </c>
      <c r="C1924" s="87" t="str">
        <f>IFERROR(__xludf.DUMMYFUNCTION("""COMPUTED_VALUE"""),"NHG1412")</f>
        <v>NHG1412</v>
      </c>
      <c r="D1924" s="87" t="str">
        <f>IFERROR(__xludf.DUMMYFUNCTION("""COMPUTED_VALUE"""),"[Nhãn] IDA Global - I - 1412 - Chấn Phong - Picosuper 280SC (nước trắng sữa) - 240ml - 40")</f>
        <v>[Nhãn] IDA Global - I - 1412 - Chấn Phong - Picosuper 280SC (nước trắng sữa) - 240ml - 40</v>
      </c>
      <c r="E1924" s="87" t="str">
        <f>IFERROR(__xludf.DUMMYFUNCTION("""COMPUTED_VALUE"""),"PICOSUPER 280SC")</f>
        <v>PICOSUPER 280SC</v>
      </c>
      <c r="F1924" s="87" t="str">
        <f>IFERROR(__xludf.DUMMYFUNCTION("""COMPUTED_VALUE"""),"HH1412")</f>
        <v>HH1412</v>
      </c>
      <c r="G1924" s="87" t="str">
        <f>IFERROR(__xludf.DUMMYFUNCTION("""COMPUTED_VALUE"""),"IDA Global - I - 1412 - Chấn Phong - Picosuper 280SC (nước trắng sữa) - 240ml - 40")</f>
        <v>IDA Global - I - 1412 - Chấn Phong - Picosuper 280SC (nước trắng sữa) - 240ml - 40</v>
      </c>
    </row>
    <row r="1925">
      <c r="A1925" s="86">
        <f>IFERROR(__xludf.DUMMYFUNCTION("""COMPUTED_VALUE"""),1923.0)</f>
        <v>1923</v>
      </c>
      <c r="B1925" s="87" t="str">
        <f>IFERROR(__xludf.DUMMYFUNCTION("""COMPUTED_VALUE"""),"Nhãn")</f>
        <v>Nhãn</v>
      </c>
      <c r="C1925" s="87" t="str">
        <f>IFERROR(__xludf.DUMMYFUNCTION("""COMPUTED_VALUE"""),"NHG1414")</f>
        <v>NHG1414</v>
      </c>
      <c r="D1925" s="87" t="str">
        <f>IFERROR(__xludf.DUMMYFUNCTION("""COMPUTED_VALUE"""),"[Nhãn] GC - IV - 1414 - NHP Group - Newmite (nước trong) - 450ml - 40")</f>
        <v>[Nhãn] GC - IV - 1414 - NHP Group - Newmite (nước trong) - 450ml - 40</v>
      </c>
      <c r="E1925" s="87" t="str">
        <f>IFERROR(__xludf.DUMMYFUNCTION("""COMPUTED_VALUE"""),"HAIHAMEC 3.6EC")</f>
        <v>HAIHAMEC 3.6EC</v>
      </c>
      <c r="F1925" s="87" t="str">
        <f>IFERROR(__xludf.DUMMYFUNCTION("""COMPUTED_VALUE"""),"HH1414")</f>
        <v>HH1414</v>
      </c>
      <c r="G1925" s="87" t="str">
        <f>IFERROR(__xludf.DUMMYFUNCTION("""COMPUTED_VALUE"""),"GC - IV - 1414 - NHP Group - Newmite (nước trong) - 450ml - 40")</f>
        <v>GC - IV - 1414 - NHP Group - Newmite (nước trong) - 450ml - 40</v>
      </c>
    </row>
    <row r="1926">
      <c r="A1926" s="86">
        <f>IFERROR(__xludf.DUMMYFUNCTION("""COMPUTED_VALUE"""),1924.0)</f>
        <v>1924</v>
      </c>
      <c r="B1926" s="87" t="str">
        <f>IFERROR(__xludf.DUMMYFUNCTION("""COMPUTED_VALUE"""),"Nhãn")</f>
        <v>Nhãn</v>
      </c>
      <c r="C1926" s="87" t="str">
        <f>IFERROR(__xludf.DUMMYFUNCTION("""COMPUTED_VALUE"""),"NTN1415")</f>
        <v>NTN1415</v>
      </c>
      <c r="D1926" s="87" t="str">
        <f>IFERROR(__xludf.DUMMYFUNCTION("""COMPUTED_VALUE"""),"[Nhãn] GC - IV - 1415 - NHP Group - Metalaxyl (bột hồng) - 100gr - 100")</f>
        <v>[Nhãn] GC - IV - 1415 - NHP Group - Metalaxyl (bột hồng) - 100gr - 100</v>
      </c>
      <c r="E1926" s="87" t="str">
        <f>IFERROR(__xludf.DUMMYFUNCTION("""COMPUTED_VALUE"""),"Acodyl 35WP")</f>
        <v>Acodyl 35WP</v>
      </c>
      <c r="F1926" s="87" t="str">
        <f>IFERROR(__xludf.DUMMYFUNCTION("""COMPUTED_VALUE"""),"HH1415")</f>
        <v>HH1415</v>
      </c>
      <c r="G1926" s="87" t="str">
        <f>IFERROR(__xludf.DUMMYFUNCTION("""COMPUTED_VALUE"""),"GC - IV - 1415 - NHP Group - Metalaxyl (bột hồng) - 100gr - 100")</f>
        <v>GC - IV - 1415 - NHP Group - Metalaxyl (bột hồng) - 100gr - 100</v>
      </c>
    </row>
    <row r="1927">
      <c r="A1927" s="86">
        <f>IFERROR(__xludf.DUMMYFUNCTION("""COMPUTED_VALUE"""),1925.0)</f>
        <v>1925</v>
      </c>
      <c r="B1927" s="87" t="str">
        <f>IFERROR(__xludf.DUMMYFUNCTION("""COMPUTED_VALUE"""),"Nhãn")</f>
        <v>Nhãn</v>
      </c>
      <c r="C1927" s="87" t="str">
        <f>IFERROR(__xludf.DUMMYFUNCTION("""COMPUTED_VALUE"""),"NHD1416")</f>
        <v>NHD1416</v>
      </c>
      <c r="D1927" s="87" t="str">
        <f>IFERROR(__xludf.DUMMYFUNCTION("""COMPUTED_VALUE"""),"[Nhãn] LOT IDA Global - I - 1416 - Thành Tâm - Mãnh Hổ (Nước nâu đen) - 450ml - 40")</f>
        <v>[Nhãn] LOT IDA Global - I - 1416 - Thành Tâm - Mãnh Hổ (Nước nâu đen) - 450ml - 40</v>
      </c>
      <c r="E1927" s="87" t="str">
        <f>IFERROR(__xludf.DUMMYFUNCTION("""COMPUTED_VALUE"""),"HAIHAMEC 3.6EC")</f>
        <v>HAIHAMEC 3.6EC</v>
      </c>
      <c r="F1927" s="87" t="str">
        <f>IFERROR(__xludf.DUMMYFUNCTION("""COMPUTED_VALUE"""),"HH1416")</f>
        <v>HH1416</v>
      </c>
      <c r="G1927" s="87" t="str">
        <f>IFERROR(__xludf.DUMMYFUNCTION("""COMPUTED_VALUE"""),"LOT IDA Global - I - 1416 - Thành Tâm - Mãnh Hổ (Nước nâu đen) - 450ml - 40")</f>
        <v>LOT IDA Global - I - 1416 - Thành Tâm - Mãnh Hổ (Nước nâu đen) - 450ml - 40</v>
      </c>
    </row>
    <row r="1928">
      <c r="A1928" s="86">
        <f>IFERROR(__xludf.DUMMYFUNCTION("""COMPUTED_VALUE"""),1926.0)</f>
        <v>1926</v>
      </c>
      <c r="B1928" s="87" t="str">
        <f>IFERROR(__xludf.DUMMYFUNCTION("""COMPUTED_VALUE"""),"Nhãn")</f>
        <v>Nhãn</v>
      </c>
      <c r="C1928" s="87" t="str">
        <f>IFERROR(__xludf.DUMMYFUNCTION("""COMPUTED_VALUE"""),"NHG1417")</f>
        <v>NHG1417</v>
      </c>
      <c r="D1928" s="87" t="str">
        <f>IFERROR(__xludf.DUMMYFUNCTION("""COMPUTED_VALUE"""),"[Nhãn] LOT IDA Global - I - 1417 - Ba Con Cò - Anh Win (nước trắng sữa) - 1 Lít - 20")</f>
        <v>[Nhãn] LOT IDA Global - I - 1417 - Ba Con Cò - Anh Win (nước trắng sữa) - 1 Lít - 20</v>
      </c>
      <c r="E1928" s="87" t="str">
        <f>IFERROR(__xludf.DUMMYFUNCTION("""COMPUTED_VALUE"""),"Mekongvil 5SC")</f>
        <v>Mekongvil 5SC</v>
      </c>
      <c r="F1928" s="87" t="str">
        <f>IFERROR(__xludf.DUMMYFUNCTION("""COMPUTED_VALUE"""),"HH1417")</f>
        <v>HH1417</v>
      </c>
      <c r="G1928" s="87" t="str">
        <f>IFERROR(__xludf.DUMMYFUNCTION("""COMPUTED_VALUE"""),"LOT IDA Global - I - 1417 - Ba Con Cò - Anh Win (nước trắng sữa) - 1 Lít - 20")</f>
        <v>LOT IDA Global - I - 1417 - Ba Con Cò - Anh Win (nước trắng sữa) - 1 Lít - 20</v>
      </c>
    </row>
    <row r="1929">
      <c r="A1929" s="86">
        <f>IFERROR(__xludf.DUMMYFUNCTION("""COMPUTED_VALUE"""),1927.0)</f>
        <v>1927</v>
      </c>
      <c r="B1929" s="87" t="str">
        <f>IFERROR(__xludf.DUMMYFUNCTION("""COMPUTED_VALUE"""),"Nhãn")</f>
        <v>Nhãn</v>
      </c>
      <c r="C1929" s="87" t="str">
        <f>IFERROR(__xludf.DUMMYFUNCTION("""COMPUTED_VALUE"""),"NHG1418")</f>
        <v>NHG1418</v>
      </c>
      <c r="D1929" s="87" t="str">
        <f>IFERROR(__xludf.DUMMYFUNCTION("""COMPUTED_VALUE"""),"[Nhãn] GC - IV - 1418 - Agriplant - Sâu-Nhện (nước trong) - 450ml - 40")</f>
        <v>[Nhãn] GC - IV - 1418 - Agriplant - Sâu-Nhện (nước trong) - 450ml - 40</v>
      </c>
      <c r="E1929" s="87" t="str">
        <f>IFERROR(__xludf.DUMMYFUNCTION("""COMPUTED_VALUE"""),"HAIHAMEC 3.6EC")</f>
        <v>HAIHAMEC 3.6EC</v>
      </c>
      <c r="F1929" s="87" t="str">
        <f>IFERROR(__xludf.DUMMYFUNCTION("""COMPUTED_VALUE"""),"HH1418")</f>
        <v>HH1418</v>
      </c>
      <c r="G1929" s="87" t="str">
        <f>IFERROR(__xludf.DUMMYFUNCTION("""COMPUTED_VALUE"""),"GC - IV - 1418 - Agriplant - Sâu-Nhện (nước trong) - 450ml - 40")</f>
        <v>GC - IV - 1418 - Agriplant - Sâu-Nhện (nước trong) - 450ml - 40</v>
      </c>
    </row>
    <row r="1930">
      <c r="A1930" s="86">
        <f>IFERROR(__xludf.DUMMYFUNCTION("""COMPUTED_VALUE"""),1928.0)</f>
        <v>1928</v>
      </c>
      <c r="B1930" s="87" t="str">
        <f>IFERROR(__xludf.DUMMYFUNCTION("""COMPUTED_VALUE"""),"Nhãn")</f>
        <v>Nhãn</v>
      </c>
      <c r="C1930" s="87" t="str">
        <f>IFERROR(__xludf.DUMMYFUNCTION("""COMPUTED_VALUE"""),"NHD1420")</f>
        <v>NHD1420</v>
      </c>
      <c r="D1930" s="87" t="str">
        <f>IFERROR(__xludf.DUMMYFUNCTION("""COMPUTED_VALUE"""),"[Nhãn] GC - II - 1420 - NANO FISH - Nano Soil (Nước nâu đen) - 5L - 4")</f>
        <v>[Nhãn] GC - II - 1420 - NANO FISH - Nano Soil (Nước nâu đen) - 5L - 4</v>
      </c>
      <c r="E1930" s="87" t="str">
        <f>IFERROR(__xludf.DUMMYFUNCTION("""COMPUTED_VALUE"""),"Vi lượng Quantity New")</f>
        <v>Vi lượng Quantity New</v>
      </c>
      <c r="F1930" s="87" t="str">
        <f>IFERROR(__xludf.DUMMYFUNCTION("""COMPUTED_VALUE"""),"HH1420")</f>
        <v>HH1420</v>
      </c>
      <c r="G1930" s="87" t="str">
        <f>IFERROR(__xludf.DUMMYFUNCTION("""COMPUTED_VALUE"""),"GC - II - 1420 - NANO FISH - Nano Soil (Nước nâu đen) - 5L - 4")</f>
        <v>GC - II - 1420 - NANO FISH - Nano Soil (Nước nâu đen) - 5L - 4</v>
      </c>
    </row>
    <row r="1931">
      <c r="A1931" s="86">
        <f>IFERROR(__xludf.DUMMYFUNCTION("""COMPUTED_VALUE"""),1929.0)</f>
        <v>1929</v>
      </c>
      <c r="B1931" s="87" t="str">
        <f>IFERROR(__xludf.DUMMYFUNCTION("""COMPUTED_VALUE"""),"Nhãn thùng")</f>
        <v>Nhãn thùng</v>
      </c>
      <c r="C1931" s="87" t="str">
        <f>IFERROR(__xludf.DUMMYFUNCTION("""COMPUTED_VALUE"""),"NDT1420")</f>
        <v>NDT1420</v>
      </c>
      <c r="D1931" s="87" t="str">
        <f>IFERROR(__xludf.DUMMYFUNCTION("""COMPUTED_VALUE"""),"[Nhãn thùng] GC - II - 1420 - NANO FISH - Nano Soil (Nước nâu đen) - 5L - 4")</f>
        <v>[Nhãn thùng] GC - II - 1420 - NANO FISH - Nano Soil (Nước nâu đen) - 5L - 4</v>
      </c>
      <c r="E1931" s="87" t="str">
        <f>IFERROR(__xludf.DUMMYFUNCTION("""COMPUTED_VALUE"""),"Vi lượng Quantity New")</f>
        <v>Vi lượng Quantity New</v>
      </c>
      <c r="F1931" s="87" t="str">
        <f>IFERROR(__xludf.DUMMYFUNCTION("""COMPUTED_VALUE"""),"HH1420")</f>
        <v>HH1420</v>
      </c>
      <c r="G1931" s="87" t="str">
        <f>IFERROR(__xludf.DUMMYFUNCTION("""COMPUTED_VALUE"""),"GC - II - 1420 - NANO FISH - Nano Soil (Nước nâu đen) - 5L - 4")</f>
        <v>GC - II - 1420 - NANO FISH - Nano Soil (Nước nâu đen) - 5L - 4</v>
      </c>
    </row>
    <row r="1932">
      <c r="A1932" s="86">
        <f>IFERROR(__xludf.DUMMYFUNCTION("""COMPUTED_VALUE"""),1930.0)</f>
        <v>1930</v>
      </c>
      <c r="B1932" s="87" t="str">
        <f>IFERROR(__xludf.DUMMYFUNCTION("""COMPUTED_VALUE"""),"Nhãn")</f>
        <v>Nhãn</v>
      </c>
      <c r="C1932" s="87" t="str">
        <f>IFERROR(__xludf.DUMMYFUNCTION("""COMPUTED_VALUE"""),"NHG1421")</f>
        <v>NHG1421</v>
      </c>
      <c r="D1932" s="87" t="str">
        <f>IFERROR(__xludf.DUMMYFUNCTION("""COMPUTED_VALUE"""),"[Nhãn] GC - IV - 1421 - Sen Hồng - Bretil Super 300EC (Nước trắng sữa) - 240ml - 40")</f>
        <v>[Nhãn] GC - IV - 1421 - Sen Hồng - Bretil Super 300EC (Nước trắng sữa) - 240ml - 40</v>
      </c>
      <c r="E1932" s="87" t="str">
        <f>IFERROR(__xludf.DUMMYFUNCTION("""COMPUTED_VALUE"""),"BRETIL SUPER 300EC")</f>
        <v>BRETIL SUPER 300EC</v>
      </c>
      <c r="F1932" s="87" t="str">
        <f>IFERROR(__xludf.DUMMYFUNCTION("""COMPUTED_VALUE"""),"HH1421")</f>
        <v>HH1421</v>
      </c>
      <c r="G1932" s="87" t="str">
        <f>IFERROR(__xludf.DUMMYFUNCTION("""COMPUTED_VALUE"""),"GC - IV - 1421 - Sen Hồng - Bretil Super 300EC (Nước trắng sữa) - 240ml - 40")</f>
        <v>GC - IV - 1421 - Sen Hồng - Bretil Super 300EC (Nước trắng sữa) - 240ml - 40</v>
      </c>
    </row>
    <row r="1933">
      <c r="A1933" s="86">
        <f>IFERROR(__xludf.DUMMYFUNCTION("""COMPUTED_VALUE"""),1931.0)</f>
        <v>1931</v>
      </c>
      <c r="B1933" s="87" t="str">
        <f>IFERROR(__xludf.DUMMYFUNCTION("""COMPUTED_VALUE"""),"Nhãn")</f>
        <v>Nhãn</v>
      </c>
      <c r="C1933" s="87" t="str">
        <f>IFERROR(__xludf.DUMMYFUNCTION("""COMPUTED_VALUE"""),"NHG1422")</f>
        <v>NHG1422</v>
      </c>
      <c r="D1933" s="87" t="str">
        <f>IFERROR(__xludf.DUMMYFUNCTION("""COMPUTED_VALUE"""),"[Nhãn] GC - IV - 1422 - GNH - Flower (nước nâu đen) - 1L - 20")</f>
        <v>[Nhãn] GC - IV - 1422 - GNH - Flower (nước nâu đen) - 1L - 20</v>
      </c>
      <c r="E1933" s="87" t="str">
        <f>IFERROR(__xludf.DUMMYFUNCTION("""COMPUTED_VALUE"""),"Vi lượng Basel VA01")</f>
        <v>Vi lượng Basel VA01</v>
      </c>
      <c r="F1933" s="87" t="str">
        <f>IFERROR(__xludf.DUMMYFUNCTION("""COMPUTED_VALUE"""),"HH1422")</f>
        <v>HH1422</v>
      </c>
      <c r="G1933" s="87" t="str">
        <f>IFERROR(__xludf.DUMMYFUNCTION("""COMPUTED_VALUE"""),"GC - IV - 1422 - GNH - Flower (nước nâu đen) - 1L - 20")</f>
        <v>GC - IV - 1422 - GNH - Flower (nước nâu đen) - 1L - 20</v>
      </c>
    </row>
    <row r="1934">
      <c r="A1934" s="86">
        <f>IFERROR(__xludf.DUMMYFUNCTION("""COMPUTED_VALUE"""),1932.0)</f>
        <v>1932</v>
      </c>
      <c r="B1934" s="87" t="str">
        <f>IFERROR(__xludf.DUMMYFUNCTION("""COMPUTED_VALUE"""),"Nhãn")</f>
        <v>Nhãn</v>
      </c>
      <c r="C1934" s="87" t="str">
        <f>IFERROR(__xludf.DUMMYFUNCTION("""COMPUTED_VALUE"""),"NHG1423")</f>
        <v>NHG1423</v>
      </c>
      <c r="D1934" s="87" t="str">
        <f>IFERROR(__xludf.DUMMYFUNCTION("""COMPUTED_VALUE"""),"[Nhãn] GC - II - 1423 - NANO FISH - NANO BUD - 1L - 20")</f>
        <v>[Nhãn] GC - II - 1423 - NANO FISH - NANO BUD - 1L - 20</v>
      </c>
      <c r="E1934" s="87" t="str">
        <f>IFERROR(__xludf.DUMMYFUNCTION("""COMPUTED_VALUE"""),"Vi lượng Quantity New")</f>
        <v>Vi lượng Quantity New</v>
      </c>
      <c r="F1934" s="87" t="str">
        <f>IFERROR(__xludf.DUMMYFUNCTION("""COMPUTED_VALUE"""),"HH1423")</f>
        <v>HH1423</v>
      </c>
      <c r="G1934" s="87" t="str">
        <f>IFERROR(__xludf.DUMMYFUNCTION("""COMPUTED_VALUE"""),"GC - II - 1423 - NANO FISH - NANO BUD - 1L - 20")</f>
        <v>GC - II - 1423 - NANO FISH - NANO BUD - 1L - 20</v>
      </c>
    </row>
    <row r="1935">
      <c r="A1935" s="86">
        <f>IFERROR(__xludf.DUMMYFUNCTION("""COMPUTED_VALUE"""),1933.0)</f>
        <v>1933</v>
      </c>
      <c r="B1935" s="87" t="str">
        <f>IFERROR(__xludf.DUMMYFUNCTION("""COMPUTED_VALUE"""),"Nhãn")</f>
        <v>Nhãn</v>
      </c>
      <c r="C1935" s="87" t="str">
        <f>IFERROR(__xludf.DUMMYFUNCTION("""COMPUTED_VALUE"""),"NHG1424")</f>
        <v>NHG1424</v>
      </c>
      <c r="D1935" s="87" t="str">
        <f>IFERROR(__xludf.DUMMYFUNCTION("""COMPUTED_VALUE"""),"[Nhãn] GC - II - 1424 - NANO FISH - NANO GROW - 1L - 20")</f>
        <v>[Nhãn] GC - II - 1424 - NANO FISH - NANO GROW - 1L - 20</v>
      </c>
      <c r="E1935" s="87" t="str">
        <f>IFERROR(__xludf.DUMMYFUNCTION("""COMPUTED_VALUE"""),"Vi lượng Quantity New")</f>
        <v>Vi lượng Quantity New</v>
      </c>
      <c r="F1935" s="87" t="str">
        <f>IFERROR(__xludf.DUMMYFUNCTION("""COMPUTED_VALUE"""),"HH1424")</f>
        <v>HH1424</v>
      </c>
      <c r="G1935" s="87" t="str">
        <f>IFERROR(__xludf.DUMMYFUNCTION("""COMPUTED_VALUE"""),"GC - II - 1424 - NANO FISH - NANO GROW - 1L - 20")</f>
        <v>GC - II - 1424 - NANO FISH - NANO GROW - 1L - 20</v>
      </c>
    </row>
    <row r="1936">
      <c r="A1936" s="86">
        <f>IFERROR(__xludf.DUMMYFUNCTION("""COMPUTED_VALUE"""),1934.0)</f>
        <v>1934</v>
      </c>
      <c r="B1936" s="87" t="str">
        <f>IFERROR(__xludf.DUMMYFUNCTION("""COMPUTED_VALUE"""),"Nhãn")</f>
        <v>Nhãn</v>
      </c>
      <c r="C1936" s="87" t="str">
        <f>IFERROR(__xludf.DUMMYFUNCTION("""COMPUTED_VALUE"""),"NHG1429")</f>
        <v>NHG1429</v>
      </c>
      <c r="D1936" s="87" t="str">
        <f>IFERROR(__xludf.DUMMYFUNCTION("""COMPUTED_VALUE"""),"[Nhãn] LOT IDA Global - I - 1429 - ĐL Lê Trinh - IDA | Genol 1.2SL (nước đỏ) - 480ml - 40")</f>
        <v>[Nhãn] LOT IDA Global - I - 1429 - ĐL Lê Trinh - IDA | Genol 1.2SL (nước đỏ) - 480ml - 40</v>
      </c>
      <c r="E1936" s="87" t="str">
        <f>IFERROR(__xludf.DUMMYFUNCTION("""COMPUTED_VALUE"""),"GENOL 1.2SL")</f>
        <v>GENOL 1.2SL</v>
      </c>
      <c r="F1936" s="87" t="str">
        <f>IFERROR(__xludf.DUMMYFUNCTION("""COMPUTED_VALUE"""),"HH1429")</f>
        <v>HH1429</v>
      </c>
      <c r="G1936" s="87" t="str">
        <f>IFERROR(__xludf.DUMMYFUNCTION("""COMPUTED_VALUE"""),"LOT IDA Global - I - 1429 - ĐL Lê Trinh - IDA | Genol 1.2SL (nước đỏ) - 480ml - 40")</f>
        <v>LOT IDA Global - I - 1429 - ĐL Lê Trinh - IDA | Genol 1.2SL (nước đỏ) - 480ml - 40</v>
      </c>
    </row>
    <row r="1937">
      <c r="A1937" s="86">
        <f>IFERROR(__xludf.DUMMYFUNCTION("""COMPUTED_VALUE"""),1935.0)</f>
        <v>1935</v>
      </c>
      <c r="B1937" s="87" t="str">
        <f>IFERROR(__xludf.DUMMYFUNCTION("""COMPUTED_VALUE"""),"Nhãn")</f>
        <v>Nhãn</v>
      </c>
      <c r="C1937" s="87" t="str">
        <f>IFERROR(__xludf.DUMMYFUNCTION("""COMPUTED_VALUE"""),"NHG1430")</f>
        <v>NHG1430</v>
      </c>
      <c r="D1937" s="87" t="str">
        <f>IFERROR(__xludf.DUMMYFUNCTION("""COMPUTED_VALUE"""),"[Nhãn] IDA Global - I - 1430 - Tư Nguyên - Diệt Nhện đỏ (Nước đỏ) - 240ml - 60")</f>
        <v>[Nhãn] IDA Global - I - 1430 - Tư Nguyên - Diệt Nhện đỏ (Nước đỏ) - 240ml - 60</v>
      </c>
      <c r="E1937" s="87" t="str">
        <f>IFERROR(__xludf.DUMMYFUNCTION("""COMPUTED_VALUE"""),"Chitin 3.6EC")</f>
        <v>Chitin 3.6EC</v>
      </c>
      <c r="F1937" s="87" t="str">
        <f>IFERROR(__xludf.DUMMYFUNCTION("""COMPUTED_VALUE"""),"HH1430")</f>
        <v>HH1430</v>
      </c>
      <c r="G1937" s="87" t="str">
        <f>IFERROR(__xludf.DUMMYFUNCTION("""COMPUTED_VALUE"""),"IDA Global - I - 1430 - Tư Nguyên - Diệt Nhện đỏ (Nước đỏ) - 240ml - 60")</f>
        <v>IDA Global - I - 1430 - Tư Nguyên - Diệt Nhện đỏ (Nước đỏ) - 240ml - 60</v>
      </c>
    </row>
    <row r="1938">
      <c r="A1938" s="86">
        <f>IFERROR(__xludf.DUMMYFUNCTION("""COMPUTED_VALUE"""),1936.0)</f>
        <v>1936</v>
      </c>
      <c r="B1938" s="87" t="str">
        <f>IFERROR(__xludf.DUMMYFUNCTION("""COMPUTED_VALUE"""),"Nhãn")</f>
        <v>Nhãn</v>
      </c>
      <c r="C1938" s="87" t="str">
        <f>IFERROR(__xludf.DUMMYFUNCTION("""COMPUTED_VALUE"""),"NHG1431")</f>
        <v>NHG1431</v>
      </c>
      <c r="D1938" s="87" t="str">
        <f>IFERROR(__xludf.DUMMYFUNCTION("""COMPUTED_VALUE"""),"[Nhãn] LOT IDA Global - I - 1431 - Thanh Tùng - Abamectin 3.6 (Nước nâu đen) - 450ml - 40")</f>
        <v>[Nhãn] LOT IDA Global - I - 1431 - Thanh Tùng - Abamectin 3.6 (Nước nâu đen) - 450ml - 40</v>
      </c>
      <c r="E1938" s="87" t="str">
        <f>IFERROR(__xludf.DUMMYFUNCTION("""COMPUTED_VALUE"""),"HAIHAMEC 3.6EC")</f>
        <v>HAIHAMEC 3.6EC</v>
      </c>
      <c r="F1938" s="87" t="str">
        <f>IFERROR(__xludf.DUMMYFUNCTION("""COMPUTED_VALUE"""),"HH1431")</f>
        <v>HH1431</v>
      </c>
      <c r="G1938" s="87" t="str">
        <f>IFERROR(__xludf.DUMMYFUNCTION("""COMPUTED_VALUE"""),"LOT IDA Global - I - 1431 - Thanh Tùng - Abamectin 3.6 (Nước nâu đen) - 450ml - 40")</f>
        <v>LOT IDA Global - I - 1431 - Thanh Tùng - Abamectin 3.6 (Nước nâu đen) - 450ml - 40</v>
      </c>
    </row>
    <row r="1939">
      <c r="A1939" s="86">
        <f>IFERROR(__xludf.DUMMYFUNCTION("""COMPUTED_VALUE"""),1937.0)</f>
        <v>1937</v>
      </c>
      <c r="B1939" s="87" t="str">
        <f>IFERROR(__xludf.DUMMYFUNCTION("""COMPUTED_VALUE"""),"Nhãn")</f>
        <v>Nhãn</v>
      </c>
      <c r="C1939" s="87" t="str">
        <f>IFERROR(__xludf.DUMMYFUNCTION("""COMPUTED_VALUE"""),"NHD1433")</f>
        <v>NHD1433</v>
      </c>
      <c r="D1939" s="87" t="str">
        <f>IFERROR(__xludf.DUMMYFUNCTION("""COMPUTED_VALUE"""),"[Nhãn] GC - IV - 1433  - CTY Kim Vàng - Oc 39 (nước nâu đen) - 450ml - 40")</f>
        <v>[Nhãn] GC - IV - 1433  - CTY Kim Vàng - Oc 39 (nước nâu đen) - 450ml - 40</v>
      </c>
      <c r="E1939" s="87" t="str">
        <f>IFERROR(__xludf.DUMMYFUNCTION("""COMPUTED_VALUE"""),"HAIHAMEC 3.6EC")</f>
        <v>HAIHAMEC 3.6EC</v>
      </c>
      <c r="F1939" s="87" t="str">
        <f>IFERROR(__xludf.DUMMYFUNCTION("""COMPUTED_VALUE"""),"HH1433")</f>
        <v>HH1433</v>
      </c>
      <c r="G1939" s="87" t="str">
        <f>IFERROR(__xludf.DUMMYFUNCTION("""COMPUTED_VALUE"""),"GC - IV - 1433  - CTY Kim Vàng - Oc 39 (nước nâu đen) - 450ml - 40")</f>
        <v>GC - IV - 1433  - CTY Kim Vàng - Oc 39 (nước nâu đen) - 450ml - 40</v>
      </c>
    </row>
    <row r="1940">
      <c r="A1940" s="86">
        <f>IFERROR(__xludf.DUMMYFUNCTION("""COMPUTED_VALUE"""),1938.0)</f>
        <v>1938</v>
      </c>
      <c r="B1940" s="87" t="str">
        <f>IFERROR(__xludf.DUMMYFUNCTION("""COMPUTED_VALUE"""),"Nhãn")</f>
        <v>Nhãn</v>
      </c>
      <c r="C1940" s="87" t="str">
        <f>IFERROR(__xludf.DUMMYFUNCTION("""COMPUTED_VALUE"""),"NHG1434")</f>
        <v>NHG1434</v>
      </c>
      <c r="D1940" s="87" t="str">
        <f>IFERROR(__xludf.DUMMYFUNCTION("""COMPUTED_VALUE"""),"[Nhãn] GC - IV - 1434 - Ba Mùa - Mekongvil 5SC (Nước sữa trắng) - 1L - 20")</f>
        <v>[Nhãn] GC - IV - 1434 - Ba Mùa - Mekongvil 5SC (Nước sữa trắng) - 1L - 20</v>
      </c>
      <c r="E1940" s="87" t="str">
        <f>IFERROR(__xludf.DUMMYFUNCTION("""COMPUTED_VALUE"""),"Mekongvil 5SC")</f>
        <v>Mekongvil 5SC</v>
      </c>
      <c r="F1940" s="87" t="str">
        <f>IFERROR(__xludf.DUMMYFUNCTION("""COMPUTED_VALUE"""),"HH1434")</f>
        <v>HH1434</v>
      </c>
      <c r="G1940" s="87" t="str">
        <f>IFERROR(__xludf.DUMMYFUNCTION("""COMPUTED_VALUE"""),"GC - IV - 1434 - Ba Mùa - Mekongvil 5SC (Nước sữa trắng) - 1L - 20")</f>
        <v>GC - IV - 1434 - Ba Mùa - Mekongvil 5SC (Nước sữa trắng) - 1L - 20</v>
      </c>
    </row>
    <row r="1941">
      <c r="A1941" s="86">
        <f>IFERROR(__xludf.DUMMYFUNCTION("""COMPUTED_VALUE"""),1939.0)</f>
        <v>1939</v>
      </c>
      <c r="B1941" s="87" t="str">
        <f>IFERROR(__xludf.DUMMYFUNCTION("""COMPUTED_VALUE"""),"Nhãn")</f>
        <v>Nhãn</v>
      </c>
      <c r="C1941" s="87" t="str">
        <f>IFERROR(__xludf.DUMMYFUNCTION("""COMPUTED_VALUE"""),"NHG1435")</f>
        <v>NHG1435</v>
      </c>
      <c r="D1941" s="87" t="str">
        <f>IFERROR(__xludf.DUMMYFUNCTION("""COMPUTED_VALUE"""),"[Nhãn] GC - IV - 1435 - GC Luta - KamycinJapane 20SL - 450ml - 40")</f>
        <v>[Nhãn] GC - IV - 1435 - GC Luta - KamycinJapane 20SL - 450ml - 40</v>
      </c>
      <c r="E1941" s="87" t="str">
        <f>IFERROR(__xludf.DUMMYFUNCTION("""COMPUTED_VALUE"""),"Kamycinjapane 20SL")</f>
        <v>Kamycinjapane 20SL</v>
      </c>
      <c r="F1941" s="87" t="str">
        <f>IFERROR(__xludf.DUMMYFUNCTION("""COMPUTED_VALUE"""),"HH1435")</f>
        <v>HH1435</v>
      </c>
      <c r="G1941" s="87" t="str">
        <f>IFERROR(__xludf.DUMMYFUNCTION("""COMPUTED_VALUE"""),"GC - IV - 1435 - GC Luta - KamycinJapane 20SL - 450ml - 40")</f>
        <v>GC - IV - 1435 - GC Luta - KamycinJapane 20SL - 450ml - 40</v>
      </c>
    </row>
    <row r="1942">
      <c r="A1942" s="86">
        <f>IFERROR(__xludf.DUMMYFUNCTION("""COMPUTED_VALUE"""),1940.0)</f>
        <v>1940</v>
      </c>
      <c r="B1942" s="87" t="str">
        <f>IFERROR(__xludf.DUMMYFUNCTION("""COMPUTED_VALUE"""),"Nhãn")</f>
        <v>Nhãn</v>
      </c>
      <c r="C1942" s="87" t="str">
        <f>IFERROR(__xludf.DUMMYFUNCTION("""COMPUTED_VALUE"""),"NTN1436")</f>
        <v>NTN1436</v>
      </c>
      <c r="D1942" s="87" t="str">
        <f>IFERROR(__xludf.DUMMYFUNCTION("""COMPUTED_VALUE"""),"[Nhãn] GC - IV - 1436 - Sherdoba 55WG (Bột trắng ngà) - 20gr - 200")</f>
        <v>[Nhãn] GC - IV - 1436 - Sherdoba 55WG (Bột trắng ngà) - 20gr - 200</v>
      </c>
      <c r="E1942" s="87" t="str">
        <f>IFERROR(__xludf.DUMMYFUNCTION("""COMPUTED_VALUE"""),"Sherdoba 55WG")</f>
        <v>Sherdoba 55WG</v>
      </c>
      <c r="F1942" s="87" t="str">
        <f>IFERROR(__xludf.DUMMYFUNCTION("""COMPUTED_VALUE"""),"HH1436")</f>
        <v>HH1436</v>
      </c>
      <c r="G1942" s="87" t="str">
        <f>IFERROR(__xludf.DUMMYFUNCTION("""COMPUTED_VALUE"""),"GC - IV - 1436 - Sherdoba 55WG (Bột trắng ngà) - 20gr - 200")</f>
        <v>GC - IV - 1436 - Sherdoba 55WG (Bột trắng ngà) - 20gr - 200</v>
      </c>
    </row>
    <row r="1943">
      <c r="A1943" s="86">
        <f>IFERROR(__xludf.DUMMYFUNCTION("""COMPUTED_VALUE"""),1941.0)</f>
        <v>1941</v>
      </c>
      <c r="B1943" s="87" t="str">
        <f>IFERROR(__xludf.DUMMYFUNCTION("""COMPUTED_VALUE"""),"Nhãn")</f>
        <v>Nhãn</v>
      </c>
      <c r="C1943" s="87" t="str">
        <f>IFERROR(__xludf.DUMMYFUNCTION("""COMPUTED_VALUE"""),"NHD1438")</f>
        <v>NHD1438</v>
      </c>
      <c r="D1943" s="87" t="str">
        <f>IFERROR(__xludf.DUMMYFUNCTION("""COMPUTED_VALUE"""),"[Nhãn] GC - II - 1438 - Anh Dương - Trùm Chích Hút (nước tím) - 240ml - 40")</f>
        <v>[Nhãn] GC - II - 1438 - Anh Dương - Trùm Chích Hút (nước tím) - 240ml - 40</v>
      </c>
      <c r="E1943" s="87" t="str">
        <f>IFERROR(__xludf.DUMMYFUNCTION("""COMPUTED_VALUE"""),"Thipro 550EC")</f>
        <v>Thipro 550EC</v>
      </c>
      <c r="F1943" s="87" t="str">
        <f>IFERROR(__xludf.DUMMYFUNCTION("""COMPUTED_VALUE"""),"HH1438")</f>
        <v>HH1438</v>
      </c>
      <c r="G1943" s="87" t="str">
        <f>IFERROR(__xludf.DUMMYFUNCTION("""COMPUTED_VALUE"""),"GC - II - 1438 - Anh Dương - Trùm Chích Hút (nước tím) - 240ml - 40")</f>
        <v>GC - II - 1438 - Anh Dương - Trùm Chích Hút (nước tím) - 240ml - 40</v>
      </c>
    </row>
    <row r="1944">
      <c r="A1944" s="86">
        <f>IFERROR(__xludf.DUMMYFUNCTION("""COMPUTED_VALUE"""),1942.0)</f>
        <v>1942</v>
      </c>
      <c r="B1944" s="87" t="str">
        <f>IFERROR(__xludf.DUMMYFUNCTION("""COMPUTED_VALUE"""),"Nhãn")</f>
        <v>Nhãn</v>
      </c>
      <c r="C1944" s="87" t="str">
        <f>IFERROR(__xludf.DUMMYFUNCTION("""COMPUTED_VALUE"""),"NHG1439")</f>
        <v>NHG1439</v>
      </c>
      <c r="D1944" s="87" t="str">
        <f>IFERROR(__xludf.DUMMYFUNCTION("""COMPUTED_VALUE"""),"[Nhãn] LOT IDA Global - I - 1439 - Ba Con Cò - Anh Win (Nước trắng sữa) - 1l - 20")</f>
        <v>[Nhãn] LOT IDA Global - I - 1439 - Ba Con Cò - Anh Win (Nước trắng sữa) - 1l - 20</v>
      </c>
      <c r="E1944" s="87" t="str">
        <f>IFERROR(__xludf.DUMMYFUNCTION("""COMPUTED_VALUE"""),"Mekongvil 5SC")</f>
        <v>Mekongvil 5SC</v>
      </c>
      <c r="F1944" s="87" t="str">
        <f>IFERROR(__xludf.DUMMYFUNCTION("""COMPUTED_VALUE"""),"HH1439")</f>
        <v>HH1439</v>
      </c>
      <c r="G1944" s="87" t="str">
        <f>IFERROR(__xludf.DUMMYFUNCTION("""COMPUTED_VALUE"""),"LOT IDA Global - I - 1439 - Ba Con Cò - Anh Win (Nước trắng sữa) - 1l - 20")</f>
        <v>LOT IDA Global - I - 1439 - Ba Con Cò - Anh Win (Nước trắng sữa) - 1l - 20</v>
      </c>
    </row>
    <row r="1945">
      <c r="A1945" s="86">
        <f>IFERROR(__xludf.DUMMYFUNCTION("""COMPUTED_VALUE"""),1943.0)</f>
        <v>1943</v>
      </c>
      <c r="B1945" s="87" t="str">
        <f>IFERROR(__xludf.DUMMYFUNCTION("""COMPUTED_VALUE"""),"Nhãn")</f>
        <v>Nhãn</v>
      </c>
      <c r="C1945" s="87" t="str">
        <f>IFERROR(__xludf.DUMMYFUNCTION("""COMPUTED_VALUE"""),"NHG1440")</f>
        <v>NHG1440</v>
      </c>
      <c r="D1945" s="87" t="str">
        <f>IFERROR(__xludf.DUMMYFUNCTION("""COMPUTED_VALUE"""),"[Nhãn] LOT IDA Global - I - 1440 - Ba Con Cò - Sạch Lem Lép (Nước trắng sữa) - 1l - 20")</f>
        <v>[Nhãn] LOT IDA Global - I - 1440 - Ba Con Cò - Sạch Lem Lép (Nước trắng sữa) - 1l - 20</v>
      </c>
      <c r="E1945" s="87" t="str">
        <f>IFERROR(__xludf.DUMMYFUNCTION("""COMPUTED_VALUE"""),"Mekongvil 5SC")</f>
        <v>Mekongvil 5SC</v>
      </c>
      <c r="F1945" s="87" t="str">
        <f>IFERROR(__xludf.DUMMYFUNCTION("""COMPUTED_VALUE"""),"HH1440")</f>
        <v>HH1440</v>
      </c>
      <c r="G1945" s="87" t="str">
        <f>IFERROR(__xludf.DUMMYFUNCTION("""COMPUTED_VALUE"""),"LOT IDA Global - I - 1440 - Ba Con Cò - Sạch Lem Lép (Nước trắng sữa) - 1l - 20")</f>
        <v>LOT IDA Global - I - 1440 - Ba Con Cò - Sạch Lem Lép (Nước trắng sữa) - 1l - 20</v>
      </c>
    </row>
    <row r="1946">
      <c r="A1946" s="86">
        <f>IFERROR(__xludf.DUMMYFUNCTION("""COMPUTED_VALUE"""),1944.0)</f>
        <v>1944</v>
      </c>
      <c r="B1946" s="87" t="str">
        <f>IFERROR(__xludf.DUMMYFUNCTION("""COMPUTED_VALUE"""),"Nhãn")</f>
        <v>Nhãn</v>
      </c>
      <c r="C1946" s="87" t="str">
        <f>IFERROR(__xludf.DUMMYFUNCTION("""COMPUTED_VALUE"""),"NHG1441")</f>
        <v>NHG1441</v>
      </c>
      <c r="D1946" s="87" t="str">
        <f>IFERROR(__xludf.DUMMYFUNCTION("""COMPUTED_VALUE"""),"[Nhãn] IDA Global - I - 1441 - IDA Vil (Vàng) (HD xám)(nắp vàng)(nước vàng) - 1 Lít - 20")</f>
        <v>[Nhãn] IDA Global - I - 1441 - IDA Vil (Vàng) (HD xám)(nắp vàng)(nước vàng) - 1 Lít - 20</v>
      </c>
      <c r="E1946" s="87" t="str">
        <f>IFERROR(__xludf.DUMMYFUNCTION("""COMPUTED_VALUE"""),"Mekongvil 5SC")</f>
        <v>Mekongvil 5SC</v>
      </c>
      <c r="F1946" s="87" t="str">
        <f>IFERROR(__xludf.DUMMYFUNCTION("""COMPUTED_VALUE"""),"HH1441")</f>
        <v>HH1441</v>
      </c>
      <c r="G1946" s="87" t="str">
        <f>IFERROR(__xludf.DUMMYFUNCTION("""COMPUTED_VALUE"""),"IDA Global - I - 1441 - IDA Vil (Vàng) (HD xám)(nắp vàng)(nước vàng) - 1 Lít - 20")</f>
        <v>IDA Global - I - 1441 - IDA Vil (Vàng) (HD xám)(nắp vàng)(nước vàng) - 1 Lít - 20</v>
      </c>
    </row>
    <row r="1947">
      <c r="A1947" s="86">
        <f>IFERROR(__xludf.DUMMYFUNCTION("""COMPUTED_VALUE"""),1945.0)</f>
        <v>1945</v>
      </c>
      <c r="B1947" s="87" t="str">
        <f>IFERROR(__xludf.DUMMYFUNCTION("""COMPUTED_VALUE"""),"Nhãn")</f>
        <v>Nhãn</v>
      </c>
      <c r="C1947" s="87" t="str">
        <f>IFERROR(__xludf.DUMMYFUNCTION("""COMPUTED_VALUE"""),"NHG1442")</f>
        <v>NHG1442</v>
      </c>
      <c r="D1947" s="87" t="str">
        <f>IFERROR(__xludf.DUMMYFUNCTION("""COMPUTED_VALUE"""),"[Nhãn] GC - IV - 1442 - Sen Hồng - Thần Kê (Nước hồng)- 200ml - 40")</f>
        <v>[Nhãn] GC - IV - 1442 - Sen Hồng - Thần Kê (Nước hồng)- 200ml - 40</v>
      </c>
      <c r="E1947" s="87" t="str">
        <f>IFERROR(__xludf.DUMMYFUNCTION("""COMPUTED_VALUE"""),"NEW FUZE 200SC")</f>
        <v>NEW FUZE 200SC</v>
      </c>
      <c r="F1947" s="87" t="str">
        <f>IFERROR(__xludf.DUMMYFUNCTION("""COMPUTED_VALUE"""),"HH1442")</f>
        <v>HH1442</v>
      </c>
      <c r="G1947" s="87" t="str">
        <f>IFERROR(__xludf.DUMMYFUNCTION("""COMPUTED_VALUE"""),"GC - IV - 1442 - Sen Hồng - Thần Kê (Nước hồng)- 200ml - 40")</f>
        <v>GC - IV - 1442 - Sen Hồng - Thần Kê (Nước hồng)- 200ml - 40</v>
      </c>
    </row>
    <row r="1948">
      <c r="A1948" s="86">
        <f>IFERROR(__xludf.DUMMYFUNCTION("""COMPUTED_VALUE"""),1946.0)</f>
        <v>1946</v>
      </c>
      <c r="B1948" s="87" t="str">
        <f>IFERROR(__xludf.DUMMYFUNCTION("""COMPUTED_VALUE"""),"Nhãn")</f>
        <v>Nhãn</v>
      </c>
      <c r="C1948" s="87" t="str">
        <f>IFERROR(__xludf.DUMMYFUNCTION("""COMPUTED_VALUE"""),"NHG1443")</f>
        <v>NHG1443</v>
      </c>
      <c r="D1948" s="87" t="str">
        <f>IFERROR(__xludf.DUMMYFUNCTION("""COMPUTED_VALUE"""),"[Nhãn] GC - II - 1443 - Anh Dương - Mekongvil 5SC (Nước sữa trắng) - 1L - 20")</f>
        <v>[Nhãn] GC - II - 1443 - Anh Dương - Mekongvil 5SC (Nước sữa trắng) - 1L - 20</v>
      </c>
      <c r="E1948" s="87" t="str">
        <f>IFERROR(__xludf.DUMMYFUNCTION("""COMPUTED_VALUE"""),"Mekongvil 5SC")</f>
        <v>Mekongvil 5SC</v>
      </c>
      <c r="F1948" s="87" t="str">
        <f>IFERROR(__xludf.DUMMYFUNCTION("""COMPUTED_VALUE"""),"HH1443")</f>
        <v>HH1443</v>
      </c>
      <c r="G1948" s="87" t="str">
        <f>IFERROR(__xludf.DUMMYFUNCTION("""COMPUTED_VALUE"""),"GC - II - 1443 - Anh Dương - Mekongvil 5SC (Nước sữa trắng) - 1L - 20")</f>
        <v>GC - II - 1443 - Anh Dương - Mekongvil 5SC (Nước sữa trắng) - 1L - 20</v>
      </c>
    </row>
    <row r="1949">
      <c r="A1949" s="86">
        <f>IFERROR(__xludf.DUMMYFUNCTION("""COMPUTED_VALUE"""),1947.0)</f>
        <v>1947</v>
      </c>
      <c r="B1949" s="87" t="str">
        <f>IFERROR(__xludf.DUMMYFUNCTION("""COMPUTED_VALUE"""),"Nhãn")</f>
        <v>Nhãn</v>
      </c>
      <c r="C1949" s="87" t="str">
        <f>IFERROR(__xludf.DUMMYFUNCTION("""COMPUTED_VALUE"""),"NTN1444")</f>
        <v>NTN1444</v>
      </c>
      <c r="D1949" s="87" t="str">
        <f>IFERROR(__xludf.DUMMYFUNCTION("""COMPUTED_VALUE"""),"[Nhãn] NB - K - 1444 - Nông Dược Thụy Sĩ- Tricy 750 (Bột cam) - 100gr - 100")</f>
        <v>[Nhãn] NB - K - 1444 - Nông Dược Thụy Sĩ- Tricy 750 (Bột cam) - 100gr - 100</v>
      </c>
      <c r="E1949" s="87" t="str">
        <f>IFERROR(__xludf.DUMMYFUNCTION("""COMPUTED_VALUE"""),"Pim.Pim 75WP")</f>
        <v>Pim.Pim 75WP</v>
      </c>
      <c r="F1949" s="87" t="str">
        <f>IFERROR(__xludf.DUMMYFUNCTION("""COMPUTED_VALUE"""),"HH1444")</f>
        <v>HH1444</v>
      </c>
      <c r="G1949" s="87" t="str">
        <f>IFERROR(__xludf.DUMMYFUNCTION("""COMPUTED_VALUE"""),"NB - K - 1444 - Nông Dược Thụy Sĩ- Tricy 750 (Bột cam) - 100gr - 100")</f>
        <v>NB - K - 1444 - Nông Dược Thụy Sĩ- Tricy 750 (Bột cam) - 100gr - 100</v>
      </c>
    </row>
    <row r="1950">
      <c r="A1950" s="86">
        <f>IFERROR(__xludf.DUMMYFUNCTION("""COMPUTED_VALUE"""),1948.0)</f>
        <v>1948</v>
      </c>
      <c r="B1950" s="87" t="str">
        <f>IFERROR(__xludf.DUMMYFUNCTION("""COMPUTED_VALUE"""),"Nhãn")</f>
        <v>Nhãn</v>
      </c>
      <c r="C1950" s="87" t="str">
        <f>IFERROR(__xludf.DUMMYFUNCTION("""COMPUTED_VALUE"""),"NTN1445")</f>
        <v>NTN1445</v>
      </c>
      <c r="D1950" s="87" t="str">
        <f>IFERROR(__xludf.DUMMYFUNCTION("""COMPUTED_VALUE"""),"[Nhãn] NB - K - 1445 - Nông Dược Thụy Sĩ- Đạo Ôn 750 (Bột cam) - 100gr - 100")</f>
        <v>[Nhãn] NB - K - 1445 - Nông Dược Thụy Sĩ- Đạo Ôn 750 (Bột cam) - 100gr - 100</v>
      </c>
      <c r="E1950" s="87" t="str">
        <f>IFERROR(__xludf.DUMMYFUNCTION("""COMPUTED_VALUE"""),"Pim.Pim 75WP")</f>
        <v>Pim.Pim 75WP</v>
      </c>
      <c r="F1950" s="87" t="str">
        <f>IFERROR(__xludf.DUMMYFUNCTION("""COMPUTED_VALUE"""),"HH1445")</f>
        <v>HH1445</v>
      </c>
      <c r="G1950" s="87" t="str">
        <f>IFERROR(__xludf.DUMMYFUNCTION("""COMPUTED_VALUE"""),"NB - K - 1445 - Nông Dược Thụy Sĩ- Đạo Ôn 750 (Bột cam) - 100gr - 100")</f>
        <v>NB - K - 1445 - Nông Dược Thụy Sĩ- Đạo Ôn 750 (Bột cam) - 100gr - 100</v>
      </c>
    </row>
    <row r="1951">
      <c r="A1951" s="86">
        <f>IFERROR(__xludf.DUMMYFUNCTION("""COMPUTED_VALUE"""),1949.0)</f>
        <v>1949</v>
      </c>
      <c r="B1951" s="87" t="str">
        <f>IFERROR(__xludf.DUMMYFUNCTION("""COMPUTED_VALUE"""),"Nhãn")</f>
        <v>Nhãn</v>
      </c>
      <c r="C1951" s="87" t="str">
        <f>IFERROR(__xludf.DUMMYFUNCTION("""COMPUTED_VALUE"""),"NHG1447")</f>
        <v>NHG1447</v>
      </c>
      <c r="D1951" s="87" t="str">
        <f>IFERROR(__xludf.DUMMYFUNCTION("""COMPUTED_VALUE"""),"[Nhãn] GC - II - 1447 - AGC - CSSX An Khang (A.Dinh) - T-AK01 (gel nâu đen) - 500ml - 40")</f>
        <v>[Nhãn] GC - II - 1447 - AGC - CSSX An Khang (A.Dinh) - T-AK01 (gel nâu đen) - 500ml - 40</v>
      </c>
      <c r="E1951" s="87" t="str">
        <f>IFERROR(__xludf.DUMMYFUNCTION("""COMPUTED_VALUE"""),"Vi lượng AV-CFC
(Dạng lỏng)")</f>
        <v>Vi lượng AV-CFC
(Dạng lỏng)</v>
      </c>
      <c r="F1951" s="87" t="str">
        <f>IFERROR(__xludf.DUMMYFUNCTION("""COMPUTED_VALUE"""),"HH1447")</f>
        <v>HH1447</v>
      </c>
      <c r="G1951" s="87" t="str">
        <f>IFERROR(__xludf.DUMMYFUNCTION("""COMPUTED_VALUE"""),"GC - II - 1447 - AGC - CSSX An Khang (A.Dinh) - T-AK01 (gel nâu đen) - 500ml - 40")</f>
        <v>GC - II - 1447 - AGC - CSSX An Khang (A.Dinh) - T-AK01 (gel nâu đen) - 500ml - 40</v>
      </c>
    </row>
    <row r="1952">
      <c r="A1952" s="86">
        <f>IFERROR(__xludf.DUMMYFUNCTION("""COMPUTED_VALUE"""),1950.0)</f>
        <v>1950</v>
      </c>
      <c r="B1952" s="87" t="str">
        <f>IFERROR(__xludf.DUMMYFUNCTION("""COMPUTED_VALUE"""),"Nhãn")</f>
        <v>Nhãn</v>
      </c>
      <c r="C1952" s="87" t="str">
        <f>IFERROR(__xludf.DUMMYFUNCTION("""COMPUTED_VALUE"""),"NTN1449")</f>
        <v>NTN1449</v>
      </c>
      <c r="D1952" s="87" t="str">
        <f>IFERROR(__xludf.DUMMYFUNCTION("""COMPUTED_VALUE"""),"[Nhãn]  GC - IV - 1449 - Agriplant - Knock Out Rầy (bột trắng)(túi nhôm) - 100gr - 150")</f>
        <v>[Nhãn]  GC - IV - 1449 - Agriplant - Knock Out Rầy (bột trắng)(túi nhôm) - 100gr - 150</v>
      </c>
      <c r="E1952" s="87" t="str">
        <f>IFERROR(__xludf.DUMMYFUNCTION("""COMPUTED_VALUE"""),"IMIPRID 10WP")</f>
        <v>IMIPRID 10WP</v>
      </c>
      <c r="F1952" s="87" t="str">
        <f>IFERROR(__xludf.DUMMYFUNCTION("""COMPUTED_VALUE"""),"HH1449")</f>
        <v>HH1449</v>
      </c>
      <c r="G1952" s="87" t="str">
        <f>IFERROR(__xludf.DUMMYFUNCTION("""COMPUTED_VALUE"""),"GC - IV - 1449 - Agriplant - Knock Out Rầy (bột trắng)(túi nhôm) - 100gr - 150")</f>
        <v>GC - IV - 1449 - Agriplant - Knock Out Rầy (bột trắng)(túi nhôm) - 100gr - 150</v>
      </c>
    </row>
    <row r="1953">
      <c r="A1953" s="86">
        <f>IFERROR(__xludf.DUMMYFUNCTION("""COMPUTED_VALUE"""),1951.0)</f>
        <v>1951</v>
      </c>
      <c r="B1953" s="87" t="str">
        <f>IFERROR(__xludf.DUMMYFUNCTION("""COMPUTED_VALUE"""),"Nhãn thùng")</f>
        <v>Nhãn thùng</v>
      </c>
      <c r="C1953" s="87" t="str">
        <f>IFERROR(__xludf.DUMMYFUNCTION("""COMPUTED_VALUE"""),"NDT1449")</f>
        <v>NDT1449</v>
      </c>
      <c r="D1953" s="87" t="str">
        <f>IFERROR(__xludf.DUMMYFUNCTION("""COMPUTED_VALUE"""),"[Nhãn thùng]  GC - IV - 1449 - Agriplant - Knock Out Rầy (bột trắng)(túi nhôm) - 100gr - 150")</f>
        <v>[Nhãn thùng]  GC - IV - 1449 - Agriplant - Knock Out Rầy (bột trắng)(túi nhôm) - 100gr - 150</v>
      </c>
      <c r="E1953" s="87" t="str">
        <f>IFERROR(__xludf.DUMMYFUNCTION("""COMPUTED_VALUE"""),"IMIPRID 10WP")</f>
        <v>IMIPRID 10WP</v>
      </c>
      <c r="F1953" s="87" t="str">
        <f>IFERROR(__xludf.DUMMYFUNCTION("""COMPUTED_VALUE"""),"HH1449")</f>
        <v>HH1449</v>
      </c>
      <c r="G1953" s="87" t="str">
        <f>IFERROR(__xludf.DUMMYFUNCTION("""COMPUTED_VALUE"""),"GC - IV - 1449 - Agriplant - Knock Out Rầy (bột trắng)(túi nhôm) - 100gr - 150")</f>
        <v>GC - IV - 1449 - Agriplant - Knock Out Rầy (bột trắng)(túi nhôm) - 100gr - 150</v>
      </c>
    </row>
    <row r="1954">
      <c r="A1954" s="86">
        <f>IFERROR(__xludf.DUMMYFUNCTION("""COMPUTED_VALUE"""),1952.0)</f>
        <v>1952</v>
      </c>
      <c r="B1954" s="87" t="str">
        <f>IFERROR(__xludf.DUMMYFUNCTION("""COMPUTED_VALUE"""),"Nhãn")</f>
        <v>Nhãn</v>
      </c>
      <c r="C1954" s="87" t="str">
        <f>IFERROR(__xludf.DUMMYFUNCTION("""COMPUTED_VALUE"""),"NHD1450")</f>
        <v>NHD1450</v>
      </c>
      <c r="D1954" s="87" t="str">
        <f>IFERROR(__xludf.DUMMYFUNCTION("""COMPUTED_VALUE"""),"[Nhãn] LOT IDA Global - I - 1450 - Hoàng Em - Abamectin 3.6 (Nước nâu đen) - 450ml - 40")</f>
        <v>[Nhãn] LOT IDA Global - I - 1450 - Hoàng Em - Abamectin 3.6 (Nước nâu đen) - 450ml - 40</v>
      </c>
      <c r="E1954" s="87" t="str">
        <f>IFERROR(__xludf.DUMMYFUNCTION("""COMPUTED_VALUE"""),"HAIHAMEC 3.6EC")</f>
        <v>HAIHAMEC 3.6EC</v>
      </c>
      <c r="F1954" s="87" t="str">
        <f>IFERROR(__xludf.DUMMYFUNCTION("""COMPUTED_VALUE"""),"HH1450")</f>
        <v>HH1450</v>
      </c>
      <c r="G1954" s="87" t="str">
        <f>IFERROR(__xludf.DUMMYFUNCTION("""COMPUTED_VALUE"""),"LOT IDA Global - I - 1450 - Hoàng Em - Abamectin 3.6 (Nước nâu đen) - 450ml - 40")</f>
        <v>LOT IDA Global - I - 1450 - Hoàng Em - Abamectin 3.6 (Nước nâu đen) - 450ml - 40</v>
      </c>
    </row>
    <row r="1955">
      <c r="A1955" s="86">
        <f>IFERROR(__xludf.DUMMYFUNCTION("""COMPUTED_VALUE"""),1953.0)</f>
        <v>1953</v>
      </c>
      <c r="B1955" s="87" t="str">
        <f>IFERROR(__xludf.DUMMYFUNCTION("""COMPUTED_VALUE"""),"Nhãn")</f>
        <v>Nhãn</v>
      </c>
      <c r="C1955" s="87" t="str">
        <f>IFERROR(__xludf.DUMMYFUNCTION("""COMPUTED_VALUE"""),"NHG1452")</f>
        <v>NHG1452</v>
      </c>
      <c r="D1955" s="87" t="str">
        <f>IFERROR(__xludf.DUMMYFUNCTION("""COMPUTED_VALUE"""),"[Nhãn] NB - K - 1452 - BMI - PERFECT EXTRA (Chai trắng, Nhãn trắng) (Nước hồng) - 600ml - 40")</f>
        <v>[Nhãn] NB - K - 1452 - BMI - PERFECT EXTRA (Chai trắng, Nhãn trắng) (Nước hồng) - 600ml - 40</v>
      </c>
      <c r="E1955" s="87" t="str">
        <f>IFERROR(__xludf.DUMMYFUNCTION("""COMPUTED_VALUE"""),"Mekongvil 5SC")</f>
        <v>Mekongvil 5SC</v>
      </c>
      <c r="F1955" s="87" t="str">
        <f>IFERROR(__xludf.DUMMYFUNCTION("""COMPUTED_VALUE"""),"HH1452")</f>
        <v>HH1452</v>
      </c>
      <c r="G1955" s="87" t="str">
        <f>IFERROR(__xludf.DUMMYFUNCTION("""COMPUTED_VALUE"""),"NB - K - 1452 - BMI - PERFECT EXTRA (Chai trắng, Nhãn trắng) (Nước hồng) - 600ml - 40")</f>
        <v>NB - K - 1452 - BMI - PERFECT EXTRA (Chai trắng, Nhãn trắng) (Nước hồng) - 600ml - 40</v>
      </c>
    </row>
    <row r="1956">
      <c r="A1956" s="86">
        <f>IFERROR(__xludf.DUMMYFUNCTION("""COMPUTED_VALUE"""),1954.0)</f>
        <v>1954</v>
      </c>
      <c r="B1956" s="87" t="str">
        <f>IFERROR(__xludf.DUMMYFUNCTION("""COMPUTED_VALUE"""),"Nhãn")</f>
        <v>Nhãn</v>
      </c>
      <c r="C1956" s="87" t="str">
        <f>IFERROR(__xludf.DUMMYFUNCTION("""COMPUTED_VALUE"""),"NHG1453")</f>
        <v>NHG1453</v>
      </c>
      <c r="D1956" s="87" t="str">
        <f>IFERROR(__xludf.DUMMYFUNCTION("""COMPUTED_VALUE"""),"[Nhãn] GC - IV - 1453 - Sen Hồng - Đạo ôn và nấm khuẩn (nước đỏ) - 450ml - 40")</f>
        <v>[Nhãn] GC - IV - 1453 - Sen Hồng - Đạo ôn và nấm khuẩn (nước đỏ) - 450ml - 40</v>
      </c>
      <c r="E1956" s="87" t="str">
        <f>IFERROR(__xludf.DUMMYFUNCTION("""COMPUTED_VALUE"""),"GENOL 1.2SL")</f>
        <v>GENOL 1.2SL</v>
      </c>
      <c r="F1956" s="87" t="str">
        <f>IFERROR(__xludf.DUMMYFUNCTION("""COMPUTED_VALUE"""),"HH1453")</f>
        <v>HH1453</v>
      </c>
      <c r="G1956" s="87" t="str">
        <f>IFERROR(__xludf.DUMMYFUNCTION("""COMPUTED_VALUE"""),"GC - IV - 1453 - Sen Hồng - Đạo ôn và nấm khuẩn (nước đỏ) - 450ml - 40")</f>
        <v>GC - IV - 1453 - Sen Hồng - Đạo ôn và nấm khuẩn (nước đỏ) - 450ml - 40</v>
      </c>
    </row>
    <row r="1957">
      <c r="A1957" s="86">
        <f>IFERROR(__xludf.DUMMYFUNCTION("""COMPUTED_VALUE"""),1955.0)</f>
        <v>1955</v>
      </c>
      <c r="B1957" s="87" t="str">
        <f>IFERROR(__xludf.DUMMYFUNCTION("""COMPUTED_VALUE"""),"Nhãn")</f>
        <v>Nhãn</v>
      </c>
      <c r="C1957" s="87" t="str">
        <f>IFERROR(__xludf.DUMMYFUNCTION("""COMPUTED_VALUE"""),"NTN1454")</f>
        <v>NTN1454</v>
      </c>
      <c r="D1957" s="87" t="str">
        <f>IFERROR(__xludf.DUMMYFUNCTION("""COMPUTED_VALUE"""),"[Nhãn] GC - IV - 1454 - Khả Lâm - Imiida Thái (bột màu trắng) - 100gr - 150")</f>
        <v>[Nhãn] GC - IV - 1454 - Khả Lâm - Imiida Thái (bột màu trắng) - 100gr - 150</v>
      </c>
      <c r="E1957" s="87" t="str">
        <f>IFERROR(__xludf.DUMMYFUNCTION("""COMPUTED_VALUE"""),"IMIPRID 10WP")</f>
        <v>IMIPRID 10WP</v>
      </c>
      <c r="F1957" s="87" t="str">
        <f>IFERROR(__xludf.DUMMYFUNCTION("""COMPUTED_VALUE"""),"HH1454")</f>
        <v>HH1454</v>
      </c>
      <c r="G1957" s="87" t="str">
        <f>IFERROR(__xludf.DUMMYFUNCTION("""COMPUTED_VALUE"""),"GC - IV - 1454 - Khả Lâm - Imiida Thái (bột màu trắng) - 100gr - 150")</f>
        <v>GC - IV - 1454 - Khả Lâm - Imiida Thái (bột màu trắng) - 100gr - 150</v>
      </c>
    </row>
    <row r="1958">
      <c r="A1958" s="86">
        <f>IFERROR(__xludf.DUMMYFUNCTION("""COMPUTED_VALUE"""),1956.0)</f>
        <v>1956</v>
      </c>
      <c r="B1958" s="87" t="str">
        <f>IFERROR(__xludf.DUMMYFUNCTION("""COMPUTED_VALUE"""),"Nhãn")</f>
        <v>Nhãn</v>
      </c>
      <c r="C1958" s="87" t="str">
        <f>IFERROR(__xludf.DUMMYFUNCTION("""COMPUTED_VALUE"""),"NTN1455")</f>
        <v>NTN1455</v>
      </c>
      <c r="D1958" s="87" t="str">
        <f>IFERROR(__xludf.DUMMYFUNCTION("""COMPUTED_VALUE"""),"[Nhãn] IDA Global - I - 1455 - Metalaxyl (drone) - 100gr - 100")</f>
        <v>[Nhãn] IDA Global - I - 1455 - Metalaxyl (drone) - 100gr - 100</v>
      </c>
      <c r="E1958" s="87" t="str">
        <f>IFERROR(__xludf.DUMMYFUNCTION("""COMPUTED_VALUE"""),"Acodyl 35WP")</f>
        <v>Acodyl 35WP</v>
      </c>
      <c r="F1958" s="87" t="str">
        <f>IFERROR(__xludf.DUMMYFUNCTION("""COMPUTED_VALUE"""),"HH1455")</f>
        <v>HH1455</v>
      </c>
      <c r="G1958" s="87" t="str">
        <f>IFERROR(__xludf.DUMMYFUNCTION("""COMPUTED_VALUE"""),"IDA Global - I - 1455 - Metalaxyl (drone) - 100gr - 100")</f>
        <v>IDA Global - I - 1455 - Metalaxyl (drone) - 100gr - 100</v>
      </c>
    </row>
    <row r="1959">
      <c r="A1959" s="86">
        <f>IFERROR(__xludf.DUMMYFUNCTION("""COMPUTED_VALUE"""),1957.0)</f>
        <v>1957</v>
      </c>
      <c r="B1959" s="87" t="str">
        <f>IFERROR(__xludf.DUMMYFUNCTION("""COMPUTED_VALUE"""),"Nhãn thùng")</f>
        <v>Nhãn thùng</v>
      </c>
      <c r="C1959" s="87" t="str">
        <f>IFERROR(__xludf.DUMMYFUNCTION("""COMPUTED_VALUE"""),"NDT1455")</f>
        <v>NDT1455</v>
      </c>
      <c r="D1959" s="87" t="str">
        <f>IFERROR(__xludf.DUMMYFUNCTION("""COMPUTED_VALUE"""),"[Nhãn thùng] IDA Global - I - 1455 - Metalaxyl (drone) - 100gr - 100")</f>
        <v>[Nhãn thùng] IDA Global - I - 1455 - Metalaxyl (drone) - 100gr - 100</v>
      </c>
      <c r="E1959" s="87" t="str">
        <f>IFERROR(__xludf.DUMMYFUNCTION("""COMPUTED_VALUE"""),"Acodyl 35WP")</f>
        <v>Acodyl 35WP</v>
      </c>
      <c r="F1959" s="87" t="str">
        <f>IFERROR(__xludf.DUMMYFUNCTION("""COMPUTED_VALUE"""),"HH1455")</f>
        <v>HH1455</v>
      </c>
      <c r="G1959" s="87" t="str">
        <f>IFERROR(__xludf.DUMMYFUNCTION("""COMPUTED_VALUE"""),"IDA Global - I - 1455 - Metalaxyl (drone) - 100gr - 100")</f>
        <v>IDA Global - I - 1455 - Metalaxyl (drone) - 100gr - 100</v>
      </c>
    </row>
    <row r="1960">
      <c r="A1960" s="86">
        <f>IFERROR(__xludf.DUMMYFUNCTION("""COMPUTED_VALUE"""),1958.0)</f>
        <v>1958</v>
      </c>
      <c r="B1960" s="87" t="str">
        <f>IFERROR(__xludf.DUMMYFUNCTION("""COMPUTED_VALUE"""),"Nhãn")</f>
        <v>Nhãn</v>
      </c>
      <c r="C1960" s="87" t="str">
        <f>IFERROR(__xludf.DUMMYFUNCTION("""COMPUTED_VALUE"""),"NHD1456")</f>
        <v>NHD1456</v>
      </c>
      <c r="D1960" s="87" t="str">
        <f>IFERROR(__xludf.DUMMYFUNCTION("""COMPUTED_VALUE"""),"[Nhãn] GC - II - 1456 - AN KHANG - Haihamec 3.6EC (nước nâu đen) - 450ml - 40")</f>
        <v>[Nhãn] GC - II - 1456 - AN KHANG - Haihamec 3.6EC (nước nâu đen) - 450ml - 40</v>
      </c>
      <c r="E1960" s="87" t="str">
        <f>IFERROR(__xludf.DUMMYFUNCTION("""COMPUTED_VALUE"""),"HAIHAMEC 3.6EC")</f>
        <v>HAIHAMEC 3.6EC</v>
      </c>
      <c r="F1960" s="87" t="str">
        <f>IFERROR(__xludf.DUMMYFUNCTION("""COMPUTED_VALUE"""),"HH1456")</f>
        <v>HH1456</v>
      </c>
      <c r="G1960" s="87" t="str">
        <f>IFERROR(__xludf.DUMMYFUNCTION("""COMPUTED_VALUE"""),"GC - II - 1456 - AN KHANG - Haihamec 3.6EC (nước nâu đen) - 450ml - 40")</f>
        <v>GC - II - 1456 - AN KHANG - Haihamec 3.6EC (nước nâu đen) - 450ml - 40</v>
      </c>
    </row>
    <row r="1961">
      <c r="A1961" s="86">
        <f>IFERROR(__xludf.DUMMYFUNCTION("""COMPUTED_VALUE"""),1959.0)</f>
        <v>1959</v>
      </c>
      <c r="B1961" s="87" t="str">
        <f>IFERROR(__xludf.DUMMYFUNCTION("""COMPUTED_VALUE"""),"Nhãn")</f>
        <v>Nhãn</v>
      </c>
      <c r="C1961" s="87" t="str">
        <f>IFERROR(__xludf.DUMMYFUNCTION("""COMPUTED_VALUE"""),"NTN1457")</f>
        <v>NTN1457</v>
      </c>
      <c r="D1961" s="87" t="str">
        <f>IFERROR(__xludf.DUMMYFUNCTION("""COMPUTED_VALUE"""),"[Nhãn] GC - II - 1457 - An Khang - Thalonil 75WP (túi nhôm)(bột màu trắng)- 100gr -100")</f>
        <v>[Nhãn] GC - II - 1457 - An Khang - Thalonil 75WP (túi nhôm)(bột màu trắng)- 100gr -100</v>
      </c>
      <c r="E1961" s="87" t="str">
        <f>IFERROR(__xludf.DUMMYFUNCTION("""COMPUTED_VALUE"""),"THALONIL 75WP")</f>
        <v>THALONIL 75WP</v>
      </c>
      <c r="F1961" s="87" t="str">
        <f>IFERROR(__xludf.DUMMYFUNCTION("""COMPUTED_VALUE"""),"HH1457")</f>
        <v>HH1457</v>
      </c>
      <c r="G1961" s="87" t="str">
        <f>IFERROR(__xludf.DUMMYFUNCTION("""COMPUTED_VALUE"""),"GC - II - 1457 - An Khang - Thalonil 75WP (túi nhôm)(bột màu trắng)- 100gr -100")</f>
        <v>GC - II - 1457 - An Khang - Thalonil 75WP (túi nhôm)(bột màu trắng)- 100gr -100</v>
      </c>
    </row>
    <row r="1962">
      <c r="A1962" s="86">
        <f>IFERROR(__xludf.DUMMYFUNCTION("""COMPUTED_VALUE"""),1960.0)</f>
        <v>1960</v>
      </c>
      <c r="B1962" s="87" t="str">
        <f>IFERROR(__xludf.DUMMYFUNCTION("""COMPUTED_VALUE"""),"[Nhãn]")</f>
        <v>[Nhãn]</v>
      </c>
      <c r="C1962" s="87" t="str">
        <f>IFERROR(__xludf.DUMMYFUNCTION("""COMPUTED_VALUE"""),"NHG1457")</f>
        <v>NHG1457</v>
      </c>
      <c r="D1962" s="87" t="str">
        <f>IFERROR(__xludf.DUMMYFUNCTION("""COMPUTED_VALUE"""),"[Nhãn] GC - II - 1457 - An Khang - Thalonil 75WP (túi nhôm)(bột màu trắng)- 100gr -100")</f>
        <v>[Nhãn] GC - II - 1457 - An Khang - Thalonil 75WP (túi nhôm)(bột màu trắng)- 100gr -100</v>
      </c>
      <c r="E1962" s="87" t="str">
        <f>IFERROR(__xludf.DUMMYFUNCTION("""COMPUTED_VALUE"""),"THALONIL 75WP")</f>
        <v>THALONIL 75WP</v>
      </c>
      <c r="F1962" s="87" t="str">
        <f>IFERROR(__xludf.DUMMYFUNCTION("""COMPUTED_VALUE"""),"HH1457")</f>
        <v>HH1457</v>
      </c>
      <c r="G1962" s="87" t="str">
        <f>IFERROR(__xludf.DUMMYFUNCTION("""COMPUTED_VALUE"""),"GC - II - 1457 - An Khang - Thalonil 75WP (túi nhôm)(bột màu trắng)- 100gr -100")</f>
        <v>GC - II - 1457 - An Khang - Thalonil 75WP (túi nhôm)(bột màu trắng)- 100gr -100</v>
      </c>
    </row>
    <row r="1963">
      <c r="A1963" s="86">
        <f>IFERROR(__xludf.DUMMYFUNCTION("""COMPUTED_VALUE"""),1961.0)</f>
        <v>1961</v>
      </c>
      <c r="B1963" s="87" t="str">
        <f>IFERROR(__xludf.DUMMYFUNCTION("""COMPUTED_VALUE"""),"Nhãn")</f>
        <v>Nhãn</v>
      </c>
      <c r="C1963" s="87" t="str">
        <f>IFERROR(__xludf.DUMMYFUNCTION("""COMPUTED_VALUE"""),"NHG1458")</f>
        <v>NHG1458</v>
      </c>
      <c r="D1963" s="87" t="str">
        <f>IFERROR(__xludf.DUMMYFUNCTION("""COMPUTED_VALUE"""),"[Nhãn] IDA Global - I - 1458 - Nhện đỏ (Nước đỏ) - 240ml - 60")</f>
        <v>[Nhãn] IDA Global - I - 1458 - Nhện đỏ (Nước đỏ) - 240ml - 60</v>
      </c>
      <c r="E1963" s="87" t="str">
        <f>IFERROR(__xludf.DUMMYFUNCTION("""COMPUTED_VALUE"""),"Chitin 3.6EC")</f>
        <v>Chitin 3.6EC</v>
      </c>
      <c r="F1963" s="87" t="str">
        <f>IFERROR(__xludf.DUMMYFUNCTION("""COMPUTED_VALUE"""),"HH1458")</f>
        <v>HH1458</v>
      </c>
      <c r="G1963" s="87" t="str">
        <f>IFERROR(__xludf.DUMMYFUNCTION("""COMPUTED_VALUE"""),"IDA Global - I - 1458 - Nhện đỏ (Nước đỏ) - 240ml - 60")</f>
        <v>IDA Global - I - 1458 - Nhện đỏ (Nước đỏ) - 240ml - 60</v>
      </c>
    </row>
    <row r="1964">
      <c r="A1964" s="86">
        <f>IFERROR(__xludf.DUMMYFUNCTION("""COMPUTED_VALUE"""),1962.0)</f>
        <v>1962</v>
      </c>
      <c r="B1964" s="87" t="str">
        <f>IFERROR(__xludf.DUMMYFUNCTION("""COMPUTED_VALUE"""),"Nhãn")</f>
        <v>Nhãn</v>
      </c>
      <c r="C1964" s="87" t="str">
        <f>IFERROR(__xludf.DUMMYFUNCTION("""COMPUTED_VALUE"""),"NTN1459")</f>
        <v>NTN1459</v>
      </c>
      <c r="D1964" s="87" t="str">
        <f>IFERROR(__xludf.DUMMYFUNCTION("""COMPUTED_VALUE"""),"[Nhãn] GC - IV - 1459 - Sen Hồng - Manco Green (túi nhôm)(bột xanh) - 1kg - 20")</f>
        <v>[Nhãn] GC - IV - 1459 - Sen Hồng - Manco Green (túi nhôm)(bột xanh) - 1kg - 20</v>
      </c>
      <c r="E1964" s="87" t="str">
        <f>IFERROR(__xludf.DUMMYFUNCTION("""COMPUTED_VALUE"""),"BYPHAN 800WP")</f>
        <v>BYPHAN 800WP</v>
      </c>
      <c r="F1964" s="87" t="str">
        <f>IFERROR(__xludf.DUMMYFUNCTION("""COMPUTED_VALUE"""),"HH1459")</f>
        <v>HH1459</v>
      </c>
      <c r="G1964" s="87" t="str">
        <f>IFERROR(__xludf.DUMMYFUNCTION("""COMPUTED_VALUE"""),"GC - IV - 1459 - Sen Hồng - Manco Green (túi nhôm)(bột xanh) - 1kg - 20")</f>
        <v>GC - IV - 1459 - Sen Hồng - Manco Green (túi nhôm)(bột xanh) - 1kg - 20</v>
      </c>
    </row>
    <row r="1965">
      <c r="A1965" s="86">
        <f>IFERROR(__xludf.DUMMYFUNCTION("""COMPUTED_VALUE"""),1963.0)</f>
        <v>1963</v>
      </c>
      <c r="B1965" s="87" t="str">
        <f>IFERROR(__xludf.DUMMYFUNCTION("""COMPUTED_VALUE"""),"Nhãn thùng")</f>
        <v>Nhãn thùng</v>
      </c>
      <c r="C1965" s="87" t="str">
        <f>IFERROR(__xludf.DUMMYFUNCTION("""COMPUTED_VALUE"""),"NDT1459")</f>
        <v>NDT1459</v>
      </c>
      <c r="D1965" s="87" t="str">
        <f>IFERROR(__xludf.DUMMYFUNCTION("""COMPUTED_VALUE"""),"[Nhãn thùng] GC - IV - 1459 - Sen Hồng - Manco Green (túi nhôm)(bột xanh) - 1kg - 20")</f>
        <v>[Nhãn thùng] GC - IV - 1459 - Sen Hồng - Manco Green (túi nhôm)(bột xanh) - 1kg - 20</v>
      </c>
      <c r="E1965" s="87" t="str">
        <f>IFERROR(__xludf.DUMMYFUNCTION("""COMPUTED_VALUE"""),"BYPHAN 800WP")</f>
        <v>BYPHAN 800WP</v>
      </c>
      <c r="F1965" s="87" t="str">
        <f>IFERROR(__xludf.DUMMYFUNCTION("""COMPUTED_VALUE"""),"HH1459")</f>
        <v>HH1459</v>
      </c>
      <c r="G1965" s="87" t="str">
        <f>IFERROR(__xludf.DUMMYFUNCTION("""COMPUTED_VALUE"""),"GC - IV - 1459 - Sen Hồng - Manco Green (túi nhôm)(bột xanh) - 1kg - 20")</f>
        <v>GC - IV - 1459 - Sen Hồng - Manco Green (túi nhôm)(bột xanh) - 1kg - 20</v>
      </c>
    </row>
    <row r="1966">
      <c r="A1966" s="86">
        <f>IFERROR(__xludf.DUMMYFUNCTION("""COMPUTED_VALUE"""),1964.0)</f>
        <v>1964</v>
      </c>
      <c r="B1966" s="87" t="str">
        <f>IFERROR(__xludf.DUMMYFUNCTION("""COMPUTED_VALUE"""),"Nhãn")</f>
        <v>Nhãn</v>
      </c>
      <c r="C1966" s="87" t="str">
        <f>IFERROR(__xludf.DUMMYFUNCTION("""COMPUTED_VALUE"""),"NHD1460")</f>
        <v>NHD1460</v>
      </c>
      <c r="D1966" s="87" t="str">
        <f>IFERROR(__xludf.DUMMYFUNCTION("""COMPUTED_VALUE"""),"[Nhãn] IDA Global - I - 1460 - Siêu diệt rầy (rệp) (Nước tím) - 450ml - 40")</f>
        <v>[Nhãn] IDA Global - I - 1460 - Siêu diệt rầy (rệp) (Nước tím) - 450ml - 40</v>
      </c>
      <c r="E1966" s="87" t="str">
        <f>IFERROR(__xludf.DUMMYFUNCTION("""COMPUTED_VALUE"""),"ABASBA 50EC")</f>
        <v>ABASBA 50EC</v>
      </c>
      <c r="F1966" s="87" t="str">
        <f>IFERROR(__xludf.DUMMYFUNCTION("""COMPUTED_VALUE"""),"HH1460")</f>
        <v>HH1460</v>
      </c>
      <c r="G1966" s="87" t="str">
        <f>IFERROR(__xludf.DUMMYFUNCTION("""COMPUTED_VALUE"""),"IDA Global - I - 1460 - Siêu diệt rầy (rệp) (Nước tím) - 450ml - 40")</f>
        <v>IDA Global - I - 1460 - Siêu diệt rầy (rệp) (Nước tím) - 450ml - 40</v>
      </c>
    </row>
    <row r="1967">
      <c r="A1967" s="86">
        <f>IFERROR(__xludf.DUMMYFUNCTION("""COMPUTED_VALUE"""),1965.0)</f>
        <v>1965</v>
      </c>
      <c r="B1967" s="87" t="str">
        <f>IFERROR(__xludf.DUMMYFUNCTION("""COMPUTED_VALUE"""),"Nhãn")</f>
        <v>Nhãn</v>
      </c>
      <c r="C1967" s="87" t="str">
        <f>IFERROR(__xludf.DUMMYFUNCTION("""COMPUTED_VALUE"""),"NHD1461")</f>
        <v>NHD1461</v>
      </c>
      <c r="D1967" s="87" t="str">
        <f>IFERROR(__xludf.DUMMYFUNCTION("""COMPUTED_VALUE"""),"[Nhãn] IDA Global - I -  1461 - Diệt nhện Taiwan (Nước xanh lá) - 480ml - 40")</f>
        <v>[Nhãn] IDA Global - I -  1461 - Diệt nhện Taiwan (Nước xanh lá) - 480ml - 40</v>
      </c>
      <c r="E1967" s="87" t="str">
        <f>IFERROR(__xludf.DUMMYFUNCTION("""COMPUTED_VALUE"""),"Chitin 3.6EC")</f>
        <v>Chitin 3.6EC</v>
      </c>
      <c r="F1967" s="87" t="str">
        <f>IFERROR(__xludf.DUMMYFUNCTION("""COMPUTED_VALUE"""),"HH1461")</f>
        <v>HH1461</v>
      </c>
      <c r="G1967" s="87" t="str">
        <f>IFERROR(__xludf.DUMMYFUNCTION("""COMPUTED_VALUE"""),"IDA Global - I -  1461 - Diệt nhện Taiwan (Nước xanh lá) - 480ml - 40")</f>
        <v>IDA Global - I -  1461 - Diệt nhện Taiwan (Nước xanh lá) - 480ml - 40</v>
      </c>
    </row>
    <row r="1968">
      <c r="A1968" s="86">
        <f>IFERROR(__xludf.DUMMYFUNCTION("""COMPUTED_VALUE"""),1966.0)</f>
        <v>1966</v>
      </c>
      <c r="B1968" s="87" t="str">
        <f>IFERROR(__xludf.DUMMYFUNCTION("""COMPUTED_VALUE"""),"Nhãn")</f>
        <v>Nhãn</v>
      </c>
      <c r="C1968" s="87" t="str">
        <f>IFERROR(__xludf.DUMMYFUNCTION("""COMPUTED_VALUE"""),"NHD1462")</f>
        <v>NHD1462</v>
      </c>
      <c r="D1968" s="87" t="str">
        <f>IFERROR(__xludf.DUMMYFUNCTION("""COMPUTED_VALUE"""),"[Nhãn] IDA Global - I - 1462 - IDA Organic (Nước nâu đen)- 5L - 4")</f>
        <v>[Nhãn] IDA Global - I - 1462 - IDA Organic (Nước nâu đen)- 5L - 4</v>
      </c>
      <c r="E1968" s="87" t="str">
        <f>IFERROR(__xludf.DUMMYFUNCTION("""COMPUTED_VALUE"""),"Vi lượng Quantity New")</f>
        <v>Vi lượng Quantity New</v>
      </c>
      <c r="F1968" s="87" t="str">
        <f>IFERROR(__xludf.DUMMYFUNCTION("""COMPUTED_VALUE"""),"HH1462")</f>
        <v>HH1462</v>
      </c>
      <c r="G1968" s="87" t="str">
        <f>IFERROR(__xludf.DUMMYFUNCTION("""COMPUTED_VALUE"""),"IDA Global - I - 1462 - IDA Organic (Nước nâu đen)- 5L - 4")</f>
        <v>IDA Global - I - 1462 - IDA Organic (Nước nâu đen)- 5L - 4</v>
      </c>
    </row>
    <row r="1969">
      <c r="A1969" s="86">
        <f>IFERROR(__xludf.DUMMYFUNCTION("""COMPUTED_VALUE"""),1967.0)</f>
        <v>1967</v>
      </c>
      <c r="B1969" s="87" t="str">
        <f>IFERROR(__xludf.DUMMYFUNCTION("""COMPUTED_VALUE"""),"Nhãn phụ")</f>
        <v>Nhãn phụ</v>
      </c>
      <c r="C1969" s="87" t="str">
        <f>IFERROR(__xludf.DUMMYFUNCTION("""COMPUTED_VALUE"""),"NHP1462")</f>
        <v>NHP1462</v>
      </c>
      <c r="D1969" s="87" t="str">
        <f>IFERROR(__xludf.DUMMYFUNCTION("""COMPUTED_VALUE"""),"[Nhãn phụ] IDA Global - I - 1462 - IDA Organic (Nước nâu đen)- 5L - 4")</f>
        <v>[Nhãn phụ] IDA Global - I - 1462 - IDA Organic (Nước nâu đen)- 5L - 4</v>
      </c>
      <c r="E1969" s="87" t="str">
        <f>IFERROR(__xludf.DUMMYFUNCTION("""COMPUTED_VALUE"""),"Vi lượng Quantity New")</f>
        <v>Vi lượng Quantity New</v>
      </c>
      <c r="F1969" s="87" t="str">
        <f>IFERROR(__xludf.DUMMYFUNCTION("""COMPUTED_VALUE"""),"HH1462")</f>
        <v>HH1462</v>
      </c>
      <c r="G1969" s="87" t="str">
        <f>IFERROR(__xludf.DUMMYFUNCTION("""COMPUTED_VALUE"""),"IDA Global - I - 1462 - IDA Organic (Nước nâu đen)- 5L - 4")</f>
        <v>IDA Global - I - 1462 - IDA Organic (Nước nâu đen)- 5L - 4</v>
      </c>
    </row>
    <row r="1970">
      <c r="A1970" s="86">
        <f>IFERROR(__xludf.DUMMYFUNCTION("""COMPUTED_VALUE"""),1968.0)</f>
        <v>1968</v>
      </c>
      <c r="B1970" s="87" t="str">
        <f>IFERROR(__xludf.DUMMYFUNCTION("""COMPUTED_VALUE"""),"Nhãn thùng")</f>
        <v>Nhãn thùng</v>
      </c>
      <c r="C1970" s="87" t="str">
        <f>IFERROR(__xludf.DUMMYFUNCTION("""COMPUTED_VALUE"""),"NDT1462")</f>
        <v>NDT1462</v>
      </c>
      <c r="D1970" s="87" t="str">
        <f>IFERROR(__xludf.DUMMYFUNCTION("""COMPUTED_VALUE"""),"[Nhãn thùng] IDA Global - I - 1462 - IDA Organic (Nước nâu đen)- 5L - 4")</f>
        <v>[Nhãn thùng] IDA Global - I - 1462 - IDA Organic (Nước nâu đen)- 5L - 4</v>
      </c>
      <c r="E1970" s="87" t="str">
        <f>IFERROR(__xludf.DUMMYFUNCTION("""COMPUTED_VALUE"""),"Vi lượng Quantity New")</f>
        <v>Vi lượng Quantity New</v>
      </c>
      <c r="F1970" s="87" t="str">
        <f>IFERROR(__xludf.DUMMYFUNCTION("""COMPUTED_VALUE"""),"HH1462")</f>
        <v>HH1462</v>
      </c>
      <c r="G1970" s="87" t="str">
        <f>IFERROR(__xludf.DUMMYFUNCTION("""COMPUTED_VALUE"""),"IDA Global - I - 1462 - IDA Organic (Nước nâu đen)- 5L - 4")</f>
        <v>IDA Global - I - 1462 - IDA Organic (Nước nâu đen)- 5L - 4</v>
      </c>
    </row>
    <row r="1971">
      <c r="A1971" s="86">
        <f>IFERROR(__xludf.DUMMYFUNCTION("""COMPUTED_VALUE"""),1969.0)</f>
        <v>1969</v>
      </c>
      <c r="B1971" s="87" t="str">
        <f>IFERROR(__xludf.DUMMYFUNCTION("""COMPUTED_VALUE"""),"Nhãn")</f>
        <v>Nhãn</v>
      </c>
      <c r="C1971" s="87" t="str">
        <f>IFERROR(__xludf.DUMMYFUNCTION("""COMPUTED_VALUE"""),"NHG1463")</f>
        <v>NHG1463</v>
      </c>
      <c r="D1971" s="87" t="str">
        <f>IFERROR(__xludf.DUMMYFUNCTION("""COMPUTED_VALUE"""),"[Nhãn] IDA Global - I - 1463 - King stop (Nước nâu đen) - 1L - 20")</f>
        <v>[Nhãn] IDA Global - I - 1463 - King stop (Nước nâu đen) - 1L - 20</v>
      </c>
      <c r="E1971" s="87" t="str">
        <f>IFERROR(__xludf.DUMMYFUNCTION("""COMPUTED_VALUE"""),"Vi lượng Quantity New")</f>
        <v>Vi lượng Quantity New</v>
      </c>
      <c r="F1971" s="87" t="str">
        <f>IFERROR(__xludf.DUMMYFUNCTION("""COMPUTED_VALUE"""),"HH1463")</f>
        <v>HH1463</v>
      </c>
      <c r="G1971" s="87" t="str">
        <f>IFERROR(__xludf.DUMMYFUNCTION("""COMPUTED_VALUE"""),"IDA Global - I - 1463 - King stop (Nước nâu đen) - 1L - 20")</f>
        <v>IDA Global - I - 1463 - King stop (Nước nâu đen) - 1L - 20</v>
      </c>
    </row>
    <row r="1972">
      <c r="A1972" s="86">
        <f>IFERROR(__xludf.DUMMYFUNCTION("""COMPUTED_VALUE"""),1970.0)</f>
        <v>1970</v>
      </c>
      <c r="B1972" s="87" t="str">
        <f>IFERROR(__xludf.DUMMYFUNCTION("""COMPUTED_VALUE"""),"Nhãn")</f>
        <v>Nhãn</v>
      </c>
      <c r="C1972" s="87" t="str">
        <f>IFERROR(__xludf.DUMMYFUNCTION("""COMPUTED_VALUE"""),"NHG1464")</f>
        <v>NHG1464</v>
      </c>
      <c r="D1972" s="87" t="str">
        <f>IFERROR(__xludf.DUMMYFUNCTION("""COMPUTED_VALUE"""),"[Nhãn] IDA Global - I - 1464 - IDA pH (Nước nâu đen) - 1L - 20")</f>
        <v>[Nhãn] IDA Global - I - 1464 - IDA pH (Nước nâu đen) - 1L - 20</v>
      </c>
      <c r="E1972" s="87" t="str">
        <f>IFERROR(__xludf.DUMMYFUNCTION("""COMPUTED_VALUE"""),"PBVL 14 GOLD RICE")</f>
        <v>PBVL 14 GOLD RICE</v>
      </c>
      <c r="F1972" s="87" t="str">
        <f>IFERROR(__xludf.DUMMYFUNCTION("""COMPUTED_VALUE"""),"HH1464")</f>
        <v>HH1464</v>
      </c>
      <c r="G1972" s="87" t="str">
        <f>IFERROR(__xludf.DUMMYFUNCTION("""COMPUTED_VALUE"""),"IDA Global - I - 1464 - IDA pH (Nước nâu đen) - 1L - 20")</f>
        <v>IDA Global - I - 1464 - IDA pH (Nước nâu đen) - 1L - 20</v>
      </c>
    </row>
    <row r="1973">
      <c r="A1973" s="86">
        <f>IFERROR(__xludf.DUMMYFUNCTION("""COMPUTED_VALUE"""),1971.0)</f>
        <v>1971</v>
      </c>
      <c r="B1973" s="87" t="str">
        <f>IFERROR(__xludf.DUMMYFUNCTION("""COMPUTED_VALUE"""),"Nhãn")</f>
        <v>Nhãn</v>
      </c>
      <c r="C1973" s="87" t="str">
        <f>IFERROR(__xludf.DUMMYFUNCTION("""COMPUTED_VALUE"""),"NHG1465")</f>
        <v>NHG1465</v>
      </c>
      <c r="D1973" s="87" t="str">
        <f>IFERROR(__xludf.DUMMYFUNCTION("""COMPUTED_VALUE"""),"[Nhãn]  BAMBOO IDA - II - 1465 - Bamboo Nutri (nước nâu đen) - 1L - 20")</f>
        <v>[Nhãn]  BAMBOO IDA - II - 1465 - Bamboo Nutri (nước nâu đen) - 1L - 20</v>
      </c>
      <c r="E1973" s="87" t="str">
        <f>IFERROR(__xludf.DUMMYFUNCTION("""COMPUTED_VALUE"""),"Vi lượng Quantity New")</f>
        <v>Vi lượng Quantity New</v>
      </c>
      <c r="F1973" s="87" t="str">
        <f>IFERROR(__xludf.DUMMYFUNCTION("""COMPUTED_VALUE"""),"HH1465")</f>
        <v>HH1465</v>
      </c>
      <c r="G1973" s="87" t="str">
        <f>IFERROR(__xludf.DUMMYFUNCTION("""COMPUTED_VALUE"""),"BAMBOO IDA - II - 1465 - Bamboo Nutri (nước nâu đen) - 1L - 20")</f>
        <v>BAMBOO IDA - II - 1465 - Bamboo Nutri (nước nâu đen) - 1L - 20</v>
      </c>
    </row>
    <row r="1974">
      <c r="A1974" s="86">
        <f>IFERROR(__xludf.DUMMYFUNCTION("""COMPUTED_VALUE"""),1972.0)</f>
        <v>1972</v>
      </c>
      <c r="B1974" s="87" t="str">
        <f>IFERROR(__xludf.DUMMYFUNCTION("""COMPUTED_VALUE"""),"Nhãn")</f>
        <v>Nhãn</v>
      </c>
      <c r="C1974" s="87" t="str">
        <f>IFERROR(__xludf.DUMMYFUNCTION("""COMPUTED_VALUE"""),"NHG1466")</f>
        <v>NHG1466</v>
      </c>
      <c r="D1974" s="87" t="str">
        <f>IFERROR(__xludf.DUMMYFUNCTION("""COMPUTED_VALUE"""),"[Nhãn]  BAMBOO IDA - II - 1466 - Bamboo Paclo (nước nâu đen) - 1L - 20")</f>
        <v>[Nhãn]  BAMBOO IDA - II - 1466 - Bamboo Paclo (nước nâu đen) - 1L - 20</v>
      </c>
      <c r="E1974" s="87" t="str">
        <f>IFERROR(__xludf.DUMMYFUNCTION("""COMPUTED_VALUE"""),"Vi lượng Quantity New")</f>
        <v>Vi lượng Quantity New</v>
      </c>
      <c r="F1974" s="87" t="str">
        <f>IFERROR(__xludf.DUMMYFUNCTION("""COMPUTED_VALUE"""),"HH1466")</f>
        <v>HH1466</v>
      </c>
      <c r="G1974" s="87" t="str">
        <f>IFERROR(__xludf.DUMMYFUNCTION("""COMPUTED_VALUE"""),"BAMBOO IDA - II - 1466 - Bamboo Paclo (nước nâu đen) - 1L - 20")</f>
        <v>BAMBOO IDA - II - 1466 - Bamboo Paclo (nước nâu đen) - 1L - 20</v>
      </c>
    </row>
    <row r="1975">
      <c r="A1975" s="86">
        <f>IFERROR(__xludf.DUMMYFUNCTION("""COMPUTED_VALUE"""),1973.0)</f>
        <v>1973</v>
      </c>
      <c r="B1975" s="87" t="str">
        <f>IFERROR(__xludf.DUMMYFUNCTION("""COMPUTED_VALUE"""),"Nhãn")</f>
        <v>Nhãn</v>
      </c>
      <c r="C1975" s="87" t="str">
        <f>IFERROR(__xludf.DUMMYFUNCTION("""COMPUTED_VALUE"""),"NHG1467")</f>
        <v>NHG1467</v>
      </c>
      <c r="D1975" s="87" t="str">
        <f>IFERROR(__xludf.DUMMYFUNCTION("""COMPUTED_VALUE"""),"[Nhãn] BAMBOO IDA - II - 1467 - Bamboo Flower (nước nâu đen) - 1L - 20")</f>
        <v>[Nhãn] BAMBOO IDA - II - 1467 - Bamboo Flower (nước nâu đen) - 1L - 20</v>
      </c>
      <c r="E1975" s="87" t="str">
        <f>IFERROR(__xludf.DUMMYFUNCTION("""COMPUTED_VALUE"""),"Vi lượng Quantity New")</f>
        <v>Vi lượng Quantity New</v>
      </c>
      <c r="F1975" s="87" t="str">
        <f>IFERROR(__xludf.DUMMYFUNCTION("""COMPUTED_VALUE"""),"HH1467")</f>
        <v>HH1467</v>
      </c>
      <c r="G1975" s="87" t="str">
        <f>IFERROR(__xludf.DUMMYFUNCTION("""COMPUTED_VALUE"""),"BAMBOO IDA - II - 1467 - Bamboo Flower (nước nâu đen) - 1L - 20")</f>
        <v>BAMBOO IDA - II - 1467 - Bamboo Flower (nước nâu đen) - 1L - 20</v>
      </c>
    </row>
    <row r="1976">
      <c r="A1976" s="86">
        <f>IFERROR(__xludf.DUMMYFUNCTION("""COMPUTED_VALUE"""),1974.0)</f>
        <v>1974</v>
      </c>
      <c r="B1976" s="87" t="str">
        <f>IFERROR(__xludf.DUMMYFUNCTION("""COMPUTED_VALUE"""),"Nhãn")</f>
        <v>Nhãn</v>
      </c>
      <c r="C1976" s="87" t="str">
        <f>IFERROR(__xludf.DUMMYFUNCTION("""COMPUTED_VALUE"""),"NHG1468")</f>
        <v>NHG1468</v>
      </c>
      <c r="D1976" s="87" t="str">
        <f>IFERROR(__xludf.DUMMYFUNCTION("""COMPUTED_VALUE"""),"[Nhãn] BAMBOO IDA - II - 1468 - Bamboo Fruit (nước nâu đen) - 1L - 20")</f>
        <v>[Nhãn] BAMBOO IDA - II - 1468 - Bamboo Fruit (nước nâu đen) - 1L - 20</v>
      </c>
      <c r="E1976" s="87" t="str">
        <f>IFERROR(__xludf.DUMMYFUNCTION("""COMPUTED_VALUE"""),"Vi lượng Quantity New")</f>
        <v>Vi lượng Quantity New</v>
      </c>
      <c r="F1976" s="87" t="str">
        <f>IFERROR(__xludf.DUMMYFUNCTION("""COMPUTED_VALUE"""),"HH1468")</f>
        <v>HH1468</v>
      </c>
      <c r="G1976" s="87" t="str">
        <f>IFERROR(__xludf.DUMMYFUNCTION("""COMPUTED_VALUE"""),"BAMBOO IDA - II - 1468 - Bamboo Fruit (nước nâu đen) - 1L - 20")</f>
        <v>BAMBOO IDA - II - 1468 - Bamboo Fruit (nước nâu đen) - 1L - 20</v>
      </c>
    </row>
    <row r="1977">
      <c r="A1977" s="86">
        <f>IFERROR(__xludf.DUMMYFUNCTION("""COMPUTED_VALUE"""),1975.0)</f>
        <v>1975</v>
      </c>
      <c r="B1977" s="87" t="str">
        <f>IFERROR(__xludf.DUMMYFUNCTION("""COMPUTED_VALUE"""),"Nhãn")</f>
        <v>Nhãn</v>
      </c>
      <c r="C1977" s="87" t="str">
        <f>IFERROR(__xludf.DUMMYFUNCTION("""COMPUTED_VALUE"""),"NHG1469")</f>
        <v>NHG1469</v>
      </c>
      <c r="D1977" s="87" t="str">
        <f>IFERROR(__xludf.DUMMYFUNCTION("""COMPUTED_VALUE"""),"[Nhãn] BAMBOO IDA - II - 1469 - Bamboo pH (nước nâu đen) - 1L - 20")</f>
        <v>[Nhãn] BAMBOO IDA - II - 1469 - Bamboo pH (nước nâu đen) - 1L - 20</v>
      </c>
      <c r="E1977" s="87" t="str">
        <f>IFERROR(__xludf.DUMMYFUNCTION("""COMPUTED_VALUE"""),"PBVL 14 GOLD RICE")</f>
        <v>PBVL 14 GOLD RICE</v>
      </c>
      <c r="F1977" s="87" t="str">
        <f>IFERROR(__xludf.DUMMYFUNCTION("""COMPUTED_VALUE"""),"HH1469")</f>
        <v>HH1469</v>
      </c>
      <c r="G1977" s="87" t="str">
        <f>IFERROR(__xludf.DUMMYFUNCTION("""COMPUTED_VALUE"""),"BAMBOO IDA - II - 1469 - Bamboo pH (nước nâu đen) - 1L - 20")</f>
        <v>BAMBOO IDA - II - 1469 - Bamboo pH (nước nâu đen) - 1L - 20</v>
      </c>
    </row>
    <row r="1978">
      <c r="A1978" s="86">
        <f>IFERROR(__xludf.DUMMYFUNCTION("""COMPUTED_VALUE"""),1976.0)</f>
        <v>1976</v>
      </c>
      <c r="B1978" s="87" t="str">
        <f>IFERROR(__xludf.DUMMYFUNCTION("""COMPUTED_VALUE"""),"Nhãn")</f>
        <v>Nhãn</v>
      </c>
      <c r="C1978" s="87" t="str">
        <f>IFERROR(__xludf.DUMMYFUNCTION("""COMPUTED_VALUE"""),"NHG1470")</f>
        <v>NHG1470</v>
      </c>
      <c r="D1978" s="87" t="str">
        <f>IFERROR(__xludf.DUMMYFUNCTION("""COMPUTED_VALUE"""),"[Nhãn] BAMBOO IDA - II - 1470 - Bamboo Super Absorption (nước vàng) - 120ml - 50")</f>
        <v>[Nhãn] BAMBOO IDA - II - 1470 - Bamboo Super Absorption (nước vàng) - 120ml - 50</v>
      </c>
      <c r="E1978" s="87" t="str">
        <f>IFERROR(__xludf.DUMMYFUNCTION("""COMPUTED_VALUE"""),"Vi lượng Quantity New")</f>
        <v>Vi lượng Quantity New</v>
      </c>
      <c r="F1978" s="87" t="str">
        <f>IFERROR(__xludf.DUMMYFUNCTION("""COMPUTED_VALUE"""),"HH1470")</f>
        <v>HH1470</v>
      </c>
      <c r="G1978" s="87" t="str">
        <f>IFERROR(__xludf.DUMMYFUNCTION("""COMPUTED_VALUE"""),"BAMBOO IDA - II - 1470 - Bamboo Super Absorption (nước vàng) - 120ml - 50")</f>
        <v>BAMBOO IDA - II - 1470 - Bamboo Super Absorption (nước vàng) - 120ml - 50</v>
      </c>
    </row>
    <row r="1979">
      <c r="A1979" s="86">
        <f>IFERROR(__xludf.DUMMYFUNCTION("""COMPUTED_VALUE"""),1977.0)</f>
        <v>1977</v>
      </c>
      <c r="B1979" s="87" t="str">
        <f>IFERROR(__xludf.DUMMYFUNCTION("""COMPUTED_VALUE"""),"Nhãn Phụ")</f>
        <v>Nhãn Phụ</v>
      </c>
      <c r="C1979" s="87" t="str">
        <f>IFERROR(__xludf.DUMMYFUNCTION("""COMPUTED_VALUE"""),"NHP1470")</f>
        <v>NHP1470</v>
      </c>
      <c r="D1979" s="87" t="str">
        <f>IFERROR(__xludf.DUMMYFUNCTION("""COMPUTED_VALUE"""),"[Nhãn phụ] BAMBOO IDA - II - 1470 - Bamboo Super Absorption (nước vàng) - 120ml - 50")</f>
        <v>[Nhãn phụ] BAMBOO IDA - II - 1470 - Bamboo Super Absorption (nước vàng) - 120ml - 50</v>
      </c>
      <c r="E1979" s="87" t="str">
        <f>IFERROR(__xludf.DUMMYFUNCTION("""COMPUTED_VALUE"""),"Vi lượng Quantity New")</f>
        <v>Vi lượng Quantity New</v>
      </c>
      <c r="F1979" s="87" t="str">
        <f>IFERROR(__xludf.DUMMYFUNCTION("""COMPUTED_VALUE"""),"HH1470")</f>
        <v>HH1470</v>
      </c>
      <c r="G1979" s="87" t="str">
        <f>IFERROR(__xludf.DUMMYFUNCTION("""COMPUTED_VALUE"""),"BAMBOO IDA - II - 1470 - Bamboo Super Absorption (nước vàng) - 120ml - 50")</f>
        <v>BAMBOO IDA - II - 1470 - Bamboo Super Absorption (nước vàng) - 120ml - 50</v>
      </c>
    </row>
    <row r="1980">
      <c r="A1980" s="86">
        <f>IFERROR(__xludf.DUMMYFUNCTION("""COMPUTED_VALUE"""),1978.0)</f>
        <v>1978</v>
      </c>
      <c r="B1980" s="87" t="str">
        <f>IFERROR(__xludf.DUMMYFUNCTION("""COMPUTED_VALUE"""),"Nhãn")</f>
        <v>Nhãn</v>
      </c>
      <c r="C1980" s="87" t="str">
        <f>IFERROR(__xludf.DUMMYFUNCTION("""COMPUTED_VALUE"""),"NHG1471")</f>
        <v>NHG1471</v>
      </c>
      <c r="D1980" s="87" t="str">
        <f>IFERROR(__xludf.DUMMYFUNCTION("""COMPUTED_VALUE"""),"[Nhãn] GC - IV - 1471 -  VietChem - Vingold kẽm (nước xanh dương) - 1L - 20")</f>
        <v>[Nhãn] GC - IV - 1471 -  VietChem - Vingold kẽm (nước xanh dương) - 1L - 20</v>
      </c>
      <c r="E1980" s="87" t="str">
        <f>IFERROR(__xludf.DUMMYFUNCTION("""COMPUTED_VALUE"""),"Mekongvil 5SC")</f>
        <v>Mekongvil 5SC</v>
      </c>
      <c r="F1980" s="87" t="str">
        <f>IFERROR(__xludf.DUMMYFUNCTION("""COMPUTED_VALUE"""),"HH1471")</f>
        <v>HH1471</v>
      </c>
      <c r="G1980" s="87" t="str">
        <f>IFERROR(__xludf.DUMMYFUNCTION("""COMPUTED_VALUE"""),"GC - IV - 1471 -  VietChem - Vingold kẽm (nước xanh dương) - 1L - 20")</f>
        <v>GC - IV - 1471 -  VietChem - Vingold kẽm (nước xanh dương) - 1L - 20</v>
      </c>
    </row>
    <row r="1981">
      <c r="A1981" s="86">
        <f>IFERROR(__xludf.DUMMYFUNCTION("""COMPUTED_VALUE"""),1979.0)</f>
        <v>1979</v>
      </c>
      <c r="B1981" s="87" t="str">
        <f>IFERROR(__xludf.DUMMYFUNCTION("""COMPUTED_VALUE"""),"Nhãn")</f>
        <v>Nhãn</v>
      </c>
      <c r="C1981" s="87" t="str">
        <f>IFERROR(__xludf.DUMMYFUNCTION("""COMPUTED_VALUE"""),"NHG1472")</f>
        <v>NHG1472</v>
      </c>
      <c r="D1981" s="87" t="str">
        <f>IFERROR(__xludf.DUMMYFUNCTION("""COMPUTED_VALUE"""),"[Nhãn] IDA Global - I - 1472 - Lưu dẫn thấm sâu (Nước xanh dương)- 120ml - 50")</f>
        <v>[Nhãn] IDA Global - I - 1472 - Lưu dẫn thấm sâu (Nước xanh dương)- 120ml - 50</v>
      </c>
      <c r="E1981" s="87" t="str">
        <f>IFERROR(__xludf.DUMMYFUNCTION("""COMPUTED_VALUE"""),"Vi lượng Quantity New")</f>
        <v>Vi lượng Quantity New</v>
      </c>
      <c r="F1981" s="87" t="str">
        <f>IFERROR(__xludf.DUMMYFUNCTION("""COMPUTED_VALUE"""),"HH1472")</f>
        <v>HH1472</v>
      </c>
      <c r="G1981" s="87" t="str">
        <f>IFERROR(__xludf.DUMMYFUNCTION("""COMPUTED_VALUE"""),"IDA Global - I - 1472 - Lưu dẫn thấm sâu (Nước xanh dương)- 120ml - 50")</f>
        <v>IDA Global - I - 1472 - Lưu dẫn thấm sâu (Nước xanh dương)- 120ml - 50</v>
      </c>
    </row>
    <row r="1982">
      <c r="A1982" s="86">
        <f>IFERROR(__xludf.DUMMYFUNCTION("""COMPUTED_VALUE"""),1980.0)</f>
        <v>1980</v>
      </c>
      <c r="B1982" s="87" t="str">
        <f>IFERROR(__xludf.DUMMYFUNCTION("""COMPUTED_VALUE"""),"Nhãn")</f>
        <v>Nhãn</v>
      </c>
      <c r="C1982" s="87" t="str">
        <f>IFERROR(__xludf.DUMMYFUNCTION("""COMPUTED_VALUE"""),"NHD1473")</f>
        <v>NHD1473</v>
      </c>
      <c r="D1982" s="87" t="str">
        <f>IFERROR(__xludf.DUMMYFUNCTION("""COMPUTED_VALUE"""),"[Nhãn] GC - IV - 1473 - Agritech - Chitin 3.6EC (Nước xanh lá) - 450ml - 40")</f>
        <v>[Nhãn] GC - IV - 1473 - Agritech - Chitin 3.6EC (Nước xanh lá) - 450ml - 40</v>
      </c>
      <c r="E1982" s="87" t="str">
        <f>IFERROR(__xludf.DUMMYFUNCTION("""COMPUTED_VALUE"""),"Chitin 3.6EC")</f>
        <v>Chitin 3.6EC</v>
      </c>
      <c r="F1982" s="87" t="str">
        <f>IFERROR(__xludf.DUMMYFUNCTION("""COMPUTED_VALUE"""),"HH1473")</f>
        <v>HH1473</v>
      </c>
      <c r="G1982" s="87" t="str">
        <f>IFERROR(__xludf.DUMMYFUNCTION("""COMPUTED_VALUE"""),"GC - IV - 1473 - Agritech - Chitin 3.6EC (Nước xanh lá) - 450ml - 40")</f>
        <v>GC - IV - 1473 - Agritech - Chitin 3.6EC (Nước xanh lá) - 450ml - 40</v>
      </c>
    </row>
    <row r="1983">
      <c r="A1983" s="86">
        <f>IFERROR(__xludf.DUMMYFUNCTION("""COMPUTED_VALUE"""),1981.0)</f>
        <v>1981</v>
      </c>
      <c r="B1983" s="87" t="str">
        <f>IFERROR(__xludf.DUMMYFUNCTION("""COMPUTED_VALUE"""),"Nhãn")</f>
        <v>Nhãn</v>
      </c>
      <c r="C1983" s="87" t="str">
        <f>IFERROR(__xludf.DUMMYFUNCTION("""COMPUTED_VALUE"""),"NHG1474")</f>
        <v>NHG1474</v>
      </c>
      <c r="D1983" s="87" t="str">
        <f>IFERROR(__xludf.DUMMYFUNCTION("""COMPUTED_VALUE"""),"[Nhãn] GC - II - 1474 - AGC - Bo.CaX (Nước vàng) - 500ml - 40")</f>
        <v>[Nhãn] GC - II - 1474 - AGC - Bo.CaX (Nước vàng) - 500ml - 40</v>
      </c>
      <c r="E1983" s="87" t="str">
        <f>IFERROR(__xludf.DUMMYFUNCTION("""COMPUTED_VALUE"""),"Vi lượng Basel IDA 49")</f>
        <v>Vi lượng Basel IDA 49</v>
      </c>
      <c r="F1983" s="87" t="str">
        <f>IFERROR(__xludf.DUMMYFUNCTION("""COMPUTED_VALUE"""),"HH1474")</f>
        <v>HH1474</v>
      </c>
      <c r="G1983" s="87" t="str">
        <f>IFERROR(__xludf.DUMMYFUNCTION("""COMPUTED_VALUE"""),"GC - II - 1474 - AGC - Bo.CaX (Nước vàng) - 500ml - 40")</f>
        <v>GC - II - 1474 - AGC - Bo.CaX (Nước vàng) - 500ml - 40</v>
      </c>
    </row>
    <row r="1984">
      <c r="A1984" s="86">
        <f>IFERROR(__xludf.DUMMYFUNCTION("""COMPUTED_VALUE"""),1982.0)</f>
        <v>1982</v>
      </c>
      <c r="B1984" s="87" t="str">
        <f>IFERROR(__xludf.DUMMYFUNCTION("""COMPUTED_VALUE"""),"Nhãn")</f>
        <v>Nhãn</v>
      </c>
      <c r="C1984" s="87" t="str">
        <f>IFERROR(__xludf.DUMMYFUNCTION("""COMPUTED_VALUE"""),"NHG1475")</f>
        <v>NHG1475</v>
      </c>
      <c r="D1984" s="87" t="str">
        <f>IFERROR(__xludf.DUMMYFUNCTION("""COMPUTED_VALUE"""),"[Nhãn] GC - IV - 1475 - NHP - Nhện đỏ (Nước tím) - 240ml - 40")</f>
        <v>[Nhãn] GC - IV - 1475 - NHP - Nhện đỏ (Nước tím) - 240ml - 40</v>
      </c>
      <c r="E1984" s="87"/>
      <c r="F1984" s="87"/>
      <c r="G1984" s="87"/>
    </row>
    <row r="1985">
      <c r="A1985" s="86">
        <f>IFERROR(__xludf.DUMMYFUNCTION("""COMPUTED_VALUE"""),1983.0)</f>
        <v>1983</v>
      </c>
      <c r="B1985" s="87" t="str">
        <f>IFERROR(__xludf.DUMMYFUNCTION("""COMPUTED_VALUE"""),"IDA")</f>
        <v>IDA</v>
      </c>
      <c r="C1985" s="87" t="str">
        <f>IFERROR(__xludf.DUMMYFUNCTION("""COMPUTED_VALUE"""),"1kg")</f>
        <v>1kg</v>
      </c>
      <c r="D1985" s="87" t="str">
        <f>IFERROR(__xludf.DUMMYFUNCTION("""COMPUTED_VALUE"""),"1")</f>
        <v>1</v>
      </c>
      <c r="E1985" s="87" t="str">
        <f>IFERROR(__xludf.DUMMYFUNCTION("""COMPUTED_VALUE"""),"Nhãn giấy")</f>
        <v>Nhãn giấy</v>
      </c>
      <c r="F1985" s="87" t="str">
        <f>IFERROR(__xludf.DUMMYFUNCTION("""COMPUTED_VALUE"""),"Cái")</f>
        <v>Cái</v>
      </c>
      <c r="G1985" s="87"/>
    </row>
    <row r="1986">
      <c r="A1986" s="86">
        <f>IFERROR(__xludf.DUMMYFUNCTION("""COMPUTED_VALUE"""),1984.0)</f>
        <v>1984</v>
      </c>
      <c r="B1986" s="87" t="str">
        <f>IFERROR(__xludf.DUMMYFUNCTION("""COMPUTED_VALUE"""),"Nhãn")</f>
        <v>Nhãn</v>
      </c>
      <c r="C1986" s="87" t="str">
        <f>IFERROR(__xludf.DUMMYFUNCTION("""COMPUTED_VALUE"""),"NHG1476")</f>
        <v>NHG1476</v>
      </c>
      <c r="D1986" s="87" t="str">
        <f>IFERROR(__xludf.DUMMYFUNCTION("""COMPUTED_VALUE"""),"[Nhãn] LOT IDA Global - I - 1476 - An Phát Nông - Calcibor (Nước vàng) - 500ml - 40")</f>
        <v>[Nhãn] LOT IDA Global - I - 1476 - An Phát Nông - Calcibor (Nước vàng) - 500ml - 40</v>
      </c>
      <c r="E1986" s="87" t="str">
        <f>IFERROR(__xludf.DUMMYFUNCTION("""COMPUTED_VALUE"""),"Vi lượng Basel IDA 49")</f>
        <v>Vi lượng Basel IDA 49</v>
      </c>
      <c r="F1986" s="87" t="str">
        <f>IFERROR(__xludf.DUMMYFUNCTION("""COMPUTED_VALUE"""),"HH1476")</f>
        <v>HH1476</v>
      </c>
      <c r="G1986" s="87" t="str">
        <f>IFERROR(__xludf.DUMMYFUNCTION("""COMPUTED_VALUE"""),"LOT IDA Global - I - 1476 - An Phát Nông - Calcibor (Nước vàng) - 500ml - 40")</f>
        <v>LOT IDA Global - I - 1476 - An Phát Nông - Calcibor (Nước vàng) - 500ml - 40</v>
      </c>
    </row>
    <row r="1987">
      <c r="A1987" s="86">
        <f>IFERROR(__xludf.DUMMYFUNCTION("""COMPUTED_VALUE"""),1985.0)</f>
        <v>1985</v>
      </c>
      <c r="B1987" s="87" t="str">
        <f>IFERROR(__xludf.DUMMYFUNCTION("""COMPUTED_VALUE"""),"Nhãn")</f>
        <v>Nhãn</v>
      </c>
      <c r="C1987" s="87" t="str">
        <f>IFERROR(__xludf.DUMMYFUNCTION("""COMPUTED_VALUE"""),"NHG1477")</f>
        <v>NHG1477</v>
      </c>
      <c r="D1987" s="87" t="str">
        <f>IFERROR(__xludf.DUMMYFUNCTION("""COMPUTED_VALUE"""),"[Nhãn] GC - IV - 1477 - CTY SHINO - Trùm ra rễ (nước nâu đen) - 500ml - 40")</f>
        <v>[Nhãn] GC - IV - 1477 - CTY SHINO - Trùm ra rễ (nước nâu đen) - 500ml - 40</v>
      </c>
      <c r="E1987" s="87" t="str">
        <f>IFERROR(__xludf.DUMMYFUNCTION("""COMPUTED_VALUE"""),"Vi lượng Quantity New")</f>
        <v>Vi lượng Quantity New</v>
      </c>
      <c r="F1987" s="87" t="str">
        <f>IFERROR(__xludf.DUMMYFUNCTION("""COMPUTED_VALUE"""),"HH1477")</f>
        <v>HH1477</v>
      </c>
      <c r="G1987" s="87" t="str">
        <f>IFERROR(__xludf.DUMMYFUNCTION("""COMPUTED_VALUE"""),"GC - IV - 1477 - CTY SHINO - Trùm ra rễ (nước nâu đen) - 500ml - 40")</f>
        <v>GC - IV - 1477 - CTY SHINO - Trùm ra rễ (nước nâu đen) - 500ml - 40</v>
      </c>
    </row>
    <row r="1988">
      <c r="A1988" s="86">
        <f>IFERROR(__xludf.DUMMYFUNCTION("""COMPUTED_VALUE"""),1986.0)</f>
        <v>1986</v>
      </c>
      <c r="B1988" s="87" t="str">
        <f>IFERROR(__xludf.DUMMYFUNCTION("""COMPUTED_VALUE"""),"Nhãn")</f>
        <v>Nhãn</v>
      </c>
      <c r="C1988" s="87" t="str">
        <f>IFERROR(__xludf.DUMMYFUNCTION("""COMPUTED_VALUE"""),"NHG1478")</f>
        <v>NHG1478</v>
      </c>
      <c r="D1988" s="87" t="str">
        <f>IFERROR(__xludf.DUMMYFUNCTION("""COMPUTED_VALUE"""),"[Nhãn] GC - IV - 1478 - CTY SHINO - Trùm cứng cây (nước nâu đen) - 500ml - 40")</f>
        <v>[Nhãn] GC - IV - 1478 - CTY SHINO - Trùm cứng cây (nước nâu đen) - 500ml - 40</v>
      </c>
      <c r="E1988" s="87" t="str">
        <f>IFERROR(__xludf.DUMMYFUNCTION("""COMPUTED_VALUE"""),"Vi lượng Quantity New")</f>
        <v>Vi lượng Quantity New</v>
      </c>
      <c r="F1988" s="87" t="str">
        <f>IFERROR(__xludf.DUMMYFUNCTION("""COMPUTED_VALUE"""),"HH1478")</f>
        <v>HH1478</v>
      </c>
      <c r="G1988" s="87" t="str">
        <f>IFERROR(__xludf.DUMMYFUNCTION("""COMPUTED_VALUE"""),"GC - IV - 1478 - CTY SHINO - Trùm cứng cây (nước nâu đen) - 500ml - 40")</f>
        <v>GC - IV - 1478 - CTY SHINO - Trùm cứng cây (nước nâu đen) - 500ml - 40</v>
      </c>
    </row>
    <row r="1989">
      <c r="A1989" s="86">
        <f>IFERROR(__xludf.DUMMYFUNCTION("""COMPUTED_VALUE"""),1987.0)</f>
        <v>1987</v>
      </c>
      <c r="B1989" s="87" t="str">
        <f>IFERROR(__xludf.DUMMYFUNCTION("""COMPUTED_VALUE"""),"Nhãn")</f>
        <v>Nhãn</v>
      </c>
      <c r="C1989" s="87" t="str">
        <f>IFERROR(__xludf.DUMMYFUNCTION("""COMPUTED_VALUE"""),"NHG1479")</f>
        <v>NHG1479</v>
      </c>
      <c r="D1989" s="87" t="str">
        <f>IFERROR(__xludf.DUMMYFUNCTION("""COMPUTED_VALUE"""),"[Nhãn] GC - IV - 1479 - CTY SHINO - Vô gạo (nước nâu đen) - 500ml - 40")</f>
        <v>[Nhãn] GC - IV - 1479 - CTY SHINO - Vô gạo (nước nâu đen) - 500ml - 40</v>
      </c>
      <c r="E1989" s="87" t="str">
        <f>IFERROR(__xludf.DUMMYFUNCTION("""COMPUTED_VALUE"""),"Vi lượng BM-KABO")</f>
        <v>Vi lượng BM-KABO</v>
      </c>
      <c r="F1989" s="87" t="str">
        <f>IFERROR(__xludf.DUMMYFUNCTION("""COMPUTED_VALUE"""),"HH1479")</f>
        <v>HH1479</v>
      </c>
      <c r="G1989" s="87" t="str">
        <f>IFERROR(__xludf.DUMMYFUNCTION("""COMPUTED_VALUE"""),"GC - IV - 1479 - CTY SHINO - Vô gạo (nước nâu đen) - 500ml - 40")</f>
        <v>GC - IV - 1479 - CTY SHINO - Vô gạo (nước nâu đen) - 500ml - 40</v>
      </c>
    </row>
    <row r="1990">
      <c r="A1990" s="86">
        <f>IFERROR(__xludf.DUMMYFUNCTION("""COMPUTED_VALUE"""),1988.0)</f>
        <v>1988</v>
      </c>
      <c r="B1990" s="87" t="str">
        <f>IFERROR(__xludf.DUMMYFUNCTION("""COMPUTED_VALUE"""),"Nhãn")</f>
        <v>Nhãn</v>
      </c>
      <c r="C1990" s="87" t="str">
        <f>IFERROR(__xludf.DUMMYFUNCTION("""COMPUTED_VALUE"""),"NHG1480")</f>
        <v>NHG1480</v>
      </c>
      <c r="D1990" s="87" t="str">
        <f>IFERROR(__xludf.DUMMYFUNCTION("""COMPUTED_VALUE"""),"[Nhãn] IDA Global - I - 1480 - Hiệp Thành - Diệt Nhện Đỏ (Nước đỏ) - 240ml - 60")</f>
        <v>[Nhãn] IDA Global - I - 1480 - Hiệp Thành - Diệt Nhện Đỏ (Nước đỏ) - 240ml - 60</v>
      </c>
      <c r="E1990" s="87" t="str">
        <f>IFERROR(__xludf.DUMMYFUNCTION("""COMPUTED_VALUE"""),"Chitin 3.6EC")</f>
        <v>Chitin 3.6EC</v>
      </c>
      <c r="F1990" s="87" t="str">
        <f>IFERROR(__xludf.DUMMYFUNCTION("""COMPUTED_VALUE"""),"HH1480")</f>
        <v>HH1480</v>
      </c>
      <c r="G1990" s="87" t="str">
        <f>IFERROR(__xludf.DUMMYFUNCTION("""COMPUTED_VALUE"""),"IDA Global - I - 1480 - Hiệp Thành - Diệt Nhện Đỏ (Nước đỏ) - 240ml - 60")</f>
        <v>IDA Global - I - 1480 - Hiệp Thành - Diệt Nhện Đỏ (Nước đỏ) - 240ml - 60</v>
      </c>
    </row>
    <row r="1991">
      <c r="A1991" s="86">
        <f>IFERROR(__xludf.DUMMYFUNCTION("""COMPUTED_VALUE"""),1989.0)</f>
        <v>1989</v>
      </c>
      <c r="B1991" s="87" t="str">
        <f>IFERROR(__xludf.DUMMYFUNCTION("""COMPUTED_VALUE"""),"Nhãn")</f>
        <v>Nhãn</v>
      </c>
      <c r="C1991" s="87" t="str">
        <f>IFERROR(__xludf.DUMMYFUNCTION("""COMPUTED_VALUE"""),"NHD1480")</f>
        <v>NHD1480</v>
      </c>
      <c r="D1991" s="87" t="str">
        <f>IFERROR(__xludf.DUMMYFUNCTION("""COMPUTED_VALUE"""),"[Nhãn] IDA Global - I - 1480 - Hiệp Thành - Diệt Nhện Đỏ (Nước đỏ) - 240ml - 60")</f>
        <v>[Nhãn] IDA Global - I - 1480 - Hiệp Thành - Diệt Nhện Đỏ (Nước đỏ) - 240ml - 60</v>
      </c>
      <c r="E1991" s="87" t="str">
        <f>IFERROR(__xludf.DUMMYFUNCTION("""COMPUTED_VALUE"""),"Chitin 3.6EC")</f>
        <v>Chitin 3.6EC</v>
      </c>
      <c r="F1991" s="87" t="str">
        <f>IFERROR(__xludf.DUMMYFUNCTION("""COMPUTED_VALUE"""),"HH1480")</f>
        <v>HH1480</v>
      </c>
      <c r="G1991" s="87" t="str">
        <f>IFERROR(__xludf.DUMMYFUNCTION("""COMPUTED_VALUE"""),"IDA Global - I - 1480 - Hiệp Thành - Diệt Nhện Đỏ (Nước đỏ) - 240ml - 60")</f>
        <v>IDA Global - I - 1480 - Hiệp Thành - Diệt Nhện Đỏ (Nước đỏ) - 240ml - 60</v>
      </c>
    </row>
    <row r="1992">
      <c r="A1992" s="86">
        <f>IFERROR(__xludf.DUMMYFUNCTION("""COMPUTED_VALUE"""),1990.0)</f>
        <v>1990</v>
      </c>
      <c r="B1992" s="87" t="str">
        <f>IFERROR(__xludf.DUMMYFUNCTION("""COMPUTED_VALUE"""),"Nhãn")</f>
        <v>Nhãn</v>
      </c>
      <c r="C1992" s="87" t="str">
        <f>IFERROR(__xludf.DUMMYFUNCTION("""COMPUTED_VALUE"""),"NHG1481")</f>
        <v>NHG1481</v>
      </c>
      <c r="D1992" s="87" t="str">
        <f>IFERROR(__xludf.DUMMYFUNCTION("""COMPUTED_VALUE"""),"[Nhãn] GC - IV - 1481 - NHP GROUP - Chitin 3.6EC (nước nâu đen) - 450ml - 40")</f>
        <v>[Nhãn] GC - IV - 1481 - NHP GROUP - Chitin 3.6EC (nước nâu đen) - 450ml - 40</v>
      </c>
      <c r="E1992" s="87" t="str">
        <f>IFERROR(__xludf.DUMMYFUNCTION("""COMPUTED_VALUE"""),"Chitin 3.6EC")</f>
        <v>Chitin 3.6EC</v>
      </c>
      <c r="F1992" s="87" t="str">
        <f>IFERROR(__xludf.DUMMYFUNCTION("""COMPUTED_VALUE"""),"HH1481")</f>
        <v>HH1481</v>
      </c>
      <c r="G1992" s="87" t="str">
        <f>IFERROR(__xludf.DUMMYFUNCTION("""COMPUTED_VALUE"""),"GC - IV - 1481 - NHP GROUP - Chitin 3.6EC (nước nâu đen) - 450ml - 40")</f>
        <v>GC - IV - 1481 - NHP GROUP - Chitin 3.6EC (nước nâu đen) - 450ml - 40</v>
      </c>
    </row>
    <row r="1993">
      <c r="A1993" s="86">
        <f>IFERROR(__xludf.DUMMYFUNCTION("""COMPUTED_VALUE"""),1991.0)</f>
        <v>1991</v>
      </c>
      <c r="B1993" s="87" t="str">
        <f>IFERROR(__xludf.DUMMYFUNCTION("""COMPUTED_VALUE"""),"Nhãn")</f>
        <v>Nhãn</v>
      </c>
      <c r="C1993" s="87" t="str">
        <f>IFERROR(__xludf.DUMMYFUNCTION("""COMPUTED_VALUE"""),"NHD1482")</f>
        <v>NHD1482</v>
      </c>
      <c r="D1993" s="87" t="str">
        <f>IFERROR(__xludf.DUMMYFUNCTION("""COMPUTED_VALUE"""),"[Nhãn] GC - IV - 1482 - Lâm Thành - Lớn trái thanh long (Gel xanh lơ) - 22kg - 1")</f>
        <v>[Nhãn] GC - IV - 1482 - Lâm Thành - Lớn trái thanh long (Gel xanh lơ) - 22kg - 1</v>
      </c>
      <c r="E1993" s="87" t="str">
        <f>IFERROR(__xludf.DUMMYFUNCTION("""COMPUTED_VALUE"""),"Vi lượng Quantity New")</f>
        <v>Vi lượng Quantity New</v>
      </c>
      <c r="F1993" s="87" t="str">
        <f>IFERROR(__xludf.DUMMYFUNCTION("""COMPUTED_VALUE"""),"HH1482")</f>
        <v>HH1482</v>
      </c>
      <c r="G1993" s="87" t="str">
        <f>IFERROR(__xludf.DUMMYFUNCTION("""COMPUTED_VALUE"""),"GC - IV - 1482 - Lâm Thành - Lớn trái thanh long (Gel xanh lơ) - 22kg - 1")</f>
        <v>GC - IV - 1482 - Lâm Thành - Lớn trái thanh long (Gel xanh lơ) - 22kg - 1</v>
      </c>
    </row>
    <row r="1994">
      <c r="A1994" s="86">
        <f>IFERROR(__xludf.DUMMYFUNCTION("""COMPUTED_VALUE"""),1992.0)</f>
        <v>1992</v>
      </c>
      <c r="B1994" s="87" t="str">
        <f>IFERROR(__xludf.DUMMYFUNCTION("""COMPUTED_VALUE"""),"Nhãn")</f>
        <v>Nhãn</v>
      </c>
      <c r="C1994" s="87" t="str">
        <f>IFERROR(__xludf.DUMMYFUNCTION("""COMPUTED_VALUE"""),"NHG1483")</f>
        <v>NHG1483</v>
      </c>
      <c r="D1994" s="87" t="str">
        <f>IFERROR(__xludf.DUMMYFUNCTION("""COMPUTED_VALUE"""),"[Nhãn] GC - IV - 1483 - Agricare Úc - Chim Ưng 3.8EC (chai nhôm đỏ) - 240ml - 40")</f>
        <v>[Nhãn] GC - IV - 1483 - Agricare Úc - Chim Ưng 3.8EC (chai nhôm đỏ) - 240ml - 40</v>
      </c>
      <c r="E1994" s="87" t="str">
        <f>IFERROR(__xludf.DUMMYFUNCTION("""COMPUTED_VALUE"""),"CHIM ƯNG 3.8EC")</f>
        <v>CHIM ƯNG 3.8EC</v>
      </c>
      <c r="F1994" s="87" t="str">
        <f>IFERROR(__xludf.DUMMYFUNCTION("""COMPUTED_VALUE"""),"HH1483")</f>
        <v>HH1483</v>
      </c>
      <c r="G1994" s="87" t="str">
        <f>IFERROR(__xludf.DUMMYFUNCTION("""COMPUTED_VALUE"""),"GC - IV - 1483 - Agricare Úc - Chim Ưng 3.8EC (chai nhôm đỏ) - 240ml - 40")</f>
        <v>GC - IV - 1483 - Agricare Úc - Chim Ưng 3.8EC (chai nhôm đỏ) - 240ml - 40</v>
      </c>
    </row>
    <row r="1995">
      <c r="A1995" s="86">
        <f>IFERROR(__xludf.DUMMYFUNCTION("""COMPUTED_VALUE"""),1993.0)</f>
        <v>1993</v>
      </c>
      <c r="B1995" s="87" t="str">
        <f>IFERROR(__xludf.DUMMYFUNCTION("""COMPUTED_VALUE"""),"Nhãn")</f>
        <v>Nhãn</v>
      </c>
      <c r="C1995" s="87" t="str">
        <f>IFERROR(__xludf.DUMMYFUNCTION("""COMPUTED_VALUE"""),"NTN1484")</f>
        <v>NTN1484</v>
      </c>
      <c r="D1995" s="87" t="str">
        <f>IFERROR(__xludf.DUMMYFUNCTION("""COMPUTED_VALUE"""),"[Nhãn] GC - IV - 1484 - Agricare Úc - Rayxanh 200WP (bột trắng) - 85gr - 150")</f>
        <v>[Nhãn] GC - IV - 1484 - Agricare Úc - Rayxanh 200WP (bột trắng) - 85gr - 150</v>
      </c>
      <c r="E1995" s="87" t="str">
        <f>IFERROR(__xludf.DUMMYFUNCTION("""COMPUTED_VALUE"""),"RAYXANH 200WP")</f>
        <v>RAYXANH 200WP</v>
      </c>
      <c r="F1995" s="87" t="str">
        <f>IFERROR(__xludf.DUMMYFUNCTION("""COMPUTED_VALUE"""),"HH1484")</f>
        <v>HH1484</v>
      </c>
      <c r="G1995" s="87" t="str">
        <f>IFERROR(__xludf.DUMMYFUNCTION("""COMPUTED_VALUE"""),"GC - IV - 1484 - Agricare Úc - Rayxanh 200WP (bột trắng) - 85gr - 150")</f>
        <v>GC - IV - 1484 - Agricare Úc - Rayxanh 200WP (bột trắng) - 85gr - 150</v>
      </c>
    </row>
    <row r="1996">
      <c r="A1996" s="86">
        <f>IFERROR(__xludf.DUMMYFUNCTION("""COMPUTED_VALUE"""),1994.0)</f>
        <v>1994</v>
      </c>
      <c r="B1996" s="87" t="str">
        <f>IFERROR(__xludf.DUMMYFUNCTION("""COMPUTED_VALUE"""),"Nhãn")</f>
        <v>Nhãn</v>
      </c>
      <c r="C1996" s="87" t="str">
        <f>IFERROR(__xludf.DUMMYFUNCTION("""COMPUTED_VALUE"""),"NDT1484")</f>
        <v>NDT1484</v>
      </c>
      <c r="D1996" s="87" t="str">
        <f>IFERROR(__xludf.DUMMYFUNCTION("""COMPUTED_VALUE"""),"[Nhãn] GC - IV - 1484 - Agricare Úc - Rayxanh 200WP (bột trắng) - 85gr - 150")</f>
        <v>[Nhãn] GC - IV - 1484 - Agricare Úc - Rayxanh 200WP (bột trắng) - 85gr - 150</v>
      </c>
      <c r="E1996" s="87" t="str">
        <f>IFERROR(__xludf.DUMMYFUNCTION("""COMPUTED_VALUE"""),"RAYXANH 200WP")</f>
        <v>RAYXANH 200WP</v>
      </c>
      <c r="F1996" s="87" t="str">
        <f>IFERROR(__xludf.DUMMYFUNCTION("""COMPUTED_VALUE"""),"HH1484")</f>
        <v>HH1484</v>
      </c>
      <c r="G1996" s="87" t="str">
        <f>IFERROR(__xludf.DUMMYFUNCTION("""COMPUTED_VALUE"""),"GC - IV - 1484 - Agricare Úc - Rayxanh 200WP (bột trắng) - 85gr - 150")</f>
        <v>GC - IV - 1484 - Agricare Úc - Rayxanh 200WP (bột trắng) - 85gr - 150</v>
      </c>
    </row>
    <row r="1997">
      <c r="A1997" s="86">
        <f>IFERROR(__xludf.DUMMYFUNCTION("""COMPUTED_VALUE"""),1995.0)</f>
        <v>1995</v>
      </c>
      <c r="B1997" s="87" t="str">
        <f>IFERROR(__xludf.DUMMYFUNCTION("""COMPUTED_VALUE"""),"Nhãn")</f>
        <v>Nhãn</v>
      </c>
      <c r="C1997" s="87" t="str">
        <f>IFERROR(__xludf.DUMMYFUNCTION("""COMPUTED_VALUE"""),"NTN1485")</f>
        <v>NTN1485</v>
      </c>
      <c r="D1997" s="87" t="str">
        <f>IFERROR(__xludf.DUMMYFUNCTION("""COMPUTED_VALUE"""),"[Nhãn] GC - IV - 1485 - Agricare Úc A. Lộc - Sherdoba 55WG(dạng cốm màu trắng ngà) - 100gr - 100")</f>
        <v>[Nhãn] GC - IV - 1485 - Agricare Úc A. Lộc - Sherdoba 55WG(dạng cốm màu trắng ngà) - 100gr - 100</v>
      </c>
      <c r="E1997" s="87" t="str">
        <f>IFERROR(__xludf.DUMMYFUNCTION("""COMPUTED_VALUE"""),"Sherdoba 55WG")</f>
        <v>Sherdoba 55WG</v>
      </c>
      <c r="F1997" s="87" t="str">
        <f>IFERROR(__xludf.DUMMYFUNCTION("""COMPUTED_VALUE"""),"HH1485")</f>
        <v>HH1485</v>
      </c>
      <c r="G1997" s="87" t="str">
        <f>IFERROR(__xludf.DUMMYFUNCTION("""COMPUTED_VALUE"""),"GC - IV - 1485 - Agricare Úc A. Lộc - Sherdoba 55WG(dạng cốm màu trắng ngà) - 100gr - 100")</f>
        <v>GC - IV - 1485 - Agricare Úc A. Lộc - Sherdoba 55WG(dạng cốm màu trắng ngà) - 100gr - 100</v>
      </c>
    </row>
    <row r="1998">
      <c r="A1998" s="86">
        <f>IFERROR(__xludf.DUMMYFUNCTION("""COMPUTED_VALUE"""),1996.0)</f>
        <v>1996</v>
      </c>
      <c r="B1998" s="87" t="str">
        <f>IFERROR(__xludf.DUMMYFUNCTION("""COMPUTED_VALUE"""),"Nhãn thùng")</f>
        <v>Nhãn thùng</v>
      </c>
      <c r="C1998" s="87" t="str">
        <f>IFERROR(__xludf.DUMMYFUNCTION("""COMPUTED_VALUE"""),"NDT1485")</f>
        <v>NDT1485</v>
      </c>
      <c r="D1998" s="87" t="str">
        <f>IFERROR(__xludf.DUMMYFUNCTION("""COMPUTED_VALUE"""),"[Nhãn thùng] GC - IV - 1485 - Agricare Úc A. Lộc - Sherdoba 55WG(dạng cốm màu trắng ngà) - 100gr - 100")</f>
        <v>[Nhãn thùng] GC - IV - 1485 - Agricare Úc A. Lộc - Sherdoba 55WG(dạng cốm màu trắng ngà) - 100gr - 100</v>
      </c>
      <c r="E1998" s="87" t="str">
        <f>IFERROR(__xludf.DUMMYFUNCTION("""COMPUTED_VALUE"""),"Sherdoba 55WG")</f>
        <v>Sherdoba 55WG</v>
      </c>
      <c r="F1998" s="87" t="str">
        <f>IFERROR(__xludf.DUMMYFUNCTION("""COMPUTED_VALUE"""),"HH1485")</f>
        <v>HH1485</v>
      </c>
      <c r="G1998" s="87" t="str">
        <f>IFERROR(__xludf.DUMMYFUNCTION("""COMPUTED_VALUE"""),"GC - IV - 1485 - Agricare Úc A. Lộc - Sherdoba 55WG(dạng cốm màu trắng ngà) - 100gr - 100")</f>
        <v>GC - IV - 1485 - Agricare Úc A. Lộc - Sherdoba 55WG(dạng cốm màu trắng ngà) - 100gr - 100</v>
      </c>
    </row>
    <row r="1999">
      <c r="A1999" s="86">
        <f>IFERROR(__xludf.DUMMYFUNCTION("""COMPUTED_VALUE"""),1997.0)</f>
        <v>1997</v>
      </c>
      <c r="B1999" s="87" t="str">
        <f>IFERROR(__xludf.DUMMYFUNCTION("""COMPUTED_VALUE"""),"Nhãn")</f>
        <v>Nhãn</v>
      </c>
      <c r="C1999" s="87" t="str">
        <f>IFERROR(__xludf.DUMMYFUNCTION("""COMPUTED_VALUE"""),"NTN1486")</f>
        <v>NTN1486</v>
      </c>
      <c r="D1999" s="87" t="str">
        <f>IFERROR(__xludf.DUMMYFUNCTION("""COMPUTED_VALUE"""),"[Nhãn] GC - IV - 1486 - Agricare Úc A. Lộc - Sạch nấm bệnh (bột màu trắng) - 100gr - 100")</f>
        <v>[Nhãn] GC - IV - 1486 - Agricare Úc A. Lộc - Sạch nấm bệnh (bột màu trắng) - 100gr - 100</v>
      </c>
      <c r="E1999" s="87" t="str">
        <f>IFERROR(__xludf.DUMMYFUNCTION("""COMPUTED_VALUE"""),"THALONIL 75WP")</f>
        <v>THALONIL 75WP</v>
      </c>
      <c r="F1999" s="87" t="str">
        <f>IFERROR(__xludf.DUMMYFUNCTION("""COMPUTED_VALUE"""),"HH1486")</f>
        <v>HH1486</v>
      </c>
      <c r="G1999" s="87" t="str">
        <f>IFERROR(__xludf.DUMMYFUNCTION("""COMPUTED_VALUE"""),"GC - IV - 1486 - Agricare Úc A. Lộc - Sạch nấm bệnh (bột màu trắng) - 100gr - 100")</f>
        <v>GC - IV - 1486 - Agricare Úc A. Lộc - Sạch nấm bệnh (bột màu trắng) - 100gr - 100</v>
      </c>
    </row>
    <row r="2000">
      <c r="A2000" s="86">
        <f>IFERROR(__xludf.DUMMYFUNCTION("""COMPUTED_VALUE"""),1998.0)</f>
        <v>1998</v>
      </c>
      <c r="B2000" s="87" t="str">
        <f>IFERROR(__xludf.DUMMYFUNCTION("""COMPUTED_VALUE"""),"NDT")</f>
        <v>NDT</v>
      </c>
      <c r="C2000" s="87" t="str">
        <f>IFERROR(__xludf.DUMMYFUNCTION("""COMPUTED_VALUE"""),"NDT1487")</f>
        <v>NDT1487</v>
      </c>
      <c r="D2000" s="87" t="str">
        <f>IFERROR(__xludf.DUMMYFUNCTION("""COMPUTED_VALUE"""),"[Nhãn thùng] GC - II - 1487 - LOT AGC - Nguyễn Văn Hiệp - DR.H2 (Nước nâu đen) - 1L - 20")</f>
        <v>[Nhãn thùng] GC - II - 1487 - LOT AGC - Nguyễn Văn Hiệp - DR.H2 (Nước nâu đen) - 1L - 20</v>
      </c>
      <c r="E2000" s="87" t="str">
        <f>IFERROR(__xludf.DUMMYFUNCTION("""COMPUTED_VALUE"""),"Vi lượng Quantity New")</f>
        <v>Vi lượng Quantity New</v>
      </c>
      <c r="F2000" s="87" t="str">
        <f>IFERROR(__xludf.DUMMYFUNCTION("""COMPUTED_VALUE"""),"HH1487")</f>
        <v>HH1487</v>
      </c>
      <c r="G2000" s="87" t="str">
        <f>IFERROR(__xludf.DUMMYFUNCTION("""COMPUTED_VALUE"""),"GC - II - 1487 - LOT AGC - Nguyễn Văn Hiệp - DR.H2 (Nước nâu đen) - 1L - 20")</f>
        <v>GC - II - 1487 - LOT AGC - Nguyễn Văn Hiệp - DR.H2 (Nước nâu đen) - 1L - 20</v>
      </c>
    </row>
    <row r="2001">
      <c r="A2001" s="86">
        <f>IFERROR(__xludf.DUMMYFUNCTION("""COMPUTED_VALUE"""),1999.0)</f>
        <v>1999</v>
      </c>
      <c r="B2001" s="87" t="str">
        <f>IFERROR(__xludf.DUMMYFUNCTION("""COMPUTED_VALUE"""),"Nhãn")</f>
        <v>Nhãn</v>
      </c>
      <c r="C2001" s="87" t="str">
        <f>IFERROR(__xludf.DUMMYFUNCTION("""COMPUTED_VALUE"""),"NHG1487")</f>
        <v>NHG1487</v>
      </c>
      <c r="D2001" s="87" t="str">
        <f>IFERROR(__xludf.DUMMYFUNCTION("""COMPUTED_VALUE"""),"[Nhãn] GC - II - 1487 - LOT AGC - Nguyễn Văn Hiệp - DR.H2 (Nước nâu đen) - 1L - 20")</f>
        <v>[Nhãn] GC - II - 1487 - LOT AGC - Nguyễn Văn Hiệp - DR.H2 (Nước nâu đen) - 1L - 20</v>
      </c>
      <c r="E2001" s="87" t="str">
        <f>IFERROR(__xludf.DUMMYFUNCTION("""COMPUTED_VALUE"""),"Vi lượng Quantity New")</f>
        <v>Vi lượng Quantity New</v>
      </c>
      <c r="F2001" s="87" t="str">
        <f>IFERROR(__xludf.DUMMYFUNCTION("""COMPUTED_VALUE"""),"HH1487")</f>
        <v>HH1487</v>
      </c>
      <c r="G2001" s="87" t="str">
        <f>IFERROR(__xludf.DUMMYFUNCTION("""COMPUTED_VALUE"""),"GC - II - 1487 - LOT AGC - Nguyễn Văn Hiệp - DR.H2 (Nước nâu đen) - 1L - 20")</f>
        <v>GC - II - 1487 - LOT AGC - Nguyễn Văn Hiệp - DR.H2 (Nước nâu đen) - 1L - 20</v>
      </c>
    </row>
    <row r="2002">
      <c r="A2002" s="86">
        <f>IFERROR(__xludf.DUMMYFUNCTION("""COMPUTED_VALUE"""),2000.0)</f>
        <v>2000</v>
      </c>
      <c r="B2002" s="87" t="str">
        <f>IFERROR(__xludf.DUMMYFUNCTION("""COMPUTED_VALUE"""),"Nhãn")</f>
        <v>Nhãn</v>
      </c>
      <c r="C2002" s="87" t="str">
        <f>IFERROR(__xludf.DUMMYFUNCTION("""COMPUTED_VALUE"""),"NTN1488")</f>
        <v>NTN1488</v>
      </c>
      <c r="D2002" s="87" t="str">
        <f>IFERROR(__xludf.DUMMYFUNCTION("""COMPUTED_VALUE"""),"[Nhãn] GC - IV - 1488 - AGRITECH Hà Lan - TVZEB 800WP (Bột xanh) - 1kg - 20")</f>
        <v>[Nhãn] GC - IV - 1488 - AGRITECH Hà Lan - TVZEB 800WP (Bột xanh) - 1kg - 20</v>
      </c>
      <c r="E2002" s="87" t="str">
        <f>IFERROR(__xludf.DUMMYFUNCTION("""COMPUTED_VALUE"""),"TVZEB 800WP")</f>
        <v>TVZEB 800WP</v>
      </c>
      <c r="F2002" s="87" t="str">
        <f>IFERROR(__xludf.DUMMYFUNCTION("""COMPUTED_VALUE"""),"HH1488")</f>
        <v>HH1488</v>
      </c>
      <c r="G2002" s="87" t="str">
        <f>IFERROR(__xludf.DUMMYFUNCTION("""COMPUTED_VALUE"""),"GC - IV - 1488 - AGRITECH Hà Lan - TVZEB 800WP (Bột xanh) - 1kg - 20")</f>
        <v>GC - IV - 1488 - AGRITECH Hà Lan - TVZEB 800WP (Bột xanh) - 1kg - 20</v>
      </c>
    </row>
    <row r="2003">
      <c r="A2003" s="86">
        <f>IFERROR(__xludf.DUMMYFUNCTION("""COMPUTED_VALUE"""),2001.0)</f>
        <v>2001</v>
      </c>
      <c r="B2003" s="87" t="str">
        <f>IFERROR(__xludf.DUMMYFUNCTION("""COMPUTED_VALUE"""),"Nhãn")</f>
        <v>Nhãn</v>
      </c>
      <c r="C2003" s="87" t="str">
        <f>IFERROR(__xludf.DUMMYFUNCTION("""COMPUTED_VALUE"""),"NHG1489")</f>
        <v>NHG1489</v>
      </c>
      <c r="D2003" s="87" t="str">
        <f>IFERROR(__xludf.DUMMYFUNCTION("""COMPUTED_VALUE"""),"[Nhãn] LOT IDA Global - I - 1489 - ĐL Tập Hưng - Gà Râu (nước nâu đen) - 450ml - 40")</f>
        <v>[Nhãn] LOT IDA Global - I - 1489 - ĐL Tập Hưng - Gà Râu (nước nâu đen) - 450ml - 40</v>
      </c>
      <c r="E2003" s="87" t="str">
        <f>IFERROR(__xludf.DUMMYFUNCTION("""COMPUTED_VALUE"""),"HAIHAMEC 3.6EC")</f>
        <v>HAIHAMEC 3.6EC</v>
      </c>
      <c r="F2003" s="87" t="str">
        <f>IFERROR(__xludf.DUMMYFUNCTION("""COMPUTED_VALUE"""),"HH1489")</f>
        <v>HH1489</v>
      </c>
      <c r="G2003" s="87" t="str">
        <f>IFERROR(__xludf.DUMMYFUNCTION("""COMPUTED_VALUE"""),"LOT IDA Global - I - 1489 - ĐL Tập Hưng - Gà Râu (nước nâu đen) - 450ml - 40")</f>
        <v>LOT IDA Global - I - 1489 - ĐL Tập Hưng - Gà Râu (nước nâu đen) - 450ml - 40</v>
      </c>
    </row>
    <row r="2004">
      <c r="A2004" s="86">
        <f>IFERROR(__xludf.DUMMYFUNCTION("""COMPUTED_VALUE"""),2002.0)</f>
        <v>2002</v>
      </c>
      <c r="B2004" s="87" t="str">
        <f>IFERROR(__xludf.DUMMYFUNCTION("""COMPUTED_VALUE"""),"Nhãn")</f>
        <v>Nhãn</v>
      </c>
      <c r="C2004" s="87" t="str">
        <f>IFERROR(__xludf.DUMMYFUNCTION("""COMPUTED_VALUE"""),"NHG1492")</f>
        <v>NHG1492</v>
      </c>
      <c r="D2004" s="87" t="str">
        <f>IFERROR(__xludf.DUMMYFUNCTION("""COMPUTED_VALUE"""),"[Nhãn] IDA Global - I - 1492 - Phước An - PAULTRAL( nước hồng) - 240ml - 40")</f>
        <v>[Nhãn] IDA Global - I - 1492 - Phước An - PAULTRAL( nước hồng) - 240ml - 40</v>
      </c>
      <c r="E2004" s="87" t="str">
        <f>IFERROR(__xludf.DUMMYFUNCTION("""COMPUTED_VALUE"""),"PICOSUPER 280SC")</f>
        <v>PICOSUPER 280SC</v>
      </c>
      <c r="F2004" s="87" t="str">
        <f>IFERROR(__xludf.DUMMYFUNCTION("""COMPUTED_VALUE"""),"HH1492")</f>
        <v>HH1492</v>
      </c>
      <c r="G2004" s="87" t="str">
        <f>IFERROR(__xludf.DUMMYFUNCTION("""COMPUTED_VALUE"""),"IDA Global - I - 1492 - Phước An - PAULTRAL( nước hồng) - 240ml - 40")</f>
        <v>IDA Global - I - 1492 - Phước An - PAULTRAL( nước hồng) - 240ml - 40</v>
      </c>
    </row>
    <row r="2005">
      <c r="A2005" s="86">
        <f>IFERROR(__xludf.DUMMYFUNCTION("""COMPUTED_VALUE"""),2003.0)</f>
        <v>2003</v>
      </c>
      <c r="B2005" s="87" t="str">
        <f>IFERROR(__xludf.DUMMYFUNCTION("""COMPUTED_VALUE"""),"HỘP")</f>
        <v>HỘP</v>
      </c>
      <c r="C2005" s="87" t="str">
        <f>IFERROR(__xludf.DUMMYFUNCTION("""COMPUTED_VALUE"""),"HOP1493")</f>
        <v>HOP1493</v>
      </c>
      <c r="D2005" s="87" t="str">
        <f>IFERROR(__xludf.DUMMYFUNCTION("""COMPUTED_VALUE"""),"[HOP] IDA Global - I - 1493 - Bimsuper 650SC (Siêu Diệt Nấm Khuẩn Thế Hệ Mới) - 480ml - 2")</f>
        <v>[HOP] IDA Global - I - 1493 - Bimsuper 650SC (Siêu Diệt Nấm Khuẩn Thế Hệ Mới) - 480ml - 2</v>
      </c>
      <c r="E2005" s="87" t="str">
        <f>IFERROR(__xludf.DUMMYFUNCTION("""COMPUTED_VALUE"""),"BIMSUPER 650SC")</f>
        <v>BIMSUPER 650SC</v>
      </c>
      <c r="F2005" s="87" t="str">
        <f>IFERROR(__xludf.DUMMYFUNCTION("""COMPUTED_VALUE"""),"HH1493")</f>
        <v>HH1493</v>
      </c>
      <c r="G2005" s="87" t="str">
        <f>IFERROR(__xludf.DUMMYFUNCTION("""COMPUTED_VALUE"""),"IDA Global - I - 1493 - Bimsuper 650SC (Drone) (nước hồng cam) - 480ml - 40")</f>
        <v>IDA Global - I - 1493 - Bimsuper 650SC (Drone) (nước hồng cam) - 480ml - 40</v>
      </c>
    </row>
    <row r="2006">
      <c r="A2006" s="86">
        <f>IFERROR(__xludf.DUMMYFUNCTION("""COMPUTED_VALUE"""),2004.0)</f>
        <v>2004</v>
      </c>
      <c r="B2006" s="87" t="str">
        <f>IFERROR(__xludf.DUMMYFUNCTION("""COMPUTED_VALUE"""),"Nhãn")</f>
        <v>Nhãn</v>
      </c>
      <c r="C2006" s="87" t="str">
        <f>IFERROR(__xludf.DUMMYFUNCTION("""COMPUTED_VALUE"""),"NHG1493")</f>
        <v>NHG1493</v>
      </c>
      <c r="D2006" s="87" t="str">
        <f>IFERROR(__xludf.DUMMYFUNCTION("""COMPUTED_VALUE"""),"[Nhãn] IDA Global - I - 1493 - Bimsuper 650SC (Drone) (nước hồng cam) - 480ml - 40")</f>
        <v>[Nhãn] IDA Global - I - 1493 - Bimsuper 650SC (Drone) (nước hồng cam) - 480ml - 40</v>
      </c>
      <c r="E2006" s="87" t="str">
        <f>IFERROR(__xludf.DUMMYFUNCTION("""COMPUTED_VALUE"""),"BIMSUPER 650SC")</f>
        <v>BIMSUPER 650SC</v>
      </c>
      <c r="F2006" s="87" t="str">
        <f>IFERROR(__xludf.DUMMYFUNCTION("""COMPUTED_VALUE"""),"HH1493")</f>
        <v>HH1493</v>
      </c>
      <c r="G2006" s="87" t="str">
        <f>IFERROR(__xludf.DUMMYFUNCTION("""COMPUTED_VALUE"""),"IDA Global - I - 1493 - Bimsuper 650SC (Drone) (nước hồng cam) - 480ml - 40")</f>
        <v>IDA Global - I - 1493 - Bimsuper 650SC (Drone) (nước hồng cam) - 480ml - 40</v>
      </c>
    </row>
    <row r="2007">
      <c r="A2007" s="86">
        <f>IFERROR(__xludf.DUMMYFUNCTION("""COMPUTED_VALUE"""),2005.0)</f>
        <v>2005</v>
      </c>
      <c r="B2007" s="87" t="str">
        <f>IFERROR(__xludf.DUMMYFUNCTION("""COMPUTED_VALUE"""),"Nhãn")</f>
        <v>Nhãn</v>
      </c>
      <c r="C2007" s="87" t="str">
        <f>IFERROR(__xludf.DUMMYFUNCTION("""COMPUTED_VALUE"""),"NHG1495")</f>
        <v>NHG1495</v>
      </c>
      <c r="D2007" s="87" t="str">
        <f>IFERROR(__xludf.DUMMYFUNCTION("""COMPUTED_VALUE"""),"[Nhãn] GC - IV - 1495 - Kim Ngọc - Kino Root (gel nâu đen) - 500ml - 40")</f>
        <v>[Nhãn] GC - IV - 1495 - Kim Ngọc - Kino Root (gel nâu đen) - 500ml - 40</v>
      </c>
      <c r="E2007" s="87" t="str">
        <f>IFERROR(__xludf.DUMMYFUNCTION("""COMPUTED_VALUE"""),"Vi lượng Basel VA01")</f>
        <v>Vi lượng Basel VA01</v>
      </c>
      <c r="F2007" s="87" t="str">
        <f>IFERROR(__xludf.DUMMYFUNCTION("""COMPUTED_VALUE"""),"HH1495")</f>
        <v>HH1495</v>
      </c>
      <c r="G2007" s="87" t="str">
        <f>IFERROR(__xludf.DUMMYFUNCTION("""COMPUTED_VALUE"""),"GC - IV - 1495 - Kim Ngọc - Kino Root (gel nâu đen) - 500ml - 40")</f>
        <v>GC - IV - 1495 - Kim Ngọc - Kino Root (gel nâu đen) - 500ml - 40</v>
      </c>
    </row>
    <row r="2008">
      <c r="A2008" s="86">
        <f>IFERROR(__xludf.DUMMYFUNCTION("""COMPUTED_VALUE"""),2006.0)</f>
        <v>2006</v>
      </c>
      <c r="B2008" s="87" t="str">
        <f>IFERROR(__xludf.DUMMYFUNCTION("""COMPUTED_VALUE"""),"Nhãn")</f>
        <v>Nhãn</v>
      </c>
      <c r="C2008" s="87" t="str">
        <f>IFERROR(__xludf.DUMMYFUNCTION("""COMPUTED_VALUE"""),"NHG1496")</f>
        <v>NHG1496</v>
      </c>
      <c r="D2008" s="87" t="str">
        <f>IFERROR(__xludf.DUMMYFUNCTION("""COMPUTED_VALUE"""),"[Nhãn] GC - II - 1496 - Anh Thiệu - ABASBA 50EC (nước tím) - 450ML - 40")</f>
        <v>[Nhãn] GC - II - 1496 - Anh Thiệu - ABASBA 50EC (nước tím) - 450ML - 40</v>
      </c>
      <c r="E2008" s="87" t="str">
        <f>IFERROR(__xludf.DUMMYFUNCTION("""COMPUTED_VALUE"""),"ABASBA 50EC")</f>
        <v>ABASBA 50EC</v>
      </c>
      <c r="F2008" s="87" t="str">
        <f>IFERROR(__xludf.DUMMYFUNCTION("""COMPUTED_VALUE"""),"HH1496")</f>
        <v>HH1496</v>
      </c>
      <c r="G2008" s="87" t="str">
        <f>IFERROR(__xludf.DUMMYFUNCTION("""COMPUTED_VALUE"""),"GC - II - 1496 - Anh Thiệu - ABASBA 50EC (nước tím) - 450ML - 40")</f>
        <v>GC - II - 1496 - Anh Thiệu - ABASBA 50EC (nước tím) - 450ML - 40</v>
      </c>
    </row>
    <row r="2009">
      <c r="A2009" s="86">
        <f>IFERROR(__xludf.DUMMYFUNCTION("""COMPUTED_VALUE"""),2007.0)</f>
        <v>2007</v>
      </c>
      <c r="B2009" s="87" t="str">
        <f>IFERROR(__xludf.DUMMYFUNCTION("""COMPUTED_VALUE"""),"Nhãn")</f>
        <v>Nhãn</v>
      </c>
      <c r="C2009" s="87" t="str">
        <f>IFERROR(__xludf.DUMMYFUNCTION("""COMPUTED_VALUE"""),"NHG1497")</f>
        <v>NHG1497</v>
      </c>
      <c r="D2009" s="87" t="str">
        <f>IFERROR(__xludf.DUMMYFUNCTION("""COMPUTED_VALUE"""),"[Nhãn] GC - IV - 1497 - Anh Thiệu - THIPRO 550EC (nước tím) - 240ML - 40")</f>
        <v>[Nhãn] GC - IV - 1497 - Anh Thiệu - THIPRO 550EC (nước tím) - 240ML - 40</v>
      </c>
      <c r="E2009" s="87" t="str">
        <f>IFERROR(__xludf.DUMMYFUNCTION("""COMPUTED_VALUE"""),"Thipro 550EC")</f>
        <v>Thipro 550EC</v>
      </c>
      <c r="F2009" s="87" t="str">
        <f>IFERROR(__xludf.DUMMYFUNCTION("""COMPUTED_VALUE"""),"HH1497")</f>
        <v>HH1497</v>
      </c>
      <c r="G2009" s="87" t="str">
        <f>IFERROR(__xludf.DUMMYFUNCTION("""COMPUTED_VALUE"""),"GC - IV - 1497 - Anh Thiệu - THIPRO 550EC (nước tím) - 240ML - 40")</f>
        <v>GC - IV - 1497 - Anh Thiệu - THIPRO 550EC (nước tím) - 240ML - 40</v>
      </c>
    </row>
    <row r="2010">
      <c r="A2010" s="86">
        <f>IFERROR(__xludf.DUMMYFUNCTION("""COMPUTED_VALUE"""),2008.0)</f>
        <v>2008</v>
      </c>
      <c r="B2010" s="87" t="str">
        <f>IFERROR(__xludf.DUMMYFUNCTION("""COMPUTED_VALUE"""),"Nhãn")</f>
        <v>Nhãn</v>
      </c>
      <c r="C2010" s="87" t="str">
        <f>IFERROR(__xludf.DUMMYFUNCTION("""COMPUTED_VALUE"""),"NHG1498")</f>
        <v>NHG1498</v>
      </c>
      <c r="D2010" s="87" t="str">
        <f>IFERROR(__xludf.DUMMYFUNCTION("""COMPUTED_VALUE"""),"[Nhãn] BAMBOO IDA - II - 1498- Bamboo Root 100 (nước nâu đen) - 500ml - 40")</f>
        <v>[Nhãn] BAMBOO IDA - II - 1498- Bamboo Root 100 (nước nâu đen) - 500ml - 40</v>
      </c>
      <c r="E2010" s="87" t="str">
        <f>IFERROR(__xludf.DUMMYFUNCTION("""COMPUTED_VALUE"""),"Vi lượng Quantity New")</f>
        <v>Vi lượng Quantity New</v>
      </c>
      <c r="F2010" s="87" t="str">
        <f>IFERROR(__xludf.DUMMYFUNCTION("""COMPUTED_VALUE"""),"HH1498")</f>
        <v>HH1498</v>
      </c>
      <c r="G2010" s="87" t="str">
        <f>IFERROR(__xludf.DUMMYFUNCTION("""COMPUTED_VALUE"""),"BAMBOO IDA - II - 1498- Bamboo Root 100 (nước nâu đen) - 500ml - 40")</f>
        <v>BAMBOO IDA - II - 1498- Bamboo Root 100 (nước nâu đen) - 500ml - 40</v>
      </c>
    </row>
    <row r="2011">
      <c r="A2011" s="86">
        <f>IFERROR(__xludf.DUMMYFUNCTION("""COMPUTED_VALUE"""),2009.0)</f>
        <v>2009</v>
      </c>
      <c r="B2011" s="87" t="str">
        <f>IFERROR(__xludf.DUMMYFUNCTION("""COMPUTED_VALUE"""),"Nhãn")</f>
        <v>Nhãn</v>
      </c>
      <c r="C2011" s="87" t="str">
        <f>IFERROR(__xludf.DUMMYFUNCTION("""COMPUTED_VALUE"""),"NHG1499")</f>
        <v>NHG1499</v>
      </c>
      <c r="D2011" s="87" t="str">
        <f>IFERROR(__xludf.DUMMYFUNCTION("""COMPUTED_VALUE"""),"[Nhãn] BAMBOO IDA - II - 1499- Bamboo Root Ogranic (nước nâu đen) - 500ml - 40")</f>
        <v>[Nhãn] BAMBOO IDA - II - 1499- Bamboo Root Ogranic (nước nâu đen) - 500ml - 40</v>
      </c>
      <c r="E2011" s="87" t="str">
        <f>IFERROR(__xludf.DUMMYFUNCTION("""COMPUTED_VALUE"""),"Vi lượng Quantity New")</f>
        <v>Vi lượng Quantity New</v>
      </c>
      <c r="F2011" s="87" t="str">
        <f>IFERROR(__xludf.DUMMYFUNCTION("""COMPUTED_VALUE"""),"HH1499")</f>
        <v>HH1499</v>
      </c>
      <c r="G2011" s="87" t="str">
        <f>IFERROR(__xludf.DUMMYFUNCTION("""COMPUTED_VALUE"""),"BAMBOO IDA - II - 1499- Bamboo Root Ogranic (nước nâu đen) - 500ml - 40")</f>
        <v>BAMBOO IDA - II - 1499- Bamboo Root Ogranic (nước nâu đen) - 500ml - 40</v>
      </c>
    </row>
    <row r="2012">
      <c r="A2012" s="86">
        <f>IFERROR(__xludf.DUMMYFUNCTION("""COMPUTED_VALUE"""),2010.0)</f>
        <v>2010</v>
      </c>
      <c r="B2012" s="87" t="str">
        <f>IFERROR(__xludf.DUMMYFUNCTION("""COMPUTED_VALUE"""),"Nhãn")</f>
        <v>Nhãn</v>
      </c>
      <c r="C2012" s="87" t="str">
        <f>IFERROR(__xludf.DUMMYFUNCTION("""COMPUTED_VALUE"""),"NHG1500")</f>
        <v>NHG1500</v>
      </c>
      <c r="D2012" s="87" t="str">
        <f>IFERROR(__xludf.DUMMYFUNCTION("""COMPUTED_VALUE"""),"[Nhãn] BAMBOO IDA - II - 1500 - Bamboo Super Rooting (nước nâu đen) - 500ml - 40")</f>
        <v>[Nhãn] BAMBOO IDA - II - 1500 - Bamboo Super Rooting (nước nâu đen) - 500ml - 40</v>
      </c>
      <c r="E2012" s="87" t="str">
        <f>IFERROR(__xludf.DUMMYFUNCTION("""COMPUTED_VALUE"""),"Vi lượng Quantity New")</f>
        <v>Vi lượng Quantity New</v>
      </c>
      <c r="F2012" s="87" t="str">
        <f>IFERROR(__xludf.DUMMYFUNCTION("""COMPUTED_VALUE"""),"HH1500")</f>
        <v>HH1500</v>
      </c>
      <c r="G2012" s="87" t="str">
        <f>IFERROR(__xludf.DUMMYFUNCTION("""COMPUTED_VALUE"""),"BAMBOO IDA - II - 1500 - Bamboo Super Rooting (nước nâu đen) - 500ml - 40")</f>
        <v>BAMBOO IDA - II - 1500 - Bamboo Super Rooting (nước nâu đen) - 500ml - 40</v>
      </c>
    </row>
    <row r="2013">
      <c r="A2013" s="86">
        <f>IFERROR(__xludf.DUMMYFUNCTION("""COMPUTED_VALUE"""),2011.0)</f>
        <v>2011</v>
      </c>
      <c r="B2013" s="87" t="str">
        <f>IFERROR(__xludf.DUMMYFUNCTION("""COMPUTED_VALUE"""),"Nhãn")</f>
        <v>Nhãn</v>
      </c>
      <c r="C2013" s="87" t="str">
        <f>IFERROR(__xludf.DUMMYFUNCTION("""COMPUTED_VALUE"""),"NHG1501")</f>
        <v>NHG1501</v>
      </c>
      <c r="D2013" s="87" t="str">
        <f>IFERROR(__xludf.DUMMYFUNCTION("""COMPUTED_VALUE"""),"[Nhãn] GC - II - 1501- LOT AGC - Thẳng Trang - DR THÁI ( nước nâu đen) - 1L - 20")</f>
        <v>[Nhãn] GC - II - 1501- LOT AGC - Thẳng Trang - DR THÁI ( nước nâu đen) - 1L - 20</v>
      </c>
      <c r="E2013" s="87" t="str">
        <f>IFERROR(__xludf.DUMMYFUNCTION("""COMPUTED_VALUE"""),"Vi lượng Quantity New")</f>
        <v>Vi lượng Quantity New</v>
      </c>
      <c r="F2013" s="87" t="str">
        <f>IFERROR(__xludf.DUMMYFUNCTION("""COMPUTED_VALUE"""),"HH1501")</f>
        <v>HH1501</v>
      </c>
      <c r="G2013" s="87" t="str">
        <f>IFERROR(__xludf.DUMMYFUNCTION("""COMPUTED_VALUE"""),"GC - II - 1501- LOT AGC - Thẳng Trang - DR THÁI ( nước nâu đen) - 1L - 20")</f>
        <v>GC - II - 1501- LOT AGC - Thẳng Trang - DR THÁI ( nước nâu đen) - 1L - 20</v>
      </c>
    </row>
    <row r="2014">
      <c r="A2014" s="86">
        <f>IFERROR(__xludf.DUMMYFUNCTION("""COMPUTED_VALUE"""),2012.0)</f>
        <v>2012</v>
      </c>
      <c r="B2014" s="87" t="str">
        <f>IFERROR(__xludf.DUMMYFUNCTION("""COMPUTED_VALUE"""),"Nhãn")</f>
        <v>Nhãn</v>
      </c>
      <c r="C2014" s="87" t="str">
        <f>IFERROR(__xludf.DUMMYFUNCTION("""COMPUTED_VALUE"""),"NHG1502")</f>
        <v>NHG1502</v>
      </c>
      <c r="D2014" s="87" t="str">
        <f>IFERROR(__xludf.DUMMYFUNCTION("""COMPUTED_VALUE"""),"[Nhãn] GC - IV - 1502 - SINO CHEMICAL- BỌ NGỰA SINO (nước xanh dương) - 100ML - 50")</f>
        <v>[Nhãn] GC - IV - 1502 - SINO CHEMICAL- BỌ NGỰA SINO (nước xanh dương) - 100ML - 50</v>
      </c>
      <c r="E2014" s="87" t="str">
        <f>IFERROR(__xludf.DUMMYFUNCTION("""COMPUTED_VALUE"""),"NEW FUZE 200SC")</f>
        <v>NEW FUZE 200SC</v>
      </c>
      <c r="F2014" s="87" t="str">
        <f>IFERROR(__xludf.DUMMYFUNCTION("""COMPUTED_VALUE"""),"HH1502")</f>
        <v>HH1502</v>
      </c>
      <c r="G2014" s="87" t="str">
        <f>IFERROR(__xludf.DUMMYFUNCTION("""COMPUTED_VALUE"""),"GC - IV - 1502 - SINO CHEMICAL- BỌ NGỰA SINO (nước xanh dương) - 100ML - 50")</f>
        <v>GC - IV - 1502 - SINO CHEMICAL- BỌ NGỰA SINO (nước xanh dương) - 100ML - 50</v>
      </c>
    </row>
    <row r="2015">
      <c r="A2015" s="86">
        <f>IFERROR(__xludf.DUMMYFUNCTION("""COMPUTED_VALUE"""),2013.0)</f>
        <v>2013</v>
      </c>
      <c r="B2015" s="87" t="str">
        <f>IFERROR(__xludf.DUMMYFUNCTION("""COMPUTED_VALUE"""),"Nhãn")</f>
        <v>Nhãn</v>
      </c>
      <c r="C2015" s="87" t="str">
        <f>IFERROR(__xludf.DUMMYFUNCTION("""COMPUTED_VALUE"""),"NHG1503")</f>
        <v>NHG1503</v>
      </c>
      <c r="D2015" s="87" t="str">
        <f>IFERROR(__xludf.DUMMYFUNCTION("""COMPUTED_VALUE"""),"[Nhãn] GC - IV - 1503 - SINO CHEMICAL- KASU SINO (nước xanh lá) - 450ML - 40")</f>
        <v>[Nhãn] GC - IV - 1503 - SINO CHEMICAL- KASU SINO (nước xanh lá) - 450ML - 40</v>
      </c>
      <c r="E2015" s="87" t="str">
        <f>IFERROR(__xludf.DUMMYFUNCTION("""COMPUTED_VALUE"""),"Kamycinjapane 20SL")</f>
        <v>Kamycinjapane 20SL</v>
      </c>
      <c r="F2015" s="87" t="str">
        <f>IFERROR(__xludf.DUMMYFUNCTION("""COMPUTED_VALUE"""),"HH1503")</f>
        <v>HH1503</v>
      </c>
      <c r="G2015" s="87" t="str">
        <f>IFERROR(__xludf.DUMMYFUNCTION("""COMPUTED_VALUE"""),"GC - IV - 1503 - SINO CHEMICAL- KASU SINO (nước xanh lá) - 450ML - 40")</f>
        <v>GC - IV - 1503 - SINO CHEMICAL- KASU SINO (nước xanh lá) - 450ML - 40</v>
      </c>
    </row>
    <row r="2016">
      <c r="A2016" s="86">
        <f>IFERROR(__xludf.DUMMYFUNCTION("""COMPUTED_VALUE"""),2014.0)</f>
        <v>2014</v>
      </c>
      <c r="B2016" s="87" t="str">
        <f>IFERROR(__xludf.DUMMYFUNCTION("""COMPUTED_VALUE"""),"Nhãn")</f>
        <v>Nhãn</v>
      </c>
      <c r="C2016" s="87" t="str">
        <f>IFERROR(__xludf.DUMMYFUNCTION("""COMPUTED_VALUE"""),"NHG1504")</f>
        <v>NHG1504</v>
      </c>
      <c r="D2016" s="87" t="str">
        <f>IFERROR(__xludf.DUMMYFUNCTION("""COMPUTED_VALUE"""),"[Nhãn] IDA Global - I - 1504 - ĐL Đức Minh - MEKONGVIL 5SC (nước vàng) - 1L - 20")</f>
        <v>[Nhãn] IDA Global - I - 1504 - ĐL Đức Minh - MEKONGVIL 5SC (nước vàng) - 1L - 20</v>
      </c>
      <c r="E2016" s="87" t="str">
        <f>IFERROR(__xludf.DUMMYFUNCTION("""COMPUTED_VALUE"""),"Mekongvil 5SC")</f>
        <v>Mekongvil 5SC</v>
      </c>
      <c r="F2016" s="87" t="str">
        <f>IFERROR(__xludf.DUMMYFUNCTION("""COMPUTED_VALUE"""),"HH1504")</f>
        <v>HH1504</v>
      </c>
      <c r="G2016" s="87" t="str">
        <f>IFERROR(__xludf.DUMMYFUNCTION("""COMPUTED_VALUE"""),"IDA Global - I - 1504 - ĐL Đức Minh - MEKONGVIL 5SC (nước vàng) - 1L - 20")</f>
        <v>IDA Global - I - 1504 - ĐL Đức Minh - MEKONGVIL 5SC (nước vàng) - 1L - 20</v>
      </c>
    </row>
    <row r="2017">
      <c r="A2017" s="86">
        <f>IFERROR(__xludf.DUMMYFUNCTION("""COMPUTED_VALUE"""),2015.0)</f>
        <v>2015</v>
      </c>
      <c r="B2017" s="87" t="str">
        <f>IFERROR(__xludf.DUMMYFUNCTION("""COMPUTED_VALUE"""),"Nhãn")</f>
        <v>Nhãn</v>
      </c>
      <c r="C2017" s="87" t="str">
        <f>IFERROR(__xludf.DUMMYFUNCTION("""COMPUTED_VALUE"""),"NHG1505")</f>
        <v>NHG1505</v>
      </c>
      <c r="D2017" s="87" t="str">
        <f>IFERROR(__xludf.DUMMYFUNCTION("""COMPUTED_VALUE"""),"[Nhãn] IDA Global - I - 1505 - IDA GENOL 1.2SL( nước đỏ ) - 250ml - 40")</f>
        <v>[Nhãn] IDA Global - I - 1505 - IDA GENOL 1.2SL( nước đỏ ) - 250ml - 40</v>
      </c>
      <c r="E2017" s="87" t="str">
        <f>IFERROR(__xludf.DUMMYFUNCTION("""COMPUTED_VALUE"""),"GENOL 1.2SL")</f>
        <v>GENOL 1.2SL</v>
      </c>
      <c r="F2017" s="87" t="str">
        <f>IFERROR(__xludf.DUMMYFUNCTION("""COMPUTED_VALUE"""),"HH1505")</f>
        <v>HH1505</v>
      </c>
      <c r="G2017" s="87" t="str">
        <f>IFERROR(__xludf.DUMMYFUNCTION("""COMPUTED_VALUE"""),"IDA Global - I - 1505 - IDA GENOL 1.2SL( nước đỏ ) - 250ml - 40")</f>
        <v>IDA Global - I - 1505 - IDA GENOL 1.2SL( nước đỏ ) - 250ml - 40</v>
      </c>
    </row>
    <row r="2018">
      <c r="A2018" s="86">
        <f>IFERROR(__xludf.DUMMYFUNCTION("""COMPUTED_VALUE"""),2016.0)</f>
        <v>2016</v>
      </c>
      <c r="B2018" s="87" t="str">
        <f>IFERROR(__xludf.DUMMYFUNCTION("""COMPUTED_VALUE"""),"Nhãn")</f>
        <v>Nhãn</v>
      </c>
      <c r="C2018" s="87" t="str">
        <f>IFERROR(__xludf.DUMMYFUNCTION("""COMPUTED_VALUE"""),"NTN1506")</f>
        <v>NTN1506</v>
      </c>
      <c r="D2018" s="87" t="str">
        <f>IFERROR(__xludf.DUMMYFUNCTION("""COMPUTED_VALUE"""),"[Nhãn] GC - IV - 1506 - Khả Lâm - VD100 THAI( bột màu trắng) - 100gr - 150")</f>
        <v>[Nhãn] GC - IV - 1506 - Khả Lâm - VD100 THAI( bột màu trắng) - 100gr - 150</v>
      </c>
      <c r="E2018" s="87" t="str">
        <f>IFERROR(__xludf.DUMMYFUNCTION("""COMPUTED_VALUE"""),"IMIPRID 10WP")</f>
        <v>IMIPRID 10WP</v>
      </c>
      <c r="F2018" s="87" t="str">
        <f>IFERROR(__xludf.DUMMYFUNCTION("""COMPUTED_VALUE"""),"HH1506")</f>
        <v>HH1506</v>
      </c>
      <c r="G2018" s="87" t="str">
        <f>IFERROR(__xludf.DUMMYFUNCTION("""COMPUTED_VALUE"""),"GC - IV - 1506 - Khả Lâm - VD100 THAI( bột màu trắng) - 100gr - 150")</f>
        <v>GC - IV - 1506 - Khả Lâm - VD100 THAI( bột màu trắng) - 100gr - 150</v>
      </c>
    </row>
    <row r="2019">
      <c r="A2019" s="86">
        <f>IFERROR(__xludf.DUMMYFUNCTION("""COMPUTED_VALUE"""),2017.0)</f>
        <v>2017</v>
      </c>
      <c r="B2019" s="87" t="str">
        <f>IFERROR(__xludf.DUMMYFUNCTION("""COMPUTED_VALUE"""),"Nhãn thùng")</f>
        <v>Nhãn thùng</v>
      </c>
      <c r="C2019" s="87" t="str">
        <f>IFERROR(__xludf.DUMMYFUNCTION("""COMPUTED_VALUE"""),"NDT1506")</f>
        <v>NDT1506</v>
      </c>
      <c r="D2019" s="87" t="str">
        <f>IFERROR(__xludf.DUMMYFUNCTION("""COMPUTED_VALUE"""),"[Nhãn thùng] GC - IV - 1506 - Khả Lâm - VD100 THAI( bột màu trắng) - 100gr - 150")</f>
        <v>[Nhãn thùng] GC - IV - 1506 - Khả Lâm - VD100 THAI( bột màu trắng) - 100gr - 150</v>
      </c>
      <c r="E2019" s="87" t="str">
        <f>IFERROR(__xludf.DUMMYFUNCTION("""COMPUTED_VALUE"""),"IMIPRID 10WP")</f>
        <v>IMIPRID 10WP</v>
      </c>
      <c r="F2019" s="87" t="str">
        <f>IFERROR(__xludf.DUMMYFUNCTION("""COMPUTED_VALUE"""),"HH1506")</f>
        <v>HH1506</v>
      </c>
      <c r="G2019" s="87" t="str">
        <f>IFERROR(__xludf.DUMMYFUNCTION("""COMPUTED_VALUE"""),"GC - IV - 1506 - Khả Lâm - VD100 THAI( bột màu trắng) - 100gr - 150")</f>
        <v>GC - IV - 1506 - Khả Lâm - VD100 THAI( bột màu trắng) - 100gr - 150</v>
      </c>
    </row>
    <row r="2020">
      <c r="A2020" s="86">
        <f>IFERROR(__xludf.DUMMYFUNCTION("""COMPUTED_VALUE"""),2018.0)</f>
        <v>2018</v>
      </c>
      <c r="B2020" s="87" t="str">
        <f>IFERROR(__xludf.DUMMYFUNCTION("""COMPUTED_VALUE"""),"Nhãn")</f>
        <v>Nhãn</v>
      </c>
      <c r="C2020" s="87" t="str">
        <f>IFERROR(__xludf.DUMMYFUNCTION("""COMPUTED_VALUE"""),"NHG1509")</f>
        <v>NHG1509</v>
      </c>
      <c r="D2020" s="87" t="str">
        <f>IFERROR(__xludf.DUMMYFUNCTION("""COMPUTED_VALUE"""),"[Nhãn] IDA Global - I - 1509 - Cá Mập 300( nước trắng sữa ) - 240ml - 40")</f>
        <v>[Nhãn] IDA Global - I - 1509 - Cá Mập 300( nước trắng sữa ) - 240ml - 40</v>
      </c>
      <c r="E2020" s="87" t="str">
        <f>IFERROR(__xludf.DUMMYFUNCTION("""COMPUTED_VALUE"""),"Solonapy 300SC")</f>
        <v>Solonapy 300SC</v>
      </c>
      <c r="F2020" s="87" t="str">
        <f>IFERROR(__xludf.DUMMYFUNCTION("""COMPUTED_VALUE"""),"HH1509")</f>
        <v>HH1509</v>
      </c>
      <c r="G2020" s="87" t="str">
        <f>IFERROR(__xludf.DUMMYFUNCTION("""COMPUTED_VALUE"""),"IDA Global - I - 1509 - Cá Mập 300( nước trắng sữa ) - 240ml - 40")</f>
        <v>IDA Global - I - 1509 - Cá Mập 300( nước trắng sữa ) - 240ml - 40</v>
      </c>
    </row>
    <row r="2021">
      <c r="A2021" s="86">
        <f>IFERROR(__xludf.DUMMYFUNCTION("""COMPUTED_VALUE"""),2019.0)</f>
        <v>2019</v>
      </c>
      <c r="B2021" s="87" t="str">
        <f>IFERROR(__xludf.DUMMYFUNCTION("""COMPUTED_VALUE"""),"Nhãn")</f>
        <v>Nhãn</v>
      </c>
      <c r="C2021" s="87" t="str">
        <f>IFERROR(__xludf.DUMMYFUNCTION("""COMPUTED_VALUE"""),"NHG1510")</f>
        <v>NHG1510</v>
      </c>
      <c r="D2021" s="87" t="str">
        <f>IFERROR(__xludf.DUMMYFUNCTION("""COMPUTED_VALUE"""),"[Nhãn] GC - IV - 1510 - BELLORMAR - Vatino super 525 SE (nước cam sữa) - 240ml - 40")</f>
        <v>[Nhãn] GC - IV - 1510 - BELLORMAR - Vatino super 525 SE (nước cam sữa) - 240ml - 40</v>
      </c>
      <c r="E2021" s="87" t="str">
        <f>IFERROR(__xludf.DUMMYFUNCTION("""COMPUTED_VALUE"""),"VATINO SUPER 525SE")</f>
        <v>VATINO SUPER 525SE</v>
      </c>
      <c r="F2021" s="87" t="str">
        <f>IFERROR(__xludf.DUMMYFUNCTION("""COMPUTED_VALUE"""),"HH1510")</f>
        <v>HH1510</v>
      </c>
      <c r="G2021" s="87" t="str">
        <f>IFERROR(__xludf.DUMMYFUNCTION("""COMPUTED_VALUE"""),"GC - IV - 1510 - BELLORMAR - Vatino super 525 SE (nước cam sữa) - 240ml - 40")</f>
        <v>GC - IV - 1510 - BELLORMAR - Vatino super 525 SE (nước cam sữa) - 240ml - 40</v>
      </c>
    </row>
    <row r="2022">
      <c r="A2022" s="86">
        <f>IFERROR(__xludf.DUMMYFUNCTION("""COMPUTED_VALUE"""),2020.0)</f>
        <v>2020</v>
      </c>
      <c r="B2022" s="87" t="str">
        <f>IFERROR(__xludf.DUMMYFUNCTION("""COMPUTED_VALUE"""),"Nhãn")</f>
        <v>Nhãn</v>
      </c>
      <c r="C2022" s="87" t="str">
        <f>IFERROR(__xludf.DUMMYFUNCTION("""COMPUTED_VALUE"""),"NHG1511")</f>
        <v>NHG1511</v>
      </c>
      <c r="D2022" s="87" t="str">
        <f>IFERROR(__xludf.DUMMYFUNCTION("""COMPUTED_VALUE"""),"[Nhãn] GC - II - 1511 - NANO FISH - UNI STOP 25 (nước nâu đen) - 1L - 20")</f>
        <v>[Nhãn] GC - II - 1511 - NANO FISH - UNI STOP 25 (nước nâu đen) - 1L - 20</v>
      </c>
      <c r="E2022" s="87" t="str">
        <f>IFERROR(__xludf.DUMMYFUNCTION("""COMPUTED_VALUE"""),"Vi lượng Quantity New")</f>
        <v>Vi lượng Quantity New</v>
      </c>
      <c r="F2022" s="87" t="str">
        <f>IFERROR(__xludf.DUMMYFUNCTION("""COMPUTED_VALUE"""),"HH1511")</f>
        <v>HH1511</v>
      </c>
      <c r="G2022" s="87" t="str">
        <f>IFERROR(__xludf.DUMMYFUNCTION("""COMPUTED_VALUE"""),"GC - II - 1511 - NANO FISH - UNI STOP 25 (nước nâu đen) - 1L - 20")</f>
        <v>GC - II - 1511 - NANO FISH - UNI STOP 25 (nước nâu đen) - 1L - 20</v>
      </c>
    </row>
    <row r="2023">
      <c r="A2023" s="86">
        <f>IFERROR(__xludf.DUMMYFUNCTION("""COMPUTED_VALUE"""),2021.0)</f>
        <v>2021</v>
      </c>
      <c r="B2023" s="87" t="str">
        <f>IFERROR(__xludf.DUMMYFUNCTION("""COMPUTED_VALUE"""),"Nhãn")</f>
        <v>Nhãn</v>
      </c>
      <c r="C2023" s="87" t="str">
        <f>IFERROR(__xludf.DUMMYFUNCTION("""COMPUTED_VALUE"""),"NHG1512")</f>
        <v>NHG1512</v>
      </c>
      <c r="D2023" s="87" t="str">
        <f>IFERROR(__xludf.DUMMYFUNCTION("""COMPUTED_VALUE"""),"[Nhãn] GC - II - 1512 - NANO FISH - PHOSKA 90 (nước nâu đen) - 1L - 20")</f>
        <v>[Nhãn] GC - II - 1512 - NANO FISH - PHOSKA 90 (nước nâu đen) - 1L - 20</v>
      </c>
      <c r="E2023" s="87" t="str">
        <f>IFERROR(__xludf.DUMMYFUNCTION("""COMPUTED_VALUE"""),"Vi lượng Quantity New")</f>
        <v>Vi lượng Quantity New</v>
      </c>
      <c r="F2023" s="87" t="str">
        <f>IFERROR(__xludf.DUMMYFUNCTION("""COMPUTED_VALUE"""),"HH1512")</f>
        <v>HH1512</v>
      </c>
      <c r="G2023" s="87" t="str">
        <f>IFERROR(__xludf.DUMMYFUNCTION("""COMPUTED_VALUE"""),"GC - II - 1512 - NANO FISH - PHOSKA 90 (nước nâu đen) - 1L - 20")</f>
        <v>GC - II - 1512 - NANO FISH - PHOSKA 90 (nước nâu đen) - 1L - 20</v>
      </c>
    </row>
    <row r="2024">
      <c r="A2024" s="86">
        <f>IFERROR(__xludf.DUMMYFUNCTION("""COMPUTED_VALUE"""),2022.0)</f>
        <v>2022</v>
      </c>
      <c r="B2024" s="87" t="str">
        <f>IFERROR(__xludf.DUMMYFUNCTION("""COMPUTED_VALUE"""),"Nhãn")</f>
        <v>Nhãn</v>
      </c>
      <c r="C2024" s="87" t="str">
        <f>IFERROR(__xludf.DUMMYFUNCTION("""COMPUTED_VALUE"""),"NHG1513")</f>
        <v>NHG1513</v>
      </c>
      <c r="D2024" s="87" t="str">
        <f>IFERROR(__xludf.DUMMYFUNCTION("""COMPUTED_VALUE"""),"[Nhãn] GC - II - 1513 - GC.Nanofish - LEAF 90 (nước nâu đen) - 1L - 20")</f>
        <v>[Nhãn] GC - II - 1513 - GC.Nanofish - LEAF 90 (nước nâu đen) - 1L - 20</v>
      </c>
      <c r="E2024" s="87" t="str">
        <f>IFERROR(__xludf.DUMMYFUNCTION("""COMPUTED_VALUE"""),"Vi lượng Quantity New")</f>
        <v>Vi lượng Quantity New</v>
      </c>
      <c r="F2024" s="87" t="str">
        <f>IFERROR(__xludf.DUMMYFUNCTION("""COMPUTED_VALUE"""),"HH1513")</f>
        <v>HH1513</v>
      </c>
      <c r="G2024" s="87" t="str">
        <f>IFERROR(__xludf.DUMMYFUNCTION("""COMPUTED_VALUE"""),"GC - II - 1513 - GC.Nanofish - LEAF 90 (nước nâu đen) - 1L - 20")</f>
        <v>GC - II - 1513 - GC.Nanofish - LEAF 90 (nước nâu đen) - 1L - 20</v>
      </c>
    </row>
    <row r="2025">
      <c r="A2025" s="86">
        <f>IFERROR(__xludf.DUMMYFUNCTION("""COMPUTED_VALUE"""),2023.0)</f>
        <v>2023</v>
      </c>
      <c r="B2025" s="87" t="str">
        <f>IFERROR(__xludf.DUMMYFUNCTION("""COMPUTED_VALUE"""),"Nhãn")</f>
        <v>Nhãn</v>
      </c>
      <c r="C2025" s="87" t="str">
        <f>IFERROR(__xludf.DUMMYFUNCTION("""COMPUTED_VALUE"""),"NHG1514")</f>
        <v>NHG1514</v>
      </c>
      <c r="D2025" s="87" t="str">
        <f>IFERROR(__xludf.DUMMYFUNCTION("""COMPUTED_VALUE"""),"[Nhãn] GC - II - 1514 - NANO FISH - KICK UP (nước nâu đen) - 1L - 20")</f>
        <v>[Nhãn] GC - II - 1514 - NANO FISH - KICK UP (nước nâu đen) - 1L - 20</v>
      </c>
      <c r="E2025" s="87" t="str">
        <f>IFERROR(__xludf.DUMMYFUNCTION("""COMPUTED_VALUE"""),"Vi lượng Quantity New")</f>
        <v>Vi lượng Quantity New</v>
      </c>
      <c r="F2025" s="87" t="str">
        <f>IFERROR(__xludf.DUMMYFUNCTION("""COMPUTED_VALUE"""),"HH1514")</f>
        <v>HH1514</v>
      </c>
      <c r="G2025" s="87" t="str">
        <f>IFERROR(__xludf.DUMMYFUNCTION("""COMPUTED_VALUE"""),"GC - II - 1514 - NANO FISH - KICK UP (nước nâu đen) - 1L - 20")</f>
        <v>GC - II - 1514 - NANO FISH - KICK UP (nước nâu đen) - 1L - 20</v>
      </c>
    </row>
    <row r="2026">
      <c r="A2026" s="86">
        <f>IFERROR(__xludf.DUMMYFUNCTION("""COMPUTED_VALUE"""),2024.0)</f>
        <v>2024</v>
      </c>
      <c r="B2026" s="87" t="str">
        <f>IFERROR(__xludf.DUMMYFUNCTION("""COMPUTED_VALUE"""),"Nhãn")</f>
        <v>Nhãn</v>
      </c>
      <c r="C2026" s="87" t="str">
        <f>IFERROR(__xludf.DUMMYFUNCTION("""COMPUTED_VALUE"""),"NHG1515")</f>
        <v>NHG1515</v>
      </c>
      <c r="D2026" s="87" t="str">
        <f>IFERROR(__xludf.DUMMYFUNCTION("""COMPUTED_VALUE"""),"[Nhãn] GC - II - 1515 - NANO FISH - DROP DOWN(nước nâu đen) - 1L - 20")</f>
        <v>[Nhãn] GC - II - 1515 - NANO FISH - DROP DOWN(nước nâu đen) - 1L - 20</v>
      </c>
      <c r="E2026" s="87" t="str">
        <f>IFERROR(__xludf.DUMMYFUNCTION("""COMPUTED_VALUE"""),"Vi lượng Quantity New")</f>
        <v>Vi lượng Quantity New</v>
      </c>
      <c r="F2026" s="87" t="str">
        <f>IFERROR(__xludf.DUMMYFUNCTION("""COMPUTED_VALUE"""),"HH1515")</f>
        <v>HH1515</v>
      </c>
      <c r="G2026" s="87" t="str">
        <f>IFERROR(__xludf.DUMMYFUNCTION("""COMPUTED_VALUE"""),"GC - II - 1515 - NANO FISH - DROP DOWN(nước nâu đen) - 1L - 20")</f>
        <v>GC - II - 1515 - NANO FISH - DROP DOWN(nước nâu đen) - 1L - 20</v>
      </c>
    </row>
    <row r="2027">
      <c r="A2027" s="86">
        <f>IFERROR(__xludf.DUMMYFUNCTION("""COMPUTED_VALUE"""),2025.0)</f>
        <v>2025</v>
      </c>
      <c r="B2027" s="87" t="str">
        <f>IFERROR(__xludf.DUMMYFUNCTION("""COMPUTED_VALUE"""),"Nhãn")</f>
        <v>Nhãn</v>
      </c>
      <c r="C2027" s="87" t="str">
        <f>IFERROR(__xludf.DUMMYFUNCTION("""COMPUTED_VALUE"""),"NHD1516")</f>
        <v>NHD1516</v>
      </c>
      <c r="D2027" s="87" t="str">
        <f>IFERROR(__xludf.DUMMYFUNCTION("""COMPUTED_VALUE"""),"[Nhãn] GC - II - 1516 - AGC - Dr.Green (nước xanh) - 250ML - 40")</f>
        <v>[Nhãn] GC - II - 1516 - AGC - Dr.Green (nước xanh) - 250ML - 40</v>
      </c>
      <c r="E2027" s="87" t="str">
        <f>IFERROR(__xludf.DUMMYFUNCTION("""COMPUTED_VALUE"""),"Vi lượng Quantity New")</f>
        <v>Vi lượng Quantity New</v>
      </c>
      <c r="F2027" s="87" t="str">
        <f>IFERROR(__xludf.DUMMYFUNCTION("""COMPUTED_VALUE"""),"HH1516")</f>
        <v>HH1516</v>
      </c>
      <c r="G2027" s="87" t="str">
        <f>IFERROR(__xludf.DUMMYFUNCTION("""COMPUTED_VALUE"""),"GC - II - 1516 - AGC - Dr.Green (nước xanh) - 250ML - 40")</f>
        <v>GC - II - 1516 - AGC - Dr.Green (nước xanh) - 250ML - 40</v>
      </c>
    </row>
    <row r="2028">
      <c r="A2028" s="86">
        <f>IFERROR(__xludf.DUMMYFUNCTION("""COMPUTED_VALUE"""),2026.0)</f>
        <v>2026</v>
      </c>
      <c r="B2028" s="87" t="str">
        <f>IFERROR(__xludf.DUMMYFUNCTION("""COMPUTED_VALUE"""),"Nhãn thùng")</f>
        <v>Nhãn thùng</v>
      </c>
      <c r="C2028" s="87" t="str">
        <f>IFERROR(__xludf.DUMMYFUNCTION("""COMPUTED_VALUE"""),"NDT1516")</f>
        <v>NDT1516</v>
      </c>
      <c r="D2028" s="87" t="str">
        <f>IFERROR(__xludf.DUMMYFUNCTION("""COMPUTED_VALUE"""),"[Nhãn thùng] GC - II - 1516 - AGC - Dr.Green (nước xanh) - 250ML - 40")</f>
        <v>[Nhãn thùng] GC - II - 1516 - AGC - Dr.Green (nước xanh) - 250ML - 40</v>
      </c>
      <c r="E2028" s="87" t="str">
        <f>IFERROR(__xludf.DUMMYFUNCTION("""COMPUTED_VALUE"""),"Vi lượng Quantity New")</f>
        <v>Vi lượng Quantity New</v>
      </c>
      <c r="F2028" s="87" t="str">
        <f>IFERROR(__xludf.DUMMYFUNCTION("""COMPUTED_VALUE"""),"HH1516")</f>
        <v>HH1516</v>
      </c>
      <c r="G2028" s="87" t="str">
        <f>IFERROR(__xludf.DUMMYFUNCTION("""COMPUTED_VALUE"""),"GC - II - 1516 - AGC - Dr.Green (nước xanh) - 250ML - 40")</f>
        <v>GC - II - 1516 - AGC - Dr.Green (nước xanh) - 250ML - 40</v>
      </c>
    </row>
    <row r="2029">
      <c r="A2029" s="86">
        <f>IFERROR(__xludf.DUMMYFUNCTION("""COMPUTED_VALUE"""),2027.0)</f>
        <v>2027</v>
      </c>
      <c r="B2029" s="87" t="str">
        <f>IFERROR(__xludf.DUMMYFUNCTION("""COMPUTED_VALUE"""),"Nhãn")</f>
        <v>Nhãn</v>
      </c>
      <c r="C2029" s="87" t="str">
        <f>IFERROR(__xludf.DUMMYFUNCTION("""COMPUTED_VALUE"""),"NHG1517")</f>
        <v>NHG1517</v>
      </c>
      <c r="D2029" s="87" t="str">
        <f>IFERROR(__xludf.DUMMYFUNCTION("""COMPUTED_VALUE"""),"[Nhãn] GC - II - 1517 - CTY NGỌC BẢO LONG AGRI - SIÊU VÔ GẠO (nước nâu đen) - 500ml - 30")</f>
        <v>[Nhãn] GC - II - 1517 - CTY NGỌC BẢO LONG AGRI - SIÊU VÔ GẠO (nước nâu đen) - 500ml - 30</v>
      </c>
      <c r="E2029" s="87" t="str">
        <f>IFERROR(__xludf.DUMMYFUNCTION("""COMPUTED_VALUE"""),"Vi lượng BM-KABO")</f>
        <v>Vi lượng BM-KABO</v>
      </c>
      <c r="F2029" s="87" t="str">
        <f>IFERROR(__xludf.DUMMYFUNCTION("""COMPUTED_VALUE"""),"HH1517")</f>
        <v>HH1517</v>
      </c>
      <c r="G2029" s="87" t="str">
        <f>IFERROR(__xludf.DUMMYFUNCTION("""COMPUTED_VALUE"""),"GC - II - 1517 - CTY NGỌC BẢO LONG AGRI - SIÊU VÔ GẠO (nước nâu đen) - 500ml - 30")</f>
        <v>GC - II - 1517 - CTY NGỌC BẢO LONG AGRI - SIÊU VÔ GẠO (nước nâu đen) - 500ml - 30</v>
      </c>
    </row>
    <row r="2030">
      <c r="A2030" s="86">
        <f>IFERROR(__xludf.DUMMYFUNCTION("""COMPUTED_VALUE"""),2028.0)</f>
        <v>2028</v>
      </c>
      <c r="B2030" s="87" t="str">
        <f>IFERROR(__xludf.DUMMYFUNCTION("""COMPUTED_VALUE"""),"Nhãn")</f>
        <v>Nhãn</v>
      </c>
      <c r="C2030" s="87" t="str">
        <f>IFERROR(__xludf.DUMMYFUNCTION("""COMPUTED_VALUE"""),"NHG1518")</f>
        <v>NHG1518</v>
      </c>
      <c r="D2030" s="87" t="str">
        <f>IFERROR(__xludf.DUMMYFUNCTION("""COMPUTED_VALUE"""),"[Nhãn] GC - II - 1518 - CTY NGỌC BẢO LONG AGRI - SIÊU RA RỄ (nước nâu đen) - 500ml - 30")</f>
        <v>[Nhãn] GC - II - 1518 - CTY NGỌC BẢO LONG AGRI - SIÊU RA RỄ (nước nâu đen) - 500ml - 30</v>
      </c>
      <c r="E2030" s="87" t="str">
        <f>IFERROR(__xludf.DUMMYFUNCTION("""COMPUTED_VALUE"""),"Vi lượng Quantity New")</f>
        <v>Vi lượng Quantity New</v>
      </c>
      <c r="F2030" s="87" t="str">
        <f>IFERROR(__xludf.DUMMYFUNCTION("""COMPUTED_VALUE"""),"HH1518")</f>
        <v>HH1518</v>
      </c>
      <c r="G2030" s="87" t="str">
        <f>IFERROR(__xludf.DUMMYFUNCTION("""COMPUTED_VALUE"""),"GC - II - 1518 - CTY NGỌC BẢO LONG AGRI - SIÊU RA RỄ (nước nâu đen) - 500ml - 30")</f>
        <v>GC - II - 1518 - CTY NGỌC BẢO LONG AGRI - SIÊU RA RỄ (nước nâu đen) - 500ml - 30</v>
      </c>
    </row>
    <row r="2031">
      <c r="A2031" s="86">
        <f>IFERROR(__xludf.DUMMYFUNCTION("""COMPUTED_VALUE"""),2029.0)</f>
        <v>2029</v>
      </c>
      <c r="B2031" s="87" t="str">
        <f>IFERROR(__xludf.DUMMYFUNCTION("""COMPUTED_VALUE"""),"Nhãn")</f>
        <v>Nhãn</v>
      </c>
      <c r="C2031" s="87" t="str">
        <f>IFERROR(__xludf.DUMMYFUNCTION("""COMPUTED_VALUE"""),"NHD1519")</f>
        <v>NHD1519</v>
      </c>
      <c r="D2031" s="87" t="str">
        <f>IFERROR(__xludf.DUMMYFUNCTION("""COMPUTED_VALUE"""),"[Nhãn] GC - II - 1519 - ANH BẢO - HUMIC BLACK (vảy màu đen) - 25kg - 1")</f>
        <v>[Nhãn] GC - II - 1519 - ANH BẢO - HUMIC BLACK (vảy màu đen) - 25kg - 1</v>
      </c>
      <c r="E2031" s="87" t="str">
        <f>IFERROR(__xludf.DUMMYFUNCTION("""COMPUTED_VALUE"""),"Hữu cơ sinh học Nam Kinh 02")</f>
        <v>Hữu cơ sinh học Nam Kinh 02</v>
      </c>
      <c r="F2031" s="87" t="str">
        <f>IFERROR(__xludf.DUMMYFUNCTION("""COMPUTED_VALUE"""),"HH1519")</f>
        <v>HH1519</v>
      </c>
      <c r="G2031" s="87" t="str">
        <f>IFERROR(__xludf.DUMMYFUNCTION("""COMPUTED_VALUE"""),"GC - II - 1519 - ANH BẢO - HUMIC BLACK (vảy màu đen) - 25kg - 1")</f>
        <v>GC - II - 1519 - ANH BẢO - HUMIC BLACK (vảy màu đen) - 25kg - 1</v>
      </c>
    </row>
    <row r="2032">
      <c r="A2032" s="86">
        <f>IFERROR(__xludf.DUMMYFUNCTION("""COMPUTED_VALUE"""),2030.0)</f>
        <v>2030</v>
      </c>
      <c r="B2032" s="87" t="str">
        <f>IFERROR(__xludf.DUMMYFUNCTION("""COMPUTED_VALUE"""),"Nhãn")</f>
        <v>Nhãn</v>
      </c>
      <c r="C2032" s="87" t="str">
        <f>IFERROR(__xludf.DUMMYFUNCTION("""COMPUTED_VALUE"""),"NHG1520")</f>
        <v>NHG1520</v>
      </c>
      <c r="D2032" s="87" t="str">
        <f>IFERROR(__xludf.DUMMYFUNCTION("""COMPUTED_VALUE"""),"[Nhãn] GC - II - 1520 - NHP GROUP - KODO STOP (nước nâu đen) - 1L - 20")</f>
        <v>[Nhãn] GC - II - 1520 - NHP GROUP - KODO STOP (nước nâu đen) - 1L - 20</v>
      </c>
      <c r="E2032" s="87" t="str">
        <f>IFERROR(__xludf.DUMMYFUNCTION("""COMPUTED_VALUE"""),"Vi lượng Quantity New")</f>
        <v>Vi lượng Quantity New</v>
      </c>
      <c r="F2032" s="87" t="str">
        <f>IFERROR(__xludf.DUMMYFUNCTION("""COMPUTED_VALUE"""),"HH1520")</f>
        <v>HH1520</v>
      </c>
      <c r="G2032" s="87" t="str">
        <f>IFERROR(__xludf.DUMMYFUNCTION("""COMPUTED_VALUE"""),"GC - II - 1520 - NHP GROUP - KODO STOP (nước nâu đen) - 1L - 20")</f>
        <v>GC - II - 1520 - NHP GROUP - KODO STOP (nước nâu đen) - 1L - 20</v>
      </c>
    </row>
    <row r="2033">
      <c r="A2033" s="86">
        <f>IFERROR(__xludf.DUMMYFUNCTION("""COMPUTED_VALUE"""),2031.0)</f>
        <v>2031</v>
      </c>
      <c r="B2033" s="87" t="str">
        <f>IFERROR(__xludf.DUMMYFUNCTION("""COMPUTED_VALUE"""),"Nhãn")</f>
        <v>Nhãn</v>
      </c>
      <c r="C2033" s="87" t="str">
        <f>IFERROR(__xludf.DUMMYFUNCTION("""COMPUTED_VALUE"""),"NHG1521")</f>
        <v>NHG1521</v>
      </c>
      <c r="D2033" s="87" t="str">
        <f>IFERROR(__xludf.DUMMYFUNCTION("""COMPUTED_VALUE"""),"[Nhãn] GC - II - 1521 - AGC - Bamboo Việt Nam - Bamboo Double Stop (nước nâu đen) - 1L - 20")</f>
        <v>[Nhãn] GC - II - 1521 - AGC - Bamboo Việt Nam - Bamboo Double Stop (nước nâu đen) - 1L - 20</v>
      </c>
      <c r="E2033" s="87" t="str">
        <f>IFERROR(__xludf.DUMMYFUNCTION("""COMPUTED_VALUE"""),"Vi lượng Quantity New")</f>
        <v>Vi lượng Quantity New</v>
      </c>
      <c r="F2033" s="87" t="str">
        <f>IFERROR(__xludf.DUMMYFUNCTION("""COMPUTED_VALUE"""),"HH1521")</f>
        <v>HH1521</v>
      </c>
      <c r="G2033" s="87" t="str">
        <f>IFERROR(__xludf.DUMMYFUNCTION("""COMPUTED_VALUE"""),"GC - II - 1521 - AGC - Bamboo Việt Nam - Bamboo Double Stop (nước nâu đen) - 1L - 20")</f>
        <v>GC - II - 1521 - AGC - Bamboo Việt Nam - Bamboo Double Stop (nước nâu đen) - 1L - 20</v>
      </c>
    </row>
    <row r="2034">
      <c r="A2034" s="86">
        <f>IFERROR(__xludf.DUMMYFUNCTION("""COMPUTED_VALUE"""),2032.0)</f>
        <v>2032</v>
      </c>
      <c r="B2034" s="87" t="str">
        <f>IFERROR(__xludf.DUMMYFUNCTION("""COMPUTED_VALUE"""),"Nhãn thùng")</f>
        <v>Nhãn thùng</v>
      </c>
      <c r="C2034" s="87" t="str">
        <f>IFERROR(__xludf.DUMMYFUNCTION("""COMPUTED_VALUE"""),"NDT1521")</f>
        <v>NDT1521</v>
      </c>
      <c r="D2034" s="87" t="str">
        <f>IFERROR(__xludf.DUMMYFUNCTION("""COMPUTED_VALUE"""),"[Nhãn thùng] GC - II - 1521 - AGC - Bamboo Việt Nam - Bamboo Double Stop (nước nâu đen) - 1L - 20")</f>
        <v>[Nhãn thùng] GC - II - 1521 - AGC - Bamboo Việt Nam - Bamboo Double Stop (nước nâu đen) - 1L - 20</v>
      </c>
      <c r="E2034" s="87" t="str">
        <f>IFERROR(__xludf.DUMMYFUNCTION("""COMPUTED_VALUE"""),"Vi lượng Quantity New")</f>
        <v>Vi lượng Quantity New</v>
      </c>
      <c r="F2034" s="87" t="str">
        <f>IFERROR(__xludf.DUMMYFUNCTION("""COMPUTED_VALUE"""),"HH1521")</f>
        <v>HH1521</v>
      </c>
      <c r="G2034" s="87" t="str">
        <f>IFERROR(__xludf.DUMMYFUNCTION("""COMPUTED_VALUE"""),"GC - II - 1521 - AGC - Bamboo Việt Nam - Bamboo Double Stop (nước nâu đen) - 1L - 20")</f>
        <v>GC - II - 1521 - AGC - Bamboo Việt Nam - Bamboo Double Stop (nước nâu đen) - 1L - 20</v>
      </c>
    </row>
    <row r="2035">
      <c r="A2035" s="86">
        <f>IFERROR(__xludf.DUMMYFUNCTION("""COMPUTED_VALUE"""),2033.0)</f>
        <v>2033</v>
      </c>
      <c r="B2035" s="87" t="str">
        <f>IFERROR(__xludf.DUMMYFUNCTION("""COMPUTED_VALUE"""),"NDT")</f>
        <v>NDT</v>
      </c>
      <c r="C2035" s="87" t="str">
        <f>IFERROR(__xludf.DUMMYFUNCTION("""COMPUTED_VALUE"""),"NDT1522")</f>
        <v>NDT1522</v>
      </c>
      <c r="D2035" s="87" t="str">
        <f>IFERROR(__xludf.DUMMYFUNCTION("""COMPUTED_VALUE"""),"[Nhãn thùng] GC - IV - 1522 - Hóa Nông Shino - Đạo ôn và nấm khuẩn (nước đỏ - V4) - 250ml - 40")</f>
        <v>[Nhãn thùng] GC - IV - 1522 - Hóa Nông Shino - Đạo ôn và nấm khuẩn (nước đỏ - V4) - 250ml - 40</v>
      </c>
      <c r="E2035" s="87" t="str">
        <f>IFERROR(__xludf.DUMMYFUNCTION("""COMPUTED_VALUE"""),"GENOL 1.2SL")</f>
        <v>GENOL 1.2SL</v>
      </c>
      <c r="F2035" s="87" t="str">
        <f>IFERROR(__xludf.DUMMYFUNCTION("""COMPUTED_VALUE"""),"HH1522")</f>
        <v>HH1522</v>
      </c>
      <c r="G2035" s="87" t="str">
        <f>IFERROR(__xludf.DUMMYFUNCTION("""COMPUTED_VALUE"""),"GC - IV - 1522 - Hóa Nông Shino - Đạo ôn và nấm khuẩn (nước đỏ - V4) - 250ml - 40")</f>
        <v>GC - IV - 1522 - Hóa Nông Shino - Đạo ôn và nấm khuẩn (nước đỏ - V4) - 250ml - 40</v>
      </c>
    </row>
    <row r="2036">
      <c r="A2036" s="86">
        <f>IFERROR(__xludf.DUMMYFUNCTION("""COMPUTED_VALUE"""),2034.0)</f>
        <v>2034</v>
      </c>
      <c r="B2036" s="87" t="str">
        <f>IFERROR(__xludf.DUMMYFUNCTION("""COMPUTED_VALUE"""),"Nhãn")</f>
        <v>Nhãn</v>
      </c>
      <c r="C2036" s="87" t="str">
        <f>IFERROR(__xludf.DUMMYFUNCTION("""COMPUTED_VALUE"""),"NHG1522")</f>
        <v>NHG1522</v>
      </c>
      <c r="D2036" s="87" t="str">
        <f>IFERROR(__xludf.DUMMYFUNCTION("""COMPUTED_VALUE"""),"[Nhãn] GC - IV - 1522 - Hóa Nông Shino - Đạo ôn và nấm khuẩn (nước đỏ - V4) - 250ml - 40")</f>
        <v>[Nhãn] GC - IV - 1522 - Hóa Nông Shino - Đạo ôn và nấm khuẩn (nước đỏ - V4) - 250ml - 40</v>
      </c>
      <c r="E2036" s="87" t="str">
        <f>IFERROR(__xludf.DUMMYFUNCTION("""COMPUTED_VALUE"""),"GENOL 1.2SL")</f>
        <v>GENOL 1.2SL</v>
      </c>
      <c r="F2036" s="87" t="str">
        <f>IFERROR(__xludf.DUMMYFUNCTION("""COMPUTED_VALUE"""),"HH1522")</f>
        <v>HH1522</v>
      </c>
      <c r="G2036" s="87" t="str">
        <f>IFERROR(__xludf.DUMMYFUNCTION("""COMPUTED_VALUE"""),"GC - IV - 1522 - Hóa Nông Shino - Đạo ôn và nấm khuẩn (nước đỏ - V4) - 250ml - 40")</f>
        <v>GC - IV - 1522 - Hóa Nông Shino - Đạo ôn và nấm khuẩn (nước đỏ - V4) - 250ml - 40</v>
      </c>
    </row>
    <row r="2037">
      <c r="A2037" s="86">
        <f>IFERROR(__xludf.DUMMYFUNCTION("""COMPUTED_VALUE"""),2035.0)</f>
        <v>2035</v>
      </c>
      <c r="B2037" s="87" t="str">
        <f>IFERROR(__xludf.DUMMYFUNCTION("""COMPUTED_VALUE"""),"Nhãn")</f>
        <v>Nhãn</v>
      </c>
      <c r="C2037" s="87" t="str">
        <f>IFERROR(__xludf.DUMMYFUNCTION("""COMPUTED_VALUE"""),"NTN1523")</f>
        <v>NTN1523</v>
      </c>
      <c r="D2037" s="87" t="str">
        <f>IFERROR(__xludf.DUMMYFUNCTION("""COMPUTED_VALUE"""),"[Nhãn] GC - II - 1523 - CTY VĨNH TIẾN - HUMI PLUS (vảy màu đen) - 1kg - 25")</f>
        <v>[Nhãn] GC - II - 1523 - CTY VĨNH TIẾN - HUMI PLUS (vảy màu đen) - 1kg - 25</v>
      </c>
      <c r="E2037" s="87" t="str">
        <f>IFERROR(__xludf.DUMMYFUNCTION("""COMPUTED_VALUE"""),"Hữu cơ sinh học Nam Kinh 02")</f>
        <v>Hữu cơ sinh học Nam Kinh 02</v>
      </c>
      <c r="F2037" s="87" t="str">
        <f>IFERROR(__xludf.DUMMYFUNCTION("""COMPUTED_VALUE"""),"HH1523")</f>
        <v>HH1523</v>
      </c>
      <c r="G2037" s="87" t="str">
        <f>IFERROR(__xludf.DUMMYFUNCTION("""COMPUTED_VALUE"""),"GC - II - 1523 - CTY VĨNH TIẾN - HUMI PLUS (vảy màu đen) - 1kg - 25")</f>
        <v>GC - II - 1523 - CTY VĨNH TIẾN - HUMI PLUS (vảy màu đen) - 1kg - 25</v>
      </c>
    </row>
    <row r="2038">
      <c r="A2038" s="86">
        <f>IFERROR(__xludf.DUMMYFUNCTION("""COMPUTED_VALUE"""),2036.0)</f>
        <v>2036</v>
      </c>
      <c r="B2038" s="87" t="str">
        <f>IFERROR(__xludf.DUMMYFUNCTION("""COMPUTED_VALUE"""),"Nhãn thùng")</f>
        <v>Nhãn thùng</v>
      </c>
      <c r="C2038" s="87" t="str">
        <f>IFERROR(__xludf.DUMMYFUNCTION("""COMPUTED_VALUE"""),"NDT1523")</f>
        <v>NDT1523</v>
      </c>
      <c r="D2038" s="87" t="str">
        <f>IFERROR(__xludf.DUMMYFUNCTION("""COMPUTED_VALUE"""),"[Nhãn thùng] GC - II - 1523 - CTY VĨNH TIẾN - HUMI PLUS (vảy màu đen) - 1kg - 25")</f>
        <v>[Nhãn thùng] GC - II - 1523 - CTY VĨNH TIẾN - HUMI PLUS (vảy màu đen) - 1kg - 25</v>
      </c>
      <c r="E2038" s="87" t="str">
        <f>IFERROR(__xludf.DUMMYFUNCTION("""COMPUTED_VALUE"""),"Hữu cơ sinh học Nam Kinh 02")</f>
        <v>Hữu cơ sinh học Nam Kinh 02</v>
      </c>
      <c r="F2038" s="87" t="str">
        <f>IFERROR(__xludf.DUMMYFUNCTION("""COMPUTED_VALUE"""),"HH1523")</f>
        <v>HH1523</v>
      </c>
      <c r="G2038" s="87" t="str">
        <f>IFERROR(__xludf.DUMMYFUNCTION("""COMPUTED_VALUE"""),"GC - II - 1523 - CTY VĨNH TIẾN - HUMI PLUS (vảy màu đen) - 1kg - 25")</f>
        <v>GC - II - 1523 - CTY VĨNH TIẾN - HUMI PLUS (vảy màu đen) - 1kg - 25</v>
      </c>
    </row>
    <row r="2039">
      <c r="A2039" s="86">
        <f>IFERROR(__xludf.DUMMYFUNCTION("""COMPUTED_VALUE"""),2037.0)</f>
        <v>2037</v>
      </c>
      <c r="B2039" s="87" t="str">
        <f>IFERROR(__xludf.DUMMYFUNCTION("""COMPUTED_VALUE"""),"Nhãn")</f>
        <v>Nhãn</v>
      </c>
      <c r="C2039" s="87" t="str">
        <f>IFERROR(__xludf.DUMMYFUNCTION("""COMPUTED_VALUE"""),"NHG1524")</f>
        <v>NHG1524</v>
      </c>
      <c r="D2039" s="87" t="str">
        <f>IFERROR(__xludf.DUMMYFUNCTION("""COMPUTED_VALUE"""),"[Nhãn] IDA Global - I - 1524 - Vua Chim Trĩ (Nước trắng sữa ) - 240ml - 40")</f>
        <v>[Nhãn] IDA Global - I - 1524 - Vua Chim Trĩ (Nước trắng sữa ) - 240ml - 40</v>
      </c>
      <c r="E2039" s="87" t="str">
        <f>IFERROR(__xludf.DUMMYFUNCTION("""COMPUTED_VALUE"""),"VOTE 34.2SC")</f>
        <v>VOTE 34.2SC</v>
      </c>
      <c r="F2039" s="87" t="str">
        <f>IFERROR(__xludf.DUMMYFUNCTION("""COMPUTED_VALUE"""),"HH1524")</f>
        <v>HH1524</v>
      </c>
      <c r="G2039" s="87" t="str">
        <f>IFERROR(__xludf.DUMMYFUNCTION("""COMPUTED_VALUE"""),"IDA Global - I - 1524 - Vua Chim Trĩ (Nước trắng sữa ) - 240ml - 40")</f>
        <v>IDA Global - I - 1524 - Vua Chim Trĩ (Nước trắng sữa ) - 240ml - 40</v>
      </c>
    </row>
    <row r="2040">
      <c r="A2040" s="86">
        <f>IFERROR(__xludf.DUMMYFUNCTION("""COMPUTED_VALUE"""),2038.0)</f>
        <v>2038</v>
      </c>
      <c r="B2040" s="87" t="str">
        <f>IFERROR(__xludf.DUMMYFUNCTION("""COMPUTED_VALUE"""),"Nhãn")</f>
        <v>Nhãn</v>
      </c>
      <c r="C2040" s="87" t="str">
        <f>IFERROR(__xludf.DUMMYFUNCTION("""COMPUTED_VALUE"""),"NHD1525")</f>
        <v>NHD1525</v>
      </c>
      <c r="D2040" s="87" t="str">
        <f>IFERROR(__xludf.DUMMYFUNCTION("""COMPUTED_VALUE"""),"[Nhãn] GC - II - 1525 - NHP GROUP - LEOMIX (gel nâu đen) - 25kg - 1")</f>
        <v>[Nhãn] GC - II - 1525 - NHP GROUP - LEOMIX (gel nâu đen) - 25kg - 1</v>
      </c>
      <c r="E2040" s="87" t="str">
        <f>IFERROR(__xludf.DUMMYFUNCTION("""COMPUTED_VALUE"""),"Vi lượng Quantity New")</f>
        <v>Vi lượng Quantity New</v>
      </c>
      <c r="F2040" s="87" t="str">
        <f>IFERROR(__xludf.DUMMYFUNCTION("""COMPUTED_VALUE"""),"HH1525")</f>
        <v>HH1525</v>
      </c>
      <c r="G2040" s="87" t="str">
        <f>IFERROR(__xludf.DUMMYFUNCTION("""COMPUTED_VALUE"""),"GC - II - 1525 - NHP GROUP - LEOMIX (gel nâu đen) - 25kg - 1")</f>
        <v>GC - II - 1525 - NHP GROUP - LEOMIX (gel nâu đen) - 25kg - 1</v>
      </c>
    </row>
    <row r="2041">
      <c r="A2041" s="86">
        <f>IFERROR(__xludf.DUMMYFUNCTION("""COMPUTED_VALUE"""),2039.0)</f>
        <v>2039</v>
      </c>
      <c r="B2041" s="87" t="str">
        <f>IFERROR(__xludf.DUMMYFUNCTION("""COMPUTED_VALUE"""),"Nhãn")</f>
        <v>Nhãn</v>
      </c>
      <c r="C2041" s="87" t="str">
        <f>IFERROR(__xludf.DUMMYFUNCTION("""COMPUTED_VALUE"""),"NTN1526")</f>
        <v>NTN1526</v>
      </c>
      <c r="D2041" s="87" t="str">
        <f>IFERROR(__xludf.DUMMYFUNCTION("""COMPUTED_VALUE"""),"[Nhãn] GC - II - 1526 - Ngọc Bảo Long Agri - Pim.Pim 75WP(bột cam) - 100gr - 100")</f>
        <v>[Nhãn] GC - II - 1526 - Ngọc Bảo Long Agri - Pim.Pim 75WP(bột cam) - 100gr - 100</v>
      </c>
      <c r="E2041" s="87" t="str">
        <f>IFERROR(__xludf.DUMMYFUNCTION("""COMPUTED_VALUE"""),"Pim.Pim 75WP")</f>
        <v>Pim.Pim 75WP</v>
      </c>
      <c r="F2041" s="87" t="str">
        <f>IFERROR(__xludf.DUMMYFUNCTION("""COMPUTED_VALUE"""),"HH1526")</f>
        <v>HH1526</v>
      </c>
      <c r="G2041" s="87" t="str">
        <f>IFERROR(__xludf.DUMMYFUNCTION("""COMPUTED_VALUE"""),"GC - II - 1526 - Ngọc Bảo Long Agri - Pim.Pim 75WP(bột cam) - 100gr - 100")</f>
        <v>GC - II - 1526 - Ngọc Bảo Long Agri - Pim.Pim 75WP(bột cam) - 100gr - 100</v>
      </c>
    </row>
    <row r="2042">
      <c r="A2042" s="86">
        <f>IFERROR(__xludf.DUMMYFUNCTION("""COMPUTED_VALUE"""),2040.0)</f>
        <v>2040</v>
      </c>
      <c r="B2042" s="87" t="str">
        <f>IFERROR(__xludf.DUMMYFUNCTION("""COMPUTED_VALUE"""),"Nhãn thùng")</f>
        <v>Nhãn thùng</v>
      </c>
      <c r="C2042" s="87" t="str">
        <f>IFERROR(__xludf.DUMMYFUNCTION("""COMPUTED_VALUE"""),"NDT1526")</f>
        <v>NDT1526</v>
      </c>
      <c r="D2042" s="87" t="str">
        <f>IFERROR(__xludf.DUMMYFUNCTION("""COMPUTED_VALUE"""),"[Nhãn thùng] GC - II - 1526 - Ngọc Bảo Long Agri - Pim.Pim 75WP(bột cam) - 100gr - 100")</f>
        <v>[Nhãn thùng] GC - II - 1526 - Ngọc Bảo Long Agri - Pim.Pim 75WP(bột cam) - 100gr - 100</v>
      </c>
      <c r="E2042" s="87" t="str">
        <f>IFERROR(__xludf.DUMMYFUNCTION("""COMPUTED_VALUE"""),"Pim.Pim 75WP")</f>
        <v>Pim.Pim 75WP</v>
      </c>
      <c r="F2042" s="87" t="str">
        <f>IFERROR(__xludf.DUMMYFUNCTION("""COMPUTED_VALUE"""),"HH1526")</f>
        <v>HH1526</v>
      </c>
      <c r="G2042" s="87" t="str">
        <f>IFERROR(__xludf.DUMMYFUNCTION("""COMPUTED_VALUE"""),"GC - II - 1526 - Ngọc Bảo Long Agri - Pim.Pim 75WP(bột cam) - 100gr - 100")</f>
        <v>GC - II - 1526 - Ngọc Bảo Long Agri - Pim.Pim 75WP(bột cam) - 100gr - 100</v>
      </c>
    </row>
    <row r="2043">
      <c r="A2043" s="86">
        <f>IFERROR(__xludf.DUMMYFUNCTION("""COMPUTED_VALUE"""),2041.0)</f>
        <v>2041</v>
      </c>
      <c r="B2043" s="87" t="str">
        <f>IFERROR(__xludf.DUMMYFUNCTION("""COMPUTED_VALUE"""),"Nhãn")</f>
        <v>Nhãn</v>
      </c>
      <c r="C2043" s="87" t="str">
        <f>IFERROR(__xludf.DUMMYFUNCTION("""COMPUTED_VALUE"""),"NTN1528")</f>
        <v>NTN1528</v>
      </c>
      <c r="D2043" s="87" t="str">
        <f>IFERROR(__xludf.DUMMYFUNCTION("""COMPUTED_VALUE"""),"[Nhãn] GC - II - 1528 - AGC - PHOPPAWAY 80WG (bột trắng) - 50gr - 100")</f>
        <v>[Nhãn] GC - II - 1528 - AGC - PHOPPAWAY 80WG (bột trắng) - 50gr - 100</v>
      </c>
      <c r="E2043" s="87" t="str">
        <f>IFERROR(__xludf.DUMMYFUNCTION("""COMPUTED_VALUE"""),"PHOPPAWAY 80WG")</f>
        <v>PHOPPAWAY 80WG</v>
      </c>
      <c r="F2043" s="87" t="str">
        <f>IFERROR(__xludf.DUMMYFUNCTION("""COMPUTED_VALUE"""),"HH1528")</f>
        <v>HH1528</v>
      </c>
      <c r="G2043" s="87" t="str">
        <f>IFERROR(__xludf.DUMMYFUNCTION("""COMPUTED_VALUE"""),"GC - II - 1528 - AGC - PHOPPAWAY 80WG (bột trắng) - 50gr - 100")</f>
        <v>GC - II - 1528 - AGC - PHOPPAWAY 80WG (bột trắng) - 50gr - 100</v>
      </c>
    </row>
    <row r="2044">
      <c r="A2044" s="86">
        <f>IFERROR(__xludf.DUMMYFUNCTION("""COMPUTED_VALUE"""),2042.0)</f>
        <v>2042</v>
      </c>
      <c r="B2044" s="87" t="str">
        <f>IFERROR(__xludf.DUMMYFUNCTION("""COMPUTED_VALUE"""),"Nhãn thùng")</f>
        <v>Nhãn thùng</v>
      </c>
      <c r="C2044" s="87" t="str">
        <f>IFERROR(__xludf.DUMMYFUNCTION("""COMPUTED_VALUE"""),"NDT1528")</f>
        <v>NDT1528</v>
      </c>
      <c r="D2044" s="87" t="str">
        <f>IFERROR(__xludf.DUMMYFUNCTION("""COMPUTED_VALUE"""),"[Nhãn thùng] GC - II - 1528 - AGC - PHOPPAWAY 80WG (bột trắng) - 50gr - 100")</f>
        <v>[Nhãn thùng] GC - II - 1528 - AGC - PHOPPAWAY 80WG (bột trắng) - 50gr - 100</v>
      </c>
      <c r="E2044" s="87" t="str">
        <f>IFERROR(__xludf.DUMMYFUNCTION("""COMPUTED_VALUE"""),"PHOPPAWAY 80WG")</f>
        <v>PHOPPAWAY 80WG</v>
      </c>
      <c r="F2044" s="87" t="str">
        <f>IFERROR(__xludf.DUMMYFUNCTION("""COMPUTED_VALUE"""),"HH1528")</f>
        <v>HH1528</v>
      </c>
      <c r="G2044" s="87" t="str">
        <f>IFERROR(__xludf.DUMMYFUNCTION("""COMPUTED_VALUE"""),"GC - II - 1528 - AGC - PHOPPAWAY 80WG (bột trắng) - 50gr - 100")</f>
        <v>GC - II - 1528 - AGC - PHOPPAWAY 80WG (bột trắng) - 50gr - 100</v>
      </c>
    </row>
    <row r="2045">
      <c r="A2045" s="86">
        <f>IFERROR(__xludf.DUMMYFUNCTION("""COMPUTED_VALUE"""),2043.0)</f>
        <v>2043</v>
      </c>
      <c r="B2045" s="87" t="str">
        <f>IFERROR(__xludf.DUMMYFUNCTION("""COMPUTED_VALUE"""),"Nhãn")</f>
        <v>Nhãn</v>
      </c>
      <c r="C2045" s="87" t="str">
        <f>IFERROR(__xludf.DUMMYFUNCTION("""COMPUTED_VALUE"""),"NHG1529")</f>
        <v>NHG1529</v>
      </c>
      <c r="D2045" s="87" t="str">
        <f>IFERROR(__xludf.DUMMYFUNCTION("""COMPUTED_VALUE"""),"[Nhãn] GC - II - 1529 - Agricare Úc ( A.Lộc) - Diệp Lục Tố (nước trắng kem) - 500ml - 40")</f>
        <v>[Nhãn] GC - II - 1529 - Agricare Úc ( A.Lộc) - Diệp Lục Tố (nước trắng kem) - 500ml - 40</v>
      </c>
      <c r="E2045" s="87" t="str">
        <f>IFERROR(__xludf.DUMMYFUNCTION("""COMPUTED_VALUE"""),"Vi lượng BM-KABO")</f>
        <v>Vi lượng BM-KABO</v>
      </c>
      <c r="F2045" s="87" t="str">
        <f>IFERROR(__xludf.DUMMYFUNCTION("""COMPUTED_VALUE"""),"HH1529")</f>
        <v>HH1529</v>
      </c>
      <c r="G2045" s="87" t="str">
        <f>IFERROR(__xludf.DUMMYFUNCTION("""COMPUTED_VALUE"""),"GC - II - 1529 - Agricare Úc ( A.Lộc) - Diệp Lục Tố (nước trắng kem) - 500ml - 40")</f>
        <v>GC - II - 1529 - Agricare Úc ( A.Lộc) - Diệp Lục Tố (nước trắng kem) - 500ml - 40</v>
      </c>
    </row>
    <row r="2046">
      <c r="A2046" s="86">
        <f>IFERROR(__xludf.DUMMYFUNCTION("""COMPUTED_VALUE"""),2044.0)</f>
        <v>2044</v>
      </c>
      <c r="B2046" s="87" t="str">
        <f>IFERROR(__xludf.DUMMYFUNCTION("""COMPUTED_VALUE"""),"Nhãn")</f>
        <v>Nhãn</v>
      </c>
      <c r="C2046" s="87" t="str">
        <f>IFERROR(__xludf.DUMMYFUNCTION("""COMPUTED_VALUE"""),"NHG1530")</f>
        <v>NHG1530</v>
      </c>
      <c r="D2046" s="87" t="str">
        <f>IFERROR(__xludf.DUMMYFUNCTION("""COMPUTED_VALUE"""),"[Nhãn] GC - II - 1530 - LOT AGC (TỐNG BÌNH) - MAX ONE ( nước nâu đen) - 1L - 20")</f>
        <v>[Nhãn] GC - II - 1530 - LOT AGC (TỐNG BÌNH) - MAX ONE ( nước nâu đen) - 1L - 20</v>
      </c>
      <c r="E2046" s="87" t="str">
        <f>IFERROR(__xludf.DUMMYFUNCTION("""COMPUTED_VALUE"""),"Vi lượng Quantity New")</f>
        <v>Vi lượng Quantity New</v>
      </c>
      <c r="F2046" s="87" t="str">
        <f>IFERROR(__xludf.DUMMYFUNCTION("""COMPUTED_VALUE"""),"HH1530")</f>
        <v>HH1530</v>
      </c>
      <c r="G2046" s="87" t="str">
        <f>IFERROR(__xludf.DUMMYFUNCTION("""COMPUTED_VALUE"""),"GC - II - 1530 - LOT AGC (TỐNG BÌNH) - MAX ONE ( nước nâu đen) - 1L - 20")</f>
        <v>GC - II - 1530 - LOT AGC (TỐNG BÌNH) - MAX ONE ( nước nâu đen) - 1L - 20</v>
      </c>
    </row>
    <row r="2047">
      <c r="A2047" s="86">
        <f>IFERROR(__xludf.DUMMYFUNCTION("""COMPUTED_VALUE"""),2045.0)</f>
        <v>2045</v>
      </c>
      <c r="B2047" s="87" t="str">
        <f>IFERROR(__xludf.DUMMYFUNCTION("""COMPUTED_VALUE"""),"Nhãn")</f>
        <v>Nhãn</v>
      </c>
      <c r="C2047" s="87" t="str">
        <f>IFERROR(__xludf.DUMMYFUNCTION("""COMPUTED_VALUE"""),"NHG1531")</f>
        <v>NHG1531</v>
      </c>
      <c r="D2047" s="87" t="str">
        <f>IFERROR(__xludf.DUMMYFUNCTION("""COMPUTED_VALUE"""),"[Nhãn] GC - II - 1531 - CSSX An Khang (A.Dinh) - T-AK 02 (Gel nâu đen) - 500ml - 40")</f>
        <v>[Nhãn] GC - II - 1531 - CSSX An Khang (A.Dinh) - T-AK 02 (Gel nâu đen) - 500ml - 40</v>
      </c>
      <c r="E2047" s="87" t="str">
        <f>IFERROR(__xludf.DUMMYFUNCTION("""COMPUTED_VALUE"""),"Vi lượng Basel IDA 49")</f>
        <v>Vi lượng Basel IDA 49</v>
      </c>
      <c r="F2047" s="87" t="str">
        <f>IFERROR(__xludf.DUMMYFUNCTION("""COMPUTED_VALUE"""),"HH1531")</f>
        <v>HH1531</v>
      </c>
      <c r="G2047" s="87" t="str">
        <f>IFERROR(__xludf.DUMMYFUNCTION("""COMPUTED_VALUE"""),"GC - II - 1531 - CSSX An Khang (A.Dinh) - T-AK 02 (Gel nâu đen) - 500ml - 40")</f>
        <v>GC - II - 1531 - CSSX An Khang (A.Dinh) - T-AK 02 (Gel nâu đen) - 500ml - 40</v>
      </c>
    </row>
    <row r="2048">
      <c r="A2048" s="86">
        <f>IFERROR(__xludf.DUMMYFUNCTION("""COMPUTED_VALUE"""),2046.0)</f>
        <v>2046</v>
      </c>
      <c r="B2048" s="87" t="str">
        <f>IFERROR(__xludf.DUMMYFUNCTION("""COMPUTED_VALUE"""),"Nhãn")</f>
        <v>Nhãn</v>
      </c>
      <c r="C2048" s="87" t="str">
        <f>IFERROR(__xludf.DUMMYFUNCTION("""COMPUTED_VALUE"""),"NHG1532")</f>
        <v>NHG1532</v>
      </c>
      <c r="D2048" s="87" t="str">
        <f>IFERROR(__xludf.DUMMYFUNCTION("""COMPUTED_VALUE"""),"[Nhãn] GC - II - 1532 - Agritech (Anh Trương) - AGRI ROOT (nước nâu đen) - 500ml - 40")</f>
        <v>[Nhãn] GC - II - 1532 - Agritech (Anh Trương) - AGRI ROOT (nước nâu đen) - 500ml - 40</v>
      </c>
      <c r="E2048" s="87" t="str">
        <f>IFERROR(__xludf.DUMMYFUNCTION("""COMPUTED_VALUE"""),"Vi lượng Quantity New")</f>
        <v>Vi lượng Quantity New</v>
      </c>
      <c r="F2048" s="87" t="str">
        <f>IFERROR(__xludf.DUMMYFUNCTION("""COMPUTED_VALUE"""),"HH1532")</f>
        <v>HH1532</v>
      </c>
      <c r="G2048" s="87" t="str">
        <f>IFERROR(__xludf.DUMMYFUNCTION("""COMPUTED_VALUE"""),"GC - II - 1532 - Agritech (Anh Trương) - AGRI ROOT (nước nâu đen) - 500ml - 40")</f>
        <v>GC - II - 1532 - Agritech (Anh Trương) - AGRI ROOT (nước nâu đen) - 500ml - 40</v>
      </c>
    </row>
    <row r="2049">
      <c r="A2049" s="86">
        <f>IFERROR(__xludf.DUMMYFUNCTION("""COMPUTED_VALUE"""),2047.0)</f>
        <v>2047</v>
      </c>
      <c r="B2049" s="87" t="str">
        <f>IFERROR(__xludf.DUMMYFUNCTION("""COMPUTED_VALUE"""),"Nhãn")</f>
        <v>Nhãn</v>
      </c>
      <c r="C2049" s="87" t="str">
        <f>IFERROR(__xludf.DUMMYFUNCTION("""COMPUTED_VALUE"""),"NTN1533")</f>
        <v>NTN1533</v>
      </c>
      <c r="D2049" s="87" t="str">
        <f>IFERROR(__xludf.DUMMYFUNCTION("""COMPUTED_VALUE"""),"[Nhãn] GC - IV - 1533 - RAY XANH 200WP (Bột trắng) - 40gr - 200")</f>
        <v>[Nhãn] GC - IV - 1533 - RAY XANH 200WP (Bột trắng) - 40gr - 200</v>
      </c>
      <c r="E2049" s="87" t="str">
        <f>IFERROR(__xludf.DUMMYFUNCTION("""COMPUTED_VALUE"""),"RAYXANH 200WP")</f>
        <v>RAYXANH 200WP</v>
      </c>
      <c r="F2049" s="87" t="str">
        <f>IFERROR(__xludf.DUMMYFUNCTION("""COMPUTED_VALUE"""),"HH1533")</f>
        <v>HH1533</v>
      </c>
      <c r="G2049" s="87" t="str">
        <f>IFERROR(__xludf.DUMMYFUNCTION("""COMPUTED_VALUE"""),"GC - IV - 1533 - RAY XANH 200WP (Bột trắng) - 40gr - 200")</f>
        <v>GC - IV - 1533 - RAY XANH 200WP (Bột trắng) - 40gr - 200</v>
      </c>
    </row>
    <row r="2050">
      <c r="A2050" s="86">
        <f>IFERROR(__xludf.DUMMYFUNCTION("""COMPUTED_VALUE"""),2048.0)</f>
        <v>2048</v>
      </c>
      <c r="B2050" s="87" t="str">
        <f>IFERROR(__xludf.DUMMYFUNCTION("""COMPUTED_VALUE"""),"Nhãn thùng")</f>
        <v>Nhãn thùng</v>
      </c>
      <c r="C2050" s="87" t="str">
        <f>IFERROR(__xludf.DUMMYFUNCTION("""COMPUTED_VALUE"""),"NDT1533")</f>
        <v>NDT1533</v>
      </c>
      <c r="D2050" s="87" t="str">
        <f>IFERROR(__xludf.DUMMYFUNCTION("""COMPUTED_VALUE"""),"[Nhãn thùng] GC - IV - 1533 - RAY XANH 200WP (Bột trắng) - 40gr - 200")</f>
        <v>[Nhãn thùng] GC - IV - 1533 - RAY XANH 200WP (Bột trắng) - 40gr - 200</v>
      </c>
      <c r="E2050" s="87" t="str">
        <f>IFERROR(__xludf.DUMMYFUNCTION("""COMPUTED_VALUE"""),"RAYXANH 200WP")</f>
        <v>RAYXANH 200WP</v>
      </c>
      <c r="F2050" s="87" t="str">
        <f>IFERROR(__xludf.DUMMYFUNCTION("""COMPUTED_VALUE"""),"HH1533")</f>
        <v>HH1533</v>
      </c>
      <c r="G2050" s="87" t="str">
        <f>IFERROR(__xludf.DUMMYFUNCTION("""COMPUTED_VALUE"""),"GC - IV - 1533 - RAY XANH 200WP (Bột trắng) - 40gr - 200")</f>
        <v>GC - IV - 1533 - RAY XANH 200WP (Bột trắng) - 40gr - 200</v>
      </c>
    </row>
    <row r="2051">
      <c r="A2051" s="86">
        <f>IFERROR(__xludf.DUMMYFUNCTION("""COMPUTED_VALUE"""),2049.0)</f>
        <v>2049</v>
      </c>
      <c r="B2051" s="87" t="str">
        <f>IFERROR(__xludf.DUMMYFUNCTION("""COMPUTED_VALUE"""),"Nhãn")</f>
        <v>Nhãn</v>
      </c>
      <c r="C2051" s="87" t="str">
        <f>IFERROR(__xludf.DUMMYFUNCTION("""COMPUTED_VALUE"""),"NHG1534")</f>
        <v>NHG1534</v>
      </c>
      <c r="D2051" s="87" t="str">
        <f>IFERROR(__xludf.DUMMYFUNCTION("""COMPUTED_VALUE"""),"[Nhãn] GC - II - 1534 - SUPER FLOWER (nước nâu đen) - 250ml - 40")</f>
        <v>[Nhãn] GC - II - 1534 - SUPER FLOWER (nước nâu đen) - 250ml - 40</v>
      </c>
      <c r="E2051" s="87" t="str">
        <f>IFERROR(__xludf.DUMMYFUNCTION("""COMPUTED_VALUE"""),"Vi lượng Quantity New")</f>
        <v>Vi lượng Quantity New</v>
      </c>
      <c r="F2051" s="87" t="str">
        <f>IFERROR(__xludf.DUMMYFUNCTION("""COMPUTED_VALUE"""),"HH1534")</f>
        <v>HH1534</v>
      </c>
      <c r="G2051" s="87" t="str">
        <f>IFERROR(__xludf.DUMMYFUNCTION("""COMPUTED_VALUE"""),"GC - II - 1534 - SUPER FLOWER (nước nâu đen) - 250ml - 40")</f>
        <v>GC - II - 1534 - SUPER FLOWER (nước nâu đen) - 250ml - 40</v>
      </c>
    </row>
    <row r="2052">
      <c r="A2052" s="86">
        <f>IFERROR(__xludf.DUMMYFUNCTION("""COMPUTED_VALUE"""),2050.0)</f>
        <v>2050</v>
      </c>
      <c r="B2052" s="87" t="str">
        <f>IFERROR(__xludf.DUMMYFUNCTION("""COMPUTED_VALUE"""),"Nhãn")</f>
        <v>Nhãn</v>
      </c>
      <c r="C2052" s="87" t="str">
        <f>IFERROR(__xludf.DUMMYFUNCTION("""COMPUTED_VALUE"""),"NTN1535")</f>
        <v>NTN1535</v>
      </c>
      <c r="D2052" s="87" t="str">
        <f>IFERROR(__xludf.DUMMYFUNCTION("""COMPUTED_VALUE"""),"[Nhãn] GC - II - 1535 - Hướng Nông Xanh (bột vàng) - 1kg - 25")</f>
        <v>[Nhãn] GC - II - 1535 - Hướng Nông Xanh (bột vàng) - 1kg - 25</v>
      </c>
      <c r="E2052" s="87" t="str">
        <f>IFERROR(__xludf.DUMMYFUNCTION("""COMPUTED_VALUE"""),"Vi lượng Slow Growth")</f>
        <v>Vi lượng Slow Growth</v>
      </c>
      <c r="F2052" s="87" t="str">
        <f>IFERROR(__xludf.DUMMYFUNCTION("""COMPUTED_VALUE"""),"HH1535")</f>
        <v>HH1535</v>
      </c>
      <c r="G2052" s="87" t="str">
        <f>IFERROR(__xludf.DUMMYFUNCTION("""COMPUTED_VALUE"""),"GC - II - 1535 - Hướng Nông Xanh (bột vàng) - 1kg - 25")</f>
        <v>GC - II - 1535 - Hướng Nông Xanh (bột vàng) - 1kg - 25</v>
      </c>
    </row>
    <row r="2053">
      <c r="A2053" s="86">
        <f>IFERROR(__xludf.DUMMYFUNCTION("""COMPUTED_VALUE"""),2051.0)</f>
        <v>2051</v>
      </c>
      <c r="B2053" s="87" t="str">
        <f>IFERROR(__xludf.DUMMYFUNCTION("""COMPUTED_VALUE"""),"Nhãn thùng")</f>
        <v>Nhãn thùng</v>
      </c>
      <c r="C2053" s="87" t="str">
        <f>IFERROR(__xludf.DUMMYFUNCTION("""COMPUTED_VALUE"""),"NDT1535")</f>
        <v>NDT1535</v>
      </c>
      <c r="D2053" s="87" t="str">
        <f>IFERROR(__xludf.DUMMYFUNCTION("""COMPUTED_VALUE"""),"[Nhãn thùng] GC - II - 1535 - Hướng Nông Xanh (bột vàng) - 1kg - 25")</f>
        <v>[Nhãn thùng] GC - II - 1535 - Hướng Nông Xanh (bột vàng) - 1kg - 25</v>
      </c>
      <c r="E2053" s="87" t="str">
        <f>IFERROR(__xludf.DUMMYFUNCTION("""COMPUTED_VALUE"""),"Vi lượng Slow Growth")</f>
        <v>Vi lượng Slow Growth</v>
      </c>
      <c r="F2053" s="87" t="str">
        <f>IFERROR(__xludf.DUMMYFUNCTION("""COMPUTED_VALUE"""),"HH1535")</f>
        <v>HH1535</v>
      </c>
      <c r="G2053" s="87" t="str">
        <f>IFERROR(__xludf.DUMMYFUNCTION("""COMPUTED_VALUE"""),"GC - II - 1535 - Hướng Nông Xanh (bột vàng) - 1kg - 25")</f>
        <v>GC - II - 1535 - Hướng Nông Xanh (bột vàng) - 1kg - 25</v>
      </c>
    </row>
    <row r="2054">
      <c r="A2054" s="86">
        <f>IFERROR(__xludf.DUMMYFUNCTION("""COMPUTED_VALUE"""),2052.0)</f>
        <v>2052</v>
      </c>
      <c r="B2054" s="87" t="str">
        <f>IFERROR(__xludf.DUMMYFUNCTION("""COMPUTED_VALUE"""),"Nhãn")</f>
        <v>Nhãn</v>
      </c>
      <c r="C2054" s="87" t="str">
        <f>IFERROR(__xludf.DUMMYFUNCTION("""COMPUTED_VALUE"""),"NHG1536")</f>
        <v>NHG1536</v>
      </c>
      <c r="D2054" s="87" t="str">
        <f>IFERROR(__xludf.DUMMYFUNCTION("""COMPUTED_VALUE"""),"[Nhãn] GC - I - 1536 - Dưỡng cây xanh lá - 500ml - 40")</f>
        <v>[Nhãn] GC - I - 1536 - Dưỡng cây xanh lá - 500ml - 40</v>
      </c>
      <c r="E2054" s="87" t="str">
        <f>IFERROR(__xludf.DUMMYFUNCTION("""COMPUTED_VALUE"""),"Vi lượng BM-KABO")</f>
        <v>Vi lượng BM-KABO</v>
      </c>
      <c r="F2054" s="87" t="str">
        <f>IFERROR(__xludf.DUMMYFUNCTION("""COMPUTED_VALUE"""),"HH1536")</f>
        <v>HH1536</v>
      </c>
      <c r="G2054" s="87" t="str">
        <f>IFERROR(__xludf.DUMMYFUNCTION("""COMPUTED_VALUE"""),"GC - I - 1536 - Dưỡng cây xanh lá - 500ml - 40")</f>
        <v>GC - I - 1536 - Dưỡng cây xanh lá - 500ml - 40</v>
      </c>
    </row>
    <row r="2055">
      <c r="A2055" s="86">
        <f>IFERROR(__xludf.DUMMYFUNCTION("""COMPUTED_VALUE"""),2053.0)</f>
        <v>2053</v>
      </c>
      <c r="B2055" s="87" t="str">
        <f>IFERROR(__xludf.DUMMYFUNCTION("""COMPUTED_VALUE"""),"Nhãn thùng")</f>
        <v>Nhãn thùng</v>
      </c>
      <c r="C2055" s="87" t="str">
        <f>IFERROR(__xludf.DUMMYFUNCTION("""COMPUTED_VALUE"""),"NDT1536")</f>
        <v>NDT1536</v>
      </c>
      <c r="D2055" s="87" t="str">
        <f>IFERROR(__xludf.DUMMYFUNCTION("""COMPUTED_VALUE"""),"[Nhãn thùng] GC - I - 1536 - Dưỡng cây xanh lá - 500ml - 40")</f>
        <v>[Nhãn thùng] GC - I - 1536 - Dưỡng cây xanh lá - 500ml - 40</v>
      </c>
      <c r="E2055" s="87" t="str">
        <f>IFERROR(__xludf.DUMMYFUNCTION("""COMPUTED_VALUE"""),"Vi lượng BM-KABO")</f>
        <v>Vi lượng BM-KABO</v>
      </c>
      <c r="F2055" s="87" t="str">
        <f>IFERROR(__xludf.DUMMYFUNCTION("""COMPUTED_VALUE"""),"HH1536")</f>
        <v>HH1536</v>
      </c>
      <c r="G2055" s="87" t="str">
        <f>IFERROR(__xludf.DUMMYFUNCTION("""COMPUTED_VALUE"""),"GC - I - 1536 - Dưỡng cây xanh lá - 500ml - 40")</f>
        <v>GC - I - 1536 - Dưỡng cây xanh lá - 500ml - 40</v>
      </c>
    </row>
    <row r="2056">
      <c r="A2056" s="86">
        <f>IFERROR(__xludf.DUMMYFUNCTION("""COMPUTED_VALUE"""),2054.0)</f>
        <v>2054</v>
      </c>
      <c r="B2056" s="87" t="str">
        <f>IFERROR(__xludf.DUMMYFUNCTION("""COMPUTED_VALUE"""),"Nhãn")</f>
        <v>Nhãn</v>
      </c>
      <c r="C2056" s="87" t="str">
        <f>IFERROR(__xludf.DUMMYFUNCTION("""COMPUTED_VALUE"""),"NHG1537")</f>
        <v>NHG1537</v>
      </c>
      <c r="D2056" s="87" t="str">
        <f>IFERROR(__xludf.DUMMYFUNCTION("""COMPUTED_VALUE"""),"[Nhãn] GC - II - 1537 - Nanofish - Super root (nước nâu đen) - 500ml - 40")</f>
        <v>[Nhãn] GC - II - 1537 - Nanofish - Super root (nước nâu đen) - 500ml - 40</v>
      </c>
      <c r="E2056" s="87" t="str">
        <f>IFERROR(__xludf.DUMMYFUNCTION("""COMPUTED_VALUE"""),"Vi lượng Quantity New")</f>
        <v>Vi lượng Quantity New</v>
      </c>
      <c r="F2056" s="87" t="str">
        <f>IFERROR(__xludf.DUMMYFUNCTION("""COMPUTED_VALUE"""),"HH1537")</f>
        <v>HH1537</v>
      </c>
      <c r="G2056" s="87" t="str">
        <f>IFERROR(__xludf.DUMMYFUNCTION("""COMPUTED_VALUE"""),"GC - II - 1537 - Nanofish - Super root (nước nâu đen) - 500ml - 40")</f>
        <v>GC - II - 1537 - Nanofish - Super root (nước nâu đen) - 500ml - 40</v>
      </c>
    </row>
    <row r="2057">
      <c r="A2057" s="86">
        <f>IFERROR(__xludf.DUMMYFUNCTION("""COMPUTED_VALUE"""),2055.0)</f>
        <v>2055</v>
      </c>
      <c r="B2057" s="87" t="str">
        <f>IFERROR(__xludf.DUMMYFUNCTION("""COMPUTED_VALUE"""),"Nhãn")</f>
        <v>Nhãn</v>
      </c>
      <c r="C2057" s="87" t="str">
        <f>IFERROR(__xludf.DUMMYFUNCTION("""COMPUTED_VALUE"""),"NHD1538")</f>
        <v>NHD1538</v>
      </c>
      <c r="D2057" s="87" t="str">
        <f>IFERROR(__xludf.DUMMYFUNCTION("""COMPUTED_VALUE"""),"[Nhãn] GC - II - 1538 - Nano Fish - FRUIT 90 (nước nâu đen) - 20L - 1")</f>
        <v>[Nhãn] GC - II - 1538 - Nano Fish - FRUIT 90 (nước nâu đen) - 20L - 1</v>
      </c>
      <c r="E2057" s="87" t="str">
        <f>IFERROR(__xludf.DUMMYFUNCTION("""COMPUTED_VALUE"""),"Vi lượng Quantity New")</f>
        <v>Vi lượng Quantity New</v>
      </c>
      <c r="F2057" s="87" t="str">
        <f>IFERROR(__xludf.DUMMYFUNCTION("""COMPUTED_VALUE"""),"HH1538")</f>
        <v>HH1538</v>
      </c>
      <c r="G2057" s="87" t="str">
        <f>IFERROR(__xludf.DUMMYFUNCTION("""COMPUTED_VALUE"""),"GC - II - 1538 - Nano Fish - FRUIT 90 (nước nâu đen) - 20L - 1")</f>
        <v>GC - II - 1538 - Nano Fish - FRUIT 90 (nước nâu đen) - 20L - 1</v>
      </c>
    </row>
    <row r="2058">
      <c r="A2058" s="86">
        <f>IFERROR(__xludf.DUMMYFUNCTION("""COMPUTED_VALUE"""),2056.0)</f>
        <v>2056</v>
      </c>
      <c r="B2058" s="87" t="str">
        <f>IFERROR(__xludf.DUMMYFUNCTION("""COMPUTED_VALUE"""),"Nhãn")</f>
        <v>Nhãn</v>
      </c>
      <c r="C2058" s="87" t="str">
        <f>IFERROR(__xludf.DUMMYFUNCTION("""COMPUTED_VALUE"""),"NHD1539")</f>
        <v>NHD1539</v>
      </c>
      <c r="D2058" s="87" t="str">
        <f>IFERROR(__xludf.DUMMYFUNCTION("""COMPUTED_VALUE"""),"[Nhãn] GC - II - 1539 - Nano Fish - SUPER FLOWER (nước nâu đen) - 20L - 1")</f>
        <v>[Nhãn] GC - II - 1539 - Nano Fish - SUPER FLOWER (nước nâu đen) - 20L - 1</v>
      </c>
      <c r="E2058" s="87" t="str">
        <f>IFERROR(__xludf.DUMMYFUNCTION("""COMPUTED_VALUE"""),"Vi lượng Quantity New")</f>
        <v>Vi lượng Quantity New</v>
      </c>
      <c r="F2058" s="87" t="str">
        <f>IFERROR(__xludf.DUMMYFUNCTION("""COMPUTED_VALUE"""),"HH1539")</f>
        <v>HH1539</v>
      </c>
      <c r="G2058" s="87" t="str">
        <f>IFERROR(__xludf.DUMMYFUNCTION("""COMPUTED_VALUE"""),"GC - II - 1539 - Nano Fish - SUPER FLOWER (nước nâu đen) - 20L - 1")</f>
        <v>GC - II - 1539 - Nano Fish - SUPER FLOWER (nước nâu đen) - 20L - 1</v>
      </c>
    </row>
    <row r="2059">
      <c r="A2059" s="86">
        <f>IFERROR(__xludf.DUMMYFUNCTION("""COMPUTED_VALUE"""),2057.0)</f>
        <v>2057</v>
      </c>
      <c r="B2059" s="87" t="str">
        <f>IFERROR(__xludf.DUMMYFUNCTION("""COMPUTED_VALUE"""),"Nhãn")</f>
        <v>Nhãn</v>
      </c>
      <c r="C2059" s="87" t="str">
        <f>IFERROR(__xludf.DUMMYFUNCTION("""COMPUTED_VALUE"""),"NTN1540")</f>
        <v>NTN1540</v>
      </c>
      <c r="D2059" s="87" t="str">
        <f>IFERROR(__xludf.DUMMYFUNCTION("""COMPUTED_VALUE"""),"[Nhãn] GC - IV - 1540 - Cty Hóa Nông Shino - Sha Chong Jing 95WP (bột trắng) - 100gr - 100")</f>
        <v>[Nhãn] GC - IV - 1540 - Cty Hóa Nông Shino - Sha Chong Jing 95WP (bột trắng) - 100gr - 100</v>
      </c>
      <c r="E2059" s="87" t="str">
        <f>IFERROR(__xludf.DUMMYFUNCTION("""COMPUTED_VALUE"""),"SHA CHONG JING 95WP")</f>
        <v>SHA CHONG JING 95WP</v>
      </c>
      <c r="F2059" s="87" t="str">
        <f>IFERROR(__xludf.DUMMYFUNCTION("""COMPUTED_VALUE"""),"HH1540")</f>
        <v>HH1540</v>
      </c>
      <c r="G2059" s="87" t="str">
        <f>IFERROR(__xludf.DUMMYFUNCTION("""COMPUTED_VALUE"""),"GC - IV - 1540 - Cty Hóa Nông Shino - Sha Chong Jing 95WP (bột trắng) - 100gr - 100")</f>
        <v>GC - IV - 1540 - Cty Hóa Nông Shino - Sha Chong Jing 95WP (bột trắng) - 100gr - 100</v>
      </c>
    </row>
    <row r="2060">
      <c r="A2060" s="86">
        <f>IFERROR(__xludf.DUMMYFUNCTION("""COMPUTED_VALUE"""),2058.0)</f>
        <v>2058</v>
      </c>
      <c r="B2060" s="87" t="str">
        <f>IFERROR(__xludf.DUMMYFUNCTION("""COMPUTED_VALUE"""),"Nhãn thùng")</f>
        <v>Nhãn thùng</v>
      </c>
      <c r="C2060" s="87" t="str">
        <f>IFERROR(__xludf.DUMMYFUNCTION("""COMPUTED_VALUE"""),"NDT1540")</f>
        <v>NDT1540</v>
      </c>
      <c r="D2060" s="87" t="str">
        <f>IFERROR(__xludf.DUMMYFUNCTION("""COMPUTED_VALUE"""),"[Nhãn thùng] GC - IV - 1540 - Cty Hóa Nông Shino - Sha Chong Jing 95WP (bột trắng) - 100gr - 100")</f>
        <v>[Nhãn thùng] GC - IV - 1540 - Cty Hóa Nông Shino - Sha Chong Jing 95WP (bột trắng) - 100gr - 100</v>
      </c>
      <c r="E2060" s="87" t="str">
        <f>IFERROR(__xludf.DUMMYFUNCTION("""COMPUTED_VALUE"""),"SHA CHONG JING 95WP")</f>
        <v>SHA CHONG JING 95WP</v>
      </c>
      <c r="F2060" s="87" t="str">
        <f>IFERROR(__xludf.DUMMYFUNCTION("""COMPUTED_VALUE"""),"HH1540")</f>
        <v>HH1540</v>
      </c>
      <c r="G2060" s="87" t="str">
        <f>IFERROR(__xludf.DUMMYFUNCTION("""COMPUTED_VALUE"""),"GC - IV - 1540 - Cty Hóa Nông Shino - Sha Chong Jing 95WP (bột trắng) - 100gr - 100")</f>
        <v>GC - IV - 1540 - Cty Hóa Nông Shino - Sha Chong Jing 95WP (bột trắng) - 100gr - 100</v>
      </c>
    </row>
    <row r="2061">
      <c r="A2061" s="86">
        <f>IFERROR(__xludf.DUMMYFUNCTION("""COMPUTED_VALUE"""),2059.0)</f>
        <v>2059</v>
      </c>
      <c r="B2061" s="87" t="str">
        <f>IFERROR(__xludf.DUMMYFUNCTION("""COMPUTED_VALUE"""),"Nhãn")</f>
        <v>Nhãn</v>
      </c>
      <c r="C2061" s="87" t="str">
        <f>IFERROR(__xludf.DUMMYFUNCTION("""COMPUTED_VALUE"""),"NHG1541")</f>
        <v>NHG1541</v>
      </c>
      <c r="D2061" s="87" t="str">
        <f>IFERROR(__xludf.DUMMYFUNCTION("""COMPUTED_VALUE"""),"[Nhãn] IDA Global - I - 1541 - ĐL Ba Toàn - Thần Tài Gold (nước trắng sữa) - 250ml - 40")</f>
        <v>[Nhãn] IDA Global - I - 1541 - ĐL Ba Toàn - Thần Tài Gold (nước trắng sữa) - 250ml - 40</v>
      </c>
      <c r="E2061" s="87" t="str">
        <f>IFERROR(__xludf.DUMMYFUNCTION("""COMPUTED_VALUE"""),"PICOSUPER 280SC")</f>
        <v>PICOSUPER 280SC</v>
      </c>
      <c r="F2061" s="87" t="str">
        <f>IFERROR(__xludf.DUMMYFUNCTION("""COMPUTED_VALUE"""),"HH1541")</f>
        <v>HH1541</v>
      </c>
      <c r="G2061" s="87" t="str">
        <f>IFERROR(__xludf.DUMMYFUNCTION("""COMPUTED_VALUE"""),"IDA Global - I - 1541 - ĐL Ba Toàn - Thần Tài Gold (nước trắng sữa) - 250ml - 40")</f>
        <v>IDA Global - I - 1541 - ĐL Ba Toàn - Thần Tài Gold (nước trắng sữa) - 250ml - 40</v>
      </c>
    </row>
    <row r="2062">
      <c r="A2062" s="86">
        <f>IFERROR(__xludf.DUMMYFUNCTION("""COMPUTED_VALUE"""),2060.0)</f>
        <v>2060</v>
      </c>
      <c r="B2062" s="87" t="str">
        <f>IFERROR(__xludf.DUMMYFUNCTION("""COMPUTED_VALUE"""),"Nhãn")</f>
        <v>Nhãn</v>
      </c>
      <c r="C2062" s="87" t="str">
        <f>IFERROR(__xludf.DUMMYFUNCTION("""COMPUTED_VALUE"""),"NTN1542")</f>
        <v>NTN1542</v>
      </c>
      <c r="D2062" s="87" t="str">
        <f>IFERROR(__xludf.DUMMYFUNCTION("""COMPUTED_VALUE"""),"[Nhãn] GC - IV - 1542 - A.Diễn (Cty Sen Hồng) - Vua Đục Thân (bột trắng) - 80gr - 150")</f>
        <v>[Nhãn] GC - IV - 1542 - A.Diễn (Cty Sen Hồng) - Vua Đục Thân (bột trắng) - 80gr - 150</v>
      </c>
      <c r="E2062" s="87" t="str">
        <f>IFERROR(__xludf.DUMMYFUNCTION("""COMPUTED_VALUE"""),"SHA CHONG JING 95WP")</f>
        <v>SHA CHONG JING 95WP</v>
      </c>
      <c r="F2062" s="87" t="str">
        <f>IFERROR(__xludf.DUMMYFUNCTION("""COMPUTED_VALUE"""),"HH1542")</f>
        <v>HH1542</v>
      </c>
      <c r="G2062" s="87" t="str">
        <f>IFERROR(__xludf.DUMMYFUNCTION("""COMPUTED_VALUE"""),"GC - IV - 1542 - A.Diễn (Cty Sen Hồng) - Vua Đục Thân (bột trắng) - 80gr - 150")</f>
        <v>GC - IV - 1542 - A.Diễn (Cty Sen Hồng) - Vua Đục Thân (bột trắng) - 80gr - 150</v>
      </c>
    </row>
    <row r="2063">
      <c r="A2063" s="86">
        <f>IFERROR(__xludf.DUMMYFUNCTION("""COMPUTED_VALUE"""),2061.0)</f>
        <v>2061</v>
      </c>
      <c r="B2063" s="87" t="str">
        <f>IFERROR(__xludf.DUMMYFUNCTION("""COMPUTED_VALUE"""),"Nhãn thùng")</f>
        <v>Nhãn thùng</v>
      </c>
      <c r="C2063" s="87" t="str">
        <f>IFERROR(__xludf.DUMMYFUNCTION("""COMPUTED_VALUE"""),"NDT1542")</f>
        <v>NDT1542</v>
      </c>
      <c r="D2063" s="87" t="str">
        <f>IFERROR(__xludf.DUMMYFUNCTION("""COMPUTED_VALUE"""),"[Nhãn thùng] GC - IV - 1542 - A.Diễn (Cty Sen Hồng) - Vua Đục Thân (bột trắng) - 80gr - 150")</f>
        <v>[Nhãn thùng] GC - IV - 1542 - A.Diễn (Cty Sen Hồng) - Vua Đục Thân (bột trắng) - 80gr - 150</v>
      </c>
      <c r="E2063" s="87" t="str">
        <f>IFERROR(__xludf.DUMMYFUNCTION("""COMPUTED_VALUE"""),"SHA CHONG JING 95WP")</f>
        <v>SHA CHONG JING 95WP</v>
      </c>
      <c r="F2063" s="87" t="str">
        <f>IFERROR(__xludf.DUMMYFUNCTION("""COMPUTED_VALUE"""),"HH1542")</f>
        <v>HH1542</v>
      </c>
      <c r="G2063" s="87" t="str">
        <f>IFERROR(__xludf.DUMMYFUNCTION("""COMPUTED_VALUE"""),"GC - IV - 1542 - A.Diễn (Cty Sen Hồng) - Vua Đục Thân (bột trắng) - 80gr - 150")</f>
        <v>GC - IV - 1542 - A.Diễn (Cty Sen Hồng) - Vua Đục Thân (bột trắng) - 80gr - 150</v>
      </c>
    </row>
    <row r="2064">
      <c r="A2064" s="86">
        <f>IFERROR(__xludf.DUMMYFUNCTION("""COMPUTED_VALUE"""),2062.0)</f>
        <v>2062</v>
      </c>
      <c r="B2064" s="87" t="str">
        <f>IFERROR(__xludf.DUMMYFUNCTION("""COMPUTED_VALUE"""),"Nhãn")</f>
        <v>Nhãn</v>
      </c>
      <c r="C2064" s="87" t="str">
        <f>IFERROR(__xludf.DUMMYFUNCTION("""COMPUTED_VALUE"""),"NHG1543")</f>
        <v>NHG1543</v>
      </c>
      <c r="D2064" s="87" t="str">
        <f>IFERROR(__xludf.DUMMYFUNCTION("""COMPUTED_VALUE"""),"[Nhãn] GC - IV - 1543 - Cty Hitaco - RICE PLUS (nước đỏ) - 500ml - 40")</f>
        <v>[Nhãn] GC - IV - 1543 - Cty Hitaco - RICE PLUS (nước đỏ) - 500ml - 40</v>
      </c>
      <c r="E2064" s="87" t="str">
        <f>IFERROR(__xludf.DUMMYFUNCTION("""COMPUTED_VALUE"""),"Hữu Cơ PA ORGANIC")</f>
        <v>Hữu Cơ PA ORGANIC</v>
      </c>
      <c r="F2064" s="87" t="str">
        <f>IFERROR(__xludf.DUMMYFUNCTION("""COMPUTED_VALUE"""),"HH1543")</f>
        <v>HH1543</v>
      </c>
      <c r="G2064" s="87" t="str">
        <f>IFERROR(__xludf.DUMMYFUNCTION("""COMPUTED_VALUE"""),"GC - IV - 1543 - Cty Hitaco - RICE PLUS (nước đỏ) - 500ml - 40")</f>
        <v>GC - IV - 1543 - Cty Hitaco - RICE PLUS (nước đỏ) - 500ml - 40</v>
      </c>
    </row>
    <row r="2065">
      <c r="A2065" s="86">
        <f>IFERROR(__xludf.DUMMYFUNCTION("""COMPUTED_VALUE"""),2063.0)</f>
        <v>2063</v>
      </c>
      <c r="B2065" s="87" t="str">
        <f>IFERROR(__xludf.DUMMYFUNCTION("""COMPUTED_VALUE"""),"Nhãn")</f>
        <v>Nhãn</v>
      </c>
      <c r="C2065" s="87" t="str">
        <f>IFERROR(__xludf.DUMMYFUNCTION("""COMPUTED_VALUE"""),"NHG1544")</f>
        <v>NHG1544</v>
      </c>
      <c r="D2065" s="87" t="str">
        <f>IFERROR(__xludf.DUMMYFUNCTION("""COMPUTED_VALUE"""),"[Nhãn] GC - IV - 1544 - Thiên Di - Hexa Vil Thai 50 (nước trắng sữa) - 1L - 20")</f>
        <v>[Nhãn] GC - IV - 1544 - Thiên Di - Hexa Vil Thai 50 (nước trắng sữa) - 1L - 20</v>
      </c>
      <c r="E2065" s="87" t="str">
        <f>IFERROR(__xludf.DUMMYFUNCTION("""COMPUTED_VALUE"""),"Mekongvil 5SC")</f>
        <v>Mekongvil 5SC</v>
      </c>
      <c r="F2065" s="87" t="str">
        <f>IFERROR(__xludf.DUMMYFUNCTION("""COMPUTED_VALUE"""),"HH1544")</f>
        <v>HH1544</v>
      </c>
      <c r="G2065" s="87" t="str">
        <f>IFERROR(__xludf.DUMMYFUNCTION("""COMPUTED_VALUE"""),"GC - IV - 1544 - Thiên Di - Hexa Vil Thai 50 (nước trắng sữa) - 1L - 20")</f>
        <v>GC - IV - 1544 - Thiên Di - Hexa Vil Thai 50 (nước trắng sữa) - 1L - 20</v>
      </c>
    </row>
    <row r="2066">
      <c r="A2066" s="86">
        <f>IFERROR(__xludf.DUMMYFUNCTION("""COMPUTED_VALUE"""),2064.0)</f>
        <v>2064</v>
      </c>
      <c r="B2066" s="87" t="str">
        <f>IFERROR(__xludf.DUMMYFUNCTION("""COMPUTED_VALUE"""),"Nhãn thùng")</f>
        <v>Nhãn thùng</v>
      </c>
      <c r="C2066" s="87" t="str">
        <f>IFERROR(__xludf.DUMMYFUNCTION("""COMPUTED_VALUE"""),"NDT1544")</f>
        <v>NDT1544</v>
      </c>
      <c r="D2066" s="87" t="str">
        <f>IFERROR(__xludf.DUMMYFUNCTION("""COMPUTED_VALUE"""),"[Nhãn thùng] GC - IV - 1544 - Thiên Di - Hexa Vil Thai 50 (nước trắng sữa) - 1L - 20")</f>
        <v>[Nhãn thùng] GC - IV - 1544 - Thiên Di - Hexa Vil Thai 50 (nước trắng sữa) - 1L - 20</v>
      </c>
      <c r="E2066" s="87" t="str">
        <f>IFERROR(__xludf.DUMMYFUNCTION("""COMPUTED_VALUE"""),"Mekongvil 5SC")</f>
        <v>Mekongvil 5SC</v>
      </c>
      <c r="F2066" s="87" t="str">
        <f>IFERROR(__xludf.DUMMYFUNCTION("""COMPUTED_VALUE"""),"HH1544")</f>
        <v>HH1544</v>
      </c>
      <c r="G2066" s="87" t="str">
        <f>IFERROR(__xludf.DUMMYFUNCTION("""COMPUTED_VALUE"""),"GC - IV - 1544 - Thiên Di - Hexa Vil Thai 50 (nước trắng sữa) - 1L - 20")</f>
        <v>GC - IV - 1544 - Thiên Di - Hexa Vil Thai 50 (nước trắng sữa) - 1L - 20</v>
      </c>
    </row>
    <row r="2067">
      <c r="A2067" s="86">
        <f>IFERROR(__xludf.DUMMYFUNCTION("""COMPUTED_VALUE"""),2065.0)</f>
        <v>2065</v>
      </c>
      <c r="B2067" s="87" t="str">
        <f>IFERROR(__xludf.DUMMYFUNCTION("""COMPUTED_VALUE"""),"Nhãn")</f>
        <v>Nhãn</v>
      </c>
      <c r="C2067" s="87" t="str">
        <f>IFERROR(__xludf.DUMMYFUNCTION("""COMPUTED_VALUE"""),"NHG1545")</f>
        <v>NHG1545</v>
      </c>
      <c r="D2067" s="87" t="str">
        <f>IFERROR(__xludf.DUMMYFUNCTION("""COMPUTED_VALUE"""),"[Nhãn] GC - II - 1545 - Nanofish - ZICORP 90 (nước xanh nõn chuối) - 250ml - 40")</f>
        <v>[Nhãn] GC - II - 1545 - Nanofish - ZICORP 90 (nước xanh nõn chuối) - 250ml - 40</v>
      </c>
      <c r="E2067" s="87" t="str">
        <f>IFERROR(__xludf.DUMMYFUNCTION("""COMPUTED_VALUE"""),"Vi lượng Quantity New")</f>
        <v>Vi lượng Quantity New</v>
      </c>
      <c r="F2067" s="87" t="str">
        <f>IFERROR(__xludf.DUMMYFUNCTION("""COMPUTED_VALUE"""),"HH1545")</f>
        <v>HH1545</v>
      </c>
      <c r="G2067" s="87" t="str">
        <f>IFERROR(__xludf.DUMMYFUNCTION("""COMPUTED_VALUE"""),"GC - II - 1545 - Nanofish - ZICORP 90 (nước xanh nõn chuối) - 250ml - 40")</f>
        <v>GC - II - 1545 - Nanofish - ZICORP 90 (nước xanh nõn chuối) - 250ml - 40</v>
      </c>
    </row>
    <row r="2068">
      <c r="A2068" s="86">
        <f>IFERROR(__xludf.DUMMYFUNCTION("""COMPUTED_VALUE"""),2066.0)</f>
        <v>2066</v>
      </c>
      <c r="B2068" s="87" t="str">
        <f>IFERROR(__xludf.DUMMYFUNCTION("""COMPUTED_VALUE"""),"Nhãn")</f>
        <v>Nhãn</v>
      </c>
      <c r="C2068" s="87" t="str">
        <f>IFERROR(__xludf.DUMMYFUNCTION("""COMPUTED_VALUE"""),"NHD1546")</f>
        <v>NHD1546</v>
      </c>
      <c r="D2068" s="87" t="str">
        <f>IFERROR(__xludf.DUMMYFUNCTION("""COMPUTED_VALUE"""),"[Nhãn] GC - IV - 1546 - Cty Agrotech - VOI THÁI (nước nâu đen) - 450ml - 40")</f>
        <v>[Nhãn] GC - IV - 1546 - Cty Agrotech - VOI THÁI (nước nâu đen) - 450ml - 40</v>
      </c>
      <c r="E2068" s="87" t="str">
        <f>IFERROR(__xludf.DUMMYFUNCTION("""COMPUTED_VALUE"""),"HAIHAMEC 3.6EC")</f>
        <v>HAIHAMEC 3.6EC</v>
      </c>
      <c r="F2068" s="87" t="str">
        <f>IFERROR(__xludf.DUMMYFUNCTION("""COMPUTED_VALUE"""),"HH1546")</f>
        <v>HH1546</v>
      </c>
      <c r="G2068" s="87" t="str">
        <f>IFERROR(__xludf.DUMMYFUNCTION("""COMPUTED_VALUE"""),"GC - IV - 1546 - Cty Agrotech - VOI THÁI (nước nâu đen) - 450ml - 40")</f>
        <v>GC - IV - 1546 - Cty Agrotech - VOI THÁI (nước nâu đen) - 450ml - 40</v>
      </c>
    </row>
    <row r="2069">
      <c r="A2069" s="86">
        <f>IFERROR(__xludf.DUMMYFUNCTION("""COMPUTED_VALUE"""),2067.0)</f>
        <v>2067</v>
      </c>
      <c r="B2069" s="87" t="str">
        <f>IFERROR(__xludf.DUMMYFUNCTION("""COMPUTED_VALUE"""),"Nhãn")</f>
        <v>Nhãn</v>
      </c>
      <c r="C2069" s="87" t="str">
        <f>IFERROR(__xludf.DUMMYFUNCTION("""COMPUTED_VALUE"""),"NHG1547")</f>
        <v>NHG1547</v>
      </c>
      <c r="D2069" s="87" t="str">
        <f>IFERROR(__xludf.DUMMYFUNCTION("""COMPUTED_VALUE"""),"[Nhãn] GC - IV - 1547 - Cty Agrochem Korea - TATOC 4.6 (nước nâu đen) - 450ml - 40")</f>
        <v>[Nhãn] GC - IV - 1547 - Cty Agrochem Korea - TATOC 4.6 (nước nâu đen) - 450ml - 40</v>
      </c>
      <c r="E2069" s="87" t="str">
        <f>IFERROR(__xludf.DUMMYFUNCTION("""COMPUTED_VALUE"""),"HAIHAMEC 3.6EC")</f>
        <v>HAIHAMEC 3.6EC</v>
      </c>
      <c r="F2069" s="87" t="str">
        <f>IFERROR(__xludf.DUMMYFUNCTION("""COMPUTED_VALUE"""),"HH1547")</f>
        <v>HH1547</v>
      </c>
      <c r="G2069" s="87" t="str">
        <f>IFERROR(__xludf.DUMMYFUNCTION("""COMPUTED_VALUE"""),"GC - IV - 1547 - Cty Agrochem Korea - TATOC 4.6 (nước nâu đen) - 450ml - 40")</f>
        <v>GC - IV - 1547 - Cty Agrochem Korea - TATOC 4.6 (nước nâu đen) - 450ml - 40</v>
      </c>
    </row>
    <row r="2070">
      <c r="A2070" s="86">
        <f>IFERROR(__xludf.DUMMYFUNCTION("""COMPUTED_VALUE"""),2068.0)</f>
        <v>2068</v>
      </c>
      <c r="B2070" s="87" t="str">
        <f>IFERROR(__xludf.DUMMYFUNCTION("""COMPUTED_VALUE"""),"Nhãn")</f>
        <v>Nhãn</v>
      </c>
      <c r="C2070" s="87" t="str">
        <f>IFERROR(__xludf.DUMMYFUNCTION("""COMPUTED_VALUE"""),"NTN1548")</f>
        <v>NTN1548</v>
      </c>
      <c r="D2070" s="87" t="str">
        <f>IFERROR(__xludf.DUMMYFUNCTION("""COMPUTED_VALUE"""),"[Nhãn] GC - IV - 1548 - Cty Agrochem Korea - PADANG 95 (bột trắng) - 100gr - 100")</f>
        <v>[Nhãn] GC - IV - 1548 - Cty Agrochem Korea - PADANG 95 (bột trắng) - 100gr - 100</v>
      </c>
      <c r="E2070" s="87" t="str">
        <f>IFERROR(__xludf.DUMMYFUNCTION("""COMPUTED_VALUE"""),"SHA CHONG JING 95WP")</f>
        <v>SHA CHONG JING 95WP</v>
      </c>
      <c r="F2070" s="87" t="str">
        <f>IFERROR(__xludf.DUMMYFUNCTION("""COMPUTED_VALUE"""),"HH1548")</f>
        <v>HH1548</v>
      </c>
      <c r="G2070" s="87" t="str">
        <f>IFERROR(__xludf.DUMMYFUNCTION("""COMPUTED_VALUE"""),"GC - IV - 1548 - Cty Agrochem Korea - PADANG 95 (bột trắng) - 100gr - 100")</f>
        <v>GC - IV - 1548 - Cty Agrochem Korea - PADANG 95 (bột trắng) - 100gr - 100</v>
      </c>
    </row>
    <row r="2071">
      <c r="A2071" s="86">
        <f>IFERROR(__xludf.DUMMYFUNCTION("""COMPUTED_VALUE"""),2069.0)</f>
        <v>2069</v>
      </c>
      <c r="B2071" s="87" t="str">
        <f>IFERROR(__xludf.DUMMYFUNCTION("""COMPUTED_VALUE"""),"Nhãn thùng")</f>
        <v>Nhãn thùng</v>
      </c>
      <c r="C2071" s="87" t="str">
        <f>IFERROR(__xludf.DUMMYFUNCTION("""COMPUTED_VALUE"""),"NDT1548")</f>
        <v>NDT1548</v>
      </c>
      <c r="D2071" s="87" t="str">
        <f>IFERROR(__xludf.DUMMYFUNCTION("""COMPUTED_VALUE"""),"[Nhãn thùng] GC - IV - 1548 - Cty Agrochem Korea - PADANG 95 (bột trắng) - 100gr - 100")</f>
        <v>[Nhãn thùng] GC - IV - 1548 - Cty Agrochem Korea - PADANG 95 (bột trắng) - 100gr - 100</v>
      </c>
      <c r="E2071" s="87" t="str">
        <f>IFERROR(__xludf.DUMMYFUNCTION("""COMPUTED_VALUE"""),"SHA CHONG JING 95WP")</f>
        <v>SHA CHONG JING 95WP</v>
      </c>
      <c r="F2071" s="87" t="str">
        <f>IFERROR(__xludf.DUMMYFUNCTION("""COMPUTED_VALUE"""),"HH1548")</f>
        <v>HH1548</v>
      </c>
      <c r="G2071" s="87" t="str">
        <f>IFERROR(__xludf.DUMMYFUNCTION("""COMPUTED_VALUE"""),"GC - IV - 1548 - Cty Agrochem Korea - PADANG 95 (bột trắng) - 100gr - 100")</f>
        <v>GC - IV - 1548 - Cty Agrochem Korea - PADANG 95 (bột trắng) - 100gr - 100</v>
      </c>
    </row>
    <row r="2072">
      <c r="A2072" s="86">
        <f>IFERROR(__xludf.DUMMYFUNCTION("""COMPUTED_VALUE"""),2070.0)</f>
        <v>2070</v>
      </c>
      <c r="B2072" s="87" t="str">
        <f>IFERROR(__xludf.DUMMYFUNCTION("""COMPUTED_VALUE"""),"Nhãn")</f>
        <v>Nhãn</v>
      </c>
      <c r="C2072" s="87" t="str">
        <f>IFERROR(__xludf.DUMMYFUNCTION("""COMPUTED_VALUE"""),"NHG1549")</f>
        <v>NHG1549</v>
      </c>
      <c r="D2072" s="87" t="str">
        <f>IFERROR(__xludf.DUMMYFUNCTION("""COMPUTED_VALUE"""),"[Nhãn] GC - II - 1549 - AGC - Sha Chong Jing 95WP (bột trắng) - 200gr - 48")</f>
        <v>[Nhãn] GC - II - 1549 - AGC - Sha Chong Jing 95WP (bột trắng) - 200gr - 48</v>
      </c>
      <c r="E2072" s="87" t="str">
        <f>IFERROR(__xludf.DUMMYFUNCTION("""COMPUTED_VALUE"""),"SHA CHONG JING 95WP")</f>
        <v>SHA CHONG JING 95WP</v>
      </c>
      <c r="F2072" s="87" t="str">
        <f>IFERROR(__xludf.DUMMYFUNCTION("""COMPUTED_VALUE"""),"HH1549")</f>
        <v>HH1549</v>
      </c>
      <c r="G2072" s="87" t="str">
        <f>IFERROR(__xludf.DUMMYFUNCTION("""COMPUTED_VALUE"""),"GC - II - 1549 - AGC - Sha Chong Jing 95WP (bột trắng) - 200gr - 48")</f>
        <v>GC - II - 1549 - AGC - Sha Chong Jing 95WP (bột trắng) - 200gr - 48</v>
      </c>
    </row>
    <row r="2073">
      <c r="A2073" s="86">
        <f>IFERROR(__xludf.DUMMYFUNCTION("""COMPUTED_VALUE"""),2071.0)</f>
        <v>2071</v>
      </c>
      <c r="B2073" s="87" t="str">
        <f>IFERROR(__xludf.DUMMYFUNCTION("""COMPUTED_VALUE"""),"Nhãn thùng")</f>
        <v>Nhãn thùng</v>
      </c>
      <c r="C2073" s="87" t="str">
        <f>IFERROR(__xludf.DUMMYFUNCTION("""COMPUTED_VALUE"""),"NDT1549")</f>
        <v>NDT1549</v>
      </c>
      <c r="D2073" s="87" t="str">
        <f>IFERROR(__xludf.DUMMYFUNCTION("""COMPUTED_VALUE"""),"[Nhãn thùng] GC - II - 1549 - AGC - Sha Chong Jing 95WP (bột trắng) - 200gr - 48")</f>
        <v>[Nhãn thùng] GC - II - 1549 - AGC - Sha Chong Jing 95WP (bột trắng) - 200gr - 48</v>
      </c>
      <c r="E2073" s="87" t="str">
        <f>IFERROR(__xludf.DUMMYFUNCTION("""COMPUTED_VALUE"""),"SHA CHONG JING 95WP")</f>
        <v>SHA CHONG JING 95WP</v>
      </c>
      <c r="F2073" s="87" t="str">
        <f>IFERROR(__xludf.DUMMYFUNCTION("""COMPUTED_VALUE"""),"HH1549")</f>
        <v>HH1549</v>
      </c>
      <c r="G2073" s="87" t="str">
        <f>IFERROR(__xludf.DUMMYFUNCTION("""COMPUTED_VALUE"""),"GC - II - 1549 - AGC - Sha Chong Jing 95WP (bột trắng) - 200gr - 48")</f>
        <v>GC - II - 1549 - AGC - Sha Chong Jing 95WP (bột trắng) - 200gr - 48</v>
      </c>
    </row>
    <row r="2074">
      <c r="A2074" s="86">
        <f>IFERROR(__xludf.DUMMYFUNCTION("""COMPUTED_VALUE"""),2072.0)</f>
        <v>2072</v>
      </c>
      <c r="B2074" s="87" t="str">
        <f>IFERROR(__xludf.DUMMYFUNCTION("""COMPUTED_VALUE"""),"Nhãn")</f>
        <v>Nhãn</v>
      </c>
      <c r="C2074" s="87" t="str">
        <f>IFERROR(__xludf.DUMMYFUNCTION("""COMPUTED_VALUE"""),"NHG1550")</f>
        <v>NHG1550</v>
      </c>
      <c r="D2074" s="87" t="str">
        <f>IFERROR(__xludf.DUMMYFUNCTION("""COMPUTED_VALUE"""),"[Nhãn] IDA Global - I - 1550 - Cty Phước An - Pico Experience (nước hồng) - 200ml - 40")</f>
        <v>[Nhãn] IDA Global - I - 1550 - Cty Phước An - Pico Experience (nước hồng) - 200ml - 40</v>
      </c>
      <c r="E2074" s="87" t="str">
        <f>IFERROR(__xludf.DUMMYFUNCTION("""COMPUTED_VALUE"""),"PICOSUPER 280SC")</f>
        <v>PICOSUPER 280SC</v>
      </c>
      <c r="F2074" s="87" t="str">
        <f>IFERROR(__xludf.DUMMYFUNCTION("""COMPUTED_VALUE"""),"HH1550")</f>
        <v>HH1550</v>
      </c>
      <c r="G2074" s="87" t="str">
        <f>IFERROR(__xludf.DUMMYFUNCTION("""COMPUTED_VALUE"""),"IDA Global - I - 1550 - Cty Phước An - Pico Experience (nước hồng) - 200ml - 40")</f>
        <v>IDA Global - I - 1550 - Cty Phước An - Pico Experience (nước hồng) - 200ml - 40</v>
      </c>
    </row>
    <row r="2075">
      <c r="A2075" s="86">
        <f>IFERROR(__xludf.DUMMYFUNCTION("""COMPUTED_VALUE"""),2073.0)</f>
        <v>2073</v>
      </c>
      <c r="B2075" s="87" t="str">
        <f>IFERROR(__xludf.DUMMYFUNCTION("""COMPUTED_VALUE"""),"Nhãn")</f>
        <v>Nhãn</v>
      </c>
      <c r="C2075" s="87" t="str">
        <f>IFERROR(__xludf.DUMMYFUNCTION("""COMPUTED_VALUE"""),"NTN1551")</f>
        <v>NTN1551</v>
      </c>
      <c r="D2075" s="87" t="str">
        <f>IFERROR(__xludf.DUMMYFUNCTION("""COMPUTED_VALUE"""),"[Nhãn] GC - IV - 1551 - Cty Vĩnh Tiến - Sha Chong Jing 95WP (Bột màu trắng) - 100gr - 100")</f>
        <v>[Nhãn] GC - IV - 1551 - Cty Vĩnh Tiến - Sha Chong Jing 95WP (Bột màu trắng) - 100gr - 100</v>
      </c>
      <c r="E2075" s="87" t="str">
        <f>IFERROR(__xludf.DUMMYFUNCTION("""COMPUTED_VALUE"""),"SHA CHONG JING 95WP")</f>
        <v>SHA CHONG JING 95WP</v>
      </c>
      <c r="F2075" s="87" t="str">
        <f>IFERROR(__xludf.DUMMYFUNCTION("""COMPUTED_VALUE"""),"HH1551")</f>
        <v>HH1551</v>
      </c>
      <c r="G2075" s="87" t="str">
        <f>IFERROR(__xludf.DUMMYFUNCTION("""COMPUTED_VALUE"""),"GC - IV - 1551 - Cty Vĩnh Tiến - Sha Chong Jing 95WP (Bột màu trắng) - 100gr - 100")</f>
        <v>GC - IV - 1551 - Cty Vĩnh Tiến - Sha Chong Jing 95WP (Bột màu trắng) - 100gr - 100</v>
      </c>
    </row>
    <row r="2076">
      <c r="A2076" s="86">
        <f>IFERROR(__xludf.DUMMYFUNCTION("""COMPUTED_VALUE"""),2074.0)</f>
        <v>2074</v>
      </c>
      <c r="B2076" s="87" t="str">
        <f>IFERROR(__xludf.DUMMYFUNCTION("""COMPUTED_VALUE"""),"Nhãn")</f>
        <v>Nhãn</v>
      </c>
      <c r="C2076" s="87" t="str">
        <f>IFERROR(__xludf.DUMMYFUNCTION("""COMPUTED_VALUE"""),"NHG1552")</f>
        <v>NHG1552</v>
      </c>
      <c r="D2076" s="87" t="str">
        <f>IFERROR(__xludf.DUMMYFUNCTION("""COMPUTED_VALUE"""),"[Nhãn] GC - IV - 1552 - Cty Vĩnh Tiến - VITIMEC 3.6 (nước trong) - 450ml - 40")</f>
        <v>[Nhãn] GC - IV - 1552 - Cty Vĩnh Tiến - VITIMEC 3.6 (nước trong) - 450ml - 40</v>
      </c>
      <c r="E2076" s="87" t="str">
        <f>IFERROR(__xludf.DUMMYFUNCTION("""COMPUTED_VALUE"""),"HAIHAMEC 3.6EC")</f>
        <v>HAIHAMEC 3.6EC</v>
      </c>
      <c r="F2076" s="87" t="str">
        <f>IFERROR(__xludf.DUMMYFUNCTION("""COMPUTED_VALUE"""),"HH1552")</f>
        <v>HH1552</v>
      </c>
      <c r="G2076" s="87" t="str">
        <f>IFERROR(__xludf.DUMMYFUNCTION("""COMPUTED_VALUE"""),"GC - IV - 1552 - Cty Vĩnh Tiến - VITIMEC 3.6 (nước trong) - 450ml - 40")</f>
        <v>GC - IV - 1552 - Cty Vĩnh Tiến - VITIMEC 3.6 (nước trong) - 450ml - 40</v>
      </c>
    </row>
    <row r="2077">
      <c r="A2077" s="86">
        <f>IFERROR(__xludf.DUMMYFUNCTION("""COMPUTED_VALUE"""),2075.0)</f>
        <v>2075</v>
      </c>
      <c r="B2077" s="87" t="str">
        <f>IFERROR(__xludf.DUMMYFUNCTION("""COMPUTED_VALUE"""),"Nhãn")</f>
        <v>Nhãn</v>
      </c>
      <c r="C2077" s="87" t="str">
        <f>IFERROR(__xludf.DUMMYFUNCTION("""COMPUTED_VALUE"""),"NHG1553")</f>
        <v>NHG1553</v>
      </c>
      <c r="D2077" s="87" t="str">
        <f>IFERROR(__xludf.DUMMYFUNCTION("""COMPUTED_VALUE"""),"[Nhãn] GC - IV - 1553 - Hóa nông Shino - Vatino Super 525SE (nước cam) - 250ml - 40")</f>
        <v>[Nhãn] GC - IV - 1553 - Hóa nông Shino - Vatino Super 525SE (nước cam) - 250ml - 40</v>
      </c>
      <c r="E2077" s="87" t="str">
        <f>IFERROR(__xludf.DUMMYFUNCTION("""COMPUTED_VALUE"""),"VATINO SUPER 525SE")</f>
        <v>VATINO SUPER 525SE</v>
      </c>
      <c r="F2077" s="87" t="str">
        <f>IFERROR(__xludf.DUMMYFUNCTION("""COMPUTED_VALUE"""),"HH1553")</f>
        <v>HH1553</v>
      </c>
      <c r="G2077" s="87" t="str">
        <f>IFERROR(__xludf.DUMMYFUNCTION("""COMPUTED_VALUE"""),"GC - IV - 1553 - Hóa nông Shino - Vatino Super 525SE (nước cam) - 250ml - 40")</f>
        <v>GC - IV - 1553 - Hóa nông Shino - Vatino Super 525SE (nước cam) - 250ml - 40</v>
      </c>
    </row>
    <row r="2078">
      <c r="A2078" s="86">
        <f>IFERROR(__xludf.DUMMYFUNCTION("""COMPUTED_VALUE"""),2076.0)</f>
        <v>2076</v>
      </c>
      <c r="B2078" s="87" t="str">
        <f>IFERROR(__xludf.DUMMYFUNCTION("""COMPUTED_VALUE"""),"Nhãn")</f>
        <v>Nhãn</v>
      </c>
      <c r="C2078" s="87" t="str">
        <f>IFERROR(__xludf.DUMMYFUNCTION("""COMPUTED_VALUE"""),"NHG1554")</f>
        <v>NHG1554</v>
      </c>
      <c r="D2078" s="87" t="str">
        <f>IFERROR(__xludf.DUMMYFUNCTION("""COMPUTED_VALUE"""),"[Nhãn] GC - II - 1554 - Hợp tác xã Thành Tâm - Dr,Thành (nước nâu đen) - 1L -20")</f>
        <v>[Nhãn] GC - II - 1554 - Hợp tác xã Thành Tâm - Dr,Thành (nước nâu đen) - 1L -20</v>
      </c>
      <c r="E2078" s="87" t="str">
        <f>IFERROR(__xludf.DUMMYFUNCTION("""COMPUTED_VALUE"""),"Vi lượng Quantity New")</f>
        <v>Vi lượng Quantity New</v>
      </c>
      <c r="F2078" s="87" t="str">
        <f>IFERROR(__xludf.DUMMYFUNCTION("""COMPUTED_VALUE"""),"HH1554")</f>
        <v>HH1554</v>
      </c>
      <c r="G2078" s="87" t="str">
        <f>IFERROR(__xludf.DUMMYFUNCTION("""COMPUTED_VALUE"""),"GC - II - 1554 - Hợp tác xã Thành Tâm - Dr,Thành (nước nâu đen) - 1L -20")</f>
        <v>GC - II - 1554 - Hợp tác xã Thành Tâm - Dr,Thành (nước nâu đen) - 1L -20</v>
      </c>
    </row>
    <row r="2079">
      <c r="A2079" s="86">
        <f>IFERROR(__xludf.DUMMYFUNCTION("""COMPUTED_VALUE"""),2077.0)</f>
        <v>2077</v>
      </c>
      <c r="B2079" s="87" t="str">
        <f>IFERROR(__xludf.DUMMYFUNCTION("""COMPUTED_VALUE"""),"Nhãn")</f>
        <v>Nhãn</v>
      </c>
      <c r="C2079" s="87" t="str">
        <f>IFERROR(__xludf.DUMMYFUNCTION("""COMPUTED_VALUE"""),"NTN1555")</f>
        <v>NTN1555</v>
      </c>
      <c r="D2079" s="87" t="str">
        <f>IFERROR(__xludf.DUMMYFUNCTION("""COMPUTED_VALUE"""),"[Nhãn] GC - IV - 1555 - Cty Thiên Di A.Thành Dol - MANCOZEB XANH (Bột xanh) - 1kg - 20")</f>
        <v>[Nhãn] GC - IV - 1555 - Cty Thiên Di A.Thành Dol - MANCOZEB XANH (Bột xanh) - 1kg - 20</v>
      </c>
      <c r="E2079" s="87" t="str">
        <f>IFERROR(__xludf.DUMMYFUNCTION("""COMPUTED_VALUE"""),"TVZEB 800WP")</f>
        <v>TVZEB 800WP</v>
      </c>
      <c r="F2079" s="87" t="str">
        <f>IFERROR(__xludf.DUMMYFUNCTION("""COMPUTED_VALUE"""),"HH1555")</f>
        <v>HH1555</v>
      </c>
      <c r="G2079" s="87" t="str">
        <f>IFERROR(__xludf.DUMMYFUNCTION("""COMPUTED_VALUE"""),"GC - IV - 1555 - Cty Thiên Di A.Thành Dol - MANCOZEB XANH (Bột xanh) - 1kg - 20")</f>
        <v>GC - IV - 1555 - Cty Thiên Di A.Thành Dol - MANCOZEB XANH (Bột xanh) - 1kg - 20</v>
      </c>
    </row>
    <row r="2080">
      <c r="A2080" s="86">
        <f>IFERROR(__xludf.DUMMYFUNCTION("""COMPUTED_VALUE"""),2078.0)</f>
        <v>2078</v>
      </c>
      <c r="B2080" s="87" t="str">
        <f>IFERROR(__xludf.DUMMYFUNCTION("""COMPUTED_VALUE"""),"Nhãn")</f>
        <v>Nhãn</v>
      </c>
      <c r="C2080" s="87" t="str">
        <f>IFERROR(__xludf.DUMMYFUNCTION("""COMPUTED_VALUE"""),"NTN1556")</f>
        <v>NTN1556</v>
      </c>
      <c r="D2080" s="87" t="str">
        <f>IFERROR(__xludf.DUMMYFUNCTION("""COMPUTED_VALUE"""),"[Nhãn] GC - IV - 1556 - A.Diễn cty Sen Hồng - Vua Đục Thân (bột màu trắng) - 80gr - 150")</f>
        <v>[Nhãn] GC - IV - 1556 - A.Diễn cty Sen Hồng - Vua Đục Thân (bột màu trắng) - 80gr - 150</v>
      </c>
      <c r="E2080" s="87" t="str">
        <f>IFERROR(__xludf.DUMMYFUNCTION("""COMPUTED_VALUE"""),"SHA CHONG JING 95WP")</f>
        <v>SHA CHONG JING 95WP</v>
      </c>
      <c r="F2080" s="87" t="str">
        <f>IFERROR(__xludf.DUMMYFUNCTION("""COMPUTED_VALUE"""),"HH1556")</f>
        <v>HH1556</v>
      </c>
      <c r="G2080" s="87" t="str">
        <f>IFERROR(__xludf.DUMMYFUNCTION("""COMPUTED_VALUE"""),"GC - IV - 1556 - A.Diễn cty Sen Hồng - Vua Đục Thân (bột màu trắng) - 80gr - 150")</f>
        <v>GC - IV - 1556 - A.Diễn cty Sen Hồng - Vua Đục Thân (bột màu trắng) - 80gr - 150</v>
      </c>
    </row>
    <row r="2081">
      <c r="A2081" s="86">
        <f>IFERROR(__xludf.DUMMYFUNCTION("""COMPUTED_VALUE"""),2079.0)</f>
        <v>2079</v>
      </c>
      <c r="B2081" s="87" t="str">
        <f>IFERROR(__xludf.DUMMYFUNCTION("""COMPUTED_VALUE"""),"Nhãn thùng")</f>
        <v>Nhãn thùng</v>
      </c>
      <c r="C2081" s="87" t="str">
        <f>IFERROR(__xludf.DUMMYFUNCTION("""COMPUTED_VALUE"""),"NDT1556")</f>
        <v>NDT1556</v>
      </c>
      <c r="D2081" s="87" t="str">
        <f>IFERROR(__xludf.DUMMYFUNCTION("""COMPUTED_VALUE"""),"[Nhãn thùng] GC - IV - 1556 - A.Diễn cty Sen Hồng - Vua Đục Thân (bột màu trắng) - 80gr - 150")</f>
        <v>[Nhãn thùng] GC - IV - 1556 - A.Diễn cty Sen Hồng - Vua Đục Thân (bột màu trắng) - 80gr - 150</v>
      </c>
      <c r="E2081" s="87" t="str">
        <f>IFERROR(__xludf.DUMMYFUNCTION("""COMPUTED_VALUE"""),"SHA CHONG JING 95WP")</f>
        <v>SHA CHONG JING 95WP</v>
      </c>
      <c r="F2081" s="87" t="str">
        <f>IFERROR(__xludf.DUMMYFUNCTION("""COMPUTED_VALUE"""),"HH1556")</f>
        <v>HH1556</v>
      </c>
      <c r="G2081" s="87" t="str">
        <f>IFERROR(__xludf.DUMMYFUNCTION("""COMPUTED_VALUE"""),"GC - IV - 1556 - A.Diễn cty Sen Hồng - Vua Đục Thân (bột màu trắng) - 80gr - 150")</f>
        <v>GC - IV - 1556 - A.Diễn cty Sen Hồng - Vua Đục Thân (bột màu trắng) - 80gr - 150</v>
      </c>
    </row>
    <row r="2082">
      <c r="A2082" s="86">
        <f>IFERROR(__xludf.DUMMYFUNCTION("""COMPUTED_VALUE"""),2080.0)</f>
        <v>2080</v>
      </c>
      <c r="B2082" s="87" t="str">
        <f>IFERROR(__xludf.DUMMYFUNCTION("""COMPUTED_VALUE"""),"Nhãn")</f>
        <v>Nhãn</v>
      </c>
      <c r="C2082" s="87" t="str">
        <f>IFERROR(__xludf.DUMMYFUNCTION("""COMPUTED_VALUE"""),"NTN1557")</f>
        <v>NTN1557</v>
      </c>
      <c r="D2082" s="87" t="str">
        <f>IFERROR(__xludf.DUMMYFUNCTION("""COMPUTED_VALUE"""),"[Nhãn] GC - IV - 1557 - A.Diễn cty Sen Hồng - Vua Đục Thân (bột màu trắng) - 100gr - 100")</f>
        <v>[Nhãn] GC - IV - 1557 - A.Diễn cty Sen Hồng - Vua Đục Thân (bột màu trắng) - 100gr - 100</v>
      </c>
      <c r="E2082" s="87" t="str">
        <f>IFERROR(__xludf.DUMMYFUNCTION("""COMPUTED_VALUE"""),"SHA CHONG JING 95WP")</f>
        <v>SHA CHONG JING 95WP</v>
      </c>
      <c r="F2082" s="87" t="str">
        <f>IFERROR(__xludf.DUMMYFUNCTION("""COMPUTED_VALUE"""),"HH1557")</f>
        <v>HH1557</v>
      </c>
      <c r="G2082" s="87" t="str">
        <f>IFERROR(__xludf.DUMMYFUNCTION("""COMPUTED_VALUE"""),"GC - IV - 1557 - A.Diễn cty Sen Hồng - Vua Đục Thân (bột màu trắng) - 100gr - 100")</f>
        <v>GC - IV - 1557 - A.Diễn cty Sen Hồng - Vua Đục Thân (bột màu trắng) - 100gr - 100</v>
      </c>
    </row>
    <row r="2083">
      <c r="A2083" s="86">
        <f>IFERROR(__xludf.DUMMYFUNCTION("""COMPUTED_VALUE"""),2081.0)</f>
        <v>2081</v>
      </c>
      <c r="B2083" s="87" t="str">
        <f>IFERROR(__xludf.DUMMYFUNCTION("""COMPUTED_VALUE"""),"Nhãn")</f>
        <v>Nhãn</v>
      </c>
      <c r="C2083" s="87" t="str">
        <f>IFERROR(__xludf.DUMMYFUNCTION("""COMPUTED_VALUE"""),"NHD1558")</f>
        <v>NHD1558</v>
      </c>
      <c r="D2083" s="87" t="str">
        <f>IFERROR(__xludf.DUMMYFUNCTION("""COMPUTED_VALUE"""),"[Nhãn] GC - IV - 1558 - NEWFOX-150 (nước đỏ) - 900ml - 20")</f>
        <v>[Nhãn] GC - IV - 1558 - NEWFOX-150 (nước đỏ) - 900ml - 20</v>
      </c>
      <c r="E2083" s="87" t="str">
        <f>IFERROR(__xludf.DUMMYFUNCTION("""COMPUTED_VALUE"""),"NEWFOSINATE 150SL")</f>
        <v>NEWFOSINATE 150SL</v>
      </c>
      <c r="F2083" s="87" t="str">
        <f>IFERROR(__xludf.DUMMYFUNCTION("""COMPUTED_VALUE"""),"HH1558")</f>
        <v>HH1558</v>
      </c>
      <c r="G2083" s="87" t="str">
        <f>IFERROR(__xludf.DUMMYFUNCTION("""COMPUTED_VALUE"""),"GC - IV - 1558 - NEWFOX-150 (nước đỏ) - 900ml - 20")</f>
        <v>GC - IV - 1558 - NEWFOX-150 (nước đỏ) - 900ml - 20</v>
      </c>
    </row>
    <row r="2084">
      <c r="A2084" s="86">
        <f>IFERROR(__xludf.DUMMYFUNCTION("""COMPUTED_VALUE"""),2082.0)</f>
        <v>2082</v>
      </c>
      <c r="B2084" s="87" t="str">
        <f>IFERROR(__xludf.DUMMYFUNCTION("""COMPUTED_VALUE"""),"Nhãn")</f>
        <v>Nhãn</v>
      </c>
      <c r="C2084" s="87" t="str">
        <f>IFERROR(__xludf.DUMMYFUNCTION("""COMPUTED_VALUE"""),"NHG1559")</f>
        <v>NHG1559</v>
      </c>
      <c r="D2084" s="87" t="str">
        <f>IFERROR(__xludf.DUMMYFUNCTION("""COMPUTED_VALUE"""),"[Nhãn] GC - II - AGC -1559 - Cty Master Win - Amino Stalk (nước nâu đen) - 500ml - 40")</f>
        <v>[Nhãn] GC - II - AGC -1559 - Cty Master Win - Amino Stalk (nước nâu đen) - 500ml - 40</v>
      </c>
      <c r="E2084" s="87" t="str">
        <f>IFERROR(__xludf.DUMMYFUNCTION("""COMPUTED_VALUE"""),"Vi lượng Quantity New")</f>
        <v>Vi lượng Quantity New</v>
      </c>
      <c r="F2084" s="87" t="str">
        <f>IFERROR(__xludf.DUMMYFUNCTION("""COMPUTED_VALUE"""),"HH1559")</f>
        <v>HH1559</v>
      </c>
      <c r="G2084" s="87" t="str">
        <f>IFERROR(__xludf.DUMMYFUNCTION("""COMPUTED_VALUE"""),"GC - II - AGC -1559 - Cty Master Win - Amino Stalk (nước nâu đen) - 500ml - 40")</f>
        <v>GC - II - AGC -1559 - Cty Master Win - Amino Stalk (nước nâu đen) - 500ml - 40</v>
      </c>
    </row>
    <row r="2085">
      <c r="A2085" s="86">
        <f>IFERROR(__xludf.DUMMYFUNCTION("""COMPUTED_VALUE"""),2083.0)</f>
        <v>2083</v>
      </c>
      <c r="B2085" s="87" t="str">
        <f>IFERROR(__xludf.DUMMYFUNCTION("""COMPUTED_VALUE"""),"Nhãn")</f>
        <v>Nhãn</v>
      </c>
      <c r="C2085" s="87" t="str">
        <f>IFERROR(__xludf.DUMMYFUNCTION("""COMPUTED_VALUE"""),"NTN1560")</f>
        <v>NTN1560</v>
      </c>
      <c r="D2085" s="87" t="str">
        <f>IFERROR(__xludf.DUMMYFUNCTION("""COMPUTED_VALUE"""),"[Nhãn] GC - IV - 1560 - Hóa nông Shino - Pim.Pim 75WP (bột cam) - 100gr - 100")</f>
        <v>[Nhãn] GC - IV - 1560 - Hóa nông Shino - Pim.Pim 75WP (bột cam) - 100gr - 100</v>
      </c>
      <c r="E2085" s="87" t="str">
        <f>IFERROR(__xludf.DUMMYFUNCTION("""COMPUTED_VALUE"""),"Pim.Pim 75WP")</f>
        <v>Pim.Pim 75WP</v>
      </c>
      <c r="F2085" s="87" t="str">
        <f>IFERROR(__xludf.DUMMYFUNCTION("""COMPUTED_VALUE"""),"HH1560")</f>
        <v>HH1560</v>
      </c>
      <c r="G2085" s="87" t="str">
        <f>IFERROR(__xludf.DUMMYFUNCTION("""COMPUTED_VALUE"""),"GC - IV - 1560 - Hóa nông Shino - Pim.Pim 75WP (bột cam) - 100gr - 100")</f>
        <v>GC - IV - 1560 - Hóa nông Shino - Pim.Pim 75WP (bột cam) - 100gr - 100</v>
      </c>
    </row>
    <row r="2086">
      <c r="A2086" s="86">
        <f>IFERROR(__xludf.DUMMYFUNCTION("""COMPUTED_VALUE"""),2084.0)</f>
        <v>2084</v>
      </c>
      <c r="B2086" s="87" t="str">
        <f>IFERROR(__xludf.DUMMYFUNCTION("""COMPUTED_VALUE"""),"Nhãn thùng")</f>
        <v>Nhãn thùng</v>
      </c>
      <c r="C2086" s="87" t="str">
        <f>IFERROR(__xludf.DUMMYFUNCTION("""COMPUTED_VALUE"""),"NDT1560")</f>
        <v>NDT1560</v>
      </c>
      <c r="D2086" s="87" t="str">
        <f>IFERROR(__xludf.DUMMYFUNCTION("""COMPUTED_VALUE"""),"[Nhãn thùng] GC - IV - 1560 - Hóa nông Shino - Pim.Pim 75WP (bột cam) - 100gr - 100")</f>
        <v>[Nhãn thùng] GC - IV - 1560 - Hóa nông Shino - Pim.Pim 75WP (bột cam) - 100gr - 100</v>
      </c>
      <c r="E2086" s="87" t="str">
        <f>IFERROR(__xludf.DUMMYFUNCTION("""COMPUTED_VALUE"""),"Pim.Pim 75WP")</f>
        <v>Pim.Pim 75WP</v>
      </c>
      <c r="F2086" s="87" t="str">
        <f>IFERROR(__xludf.DUMMYFUNCTION("""COMPUTED_VALUE"""),"HH1560")</f>
        <v>HH1560</v>
      </c>
      <c r="G2086" s="87" t="str">
        <f>IFERROR(__xludf.DUMMYFUNCTION("""COMPUTED_VALUE"""),"GC - IV - 1560 - Hóa nông Shino - Pim.Pim 75WP (bột cam) - 100gr - 100")</f>
        <v>GC - IV - 1560 - Hóa nông Shino - Pim.Pim 75WP (bột cam) - 100gr - 100</v>
      </c>
    </row>
    <row r="2087">
      <c r="A2087" s="86">
        <f>IFERROR(__xludf.DUMMYFUNCTION("""COMPUTED_VALUE"""),2085.0)</f>
        <v>2085</v>
      </c>
      <c r="B2087" s="87" t="str">
        <f>IFERROR(__xludf.DUMMYFUNCTION("""COMPUTED_VALUE"""),"Nhãn")</f>
        <v>Nhãn</v>
      </c>
      <c r="C2087" s="87" t="str">
        <f>IFERROR(__xludf.DUMMYFUNCTION("""COMPUTED_VALUE"""),"NHG1561")</f>
        <v>NHG1561</v>
      </c>
      <c r="D2087" s="87" t="str">
        <f>IFERROR(__xludf.DUMMYFUNCTION("""COMPUTED_VALUE"""),"[Nhãn] NB - I - 1561 - Sunrise - Thần sấm (Pet tròn)(nắp đỏ)(nước nâu đen) - 450ml - 40")</f>
        <v>[Nhãn] NB - I - 1561 - Sunrise - Thần sấm (Pet tròn)(nắp đỏ)(nước nâu đen) - 450ml - 40</v>
      </c>
      <c r="E2087" s="87" t="str">
        <f>IFERROR(__xludf.DUMMYFUNCTION("""COMPUTED_VALUE"""),"HAIHAMEC 3.6EC")</f>
        <v>HAIHAMEC 3.6EC</v>
      </c>
      <c r="F2087" s="87" t="str">
        <f>IFERROR(__xludf.DUMMYFUNCTION("""COMPUTED_VALUE"""),"HH1561")</f>
        <v>HH1561</v>
      </c>
      <c r="G2087" s="87" t="str">
        <f>IFERROR(__xludf.DUMMYFUNCTION("""COMPUTED_VALUE"""),"NB - I - 1561 - Sunrise - Thần sấm (Pet tròn)(nắp đỏ)(nước nâu đen) - 450ml - 40")</f>
        <v>NB - I - 1561 - Sunrise - Thần sấm (Pet tròn)(nắp đỏ)(nước nâu đen) - 450ml - 40</v>
      </c>
    </row>
    <row r="2088">
      <c r="A2088" s="86">
        <f>IFERROR(__xludf.DUMMYFUNCTION("""COMPUTED_VALUE"""),2086.0)</f>
        <v>2086</v>
      </c>
      <c r="B2088" s="87" t="str">
        <f>IFERROR(__xludf.DUMMYFUNCTION("""COMPUTED_VALUE"""),"Nhãn")</f>
        <v>Nhãn</v>
      </c>
      <c r="C2088" s="87" t="str">
        <f>IFERROR(__xludf.DUMMYFUNCTION("""COMPUTED_VALUE"""),"NHG1562")</f>
        <v>NHG1562</v>
      </c>
      <c r="D2088" s="87" t="str">
        <f>IFERROR(__xludf.DUMMYFUNCTION("""COMPUTED_VALUE"""),"[Nhãn] GC - IV - 1562- Thiên Di - Hexa Vil Thai 500 (nước trắng sữa) - 1L - 20")</f>
        <v>[Nhãn] GC - IV - 1562- Thiên Di - Hexa Vil Thai 500 (nước trắng sữa) - 1L - 20</v>
      </c>
      <c r="E2088" s="87" t="str">
        <f>IFERROR(__xludf.DUMMYFUNCTION("""COMPUTED_VALUE"""),"Mekongvil 5SC")</f>
        <v>Mekongvil 5SC</v>
      </c>
      <c r="F2088" s="87" t="str">
        <f>IFERROR(__xludf.DUMMYFUNCTION("""COMPUTED_VALUE"""),"HH1562")</f>
        <v>HH1562</v>
      </c>
      <c r="G2088" s="87" t="str">
        <f>IFERROR(__xludf.DUMMYFUNCTION("""COMPUTED_VALUE"""),"GC - IV - 1562- Thiên Di - Hexa Vil Thai 500 (nước trắng sữa) - 1L - 20")</f>
        <v>GC - IV - 1562- Thiên Di - Hexa Vil Thai 500 (nước trắng sữa) - 1L - 20</v>
      </c>
    </row>
    <row r="2089">
      <c r="A2089" s="86">
        <f>IFERROR(__xludf.DUMMYFUNCTION("""COMPUTED_VALUE"""),2087.0)</f>
        <v>2087</v>
      </c>
      <c r="B2089" s="87" t="str">
        <f>IFERROR(__xludf.DUMMYFUNCTION("""COMPUTED_VALUE"""),"Nhãn thùng")</f>
        <v>Nhãn thùng</v>
      </c>
      <c r="C2089" s="87" t="str">
        <f>IFERROR(__xludf.DUMMYFUNCTION("""COMPUTED_VALUE"""),"NDT1562")</f>
        <v>NDT1562</v>
      </c>
      <c r="D2089" s="87" t="str">
        <f>IFERROR(__xludf.DUMMYFUNCTION("""COMPUTED_VALUE"""),"[Nhãn thùng] GC - IV - 1562- Thiên Di - Hexa Vil Thai 500 (nước trắng sữa) - 1L - 20")</f>
        <v>[Nhãn thùng] GC - IV - 1562- Thiên Di - Hexa Vil Thai 500 (nước trắng sữa) - 1L - 20</v>
      </c>
      <c r="E2089" s="87" t="str">
        <f>IFERROR(__xludf.DUMMYFUNCTION("""COMPUTED_VALUE"""),"Mekongvil 5SC")</f>
        <v>Mekongvil 5SC</v>
      </c>
      <c r="F2089" s="87" t="str">
        <f>IFERROR(__xludf.DUMMYFUNCTION("""COMPUTED_VALUE"""),"HH1562")</f>
        <v>HH1562</v>
      </c>
      <c r="G2089" s="87" t="str">
        <f>IFERROR(__xludf.DUMMYFUNCTION("""COMPUTED_VALUE"""),"GC - IV - 1562- Thiên Di - Hexa Vil Thai 500 (nước trắng sữa) - 1L - 20")</f>
        <v>GC - IV - 1562- Thiên Di - Hexa Vil Thai 500 (nước trắng sữa) - 1L - 20</v>
      </c>
    </row>
    <row r="2090">
      <c r="A2090" s="86">
        <f>IFERROR(__xludf.DUMMYFUNCTION("""COMPUTED_VALUE"""),2088.0)</f>
        <v>2088</v>
      </c>
      <c r="B2090" s="87" t="str">
        <f>IFERROR(__xludf.DUMMYFUNCTION("""COMPUTED_VALUE"""),"Nhãn")</f>
        <v>Nhãn</v>
      </c>
      <c r="C2090" s="87" t="str">
        <f>IFERROR(__xludf.DUMMYFUNCTION("""COMPUTED_VALUE"""),"NHG1563")</f>
        <v>NHG1563</v>
      </c>
      <c r="D2090" s="87" t="str">
        <f>IFERROR(__xludf.DUMMYFUNCTION("""COMPUTED_VALUE"""),"[Nhãn] IDA Global - I - 1563 - Cá Mập Trắng (Nước trắng sữa) - 240ml - 40")</f>
        <v>[Nhãn] IDA Global - I - 1563 - Cá Mập Trắng (Nước trắng sữa) - 240ml - 40</v>
      </c>
      <c r="E2090" s="87" t="str">
        <f>IFERROR(__xludf.DUMMYFUNCTION("""COMPUTED_VALUE"""),"Solonapy 300SC")</f>
        <v>Solonapy 300SC</v>
      </c>
      <c r="F2090" s="87" t="str">
        <f>IFERROR(__xludf.DUMMYFUNCTION("""COMPUTED_VALUE"""),"HH1563")</f>
        <v>HH1563</v>
      </c>
      <c r="G2090" s="87" t="str">
        <f>IFERROR(__xludf.DUMMYFUNCTION("""COMPUTED_VALUE"""),"IDA Global - I - 1563 - Cá Mập Trắng (Nước trắng sữa) - 240ml - 40")</f>
        <v>IDA Global - I - 1563 - Cá Mập Trắng (Nước trắng sữa) - 240ml - 40</v>
      </c>
    </row>
    <row r="2091">
      <c r="A2091" s="86">
        <f>IFERROR(__xludf.DUMMYFUNCTION("""COMPUTED_VALUE"""),2089.0)</f>
        <v>2089</v>
      </c>
      <c r="B2091" s="87" t="str">
        <f>IFERROR(__xludf.DUMMYFUNCTION("""COMPUTED_VALUE"""),"Nhãn")</f>
        <v>Nhãn</v>
      </c>
      <c r="C2091" s="87" t="str">
        <f>IFERROR(__xludf.DUMMYFUNCTION("""COMPUTED_VALUE"""),"NHG1564")</f>
        <v>NHG1564</v>
      </c>
      <c r="D2091" s="87" t="str">
        <f>IFERROR(__xludf.DUMMYFUNCTION("""COMPUTED_VALUE"""),"[Nhãn] GC - IV - 1564 - Cty Hitaco - Thần kê diệt sâu (nước trắng sữa) - 200ml - 40")</f>
        <v>[Nhãn] GC - IV - 1564 - Cty Hitaco - Thần kê diệt sâu (nước trắng sữa) - 200ml - 40</v>
      </c>
      <c r="E2091" s="87" t="str">
        <f>IFERROR(__xludf.DUMMYFUNCTION("""COMPUTED_VALUE"""),"DIFEGGO 42SC")</f>
        <v>DIFEGGO 42SC</v>
      </c>
      <c r="F2091" s="87" t="str">
        <f>IFERROR(__xludf.DUMMYFUNCTION("""COMPUTED_VALUE"""),"HH1564")</f>
        <v>HH1564</v>
      </c>
      <c r="G2091" s="87" t="str">
        <f>IFERROR(__xludf.DUMMYFUNCTION("""COMPUTED_VALUE"""),"GC - IV - 1564 - Cty Hitaco - Thần kê diệt sâu (nước trắng sữa) - 200ml - 40")</f>
        <v>GC - IV - 1564 - Cty Hitaco - Thần kê diệt sâu (nước trắng sữa) - 200ml - 40</v>
      </c>
    </row>
    <row r="2092">
      <c r="A2092" s="86">
        <f>IFERROR(__xludf.DUMMYFUNCTION("""COMPUTED_VALUE"""),2090.0)</f>
        <v>2090</v>
      </c>
      <c r="B2092" s="87" t="str">
        <f>IFERROR(__xludf.DUMMYFUNCTION("""COMPUTED_VALUE"""),"Nhãn")</f>
        <v>Nhãn</v>
      </c>
      <c r="C2092" s="87" t="str">
        <f>IFERROR(__xludf.DUMMYFUNCTION("""COMPUTED_VALUE"""),"NHG1565")</f>
        <v>NHG1565</v>
      </c>
      <c r="D2092" s="87" t="str">
        <f>IFERROR(__xludf.DUMMYFUNCTION("""COMPUTED_VALUE"""),"[Nhãn] IDA Global - I - 1565 - ĐL.Thanh Liêm (BL) - Flower Top SC Lúa &amp; Rau màu (nước trắng ngà) - 450ml - 40")</f>
        <v>[Nhãn] IDA Global - I - 1565 - ĐL.Thanh Liêm (BL) - Flower Top SC Lúa &amp; Rau màu (nước trắng ngà) - 450ml - 40</v>
      </c>
      <c r="E2092" s="87" t="str">
        <f>IFERROR(__xludf.DUMMYFUNCTION("""COMPUTED_VALUE"""),"Vi lượng Basel IDA 47")</f>
        <v>Vi lượng Basel IDA 47</v>
      </c>
      <c r="F2092" s="87" t="str">
        <f>IFERROR(__xludf.DUMMYFUNCTION("""COMPUTED_VALUE"""),"HH1565")</f>
        <v>HH1565</v>
      </c>
      <c r="G2092" s="87" t="str">
        <f>IFERROR(__xludf.DUMMYFUNCTION("""COMPUTED_VALUE"""),"IDA Global - I - 1565 - ĐL.Thanh Liêm (BL) - Flower Top SC Lúa &amp; Rau màu (nước trắng ngà) - 450ml - 40")</f>
        <v>IDA Global - I - 1565 - ĐL.Thanh Liêm (BL) - Flower Top SC Lúa &amp; Rau màu (nước trắng ngà) - 450ml - 40</v>
      </c>
    </row>
    <row r="2093">
      <c r="A2093" s="86">
        <f>IFERROR(__xludf.DUMMYFUNCTION("""COMPUTED_VALUE"""),2091.0)</f>
        <v>2091</v>
      </c>
      <c r="B2093" s="87" t="str">
        <f>IFERROR(__xludf.DUMMYFUNCTION("""COMPUTED_VALUE"""),"Nhãn")</f>
        <v>Nhãn</v>
      </c>
      <c r="C2093" s="87" t="str">
        <f>IFERROR(__xludf.DUMMYFUNCTION("""COMPUTED_VALUE"""),"NHG1566")</f>
        <v>NHG1566</v>
      </c>
      <c r="D2093" s="87" t="str">
        <f>IFERROR(__xludf.DUMMYFUNCTION("""COMPUTED_VALUE"""),"[Nhãn] LOT IDA Global - I - 1566 - ĐL Lệ Hồng 1 - Mekongvil 5SC (nước trắng sữa) - 1L - 20")</f>
        <v>[Nhãn] LOT IDA Global - I - 1566 - ĐL Lệ Hồng 1 - Mekongvil 5SC (nước trắng sữa) - 1L - 20</v>
      </c>
      <c r="E2093" s="87" t="str">
        <f>IFERROR(__xludf.DUMMYFUNCTION("""COMPUTED_VALUE"""),"Mekongvil 5SC")</f>
        <v>Mekongvil 5SC</v>
      </c>
      <c r="F2093" s="87" t="str">
        <f>IFERROR(__xludf.DUMMYFUNCTION("""COMPUTED_VALUE"""),"HH1566")</f>
        <v>HH1566</v>
      </c>
      <c r="G2093" s="87" t="str">
        <f>IFERROR(__xludf.DUMMYFUNCTION("""COMPUTED_VALUE"""),"LOT IDA Global - I - 1566 - ĐL Lệ Hồng 1 - Mekongvil 5SC (nước trắng sữa) - 1L - 20")</f>
        <v>LOT IDA Global - I - 1566 - ĐL Lệ Hồng 1 - Mekongvil 5SC (nước trắng sữa) - 1L - 20</v>
      </c>
    </row>
    <row r="2094">
      <c r="A2094" s="86">
        <f>IFERROR(__xludf.DUMMYFUNCTION("""COMPUTED_VALUE"""),2092.0)</f>
        <v>2092</v>
      </c>
      <c r="B2094" s="87" t="str">
        <f>IFERROR(__xludf.DUMMYFUNCTION("""COMPUTED_VALUE"""),"Nhãn")</f>
        <v>Nhãn</v>
      </c>
      <c r="C2094" s="87" t="str">
        <f>IFERROR(__xludf.DUMMYFUNCTION("""COMPUTED_VALUE"""),"NTN1568")</f>
        <v>NTN1568</v>
      </c>
      <c r="D2094" s="87" t="str">
        <f>IFERROR(__xludf.DUMMYFUNCTION("""COMPUTED_VALUE"""),"[Nhãn] GC - IV - 1568 - Cty Agrotech - Badang95 (bột màu trắng) - 80gr - 100")</f>
        <v>[Nhãn] GC - IV - 1568 - Cty Agrotech - Badang95 (bột màu trắng) - 80gr - 100</v>
      </c>
      <c r="E2094" s="87" t="str">
        <f>IFERROR(__xludf.DUMMYFUNCTION("""COMPUTED_VALUE"""),"SHA CHONG JING 95WP")</f>
        <v>SHA CHONG JING 95WP</v>
      </c>
      <c r="F2094" s="87" t="str">
        <f>IFERROR(__xludf.DUMMYFUNCTION("""COMPUTED_VALUE"""),"HH1568")</f>
        <v>HH1568</v>
      </c>
      <c r="G2094" s="87" t="str">
        <f>IFERROR(__xludf.DUMMYFUNCTION("""COMPUTED_VALUE"""),"GC - IV - 1568 - Cty Agrotech - Badang95 (bột màu trắng) - 80gr - 100")</f>
        <v>GC - IV - 1568 - Cty Agrotech - Badang95 (bột màu trắng) - 80gr - 100</v>
      </c>
    </row>
    <row r="2095">
      <c r="A2095" s="86">
        <f>IFERROR(__xludf.DUMMYFUNCTION("""COMPUTED_VALUE"""),2093.0)</f>
        <v>2093</v>
      </c>
      <c r="B2095" s="87" t="str">
        <f>IFERROR(__xludf.DUMMYFUNCTION("""COMPUTED_VALUE"""),"Nhãn thùng")</f>
        <v>Nhãn thùng</v>
      </c>
      <c r="C2095" s="87" t="str">
        <f>IFERROR(__xludf.DUMMYFUNCTION("""COMPUTED_VALUE"""),"NDT1568")</f>
        <v>NDT1568</v>
      </c>
      <c r="D2095" s="87" t="str">
        <f>IFERROR(__xludf.DUMMYFUNCTION("""COMPUTED_VALUE"""),"[Nhãn thùng] GC - IV - 1568 - Cty Agrotech - Badang95 (bột màu trắng) - 80gr - 100")</f>
        <v>[Nhãn thùng] GC - IV - 1568 - Cty Agrotech - Badang95 (bột màu trắng) - 80gr - 100</v>
      </c>
      <c r="E2095" s="87" t="str">
        <f>IFERROR(__xludf.DUMMYFUNCTION("""COMPUTED_VALUE"""),"SHA CHONG JING 95WP")</f>
        <v>SHA CHONG JING 95WP</v>
      </c>
      <c r="F2095" s="87" t="str">
        <f>IFERROR(__xludf.DUMMYFUNCTION("""COMPUTED_VALUE"""),"HH1568")</f>
        <v>HH1568</v>
      </c>
      <c r="G2095" s="87" t="str">
        <f>IFERROR(__xludf.DUMMYFUNCTION("""COMPUTED_VALUE"""),"GC - IV - 1568 - Cty Agrotech - Badang95 (bột màu trắng) - 80gr - 100")</f>
        <v>GC - IV - 1568 - Cty Agrotech - Badang95 (bột màu trắng) - 80gr - 100</v>
      </c>
    </row>
    <row r="2096">
      <c r="A2096" s="86">
        <f>IFERROR(__xludf.DUMMYFUNCTION("""COMPUTED_VALUE"""),2094.0)</f>
        <v>2094</v>
      </c>
      <c r="B2096" s="87" t="str">
        <f>IFERROR(__xludf.DUMMYFUNCTION("""COMPUTED_VALUE"""),"Nhãn")</f>
        <v>Nhãn</v>
      </c>
      <c r="C2096" s="87" t="str">
        <f>IFERROR(__xludf.DUMMYFUNCTION("""COMPUTED_VALUE"""),"NHG1569")</f>
        <v>NHG1569</v>
      </c>
      <c r="D2096" s="87" t="str">
        <f>IFERROR(__xludf.DUMMYFUNCTION("""COMPUTED_VALUE"""),"[Nhãn] LOT IDA Global - I - 1569 - ĐL.Huỳnh Thanh - Vua Bò Cạp (nước nâu đen) - 450ml - 40")</f>
        <v>[Nhãn] LOT IDA Global - I - 1569 - ĐL.Huỳnh Thanh - Vua Bò Cạp (nước nâu đen) - 450ml - 40</v>
      </c>
      <c r="E2096" s="87" t="str">
        <f>IFERROR(__xludf.DUMMYFUNCTION("""COMPUTED_VALUE"""),"Chitin 3.6EC")</f>
        <v>Chitin 3.6EC</v>
      </c>
      <c r="F2096" s="87" t="str">
        <f>IFERROR(__xludf.DUMMYFUNCTION("""COMPUTED_VALUE"""),"HH1569")</f>
        <v>HH1569</v>
      </c>
      <c r="G2096" s="87" t="str">
        <f>IFERROR(__xludf.DUMMYFUNCTION("""COMPUTED_VALUE"""),"LOT IDA Global - I - 1569 - ĐL.Huỳnh Thanh - Vua Bò Cạp (nước nâu đen) - 450ml - 40")</f>
        <v>LOT IDA Global - I - 1569 - ĐL.Huỳnh Thanh - Vua Bò Cạp (nước nâu đen) - 450ml - 40</v>
      </c>
    </row>
    <row r="2097">
      <c r="A2097" s="86">
        <f>IFERROR(__xludf.DUMMYFUNCTION("""COMPUTED_VALUE"""),2095.0)</f>
        <v>2095</v>
      </c>
      <c r="B2097" s="87" t="str">
        <f>IFERROR(__xludf.DUMMYFUNCTION("""COMPUTED_VALUE"""),"Nhãn")</f>
        <v>Nhãn</v>
      </c>
      <c r="C2097" s="87" t="str">
        <f>IFERROR(__xludf.DUMMYFUNCTION("""COMPUTED_VALUE"""),"NHG1570")</f>
        <v>NHG1570</v>
      </c>
      <c r="D2097" s="87" t="str">
        <f>IFERROR(__xludf.DUMMYFUNCTION("""COMPUTED_VALUE"""),"[Nhãn] GC - II - 1570 - Japan Crop Science - Sumo Siêu Cứng (gel nâu đen) - 500ml - 30")</f>
        <v>[Nhãn] GC - II - 1570 - Japan Crop Science - Sumo Siêu Cứng (gel nâu đen) - 500ml - 30</v>
      </c>
      <c r="E2097" s="87" t="str">
        <f>IFERROR(__xludf.DUMMYFUNCTION("""COMPUTED_VALUE"""),"Vi lượng Quantity New")</f>
        <v>Vi lượng Quantity New</v>
      </c>
      <c r="F2097" s="87" t="str">
        <f>IFERROR(__xludf.DUMMYFUNCTION("""COMPUTED_VALUE"""),"HH1570")</f>
        <v>HH1570</v>
      </c>
      <c r="G2097" s="87" t="str">
        <f>IFERROR(__xludf.DUMMYFUNCTION("""COMPUTED_VALUE"""),"GC - II - 1570 - Japan Crop Science - Sumo Siêu Cứng (gel nâu đen) - 500ml - 30")</f>
        <v>GC - II - 1570 - Japan Crop Science - Sumo Siêu Cứng (gel nâu đen) - 500ml - 30</v>
      </c>
    </row>
    <row r="2098">
      <c r="A2098" s="86">
        <f>IFERROR(__xludf.DUMMYFUNCTION("""COMPUTED_VALUE"""),2096.0)</f>
        <v>2096</v>
      </c>
      <c r="B2098" s="87" t="str">
        <f>IFERROR(__xludf.DUMMYFUNCTION("""COMPUTED_VALUE"""),"Nhãn phụ")</f>
        <v>Nhãn phụ</v>
      </c>
      <c r="C2098" s="87" t="str">
        <f>IFERROR(__xludf.DUMMYFUNCTION("""COMPUTED_VALUE"""),"NHP1570")</f>
        <v>NHP1570</v>
      </c>
      <c r="D2098" s="87" t="str">
        <f>IFERROR(__xludf.DUMMYFUNCTION("""COMPUTED_VALUE"""),"[Nhãn phụ] GC - II - 1570 - Japan Crop Science - Sumo Siêu Cứng (gel nâu đen) - 500ml - 30")</f>
        <v>[Nhãn phụ] GC - II - 1570 - Japan Crop Science - Sumo Siêu Cứng (gel nâu đen) - 500ml - 30</v>
      </c>
      <c r="E2098" s="87" t="str">
        <f>IFERROR(__xludf.DUMMYFUNCTION("""COMPUTED_VALUE"""),"Vi lượng Quantity New")</f>
        <v>Vi lượng Quantity New</v>
      </c>
      <c r="F2098" s="87" t="str">
        <f>IFERROR(__xludf.DUMMYFUNCTION("""COMPUTED_VALUE"""),"HH1570")</f>
        <v>HH1570</v>
      </c>
      <c r="G2098" s="87" t="str">
        <f>IFERROR(__xludf.DUMMYFUNCTION("""COMPUTED_VALUE"""),"GC - II - 1570 - Japan Crop Science - Sumo Siêu Cứng (gel nâu đen) - 500ml - 30")</f>
        <v>GC - II - 1570 - Japan Crop Science - Sumo Siêu Cứng (gel nâu đen) - 500ml - 30</v>
      </c>
    </row>
    <row r="2099">
      <c r="A2099" s="86">
        <f>IFERROR(__xludf.DUMMYFUNCTION("""COMPUTED_VALUE"""),2097.0)</f>
        <v>2097</v>
      </c>
      <c r="B2099" s="87" t="str">
        <f>IFERROR(__xludf.DUMMYFUNCTION("""COMPUTED_VALUE"""),"Nhãn")</f>
        <v>Nhãn</v>
      </c>
      <c r="C2099" s="87" t="str">
        <f>IFERROR(__xludf.DUMMYFUNCTION("""COMPUTED_VALUE"""),"NTN1571")</f>
        <v>NTN1571</v>
      </c>
      <c r="D2099" s="87" t="str">
        <f>IFERROR(__xludf.DUMMYFUNCTION("""COMPUTED_VALUE"""),"[Nhãn] GC - IV - 1571 - Sherdoba 55WG (dạng cốm màu trắng ngà) - 100gr - 100")</f>
        <v>[Nhãn] GC - IV - 1571 - Sherdoba 55WG (dạng cốm màu trắng ngà) - 100gr - 100</v>
      </c>
      <c r="E2099" s="87" t="str">
        <f>IFERROR(__xludf.DUMMYFUNCTION("""COMPUTED_VALUE"""),"Sherdoba 55WG")</f>
        <v>Sherdoba 55WG</v>
      </c>
      <c r="F2099" s="87" t="str">
        <f>IFERROR(__xludf.DUMMYFUNCTION("""COMPUTED_VALUE"""),"HH1571")</f>
        <v>HH1571</v>
      </c>
      <c r="G2099" s="87" t="str">
        <f>IFERROR(__xludf.DUMMYFUNCTION("""COMPUTED_VALUE"""),"GC - IV - 1571 - Sherdoba 55WG (dạng cốm màu trắng ngà) - 100gr - 100")</f>
        <v>GC - IV - 1571 - Sherdoba 55WG (dạng cốm màu trắng ngà) - 100gr - 100</v>
      </c>
    </row>
    <row r="2100">
      <c r="A2100" s="86">
        <f>IFERROR(__xludf.DUMMYFUNCTION("""COMPUTED_VALUE"""),2098.0)</f>
        <v>2098</v>
      </c>
      <c r="B2100" s="87" t="str">
        <f>IFERROR(__xludf.DUMMYFUNCTION("""COMPUTED_VALUE"""),"Nhãn thùng")</f>
        <v>Nhãn thùng</v>
      </c>
      <c r="C2100" s="87" t="str">
        <f>IFERROR(__xludf.DUMMYFUNCTION("""COMPUTED_VALUE"""),"NDT1571")</f>
        <v>NDT1571</v>
      </c>
      <c r="D2100" s="87" t="str">
        <f>IFERROR(__xludf.DUMMYFUNCTION("""COMPUTED_VALUE"""),"[Nhãn thùng] GC - IV - 1571 - Sherdoba 55WG (dạng cốm màu trắng ngà) - 100gr - 100")</f>
        <v>[Nhãn thùng] GC - IV - 1571 - Sherdoba 55WG (dạng cốm màu trắng ngà) - 100gr - 100</v>
      </c>
      <c r="E2100" s="87" t="str">
        <f>IFERROR(__xludf.DUMMYFUNCTION("""COMPUTED_VALUE"""),"Sherdoba 55WG")</f>
        <v>Sherdoba 55WG</v>
      </c>
      <c r="F2100" s="87" t="str">
        <f>IFERROR(__xludf.DUMMYFUNCTION("""COMPUTED_VALUE"""),"HH1571")</f>
        <v>HH1571</v>
      </c>
      <c r="G2100" s="87" t="str">
        <f>IFERROR(__xludf.DUMMYFUNCTION("""COMPUTED_VALUE"""),"GC - IV - 1571 - Sherdoba 55WG (dạng cốm màu trắng ngà) - 100gr - 100")</f>
        <v>GC - IV - 1571 - Sherdoba 55WG (dạng cốm màu trắng ngà) - 100gr - 100</v>
      </c>
    </row>
    <row r="2101">
      <c r="A2101" s="86">
        <f>IFERROR(__xludf.DUMMYFUNCTION("""COMPUTED_VALUE"""),2099.0)</f>
        <v>2099</v>
      </c>
      <c r="B2101" s="87" t="str">
        <f>IFERROR(__xludf.DUMMYFUNCTION("""COMPUTED_VALUE"""),"Nhãn")</f>
        <v>Nhãn</v>
      </c>
      <c r="C2101" s="87" t="str">
        <f>IFERROR(__xludf.DUMMYFUNCTION("""COMPUTED_VALUE"""),"NHD1572")</f>
        <v>NHD1572</v>
      </c>
      <c r="D2101" s="87" t="str">
        <f>IFERROR(__xludf.DUMMYFUNCTION("""COMPUTED_VALUE"""),"[Nhãn] GC - IV - 1572 - Khả Lâm - Ema 21 Gold (nước vàng) - 900ml - 20")</f>
        <v>[Nhãn] GC - IV - 1572 - Khả Lâm - Ema 21 Gold (nước vàng) - 900ml - 20</v>
      </c>
      <c r="E2101" s="87" t="str">
        <f>IFERROR(__xludf.DUMMYFUNCTION("""COMPUTED_VALUE"""),"Creek 2.1EC")</f>
        <v>Creek 2.1EC</v>
      </c>
      <c r="F2101" s="87" t="str">
        <f>IFERROR(__xludf.DUMMYFUNCTION("""COMPUTED_VALUE"""),"HH1572")</f>
        <v>HH1572</v>
      </c>
      <c r="G2101" s="87" t="str">
        <f>IFERROR(__xludf.DUMMYFUNCTION("""COMPUTED_VALUE"""),"GC - IV - 1572 - Khả Lâm - Ema 21 Gold (nước vàng) - 900ml - 20")</f>
        <v>GC - IV - 1572 - Khả Lâm - Ema 21 Gold (nước vàng) - 900ml - 20</v>
      </c>
    </row>
    <row r="2102">
      <c r="A2102" s="86">
        <f>IFERROR(__xludf.DUMMYFUNCTION("""COMPUTED_VALUE"""),2100.0)</f>
        <v>2100</v>
      </c>
      <c r="B2102" s="87" t="str">
        <f>IFERROR(__xludf.DUMMYFUNCTION("""COMPUTED_VALUE"""),"Nhãn")</f>
        <v>Nhãn</v>
      </c>
      <c r="C2102" s="87" t="str">
        <f>IFERROR(__xludf.DUMMYFUNCTION("""COMPUTED_VALUE"""),"NHG1573")</f>
        <v>NHG1573</v>
      </c>
      <c r="D2102" s="87" t="str">
        <f>IFERROR(__xludf.DUMMYFUNCTION("""COMPUTED_VALUE"""),"[Nhãn] GC - II - 1573 - Thái Hòa - Super Green (nước xanh nõn chuối) - 1L - 20")</f>
        <v>[Nhãn] GC - II - 1573 - Thái Hòa - Super Green (nước xanh nõn chuối) - 1L - 20</v>
      </c>
      <c r="E2102" s="87" t="str">
        <f>IFERROR(__xludf.DUMMYFUNCTION("""COMPUTED_VALUE"""),"Vi lượng Quantity New")</f>
        <v>Vi lượng Quantity New</v>
      </c>
      <c r="F2102" s="87" t="str">
        <f>IFERROR(__xludf.DUMMYFUNCTION("""COMPUTED_VALUE"""),"HH1573")</f>
        <v>HH1573</v>
      </c>
      <c r="G2102" s="87" t="str">
        <f>IFERROR(__xludf.DUMMYFUNCTION("""COMPUTED_VALUE"""),"GC - II - 1573 - Thái Hòa - Super Green (nước xanh nõn chuối) - 1L - 20")</f>
        <v>GC - II - 1573 - Thái Hòa - Super Green (nước xanh nõn chuối) - 1L - 20</v>
      </c>
    </row>
    <row r="2103">
      <c r="A2103" s="86">
        <f>IFERROR(__xludf.DUMMYFUNCTION("""COMPUTED_VALUE"""),2101.0)</f>
        <v>2101</v>
      </c>
      <c r="B2103" s="87" t="str">
        <f>IFERROR(__xludf.DUMMYFUNCTION("""COMPUTED_VALUE"""),"Nhãn")</f>
        <v>Nhãn</v>
      </c>
      <c r="C2103" s="87" t="str">
        <f>IFERROR(__xludf.DUMMYFUNCTION("""COMPUTED_VALUE"""),"NHG1574")</f>
        <v>NHG1574</v>
      </c>
      <c r="D2103" s="87" t="str">
        <f>IFERROR(__xludf.DUMMYFUNCTION("""COMPUTED_VALUE"""),"[Nhãn] GC - IV - 1574 - CTY HITACO - GLU 200(nước đỏ) - 900ml - 20")</f>
        <v>[Nhãn] GC - IV - 1574 - CTY HITACO - GLU 200(nước đỏ) - 900ml - 20</v>
      </c>
      <c r="E2103" s="87" t="str">
        <f>IFERROR(__xludf.DUMMYFUNCTION("""COMPUTED_VALUE"""),"Asupergras 200SL")</f>
        <v>Asupergras 200SL</v>
      </c>
      <c r="F2103" s="87" t="str">
        <f>IFERROR(__xludf.DUMMYFUNCTION("""COMPUTED_VALUE"""),"HH1574")</f>
        <v>HH1574</v>
      </c>
      <c r="G2103" s="87" t="str">
        <f>IFERROR(__xludf.DUMMYFUNCTION("""COMPUTED_VALUE"""),"GC - IV - 1574 - CTY HITACO - GLU 200(nước đỏ) - 900ml - 20")</f>
        <v>GC - IV - 1574 - CTY HITACO - GLU 200(nước đỏ) - 900ml - 20</v>
      </c>
    </row>
    <row r="2104">
      <c r="A2104" s="86">
        <f>IFERROR(__xludf.DUMMYFUNCTION("""COMPUTED_VALUE"""),2102.0)</f>
        <v>2102</v>
      </c>
      <c r="B2104" s="87" t="str">
        <f>IFERROR(__xludf.DUMMYFUNCTION("""COMPUTED_VALUE"""),"Nhãn")</f>
        <v>Nhãn</v>
      </c>
      <c r="C2104" s="87" t="str">
        <f>IFERROR(__xludf.DUMMYFUNCTION("""COMPUTED_VALUE"""),"NHG1575")</f>
        <v>NHG1575</v>
      </c>
      <c r="D2104" s="87" t="str">
        <f>IFERROR(__xludf.DUMMYFUNCTION("""COMPUTED_VALUE"""),"[Nhãn] GC - IV - 1575 - CTY HITACO - VOI ĐỎ GOLD(nước đỏ) - 900ml - 20")</f>
        <v>[Nhãn] GC - IV - 1575 - CTY HITACO - VOI ĐỎ GOLD(nước đỏ) - 900ml - 20</v>
      </c>
      <c r="E2104" s="87" t="str">
        <f>IFERROR(__xludf.DUMMYFUNCTION("""COMPUTED_VALUE"""),"Asupergras 200SL")</f>
        <v>Asupergras 200SL</v>
      </c>
      <c r="F2104" s="87" t="str">
        <f>IFERROR(__xludf.DUMMYFUNCTION("""COMPUTED_VALUE"""),"HH1575")</f>
        <v>HH1575</v>
      </c>
      <c r="G2104" s="87" t="str">
        <f>IFERROR(__xludf.DUMMYFUNCTION("""COMPUTED_VALUE"""),"GC - IV - 1575 - CTY HITACO - VOI ĐỎ GOLD(nước đỏ) - 900ml - 20")</f>
        <v>GC - IV - 1575 - CTY HITACO - VOI ĐỎ GOLD(nước đỏ) - 900ml - 20</v>
      </c>
    </row>
    <row r="2105">
      <c r="A2105" s="86">
        <f>IFERROR(__xludf.DUMMYFUNCTION("""COMPUTED_VALUE"""),2103.0)</f>
        <v>2103</v>
      </c>
      <c r="B2105" s="87" t="str">
        <f>IFERROR(__xludf.DUMMYFUNCTION("""COMPUTED_VALUE"""),"Nhãn")</f>
        <v>Nhãn</v>
      </c>
      <c r="C2105" s="87" t="str">
        <f>IFERROR(__xludf.DUMMYFUNCTION("""COMPUTED_VALUE"""),"NHG1576")</f>
        <v>NHG1576</v>
      </c>
      <c r="D2105" s="87" t="str">
        <f>IFERROR(__xludf.DUMMYFUNCTION("""COMPUTED_VALUE"""),"[Nhãn] GC - IV - 1576 - GOGOAGRI - GO 2X (nước đỏ) - 900ml - 20")</f>
        <v>[Nhãn] GC - IV - 1576 - GOGOAGRI - GO 2X (nước đỏ) - 900ml - 20</v>
      </c>
      <c r="E2105" s="87" t="str">
        <f>IFERROR(__xludf.DUMMYFUNCTION("""COMPUTED_VALUE"""),"Asupergras 200SL")</f>
        <v>Asupergras 200SL</v>
      </c>
      <c r="F2105" s="87" t="str">
        <f>IFERROR(__xludf.DUMMYFUNCTION("""COMPUTED_VALUE"""),"HH1576")</f>
        <v>HH1576</v>
      </c>
      <c r="G2105" s="87" t="str">
        <f>IFERROR(__xludf.DUMMYFUNCTION("""COMPUTED_VALUE"""),"GC - IV - 1576 - GOGOAGRI - GO 2X (nước đỏ) - 900ml - 20")</f>
        <v>GC - IV - 1576 - GOGOAGRI - GO 2X (nước đỏ) - 900ml - 20</v>
      </c>
    </row>
    <row r="2106">
      <c r="A2106" s="86">
        <f>IFERROR(__xludf.DUMMYFUNCTION("""COMPUTED_VALUE"""),2104.0)</f>
        <v>2104</v>
      </c>
      <c r="B2106" s="87" t="str">
        <f>IFERROR(__xludf.DUMMYFUNCTION("""COMPUTED_VALUE"""),"Nhãn")</f>
        <v>Nhãn</v>
      </c>
      <c r="C2106" s="87" t="str">
        <f>IFERROR(__xludf.DUMMYFUNCTION("""COMPUTED_VALUE"""),"NTN1577")</f>
        <v>NTN1577</v>
      </c>
      <c r="D2106" s="87" t="str">
        <f>IFERROR(__xludf.DUMMYFUNCTION("""COMPUTED_VALUE"""),"[Nhãn] GC - IV - 1577 - Cty GNH (A.Thời) - Sâu Đục Thân (bột màu trắng) - 100gr - 100")</f>
        <v>[Nhãn] GC - IV - 1577 - Cty GNH (A.Thời) - Sâu Đục Thân (bột màu trắng) - 100gr - 100</v>
      </c>
      <c r="E2106" s="87" t="str">
        <f>IFERROR(__xludf.DUMMYFUNCTION("""COMPUTED_VALUE"""),"SHA CHONG JING 95WP")</f>
        <v>SHA CHONG JING 95WP</v>
      </c>
      <c r="F2106" s="87" t="str">
        <f>IFERROR(__xludf.DUMMYFUNCTION("""COMPUTED_VALUE"""),"HH1577")</f>
        <v>HH1577</v>
      </c>
      <c r="G2106" s="87" t="str">
        <f>IFERROR(__xludf.DUMMYFUNCTION("""COMPUTED_VALUE"""),"GC - IV - 1577 - Cty GNH (A.Thời) - Sâu Đục Thân (bột màu trắng) - 100gr - 100")</f>
        <v>GC - IV - 1577 - Cty GNH (A.Thời) - Sâu Đục Thân (bột màu trắng) - 100gr - 100</v>
      </c>
    </row>
    <row r="2107">
      <c r="A2107" s="86">
        <f>IFERROR(__xludf.DUMMYFUNCTION("""COMPUTED_VALUE"""),2105.0)</f>
        <v>2105</v>
      </c>
      <c r="B2107" s="87" t="str">
        <f>IFERROR(__xludf.DUMMYFUNCTION("""COMPUTED_VALUE"""),"Nhãn thùng")</f>
        <v>Nhãn thùng</v>
      </c>
      <c r="C2107" s="87" t="str">
        <f>IFERROR(__xludf.DUMMYFUNCTION("""COMPUTED_VALUE"""),"NDT1577")</f>
        <v>NDT1577</v>
      </c>
      <c r="D2107" s="87" t="str">
        <f>IFERROR(__xludf.DUMMYFUNCTION("""COMPUTED_VALUE"""),"[Nhãn thùng] GC - IV - 1577 - Cty GNH (A.Thời) - Sâu Đục Thân (bột màu trắng) - 100gr - 100")</f>
        <v>[Nhãn thùng] GC - IV - 1577 - Cty GNH (A.Thời) - Sâu Đục Thân (bột màu trắng) - 100gr - 100</v>
      </c>
      <c r="E2107" s="87" t="str">
        <f>IFERROR(__xludf.DUMMYFUNCTION("""COMPUTED_VALUE"""),"SHA CHONG JING 95WP")</f>
        <v>SHA CHONG JING 95WP</v>
      </c>
      <c r="F2107" s="87" t="str">
        <f>IFERROR(__xludf.DUMMYFUNCTION("""COMPUTED_VALUE"""),"HH1577")</f>
        <v>HH1577</v>
      </c>
      <c r="G2107" s="87" t="str">
        <f>IFERROR(__xludf.DUMMYFUNCTION("""COMPUTED_VALUE"""),"GC - IV - 1577 - Cty GNH (A.Thời) - Sâu Đục Thân (bột màu trắng) - 100gr - 100")</f>
        <v>GC - IV - 1577 - Cty GNH (A.Thời) - Sâu Đục Thân (bột màu trắng) - 100gr - 100</v>
      </c>
    </row>
    <row r="2108">
      <c r="A2108" s="86">
        <f>IFERROR(__xludf.DUMMYFUNCTION("""COMPUTED_VALUE"""),2106.0)</f>
        <v>2106</v>
      </c>
      <c r="B2108" s="87" t="str">
        <f>IFERROR(__xludf.DUMMYFUNCTION("""COMPUTED_VALUE"""),"Nhãn")</f>
        <v>Nhãn</v>
      </c>
      <c r="C2108" s="87" t="str">
        <f>IFERROR(__xludf.DUMMYFUNCTION("""COMPUTED_VALUE"""),"NHG1578")</f>
        <v>NHG1578</v>
      </c>
      <c r="D2108" s="87" t="str">
        <f>IFERROR(__xludf.DUMMYFUNCTION("""COMPUTED_VALUE"""),"[Nhãn] GC - IV - 1578 - Cty Hitaco - Voi Đỏ (nước xanh lá) - 900ml - 20")</f>
        <v>[Nhãn] GC - IV - 1578 - Cty Hitaco - Voi Đỏ (nước xanh lá) - 900ml - 20</v>
      </c>
      <c r="E2108" s="87" t="str">
        <f>IFERROR(__xludf.DUMMYFUNCTION("""COMPUTED_VALUE"""),"NEWFOSINATE 150SL")</f>
        <v>NEWFOSINATE 150SL</v>
      </c>
      <c r="F2108" s="87" t="str">
        <f>IFERROR(__xludf.DUMMYFUNCTION("""COMPUTED_VALUE"""),"HH1578")</f>
        <v>HH1578</v>
      </c>
      <c r="G2108" s="87" t="str">
        <f>IFERROR(__xludf.DUMMYFUNCTION("""COMPUTED_VALUE"""),"GC - IV - 1578 - Cty Hitaco - Voi Đỏ (nước xanh lá) - 900ml - 20")</f>
        <v>GC - IV - 1578 - Cty Hitaco - Voi Đỏ (nước xanh lá) - 900ml - 20</v>
      </c>
    </row>
    <row r="2109">
      <c r="A2109" s="86">
        <f>IFERROR(__xludf.DUMMYFUNCTION("""COMPUTED_VALUE"""),2107.0)</f>
        <v>2107</v>
      </c>
      <c r="B2109" s="87" t="str">
        <f>IFERROR(__xludf.DUMMYFUNCTION("""COMPUTED_VALUE"""),"Nhãn")</f>
        <v>Nhãn</v>
      </c>
      <c r="C2109" s="87" t="str">
        <f>IFERROR(__xludf.DUMMYFUNCTION("""COMPUTED_VALUE"""),"NHG1579")</f>
        <v>NHG1579</v>
      </c>
      <c r="D2109" s="87" t="str">
        <f>IFERROR(__xludf.DUMMYFUNCTION("""COMPUTED_VALUE"""),"[Nhãn] LOT IDA Global - I - 1579 - ĐL.Nguyễn Đức Minh - ABAMECTIN (nước nâu đen) - 450ml - 40")</f>
        <v>[Nhãn] LOT IDA Global - I - 1579 - ĐL.Nguyễn Đức Minh - ABAMECTIN (nước nâu đen) - 450ml - 40</v>
      </c>
      <c r="E2109" s="87" t="str">
        <f>IFERROR(__xludf.DUMMYFUNCTION("""COMPUTED_VALUE"""),"Chitin 3.6EC")</f>
        <v>Chitin 3.6EC</v>
      </c>
      <c r="F2109" s="87" t="str">
        <f>IFERROR(__xludf.DUMMYFUNCTION("""COMPUTED_VALUE"""),"HH1579")</f>
        <v>HH1579</v>
      </c>
      <c r="G2109" s="87" t="str">
        <f>IFERROR(__xludf.DUMMYFUNCTION("""COMPUTED_VALUE"""),"LOT IDA Global - I - 1579 - ĐL.Nguyễn Đức Minh - ABAMECTIN (nước nâu đen) - 450ml - 40")</f>
        <v>LOT IDA Global - I - 1579 - ĐL.Nguyễn Đức Minh - ABAMECTIN (nước nâu đen) - 450ml - 40</v>
      </c>
    </row>
    <row r="2110">
      <c r="A2110" s="86">
        <f>IFERROR(__xludf.DUMMYFUNCTION("""COMPUTED_VALUE"""),2108.0)</f>
        <v>2108</v>
      </c>
      <c r="B2110" s="87" t="str">
        <f>IFERROR(__xludf.DUMMYFUNCTION("""COMPUTED_VALUE"""),"Nhãn")</f>
        <v>Nhãn</v>
      </c>
      <c r="C2110" s="87" t="str">
        <f>IFERROR(__xludf.DUMMYFUNCTION("""COMPUTED_VALUE"""),"NHG1580")</f>
        <v>NHG1580</v>
      </c>
      <c r="D2110" s="87" t="str">
        <f>IFERROR(__xludf.DUMMYFUNCTION("""COMPUTED_VALUE"""),"[Nhãn] NB - K - 1580 - BMI - PERFECT EXTRA (Chai trắng, Nhãn xanh) ( (Nước hồng) - 600ml - 40")</f>
        <v>[Nhãn] NB - K - 1580 - BMI - PERFECT EXTRA (Chai trắng, Nhãn xanh) ( (Nước hồng) - 600ml - 40</v>
      </c>
      <c r="E2110" s="87" t="str">
        <f>IFERROR(__xludf.DUMMYFUNCTION("""COMPUTED_VALUE"""),"Mekongvil 5SC")</f>
        <v>Mekongvil 5SC</v>
      </c>
      <c r="F2110" s="87" t="str">
        <f>IFERROR(__xludf.DUMMYFUNCTION("""COMPUTED_VALUE"""),"HH1580")</f>
        <v>HH1580</v>
      </c>
      <c r="G2110" s="87" t="str">
        <f>IFERROR(__xludf.DUMMYFUNCTION("""COMPUTED_VALUE"""),"NB - K - 1580 - BMI - PERFECT EXTRA (Chai trắng, Nhãn xanh) ( (Nước hồng) - 600ml - 40")</f>
        <v>NB - K - 1580 - BMI - PERFECT EXTRA (Chai trắng, Nhãn xanh) ( (Nước hồng) - 600ml - 40</v>
      </c>
    </row>
    <row r="2111">
      <c r="A2111" s="86">
        <f>IFERROR(__xludf.DUMMYFUNCTION("""COMPUTED_VALUE"""),2109.0)</f>
        <v>2109</v>
      </c>
      <c r="B2111" s="87" t="str">
        <f>IFERROR(__xludf.DUMMYFUNCTION("""COMPUTED_VALUE"""),"Nhãn")</f>
        <v>Nhãn</v>
      </c>
      <c r="C2111" s="87" t="str">
        <f>IFERROR(__xludf.DUMMYFUNCTION("""COMPUTED_VALUE"""),"NHG1582")</f>
        <v>NHG1582</v>
      </c>
      <c r="D2111" s="87" t="str">
        <f>IFERROR(__xludf.DUMMYFUNCTION("""COMPUTED_VALUE"""),"[Nhãn] IDA Global - I - 1582 - Thần Hổ Diệt Sâu (nước trắng sữa) - 200ml - 40")</f>
        <v>[Nhãn] IDA Global - I - 1582 - Thần Hổ Diệt Sâu (nước trắng sữa) - 200ml - 40</v>
      </c>
      <c r="E2111" s="87" t="str">
        <f>IFERROR(__xludf.DUMMYFUNCTION("""COMPUTED_VALUE"""),"DIFEGGO 42SC")</f>
        <v>DIFEGGO 42SC</v>
      </c>
      <c r="F2111" s="87" t="str">
        <f>IFERROR(__xludf.DUMMYFUNCTION("""COMPUTED_VALUE"""),"HH1582")</f>
        <v>HH1582</v>
      </c>
      <c r="G2111" s="87" t="str">
        <f>IFERROR(__xludf.DUMMYFUNCTION("""COMPUTED_VALUE"""),"IDA Global - I - 1582 - Thần Hổ Diệt Sâu (nước trắng sữa) - 200ml - 40")</f>
        <v>IDA Global - I - 1582 - Thần Hổ Diệt Sâu (nước trắng sữa) - 200ml - 40</v>
      </c>
    </row>
    <row r="2112">
      <c r="A2112" s="86">
        <f>IFERROR(__xludf.DUMMYFUNCTION("""COMPUTED_VALUE"""),2110.0)</f>
        <v>2110</v>
      </c>
      <c r="B2112" s="87" t="str">
        <f>IFERROR(__xludf.DUMMYFUNCTION("""COMPUTED_VALUE"""),"Nhãn")</f>
        <v>Nhãn</v>
      </c>
      <c r="C2112" s="87" t="str">
        <f>IFERROR(__xludf.DUMMYFUNCTION("""COMPUTED_VALUE"""),"NTN1584")</f>
        <v>NTN1584</v>
      </c>
      <c r="D2112" s="87" t="str">
        <f>IFERROR(__xludf.DUMMYFUNCTION("""COMPUTED_VALUE"""),"[Nhãn] GC - IV - 1584 - Japan Crop Science - Padann Gold (bột màu trắng) - 100gr - 120")</f>
        <v>[Nhãn] GC - IV - 1584 - Japan Crop Science - Padann Gold (bột màu trắng) - 100gr - 120</v>
      </c>
      <c r="E2112" s="87" t="str">
        <f>IFERROR(__xludf.DUMMYFUNCTION("""COMPUTED_VALUE"""),"SHA CHONG JING 95WP")</f>
        <v>SHA CHONG JING 95WP</v>
      </c>
      <c r="F2112" s="87" t="str">
        <f>IFERROR(__xludf.DUMMYFUNCTION("""COMPUTED_VALUE"""),"HH1584")</f>
        <v>HH1584</v>
      </c>
      <c r="G2112" s="87" t="str">
        <f>IFERROR(__xludf.DUMMYFUNCTION("""COMPUTED_VALUE"""),"GC - IV - 1584 - Japan Crop Science - Padann Gold (bột màu trắng) - 100gr - 120")</f>
        <v>GC - IV - 1584 - Japan Crop Science - Padann Gold (bột màu trắng) - 100gr - 120</v>
      </c>
    </row>
    <row r="2113">
      <c r="A2113" s="86">
        <f>IFERROR(__xludf.DUMMYFUNCTION("""COMPUTED_VALUE"""),2111.0)</f>
        <v>2111</v>
      </c>
      <c r="B2113" s="87" t="str">
        <f>IFERROR(__xludf.DUMMYFUNCTION("""COMPUTED_VALUE"""),"Nhãn thùng")</f>
        <v>Nhãn thùng</v>
      </c>
      <c r="C2113" s="87" t="str">
        <f>IFERROR(__xludf.DUMMYFUNCTION("""COMPUTED_VALUE"""),"NDT1584")</f>
        <v>NDT1584</v>
      </c>
      <c r="D2113" s="87" t="str">
        <f>IFERROR(__xludf.DUMMYFUNCTION("""COMPUTED_VALUE"""),"[Nhãn thùng] GC - IV - 1584 - Japan Crop Science - Padann Gold (bột màu trắng) - 100gr - 120")</f>
        <v>[Nhãn thùng] GC - IV - 1584 - Japan Crop Science - Padann Gold (bột màu trắng) - 100gr - 120</v>
      </c>
      <c r="E2113" s="87" t="str">
        <f>IFERROR(__xludf.DUMMYFUNCTION("""COMPUTED_VALUE"""),"SHA CHONG JING 95WP")</f>
        <v>SHA CHONG JING 95WP</v>
      </c>
      <c r="F2113" s="87" t="str">
        <f>IFERROR(__xludf.DUMMYFUNCTION("""COMPUTED_VALUE"""),"HH1584")</f>
        <v>HH1584</v>
      </c>
      <c r="G2113" s="87" t="str">
        <f>IFERROR(__xludf.DUMMYFUNCTION("""COMPUTED_VALUE"""),"GC - IV - 1584 - Japan Crop Science - Padann Gold (bột màu trắng) - 100gr - 120")</f>
        <v>GC - IV - 1584 - Japan Crop Science - Padann Gold (bột màu trắng) - 100gr - 120</v>
      </c>
    </row>
    <row r="2114">
      <c r="A2114" s="86">
        <f>IFERROR(__xludf.DUMMYFUNCTION("""COMPUTED_VALUE"""),2112.0)</f>
        <v>2112</v>
      </c>
      <c r="B2114" s="87" t="str">
        <f>IFERROR(__xludf.DUMMYFUNCTION("""COMPUTED_VALUE"""),"Nhãn")</f>
        <v>Nhãn</v>
      </c>
      <c r="C2114" s="87" t="str">
        <f>IFERROR(__xludf.DUMMYFUNCTION("""COMPUTED_VALUE"""),"NHD1585")</f>
        <v>NHD1585</v>
      </c>
      <c r="D2114" s="87" t="str">
        <f>IFERROR(__xludf.DUMMYFUNCTION("""COMPUTED_VALUE"""),"[Nhãn] GC - IV - 1585 - Cty Hitaco - Q12 (nước xanh lá) - 900ml - 20")</f>
        <v>[Nhãn] GC - IV - 1585 - Cty Hitaco - Q12 (nước xanh lá) - 900ml - 20</v>
      </c>
      <c r="E2114" s="87" t="str">
        <f>IFERROR(__xludf.DUMMYFUNCTION("""COMPUTED_VALUE"""),"NEWFOSINATE 150SL")</f>
        <v>NEWFOSINATE 150SL</v>
      </c>
      <c r="F2114" s="87" t="str">
        <f>IFERROR(__xludf.DUMMYFUNCTION("""COMPUTED_VALUE"""),"HH1585")</f>
        <v>HH1585</v>
      </c>
      <c r="G2114" s="87" t="str">
        <f>IFERROR(__xludf.DUMMYFUNCTION("""COMPUTED_VALUE"""),"GC - IV - 1585 - Cty Hitaco - Q12 (nước xanh lá) - 900ml - 20")</f>
        <v>GC - IV - 1585 - Cty Hitaco - Q12 (nước xanh lá) - 900ml - 20</v>
      </c>
    </row>
    <row r="2115">
      <c r="A2115" s="86">
        <f>IFERROR(__xludf.DUMMYFUNCTION("""COMPUTED_VALUE"""),2113.0)</f>
        <v>2113</v>
      </c>
      <c r="B2115" s="87" t="str">
        <f>IFERROR(__xludf.DUMMYFUNCTION("""COMPUTED_VALUE"""),"Nhãn")</f>
        <v>Nhãn</v>
      </c>
      <c r="C2115" s="87" t="str">
        <f>IFERROR(__xludf.DUMMYFUNCTION("""COMPUTED_VALUE"""),"NHG1586")</f>
        <v>NHG1586</v>
      </c>
      <c r="D2115" s="87" t="str">
        <f>IFERROR(__xludf.DUMMYFUNCTION("""COMPUTED_VALUE"""),"[Nhãn]  IDA Global - I - 1586 - IDA GENOL 1.2SL (nước đỏ) - 480ml - 40")</f>
        <v>[Nhãn]  IDA Global - I - 1586 - IDA GENOL 1.2SL (nước đỏ) - 480ml - 40</v>
      </c>
      <c r="E2115" s="87" t="str">
        <f>IFERROR(__xludf.DUMMYFUNCTION("""COMPUTED_VALUE"""),"GENOL 1.2SL")</f>
        <v>GENOL 1.2SL</v>
      </c>
      <c r="F2115" s="87" t="str">
        <f>IFERROR(__xludf.DUMMYFUNCTION("""COMPUTED_VALUE"""),"HH1586")</f>
        <v>HH1586</v>
      </c>
      <c r="G2115" s="87" t="str">
        <f>IFERROR(__xludf.DUMMYFUNCTION("""COMPUTED_VALUE"""),"IDA Global - I - 1586 - IDA GENOL 1.2SL (nước đỏ) - 480ml - 40")</f>
        <v>IDA Global - I - 1586 - IDA GENOL 1.2SL (nước đỏ) - 480ml - 40</v>
      </c>
    </row>
    <row r="2116">
      <c r="A2116" s="86">
        <f>IFERROR(__xludf.DUMMYFUNCTION("""COMPUTED_VALUE"""),2114.0)</f>
        <v>2114</v>
      </c>
      <c r="B2116" s="87" t="str">
        <f>IFERROR(__xludf.DUMMYFUNCTION("""COMPUTED_VALUE"""),"Nhãn")</f>
        <v>Nhãn</v>
      </c>
      <c r="C2116" s="87" t="str">
        <f>IFERROR(__xludf.DUMMYFUNCTION("""COMPUTED_VALUE"""),"NHG1587")</f>
        <v>NHG1587</v>
      </c>
      <c r="D2116" s="87" t="str">
        <f>IFERROR(__xludf.DUMMYFUNCTION("""COMPUTED_VALUE"""),"[Nhãn] GC - IV - 1587 - Mekong Group - Sức Mạnh Bò Tót (nước đỏ) - 900ml - 20")</f>
        <v>[Nhãn] GC - IV - 1587 - Mekong Group - Sức Mạnh Bò Tót (nước đỏ) - 900ml - 20</v>
      </c>
      <c r="E2116" s="87" t="str">
        <f>IFERROR(__xludf.DUMMYFUNCTION("""COMPUTED_VALUE"""),"Asupergras 200SL")</f>
        <v>Asupergras 200SL</v>
      </c>
      <c r="F2116" s="87" t="str">
        <f>IFERROR(__xludf.DUMMYFUNCTION("""COMPUTED_VALUE"""),"HH1587")</f>
        <v>HH1587</v>
      </c>
      <c r="G2116" s="87" t="str">
        <f>IFERROR(__xludf.DUMMYFUNCTION("""COMPUTED_VALUE"""),"GC - IV - 1587 - Mekong Group - Sức Mạnh Bò Tót (nước đỏ) - 900ml - 20")</f>
        <v>GC - IV - 1587 - Mekong Group - Sức Mạnh Bò Tót (nước đỏ) - 900ml - 20</v>
      </c>
    </row>
    <row r="2117">
      <c r="A2117" s="86">
        <f>IFERROR(__xludf.DUMMYFUNCTION("""COMPUTED_VALUE"""),2115.0)</f>
        <v>2115</v>
      </c>
      <c r="B2117" s="87" t="str">
        <f>IFERROR(__xludf.DUMMYFUNCTION("""COMPUTED_VALUE"""),"Nhãn")</f>
        <v>Nhãn</v>
      </c>
      <c r="C2117" s="87" t="str">
        <f>IFERROR(__xludf.DUMMYFUNCTION("""COMPUTED_VALUE"""),"NHG1588")</f>
        <v>NHG1588</v>
      </c>
      <c r="D2117" s="87" t="str">
        <f>IFERROR(__xludf.DUMMYFUNCTION("""COMPUTED_VALUE"""),"[Nhãn] GC - IV - 1588 - Cty Hitaco - Thần kê diệt sâu (nước trắng sữa) -100ml - 50")</f>
        <v>[Nhãn] GC - IV - 1588 - Cty Hitaco - Thần kê diệt sâu (nước trắng sữa) -100ml - 50</v>
      </c>
      <c r="E2117" s="87" t="str">
        <f>IFERROR(__xludf.DUMMYFUNCTION("""COMPUTED_VALUE"""),"DIFEGGO 42SC")</f>
        <v>DIFEGGO 42SC</v>
      </c>
      <c r="F2117" s="87" t="str">
        <f>IFERROR(__xludf.DUMMYFUNCTION("""COMPUTED_VALUE"""),"HH1588")</f>
        <v>HH1588</v>
      </c>
      <c r="G2117" s="87" t="str">
        <f>IFERROR(__xludf.DUMMYFUNCTION("""COMPUTED_VALUE"""),"GC - IV - 1588 - Cty Hitaco - Thần kê diệt sâu (nước trắng sữa) -100ml - 50")</f>
        <v>GC - IV - 1588 - Cty Hitaco - Thần kê diệt sâu (nước trắng sữa) -100ml - 50</v>
      </c>
    </row>
    <row r="2118">
      <c r="A2118" s="86">
        <f>IFERROR(__xludf.DUMMYFUNCTION("""COMPUTED_VALUE"""),2116.0)</f>
        <v>2116</v>
      </c>
      <c r="B2118" s="87" t="str">
        <f>IFERROR(__xludf.DUMMYFUNCTION("""COMPUTED_VALUE"""),"Nhãn")</f>
        <v>Nhãn</v>
      </c>
      <c r="C2118" s="87" t="str">
        <f>IFERROR(__xludf.DUMMYFUNCTION("""COMPUTED_VALUE"""),"NHG1589")</f>
        <v>NHG1589</v>
      </c>
      <c r="D2118" s="87" t="str">
        <f>IFERROR(__xludf.DUMMYFUNCTION("""COMPUTED_VALUE"""),"[Nhãn] GC - IV - 1589 - CTY Nghi Phong - Vua Diệt Cỏ (nước vàng) - 900ml - 20")</f>
        <v>[Nhãn] GC - IV - 1589 - CTY Nghi Phong - Vua Diệt Cỏ (nước vàng) - 900ml - 20</v>
      </c>
      <c r="E2118" s="87" t="str">
        <f>IFERROR(__xludf.DUMMYFUNCTION("""COMPUTED_VALUE"""),"Asupergras 200SL")</f>
        <v>Asupergras 200SL</v>
      </c>
      <c r="F2118" s="87" t="str">
        <f>IFERROR(__xludf.DUMMYFUNCTION("""COMPUTED_VALUE"""),"HH1589")</f>
        <v>HH1589</v>
      </c>
      <c r="G2118" s="87" t="str">
        <f>IFERROR(__xludf.DUMMYFUNCTION("""COMPUTED_VALUE"""),"GC - IV - 1589 - CTY Nghi Phong - Vua Diệt Cỏ (nước vàng) - 900ml - 20")</f>
        <v>GC - IV - 1589 - CTY Nghi Phong - Vua Diệt Cỏ (nước vàng) - 900ml - 20</v>
      </c>
    </row>
    <row r="2119">
      <c r="A2119" s="86">
        <f>IFERROR(__xludf.DUMMYFUNCTION("""COMPUTED_VALUE"""),2117.0)</f>
        <v>2117</v>
      </c>
      <c r="B2119" s="87" t="str">
        <f>IFERROR(__xludf.DUMMYFUNCTION("""COMPUTED_VALUE"""),"Nhãn")</f>
        <v>Nhãn</v>
      </c>
      <c r="C2119" s="87" t="str">
        <f>IFERROR(__xludf.DUMMYFUNCTION("""COMPUTED_VALUE"""),"NHG1590")</f>
        <v>NHG1590</v>
      </c>
      <c r="D2119" s="87" t="str">
        <f>IFERROR(__xludf.DUMMYFUNCTION("""COMPUTED_VALUE"""),"[Nhãn] GC - IV - 1590 - Cty Master Win - Super F1 (nước xanh nõn chuối) - 250ml - 40")</f>
        <v>[Nhãn] GC - IV - 1590 - Cty Master Win - Super F1 (nước xanh nõn chuối) - 250ml - 40</v>
      </c>
      <c r="E2119" s="87" t="str">
        <f>IFERROR(__xludf.DUMMYFUNCTION("""COMPUTED_VALUE"""),"Vi lượng Run Fast")</f>
        <v>Vi lượng Run Fast</v>
      </c>
      <c r="F2119" s="87" t="str">
        <f>IFERROR(__xludf.DUMMYFUNCTION("""COMPUTED_VALUE"""),"HH1590")</f>
        <v>HH1590</v>
      </c>
      <c r="G2119" s="87" t="str">
        <f>IFERROR(__xludf.DUMMYFUNCTION("""COMPUTED_VALUE"""),"GC - IV - 1590 - Cty Master Win - Super F1 (nước xanh nõn chuối) - 250ml - 40")</f>
        <v>GC - IV - 1590 - Cty Master Win - Super F1 (nước xanh nõn chuối) - 250ml - 40</v>
      </c>
    </row>
    <row r="2120">
      <c r="A2120" s="86">
        <f>IFERROR(__xludf.DUMMYFUNCTION("""COMPUTED_VALUE"""),2118.0)</f>
        <v>2118</v>
      </c>
      <c r="B2120" s="87" t="str">
        <f>IFERROR(__xludf.DUMMYFUNCTION("""COMPUTED_VALUE"""),"Nhãn")</f>
        <v>Nhãn</v>
      </c>
      <c r="C2120" s="87" t="str">
        <f>IFERROR(__xludf.DUMMYFUNCTION("""COMPUTED_VALUE"""),"NHG1591")</f>
        <v>NHG1591</v>
      </c>
      <c r="D2120" s="87" t="str">
        <f>IFERROR(__xludf.DUMMYFUNCTION("""COMPUTED_VALUE"""),"[Nhãn] GC - IV - 1591 - Cty Master Win - Master Super (nước xanh nõn chuối) - 120ml - 100")</f>
        <v>[Nhãn] GC - IV - 1591 - Cty Master Win - Master Super (nước xanh nõn chuối) - 120ml - 100</v>
      </c>
      <c r="E2120" s="87" t="str">
        <f>IFERROR(__xludf.DUMMYFUNCTION("""COMPUTED_VALUE"""),"Vi lượng Run Fast")</f>
        <v>Vi lượng Run Fast</v>
      </c>
      <c r="F2120" s="87" t="str">
        <f>IFERROR(__xludf.DUMMYFUNCTION("""COMPUTED_VALUE"""),"HH1591")</f>
        <v>HH1591</v>
      </c>
      <c r="G2120" s="87" t="str">
        <f>IFERROR(__xludf.DUMMYFUNCTION("""COMPUTED_VALUE"""),"GC - IV - 1591 - Cty Master Win - Master Super (nước xanh nõn chuối) - 120ml - 100")</f>
        <v>GC - IV - 1591 - Cty Master Win - Master Super (nước xanh nõn chuối) - 120ml - 100</v>
      </c>
    </row>
    <row r="2121">
      <c r="A2121" s="86">
        <f>IFERROR(__xludf.DUMMYFUNCTION("""COMPUTED_VALUE"""),2119.0)</f>
        <v>2119</v>
      </c>
      <c r="B2121" s="87" t="str">
        <f>IFERROR(__xludf.DUMMYFUNCTION("""COMPUTED_VALUE"""),"Nhãn")</f>
        <v>Nhãn</v>
      </c>
      <c r="C2121" s="87" t="str">
        <f>IFERROR(__xludf.DUMMYFUNCTION("""COMPUTED_VALUE"""),"NHG1592")</f>
        <v>NHG1592</v>
      </c>
      <c r="D2121" s="87" t="str">
        <f>IFERROR(__xludf.DUMMYFUNCTION("""COMPUTED_VALUE"""),"[Nhãn] GC - IV - 1592 - Cty Sen Hồng (A.Diễn) - Siêu Vô Gạo (nước trắng ngà) - 500ml - 40")</f>
        <v>[Nhãn] GC - IV - 1592 - Cty Sen Hồng (A.Diễn) - Siêu Vô Gạo (nước trắng ngà) - 500ml - 40</v>
      </c>
      <c r="E2121" s="87" t="str">
        <f>IFERROR(__xludf.DUMMYFUNCTION("""COMPUTED_VALUE"""),"Vi lượng Run Fast")</f>
        <v>Vi lượng Run Fast</v>
      </c>
      <c r="F2121" s="87" t="str">
        <f>IFERROR(__xludf.DUMMYFUNCTION("""COMPUTED_VALUE"""),"HH1592")</f>
        <v>HH1592</v>
      </c>
      <c r="G2121" s="87" t="str">
        <f>IFERROR(__xludf.DUMMYFUNCTION("""COMPUTED_VALUE"""),"GC - IV - 1592 - Cty Sen Hồng (A.Diễn) - Siêu Vô Gạo (nước trắng ngà) - 500ml - 40")</f>
        <v>GC - IV - 1592 - Cty Sen Hồng (A.Diễn) - Siêu Vô Gạo (nước trắng ngà) - 500ml - 40</v>
      </c>
    </row>
    <row r="2122">
      <c r="A2122" s="86">
        <f>IFERROR(__xludf.DUMMYFUNCTION("""COMPUTED_VALUE"""),2120.0)</f>
        <v>2120</v>
      </c>
      <c r="B2122" s="87" t="str">
        <f>IFERROR(__xludf.DUMMYFUNCTION("""COMPUTED_VALUE"""),"Nhãn")</f>
        <v>Nhãn</v>
      </c>
      <c r="C2122" s="87" t="str">
        <f>IFERROR(__xludf.DUMMYFUNCTION("""COMPUTED_VALUE"""),"NHG1593")</f>
        <v>NHG1593</v>
      </c>
      <c r="D2122" s="87" t="str">
        <f>IFERROR(__xludf.DUMMYFUNCTION("""COMPUTED_VALUE"""),"[Nhãn] IDA Global - I - 1593 - Cty Thịnh Vượng - Bò Cạp Vàng (nước nâu đen) - 450ml - 40")</f>
        <v>[Nhãn] IDA Global - I - 1593 - Cty Thịnh Vượng - Bò Cạp Vàng (nước nâu đen) - 450ml - 40</v>
      </c>
      <c r="E2122" s="87" t="str">
        <f>IFERROR(__xludf.DUMMYFUNCTION("""COMPUTED_VALUE"""),"HAIHAMEC 3.6EC")</f>
        <v>HAIHAMEC 3.6EC</v>
      </c>
      <c r="F2122" s="87" t="str">
        <f>IFERROR(__xludf.DUMMYFUNCTION("""COMPUTED_VALUE"""),"HH1593")</f>
        <v>HH1593</v>
      </c>
      <c r="G2122" s="87" t="str">
        <f>IFERROR(__xludf.DUMMYFUNCTION("""COMPUTED_VALUE"""),"IDA Global - I - 1593 - Cty Thịnh Vượng - Bò Cạp Vàng (nước nâu đen) - 450ml - 40")</f>
        <v>IDA Global - I - 1593 - Cty Thịnh Vượng - Bò Cạp Vàng (nước nâu đen) - 450ml - 40</v>
      </c>
    </row>
    <row r="2123">
      <c r="A2123" s="86">
        <f>IFERROR(__xludf.DUMMYFUNCTION("""COMPUTED_VALUE"""),2121.0)</f>
        <v>2121</v>
      </c>
      <c r="B2123" s="87" t="str">
        <f>IFERROR(__xludf.DUMMYFUNCTION("""COMPUTED_VALUE"""),"Nhãn")</f>
        <v>Nhãn</v>
      </c>
      <c r="C2123" s="87" t="str">
        <f>IFERROR(__xludf.DUMMYFUNCTION("""COMPUTED_VALUE"""),"NTN1594")</f>
        <v>NTN1594</v>
      </c>
      <c r="D2123" s="87" t="str">
        <f>IFERROR(__xludf.DUMMYFUNCTION("""COMPUTED_VALUE"""),"[Nhãn] GC - IV - 1594 - Cty GNH(A.Thời) - Siêu Lân (bột trắng) - 1kg - 25")</f>
        <v>[Nhãn] GC - IV - 1594 - Cty GNH(A.Thời) - Siêu Lân (bột trắng) - 1kg - 25</v>
      </c>
      <c r="E2123" s="87" t="str">
        <f>IFERROR(__xludf.DUMMYFUNCTION("""COMPUTED_VALUE"""),"Vi lượng Yellow Farm")</f>
        <v>Vi lượng Yellow Farm</v>
      </c>
      <c r="F2123" s="87" t="str">
        <f>IFERROR(__xludf.DUMMYFUNCTION("""COMPUTED_VALUE"""),"HH1594")</f>
        <v>HH1594</v>
      </c>
      <c r="G2123" s="87" t="str">
        <f>IFERROR(__xludf.DUMMYFUNCTION("""COMPUTED_VALUE"""),"GC - IV - 1594 - Cty GNH(A.Thời) - Siêu Lân (bột trắng) - 1kg - 25")</f>
        <v>GC - IV - 1594 - Cty GNH(A.Thời) - Siêu Lân (bột trắng) - 1kg - 25</v>
      </c>
    </row>
    <row r="2124">
      <c r="A2124" s="86">
        <f>IFERROR(__xludf.DUMMYFUNCTION("""COMPUTED_VALUE"""),2122.0)</f>
        <v>2122</v>
      </c>
      <c r="B2124" s="87" t="str">
        <f>IFERROR(__xludf.DUMMYFUNCTION("""COMPUTED_VALUE"""),"Nhãn thùng")</f>
        <v>Nhãn thùng</v>
      </c>
      <c r="C2124" s="87" t="str">
        <f>IFERROR(__xludf.DUMMYFUNCTION("""COMPUTED_VALUE"""),"NDT1594")</f>
        <v>NDT1594</v>
      </c>
      <c r="D2124" s="87" t="str">
        <f>IFERROR(__xludf.DUMMYFUNCTION("""COMPUTED_VALUE"""),"[Nhãn thùng] GC - IV - 1594 - Cty GNH(A.Thời) - Siêu Lân (bột trắng) - 1kg - 25")</f>
        <v>[Nhãn thùng] GC - IV - 1594 - Cty GNH(A.Thời) - Siêu Lân (bột trắng) - 1kg - 25</v>
      </c>
      <c r="E2124" s="87" t="str">
        <f>IFERROR(__xludf.DUMMYFUNCTION("""COMPUTED_VALUE"""),"Vi lượng Yellow Farm")</f>
        <v>Vi lượng Yellow Farm</v>
      </c>
      <c r="F2124" s="87" t="str">
        <f>IFERROR(__xludf.DUMMYFUNCTION("""COMPUTED_VALUE"""),"HH1594")</f>
        <v>HH1594</v>
      </c>
      <c r="G2124" s="87" t="str">
        <f>IFERROR(__xludf.DUMMYFUNCTION("""COMPUTED_VALUE"""),"GC - IV - 1594 - Cty GNH(A.Thời) - Siêu Lân (bột trắng) - 1kg - 25")</f>
        <v>GC - IV - 1594 - Cty GNH(A.Thời) - Siêu Lân (bột trắng) - 1kg - 25</v>
      </c>
    </row>
    <row r="2125">
      <c r="A2125" s="86">
        <f>IFERROR(__xludf.DUMMYFUNCTION("""COMPUTED_VALUE"""),2123.0)</f>
        <v>2123</v>
      </c>
      <c r="B2125" s="87" t="str">
        <f>IFERROR(__xludf.DUMMYFUNCTION("""COMPUTED_VALUE"""),"Nhãn")</f>
        <v>Nhãn</v>
      </c>
      <c r="C2125" s="87" t="str">
        <f>IFERROR(__xludf.DUMMYFUNCTION("""COMPUTED_VALUE"""),"NHG1595")</f>
        <v>NHG1595</v>
      </c>
      <c r="D2125" s="87" t="str">
        <f>IFERROR(__xludf.DUMMYFUNCTION("""COMPUTED_VALUE"""),"[Nhãn] GC - II - 1595 - Bellormar - Combi Extra (nước xanh nõn chuối) - 500ml - 40")</f>
        <v>[Nhãn] GC - II - 1595 - Bellormar - Combi Extra (nước xanh nõn chuối) - 500ml - 40</v>
      </c>
      <c r="E2125" s="87" t="str">
        <f>IFERROR(__xludf.DUMMYFUNCTION("""COMPUTED_VALUE"""),"Vi lượng Quantity New")</f>
        <v>Vi lượng Quantity New</v>
      </c>
      <c r="F2125" s="87" t="str">
        <f>IFERROR(__xludf.DUMMYFUNCTION("""COMPUTED_VALUE"""),"HH1595")</f>
        <v>HH1595</v>
      </c>
      <c r="G2125" s="87" t="str">
        <f>IFERROR(__xludf.DUMMYFUNCTION("""COMPUTED_VALUE"""),"GC - II - 1595 - Bellormar - Combi Extra (nước xanh nõn chuối) - 500ml - 40")</f>
        <v>GC - II - 1595 - Bellormar - Combi Extra (nước xanh nõn chuối) - 500ml - 40</v>
      </c>
    </row>
    <row r="2126">
      <c r="A2126" s="86">
        <f>IFERROR(__xludf.DUMMYFUNCTION("""COMPUTED_VALUE"""),2124.0)</f>
        <v>2124</v>
      </c>
      <c r="B2126" s="87" t="str">
        <f>IFERROR(__xludf.DUMMYFUNCTION("""COMPUTED_VALUE"""),"Nhãn")</f>
        <v>Nhãn</v>
      </c>
      <c r="C2126" s="87" t="str">
        <f>IFERROR(__xludf.DUMMYFUNCTION("""COMPUTED_VALUE"""),"NHG1596")</f>
        <v>NHG1596</v>
      </c>
      <c r="D2126" s="87" t="str">
        <f>IFERROR(__xludf.DUMMYFUNCTION("""COMPUTED_VALUE"""),"[Nhãn] GC - IV - 1596 - Cty Agritech (Anh Trương) - AGRI GRAS(nước đỏ) - 900ml - 20")</f>
        <v>[Nhãn] GC - IV - 1596 - Cty Agritech (Anh Trương) - AGRI GRAS(nước đỏ) - 900ml - 20</v>
      </c>
      <c r="E2126" s="87" t="str">
        <f>IFERROR(__xludf.DUMMYFUNCTION("""COMPUTED_VALUE"""),"Asupergras 200SL")</f>
        <v>Asupergras 200SL</v>
      </c>
      <c r="F2126" s="87" t="str">
        <f>IFERROR(__xludf.DUMMYFUNCTION("""COMPUTED_VALUE"""),"HH1596")</f>
        <v>HH1596</v>
      </c>
      <c r="G2126" s="87" t="str">
        <f>IFERROR(__xludf.DUMMYFUNCTION("""COMPUTED_VALUE"""),"GC - IV - 1596 - Cty Agritech (Anh Trương) - AGRI GRAS(nước đỏ) - 900ml - 20")</f>
        <v>GC - IV - 1596 - Cty Agritech (Anh Trương) - AGRI GRAS(nước đỏ) - 900ml - 20</v>
      </c>
    </row>
    <row r="2127">
      <c r="A2127" s="86">
        <f>IFERROR(__xludf.DUMMYFUNCTION("""COMPUTED_VALUE"""),2125.0)</f>
        <v>2125</v>
      </c>
      <c r="B2127" s="87" t="str">
        <f>IFERROR(__xludf.DUMMYFUNCTION("""COMPUTED_VALUE"""),"Nhãn")</f>
        <v>Nhãn</v>
      </c>
      <c r="C2127" s="87" t="str">
        <f>IFERROR(__xludf.DUMMYFUNCTION("""COMPUTED_VALUE"""),"NHG1597")</f>
        <v>NHG1597</v>
      </c>
      <c r="D2127" s="87" t="str">
        <f>IFERROR(__xludf.DUMMYFUNCTION("""COMPUTED_VALUE"""),"[Nhãn] GC - IV - 1597 - Cty Agritech (Anh Trương) - Asupergras 200SL(nước đỏ) - 900ml - 20")</f>
        <v>[Nhãn] GC - IV - 1597 - Cty Agritech (Anh Trương) - Asupergras 200SL(nước đỏ) - 900ml - 20</v>
      </c>
      <c r="E2127" s="87" t="str">
        <f>IFERROR(__xludf.DUMMYFUNCTION("""COMPUTED_VALUE"""),"Asupergras 200SL")</f>
        <v>Asupergras 200SL</v>
      </c>
      <c r="F2127" s="87" t="str">
        <f>IFERROR(__xludf.DUMMYFUNCTION("""COMPUTED_VALUE"""),"HH1597")</f>
        <v>HH1597</v>
      </c>
      <c r="G2127" s="87" t="str">
        <f>IFERROR(__xludf.DUMMYFUNCTION("""COMPUTED_VALUE"""),"GC - IV - 1597 - Cty Agritech (Anh Trương) - Asupergras 200SL(nước đỏ) - 900ml - 20")</f>
        <v>GC - IV - 1597 - Cty Agritech (Anh Trương) - Asupergras 200SL(nước đỏ) - 900ml - 20</v>
      </c>
    </row>
    <row r="2128">
      <c r="A2128" s="86">
        <f>IFERROR(__xludf.DUMMYFUNCTION("""COMPUTED_VALUE"""),2126.0)</f>
        <v>2126</v>
      </c>
      <c r="B2128" s="87" t="str">
        <f>IFERROR(__xludf.DUMMYFUNCTION("""COMPUTED_VALUE"""),"Nhãn")</f>
        <v>Nhãn</v>
      </c>
      <c r="C2128" s="87" t="str">
        <f>IFERROR(__xludf.DUMMYFUNCTION("""COMPUTED_VALUE"""),"NHD1598")</f>
        <v>NHD1598</v>
      </c>
      <c r="D2128" s="87" t="str">
        <f>IFERROR(__xludf.DUMMYFUNCTION("""COMPUTED_VALUE"""),"[Nhãn] GC - IV - 1598 - Cty Thiên Di (A.Thành Dol) - GLU 200(nước đỏ) - 900ml - 20")</f>
        <v>[Nhãn] GC - IV - 1598 - Cty Thiên Di (A.Thành Dol) - GLU 200(nước đỏ) - 900ml - 20</v>
      </c>
      <c r="E2128" s="87" t="str">
        <f>IFERROR(__xludf.DUMMYFUNCTION("""COMPUTED_VALUE"""),"Asupergras 200SL")</f>
        <v>Asupergras 200SL</v>
      </c>
      <c r="F2128" s="87" t="str">
        <f>IFERROR(__xludf.DUMMYFUNCTION("""COMPUTED_VALUE"""),"HH1598")</f>
        <v>HH1598</v>
      </c>
      <c r="G2128" s="87" t="str">
        <f>IFERROR(__xludf.DUMMYFUNCTION("""COMPUTED_VALUE"""),"GC - IV - 1598 - Cty Thiên Di (A.Thành Dol) - GLU 200(nước đỏ) - 900ml - 20")</f>
        <v>GC - IV - 1598 - Cty Thiên Di (A.Thành Dol) - GLU 200(nước đỏ) - 900ml - 20</v>
      </c>
    </row>
    <row r="2129">
      <c r="A2129" s="86">
        <f>IFERROR(__xludf.DUMMYFUNCTION("""COMPUTED_VALUE"""),2127.0)</f>
        <v>2127</v>
      </c>
      <c r="B2129" s="87" t="str">
        <f>IFERROR(__xludf.DUMMYFUNCTION("""COMPUTED_VALUE"""),"Nhãn")</f>
        <v>Nhãn</v>
      </c>
      <c r="C2129" s="87" t="str">
        <f>IFERROR(__xludf.DUMMYFUNCTION("""COMPUTED_VALUE"""),"NTN1599")</f>
        <v>NTN1599</v>
      </c>
      <c r="D2129" s="87" t="str">
        <f>IFERROR(__xludf.DUMMYFUNCTION("""COMPUTED_VALUE"""),"[Nhãn] GC - IV - 1599 - Cty Hitaco - Mancozeb vàng (bột vàng) - 1kg - 20")</f>
        <v>[Nhãn] GC - IV - 1599 - Cty Hitaco - Mancozeb vàng (bột vàng) - 1kg - 20</v>
      </c>
      <c r="E2129" s="87" t="str">
        <f>IFERROR(__xludf.DUMMYFUNCTION("""COMPUTED_VALUE"""),"MANCOBGO 80WP")</f>
        <v>MANCOBGO 80WP</v>
      </c>
      <c r="F2129" s="87" t="str">
        <f>IFERROR(__xludf.DUMMYFUNCTION("""COMPUTED_VALUE"""),"HH1599")</f>
        <v>HH1599</v>
      </c>
      <c r="G2129" s="87" t="str">
        <f>IFERROR(__xludf.DUMMYFUNCTION("""COMPUTED_VALUE"""),"GC - IV - 1599 - Cty Hitaco - Mancozeb vàng (bột vàng) - 1kg - 20")</f>
        <v>GC - IV - 1599 - Cty Hitaco - Mancozeb vàng (bột vàng) - 1kg - 20</v>
      </c>
    </row>
    <row r="2130">
      <c r="A2130" s="86">
        <f>IFERROR(__xludf.DUMMYFUNCTION("""COMPUTED_VALUE"""),2128.0)</f>
        <v>2128</v>
      </c>
      <c r="B2130" s="87" t="str">
        <f>IFERROR(__xludf.DUMMYFUNCTION("""COMPUTED_VALUE"""),"Nhãn thùng")</f>
        <v>Nhãn thùng</v>
      </c>
      <c r="C2130" s="87" t="str">
        <f>IFERROR(__xludf.DUMMYFUNCTION("""COMPUTED_VALUE"""),"NDT1599")</f>
        <v>NDT1599</v>
      </c>
      <c r="D2130" s="87" t="str">
        <f>IFERROR(__xludf.DUMMYFUNCTION("""COMPUTED_VALUE"""),"[Nhãn thùng] GC - IV - 1599 - Cty Hitaco - Mancozeb vàng (bột vàng) - 1kg - 20")</f>
        <v>[Nhãn thùng] GC - IV - 1599 - Cty Hitaco - Mancozeb vàng (bột vàng) - 1kg - 20</v>
      </c>
      <c r="E2130" s="87" t="str">
        <f>IFERROR(__xludf.DUMMYFUNCTION("""COMPUTED_VALUE"""),"MANCOBGO 80WP")</f>
        <v>MANCOBGO 80WP</v>
      </c>
      <c r="F2130" s="87" t="str">
        <f>IFERROR(__xludf.DUMMYFUNCTION("""COMPUTED_VALUE"""),"HH1599")</f>
        <v>HH1599</v>
      </c>
      <c r="G2130" s="87" t="str">
        <f>IFERROR(__xludf.DUMMYFUNCTION("""COMPUTED_VALUE"""),"GC - IV - 1599 - Cty Hitaco - Mancozeb vàng (bột vàng) - 1kg - 20")</f>
        <v>GC - IV - 1599 - Cty Hitaco - Mancozeb vàng (bột vàng) - 1kg - 20</v>
      </c>
    </row>
    <row r="2131">
      <c r="A2131" s="86">
        <f>IFERROR(__xludf.DUMMYFUNCTION("""COMPUTED_VALUE"""),2129.0)</f>
        <v>2129</v>
      </c>
      <c r="B2131" s="87" t="str">
        <f>IFERROR(__xludf.DUMMYFUNCTION("""COMPUTED_VALUE"""),"Nhãn")</f>
        <v>Nhãn</v>
      </c>
      <c r="C2131" s="87" t="str">
        <f>IFERROR(__xludf.DUMMYFUNCTION("""COMPUTED_VALUE"""),"NTN1600")</f>
        <v>NTN1600</v>
      </c>
      <c r="D2131" s="87" t="str">
        <f>IFERROR(__xludf.DUMMYFUNCTION("""COMPUTED_VALUE"""),"[Nhãn] GC - IV - 1600 - Cty Hitaco - Mancozeb xanh (bột xanh) - 1kg - 20")</f>
        <v>[Nhãn] GC - IV - 1600 - Cty Hitaco - Mancozeb xanh (bột xanh) - 1kg - 20</v>
      </c>
      <c r="E2131" s="87" t="str">
        <f>IFERROR(__xludf.DUMMYFUNCTION("""COMPUTED_VALUE"""),"MANCOBGO 80WP")</f>
        <v>MANCOBGO 80WP</v>
      </c>
      <c r="F2131" s="87" t="str">
        <f>IFERROR(__xludf.DUMMYFUNCTION("""COMPUTED_VALUE"""),"HH1600")</f>
        <v>HH1600</v>
      </c>
      <c r="G2131" s="87" t="str">
        <f>IFERROR(__xludf.DUMMYFUNCTION("""COMPUTED_VALUE"""),"GC - IV - 1600 - Cty Hitaco - Mancozeb xanh (bột xanh) - 1kg - 20")</f>
        <v>GC - IV - 1600 - Cty Hitaco - Mancozeb xanh (bột xanh) - 1kg - 20</v>
      </c>
    </row>
    <row r="2132">
      <c r="A2132" s="86">
        <f>IFERROR(__xludf.DUMMYFUNCTION("""COMPUTED_VALUE"""),2130.0)</f>
        <v>2130</v>
      </c>
      <c r="B2132" s="87" t="str">
        <f>IFERROR(__xludf.DUMMYFUNCTION("""COMPUTED_VALUE"""),"Nhãn thùng")</f>
        <v>Nhãn thùng</v>
      </c>
      <c r="C2132" s="87" t="str">
        <f>IFERROR(__xludf.DUMMYFUNCTION("""COMPUTED_VALUE"""),"NDT1600")</f>
        <v>NDT1600</v>
      </c>
      <c r="D2132" s="87" t="str">
        <f>IFERROR(__xludf.DUMMYFUNCTION("""COMPUTED_VALUE"""),"[Nhãn thùng] GC - IV - 1600 - Cty Hitaco - Mancozeb xanh (bột xanh) - 1kg - 20")</f>
        <v>[Nhãn thùng] GC - IV - 1600 - Cty Hitaco - Mancozeb xanh (bột xanh) - 1kg - 20</v>
      </c>
      <c r="E2132" s="87" t="str">
        <f>IFERROR(__xludf.DUMMYFUNCTION("""COMPUTED_VALUE"""),"MANCOBGO 80WP")</f>
        <v>MANCOBGO 80WP</v>
      </c>
      <c r="F2132" s="87" t="str">
        <f>IFERROR(__xludf.DUMMYFUNCTION("""COMPUTED_VALUE"""),"HH1600")</f>
        <v>HH1600</v>
      </c>
      <c r="G2132" s="87" t="str">
        <f>IFERROR(__xludf.DUMMYFUNCTION("""COMPUTED_VALUE"""),"GC - IV - 1600 - Cty Hitaco - Mancozeb xanh (bột xanh) - 1kg - 20")</f>
        <v>GC - IV - 1600 - Cty Hitaco - Mancozeb xanh (bột xanh) - 1kg - 20</v>
      </c>
    </row>
    <row r="2133">
      <c r="A2133" s="86">
        <f>IFERROR(__xludf.DUMMYFUNCTION("""COMPUTED_VALUE"""),2131.0)</f>
        <v>2131</v>
      </c>
      <c r="B2133" s="87" t="str">
        <f>IFERROR(__xludf.DUMMYFUNCTION("""COMPUTED_VALUE"""),"Nhãn")</f>
        <v>Nhãn</v>
      </c>
      <c r="C2133" s="87" t="str">
        <f>IFERROR(__xludf.DUMMYFUNCTION("""COMPUTED_VALUE"""),"NHG1601")</f>
        <v>NHG1601</v>
      </c>
      <c r="D2133" s="87" t="str">
        <f>IFERROR(__xludf.DUMMYFUNCTION("""COMPUTED_VALUE"""),"[Nhãn] GC - IV - 1601 - Cty Hitaco - Siêu Diệt Ốc (nước nâu đen) - 450ml - 40")</f>
        <v>[Nhãn] GC - IV - 1601 - Cty Hitaco - Siêu Diệt Ốc (nước nâu đen) - 450ml - 40</v>
      </c>
      <c r="E2133" s="87" t="str">
        <f>IFERROR(__xludf.DUMMYFUNCTION("""COMPUTED_VALUE"""),"HAIHAMEC 3.6EC")</f>
        <v>HAIHAMEC 3.6EC</v>
      </c>
      <c r="F2133" s="87" t="str">
        <f>IFERROR(__xludf.DUMMYFUNCTION("""COMPUTED_VALUE"""),"HH1601")</f>
        <v>HH1601</v>
      </c>
      <c r="G2133" s="87" t="str">
        <f>IFERROR(__xludf.DUMMYFUNCTION("""COMPUTED_VALUE"""),"GC - IV - 1601 - Cty Hitaco - Siêu Diệt Ốc (nước nâu đen) - 450ml - 40")</f>
        <v>GC - IV - 1601 - Cty Hitaco - Siêu Diệt Ốc (nước nâu đen) - 450ml - 40</v>
      </c>
    </row>
    <row r="2134">
      <c r="A2134" s="86">
        <f>IFERROR(__xludf.DUMMYFUNCTION("""COMPUTED_VALUE"""),2132.0)</f>
        <v>2132</v>
      </c>
      <c r="B2134" s="87" t="str">
        <f>IFERROR(__xludf.DUMMYFUNCTION("""COMPUTED_VALUE"""),"Nhãn")</f>
        <v>Nhãn</v>
      </c>
      <c r="C2134" s="87" t="str">
        <f>IFERROR(__xludf.DUMMYFUNCTION("""COMPUTED_VALUE"""),"NHD1602")</f>
        <v>NHD1602</v>
      </c>
      <c r="D2134" s="87" t="str">
        <f>IFERROR(__xludf.DUMMYFUNCTION("""COMPUTED_VALUE"""),"[Nhãn] GC - IV - 1602 - Cty Hitaco - REXGENTS 3.6 (nước nâu đen) - 450ml - 40")</f>
        <v>[Nhãn] GC - IV - 1602 - Cty Hitaco - REXGENTS 3.6 (nước nâu đen) - 450ml - 40</v>
      </c>
      <c r="E2134" s="87" t="str">
        <f>IFERROR(__xludf.DUMMYFUNCTION("""COMPUTED_VALUE"""),"HAIHAMEC 3.6EC")</f>
        <v>HAIHAMEC 3.6EC</v>
      </c>
      <c r="F2134" s="87" t="str">
        <f>IFERROR(__xludf.DUMMYFUNCTION("""COMPUTED_VALUE"""),"HH1602")</f>
        <v>HH1602</v>
      </c>
      <c r="G2134" s="87" t="str">
        <f>IFERROR(__xludf.DUMMYFUNCTION("""COMPUTED_VALUE"""),"GC - IV - 1602 - Cty Hitaco - REXGENTS 3.6 (nước nâu đen) - 450ml - 40")</f>
        <v>GC - IV - 1602 - Cty Hitaco - REXGENTS 3.6 (nước nâu đen) - 450ml - 40</v>
      </c>
    </row>
    <row r="2135">
      <c r="A2135" s="86">
        <f>IFERROR(__xludf.DUMMYFUNCTION("""COMPUTED_VALUE"""),2133.0)</f>
        <v>2133</v>
      </c>
      <c r="B2135" s="87" t="str">
        <f>IFERROR(__xludf.DUMMYFUNCTION("""COMPUTED_VALUE"""),"Nhãn")</f>
        <v>Nhãn</v>
      </c>
      <c r="C2135" s="87" t="str">
        <f>IFERROR(__xludf.DUMMYFUNCTION("""COMPUTED_VALUE"""),"NHG1603")</f>
        <v>NHG1603</v>
      </c>
      <c r="D2135" s="87" t="str">
        <f>IFERROR(__xludf.DUMMYFUNCTION("""COMPUTED_VALUE"""),"[Nhãn] GC - IV - 1603 - Cty Hitaco - Cò Ốc (nước nâu đen) - 450ml - 40")</f>
        <v>[Nhãn] GC - IV - 1603 - Cty Hitaco - Cò Ốc (nước nâu đen) - 450ml - 40</v>
      </c>
      <c r="E2135" s="87" t="str">
        <f>IFERROR(__xludf.DUMMYFUNCTION("""COMPUTED_VALUE"""),"HAIHAMEC 3.6EC")</f>
        <v>HAIHAMEC 3.6EC</v>
      </c>
      <c r="F2135" s="87" t="str">
        <f>IFERROR(__xludf.DUMMYFUNCTION("""COMPUTED_VALUE"""),"HH1603")</f>
        <v>HH1603</v>
      </c>
      <c r="G2135" s="87" t="str">
        <f>IFERROR(__xludf.DUMMYFUNCTION("""COMPUTED_VALUE"""),"GC - IV - 1603 - Cty Hitaco - Cò Ốc (nước nâu đen) - 450ml - 40")</f>
        <v>GC - IV - 1603 - Cty Hitaco - Cò Ốc (nước nâu đen) - 450ml - 40</v>
      </c>
    </row>
    <row r="2136">
      <c r="A2136" s="86">
        <f>IFERROR(__xludf.DUMMYFUNCTION("""COMPUTED_VALUE"""),2134.0)</f>
        <v>2134</v>
      </c>
      <c r="B2136" s="87" t="str">
        <f>IFERROR(__xludf.DUMMYFUNCTION("""COMPUTED_VALUE"""),"Nhãn")</f>
        <v>Nhãn</v>
      </c>
      <c r="C2136" s="87" t="str">
        <f>IFERROR(__xludf.DUMMYFUNCTION("""COMPUTED_VALUE"""),"NHG1604")</f>
        <v>NHG1604</v>
      </c>
      <c r="D2136" s="87" t="str">
        <f>IFERROR(__xludf.DUMMYFUNCTION("""COMPUTED_VALUE"""),"[Nhãn] GC - IV - 1604 -  Cty Chi Nông Phát -  Asupergras 200SL(nước đỏ) - 900ml - 20")</f>
        <v>[Nhãn] GC - IV - 1604 -  Cty Chi Nông Phát -  Asupergras 200SL(nước đỏ) - 900ml - 20</v>
      </c>
      <c r="E2136" s="87" t="str">
        <f>IFERROR(__xludf.DUMMYFUNCTION("""COMPUTED_VALUE"""),"Asupergras 200SL")</f>
        <v>Asupergras 200SL</v>
      </c>
      <c r="F2136" s="87" t="str">
        <f>IFERROR(__xludf.DUMMYFUNCTION("""COMPUTED_VALUE"""),"HH1604")</f>
        <v>HH1604</v>
      </c>
      <c r="G2136" s="87" t="str">
        <f>IFERROR(__xludf.DUMMYFUNCTION("""COMPUTED_VALUE"""),"GC - IV - 1604 -  Cty Chi Nông Phát -  Asupergras 200SL(nước đỏ) - 900ml - 20")</f>
        <v>GC - IV - 1604 -  Cty Chi Nông Phát -  Asupergras 200SL(nước đỏ) - 900ml - 20</v>
      </c>
    </row>
    <row r="2137">
      <c r="A2137" s="86">
        <f>IFERROR(__xludf.DUMMYFUNCTION("""COMPUTED_VALUE"""),2135.0)</f>
        <v>2135</v>
      </c>
      <c r="B2137" s="87" t="str">
        <f>IFERROR(__xludf.DUMMYFUNCTION("""COMPUTED_VALUE"""),"Nhãn")</f>
        <v>Nhãn</v>
      </c>
      <c r="C2137" s="87" t="str">
        <f>IFERROR(__xludf.DUMMYFUNCTION("""COMPUTED_VALUE"""),"NTN1605")</f>
        <v>NTN1605</v>
      </c>
      <c r="D2137" s="87" t="str">
        <f>IFERROR(__xludf.DUMMYFUNCTION("""COMPUTED_VALUE"""),"[Nhãn] GC - IV - 1605 - NHP Group - Panda 95 (Bột trắng) - 100gr - 100")</f>
        <v>[Nhãn] GC - IV - 1605 - NHP Group - Panda 95 (Bột trắng) - 100gr - 100</v>
      </c>
      <c r="E2137" s="87" t="str">
        <f>IFERROR(__xludf.DUMMYFUNCTION("""COMPUTED_VALUE"""),"SHA CHONG JING 95WP")</f>
        <v>SHA CHONG JING 95WP</v>
      </c>
      <c r="F2137" s="87" t="str">
        <f>IFERROR(__xludf.DUMMYFUNCTION("""COMPUTED_VALUE"""),"HH1605")</f>
        <v>HH1605</v>
      </c>
      <c r="G2137" s="87" t="str">
        <f>IFERROR(__xludf.DUMMYFUNCTION("""COMPUTED_VALUE"""),"GC - IV - 1605 - NHP Group - Panda 95 (Bột trắng) - 100gr - 100")</f>
        <v>GC - IV - 1605 - NHP Group - Panda 95 (Bột trắng) - 100gr - 100</v>
      </c>
    </row>
    <row r="2138">
      <c r="A2138" s="86">
        <f>IFERROR(__xludf.DUMMYFUNCTION("""COMPUTED_VALUE"""),2136.0)</f>
        <v>2136</v>
      </c>
      <c r="B2138" s="87" t="str">
        <f>IFERROR(__xludf.DUMMYFUNCTION("""COMPUTED_VALUE"""),"Nhãn")</f>
        <v>Nhãn</v>
      </c>
      <c r="C2138" s="87" t="str">
        <f>IFERROR(__xludf.DUMMYFUNCTION("""COMPUTED_VALUE"""),"NHD1606")</f>
        <v>NHD1606</v>
      </c>
      <c r="D2138" s="87" t="str">
        <f>IFERROR(__xludf.DUMMYFUNCTION("""COMPUTED_VALUE"""),"[Nhãn] GC - IV - 1606 - Cty Nghi Phong - Ultra Green (Gel nâu đen) - 20kg - 1")</f>
        <v>[Nhãn] GC - IV - 1606 - Cty Nghi Phong - Ultra Green (Gel nâu đen) - 20kg - 1</v>
      </c>
      <c r="E2138" s="87" t="str">
        <f>IFERROR(__xludf.DUMMYFUNCTION("""COMPUTED_VALUE"""),"Vi lượng Quantity New")</f>
        <v>Vi lượng Quantity New</v>
      </c>
      <c r="F2138" s="87" t="str">
        <f>IFERROR(__xludf.DUMMYFUNCTION("""COMPUTED_VALUE"""),"HH1606")</f>
        <v>HH1606</v>
      </c>
      <c r="G2138" s="87" t="str">
        <f>IFERROR(__xludf.DUMMYFUNCTION("""COMPUTED_VALUE"""),"GC - IV - 1606 - Cty Nghi Phong - Ultra Green (Gel nâu đen) - 20kg - 1")</f>
        <v>GC - IV - 1606 - Cty Nghi Phong - Ultra Green (Gel nâu đen) - 20kg - 1</v>
      </c>
    </row>
    <row r="2139">
      <c r="A2139" s="86">
        <f>IFERROR(__xludf.DUMMYFUNCTION("""COMPUTED_VALUE"""),2137.0)</f>
        <v>2137</v>
      </c>
      <c r="B2139" s="87" t="str">
        <f>IFERROR(__xludf.DUMMYFUNCTION("""COMPUTED_VALUE"""),"Nhãn")</f>
        <v>Nhãn</v>
      </c>
      <c r="C2139" s="87" t="str">
        <f>IFERROR(__xludf.DUMMYFUNCTION("""COMPUTED_VALUE"""),"NTN1607")</f>
        <v>NTN1607</v>
      </c>
      <c r="D2139" s="87" t="str">
        <f>IFERROR(__xludf.DUMMYFUNCTION("""COMPUTED_VALUE"""),"[Nhãn] NB - K - 1607 - Cty Nông Dược Thụy Sĩ - Humic Thụy Sĩ - 1kg -20")</f>
        <v>[Nhãn] NB - K - 1607 - Cty Nông Dược Thụy Sĩ - Humic Thụy Sĩ - 1kg -20</v>
      </c>
      <c r="E2139" s="87" t="str">
        <f>IFERROR(__xludf.DUMMYFUNCTION("""COMPUTED_VALUE"""),"Hữu Cơ TS1")</f>
        <v>Hữu Cơ TS1</v>
      </c>
      <c r="F2139" s="87" t="str">
        <f>IFERROR(__xludf.DUMMYFUNCTION("""COMPUTED_VALUE"""),"HH1607")</f>
        <v>HH1607</v>
      </c>
      <c r="G2139" s="87" t="str">
        <f>IFERROR(__xludf.DUMMYFUNCTION("""COMPUTED_VALUE"""),"NB - K - 1607 - Cty Nông Dược Thụy Sĩ - Humic Thụy Sĩ - 1kg -20")</f>
        <v>NB - K - 1607 - Cty Nông Dược Thụy Sĩ - Humic Thụy Sĩ - 1kg -20</v>
      </c>
    </row>
    <row r="2140">
      <c r="A2140" s="86">
        <f>IFERROR(__xludf.DUMMYFUNCTION("""COMPUTED_VALUE"""),2138.0)</f>
        <v>2138</v>
      </c>
      <c r="B2140" s="87" t="str">
        <f>IFERROR(__xludf.DUMMYFUNCTION("""COMPUTED_VALUE"""),"Nhãn")</f>
        <v>Nhãn</v>
      </c>
      <c r="C2140" s="87" t="str">
        <f>IFERROR(__xludf.DUMMYFUNCTION("""COMPUTED_VALUE"""),"NHG1608")</f>
        <v>NHG1608</v>
      </c>
      <c r="D2140" s="87" t="str">
        <f>IFERROR(__xludf.DUMMYFUNCTION("""COMPUTED_VALUE"""),"[Nhãn] GC - II - 1608 - Top Stop (nước nâu đen) - 500ml - 40")</f>
        <v>[Nhãn] GC - II - 1608 - Top Stop (nước nâu đen) - 500ml - 40</v>
      </c>
      <c r="E2140" s="87" t="str">
        <f>IFERROR(__xludf.DUMMYFUNCTION("""COMPUTED_VALUE"""),"Vi lượng Run Fast")</f>
        <v>Vi lượng Run Fast</v>
      </c>
      <c r="F2140" s="87" t="str">
        <f>IFERROR(__xludf.DUMMYFUNCTION("""COMPUTED_VALUE"""),"HH1608")</f>
        <v>HH1608</v>
      </c>
      <c r="G2140" s="87" t="str">
        <f>IFERROR(__xludf.DUMMYFUNCTION("""COMPUTED_VALUE"""),"GC - II - 1608 - Top Stop (nước nâu đen) - 500ml - 40")</f>
        <v>GC - II - 1608 - Top Stop (nước nâu đen) - 500ml - 40</v>
      </c>
    </row>
    <row r="2141">
      <c r="A2141" s="86">
        <f>IFERROR(__xludf.DUMMYFUNCTION("""COMPUTED_VALUE"""),2139.0)</f>
        <v>2139</v>
      </c>
      <c r="B2141" s="87" t="str">
        <f>IFERROR(__xludf.DUMMYFUNCTION("""COMPUTED_VALUE"""),"Nhãn")</f>
        <v>Nhãn</v>
      </c>
      <c r="C2141" s="87" t="str">
        <f>IFERROR(__xludf.DUMMYFUNCTION("""COMPUTED_VALUE"""),"NHG1609")</f>
        <v>NHG1609</v>
      </c>
      <c r="D2141" s="87" t="str">
        <f>IFERROR(__xludf.DUMMYFUNCTION("""COMPUTED_VALUE"""),"[Nhãn] GC - II - 1609 - Top Kick (nước nâu đen) - 500ml - 40")</f>
        <v>[Nhãn] GC - II - 1609 - Top Kick (nước nâu đen) - 500ml - 40</v>
      </c>
      <c r="E2141" s="87" t="str">
        <f>IFERROR(__xludf.DUMMYFUNCTION("""COMPUTED_VALUE"""),"Vi lượng Run Fast")</f>
        <v>Vi lượng Run Fast</v>
      </c>
      <c r="F2141" s="87" t="str">
        <f>IFERROR(__xludf.DUMMYFUNCTION("""COMPUTED_VALUE"""),"HH1609")</f>
        <v>HH1609</v>
      </c>
      <c r="G2141" s="87" t="str">
        <f>IFERROR(__xludf.DUMMYFUNCTION("""COMPUTED_VALUE"""),"GC - II - 1609 - Top Kick (nước nâu đen) - 500ml - 40")</f>
        <v>GC - II - 1609 - Top Kick (nước nâu đen) - 500ml - 40</v>
      </c>
    </row>
    <row r="2142">
      <c r="A2142" s="86">
        <f>IFERROR(__xludf.DUMMYFUNCTION("""COMPUTED_VALUE"""),2140.0)</f>
        <v>2140</v>
      </c>
      <c r="B2142" s="87" t="str">
        <f>IFERROR(__xludf.DUMMYFUNCTION("""COMPUTED_VALUE"""),"Nhãn")</f>
        <v>Nhãn</v>
      </c>
      <c r="C2142" s="87" t="str">
        <f>IFERROR(__xludf.DUMMYFUNCTION("""COMPUTED_VALUE"""),"NHG1610")</f>
        <v>NHG1610</v>
      </c>
      <c r="D2142" s="87" t="str">
        <f>IFERROR(__xludf.DUMMYFUNCTION("""COMPUTED_VALUE"""),"[Nhãn] GC - II - 1610 - Top Sprout (nước nâu đen) - 500ml - 40")</f>
        <v>[Nhãn] GC - II - 1610 - Top Sprout (nước nâu đen) - 500ml - 40</v>
      </c>
      <c r="E2142" s="87" t="str">
        <f>IFERROR(__xludf.DUMMYFUNCTION("""COMPUTED_VALUE"""),"Vi lượng Run Fast")</f>
        <v>Vi lượng Run Fast</v>
      </c>
      <c r="F2142" s="87" t="str">
        <f>IFERROR(__xludf.DUMMYFUNCTION("""COMPUTED_VALUE"""),"HH1610")</f>
        <v>HH1610</v>
      </c>
      <c r="G2142" s="87" t="str">
        <f>IFERROR(__xludf.DUMMYFUNCTION("""COMPUTED_VALUE"""),"GC - II - 1610 - Top Sprout (nước nâu đen) - 500ml - 40")</f>
        <v>GC - II - 1610 - Top Sprout (nước nâu đen) - 500ml - 40</v>
      </c>
    </row>
    <row r="2143">
      <c r="A2143" s="86">
        <f>IFERROR(__xludf.DUMMYFUNCTION("""COMPUTED_VALUE"""),2141.0)</f>
        <v>2141</v>
      </c>
      <c r="B2143" s="87" t="str">
        <f>IFERROR(__xludf.DUMMYFUNCTION("""COMPUTED_VALUE"""),"Nhãn")</f>
        <v>Nhãn</v>
      </c>
      <c r="C2143" s="87" t="str">
        <f>IFERROR(__xludf.DUMMYFUNCTION("""COMPUTED_VALUE"""),"NTN1611")</f>
        <v>NTN1611</v>
      </c>
      <c r="D2143" s="87" t="str">
        <f>IFERROR(__xludf.DUMMYFUNCTION("""COMPUTED_VALUE"""),"[Nhãn] GC - IV - 1611 - MANCO GREEN (Bột xanh) - 1kg - 20")</f>
        <v>[Nhãn] GC - IV - 1611 - MANCO GREEN (Bột xanh) - 1kg - 20</v>
      </c>
      <c r="E2143" s="87" t="str">
        <f>IFERROR(__xludf.DUMMYFUNCTION("""COMPUTED_VALUE"""),"MANCOBGO 80WP")</f>
        <v>MANCOBGO 80WP</v>
      </c>
      <c r="F2143" s="87" t="str">
        <f>IFERROR(__xludf.DUMMYFUNCTION("""COMPUTED_VALUE"""),"HH1611")</f>
        <v>HH1611</v>
      </c>
      <c r="G2143" s="87" t="str">
        <f>IFERROR(__xludf.DUMMYFUNCTION("""COMPUTED_VALUE"""),"GC - IV - 1611 - MANCO GREEN (Bột xanh) - 1kg - 20")</f>
        <v>GC - IV - 1611 - MANCO GREEN (Bột xanh) - 1kg - 20</v>
      </c>
    </row>
    <row r="2144">
      <c r="A2144" s="86">
        <f>IFERROR(__xludf.DUMMYFUNCTION("""COMPUTED_VALUE"""),2142.0)</f>
        <v>2142</v>
      </c>
      <c r="B2144" s="87" t="str">
        <f>IFERROR(__xludf.DUMMYFUNCTION("""COMPUTED_VALUE"""),"Nhãn thùng")</f>
        <v>Nhãn thùng</v>
      </c>
      <c r="C2144" s="87" t="str">
        <f>IFERROR(__xludf.DUMMYFUNCTION("""COMPUTED_VALUE"""),"NDT1611")</f>
        <v>NDT1611</v>
      </c>
      <c r="D2144" s="87" t="str">
        <f>IFERROR(__xludf.DUMMYFUNCTION("""COMPUTED_VALUE"""),"[Nhãn thùng] GC - IV - 1611 - MANCO GREEN (Bột xanh) - 1kg - 20")</f>
        <v>[Nhãn thùng] GC - IV - 1611 - MANCO GREEN (Bột xanh) - 1kg - 20</v>
      </c>
      <c r="E2144" s="87" t="str">
        <f>IFERROR(__xludf.DUMMYFUNCTION("""COMPUTED_VALUE"""),"MANCOBGO 80WP")</f>
        <v>MANCOBGO 80WP</v>
      </c>
      <c r="F2144" s="87" t="str">
        <f>IFERROR(__xludf.DUMMYFUNCTION("""COMPUTED_VALUE"""),"HH1611")</f>
        <v>HH1611</v>
      </c>
      <c r="G2144" s="87" t="str">
        <f>IFERROR(__xludf.DUMMYFUNCTION("""COMPUTED_VALUE"""),"GC - IV - 1611 - MANCO GREEN (Bột xanh) - 1kg - 20")</f>
        <v>GC - IV - 1611 - MANCO GREEN (Bột xanh) - 1kg - 20</v>
      </c>
    </row>
    <row r="2145">
      <c r="A2145" s="86">
        <f>IFERROR(__xludf.DUMMYFUNCTION("""COMPUTED_VALUE"""),2143.0)</f>
        <v>2143</v>
      </c>
      <c r="B2145" s="87" t="str">
        <f>IFERROR(__xludf.DUMMYFUNCTION("""COMPUTED_VALUE"""),"Nhãn")</f>
        <v>Nhãn</v>
      </c>
      <c r="C2145" s="87" t="str">
        <f>IFERROR(__xludf.DUMMYFUNCTION("""COMPUTED_VALUE"""),"NTN1612")</f>
        <v>NTN1612</v>
      </c>
      <c r="D2145" s="87" t="str">
        <f>IFERROR(__xludf.DUMMYFUNCTION("""COMPUTED_VALUE"""),"[Nhãn] GC - IV - 1612 - MANCO YELLOW (Bột vàng) - 1kg - 20")</f>
        <v>[Nhãn] GC - IV - 1612 - MANCO YELLOW (Bột vàng) - 1kg - 20</v>
      </c>
      <c r="E2145" s="87" t="str">
        <f>IFERROR(__xludf.DUMMYFUNCTION("""COMPUTED_VALUE"""),"MANCOBGO 80WP")</f>
        <v>MANCOBGO 80WP</v>
      </c>
      <c r="F2145" s="87" t="str">
        <f>IFERROR(__xludf.DUMMYFUNCTION("""COMPUTED_VALUE"""),"HH1612")</f>
        <v>HH1612</v>
      </c>
      <c r="G2145" s="87" t="str">
        <f>IFERROR(__xludf.DUMMYFUNCTION("""COMPUTED_VALUE"""),"GC - IV - 1612 - MANCO YELLOW (Bột vàng) - 1kg - 20")</f>
        <v>GC - IV - 1612 - MANCO YELLOW (Bột vàng) - 1kg - 20</v>
      </c>
    </row>
    <row r="2146">
      <c r="A2146" s="86">
        <f>IFERROR(__xludf.DUMMYFUNCTION("""COMPUTED_VALUE"""),2144.0)</f>
        <v>2144</v>
      </c>
      <c r="B2146" s="87" t="str">
        <f>IFERROR(__xludf.DUMMYFUNCTION("""COMPUTED_VALUE"""),"Nhãn thùng")</f>
        <v>Nhãn thùng</v>
      </c>
      <c r="C2146" s="87" t="str">
        <f>IFERROR(__xludf.DUMMYFUNCTION("""COMPUTED_VALUE"""),"NDT1612")</f>
        <v>NDT1612</v>
      </c>
      <c r="D2146" s="87" t="str">
        <f>IFERROR(__xludf.DUMMYFUNCTION("""COMPUTED_VALUE"""),"[Nhãn thùng] GC - IV - 1612 - MANCO YELLOW (Bột vàng) - 1kg - 20")</f>
        <v>[Nhãn thùng] GC - IV - 1612 - MANCO YELLOW (Bột vàng) - 1kg - 20</v>
      </c>
      <c r="E2146" s="87" t="str">
        <f>IFERROR(__xludf.DUMMYFUNCTION("""COMPUTED_VALUE"""),"MANCOBGO 80WP")</f>
        <v>MANCOBGO 80WP</v>
      </c>
      <c r="F2146" s="87" t="str">
        <f>IFERROR(__xludf.DUMMYFUNCTION("""COMPUTED_VALUE"""),"HH1612")</f>
        <v>HH1612</v>
      </c>
      <c r="G2146" s="87" t="str">
        <f>IFERROR(__xludf.DUMMYFUNCTION("""COMPUTED_VALUE"""),"GC - IV - 1612 - MANCO YELLOW (Bột vàng) - 1kg - 20")</f>
        <v>GC - IV - 1612 - MANCO YELLOW (Bột vàng) - 1kg - 20</v>
      </c>
    </row>
    <row r="2147">
      <c r="A2147" s="86">
        <f>IFERROR(__xludf.DUMMYFUNCTION("""COMPUTED_VALUE"""),2145.0)</f>
        <v>2145</v>
      </c>
      <c r="B2147" s="87" t="str">
        <f>IFERROR(__xludf.DUMMYFUNCTION("""COMPUTED_VALUE"""),"Nhãn")</f>
        <v>Nhãn</v>
      </c>
      <c r="C2147" s="87" t="str">
        <f>IFERROR(__xludf.DUMMYFUNCTION("""COMPUTED_VALUE"""),"NTN1613")</f>
        <v>NTN1613</v>
      </c>
      <c r="D2147" s="87" t="str">
        <f>IFERROR(__xludf.DUMMYFUNCTION("""COMPUTED_VALUE"""),"[Nhãn] GC - IV - 1613 - Cty Thiên Di (A Thành Dol) - Mancozeb xanh (bột xanh) - 1kg - 20")</f>
        <v>[Nhãn] GC - IV - 1613 - Cty Thiên Di (A Thành Dol) - Mancozeb xanh (bột xanh) - 1kg - 20</v>
      </c>
      <c r="E2147" s="87" t="str">
        <f>IFERROR(__xludf.DUMMYFUNCTION("""COMPUTED_VALUE"""),"MANCOBGO 80WP")</f>
        <v>MANCOBGO 80WP</v>
      </c>
      <c r="F2147" s="87" t="str">
        <f>IFERROR(__xludf.DUMMYFUNCTION("""COMPUTED_VALUE"""),"HH1613")</f>
        <v>HH1613</v>
      </c>
      <c r="G2147" s="87" t="str">
        <f>IFERROR(__xludf.DUMMYFUNCTION("""COMPUTED_VALUE"""),"GC - IV - 1613 - Cty Thiên Di (A Thành Dol) - Mancozeb xanh (bột xanh) - 1kg - 20")</f>
        <v>GC - IV - 1613 - Cty Thiên Di (A Thành Dol) - Mancozeb xanh (bột xanh) - 1kg - 20</v>
      </c>
    </row>
    <row r="2148">
      <c r="A2148" s="86">
        <f>IFERROR(__xludf.DUMMYFUNCTION("""COMPUTED_VALUE"""),2146.0)</f>
        <v>2146</v>
      </c>
      <c r="B2148" s="87" t="str">
        <f>IFERROR(__xludf.DUMMYFUNCTION("""COMPUTED_VALUE"""),"Nhãn thùng")</f>
        <v>Nhãn thùng</v>
      </c>
      <c r="C2148" s="87" t="str">
        <f>IFERROR(__xludf.DUMMYFUNCTION("""COMPUTED_VALUE"""),"NDT1613")</f>
        <v>NDT1613</v>
      </c>
      <c r="D2148" s="87" t="str">
        <f>IFERROR(__xludf.DUMMYFUNCTION("""COMPUTED_VALUE"""),"[Nhãn thùng] GC - IV - 1613 - Cty Thiên Di (A Thành Dol) - Mancozeb xanh (bột xanh) - 1kg - 20")</f>
        <v>[Nhãn thùng] GC - IV - 1613 - Cty Thiên Di (A Thành Dol) - Mancozeb xanh (bột xanh) - 1kg - 20</v>
      </c>
      <c r="E2148" s="87" t="str">
        <f>IFERROR(__xludf.DUMMYFUNCTION("""COMPUTED_VALUE"""),"MANCOBGO 80WP")</f>
        <v>MANCOBGO 80WP</v>
      </c>
      <c r="F2148" s="87" t="str">
        <f>IFERROR(__xludf.DUMMYFUNCTION("""COMPUTED_VALUE"""),"HH1613")</f>
        <v>HH1613</v>
      </c>
      <c r="G2148" s="87" t="str">
        <f>IFERROR(__xludf.DUMMYFUNCTION("""COMPUTED_VALUE"""),"GC - IV - 1613 - Cty Thiên Di (A Thành Dol) - Mancozeb xanh (bột xanh) - 1kg - 20")</f>
        <v>GC - IV - 1613 - Cty Thiên Di (A Thành Dol) - Mancozeb xanh (bột xanh) - 1kg - 20</v>
      </c>
    </row>
    <row r="2149">
      <c r="A2149" s="86">
        <f>IFERROR(__xludf.DUMMYFUNCTION("""COMPUTED_VALUE"""),2147.0)</f>
        <v>2147</v>
      </c>
      <c r="B2149" s="87" t="str">
        <f>IFERROR(__xludf.DUMMYFUNCTION("""COMPUTED_VALUE"""),"Nhãn")</f>
        <v>Nhãn</v>
      </c>
      <c r="C2149" s="87" t="str">
        <f>IFERROR(__xludf.DUMMYFUNCTION("""COMPUTED_VALUE"""),"NTN1614")</f>
        <v>NTN1614</v>
      </c>
      <c r="D2149" s="87" t="str">
        <f>IFERROR(__xludf.DUMMYFUNCTION("""COMPUTED_VALUE"""),"[Nhãn] GC - IV - 1614 - Cty Thiên Di (A Thành Dol) - Mancozeb xanh (bột xanh) - 100gr - 100")</f>
        <v>[Nhãn] GC - IV - 1614 - Cty Thiên Di (A Thành Dol) - Mancozeb xanh (bột xanh) - 100gr - 100</v>
      </c>
      <c r="E2149" s="87" t="str">
        <f>IFERROR(__xludf.DUMMYFUNCTION("""COMPUTED_VALUE"""),"MANCOBGO 80WP")</f>
        <v>MANCOBGO 80WP</v>
      </c>
      <c r="F2149" s="87" t="str">
        <f>IFERROR(__xludf.DUMMYFUNCTION("""COMPUTED_VALUE"""),"HH1614")</f>
        <v>HH1614</v>
      </c>
      <c r="G2149" s="87" t="str">
        <f>IFERROR(__xludf.DUMMYFUNCTION("""COMPUTED_VALUE"""),"GC - IV - 1614 - Cty Thiên Di (A Thành Dol) - Mancozeb xanh (bột xanh) - 100gr - 100")</f>
        <v>GC - IV - 1614 - Cty Thiên Di (A Thành Dol) - Mancozeb xanh (bột xanh) - 100gr - 100</v>
      </c>
    </row>
    <row r="2150">
      <c r="A2150" s="86">
        <f>IFERROR(__xludf.DUMMYFUNCTION("""COMPUTED_VALUE"""),2148.0)</f>
        <v>2148</v>
      </c>
      <c r="B2150" s="87" t="str">
        <f>IFERROR(__xludf.DUMMYFUNCTION("""COMPUTED_VALUE"""),"Nhãn thùng")</f>
        <v>Nhãn thùng</v>
      </c>
      <c r="C2150" s="87" t="str">
        <f>IFERROR(__xludf.DUMMYFUNCTION("""COMPUTED_VALUE"""),"NDT1614")</f>
        <v>NDT1614</v>
      </c>
      <c r="D2150" s="87" t="str">
        <f>IFERROR(__xludf.DUMMYFUNCTION("""COMPUTED_VALUE"""),"[Nhãn thùng] GC - IV - 1614 - Cty Thiên Di (A Thành Dol) - Mancozeb xanh (bột xanh) - 100gr - 100")</f>
        <v>[Nhãn thùng] GC - IV - 1614 - Cty Thiên Di (A Thành Dol) - Mancozeb xanh (bột xanh) - 100gr - 100</v>
      </c>
      <c r="E2150" s="87" t="str">
        <f>IFERROR(__xludf.DUMMYFUNCTION("""COMPUTED_VALUE"""),"MANCOBGO 80WP")</f>
        <v>MANCOBGO 80WP</v>
      </c>
      <c r="F2150" s="87" t="str">
        <f>IFERROR(__xludf.DUMMYFUNCTION("""COMPUTED_VALUE"""),"HH1614")</f>
        <v>HH1614</v>
      </c>
      <c r="G2150" s="87" t="str">
        <f>IFERROR(__xludf.DUMMYFUNCTION("""COMPUTED_VALUE"""),"GC - IV - 1614 - Cty Thiên Di (A Thành Dol) - Mancozeb xanh (bột xanh) - 100gr - 100")</f>
        <v>GC - IV - 1614 - Cty Thiên Di (A Thành Dol) - Mancozeb xanh (bột xanh) - 100gr - 100</v>
      </c>
    </row>
    <row r="2151">
      <c r="A2151" s="86">
        <f>IFERROR(__xludf.DUMMYFUNCTION("""COMPUTED_VALUE"""),2149.0)</f>
        <v>2149</v>
      </c>
      <c r="B2151" s="87" t="str">
        <f>IFERROR(__xludf.DUMMYFUNCTION("""COMPUTED_VALUE"""),"Nhãn thùng")</f>
        <v>Nhãn thùng</v>
      </c>
      <c r="C2151" s="87" t="str">
        <f>IFERROR(__xludf.DUMMYFUNCTION("""COMPUTED_VALUE"""),"NDT1615")</f>
        <v>NDT1615</v>
      </c>
      <c r="D2151" s="87" t="str">
        <f>IFERROR(__xludf.DUMMYFUNCTION("""COMPUTED_VALUE"""),"[Nhãn thùng] GC - IV - 1615 - Kim Ngọc - MANCOZEB XANH(Bột xanh) - 1kg - 20")</f>
        <v>[Nhãn thùng] GC - IV - 1615 - Kim Ngọc - MANCOZEB XANH(Bột xanh) - 1kg - 20</v>
      </c>
      <c r="E2151" s="87" t="str">
        <f>IFERROR(__xludf.DUMMYFUNCTION("""COMPUTED_VALUE"""),"MANCOBGO 80WP")</f>
        <v>MANCOBGO 80WP</v>
      </c>
      <c r="F2151" s="87" t="str">
        <f>IFERROR(__xludf.DUMMYFUNCTION("""COMPUTED_VALUE"""),"HH1615")</f>
        <v>HH1615</v>
      </c>
      <c r="G2151" s="87" t="str">
        <f>IFERROR(__xludf.DUMMYFUNCTION("""COMPUTED_VALUE"""),"GC - IV - 1615 - Kim Ngọc - MANCOZEB XANH(Bột xanh) - 1kg - 20")</f>
        <v>GC - IV - 1615 - Kim Ngọc - MANCOZEB XANH(Bột xanh) - 1kg - 20</v>
      </c>
    </row>
    <row r="2152">
      <c r="A2152" s="86">
        <f>IFERROR(__xludf.DUMMYFUNCTION("""COMPUTED_VALUE"""),2150.0)</f>
        <v>2150</v>
      </c>
      <c r="B2152" s="87" t="str">
        <f>IFERROR(__xludf.DUMMYFUNCTION("""COMPUTED_VALUE"""),"Nhãn")</f>
        <v>Nhãn</v>
      </c>
      <c r="C2152" s="87" t="str">
        <f>IFERROR(__xludf.DUMMYFUNCTION("""COMPUTED_VALUE"""),"NHG1616")</f>
        <v>NHG1616</v>
      </c>
      <c r="D2152" s="87" t="str">
        <f>IFERROR(__xludf.DUMMYFUNCTION("""COMPUTED_VALUE"""),"[Nhãn] GC - IV - 1616 - Cty Ánh Dương (chị Oanh) - Chết cỏ tận gốc (nước đỏ) - 900ml - 20")</f>
        <v>[Nhãn] GC - IV - 1616 - Cty Ánh Dương (chị Oanh) - Chết cỏ tận gốc (nước đỏ) - 900ml - 20</v>
      </c>
      <c r="E2152" s="87" t="str">
        <f>IFERROR(__xludf.DUMMYFUNCTION("""COMPUTED_VALUE"""),"Asupergras 200SL")</f>
        <v>Asupergras 200SL</v>
      </c>
      <c r="F2152" s="87" t="str">
        <f>IFERROR(__xludf.DUMMYFUNCTION("""COMPUTED_VALUE"""),"HH1616")</f>
        <v>HH1616</v>
      </c>
      <c r="G2152" s="87" t="str">
        <f>IFERROR(__xludf.DUMMYFUNCTION("""COMPUTED_VALUE"""),"GC - IV - 1616 - Cty Ánh Dương (chị Oanh) - Chết cỏ tận gốc (nước đỏ) - 900ml - 20")</f>
        <v>GC - IV - 1616 - Cty Ánh Dương (chị Oanh) - Chết cỏ tận gốc (nước đỏ) - 900ml - 20</v>
      </c>
    </row>
    <row r="2153">
      <c r="A2153" s="86">
        <f>IFERROR(__xludf.DUMMYFUNCTION("""COMPUTED_VALUE"""),2151.0)</f>
        <v>2151</v>
      </c>
      <c r="B2153" s="87" t="str">
        <f>IFERROR(__xludf.DUMMYFUNCTION("""COMPUTED_VALUE"""),"Nhãn")</f>
        <v>Nhãn</v>
      </c>
      <c r="C2153" s="87" t="str">
        <f>IFERROR(__xludf.DUMMYFUNCTION("""COMPUTED_VALUE"""),"NHG1617")</f>
        <v>NHG1617</v>
      </c>
      <c r="D2153" s="87" t="str">
        <f>IFERROR(__xludf.DUMMYFUNCTION("""COMPUTED_VALUE"""),"[Nhãn] GC - IV - 1617 - Kato Japan - Cọp Lửa T86 (nước tím) - 900ml - 20")</f>
        <v>[Nhãn] GC - IV - 1617 - Kato Japan - Cọp Lửa T86 (nước tím) - 900ml - 20</v>
      </c>
      <c r="E2153" s="87" t="str">
        <f>IFERROR(__xludf.DUMMYFUNCTION("""COMPUTED_VALUE"""),"Asupergras 200SL")</f>
        <v>Asupergras 200SL</v>
      </c>
      <c r="F2153" s="87" t="str">
        <f>IFERROR(__xludf.DUMMYFUNCTION("""COMPUTED_VALUE"""),"HH1617")</f>
        <v>HH1617</v>
      </c>
      <c r="G2153" s="87" t="str">
        <f>IFERROR(__xludf.DUMMYFUNCTION("""COMPUTED_VALUE"""),"GC - IV - 1617 - Kato Japan - Cọp Lửa T86 (nước tím) - 900ml - 20")</f>
        <v>GC - IV - 1617 - Kato Japan - Cọp Lửa T86 (nước tím) - 900ml - 20</v>
      </c>
    </row>
    <row r="2154">
      <c r="A2154" s="86">
        <f>IFERROR(__xludf.DUMMYFUNCTION("""COMPUTED_VALUE"""),2152.0)</f>
        <v>2152</v>
      </c>
      <c r="B2154" s="87" t="str">
        <f>IFERROR(__xludf.DUMMYFUNCTION("""COMPUTED_VALUE"""),"Nhãn")</f>
        <v>Nhãn</v>
      </c>
      <c r="C2154" s="87" t="str">
        <f>IFERROR(__xludf.DUMMYFUNCTION("""COMPUTED_VALUE"""),"NHG1618")</f>
        <v>NHG1618</v>
      </c>
      <c r="D2154" s="87" t="str">
        <f>IFERROR(__xludf.DUMMYFUNCTION("""COMPUTED_VALUE"""),"[Nhãn] GC - IV - 1618 - NHP Group - US.BOCAXX (nước vàng) - 500ml - 40")</f>
        <v>[Nhãn] GC - IV - 1618 - NHP Group - US.BOCAXX (nước vàng) - 500ml - 40</v>
      </c>
      <c r="E2154" s="87" t="str">
        <f>IFERROR(__xludf.DUMMYFUNCTION("""COMPUTED_VALUE"""),"Vi lượng Run Fast")</f>
        <v>Vi lượng Run Fast</v>
      </c>
      <c r="F2154" s="87" t="str">
        <f>IFERROR(__xludf.DUMMYFUNCTION("""COMPUTED_VALUE"""),"HH1618")</f>
        <v>HH1618</v>
      </c>
      <c r="G2154" s="87" t="str">
        <f>IFERROR(__xludf.DUMMYFUNCTION("""COMPUTED_VALUE"""),"GC - IV - 1618 - NHP Group - US.BOCAXX (nước vàng) - 500ml - 40")</f>
        <v>GC - IV - 1618 - NHP Group - US.BOCAXX (nước vàng) - 500ml - 40</v>
      </c>
    </row>
    <row r="2155">
      <c r="A2155" s="86">
        <f>IFERROR(__xludf.DUMMYFUNCTION("""COMPUTED_VALUE"""),2153.0)</f>
        <v>2153</v>
      </c>
      <c r="B2155" s="87" t="str">
        <f>IFERROR(__xludf.DUMMYFUNCTION("""COMPUTED_VALUE"""),"Nhãn")</f>
        <v>Nhãn</v>
      </c>
      <c r="C2155" s="87" t="str">
        <f>IFERROR(__xludf.DUMMYFUNCTION("""COMPUTED_VALUE"""),"NTN1619")</f>
        <v>NTN1619</v>
      </c>
      <c r="D2155" s="87" t="str">
        <f>IFERROR(__xludf.DUMMYFUNCTION("""COMPUTED_VALUE"""),"[Nhãn] GC - IV - 1619 - Cty GNH (A.Thời ) - Manco Green (Bột xanh) - 1kg - 20")</f>
        <v>[Nhãn] GC - IV - 1619 - Cty GNH (A.Thời ) - Manco Green (Bột xanh) - 1kg - 20</v>
      </c>
      <c r="E2155" s="87" t="str">
        <f>IFERROR(__xludf.DUMMYFUNCTION("""COMPUTED_VALUE"""),"MANCOBGO 80WP")</f>
        <v>MANCOBGO 80WP</v>
      </c>
      <c r="F2155" s="87" t="str">
        <f>IFERROR(__xludf.DUMMYFUNCTION("""COMPUTED_VALUE"""),"HH1619")</f>
        <v>HH1619</v>
      </c>
      <c r="G2155" s="87" t="str">
        <f>IFERROR(__xludf.DUMMYFUNCTION("""COMPUTED_VALUE"""),"GC - IV - 1619 - Cty GNH (A.Thời ) - Manco Green (Bột xanh) - 1kg - 20")</f>
        <v>GC - IV - 1619 - Cty GNH (A.Thời ) - Manco Green (Bột xanh) - 1kg - 20</v>
      </c>
    </row>
    <row r="2156">
      <c r="A2156" s="86">
        <f>IFERROR(__xludf.DUMMYFUNCTION("""COMPUTED_VALUE"""),2154.0)</f>
        <v>2154</v>
      </c>
      <c r="B2156" s="87" t="str">
        <f>IFERROR(__xludf.DUMMYFUNCTION("""COMPUTED_VALUE"""),"Nhãn thùng")</f>
        <v>Nhãn thùng</v>
      </c>
      <c r="C2156" s="87" t="str">
        <f>IFERROR(__xludf.DUMMYFUNCTION("""COMPUTED_VALUE"""),"NDT1619")</f>
        <v>NDT1619</v>
      </c>
      <c r="D2156" s="87" t="str">
        <f>IFERROR(__xludf.DUMMYFUNCTION("""COMPUTED_VALUE"""),"[Nhãn thùng] GC - IV - 1619 - Cty GNH (A.Thời ) - Manco Green (Bột xanh) - 1kg - 20")</f>
        <v>[Nhãn thùng] GC - IV - 1619 - Cty GNH (A.Thời ) - Manco Green (Bột xanh) - 1kg - 20</v>
      </c>
      <c r="E2156" s="87" t="str">
        <f>IFERROR(__xludf.DUMMYFUNCTION("""COMPUTED_VALUE"""),"MANCOBGO 80WP")</f>
        <v>MANCOBGO 80WP</v>
      </c>
      <c r="F2156" s="87" t="str">
        <f>IFERROR(__xludf.DUMMYFUNCTION("""COMPUTED_VALUE"""),"HH1619")</f>
        <v>HH1619</v>
      </c>
      <c r="G2156" s="87" t="str">
        <f>IFERROR(__xludf.DUMMYFUNCTION("""COMPUTED_VALUE"""),"GC - IV - 1619 - Cty GNH (A.Thời ) - Manco Green (Bột xanh) - 1kg - 20")</f>
        <v>GC - IV - 1619 - Cty GNH (A.Thời ) - Manco Green (Bột xanh) - 1kg - 20</v>
      </c>
    </row>
    <row r="2157">
      <c r="A2157" s="86">
        <f>IFERROR(__xludf.DUMMYFUNCTION("""COMPUTED_VALUE"""),2155.0)</f>
        <v>2155</v>
      </c>
      <c r="B2157" s="87" t="str">
        <f>IFERROR(__xludf.DUMMYFUNCTION("""COMPUTED_VALUE"""),"Nhãn")</f>
        <v>Nhãn</v>
      </c>
      <c r="C2157" s="87" t="str">
        <f>IFERROR(__xludf.DUMMYFUNCTION("""COMPUTED_VALUE"""),"NTN1621")</f>
        <v>NTN1621</v>
      </c>
      <c r="D2157" s="87" t="str">
        <f>IFERROR(__xludf.DUMMYFUNCTION("""COMPUTED_VALUE"""),"[Nhãn] GC - IV - 1621 - A.Diễn Cty Sen Hồng - MANCO XANH(Bột xanh) - 100gr - 100")</f>
        <v>[Nhãn] GC - IV - 1621 - A.Diễn Cty Sen Hồng - MANCO XANH(Bột xanh) - 100gr - 100</v>
      </c>
      <c r="E2157" s="87" t="str">
        <f>IFERROR(__xludf.DUMMYFUNCTION("""COMPUTED_VALUE"""),"MANCOBGO 80WP")</f>
        <v>MANCOBGO 80WP</v>
      </c>
      <c r="F2157" s="87" t="str">
        <f>IFERROR(__xludf.DUMMYFUNCTION("""COMPUTED_VALUE"""),"HH1621")</f>
        <v>HH1621</v>
      </c>
      <c r="G2157" s="87" t="str">
        <f>IFERROR(__xludf.DUMMYFUNCTION("""COMPUTED_VALUE"""),"GC - IV - 1621 - A.Diễn Cty Sen Hồng - MANCO XANH(Bột xanh) - 100gr - 100")</f>
        <v>GC - IV - 1621 - A.Diễn Cty Sen Hồng - MANCO XANH(Bột xanh) - 100gr - 100</v>
      </c>
    </row>
    <row r="2158">
      <c r="A2158" s="86">
        <f>IFERROR(__xludf.DUMMYFUNCTION("""COMPUTED_VALUE"""),2156.0)</f>
        <v>2156</v>
      </c>
      <c r="B2158" s="87" t="str">
        <f>IFERROR(__xludf.DUMMYFUNCTION("""COMPUTED_VALUE"""),"Nhãn thùng")</f>
        <v>Nhãn thùng</v>
      </c>
      <c r="C2158" s="87" t="str">
        <f>IFERROR(__xludf.DUMMYFUNCTION("""COMPUTED_VALUE"""),"NDT1621")</f>
        <v>NDT1621</v>
      </c>
      <c r="D2158" s="87" t="str">
        <f>IFERROR(__xludf.DUMMYFUNCTION("""COMPUTED_VALUE"""),"[Nhãn thùng] GC - IV - 1621 - A.Diễn Cty Sen Hồng - MANCO XANH(Bột xanh) - 100gr - 100")</f>
        <v>[Nhãn thùng] GC - IV - 1621 - A.Diễn Cty Sen Hồng - MANCO XANH(Bột xanh) - 100gr - 100</v>
      </c>
      <c r="E2158" s="87" t="str">
        <f>IFERROR(__xludf.DUMMYFUNCTION("""COMPUTED_VALUE"""),"MANCOBGO 80WP")</f>
        <v>MANCOBGO 80WP</v>
      </c>
      <c r="F2158" s="87" t="str">
        <f>IFERROR(__xludf.DUMMYFUNCTION("""COMPUTED_VALUE"""),"HH1621")</f>
        <v>HH1621</v>
      </c>
      <c r="G2158" s="87" t="str">
        <f>IFERROR(__xludf.DUMMYFUNCTION("""COMPUTED_VALUE"""),"GC - IV - 1621 - A.Diễn Cty Sen Hồng - MANCO XANH(Bột xanh) - 100gr - 100")</f>
        <v>GC - IV - 1621 - A.Diễn Cty Sen Hồng - MANCO XANH(Bột xanh) - 100gr - 100</v>
      </c>
    </row>
    <row r="2159">
      <c r="A2159" s="86">
        <f>IFERROR(__xludf.DUMMYFUNCTION("""COMPUTED_VALUE"""),2157.0)</f>
        <v>2157</v>
      </c>
      <c r="B2159" s="87" t="str">
        <f>IFERROR(__xludf.DUMMYFUNCTION("""COMPUTED_VALUE"""),"Nhãn")</f>
        <v>Nhãn</v>
      </c>
      <c r="C2159" s="87" t="str">
        <f>IFERROR(__xludf.DUMMYFUNCTION("""COMPUTED_VALUE"""),"NTN1622")</f>
        <v>NTN1622</v>
      </c>
      <c r="D2159" s="87" t="str">
        <f>IFERROR(__xludf.DUMMYFUNCTION("""COMPUTED_VALUE"""),"[Nhãn] GC - IV - 1622 - A.Diễn Cty Sen Hồng - MANCO GREEN(Bột xanh) - 1kg - 20")</f>
        <v>[Nhãn] GC - IV - 1622 - A.Diễn Cty Sen Hồng - MANCO GREEN(Bột xanh) - 1kg - 20</v>
      </c>
      <c r="E2159" s="87" t="str">
        <f>IFERROR(__xludf.DUMMYFUNCTION("""COMPUTED_VALUE"""),"MANCOBGO 80WP")</f>
        <v>MANCOBGO 80WP</v>
      </c>
      <c r="F2159" s="87" t="str">
        <f>IFERROR(__xludf.DUMMYFUNCTION("""COMPUTED_VALUE"""),"HH1622")</f>
        <v>HH1622</v>
      </c>
      <c r="G2159" s="87" t="str">
        <f>IFERROR(__xludf.DUMMYFUNCTION("""COMPUTED_VALUE"""),"GC - IV - 1622 - A.Diễn Cty Sen Hồng - MANCO GREEN(Bột xanh) - 1kg - 20")</f>
        <v>GC - IV - 1622 - A.Diễn Cty Sen Hồng - MANCO GREEN(Bột xanh) - 1kg - 20</v>
      </c>
    </row>
    <row r="2160">
      <c r="A2160" s="86">
        <f>IFERROR(__xludf.DUMMYFUNCTION("""COMPUTED_VALUE"""),2158.0)</f>
        <v>2158</v>
      </c>
      <c r="B2160" s="87" t="str">
        <f>IFERROR(__xludf.DUMMYFUNCTION("""COMPUTED_VALUE"""),"Nhãn")</f>
        <v>Nhãn</v>
      </c>
      <c r="C2160" s="87" t="str">
        <f>IFERROR(__xludf.DUMMYFUNCTION("""COMPUTED_VALUE"""),"NDT1622")</f>
        <v>NDT1622</v>
      </c>
      <c r="D2160" s="87" t="str">
        <f>IFERROR(__xludf.DUMMYFUNCTION("""COMPUTED_VALUE"""),"[Nhãn] GC - IV - 1622 - A.Diễn Cty Sen Hồng - MANCO GREEN(Bột xanh) - 1kg - 20")</f>
        <v>[Nhãn] GC - IV - 1622 - A.Diễn Cty Sen Hồng - MANCO GREEN(Bột xanh) - 1kg - 20</v>
      </c>
      <c r="E2160" s="87" t="str">
        <f>IFERROR(__xludf.DUMMYFUNCTION("""COMPUTED_VALUE"""),"MANCOBGO 80WP")</f>
        <v>MANCOBGO 80WP</v>
      </c>
      <c r="F2160" s="87" t="str">
        <f>IFERROR(__xludf.DUMMYFUNCTION("""COMPUTED_VALUE"""),"HH1622")</f>
        <v>HH1622</v>
      </c>
      <c r="G2160" s="87" t="str">
        <f>IFERROR(__xludf.DUMMYFUNCTION("""COMPUTED_VALUE"""),"GC - IV - 1622 - A.Diễn Cty Sen Hồng - MANCO GREEN(Bột xanh) - 1kg - 20")</f>
        <v>GC - IV - 1622 - A.Diễn Cty Sen Hồng - MANCO GREEN(Bột xanh) - 1kg - 20</v>
      </c>
    </row>
    <row r="2161">
      <c r="A2161" s="86">
        <f>IFERROR(__xludf.DUMMYFUNCTION("""COMPUTED_VALUE"""),2159.0)</f>
        <v>2159</v>
      </c>
      <c r="B2161" s="87" t="str">
        <f>IFERROR(__xludf.DUMMYFUNCTION("""COMPUTED_VALUE"""),"Nhãn")</f>
        <v>Nhãn</v>
      </c>
      <c r="C2161" s="87" t="str">
        <f>IFERROR(__xludf.DUMMYFUNCTION("""COMPUTED_VALUE"""),"NTN1623")</f>
        <v>NTN1623</v>
      </c>
      <c r="D2161" s="87" t="str">
        <f>IFERROR(__xludf.DUMMYFUNCTION("""COMPUTED_VALUE"""),"[Nhãn] GC - IV - 1623 - A.Diễn Cty Sen Hồng - MANCO GREEN (Bột xanh) - 1kg - 20")</f>
        <v>[Nhãn] GC - IV - 1623 - A.Diễn Cty Sen Hồng - MANCO GREEN (Bột xanh) - 1kg - 20</v>
      </c>
      <c r="E2161" s="87" t="str">
        <f>IFERROR(__xludf.DUMMYFUNCTION("""COMPUTED_VALUE"""),"MANCOBGO 80WP")</f>
        <v>MANCOBGO 80WP</v>
      </c>
      <c r="F2161" s="87" t="str">
        <f>IFERROR(__xludf.DUMMYFUNCTION("""COMPUTED_VALUE"""),"HH1623")</f>
        <v>HH1623</v>
      </c>
      <c r="G2161" s="87" t="str">
        <f>IFERROR(__xludf.DUMMYFUNCTION("""COMPUTED_VALUE"""),"GC - IV - 1623 - A.Diễn Cty Sen Hồng - MANCO GREEN (Bột xanh) - 1kg - 20")</f>
        <v>GC - IV - 1623 - A.Diễn Cty Sen Hồng - MANCO GREEN (Bột xanh) - 1kg - 20</v>
      </c>
    </row>
    <row r="2162">
      <c r="A2162" s="86">
        <f>IFERROR(__xludf.DUMMYFUNCTION("""COMPUTED_VALUE"""),2160.0)</f>
        <v>2160</v>
      </c>
      <c r="B2162" s="87" t="str">
        <f>IFERROR(__xludf.DUMMYFUNCTION("""COMPUTED_VALUE"""),"Nhãn")</f>
        <v>Nhãn</v>
      </c>
      <c r="C2162" s="87" t="str">
        <f>IFERROR(__xludf.DUMMYFUNCTION("""COMPUTED_VALUE"""),"NDT1623")</f>
        <v>NDT1623</v>
      </c>
      <c r="D2162" s="87" t="str">
        <f>IFERROR(__xludf.DUMMYFUNCTION("""COMPUTED_VALUE"""),"[Nhãn] GC - IV - 1623 - A.Diễn Cty Sen Hồng - MANCO GREEN (Bột xanh) - 1kg - 20")</f>
        <v>[Nhãn] GC - IV - 1623 - A.Diễn Cty Sen Hồng - MANCO GREEN (Bột xanh) - 1kg - 20</v>
      </c>
      <c r="E2162" s="87" t="str">
        <f>IFERROR(__xludf.DUMMYFUNCTION("""COMPUTED_VALUE"""),"MANCOBGO 80WP")</f>
        <v>MANCOBGO 80WP</v>
      </c>
      <c r="F2162" s="87" t="str">
        <f>IFERROR(__xludf.DUMMYFUNCTION("""COMPUTED_VALUE"""),"HH1623")</f>
        <v>HH1623</v>
      </c>
      <c r="G2162" s="87" t="str">
        <f>IFERROR(__xludf.DUMMYFUNCTION("""COMPUTED_VALUE"""),"GC - IV - 1623 - A.Diễn Cty Sen Hồng - MANCO GREEN (Bột xanh) - 1kg - 20")</f>
        <v>GC - IV - 1623 - A.Diễn Cty Sen Hồng - MANCO GREEN (Bột xanh) - 1kg - 20</v>
      </c>
    </row>
    <row r="2163">
      <c r="A2163" s="86">
        <f>IFERROR(__xludf.DUMMYFUNCTION("""COMPUTED_VALUE"""),2161.0)</f>
        <v>2161</v>
      </c>
      <c r="B2163" s="87" t="str">
        <f>IFERROR(__xludf.DUMMYFUNCTION("""COMPUTED_VALUE"""),"Nhãn")</f>
        <v>Nhãn</v>
      </c>
      <c r="C2163" s="87" t="str">
        <f>IFERROR(__xludf.DUMMYFUNCTION("""COMPUTED_VALUE"""),"NHD1624")</f>
        <v>NHD1624</v>
      </c>
      <c r="D2163" s="87" t="str">
        <f>IFERROR(__xludf.DUMMYFUNCTION("""COMPUTED_VALUE"""),"[Nhãn] GC - II - 1624 - ĐL Tuấn Hòa - EXTRA KQ (gel nâu đen) - 20kg - 1")</f>
        <v>[Nhãn] GC - II - 1624 - ĐL Tuấn Hòa - EXTRA KQ (gel nâu đen) - 20kg - 1</v>
      </c>
      <c r="E2163" s="87" t="str">
        <f>IFERROR(__xludf.DUMMYFUNCTION("""COMPUTED_VALUE"""),"Vi lượng Quantity New")</f>
        <v>Vi lượng Quantity New</v>
      </c>
      <c r="F2163" s="87" t="str">
        <f>IFERROR(__xludf.DUMMYFUNCTION("""COMPUTED_VALUE"""),"HH1624")</f>
        <v>HH1624</v>
      </c>
      <c r="G2163" s="87" t="str">
        <f>IFERROR(__xludf.DUMMYFUNCTION("""COMPUTED_VALUE"""),"GC - II - 1624 - ĐL Tuấn Hòa - EXTRA KQ (gel nâu đen) - 20kg - 1")</f>
        <v>GC - II - 1624 - ĐL Tuấn Hòa - EXTRA KQ (gel nâu đen) - 20kg - 1</v>
      </c>
    </row>
    <row r="2164">
      <c r="A2164" s="86">
        <f>IFERROR(__xludf.DUMMYFUNCTION("""COMPUTED_VALUE"""),2162.0)</f>
        <v>2162</v>
      </c>
      <c r="B2164" s="87" t="str">
        <f>IFERROR(__xludf.DUMMYFUNCTION("""COMPUTED_VALUE"""),"Nhãn")</f>
        <v>Nhãn</v>
      </c>
      <c r="C2164" s="87" t="str">
        <f>IFERROR(__xludf.DUMMYFUNCTION("""COMPUTED_VALUE"""),"NHG1625")</f>
        <v>NHG1625</v>
      </c>
      <c r="D2164" s="87" t="str">
        <f>IFERROR(__xludf.DUMMYFUNCTION("""COMPUTED_VALUE"""),"[Nhãn] GC - II - 1625 - AGC - BOCAX (nước vàng) - 500ml - 40")</f>
        <v>[Nhãn] GC - II - 1625 - AGC - BOCAX (nước vàng) - 500ml - 40</v>
      </c>
      <c r="E2164" s="87" t="str">
        <f>IFERROR(__xludf.DUMMYFUNCTION("""COMPUTED_VALUE"""),"Vi lượng Run Fast")</f>
        <v>Vi lượng Run Fast</v>
      </c>
      <c r="F2164" s="87" t="str">
        <f>IFERROR(__xludf.DUMMYFUNCTION("""COMPUTED_VALUE"""),"HH1625")</f>
        <v>HH1625</v>
      </c>
      <c r="G2164" s="87" t="str">
        <f>IFERROR(__xludf.DUMMYFUNCTION("""COMPUTED_VALUE"""),"GC - II - 1625 - AGC - BOCAX (nước vàng) - 500ml - 40")</f>
        <v>GC - II - 1625 - AGC - BOCAX (nước vàng) - 500ml - 40</v>
      </c>
    </row>
    <row r="2165">
      <c r="A2165" s="86">
        <f>IFERROR(__xludf.DUMMYFUNCTION("""COMPUTED_VALUE"""),2163.0)</f>
        <v>2163</v>
      </c>
      <c r="B2165" s="87" t="str">
        <f>IFERROR(__xludf.DUMMYFUNCTION("""COMPUTED_VALUE"""),"Nhãn")</f>
        <v>Nhãn</v>
      </c>
      <c r="C2165" s="87" t="str">
        <f>IFERROR(__xludf.DUMMYFUNCTION("""COMPUTED_VALUE"""),"NTN1626")</f>
        <v>NTN1626</v>
      </c>
      <c r="D2165" s="87" t="str">
        <f>IFERROR(__xludf.DUMMYFUNCTION("""COMPUTED_VALUE"""),"[Nhãn] GC - IV - 1626 - Cty GNH (A.Thời) - Lân 86(bột trắng) - 1kg - 25")</f>
        <v>[Nhãn] GC - IV - 1626 - Cty GNH (A.Thời) - Lân 86(bột trắng) - 1kg - 25</v>
      </c>
      <c r="E2165" s="87" t="str">
        <f>IFERROR(__xludf.DUMMYFUNCTION("""COMPUTED_VALUE"""),"Vi lượng Yellow Farm")</f>
        <v>Vi lượng Yellow Farm</v>
      </c>
      <c r="F2165" s="87" t="str">
        <f>IFERROR(__xludf.DUMMYFUNCTION("""COMPUTED_VALUE"""),"HH1626")</f>
        <v>HH1626</v>
      </c>
      <c r="G2165" s="87" t="str">
        <f>IFERROR(__xludf.DUMMYFUNCTION("""COMPUTED_VALUE"""),"GC - IV - 1626 - Cty GNH (A.Thời) - Lân 86(bột trắng) - 1kg - 25")</f>
        <v>GC - IV - 1626 - Cty GNH (A.Thời) - Lân 86(bột trắng) - 1kg - 25</v>
      </c>
    </row>
    <row r="2166">
      <c r="A2166" s="86">
        <f>IFERROR(__xludf.DUMMYFUNCTION("""COMPUTED_VALUE"""),2164.0)</f>
        <v>2164</v>
      </c>
      <c r="B2166" s="87" t="str">
        <f>IFERROR(__xludf.DUMMYFUNCTION("""COMPUTED_VALUE"""),"Nhãn thùng")</f>
        <v>Nhãn thùng</v>
      </c>
      <c r="C2166" s="87" t="str">
        <f>IFERROR(__xludf.DUMMYFUNCTION("""COMPUTED_VALUE"""),"NDT1626")</f>
        <v>NDT1626</v>
      </c>
      <c r="D2166" s="87" t="str">
        <f>IFERROR(__xludf.DUMMYFUNCTION("""COMPUTED_VALUE"""),"[Nhãn thùng] GC - IV - 1626 - Cty GNH (A.Thời) - Lân 86(bột trắng) - 1kg - 25")</f>
        <v>[Nhãn thùng] GC - IV - 1626 - Cty GNH (A.Thời) - Lân 86(bột trắng) - 1kg - 25</v>
      </c>
      <c r="E2166" s="87" t="str">
        <f>IFERROR(__xludf.DUMMYFUNCTION("""COMPUTED_VALUE"""),"Vi lượng Yellow Farm")</f>
        <v>Vi lượng Yellow Farm</v>
      </c>
      <c r="F2166" s="87" t="str">
        <f>IFERROR(__xludf.DUMMYFUNCTION("""COMPUTED_VALUE"""),"HH1626")</f>
        <v>HH1626</v>
      </c>
      <c r="G2166" s="87" t="str">
        <f>IFERROR(__xludf.DUMMYFUNCTION("""COMPUTED_VALUE"""),"GC - IV - 1626 - Cty GNH (A.Thời) - Lân 86(bột trắng) - 1kg - 25")</f>
        <v>GC - IV - 1626 - Cty GNH (A.Thời) - Lân 86(bột trắng) - 1kg - 25</v>
      </c>
    </row>
    <row r="2167">
      <c r="A2167" s="86">
        <f>IFERROR(__xludf.DUMMYFUNCTION("""COMPUTED_VALUE"""),2165.0)</f>
        <v>2165</v>
      </c>
      <c r="B2167" s="87" t="str">
        <f>IFERROR(__xludf.DUMMYFUNCTION("""COMPUTED_VALUE"""),"Nhãn")</f>
        <v>Nhãn</v>
      </c>
      <c r="C2167" s="87" t="str">
        <f>IFERROR(__xludf.DUMMYFUNCTION("""COMPUTED_VALUE"""),"NHG1627")</f>
        <v>NHG1627</v>
      </c>
      <c r="D2167" s="87" t="str">
        <f>IFERROR(__xludf.DUMMYFUNCTION("""COMPUTED_VALUE"""),"[Nhãn] GC - IV - 1627 - Cty PGT - Diệt cỏ A-Z (nước đỏ) - 900ml - 20")</f>
        <v>[Nhãn] GC - IV - 1627 - Cty PGT - Diệt cỏ A-Z (nước đỏ) - 900ml - 20</v>
      </c>
      <c r="E2167" s="87" t="str">
        <f>IFERROR(__xludf.DUMMYFUNCTION("""COMPUTED_VALUE"""),"Asupergras 200SL")</f>
        <v>Asupergras 200SL</v>
      </c>
      <c r="F2167" s="87" t="str">
        <f>IFERROR(__xludf.DUMMYFUNCTION("""COMPUTED_VALUE"""),"HH1627")</f>
        <v>HH1627</v>
      </c>
      <c r="G2167" s="87" t="str">
        <f>IFERROR(__xludf.DUMMYFUNCTION("""COMPUTED_VALUE"""),"GC - IV - 1627 - Cty PGT - Diệt cỏ A-Z (nước đỏ) - 900ml - 20")</f>
        <v>GC - IV - 1627 - Cty PGT - Diệt cỏ A-Z (nước đỏ) - 900ml - 20</v>
      </c>
    </row>
    <row r="2168">
      <c r="A2168" s="86">
        <f>IFERROR(__xludf.DUMMYFUNCTION("""COMPUTED_VALUE"""),2166.0)</f>
        <v>2166</v>
      </c>
      <c r="B2168" s="87" t="str">
        <f>IFERROR(__xludf.DUMMYFUNCTION("""COMPUTED_VALUE"""),"Nhãn")</f>
        <v>Nhãn</v>
      </c>
      <c r="C2168" s="87" t="str">
        <f>IFERROR(__xludf.DUMMYFUNCTION("""COMPUTED_VALUE"""),"NHD1628")</f>
        <v>NHD1628</v>
      </c>
      <c r="D2168" s="87" t="str">
        <f>IFERROR(__xludf.DUMMYFUNCTION("""COMPUTED_VALUE"""),"[Nhãn] NB - I - 1628 - Cty Nông Dược Sunrise - 3.6 Sunrise (nước nâu đen) - 450ml - 40")</f>
        <v>[Nhãn] NB - I - 1628 - Cty Nông Dược Sunrise - 3.6 Sunrise (nước nâu đen) - 450ml - 40</v>
      </c>
      <c r="E2168" s="87" t="str">
        <f>IFERROR(__xludf.DUMMYFUNCTION("""COMPUTED_VALUE"""),"HAIHAMEC 3.6EC")</f>
        <v>HAIHAMEC 3.6EC</v>
      </c>
      <c r="F2168" s="87" t="str">
        <f>IFERROR(__xludf.DUMMYFUNCTION("""COMPUTED_VALUE"""),"HH1628")</f>
        <v>HH1628</v>
      </c>
      <c r="G2168" s="87" t="str">
        <f>IFERROR(__xludf.DUMMYFUNCTION("""COMPUTED_VALUE"""),"NB - I - 1628 - Cty Nông Dược Sunrise - 3.6 Sunrise (nước nâu đen) - 450ml - 40")</f>
        <v>NB - I - 1628 - Cty Nông Dược Sunrise - 3.6 Sunrise (nước nâu đen) - 450ml - 40</v>
      </c>
    </row>
    <row r="2169">
      <c r="A2169" s="86">
        <f>IFERROR(__xludf.DUMMYFUNCTION("""COMPUTED_VALUE"""),2167.0)</f>
        <v>2167</v>
      </c>
      <c r="B2169" s="87" t="str">
        <f>IFERROR(__xludf.DUMMYFUNCTION("""COMPUTED_VALUE"""),"Nhãn")</f>
        <v>Nhãn</v>
      </c>
      <c r="C2169" s="87" t="str">
        <f>IFERROR(__xludf.DUMMYFUNCTION("""COMPUTED_VALUE"""),"NHG1629")</f>
        <v>NHG1629</v>
      </c>
      <c r="D2169" s="87" t="str">
        <f>IFERROR(__xludf.DUMMYFUNCTION("""COMPUTED_VALUE"""),"[Nhãn] GC - II - 1629 - TOP NORU (nước nâu đen) - 500ml - 40")</f>
        <v>[Nhãn] GC - II - 1629 - TOP NORU (nước nâu đen) - 500ml - 40</v>
      </c>
      <c r="E2169" s="87" t="str">
        <f>IFERROR(__xludf.DUMMYFUNCTION("""COMPUTED_VALUE"""),"Vi lượng Run Fast")</f>
        <v>Vi lượng Run Fast</v>
      </c>
      <c r="F2169" s="87" t="str">
        <f>IFERROR(__xludf.DUMMYFUNCTION("""COMPUTED_VALUE"""),"HH1629")</f>
        <v>HH1629</v>
      </c>
      <c r="G2169" s="87" t="str">
        <f>IFERROR(__xludf.DUMMYFUNCTION("""COMPUTED_VALUE"""),"GC - II - 1629 - TOP NORU (nước nâu đen) - 500ml - 40")</f>
        <v>GC - II - 1629 - TOP NORU (nước nâu đen) - 500ml - 40</v>
      </c>
    </row>
    <row r="2170">
      <c r="A2170" s="86">
        <f>IFERROR(__xludf.DUMMYFUNCTION("""COMPUTED_VALUE"""),2168.0)</f>
        <v>2168</v>
      </c>
      <c r="B2170" s="87" t="str">
        <f>IFERROR(__xludf.DUMMYFUNCTION("""COMPUTED_VALUE"""),"Nhãn")</f>
        <v>Nhãn</v>
      </c>
      <c r="C2170" s="87" t="str">
        <f>IFERROR(__xludf.DUMMYFUNCTION("""COMPUTED_VALUE"""),"NHG1630")</f>
        <v>NHG1630</v>
      </c>
      <c r="D2170" s="87" t="str">
        <f>IFERROR(__xludf.DUMMYFUNCTION("""COMPUTED_VALUE"""),"#N/A")</f>
        <v>#N/A</v>
      </c>
      <c r="E2170" s="87"/>
      <c r="F2170" s="87" t="str">
        <f>IFERROR(__xludf.DUMMYFUNCTION("""COMPUTED_VALUE"""),"HH1630")</f>
        <v>HH1630</v>
      </c>
      <c r="G2170" s="87"/>
    </row>
    <row r="2171">
      <c r="A2171" s="86">
        <f>IFERROR(__xludf.DUMMYFUNCTION("""COMPUTED_VALUE"""),2169.0)</f>
        <v>2169</v>
      </c>
      <c r="B2171" s="87" t="str">
        <f>IFERROR(__xludf.DUMMYFUNCTION("""COMPUTED_VALUE"""),"Nhãn")</f>
        <v>Nhãn</v>
      </c>
      <c r="C2171" s="87" t="str">
        <f>IFERROR(__xludf.DUMMYFUNCTION("""COMPUTED_VALUE"""),"NHG1631")</f>
        <v>NHG1631</v>
      </c>
      <c r="D2171" s="87" t="str">
        <f>IFERROR(__xludf.DUMMYFUNCTION("""COMPUTED_VALUE"""),"[Nhãn] GC - IV - 1631 - Cty Hitaco - Glufosinate (nước đỏ) - 900ml - 20")</f>
        <v>[Nhãn] GC - IV - 1631 - Cty Hitaco - Glufosinate (nước đỏ) - 900ml - 20</v>
      </c>
      <c r="E2171" s="87" t="str">
        <f>IFERROR(__xludf.DUMMYFUNCTION("""COMPUTED_VALUE"""),"NEWFOSINATE 150SL")</f>
        <v>NEWFOSINATE 150SL</v>
      </c>
      <c r="F2171" s="87" t="str">
        <f>IFERROR(__xludf.DUMMYFUNCTION("""COMPUTED_VALUE"""),"HH1631")</f>
        <v>HH1631</v>
      </c>
      <c r="G2171" s="87" t="str">
        <f>IFERROR(__xludf.DUMMYFUNCTION("""COMPUTED_VALUE"""),"GC - IV - 1631 - Cty Hitaco - Glufosinate (nước đỏ) - 900ml - 20")</f>
        <v>GC - IV - 1631 - Cty Hitaco - Glufosinate (nước đỏ) - 900ml - 20</v>
      </c>
    </row>
    <row r="2172">
      <c r="A2172" s="86">
        <f>IFERROR(__xludf.DUMMYFUNCTION("""COMPUTED_VALUE"""),2170.0)</f>
        <v>2170</v>
      </c>
      <c r="B2172" s="87" t="str">
        <f>IFERROR(__xludf.DUMMYFUNCTION("""COMPUTED_VALUE"""),"Nhãn")</f>
        <v>Nhãn</v>
      </c>
      <c r="C2172" s="87" t="str">
        <f>IFERROR(__xludf.DUMMYFUNCTION("""COMPUTED_VALUE"""),"NHG1632")</f>
        <v>NHG1632</v>
      </c>
      <c r="D2172" s="87" t="str">
        <f>IFERROR(__xludf.DUMMYFUNCTION("""COMPUTED_VALUE"""),"[Nhãn] GC - II - 1632 - Cty Thành Công Agri - Master Green (nước trắng sữa) - 450ml - 40")</f>
        <v>[Nhãn] GC - II - 1632 - Cty Thành Công Agri - Master Green (nước trắng sữa) - 450ml - 40</v>
      </c>
      <c r="E2172" s="87" t="str">
        <f>IFERROR(__xludf.DUMMYFUNCTION("""COMPUTED_VALUE"""),"Vi lượng Basel IDA 46")</f>
        <v>Vi lượng Basel IDA 46</v>
      </c>
      <c r="F2172" s="87" t="str">
        <f>IFERROR(__xludf.DUMMYFUNCTION("""COMPUTED_VALUE"""),"HH1632")</f>
        <v>HH1632</v>
      </c>
      <c r="G2172" s="87" t="str">
        <f>IFERROR(__xludf.DUMMYFUNCTION("""COMPUTED_VALUE"""),"GC - II - 1632 - Cty Thành Công Agri - Master Green (nước trắng sữa) - 450ml - 40")</f>
        <v>GC - II - 1632 - Cty Thành Công Agri - Master Green (nước trắng sữa) - 450ml - 40</v>
      </c>
    </row>
    <row r="2173">
      <c r="A2173" s="86">
        <f>IFERROR(__xludf.DUMMYFUNCTION("""COMPUTED_VALUE"""),2171.0)</f>
        <v>2171</v>
      </c>
      <c r="B2173" s="87" t="str">
        <f>IFERROR(__xludf.DUMMYFUNCTION("""COMPUTED_VALUE"""),"Nhãn")</f>
        <v>Nhãn</v>
      </c>
      <c r="C2173" s="87" t="str">
        <f>IFERROR(__xludf.DUMMYFUNCTION("""COMPUTED_VALUE"""),"NHD1633")</f>
        <v>NHD1633</v>
      </c>
      <c r="D2173" s="87" t="str">
        <f>IFERROR(__xludf.DUMMYFUNCTION("""COMPUTED_VALUE"""),"[Nhãn] GC - II - 1633 - Cty Thành Công Agri - Master Bio Win(nước nâu đen) - 5L - 4")</f>
        <v>[Nhãn] GC - II - 1633 - Cty Thành Công Agri - Master Bio Win(nước nâu đen) - 5L - 4</v>
      </c>
      <c r="E2173" s="87" t="str">
        <f>IFERROR(__xludf.DUMMYFUNCTION("""COMPUTED_VALUE"""),"Vi lượng Quantity New")</f>
        <v>Vi lượng Quantity New</v>
      </c>
      <c r="F2173" s="87" t="str">
        <f>IFERROR(__xludf.DUMMYFUNCTION("""COMPUTED_VALUE"""),"HH1633")</f>
        <v>HH1633</v>
      </c>
      <c r="G2173" s="87" t="str">
        <f>IFERROR(__xludf.DUMMYFUNCTION("""COMPUTED_VALUE"""),"GC - II - 1633 - Cty Thành Công Agri - Master Bio Win(nước nâu đen) - 5L - 4")</f>
        <v>GC - II - 1633 - Cty Thành Công Agri - Master Bio Win(nước nâu đen) - 5L - 4</v>
      </c>
    </row>
    <row r="2174">
      <c r="A2174" s="86">
        <f>IFERROR(__xludf.DUMMYFUNCTION("""COMPUTED_VALUE"""),2172.0)</f>
        <v>2172</v>
      </c>
      <c r="B2174" s="87" t="str">
        <f>IFERROR(__xludf.DUMMYFUNCTION("""COMPUTED_VALUE"""),"Nhãn thùng")</f>
        <v>Nhãn thùng</v>
      </c>
      <c r="C2174" s="87" t="str">
        <f>IFERROR(__xludf.DUMMYFUNCTION("""COMPUTED_VALUE"""),"NDT1633")</f>
        <v>NDT1633</v>
      </c>
      <c r="D2174" s="87" t="str">
        <f>IFERROR(__xludf.DUMMYFUNCTION("""COMPUTED_VALUE"""),"[Nhãn thùng] GC - II - 1633 - Cty Thành Công Agri - Master Bio Win(nước nâu đen) - 5L - 4")</f>
        <v>[Nhãn thùng] GC - II - 1633 - Cty Thành Công Agri - Master Bio Win(nước nâu đen) - 5L - 4</v>
      </c>
      <c r="E2174" s="87" t="str">
        <f>IFERROR(__xludf.DUMMYFUNCTION("""COMPUTED_VALUE"""),"Vi lượng Quantity New")</f>
        <v>Vi lượng Quantity New</v>
      </c>
      <c r="F2174" s="87" t="str">
        <f>IFERROR(__xludf.DUMMYFUNCTION("""COMPUTED_VALUE"""),"HH1633")</f>
        <v>HH1633</v>
      </c>
      <c r="G2174" s="87" t="str">
        <f>IFERROR(__xludf.DUMMYFUNCTION("""COMPUTED_VALUE"""),"GC - II - 1633 - Cty Thành Công Agri - Master Bio Win(nước nâu đen) - 5L - 4")</f>
        <v>GC - II - 1633 - Cty Thành Công Agri - Master Bio Win(nước nâu đen) - 5L - 4</v>
      </c>
    </row>
    <row r="2175">
      <c r="A2175" s="86">
        <f>IFERROR(__xludf.DUMMYFUNCTION("""COMPUTED_VALUE"""),2173.0)</f>
        <v>2173</v>
      </c>
      <c r="B2175" s="87" t="str">
        <f>IFERROR(__xludf.DUMMYFUNCTION("""COMPUTED_VALUE"""),"Nhãn")</f>
        <v>Nhãn</v>
      </c>
      <c r="C2175" s="87" t="str">
        <f>IFERROR(__xludf.DUMMYFUNCTION("""COMPUTED_VALUE"""),"NTN1634")</f>
        <v>NTN1634</v>
      </c>
      <c r="D2175" s="87" t="str">
        <f>IFERROR(__xludf.DUMMYFUNCTION("""COMPUTED_VALUE"""),"[Nhãn] GC - II - 1634 - AGC - Manco Blue (bột xanh) - 1kg - 20")</f>
        <v>[Nhãn] GC - II - 1634 - AGC - Manco Blue (bột xanh) - 1kg - 20</v>
      </c>
      <c r="E2175" s="87" t="str">
        <f>IFERROR(__xludf.DUMMYFUNCTION("""COMPUTED_VALUE"""),"MANCOBGO 80WP")</f>
        <v>MANCOBGO 80WP</v>
      </c>
      <c r="F2175" s="87" t="str">
        <f>IFERROR(__xludf.DUMMYFUNCTION("""COMPUTED_VALUE"""),"HH1634")</f>
        <v>HH1634</v>
      </c>
      <c r="G2175" s="87" t="str">
        <f>IFERROR(__xludf.DUMMYFUNCTION("""COMPUTED_VALUE"""),"GC - II - 1634 - AGC - Manco Blue (bột xanh) - 1kg - 20")</f>
        <v>GC - II - 1634 - AGC - Manco Blue (bột xanh) - 1kg - 20</v>
      </c>
    </row>
    <row r="2176">
      <c r="A2176" s="86">
        <f>IFERROR(__xludf.DUMMYFUNCTION("""COMPUTED_VALUE"""),2174.0)</f>
        <v>2174</v>
      </c>
      <c r="B2176" s="87" t="str">
        <f>IFERROR(__xludf.DUMMYFUNCTION("""COMPUTED_VALUE"""),"Nhãn thùng")</f>
        <v>Nhãn thùng</v>
      </c>
      <c r="C2176" s="87" t="str">
        <f>IFERROR(__xludf.DUMMYFUNCTION("""COMPUTED_VALUE"""),"NDT1634")</f>
        <v>NDT1634</v>
      </c>
      <c r="D2176" s="87" t="str">
        <f>IFERROR(__xludf.DUMMYFUNCTION("""COMPUTED_VALUE"""),"[Nhãn thùng] GC - II - 1634 - AGC - Manco Blue (bột xanh) - 1kg - 20")</f>
        <v>[Nhãn thùng] GC - II - 1634 - AGC - Manco Blue (bột xanh) - 1kg - 20</v>
      </c>
      <c r="E2176" s="87" t="str">
        <f>IFERROR(__xludf.DUMMYFUNCTION("""COMPUTED_VALUE"""),"MANCOBGO 80WP")</f>
        <v>MANCOBGO 80WP</v>
      </c>
      <c r="F2176" s="87" t="str">
        <f>IFERROR(__xludf.DUMMYFUNCTION("""COMPUTED_VALUE"""),"HH1634")</f>
        <v>HH1634</v>
      </c>
      <c r="G2176" s="87" t="str">
        <f>IFERROR(__xludf.DUMMYFUNCTION("""COMPUTED_VALUE"""),"GC - II - 1634 - AGC - Manco Blue (bột xanh) - 1kg - 20")</f>
        <v>GC - II - 1634 - AGC - Manco Blue (bột xanh) - 1kg - 20</v>
      </c>
    </row>
    <row r="2177">
      <c r="A2177" s="86">
        <f>IFERROR(__xludf.DUMMYFUNCTION("""COMPUTED_VALUE"""),2175.0)</f>
        <v>2175</v>
      </c>
      <c r="B2177" s="87" t="str">
        <f>IFERROR(__xludf.DUMMYFUNCTION("""COMPUTED_VALUE"""),"Nhãn")</f>
        <v>Nhãn</v>
      </c>
      <c r="C2177" s="87" t="str">
        <f>IFERROR(__xludf.DUMMYFUNCTION("""COMPUTED_VALUE"""),"NTN1635")</f>
        <v>NTN1635</v>
      </c>
      <c r="D2177" s="87" t="str">
        <f>IFERROR(__xludf.DUMMYFUNCTION("""COMPUTED_VALUE"""),"[Nhãn] GC - II - 1635 - AGC - Mancozeb Xanh (bột xanh) - 1kg - 20")</f>
        <v>[Nhãn] GC - II - 1635 - AGC - Mancozeb Xanh (bột xanh) - 1kg - 20</v>
      </c>
      <c r="E2177" s="87" t="str">
        <f>IFERROR(__xludf.DUMMYFUNCTION("""COMPUTED_VALUE"""),"MANCOBGO 80WP")</f>
        <v>MANCOBGO 80WP</v>
      </c>
      <c r="F2177" s="87" t="str">
        <f>IFERROR(__xludf.DUMMYFUNCTION("""COMPUTED_VALUE"""),"HH1635")</f>
        <v>HH1635</v>
      </c>
      <c r="G2177" s="87" t="str">
        <f>IFERROR(__xludf.DUMMYFUNCTION("""COMPUTED_VALUE"""),"GC - II - 1635 - AGC - Mancozeb Xanh (bột xanh) - 1kg - 20")</f>
        <v>GC - II - 1635 - AGC - Mancozeb Xanh (bột xanh) - 1kg - 20</v>
      </c>
    </row>
    <row r="2178">
      <c r="A2178" s="86">
        <f>IFERROR(__xludf.DUMMYFUNCTION("""COMPUTED_VALUE"""),2176.0)</f>
        <v>2176</v>
      </c>
      <c r="B2178" s="87" t="str">
        <f>IFERROR(__xludf.DUMMYFUNCTION("""COMPUTED_VALUE"""),"Nhãn thùng")</f>
        <v>Nhãn thùng</v>
      </c>
      <c r="C2178" s="87" t="str">
        <f>IFERROR(__xludf.DUMMYFUNCTION("""COMPUTED_VALUE"""),"NDT1635")</f>
        <v>NDT1635</v>
      </c>
      <c r="D2178" s="87" t="str">
        <f>IFERROR(__xludf.DUMMYFUNCTION("""COMPUTED_VALUE"""),"[Nhãn thùng] GC - II - 1635 - AGC - Mancozeb Xanh (bột xanh) - 1kg - 20")</f>
        <v>[Nhãn thùng] GC - II - 1635 - AGC - Mancozeb Xanh (bột xanh) - 1kg - 20</v>
      </c>
      <c r="E2178" s="87" t="str">
        <f>IFERROR(__xludf.DUMMYFUNCTION("""COMPUTED_VALUE"""),"MANCOBGO 80WP")</f>
        <v>MANCOBGO 80WP</v>
      </c>
      <c r="F2178" s="87" t="str">
        <f>IFERROR(__xludf.DUMMYFUNCTION("""COMPUTED_VALUE"""),"HH1635")</f>
        <v>HH1635</v>
      </c>
      <c r="G2178" s="87" t="str">
        <f>IFERROR(__xludf.DUMMYFUNCTION("""COMPUTED_VALUE"""),"GC - II - 1635 - AGC - Mancozeb Xanh (bột xanh) - 1kg - 20")</f>
        <v>GC - II - 1635 - AGC - Mancozeb Xanh (bột xanh) - 1kg - 20</v>
      </c>
    </row>
    <row r="2179">
      <c r="A2179" s="86">
        <f>IFERROR(__xludf.DUMMYFUNCTION("""COMPUTED_VALUE"""),2177.0)</f>
        <v>2177</v>
      </c>
      <c r="B2179" s="87" t="str">
        <f>IFERROR(__xludf.DUMMYFUNCTION("""COMPUTED_VALUE"""),"Nhãn")</f>
        <v>Nhãn</v>
      </c>
      <c r="C2179" s="87" t="str">
        <f>IFERROR(__xludf.DUMMYFUNCTION("""COMPUTED_VALUE"""),"NTN1636")</f>
        <v>NTN1636</v>
      </c>
      <c r="D2179" s="87" t="str">
        <f>IFERROR(__xludf.DUMMYFUNCTION("""COMPUTED_VALUE"""),"[Nhãn] GC - II - 1636 - AGC - Mancozeb Vàng (bột vàng) - 1kg - 20")</f>
        <v>[Nhãn] GC - II - 1636 - AGC - Mancozeb Vàng (bột vàng) - 1kg - 20</v>
      </c>
      <c r="E2179" s="87" t="str">
        <f>IFERROR(__xludf.DUMMYFUNCTION("""COMPUTED_VALUE"""),"MANCOBGO 80WP")</f>
        <v>MANCOBGO 80WP</v>
      </c>
      <c r="F2179" s="87" t="str">
        <f>IFERROR(__xludf.DUMMYFUNCTION("""COMPUTED_VALUE"""),"HH1636")</f>
        <v>HH1636</v>
      </c>
      <c r="G2179" s="87" t="str">
        <f>IFERROR(__xludf.DUMMYFUNCTION("""COMPUTED_VALUE"""),"GC - II - 1636 - AGC - Mancozeb Vàng (bột vàng) - 1kg - 20")</f>
        <v>GC - II - 1636 - AGC - Mancozeb Vàng (bột vàng) - 1kg - 20</v>
      </c>
    </row>
    <row r="2180">
      <c r="A2180" s="86">
        <f>IFERROR(__xludf.DUMMYFUNCTION("""COMPUTED_VALUE"""),2178.0)</f>
        <v>2178</v>
      </c>
      <c r="B2180" s="87" t="str">
        <f>IFERROR(__xludf.DUMMYFUNCTION("""COMPUTED_VALUE"""),"Nhãn thùng")</f>
        <v>Nhãn thùng</v>
      </c>
      <c r="C2180" s="87" t="str">
        <f>IFERROR(__xludf.DUMMYFUNCTION("""COMPUTED_VALUE"""),"NDT1636")</f>
        <v>NDT1636</v>
      </c>
      <c r="D2180" s="87" t="str">
        <f>IFERROR(__xludf.DUMMYFUNCTION("""COMPUTED_VALUE"""),"[Nhãn thùng] GC - II - 1636 - AGC - Mancozeb Vàng (bột vàng) - 1kg - 20")</f>
        <v>[Nhãn thùng] GC - II - 1636 - AGC - Mancozeb Vàng (bột vàng) - 1kg - 20</v>
      </c>
      <c r="E2180" s="87" t="str">
        <f>IFERROR(__xludf.DUMMYFUNCTION("""COMPUTED_VALUE"""),"MANCOBGO 80WP")</f>
        <v>MANCOBGO 80WP</v>
      </c>
      <c r="F2180" s="87" t="str">
        <f>IFERROR(__xludf.DUMMYFUNCTION("""COMPUTED_VALUE"""),"HH1636")</f>
        <v>HH1636</v>
      </c>
      <c r="G2180" s="87" t="str">
        <f>IFERROR(__xludf.DUMMYFUNCTION("""COMPUTED_VALUE"""),"GC - II - 1636 - AGC - Mancozeb Vàng (bột vàng) - 1kg - 20")</f>
        <v>GC - II - 1636 - AGC - Mancozeb Vàng (bột vàng) - 1kg - 20</v>
      </c>
    </row>
    <row r="2181">
      <c r="A2181" s="86">
        <f>IFERROR(__xludf.DUMMYFUNCTION("""COMPUTED_VALUE"""),2179.0)</f>
        <v>2179</v>
      </c>
      <c r="B2181" s="87" t="str">
        <f>IFERROR(__xludf.DUMMYFUNCTION("""COMPUTED_VALUE"""),"Nhãn")</f>
        <v>Nhãn</v>
      </c>
      <c r="C2181" s="87" t="str">
        <f>IFERROR(__xludf.DUMMYFUNCTION("""COMPUTED_VALUE"""),"NTN1637")</f>
        <v>NTN1637</v>
      </c>
      <c r="D2181" s="87" t="str">
        <f>IFERROR(__xludf.DUMMYFUNCTION("""COMPUTED_VALUE"""),"[Nhãn] LOT IDA Global - I - 1637 - Mancozeb Xanh (Bột xanh) - 1kg - 20")</f>
        <v>[Nhãn] LOT IDA Global - I - 1637 - Mancozeb Xanh (Bột xanh) - 1kg - 20</v>
      </c>
      <c r="E2181" s="87" t="str">
        <f>IFERROR(__xludf.DUMMYFUNCTION("""COMPUTED_VALUE"""),"MANCOBGO 80WP")</f>
        <v>MANCOBGO 80WP</v>
      </c>
      <c r="F2181" s="87" t="str">
        <f>IFERROR(__xludf.DUMMYFUNCTION("""COMPUTED_VALUE"""),"HH1637")</f>
        <v>HH1637</v>
      </c>
      <c r="G2181" s="87" t="str">
        <f>IFERROR(__xludf.DUMMYFUNCTION("""COMPUTED_VALUE"""),"LOT IDA Global - I - 1637 - Mancozeb Xanh (Bột xanh) - 1kg - 20")</f>
        <v>LOT IDA Global - I - 1637 - Mancozeb Xanh (Bột xanh) - 1kg - 20</v>
      </c>
    </row>
    <row r="2182">
      <c r="A2182" s="86">
        <f>IFERROR(__xludf.DUMMYFUNCTION("""COMPUTED_VALUE"""),2180.0)</f>
        <v>2180</v>
      </c>
      <c r="B2182" s="87" t="str">
        <f>IFERROR(__xludf.DUMMYFUNCTION("""COMPUTED_VALUE"""),"Nhãn thùng")</f>
        <v>Nhãn thùng</v>
      </c>
      <c r="C2182" s="87" t="str">
        <f>IFERROR(__xludf.DUMMYFUNCTION("""COMPUTED_VALUE"""),"NDT1637")</f>
        <v>NDT1637</v>
      </c>
      <c r="D2182" s="87" t="str">
        <f>IFERROR(__xludf.DUMMYFUNCTION("""COMPUTED_VALUE"""),"[Nhãn thùng] LOT IDA Global - I - 1637 - Mancozeb Xanh (Bột xanh) - 1kg - 20")</f>
        <v>[Nhãn thùng] LOT IDA Global - I - 1637 - Mancozeb Xanh (Bột xanh) - 1kg - 20</v>
      </c>
      <c r="E2182" s="87" t="str">
        <f>IFERROR(__xludf.DUMMYFUNCTION("""COMPUTED_VALUE"""),"MANCOBGO 80WP")</f>
        <v>MANCOBGO 80WP</v>
      </c>
      <c r="F2182" s="87" t="str">
        <f>IFERROR(__xludf.DUMMYFUNCTION("""COMPUTED_VALUE"""),"HH1637")</f>
        <v>HH1637</v>
      </c>
      <c r="G2182" s="87" t="str">
        <f>IFERROR(__xludf.DUMMYFUNCTION("""COMPUTED_VALUE"""),"LOT IDA Global - I - 1637 - Mancozeb Xanh (Bột xanh) - 1kg - 20")</f>
        <v>LOT IDA Global - I - 1637 - Mancozeb Xanh (Bột xanh) - 1kg - 20</v>
      </c>
    </row>
    <row r="2183">
      <c r="A2183" s="86">
        <f>IFERROR(__xludf.DUMMYFUNCTION("""COMPUTED_VALUE"""),2181.0)</f>
        <v>2181</v>
      </c>
      <c r="B2183" s="87" t="str">
        <f>IFERROR(__xludf.DUMMYFUNCTION("""COMPUTED_VALUE"""),"Nhãn")</f>
        <v>Nhãn</v>
      </c>
      <c r="C2183" s="87" t="str">
        <f>IFERROR(__xludf.DUMMYFUNCTION("""COMPUTED_VALUE"""),"NHG1638")</f>
        <v>NHG1638</v>
      </c>
      <c r="D2183" s="87" t="str">
        <f>IFERROR(__xludf.DUMMYFUNCTION("""COMPUTED_VALUE"""),"[Nhãn] GC - IV - 1638 - A.Diễn Cty Sen Hồng - MUOIHANH (nước đỏ) - 450ml - 40")</f>
        <v>[Nhãn] GC - IV - 1638 - A.Diễn Cty Sen Hồng - MUOIHANH (nước đỏ) - 450ml - 40</v>
      </c>
      <c r="E2183" s="87" t="str">
        <f>IFERROR(__xludf.DUMMYFUNCTION("""COMPUTED_VALUE"""),"PYXOATE 44EC")</f>
        <v>PYXOATE 44EC</v>
      </c>
      <c r="F2183" s="87" t="str">
        <f>IFERROR(__xludf.DUMMYFUNCTION("""COMPUTED_VALUE"""),"HH1638")</f>
        <v>HH1638</v>
      </c>
      <c r="G2183" s="87" t="str">
        <f>IFERROR(__xludf.DUMMYFUNCTION("""COMPUTED_VALUE"""),"GC - IV - 1638 - A.Diễn Cty Sen Hồng - MUOIHANH (nước đỏ) - 450ml - 40")</f>
        <v>GC - IV - 1638 - A.Diễn Cty Sen Hồng - MUOIHANH (nước đỏ) - 450ml - 40</v>
      </c>
    </row>
    <row r="2184">
      <c r="A2184" s="86">
        <f>IFERROR(__xludf.DUMMYFUNCTION("""COMPUTED_VALUE"""),2182.0)</f>
        <v>2182</v>
      </c>
      <c r="B2184" s="87" t="str">
        <f>IFERROR(__xludf.DUMMYFUNCTION("""COMPUTED_VALUE"""),"Nhãn")</f>
        <v>Nhãn</v>
      </c>
      <c r="C2184" s="87" t="str">
        <f>IFERROR(__xludf.DUMMYFUNCTION("""COMPUTED_VALUE"""),"NHG1639")</f>
        <v>NHG1639</v>
      </c>
      <c r="D2184" s="87" t="str">
        <f>IFERROR(__xludf.DUMMYFUNCTION("""COMPUTED_VALUE"""),"[Nhãn] NB - K - 1639 - BMI - MEKONGVIL 5SC - DC EXTRA (Chai vàng) (Nước hồng) - 600ml - 40")</f>
        <v>[Nhãn] NB - K - 1639 - BMI - MEKONGVIL 5SC - DC EXTRA (Chai vàng) (Nước hồng) - 600ml - 40</v>
      </c>
      <c r="E2184" s="87" t="str">
        <f>IFERROR(__xludf.DUMMYFUNCTION("""COMPUTED_VALUE"""),"Mekongvil 5SC")</f>
        <v>Mekongvil 5SC</v>
      </c>
      <c r="F2184" s="87" t="str">
        <f>IFERROR(__xludf.DUMMYFUNCTION("""COMPUTED_VALUE"""),"HH1639")</f>
        <v>HH1639</v>
      </c>
      <c r="G2184" s="87" t="str">
        <f>IFERROR(__xludf.DUMMYFUNCTION("""COMPUTED_VALUE"""),"NB - K - 1639 - BMI - MEKONGVIL 5SC - DC EXTRA (Chai vàng) (Nước hồng) - 600ml - 40")</f>
        <v>NB - K - 1639 - BMI - MEKONGVIL 5SC - DC EXTRA (Chai vàng) (Nước hồng) - 600ml - 40</v>
      </c>
    </row>
    <row r="2185">
      <c r="A2185" s="86">
        <f>IFERROR(__xludf.DUMMYFUNCTION("""COMPUTED_VALUE"""),2183.0)</f>
        <v>2183</v>
      </c>
      <c r="B2185" s="87" t="str">
        <f>IFERROR(__xludf.DUMMYFUNCTION("""COMPUTED_VALUE"""),"Nhãn")</f>
        <v>Nhãn</v>
      </c>
      <c r="C2185" s="87" t="str">
        <f>IFERROR(__xludf.DUMMYFUNCTION("""COMPUTED_VALUE"""),"NHG1640")</f>
        <v>NHG1640</v>
      </c>
      <c r="D2185" s="87" t="str">
        <f>IFERROR(__xludf.DUMMYFUNCTION("""COMPUTED_VALUE"""),"[Nhãn] NB - K - 1640 - BMI - MEKONGVIL 5SC - EXTRA (Chai vàng) (Nước hồng) - 600ml - 40")</f>
        <v>[Nhãn] NB - K - 1640 - BMI - MEKONGVIL 5SC - EXTRA (Chai vàng) (Nước hồng) - 600ml - 40</v>
      </c>
      <c r="E2185" s="87" t="str">
        <f>IFERROR(__xludf.DUMMYFUNCTION("""COMPUTED_VALUE"""),"Mekongvil 5SC")</f>
        <v>Mekongvil 5SC</v>
      </c>
      <c r="F2185" s="87" t="str">
        <f>IFERROR(__xludf.DUMMYFUNCTION("""COMPUTED_VALUE"""),"HH1640")</f>
        <v>HH1640</v>
      </c>
      <c r="G2185" s="87" t="str">
        <f>IFERROR(__xludf.DUMMYFUNCTION("""COMPUTED_VALUE"""),"NB - K - 1640 - BMI - MEKONGVIL 5SC - EXTRA (Chai vàng) (Nước hồng) - 600ml - 40")</f>
        <v>NB - K - 1640 - BMI - MEKONGVIL 5SC - EXTRA (Chai vàng) (Nước hồng) - 600ml - 40</v>
      </c>
    </row>
    <row r="2186">
      <c r="A2186" s="86">
        <f>IFERROR(__xludf.DUMMYFUNCTION("""COMPUTED_VALUE"""),2184.0)</f>
        <v>2184</v>
      </c>
      <c r="B2186" s="87" t="str">
        <f>IFERROR(__xludf.DUMMYFUNCTION("""COMPUTED_VALUE"""),"Nhãn")</f>
        <v>Nhãn</v>
      </c>
      <c r="C2186" s="87" t="str">
        <f>IFERROR(__xludf.DUMMYFUNCTION("""COMPUTED_VALUE"""),"NTN1641")</f>
        <v>NTN1641</v>
      </c>
      <c r="D2186" s="87" t="str">
        <f>IFERROR(__xludf.DUMMYFUNCTION("""COMPUTED_VALUE"""),"[Nhãn] GC - II - 1641 - CSSX An Khang (A.Dinh) - MANCOBGO (bột xanh) - 1kg - 20")</f>
        <v>[Nhãn] GC - II - 1641 - CSSX An Khang (A.Dinh) - MANCOBGO (bột xanh) - 1kg - 20</v>
      </c>
      <c r="E2186" s="87" t="str">
        <f>IFERROR(__xludf.DUMMYFUNCTION("""COMPUTED_VALUE"""),"MANCOBGO 80WP")</f>
        <v>MANCOBGO 80WP</v>
      </c>
      <c r="F2186" s="87" t="str">
        <f>IFERROR(__xludf.DUMMYFUNCTION("""COMPUTED_VALUE"""),"HH1641")</f>
        <v>HH1641</v>
      </c>
      <c r="G2186" s="87" t="str">
        <f>IFERROR(__xludf.DUMMYFUNCTION("""COMPUTED_VALUE"""),"GC - II - 1641 - CSSX An Khang (A.Dinh) - MANCOBGO (bột xanh) - 1kg - 20")</f>
        <v>GC - II - 1641 - CSSX An Khang (A.Dinh) - MANCOBGO (bột xanh) - 1kg - 20</v>
      </c>
    </row>
    <row r="2187">
      <c r="A2187" s="86">
        <f>IFERROR(__xludf.DUMMYFUNCTION("""COMPUTED_VALUE"""),2185.0)</f>
        <v>2185</v>
      </c>
      <c r="B2187" s="87" t="str">
        <f>IFERROR(__xludf.DUMMYFUNCTION("""COMPUTED_VALUE"""),"Nhãn thùng")</f>
        <v>Nhãn thùng</v>
      </c>
      <c r="C2187" s="87" t="str">
        <f>IFERROR(__xludf.DUMMYFUNCTION("""COMPUTED_VALUE"""),"NDT1641")</f>
        <v>NDT1641</v>
      </c>
      <c r="D2187" s="87" t="str">
        <f>IFERROR(__xludf.DUMMYFUNCTION("""COMPUTED_VALUE"""),"[Nhãn thùng] GC - II - 1641 - CSSX An Khang (A.Dinh) - MANCOBGO (bột xanh) - 1kg - 20")</f>
        <v>[Nhãn thùng] GC - II - 1641 - CSSX An Khang (A.Dinh) - MANCOBGO (bột xanh) - 1kg - 20</v>
      </c>
      <c r="E2187" s="87" t="str">
        <f>IFERROR(__xludf.DUMMYFUNCTION("""COMPUTED_VALUE"""),"MANCOBGO 80WP")</f>
        <v>MANCOBGO 80WP</v>
      </c>
      <c r="F2187" s="87" t="str">
        <f>IFERROR(__xludf.DUMMYFUNCTION("""COMPUTED_VALUE"""),"HH1641")</f>
        <v>HH1641</v>
      </c>
      <c r="G2187" s="87" t="str">
        <f>IFERROR(__xludf.DUMMYFUNCTION("""COMPUTED_VALUE"""),"GC - II - 1641 - CSSX An Khang (A.Dinh) - MANCOBGO (bột xanh) - 1kg - 20")</f>
        <v>GC - II - 1641 - CSSX An Khang (A.Dinh) - MANCOBGO (bột xanh) - 1kg - 20</v>
      </c>
    </row>
    <row r="2188">
      <c r="A2188" s="86">
        <f>IFERROR(__xludf.DUMMYFUNCTION("""COMPUTED_VALUE"""),2186.0)</f>
        <v>2186</v>
      </c>
      <c r="B2188" s="87" t="str">
        <f>IFERROR(__xludf.DUMMYFUNCTION("""COMPUTED_VALUE"""),"Nhãn")</f>
        <v>Nhãn</v>
      </c>
      <c r="C2188" s="87" t="str">
        <f>IFERROR(__xludf.DUMMYFUNCTION("""COMPUTED_VALUE"""),"NHG1642")</f>
        <v>NHG1642</v>
      </c>
      <c r="D2188" s="87" t="str">
        <f>IFERROR(__xludf.DUMMYFUNCTION("""COMPUTED_VALUE"""),"[Nhãn] GC - IV - 1642 - Cty Hitaco - Sư Tử Gold (nước vàng sữa) - 200ml - 40")</f>
        <v>[Nhãn] GC - IV - 1642 - Cty Hitaco - Sư Tử Gold (nước vàng sữa) - 200ml - 40</v>
      </c>
      <c r="E2188" s="87" t="str">
        <f>IFERROR(__xludf.DUMMYFUNCTION("""COMPUTED_VALUE"""),"NEW FUZE 200SC")</f>
        <v>NEW FUZE 200SC</v>
      </c>
      <c r="F2188" s="87" t="str">
        <f>IFERROR(__xludf.DUMMYFUNCTION("""COMPUTED_VALUE"""),"HH1642")</f>
        <v>HH1642</v>
      </c>
      <c r="G2188" s="87" t="str">
        <f>IFERROR(__xludf.DUMMYFUNCTION("""COMPUTED_VALUE"""),"GC - IV - 1642 - Cty Hitaco - Sư Tử Gold (nước vàng sữa) - 200ml - 40")</f>
        <v>GC - IV - 1642 - Cty Hitaco - Sư Tử Gold (nước vàng sữa) - 200ml - 40</v>
      </c>
    </row>
    <row r="2189">
      <c r="A2189" s="86">
        <f>IFERROR(__xludf.DUMMYFUNCTION("""COMPUTED_VALUE"""),2187.0)</f>
        <v>2187</v>
      </c>
      <c r="B2189" s="87" t="str">
        <f>IFERROR(__xludf.DUMMYFUNCTION("""COMPUTED_VALUE"""),"Nhãn")</f>
        <v>Nhãn</v>
      </c>
      <c r="C2189" s="87" t="str">
        <f>IFERROR(__xludf.DUMMYFUNCTION("""COMPUTED_VALUE"""),"NTN1643")</f>
        <v>NTN1643</v>
      </c>
      <c r="D2189" s="87" t="str">
        <f>IFERROR(__xludf.DUMMYFUNCTION("""COMPUTED_VALUE"""),"[Nhãn] IDA Global - I - 1643 - Siêu diệt vi khuẩn (bột trắng) - 200gr - 50")</f>
        <v>[Nhãn] IDA Global - I - 1643 - Siêu diệt vi khuẩn (bột trắng) - 200gr - 50</v>
      </c>
      <c r="E2189" s="87" t="str">
        <f>IFERROR(__xludf.DUMMYFUNCTION("""COMPUTED_VALUE"""),"Oxycin 100WP")</f>
        <v>Oxycin 100WP</v>
      </c>
      <c r="F2189" s="87" t="str">
        <f>IFERROR(__xludf.DUMMYFUNCTION("""COMPUTED_VALUE"""),"HH1643")</f>
        <v>HH1643</v>
      </c>
      <c r="G2189" s="87" t="str">
        <f>IFERROR(__xludf.DUMMYFUNCTION("""COMPUTED_VALUE"""),"IDA Global - I - 1643 - Siêu diệt vi khuẩn (bột trắng) - 200gr - 50")</f>
        <v>IDA Global - I - 1643 - Siêu diệt vi khuẩn (bột trắng) - 200gr - 50</v>
      </c>
    </row>
    <row r="2190">
      <c r="A2190" s="86">
        <f>IFERROR(__xludf.DUMMYFUNCTION("""COMPUTED_VALUE"""),2188.0)</f>
        <v>2188</v>
      </c>
      <c r="B2190" s="87" t="str">
        <f>IFERROR(__xludf.DUMMYFUNCTION("""COMPUTED_VALUE"""),"Nhãn thùng")</f>
        <v>Nhãn thùng</v>
      </c>
      <c r="C2190" s="87" t="str">
        <f>IFERROR(__xludf.DUMMYFUNCTION("""COMPUTED_VALUE"""),"NDT1643")</f>
        <v>NDT1643</v>
      </c>
      <c r="D2190" s="87" t="str">
        <f>IFERROR(__xludf.DUMMYFUNCTION("""COMPUTED_VALUE"""),"[Nhãn thùng] IDA Global - I - 1643 - Siêu diệt vi khuẩn (bột trắng) - 200gr - 50")</f>
        <v>[Nhãn thùng] IDA Global - I - 1643 - Siêu diệt vi khuẩn (bột trắng) - 200gr - 50</v>
      </c>
      <c r="E2190" s="87" t="str">
        <f>IFERROR(__xludf.DUMMYFUNCTION("""COMPUTED_VALUE"""),"Oxycin 100WP")</f>
        <v>Oxycin 100WP</v>
      </c>
      <c r="F2190" s="87" t="str">
        <f>IFERROR(__xludf.DUMMYFUNCTION("""COMPUTED_VALUE"""),"HH1643")</f>
        <v>HH1643</v>
      </c>
      <c r="G2190" s="87" t="str">
        <f>IFERROR(__xludf.DUMMYFUNCTION("""COMPUTED_VALUE"""),"IDA Global - I - 1643 - Siêu diệt vi khuẩn (bột trắng) - 200gr - 50")</f>
        <v>IDA Global - I - 1643 - Siêu diệt vi khuẩn (bột trắng) - 200gr - 50</v>
      </c>
    </row>
    <row r="2191">
      <c r="A2191" s="86">
        <f>IFERROR(__xludf.DUMMYFUNCTION("""COMPUTED_VALUE"""),2189.0)</f>
        <v>2189</v>
      </c>
      <c r="B2191" s="87" t="str">
        <f>IFERROR(__xludf.DUMMYFUNCTION("""COMPUTED_VALUE"""),"Nhãn")</f>
        <v>Nhãn</v>
      </c>
      <c r="C2191" s="87" t="str">
        <f>IFERROR(__xludf.DUMMYFUNCTION("""COMPUTED_VALUE"""),"NTN1644")</f>
        <v>NTN1644</v>
      </c>
      <c r="D2191" s="87" t="str">
        <f>IFERROR(__xludf.DUMMYFUNCTION("""COMPUTED_VALUE"""),"[Nhãn] GC - IV - 1644 - Agritech (Anh Trương) - MANCO XANH (bột xanh) - 1kg - 20")</f>
        <v>[Nhãn] GC - IV - 1644 - Agritech (Anh Trương) - MANCO XANH (bột xanh) - 1kg - 20</v>
      </c>
      <c r="E2191" s="87" t="str">
        <f>IFERROR(__xludf.DUMMYFUNCTION("""COMPUTED_VALUE"""),"MANCOBGO 80WP")</f>
        <v>MANCOBGO 80WP</v>
      </c>
      <c r="F2191" s="87" t="str">
        <f>IFERROR(__xludf.DUMMYFUNCTION("""COMPUTED_VALUE"""),"HH1644")</f>
        <v>HH1644</v>
      </c>
      <c r="G2191" s="87" t="str">
        <f>IFERROR(__xludf.DUMMYFUNCTION("""COMPUTED_VALUE"""),"GC - IV - 1644 - Agritech (Anh Trương) - MANCO XANH (bột xanh) - 1kg - 20")</f>
        <v>GC - IV - 1644 - Agritech (Anh Trương) - MANCO XANH (bột xanh) - 1kg - 20</v>
      </c>
    </row>
    <row r="2192">
      <c r="A2192" s="86">
        <f>IFERROR(__xludf.DUMMYFUNCTION("""COMPUTED_VALUE"""),2190.0)</f>
        <v>2190</v>
      </c>
      <c r="B2192" s="87" t="str">
        <f>IFERROR(__xludf.DUMMYFUNCTION("""COMPUTED_VALUE"""),"Nhãn thùng")</f>
        <v>Nhãn thùng</v>
      </c>
      <c r="C2192" s="87" t="str">
        <f>IFERROR(__xludf.DUMMYFUNCTION("""COMPUTED_VALUE"""),"NDT1644")</f>
        <v>NDT1644</v>
      </c>
      <c r="D2192" s="87" t="str">
        <f>IFERROR(__xludf.DUMMYFUNCTION("""COMPUTED_VALUE"""),"[Nhãn thùng] GC - IV - 1644 - Agritech (Anh Trương) - MANCO XANH (bột xanh) - 1kg - 20")</f>
        <v>[Nhãn thùng] GC - IV - 1644 - Agritech (Anh Trương) - MANCO XANH (bột xanh) - 1kg - 20</v>
      </c>
      <c r="E2192" s="87" t="str">
        <f>IFERROR(__xludf.DUMMYFUNCTION("""COMPUTED_VALUE"""),"MANCOBGO 80WP")</f>
        <v>MANCOBGO 80WP</v>
      </c>
      <c r="F2192" s="87" t="str">
        <f>IFERROR(__xludf.DUMMYFUNCTION("""COMPUTED_VALUE"""),"HH1644")</f>
        <v>HH1644</v>
      </c>
      <c r="G2192" s="87" t="str">
        <f>IFERROR(__xludf.DUMMYFUNCTION("""COMPUTED_VALUE"""),"GC - IV - 1644 - Agritech (Anh Trương) - MANCO XANH (bột xanh) - 1kg - 20")</f>
        <v>GC - IV - 1644 - Agritech (Anh Trương) - MANCO XANH (bột xanh) - 1kg - 20</v>
      </c>
    </row>
    <row r="2193">
      <c r="A2193" s="86">
        <f>IFERROR(__xludf.DUMMYFUNCTION("""COMPUTED_VALUE"""),2191.0)</f>
        <v>2191</v>
      </c>
      <c r="B2193" s="87" t="str">
        <f>IFERROR(__xludf.DUMMYFUNCTION("""COMPUTED_VALUE"""),"Nhãn")</f>
        <v>Nhãn</v>
      </c>
      <c r="C2193" s="87" t="str">
        <f>IFERROR(__xludf.DUMMYFUNCTION("""COMPUTED_VALUE"""),"NHD1646")</f>
        <v>NHD1646</v>
      </c>
      <c r="D2193" s="87" t="str">
        <f>IFERROR(__xludf.DUMMYFUNCTION("""COMPUTED_VALUE"""),"[Nhãn] GC - II - 1646 - Mekong Xanh - Master X (nước nâu đen) -  5L - 4")</f>
        <v>[Nhãn] GC - II - 1646 - Mekong Xanh - Master X (nước nâu đen) -  5L - 4</v>
      </c>
      <c r="E2193" s="87" t="str">
        <f>IFERROR(__xludf.DUMMYFUNCTION("""COMPUTED_VALUE"""),"Vi lượng Quantity New")</f>
        <v>Vi lượng Quantity New</v>
      </c>
      <c r="F2193" s="87" t="str">
        <f>IFERROR(__xludf.DUMMYFUNCTION("""COMPUTED_VALUE"""),"HH1646")</f>
        <v>HH1646</v>
      </c>
      <c r="G2193" s="87" t="str">
        <f>IFERROR(__xludf.DUMMYFUNCTION("""COMPUTED_VALUE"""),"GC - II - 1646 - Mekong Xanh - Master X (nước nâu đen) -  5L - 4")</f>
        <v>GC - II - 1646 - Mekong Xanh - Master X (nước nâu đen) -  5L - 4</v>
      </c>
    </row>
    <row r="2194">
      <c r="A2194" s="86">
        <f>IFERROR(__xludf.DUMMYFUNCTION("""COMPUTED_VALUE"""),2192.0)</f>
        <v>2192</v>
      </c>
      <c r="B2194" s="87" t="str">
        <f>IFERROR(__xludf.DUMMYFUNCTION("""COMPUTED_VALUE"""),"Nhãn thùng")</f>
        <v>Nhãn thùng</v>
      </c>
      <c r="C2194" s="87" t="str">
        <f>IFERROR(__xludf.DUMMYFUNCTION("""COMPUTED_VALUE"""),"NDT1646")</f>
        <v>NDT1646</v>
      </c>
      <c r="D2194" s="87" t="str">
        <f>IFERROR(__xludf.DUMMYFUNCTION("""COMPUTED_VALUE"""),"[Nhãn thùng] GC - II - 1646 - Mekong Xanh - Master X (nước nâu đen) -  5L - 4")</f>
        <v>[Nhãn thùng] GC - II - 1646 - Mekong Xanh - Master X (nước nâu đen) -  5L - 4</v>
      </c>
      <c r="E2194" s="87" t="str">
        <f>IFERROR(__xludf.DUMMYFUNCTION("""COMPUTED_VALUE"""),"Vi lượng Quantity New")</f>
        <v>Vi lượng Quantity New</v>
      </c>
      <c r="F2194" s="87" t="str">
        <f>IFERROR(__xludf.DUMMYFUNCTION("""COMPUTED_VALUE"""),"HH1646")</f>
        <v>HH1646</v>
      </c>
      <c r="G2194" s="87" t="str">
        <f>IFERROR(__xludf.DUMMYFUNCTION("""COMPUTED_VALUE"""),"GC - II - 1646 - Mekong Xanh - Master X (nước nâu đen) -  5L - 4")</f>
        <v>GC - II - 1646 - Mekong Xanh - Master X (nước nâu đen) -  5L - 4</v>
      </c>
    </row>
    <row r="2195">
      <c r="A2195" s="86">
        <f>IFERROR(__xludf.DUMMYFUNCTION("""COMPUTED_VALUE"""),2193.0)</f>
        <v>2193</v>
      </c>
      <c r="B2195" s="87" t="str">
        <f>IFERROR(__xludf.DUMMYFUNCTION("""COMPUTED_VALUE"""),"Nhãn")</f>
        <v>Nhãn</v>
      </c>
      <c r="C2195" s="87" t="str">
        <f>IFERROR(__xludf.DUMMYFUNCTION("""COMPUTED_VALUE"""),"NTN1647")</f>
        <v>NTN1647</v>
      </c>
      <c r="D2195" s="87" t="str">
        <f>IFERROR(__xludf.DUMMYFUNCTION("""COMPUTED_VALUE"""),"[Nhãn] GC - II - 1647 - ĐL Kim Khoa - Mancozeb xanh (bột xanh) - 1kg - 20")</f>
        <v>[Nhãn] GC - II - 1647 - ĐL Kim Khoa - Mancozeb xanh (bột xanh) - 1kg - 20</v>
      </c>
      <c r="E2195" s="87" t="str">
        <f>IFERROR(__xludf.DUMMYFUNCTION("""COMPUTED_VALUE"""),"MANCOBGO 80WP")</f>
        <v>MANCOBGO 80WP</v>
      </c>
      <c r="F2195" s="87" t="str">
        <f>IFERROR(__xludf.DUMMYFUNCTION("""COMPUTED_VALUE"""),"HH1647")</f>
        <v>HH1647</v>
      </c>
      <c r="G2195" s="87" t="str">
        <f>IFERROR(__xludf.DUMMYFUNCTION("""COMPUTED_VALUE"""),"GC - II - 1647 - ĐL Kim Khoa - Mancozeb xanh (bột xanh) - 1kg - 20")</f>
        <v>GC - II - 1647 - ĐL Kim Khoa - Mancozeb xanh (bột xanh) - 1kg - 20</v>
      </c>
    </row>
    <row r="2196">
      <c r="A2196" s="86">
        <f>IFERROR(__xludf.DUMMYFUNCTION("""COMPUTED_VALUE"""),2194.0)</f>
        <v>2194</v>
      </c>
      <c r="B2196" s="87" t="str">
        <f>IFERROR(__xludf.DUMMYFUNCTION("""COMPUTED_VALUE"""),"Nhãn thùng")</f>
        <v>Nhãn thùng</v>
      </c>
      <c r="C2196" s="87" t="str">
        <f>IFERROR(__xludf.DUMMYFUNCTION("""COMPUTED_VALUE"""),"NDT1647")</f>
        <v>NDT1647</v>
      </c>
      <c r="D2196" s="87" t="str">
        <f>IFERROR(__xludf.DUMMYFUNCTION("""COMPUTED_VALUE"""),"[Nhãn thùng] GC - II - 1647 - ĐL Kim Khoa - Mancozeb xanh (bột xanh) - 1kg - 20")</f>
        <v>[Nhãn thùng] GC - II - 1647 - ĐL Kim Khoa - Mancozeb xanh (bột xanh) - 1kg - 20</v>
      </c>
      <c r="E2196" s="87" t="str">
        <f>IFERROR(__xludf.DUMMYFUNCTION("""COMPUTED_VALUE"""),"MANCOBGO 80WP")</f>
        <v>MANCOBGO 80WP</v>
      </c>
      <c r="F2196" s="87" t="str">
        <f>IFERROR(__xludf.DUMMYFUNCTION("""COMPUTED_VALUE"""),"HH1647")</f>
        <v>HH1647</v>
      </c>
      <c r="G2196" s="87" t="str">
        <f>IFERROR(__xludf.DUMMYFUNCTION("""COMPUTED_VALUE"""),"GC - II - 1647 - ĐL Kim Khoa - Mancozeb xanh (bột xanh) - 1kg - 20")</f>
        <v>GC - II - 1647 - ĐL Kim Khoa - Mancozeb xanh (bột xanh) - 1kg - 20</v>
      </c>
    </row>
    <row r="2197">
      <c r="A2197" s="86">
        <f>IFERROR(__xludf.DUMMYFUNCTION("""COMPUTED_VALUE"""),2195.0)</f>
        <v>2195</v>
      </c>
      <c r="B2197" s="87" t="str">
        <f>IFERROR(__xludf.DUMMYFUNCTION("""COMPUTED_VALUE"""),"Nhãn")</f>
        <v>Nhãn</v>
      </c>
      <c r="C2197" s="87" t="str">
        <f>IFERROR(__xludf.DUMMYFUNCTION("""COMPUTED_VALUE"""),"NHG1648")</f>
        <v>NHG1648</v>
      </c>
      <c r="D2197" s="87" t="str">
        <f>IFERROR(__xludf.DUMMYFUNCTION("""COMPUTED_VALUE"""),"[Nhãn] GC - IV - 1648 - Cty Kim Ngọc - Cỏ Lưu Dẫn (nước đỏ ) - 900ml - 20")</f>
        <v>[Nhãn] GC - IV - 1648 - Cty Kim Ngọc - Cỏ Lưu Dẫn (nước đỏ ) - 900ml - 20</v>
      </c>
      <c r="E2197" s="87" t="str">
        <f>IFERROR(__xludf.DUMMYFUNCTION("""COMPUTED_VALUE"""),"NEWFOSINATE 150SL")</f>
        <v>NEWFOSINATE 150SL</v>
      </c>
      <c r="F2197" s="87" t="str">
        <f>IFERROR(__xludf.DUMMYFUNCTION("""COMPUTED_VALUE"""),"HH1648")</f>
        <v>HH1648</v>
      </c>
      <c r="G2197" s="87" t="str">
        <f>IFERROR(__xludf.DUMMYFUNCTION("""COMPUTED_VALUE"""),"GC - IV - 1648 - Cty Kim Ngọc - Cỏ Lưu Dẫn (nước đỏ ) - 900ml - 20")</f>
        <v>GC - IV - 1648 - Cty Kim Ngọc - Cỏ Lưu Dẫn (nước đỏ ) - 900ml - 20</v>
      </c>
    </row>
    <row r="2198">
      <c r="A2198" s="86">
        <f>IFERROR(__xludf.DUMMYFUNCTION("""COMPUTED_VALUE"""),2196.0)</f>
        <v>2196</v>
      </c>
      <c r="B2198" s="87" t="str">
        <f>IFERROR(__xludf.DUMMYFUNCTION("""COMPUTED_VALUE"""),"Nhãn thùng")</f>
        <v>Nhãn thùng</v>
      </c>
      <c r="C2198" s="87" t="str">
        <f>IFERROR(__xludf.DUMMYFUNCTION("""COMPUTED_VALUE"""),"NDT1648")</f>
        <v>NDT1648</v>
      </c>
      <c r="D2198" s="87" t="str">
        <f>IFERROR(__xludf.DUMMYFUNCTION("""COMPUTED_VALUE"""),"[Nhãn thùng] GC - IV - 1648 - Cty Kim Ngọc - Cỏ Lưu Dẫn (nước đỏ ) - 900ml - 20")</f>
        <v>[Nhãn thùng] GC - IV - 1648 - Cty Kim Ngọc - Cỏ Lưu Dẫn (nước đỏ ) - 900ml - 20</v>
      </c>
      <c r="E2198" s="87" t="str">
        <f>IFERROR(__xludf.DUMMYFUNCTION("""COMPUTED_VALUE"""),"NEWFOSINATE 150SL")</f>
        <v>NEWFOSINATE 150SL</v>
      </c>
      <c r="F2198" s="87" t="str">
        <f>IFERROR(__xludf.DUMMYFUNCTION("""COMPUTED_VALUE"""),"HH1648")</f>
        <v>HH1648</v>
      </c>
      <c r="G2198" s="87" t="str">
        <f>IFERROR(__xludf.DUMMYFUNCTION("""COMPUTED_VALUE"""),"GC - IV - 1648 - Cty Kim Ngọc - Cỏ Lưu Dẫn (nước đỏ ) - 900ml - 20")</f>
        <v>GC - IV - 1648 - Cty Kim Ngọc - Cỏ Lưu Dẫn (nước đỏ ) - 900ml - 20</v>
      </c>
    </row>
    <row r="2199">
      <c r="A2199" s="86">
        <f>IFERROR(__xludf.DUMMYFUNCTION("""COMPUTED_VALUE"""),2197.0)</f>
        <v>2197</v>
      </c>
      <c r="B2199" s="87" t="str">
        <f>IFERROR(__xludf.DUMMYFUNCTION("""COMPUTED_VALUE"""),"Nhãn")</f>
        <v>Nhãn</v>
      </c>
      <c r="C2199" s="87" t="str">
        <f>IFERROR(__xludf.DUMMYFUNCTION("""COMPUTED_VALUE"""),"NHG1649")</f>
        <v>NHG1649</v>
      </c>
      <c r="D2199" s="87" t="str">
        <f>IFERROR(__xludf.DUMMYFUNCTION("""COMPUTED_VALUE"""),"[Nhãn] GC - IV - 1649 - Cty Anh Kiều (Anh Dũng Anki Farm) - NATRA (nước tím) - 900ml - 20")</f>
        <v>[Nhãn] GC - IV - 1649 - Cty Anh Kiều (Anh Dũng Anki Farm) - NATRA (nước tím) - 900ml - 20</v>
      </c>
      <c r="E2199" s="87" t="str">
        <f>IFERROR(__xludf.DUMMYFUNCTION("""COMPUTED_VALUE"""),"Asupergras 200SL")</f>
        <v>Asupergras 200SL</v>
      </c>
      <c r="F2199" s="87" t="str">
        <f>IFERROR(__xludf.DUMMYFUNCTION("""COMPUTED_VALUE"""),"HH1649")</f>
        <v>HH1649</v>
      </c>
      <c r="G2199" s="87" t="str">
        <f>IFERROR(__xludf.DUMMYFUNCTION("""COMPUTED_VALUE"""),"GC - IV - 1649 - Cty Anh Kiều (Anh Dũng Anki Farm) - NATRA (nước tím) - 900ml - 20")</f>
        <v>GC - IV - 1649 - Cty Anh Kiều (Anh Dũng Anki Farm) - NATRA (nước tím) - 900ml - 20</v>
      </c>
    </row>
    <row r="2200">
      <c r="A2200" s="86">
        <f>IFERROR(__xludf.DUMMYFUNCTION("""COMPUTED_VALUE"""),2198.0)</f>
        <v>2198</v>
      </c>
      <c r="B2200" s="87" t="str">
        <f>IFERROR(__xludf.DUMMYFUNCTION("""COMPUTED_VALUE"""),"Nhãn")</f>
        <v>Nhãn</v>
      </c>
      <c r="C2200" s="87" t="str">
        <f>IFERROR(__xludf.DUMMYFUNCTION("""COMPUTED_VALUE"""),"NHG1650")</f>
        <v>NHG1650</v>
      </c>
      <c r="D2200" s="87" t="str">
        <f>IFERROR(__xludf.DUMMYFUNCTION("""COMPUTED_VALUE"""),"[Nhãn] GC - IV - 1650 - Cty Agritech (Anh Trương) - MITE KILLER (nước đỏ) - 240ml - 40")</f>
        <v>[Nhãn] GC - IV - 1650 - Cty Agritech (Anh Trương) - MITE KILLER (nước đỏ) - 240ml - 40</v>
      </c>
      <c r="E2200" s="87" t="str">
        <f>IFERROR(__xludf.DUMMYFUNCTION("""COMPUTED_VALUE"""),"CHIM ƯNG 3.8EC")</f>
        <v>CHIM ƯNG 3.8EC</v>
      </c>
      <c r="F2200" s="87" t="str">
        <f>IFERROR(__xludf.DUMMYFUNCTION("""COMPUTED_VALUE"""),"HH1650")</f>
        <v>HH1650</v>
      </c>
      <c r="G2200" s="87" t="str">
        <f>IFERROR(__xludf.DUMMYFUNCTION("""COMPUTED_VALUE"""),"GC - IV - 1650 - Cty Agritech (Anh Trương) - MITE KILLER (nước đỏ) - 240ml - 40")</f>
        <v>GC - IV - 1650 - Cty Agritech (Anh Trương) - MITE KILLER (nước đỏ) - 240ml - 40</v>
      </c>
    </row>
    <row r="2201">
      <c r="A2201" s="86">
        <f>IFERROR(__xludf.DUMMYFUNCTION("""COMPUTED_VALUE"""),2199.0)</f>
        <v>2199</v>
      </c>
      <c r="B2201" s="87" t="str">
        <f>IFERROR(__xludf.DUMMYFUNCTION("""COMPUTED_VALUE"""),"Nhãn")</f>
        <v>Nhãn</v>
      </c>
      <c r="C2201" s="87" t="str">
        <f>IFERROR(__xludf.DUMMYFUNCTION("""COMPUTED_VALUE"""),"NHG1651")</f>
        <v>NHG1651</v>
      </c>
      <c r="D2201" s="87" t="str">
        <f>IFERROR(__xludf.DUMMYFUNCTION("""COMPUTED_VALUE"""),"[Nhãn] NB - K - 1651 - BMI - MEKONGVIL 5SC - PERFECT NANO (Chai xanh, Nhãn xanh) (Nước hồng) - 600ml - 40")</f>
        <v>[Nhãn] NB - K - 1651 - BMI - MEKONGVIL 5SC - PERFECT NANO (Chai xanh, Nhãn xanh) (Nước hồng) - 600ml - 40</v>
      </c>
      <c r="E2201" s="87" t="str">
        <f>IFERROR(__xludf.DUMMYFUNCTION("""COMPUTED_VALUE"""),"Mekongvil 5SC")</f>
        <v>Mekongvil 5SC</v>
      </c>
      <c r="F2201" s="87" t="str">
        <f>IFERROR(__xludf.DUMMYFUNCTION("""COMPUTED_VALUE"""),"HH1651")</f>
        <v>HH1651</v>
      </c>
      <c r="G2201" s="87" t="str">
        <f>IFERROR(__xludf.DUMMYFUNCTION("""COMPUTED_VALUE"""),"NB - K - 1651 - BMI - MEKONGVIL 5SC - PERFECT NANO (Chai xanh, Nhãn xanh) (Nước hồng) - 600ml - 40")</f>
        <v>NB - K - 1651 - BMI - MEKONGVIL 5SC - PERFECT NANO (Chai xanh, Nhãn xanh) (Nước hồng) - 600ml - 40</v>
      </c>
    </row>
    <row r="2202">
      <c r="A2202" s="86">
        <f>IFERROR(__xludf.DUMMYFUNCTION("""COMPUTED_VALUE"""),2200.0)</f>
        <v>2200</v>
      </c>
      <c r="B2202" s="87" t="str">
        <f>IFERROR(__xludf.DUMMYFUNCTION("""COMPUTED_VALUE"""),"Nhãn")</f>
        <v>Nhãn</v>
      </c>
      <c r="C2202" s="87" t="str">
        <f>IFERROR(__xludf.DUMMYFUNCTION("""COMPUTED_VALUE"""),"NTN1652")</f>
        <v>NTN1652</v>
      </c>
      <c r="D2202" s="87" t="str">
        <f>IFERROR(__xludf.DUMMYFUNCTION("""COMPUTED_VALUE"""),"[Nhãn] IDA Global - I - 1652 - Ra Rể - Mập Chồi (Nước hồng) - 50ml - 300")</f>
        <v>[Nhãn] IDA Global - I - 1652 - Ra Rể - Mập Chồi (Nước hồng) - 50ml - 300</v>
      </c>
      <c r="E2202" s="87" t="str">
        <f>IFERROR(__xludf.DUMMYFUNCTION("""COMPUTED_VALUE"""),"NPK Bổ sung Vi lượng Basel NPK 6-16-3 IDA 15")</f>
        <v>NPK Bổ sung Vi lượng Basel NPK 6-16-3 IDA 15</v>
      </c>
      <c r="F2202" s="87" t="str">
        <f>IFERROR(__xludf.DUMMYFUNCTION("""COMPUTED_VALUE"""),"HH1652")</f>
        <v>HH1652</v>
      </c>
      <c r="G2202" s="87" t="str">
        <f>IFERROR(__xludf.DUMMYFUNCTION("""COMPUTED_VALUE"""),"IDA Global - I - 1652 - Ra Rể - Mập Chồi (Nước hồng) - 50ml - 300")</f>
        <v>IDA Global - I - 1652 - Ra Rể - Mập Chồi (Nước hồng) - 50ml - 300</v>
      </c>
    </row>
    <row r="2203">
      <c r="A2203" s="86">
        <f>IFERROR(__xludf.DUMMYFUNCTION("""COMPUTED_VALUE"""),2201.0)</f>
        <v>2201</v>
      </c>
      <c r="B2203" s="87" t="str">
        <f>IFERROR(__xludf.DUMMYFUNCTION("""COMPUTED_VALUE"""),"Nhãn thùng")</f>
        <v>Nhãn thùng</v>
      </c>
      <c r="C2203" s="87" t="str">
        <f>IFERROR(__xludf.DUMMYFUNCTION("""COMPUTED_VALUE"""),"NDT1652")</f>
        <v>NDT1652</v>
      </c>
      <c r="D2203" s="87" t="str">
        <f>IFERROR(__xludf.DUMMYFUNCTION("""COMPUTED_VALUE"""),"[Nhãn thùng] IDA Global - I - 1652 - Ra Rể - Mập Chồi (Nước hồng) - 50ml - 300")</f>
        <v>[Nhãn thùng] IDA Global - I - 1652 - Ra Rể - Mập Chồi (Nước hồng) - 50ml - 300</v>
      </c>
      <c r="E2203" s="87" t="str">
        <f>IFERROR(__xludf.DUMMYFUNCTION("""COMPUTED_VALUE"""),"NPK Bổ sung Vi lượng Basel NPK 6-16-3 IDA 15")</f>
        <v>NPK Bổ sung Vi lượng Basel NPK 6-16-3 IDA 15</v>
      </c>
      <c r="F2203" s="87" t="str">
        <f>IFERROR(__xludf.DUMMYFUNCTION("""COMPUTED_VALUE"""),"HH1652")</f>
        <v>HH1652</v>
      </c>
      <c r="G2203" s="87" t="str">
        <f>IFERROR(__xludf.DUMMYFUNCTION("""COMPUTED_VALUE"""),"IDA Global - I - 1652 - Ra Rể - Mập Chồi (Nước hồng) - 50ml - 300")</f>
        <v>IDA Global - I - 1652 - Ra Rể - Mập Chồi (Nước hồng) - 50ml - 300</v>
      </c>
    </row>
    <row r="2204">
      <c r="A2204" s="86">
        <f>IFERROR(__xludf.DUMMYFUNCTION("""COMPUTED_VALUE"""),2202.0)</f>
        <v>2202</v>
      </c>
      <c r="B2204" s="87" t="str">
        <f>IFERROR(__xludf.DUMMYFUNCTION("""COMPUTED_VALUE"""),"Nhãn")</f>
        <v>Nhãn</v>
      </c>
      <c r="C2204" s="87" t="str">
        <f>IFERROR(__xludf.DUMMYFUNCTION("""COMPUTED_VALUE"""),"NHG1653")</f>
        <v>NHG1653</v>
      </c>
      <c r="D2204" s="87" t="str">
        <f>IFERROR(__xludf.DUMMYFUNCTION("""COMPUTED_VALUE"""),"[Nhãn] GC - IV - 1653 - BELLORMAR - VATINO SUPER 525SE (nước cam sữa) - 240ml - 40")</f>
        <v>[Nhãn] GC - IV - 1653 - BELLORMAR - VATINO SUPER 525SE (nước cam sữa) - 240ml - 40</v>
      </c>
      <c r="E2204" s="87" t="str">
        <f>IFERROR(__xludf.DUMMYFUNCTION("""COMPUTED_VALUE"""),"VATINO SUPER 525SE")</f>
        <v>VATINO SUPER 525SE</v>
      </c>
      <c r="F2204" s="87" t="str">
        <f>IFERROR(__xludf.DUMMYFUNCTION("""COMPUTED_VALUE"""),"HH1653")</f>
        <v>HH1653</v>
      </c>
      <c r="G2204" s="87" t="str">
        <f>IFERROR(__xludf.DUMMYFUNCTION("""COMPUTED_VALUE"""),"GC - IV - 1653 - BELLORMAR - VATINO SUPER 525SE (nước cam sữa) - 240ml - 40")</f>
        <v>GC - IV - 1653 - BELLORMAR - VATINO SUPER 525SE (nước cam sữa) - 240ml - 40</v>
      </c>
    </row>
    <row r="2205">
      <c r="A2205" s="86">
        <f>IFERROR(__xludf.DUMMYFUNCTION("""COMPUTED_VALUE"""),2203.0)</f>
        <v>2203</v>
      </c>
      <c r="B2205" s="87" t="str">
        <f>IFERROR(__xludf.DUMMYFUNCTION("""COMPUTED_VALUE"""),"Nhãn")</f>
        <v>Nhãn</v>
      </c>
      <c r="C2205" s="87" t="str">
        <f>IFERROR(__xludf.DUMMYFUNCTION("""COMPUTED_VALUE"""),"NHG1654")</f>
        <v>NHG1654</v>
      </c>
      <c r="D2205" s="87" t="str">
        <f>IFERROR(__xludf.DUMMYFUNCTION("""COMPUTED_VALUE"""),"[Nhãn] IDA Global - I - 1654 - Sức Mạnh Báo Đen 36 (nước nâu đen) - 450ml - 40")</f>
        <v>[Nhãn] IDA Global - I - 1654 - Sức Mạnh Báo Đen 36 (nước nâu đen) - 450ml - 40</v>
      </c>
      <c r="E2205" s="87" t="str">
        <f>IFERROR(__xludf.DUMMYFUNCTION("""COMPUTED_VALUE"""),"HAIHAMEC 3.6EC")</f>
        <v>HAIHAMEC 3.6EC</v>
      </c>
      <c r="F2205" s="87" t="str">
        <f>IFERROR(__xludf.DUMMYFUNCTION("""COMPUTED_VALUE"""),"HH1654")</f>
        <v>HH1654</v>
      </c>
      <c r="G2205" s="87" t="str">
        <f>IFERROR(__xludf.DUMMYFUNCTION("""COMPUTED_VALUE"""),"IDA Global - I - 1654 - Sức Mạnh Báo Đen 36 (nước nâu đen) - 450ml - 40")</f>
        <v>IDA Global - I - 1654 - Sức Mạnh Báo Đen 36 (nước nâu đen) - 450ml - 40</v>
      </c>
    </row>
    <row r="2206">
      <c r="A2206" s="86">
        <f>IFERROR(__xludf.DUMMYFUNCTION("""COMPUTED_VALUE"""),2204.0)</f>
        <v>2204</v>
      </c>
      <c r="B2206" s="87" t="str">
        <f>IFERROR(__xludf.DUMMYFUNCTION("""COMPUTED_VALUE"""),"Nhãn thùng")</f>
        <v>Nhãn thùng</v>
      </c>
      <c r="C2206" s="87" t="str">
        <f>IFERROR(__xludf.DUMMYFUNCTION("""COMPUTED_VALUE"""),"NDT1654")</f>
        <v>NDT1654</v>
      </c>
      <c r="D2206" s="87" t="str">
        <f>IFERROR(__xludf.DUMMYFUNCTION("""COMPUTED_VALUE"""),"[Nhãn thùng] IDA Global - I - 1654 - Sức Mạnh Báo Đen 36 (nước nâu đen) - 450ml - 40")</f>
        <v>[Nhãn thùng] IDA Global - I - 1654 - Sức Mạnh Báo Đen 36 (nước nâu đen) - 450ml - 40</v>
      </c>
      <c r="E2206" s="87" t="str">
        <f>IFERROR(__xludf.DUMMYFUNCTION("""COMPUTED_VALUE"""),"HAIHAMEC 3.6EC")</f>
        <v>HAIHAMEC 3.6EC</v>
      </c>
      <c r="F2206" s="87" t="str">
        <f>IFERROR(__xludf.DUMMYFUNCTION("""COMPUTED_VALUE"""),"HH1654")</f>
        <v>HH1654</v>
      </c>
      <c r="G2206" s="87" t="str">
        <f>IFERROR(__xludf.DUMMYFUNCTION("""COMPUTED_VALUE"""),"IDA Global - I - 1654 - Sức Mạnh Báo Đen 36 (nước nâu đen) - 450ml - 40")</f>
        <v>IDA Global - I - 1654 - Sức Mạnh Báo Đen 36 (nước nâu đen) - 450ml - 40</v>
      </c>
    </row>
    <row r="2207">
      <c r="A2207" s="86">
        <f>IFERROR(__xludf.DUMMYFUNCTION("""COMPUTED_VALUE"""),2205.0)</f>
        <v>2205</v>
      </c>
      <c r="B2207" s="87" t="str">
        <f>IFERROR(__xludf.DUMMYFUNCTION("""COMPUTED_VALUE"""),"Nhãn")</f>
        <v>Nhãn</v>
      </c>
      <c r="C2207" s="87" t="str">
        <f>IFERROR(__xludf.DUMMYFUNCTION("""COMPUTED_VALUE"""),"NHG1655")</f>
        <v>NHG1655</v>
      </c>
      <c r="D2207" s="87" t="str">
        <f>IFERROR(__xludf.DUMMYFUNCTION("""COMPUTED_VALUE"""),"[Nhãn] LOT IDA Global - I - 1655 - Cỏ Lưu Dẫn (nước đỏ) - 900ml - 20")</f>
        <v>[Nhãn] LOT IDA Global - I - 1655 - Cỏ Lưu Dẫn (nước đỏ) - 900ml - 20</v>
      </c>
      <c r="E2207" s="87" t="str">
        <f>IFERROR(__xludf.DUMMYFUNCTION("""COMPUTED_VALUE"""),"Asupergras 200SL")</f>
        <v>Asupergras 200SL</v>
      </c>
      <c r="F2207" s="87" t="str">
        <f>IFERROR(__xludf.DUMMYFUNCTION("""COMPUTED_VALUE"""),"HH1655")</f>
        <v>HH1655</v>
      </c>
      <c r="G2207" s="87" t="str">
        <f>IFERROR(__xludf.DUMMYFUNCTION("""COMPUTED_VALUE"""),"LOT IDA Global - I - 1655 - Cỏ Lưu Dẫn (nước đỏ) - 900ml - 20")</f>
        <v>LOT IDA Global - I - 1655 - Cỏ Lưu Dẫn (nước đỏ) - 900ml - 20</v>
      </c>
    </row>
    <row r="2208">
      <c r="A2208" s="86">
        <f>IFERROR(__xludf.DUMMYFUNCTION("""COMPUTED_VALUE"""),2206.0)</f>
        <v>2206</v>
      </c>
      <c r="B2208" s="87" t="str">
        <f>IFERROR(__xludf.DUMMYFUNCTION("""COMPUTED_VALUE"""),"Nhãn")</f>
        <v>Nhãn</v>
      </c>
      <c r="C2208" s="87" t="str">
        <f>IFERROR(__xludf.DUMMYFUNCTION("""COMPUTED_VALUE"""),"NHG1656")</f>
        <v>NHG1656</v>
      </c>
      <c r="D2208" s="87" t="str">
        <f>IFERROR(__xludf.DUMMYFUNCTION("""COMPUTED_VALUE"""),"[Nhãn] LOT IDA Global - I - 1656 - Cỏ Lưu Dẫn (nước xanh lá) - 900ml - 20")</f>
        <v>[Nhãn] LOT IDA Global - I - 1656 - Cỏ Lưu Dẫn (nước xanh lá) - 900ml - 20</v>
      </c>
      <c r="E2208" s="87" t="str">
        <f>IFERROR(__xludf.DUMMYFUNCTION("""COMPUTED_VALUE"""),"Asupergras 200SL")</f>
        <v>Asupergras 200SL</v>
      </c>
      <c r="F2208" s="87" t="str">
        <f>IFERROR(__xludf.DUMMYFUNCTION("""COMPUTED_VALUE"""),"HH1656")</f>
        <v>HH1656</v>
      </c>
      <c r="G2208" s="87" t="str">
        <f>IFERROR(__xludf.DUMMYFUNCTION("""COMPUTED_VALUE"""),"LOT IDA Global - I - 1656 - Cỏ Lưu Dẫn (nước xanh lá) - 900ml - 20")</f>
        <v>LOT IDA Global - I - 1656 - Cỏ Lưu Dẫn (nước xanh lá) - 900ml - 20</v>
      </c>
    </row>
    <row r="2209">
      <c r="A2209" s="86">
        <f>IFERROR(__xludf.DUMMYFUNCTION("""COMPUTED_VALUE"""),2207.0)</f>
        <v>2207</v>
      </c>
      <c r="B2209" s="87" t="str">
        <f>IFERROR(__xludf.DUMMYFUNCTION("""COMPUTED_VALUE"""),"Nhãn")</f>
        <v>Nhãn</v>
      </c>
      <c r="C2209" s="87" t="str">
        <f>IFERROR(__xludf.DUMMYFUNCTION("""COMPUTED_VALUE"""),"NHG1657")</f>
        <v>NHG1657</v>
      </c>
      <c r="D2209" s="87" t="str">
        <f>IFERROR(__xludf.DUMMYFUNCTION("""COMPUTED_VALUE"""),"[Nhãn] GC - II - 1657 - A.Mạnh - Nhện Thần (nước đỏ) - 240ml - 40")</f>
        <v>[Nhãn] GC - II - 1657 - A.Mạnh - Nhện Thần (nước đỏ) - 240ml - 40</v>
      </c>
      <c r="E2209" s="87" t="str">
        <f>IFERROR(__xludf.DUMMYFUNCTION("""COMPUTED_VALUE"""),"CHIM ƯNG 3.8EC")</f>
        <v>CHIM ƯNG 3.8EC</v>
      </c>
      <c r="F2209" s="87" t="str">
        <f>IFERROR(__xludf.DUMMYFUNCTION("""COMPUTED_VALUE"""),"HH1657")</f>
        <v>HH1657</v>
      </c>
      <c r="G2209" s="87" t="str">
        <f>IFERROR(__xludf.DUMMYFUNCTION("""COMPUTED_VALUE"""),"GC - II - 1657 - A.Mạnh - Nhện Thần (nước đỏ) - 240ml - 40")</f>
        <v>GC - II - 1657 - A.Mạnh - Nhện Thần (nước đỏ) - 240ml - 40</v>
      </c>
    </row>
    <row r="2210">
      <c r="A2210" s="86">
        <f>IFERROR(__xludf.DUMMYFUNCTION("""COMPUTED_VALUE"""),2208.0)</f>
        <v>2208</v>
      </c>
      <c r="B2210" s="87" t="str">
        <f>IFERROR(__xludf.DUMMYFUNCTION("""COMPUTED_VALUE"""),"Nhãn")</f>
        <v>Nhãn</v>
      </c>
      <c r="C2210" s="87" t="str">
        <f>IFERROR(__xludf.DUMMYFUNCTION("""COMPUTED_VALUE"""),"NTN1658")</f>
        <v>NTN1658</v>
      </c>
      <c r="D2210" s="87" t="str">
        <f>IFERROR(__xludf.DUMMYFUNCTION("""COMPUTED_VALUE"""),"[Nhãn] GC - II - 1658 - AGC - Cty Dragon Sài Gòn (A.Khén) - IMIPRID 10WP (Bột trắng) - 100gr - 100")</f>
        <v>[Nhãn] GC - II - 1658 - AGC - Cty Dragon Sài Gòn (A.Khén) - IMIPRID 10WP (Bột trắng) - 100gr - 100</v>
      </c>
      <c r="E2210" s="87" t="str">
        <f>IFERROR(__xludf.DUMMYFUNCTION("""COMPUTED_VALUE"""),"IMIPRID 10WP")</f>
        <v>IMIPRID 10WP</v>
      </c>
      <c r="F2210" s="87" t="str">
        <f>IFERROR(__xludf.DUMMYFUNCTION("""COMPUTED_VALUE"""),"HH1658")</f>
        <v>HH1658</v>
      </c>
      <c r="G2210" s="87" t="str">
        <f>IFERROR(__xludf.DUMMYFUNCTION("""COMPUTED_VALUE"""),"GC - II - 1658 - AGC - Cty Dragon Sài Gòn (A.Khén) - IMIPRID 10WP (Bột trắng) - 100gr - 100")</f>
        <v>GC - II - 1658 - AGC - Cty Dragon Sài Gòn (A.Khén) - IMIPRID 10WP (Bột trắng) - 100gr - 100</v>
      </c>
    </row>
    <row r="2211">
      <c r="A2211" s="86">
        <f>IFERROR(__xludf.DUMMYFUNCTION("""COMPUTED_VALUE"""),2209.0)</f>
        <v>2209</v>
      </c>
      <c r="B2211" s="87" t="str">
        <f>IFERROR(__xludf.DUMMYFUNCTION("""COMPUTED_VALUE"""),"Nhãn thùng")</f>
        <v>Nhãn thùng</v>
      </c>
      <c r="C2211" s="87" t="str">
        <f>IFERROR(__xludf.DUMMYFUNCTION("""COMPUTED_VALUE"""),"NDT1658")</f>
        <v>NDT1658</v>
      </c>
      <c r="D2211" s="87" t="str">
        <f>IFERROR(__xludf.DUMMYFUNCTION("""COMPUTED_VALUE"""),"[Nhãn thùng] GC - II - 1658 - AGC - Cty Dragon Sài Gòn (A.Khén) - IMIPRID 10WP (Bột trắng) - 100gr - 100")</f>
        <v>[Nhãn thùng] GC - II - 1658 - AGC - Cty Dragon Sài Gòn (A.Khén) - IMIPRID 10WP (Bột trắng) - 100gr - 100</v>
      </c>
      <c r="E2211" s="87" t="str">
        <f>IFERROR(__xludf.DUMMYFUNCTION("""COMPUTED_VALUE"""),"IMIPRID 10WP")</f>
        <v>IMIPRID 10WP</v>
      </c>
      <c r="F2211" s="87" t="str">
        <f>IFERROR(__xludf.DUMMYFUNCTION("""COMPUTED_VALUE"""),"HH1658")</f>
        <v>HH1658</v>
      </c>
      <c r="G2211" s="87" t="str">
        <f>IFERROR(__xludf.DUMMYFUNCTION("""COMPUTED_VALUE"""),"GC - II - 1658 - AGC - Cty Dragon Sài Gòn (A.Khén) - IMIPRID 10WP (Bột trắng) - 100gr - 100")</f>
        <v>GC - II - 1658 - AGC - Cty Dragon Sài Gòn (A.Khén) - IMIPRID 10WP (Bột trắng) - 100gr - 100</v>
      </c>
    </row>
    <row r="2212">
      <c r="A2212" s="86">
        <f>IFERROR(__xludf.DUMMYFUNCTION("""COMPUTED_VALUE"""),2210.0)</f>
        <v>2210</v>
      </c>
      <c r="B2212" s="87" t="str">
        <f>IFERROR(__xludf.DUMMYFUNCTION("""COMPUTED_VALUE"""),"Nhãn")</f>
        <v>Nhãn</v>
      </c>
      <c r="C2212" s="87" t="str">
        <f>IFERROR(__xludf.DUMMYFUNCTION("""COMPUTED_VALUE"""),"NHG1659")</f>
        <v>NHG1659</v>
      </c>
      <c r="D2212" s="87" t="str">
        <f>IFERROR(__xludf.DUMMYFUNCTION("""COMPUTED_VALUE"""),"[Nhãn] GC - IV - 1659 - NHP GROUP - KAMYCIN JAPANE 20SL (nước xanh lá) - 450ml - 40")</f>
        <v>[Nhãn] GC - IV - 1659 - NHP GROUP - KAMYCIN JAPANE 20SL (nước xanh lá) - 450ml - 40</v>
      </c>
      <c r="E2212" s="87" t="str">
        <f>IFERROR(__xludf.DUMMYFUNCTION("""COMPUTED_VALUE"""),"Kamycinjapane 20SL")</f>
        <v>Kamycinjapane 20SL</v>
      </c>
      <c r="F2212" s="87" t="str">
        <f>IFERROR(__xludf.DUMMYFUNCTION("""COMPUTED_VALUE"""),"HH1659")</f>
        <v>HH1659</v>
      </c>
      <c r="G2212" s="87" t="str">
        <f>IFERROR(__xludf.DUMMYFUNCTION("""COMPUTED_VALUE"""),"GC - IV - 1659 - NHP GROUP - KAMYCIN JAPANE 20SL (nước xanh lá) - 450ml - 40")</f>
        <v>GC - IV - 1659 - NHP GROUP - KAMYCIN JAPANE 20SL (nước xanh lá) - 450ml - 40</v>
      </c>
    </row>
    <row r="2213">
      <c r="A2213" s="86">
        <f>IFERROR(__xludf.DUMMYFUNCTION("""COMPUTED_VALUE"""),2211.0)</f>
        <v>2211</v>
      </c>
      <c r="B2213" s="87" t="str">
        <f>IFERROR(__xludf.DUMMYFUNCTION("""COMPUTED_VALUE"""),"Nhãn")</f>
        <v>Nhãn</v>
      </c>
      <c r="C2213" s="87" t="str">
        <f>IFERROR(__xludf.DUMMYFUNCTION("""COMPUTED_VALUE"""),"NTN1660")</f>
        <v>NTN1660</v>
      </c>
      <c r="D2213" s="87" t="str">
        <f>IFERROR(__xludf.DUMMYFUNCTION("""COMPUTED_VALUE"""),"[Nhãn] GC - IV - 1660 - Biotech Hà Lan - Pandang 95 (bột màu trắng) - 100gr - 100")</f>
        <v>[Nhãn] GC - IV - 1660 - Biotech Hà Lan - Pandang 95 (bột màu trắng) - 100gr - 100</v>
      </c>
      <c r="E2213" s="87" t="str">
        <f>IFERROR(__xludf.DUMMYFUNCTION("""COMPUTED_VALUE"""),"SHA CHONG JING 95WP")</f>
        <v>SHA CHONG JING 95WP</v>
      </c>
      <c r="F2213" s="87" t="str">
        <f>IFERROR(__xludf.DUMMYFUNCTION("""COMPUTED_VALUE"""),"HH1660")</f>
        <v>HH1660</v>
      </c>
      <c r="G2213" s="87" t="str">
        <f>IFERROR(__xludf.DUMMYFUNCTION("""COMPUTED_VALUE"""),"GC - IV - 1660 - Biotech Hà Lan - Pandang 95 (bột màu trắng) - 100gr - 100")</f>
        <v>GC - IV - 1660 - Biotech Hà Lan - Pandang 95 (bột màu trắng) - 100gr - 100</v>
      </c>
    </row>
    <row r="2214">
      <c r="A2214" s="86">
        <f>IFERROR(__xludf.DUMMYFUNCTION("""COMPUTED_VALUE"""),2212.0)</f>
        <v>2212</v>
      </c>
      <c r="B2214" s="87" t="str">
        <f>IFERROR(__xludf.DUMMYFUNCTION("""COMPUTED_VALUE"""),"Nhãn thùng")</f>
        <v>Nhãn thùng</v>
      </c>
      <c r="C2214" s="87" t="str">
        <f>IFERROR(__xludf.DUMMYFUNCTION("""COMPUTED_VALUE"""),"NDT1660")</f>
        <v>NDT1660</v>
      </c>
      <c r="D2214" s="87" t="str">
        <f>IFERROR(__xludf.DUMMYFUNCTION("""COMPUTED_VALUE"""),"[Nhãn thùng] GC - IV - 1660 - Biotech Hà Lan - Pandang 95 (bột màu trắng) - 100gr - 100")</f>
        <v>[Nhãn thùng] GC - IV - 1660 - Biotech Hà Lan - Pandang 95 (bột màu trắng) - 100gr - 100</v>
      </c>
      <c r="E2214" s="87" t="str">
        <f>IFERROR(__xludf.DUMMYFUNCTION("""COMPUTED_VALUE"""),"SHA CHONG JING 95WP")</f>
        <v>SHA CHONG JING 95WP</v>
      </c>
      <c r="F2214" s="87" t="str">
        <f>IFERROR(__xludf.DUMMYFUNCTION("""COMPUTED_VALUE"""),"HH1660")</f>
        <v>HH1660</v>
      </c>
      <c r="G2214" s="87" t="str">
        <f>IFERROR(__xludf.DUMMYFUNCTION("""COMPUTED_VALUE"""),"GC - IV - 1660 - Biotech Hà Lan - Pandang 95 (bột màu trắng) - 100gr - 100")</f>
        <v>GC - IV - 1660 - Biotech Hà Lan - Pandang 95 (bột màu trắng) - 100gr - 100</v>
      </c>
    </row>
    <row r="2215">
      <c r="A2215" s="86">
        <f>IFERROR(__xludf.DUMMYFUNCTION("""COMPUTED_VALUE"""),2213.0)</f>
        <v>2213</v>
      </c>
      <c r="B2215" s="87" t="str">
        <f>IFERROR(__xludf.DUMMYFUNCTION("""COMPUTED_VALUE"""),"Nhãn")</f>
        <v>Nhãn</v>
      </c>
      <c r="C2215" s="87" t="str">
        <f>IFERROR(__xludf.DUMMYFUNCTION("""COMPUTED_VALUE"""),"NHG1662")</f>
        <v>NHG1662</v>
      </c>
      <c r="D2215" s="87" t="str">
        <f>IFERROR(__xludf.DUMMYFUNCTION("""COMPUTED_VALUE"""),"[Nhãn] GC - II - 1662 - THÀNH CÔNG AGRI - STOP (Nước nâu đen) - 1L - 20")</f>
        <v>[Nhãn] GC - II - 1662 - THÀNH CÔNG AGRI - STOP (Nước nâu đen) - 1L - 20</v>
      </c>
      <c r="E2215" s="87" t="str">
        <f>IFERROR(__xludf.DUMMYFUNCTION("""COMPUTED_VALUE"""),"Vi lượng Quantity New")</f>
        <v>Vi lượng Quantity New</v>
      </c>
      <c r="F2215" s="87" t="str">
        <f>IFERROR(__xludf.DUMMYFUNCTION("""COMPUTED_VALUE"""),"HH1662")</f>
        <v>HH1662</v>
      </c>
      <c r="G2215" s="87" t="str">
        <f>IFERROR(__xludf.DUMMYFUNCTION("""COMPUTED_VALUE"""),"GC - II - 1662 - THÀNH CÔNG AGRI - STOP (Nước nâu đen) - 1L - 20")</f>
        <v>GC - II - 1662 - THÀNH CÔNG AGRI - STOP (Nước nâu đen) - 1L - 20</v>
      </c>
    </row>
    <row r="2216">
      <c r="A2216" s="86">
        <f>IFERROR(__xludf.DUMMYFUNCTION("""COMPUTED_VALUE"""),2214.0)</f>
        <v>2214</v>
      </c>
      <c r="B2216" s="87" t="str">
        <f>IFERROR(__xludf.DUMMYFUNCTION("""COMPUTED_VALUE"""),"Nhãn")</f>
        <v>Nhãn</v>
      </c>
      <c r="C2216" s="87" t="str">
        <f>IFERROR(__xludf.DUMMYFUNCTION("""COMPUTED_VALUE"""),"NHG1663")</f>
        <v>NHG1663</v>
      </c>
      <c r="D2216" s="87" t="str">
        <f>IFERROR(__xludf.DUMMYFUNCTION("""COMPUTED_VALUE"""),"[Nhãn] GC - IV - 1663 - GNH - Siêu Bung Đọt (nước nâu đen) - 1L - 20")</f>
        <v>[Nhãn] GC - IV - 1663 - GNH - Siêu Bung Đọt (nước nâu đen) - 1L - 20</v>
      </c>
      <c r="E2216" s="87" t="str">
        <f>IFERROR(__xludf.DUMMYFUNCTION("""COMPUTED_VALUE"""),"Vi lượng Basel VA01")</f>
        <v>Vi lượng Basel VA01</v>
      </c>
      <c r="F2216" s="87" t="str">
        <f>IFERROR(__xludf.DUMMYFUNCTION("""COMPUTED_VALUE"""),"HH1663")</f>
        <v>HH1663</v>
      </c>
      <c r="G2216" s="87" t="str">
        <f>IFERROR(__xludf.DUMMYFUNCTION("""COMPUTED_VALUE"""),"GC - IV - 1663 - GNH - Siêu Bung Đọt (nước nâu đen) - 1L - 20")</f>
        <v>GC - IV - 1663 - GNH - Siêu Bung Đọt (nước nâu đen) - 1L - 20</v>
      </c>
    </row>
    <row r="2217">
      <c r="A2217" s="86">
        <f>IFERROR(__xludf.DUMMYFUNCTION("""COMPUTED_VALUE"""),2215.0)</f>
        <v>2215</v>
      </c>
      <c r="B2217" s="87" t="str">
        <f>IFERROR(__xludf.DUMMYFUNCTION("""COMPUTED_VALUE"""),"Nhãn")</f>
        <v>Nhãn</v>
      </c>
      <c r="C2217" s="87" t="str">
        <f>IFERROR(__xludf.DUMMYFUNCTION("""COMPUTED_VALUE"""),"NHD1664")</f>
        <v>NHD1664</v>
      </c>
      <c r="D2217" s="87" t="str">
        <f>IFERROR(__xludf.DUMMYFUNCTION("""COMPUTED_VALUE"""),"[Nhãn] GC - IV - 1664 - GNH - Siêu Bung Đọt (nước nâu đen) - 5L - 4")</f>
        <v>[Nhãn] GC - IV - 1664 - GNH - Siêu Bung Đọt (nước nâu đen) - 5L - 4</v>
      </c>
      <c r="E2217" s="87" t="str">
        <f>IFERROR(__xludf.DUMMYFUNCTION("""COMPUTED_VALUE"""),"Vi lượng Basel VA01")</f>
        <v>Vi lượng Basel VA01</v>
      </c>
      <c r="F2217" s="87" t="str">
        <f>IFERROR(__xludf.DUMMYFUNCTION("""COMPUTED_VALUE"""),"HH1664")</f>
        <v>HH1664</v>
      </c>
      <c r="G2217" s="87" t="str">
        <f>IFERROR(__xludf.DUMMYFUNCTION("""COMPUTED_VALUE"""),"GC - IV - 1664 - GNH - Siêu Bung Đọt (nước nâu đen) - 5L - 4")</f>
        <v>GC - IV - 1664 - GNH - Siêu Bung Đọt (nước nâu đen) - 5L - 4</v>
      </c>
    </row>
    <row r="2218">
      <c r="A2218" s="86">
        <f>IFERROR(__xludf.DUMMYFUNCTION("""COMPUTED_VALUE"""),2216.0)</f>
        <v>2216</v>
      </c>
      <c r="B2218" s="87" t="str">
        <f>IFERROR(__xludf.DUMMYFUNCTION("""COMPUTED_VALUE"""),"Nhãn thùng")</f>
        <v>Nhãn thùng</v>
      </c>
      <c r="C2218" s="87" t="str">
        <f>IFERROR(__xludf.DUMMYFUNCTION("""COMPUTED_VALUE"""),"NDT1664")</f>
        <v>NDT1664</v>
      </c>
      <c r="D2218" s="87" t="str">
        <f>IFERROR(__xludf.DUMMYFUNCTION("""COMPUTED_VALUE"""),"[Nhãn thùng] GC - IV - 1664 - GNH - Siêu Bung Đọt (nước nâu đen) - 5L - 4")</f>
        <v>[Nhãn thùng] GC - IV - 1664 - GNH - Siêu Bung Đọt (nước nâu đen) - 5L - 4</v>
      </c>
      <c r="E2218" s="87" t="str">
        <f>IFERROR(__xludf.DUMMYFUNCTION("""COMPUTED_VALUE"""),"Vi lượng Basel VA01")</f>
        <v>Vi lượng Basel VA01</v>
      </c>
      <c r="F2218" s="87" t="str">
        <f>IFERROR(__xludf.DUMMYFUNCTION("""COMPUTED_VALUE"""),"HH1664")</f>
        <v>HH1664</v>
      </c>
      <c r="G2218" s="87" t="str">
        <f>IFERROR(__xludf.DUMMYFUNCTION("""COMPUTED_VALUE"""),"GC - IV - 1664 - GNH - Siêu Bung Đọt (nước nâu đen) - 5L - 4")</f>
        <v>GC - IV - 1664 - GNH - Siêu Bung Đọt (nước nâu đen) - 5L - 4</v>
      </c>
    </row>
    <row r="2219">
      <c r="A2219" s="86">
        <f>IFERROR(__xludf.DUMMYFUNCTION("""COMPUTED_VALUE"""),2217.0)</f>
        <v>2217</v>
      </c>
      <c r="B2219" s="87" t="str">
        <f>IFERROR(__xludf.DUMMYFUNCTION("""COMPUTED_VALUE"""),"Nhãn")</f>
        <v>Nhãn</v>
      </c>
      <c r="C2219" s="87" t="str">
        <f>IFERROR(__xludf.DUMMYFUNCTION("""COMPUTED_VALUE"""),"NHD1665")</f>
        <v>NHD1665</v>
      </c>
      <c r="D2219" s="87" t="str">
        <f>IFERROR(__xludf.DUMMYFUNCTION("""COMPUTED_VALUE"""),"[Nhãn] GC - II - 1665 - AGC - Diệt Cỏ Cháy Sạch (nước xanh lá) - 900ml - 20")</f>
        <v>[Nhãn] GC - II - 1665 - AGC - Diệt Cỏ Cháy Sạch (nước xanh lá) - 900ml - 20</v>
      </c>
      <c r="E2219" s="87" t="str">
        <f>IFERROR(__xludf.DUMMYFUNCTION("""COMPUTED_VALUE"""),"NEWFOSINATE 150SL")</f>
        <v>NEWFOSINATE 150SL</v>
      </c>
      <c r="F2219" s="87" t="str">
        <f>IFERROR(__xludf.DUMMYFUNCTION("""COMPUTED_VALUE"""),"HH1665")</f>
        <v>HH1665</v>
      </c>
      <c r="G2219" s="87" t="str">
        <f>IFERROR(__xludf.DUMMYFUNCTION("""COMPUTED_VALUE"""),"GC - II - 1665 - AGC - Diệt Cỏ Cháy Sạch (nước xanh lá) - 900ml - 20")</f>
        <v>GC - II - 1665 - AGC - Diệt Cỏ Cháy Sạch (nước xanh lá) - 900ml - 20</v>
      </c>
    </row>
    <row r="2220">
      <c r="A2220" s="86">
        <f>IFERROR(__xludf.DUMMYFUNCTION("""COMPUTED_VALUE"""),2218.0)</f>
        <v>2218</v>
      </c>
      <c r="B2220" s="87" t="str">
        <f>IFERROR(__xludf.DUMMYFUNCTION("""COMPUTED_VALUE"""),"Nhãn")</f>
        <v>Nhãn</v>
      </c>
      <c r="C2220" s="87" t="str">
        <f>IFERROR(__xludf.DUMMYFUNCTION("""COMPUTED_VALUE"""),"NHD1666")</f>
        <v>NHD1666</v>
      </c>
      <c r="D2220" s="87" t="str">
        <f>IFERROR(__xludf.DUMMYFUNCTION("""COMPUTED_VALUE"""),"[Nhãn] GC - II - 1666 - Anh Huỳnh - POWER PLUS - UREA LIQUID 46-0-0+Ca+Mg (nước nâu đen) - 5L - 4")</f>
        <v>[Nhãn] GC - II - 1666 - Anh Huỳnh - POWER PLUS - UREA LIQUID 46-0-0+Ca+Mg (nước nâu đen) - 5L - 4</v>
      </c>
      <c r="E2220" s="87" t="str">
        <f>IFERROR(__xludf.DUMMYFUNCTION("""COMPUTED_VALUE"""),"Vi lượng Quantity New")</f>
        <v>Vi lượng Quantity New</v>
      </c>
      <c r="F2220" s="87" t="str">
        <f>IFERROR(__xludf.DUMMYFUNCTION("""COMPUTED_VALUE"""),"HH1666")</f>
        <v>HH1666</v>
      </c>
      <c r="G2220" s="87" t="str">
        <f>IFERROR(__xludf.DUMMYFUNCTION("""COMPUTED_VALUE"""),"GC - II - 1666 - Anh Huỳnh - POWER PLUS - UREA LIQUID 46-0-0+Ca+Mg (nước nâu đen) - 5L - 4")</f>
        <v>GC - II - 1666 - Anh Huỳnh - POWER PLUS - UREA LIQUID 46-0-0+Ca+Mg (nước nâu đen) - 5L - 4</v>
      </c>
    </row>
    <row r="2221">
      <c r="A2221" s="86">
        <f>IFERROR(__xludf.DUMMYFUNCTION("""COMPUTED_VALUE"""),2219.0)</f>
        <v>2219</v>
      </c>
      <c r="B2221" s="87" t="str">
        <f>IFERROR(__xludf.DUMMYFUNCTION("""COMPUTED_VALUE"""),"Nhãn thùng")</f>
        <v>Nhãn thùng</v>
      </c>
      <c r="C2221" s="87" t="str">
        <f>IFERROR(__xludf.DUMMYFUNCTION("""COMPUTED_VALUE"""),"NDT1666")</f>
        <v>NDT1666</v>
      </c>
      <c r="D2221" s="87" t="str">
        <f>IFERROR(__xludf.DUMMYFUNCTION("""COMPUTED_VALUE"""),"[Nhãn thùng] GC - II - 1666 - Anh Huỳnh - POWER PLUS - UREA LIQUID 46-0-0+Ca+Mg (nước nâu đen) - 5L - 4")</f>
        <v>[Nhãn thùng] GC - II - 1666 - Anh Huỳnh - POWER PLUS - UREA LIQUID 46-0-0+Ca+Mg (nước nâu đen) - 5L - 4</v>
      </c>
      <c r="E2221" s="87" t="str">
        <f>IFERROR(__xludf.DUMMYFUNCTION("""COMPUTED_VALUE"""),"Vi lượng Quantity New")</f>
        <v>Vi lượng Quantity New</v>
      </c>
      <c r="F2221" s="87" t="str">
        <f>IFERROR(__xludf.DUMMYFUNCTION("""COMPUTED_VALUE"""),"HH1666")</f>
        <v>HH1666</v>
      </c>
      <c r="G2221" s="87" t="str">
        <f>IFERROR(__xludf.DUMMYFUNCTION("""COMPUTED_VALUE"""),"GC - II - 1666 - Anh Huỳnh - POWER PLUS - UREA LIQUID 46-0-0+Ca+Mg (nước nâu đen) - 5L - 4")</f>
        <v>GC - II - 1666 - Anh Huỳnh - POWER PLUS - UREA LIQUID 46-0-0+Ca+Mg (nước nâu đen) - 5L - 4</v>
      </c>
    </row>
    <row r="2222">
      <c r="A2222" s="86">
        <f>IFERROR(__xludf.DUMMYFUNCTION("""COMPUTED_VALUE"""),2220.0)</f>
        <v>2220</v>
      </c>
      <c r="B2222" s="87" t="str">
        <f>IFERROR(__xludf.DUMMYFUNCTION("""COMPUTED_VALUE"""),"Nhãn")</f>
        <v>Nhãn</v>
      </c>
      <c r="C2222" s="87" t="str">
        <f>IFERROR(__xludf.DUMMYFUNCTION("""COMPUTED_VALUE"""),"NHD1667")</f>
        <v>NHD1667</v>
      </c>
      <c r="D2222" s="87" t="str">
        <f>IFERROR(__xludf.DUMMYFUNCTION("""COMPUTED_VALUE"""),"[Nhãn] GC - II - 1667 - AGC - Diệt Cỏ Cháy Sạch (nước đỏ) - 900ml - 20")</f>
        <v>[Nhãn] GC - II - 1667 - AGC - Diệt Cỏ Cháy Sạch (nước đỏ) - 900ml - 20</v>
      </c>
      <c r="E2222" s="87" t="str">
        <f>IFERROR(__xludf.DUMMYFUNCTION("""COMPUTED_VALUE"""),"NEWFOSINATE 150SL")</f>
        <v>NEWFOSINATE 150SL</v>
      </c>
      <c r="F2222" s="87" t="str">
        <f>IFERROR(__xludf.DUMMYFUNCTION("""COMPUTED_VALUE"""),"HH1667")</f>
        <v>HH1667</v>
      </c>
      <c r="G2222" s="87" t="str">
        <f>IFERROR(__xludf.DUMMYFUNCTION("""COMPUTED_VALUE"""),"GC - II - 1667 - AGC - Diệt Cỏ Cháy Sạch (nước đỏ) - 900ml - 20")</f>
        <v>GC - II - 1667 - AGC - Diệt Cỏ Cháy Sạch (nước đỏ) - 900ml - 20</v>
      </c>
    </row>
    <row r="2223">
      <c r="A2223" s="86">
        <f>IFERROR(__xludf.DUMMYFUNCTION("""COMPUTED_VALUE"""),2221.0)</f>
        <v>2221</v>
      </c>
      <c r="B2223" s="87" t="str">
        <f>IFERROR(__xludf.DUMMYFUNCTION("""COMPUTED_VALUE"""),"Nhãn")</f>
        <v>Nhãn</v>
      </c>
      <c r="C2223" s="87" t="str">
        <f>IFERROR(__xludf.DUMMYFUNCTION("""COMPUTED_VALUE"""),"NHG1668")</f>
        <v>NHG1668</v>
      </c>
      <c r="D2223" s="87" t="str">
        <f>IFERROR(__xludf.DUMMYFUNCTION("""COMPUTED_VALUE"""),"[Nhãn] LOT IDA Global - I - 1668 - ĐL Nguyễn Đức Minh - IDA Mekongvil 5SC (nước vàng) - 1L - 20")</f>
        <v>[Nhãn] LOT IDA Global - I - 1668 - ĐL Nguyễn Đức Minh - IDA Mekongvil 5SC (nước vàng) - 1L - 20</v>
      </c>
      <c r="E2223" s="87" t="str">
        <f>IFERROR(__xludf.DUMMYFUNCTION("""COMPUTED_VALUE"""),"Mekongvil 5SC")</f>
        <v>Mekongvil 5SC</v>
      </c>
      <c r="F2223" s="87" t="str">
        <f>IFERROR(__xludf.DUMMYFUNCTION("""COMPUTED_VALUE"""),"HH1668")</f>
        <v>HH1668</v>
      </c>
      <c r="G2223" s="87" t="str">
        <f>IFERROR(__xludf.DUMMYFUNCTION("""COMPUTED_VALUE"""),"LOT IDA Global - I - 1668 - ĐL Nguyễn Đức Minh - IDA Mekongvil 5SC (nước vàng) - 1L - 20")</f>
        <v>LOT IDA Global - I - 1668 - ĐL Nguyễn Đức Minh - IDA Mekongvil 5SC (nước vàng) - 1L - 20</v>
      </c>
    </row>
    <row r="2224">
      <c r="A2224" s="86">
        <f>IFERROR(__xludf.DUMMYFUNCTION("""COMPUTED_VALUE"""),2222.0)</f>
        <v>2222</v>
      </c>
      <c r="B2224" s="87" t="str">
        <f>IFERROR(__xludf.DUMMYFUNCTION("""COMPUTED_VALUE"""),"Nhãn")</f>
        <v>Nhãn</v>
      </c>
      <c r="C2224" s="87" t="str">
        <f>IFERROR(__xludf.DUMMYFUNCTION("""COMPUTED_VALUE"""),"NDT1668")</f>
        <v>NDT1668</v>
      </c>
      <c r="D2224" s="87" t="str">
        <f>IFERROR(__xludf.DUMMYFUNCTION("""COMPUTED_VALUE"""),"[Nhãn] LOT IDA Global - I - 1668 - ĐL Nguyễn Đức Minh - IDA Mekongvil 5SC (nước vàng) - 1L - 20")</f>
        <v>[Nhãn] LOT IDA Global - I - 1668 - ĐL Nguyễn Đức Minh - IDA Mekongvil 5SC (nước vàng) - 1L - 20</v>
      </c>
      <c r="E2224" s="87" t="str">
        <f>IFERROR(__xludf.DUMMYFUNCTION("""COMPUTED_VALUE"""),"Mekongvil 5SC")</f>
        <v>Mekongvil 5SC</v>
      </c>
      <c r="F2224" s="87" t="str">
        <f>IFERROR(__xludf.DUMMYFUNCTION("""COMPUTED_VALUE"""),"HH1668")</f>
        <v>HH1668</v>
      </c>
      <c r="G2224" s="87" t="str">
        <f>IFERROR(__xludf.DUMMYFUNCTION("""COMPUTED_VALUE"""),"LOT IDA Global - I - 1668 - ĐL Nguyễn Đức Minh - IDA Mekongvil 5SC (nước vàng) - 1L - 20")</f>
        <v>LOT IDA Global - I - 1668 - ĐL Nguyễn Đức Minh - IDA Mekongvil 5SC (nước vàng) - 1L - 20</v>
      </c>
    </row>
    <row r="2225">
      <c r="A2225" s="86">
        <f>IFERROR(__xludf.DUMMYFUNCTION("""COMPUTED_VALUE"""),2223.0)</f>
        <v>2223</v>
      </c>
      <c r="B2225" s="87" t="str">
        <f>IFERROR(__xludf.DUMMYFUNCTION("""COMPUTED_VALUE"""),"Nhãn")</f>
        <v>Nhãn</v>
      </c>
      <c r="C2225" s="87" t="str">
        <f>IFERROR(__xludf.DUMMYFUNCTION("""COMPUTED_VALUE"""),"NHG1669")</f>
        <v>NHG1669</v>
      </c>
      <c r="D2225" s="87" t="str">
        <f>IFERROR(__xludf.DUMMYFUNCTION("""COMPUTED_VALUE"""),"[Nhãn] NB - K - 1669 - BMI - MEKONGVIL 5SC - Extra Perfect (Chai vàng) (Nước hồng) - 600ml - 40")</f>
        <v>[Nhãn] NB - K - 1669 - BMI - MEKONGVIL 5SC - Extra Perfect (Chai vàng) (Nước hồng) - 600ml - 40</v>
      </c>
      <c r="E2225" s="87" t="str">
        <f>IFERROR(__xludf.DUMMYFUNCTION("""COMPUTED_VALUE"""),"Mekongvil 5SC")</f>
        <v>Mekongvil 5SC</v>
      </c>
      <c r="F2225" s="87" t="str">
        <f>IFERROR(__xludf.DUMMYFUNCTION("""COMPUTED_VALUE"""),"HH1669")</f>
        <v>HH1669</v>
      </c>
      <c r="G2225" s="87" t="str">
        <f>IFERROR(__xludf.DUMMYFUNCTION("""COMPUTED_VALUE"""),"NB - K - 1669 - BMI - MEKONGVIL 5SC - Extra Perfect (Chai vàng) (Nước hồng) - 600ml - 40")</f>
        <v>NB - K - 1669 - BMI - MEKONGVIL 5SC - Extra Perfect (Chai vàng) (Nước hồng) - 600ml - 40</v>
      </c>
    </row>
    <row r="2226">
      <c r="A2226" s="86">
        <f>IFERROR(__xludf.DUMMYFUNCTION("""COMPUTED_VALUE"""),2224.0)</f>
        <v>2224</v>
      </c>
      <c r="B2226" s="87" t="str">
        <f>IFERROR(__xludf.DUMMYFUNCTION("""COMPUTED_VALUE"""),"Nhãn")</f>
        <v>Nhãn</v>
      </c>
      <c r="C2226" s="87" t="str">
        <f>IFERROR(__xludf.DUMMYFUNCTION("""COMPUTED_VALUE"""),"NTN1670")</f>
        <v>NTN1670</v>
      </c>
      <c r="D2226" s="87" t="str">
        <f>IFERROR(__xludf.DUMMYFUNCTION("""COMPUTED_VALUE"""),"[Nhãn] GC -  IV - 1670 - Cty Agricare Úc (A.Lộc)  - Dưỡng Chất Hữu Cơ (Gel nâu đen)  - 50ml - 200")</f>
        <v>[Nhãn] GC -  IV - 1670 - Cty Agricare Úc (A.Lộc)  - Dưỡng Chất Hữu Cơ (Gel nâu đen)  - 50ml - 200</v>
      </c>
      <c r="E2226" s="87" t="str">
        <f>IFERROR(__xludf.DUMMYFUNCTION("""COMPUTED_VALUE"""),"Vi lượng AV-CFC Plus")</f>
        <v>Vi lượng AV-CFC Plus</v>
      </c>
      <c r="F2226" s="87" t="str">
        <f>IFERROR(__xludf.DUMMYFUNCTION("""COMPUTED_VALUE"""),"HH1670")</f>
        <v>HH1670</v>
      </c>
      <c r="G2226" s="87" t="str">
        <f>IFERROR(__xludf.DUMMYFUNCTION("""COMPUTED_VALUE"""),"GC -  IV - 1670 - Cty Agricare Úc (A.Lộc)  - Dưỡng Chất Hữu Cơ (Gel nâu đen)  - 50ml - 200")</f>
        <v>GC -  IV - 1670 - Cty Agricare Úc (A.Lộc)  - Dưỡng Chất Hữu Cơ (Gel nâu đen)  - 50ml - 200</v>
      </c>
    </row>
    <row r="2227">
      <c r="A2227" s="86">
        <f>IFERROR(__xludf.DUMMYFUNCTION("""COMPUTED_VALUE"""),2225.0)</f>
        <v>2225</v>
      </c>
      <c r="B2227" s="87" t="str">
        <f>IFERROR(__xludf.DUMMYFUNCTION("""COMPUTED_VALUE"""),"Nhãn")</f>
        <v>Nhãn</v>
      </c>
      <c r="C2227" s="87" t="str">
        <f>IFERROR(__xludf.DUMMYFUNCTION("""COMPUTED_VALUE"""),"NHG1671")</f>
        <v>NHG1671</v>
      </c>
      <c r="D2227" s="87" t="str">
        <f>IFERROR(__xludf.DUMMYFUNCTION("""COMPUTED_VALUE"""),"[Nhãn] GC - IV - 1671 - CTY AGRO LIFE SOLUTION - RỒNG LỬA (Nước đỏ) - 900ml - 20")</f>
        <v>[Nhãn] GC - IV - 1671 - CTY AGRO LIFE SOLUTION - RỒNG LỬA (Nước đỏ) - 900ml - 20</v>
      </c>
      <c r="E2227" s="87" t="str">
        <f>IFERROR(__xludf.DUMMYFUNCTION("""COMPUTED_VALUE"""),"Asupergras 200SL")</f>
        <v>Asupergras 200SL</v>
      </c>
      <c r="F2227" s="87" t="str">
        <f>IFERROR(__xludf.DUMMYFUNCTION("""COMPUTED_VALUE"""),"HH1671")</f>
        <v>HH1671</v>
      </c>
      <c r="G2227" s="87" t="str">
        <f>IFERROR(__xludf.DUMMYFUNCTION("""COMPUTED_VALUE"""),"GC - IV - 1671 - CTY AGRO LIFE SOLUTION - RỒNG LỬA (Nước đỏ) - 900ml - 20")</f>
        <v>GC - IV - 1671 - CTY AGRO LIFE SOLUTION - RỒNG LỬA (Nước đỏ) - 900ml - 20</v>
      </c>
    </row>
    <row r="2228">
      <c r="A2228" s="86">
        <f>IFERROR(__xludf.DUMMYFUNCTION("""COMPUTED_VALUE"""),2226.0)</f>
        <v>2226</v>
      </c>
      <c r="B2228" s="87" t="str">
        <f>IFERROR(__xludf.DUMMYFUNCTION("""COMPUTED_VALUE"""),"Nhãn")</f>
        <v>Nhãn</v>
      </c>
      <c r="C2228" s="87" t="str">
        <f>IFERROR(__xludf.DUMMYFUNCTION("""COMPUTED_VALUE"""),"NHG1672")</f>
        <v>NHG1672</v>
      </c>
      <c r="D2228" s="87" t="str">
        <f>IFERROR(__xludf.DUMMYFUNCTION("""COMPUTED_VALUE"""),"[Nhãn] NB - K - 1672 -  DAVI - MEKONGVIL 5SC - DAVI VIN - CHAI HD 1L - 20")</f>
        <v>[Nhãn] NB - K - 1672 -  DAVI - MEKONGVIL 5SC - DAVI VIN - CHAI HD 1L - 20</v>
      </c>
      <c r="E2228" s="87" t="str">
        <f>IFERROR(__xludf.DUMMYFUNCTION("""COMPUTED_VALUE"""),"Mekongvil 5SC")</f>
        <v>Mekongvil 5SC</v>
      </c>
      <c r="F2228" s="87" t="str">
        <f>IFERROR(__xludf.DUMMYFUNCTION("""COMPUTED_VALUE"""),"HH1672")</f>
        <v>HH1672</v>
      </c>
      <c r="G2228" s="87" t="str">
        <f>IFERROR(__xludf.DUMMYFUNCTION("""COMPUTED_VALUE"""),"NB - K - 1672 -  DAVI - MEKONGVIL 5SC - DAVI VIN - CHAI HD 1L - 20")</f>
        <v>NB - K - 1672 -  DAVI - MEKONGVIL 5SC - DAVI VIN - CHAI HD 1L - 20</v>
      </c>
    </row>
    <row r="2229">
      <c r="A2229" s="86">
        <f>IFERROR(__xludf.DUMMYFUNCTION("""COMPUTED_VALUE"""),2227.0)</f>
        <v>2227</v>
      </c>
      <c r="B2229" s="87" t="str">
        <f>IFERROR(__xludf.DUMMYFUNCTION("""COMPUTED_VALUE"""),"Nhãn thùng")</f>
        <v>Nhãn thùng</v>
      </c>
      <c r="C2229" s="87" t="str">
        <f>IFERROR(__xludf.DUMMYFUNCTION("""COMPUTED_VALUE"""),"NDT1672")</f>
        <v>NDT1672</v>
      </c>
      <c r="D2229" s="87" t="str">
        <f>IFERROR(__xludf.DUMMYFUNCTION("""COMPUTED_VALUE"""),"[Nhãn thùng] NB - K - 1672 -  DAVI - MEKONGVIL 5SC - DAVI VIN - CHAI HD 1L - 20")</f>
        <v>[Nhãn thùng] NB - K - 1672 -  DAVI - MEKONGVIL 5SC - DAVI VIN - CHAI HD 1L - 20</v>
      </c>
      <c r="E2229" s="87" t="str">
        <f>IFERROR(__xludf.DUMMYFUNCTION("""COMPUTED_VALUE"""),"Mekongvil 5SC")</f>
        <v>Mekongvil 5SC</v>
      </c>
      <c r="F2229" s="87" t="str">
        <f>IFERROR(__xludf.DUMMYFUNCTION("""COMPUTED_VALUE"""),"HH1672")</f>
        <v>HH1672</v>
      </c>
      <c r="G2229" s="87" t="str">
        <f>IFERROR(__xludf.DUMMYFUNCTION("""COMPUTED_VALUE"""),"NB - K - 1672 -  DAVI - MEKONGVIL 5SC - DAVI VIN - CHAI HD 1L - 20")</f>
        <v>NB - K - 1672 -  DAVI - MEKONGVIL 5SC - DAVI VIN - CHAI HD 1L - 20</v>
      </c>
    </row>
    <row r="2230">
      <c r="A2230" s="86">
        <f>IFERROR(__xludf.DUMMYFUNCTION("""COMPUTED_VALUE"""),2228.0)</f>
        <v>2228</v>
      </c>
      <c r="B2230" s="87" t="str">
        <f>IFERROR(__xludf.DUMMYFUNCTION("""COMPUTED_VALUE"""),"Nhãn")</f>
        <v>Nhãn</v>
      </c>
      <c r="C2230" s="87" t="str">
        <f>IFERROR(__xludf.DUMMYFUNCTION("""COMPUTED_VALUE"""),"NHD1673")</f>
        <v>NHD1673</v>
      </c>
      <c r="D2230" s="87" t="str">
        <f>IFERROR(__xludf.DUMMYFUNCTION("""COMPUTED_VALUE"""),"[Nhãn] GC - IV - 1673 - Cty Lộc Phát Nông - ORGANIC 23 (bột nâu đen) - 25kg - 1")</f>
        <v>[Nhãn] GC - IV - 1673 - Cty Lộc Phát Nông - ORGANIC 23 (bột nâu đen) - 25kg - 1</v>
      </c>
      <c r="E2230" s="87" t="str">
        <f>IFERROR(__xludf.DUMMYFUNCTION("""COMPUTED_VALUE"""),"Hữu cơ sinh học Nam Kinh 02")</f>
        <v>Hữu cơ sinh học Nam Kinh 02</v>
      </c>
      <c r="F2230" s="87" t="str">
        <f>IFERROR(__xludf.DUMMYFUNCTION("""COMPUTED_VALUE"""),"HH1673")</f>
        <v>HH1673</v>
      </c>
      <c r="G2230" s="87" t="str">
        <f>IFERROR(__xludf.DUMMYFUNCTION("""COMPUTED_VALUE"""),"GC - IV - 1673 - Cty Lộc Phát Nông - ORGANIC 23 (bột nâu đen) - 25kg - 1")</f>
        <v>GC - IV - 1673 - Cty Lộc Phát Nông - ORGANIC 23 (bột nâu đen) - 25kg - 1</v>
      </c>
    </row>
    <row r="2231">
      <c r="A2231" s="86">
        <f>IFERROR(__xludf.DUMMYFUNCTION("""COMPUTED_VALUE"""),2229.0)</f>
        <v>2229</v>
      </c>
      <c r="B2231" s="87" t="str">
        <f>IFERROR(__xludf.DUMMYFUNCTION("""COMPUTED_VALUE"""),"Nhãn")</f>
        <v>Nhãn</v>
      </c>
      <c r="C2231" s="87" t="str">
        <f>IFERROR(__xludf.DUMMYFUNCTION("""COMPUTED_VALUE"""),"NTN1674")</f>
        <v>NTN1674</v>
      </c>
      <c r="D2231" s="87" t="str">
        <f>IFERROR(__xludf.DUMMYFUNCTION("""COMPUTED_VALUE"""),"[Nhãn] GC - IV - 1674 - Cty Lộc Phát Nông - HUMIC PLUS(bột nâu đen) - 1kg - 25")</f>
        <v>[Nhãn] GC - IV - 1674 - Cty Lộc Phát Nông - HUMIC PLUS(bột nâu đen) - 1kg - 25</v>
      </c>
      <c r="E2231" s="87" t="str">
        <f>IFERROR(__xludf.DUMMYFUNCTION("""COMPUTED_VALUE"""),"Hữu cơ sinh học Nam Kinh 02")</f>
        <v>Hữu cơ sinh học Nam Kinh 02</v>
      </c>
      <c r="F2231" s="87" t="str">
        <f>IFERROR(__xludf.DUMMYFUNCTION("""COMPUTED_VALUE"""),"HH1674")</f>
        <v>HH1674</v>
      </c>
      <c r="G2231" s="87" t="str">
        <f>IFERROR(__xludf.DUMMYFUNCTION("""COMPUTED_VALUE"""),"GC - IV - 1674 - Cty Lộc Phát Nông - HUMIC PLUS(bột nâu đen) - 1kg - 25")</f>
        <v>GC - IV - 1674 - Cty Lộc Phát Nông - HUMIC PLUS(bột nâu đen) - 1kg - 25</v>
      </c>
    </row>
    <row r="2232">
      <c r="A2232" s="86">
        <f>IFERROR(__xludf.DUMMYFUNCTION("""COMPUTED_VALUE"""),2230.0)</f>
        <v>2230</v>
      </c>
      <c r="B2232" s="87" t="str">
        <f>IFERROR(__xludf.DUMMYFUNCTION("""COMPUTED_VALUE"""),"Nhãn thùng")</f>
        <v>Nhãn thùng</v>
      </c>
      <c r="C2232" s="87" t="str">
        <f>IFERROR(__xludf.DUMMYFUNCTION("""COMPUTED_VALUE"""),"NDT1674")</f>
        <v>NDT1674</v>
      </c>
      <c r="D2232" s="87" t="str">
        <f>IFERROR(__xludf.DUMMYFUNCTION("""COMPUTED_VALUE"""),"[Nhãn thùng] GC - IV - 1674 - Cty Lộc Phát Nông - HUMIC PLUS(bột nâu đen) - 1kg - 25")</f>
        <v>[Nhãn thùng] GC - IV - 1674 - Cty Lộc Phát Nông - HUMIC PLUS(bột nâu đen) - 1kg - 25</v>
      </c>
      <c r="E2232" s="87" t="str">
        <f>IFERROR(__xludf.DUMMYFUNCTION("""COMPUTED_VALUE"""),"Hữu cơ sinh học Nam Kinh 02")</f>
        <v>Hữu cơ sinh học Nam Kinh 02</v>
      </c>
      <c r="F2232" s="87" t="str">
        <f>IFERROR(__xludf.DUMMYFUNCTION("""COMPUTED_VALUE"""),"HH1674")</f>
        <v>HH1674</v>
      </c>
      <c r="G2232" s="87" t="str">
        <f>IFERROR(__xludf.DUMMYFUNCTION("""COMPUTED_VALUE"""),"GC - IV - 1674 - Cty Lộc Phát Nông - HUMIC PLUS(bột nâu đen) - 1kg - 25")</f>
        <v>GC - IV - 1674 - Cty Lộc Phát Nông - HUMIC PLUS(bột nâu đen) - 1kg - 25</v>
      </c>
    </row>
    <row r="2233">
      <c r="A2233" s="86">
        <f>IFERROR(__xludf.DUMMYFUNCTION("""COMPUTED_VALUE"""),2231.0)</f>
        <v>2231</v>
      </c>
      <c r="B2233" s="87" t="str">
        <f>IFERROR(__xludf.DUMMYFUNCTION("""COMPUTED_VALUE"""),"Nhãn")</f>
        <v>Nhãn</v>
      </c>
      <c r="C2233" s="87" t="str">
        <f>IFERROR(__xludf.DUMMYFUNCTION("""COMPUTED_VALUE"""),"NHG1675")</f>
        <v>NHG1675</v>
      </c>
      <c r="D2233" s="87" t="str">
        <f>IFERROR(__xludf.DUMMYFUNCTION("""COMPUTED_VALUE"""),"[Nhãn] GC - IV - 1675 - Cty Lộc Phát Nông - NANO BẠC (nước xanh nõn chuối nhạt) - 500ml - 40")</f>
        <v>[Nhãn] GC - IV - 1675 - Cty Lộc Phát Nông - NANO BẠC (nước xanh nõn chuối nhạt) - 500ml - 40</v>
      </c>
      <c r="E2233" s="87" t="str">
        <f>IFERROR(__xludf.DUMMYFUNCTION("""COMPUTED_VALUE"""),"Vi lượng Run Fast")</f>
        <v>Vi lượng Run Fast</v>
      </c>
      <c r="F2233" s="87" t="str">
        <f>IFERROR(__xludf.DUMMYFUNCTION("""COMPUTED_VALUE"""),"HH1675")</f>
        <v>HH1675</v>
      </c>
      <c r="G2233" s="87" t="str">
        <f>IFERROR(__xludf.DUMMYFUNCTION("""COMPUTED_VALUE"""),"GC - IV - 1675 - Cty Lộc Phát Nông - NANO BẠC (nước xanh nõn chuối nhạt) - 500ml - 40")</f>
        <v>GC - IV - 1675 - Cty Lộc Phát Nông - NANO BẠC (nước xanh nõn chuối nhạt) - 500ml - 40</v>
      </c>
    </row>
    <row r="2234">
      <c r="A2234" s="86">
        <f>IFERROR(__xludf.DUMMYFUNCTION("""COMPUTED_VALUE"""),2232.0)</f>
        <v>2232</v>
      </c>
      <c r="B2234" s="87" t="str">
        <f>IFERROR(__xludf.DUMMYFUNCTION("""COMPUTED_VALUE"""),"Nhãn")</f>
        <v>Nhãn</v>
      </c>
      <c r="C2234" s="87" t="str">
        <f>IFERROR(__xludf.DUMMYFUNCTION("""COMPUTED_VALUE"""),"NHG1676")</f>
        <v>NHG1676</v>
      </c>
      <c r="D2234" s="87" t="str">
        <f>IFERROR(__xludf.DUMMYFUNCTION("""COMPUTED_VALUE"""),"[Nhãn] GC - IV - 1676 - Cty Lộc Phát Nông - Nano Đồng (nước xanh nõn chuối) - 500ml - 40")</f>
        <v>[Nhãn] GC - IV - 1676 - Cty Lộc Phát Nông - Nano Đồng (nước xanh nõn chuối) - 500ml - 40</v>
      </c>
      <c r="E2234" s="87" t="str">
        <f>IFERROR(__xludf.DUMMYFUNCTION("""COMPUTED_VALUE"""),"Vi lượng Agama - Cu")</f>
        <v>Vi lượng Agama - Cu</v>
      </c>
      <c r="F2234" s="87" t="str">
        <f>IFERROR(__xludf.DUMMYFUNCTION("""COMPUTED_VALUE"""),"HH1676")</f>
        <v>HH1676</v>
      </c>
      <c r="G2234" s="87" t="str">
        <f>IFERROR(__xludf.DUMMYFUNCTION("""COMPUTED_VALUE"""),"GC - IV - 1676 - Cty Lộc Phát Nông - Nano Đồng (nước xanh nõn chuối) - 500ml - 40")</f>
        <v>GC - IV - 1676 - Cty Lộc Phát Nông - Nano Đồng (nước xanh nõn chuối) - 500ml - 40</v>
      </c>
    </row>
    <row r="2235">
      <c r="A2235" s="86">
        <f>IFERROR(__xludf.DUMMYFUNCTION("""COMPUTED_VALUE"""),2233.0)</f>
        <v>2233</v>
      </c>
      <c r="B2235" s="87" t="str">
        <f>IFERROR(__xludf.DUMMYFUNCTION("""COMPUTED_VALUE"""),"Nhãn")</f>
        <v>Nhãn</v>
      </c>
      <c r="C2235" s="87" t="str">
        <f>IFERROR(__xludf.DUMMYFUNCTION("""COMPUTED_VALUE"""),"NHD1677")</f>
        <v>NHD1677</v>
      </c>
      <c r="D2235" s="87" t="str">
        <f>IFERROR(__xludf.DUMMYFUNCTION("""COMPUTED_VALUE"""),"[Nhãn]  GC - II - 1677 - Cty Lộc Phát Nông - Siêu Ra Rễ Thần Tốc (nước nâu đen) - 20L - 1")</f>
        <v>[Nhãn]  GC - II - 1677 - Cty Lộc Phát Nông - Siêu Ra Rễ Thần Tốc (nước nâu đen) - 20L - 1</v>
      </c>
      <c r="E2235" s="87" t="str">
        <f>IFERROR(__xludf.DUMMYFUNCTION("""COMPUTED_VALUE"""),"Vi lượng Quantity New")</f>
        <v>Vi lượng Quantity New</v>
      </c>
      <c r="F2235" s="87" t="str">
        <f>IFERROR(__xludf.DUMMYFUNCTION("""COMPUTED_VALUE"""),"HH1677")</f>
        <v>HH1677</v>
      </c>
      <c r="G2235" s="87" t="str">
        <f>IFERROR(__xludf.DUMMYFUNCTION("""COMPUTED_VALUE"""),"GC - II - 1677 - Cty Lộc Phát Nông - Siêu Ra Rễ Thần Tốc (nước nâu đen) - 20L - 1")</f>
        <v>GC - II - 1677 - Cty Lộc Phát Nông - Siêu Ra Rễ Thần Tốc (nước nâu đen) - 20L - 1</v>
      </c>
    </row>
    <row r="2236">
      <c r="A2236" s="86">
        <f>IFERROR(__xludf.DUMMYFUNCTION("""COMPUTED_VALUE"""),2234.0)</f>
        <v>2234</v>
      </c>
      <c r="B2236" s="87" t="str">
        <f>IFERROR(__xludf.DUMMYFUNCTION("""COMPUTED_VALUE"""),"Nhãn")</f>
        <v>Nhãn</v>
      </c>
      <c r="C2236" s="87" t="str">
        <f>IFERROR(__xludf.DUMMYFUNCTION("""COMPUTED_VALUE"""),"NHD1678")</f>
        <v>NHD1678</v>
      </c>
      <c r="D2236" s="87" t="str">
        <f>IFERROR(__xludf.DUMMYFUNCTION("""COMPUTED_VALUE"""),"[Nhãn] GC - II - 1678 - Cty Lộc Phát Nông - Vua Ra Rễ (nước nâu đen) - 20L - 1")</f>
        <v>[Nhãn] GC - II - 1678 - Cty Lộc Phát Nông - Vua Ra Rễ (nước nâu đen) - 20L - 1</v>
      </c>
      <c r="E2236" s="87" t="str">
        <f>IFERROR(__xludf.DUMMYFUNCTION("""COMPUTED_VALUE"""),"Vi lượng Quantity New")</f>
        <v>Vi lượng Quantity New</v>
      </c>
      <c r="F2236" s="87" t="str">
        <f>IFERROR(__xludf.DUMMYFUNCTION("""COMPUTED_VALUE"""),"HH1678")</f>
        <v>HH1678</v>
      </c>
      <c r="G2236" s="87" t="str">
        <f>IFERROR(__xludf.DUMMYFUNCTION("""COMPUTED_VALUE"""),"GC - II - 1678 - Cty Lộc Phát Nông - Vua Ra Rễ (nước nâu đen) - 20L - 1")</f>
        <v>GC - II - 1678 - Cty Lộc Phát Nông - Vua Ra Rễ (nước nâu đen) - 20L - 1</v>
      </c>
    </row>
    <row r="2237">
      <c r="A2237" s="86">
        <f>IFERROR(__xludf.DUMMYFUNCTION("""COMPUTED_VALUE"""),2235.0)</f>
        <v>2235</v>
      </c>
      <c r="B2237" s="87" t="str">
        <f>IFERROR(__xludf.DUMMYFUNCTION("""COMPUTED_VALUE"""),"Nhãn")</f>
        <v>Nhãn</v>
      </c>
      <c r="C2237" s="87" t="str">
        <f>IFERROR(__xludf.DUMMYFUNCTION("""COMPUTED_VALUE"""),"NHD1679")</f>
        <v>NHD1679</v>
      </c>
      <c r="D2237" s="87" t="str">
        <f>IFERROR(__xludf.DUMMYFUNCTION("""COMPUTED_VALUE"""),"[Nhãn] GC - II - 1679 - Cty Lộc Phát Nông - 30-10-10 (bột xanh) - 20kg - 1")</f>
        <v>[Nhãn] GC - II - 1679 - Cty Lộc Phát Nông - 30-10-10 (bột xanh) - 20kg - 1</v>
      </c>
      <c r="E2237" s="87" t="str">
        <f>IFERROR(__xludf.DUMMYFUNCTION("""COMPUTED_VALUE"""),"Vi lượng Slow Growth")</f>
        <v>Vi lượng Slow Growth</v>
      </c>
      <c r="F2237" s="87" t="str">
        <f>IFERROR(__xludf.DUMMYFUNCTION("""COMPUTED_VALUE"""),"HH1679")</f>
        <v>HH1679</v>
      </c>
      <c r="G2237" s="87" t="str">
        <f>IFERROR(__xludf.DUMMYFUNCTION("""COMPUTED_VALUE"""),"GC - II - 1679 - Cty Lộc Phát Nông - 30-10-10 (bột xanh) - 20kg - 1")</f>
        <v>GC - II - 1679 - Cty Lộc Phát Nông - 30-10-10 (bột xanh) - 20kg - 1</v>
      </c>
    </row>
    <row r="2238">
      <c r="A2238" s="86">
        <f>IFERROR(__xludf.DUMMYFUNCTION("""COMPUTED_VALUE"""),2236.0)</f>
        <v>2236</v>
      </c>
      <c r="B2238" s="87" t="str">
        <f>IFERROR(__xludf.DUMMYFUNCTION("""COMPUTED_VALUE"""),"Nhãn thùng")</f>
        <v>Nhãn thùng</v>
      </c>
      <c r="C2238" s="87" t="str">
        <f>IFERROR(__xludf.DUMMYFUNCTION("""COMPUTED_VALUE"""),"NDT1679")</f>
        <v>NDT1679</v>
      </c>
      <c r="D2238" s="87" t="str">
        <f>IFERROR(__xludf.DUMMYFUNCTION("""COMPUTED_VALUE"""),"[Nhãn thùng] GC - II - 1679 - Cty Lộc Phát Nông - 30-10-10 (bột xanh) - 20kg - 1")</f>
        <v>[Nhãn thùng] GC - II - 1679 - Cty Lộc Phát Nông - 30-10-10 (bột xanh) - 20kg - 1</v>
      </c>
      <c r="E2238" s="87" t="str">
        <f>IFERROR(__xludf.DUMMYFUNCTION("""COMPUTED_VALUE"""),"Vi lượng Slow Growth")</f>
        <v>Vi lượng Slow Growth</v>
      </c>
      <c r="F2238" s="87" t="str">
        <f>IFERROR(__xludf.DUMMYFUNCTION("""COMPUTED_VALUE"""),"HH1679")</f>
        <v>HH1679</v>
      </c>
      <c r="G2238" s="87" t="str">
        <f>IFERROR(__xludf.DUMMYFUNCTION("""COMPUTED_VALUE"""),"GC - II - 1679 - Cty Lộc Phát Nông - 30-10-10 (bột xanh) - 20kg - 1")</f>
        <v>GC - II - 1679 - Cty Lộc Phát Nông - 30-10-10 (bột xanh) - 20kg - 1</v>
      </c>
    </row>
    <row r="2239">
      <c r="A2239" s="86">
        <f>IFERROR(__xludf.DUMMYFUNCTION("""COMPUTED_VALUE"""),2237.0)</f>
        <v>2237</v>
      </c>
      <c r="B2239" s="87" t="str">
        <f>IFERROR(__xludf.DUMMYFUNCTION("""COMPUTED_VALUE"""),"Nhãn")</f>
        <v>Nhãn</v>
      </c>
      <c r="C2239" s="87" t="str">
        <f>IFERROR(__xludf.DUMMYFUNCTION("""COMPUTED_VALUE"""),"NHG1680")</f>
        <v>NHG1680</v>
      </c>
      <c r="D2239" s="87" t="str">
        <f>IFERROR(__xludf.DUMMYFUNCTION("""COMPUTED_VALUE"""),"[Nhãn] GC - IV - 1680 - MASTER WIN - SUPER F2 (nước xanh nõn chuối) - 250ml - 40")</f>
        <v>[Nhãn] GC - IV - 1680 - MASTER WIN - SUPER F2 (nước xanh nõn chuối) - 250ml - 40</v>
      </c>
      <c r="E2239" s="87" t="str">
        <f>IFERROR(__xludf.DUMMYFUNCTION("""COMPUTED_VALUE"""),"Vi lượng Run Fast")</f>
        <v>Vi lượng Run Fast</v>
      </c>
      <c r="F2239" s="87" t="str">
        <f>IFERROR(__xludf.DUMMYFUNCTION("""COMPUTED_VALUE"""),"HH1680")</f>
        <v>HH1680</v>
      </c>
      <c r="G2239" s="87" t="str">
        <f>IFERROR(__xludf.DUMMYFUNCTION("""COMPUTED_VALUE"""),"GC - IV - 1680 - MASTER WIN - SUPER F2 (nước xanh nõn chuối) - 250ml - 40")</f>
        <v>GC - IV - 1680 - MASTER WIN - SUPER F2 (nước xanh nõn chuối) - 250ml - 40</v>
      </c>
    </row>
    <row r="2240">
      <c r="A2240" s="86">
        <f>IFERROR(__xludf.DUMMYFUNCTION("""COMPUTED_VALUE"""),2238.0)</f>
        <v>2238</v>
      </c>
      <c r="B2240" s="87" t="str">
        <f>IFERROR(__xludf.DUMMYFUNCTION("""COMPUTED_VALUE"""),"Nhãn")</f>
        <v>Nhãn</v>
      </c>
      <c r="C2240" s="87" t="str">
        <f>IFERROR(__xludf.DUMMYFUNCTION("""COMPUTED_VALUE"""),"NTN1681")</f>
        <v>NTN1681</v>
      </c>
      <c r="D2240" s="87" t="str">
        <f>IFERROR(__xludf.DUMMYFUNCTION("""COMPUTED_VALUE"""),"[Nhãn] GC - IV - 1681 - Cty NHP Group - NIKASU 100WP (Bột trắng ngà) - 100gr - 100")</f>
        <v>[Nhãn] GC - IV - 1681 - Cty NHP Group - NIKASU 100WP (Bột trắng ngà) - 100gr - 100</v>
      </c>
      <c r="E2240" s="87" t="str">
        <f>IFERROR(__xludf.DUMMYFUNCTION("""COMPUTED_VALUE"""),"NIKASU 100WP")</f>
        <v>NIKASU 100WP</v>
      </c>
      <c r="F2240" s="87" t="str">
        <f>IFERROR(__xludf.DUMMYFUNCTION("""COMPUTED_VALUE"""),"HH1681")</f>
        <v>HH1681</v>
      </c>
      <c r="G2240" s="87" t="str">
        <f>IFERROR(__xludf.DUMMYFUNCTION("""COMPUTED_VALUE"""),"GC - IV - 1681 - Cty NHP Group - NIKASU 100WP (Bột trắng ngà) - 100gr - 100")</f>
        <v>GC - IV - 1681 - Cty NHP Group - NIKASU 100WP (Bột trắng ngà) - 100gr - 100</v>
      </c>
    </row>
    <row r="2241">
      <c r="A2241" s="86">
        <f>IFERROR(__xludf.DUMMYFUNCTION("""COMPUTED_VALUE"""),2239.0)</f>
        <v>2239</v>
      </c>
      <c r="B2241" s="87" t="str">
        <f>IFERROR(__xludf.DUMMYFUNCTION("""COMPUTED_VALUE"""),"Nhãn thùng")</f>
        <v>Nhãn thùng</v>
      </c>
      <c r="C2241" s="87" t="str">
        <f>IFERROR(__xludf.DUMMYFUNCTION("""COMPUTED_VALUE"""),"NDT1681")</f>
        <v>NDT1681</v>
      </c>
      <c r="D2241" s="87" t="str">
        <f>IFERROR(__xludf.DUMMYFUNCTION("""COMPUTED_VALUE"""),"[Nhãn thùng] GC - IV - 1681 - Cty NHP Group - NIKASU 100WP (Bột trắng ngà) - 100gr - 100")</f>
        <v>[Nhãn thùng] GC - IV - 1681 - Cty NHP Group - NIKASU 100WP (Bột trắng ngà) - 100gr - 100</v>
      </c>
      <c r="E2241" s="87" t="str">
        <f>IFERROR(__xludf.DUMMYFUNCTION("""COMPUTED_VALUE"""),"NIKASU 100WP")</f>
        <v>NIKASU 100WP</v>
      </c>
      <c r="F2241" s="87" t="str">
        <f>IFERROR(__xludf.DUMMYFUNCTION("""COMPUTED_VALUE"""),"HH1681")</f>
        <v>HH1681</v>
      </c>
      <c r="G2241" s="87" t="str">
        <f>IFERROR(__xludf.DUMMYFUNCTION("""COMPUTED_VALUE"""),"GC - IV - 1681 - Cty NHP Group - NIKASU 100WP (Bột trắng ngà) - 100gr - 100")</f>
        <v>GC - IV - 1681 - Cty NHP Group - NIKASU 100WP (Bột trắng ngà) - 100gr - 100</v>
      </c>
    </row>
    <row r="2242">
      <c r="A2242" s="86">
        <f>IFERROR(__xludf.DUMMYFUNCTION("""COMPUTED_VALUE"""),2240.0)</f>
        <v>2240</v>
      </c>
      <c r="B2242" s="87" t="str">
        <f>IFERROR(__xludf.DUMMYFUNCTION("""COMPUTED_VALUE"""),"Nhãn")</f>
        <v>Nhãn</v>
      </c>
      <c r="C2242" s="87" t="str">
        <f>IFERROR(__xludf.DUMMYFUNCTION("""COMPUTED_VALUE"""),"NHD1682")</f>
        <v>NHD1682</v>
      </c>
      <c r="D2242" s="87" t="str">
        <f>IFERROR(__xludf.DUMMYFUNCTION("""COMPUTED_VALUE"""),"[Nhãn] NB - IV - 1682 - Hưng Thắng Lợi Gia Lai - Asupergras 200SL(nước tím) - 20L - 1")</f>
        <v>[Nhãn] NB - IV - 1682 - Hưng Thắng Lợi Gia Lai - Asupergras 200SL(nước tím) - 20L - 1</v>
      </c>
      <c r="E2242" s="87" t="str">
        <f>IFERROR(__xludf.DUMMYFUNCTION("""COMPUTED_VALUE"""),"Asupergras 200SL")</f>
        <v>Asupergras 200SL</v>
      </c>
      <c r="F2242" s="87" t="str">
        <f>IFERROR(__xludf.DUMMYFUNCTION("""COMPUTED_VALUE"""),"HH1682")</f>
        <v>HH1682</v>
      </c>
      <c r="G2242" s="87" t="str">
        <f>IFERROR(__xludf.DUMMYFUNCTION("""COMPUTED_VALUE"""),"NB - IV - 1682 - Hưng Thắng Lợi Gia Lai - Asupergras 200SL(nước tím) - 20L - 1")</f>
        <v>NB - IV - 1682 - Hưng Thắng Lợi Gia Lai - Asupergras 200SL(nước tím) - 20L - 1</v>
      </c>
    </row>
    <row r="2243">
      <c r="A2243" s="86">
        <f>IFERROR(__xludf.DUMMYFUNCTION("""COMPUTED_VALUE"""),2241.0)</f>
        <v>2241</v>
      </c>
      <c r="B2243" s="87" t="str">
        <f>IFERROR(__xludf.DUMMYFUNCTION("""COMPUTED_VALUE"""),"Nhãn")</f>
        <v>Nhãn</v>
      </c>
      <c r="C2243" s="87" t="str">
        <f>IFERROR(__xludf.DUMMYFUNCTION("""COMPUTED_VALUE"""),"NHD1683")</f>
        <v>NHD1683</v>
      </c>
      <c r="D2243" s="87" t="str">
        <f>IFERROR(__xludf.DUMMYFUNCTION("""COMPUTED_VALUE"""),"[Nhãn] NB - IV - 1683 - Hưng Thắng Lợi Gia Lai - THIPRO 550EC(nước vàng nhạt) - 20L - 1")</f>
        <v>[Nhãn] NB - IV - 1683 - Hưng Thắng Lợi Gia Lai - THIPRO 550EC(nước vàng nhạt) - 20L - 1</v>
      </c>
      <c r="E2243" s="87" t="str">
        <f>IFERROR(__xludf.DUMMYFUNCTION("""COMPUTED_VALUE"""),"Thipro 550EC")</f>
        <v>Thipro 550EC</v>
      </c>
      <c r="F2243" s="87" t="str">
        <f>IFERROR(__xludf.DUMMYFUNCTION("""COMPUTED_VALUE"""),"HH1683")</f>
        <v>HH1683</v>
      </c>
      <c r="G2243" s="87" t="str">
        <f>IFERROR(__xludf.DUMMYFUNCTION("""COMPUTED_VALUE"""),"NB - IV - 1683 - Hưng Thắng Lợi Gia Lai - THIPRO 550EC(nước vàng nhạt) - 20L - 1")</f>
        <v>NB - IV - 1683 - Hưng Thắng Lợi Gia Lai - THIPRO 550EC(nước vàng nhạt) - 20L - 1</v>
      </c>
    </row>
    <row r="2244">
      <c r="A2244" s="86">
        <f>IFERROR(__xludf.DUMMYFUNCTION("""COMPUTED_VALUE"""),2242.0)</f>
        <v>2242</v>
      </c>
      <c r="B2244" s="87" t="str">
        <f>IFERROR(__xludf.DUMMYFUNCTION("""COMPUTED_VALUE"""),"Nhãn")</f>
        <v>Nhãn</v>
      </c>
      <c r="C2244" s="87" t="str">
        <f>IFERROR(__xludf.DUMMYFUNCTION("""COMPUTED_VALUE"""),"NHD1684")</f>
        <v>NHD1684</v>
      </c>
      <c r="D2244" s="87" t="str">
        <f>IFERROR(__xludf.DUMMYFUNCTION("""COMPUTED_VALUE"""),"[Nhãn] NB - IV - 1684 - Hưng Thắng Lợi Gia Lai - YAPOKO 250SC (nước vàng sữa) - 20L - 1")</f>
        <v>[Nhãn] NB - IV - 1684 - Hưng Thắng Lợi Gia Lai - YAPOKO 250SC (nước vàng sữa) - 20L - 1</v>
      </c>
      <c r="E2244" s="87" t="str">
        <f>IFERROR(__xludf.DUMMYFUNCTION("""COMPUTED_VALUE"""),"YAPOKO 250SC")</f>
        <v>YAPOKO 250SC</v>
      </c>
      <c r="F2244" s="87" t="str">
        <f>IFERROR(__xludf.DUMMYFUNCTION("""COMPUTED_VALUE"""),"HH1684")</f>
        <v>HH1684</v>
      </c>
      <c r="G2244" s="87" t="str">
        <f>IFERROR(__xludf.DUMMYFUNCTION("""COMPUTED_VALUE"""),"NB - IV - 1684 - Hưng Thắng Lợi Gia Lai - YAPOKO 250SC (nước vàng sữa) - 20L - 1")</f>
        <v>NB - IV - 1684 - Hưng Thắng Lợi Gia Lai - YAPOKO 250SC (nước vàng sữa) - 20L - 1</v>
      </c>
    </row>
    <row r="2245">
      <c r="A2245" s="86">
        <f>IFERROR(__xludf.DUMMYFUNCTION("""COMPUTED_VALUE"""),2243.0)</f>
        <v>2243</v>
      </c>
      <c r="B2245" s="87" t="str">
        <f>IFERROR(__xludf.DUMMYFUNCTION("""COMPUTED_VALUE"""),"nhãn phụ")</f>
        <v>nhãn phụ</v>
      </c>
      <c r="C2245" s="87" t="str">
        <f>IFERROR(__xludf.DUMMYFUNCTION("""COMPUTED_VALUE"""),"NHP1684")</f>
        <v>NHP1684</v>
      </c>
      <c r="D2245" s="87" t="str">
        <f>IFERROR(__xludf.DUMMYFUNCTION("""COMPUTED_VALUE"""),"[Nhãn phụ] NB - IV - 1684 - Hưng Thắng Lợi Gia Lai - YAPOKO 250SC (nước vàng sữa) - 20L - 1")</f>
        <v>[Nhãn phụ] NB - IV - 1684 - Hưng Thắng Lợi Gia Lai - YAPOKO 250SC (nước vàng sữa) - 20L - 1</v>
      </c>
      <c r="E2245" s="87" t="str">
        <f>IFERROR(__xludf.DUMMYFUNCTION("""COMPUTED_VALUE"""),"YAPOKO 250SC")</f>
        <v>YAPOKO 250SC</v>
      </c>
      <c r="F2245" s="87" t="str">
        <f>IFERROR(__xludf.DUMMYFUNCTION("""COMPUTED_VALUE"""),"HH1684")</f>
        <v>HH1684</v>
      </c>
      <c r="G2245" s="87" t="str">
        <f>IFERROR(__xludf.DUMMYFUNCTION("""COMPUTED_VALUE"""),"NB - IV - 1684 - Hưng Thắng Lợi Gia Lai - YAPOKO 250SC (nước vàng sữa) - 20L - 1")</f>
        <v>NB - IV - 1684 - Hưng Thắng Lợi Gia Lai - YAPOKO 250SC (nước vàng sữa) - 20L - 1</v>
      </c>
    </row>
    <row r="2246">
      <c r="A2246" s="86">
        <f>IFERROR(__xludf.DUMMYFUNCTION("""COMPUTED_VALUE"""),2244.0)</f>
        <v>2244</v>
      </c>
      <c r="B2246" s="87" t="str">
        <f>IFERROR(__xludf.DUMMYFUNCTION("""COMPUTED_VALUE"""),"Nhãn")</f>
        <v>Nhãn</v>
      </c>
      <c r="C2246" s="87" t="str">
        <f>IFERROR(__xludf.DUMMYFUNCTION("""COMPUTED_VALUE"""),"NTN1685")</f>
        <v>NTN1685</v>
      </c>
      <c r="D2246" s="87" t="str">
        <f>IFERROR(__xludf.DUMMYFUNCTION("""COMPUTED_VALUE"""),"[Nhãn] GC - IV - 1685 - Cty Thần Nông - Mancozeb Xanh (bột xanh) - 1kg - 20")</f>
        <v>[Nhãn] GC - IV - 1685 - Cty Thần Nông - Mancozeb Xanh (bột xanh) - 1kg - 20</v>
      </c>
      <c r="E2246" s="87" t="str">
        <f>IFERROR(__xludf.DUMMYFUNCTION("""COMPUTED_VALUE"""),"MANCOBGO 80WP")</f>
        <v>MANCOBGO 80WP</v>
      </c>
      <c r="F2246" s="87" t="str">
        <f>IFERROR(__xludf.DUMMYFUNCTION("""COMPUTED_VALUE"""),"HH1685")</f>
        <v>HH1685</v>
      </c>
      <c r="G2246" s="87" t="str">
        <f>IFERROR(__xludf.DUMMYFUNCTION("""COMPUTED_VALUE"""),"GC - IV - 1685 - Cty Thần Nông - Mancozeb Xanh (bột xanh) - 1kg - 20")</f>
        <v>GC - IV - 1685 - Cty Thần Nông - Mancozeb Xanh (bột xanh) - 1kg - 20</v>
      </c>
    </row>
    <row r="2247">
      <c r="A2247" s="86">
        <f>IFERROR(__xludf.DUMMYFUNCTION("""COMPUTED_VALUE"""),2245.0)</f>
        <v>2245</v>
      </c>
      <c r="B2247" s="87" t="str">
        <f>IFERROR(__xludf.DUMMYFUNCTION("""COMPUTED_VALUE"""),"Nhãn thùng")</f>
        <v>Nhãn thùng</v>
      </c>
      <c r="C2247" s="87" t="str">
        <f>IFERROR(__xludf.DUMMYFUNCTION("""COMPUTED_VALUE"""),"NDT1685")</f>
        <v>NDT1685</v>
      </c>
      <c r="D2247" s="87" t="str">
        <f>IFERROR(__xludf.DUMMYFUNCTION("""COMPUTED_VALUE"""),"[Nhãn thùng] GC - IV - 1685 - Cty Thần Nông - Mancozeb Xanh (bột xanh) - 1kg - 20")</f>
        <v>[Nhãn thùng] GC - IV - 1685 - Cty Thần Nông - Mancozeb Xanh (bột xanh) - 1kg - 20</v>
      </c>
      <c r="E2247" s="87" t="str">
        <f>IFERROR(__xludf.DUMMYFUNCTION("""COMPUTED_VALUE"""),"MANCOBGO 80WP")</f>
        <v>MANCOBGO 80WP</v>
      </c>
      <c r="F2247" s="87" t="str">
        <f>IFERROR(__xludf.DUMMYFUNCTION("""COMPUTED_VALUE"""),"HH1685")</f>
        <v>HH1685</v>
      </c>
      <c r="G2247" s="87" t="str">
        <f>IFERROR(__xludf.DUMMYFUNCTION("""COMPUTED_VALUE"""),"GC - IV - 1685 - Cty Thần Nông - Mancozeb Xanh (bột xanh) - 1kg - 20")</f>
        <v>GC - IV - 1685 - Cty Thần Nông - Mancozeb Xanh (bột xanh) - 1kg - 20</v>
      </c>
    </row>
    <row r="2248">
      <c r="A2248" s="86">
        <f>IFERROR(__xludf.DUMMYFUNCTION("""COMPUTED_VALUE"""),2246.0)</f>
        <v>2246</v>
      </c>
      <c r="B2248" s="87" t="str">
        <f>IFERROR(__xludf.DUMMYFUNCTION("""COMPUTED_VALUE"""),"Nhãn")</f>
        <v>Nhãn</v>
      </c>
      <c r="C2248" s="87" t="str">
        <f>IFERROR(__xludf.DUMMYFUNCTION("""COMPUTED_VALUE"""),"NTN1686")</f>
        <v>NTN1686</v>
      </c>
      <c r="D2248" s="87" t="str">
        <f>IFERROR(__xludf.DUMMYFUNCTION("""COMPUTED_VALUE"""),"[Nhãn]  GC - IV - 1686 - Cty NN Hoa Kỳ - Mãnh tướng diệt rầy (bột trắng) - 250gr - 60")</f>
        <v>[Nhãn]  GC - IV - 1686 - Cty NN Hoa Kỳ - Mãnh tướng diệt rầy (bột trắng) - 250gr - 60</v>
      </c>
      <c r="E2248" s="87" t="str">
        <f>IFERROR(__xludf.DUMMYFUNCTION("""COMPUTED_VALUE"""),"IMIPRID 10WP")</f>
        <v>IMIPRID 10WP</v>
      </c>
      <c r="F2248" s="87" t="str">
        <f>IFERROR(__xludf.DUMMYFUNCTION("""COMPUTED_VALUE"""),"HH1686")</f>
        <v>HH1686</v>
      </c>
      <c r="G2248" s="87" t="str">
        <f>IFERROR(__xludf.DUMMYFUNCTION("""COMPUTED_VALUE"""),"GC - IV - 1686 - Cty NN Hoa Kỳ - Mãnh tướng diệt rầy (bột trắng) - 250gr - 60")</f>
        <v>GC - IV - 1686 - Cty NN Hoa Kỳ - Mãnh tướng diệt rầy (bột trắng) - 250gr - 60</v>
      </c>
    </row>
    <row r="2249">
      <c r="A2249" s="86">
        <f>IFERROR(__xludf.DUMMYFUNCTION("""COMPUTED_VALUE"""),2247.0)</f>
        <v>2247</v>
      </c>
      <c r="B2249" s="87" t="str">
        <f>IFERROR(__xludf.DUMMYFUNCTION("""COMPUTED_VALUE"""),"Nhãn thùng")</f>
        <v>Nhãn thùng</v>
      </c>
      <c r="C2249" s="87" t="str">
        <f>IFERROR(__xludf.DUMMYFUNCTION("""COMPUTED_VALUE"""),"NDT1686")</f>
        <v>NDT1686</v>
      </c>
      <c r="D2249" s="87" t="str">
        <f>IFERROR(__xludf.DUMMYFUNCTION("""COMPUTED_VALUE"""),"[Nhãn thùng]  GC - IV - 1686 - Cty NN Hoa Kỳ - Mãnh tướng diệt rầy (bột trắng) - 250gr - 60")</f>
        <v>[Nhãn thùng]  GC - IV - 1686 - Cty NN Hoa Kỳ - Mãnh tướng diệt rầy (bột trắng) - 250gr - 60</v>
      </c>
      <c r="E2249" s="87" t="str">
        <f>IFERROR(__xludf.DUMMYFUNCTION("""COMPUTED_VALUE"""),"IMIPRID 10WP")</f>
        <v>IMIPRID 10WP</v>
      </c>
      <c r="F2249" s="87" t="str">
        <f>IFERROR(__xludf.DUMMYFUNCTION("""COMPUTED_VALUE"""),"HH1686")</f>
        <v>HH1686</v>
      </c>
      <c r="G2249" s="87" t="str">
        <f>IFERROR(__xludf.DUMMYFUNCTION("""COMPUTED_VALUE"""),"GC - IV - 1686 - Cty NN Hoa Kỳ - Mãnh tướng diệt rầy (bột trắng) - 250gr - 60")</f>
        <v>GC - IV - 1686 - Cty NN Hoa Kỳ - Mãnh tướng diệt rầy (bột trắng) - 250gr - 60</v>
      </c>
    </row>
    <row r="2250">
      <c r="A2250" s="86">
        <f>IFERROR(__xludf.DUMMYFUNCTION("""COMPUTED_VALUE"""),2248.0)</f>
        <v>2248</v>
      </c>
      <c r="B2250" s="87" t="str">
        <f>IFERROR(__xludf.DUMMYFUNCTION("""COMPUTED_VALUE"""),"Nhãn")</f>
        <v>Nhãn</v>
      </c>
      <c r="C2250" s="87" t="str">
        <f>IFERROR(__xludf.DUMMYFUNCTION("""COMPUTED_VALUE"""),"NHG1687")</f>
        <v>NHG1687</v>
      </c>
      <c r="D2250" s="87" t="str">
        <f>IFERROR(__xludf.DUMMYFUNCTION("""COMPUTED_VALUE"""),"[Nhãn] GC - IV - 1687 - Cty NN Hoa Kỳ - Mãnh tướng diệt sâu-bọ-nhện (nước đỏ) - 240ml - 40")</f>
        <v>[Nhãn] GC - IV - 1687 - Cty NN Hoa Kỳ - Mãnh tướng diệt sâu-bọ-nhện (nước đỏ) - 240ml - 40</v>
      </c>
      <c r="E2250" s="87" t="str">
        <f>IFERROR(__xludf.DUMMYFUNCTION("""COMPUTED_VALUE"""),"CHIM ƯNG 3.8EC")</f>
        <v>CHIM ƯNG 3.8EC</v>
      </c>
      <c r="F2250" s="87" t="str">
        <f>IFERROR(__xludf.DUMMYFUNCTION("""COMPUTED_VALUE"""),"HH1687")</f>
        <v>HH1687</v>
      </c>
      <c r="G2250" s="87" t="str">
        <f>IFERROR(__xludf.DUMMYFUNCTION("""COMPUTED_VALUE"""),"GC - IV - 1687 - Cty NN Hoa Kỳ - Mãnh tướng diệt sâu-bọ-nhện (nước đỏ) - 240ml - 40")</f>
        <v>GC - IV - 1687 - Cty NN Hoa Kỳ - Mãnh tướng diệt sâu-bọ-nhện (nước đỏ) - 240ml - 40</v>
      </c>
    </row>
    <row r="2251">
      <c r="A2251" s="86">
        <f>IFERROR(__xludf.DUMMYFUNCTION("""COMPUTED_VALUE"""),2249.0)</f>
        <v>2249</v>
      </c>
      <c r="B2251" s="87" t="str">
        <f>IFERROR(__xludf.DUMMYFUNCTION("""COMPUTED_VALUE"""),"Nhãn")</f>
        <v>Nhãn</v>
      </c>
      <c r="C2251" s="87" t="str">
        <f>IFERROR(__xludf.DUMMYFUNCTION("""COMPUTED_VALUE"""),"NHG1688")</f>
        <v>NHG1688</v>
      </c>
      <c r="D2251" s="87" t="str">
        <f>IFERROR(__xludf.DUMMYFUNCTION("""COMPUTED_VALUE"""),"[Nhãn] GC - IV - 1688 - Cty NN Hoa Kỳ - Mãnh tướng diệt nhện (nước trắng sữa) - 450ml - 40")</f>
        <v>[Nhãn] GC - IV - 1688 - Cty NN Hoa Kỳ - Mãnh tướng diệt nhện (nước trắng sữa) - 450ml - 40</v>
      </c>
      <c r="E2251" s="87" t="str">
        <f>IFERROR(__xludf.DUMMYFUNCTION("""COMPUTED_VALUE"""),"SPIRO 240SC")</f>
        <v>SPIRO 240SC</v>
      </c>
      <c r="F2251" s="87" t="str">
        <f>IFERROR(__xludf.DUMMYFUNCTION("""COMPUTED_VALUE"""),"HH1688")</f>
        <v>HH1688</v>
      </c>
      <c r="G2251" s="87" t="str">
        <f>IFERROR(__xludf.DUMMYFUNCTION("""COMPUTED_VALUE"""),"GC - IV - 1688 - Cty NN Hoa Kỳ - Mãnh tướng diệt nhện (nước trắng sữa) - 450ml - 40")</f>
        <v>GC - IV - 1688 - Cty NN Hoa Kỳ - Mãnh tướng diệt nhện (nước trắng sữa) - 450ml - 40</v>
      </c>
    </row>
    <row r="2252">
      <c r="A2252" s="86">
        <f>IFERROR(__xludf.DUMMYFUNCTION("""COMPUTED_VALUE"""),2250.0)</f>
        <v>2250</v>
      </c>
      <c r="B2252" s="87" t="str">
        <f>IFERROR(__xludf.DUMMYFUNCTION("""COMPUTED_VALUE"""),"Nhãn")</f>
        <v>Nhãn</v>
      </c>
      <c r="C2252" s="87" t="str">
        <f>IFERROR(__xludf.DUMMYFUNCTION("""COMPUTED_VALUE"""),"NHG1689")</f>
        <v>NHG1689</v>
      </c>
      <c r="D2252" s="87" t="str">
        <f>IFERROR(__xludf.DUMMYFUNCTION("""COMPUTED_VALUE"""),"[Nhãn] GC - IV - 1689 - Cty NN Hoa Kỳ (A.Viên) - Mãnh tướng Repsa (nước tím) - 480ml - 40")</f>
        <v>[Nhãn] GC - IV - 1689 - Cty NN Hoa Kỳ (A.Viên) - Mãnh tướng Repsa (nước tím) - 480ml - 40</v>
      </c>
      <c r="E2252" s="87" t="str">
        <f>IFERROR(__xludf.DUMMYFUNCTION("""COMPUTED_VALUE"""),"ABASBA 50EC")</f>
        <v>ABASBA 50EC</v>
      </c>
      <c r="F2252" s="87" t="str">
        <f>IFERROR(__xludf.DUMMYFUNCTION("""COMPUTED_VALUE"""),"HH1689")</f>
        <v>HH1689</v>
      </c>
      <c r="G2252" s="87" t="str">
        <f>IFERROR(__xludf.DUMMYFUNCTION("""COMPUTED_VALUE"""),"GC - IV - 1689 - Cty NN Hoa Kỳ (A.Viên) - Mãnh tướng Repsa (nước tím) - 480ml - 40")</f>
        <v>GC - IV - 1689 - Cty NN Hoa Kỳ (A.Viên) - Mãnh tướng Repsa (nước tím) - 480ml - 40</v>
      </c>
    </row>
    <row r="2253">
      <c r="A2253" s="86">
        <f>IFERROR(__xludf.DUMMYFUNCTION("""COMPUTED_VALUE"""),2251.0)</f>
        <v>2251</v>
      </c>
      <c r="B2253" s="87" t="str">
        <f>IFERROR(__xludf.DUMMYFUNCTION("""COMPUTED_VALUE"""),"Nhãn thùng")</f>
        <v>Nhãn thùng</v>
      </c>
      <c r="C2253" s="87" t="str">
        <f>IFERROR(__xludf.DUMMYFUNCTION("""COMPUTED_VALUE"""),"NDT1689")</f>
        <v>NDT1689</v>
      </c>
      <c r="D2253" s="87" t="str">
        <f>IFERROR(__xludf.DUMMYFUNCTION("""COMPUTED_VALUE"""),"[Nhãn thùng] GC - IV - 1689 - Cty NN Hoa Kỳ (A.Viên) - Mãnh tướng Repsa (nước tím) - 480ml - 40")</f>
        <v>[Nhãn thùng] GC - IV - 1689 - Cty NN Hoa Kỳ (A.Viên) - Mãnh tướng Repsa (nước tím) - 480ml - 40</v>
      </c>
      <c r="E2253" s="87" t="str">
        <f>IFERROR(__xludf.DUMMYFUNCTION("""COMPUTED_VALUE"""),"ABASBA 50EC")</f>
        <v>ABASBA 50EC</v>
      </c>
      <c r="F2253" s="87" t="str">
        <f>IFERROR(__xludf.DUMMYFUNCTION("""COMPUTED_VALUE"""),"HH1689")</f>
        <v>HH1689</v>
      </c>
      <c r="G2253" s="87" t="str">
        <f>IFERROR(__xludf.DUMMYFUNCTION("""COMPUTED_VALUE"""),"GC - IV - 1689 - Cty NN Hoa Kỳ (A.Viên) - Mãnh tướng Repsa (nước tím) - 480ml - 40")</f>
        <v>GC - IV - 1689 - Cty NN Hoa Kỳ (A.Viên) - Mãnh tướng Repsa (nước tím) - 480ml - 40</v>
      </c>
    </row>
    <row r="2254">
      <c r="A2254" s="86">
        <f>IFERROR(__xludf.DUMMYFUNCTION("""COMPUTED_VALUE"""),2252.0)</f>
        <v>2252</v>
      </c>
      <c r="B2254" s="87" t="str">
        <f>IFERROR(__xludf.DUMMYFUNCTION("""COMPUTED_VALUE"""),"Nhãn")</f>
        <v>Nhãn</v>
      </c>
      <c r="C2254" s="87" t="str">
        <f>IFERROR(__xludf.DUMMYFUNCTION("""COMPUTED_VALUE"""),"NHG1690")</f>
        <v>NHG1690</v>
      </c>
      <c r="D2254" s="87" t="str">
        <f>IFERROR(__xludf.DUMMYFUNCTION("""COMPUTED_VALUE"""),"[Nhãn] IDA Global - I - 1690 - RONADO (nước tím) - 450ml - 40")</f>
        <v>[Nhãn] IDA Global - I - 1690 - RONADO (nước tím) - 450ml - 40</v>
      </c>
      <c r="E2254" s="87" t="str">
        <f>IFERROR(__xludf.DUMMYFUNCTION("""COMPUTED_VALUE"""),"NPK Bổ sung Vi lượng Basel NPK 6-6-8 IDA 33")</f>
        <v>NPK Bổ sung Vi lượng Basel NPK 6-6-8 IDA 33</v>
      </c>
      <c r="F2254" s="87" t="str">
        <f>IFERROR(__xludf.DUMMYFUNCTION("""COMPUTED_VALUE"""),"HH1690")</f>
        <v>HH1690</v>
      </c>
      <c r="G2254" s="87" t="str">
        <f>IFERROR(__xludf.DUMMYFUNCTION("""COMPUTED_VALUE"""),"IDA Global - I - 1690 - RONADO (nước tím) - 450ml - 40")</f>
        <v>IDA Global - I - 1690 - RONADO (nước tím) - 450ml - 40</v>
      </c>
    </row>
    <row r="2255">
      <c r="A2255" s="86">
        <f>IFERROR(__xludf.DUMMYFUNCTION("""COMPUTED_VALUE"""),2253.0)</f>
        <v>2253</v>
      </c>
      <c r="B2255" s="87" t="str">
        <f>IFERROR(__xludf.DUMMYFUNCTION("""COMPUTED_VALUE"""),"Nhãn")</f>
        <v>Nhãn</v>
      </c>
      <c r="C2255" s="87" t="str">
        <f>IFERROR(__xludf.DUMMYFUNCTION("""COMPUTED_VALUE"""),"NHG1691")</f>
        <v>NHG1691</v>
      </c>
      <c r="D2255" s="87" t="str">
        <f>IFERROR(__xludf.DUMMYFUNCTION("""COMPUTED_VALUE"""),"[Nhãn] GC - IV - 1691 - Cty Ngọc Bảo Long Agri - INCY PRO (nước xanh da trời nhạt) - 240ml - 40")</f>
        <v>[Nhãn] GC - IV - 1691 - Cty Ngọc Bảo Long Agri - INCY PRO (nước xanh da trời nhạt) - 240ml - 40</v>
      </c>
      <c r="E2255" s="87" t="str">
        <f>IFERROR(__xludf.DUMMYFUNCTION("""COMPUTED_VALUE"""),"NEW FUZE 200SC")</f>
        <v>NEW FUZE 200SC</v>
      </c>
      <c r="F2255" s="87" t="str">
        <f>IFERROR(__xludf.DUMMYFUNCTION("""COMPUTED_VALUE"""),"HH1691")</f>
        <v>HH1691</v>
      </c>
      <c r="G2255" s="87" t="str">
        <f>IFERROR(__xludf.DUMMYFUNCTION("""COMPUTED_VALUE"""),"GC - IV - 1691 - Cty Ngọc Bảo Long Agri - INCY PRO (nước xanh da trời nhạt) - 240ml - 40")</f>
        <v>GC - IV - 1691 - Cty Ngọc Bảo Long Agri - INCY PRO (nước xanh da trời nhạt) - 240ml - 40</v>
      </c>
    </row>
    <row r="2256">
      <c r="A2256" s="86">
        <f>IFERROR(__xludf.DUMMYFUNCTION("""COMPUTED_VALUE"""),2254.0)</f>
        <v>2254</v>
      </c>
      <c r="B2256" s="87" t="str">
        <f>IFERROR(__xludf.DUMMYFUNCTION("""COMPUTED_VALUE"""),"Nhãn thùng")</f>
        <v>Nhãn thùng</v>
      </c>
      <c r="C2256" s="87" t="str">
        <f>IFERROR(__xludf.DUMMYFUNCTION("""COMPUTED_VALUE"""),"NDT1691")</f>
        <v>NDT1691</v>
      </c>
      <c r="D2256" s="87" t="str">
        <f>IFERROR(__xludf.DUMMYFUNCTION("""COMPUTED_VALUE"""),"[Nhãn thùng] GC - IV - 1691 - Cty Ngọc Bảo Long Agri - INCY PRO (nước xanh da trời nhạt) - 240ml - 40")</f>
        <v>[Nhãn thùng] GC - IV - 1691 - Cty Ngọc Bảo Long Agri - INCY PRO (nước xanh da trời nhạt) - 240ml - 40</v>
      </c>
      <c r="E2256" s="87" t="str">
        <f>IFERROR(__xludf.DUMMYFUNCTION("""COMPUTED_VALUE"""),"NEW FUZE 200SC")</f>
        <v>NEW FUZE 200SC</v>
      </c>
      <c r="F2256" s="87" t="str">
        <f>IFERROR(__xludf.DUMMYFUNCTION("""COMPUTED_VALUE"""),"HH1691")</f>
        <v>HH1691</v>
      </c>
      <c r="G2256" s="87" t="str">
        <f>IFERROR(__xludf.DUMMYFUNCTION("""COMPUTED_VALUE"""),"GC - IV - 1691 - Cty Ngọc Bảo Long Agri - INCY PRO (nước xanh da trời nhạt) - 240ml - 40")</f>
        <v>GC - IV - 1691 - Cty Ngọc Bảo Long Agri - INCY PRO (nước xanh da trời nhạt) - 240ml - 40</v>
      </c>
    </row>
    <row r="2257">
      <c r="A2257" s="86">
        <f>IFERROR(__xludf.DUMMYFUNCTION("""COMPUTED_VALUE"""),2255.0)</f>
        <v>2255</v>
      </c>
      <c r="B2257" s="87" t="str">
        <f>IFERROR(__xludf.DUMMYFUNCTION("""COMPUTED_VALUE"""),"Nhãn")</f>
        <v>Nhãn</v>
      </c>
      <c r="C2257" s="87" t="str">
        <f>IFERROR(__xludf.DUMMYFUNCTION("""COMPUTED_VALUE"""),"NHG1692")</f>
        <v>NHG1692</v>
      </c>
      <c r="D2257" s="87" t="str">
        <f>IFERROR(__xludf.DUMMYFUNCTION("""COMPUTED_VALUE"""),"[Nhãn] GC - IV - 1692 - Cty Agro Life Solution - Bọ Cạp Thái (nước nâu đen) - 450ml - 40")</f>
        <v>[Nhãn] GC - IV - 1692 - Cty Agro Life Solution - Bọ Cạp Thái (nước nâu đen) - 450ml - 40</v>
      </c>
      <c r="E2257" s="87" t="str">
        <f>IFERROR(__xludf.DUMMYFUNCTION("""COMPUTED_VALUE"""),"HAIHAMEC 3.6EC")</f>
        <v>HAIHAMEC 3.6EC</v>
      </c>
      <c r="F2257" s="87" t="str">
        <f>IFERROR(__xludf.DUMMYFUNCTION("""COMPUTED_VALUE"""),"HH1692")</f>
        <v>HH1692</v>
      </c>
      <c r="G2257" s="87" t="str">
        <f>IFERROR(__xludf.DUMMYFUNCTION("""COMPUTED_VALUE"""),"GC - IV - 1692 - Cty Agro Life Solution - Bọ Cạp Thái (nước nâu đen) - 450ml - 40")</f>
        <v>GC - IV - 1692 - Cty Agro Life Solution - Bọ Cạp Thái (nước nâu đen) - 450ml - 40</v>
      </c>
    </row>
    <row r="2258">
      <c r="A2258" s="86">
        <f>IFERROR(__xludf.DUMMYFUNCTION("""COMPUTED_VALUE"""),2256.0)</f>
        <v>2256</v>
      </c>
      <c r="B2258" s="87" t="str">
        <f>IFERROR(__xludf.DUMMYFUNCTION("""COMPUTED_VALUE"""),"Nhãn")</f>
        <v>Nhãn</v>
      </c>
      <c r="C2258" s="87" t="str">
        <f>IFERROR(__xludf.DUMMYFUNCTION("""COMPUTED_VALUE"""),"NHG1693")</f>
        <v>NHG1693</v>
      </c>
      <c r="D2258" s="87" t="str">
        <f>IFERROR(__xludf.DUMMYFUNCTION("""COMPUTED_VALUE"""),"[Nhãn] GC - IV - 1693 - Cty Agro Life Solution - Bọ Cạp Lửa (nước nâu đen) - 450ml - 40")</f>
        <v>[Nhãn] GC - IV - 1693 - Cty Agro Life Solution - Bọ Cạp Lửa (nước nâu đen) - 450ml - 40</v>
      </c>
      <c r="E2258" s="87" t="str">
        <f>IFERROR(__xludf.DUMMYFUNCTION("""COMPUTED_VALUE"""),"HAIHAMEC 3.6EC")</f>
        <v>HAIHAMEC 3.6EC</v>
      </c>
      <c r="F2258" s="87" t="str">
        <f>IFERROR(__xludf.DUMMYFUNCTION("""COMPUTED_VALUE"""),"HH1693")</f>
        <v>HH1693</v>
      </c>
      <c r="G2258" s="87" t="str">
        <f>IFERROR(__xludf.DUMMYFUNCTION("""COMPUTED_VALUE"""),"GC - IV - 1693 - Cty Agro Life Solution - Bọ Cạp Lửa (nước nâu đen) - 450ml - 40")</f>
        <v>GC - IV - 1693 - Cty Agro Life Solution - Bọ Cạp Lửa (nước nâu đen) - 450ml - 40</v>
      </c>
    </row>
    <row r="2259">
      <c r="A2259" s="86">
        <f>IFERROR(__xludf.DUMMYFUNCTION("""COMPUTED_VALUE"""),2257.0)</f>
        <v>2257</v>
      </c>
      <c r="B2259" s="87" t="str">
        <f>IFERROR(__xludf.DUMMYFUNCTION("""COMPUTED_VALUE"""),"Nhãn")</f>
        <v>Nhãn</v>
      </c>
      <c r="C2259" s="87" t="str">
        <f>IFERROR(__xludf.DUMMYFUNCTION("""COMPUTED_VALUE"""),"NTN1694")</f>
        <v>NTN1694</v>
      </c>
      <c r="D2259" s="87" t="str">
        <f>IFERROR(__xludf.DUMMYFUNCTION("""COMPUTED_VALUE"""),"[Nhãn]  GC - IV - 1694 - Cty Green Farm Nhật Mỹ - NIKASU 100WP (bột trắng ngà) - 30gr - 300")</f>
        <v>[Nhãn]  GC - IV - 1694 - Cty Green Farm Nhật Mỹ - NIKASU 100WP (bột trắng ngà) - 30gr - 300</v>
      </c>
      <c r="E2259" s="87" t="str">
        <f>IFERROR(__xludf.DUMMYFUNCTION("""COMPUTED_VALUE"""),"NIKASU 100WP")</f>
        <v>NIKASU 100WP</v>
      </c>
      <c r="F2259" s="87" t="str">
        <f>IFERROR(__xludf.DUMMYFUNCTION("""COMPUTED_VALUE"""),"HH1694")</f>
        <v>HH1694</v>
      </c>
      <c r="G2259" s="87" t="str">
        <f>IFERROR(__xludf.DUMMYFUNCTION("""COMPUTED_VALUE"""),"GC - IV - 1694 - Cty Green Farm Nhật Mỹ - NIKASU 100WP (bột trắng ngà) - 30gr - 300")</f>
        <v>GC - IV - 1694 - Cty Green Farm Nhật Mỹ - NIKASU 100WP (bột trắng ngà) - 30gr - 300</v>
      </c>
    </row>
    <row r="2260">
      <c r="A2260" s="86">
        <f>IFERROR(__xludf.DUMMYFUNCTION("""COMPUTED_VALUE"""),2258.0)</f>
        <v>2258</v>
      </c>
      <c r="B2260" s="87" t="str">
        <f>IFERROR(__xludf.DUMMYFUNCTION("""COMPUTED_VALUE"""),"Nhãn thùng")</f>
        <v>Nhãn thùng</v>
      </c>
      <c r="C2260" s="87" t="str">
        <f>IFERROR(__xludf.DUMMYFUNCTION("""COMPUTED_VALUE"""),"NDT1694")</f>
        <v>NDT1694</v>
      </c>
      <c r="D2260" s="87" t="str">
        <f>IFERROR(__xludf.DUMMYFUNCTION("""COMPUTED_VALUE"""),"[Nhãn thùng]  GC - IV - 1694 - Cty Green Farm Nhật Mỹ - NIKASU 100WP (bột trắng ngà) - 30gr - 300")</f>
        <v>[Nhãn thùng]  GC - IV - 1694 - Cty Green Farm Nhật Mỹ - NIKASU 100WP (bột trắng ngà) - 30gr - 300</v>
      </c>
      <c r="E2260" s="87" t="str">
        <f>IFERROR(__xludf.DUMMYFUNCTION("""COMPUTED_VALUE"""),"NIKASU 100WP")</f>
        <v>NIKASU 100WP</v>
      </c>
      <c r="F2260" s="87" t="str">
        <f>IFERROR(__xludf.DUMMYFUNCTION("""COMPUTED_VALUE"""),"HH1694")</f>
        <v>HH1694</v>
      </c>
      <c r="G2260" s="87" t="str">
        <f>IFERROR(__xludf.DUMMYFUNCTION("""COMPUTED_VALUE"""),"GC - IV - 1694 - Cty Green Farm Nhật Mỹ - NIKASU 100WP (bột trắng ngà) - 30gr - 300")</f>
        <v>GC - IV - 1694 - Cty Green Farm Nhật Mỹ - NIKASU 100WP (bột trắng ngà) - 30gr - 300</v>
      </c>
    </row>
    <row r="2261">
      <c r="A2261" s="86">
        <f>IFERROR(__xludf.DUMMYFUNCTION("""COMPUTED_VALUE"""),2259.0)</f>
        <v>2259</v>
      </c>
      <c r="B2261" s="87" t="str">
        <f>IFERROR(__xludf.DUMMYFUNCTION("""COMPUTED_VALUE"""),"Nhãn")</f>
        <v>Nhãn</v>
      </c>
      <c r="C2261" s="87" t="str">
        <f>IFERROR(__xludf.DUMMYFUNCTION("""COMPUTED_VALUE"""),"NHG1695")</f>
        <v>NHG1695</v>
      </c>
      <c r="D2261" s="87" t="str">
        <f>IFERROR(__xludf.DUMMYFUNCTION("""COMPUTED_VALUE"""),"[Nhãn] GC - IV - 1695 - Bellormar - Genol 1.2SL (nước đỏ) - 450ml - 40")</f>
        <v>[Nhãn] GC - IV - 1695 - Bellormar - Genol 1.2SL (nước đỏ) - 450ml - 40</v>
      </c>
      <c r="E2261" s="87" t="str">
        <f>IFERROR(__xludf.DUMMYFUNCTION("""COMPUTED_VALUE"""),"GENOL 1.2SL")</f>
        <v>GENOL 1.2SL</v>
      </c>
      <c r="F2261" s="87" t="str">
        <f>IFERROR(__xludf.DUMMYFUNCTION("""COMPUTED_VALUE"""),"HH1695")</f>
        <v>HH1695</v>
      </c>
      <c r="G2261" s="87" t="str">
        <f>IFERROR(__xludf.DUMMYFUNCTION("""COMPUTED_VALUE"""),"GC - IV - 1695 - Bellormar - Genol 1.2SL (nước đỏ) - 450ml - 40")</f>
        <v>GC - IV - 1695 - Bellormar - Genol 1.2SL (nước đỏ) - 450ml - 40</v>
      </c>
    </row>
    <row r="2262">
      <c r="A2262" s="86">
        <f>IFERROR(__xludf.DUMMYFUNCTION("""COMPUTED_VALUE"""),2260.0)</f>
        <v>2260</v>
      </c>
      <c r="B2262" s="87" t="str">
        <f>IFERROR(__xludf.DUMMYFUNCTION("""COMPUTED_VALUE"""),"Nhãn")</f>
        <v>Nhãn</v>
      </c>
      <c r="C2262" s="87" t="str">
        <f>IFERROR(__xludf.DUMMYFUNCTION("""COMPUTED_VALUE"""),"NHG1696")</f>
        <v>NHG1696</v>
      </c>
      <c r="D2262" s="87" t="str">
        <f>IFERROR(__xludf.DUMMYFUNCTION("""COMPUTED_VALUE"""),"[Nhãn] GC - II - 1696 - Anh Tùng - Siêu Chặn Đọt (nước nâu đen) - 1L - 20")</f>
        <v>[Nhãn] GC - II - 1696 - Anh Tùng - Siêu Chặn Đọt (nước nâu đen) - 1L - 20</v>
      </c>
      <c r="E2262" s="87"/>
      <c r="F2262" s="87"/>
      <c r="G2262" s="87"/>
    </row>
    <row r="2263">
      <c r="A2263" s="86">
        <f>IFERROR(__xludf.DUMMYFUNCTION("""COMPUTED_VALUE"""),2261.0)</f>
        <v>2261</v>
      </c>
      <c r="B2263" s="87" t="str">
        <f>IFERROR(__xludf.DUMMYFUNCTION("""COMPUTED_VALUE"""),"IDA")</f>
        <v>IDA</v>
      </c>
      <c r="C2263" s="87" t="str">
        <f>IFERROR(__xludf.DUMMYFUNCTION("""COMPUTED_VALUE"""),"250ml")</f>
        <v>250ml</v>
      </c>
      <c r="D2263" s="87" t="str">
        <f>IFERROR(__xludf.DUMMYFUNCTION("""COMPUTED_VALUE"""),"40")</f>
        <v>40</v>
      </c>
      <c r="E2263" s="87" t="str">
        <f>IFERROR(__xludf.DUMMYFUNCTION("""COMPUTED_VALUE"""),"Nhãn giấy cán bóng")</f>
        <v>Nhãn giấy cán bóng</v>
      </c>
      <c r="F2263" s="87" t="str">
        <f>IFERROR(__xludf.DUMMYFUNCTION("""COMPUTED_VALUE"""),"Cái")</f>
        <v>Cái</v>
      </c>
      <c r="G2263" s="87"/>
    </row>
    <row r="2264">
      <c r="A2264" s="86">
        <f>IFERROR(__xludf.DUMMYFUNCTION("""COMPUTED_VALUE"""),2262.0)</f>
        <v>2262</v>
      </c>
      <c r="B2264" s="87" t="str">
        <f>IFERROR(__xludf.DUMMYFUNCTION("""COMPUTED_VALUE"""),"Nhãn")</f>
        <v>Nhãn</v>
      </c>
      <c r="C2264" s="87" t="str">
        <f>IFERROR(__xludf.DUMMYFUNCTION("""COMPUTED_VALUE"""),"NHG1697")</f>
        <v>NHG1697</v>
      </c>
      <c r="D2264" s="87" t="str">
        <f>IFERROR(__xludf.DUMMYFUNCTION("""COMPUTED_VALUE"""),"[Nhãn] GC - II - 1697 - Anh Tùng - Siêu Tạo Mầm (nước nâu đen) - 1L - 20")</f>
        <v>[Nhãn] GC - II - 1697 - Anh Tùng - Siêu Tạo Mầm (nước nâu đen) - 1L - 20</v>
      </c>
      <c r="E2264" s="87" t="str">
        <f>IFERROR(__xludf.DUMMYFUNCTION("""COMPUTED_VALUE"""),"Vi lượng Quantity New")</f>
        <v>Vi lượng Quantity New</v>
      </c>
      <c r="F2264" s="87" t="str">
        <f>IFERROR(__xludf.DUMMYFUNCTION("""COMPUTED_VALUE"""),"HH1697")</f>
        <v>HH1697</v>
      </c>
      <c r="G2264" s="87" t="str">
        <f>IFERROR(__xludf.DUMMYFUNCTION("""COMPUTED_VALUE"""),"GC - II - 1697 - Anh Tùng - Siêu Tạo Mầm (nước nâu đen) - 1L - 20")</f>
        <v>GC - II - 1697 - Anh Tùng - Siêu Tạo Mầm (nước nâu đen) - 1L - 20</v>
      </c>
    </row>
    <row r="2265">
      <c r="A2265" s="86">
        <f>IFERROR(__xludf.DUMMYFUNCTION("""COMPUTED_VALUE"""),2263.0)</f>
        <v>2263</v>
      </c>
      <c r="B2265" s="87" t="str">
        <f>IFERROR(__xludf.DUMMYFUNCTION("""COMPUTED_VALUE"""),"Nhãn")</f>
        <v>Nhãn</v>
      </c>
      <c r="C2265" s="87" t="str">
        <f>IFERROR(__xludf.DUMMYFUNCTION("""COMPUTED_VALUE"""),"NHD1698")</f>
        <v>NHD1698</v>
      </c>
      <c r="D2265" s="87" t="str">
        <f>IFERROR(__xludf.DUMMYFUNCTION("""COMPUTED_VALUE"""),"[Nhãn] GC - II - 1698 - Anh Huỳnh - 00-25-30 (nước vàng cam) - 5L - 4")</f>
        <v>[Nhãn] GC - II - 1698 - Anh Huỳnh - 00-25-30 (nước vàng cam) - 5L - 4</v>
      </c>
      <c r="E2265" s="87" t="str">
        <f>IFERROR(__xludf.DUMMYFUNCTION("""COMPUTED_VALUE"""),"Vi lượng Run Fast")</f>
        <v>Vi lượng Run Fast</v>
      </c>
      <c r="F2265" s="87" t="str">
        <f>IFERROR(__xludf.DUMMYFUNCTION("""COMPUTED_VALUE"""),"HH1698")</f>
        <v>HH1698</v>
      </c>
      <c r="G2265" s="87" t="str">
        <f>IFERROR(__xludf.DUMMYFUNCTION("""COMPUTED_VALUE"""),"GC - II - 1698 - Anh Huỳnh - 00-25-30 (nước vàng cam) - 5L - 4")</f>
        <v>GC - II - 1698 - Anh Huỳnh - 00-25-30 (nước vàng cam) - 5L - 4</v>
      </c>
    </row>
    <row r="2266">
      <c r="A2266" s="86">
        <f>IFERROR(__xludf.DUMMYFUNCTION("""COMPUTED_VALUE"""),2264.0)</f>
        <v>2264</v>
      </c>
      <c r="B2266" s="87" t="str">
        <f>IFERROR(__xludf.DUMMYFUNCTION("""COMPUTED_VALUE"""),"Nhãn thùng")</f>
        <v>Nhãn thùng</v>
      </c>
      <c r="C2266" s="87" t="str">
        <f>IFERROR(__xludf.DUMMYFUNCTION("""COMPUTED_VALUE"""),"NDT1698")</f>
        <v>NDT1698</v>
      </c>
      <c r="D2266" s="87" t="str">
        <f>IFERROR(__xludf.DUMMYFUNCTION("""COMPUTED_VALUE"""),"[Nhãn thùng] GC - II - 1698 - Anh Huỳnh - 00-25-30 (nước vàng cam) - 5L - 4")</f>
        <v>[Nhãn thùng] GC - II - 1698 - Anh Huỳnh - 00-25-30 (nước vàng cam) - 5L - 4</v>
      </c>
      <c r="E2266" s="87" t="str">
        <f>IFERROR(__xludf.DUMMYFUNCTION("""COMPUTED_VALUE"""),"Vi lượng Run Fast")</f>
        <v>Vi lượng Run Fast</v>
      </c>
      <c r="F2266" s="87" t="str">
        <f>IFERROR(__xludf.DUMMYFUNCTION("""COMPUTED_VALUE"""),"HH1698")</f>
        <v>HH1698</v>
      </c>
      <c r="G2266" s="87" t="str">
        <f>IFERROR(__xludf.DUMMYFUNCTION("""COMPUTED_VALUE"""),"GC - II - 1698 - Anh Huỳnh - 00-25-30 (nước vàng cam) - 5L - 4")</f>
        <v>GC - II - 1698 - Anh Huỳnh - 00-25-30 (nước vàng cam) - 5L - 4</v>
      </c>
    </row>
    <row r="2267">
      <c r="A2267" s="86">
        <f>IFERROR(__xludf.DUMMYFUNCTION("""COMPUTED_VALUE"""),2265.0)</f>
        <v>2265</v>
      </c>
      <c r="B2267" s="87" t="str">
        <f>IFERROR(__xludf.DUMMYFUNCTION("""COMPUTED_VALUE"""),"Nhãn")</f>
        <v>Nhãn</v>
      </c>
      <c r="C2267" s="87" t="str">
        <f>IFERROR(__xludf.DUMMYFUNCTION("""COMPUTED_VALUE"""),"NHD1699")</f>
        <v>NHD1699</v>
      </c>
      <c r="D2267" s="87" t="str">
        <f>IFERROR(__xludf.DUMMYFUNCTION("""COMPUTED_VALUE"""),"[Nhãn] GC - II - 1699 - Anh Huỳnh - HUMIC AMINO (Vảy màu đen) - 18kg - 1")</f>
        <v>[Nhãn] GC - II - 1699 - Anh Huỳnh - HUMIC AMINO (Vảy màu đen) - 18kg - 1</v>
      </c>
      <c r="E2267" s="87" t="str">
        <f>IFERROR(__xludf.DUMMYFUNCTION("""COMPUTED_VALUE"""),"Vi lượng Slow Growth")</f>
        <v>Vi lượng Slow Growth</v>
      </c>
      <c r="F2267" s="87" t="str">
        <f>IFERROR(__xludf.DUMMYFUNCTION("""COMPUTED_VALUE"""),"HH1699")</f>
        <v>HH1699</v>
      </c>
      <c r="G2267" s="87" t="str">
        <f>IFERROR(__xludf.DUMMYFUNCTION("""COMPUTED_VALUE"""),"GC - II - 1699 - Anh Huỳnh - HUMIC AMINO (Vảy màu đen) - 18kg - 1")</f>
        <v>GC - II - 1699 - Anh Huỳnh - HUMIC AMINO (Vảy màu đen) - 18kg - 1</v>
      </c>
    </row>
    <row r="2268">
      <c r="A2268" s="86">
        <f>IFERROR(__xludf.DUMMYFUNCTION("""COMPUTED_VALUE"""),2266.0)</f>
        <v>2266</v>
      </c>
      <c r="B2268" s="87" t="str">
        <f>IFERROR(__xludf.DUMMYFUNCTION("""COMPUTED_VALUE"""),"Nhãn")</f>
        <v>Nhãn</v>
      </c>
      <c r="C2268" s="87" t="str">
        <f>IFERROR(__xludf.DUMMYFUNCTION("""COMPUTED_VALUE"""),"NHD1700")</f>
        <v>NHD1700</v>
      </c>
      <c r="D2268" s="87" t="str">
        <f>IFERROR(__xludf.DUMMYFUNCTION("""COMPUTED_VALUE"""),"[Nhãn] GC - II - 1700 - Anh Huỳnh - POWER PLUS-UREA LIQUID 46-0-0+Ca+Mg (nước xanh lá) - 5L - 4")</f>
        <v>[Nhãn] GC - II - 1700 - Anh Huỳnh - POWER PLUS-UREA LIQUID 46-0-0+Ca+Mg (nước xanh lá) - 5L - 4</v>
      </c>
      <c r="E2268" s="87" t="str">
        <f>IFERROR(__xludf.DUMMYFUNCTION("""COMPUTED_VALUE"""),"Vi lượng Run Fast")</f>
        <v>Vi lượng Run Fast</v>
      </c>
      <c r="F2268" s="87" t="str">
        <f>IFERROR(__xludf.DUMMYFUNCTION("""COMPUTED_VALUE"""),"HH1700")</f>
        <v>HH1700</v>
      </c>
      <c r="G2268" s="87" t="str">
        <f>IFERROR(__xludf.DUMMYFUNCTION("""COMPUTED_VALUE"""),"GC - II - 1700 - Anh Huỳnh - POWER PLUS-UREA LIQUID 46-0-0+Ca+Mg (nước xanh lá) - 5L - 4")</f>
        <v>GC - II - 1700 - Anh Huỳnh - POWER PLUS-UREA LIQUID 46-0-0+Ca+Mg (nước xanh lá) - 5L - 4</v>
      </c>
    </row>
    <row r="2269">
      <c r="A2269" s="86">
        <f>IFERROR(__xludf.DUMMYFUNCTION("""COMPUTED_VALUE"""),2267.0)</f>
        <v>2267</v>
      </c>
      <c r="B2269" s="87" t="str">
        <f>IFERROR(__xludf.DUMMYFUNCTION("""COMPUTED_VALUE"""),"Nhãn thùng")</f>
        <v>Nhãn thùng</v>
      </c>
      <c r="C2269" s="87" t="str">
        <f>IFERROR(__xludf.DUMMYFUNCTION("""COMPUTED_VALUE"""),"NDT1700")</f>
        <v>NDT1700</v>
      </c>
      <c r="D2269" s="87" t="str">
        <f>IFERROR(__xludf.DUMMYFUNCTION("""COMPUTED_VALUE"""),"[Nhãn thùng] GC - II - 1700 - Anh Huỳnh - POWER PLUS-UREA LIQUID 46-0-0+Ca+Mg (nước xanh lá) - 5L - 4")</f>
        <v>[Nhãn thùng] GC - II - 1700 - Anh Huỳnh - POWER PLUS-UREA LIQUID 46-0-0+Ca+Mg (nước xanh lá) - 5L - 4</v>
      </c>
      <c r="E2269" s="87" t="str">
        <f>IFERROR(__xludf.DUMMYFUNCTION("""COMPUTED_VALUE"""),"Vi lượng Run Fast")</f>
        <v>Vi lượng Run Fast</v>
      </c>
      <c r="F2269" s="87" t="str">
        <f>IFERROR(__xludf.DUMMYFUNCTION("""COMPUTED_VALUE"""),"HH1700")</f>
        <v>HH1700</v>
      </c>
      <c r="G2269" s="87" t="str">
        <f>IFERROR(__xludf.DUMMYFUNCTION("""COMPUTED_VALUE"""),"GC - II - 1700 - Anh Huỳnh - POWER PLUS-UREA LIQUID 46-0-0+Ca+Mg (nước xanh lá) - 5L - 4")</f>
        <v>GC - II - 1700 - Anh Huỳnh - POWER PLUS-UREA LIQUID 46-0-0+Ca+Mg (nước xanh lá) - 5L - 4</v>
      </c>
    </row>
    <row r="2270">
      <c r="A2270" s="86">
        <f>IFERROR(__xludf.DUMMYFUNCTION("""COMPUTED_VALUE"""),2268.0)</f>
        <v>2268</v>
      </c>
      <c r="B2270" s="87" t="str">
        <f>IFERROR(__xludf.DUMMYFUNCTION("""COMPUTED_VALUE"""),"Nhãn")</f>
        <v>Nhãn</v>
      </c>
      <c r="C2270" s="87" t="str">
        <f>IFERROR(__xludf.DUMMYFUNCTION("""COMPUTED_VALUE"""),"NTN1701")</f>
        <v>NTN1701</v>
      </c>
      <c r="D2270" s="87" t="str">
        <f>IFERROR(__xludf.DUMMYFUNCTION("""COMPUTED_VALUE"""),"[Nhãn] GC - II - 1701 - Nông Nghiệp An Bình - MANCOBGO 80WP (Bột xanh) - 1kg - 20")</f>
        <v>[Nhãn] GC - II - 1701 - Nông Nghiệp An Bình - MANCOBGO 80WP (Bột xanh) - 1kg - 20</v>
      </c>
      <c r="E2270" s="87" t="str">
        <f>IFERROR(__xludf.DUMMYFUNCTION("""COMPUTED_VALUE"""),"MANCOBGO 80WP")</f>
        <v>MANCOBGO 80WP</v>
      </c>
      <c r="F2270" s="87" t="str">
        <f>IFERROR(__xludf.DUMMYFUNCTION("""COMPUTED_VALUE"""),"HH1701")</f>
        <v>HH1701</v>
      </c>
      <c r="G2270" s="87" t="str">
        <f>IFERROR(__xludf.DUMMYFUNCTION("""COMPUTED_VALUE"""),"GC - II - 1701 - Nông Nghiệp An Bình - MANCOBGO 80WP (Bột xanh) - 1kg - 20")</f>
        <v>GC - II - 1701 - Nông Nghiệp An Bình - MANCOBGO 80WP (Bột xanh) - 1kg - 20</v>
      </c>
    </row>
    <row r="2271">
      <c r="A2271" s="86">
        <f>IFERROR(__xludf.DUMMYFUNCTION("""COMPUTED_VALUE"""),2269.0)</f>
        <v>2269</v>
      </c>
      <c r="B2271" s="87" t="str">
        <f>IFERROR(__xludf.DUMMYFUNCTION("""COMPUTED_VALUE"""),"Nhãn thùng")</f>
        <v>Nhãn thùng</v>
      </c>
      <c r="C2271" s="87" t="str">
        <f>IFERROR(__xludf.DUMMYFUNCTION("""COMPUTED_VALUE"""),"NDT1701")</f>
        <v>NDT1701</v>
      </c>
      <c r="D2271" s="87" t="str">
        <f>IFERROR(__xludf.DUMMYFUNCTION("""COMPUTED_VALUE"""),"[Nhãn thùng] GC - II - 1701 - Nông Nghiệp An Bình - MANCOBGO 80WP (Bột xanh) - 1kg - 20")</f>
        <v>[Nhãn thùng] GC - II - 1701 - Nông Nghiệp An Bình - MANCOBGO 80WP (Bột xanh) - 1kg - 20</v>
      </c>
      <c r="E2271" s="87" t="str">
        <f>IFERROR(__xludf.DUMMYFUNCTION("""COMPUTED_VALUE"""),"MANCOBGO 80WP")</f>
        <v>MANCOBGO 80WP</v>
      </c>
      <c r="F2271" s="87" t="str">
        <f>IFERROR(__xludf.DUMMYFUNCTION("""COMPUTED_VALUE"""),"HH1701")</f>
        <v>HH1701</v>
      </c>
      <c r="G2271" s="87" t="str">
        <f>IFERROR(__xludf.DUMMYFUNCTION("""COMPUTED_VALUE"""),"GC - II - 1701 - Nông Nghiệp An Bình - MANCOBGO 80WP (Bột xanh) - 1kg - 20")</f>
        <v>GC - II - 1701 - Nông Nghiệp An Bình - MANCOBGO 80WP (Bột xanh) - 1kg - 20</v>
      </c>
    </row>
    <row r="2272">
      <c r="A2272" s="86">
        <f>IFERROR(__xludf.DUMMYFUNCTION("""COMPUTED_VALUE"""),2270.0)</f>
        <v>2270</v>
      </c>
      <c r="B2272" s="87" t="str">
        <f>IFERROR(__xludf.DUMMYFUNCTION("""COMPUTED_VALUE"""),"Nhãn")</f>
        <v>Nhãn</v>
      </c>
      <c r="C2272" s="87" t="str">
        <f>IFERROR(__xludf.DUMMYFUNCTION("""COMPUTED_VALUE"""),"NTN1703")</f>
        <v>NTN1703</v>
      </c>
      <c r="D2272" s="87" t="str">
        <f>IFERROR(__xludf.DUMMYFUNCTION("""COMPUTED_VALUE"""),"[Nhãn] GC - IV - 1703 - Cty Agritech Hà Lan - MANCOBGO 80WP (Bột xanh) - 1kg - 20")</f>
        <v>[Nhãn] GC - IV - 1703 - Cty Agritech Hà Lan - MANCOBGO 80WP (Bột xanh) - 1kg - 20</v>
      </c>
      <c r="E2272" s="87" t="str">
        <f>IFERROR(__xludf.DUMMYFUNCTION("""COMPUTED_VALUE"""),"MANCOBGO 80WP")</f>
        <v>MANCOBGO 80WP</v>
      </c>
      <c r="F2272" s="87" t="str">
        <f>IFERROR(__xludf.DUMMYFUNCTION("""COMPUTED_VALUE"""),"HH1703")</f>
        <v>HH1703</v>
      </c>
      <c r="G2272" s="87" t="str">
        <f>IFERROR(__xludf.DUMMYFUNCTION("""COMPUTED_VALUE"""),"GC - IV - 1703 - Cty Agritech Hà Lan - MANCOBGO 80WP (Bột xanh) - 1kg - 20")</f>
        <v>GC - IV - 1703 - Cty Agritech Hà Lan - MANCOBGO 80WP (Bột xanh) - 1kg - 20</v>
      </c>
    </row>
    <row r="2273">
      <c r="A2273" s="86">
        <f>IFERROR(__xludf.DUMMYFUNCTION("""COMPUTED_VALUE"""),2271.0)</f>
        <v>2271</v>
      </c>
      <c r="B2273" s="87" t="str">
        <f>IFERROR(__xludf.DUMMYFUNCTION("""COMPUTED_VALUE"""),"Nhãn")</f>
        <v>Nhãn</v>
      </c>
      <c r="C2273" s="87" t="str">
        <f>IFERROR(__xludf.DUMMYFUNCTION("""COMPUTED_VALUE"""),"NDT1703")</f>
        <v>NDT1703</v>
      </c>
      <c r="D2273" s="87" t="str">
        <f>IFERROR(__xludf.DUMMYFUNCTION("""COMPUTED_VALUE"""),"[Nhãn] GC - IV - 1703 - Cty Agritech Hà Lan - MANCOBGO 80WP (Bột xanh) - 1kg - 20")</f>
        <v>[Nhãn] GC - IV - 1703 - Cty Agritech Hà Lan - MANCOBGO 80WP (Bột xanh) - 1kg - 20</v>
      </c>
      <c r="E2273" s="87" t="str">
        <f>IFERROR(__xludf.DUMMYFUNCTION("""COMPUTED_VALUE"""),"MANCOBGO 80WP")</f>
        <v>MANCOBGO 80WP</v>
      </c>
      <c r="F2273" s="87" t="str">
        <f>IFERROR(__xludf.DUMMYFUNCTION("""COMPUTED_VALUE"""),"HH1703")</f>
        <v>HH1703</v>
      </c>
      <c r="G2273" s="87" t="str">
        <f>IFERROR(__xludf.DUMMYFUNCTION("""COMPUTED_VALUE"""),"GC - IV - 1703 - Cty Agritech Hà Lan - MANCOBGO 80WP (Bột xanh) - 1kg - 20")</f>
        <v>GC - IV - 1703 - Cty Agritech Hà Lan - MANCOBGO 80WP (Bột xanh) - 1kg - 20</v>
      </c>
    </row>
    <row r="2274">
      <c r="A2274" s="86">
        <f>IFERROR(__xludf.DUMMYFUNCTION("""COMPUTED_VALUE"""),2272.0)</f>
        <v>2272</v>
      </c>
      <c r="B2274" s="87" t="str">
        <f>IFERROR(__xludf.DUMMYFUNCTION("""COMPUTED_VALUE"""),"Nhãn")</f>
        <v>Nhãn</v>
      </c>
      <c r="C2274" s="87" t="str">
        <f>IFERROR(__xludf.DUMMYFUNCTION("""COMPUTED_VALUE"""),"NTN1704")</f>
        <v>NTN1704</v>
      </c>
      <c r="D2274" s="87" t="str">
        <f>IFERROR(__xludf.DUMMYFUNCTION("""COMPUTED_VALUE"""),"[Nhãn]  GC - IV - 1704 - MAKEGREEN 55WG (dạng cốm màu trắng ngà) - 20gr - 200")</f>
        <v>[Nhãn]  GC - IV - 1704 - MAKEGREEN 55WG (dạng cốm màu trắng ngà) - 20gr - 200</v>
      </c>
      <c r="E2274" s="87" t="str">
        <f>IFERROR(__xludf.DUMMYFUNCTION("""COMPUTED_VALUE"""),"MAKEGREEN 55WG")</f>
        <v>MAKEGREEN 55WG</v>
      </c>
      <c r="F2274" s="87" t="str">
        <f>IFERROR(__xludf.DUMMYFUNCTION("""COMPUTED_VALUE"""),"HH1704")</f>
        <v>HH1704</v>
      </c>
      <c r="G2274" s="87" t="str">
        <f>IFERROR(__xludf.DUMMYFUNCTION("""COMPUTED_VALUE"""),"GC - IV - 1704 - MAKEGREEN 55WG (dạng cốm màu trắng ngà) - 20gr - 200")</f>
        <v>GC - IV - 1704 - MAKEGREEN 55WG (dạng cốm màu trắng ngà) - 20gr - 200</v>
      </c>
    </row>
    <row r="2275">
      <c r="A2275" s="86">
        <f>IFERROR(__xludf.DUMMYFUNCTION("""COMPUTED_VALUE"""),2273.0)</f>
        <v>2273</v>
      </c>
      <c r="B2275" s="87" t="str">
        <f>IFERROR(__xludf.DUMMYFUNCTION("""COMPUTED_VALUE"""),"Nhãn")</f>
        <v>Nhãn</v>
      </c>
      <c r="C2275" s="87" t="str">
        <f>IFERROR(__xludf.DUMMYFUNCTION("""COMPUTED_VALUE"""),"NTN1705")</f>
        <v>NTN1705</v>
      </c>
      <c r="D2275" s="87" t="str">
        <f>IFERROR(__xludf.DUMMYFUNCTION("""COMPUTED_VALUE"""),"[Nhãn] GC - IV - 1705 - MAKEGREEN 55WG (dạng cốm màu trắng ngà) - 100gr - 100")</f>
        <v>[Nhãn] GC - IV - 1705 - MAKEGREEN 55WG (dạng cốm màu trắng ngà) - 100gr - 100</v>
      </c>
      <c r="E2275" s="87" t="str">
        <f>IFERROR(__xludf.DUMMYFUNCTION("""COMPUTED_VALUE"""),"MAKEGREEN 55WG")</f>
        <v>MAKEGREEN 55WG</v>
      </c>
      <c r="F2275" s="87" t="str">
        <f>IFERROR(__xludf.DUMMYFUNCTION("""COMPUTED_VALUE"""),"HH1705")</f>
        <v>HH1705</v>
      </c>
      <c r="G2275" s="87" t="str">
        <f>IFERROR(__xludf.DUMMYFUNCTION("""COMPUTED_VALUE"""),"GC - IV - 1705 - MAKEGREEN 55WG (dạng cốm màu trắng ngà) - 100gr - 100")</f>
        <v>GC - IV - 1705 - MAKEGREEN 55WG (dạng cốm màu trắng ngà) - 100gr - 100</v>
      </c>
    </row>
    <row r="2276">
      <c r="A2276" s="86">
        <f>IFERROR(__xludf.DUMMYFUNCTION("""COMPUTED_VALUE"""),2274.0)</f>
        <v>2274</v>
      </c>
      <c r="B2276" s="87" t="str">
        <f>IFERROR(__xludf.DUMMYFUNCTION("""COMPUTED_VALUE"""),"Nhãn")</f>
        <v>Nhãn</v>
      </c>
      <c r="C2276" s="87" t="str">
        <f>IFERROR(__xludf.DUMMYFUNCTION("""COMPUTED_VALUE"""),"NHG1706")</f>
        <v>NHG1706</v>
      </c>
      <c r="D2276" s="87" t="str">
        <f>IFERROR(__xludf.DUMMYFUNCTION("""COMPUTED_VALUE"""),"[Nhãn] GC - IV - 1706 - Cty Hitaco - Rice Max (nước đỏ) - 500ml - 40")</f>
        <v>[Nhãn] GC - IV - 1706 - Cty Hitaco - Rice Max (nước đỏ) - 500ml - 40</v>
      </c>
      <c r="E2276" s="87" t="str">
        <f>IFERROR(__xludf.DUMMYFUNCTION("""COMPUTED_VALUE"""),"Hữu Cơ PA ORGANIC")</f>
        <v>Hữu Cơ PA ORGANIC</v>
      </c>
      <c r="F2276" s="87" t="str">
        <f>IFERROR(__xludf.DUMMYFUNCTION("""COMPUTED_VALUE"""),"HH1706")</f>
        <v>HH1706</v>
      </c>
      <c r="G2276" s="87" t="str">
        <f>IFERROR(__xludf.DUMMYFUNCTION("""COMPUTED_VALUE"""),"GC - IV - 1706 - Cty Hitaco - Rice Max (nước đỏ) - 500ml - 40")</f>
        <v>GC - IV - 1706 - Cty Hitaco - Rice Max (nước đỏ) - 500ml - 40</v>
      </c>
    </row>
    <row r="2277">
      <c r="A2277" s="86">
        <f>IFERROR(__xludf.DUMMYFUNCTION("""COMPUTED_VALUE"""),2275.0)</f>
        <v>2275</v>
      </c>
      <c r="B2277" s="87" t="str">
        <f>IFERROR(__xludf.DUMMYFUNCTION("""COMPUTED_VALUE"""),"Nhãn thùng")</f>
        <v>Nhãn thùng</v>
      </c>
      <c r="C2277" s="87" t="str">
        <f>IFERROR(__xludf.DUMMYFUNCTION("""COMPUTED_VALUE"""),"NDT1706")</f>
        <v>NDT1706</v>
      </c>
      <c r="D2277" s="87" t="str">
        <f>IFERROR(__xludf.DUMMYFUNCTION("""COMPUTED_VALUE"""),"[Nhãn thùng] GC - IV - 1706 - Cty Hitaco - Rice Max (nước đỏ) - 500ml - 40")</f>
        <v>[Nhãn thùng] GC - IV - 1706 - Cty Hitaco - Rice Max (nước đỏ) - 500ml - 40</v>
      </c>
      <c r="E2277" s="87" t="str">
        <f>IFERROR(__xludf.DUMMYFUNCTION("""COMPUTED_VALUE"""),"Hữu Cơ PA ORGANIC")</f>
        <v>Hữu Cơ PA ORGANIC</v>
      </c>
      <c r="F2277" s="87" t="str">
        <f>IFERROR(__xludf.DUMMYFUNCTION("""COMPUTED_VALUE"""),"HH1706")</f>
        <v>HH1706</v>
      </c>
      <c r="G2277" s="87" t="str">
        <f>IFERROR(__xludf.DUMMYFUNCTION("""COMPUTED_VALUE"""),"GC - IV - 1706 - Cty Hitaco - Rice Max (nước đỏ) - 500ml - 40")</f>
        <v>GC - IV - 1706 - Cty Hitaco - Rice Max (nước đỏ) - 500ml - 40</v>
      </c>
    </row>
    <row r="2278">
      <c r="A2278" s="86">
        <f>IFERROR(__xludf.DUMMYFUNCTION("""COMPUTED_VALUE"""),2276.0)</f>
        <v>2276</v>
      </c>
      <c r="B2278" s="87" t="str">
        <f>IFERROR(__xludf.DUMMYFUNCTION("""COMPUTED_VALUE"""),"Nhãn")</f>
        <v>Nhãn</v>
      </c>
      <c r="C2278" s="87" t="str">
        <f>IFERROR(__xludf.DUMMYFUNCTION("""COMPUTED_VALUE"""),"NHG1707")</f>
        <v>NHG1707</v>
      </c>
      <c r="D2278" s="87" t="str">
        <f>IFERROR(__xludf.DUMMYFUNCTION("""COMPUTED_VALUE"""),"[Nhãn]  GC - IV - 1707 - Cty Agro Life Solution - Vua Sư Tử (nước đỏ) - 900ml - 20")</f>
        <v>[Nhãn]  GC - IV - 1707 - Cty Agro Life Solution - Vua Sư Tử (nước đỏ) - 900ml - 20</v>
      </c>
      <c r="E2278" s="87" t="str">
        <f>IFERROR(__xludf.DUMMYFUNCTION("""COMPUTED_VALUE"""),"Asupergras 200SL")</f>
        <v>Asupergras 200SL</v>
      </c>
      <c r="F2278" s="87" t="str">
        <f>IFERROR(__xludf.DUMMYFUNCTION("""COMPUTED_VALUE"""),"HH1707")</f>
        <v>HH1707</v>
      </c>
      <c r="G2278" s="87" t="str">
        <f>IFERROR(__xludf.DUMMYFUNCTION("""COMPUTED_VALUE"""),"GC - IV - 1707 - Cty Agro Life Solution - Vua Sư Tử (nước đỏ) - 900ml - 20")</f>
        <v>GC - IV - 1707 - Cty Agro Life Solution - Vua Sư Tử (nước đỏ) - 900ml - 20</v>
      </c>
    </row>
    <row r="2279">
      <c r="A2279" s="86">
        <f>IFERROR(__xludf.DUMMYFUNCTION("""COMPUTED_VALUE"""),2277.0)</f>
        <v>2277</v>
      </c>
      <c r="B2279" s="87" t="str">
        <f>IFERROR(__xludf.DUMMYFUNCTION("""COMPUTED_VALUE"""),"Nhãn")</f>
        <v>Nhãn</v>
      </c>
      <c r="C2279" s="87" t="str">
        <f>IFERROR(__xludf.DUMMYFUNCTION("""COMPUTED_VALUE"""),"NTN1708")</f>
        <v>NTN1708</v>
      </c>
      <c r="D2279" s="87" t="str">
        <f>IFERROR(__xludf.DUMMYFUNCTION("""COMPUTED_VALUE"""),"[Nhãn] GC - IV - 1708 - Thiên Di - Super 55 (dạng cốm màu trắng ngà) - 100gr - 100")</f>
        <v>[Nhãn] GC - IV - 1708 - Thiên Di - Super 55 (dạng cốm màu trắng ngà) - 100gr - 100</v>
      </c>
      <c r="E2279" s="87" t="str">
        <f>IFERROR(__xludf.DUMMYFUNCTION("""COMPUTED_VALUE"""),"MAKEGREEN 55WG")</f>
        <v>MAKEGREEN 55WG</v>
      </c>
      <c r="F2279" s="87" t="str">
        <f>IFERROR(__xludf.DUMMYFUNCTION("""COMPUTED_VALUE"""),"HH1708")</f>
        <v>HH1708</v>
      </c>
      <c r="G2279" s="87" t="str">
        <f>IFERROR(__xludf.DUMMYFUNCTION("""COMPUTED_VALUE"""),"GC - IV - 1708 - Thiên Di - Super 55 (dạng cốm màu trắng ngà) - 100gr - 100")</f>
        <v>GC - IV - 1708 - Thiên Di - Super 55 (dạng cốm màu trắng ngà) - 100gr - 100</v>
      </c>
    </row>
    <row r="2280">
      <c r="A2280" s="86">
        <f>IFERROR(__xludf.DUMMYFUNCTION("""COMPUTED_VALUE"""),2278.0)</f>
        <v>2278</v>
      </c>
      <c r="B2280" s="87" t="str">
        <f>IFERROR(__xludf.DUMMYFUNCTION("""COMPUTED_VALUE"""),"Nhãn thùng")</f>
        <v>Nhãn thùng</v>
      </c>
      <c r="C2280" s="87" t="str">
        <f>IFERROR(__xludf.DUMMYFUNCTION("""COMPUTED_VALUE"""),"NDT1708")</f>
        <v>NDT1708</v>
      </c>
      <c r="D2280" s="87" t="str">
        <f>IFERROR(__xludf.DUMMYFUNCTION("""COMPUTED_VALUE"""),"[Nhãn thùng] GC - IV - 1708 - Thiên Di - Super 55 (dạng cốm màu trắng ngà) - 100gr - 100")</f>
        <v>[Nhãn thùng] GC - IV - 1708 - Thiên Di - Super 55 (dạng cốm màu trắng ngà) - 100gr - 100</v>
      </c>
      <c r="E2280" s="87" t="str">
        <f>IFERROR(__xludf.DUMMYFUNCTION("""COMPUTED_VALUE"""),"MAKEGREEN 55WG")</f>
        <v>MAKEGREEN 55WG</v>
      </c>
      <c r="F2280" s="87" t="str">
        <f>IFERROR(__xludf.DUMMYFUNCTION("""COMPUTED_VALUE"""),"HH1708")</f>
        <v>HH1708</v>
      </c>
      <c r="G2280" s="87" t="str">
        <f>IFERROR(__xludf.DUMMYFUNCTION("""COMPUTED_VALUE"""),"GC - IV - 1708 - Thiên Di - Super 55 (dạng cốm màu trắng ngà) - 100gr - 100")</f>
        <v>GC - IV - 1708 - Thiên Di - Super 55 (dạng cốm màu trắng ngà) - 100gr - 100</v>
      </c>
    </row>
    <row r="2281">
      <c r="A2281" s="86">
        <f>IFERROR(__xludf.DUMMYFUNCTION("""COMPUTED_VALUE"""),2279.0)</f>
        <v>2279</v>
      </c>
      <c r="B2281" s="87" t="str">
        <f>IFERROR(__xludf.DUMMYFUNCTION("""COMPUTED_VALUE"""),"Nhãn")</f>
        <v>Nhãn</v>
      </c>
      <c r="C2281" s="87" t="str">
        <f>IFERROR(__xludf.DUMMYFUNCTION("""COMPUTED_VALUE"""),"NTN1709")</f>
        <v>NTN1709</v>
      </c>
      <c r="D2281" s="87" t="str">
        <f>IFERROR(__xludf.DUMMYFUNCTION("""COMPUTED_VALUE"""),"[Nhãn] GC - IV - 1709 - Thiên Di - Super 55 (dạng cốm màu trắng ngà) - 50gr - 150")</f>
        <v>[Nhãn] GC - IV - 1709 - Thiên Di - Super 55 (dạng cốm màu trắng ngà) - 50gr - 150</v>
      </c>
      <c r="E2281" s="87" t="str">
        <f>IFERROR(__xludf.DUMMYFUNCTION("""COMPUTED_VALUE"""),"MAKEGREEN 55WG")</f>
        <v>MAKEGREEN 55WG</v>
      </c>
      <c r="F2281" s="87" t="str">
        <f>IFERROR(__xludf.DUMMYFUNCTION("""COMPUTED_VALUE"""),"HH1709")</f>
        <v>HH1709</v>
      </c>
      <c r="G2281" s="87" t="str">
        <f>IFERROR(__xludf.DUMMYFUNCTION("""COMPUTED_VALUE"""),"GC - IV - 1709 - Thiên Di - Super 55 (dạng cốm màu trắng ngà) - 50gr - 150")</f>
        <v>GC - IV - 1709 - Thiên Di - Super 55 (dạng cốm màu trắng ngà) - 50gr - 150</v>
      </c>
    </row>
    <row r="2282">
      <c r="A2282" s="86">
        <f>IFERROR(__xludf.DUMMYFUNCTION("""COMPUTED_VALUE"""),2280.0)</f>
        <v>2280</v>
      </c>
      <c r="B2282" s="87" t="str">
        <f>IFERROR(__xludf.DUMMYFUNCTION("""COMPUTED_VALUE"""),"Nhãn thùng")</f>
        <v>Nhãn thùng</v>
      </c>
      <c r="C2282" s="87" t="str">
        <f>IFERROR(__xludf.DUMMYFUNCTION("""COMPUTED_VALUE"""),"NDT1709")</f>
        <v>NDT1709</v>
      </c>
      <c r="D2282" s="87" t="str">
        <f>IFERROR(__xludf.DUMMYFUNCTION("""COMPUTED_VALUE"""),"[Nhãn thùng] GC - IV - 1709 - Thiên Di - Super 55 (dạng cốm màu trắng ngà) - 50gr - 150")</f>
        <v>[Nhãn thùng] GC - IV - 1709 - Thiên Di - Super 55 (dạng cốm màu trắng ngà) - 50gr - 150</v>
      </c>
      <c r="E2282" s="87" t="str">
        <f>IFERROR(__xludf.DUMMYFUNCTION("""COMPUTED_VALUE"""),"MAKEGREEN 55WG")</f>
        <v>MAKEGREEN 55WG</v>
      </c>
      <c r="F2282" s="87" t="str">
        <f>IFERROR(__xludf.DUMMYFUNCTION("""COMPUTED_VALUE"""),"HH1709")</f>
        <v>HH1709</v>
      </c>
      <c r="G2282" s="87" t="str">
        <f>IFERROR(__xludf.DUMMYFUNCTION("""COMPUTED_VALUE"""),"GC - IV - 1709 - Thiên Di - Super 55 (dạng cốm màu trắng ngà) - 50gr - 150")</f>
        <v>GC - IV - 1709 - Thiên Di - Super 55 (dạng cốm màu trắng ngà) - 50gr - 150</v>
      </c>
    </row>
    <row r="2283">
      <c r="A2283" s="86">
        <f>IFERROR(__xludf.DUMMYFUNCTION("""COMPUTED_VALUE"""),2281.0)</f>
        <v>2281</v>
      </c>
      <c r="B2283" s="87" t="str">
        <f>IFERROR(__xludf.DUMMYFUNCTION("""COMPUTED_VALUE"""),"Nhãn")</f>
        <v>Nhãn</v>
      </c>
      <c r="C2283" s="87" t="str">
        <f>IFERROR(__xludf.DUMMYFUNCTION("""COMPUTED_VALUE"""),"NTN1710")</f>
        <v>NTN1710</v>
      </c>
      <c r="D2283" s="87" t="str">
        <f>IFERROR(__xludf.DUMMYFUNCTION("""COMPUTED_VALUE"""),"[Nhãn] GC - IV - 1710 - Thiên Di - Super 55 (dạng cốm màu trắng ngà) - 18gr - 200")</f>
        <v>[Nhãn] GC - IV - 1710 - Thiên Di - Super 55 (dạng cốm màu trắng ngà) - 18gr - 200</v>
      </c>
      <c r="E2283" s="87" t="str">
        <f>IFERROR(__xludf.DUMMYFUNCTION("""COMPUTED_VALUE"""),"MAKEGREEN 55WG")</f>
        <v>MAKEGREEN 55WG</v>
      </c>
      <c r="F2283" s="87" t="str">
        <f>IFERROR(__xludf.DUMMYFUNCTION("""COMPUTED_VALUE"""),"HH1710")</f>
        <v>HH1710</v>
      </c>
      <c r="G2283" s="87" t="str">
        <f>IFERROR(__xludf.DUMMYFUNCTION("""COMPUTED_VALUE"""),"GC - IV - 1710 - Thiên Di - Super 55 (dạng cốm màu trắng ngà) - 18gr - 200")</f>
        <v>GC - IV - 1710 - Thiên Di - Super 55 (dạng cốm màu trắng ngà) - 18gr - 200</v>
      </c>
    </row>
    <row r="2284">
      <c r="A2284" s="86">
        <f>IFERROR(__xludf.DUMMYFUNCTION("""COMPUTED_VALUE"""),2282.0)</f>
        <v>2282</v>
      </c>
      <c r="B2284" s="87" t="str">
        <f>IFERROR(__xludf.DUMMYFUNCTION("""COMPUTED_VALUE"""),"Nhãn thùng")</f>
        <v>Nhãn thùng</v>
      </c>
      <c r="C2284" s="87" t="str">
        <f>IFERROR(__xludf.DUMMYFUNCTION("""COMPUTED_VALUE"""),"NDT1710")</f>
        <v>NDT1710</v>
      </c>
      <c r="D2284" s="87" t="str">
        <f>IFERROR(__xludf.DUMMYFUNCTION("""COMPUTED_VALUE"""),"[Nhãn thùng] GC - IV - 1710 - Thiên Di - Super 55 (dạng cốm màu trắng ngà) - 18gr - 200")</f>
        <v>[Nhãn thùng] GC - IV - 1710 - Thiên Di - Super 55 (dạng cốm màu trắng ngà) - 18gr - 200</v>
      </c>
      <c r="E2284" s="87" t="str">
        <f>IFERROR(__xludf.DUMMYFUNCTION("""COMPUTED_VALUE"""),"MAKEGREEN 55WG")</f>
        <v>MAKEGREEN 55WG</v>
      </c>
      <c r="F2284" s="87" t="str">
        <f>IFERROR(__xludf.DUMMYFUNCTION("""COMPUTED_VALUE"""),"HH1710")</f>
        <v>HH1710</v>
      </c>
      <c r="G2284" s="87" t="str">
        <f>IFERROR(__xludf.DUMMYFUNCTION("""COMPUTED_VALUE"""),"GC - IV - 1710 - Thiên Di - Super 55 (dạng cốm màu trắng ngà) - 18gr - 200")</f>
        <v>GC - IV - 1710 - Thiên Di - Super 55 (dạng cốm màu trắng ngà) - 18gr - 200</v>
      </c>
    </row>
    <row r="2285">
      <c r="A2285" s="86">
        <f>IFERROR(__xludf.DUMMYFUNCTION("""COMPUTED_VALUE"""),2283.0)</f>
        <v>2283</v>
      </c>
      <c r="B2285" s="87" t="str">
        <f>IFERROR(__xludf.DUMMYFUNCTION("""COMPUTED_VALUE"""),"Nhãn")</f>
        <v>Nhãn</v>
      </c>
      <c r="C2285" s="87" t="str">
        <f>IFERROR(__xludf.DUMMYFUNCTION("""COMPUTED_VALUE"""),"NTN1711")</f>
        <v>NTN1711</v>
      </c>
      <c r="D2285" s="87" t="str">
        <f>IFERROR(__xludf.DUMMYFUNCTION("""COMPUTED_VALUE"""),"[Nhãn] GC - IV - 1711 - Cty NANOTECH USA - MANCOZEB (bột xanh) - 1kg - 20")</f>
        <v>[Nhãn] GC - IV - 1711 - Cty NANOTECH USA - MANCOZEB (bột xanh) - 1kg - 20</v>
      </c>
      <c r="E2285" s="87" t="str">
        <f>IFERROR(__xludf.DUMMYFUNCTION("""COMPUTED_VALUE"""),"MANCOBGO 80WP")</f>
        <v>MANCOBGO 80WP</v>
      </c>
      <c r="F2285" s="87" t="str">
        <f>IFERROR(__xludf.DUMMYFUNCTION("""COMPUTED_VALUE"""),"HH1711")</f>
        <v>HH1711</v>
      </c>
      <c r="G2285" s="87" t="str">
        <f>IFERROR(__xludf.DUMMYFUNCTION("""COMPUTED_VALUE"""),"GC - IV - 1711 - Cty NANOTECH USA - MANCOZEB (bột xanh) - 1kg - 20")</f>
        <v>GC - IV - 1711 - Cty NANOTECH USA - MANCOZEB (bột xanh) - 1kg - 20</v>
      </c>
    </row>
    <row r="2286">
      <c r="A2286" s="86">
        <f>IFERROR(__xludf.DUMMYFUNCTION("""COMPUTED_VALUE"""),2284.0)</f>
        <v>2284</v>
      </c>
      <c r="B2286" s="87" t="str">
        <f>IFERROR(__xludf.DUMMYFUNCTION("""COMPUTED_VALUE"""),"Nhãn thùng")</f>
        <v>Nhãn thùng</v>
      </c>
      <c r="C2286" s="87" t="str">
        <f>IFERROR(__xludf.DUMMYFUNCTION("""COMPUTED_VALUE"""),"NDT1711")</f>
        <v>NDT1711</v>
      </c>
      <c r="D2286" s="87" t="str">
        <f>IFERROR(__xludf.DUMMYFUNCTION("""COMPUTED_VALUE"""),"[Nhãn thùng] GC - IV - 1711 - Cty NANOTECH USA - MANCOZEB (bột xanh) - 1kg - 20")</f>
        <v>[Nhãn thùng] GC - IV - 1711 - Cty NANOTECH USA - MANCOZEB (bột xanh) - 1kg - 20</v>
      </c>
      <c r="E2286" s="87" t="str">
        <f>IFERROR(__xludf.DUMMYFUNCTION("""COMPUTED_VALUE"""),"MANCOBGO 80WP")</f>
        <v>MANCOBGO 80WP</v>
      </c>
      <c r="F2286" s="87" t="str">
        <f>IFERROR(__xludf.DUMMYFUNCTION("""COMPUTED_VALUE"""),"HH1711")</f>
        <v>HH1711</v>
      </c>
      <c r="G2286" s="87" t="str">
        <f>IFERROR(__xludf.DUMMYFUNCTION("""COMPUTED_VALUE"""),"GC - IV - 1711 - Cty NANOTECH USA - MANCOZEB (bột xanh) - 1kg - 20")</f>
        <v>GC - IV - 1711 - Cty NANOTECH USA - MANCOZEB (bột xanh) - 1kg - 20</v>
      </c>
    </row>
    <row r="2287">
      <c r="A2287" s="86">
        <f>IFERROR(__xludf.DUMMYFUNCTION("""COMPUTED_VALUE"""),2285.0)</f>
        <v>2285</v>
      </c>
      <c r="B2287" s="87" t="str">
        <f>IFERROR(__xludf.DUMMYFUNCTION("""COMPUTED_VALUE"""),"Nhãn")</f>
        <v>Nhãn</v>
      </c>
      <c r="C2287" s="87" t="str">
        <f>IFERROR(__xludf.DUMMYFUNCTION("""COMPUTED_VALUE"""),"NHG1712")</f>
        <v>NHG1712</v>
      </c>
      <c r="D2287" s="87" t="str">
        <f>IFERROR(__xludf.DUMMYFUNCTION("""COMPUTED_VALUE"""),"[Nhãn] GC - IV - 1712 - Cty Tiến Vinh - Sư Tử Lửa (nước đỏ) - 900ml - 20")</f>
        <v>[Nhãn] GC - IV - 1712 - Cty Tiến Vinh - Sư Tử Lửa (nước đỏ) - 900ml - 20</v>
      </c>
      <c r="E2287" s="87" t="str">
        <f>IFERROR(__xludf.DUMMYFUNCTION("""COMPUTED_VALUE"""),"Asupergras 200SL")</f>
        <v>Asupergras 200SL</v>
      </c>
      <c r="F2287" s="87" t="str">
        <f>IFERROR(__xludf.DUMMYFUNCTION("""COMPUTED_VALUE"""),"HH1712")</f>
        <v>HH1712</v>
      </c>
      <c r="G2287" s="87" t="str">
        <f>IFERROR(__xludf.DUMMYFUNCTION("""COMPUTED_VALUE"""),"GC - IV - 1712 - Cty Tiến Vinh - Sư Tử Lửa (nước đỏ) - 900ml - 20")</f>
        <v>GC - IV - 1712 - Cty Tiến Vinh - Sư Tử Lửa (nước đỏ) - 900ml - 20</v>
      </c>
    </row>
    <row r="2288">
      <c r="A2288" s="86">
        <f>IFERROR(__xludf.DUMMYFUNCTION("""COMPUTED_VALUE"""),2286.0)</f>
        <v>2286</v>
      </c>
      <c r="B2288" s="87" t="str">
        <f>IFERROR(__xludf.DUMMYFUNCTION("""COMPUTED_VALUE"""),"Nhãn")</f>
        <v>Nhãn</v>
      </c>
      <c r="C2288" s="87" t="str">
        <f>IFERROR(__xludf.DUMMYFUNCTION("""COMPUTED_VALUE"""),"NTN1713")</f>
        <v>NTN1713</v>
      </c>
      <c r="D2288" s="87" t="str">
        <f>IFERROR(__xludf.DUMMYFUNCTION("""COMPUTED_VALUE"""),"[Nhãn] GC - IV - 1713 - Cty Green Farm Nhật Mỹ - Nano Gold (dạng cốm màu trắng ngà) - 16gr - 200")</f>
        <v>[Nhãn] GC - IV - 1713 - Cty Green Farm Nhật Mỹ - Nano Gold (dạng cốm màu trắng ngà) - 16gr - 200</v>
      </c>
      <c r="E2288" s="87" t="str">
        <f>IFERROR(__xludf.DUMMYFUNCTION("""COMPUTED_VALUE"""),"CYAT 525WG")</f>
        <v>CYAT 525WG</v>
      </c>
      <c r="F2288" s="87" t="str">
        <f>IFERROR(__xludf.DUMMYFUNCTION("""COMPUTED_VALUE"""),"HH1713")</f>
        <v>HH1713</v>
      </c>
      <c r="G2288" s="87" t="str">
        <f>IFERROR(__xludf.DUMMYFUNCTION("""COMPUTED_VALUE"""),"GC - IV - 1713 - Cty Green Farm Nhật Mỹ - Nano Gold (dạng cốm màu trắng ngà) - 16gr - 200")</f>
        <v>GC - IV - 1713 - Cty Green Farm Nhật Mỹ - Nano Gold (dạng cốm màu trắng ngà) - 16gr - 200</v>
      </c>
    </row>
    <row r="2289">
      <c r="A2289" s="86">
        <f>IFERROR(__xludf.DUMMYFUNCTION("""COMPUTED_VALUE"""),2287.0)</f>
        <v>2287</v>
      </c>
      <c r="B2289" s="87" t="str">
        <f>IFERROR(__xludf.DUMMYFUNCTION("""COMPUTED_VALUE"""),"Nhãn")</f>
        <v>Nhãn</v>
      </c>
      <c r="C2289" s="87" t="str">
        <f>IFERROR(__xludf.DUMMYFUNCTION("""COMPUTED_VALUE"""),"NHG1714")</f>
        <v>NHG1714</v>
      </c>
      <c r="D2289" s="87" t="str">
        <f>IFERROR(__xludf.DUMMYFUNCTION("""COMPUTED_VALUE"""),"[Nhãn] GC - IV - 1714 - Cty TNHH NK Australia - HEXA KẼM (nước xanh dương) - 1L - 20")</f>
        <v>[Nhãn] GC - IV - 1714 - Cty TNHH NK Australia - HEXA KẼM (nước xanh dương) - 1L - 20</v>
      </c>
      <c r="E2289" s="87" t="str">
        <f>IFERROR(__xludf.DUMMYFUNCTION("""COMPUTED_VALUE"""),"Mekongvil 5SC")</f>
        <v>Mekongvil 5SC</v>
      </c>
      <c r="F2289" s="87" t="str">
        <f>IFERROR(__xludf.DUMMYFUNCTION("""COMPUTED_VALUE"""),"HH1714")</f>
        <v>HH1714</v>
      </c>
      <c r="G2289" s="87" t="str">
        <f>IFERROR(__xludf.DUMMYFUNCTION("""COMPUTED_VALUE"""),"GC - IV - 1714 - Cty TNHH NK Australia - HEXA KẼM (nước xanh dương) - 1L - 20")</f>
        <v>GC - IV - 1714 - Cty TNHH NK Australia - HEXA KẼM (nước xanh dương) - 1L - 20</v>
      </c>
    </row>
    <row r="2290">
      <c r="A2290" s="86">
        <f>IFERROR(__xludf.DUMMYFUNCTION("""COMPUTED_VALUE"""),2288.0)</f>
        <v>2288</v>
      </c>
      <c r="B2290" s="87" t="str">
        <f>IFERROR(__xludf.DUMMYFUNCTION("""COMPUTED_VALUE"""),"Nhãn thùng")</f>
        <v>Nhãn thùng</v>
      </c>
      <c r="C2290" s="87" t="str">
        <f>IFERROR(__xludf.DUMMYFUNCTION("""COMPUTED_VALUE"""),"NDT1714")</f>
        <v>NDT1714</v>
      </c>
      <c r="D2290" s="87" t="str">
        <f>IFERROR(__xludf.DUMMYFUNCTION("""COMPUTED_VALUE"""),"[Nhãn thùng] GC - IV - 1714 - Cty TNHH NK Australia - HEXA KẼM (nước xanh dương) - 1L - 20")</f>
        <v>[Nhãn thùng] GC - IV - 1714 - Cty TNHH NK Australia - HEXA KẼM (nước xanh dương) - 1L - 20</v>
      </c>
      <c r="E2290" s="87" t="str">
        <f>IFERROR(__xludf.DUMMYFUNCTION("""COMPUTED_VALUE"""),"Mekongvil 5SC")</f>
        <v>Mekongvil 5SC</v>
      </c>
      <c r="F2290" s="87" t="str">
        <f>IFERROR(__xludf.DUMMYFUNCTION("""COMPUTED_VALUE"""),"HH1714")</f>
        <v>HH1714</v>
      </c>
      <c r="G2290" s="87" t="str">
        <f>IFERROR(__xludf.DUMMYFUNCTION("""COMPUTED_VALUE"""),"GC - IV - 1714 - Cty TNHH NK Australia - HEXA KẼM (nước xanh dương) - 1L - 20")</f>
        <v>GC - IV - 1714 - Cty TNHH NK Australia - HEXA KẼM (nước xanh dương) - 1L - 20</v>
      </c>
    </row>
    <row r="2291">
      <c r="A2291" s="86">
        <f>IFERROR(__xludf.DUMMYFUNCTION("""COMPUTED_VALUE"""),2289.0)</f>
        <v>2289</v>
      </c>
      <c r="B2291" s="87" t="str">
        <f>IFERROR(__xludf.DUMMYFUNCTION("""COMPUTED_VALUE"""),"Nhãn")</f>
        <v>Nhãn</v>
      </c>
      <c r="C2291" s="87" t="str">
        <f>IFERROR(__xludf.DUMMYFUNCTION("""COMPUTED_VALUE"""),"NHG1715")</f>
        <v>NHG1715</v>
      </c>
      <c r="D2291" s="87" t="str">
        <f>IFERROR(__xludf.DUMMYFUNCTION("""COMPUTED_VALUE"""),"[Nhãn] GC - K - 1715 - Cty ND Thuỵ Sĩ - GLURIVER 200SL - Vua cỏ bờ - 900ml -20")</f>
        <v>[Nhãn] GC - K - 1715 - Cty ND Thuỵ Sĩ - GLURIVER 200SL - Vua cỏ bờ - 900ml -20</v>
      </c>
      <c r="E2291" s="87" t="str">
        <f>IFERROR(__xludf.DUMMYFUNCTION("""COMPUTED_VALUE"""),"GLURIVER 200SL")</f>
        <v>GLURIVER 200SL</v>
      </c>
      <c r="F2291" s="87" t="str">
        <f>IFERROR(__xludf.DUMMYFUNCTION("""COMPUTED_VALUE"""),"HH1715")</f>
        <v>HH1715</v>
      </c>
      <c r="G2291" s="87" t="str">
        <f>IFERROR(__xludf.DUMMYFUNCTION("""COMPUTED_VALUE"""),"GC - K - 1715 - Cty ND Thuỵ Sĩ - GLURIVER 200SL - Vua cỏ bờ - 900ml -20")</f>
        <v>GC - K - 1715 - Cty ND Thuỵ Sĩ - GLURIVER 200SL - Vua cỏ bờ - 900ml -20</v>
      </c>
    </row>
    <row r="2292">
      <c r="A2292" s="86">
        <f>IFERROR(__xludf.DUMMYFUNCTION("""COMPUTED_VALUE"""),2290.0)</f>
        <v>2290</v>
      </c>
      <c r="B2292" s="87" t="str">
        <f>IFERROR(__xludf.DUMMYFUNCTION("""COMPUTED_VALUE"""),"Nhãn")</f>
        <v>Nhãn</v>
      </c>
      <c r="C2292" s="87" t="str">
        <f>IFERROR(__xludf.DUMMYFUNCTION("""COMPUTED_VALUE"""),"NHG1716")</f>
        <v>NHG1716</v>
      </c>
      <c r="D2292" s="87" t="str">
        <f>IFERROR(__xludf.DUMMYFUNCTION("""COMPUTED_VALUE"""),"[Nhãn] GC - K - 1716 - Cty ND Thuỵ Sĩ - GLURIVER 200SL - Sạch cỏ bờ - 900ml -20")</f>
        <v>[Nhãn] GC - K - 1716 - Cty ND Thuỵ Sĩ - GLURIVER 200SL - Sạch cỏ bờ - 900ml -20</v>
      </c>
      <c r="E2292" s="87" t="str">
        <f>IFERROR(__xludf.DUMMYFUNCTION("""COMPUTED_VALUE"""),"GLURIVER 200SL")</f>
        <v>GLURIVER 200SL</v>
      </c>
      <c r="F2292" s="87" t="str">
        <f>IFERROR(__xludf.DUMMYFUNCTION("""COMPUTED_VALUE"""),"HH1716")</f>
        <v>HH1716</v>
      </c>
      <c r="G2292" s="87" t="str">
        <f>IFERROR(__xludf.DUMMYFUNCTION("""COMPUTED_VALUE"""),"GC - K - 1716 - Cty ND Thuỵ Sĩ - GLURIVER 200SL - Sạch cỏ bờ - 900ml -20")</f>
        <v>GC - K - 1716 - Cty ND Thuỵ Sĩ - GLURIVER 200SL - Sạch cỏ bờ - 900ml -20</v>
      </c>
    </row>
    <row r="2293">
      <c r="A2293" s="86">
        <f>IFERROR(__xludf.DUMMYFUNCTION("""COMPUTED_VALUE"""),2291.0)</f>
        <v>2291</v>
      </c>
      <c r="B2293" s="87" t="str">
        <f>IFERROR(__xludf.DUMMYFUNCTION("""COMPUTED_VALUE"""),"Nhãn")</f>
        <v>Nhãn</v>
      </c>
      <c r="C2293" s="87" t="str">
        <f>IFERROR(__xludf.DUMMYFUNCTION("""COMPUTED_VALUE"""),"NHD1717")</f>
        <v>NHD1717</v>
      </c>
      <c r="D2293" s="87" t="str">
        <f>IFERROR(__xludf.DUMMYFUNCTION("""COMPUTED_VALUE"""),"[Nhãn] NB - I - 1717 - Cty Nông Dược Sunrise - 3.6 Sunrise (Chai cam, nắp đỏ)(nước nâu đen) - 450ml - 40")</f>
        <v>[Nhãn] NB - I - 1717 - Cty Nông Dược Sunrise - 3.6 Sunrise (Chai cam, nắp đỏ)(nước nâu đen) - 450ml - 40</v>
      </c>
      <c r="E2293" s="87" t="str">
        <f>IFERROR(__xludf.DUMMYFUNCTION("""COMPUTED_VALUE"""),"HAIHAMEC 3.6EC")</f>
        <v>HAIHAMEC 3.6EC</v>
      </c>
      <c r="F2293" s="87" t="str">
        <f>IFERROR(__xludf.DUMMYFUNCTION("""COMPUTED_VALUE"""),"HH1717")</f>
        <v>HH1717</v>
      </c>
      <c r="G2293" s="87" t="str">
        <f>IFERROR(__xludf.DUMMYFUNCTION("""COMPUTED_VALUE"""),"NB - I - 1717 - Cty Nông Dược Sunrise - 3.6 Sunrise (Chai cam, nắp đỏ)(nước nâu đen) - 450ml - 40")</f>
        <v>NB - I - 1717 - Cty Nông Dược Sunrise - 3.6 Sunrise (Chai cam, nắp đỏ)(nước nâu đen) - 450ml - 40</v>
      </c>
    </row>
    <row r="2294">
      <c r="A2294" s="86">
        <f>IFERROR(__xludf.DUMMYFUNCTION("""COMPUTED_VALUE"""),2292.0)</f>
        <v>2292</v>
      </c>
      <c r="B2294" s="87" t="str">
        <f>IFERROR(__xludf.DUMMYFUNCTION("""COMPUTED_VALUE"""),"Nhãn")</f>
        <v>Nhãn</v>
      </c>
      <c r="C2294" s="87" t="str">
        <f>IFERROR(__xludf.DUMMYFUNCTION("""COMPUTED_VALUE"""),"NHG1718")</f>
        <v>NHG1718</v>
      </c>
      <c r="D2294" s="87" t="str">
        <f>IFERROR(__xludf.DUMMYFUNCTION("""COMPUTED_VALUE"""),"[Nhãn] GC - IV - 1718 - Cty Agritech (Anh Trương) - Genol 1.2SL(nước đỏ) - 250ml - 40")</f>
        <v>[Nhãn] GC - IV - 1718 - Cty Agritech (Anh Trương) - Genol 1.2SL(nước đỏ) - 250ml - 40</v>
      </c>
      <c r="E2294" s="87" t="str">
        <f>IFERROR(__xludf.DUMMYFUNCTION("""COMPUTED_VALUE"""),"GENOL 1.2SL")</f>
        <v>GENOL 1.2SL</v>
      </c>
      <c r="F2294" s="87" t="str">
        <f>IFERROR(__xludf.DUMMYFUNCTION("""COMPUTED_VALUE"""),"HH1718")</f>
        <v>HH1718</v>
      </c>
      <c r="G2294" s="87" t="str">
        <f>IFERROR(__xludf.DUMMYFUNCTION("""COMPUTED_VALUE"""),"GC - IV - 1718 - Cty Agritech (Anh Trương) - Genol 1.2SL(nước đỏ) - 250ml - 40")</f>
        <v>GC - IV - 1718 - Cty Agritech (Anh Trương) - Genol 1.2SL(nước đỏ) - 250ml - 40</v>
      </c>
    </row>
    <row r="2295">
      <c r="A2295" s="86">
        <f>IFERROR(__xludf.DUMMYFUNCTION("""COMPUTED_VALUE"""),2293.0)</f>
        <v>2293</v>
      </c>
      <c r="B2295" s="87" t="str">
        <f>IFERROR(__xludf.DUMMYFUNCTION("""COMPUTED_VALUE"""),"NDT")</f>
        <v>NDT</v>
      </c>
      <c r="C2295" s="87" t="str">
        <f>IFERROR(__xludf.DUMMYFUNCTION("""COMPUTED_VALUE"""),"NDT1729")</f>
        <v>NDT1729</v>
      </c>
      <c r="D2295" s="87" t="str">
        <f>IFERROR(__xludf.DUMMYFUNCTION("""COMPUTED_VALUE"""),"[Nhãn thùng] GC - IV - 1729 - Cty Đại Phúc Nông - ELPIDA (Bột xanh) - 1kg - 15")</f>
        <v>[Nhãn thùng] GC - IV - 1729 - Cty Đại Phúc Nông - ELPIDA (Bột xanh) - 1kg - 15</v>
      </c>
      <c r="E2295" s="87" t="str">
        <f>IFERROR(__xludf.DUMMYFUNCTION("""COMPUTED_VALUE"""),"MANCOBGO 80WP")</f>
        <v>MANCOBGO 80WP</v>
      </c>
      <c r="F2295" s="87" t="str">
        <f>IFERROR(__xludf.DUMMYFUNCTION("""COMPUTED_VALUE"""),"HH1729")</f>
        <v>HH1729</v>
      </c>
      <c r="G2295" s="87" t="str">
        <f>IFERROR(__xludf.DUMMYFUNCTION("""COMPUTED_VALUE"""),"GC - IV - 1729 - Cty Đại Phúc Nông - ELPIDA (Bột xanh) - 1kg - 15")</f>
        <v>GC - IV - 1729 - Cty Đại Phúc Nông - ELPIDA (Bột xanh) - 1kg - 15</v>
      </c>
    </row>
    <row r="2296">
      <c r="A2296" s="86">
        <f>IFERROR(__xludf.DUMMYFUNCTION("""COMPUTED_VALUE"""),2294.0)</f>
        <v>2294</v>
      </c>
      <c r="B2296" s="87" t="str">
        <f>IFERROR(__xludf.DUMMYFUNCTION("""COMPUTED_VALUE"""),"Nhãn")</f>
        <v>Nhãn</v>
      </c>
      <c r="C2296" s="87" t="str">
        <f>IFERROR(__xludf.DUMMYFUNCTION("""COMPUTED_VALUE"""),"NTN1729")</f>
        <v>NTN1729</v>
      </c>
      <c r="D2296" s="87" t="str">
        <f>IFERROR(__xludf.DUMMYFUNCTION("""COMPUTED_VALUE"""),"[Nhãn] GC - IV - 1729 - Cty Đại Phúc Nông - ELPIDA (Bột xanh) - 1kg - 15")</f>
        <v>[Nhãn] GC - IV - 1729 - Cty Đại Phúc Nông - ELPIDA (Bột xanh) - 1kg - 15</v>
      </c>
      <c r="E2296" s="87" t="str">
        <f>IFERROR(__xludf.DUMMYFUNCTION("""COMPUTED_VALUE"""),"MANCOBGO 80WP")</f>
        <v>MANCOBGO 80WP</v>
      </c>
      <c r="F2296" s="87" t="str">
        <f>IFERROR(__xludf.DUMMYFUNCTION("""COMPUTED_VALUE"""),"HH1729")</f>
        <v>HH1729</v>
      </c>
      <c r="G2296" s="87" t="str">
        <f>IFERROR(__xludf.DUMMYFUNCTION("""COMPUTED_VALUE"""),"GC - IV - 1729 - Cty Đại Phúc Nông - ELPIDA (Bột xanh) - 1kg - 15")</f>
        <v>GC - IV - 1729 - Cty Đại Phúc Nông - ELPIDA (Bột xanh) - 1kg - 15</v>
      </c>
    </row>
    <row r="2297">
      <c r="A2297" s="86">
        <f>IFERROR(__xludf.DUMMYFUNCTION("""COMPUTED_VALUE"""),2295.0)</f>
        <v>2295</v>
      </c>
      <c r="B2297" s="87" t="str">
        <f>IFERROR(__xludf.DUMMYFUNCTION("""COMPUTED_VALUE"""),"Nhãn")</f>
        <v>Nhãn</v>
      </c>
      <c r="C2297" s="87" t="str">
        <f>IFERROR(__xludf.DUMMYFUNCTION("""COMPUTED_VALUE"""),"NHD1730")</f>
        <v>NHD1730</v>
      </c>
      <c r="D2297" s="87" t="str">
        <f>IFERROR(__xludf.DUMMYFUNCTION("""COMPUTED_VALUE"""),"[Nhãn] NB - I - 1730 - Cty Nông Dươc Sunrise - Sunrise 3.6 (Chai cam, nắp đỏ)(nước nâu đen) - 450ml - 40")</f>
        <v>[Nhãn] NB - I - 1730 - Cty Nông Dươc Sunrise - Sunrise 3.6 (Chai cam, nắp đỏ)(nước nâu đen) - 450ml - 40</v>
      </c>
      <c r="E2297" s="87" t="str">
        <f>IFERROR(__xludf.DUMMYFUNCTION("""COMPUTED_VALUE"""),"HAIHAMEC 3.6EC")</f>
        <v>HAIHAMEC 3.6EC</v>
      </c>
      <c r="F2297" s="87" t="str">
        <f>IFERROR(__xludf.DUMMYFUNCTION("""COMPUTED_VALUE"""),"HH1730")</f>
        <v>HH1730</v>
      </c>
      <c r="G2297" s="87" t="str">
        <f>IFERROR(__xludf.DUMMYFUNCTION("""COMPUTED_VALUE"""),"NB - I - 1730 - Cty Nông Dươc Sunrise - Sunrise 3.6 (Chai cam, nắp đỏ)(nước nâu đen) - 450ml - 40")</f>
        <v>NB - I - 1730 - Cty Nông Dươc Sunrise - Sunrise 3.6 (Chai cam, nắp đỏ)(nước nâu đen) - 450ml - 40</v>
      </c>
    </row>
    <row r="2298">
      <c r="A2298" s="86">
        <f>IFERROR(__xludf.DUMMYFUNCTION("""COMPUTED_VALUE"""),2296.0)</f>
        <v>2296</v>
      </c>
      <c r="B2298" s="87" t="str">
        <f>IFERROR(__xludf.DUMMYFUNCTION("""COMPUTED_VALUE"""),"Nhãn")</f>
        <v>Nhãn</v>
      </c>
      <c r="C2298" s="87" t="str">
        <f>IFERROR(__xludf.DUMMYFUNCTION("""COMPUTED_VALUE"""),"NTN1731")</f>
        <v>NTN1731</v>
      </c>
      <c r="D2298" s="87" t="str">
        <f>IFERROR(__xludf.DUMMYFUNCTION("""COMPUTED_VALUE"""),"[Nhãn]  GC - IV - 1731 - Cty Tây Huy Hoàng - Chống Thối Nhũn (bột trắng) - 25gr - 300")</f>
        <v>[Nhãn]  GC - IV - 1731 - Cty Tây Huy Hoàng - Chống Thối Nhũn (bột trắng) - 25gr - 300</v>
      </c>
      <c r="E2298" s="87" t="str">
        <f>IFERROR(__xludf.DUMMYFUNCTION("""COMPUTED_VALUE"""),"Oxycin 100WP")</f>
        <v>Oxycin 100WP</v>
      </c>
      <c r="F2298" s="87" t="str">
        <f>IFERROR(__xludf.DUMMYFUNCTION("""COMPUTED_VALUE"""),"HH1731")</f>
        <v>HH1731</v>
      </c>
      <c r="G2298" s="87" t="str">
        <f>IFERROR(__xludf.DUMMYFUNCTION("""COMPUTED_VALUE"""),"GC - IV - 1731 - Cty Tây Huy Hoàng - Chống Thối Nhũn (bột trắng) - 25gr - 300")</f>
        <v>GC - IV - 1731 - Cty Tây Huy Hoàng - Chống Thối Nhũn (bột trắng) - 25gr - 300</v>
      </c>
    </row>
    <row r="2299">
      <c r="A2299" s="86">
        <f>IFERROR(__xludf.DUMMYFUNCTION("""COMPUTED_VALUE"""),2297.0)</f>
        <v>2297</v>
      </c>
      <c r="B2299" s="87" t="str">
        <f>IFERROR(__xludf.DUMMYFUNCTION("""COMPUTED_VALUE"""),"Nhãn")</f>
        <v>Nhãn</v>
      </c>
      <c r="C2299" s="87" t="str">
        <f>IFERROR(__xludf.DUMMYFUNCTION("""COMPUTED_VALUE"""),"NHG1732")</f>
        <v>NHG1732</v>
      </c>
      <c r="D2299" s="87" t="str">
        <f>IFERROR(__xludf.DUMMYFUNCTION("""COMPUTED_VALUE"""),"[Nhãn]  GC - IV - 1732 - Cty Thanh Hà - DANOMAX (nước cam sữa) - 240ml - 40")</f>
        <v>[Nhãn]  GC - IV - 1732 - Cty Thanh Hà - DANOMAX (nước cam sữa) - 240ml - 40</v>
      </c>
      <c r="E2299" s="87" t="str">
        <f>IFERROR(__xludf.DUMMYFUNCTION("""COMPUTED_VALUE"""),"VATINO SUPER 525SE")</f>
        <v>VATINO SUPER 525SE</v>
      </c>
      <c r="F2299" s="87" t="str">
        <f>IFERROR(__xludf.DUMMYFUNCTION("""COMPUTED_VALUE"""),"HH1732")</f>
        <v>HH1732</v>
      </c>
      <c r="G2299" s="87" t="str">
        <f>IFERROR(__xludf.DUMMYFUNCTION("""COMPUTED_VALUE"""),"GC - IV - 1732 - Cty Thanh Hà - DANOMAX (nước cam sữa) - 240ml - 40")</f>
        <v>GC - IV - 1732 - Cty Thanh Hà - DANOMAX (nước cam sữa) - 240ml - 40</v>
      </c>
    </row>
    <row r="2300">
      <c r="A2300" s="86">
        <f>IFERROR(__xludf.DUMMYFUNCTION("""COMPUTED_VALUE"""),2298.0)</f>
        <v>2298</v>
      </c>
      <c r="B2300" s="87" t="str">
        <f>IFERROR(__xludf.DUMMYFUNCTION("""COMPUTED_VALUE"""),"Nhãn")</f>
        <v>Nhãn</v>
      </c>
      <c r="C2300" s="87" t="str">
        <f>IFERROR(__xludf.DUMMYFUNCTION("""COMPUTED_VALUE"""),"NHG1733")</f>
        <v>NHG1733</v>
      </c>
      <c r="D2300" s="87" t="str">
        <f>IFERROR(__xludf.DUMMYFUNCTION("""COMPUTED_VALUE"""),"[Nhãn] GC - IV - 1733 - CTY THANH HÀ - MEKONG VIL 5SC - HEXADANO - 1L - 20")</f>
        <v>[Nhãn] GC - IV - 1733 - CTY THANH HÀ - MEKONG VIL 5SC - HEXADANO - 1L - 20</v>
      </c>
      <c r="E2300" s="87" t="str">
        <f>IFERROR(__xludf.DUMMYFUNCTION("""COMPUTED_VALUE"""),"Mekongvil 5SC")</f>
        <v>Mekongvil 5SC</v>
      </c>
      <c r="F2300" s="87" t="str">
        <f>IFERROR(__xludf.DUMMYFUNCTION("""COMPUTED_VALUE"""),"HH1733")</f>
        <v>HH1733</v>
      </c>
      <c r="G2300" s="87" t="str">
        <f>IFERROR(__xludf.DUMMYFUNCTION("""COMPUTED_VALUE"""),"GC - IV - 1733 - CTY THANH HÀ - MEKONG VIL 5SC - HEXADANO - 1L - 20")</f>
        <v>GC - IV - 1733 - CTY THANH HÀ - MEKONG VIL 5SC - HEXADANO - 1L - 20</v>
      </c>
    </row>
    <row r="2301">
      <c r="A2301" s="86">
        <f>IFERROR(__xludf.DUMMYFUNCTION("""COMPUTED_VALUE"""),2299.0)</f>
        <v>2299</v>
      </c>
      <c r="B2301" s="87" t="str">
        <f>IFERROR(__xludf.DUMMYFUNCTION("""COMPUTED_VALUE"""),"Nhãn")</f>
        <v>Nhãn</v>
      </c>
      <c r="C2301" s="87" t="str">
        <f>IFERROR(__xludf.DUMMYFUNCTION("""COMPUTED_VALUE"""),"NTN1734")</f>
        <v>NTN1734</v>
      </c>
      <c r="D2301" s="87" t="str">
        <f>IFERROR(__xludf.DUMMYFUNCTION("""COMPUTED_VALUE"""),"[Nhãn] GC - IV - 1734 - CTY THANH HÀ - RAYXANH 200WP - 80gr - 150")</f>
        <v>[Nhãn] GC - IV - 1734 - CTY THANH HÀ - RAYXANH 200WP - 80gr - 150</v>
      </c>
      <c r="E2301" s="87" t="str">
        <f>IFERROR(__xludf.DUMMYFUNCTION("""COMPUTED_VALUE"""),"RAYXANH 200WP")</f>
        <v>RAYXANH 200WP</v>
      </c>
      <c r="F2301" s="87" t="str">
        <f>IFERROR(__xludf.DUMMYFUNCTION("""COMPUTED_VALUE"""),"HH1734")</f>
        <v>HH1734</v>
      </c>
      <c r="G2301" s="87" t="str">
        <f>IFERROR(__xludf.DUMMYFUNCTION("""COMPUTED_VALUE"""),"GC - IV - 1734 - CTY THANH HÀ - RAYXANH 200WP - 80gr - 150")</f>
        <v>GC - IV - 1734 - CTY THANH HÀ - RAYXANH 200WP - 80gr - 150</v>
      </c>
    </row>
    <row r="2302">
      <c r="A2302" s="86">
        <f>IFERROR(__xludf.DUMMYFUNCTION("""COMPUTED_VALUE"""),2300.0)</f>
        <v>2300</v>
      </c>
      <c r="B2302" s="87" t="str">
        <f>IFERROR(__xludf.DUMMYFUNCTION("""COMPUTED_VALUE"""),"Nhãn")</f>
        <v>Nhãn</v>
      </c>
      <c r="C2302" s="87" t="str">
        <f>IFERROR(__xludf.DUMMYFUNCTION("""COMPUTED_VALUE"""),"NHG1735")</f>
        <v>NHG1735</v>
      </c>
      <c r="D2302" s="87" t="str">
        <f>IFERROR(__xludf.DUMMYFUNCTION("""COMPUTED_VALUE"""),"[Nhãn] GC - IV - 1735 - Cty Green Farm Nhật Mỹ - Glu Sệt 200(nước tím) - 900ml - 20")</f>
        <v>[Nhãn] GC - IV - 1735 - Cty Green Farm Nhật Mỹ - Glu Sệt 200(nước tím) - 900ml - 20</v>
      </c>
      <c r="E2302" s="87" t="str">
        <f>IFERROR(__xludf.DUMMYFUNCTION("""COMPUTED_VALUE"""),"Asupergras 200SL")</f>
        <v>Asupergras 200SL</v>
      </c>
      <c r="F2302" s="87" t="str">
        <f>IFERROR(__xludf.DUMMYFUNCTION("""COMPUTED_VALUE"""),"HH1735")</f>
        <v>HH1735</v>
      </c>
      <c r="G2302" s="87" t="str">
        <f>IFERROR(__xludf.DUMMYFUNCTION("""COMPUTED_VALUE"""),"GC - IV - 1735 - Cty Green Farm Nhật Mỹ - Glu Sệt 200(nước tím) - 900ml - 20")</f>
        <v>GC - IV - 1735 - Cty Green Farm Nhật Mỹ - Glu Sệt 200(nước tím) - 900ml - 20</v>
      </c>
    </row>
    <row r="2303">
      <c r="A2303" s="86">
        <f>IFERROR(__xludf.DUMMYFUNCTION("""COMPUTED_VALUE"""),2301.0)</f>
        <v>2301</v>
      </c>
      <c r="B2303" s="87" t="str">
        <f>IFERROR(__xludf.DUMMYFUNCTION("""COMPUTED_VALUE"""),"Nhãn")</f>
        <v>Nhãn</v>
      </c>
      <c r="C2303" s="87" t="str">
        <f>IFERROR(__xludf.DUMMYFUNCTION("""COMPUTED_VALUE"""),"NHG1736")</f>
        <v>NHG1736</v>
      </c>
      <c r="D2303" s="87" t="str">
        <f>IFERROR(__xludf.DUMMYFUNCTION("""COMPUTED_VALUE"""),"[Nhãn] GC - IV - 1736 - Cty Newsanto USA - Asupergras 200SL(nước đỏ) - 900ml - 20")</f>
        <v>[Nhãn] GC - IV - 1736 - Cty Newsanto USA - Asupergras 200SL(nước đỏ) - 900ml - 20</v>
      </c>
      <c r="E2303" s="87" t="str">
        <f>IFERROR(__xludf.DUMMYFUNCTION("""COMPUTED_VALUE"""),"Asupergras 200SL")</f>
        <v>Asupergras 200SL</v>
      </c>
      <c r="F2303" s="87" t="str">
        <f>IFERROR(__xludf.DUMMYFUNCTION("""COMPUTED_VALUE"""),"HH1736")</f>
        <v>HH1736</v>
      </c>
      <c r="G2303" s="87" t="str">
        <f>IFERROR(__xludf.DUMMYFUNCTION("""COMPUTED_VALUE"""),"GC - IV - 1736 - Cty Newsanto USA - Asupergras 200SL(nước đỏ) - 900ml - 20")</f>
        <v>GC - IV - 1736 - Cty Newsanto USA - Asupergras 200SL(nước đỏ) - 900ml - 20</v>
      </c>
    </row>
    <row r="2304">
      <c r="A2304" s="86">
        <f>IFERROR(__xludf.DUMMYFUNCTION("""COMPUTED_VALUE"""),2302.0)</f>
        <v>2302</v>
      </c>
      <c r="B2304" s="87" t="str">
        <f>IFERROR(__xludf.DUMMYFUNCTION("""COMPUTED_VALUE"""),"Nhãn")</f>
        <v>Nhãn</v>
      </c>
      <c r="C2304" s="87" t="str">
        <f>IFERROR(__xludf.DUMMYFUNCTION("""COMPUTED_VALUE"""),"NHG1738")</f>
        <v>NHG1738</v>
      </c>
      <c r="D2304" s="87" t="str">
        <f>IFERROR(__xludf.DUMMYFUNCTION("""COMPUTED_VALUE"""),"[Nhãn] GC - IV - 1738 - Anh Viết Hoàng - Vatino Super 525SE (nước cam sữa) - 900ml - 20")</f>
        <v>[Nhãn] GC - IV - 1738 - Anh Viết Hoàng - Vatino Super 525SE (nước cam sữa) - 900ml - 20</v>
      </c>
      <c r="E2304" s="87" t="str">
        <f>IFERROR(__xludf.DUMMYFUNCTION("""COMPUTED_VALUE"""),"VATINO SUPER 525SE")</f>
        <v>VATINO SUPER 525SE</v>
      </c>
      <c r="F2304" s="87" t="str">
        <f>IFERROR(__xludf.DUMMYFUNCTION("""COMPUTED_VALUE"""),"HH1738")</f>
        <v>HH1738</v>
      </c>
      <c r="G2304" s="87" t="str">
        <f>IFERROR(__xludf.DUMMYFUNCTION("""COMPUTED_VALUE"""),"GC - IV - 1738 - Anh Viết Hoàng - Vatino Super 525SE (nước cam sữa) - 900ml - 20")</f>
        <v>GC - IV - 1738 - Anh Viết Hoàng - Vatino Super 525SE (nước cam sữa) - 900ml - 20</v>
      </c>
    </row>
    <row r="2305">
      <c r="A2305" s="86">
        <f>IFERROR(__xludf.DUMMYFUNCTION("""COMPUTED_VALUE"""),2303.0)</f>
        <v>2303</v>
      </c>
      <c r="B2305" s="87" t="str">
        <f>IFERROR(__xludf.DUMMYFUNCTION("""COMPUTED_VALUE"""),"Nhãn")</f>
        <v>Nhãn</v>
      </c>
      <c r="C2305" s="87" t="str">
        <f>IFERROR(__xludf.DUMMYFUNCTION("""COMPUTED_VALUE"""),"NHD1739")</f>
        <v>NHD1739</v>
      </c>
      <c r="D2305" s="87" t="str">
        <f>IFERROR(__xludf.DUMMYFUNCTION("""COMPUTED_VALUE"""),"[Nhãn] NB - IV - 1739 - Hưng Thắng Lợi Gia Lai - FORTHANE 80WP - 20L - 1")</f>
        <v>[Nhãn] NB - IV - 1739 - Hưng Thắng Lợi Gia Lai - FORTHANE 80WP - 20L - 1</v>
      </c>
      <c r="E2305" s="87" t="str">
        <f>IFERROR(__xludf.DUMMYFUNCTION("""COMPUTED_VALUE"""),"FORTHANE 80WP")</f>
        <v>FORTHANE 80WP</v>
      </c>
      <c r="F2305" s="87" t="str">
        <f>IFERROR(__xludf.DUMMYFUNCTION("""COMPUTED_VALUE"""),"HH1739")</f>
        <v>HH1739</v>
      </c>
      <c r="G2305" s="87" t="str">
        <f>IFERROR(__xludf.DUMMYFUNCTION("""COMPUTED_VALUE"""),"NB - IV - 1739 - Hưng Thắng Lợi Gia Lai - FORTHANE 80WP - 20L - 1")</f>
        <v>NB - IV - 1739 - Hưng Thắng Lợi Gia Lai - FORTHANE 80WP - 20L - 1</v>
      </c>
    </row>
    <row r="2306">
      <c r="A2306" s="86">
        <f>IFERROR(__xludf.DUMMYFUNCTION("""COMPUTED_VALUE"""),2304.0)</f>
        <v>2304</v>
      </c>
      <c r="B2306" s="87" t="str">
        <f>IFERROR(__xludf.DUMMYFUNCTION("""COMPUTED_VALUE"""),"nhãn phụ")</f>
        <v>nhãn phụ</v>
      </c>
      <c r="C2306" s="87" t="str">
        <f>IFERROR(__xludf.DUMMYFUNCTION("""COMPUTED_VALUE"""),"NHP1739")</f>
        <v>NHP1739</v>
      </c>
      <c r="D2306" s="87" t="str">
        <f>IFERROR(__xludf.DUMMYFUNCTION("""COMPUTED_VALUE"""),"[Nhãn phụ] NB - IV - 1739 - Hưng Thắng Lợi Gia Lai - FORTHANE 80WP - 20L - 1")</f>
        <v>[Nhãn phụ] NB - IV - 1739 - Hưng Thắng Lợi Gia Lai - FORTHANE 80WP - 20L - 1</v>
      </c>
      <c r="E2306" s="87" t="str">
        <f>IFERROR(__xludf.DUMMYFUNCTION("""COMPUTED_VALUE"""),"FORTHANE 80WP")</f>
        <v>FORTHANE 80WP</v>
      </c>
      <c r="F2306" s="87" t="str">
        <f>IFERROR(__xludf.DUMMYFUNCTION("""COMPUTED_VALUE"""),"HH1739")</f>
        <v>HH1739</v>
      </c>
      <c r="G2306" s="87" t="str">
        <f>IFERROR(__xludf.DUMMYFUNCTION("""COMPUTED_VALUE"""),"NB - IV - 1739 - Hưng Thắng Lợi Gia Lai - FORTHANE 80WP - 20L - 1")</f>
        <v>NB - IV - 1739 - Hưng Thắng Lợi Gia Lai - FORTHANE 80WP - 20L - 1</v>
      </c>
    </row>
    <row r="2307">
      <c r="A2307" s="86">
        <f>IFERROR(__xludf.DUMMYFUNCTION("""COMPUTED_VALUE"""),2305.0)</f>
        <v>2305</v>
      </c>
      <c r="B2307" s="87" t="str">
        <f>IFERROR(__xludf.DUMMYFUNCTION("""COMPUTED_VALUE"""),"Nhãn")</f>
        <v>Nhãn</v>
      </c>
      <c r="C2307" s="87" t="str">
        <f>IFERROR(__xludf.DUMMYFUNCTION("""COMPUTED_VALUE"""),"NHD1740")</f>
        <v>NHD1740</v>
      </c>
      <c r="D2307" s="87" t="str">
        <f>IFERROR(__xludf.DUMMYFUNCTION("""COMPUTED_VALUE"""),"[Nhãn] NB - IV - 1740 - Hưng Thắng Lợi Gia Lai - FORWANIL 50SC - 20L - 1")</f>
        <v>[Nhãn] NB - IV - 1740 - Hưng Thắng Lợi Gia Lai - FORWANIL 50SC - 20L - 1</v>
      </c>
      <c r="E2307" s="87" t="str">
        <f>IFERROR(__xludf.DUMMYFUNCTION("""COMPUTED_VALUE"""),"FORWANIL 50SC")</f>
        <v>FORWANIL 50SC</v>
      </c>
      <c r="F2307" s="87" t="str">
        <f>IFERROR(__xludf.DUMMYFUNCTION("""COMPUTED_VALUE"""),"HH1740")</f>
        <v>HH1740</v>
      </c>
      <c r="G2307" s="87" t="str">
        <f>IFERROR(__xludf.DUMMYFUNCTION("""COMPUTED_VALUE"""),"NB - IV - 1740 - Hưng Thắng Lợi Gia Lai - FORWANIL 50SC - 20L - 1")</f>
        <v>NB - IV - 1740 - Hưng Thắng Lợi Gia Lai - FORWANIL 50SC - 20L - 1</v>
      </c>
    </row>
    <row r="2308">
      <c r="A2308" s="86">
        <f>IFERROR(__xludf.DUMMYFUNCTION("""COMPUTED_VALUE"""),2306.0)</f>
        <v>2306</v>
      </c>
      <c r="B2308" s="87" t="str">
        <f>IFERROR(__xludf.DUMMYFUNCTION("""COMPUTED_VALUE"""),"nhãn phụ")</f>
        <v>nhãn phụ</v>
      </c>
      <c r="C2308" s="87" t="str">
        <f>IFERROR(__xludf.DUMMYFUNCTION("""COMPUTED_VALUE"""),"NHP1740")</f>
        <v>NHP1740</v>
      </c>
      <c r="D2308" s="87" t="str">
        <f>IFERROR(__xludf.DUMMYFUNCTION("""COMPUTED_VALUE"""),"[Nhãn phụ] NB - IV - 1740 - Hưng Thắng Lợi Gia Lai - FORWANIL 50SC - 20L - 1")</f>
        <v>[Nhãn phụ] NB - IV - 1740 - Hưng Thắng Lợi Gia Lai - FORWANIL 50SC - 20L - 1</v>
      </c>
      <c r="E2308" s="87" t="str">
        <f>IFERROR(__xludf.DUMMYFUNCTION("""COMPUTED_VALUE"""),"FORWANIL 50SC")</f>
        <v>FORWANIL 50SC</v>
      </c>
      <c r="F2308" s="87" t="str">
        <f>IFERROR(__xludf.DUMMYFUNCTION("""COMPUTED_VALUE"""),"HH1740")</f>
        <v>HH1740</v>
      </c>
      <c r="G2308" s="87" t="str">
        <f>IFERROR(__xludf.DUMMYFUNCTION("""COMPUTED_VALUE"""),"NB - IV - 1740 - Hưng Thắng Lợi Gia Lai - FORWANIL 50SC - 20L - 1")</f>
        <v>NB - IV - 1740 - Hưng Thắng Lợi Gia Lai - FORWANIL 50SC - 20L - 1</v>
      </c>
    </row>
    <row r="2309">
      <c r="A2309" s="86">
        <f>IFERROR(__xludf.DUMMYFUNCTION("""COMPUTED_VALUE"""),2307.0)</f>
        <v>2307</v>
      </c>
      <c r="B2309" s="87" t="str">
        <f>IFERROR(__xludf.DUMMYFUNCTION("""COMPUTED_VALUE"""),"Nhãn")</f>
        <v>Nhãn</v>
      </c>
      <c r="C2309" s="87" t="str">
        <f>IFERROR(__xludf.DUMMYFUNCTION("""COMPUTED_VALUE"""),"NHD1741")</f>
        <v>NHD1741</v>
      </c>
      <c r="D2309" s="87" t="str">
        <f>IFERROR(__xludf.DUMMYFUNCTION("""COMPUTED_VALUE"""),"[Nhãn] NB - IV - 1741 - Hưng Thắng Lợi Gia Lai - AMICOL 360EC - 20L - 1")</f>
        <v>[Nhãn] NB - IV - 1741 - Hưng Thắng Lợi Gia Lai - AMICOL 360EC - 20L - 1</v>
      </c>
      <c r="E2309" s="87" t="str">
        <f>IFERROR(__xludf.DUMMYFUNCTION("""COMPUTED_VALUE"""),"AMICOL 360EC")</f>
        <v>AMICOL 360EC</v>
      </c>
      <c r="F2309" s="87" t="str">
        <f>IFERROR(__xludf.DUMMYFUNCTION("""COMPUTED_VALUE"""),"HH1741")</f>
        <v>HH1741</v>
      </c>
      <c r="G2309" s="87" t="str">
        <f>IFERROR(__xludf.DUMMYFUNCTION("""COMPUTED_VALUE"""),"NB - IV - 1741 - Hưng Thắng Lợi Gia Lai - AMICOL 360EC - 20L - 1")</f>
        <v>NB - IV - 1741 - Hưng Thắng Lợi Gia Lai - AMICOL 360EC - 20L - 1</v>
      </c>
    </row>
    <row r="2310">
      <c r="A2310" s="86">
        <f>IFERROR(__xludf.DUMMYFUNCTION("""COMPUTED_VALUE"""),2308.0)</f>
        <v>2308</v>
      </c>
      <c r="B2310" s="87" t="str">
        <f>IFERROR(__xludf.DUMMYFUNCTION("""COMPUTED_VALUE"""),"nhãn phụ")</f>
        <v>nhãn phụ</v>
      </c>
      <c r="C2310" s="87" t="str">
        <f>IFERROR(__xludf.DUMMYFUNCTION("""COMPUTED_VALUE"""),"NHP1741")</f>
        <v>NHP1741</v>
      </c>
      <c r="D2310" s="87" t="str">
        <f>IFERROR(__xludf.DUMMYFUNCTION("""COMPUTED_VALUE"""),"[Nhãn phụ] NB - IV - 1741 - Hưng Thắng Lợi Gia Lai - AMICOL 360EC - 20L - 1")</f>
        <v>[Nhãn phụ] NB - IV - 1741 - Hưng Thắng Lợi Gia Lai - AMICOL 360EC - 20L - 1</v>
      </c>
      <c r="E2310" s="87" t="str">
        <f>IFERROR(__xludf.DUMMYFUNCTION("""COMPUTED_VALUE"""),"AMICOL 360EC")</f>
        <v>AMICOL 360EC</v>
      </c>
      <c r="F2310" s="87" t="str">
        <f>IFERROR(__xludf.DUMMYFUNCTION("""COMPUTED_VALUE"""),"HH1741")</f>
        <v>HH1741</v>
      </c>
      <c r="G2310" s="87" t="str">
        <f>IFERROR(__xludf.DUMMYFUNCTION("""COMPUTED_VALUE"""),"NB - IV - 1741 - Hưng Thắng Lợi Gia Lai - AMICOL 360EC - 20L - 1")</f>
        <v>NB - IV - 1741 - Hưng Thắng Lợi Gia Lai - AMICOL 360EC - 20L - 1</v>
      </c>
    </row>
    <row r="2311">
      <c r="A2311" s="86">
        <f>IFERROR(__xludf.DUMMYFUNCTION("""COMPUTED_VALUE"""),2309.0)</f>
        <v>2309</v>
      </c>
      <c r="B2311" s="87" t="str">
        <f>IFERROR(__xludf.DUMMYFUNCTION("""COMPUTED_VALUE"""),"Nhãn")</f>
        <v>Nhãn</v>
      </c>
      <c r="C2311" s="87" t="str">
        <f>IFERROR(__xludf.DUMMYFUNCTION("""COMPUTED_VALUE"""),"NHD1742")</f>
        <v>NHD1742</v>
      </c>
      <c r="D2311" s="87" t="str">
        <f>IFERROR(__xludf.DUMMYFUNCTION("""COMPUTED_VALUE"""),"[Nhãn] NB - IV - 1742 - Hưng Thắng Lợi Gia Lai - FORTIL 25SC - 20L - 1")</f>
        <v>[Nhãn] NB - IV - 1742 - Hưng Thắng Lợi Gia Lai - FORTIL 25SC - 20L - 1</v>
      </c>
      <c r="E2311" s="87"/>
      <c r="F2311" s="87"/>
      <c r="G2311" s="87"/>
    </row>
    <row r="2312">
      <c r="A2312" s="86">
        <f>IFERROR(__xludf.DUMMYFUNCTION("""COMPUTED_VALUE"""),2310.0)</f>
        <v>2310</v>
      </c>
      <c r="B2312" s="87" t="str">
        <f>IFERROR(__xludf.DUMMYFUNCTION("""COMPUTED_VALUE"""),"AGC")</f>
        <v>AGC</v>
      </c>
      <c r="C2312" s="87" t="str">
        <f>IFERROR(__xludf.DUMMYFUNCTION("""COMPUTED_VALUE"""),"20L")</f>
        <v>20L</v>
      </c>
      <c r="D2312" s="87" t="str">
        <f>IFERROR(__xludf.DUMMYFUNCTION("""COMPUTED_VALUE"""),"1")</f>
        <v>1</v>
      </c>
      <c r="E2312" s="87" t="str">
        <f>IFERROR(__xludf.DUMMYFUNCTION("""COMPUTED_VALUE"""),"Nhãn decal bóng")</f>
        <v>Nhãn decal bóng</v>
      </c>
      <c r="F2312" s="87" t="str">
        <f>IFERROR(__xludf.DUMMYFUNCTION("""COMPUTED_VALUE"""),"Cái")</f>
        <v>Cái</v>
      </c>
      <c r="G2312" s="87"/>
    </row>
    <row r="2313">
      <c r="A2313" s="86">
        <f>IFERROR(__xludf.DUMMYFUNCTION("""COMPUTED_VALUE"""),2311.0)</f>
        <v>2311</v>
      </c>
      <c r="B2313" s="87" t="str">
        <f>IFERROR(__xludf.DUMMYFUNCTION("""COMPUTED_VALUE"""),"nhãn phụ")</f>
        <v>nhãn phụ</v>
      </c>
      <c r="C2313" s="87" t="str">
        <f>IFERROR(__xludf.DUMMYFUNCTION("""COMPUTED_VALUE"""),"NHP1742")</f>
        <v>NHP1742</v>
      </c>
      <c r="D2313" s="87" t="str">
        <f>IFERROR(__xludf.DUMMYFUNCTION("""COMPUTED_VALUE"""),"[Nhãn phụ] NB - IV - 1742 - Hưng Thắng Lợi Gia Lai - FORTIL 25SC - 20L - 1")</f>
        <v>[Nhãn phụ] NB - IV - 1742 - Hưng Thắng Lợi Gia Lai - FORTIL 25SC - 20L - 1</v>
      </c>
      <c r="E2313" s="87"/>
      <c r="F2313" s="87"/>
      <c r="G2313" s="87"/>
    </row>
    <row r="2314">
      <c r="A2314" s="86">
        <f>IFERROR(__xludf.DUMMYFUNCTION("""COMPUTED_VALUE"""),2312.0)</f>
        <v>2312</v>
      </c>
      <c r="B2314" s="87" t="str">
        <f>IFERROR(__xludf.DUMMYFUNCTION("""COMPUTED_VALUE"""),"AGC")</f>
        <v>AGC</v>
      </c>
      <c r="C2314" s="87" t="str">
        <f>IFERROR(__xludf.DUMMYFUNCTION("""COMPUTED_VALUE"""),"20L")</f>
        <v>20L</v>
      </c>
      <c r="D2314" s="87" t="str">
        <f>IFERROR(__xludf.DUMMYFUNCTION("""COMPUTED_VALUE"""),"1")</f>
        <v>1</v>
      </c>
      <c r="E2314" s="87" t="str">
        <f>IFERROR(__xludf.DUMMYFUNCTION("""COMPUTED_VALUE"""),"Nhãn decal bóng")</f>
        <v>Nhãn decal bóng</v>
      </c>
      <c r="F2314" s="87" t="str">
        <f>IFERROR(__xludf.DUMMYFUNCTION("""COMPUTED_VALUE"""),"Cái")</f>
        <v>Cái</v>
      </c>
      <c r="G2314" s="87"/>
    </row>
    <row r="2315">
      <c r="A2315" s="86">
        <f>IFERROR(__xludf.DUMMYFUNCTION("""COMPUTED_VALUE"""),2313.0)</f>
        <v>2313</v>
      </c>
      <c r="B2315" s="87" t="str">
        <f>IFERROR(__xludf.DUMMYFUNCTION("""COMPUTED_VALUE"""),"Nhãn")</f>
        <v>Nhãn</v>
      </c>
      <c r="C2315" s="87" t="str">
        <f>IFERROR(__xludf.DUMMYFUNCTION("""COMPUTED_VALUE"""),"NHD1743")</f>
        <v>NHD1743</v>
      </c>
      <c r="D2315" s="87" t="str">
        <f>IFERROR(__xludf.DUMMYFUNCTION("""COMPUTED_VALUE"""),"[Nhãn]  NB - IV - 1743 - Hưng Thắng Lợi Gia Lai - KING-CIDE JAPAN 460SC - 20L - 1
")</f>
        <v>[Nhãn]  NB - IV - 1743 - Hưng Thắng Lợi Gia Lai - KING-CIDE JAPAN 460SC - 20L - 1
</v>
      </c>
      <c r="E2315" s="87" t="str">
        <f>IFERROR(__xludf.DUMMYFUNCTION("""COMPUTED_VALUE"""),"KING-CIDE JAPAN 460SC")</f>
        <v>KING-CIDE JAPAN 460SC</v>
      </c>
      <c r="F2315" s="87" t="str">
        <f>IFERROR(__xludf.DUMMYFUNCTION("""COMPUTED_VALUE"""),"HH1743")</f>
        <v>HH1743</v>
      </c>
      <c r="G2315" s="87" t="str">
        <f>IFERROR(__xludf.DUMMYFUNCTION("""COMPUTED_VALUE"""),"NB - IV - 1743 - Hưng Thắng Lợi Gia Lai - KING-CIDE JAPAN 460SC - 20L - 1")</f>
        <v>NB - IV - 1743 - Hưng Thắng Lợi Gia Lai - KING-CIDE JAPAN 460SC - 20L - 1</v>
      </c>
    </row>
    <row r="2316">
      <c r="A2316" s="86">
        <f>IFERROR(__xludf.DUMMYFUNCTION("""COMPUTED_VALUE"""),2314.0)</f>
        <v>2314</v>
      </c>
      <c r="B2316" s="87" t="str">
        <f>IFERROR(__xludf.DUMMYFUNCTION("""COMPUTED_VALUE"""),"nhãn phụ")</f>
        <v>nhãn phụ</v>
      </c>
      <c r="C2316" s="87" t="str">
        <f>IFERROR(__xludf.DUMMYFUNCTION("""COMPUTED_VALUE"""),"NHP1743")</f>
        <v>NHP1743</v>
      </c>
      <c r="D2316" s="87" t="str">
        <f>IFERROR(__xludf.DUMMYFUNCTION("""COMPUTED_VALUE"""),"[Nhãn phụ]  NB - IV - 1743 - Hưng Thắng Lợi Gia Lai - KING-CIDE JAPAN 460SC - 20L - 1")</f>
        <v>[Nhãn phụ]  NB - IV - 1743 - Hưng Thắng Lợi Gia Lai - KING-CIDE JAPAN 460SC - 20L - 1</v>
      </c>
      <c r="E2316" s="87" t="str">
        <f>IFERROR(__xludf.DUMMYFUNCTION("""COMPUTED_VALUE"""),"KING-CIDE JAPAN 460SC")</f>
        <v>KING-CIDE JAPAN 460SC</v>
      </c>
      <c r="F2316" s="87" t="str">
        <f>IFERROR(__xludf.DUMMYFUNCTION("""COMPUTED_VALUE"""),"HH1743")</f>
        <v>HH1743</v>
      </c>
      <c r="G2316" s="87" t="str">
        <f>IFERROR(__xludf.DUMMYFUNCTION("""COMPUTED_VALUE"""),"NB - IV - 1743 - Hưng Thắng Lợi Gia Lai - KING-CIDE JAPAN 460SC - 20L - 1")</f>
        <v>NB - IV - 1743 - Hưng Thắng Lợi Gia Lai - KING-CIDE JAPAN 460SC - 20L - 1</v>
      </c>
    </row>
    <row r="2317">
      <c r="A2317" s="86">
        <f>IFERROR(__xludf.DUMMYFUNCTION("""COMPUTED_VALUE"""),2315.0)</f>
        <v>2315</v>
      </c>
      <c r="B2317" s="87" t="str">
        <f>IFERROR(__xludf.DUMMYFUNCTION("""COMPUTED_VALUE"""),"Nhãn")</f>
        <v>Nhãn</v>
      </c>
      <c r="C2317" s="87" t="str">
        <f>IFERROR(__xludf.DUMMYFUNCTION("""COMPUTED_VALUE"""),"NHD1744")</f>
        <v>NHD1744</v>
      </c>
      <c r="D2317" s="87" t="str">
        <f>IFERROR(__xludf.DUMMYFUNCTION("""COMPUTED_VALUE"""),"[Nhãn]  NB - IV - 1744 - Hưng Thắng Lợi Gia Lai - NOFARA 350SC - 20L - 1")</f>
        <v>[Nhãn]  NB - IV - 1744 - Hưng Thắng Lợi Gia Lai - NOFARA 350SC - 20L - 1</v>
      </c>
      <c r="E2317" s="87" t="str">
        <f>IFERROR(__xludf.DUMMYFUNCTION("""COMPUTED_VALUE"""),"NOFARA 350SC")</f>
        <v>NOFARA 350SC</v>
      </c>
      <c r="F2317" s="87" t="str">
        <f>IFERROR(__xludf.DUMMYFUNCTION("""COMPUTED_VALUE"""),"HH1744")</f>
        <v>HH1744</v>
      </c>
      <c r="G2317" s="87" t="str">
        <f>IFERROR(__xludf.DUMMYFUNCTION("""COMPUTED_VALUE"""),"NB - IV - 1744 - Hưng Thắng Lợi Gia Lai - NOFARA 350SC - 20L - 1")</f>
        <v>NB - IV - 1744 - Hưng Thắng Lợi Gia Lai - NOFARA 350SC - 20L - 1</v>
      </c>
    </row>
    <row r="2318">
      <c r="A2318" s="86">
        <f>IFERROR(__xludf.DUMMYFUNCTION("""COMPUTED_VALUE"""),2316.0)</f>
        <v>2316</v>
      </c>
      <c r="B2318" s="87" t="str">
        <f>IFERROR(__xludf.DUMMYFUNCTION("""COMPUTED_VALUE"""),"nhãn phụ")</f>
        <v>nhãn phụ</v>
      </c>
      <c r="C2318" s="87" t="str">
        <f>IFERROR(__xludf.DUMMYFUNCTION("""COMPUTED_VALUE"""),"NHP1744")</f>
        <v>NHP1744</v>
      </c>
      <c r="D2318" s="87" t="str">
        <f>IFERROR(__xludf.DUMMYFUNCTION("""COMPUTED_VALUE"""),"[Nhãn phụ]  NB - IV - 1744 - Hưng Thắng Lợi Gia Lai - NOFARA 350SC - 20L - 1")</f>
        <v>[Nhãn phụ]  NB - IV - 1744 - Hưng Thắng Lợi Gia Lai - NOFARA 350SC - 20L - 1</v>
      </c>
      <c r="E2318" s="87" t="str">
        <f>IFERROR(__xludf.DUMMYFUNCTION("""COMPUTED_VALUE"""),"NOFARA 350SC")</f>
        <v>NOFARA 350SC</v>
      </c>
      <c r="F2318" s="87" t="str">
        <f>IFERROR(__xludf.DUMMYFUNCTION("""COMPUTED_VALUE"""),"HH1744")</f>
        <v>HH1744</v>
      </c>
      <c r="G2318" s="87" t="str">
        <f>IFERROR(__xludf.DUMMYFUNCTION("""COMPUTED_VALUE"""),"NB - IV - 1744 - Hưng Thắng Lợi Gia Lai - NOFARA 350SC - 20L - 1")</f>
        <v>NB - IV - 1744 - Hưng Thắng Lợi Gia Lai - NOFARA 350SC - 20L - 1</v>
      </c>
    </row>
    <row r="2319">
      <c r="A2319" s="86">
        <f>IFERROR(__xludf.DUMMYFUNCTION("""COMPUTED_VALUE"""),2317.0)</f>
        <v>2317</v>
      </c>
      <c r="B2319" s="87" t="str">
        <f>IFERROR(__xludf.DUMMYFUNCTION("""COMPUTED_VALUE"""),"Nhãn")</f>
        <v>Nhãn</v>
      </c>
      <c r="C2319" s="87" t="str">
        <f>IFERROR(__xludf.DUMMYFUNCTION("""COMPUTED_VALUE"""),"NHG1745")</f>
        <v>NHG1745</v>
      </c>
      <c r="D2319" s="87" t="str">
        <f>IFERROR(__xludf.DUMMYFUNCTION("""COMPUTED_VALUE"""),"[Nhãn]  NB - IV - 1745 - Hưng Thắng Lợi Gia Lai - KHONGRAY 54WP - 25kg - 1")</f>
        <v>[Nhãn]  NB - IV - 1745 - Hưng Thắng Lợi Gia Lai - KHONGRAY 54WP - 25kg - 1</v>
      </c>
      <c r="E2319" s="87" t="str">
        <f>IFERROR(__xludf.DUMMYFUNCTION("""COMPUTED_VALUE"""),"KHONGRAY 54WP")</f>
        <v>KHONGRAY 54WP</v>
      </c>
      <c r="F2319" s="87" t="str">
        <f>IFERROR(__xludf.DUMMYFUNCTION("""COMPUTED_VALUE"""),"HH1745")</f>
        <v>HH1745</v>
      </c>
      <c r="G2319" s="87" t="str">
        <f>IFERROR(__xludf.DUMMYFUNCTION("""COMPUTED_VALUE"""),"NB - IV - 1745 - Hưng Thắng Lợi Gia Lai - KHONGRAY 54WP - 25kg - 1")</f>
        <v>NB - IV - 1745 - Hưng Thắng Lợi Gia Lai - KHONGRAY 54WP - 25kg - 1</v>
      </c>
    </row>
    <row r="2320">
      <c r="A2320" s="86">
        <f>IFERROR(__xludf.DUMMYFUNCTION("""COMPUTED_VALUE"""),2318.0)</f>
        <v>2318</v>
      </c>
      <c r="B2320" s="87" t="str">
        <f>IFERROR(__xludf.DUMMYFUNCTION("""COMPUTED_VALUE"""),"nhãn phụ")</f>
        <v>nhãn phụ</v>
      </c>
      <c r="C2320" s="87" t="str">
        <f>IFERROR(__xludf.DUMMYFUNCTION("""COMPUTED_VALUE"""),"NHP1745")</f>
        <v>NHP1745</v>
      </c>
      <c r="D2320" s="87" t="str">
        <f>IFERROR(__xludf.DUMMYFUNCTION("""COMPUTED_VALUE"""),"[Nhãn phụ]  NB - IV - 1745 - Hưng Thắng Lợi Gia Lai - KHONGRAY 54WP - 25kg - 1")</f>
        <v>[Nhãn phụ]  NB - IV - 1745 - Hưng Thắng Lợi Gia Lai - KHONGRAY 54WP - 25kg - 1</v>
      </c>
      <c r="E2320" s="87" t="str">
        <f>IFERROR(__xludf.DUMMYFUNCTION("""COMPUTED_VALUE"""),"KHONGRAY 54WP")</f>
        <v>KHONGRAY 54WP</v>
      </c>
      <c r="F2320" s="87" t="str">
        <f>IFERROR(__xludf.DUMMYFUNCTION("""COMPUTED_VALUE"""),"HH1745")</f>
        <v>HH1745</v>
      </c>
      <c r="G2320" s="87" t="str">
        <f>IFERROR(__xludf.DUMMYFUNCTION("""COMPUTED_VALUE"""),"NB - IV - 1745 - Hưng Thắng Lợi Gia Lai - KHONGRAY 54WP - 25kg - 1")</f>
        <v>NB - IV - 1745 - Hưng Thắng Lợi Gia Lai - KHONGRAY 54WP - 25kg - 1</v>
      </c>
    </row>
    <row r="2321">
      <c r="A2321" s="86">
        <f>IFERROR(__xludf.DUMMYFUNCTION("""COMPUTED_VALUE"""),2319.0)</f>
        <v>2319</v>
      </c>
      <c r="B2321" s="87" t="str">
        <f>IFERROR(__xludf.DUMMYFUNCTION("""COMPUTED_VALUE"""),"Nhãn")</f>
        <v>Nhãn</v>
      </c>
      <c r="C2321" s="87" t="str">
        <f>IFERROR(__xludf.DUMMYFUNCTION("""COMPUTED_VALUE"""),"NHG1746")</f>
        <v>NHG1746</v>
      </c>
      <c r="D2321" s="87" t="str">
        <f>IFERROR(__xludf.DUMMYFUNCTION("""COMPUTED_VALUE"""),"[Nhãn] NB - IV - 1746 - Hưng Thắng Lợi Gia Lai - NOFACOL 70WP - 25kg - 1")</f>
        <v>[Nhãn] NB - IV - 1746 - Hưng Thắng Lợi Gia Lai - NOFACOL 70WP - 25kg - 1</v>
      </c>
      <c r="E2321" s="87" t="str">
        <f>IFERROR(__xludf.DUMMYFUNCTION("""COMPUTED_VALUE"""),"NOFACOL 70WP")</f>
        <v>NOFACOL 70WP</v>
      </c>
      <c r="F2321" s="87" t="str">
        <f>IFERROR(__xludf.DUMMYFUNCTION("""COMPUTED_VALUE"""),"HH1746")</f>
        <v>HH1746</v>
      </c>
      <c r="G2321" s="87" t="str">
        <f>IFERROR(__xludf.DUMMYFUNCTION("""COMPUTED_VALUE"""),"NB - IV - 1746 - Hưng Thắng Lợi Gia Lai - NOFACOL 70WP - 25kg - 1")</f>
        <v>NB - IV - 1746 - Hưng Thắng Lợi Gia Lai - NOFACOL 70WP - 25kg - 1</v>
      </c>
    </row>
    <row r="2322">
      <c r="A2322" s="86">
        <f>IFERROR(__xludf.DUMMYFUNCTION("""COMPUTED_VALUE"""),2320.0)</f>
        <v>2320</v>
      </c>
      <c r="B2322" s="87" t="str">
        <f>IFERROR(__xludf.DUMMYFUNCTION("""COMPUTED_VALUE"""),"nhãn phụ")</f>
        <v>nhãn phụ</v>
      </c>
      <c r="C2322" s="87" t="str">
        <f>IFERROR(__xludf.DUMMYFUNCTION("""COMPUTED_VALUE"""),"NHP1746")</f>
        <v>NHP1746</v>
      </c>
      <c r="D2322" s="87" t="str">
        <f>IFERROR(__xludf.DUMMYFUNCTION("""COMPUTED_VALUE"""),"[Nhãn phụ] NB - IV - 1746 - Hưng Thắng Lợi Gia Lai - NOFACOL 70WP - 25kg - 1")</f>
        <v>[Nhãn phụ] NB - IV - 1746 - Hưng Thắng Lợi Gia Lai - NOFACOL 70WP - 25kg - 1</v>
      </c>
      <c r="E2322" s="87" t="str">
        <f>IFERROR(__xludf.DUMMYFUNCTION("""COMPUTED_VALUE"""),"NOFACOL 70WP")</f>
        <v>NOFACOL 70WP</v>
      </c>
      <c r="F2322" s="87" t="str">
        <f>IFERROR(__xludf.DUMMYFUNCTION("""COMPUTED_VALUE"""),"HH1746")</f>
        <v>HH1746</v>
      </c>
      <c r="G2322" s="87" t="str">
        <f>IFERROR(__xludf.DUMMYFUNCTION("""COMPUTED_VALUE"""),"NB - IV - 1746 - Hưng Thắng Lợi Gia Lai - NOFACOL 70WP - 25kg - 1")</f>
        <v>NB - IV - 1746 - Hưng Thắng Lợi Gia Lai - NOFACOL 70WP - 25kg - 1</v>
      </c>
    </row>
    <row r="2323">
      <c r="A2323" s="86">
        <f>IFERROR(__xludf.DUMMYFUNCTION("""COMPUTED_VALUE"""),2321.0)</f>
        <v>2321</v>
      </c>
      <c r="B2323" s="87" t="str">
        <f>IFERROR(__xludf.DUMMYFUNCTION("""COMPUTED_VALUE"""),"Nhãn")</f>
        <v>Nhãn</v>
      </c>
      <c r="C2323" s="87" t="str">
        <f>IFERROR(__xludf.DUMMYFUNCTION("""COMPUTED_VALUE"""),"NHD1747")</f>
        <v>NHD1747</v>
      </c>
      <c r="D2323" s="87" t="str">
        <f>IFERROR(__xludf.DUMMYFUNCTION("""COMPUTED_VALUE"""),"[Nhãn] NB - IV - 1747 - Hưng Thắng Lợi Gia Lai - AGRI - ONE 1SL - 20L - 1")</f>
        <v>[Nhãn] NB - IV - 1747 - Hưng Thắng Lợi Gia Lai - AGRI - ONE 1SL - 20L - 1</v>
      </c>
      <c r="E2323" s="87" t="str">
        <f>IFERROR(__xludf.DUMMYFUNCTION("""COMPUTED_VALUE"""),"AGRI - ONE 1SL")</f>
        <v>AGRI - ONE 1SL</v>
      </c>
      <c r="F2323" s="87" t="str">
        <f>IFERROR(__xludf.DUMMYFUNCTION("""COMPUTED_VALUE"""),"HH1747")</f>
        <v>HH1747</v>
      </c>
      <c r="G2323" s="87" t="str">
        <f>IFERROR(__xludf.DUMMYFUNCTION("""COMPUTED_VALUE"""),"NB - IV - 1747 - Hưng Thắng Lợi Gia Lai - AGRI - ONE 1SL - 20L - 1")</f>
        <v>NB - IV - 1747 - Hưng Thắng Lợi Gia Lai - AGRI - ONE 1SL - 20L - 1</v>
      </c>
    </row>
    <row r="2324">
      <c r="A2324" s="86">
        <f>IFERROR(__xludf.DUMMYFUNCTION("""COMPUTED_VALUE"""),2322.0)</f>
        <v>2322</v>
      </c>
      <c r="B2324" s="87" t="str">
        <f>IFERROR(__xludf.DUMMYFUNCTION("""COMPUTED_VALUE"""),"nhãn phụ")</f>
        <v>nhãn phụ</v>
      </c>
      <c r="C2324" s="87" t="str">
        <f>IFERROR(__xludf.DUMMYFUNCTION("""COMPUTED_VALUE"""),"NHP1747")</f>
        <v>NHP1747</v>
      </c>
      <c r="D2324" s="87" t="str">
        <f>IFERROR(__xludf.DUMMYFUNCTION("""COMPUTED_VALUE"""),"[Nhãn phụ] NB - IV - 1747 - Hưng Thắng Lợi Gia Lai - AGRI - ONE 1SL - 20L - 1")</f>
        <v>[Nhãn phụ] NB - IV - 1747 - Hưng Thắng Lợi Gia Lai - AGRI - ONE 1SL - 20L - 1</v>
      </c>
      <c r="E2324" s="87" t="str">
        <f>IFERROR(__xludf.DUMMYFUNCTION("""COMPUTED_VALUE"""),"AGRI - ONE 1SL")</f>
        <v>AGRI - ONE 1SL</v>
      </c>
      <c r="F2324" s="87" t="str">
        <f>IFERROR(__xludf.DUMMYFUNCTION("""COMPUTED_VALUE"""),"HH1747")</f>
        <v>HH1747</v>
      </c>
      <c r="G2324" s="87" t="str">
        <f>IFERROR(__xludf.DUMMYFUNCTION("""COMPUTED_VALUE"""),"NB - IV - 1747 - Hưng Thắng Lợi Gia Lai - AGRI - ONE 1SL - 20L - 1")</f>
        <v>NB - IV - 1747 - Hưng Thắng Lợi Gia Lai - AGRI - ONE 1SL - 20L - 1</v>
      </c>
    </row>
    <row r="2325">
      <c r="A2325" s="86">
        <f>IFERROR(__xludf.DUMMYFUNCTION("""COMPUTED_VALUE"""),2323.0)</f>
        <v>2323</v>
      </c>
      <c r="B2325" s="87" t="str">
        <f>IFERROR(__xludf.DUMMYFUNCTION("""COMPUTED_VALUE"""),"Nhãn")</f>
        <v>Nhãn</v>
      </c>
      <c r="C2325" s="87" t="str">
        <f>IFERROR(__xludf.DUMMYFUNCTION("""COMPUTED_VALUE"""),"BAO1748")</f>
        <v>BAO1748</v>
      </c>
      <c r="D2325" s="87" t="str">
        <f>IFERROR(__xludf.DUMMYFUNCTION("""COMPUTED_VALUE"""),"[Nhãn] GC - IV - 1748 - Cty Lộc Phát Nông -ORGANIC 30 (bột nâu đen) - 25kg - 1")</f>
        <v>[Nhãn] GC - IV - 1748 - Cty Lộc Phát Nông -ORGANIC 30 (bột nâu đen) - 25kg - 1</v>
      </c>
      <c r="E2325" s="87" t="str">
        <f>IFERROR(__xludf.DUMMYFUNCTION("""COMPUTED_VALUE"""),"Hữu cơ sinh học Nam Kinh 02")</f>
        <v>Hữu cơ sinh học Nam Kinh 02</v>
      </c>
      <c r="F2325" s="87" t="str">
        <f>IFERROR(__xludf.DUMMYFUNCTION("""COMPUTED_VALUE"""),"HH1748")</f>
        <v>HH1748</v>
      </c>
      <c r="G2325" s="87" t="str">
        <f>IFERROR(__xludf.DUMMYFUNCTION("""COMPUTED_VALUE"""),"GC - IV - 1748 - Cty Lộc Phát Nông -ORGANIC 30 (bột nâu đen) - 25kg - 1")</f>
        <v>GC - IV - 1748 - Cty Lộc Phát Nông -ORGANIC 30 (bột nâu đen) - 25kg - 1</v>
      </c>
    </row>
    <row r="2326">
      <c r="A2326" s="86">
        <f>IFERROR(__xludf.DUMMYFUNCTION("""COMPUTED_VALUE"""),2324.0)</f>
        <v>2324</v>
      </c>
      <c r="B2326" s="87" t="str">
        <f>IFERROR(__xludf.DUMMYFUNCTION("""COMPUTED_VALUE"""),"Nhãn")</f>
        <v>Nhãn</v>
      </c>
      <c r="C2326" s="87" t="str">
        <f>IFERROR(__xludf.DUMMYFUNCTION("""COMPUTED_VALUE"""),"NHD1749")</f>
        <v>NHD1749</v>
      </c>
      <c r="D2326" s="87" t="str">
        <f>IFERROR(__xludf.DUMMYFUNCTION("""COMPUTED_VALUE"""),"[Nhãn]  NB - IV - 1749 - Hưng Thắng Lợi Gia Lai - Haihamec 3.6EC - 20L - 1")</f>
        <v>[Nhãn]  NB - IV - 1749 - Hưng Thắng Lợi Gia Lai - Haihamec 3.6EC - 20L - 1</v>
      </c>
      <c r="E2326" s="87" t="str">
        <f>IFERROR(__xludf.DUMMYFUNCTION("""COMPUTED_VALUE"""),"HAIHAMEC 3.6EC")</f>
        <v>HAIHAMEC 3.6EC</v>
      </c>
      <c r="F2326" s="87" t="str">
        <f>IFERROR(__xludf.DUMMYFUNCTION("""COMPUTED_VALUE"""),"HH1749")</f>
        <v>HH1749</v>
      </c>
      <c r="G2326" s="87" t="str">
        <f>IFERROR(__xludf.DUMMYFUNCTION("""COMPUTED_VALUE"""),"NB - IV - 1749 - Hưng Thắng Lợi Gia Lai - Haihamec 3.6EC - 20L - 1")</f>
        <v>NB - IV - 1749 - Hưng Thắng Lợi Gia Lai - Haihamec 3.6EC - 20L - 1</v>
      </c>
    </row>
    <row r="2327">
      <c r="A2327" s="86">
        <f>IFERROR(__xludf.DUMMYFUNCTION("""COMPUTED_VALUE"""),2325.0)</f>
        <v>2325</v>
      </c>
      <c r="B2327" s="87" t="str">
        <f>IFERROR(__xludf.DUMMYFUNCTION("""COMPUTED_VALUE"""),"nhãn phụ")</f>
        <v>nhãn phụ</v>
      </c>
      <c r="C2327" s="87" t="str">
        <f>IFERROR(__xludf.DUMMYFUNCTION("""COMPUTED_VALUE"""),"NHP1749")</f>
        <v>NHP1749</v>
      </c>
      <c r="D2327" s="87" t="str">
        <f>IFERROR(__xludf.DUMMYFUNCTION("""COMPUTED_VALUE"""),"[Nhãn phụ]  NB - IV - 1749 - Hưng Thắng Lợi Gia Lai - Haihamec 3.6EC - 20L - 1")</f>
        <v>[Nhãn phụ]  NB - IV - 1749 - Hưng Thắng Lợi Gia Lai - Haihamec 3.6EC - 20L - 1</v>
      </c>
      <c r="E2327" s="87" t="str">
        <f>IFERROR(__xludf.DUMMYFUNCTION("""COMPUTED_VALUE"""),"HAIHAMEC 3.6EC")</f>
        <v>HAIHAMEC 3.6EC</v>
      </c>
      <c r="F2327" s="87" t="str">
        <f>IFERROR(__xludf.DUMMYFUNCTION("""COMPUTED_VALUE"""),"HH1749")</f>
        <v>HH1749</v>
      </c>
      <c r="G2327" s="87" t="str">
        <f>IFERROR(__xludf.DUMMYFUNCTION("""COMPUTED_VALUE"""),"NB - IV - 1749 - Hưng Thắng Lợi Gia Lai - Haihamec 3.6EC - 20L - 1")</f>
        <v>NB - IV - 1749 - Hưng Thắng Lợi Gia Lai - Haihamec 3.6EC - 20L - 1</v>
      </c>
    </row>
    <row r="2328">
      <c r="A2328" s="86">
        <f>IFERROR(__xludf.DUMMYFUNCTION("""COMPUTED_VALUE"""),2326.0)</f>
        <v>2326</v>
      </c>
      <c r="B2328" s="87" t="str">
        <f>IFERROR(__xludf.DUMMYFUNCTION("""COMPUTED_VALUE"""),"Nhãn")</f>
        <v>Nhãn</v>
      </c>
      <c r="C2328" s="87" t="str">
        <f>IFERROR(__xludf.DUMMYFUNCTION("""COMPUTED_VALUE"""),"NHD1750")</f>
        <v>NHD1750</v>
      </c>
      <c r="D2328" s="87" t="str">
        <f>IFERROR(__xludf.DUMMYFUNCTION("""COMPUTED_VALUE"""),"[Nhãn] NB - IV - 1750 - Hưng Thắng Lợi Gia Lai - MI STOP 350SC - 20L - 1")</f>
        <v>[Nhãn] NB - IV - 1750 - Hưng Thắng Lợi Gia Lai - MI STOP 350SC - 20L - 1</v>
      </c>
      <c r="E2328" s="87" t="str">
        <f>IFERROR(__xludf.DUMMYFUNCTION("""COMPUTED_VALUE"""),"MI STOP 350SC")</f>
        <v>MI STOP 350SC</v>
      </c>
      <c r="F2328" s="87" t="str">
        <f>IFERROR(__xludf.DUMMYFUNCTION("""COMPUTED_VALUE"""),"HH1750")</f>
        <v>HH1750</v>
      </c>
      <c r="G2328" s="87" t="str">
        <f>IFERROR(__xludf.DUMMYFUNCTION("""COMPUTED_VALUE"""),"NB - IV - 1750 - Hưng Thắng Lợi Gia Lai - MI STOP 350SC - 20L - 1")</f>
        <v>NB - IV - 1750 - Hưng Thắng Lợi Gia Lai - MI STOP 350SC - 20L - 1</v>
      </c>
    </row>
    <row r="2329">
      <c r="A2329" s="86">
        <f>IFERROR(__xludf.DUMMYFUNCTION("""COMPUTED_VALUE"""),2327.0)</f>
        <v>2327</v>
      </c>
      <c r="B2329" s="87" t="str">
        <f>IFERROR(__xludf.DUMMYFUNCTION("""COMPUTED_VALUE"""),"nhãn phụ")</f>
        <v>nhãn phụ</v>
      </c>
      <c r="C2329" s="87" t="str">
        <f>IFERROR(__xludf.DUMMYFUNCTION("""COMPUTED_VALUE"""),"NHP1750")</f>
        <v>NHP1750</v>
      </c>
      <c r="D2329" s="87" t="str">
        <f>IFERROR(__xludf.DUMMYFUNCTION("""COMPUTED_VALUE"""),"[Nhãn phụ] NB - IV - 1750 - Hưng Thắng Lợi Gia Lai - MI STOP 350SC - 20L - 1")</f>
        <v>[Nhãn phụ] NB - IV - 1750 - Hưng Thắng Lợi Gia Lai - MI STOP 350SC - 20L - 1</v>
      </c>
      <c r="E2329" s="87" t="str">
        <f>IFERROR(__xludf.DUMMYFUNCTION("""COMPUTED_VALUE"""),"MI STOP 350SC")</f>
        <v>MI STOP 350SC</v>
      </c>
      <c r="F2329" s="87" t="str">
        <f>IFERROR(__xludf.DUMMYFUNCTION("""COMPUTED_VALUE"""),"HH1750")</f>
        <v>HH1750</v>
      </c>
      <c r="G2329" s="87" t="str">
        <f>IFERROR(__xludf.DUMMYFUNCTION("""COMPUTED_VALUE"""),"NB - IV - 1750 - Hưng Thắng Lợi Gia Lai - MI STOP 350SC - 20L - 1")</f>
        <v>NB - IV - 1750 - Hưng Thắng Lợi Gia Lai - MI STOP 350SC - 20L - 1</v>
      </c>
    </row>
    <row r="2330">
      <c r="A2330" s="86">
        <f>IFERROR(__xludf.DUMMYFUNCTION("""COMPUTED_VALUE"""),2328.0)</f>
        <v>2328</v>
      </c>
      <c r="B2330" s="87" t="str">
        <f>IFERROR(__xludf.DUMMYFUNCTION("""COMPUTED_VALUE"""),"Nhãn")</f>
        <v>Nhãn</v>
      </c>
      <c r="C2330" s="87" t="str">
        <f>IFERROR(__xludf.DUMMYFUNCTION("""COMPUTED_VALUE"""),"NHD1751")</f>
        <v>NHD1751</v>
      </c>
      <c r="D2330" s="87" t="str">
        <f>IFERROR(__xludf.DUMMYFUNCTION("""COMPUTED_VALUE"""),"[Nhãn] NB - IV - 1751 - Hưng Thắng Lợi Gia Lai - Mekongvil 5SC - 20L - 1")</f>
        <v>[Nhãn] NB - IV - 1751 - Hưng Thắng Lợi Gia Lai - Mekongvil 5SC - 20L - 1</v>
      </c>
      <c r="E2330" s="87" t="str">
        <f>IFERROR(__xludf.DUMMYFUNCTION("""COMPUTED_VALUE"""),"Mekongvil 5SC")</f>
        <v>Mekongvil 5SC</v>
      </c>
      <c r="F2330" s="87" t="str">
        <f>IFERROR(__xludf.DUMMYFUNCTION("""COMPUTED_VALUE"""),"HH1751")</f>
        <v>HH1751</v>
      </c>
      <c r="G2330" s="87" t="str">
        <f>IFERROR(__xludf.DUMMYFUNCTION("""COMPUTED_VALUE"""),"NB - IV - 1751 - Hưng Thắng Lợi Gia Lai - Mekongvil 5SC - 20L - 1")</f>
        <v>NB - IV - 1751 - Hưng Thắng Lợi Gia Lai - Mekongvil 5SC - 20L - 1</v>
      </c>
    </row>
    <row r="2331">
      <c r="A2331" s="86">
        <f>IFERROR(__xludf.DUMMYFUNCTION("""COMPUTED_VALUE"""),2329.0)</f>
        <v>2329</v>
      </c>
      <c r="B2331" s="87" t="str">
        <f>IFERROR(__xludf.DUMMYFUNCTION("""COMPUTED_VALUE"""),"nhãn phụ")</f>
        <v>nhãn phụ</v>
      </c>
      <c r="C2331" s="87" t="str">
        <f>IFERROR(__xludf.DUMMYFUNCTION("""COMPUTED_VALUE"""),"NHP1751")</f>
        <v>NHP1751</v>
      </c>
      <c r="D2331" s="87" t="str">
        <f>IFERROR(__xludf.DUMMYFUNCTION("""COMPUTED_VALUE"""),"[Nhãn phụ] NB - IV - 1751 - Hưng Thắng Lợi Gia Lai - Mekongvil 5SC - 20L - 1")</f>
        <v>[Nhãn phụ] NB - IV - 1751 - Hưng Thắng Lợi Gia Lai - Mekongvil 5SC - 20L - 1</v>
      </c>
      <c r="E2331" s="87" t="str">
        <f>IFERROR(__xludf.DUMMYFUNCTION("""COMPUTED_VALUE"""),"Mekongvil 5SC")</f>
        <v>Mekongvil 5SC</v>
      </c>
      <c r="F2331" s="87" t="str">
        <f>IFERROR(__xludf.DUMMYFUNCTION("""COMPUTED_VALUE"""),"HH1751")</f>
        <v>HH1751</v>
      </c>
      <c r="G2331" s="87" t="str">
        <f>IFERROR(__xludf.DUMMYFUNCTION("""COMPUTED_VALUE"""),"NB - IV - 1751 - Hưng Thắng Lợi Gia Lai - Mekongvil 5SC - 20L - 1")</f>
        <v>NB - IV - 1751 - Hưng Thắng Lợi Gia Lai - Mekongvil 5SC - 20L - 1</v>
      </c>
    </row>
    <row r="2332">
      <c r="A2332" s="86">
        <f>IFERROR(__xludf.DUMMYFUNCTION("""COMPUTED_VALUE"""),2330.0)</f>
        <v>2330</v>
      </c>
      <c r="B2332" s="87" t="str">
        <f>IFERROR(__xludf.DUMMYFUNCTION("""COMPUTED_VALUE"""),"Nhãn")</f>
        <v>Nhãn</v>
      </c>
      <c r="C2332" s="87" t="str">
        <f>IFERROR(__xludf.DUMMYFUNCTION("""COMPUTED_VALUE"""),"NHD1752")</f>
        <v>NHD1752</v>
      </c>
      <c r="D2332" s="87" t="str">
        <f>IFERROR(__xludf.DUMMYFUNCTION("""COMPUTED_VALUE"""),"[Nhãn] NB - IV - 1752 - Hưng Thắng Lợi Gia Lai - SUMO 2.5EC - 20L - 1")</f>
        <v>[Nhãn] NB - IV - 1752 - Hưng Thắng Lợi Gia Lai - SUMO 2.5EC - 20L - 1</v>
      </c>
      <c r="E2332" s="87" t="str">
        <f>IFERROR(__xludf.DUMMYFUNCTION("""COMPUTED_VALUE"""),"SUMO 2.5EC")</f>
        <v>SUMO 2.5EC</v>
      </c>
      <c r="F2332" s="87" t="str">
        <f>IFERROR(__xludf.DUMMYFUNCTION("""COMPUTED_VALUE"""),"HH1752")</f>
        <v>HH1752</v>
      </c>
      <c r="G2332" s="87" t="str">
        <f>IFERROR(__xludf.DUMMYFUNCTION("""COMPUTED_VALUE"""),"NB - IV - 1752 - Hưng Thắng Lợi Gia Lai - SUMO 2.5EC - 20L - 1")</f>
        <v>NB - IV - 1752 - Hưng Thắng Lợi Gia Lai - SUMO 2.5EC - 20L - 1</v>
      </c>
    </row>
    <row r="2333">
      <c r="A2333" s="86">
        <f>IFERROR(__xludf.DUMMYFUNCTION("""COMPUTED_VALUE"""),2331.0)</f>
        <v>2331</v>
      </c>
      <c r="B2333" s="87" t="str">
        <f>IFERROR(__xludf.DUMMYFUNCTION("""COMPUTED_VALUE"""),"nhãn phụ")</f>
        <v>nhãn phụ</v>
      </c>
      <c r="C2333" s="87" t="str">
        <f>IFERROR(__xludf.DUMMYFUNCTION("""COMPUTED_VALUE"""),"NHP1752")</f>
        <v>NHP1752</v>
      </c>
      <c r="D2333" s="87" t="str">
        <f>IFERROR(__xludf.DUMMYFUNCTION("""COMPUTED_VALUE"""),"[Nhãn phụ] NB - IV - 1752 - Hưng Thắng Lợi Gia Lai - SUMO 2.5EC - 20L - 1")</f>
        <v>[Nhãn phụ] NB - IV - 1752 - Hưng Thắng Lợi Gia Lai - SUMO 2.5EC - 20L - 1</v>
      </c>
      <c r="E2333" s="87" t="str">
        <f>IFERROR(__xludf.DUMMYFUNCTION("""COMPUTED_VALUE"""),"SUMO 2.5EC")</f>
        <v>SUMO 2.5EC</v>
      </c>
      <c r="F2333" s="87" t="str">
        <f>IFERROR(__xludf.DUMMYFUNCTION("""COMPUTED_VALUE"""),"HH1752")</f>
        <v>HH1752</v>
      </c>
      <c r="G2333" s="87" t="str">
        <f>IFERROR(__xludf.DUMMYFUNCTION("""COMPUTED_VALUE"""),"NB - IV - 1752 - Hưng Thắng Lợi Gia Lai - SUMO 2.5EC - 20L - 1")</f>
        <v>NB - IV - 1752 - Hưng Thắng Lợi Gia Lai - SUMO 2.5EC - 20L - 1</v>
      </c>
    </row>
    <row r="2334">
      <c r="A2334" s="86">
        <f>IFERROR(__xludf.DUMMYFUNCTION("""COMPUTED_VALUE"""),2332.0)</f>
        <v>2332</v>
      </c>
      <c r="B2334" s="87" t="str">
        <f>IFERROR(__xludf.DUMMYFUNCTION("""COMPUTED_VALUE"""),"Nhãn")</f>
        <v>Nhãn</v>
      </c>
      <c r="C2334" s="87" t="str">
        <f>IFERROR(__xludf.DUMMYFUNCTION("""COMPUTED_VALUE"""),"NHD1753")</f>
        <v>NHD1753</v>
      </c>
      <c r="D2334" s="87" t="str">
        <f>IFERROR(__xludf.DUMMYFUNCTION("""COMPUTED_VALUE"""),"[Nhãn]  NB - IV - 1753 - Hưng Thắng Lợi Gia Lai - New Fuze 200SC - 20L - 1")</f>
        <v>[Nhãn]  NB - IV - 1753 - Hưng Thắng Lợi Gia Lai - New Fuze 200SC - 20L - 1</v>
      </c>
      <c r="E2334" s="87" t="str">
        <f>IFERROR(__xludf.DUMMYFUNCTION("""COMPUTED_VALUE"""),"NEW FUZE 200SC")</f>
        <v>NEW FUZE 200SC</v>
      </c>
      <c r="F2334" s="87" t="str">
        <f>IFERROR(__xludf.DUMMYFUNCTION("""COMPUTED_VALUE"""),"HH1753")</f>
        <v>HH1753</v>
      </c>
      <c r="G2334" s="87" t="str">
        <f>IFERROR(__xludf.DUMMYFUNCTION("""COMPUTED_VALUE"""),"NB - IV - 1753 - Hưng Thắng Lợi Gia Lai - New Fuze 200SC - 20L - 1")</f>
        <v>NB - IV - 1753 - Hưng Thắng Lợi Gia Lai - New Fuze 200SC - 20L - 1</v>
      </c>
    </row>
    <row r="2335">
      <c r="A2335" s="86">
        <f>IFERROR(__xludf.DUMMYFUNCTION("""COMPUTED_VALUE"""),2333.0)</f>
        <v>2333</v>
      </c>
      <c r="B2335" s="87" t="str">
        <f>IFERROR(__xludf.DUMMYFUNCTION("""COMPUTED_VALUE"""),"nhãn phụ")</f>
        <v>nhãn phụ</v>
      </c>
      <c r="C2335" s="87" t="str">
        <f>IFERROR(__xludf.DUMMYFUNCTION("""COMPUTED_VALUE"""),"NHP1753")</f>
        <v>NHP1753</v>
      </c>
      <c r="D2335" s="87" t="str">
        <f>IFERROR(__xludf.DUMMYFUNCTION("""COMPUTED_VALUE"""),"[Nhãn phụ]  NB - IV - 1753 - Hưng Thắng Lợi Gia Lai - New Fuze 200SC - 20L - 1")</f>
        <v>[Nhãn phụ]  NB - IV - 1753 - Hưng Thắng Lợi Gia Lai - New Fuze 200SC - 20L - 1</v>
      </c>
      <c r="E2335" s="87" t="str">
        <f>IFERROR(__xludf.DUMMYFUNCTION("""COMPUTED_VALUE"""),"NEW FUZE 200SC")</f>
        <v>NEW FUZE 200SC</v>
      </c>
      <c r="F2335" s="87" t="str">
        <f>IFERROR(__xludf.DUMMYFUNCTION("""COMPUTED_VALUE"""),"HH1753")</f>
        <v>HH1753</v>
      </c>
      <c r="G2335" s="87" t="str">
        <f>IFERROR(__xludf.DUMMYFUNCTION("""COMPUTED_VALUE"""),"NB - IV - 1753 - Hưng Thắng Lợi Gia Lai - New Fuze 200SC - 20L - 1")</f>
        <v>NB - IV - 1753 - Hưng Thắng Lợi Gia Lai - New Fuze 200SC - 20L - 1</v>
      </c>
    </row>
    <row r="2336">
      <c r="A2336" s="86">
        <f>IFERROR(__xludf.DUMMYFUNCTION("""COMPUTED_VALUE"""),2334.0)</f>
        <v>2334</v>
      </c>
      <c r="B2336" s="87" t="str">
        <f>IFERROR(__xludf.DUMMYFUNCTION("""COMPUTED_VALUE"""),"Nhãn")</f>
        <v>Nhãn</v>
      </c>
      <c r="C2336" s="87" t="str">
        <f>IFERROR(__xludf.DUMMYFUNCTION("""COMPUTED_VALUE"""),"NHG1754")</f>
        <v>NHG1754</v>
      </c>
      <c r="D2336" s="87" t="str">
        <f>IFERROR(__xludf.DUMMYFUNCTION("""COMPUTED_VALUE"""),"[Nhãn] GC - IV - 1754 - Anh Viết Hoàng - Genol 1.2SL (nước hồng) - 1L - 20")</f>
        <v>[Nhãn] GC - IV - 1754 - Anh Viết Hoàng - Genol 1.2SL (nước hồng) - 1L - 20</v>
      </c>
      <c r="E2336" s="87"/>
      <c r="F2336" s="87"/>
      <c r="G2336" s="87"/>
    </row>
    <row r="2337">
      <c r="A2337" s="86">
        <f>IFERROR(__xludf.DUMMYFUNCTION("""COMPUTED_VALUE"""),2335.0)</f>
        <v>2335</v>
      </c>
      <c r="B2337" s="87" t="str">
        <f>IFERROR(__xludf.DUMMYFUNCTION("""COMPUTED_VALUE"""),"ABA")</f>
        <v>ABA</v>
      </c>
      <c r="C2337" s="87" t="str">
        <f>IFERROR(__xludf.DUMMYFUNCTION("""COMPUTED_VALUE"""),"900ml")</f>
        <v>900ml</v>
      </c>
      <c r="D2337" s="87" t="str">
        <f>IFERROR(__xludf.DUMMYFUNCTION("""COMPUTED_VALUE"""),"20")</f>
        <v>20</v>
      </c>
      <c r="E2337" s="87" t="str">
        <f>IFERROR(__xludf.DUMMYFUNCTION("""COMPUTED_VALUE"""),"Nhãn giấy cán bóng")</f>
        <v>Nhãn giấy cán bóng</v>
      </c>
      <c r="F2337" s="87" t="str">
        <f>IFERROR(__xludf.DUMMYFUNCTION("""COMPUTED_VALUE"""),"Cái")</f>
        <v>Cái</v>
      </c>
      <c r="G2337" s="87"/>
    </row>
    <row r="2338">
      <c r="A2338" s="86">
        <f>IFERROR(__xludf.DUMMYFUNCTION("""COMPUTED_VALUE"""),2336.0)</f>
        <v>2336</v>
      </c>
      <c r="B2338" s="87" t="str">
        <f>IFERROR(__xludf.DUMMYFUNCTION("""COMPUTED_VALUE"""),"Nhãn")</f>
        <v>Nhãn</v>
      </c>
      <c r="C2338" s="87" t="str">
        <f>IFERROR(__xludf.DUMMYFUNCTION("""COMPUTED_VALUE"""),"NHG1755")</f>
        <v>NHG1755</v>
      </c>
      <c r="D2338" s="87" t="str">
        <f>IFERROR(__xludf.DUMMYFUNCTION("""COMPUTED_VALUE"""),"[Nhãn]  GC - IV - 1755 - Cty SC Chemical - Haihamec 3.6EC (nước nâu đen) - 20L - 1")</f>
        <v>[Nhãn]  GC - IV - 1755 - Cty SC Chemical - Haihamec 3.6EC (nước nâu đen) - 20L - 1</v>
      </c>
      <c r="E2338" s="87" t="str">
        <f>IFERROR(__xludf.DUMMYFUNCTION("""COMPUTED_VALUE"""),"HAIHAMEC 3.6EC")</f>
        <v>HAIHAMEC 3.6EC</v>
      </c>
      <c r="F2338" s="87" t="str">
        <f>IFERROR(__xludf.DUMMYFUNCTION("""COMPUTED_VALUE"""),"HH1755")</f>
        <v>HH1755</v>
      </c>
      <c r="G2338" s="87" t="str">
        <f>IFERROR(__xludf.DUMMYFUNCTION("""COMPUTED_VALUE"""),"GC - IV - 1755 - Cty SC Chemical - Haihamec 3.6EC (nước nâu đen) - 20L - 1")</f>
        <v>GC - IV - 1755 - Cty SC Chemical - Haihamec 3.6EC (nước nâu đen) - 20L - 1</v>
      </c>
    </row>
    <row r="2339">
      <c r="A2339" s="86">
        <f>IFERROR(__xludf.DUMMYFUNCTION("""COMPUTED_VALUE"""),2337.0)</f>
        <v>2337</v>
      </c>
      <c r="B2339" s="87" t="str">
        <f>IFERROR(__xludf.DUMMYFUNCTION("""COMPUTED_VALUE"""),"Nhãn")</f>
        <v>Nhãn</v>
      </c>
      <c r="C2339" s="87" t="str">
        <f>IFERROR(__xludf.DUMMYFUNCTION("""COMPUTED_VALUE"""),"NHG1756")</f>
        <v>NHG1756</v>
      </c>
      <c r="D2339" s="87" t="str">
        <f>IFERROR(__xludf.DUMMYFUNCTION("""COMPUTED_VALUE"""),"[Nhãn]  NB - I - 1756 - Cty Nông dược Sunrise - Thần Sấm (nước nâu đen) - 450ml - 40")</f>
        <v>[Nhãn]  NB - I - 1756 - Cty Nông dược Sunrise - Thần Sấm (nước nâu đen) - 450ml - 40</v>
      </c>
      <c r="E2339" s="87" t="str">
        <f>IFERROR(__xludf.DUMMYFUNCTION("""COMPUTED_VALUE"""),"HAIHAMEC 3.6EC")</f>
        <v>HAIHAMEC 3.6EC</v>
      </c>
      <c r="F2339" s="87" t="str">
        <f>IFERROR(__xludf.DUMMYFUNCTION("""COMPUTED_VALUE"""),"HH1756")</f>
        <v>HH1756</v>
      </c>
      <c r="G2339" s="87" t="str">
        <f>IFERROR(__xludf.DUMMYFUNCTION("""COMPUTED_VALUE"""),"NB - I - 1756 - Cty Nông dược Sunrise - Thần Sấm (nước nâu đen) - 450ml - 40")</f>
        <v>NB - I - 1756 - Cty Nông dược Sunrise - Thần Sấm (nước nâu đen) - 450ml - 40</v>
      </c>
    </row>
    <row r="2340">
      <c r="A2340" s="86">
        <f>IFERROR(__xludf.DUMMYFUNCTION("""COMPUTED_VALUE"""),2338.0)</f>
        <v>2338</v>
      </c>
      <c r="B2340" s="87" t="str">
        <f>IFERROR(__xludf.DUMMYFUNCTION("""COMPUTED_VALUE"""),"Nhãn")</f>
        <v>Nhãn</v>
      </c>
      <c r="C2340" s="87" t="str">
        <f>IFERROR(__xludf.DUMMYFUNCTION("""COMPUTED_VALUE"""),"NHD1756")</f>
        <v>NHD1756</v>
      </c>
      <c r="D2340" s="87" t="str">
        <f>IFERROR(__xludf.DUMMYFUNCTION("""COMPUTED_VALUE"""),"[Nhãn]  NB - I - 1756 - Cty Nông dược Sunrise - Thần Sấm (nước nâu đen) - 450ml - 40")</f>
        <v>[Nhãn]  NB - I - 1756 - Cty Nông dược Sunrise - Thần Sấm (nước nâu đen) - 450ml - 40</v>
      </c>
      <c r="E2340" s="87" t="str">
        <f>IFERROR(__xludf.DUMMYFUNCTION("""COMPUTED_VALUE"""),"HAIHAMEC 3.6EC")</f>
        <v>HAIHAMEC 3.6EC</v>
      </c>
      <c r="F2340" s="87" t="str">
        <f>IFERROR(__xludf.DUMMYFUNCTION("""COMPUTED_VALUE"""),"HH1756")</f>
        <v>HH1756</v>
      </c>
      <c r="G2340" s="87" t="str">
        <f>IFERROR(__xludf.DUMMYFUNCTION("""COMPUTED_VALUE"""),"NB - I - 1756 - Cty Nông dược Sunrise - Thần Sấm (nước nâu đen) - 450ml - 40")</f>
        <v>NB - I - 1756 - Cty Nông dược Sunrise - Thần Sấm (nước nâu đen) - 450ml - 40</v>
      </c>
    </row>
    <row r="2341">
      <c r="A2341" s="86">
        <f>IFERROR(__xludf.DUMMYFUNCTION("""COMPUTED_VALUE"""),2339.0)</f>
        <v>2339</v>
      </c>
      <c r="B2341" s="87" t="str">
        <f>IFERROR(__xludf.DUMMYFUNCTION("""COMPUTED_VALUE"""),"Nhãn")</f>
        <v>Nhãn</v>
      </c>
      <c r="C2341" s="87" t="str">
        <f>IFERROR(__xludf.DUMMYFUNCTION("""COMPUTED_VALUE"""),"NHG1757")</f>
        <v>NHG1757</v>
      </c>
      <c r="D2341" s="87" t="str">
        <f>IFERROR(__xludf.DUMMYFUNCTION("""COMPUTED_VALUE"""),"[Nhãn] GC - IV - 1757 - Japan Crop Science - Vua Ốc Thái (nước nâu đen) - 450ml - 40")</f>
        <v>[Nhãn] GC - IV - 1757 - Japan Crop Science - Vua Ốc Thái (nước nâu đen) - 450ml - 40</v>
      </c>
      <c r="E2341" s="87" t="str">
        <f>IFERROR(__xludf.DUMMYFUNCTION("""COMPUTED_VALUE"""),"HAIHAMEC 3.6EC")</f>
        <v>HAIHAMEC 3.6EC</v>
      </c>
      <c r="F2341" s="87" t="str">
        <f>IFERROR(__xludf.DUMMYFUNCTION("""COMPUTED_VALUE"""),"HH1757")</f>
        <v>HH1757</v>
      </c>
      <c r="G2341" s="87" t="str">
        <f>IFERROR(__xludf.DUMMYFUNCTION("""COMPUTED_VALUE"""),"GC - IV - 1757 - Japan Crop Science - Vua Ốc Thái (nước nâu đen) - 450ml - 40")</f>
        <v>GC - IV - 1757 - Japan Crop Science - Vua Ốc Thái (nước nâu đen) - 450ml - 40</v>
      </c>
    </row>
    <row r="2342">
      <c r="A2342" s="86">
        <f>IFERROR(__xludf.DUMMYFUNCTION("""COMPUTED_VALUE"""),2340.0)</f>
        <v>2340</v>
      </c>
      <c r="B2342" s="87" t="str">
        <f>IFERROR(__xludf.DUMMYFUNCTION("""COMPUTED_VALUE"""),"Nhãn")</f>
        <v>Nhãn</v>
      </c>
      <c r="C2342" s="87" t="str">
        <f>IFERROR(__xludf.DUMMYFUNCTION("""COMPUTED_VALUE"""),"NTN1758")</f>
        <v>NTN1758</v>
      </c>
      <c r="D2342" s="87" t="str">
        <f>IFERROR(__xludf.DUMMYFUNCTION("""COMPUTED_VALUE"""),"[Nhãn] NB - K - 1758 - Cty Nông Dược Thụy Sĩ - Super Humic - 1kg -20")</f>
        <v>[Nhãn] NB - K - 1758 - Cty Nông Dược Thụy Sĩ - Super Humic - 1kg -20</v>
      </c>
      <c r="E2342" s="87" t="str">
        <f>IFERROR(__xludf.DUMMYFUNCTION("""COMPUTED_VALUE"""),"Hữu Cơ TS1")</f>
        <v>Hữu Cơ TS1</v>
      </c>
      <c r="F2342" s="87" t="str">
        <f>IFERROR(__xludf.DUMMYFUNCTION("""COMPUTED_VALUE"""),"HH1758")</f>
        <v>HH1758</v>
      </c>
      <c r="G2342" s="87" t="str">
        <f>IFERROR(__xludf.DUMMYFUNCTION("""COMPUTED_VALUE"""),"NB - K - 1758 - Cty Nông Dược Thụy Sĩ - Super Humic - 1kg -20")</f>
        <v>NB - K - 1758 - Cty Nông Dược Thụy Sĩ - Super Humic - 1kg -20</v>
      </c>
    </row>
    <row r="2343">
      <c r="A2343" s="86">
        <f>IFERROR(__xludf.DUMMYFUNCTION("""COMPUTED_VALUE"""),2341.0)</f>
        <v>2341</v>
      </c>
      <c r="B2343" s="87" t="str">
        <f>IFERROR(__xludf.DUMMYFUNCTION("""COMPUTED_VALUE"""),"Nhãn")</f>
        <v>Nhãn</v>
      </c>
      <c r="C2343" s="87" t="str">
        <f>IFERROR(__xludf.DUMMYFUNCTION("""COMPUTED_VALUE"""),"NTN1759")</f>
        <v>NTN1759</v>
      </c>
      <c r="D2343" s="87" t="str">
        <f>IFERROR(__xludf.DUMMYFUNCTION("""COMPUTED_VALUE"""),"[Nhãn] NB - K - 1759 - Cty Nông Dược Thụy Sĩ -Trâu Vàng - 1kg -20")</f>
        <v>[Nhãn] NB - K - 1759 - Cty Nông Dược Thụy Sĩ -Trâu Vàng - 1kg -20</v>
      </c>
      <c r="E2343" s="87" t="str">
        <f>IFERROR(__xludf.DUMMYFUNCTION("""COMPUTED_VALUE"""),"Hữu Cơ TS1")</f>
        <v>Hữu Cơ TS1</v>
      </c>
      <c r="F2343" s="87" t="str">
        <f>IFERROR(__xludf.DUMMYFUNCTION("""COMPUTED_VALUE"""),"HH1759")</f>
        <v>HH1759</v>
      </c>
      <c r="G2343" s="87" t="str">
        <f>IFERROR(__xludf.DUMMYFUNCTION("""COMPUTED_VALUE"""),"NB - K - 1759 - Cty Nông Dược Thụy Sĩ -Trâu Vàng - 1kg -20")</f>
        <v>NB - K - 1759 - Cty Nông Dược Thụy Sĩ -Trâu Vàng - 1kg -20</v>
      </c>
    </row>
    <row r="2344">
      <c r="A2344" s="86">
        <f>IFERROR(__xludf.DUMMYFUNCTION("""COMPUTED_VALUE"""),2342.0)</f>
        <v>2342</v>
      </c>
      <c r="B2344" s="87" t="str">
        <f>IFERROR(__xludf.DUMMYFUNCTION("""COMPUTED_VALUE"""),"Nhãn")</f>
        <v>Nhãn</v>
      </c>
      <c r="C2344" s="87" t="str">
        <f>IFERROR(__xludf.DUMMYFUNCTION("""COMPUTED_VALUE"""),"NTN1760")</f>
        <v>NTN1760</v>
      </c>
      <c r="D2344" s="87" t="str">
        <f>IFERROR(__xludf.DUMMYFUNCTION("""COMPUTED_VALUE"""),"[Nhãn] NB - K - 1760 - Cty Nông Dược Thụy Sĩ - Bò Sữa Thụy Sĩ - 1kg -20")</f>
        <v>[Nhãn] NB - K - 1760 - Cty Nông Dược Thụy Sĩ - Bò Sữa Thụy Sĩ - 1kg -20</v>
      </c>
      <c r="E2344" s="87" t="str">
        <f>IFERROR(__xludf.DUMMYFUNCTION("""COMPUTED_VALUE"""),"VINFER 03")</f>
        <v>VINFER 03</v>
      </c>
      <c r="F2344" s="87" t="str">
        <f>IFERROR(__xludf.DUMMYFUNCTION("""COMPUTED_VALUE"""),"HH1760")</f>
        <v>HH1760</v>
      </c>
      <c r="G2344" s="87" t="str">
        <f>IFERROR(__xludf.DUMMYFUNCTION("""COMPUTED_VALUE"""),"NB - K - 1760 - Cty Nông Dược Thụy Sĩ - Bò Sữa Thụy Sĩ - 1kg -20")</f>
        <v>NB - K - 1760 - Cty Nông Dược Thụy Sĩ - Bò Sữa Thụy Sĩ - 1kg -20</v>
      </c>
    </row>
    <row r="2345">
      <c r="A2345" s="86">
        <f>IFERROR(__xludf.DUMMYFUNCTION("""COMPUTED_VALUE"""),2343.0)</f>
        <v>2343</v>
      </c>
      <c r="B2345" s="87" t="str">
        <f>IFERROR(__xludf.DUMMYFUNCTION("""COMPUTED_VALUE"""),"Nhãn")</f>
        <v>Nhãn</v>
      </c>
      <c r="C2345" s="87" t="str">
        <f>IFERROR(__xludf.DUMMYFUNCTION("""COMPUTED_VALUE"""),"NTN1761")</f>
        <v>NTN1761</v>
      </c>
      <c r="D2345" s="87" t="str">
        <f>IFERROR(__xludf.DUMMYFUNCTION("""COMPUTED_VALUE"""),"[Nhãn] NB - K - 1761 - Cty Nông Dược Thụy Sĩ - Super Thụy Sĩ - 1kg -20")</f>
        <v>[Nhãn] NB - K - 1761 - Cty Nông Dược Thụy Sĩ - Super Thụy Sĩ - 1kg -20</v>
      </c>
      <c r="E2345" s="87" t="str">
        <f>IFERROR(__xludf.DUMMYFUNCTION("""COMPUTED_VALUE"""),"VINFER 03")</f>
        <v>VINFER 03</v>
      </c>
      <c r="F2345" s="87" t="str">
        <f>IFERROR(__xludf.DUMMYFUNCTION("""COMPUTED_VALUE"""),"HH1761")</f>
        <v>HH1761</v>
      </c>
      <c r="G2345" s="87" t="str">
        <f>IFERROR(__xludf.DUMMYFUNCTION("""COMPUTED_VALUE"""),"NB - K - 1761 - Cty Nông Dược Thụy Sĩ - Super Thụy Sĩ - 1kg -20")</f>
        <v>NB - K - 1761 - Cty Nông Dược Thụy Sĩ - Super Thụy Sĩ - 1kg -20</v>
      </c>
    </row>
    <row r="2346">
      <c r="A2346" s="86">
        <f>IFERROR(__xludf.DUMMYFUNCTION("""COMPUTED_VALUE"""),2344.0)</f>
        <v>2344</v>
      </c>
      <c r="B2346" s="87" t="str">
        <f>IFERROR(__xludf.DUMMYFUNCTION("""COMPUTED_VALUE"""),"Nhãn")</f>
        <v>Nhãn</v>
      </c>
      <c r="C2346" s="87" t="str">
        <f>IFERROR(__xludf.DUMMYFUNCTION("""COMPUTED_VALUE"""),"NHG1762")</f>
        <v>NHG1762</v>
      </c>
      <c r="D2346" s="87" t="str">
        <f>IFERROR(__xludf.DUMMYFUNCTION("""COMPUTED_VALUE"""),"[Nhãn] GC - IV - 1762 - Cty Liên Dương ND - Nano Vô Gạo - 500ml - 30")</f>
        <v>[Nhãn] GC - IV - 1762 - Cty Liên Dương ND - Nano Vô Gạo - 500ml - 30</v>
      </c>
      <c r="E2346" s="87" t="str">
        <f>IFERROR(__xludf.DUMMYFUNCTION("""COMPUTED_VALUE"""),"Vi lượng Run Fast")</f>
        <v>Vi lượng Run Fast</v>
      </c>
      <c r="F2346" s="87" t="str">
        <f>IFERROR(__xludf.DUMMYFUNCTION("""COMPUTED_VALUE"""),"HH1762")</f>
        <v>HH1762</v>
      </c>
      <c r="G2346" s="87" t="str">
        <f>IFERROR(__xludf.DUMMYFUNCTION("""COMPUTED_VALUE"""),"GC - IV - 1762 - Cty Liên Dương ND - Nano Vô Gạo - 500ml - 30")</f>
        <v>GC - IV - 1762 - Cty Liên Dương ND - Nano Vô Gạo - 500ml - 30</v>
      </c>
    </row>
    <row r="2347">
      <c r="A2347" s="86">
        <f>IFERROR(__xludf.DUMMYFUNCTION("""COMPUTED_VALUE"""),2345.0)</f>
        <v>2345</v>
      </c>
      <c r="B2347" s="87" t="str">
        <f>IFERROR(__xludf.DUMMYFUNCTION("""COMPUTED_VALUE"""),"Nhãn")</f>
        <v>Nhãn</v>
      </c>
      <c r="C2347" s="87" t="str">
        <f>IFERROR(__xludf.DUMMYFUNCTION("""COMPUTED_VALUE"""),"NHG1763")</f>
        <v>NHG1763</v>
      </c>
      <c r="D2347" s="87" t="str">
        <f>IFERROR(__xludf.DUMMYFUNCTION("""COMPUTED_VALUE"""),"[Nhãn]  GC - II - 1763 - Cty Sen Hồng (Anh Diễn) - Nano 4.0 Siêu Kích Rễ (nước nâu đen) - 1L - 20")</f>
        <v>[Nhãn]  GC - II - 1763 - Cty Sen Hồng (Anh Diễn) - Nano 4.0 Siêu Kích Rễ (nước nâu đen) - 1L - 20</v>
      </c>
      <c r="E2347" s="87" t="str">
        <f>IFERROR(__xludf.DUMMYFUNCTION("""COMPUTED_VALUE"""),"Vi lượng Quantity New")</f>
        <v>Vi lượng Quantity New</v>
      </c>
      <c r="F2347" s="87" t="str">
        <f>IFERROR(__xludf.DUMMYFUNCTION("""COMPUTED_VALUE"""),"HH1763")</f>
        <v>HH1763</v>
      </c>
      <c r="G2347" s="87" t="str">
        <f>IFERROR(__xludf.DUMMYFUNCTION("""COMPUTED_VALUE"""),"GC - II - 1763 - Cty Sen Hồng (Anh Diễn) - Nano 4.0 Siêu Kích Rễ (nước nâu đen) - 1L - 20")</f>
        <v>GC - II - 1763 - Cty Sen Hồng (Anh Diễn) - Nano 4.0 Siêu Kích Rễ (nước nâu đen) - 1L - 20</v>
      </c>
    </row>
    <row r="2348">
      <c r="A2348" s="86">
        <f>IFERROR(__xludf.DUMMYFUNCTION("""COMPUTED_VALUE"""),2346.0)</f>
        <v>2346</v>
      </c>
      <c r="B2348" s="87" t="str">
        <f>IFERROR(__xludf.DUMMYFUNCTION("""COMPUTED_VALUE"""),"Nhãn")</f>
        <v>Nhãn</v>
      </c>
      <c r="C2348" s="87" t="str">
        <f>IFERROR(__xludf.DUMMYFUNCTION("""COMPUTED_VALUE"""),"NHG1764")</f>
        <v>NHG1764</v>
      </c>
      <c r="D2348" s="87" t="str">
        <f>IFERROR(__xludf.DUMMYFUNCTION("""COMPUTED_VALUE"""),"[Nhãn] GC - IV - 1764 - Cty Hóa Nông Shino - Newfosinate 150SL(nước tím) - 900ml - 20")</f>
        <v>[Nhãn] GC - IV - 1764 - Cty Hóa Nông Shino - Newfosinate 150SL(nước tím) - 900ml - 20</v>
      </c>
      <c r="E2348" s="87" t="str">
        <f>IFERROR(__xludf.DUMMYFUNCTION("""COMPUTED_VALUE"""),"NEWFOSINATE 150SL")</f>
        <v>NEWFOSINATE 150SL</v>
      </c>
      <c r="F2348" s="87" t="str">
        <f>IFERROR(__xludf.DUMMYFUNCTION("""COMPUTED_VALUE"""),"HH1764")</f>
        <v>HH1764</v>
      </c>
      <c r="G2348" s="87" t="str">
        <f>IFERROR(__xludf.DUMMYFUNCTION("""COMPUTED_VALUE"""),"GC - IV - 1764 - Cty Hóa Nông Shino - Newfosinate 150SL(nước tím) - 900ml - 20")</f>
        <v>GC - IV - 1764 - Cty Hóa Nông Shino - Newfosinate 150SL(nước tím) - 900ml - 20</v>
      </c>
    </row>
    <row r="2349">
      <c r="A2349" s="86">
        <f>IFERROR(__xludf.DUMMYFUNCTION("""COMPUTED_VALUE"""),2347.0)</f>
        <v>2347</v>
      </c>
      <c r="B2349" s="87" t="str">
        <f>IFERROR(__xludf.DUMMYFUNCTION("""COMPUTED_VALUE"""),"Nhãn")</f>
        <v>Nhãn</v>
      </c>
      <c r="C2349" s="87" t="str">
        <f>IFERROR(__xludf.DUMMYFUNCTION("""COMPUTED_VALUE"""),"NHG1765")</f>
        <v>NHG1765</v>
      </c>
      <c r="D2349" s="87" t="str">
        <f>IFERROR(__xludf.DUMMYFUNCTION("""COMPUTED_VALUE"""),"[Nhãn] LOT IDA Global - I - 1765 - ĐL Nhật Linh - Cá Sấu Chúa (nước nâu đen) - 450ml - 40")</f>
        <v>[Nhãn] LOT IDA Global - I - 1765 - ĐL Nhật Linh - Cá Sấu Chúa (nước nâu đen) - 450ml - 40</v>
      </c>
      <c r="E2349" s="87" t="str">
        <f>IFERROR(__xludf.DUMMYFUNCTION("""COMPUTED_VALUE"""),"HAIHAMEC 3.6EC")</f>
        <v>HAIHAMEC 3.6EC</v>
      </c>
      <c r="F2349" s="87" t="str">
        <f>IFERROR(__xludf.DUMMYFUNCTION("""COMPUTED_VALUE"""),"HH1765")</f>
        <v>HH1765</v>
      </c>
      <c r="G2349" s="87" t="str">
        <f>IFERROR(__xludf.DUMMYFUNCTION("""COMPUTED_VALUE"""),"LOT IDA Global - I - 1765 - ĐL Nhật Linh - Cá Sấu Chúa (nước nâu đen) - 450ml - 40")</f>
        <v>LOT IDA Global - I - 1765 - ĐL Nhật Linh - Cá Sấu Chúa (nước nâu đen) - 450ml - 40</v>
      </c>
    </row>
    <row r="2350">
      <c r="A2350" s="86">
        <f>IFERROR(__xludf.DUMMYFUNCTION("""COMPUTED_VALUE"""),2348.0)</f>
        <v>2348</v>
      </c>
      <c r="B2350" s="87" t="str">
        <f>IFERROR(__xludf.DUMMYFUNCTION("""COMPUTED_VALUE"""),"Nhãn")</f>
        <v>Nhãn</v>
      </c>
      <c r="C2350" s="87" t="str">
        <f>IFERROR(__xludf.DUMMYFUNCTION("""COMPUTED_VALUE"""),"NHG1766")</f>
        <v>NHG1766</v>
      </c>
      <c r="D2350" s="87" t="str">
        <f>IFERROR(__xludf.DUMMYFUNCTION("""COMPUTED_VALUE"""),"[Nhãn] GC - IV - 1766 - Cty Newtex - Vua Cỏ Mần Trầu (nước tím) - 900ml - 20")</f>
        <v>[Nhãn] GC - IV - 1766 - Cty Newtex - Vua Cỏ Mần Trầu (nước tím) - 900ml - 20</v>
      </c>
      <c r="E2350" s="87" t="str">
        <f>IFERROR(__xludf.DUMMYFUNCTION("""COMPUTED_VALUE"""),"Asupergras 200SL")</f>
        <v>Asupergras 200SL</v>
      </c>
      <c r="F2350" s="87" t="str">
        <f>IFERROR(__xludf.DUMMYFUNCTION("""COMPUTED_VALUE"""),"HH1766")</f>
        <v>HH1766</v>
      </c>
      <c r="G2350" s="87" t="str">
        <f>IFERROR(__xludf.DUMMYFUNCTION("""COMPUTED_VALUE"""),"GC - IV - 1766 - Cty Newtex - Vua Cỏ Mần Trầu (nước tím) - 900ml - 20")</f>
        <v>GC - IV - 1766 - Cty Newtex - Vua Cỏ Mần Trầu (nước tím) - 900ml - 20</v>
      </c>
    </row>
    <row r="2351">
      <c r="A2351" s="86">
        <f>IFERROR(__xludf.DUMMYFUNCTION("""COMPUTED_VALUE"""),2349.0)</f>
        <v>2349</v>
      </c>
      <c r="B2351" s="87" t="str">
        <f>IFERROR(__xludf.DUMMYFUNCTION("""COMPUTED_VALUE"""),"Nhãn")</f>
        <v>Nhãn</v>
      </c>
      <c r="C2351" s="87" t="str">
        <f>IFERROR(__xludf.DUMMYFUNCTION("""COMPUTED_VALUE"""),"NHG1767")</f>
        <v>NHG1767</v>
      </c>
      <c r="D2351" s="87" t="str">
        <f>IFERROR(__xludf.DUMMYFUNCTION("""COMPUTED_VALUE"""),"[Nhãn] GC - IV - 1767 - Tây Huy Hoàng - Mekongvil 5SC (nước trắng sữa) - 1L - 20")</f>
        <v>[Nhãn] GC - IV - 1767 - Tây Huy Hoàng - Mekongvil 5SC (nước trắng sữa) - 1L - 20</v>
      </c>
      <c r="E2351" s="87" t="str">
        <f>IFERROR(__xludf.DUMMYFUNCTION("""COMPUTED_VALUE"""),"Mekongvil 5SC")</f>
        <v>Mekongvil 5SC</v>
      </c>
      <c r="F2351" s="87" t="str">
        <f>IFERROR(__xludf.DUMMYFUNCTION("""COMPUTED_VALUE"""),"HH1767")</f>
        <v>HH1767</v>
      </c>
      <c r="G2351" s="87" t="str">
        <f>IFERROR(__xludf.DUMMYFUNCTION("""COMPUTED_VALUE"""),"GC - IV - 1767 - Tây Huy Hoàng - Mekongvil 5SC (nước trắng sữa) - 1L - 20")</f>
        <v>GC - IV - 1767 - Tây Huy Hoàng - Mekongvil 5SC (nước trắng sữa) - 1L - 20</v>
      </c>
    </row>
    <row r="2352">
      <c r="A2352" s="86">
        <f>IFERROR(__xludf.DUMMYFUNCTION("""COMPUTED_VALUE"""),2350.0)</f>
        <v>2350</v>
      </c>
      <c r="B2352" s="87" t="str">
        <f>IFERROR(__xludf.DUMMYFUNCTION("""COMPUTED_VALUE"""),"Nhãn")</f>
        <v>Nhãn</v>
      </c>
      <c r="C2352" s="87" t="str">
        <f>IFERROR(__xludf.DUMMYFUNCTION("""COMPUTED_VALUE"""),"NHD1768")</f>
        <v>NHD1768</v>
      </c>
      <c r="D2352" s="87" t="str">
        <f>IFERROR(__xludf.DUMMYFUNCTION("""COMPUTED_VALUE"""),"[Nhãn]  GC - IV - 1768 - Cty Nghi Phong - Vua Sâu Nhện (nước xanh lá) - 450ml - 40")</f>
        <v>[Nhãn]  GC - IV - 1768 - Cty Nghi Phong - Vua Sâu Nhện (nước xanh lá) - 450ml - 40</v>
      </c>
      <c r="E2352" s="87"/>
      <c r="F2352" s="87"/>
      <c r="G2352" s="87"/>
    </row>
    <row r="2353">
      <c r="A2353" s="86">
        <f>IFERROR(__xludf.DUMMYFUNCTION("""COMPUTED_VALUE"""),2351.0)</f>
        <v>2351</v>
      </c>
      <c r="B2353" s="87" t="str">
        <f>IFERROR(__xludf.DUMMYFUNCTION("""COMPUTED_VALUE"""),"AGC")</f>
        <v>AGC</v>
      </c>
      <c r="C2353" s="87" t="str">
        <f>IFERROR(__xludf.DUMMYFUNCTION("""COMPUTED_VALUE"""),"500ml")</f>
        <v>500ml</v>
      </c>
      <c r="D2353" s="87" t="str">
        <f>IFERROR(__xludf.DUMMYFUNCTION("""COMPUTED_VALUE"""),"40")</f>
        <v>40</v>
      </c>
      <c r="E2353" s="87" t="str">
        <f>IFERROR(__xludf.DUMMYFUNCTION("""COMPUTED_VALUE"""),"Nhãn giấy cán mờ")</f>
        <v>Nhãn giấy cán mờ</v>
      </c>
      <c r="F2353" s="87" t="str">
        <f>IFERROR(__xludf.DUMMYFUNCTION("""COMPUTED_VALUE"""),"Cái")</f>
        <v>Cái</v>
      </c>
      <c r="G2353" s="87"/>
    </row>
    <row r="2354">
      <c r="A2354" s="86">
        <f>IFERROR(__xludf.DUMMYFUNCTION("""COMPUTED_VALUE"""),2352.0)</f>
        <v>2352</v>
      </c>
      <c r="B2354" s="87" t="str">
        <f>IFERROR(__xludf.DUMMYFUNCTION("""COMPUTED_VALUE"""),"Nhãn")</f>
        <v>Nhãn</v>
      </c>
      <c r="C2354" s="87" t="str">
        <f>IFERROR(__xludf.DUMMYFUNCTION("""COMPUTED_VALUE"""),"NTN1769")</f>
        <v>NTN1769</v>
      </c>
      <c r="D2354" s="87" t="str">
        <f>IFERROR(__xludf.DUMMYFUNCTION("""COMPUTED_VALUE"""),"[Nhãn] GC - IV - 1769 - Cty Hitaco - Mancozeb Xanh (bột xanh) - 1kg - 20")</f>
        <v>[Nhãn] GC - IV - 1769 - Cty Hitaco - Mancozeb Xanh (bột xanh) - 1kg - 20</v>
      </c>
      <c r="E2354" s="87" t="str">
        <f>IFERROR(__xludf.DUMMYFUNCTION("""COMPUTED_VALUE"""),"MANCOBGO 80WP")</f>
        <v>MANCOBGO 80WP</v>
      </c>
      <c r="F2354" s="87" t="str">
        <f>IFERROR(__xludf.DUMMYFUNCTION("""COMPUTED_VALUE"""),"HH1769")</f>
        <v>HH1769</v>
      </c>
      <c r="G2354" s="87" t="str">
        <f>IFERROR(__xludf.DUMMYFUNCTION("""COMPUTED_VALUE"""),"GC - IV - 1769 - Cty Hitaco - Mancozeb Xanh (bột xanh) - 1kg - 20")</f>
        <v>GC - IV - 1769 - Cty Hitaco - Mancozeb Xanh (bột xanh) - 1kg - 20</v>
      </c>
    </row>
    <row r="2355">
      <c r="A2355" s="86">
        <f>IFERROR(__xludf.DUMMYFUNCTION("""COMPUTED_VALUE"""),2353.0)</f>
        <v>2353</v>
      </c>
      <c r="B2355" s="87" t="str">
        <f>IFERROR(__xludf.DUMMYFUNCTION("""COMPUTED_VALUE"""),"Nhãn")</f>
        <v>Nhãn</v>
      </c>
      <c r="C2355" s="87" t="str">
        <f>IFERROR(__xludf.DUMMYFUNCTION("""COMPUTED_VALUE"""),"NDT1769")</f>
        <v>NDT1769</v>
      </c>
      <c r="D2355" s="87" t="str">
        <f>IFERROR(__xludf.DUMMYFUNCTION("""COMPUTED_VALUE"""),"[Nhãn] GC - IV - 1769 - Cty Hitaco - Mancozeb Xanh (bột xanh) - 1kg - 20")</f>
        <v>[Nhãn] GC - IV - 1769 - Cty Hitaco - Mancozeb Xanh (bột xanh) - 1kg - 20</v>
      </c>
      <c r="E2355" s="87" t="str">
        <f>IFERROR(__xludf.DUMMYFUNCTION("""COMPUTED_VALUE"""),"MANCOBGO 80WP")</f>
        <v>MANCOBGO 80WP</v>
      </c>
      <c r="F2355" s="87" t="str">
        <f>IFERROR(__xludf.DUMMYFUNCTION("""COMPUTED_VALUE"""),"HH1769")</f>
        <v>HH1769</v>
      </c>
      <c r="G2355" s="87" t="str">
        <f>IFERROR(__xludf.DUMMYFUNCTION("""COMPUTED_VALUE"""),"GC - IV - 1769 - Cty Hitaco - Mancozeb Xanh (bột xanh) - 1kg - 20")</f>
        <v>GC - IV - 1769 - Cty Hitaco - Mancozeb Xanh (bột xanh) - 1kg - 20</v>
      </c>
    </row>
    <row r="2356">
      <c r="A2356" s="86">
        <f>IFERROR(__xludf.DUMMYFUNCTION("""COMPUTED_VALUE"""),2354.0)</f>
        <v>2354</v>
      </c>
      <c r="B2356" s="87" t="str">
        <f>IFERROR(__xludf.DUMMYFUNCTION("""COMPUTED_VALUE"""),"Nhãn")</f>
        <v>Nhãn</v>
      </c>
      <c r="C2356" s="87" t="str">
        <f>IFERROR(__xludf.DUMMYFUNCTION("""COMPUTED_VALUE"""),"NTN1770")</f>
        <v>NTN1770</v>
      </c>
      <c r="D2356" s="87" t="str">
        <f>IFERROR(__xludf.DUMMYFUNCTION("""COMPUTED_VALUE"""),"[Nhãn] NB - I - 1770 - Cty Nông Nghiệp Toàn Cầu - ABA Cò Vàng (nước nâu đen) - 450ml - 40")</f>
        <v>[Nhãn] NB - I - 1770 - Cty Nông Nghiệp Toàn Cầu - ABA Cò Vàng (nước nâu đen) - 450ml - 40</v>
      </c>
      <c r="E2356" s="87" t="str">
        <f>IFERROR(__xludf.DUMMYFUNCTION("""COMPUTED_VALUE"""),"HAIHAMEC 3.6EC")</f>
        <v>HAIHAMEC 3.6EC</v>
      </c>
      <c r="F2356" s="87" t="str">
        <f>IFERROR(__xludf.DUMMYFUNCTION("""COMPUTED_VALUE"""),"HH1770")</f>
        <v>HH1770</v>
      </c>
      <c r="G2356" s="87" t="str">
        <f>IFERROR(__xludf.DUMMYFUNCTION("""COMPUTED_VALUE"""),"NB - I - 1770 - Cty Nông Nghiệp Toàn Cầu - ABA Cò Vàng (nước nâu đen) - 450ml - 40")</f>
        <v>NB - I - 1770 - Cty Nông Nghiệp Toàn Cầu - ABA Cò Vàng (nước nâu đen) - 450ml - 40</v>
      </c>
    </row>
    <row r="2357">
      <c r="A2357" s="86">
        <f>IFERROR(__xludf.DUMMYFUNCTION("""COMPUTED_VALUE"""),2355.0)</f>
        <v>2355</v>
      </c>
      <c r="B2357" s="87" t="str">
        <f>IFERROR(__xludf.DUMMYFUNCTION("""COMPUTED_VALUE"""),"Nhãn")</f>
        <v>Nhãn</v>
      </c>
      <c r="C2357" s="87" t="str">
        <f>IFERROR(__xludf.DUMMYFUNCTION("""COMPUTED_VALUE"""),"NHG1771")</f>
        <v>NHG1771</v>
      </c>
      <c r="D2357" s="87" t="str">
        <f>IFERROR(__xludf.DUMMYFUNCTION("""COMPUTED_VALUE"""),"[Nhãn] GC - IV - 1771 - Cty Kim Ngọc - Siêu xanh lá Mg CuZi.Cop+ (Gel xanh lá) - 500ml - 40")</f>
        <v>[Nhãn] GC - IV - 1771 - Cty Kim Ngọc - Siêu xanh lá Mg CuZi.Cop+ (Gel xanh lá) - 500ml - 40</v>
      </c>
      <c r="E2357" s="87" t="str">
        <f>IFERROR(__xludf.DUMMYFUNCTION("""COMPUTED_VALUE"""),"vi lượng HELP FARMER_3")</f>
        <v>vi lượng HELP FARMER_3</v>
      </c>
      <c r="F2357" s="87" t="str">
        <f>IFERROR(__xludf.DUMMYFUNCTION("""COMPUTED_VALUE"""),"HH1771")</f>
        <v>HH1771</v>
      </c>
      <c r="G2357" s="87" t="str">
        <f>IFERROR(__xludf.DUMMYFUNCTION("""COMPUTED_VALUE"""),"GC - IV - 1771 - Cty Kim Ngọc - Siêu xanh lá Mg CuZi.Cop+ (Gel xanh lá) - 500ml - 40")</f>
        <v>GC - IV - 1771 - Cty Kim Ngọc - Siêu xanh lá Mg CuZi.Cop+ (Gel xanh lá) - 500ml - 40</v>
      </c>
    </row>
    <row r="2358">
      <c r="A2358" s="86">
        <f>IFERROR(__xludf.DUMMYFUNCTION("""COMPUTED_VALUE"""),2356.0)</f>
        <v>2356</v>
      </c>
      <c r="B2358" s="87" t="str">
        <f>IFERROR(__xludf.DUMMYFUNCTION("""COMPUTED_VALUE"""),"Nhãn")</f>
        <v>Nhãn</v>
      </c>
      <c r="C2358" s="87" t="str">
        <f>IFERROR(__xludf.DUMMYFUNCTION("""COMPUTED_VALUE"""),"NTN1772")</f>
        <v>NTN1772</v>
      </c>
      <c r="D2358" s="87" t="str">
        <f>IFERROR(__xludf.DUMMYFUNCTION("""COMPUTED_VALUE"""),"[Nhãn] GC - IV - 1772 - Cty Kim Ngọc - Khongray 54WP (bột trắng ngà) - 100gr - 100")</f>
        <v>[Nhãn] GC - IV - 1772 - Cty Kim Ngọc - Khongray 54WP (bột trắng ngà) - 100gr - 100</v>
      </c>
      <c r="E2358" s="87" t="str">
        <f>IFERROR(__xludf.DUMMYFUNCTION("""COMPUTED_VALUE"""),"KHONGRAY 54WP")</f>
        <v>KHONGRAY 54WP</v>
      </c>
      <c r="F2358" s="87" t="str">
        <f>IFERROR(__xludf.DUMMYFUNCTION("""COMPUTED_VALUE"""),"HH1772")</f>
        <v>HH1772</v>
      </c>
      <c r="G2358" s="87" t="str">
        <f>IFERROR(__xludf.DUMMYFUNCTION("""COMPUTED_VALUE"""),"GC - IV - 1772 - Cty Kim Ngọc - Khongray 54WP (bột trắng ngà) - 100gr - 100")</f>
        <v>GC - IV - 1772 - Cty Kim Ngọc - Khongray 54WP (bột trắng ngà) - 100gr - 100</v>
      </c>
    </row>
    <row r="2359">
      <c r="A2359" s="86">
        <f>IFERROR(__xludf.DUMMYFUNCTION("""COMPUTED_VALUE"""),2357.0)</f>
        <v>2357</v>
      </c>
      <c r="B2359" s="87" t="str">
        <f>IFERROR(__xludf.DUMMYFUNCTION("""COMPUTED_VALUE"""),"HỘP")</f>
        <v>HỘP</v>
      </c>
      <c r="C2359" s="87" t="str">
        <f>IFERROR(__xludf.DUMMYFUNCTION("""COMPUTED_VALUE"""),"HOP1773")</f>
        <v>HOP1773</v>
      </c>
      <c r="D2359" s="87" t="str">
        <f>IFERROR(__xludf.DUMMYFUNCTION("""COMPUTED_VALUE"""),"[HOP] IDA Global - I - 1773 - Cty Agrotech - Vatino Super 525SE (nước cam sữa)-(148x73x195) - 480ml - 2")</f>
        <v>[HOP] IDA Global - I - 1773 - Cty Agrotech - Vatino Super 525SE (nước cam sữa)-(148x73x195) - 480ml - 2</v>
      </c>
      <c r="E2359" s="87" t="str">
        <f>IFERROR(__xludf.DUMMYFUNCTION("""COMPUTED_VALUE"""),"VATINO SUPER 525SE")</f>
        <v>VATINO SUPER 525SE</v>
      </c>
      <c r="F2359" s="87" t="str">
        <f>IFERROR(__xludf.DUMMYFUNCTION("""COMPUTED_VALUE"""),"HH1773")</f>
        <v>HH1773</v>
      </c>
      <c r="G2359" s="87" t="str">
        <f>IFERROR(__xludf.DUMMYFUNCTION("""COMPUTED_VALUE"""),"IDA Global - I - 1773 - Cty Agrotech - Vatino Super 525SE (nước cam sữa) - 480ml - 40")</f>
        <v>IDA Global - I - 1773 - Cty Agrotech - Vatino Super 525SE (nước cam sữa) - 480ml - 40</v>
      </c>
    </row>
    <row r="2360">
      <c r="A2360" s="86">
        <f>IFERROR(__xludf.DUMMYFUNCTION("""COMPUTED_VALUE"""),2358.0)</f>
        <v>2358</v>
      </c>
      <c r="B2360" s="87" t="str">
        <f>IFERROR(__xludf.DUMMYFUNCTION("""COMPUTED_VALUE"""),"Nhãn")</f>
        <v>Nhãn</v>
      </c>
      <c r="C2360" s="87" t="str">
        <f>IFERROR(__xludf.DUMMYFUNCTION("""COMPUTED_VALUE"""),"NHG1773")</f>
        <v>NHG1773</v>
      </c>
      <c r="D2360" s="87" t="str">
        <f>IFERROR(__xludf.DUMMYFUNCTION("""COMPUTED_VALUE"""),"[Nhãn]  IDA Global - I - 1773 - Cty Agrotech - Vatino Super 525SE (nước cam sữa) - 480ml - 40")</f>
        <v>[Nhãn]  IDA Global - I - 1773 - Cty Agrotech - Vatino Super 525SE (nước cam sữa) - 480ml - 40</v>
      </c>
      <c r="E2360" s="87" t="str">
        <f>IFERROR(__xludf.DUMMYFUNCTION("""COMPUTED_VALUE"""),"VATINO SUPER 525SE")</f>
        <v>VATINO SUPER 525SE</v>
      </c>
      <c r="F2360" s="87" t="str">
        <f>IFERROR(__xludf.DUMMYFUNCTION("""COMPUTED_VALUE"""),"HH1773")</f>
        <v>HH1773</v>
      </c>
      <c r="G2360" s="87" t="str">
        <f>IFERROR(__xludf.DUMMYFUNCTION("""COMPUTED_VALUE"""),"IDA Global - I - 1773 - Cty Agrotech - Vatino Super 525SE (nước cam sữa) - 480ml - 40")</f>
        <v>IDA Global - I - 1773 - Cty Agrotech - Vatino Super 525SE (nước cam sữa) - 480ml - 40</v>
      </c>
    </row>
    <row r="2361">
      <c r="A2361" s="86">
        <f>IFERROR(__xludf.DUMMYFUNCTION("""COMPUTED_VALUE"""),2359.0)</f>
        <v>2359</v>
      </c>
      <c r="B2361" s="87" t="str">
        <f>IFERROR(__xludf.DUMMYFUNCTION("""COMPUTED_VALUE"""),"Nhãn thùng")</f>
        <v>Nhãn thùng</v>
      </c>
      <c r="C2361" s="87" t="str">
        <f>IFERROR(__xludf.DUMMYFUNCTION("""COMPUTED_VALUE"""),"NDT1773")</f>
        <v>NDT1773</v>
      </c>
      <c r="D2361" s="87" t="str">
        <f>IFERROR(__xludf.DUMMYFUNCTION("""COMPUTED_VALUE"""),"[Nhãn thùng]  IDA Global - I - 1773 - Cty Agrotech - Vatino Super 525SE (nước cam sữa) - 480ml - 40")</f>
        <v>[Nhãn thùng]  IDA Global - I - 1773 - Cty Agrotech - Vatino Super 525SE (nước cam sữa) - 480ml - 40</v>
      </c>
      <c r="E2361" s="87" t="str">
        <f>IFERROR(__xludf.DUMMYFUNCTION("""COMPUTED_VALUE"""),"VATINO SUPER 525SE")</f>
        <v>VATINO SUPER 525SE</v>
      </c>
      <c r="F2361" s="87" t="str">
        <f>IFERROR(__xludf.DUMMYFUNCTION("""COMPUTED_VALUE"""),"HH1773")</f>
        <v>HH1773</v>
      </c>
      <c r="G2361" s="87" t="str">
        <f>IFERROR(__xludf.DUMMYFUNCTION("""COMPUTED_VALUE"""),"IDA Global - I - 1773 - Cty Agrotech - Vatino Super 525SE (nước cam sữa) - 480ml - 40")</f>
        <v>IDA Global - I - 1773 - Cty Agrotech - Vatino Super 525SE (nước cam sữa) - 480ml - 40</v>
      </c>
    </row>
    <row r="2362">
      <c r="A2362" s="86">
        <f>IFERROR(__xludf.DUMMYFUNCTION("""COMPUTED_VALUE"""),2360.0)</f>
        <v>2360</v>
      </c>
      <c r="B2362" s="87" t="str">
        <f>IFERROR(__xludf.DUMMYFUNCTION("""COMPUTED_VALUE"""),"HỘP")</f>
        <v>HỘP</v>
      </c>
      <c r="C2362" s="87" t="str">
        <f>IFERROR(__xludf.DUMMYFUNCTION("""COMPUTED_VALUE"""),"HOP1773.1")</f>
        <v>HOP1773.1</v>
      </c>
      <c r="D2362" s="87" t="str">
        <f>IFERROR(__xludf.DUMMYFUNCTION("""COMPUTED_VALUE"""),"[HOP] NB - I - 1773.1 - Cty Agrotech - Vatino Super 525SE (nước cam sữa) - 480ml - 40")</f>
        <v>[HOP] NB - I - 1773.1 - Cty Agrotech - Vatino Super 525SE (nước cam sữa) - 480ml - 40</v>
      </c>
      <c r="E2362" s="87"/>
      <c r="F2362" s="87" t="str">
        <f>IFERROR(__xludf.DUMMYFUNCTION("""COMPUTED_VALUE"""),"HH73.1")</f>
        <v>HH73.1</v>
      </c>
      <c r="G2362" s="87"/>
    </row>
    <row r="2363">
      <c r="A2363" s="86">
        <f>IFERROR(__xludf.DUMMYFUNCTION("""COMPUTED_VALUE"""),2361.0)</f>
        <v>2361</v>
      </c>
      <c r="B2363" s="87" t="str">
        <f>IFERROR(__xludf.DUMMYFUNCTION("""COMPUTED_VALUE"""),"Nhãn")</f>
        <v>Nhãn</v>
      </c>
      <c r="C2363" s="87" t="str">
        <f>IFERROR(__xludf.DUMMYFUNCTION("""COMPUTED_VALUE"""),"NHG1774")</f>
        <v>NHG1774</v>
      </c>
      <c r="D2363" s="87" t="str">
        <f>IFERROR(__xludf.DUMMYFUNCTION("""COMPUTED_VALUE"""),"[Nhãn]  IDA Global - I - 1774 - Cty Agrotech - Genol 1.2SL (nước đỏ) - 480ml - 40")</f>
        <v>[Nhãn]  IDA Global - I - 1774 - Cty Agrotech - Genol 1.2SL (nước đỏ) - 480ml - 40</v>
      </c>
      <c r="E2363" s="87" t="str">
        <f>IFERROR(__xludf.DUMMYFUNCTION("""COMPUTED_VALUE"""),"GENOL 1.2SL")</f>
        <v>GENOL 1.2SL</v>
      </c>
      <c r="F2363" s="87" t="str">
        <f>IFERROR(__xludf.DUMMYFUNCTION("""COMPUTED_VALUE"""),"HH1774")</f>
        <v>HH1774</v>
      </c>
      <c r="G2363" s="87" t="str">
        <f>IFERROR(__xludf.DUMMYFUNCTION("""COMPUTED_VALUE"""),"IDA Global - I - 1774 - Cty Agrotech - Genol 1.2SL (nước đỏ) - 480ml - 40")</f>
        <v>IDA Global - I - 1774 - Cty Agrotech - Genol 1.2SL (nước đỏ) - 480ml - 40</v>
      </c>
    </row>
    <row r="2364">
      <c r="A2364" s="86">
        <f>IFERROR(__xludf.DUMMYFUNCTION("""COMPUTED_VALUE"""),2362.0)</f>
        <v>2362</v>
      </c>
      <c r="B2364" s="87" t="str">
        <f>IFERROR(__xludf.DUMMYFUNCTION("""COMPUTED_VALUE"""),"Nhãn")</f>
        <v>Nhãn</v>
      </c>
      <c r="C2364" s="87" t="str">
        <f>IFERROR(__xludf.DUMMYFUNCTION("""COMPUTED_VALUE"""),"NHG1775")</f>
        <v>NHG1775</v>
      </c>
      <c r="D2364" s="87" t="str">
        <f>IFERROR(__xludf.DUMMYFUNCTION("""COMPUTED_VALUE"""),"[Nhãn] GC - IV - 1775 - Cty Sen Hồng (Anh Diễn) - Bimsuper 650SC (nước đỏ cam) - 400ml - 40")</f>
        <v>[Nhãn] GC - IV - 1775 - Cty Sen Hồng (Anh Diễn) - Bimsuper 650SC (nước đỏ cam) - 400ml - 40</v>
      </c>
      <c r="E2364" s="87" t="str">
        <f>IFERROR(__xludf.DUMMYFUNCTION("""COMPUTED_VALUE"""),"BIMSUPER 650SC")</f>
        <v>BIMSUPER 650SC</v>
      </c>
      <c r="F2364" s="87" t="str">
        <f>IFERROR(__xludf.DUMMYFUNCTION("""COMPUTED_VALUE"""),"HH1775")</f>
        <v>HH1775</v>
      </c>
      <c r="G2364" s="87" t="str">
        <f>IFERROR(__xludf.DUMMYFUNCTION("""COMPUTED_VALUE"""),"GC - IV - 1775 - Cty Sen Hồng (Anh Diễn) - Bimsuper 650SC (nước đỏ cam) - 400ml - 40")</f>
        <v>GC - IV - 1775 - Cty Sen Hồng (Anh Diễn) - Bimsuper 650SC (nước đỏ cam) - 400ml - 40</v>
      </c>
    </row>
    <row r="2365">
      <c r="A2365" s="86">
        <f>IFERROR(__xludf.DUMMYFUNCTION("""COMPUTED_VALUE"""),2363.0)</f>
        <v>2363</v>
      </c>
      <c r="B2365" s="87" t="str">
        <f>IFERROR(__xludf.DUMMYFUNCTION("""COMPUTED_VALUE"""),"Nhãn")</f>
        <v>Nhãn</v>
      </c>
      <c r="C2365" s="87" t="str">
        <f>IFERROR(__xludf.DUMMYFUNCTION("""COMPUTED_VALUE"""),"NHG1776")</f>
        <v>NHG1776</v>
      </c>
      <c r="D2365" s="87" t="str">
        <f>IFERROR(__xludf.DUMMYFUNCTION("""COMPUTED_VALUE"""),"[Nhãn] NB - IV - 1776 - Cty Nông Nghiệp Toàn Cầu - Global - Helpp 460 (nước đỏ cam) - 240ml - 40")</f>
        <v>[Nhãn] NB - IV - 1776 - Cty Nông Nghiệp Toàn Cầu - Global - Helpp 460 (nước đỏ cam) - 240ml - 40</v>
      </c>
      <c r="E2365" s="87" t="str">
        <f>IFERROR(__xludf.DUMMYFUNCTION("""COMPUTED_VALUE"""),"KING-CIDE JAPAN 460SC")</f>
        <v>KING-CIDE JAPAN 460SC</v>
      </c>
      <c r="F2365" s="87" t="str">
        <f>IFERROR(__xludf.DUMMYFUNCTION("""COMPUTED_VALUE"""),"HH1776")</f>
        <v>HH1776</v>
      </c>
      <c r="G2365" s="87" t="str">
        <f>IFERROR(__xludf.DUMMYFUNCTION("""COMPUTED_VALUE"""),"NB - IV - 1776 - Cty Nông Nghiệp Toàn Cầu - Global - Helpp 460 (nước đỏ cam) - 240ml - 40")</f>
        <v>NB - IV - 1776 - Cty Nông Nghiệp Toàn Cầu - Global - Helpp 460 (nước đỏ cam) - 240ml - 40</v>
      </c>
    </row>
    <row r="2366">
      <c r="A2366" s="86">
        <f>IFERROR(__xludf.DUMMYFUNCTION("""COMPUTED_VALUE"""),2364.0)</f>
        <v>2364</v>
      </c>
      <c r="B2366" s="87" t="str">
        <f>IFERROR(__xludf.DUMMYFUNCTION("""COMPUTED_VALUE"""),"Nhãn")</f>
        <v>Nhãn</v>
      </c>
      <c r="C2366" s="87" t="str">
        <f>IFERROR(__xludf.DUMMYFUNCTION("""COMPUTED_VALUE"""),"NHG1777")</f>
        <v>NHG1777</v>
      </c>
      <c r="D2366" s="87" t="str">
        <f>IFERROR(__xludf.DUMMYFUNCTION("""COMPUTED_VALUE"""),"[Nhãn]  GC - IV - 1777 - Cty Liên Dương ND - Haihamec 3.6EC (nước nâu đen) - 450ml - 40")</f>
        <v>[Nhãn]  GC - IV - 1777 - Cty Liên Dương ND - Haihamec 3.6EC (nước nâu đen) - 450ml - 40</v>
      </c>
      <c r="E2366" s="87" t="str">
        <f>IFERROR(__xludf.DUMMYFUNCTION("""COMPUTED_VALUE"""),"HAIHAMEC 3.6EC")</f>
        <v>HAIHAMEC 3.6EC</v>
      </c>
      <c r="F2366" s="87" t="str">
        <f>IFERROR(__xludf.DUMMYFUNCTION("""COMPUTED_VALUE"""),"HH1777")</f>
        <v>HH1777</v>
      </c>
      <c r="G2366" s="87" t="str">
        <f>IFERROR(__xludf.DUMMYFUNCTION("""COMPUTED_VALUE"""),"GC - IV - 1777 - Cty Liên Dương ND - Haihamec 3.6EC (nước nâu đen) - 450ml - 40")</f>
        <v>GC - IV - 1777 - Cty Liên Dương ND - Haihamec 3.6EC (nước nâu đen) - 450ml - 40</v>
      </c>
    </row>
    <row r="2367">
      <c r="A2367" s="86">
        <f>IFERROR(__xludf.DUMMYFUNCTION("""COMPUTED_VALUE"""),2365.0)</f>
        <v>2365</v>
      </c>
      <c r="B2367" s="87" t="str">
        <f>IFERROR(__xludf.DUMMYFUNCTION("""COMPUTED_VALUE"""),"Nhãn")</f>
        <v>Nhãn</v>
      </c>
      <c r="C2367" s="87" t="str">
        <f>IFERROR(__xludf.DUMMYFUNCTION("""COMPUTED_VALUE"""),"NHG1778")</f>
        <v>NHG1778</v>
      </c>
      <c r="D2367" s="87" t="str">
        <f>IFERROR(__xludf.DUMMYFUNCTION("""COMPUTED_VALUE"""),"[Nhãn]  GC - IV - 1778 - Cty Chi Nông Phát - Thiên Thạch (nước đỏ) - 900ml - 20")</f>
        <v>[Nhãn]  GC - IV - 1778 - Cty Chi Nông Phát - Thiên Thạch (nước đỏ) - 900ml - 20</v>
      </c>
      <c r="E2367" s="87" t="str">
        <f>IFERROR(__xludf.DUMMYFUNCTION("""COMPUTED_VALUE"""),"Asupergras 200SL")</f>
        <v>Asupergras 200SL</v>
      </c>
      <c r="F2367" s="87" t="str">
        <f>IFERROR(__xludf.DUMMYFUNCTION("""COMPUTED_VALUE"""),"HH1778")</f>
        <v>HH1778</v>
      </c>
      <c r="G2367" s="87" t="str">
        <f>IFERROR(__xludf.DUMMYFUNCTION("""COMPUTED_VALUE"""),"GC - IV - 1778 - Cty Chi Nông Phát - Thiên Thạch (nước đỏ) - 900ml - 20")</f>
        <v>GC - IV - 1778 - Cty Chi Nông Phát - Thiên Thạch (nước đỏ) - 900ml - 20</v>
      </c>
    </row>
    <row r="2368">
      <c r="A2368" s="86">
        <f>IFERROR(__xludf.DUMMYFUNCTION("""COMPUTED_VALUE"""),2366.0)</f>
        <v>2366</v>
      </c>
      <c r="B2368" s="87" t="str">
        <f>IFERROR(__xludf.DUMMYFUNCTION("""COMPUTED_VALUE"""),"Nhãn")</f>
        <v>Nhãn</v>
      </c>
      <c r="C2368" s="87" t="str">
        <f>IFERROR(__xludf.DUMMYFUNCTION("""COMPUTED_VALUE"""),"NHD1779")</f>
        <v>NHD1779</v>
      </c>
      <c r="D2368" s="87" t="str">
        <f>IFERROR(__xludf.DUMMYFUNCTION("""COMPUTED_VALUE"""),"[Nhãn] GC - IV - 1779 - Cty Agritech (Anh Trương) - Reasgann 36 (nước nâu đen) - 450ml - 40")</f>
        <v>[Nhãn] GC - IV - 1779 - Cty Agritech (Anh Trương) - Reasgann 36 (nước nâu đen) - 450ml - 40</v>
      </c>
      <c r="E2368" s="87" t="str">
        <f>IFERROR(__xludf.DUMMYFUNCTION("""COMPUTED_VALUE"""),"HAIHAMEC 3.6EC")</f>
        <v>HAIHAMEC 3.6EC</v>
      </c>
      <c r="F2368" s="87" t="str">
        <f>IFERROR(__xludf.DUMMYFUNCTION("""COMPUTED_VALUE"""),"HH1779")</f>
        <v>HH1779</v>
      </c>
      <c r="G2368" s="87" t="str">
        <f>IFERROR(__xludf.DUMMYFUNCTION("""COMPUTED_VALUE"""),"GC - IV - 1779 - Cty Agritech (Anh Trương) - Reasgann 36 (nước nâu đen) - 450ml - 40")</f>
        <v>GC - IV - 1779 - Cty Agritech (Anh Trương) - Reasgann 36 (nước nâu đen) - 450ml - 40</v>
      </c>
    </row>
    <row r="2369">
      <c r="A2369" s="86">
        <f>IFERROR(__xludf.DUMMYFUNCTION("""COMPUTED_VALUE"""),2367.0)</f>
        <v>2367</v>
      </c>
      <c r="B2369" s="87" t="str">
        <f>IFERROR(__xludf.DUMMYFUNCTION("""COMPUTED_VALUE"""),"Nhãn")</f>
        <v>Nhãn</v>
      </c>
      <c r="C2369" s="87" t="str">
        <f>IFERROR(__xludf.DUMMYFUNCTION("""COMPUTED_VALUE"""),"NHG1780")</f>
        <v>NHG1780</v>
      </c>
      <c r="D2369" s="87" t="str">
        <f>IFERROR(__xludf.DUMMYFUNCTION("""COMPUTED_VALUE"""),"[Nhãn] GC - IV - 1780 - Cty Sen Hồng (Anh Diễn) - Vatino Super 525SE (nước cam sữa) - 400ml - 40")</f>
        <v>[Nhãn] GC - IV - 1780 - Cty Sen Hồng (Anh Diễn) - Vatino Super 525SE (nước cam sữa) - 400ml - 40</v>
      </c>
      <c r="E2369" s="87" t="str">
        <f>IFERROR(__xludf.DUMMYFUNCTION("""COMPUTED_VALUE"""),"VATINO SUPER 525SE")</f>
        <v>VATINO SUPER 525SE</v>
      </c>
      <c r="F2369" s="87" t="str">
        <f>IFERROR(__xludf.DUMMYFUNCTION("""COMPUTED_VALUE"""),"HH1780")</f>
        <v>HH1780</v>
      </c>
      <c r="G2369" s="87" t="str">
        <f>IFERROR(__xludf.DUMMYFUNCTION("""COMPUTED_VALUE"""),"GC - IV - 1780 - Cty Sen Hồng (Anh Diễn) - Vatino Super 525SE (nước cam sữa) - 400ml - 40")</f>
        <v>GC - IV - 1780 - Cty Sen Hồng (Anh Diễn) - Vatino Super 525SE (nước cam sữa) - 400ml - 40</v>
      </c>
    </row>
    <row r="2370">
      <c r="A2370" s="86">
        <f>IFERROR(__xludf.DUMMYFUNCTION("""COMPUTED_VALUE"""),2368.0)</f>
        <v>2368</v>
      </c>
      <c r="B2370" s="87" t="str">
        <f>IFERROR(__xludf.DUMMYFUNCTION("""COMPUTED_VALUE"""),"Nhãn")</f>
        <v>Nhãn</v>
      </c>
      <c r="C2370" s="87" t="str">
        <f>IFERROR(__xludf.DUMMYFUNCTION("""COMPUTED_VALUE"""),"NHD1781")</f>
        <v>NHD1781</v>
      </c>
      <c r="D2370" s="87" t="str">
        <f>IFERROR(__xludf.DUMMYFUNCTION("""COMPUTED_VALUE"""),"[Nhãn] IDA Global - I - 1781 - ĐL Tám Ri - Red Dead (nước xanh lá) - 450ml - 40")</f>
        <v>[Nhãn] IDA Global - I - 1781 - ĐL Tám Ri - Red Dead (nước xanh lá) - 450ml - 40</v>
      </c>
      <c r="E2370" s="87" t="str">
        <f>IFERROR(__xludf.DUMMYFUNCTION("""COMPUTED_VALUE"""),"Chitin 3.6EC")</f>
        <v>Chitin 3.6EC</v>
      </c>
      <c r="F2370" s="87" t="str">
        <f>IFERROR(__xludf.DUMMYFUNCTION("""COMPUTED_VALUE"""),"HH1781")</f>
        <v>HH1781</v>
      </c>
      <c r="G2370" s="87" t="str">
        <f>IFERROR(__xludf.DUMMYFUNCTION("""COMPUTED_VALUE"""),"IDA Global - I - 1781 - ĐL Tám Ri - Red Dead (nước xanh lá) - 450ml - 40")</f>
        <v>IDA Global - I - 1781 - ĐL Tám Ri - Red Dead (nước xanh lá) - 450ml - 40</v>
      </c>
    </row>
    <row r="2371">
      <c r="A2371" s="86">
        <f>IFERROR(__xludf.DUMMYFUNCTION("""COMPUTED_VALUE"""),2369.0)</f>
        <v>2369</v>
      </c>
      <c r="B2371" s="87" t="str">
        <f>IFERROR(__xludf.DUMMYFUNCTION("""COMPUTED_VALUE"""),"Nhãn")</f>
        <v>Nhãn</v>
      </c>
      <c r="C2371" s="87" t="str">
        <f>IFERROR(__xludf.DUMMYFUNCTION("""COMPUTED_VALUE"""),"NHD1782")</f>
        <v>NHD1782</v>
      </c>
      <c r="D2371" s="87" t="str">
        <f>IFERROR(__xludf.DUMMYFUNCTION("""COMPUTED_VALUE"""),"[Nhãn] NB - IV - 1782 - Hưng Thắng Lợi Gia Lai - FEAT 25EC - 20L - 1")</f>
        <v>[Nhãn] NB - IV - 1782 - Hưng Thắng Lợi Gia Lai - FEAT 25EC - 20L - 1</v>
      </c>
      <c r="E2371" s="87" t="str">
        <f>IFERROR(__xludf.DUMMYFUNCTION("""COMPUTED_VALUE"""),"FEAT 25EC")</f>
        <v>FEAT 25EC</v>
      </c>
      <c r="F2371" s="87" t="str">
        <f>IFERROR(__xludf.DUMMYFUNCTION("""COMPUTED_VALUE"""),"HH1782")</f>
        <v>HH1782</v>
      </c>
      <c r="G2371" s="87" t="str">
        <f>IFERROR(__xludf.DUMMYFUNCTION("""COMPUTED_VALUE"""),"NB - IV - 1782 - Hưng Thắng Lợi Gia Lai - FEAT 25EC - 20L - 1")</f>
        <v>NB - IV - 1782 - Hưng Thắng Lợi Gia Lai - FEAT 25EC - 20L - 1</v>
      </c>
    </row>
    <row r="2372">
      <c r="A2372" s="86">
        <f>IFERROR(__xludf.DUMMYFUNCTION("""COMPUTED_VALUE"""),2370.0)</f>
        <v>2370</v>
      </c>
      <c r="B2372" s="87" t="str">
        <f>IFERROR(__xludf.DUMMYFUNCTION("""COMPUTED_VALUE"""),"nhãn phụ")</f>
        <v>nhãn phụ</v>
      </c>
      <c r="C2372" s="87" t="str">
        <f>IFERROR(__xludf.DUMMYFUNCTION("""COMPUTED_VALUE"""),"NHP1782")</f>
        <v>NHP1782</v>
      </c>
      <c r="D2372" s="87" t="str">
        <f>IFERROR(__xludf.DUMMYFUNCTION("""COMPUTED_VALUE"""),"[Nhãn phụ] NB - IV - 1782 - Hưng Thắng Lợi Gia Lai - FEAT 25EC - 20L - 1")</f>
        <v>[Nhãn phụ] NB - IV - 1782 - Hưng Thắng Lợi Gia Lai - FEAT 25EC - 20L - 1</v>
      </c>
      <c r="E2372" s="87" t="str">
        <f>IFERROR(__xludf.DUMMYFUNCTION("""COMPUTED_VALUE"""),"FEAT 25EC")</f>
        <v>FEAT 25EC</v>
      </c>
      <c r="F2372" s="87" t="str">
        <f>IFERROR(__xludf.DUMMYFUNCTION("""COMPUTED_VALUE"""),"HH1782")</f>
        <v>HH1782</v>
      </c>
      <c r="G2372" s="87" t="str">
        <f>IFERROR(__xludf.DUMMYFUNCTION("""COMPUTED_VALUE"""),"NB - IV - 1782 - Hưng Thắng Lợi Gia Lai - FEAT 25EC - 20L - 1")</f>
        <v>NB - IV - 1782 - Hưng Thắng Lợi Gia Lai - FEAT 25EC - 20L - 1</v>
      </c>
    </row>
    <row r="2373">
      <c r="A2373" s="86">
        <f>IFERROR(__xludf.DUMMYFUNCTION("""COMPUTED_VALUE"""),2371.0)</f>
        <v>2371</v>
      </c>
      <c r="B2373" s="87" t="str">
        <f>IFERROR(__xludf.DUMMYFUNCTION("""COMPUTED_VALUE"""),"Nhãn")</f>
        <v>Nhãn</v>
      </c>
      <c r="C2373" s="87" t="str">
        <f>IFERROR(__xludf.DUMMYFUNCTION("""COMPUTED_VALUE"""),"NHG1783")</f>
        <v>NHG1783</v>
      </c>
      <c r="D2373" s="87" t="str">
        <f>IFERROR(__xludf.DUMMYFUNCTION("""COMPUTED_VALUE"""),"[Nhãn]  GC - IV - 1783 - Cty Nhất Tiến Nông - Voi Đỏ (nước đỏ) - 900ml - 20")</f>
        <v>[Nhãn]  GC - IV - 1783 - Cty Nhất Tiến Nông - Voi Đỏ (nước đỏ) - 900ml - 20</v>
      </c>
      <c r="E2373" s="87" t="str">
        <f>IFERROR(__xludf.DUMMYFUNCTION("""COMPUTED_VALUE"""),"Asupergras 200SL")</f>
        <v>Asupergras 200SL</v>
      </c>
      <c r="F2373" s="87" t="str">
        <f>IFERROR(__xludf.DUMMYFUNCTION("""COMPUTED_VALUE"""),"HH1783")</f>
        <v>HH1783</v>
      </c>
      <c r="G2373" s="87" t="str">
        <f>IFERROR(__xludf.DUMMYFUNCTION("""COMPUTED_VALUE"""),"GC - IV - 1783 - Cty Nhất Tiến Nông - Voi Đỏ (nước đỏ) - 900ml - 20")</f>
        <v>GC - IV - 1783 - Cty Nhất Tiến Nông - Voi Đỏ (nước đỏ) - 900ml - 20</v>
      </c>
    </row>
    <row r="2374">
      <c r="A2374" s="86">
        <f>IFERROR(__xludf.DUMMYFUNCTION("""COMPUTED_VALUE"""),2372.0)</f>
        <v>2372</v>
      </c>
      <c r="B2374" s="87" t="str">
        <f>IFERROR(__xludf.DUMMYFUNCTION("""COMPUTED_VALUE"""),"Nhãn")</f>
        <v>Nhãn</v>
      </c>
      <c r="C2374" s="87" t="str">
        <f>IFERROR(__xludf.DUMMYFUNCTION("""COMPUTED_VALUE"""),"NHG1784")</f>
        <v>NHG1784</v>
      </c>
      <c r="D2374" s="87" t="str">
        <f>IFERROR(__xludf.DUMMYFUNCTION("""COMPUTED_VALUE"""),"[Nhãn] GC - IV - 1784 - Cty SC Chemical - NOFARA 350SC (nước trắng sữa) - 240ml - 40")</f>
        <v>[Nhãn] GC - IV - 1784 - Cty SC Chemical - NOFARA 350SC (nước trắng sữa) - 240ml - 40</v>
      </c>
      <c r="E2374" s="87" t="str">
        <f>IFERROR(__xludf.DUMMYFUNCTION("""COMPUTED_VALUE"""),"NOFARA 350SC")</f>
        <v>NOFARA 350SC</v>
      </c>
      <c r="F2374" s="87" t="str">
        <f>IFERROR(__xludf.DUMMYFUNCTION("""COMPUTED_VALUE"""),"HH1784")</f>
        <v>HH1784</v>
      </c>
      <c r="G2374" s="87" t="str">
        <f>IFERROR(__xludf.DUMMYFUNCTION("""COMPUTED_VALUE"""),"GC - IV - 1784 - Cty SC Chemical - NOFARA 350SC (nước trắng sữa) - 240ml - 40")</f>
        <v>GC - IV - 1784 - Cty SC Chemical - NOFARA 350SC (nước trắng sữa) - 240ml - 40</v>
      </c>
    </row>
    <row r="2375">
      <c r="A2375" s="86">
        <f>IFERROR(__xludf.DUMMYFUNCTION("""COMPUTED_VALUE"""),2373.0)</f>
        <v>2373</v>
      </c>
      <c r="B2375" s="87" t="str">
        <f>IFERROR(__xludf.DUMMYFUNCTION("""COMPUTED_VALUE"""),"HỘP")</f>
        <v>HỘP</v>
      </c>
      <c r="C2375" s="87" t="str">
        <f>IFERROR(__xludf.DUMMYFUNCTION("""COMPUTED_VALUE"""),"HOP1785")</f>
        <v>HOP1785</v>
      </c>
      <c r="D2375" s="87" t="str">
        <f>IFERROR(__xludf.DUMMYFUNCTION("""COMPUTED_VALUE"""),"[HOP] GC - IV - 1785 - Cty Kim Ngọc - Sạch Sâu (dạng cốm màu trắng ngà) - 10gr - 1000")</f>
        <v>[HOP] GC - IV - 1785 - Cty Kim Ngọc - Sạch Sâu (dạng cốm màu trắng ngà) - 10gr - 1000</v>
      </c>
      <c r="E2375" s="87" t="str">
        <f>IFERROR(__xludf.DUMMYFUNCTION("""COMPUTED_VALUE"""),"MAKEGREEN 55WG")</f>
        <v>MAKEGREEN 55WG</v>
      </c>
      <c r="F2375" s="87" t="str">
        <f>IFERROR(__xludf.DUMMYFUNCTION("""COMPUTED_VALUE"""),"HH1785")</f>
        <v>HH1785</v>
      </c>
      <c r="G2375" s="87" t="str">
        <f>IFERROR(__xludf.DUMMYFUNCTION("""COMPUTED_VALUE"""),"GC - IV - 1785 - Cty Kim Ngọc - Sạch Sâu (dạng cốm màu trắng ngà) - 10gr - 1000")</f>
        <v>GC - IV - 1785 - Cty Kim Ngọc - Sạch Sâu (dạng cốm màu trắng ngà) - 10gr - 1000</v>
      </c>
    </row>
    <row r="2376">
      <c r="A2376" s="86">
        <f>IFERROR(__xludf.DUMMYFUNCTION("""COMPUTED_VALUE"""),2374.0)</f>
        <v>2374</v>
      </c>
      <c r="B2376" s="87" t="str">
        <f>IFERROR(__xludf.DUMMYFUNCTION("""COMPUTED_VALUE"""),"NDT")</f>
        <v>NDT</v>
      </c>
      <c r="C2376" s="87" t="str">
        <f>IFERROR(__xludf.DUMMYFUNCTION("""COMPUTED_VALUE"""),"NDT1785")</f>
        <v>NDT1785</v>
      </c>
      <c r="D2376" s="87" t="str">
        <f>IFERROR(__xludf.DUMMYFUNCTION("""COMPUTED_VALUE"""),"[Nhãn thùng] GC - IV - 1785 - Cty Kim Ngọc - Sạch Sâu (dạng cốm màu trắng ngà) - 10gr - 1000")</f>
        <v>[Nhãn thùng] GC - IV - 1785 - Cty Kim Ngọc - Sạch Sâu (dạng cốm màu trắng ngà) - 10gr - 1000</v>
      </c>
      <c r="E2376" s="87" t="str">
        <f>IFERROR(__xludf.DUMMYFUNCTION("""COMPUTED_VALUE"""),"MAKEGREEN 55WG")</f>
        <v>MAKEGREEN 55WG</v>
      </c>
      <c r="F2376" s="87" t="str">
        <f>IFERROR(__xludf.DUMMYFUNCTION("""COMPUTED_VALUE"""),"HH1785")</f>
        <v>HH1785</v>
      </c>
      <c r="G2376" s="87" t="str">
        <f>IFERROR(__xludf.DUMMYFUNCTION("""COMPUTED_VALUE"""),"GC - IV - 1785 - Cty Kim Ngọc - Sạch Sâu (dạng cốm màu trắng ngà) - 10gr - 1000")</f>
        <v>GC - IV - 1785 - Cty Kim Ngọc - Sạch Sâu (dạng cốm màu trắng ngà) - 10gr - 1000</v>
      </c>
    </row>
    <row r="2377">
      <c r="A2377" s="86">
        <f>IFERROR(__xludf.DUMMYFUNCTION("""COMPUTED_VALUE"""),2375.0)</f>
        <v>2375</v>
      </c>
      <c r="B2377" s="87" t="str">
        <f>IFERROR(__xludf.DUMMYFUNCTION("""COMPUTED_VALUE"""),"Nhãn")</f>
        <v>Nhãn</v>
      </c>
      <c r="C2377" s="87" t="str">
        <f>IFERROR(__xludf.DUMMYFUNCTION("""COMPUTED_VALUE"""),"NTN1785")</f>
        <v>NTN1785</v>
      </c>
      <c r="D2377" s="87" t="str">
        <f>IFERROR(__xludf.DUMMYFUNCTION("""COMPUTED_VALUE"""),"[Nhãn] GC - IV - 1785 - Cty Kim Ngọc - Sạch Sâu (dạng cốm màu trắng ngà) - 10gr - 1000")</f>
        <v>[Nhãn] GC - IV - 1785 - Cty Kim Ngọc - Sạch Sâu (dạng cốm màu trắng ngà) - 10gr - 1000</v>
      </c>
      <c r="E2377" s="87" t="str">
        <f>IFERROR(__xludf.DUMMYFUNCTION("""COMPUTED_VALUE"""),"MAKEGREEN 55WG")</f>
        <v>MAKEGREEN 55WG</v>
      </c>
      <c r="F2377" s="87" t="str">
        <f>IFERROR(__xludf.DUMMYFUNCTION("""COMPUTED_VALUE"""),"HH1785")</f>
        <v>HH1785</v>
      </c>
      <c r="G2377" s="87" t="str">
        <f>IFERROR(__xludf.DUMMYFUNCTION("""COMPUTED_VALUE"""),"GC - IV - 1785 - Cty Kim Ngọc - Sạch Sâu (dạng cốm màu trắng ngà) - 10gr - 1000")</f>
        <v>GC - IV - 1785 - Cty Kim Ngọc - Sạch Sâu (dạng cốm màu trắng ngà) - 10gr - 1000</v>
      </c>
    </row>
    <row r="2378">
      <c r="A2378" s="86">
        <f>IFERROR(__xludf.DUMMYFUNCTION("""COMPUTED_VALUE"""),2376.0)</f>
        <v>2376</v>
      </c>
      <c r="B2378" s="87" t="str">
        <f>IFERROR(__xludf.DUMMYFUNCTION("""COMPUTED_VALUE"""),"Nhãn")</f>
        <v>Nhãn</v>
      </c>
      <c r="C2378" s="87" t="str">
        <f>IFERROR(__xludf.DUMMYFUNCTION("""COMPUTED_VALUE"""),"NHG1786")</f>
        <v>NHG1786</v>
      </c>
      <c r="D2378" s="87" t="str">
        <f>IFERROR(__xludf.DUMMYFUNCTION("""COMPUTED_VALUE"""),"[Nhãn] GC - IV - 1786 - GNH - Mekongvil 5SC (chai HD)(nắp xanh lá)(nước trắng)- 1L - 20")</f>
        <v>[Nhãn] GC - IV - 1786 - GNH - Mekongvil 5SC (chai HD)(nắp xanh lá)(nước trắng)- 1L - 20</v>
      </c>
      <c r="E2378" s="87" t="str">
        <f>IFERROR(__xludf.DUMMYFUNCTION("""COMPUTED_VALUE"""),"Mekongvil 5SC")</f>
        <v>Mekongvil 5SC</v>
      </c>
      <c r="F2378" s="87" t="str">
        <f>IFERROR(__xludf.DUMMYFUNCTION("""COMPUTED_VALUE"""),"HH1786")</f>
        <v>HH1786</v>
      </c>
      <c r="G2378" s="87" t="str">
        <f>IFERROR(__xludf.DUMMYFUNCTION("""COMPUTED_VALUE"""),"GC - IV - 1786 - GNH - Mekongvil 5SC (chai HD)(nắp xanh lá)(nước trắng)- 1L - 20")</f>
        <v>GC - IV - 1786 - GNH - Mekongvil 5SC (chai HD)(nắp xanh lá)(nước trắng)- 1L - 20</v>
      </c>
    </row>
    <row r="2379">
      <c r="A2379" s="86">
        <f>IFERROR(__xludf.DUMMYFUNCTION("""COMPUTED_VALUE"""),2377.0)</f>
        <v>2377</v>
      </c>
      <c r="B2379" s="87" t="str">
        <f>IFERROR(__xludf.DUMMYFUNCTION("""COMPUTED_VALUE"""),"Nhãn")</f>
        <v>Nhãn</v>
      </c>
      <c r="C2379" s="87" t="str">
        <f>IFERROR(__xludf.DUMMYFUNCTION("""COMPUTED_VALUE"""),"NTN1787")</f>
        <v>NTN1787</v>
      </c>
      <c r="D2379" s="87" t="str">
        <f>IFERROR(__xludf.DUMMYFUNCTION("""COMPUTED_VALUE"""),"[Nhãn] GC - IV - 1787 - Cty Agriplant (Anh Danh) - Siêu ra hoa sầu riêng (bột trắng xanh) - 250gr - 100")</f>
        <v>[Nhãn] GC - IV - 1787 - Cty Agriplant (Anh Danh) - Siêu ra hoa sầu riêng (bột trắng xanh) - 250gr - 100</v>
      </c>
      <c r="E2379" s="87" t="str">
        <f>IFERROR(__xludf.DUMMYFUNCTION("""COMPUTED_VALUE"""),"Vi lượng AV4-BO633")</f>
        <v>Vi lượng AV4-BO633</v>
      </c>
      <c r="F2379" s="87" t="str">
        <f>IFERROR(__xludf.DUMMYFUNCTION("""COMPUTED_VALUE"""),"HH1787")</f>
        <v>HH1787</v>
      </c>
      <c r="G2379" s="87" t="str">
        <f>IFERROR(__xludf.DUMMYFUNCTION("""COMPUTED_VALUE"""),"GC - IV - 1787 - Cty Agriplant (Anh Danh) - Siêu ra hoa sầu riêng (bột trắng xanh) - 250gr - 100")</f>
        <v>GC - IV - 1787 - Cty Agriplant (Anh Danh) - Siêu ra hoa sầu riêng (bột trắng xanh) - 250gr - 100</v>
      </c>
    </row>
    <row r="2380">
      <c r="A2380" s="86">
        <f>IFERROR(__xludf.DUMMYFUNCTION("""COMPUTED_VALUE"""),2378.0)</f>
        <v>2378</v>
      </c>
      <c r="B2380" s="87" t="str">
        <f>IFERROR(__xludf.DUMMYFUNCTION("""COMPUTED_VALUE"""),"Nhãn")</f>
        <v>Nhãn</v>
      </c>
      <c r="C2380" s="87" t="str">
        <f>IFERROR(__xludf.DUMMYFUNCTION("""COMPUTED_VALUE"""),"NTN1788")</f>
        <v>NTN1788</v>
      </c>
      <c r="D2380" s="87" t="str">
        <f>IFERROR(__xludf.DUMMYFUNCTION("""COMPUTED_VALUE"""),"[Nhãn] GC - II - 1788 - AGC - KHONGRAY 54WP - 100gr - 100")</f>
        <v>[Nhãn] GC - II - 1788 - AGC - KHONGRAY 54WP - 100gr - 100</v>
      </c>
      <c r="E2380" s="87" t="str">
        <f>IFERROR(__xludf.DUMMYFUNCTION("""COMPUTED_VALUE"""),"KHONGRAY 54WP")</f>
        <v>KHONGRAY 54WP</v>
      </c>
      <c r="F2380" s="87" t="str">
        <f>IFERROR(__xludf.DUMMYFUNCTION("""COMPUTED_VALUE"""),"HH1788")</f>
        <v>HH1788</v>
      </c>
      <c r="G2380" s="87" t="str">
        <f>IFERROR(__xludf.DUMMYFUNCTION("""COMPUTED_VALUE"""),"GC - II - 1788 - AGC - KHONGRAY 54WP - 100gr - 100")</f>
        <v>GC - II - 1788 - AGC - KHONGRAY 54WP - 100gr - 100</v>
      </c>
    </row>
    <row r="2381">
      <c r="A2381" s="86">
        <f>IFERROR(__xludf.DUMMYFUNCTION("""COMPUTED_VALUE"""),2379.0)</f>
        <v>2379</v>
      </c>
      <c r="B2381" s="87" t="str">
        <f>IFERROR(__xludf.DUMMYFUNCTION("""COMPUTED_VALUE"""),"Nhãn")</f>
        <v>Nhãn</v>
      </c>
      <c r="C2381" s="87" t="str">
        <f>IFERROR(__xludf.DUMMYFUNCTION("""COMPUTED_VALUE"""),"NHG1790")</f>
        <v>NHG1790</v>
      </c>
      <c r="D2381" s="87" t="str">
        <f>IFERROR(__xludf.DUMMYFUNCTION("""COMPUTED_VALUE"""),"[Nhãn] GC - II - 1790 - Cty Hướng Nông - AMINO COMBI (nước xanh nõn chuối) - 500ml - 40")</f>
        <v>[Nhãn] GC - II - 1790 - Cty Hướng Nông - AMINO COMBI (nước xanh nõn chuối) - 500ml - 40</v>
      </c>
      <c r="E2381" s="87" t="str">
        <f>IFERROR(__xludf.DUMMYFUNCTION("""COMPUTED_VALUE"""),"Vi lượng Quantity New")</f>
        <v>Vi lượng Quantity New</v>
      </c>
      <c r="F2381" s="87" t="str">
        <f>IFERROR(__xludf.DUMMYFUNCTION("""COMPUTED_VALUE"""),"HH1790")</f>
        <v>HH1790</v>
      </c>
      <c r="G2381" s="87" t="str">
        <f>IFERROR(__xludf.DUMMYFUNCTION("""COMPUTED_VALUE"""),"GC - II - 1790 - Cty Hướng Nông - AMINO COMBI (nước xanh nõn chuối) - 500ml - 40")</f>
        <v>GC - II - 1790 - Cty Hướng Nông - AMINO COMBI (nước xanh nõn chuối) - 500ml - 40</v>
      </c>
    </row>
    <row r="2382">
      <c r="A2382" s="86">
        <f>IFERROR(__xludf.DUMMYFUNCTION("""COMPUTED_VALUE"""),2380.0)</f>
        <v>2380</v>
      </c>
      <c r="B2382" s="87" t="str">
        <f>IFERROR(__xludf.DUMMYFUNCTION("""COMPUTED_VALUE"""),"Nhãn")</f>
        <v>Nhãn</v>
      </c>
      <c r="C2382" s="87" t="str">
        <f>IFERROR(__xludf.DUMMYFUNCTION("""COMPUTED_VALUE"""),"NHG1791")</f>
        <v>NHG1791</v>
      </c>
      <c r="D2382" s="87" t="str">
        <f>IFERROR(__xludf.DUMMYFUNCTION("""COMPUTED_VALUE"""),"[Nhãn] DR.XANH - II -  1791 - WEED KILL (nước đỏ) - 900ml - 20")</f>
        <v>[Nhãn] DR.XANH - II -  1791 - WEED KILL (nước đỏ) - 900ml - 20</v>
      </c>
      <c r="E2382" s="87" t="str">
        <f>IFERROR(__xludf.DUMMYFUNCTION("""COMPUTED_VALUE"""),"Asupergras 200SL")</f>
        <v>Asupergras 200SL</v>
      </c>
      <c r="F2382" s="87" t="str">
        <f>IFERROR(__xludf.DUMMYFUNCTION("""COMPUTED_VALUE"""),"HH1791")</f>
        <v>HH1791</v>
      </c>
      <c r="G2382" s="87" t="str">
        <f>IFERROR(__xludf.DUMMYFUNCTION("""COMPUTED_VALUE"""),"DR.XANH - II -  1791 - WEED KILL (nước đỏ) - 900ml - 20")</f>
        <v>DR.XANH - II -  1791 - WEED KILL (nước đỏ) - 900ml - 20</v>
      </c>
    </row>
    <row r="2383">
      <c r="A2383" s="86">
        <f>IFERROR(__xludf.DUMMYFUNCTION("""COMPUTED_VALUE"""),2381.0)</f>
        <v>2381</v>
      </c>
      <c r="B2383" s="87" t="str">
        <f>IFERROR(__xludf.DUMMYFUNCTION("""COMPUTED_VALUE"""),"Nhãn")</f>
        <v>Nhãn</v>
      </c>
      <c r="C2383" s="87" t="str">
        <f>IFERROR(__xludf.DUMMYFUNCTION("""COMPUTED_VALUE"""),"NHG1792")</f>
        <v>NHG1792</v>
      </c>
      <c r="D2383" s="87" t="str">
        <f>IFERROR(__xludf.DUMMYFUNCTION("""COMPUTED_VALUE"""),"[Nhãn] GC - IV - 1792 - Bellormar - Genol 1.2SL (nước tím) - 450ml - 40")</f>
        <v>[Nhãn] GC - IV - 1792 - Bellormar - Genol 1.2SL (nước tím) - 450ml - 40</v>
      </c>
      <c r="E2383" s="87" t="str">
        <f>IFERROR(__xludf.DUMMYFUNCTION("""COMPUTED_VALUE"""),"GENOL 1.2SL")</f>
        <v>GENOL 1.2SL</v>
      </c>
      <c r="F2383" s="87" t="str">
        <f>IFERROR(__xludf.DUMMYFUNCTION("""COMPUTED_VALUE"""),"HH1792")</f>
        <v>HH1792</v>
      </c>
      <c r="G2383" s="87" t="str">
        <f>IFERROR(__xludf.DUMMYFUNCTION("""COMPUTED_VALUE"""),"GC - IV - 1792 - Bellormar - Genol 1.2SL (nước tím) - 450ml - 40")</f>
        <v>GC - IV - 1792 - Bellormar - Genol 1.2SL (nước tím) - 450ml - 40</v>
      </c>
    </row>
    <row r="2384">
      <c r="A2384" s="86">
        <f>IFERROR(__xludf.DUMMYFUNCTION("""COMPUTED_VALUE"""),2382.0)</f>
        <v>2382</v>
      </c>
      <c r="B2384" s="87" t="str">
        <f>IFERROR(__xludf.DUMMYFUNCTION("""COMPUTED_VALUE"""),"Nhãn")</f>
        <v>Nhãn</v>
      </c>
      <c r="C2384" s="87" t="str">
        <f>IFERROR(__xludf.DUMMYFUNCTION("""COMPUTED_VALUE"""),"NHG1793")</f>
        <v>NHG1793</v>
      </c>
      <c r="D2384" s="87" t="str">
        <f>IFERROR(__xludf.DUMMYFUNCTION("""COMPUTED_VALUE"""),"[Nhãn] GC - II - 1793 - Cty Sen Hồng (A.Diễn) - Combi Extra (nước xanh nõn chuối) - 500ml - 40
")</f>
        <v>[Nhãn] GC - II - 1793 - Cty Sen Hồng (A.Diễn) - Combi Extra (nước xanh nõn chuối) - 500ml - 40
</v>
      </c>
      <c r="E2384" s="87" t="str">
        <f>IFERROR(__xludf.DUMMYFUNCTION("""COMPUTED_VALUE"""),"Vi lượng Quantity New")</f>
        <v>Vi lượng Quantity New</v>
      </c>
      <c r="F2384" s="87" t="str">
        <f>IFERROR(__xludf.DUMMYFUNCTION("""COMPUTED_VALUE"""),"HH1793")</f>
        <v>HH1793</v>
      </c>
      <c r="G2384" s="87" t="str">
        <f>IFERROR(__xludf.DUMMYFUNCTION("""COMPUTED_VALUE"""),"GC - II - 1793 - Cty Sen Hồng (A.Diễn) - Combi Extra (nước xanh nõn chuối) - 500ml - 40
")</f>
        <v>GC - II - 1793 - Cty Sen Hồng (A.Diễn) - Combi Extra (nước xanh nõn chuối) - 500ml - 40
</v>
      </c>
    </row>
    <row r="2385">
      <c r="A2385" s="86">
        <f>IFERROR(__xludf.DUMMYFUNCTION("""COMPUTED_VALUE"""),2383.0)</f>
        <v>2383</v>
      </c>
      <c r="B2385" s="87" t="str">
        <f>IFERROR(__xludf.DUMMYFUNCTION("""COMPUTED_VALUE"""),"Nhãn")</f>
        <v>Nhãn</v>
      </c>
      <c r="C2385" s="87" t="str">
        <f>IFERROR(__xludf.DUMMYFUNCTION("""COMPUTED_VALUE"""),"NTN1794")</f>
        <v>NTN1794</v>
      </c>
      <c r="D2385" s="87" t="str">
        <f>IFERROR(__xludf.DUMMYFUNCTION("""COMPUTED_VALUE"""),"[Nhãn] NB - K - 1794 - Nông Dược Thụy Sĩ - MANCOBGO 80WP (bột xanh) - 1kg - 20")</f>
        <v>[Nhãn] NB - K - 1794 - Nông Dược Thụy Sĩ - MANCOBGO 80WP (bột xanh) - 1kg - 20</v>
      </c>
      <c r="E2385" s="87" t="str">
        <f>IFERROR(__xludf.DUMMYFUNCTION("""COMPUTED_VALUE"""),"MANCOBGO 80WP")</f>
        <v>MANCOBGO 80WP</v>
      </c>
      <c r="F2385" s="87" t="str">
        <f>IFERROR(__xludf.DUMMYFUNCTION("""COMPUTED_VALUE"""),"HH1794")</f>
        <v>HH1794</v>
      </c>
      <c r="G2385" s="87" t="str">
        <f>IFERROR(__xludf.DUMMYFUNCTION("""COMPUTED_VALUE"""),"NB - K - 1794 - Nông Dược Thụy Sĩ - MANCOBGO 80WP (bột xanh) - 1kg - 20")</f>
        <v>NB - K - 1794 - Nông Dược Thụy Sĩ - MANCOBGO 80WP (bột xanh) - 1kg - 20</v>
      </c>
    </row>
    <row r="2386">
      <c r="A2386" s="86">
        <f>IFERROR(__xludf.DUMMYFUNCTION("""COMPUTED_VALUE"""),2384.0)</f>
        <v>2384</v>
      </c>
      <c r="B2386" s="87" t="str">
        <f>IFERROR(__xludf.DUMMYFUNCTION("""COMPUTED_VALUE"""),"Nhãn")</f>
        <v>Nhãn</v>
      </c>
      <c r="C2386" s="87" t="str">
        <f>IFERROR(__xludf.DUMMYFUNCTION("""COMPUTED_VALUE"""),"NHG1795")</f>
        <v>NHG1795</v>
      </c>
      <c r="D2386" s="87" t="str">
        <f>IFERROR(__xludf.DUMMYFUNCTION("""COMPUTED_VALUE"""),"[Nhãn] GC - IV - 1795 - Cty Sen Hồng (A.Diễn) - MITOP ONE 390SC (nước xanh) - 400ml - 40")</f>
        <v>[Nhãn] GC - IV - 1795 - Cty Sen Hồng (A.Diễn) - MITOP ONE 390SC (nước xanh) - 400ml - 40</v>
      </c>
      <c r="E2386" s="87" t="str">
        <f>IFERROR(__xludf.DUMMYFUNCTION("""COMPUTED_VALUE"""),"MITOP ONE 390SC")</f>
        <v>MITOP ONE 390SC</v>
      </c>
      <c r="F2386" s="87" t="str">
        <f>IFERROR(__xludf.DUMMYFUNCTION("""COMPUTED_VALUE"""),"HH1795")</f>
        <v>HH1795</v>
      </c>
      <c r="G2386" s="87" t="str">
        <f>IFERROR(__xludf.DUMMYFUNCTION("""COMPUTED_VALUE"""),"GC - IV - 1795 - Cty Sen Hồng (A.Diễn) - MITOP ONE 390SC (nước xanh) - 400ml - 40")</f>
        <v>GC - IV - 1795 - Cty Sen Hồng (A.Diễn) - MITOP ONE 390SC (nước xanh) - 400ml - 40</v>
      </c>
    </row>
    <row r="2387">
      <c r="A2387" s="86">
        <f>IFERROR(__xludf.DUMMYFUNCTION("""COMPUTED_VALUE"""),2385.0)</f>
        <v>2385</v>
      </c>
      <c r="B2387" s="87" t="str">
        <f>IFERROR(__xludf.DUMMYFUNCTION("""COMPUTED_VALUE"""),"Nhãn")</f>
        <v>Nhãn</v>
      </c>
      <c r="C2387" s="87" t="str">
        <f>IFERROR(__xludf.DUMMYFUNCTION("""COMPUTED_VALUE"""),"NHD1796")</f>
        <v>NHD1796</v>
      </c>
      <c r="D2387" s="87" t="str">
        <f>IFERROR(__xludf.DUMMYFUNCTION("""COMPUTED_VALUE"""),"[Nhãn]  GC - IV - 1796 - Cty TNHH NK Australia - Haihamec 3.6EC (nước nâu đen) - 450ml - 40")</f>
        <v>[Nhãn]  GC - IV - 1796 - Cty TNHH NK Australia - Haihamec 3.6EC (nước nâu đen) - 450ml - 40</v>
      </c>
      <c r="E2387" s="87" t="str">
        <f>IFERROR(__xludf.DUMMYFUNCTION("""COMPUTED_VALUE"""),"HAIHAMEC 3.6EC")</f>
        <v>HAIHAMEC 3.6EC</v>
      </c>
      <c r="F2387" s="87" t="str">
        <f>IFERROR(__xludf.DUMMYFUNCTION("""COMPUTED_VALUE"""),"HH1796")</f>
        <v>HH1796</v>
      </c>
      <c r="G2387" s="87" t="str">
        <f>IFERROR(__xludf.DUMMYFUNCTION("""COMPUTED_VALUE"""),"GC - IV - 1796 - Cty TNHH NK Australia - Haihamec 3.6EC (nước nâu đen) - 450ml - 40")</f>
        <v>GC - IV - 1796 - Cty TNHH NK Australia - Haihamec 3.6EC (nước nâu đen) - 450ml - 40</v>
      </c>
    </row>
    <row r="2388">
      <c r="A2388" s="86">
        <f>IFERROR(__xludf.DUMMYFUNCTION("""COMPUTED_VALUE"""),2386.0)</f>
        <v>2386</v>
      </c>
      <c r="B2388" s="87" t="str">
        <f>IFERROR(__xludf.DUMMYFUNCTION("""COMPUTED_VALUE"""),"Nhãn")</f>
        <v>Nhãn</v>
      </c>
      <c r="C2388" s="87" t="str">
        <f>IFERROR(__xludf.DUMMYFUNCTION("""COMPUTED_VALUE"""),"NTN1797")</f>
        <v>NTN1797</v>
      </c>
      <c r="D2388" s="87" t="str">
        <f>IFERROR(__xludf.DUMMYFUNCTION("""COMPUTED_VALUE"""),"[Nhãn]  GC - IV - 1797 - Lâm Thành - Thần Diệt Trùng - Thái (bột trắng) - 100gr - 150")</f>
        <v>[Nhãn]  GC - IV - 1797 - Lâm Thành - Thần Diệt Trùng - Thái (bột trắng) - 100gr - 150</v>
      </c>
      <c r="E2388" s="87" t="str">
        <f>IFERROR(__xludf.DUMMYFUNCTION("""COMPUTED_VALUE"""),"IMIPRID 10WP")</f>
        <v>IMIPRID 10WP</v>
      </c>
      <c r="F2388" s="87" t="str">
        <f>IFERROR(__xludf.DUMMYFUNCTION("""COMPUTED_VALUE"""),"HH1797")</f>
        <v>HH1797</v>
      </c>
      <c r="G2388" s="87" t="str">
        <f>IFERROR(__xludf.DUMMYFUNCTION("""COMPUTED_VALUE"""),"GC - IV - 1797 - Lâm Thành - Thần Diệt Trùng - Thái (bột trắng) - 100gr - 150")</f>
        <v>GC - IV - 1797 - Lâm Thành - Thần Diệt Trùng - Thái (bột trắng) - 100gr - 150</v>
      </c>
    </row>
    <row r="2389">
      <c r="A2389" s="86">
        <f>IFERROR(__xludf.DUMMYFUNCTION("""COMPUTED_VALUE"""),2387.0)</f>
        <v>2387</v>
      </c>
      <c r="B2389" s="87" t="str">
        <f>IFERROR(__xludf.DUMMYFUNCTION("""COMPUTED_VALUE"""),"Nhãn thùng")</f>
        <v>Nhãn thùng</v>
      </c>
      <c r="C2389" s="87" t="str">
        <f>IFERROR(__xludf.DUMMYFUNCTION("""COMPUTED_VALUE"""),"NDT1797")</f>
        <v>NDT1797</v>
      </c>
      <c r="D2389" s="87" t="str">
        <f>IFERROR(__xludf.DUMMYFUNCTION("""COMPUTED_VALUE"""),"[Nhãn thùng]  GC - IV - 1797 - Lâm Thành - Thần Diệt Trùng - Thái (bột trắng) - 100gr - 150")</f>
        <v>[Nhãn thùng]  GC - IV - 1797 - Lâm Thành - Thần Diệt Trùng - Thái (bột trắng) - 100gr - 150</v>
      </c>
      <c r="E2389" s="87" t="str">
        <f>IFERROR(__xludf.DUMMYFUNCTION("""COMPUTED_VALUE"""),"IMIPRID 10WP")</f>
        <v>IMIPRID 10WP</v>
      </c>
      <c r="F2389" s="87" t="str">
        <f>IFERROR(__xludf.DUMMYFUNCTION("""COMPUTED_VALUE"""),"HH1797")</f>
        <v>HH1797</v>
      </c>
      <c r="G2389" s="87" t="str">
        <f>IFERROR(__xludf.DUMMYFUNCTION("""COMPUTED_VALUE"""),"GC - IV - 1797 - Lâm Thành - Thần Diệt Trùng - Thái (bột trắng) - 100gr - 150")</f>
        <v>GC - IV - 1797 - Lâm Thành - Thần Diệt Trùng - Thái (bột trắng) - 100gr - 150</v>
      </c>
    </row>
    <row r="2390">
      <c r="A2390" s="86">
        <f>IFERROR(__xludf.DUMMYFUNCTION("""COMPUTED_VALUE"""),2388.0)</f>
        <v>2388</v>
      </c>
      <c r="B2390" s="87" t="str">
        <f>IFERROR(__xludf.DUMMYFUNCTION("""COMPUTED_VALUE"""),"Nhãn")</f>
        <v>Nhãn</v>
      </c>
      <c r="C2390" s="87" t="str">
        <f>IFERROR(__xludf.DUMMYFUNCTION("""COMPUTED_VALUE"""),"NHG1798")</f>
        <v>NHG1798</v>
      </c>
      <c r="D2390" s="87" t="str">
        <f>IFERROR(__xludf.DUMMYFUNCTION("""COMPUTED_VALUE"""),"[Nhãn]  GC - II - 1798 - ĐL Minh Đô - Newfosinate 150SL (nước đỏ) - 900ml - 20")</f>
        <v>[Nhãn]  GC - II - 1798 - ĐL Minh Đô - Newfosinate 150SL (nước đỏ) - 900ml - 20</v>
      </c>
      <c r="E2390" s="87" t="str">
        <f>IFERROR(__xludf.DUMMYFUNCTION("""COMPUTED_VALUE"""),"NEWFOSINATE 150SL")</f>
        <v>NEWFOSINATE 150SL</v>
      </c>
      <c r="F2390" s="87" t="str">
        <f>IFERROR(__xludf.DUMMYFUNCTION("""COMPUTED_VALUE"""),"HH1798")</f>
        <v>HH1798</v>
      </c>
      <c r="G2390" s="87" t="str">
        <f>IFERROR(__xludf.DUMMYFUNCTION("""COMPUTED_VALUE"""),"GC - II - 1798 - ĐL Minh Đô - Newfosinate 150SL (nước đỏ) - 900ml - 20")</f>
        <v>GC - II - 1798 - ĐL Minh Đô - Newfosinate 150SL (nước đỏ) - 900ml - 20</v>
      </c>
    </row>
    <row r="2391">
      <c r="A2391" s="86">
        <f>IFERROR(__xludf.DUMMYFUNCTION("""COMPUTED_VALUE"""),2389.0)</f>
        <v>2389</v>
      </c>
      <c r="B2391" s="87" t="str">
        <f>IFERROR(__xludf.DUMMYFUNCTION("""COMPUTED_VALUE"""),"Nhãn")</f>
        <v>Nhãn</v>
      </c>
      <c r="C2391" s="87" t="str">
        <f>IFERROR(__xludf.DUMMYFUNCTION("""COMPUTED_VALUE"""),"NHG1799")</f>
        <v>NHG1799</v>
      </c>
      <c r="D2391" s="87" t="str">
        <f>IFERROR(__xludf.DUMMYFUNCTION("""COMPUTED_VALUE"""),"[Nhãn] GC - II - 1799 - ĐL Minh Đô - Asupergras 200SL(nước đỏ) - 900ml - 20")</f>
        <v>[Nhãn] GC - II - 1799 - ĐL Minh Đô - Asupergras 200SL(nước đỏ) - 900ml - 20</v>
      </c>
      <c r="E2391" s="87" t="str">
        <f>IFERROR(__xludf.DUMMYFUNCTION("""COMPUTED_VALUE"""),"Asupergras 200SL")</f>
        <v>Asupergras 200SL</v>
      </c>
      <c r="F2391" s="87" t="str">
        <f>IFERROR(__xludf.DUMMYFUNCTION("""COMPUTED_VALUE"""),"HH1799")</f>
        <v>HH1799</v>
      </c>
      <c r="G2391" s="87" t="str">
        <f>IFERROR(__xludf.DUMMYFUNCTION("""COMPUTED_VALUE"""),"GC - II - 1799 - ĐL Minh Đô - Asupergras 200SL(nước đỏ) - 900ml - 20")</f>
        <v>GC - II - 1799 - ĐL Minh Đô - Asupergras 200SL(nước đỏ) - 900ml - 20</v>
      </c>
    </row>
    <row r="2392">
      <c r="A2392" s="86">
        <f>IFERROR(__xludf.DUMMYFUNCTION("""COMPUTED_VALUE"""),2390.0)</f>
        <v>2390</v>
      </c>
      <c r="B2392" s="87" t="str">
        <f>IFERROR(__xludf.DUMMYFUNCTION("""COMPUTED_VALUE"""),"Nhãn")</f>
        <v>Nhãn</v>
      </c>
      <c r="C2392" s="87" t="str">
        <f>IFERROR(__xludf.DUMMYFUNCTION("""COMPUTED_VALUE"""),"NHG1800")</f>
        <v>NHG1800</v>
      </c>
      <c r="D2392" s="87" t="str">
        <f>IFERROR(__xludf.DUMMYFUNCTION("""COMPUTED_VALUE"""),"[Nhãn] GC - IV - 1800 - Cty Tiến Vinh - HEXA TIVI (nước trắng sữa) - 1L - 20")</f>
        <v>[Nhãn] GC - IV - 1800 - Cty Tiến Vinh - HEXA TIVI (nước trắng sữa) - 1L - 20</v>
      </c>
      <c r="E2392" s="87" t="str">
        <f>IFERROR(__xludf.DUMMYFUNCTION("""COMPUTED_VALUE"""),"Mekongvil 5SC")</f>
        <v>Mekongvil 5SC</v>
      </c>
      <c r="F2392" s="87" t="str">
        <f>IFERROR(__xludf.DUMMYFUNCTION("""COMPUTED_VALUE"""),"HH1800")</f>
        <v>HH1800</v>
      </c>
      <c r="G2392" s="87" t="str">
        <f>IFERROR(__xludf.DUMMYFUNCTION("""COMPUTED_VALUE"""),"GC - IV - 1800 - Cty Tiến Vinh - HEXA TIVI (nước trắng sữa) - 1L - 20")</f>
        <v>GC - IV - 1800 - Cty Tiến Vinh - HEXA TIVI (nước trắng sữa) - 1L - 20</v>
      </c>
    </row>
    <row r="2393">
      <c r="A2393" s="86">
        <f>IFERROR(__xludf.DUMMYFUNCTION("""COMPUTED_VALUE"""),2391.0)</f>
        <v>2391</v>
      </c>
      <c r="B2393" s="87" t="str">
        <f>IFERROR(__xludf.DUMMYFUNCTION("""COMPUTED_VALUE"""),"Nhãn")</f>
        <v>Nhãn</v>
      </c>
      <c r="C2393" s="87" t="str">
        <f>IFERROR(__xludf.DUMMYFUNCTION("""COMPUTED_VALUE"""),"NTN1801")</f>
        <v>NTN1801</v>
      </c>
      <c r="D2393" s="87" t="str">
        <f>IFERROR(__xludf.DUMMYFUNCTION("""COMPUTED_VALUE"""),"[Nhãn] GC - IV - 1801 - Cty Agricare Úc (Anh Lộc) - Mancozeb Xanh (bột xanh) - 1kg - 20")</f>
        <v>[Nhãn] GC - IV - 1801 - Cty Agricare Úc (Anh Lộc) - Mancozeb Xanh (bột xanh) - 1kg - 20</v>
      </c>
      <c r="E2393" s="87" t="str">
        <f>IFERROR(__xludf.DUMMYFUNCTION("""COMPUTED_VALUE"""),"MANCOBGO 80WP")</f>
        <v>MANCOBGO 80WP</v>
      </c>
      <c r="F2393" s="87" t="str">
        <f>IFERROR(__xludf.DUMMYFUNCTION("""COMPUTED_VALUE"""),"HH1801")</f>
        <v>HH1801</v>
      </c>
      <c r="G2393" s="87" t="str">
        <f>IFERROR(__xludf.DUMMYFUNCTION("""COMPUTED_VALUE"""),"GC - IV - 1801 - Cty Agricare Úc (Anh Lộc) - Mancozeb Xanh (bột xanh) - 1kg - 20")</f>
        <v>GC - IV - 1801 - Cty Agricare Úc (Anh Lộc) - Mancozeb Xanh (bột xanh) - 1kg - 20</v>
      </c>
    </row>
    <row r="2394">
      <c r="A2394" s="86">
        <f>IFERROR(__xludf.DUMMYFUNCTION("""COMPUTED_VALUE"""),2392.0)</f>
        <v>2392</v>
      </c>
      <c r="B2394" s="87" t="str">
        <f>IFERROR(__xludf.DUMMYFUNCTION("""COMPUTED_VALUE"""),"Nhãn")</f>
        <v>Nhãn</v>
      </c>
      <c r="C2394" s="87" t="str">
        <f>IFERROR(__xludf.DUMMYFUNCTION("""COMPUTED_VALUE"""),"NDT1801")</f>
        <v>NDT1801</v>
      </c>
      <c r="D2394" s="87" t="str">
        <f>IFERROR(__xludf.DUMMYFUNCTION("""COMPUTED_VALUE"""),"[Nhãn] GC - IV - 1801 - Cty Agricare Úc (Anh Lộc) - Mancozeb Xanh (bột xanh) - 1kg - 20")</f>
        <v>[Nhãn] GC - IV - 1801 - Cty Agricare Úc (Anh Lộc) - Mancozeb Xanh (bột xanh) - 1kg - 20</v>
      </c>
      <c r="E2394" s="87" t="str">
        <f>IFERROR(__xludf.DUMMYFUNCTION("""COMPUTED_VALUE"""),"MANCOBGO 80WP")</f>
        <v>MANCOBGO 80WP</v>
      </c>
      <c r="F2394" s="87" t="str">
        <f>IFERROR(__xludf.DUMMYFUNCTION("""COMPUTED_VALUE"""),"HH1801")</f>
        <v>HH1801</v>
      </c>
      <c r="G2394" s="87" t="str">
        <f>IFERROR(__xludf.DUMMYFUNCTION("""COMPUTED_VALUE"""),"GC - IV - 1801 - Cty Agricare Úc (Anh Lộc) - Mancozeb Xanh (bột xanh) - 1kg - 20")</f>
        <v>GC - IV - 1801 - Cty Agricare Úc (Anh Lộc) - Mancozeb Xanh (bột xanh) - 1kg - 20</v>
      </c>
    </row>
    <row r="2395">
      <c r="A2395" s="86">
        <f>IFERROR(__xludf.DUMMYFUNCTION("""COMPUTED_VALUE"""),2393.0)</f>
        <v>2393</v>
      </c>
      <c r="B2395" s="87" t="str">
        <f>IFERROR(__xludf.DUMMYFUNCTION("""COMPUTED_VALUE"""),"Nhãn")</f>
        <v>Nhãn</v>
      </c>
      <c r="C2395" s="87" t="str">
        <f>IFERROR(__xludf.DUMMYFUNCTION("""COMPUTED_VALUE"""),"NHG1802")</f>
        <v>NHG1802</v>
      </c>
      <c r="D2395" s="87" t="str">
        <f>IFERROR(__xludf.DUMMYFUNCTION("""COMPUTED_VALUE"""),"[Nhãn] GC - II - 1802 - Anh Huỳnh - ALKADO 100SC (nước trắng sữa) - 1L - 20")</f>
        <v>[Nhãn] GC - II - 1802 - Anh Huỳnh - ALKADO 100SC (nước trắng sữa) - 1L - 20</v>
      </c>
      <c r="E2395" s="87" t="str">
        <f>IFERROR(__xludf.DUMMYFUNCTION("""COMPUTED_VALUE"""),"ALKADO 100SC")</f>
        <v>ALKADO 100SC</v>
      </c>
      <c r="F2395" s="87" t="str">
        <f>IFERROR(__xludf.DUMMYFUNCTION("""COMPUTED_VALUE"""),"HH1802")</f>
        <v>HH1802</v>
      </c>
      <c r="G2395" s="87" t="str">
        <f>IFERROR(__xludf.DUMMYFUNCTION("""COMPUTED_VALUE"""),"GC - II - 1802 - Anh Huỳnh - ALKADO 100SC (nước trắng sữa) - 1L - 20")</f>
        <v>GC - II - 1802 - Anh Huỳnh - ALKADO 100SC (nước trắng sữa) - 1L - 20</v>
      </c>
    </row>
    <row r="2396">
      <c r="A2396" s="86">
        <f>IFERROR(__xludf.DUMMYFUNCTION("""COMPUTED_VALUE"""),2394.0)</f>
        <v>2394</v>
      </c>
      <c r="B2396" s="87" t="str">
        <f>IFERROR(__xludf.DUMMYFUNCTION("""COMPUTED_VALUE"""),"Nhãn")</f>
        <v>Nhãn</v>
      </c>
      <c r="C2396" s="87" t="str">
        <f>IFERROR(__xludf.DUMMYFUNCTION("""COMPUTED_VALUE"""),"NHD1802")</f>
        <v>NHD1802</v>
      </c>
      <c r="D2396" s="87" t="str">
        <f>IFERROR(__xludf.DUMMYFUNCTION("""COMPUTED_VALUE"""),"[Nhãn] GC - II - 1802 - Anh Huỳnh - ALKADO 100SC (nước trắng sữa) - 1L - 20")</f>
        <v>[Nhãn] GC - II - 1802 - Anh Huỳnh - ALKADO 100SC (nước trắng sữa) - 1L - 20</v>
      </c>
      <c r="E2396" s="87" t="str">
        <f>IFERROR(__xludf.DUMMYFUNCTION("""COMPUTED_VALUE"""),"ALKADO 100SC")</f>
        <v>ALKADO 100SC</v>
      </c>
      <c r="F2396" s="87" t="str">
        <f>IFERROR(__xludf.DUMMYFUNCTION("""COMPUTED_VALUE"""),"HH1802")</f>
        <v>HH1802</v>
      </c>
      <c r="G2396" s="87" t="str">
        <f>IFERROR(__xludf.DUMMYFUNCTION("""COMPUTED_VALUE"""),"GC - II - 1802 - Anh Huỳnh - ALKADO 100SC (nước trắng sữa) - 1L - 20")</f>
        <v>GC - II - 1802 - Anh Huỳnh - ALKADO 100SC (nước trắng sữa) - 1L - 20</v>
      </c>
    </row>
    <row r="2397">
      <c r="A2397" s="86">
        <f>IFERROR(__xludf.DUMMYFUNCTION("""COMPUTED_VALUE"""),2395.0)</f>
        <v>2395</v>
      </c>
      <c r="B2397" s="87" t="str">
        <f>IFERROR(__xludf.DUMMYFUNCTION("""COMPUTED_VALUE"""),"Nhãn")</f>
        <v>Nhãn</v>
      </c>
      <c r="C2397" s="87" t="str">
        <f>IFERROR(__xludf.DUMMYFUNCTION("""COMPUTED_VALUE"""),"NHG1803")</f>
        <v>NHG1803</v>
      </c>
      <c r="D2397" s="87" t="str">
        <f>IFERROR(__xludf.DUMMYFUNCTION("""COMPUTED_VALUE"""),"[Nhãn] GC - IV - 1803 - Cty Hitaco - Trâu Vàng (nước tím) - 900ml - 20")</f>
        <v>[Nhãn] GC - IV - 1803 - Cty Hitaco - Trâu Vàng (nước tím) - 900ml - 20</v>
      </c>
      <c r="E2397" s="87" t="str">
        <f>IFERROR(__xludf.DUMMYFUNCTION("""COMPUTED_VALUE"""),"Asupergras 200SL")</f>
        <v>Asupergras 200SL</v>
      </c>
      <c r="F2397" s="87" t="str">
        <f>IFERROR(__xludf.DUMMYFUNCTION("""COMPUTED_VALUE"""),"HH1803")</f>
        <v>HH1803</v>
      </c>
      <c r="G2397" s="87" t="str">
        <f>IFERROR(__xludf.DUMMYFUNCTION("""COMPUTED_VALUE"""),"GC - IV - 1803 - Cty Hitaco - Trâu Vàng (nước tím) - 900ml - 20")</f>
        <v>GC - IV - 1803 - Cty Hitaco - Trâu Vàng (nước tím) - 900ml - 20</v>
      </c>
    </row>
    <row r="2398">
      <c r="A2398" s="86">
        <f>IFERROR(__xludf.DUMMYFUNCTION("""COMPUTED_VALUE"""),2396.0)</f>
        <v>2396</v>
      </c>
      <c r="B2398" s="87" t="str">
        <f>IFERROR(__xludf.DUMMYFUNCTION("""COMPUTED_VALUE"""),"Nhãn")</f>
        <v>Nhãn</v>
      </c>
      <c r="C2398" s="87" t="str">
        <f>IFERROR(__xludf.DUMMYFUNCTION("""COMPUTED_VALUE"""),"NTN1804")</f>
        <v>NTN1804</v>
      </c>
      <c r="D2398" s="87" t="str">
        <f>IFERROR(__xludf.DUMMYFUNCTION("""COMPUTED_VALUE"""),"[Nhãn] GC - IV - 1804 - Cty SC Chemical - MANCOSUPER (bột vàng) - 1kg - 20")</f>
        <v>[Nhãn] GC - IV - 1804 - Cty SC Chemical - MANCOSUPER (bột vàng) - 1kg - 20</v>
      </c>
      <c r="E2398" s="87" t="str">
        <f>IFERROR(__xludf.DUMMYFUNCTION("""COMPUTED_VALUE"""),"MANCOBGO 80WP")</f>
        <v>MANCOBGO 80WP</v>
      </c>
      <c r="F2398" s="87" t="str">
        <f>IFERROR(__xludf.DUMMYFUNCTION("""COMPUTED_VALUE"""),"HH1804")</f>
        <v>HH1804</v>
      </c>
      <c r="G2398" s="87" t="str">
        <f>IFERROR(__xludf.DUMMYFUNCTION("""COMPUTED_VALUE"""),"GC - IV - 1804 - Cty SC Chemical - MANCOSUPER (bột vàng) - 1kg - 20")</f>
        <v>GC - IV - 1804 - Cty SC Chemical - MANCOSUPER (bột vàng) - 1kg - 20</v>
      </c>
    </row>
    <row r="2399">
      <c r="A2399" s="86">
        <f>IFERROR(__xludf.DUMMYFUNCTION("""COMPUTED_VALUE"""),2397.0)</f>
        <v>2397</v>
      </c>
      <c r="B2399" s="87" t="str">
        <f>IFERROR(__xludf.DUMMYFUNCTION("""COMPUTED_VALUE"""),"Nhãn")</f>
        <v>Nhãn</v>
      </c>
      <c r="C2399" s="87" t="str">
        <f>IFERROR(__xludf.DUMMYFUNCTION("""COMPUTED_VALUE"""),"NDT1804")</f>
        <v>NDT1804</v>
      </c>
      <c r="D2399" s="87" t="str">
        <f>IFERROR(__xludf.DUMMYFUNCTION("""COMPUTED_VALUE"""),"[Nhãn] GC - IV - 1804 - Cty SC Chemical - MANCOSUPER (bột vàng) - 1kg - 20")</f>
        <v>[Nhãn] GC - IV - 1804 - Cty SC Chemical - MANCOSUPER (bột vàng) - 1kg - 20</v>
      </c>
      <c r="E2399" s="87" t="str">
        <f>IFERROR(__xludf.DUMMYFUNCTION("""COMPUTED_VALUE"""),"MANCOBGO 80WP")</f>
        <v>MANCOBGO 80WP</v>
      </c>
      <c r="F2399" s="87" t="str">
        <f>IFERROR(__xludf.DUMMYFUNCTION("""COMPUTED_VALUE"""),"HH1804")</f>
        <v>HH1804</v>
      </c>
      <c r="G2399" s="87" t="str">
        <f>IFERROR(__xludf.DUMMYFUNCTION("""COMPUTED_VALUE"""),"GC - IV - 1804 - Cty SC Chemical - MANCOSUPER (bột vàng) - 1kg - 20")</f>
        <v>GC - IV - 1804 - Cty SC Chemical - MANCOSUPER (bột vàng) - 1kg - 20</v>
      </c>
    </row>
    <row r="2400">
      <c r="A2400" s="86">
        <f>IFERROR(__xludf.DUMMYFUNCTION("""COMPUTED_VALUE"""),2398.0)</f>
        <v>2398</v>
      </c>
      <c r="B2400" s="87" t="str">
        <f>IFERROR(__xludf.DUMMYFUNCTION("""COMPUTED_VALUE"""),"Nhãn")</f>
        <v>Nhãn</v>
      </c>
      <c r="C2400" s="87" t="str">
        <f>IFERROR(__xludf.DUMMYFUNCTION("""COMPUTED_VALUE"""),"NHG1805")</f>
        <v>NHG1805</v>
      </c>
      <c r="D2400" s="87" t="str">
        <f>IFERROR(__xludf.DUMMYFUNCTION("""COMPUTED_VALUE"""),"[Nhãn]  GC - IV - 1805 - Cty Agritech (Anh Trương) - CABOR PLUS+ (màu vàng mật ong) - 500ml - 40")</f>
        <v>[Nhãn]  GC - IV - 1805 - Cty Agritech (Anh Trương) - CABOR PLUS+ (màu vàng mật ong) - 500ml - 40</v>
      </c>
      <c r="E2400" s="87" t="str">
        <f>IFERROR(__xludf.DUMMYFUNCTION("""COMPUTED_VALUE"""),"Vi lượng Run Fast")</f>
        <v>Vi lượng Run Fast</v>
      </c>
      <c r="F2400" s="87" t="str">
        <f>IFERROR(__xludf.DUMMYFUNCTION("""COMPUTED_VALUE"""),"HH1805")</f>
        <v>HH1805</v>
      </c>
      <c r="G2400" s="87" t="str">
        <f>IFERROR(__xludf.DUMMYFUNCTION("""COMPUTED_VALUE"""),"GC - IV - 1805 - Cty Agritech (Anh Trương) - CABOR PLUS+ (màu vàng mật ong) - 500ml - 40")</f>
        <v>GC - IV - 1805 - Cty Agritech (Anh Trương) - CABOR PLUS+ (màu vàng mật ong) - 500ml - 40</v>
      </c>
    </row>
    <row r="2401">
      <c r="A2401" s="86">
        <f>IFERROR(__xludf.DUMMYFUNCTION("""COMPUTED_VALUE"""),2399.0)</f>
        <v>2399</v>
      </c>
      <c r="B2401" s="87" t="str">
        <f>IFERROR(__xludf.DUMMYFUNCTION("""COMPUTED_VALUE"""),"Nhãn")</f>
        <v>Nhãn</v>
      </c>
      <c r="C2401" s="87" t="str">
        <f>IFERROR(__xludf.DUMMYFUNCTION("""COMPUTED_VALUE"""),"NTN1807")</f>
        <v>NTN1807</v>
      </c>
      <c r="D2401" s="87" t="str">
        <f>IFERROR(__xludf.DUMMYFUNCTION("""COMPUTED_VALUE"""),"[Nhãn] IDA Global - I - 1807 - ĐL Vinh Hiển - DR.LIGHT (Bột trắng) - 200gr - 50")</f>
        <v>[Nhãn] IDA Global - I - 1807 - ĐL Vinh Hiển - DR.LIGHT (Bột trắng) - 200gr - 50</v>
      </c>
      <c r="E2401" s="87" t="str">
        <f>IFERROR(__xludf.DUMMYFUNCTION("""COMPUTED_VALUE"""),"THALONIL 75WP")</f>
        <v>THALONIL 75WP</v>
      </c>
      <c r="F2401" s="87" t="str">
        <f>IFERROR(__xludf.DUMMYFUNCTION("""COMPUTED_VALUE"""),"HH1807")</f>
        <v>HH1807</v>
      </c>
      <c r="G2401" s="87" t="str">
        <f>IFERROR(__xludf.DUMMYFUNCTION("""COMPUTED_VALUE"""),"IDA Global - I - 1807 - ĐL Vinh Hiển - DR.LIGHT (Bột trắng) - 200gr - 50")</f>
        <v>IDA Global - I - 1807 - ĐL Vinh Hiển - DR.LIGHT (Bột trắng) - 200gr - 50</v>
      </c>
    </row>
    <row r="2402">
      <c r="A2402" s="86">
        <f>IFERROR(__xludf.DUMMYFUNCTION("""COMPUTED_VALUE"""),2400.0)</f>
        <v>2400</v>
      </c>
      <c r="B2402" s="87" t="str">
        <f>IFERROR(__xludf.DUMMYFUNCTION("""COMPUTED_VALUE"""),"Nhãn")</f>
        <v>Nhãn</v>
      </c>
      <c r="C2402" s="87" t="str">
        <f>IFERROR(__xludf.DUMMYFUNCTION("""COMPUTED_VALUE"""),"NTN1808")</f>
        <v>NTN1808</v>
      </c>
      <c r="D2402" s="87" t="str">
        <f>IFERROR(__xludf.DUMMYFUNCTION("""COMPUTED_VALUE"""),"[Nhãn] GC - IV - 1808 - Cty Kim Ngọc - PADAN THAI (bột trắng) - 100gr - 100")</f>
        <v>[Nhãn] GC - IV - 1808 - Cty Kim Ngọc - PADAN THAI (bột trắng) - 100gr - 100</v>
      </c>
      <c r="E2402" s="87" t="str">
        <f>IFERROR(__xludf.DUMMYFUNCTION("""COMPUTED_VALUE"""),"NOSAU 85WP")</f>
        <v>NOSAU 85WP</v>
      </c>
      <c r="F2402" s="87" t="str">
        <f>IFERROR(__xludf.DUMMYFUNCTION("""COMPUTED_VALUE"""),"HH1808")</f>
        <v>HH1808</v>
      </c>
      <c r="G2402" s="87" t="str">
        <f>IFERROR(__xludf.DUMMYFUNCTION("""COMPUTED_VALUE"""),"GC - IV - 1808 - Cty Kim Ngọc - PADAN THAI (bột trắng) - 100gr - 100")</f>
        <v>GC - IV - 1808 - Cty Kim Ngọc - PADAN THAI (bột trắng) - 100gr - 100</v>
      </c>
    </row>
    <row r="2403">
      <c r="A2403" s="86">
        <f>IFERROR(__xludf.DUMMYFUNCTION("""COMPUTED_VALUE"""),2401.0)</f>
        <v>2401</v>
      </c>
      <c r="B2403" s="87" t="str">
        <f>IFERROR(__xludf.DUMMYFUNCTION("""COMPUTED_VALUE"""),"Nhãn")</f>
        <v>Nhãn</v>
      </c>
      <c r="C2403" s="87" t="str">
        <f>IFERROR(__xludf.DUMMYFUNCTION("""COMPUTED_VALUE"""),"NHG1809")</f>
        <v>NHG1809</v>
      </c>
      <c r="D2403" s="87" t="str">
        <f>IFERROR(__xludf.DUMMYFUNCTION("""COMPUTED_VALUE"""),"[Nhãn] GC - IV - 1809 - Hóa Nông Shino - KAMYCINJAPANE 20SL (nước xanh lá) - 450ml - 30")</f>
        <v>[Nhãn] GC - IV - 1809 - Hóa Nông Shino - KAMYCINJAPANE 20SL (nước xanh lá) - 450ml - 30</v>
      </c>
      <c r="E2403" s="87" t="str">
        <f>IFERROR(__xludf.DUMMYFUNCTION("""COMPUTED_VALUE"""),"Kamycinjapane 20SL")</f>
        <v>Kamycinjapane 20SL</v>
      </c>
      <c r="F2403" s="87" t="str">
        <f>IFERROR(__xludf.DUMMYFUNCTION("""COMPUTED_VALUE"""),"HH1809")</f>
        <v>HH1809</v>
      </c>
      <c r="G2403" s="87" t="str">
        <f>IFERROR(__xludf.DUMMYFUNCTION("""COMPUTED_VALUE"""),"GC - IV - 1809 - Hóa Nông Shino - KAMYCINJAPANE 20SL (nước xanh lá) - 450ml - 30")</f>
        <v>GC - IV - 1809 - Hóa Nông Shino - KAMYCINJAPANE 20SL (nước xanh lá) - 450ml - 30</v>
      </c>
    </row>
    <row r="2404">
      <c r="A2404" s="86">
        <f>IFERROR(__xludf.DUMMYFUNCTION("""COMPUTED_VALUE"""),2402.0)</f>
        <v>2402</v>
      </c>
      <c r="B2404" s="87" t="str">
        <f>IFERROR(__xludf.DUMMYFUNCTION("""COMPUTED_VALUE"""),"Nhãn")</f>
        <v>Nhãn</v>
      </c>
      <c r="C2404" s="87" t="str">
        <f>IFERROR(__xludf.DUMMYFUNCTION("""COMPUTED_VALUE"""),"NHG1811")</f>
        <v>NHG1811</v>
      </c>
      <c r="D2404" s="87" t="str">
        <f>IFERROR(__xludf.DUMMYFUNCTION("""COMPUTED_VALUE"""),"[Nhãn] GC - IV - 1811 - Hóa Nông Shino - SHINOVIL (nước hồng) - 1L - 20")</f>
        <v>[Nhãn] GC - IV - 1811 - Hóa Nông Shino - SHINOVIL (nước hồng) - 1L - 20</v>
      </c>
      <c r="E2404" s="87" t="str">
        <f>IFERROR(__xludf.DUMMYFUNCTION("""COMPUTED_VALUE"""),"Mekongvil 5SC")</f>
        <v>Mekongvil 5SC</v>
      </c>
      <c r="F2404" s="87" t="str">
        <f>IFERROR(__xludf.DUMMYFUNCTION("""COMPUTED_VALUE"""),"HH1811")</f>
        <v>HH1811</v>
      </c>
      <c r="G2404" s="87" t="str">
        <f>IFERROR(__xludf.DUMMYFUNCTION("""COMPUTED_VALUE"""),"GC - IV - 1811 - Hóa Nông Shino - SHINOVIL (nước hồng) - 1L - 20")</f>
        <v>GC - IV - 1811 - Hóa Nông Shino - SHINOVIL (nước hồng) - 1L - 20</v>
      </c>
    </row>
    <row r="2405">
      <c r="A2405" s="86">
        <f>IFERROR(__xludf.DUMMYFUNCTION("""COMPUTED_VALUE"""),2403.0)</f>
        <v>2403</v>
      </c>
      <c r="B2405" s="87" t="str">
        <f>IFERROR(__xludf.DUMMYFUNCTION("""COMPUTED_VALUE"""),"Nhãn")</f>
        <v>Nhãn</v>
      </c>
      <c r="C2405" s="87" t="str">
        <f>IFERROR(__xludf.DUMMYFUNCTION("""COMPUTED_VALUE"""),"NHG1812")</f>
        <v>NHG1812</v>
      </c>
      <c r="D2405" s="87" t="str">
        <f>IFERROR(__xludf.DUMMYFUNCTION("""COMPUTED_VALUE"""),"[Nhãn] GC - IV - 1812 - Hóa Nông Shino - Pyxoate  44EC (nước đỏ) - 450ml - 30")</f>
        <v>[Nhãn] GC - IV - 1812 - Hóa Nông Shino - Pyxoate  44EC (nước đỏ) - 450ml - 30</v>
      </c>
      <c r="E2405" s="87" t="str">
        <f>IFERROR(__xludf.DUMMYFUNCTION("""COMPUTED_VALUE"""),"PYXOATE 44EC")</f>
        <v>PYXOATE 44EC</v>
      </c>
      <c r="F2405" s="87" t="str">
        <f>IFERROR(__xludf.DUMMYFUNCTION("""COMPUTED_VALUE"""),"HH1812")</f>
        <v>HH1812</v>
      </c>
      <c r="G2405" s="87" t="str">
        <f>IFERROR(__xludf.DUMMYFUNCTION("""COMPUTED_VALUE"""),"GC - IV - 1812 - Hóa Nông Shino - Pyxoate  44EC (nước đỏ) - 450ml - 30")</f>
        <v>GC - IV - 1812 - Hóa Nông Shino - Pyxoate  44EC (nước đỏ) - 450ml - 30</v>
      </c>
    </row>
    <row r="2406">
      <c r="A2406" s="86">
        <f>IFERROR(__xludf.DUMMYFUNCTION("""COMPUTED_VALUE"""),2404.0)</f>
        <v>2404</v>
      </c>
      <c r="B2406" s="87" t="str">
        <f>IFERROR(__xludf.DUMMYFUNCTION("""COMPUTED_VALUE"""),"Nhãn")</f>
        <v>Nhãn</v>
      </c>
      <c r="C2406" s="87" t="str">
        <f>IFERROR(__xludf.DUMMYFUNCTION("""COMPUTED_VALUE"""),"NTN1813")</f>
        <v>NTN1813</v>
      </c>
      <c r="D2406" s="87" t="str">
        <f>IFERROR(__xludf.DUMMYFUNCTION("""COMPUTED_VALUE"""),"[Nhãn] GC - IV - 1813 - Cty PGT - MANCOBGO 80WP (Bột xanh) - 1kg - 20")</f>
        <v>[Nhãn] GC - IV - 1813 - Cty PGT - MANCOBGO 80WP (Bột xanh) - 1kg - 20</v>
      </c>
      <c r="E2406" s="87" t="str">
        <f>IFERROR(__xludf.DUMMYFUNCTION("""COMPUTED_VALUE"""),"MANCOBGO 80WP")</f>
        <v>MANCOBGO 80WP</v>
      </c>
      <c r="F2406" s="87" t="str">
        <f>IFERROR(__xludf.DUMMYFUNCTION("""COMPUTED_VALUE"""),"HH1813")</f>
        <v>HH1813</v>
      </c>
      <c r="G2406" s="87" t="str">
        <f>IFERROR(__xludf.DUMMYFUNCTION("""COMPUTED_VALUE"""),"GC - IV - 1813 - Cty PGT - MANCOBGO 80WP (Bột xanh) - 1kg - 20")</f>
        <v>GC - IV - 1813 - Cty PGT - MANCOBGO 80WP (Bột xanh) - 1kg - 20</v>
      </c>
    </row>
    <row r="2407">
      <c r="A2407" s="86">
        <f>IFERROR(__xludf.DUMMYFUNCTION("""COMPUTED_VALUE"""),2405.0)</f>
        <v>2405</v>
      </c>
      <c r="B2407" s="87" t="str">
        <f>IFERROR(__xludf.DUMMYFUNCTION("""COMPUTED_VALUE"""),"Nhãn thùng")</f>
        <v>Nhãn thùng</v>
      </c>
      <c r="C2407" s="87" t="str">
        <f>IFERROR(__xludf.DUMMYFUNCTION("""COMPUTED_VALUE"""),"NDT1813")</f>
        <v>NDT1813</v>
      </c>
      <c r="D2407" s="87" t="str">
        <f>IFERROR(__xludf.DUMMYFUNCTION("""COMPUTED_VALUE"""),"[Nhãn thùng] GC - IV - 1813 - Cty PGT - MANCOBGO 80WP (Bột xanh) - 1kg - 20")</f>
        <v>[Nhãn thùng] GC - IV - 1813 - Cty PGT - MANCOBGO 80WP (Bột xanh) - 1kg - 20</v>
      </c>
      <c r="E2407" s="87" t="str">
        <f>IFERROR(__xludf.DUMMYFUNCTION("""COMPUTED_VALUE"""),"MANCOBGO 80WP")</f>
        <v>MANCOBGO 80WP</v>
      </c>
      <c r="F2407" s="87" t="str">
        <f>IFERROR(__xludf.DUMMYFUNCTION("""COMPUTED_VALUE"""),"HH1813")</f>
        <v>HH1813</v>
      </c>
      <c r="G2407" s="87" t="str">
        <f>IFERROR(__xludf.DUMMYFUNCTION("""COMPUTED_VALUE"""),"GC - IV - 1813 - Cty PGT - MANCOBGO 80WP (Bột xanh) - 1kg - 20")</f>
        <v>GC - IV - 1813 - Cty PGT - MANCOBGO 80WP (Bột xanh) - 1kg - 20</v>
      </c>
    </row>
    <row r="2408">
      <c r="A2408" s="86">
        <f>IFERROR(__xludf.DUMMYFUNCTION("""COMPUTED_VALUE"""),2406.0)</f>
        <v>2406</v>
      </c>
      <c r="B2408" s="87" t="str">
        <f>IFERROR(__xludf.DUMMYFUNCTION("""COMPUTED_VALUE"""),"Nhãn")</f>
        <v>Nhãn</v>
      </c>
      <c r="C2408" s="87" t="str">
        <f>IFERROR(__xludf.DUMMYFUNCTION("""COMPUTED_VALUE"""),"NTN1814")</f>
        <v>NTN1814</v>
      </c>
      <c r="D2408" s="87" t="str">
        <f>IFERROR(__xludf.DUMMYFUNCTION("""COMPUTED_VALUE"""),"[Nhãn]  IDA Global - I - 1814 - SUPER IMI10 (Bột màu trắng) - 100gr - 100")</f>
        <v>[Nhãn]  IDA Global - I - 1814 - SUPER IMI10 (Bột màu trắng) - 100gr - 100</v>
      </c>
      <c r="E2408" s="87" t="str">
        <f>IFERROR(__xludf.DUMMYFUNCTION("""COMPUTED_VALUE"""),"IMIPRID 10WP")</f>
        <v>IMIPRID 10WP</v>
      </c>
      <c r="F2408" s="87" t="str">
        <f>IFERROR(__xludf.DUMMYFUNCTION("""COMPUTED_VALUE"""),"HH1814")</f>
        <v>HH1814</v>
      </c>
      <c r="G2408" s="87" t="str">
        <f>IFERROR(__xludf.DUMMYFUNCTION("""COMPUTED_VALUE"""),"IDA Global - I - 1814 - SUPER IMI10 (Bột màu trắng) - 100gr - 100")</f>
        <v>IDA Global - I - 1814 - SUPER IMI10 (Bột màu trắng) - 100gr - 100</v>
      </c>
    </row>
    <row r="2409">
      <c r="A2409" s="86">
        <f>IFERROR(__xludf.DUMMYFUNCTION("""COMPUTED_VALUE"""),2407.0)</f>
        <v>2407</v>
      </c>
      <c r="B2409" s="87" t="str">
        <f>IFERROR(__xludf.DUMMYFUNCTION("""COMPUTED_VALUE"""),"Nhãn")</f>
        <v>Nhãn</v>
      </c>
      <c r="C2409" s="87" t="str">
        <f>IFERROR(__xludf.DUMMYFUNCTION("""COMPUTED_VALUE"""),"NHG1816")</f>
        <v>NHG1816</v>
      </c>
      <c r="D2409" s="87" t="str">
        <f>IFERROR(__xludf.DUMMYFUNCTION("""COMPUTED_VALUE"""),"[Nhãn]  GC - II - 1816 - Cty Hương Nông (A.Tùng) - Siêu Bung Đọt (nước nâu đen) - 500ml - 40")</f>
        <v>[Nhãn]  GC - II - 1816 - Cty Hương Nông (A.Tùng) - Siêu Bung Đọt (nước nâu đen) - 500ml - 40</v>
      </c>
      <c r="E2409" s="87" t="str">
        <f>IFERROR(__xludf.DUMMYFUNCTION("""COMPUTED_VALUE"""),"Vi lượng Quantity New")</f>
        <v>Vi lượng Quantity New</v>
      </c>
      <c r="F2409" s="87" t="str">
        <f>IFERROR(__xludf.DUMMYFUNCTION("""COMPUTED_VALUE"""),"HH1816")</f>
        <v>HH1816</v>
      </c>
      <c r="G2409" s="87" t="str">
        <f>IFERROR(__xludf.DUMMYFUNCTION("""COMPUTED_VALUE"""),"GC - II - 1816 - Cty Hương Nông (A.Tùng) - Siêu Bung Đọt (nước nâu đen) - 500ml - 40")</f>
        <v>GC - II - 1816 - Cty Hương Nông (A.Tùng) - Siêu Bung Đọt (nước nâu đen) - 500ml - 40</v>
      </c>
    </row>
    <row r="2410">
      <c r="A2410" s="86">
        <f>IFERROR(__xludf.DUMMYFUNCTION("""COMPUTED_VALUE"""),2408.0)</f>
        <v>2408</v>
      </c>
      <c r="B2410" s="87" t="str">
        <f>IFERROR(__xludf.DUMMYFUNCTION("""COMPUTED_VALUE"""),"Nhãn")</f>
        <v>Nhãn</v>
      </c>
      <c r="C2410" s="87" t="str">
        <f>IFERROR(__xludf.DUMMYFUNCTION("""COMPUTED_VALUE"""),"NHG1817")</f>
        <v>NHG1817</v>
      </c>
      <c r="D2410" s="87" t="str">
        <f>IFERROR(__xludf.DUMMYFUNCTION("""COMPUTED_VALUE"""),"[Nhãn] GC - IV - 1817 - Cty Hitaco - Siêu Sâu (nước vàng trà) - 450ml - 40")</f>
        <v>[Nhãn] GC - IV - 1817 - Cty Hitaco - Siêu Sâu (nước vàng trà) - 450ml - 40</v>
      </c>
      <c r="E2410" s="87" t="str">
        <f>IFERROR(__xludf.DUMMYFUNCTION("""COMPUTED_VALUE"""),"PRODIFE'S 5.8EC")</f>
        <v>PRODIFE'S 5.8EC</v>
      </c>
      <c r="F2410" s="87" t="str">
        <f>IFERROR(__xludf.DUMMYFUNCTION("""COMPUTED_VALUE"""),"HH1817")</f>
        <v>HH1817</v>
      </c>
      <c r="G2410" s="87" t="str">
        <f>IFERROR(__xludf.DUMMYFUNCTION("""COMPUTED_VALUE"""),"GC - IV - 1817 - Cty Hitaco - Siêu Sâu (nước vàng trà) - 450ml - 40")</f>
        <v>GC - IV - 1817 - Cty Hitaco - Siêu Sâu (nước vàng trà) - 450ml - 40</v>
      </c>
    </row>
    <row r="2411">
      <c r="A2411" s="86">
        <f>IFERROR(__xludf.DUMMYFUNCTION("""COMPUTED_VALUE"""),2409.0)</f>
        <v>2409</v>
      </c>
      <c r="B2411" s="87" t="str">
        <f>IFERROR(__xludf.DUMMYFUNCTION("""COMPUTED_VALUE"""),"Nhãn")</f>
        <v>Nhãn</v>
      </c>
      <c r="C2411" s="87" t="str">
        <f>IFERROR(__xludf.DUMMYFUNCTION("""COMPUTED_VALUE"""),"NTN1818")</f>
        <v>NTN1818</v>
      </c>
      <c r="D2411" s="87" t="str">
        <f>IFERROR(__xludf.DUMMYFUNCTION("""COMPUTED_VALUE"""),"[Nhãn] LOT IDA Global - I - 1818 - ĐL Hồng Liệt - MANCOZEB XANH (bột xanh) - 1kg - 20")</f>
        <v>[Nhãn] LOT IDA Global - I - 1818 - ĐL Hồng Liệt - MANCOZEB XANH (bột xanh) - 1kg - 20</v>
      </c>
      <c r="E2411" s="87" t="str">
        <f>IFERROR(__xludf.DUMMYFUNCTION("""COMPUTED_VALUE"""),"MANCOBGO 80WP")</f>
        <v>MANCOBGO 80WP</v>
      </c>
      <c r="F2411" s="87" t="str">
        <f>IFERROR(__xludf.DUMMYFUNCTION("""COMPUTED_VALUE"""),"HH1818")</f>
        <v>HH1818</v>
      </c>
      <c r="G2411" s="87" t="str">
        <f>IFERROR(__xludf.DUMMYFUNCTION("""COMPUTED_VALUE"""),"LOT IDA Global - I - 1818 - ĐL Hồng Liệt - MANCOZEB XANH (bột xanh) - 1kg - 20")</f>
        <v>LOT IDA Global - I - 1818 - ĐL Hồng Liệt - MANCOZEB XANH (bột xanh) - 1kg - 20</v>
      </c>
    </row>
    <row r="2412">
      <c r="A2412" s="86">
        <f>IFERROR(__xludf.DUMMYFUNCTION("""COMPUTED_VALUE"""),2410.0)</f>
        <v>2410</v>
      </c>
      <c r="B2412" s="87" t="str">
        <f>IFERROR(__xludf.DUMMYFUNCTION("""COMPUTED_VALUE"""),"Nhãn thùng")</f>
        <v>Nhãn thùng</v>
      </c>
      <c r="C2412" s="87" t="str">
        <f>IFERROR(__xludf.DUMMYFUNCTION("""COMPUTED_VALUE"""),"NDT1818")</f>
        <v>NDT1818</v>
      </c>
      <c r="D2412" s="87" t="str">
        <f>IFERROR(__xludf.DUMMYFUNCTION("""COMPUTED_VALUE"""),"[Nhãn thùng] LOT IDA Global - I - 1818 - ĐL Hồng Liệt - MANCOZEB XANH (bột xanh) - 1kg - 20")</f>
        <v>[Nhãn thùng] LOT IDA Global - I - 1818 - ĐL Hồng Liệt - MANCOZEB XANH (bột xanh) - 1kg - 20</v>
      </c>
      <c r="E2412" s="87" t="str">
        <f>IFERROR(__xludf.DUMMYFUNCTION("""COMPUTED_VALUE"""),"MANCOBGO 80WP")</f>
        <v>MANCOBGO 80WP</v>
      </c>
      <c r="F2412" s="87" t="str">
        <f>IFERROR(__xludf.DUMMYFUNCTION("""COMPUTED_VALUE"""),"HH1818")</f>
        <v>HH1818</v>
      </c>
      <c r="G2412" s="87" t="str">
        <f>IFERROR(__xludf.DUMMYFUNCTION("""COMPUTED_VALUE"""),"LOT IDA Global - I - 1818 - ĐL Hồng Liệt - MANCOZEB XANH (bột xanh) - 1kg - 20")</f>
        <v>LOT IDA Global - I - 1818 - ĐL Hồng Liệt - MANCOZEB XANH (bột xanh) - 1kg - 20</v>
      </c>
    </row>
    <row r="2413">
      <c r="A2413" s="86">
        <f>IFERROR(__xludf.DUMMYFUNCTION("""COMPUTED_VALUE"""),2411.0)</f>
        <v>2411</v>
      </c>
      <c r="B2413" s="87" t="str">
        <f>IFERROR(__xludf.DUMMYFUNCTION("""COMPUTED_VALUE"""),"Nhãn")</f>
        <v>Nhãn</v>
      </c>
      <c r="C2413" s="87" t="str">
        <f>IFERROR(__xludf.DUMMYFUNCTION("""COMPUTED_VALUE"""),"NHG1819")</f>
        <v>NHG1819</v>
      </c>
      <c r="D2413" s="87" t="str">
        <f>IFERROR(__xludf.DUMMYFUNCTION("""COMPUTED_VALUE"""),"[Nhãn] GC - II - 1819 - Cty Lộc Phát Nông - SO LÁ (nước nâu đen) - 1L - 20")</f>
        <v>[Nhãn] GC - II - 1819 - Cty Lộc Phát Nông - SO LÁ (nước nâu đen) - 1L - 20</v>
      </c>
      <c r="E2413" s="87" t="str">
        <f>IFERROR(__xludf.DUMMYFUNCTION("""COMPUTED_VALUE"""),"Vi lượng Quantity New")</f>
        <v>Vi lượng Quantity New</v>
      </c>
      <c r="F2413" s="87" t="str">
        <f>IFERROR(__xludf.DUMMYFUNCTION("""COMPUTED_VALUE"""),"HH1819")</f>
        <v>HH1819</v>
      </c>
      <c r="G2413" s="87" t="str">
        <f>IFERROR(__xludf.DUMMYFUNCTION("""COMPUTED_VALUE"""),"GC - II - 1819 - Cty Lộc Phát Nông - SO LÁ (nước nâu đen) - 1L - 20")</f>
        <v>GC - II - 1819 - Cty Lộc Phát Nông - SO LÁ (nước nâu đen) - 1L - 20</v>
      </c>
    </row>
    <row r="2414">
      <c r="A2414" s="86">
        <f>IFERROR(__xludf.DUMMYFUNCTION("""COMPUTED_VALUE"""),2412.0)</f>
        <v>2412</v>
      </c>
      <c r="B2414" s="87" t="str">
        <f>IFERROR(__xludf.DUMMYFUNCTION("""COMPUTED_VALUE"""),"Nhãn")</f>
        <v>Nhãn</v>
      </c>
      <c r="C2414" s="87" t="str">
        <f>IFERROR(__xludf.DUMMYFUNCTION("""COMPUTED_VALUE"""),"NHG1820")</f>
        <v>NHG1820</v>
      </c>
      <c r="D2414" s="87" t="str">
        <f>IFERROR(__xludf.DUMMYFUNCTION("""COMPUTED_VALUE"""),"[Nhãn] GC - II - 1820 - Cty Lộc Phát Nông - CHADO 01 (nước xanh lơ) - 1L - 20")</f>
        <v>[Nhãn] GC - II - 1820 - Cty Lộc Phát Nông - CHADO 01 (nước xanh lơ) - 1L - 20</v>
      </c>
      <c r="E2414" s="87" t="str">
        <f>IFERROR(__xludf.DUMMYFUNCTION("""COMPUTED_VALUE"""),"Vi lượng BM-KABO")</f>
        <v>Vi lượng BM-KABO</v>
      </c>
      <c r="F2414" s="87" t="str">
        <f>IFERROR(__xludf.DUMMYFUNCTION("""COMPUTED_VALUE"""),"HH1820")</f>
        <v>HH1820</v>
      </c>
      <c r="G2414" s="87" t="str">
        <f>IFERROR(__xludf.DUMMYFUNCTION("""COMPUTED_VALUE"""),"GC - II - 1820 - Cty Lộc Phát Nông - CHADO 01 (nước xanh lơ) - 1L - 20")</f>
        <v>GC - II - 1820 - Cty Lộc Phát Nông - CHADO 01 (nước xanh lơ) - 1L - 20</v>
      </c>
    </row>
    <row r="2415">
      <c r="A2415" s="86">
        <f>IFERROR(__xludf.DUMMYFUNCTION("""COMPUTED_VALUE"""),2413.0)</f>
        <v>2413</v>
      </c>
      <c r="B2415" s="87" t="str">
        <f>IFERROR(__xludf.DUMMYFUNCTION("""COMPUTED_VALUE"""),"Nhãn")</f>
        <v>Nhãn</v>
      </c>
      <c r="C2415" s="87" t="str">
        <f>IFERROR(__xludf.DUMMYFUNCTION("""COMPUTED_VALUE"""),"NHG1821")</f>
        <v>NHG1821</v>
      </c>
      <c r="D2415" s="87" t="str">
        <f>IFERROR(__xludf.DUMMYFUNCTION("""COMPUTED_VALUE"""),"[Nhãn] GC - IV - 1821 - Cty Lộc Phát Nông - CHADO 02 (nước nâu đen) - 1L - 20")</f>
        <v>[Nhãn] GC - IV - 1821 - Cty Lộc Phát Nông - CHADO 02 (nước nâu đen) - 1L - 20</v>
      </c>
      <c r="E2415" s="87" t="str">
        <f>IFERROR(__xludf.DUMMYFUNCTION("""COMPUTED_VALUE"""),"Vi lượng Run Fast")</f>
        <v>Vi lượng Run Fast</v>
      </c>
      <c r="F2415" s="87" t="str">
        <f>IFERROR(__xludf.DUMMYFUNCTION("""COMPUTED_VALUE"""),"HH1821")</f>
        <v>HH1821</v>
      </c>
      <c r="G2415" s="87" t="str">
        <f>IFERROR(__xludf.DUMMYFUNCTION("""COMPUTED_VALUE"""),"GC - IV - 1821 - Cty Lộc Phát Nông - CHADO 02 (nước nâu đen) - 1L - 20")</f>
        <v>GC - IV - 1821 - Cty Lộc Phát Nông - CHADO 02 (nước nâu đen) - 1L - 20</v>
      </c>
    </row>
    <row r="2416">
      <c r="A2416" s="86">
        <f>IFERROR(__xludf.DUMMYFUNCTION("""COMPUTED_VALUE"""),2414.0)</f>
        <v>2414</v>
      </c>
      <c r="B2416" s="87" t="str">
        <f>IFERROR(__xludf.DUMMYFUNCTION("""COMPUTED_VALUE"""),"Nhãn")</f>
        <v>Nhãn</v>
      </c>
      <c r="C2416" s="87" t="str">
        <f>IFERROR(__xludf.DUMMYFUNCTION("""COMPUTED_VALUE"""),"NTN1822")</f>
        <v>NTN1822</v>
      </c>
      <c r="D2416" s="87" t="str">
        <f>IFERROR(__xludf.DUMMYFUNCTION("""COMPUTED_VALUE"""),"[Nhãn] GC - IV - 1822 - Cty Biotech Hà Lan - Siêu Rầy Thái (Bột trắng) - 100gr - 100")</f>
        <v>[Nhãn] GC - IV - 1822 - Cty Biotech Hà Lan - Siêu Rầy Thái (Bột trắng) - 100gr - 100</v>
      </c>
      <c r="E2416" s="87" t="str">
        <f>IFERROR(__xludf.DUMMYFUNCTION("""COMPUTED_VALUE"""),"IMIPRID 10WP")</f>
        <v>IMIPRID 10WP</v>
      </c>
      <c r="F2416" s="87" t="str">
        <f>IFERROR(__xludf.DUMMYFUNCTION("""COMPUTED_VALUE"""),"HH1822")</f>
        <v>HH1822</v>
      </c>
      <c r="G2416" s="87" t="str">
        <f>IFERROR(__xludf.DUMMYFUNCTION("""COMPUTED_VALUE"""),"GC - IV - 1822 - Cty Biotech Hà Lan - Siêu Rầy Thái (Bột trắng) - 100gr - 100")</f>
        <v>GC - IV - 1822 - Cty Biotech Hà Lan - Siêu Rầy Thái (Bột trắng) - 100gr - 100</v>
      </c>
    </row>
    <row r="2417">
      <c r="A2417" s="86">
        <f>IFERROR(__xludf.DUMMYFUNCTION("""COMPUTED_VALUE"""),2415.0)</f>
        <v>2415</v>
      </c>
      <c r="B2417" s="87" t="str">
        <f>IFERROR(__xludf.DUMMYFUNCTION("""COMPUTED_VALUE"""),"Nhãn")</f>
        <v>Nhãn</v>
      </c>
      <c r="C2417" s="87" t="str">
        <f>IFERROR(__xludf.DUMMYFUNCTION("""COMPUTED_VALUE"""),"NHG1823")</f>
        <v>NHG1823</v>
      </c>
      <c r="D2417" s="87" t="str">
        <f>IFERROR(__xludf.DUMMYFUNCTION("""COMPUTED_VALUE"""),"[Nhãn] DR.Xanh - II - 1823 - WEED KILL 300 (nước đỏ) - 900ml - 20")</f>
        <v>[Nhãn] DR.Xanh - II - 1823 - WEED KILL 300 (nước đỏ) - 900ml - 20</v>
      </c>
      <c r="E2417" s="87" t="str">
        <f>IFERROR(__xludf.DUMMYFUNCTION("""COMPUTED_VALUE"""),"Asupergras 200SL")</f>
        <v>Asupergras 200SL</v>
      </c>
      <c r="F2417" s="87" t="str">
        <f>IFERROR(__xludf.DUMMYFUNCTION("""COMPUTED_VALUE"""),"HH1823")</f>
        <v>HH1823</v>
      </c>
      <c r="G2417" s="87" t="str">
        <f>IFERROR(__xludf.DUMMYFUNCTION("""COMPUTED_VALUE"""),"DR.XANH - II - 1823 - WEED KILL 300 (nước đỏ) - 900ml - 20")</f>
        <v>DR.XANH - II - 1823 - WEED KILL 300 (nước đỏ) - 900ml - 20</v>
      </c>
    </row>
    <row r="2418">
      <c r="A2418" s="86">
        <f>IFERROR(__xludf.DUMMYFUNCTION("""COMPUTED_VALUE"""),2416.0)</f>
        <v>2416</v>
      </c>
      <c r="B2418" s="87" t="str">
        <f>IFERROR(__xludf.DUMMYFUNCTION("""COMPUTED_VALUE"""),"Nhãn")</f>
        <v>Nhãn</v>
      </c>
      <c r="C2418" s="87" t="str">
        <f>IFERROR(__xludf.DUMMYFUNCTION("""COMPUTED_VALUE"""),"NHD1824")</f>
        <v>NHD1824</v>
      </c>
      <c r="D2418" s="87" t="str">
        <f>IFERROR(__xludf.DUMMYFUNCTION("""COMPUTED_VALUE"""),"[Nhãn] GC - IV - 1824 - Chi Nông Phát - Asupergras 200SL (nước đỏ) - 4.5L - 4")</f>
        <v>[Nhãn] GC - IV - 1824 - Chi Nông Phát - Asupergras 200SL (nước đỏ) - 4.5L - 4</v>
      </c>
      <c r="E2418" s="87" t="str">
        <f>IFERROR(__xludf.DUMMYFUNCTION("""COMPUTED_VALUE"""),"Asupergras 200SL")</f>
        <v>Asupergras 200SL</v>
      </c>
      <c r="F2418" s="87" t="str">
        <f>IFERROR(__xludf.DUMMYFUNCTION("""COMPUTED_VALUE"""),"HH1824")</f>
        <v>HH1824</v>
      </c>
      <c r="G2418" s="87" t="str">
        <f>IFERROR(__xludf.DUMMYFUNCTION("""COMPUTED_VALUE"""),"GC - IV - 1824 - Chi Nông Phát - Asupergras 200SL (nước đỏ) - 4.5L - 4")</f>
        <v>GC - IV - 1824 - Chi Nông Phát - Asupergras 200SL (nước đỏ) - 4.5L - 4</v>
      </c>
    </row>
    <row r="2419">
      <c r="A2419" s="86">
        <f>IFERROR(__xludf.DUMMYFUNCTION("""COMPUTED_VALUE"""),2417.0)</f>
        <v>2417</v>
      </c>
      <c r="B2419" s="87" t="str">
        <f>IFERROR(__xludf.DUMMYFUNCTION("""COMPUTED_VALUE"""),"Nhãn")</f>
        <v>Nhãn</v>
      </c>
      <c r="C2419" s="87" t="str">
        <f>IFERROR(__xludf.DUMMYFUNCTION("""COMPUTED_VALUE"""),"NHD1825")</f>
        <v>NHD1825</v>
      </c>
      <c r="D2419" s="87" t="str">
        <f>IFERROR(__xludf.DUMMYFUNCTION("""COMPUTED_VALUE"""),"[Nhãn] NB - I - 1825 - Cty Nông Nghiệp Toàn Cầu - Cặp đôi 10 trong 1 - 250ml - 25")</f>
        <v>[Nhãn] NB - I - 1825 - Cty Nông Nghiệp Toàn Cầu - Cặp đôi 10 trong 1 - 250ml - 25</v>
      </c>
      <c r="E2419" s="87" t="str">
        <f>IFERROR(__xludf.DUMMYFUNCTION("""COMPUTED_VALUE"""),"AMILAN 300SC")</f>
        <v>AMILAN 300SC</v>
      </c>
      <c r="F2419" s="87" t="str">
        <f>IFERROR(__xludf.DUMMYFUNCTION("""COMPUTED_VALUE"""),"HH1825")</f>
        <v>HH1825</v>
      </c>
      <c r="G2419" s="87" t="str">
        <f>IFERROR(__xludf.DUMMYFUNCTION("""COMPUTED_VALUE"""),"NB - I - 1825 - Cty Nông Nghiệp Toàn Cầu - Cặp đôi 10 trong 1 - 250ml - 25")</f>
        <v>NB - I - 1825 - Cty Nông Nghiệp Toàn Cầu - Cặp đôi 10 trong 1 - 250ml - 25</v>
      </c>
    </row>
    <row r="2420">
      <c r="A2420" s="86">
        <f>IFERROR(__xludf.DUMMYFUNCTION("""COMPUTED_VALUE"""),2418.0)</f>
        <v>2418</v>
      </c>
      <c r="B2420" s="87" t="str">
        <f>IFERROR(__xludf.DUMMYFUNCTION("""COMPUTED_VALUE"""),"Nhãn")</f>
        <v>Nhãn</v>
      </c>
      <c r="C2420" s="87" t="str">
        <f>IFERROR(__xludf.DUMMYFUNCTION("""COMPUTED_VALUE"""),"NHG1826")</f>
        <v>NHG1826</v>
      </c>
      <c r="D2420" s="87" t="str">
        <f>IFERROR(__xludf.DUMMYFUNCTION("""COMPUTED_VALUE"""),"[Nhãn] GC - II - 1826 - Anh Tuấn Agri - BIOKING Plus + (nước nâu đen) - 1L - 20")</f>
        <v>[Nhãn] GC - II - 1826 - Anh Tuấn Agri - BIOKING Plus + (nước nâu đen) - 1L - 20</v>
      </c>
      <c r="E2420" s="87" t="str">
        <f>IFERROR(__xludf.DUMMYFUNCTION("""COMPUTED_VALUE"""),"Vi lượng Quantity New")</f>
        <v>Vi lượng Quantity New</v>
      </c>
      <c r="F2420" s="87" t="str">
        <f>IFERROR(__xludf.DUMMYFUNCTION("""COMPUTED_VALUE"""),"HH1826")</f>
        <v>HH1826</v>
      </c>
      <c r="G2420" s="87" t="str">
        <f>IFERROR(__xludf.DUMMYFUNCTION("""COMPUTED_VALUE"""),"GC - II - 1826 - Anh Tuấn Agri - BIOKING Plus + (nước nâu đen) - 1L - 20")</f>
        <v>GC - II - 1826 - Anh Tuấn Agri - BIOKING Plus + (nước nâu đen) - 1L - 20</v>
      </c>
    </row>
    <row r="2421">
      <c r="A2421" s="86">
        <f>IFERROR(__xludf.DUMMYFUNCTION("""COMPUTED_VALUE"""),2419.0)</f>
        <v>2419</v>
      </c>
      <c r="B2421" s="87" t="str">
        <f>IFERROR(__xludf.DUMMYFUNCTION("""COMPUTED_VALUE"""),"Nhãn")</f>
        <v>Nhãn</v>
      </c>
      <c r="C2421" s="87" t="str">
        <f>IFERROR(__xludf.DUMMYFUNCTION("""COMPUTED_VALUE"""),"NHD1828")</f>
        <v>NHD1828</v>
      </c>
      <c r="D2421" s="87" t="str">
        <f>IFERROR(__xludf.DUMMYFUNCTION("""COMPUTED_VALUE"""),"[Nhãn] NB - I - 1828 - Cty Nông Nghiệp Toàn Cầu - Cặp đôi 10 trong 1 - 250ml - 25")</f>
        <v>[Nhãn] NB - I - 1828 - Cty Nông Nghiệp Toàn Cầu - Cặp đôi 10 trong 1 - 250ml - 25</v>
      </c>
      <c r="E2421" s="87" t="str">
        <f>IFERROR(__xludf.DUMMYFUNCTION("""COMPUTED_VALUE"""),"KAGOMI 3SL")</f>
        <v>KAGOMI 3SL</v>
      </c>
      <c r="F2421" s="87" t="str">
        <f>IFERROR(__xludf.DUMMYFUNCTION("""COMPUTED_VALUE"""),"HH1828")</f>
        <v>HH1828</v>
      </c>
      <c r="G2421" s="87" t="str">
        <f>IFERROR(__xludf.DUMMYFUNCTION("""COMPUTED_VALUE"""),"NB - I - 1828 - Cty Nông Nghiệp Toàn Cầu - Cặp đôi 10 trong 1 - 250ml - 25")</f>
        <v>NB - I - 1828 - Cty Nông Nghiệp Toàn Cầu - Cặp đôi 10 trong 1 - 250ml - 25</v>
      </c>
    </row>
    <row r="2422">
      <c r="A2422" s="86">
        <f>IFERROR(__xludf.DUMMYFUNCTION("""COMPUTED_VALUE"""),2420.0)</f>
        <v>2420</v>
      </c>
      <c r="B2422" s="87" t="str">
        <f>IFERROR(__xludf.DUMMYFUNCTION("""COMPUTED_VALUE"""),"HỘP")</f>
        <v>HỘP</v>
      </c>
      <c r="C2422" s="87" t="str">
        <f>IFERROR(__xludf.DUMMYFUNCTION("""COMPUTED_VALUE"""),"HOP1829")</f>
        <v>HOP1829</v>
      </c>
      <c r="D2422" s="87" t="str">
        <f>IFERROR(__xludf.DUMMYFUNCTION("""COMPUTED_VALUE"""),"[HOP] NB - I - 1829 - Cty Nông Nghiệp Toàn Cầu - ĐẠO ÔN - 250ml - 20")</f>
        <v>[HOP] NB - I - 1829 - Cty Nông Nghiệp Toàn Cầu - ĐẠO ÔN - 250ml - 20</v>
      </c>
      <c r="E2422" s="87" t="str">
        <f>IFERROR(__xludf.DUMMYFUNCTION("""COMPUTED_VALUE"""),"AMILAN 300SC")</f>
        <v>AMILAN 300SC</v>
      </c>
      <c r="F2422" s="87" t="str">
        <f>IFERROR(__xludf.DUMMYFUNCTION("""COMPUTED_VALUE"""),"HH1829")</f>
        <v>HH1829</v>
      </c>
      <c r="G2422" s="87" t="str">
        <f>IFERROR(__xludf.DUMMYFUNCTION("""COMPUTED_VALUE"""),"NB - I - 1829 - Cty Nông Nghiệp Toàn Cầu - ĐẠO ÔN - 250ml - 20")</f>
        <v>NB - I - 1829 - Cty Nông Nghiệp Toàn Cầu - ĐẠO ÔN - 250ml - 20</v>
      </c>
    </row>
    <row r="2423">
      <c r="A2423" s="86">
        <f>IFERROR(__xludf.DUMMYFUNCTION("""COMPUTED_VALUE"""),2421.0)</f>
        <v>2421</v>
      </c>
      <c r="B2423" s="87" t="str">
        <f>IFERROR(__xludf.DUMMYFUNCTION("""COMPUTED_VALUE"""),"Nhãn")</f>
        <v>Nhãn</v>
      </c>
      <c r="C2423" s="87" t="str">
        <f>IFERROR(__xludf.DUMMYFUNCTION("""COMPUTED_VALUE"""),"NHG1829")</f>
        <v>NHG1829</v>
      </c>
      <c r="D2423" s="87" t="str">
        <f>IFERROR(__xludf.DUMMYFUNCTION("""COMPUTED_VALUE"""),"[Nhãn] NB - I - 1829 - Cty Nông Nghiệp Toàn Cầu - ĐẠO ÔN - 250ml - 20")</f>
        <v>[Nhãn] NB - I - 1829 - Cty Nông Nghiệp Toàn Cầu - ĐẠO ÔN - 250ml - 20</v>
      </c>
      <c r="E2423" s="87" t="str">
        <f>IFERROR(__xludf.DUMMYFUNCTION("""COMPUTED_VALUE"""),"AMILAN 300SC")</f>
        <v>AMILAN 300SC</v>
      </c>
      <c r="F2423" s="87" t="str">
        <f>IFERROR(__xludf.DUMMYFUNCTION("""COMPUTED_VALUE"""),"HH1829")</f>
        <v>HH1829</v>
      </c>
      <c r="G2423" s="87" t="str">
        <f>IFERROR(__xludf.DUMMYFUNCTION("""COMPUTED_VALUE"""),"NB - I - 1829 - Cty Nông Nghiệp Toàn Cầu - ĐẠO ÔN - 250ml - 20")</f>
        <v>NB - I - 1829 - Cty Nông Nghiệp Toàn Cầu - ĐẠO ÔN - 250ml - 20</v>
      </c>
    </row>
    <row r="2424">
      <c r="A2424" s="86">
        <f>IFERROR(__xludf.DUMMYFUNCTION("""COMPUTED_VALUE"""),2422.0)</f>
        <v>2422</v>
      </c>
      <c r="B2424" s="87" t="str">
        <f>IFERROR(__xludf.DUMMYFUNCTION("""COMPUTED_VALUE"""),"Nhãn")</f>
        <v>Nhãn</v>
      </c>
      <c r="C2424" s="87" t="str">
        <f>IFERROR(__xludf.DUMMYFUNCTION("""COMPUTED_VALUE"""),"NHG1830")</f>
        <v>NHG1830</v>
      </c>
      <c r="D2424" s="87" t="str">
        <f>IFERROR(__xludf.DUMMYFUNCTION("""COMPUTED_VALUE"""),"[Nhãn] NB - I - 1830 - Cty Nông Nghiệp Toàn Cầu - Vi Khuẩn - 250ml - 20")</f>
        <v>[Nhãn] NB - I - 1830 - Cty Nông Nghiệp Toàn Cầu - Vi Khuẩn - 250ml - 20</v>
      </c>
      <c r="E2424" s="87" t="str">
        <f>IFERROR(__xludf.DUMMYFUNCTION("""COMPUTED_VALUE"""),"KAGOMI 3SL")</f>
        <v>KAGOMI 3SL</v>
      </c>
      <c r="F2424" s="87" t="str">
        <f>IFERROR(__xludf.DUMMYFUNCTION("""COMPUTED_VALUE"""),"HH1830")</f>
        <v>HH1830</v>
      </c>
      <c r="G2424" s="87" t="str">
        <f>IFERROR(__xludf.DUMMYFUNCTION("""COMPUTED_VALUE"""),"NB - I - 1830 - Cty Nông Nghiệp Toàn Cầu - Vi Khuẩn - 250ml - 20")</f>
        <v>NB - I - 1830 - Cty Nông Nghiệp Toàn Cầu - Vi Khuẩn - 250ml - 20</v>
      </c>
    </row>
    <row r="2425">
      <c r="A2425" s="86">
        <f>IFERROR(__xludf.DUMMYFUNCTION("""COMPUTED_VALUE"""),2423.0)</f>
        <v>2423</v>
      </c>
      <c r="B2425" s="87" t="str">
        <f>IFERROR(__xludf.DUMMYFUNCTION("""COMPUTED_VALUE"""),"Nhãn")</f>
        <v>Nhãn</v>
      </c>
      <c r="C2425" s="87" t="str">
        <f>IFERROR(__xludf.DUMMYFUNCTION("""COMPUTED_VALUE"""),"NHG1834")</f>
        <v>NHG1834</v>
      </c>
      <c r="D2425" s="87" t="str">
        <f>IFERROR(__xludf.DUMMYFUNCTION("""COMPUTED_VALUE"""),"[Nhãn]  GC - II - 1834 - Cty Thành Công Agri - MASTER STOP (nước nâu đen V2) - 1L - 20")</f>
        <v>[Nhãn]  GC - II - 1834 - Cty Thành Công Agri - MASTER STOP (nước nâu đen V2) - 1L - 20</v>
      </c>
      <c r="E2425" s="87" t="str">
        <f>IFERROR(__xludf.DUMMYFUNCTION("""COMPUTED_VALUE"""),"Vi lượng Quantity New")</f>
        <v>Vi lượng Quantity New</v>
      </c>
      <c r="F2425" s="87" t="str">
        <f>IFERROR(__xludf.DUMMYFUNCTION("""COMPUTED_VALUE"""),"HH1834")</f>
        <v>HH1834</v>
      </c>
      <c r="G2425" s="87" t="str">
        <f>IFERROR(__xludf.DUMMYFUNCTION("""COMPUTED_VALUE"""),"GC - II - 1834 - Cty Thành Công Agri - MASTER STOP (nước nâu đen V2) - 1L - 20")</f>
        <v>GC - II - 1834 - Cty Thành Công Agri - MASTER STOP (nước nâu đen V2) - 1L - 20</v>
      </c>
    </row>
    <row r="2426">
      <c r="A2426" s="86">
        <f>IFERROR(__xludf.DUMMYFUNCTION("""COMPUTED_VALUE"""),2424.0)</f>
        <v>2424</v>
      </c>
      <c r="B2426" s="87" t="str">
        <f>IFERROR(__xludf.DUMMYFUNCTION("""COMPUTED_VALUE"""),"Nhãn")</f>
        <v>Nhãn</v>
      </c>
      <c r="C2426" s="87" t="str">
        <f>IFERROR(__xludf.DUMMYFUNCTION("""COMPUTED_VALUE"""),"NHD1835")</f>
        <v>NHD1835</v>
      </c>
      <c r="D2426" s="87" t="str">
        <f>IFERROR(__xludf.DUMMYFUNCTION("""COMPUTED_VALUE"""),"[Nhãn]  GC - IV - 1835 - Cty Lộc Phát Nông - PHOSPHAI88 (nước nâu đen) - 25kg - 1")</f>
        <v>[Nhãn]  GC - IV - 1835 - Cty Lộc Phát Nông - PHOSPHAI88 (nước nâu đen) - 25kg - 1</v>
      </c>
      <c r="E2426" s="87" t="str">
        <f>IFERROR(__xludf.DUMMYFUNCTION("""COMPUTED_VALUE"""),"Vi lượng Run Fast")</f>
        <v>Vi lượng Run Fast</v>
      </c>
      <c r="F2426" s="87" t="str">
        <f>IFERROR(__xludf.DUMMYFUNCTION("""COMPUTED_VALUE"""),"HH1835")</f>
        <v>HH1835</v>
      </c>
      <c r="G2426" s="87" t="str">
        <f>IFERROR(__xludf.DUMMYFUNCTION("""COMPUTED_VALUE"""),"GC - IV - 1835 - Cty Lộc Phát Nông - PHOSPHAI88 (nước nâu đen) - 25kg - 1")</f>
        <v>GC - IV - 1835 - Cty Lộc Phát Nông - PHOSPHAI88 (nước nâu đen) - 25kg - 1</v>
      </c>
    </row>
    <row r="2427">
      <c r="A2427" s="86">
        <f>IFERROR(__xludf.DUMMYFUNCTION("""COMPUTED_VALUE"""),2425.0)</f>
        <v>2425</v>
      </c>
      <c r="B2427" s="87" t="str">
        <f>IFERROR(__xludf.DUMMYFUNCTION("""COMPUTED_VALUE"""),"Nhãn")</f>
        <v>Nhãn</v>
      </c>
      <c r="C2427" s="87" t="str">
        <f>IFERROR(__xludf.DUMMYFUNCTION("""COMPUTED_VALUE"""),"NTN1836")</f>
        <v>NTN1836</v>
      </c>
      <c r="D2427" s="87" t="str">
        <f>IFERROR(__xludf.DUMMYFUNCTION("""COMPUTED_VALUE"""),"[Nhãn] GC - II - 1836 - Anh Tuấn Agri - NOSAU 85WP (bột trắng) - 100gr - 150")</f>
        <v>[Nhãn] GC - II - 1836 - Anh Tuấn Agri - NOSAU 85WP (bột trắng) - 100gr - 150</v>
      </c>
      <c r="E2427" s="87" t="str">
        <f>IFERROR(__xludf.DUMMYFUNCTION("""COMPUTED_VALUE"""),"NOSAU 85WP")</f>
        <v>NOSAU 85WP</v>
      </c>
      <c r="F2427" s="87" t="str">
        <f>IFERROR(__xludf.DUMMYFUNCTION("""COMPUTED_VALUE"""),"HH1836")</f>
        <v>HH1836</v>
      </c>
      <c r="G2427" s="87" t="str">
        <f>IFERROR(__xludf.DUMMYFUNCTION("""COMPUTED_VALUE"""),"GC - II - 1836 - Anh Tuấn Agri - NOSAU 85WP (bột trắng) - 100gr - 150")</f>
        <v>GC - II - 1836 - Anh Tuấn Agri - NOSAU 85WP (bột trắng) - 100gr - 150</v>
      </c>
    </row>
    <row r="2428">
      <c r="A2428" s="86">
        <f>IFERROR(__xludf.DUMMYFUNCTION("""COMPUTED_VALUE"""),2426.0)</f>
        <v>2426</v>
      </c>
      <c r="B2428" s="87" t="str">
        <f>IFERROR(__xludf.DUMMYFUNCTION("""COMPUTED_VALUE"""),"Nhãn")</f>
        <v>Nhãn</v>
      </c>
      <c r="C2428" s="87" t="str">
        <f>IFERROR(__xludf.DUMMYFUNCTION("""COMPUTED_VALUE"""),"NHG1837")</f>
        <v>NHG1837</v>
      </c>
      <c r="D2428" s="87" t="str">
        <f>IFERROR(__xludf.DUMMYFUNCTION("""COMPUTED_VALUE"""),"[Nhãn] GC - II - 1837 - Anh Tuấn Agri - AGRI TA01 (nước nâu đen) - 1L - 20")</f>
        <v>[Nhãn] GC - II - 1837 - Anh Tuấn Agri - AGRI TA01 (nước nâu đen) - 1L - 20</v>
      </c>
      <c r="E2428" s="87" t="str">
        <f>IFERROR(__xludf.DUMMYFUNCTION("""COMPUTED_VALUE"""),"Vi lượng Quantity New")</f>
        <v>Vi lượng Quantity New</v>
      </c>
      <c r="F2428" s="87" t="str">
        <f>IFERROR(__xludf.DUMMYFUNCTION("""COMPUTED_VALUE"""),"HH1837")</f>
        <v>HH1837</v>
      </c>
      <c r="G2428" s="87" t="str">
        <f>IFERROR(__xludf.DUMMYFUNCTION("""COMPUTED_VALUE"""),"GC - II - 1837 - Anh Tuấn Agri - AGRI TA01 (nước nâu đen) - 1L - 20")</f>
        <v>GC - II - 1837 - Anh Tuấn Agri - AGRI TA01 (nước nâu đen) - 1L - 20</v>
      </c>
    </row>
    <row r="2429">
      <c r="A2429" s="86">
        <f>IFERROR(__xludf.DUMMYFUNCTION("""COMPUTED_VALUE"""),2427.0)</f>
        <v>2427</v>
      </c>
      <c r="B2429" s="87" t="str">
        <f>IFERROR(__xludf.DUMMYFUNCTION("""COMPUTED_VALUE"""),"Nhãn")</f>
        <v>Nhãn</v>
      </c>
      <c r="C2429" s="87" t="str">
        <f>IFERROR(__xludf.DUMMYFUNCTION("""COMPUTED_VALUE"""),"NHG1838")</f>
        <v>NHG1838</v>
      </c>
      <c r="D2429" s="87" t="str">
        <f>IFERROR(__xludf.DUMMYFUNCTION("""COMPUTED_VALUE"""),"[Nhãn] GC - IV - 1838 - Cty VNT Mekong - Trâu Đỏ (nước đỏ) - 900ml - 20")</f>
        <v>[Nhãn] GC - IV - 1838 - Cty VNT Mekong - Trâu Đỏ (nước đỏ) - 900ml - 20</v>
      </c>
      <c r="E2429" s="87" t="str">
        <f>IFERROR(__xludf.DUMMYFUNCTION("""COMPUTED_VALUE"""),"Asupergras 200SL")</f>
        <v>Asupergras 200SL</v>
      </c>
      <c r="F2429" s="87" t="str">
        <f>IFERROR(__xludf.DUMMYFUNCTION("""COMPUTED_VALUE"""),"HH1838")</f>
        <v>HH1838</v>
      </c>
      <c r="G2429" s="87" t="str">
        <f>IFERROR(__xludf.DUMMYFUNCTION("""COMPUTED_VALUE"""),"GC - IV - 1838 - Cty VNT Mekong - Trâu Đỏ (nước đỏ) - 900ml - 20")</f>
        <v>GC - IV - 1838 - Cty VNT Mekong - Trâu Đỏ (nước đỏ) - 900ml - 20</v>
      </c>
    </row>
    <row r="2430">
      <c r="A2430" s="86">
        <f>IFERROR(__xludf.DUMMYFUNCTION("""COMPUTED_VALUE"""),2428.0)</f>
        <v>2428</v>
      </c>
      <c r="B2430" s="87" t="str">
        <f>IFERROR(__xludf.DUMMYFUNCTION("""COMPUTED_VALUE"""),"Nhãn")</f>
        <v>Nhãn</v>
      </c>
      <c r="C2430" s="87" t="str">
        <f>IFERROR(__xludf.DUMMYFUNCTION("""COMPUTED_VALUE"""),"NHG1839")</f>
        <v>NHG1839</v>
      </c>
      <c r="D2430" s="87" t="str">
        <f>IFERROR(__xludf.DUMMYFUNCTION("""COMPUTED_VALUE"""),"[Nhãn]  GC - IV - 1839 - Cty Hitaco - Pyxoate 44EC (nước vàng) - 450ml - 40")</f>
        <v>[Nhãn]  GC - IV - 1839 - Cty Hitaco - Pyxoate 44EC (nước vàng) - 450ml - 40</v>
      </c>
      <c r="E2430" s="87" t="str">
        <f>IFERROR(__xludf.DUMMYFUNCTION("""COMPUTED_VALUE"""),"PYXOATE 44EC")</f>
        <v>PYXOATE 44EC</v>
      </c>
      <c r="F2430" s="87" t="str">
        <f>IFERROR(__xludf.DUMMYFUNCTION("""COMPUTED_VALUE"""),"HH1839")</f>
        <v>HH1839</v>
      </c>
      <c r="G2430" s="87" t="str">
        <f>IFERROR(__xludf.DUMMYFUNCTION("""COMPUTED_VALUE"""),"GC - IV - 1839 - Cty Hitaco - Pyxoate 44EC (nước vàng) - 450ml - 40")</f>
        <v>GC - IV - 1839 - Cty Hitaco - Pyxoate 44EC (nước vàng) - 450ml - 40</v>
      </c>
    </row>
    <row r="2431">
      <c r="A2431" s="86">
        <f>IFERROR(__xludf.DUMMYFUNCTION("""COMPUTED_VALUE"""),2429.0)</f>
        <v>2429</v>
      </c>
      <c r="B2431" s="87" t="str">
        <f>IFERROR(__xludf.DUMMYFUNCTION("""COMPUTED_VALUE"""),"Nhãn")</f>
        <v>Nhãn</v>
      </c>
      <c r="C2431" s="87" t="str">
        <f>IFERROR(__xludf.DUMMYFUNCTION("""COMPUTED_VALUE"""),"NTN1840")</f>
        <v>NTN1840</v>
      </c>
      <c r="D2431" s="87" t="str">
        <f>IFERROR(__xludf.DUMMYFUNCTION("""COMPUTED_VALUE"""),"[Nhãn]  GC - IV - 1840 - Cty Newtex - Mancobgo 80WP (Bột xanh) - 1kg - 25")</f>
        <v>[Nhãn]  GC - IV - 1840 - Cty Newtex - Mancobgo 80WP (Bột xanh) - 1kg - 25</v>
      </c>
      <c r="E2431" s="87" t="str">
        <f>IFERROR(__xludf.DUMMYFUNCTION("""COMPUTED_VALUE"""),"MANCOBGO 80WP")</f>
        <v>MANCOBGO 80WP</v>
      </c>
      <c r="F2431" s="87" t="str">
        <f>IFERROR(__xludf.DUMMYFUNCTION("""COMPUTED_VALUE"""),"HH1840")</f>
        <v>HH1840</v>
      </c>
      <c r="G2431" s="87" t="str">
        <f>IFERROR(__xludf.DUMMYFUNCTION("""COMPUTED_VALUE"""),"GC - IV - 1840 - Cty Newtex - Mancobgo 80WP (Bột xanh) - 1kg - 25")</f>
        <v>GC - IV - 1840 - Cty Newtex - Mancobgo 80WP (Bột xanh) - 1kg - 25</v>
      </c>
    </row>
    <row r="2432">
      <c r="A2432" s="86">
        <f>IFERROR(__xludf.DUMMYFUNCTION("""COMPUTED_VALUE"""),2430.0)</f>
        <v>2430</v>
      </c>
      <c r="B2432" s="87" t="str">
        <f>IFERROR(__xludf.DUMMYFUNCTION("""COMPUTED_VALUE"""),"Nhãn")</f>
        <v>Nhãn</v>
      </c>
      <c r="C2432" s="87" t="str">
        <f>IFERROR(__xludf.DUMMYFUNCTION("""COMPUTED_VALUE"""),"NHG1841")</f>
        <v>NHG1841</v>
      </c>
      <c r="D2432" s="87" t="str">
        <f>IFERROR(__xludf.DUMMYFUNCTION("""COMPUTED_VALUE"""),"[Nhãn] NB - I- 1841- Cty  Sunrise- ROOT SUNRISE- 500ML- 40")</f>
        <v>[Nhãn] NB - I- 1841- Cty  Sunrise- ROOT SUNRISE- 500ML- 40</v>
      </c>
      <c r="E2432" s="87"/>
      <c r="F2432" s="87" t="str">
        <f>IFERROR(__xludf.DUMMYFUNCTION("""COMPUTED_VALUE"""),"HH1841")</f>
        <v>HH1841</v>
      </c>
      <c r="G2432" s="87" t="str">
        <f>IFERROR(__xludf.DUMMYFUNCTION("""COMPUTED_VALUE"""),"NB - I- 1841- Cty  Sunrise- ROOT SUNRISE- 500ML- 40")</f>
        <v>NB - I- 1841- Cty  Sunrise- ROOT SUNRISE- 500ML- 40</v>
      </c>
    </row>
    <row r="2433">
      <c r="A2433" s="86">
        <f>IFERROR(__xludf.DUMMYFUNCTION("""COMPUTED_VALUE"""),2431.0)</f>
        <v>2431</v>
      </c>
      <c r="B2433" s="87" t="str">
        <f>IFERROR(__xludf.DUMMYFUNCTION("""COMPUTED_VALUE"""),"Nhãn")</f>
        <v>Nhãn</v>
      </c>
      <c r="C2433" s="87" t="str">
        <f>IFERROR(__xludf.DUMMYFUNCTION("""COMPUTED_VALUE"""),"NHG1842")</f>
        <v>NHG1842</v>
      </c>
      <c r="D2433" s="87" t="str">
        <f>IFERROR(__xludf.DUMMYFUNCTION("""COMPUTED_VALUE"""),"[Nhãn] GC - IV - 1842 - Cty Japan Crop Science - Bretil Super 300EC (nước trắng sữa) - 250ml - 40")</f>
        <v>[Nhãn] GC - IV - 1842 - Cty Japan Crop Science - Bretil Super 300EC (nước trắng sữa) - 250ml - 40</v>
      </c>
      <c r="E2433" s="87" t="str">
        <f>IFERROR(__xludf.DUMMYFUNCTION("""COMPUTED_VALUE"""),"BRETIL SUPER 300EC")</f>
        <v>BRETIL SUPER 300EC</v>
      </c>
      <c r="F2433" s="87" t="str">
        <f>IFERROR(__xludf.DUMMYFUNCTION("""COMPUTED_VALUE"""),"HH1842")</f>
        <v>HH1842</v>
      </c>
      <c r="G2433" s="87" t="str">
        <f>IFERROR(__xludf.DUMMYFUNCTION("""COMPUTED_VALUE"""),"GC - IV - 1842 - Cty Japan Crop Science - Bretil Super 300EC (nước trắng sữa) - 250ml - 40")</f>
        <v>GC - IV - 1842 - Cty Japan Crop Science - Bretil Super 300EC (nước trắng sữa) - 250ml - 40</v>
      </c>
    </row>
    <row r="2434">
      <c r="A2434" s="86">
        <f>IFERROR(__xludf.DUMMYFUNCTION("""COMPUTED_VALUE"""),2432.0)</f>
        <v>2432</v>
      </c>
      <c r="B2434" s="87" t="str">
        <f>IFERROR(__xludf.DUMMYFUNCTION("""COMPUTED_VALUE"""),"Nhãn")</f>
        <v>Nhãn</v>
      </c>
      <c r="C2434" s="87" t="str">
        <f>IFERROR(__xludf.DUMMYFUNCTION("""COMPUTED_VALUE"""),"NHD1843")</f>
        <v>NHD1843</v>
      </c>
      <c r="D2434" s="87" t="str">
        <f>IFERROR(__xludf.DUMMYFUNCTION("""COMPUTED_VALUE"""),"[Nhãn] GC - II - 1843 - Cty Kim Ngọc - Đạm Cá USA (gel nâu đen) - 5L - 4")</f>
        <v>[Nhãn] GC - II - 1843 - Cty Kim Ngọc - Đạm Cá USA (gel nâu đen) - 5L - 4</v>
      </c>
      <c r="E2434" s="87" t="str">
        <f>IFERROR(__xludf.DUMMYFUNCTION("""COMPUTED_VALUE"""),"Vi lượng Quantity New")</f>
        <v>Vi lượng Quantity New</v>
      </c>
      <c r="F2434" s="87" t="str">
        <f>IFERROR(__xludf.DUMMYFUNCTION("""COMPUTED_VALUE"""),"HH1843")</f>
        <v>HH1843</v>
      </c>
      <c r="G2434" s="87" t="str">
        <f>IFERROR(__xludf.DUMMYFUNCTION("""COMPUTED_VALUE"""),"GC - II - 1843 - Cty Kim Ngọc - Đạm Cá USA (gel nâu đen) - 5L - 4")</f>
        <v>GC - II - 1843 - Cty Kim Ngọc - Đạm Cá USA (gel nâu đen) - 5L - 4</v>
      </c>
    </row>
    <row r="2435">
      <c r="A2435" s="86">
        <f>IFERROR(__xludf.DUMMYFUNCTION("""COMPUTED_VALUE"""),2433.0)</f>
        <v>2433</v>
      </c>
      <c r="B2435" s="87" t="str">
        <f>IFERROR(__xludf.DUMMYFUNCTION("""COMPUTED_VALUE"""),"Nhãn thùng")</f>
        <v>Nhãn thùng</v>
      </c>
      <c r="C2435" s="87" t="str">
        <f>IFERROR(__xludf.DUMMYFUNCTION("""COMPUTED_VALUE"""),"NDT1843")</f>
        <v>NDT1843</v>
      </c>
      <c r="D2435" s="87" t="str">
        <f>IFERROR(__xludf.DUMMYFUNCTION("""COMPUTED_VALUE"""),"[Nhãn thùng] GC - II - 1843 - Cty Kim Ngọc - Đạm Cá USA (gel nâu đen) - 5L - 4")</f>
        <v>[Nhãn thùng] GC - II - 1843 - Cty Kim Ngọc - Đạm Cá USA (gel nâu đen) - 5L - 4</v>
      </c>
      <c r="E2435" s="87" t="str">
        <f>IFERROR(__xludf.DUMMYFUNCTION("""COMPUTED_VALUE"""),"Vi lượng Quantity New")</f>
        <v>Vi lượng Quantity New</v>
      </c>
      <c r="F2435" s="87" t="str">
        <f>IFERROR(__xludf.DUMMYFUNCTION("""COMPUTED_VALUE"""),"HH1843")</f>
        <v>HH1843</v>
      </c>
      <c r="G2435" s="87" t="str">
        <f>IFERROR(__xludf.DUMMYFUNCTION("""COMPUTED_VALUE"""),"GC - II - 1843 - Cty Kim Ngọc - Đạm Cá USA (gel nâu đen) - 5L - 4")</f>
        <v>GC - II - 1843 - Cty Kim Ngọc - Đạm Cá USA (gel nâu đen) - 5L - 4</v>
      </c>
    </row>
    <row r="2436">
      <c r="A2436" s="86">
        <f>IFERROR(__xludf.DUMMYFUNCTION("""COMPUTED_VALUE"""),2434.0)</f>
        <v>2434</v>
      </c>
      <c r="B2436" s="87" t="str">
        <f>IFERROR(__xludf.DUMMYFUNCTION("""COMPUTED_VALUE"""),"NDT")</f>
        <v>NDT</v>
      </c>
      <c r="C2436" s="87" t="str">
        <f>IFERROR(__xludf.DUMMYFUNCTION("""COMPUTED_VALUE"""),"NDT1844")</f>
        <v>NDT1844</v>
      </c>
      <c r="D2436" s="87" t="str">
        <f>IFERROR(__xludf.DUMMYFUNCTION("""COMPUTED_VALUE"""),"[Nhãn thùng] GC - IV - 1844 -  Tago - King Top (nước đỏ cam) - 250ml - 40")</f>
        <v>[Nhãn thùng] GC - IV - 1844 -  Tago - King Top (nước đỏ cam) - 250ml - 40</v>
      </c>
      <c r="E2436" s="87" t="str">
        <f>IFERROR(__xludf.DUMMYFUNCTION("""COMPUTED_VALUE"""),"KING-CIDE JAPAN 460SC")</f>
        <v>KING-CIDE JAPAN 460SC</v>
      </c>
      <c r="F2436" s="87" t="str">
        <f>IFERROR(__xludf.DUMMYFUNCTION("""COMPUTED_VALUE"""),"HH1844")</f>
        <v>HH1844</v>
      </c>
      <c r="G2436" s="87" t="str">
        <f>IFERROR(__xludf.DUMMYFUNCTION("""COMPUTED_VALUE"""),"GC - IV - 1844 -  Tago - King Top (nước đỏ cam) - 250ml - 40")</f>
        <v>GC - IV - 1844 -  Tago - King Top (nước đỏ cam) - 250ml - 40</v>
      </c>
    </row>
    <row r="2437">
      <c r="A2437" s="86">
        <f>IFERROR(__xludf.DUMMYFUNCTION("""COMPUTED_VALUE"""),2435.0)</f>
        <v>2435</v>
      </c>
      <c r="B2437" s="87" t="str">
        <f>IFERROR(__xludf.DUMMYFUNCTION("""COMPUTED_VALUE"""),"Nhãn")</f>
        <v>Nhãn</v>
      </c>
      <c r="C2437" s="87" t="str">
        <f>IFERROR(__xludf.DUMMYFUNCTION("""COMPUTED_VALUE"""),"NHG1844")</f>
        <v>NHG1844</v>
      </c>
      <c r="D2437" s="87" t="str">
        <f>IFERROR(__xludf.DUMMYFUNCTION("""COMPUTED_VALUE"""),"[Nhãn] GC - IV - 1844 -  Tago - King Top (nước đỏ cam) - 250ml - 40")</f>
        <v>[Nhãn] GC - IV - 1844 -  Tago - King Top (nước đỏ cam) - 250ml - 40</v>
      </c>
      <c r="E2437" s="87" t="str">
        <f>IFERROR(__xludf.DUMMYFUNCTION("""COMPUTED_VALUE"""),"KING-CIDE JAPAN 460SC")</f>
        <v>KING-CIDE JAPAN 460SC</v>
      </c>
      <c r="F2437" s="87" t="str">
        <f>IFERROR(__xludf.DUMMYFUNCTION("""COMPUTED_VALUE"""),"HH1844")</f>
        <v>HH1844</v>
      </c>
      <c r="G2437" s="87" t="str">
        <f>IFERROR(__xludf.DUMMYFUNCTION("""COMPUTED_VALUE"""),"GC - IV - 1844 -  Tago - King Top (nước đỏ cam) - 250ml - 40")</f>
        <v>GC - IV - 1844 -  Tago - King Top (nước đỏ cam) - 250ml - 40</v>
      </c>
    </row>
    <row r="2438">
      <c r="A2438" s="86">
        <f>IFERROR(__xludf.DUMMYFUNCTION("""COMPUTED_VALUE"""),2436.0)</f>
        <v>2436</v>
      </c>
      <c r="B2438" s="87" t="str">
        <f>IFERROR(__xludf.DUMMYFUNCTION("""COMPUTED_VALUE"""),"Nhãn")</f>
        <v>Nhãn</v>
      </c>
      <c r="C2438" s="87" t="str">
        <f>IFERROR(__xludf.DUMMYFUNCTION("""COMPUTED_VALUE"""),"NTN1845")</f>
        <v>NTN1845</v>
      </c>
      <c r="D2438" s="87" t="str">
        <f>IFERROR(__xludf.DUMMYFUNCTION("""COMPUTED_VALUE"""),"[Nhãn] GC - II - 1845 - AGC - Cty Agritech (Anh Trương) - Metalaxyl (bột màu trắng) - 100gr - 100")</f>
        <v>[Nhãn] GC - II - 1845 - AGC - Cty Agritech (Anh Trương) - Metalaxyl (bột màu trắng) - 100gr - 100</v>
      </c>
      <c r="E2438" s="87" t="str">
        <f>IFERROR(__xludf.DUMMYFUNCTION("""COMPUTED_VALUE"""),"Acodyl 35WP")</f>
        <v>Acodyl 35WP</v>
      </c>
      <c r="F2438" s="87" t="str">
        <f>IFERROR(__xludf.DUMMYFUNCTION("""COMPUTED_VALUE"""),"HH1845")</f>
        <v>HH1845</v>
      </c>
      <c r="G2438" s="87" t="str">
        <f>IFERROR(__xludf.DUMMYFUNCTION("""COMPUTED_VALUE"""),"GC - II - 1845 - AGC - Cty Agritech (Anh Trương) - Metalaxyl (bột màu trắng) - 100gr - 100")</f>
        <v>GC - II - 1845 - AGC - Cty Agritech (Anh Trương) - Metalaxyl (bột màu trắng) - 100gr - 100</v>
      </c>
    </row>
    <row r="2439">
      <c r="A2439" s="86">
        <f>IFERROR(__xludf.DUMMYFUNCTION("""COMPUTED_VALUE"""),2437.0)</f>
        <v>2437</v>
      </c>
      <c r="B2439" s="87" t="str">
        <f>IFERROR(__xludf.DUMMYFUNCTION("""COMPUTED_VALUE"""),"Nhãn")</f>
        <v>Nhãn</v>
      </c>
      <c r="C2439" s="87" t="str">
        <f>IFERROR(__xludf.DUMMYFUNCTION("""COMPUTED_VALUE"""),"NHG1846")</f>
        <v>NHG1846</v>
      </c>
      <c r="D2439" s="87" t="str">
        <f>IFERROR(__xludf.DUMMYFUNCTION("""COMPUTED_VALUE"""),"[Nhãn]  GC - IV - 1846 - Cty Hitaco - Thần kê diệt sâu (nước vàng sữa) - 200ml - 40")</f>
        <v>[Nhãn]  GC - IV - 1846 - Cty Hitaco - Thần kê diệt sâu (nước vàng sữa) - 200ml - 40</v>
      </c>
      <c r="E2439" s="87" t="str">
        <f>IFERROR(__xludf.DUMMYFUNCTION("""COMPUTED_VALUE"""),"NEW FUZE 200SC")</f>
        <v>NEW FUZE 200SC</v>
      </c>
      <c r="F2439" s="87" t="str">
        <f>IFERROR(__xludf.DUMMYFUNCTION("""COMPUTED_VALUE"""),"HH1846")</f>
        <v>HH1846</v>
      </c>
      <c r="G2439" s="87" t="str">
        <f>IFERROR(__xludf.DUMMYFUNCTION("""COMPUTED_VALUE"""),"GC - IV - 1846 - Cty Hitaco - Thần kê diệt sâu (nước vàng sữa) - 200ml - 40")</f>
        <v>GC - IV - 1846 - Cty Hitaco - Thần kê diệt sâu (nước vàng sữa) - 200ml - 40</v>
      </c>
    </row>
    <row r="2440">
      <c r="A2440" s="86">
        <f>IFERROR(__xludf.DUMMYFUNCTION("""COMPUTED_VALUE"""),2438.0)</f>
        <v>2438</v>
      </c>
      <c r="B2440" s="87" t="str">
        <f>IFERROR(__xludf.DUMMYFUNCTION("""COMPUTED_VALUE"""),"Nhãn")</f>
        <v>Nhãn</v>
      </c>
      <c r="C2440" s="87" t="str">
        <f>IFERROR(__xludf.DUMMYFUNCTION("""COMPUTED_VALUE"""),"NHG1847")</f>
        <v>NHG1847</v>
      </c>
      <c r="D2440" s="87" t="str">
        <f>IFERROR(__xludf.DUMMYFUNCTION("""COMPUTED_VALUE"""),"[Nhãn]  GC - II - 1847 - Cty Lộc Phát Nông - PHOSKA89 (nước nâu đen) - 1L - 20")</f>
        <v>[Nhãn]  GC - II - 1847 - Cty Lộc Phát Nông - PHOSKA89 (nước nâu đen) - 1L - 20</v>
      </c>
      <c r="E2440" s="87" t="str">
        <f>IFERROR(__xludf.DUMMYFUNCTION("""COMPUTED_VALUE"""),"Vi lượng Quantity New")</f>
        <v>Vi lượng Quantity New</v>
      </c>
      <c r="F2440" s="87" t="str">
        <f>IFERROR(__xludf.DUMMYFUNCTION("""COMPUTED_VALUE"""),"HH1847")</f>
        <v>HH1847</v>
      </c>
      <c r="G2440" s="87" t="str">
        <f>IFERROR(__xludf.DUMMYFUNCTION("""COMPUTED_VALUE"""),"GC - II - 1847 - Cty Lộc Phát Nông - PHOSKA89 (nước nâu đen) - 1L - 20")</f>
        <v>GC - II - 1847 - Cty Lộc Phát Nông - PHOSKA89 (nước nâu đen) - 1L - 20</v>
      </c>
    </row>
    <row r="2441">
      <c r="A2441" s="86">
        <f>IFERROR(__xludf.DUMMYFUNCTION("""COMPUTED_VALUE"""),2439.0)</f>
        <v>2439</v>
      </c>
      <c r="B2441" s="87" t="str">
        <f>IFERROR(__xludf.DUMMYFUNCTION("""COMPUTED_VALUE"""),"Nhãn")</f>
        <v>Nhãn</v>
      </c>
      <c r="C2441" s="87" t="str">
        <f>IFERROR(__xludf.DUMMYFUNCTION("""COMPUTED_VALUE"""),"NHG1848")</f>
        <v>NHG1848</v>
      </c>
      <c r="D2441" s="87" t="str">
        <f>IFERROR(__xludf.DUMMYFUNCTION("""COMPUTED_VALUE"""),"[Nhãn]  GC - IV - 1848 - Cty Newsanto USA - Trái cà đỏ (nước vàng trà) - 240ml - 40")</f>
        <v>[Nhãn]  GC - IV - 1848 - Cty Newsanto USA - Trái cà đỏ (nước vàng trà) - 240ml - 40</v>
      </c>
      <c r="E2441" s="87" t="str">
        <f>IFERROR(__xludf.DUMMYFUNCTION("""COMPUTED_VALUE"""),"PRODIFE'S 5.8EC")</f>
        <v>PRODIFE'S 5.8EC</v>
      </c>
      <c r="F2441" s="87" t="str">
        <f>IFERROR(__xludf.DUMMYFUNCTION("""COMPUTED_VALUE"""),"HH1848")</f>
        <v>HH1848</v>
      </c>
      <c r="G2441" s="87" t="str">
        <f>IFERROR(__xludf.DUMMYFUNCTION("""COMPUTED_VALUE"""),"GC - IV - 1848 - Cty Newsanto USA - Trái cà đỏ (nước vàng trà) - 240ml - 40")</f>
        <v>GC - IV - 1848 - Cty Newsanto USA - Trái cà đỏ (nước vàng trà) - 240ml - 40</v>
      </c>
    </row>
    <row r="2442">
      <c r="A2442" s="86">
        <f>IFERROR(__xludf.DUMMYFUNCTION("""COMPUTED_VALUE"""),2440.0)</f>
        <v>2440</v>
      </c>
      <c r="B2442" s="87" t="str">
        <f>IFERROR(__xludf.DUMMYFUNCTION("""COMPUTED_VALUE"""),"Nhãn")</f>
        <v>Nhãn</v>
      </c>
      <c r="C2442" s="87" t="str">
        <f>IFERROR(__xludf.DUMMYFUNCTION("""COMPUTED_VALUE"""),"NHG1849")</f>
        <v>NHG1849</v>
      </c>
      <c r="D2442" s="87" t="str">
        <f>IFERROR(__xludf.DUMMYFUNCTION("""COMPUTED_VALUE"""),"[Nhãn] GC - IV - 1849 - Cty Newsanto USA - Trái cà đỏ (nước vàng trà) - 450ml - 40")</f>
        <v>[Nhãn] GC - IV - 1849 - Cty Newsanto USA - Trái cà đỏ (nước vàng trà) - 450ml - 40</v>
      </c>
      <c r="E2442" s="87" t="str">
        <f>IFERROR(__xludf.DUMMYFUNCTION("""COMPUTED_VALUE"""),"PRODIFE'S 5.8EC")</f>
        <v>PRODIFE'S 5.8EC</v>
      </c>
      <c r="F2442" s="87" t="str">
        <f>IFERROR(__xludf.DUMMYFUNCTION("""COMPUTED_VALUE"""),"HH1849")</f>
        <v>HH1849</v>
      </c>
      <c r="G2442" s="87" t="str">
        <f>IFERROR(__xludf.DUMMYFUNCTION("""COMPUTED_VALUE"""),"GC - IV - 1849 - Cty Newsanto USA - Trái cà đỏ (nước vàng trà) - 450ml - 40")</f>
        <v>GC - IV - 1849 - Cty Newsanto USA - Trái cà đỏ (nước vàng trà) - 450ml - 40</v>
      </c>
    </row>
    <row r="2443">
      <c r="A2443" s="86">
        <f>IFERROR(__xludf.DUMMYFUNCTION("""COMPUTED_VALUE"""),2441.0)</f>
        <v>2441</v>
      </c>
      <c r="B2443" s="87" t="str">
        <f>IFERROR(__xludf.DUMMYFUNCTION("""COMPUTED_VALUE"""),"Nhãn")</f>
        <v>Nhãn</v>
      </c>
      <c r="C2443" s="87" t="str">
        <f>IFERROR(__xludf.DUMMYFUNCTION("""COMPUTED_VALUE"""),"NHG1850")</f>
        <v>NHG1850</v>
      </c>
      <c r="D2443" s="87" t="str">
        <f>IFERROR(__xludf.DUMMYFUNCTION("""COMPUTED_VALUE"""),"[Nhãn] GC - II - 1850 - Anh Tuấn Agri - Thipro 550EC (nước tím) - 250ml - 40")</f>
        <v>[Nhãn] GC - II - 1850 - Anh Tuấn Agri - Thipro 550EC (nước tím) - 250ml - 40</v>
      </c>
      <c r="E2443" s="87" t="str">
        <f>IFERROR(__xludf.DUMMYFUNCTION("""COMPUTED_VALUE"""),"Thipro 550EC")</f>
        <v>Thipro 550EC</v>
      </c>
      <c r="F2443" s="87" t="str">
        <f>IFERROR(__xludf.DUMMYFUNCTION("""COMPUTED_VALUE"""),"HH1850")</f>
        <v>HH1850</v>
      </c>
      <c r="G2443" s="87" t="str">
        <f>IFERROR(__xludf.DUMMYFUNCTION("""COMPUTED_VALUE"""),"GC - II - 1850 - Anh Tuấn Agri - Thipro 550EC (nước tím) - 250ml - 40")</f>
        <v>GC - II - 1850 - Anh Tuấn Agri - Thipro 550EC (nước tím) - 250ml - 40</v>
      </c>
    </row>
    <row r="2444">
      <c r="A2444" s="86">
        <f>IFERROR(__xludf.DUMMYFUNCTION("""COMPUTED_VALUE"""),2442.0)</f>
        <v>2442</v>
      </c>
      <c r="B2444" s="87" t="str">
        <f>IFERROR(__xludf.DUMMYFUNCTION("""COMPUTED_VALUE"""),"Nhãn")</f>
        <v>Nhãn</v>
      </c>
      <c r="C2444" s="87" t="str">
        <f>IFERROR(__xludf.DUMMYFUNCTION("""COMPUTED_VALUE"""),"NTN1851")</f>
        <v>NTN1851</v>
      </c>
      <c r="D2444" s="87" t="str">
        <f>IFERROR(__xludf.DUMMYFUNCTION("""COMPUTED_VALUE"""),"[Nhãn]  GC - IV - 1851 - Cty Agritech Hà Lan - MANCOBGO 80WP (bột xanh) - 1kg - 20")</f>
        <v>[Nhãn]  GC - IV - 1851 - Cty Agritech Hà Lan - MANCOBGO 80WP (bột xanh) - 1kg - 20</v>
      </c>
      <c r="E2444" s="87" t="str">
        <f>IFERROR(__xludf.DUMMYFUNCTION("""COMPUTED_VALUE"""),"MANCOBGO 80WP")</f>
        <v>MANCOBGO 80WP</v>
      </c>
      <c r="F2444" s="87" t="str">
        <f>IFERROR(__xludf.DUMMYFUNCTION("""COMPUTED_VALUE"""),"HH1851")</f>
        <v>HH1851</v>
      </c>
      <c r="G2444" s="87" t="str">
        <f>IFERROR(__xludf.DUMMYFUNCTION("""COMPUTED_VALUE"""),"GC - IV - 1851 - Cty Agritech Hà Lan - MANCOBGO 80WP (bột xanh) - 1kg - 20")</f>
        <v>GC - IV - 1851 - Cty Agritech Hà Lan - MANCOBGO 80WP (bột xanh) - 1kg - 20</v>
      </c>
    </row>
    <row r="2445">
      <c r="A2445" s="86">
        <f>IFERROR(__xludf.DUMMYFUNCTION("""COMPUTED_VALUE"""),2443.0)</f>
        <v>2443</v>
      </c>
      <c r="B2445" s="87" t="str">
        <f>IFERROR(__xludf.DUMMYFUNCTION("""COMPUTED_VALUE"""),"Nhãn thùng")</f>
        <v>Nhãn thùng</v>
      </c>
      <c r="C2445" s="87" t="str">
        <f>IFERROR(__xludf.DUMMYFUNCTION("""COMPUTED_VALUE"""),"NDT1851")</f>
        <v>NDT1851</v>
      </c>
      <c r="D2445" s="87" t="str">
        <f>IFERROR(__xludf.DUMMYFUNCTION("""COMPUTED_VALUE"""),"[Nhãn thùng]  GC - IV - 1851 - Cty Agritech Hà Lan - MANCOBGO 80WP (bột xanh) - 1kg - 20")</f>
        <v>[Nhãn thùng]  GC - IV - 1851 - Cty Agritech Hà Lan - MANCOBGO 80WP (bột xanh) - 1kg - 20</v>
      </c>
      <c r="E2445" s="87" t="str">
        <f>IFERROR(__xludf.DUMMYFUNCTION("""COMPUTED_VALUE"""),"MANCOBGO 80WP")</f>
        <v>MANCOBGO 80WP</v>
      </c>
      <c r="F2445" s="87" t="str">
        <f>IFERROR(__xludf.DUMMYFUNCTION("""COMPUTED_VALUE"""),"HH1851")</f>
        <v>HH1851</v>
      </c>
      <c r="G2445" s="87" t="str">
        <f>IFERROR(__xludf.DUMMYFUNCTION("""COMPUTED_VALUE"""),"GC - IV - 1851 - Cty Agritech Hà Lan - MANCOBGO 80WP (bột xanh) - 1kg - 20")</f>
        <v>GC - IV - 1851 - Cty Agritech Hà Lan - MANCOBGO 80WP (bột xanh) - 1kg - 20</v>
      </c>
    </row>
    <row r="2446">
      <c r="A2446" s="86">
        <f>IFERROR(__xludf.DUMMYFUNCTION("""COMPUTED_VALUE"""),2444.0)</f>
        <v>2444</v>
      </c>
      <c r="B2446" s="87" t="str">
        <f>IFERROR(__xludf.DUMMYFUNCTION("""COMPUTED_VALUE"""),"Nhãn")</f>
        <v>Nhãn</v>
      </c>
      <c r="C2446" s="87" t="str">
        <f>IFERROR(__xludf.DUMMYFUNCTION("""COMPUTED_VALUE"""),"NHG1852")</f>
        <v>NHG1852</v>
      </c>
      <c r="D2446" s="87" t="str">
        <f>IFERROR(__xludf.DUMMYFUNCTION("""COMPUTED_VALUE"""),"[Nhãn] GC - IV - 1852 - Cty Hương Nông - Siêu Đậu Trái (nước vàng mật ong) - 500ml - 40")</f>
        <v>[Nhãn] GC - IV - 1852 - Cty Hương Nông - Siêu Đậu Trái (nước vàng mật ong) - 500ml - 40</v>
      </c>
      <c r="E2446" s="87" t="str">
        <f>IFERROR(__xludf.DUMMYFUNCTION("""COMPUTED_VALUE"""),"Vi lượng Run Fast")</f>
        <v>Vi lượng Run Fast</v>
      </c>
      <c r="F2446" s="87" t="str">
        <f>IFERROR(__xludf.DUMMYFUNCTION("""COMPUTED_VALUE"""),"HH1852")</f>
        <v>HH1852</v>
      </c>
      <c r="G2446" s="87" t="str">
        <f>IFERROR(__xludf.DUMMYFUNCTION("""COMPUTED_VALUE"""),"GC - IV - 1852 - Cty Hương Nông - Siêu Đậu Trái (nước vàng mật ong) - 500ml - 40")</f>
        <v>GC - IV - 1852 - Cty Hương Nông - Siêu Đậu Trái (nước vàng mật ong) - 500ml - 40</v>
      </c>
    </row>
    <row r="2447">
      <c r="A2447" s="86">
        <f>IFERROR(__xludf.DUMMYFUNCTION("""COMPUTED_VALUE"""),2445.0)</f>
        <v>2445</v>
      </c>
      <c r="B2447" s="87" t="str">
        <f>IFERROR(__xludf.DUMMYFUNCTION("""COMPUTED_VALUE"""),"Nhãn")</f>
        <v>Nhãn</v>
      </c>
      <c r="C2447" s="87" t="str">
        <f>IFERROR(__xludf.DUMMYFUNCTION("""COMPUTED_VALUE"""),"NHD1853")</f>
        <v>NHD1853</v>
      </c>
      <c r="D2447" s="87" t="str">
        <f>IFERROR(__xludf.DUMMYFUNCTION("""COMPUTED_VALUE"""),"[Nhãn] NB - I - 1853 - Nông Dược Thụy Sĩ - Đầu Cọp 3.6 (nước nâu đen) - 450ml - 40")</f>
        <v>[Nhãn] NB - I - 1853 - Nông Dược Thụy Sĩ - Đầu Cọp 3.6 (nước nâu đen) - 450ml - 40</v>
      </c>
      <c r="E2447" s="87" t="str">
        <f>IFERROR(__xludf.DUMMYFUNCTION("""COMPUTED_VALUE"""),"HAIHAMEC 3.6EC")</f>
        <v>HAIHAMEC 3.6EC</v>
      </c>
      <c r="F2447" s="87" t="str">
        <f>IFERROR(__xludf.DUMMYFUNCTION("""COMPUTED_VALUE"""),"HH1853")</f>
        <v>HH1853</v>
      </c>
      <c r="G2447" s="87" t="str">
        <f>IFERROR(__xludf.DUMMYFUNCTION("""COMPUTED_VALUE"""),"NB - I - 1853 - Nông Dược Thụy Sĩ - Đầu Cọp 3.6 (nước nâu đen) - 450ml - 40")</f>
        <v>NB - I - 1853 - Nông Dược Thụy Sĩ - Đầu Cọp 3.6 (nước nâu đen) - 450ml - 40</v>
      </c>
    </row>
    <row r="2448">
      <c r="A2448" s="86">
        <f>IFERROR(__xludf.DUMMYFUNCTION("""COMPUTED_VALUE"""),2446.0)</f>
        <v>2446</v>
      </c>
      <c r="B2448" s="87" t="str">
        <f>IFERROR(__xludf.DUMMYFUNCTION("""COMPUTED_VALUE"""),"Nhãn")</f>
        <v>Nhãn</v>
      </c>
      <c r="C2448" s="87" t="str">
        <f>IFERROR(__xludf.DUMMYFUNCTION("""COMPUTED_VALUE"""),"NTN1855")</f>
        <v>NTN1855</v>
      </c>
      <c r="D2448" s="87" t="str">
        <f>IFERROR(__xludf.DUMMYFUNCTION("""COMPUTED_VALUE"""),"[Nhãn] GC - IV - 1855 - Japan Crop Science - PADAAN JAPAN (bột màu trắng) - 100gr - 120")</f>
        <v>[Nhãn] GC - IV - 1855 - Japan Crop Science - PADAAN JAPAN (bột màu trắng) - 100gr - 120</v>
      </c>
      <c r="E2448" s="87" t="str">
        <f>IFERROR(__xludf.DUMMYFUNCTION("""COMPUTED_VALUE"""),"SHA CHONG JING 95WP")</f>
        <v>SHA CHONG JING 95WP</v>
      </c>
      <c r="F2448" s="87" t="str">
        <f>IFERROR(__xludf.DUMMYFUNCTION("""COMPUTED_VALUE"""),"HH1855")</f>
        <v>HH1855</v>
      </c>
      <c r="G2448" s="87" t="str">
        <f>IFERROR(__xludf.DUMMYFUNCTION("""COMPUTED_VALUE"""),"GC - IV - 1855 - Japan Crop Science - PADAAN JAPAN (bột màu trắng) - 100gr - 120")</f>
        <v>GC - IV - 1855 - Japan Crop Science - PADAAN JAPAN (bột màu trắng) - 100gr - 120</v>
      </c>
    </row>
    <row r="2449">
      <c r="A2449" s="86">
        <f>IFERROR(__xludf.DUMMYFUNCTION("""COMPUTED_VALUE"""),2447.0)</f>
        <v>2447</v>
      </c>
      <c r="B2449" s="87" t="str">
        <f>IFERROR(__xludf.DUMMYFUNCTION("""COMPUTED_VALUE"""),"Nhãn")</f>
        <v>Nhãn</v>
      </c>
      <c r="C2449" s="87" t="str">
        <f>IFERROR(__xludf.DUMMYFUNCTION("""COMPUTED_VALUE"""),"NTN1856")</f>
        <v>NTN1856</v>
      </c>
      <c r="D2449" s="87" t="str">
        <f>IFERROR(__xludf.DUMMYFUNCTION("""COMPUTED_VALUE"""),"[Nhãn] GC - IV - 1856 - Cty Agrochem Korea - PADANG 95 (bột trắng) - 100gr - 100")</f>
        <v>[Nhãn] GC - IV - 1856 - Cty Agrochem Korea - PADANG 95 (bột trắng) - 100gr - 100</v>
      </c>
      <c r="E2449" s="87" t="str">
        <f>IFERROR(__xludf.DUMMYFUNCTION("""COMPUTED_VALUE"""),"SHA CHONG JING 95WP")</f>
        <v>SHA CHONG JING 95WP</v>
      </c>
      <c r="F2449" s="87" t="str">
        <f>IFERROR(__xludf.DUMMYFUNCTION("""COMPUTED_VALUE"""),"HH1856")</f>
        <v>HH1856</v>
      </c>
      <c r="G2449" s="87" t="str">
        <f>IFERROR(__xludf.DUMMYFUNCTION("""COMPUTED_VALUE"""),"GC - IV - 1856 - Cty Agrochem Korea - PADANG 95 (bột trắng) - 100gr - 100")</f>
        <v>GC - IV - 1856 - Cty Agrochem Korea - PADANG 95 (bột trắng) - 100gr - 100</v>
      </c>
    </row>
    <row r="2450">
      <c r="A2450" s="86">
        <f>IFERROR(__xludf.DUMMYFUNCTION("""COMPUTED_VALUE"""),2448.0)</f>
        <v>2448</v>
      </c>
      <c r="B2450" s="87" t="str">
        <f>IFERROR(__xludf.DUMMYFUNCTION("""COMPUTED_VALUE"""),"HỘP")</f>
        <v>HỘP</v>
      </c>
      <c r="C2450" s="87" t="str">
        <f>IFERROR(__xludf.DUMMYFUNCTION("""COMPUTED_VALUE"""),"HOP1857")</f>
        <v>HOP1857</v>
      </c>
      <c r="D2450" s="87" t="str">
        <f>IFERROR(__xludf.DUMMYFUNCTION("""COMPUTED_VALUE"""),"[HOP] IDA Global - I - 1857 - Cty Agronet - Genol 1.2SL (nước đỏ) - 350ml - 2")</f>
        <v>[HOP] IDA Global - I - 1857 - Cty Agronet - Genol 1.2SL (nước đỏ) - 350ml - 2</v>
      </c>
      <c r="E2450" s="87" t="str">
        <f>IFERROR(__xludf.DUMMYFUNCTION("""COMPUTED_VALUE"""),"GENOL 1.2SL")</f>
        <v>GENOL 1.2SL</v>
      </c>
      <c r="F2450" s="87" t="str">
        <f>IFERROR(__xludf.DUMMYFUNCTION("""COMPUTED_VALUE"""),"HH1857")</f>
        <v>HH1857</v>
      </c>
      <c r="G2450" s="87" t="str">
        <f>IFERROR(__xludf.DUMMYFUNCTION("""COMPUTED_VALUE"""),"IDA Global - I - 1857 - Cty Agronet - Genol 1.2SL (nước đỏ) - 350ml - 40")</f>
        <v>IDA Global - I - 1857 - Cty Agronet - Genol 1.2SL (nước đỏ) - 350ml - 40</v>
      </c>
    </row>
    <row r="2451">
      <c r="A2451" s="86">
        <f>IFERROR(__xludf.DUMMYFUNCTION("""COMPUTED_VALUE"""),2449.0)</f>
        <v>2449</v>
      </c>
      <c r="B2451" s="87" t="str">
        <f>IFERROR(__xludf.DUMMYFUNCTION("""COMPUTED_VALUE"""),"Nhãn")</f>
        <v>Nhãn</v>
      </c>
      <c r="C2451" s="87" t="str">
        <f>IFERROR(__xludf.DUMMYFUNCTION("""COMPUTED_VALUE"""),"NHG1857")</f>
        <v>NHG1857</v>
      </c>
      <c r="D2451" s="87" t="str">
        <f>IFERROR(__xludf.DUMMYFUNCTION("""COMPUTED_VALUE"""),"[Nhãn] IDA Global - I - 1857 - Cty Agronet - Genol 1.2SL (nước đỏ) - 350ml - 40")</f>
        <v>[Nhãn] IDA Global - I - 1857 - Cty Agronet - Genol 1.2SL (nước đỏ) - 350ml - 40</v>
      </c>
      <c r="E2451" s="87" t="str">
        <f>IFERROR(__xludf.DUMMYFUNCTION("""COMPUTED_VALUE"""),"GENOL 1.2SL")</f>
        <v>GENOL 1.2SL</v>
      </c>
      <c r="F2451" s="87" t="str">
        <f>IFERROR(__xludf.DUMMYFUNCTION("""COMPUTED_VALUE"""),"HH1857")</f>
        <v>HH1857</v>
      </c>
      <c r="G2451" s="87" t="str">
        <f>IFERROR(__xludf.DUMMYFUNCTION("""COMPUTED_VALUE"""),"IDA Global - I - 1857 - Cty Agronet - Genol 1.2SL (nước đỏ) - 350ml - 40")</f>
        <v>IDA Global - I - 1857 - Cty Agronet - Genol 1.2SL (nước đỏ) - 350ml - 40</v>
      </c>
    </row>
    <row r="2452">
      <c r="A2452" s="86">
        <f>IFERROR(__xludf.DUMMYFUNCTION("""COMPUTED_VALUE"""),2450.0)</f>
        <v>2450</v>
      </c>
      <c r="B2452" s="87" t="str">
        <f>IFERROR(__xludf.DUMMYFUNCTION("""COMPUTED_VALUE"""),"Nhãn")</f>
        <v>Nhãn</v>
      </c>
      <c r="C2452" s="87" t="str">
        <f>IFERROR(__xludf.DUMMYFUNCTION("""COMPUTED_VALUE"""),"NHG1858")</f>
        <v>NHG1858</v>
      </c>
      <c r="D2452" s="87" t="str">
        <f>IFERROR(__xludf.DUMMYFUNCTION("""COMPUTED_VALUE"""),"[Nhãn] IDA Global - I - 1858 - Cty Agronet - Vatino Super 525SE (nước cam sữa) - 350ml - 40")</f>
        <v>[Nhãn] IDA Global - I - 1858 - Cty Agronet - Vatino Super 525SE (nước cam sữa) - 350ml - 40</v>
      </c>
      <c r="E2452" s="87" t="str">
        <f>IFERROR(__xludf.DUMMYFUNCTION("""COMPUTED_VALUE"""),"VATINO SUPER 525SE")</f>
        <v>VATINO SUPER 525SE</v>
      </c>
      <c r="F2452" s="87" t="str">
        <f>IFERROR(__xludf.DUMMYFUNCTION("""COMPUTED_VALUE"""),"HH1858")</f>
        <v>HH1858</v>
      </c>
      <c r="G2452" s="87" t="str">
        <f>IFERROR(__xludf.DUMMYFUNCTION("""COMPUTED_VALUE"""),"IDA Global - I - 1858 - Cty Agronet - Vatino Super 525SE (nước cam sữa) - 350ml - 40")</f>
        <v>IDA Global - I - 1858 - Cty Agronet - Vatino Super 525SE (nước cam sữa) - 350ml - 40</v>
      </c>
    </row>
    <row r="2453">
      <c r="A2453" s="86">
        <f>IFERROR(__xludf.DUMMYFUNCTION("""COMPUTED_VALUE"""),2451.0)</f>
        <v>2451</v>
      </c>
      <c r="B2453" s="87" t="str">
        <f>IFERROR(__xludf.DUMMYFUNCTION("""COMPUTED_VALUE"""),"Nhãn")</f>
        <v>Nhãn</v>
      </c>
      <c r="C2453" s="87" t="str">
        <f>IFERROR(__xludf.DUMMYFUNCTION("""COMPUTED_VALUE"""),"NHG1859")</f>
        <v>NHG1859</v>
      </c>
      <c r="D2453" s="87" t="str">
        <f>IFERROR(__xludf.DUMMYFUNCTION("""COMPUTED_VALUE"""),"[Nhãn] GC - II - 1859 - Cty Lộc Phát Nông - Phá Lá (nước nâu đen) - 1L - 20")</f>
        <v>[Nhãn] GC - II - 1859 - Cty Lộc Phát Nông - Phá Lá (nước nâu đen) - 1L - 20</v>
      </c>
      <c r="E2453" s="87" t="str">
        <f>IFERROR(__xludf.DUMMYFUNCTION("""COMPUTED_VALUE"""),"Vi lượng Quantity New")</f>
        <v>Vi lượng Quantity New</v>
      </c>
      <c r="F2453" s="87" t="str">
        <f>IFERROR(__xludf.DUMMYFUNCTION("""COMPUTED_VALUE"""),"HH1859")</f>
        <v>HH1859</v>
      </c>
      <c r="G2453" s="87" t="str">
        <f>IFERROR(__xludf.DUMMYFUNCTION("""COMPUTED_VALUE"""),"GC - II - 1859 - Cty Lộc Phát Nông - Phá Lá (nước nâu đen) - 1L - 20")</f>
        <v>GC - II - 1859 - Cty Lộc Phát Nông - Phá Lá (nước nâu đen) - 1L - 20</v>
      </c>
    </row>
    <row r="2454">
      <c r="A2454" s="86">
        <f>IFERROR(__xludf.DUMMYFUNCTION("""COMPUTED_VALUE"""),2452.0)</f>
        <v>2452</v>
      </c>
      <c r="B2454" s="87" t="str">
        <f>IFERROR(__xludf.DUMMYFUNCTION("""COMPUTED_VALUE"""),"Nhãn")</f>
        <v>Nhãn</v>
      </c>
      <c r="C2454" s="87" t="str">
        <f>IFERROR(__xludf.DUMMYFUNCTION("""COMPUTED_VALUE"""),"NHG1860")</f>
        <v>NHG1860</v>
      </c>
      <c r="D2454" s="87" t="str">
        <f>IFERROR(__xludf.DUMMYFUNCTION("""COMPUTED_VALUE"""),"[Nhãn]  GC - II - 1860 - Cty Lộc Phát Nông - Siêu kích hoa (nước nâu đen) - 1L - 20")</f>
        <v>[Nhãn]  GC - II - 1860 - Cty Lộc Phát Nông - Siêu kích hoa (nước nâu đen) - 1L - 20</v>
      </c>
      <c r="E2454" s="87" t="str">
        <f>IFERROR(__xludf.DUMMYFUNCTION("""COMPUTED_VALUE"""),"Vi lượng Quantity New")</f>
        <v>Vi lượng Quantity New</v>
      </c>
      <c r="F2454" s="87" t="str">
        <f>IFERROR(__xludf.DUMMYFUNCTION("""COMPUTED_VALUE"""),"HH1860")</f>
        <v>HH1860</v>
      </c>
      <c r="G2454" s="87" t="str">
        <f>IFERROR(__xludf.DUMMYFUNCTION("""COMPUTED_VALUE"""),"GC - II - 1860 - Cty Lộc Phát Nông - Siêu kích hoa (nước nâu đen) - 1L - 20")</f>
        <v>GC - II - 1860 - Cty Lộc Phát Nông - Siêu kích hoa (nước nâu đen) - 1L - 20</v>
      </c>
    </row>
    <row r="2455">
      <c r="A2455" s="86">
        <f>IFERROR(__xludf.DUMMYFUNCTION("""COMPUTED_VALUE"""),2453.0)</f>
        <v>2453</v>
      </c>
      <c r="B2455" s="87" t="str">
        <f>IFERROR(__xludf.DUMMYFUNCTION("""COMPUTED_VALUE"""),"Nhãn")</f>
        <v>Nhãn</v>
      </c>
      <c r="C2455" s="87" t="str">
        <f>IFERROR(__xludf.DUMMYFUNCTION("""COMPUTED_VALUE"""),"NHG1861")</f>
        <v>NHG1861</v>
      </c>
      <c r="D2455" s="87" t="str">
        <f>IFERROR(__xludf.DUMMYFUNCTION("""COMPUTED_VALUE"""),"[Nhãn]  GC - IV - 1861 - Cty Lộc Phát Nông - CACI-BO (nước đỏ cam) - 500ml - 40")</f>
        <v>[Nhãn]  GC - IV - 1861 - Cty Lộc Phát Nông - CACI-BO (nước đỏ cam) - 500ml - 40</v>
      </c>
      <c r="E2455" s="87" t="str">
        <f>IFERROR(__xludf.DUMMYFUNCTION("""COMPUTED_VALUE"""),"Vi lượng Run Fast")</f>
        <v>Vi lượng Run Fast</v>
      </c>
      <c r="F2455" s="87" t="str">
        <f>IFERROR(__xludf.DUMMYFUNCTION("""COMPUTED_VALUE"""),"HH1861")</f>
        <v>HH1861</v>
      </c>
      <c r="G2455" s="87" t="str">
        <f>IFERROR(__xludf.DUMMYFUNCTION("""COMPUTED_VALUE"""),"GC - IV - 1861 - Cty Lộc Phát Nông - CACI-BO (nước đỏ cam) - 500ml - 40")</f>
        <v>GC - IV - 1861 - Cty Lộc Phát Nông - CACI-BO (nước đỏ cam) - 500ml - 40</v>
      </c>
    </row>
    <row r="2456">
      <c r="A2456" s="86">
        <f>IFERROR(__xludf.DUMMYFUNCTION("""COMPUTED_VALUE"""),2454.0)</f>
        <v>2454</v>
      </c>
      <c r="B2456" s="87" t="str">
        <f>IFERROR(__xludf.DUMMYFUNCTION("""COMPUTED_VALUE"""),"Nhãn")</f>
        <v>Nhãn</v>
      </c>
      <c r="C2456" s="87" t="str">
        <f>IFERROR(__xludf.DUMMYFUNCTION("""COMPUTED_VALUE"""),"NTN1862")</f>
        <v>NTN1862</v>
      </c>
      <c r="D2456" s="87" t="str">
        <f>IFERROR(__xludf.DUMMYFUNCTION("""COMPUTED_VALUE"""),"[Nhãn] GC - IV - 1862 - Cty Hóa Nông Đất Vàng - FORWIN 85WP (Bột trắng ngà) - 50gr - 200")</f>
        <v>[Nhãn] GC - IV - 1862 - Cty Hóa Nông Đất Vàng - FORWIN 85WP (Bột trắng ngà) - 50gr - 200</v>
      </c>
      <c r="E2456" s="87" t="str">
        <f>IFERROR(__xludf.DUMMYFUNCTION("""COMPUTED_VALUE"""),"FORWIN 85WP")</f>
        <v>FORWIN 85WP</v>
      </c>
      <c r="F2456" s="87" t="str">
        <f>IFERROR(__xludf.DUMMYFUNCTION("""COMPUTED_VALUE"""),"HH1862")</f>
        <v>HH1862</v>
      </c>
      <c r="G2456" s="87" t="str">
        <f>IFERROR(__xludf.DUMMYFUNCTION("""COMPUTED_VALUE"""),"GC - IV - 1862 - Cty Hóa Nông Đất Vàng - FORWIN 85WP (Bột trắng ngà) - 50gr - 200")</f>
        <v>GC - IV - 1862 - Cty Hóa Nông Đất Vàng - FORWIN 85WP (Bột trắng ngà) - 50gr - 200</v>
      </c>
    </row>
    <row r="2457">
      <c r="A2457" s="86">
        <f>IFERROR(__xludf.DUMMYFUNCTION("""COMPUTED_VALUE"""),2455.0)</f>
        <v>2455</v>
      </c>
      <c r="B2457" s="87" t="str">
        <f>IFERROR(__xludf.DUMMYFUNCTION("""COMPUTED_VALUE"""),"Nhãn")</f>
        <v>Nhãn</v>
      </c>
      <c r="C2457" s="87" t="str">
        <f>IFERROR(__xludf.DUMMYFUNCTION("""COMPUTED_VALUE"""),"NHG1863")</f>
        <v>NHG1863</v>
      </c>
      <c r="D2457" s="87" t="str">
        <f>IFERROR(__xludf.DUMMYFUNCTION("""COMPUTED_VALUE"""),"[Nhãn] GC - IV - 1863 - Cty Bellormar - AMILAN 300SC (nước cam sữa) - 500ml - 40")</f>
        <v>[Nhãn] GC - IV - 1863 - Cty Bellormar - AMILAN 300SC (nước cam sữa) - 500ml - 40</v>
      </c>
      <c r="E2457" s="87" t="str">
        <f>IFERROR(__xludf.DUMMYFUNCTION("""COMPUTED_VALUE"""),"AMILAN 300SC")</f>
        <v>AMILAN 300SC</v>
      </c>
      <c r="F2457" s="87" t="str">
        <f>IFERROR(__xludf.DUMMYFUNCTION("""COMPUTED_VALUE"""),"HH1863")</f>
        <v>HH1863</v>
      </c>
      <c r="G2457" s="87" t="str">
        <f>IFERROR(__xludf.DUMMYFUNCTION("""COMPUTED_VALUE"""),"GC - IV - 1863 - Cty Bellormar - AMILAN 300SC (nước cam sữa) - 500ml - 40")</f>
        <v>GC - IV - 1863 - Cty Bellormar - AMILAN 300SC (nước cam sữa) - 500ml - 40</v>
      </c>
    </row>
    <row r="2458">
      <c r="A2458" s="86">
        <f>IFERROR(__xludf.DUMMYFUNCTION("""COMPUTED_VALUE"""),2456.0)</f>
        <v>2456</v>
      </c>
      <c r="B2458" s="87" t="str">
        <f>IFERROR(__xludf.DUMMYFUNCTION("""COMPUTED_VALUE"""),"Nhãn")</f>
        <v>Nhãn</v>
      </c>
      <c r="C2458" s="87" t="str">
        <f>IFERROR(__xludf.DUMMYFUNCTION("""COMPUTED_VALUE"""),"NHD1864")</f>
        <v>NHD1864</v>
      </c>
      <c r="D2458" s="87" t="str">
        <f>IFERROR(__xludf.DUMMYFUNCTION("""COMPUTED_VALUE"""),"[Nhãn] GC - IV - 1864 - Cty Kim Ngọc - Nhện Đỏ (nước xanh lá) - 400ml - 40")</f>
        <v>[Nhãn] GC - IV - 1864 - Cty Kim Ngọc - Nhện Đỏ (nước xanh lá) - 400ml - 40</v>
      </c>
      <c r="E2458" s="87"/>
      <c r="F2458" s="87"/>
      <c r="G2458" s="87"/>
    </row>
    <row r="2459">
      <c r="A2459" s="86" t="str">
        <f>IFERROR(__xludf.DUMMYFUNCTION("""COMPUTED_VALUE"""),"")</f>
        <v/>
      </c>
      <c r="B2459" s="87"/>
      <c r="C2459" s="87" t="str">
        <f>IFERROR(__xludf.DUMMYFUNCTION("""COMPUTED_VALUE"""),"500ml")</f>
        <v>500ml</v>
      </c>
      <c r="D2459" s="87" t="str">
        <f>IFERROR(__xludf.DUMMYFUNCTION("""COMPUTED_VALUE"""),"30")</f>
        <v>30</v>
      </c>
      <c r="E2459" s="87" t="str">
        <f>IFERROR(__xludf.DUMMYFUNCTION("""COMPUTED_VALUE"""),"Nhãn giấy cán bóng")</f>
        <v>Nhãn giấy cán bóng</v>
      </c>
      <c r="F2459" s="87" t="str">
        <f>IFERROR(__xludf.DUMMYFUNCTION("""COMPUTED_VALUE"""),"Cái")</f>
        <v>Cái</v>
      </c>
      <c r="G2459" s="87"/>
    </row>
    <row r="2460">
      <c r="A2460" s="86">
        <f>IFERROR(__xludf.DUMMYFUNCTION("""COMPUTED_VALUE"""),2458.0)</f>
        <v>2458</v>
      </c>
      <c r="B2460" s="87" t="str">
        <f>IFERROR(__xludf.DUMMYFUNCTION("""COMPUTED_VALUE"""),"Nhãn")</f>
        <v>Nhãn</v>
      </c>
      <c r="C2460" s="87" t="str">
        <f>IFERROR(__xludf.DUMMYFUNCTION("""COMPUTED_VALUE"""),"NTN1865")</f>
        <v>NTN1865</v>
      </c>
      <c r="D2460" s="87" t="str">
        <f>IFERROR(__xludf.DUMMYFUNCTION("""COMPUTED_VALUE"""),"[Nhãn] GC - I - 1865 - Cty Nông Dược Sunrise - Manco Sunrise (Bột xanh) - 1kg - 20")</f>
        <v>[Nhãn] GC - I - 1865 - Cty Nông Dược Sunrise - Manco Sunrise (Bột xanh) - 1kg - 20</v>
      </c>
      <c r="E2460" s="87" t="str">
        <f>IFERROR(__xludf.DUMMYFUNCTION("""COMPUTED_VALUE"""),"MANCOBGO 80WP")</f>
        <v>MANCOBGO 80WP</v>
      </c>
      <c r="F2460" s="87" t="str">
        <f>IFERROR(__xludf.DUMMYFUNCTION("""COMPUTED_VALUE"""),"HH1865")</f>
        <v>HH1865</v>
      </c>
      <c r="G2460" s="87" t="str">
        <f>IFERROR(__xludf.DUMMYFUNCTION("""COMPUTED_VALUE"""),"GC - I - 1865 - Cty Nông Dược Sunrise - Manco Sunrise (Bột xanh) - 1kg - 20")</f>
        <v>GC - I - 1865 - Cty Nông Dược Sunrise - Manco Sunrise (Bột xanh) - 1kg - 20</v>
      </c>
    </row>
    <row r="2461">
      <c r="A2461" s="86">
        <f>IFERROR(__xludf.DUMMYFUNCTION("""COMPUTED_VALUE"""),2459.0)</f>
        <v>2459</v>
      </c>
      <c r="B2461" s="87" t="str">
        <f>IFERROR(__xludf.DUMMYFUNCTION("""COMPUTED_VALUE"""),"Nhãn")</f>
        <v>Nhãn</v>
      </c>
      <c r="C2461" s="87" t="str">
        <f>IFERROR(__xludf.DUMMYFUNCTION("""COMPUTED_VALUE"""),"NTN1866")</f>
        <v>NTN1866</v>
      </c>
      <c r="D2461" s="87" t="str">
        <f>IFERROR(__xludf.DUMMYFUNCTION("""COMPUTED_VALUE"""),"[Nhãn] GC - I - 1866 - Cty Nông Dược Sunrise - Manco Sunrise (Bột vàng) - 1kg - 20")</f>
        <v>[Nhãn] GC - I - 1866 - Cty Nông Dược Sunrise - Manco Sunrise (Bột vàng) - 1kg - 20</v>
      </c>
      <c r="E2461" s="87" t="str">
        <f>IFERROR(__xludf.DUMMYFUNCTION("""COMPUTED_VALUE"""),"MANCOBGO 80WP")</f>
        <v>MANCOBGO 80WP</v>
      </c>
      <c r="F2461" s="87" t="str">
        <f>IFERROR(__xludf.DUMMYFUNCTION("""COMPUTED_VALUE"""),"HH1866")</f>
        <v>HH1866</v>
      </c>
      <c r="G2461" s="87" t="str">
        <f>IFERROR(__xludf.DUMMYFUNCTION("""COMPUTED_VALUE"""),"GC - I - 1866 - Cty Nông Dược Sunrise - Manco Sunrise (Bột vàng) - 1kg - 20")</f>
        <v>GC - I - 1866 - Cty Nông Dược Sunrise - Manco Sunrise (Bột vàng) - 1kg - 20</v>
      </c>
    </row>
    <row r="2462">
      <c r="A2462" s="86">
        <f>IFERROR(__xludf.DUMMYFUNCTION("""COMPUTED_VALUE"""),2460.0)</f>
        <v>2460</v>
      </c>
      <c r="B2462" s="87" t="str">
        <f>IFERROR(__xludf.DUMMYFUNCTION("""COMPUTED_VALUE"""),"Nhãn")</f>
        <v>Nhãn</v>
      </c>
      <c r="C2462" s="87" t="str">
        <f>IFERROR(__xludf.DUMMYFUNCTION("""COMPUTED_VALUE"""),"NHG1868")</f>
        <v>NHG1868</v>
      </c>
      <c r="D2462" s="87" t="str">
        <f>IFERROR(__xludf.DUMMYFUNCTION("""COMPUTED_VALUE"""),"[Nhãn] GC - IV - 1868 - Cty Agritech (Anh Trương) - THIPRO 550EC (nước tím) - 250ml - 40")</f>
        <v>[Nhãn] GC - IV - 1868 - Cty Agritech (Anh Trương) - THIPRO 550EC (nước tím) - 250ml - 40</v>
      </c>
      <c r="E2462" s="87" t="str">
        <f>IFERROR(__xludf.DUMMYFUNCTION("""COMPUTED_VALUE"""),"Thipro 550EC")</f>
        <v>Thipro 550EC</v>
      </c>
      <c r="F2462" s="87" t="str">
        <f>IFERROR(__xludf.DUMMYFUNCTION("""COMPUTED_VALUE"""),"HH1868")</f>
        <v>HH1868</v>
      </c>
      <c r="G2462" s="87" t="str">
        <f>IFERROR(__xludf.DUMMYFUNCTION("""COMPUTED_VALUE"""),"GC - IV - 1868 - Cty Agritech (Anh Trương) - THIPRO 550EC (nước tím) - 250ml - 40")</f>
        <v>GC - IV - 1868 - Cty Agritech (Anh Trương) - THIPRO 550EC (nước tím) - 250ml - 40</v>
      </c>
    </row>
    <row r="2463">
      <c r="A2463" s="86">
        <f>IFERROR(__xludf.DUMMYFUNCTION("""COMPUTED_VALUE"""),2461.0)</f>
        <v>2461</v>
      </c>
      <c r="B2463" s="87" t="str">
        <f>IFERROR(__xludf.DUMMYFUNCTION("""COMPUTED_VALUE"""),"NDT")</f>
        <v>NDT</v>
      </c>
      <c r="C2463" s="87" t="str">
        <f>IFERROR(__xludf.DUMMYFUNCTION("""COMPUTED_VALUE"""),"NDT1869")</f>
        <v>NDT1869</v>
      </c>
      <c r="D2463" s="87" t="str">
        <f>IFERROR(__xludf.DUMMYFUNCTION("""COMPUTED_VALUE"""),"[Nhãn thùng] GC - IV - 1869 - Cty Kim Ngọc - Mancozeb Xanh (Bột xanh) - 1kg - 20")</f>
        <v>[Nhãn thùng] GC - IV - 1869 - Cty Kim Ngọc - Mancozeb Xanh (Bột xanh) - 1kg - 20</v>
      </c>
      <c r="E2463" s="87" t="str">
        <f>IFERROR(__xludf.DUMMYFUNCTION("""COMPUTED_VALUE"""),"MANCOBGO 80WP")</f>
        <v>MANCOBGO 80WP</v>
      </c>
      <c r="F2463" s="87" t="str">
        <f>IFERROR(__xludf.DUMMYFUNCTION("""COMPUTED_VALUE"""),"HH1869")</f>
        <v>HH1869</v>
      </c>
      <c r="G2463" s="87" t="str">
        <f>IFERROR(__xludf.DUMMYFUNCTION("""COMPUTED_VALUE"""),"GC - IV - 1869 - Cty Kim Ngọc - Mancozeb Xanh (Bột xanh) - 1kg - 20")</f>
        <v>GC - IV - 1869 - Cty Kim Ngọc - Mancozeb Xanh (Bột xanh) - 1kg - 20</v>
      </c>
    </row>
    <row r="2464">
      <c r="A2464" s="86">
        <f>IFERROR(__xludf.DUMMYFUNCTION("""COMPUTED_VALUE"""),2462.0)</f>
        <v>2462</v>
      </c>
      <c r="B2464" s="87" t="str">
        <f>IFERROR(__xludf.DUMMYFUNCTION("""COMPUTED_VALUE"""),"Nhãn")</f>
        <v>Nhãn</v>
      </c>
      <c r="C2464" s="87" t="str">
        <f>IFERROR(__xludf.DUMMYFUNCTION("""COMPUTED_VALUE"""),"NTN1869")</f>
        <v>NTN1869</v>
      </c>
      <c r="D2464" s="87" t="str">
        <f>IFERROR(__xludf.DUMMYFUNCTION("""COMPUTED_VALUE"""),"[Nhãn] GC - IV - 1869 - Cty Kim Ngọc - Mancozeb Xanh (Bột xanh) - 1kg - 20")</f>
        <v>[Nhãn] GC - IV - 1869 - Cty Kim Ngọc - Mancozeb Xanh (Bột xanh) - 1kg - 20</v>
      </c>
      <c r="E2464" s="87" t="str">
        <f>IFERROR(__xludf.DUMMYFUNCTION("""COMPUTED_VALUE"""),"MANCOBGO 80WP")</f>
        <v>MANCOBGO 80WP</v>
      </c>
      <c r="F2464" s="87" t="str">
        <f>IFERROR(__xludf.DUMMYFUNCTION("""COMPUTED_VALUE"""),"HH1869")</f>
        <v>HH1869</v>
      </c>
      <c r="G2464" s="87" t="str">
        <f>IFERROR(__xludf.DUMMYFUNCTION("""COMPUTED_VALUE"""),"GC - IV - 1869 - Cty Kim Ngọc - Mancozeb Xanh (Bột xanh) - 1kg - 20")</f>
        <v>GC - IV - 1869 - Cty Kim Ngọc - Mancozeb Xanh (Bột xanh) - 1kg - 20</v>
      </c>
    </row>
    <row r="2465">
      <c r="A2465" s="86">
        <f>IFERROR(__xludf.DUMMYFUNCTION("""COMPUTED_VALUE"""),2463.0)</f>
        <v>2463</v>
      </c>
      <c r="B2465" s="87" t="str">
        <f>IFERROR(__xludf.DUMMYFUNCTION("""COMPUTED_VALUE"""),"Nhãn")</f>
        <v>Nhãn</v>
      </c>
      <c r="C2465" s="87" t="str">
        <f>IFERROR(__xludf.DUMMYFUNCTION("""COMPUTED_VALUE"""),"NHD1870")</f>
        <v>NHD1870</v>
      </c>
      <c r="D2465" s="87" t="str">
        <f>IFERROR(__xludf.DUMMYFUNCTION("""COMPUTED_VALUE"""),"[Nhãn] GC - IV - 1870 - Cty Kim Ngọc - PANACEA (nước đỏ) - 250ml - 40")</f>
        <v>[Nhãn] GC - IV - 1870 - Cty Kim Ngọc - PANACEA (nước đỏ) - 250ml - 40</v>
      </c>
      <c r="E2465" s="87" t="str">
        <f>IFERROR(__xludf.DUMMYFUNCTION("""COMPUTED_VALUE"""),"GENOL 1.2SL")</f>
        <v>GENOL 1.2SL</v>
      </c>
      <c r="F2465" s="87" t="str">
        <f>IFERROR(__xludf.DUMMYFUNCTION("""COMPUTED_VALUE"""),"HH1870")</f>
        <v>HH1870</v>
      </c>
      <c r="G2465" s="87" t="str">
        <f>IFERROR(__xludf.DUMMYFUNCTION("""COMPUTED_VALUE"""),"GC - IV - 1870 - Cty Kim Ngọc - PANACEA (nước đỏ) - 250ml - 40")</f>
        <v>GC - IV - 1870 - Cty Kim Ngọc - PANACEA (nước đỏ) - 250ml - 40</v>
      </c>
    </row>
    <row r="2466">
      <c r="A2466" s="86">
        <f>IFERROR(__xludf.DUMMYFUNCTION("""COMPUTED_VALUE"""),2464.0)</f>
        <v>2464</v>
      </c>
      <c r="B2466" s="87" t="str">
        <f>IFERROR(__xludf.DUMMYFUNCTION("""COMPUTED_VALUE"""),"Nhãn")</f>
        <v>Nhãn</v>
      </c>
      <c r="C2466" s="87" t="str">
        <f>IFERROR(__xludf.DUMMYFUNCTION("""COMPUTED_VALUE"""),"NHD1871")</f>
        <v>NHD1871</v>
      </c>
      <c r="D2466" s="87" t="str">
        <f>IFERROR(__xludf.DUMMYFUNCTION("""COMPUTED_VALUE"""),"[Nhãn] GC - IV - 1871 - Cty Masterwin - ABA Win (nước xanh lá) - 450ml - 40")</f>
        <v>[Nhãn] GC - IV - 1871 - Cty Masterwin - ABA Win (nước xanh lá) - 450ml - 40</v>
      </c>
      <c r="E2466" s="87" t="str">
        <f>IFERROR(__xludf.DUMMYFUNCTION("""COMPUTED_VALUE"""),"Chitin 3.6EC")</f>
        <v>Chitin 3.6EC</v>
      </c>
      <c r="F2466" s="87" t="str">
        <f>IFERROR(__xludf.DUMMYFUNCTION("""COMPUTED_VALUE"""),"HH1871")</f>
        <v>HH1871</v>
      </c>
      <c r="G2466" s="87" t="str">
        <f>IFERROR(__xludf.DUMMYFUNCTION("""COMPUTED_VALUE"""),"GC - IV - 1871 - Cty Masterwin - ABA Win (nước xanh lá) - 450ml - 40")</f>
        <v>GC - IV - 1871 - Cty Masterwin - ABA Win (nước xanh lá) - 450ml - 40</v>
      </c>
    </row>
    <row r="2467">
      <c r="A2467" s="86">
        <f>IFERROR(__xludf.DUMMYFUNCTION("""COMPUTED_VALUE"""),2465.0)</f>
        <v>2465</v>
      </c>
      <c r="B2467" s="87" t="str">
        <f>IFERROR(__xludf.DUMMYFUNCTION("""COMPUTED_VALUE"""),"Nhãn")</f>
        <v>Nhãn</v>
      </c>
      <c r="C2467" s="87" t="str">
        <f>IFERROR(__xludf.DUMMYFUNCTION("""COMPUTED_VALUE"""),"NHD1872")</f>
        <v>NHD1872</v>
      </c>
      <c r="D2467" s="87" t="str">
        <f>IFERROR(__xludf.DUMMYFUNCTION("""COMPUTED_VALUE"""),"[Nhãn] GC - IV - 1872 - Cty VNT MeKong - VỊT BẦU (Nước nâu đen) - 450ml - 40")</f>
        <v>[Nhãn] GC - IV - 1872 - Cty VNT MeKong - VỊT BẦU (Nước nâu đen) - 450ml - 40</v>
      </c>
      <c r="E2467" s="87" t="str">
        <f>IFERROR(__xludf.DUMMYFUNCTION("""COMPUTED_VALUE"""),"HAIHAMEC 3.6EC")</f>
        <v>HAIHAMEC 3.6EC</v>
      </c>
      <c r="F2467" s="87" t="str">
        <f>IFERROR(__xludf.DUMMYFUNCTION("""COMPUTED_VALUE"""),"HH1872")</f>
        <v>HH1872</v>
      </c>
      <c r="G2467" s="87" t="str">
        <f>IFERROR(__xludf.DUMMYFUNCTION("""COMPUTED_VALUE"""),"GC - IV - 1872 - Cty VNT MeKong - VỊT BẦU (Nước nâu đen) - 450ml - 40")</f>
        <v>GC - IV - 1872 - Cty VNT MeKong - VỊT BẦU (Nước nâu đen) - 450ml - 40</v>
      </c>
    </row>
    <row r="2468">
      <c r="A2468" s="86">
        <f>IFERROR(__xludf.DUMMYFUNCTION("""COMPUTED_VALUE"""),2466.0)</f>
        <v>2466</v>
      </c>
      <c r="B2468" s="87" t="str">
        <f>IFERROR(__xludf.DUMMYFUNCTION("""COMPUTED_VALUE"""),"Nhãn")</f>
        <v>Nhãn</v>
      </c>
      <c r="C2468" s="87" t="str">
        <f>IFERROR(__xludf.DUMMYFUNCTION("""COMPUTED_VALUE"""),"NHG1872")</f>
        <v>NHG1872</v>
      </c>
      <c r="D2468" s="87" t="str">
        <f>IFERROR(__xludf.DUMMYFUNCTION("""COMPUTED_VALUE"""),"[Nhãn] GC - IV - 1872 - Cty VNT MeKong - VỊT BẦU (Nước nâu đen) - 450ml - 40")</f>
        <v>[Nhãn] GC - IV - 1872 - Cty VNT MeKong - VỊT BẦU (Nước nâu đen) - 450ml - 40</v>
      </c>
      <c r="E2468" s="87" t="str">
        <f>IFERROR(__xludf.DUMMYFUNCTION("""COMPUTED_VALUE"""),"HAIHAMEC 3.6EC")</f>
        <v>HAIHAMEC 3.6EC</v>
      </c>
      <c r="F2468" s="87" t="str">
        <f>IFERROR(__xludf.DUMMYFUNCTION("""COMPUTED_VALUE"""),"HH1872")</f>
        <v>HH1872</v>
      </c>
      <c r="G2468" s="87" t="str">
        <f>IFERROR(__xludf.DUMMYFUNCTION("""COMPUTED_VALUE"""),"GC - IV - 1872 - Cty VNT MeKong - VỊT BẦU (Nước nâu đen) - 450ml - 40")</f>
        <v>GC - IV - 1872 - Cty VNT MeKong - VỊT BẦU (Nước nâu đen) - 450ml - 40</v>
      </c>
    </row>
    <row r="2469">
      <c r="A2469" s="86">
        <f>IFERROR(__xludf.DUMMYFUNCTION("""COMPUTED_VALUE"""),2467.0)</f>
        <v>2467</v>
      </c>
      <c r="B2469" s="87" t="str">
        <f>IFERROR(__xludf.DUMMYFUNCTION("""COMPUTED_VALUE"""),"Nhãn")</f>
        <v>Nhãn</v>
      </c>
      <c r="C2469" s="87" t="str">
        <f>IFERROR(__xludf.DUMMYFUNCTION("""COMPUTED_VALUE"""),"NHD1873")</f>
        <v>NHD1873</v>
      </c>
      <c r="D2469" s="87" t="str">
        <f>IFERROR(__xludf.DUMMYFUNCTION("""COMPUTED_VALUE"""),"[Nhãn]  GC - IV - 1873 - Cty Kim Ngọc - Sạch Rầy (nước tím) - 250ml - 40")</f>
        <v>[Nhãn]  GC - IV - 1873 - Cty Kim Ngọc - Sạch Rầy (nước tím) - 250ml - 40</v>
      </c>
      <c r="E2469" s="87" t="str">
        <f>IFERROR(__xludf.DUMMYFUNCTION("""COMPUTED_VALUE"""),"Thipro 550EC")</f>
        <v>Thipro 550EC</v>
      </c>
      <c r="F2469" s="87" t="str">
        <f>IFERROR(__xludf.DUMMYFUNCTION("""COMPUTED_VALUE"""),"HH1873")</f>
        <v>HH1873</v>
      </c>
      <c r="G2469" s="87" t="str">
        <f>IFERROR(__xludf.DUMMYFUNCTION("""COMPUTED_VALUE"""),"GC - IV - 1873 - Cty Kim Ngọc - Sạch Rầy (nước tím) - 250ml - 40")</f>
        <v>GC - IV - 1873 - Cty Kim Ngọc - Sạch Rầy (nước tím) - 250ml - 40</v>
      </c>
    </row>
    <row r="2470">
      <c r="A2470" s="86">
        <f>IFERROR(__xludf.DUMMYFUNCTION("""COMPUTED_VALUE"""),2468.0)</f>
        <v>2468</v>
      </c>
      <c r="B2470" s="87" t="str">
        <f>IFERROR(__xludf.DUMMYFUNCTION("""COMPUTED_VALUE"""),"Nhãn")</f>
        <v>Nhãn</v>
      </c>
      <c r="C2470" s="87" t="str">
        <f>IFERROR(__xludf.DUMMYFUNCTION("""COMPUTED_VALUE"""),"NHD1874")</f>
        <v>NHD1874</v>
      </c>
      <c r="D2470" s="87" t="str">
        <f>IFERROR(__xludf.DUMMYFUNCTION("""COMPUTED_VALUE"""),"[Nhãn]  IDA Global - I - 1874 - RONADO (Nước tím) - 450ml - 40")</f>
        <v>[Nhãn]  IDA Global - I - 1874 - RONADO (Nước tím) - 450ml - 40</v>
      </c>
      <c r="E2470" s="87" t="str">
        <f>IFERROR(__xludf.DUMMYFUNCTION("""COMPUTED_VALUE"""),"NPK-vi lượng BASEL NPK 6-6-8 IDA 33")</f>
        <v>NPK-vi lượng BASEL NPK 6-6-8 IDA 33</v>
      </c>
      <c r="F2470" s="87" t="str">
        <f>IFERROR(__xludf.DUMMYFUNCTION("""COMPUTED_VALUE"""),"HH1874")</f>
        <v>HH1874</v>
      </c>
      <c r="G2470" s="87" t="str">
        <f>IFERROR(__xludf.DUMMYFUNCTION("""COMPUTED_VALUE"""),"IDA Global - I - 1874 - RONADO (Nước tím) - 450ml - 40")</f>
        <v>IDA Global - I - 1874 - RONADO (Nước tím) - 450ml - 40</v>
      </c>
    </row>
    <row r="2471">
      <c r="A2471" s="86">
        <f>IFERROR(__xludf.DUMMYFUNCTION("""COMPUTED_VALUE"""),2469.0)</f>
        <v>2469</v>
      </c>
      <c r="B2471" s="87" t="str">
        <f>IFERROR(__xludf.DUMMYFUNCTION("""COMPUTED_VALUE"""),"Nhãn")</f>
        <v>Nhãn</v>
      </c>
      <c r="C2471" s="87" t="str">
        <f>IFERROR(__xludf.DUMMYFUNCTION("""COMPUTED_VALUE"""),"NHG1875")</f>
        <v>NHG1875</v>
      </c>
      <c r="D2471" s="87" t="str">
        <f>IFERROR(__xludf.DUMMYFUNCTION("""COMPUTED_VALUE"""),"[Nhãn] GC - IV - 1875 - Cty Lộc Phát Nông - DOUBLE_PHOS 450 (nước xanh dương sữa) - 1L - 20")</f>
        <v>[Nhãn] GC - IV - 1875 - Cty Lộc Phát Nông - DOUBLE_PHOS 450 (nước xanh dương sữa) - 1L - 20</v>
      </c>
      <c r="E2471" s="87" t="str">
        <f>IFERROR(__xludf.DUMMYFUNCTION("""COMPUTED_VALUE"""),"vi lượng HELP FARMER_3")</f>
        <v>vi lượng HELP FARMER_3</v>
      </c>
      <c r="F2471" s="87" t="str">
        <f>IFERROR(__xludf.DUMMYFUNCTION("""COMPUTED_VALUE"""),"HH1875")</f>
        <v>HH1875</v>
      </c>
      <c r="G2471" s="87" t="str">
        <f>IFERROR(__xludf.DUMMYFUNCTION("""COMPUTED_VALUE"""),"GC - IV - 1875 - Cty Lộc Phát Nông - DOUBLE_PHOS 450 (nước xanh dương sữa) - 1L - 20")</f>
        <v>GC - IV - 1875 - Cty Lộc Phát Nông - DOUBLE_PHOS 450 (nước xanh dương sữa) - 1L - 20</v>
      </c>
    </row>
    <row r="2472">
      <c r="A2472" s="86">
        <f>IFERROR(__xludf.DUMMYFUNCTION("""COMPUTED_VALUE"""),2470.0)</f>
        <v>2470</v>
      </c>
      <c r="B2472" s="87" t="str">
        <f>IFERROR(__xludf.DUMMYFUNCTION("""COMPUTED_VALUE"""),"Nhãn")</f>
        <v>Nhãn</v>
      </c>
      <c r="C2472" s="87" t="str">
        <f>IFERROR(__xludf.DUMMYFUNCTION("""COMPUTED_VALUE"""),"NHG1876")</f>
        <v>NHG1876</v>
      </c>
      <c r="D2472" s="87" t="str">
        <f>IFERROR(__xludf.DUMMYFUNCTION("""COMPUTED_VALUE"""),"[Nhãn]  GC - IV - 1876 - Cty Lộc Phát Nông - TOTRA PLUS (Gel nâu đen) - 500ml - 40")</f>
        <v>[Nhãn]  GC - IV - 1876 - Cty Lộc Phát Nông - TOTRA PLUS (Gel nâu đen) - 500ml - 40</v>
      </c>
      <c r="E2472" s="87" t="str">
        <f>IFERROR(__xludf.DUMMYFUNCTION("""COMPUTED_VALUE"""),"Vi lượng Run Fast")</f>
        <v>Vi lượng Run Fast</v>
      </c>
      <c r="F2472" s="87" t="str">
        <f>IFERROR(__xludf.DUMMYFUNCTION("""COMPUTED_VALUE"""),"HH1876")</f>
        <v>HH1876</v>
      </c>
      <c r="G2472" s="87" t="str">
        <f>IFERROR(__xludf.DUMMYFUNCTION("""COMPUTED_VALUE"""),"GC - IV - 1876 - Cty Lộc Phát Nông - TOTRA PLUS (Gel nâu đen) - 500ml - 40")</f>
        <v>GC - IV - 1876 - Cty Lộc Phát Nông - TOTRA PLUS (Gel nâu đen) - 500ml - 40</v>
      </c>
    </row>
    <row r="2473">
      <c r="A2473" s="86">
        <f>IFERROR(__xludf.DUMMYFUNCTION("""COMPUTED_VALUE"""),2471.0)</f>
        <v>2471</v>
      </c>
      <c r="B2473" s="87" t="str">
        <f>IFERROR(__xludf.DUMMYFUNCTION("""COMPUTED_VALUE"""),"Nhãn")</f>
        <v>Nhãn</v>
      </c>
      <c r="C2473" s="87" t="str">
        <f>IFERROR(__xludf.DUMMYFUNCTION("""COMPUTED_VALUE"""),"NHG1877")</f>
        <v>NHG1877</v>
      </c>
      <c r="D2473" s="87" t="str">
        <f>IFERROR(__xludf.DUMMYFUNCTION("""COMPUTED_VALUE"""),"[Nhãn]  GC - II - 1877 - Cty Lộc Phát Nông - Siêu lớn trái Phúc Lộc Thọ (Gel nâu đen) - 20L - 1")</f>
        <v>[Nhãn]  GC - II - 1877 - Cty Lộc Phát Nông - Siêu lớn trái Phúc Lộc Thọ (Gel nâu đen) - 20L - 1</v>
      </c>
      <c r="E2473" s="87" t="str">
        <f>IFERROR(__xludf.DUMMYFUNCTION("""COMPUTED_VALUE"""),"Vi lượng Quantity New")</f>
        <v>Vi lượng Quantity New</v>
      </c>
      <c r="F2473" s="87" t="str">
        <f>IFERROR(__xludf.DUMMYFUNCTION("""COMPUTED_VALUE"""),"HH1877")</f>
        <v>HH1877</v>
      </c>
      <c r="G2473" s="87" t="str">
        <f>IFERROR(__xludf.DUMMYFUNCTION("""COMPUTED_VALUE"""),"GC - II - 1877 - Cty Lộc Phát Nông - Siêu lớn trái Phúc Lộc Thọ (Gel nâu đen) - 20L - 1")</f>
        <v>GC - II - 1877 - Cty Lộc Phát Nông - Siêu lớn trái Phúc Lộc Thọ (Gel nâu đen) - 20L - 1</v>
      </c>
    </row>
    <row r="2474">
      <c r="A2474" s="86">
        <f>IFERROR(__xludf.DUMMYFUNCTION("""COMPUTED_VALUE"""),2472.0)</f>
        <v>2472</v>
      </c>
      <c r="B2474" s="87" t="str">
        <f>IFERROR(__xludf.DUMMYFUNCTION("""COMPUTED_VALUE"""),"[Nhãn]")</f>
        <v>[Nhãn]</v>
      </c>
      <c r="C2474" s="87" t="str">
        <f>IFERROR(__xludf.DUMMYFUNCTION("""COMPUTED_VALUE"""),"NHD1877")</f>
        <v>NHD1877</v>
      </c>
      <c r="D2474" s="87" t="str">
        <f>IFERROR(__xludf.DUMMYFUNCTION("""COMPUTED_VALUE"""),"[Nhãn]  GC - II - 1877 - Cty Lộc Phát Nông - Siêu lớn trái Phúc Lộc Thọ (Gel nâu đen) - 20L - 1")</f>
        <v>[Nhãn]  GC - II - 1877 - Cty Lộc Phát Nông - Siêu lớn trái Phúc Lộc Thọ (Gel nâu đen) - 20L - 1</v>
      </c>
      <c r="E2474" s="87" t="str">
        <f>IFERROR(__xludf.DUMMYFUNCTION("""COMPUTED_VALUE"""),"Vi lượng Quantity New")</f>
        <v>Vi lượng Quantity New</v>
      </c>
      <c r="F2474" s="87" t="str">
        <f>IFERROR(__xludf.DUMMYFUNCTION("""COMPUTED_VALUE"""),"HH1877")</f>
        <v>HH1877</v>
      </c>
      <c r="G2474" s="87" t="str">
        <f>IFERROR(__xludf.DUMMYFUNCTION("""COMPUTED_VALUE"""),"GC - II - 1877 - Cty Lộc Phát Nông - Siêu lớn trái Phúc Lộc Thọ (Gel nâu đen) - 20L - 1")</f>
        <v>GC - II - 1877 - Cty Lộc Phát Nông - Siêu lớn trái Phúc Lộc Thọ (Gel nâu đen) - 20L - 1</v>
      </c>
    </row>
    <row r="2475">
      <c r="A2475" s="86">
        <f>IFERROR(__xludf.DUMMYFUNCTION("""COMPUTED_VALUE"""),2473.0)</f>
        <v>2473</v>
      </c>
      <c r="B2475" s="87" t="str">
        <f>IFERROR(__xludf.DUMMYFUNCTION("""COMPUTED_VALUE"""),"Nhãn")</f>
        <v>Nhãn</v>
      </c>
      <c r="C2475" s="87" t="str">
        <f>IFERROR(__xludf.DUMMYFUNCTION("""COMPUTED_VALUE"""),"NHG1879")</f>
        <v>NHG1879</v>
      </c>
      <c r="D2475" s="87" t="str">
        <f>IFERROR(__xludf.DUMMYFUNCTION("""COMPUTED_VALUE"""),"[Nhãn] IDA Global - I - 1879 - IDA Vil (Vàng) (HD trắng)(nắp vàng)(nước vàng) - 1 Lít - 20")</f>
        <v>[Nhãn] IDA Global - I - 1879 - IDA Vil (Vàng) (HD trắng)(nắp vàng)(nước vàng) - 1 Lít - 20</v>
      </c>
      <c r="E2475" s="87" t="str">
        <f>IFERROR(__xludf.DUMMYFUNCTION("""COMPUTED_VALUE"""),"Mekongvil 5SC")</f>
        <v>Mekongvil 5SC</v>
      </c>
      <c r="F2475" s="87" t="str">
        <f>IFERROR(__xludf.DUMMYFUNCTION("""COMPUTED_VALUE"""),"HH1879")</f>
        <v>HH1879</v>
      </c>
      <c r="G2475" s="87" t="str">
        <f>IFERROR(__xludf.DUMMYFUNCTION("""COMPUTED_VALUE"""),"IDA Global - I - 1879 - IDA Vil (Vàng) (HD trắng)(nắp vàng)(nước vàng) - 1 Lít - 20")</f>
        <v>IDA Global - I - 1879 - IDA Vil (Vàng) (HD trắng)(nắp vàng)(nước vàng) - 1 Lít - 20</v>
      </c>
    </row>
    <row r="2476">
      <c r="A2476" s="86">
        <f>IFERROR(__xludf.DUMMYFUNCTION("""COMPUTED_VALUE"""),2474.0)</f>
        <v>2474</v>
      </c>
      <c r="B2476" s="87" t="str">
        <f>IFERROR(__xludf.DUMMYFUNCTION("""COMPUTED_VALUE"""),"Nhãn")</f>
        <v>Nhãn</v>
      </c>
      <c r="C2476" s="87" t="str">
        <f>IFERROR(__xludf.DUMMYFUNCTION("""COMPUTED_VALUE"""),"NHG1880")</f>
        <v>NHG1880</v>
      </c>
      <c r="D2476" s="87" t="str">
        <f>IFERROR(__xludf.DUMMYFUNCTION("""COMPUTED_VALUE"""),"[Nhãn] GC - IV - 1880 - Chi Nông Phát - Asupergras 200SL (nước đỏ) - 900ml - 20")</f>
        <v>[Nhãn] GC - IV - 1880 - Chi Nông Phát - Asupergras 200SL (nước đỏ) - 900ml - 20</v>
      </c>
      <c r="E2476" s="87"/>
      <c r="F2476" s="87"/>
      <c r="G2476" s="87"/>
    </row>
    <row r="2477">
      <c r="A2477" s="86">
        <f>IFERROR(__xludf.DUMMYFUNCTION("""COMPUTED_VALUE"""),2475.0)</f>
        <v>2475</v>
      </c>
      <c r="B2477" s="87" t="str">
        <f>IFERROR(__xludf.DUMMYFUNCTION("""COMPUTED_VALUE"""),"ABA")</f>
        <v>ABA</v>
      </c>
      <c r="C2477" s="87" t="str">
        <f>IFERROR(__xludf.DUMMYFUNCTION("""COMPUTED_VALUE"""),"500ml")</f>
        <v>500ml</v>
      </c>
      <c r="D2477" s="87" t="str">
        <f>IFERROR(__xludf.DUMMYFUNCTION("""COMPUTED_VALUE"""),"40")</f>
        <v>40</v>
      </c>
      <c r="E2477" s="87" t="str">
        <f>IFERROR(__xludf.DUMMYFUNCTION("""COMPUTED_VALUE"""),"Nhãn giấy cán bóng")</f>
        <v>Nhãn giấy cán bóng</v>
      </c>
      <c r="F2477" s="87" t="str">
        <f>IFERROR(__xludf.DUMMYFUNCTION("""COMPUTED_VALUE"""),"Cái")</f>
        <v>Cái</v>
      </c>
      <c r="G2477" s="87"/>
    </row>
    <row r="2478">
      <c r="A2478" s="86">
        <f>IFERROR(__xludf.DUMMYFUNCTION("""COMPUTED_VALUE"""),2476.0)</f>
        <v>2476</v>
      </c>
      <c r="B2478" s="87" t="str">
        <f>IFERROR(__xludf.DUMMYFUNCTION("""COMPUTED_VALUE"""),"NDT")</f>
        <v>NDT</v>
      </c>
      <c r="C2478" s="87" t="str">
        <f>IFERROR(__xludf.DUMMYFUNCTION("""COMPUTED_VALUE"""),"NDT1881")</f>
        <v>NDT1881</v>
      </c>
      <c r="D2478" s="87" t="str">
        <f>IFERROR(__xludf.DUMMYFUNCTION("""COMPUTED_VALUE"""),"[Nhãn thùng] GC - IV - 1881 - Chi Nông Phát - Sha Chong Jing 95WP (Bột trắng) - 100gr - 100")</f>
        <v>[Nhãn thùng] GC - IV - 1881 - Chi Nông Phát - Sha Chong Jing 95WP (Bột trắng) - 100gr - 100</v>
      </c>
      <c r="E2478" s="87" t="str">
        <f>IFERROR(__xludf.DUMMYFUNCTION("""COMPUTED_VALUE"""),"SHA CHONG JING 95WP")</f>
        <v>SHA CHONG JING 95WP</v>
      </c>
      <c r="F2478" s="87" t="str">
        <f>IFERROR(__xludf.DUMMYFUNCTION("""COMPUTED_VALUE"""),"HH1881")</f>
        <v>HH1881</v>
      </c>
      <c r="G2478" s="87" t="str">
        <f>IFERROR(__xludf.DUMMYFUNCTION("""COMPUTED_VALUE"""),"GC - IV - 1881 - Chi Nông Phát - Sha Chong Jing 95WP (Bột trắng) - 100gr - 100")</f>
        <v>GC - IV - 1881 - Chi Nông Phát - Sha Chong Jing 95WP (Bột trắng) - 100gr - 100</v>
      </c>
    </row>
    <row r="2479">
      <c r="A2479" s="86">
        <f>IFERROR(__xludf.DUMMYFUNCTION("""COMPUTED_VALUE"""),2477.0)</f>
        <v>2477</v>
      </c>
      <c r="B2479" s="87" t="str">
        <f>IFERROR(__xludf.DUMMYFUNCTION("""COMPUTED_VALUE"""),"Nhãn")</f>
        <v>Nhãn</v>
      </c>
      <c r="C2479" s="87" t="str">
        <f>IFERROR(__xludf.DUMMYFUNCTION("""COMPUTED_VALUE"""),"NTN1881")</f>
        <v>NTN1881</v>
      </c>
      <c r="D2479" s="87" t="str">
        <f>IFERROR(__xludf.DUMMYFUNCTION("""COMPUTED_VALUE"""),"[Nhãn] GC - IV - 1881 - Chi Nông Phát - Sha Chong Jing 95WP (Bột trắng) - 100gr - 100")</f>
        <v>[Nhãn] GC - IV - 1881 - Chi Nông Phát - Sha Chong Jing 95WP (Bột trắng) - 100gr - 100</v>
      </c>
      <c r="E2479" s="87" t="str">
        <f>IFERROR(__xludf.DUMMYFUNCTION("""COMPUTED_VALUE"""),"SHA CHONG JING 95WP")</f>
        <v>SHA CHONG JING 95WP</v>
      </c>
      <c r="F2479" s="87" t="str">
        <f>IFERROR(__xludf.DUMMYFUNCTION("""COMPUTED_VALUE"""),"HH1881")</f>
        <v>HH1881</v>
      </c>
      <c r="G2479" s="87" t="str">
        <f>IFERROR(__xludf.DUMMYFUNCTION("""COMPUTED_VALUE"""),"GC - IV - 1881 - Chi Nông Phát - Sha Chong Jing 95WP (Bột trắng) - 100gr - 100")</f>
        <v>GC - IV - 1881 - Chi Nông Phát - Sha Chong Jing 95WP (Bột trắng) - 100gr - 100</v>
      </c>
    </row>
    <row r="2480">
      <c r="A2480" s="86">
        <f>IFERROR(__xludf.DUMMYFUNCTION("""COMPUTED_VALUE"""),2478.0)</f>
        <v>2478</v>
      </c>
      <c r="B2480" s="87" t="str">
        <f>IFERROR(__xludf.DUMMYFUNCTION("""COMPUTED_VALUE"""),"HỘP")</f>
        <v>HỘP</v>
      </c>
      <c r="C2480" s="87" t="str">
        <f>IFERROR(__xludf.DUMMYFUNCTION("""COMPUTED_VALUE"""),"HOP1882")</f>
        <v>HOP1882</v>
      </c>
      <c r="D2480" s="87" t="str">
        <f>IFERROR(__xludf.DUMMYFUNCTION("""COMPUTED_VALUE"""),"[HOP] IDA Global - I - 1882 - Tree Top (drone) - 450ml - 40")</f>
        <v>[HOP] IDA Global - I - 1882 - Tree Top (drone) - 450ml - 40</v>
      </c>
      <c r="E2480" s="87" t="str">
        <f>IFERROR(__xludf.DUMMYFUNCTION("""COMPUTED_VALUE"""),"Vi lượng Run Fast")</f>
        <v>Vi lượng Run Fast</v>
      </c>
      <c r="F2480" s="87" t="str">
        <f>IFERROR(__xludf.DUMMYFUNCTION("""COMPUTED_VALUE"""),"HH1882")</f>
        <v>HH1882</v>
      </c>
      <c r="G2480" s="87" t="str">
        <f>IFERROR(__xludf.DUMMYFUNCTION("""COMPUTED_VALUE"""),"IDA Global - I - 1882 - Tree Top (drone) - 450ml - 40")</f>
        <v>IDA Global - I - 1882 - Tree Top (drone) - 450ml - 40</v>
      </c>
    </row>
    <row r="2481">
      <c r="A2481" s="86">
        <f>IFERROR(__xludf.DUMMYFUNCTION("""COMPUTED_VALUE"""),2479.0)</f>
        <v>2479</v>
      </c>
      <c r="B2481" s="87" t="str">
        <f>IFERROR(__xludf.DUMMYFUNCTION("""COMPUTED_VALUE"""),"Nhãn")</f>
        <v>Nhãn</v>
      </c>
      <c r="C2481" s="87" t="str">
        <f>IFERROR(__xludf.DUMMYFUNCTION("""COMPUTED_VALUE"""),"NHG1882")</f>
        <v>NHG1882</v>
      </c>
      <c r="D2481" s="87" t="str">
        <f>IFERROR(__xludf.DUMMYFUNCTION("""COMPUTED_VALUE"""),"[Nhãn] IDA Global - I - 1882 - Tree Top (drone) - 450ml - 40")</f>
        <v>[Nhãn] IDA Global - I - 1882 - Tree Top (drone) - 450ml - 40</v>
      </c>
      <c r="E2481" s="87" t="str">
        <f>IFERROR(__xludf.DUMMYFUNCTION("""COMPUTED_VALUE"""),"Vi lượng Run Fast")</f>
        <v>Vi lượng Run Fast</v>
      </c>
      <c r="F2481" s="87" t="str">
        <f>IFERROR(__xludf.DUMMYFUNCTION("""COMPUTED_VALUE"""),"HH1882")</f>
        <v>HH1882</v>
      </c>
      <c r="G2481" s="87" t="str">
        <f>IFERROR(__xludf.DUMMYFUNCTION("""COMPUTED_VALUE"""),"IDA Global - I - 1882 - Tree Top (drone) - 450ml - 40")</f>
        <v>IDA Global - I - 1882 - Tree Top (drone) - 450ml - 40</v>
      </c>
    </row>
    <row r="2482">
      <c r="A2482" s="86">
        <f>IFERROR(__xludf.DUMMYFUNCTION("""COMPUTED_VALUE"""),2480.0)</f>
        <v>2480</v>
      </c>
      <c r="B2482" s="87" t="str">
        <f>IFERROR(__xludf.DUMMYFUNCTION("""COMPUTED_VALUE"""),"Nhãn thùng")</f>
        <v>Nhãn thùng</v>
      </c>
      <c r="C2482" s="87" t="str">
        <f>IFERROR(__xludf.DUMMYFUNCTION("""COMPUTED_VALUE"""),"NDT1882")</f>
        <v>NDT1882</v>
      </c>
      <c r="D2482" s="87" t="str">
        <f>IFERROR(__xludf.DUMMYFUNCTION("""COMPUTED_VALUE"""),"[Nhãn thùng] IDA Global - I - 1882 - Tree Top (drone) - 450ml - 40")</f>
        <v>[Nhãn thùng] IDA Global - I - 1882 - Tree Top (drone) - 450ml - 40</v>
      </c>
      <c r="E2482" s="87" t="str">
        <f>IFERROR(__xludf.DUMMYFUNCTION("""COMPUTED_VALUE"""),"Vi lượng Run Fast")</f>
        <v>Vi lượng Run Fast</v>
      </c>
      <c r="F2482" s="87" t="str">
        <f>IFERROR(__xludf.DUMMYFUNCTION("""COMPUTED_VALUE"""),"HH1882")</f>
        <v>HH1882</v>
      </c>
      <c r="G2482" s="87" t="str">
        <f>IFERROR(__xludf.DUMMYFUNCTION("""COMPUTED_VALUE"""),"IDA Global - I - 1882 - Tree Top (drone) - 450ml - 40")</f>
        <v>IDA Global - I - 1882 - Tree Top (drone) - 450ml - 40</v>
      </c>
    </row>
    <row r="2483">
      <c r="A2483" s="86">
        <f>IFERROR(__xludf.DUMMYFUNCTION("""COMPUTED_VALUE"""),2481.0)</f>
        <v>2481</v>
      </c>
      <c r="B2483" s="87" t="str">
        <f>IFERROR(__xludf.DUMMYFUNCTION("""COMPUTED_VALUE"""),"Nhãn")</f>
        <v>Nhãn</v>
      </c>
      <c r="C2483" s="87" t="str">
        <f>IFERROR(__xludf.DUMMYFUNCTION("""COMPUTED_VALUE"""),"NTN1883")</f>
        <v>NTN1883</v>
      </c>
      <c r="D2483" s="87" t="str">
        <f>IFERROR(__xludf.DUMMYFUNCTION("""COMPUTED_VALUE"""),"[Nhãn]  GC - IV - 1883 - Cty Agritech American - K_HUMIC (Dạng vẩy màu nâu đen) - 1kg - 25")</f>
        <v>[Nhãn]  GC - IV - 1883 - Cty Agritech American - K_HUMIC (Dạng vẩy màu nâu đen) - 1kg - 25</v>
      </c>
      <c r="E2483" s="87" t="str">
        <f>IFERROR(__xludf.DUMMYFUNCTION("""COMPUTED_VALUE"""),"Hữu cơ sinh học Nam Kinh 02")</f>
        <v>Hữu cơ sinh học Nam Kinh 02</v>
      </c>
      <c r="F2483" s="87" t="str">
        <f>IFERROR(__xludf.DUMMYFUNCTION("""COMPUTED_VALUE"""),"HH1883")</f>
        <v>HH1883</v>
      </c>
      <c r="G2483" s="87" t="str">
        <f>IFERROR(__xludf.DUMMYFUNCTION("""COMPUTED_VALUE"""),"GC - IV - 1883 - Cty Agritech American - K_HUMIC (Dạng vẩy màu nâu đen) - 1kg - 25")</f>
        <v>GC - IV - 1883 - Cty Agritech American - K_HUMIC (Dạng vẩy màu nâu đen) - 1kg - 25</v>
      </c>
    </row>
    <row r="2484">
      <c r="A2484" s="86">
        <f>IFERROR(__xludf.DUMMYFUNCTION("""COMPUTED_VALUE"""),2482.0)</f>
        <v>2482</v>
      </c>
      <c r="B2484" s="87" t="str">
        <f>IFERROR(__xludf.DUMMYFUNCTION("""COMPUTED_VALUE"""),"NDT")</f>
        <v>NDT</v>
      </c>
      <c r="C2484" s="87" t="str">
        <f>IFERROR(__xludf.DUMMYFUNCTION("""COMPUTED_VALUE"""),"NDT1884")</f>
        <v>NDT1884</v>
      </c>
      <c r="D2484" s="87" t="str">
        <f>IFERROR(__xludf.DUMMYFUNCTION("""COMPUTED_VALUE"""),"[Nhãn thùng]  GC - IV - 1884 - Cty Hóa Nông Shino - 1 TẤN 4 (nước đỏ cam) - 500ml - 30")</f>
        <v>[Nhãn thùng]  GC - IV - 1884 - Cty Hóa Nông Shino - 1 TẤN 4 (nước đỏ cam) - 500ml - 30</v>
      </c>
      <c r="E2484" s="87" t="str">
        <f>IFERROR(__xludf.DUMMYFUNCTION("""COMPUTED_VALUE"""),"NPK-Vi lượng MASSIVE-BLUE")</f>
        <v>NPK-Vi lượng MASSIVE-BLUE</v>
      </c>
      <c r="F2484" s="87" t="str">
        <f>IFERROR(__xludf.DUMMYFUNCTION("""COMPUTED_VALUE"""),"HH1884")</f>
        <v>HH1884</v>
      </c>
      <c r="G2484" s="87" t="str">
        <f>IFERROR(__xludf.DUMMYFUNCTION("""COMPUTED_VALUE"""),"GC - IV - 1884 - Cty Hóa Nông Shino - 1 TẤN 4 (nước đỏ cam) - 500ml - 30")</f>
        <v>GC - IV - 1884 - Cty Hóa Nông Shino - 1 TẤN 4 (nước đỏ cam) - 500ml - 30</v>
      </c>
    </row>
    <row r="2485">
      <c r="A2485" s="86">
        <f>IFERROR(__xludf.DUMMYFUNCTION("""COMPUTED_VALUE"""),2483.0)</f>
        <v>2483</v>
      </c>
      <c r="B2485" s="87" t="str">
        <f>IFERROR(__xludf.DUMMYFUNCTION("""COMPUTED_VALUE"""),"Nhãn")</f>
        <v>Nhãn</v>
      </c>
      <c r="C2485" s="87" t="str">
        <f>IFERROR(__xludf.DUMMYFUNCTION("""COMPUTED_VALUE"""),"NHG1884")</f>
        <v>NHG1884</v>
      </c>
      <c r="D2485" s="87" t="str">
        <f>IFERROR(__xludf.DUMMYFUNCTION("""COMPUTED_VALUE"""),"[Nhãn]  GC - IV - 1884 - Cty Hóa Nông Shino - 1 TẤN 4 (nước đỏ cam) - 500ml - 30")</f>
        <v>[Nhãn]  GC - IV - 1884 - Cty Hóa Nông Shino - 1 TẤN 4 (nước đỏ cam) - 500ml - 30</v>
      </c>
      <c r="E2485" s="87" t="str">
        <f>IFERROR(__xludf.DUMMYFUNCTION("""COMPUTED_VALUE"""),"NPK-Vi lượng MASSIVE-BLUE")</f>
        <v>NPK-Vi lượng MASSIVE-BLUE</v>
      </c>
      <c r="F2485" s="87" t="str">
        <f>IFERROR(__xludf.DUMMYFUNCTION("""COMPUTED_VALUE"""),"HH1884")</f>
        <v>HH1884</v>
      </c>
      <c r="G2485" s="87" t="str">
        <f>IFERROR(__xludf.DUMMYFUNCTION("""COMPUTED_VALUE"""),"GC - IV - 1884 - Cty Hóa Nông Shino - 1 TẤN 4 (nước đỏ cam) - 500ml - 30")</f>
        <v>GC - IV - 1884 - Cty Hóa Nông Shino - 1 TẤN 4 (nước đỏ cam) - 500ml - 30</v>
      </c>
    </row>
    <row r="2486">
      <c r="A2486" s="86">
        <f>IFERROR(__xludf.DUMMYFUNCTION("""COMPUTED_VALUE"""),2484.0)</f>
        <v>2484</v>
      </c>
      <c r="B2486" s="87" t="str">
        <f>IFERROR(__xludf.DUMMYFUNCTION("""COMPUTED_VALUE"""),"Nhãn")</f>
        <v>Nhãn</v>
      </c>
      <c r="C2486" s="87" t="str">
        <f>IFERROR(__xludf.DUMMYFUNCTION("""COMPUTED_VALUE"""),"NHG1885")</f>
        <v>NHG1885</v>
      </c>
      <c r="D2486" s="87" t="str">
        <f>IFERROR(__xludf.DUMMYFUNCTION("""COMPUTED_VALUE"""),"[Nhãn] GC - IV - 1885 - Cty Hóa Nông Shino - SHINO RICE (nước đỏ cam) - 500ml - 30")</f>
        <v>[Nhãn] GC - IV - 1885 - Cty Hóa Nông Shino - SHINO RICE (nước đỏ cam) - 500ml - 30</v>
      </c>
      <c r="E2486" s="87" t="str">
        <f>IFERROR(__xludf.DUMMYFUNCTION("""COMPUTED_VALUE"""),"NPK-Vi lượng MASSIVE-BLUE")</f>
        <v>NPK-Vi lượng MASSIVE-BLUE</v>
      </c>
      <c r="F2486" s="87" t="str">
        <f>IFERROR(__xludf.DUMMYFUNCTION("""COMPUTED_VALUE"""),"HH1885")</f>
        <v>HH1885</v>
      </c>
      <c r="G2486" s="87" t="str">
        <f>IFERROR(__xludf.DUMMYFUNCTION("""COMPUTED_VALUE"""),"GC - IV - 1885 - Cty Hóa Nông Shino - SHINO RICE (nước đỏ cam) - 500ml - 30")</f>
        <v>GC - IV - 1885 - Cty Hóa Nông Shino - SHINO RICE (nước đỏ cam) - 500ml - 30</v>
      </c>
    </row>
    <row r="2487">
      <c r="A2487" s="86">
        <f>IFERROR(__xludf.DUMMYFUNCTION("""COMPUTED_VALUE"""),2485.0)</f>
        <v>2485</v>
      </c>
      <c r="B2487" s="87" t="str">
        <f>IFERROR(__xludf.DUMMYFUNCTION("""COMPUTED_VALUE"""),"Nhãn")</f>
        <v>Nhãn</v>
      </c>
      <c r="C2487" s="87" t="str">
        <f>IFERROR(__xludf.DUMMYFUNCTION("""COMPUTED_VALUE"""),"NTN1886")</f>
        <v>NTN1886</v>
      </c>
      <c r="D2487" s="87" t="str">
        <f>IFERROR(__xludf.DUMMYFUNCTION("""COMPUTED_VALUE"""),"[Nhãn]  GC - IV - 1886 - Cty Dragon Agrochem - IMIPRID 10WP (Bột trắng) - 100gr - 100")</f>
        <v>[Nhãn]  GC - IV - 1886 - Cty Dragon Agrochem - IMIPRID 10WP (Bột trắng) - 100gr - 100</v>
      </c>
      <c r="E2487" s="87" t="str">
        <f>IFERROR(__xludf.DUMMYFUNCTION("""COMPUTED_VALUE"""),"IMIPRID 10WP")</f>
        <v>IMIPRID 10WP</v>
      </c>
      <c r="F2487" s="87" t="str">
        <f>IFERROR(__xludf.DUMMYFUNCTION("""COMPUTED_VALUE"""),"HH1886")</f>
        <v>HH1886</v>
      </c>
      <c r="G2487" s="87" t="str">
        <f>IFERROR(__xludf.DUMMYFUNCTION("""COMPUTED_VALUE"""),"GC - IV - 1886 - Cty Dragon Agrochem - IMIPRID 10WP (Bột trắng) - 100gr - 100")</f>
        <v>GC - IV - 1886 - Cty Dragon Agrochem - IMIPRID 10WP (Bột trắng) - 100gr - 100</v>
      </c>
    </row>
    <row r="2488">
      <c r="A2488" s="86">
        <f>IFERROR(__xludf.DUMMYFUNCTION("""COMPUTED_VALUE"""),2486.0)</f>
        <v>2486</v>
      </c>
      <c r="B2488" s="87" t="str">
        <f>IFERROR(__xludf.DUMMYFUNCTION("""COMPUTED_VALUE"""),"Nhãn thùng")</f>
        <v>Nhãn thùng</v>
      </c>
      <c r="C2488" s="87" t="str">
        <f>IFERROR(__xludf.DUMMYFUNCTION("""COMPUTED_VALUE"""),"NDT1886")</f>
        <v>NDT1886</v>
      </c>
      <c r="D2488" s="87" t="str">
        <f>IFERROR(__xludf.DUMMYFUNCTION("""COMPUTED_VALUE"""),"[Nhãn thùng]  GC - IV - 1886 - Cty Dragon Agrochem - IMIPRID 10WP (Bột trắng) - 100gr - 100")</f>
        <v>[Nhãn thùng]  GC - IV - 1886 - Cty Dragon Agrochem - IMIPRID 10WP (Bột trắng) - 100gr - 100</v>
      </c>
      <c r="E2488" s="87" t="str">
        <f>IFERROR(__xludf.DUMMYFUNCTION("""COMPUTED_VALUE"""),"IMIPRID 10WP")</f>
        <v>IMIPRID 10WP</v>
      </c>
      <c r="F2488" s="87" t="str">
        <f>IFERROR(__xludf.DUMMYFUNCTION("""COMPUTED_VALUE"""),"HH1886")</f>
        <v>HH1886</v>
      </c>
      <c r="G2488" s="87" t="str">
        <f>IFERROR(__xludf.DUMMYFUNCTION("""COMPUTED_VALUE"""),"GC - IV - 1886 - Cty Dragon Agrochem - IMIPRID 10WP (Bột trắng) - 100gr - 100")</f>
        <v>GC - IV - 1886 - Cty Dragon Agrochem - IMIPRID 10WP (Bột trắng) - 100gr - 100</v>
      </c>
    </row>
    <row r="2489">
      <c r="A2489" s="86">
        <f>IFERROR(__xludf.DUMMYFUNCTION("""COMPUTED_VALUE"""),2487.0)</f>
        <v>2487</v>
      </c>
      <c r="B2489" s="87" t="str">
        <f>IFERROR(__xludf.DUMMYFUNCTION("""COMPUTED_VALUE"""),"Nhãn")</f>
        <v>Nhãn</v>
      </c>
      <c r="C2489" s="87" t="str">
        <f>IFERROR(__xludf.DUMMYFUNCTION("""COMPUTED_VALUE"""),"NHG1887")</f>
        <v>NHG1887</v>
      </c>
      <c r="D2489" s="87" t="str">
        <f>IFERROR(__xludf.DUMMYFUNCTION("""COMPUTED_VALUE"""),"[Nhãn] NB - K - 1887 - Cty Nông Dược Thụy Sĩ -Đốt cỏ lúa - 450ml -40")</f>
        <v>[Nhãn] NB - K - 1887 - Cty Nông Dược Thụy Sĩ -Đốt cỏ lúa - 450ml -40</v>
      </c>
      <c r="E2489" s="87" t="str">
        <f>IFERROR(__xludf.DUMMYFUNCTION("""COMPUTED_VALUE"""),"PROBUTA 550EC")</f>
        <v>PROBUTA 550EC</v>
      </c>
      <c r="F2489" s="87" t="str">
        <f>IFERROR(__xludf.DUMMYFUNCTION("""COMPUTED_VALUE"""),"HH1887")</f>
        <v>HH1887</v>
      </c>
      <c r="G2489" s="87" t="str">
        <f>IFERROR(__xludf.DUMMYFUNCTION("""COMPUTED_VALUE"""),"NB - K - 1887 - Cty Nông Dược Thụy Sĩ -Đốt cỏ lúa - 450ml -40")</f>
        <v>NB - K - 1887 - Cty Nông Dược Thụy Sĩ -Đốt cỏ lúa - 450ml -40</v>
      </c>
    </row>
    <row r="2490">
      <c r="A2490" s="86">
        <f>IFERROR(__xludf.DUMMYFUNCTION("""COMPUTED_VALUE"""),2488.0)</f>
        <v>2488</v>
      </c>
      <c r="B2490" s="87" t="str">
        <f>IFERROR(__xludf.DUMMYFUNCTION("""COMPUTED_VALUE"""),"Nhãn")</f>
        <v>Nhãn</v>
      </c>
      <c r="C2490" s="87" t="str">
        <f>IFERROR(__xludf.DUMMYFUNCTION("""COMPUTED_VALUE"""),"NHG1888")</f>
        <v>NHG1888</v>
      </c>
      <c r="D2490" s="87" t="str">
        <f>IFERROR(__xludf.DUMMYFUNCTION("""COMPUTED_VALUE"""),"[Nhãn] IDA Global - I - 1888 - STOP UP (Nước nâu đen) - 1L - 20")</f>
        <v>[Nhãn] IDA Global - I - 1888 - STOP UP (Nước nâu đen) - 1L - 20</v>
      </c>
      <c r="E2490" s="87" t="str">
        <f>IFERROR(__xludf.DUMMYFUNCTION("""COMPUTED_VALUE"""),"Vi lượng Quantity New")</f>
        <v>Vi lượng Quantity New</v>
      </c>
      <c r="F2490" s="87" t="str">
        <f>IFERROR(__xludf.DUMMYFUNCTION("""COMPUTED_VALUE"""),"HH1888")</f>
        <v>HH1888</v>
      </c>
      <c r="G2490" s="87" t="str">
        <f>IFERROR(__xludf.DUMMYFUNCTION("""COMPUTED_VALUE"""),"IDA Global - I - 1888 - STOP UP (Nước nâu đen) - 1L - 20")</f>
        <v>IDA Global - I - 1888 - STOP UP (Nước nâu đen) - 1L - 20</v>
      </c>
    </row>
    <row r="2491">
      <c r="A2491" s="86">
        <f>IFERROR(__xludf.DUMMYFUNCTION("""COMPUTED_VALUE"""),2489.0)</f>
        <v>2489</v>
      </c>
      <c r="B2491" s="87" t="str">
        <f>IFERROR(__xludf.DUMMYFUNCTION("""COMPUTED_VALUE"""),"Nhãn")</f>
        <v>Nhãn</v>
      </c>
      <c r="C2491" s="87" t="str">
        <f>IFERROR(__xludf.DUMMYFUNCTION("""COMPUTED_VALUE"""),"NHG1889")</f>
        <v>NHG1889</v>
      </c>
      <c r="D2491" s="87" t="str">
        <f>IFERROR(__xludf.DUMMYFUNCTION("""COMPUTED_VALUE"""),"[Nhãn]  GC - IV - 1889 - Cty Newtex - KNOCK OUT (nước vàng) - 200ml - 40")</f>
        <v>[Nhãn]  GC - IV - 1889 - Cty Newtex - KNOCK OUT (nước vàng) - 200ml - 40</v>
      </c>
      <c r="E2491" s="87" t="str">
        <f>IFERROR(__xludf.DUMMYFUNCTION("""COMPUTED_VALUE"""),"NEW FUZE 200SC")</f>
        <v>NEW FUZE 200SC</v>
      </c>
      <c r="F2491" s="87" t="str">
        <f>IFERROR(__xludf.DUMMYFUNCTION("""COMPUTED_VALUE"""),"HH1889")</f>
        <v>HH1889</v>
      </c>
      <c r="G2491" s="87" t="str">
        <f>IFERROR(__xludf.DUMMYFUNCTION("""COMPUTED_VALUE"""),"GC - IV - 1889 - Cty Newtex - KNOCK OUT (nước vàng) - 200ml - 40")</f>
        <v>GC - IV - 1889 - Cty Newtex - KNOCK OUT (nước vàng) - 200ml - 40</v>
      </c>
    </row>
    <row r="2492">
      <c r="A2492" s="86">
        <f>IFERROR(__xludf.DUMMYFUNCTION("""COMPUTED_VALUE"""),2490.0)</f>
        <v>2490</v>
      </c>
      <c r="B2492" s="87" t="str">
        <f>IFERROR(__xludf.DUMMYFUNCTION("""COMPUTED_VALUE"""),"Nhãn")</f>
        <v>Nhãn</v>
      </c>
      <c r="C2492" s="87" t="str">
        <f>IFERROR(__xludf.DUMMYFUNCTION("""COMPUTED_VALUE"""),"NHG1890")</f>
        <v>NHG1890</v>
      </c>
      <c r="D2492" s="87" t="str">
        <f>IFERROR(__xludf.DUMMYFUNCTION("""COMPUTED_VALUE"""),"[Nhãn] GC - IV - 1890 - Agritech (Anh Trương) - WINNER (Nước vàng chanh) - 240ml - 40")</f>
        <v>[Nhãn] GC - IV - 1890 - Agritech (Anh Trương) - WINNER (Nước vàng chanh) - 240ml - 40</v>
      </c>
      <c r="E2492" s="87" t="str">
        <f>IFERROR(__xludf.DUMMYFUNCTION("""COMPUTED_VALUE"""),"MI STOP 350SC")</f>
        <v>MI STOP 350SC</v>
      </c>
      <c r="F2492" s="87" t="str">
        <f>IFERROR(__xludf.DUMMYFUNCTION("""COMPUTED_VALUE"""),"HH1890")</f>
        <v>HH1890</v>
      </c>
      <c r="G2492" s="87" t="str">
        <f>IFERROR(__xludf.DUMMYFUNCTION("""COMPUTED_VALUE"""),"GC - IV - 1890 - Agritech (Anh Trương) - WINNER (Nước vàng chanh) - 240ml - 40")</f>
        <v>GC - IV - 1890 - Agritech (Anh Trương) - WINNER (Nước vàng chanh) - 240ml - 40</v>
      </c>
    </row>
    <row r="2493">
      <c r="A2493" s="86">
        <f>IFERROR(__xludf.DUMMYFUNCTION("""COMPUTED_VALUE"""),2491.0)</f>
        <v>2491</v>
      </c>
      <c r="B2493" s="87" t="str">
        <f>IFERROR(__xludf.DUMMYFUNCTION("""COMPUTED_VALUE"""),"Nhãn")</f>
        <v>Nhãn</v>
      </c>
      <c r="C2493" s="87" t="str">
        <f>IFERROR(__xludf.DUMMYFUNCTION("""COMPUTED_VALUE"""),"NTN1891")</f>
        <v>NTN1891</v>
      </c>
      <c r="D2493" s="87" t="str">
        <f>IFERROR(__xludf.DUMMYFUNCTION("""COMPUTED_VALUE"""),"[Nhãn] NB - I - 1891 - Cty Nông Nghiệp Toàn Cầu - ÁO GIÁP - 100gr- 100")</f>
        <v>[Nhãn] NB - I - 1891 - Cty Nông Nghiệp Toàn Cầu - ÁO GIÁP - 100gr- 100</v>
      </c>
      <c r="E2493" s="87" t="str">
        <f>IFERROR(__xludf.DUMMYFUNCTION("""COMPUTED_VALUE"""),"NOFACOL 70WP")</f>
        <v>NOFACOL 70WP</v>
      </c>
      <c r="F2493" s="87" t="str">
        <f>IFERROR(__xludf.DUMMYFUNCTION("""COMPUTED_VALUE"""),"HH1891")</f>
        <v>HH1891</v>
      </c>
      <c r="G2493" s="87" t="str">
        <f>IFERROR(__xludf.DUMMYFUNCTION("""COMPUTED_VALUE"""),"NB - I - 1891 - Cty Nông Nghiệp Toàn Cầu - ÁO GIÁP - 100gr- 100")</f>
        <v>NB - I - 1891 - Cty Nông Nghiệp Toàn Cầu - ÁO GIÁP - 100gr- 100</v>
      </c>
    </row>
    <row r="2494">
      <c r="A2494" s="86">
        <f>IFERROR(__xludf.DUMMYFUNCTION("""COMPUTED_VALUE"""),2492.0)</f>
        <v>2492</v>
      </c>
      <c r="B2494" s="87" t="str">
        <f>IFERROR(__xludf.DUMMYFUNCTION("""COMPUTED_VALUE"""),"Nhãn")</f>
        <v>Nhãn</v>
      </c>
      <c r="C2494" s="87" t="str">
        <f>IFERROR(__xludf.DUMMYFUNCTION("""COMPUTED_VALUE"""),"NTN1892")</f>
        <v>NTN1892</v>
      </c>
      <c r="D2494" s="87" t="str">
        <f>IFERROR(__xludf.DUMMYFUNCTION("""COMPUTED_VALUE"""),"[Nhãn] NB - I - 1892 - Cty Nông Nghiệp Toàn Cầu - ÁO GIÁP - 1Kg- 20")</f>
        <v>[Nhãn] NB - I - 1892 - Cty Nông Nghiệp Toàn Cầu - ÁO GIÁP - 1Kg- 20</v>
      </c>
      <c r="E2494" s="87" t="str">
        <f>IFERROR(__xludf.DUMMYFUNCTION("""COMPUTED_VALUE"""),"NOFACOL 70WP")</f>
        <v>NOFACOL 70WP</v>
      </c>
      <c r="F2494" s="87" t="str">
        <f>IFERROR(__xludf.DUMMYFUNCTION("""COMPUTED_VALUE"""),"HH1892")</f>
        <v>HH1892</v>
      </c>
      <c r="G2494" s="87" t="str">
        <f>IFERROR(__xludf.DUMMYFUNCTION("""COMPUTED_VALUE"""),"NB - I - 1892 - Cty Nông Nghiệp Toàn Cầu - ÁO GIÁP - 1Kg- 20")</f>
        <v>NB - I - 1892 - Cty Nông Nghiệp Toàn Cầu - ÁO GIÁP - 1Kg- 20</v>
      </c>
    </row>
    <row r="2495">
      <c r="A2495" s="86">
        <f>IFERROR(__xludf.DUMMYFUNCTION("""COMPUTED_VALUE"""),2493.0)</f>
        <v>2493</v>
      </c>
      <c r="B2495" s="87" t="str">
        <f>IFERROR(__xludf.DUMMYFUNCTION("""COMPUTED_VALUE"""),"HỘP")</f>
        <v>HỘP</v>
      </c>
      <c r="C2495" s="87" t="str">
        <f>IFERROR(__xludf.DUMMYFUNCTION("""COMPUTED_VALUE"""),"HOP1893")</f>
        <v>HOP1893</v>
      </c>
      <c r="D2495" s="87" t="str">
        <f>IFERROR(__xludf.DUMMYFUNCTION("""COMPUTED_VALUE"""),"[HOP] IDA Global - I - 1893 - Vatino Super 525SE (SẠCH BỆNH) - 480ml - 2")</f>
        <v>[HOP] IDA Global - I - 1893 - Vatino Super 525SE (SẠCH BỆNH) - 480ml - 2</v>
      </c>
      <c r="E2495" s="87" t="str">
        <f>IFERROR(__xludf.DUMMYFUNCTION("""COMPUTED_VALUE"""),"VATINO SUPER 525SE")</f>
        <v>VATINO SUPER 525SE</v>
      </c>
      <c r="F2495" s="87" t="str">
        <f>IFERROR(__xludf.DUMMYFUNCTION("""COMPUTED_VALUE"""),"HH1893")</f>
        <v>HH1893</v>
      </c>
      <c r="G2495" s="87" t="str">
        <f>IFERROR(__xludf.DUMMYFUNCTION("""COMPUTED_VALUE"""),"IDA Global - I - 1893 - Vatino Super 525SE (nước cam sữa) - 480ml - 40")</f>
        <v>IDA Global - I - 1893 - Vatino Super 525SE (nước cam sữa) - 480ml - 40</v>
      </c>
    </row>
    <row r="2496">
      <c r="A2496" s="86">
        <f>IFERROR(__xludf.DUMMYFUNCTION("""COMPUTED_VALUE"""),2494.0)</f>
        <v>2494</v>
      </c>
      <c r="B2496" s="87" t="str">
        <f>IFERROR(__xludf.DUMMYFUNCTION("""COMPUTED_VALUE"""),"Nhãn")</f>
        <v>Nhãn</v>
      </c>
      <c r="C2496" s="87" t="str">
        <f>IFERROR(__xludf.DUMMYFUNCTION("""COMPUTED_VALUE"""),"NHG1893")</f>
        <v>NHG1893</v>
      </c>
      <c r="D2496" s="87" t="str">
        <f>IFERROR(__xludf.DUMMYFUNCTION("""COMPUTED_VALUE"""),"[Nhãn] IDA Global - I - 1893 - Vatino Super 525SE (nước cam sữa) - 480ml - 40")</f>
        <v>[Nhãn] IDA Global - I - 1893 - Vatino Super 525SE (nước cam sữa) - 480ml - 40</v>
      </c>
      <c r="E2496" s="87" t="str">
        <f>IFERROR(__xludf.DUMMYFUNCTION("""COMPUTED_VALUE"""),"VATINO SUPER 525SE")</f>
        <v>VATINO SUPER 525SE</v>
      </c>
      <c r="F2496" s="87" t="str">
        <f>IFERROR(__xludf.DUMMYFUNCTION("""COMPUTED_VALUE"""),"HH1893")</f>
        <v>HH1893</v>
      </c>
      <c r="G2496" s="87" t="str">
        <f>IFERROR(__xludf.DUMMYFUNCTION("""COMPUTED_VALUE"""),"IDA Global - I - 1893 - Vatino Super 525SE (nước cam sữa) - 480ml - 40")</f>
        <v>IDA Global - I - 1893 - Vatino Super 525SE (nước cam sữa) - 480ml - 40</v>
      </c>
    </row>
    <row r="2497">
      <c r="A2497" s="86">
        <f>IFERROR(__xludf.DUMMYFUNCTION("""COMPUTED_VALUE"""),2495.0)</f>
        <v>2495</v>
      </c>
      <c r="B2497" s="87" t="str">
        <f>IFERROR(__xludf.DUMMYFUNCTION("""COMPUTED_VALUE"""),"Nhãn")</f>
        <v>Nhãn</v>
      </c>
      <c r="C2497" s="87" t="str">
        <f>IFERROR(__xludf.DUMMYFUNCTION("""COMPUTED_VALUE"""),"NHG1894")</f>
        <v>NHG1894</v>
      </c>
      <c r="D2497" s="87" t="str">
        <f>IFERROR(__xludf.DUMMYFUNCTION("""COMPUTED_VALUE"""),"[Nhãn] IDA Global - I - 1894 - Genol 1.2SL (nước đỏ) - 480ml - 40")</f>
        <v>[Nhãn] IDA Global - I - 1894 - Genol 1.2SL (nước đỏ) - 480ml - 40</v>
      </c>
      <c r="E2497" s="87" t="str">
        <f>IFERROR(__xludf.DUMMYFUNCTION("""COMPUTED_VALUE"""),"GENOL 1.2SL")</f>
        <v>GENOL 1.2SL</v>
      </c>
      <c r="F2497" s="87" t="str">
        <f>IFERROR(__xludf.DUMMYFUNCTION("""COMPUTED_VALUE"""),"HH1894")</f>
        <v>HH1894</v>
      </c>
      <c r="G2497" s="87" t="str">
        <f>IFERROR(__xludf.DUMMYFUNCTION("""COMPUTED_VALUE"""),"IDA Global - I - 1894 - Genol 1.2SL (nước đỏ) - 480ml - 40")</f>
        <v>IDA Global - I - 1894 - Genol 1.2SL (nước đỏ) - 480ml - 40</v>
      </c>
    </row>
    <row r="2498">
      <c r="A2498" s="86">
        <f>IFERROR(__xludf.DUMMYFUNCTION("""COMPUTED_VALUE"""),2496.0)</f>
        <v>2496</v>
      </c>
      <c r="B2498" s="87" t="str">
        <f>IFERROR(__xludf.DUMMYFUNCTION("""COMPUTED_VALUE"""),"Nhãn")</f>
        <v>Nhãn</v>
      </c>
      <c r="C2498" s="87" t="str">
        <f>IFERROR(__xludf.DUMMYFUNCTION("""COMPUTED_VALUE"""),"NHG1895")</f>
        <v>NHG1895</v>
      </c>
      <c r="D2498" s="87" t="str">
        <f>IFERROR(__xludf.DUMMYFUNCTION("""COMPUTED_VALUE"""),"[Nhãn]  GC - IV - 1895 - VTNN Bảy Phận - Phanvil (HD xám)(nắp đen)(nước trắng)- 1L - 20")</f>
        <v>[Nhãn]  GC - IV - 1895 - VTNN Bảy Phận - Phanvil (HD xám)(nắp đen)(nước trắng)- 1L - 20</v>
      </c>
      <c r="E2498" s="87" t="str">
        <f>IFERROR(__xludf.DUMMYFUNCTION("""COMPUTED_VALUE"""),"Mekongvil 5SC")</f>
        <v>Mekongvil 5SC</v>
      </c>
      <c r="F2498" s="87" t="str">
        <f>IFERROR(__xludf.DUMMYFUNCTION("""COMPUTED_VALUE"""),"HH1895")</f>
        <v>HH1895</v>
      </c>
      <c r="G2498" s="87" t="str">
        <f>IFERROR(__xludf.DUMMYFUNCTION("""COMPUTED_VALUE"""),"GC - IV - 1895 - VTNN Bảy Phận - Phanvil (HD xám)(nắp đen)(nước trắng)- 1L - 20")</f>
        <v>GC - IV - 1895 - VTNN Bảy Phận - Phanvil (HD xám)(nắp đen)(nước trắng)- 1L - 20</v>
      </c>
    </row>
    <row r="2499">
      <c r="A2499" s="86">
        <f>IFERROR(__xludf.DUMMYFUNCTION("""COMPUTED_VALUE"""),2497.0)</f>
        <v>2497</v>
      </c>
      <c r="B2499" s="87" t="str">
        <f>IFERROR(__xludf.DUMMYFUNCTION("""COMPUTED_VALUE"""),"Nhãn")</f>
        <v>Nhãn</v>
      </c>
      <c r="C2499" s="87" t="str">
        <f>IFERROR(__xludf.DUMMYFUNCTION("""COMPUTED_VALUE"""),"NHG1896")</f>
        <v>NHG1896</v>
      </c>
      <c r="D2499" s="87" t="str">
        <f>IFERROR(__xludf.DUMMYFUNCTION("""COMPUTED_VALUE"""),"[Nhãn] GC - II - 1896 - AGC - STRONG BUD (Nước xanh bơ sữa) - 500ml - 40")</f>
        <v>[Nhãn] GC - II - 1896 - AGC - STRONG BUD (Nước xanh bơ sữa) - 500ml - 40</v>
      </c>
      <c r="E2499" s="87" t="str">
        <f>IFERROR(__xludf.DUMMYFUNCTION("""COMPUTED_VALUE"""),"Hỗn Hợp NP AGAMA-AP")</f>
        <v>Hỗn Hợp NP AGAMA-AP</v>
      </c>
      <c r="F2499" s="87" t="str">
        <f>IFERROR(__xludf.DUMMYFUNCTION("""COMPUTED_VALUE"""),"HH1896")</f>
        <v>HH1896</v>
      </c>
      <c r="G2499" s="87" t="str">
        <f>IFERROR(__xludf.DUMMYFUNCTION("""COMPUTED_VALUE"""),"GC - II - 1896 - AGC - STRONG BUD (Nước xanh bơ sữa) - 500ml - 40")</f>
        <v>GC - II - 1896 - AGC - STRONG BUD (Nước xanh bơ sữa) - 500ml - 40</v>
      </c>
    </row>
    <row r="2500">
      <c r="A2500" s="86" t="str">
        <f>IFERROR(__xludf.DUMMYFUNCTION("""COMPUTED_VALUE"""),"")</f>
        <v/>
      </c>
      <c r="B2500" s="87"/>
      <c r="C2500" s="87" t="str">
        <f>IFERROR(__xludf.DUMMYFUNCTION("""COMPUTED_VALUE"""),"Túi nhôm")</f>
        <v>Túi nhôm</v>
      </c>
      <c r="D2500" s="87" t="str">
        <f>IFERROR(__xludf.DUMMYFUNCTION("""COMPUTED_VALUE"""),"Nhãn in flexo")</f>
        <v>Nhãn in flexo</v>
      </c>
      <c r="E2500" s="87"/>
      <c r="F2500" s="87" t="str">
        <f>IFERROR(__xludf.DUMMYFUNCTION("""COMPUTED_VALUE"""),"Thùng chung PEST")</f>
        <v>Thùng chung PEST</v>
      </c>
      <c r="G2500" s="87"/>
    </row>
    <row r="2501">
      <c r="A2501" s="86">
        <f>IFERROR(__xludf.DUMMYFUNCTION("""COMPUTED_VALUE"""),2499.0)</f>
        <v>2499</v>
      </c>
      <c r="B2501" s="87" t="str">
        <f>IFERROR(__xludf.DUMMYFUNCTION("""COMPUTED_VALUE"""),"Nhãn")</f>
        <v>Nhãn</v>
      </c>
      <c r="C2501" s="87" t="str">
        <f>IFERROR(__xludf.DUMMYFUNCTION("""COMPUTED_VALUE"""),"NHG1897")</f>
        <v>NHG1897</v>
      </c>
      <c r="D2501" s="87" t="str">
        <f>IFERROR(__xludf.DUMMYFUNCTION("""COMPUTED_VALUE"""),"[Nhãn] GC - II - 1897 - AGC - STRONG BUD (Nước xanh bơ sữa) - 100ml - 50")</f>
        <v>[Nhãn] GC - II - 1897 - AGC - STRONG BUD (Nước xanh bơ sữa) - 100ml - 50</v>
      </c>
      <c r="E2501" s="87" t="str">
        <f>IFERROR(__xludf.DUMMYFUNCTION("""COMPUTED_VALUE"""),"Hỗn Hợp NP AGAMA-AP")</f>
        <v>Hỗn Hợp NP AGAMA-AP</v>
      </c>
      <c r="F2501" s="87" t="str">
        <f>IFERROR(__xludf.DUMMYFUNCTION("""COMPUTED_VALUE"""),"HH1897")</f>
        <v>HH1897</v>
      </c>
      <c r="G2501" s="87" t="str">
        <f>IFERROR(__xludf.DUMMYFUNCTION("""COMPUTED_VALUE"""),"GC - II - 1897 - AGC - STRONG BUD (Nước xanh bơ sữa) - 100ml - 50")</f>
        <v>GC - II - 1897 - AGC - STRONG BUD (Nước xanh bơ sữa) - 100ml - 50</v>
      </c>
    </row>
    <row r="2502">
      <c r="A2502" s="86">
        <f>IFERROR(__xludf.DUMMYFUNCTION("""COMPUTED_VALUE"""),2500.0)</f>
        <v>2500</v>
      </c>
      <c r="B2502" s="87" t="str">
        <f>IFERROR(__xludf.DUMMYFUNCTION("""COMPUTED_VALUE"""),"Nhãn")</f>
        <v>Nhãn</v>
      </c>
      <c r="C2502" s="87" t="str">
        <f>IFERROR(__xludf.DUMMYFUNCTION("""COMPUTED_VALUE"""),"NHG1898")</f>
        <v>NHG1898</v>
      </c>
      <c r="D2502" s="87" t="str">
        <f>IFERROR(__xludf.DUMMYFUNCTION("""COMPUTED_VALUE"""),"[Nhãn] NB - I - 1898 - Sunrise - TOP SUNRISE (Nước hồng cam) - 240ml - 40")</f>
        <v>[Nhãn] NB - I - 1898 - Sunrise - TOP SUNRISE (Nước hồng cam) - 240ml - 40</v>
      </c>
      <c r="E2502" s="87" t="str">
        <f>IFERROR(__xludf.DUMMYFUNCTION("""COMPUTED_VALUE"""),"KING-CIDE JAPAN 460SC")</f>
        <v>KING-CIDE JAPAN 460SC</v>
      </c>
      <c r="F2502" s="87" t="str">
        <f>IFERROR(__xludf.DUMMYFUNCTION("""COMPUTED_VALUE"""),"HH1898")</f>
        <v>HH1898</v>
      </c>
      <c r="G2502" s="87" t="str">
        <f>IFERROR(__xludf.DUMMYFUNCTION("""COMPUTED_VALUE"""),"NB - I - 1898 - Sunrise - TOP SUNRISE (Nước hồng cam) - 240ml - 40")</f>
        <v>NB - I - 1898 - Sunrise - TOP SUNRISE (Nước hồng cam) - 240ml - 40</v>
      </c>
    </row>
    <row r="2503">
      <c r="A2503" s="86">
        <f>IFERROR(__xludf.DUMMYFUNCTION("""COMPUTED_VALUE"""),2501.0)</f>
        <v>2501</v>
      </c>
      <c r="B2503" s="87" t="str">
        <f>IFERROR(__xludf.DUMMYFUNCTION("""COMPUTED_VALUE"""),"Nhãn")</f>
        <v>Nhãn</v>
      </c>
      <c r="C2503" s="87" t="str">
        <f>IFERROR(__xludf.DUMMYFUNCTION("""COMPUTED_VALUE"""),"NHG1899")</f>
        <v>NHG1899</v>
      </c>
      <c r="D2503" s="87" t="str">
        <f>IFERROR(__xludf.DUMMYFUNCTION("""COMPUTED_VALUE"""),"[Nhãn]  GC - IV - 1899 - Cty Tiến Vinh - THẦN CUNG (nước hồng) - 200ml - 40")</f>
        <v>[Nhãn]  GC - IV - 1899 - Cty Tiến Vinh - THẦN CUNG (nước hồng) - 200ml - 40</v>
      </c>
      <c r="E2503" s="87" t="str">
        <f>IFERROR(__xludf.DUMMYFUNCTION("""COMPUTED_VALUE"""),"NEW FUZE 200SC")</f>
        <v>NEW FUZE 200SC</v>
      </c>
      <c r="F2503" s="87" t="str">
        <f>IFERROR(__xludf.DUMMYFUNCTION("""COMPUTED_VALUE"""),"HH1899")</f>
        <v>HH1899</v>
      </c>
      <c r="G2503" s="87" t="str">
        <f>IFERROR(__xludf.DUMMYFUNCTION("""COMPUTED_VALUE"""),"GC - IV - 1899 - Cty Tiến Vinh - THẦN CUNG (nước hồng) - 200ml - 40")</f>
        <v>GC - IV - 1899 - Cty Tiến Vinh - THẦN CUNG (nước hồng) - 200ml - 40</v>
      </c>
    </row>
    <row r="2504">
      <c r="A2504" s="86">
        <f>IFERROR(__xludf.DUMMYFUNCTION("""COMPUTED_VALUE"""),2502.0)</f>
        <v>2502</v>
      </c>
      <c r="B2504" s="87" t="str">
        <f>IFERROR(__xludf.DUMMYFUNCTION("""COMPUTED_VALUE"""),"Nhãn")</f>
        <v>Nhãn</v>
      </c>
      <c r="C2504" s="87" t="str">
        <f>IFERROR(__xludf.DUMMYFUNCTION("""COMPUTED_VALUE"""),"NHG1900")</f>
        <v>NHG1900</v>
      </c>
      <c r="D2504" s="87" t="str">
        <f>IFERROR(__xludf.DUMMYFUNCTION("""COMPUTED_VALUE"""),"[Nhãn] GC - IV - 1900 - Cty Tiến Vinh - THẦN Y (nước cam sữa) - 250ml - 40")</f>
        <v>[Nhãn] GC - IV - 1900 - Cty Tiến Vinh - THẦN Y (nước cam sữa) - 250ml - 40</v>
      </c>
      <c r="E2504" s="87" t="str">
        <f>IFERROR(__xludf.DUMMYFUNCTION("""COMPUTED_VALUE"""),"AMILAN 300SC")</f>
        <v>AMILAN 300SC</v>
      </c>
      <c r="F2504" s="87" t="str">
        <f>IFERROR(__xludf.DUMMYFUNCTION("""COMPUTED_VALUE"""),"HH1900")</f>
        <v>HH1900</v>
      </c>
      <c r="G2504" s="87" t="str">
        <f>IFERROR(__xludf.DUMMYFUNCTION("""COMPUTED_VALUE"""),"GC - IV - 1900 - Cty Tiến Vinh - THẦN Y (nước cam sữa) - 250ml - 40")</f>
        <v>GC - IV - 1900 - Cty Tiến Vinh - THẦN Y (nước cam sữa) - 250ml - 40</v>
      </c>
    </row>
    <row r="2505">
      <c r="A2505" s="86">
        <f>IFERROR(__xludf.DUMMYFUNCTION("""COMPUTED_VALUE"""),2503.0)</f>
        <v>2503</v>
      </c>
      <c r="B2505" s="87" t="str">
        <f>IFERROR(__xludf.DUMMYFUNCTION("""COMPUTED_VALUE"""),"NDT")</f>
        <v>NDT</v>
      </c>
      <c r="C2505" s="87" t="str">
        <f>IFERROR(__xludf.DUMMYFUNCTION("""COMPUTED_VALUE"""),"NDT1901")</f>
        <v>NDT1901</v>
      </c>
      <c r="D2505" s="87" t="str">
        <f>IFERROR(__xludf.DUMMYFUNCTION("""COMPUTED_VALUE"""),"[Nhãn thùng] GC - IV - 1901 - A Thời GNH - Black Humixx (vẩy nâu đen) - 1kg - 25")</f>
        <v>[Nhãn thùng] GC - IV - 1901 - A Thời GNH - Black Humixx (vẩy nâu đen) - 1kg - 25</v>
      </c>
      <c r="E2505" s="87" t="str">
        <f>IFERROR(__xludf.DUMMYFUNCTION("""COMPUTED_VALUE"""),"Hữu cơ sinh học Nam Kinh 02")</f>
        <v>Hữu cơ sinh học Nam Kinh 02</v>
      </c>
      <c r="F2505" s="87" t="str">
        <f>IFERROR(__xludf.DUMMYFUNCTION("""COMPUTED_VALUE"""),"HH1901")</f>
        <v>HH1901</v>
      </c>
      <c r="G2505" s="87" t="str">
        <f>IFERROR(__xludf.DUMMYFUNCTION("""COMPUTED_VALUE"""),"GC - IV - 1901 - A Thời GNH - Black Humixx (vẩy nâu đen) - 1kg - 25")</f>
        <v>GC - IV - 1901 - A Thời GNH - Black Humixx (vẩy nâu đen) - 1kg - 25</v>
      </c>
    </row>
    <row r="2506">
      <c r="A2506" s="86">
        <f>IFERROR(__xludf.DUMMYFUNCTION("""COMPUTED_VALUE"""),2504.0)</f>
        <v>2504</v>
      </c>
      <c r="B2506" s="87" t="str">
        <f>IFERROR(__xludf.DUMMYFUNCTION("""COMPUTED_VALUE"""),"Nhãn")</f>
        <v>Nhãn</v>
      </c>
      <c r="C2506" s="87" t="str">
        <f>IFERROR(__xludf.DUMMYFUNCTION("""COMPUTED_VALUE"""),"NTN1901")</f>
        <v>NTN1901</v>
      </c>
      <c r="D2506" s="87" t="str">
        <f>IFERROR(__xludf.DUMMYFUNCTION("""COMPUTED_VALUE"""),"[Nhãn] GC - IV - 1901 - A Thời GNH - Black Humixx (vẩy nâu đen) - 1kg - 25")</f>
        <v>[Nhãn] GC - IV - 1901 - A Thời GNH - Black Humixx (vẩy nâu đen) - 1kg - 25</v>
      </c>
      <c r="E2506" s="87" t="str">
        <f>IFERROR(__xludf.DUMMYFUNCTION("""COMPUTED_VALUE"""),"Hữu cơ sinh học Nam Kinh 02")</f>
        <v>Hữu cơ sinh học Nam Kinh 02</v>
      </c>
      <c r="F2506" s="87" t="str">
        <f>IFERROR(__xludf.DUMMYFUNCTION("""COMPUTED_VALUE"""),"HH1901")</f>
        <v>HH1901</v>
      </c>
      <c r="G2506" s="87" t="str">
        <f>IFERROR(__xludf.DUMMYFUNCTION("""COMPUTED_VALUE"""),"GC - IV - 1901 - A Thời GNH - Black Humixx (vẩy nâu đen) - 1kg - 25")</f>
        <v>GC - IV - 1901 - A Thời GNH - Black Humixx (vẩy nâu đen) - 1kg - 25</v>
      </c>
    </row>
    <row r="2507">
      <c r="A2507" s="86">
        <f>IFERROR(__xludf.DUMMYFUNCTION("""COMPUTED_VALUE"""),2505.0)</f>
        <v>2505</v>
      </c>
      <c r="B2507" s="87" t="str">
        <f>IFERROR(__xludf.DUMMYFUNCTION("""COMPUTED_VALUE"""),"Nhãn")</f>
        <v>Nhãn</v>
      </c>
      <c r="C2507" s="87" t="str">
        <f>IFERROR(__xludf.DUMMYFUNCTION("""COMPUTED_VALUE"""),"NHG1902")</f>
        <v>NHG1902</v>
      </c>
      <c r="D2507" s="87" t="str">
        <f>IFERROR(__xludf.DUMMYFUNCTION("""COMPUTED_VALUE"""),"[Nhãn]  GC - IV - 1902 - A Thời GNH - Bung Chòi Vọt Đọt (nước nâu đen) - 500ml - 40")</f>
        <v>[Nhãn]  GC - IV - 1902 - A Thời GNH - Bung Chòi Vọt Đọt (nước nâu đen) - 500ml - 40</v>
      </c>
      <c r="E2507" s="87" t="str">
        <f>IFERROR(__xludf.DUMMYFUNCTION("""COMPUTED_VALUE"""),"Vi lượng Basel VA01")</f>
        <v>Vi lượng Basel VA01</v>
      </c>
      <c r="F2507" s="87" t="str">
        <f>IFERROR(__xludf.DUMMYFUNCTION("""COMPUTED_VALUE"""),"HH1902")</f>
        <v>HH1902</v>
      </c>
      <c r="G2507" s="87" t="str">
        <f>IFERROR(__xludf.DUMMYFUNCTION("""COMPUTED_VALUE"""),"GC - IV - 1902 - A Thời GNH - Bung Chòi Vọt Đọt (nước nâu đen) - 500ml - 40")</f>
        <v>GC - IV - 1902 - A Thời GNH - Bung Chòi Vọt Đọt (nước nâu đen) - 500ml - 40</v>
      </c>
    </row>
    <row r="2508">
      <c r="A2508" s="86">
        <f>IFERROR(__xludf.DUMMYFUNCTION("""COMPUTED_VALUE"""),2506.0)</f>
        <v>2506</v>
      </c>
      <c r="B2508" s="87" t="str">
        <f>IFERROR(__xludf.DUMMYFUNCTION("""COMPUTED_VALUE"""),"Nhãn")</f>
        <v>Nhãn</v>
      </c>
      <c r="C2508" s="87" t="str">
        <f>IFERROR(__xludf.DUMMYFUNCTION("""COMPUTED_VALUE"""),"NHG1903")</f>
        <v>NHG1903</v>
      </c>
      <c r="D2508" s="87" t="str">
        <f>IFERROR(__xludf.DUMMYFUNCTION("""COMPUTED_VALUE"""),"[Nhãn] GC - IV - 1903 - A Thời GNH - Ra Rễ Nở Bụi (nước nâu đen) - 500ml - 40")</f>
        <v>[Nhãn] GC - IV - 1903 - A Thời GNH - Ra Rễ Nở Bụi (nước nâu đen) - 500ml - 40</v>
      </c>
      <c r="E2508" s="87" t="str">
        <f>IFERROR(__xludf.DUMMYFUNCTION("""COMPUTED_VALUE"""),"Vi lượng Basel VA01")</f>
        <v>Vi lượng Basel VA01</v>
      </c>
      <c r="F2508" s="87" t="str">
        <f>IFERROR(__xludf.DUMMYFUNCTION("""COMPUTED_VALUE"""),"HH1903")</f>
        <v>HH1903</v>
      </c>
      <c r="G2508" s="87" t="str">
        <f>IFERROR(__xludf.DUMMYFUNCTION("""COMPUTED_VALUE"""),"GC - IV - 1903 - A Thời GNH - Ra Rễ Nở Bụi (nước nâu đen) - 500ml - 40")</f>
        <v>GC - IV - 1903 - A Thời GNH - Ra Rễ Nở Bụi (nước nâu đen) - 500ml - 40</v>
      </c>
    </row>
    <row r="2509">
      <c r="A2509" s="86">
        <f>IFERROR(__xludf.DUMMYFUNCTION("""COMPUTED_VALUE"""),2507.0)</f>
        <v>2507</v>
      </c>
      <c r="B2509" s="87" t="str">
        <f>IFERROR(__xludf.DUMMYFUNCTION("""COMPUTED_VALUE"""),"Nhãn")</f>
        <v>Nhãn</v>
      </c>
      <c r="C2509" s="87" t="str">
        <f>IFERROR(__xludf.DUMMYFUNCTION("""COMPUTED_VALUE"""),"NHG1904")</f>
        <v>NHG1904</v>
      </c>
      <c r="D2509" s="87" t="str">
        <f>IFERROR(__xludf.DUMMYFUNCTION("""COMPUTED_VALUE"""),"[Nhãn] NB - I - 1904 - Nông Dược Thụy Sĩ - HAIHAMEC 3.6EC (Nước nâu đen) - 450ml - 40")</f>
        <v>[Nhãn] NB - I - 1904 - Nông Dược Thụy Sĩ - HAIHAMEC 3.6EC (Nước nâu đen) - 450ml - 40</v>
      </c>
      <c r="E2509" s="87" t="str">
        <f>IFERROR(__xludf.DUMMYFUNCTION("""COMPUTED_VALUE"""),"HAIHAMEC 3.6EC")</f>
        <v>HAIHAMEC 3.6EC</v>
      </c>
      <c r="F2509" s="87" t="str">
        <f>IFERROR(__xludf.DUMMYFUNCTION("""COMPUTED_VALUE"""),"HH1904")</f>
        <v>HH1904</v>
      </c>
      <c r="G2509" s="87" t="str">
        <f>IFERROR(__xludf.DUMMYFUNCTION("""COMPUTED_VALUE"""),"NB - I - 1904 - Nông Dược Thụy Sĩ - HAIHAMEC 3.6EC (Nước nâu đen) - 450ml - 40")</f>
        <v>NB - I - 1904 - Nông Dược Thụy Sĩ - HAIHAMEC 3.6EC (Nước nâu đen) - 450ml - 40</v>
      </c>
    </row>
    <row r="2510">
      <c r="A2510" s="86">
        <f>IFERROR(__xludf.DUMMYFUNCTION("""COMPUTED_VALUE"""),2508.0)</f>
        <v>2508</v>
      </c>
      <c r="B2510" s="87" t="str">
        <f>IFERROR(__xludf.DUMMYFUNCTION("""COMPUTED_VALUE"""),"Nhãn")</f>
        <v>Nhãn</v>
      </c>
      <c r="C2510" s="87" t="str">
        <f>IFERROR(__xludf.DUMMYFUNCTION("""COMPUTED_VALUE"""),"NTN1905")</f>
        <v>NTN1905</v>
      </c>
      <c r="D2510" s="87" t="str">
        <f>IFERROR(__xludf.DUMMYFUNCTION("""COMPUTED_VALUE"""),"[Nhãn] GC - IV - 1905 - THẢO NGUYÊN - PIM.PIM 75WP (Bột cam) - 25gr - 400")</f>
        <v>[Nhãn] GC - IV - 1905 - THẢO NGUYÊN - PIM.PIM 75WP (Bột cam) - 25gr - 400</v>
      </c>
      <c r="E2510" s="87" t="str">
        <f>IFERROR(__xludf.DUMMYFUNCTION("""COMPUTED_VALUE"""),"Pim.Pim 75WP")</f>
        <v>Pim.Pim 75WP</v>
      </c>
      <c r="F2510" s="87" t="str">
        <f>IFERROR(__xludf.DUMMYFUNCTION("""COMPUTED_VALUE"""),"HH1905")</f>
        <v>HH1905</v>
      </c>
      <c r="G2510" s="87" t="str">
        <f>IFERROR(__xludf.DUMMYFUNCTION("""COMPUTED_VALUE"""),"GC - IV - 1905 - THẢO NGUYÊN - PIM.PIM 75WP (Bột cam) - 25gr - 400")</f>
        <v>GC - IV - 1905 - THẢO NGUYÊN - PIM.PIM 75WP (Bột cam) - 25gr - 400</v>
      </c>
    </row>
    <row r="2511">
      <c r="A2511" s="86">
        <f>IFERROR(__xludf.DUMMYFUNCTION("""COMPUTED_VALUE"""),2509.0)</f>
        <v>2509</v>
      </c>
      <c r="B2511" s="87" t="str">
        <f>IFERROR(__xludf.DUMMYFUNCTION("""COMPUTED_VALUE"""),"Nhãn thùng")</f>
        <v>Nhãn thùng</v>
      </c>
      <c r="C2511" s="87" t="str">
        <f>IFERROR(__xludf.DUMMYFUNCTION("""COMPUTED_VALUE"""),"NDT1905")</f>
        <v>NDT1905</v>
      </c>
      <c r="D2511" s="87" t="str">
        <f>IFERROR(__xludf.DUMMYFUNCTION("""COMPUTED_VALUE"""),"[Nhãn thùng] GC - IV - 1905 - THẢO NGUYÊN - PIM.PIM 75WP (Bột cam) - 25gr - 400")</f>
        <v>[Nhãn thùng] GC - IV - 1905 - THẢO NGUYÊN - PIM.PIM 75WP (Bột cam) - 25gr - 400</v>
      </c>
      <c r="E2511" s="87" t="str">
        <f>IFERROR(__xludf.DUMMYFUNCTION("""COMPUTED_VALUE"""),"Pim.Pim 75WP")</f>
        <v>Pim.Pim 75WP</v>
      </c>
      <c r="F2511" s="87" t="str">
        <f>IFERROR(__xludf.DUMMYFUNCTION("""COMPUTED_VALUE"""),"HH1905")</f>
        <v>HH1905</v>
      </c>
      <c r="G2511" s="87" t="str">
        <f>IFERROR(__xludf.DUMMYFUNCTION("""COMPUTED_VALUE"""),"GC - IV - 1905 - THẢO NGUYÊN - PIM.PIM 75WP (Bột cam) - 25gr - 400")</f>
        <v>GC - IV - 1905 - THẢO NGUYÊN - PIM.PIM 75WP (Bột cam) - 25gr - 400</v>
      </c>
    </row>
    <row r="2512">
      <c r="A2512" s="86">
        <f>IFERROR(__xludf.DUMMYFUNCTION("""COMPUTED_VALUE"""),2510.0)</f>
        <v>2510</v>
      </c>
      <c r="B2512" s="87" t="str">
        <f>IFERROR(__xludf.DUMMYFUNCTION("""COMPUTED_VALUE"""),"Nhãn")</f>
        <v>Nhãn</v>
      </c>
      <c r="C2512" s="87" t="str">
        <f>IFERROR(__xludf.DUMMYFUNCTION("""COMPUTED_VALUE"""),"NTN1906")</f>
        <v>NTN1906</v>
      </c>
      <c r="D2512" s="87" t="str">
        <f>IFERROR(__xludf.DUMMYFUNCTION("""COMPUTED_VALUE"""),"[Nhãn] GC - IV - 1906 - THẢO NGUYÊN - PIM.PIM 75WP (Bột cam) - 100gr - 100")</f>
        <v>[Nhãn] GC - IV - 1906 - THẢO NGUYÊN - PIM.PIM 75WP (Bột cam) - 100gr - 100</v>
      </c>
      <c r="E2512" s="87" t="str">
        <f>IFERROR(__xludf.DUMMYFUNCTION("""COMPUTED_VALUE"""),"Pim.Pim 75WP")</f>
        <v>Pim.Pim 75WP</v>
      </c>
      <c r="F2512" s="87" t="str">
        <f>IFERROR(__xludf.DUMMYFUNCTION("""COMPUTED_VALUE"""),"HH1906")</f>
        <v>HH1906</v>
      </c>
      <c r="G2512" s="87" t="str">
        <f>IFERROR(__xludf.DUMMYFUNCTION("""COMPUTED_VALUE"""),"GC - IV - 1906 - THẢO NGUYÊN - PIM.PIM 75WP (Bột cam) - 100gr - 100")</f>
        <v>GC - IV - 1906 - THẢO NGUYÊN - PIM.PIM 75WP (Bột cam) - 100gr - 100</v>
      </c>
    </row>
    <row r="2513">
      <c r="A2513" s="86">
        <f>IFERROR(__xludf.DUMMYFUNCTION("""COMPUTED_VALUE"""),2511.0)</f>
        <v>2511</v>
      </c>
      <c r="B2513" s="87" t="str">
        <f>IFERROR(__xludf.DUMMYFUNCTION("""COMPUTED_VALUE"""),"Nhãn")</f>
        <v>Nhãn</v>
      </c>
      <c r="C2513" s="87" t="str">
        <f>IFERROR(__xludf.DUMMYFUNCTION("""COMPUTED_VALUE"""),"NHG1907")</f>
        <v>NHG1907</v>
      </c>
      <c r="D2513" s="87" t="str">
        <f>IFERROR(__xludf.DUMMYFUNCTION("""COMPUTED_VALUE"""),"[Nhãn] GC - II - 1907 - Japan Crop Science - CỨNG HƠN TRỤ THÉP (gel nâu đen) - 500ml - 30")</f>
        <v>[Nhãn] GC - II - 1907 - Japan Crop Science - CỨNG HƠN TRỤ THÉP (gel nâu đen) - 500ml - 30</v>
      </c>
      <c r="E2513" s="87" t="str">
        <f>IFERROR(__xludf.DUMMYFUNCTION("""COMPUTED_VALUE"""),"Vi lượng Quantity New")</f>
        <v>Vi lượng Quantity New</v>
      </c>
      <c r="F2513" s="87" t="str">
        <f>IFERROR(__xludf.DUMMYFUNCTION("""COMPUTED_VALUE"""),"HH1907")</f>
        <v>HH1907</v>
      </c>
      <c r="G2513" s="87" t="str">
        <f>IFERROR(__xludf.DUMMYFUNCTION("""COMPUTED_VALUE"""),"GC - II - 1907 - Japan Crop Science - CỨNG HƠN TRỤ THÉP (gel nâu đen) - 500ml - 30")</f>
        <v>GC - II - 1907 - Japan Crop Science - CỨNG HƠN TRỤ THÉP (gel nâu đen) - 500ml - 30</v>
      </c>
    </row>
    <row r="2514">
      <c r="A2514" s="86">
        <f>IFERROR(__xludf.DUMMYFUNCTION("""COMPUTED_VALUE"""),2512.0)</f>
        <v>2512</v>
      </c>
      <c r="B2514" s="87" t="str">
        <f>IFERROR(__xludf.DUMMYFUNCTION("""COMPUTED_VALUE"""),"Nhãn Phụ")</f>
        <v>Nhãn Phụ</v>
      </c>
      <c r="C2514" s="87" t="str">
        <f>IFERROR(__xludf.DUMMYFUNCTION("""COMPUTED_VALUE"""),"NHP1907")</f>
        <v>NHP1907</v>
      </c>
      <c r="D2514" s="87" t="str">
        <f>IFERROR(__xludf.DUMMYFUNCTION("""COMPUTED_VALUE"""),"[Nhãn phụ] GC - II - 1907 - Japan Crop Science - CỨNG HƠN TRỤ THÉP (gel nâu đen) - 500ml - 30")</f>
        <v>[Nhãn phụ] GC - II - 1907 - Japan Crop Science - CỨNG HƠN TRỤ THÉP (gel nâu đen) - 500ml - 30</v>
      </c>
      <c r="E2514" s="87" t="str">
        <f>IFERROR(__xludf.DUMMYFUNCTION("""COMPUTED_VALUE"""),"Vi lượng Quantity New")</f>
        <v>Vi lượng Quantity New</v>
      </c>
      <c r="F2514" s="87" t="str">
        <f>IFERROR(__xludf.DUMMYFUNCTION("""COMPUTED_VALUE"""),"HH1907")</f>
        <v>HH1907</v>
      </c>
      <c r="G2514" s="87" t="str">
        <f>IFERROR(__xludf.DUMMYFUNCTION("""COMPUTED_VALUE"""),"GC - II - 1907 - Japan Crop Science - CỨNG HƠN TRỤ THÉP (gel nâu đen) - 500ml - 30")</f>
        <v>GC - II - 1907 - Japan Crop Science - CỨNG HƠN TRỤ THÉP (gel nâu đen) - 500ml - 30</v>
      </c>
    </row>
    <row r="2515">
      <c r="A2515" s="86">
        <f>IFERROR(__xludf.DUMMYFUNCTION("""COMPUTED_VALUE"""),2513.0)</f>
        <v>2513</v>
      </c>
      <c r="B2515" s="87" t="str">
        <f>IFERROR(__xludf.DUMMYFUNCTION("""COMPUTED_VALUE"""),"Nhãn")</f>
        <v>Nhãn</v>
      </c>
      <c r="C2515" s="87" t="str">
        <f>IFERROR(__xludf.DUMMYFUNCTION("""COMPUTED_VALUE"""),"NHG1908")</f>
        <v>NHG1908</v>
      </c>
      <c r="D2515" s="87" t="str">
        <f>IFERROR(__xludf.DUMMYFUNCTION("""COMPUTED_VALUE"""),"[Nhãn] DR.Xanh - II - 1908 - FLASH 550 (nước tím) - 250ml - 40")</f>
        <v>[Nhãn] DR.Xanh - II - 1908 - FLASH 550 (nước tím) - 250ml - 40</v>
      </c>
      <c r="E2515" s="87" t="str">
        <f>IFERROR(__xludf.DUMMYFUNCTION("""COMPUTED_VALUE"""),"Thipro 550EC")</f>
        <v>Thipro 550EC</v>
      </c>
      <c r="F2515" s="87" t="str">
        <f>IFERROR(__xludf.DUMMYFUNCTION("""COMPUTED_VALUE"""),"HH1908")</f>
        <v>HH1908</v>
      </c>
      <c r="G2515" s="87" t="str">
        <f>IFERROR(__xludf.DUMMYFUNCTION("""COMPUTED_VALUE"""),"DR.XANH - II - 1908 - FLASH 550 (nước tím) - 250ml - 40")</f>
        <v>DR.XANH - II - 1908 - FLASH 550 (nước tím) - 250ml - 40</v>
      </c>
    </row>
    <row r="2516">
      <c r="A2516" s="86">
        <f>IFERROR(__xludf.DUMMYFUNCTION("""COMPUTED_VALUE"""),2514.0)</f>
        <v>2514</v>
      </c>
      <c r="B2516" s="87" t="str">
        <f>IFERROR(__xludf.DUMMYFUNCTION("""COMPUTED_VALUE"""),"Nhãn")</f>
        <v>Nhãn</v>
      </c>
      <c r="C2516" s="87" t="str">
        <f>IFERROR(__xludf.DUMMYFUNCTION("""COMPUTED_VALUE"""),"NHD1908")</f>
        <v>NHD1908</v>
      </c>
      <c r="D2516" s="87" t="str">
        <f>IFERROR(__xludf.DUMMYFUNCTION("""COMPUTED_VALUE"""),"[Nhãn] DR.Xanh - II - 1908 - FLASH 550 (nước tím) - 250ml - 40")</f>
        <v>[Nhãn] DR.Xanh - II - 1908 - FLASH 550 (nước tím) - 250ml - 40</v>
      </c>
      <c r="E2516" s="87" t="str">
        <f>IFERROR(__xludf.DUMMYFUNCTION("""COMPUTED_VALUE"""),"Thipro 550EC")</f>
        <v>Thipro 550EC</v>
      </c>
      <c r="F2516" s="87" t="str">
        <f>IFERROR(__xludf.DUMMYFUNCTION("""COMPUTED_VALUE"""),"HH1908")</f>
        <v>HH1908</v>
      </c>
      <c r="G2516" s="87" t="str">
        <f>IFERROR(__xludf.DUMMYFUNCTION("""COMPUTED_VALUE"""),"DR.XANH - II - 1908 - FLASH 550 (nước tím) - 250ml - 40")</f>
        <v>DR.XANH - II - 1908 - FLASH 550 (nước tím) - 250ml - 40</v>
      </c>
    </row>
    <row r="2517">
      <c r="A2517" s="86">
        <f>IFERROR(__xludf.DUMMYFUNCTION("""COMPUTED_VALUE"""),2515.0)</f>
        <v>2515</v>
      </c>
      <c r="B2517" s="87" t="str">
        <f>IFERROR(__xludf.DUMMYFUNCTION("""COMPUTED_VALUE"""),"Nhãn")</f>
        <v>Nhãn</v>
      </c>
      <c r="C2517" s="87" t="str">
        <f>IFERROR(__xludf.DUMMYFUNCTION("""COMPUTED_VALUE"""),"NHG1909")</f>
        <v>NHG1909</v>
      </c>
      <c r="D2517" s="87" t="str">
        <f>IFERROR(__xludf.DUMMYFUNCTION("""COMPUTED_VALUE"""),"[Nhãn] NB - I - 1909 - Nông Dược Thụy Sĩ - VUA CỎ BỜ (Nước đỏ) - 900ml - 20")</f>
        <v>[Nhãn] NB - I - 1909 - Nông Dược Thụy Sĩ - VUA CỎ BỜ (Nước đỏ) - 900ml - 20</v>
      </c>
      <c r="E2517" s="87" t="str">
        <f>IFERROR(__xludf.DUMMYFUNCTION("""COMPUTED_VALUE"""),"Asupergras 200SL")</f>
        <v>Asupergras 200SL</v>
      </c>
      <c r="F2517" s="87" t="str">
        <f>IFERROR(__xludf.DUMMYFUNCTION("""COMPUTED_VALUE"""),"HH1909")</f>
        <v>HH1909</v>
      </c>
      <c r="G2517" s="87" t="str">
        <f>IFERROR(__xludf.DUMMYFUNCTION("""COMPUTED_VALUE"""),"NB - I - 1909 - Nông Dược Thụy Sĩ - VUA CỎ BỜ (Nước đỏ) - 900ml - 20")</f>
        <v>NB - I - 1909 - Nông Dược Thụy Sĩ - VUA CỎ BỜ (Nước đỏ) - 900ml - 20</v>
      </c>
    </row>
    <row r="2518">
      <c r="A2518" s="86">
        <f>IFERROR(__xludf.DUMMYFUNCTION("""COMPUTED_VALUE"""),2516.0)</f>
        <v>2516</v>
      </c>
      <c r="B2518" s="87" t="str">
        <f>IFERROR(__xludf.DUMMYFUNCTION("""COMPUTED_VALUE"""),"Nhãn")</f>
        <v>Nhãn</v>
      </c>
      <c r="C2518" s="87" t="str">
        <f>IFERROR(__xludf.DUMMYFUNCTION("""COMPUTED_VALUE"""),"NHG1910")</f>
        <v>NHG1910</v>
      </c>
      <c r="D2518" s="87" t="str">
        <f>IFERROR(__xludf.DUMMYFUNCTION("""COMPUTED_VALUE"""),"[Nhãn] NB - I - 1910 - Nông Dược Thụy Sĩ - SẠCH CỎ BỜ (Nước đỏ) - 900ml - 20")</f>
        <v>[Nhãn] NB - I - 1910 - Nông Dược Thụy Sĩ - SẠCH CỎ BỜ (Nước đỏ) - 900ml - 20</v>
      </c>
      <c r="E2518" s="87" t="str">
        <f>IFERROR(__xludf.DUMMYFUNCTION("""COMPUTED_VALUE"""),"Asupergras 200SL")</f>
        <v>Asupergras 200SL</v>
      </c>
      <c r="F2518" s="87" t="str">
        <f>IFERROR(__xludf.DUMMYFUNCTION("""COMPUTED_VALUE"""),"HH1910")</f>
        <v>HH1910</v>
      </c>
      <c r="G2518" s="87" t="str">
        <f>IFERROR(__xludf.DUMMYFUNCTION("""COMPUTED_VALUE"""),"NB - I - 1910 - Nông Dược Thụy Sĩ - SẠCH CỎ BỜ (Nước đỏ) - 900ml - 20")</f>
        <v>NB - I - 1910 - Nông Dược Thụy Sĩ - SẠCH CỎ BỜ (Nước đỏ) - 900ml - 20</v>
      </c>
    </row>
    <row r="2519">
      <c r="A2519" s="86">
        <f>IFERROR(__xludf.DUMMYFUNCTION("""COMPUTED_VALUE"""),2517.0)</f>
        <v>2517</v>
      </c>
      <c r="B2519" s="87" t="str">
        <f>IFERROR(__xludf.DUMMYFUNCTION("""COMPUTED_VALUE"""),"Nhãn")</f>
        <v>Nhãn</v>
      </c>
      <c r="C2519" s="87" t="str">
        <f>IFERROR(__xludf.DUMMYFUNCTION("""COMPUTED_VALUE"""),"NHG1912")</f>
        <v>NHG1912</v>
      </c>
      <c r="D2519" s="87" t="str">
        <f>IFERROR(__xludf.DUMMYFUNCTION("""COMPUTED_VALUE"""),"[Nhãn] GC - II - 1912 - AGC - KEP-PHOS 450 (Nước xanh dương) - 1L - 20")</f>
        <v>[Nhãn] GC - II - 1912 - AGC - KEP-PHOS 450 (Nước xanh dương) - 1L - 20</v>
      </c>
      <c r="E2519" s="87" t="str">
        <f>IFERROR(__xludf.DUMMYFUNCTION("""COMPUTED_VALUE"""),"vi lượng HELP FARMER_3")</f>
        <v>vi lượng HELP FARMER_3</v>
      </c>
      <c r="F2519" s="87" t="str">
        <f>IFERROR(__xludf.DUMMYFUNCTION("""COMPUTED_VALUE"""),"HH1912")</f>
        <v>HH1912</v>
      </c>
      <c r="G2519" s="87" t="str">
        <f>IFERROR(__xludf.DUMMYFUNCTION("""COMPUTED_VALUE"""),"GC - II - 1912 - AGC - KEP-PHOS 450 (Nước xanh dương) - 1L - 20")</f>
        <v>GC - II - 1912 - AGC - KEP-PHOS 450 (Nước xanh dương) - 1L - 20</v>
      </c>
    </row>
    <row r="2520">
      <c r="A2520" s="86">
        <f>IFERROR(__xludf.DUMMYFUNCTION("""COMPUTED_VALUE"""),2518.0)</f>
        <v>2518</v>
      </c>
      <c r="B2520" s="87" t="str">
        <f>IFERROR(__xludf.DUMMYFUNCTION("""COMPUTED_VALUE"""),"Nhãn")</f>
        <v>Nhãn</v>
      </c>
      <c r="C2520" s="87" t="str">
        <f>IFERROR(__xludf.DUMMYFUNCTION("""COMPUTED_VALUE"""),"NHG1913")</f>
        <v>NHG1913</v>
      </c>
      <c r="D2520" s="87" t="str">
        <f>IFERROR(__xludf.DUMMYFUNCTION("""COMPUTED_VALUE"""),"[Nhãn] GC - IV - 1913 - HÓA NÔNG SHINO - COMBI SHINO PLUS+ (Nước xanh lá) - 250ml - 40")</f>
        <v>[Nhãn] GC - IV - 1913 - HÓA NÔNG SHINO - COMBI SHINO PLUS+ (Nước xanh lá) - 250ml - 40</v>
      </c>
      <c r="E2520" s="87" t="str">
        <f>IFERROR(__xludf.DUMMYFUNCTION("""COMPUTED_VALUE"""),"Vi lượng Quantity New")</f>
        <v>Vi lượng Quantity New</v>
      </c>
      <c r="F2520" s="87" t="str">
        <f>IFERROR(__xludf.DUMMYFUNCTION("""COMPUTED_VALUE"""),"HH1913")</f>
        <v>HH1913</v>
      </c>
      <c r="G2520" s="87" t="str">
        <f>IFERROR(__xludf.DUMMYFUNCTION("""COMPUTED_VALUE"""),"GC - IV - 1913 - HÓA NÔNG SHINO - COMBI SHINO PLUS+ (Nước xanh lá) - 250ml - 40")</f>
        <v>GC - IV - 1913 - HÓA NÔNG SHINO - COMBI SHINO PLUS+ (Nước xanh lá) - 250ml - 40</v>
      </c>
    </row>
    <row r="2521">
      <c r="A2521" s="86">
        <f>IFERROR(__xludf.DUMMYFUNCTION("""COMPUTED_VALUE"""),2519.0)</f>
        <v>2519</v>
      </c>
      <c r="B2521" s="87" t="str">
        <f>IFERROR(__xludf.DUMMYFUNCTION("""COMPUTED_VALUE"""),"Nhãn")</f>
        <v>Nhãn</v>
      </c>
      <c r="C2521" s="87" t="str">
        <f>IFERROR(__xludf.DUMMYFUNCTION("""COMPUTED_VALUE"""),"NHG1914")</f>
        <v>NHG1914</v>
      </c>
      <c r="D2521" s="87" t="str">
        <f>IFERROR(__xludf.DUMMYFUNCTION("""COMPUTED_VALUE"""),"[Nhãn] IDA Global - I - 1914 - ĐL BẢO OANH - PICOSUPER 280SC (Nước trắng sữa) - 250ml - 40")</f>
        <v>[Nhãn] IDA Global - I - 1914 - ĐL BẢO OANH - PICOSUPER 280SC (Nước trắng sữa) - 250ml - 40</v>
      </c>
      <c r="E2521" s="87" t="str">
        <f>IFERROR(__xludf.DUMMYFUNCTION("""COMPUTED_VALUE"""),"PICOSUPER 280SC")</f>
        <v>PICOSUPER 280SC</v>
      </c>
      <c r="F2521" s="87" t="str">
        <f>IFERROR(__xludf.DUMMYFUNCTION("""COMPUTED_VALUE"""),"HH1914")</f>
        <v>HH1914</v>
      </c>
      <c r="G2521" s="87" t="str">
        <f>IFERROR(__xludf.DUMMYFUNCTION("""COMPUTED_VALUE"""),"IDA Global - I - 1914 - ĐL BẢO OANH - PICOSUPER 280SC (Nước trắng sữa) - 250ml - 40")</f>
        <v>IDA Global - I - 1914 - ĐL BẢO OANH - PICOSUPER 280SC (Nước trắng sữa) - 250ml - 40</v>
      </c>
    </row>
    <row r="2522">
      <c r="A2522" s="86">
        <f>IFERROR(__xludf.DUMMYFUNCTION("""COMPUTED_VALUE"""),2520.0)</f>
        <v>2520</v>
      </c>
      <c r="B2522" s="87" t="str">
        <f>IFERROR(__xludf.DUMMYFUNCTION("""COMPUTED_VALUE"""),"Nhãn")</f>
        <v>Nhãn</v>
      </c>
      <c r="C2522" s="87" t="str">
        <f>IFERROR(__xludf.DUMMYFUNCTION("""COMPUTED_VALUE"""),"NHG1915")</f>
        <v>NHG1915</v>
      </c>
      <c r="D2522" s="87" t="str">
        <f>IFERROR(__xludf.DUMMYFUNCTION("""COMPUTED_VALUE"""),"[Nhãn] NB - I - 1915 - Cty Nông Nghiệp Toàn Cầu - RELAX EXTRA - 250ml - 40")</f>
        <v>[Nhãn] NB - I - 1915 - Cty Nông Nghiệp Toàn Cầu - RELAX EXTRA - 250ml - 40</v>
      </c>
      <c r="E2522" s="87" t="str">
        <f>IFERROR(__xludf.DUMMYFUNCTION("""COMPUTED_VALUE"""),"PROTOCOL 340EC")</f>
        <v>PROTOCOL 340EC</v>
      </c>
      <c r="F2522" s="87" t="str">
        <f>IFERROR(__xludf.DUMMYFUNCTION("""COMPUTED_VALUE"""),"HH1915")</f>
        <v>HH1915</v>
      </c>
      <c r="G2522" s="87" t="str">
        <f>IFERROR(__xludf.DUMMYFUNCTION("""COMPUTED_VALUE"""),"NB - I - 1915 - Cty Nông Nghiệp Toàn Cầu - RELAX EXTRA - 250ml - 40")</f>
        <v>NB - I - 1915 - Cty Nông Nghiệp Toàn Cầu - RELAX EXTRA - 250ml - 40</v>
      </c>
    </row>
    <row r="2523">
      <c r="A2523" s="86">
        <f>IFERROR(__xludf.DUMMYFUNCTION("""COMPUTED_VALUE"""),2521.0)</f>
        <v>2521</v>
      </c>
      <c r="B2523" s="87" t="str">
        <f>IFERROR(__xludf.DUMMYFUNCTION("""COMPUTED_VALUE"""),"Nhãn")</f>
        <v>Nhãn</v>
      </c>
      <c r="C2523" s="87" t="str">
        <f>IFERROR(__xludf.DUMMYFUNCTION("""COMPUTED_VALUE"""),"NTN1916")</f>
        <v>NTN1916</v>
      </c>
      <c r="D2523" s="87" t="str">
        <f>IFERROR(__xludf.DUMMYFUNCTION("""COMPUTED_VALUE"""),"[Nhãn] GC - IV - 1916 - CTY XNK O2L - DIỆT SẠCH RẦY (Bột trắng) - 100g - 150")</f>
        <v>[Nhãn] GC - IV - 1916 - CTY XNK O2L - DIỆT SẠCH RẦY (Bột trắng) - 100g - 150</v>
      </c>
      <c r="E2523" s="87" t="str">
        <f>IFERROR(__xludf.DUMMYFUNCTION("""COMPUTED_VALUE"""),"IMIPRID 10WP")</f>
        <v>IMIPRID 10WP</v>
      </c>
      <c r="F2523" s="87" t="str">
        <f>IFERROR(__xludf.DUMMYFUNCTION("""COMPUTED_VALUE"""),"HH1916")</f>
        <v>HH1916</v>
      </c>
      <c r="G2523" s="87" t="str">
        <f>IFERROR(__xludf.DUMMYFUNCTION("""COMPUTED_VALUE"""),"GC - IV - 1916 - CTY XNK O2L - DIỆT SẠCH RẦY (Bột trắng) - 100g - 150")</f>
        <v>GC - IV - 1916 - CTY XNK O2L - DIỆT SẠCH RẦY (Bột trắng) - 100g - 150</v>
      </c>
    </row>
    <row r="2524">
      <c r="A2524" s="86">
        <f>IFERROR(__xludf.DUMMYFUNCTION("""COMPUTED_VALUE"""),2522.0)</f>
        <v>2522</v>
      </c>
      <c r="B2524" s="87" t="str">
        <f>IFERROR(__xludf.DUMMYFUNCTION("""COMPUTED_VALUE"""),"Nhãn thùng")</f>
        <v>Nhãn thùng</v>
      </c>
      <c r="C2524" s="87" t="str">
        <f>IFERROR(__xludf.DUMMYFUNCTION("""COMPUTED_VALUE"""),"NDT1916")</f>
        <v>NDT1916</v>
      </c>
      <c r="D2524" s="87" t="str">
        <f>IFERROR(__xludf.DUMMYFUNCTION("""COMPUTED_VALUE"""),"[Nhãn thùng] GC - IV - 1916 - CTY XNK O2L - DIỆT SẠCH RẦY (Bột trắng) - 100g - 150")</f>
        <v>[Nhãn thùng] GC - IV - 1916 - CTY XNK O2L - DIỆT SẠCH RẦY (Bột trắng) - 100g - 150</v>
      </c>
      <c r="E2524" s="87" t="str">
        <f>IFERROR(__xludf.DUMMYFUNCTION("""COMPUTED_VALUE"""),"IMIPRID 10WP")</f>
        <v>IMIPRID 10WP</v>
      </c>
      <c r="F2524" s="87" t="str">
        <f>IFERROR(__xludf.DUMMYFUNCTION("""COMPUTED_VALUE"""),"HH1916")</f>
        <v>HH1916</v>
      </c>
      <c r="G2524" s="87" t="str">
        <f>IFERROR(__xludf.DUMMYFUNCTION("""COMPUTED_VALUE"""),"GC - IV - 1916 - CTY XNK O2L - DIỆT SẠCH RẦY (Bột trắng) - 100g - 150")</f>
        <v>GC - IV - 1916 - CTY XNK O2L - DIỆT SẠCH RẦY (Bột trắng) - 100g - 150</v>
      </c>
    </row>
    <row r="2525">
      <c r="A2525" s="86">
        <f>IFERROR(__xludf.DUMMYFUNCTION("""COMPUTED_VALUE"""),2523.0)</f>
        <v>2523</v>
      </c>
      <c r="B2525" s="87" t="str">
        <f>IFERROR(__xludf.DUMMYFUNCTION("""COMPUTED_VALUE"""),"Nhãn")</f>
        <v>Nhãn</v>
      </c>
      <c r="C2525" s="87" t="str">
        <f>IFERROR(__xludf.DUMMYFUNCTION("""COMPUTED_VALUE"""),"NTN1917")</f>
        <v>NTN1917</v>
      </c>
      <c r="D2525" s="87" t="str">
        <f>IFERROR(__xludf.DUMMYFUNCTION("""COMPUTED_VALUE"""),"[Nhãn] GC - IV - 1917 - CTY XNK O2L - AIC THAILAND (Bột trắng) - 100g - 150")</f>
        <v>[Nhãn] GC - IV - 1917 - CTY XNK O2L - AIC THAILAND (Bột trắng) - 100g - 150</v>
      </c>
      <c r="E2525" s="87" t="str">
        <f>IFERROR(__xludf.DUMMYFUNCTION("""COMPUTED_VALUE"""),"IMIPRID 10WP")</f>
        <v>IMIPRID 10WP</v>
      </c>
      <c r="F2525" s="87" t="str">
        <f>IFERROR(__xludf.DUMMYFUNCTION("""COMPUTED_VALUE"""),"HH1917")</f>
        <v>HH1917</v>
      </c>
      <c r="G2525" s="87" t="str">
        <f>IFERROR(__xludf.DUMMYFUNCTION("""COMPUTED_VALUE"""),"GC - IV - 1917 - CTY XNK O2L - AIC THAILAND (Bột trắng) - 100g - 150")</f>
        <v>GC - IV - 1917 - CTY XNK O2L - AIC THAILAND (Bột trắng) - 100g - 150</v>
      </c>
    </row>
    <row r="2526">
      <c r="A2526" s="86">
        <f>IFERROR(__xludf.DUMMYFUNCTION("""COMPUTED_VALUE"""),2524.0)</f>
        <v>2524</v>
      </c>
      <c r="B2526" s="87" t="str">
        <f>IFERROR(__xludf.DUMMYFUNCTION("""COMPUTED_VALUE"""),"Nhãn thùng")</f>
        <v>Nhãn thùng</v>
      </c>
      <c r="C2526" s="87" t="str">
        <f>IFERROR(__xludf.DUMMYFUNCTION("""COMPUTED_VALUE"""),"NDT1917")</f>
        <v>NDT1917</v>
      </c>
      <c r="D2526" s="87" t="str">
        <f>IFERROR(__xludf.DUMMYFUNCTION("""COMPUTED_VALUE"""),"[Nhãn thùng] GC - IV - 1917 - CTY XNK O2L - AIC THAILAND (Bột trắng) - 100g - 150")</f>
        <v>[Nhãn thùng] GC - IV - 1917 - CTY XNK O2L - AIC THAILAND (Bột trắng) - 100g - 150</v>
      </c>
      <c r="E2526" s="87" t="str">
        <f>IFERROR(__xludf.DUMMYFUNCTION("""COMPUTED_VALUE"""),"IMIPRID 10WP")</f>
        <v>IMIPRID 10WP</v>
      </c>
      <c r="F2526" s="87" t="str">
        <f>IFERROR(__xludf.DUMMYFUNCTION("""COMPUTED_VALUE"""),"HH1917")</f>
        <v>HH1917</v>
      </c>
      <c r="G2526" s="87" t="str">
        <f>IFERROR(__xludf.DUMMYFUNCTION("""COMPUTED_VALUE"""),"GC - IV - 1917 - CTY XNK O2L - AIC THAILAND (Bột trắng) - 100g - 150")</f>
        <v>GC - IV - 1917 - CTY XNK O2L - AIC THAILAND (Bột trắng) - 100g - 150</v>
      </c>
    </row>
    <row r="2527">
      <c r="A2527" s="86">
        <f>IFERROR(__xludf.DUMMYFUNCTION("""COMPUTED_VALUE"""),2525.0)</f>
        <v>2525</v>
      </c>
      <c r="B2527" s="87" t="str">
        <f>IFERROR(__xludf.DUMMYFUNCTION("""COMPUTED_VALUE"""),"Nhãn")</f>
        <v>Nhãn</v>
      </c>
      <c r="C2527" s="87" t="str">
        <f>IFERROR(__xludf.DUMMYFUNCTION("""COMPUTED_VALUE"""),"NHD1918")</f>
        <v>NHD1918</v>
      </c>
      <c r="D2527" s="87" t="str">
        <f>IFERROR(__xludf.DUMMYFUNCTION("""COMPUTED_VALUE"""),"[Nhãn] NB - I - 1918 - Cty Nông Dược Sunrise - GLU SUNRISE 150 (Nước đỏ) ( chai vuông cam nắp vàng ) - 1L - 20")</f>
        <v>[Nhãn] NB - I - 1918 - Cty Nông Dược Sunrise - GLU SUNRISE 150 (Nước đỏ) ( chai vuông cam nắp vàng ) - 1L - 20</v>
      </c>
      <c r="E2527" s="87" t="str">
        <f>IFERROR(__xludf.DUMMYFUNCTION("""COMPUTED_VALUE"""),"NEWFOSINATE 150SL")</f>
        <v>NEWFOSINATE 150SL</v>
      </c>
      <c r="F2527" s="87" t="str">
        <f>IFERROR(__xludf.DUMMYFUNCTION("""COMPUTED_VALUE"""),"HH1918")</f>
        <v>HH1918</v>
      </c>
      <c r="G2527" s="87" t="str">
        <f>IFERROR(__xludf.DUMMYFUNCTION("""COMPUTED_VALUE"""),"NB - I - 1918 - Cty Nông Dược Sunrise - GLU SUNRISE 150 (Nước đỏ) ( chai vuông cam nắp vàng ) - 1L - 20")</f>
        <v>NB - I - 1918 - Cty Nông Dược Sunrise - GLU SUNRISE 150 (Nước đỏ) ( chai vuông cam nắp vàng ) - 1L - 20</v>
      </c>
    </row>
    <row r="2528">
      <c r="A2528" s="86">
        <f>IFERROR(__xludf.DUMMYFUNCTION("""COMPUTED_VALUE"""),2526.0)</f>
        <v>2526</v>
      </c>
      <c r="B2528" s="87" t="str">
        <f>IFERROR(__xludf.DUMMYFUNCTION("""COMPUTED_VALUE"""),"Nhãn")</f>
        <v>Nhãn</v>
      </c>
      <c r="C2528" s="87" t="str">
        <f>IFERROR(__xludf.DUMMYFUNCTION("""COMPUTED_VALUE"""),"NHG1919")</f>
        <v>NHG1919</v>
      </c>
      <c r="D2528" s="87" t="str">
        <f>IFERROR(__xludf.DUMMYFUNCTION("""COMPUTED_VALUE"""),"[Nhãn] NB - I - 1919 - Cty Nông Dược Sunrise - GLU 150 ĐỎ SUNRISE (Nước đỏ) ( chai tròn đỏ nắp đỏ)  - 900ml - 20")</f>
        <v>[Nhãn] NB - I - 1919 - Cty Nông Dược Sunrise - GLU 150 ĐỎ SUNRISE (Nước đỏ) ( chai tròn đỏ nắp đỏ)  - 900ml - 20</v>
      </c>
      <c r="E2528" s="87" t="str">
        <f>IFERROR(__xludf.DUMMYFUNCTION("""COMPUTED_VALUE"""),"NEWFOSINATE 150SL")</f>
        <v>NEWFOSINATE 150SL</v>
      </c>
      <c r="F2528" s="87" t="str">
        <f>IFERROR(__xludf.DUMMYFUNCTION("""COMPUTED_VALUE"""),"HH1919")</f>
        <v>HH1919</v>
      </c>
      <c r="G2528" s="87" t="str">
        <f>IFERROR(__xludf.DUMMYFUNCTION("""COMPUTED_VALUE"""),"NB - I - 1919 - Cty Nông Dược Sunrise - GLU 150 ĐỎ SUNRISE (Nước đỏ) ( chai tròn đỏ nắp đỏ)  - 900ml - 20")</f>
        <v>NB - I - 1919 - Cty Nông Dược Sunrise - GLU 150 ĐỎ SUNRISE (Nước đỏ) ( chai tròn đỏ nắp đỏ)  - 900ml - 20</v>
      </c>
    </row>
    <row r="2529">
      <c r="A2529" s="86">
        <f>IFERROR(__xludf.DUMMYFUNCTION("""COMPUTED_VALUE"""),2527.0)</f>
        <v>2527</v>
      </c>
      <c r="B2529" s="87" t="str">
        <f>IFERROR(__xludf.DUMMYFUNCTION("""COMPUTED_VALUE"""),"Nhãn")</f>
        <v>Nhãn</v>
      </c>
      <c r="C2529" s="87" t="str">
        <f>IFERROR(__xludf.DUMMYFUNCTION("""COMPUTED_VALUE"""),"NHD1920")</f>
        <v>NHD1920</v>
      </c>
      <c r="D2529" s="87" t="str">
        <f>IFERROR(__xludf.DUMMYFUNCTION("""COMPUTED_VALUE"""),"[Nhãn] NB - I - 1920 - Cty Nông Dược Sunrise - GLU SUNRISE 200 (Nước đỏ) ( chai vuông cam nắp vàng )  - 1L - 20")</f>
        <v>[Nhãn] NB - I - 1920 - Cty Nông Dược Sunrise - GLU SUNRISE 200 (Nước đỏ) ( chai vuông cam nắp vàng )  - 1L - 20</v>
      </c>
      <c r="E2529" s="87" t="str">
        <f>IFERROR(__xludf.DUMMYFUNCTION("""COMPUTED_VALUE"""),"Asupergras 200SL")</f>
        <v>Asupergras 200SL</v>
      </c>
      <c r="F2529" s="87" t="str">
        <f>IFERROR(__xludf.DUMMYFUNCTION("""COMPUTED_VALUE"""),"HH1920")</f>
        <v>HH1920</v>
      </c>
      <c r="G2529" s="87" t="str">
        <f>IFERROR(__xludf.DUMMYFUNCTION("""COMPUTED_VALUE"""),"NB - I - 1920 - Cty Nông Dược Sunrise - GLU SUNRISE 200 (Nước đỏ) ( chai vuông cam nắp vàng )  - 1L - 20")</f>
        <v>NB - I - 1920 - Cty Nông Dược Sunrise - GLU SUNRISE 200 (Nước đỏ) ( chai vuông cam nắp vàng )  - 1L - 20</v>
      </c>
    </row>
    <row r="2530">
      <c r="A2530" s="86">
        <f>IFERROR(__xludf.DUMMYFUNCTION("""COMPUTED_VALUE"""),2528.0)</f>
        <v>2528</v>
      </c>
      <c r="B2530" s="87" t="str">
        <f>IFERROR(__xludf.DUMMYFUNCTION("""COMPUTED_VALUE"""),"Nhãn")</f>
        <v>Nhãn</v>
      </c>
      <c r="C2530" s="87" t="str">
        <f>IFERROR(__xludf.DUMMYFUNCTION("""COMPUTED_VALUE"""),"NHG1921")</f>
        <v>NHG1921</v>
      </c>
      <c r="D2530" s="87" t="str">
        <f>IFERROR(__xludf.DUMMYFUNCTION("""COMPUTED_VALUE"""),"[Nhãn] NB - I - 1921 - Cty Nông Dược Sunrise - GLU 200 ĐỎ SUNRISE (Nước đỏ) ( chai tròn đỏ nắp đỏ)  - 900ml - 20")</f>
        <v>[Nhãn] NB - I - 1921 - Cty Nông Dược Sunrise - GLU 200 ĐỎ SUNRISE (Nước đỏ) ( chai tròn đỏ nắp đỏ)  - 900ml - 20</v>
      </c>
      <c r="E2530" s="87" t="str">
        <f>IFERROR(__xludf.DUMMYFUNCTION("""COMPUTED_VALUE"""),"Asupergras 200SL")</f>
        <v>Asupergras 200SL</v>
      </c>
      <c r="F2530" s="87" t="str">
        <f>IFERROR(__xludf.DUMMYFUNCTION("""COMPUTED_VALUE"""),"HH1921")</f>
        <v>HH1921</v>
      </c>
      <c r="G2530" s="87" t="str">
        <f>IFERROR(__xludf.DUMMYFUNCTION("""COMPUTED_VALUE"""),"NB - I - 1921 - Cty Nông Dược Sunrise - GLU 200 ĐỎ SUNRISE (Nước đỏ) ( chai tròn đỏ nắp đỏ)  - 900ml - 20")</f>
        <v>NB - I - 1921 - Cty Nông Dược Sunrise - GLU 200 ĐỎ SUNRISE (Nước đỏ) ( chai tròn đỏ nắp đỏ)  - 900ml - 20</v>
      </c>
    </row>
    <row r="2531">
      <c r="A2531" s="86">
        <f>IFERROR(__xludf.DUMMYFUNCTION("""COMPUTED_VALUE"""),2529.0)</f>
        <v>2529</v>
      </c>
      <c r="B2531" s="87" t="str">
        <f>IFERROR(__xludf.DUMMYFUNCTION("""COMPUTED_VALUE"""),"Nhãn")</f>
        <v>Nhãn</v>
      </c>
      <c r="C2531" s="87" t="str">
        <f>IFERROR(__xludf.DUMMYFUNCTION("""COMPUTED_VALUE"""),"NHG1922")</f>
        <v>NHG1922</v>
      </c>
      <c r="D2531" s="87" t="str">
        <f>IFERROR(__xludf.DUMMYFUNCTION("""COMPUTED_VALUE"""),"[Nhãn] GC - II - 1922 - Cty Lộc Phát Nông - TÊN LỬA (Nước xanh bơ sữa) - 500ml - 40")</f>
        <v>[Nhãn] GC - II - 1922 - Cty Lộc Phát Nông - TÊN LỬA (Nước xanh bơ sữa) - 500ml - 40</v>
      </c>
      <c r="E2531" s="87" t="str">
        <f>IFERROR(__xludf.DUMMYFUNCTION("""COMPUTED_VALUE"""),"Hỗn Hợp NP AGAMA-AP")</f>
        <v>Hỗn Hợp NP AGAMA-AP</v>
      </c>
      <c r="F2531" s="87" t="str">
        <f>IFERROR(__xludf.DUMMYFUNCTION("""COMPUTED_VALUE"""),"HH1922")</f>
        <v>HH1922</v>
      </c>
      <c r="G2531" s="87" t="str">
        <f>IFERROR(__xludf.DUMMYFUNCTION("""COMPUTED_VALUE"""),"GC - II - 1922 - Cty Lộc Phát Nông - TÊN LỬA (Nước xanh bơ sữa) - 500ml - 40")</f>
        <v>GC - II - 1922 - Cty Lộc Phát Nông - TÊN LỬA (Nước xanh bơ sữa) - 500ml - 40</v>
      </c>
    </row>
    <row r="2532">
      <c r="A2532" s="86">
        <f>IFERROR(__xludf.DUMMYFUNCTION("""COMPUTED_VALUE"""),2530.0)</f>
        <v>2530</v>
      </c>
      <c r="B2532" s="87" t="str">
        <f>IFERROR(__xludf.DUMMYFUNCTION("""COMPUTED_VALUE"""),"Nhãn")</f>
        <v>Nhãn</v>
      </c>
      <c r="C2532" s="87" t="str">
        <f>IFERROR(__xludf.DUMMYFUNCTION("""COMPUTED_VALUE"""),"NHG1923")</f>
        <v>NHG1923</v>
      </c>
      <c r="D2532" s="87" t="str">
        <f>IFERROR(__xludf.DUMMYFUNCTION("""COMPUTED_VALUE"""),"[Nhãn]  GC - IV - 1923 - GNH - Ra Rễ Nở Bụi (nước nâu đen) - 1L - 20")</f>
        <v>[Nhãn]  GC - IV - 1923 - GNH - Ra Rễ Nở Bụi (nước nâu đen) - 1L - 20</v>
      </c>
      <c r="E2532" s="87" t="str">
        <f>IFERROR(__xludf.DUMMYFUNCTION("""COMPUTED_VALUE"""),"Vi lượng Basel VA01")</f>
        <v>Vi lượng Basel VA01</v>
      </c>
      <c r="F2532" s="87" t="str">
        <f>IFERROR(__xludf.DUMMYFUNCTION("""COMPUTED_VALUE"""),"HH1923")</f>
        <v>HH1923</v>
      </c>
      <c r="G2532" s="87" t="str">
        <f>IFERROR(__xludf.DUMMYFUNCTION("""COMPUTED_VALUE"""),"GC - IV - 1923 - GNH - Ra Rễ Nở Bụi (nước nâu đen) - 1L - 20")</f>
        <v>GC - IV - 1923 - GNH - Ra Rễ Nở Bụi (nước nâu đen) - 1L - 20</v>
      </c>
    </row>
    <row r="2533">
      <c r="A2533" s="86">
        <f>IFERROR(__xludf.DUMMYFUNCTION("""COMPUTED_VALUE"""),2531.0)</f>
        <v>2531</v>
      </c>
      <c r="B2533" s="87" t="str">
        <f>IFERROR(__xludf.DUMMYFUNCTION("""COMPUTED_VALUE"""),"Nhãn")</f>
        <v>Nhãn</v>
      </c>
      <c r="C2533" s="87" t="str">
        <f>IFERROR(__xludf.DUMMYFUNCTION("""COMPUTED_VALUE"""),"NHG1924")</f>
        <v>NHG1924</v>
      </c>
      <c r="D2533" s="87" t="str">
        <f>IFERROR(__xludf.DUMMYFUNCTION("""COMPUTED_VALUE"""),"[Nhãn] GC - II - 1924 - Anh Tuấn Agri - NEW FUZE 200SC (Nước hồng) - 60ml - 100")</f>
        <v>[Nhãn] GC - II - 1924 - Anh Tuấn Agri - NEW FUZE 200SC (Nước hồng) - 60ml - 100</v>
      </c>
      <c r="E2533" s="87" t="str">
        <f>IFERROR(__xludf.DUMMYFUNCTION("""COMPUTED_VALUE"""),"NEW FUZE 200SC")</f>
        <v>NEW FUZE 200SC</v>
      </c>
      <c r="F2533" s="87" t="str">
        <f>IFERROR(__xludf.DUMMYFUNCTION("""COMPUTED_VALUE"""),"HH1924")</f>
        <v>HH1924</v>
      </c>
      <c r="G2533" s="87" t="str">
        <f>IFERROR(__xludf.DUMMYFUNCTION("""COMPUTED_VALUE"""),"GC - II - 1924 - Anh Tuấn Agri - NEW FUZE 200SC (Nước hồng) - 60ml - 100")</f>
        <v>GC - II - 1924 - Anh Tuấn Agri - NEW FUZE 200SC (Nước hồng) - 60ml - 100</v>
      </c>
    </row>
    <row r="2534">
      <c r="A2534" s="86">
        <f>IFERROR(__xludf.DUMMYFUNCTION("""COMPUTED_VALUE"""),2532.0)</f>
        <v>2532</v>
      </c>
      <c r="B2534" s="87" t="str">
        <f>IFERROR(__xludf.DUMMYFUNCTION("""COMPUTED_VALUE"""),"Nhãn")</f>
        <v>Nhãn</v>
      </c>
      <c r="C2534" s="87" t="str">
        <f>IFERROR(__xludf.DUMMYFUNCTION("""COMPUTED_VALUE"""),"NHG1925")</f>
        <v>NHG1925</v>
      </c>
      <c r="D2534" s="87" t="str">
        <f>IFERROR(__xludf.DUMMYFUNCTION("""COMPUTED_VALUE"""),"[Nhãn] GC - II - 1925 - Anh Tuấn Agri - THIPRO 550EC (Nước tím) - 60ml - 100")</f>
        <v>[Nhãn] GC - II - 1925 - Anh Tuấn Agri - THIPRO 550EC (Nước tím) - 60ml - 100</v>
      </c>
      <c r="E2534" s="87" t="str">
        <f>IFERROR(__xludf.DUMMYFUNCTION("""COMPUTED_VALUE"""),"Thipro 550EC")</f>
        <v>Thipro 550EC</v>
      </c>
      <c r="F2534" s="87" t="str">
        <f>IFERROR(__xludf.DUMMYFUNCTION("""COMPUTED_VALUE"""),"HH1925")</f>
        <v>HH1925</v>
      </c>
      <c r="G2534" s="87" t="str">
        <f>IFERROR(__xludf.DUMMYFUNCTION("""COMPUTED_VALUE"""),"GC - II - 1925 - Anh Tuấn Agri - THIPRO 550EC (Nước tím) - 60ml - 100")</f>
        <v>GC - II - 1925 - Anh Tuấn Agri - THIPRO 550EC (Nước tím) - 60ml - 100</v>
      </c>
    </row>
    <row r="2535">
      <c r="A2535" s="86">
        <f>IFERROR(__xludf.DUMMYFUNCTION("""COMPUTED_VALUE"""),2533.0)</f>
        <v>2533</v>
      </c>
      <c r="B2535" s="87" t="str">
        <f>IFERROR(__xludf.DUMMYFUNCTION("""COMPUTED_VALUE"""),"Nhãn")</f>
        <v>Nhãn</v>
      </c>
      <c r="C2535" s="87" t="str">
        <f>IFERROR(__xludf.DUMMYFUNCTION("""COMPUTED_VALUE"""),"NHG1926")</f>
        <v>NHG1926</v>
      </c>
      <c r="D2535" s="87" t="str">
        <f>IFERROR(__xludf.DUMMYFUNCTION("""COMPUTED_VALUE"""),"[Nhãn] GC - IV - 1926 - Cty Newtex - VATINO SUPER 525SE (Nước cam sữa) - 240ml - 40")</f>
        <v>[Nhãn] GC - IV - 1926 - Cty Newtex - VATINO SUPER 525SE (Nước cam sữa) - 240ml - 40</v>
      </c>
      <c r="E2535" s="87" t="str">
        <f>IFERROR(__xludf.DUMMYFUNCTION("""COMPUTED_VALUE"""),"VATINO SUPER 525SE")</f>
        <v>VATINO SUPER 525SE</v>
      </c>
      <c r="F2535" s="87" t="str">
        <f>IFERROR(__xludf.DUMMYFUNCTION("""COMPUTED_VALUE"""),"HH1926")</f>
        <v>HH1926</v>
      </c>
      <c r="G2535" s="87" t="str">
        <f>IFERROR(__xludf.DUMMYFUNCTION("""COMPUTED_VALUE"""),"GC - IV - 1926 - Cty Newtex - VATINO SUPER 525SE (Nước cam sữa) - 240ml - 40")</f>
        <v>GC - IV - 1926 - Cty Newtex - VATINO SUPER 525SE (Nước cam sữa) - 240ml - 40</v>
      </c>
    </row>
    <row r="2536">
      <c r="A2536" s="86">
        <f>IFERROR(__xludf.DUMMYFUNCTION("""COMPUTED_VALUE"""),2534.0)</f>
        <v>2534</v>
      </c>
      <c r="B2536" s="87" t="str">
        <f>IFERROR(__xludf.DUMMYFUNCTION("""COMPUTED_VALUE"""),"Nhãn")</f>
        <v>Nhãn</v>
      </c>
      <c r="C2536" s="87" t="str">
        <f>IFERROR(__xludf.DUMMYFUNCTION("""COMPUTED_VALUE"""),"NHG1927")</f>
        <v>NHG1927</v>
      </c>
      <c r="D2536" s="87" t="str">
        <f>IFERROR(__xludf.DUMMYFUNCTION("""COMPUTED_VALUE"""),"[Nhãn] GC - IV - 1927 - Cty Sen Hồng (A.Diễn) - MITOP ONE 390SC (nước xanh) - 220ml - 40")</f>
        <v>[Nhãn] GC - IV - 1927 - Cty Sen Hồng (A.Diễn) - MITOP ONE 390SC (nước xanh) - 220ml - 40</v>
      </c>
      <c r="E2536" s="87" t="str">
        <f>IFERROR(__xludf.DUMMYFUNCTION("""COMPUTED_VALUE"""),"MITOP ONE 390SC")</f>
        <v>MITOP ONE 390SC</v>
      </c>
      <c r="F2536" s="87" t="str">
        <f>IFERROR(__xludf.DUMMYFUNCTION("""COMPUTED_VALUE"""),"HH1927")</f>
        <v>HH1927</v>
      </c>
      <c r="G2536" s="87" t="str">
        <f>IFERROR(__xludf.DUMMYFUNCTION("""COMPUTED_VALUE"""),"GC - IV - 1927 - Cty Sen Hồng (A.Diễn) - MITOP ONE 390SC (nước xanh) - 220ml - 40")</f>
        <v>GC - IV - 1927 - Cty Sen Hồng (A.Diễn) - MITOP ONE 390SC (nước xanh) - 220ml - 40</v>
      </c>
    </row>
    <row r="2537">
      <c r="A2537" s="86">
        <f>IFERROR(__xludf.DUMMYFUNCTION("""COMPUTED_VALUE"""),2535.0)</f>
        <v>2535</v>
      </c>
      <c r="B2537" s="87" t="str">
        <f>IFERROR(__xludf.DUMMYFUNCTION("""COMPUTED_VALUE"""),"Nhãn thùng")</f>
        <v>Nhãn thùng</v>
      </c>
      <c r="C2537" s="87" t="str">
        <f>IFERROR(__xludf.DUMMYFUNCTION("""COMPUTED_VALUE"""),"NDT1927")</f>
        <v>NDT1927</v>
      </c>
      <c r="D2537" s="87" t="str">
        <f>IFERROR(__xludf.DUMMYFUNCTION("""COMPUTED_VALUE"""),"[Nhãn thùng] GC - IV - 1927 - Cty Sen Hồng (A.Diễn) - MITOP ONE 390SC (nước xanh) - 220ml - 40")</f>
        <v>[Nhãn thùng] GC - IV - 1927 - Cty Sen Hồng (A.Diễn) - MITOP ONE 390SC (nước xanh) - 220ml - 40</v>
      </c>
      <c r="E2537" s="87" t="str">
        <f>IFERROR(__xludf.DUMMYFUNCTION("""COMPUTED_VALUE"""),"MITOP ONE 390SC")</f>
        <v>MITOP ONE 390SC</v>
      </c>
      <c r="F2537" s="87" t="str">
        <f>IFERROR(__xludf.DUMMYFUNCTION("""COMPUTED_VALUE"""),"HH1927")</f>
        <v>HH1927</v>
      </c>
      <c r="G2537" s="87" t="str">
        <f>IFERROR(__xludf.DUMMYFUNCTION("""COMPUTED_VALUE"""),"GC - IV - 1927 - Cty Sen Hồng (A.Diễn) - MITOP ONE 390SC (nước xanh) - 220ml - 40")</f>
        <v>GC - IV - 1927 - Cty Sen Hồng (A.Diễn) - MITOP ONE 390SC (nước xanh) - 220ml - 40</v>
      </c>
    </row>
    <row r="2538">
      <c r="A2538" s="86">
        <f>IFERROR(__xludf.DUMMYFUNCTION("""COMPUTED_VALUE"""),2536.0)</f>
        <v>2536</v>
      </c>
      <c r="B2538" s="87" t="str">
        <f>IFERROR(__xludf.DUMMYFUNCTION("""COMPUTED_VALUE"""),"Nhãn")</f>
        <v>Nhãn</v>
      </c>
      <c r="C2538" s="87" t="str">
        <f>IFERROR(__xludf.DUMMYFUNCTION("""COMPUTED_VALUE"""),"NHG1930")</f>
        <v>NHG1930</v>
      </c>
      <c r="D2538" s="87" t="str">
        <f>IFERROR(__xludf.DUMMYFUNCTION("""COMPUTED_VALUE"""),"[Nhãn] GC - IV - 1930 - NEWTECH CROP SCIENCE - VATINO SUPER 525SE (Nước cam sữa) - 220ml - 40")</f>
        <v>[Nhãn] GC - IV - 1930 - NEWTECH CROP SCIENCE - VATINO SUPER 525SE (Nước cam sữa) - 220ml - 40</v>
      </c>
      <c r="E2538" s="87" t="str">
        <f>IFERROR(__xludf.DUMMYFUNCTION("""COMPUTED_VALUE"""),"VATINO SUPER 525SE")</f>
        <v>VATINO SUPER 525SE</v>
      </c>
      <c r="F2538" s="87" t="str">
        <f>IFERROR(__xludf.DUMMYFUNCTION("""COMPUTED_VALUE"""),"HH1930")</f>
        <v>HH1930</v>
      </c>
      <c r="G2538" s="87" t="str">
        <f>IFERROR(__xludf.DUMMYFUNCTION("""COMPUTED_VALUE"""),"GC - IV - 1930 - NEWTECH CROP SCIENCE - VATINO SUPER 525SE (Nước cam sữa) - 220ml - 40")</f>
        <v>GC - IV - 1930 - NEWTECH CROP SCIENCE - VATINO SUPER 525SE (Nước cam sữa) - 220ml - 40</v>
      </c>
    </row>
    <row r="2539">
      <c r="A2539" s="86">
        <f>IFERROR(__xludf.DUMMYFUNCTION("""COMPUTED_VALUE"""),2537.0)</f>
        <v>2537</v>
      </c>
      <c r="B2539" s="87" t="str">
        <f>IFERROR(__xludf.DUMMYFUNCTION("""COMPUTED_VALUE"""),"Nhãn")</f>
        <v>Nhãn</v>
      </c>
      <c r="C2539" s="87" t="str">
        <f>IFERROR(__xludf.DUMMYFUNCTION("""COMPUTED_VALUE"""),"NHG1931")</f>
        <v>NHG1931</v>
      </c>
      <c r="D2539" s="87" t="str">
        <f>IFERROR(__xludf.DUMMYFUNCTION("""COMPUTED_VALUE"""),"[Nhãn] GC - IV - 1931 - NEWTECH CROP SCIENCE - Genol 1.2SL (Nước hồng) - 450ml - 40")</f>
        <v>[Nhãn] GC - IV - 1931 - NEWTECH CROP SCIENCE - Genol 1.2SL (Nước hồng) - 450ml - 40</v>
      </c>
      <c r="E2539" s="87" t="str">
        <f>IFERROR(__xludf.DUMMYFUNCTION("""COMPUTED_VALUE"""),"GENOL 1.2SL")</f>
        <v>GENOL 1.2SL</v>
      </c>
      <c r="F2539" s="87" t="str">
        <f>IFERROR(__xludf.DUMMYFUNCTION("""COMPUTED_VALUE"""),"HH1931")</f>
        <v>HH1931</v>
      </c>
      <c r="G2539" s="87" t="str">
        <f>IFERROR(__xludf.DUMMYFUNCTION("""COMPUTED_VALUE"""),"GC - IV - 1931 - NEWTECH CROP SCIENCE - Genol 1.2SL (Nước hồng) - 450ml - 40")</f>
        <v>GC - IV - 1931 - NEWTECH CROP SCIENCE - Genol 1.2SL (Nước hồng) - 450ml - 40</v>
      </c>
    </row>
    <row r="2540">
      <c r="A2540" s="86">
        <f>IFERROR(__xludf.DUMMYFUNCTION("""COMPUTED_VALUE"""),2538.0)</f>
        <v>2538</v>
      </c>
      <c r="B2540" s="87" t="str">
        <f>IFERROR(__xludf.DUMMYFUNCTION("""COMPUTED_VALUE"""),"Nhãn")</f>
        <v>Nhãn</v>
      </c>
      <c r="C2540" s="87" t="str">
        <f>IFERROR(__xludf.DUMMYFUNCTION("""COMPUTED_VALUE"""),"NHG1932")</f>
        <v>NHG1932</v>
      </c>
      <c r="D2540" s="87" t="str">
        <f>IFERROR(__xludf.DUMMYFUNCTION("""COMPUTED_VALUE"""),"[Nhãn] GC - IV - 1932 - Agriscience - Calcibor (Màu vàng mật ong) - 500ml - 40")</f>
        <v>[Nhãn] GC - IV - 1932 - Agriscience - Calcibor (Màu vàng mật ong) - 500ml - 40</v>
      </c>
      <c r="E2540" s="87" t="str">
        <f>IFERROR(__xludf.DUMMYFUNCTION("""COMPUTED_VALUE"""),"Vi lượng Run Fast")</f>
        <v>Vi lượng Run Fast</v>
      </c>
      <c r="F2540" s="87" t="str">
        <f>IFERROR(__xludf.DUMMYFUNCTION("""COMPUTED_VALUE"""),"HH1932")</f>
        <v>HH1932</v>
      </c>
      <c r="G2540" s="87" t="str">
        <f>IFERROR(__xludf.DUMMYFUNCTION("""COMPUTED_VALUE"""),"GC - IV - 1932 - Agriscience - Calcibor (Màu vàng mật ong) - 500ml - 40")</f>
        <v>GC - IV - 1932 - Agriscience - Calcibor (Màu vàng mật ong) - 500ml - 40</v>
      </c>
    </row>
    <row r="2541">
      <c r="A2541" s="86">
        <f>IFERROR(__xludf.DUMMYFUNCTION("""COMPUTED_VALUE"""),2539.0)</f>
        <v>2539</v>
      </c>
      <c r="B2541" s="87" t="str">
        <f>IFERROR(__xludf.DUMMYFUNCTION("""COMPUTED_VALUE"""),"Nhãn Phụ")</f>
        <v>Nhãn Phụ</v>
      </c>
      <c r="C2541" s="87" t="str">
        <f>IFERROR(__xludf.DUMMYFUNCTION("""COMPUTED_VALUE"""),"NHP1932")</f>
        <v>NHP1932</v>
      </c>
      <c r="D2541" s="87" t="str">
        <f>IFERROR(__xludf.DUMMYFUNCTION("""COMPUTED_VALUE"""),"[Nhãn Phụ] GC - IV - 1932 - Agriscience - Calcibor (Màu vàng mật ong) - 500ml - 40")</f>
        <v>[Nhãn Phụ] GC - IV - 1932 - Agriscience - Calcibor (Màu vàng mật ong) - 500ml - 40</v>
      </c>
      <c r="E2541" s="87" t="str">
        <f>IFERROR(__xludf.DUMMYFUNCTION("""COMPUTED_VALUE"""),"Vi lượng Run Fast")</f>
        <v>Vi lượng Run Fast</v>
      </c>
      <c r="F2541" s="87" t="str">
        <f>IFERROR(__xludf.DUMMYFUNCTION("""COMPUTED_VALUE"""),"HH1932")</f>
        <v>HH1932</v>
      </c>
      <c r="G2541" s="87" t="str">
        <f>IFERROR(__xludf.DUMMYFUNCTION("""COMPUTED_VALUE"""),"GC - IV - 1932 - Agriscience - Calcibor (Màu vàng mật ong) - 500ml - 40")</f>
        <v>GC - IV - 1932 - Agriscience - Calcibor (Màu vàng mật ong) - 500ml - 40</v>
      </c>
    </row>
    <row r="2542">
      <c r="A2542" s="86">
        <f>IFERROR(__xludf.DUMMYFUNCTION("""COMPUTED_VALUE"""),2540.0)</f>
        <v>2540</v>
      </c>
      <c r="B2542" s="87" t="str">
        <f>IFERROR(__xludf.DUMMYFUNCTION("""COMPUTED_VALUE"""),"Nhãn")</f>
        <v>Nhãn</v>
      </c>
      <c r="C2542" s="87" t="str">
        <f>IFERROR(__xludf.DUMMYFUNCTION("""COMPUTED_VALUE"""),"NHG1933")</f>
        <v>NHG1933</v>
      </c>
      <c r="D2542" s="87" t="str">
        <f>IFERROR(__xludf.DUMMYFUNCTION("""COMPUTED_VALUE"""),"[Nhãn] NB - I - 1933 - Nông Dược Thụy Sĩ - LEM LÉP HẠT (Nước gạch cam) - 480ml - 40")</f>
        <v>[Nhãn] NB - I - 1933 - Nông Dược Thụy Sĩ - LEM LÉP HẠT (Nước gạch cam) - 480ml - 40</v>
      </c>
      <c r="E2542" s="87" t="str">
        <f>IFERROR(__xludf.DUMMYFUNCTION("""COMPUTED_VALUE"""),"KING-CIDE JAPAN 460SC")</f>
        <v>KING-CIDE JAPAN 460SC</v>
      </c>
      <c r="F2542" s="87" t="str">
        <f>IFERROR(__xludf.DUMMYFUNCTION("""COMPUTED_VALUE"""),"HH1933")</f>
        <v>HH1933</v>
      </c>
      <c r="G2542" s="87" t="str">
        <f>IFERROR(__xludf.DUMMYFUNCTION("""COMPUTED_VALUE"""),"NB - I - 1933 - Nông Dược Thụy Sĩ - LEM LÉP HẠT (Nước gạch cam) - 480ml - 40")</f>
        <v>NB - I - 1933 - Nông Dược Thụy Sĩ - LEM LÉP HẠT (Nước gạch cam) - 480ml - 40</v>
      </c>
    </row>
    <row r="2543">
      <c r="A2543" s="86">
        <f>IFERROR(__xludf.DUMMYFUNCTION("""COMPUTED_VALUE"""),2541.0)</f>
        <v>2541</v>
      </c>
      <c r="B2543" s="87" t="str">
        <f>IFERROR(__xludf.DUMMYFUNCTION("""COMPUTED_VALUE"""),"Nhãn")</f>
        <v>Nhãn</v>
      </c>
      <c r="C2543" s="87" t="str">
        <f>IFERROR(__xludf.DUMMYFUNCTION("""COMPUTED_VALUE"""),"NHG1934")</f>
        <v>NHG1934</v>
      </c>
      <c r="D2543" s="87" t="str">
        <f>IFERROR(__xludf.DUMMYFUNCTION("""COMPUTED_VALUE"""),"[Nhãn] IDA Global - I - 1934 - Flower Top Chuyên Lúa Và Rau Màu (drone) (Nước trắng sữa) - 450ml - 40")</f>
        <v>[Nhãn] IDA Global - I - 1934 - Flower Top Chuyên Lúa Và Rau Màu (drone) (Nước trắng sữa) - 450ml - 40</v>
      </c>
      <c r="E2543" s="87" t="str">
        <f>IFERROR(__xludf.DUMMYFUNCTION("""COMPUTED_VALUE"""),"Vi lượng Basel IDA 47")</f>
        <v>Vi lượng Basel IDA 47</v>
      </c>
      <c r="F2543" s="87" t="str">
        <f>IFERROR(__xludf.DUMMYFUNCTION("""COMPUTED_VALUE"""),"HH1934")</f>
        <v>HH1934</v>
      </c>
      <c r="G2543" s="87" t="str">
        <f>IFERROR(__xludf.DUMMYFUNCTION("""COMPUTED_VALUE"""),"IDA Global - I - 1934 - Flower Top Chuyên Lúa Và Rau Màu (drone) (Nước trắng sữa) - 450ml - 40")</f>
        <v>IDA Global - I - 1934 - Flower Top Chuyên Lúa Và Rau Màu (drone) (Nước trắng sữa) - 450ml - 40</v>
      </c>
    </row>
    <row r="2544">
      <c r="A2544" s="86">
        <f>IFERROR(__xludf.DUMMYFUNCTION("""COMPUTED_VALUE"""),2542.0)</f>
        <v>2542</v>
      </c>
      <c r="B2544" s="87" t="str">
        <f>IFERROR(__xludf.DUMMYFUNCTION("""COMPUTED_VALUE"""),"Nhãn")</f>
        <v>Nhãn</v>
      </c>
      <c r="C2544" s="87" t="str">
        <f>IFERROR(__xludf.DUMMYFUNCTION("""COMPUTED_VALUE"""),"NHG1935")</f>
        <v>NHG1935</v>
      </c>
      <c r="D2544" s="87" t="str">
        <f>IFERROR(__xludf.DUMMYFUNCTION("""COMPUTED_VALUE"""),"[Nhãn] GC - IV - 1935 - Cty Tiến Vinh - AMIX TIVI (Nước xanh lá) - 250ml - 40")</f>
        <v>[Nhãn] GC - IV - 1935 - Cty Tiến Vinh - AMIX TIVI (Nước xanh lá) - 250ml - 40</v>
      </c>
      <c r="E2544" s="87" t="str">
        <f>IFERROR(__xludf.DUMMYFUNCTION("""COMPUTED_VALUE"""),"MITOP ONE 390SC")</f>
        <v>MITOP ONE 390SC</v>
      </c>
      <c r="F2544" s="87" t="str">
        <f>IFERROR(__xludf.DUMMYFUNCTION("""COMPUTED_VALUE"""),"HH1935")</f>
        <v>HH1935</v>
      </c>
      <c r="G2544" s="87" t="str">
        <f>IFERROR(__xludf.DUMMYFUNCTION("""COMPUTED_VALUE"""),"GC - IV - 1935 - Cty Tiến Vinh - AMIX TIVI (Nước xanh lá) - 250ml - 40")</f>
        <v>GC - IV - 1935 - Cty Tiến Vinh - AMIX TIVI (Nước xanh lá) - 250ml - 40</v>
      </c>
    </row>
    <row r="2545">
      <c r="A2545" s="86">
        <f>IFERROR(__xludf.DUMMYFUNCTION("""COMPUTED_VALUE"""),2543.0)</f>
        <v>2543</v>
      </c>
      <c r="B2545" s="87" t="str">
        <f>IFERROR(__xludf.DUMMYFUNCTION("""COMPUTED_VALUE"""),"Nhãn")</f>
        <v>Nhãn</v>
      </c>
      <c r="C2545" s="87" t="str">
        <f>IFERROR(__xludf.DUMMYFUNCTION("""COMPUTED_VALUE"""),"NHG1936")</f>
        <v>NHG1936</v>
      </c>
      <c r="D2545" s="87" t="str">
        <f>IFERROR(__xludf.DUMMYFUNCTION("""COMPUTED_VALUE"""),"[Nhãn] GC - II - 1936 - Anh Tuấn Agri - MITOP ONE 390SC (Nước xanh lá) - 100ml - 50")</f>
        <v>[Nhãn] GC - II - 1936 - Anh Tuấn Agri - MITOP ONE 390SC (Nước xanh lá) - 100ml - 50</v>
      </c>
      <c r="E2545" s="87" t="str">
        <f>IFERROR(__xludf.DUMMYFUNCTION("""COMPUTED_VALUE"""),"MITOP ONE 390SC")</f>
        <v>MITOP ONE 390SC</v>
      </c>
      <c r="F2545" s="87" t="str">
        <f>IFERROR(__xludf.DUMMYFUNCTION("""COMPUTED_VALUE"""),"HH1936")</f>
        <v>HH1936</v>
      </c>
      <c r="G2545" s="87" t="str">
        <f>IFERROR(__xludf.DUMMYFUNCTION("""COMPUTED_VALUE"""),"GC - II - 1936 - Anh Tuấn Agri - MITOP ONE 390SC (Nước xanh lá) - 100ml - 50")</f>
        <v>GC - II - 1936 - Anh Tuấn Agri - MITOP ONE 390SC (Nước xanh lá) - 100ml - 50</v>
      </c>
    </row>
    <row r="2546">
      <c r="A2546" s="86">
        <f>IFERROR(__xludf.DUMMYFUNCTION("""COMPUTED_VALUE"""),2544.0)</f>
        <v>2544</v>
      </c>
      <c r="B2546" s="87" t="str">
        <f>IFERROR(__xludf.DUMMYFUNCTION("""COMPUTED_VALUE"""),"Nhãn")</f>
        <v>Nhãn</v>
      </c>
      <c r="C2546" s="87" t="str">
        <f>IFERROR(__xludf.DUMMYFUNCTION("""COMPUTED_VALUE"""),"NHG1937")</f>
        <v>NHG1937</v>
      </c>
      <c r="D2546" s="87" t="str">
        <f>IFERROR(__xludf.DUMMYFUNCTION("""COMPUTED_VALUE"""),"[Nhãn] IDA Global - I - 1937 - CỨNG CÂY 304 (Nước nâu đen) - 500ml - 40")</f>
        <v>[Nhãn] IDA Global - I - 1937 - CỨNG CÂY 304 (Nước nâu đen) - 500ml - 40</v>
      </c>
      <c r="E2546" s="87" t="str">
        <f>IFERROR(__xludf.DUMMYFUNCTION("""COMPUTED_VALUE"""),"Hữu cơ SH Agro Organic Fertilizer 20")</f>
        <v>Hữu cơ SH Agro Organic Fertilizer 20</v>
      </c>
      <c r="F2546" s="87" t="str">
        <f>IFERROR(__xludf.DUMMYFUNCTION("""COMPUTED_VALUE"""),"HH1937")</f>
        <v>HH1937</v>
      </c>
      <c r="G2546" s="87" t="str">
        <f>IFERROR(__xludf.DUMMYFUNCTION("""COMPUTED_VALUE"""),"IDA Global - I - 1937 - CỨNG CÂY 304 (Nước nâu đen) - 500ml - 40")</f>
        <v>IDA Global - I - 1937 - CỨNG CÂY 304 (Nước nâu đen) - 500ml - 40</v>
      </c>
    </row>
    <row r="2547">
      <c r="A2547" s="86">
        <f>IFERROR(__xludf.DUMMYFUNCTION("""COMPUTED_VALUE"""),2545.0)</f>
        <v>2545</v>
      </c>
      <c r="B2547" s="87" t="str">
        <f>IFERROR(__xludf.DUMMYFUNCTION("""COMPUTED_VALUE"""),"Nhãn")</f>
        <v>Nhãn</v>
      </c>
      <c r="C2547" s="87" t="str">
        <f>IFERROR(__xludf.DUMMYFUNCTION("""COMPUTED_VALUE"""),"NHG1938")</f>
        <v>NHG1938</v>
      </c>
      <c r="D2547" s="87" t="str">
        <f>IFERROR(__xludf.DUMMYFUNCTION("""COMPUTED_VALUE"""),"[Nhãn] IDA Global - I - 1938 - WINNER X2 (Nước đỏ cam) - 500ml - 40")</f>
        <v>[Nhãn] IDA Global - I - 1938 - WINNER X2 (Nước đỏ cam) - 500ml - 40</v>
      </c>
      <c r="E2547" s="87"/>
      <c r="F2547" s="87"/>
      <c r="G2547" s="87"/>
    </row>
    <row r="2548">
      <c r="A2548" s="86">
        <f>IFERROR(__xludf.DUMMYFUNCTION("""COMPUTED_VALUE"""),2546.0)</f>
        <v>2546</v>
      </c>
      <c r="B2548" s="87" t="str">
        <f>IFERROR(__xludf.DUMMYFUNCTION("""COMPUTED_VALUE"""),"ABA")</f>
        <v>ABA</v>
      </c>
      <c r="C2548" s="87" t="str">
        <f>IFERROR(__xludf.DUMMYFUNCTION("""COMPUTED_VALUE"""),"450ml")</f>
        <v>450ml</v>
      </c>
      <c r="D2548" s="87" t="str">
        <f>IFERROR(__xludf.DUMMYFUNCTION("""COMPUTED_VALUE"""),"40")</f>
        <v>40</v>
      </c>
      <c r="E2548" s="87" t="str">
        <f>IFERROR(__xludf.DUMMYFUNCTION("""COMPUTED_VALUE"""),"Nhãn decal bóng")</f>
        <v>Nhãn decal bóng</v>
      </c>
      <c r="F2548" s="87" t="str">
        <f>IFERROR(__xludf.DUMMYFUNCTION("""COMPUTED_VALUE"""),"Cái")</f>
        <v>Cái</v>
      </c>
      <c r="G2548" s="87"/>
    </row>
    <row r="2549">
      <c r="A2549" s="86">
        <f>IFERROR(__xludf.DUMMYFUNCTION("""COMPUTED_VALUE"""),2547.0)</f>
        <v>2547</v>
      </c>
      <c r="B2549" s="87" t="str">
        <f>IFERROR(__xludf.DUMMYFUNCTION("""COMPUTED_VALUE"""),"Nhãn")</f>
        <v>Nhãn</v>
      </c>
      <c r="C2549" s="87" t="str">
        <f>IFERROR(__xludf.DUMMYFUNCTION("""COMPUTED_VALUE"""),"NHG1939")</f>
        <v>NHG1939</v>
      </c>
      <c r="D2549" s="87" t="str">
        <f>IFERROR(__xludf.DUMMYFUNCTION("""COMPUTED_VALUE"""),"[Nhãn] GC - IV - 1939 - CTY SRILANKA - CHÁY NHANH - LƯU DẪN (nước đỏ) - 900ml - 20")</f>
        <v>[Nhãn] GC - IV - 1939 - CTY SRILANKA - CHÁY NHANH - LƯU DẪN (nước đỏ) - 900ml - 20</v>
      </c>
      <c r="E2549" s="87" t="str">
        <f>IFERROR(__xludf.DUMMYFUNCTION("""COMPUTED_VALUE"""),"Asupergras 200SL")</f>
        <v>Asupergras 200SL</v>
      </c>
      <c r="F2549" s="87" t="str">
        <f>IFERROR(__xludf.DUMMYFUNCTION("""COMPUTED_VALUE"""),"HH1939")</f>
        <v>HH1939</v>
      </c>
      <c r="G2549" s="87" t="str">
        <f>IFERROR(__xludf.DUMMYFUNCTION("""COMPUTED_VALUE"""),"GC - IV - 1939 - CTY SRILANKA - CHÁY NHANH - LƯU DẪN (nước đỏ) - 900ml - 20")</f>
        <v>GC - IV - 1939 - CTY SRILANKA - CHÁY NHANH - LƯU DẪN (nước đỏ) - 900ml - 20</v>
      </c>
    </row>
    <row r="2550">
      <c r="A2550" s="86">
        <f>IFERROR(__xludf.DUMMYFUNCTION("""COMPUTED_VALUE"""),2548.0)</f>
        <v>2548</v>
      </c>
      <c r="B2550" s="87" t="str">
        <f>IFERROR(__xludf.DUMMYFUNCTION("""COMPUTED_VALUE"""),"Nhãn")</f>
        <v>Nhãn</v>
      </c>
      <c r="C2550" s="87" t="str">
        <f>IFERROR(__xludf.DUMMYFUNCTION("""COMPUTED_VALUE"""),"NHG1940")</f>
        <v>NHG1940</v>
      </c>
      <c r="D2550" s="87" t="str">
        <f>IFERROR(__xludf.DUMMYFUNCTION("""COMPUTED_VALUE"""),"[Nhãn] GC - IV - 1940 - Cty Newsanto USA - Trái cà đỏ (nước vàng trà) - 450ml - 40")</f>
        <v>[Nhãn] GC - IV - 1940 - Cty Newsanto USA - Trái cà đỏ (nước vàng trà) - 450ml - 40</v>
      </c>
      <c r="E2550" s="87" t="str">
        <f>IFERROR(__xludf.DUMMYFUNCTION("""COMPUTED_VALUE"""),"PRODIFE'S 5.8EC")</f>
        <v>PRODIFE'S 5.8EC</v>
      </c>
      <c r="F2550" s="87" t="str">
        <f>IFERROR(__xludf.DUMMYFUNCTION("""COMPUTED_VALUE"""),"HH1940")</f>
        <v>HH1940</v>
      </c>
      <c r="G2550" s="87" t="str">
        <f>IFERROR(__xludf.DUMMYFUNCTION("""COMPUTED_VALUE"""),"GC - IV - 1940 - Cty Newsanto USA - Trái cà đỏ (nước vàng trà) - 450ml - 40")</f>
        <v>GC - IV - 1940 - Cty Newsanto USA - Trái cà đỏ (nước vàng trà) - 450ml - 40</v>
      </c>
    </row>
    <row r="2551">
      <c r="A2551" s="86">
        <f>IFERROR(__xludf.DUMMYFUNCTION("""COMPUTED_VALUE"""),2549.0)</f>
        <v>2549</v>
      </c>
      <c r="B2551" s="87" t="str">
        <f>IFERROR(__xludf.DUMMYFUNCTION("""COMPUTED_VALUE"""),"Nhãn")</f>
        <v>Nhãn</v>
      </c>
      <c r="C2551" s="87" t="str">
        <f>IFERROR(__xludf.DUMMYFUNCTION("""COMPUTED_VALUE"""),"NHG1941")</f>
        <v>NHG1941</v>
      </c>
      <c r="D2551" s="87" t="str">
        <f>IFERROR(__xludf.DUMMYFUNCTION("""COMPUTED_VALUE"""),"[Nhãn] GC - IV - 1941 - Cty TNC - SÁNG BÓNG (Nước vàng chanh) - 240ml - 40")</f>
        <v>[Nhãn] GC - IV - 1941 - Cty TNC - SÁNG BÓNG (Nước vàng chanh) - 240ml - 40</v>
      </c>
      <c r="E2551" s="87" t="str">
        <f>IFERROR(__xludf.DUMMYFUNCTION("""COMPUTED_VALUE"""),"MI STOP 350SC")</f>
        <v>MI STOP 350SC</v>
      </c>
      <c r="F2551" s="87" t="str">
        <f>IFERROR(__xludf.DUMMYFUNCTION("""COMPUTED_VALUE"""),"HH1941")</f>
        <v>HH1941</v>
      </c>
      <c r="G2551" s="87" t="str">
        <f>IFERROR(__xludf.DUMMYFUNCTION("""COMPUTED_VALUE"""),"GC - IV - 1941 - Cty TNC - SÁNG BÓNG (Nước vàng chanh) - 240ml - 40")</f>
        <v>GC - IV - 1941 - Cty TNC - SÁNG BÓNG (Nước vàng chanh) - 240ml - 40</v>
      </c>
    </row>
    <row r="2552">
      <c r="A2552" s="86">
        <f>IFERROR(__xludf.DUMMYFUNCTION("""COMPUTED_VALUE"""),2550.0)</f>
        <v>2550</v>
      </c>
      <c r="B2552" s="87" t="str">
        <f>IFERROR(__xludf.DUMMYFUNCTION("""COMPUTED_VALUE"""),"Nhãn")</f>
        <v>Nhãn</v>
      </c>
      <c r="C2552" s="87" t="str">
        <f>IFERROR(__xludf.DUMMYFUNCTION("""COMPUTED_VALUE"""),"NTN1942")</f>
        <v>NTN1942</v>
      </c>
      <c r="D2552" s="87" t="str">
        <f>IFERROR(__xludf.DUMMYFUNCTION("""COMPUTED_VALUE"""),"[Nhãn] NB - I - 1942 - Cty Nông Dược Sunrise - SẠCH SÂU SUNRISE (Dạng cốm màu vàng nhạt) - 50gr - 150")</f>
        <v>[Nhãn] NB - I - 1942 - Cty Nông Dược Sunrise - SẠCH SÂU SUNRISE (Dạng cốm màu vàng nhạt) - 50gr - 150</v>
      </c>
      <c r="E2552" s="87" t="str">
        <f>IFERROR(__xludf.DUMMYFUNCTION("""COMPUTED_VALUE"""),"Creek 51WG")</f>
        <v>Creek 51WG</v>
      </c>
      <c r="F2552" s="87" t="str">
        <f>IFERROR(__xludf.DUMMYFUNCTION("""COMPUTED_VALUE"""),"HH1942")</f>
        <v>HH1942</v>
      </c>
      <c r="G2552" s="87" t="str">
        <f>IFERROR(__xludf.DUMMYFUNCTION("""COMPUTED_VALUE"""),"NB - I - 1942 - Cty Nông Dược Sunrise - SẠCH SÂU SUNRISE (Dạng cốm màu vàng nhạt) - 50gr - 150")</f>
        <v>NB - I - 1942 - Cty Nông Dược Sunrise - SẠCH SÂU SUNRISE (Dạng cốm màu vàng nhạt) - 50gr - 150</v>
      </c>
    </row>
    <row r="2553">
      <c r="A2553" s="86">
        <f>IFERROR(__xludf.DUMMYFUNCTION("""COMPUTED_VALUE"""),2551.0)</f>
        <v>2551</v>
      </c>
      <c r="B2553" s="87" t="str">
        <f>IFERROR(__xludf.DUMMYFUNCTION("""COMPUTED_VALUE"""),"Nhãn")</f>
        <v>Nhãn</v>
      </c>
      <c r="C2553" s="87" t="str">
        <f>IFERROR(__xludf.DUMMYFUNCTION("""COMPUTED_VALUE"""),"NHD1943")</f>
        <v>NHD1943</v>
      </c>
      <c r="D2553" s="87" t="str">
        <f>IFERROR(__xludf.DUMMYFUNCTION("""COMPUTED_VALUE"""),"[Nhãn] GC - IV - 1943 - Cty HITACO (Nước vàng) - 1000L - 1")</f>
        <v>[Nhãn] GC - IV - 1943 - Cty HITACO (Nước vàng) - 1000L - 1</v>
      </c>
      <c r="E2553" s="87" t="str">
        <f>IFERROR(__xludf.DUMMYFUNCTION("""COMPUTED_VALUE"""),"Asupergras 200SL")</f>
        <v>Asupergras 200SL</v>
      </c>
      <c r="F2553" s="87" t="str">
        <f>IFERROR(__xludf.DUMMYFUNCTION("""COMPUTED_VALUE"""),"HH1943")</f>
        <v>HH1943</v>
      </c>
      <c r="G2553" s="87" t="str">
        <f>IFERROR(__xludf.DUMMYFUNCTION("""COMPUTED_VALUE"""),"GC - IV - 1943 - Cty HITACO (Nước vàng) - 1000L - 1")</f>
        <v>GC - IV - 1943 - Cty HITACO (Nước vàng) - 1000L - 1</v>
      </c>
    </row>
    <row r="2554">
      <c r="A2554" s="86">
        <f>IFERROR(__xludf.DUMMYFUNCTION("""COMPUTED_VALUE"""),2552.0)</f>
        <v>2552</v>
      </c>
      <c r="B2554" s="87" t="str">
        <f>IFERROR(__xludf.DUMMYFUNCTION("""COMPUTED_VALUE"""),"Nhãn")</f>
        <v>Nhãn</v>
      </c>
      <c r="C2554" s="87" t="str">
        <f>IFERROR(__xludf.DUMMYFUNCTION("""COMPUTED_VALUE"""),"NTN1944")</f>
        <v>NTN1944</v>
      </c>
      <c r="D2554" s="87" t="str">
        <f>IFERROR(__xludf.DUMMYFUNCTION("""COMPUTED_VALUE"""),"[Nhãn] GC - IV - 1944 - Agritech Hà Lan - Thần Diệt Trùng - Vua Chích Hút (bột trắng) - 100gr - 100")</f>
        <v>[Nhãn] GC - IV - 1944 - Agritech Hà Lan - Thần Diệt Trùng - Vua Chích Hút (bột trắng) - 100gr - 100</v>
      </c>
      <c r="E2554" s="87"/>
      <c r="F2554" s="87"/>
      <c r="G2554" s="87"/>
    </row>
    <row r="2555">
      <c r="A2555" s="86">
        <f>IFERROR(__xludf.DUMMYFUNCTION("""COMPUTED_VALUE"""),2553.0)</f>
        <v>2553</v>
      </c>
      <c r="B2555" s="87" t="str">
        <f>IFERROR(__xludf.DUMMYFUNCTION("""COMPUTED_VALUE"""),"DEGO")</f>
        <v>DEGO</v>
      </c>
      <c r="C2555" s="87" t="str">
        <f>IFERROR(__xludf.DUMMYFUNCTION("""COMPUTED_VALUE"""),"100ml")</f>
        <v>100ml</v>
      </c>
      <c r="D2555" s="87" t="str">
        <f>IFERROR(__xludf.DUMMYFUNCTION("""COMPUTED_VALUE"""),"100")</f>
        <v>100</v>
      </c>
      <c r="E2555" s="87" t="str">
        <f>IFERROR(__xludf.DUMMYFUNCTION("""COMPUTED_VALUE"""),"Nhãn giấy")</f>
        <v>Nhãn giấy</v>
      </c>
      <c r="F2555" s="87" t="str">
        <f>IFERROR(__xludf.DUMMYFUNCTION("""COMPUTED_VALUE"""),"Cái")</f>
        <v>Cái</v>
      </c>
      <c r="G2555" s="87"/>
    </row>
    <row r="2556">
      <c r="A2556" s="86">
        <f>IFERROR(__xludf.DUMMYFUNCTION("""COMPUTED_VALUE"""),2554.0)</f>
        <v>2554</v>
      </c>
      <c r="B2556" s="87" t="str">
        <f>IFERROR(__xludf.DUMMYFUNCTION("""COMPUTED_VALUE"""),"Nhãn thùng")</f>
        <v>Nhãn thùng</v>
      </c>
      <c r="C2556" s="87" t="str">
        <f>IFERROR(__xludf.DUMMYFUNCTION("""COMPUTED_VALUE"""),"NDT1944")</f>
        <v>NDT1944</v>
      </c>
      <c r="D2556" s="87" t="str">
        <f>IFERROR(__xludf.DUMMYFUNCTION("""COMPUTED_VALUE"""),"[Nhãn thùng] GC - IV - 1944 - Agritech Hà Lan - Thần Diệt Trùng - Vua Chích Hút (bột trắng) - 100gr - 100")</f>
        <v>[Nhãn thùng] GC - IV - 1944 - Agritech Hà Lan - Thần Diệt Trùng - Vua Chích Hút (bột trắng) - 100gr - 100</v>
      </c>
      <c r="E2556" s="87"/>
      <c r="F2556" s="87"/>
      <c r="G2556" s="87"/>
    </row>
    <row r="2557">
      <c r="A2557" s="86">
        <f>IFERROR(__xludf.DUMMYFUNCTION("""COMPUTED_VALUE"""),2555.0)</f>
        <v>2555</v>
      </c>
      <c r="B2557" s="87" t="str">
        <f>IFERROR(__xludf.DUMMYFUNCTION("""COMPUTED_VALUE"""),"ABA")</f>
        <v>ABA</v>
      </c>
      <c r="C2557" s="87" t="str">
        <f>IFERROR(__xludf.DUMMYFUNCTION("""COMPUTED_VALUE"""),"100ml")</f>
        <v>100ml</v>
      </c>
      <c r="D2557" s="87" t="str">
        <f>IFERROR(__xludf.DUMMYFUNCTION("""COMPUTED_VALUE"""),"100")</f>
        <v>100</v>
      </c>
      <c r="E2557" s="87" t="str">
        <f>IFERROR(__xludf.DUMMYFUNCTION("""COMPUTED_VALUE"""),"Nhãn decal bóng")</f>
        <v>Nhãn decal bóng</v>
      </c>
      <c r="F2557" s="87" t="str">
        <f>IFERROR(__xludf.DUMMYFUNCTION("""COMPUTED_VALUE"""),"Cái")</f>
        <v>Cái</v>
      </c>
      <c r="G2557" s="87"/>
    </row>
    <row r="2558">
      <c r="A2558" s="86">
        <f>IFERROR(__xludf.DUMMYFUNCTION("""COMPUTED_VALUE"""),2556.0)</f>
        <v>2556</v>
      </c>
      <c r="B2558" s="87" t="str">
        <f>IFERROR(__xludf.DUMMYFUNCTION("""COMPUTED_VALUE"""),"Nhãn")</f>
        <v>Nhãn</v>
      </c>
      <c r="C2558" s="87" t="str">
        <f>IFERROR(__xludf.DUMMYFUNCTION("""COMPUTED_VALUE"""),"NHG1945")</f>
        <v>NHG1945</v>
      </c>
      <c r="D2558" s="87" t="str">
        <f>IFERROR(__xludf.DUMMYFUNCTION("""COMPUTED_VALUE"""),"[Nhãn] GC - II - 1945 - AGC - SPIRO 240SC (Nước trắng sữa) - 240ml - 40")</f>
        <v>[Nhãn] GC - II - 1945 - AGC - SPIRO 240SC (Nước trắng sữa) - 240ml - 40</v>
      </c>
      <c r="E2558" s="87" t="str">
        <f>IFERROR(__xludf.DUMMYFUNCTION("""COMPUTED_VALUE"""),"SPIRO 240SC")</f>
        <v>SPIRO 240SC</v>
      </c>
      <c r="F2558" s="87" t="str">
        <f>IFERROR(__xludf.DUMMYFUNCTION("""COMPUTED_VALUE"""),"HH1945")</f>
        <v>HH1945</v>
      </c>
      <c r="G2558" s="87" t="str">
        <f>IFERROR(__xludf.DUMMYFUNCTION("""COMPUTED_VALUE"""),"GC - II - 1945 - AGC - SPIRO 240SC (Nước trắng sữa) - 240ml - 40")</f>
        <v>GC - II - 1945 - AGC - SPIRO 240SC (Nước trắng sữa) - 240ml - 40</v>
      </c>
    </row>
    <row r="2559">
      <c r="A2559" s="86">
        <f>IFERROR(__xludf.DUMMYFUNCTION("""COMPUTED_VALUE"""),2557.0)</f>
        <v>2557</v>
      </c>
      <c r="B2559" s="87" t="str">
        <f>IFERROR(__xludf.DUMMYFUNCTION("""COMPUTED_VALUE"""),"Nhãn")</f>
        <v>Nhãn</v>
      </c>
      <c r="C2559" s="87" t="str">
        <f>IFERROR(__xludf.DUMMYFUNCTION("""COMPUTED_VALUE"""),"NHG1946")</f>
        <v>NHG1946</v>
      </c>
      <c r="D2559" s="87" t="str">
        <f>IFERROR(__xludf.DUMMYFUNCTION("""COMPUTED_VALUE"""),"[Nhãn] IDA Global - I - 1946 - Cty Agrotech - PICOSUPER 280SC (Nước trắng sữa) - 240ml - 40")</f>
        <v>[Nhãn] IDA Global - I - 1946 - Cty Agrotech - PICOSUPER 280SC (Nước trắng sữa) - 240ml - 40</v>
      </c>
      <c r="E2559" s="87" t="str">
        <f>IFERROR(__xludf.DUMMYFUNCTION("""COMPUTED_VALUE"""),"PICOSUPER 280SC")</f>
        <v>PICOSUPER 280SC</v>
      </c>
      <c r="F2559" s="87" t="str">
        <f>IFERROR(__xludf.DUMMYFUNCTION("""COMPUTED_VALUE"""),"HH1946")</f>
        <v>HH1946</v>
      </c>
      <c r="G2559" s="87" t="str">
        <f>IFERROR(__xludf.DUMMYFUNCTION("""COMPUTED_VALUE"""),"IDA Global - I - 1946 - Cty Agrotech - PICOSUPER 280SC (Nước trắng sữa) - 240ml - 40")</f>
        <v>IDA Global - I - 1946 - Cty Agrotech - PICOSUPER 280SC (Nước trắng sữa) - 240ml - 40</v>
      </c>
    </row>
    <row r="2560">
      <c r="A2560" s="86">
        <f>IFERROR(__xludf.DUMMYFUNCTION("""COMPUTED_VALUE"""),2558.0)</f>
        <v>2558</v>
      </c>
      <c r="B2560" s="87" t="str">
        <f>IFERROR(__xludf.DUMMYFUNCTION("""COMPUTED_VALUE"""),"Nhãn")</f>
        <v>Nhãn</v>
      </c>
      <c r="C2560" s="87" t="str">
        <f>IFERROR(__xludf.DUMMYFUNCTION("""COMPUTED_VALUE"""),"NHG1947")</f>
        <v>NHG1947</v>
      </c>
      <c r="D2560" s="87" t="str">
        <f>IFERROR(__xludf.DUMMYFUNCTION("""COMPUTED_VALUE"""),"[Nhãn]  NB - I - 1947 - Nông Dược Thụy Sĩ - KING TOP (Nước gạch cam) - 240ml - 40")</f>
        <v>[Nhãn]  NB - I - 1947 - Nông Dược Thụy Sĩ - KING TOP (Nước gạch cam) - 240ml - 40</v>
      </c>
      <c r="E2560" s="87" t="str">
        <f>IFERROR(__xludf.DUMMYFUNCTION("""COMPUTED_VALUE"""),"KING-CIDE JAPAN 460SC")</f>
        <v>KING-CIDE JAPAN 460SC</v>
      </c>
      <c r="F2560" s="87" t="str">
        <f>IFERROR(__xludf.DUMMYFUNCTION("""COMPUTED_VALUE"""),"HH1947")</f>
        <v>HH1947</v>
      </c>
      <c r="G2560" s="87" t="str">
        <f>IFERROR(__xludf.DUMMYFUNCTION("""COMPUTED_VALUE"""),"NB - I - 1947 - Nông Dược Thụy Sĩ - KING TOP (Nước gạch cam) - 240ml - 40")</f>
        <v>NB - I - 1947 - Nông Dược Thụy Sĩ - KING TOP (Nước gạch cam) - 240ml - 40</v>
      </c>
    </row>
    <row r="2561">
      <c r="A2561" s="86">
        <f>IFERROR(__xludf.DUMMYFUNCTION("""COMPUTED_VALUE"""),2559.0)</f>
        <v>2559</v>
      </c>
      <c r="B2561" s="87" t="str">
        <f>IFERROR(__xludf.DUMMYFUNCTION("""COMPUTED_VALUE"""),"Nhãn")</f>
        <v>Nhãn</v>
      </c>
      <c r="C2561" s="87" t="str">
        <f>IFERROR(__xludf.DUMMYFUNCTION("""COMPUTED_VALUE"""),"NHD1948")</f>
        <v>NHD1948</v>
      </c>
      <c r="D2561" s="87" t="str">
        <f>IFERROR(__xludf.DUMMYFUNCTION("""COMPUTED_VALUE"""),"[Nhãn] GC - II - 1948 - VTNN TƯ NGUYÊN - TN-PLUS+ (gel nâu đen) - 25kg - 1")</f>
        <v>[Nhãn] GC - II - 1948 - VTNN TƯ NGUYÊN - TN-PLUS+ (gel nâu đen) - 25kg - 1</v>
      </c>
      <c r="E2561" s="87" t="str">
        <f>IFERROR(__xludf.DUMMYFUNCTION("""COMPUTED_VALUE"""),"Vi lượng Quantity New")</f>
        <v>Vi lượng Quantity New</v>
      </c>
      <c r="F2561" s="87" t="str">
        <f>IFERROR(__xludf.DUMMYFUNCTION("""COMPUTED_VALUE"""),"HH1948")</f>
        <v>HH1948</v>
      </c>
      <c r="G2561" s="87" t="str">
        <f>IFERROR(__xludf.DUMMYFUNCTION("""COMPUTED_VALUE"""),"GC - II - 1948 - VTNN TƯ NGUYÊN - TN-PLUS+ (gel nâu đen) - 25kg - 1")</f>
        <v>GC - II - 1948 - VTNN TƯ NGUYÊN - TN-PLUS+ (gel nâu đen) - 25kg - 1</v>
      </c>
    </row>
    <row r="2562">
      <c r="A2562" s="86">
        <f>IFERROR(__xludf.DUMMYFUNCTION("""COMPUTED_VALUE"""),2560.0)</f>
        <v>2560</v>
      </c>
      <c r="B2562" s="87" t="str">
        <f>IFERROR(__xludf.DUMMYFUNCTION("""COMPUTED_VALUE"""),"Nhãn")</f>
        <v>Nhãn</v>
      </c>
      <c r="C2562" s="87" t="str">
        <f>IFERROR(__xludf.DUMMYFUNCTION("""COMPUTED_VALUE"""),"NHG1949")</f>
        <v>NHG1949</v>
      </c>
      <c r="D2562" s="87" t="str">
        <f>IFERROR(__xludf.DUMMYFUNCTION("""COMPUTED_VALUE"""),"[Nhãn] GC - II - 1949 - VTNN TƯ NGUYÊN - TN GOLD (Nước nâu đen) - 500ml - 40")</f>
        <v>[Nhãn] GC - II - 1949 - VTNN TƯ NGUYÊN - TN GOLD (Nước nâu đen) - 500ml - 40</v>
      </c>
      <c r="E2562" s="87" t="str">
        <f>IFERROR(__xludf.DUMMYFUNCTION("""COMPUTED_VALUE"""),"Hỗn Hợp NP AGAMA-AP")</f>
        <v>Hỗn Hợp NP AGAMA-AP</v>
      </c>
      <c r="F2562" s="87" t="str">
        <f>IFERROR(__xludf.DUMMYFUNCTION("""COMPUTED_VALUE"""),"HH1949")</f>
        <v>HH1949</v>
      </c>
      <c r="G2562" s="87" t="str">
        <f>IFERROR(__xludf.DUMMYFUNCTION("""COMPUTED_VALUE"""),"GC - II - 1949 - VTNN TƯ NGUYÊN - TN GOLD (Nước nâu đen) - 500ml - 40")</f>
        <v>GC - II - 1949 - VTNN TƯ NGUYÊN - TN GOLD (Nước nâu đen) - 500ml - 40</v>
      </c>
    </row>
    <row r="2563">
      <c r="A2563" s="86">
        <f>IFERROR(__xludf.DUMMYFUNCTION("""COMPUTED_VALUE"""),2561.0)</f>
        <v>2561</v>
      </c>
      <c r="B2563" s="87" t="str">
        <f>IFERROR(__xludf.DUMMYFUNCTION("""COMPUTED_VALUE"""),"BAO")</f>
        <v>BAO</v>
      </c>
      <c r="C2563" s="87" t="str">
        <f>IFERROR(__xludf.DUMMYFUNCTION("""COMPUTED_VALUE"""),"BAO1950")</f>
        <v>BAO1950</v>
      </c>
      <c r="D2563" s="87" t="str">
        <f>IFERROR(__xludf.DUMMYFUNCTION("""COMPUTED_VALUE"""),"[BAO] GC - II - 1950 - VTNN TƯ NGUYÊN - TN US (Dạng viên màu đen) - 20kg - 1")</f>
        <v>[BAO] GC - II - 1950 - VTNN TƯ NGUYÊN - TN US (Dạng viên màu đen) - 20kg - 1</v>
      </c>
      <c r="E2563" s="87" t="str">
        <f>IFERROR(__xludf.DUMMYFUNCTION("""COMPUTED_VALUE"""),"Hữu cơ sinh học Nam Kinh 02")</f>
        <v>Hữu cơ sinh học Nam Kinh 02</v>
      </c>
      <c r="F2563" s="87" t="str">
        <f>IFERROR(__xludf.DUMMYFUNCTION("""COMPUTED_VALUE"""),"HH1950")</f>
        <v>HH1950</v>
      </c>
      <c r="G2563" s="87" t="str">
        <f>IFERROR(__xludf.DUMMYFUNCTION("""COMPUTED_VALUE"""),"GC - II - 1950 - VTNN TƯ NGUYÊN - TN US (Dạng viên màu đen) - 20kg - 1")</f>
        <v>GC - II - 1950 - VTNN TƯ NGUYÊN - TN US (Dạng viên màu đen) - 20kg - 1</v>
      </c>
    </row>
    <row r="2564">
      <c r="A2564" s="86">
        <f>IFERROR(__xludf.DUMMYFUNCTION("""COMPUTED_VALUE"""),2562.0)</f>
        <v>2562</v>
      </c>
      <c r="B2564" s="87" t="str">
        <f>IFERROR(__xludf.DUMMYFUNCTION("""COMPUTED_VALUE"""),"Nhãn")</f>
        <v>Nhãn</v>
      </c>
      <c r="C2564" s="87" t="str">
        <f>IFERROR(__xludf.DUMMYFUNCTION("""COMPUTED_VALUE"""),"NHG1950")</f>
        <v>NHG1950</v>
      </c>
      <c r="D2564" s="87" t="str">
        <f>IFERROR(__xludf.DUMMYFUNCTION("""COMPUTED_VALUE"""),"[Nhãn] GC - II - 1950 - VTNN TƯ NGUYÊN - TN US (Dạng viên màu đen) - 20kg - 1")</f>
        <v>[Nhãn] GC - II - 1950 - VTNN TƯ NGUYÊN - TN US (Dạng viên màu đen) - 20kg - 1</v>
      </c>
      <c r="E2564" s="87" t="str">
        <f>IFERROR(__xludf.DUMMYFUNCTION("""COMPUTED_VALUE"""),"Hữu cơ sinh học Nam Kinh 02")</f>
        <v>Hữu cơ sinh học Nam Kinh 02</v>
      </c>
      <c r="F2564" s="87" t="str">
        <f>IFERROR(__xludf.DUMMYFUNCTION("""COMPUTED_VALUE"""),"HH1950")</f>
        <v>HH1950</v>
      </c>
      <c r="G2564" s="87" t="str">
        <f>IFERROR(__xludf.DUMMYFUNCTION("""COMPUTED_VALUE"""),"GC - II - 1950 - VTNN TƯ NGUYÊN - TN US (Dạng viên màu đen) - 20kg - 1")</f>
        <v>GC - II - 1950 - VTNN TƯ NGUYÊN - TN US (Dạng viên màu đen) - 20kg - 1</v>
      </c>
    </row>
    <row r="2565">
      <c r="A2565" s="86">
        <f>IFERROR(__xludf.DUMMYFUNCTION("""COMPUTED_VALUE"""),2563.0)</f>
        <v>2563</v>
      </c>
      <c r="B2565" s="87" t="str">
        <f>IFERROR(__xludf.DUMMYFUNCTION("""COMPUTED_VALUE"""),"Nhãn")</f>
        <v>Nhãn</v>
      </c>
      <c r="C2565" s="87" t="str">
        <f>IFERROR(__xludf.DUMMYFUNCTION("""COMPUTED_VALUE"""),"NHG1951")</f>
        <v>NHG1951</v>
      </c>
      <c r="D2565" s="87" t="str">
        <f>IFERROR(__xludf.DUMMYFUNCTION("""COMPUTED_VALUE"""),"[Nhãn] DR.XANH - II - 1951 - KILLEX (Nước vàng trà) - 450ml - 40")</f>
        <v>[Nhãn] DR.XANH - II - 1951 - KILLEX (Nước vàng trà) - 450ml - 40</v>
      </c>
      <c r="E2565" s="87" t="str">
        <f>IFERROR(__xludf.DUMMYFUNCTION("""COMPUTED_VALUE"""),"PRODIFE'S 5.8EC")</f>
        <v>PRODIFE'S 5.8EC</v>
      </c>
      <c r="F2565" s="87" t="str">
        <f>IFERROR(__xludf.DUMMYFUNCTION("""COMPUTED_VALUE"""),"HH1951")</f>
        <v>HH1951</v>
      </c>
      <c r="G2565" s="87" t="str">
        <f>IFERROR(__xludf.DUMMYFUNCTION("""COMPUTED_VALUE"""),"DR.XANH - II - 1951 - KILLEX (Nước vàng trà) - 450ml - 40")</f>
        <v>DR.XANH - II - 1951 - KILLEX (Nước vàng trà) - 450ml - 40</v>
      </c>
    </row>
    <row r="2566">
      <c r="A2566" s="86">
        <f>IFERROR(__xludf.DUMMYFUNCTION("""COMPUTED_VALUE"""),2564.0)</f>
        <v>2564</v>
      </c>
      <c r="B2566" s="87" t="str">
        <f>IFERROR(__xludf.DUMMYFUNCTION("""COMPUTED_VALUE"""),"Nhãn")</f>
        <v>Nhãn</v>
      </c>
      <c r="C2566" s="87" t="str">
        <f>IFERROR(__xludf.DUMMYFUNCTION("""COMPUTED_VALUE"""),"NHG1952")</f>
        <v>NHG1952</v>
      </c>
      <c r="D2566" s="87" t="str">
        <f>IFERROR(__xludf.DUMMYFUNCTION("""COMPUTED_VALUE"""),"[Nhãn] NB - I - 1952 - Cty ND Thuỵ Sĩ - KIẾN VÀNG - 500ml - 40")</f>
        <v>[Nhãn] NB - I - 1952 - Cty ND Thuỵ Sĩ - KIẾN VÀNG - 500ml - 40</v>
      </c>
      <c r="E2566" s="87" t="str">
        <f>IFERROR(__xludf.DUMMYFUNCTION("""COMPUTED_VALUE"""),"vi lượng VINFER 01")</f>
        <v>vi lượng VINFER 01</v>
      </c>
      <c r="F2566" s="87" t="str">
        <f>IFERROR(__xludf.DUMMYFUNCTION("""COMPUTED_VALUE"""),"HH1952")</f>
        <v>HH1952</v>
      </c>
      <c r="G2566" s="87" t="str">
        <f>IFERROR(__xludf.DUMMYFUNCTION("""COMPUTED_VALUE"""),"NB - I - 1952 - Cty ND Thuỵ Sĩ - KIẾN VÀNG - 500ml - 40")</f>
        <v>NB - I - 1952 - Cty ND Thuỵ Sĩ - KIẾN VÀNG - 500ml - 40</v>
      </c>
    </row>
    <row r="2567">
      <c r="A2567" s="86">
        <f>IFERROR(__xludf.DUMMYFUNCTION("""COMPUTED_VALUE"""),2565.0)</f>
        <v>2565</v>
      </c>
      <c r="B2567" s="87" t="str">
        <f>IFERROR(__xludf.DUMMYFUNCTION("""COMPUTED_VALUE"""),"Nhãn")</f>
        <v>Nhãn</v>
      </c>
      <c r="C2567" s="87" t="str">
        <f>IFERROR(__xludf.DUMMYFUNCTION("""COMPUTED_VALUE"""),"NHG1953")</f>
        <v>NHG1953</v>
      </c>
      <c r="D2567" s="87" t="str">
        <f>IFERROR(__xludf.DUMMYFUNCTION("""COMPUTED_VALUE"""),"[Nhãn] NB - I - 1953 - Cty ND Thuỵ Sĩ - TÁI SINH RỄ  - 500ml - 40")</f>
        <v>[Nhãn] NB - I - 1953 - Cty ND Thuỵ Sĩ - TÁI SINH RỄ  - 500ml - 40</v>
      </c>
      <c r="E2567" s="87" t="str">
        <f>IFERROR(__xludf.DUMMYFUNCTION("""COMPUTED_VALUE"""),"vi lượng VINFER 01")</f>
        <v>vi lượng VINFER 01</v>
      </c>
      <c r="F2567" s="87" t="str">
        <f>IFERROR(__xludf.DUMMYFUNCTION("""COMPUTED_VALUE"""),"HH1953")</f>
        <v>HH1953</v>
      </c>
      <c r="G2567" s="87" t="str">
        <f>IFERROR(__xludf.DUMMYFUNCTION("""COMPUTED_VALUE"""),"NB - I - 1953 - Cty ND Thuỵ Sĩ - TÁI SINH RỄ  - 500ml - 40")</f>
        <v>NB - I - 1953 - Cty ND Thuỵ Sĩ - TÁI SINH RỄ  - 500ml - 40</v>
      </c>
    </row>
    <row r="2568">
      <c r="A2568" s="86">
        <f>IFERROR(__xludf.DUMMYFUNCTION("""COMPUTED_VALUE"""),2566.0)</f>
        <v>2566</v>
      </c>
      <c r="B2568" s="87" t="str">
        <f>IFERROR(__xludf.DUMMYFUNCTION("""COMPUTED_VALUE"""),"Nhãn")</f>
        <v>Nhãn</v>
      </c>
      <c r="C2568" s="87" t="str">
        <f>IFERROR(__xludf.DUMMYFUNCTION("""COMPUTED_VALUE"""),"NHG1954")</f>
        <v>NHG1954</v>
      </c>
      <c r="D2568" s="87" t="str">
        <f>IFERROR(__xludf.DUMMYFUNCTION("""COMPUTED_VALUE"""),"[Nhãn] NB - I - 1954 - Cty ND Thuỵ Sĩ - MEN SỮA VÔ GẠO - 500ml - 40")</f>
        <v>[Nhãn] NB - I - 1954 - Cty ND Thuỵ Sĩ - MEN SỮA VÔ GẠO - 500ml - 40</v>
      </c>
      <c r="E2568" s="87" t="str">
        <f>IFERROR(__xludf.DUMMYFUNCTION("""COMPUTED_VALUE"""),"vi lượng VINFER 01")</f>
        <v>vi lượng VINFER 01</v>
      </c>
      <c r="F2568" s="87" t="str">
        <f>IFERROR(__xludf.DUMMYFUNCTION("""COMPUTED_VALUE"""),"HH1954")</f>
        <v>HH1954</v>
      </c>
      <c r="G2568" s="87" t="str">
        <f>IFERROR(__xludf.DUMMYFUNCTION("""COMPUTED_VALUE"""),"NB - I - 1954 - Cty ND Thuỵ Sĩ - MEN SỮA VÔ GẠO - 500ml - 40")</f>
        <v>NB - I - 1954 - Cty ND Thuỵ Sĩ - MEN SỮA VÔ GẠO - 500ml - 40</v>
      </c>
    </row>
    <row r="2569">
      <c r="A2569" s="86">
        <f>IFERROR(__xludf.DUMMYFUNCTION("""COMPUTED_VALUE"""),2567.0)</f>
        <v>2567</v>
      </c>
      <c r="B2569" s="87" t="str">
        <f>IFERROR(__xludf.DUMMYFUNCTION("""COMPUTED_VALUE"""),"Nhãn")</f>
        <v>Nhãn</v>
      </c>
      <c r="C2569" s="87" t="str">
        <f>IFERROR(__xludf.DUMMYFUNCTION("""COMPUTED_VALUE"""),"NHD1955")</f>
        <v>NHD1955</v>
      </c>
      <c r="D2569" s="87" t="str">
        <f>IFERROR(__xludf.DUMMYFUNCTION("""COMPUTED_VALUE"""),"[Nhãn] GC - IV - 1955 - CTY VISANTO - NEW FUZE 200SC (Nước hồng) - 240ml- 40")</f>
        <v>[Nhãn] GC - IV - 1955 - CTY VISANTO - NEW FUZE 200SC (Nước hồng) - 240ml- 40</v>
      </c>
      <c r="E2569" s="87" t="str">
        <f>IFERROR(__xludf.DUMMYFUNCTION("""COMPUTED_VALUE"""),"NEW FUZE 200SC")</f>
        <v>NEW FUZE 200SC</v>
      </c>
      <c r="F2569" s="87" t="str">
        <f>IFERROR(__xludf.DUMMYFUNCTION("""COMPUTED_VALUE"""),"HH1955")</f>
        <v>HH1955</v>
      </c>
      <c r="G2569" s="87" t="str">
        <f>IFERROR(__xludf.DUMMYFUNCTION("""COMPUTED_VALUE"""),"GC - IV - 1955 - CTY VISANTO - NEW FUZE 200SC (Nước hồng) - 240ml- 40")</f>
        <v>GC - IV - 1955 - CTY VISANTO - NEW FUZE 200SC (Nước hồng) - 240ml- 40</v>
      </c>
    </row>
    <row r="2570">
      <c r="A2570" s="86">
        <f>IFERROR(__xludf.DUMMYFUNCTION("""COMPUTED_VALUE"""),2568.0)</f>
        <v>2568</v>
      </c>
      <c r="B2570" s="87" t="str">
        <f>IFERROR(__xludf.DUMMYFUNCTION("""COMPUTED_VALUE"""),"Nhãn thùng")</f>
        <v>Nhãn thùng</v>
      </c>
      <c r="C2570" s="87" t="str">
        <f>IFERROR(__xludf.DUMMYFUNCTION("""COMPUTED_VALUE"""),"NDT1955")</f>
        <v>NDT1955</v>
      </c>
      <c r="D2570" s="87" t="str">
        <f>IFERROR(__xludf.DUMMYFUNCTION("""COMPUTED_VALUE"""),"[Nhãn thùng] GC - IV - 1955 - CTY VISANTO - NEW FUZE 200SC (Nước hồng) - 240ml- 40")</f>
        <v>[Nhãn thùng] GC - IV - 1955 - CTY VISANTO - NEW FUZE 200SC (Nước hồng) - 240ml- 40</v>
      </c>
      <c r="E2570" s="87" t="str">
        <f>IFERROR(__xludf.DUMMYFUNCTION("""COMPUTED_VALUE"""),"NEW FUZE 200SC")</f>
        <v>NEW FUZE 200SC</v>
      </c>
      <c r="F2570" s="87" t="str">
        <f>IFERROR(__xludf.DUMMYFUNCTION("""COMPUTED_VALUE"""),"HH1955")</f>
        <v>HH1955</v>
      </c>
      <c r="G2570" s="87" t="str">
        <f>IFERROR(__xludf.DUMMYFUNCTION("""COMPUTED_VALUE"""),"GC - IV - 1955 - CTY VISANTO - NEW FUZE 200SC (Nước hồng) - 240ml- 40")</f>
        <v>GC - IV - 1955 - CTY VISANTO - NEW FUZE 200SC (Nước hồng) - 240ml- 40</v>
      </c>
    </row>
    <row r="2571">
      <c r="A2571" s="86">
        <f>IFERROR(__xludf.DUMMYFUNCTION("""COMPUTED_VALUE"""),2569.0)</f>
        <v>2569</v>
      </c>
      <c r="B2571" s="87" t="str">
        <f>IFERROR(__xludf.DUMMYFUNCTION("""COMPUTED_VALUE"""),"Nhãn")</f>
        <v>Nhãn</v>
      </c>
      <c r="C2571" s="87" t="str">
        <f>IFERROR(__xludf.DUMMYFUNCTION("""COMPUTED_VALUE"""),"NTN1956")</f>
        <v>NTN1956</v>
      </c>
      <c r="D2571" s="87" t="str">
        <f>IFERROR(__xludf.DUMMYFUNCTION("""COMPUTED_VALUE"""),"[Nhãn] GC - II - 1956 - AGC - ALONIL - 100gr - 100")</f>
        <v>[Nhãn] GC - II - 1956 - AGC - ALONIL - 100gr - 100</v>
      </c>
      <c r="E2571" s="87" t="str">
        <f>IFERROR(__xludf.DUMMYFUNCTION("""COMPUTED_VALUE"""),"THALONIL 75WP")</f>
        <v>THALONIL 75WP</v>
      </c>
      <c r="F2571" s="87" t="str">
        <f>IFERROR(__xludf.DUMMYFUNCTION("""COMPUTED_VALUE"""),"HH1956")</f>
        <v>HH1956</v>
      </c>
      <c r="G2571" s="87" t="str">
        <f>IFERROR(__xludf.DUMMYFUNCTION("""COMPUTED_VALUE"""),"GC - II - 1956 - AGC - ALONIL - 100gr - 100")</f>
        <v>GC - II - 1956 - AGC - ALONIL - 100gr - 100</v>
      </c>
    </row>
    <row r="2572">
      <c r="A2572" s="86">
        <f>IFERROR(__xludf.DUMMYFUNCTION("""COMPUTED_VALUE"""),2570.0)</f>
        <v>2570</v>
      </c>
      <c r="B2572" s="87" t="str">
        <f>IFERROR(__xludf.DUMMYFUNCTION("""COMPUTED_VALUE"""),"Nhãn thùng")</f>
        <v>Nhãn thùng</v>
      </c>
      <c r="C2572" s="87" t="str">
        <f>IFERROR(__xludf.DUMMYFUNCTION("""COMPUTED_VALUE"""),"NDT1956")</f>
        <v>NDT1956</v>
      </c>
      <c r="D2572" s="87" t="str">
        <f>IFERROR(__xludf.DUMMYFUNCTION("""COMPUTED_VALUE"""),"[Nhãn thùng] GC - II - 1956 - AGC - ALONIL - 100gr - 100")</f>
        <v>[Nhãn thùng] GC - II - 1956 - AGC - ALONIL - 100gr - 100</v>
      </c>
      <c r="E2572" s="87" t="str">
        <f>IFERROR(__xludf.DUMMYFUNCTION("""COMPUTED_VALUE"""),"THALONIL 75WP")</f>
        <v>THALONIL 75WP</v>
      </c>
      <c r="F2572" s="87" t="str">
        <f>IFERROR(__xludf.DUMMYFUNCTION("""COMPUTED_VALUE"""),"HH1956")</f>
        <v>HH1956</v>
      </c>
      <c r="G2572" s="87" t="str">
        <f>IFERROR(__xludf.DUMMYFUNCTION("""COMPUTED_VALUE"""),"GC - II - 1956 - AGC - ALONIL - 100gr - 100")</f>
        <v>GC - II - 1956 - AGC - ALONIL - 100gr - 100</v>
      </c>
    </row>
    <row r="2573">
      <c r="A2573" s="86">
        <f>IFERROR(__xludf.DUMMYFUNCTION("""COMPUTED_VALUE"""),2571.0)</f>
        <v>2571</v>
      </c>
      <c r="B2573" s="87" t="str">
        <f>IFERROR(__xludf.DUMMYFUNCTION("""COMPUTED_VALUE"""),"Nhãn")</f>
        <v>Nhãn</v>
      </c>
      <c r="C2573" s="87" t="str">
        <f>IFERROR(__xludf.DUMMYFUNCTION("""COMPUTED_VALUE"""),"NTN1957")</f>
        <v>NTN1957</v>
      </c>
      <c r="D2573" s="87" t="str">
        <f>IFERROR(__xludf.DUMMYFUNCTION("""COMPUTED_VALUE"""),"[Nhãn] GC - II - 1957 - AGC - ALONIL - 250gr - 60")</f>
        <v>[Nhãn] GC - II - 1957 - AGC - ALONIL - 250gr - 60</v>
      </c>
      <c r="E2573" s="87" t="str">
        <f>IFERROR(__xludf.DUMMYFUNCTION("""COMPUTED_VALUE"""),"THALONIL 75WP")</f>
        <v>THALONIL 75WP</v>
      </c>
      <c r="F2573" s="87" t="str">
        <f>IFERROR(__xludf.DUMMYFUNCTION("""COMPUTED_VALUE"""),"HH1957")</f>
        <v>HH1957</v>
      </c>
      <c r="G2573" s="87" t="str">
        <f>IFERROR(__xludf.DUMMYFUNCTION("""COMPUTED_VALUE"""),"GC - II - 1957 - AGC - ALONIL - 250gr - 60")</f>
        <v>GC - II - 1957 - AGC - ALONIL - 250gr - 60</v>
      </c>
    </row>
    <row r="2574">
      <c r="A2574" s="86">
        <f>IFERROR(__xludf.DUMMYFUNCTION("""COMPUTED_VALUE"""),2572.0)</f>
        <v>2572</v>
      </c>
      <c r="B2574" s="87" t="str">
        <f>IFERROR(__xludf.DUMMYFUNCTION("""COMPUTED_VALUE"""),"Nhãn thùng")</f>
        <v>Nhãn thùng</v>
      </c>
      <c r="C2574" s="87" t="str">
        <f>IFERROR(__xludf.DUMMYFUNCTION("""COMPUTED_VALUE"""),"NDT1957")</f>
        <v>NDT1957</v>
      </c>
      <c r="D2574" s="87" t="str">
        <f>IFERROR(__xludf.DUMMYFUNCTION("""COMPUTED_VALUE"""),"[Nhãn thùng] GC - II - 1957 - AGC - ALONIL - 250gr - 60")</f>
        <v>[Nhãn thùng] GC - II - 1957 - AGC - ALONIL - 250gr - 60</v>
      </c>
      <c r="E2574" s="87" t="str">
        <f>IFERROR(__xludf.DUMMYFUNCTION("""COMPUTED_VALUE"""),"THALONIL 75WP")</f>
        <v>THALONIL 75WP</v>
      </c>
      <c r="F2574" s="87" t="str">
        <f>IFERROR(__xludf.DUMMYFUNCTION("""COMPUTED_VALUE"""),"HH1957")</f>
        <v>HH1957</v>
      </c>
      <c r="G2574" s="87" t="str">
        <f>IFERROR(__xludf.DUMMYFUNCTION("""COMPUTED_VALUE"""),"GC - II - 1957 - AGC - ALONIL - 250gr - 60")</f>
        <v>GC - II - 1957 - AGC - ALONIL - 250gr - 60</v>
      </c>
    </row>
    <row r="2575">
      <c r="A2575" s="86">
        <f>IFERROR(__xludf.DUMMYFUNCTION("""COMPUTED_VALUE"""),2573.0)</f>
        <v>2573</v>
      </c>
      <c r="B2575" s="87" t="str">
        <f>IFERROR(__xludf.DUMMYFUNCTION("""COMPUTED_VALUE"""),"Nhãn")</f>
        <v>Nhãn</v>
      </c>
      <c r="C2575" s="87" t="str">
        <f>IFERROR(__xludf.DUMMYFUNCTION("""COMPUTED_VALUE"""),"NHG1958")</f>
        <v>NHG1958</v>
      </c>
      <c r="D2575" s="87" t="str">
        <f>IFERROR(__xludf.DUMMYFUNCTION("""COMPUTED_VALUE"""),"[Nhãn] GC - II - 1958 - Anh Tuấn Agri - SPIRO 240SC (Nước trắng sữa) - 60ml - 100")</f>
        <v>[Nhãn] GC - II - 1958 - Anh Tuấn Agri - SPIRO 240SC (Nước trắng sữa) - 60ml - 100</v>
      </c>
      <c r="E2575" s="87" t="str">
        <f>IFERROR(__xludf.DUMMYFUNCTION("""COMPUTED_VALUE"""),"SPIRO 240SC")</f>
        <v>SPIRO 240SC</v>
      </c>
      <c r="F2575" s="87" t="str">
        <f>IFERROR(__xludf.DUMMYFUNCTION("""COMPUTED_VALUE"""),"HH1958")</f>
        <v>HH1958</v>
      </c>
      <c r="G2575" s="87" t="str">
        <f>IFERROR(__xludf.DUMMYFUNCTION("""COMPUTED_VALUE"""),"GC - II - 1958 - Anh Tuấn Agri - SPIRO 240SC (Nước trắng sữa) - 60ml - 100")</f>
        <v>GC - II - 1958 - Anh Tuấn Agri - SPIRO 240SC (Nước trắng sữa) - 60ml - 100</v>
      </c>
    </row>
    <row r="2576">
      <c r="A2576" s="86">
        <f>IFERROR(__xludf.DUMMYFUNCTION("""COMPUTED_VALUE"""),2574.0)</f>
        <v>2574</v>
      </c>
      <c r="B2576" s="87" t="str">
        <f>IFERROR(__xludf.DUMMYFUNCTION("""COMPUTED_VALUE"""),"Nhãn")</f>
        <v>Nhãn</v>
      </c>
      <c r="C2576" s="87" t="str">
        <f>IFERROR(__xludf.DUMMYFUNCTION("""COMPUTED_VALUE"""),"NHG1959")</f>
        <v>NHG1959</v>
      </c>
      <c r="D2576" s="87" t="str">
        <f>IFERROR(__xludf.DUMMYFUNCTION("""COMPUTED_VALUE"""),"[Nhãn] GC - IV - 1959 - GNH - Flower (nước nâu đen) - 1L - 20")</f>
        <v>[Nhãn] GC - IV - 1959 - GNH - Flower (nước nâu đen) - 1L - 20</v>
      </c>
      <c r="E2576" s="87" t="str">
        <f>IFERROR(__xludf.DUMMYFUNCTION("""COMPUTED_VALUE"""),"Vi lượng Basel VA01")</f>
        <v>Vi lượng Basel VA01</v>
      </c>
      <c r="F2576" s="87" t="str">
        <f>IFERROR(__xludf.DUMMYFUNCTION("""COMPUTED_VALUE"""),"HH1959")</f>
        <v>HH1959</v>
      </c>
      <c r="G2576" s="87" t="str">
        <f>IFERROR(__xludf.DUMMYFUNCTION("""COMPUTED_VALUE"""),"GC - IV - 1959 - GNH - Flower (nước nâu đen) - 1L - 20")</f>
        <v>GC - IV - 1959 - GNH - Flower (nước nâu đen) - 1L - 20</v>
      </c>
    </row>
    <row r="2577">
      <c r="A2577" s="86">
        <f>IFERROR(__xludf.DUMMYFUNCTION("""COMPUTED_VALUE"""),2575.0)</f>
        <v>2575</v>
      </c>
      <c r="B2577" s="87" t="str">
        <f>IFERROR(__xludf.DUMMYFUNCTION("""COMPUTED_VALUE"""),"Nhãn")</f>
        <v>Nhãn</v>
      </c>
      <c r="C2577" s="87" t="str">
        <f>IFERROR(__xludf.DUMMYFUNCTION("""COMPUTED_VALUE"""),"NHG1960")</f>
        <v>NHG1960</v>
      </c>
      <c r="D2577" s="87" t="str">
        <f>IFERROR(__xludf.DUMMYFUNCTION("""COMPUTED_VALUE"""),"[Nhãn] GC - IV - 1960 - A Thời GNH - Super Fruit Lớn Trái (Nước nâu đen) - 500ml - 40")</f>
        <v>[Nhãn] GC - IV - 1960 - A Thời GNH - Super Fruit Lớn Trái (Nước nâu đen) - 500ml - 40</v>
      </c>
      <c r="E2577" s="87" t="str">
        <f>IFERROR(__xludf.DUMMYFUNCTION("""COMPUTED_VALUE"""),"Vi lượng Basel VA02")</f>
        <v>Vi lượng Basel VA02</v>
      </c>
      <c r="F2577" s="87" t="str">
        <f>IFERROR(__xludf.DUMMYFUNCTION("""COMPUTED_VALUE"""),"HH1960")</f>
        <v>HH1960</v>
      </c>
      <c r="G2577" s="87" t="str">
        <f>IFERROR(__xludf.DUMMYFUNCTION("""COMPUTED_VALUE"""),"GC - IV - 1960 - A Thời GNH - Super Fruit Lớn Trái (Nước nâu đen) - 500ml - 40")</f>
        <v>GC - IV - 1960 - A Thời GNH - Super Fruit Lớn Trái (Nước nâu đen) - 500ml - 40</v>
      </c>
    </row>
    <row r="2578">
      <c r="A2578" s="86">
        <f>IFERROR(__xludf.DUMMYFUNCTION("""COMPUTED_VALUE"""),2576.0)</f>
        <v>2576</v>
      </c>
      <c r="B2578" s="87" t="str">
        <f>IFERROR(__xludf.DUMMYFUNCTION("""COMPUTED_VALUE"""),"Nhãn")</f>
        <v>Nhãn</v>
      </c>
      <c r="C2578" s="87" t="str">
        <f>IFERROR(__xludf.DUMMYFUNCTION("""COMPUTED_VALUE"""),"NHG1961")</f>
        <v>NHG1961</v>
      </c>
      <c r="D2578" s="87" t="str">
        <f>IFERROR(__xludf.DUMMYFUNCTION("""COMPUTED_VALUE"""),"[Nhãn] GC - IV - 1961 - A Thời GNH - Siêu To Củ (Nước nâu đen) - 500ml - 40")</f>
        <v>[Nhãn] GC - IV - 1961 - A Thời GNH - Siêu To Củ (Nước nâu đen) - 500ml - 40</v>
      </c>
      <c r="E2578" s="87" t="str">
        <f>IFERROR(__xludf.DUMMYFUNCTION("""COMPUTED_VALUE"""),"Vi lượng Basel VA02")</f>
        <v>Vi lượng Basel VA02</v>
      </c>
      <c r="F2578" s="87" t="str">
        <f>IFERROR(__xludf.DUMMYFUNCTION("""COMPUTED_VALUE"""),"HH1961")</f>
        <v>HH1961</v>
      </c>
      <c r="G2578" s="87" t="str">
        <f>IFERROR(__xludf.DUMMYFUNCTION("""COMPUTED_VALUE"""),"GC - IV - 1961 - A Thời GNH - Siêu To Củ (Nước nâu đen) - 500ml - 40")</f>
        <v>GC - IV - 1961 - A Thời GNH - Siêu To Củ (Nước nâu đen) - 500ml - 40</v>
      </c>
    </row>
    <row r="2579">
      <c r="A2579" s="86">
        <f>IFERROR(__xludf.DUMMYFUNCTION("""COMPUTED_VALUE"""),2577.0)</f>
        <v>2577</v>
      </c>
      <c r="B2579" s="87" t="str">
        <f>IFERROR(__xludf.DUMMYFUNCTION("""COMPUTED_VALUE"""),"Nhãn")</f>
        <v>Nhãn</v>
      </c>
      <c r="C2579" s="87" t="str">
        <f>IFERROR(__xludf.DUMMYFUNCTION("""COMPUTED_VALUE"""),"NHG1962")</f>
        <v>NHG1962</v>
      </c>
      <c r="D2579" s="87" t="str">
        <f>IFERROR(__xludf.DUMMYFUNCTION("""COMPUTED_VALUE"""),"[Nhãn] GC - IV - 1962 - CTY GNH - Siêu Vô Gạo (Nước nâu đen) - 500ml - 40")</f>
        <v>[Nhãn] GC - IV - 1962 - CTY GNH - Siêu Vô Gạo (Nước nâu đen) - 500ml - 40</v>
      </c>
      <c r="E2579" s="87" t="str">
        <f>IFERROR(__xludf.DUMMYFUNCTION("""COMPUTED_VALUE"""),"Vi lượng Basel VA02")</f>
        <v>Vi lượng Basel VA02</v>
      </c>
      <c r="F2579" s="87" t="str">
        <f>IFERROR(__xludf.DUMMYFUNCTION("""COMPUTED_VALUE"""),"HH1962")</f>
        <v>HH1962</v>
      </c>
      <c r="G2579" s="87" t="str">
        <f>IFERROR(__xludf.DUMMYFUNCTION("""COMPUTED_VALUE"""),"GC - IV - 1962 - CTY GNH - Siêu Vô Gạo (Nước nâu đen) - 500ml - 40")</f>
        <v>GC - IV - 1962 - CTY GNH - Siêu Vô Gạo (Nước nâu đen) - 500ml - 40</v>
      </c>
    </row>
    <row r="2580">
      <c r="A2580" s="86">
        <f>IFERROR(__xludf.DUMMYFUNCTION("""COMPUTED_VALUE"""),2578.0)</f>
        <v>2578</v>
      </c>
      <c r="B2580" s="87" t="str">
        <f>IFERROR(__xludf.DUMMYFUNCTION("""COMPUTED_VALUE"""),"Nhãn")</f>
        <v>Nhãn</v>
      </c>
      <c r="C2580" s="87" t="str">
        <f>IFERROR(__xludf.DUMMYFUNCTION("""COMPUTED_VALUE"""),"NHG1963")</f>
        <v>NHG1963</v>
      </c>
      <c r="D2580" s="87" t="str">
        <f>IFERROR(__xludf.DUMMYFUNCTION("""COMPUTED_VALUE"""),"[Nhãn] GC - IV - 1963 - Agriscience - Agri-plus+ (Gel vàng mật ong) - 50ml - 100")</f>
        <v>[Nhãn] GC - IV - 1963 - Agriscience - Agri-plus+ (Gel vàng mật ong) - 50ml - 100</v>
      </c>
      <c r="E2580" s="87" t="str">
        <f>IFERROR(__xludf.DUMMYFUNCTION("""COMPUTED_VALUE"""),"Vi lượng Quantity New")</f>
        <v>Vi lượng Quantity New</v>
      </c>
      <c r="F2580" s="87" t="str">
        <f>IFERROR(__xludf.DUMMYFUNCTION("""COMPUTED_VALUE"""),"HH1963")</f>
        <v>HH1963</v>
      </c>
      <c r="G2580" s="87" t="str">
        <f>IFERROR(__xludf.DUMMYFUNCTION("""COMPUTED_VALUE"""),"GC - IV - 1963 - Agriscience - Agri-plus+ (Gel vàng mật ong) - 50ml - 100")</f>
        <v>GC - IV - 1963 - Agriscience - Agri-plus+ (Gel vàng mật ong) - 50ml - 100</v>
      </c>
    </row>
    <row r="2581">
      <c r="A2581" s="86">
        <f>IFERROR(__xludf.DUMMYFUNCTION("""COMPUTED_VALUE"""),2579.0)</f>
        <v>2579</v>
      </c>
      <c r="B2581" s="87" t="str">
        <f>IFERROR(__xludf.DUMMYFUNCTION("""COMPUTED_VALUE"""),"Nhãn thùng")</f>
        <v>Nhãn thùng</v>
      </c>
      <c r="C2581" s="87" t="str">
        <f>IFERROR(__xludf.DUMMYFUNCTION("""COMPUTED_VALUE"""),"NDT1963")</f>
        <v>NDT1963</v>
      </c>
      <c r="D2581" s="87" t="str">
        <f>IFERROR(__xludf.DUMMYFUNCTION("""COMPUTED_VALUE"""),"[Nhãn thùng] GC - IV - 1963 - Agriscience - Agri-plus+ (Gel vàng mật ong) - 50ml - 100")</f>
        <v>[Nhãn thùng] GC - IV - 1963 - Agriscience - Agri-plus+ (Gel vàng mật ong) - 50ml - 100</v>
      </c>
      <c r="E2581" s="87" t="str">
        <f>IFERROR(__xludf.DUMMYFUNCTION("""COMPUTED_VALUE"""),"Vi lượng Quantity New")</f>
        <v>Vi lượng Quantity New</v>
      </c>
      <c r="F2581" s="87" t="str">
        <f>IFERROR(__xludf.DUMMYFUNCTION("""COMPUTED_VALUE"""),"HH1963")</f>
        <v>HH1963</v>
      </c>
      <c r="G2581" s="87" t="str">
        <f>IFERROR(__xludf.DUMMYFUNCTION("""COMPUTED_VALUE"""),"GC - IV - 1963 - Agriscience - Agri-plus+ (Gel vàng mật ong) - 50ml - 100")</f>
        <v>GC - IV - 1963 - Agriscience - Agri-plus+ (Gel vàng mật ong) - 50ml - 100</v>
      </c>
    </row>
    <row r="2582">
      <c r="A2582" s="86">
        <f>IFERROR(__xludf.DUMMYFUNCTION("""COMPUTED_VALUE"""),2580.0)</f>
        <v>2580</v>
      </c>
      <c r="B2582" s="87" t="str">
        <f>IFERROR(__xludf.DUMMYFUNCTION("""COMPUTED_VALUE"""),"Nhãn")</f>
        <v>Nhãn</v>
      </c>
      <c r="C2582" s="87" t="str">
        <f>IFERROR(__xludf.DUMMYFUNCTION("""COMPUTED_VALUE"""),"NHG1964")</f>
        <v>NHG1964</v>
      </c>
      <c r="D2582" s="87" t="str">
        <f>IFERROR(__xludf.DUMMYFUNCTION("""COMPUTED_VALUE"""),"[Nhãn] GC - II - 1964 - VTNN MƯỜI - CANBO SỮA (Nước trắng sữa) - 500ml - 40")</f>
        <v>[Nhãn] GC - II - 1964 - VTNN MƯỜI - CANBO SỮA (Nước trắng sữa) - 500ml - 40</v>
      </c>
      <c r="E2582" s="87" t="str">
        <f>IFERROR(__xludf.DUMMYFUNCTION("""COMPUTED_VALUE"""),"Vi lượng Run Fast")</f>
        <v>Vi lượng Run Fast</v>
      </c>
      <c r="F2582" s="87" t="str">
        <f>IFERROR(__xludf.DUMMYFUNCTION("""COMPUTED_VALUE"""),"HH1964")</f>
        <v>HH1964</v>
      </c>
      <c r="G2582" s="87" t="str">
        <f>IFERROR(__xludf.DUMMYFUNCTION("""COMPUTED_VALUE"""),"GC - II - 1964 - VTNN MƯỜI - CANBO SỮA (Nước trắng sữa) - 500ml - 40")</f>
        <v>GC - II - 1964 - VTNN MƯỜI - CANBO SỮA (Nước trắng sữa) - 500ml - 40</v>
      </c>
    </row>
    <row r="2583">
      <c r="A2583" s="86">
        <f>IFERROR(__xludf.DUMMYFUNCTION("""COMPUTED_VALUE"""),2581.0)</f>
        <v>2581</v>
      </c>
      <c r="B2583" s="87" t="str">
        <f>IFERROR(__xludf.DUMMYFUNCTION("""COMPUTED_VALUE"""),"Nhãn")</f>
        <v>Nhãn</v>
      </c>
      <c r="C2583" s="87" t="str">
        <f>IFERROR(__xludf.DUMMYFUNCTION("""COMPUTED_VALUE"""),"NHG1965")</f>
        <v>NHG1965</v>
      </c>
      <c r="D2583" s="87" t="str">
        <f>IFERROR(__xludf.DUMMYFUNCTION("""COMPUTED_VALUE"""),"[Nhãn] GC - II - 1965 - VTNN MƯỜI - CANBO SỮA (Nước trắng sữa) - 1L - 20")</f>
        <v>[Nhãn] GC - II - 1965 - VTNN MƯỜI - CANBO SỮA (Nước trắng sữa) - 1L - 20</v>
      </c>
      <c r="E2583" s="87" t="str">
        <f>IFERROR(__xludf.DUMMYFUNCTION("""COMPUTED_VALUE"""),"Vi lượng Run Fast")</f>
        <v>Vi lượng Run Fast</v>
      </c>
      <c r="F2583" s="87" t="str">
        <f>IFERROR(__xludf.DUMMYFUNCTION("""COMPUTED_VALUE"""),"HH1965")</f>
        <v>HH1965</v>
      </c>
      <c r="G2583" s="87" t="str">
        <f>IFERROR(__xludf.DUMMYFUNCTION("""COMPUTED_VALUE"""),"GC - II - 1965 - VTNN MƯỜI - CANBO SỮA (Nước trắng sữa) - 1L - 20")</f>
        <v>GC - II - 1965 - VTNN MƯỜI - CANBO SỮA (Nước trắng sữa) - 1L - 20</v>
      </c>
    </row>
    <row r="2584">
      <c r="A2584" s="86">
        <f>IFERROR(__xludf.DUMMYFUNCTION("""COMPUTED_VALUE"""),2582.0)</f>
        <v>2582</v>
      </c>
      <c r="B2584" s="87" t="str">
        <f>IFERROR(__xludf.DUMMYFUNCTION("""COMPUTED_VALUE"""),"Nhãn")</f>
        <v>Nhãn</v>
      </c>
      <c r="C2584" s="87" t="str">
        <f>IFERROR(__xludf.DUMMYFUNCTION("""COMPUTED_VALUE"""),"NHG1966")</f>
        <v>NHG1966</v>
      </c>
      <c r="D2584" s="87" t="str">
        <f>IFERROR(__xludf.DUMMYFUNCTION("""COMPUTED_VALUE"""),"[Nhãn] GC - IV - 1966 - Cty Hóa Nông Shino - YAPOKO 250SC (Nước trắng sữa) - 450ml - 30")</f>
        <v>[Nhãn] GC - IV - 1966 - Cty Hóa Nông Shino - YAPOKO 250SC (Nước trắng sữa) - 450ml - 30</v>
      </c>
      <c r="E2584" s="87" t="str">
        <f>IFERROR(__xludf.DUMMYFUNCTION("""COMPUTED_VALUE"""),"YAPOKO 250SC")</f>
        <v>YAPOKO 250SC</v>
      </c>
      <c r="F2584" s="87" t="str">
        <f>IFERROR(__xludf.DUMMYFUNCTION("""COMPUTED_VALUE"""),"HH1966")</f>
        <v>HH1966</v>
      </c>
      <c r="G2584" s="87" t="str">
        <f>IFERROR(__xludf.DUMMYFUNCTION("""COMPUTED_VALUE"""),"GC - IV - 1966 - Cty Hóa Nông Shino - YAPOKO 250SC (Nước trắng sữa) - 450ml - 30")</f>
        <v>GC - IV - 1966 - Cty Hóa Nông Shino - YAPOKO 250SC (Nước trắng sữa) - 450ml - 30</v>
      </c>
    </row>
    <row r="2585">
      <c r="A2585" s="86">
        <f>IFERROR(__xludf.DUMMYFUNCTION("""COMPUTED_VALUE"""),2583.0)</f>
        <v>2583</v>
      </c>
      <c r="B2585" s="87" t="str">
        <f>IFERROR(__xludf.DUMMYFUNCTION("""COMPUTED_VALUE"""),"Nhãn")</f>
        <v>Nhãn</v>
      </c>
      <c r="C2585" s="87" t="str">
        <f>IFERROR(__xludf.DUMMYFUNCTION("""COMPUTED_VALUE"""),"NHD1967")</f>
        <v>NHD1967</v>
      </c>
      <c r="D2585" s="87" t="str">
        <f>IFERROR(__xludf.DUMMYFUNCTION("""COMPUTED_VALUE"""),"[Nhãn] IDA Global - I - 1967 -  BẠCH HỔ (Nước trong) - 450ml - 40")</f>
        <v>[Nhãn] IDA Global - I - 1967 -  BẠCH HỔ (Nước trong) - 450ml - 40</v>
      </c>
      <c r="E2585" s="87" t="str">
        <f>IFERROR(__xludf.DUMMYFUNCTION("""COMPUTED_VALUE"""),"HAIHAMEC 3.6EC")</f>
        <v>HAIHAMEC 3.6EC</v>
      </c>
      <c r="F2585" s="87" t="str">
        <f>IFERROR(__xludf.DUMMYFUNCTION("""COMPUTED_VALUE"""),"HH1967")</f>
        <v>HH1967</v>
      </c>
      <c r="G2585" s="87" t="str">
        <f>IFERROR(__xludf.DUMMYFUNCTION("""COMPUTED_VALUE"""),"IDA Global - I - 1967 -  BẠCH HỔ (Nước trong) - 450ml - 40")</f>
        <v>IDA Global - I - 1967 -  BẠCH HỔ (Nước trong) - 450ml - 40</v>
      </c>
    </row>
    <row r="2586">
      <c r="A2586" s="86">
        <f>IFERROR(__xludf.DUMMYFUNCTION("""COMPUTED_VALUE"""),2584.0)</f>
        <v>2584</v>
      </c>
      <c r="B2586" s="87" t="str">
        <f>IFERROR(__xludf.DUMMYFUNCTION("""COMPUTED_VALUE"""),"Nhãn thùng")</f>
        <v>Nhãn thùng</v>
      </c>
      <c r="C2586" s="87" t="str">
        <f>IFERROR(__xludf.DUMMYFUNCTION("""COMPUTED_VALUE"""),"NDT1967")</f>
        <v>NDT1967</v>
      </c>
      <c r="D2586" s="87" t="str">
        <f>IFERROR(__xludf.DUMMYFUNCTION("""COMPUTED_VALUE"""),"[Nhãn thùng] IDA Global - I - 1967 -  BẠCH HỔ (Nước trong) - 450ml - 40")</f>
        <v>[Nhãn thùng] IDA Global - I - 1967 -  BẠCH HỔ (Nước trong) - 450ml - 40</v>
      </c>
      <c r="E2586" s="87" t="str">
        <f>IFERROR(__xludf.DUMMYFUNCTION("""COMPUTED_VALUE"""),"HAIHAMEC 3.6EC")</f>
        <v>HAIHAMEC 3.6EC</v>
      </c>
      <c r="F2586" s="87" t="str">
        <f>IFERROR(__xludf.DUMMYFUNCTION("""COMPUTED_VALUE"""),"HH1967")</f>
        <v>HH1967</v>
      </c>
      <c r="G2586" s="87" t="str">
        <f>IFERROR(__xludf.DUMMYFUNCTION("""COMPUTED_VALUE"""),"IDA Global - I - 1967 -  BẠCH HỔ (Nước trong) - 450ml - 40")</f>
        <v>IDA Global - I - 1967 -  BẠCH HỔ (Nước trong) - 450ml - 40</v>
      </c>
    </row>
    <row r="2587">
      <c r="A2587" s="86">
        <f>IFERROR(__xludf.DUMMYFUNCTION("""COMPUTED_VALUE"""),2585.0)</f>
        <v>2585</v>
      </c>
      <c r="B2587" s="87" t="str">
        <f>IFERROR(__xludf.DUMMYFUNCTION("""COMPUTED_VALUE"""),"Nhãn")</f>
        <v>Nhãn</v>
      </c>
      <c r="C2587" s="87" t="str">
        <f>IFERROR(__xludf.DUMMYFUNCTION("""COMPUTED_VALUE"""),"NHG1968")</f>
        <v>NHG1968</v>
      </c>
      <c r="D2587" s="87" t="str">
        <f>IFERROR(__xludf.DUMMYFUNCTION("""COMPUTED_VALUE"""),"[Nhãn] IDA Global - I - 1968 - IDA Vil (nước vàng) - 1 Lít - 20")</f>
        <v>[Nhãn] IDA Global - I - 1968 - IDA Vil (nước vàng) - 1 Lít - 20</v>
      </c>
      <c r="E2587" s="87" t="str">
        <f>IFERROR(__xludf.DUMMYFUNCTION("""COMPUTED_VALUE"""),"Mekongvil 5SC")</f>
        <v>Mekongvil 5SC</v>
      </c>
      <c r="F2587" s="87" t="str">
        <f>IFERROR(__xludf.DUMMYFUNCTION("""COMPUTED_VALUE"""),"HH1968")</f>
        <v>HH1968</v>
      </c>
      <c r="G2587" s="87" t="str">
        <f>IFERROR(__xludf.DUMMYFUNCTION("""COMPUTED_VALUE"""),"IDA Global - I - 1968 - IDA Vil (nước vàng) - 1 Lít - 20")</f>
        <v>IDA Global - I - 1968 - IDA Vil (nước vàng) - 1 Lít - 20</v>
      </c>
    </row>
    <row r="2588">
      <c r="A2588" s="86">
        <f>IFERROR(__xludf.DUMMYFUNCTION("""COMPUTED_VALUE"""),2586.0)</f>
        <v>2586</v>
      </c>
      <c r="B2588" s="87" t="str">
        <f>IFERROR(__xludf.DUMMYFUNCTION("""COMPUTED_VALUE"""),"Nhãn")</f>
        <v>Nhãn</v>
      </c>
      <c r="C2588" s="87" t="str">
        <f>IFERROR(__xludf.DUMMYFUNCTION("""COMPUTED_VALUE"""),"NTN1969")</f>
        <v>NTN1969</v>
      </c>
      <c r="D2588" s="87" t="str">
        <f>IFERROR(__xludf.DUMMYFUNCTION("""COMPUTED_VALUE"""),"[Nhãn] IDA Global - I - 1969 - SỨC MẠNH TRICYCLAZOLE (Bột cam) - 100gr - 100")</f>
        <v>[Nhãn] IDA Global - I - 1969 - SỨC MẠNH TRICYCLAZOLE (Bột cam) - 100gr - 100</v>
      </c>
      <c r="E2588" s="87" t="str">
        <f>IFERROR(__xludf.DUMMYFUNCTION("""COMPUTED_VALUE"""),"Pim.Pim 75WP")</f>
        <v>Pim.Pim 75WP</v>
      </c>
      <c r="F2588" s="87" t="str">
        <f>IFERROR(__xludf.DUMMYFUNCTION("""COMPUTED_VALUE"""),"HH1969")</f>
        <v>HH1969</v>
      </c>
      <c r="G2588" s="87" t="str">
        <f>IFERROR(__xludf.DUMMYFUNCTION("""COMPUTED_VALUE"""),"IDA Global - I - 1969 - SỨC MẠNH TRICYCLAZOLE (Bột cam) - 100gr - 100")</f>
        <v>IDA Global - I - 1969 - SỨC MẠNH TRICYCLAZOLE (Bột cam) - 100gr - 100</v>
      </c>
    </row>
    <row r="2589">
      <c r="A2589" s="86">
        <f>IFERROR(__xludf.DUMMYFUNCTION("""COMPUTED_VALUE"""),2587.0)</f>
        <v>2587</v>
      </c>
      <c r="B2589" s="87" t="str">
        <f>IFERROR(__xludf.DUMMYFUNCTION("""COMPUTED_VALUE"""),"Nhãn thùng")</f>
        <v>Nhãn thùng</v>
      </c>
      <c r="C2589" s="87" t="str">
        <f>IFERROR(__xludf.DUMMYFUNCTION("""COMPUTED_VALUE"""),"NDT1969")</f>
        <v>NDT1969</v>
      </c>
      <c r="D2589" s="87" t="str">
        <f>IFERROR(__xludf.DUMMYFUNCTION("""COMPUTED_VALUE"""),"[Nhãn thùng] IDA Global - I - 1969 - SỨC MẠNH TRICYCLAZOLE (Bột cam) - 100gr - 100")</f>
        <v>[Nhãn thùng] IDA Global - I - 1969 - SỨC MẠNH TRICYCLAZOLE (Bột cam) - 100gr - 100</v>
      </c>
      <c r="E2589" s="87" t="str">
        <f>IFERROR(__xludf.DUMMYFUNCTION("""COMPUTED_VALUE"""),"Pim.Pim 75WP")</f>
        <v>Pim.Pim 75WP</v>
      </c>
      <c r="F2589" s="87" t="str">
        <f>IFERROR(__xludf.DUMMYFUNCTION("""COMPUTED_VALUE"""),"HH1969")</f>
        <v>HH1969</v>
      </c>
      <c r="G2589" s="87" t="str">
        <f>IFERROR(__xludf.DUMMYFUNCTION("""COMPUTED_VALUE"""),"IDA Global - I - 1969 - SỨC MẠNH TRICYCLAZOLE (Bột cam) - 100gr - 100")</f>
        <v>IDA Global - I - 1969 - SỨC MẠNH TRICYCLAZOLE (Bột cam) - 100gr - 100</v>
      </c>
    </row>
    <row r="2590">
      <c r="A2590" s="86">
        <f>IFERROR(__xludf.DUMMYFUNCTION("""COMPUTED_VALUE"""),2588.0)</f>
        <v>2588</v>
      </c>
      <c r="B2590" s="87" t="str">
        <f>IFERROR(__xludf.DUMMYFUNCTION("""COMPUTED_VALUE"""),"Nhãn")</f>
        <v>Nhãn</v>
      </c>
      <c r="C2590" s="87" t="str">
        <f>IFERROR(__xludf.DUMMYFUNCTION("""COMPUTED_VALUE"""),"NHG1970")</f>
        <v>NHG1970</v>
      </c>
      <c r="D2590" s="87" t="str">
        <f>IFERROR(__xludf.DUMMYFUNCTION("""COMPUTED_VALUE"""),"[Nhãn]  GC - IV - 1970 - NEWTECH CROP SCIENCE - NEW GREEN (Nước xanh nõn chuối) - 500ml - 40 (30)")</f>
        <v>[Nhãn]  GC - IV - 1970 - NEWTECH CROP SCIENCE - NEW GREEN (Nước xanh nõn chuối) - 500ml - 40 (30)</v>
      </c>
      <c r="E2590" s="87" t="str">
        <f>IFERROR(__xludf.DUMMYFUNCTION("""COMPUTED_VALUE"""),"Vi lượng Quantity New")</f>
        <v>Vi lượng Quantity New</v>
      </c>
      <c r="F2590" s="87" t="str">
        <f>IFERROR(__xludf.DUMMYFUNCTION("""COMPUTED_VALUE"""),"HH1970")</f>
        <v>HH1970</v>
      </c>
      <c r="G2590" s="87" t="str">
        <f>IFERROR(__xludf.DUMMYFUNCTION("""COMPUTED_VALUE"""),"GC - IV - 1970 - NEWTECH CROP SCIENCE - NEW GREEN (Nước xanh nõn chuối) - 500ml - 40 (30)")</f>
        <v>GC - IV - 1970 - NEWTECH CROP SCIENCE - NEW GREEN (Nước xanh nõn chuối) - 500ml - 40 (30)</v>
      </c>
    </row>
    <row r="2591">
      <c r="A2591" s="86">
        <f>IFERROR(__xludf.DUMMYFUNCTION("""COMPUTED_VALUE"""),2589.0)</f>
        <v>2589</v>
      </c>
      <c r="B2591" s="87" t="str">
        <f>IFERROR(__xludf.DUMMYFUNCTION("""COMPUTED_VALUE"""),"Nhãn")</f>
        <v>Nhãn</v>
      </c>
      <c r="C2591" s="87" t="str">
        <f>IFERROR(__xludf.DUMMYFUNCTION("""COMPUTED_VALUE"""),"NHG1971")</f>
        <v>NHG1971</v>
      </c>
      <c r="D2591" s="87" t="str">
        <f>IFERROR(__xludf.DUMMYFUNCTION("""COMPUTED_VALUE"""),"[Nhãn] GC - IV - 1971 - NEWTECH CROP SCIENCE - NEW RICE (Nước đỏ cam) - 500ml - 40 (30)")</f>
        <v>[Nhãn] GC - IV - 1971 - NEWTECH CROP SCIENCE - NEW RICE (Nước đỏ cam) - 500ml - 40 (30)</v>
      </c>
      <c r="E2591" s="87" t="str">
        <f>IFERROR(__xludf.DUMMYFUNCTION("""COMPUTED_VALUE"""),"NPK-Vi lượng MASSIVE-BLUE")</f>
        <v>NPK-Vi lượng MASSIVE-BLUE</v>
      </c>
      <c r="F2591" s="87" t="str">
        <f>IFERROR(__xludf.DUMMYFUNCTION("""COMPUTED_VALUE"""),"HH1971")</f>
        <v>HH1971</v>
      </c>
      <c r="G2591" s="87" t="str">
        <f>IFERROR(__xludf.DUMMYFUNCTION("""COMPUTED_VALUE"""),"GC - IV - 1971 - NEWTECH CROP SCIENCE - NEW RICE (Nước đỏ cam) - 500ml - 40 (30)")</f>
        <v>GC - IV - 1971 - NEWTECH CROP SCIENCE - NEW RICE (Nước đỏ cam) - 500ml - 40 (30)</v>
      </c>
    </row>
    <row r="2592">
      <c r="A2592" s="86">
        <f>IFERROR(__xludf.DUMMYFUNCTION("""COMPUTED_VALUE"""),2590.0)</f>
        <v>2590</v>
      </c>
      <c r="B2592" s="87" t="str">
        <f>IFERROR(__xludf.DUMMYFUNCTION("""COMPUTED_VALUE"""),"Nhãn")</f>
        <v>Nhãn</v>
      </c>
      <c r="C2592" s="87" t="str">
        <f>IFERROR(__xludf.DUMMYFUNCTION("""COMPUTED_VALUE"""),"NHG1972")</f>
        <v>NHG1972</v>
      </c>
      <c r="D2592" s="87" t="str">
        <f>IFERROR(__xludf.DUMMYFUNCTION("""COMPUTED_VALUE"""),"[Nhãn] GC - IV - 1972 - NEWTECH CROP SCIENCE - NEW PLANT (Nước nâu đen) - 500ml - 40")</f>
        <v>[Nhãn] GC - IV - 1972 - NEWTECH CROP SCIENCE - NEW PLANT (Nước nâu đen) - 500ml - 40</v>
      </c>
      <c r="E2592" s="87" t="str">
        <f>IFERROR(__xludf.DUMMYFUNCTION("""COMPUTED_VALUE"""),"Hỗn Hợp NP AGAMA-AP")</f>
        <v>Hỗn Hợp NP AGAMA-AP</v>
      </c>
      <c r="F2592" s="87" t="str">
        <f>IFERROR(__xludf.DUMMYFUNCTION("""COMPUTED_VALUE"""),"HH1972")</f>
        <v>HH1972</v>
      </c>
      <c r="G2592" s="87" t="str">
        <f>IFERROR(__xludf.DUMMYFUNCTION("""COMPUTED_VALUE"""),"GC - IV - 1972 - NEWTECH CROP SCIENCE - NEW PLANT (Nước nâu đen) - 500ml - 40")</f>
        <v>GC - IV - 1972 - NEWTECH CROP SCIENCE - NEW PLANT (Nước nâu đen) - 500ml - 40</v>
      </c>
    </row>
    <row r="2593">
      <c r="A2593" s="86">
        <f>IFERROR(__xludf.DUMMYFUNCTION("""COMPUTED_VALUE"""),2591.0)</f>
        <v>2591</v>
      </c>
      <c r="B2593" s="87" t="str">
        <f>IFERROR(__xludf.DUMMYFUNCTION("""COMPUTED_VALUE"""),"Nhãn")</f>
        <v>Nhãn</v>
      </c>
      <c r="C2593" s="87" t="str">
        <f>IFERROR(__xludf.DUMMYFUNCTION("""COMPUTED_VALUE"""),"NHG1973")</f>
        <v>NHG1973</v>
      </c>
      <c r="D2593" s="87" t="str">
        <f>IFERROR(__xludf.DUMMYFUNCTION("""COMPUTED_VALUE"""),"[Nhãn] GC - IV - 1973 - NEWTECH CROP SCIENCE - NEW ZINC (Nước vàng sữa) - 500ml - 40 (30)")</f>
        <v>[Nhãn] GC - IV - 1973 - NEWTECH CROP SCIENCE - NEW ZINC (Nước vàng sữa) - 500ml - 40 (30)</v>
      </c>
      <c r="E2593" s="87" t="str">
        <f>IFERROR(__xludf.DUMMYFUNCTION("""COMPUTED_VALUE"""),"Vi lượng MICKEY")</f>
        <v>Vi lượng MICKEY</v>
      </c>
      <c r="F2593" s="87" t="str">
        <f>IFERROR(__xludf.DUMMYFUNCTION("""COMPUTED_VALUE"""),"HH1973")</f>
        <v>HH1973</v>
      </c>
      <c r="G2593" s="87" t="str">
        <f>IFERROR(__xludf.DUMMYFUNCTION("""COMPUTED_VALUE"""),"GC - IV - 1973 - NEWTECH CROP SCIENCE - NEW ZINC (Nước vàng sữa) - 500ml - 40 (30)")</f>
        <v>GC - IV - 1973 - NEWTECH CROP SCIENCE - NEW ZINC (Nước vàng sữa) - 500ml - 40 (30)</v>
      </c>
    </row>
    <row r="2594">
      <c r="A2594" s="86">
        <f>IFERROR(__xludf.DUMMYFUNCTION("""COMPUTED_VALUE"""),2592.0)</f>
        <v>2592</v>
      </c>
      <c r="B2594" s="87" t="str">
        <f>IFERROR(__xludf.DUMMYFUNCTION("""COMPUTED_VALUE"""),"Nhãn")</f>
        <v>Nhãn</v>
      </c>
      <c r="C2594" s="87" t="str">
        <f>IFERROR(__xludf.DUMMYFUNCTION("""COMPUTED_VALUE"""),"NHD1974")</f>
        <v>NHD1974</v>
      </c>
      <c r="D2594" s="87" t="str">
        <f>IFERROR(__xludf.DUMMYFUNCTION("""COMPUTED_VALUE"""),"[Nhãn] IDA Global - I - 1974 - VTNN TÂN PHÁT - GARMAXONL (Nước tím) - 900ml - 20")</f>
        <v>[Nhãn] IDA Global - I - 1974 - VTNN TÂN PHÁT - GARMAXONL (Nước tím) - 900ml - 20</v>
      </c>
      <c r="E2594" s="87" t="str">
        <f>IFERROR(__xludf.DUMMYFUNCTION("""COMPUTED_VALUE"""),"FAQUATRIO 20SL")</f>
        <v>FAQUATRIO 20SL</v>
      </c>
      <c r="F2594" s="87" t="str">
        <f>IFERROR(__xludf.DUMMYFUNCTION("""COMPUTED_VALUE"""),"HH1974")</f>
        <v>HH1974</v>
      </c>
      <c r="G2594" s="87" t="str">
        <f>IFERROR(__xludf.DUMMYFUNCTION("""COMPUTED_VALUE"""),"IDA Global - I - 1974 - VTNN TÂN PHÁT - GARMAXONL (Nước tím) - 900ml - 20")</f>
        <v>IDA Global - I - 1974 - VTNN TÂN PHÁT - GARMAXONL (Nước tím) - 900ml - 20</v>
      </c>
    </row>
    <row r="2595">
      <c r="A2595" s="86">
        <f>IFERROR(__xludf.DUMMYFUNCTION("""COMPUTED_VALUE"""),2593.0)</f>
        <v>2593</v>
      </c>
      <c r="B2595" s="87" t="str">
        <f>IFERROR(__xludf.DUMMYFUNCTION("""COMPUTED_VALUE"""),"Nhãn")</f>
        <v>Nhãn</v>
      </c>
      <c r="C2595" s="87" t="str">
        <f>IFERROR(__xludf.DUMMYFUNCTION("""COMPUTED_VALUE"""),"NTN1975")</f>
        <v>NTN1975</v>
      </c>
      <c r="D2595" s="87" t="str">
        <f>IFERROR(__xludf.DUMMYFUNCTION("""COMPUTED_VALUE"""),"[Nhãn] GC - IV - 1975 - Agricare Úc A. Lộc - MAKEGREEN 55WG (dạng cốm màu trắng ngà) - 100gr - 100")</f>
        <v>[Nhãn] GC - IV - 1975 - Agricare Úc A. Lộc - MAKEGREEN 55WG (dạng cốm màu trắng ngà) - 100gr - 100</v>
      </c>
      <c r="E2595" s="87" t="str">
        <f>IFERROR(__xludf.DUMMYFUNCTION("""COMPUTED_VALUE"""),"MAKEGREEN 55WG")</f>
        <v>MAKEGREEN 55WG</v>
      </c>
      <c r="F2595" s="87" t="str">
        <f>IFERROR(__xludf.DUMMYFUNCTION("""COMPUTED_VALUE"""),"HH1975")</f>
        <v>HH1975</v>
      </c>
      <c r="G2595" s="87" t="str">
        <f>IFERROR(__xludf.DUMMYFUNCTION("""COMPUTED_VALUE"""),"GC - IV - 1975 - Agricare Úc A. Lộc - MAKEGREEN 55WG (dạng cốm màu trắng ngà) - 100gr - 100")</f>
        <v>GC - IV - 1975 - Agricare Úc A. Lộc - MAKEGREEN 55WG (dạng cốm màu trắng ngà) - 100gr - 100</v>
      </c>
    </row>
    <row r="2596">
      <c r="A2596" s="86">
        <f>IFERROR(__xludf.DUMMYFUNCTION("""COMPUTED_VALUE"""),2594.0)</f>
        <v>2594</v>
      </c>
      <c r="B2596" s="87" t="str">
        <f>IFERROR(__xludf.DUMMYFUNCTION("""COMPUTED_VALUE"""),"Nhãn thùng")</f>
        <v>Nhãn thùng</v>
      </c>
      <c r="C2596" s="87" t="str">
        <f>IFERROR(__xludf.DUMMYFUNCTION("""COMPUTED_VALUE"""),"NDT1975")</f>
        <v>NDT1975</v>
      </c>
      <c r="D2596" s="87" t="str">
        <f>IFERROR(__xludf.DUMMYFUNCTION("""COMPUTED_VALUE"""),"[Nhãn thùng] GC - IV - 1975 - Agricare Úc A. Lộc - MAKEGREEN 55WG (dạng cốm màu trắng ngà) - 100gr - 100")</f>
        <v>[Nhãn thùng] GC - IV - 1975 - Agricare Úc A. Lộc - MAKEGREEN 55WG (dạng cốm màu trắng ngà) - 100gr - 100</v>
      </c>
      <c r="E2596" s="87" t="str">
        <f>IFERROR(__xludf.DUMMYFUNCTION("""COMPUTED_VALUE"""),"MAKEGREEN 55WG")</f>
        <v>MAKEGREEN 55WG</v>
      </c>
      <c r="F2596" s="87" t="str">
        <f>IFERROR(__xludf.DUMMYFUNCTION("""COMPUTED_VALUE"""),"HH1975")</f>
        <v>HH1975</v>
      </c>
      <c r="G2596" s="87" t="str">
        <f>IFERROR(__xludf.DUMMYFUNCTION("""COMPUTED_VALUE"""),"GC - IV - 1975 - Agricare Úc A. Lộc - MAKEGREEN 55WG (dạng cốm màu trắng ngà) - 100gr - 100")</f>
        <v>GC - IV - 1975 - Agricare Úc A. Lộc - MAKEGREEN 55WG (dạng cốm màu trắng ngà) - 100gr - 100</v>
      </c>
    </row>
    <row r="2597">
      <c r="A2597" s="86">
        <f>IFERROR(__xludf.DUMMYFUNCTION("""COMPUTED_VALUE"""),2595.0)</f>
        <v>2595</v>
      </c>
      <c r="B2597" s="87" t="str">
        <f>IFERROR(__xludf.DUMMYFUNCTION("""COMPUTED_VALUE"""),"Nhãn")</f>
        <v>Nhãn</v>
      </c>
      <c r="C2597" s="87" t="str">
        <f>IFERROR(__xludf.DUMMYFUNCTION("""COMPUTED_VALUE"""),"NHG1976")</f>
        <v>NHG1976</v>
      </c>
      <c r="D2597" s="87" t="str">
        <f>IFERROR(__xludf.DUMMYFUNCTION("""COMPUTED_VALUE"""),"[Nhãn] GC - IV - 1976 - VietChem - Hextop (nước trắng sữa) - 1L - 20")</f>
        <v>[Nhãn] GC - IV - 1976 - VietChem - Hextop (nước trắng sữa) - 1L - 20</v>
      </c>
      <c r="E2597" s="87" t="str">
        <f>IFERROR(__xludf.DUMMYFUNCTION("""COMPUTED_VALUE"""),"MEKONGVIL 5SC")</f>
        <v>MEKONGVIL 5SC</v>
      </c>
      <c r="F2597" s="87" t="str">
        <f>IFERROR(__xludf.DUMMYFUNCTION("""COMPUTED_VALUE"""),"HH1976")</f>
        <v>HH1976</v>
      </c>
      <c r="G2597" s="87" t="str">
        <f>IFERROR(__xludf.DUMMYFUNCTION("""COMPUTED_VALUE"""),"GC - IV - 1976 - VietChem - Hextop (nước trắng sữa) - 1L - 20")</f>
        <v>GC - IV - 1976 - VietChem - Hextop (nước trắng sữa) - 1L - 20</v>
      </c>
    </row>
    <row r="2598">
      <c r="A2598" s="86">
        <f>IFERROR(__xludf.DUMMYFUNCTION("""COMPUTED_VALUE"""),2596.0)</f>
        <v>2596</v>
      </c>
      <c r="B2598" s="87" t="str">
        <f>IFERROR(__xludf.DUMMYFUNCTION("""COMPUTED_VALUE"""),"Nhãn")</f>
        <v>Nhãn</v>
      </c>
      <c r="C2598" s="87" t="str">
        <f>IFERROR(__xludf.DUMMYFUNCTION("""COMPUTED_VALUE"""),"NHD1977")</f>
        <v>NHD1977</v>
      </c>
      <c r="D2598" s="87" t="str">
        <f>IFERROR(__xludf.DUMMYFUNCTION("""COMPUTED_VALUE"""),"[Nhãn] GC - II - 1977 - A. DINH (AN KHANG) - TAK 06 (Gel nâu đen) - 20L - 1")</f>
        <v>[Nhãn] GC - II - 1977 - A. DINH (AN KHANG) - TAK 06 (Gel nâu đen) - 20L - 1</v>
      </c>
      <c r="E2598" s="87" t="str">
        <f>IFERROR(__xludf.DUMMYFUNCTION("""COMPUTED_VALUE"""),"Vi lượng Run Fast")</f>
        <v>Vi lượng Run Fast</v>
      </c>
      <c r="F2598" s="87" t="str">
        <f>IFERROR(__xludf.DUMMYFUNCTION("""COMPUTED_VALUE"""),"HH1977")</f>
        <v>HH1977</v>
      </c>
      <c r="G2598" s="87" t="str">
        <f>IFERROR(__xludf.DUMMYFUNCTION("""COMPUTED_VALUE"""),"GC - II - 1977 - A. DINH (AN KHANG) - TAK 06 (Gel nâu đen) - 20L - 1")</f>
        <v>GC - II - 1977 - A. DINH (AN KHANG) - TAK 06 (Gel nâu đen) - 20L - 1</v>
      </c>
    </row>
    <row r="2599">
      <c r="A2599" s="86">
        <f>IFERROR(__xludf.DUMMYFUNCTION("""COMPUTED_VALUE"""),2597.0)</f>
        <v>2597</v>
      </c>
      <c r="B2599" s="87" t="str">
        <f>IFERROR(__xludf.DUMMYFUNCTION("""COMPUTED_VALUE"""),"Nhãn")</f>
        <v>Nhãn</v>
      </c>
      <c r="C2599" s="87" t="str">
        <f>IFERROR(__xludf.DUMMYFUNCTION("""COMPUTED_VALUE"""),"NHG1978")</f>
        <v>NHG1978</v>
      </c>
      <c r="D2599" s="87" t="str">
        <f>IFERROR(__xludf.DUMMYFUNCTION("""COMPUTED_VALUE"""),"[Nhãn] GC - II - 1978 - ÐL MUỜI - NP-CYRIN SUPER 250EC (Nước vàng trà) - 1L - 20")</f>
        <v>[Nhãn] GC - II - 1978 - ÐL MUỜI - NP-CYRIN SUPER 250EC (Nước vàng trà) - 1L - 20</v>
      </c>
      <c r="E2599" s="87" t="str">
        <f>IFERROR(__xludf.DUMMYFUNCTION("""COMPUTED_VALUE"""),"NP-CYRIN SUPER 250EC")</f>
        <v>NP-CYRIN SUPER 250EC</v>
      </c>
      <c r="F2599" s="87" t="str">
        <f>IFERROR(__xludf.DUMMYFUNCTION("""COMPUTED_VALUE"""),"HH1978")</f>
        <v>HH1978</v>
      </c>
      <c r="G2599" s="87" t="str">
        <f>IFERROR(__xludf.DUMMYFUNCTION("""COMPUTED_VALUE"""),"GC - II - 1978 - ÐL MUỜI - NP-CYRIN SUPER 250EC (Nước vàng trà) - 1L - 20")</f>
        <v>GC - II - 1978 - ÐL MUỜI - NP-CYRIN SUPER 250EC (Nước vàng trà) - 1L - 20</v>
      </c>
    </row>
    <row r="2600">
      <c r="A2600" s="86">
        <f>IFERROR(__xludf.DUMMYFUNCTION("""COMPUTED_VALUE"""),2598.0)</f>
        <v>2598</v>
      </c>
      <c r="B2600" s="87" t="str">
        <f>IFERROR(__xludf.DUMMYFUNCTION("""COMPUTED_VALUE"""),"Nhãn")</f>
        <v>Nhãn</v>
      </c>
      <c r="C2600" s="87" t="str">
        <f>IFERROR(__xludf.DUMMYFUNCTION("""COMPUTED_VALUE"""),"NHG1979")</f>
        <v>NHG1979</v>
      </c>
      <c r="D2600" s="87" t="str">
        <f>IFERROR(__xludf.DUMMYFUNCTION("""COMPUTED_VALUE"""),"[Nhãn] IDA Global - I - 1979 - Ếch vàng 200 (Nước xanh dương) - 100ml - 100")</f>
        <v>[Nhãn] IDA Global - I - 1979 - Ếch vàng 200 (Nước xanh dương) - 100ml - 100</v>
      </c>
      <c r="E2600" s="87" t="str">
        <f>IFERROR(__xludf.DUMMYFUNCTION("""COMPUTED_VALUE"""),"NEW FUZE 200SC")</f>
        <v>NEW FUZE 200SC</v>
      </c>
      <c r="F2600" s="87" t="str">
        <f>IFERROR(__xludf.DUMMYFUNCTION("""COMPUTED_VALUE"""),"HH1979")</f>
        <v>HH1979</v>
      </c>
      <c r="G2600" s="87" t="str">
        <f>IFERROR(__xludf.DUMMYFUNCTION("""COMPUTED_VALUE"""),"IDA Global - I - 1979 - Ếch vàng 200 (Nước xanh dương) - 100ml - 100")</f>
        <v>IDA Global - I - 1979 - Ếch vàng 200 (Nước xanh dương) - 100ml - 100</v>
      </c>
    </row>
    <row r="2601">
      <c r="A2601" s="86">
        <f>IFERROR(__xludf.DUMMYFUNCTION("""COMPUTED_VALUE"""),2599.0)</f>
        <v>2599</v>
      </c>
      <c r="B2601" s="87" t="str">
        <f>IFERROR(__xludf.DUMMYFUNCTION("""COMPUTED_VALUE"""),"Nhãn")</f>
        <v>Nhãn</v>
      </c>
      <c r="C2601" s="87" t="str">
        <f>IFERROR(__xludf.DUMMYFUNCTION("""COMPUTED_VALUE"""),"NHG1980")</f>
        <v>NHG1980</v>
      </c>
      <c r="D2601" s="87" t="str">
        <f>IFERROR(__xludf.DUMMYFUNCTION("""COMPUTED_VALUE"""),"[Nhãn] GC - IV - 1980 - CTY AGRITECH - AMILAN 300SC (nước cam sữa) - 500ml - 30")</f>
        <v>[Nhãn] GC - IV - 1980 - CTY AGRITECH - AMILAN 300SC (nước cam sữa) - 500ml - 30</v>
      </c>
      <c r="E2601" s="87" t="str">
        <f>IFERROR(__xludf.DUMMYFUNCTION("""COMPUTED_VALUE"""),"AMILAN 300SC")</f>
        <v>AMILAN 300SC</v>
      </c>
      <c r="F2601" s="87" t="str">
        <f>IFERROR(__xludf.DUMMYFUNCTION("""COMPUTED_VALUE"""),"HH1980")</f>
        <v>HH1980</v>
      </c>
      <c r="G2601" s="87" t="str">
        <f>IFERROR(__xludf.DUMMYFUNCTION("""COMPUTED_VALUE"""),"GC - IV - 1980 - CTY AGRITECH - AMILAN 300SC (nước cam sữa) - 500ml - 30")</f>
        <v>GC - IV - 1980 - CTY AGRITECH - AMILAN 300SC (nước cam sữa) - 500ml - 30</v>
      </c>
    </row>
    <row r="2602">
      <c r="A2602" s="86">
        <f>IFERROR(__xludf.DUMMYFUNCTION("""COMPUTED_VALUE"""),2600.0)</f>
        <v>2600</v>
      </c>
      <c r="B2602" s="87" t="str">
        <f>IFERROR(__xludf.DUMMYFUNCTION("""COMPUTED_VALUE"""),"Nhãn")</f>
        <v>Nhãn</v>
      </c>
      <c r="C2602" s="87" t="str">
        <f>IFERROR(__xludf.DUMMYFUNCTION("""COMPUTED_VALUE"""),"NHG1981")</f>
        <v>NHG1981</v>
      </c>
      <c r="D2602" s="87" t="str">
        <f>IFERROR(__xludf.DUMMYFUNCTION("""COMPUTED_VALUE"""),"[Nhãn] GC - II - 1981 - AGC - Siêu Trừ Nấm Khuẩn (nước đỏ) - 250ml - 40")</f>
        <v>[Nhãn] GC - II - 1981 - AGC - Siêu Trừ Nấm Khuẩn (nước đỏ) - 250ml - 40</v>
      </c>
      <c r="E2602" s="87" t="str">
        <f>IFERROR(__xludf.DUMMYFUNCTION("""COMPUTED_VALUE"""),"GENOL 1.2SL")</f>
        <v>GENOL 1.2SL</v>
      </c>
      <c r="F2602" s="87" t="str">
        <f>IFERROR(__xludf.DUMMYFUNCTION("""COMPUTED_VALUE"""),"HH1981")</f>
        <v>HH1981</v>
      </c>
      <c r="G2602" s="87" t="str">
        <f>IFERROR(__xludf.DUMMYFUNCTION("""COMPUTED_VALUE"""),"GC - II - 1981 - AGC - Siêu Trừ Nấm Khuẩn (nước đỏ) - 250ml - 40")</f>
        <v>GC - II - 1981 - AGC - Siêu Trừ Nấm Khuẩn (nước đỏ) - 250ml - 40</v>
      </c>
    </row>
    <row r="2603">
      <c r="A2603" s="86">
        <f>IFERROR(__xludf.DUMMYFUNCTION("""COMPUTED_VALUE"""),2601.0)</f>
        <v>2601</v>
      </c>
      <c r="B2603" s="87" t="str">
        <f>IFERROR(__xludf.DUMMYFUNCTION("""COMPUTED_VALUE"""),"Nhãn")</f>
        <v>Nhãn</v>
      </c>
      <c r="C2603" s="87" t="str">
        <f>IFERROR(__xludf.DUMMYFUNCTION("""COMPUTED_VALUE"""),"NHG1982")</f>
        <v>NHG1982</v>
      </c>
      <c r="D2603" s="87" t="str">
        <f>IFERROR(__xludf.DUMMYFUNCTION("""COMPUTED_VALUE"""),"[Nhãn] GC - IV - 1982 - Agrisciene - AGRI MEKONGVIL 5SC (Nước hồng) - 1L - 20")</f>
        <v>[Nhãn] GC - IV - 1982 - Agrisciene - AGRI MEKONGVIL 5SC (Nước hồng) - 1L - 20</v>
      </c>
      <c r="E2603" s="87" t="str">
        <f>IFERROR(__xludf.DUMMYFUNCTION("""COMPUTED_VALUE"""),"Mekongvil 5SC")</f>
        <v>Mekongvil 5SC</v>
      </c>
      <c r="F2603" s="87" t="str">
        <f>IFERROR(__xludf.DUMMYFUNCTION("""COMPUTED_VALUE"""),"HH1982")</f>
        <v>HH1982</v>
      </c>
      <c r="G2603" s="87" t="str">
        <f>IFERROR(__xludf.DUMMYFUNCTION("""COMPUTED_VALUE"""),"GC - IV - 1982 - Agrisciene - AGRI MEKONGVIL 5SC (Nước hồng) - 1L - 20")</f>
        <v>GC - IV - 1982 - Agrisciene - AGRI MEKONGVIL 5SC (Nước hồng) - 1L - 20</v>
      </c>
    </row>
    <row r="2604">
      <c r="A2604" s="86">
        <f>IFERROR(__xludf.DUMMYFUNCTION("""COMPUTED_VALUE"""),2602.0)</f>
        <v>2602</v>
      </c>
      <c r="B2604" s="87" t="str">
        <f>IFERROR(__xludf.DUMMYFUNCTION("""COMPUTED_VALUE"""),"Nhãn thùng")</f>
        <v>Nhãn thùng</v>
      </c>
      <c r="C2604" s="87" t="str">
        <f>IFERROR(__xludf.DUMMYFUNCTION("""COMPUTED_VALUE"""),"NDT1982")</f>
        <v>NDT1982</v>
      </c>
      <c r="D2604" s="87" t="str">
        <f>IFERROR(__xludf.DUMMYFUNCTION("""COMPUTED_VALUE"""),"[Nhãn thùng] GC - IV - 1982 - Agrisciene - AGRI MEKONGVIL 5SC (Nước hồng) - 1L - 20")</f>
        <v>[Nhãn thùng] GC - IV - 1982 - Agrisciene - AGRI MEKONGVIL 5SC (Nước hồng) - 1L - 20</v>
      </c>
      <c r="E2604" s="87" t="str">
        <f>IFERROR(__xludf.DUMMYFUNCTION("""COMPUTED_VALUE"""),"Mekongvil 5SC")</f>
        <v>Mekongvil 5SC</v>
      </c>
      <c r="F2604" s="87" t="str">
        <f>IFERROR(__xludf.DUMMYFUNCTION("""COMPUTED_VALUE"""),"HH1982")</f>
        <v>HH1982</v>
      </c>
      <c r="G2604" s="87" t="str">
        <f>IFERROR(__xludf.DUMMYFUNCTION("""COMPUTED_VALUE"""),"GC - IV - 1982 - Agrisciene - AGRI MEKONGVIL 5SC (Nước hồng) - 1L - 20")</f>
        <v>GC - IV - 1982 - Agrisciene - AGRI MEKONGVIL 5SC (Nước hồng) - 1L - 20</v>
      </c>
    </row>
    <row r="2605">
      <c r="A2605" s="86">
        <f>IFERROR(__xludf.DUMMYFUNCTION("""COMPUTED_VALUE"""),2603.0)</f>
        <v>2603</v>
      </c>
      <c r="B2605" s="87" t="str">
        <f>IFERROR(__xludf.DUMMYFUNCTION("""COMPUTED_VALUE"""),"Nhãn")</f>
        <v>Nhãn</v>
      </c>
      <c r="C2605" s="87" t="str">
        <f>IFERROR(__xludf.DUMMYFUNCTION("""COMPUTED_VALUE"""),"NHG1983")</f>
        <v>NHG1983</v>
      </c>
      <c r="D2605" s="87" t="str">
        <f>IFERROR(__xludf.DUMMYFUNCTION("""COMPUTED_VALUE"""),"[Nhãn] IDA Global - I - 1983 - Vua Chim Trĩ (Nước trắng sữa) - 240ml - 40")</f>
        <v>[Nhãn] IDA Global - I - 1983 - Vua Chim Trĩ (Nước trắng sữa) - 240ml - 40</v>
      </c>
      <c r="E2605" s="87" t="str">
        <f>IFERROR(__xludf.DUMMYFUNCTION("""COMPUTED_VALUE"""),"VOTE 34.2SC")</f>
        <v>VOTE 34.2SC</v>
      </c>
      <c r="F2605" s="87" t="str">
        <f>IFERROR(__xludf.DUMMYFUNCTION("""COMPUTED_VALUE"""),"HH1983")</f>
        <v>HH1983</v>
      </c>
      <c r="G2605" s="87" t="str">
        <f>IFERROR(__xludf.DUMMYFUNCTION("""COMPUTED_VALUE"""),"IDA Global - I - 1983 - Vua Chim Trĩ (Nước trắng sữa) - 240ml - 40")</f>
        <v>IDA Global - I - 1983 - Vua Chim Trĩ (Nước trắng sữa) - 240ml - 40</v>
      </c>
    </row>
    <row r="2606">
      <c r="A2606" s="86">
        <f>IFERROR(__xludf.DUMMYFUNCTION("""COMPUTED_VALUE"""),2604.0)</f>
        <v>2604</v>
      </c>
      <c r="B2606" s="87" t="str">
        <f>IFERROR(__xludf.DUMMYFUNCTION("""COMPUTED_VALUE"""),"Nhãn")</f>
        <v>Nhãn</v>
      </c>
      <c r="C2606" s="87" t="str">
        <f>IFERROR(__xludf.DUMMYFUNCTION("""COMPUTED_VALUE"""),"NHG1984")</f>
        <v>NHG1984</v>
      </c>
      <c r="D2606" s="87" t="str">
        <f>IFERROR(__xludf.DUMMYFUNCTION("""COMPUTED_VALUE"""),"[Nhãn] IDA Global - I - 1984 - Vua chim trĩ (chai HD) - 100ml - 100")</f>
        <v>[Nhãn] IDA Global - I - 1984 - Vua chim trĩ (chai HD) - 100ml - 100</v>
      </c>
      <c r="E2606" s="87" t="str">
        <f>IFERROR(__xludf.DUMMYFUNCTION("""COMPUTED_VALUE"""),"VOTE 34.2SC")</f>
        <v>VOTE 34.2SC</v>
      </c>
      <c r="F2606" s="87" t="str">
        <f>IFERROR(__xludf.DUMMYFUNCTION("""COMPUTED_VALUE"""),"HH1984")</f>
        <v>HH1984</v>
      </c>
      <c r="G2606" s="87" t="str">
        <f>IFERROR(__xludf.DUMMYFUNCTION("""COMPUTED_VALUE"""),"IDA Global - I - 1984 - Vua chim trĩ (chai HD) - 100ml - 100")</f>
        <v>IDA Global - I - 1984 - Vua chim trĩ (chai HD) - 100ml - 100</v>
      </c>
    </row>
    <row r="2607">
      <c r="A2607" s="86">
        <f>IFERROR(__xludf.DUMMYFUNCTION("""COMPUTED_VALUE"""),2605.0)</f>
        <v>2605</v>
      </c>
      <c r="B2607" s="87" t="str">
        <f>IFERROR(__xludf.DUMMYFUNCTION("""COMPUTED_VALUE"""),"Nhãn")</f>
        <v>Nhãn</v>
      </c>
      <c r="C2607" s="87" t="str">
        <f>IFERROR(__xludf.DUMMYFUNCTION("""COMPUTED_VALUE"""),"NHG1985")</f>
        <v>NHG1985</v>
      </c>
      <c r="D2607" s="87" t="str">
        <f>IFERROR(__xludf.DUMMYFUNCTION("""COMPUTED_VALUE"""),"[Nhãn] GC - IV - 1985 - GNH - NUTI ROOTS (Nước xanh bơ sữa) - 100ml - 50")</f>
        <v>[Nhãn] GC - IV - 1985 - GNH - NUTI ROOTS (Nước xanh bơ sữa) - 100ml - 50</v>
      </c>
      <c r="E2607" s="87" t="str">
        <f>IFERROR(__xludf.DUMMYFUNCTION("""COMPUTED_VALUE"""),"Vi lượng Quantity New")</f>
        <v>Vi lượng Quantity New</v>
      </c>
      <c r="F2607" s="87" t="str">
        <f>IFERROR(__xludf.DUMMYFUNCTION("""COMPUTED_VALUE"""),"HH1985")</f>
        <v>HH1985</v>
      </c>
      <c r="G2607" s="87" t="str">
        <f>IFERROR(__xludf.DUMMYFUNCTION("""COMPUTED_VALUE"""),"GC - IV - 1985 - GNH - NUTI ROOTS (Nước xanh bơ sữa) - 100ml - 50")</f>
        <v>GC - IV - 1985 - GNH - NUTI ROOTS (Nước xanh bơ sữa) - 100ml - 50</v>
      </c>
    </row>
    <row r="2608">
      <c r="A2608" s="86">
        <f>IFERROR(__xludf.DUMMYFUNCTION("""COMPUTED_VALUE"""),2606.0)</f>
        <v>2606</v>
      </c>
      <c r="B2608" s="87" t="str">
        <f>IFERROR(__xludf.DUMMYFUNCTION("""COMPUTED_VALUE"""),"Nhãn")</f>
        <v>Nhãn</v>
      </c>
      <c r="C2608" s="87" t="str">
        <f>IFERROR(__xludf.DUMMYFUNCTION("""COMPUTED_VALUE"""),"NHG1986")</f>
        <v>NHG1986</v>
      </c>
      <c r="D2608" s="87" t="str">
        <f>IFERROR(__xludf.DUMMYFUNCTION("""COMPUTED_VALUE"""),"[Nhãn] GC - IV - 1986 - GNH - NUTI ROOTS (Nước xanh bơ sữa) - 250ml - 40")</f>
        <v>[Nhãn] GC - IV - 1986 - GNH - NUTI ROOTS (Nước xanh bơ sữa) - 250ml - 40</v>
      </c>
      <c r="E2608" s="87" t="str">
        <f>IFERROR(__xludf.DUMMYFUNCTION("""COMPUTED_VALUE"""),"Vi lượng Quantity New")</f>
        <v>Vi lượng Quantity New</v>
      </c>
      <c r="F2608" s="87" t="str">
        <f>IFERROR(__xludf.DUMMYFUNCTION("""COMPUTED_VALUE"""),"HH1986")</f>
        <v>HH1986</v>
      </c>
      <c r="G2608" s="87" t="str">
        <f>IFERROR(__xludf.DUMMYFUNCTION("""COMPUTED_VALUE"""),"GC - IV - 1986 - GNH - NUTI ROOTS (Nước xanh bơ sữa) - 250ml - 40")</f>
        <v>GC - IV - 1986 - GNH - NUTI ROOTS (Nước xanh bơ sữa) - 250ml - 40</v>
      </c>
    </row>
    <row r="2609">
      <c r="A2609" s="86">
        <f>IFERROR(__xludf.DUMMYFUNCTION("""COMPUTED_VALUE"""),2607.0)</f>
        <v>2607</v>
      </c>
      <c r="B2609" s="87" t="str">
        <f>IFERROR(__xludf.DUMMYFUNCTION("""COMPUTED_VALUE"""),"Nhãn")</f>
        <v>Nhãn</v>
      </c>
      <c r="C2609" s="87" t="str">
        <f>IFERROR(__xludf.DUMMYFUNCTION("""COMPUTED_VALUE"""),"NTN1987")</f>
        <v>NTN1987</v>
      </c>
      <c r="D2609" s="87" t="str">
        <f>IFERROR(__xludf.DUMMYFUNCTION("""COMPUTED_VALUE"""),"[Nhãn] GC - IV - 1987 - CTY NÔNG HÓA XANH - RAYXANH 200WP (bột trắng ngà) - 100gr - 100")</f>
        <v>[Nhãn] GC - IV - 1987 - CTY NÔNG HÓA XANH - RAYXANH 200WP (bột trắng ngà) - 100gr - 100</v>
      </c>
      <c r="E2609" s="87" t="str">
        <f>IFERROR(__xludf.DUMMYFUNCTION("""COMPUTED_VALUE"""),"RAYXANH 200WP")</f>
        <v>RAYXANH 200WP</v>
      </c>
      <c r="F2609" s="87" t="str">
        <f>IFERROR(__xludf.DUMMYFUNCTION("""COMPUTED_VALUE"""),"HH1987")</f>
        <v>HH1987</v>
      </c>
      <c r="G2609" s="87" t="str">
        <f>IFERROR(__xludf.DUMMYFUNCTION("""COMPUTED_VALUE"""),"GC - IV - 1987 - CTY NÔNG HÓA XANH - RAYXANH 200WP (bột trắng ngà) - 100gr - 100")</f>
        <v>GC - IV - 1987 - CTY NÔNG HÓA XANH - RAYXANH 200WP (bột trắng ngà) - 100gr - 100</v>
      </c>
    </row>
    <row r="2610">
      <c r="A2610" s="86">
        <f>IFERROR(__xludf.DUMMYFUNCTION("""COMPUTED_VALUE"""),2608.0)</f>
        <v>2608</v>
      </c>
      <c r="B2610" s="87" t="str">
        <f>IFERROR(__xludf.DUMMYFUNCTION("""COMPUTED_VALUE"""),"Nhãn thùng")</f>
        <v>Nhãn thùng</v>
      </c>
      <c r="C2610" s="87" t="str">
        <f>IFERROR(__xludf.DUMMYFUNCTION("""COMPUTED_VALUE"""),"NDT1987")</f>
        <v>NDT1987</v>
      </c>
      <c r="D2610" s="87" t="str">
        <f>IFERROR(__xludf.DUMMYFUNCTION("""COMPUTED_VALUE"""),"[Nhãn thùng] GC - IV - 1987 - CTY NÔNG HÓA XANH - RAYXANH 200WP (bột trắng ngà) - 100gr - 100")</f>
        <v>[Nhãn thùng] GC - IV - 1987 - CTY NÔNG HÓA XANH - RAYXANH 200WP (bột trắng ngà) - 100gr - 100</v>
      </c>
      <c r="E2610" s="87" t="str">
        <f>IFERROR(__xludf.DUMMYFUNCTION("""COMPUTED_VALUE"""),"RAYXANH 200WP")</f>
        <v>RAYXANH 200WP</v>
      </c>
      <c r="F2610" s="87" t="str">
        <f>IFERROR(__xludf.DUMMYFUNCTION("""COMPUTED_VALUE"""),"HH1987")</f>
        <v>HH1987</v>
      </c>
      <c r="G2610" s="87" t="str">
        <f>IFERROR(__xludf.DUMMYFUNCTION("""COMPUTED_VALUE"""),"GC - IV - 1987 - CTY NÔNG HÓA XANH - RAYXANH 200WP (bột trắng ngà) - 100gr - 100")</f>
        <v>GC - IV - 1987 - CTY NÔNG HÓA XANH - RAYXANH 200WP (bột trắng ngà) - 100gr - 100</v>
      </c>
    </row>
    <row r="2611">
      <c r="A2611" s="86">
        <f>IFERROR(__xludf.DUMMYFUNCTION("""COMPUTED_VALUE"""),2609.0)</f>
        <v>2609</v>
      </c>
      <c r="B2611" s="87" t="str">
        <f>IFERROR(__xludf.DUMMYFUNCTION("""COMPUTED_VALUE"""),"Nhãn")</f>
        <v>Nhãn</v>
      </c>
      <c r="C2611" s="87" t="str">
        <f>IFERROR(__xludf.DUMMYFUNCTION("""COMPUTED_VALUE"""),"NHG1988")</f>
        <v>NHG1988</v>
      </c>
      <c r="D2611" s="87" t="str">
        <f>IFERROR(__xludf.DUMMYFUNCTION("""COMPUTED_VALUE"""),"[Nhãn] IDA Global - I - 1988 - Flower Top Chuyên Cây Ăn Trái (drone) - 450ml - 40")</f>
        <v>[Nhãn] IDA Global - I - 1988 - Flower Top Chuyên Cây Ăn Trái (drone) - 450ml - 40</v>
      </c>
      <c r="E2611" s="87" t="str">
        <f>IFERROR(__xludf.DUMMYFUNCTION("""COMPUTED_VALUE"""),"Vi lượng Basel IDA 47")</f>
        <v>Vi lượng Basel IDA 47</v>
      </c>
      <c r="F2611" s="87" t="str">
        <f>IFERROR(__xludf.DUMMYFUNCTION("""COMPUTED_VALUE"""),"HH1988")</f>
        <v>HH1988</v>
      </c>
      <c r="G2611" s="87" t="str">
        <f>IFERROR(__xludf.DUMMYFUNCTION("""COMPUTED_VALUE"""),"IDA Global - I - 1988 - Flower Top Chuyên Cây Ăn Trái (drone) - 450ml - 40")</f>
        <v>IDA Global - I - 1988 - Flower Top Chuyên Cây Ăn Trái (drone) - 450ml - 40</v>
      </c>
    </row>
    <row r="2612">
      <c r="A2612" s="86">
        <f>IFERROR(__xludf.DUMMYFUNCTION("""COMPUTED_VALUE"""),2610.0)</f>
        <v>2610</v>
      </c>
      <c r="B2612" s="87" t="str">
        <f>IFERROR(__xludf.DUMMYFUNCTION("""COMPUTED_VALUE"""),"Nhãn thùng")</f>
        <v>Nhãn thùng</v>
      </c>
      <c r="C2612" s="87" t="str">
        <f>IFERROR(__xludf.DUMMYFUNCTION("""COMPUTED_VALUE"""),"NDT1988")</f>
        <v>NDT1988</v>
      </c>
      <c r="D2612" s="87" t="str">
        <f>IFERROR(__xludf.DUMMYFUNCTION("""COMPUTED_VALUE"""),"[Nhãn thùng] IDA Global - I - 1988 - Flower Top Chuyên Cây Ăn Trái (drone) - 450ml - 40")</f>
        <v>[Nhãn thùng] IDA Global - I - 1988 - Flower Top Chuyên Cây Ăn Trái (drone) - 450ml - 40</v>
      </c>
      <c r="E2612" s="87" t="str">
        <f>IFERROR(__xludf.DUMMYFUNCTION("""COMPUTED_VALUE"""),"Vi lượng Basel IDA 47")</f>
        <v>Vi lượng Basel IDA 47</v>
      </c>
      <c r="F2612" s="87" t="str">
        <f>IFERROR(__xludf.DUMMYFUNCTION("""COMPUTED_VALUE"""),"HH1988")</f>
        <v>HH1988</v>
      </c>
      <c r="G2612" s="87" t="str">
        <f>IFERROR(__xludf.DUMMYFUNCTION("""COMPUTED_VALUE"""),"IDA Global - I - 1988 - Flower Top Chuyên Cây Ăn Trái (drone) - 450ml - 40")</f>
        <v>IDA Global - I - 1988 - Flower Top Chuyên Cây Ăn Trái (drone) - 450ml - 40</v>
      </c>
    </row>
    <row r="2613">
      <c r="A2613" s="86">
        <f>IFERROR(__xludf.DUMMYFUNCTION("""COMPUTED_VALUE"""),2611.0)</f>
        <v>2611</v>
      </c>
      <c r="B2613" s="87" t="str">
        <f>IFERROR(__xludf.DUMMYFUNCTION("""COMPUTED_VALUE"""),"Nhãn")</f>
        <v>Nhãn</v>
      </c>
      <c r="C2613" s="87" t="str">
        <f>IFERROR(__xludf.DUMMYFUNCTION("""COMPUTED_VALUE"""),"NHG1994")</f>
        <v>NHG1994</v>
      </c>
      <c r="D2613" s="87" t="str">
        <f>IFERROR(__xludf.DUMMYFUNCTION("""COMPUTED_VALUE"""),"[Nhãn] GC - IV - 1994 - Tago - Đổ ốc (nước trong) - 450ml - 40")</f>
        <v>[Nhãn] GC - IV - 1994 - Tago - Đổ ốc (nước trong) - 450ml - 40</v>
      </c>
      <c r="E2613" s="87" t="str">
        <f>IFERROR(__xludf.DUMMYFUNCTION("""COMPUTED_VALUE"""),"HAIHAMEC 3.6EC")</f>
        <v>HAIHAMEC 3.6EC</v>
      </c>
      <c r="F2613" s="87" t="str">
        <f>IFERROR(__xludf.DUMMYFUNCTION("""COMPUTED_VALUE"""),"HH1994")</f>
        <v>HH1994</v>
      </c>
      <c r="G2613" s="87" t="str">
        <f>IFERROR(__xludf.DUMMYFUNCTION("""COMPUTED_VALUE"""),"GC - IV - 1994 - Tago - Đổ ốc (nước trong) - 450ml - 40")</f>
        <v>GC - IV - 1994 - Tago - Đổ ốc (nước trong) - 450ml - 40</v>
      </c>
    </row>
    <row r="2614">
      <c r="A2614" s="86">
        <f>IFERROR(__xludf.DUMMYFUNCTION("""COMPUTED_VALUE"""),2612.0)</f>
        <v>2612</v>
      </c>
      <c r="B2614" s="87" t="str">
        <f>IFERROR(__xludf.DUMMYFUNCTION("""COMPUTED_VALUE"""),"Nhãn")</f>
        <v>Nhãn</v>
      </c>
      <c r="C2614" s="87" t="str">
        <f>IFERROR(__xludf.DUMMYFUNCTION("""COMPUTED_VALUE"""),"NHG1995")</f>
        <v>NHG1995</v>
      </c>
      <c r="D2614" s="87" t="str">
        <f>IFERROR(__xludf.DUMMYFUNCTION("""COMPUTED_VALUE"""),"[Nhãn] GC - II - 1995 - THÀNH CÔNG AGRI - BOCAX USA (Nước vàng) - 500ml - 40")</f>
        <v>[Nhãn] GC - II - 1995 - THÀNH CÔNG AGRI - BOCAX USA (Nước vàng) - 500ml - 40</v>
      </c>
      <c r="E2614" s="87" t="str">
        <f>IFERROR(__xludf.DUMMYFUNCTION("""COMPUTED_VALUE"""),"Vi lượng Run Fast")</f>
        <v>Vi lượng Run Fast</v>
      </c>
      <c r="F2614" s="87" t="str">
        <f>IFERROR(__xludf.DUMMYFUNCTION("""COMPUTED_VALUE"""),"HH1995")</f>
        <v>HH1995</v>
      </c>
      <c r="G2614" s="87" t="str">
        <f>IFERROR(__xludf.DUMMYFUNCTION("""COMPUTED_VALUE"""),"GC - II - 1995 - THÀNH CÔNG AGRI - BOCAX USA (Nước vàng) - 500ml - 40")</f>
        <v>GC - II - 1995 - THÀNH CÔNG AGRI - BOCAX USA (Nước vàng) - 500ml - 40</v>
      </c>
    </row>
    <row r="2615">
      <c r="A2615" s="86">
        <f>IFERROR(__xludf.DUMMYFUNCTION("""COMPUTED_VALUE"""),2613.0)</f>
        <v>2613</v>
      </c>
      <c r="B2615" s="87" t="str">
        <f>IFERROR(__xludf.DUMMYFUNCTION("""COMPUTED_VALUE"""),"Nhãn")</f>
        <v>Nhãn</v>
      </c>
      <c r="C2615" s="87" t="str">
        <f>IFERROR(__xludf.DUMMYFUNCTION("""COMPUTED_VALUE"""),"NHD1996")</f>
        <v>NHD1996</v>
      </c>
      <c r="D2615" s="87" t="str">
        <f>IFERROR(__xludf.DUMMYFUNCTION("""COMPUTED_VALUE"""),"[Nhãn] GC - II - 1996 - THÀNH CÔNG AGRI - MASTER ROOT (Gel nâu đen) - 20L - 1")</f>
        <v>[Nhãn] GC - II - 1996 - THÀNH CÔNG AGRI - MASTER ROOT (Gel nâu đen) - 20L - 1</v>
      </c>
      <c r="E2615" s="87" t="str">
        <f>IFERROR(__xludf.DUMMYFUNCTION("""COMPUTED_VALUE"""),"Hỗn Hợp NP AGAMA-AP")</f>
        <v>Hỗn Hợp NP AGAMA-AP</v>
      </c>
      <c r="F2615" s="87" t="str">
        <f>IFERROR(__xludf.DUMMYFUNCTION("""COMPUTED_VALUE"""),"HH1996")</f>
        <v>HH1996</v>
      </c>
      <c r="G2615" s="87" t="str">
        <f>IFERROR(__xludf.DUMMYFUNCTION("""COMPUTED_VALUE"""),"GC - II - 1996 - THÀNH CÔNG AGRI - MASTER ROOT (Gel nâu đen) - 20L - 1")</f>
        <v>GC - II - 1996 - THÀNH CÔNG AGRI - MASTER ROOT (Gel nâu đen) - 20L - 1</v>
      </c>
    </row>
    <row r="2616">
      <c r="A2616" s="86">
        <f>IFERROR(__xludf.DUMMYFUNCTION("""COMPUTED_VALUE"""),2614.0)</f>
        <v>2614</v>
      </c>
      <c r="B2616" s="87" t="str">
        <f>IFERROR(__xludf.DUMMYFUNCTION("""COMPUTED_VALUE"""),"Nhãn")</f>
        <v>Nhãn</v>
      </c>
      <c r="C2616" s="87" t="str">
        <f>IFERROR(__xludf.DUMMYFUNCTION("""COMPUTED_VALUE"""),"NHD1997")</f>
        <v>NHD1997</v>
      </c>
      <c r="D2616" s="87" t="str">
        <f>IFERROR(__xludf.DUMMYFUNCTION("""COMPUTED_VALUE"""),"[Nhãn] GC - II - 1997 - THÀNH CÔNG AGRI - MASTER FRUIT (Gel nâu đen) - 20L - 1")</f>
        <v>[Nhãn] GC - II - 1997 - THÀNH CÔNG AGRI - MASTER FRUIT (Gel nâu đen) - 20L - 1</v>
      </c>
      <c r="E2616" s="87" t="str">
        <f>IFERROR(__xludf.DUMMYFUNCTION("""COMPUTED_VALUE"""),"Vi lượng Quantity New")</f>
        <v>Vi lượng Quantity New</v>
      </c>
      <c r="F2616" s="87" t="str">
        <f>IFERROR(__xludf.DUMMYFUNCTION("""COMPUTED_VALUE"""),"HH1997")</f>
        <v>HH1997</v>
      </c>
      <c r="G2616" s="87" t="str">
        <f>IFERROR(__xludf.DUMMYFUNCTION("""COMPUTED_VALUE"""),"GC - II - 1997 - THÀNH CÔNG AGRI - MASTER FRUIT (Gel nâu đen) - 20L - 1")</f>
        <v>GC - II - 1997 - THÀNH CÔNG AGRI - MASTER FRUIT (Gel nâu đen) - 20L - 1</v>
      </c>
    </row>
    <row r="2617">
      <c r="A2617" s="86">
        <f>IFERROR(__xludf.DUMMYFUNCTION("""COMPUTED_VALUE"""),2615.0)</f>
        <v>2615</v>
      </c>
      <c r="B2617" s="87" t="str">
        <f>IFERROR(__xludf.DUMMYFUNCTION("""COMPUTED_VALUE"""),"Nhãn")</f>
        <v>Nhãn</v>
      </c>
      <c r="C2617" s="87" t="str">
        <f>IFERROR(__xludf.DUMMYFUNCTION("""COMPUTED_VALUE"""),"NTN1998")</f>
        <v>NTN1998</v>
      </c>
      <c r="D2617" s="87" t="str">
        <f>IFERROR(__xludf.DUMMYFUNCTION("""COMPUTED_VALUE"""),"[Nhãn] IDA Global  - I - 1998 - Tricylazole (drone) - 25gr - 300")</f>
        <v>[Nhãn] IDA Global  - I - 1998 - Tricylazole (drone) - 25gr - 300</v>
      </c>
      <c r="E2617" s="87" t="str">
        <f>IFERROR(__xludf.DUMMYFUNCTION("""COMPUTED_VALUE"""),"Pim.Pim 75WP")</f>
        <v>Pim.Pim 75WP</v>
      </c>
      <c r="F2617" s="87" t="str">
        <f>IFERROR(__xludf.DUMMYFUNCTION("""COMPUTED_VALUE"""),"HH1998")</f>
        <v>HH1998</v>
      </c>
      <c r="G2617" s="87" t="str">
        <f>IFERROR(__xludf.DUMMYFUNCTION("""COMPUTED_VALUE"""),"IDA Global  - I - 1998 - Tricylazole (drone) - 25gr - 300")</f>
        <v>IDA Global  - I - 1998 - Tricylazole (drone) - 25gr - 300</v>
      </c>
    </row>
    <row r="2618">
      <c r="A2618" s="86">
        <f>IFERROR(__xludf.DUMMYFUNCTION("""COMPUTED_VALUE"""),2616.0)</f>
        <v>2616</v>
      </c>
      <c r="B2618" s="87" t="str">
        <f>IFERROR(__xludf.DUMMYFUNCTION("""COMPUTED_VALUE"""),"Nhãn")</f>
        <v>Nhãn</v>
      </c>
      <c r="C2618" s="87" t="str">
        <f>IFERROR(__xludf.DUMMYFUNCTION("""COMPUTED_VALUE"""),"NTN1999")</f>
        <v>NTN1999</v>
      </c>
      <c r="D2618" s="87" t="str">
        <f>IFERROR(__xludf.DUMMYFUNCTION("""COMPUTED_VALUE"""),"[Nhãn] IDA Global  - I - 1999 - Tricylazole (drone) - 35gr - 300")</f>
        <v>[Nhãn] IDA Global  - I - 1999 - Tricylazole (drone) - 35gr - 300</v>
      </c>
      <c r="E2618" s="87" t="str">
        <f>IFERROR(__xludf.DUMMYFUNCTION("""COMPUTED_VALUE"""),"Pim.Pim 75WP")</f>
        <v>Pim.Pim 75WP</v>
      </c>
      <c r="F2618" s="87" t="str">
        <f>IFERROR(__xludf.DUMMYFUNCTION("""COMPUTED_VALUE"""),"HH1999")</f>
        <v>HH1999</v>
      </c>
      <c r="G2618" s="87" t="str">
        <f>IFERROR(__xludf.DUMMYFUNCTION("""COMPUTED_VALUE"""),"IDA Global  - I - 1999 - Tricylazole (drone) - 35gr - 300")</f>
        <v>IDA Global  - I - 1999 - Tricylazole (drone) - 35gr - 300</v>
      </c>
    </row>
    <row r="2619">
      <c r="A2619" s="86">
        <f>IFERROR(__xludf.DUMMYFUNCTION("""COMPUTED_VALUE"""),2617.0)</f>
        <v>2617</v>
      </c>
      <c r="B2619" s="87" t="str">
        <f>IFERROR(__xludf.DUMMYFUNCTION("""COMPUTED_VALUE"""),"Nhãn")</f>
        <v>Nhãn</v>
      </c>
      <c r="C2619" s="87" t="str">
        <f>IFERROR(__xludf.DUMMYFUNCTION("""COMPUTED_VALUE"""),"NTN2000")</f>
        <v>NTN2000</v>
      </c>
      <c r="D2619" s="87" t="str">
        <f>IFERROR(__xludf.DUMMYFUNCTION("""COMPUTED_VALUE"""),"[Nhãn]  IDA Global - I - 2000 -Tricyclazole (Drone) - 100gr - 100")</f>
        <v>[Nhãn]  IDA Global - I - 2000 -Tricyclazole (Drone) - 100gr - 100</v>
      </c>
      <c r="E2619" s="87" t="str">
        <f>IFERROR(__xludf.DUMMYFUNCTION("""COMPUTED_VALUE"""),"Pim.Pim 75WP")</f>
        <v>Pim.Pim 75WP</v>
      </c>
      <c r="F2619" s="87" t="str">
        <f>IFERROR(__xludf.DUMMYFUNCTION("""COMPUTED_VALUE"""),"HH2000")</f>
        <v>HH2000</v>
      </c>
      <c r="G2619" s="87" t="str">
        <f>IFERROR(__xludf.DUMMYFUNCTION("""COMPUTED_VALUE"""),"IDA Global - I - 2000 -Tricyclazole (Drone) - 100gr - 100")</f>
        <v>IDA Global - I - 2000 -Tricyclazole (Drone) - 100gr - 100</v>
      </c>
    </row>
    <row r="2620">
      <c r="A2620" s="86">
        <f>IFERROR(__xludf.DUMMYFUNCTION("""COMPUTED_VALUE"""),2618.0)</f>
        <v>2618</v>
      </c>
      <c r="B2620" s="87" t="str">
        <f>IFERROR(__xludf.DUMMYFUNCTION("""COMPUTED_VALUE"""),"Nhãn thùng")</f>
        <v>Nhãn thùng</v>
      </c>
      <c r="C2620" s="87" t="str">
        <f>IFERROR(__xludf.DUMMYFUNCTION("""COMPUTED_VALUE"""),"NDT2000")</f>
        <v>NDT2000</v>
      </c>
      <c r="D2620" s="87" t="str">
        <f>IFERROR(__xludf.DUMMYFUNCTION("""COMPUTED_VALUE"""),"[Nhãn thùng]  IDA Global - I - 2000 -Tricyclazole (Drone) - 100gr - 100")</f>
        <v>[Nhãn thùng]  IDA Global - I - 2000 -Tricyclazole (Drone) - 100gr - 100</v>
      </c>
      <c r="E2620" s="87" t="str">
        <f>IFERROR(__xludf.DUMMYFUNCTION("""COMPUTED_VALUE"""),"Pim.Pim 75WP")</f>
        <v>Pim.Pim 75WP</v>
      </c>
      <c r="F2620" s="87" t="str">
        <f>IFERROR(__xludf.DUMMYFUNCTION("""COMPUTED_VALUE"""),"HH2000")</f>
        <v>HH2000</v>
      </c>
      <c r="G2620" s="87" t="str">
        <f>IFERROR(__xludf.DUMMYFUNCTION("""COMPUTED_VALUE"""),"IDA Global - I - 2000 -Tricyclazole (Drone) - 100gr - 100")</f>
        <v>IDA Global - I - 2000 -Tricyclazole (Drone) - 100gr - 100</v>
      </c>
    </row>
    <row r="2621">
      <c r="A2621" s="86">
        <f>IFERROR(__xludf.DUMMYFUNCTION("""COMPUTED_VALUE"""),2619.0)</f>
        <v>2619</v>
      </c>
      <c r="B2621" s="87" t="str">
        <f>IFERROR(__xludf.DUMMYFUNCTION("""COMPUTED_VALUE"""),"Nhãn")</f>
        <v>Nhãn</v>
      </c>
      <c r="C2621" s="87" t="str">
        <f>IFERROR(__xludf.DUMMYFUNCTION("""COMPUTED_VALUE"""),"NHG2001")</f>
        <v>NHG2001</v>
      </c>
      <c r="D2621" s="87" t="str">
        <f>IFERROR(__xludf.DUMMYFUNCTION("""COMPUTED_VALUE"""),"[Nhãn] IDA Global - I - 2001 - Ếch vàng 200 (chai HD) - 200ml - 40")</f>
        <v>[Nhãn] IDA Global - I - 2001 - Ếch vàng 200 (chai HD) - 200ml - 40</v>
      </c>
      <c r="E2621" s="87" t="str">
        <f>IFERROR(__xludf.DUMMYFUNCTION("""COMPUTED_VALUE"""),"NEW FUZE 200SC")</f>
        <v>NEW FUZE 200SC</v>
      </c>
      <c r="F2621" s="87" t="str">
        <f>IFERROR(__xludf.DUMMYFUNCTION("""COMPUTED_VALUE"""),"HH2001")</f>
        <v>HH2001</v>
      </c>
      <c r="G2621" s="87" t="str">
        <f>IFERROR(__xludf.DUMMYFUNCTION("""COMPUTED_VALUE"""),"IDA Global - I - 2001 - Ếch vàng 200 (chai HD) - 200ml - 40")</f>
        <v>IDA Global - I - 2001 - Ếch vàng 200 (chai HD) - 200ml - 40</v>
      </c>
    </row>
    <row r="2622">
      <c r="A2622" s="86">
        <f>IFERROR(__xludf.DUMMYFUNCTION("""COMPUTED_VALUE"""),2620.0)</f>
        <v>2620</v>
      </c>
      <c r="B2622" s="87" t="str">
        <f>IFERROR(__xludf.DUMMYFUNCTION("""COMPUTED_VALUE"""),"Nhãn")</f>
        <v>Nhãn</v>
      </c>
      <c r="C2622" s="87" t="str">
        <f>IFERROR(__xludf.DUMMYFUNCTION("""COMPUTED_VALUE"""),"NHG2002")</f>
        <v>NHG2002</v>
      </c>
      <c r="D2622" s="87" t="str">
        <f>IFERROR(__xludf.DUMMYFUNCTION("""COMPUTED_VALUE"""),"[Nhãn] IDA Global - I - 2002 - Vatino Super 525SE (nước cam sữa) - 240ml - 40")</f>
        <v>[Nhãn] IDA Global - I - 2002 - Vatino Super 525SE (nước cam sữa) - 240ml - 40</v>
      </c>
      <c r="E2622" s="87" t="str">
        <f>IFERROR(__xludf.DUMMYFUNCTION("""COMPUTED_VALUE"""),"VATINO SUPER 525SE")</f>
        <v>VATINO SUPER 525SE</v>
      </c>
      <c r="F2622" s="87" t="str">
        <f>IFERROR(__xludf.DUMMYFUNCTION("""COMPUTED_VALUE"""),"HH2002")</f>
        <v>HH2002</v>
      </c>
      <c r="G2622" s="87" t="str">
        <f>IFERROR(__xludf.DUMMYFUNCTION("""COMPUTED_VALUE"""),"IDA Global - I - 2002 - Vatino Super 525SE (nước cam sữa) - 240ml - 40")</f>
        <v>IDA Global - I - 2002 - Vatino Super 525SE (nước cam sữa) - 240ml - 40</v>
      </c>
    </row>
    <row r="2623">
      <c r="A2623" s="86">
        <f>IFERROR(__xludf.DUMMYFUNCTION("""COMPUTED_VALUE"""),2621.0)</f>
        <v>2621</v>
      </c>
      <c r="B2623" s="87" t="str">
        <f>IFERROR(__xludf.DUMMYFUNCTION("""COMPUTED_VALUE"""),"HỘP")</f>
        <v>HỘP</v>
      </c>
      <c r="C2623" s="87" t="str">
        <f>IFERROR(__xludf.DUMMYFUNCTION("""COMPUTED_VALUE"""),"HOP2003")</f>
        <v>HOP2003</v>
      </c>
      <c r="D2623" s="87" t="str">
        <f>IFERROR(__xludf.DUMMYFUNCTION("""COMPUTED_VALUE"""),"[HOP] IDA Global - I - 2003 - Bimsuper 650SC (Drone) (nước hồng cam) - 240ml - 40")</f>
        <v>[HOP] IDA Global - I - 2003 - Bimsuper 650SC (Drone) (nước hồng cam) - 240ml - 40</v>
      </c>
      <c r="E2623" s="87" t="str">
        <f>IFERROR(__xludf.DUMMYFUNCTION("""COMPUTED_VALUE"""),"BIMSUPER 650SC")</f>
        <v>BIMSUPER 650SC</v>
      </c>
      <c r="F2623" s="87" t="str">
        <f>IFERROR(__xludf.DUMMYFUNCTION("""COMPUTED_VALUE"""),"HH2003")</f>
        <v>HH2003</v>
      </c>
      <c r="G2623" s="87" t="str">
        <f>IFERROR(__xludf.DUMMYFUNCTION("""COMPUTED_VALUE"""),"IDA Global - I - 2003 - Bimsuper 650SC (Drone) (nước hồng cam) - 240ml - 40")</f>
        <v>IDA Global - I - 2003 - Bimsuper 650SC (Drone) (nước hồng cam) - 240ml - 40</v>
      </c>
    </row>
    <row r="2624">
      <c r="A2624" s="86">
        <f>IFERROR(__xludf.DUMMYFUNCTION("""COMPUTED_VALUE"""),2622.0)</f>
        <v>2622</v>
      </c>
      <c r="B2624" s="87" t="str">
        <f>IFERROR(__xludf.DUMMYFUNCTION("""COMPUTED_VALUE"""),"Nhãn")</f>
        <v>Nhãn</v>
      </c>
      <c r="C2624" s="87" t="str">
        <f>IFERROR(__xludf.DUMMYFUNCTION("""COMPUTED_VALUE"""),"NHG2003")</f>
        <v>NHG2003</v>
      </c>
      <c r="D2624" s="87" t="str">
        <f>IFERROR(__xludf.DUMMYFUNCTION("""COMPUTED_VALUE"""),"[Nhãn] IDA Global - I - 2003 - Bimsuper 650SC (Drone) (nước hồng cam) - 240ml - 40")</f>
        <v>[Nhãn] IDA Global - I - 2003 - Bimsuper 650SC (Drone) (nước hồng cam) - 240ml - 40</v>
      </c>
      <c r="E2624" s="87" t="str">
        <f>IFERROR(__xludf.DUMMYFUNCTION("""COMPUTED_VALUE"""),"BIMSUPER 650SC")</f>
        <v>BIMSUPER 650SC</v>
      </c>
      <c r="F2624" s="87" t="str">
        <f>IFERROR(__xludf.DUMMYFUNCTION("""COMPUTED_VALUE"""),"HH2003")</f>
        <v>HH2003</v>
      </c>
      <c r="G2624" s="87" t="str">
        <f>IFERROR(__xludf.DUMMYFUNCTION("""COMPUTED_VALUE"""),"IDA Global - I - 2003 - Bimsuper 650SC (Drone) (nước hồng cam) - 240ml - 40")</f>
        <v>IDA Global - I - 2003 - Bimsuper 650SC (Drone) (nước hồng cam) - 240ml - 40</v>
      </c>
    </row>
    <row r="2625">
      <c r="A2625" s="86">
        <f>IFERROR(__xludf.DUMMYFUNCTION("""COMPUTED_VALUE"""),2623.0)</f>
        <v>2623</v>
      </c>
      <c r="B2625" s="87" t="str">
        <f>IFERROR(__xludf.DUMMYFUNCTION("""COMPUTED_VALUE"""),"Nhãn")</f>
        <v>Nhãn</v>
      </c>
      <c r="C2625" s="87" t="str">
        <f>IFERROR(__xludf.DUMMYFUNCTION("""COMPUTED_VALUE"""),"NHG2004")</f>
        <v>NHG2004</v>
      </c>
      <c r="D2625" s="87" t="str">
        <f>IFERROR(__xludf.DUMMYFUNCTION("""COMPUTED_VALUE"""),"[Nhãn] IDA Global - I - 2004 - IDA GENOL 1.2SL (nước đỏ) - 240ml - 40")</f>
        <v>[Nhãn] IDA Global - I - 2004 - IDA GENOL 1.2SL (nước đỏ) - 240ml - 40</v>
      </c>
      <c r="E2625" s="87" t="str">
        <f>IFERROR(__xludf.DUMMYFUNCTION("""COMPUTED_VALUE"""),"GENOL 1.2SL")</f>
        <v>GENOL 1.2SL</v>
      </c>
      <c r="F2625" s="87" t="str">
        <f>IFERROR(__xludf.DUMMYFUNCTION("""COMPUTED_VALUE"""),"HH2004")</f>
        <v>HH2004</v>
      </c>
      <c r="G2625" s="87" t="str">
        <f>IFERROR(__xludf.DUMMYFUNCTION("""COMPUTED_VALUE"""),"IDA Global - I - 2004 - IDA GENOL 1.2SL (nước đỏ) - 240ml - 40")</f>
        <v>IDA Global - I - 2004 - IDA GENOL 1.2SL (nước đỏ) - 240ml - 40</v>
      </c>
    </row>
    <row r="2626">
      <c r="A2626" s="86">
        <f>IFERROR(__xludf.DUMMYFUNCTION("""COMPUTED_VALUE"""),2624.0)</f>
        <v>2624</v>
      </c>
      <c r="B2626" s="87" t="str">
        <f>IFERROR(__xludf.DUMMYFUNCTION("""COMPUTED_VALUE"""),"HỘP")</f>
        <v>HỘP</v>
      </c>
      <c r="C2626" s="87" t="str">
        <f>IFERROR(__xludf.DUMMYFUNCTION("""COMPUTED_VALUE"""),"HOP2005")</f>
        <v>HOP2005</v>
      </c>
      <c r="D2626" s="87" t="str">
        <f>IFERROR(__xludf.DUMMYFUNCTION("""COMPUTED_VALUE"""),"[HOP] GC - IV - 2005 - Japan Crop Science - VUA RẦY TRẮNG (Nước vàng trà) - 400ml - 30")</f>
        <v>[HOP] GC - IV - 2005 - Japan Crop Science - VUA RẦY TRẮNG (Nước vàng trà) - 400ml - 30</v>
      </c>
      <c r="E2626" s="87" t="str">
        <f>IFERROR(__xludf.DUMMYFUNCTION("""COMPUTED_VALUE"""),"Thipro 550EC")</f>
        <v>Thipro 550EC</v>
      </c>
      <c r="F2626" s="87" t="str">
        <f>IFERROR(__xludf.DUMMYFUNCTION("""COMPUTED_VALUE"""),"HH2005")</f>
        <v>HH2005</v>
      </c>
      <c r="G2626" s="87" t="str">
        <f>IFERROR(__xludf.DUMMYFUNCTION("""COMPUTED_VALUE"""),"GC - IV - 2005 - Japan Crop Science - VUA RẦY TRẮNG (Nước vàng trà) - 400ml - 30")</f>
        <v>GC - IV - 2005 - Japan Crop Science - VUA RẦY TRẮNG (Nước vàng trà) - 400ml - 30</v>
      </c>
    </row>
    <row r="2627">
      <c r="A2627" s="86">
        <f>IFERROR(__xludf.DUMMYFUNCTION("""COMPUTED_VALUE"""),2625.0)</f>
        <v>2625</v>
      </c>
      <c r="B2627" s="87" t="str">
        <f>IFERROR(__xludf.DUMMYFUNCTION("""COMPUTED_VALUE"""),"Nhãn")</f>
        <v>Nhãn</v>
      </c>
      <c r="C2627" s="87" t="str">
        <f>IFERROR(__xludf.DUMMYFUNCTION("""COMPUTED_VALUE"""),"NHG2005")</f>
        <v>NHG2005</v>
      </c>
      <c r="D2627" s="87" t="str">
        <f>IFERROR(__xludf.DUMMYFUNCTION("""COMPUTED_VALUE"""),"[Nhãn] GC - IV - 2005 - Japan Crop Science - VUA RẦY TRẮNG (Nước vàng trà) - 400ml - 30")</f>
        <v>[Nhãn] GC - IV - 2005 - Japan Crop Science - VUA RẦY TRẮNG (Nước vàng trà) - 400ml - 30</v>
      </c>
      <c r="E2627" s="87" t="str">
        <f>IFERROR(__xludf.DUMMYFUNCTION("""COMPUTED_VALUE"""),"Thipro 550EC")</f>
        <v>Thipro 550EC</v>
      </c>
      <c r="F2627" s="87" t="str">
        <f>IFERROR(__xludf.DUMMYFUNCTION("""COMPUTED_VALUE"""),"HH2005")</f>
        <v>HH2005</v>
      </c>
      <c r="G2627" s="87" t="str">
        <f>IFERROR(__xludf.DUMMYFUNCTION("""COMPUTED_VALUE"""),"GC - IV - 2005 - Japan Crop Science - VUA RẦY TRẮNG (Nước vàng trà) - 400ml - 30")</f>
        <v>GC - IV - 2005 - Japan Crop Science - VUA RẦY TRẮNG (Nước vàng trà) - 400ml - 30</v>
      </c>
    </row>
    <row r="2628">
      <c r="A2628" s="86">
        <f>IFERROR(__xludf.DUMMYFUNCTION("""COMPUTED_VALUE"""),2626.0)</f>
        <v>2626</v>
      </c>
      <c r="B2628" s="87" t="str">
        <f>IFERROR(__xludf.DUMMYFUNCTION("""COMPUTED_VALUE"""),"Nhãn")</f>
        <v>Nhãn</v>
      </c>
      <c r="C2628" s="87" t="str">
        <f>IFERROR(__xludf.DUMMYFUNCTION("""COMPUTED_VALUE"""),"NHG2006")</f>
        <v>NHG2006</v>
      </c>
      <c r="D2628" s="87" t="str">
        <f>IFERROR(__xludf.DUMMYFUNCTION("""COMPUTED_VALUE"""),"[Nhãn] GC - IV - 2006 - Cty Hóa Nông Shino - S-9999 (Nước tím) - 250ml - 40")</f>
        <v>[Nhãn] GC - IV - 2006 - Cty Hóa Nông Shino - S-9999 (Nước tím) - 250ml - 40</v>
      </c>
      <c r="E2628" s="87" t="str">
        <f>IFERROR(__xludf.DUMMYFUNCTION("""COMPUTED_VALUE"""),"Thipro 550EC")</f>
        <v>Thipro 550EC</v>
      </c>
      <c r="F2628" s="87" t="str">
        <f>IFERROR(__xludf.DUMMYFUNCTION("""COMPUTED_VALUE"""),"HH2006")</f>
        <v>HH2006</v>
      </c>
      <c r="G2628" s="87" t="str">
        <f>IFERROR(__xludf.DUMMYFUNCTION("""COMPUTED_VALUE"""),"GC - IV - 2006 - Cty Hóa Nông Shino - S-9999 (Nước tím) - 250ml - 40")</f>
        <v>GC - IV - 2006 - Cty Hóa Nông Shino - S-9999 (Nước tím) - 250ml - 40</v>
      </c>
    </row>
    <row r="2629">
      <c r="A2629" s="86">
        <f>IFERROR(__xludf.DUMMYFUNCTION("""COMPUTED_VALUE"""),2627.0)</f>
        <v>2627</v>
      </c>
      <c r="B2629" s="87" t="str">
        <f>IFERROR(__xludf.DUMMYFUNCTION("""COMPUTED_VALUE"""),"Nhãn")</f>
        <v>Nhãn</v>
      </c>
      <c r="C2629" s="87" t="str">
        <f>IFERROR(__xludf.DUMMYFUNCTION("""COMPUTED_VALUE"""),"NHG2007")</f>
        <v>NHG2007</v>
      </c>
      <c r="D2629" s="87" t="str">
        <f>IFERROR(__xludf.DUMMYFUNCTION("""COMPUTED_VALUE"""),"[Nhãn] GC - II - 2007 - ĐL PHONG HẢI - ĐẠO ÔN SỐ 1 (Nước cam sữa) - 400ml - 40")</f>
        <v>[Nhãn] GC - II - 2007 - ĐL PHONG HẢI - ĐẠO ÔN SỐ 1 (Nước cam sữa) - 400ml - 40</v>
      </c>
      <c r="E2629" s="87" t="str">
        <f>IFERROR(__xludf.DUMMYFUNCTION("""COMPUTED_VALUE"""),"AMILAN 300SC")</f>
        <v>AMILAN 300SC</v>
      </c>
      <c r="F2629" s="87" t="str">
        <f>IFERROR(__xludf.DUMMYFUNCTION("""COMPUTED_VALUE"""),"HH2007")</f>
        <v>HH2007</v>
      </c>
      <c r="G2629" s="87" t="str">
        <f>IFERROR(__xludf.DUMMYFUNCTION("""COMPUTED_VALUE"""),"GC - II - 2007 - ĐL PHONG HẢI - ĐẠO ÔN SỐ 1 (Nước cam sữa) - 400ml - 40")</f>
        <v>GC - II - 2007 - ĐL PHONG HẢI - ĐẠO ÔN SỐ 1 (Nước cam sữa) - 400ml - 40</v>
      </c>
    </row>
    <row r="2630">
      <c r="A2630" s="86">
        <f>IFERROR(__xludf.DUMMYFUNCTION("""COMPUTED_VALUE"""),2628.0)</f>
        <v>2628</v>
      </c>
      <c r="B2630" s="87" t="str">
        <f>IFERROR(__xludf.DUMMYFUNCTION("""COMPUTED_VALUE"""),"Nhãn")</f>
        <v>Nhãn</v>
      </c>
      <c r="C2630" s="87" t="str">
        <f>IFERROR(__xludf.DUMMYFUNCTION("""COMPUTED_VALUE"""),"NHG2008")</f>
        <v>NHG2008</v>
      </c>
      <c r="D2630" s="87" t="str">
        <f>IFERROR(__xludf.DUMMYFUNCTION("""COMPUTED_VALUE"""),"[Nhãn] GC - IV - 2008 - CTY NÔNG HÓA XANH - Ninja Pro (Nước tím) - 240ml - 40")</f>
        <v>[Nhãn] GC - IV - 2008 - CTY NÔNG HÓA XANH - Ninja Pro (Nước tím) - 240ml - 40</v>
      </c>
      <c r="E2630" s="87" t="str">
        <f>IFERROR(__xludf.DUMMYFUNCTION("""COMPUTED_VALUE"""),"Thipro 550EC")</f>
        <v>Thipro 550EC</v>
      </c>
      <c r="F2630" s="87" t="str">
        <f>IFERROR(__xludf.DUMMYFUNCTION("""COMPUTED_VALUE"""),"HH2008")</f>
        <v>HH2008</v>
      </c>
      <c r="G2630" s="87" t="str">
        <f>IFERROR(__xludf.DUMMYFUNCTION("""COMPUTED_VALUE"""),"GC - IV - 2008 - CTY NÔNG HÓA XANH - Ninja Pro (Nước tím) - 240ml - 40")</f>
        <v>GC - IV - 2008 - CTY NÔNG HÓA XANH - Ninja Pro (Nước tím) - 240ml - 40</v>
      </c>
    </row>
    <row r="2631">
      <c r="A2631" s="86">
        <f>IFERROR(__xludf.DUMMYFUNCTION("""COMPUTED_VALUE"""),2629.0)</f>
        <v>2629</v>
      </c>
      <c r="B2631" s="87" t="str">
        <f>IFERROR(__xludf.DUMMYFUNCTION("""COMPUTED_VALUE"""),"Nhãn")</f>
        <v>Nhãn</v>
      </c>
      <c r="C2631" s="87" t="str">
        <f>IFERROR(__xludf.DUMMYFUNCTION("""COMPUTED_VALUE"""),"NHG2009")</f>
        <v>NHG2009</v>
      </c>
      <c r="D2631" s="87" t="str">
        <f>IFERROR(__xludf.DUMMYFUNCTION("""COMPUTED_VALUE"""),"[Nhãn] GC - IV - 2009 - CTY NÔNG HÓA XANH - STOPS (Nước tím) - 450ml - 40")</f>
        <v>[Nhãn] GC - IV - 2009 - CTY NÔNG HÓA XANH - STOPS (Nước tím) - 450ml - 40</v>
      </c>
      <c r="E2631" s="87" t="str">
        <f>IFERROR(__xludf.DUMMYFUNCTION("""COMPUTED_VALUE"""),"ABASBA 50EC")</f>
        <v>ABASBA 50EC</v>
      </c>
      <c r="F2631" s="87" t="str">
        <f>IFERROR(__xludf.DUMMYFUNCTION("""COMPUTED_VALUE"""),"HH2009")</f>
        <v>HH2009</v>
      </c>
      <c r="G2631" s="87" t="str">
        <f>IFERROR(__xludf.DUMMYFUNCTION("""COMPUTED_VALUE"""),"GC - IV - 2009 - CTY NÔNG HÓA XANH - STOPS (Nước tím) - 450ml - 40")</f>
        <v>GC - IV - 2009 - CTY NÔNG HÓA XANH - STOPS (Nước tím) - 450ml - 40</v>
      </c>
    </row>
    <row r="2632">
      <c r="A2632" s="86">
        <f>IFERROR(__xludf.DUMMYFUNCTION("""COMPUTED_VALUE"""),2630.0)</f>
        <v>2630</v>
      </c>
      <c r="B2632" s="87" t="str">
        <f>IFERROR(__xludf.DUMMYFUNCTION("""COMPUTED_VALUE"""),"Nhãn")</f>
        <v>Nhãn</v>
      </c>
      <c r="C2632" s="87" t="str">
        <f>IFERROR(__xludf.DUMMYFUNCTION("""COMPUTED_VALUE"""),"NHD2010")</f>
        <v>NHD2010</v>
      </c>
      <c r="D2632" s="87" t="str">
        <f>IFERROR(__xludf.DUMMYFUNCTION("""COMPUTED_VALUE"""),"#N/A")</f>
        <v>#N/A</v>
      </c>
      <c r="E2632" s="87"/>
      <c r="F2632" s="87" t="str">
        <f>IFERROR(__xludf.DUMMYFUNCTION("""COMPUTED_VALUE"""),"HH2010")</f>
        <v>HH2010</v>
      </c>
      <c r="G2632" s="87"/>
    </row>
    <row r="2633">
      <c r="A2633" s="86">
        <f>IFERROR(__xludf.DUMMYFUNCTION("""COMPUTED_VALUE"""),2631.0)</f>
        <v>2631</v>
      </c>
      <c r="B2633" s="87" t="str">
        <f>IFERROR(__xludf.DUMMYFUNCTION("""COMPUTED_VALUE"""),"Nhãn")</f>
        <v>Nhãn</v>
      </c>
      <c r="C2633" s="87" t="str">
        <f>IFERROR(__xludf.DUMMYFUNCTION("""COMPUTED_VALUE"""),"NTN2011")</f>
        <v>NTN2011</v>
      </c>
      <c r="D2633" s="87" t="str">
        <f>IFERROR(__xludf.DUMMYFUNCTION("""COMPUTED_VALUE"""),"[Nhãn]  GC - IV - 2011 - CTY NÔNG HÓA XANH - RODIMIL GOLD (Bột Vàng) - 1kg - 20")</f>
        <v>[Nhãn]  GC - IV - 2011 - CTY NÔNG HÓA XANH - RODIMIL GOLD (Bột Vàng) - 1kg - 20</v>
      </c>
      <c r="E2633" s="87" t="str">
        <f>IFERROR(__xludf.DUMMYFUNCTION("""COMPUTED_VALUE"""),"FORTAZEB 72WP")</f>
        <v>FORTAZEB 72WP</v>
      </c>
      <c r="F2633" s="87" t="str">
        <f>IFERROR(__xludf.DUMMYFUNCTION("""COMPUTED_VALUE"""),"HH2011")</f>
        <v>HH2011</v>
      </c>
      <c r="G2633" s="87" t="str">
        <f>IFERROR(__xludf.DUMMYFUNCTION("""COMPUTED_VALUE"""),"GC - IV - 2011 - CTY NÔNG HÓA XANH - RODIMIL GOLD (Bột Vàng) - 1kg - 20")</f>
        <v>GC - IV - 2011 - CTY NÔNG HÓA XANH - RODIMIL GOLD (Bột Vàng) - 1kg - 20</v>
      </c>
    </row>
    <row r="2634">
      <c r="A2634" s="86">
        <f>IFERROR(__xludf.DUMMYFUNCTION("""COMPUTED_VALUE"""),2632.0)</f>
        <v>2632</v>
      </c>
      <c r="B2634" s="87" t="str">
        <f>IFERROR(__xludf.DUMMYFUNCTION("""COMPUTED_VALUE"""),"Nhãn thùng")</f>
        <v>Nhãn thùng</v>
      </c>
      <c r="C2634" s="87" t="str">
        <f>IFERROR(__xludf.DUMMYFUNCTION("""COMPUTED_VALUE"""),"NDT2011")</f>
        <v>NDT2011</v>
      </c>
      <c r="D2634" s="87" t="str">
        <f>IFERROR(__xludf.DUMMYFUNCTION("""COMPUTED_VALUE"""),"[Nhãn thùng]  GC - IV - 2011 - CTY NÔNG HÓA XANH - RODIMIL GOLD (Bột Vàng) - 1kg - 20")</f>
        <v>[Nhãn thùng]  GC - IV - 2011 - CTY NÔNG HÓA XANH - RODIMIL GOLD (Bột Vàng) - 1kg - 20</v>
      </c>
      <c r="E2634" s="87" t="str">
        <f>IFERROR(__xludf.DUMMYFUNCTION("""COMPUTED_VALUE"""),"FORTAZEB 72WP")</f>
        <v>FORTAZEB 72WP</v>
      </c>
      <c r="F2634" s="87" t="str">
        <f>IFERROR(__xludf.DUMMYFUNCTION("""COMPUTED_VALUE"""),"HH2011")</f>
        <v>HH2011</v>
      </c>
      <c r="G2634" s="87" t="str">
        <f>IFERROR(__xludf.DUMMYFUNCTION("""COMPUTED_VALUE"""),"GC - IV - 2011 - CTY NÔNG HÓA XANH - RODIMIL GOLD (Bột Vàng) - 1kg - 20")</f>
        <v>GC - IV - 2011 - CTY NÔNG HÓA XANH - RODIMIL GOLD (Bột Vàng) - 1kg - 20</v>
      </c>
    </row>
    <row r="2635">
      <c r="A2635" s="86">
        <f>IFERROR(__xludf.DUMMYFUNCTION("""COMPUTED_VALUE"""),2633.0)</f>
        <v>2633</v>
      </c>
      <c r="B2635" s="87" t="str">
        <f>IFERROR(__xludf.DUMMYFUNCTION("""COMPUTED_VALUE"""),"Nhãn")</f>
        <v>Nhãn</v>
      </c>
      <c r="C2635" s="87" t="str">
        <f>IFERROR(__xludf.DUMMYFUNCTION("""COMPUTED_VALUE"""),"NHG2012")</f>
        <v>NHG2012</v>
      </c>
      <c r="D2635" s="87" t="str">
        <f>IFERROR(__xludf.DUMMYFUNCTION("""COMPUTED_VALUE"""),"[Nhãn] GC - IV - 2012 - Japan Crop Science - VUA RẦY TRẮNG (Nước vàng trà) - 400ml - 40")</f>
        <v>[Nhãn] GC - IV - 2012 - Japan Crop Science - VUA RẦY TRẮNG (Nước vàng trà) - 400ml - 40</v>
      </c>
      <c r="E2635" s="87" t="str">
        <f>IFERROR(__xludf.DUMMYFUNCTION("""COMPUTED_VALUE"""),"Thipro 550EC")</f>
        <v>Thipro 550EC</v>
      </c>
      <c r="F2635" s="87" t="str">
        <f>IFERROR(__xludf.DUMMYFUNCTION("""COMPUTED_VALUE"""),"HH2012")</f>
        <v>HH2012</v>
      </c>
      <c r="G2635" s="87" t="str">
        <f>IFERROR(__xludf.DUMMYFUNCTION("""COMPUTED_VALUE"""),"GC - IV - 2012 - Japan Crop Science - VUA RẦY TRẮNG (Nước vàng trà) - 400ml - 40")</f>
        <v>GC - IV - 2012 - Japan Crop Science - VUA RẦY TRẮNG (Nước vàng trà) - 400ml - 40</v>
      </c>
    </row>
    <row r="2636">
      <c r="A2636" s="86">
        <f>IFERROR(__xludf.DUMMYFUNCTION("""COMPUTED_VALUE"""),2634.0)</f>
        <v>2634</v>
      </c>
      <c r="B2636" s="87" t="str">
        <f>IFERROR(__xludf.DUMMYFUNCTION("""COMPUTED_VALUE"""),"Nhãn")</f>
        <v>Nhãn</v>
      </c>
      <c r="C2636" s="87" t="str">
        <f>IFERROR(__xludf.DUMMYFUNCTION("""COMPUTED_VALUE"""),"NHG2013")</f>
        <v>NHG2013</v>
      </c>
      <c r="D2636" s="87" t="str">
        <f>IFERROR(__xludf.DUMMYFUNCTION("""COMPUTED_VALUE"""),"[Nhãn] GC - II - 2013 - GC.NANOFISH - ARI PH (nước nâu đen) - 1L - 20")</f>
        <v>[Nhãn] GC - II - 2013 - GC.NANOFISH - ARI PH (nước nâu đen) - 1L - 20</v>
      </c>
      <c r="E2636" s="87" t="str">
        <f>IFERROR(__xludf.DUMMYFUNCTION("""COMPUTED_VALUE"""),"Hữu cơ SH Agro Organic Fertilizer 20")</f>
        <v>Hữu cơ SH Agro Organic Fertilizer 20</v>
      </c>
      <c r="F2636" s="87" t="str">
        <f>IFERROR(__xludf.DUMMYFUNCTION("""COMPUTED_VALUE"""),"HH2013")</f>
        <v>HH2013</v>
      </c>
      <c r="G2636" s="87" t="str">
        <f>IFERROR(__xludf.DUMMYFUNCTION("""COMPUTED_VALUE"""),"GC - II - 2013 - GC.NANOFISH - ARI PH (nước nâu đen) - 1L - 20")</f>
        <v>GC - II - 2013 - GC.NANOFISH - ARI PH (nước nâu đen) - 1L - 20</v>
      </c>
    </row>
    <row r="2637">
      <c r="A2637" s="86">
        <f>IFERROR(__xludf.DUMMYFUNCTION("""COMPUTED_VALUE"""),2635.0)</f>
        <v>2635</v>
      </c>
      <c r="B2637" s="87" t="str">
        <f>IFERROR(__xludf.DUMMYFUNCTION("""COMPUTED_VALUE"""),"Nhãn")</f>
        <v>Nhãn</v>
      </c>
      <c r="C2637" s="87" t="str">
        <f>IFERROR(__xludf.DUMMYFUNCTION("""COMPUTED_VALUE"""),"NHG2014")</f>
        <v>NHG2014</v>
      </c>
      <c r="D2637" s="87" t="str">
        <f>IFERROR(__xludf.DUMMYFUNCTION("""COMPUTED_VALUE"""),"[Nhãn] GC - IV - 2014 - Cty NN Hoa Kỳ - MÃNH TƯỚNG DIỆT RẦY THIPRO (Nước tím) - 250ml - 40")</f>
        <v>[Nhãn] GC - IV - 2014 - Cty NN Hoa Kỳ - MÃNH TƯỚNG DIỆT RẦY THIPRO (Nước tím) - 250ml - 40</v>
      </c>
      <c r="E2637" s="87" t="str">
        <f>IFERROR(__xludf.DUMMYFUNCTION("""COMPUTED_VALUE"""),"Thipro 550EC")</f>
        <v>Thipro 550EC</v>
      </c>
      <c r="F2637" s="87" t="str">
        <f>IFERROR(__xludf.DUMMYFUNCTION("""COMPUTED_VALUE"""),"HH2014")</f>
        <v>HH2014</v>
      </c>
      <c r="G2637" s="87" t="str">
        <f>IFERROR(__xludf.DUMMYFUNCTION("""COMPUTED_VALUE"""),"GC - IV - 2014 - Cty NN Hoa Kỳ - MÃNH TƯỚNG DIỆT RẦY THIPRO (Nước tím) - 250ml - 40")</f>
        <v>GC - IV - 2014 - Cty NN Hoa Kỳ - MÃNH TƯỚNG DIỆT RẦY THIPRO (Nước tím) - 250ml - 40</v>
      </c>
    </row>
    <row r="2638">
      <c r="A2638" s="86">
        <f>IFERROR(__xludf.DUMMYFUNCTION("""COMPUTED_VALUE"""),2636.0)</f>
        <v>2636</v>
      </c>
      <c r="B2638" s="87" t="str">
        <f>IFERROR(__xludf.DUMMYFUNCTION("""COMPUTED_VALUE"""),"Nhãn")</f>
        <v>Nhãn</v>
      </c>
      <c r="C2638" s="87" t="str">
        <f>IFERROR(__xludf.DUMMYFUNCTION("""COMPUTED_VALUE"""),"NHD2015")</f>
        <v>NHD2015</v>
      </c>
      <c r="D2638" s="87" t="str">
        <f>IFERROR(__xludf.DUMMYFUNCTION("""COMPUTED_VALUE"""),"[Nhãn] GC - IV - 2015 - CTY HOÀNG THẮNG - KING ROOT (Nước nâu đen) - 20L - 1")</f>
        <v>[Nhãn] GC - IV - 2015 - CTY HOÀNG THẮNG - KING ROOT (Nước nâu đen) - 20L - 1</v>
      </c>
      <c r="E2638" s="87" t="str">
        <f>IFERROR(__xludf.DUMMYFUNCTION("""COMPUTED_VALUE"""),"Hữu cơ SH Agro Organic Fertilizer 20")</f>
        <v>Hữu cơ SH Agro Organic Fertilizer 20</v>
      </c>
      <c r="F2638" s="87" t="str">
        <f>IFERROR(__xludf.DUMMYFUNCTION("""COMPUTED_VALUE"""),"HH2015")</f>
        <v>HH2015</v>
      </c>
      <c r="G2638" s="87" t="str">
        <f>IFERROR(__xludf.DUMMYFUNCTION("""COMPUTED_VALUE"""),"GC - IV - 2015 - CTY HOÀNG THẮNG - KING ROOT (Nước nâu đen) - 20L - 1")</f>
        <v>GC - IV - 2015 - CTY HOÀNG THẮNG - KING ROOT (Nước nâu đen) - 20L - 1</v>
      </c>
    </row>
    <row r="2639">
      <c r="A2639" s="86">
        <f>IFERROR(__xludf.DUMMYFUNCTION("""COMPUTED_VALUE"""),2637.0)</f>
        <v>2637</v>
      </c>
      <c r="B2639" s="87" t="str">
        <f>IFERROR(__xludf.DUMMYFUNCTION("""COMPUTED_VALUE"""),"Nhãn")</f>
        <v>Nhãn</v>
      </c>
      <c r="C2639" s="87" t="str">
        <f>IFERROR(__xludf.DUMMYFUNCTION("""COMPUTED_VALUE"""),"NHG2016")</f>
        <v>NHG2016</v>
      </c>
      <c r="D2639" s="87" t="str">
        <f>IFERROR(__xludf.DUMMYFUNCTION("""COMPUTED_VALUE"""),"[Nhãn] GC - IV - 2016 - CTY HOÀNG THẮNG - SUPER COMBI (Nước xanh nõn chuối) - 250ml - 40")</f>
        <v>[Nhãn] GC - IV - 2016 - CTY HOÀNG THẮNG - SUPER COMBI (Nước xanh nõn chuối) - 250ml - 40</v>
      </c>
      <c r="E2639" s="87" t="str">
        <f>IFERROR(__xludf.DUMMYFUNCTION("""COMPUTED_VALUE"""),"Vi lượng Quantity New")</f>
        <v>Vi lượng Quantity New</v>
      </c>
      <c r="F2639" s="87" t="str">
        <f>IFERROR(__xludf.DUMMYFUNCTION("""COMPUTED_VALUE"""),"HH2016")</f>
        <v>HH2016</v>
      </c>
      <c r="G2639" s="87" t="str">
        <f>IFERROR(__xludf.DUMMYFUNCTION("""COMPUTED_VALUE"""),"GC - IV - 2016 - CTY HOÀNG THẮNG - SUPER COMBI (Nước xanh nõn chuối) - 250ml - 40")</f>
        <v>GC - IV - 2016 - CTY HOÀNG THẮNG - SUPER COMBI (Nước xanh nõn chuối) - 250ml - 40</v>
      </c>
    </row>
    <row r="2640">
      <c r="A2640" s="86">
        <f>IFERROR(__xludf.DUMMYFUNCTION("""COMPUTED_VALUE"""),2638.0)</f>
        <v>2638</v>
      </c>
      <c r="B2640" s="87" t="str">
        <f>IFERROR(__xludf.DUMMYFUNCTION("""COMPUTED_VALUE"""),"Nhãn")</f>
        <v>Nhãn</v>
      </c>
      <c r="C2640" s="87" t="str">
        <f>IFERROR(__xludf.DUMMYFUNCTION("""COMPUTED_VALUE"""),"NHG2017")</f>
        <v>NHG2017</v>
      </c>
      <c r="D2640" s="87" t="str">
        <f>IFERROR(__xludf.DUMMYFUNCTION("""COMPUTED_VALUE"""),"[Nhãn] GC - IV - 2017 - CTY HOÀNG THẮNG - ULTRA STEEL (Nước nâu đen) - 500ml - 40")</f>
        <v>[Nhãn] GC - IV - 2017 - CTY HOÀNG THẮNG - ULTRA STEEL (Nước nâu đen) - 500ml - 40</v>
      </c>
      <c r="E2640" s="87" t="str">
        <f>IFERROR(__xludf.DUMMYFUNCTION("""COMPUTED_VALUE"""),"Vi lượng Quantity New")</f>
        <v>Vi lượng Quantity New</v>
      </c>
      <c r="F2640" s="87" t="str">
        <f>IFERROR(__xludf.DUMMYFUNCTION("""COMPUTED_VALUE"""),"HH2017")</f>
        <v>HH2017</v>
      </c>
      <c r="G2640" s="87" t="str">
        <f>IFERROR(__xludf.DUMMYFUNCTION("""COMPUTED_VALUE"""),"GC - IV - 2017 - CTY HOÀNG THẮNG - ULTRA STEEL (Nước nâu đen) - 500ml - 40")</f>
        <v>GC - IV - 2017 - CTY HOÀNG THẮNG - ULTRA STEEL (Nước nâu đen) - 500ml - 40</v>
      </c>
    </row>
    <row r="2641">
      <c r="A2641" s="86">
        <f>IFERROR(__xludf.DUMMYFUNCTION("""COMPUTED_VALUE"""),2639.0)</f>
        <v>2639</v>
      </c>
      <c r="B2641" s="87" t="str">
        <f>IFERROR(__xludf.DUMMYFUNCTION("""COMPUTED_VALUE"""),"Nhãn")</f>
        <v>Nhãn</v>
      </c>
      <c r="C2641" s="87" t="str">
        <f>IFERROR(__xludf.DUMMYFUNCTION("""COMPUTED_VALUE"""),"NHG2018")</f>
        <v>NHG2018</v>
      </c>
      <c r="D2641" s="87" t="str">
        <f>IFERROR(__xludf.DUMMYFUNCTION("""COMPUTED_VALUE"""),"[Nhãn] GC - IV - 2018 - CTY HOÀNG THẮNG - BOCAXX GEL (Nước vàng) - 500ml - 40")</f>
        <v>[Nhãn] GC - IV - 2018 - CTY HOÀNG THẮNG - BOCAXX GEL (Nước vàng) - 500ml - 40</v>
      </c>
      <c r="E2641" s="87" t="str">
        <f>IFERROR(__xludf.DUMMYFUNCTION("""COMPUTED_VALUE"""),"Vi lượng Run Fast")</f>
        <v>Vi lượng Run Fast</v>
      </c>
      <c r="F2641" s="87" t="str">
        <f>IFERROR(__xludf.DUMMYFUNCTION("""COMPUTED_VALUE"""),"HH2018")</f>
        <v>HH2018</v>
      </c>
      <c r="G2641" s="87" t="str">
        <f>IFERROR(__xludf.DUMMYFUNCTION("""COMPUTED_VALUE"""),"GC - IV - 2018 - CTY HOÀNG THẮNG - BOCAXX GEL (Nước vàng) - 500ml - 40")</f>
        <v>GC - IV - 2018 - CTY HOÀNG THẮNG - BOCAXX GEL (Nước vàng) - 500ml - 40</v>
      </c>
    </row>
    <row r="2642">
      <c r="A2642" s="86">
        <f>IFERROR(__xludf.DUMMYFUNCTION("""COMPUTED_VALUE"""),2640.0)</f>
        <v>2640</v>
      </c>
      <c r="B2642" s="87" t="str">
        <f>IFERROR(__xludf.DUMMYFUNCTION("""COMPUTED_VALUE"""),"Nhãn")</f>
        <v>Nhãn</v>
      </c>
      <c r="C2642" s="87" t="str">
        <f>IFERROR(__xludf.DUMMYFUNCTION("""COMPUTED_VALUE"""),"NHG2019")</f>
        <v>NHG2019</v>
      </c>
      <c r="D2642" s="87" t="str">
        <f>IFERROR(__xludf.DUMMYFUNCTION("""COMPUTED_VALUE"""),"[Nhãn] GC - IV - 2019 - CTY HOÀNG THẮNG - AMILAN 300SC (Nước cam sữa) - 400ml - 40")</f>
        <v>[Nhãn] GC - IV - 2019 - CTY HOÀNG THẮNG - AMILAN 300SC (Nước cam sữa) - 400ml - 40</v>
      </c>
      <c r="E2642" s="87" t="str">
        <f>IFERROR(__xludf.DUMMYFUNCTION("""COMPUTED_VALUE"""),"AMILAN 300SC")</f>
        <v>AMILAN 300SC</v>
      </c>
      <c r="F2642" s="87" t="str">
        <f>IFERROR(__xludf.DUMMYFUNCTION("""COMPUTED_VALUE"""),"HH2019")</f>
        <v>HH2019</v>
      </c>
      <c r="G2642" s="87" t="str">
        <f>IFERROR(__xludf.DUMMYFUNCTION("""COMPUTED_VALUE"""),"GC - IV - 2019 - CTY HOÀNG THẮNG - AMILAN 300SC (Nước cam sữa) - 400ml - 40")</f>
        <v>GC - IV - 2019 - CTY HOÀNG THẮNG - AMILAN 300SC (Nước cam sữa) - 400ml - 40</v>
      </c>
    </row>
    <row r="2643">
      <c r="A2643" s="86">
        <f>IFERROR(__xludf.DUMMYFUNCTION("""COMPUTED_VALUE"""),2641.0)</f>
        <v>2641</v>
      </c>
      <c r="B2643" s="87" t="str">
        <f>IFERROR(__xludf.DUMMYFUNCTION("""COMPUTED_VALUE"""),"Nhãn")</f>
        <v>Nhãn</v>
      </c>
      <c r="C2643" s="87" t="str">
        <f>IFERROR(__xludf.DUMMYFUNCTION("""COMPUTED_VALUE"""),"NHG2020")</f>
        <v>NHG2020</v>
      </c>
      <c r="D2643" s="87" t="str">
        <f>IFERROR(__xludf.DUMMYFUNCTION("""COMPUTED_VALUE"""),"[Nhãn] GC - IV - 2020 - CTY HOÀNG THẮNG - GENOL 1.2SL (Nước đỏ) - 450ml - 40")</f>
        <v>[Nhãn] GC - IV - 2020 - CTY HOÀNG THẮNG - GENOL 1.2SL (Nước đỏ) - 450ml - 40</v>
      </c>
      <c r="E2643" s="87" t="str">
        <f>IFERROR(__xludf.DUMMYFUNCTION("""COMPUTED_VALUE"""),"GENOL 1.2SL")</f>
        <v>GENOL 1.2SL</v>
      </c>
      <c r="F2643" s="87" t="str">
        <f>IFERROR(__xludf.DUMMYFUNCTION("""COMPUTED_VALUE"""),"HH2020")</f>
        <v>HH2020</v>
      </c>
      <c r="G2643" s="87" t="str">
        <f>IFERROR(__xludf.DUMMYFUNCTION("""COMPUTED_VALUE"""),"GC - IV - 2020 - CTY HOÀNG THẮNG - GENOL 1.2SL (Nước đỏ) - 450ml - 40")</f>
        <v>GC - IV - 2020 - CTY HOÀNG THẮNG - GENOL 1.2SL (Nước đỏ) - 450ml - 40</v>
      </c>
    </row>
    <row r="2644">
      <c r="A2644" s="86">
        <f>IFERROR(__xludf.DUMMYFUNCTION("""COMPUTED_VALUE"""),2642.0)</f>
        <v>2642</v>
      </c>
      <c r="B2644" s="87" t="str">
        <f>IFERROR(__xludf.DUMMYFUNCTION("""COMPUTED_VALUE"""),"Nhãn")</f>
        <v>Nhãn</v>
      </c>
      <c r="C2644" s="87" t="str">
        <f>IFERROR(__xludf.DUMMYFUNCTION("""COMPUTED_VALUE"""),"NHG2021")</f>
        <v>NHG2021</v>
      </c>
      <c r="D2644" s="87" t="str">
        <f>IFERROR(__xludf.DUMMYFUNCTION("""COMPUTED_VALUE"""),"[Nhãn] GC - IV - 2021 - CTY HOÀNG THẮNG - NEW FUZE 200SC (Nước hồng) - 200ml - 40")</f>
        <v>[Nhãn] GC - IV - 2021 - CTY HOÀNG THẮNG - NEW FUZE 200SC (Nước hồng) - 200ml - 40</v>
      </c>
      <c r="E2644" s="87" t="str">
        <f>IFERROR(__xludf.DUMMYFUNCTION("""COMPUTED_VALUE"""),"NEW FUZE 200SC")</f>
        <v>NEW FUZE 200SC</v>
      </c>
      <c r="F2644" s="87" t="str">
        <f>IFERROR(__xludf.DUMMYFUNCTION("""COMPUTED_VALUE"""),"HH2021")</f>
        <v>HH2021</v>
      </c>
      <c r="G2644" s="87" t="str">
        <f>IFERROR(__xludf.DUMMYFUNCTION("""COMPUTED_VALUE"""),"GC - IV - 2021 - CTY HOÀNG THẮNG - NEW FUZE 200SC (Nước hồng) - 200ml - 40")</f>
        <v>GC - IV - 2021 - CTY HOÀNG THẮNG - NEW FUZE 200SC (Nước hồng) - 200ml - 40</v>
      </c>
    </row>
    <row r="2645">
      <c r="A2645" s="86">
        <f>IFERROR(__xludf.DUMMYFUNCTION("""COMPUTED_VALUE"""),2643.0)</f>
        <v>2643</v>
      </c>
      <c r="B2645" s="87" t="str">
        <f>IFERROR(__xludf.DUMMYFUNCTION("""COMPUTED_VALUE"""),"Nhãn thùng")</f>
        <v>Nhãn thùng</v>
      </c>
      <c r="C2645" s="87" t="str">
        <f>IFERROR(__xludf.DUMMYFUNCTION("""COMPUTED_VALUE"""),"NDT2021")</f>
        <v>NDT2021</v>
      </c>
      <c r="D2645" s="87" t="str">
        <f>IFERROR(__xludf.DUMMYFUNCTION("""COMPUTED_VALUE"""),"[Nhãn thùng] GC - IV - 2021 - CTY HOÀNG THẮNG - NEW FUZE 200SC (Nước hồng) - 200ml - 40")</f>
        <v>[Nhãn thùng] GC - IV - 2021 - CTY HOÀNG THẮNG - NEW FUZE 200SC (Nước hồng) - 200ml - 40</v>
      </c>
      <c r="E2645" s="87" t="str">
        <f>IFERROR(__xludf.DUMMYFUNCTION("""COMPUTED_VALUE"""),"NEW FUZE 200SC")</f>
        <v>NEW FUZE 200SC</v>
      </c>
      <c r="F2645" s="87" t="str">
        <f>IFERROR(__xludf.DUMMYFUNCTION("""COMPUTED_VALUE"""),"HH2021")</f>
        <v>HH2021</v>
      </c>
      <c r="G2645" s="87" t="str">
        <f>IFERROR(__xludf.DUMMYFUNCTION("""COMPUTED_VALUE"""),"GC - IV - 2021 - CTY HOÀNG THẮNG - NEW FUZE 200SC (Nước hồng) - 200ml - 40")</f>
        <v>GC - IV - 2021 - CTY HOÀNG THẮNG - NEW FUZE 200SC (Nước hồng) - 200ml - 40</v>
      </c>
    </row>
    <row r="2646">
      <c r="A2646" s="86">
        <f>IFERROR(__xludf.DUMMYFUNCTION("""COMPUTED_VALUE"""),2644.0)</f>
        <v>2644</v>
      </c>
      <c r="B2646" s="87" t="str">
        <f>IFERROR(__xludf.DUMMYFUNCTION("""COMPUTED_VALUE"""),"Nhãn")</f>
        <v>Nhãn</v>
      </c>
      <c r="C2646" s="87" t="str">
        <f>IFERROR(__xludf.DUMMYFUNCTION("""COMPUTED_VALUE"""),"NHG2022")</f>
        <v>NHG2022</v>
      </c>
      <c r="D2646" s="87" t="str">
        <f>IFERROR(__xludf.DUMMYFUNCTION("""COMPUTED_VALUE"""),"[Nhãn] GC - IV - 2022 - CTY HOÀNG THẮNG - NOFARA 350SC (Nước trắng sữa) - 250ml - 40")</f>
        <v>[Nhãn] GC - IV - 2022 - CTY HOÀNG THẮNG - NOFARA 350SC (Nước trắng sữa) - 250ml - 40</v>
      </c>
      <c r="E2646" s="87" t="str">
        <f>IFERROR(__xludf.DUMMYFUNCTION("""COMPUTED_VALUE"""),"NOFARA 350SC")</f>
        <v>NOFARA 350SC</v>
      </c>
      <c r="F2646" s="87" t="str">
        <f>IFERROR(__xludf.DUMMYFUNCTION("""COMPUTED_VALUE"""),"HH2022")</f>
        <v>HH2022</v>
      </c>
      <c r="G2646" s="87" t="str">
        <f>IFERROR(__xludf.DUMMYFUNCTION("""COMPUTED_VALUE"""),"GC - IV - 2022 - CTY HOÀNG THẮNG - NOFARA 350SC (Nước trắng sữa) - 250ml - 40")</f>
        <v>GC - IV - 2022 - CTY HOÀNG THẮNG - NOFARA 350SC (Nước trắng sữa) - 250ml - 40</v>
      </c>
    </row>
    <row r="2647">
      <c r="A2647" s="86">
        <f>IFERROR(__xludf.DUMMYFUNCTION("""COMPUTED_VALUE"""),2645.0)</f>
        <v>2645</v>
      </c>
      <c r="B2647" s="87" t="str">
        <f>IFERROR(__xludf.DUMMYFUNCTION("""COMPUTED_VALUE"""),"Nhãn")</f>
        <v>Nhãn</v>
      </c>
      <c r="C2647" s="87" t="str">
        <f>IFERROR(__xludf.DUMMYFUNCTION("""COMPUTED_VALUE"""),"NHG2023")</f>
        <v>NHG2023</v>
      </c>
      <c r="D2647" s="87" t="str">
        <f>IFERROR(__xludf.DUMMYFUNCTION("""COMPUTED_VALUE"""),"[Nhãn] IDA Global - I - 2023 - HITACO - PICO GOLD (nước hồng) - 200ml - 40")</f>
        <v>[Nhãn] IDA Global - I - 2023 - HITACO - PICO GOLD (nước hồng) - 200ml - 40</v>
      </c>
      <c r="E2647" s="87" t="str">
        <f>IFERROR(__xludf.DUMMYFUNCTION("""COMPUTED_VALUE"""),"PICOSUPER 280SC")</f>
        <v>PICOSUPER 280SC</v>
      </c>
      <c r="F2647" s="87" t="str">
        <f>IFERROR(__xludf.DUMMYFUNCTION("""COMPUTED_VALUE"""),"HH2023")</f>
        <v>HH2023</v>
      </c>
      <c r="G2647" s="87" t="str">
        <f>IFERROR(__xludf.DUMMYFUNCTION("""COMPUTED_VALUE"""),"IDA Global - I - 2023 - HITACO - PICO GOLD (nước hồng) - 200ml - 40")</f>
        <v>IDA Global - I - 2023 - HITACO - PICO GOLD (nước hồng) - 200ml - 40</v>
      </c>
    </row>
    <row r="2648">
      <c r="A2648" s="86">
        <f>IFERROR(__xludf.DUMMYFUNCTION("""COMPUTED_VALUE"""),2646.0)</f>
        <v>2646</v>
      </c>
      <c r="B2648" s="87" t="str">
        <f>IFERROR(__xludf.DUMMYFUNCTION("""COMPUTED_VALUE"""),"Nhãn")</f>
        <v>Nhãn</v>
      </c>
      <c r="C2648" s="87" t="str">
        <f>IFERROR(__xludf.DUMMYFUNCTION("""COMPUTED_VALUE"""),"NTN2023")</f>
        <v>NTN2023</v>
      </c>
      <c r="D2648" s="87" t="str">
        <f>IFERROR(__xludf.DUMMYFUNCTION("""COMPUTED_VALUE"""),"[Nhãn] IDA Global - I - 2023 - HITACO - PICO GOLD (nước hồng) - 200ml - 40")</f>
        <v>[Nhãn] IDA Global - I - 2023 - HITACO - PICO GOLD (nước hồng) - 200ml - 40</v>
      </c>
      <c r="E2648" s="87" t="str">
        <f>IFERROR(__xludf.DUMMYFUNCTION("""COMPUTED_VALUE"""),"PICOSUPER 280SC")</f>
        <v>PICOSUPER 280SC</v>
      </c>
      <c r="F2648" s="87" t="str">
        <f>IFERROR(__xludf.DUMMYFUNCTION("""COMPUTED_VALUE"""),"HH2023")</f>
        <v>HH2023</v>
      </c>
      <c r="G2648" s="87" t="str">
        <f>IFERROR(__xludf.DUMMYFUNCTION("""COMPUTED_VALUE"""),"IDA Global - I - 2023 - HITACO - PICO GOLD (nước hồng) - 200ml - 40")</f>
        <v>IDA Global - I - 2023 - HITACO - PICO GOLD (nước hồng) - 200ml - 40</v>
      </c>
    </row>
    <row r="2649">
      <c r="A2649" s="86">
        <f>IFERROR(__xludf.DUMMYFUNCTION("""COMPUTED_VALUE"""),2647.0)</f>
        <v>2647</v>
      </c>
      <c r="B2649" s="87" t="str">
        <f>IFERROR(__xludf.DUMMYFUNCTION("""COMPUTED_VALUE"""),"Nhãn")</f>
        <v>Nhãn</v>
      </c>
      <c r="C2649" s="87" t="str">
        <f>IFERROR(__xludf.DUMMYFUNCTION("""COMPUTED_VALUE"""),"NTN2024")</f>
        <v>NTN2024</v>
      </c>
      <c r="D2649" s="87" t="str">
        <f>IFERROR(__xludf.DUMMYFUNCTION("""COMPUTED_VALUE"""),"[Nhãn] GC - IV - 2024 - Khả Lâm - VD100 THAI (bột màu trắng) - 100gr - 150")</f>
        <v>[Nhãn] GC - IV - 2024 - Khả Lâm - VD100 THAI (bột màu trắng) - 100gr - 150</v>
      </c>
      <c r="E2649" s="87" t="str">
        <f>IFERROR(__xludf.DUMMYFUNCTION("""COMPUTED_VALUE"""),"IMIPRID 10WP")</f>
        <v>IMIPRID 10WP</v>
      </c>
      <c r="F2649" s="87" t="str">
        <f>IFERROR(__xludf.DUMMYFUNCTION("""COMPUTED_VALUE"""),"HH2024")</f>
        <v>HH2024</v>
      </c>
      <c r="G2649" s="87" t="str">
        <f>IFERROR(__xludf.DUMMYFUNCTION("""COMPUTED_VALUE"""),"GC - IV - 2024 - Khả Lâm - VD100 THAI (bột màu trắng) - 100gr - 150")</f>
        <v>GC - IV - 2024 - Khả Lâm - VD100 THAI (bột màu trắng) - 100gr - 150</v>
      </c>
    </row>
    <row r="2650">
      <c r="A2650" s="86">
        <f>IFERROR(__xludf.DUMMYFUNCTION("""COMPUTED_VALUE"""),2648.0)</f>
        <v>2648</v>
      </c>
      <c r="B2650" s="87" t="str">
        <f>IFERROR(__xludf.DUMMYFUNCTION("""COMPUTED_VALUE"""),"Nhãn thùng")</f>
        <v>Nhãn thùng</v>
      </c>
      <c r="C2650" s="87" t="str">
        <f>IFERROR(__xludf.DUMMYFUNCTION("""COMPUTED_VALUE"""),"NDT2024")</f>
        <v>NDT2024</v>
      </c>
      <c r="D2650" s="87" t="str">
        <f>IFERROR(__xludf.DUMMYFUNCTION("""COMPUTED_VALUE"""),"[Nhãn thùng] GC - IV - 2024 - Khả Lâm - VD100 THAI (bột màu trắng) - 100gr - 150")</f>
        <v>[Nhãn thùng] GC - IV - 2024 - Khả Lâm - VD100 THAI (bột màu trắng) - 100gr - 150</v>
      </c>
      <c r="E2650" s="87" t="str">
        <f>IFERROR(__xludf.DUMMYFUNCTION("""COMPUTED_VALUE"""),"IMIPRID 10WP")</f>
        <v>IMIPRID 10WP</v>
      </c>
      <c r="F2650" s="87" t="str">
        <f>IFERROR(__xludf.DUMMYFUNCTION("""COMPUTED_VALUE"""),"HH2024")</f>
        <v>HH2024</v>
      </c>
      <c r="G2650" s="87" t="str">
        <f>IFERROR(__xludf.DUMMYFUNCTION("""COMPUTED_VALUE"""),"GC - IV - 2024 - Khả Lâm - VD100 THAI (bột màu trắng) - 100gr - 150")</f>
        <v>GC - IV - 2024 - Khả Lâm - VD100 THAI (bột màu trắng) - 100gr - 150</v>
      </c>
    </row>
    <row r="2651">
      <c r="A2651" s="86">
        <f>IFERROR(__xludf.DUMMYFUNCTION("""COMPUTED_VALUE"""),2649.0)</f>
        <v>2649</v>
      </c>
      <c r="B2651" s="87" t="str">
        <f>IFERROR(__xludf.DUMMYFUNCTION("""COMPUTED_VALUE"""),"Nhãn")</f>
        <v>Nhãn</v>
      </c>
      <c r="C2651" s="87" t="str">
        <f>IFERROR(__xludf.DUMMYFUNCTION("""COMPUTED_VALUE"""),"NTN2025")</f>
        <v>NTN2025</v>
      </c>
      <c r="D2651" s="87" t="str">
        <f>IFERROR(__xludf.DUMMYFUNCTION("""COMPUTED_VALUE"""),"[Nhãn] GC - IV - 2025 - Khả Lâm - Imiida Thái (bột màu trắng) - 100gr - 150")</f>
        <v>[Nhãn] GC - IV - 2025 - Khả Lâm - Imiida Thái (bột màu trắng) - 100gr - 150</v>
      </c>
      <c r="E2651" s="87" t="str">
        <f>IFERROR(__xludf.DUMMYFUNCTION("""COMPUTED_VALUE"""),"IMIPRID 10WP")</f>
        <v>IMIPRID 10WP</v>
      </c>
      <c r="F2651" s="87" t="str">
        <f>IFERROR(__xludf.DUMMYFUNCTION("""COMPUTED_VALUE"""),"HH2025")</f>
        <v>HH2025</v>
      </c>
      <c r="G2651" s="87" t="str">
        <f>IFERROR(__xludf.DUMMYFUNCTION("""COMPUTED_VALUE"""),"GC - IV - 2025 - Khả Lâm - Imiida Thái (bột màu trắng) - 100gr - 150")</f>
        <v>GC - IV - 2025 - Khả Lâm - Imiida Thái (bột màu trắng) - 100gr - 150</v>
      </c>
    </row>
    <row r="2652">
      <c r="A2652" s="86">
        <f>IFERROR(__xludf.DUMMYFUNCTION("""COMPUTED_VALUE"""),2650.0)</f>
        <v>2650</v>
      </c>
      <c r="B2652" s="87" t="str">
        <f>IFERROR(__xludf.DUMMYFUNCTION("""COMPUTED_VALUE"""),"Nhãn thùng")</f>
        <v>Nhãn thùng</v>
      </c>
      <c r="C2652" s="87" t="str">
        <f>IFERROR(__xludf.DUMMYFUNCTION("""COMPUTED_VALUE"""),"NDT2025")</f>
        <v>NDT2025</v>
      </c>
      <c r="D2652" s="87" t="str">
        <f>IFERROR(__xludf.DUMMYFUNCTION("""COMPUTED_VALUE"""),"[Nhãn thùng] GC - IV - 2025 - Khả Lâm - Imiida Thái (bột màu trắng) - 100gr - 150")</f>
        <v>[Nhãn thùng] GC - IV - 2025 - Khả Lâm - Imiida Thái (bột màu trắng) - 100gr - 150</v>
      </c>
      <c r="E2652" s="87" t="str">
        <f>IFERROR(__xludf.DUMMYFUNCTION("""COMPUTED_VALUE"""),"IMIPRID 10WP")</f>
        <v>IMIPRID 10WP</v>
      </c>
      <c r="F2652" s="87" t="str">
        <f>IFERROR(__xludf.DUMMYFUNCTION("""COMPUTED_VALUE"""),"HH2025")</f>
        <v>HH2025</v>
      </c>
      <c r="G2652" s="87" t="str">
        <f>IFERROR(__xludf.DUMMYFUNCTION("""COMPUTED_VALUE"""),"GC - IV - 2025 - Khả Lâm - Imiida Thái (bột màu trắng) - 100gr - 150")</f>
        <v>GC - IV - 2025 - Khả Lâm - Imiida Thái (bột màu trắng) - 100gr - 150</v>
      </c>
    </row>
    <row r="2653">
      <c r="A2653" s="86">
        <f>IFERROR(__xludf.DUMMYFUNCTION("""COMPUTED_VALUE"""),2651.0)</f>
        <v>2651</v>
      </c>
      <c r="B2653" s="87" t="str">
        <f>IFERROR(__xludf.DUMMYFUNCTION("""COMPUTED_VALUE"""),"HỘP")</f>
        <v>HỘP</v>
      </c>
      <c r="C2653" s="87" t="str">
        <f>IFERROR(__xludf.DUMMYFUNCTION("""COMPUTED_VALUE"""),"HOP2026")</f>
        <v>HOP2026</v>
      </c>
      <c r="D2653" s="87" t="str">
        <f>IFERROR(__xludf.DUMMYFUNCTION("""COMPUTED_VALUE"""),"[HOP] GC - IV - 2026 - Japan Crop Science - VUA RẦY TRẮNG (Nước vàng trà) - 400ml - 30")</f>
        <v>[HOP] GC - IV - 2026 - Japan Crop Science - VUA RẦY TRẮNG (Nước vàng trà) - 400ml - 30</v>
      </c>
      <c r="E2653" s="87" t="str">
        <f>IFERROR(__xludf.DUMMYFUNCTION("""COMPUTED_VALUE"""),"Thipro 550EC")</f>
        <v>Thipro 550EC</v>
      </c>
      <c r="F2653" s="87" t="str">
        <f>IFERROR(__xludf.DUMMYFUNCTION("""COMPUTED_VALUE"""),"HH2026")</f>
        <v>HH2026</v>
      </c>
      <c r="G2653" s="87" t="str">
        <f>IFERROR(__xludf.DUMMYFUNCTION("""COMPUTED_VALUE"""),"GC - IV - 2026 - Japan Crop Science - VUA RẦY TRẮNG (Nước vàng trà) - 400ml - 30")</f>
        <v>GC - IV - 2026 - Japan Crop Science - VUA RẦY TRẮNG (Nước vàng trà) - 400ml - 30</v>
      </c>
    </row>
    <row r="2654">
      <c r="A2654" s="86">
        <f>IFERROR(__xludf.DUMMYFUNCTION("""COMPUTED_VALUE"""),2652.0)</f>
        <v>2652</v>
      </c>
      <c r="B2654" s="87" t="str">
        <f>IFERROR(__xludf.DUMMYFUNCTION("""COMPUTED_VALUE"""),"Nhãn")</f>
        <v>Nhãn</v>
      </c>
      <c r="C2654" s="87" t="str">
        <f>IFERROR(__xludf.DUMMYFUNCTION("""COMPUTED_VALUE"""),"NHG2026")</f>
        <v>NHG2026</v>
      </c>
      <c r="D2654" s="87" t="str">
        <f>IFERROR(__xludf.DUMMYFUNCTION("""COMPUTED_VALUE"""),"[Nhãn] GC - IV - 2026 - Japan Crop Science - VUA RẦY TRẮNG (Nước vàng trà) - 400ml - 30")</f>
        <v>[Nhãn] GC - IV - 2026 - Japan Crop Science - VUA RẦY TRẮNG (Nước vàng trà) - 400ml - 30</v>
      </c>
      <c r="E2654" s="87" t="str">
        <f>IFERROR(__xludf.DUMMYFUNCTION("""COMPUTED_VALUE"""),"Thipro 550EC")</f>
        <v>Thipro 550EC</v>
      </c>
      <c r="F2654" s="87" t="str">
        <f>IFERROR(__xludf.DUMMYFUNCTION("""COMPUTED_VALUE"""),"HH2026")</f>
        <v>HH2026</v>
      </c>
      <c r="G2654" s="87" t="str">
        <f>IFERROR(__xludf.DUMMYFUNCTION("""COMPUTED_VALUE"""),"GC - IV - 2026 - Japan Crop Science - VUA RẦY TRẮNG (Nước vàng trà) - 400ml - 30")</f>
        <v>GC - IV - 2026 - Japan Crop Science - VUA RẦY TRẮNG (Nước vàng trà) - 400ml - 30</v>
      </c>
    </row>
    <row r="2655">
      <c r="A2655" s="86">
        <f>IFERROR(__xludf.DUMMYFUNCTION("""COMPUTED_VALUE"""),2653.0)</f>
        <v>2653</v>
      </c>
      <c r="B2655" s="87" t="str">
        <f>IFERROR(__xludf.DUMMYFUNCTION("""COMPUTED_VALUE"""),"Nhãn")</f>
        <v>Nhãn</v>
      </c>
      <c r="C2655" s="87" t="str">
        <f>IFERROR(__xludf.DUMMYFUNCTION("""COMPUTED_VALUE"""),"NHG2027")</f>
        <v>NHG2027</v>
      </c>
      <c r="D2655" s="87" t="str">
        <f>IFERROR(__xludf.DUMMYFUNCTION("""COMPUTED_VALUE"""),"[Nhãn] GC - IV - 2027 - Japan Crop Science - VUA RẦY TRẮNG (Nước vàng trà) - 400ml - 40")</f>
        <v>[Nhãn] GC - IV - 2027 - Japan Crop Science - VUA RẦY TRẮNG (Nước vàng trà) - 400ml - 40</v>
      </c>
      <c r="E2655" s="87" t="str">
        <f>IFERROR(__xludf.DUMMYFUNCTION("""COMPUTED_VALUE"""),"Thipro 550EC")</f>
        <v>Thipro 550EC</v>
      </c>
      <c r="F2655" s="87" t="str">
        <f>IFERROR(__xludf.DUMMYFUNCTION("""COMPUTED_VALUE"""),"HH2027")</f>
        <v>HH2027</v>
      </c>
      <c r="G2655" s="87" t="str">
        <f>IFERROR(__xludf.DUMMYFUNCTION("""COMPUTED_VALUE"""),"GC - IV - 2027 - Japan Crop Science - VUA RẦY TRẮNG (Nước vàng trà) - 400ml - 40")</f>
        <v>GC - IV - 2027 - Japan Crop Science - VUA RẦY TRẮNG (Nước vàng trà) - 400ml - 40</v>
      </c>
    </row>
    <row r="2656">
      <c r="A2656" s="86">
        <f>IFERROR(__xludf.DUMMYFUNCTION("""COMPUTED_VALUE"""),2654.0)</f>
        <v>2654</v>
      </c>
      <c r="B2656" s="87" t="str">
        <f>IFERROR(__xludf.DUMMYFUNCTION("""COMPUTED_VALUE"""),"Nhãn")</f>
        <v>Nhãn</v>
      </c>
      <c r="C2656" s="87" t="str">
        <f>IFERROR(__xludf.DUMMYFUNCTION("""COMPUTED_VALUE"""),"NHG2028")</f>
        <v>NHG2028</v>
      </c>
      <c r="D2656" s="87" t="str">
        <f>IFERROR(__xludf.DUMMYFUNCTION("""COMPUTED_VALUE"""),"[Nhãn] GC - IV - 2028 - CTY NHC - THIPRO 550EC (Nước vàng trà) - 400ml - 40")</f>
        <v>[Nhãn] GC - IV - 2028 - CTY NHC - THIPRO 550EC (Nước vàng trà) - 400ml - 40</v>
      </c>
      <c r="E2656" s="87" t="str">
        <f>IFERROR(__xludf.DUMMYFUNCTION("""COMPUTED_VALUE"""),"Thipro 550EC")</f>
        <v>Thipro 550EC</v>
      </c>
      <c r="F2656" s="87" t="str">
        <f>IFERROR(__xludf.DUMMYFUNCTION("""COMPUTED_VALUE"""),"HH2028")</f>
        <v>HH2028</v>
      </c>
      <c r="G2656" s="87" t="str">
        <f>IFERROR(__xludf.DUMMYFUNCTION("""COMPUTED_VALUE"""),"GC - IV - 2028 - CTY NHC - THIPRO 550EC (Nước vàng trà) - 400ml - 40")</f>
        <v>GC - IV - 2028 - CTY NHC - THIPRO 550EC (Nước vàng trà) - 400ml - 40</v>
      </c>
    </row>
    <row r="2657">
      <c r="A2657" s="86">
        <f>IFERROR(__xludf.DUMMYFUNCTION("""COMPUTED_VALUE"""),2655.0)</f>
        <v>2655</v>
      </c>
      <c r="B2657" s="87" t="str">
        <f>IFERROR(__xludf.DUMMYFUNCTION("""COMPUTED_VALUE"""),"Nhãn")</f>
        <v>Nhãn</v>
      </c>
      <c r="C2657" s="87" t="str">
        <f>IFERROR(__xludf.DUMMYFUNCTION("""COMPUTED_VALUE"""),"NTN2029")</f>
        <v>NTN2029</v>
      </c>
      <c r="D2657" s="87" t="str">
        <f>IFERROR(__xludf.DUMMYFUNCTION("""COMPUTED_VALUE"""),"[Nhãn] GC - IV - 2029 - Cty Tiến Vinh - MAN XANH (Bột xanh) - 1kg - 20")</f>
        <v>[Nhãn] GC - IV - 2029 - Cty Tiến Vinh - MAN XANH (Bột xanh) - 1kg - 20</v>
      </c>
      <c r="E2657" s="87" t="str">
        <f>IFERROR(__xludf.DUMMYFUNCTION("""COMPUTED_VALUE"""),"MANCOBGO 80WP")</f>
        <v>MANCOBGO 80WP</v>
      </c>
      <c r="F2657" s="87" t="str">
        <f>IFERROR(__xludf.DUMMYFUNCTION("""COMPUTED_VALUE"""),"HH2029")</f>
        <v>HH2029</v>
      </c>
      <c r="G2657" s="87" t="str">
        <f>IFERROR(__xludf.DUMMYFUNCTION("""COMPUTED_VALUE"""),"GC - IV - 2029 - Cty Tiến Vinh - MAN XANH (Bột xanh) - 1kg - 20")</f>
        <v>GC - IV - 2029 - Cty Tiến Vinh - MAN XANH (Bột xanh) - 1kg - 20</v>
      </c>
    </row>
    <row r="2658">
      <c r="A2658" s="86">
        <f>IFERROR(__xludf.DUMMYFUNCTION("""COMPUTED_VALUE"""),2656.0)</f>
        <v>2656</v>
      </c>
      <c r="B2658" s="87" t="str">
        <f>IFERROR(__xludf.DUMMYFUNCTION("""COMPUTED_VALUE"""),"Nhãn thùng")</f>
        <v>Nhãn thùng</v>
      </c>
      <c r="C2658" s="87" t="str">
        <f>IFERROR(__xludf.DUMMYFUNCTION("""COMPUTED_VALUE"""),"NDT2029")</f>
        <v>NDT2029</v>
      </c>
      <c r="D2658" s="87" t="str">
        <f>IFERROR(__xludf.DUMMYFUNCTION("""COMPUTED_VALUE"""),"[Nhãn thùng] GC - IV - 2029 - Cty Tiến Vinh - MAN XANH (Bột xanh) - 1kg - 20")</f>
        <v>[Nhãn thùng] GC - IV - 2029 - Cty Tiến Vinh - MAN XANH (Bột xanh) - 1kg - 20</v>
      </c>
      <c r="E2658" s="87" t="str">
        <f>IFERROR(__xludf.DUMMYFUNCTION("""COMPUTED_VALUE"""),"MANCOBGO 80WP")</f>
        <v>MANCOBGO 80WP</v>
      </c>
      <c r="F2658" s="87" t="str">
        <f>IFERROR(__xludf.DUMMYFUNCTION("""COMPUTED_VALUE"""),"HH2029")</f>
        <v>HH2029</v>
      </c>
      <c r="G2658" s="87" t="str">
        <f>IFERROR(__xludf.DUMMYFUNCTION("""COMPUTED_VALUE"""),"GC - IV - 2029 - Cty Tiến Vinh - MAN XANH (Bột xanh) - 1kg - 20")</f>
        <v>GC - IV - 2029 - Cty Tiến Vinh - MAN XANH (Bột xanh) - 1kg - 20</v>
      </c>
    </row>
    <row r="2659">
      <c r="A2659" s="86">
        <f>IFERROR(__xludf.DUMMYFUNCTION("""COMPUTED_VALUE"""),2657.0)</f>
        <v>2657</v>
      </c>
      <c r="B2659" s="87" t="str">
        <f>IFERROR(__xludf.DUMMYFUNCTION("""COMPUTED_VALUE"""),"Nhãn")</f>
        <v>Nhãn</v>
      </c>
      <c r="C2659" s="87" t="str">
        <f>IFERROR(__xludf.DUMMYFUNCTION("""COMPUTED_VALUE"""),"NTN2030")</f>
        <v>NTN2030</v>
      </c>
      <c r="D2659" s="87" t="str">
        <f>IFERROR(__xludf.DUMMYFUNCTION("""COMPUTED_VALUE"""),"[Nhãn] GC - IV - 2030 - CTY BA MÙA - MANCOZEB XANH (Bột xanh) - 1kg - 20")</f>
        <v>[Nhãn] GC - IV - 2030 - CTY BA MÙA - MANCOZEB XANH (Bột xanh) - 1kg - 20</v>
      </c>
      <c r="E2659" s="87" t="str">
        <f>IFERROR(__xludf.DUMMYFUNCTION("""COMPUTED_VALUE"""),"MANCOBGO 80WP")</f>
        <v>MANCOBGO 80WP</v>
      </c>
      <c r="F2659" s="87" t="str">
        <f>IFERROR(__xludf.DUMMYFUNCTION("""COMPUTED_VALUE"""),"HH2030")</f>
        <v>HH2030</v>
      </c>
      <c r="G2659" s="87" t="str">
        <f>IFERROR(__xludf.DUMMYFUNCTION("""COMPUTED_VALUE"""),"GC - IV - 2030 - CTY BA MÙA - MANCOZEB XANH (Bột xanh) - 1kg - 20")</f>
        <v>GC - IV - 2030 - CTY BA MÙA - MANCOZEB XANH (Bột xanh) - 1kg - 20</v>
      </c>
    </row>
    <row r="2660">
      <c r="A2660" s="86">
        <f>IFERROR(__xludf.DUMMYFUNCTION("""COMPUTED_VALUE"""),2658.0)</f>
        <v>2658</v>
      </c>
      <c r="B2660" s="87" t="str">
        <f>IFERROR(__xludf.DUMMYFUNCTION("""COMPUTED_VALUE"""),"Nhãn thùng")</f>
        <v>Nhãn thùng</v>
      </c>
      <c r="C2660" s="87" t="str">
        <f>IFERROR(__xludf.DUMMYFUNCTION("""COMPUTED_VALUE"""),"NDT2030")</f>
        <v>NDT2030</v>
      </c>
      <c r="D2660" s="87" t="str">
        <f>IFERROR(__xludf.DUMMYFUNCTION("""COMPUTED_VALUE"""),"[Nhãn thùng] GC - IV - 2030 - CTY BA MÙA - MANCOZEB XANH (Bột xanh) - 1kg - 20")</f>
        <v>[Nhãn thùng] GC - IV - 2030 - CTY BA MÙA - MANCOZEB XANH (Bột xanh) - 1kg - 20</v>
      </c>
      <c r="E2660" s="87" t="str">
        <f>IFERROR(__xludf.DUMMYFUNCTION("""COMPUTED_VALUE"""),"MANCOBGO 80WP")</f>
        <v>MANCOBGO 80WP</v>
      </c>
      <c r="F2660" s="87" t="str">
        <f>IFERROR(__xludf.DUMMYFUNCTION("""COMPUTED_VALUE"""),"HH2030")</f>
        <v>HH2030</v>
      </c>
      <c r="G2660" s="87" t="str">
        <f>IFERROR(__xludf.DUMMYFUNCTION("""COMPUTED_VALUE"""),"GC - IV - 2030 - CTY BA MÙA - MANCOZEB XANH (Bột xanh) - 1kg - 20")</f>
        <v>GC - IV - 2030 - CTY BA MÙA - MANCOZEB XANH (Bột xanh) - 1kg - 20</v>
      </c>
    </row>
    <row r="2661">
      <c r="A2661" s="86">
        <f>IFERROR(__xludf.DUMMYFUNCTION("""COMPUTED_VALUE"""),2659.0)</f>
        <v>2659</v>
      </c>
      <c r="B2661" s="87" t="str">
        <f>IFERROR(__xludf.DUMMYFUNCTION("""COMPUTED_VALUE"""),"Nhãn")</f>
        <v>Nhãn</v>
      </c>
      <c r="C2661" s="87" t="str">
        <f>IFERROR(__xludf.DUMMYFUNCTION("""COMPUTED_VALUE"""),"NTN2031")</f>
        <v>NTN2031</v>
      </c>
      <c r="D2661" s="87" t="str">
        <f>IFERROR(__xludf.DUMMYFUNCTION("""COMPUTED_VALUE"""),"[Nhãn] GC - IV - 2031 - Cty NN Hoa Kỳ - Mãnh tướng diệt rầy (bột trắng) - 250gr - 60")</f>
        <v>[Nhãn] GC - IV - 2031 - Cty NN Hoa Kỳ - Mãnh tướng diệt rầy (bột trắng) - 250gr - 60</v>
      </c>
      <c r="E2661" s="87" t="str">
        <f>IFERROR(__xludf.DUMMYFUNCTION("""COMPUTED_VALUE"""),"IMIPRID 10WP")</f>
        <v>IMIPRID 10WP</v>
      </c>
      <c r="F2661" s="87" t="str">
        <f>IFERROR(__xludf.DUMMYFUNCTION("""COMPUTED_VALUE"""),"HH2031")</f>
        <v>HH2031</v>
      </c>
      <c r="G2661" s="87" t="str">
        <f>IFERROR(__xludf.DUMMYFUNCTION("""COMPUTED_VALUE"""),"GC - IV - 2031 - Cty NN Hoa Kỳ - Mãnh tướng diệt rầy (bột trắng) - 250gr - 60")</f>
        <v>GC - IV - 2031 - Cty NN Hoa Kỳ - Mãnh tướng diệt rầy (bột trắng) - 250gr - 60</v>
      </c>
    </row>
    <row r="2662">
      <c r="A2662" s="86">
        <f>IFERROR(__xludf.DUMMYFUNCTION("""COMPUTED_VALUE"""),2660.0)</f>
        <v>2660</v>
      </c>
      <c r="B2662" s="87" t="str">
        <f>IFERROR(__xludf.DUMMYFUNCTION("""COMPUTED_VALUE"""),"Nhãn")</f>
        <v>Nhãn</v>
      </c>
      <c r="C2662" s="87" t="str">
        <f>IFERROR(__xludf.DUMMYFUNCTION("""COMPUTED_VALUE"""),"NHG2031")</f>
        <v>NHG2031</v>
      </c>
      <c r="D2662" s="87" t="str">
        <f>IFERROR(__xludf.DUMMYFUNCTION("""COMPUTED_VALUE"""),"[Nhãn] GC - IV - 2031 - Cty NN Hoa Kỳ - Mãnh tướng diệt rầy (bột trắng) - 250gr - 60")</f>
        <v>[Nhãn] GC - IV - 2031 - Cty NN Hoa Kỳ - Mãnh tướng diệt rầy (bột trắng) - 250gr - 60</v>
      </c>
      <c r="E2662" s="87" t="str">
        <f>IFERROR(__xludf.DUMMYFUNCTION("""COMPUTED_VALUE"""),"IMIPRID 10WP")</f>
        <v>IMIPRID 10WP</v>
      </c>
      <c r="F2662" s="87" t="str">
        <f>IFERROR(__xludf.DUMMYFUNCTION("""COMPUTED_VALUE"""),"HH2031")</f>
        <v>HH2031</v>
      </c>
      <c r="G2662" s="87" t="str">
        <f>IFERROR(__xludf.DUMMYFUNCTION("""COMPUTED_VALUE"""),"GC - IV - 2031 - Cty NN Hoa Kỳ - Mãnh tướng diệt rầy (bột trắng) - 250gr - 60")</f>
        <v>GC - IV - 2031 - Cty NN Hoa Kỳ - Mãnh tướng diệt rầy (bột trắng) - 250gr - 60</v>
      </c>
    </row>
    <row r="2663">
      <c r="A2663" s="86">
        <f>IFERROR(__xludf.DUMMYFUNCTION("""COMPUTED_VALUE"""),2661.0)</f>
        <v>2661</v>
      </c>
      <c r="B2663" s="87" t="str">
        <f>IFERROR(__xludf.DUMMYFUNCTION("""COMPUTED_VALUE"""),"Nhãn thùng")</f>
        <v>Nhãn thùng</v>
      </c>
      <c r="C2663" s="87" t="str">
        <f>IFERROR(__xludf.DUMMYFUNCTION("""COMPUTED_VALUE"""),"NDT2031")</f>
        <v>NDT2031</v>
      </c>
      <c r="D2663" s="87" t="str">
        <f>IFERROR(__xludf.DUMMYFUNCTION("""COMPUTED_VALUE"""),"[Nhãn thùng] GC - IV - 2031 - Cty NN Hoa Kỳ - Mãnh tướng diệt rầy (bột trắng) - 250gr - 60")</f>
        <v>[Nhãn thùng] GC - IV - 2031 - Cty NN Hoa Kỳ - Mãnh tướng diệt rầy (bột trắng) - 250gr - 60</v>
      </c>
      <c r="E2663" s="87" t="str">
        <f>IFERROR(__xludf.DUMMYFUNCTION("""COMPUTED_VALUE"""),"IMIPRID 10WP")</f>
        <v>IMIPRID 10WP</v>
      </c>
      <c r="F2663" s="87" t="str">
        <f>IFERROR(__xludf.DUMMYFUNCTION("""COMPUTED_VALUE"""),"HH2031")</f>
        <v>HH2031</v>
      </c>
      <c r="G2663" s="87" t="str">
        <f>IFERROR(__xludf.DUMMYFUNCTION("""COMPUTED_VALUE"""),"GC - IV - 2031 - Cty NN Hoa Kỳ - Mãnh tướng diệt rầy (bột trắng) - 250gr - 60")</f>
        <v>GC - IV - 2031 - Cty NN Hoa Kỳ - Mãnh tướng diệt rầy (bột trắng) - 250gr - 60</v>
      </c>
    </row>
    <row r="2664">
      <c r="A2664" s="86">
        <f>IFERROR(__xludf.DUMMYFUNCTION("""COMPUTED_VALUE"""),2662.0)</f>
        <v>2662</v>
      </c>
      <c r="B2664" s="87" t="str">
        <f>IFERROR(__xludf.DUMMYFUNCTION("""COMPUTED_VALUE"""),"Nhãn")</f>
        <v>Nhãn</v>
      </c>
      <c r="C2664" s="87" t="str">
        <f>IFERROR(__xludf.DUMMYFUNCTION("""COMPUTED_VALUE"""),"NHG2032")</f>
        <v>NHG2032</v>
      </c>
      <c r="D2664" s="87" t="str">
        <f>IFERROR(__xludf.DUMMYFUNCTION("""COMPUTED_VALUE"""),"#N/A")</f>
        <v>#N/A</v>
      </c>
      <c r="E2664" s="87"/>
      <c r="F2664" s="87" t="str">
        <f>IFERROR(__xludf.DUMMYFUNCTION("""COMPUTED_VALUE"""),"HH2032")</f>
        <v>HH2032</v>
      </c>
      <c r="G2664" s="87"/>
    </row>
    <row r="2665">
      <c r="A2665" s="86">
        <f>IFERROR(__xludf.DUMMYFUNCTION("""COMPUTED_VALUE"""),2663.0)</f>
        <v>2663</v>
      </c>
      <c r="B2665" s="87" t="str">
        <f>IFERROR(__xludf.DUMMYFUNCTION("""COMPUTED_VALUE"""),"Nhãn")</f>
        <v>Nhãn</v>
      </c>
      <c r="C2665" s="87" t="str">
        <f>IFERROR(__xludf.DUMMYFUNCTION("""COMPUTED_VALUE"""),"NHG2033")</f>
        <v>NHG2033</v>
      </c>
      <c r="D2665" s="87" t="str">
        <f>IFERROR(__xludf.DUMMYFUNCTION("""COMPUTED_VALUE"""),"[Nhãn] GC - IV - 2033 - CTY VIETCHEM - VINGOLD KẼM (Nước xanh dương không phụ gia) - 1L - 20")</f>
        <v>[Nhãn] GC - IV - 2033 - CTY VIETCHEM - VINGOLD KẼM (Nước xanh dương không phụ gia) - 1L - 20</v>
      </c>
      <c r="E2665" s="87" t="str">
        <f>IFERROR(__xludf.DUMMYFUNCTION("""COMPUTED_VALUE"""),"Mekongvil 5SC")</f>
        <v>Mekongvil 5SC</v>
      </c>
      <c r="F2665" s="87" t="str">
        <f>IFERROR(__xludf.DUMMYFUNCTION("""COMPUTED_VALUE"""),"HH2033")</f>
        <v>HH2033</v>
      </c>
      <c r="G2665" s="87" t="str">
        <f>IFERROR(__xludf.DUMMYFUNCTION("""COMPUTED_VALUE"""),"GC - IV - 2033 - CTY VIETCHEM - VINGOLD KẼM (Nước xanh dương không phụ gia) - 1L - 20")</f>
        <v>GC - IV - 2033 - CTY VIETCHEM - VINGOLD KẼM (Nước xanh dương không phụ gia) - 1L - 20</v>
      </c>
    </row>
    <row r="2666">
      <c r="A2666" s="86">
        <f>IFERROR(__xludf.DUMMYFUNCTION("""COMPUTED_VALUE"""),2664.0)</f>
        <v>2664</v>
      </c>
      <c r="B2666" s="87" t="str">
        <f>IFERROR(__xludf.DUMMYFUNCTION("""COMPUTED_VALUE"""),"Nhãn")</f>
        <v>Nhãn</v>
      </c>
      <c r="C2666" s="87" t="str">
        <f>IFERROR(__xludf.DUMMYFUNCTION("""COMPUTED_VALUE"""),"NHG2036")</f>
        <v>NHG2036</v>
      </c>
      <c r="D2666" s="87" t="str">
        <f>IFERROR(__xludf.DUMMYFUNCTION("""COMPUTED_VALUE"""),"[Nhãn] GC - IV - 2036 - Bellormar - EXTRA GARIO (Nước xanh lá) - 500ml - 40")</f>
        <v>[Nhãn] GC - IV - 2036 - Bellormar - EXTRA GARIO (Nước xanh lá) - 500ml - 40</v>
      </c>
      <c r="E2666" s="87" t="str">
        <f>IFERROR(__xludf.DUMMYFUNCTION("""COMPUTED_VALUE"""),"NPK-Vi lượng MASSIVE-BLUE")</f>
        <v>NPK-Vi lượng MASSIVE-BLUE</v>
      </c>
      <c r="F2666" s="87" t="str">
        <f>IFERROR(__xludf.DUMMYFUNCTION("""COMPUTED_VALUE"""),"HH2036")</f>
        <v>HH2036</v>
      </c>
      <c r="G2666" s="87" t="str">
        <f>IFERROR(__xludf.DUMMYFUNCTION("""COMPUTED_VALUE"""),"GC - IV - 2036 - Bellormar - EXTRA GARIO (Nước xanh lá) - 500ml - 40")</f>
        <v>GC - IV - 2036 - Bellormar - EXTRA GARIO (Nước xanh lá) - 500ml - 40</v>
      </c>
    </row>
    <row r="2667">
      <c r="A2667" s="86">
        <f>IFERROR(__xludf.DUMMYFUNCTION("""COMPUTED_VALUE"""),2665.0)</f>
        <v>2665</v>
      </c>
      <c r="B2667" s="87" t="str">
        <f>IFERROR(__xludf.DUMMYFUNCTION("""COMPUTED_VALUE"""),"Nhãn")</f>
        <v>Nhãn</v>
      </c>
      <c r="C2667" s="87" t="str">
        <f>IFERROR(__xludf.DUMMYFUNCTION("""COMPUTED_VALUE"""),"NHG2037")</f>
        <v>NHG2037</v>
      </c>
      <c r="D2667" s="87" t="str">
        <f>IFERROR(__xludf.DUMMYFUNCTION("""COMPUTED_VALUE"""),"[Nhãn] GC - IV - 2037 - Bellormar - EXTRA ZINC (Nước xanh ngọc) - 500ml - 40")</f>
        <v>[Nhãn] GC - IV - 2037 - Bellormar - EXTRA ZINC (Nước xanh ngọc) - 500ml - 40</v>
      </c>
      <c r="E2667" s="87" t="str">
        <f>IFERROR(__xludf.DUMMYFUNCTION("""COMPUTED_VALUE"""),"Vi lượng MICKEY")</f>
        <v>Vi lượng MICKEY</v>
      </c>
      <c r="F2667" s="87" t="str">
        <f>IFERROR(__xludf.DUMMYFUNCTION("""COMPUTED_VALUE"""),"HH2037")</f>
        <v>HH2037</v>
      </c>
      <c r="G2667" s="87" t="str">
        <f>IFERROR(__xludf.DUMMYFUNCTION("""COMPUTED_VALUE"""),"GC - IV - 2037 - Bellormar - EXTRA ZINC (Nước xanh ngọc) - 500ml - 40")</f>
        <v>GC - IV - 2037 - Bellormar - EXTRA ZINC (Nước xanh ngọc) - 500ml - 40</v>
      </c>
    </row>
    <row r="2668">
      <c r="A2668" s="86">
        <f>IFERROR(__xludf.DUMMYFUNCTION("""COMPUTED_VALUE"""),2666.0)</f>
        <v>2666</v>
      </c>
      <c r="B2668" s="87" t="str">
        <f>IFERROR(__xludf.DUMMYFUNCTION("""COMPUTED_VALUE"""),"Nhãn")</f>
        <v>Nhãn</v>
      </c>
      <c r="C2668" s="87" t="str">
        <f>IFERROR(__xludf.DUMMYFUNCTION("""COMPUTED_VALUE"""),"NHG2038")</f>
        <v>NHG2038</v>
      </c>
      <c r="D2668" s="87" t="str">
        <f>IFERROR(__xludf.DUMMYFUNCTION("""COMPUTED_VALUE"""),"[Nhãn] GC - IV - 2038 - Tuấn An Phát - Humate RONG BIỂN (Nước nâu đen) - 500ml - 40")</f>
        <v>[Nhãn] GC - IV - 2038 - Tuấn An Phát - Humate RONG BIỂN (Nước nâu đen) - 500ml - 40</v>
      </c>
      <c r="E2668" s="87" t="str">
        <f>IFERROR(__xludf.DUMMYFUNCTION("""COMPUTED_VALUE"""),"HỖN HỢP NPK AGAMA-SRH")</f>
        <v>HỖN HỢP NPK AGAMA-SRH</v>
      </c>
      <c r="F2668" s="87" t="str">
        <f>IFERROR(__xludf.DUMMYFUNCTION("""COMPUTED_VALUE"""),"HH2038")</f>
        <v>HH2038</v>
      </c>
      <c r="G2668" s="87" t="str">
        <f>IFERROR(__xludf.DUMMYFUNCTION("""COMPUTED_VALUE"""),"GC - IV - 2038 - Tuấn An Phát - Humate RONG BIỂN (Nước nâu đen) - 500ml - 40")</f>
        <v>GC - IV - 2038 - Tuấn An Phát - Humate RONG BIỂN (Nước nâu đen) - 500ml - 40</v>
      </c>
    </row>
    <row r="2669">
      <c r="A2669" s="86">
        <f>IFERROR(__xludf.DUMMYFUNCTION("""COMPUTED_VALUE"""),2667.0)</f>
        <v>2667</v>
      </c>
      <c r="B2669" s="87" t="str">
        <f>IFERROR(__xludf.DUMMYFUNCTION("""COMPUTED_VALUE"""),"Nhãn")</f>
        <v>Nhãn</v>
      </c>
      <c r="C2669" s="87" t="str">
        <f>IFERROR(__xludf.DUMMYFUNCTION("""COMPUTED_VALUE"""),"NHG2039")</f>
        <v>NHG2039</v>
      </c>
      <c r="D2669" s="87" t="str">
        <f>IFERROR(__xludf.DUMMYFUNCTION("""COMPUTED_VALUE"""),"[Nhãn] GC - IV - 2039 - Tuấn An Phát - Humate RONG BIỂN (Nước nâu đen) - 1L - 20")</f>
        <v>[Nhãn] GC - IV - 2039 - Tuấn An Phát - Humate RONG BIỂN (Nước nâu đen) - 1L - 20</v>
      </c>
      <c r="E2669" s="87" t="str">
        <f>IFERROR(__xludf.DUMMYFUNCTION("""COMPUTED_VALUE"""),"HỖN HỢP NPK AGAMA-SRH")</f>
        <v>HỖN HỢP NPK AGAMA-SRH</v>
      </c>
      <c r="F2669" s="87" t="str">
        <f>IFERROR(__xludf.DUMMYFUNCTION("""COMPUTED_VALUE"""),"HH2039")</f>
        <v>HH2039</v>
      </c>
      <c r="G2669" s="87" t="str">
        <f>IFERROR(__xludf.DUMMYFUNCTION("""COMPUTED_VALUE"""),"GC - IV - 2039 - Tuấn An Phát - Humate RONG BIỂN (Nước nâu đen) - 1L - 20")</f>
        <v>GC - IV - 2039 - Tuấn An Phát - Humate RONG BIỂN (Nước nâu đen) - 1L - 20</v>
      </c>
    </row>
    <row r="2670">
      <c r="A2670" s="86">
        <f>IFERROR(__xludf.DUMMYFUNCTION("""COMPUTED_VALUE"""),2668.0)</f>
        <v>2668</v>
      </c>
      <c r="B2670" s="87" t="str">
        <f>IFERROR(__xludf.DUMMYFUNCTION("""COMPUTED_VALUE"""),"Nhãn")</f>
        <v>Nhãn</v>
      </c>
      <c r="C2670" s="87" t="str">
        <f>IFERROR(__xludf.DUMMYFUNCTION("""COMPUTED_VALUE"""),"NHG2040")</f>
        <v>NHG2040</v>
      </c>
      <c r="D2670" s="87" t="str">
        <f>IFERROR(__xludf.DUMMYFUNCTION("""COMPUTED_VALUE"""),"[Nhãn] GC - IV - 2040 - Tuấn An Phát - Humate RONG BIỂN (Nước nâu đen) - 5L - 4")</f>
        <v>[Nhãn] GC - IV - 2040 - Tuấn An Phát - Humate RONG BIỂN (Nước nâu đen) - 5L - 4</v>
      </c>
      <c r="E2670" s="87" t="str">
        <f>IFERROR(__xludf.DUMMYFUNCTION("""COMPUTED_VALUE"""),"HỖN HỢP NPK AGAMA-SRH")</f>
        <v>HỖN HỢP NPK AGAMA-SRH</v>
      </c>
      <c r="F2670" s="87" t="str">
        <f>IFERROR(__xludf.DUMMYFUNCTION("""COMPUTED_VALUE"""),"HH2040")</f>
        <v>HH2040</v>
      </c>
      <c r="G2670" s="87" t="str">
        <f>IFERROR(__xludf.DUMMYFUNCTION("""COMPUTED_VALUE"""),"GC - IV - 2040 - Tuấn An Phát - Humate RONG BIỂN (Nước nâu đen) - 5L - 4")</f>
        <v>GC - IV - 2040 - Tuấn An Phát - Humate RONG BIỂN (Nước nâu đen) - 5L - 4</v>
      </c>
    </row>
    <row r="2671">
      <c r="A2671" s="86">
        <f>IFERROR(__xludf.DUMMYFUNCTION("""COMPUTED_VALUE"""),2669.0)</f>
        <v>2669</v>
      </c>
      <c r="B2671" s="87" t="str">
        <f>IFERROR(__xludf.DUMMYFUNCTION("""COMPUTED_VALUE"""),"Nhãn")</f>
        <v>Nhãn</v>
      </c>
      <c r="C2671" s="87" t="str">
        <f>IFERROR(__xludf.DUMMYFUNCTION("""COMPUTED_VALUE"""),"NHG2041")</f>
        <v>NHG2041</v>
      </c>
      <c r="D2671" s="87" t="str">
        <f>IFERROR(__xludf.DUMMYFUNCTION("""COMPUTED_VALUE"""),"[Nhãn] GC - IV - 2041 - Tuấn An Phát - Đạm Cá - CARON (Nước nâu vàng) - 500ml - 40")</f>
        <v>[Nhãn] GC - IV - 2041 - Tuấn An Phát - Đạm Cá - CARON (Nước nâu vàng) - 500ml - 40</v>
      </c>
      <c r="E2671" s="87" t="str">
        <f>IFERROR(__xludf.DUMMYFUNCTION("""COMPUTED_VALUE"""),"NPK-Vi lượng MASSIVE-BLUE")</f>
        <v>NPK-Vi lượng MASSIVE-BLUE</v>
      </c>
      <c r="F2671" s="87" t="str">
        <f>IFERROR(__xludf.DUMMYFUNCTION("""COMPUTED_VALUE"""),"HH2041")</f>
        <v>HH2041</v>
      </c>
      <c r="G2671" s="87" t="str">
        <f>IFERROR(__xludf.DUMMYFUNCTION("""COMPUTED_VALUE"""),"GC - IV - 2041 - Tuấn An Phát - Đạm Cá - CARON (Nước nâu vàng) - 500ml - 40")</f>
        <v>GC - IV - 2041 - Tuấn An Phát - Đạm Cá - CARON (Nước nâu vàng) - 500ml - 40</v>
      </c>
    </row>
    <row r="2672">
      <c r="A2672" s="86">
        <f>IFERROR(__xludf.DUMMYFUNCTION("""COMPUTED_VALUE"""),2670.0)</f>
        <v>2670</v>
      </c>
      <c r="B2672" s="87" t="str">
        <f>IFERROR(__xludf.DUMMYFUNCTION("""COMPUTED_VALUE"""),"Nhãn")</f>
        <v>Nhãn</v>
      </c>
      <c r="C2672" s="87" t="str">
        <f>IFERROR(__xludf.DUMMYFUNCTION("""COMPUTED_VALUE"""),"NHG2042")</f>
        <v>NHG2042</v>
      </c>
      <c r="D2672" s="87" t="str">
        <f>IFERROR(__xludf.DUMMYFUNCTION("""COMPUTED_VALUE"""),"[Nhãn] GC - IV - 2042 - Tuấn An Phát - Đạm Cá - CARON (Nước nâu vàng) - 1L - 20")</f>
        <v>[Nhãn] GC - IV - 2042 - Tuấn An Phát - Đạm Cá - CARON (Nước nâu vàng) - 1L - 20</v>
      </c>
      <c r="E2672" s="87" t="str">
        <f>IFERROR(__xludf.DUMMYFUNCTION("""COMPUTED_VALUE"""),"NPK-Vi lượng MASSIVE-BLUE")</f>
        <v>NPK-Vi lượng MASSIVE-BLUE</v>
      </c>
      <c r="F2672" s="87" t="str">
        <f>IFERROR(__xludf.DUMMYFUNCTION("""COMPUTED_VALUE"""),"HH2042")</f>
        <v>HH2042</v>
      </c>
      <c r="G2672" s="87" t="str">
        <f>IFERROR(__xludf.DUMMYFUNCTION("""COMPUTED_VALUE"""),"GC - IV - 2042 - Tuấn An Phát - Đạm Cá - CARON (Nước nâu vàng) - 1L - 20")</f>
        <v>GC - IV - 2042 - Tuấn An Phát - Đạm Cá - CARON (Nước nâu vàng) - 1L - 20</v>
      </c>
    </row>
    <row r="2673">
      <c r="A2673" s="86">
        <f>IFERROR(__xludf.DUMMYFUNCTION("""COMPUTED_VALUE"""),2671.0)</f>
        <v>2671</v>
      </c>
      <c r="B2673" s="87" t="str">
        <f>IFERROR(__xludf.DUMMYFUNCTION("""COMPUTED_VALUE"""),"Nhãn")</f>
        <v>Nhãn</v>
      </c>
      <c r="C2673" s="87" t="str">
        <f>IFERROR(__xludf.DUMMYFUNCTION("""COMPUTED_VALUE"""),"NTN2044")</f>
        <v>NTN2044</v>
      </c>
      <c r="D2673" s="87" t="str">
        <f>IFERROR(__xludf.DUMMYFUNCTION("""COMPUTED_VALUE"""),"[Nhãn] GC - II - 2044 - AGC - Vua Rầy (Bột trắng) - 100gr - 100")</f>
        <v>[Nhãn] GC - II - 2044 - AGC - Vua Rầy (Bột trắng) - 100gr - 100</v>
      </c>
      <c r="E2673" s="87" t="str">
        <f>IFERROR(__xludf.DUMMYFUNCTION("""COMPUTED_VALUE"""),"IMIPRID 10WP")</f>
        <v>IMIPRID 10WP</v>
      </c>
      <c r="F2673" s="87" t="str">
        <f>IFERROR(__xludf.DUMMYFUNCTION("""COMPUTED_VALUE"""),"HH2044")</f>
        <v>HH2044</v>
      </c>
      <c r="G2673" s="87" t="str">
        <f>IFERROR(__xludf.DUMMYFUNCTION("""COMPUTED_VALUE"""),"GC - II - 2044 - AGC - Vua Rầy (Bột trắng) - 100gr - 100")</f>
        <v>GC - II - 2044 - AGC - Vua Rầy (Bột trắng) - 100gr - 100</v>
      </c>
    </row>
    <row r="2674">
      <c r="A2674" s="86">
        <f>IFERROR(__xludf.DUMMYFUNCTION("""COMPUTED_VALUE"""),2672.0)</f>
        <v>2672</v>
      </c>
      <c r="B2674" s="87" t="str">
        <f>IFERROR(__xludf.DUMMYFUNCTION("""COMPUTED_VALUE"""),"Nhãn thùng")</f>
        <v>Nhãn thùng</v>
      </c>
      <c r="C2674" s="87" t="str">
        <f>IFERROR(__xludf.DUMMYFUNCTION("""COMPUTED_VALUE"""),"NDT2044")</f>
        <v>NDT2044</v>
      </c>
      <c r="D2674" s="87" t="str">
        <f>IFERROR(__xludf.DUMMYFUNCTION("""COMPUTED_VALUE"""),"[Nhãn thùng] GC - II - 2044 - AGC - Vua Rầy (Bột trắng) - 100gr - 100")</f>
        <v>[Nhãn thùng] GC - II - 2044 - AGC - Vua Rầy (Bột trắng) - 100gr - 100</v>
      </c>
      <c r="E2674" s="87" t="str">
        <f>IFERROR(__xludf.DUMMYFUNCTION("""COMPUTED_VALUE"""),"IMIPRID 10WP")</f>
        <v>IMIPRID 10WP</v>
      </c>
      <c r="F2674" s="87" t="str">
        <f>IFERROR(__xludf.DUMMYFUNCTION("""COMPUTED_VALUE"""),"HH2044")</f>
        <v>HH2044</v>
      </c>
      <c r="G2674" s="87" t="str">
        <f>IFERROR(__xludf.DUMMYFUNCTION("""COMPUTED_VALUE"""),"GC - II - 2044 - AGC - Vua Rầy (Bột trắng) - 100gr - 100")</f>
        <v>GC - II - 2044 - AGC - Vua Rầy (Bột trắng) - 100gr - 100</v>
      </c>
    </row>
    <row r="2675">
      <c r="A2675" s="86">
        <f>IFERROR(__xludf.DUMMYFUNCTION("""COMPUTED_VALUE"""),2673.0)</f>
        <v>2673</v>
      </c>
      <c r="B2675" s="87" t="str">
        <f>IFERROR(__xludf.DUMMYFUNCTION("""COMPUTED_VALUE"""),"Nhãn")</f>
        <v>Nhãn</v>
      </c>
      <c r="C2675" s="87" t="str">
        <f>IFERROR(__xludf.DUMMYFUNCTION("""COMPUTED_VALUE"""),"NTN2045")</f>
        <v>NTN2045</v>
      </c>
      <c r="D2675" s="87" t="str">
        <f>IFERROR(__xludf.DUMMYFUNCTION("""COMPUTED_VALUE"""),"[Nhãn] GC - II - 2045 - Mekong Group - Elephant (bột trắng) - 100gr - 150")</f>
        <v>[Nhãn] GC - II - 2045 - Mekong Group - Elephant (bột trắng) - 100gr - 150</v>
      </c>
      <c r="E2675" s="87" t="str">
        <f>IFERROR(__xludf.DUMMYFUNCTION("""COMPUTED_VALUE"""),"IMIPRID 10WP")</f>
        <v>IMIPRID 10WP</v>
      </c>
      <c r="F2675" s="87" t="str">
        <f>IFERROR(__xludf.DUMMYFUNCTION("""COMPUTED_VALUE"""),"HH2045")</f>
        <v>HH2045</v>
      </c>
      <c r="G2675" s="87" t="str">
        <f>IFERROR(__xludf.DUMMYFUNCTION("""COMPUTED_VALUE"""),"GC - II - 2045 - Mekong Group - Elephant (bột trắng) - 100gr - 150")</f>
        <v>GC - II - 2045 - Mekong Group - Elephant (bột trắng) - 100gr - 150</v>
      </c>
    </row>
    <row r="2676">
      <c r="A2676" s="86">
        <f>IFERROR(__xludf.DUMMYFUNCTION("""COMPUTED_VALUE"""),2674.0)</f>
        <v>2674</v>
      </c>
      <c r="B2676" s="87" t="str">
        <f>IFERROR(__xludf.DUMMYFUNCTION("""COMPUTED_VALUE"""),"Nhãn thùng")</f>
        <v>Nhãn thùng</v>
      </c>
      <c r="C2676" s="87" t="str">
        <f>IFERROR(__xludf.DUMMYFUNCTION("""COMPUTED_VALUE"""),"NDT2045")</f>
        <v>NDT2045</v>
      </c>
      <c r="D2676" s="87" t="str">
        <f>IFERROR(__xludf.DUMMYFUNCTION("""COMPUTED_VALUE"""),"[Nhãn thùng] GC - II - 2045 - Mekong Group - Elephant (bột trắng) - 100gr - 150")</f>
        <v>[Nhãn thùng] GC - II - 2045 - Mekong Group - Elephant (bột trắng) - 100gr - 150</v>
      </c>
      <c r="E2676" s="87" t="str">
        <f>IFERROR(__xludf.DUMMYFUNCTION("""COMPUTED_VALUE"""),"IMIPRID 10WP")</f>
        <v>IMIPRID 10WP</v>
      </c>
      <c r="F2676" s="87" t="str">
        <f>IFERROR(__xludf.DUMMYFUNCTION("""COMPUTED_VALUE"""),"HH2045")</f>
        <v>HH2045</v>
      </c>
      <c r="G2676" s="87" t="str">
        <f>IFERROR(__xludf.DUMMYFUNCTION("""COMPUTED_VALUE"""),"GC - II - 2045 - Mekong Group - Elephant (bột trắng) - 100gr - 150")</f>
        <v>GC - II - 2045 - Mekong Group - Elephant (bột trắng) - 100gr - 150</v>
      </c>
    </row>
    <row r="2677">
      <c r="A2677" s="86">
        <f>IFERROR(__xludf.DUMMYFUNCTION("""COMPUTED_VALUE"""),2675.0)</f>
        <v>2675</v>
      </c>
      <c r="B2677" s="87" t="str">
        <f>IFERROR(__xludf.DUMMYFUNCTION("""COMPUTED_VALUE"""),"Nhãn")</f>
        <v>Nhãn</v>
      </c>
      <c r="C2677" s="87" t="str">
        <f>IFERROR(__xludf.DUMMYFUNCTION("""COMPUTED_VALUE"""),"NHG2046")</f>
        <v>NHG2046</v>
      </c>
      <c r="D2677" s="87" t="str">
        <f>IFERROR(__xludf.DUMMYFUNCTION("""COMPUTED_VALUE"""),"[Nhãn]  LOT IDA Global - I - 2046 - ĐL Quốc Dũng - Thần Hổ (Pet tròn)(nắp đỏ)(nước nâu đen) - 450ml - 40")</f>
        <v>[Nhãn]  LOT IDA Global - I - 2046 - ĐL Quốc Dũng - Thần Hổ (Pet tròn)(nắp đỏ)(nước nâu đen) - 450ml - 40</v>
      </c>
      <c r="E2677" s="87" t="str">
        <f>IFERROR(__xludf.DUMMYFUNCTION("""COMPUTED_VALUE"""),"Chitin 3.6EC")</f>
        <v>Chitin 3.6EC</v>
      </c>
      <c r="F2677" s="87" t="str">
        <f>IFERROR(__xludf.DUMMYFUNCTION("""COMPUTED_VALUE"""),"HH2046")</f>
        <v>HH2046</v>
      </c>
      <c r="G2677" s="87" t="str">
        <f>IFERROR(__xludf.DUMMYFUNCTION("""COMPUTED_VALUE"""),"LOT IDA Global - I - 2046 - ĐL Quốc Dũng - Thần Hổ (Pet tròn)(nắp đỏ)(nước nâu đen) - 450ml - 40")</f>
        <v>LOT IDA Global - I - 2046 - ĐL Quốc Dũng - Thần Hổ (Pet tròn)(nắp đỏ)(nước nâu đen) - 450ml - 40</v>
      </c>
    </row>
    <row r="2678">
      <c r="A2678" s="86">
        <f>IFERROR(__xludf.DUMMYFUNCTION("""COMPUTED_VALUE"""),2676.0)</f>
        <v>2676</v>
      </c>
      <c r="B2678" s="87" t="str">
        <f>IFERROR(__xludf.DUMMYFUNCTION("""COMPUTED_VALUE"""),"Nhãn")</f>
        <v>Nhãn</v>
      </c>
      <c r="C2678" s="87" t="str">
        <f>IFERROR(__xludf.DUMMYFUNCTION("""COMPUTED_VALUE"""),"NTN2047")</f>
        <v>NTN2047</v>
      </c>
      <c r="D2678" s="87" t="str">
        <f>IFERROR(__xludf.DUMMYFUNCTION("""COMPUTED_VALUE"""),"[Nhãn] IDA Global - I - 2047 - Ra Rễ - Mập Chồi (Nước hồng) - 50ml - 300")</f>
        <v>[Nhãn] IDA Global - I - 2047 - Ra Rễ - Mập Chồi (Nước hồng) - 50ml - 300</v>
      </c>
      <c r="E2678" s="87" t="str">
        <f>IFERROR(__xludf.DUMMYFUNCTION("""COMPUTED_VALUE"""),"Hỗn hợp NPK BASEL NPK 6-16-3 IDA 15")</f>
        <v>Hỗn hợp NPK BASEL NPK 6-16-3 IDA 15</v>
      </c>
      <c r="F2678" s="87" t="str">
        <f>IFERROR(__xludf.DUMMYFUNCTION("""COMPUTED_VALUE"""),"HH2047")</f>
        <v>HH2047</v>
      </c>
      <c r="G2678" s="87" t="str">
        <f>IFERROR(__xludf.DUMMYFUNCTION("""COMPUTED_VALUE"""),"IDA Global - I - 2047 - Ra Rễ - Mập Chồi (Nước hồng) - 50ml - 300")</f>
        <v>IDA Global - I - 2047 - Ra Rễ - Mập Chồi (Nước hồng) - 50ml - 300</v>
      </c>
    </row>
    <row r="2679">
      <c r="A2679" s="86">
        <f>IFERROR(__xludf.DUMMYFUNCTION("""COMPUTED_VALUE"""),2677.0)</f>
        <v>2677</v>
      </c>
      <c r="B2679" s="87" t="str">
        <f>IFERROR(__xludf.DUMMYFUNCTION("""COMPUTED_VALUE"""),"Nhãn thùng")</f>
        <v>Nhãn thùng</v>
      </c>
      <c r="C2679" s="87" t="str">
        <f>IFERROR(__xludf.DUMMYFUNCTION("""COMPUTED_VALUE"""),"NDT2047")</f>
        <v>NDT2047</v>
      </c>
      <c r="D2679" s="87" t="str">
        <f>IFERROR(__xludf.DUMMYFUNCTION("""COMPUTED_VALUE"""),"[Nhãn thùng] IDA Global - I - 2047 - Ra Rễ - Mập Chồi (Nước hồng) - 50ml - 300")</f>
        <v>[Nhãn thùng] IDA Global - I - 2047 - Ra Rễ - Mập Chồi (Nước hồng) - 50ml - 300</v>
      </c>
      <c r="E2679" s="87" t="str">
        <f>IFERROR(__xludf.DUMMYFUNCTION("""COMPUTED_VALUE"""),"Hỗn hợp NPK BASEL NPK 6-16-3 IDA 15")</f>
        <v>Hỗn hợp NPK BASEL NPK 6-16-3 IDA 15</v>
      </c>
      <c r="F2679" s="87" t="str">
        <f>IFERROR(__xludf.DUMMYFUNCTION("""COMPUTED_VALUE"""),"HH2047")</f>
        <v>HH2047</v>
      </c>
      <c r="G2679" s="87" t="str">
        <f>IFERROR(__xludf.DUMMYFUNCTION("""COMPUTED_VALUE"""),"IDA Global - I - 2047 - Ra Rễ - Mập Chồi (Nước hồng) - 50ml - 300")</f>
        <v>IDA Global - I - 2047 - Ra Rễ - Mập Chồi (Nước hồng) - 50ml - 300</v>
      </c>
    </row>
    <row r="2680">
      <c r="A2680" s="86">
        <f>IFERROR(__xludf.DUMMYFUNCTION("""COMPUTED_VALUE"""),2678.0)</f>
        <v>2678</v>
      </c>
      <c r="B2680" s="87" t="str">
        <f>IFERROR(__xludf.DUMMYFUNCTION("""COMPUTED_VALUE"""),"Nhãn")</f>
        <v>Nhãn</v>
      </c>
      <c r="C2680" s="87" t="str">
        <f>IFERROR(__xludf.DUMMYFUNCTION("""COMPUTED_VALUE"""),"NHG2050")</f>
        <v>NHG2050</v>
      </c>
      <c r="D2680" s="87" t="str">
        <f>IFERROR(__xludf.DUMMYFUNCTION("""COMPUTED_VALUE"""),"[Nhãn] GC - IV - 2050 - CTY USAFARM - ROOT 90 (Nước xanh lá) - 500ml - 40")</f>
        <v>[Nhãn] GC - IV - 2050 - CTY USAFARM - ROOT 90 (Nước xanh lá) - 500ml - 40</v>
      </c>
      <c r="E2680" s="87" t="str">
        <f>IFERROR(__xludf.DUMMYFUNCTION("""COMPUTED_VALUE"""),"Hữu cơ SH Agro Organic Fertilizer 20")</f>
        <v>Hữu cơ SH Agro Organic Fertilizer 20</v>
      </c>
      <c r="F2680" s="87" t="str">
        <f>IFERROR(__xludf.DUMMYFUNCTION("""COMPUTED_VALUE"""),"HH2050")</f>
        <v>HH2050</v>
      </c>
      <c r="G2680" s="87" t="str">
        <f>IFERROR(__xludf.DUMMYFUNCTION("""COMPUTED_VALUE"""),"GC - IV - 2050 - CTY USAFARM - ROOT 90 (Nước xanh lá) - 500ml - 40")</f>
        <v>GC - IV - 2050 - CTY USAFARM - ROOT 90 (Nước xanh lá) - 500ml - 40</v>
      </c>
    </row>
    <row r="2681">
      <c r="A2681" s="86">
        <f>IFERROR(__xludf.DUMMYFUNCTION("""COMPUTED_VALUE"""),2679.0)</f>
        <v>2679</v>
      </c>
      <c r="B2681" s="87" t="str">
        <f>IFERROR(__xludf.DUMMYFUNCTION("""COMPUTED_VALUE"""),"Nhãn")</f>
        <v>Nhãn</v>
      </c>
      <c r="C2681" s="87" t="str">
        <f>IFERROR(__xludf.DUMMYFUNCTION("""COMPUTED_VALUE"""),"NHG2051")</f>
        <v>NHG2051</v>
      </c>
      <c r="D2681" s="87" t="str">
        <f>IFERROR(__xludf.DUMMYFUNCTION("""COMPUTED_VALUE"""),"#N/A")</f>
        <v>#N/A</v>
      </c>
      <c r="E2681" s="87"/>
      <c r="F2681" s="87" t="str">
        <f>IFERROR(__xludf.DUMMYFUNCTION("""COMPUTED_VALUE"""),"HH2051")</f>
        <v>HH2051</v>
      </c>
      <c r="G2681" s="87"/>
    </row>
    <row r="2682">
      <c r="A2682" s="86">
        <f>IFERROR(__xludf.DUMMYFUNCTION("""COMPUTED_VALUE"""),2680.0)</f>
        <v>2680</v>
      </c>
      <c r="B2682" s="87" t="str">
        <f>IFERROR(__xludf.DUMMYFUNCTION("""COMPUTED_VALUE"""),"Nhãn")</f>
        <v>Nhãn</v>
      </c>
      <c r="C2682" s="87" t="str">
        <f>IFERROR(__xludf.DUMMYFUNCTION("""COMPUTED_VALUE"""),"NHG2052")</f>
        <v>NHG2052</v>
      </c>
      <c r="D2682" s="87" t="str">
        <f>IFERROR(__xludf.DUMMYFUNCTION("""COMPUTED_VALUE"""),"[Nhãn] IDA Global - I - 2052 - Picosuper 280SC (nước trắng sữa) - 250ml - 40")</f>
        <v>[Nhãn] IDA Global - I - 2052 - Picosuper 280SC (nước trắng sữa) - 250ml - 40</v>
      </c>
      <c r="E2682" s="87" t="str">
        <f>IFERROR(__xludf.DUMMYFUNCTION("""COMPUTED_VALUE"""),"PICOSUPER 280SC")</f>
        <v>PICOSUPER 280SC</v>
      </c>
      <c r="F2682" s="87" t="str">
        <f>IFERROR(__xludf.DUMMYFUNCTION("""COMPUTED_VALUE"""),"HH2052")</f>
        <v>HH2052</v>
      </c>
      <c r="G2682" s="87" t="str">
        <f>IFERROR(__xludf.DUMMYFUNCTION("""COMPUTED_VALUE"""),"IDA Global - I - 2052 - Picosuper 280SC (nước trắng sữa) - 250ml - 40")</f>
        <v>IDA Global - I - 2052 - Picosuper 280SC (nước trắng sữa) - 250ml - 40</v>
      </c>
    </row>
    <row r="2683">
      <c r="A2683" s="86">
        <f>IFERROR(__xludf.DUMMYFUNCTION("""COMPUTED_VALUE"""),2681.0)</f>
        <v>2681</v>
      </c>
      <c r="B2683" s="87" t="str">
        <f>IFERROR(__xludf.DUMMYFUNCTION("""COMPUTED_VALUE"""),"Nhãn")</f>
        <v>Nhãn</v>
      </c>
      <c r="C2683" s="87" t="str">
        <f>IFERROR(__xludf.DUMMYFUNCTION("""COMPUTED_VALUE"""),"NHG2053")</f>
        <v>NHG2053</v>
      </c>
      <c r="D2683" s="87" t="str">
        <f>IFERROR(__xludf.DUMMYFUNCTION("""COMPUTED_VALUE"""),"[Nhãn] DR.XANH - II - 2053 - ROBUST EXTRA (Gel nâu đen) - 500ml - 30")</f>
        <v>[Nhãn] DR.XANH - II - 2053 - ROBUST EXTRA (Gel nâu đen) - 500ml - 30</v>
      </c>
      <c r="E2683" s="87" t="str">
        <f>IFERROR(__xludf.DUMMYFUNCTION("""COMPUTED_VALUE"""),"Vi lượng Quantity New")</f>
        <v>Vi lượng Quantity New</v>
      </c>
      <c r="F2683" s="87" t="str">
        <f>IFERROR(__xludf.DUMMYFUNCTION("""COMPUTED_VALUE"""),"HH2053")</f>
        <v>HH2053</v>
      </c>
      <c r="G2683" s="87" t="str">
        <f>IFERROR(__xludf.DUMMYFUNCTION("""COMPUTED_VALUE"""),"DR.XANH - II - 2053 - ROBUST EXTRA (Gel nâu đen) - 500ml - 30")</f>
        <v>DR.XANH - II - 2053 - ROBUST EXTRA (Gel nâu đen) - 500ml - 30</v>
      </c>
    </row>
    <row r="2684">
      <c r="A2684" s="86">
        <f>IFERROR(__xludf.DUMMYFUNCTION("""COMPUTED_VALUE"""),2682.0)</f>
        <v>2682</v>
      </c>
      <c r="B2684" s="87" t="str">
        <f>IFERROR(__xludf.DUMMYFUNCTION("""COMPUTED_VALUE"""),"Nhãn phụ")</f>
        <v>Nhãn phụ</v>
      </c>
      <c r="C2684" s="87" t="str">
        <f>IFERROR(__xludf.DUMMYFUNCTION("""COMPUTED_VALUE"""),"NHP2053")</f>
        <v>NHP2053</v>
      </c>
      <c r="D2684" s="87" t="str">
        <f>IFERROR(__xludf.DUMMYFUNCTION("""COMPUTED_VALUE"""),"[Nhãn phụ] DR.XANH - II - 2053 - ROBUST EXTRA (Gel nâu đen) - 500ml - 30")</f>
        <v>[Nhãn phụ] DR.XANH - II - 2053 - ROBUST EXTRA (Gel nâu đen) - 500ml - 30</v>
      </c>
      <c r="E2684" s="87" t="str">
        <f>IFERROR(__xludf.DUMMYFUNCTION("""COMPUTED_VALUE"""),"Vi lượng Quantity New")</f>
        <v>Vi lượng Quantity New</v>
      </c>
      <c r="F2684" s="87" t="str">
        <f>IFERROR(__xludf.DUMMYFUNCTION("""COMPUTED_VALUE"""),"HH2053")</f>
        <v>HH2053</v>
      </c>
      <c r="G2684" s="87" t="str">
        <f>IFERROR(__xludf.DUMMYFUNCTION("""COMPUTED_VALUE"""),"DR.XANH - II - 2053 - ROBUST EXTRA (Gel nâu đen) - 500ml - 30")</f>
        <v>DR.XANH - II - 2053 - ROBUST EXTRA (Gel nâu đen) - 500ml - 30</v>
      </c>
    </row>
    <row r="2685">
      <c r="A2685" s="86">
        <f>IFERROR(__xludf.DUMMYFUNCTION("""COMPUTED_VALUE"""),2683.0)</f>
        <v>2683</v>
      </c>
      <c r="B2685" s="87" t="str">
        <f>IFERROR(__xludf.DUMMYFUNCTION("""COMPUTED_VALUE"""),"Nhãn thùng")</f>
        <v>Nhãn thùng</v>
      </c>
      <c r="C2685" s="87" t="str">
        <f>IFERROR(__xludf.DUMMYFUNCTION("""COMPUTED_VALUE"""),"NDT2053")</f>
        <v>NDT2053</v>
      </c>
      <c r="D2685" s="87" t="str">
        <f>IFERROR(__xludf.DUMMYFUNCTION("""COMPUTED_VALUE"""),"[Nhãn thùng] DR.XANH - II - 2053 - ROBUST EXTRA (Gel nâu đen) - 500ml - 30")</f>
        <v>[Nhãn thùng] DR.XANH - II - 2053 - ROBUST EXTRA (Gel nâu đen) - 500ml - 30</v>
      </c>
      <c r="E2685" s="87" t="str">
        <f>IFERROR(__xludf.DUMMYFUNCTION("""COMPUTED_VALUE"""),"Vi lượng Quantity New")</f>
        <v>Vi lượng Quantity New</v>
      </c>
      <c r="F2685" s="87" t="str">
        <f>IFERROR(__xludf.DUMMYFUNCTION("""COMPUTED_VALUE"""),"HH2053")</f>
        <v>HH2053</v>
      </c>
      <c r="G2685" s="87" t="str">
        <f>IFERROR(__xludf.DUMMYFUNCTION("""COMPUTED_VALUE"""),"DR.XANH - II - 2053 - ROBUST EXTRA (Gel nâu đen) - 500ml - 30")</f>
        <v>DR.XANH - II - 2053 - ROBUST EXTRA (Gel nâu đen) - 500ml - 30</v>
      </c>
    </row>
    <row r="2686">
      <c r="A2686" s="86">
        <f>IFERROR(__xludf.DUMMYFUNCTION("""COMPUTED_VALUE"""),2684.0)</f>
        <v>2684</v>
      </c>
      <c r="B2686" s="87" t="str">
        <f>IFERROR(__xludf.DUMMYFUNCTION("""COMPUTED_VALUE"""),"Nhãn")</f>
        <v>Nhãn</v>
      </c>
      <c r="C2686" s="87" t="str">
        <f>IFERROR(__xludf.DUMMYFUNCTION("""COMPUTED_VALUE"""),"NHG2054")</f>
        <v>NHG2054</v>
      </c>
      <c r="D2686" s="87" t="str">
        <f>IFERROR(__xludf.DUMMYFUNCTION("""COMPUTED_VALUE"""),"[Nhãn] GC - IV - 2054 - Cty HC Nông Nghiệp Miền Nam ( HITACO ) - INDOPY GOLD (nước vàng sữa) - 200ml - 40")</f>
        <v>[Nhãn] GC - IV - 2054 - Cty HC Nông Nghiệp Miền Nam ( HITACO ) - INDOPY GOLD (nước vàng sữa) - 200ml - 40</v>
      </c>
      <c r="E2686" s="87" t="str">
        <f>IFERROR(__xludf.DUMMYFUNCTION("""COMPUTED_VALUE"""),"NEW FUZE 200SC")</f>
        <v>NEW FUZE 200SC</v>
      </c>
      <c r="F2686" s="87" t="str">
        <f>IFERROR(__xludf.DUMMYFUNCTION("""COMPUTED_VALUE"""),"HH2054")</f>
        <v>HH2054</v>
      </c>
      <c r="G2686" s="87" t="str">
        <f>IFERROR(__xludf.DUMMYFUNCTION("""COMPUTED_VALUE"""),"GC - IV - 2054 - Cty HC Nông Nghiệp Miền Nam ( HITACO ) - INDOPY GOLD (nước vàng sữa) - 200ml - 40")</f>
        <v>GC - IV - 2054 - Cty HC Nông Nghiệp Miền Nam ( HITACO ) - INDOPY GOLD (nước vàng sữa) - 200ml - 40</v>
      </c>
    </row>
    <row r="2687">
      <c r="A2687" s="86">
        <f>IFERROR(__xludf.DUMMYFUNCTION("""COMPUTED_VALUE"""),2685.0)</f>
        <v>2685</v>
      </c>
      <c r="B2687" s="87" t="str">
        <f>IFERROR(__xludf.DUMMYFUNCTION("""COMPUTED_VALUE"""),"Nhãn")</f>
        <v>Nhãn</v>
      </c>
      <c r="C2687" s="87" t="str">
        <f>IFERROR(__xludf.DUMMYFUNCTION("""COMPUTED_VALUE"""),"NHD2055")</f>
        <v>NHD2055</v>
      </c>
      <c r="D2687" s="87" t="str">
        <f>IFERROR(__xludf.DUMMYFUNCTION("""COMPUTED_VALUE"""),"[Nhãn] GC - II - 2055 - NANOFISH - Ari PH (Nước nâu đen) - 5L - 4")</f>
        <v>[Nhãn] GC - II - 2055 - NANOFISH - Ari PH (Nước nâu đen) - 5L - 4</v>
      </c>
      <c r="E2687" s="87" t="str">
        <f>IFERROR(__xludf.DUMMYFUNCTION("""COMPUTED_VALUE"""),"Hữu cơ SH Agro Organic Fertilizer 20")</f>
        <v>Hữu cơ SH Agro Organic Fertilizer 20</v>
      </c>
      <c r="F2687" s="87" t="str">
        <f>IFERROR(__xludf.DUMMYFUNCTION("""COMPUTED_VALUE"""),"HH2055")</f>
        <v>HH2055</v>
      </c>
      <c r="G2687" s="87" t="str">
        <f>IFERROR(__xludf.DUMMYFUNCTION("""COMPUTED_VALUE"""),"GC - II - 2055 - NANOFISH - Ari PH (Nước nâu đen) - 5L - 4")</f>
        <v>GC - II - 2055 - NANOFISH - Ari PH (Nước nâu đen) - 5L - 4</v>
      </c>
    </row>
    <row r="2688">
      <c r="A2688" s="86">
        <f>IFERROR(__xludf.DUMMYFUNCTION("""COMPUTED_VALUE"""),2686.0)</f>
        <v>2686</v>
      </c>
      <c r="B2688" s="87" t="str">
        <f>IFERROR(__xludf.DUMMYFUNCTION("""COMPUTED_VALUE"""),"Nhãn thùng")</f>
        <v>Nhãn thùng</v>
      </c>
      <c r="C2688" s="87" t="str">
        <f>IFERROR(__xludf.DUMMYFUNCTION("""COMPUTED_VALUE"""),"NDT2055")</f>
        <v>NDT2055</v>
      </c>
      <c r="D2688" s="87" t="str">
        <f>IFERROR(__xludf.DUMMYFUNCTION("""COMPUTED_VALUE"""),"[Nhãn thùng] GC - II - 2055 - NANOFISH - Ari PH (Nước nâu đen) - 5L - 4")</f>
        <v>[Nhãn thùng] GC - II - 2055 - NANOFISH - Ari PH (Nước nâu đen) - 5L - 4</v>
      </c>
      <c r="E2688" s="87" t="str">
        <f>IFERROR(__xludf.DUMMYFUNCTION("""COMPUTED_VALUE"""),"Hữu cơ SH Agro Organic Fertilizer 20")</f>
        <v>Hữu cơ SH Agro Organic Fertilizer 20</v>
      </c>
      <c r="F2688" s="87" t="str">
        <f>IFERROR(__xludf.DUMMYFUNCTION("""COMPUTED_VALUE"""),"HH2055")</f>
        <v>HH2055</v>
      </c>
      <c r="G2688" s="87" t="str">
        <f>IFERROR(__xludf.DUMMYFUNCTION("""COMPUTED_VALUE"""),"GC - II - 2055 - NANOFISH - Ari PH (Nước nâu đen) - 5L - 4")</f>
        <v>GC - II - 2055 - NANOFISH - Ari PH (Nước nâu đen) - 5L - 4</v>
      </c>
    </row>
    <row r="2689">
      <c r="A2689" s="86">
        <f>IFERROR(__xludf.DUMMYFUNCTION("""COMPUTED_VALUE"""),2687.0)</f>
        <v>2687</v>
      </c>
      <c r="B2689" s="87" t="str">
        <f>IFERROR(__xludf.DUMMYFUNCTION("""COMPUTED_VALUE"""),"Nhãn")</f>
        <v>Nhãn</v>
      </c>
      <c r="C2689" s="87" t="str">
        <f>IFERROR(__xludf.DUMMYFUNCTION("""COMPUTED_VALUE"""),"NHG2056")</f>
        <v>NHG2056</v>
      </c>
      <c r="D2689" s="87" t="str">
        <f>IFERROR(__xludf.DUMMYFUNCTION("""COMPUTED_VALUE"""),"[Nhãn] GC - IV - 2056 - Cty Tiến Vinh - NOFARA 350SC (Nước trắng sữa) - 240ml - 40")</f>
        <v>[Nhãn] GC - IV - 2056 - Cty Tiến Vinh - NOFARA 350SC (Nước trắng sữa) - 240ml - 40</v>
      </c>
      <c r="E2689" s="87" t="str">
        <f>IFERROR(__xludf.DUMMYFUNCTION("""COMPUTED_VALUE"""),"NOFARA 350SC")</f>
        <v>NOFARA 350SC</v>
      </c>
      <c r="F2689" s="87" t="str">
        <f>IFERROR(__xludf.DUMMYFUNCTION("""COMPUTED_VALUE"""),"HH2056")</f>
        <v>HH2056</v>
      </c>
      <c r="G2689" s="87" t="str">
        <f>IFERROR(__xludf.DUMMYFUNCTION("""COMPUTED_VALUE"""),"GC - IV - 2056 - Cty Tiến Vinh - NOFARA 350SC (Nước trắng sữa) - 240ml - 40")</f>
        <v>GC - IV - 2056 - Cty Tiến Vinh - NOFARA 350SC (Nước trắng sữa) - 240ml - 40</v>
      </c>
    </row>
    <row r="2690">
      <c r="A2690" s="86">
        <f>IFERROR(__xludf.DUMMYFUNCTION("""COMPUTED_VALUE"""),2688.0)</f>
        <v>2688</v>
      </c>
      <c r="B2690" s="87" t="str">
        <f>IFERROR(__xludf.DUMMYFUNCTION("""COMPUTED_VALUE"""),"Nhãn")</f>
        <v>Nhãn</v>
      </c>
      <c r="C2690" s="87" t="str">
        <f>IFERROR(__xludf.DUMMYFUNCTION("""COMPUTED_VALUE"""),"NHG2057")</f>
        <v>NHG2057</v>
      </c>
      <c r="D2690" s="87" t="str">
        <f>IFERROR(__xludf.DUMMYFUNCTION("""COMPUTED_VALUE"""),"[Nhãn] GC - IV - 2057 - CTY O2L - Abametin 3.6 (Ốc Vàng - Nhãn đen) (nước nâu đen) - 450ml - 40")</f>
        <v>[Nhãn] GC - IV - 2057 - CTY O2L - Abametin 3.6 (Ốc Vàng - Nhãn đen) (nước nâu đen) - 450ml - 40</v>
      </c>
      <c r="E2690" s="87" t="str">
        <f>IFERROR(__xludf.DUMMYFUNCTION("""COMPUTED_VALUE"""),"Chitin 3.6EC")</f>
        <v>Chitin 3.6EC</v>
      </c>
      <c r="F2690" s="87" t="str">
        <f>IFERROR(__xludf.DUMMYFUNCTION("""COMPUTED_VALUE"""),"HH2057")</f>
        <v>HH2057</v>
      </c>
      <c r="G2690" s="87" t="str">
        <f>IFERROR(__xludf.DUMMYFUNCTION("""COMPUTED_VALUE"""),"GC - IV - 2057 - CTY O2L - Abametin 3.6 (Ốc Vàng - Nhãn đen) (nước nâu đen) - 450ml - 40")</f>
        <v>GC - IV - 2057 - CTY O2L - Abametin 3.6 (Ốc Vàng - Nhãn đen) (nước nâu đen) - 450ml - 40</v>
      </c>
    </row>
    <row r="2691">
      <c r="A2691" s="86">
        <f>IFERROR(__xludf.DUMMYFUNCTION("""COMPUTED_VALUE"""),2689.0)</f>
        <v>2689</v>
      </c>
      <c r="B2691" s="87" t="str">
        <f>IFERROR(__xludf.DUMMYFUNCTION("""COMPUTED_VALUE"""),"Nhãn")</f>
        <v>Nhãn</v>
      </c>
      <c r="C2691" s="87" t="str">
        <f>IFERROR(__xludf.DUMMYFUNCTION("""COMPUTED_VALUE"""),"NHG2058")</f>
        <v>NHG2058</v>
      </c>
      <c r="D2691" s="87" t="str">
        <f>IFERROR(__xludf.DUMMYFUNCTION("""COMPUTED_VALUE"""),"[Nhãn] GC - II - 2058 - THÀNH CÔNG AGRI - SUPER FRUIT (Nước xanh dương) - 500ml - 40")</f>
        <v>[Nhãn] GC - II - 2058 - THÀNH CÔNG AGRI - SUPER FRUIT (Nước xanh dương) - 500ml - 40</v>
      </c>
      <c r="E2691" s="87" t="str">
        <f>IFERROR(__xludf.DUMMYFUNCTION("""COMPUTED_VALUE"""),"vi lượng HELP FARMER_3")</f>
        <v>vi lượng HELP FARMER_3</v>
      </c>
      <c r="F2691" s="87" t="str">
        <f>IFERROR(__xludf.DUMMYFUNCTION("""COMPUTED_VALUE"""),"HH2058")</f>
        <v>HH2058</v>
      </c>
      <c r="G2691" s="87" t="str">
        <f>IFERROR(__xludf.DUMMYFUNCTION("""COMPUTED_VALUE"""),"GC - II - 2058 - THÀNH CÔNG AGRI - SUPER FRUIT (Nước xanh dương) - 500ml - 40")</f>
        <v>GC - II - 2058 - THÀNH CÔNG AGRI - SUPER FRUIT (Nước xanh dương) - 500ml - 40</v>
      </c>
    </row>
    <row r="2692">
      <c r="A2692" s="86">
        <f>IFERROR(__xludf.DUMMYFUNCTION("""COMPUTED_VALUE"""),2690.0)</f>
        <v>2690</v>
      </c>
      <c r="B2692" s="87" t="str">
        <f>IFERROR(__xludf.DUMMYFUNCTION("""COMPUTED_VALUE"""),"Nhãn")</f>
        <v>Nhãn</v>
      </c>
      <c r="C2692" s="87" t="str">
        <f>IFERROR(__xludf.DUMMYFUNCTION("""COMPUTED_VALUE"""),"NDT2061")</f>
        <v>NDT2061</v>
      </c>
      <c r="D2692" s="87" t="str">
        <f>IFERROR(__xludf.DUMMYFUNCTION("""COMPUTED_VALUE"""),"[Nhãn] GC - IV - 2061 - Cty GNH (A.Thời) - Siêu Lân (bột trắng) - 1kg - 25")</f>
        <v>[Nhãn] GC - IV - 2061 - Cty GNH (A.Thời) - Siêu Lân (bột trắng) - 1kg - 25</v>
      </c>
      <c r="E2692" s="87" t="str">
        <f>IFERROR(__xludf.DUMMYFUNCTION("""COMPUTED_VALUE"""),"Vi lượng Yellow Farm")</f>
        <v>Vi lượng Yellow Farm</v>
      </c>
      <c r="F2692" s="87" t="str">
        <f>IFERROR(__xludf.DUMMYFUNCTION("""COMPUTED_VALUE"""),"HH2061")</f>
        <v>HH2061</v>
      </c>
      <c r="G2692" s="87" t="str">
        <f>IFERROR(__xludf.DUMMYFUNCTION("""COMPUTED_VALUE"""),"GC - IV - 2061 - Cty GNH (A.Thời) - Siêu Lân (bột trắng) - 1kg - 25")</f>
        <v>GC - IV - 2061 - Cty GNH (A.Thời) - Siêu Lân (bột trắng) - 1kg - 25</v>
      </c>
    </row>
    <row r="2693">
      <c r="A2693" s="86">
        <f>IFERROR(__xludf.DUMMYFUNCTION("""COMPUTED_VALUE"""),2691.0)</f>
        <v>2691</v>
      </c>
      <c r="B2693" s="87" t="str">
        <f>IFERROR(__xludf.DUMMYFUNCTION("""COMPUTED_VALUE"""),"Nhãn")</f>
        <v>Nhãn</v>
      </c>
      <c r="C2693" s="87" t="str">
        <f>IFERROR(__xludf.DUMMYFUNCTION("""COMPUTED_VALUE"""),"NTN2061")</f>
        <v>NTN2061</v>
      </c>
      <c r="D2693" s="87" t="str">
        <f>IFERROR(__xludf.DUMMYFUNCTION("""COMPUTED_VALUE"""),"[Nhãn] GC - IV - 2061 - Cty GNH (A.Thời) - Siêu Lân (bột trắng) - 1kg - 25")</f>
        <v>[Nhãn] GC - IV - 2061 - Cty GNH (A.Thời) - Siêu Lân (bột trắng) - 1kg - 25</v>
      </c>
      <c r="E2693" s="87" t="str">
        <f>IFERROR(__xludf.DUMMYFUNCTION("""COMPUTED_VALUE"""),"Vi lượng Yellow Farm")</f>
        <v>Vi lượng Yellow Farm</v>
      </c>
      <c r="F2693" s="87" t="str">
        <f>IFERROR(__xludf.DUMMYFUNCTION("""COMPUTED_VALUE"""),"HH2061")</f>
        <v>HH2061</v>
      </c>
      <c r="G2693" s="87" t="str">
        <f>IFERROR(__xludf.DUMMYFUNCTION("""COMPUTED_VALUE"""),"GC - IV - 2061 - Cty GNH (A.Thời) - Siêu Lân (bột trắng) - 1kg - 25")</f>
        <v>GC - IV - 2061 - Cty GNH (A.Thời) - Siêu Lân (bột trắng) - 1kg - 25</v>
      </c>
    </row>
    <row r="2694">
      <c r="A2694" s="86">
        <f>IFERROR(__xludf.DUMMYFUNCTION("""COMPUTED_VALUE"""),2692.0)</f>
        <v>2692</v>
      </c>
      <c r="B2694" s="87" t="str">
        <f>IFERROR(__xludf.DUMMYFUNCTION("""COMPUTED_VALUE"""),"Nhãn")</f>
        <v>Nhãn</v>
      </c>
      <c r="C2694" s="87" t="str">
        <f>IFERROR(__xludf.DUMMYFUNCTION("""COMPUTED_VALUE"""),"NDT2062")</f>
        <v>NDT2062</v>
      </c>
      <c r="D2694" s="87" t="str">
        <f>IFERROR(__xludf.DUMMYFUNCTION("""COMPUTED_VALUE"""),"[Nhãn] GC - II - 2062 - ĐL Kim Khoa - Mancozeb xanh (bột xanh) - 1kg - 20")</f>
        <v>[Nhãn] GC - II - 2062 - ĐL Kim Khoa - Mancozeb xanh (bột xanh) - 1kg - 20</v>
      </c>
      <c r="E2694" s="87" t="str">
        <f>IFERROR(__xludf.DUMMYFUNCTION("""COMPUTED_VALUE"""),"MANCOBGO 80WP")</f>
        <v>MANCOBGO 80WP</v>
      </c>
      <c r="F2694" s="87" t="str">
        <f>IFERROR(__xludf.DUMMYFUNCTION("""COMPUTED_VALUE"""),"HH2062")</f>
        <v>HH2062</v>
      </c>
      <c r="G2694" s="87" t="str">
        <f>IFERROR(__xludf.DUMMYFUNCTION("""COMPUTED_VALUE"""),"GC - II - 2062 - ĐL Kim Khoa - Mancozeb xanh (bột xanh) - 1kg - 20")</f>
        <v>GC - II - 2062 - ĐL Kim Khoa - Mancozeb xanh (bột xanh) - 1kg - 20</v>
      </c>
    </row>
    <row r="2695">
      <c r="A2695" s="86">
        <f>IFERROR(__xludf.DUMMYFUNCTION("""COMPUTED_VALUE"""),2693.0)</f>
        <v>2693</v>
      </c>
      <c r="B2695" s="87" t="str">
        <f>IFERROR(__xludf.DUMMYFUNCTION("""COMPUTED_VALUE"""),"Nhãn")</f>
        <v>Nhãn</v>
      </c>
      <c r="C2695" s="87" t="str">
        <f>IFERROR(__xludf.DUMMYFUNCTION("""COMPUTED_VALUE"""),"NTN2062")</f>
        <v>NTN2062</v>
      </c>
      <c r="D2695" s="87" t="str">
        <f>IFERROR(__xludf.DUMMYFUNCTION("""COMPUTED_VALUE"""),"[Nhãn] GC - II - 2062 - ĐL Kim Khoa - Mancozeb xanh (bột xanh) - 1kg - 20")</f>
        <v>[Nhãn] GC - II - 2062 - ĐL Kim Khoa - Mancozeb xanh (bột xanh) - 1kg - 20</v>
      </c>
      <c r="E2695" s="87" t="str">
        <f>IFERROR(__xludf.DUMMYFUNCTION("""COMPUTED_VALUE"""),"MANCOBGO 80WP")</f>
        <v>MANCOBGO 80WP</v>
      </c>
      <c r="F2695" s="87" t="str">
        <f>IFERROR(__xludf.DUMMYFUNCTION("""COMPUTED_VALUE"""),"HH2062")</f>
        <v>HH2062</v>
      </c>
      <c r="G2695" s="87" t="str">
        <f>IFERROR(__xludf.DUMMYFUNCTION("""COMPUTED_VALUE"""),"GC - II - 2062 - ĐL Kim Khoa - Mancozeb xanh (bột xanh) - 1kg - 20")</f>
        <v>GC - II - 2062 - ĐL Kim Khoa - Mancozeb xanh (bột xanh) - 1kg - 20</v>
      </c>
    </row>
    <row r="2696">
      <c r="A2696" s="86">
        <f>IFERROR(__xludf.DUMMYFUNCTION("""COMPUTED_VALUE"""),2694.0)</f>
        <v>2694</v>
      </c>
      <c r="B2696" s="87" t="str">
        <f>IFERROR(__xludf.DUMMYFUNCTION("""COMPUTED_VALUE"""),"Nhãn")</f>
        <v>Nhãn</v>
      </c>
      <c r="C2696" s="87" t="str">
        <f>IFERROR(__xludf.DUMMYFUNCTION("""COMPUTED_VALUE"""),"NHG2063")</f>
        <v>NHG2063</v>
      </c>
      <c r="D2696" s="87" t="str">
        <f>IFERROR(__xludf.DUMMYFUNCTION("""COMPUTED_VALUE"""),"[Nhãn] GC - IV - 2063 - CTY AGRITECH - MIKHADA 45ME (Nước trắng sữa) - 100ml - 50")</f>
        <v>[Nhãn] GC - IV - 2063 - CTY AGRITECH - MIKHADA 45ME (Nước trắng sữa) - 100ml - 50</v>
      </c>
      <c r="E2696" s="87" t="str">
        <f>IFERROR(__xludf.DUMMYFUNCTION("""COMPUTED_VALUE"""),"MIKHADA 45ME")</f>
        <v>MIKHADA 45ME</v>
      </c>
      <c r="F2696" s="87" t="str">
        <f>IFERROR(__xludf.DUMMYFUNCTION("""COMPUTED_VALUE"""),"HH2063")</f>
        <v>HH2063</v>
      </c>
      <c r="G2696" s="87" t="str">
        <f>IFERROR(__xludf.DUMMYFUNCTION("""COMPUTED_VALUE"""),"GC - IV - 2063 - CTY AGRITECH - MIKHADA 45ME (Nước trắng sữa) - 100ml - 50")</f>
        <v>GC - IV - 2063 - CTY AGRITECH - MIKHADA 45ME (Nước trắng sữa) - 100ml - 50</v>
      </c>
    </row>
    <row r="2697">
      <c r="A2697" s="86">
        <f>IFERROR(__xludf.DUMMYFUNCTION("""COMPUTED_VALUE"""),2695.0)</f>
        <v>2695</v>
      </c>
      <c r="B2697" s="87" t="str">
        <f>IFERROR(__xludf.DUMMYFUNCTION("""COMPUTED_VALUE"""),"Nhãn")</f>
        <v>Nhãn</v>
      </c>
      <c r="C2697" s="87" t="str">
        <f>IFERROR(__xludf.DUMMYFUNCTION("""COMPUTED_VALUE"""),"NHG2064")</f>
        <v>NHG2064</v>
      </c>
      <c r="D2697" s="87" t="str">
        <f>IFERROR(__xludf.DUMMYFUNCTION("""COMPUTED_VALUE"""),"[Nhãn] GC - II - 2064 - NHP GROUP - KODO STOP (nước nâu đen) - 1L - 20")</f>
        <v>[Nhãn] GC - II - 2064 - NHP GROUP - KODO STOP (nước nâu đen) - 1L - 20</v>
      </c>
      <c r="E2697" s="87" t="str">
        <f>IFERROR(__xludf.DUMMYFUNCTION("""COMPUTED_VALUE"""),"Vi lượng Quantity New")</f>
        <v>Vi lượng Quantity New</v>
      </c>
      <c r="F2697" s="87" t="str">
        <f>IFERROR(__xludf.DUMMYFUNCTION("""COMPUTED_VALUE"""),"HH2064")</f>
        <v>HH2064</v>
      </c>
      <c r="G2697" s="87" t="str">
        <f>IFERROR(__xludf.DUMMYFUNCTION("""COMPUTED_VALUE"""),"GC - II - 2064 - NHP GROUP - KODO STOP (nước nâu đen) - 1L - 20")</f>
        <v>GC - II - 2064 - NHP GROUP - KODO STOP (nước nâu đen) - 1L - 20</v>
      </c>
    </row>
    <row r="2698">
      <c r="A2698" s="86">
        <f>IFERROR(__xludf.DUMMYFUNCTION("""COMPUTED_VALUE"""),2696.0)</f>
        <v>2696</v>
      </c>
      <c r="B2698" s="87" t="str">
        <f>IFERROR(__xludf.DUMMYFUNCTION("""COMPUTED_VALUE"""),"Nhãn")</f>
        <v>Nhãn</v>
      </c>
      <c r="C2698" s="87" t="str">
        <f>IFERROR(__xludf.DUMMYFUNCTION("""COMPUTED_VALUE"""),"NHD2065")</f>
        <v>NHD2065</v>
      </c>
      <c r="D2698" s="87" t="str">
        <f>IFERROR(__xludf.DUMMYFUNCTION("""COMPUTED_VALUE"""),"[Nhãn] GC - II - 2065 - AGC NEW - FAQUATRIO 20SL (Nước tím) - 900ml - 20")</f>
        <v>[Nhãn] GC - II - 2065 - AGC NEW - FAQUATRIO 20SL (Nước tím) - 900ml - 20</v>
      </c>
      <c r="E2698" s="87" t="str">
        <f>IFERROR(__xludf.DUMMYFUNCTION("""COMPUTED_VALUE"""),"FAQUATRIO 20SL")</f>
        <v>FAQUATRIO 20SL</v>
      </c>
      <c r="F2698" s="87" t="str">
        <f>IFERROR(__xludf.DUMMYFUNCTION("""COMPUTED_VALUE"""),"HH2065")</f>
        <v>HH2065</v>
      </c>
      <c r="G2698" s="87" t="str">
        <f>IFERROR(__xludf.DUMMYFUNCTION("""COMPUTED_VALUE"""),"GC - II - 2065 - AGC NEW - FAQUATRIO 20SL (Nước tím) - 900ml - 20")</f>
        <v>GC - II - 2065 - AGC NEW - FAQUATRIO 20SL (Nước tím) - 900ml - 20</v>
      </c>
    </row>
    <row r="2699">
      <c r="A2699" s="86">
        <f>IFERROR(__xludf.DUMMYFUNCTION("""COMPUTED_VALUE"""),2697.0)</f>
        <v>2697</v>
      </c>
      <c r="B2699" s="87" t="str">
        <f>IFERROR(__xludf.DUMMYFUNCTION("""COMPUTED_VALUE"""),"Nhãn")</f>
        <v>Nhãn</v>
      </c>
      <c r="C2699" s="87" t="str">
        <f>IFERROR(__xludf.DUMMYFUNCTION("""COMPUTED_VALUE"""),"NHG2066")</f>
        <v>NHG2066</v>
      </c>
      <c r="D2699" s="87" t="str">
        <f>IFERROR(__xludf.DUMMYFUNCTION("""COMPUTED_VALUE"""),"[Nhãn] NB - I - 2066 - Cty Nông Dược Sunrise - RẦY RỆP SUNRISE (Nước vàng trà) - 400ml - 40")</f>
        <v>[Nhãn] NB - I - 2066 - Cty Nông Dược Sunrise - RẦY RỆP SUNRISE (Nước vàng trà) - 400ml - 40</v>
      </c>
      <c r="E2699" s="87" t="str">
        <f>IFERROR(__xludf.DUMMYFUNCTION("""COMPUTED_VALUE"""),"Thipro 550EC")</f>
        <v>Thipro 550EC</v>
      </c>
      <c r="F2699" s="87" t="str">
        <f>IFERROR(__xludf.DUMMYFUNCTION("""COMPUTED_VALUE"""),"HH2066")</f>
        <v>HH2066</v>
      </c>
      <c r="G2699" s="87" t="str">
        <f>IFERROR(__xludf.DUMMYFUNCTION("""COMPUTED_VALUE"""),"NB - I - 2066 - Cty Nông Dược Sunrise - RẦY RỆP SUNRISE (Nước vàng trà) - 400ml - 40")</f>
        <v>NB - I - 2066 - Cty Nông Dược Sunrise - RẦY RỆP SUNRISE (Nước vàng trà) - 400ml - 40</v>
      </c>
    </row>
    <row r="2700">
      <c r="A2700" s="86">
        <f>IFERROR(__xludf.DUMMYFUNCTION("""COMPUTED_VALUE"""),2698.0)</f>
        <v>2698</v>
      </c>
      <c r="B2700" s="87" t="str">
        <f>IFERROR(__xludf.DUMMYFUNCTION("""COMPUTED_VALUE"""),"Nhãn")</f>
        <v>Nhãn</v>
      </c>
      <c r="C2700" s="87" t="str">
        <f>IFERROR(__xludf.DUMMYFUNCTION("""COMPUTED_VALUE"""),"NHG2067")</f>
        <v>NHG2067</v>
      </c>
      <c r="D2700" s="87" t="str">
        <f>IFERROR(__xludf.DUMMYFUNCTION("""COMPUTED_VALUE"""),"[Nhãn] GC - IV - 2067 - CTY SUNFARM - NGỰA VẰN (Nước đỏ) - 1L - 2")</f>
        <v>[Nhãn] GC - IV - 2067 - CTY SUNFARM - NGỰA VẰN (Nước đỏ) - 1L - 2</v>
      </c>
      <c r="E2700" s="87" t="str">
        <f>IFERROR(__xludf.DUMMYFUNCTION("""COMPUTED_VALUE"""),"Asupergras 200SL")</f>
        <v>Asupergras 200SL</v>
      </c>
      <c r="F2700" s="87" t="str">
        <f>IFERROR(__xludf.DUMMYFUNCTION("""COMPUTED_VALUE"""),"HH2067")</f>
        <v>HH2067</v>
      </c>
      <c r="G2700" s="87" t="str">
        <f>IFERROR(__xludf.DUMMYFUNCTION("""COMPUTED_VALUE"""),"GC - IV - 2067 - CTY SUNFARM - NGỰA VẰN (Nước đỏ) - 1L - 2")</f>
        <v>GC - IV - 2067 - CTY SUNFARM - NGỰA VẰN (Nước đỏ) - 1L - 2</v>
      </c>
    </row>
    <row r="2701">
      <c r="A2701" s="86">
        <f>IFERROR(__xludf.DUMMYFUNCTION("""COMPUTED_VALUE"""),2699.0)</f>
        <v>2699</v>
      </c>
      <c r="B2701" s="87" t="str">
        <f>IFERROR(__xludf.DUMMYFUNCTION("""COMPUTED_VALUE"""),"Nhãn")</f>
        <v>Nhãn</v>
      </c>
      <c r="C2701" s="87" t="str">
        <f>IFERROR(__xludf.DUMMYFUNCTION("""COMPUTED_VALUE"""),"NHG2068")</f>
        <v>NHG2068</v>
      </c>
      <c r="D2701" s="87" t="str">
        <f>IFERROR(__xludf.DUMMYFUNCTION("""COMPUTED_VALUE"""),"[Nhãn] GC - II - 2068 - Cty Agritech - Agri Amino (Chuyên cây ăn trái) (Nước nâu đen) - 500ml - 40")</f>
        <v>[Nhãn] GC - II - 2068 - Cty Agritech - Agri Amino (Chuyên cây ăn trái) (Nước nâu đen) - 500ml - 40</v>
      </c>
      <c r="E2701" s="87" t="str">
        <f>IFERROR(__xludf.DUMMYFUNCTION("""COMPUTED_VALUE"""),"Vi lượng Quantity New")</f>
        <v>Vi lượng Quantity New</v>
      </c>
      <c r="F2701" s="87" t="str">
        <f>IFERROR(__xludf.DUMMYFUNCTION("""COMPUTED_VALUE"""),"HH2068")</f>
        <v>HH2068</v>
      </c>
      <c r="G2701" s="87" t="str">
        <f>IFERROR(__xludf.DUMMYFUNCTION("""COMPUTED_VALUE"""),"GC - II - 2068 - Cty Agritech - Agri Amino (Chuyên cây ăn trái) (Nước nâu đen) - 500ml - 40")</f>
        <v>GC - II - 2068 - Cty Agritech - Agri Amino (Chuyên cây ăn trái) (Nước nâu đen) - 500ml - 40</v>
      </c>
    </row>
    <row r="2702">
      <c r="A2702" s="86">
        <f>IFERROR(__xludf.DUMMYFUNCTION("""COMPUTED_VALUE"""),2700.0)</f>
        <v>2700</v>
      </c>
      <c r="B2702" s="87" t="str">
        <f>IFERROR(__xludf.DUMMYFUNCTION("""COMPUTED_VALUE"""),"Nhãn")</f>
        <v>Nhãn</v>
      </c>
      <c r="C2702" s="87" t="str">
        <f>IFERROR(__xludf.DUMMYFUNCTION("""COMPUTED_VALUE"""),"NHG2069")</f>
        <v>NHG2069</v>
      </c>
      <c r="D2702" s="87" t="str">
        <f>IFERROR(__xludf.DUMMYFUNCTION("""COMPUTED_VALUE"""),"[Nhãn] NB - I - 2069 - Cty Nông Dược Sunrise - CỎ CHÁY THẾ HỆ MỚI (Nước đỏ - không phụ gia) - 900ml - 20")</f>
        <v>[Nhãn] NB - I - 2069 - Cty Nông Dược Sunrise - CỎ CHÁY THẾ HỆ MỚI (Nước đỏ - không phụ gia) - 900ml - 20</v>
      </c>
      <c r="E2702" s="87" t="str">
        <f>IFERROR(__xludf.DUMMYFUNCTION("""COMPUTED_VALUE"""),"NEWFOSINATE 150SL")</f>
        <v>NEWFOSINATE 150SL</v>
      </c>
      <c r="F2702" s="87" t="str">
        <f>IFERROR(__xludf.DUMMYFUNCTION("""COMPUTED_VALUE"""),"HH2069")</f>
        <v>HH2069</v>
      </c>
      <c r="G2702" s="87" t="str">
        <f>IFERROR(__xludf.DUMMYFUNCTION("""COMPUTED_VALUE"""),"NB - I - 2069 - Cty Nông Dược Sunrise - CỎ CHÁY THẾ HỆ MỚI (Nước đỏ - không phụ gia) - 900ml - 20")</f>
        <v>NB - I - 2069 - Cty Nông Dược Sunrise - CỎ CHÁY THẾ HỆ MỚI (Nước đỏ - không phụ gia) - 900ml - 20</v>
      </c>
    </row>
    <row r="2703">
      <c r="A2703" s="86">
        <f>IFERROR(__xludf.DUMMYFUNCTION("""COMPUTED_VALUE"""),2701.0)</f>
        <v>2701</v>
      </c>
      <c r="B2703" s="87" t="str">
        <f>IFERROR(__xludf.DUMMYFUNCTION("""COMPUTED_VALUE"""),"Nhãn")</f>
        <v>Nhãn</v>
      </c>
      <c r="C2703" s="87" t="str">
        <f>IFERROR(__xludf.DUMMYFUNCTION("""COMPUTED_VALUE"""),"NHG2070")</f>
        <v>NHG2070</v>
      </c>
      <c r="D2703" s="87" t="str">
        <f>IFERROR(__xludf.DUMMYFUNCTION("""COMPUTED_VALUE"""),"[Nhãn] GC - IV - 2070 - CTY NÔNG HÓA XANH - KILL NHỆN (Nước đỏ) - 240ml - 40")</f>
        <v>[Nhãn] GC - IV - 2070 - CTY NÔNG HÓA XANH - KILL NHỆN (Nước đỏ) - 240ml - 40</v>
      </c>
      <c r="E2703" s="87" t="str">
        <f>IFERROR(__xludf.DUMMYFUNCTION("""COMPUTED_VALUE"""),"CHIM ƯNG 3.8EC")</f>
        <v>CHIM ƯNG 3.8EC</v>
      </c>
      <c r="F2703" s="87" t="str">
        <f>IFERROR(__xludf.DUMMYFUNCTION("""COMPUTED_VALUE"""),"HH2070")</f>
        <v>HH2070</v>
      </c>
      <c r="G2703" s="87" t="str">
        <f>IFERROR(__xludf.DUMMYFUNCTION("""COMPUTED_VALUE"""),"GC - IV - 2070 - CTY NÔNG HÓA XANH - KILL NHỆN (Nước đỏ) - 240ml - 40")</f>
        <v>GC - IV - 2070 - CTY NÔNG HÓA XANH - KILL NHỆN (Nước đỏ) - 240ml - 40</v>
      </c>
    </row>
    <row r="2704">
      <c r="A2704" s="86">
        <f>IFERROR(__xludf.DUMMYFUNCTION("""COMPUTED_VALUE"""),2702.0)</f>
        <v>2702</v>
      </c>
      <c r="B2704" s="87" t="str">
        <f>IFERROR(__xludf.DUMMYFUNCTION("""COMPUTED_VALUE"""),"Nhãn")</f>
        <v>Nhãn</v>
      </c>
      <c r="C2704" s="87" t="str">
        <f>IFERROR(__xludf.DUMMYFUNCTION("""COMPUTED_VALUE"""),"NHD2071")</f>
        <v>NHD2071</v>
      </c>
      <c r="D2704" s="87" t="str">
        <f>IFERROR(__xludf.DUMMYFUNCTION("""COMPUTED_VALUE"""),"[Nhãn] GC - II - 2071 - THÀNH CÔNG AGRI - MASTER ROOT (Gel nâu đen) - 20L - 1")</f>
        <v>[Nhãn] GC - II - 2071 - THÀNH CÔNG AGRI - MASTER ROOT (Gel nâu đen) - 20L - 1</v>
      </c>
      <c r="E2704" s="87" t="str">
        <f>IFERROR(__xludf.DUMMYFUNCTION("""COMPUTED_VALUE"""),"Vi lượng AGAMA-SUPPORT")</f>
        <v>Vi lượng AGAMA-SUPPORT</v>
      </c>
      <c r="F2704" s="87" t="str">
        <f>IFERROR(__xludf.DUMMYFUNCTION("""COMPUTED_VALUE"""),"HH2071")</f>
        <v>HH2071</v>
      </c>
      <c r="G2704" s="87" t="str">
        <f>IFERROR(__xludf.DUMMYFUNCTION("""COMPUTED_VALUE"""),"GC - II - 2071 - THÀNH CÔNG AGRI - MASTER ROOT (Gel nâu đen) - 20L - 1")</f>
        <v>GC - II - 2071 - THÀNH CÔNG AGRI - MASTER ROOT (Gel nâu đen) - 20L - 1</v>
      </c>
    </row>
    <row r="2705">
      <c r="A2705" s="86">
        <f>IFERROR(__xludf.DUMMYFUNCTION("""COMPUTED_VALUE"""),2703.0)</f>
        <v>2703</v>
      </c>
      <c r="B2705" s="87" t="str">
        <f>IFERROR(__xludf.DUMMYFUNCTION("""COMPUTED_VALUE"""),"Nhãn")</f>
        <v>Nhãn</v>
      </c>
      <c r="C2705" s="87" t="str">
        <f>IFERROR(__xludf.DUMMYFUNCTION("""COMPUTED_VALUE"""),"NHG2072")</f>
        <v>NHG2072</v>
      </c>
      <c r="D2705" s="87" t="str">
        <f>IFERROR(__xludf.DUMMYFUNCTION("""COMPUTED_VALUE"""),"[Nhãn] GC - IV - 2072 - Cty Biotech Hà Lan - SÁT THỦ (Nước tím) - 240ml - 40")</f>
        <v>[Nhãn] GC - IV - 2072 - Cty Biotech Hà Lan - SÁT THỦ (Nước tím) - 240ml - 40</v>
      </c>
      <c r="E2705" s="87" t="str">
        <f>IFERROR(__xludf.DUMMYFUNCTION("""COMPUTED_VALUE"""),"Thipro 550EC")</f>
        <v>Thipro 550EC</v>
      </c>
      <c r="F2705" s="87" t="str">
        <f>IFERROR(__xludf.DUMMYFUNCTION("""COMPUTED_VALUE"""),"HH2072")</f>
        <v>HH2072</v>
      </c>
      <c r="G2705" s="87" t="str">
        <f>IFERROR(__xludf.DUMMYFUNCTION("""COMPUTED_VALUE"""),"GC - IV - 2072 - Cty Biotech Hà Lan - SÁT THỦ (Nước tím) - 240ml - 40")</f>
        <v>GC - IV - 2072 - Cty Biotech Hà Lan - SÁT THỦ (Nước tím) - 240ml - 40</v>
      </c>
    </row>
    <row r="2706">
      <c r="A2706" s="86">
        <f>IFERROR(__xludf.DUMMYFUNCTION("""COMPUTED_VALUE"""),2704.0)</f>
        <v>2704</v>
      </c>
      <c r="B2706" s="87" t="str">
        <f>IFERROR(__xludf.DUMMYFUNCTION("""COMPUTED_VALUE"""),"Nhãn")</f>
        <v>Nhãn</v>
      </c>
      <c r="C2706" s="87" t="str">
        <f>IFERROR(__xludf.DUMMYFUNCTION("""COMPUTED_VALUE"""),"NHG2073")</f>
        <v>NHG2073</v>
      </c>
      <c r="D2706" s="87" t="str">
        <f>IFERROR(__xludf.DUMMYFUNCTION("""COMPUTED_VALUE"""),"[Nhãn]  GC - IV - 2073 - CTY VIETCHEM - WIN THÁI (Nước trắng sữa) - 1L - 20")</f>
        <v>[Nhãn]  GC - IV - 2073 - CTY VIETCHEM - WIN THÁI (Nước trắng sữa) - 1L - 20</v>
      </c>
      <c r="E2706" s="87" t="str">
        <f>IFERROR(__xludf.DUMMYFUNCTION("""COMPUTED_VALUE"""),"MEKONGVIL 5SC")</f>
        <v>MEKONGVIL 5SC</v>
      </c>
      <c r="F2706" s="87" t="str">
        <f>IFERROR(__xludf.DUMMYFUNCTION("""COMPUTED_VALUE"""),"HH2073")</f>
        <v>HH2073</v>
      </c>
      <c r="G2706" s="87" t="str">
        <f>IFERROR(__xludf.DUMMYFUNCTION("""COMPUTED_VALUE"""),"GC - IV - 2073 - CTY VIETCHEM - WIN THÁI (Nước trắng sữa) - 1L - 20")</f>
        <v>GC - IV - 2073 - CTY VIETCHEM - WIN THÁI (Nước trắng sữa) - 1L - 20</v>
      </c>
    </row>
    <row r="2707">
      <c r="A2707" s="86">
        <f>IFERROR(__xludf.DUMMYFUNCTION("""COMPUTED_VALUE"""),2705.0)</f>
        <v>2705</v>
      </c>
      <c r="B2707" s="87" t="str">
        <f>IFERROR(__xludf.DUMMYFUNCTION("""COMPUTED_VALUE"""),"Nhãn")</f>
        <v>Nhãn</v>
      </c>
      <c r="C2707" s="87" t="str">
        <f>IFERROR(__xludf.DUMMYFUNCTION("""COMPUTED_VALUE"""),"NHG2074")</f>
        <v>NHG2074</v>
      </c>
      <c r="D2707" s="87" t="str">
        <f>IFERROR(__xludf.DUMMYFUNCTION("""COMPUTED_VALUE"""),"[Nhãn] GC - II - 2074 - Cty Hương Nông - SIÊU LỚN TRÁI (gel nâu đen) - 500ml - 40")</f>
        <v>[Nhãn] GC - II - 2074 - Cty Hương Nông - SIÊU LỚN TRÁI (gel nâu đen) - 500ml - 40</v>
      </c>
      <c r="E2707" s="87" t="str">
        <f>IFERROR(__xludf.DUMMYFUNCTION("""COMPUTED_VALUE"""),"Vi lượng Quantity New")</f>
        <v>Vi lượng Quantity New</v>
      </c>
      <c r="F2707" s="87" t="str">
        <f>IFERROR(__xludf.DUMMYFUNCTION("""COMPUTED_VALUE"""),"HH2074")</f>
        <v>HH2074</v>
      </c>
      <c r="G2707" s="87" t="str">
        <f>IFERROR(__xludf.DUMMYFUNCTION("""COMPUTED_VALUE"""),"GC - II - 2074 - Cty Hương Nông - SIÊU LỚN TRÁI (gel nâu đen) - 500ml - 40")</f>
        <v>GC - II - 2074 - Cty Hương Nông - SIÊU LỚN TRÁI (gel nâu đen) - 500ml - 40</v>
      </c>
    </row>
    <row r="2708">
      <c r="A2708" s="86">
        <f>IFERROR(__xludf.DUMMYFUNCTION("""COMPUTED_VALUE"""),2706.0)</f>
        <v>2706</v>
      </c>
      <c r="B2708" s="87" t="str">
        <f>IFERROR(__xludf.DUMMYFUNCTION("""COMPUTED_VALUE"""),"Nhãn")</f>
        <v>Nhãn</v>
      </c>
      <c r="C2708" s="87" t="str">
        <f>IFERROR(__xludf.DUMMYFUNCTION("""COMPUTED_VALUE"""),"NHG2076")</f>
        <v>NHG2076</v>
      </c>
      <c r="D2708" s="87" t="str">
        <f>IFERROR(__xludf.DUMMYFUNCTION("""COMPUTED_VALUE"""),"[Nhãn] IDA Global - I - 2076 - ĐL ĐỨC HÙNG - CHẶN ĐỌT (Gel nâu đen) - 1L - 20")</f>
        <v>[Nhãn] IDA Global - I - 2076 - ĐL ĐỨC HÙNG - CHẶN ĐỌT (Gel nâu đen) - 1L - 20</v>
      </c>
      <c r="E2708" s="87" t="str">
        <f>IFERROR(__xludf.DUMMYFUNCTION("""COMPUTED_VALUE"""),"Vi lượng Quantity New")</f>
        <v>Vi lượng Quantity New</v>
      </c>
      <c r="F2708" s="87" t="str">
        <f>IFERROR(__xludf.DUMMYFUNCTION("""COMPUTED_VALUE"""),"HH2076")</f>
        <v>HH2076</v>
      </c>
      <c r="G2708" s="87" t="str">
        <f>IFERROR(__xludf.DUMMYFUNCTION("""COMPUTED_VALUE"""),"IDA Global - I - 2076 - ĐL ĐỨC HÙNG - CHẶN ĐỌT (Gel nâu đen) - 1L - 20")</f>
        <v>IDA Global - I - 2076 - ĐL ĐỨC HÙNG - CHẶN ĐỌT (Gel nâu đen) - 1L - 20</v>
      </c>
    </row>
    <row r="2709">
      <c r="A2709" s="86">
        <f>IFERROR(__xludf.DUMMYFUNCTION("""COMPUTED_VALUE"""),2707.0)</f>
        <v>2707</v>
      </c>
      <c r="B2709" s="87" t="str">
        <f>IFERROR(__xludf.DUMMYFUNCTION("""COMPUTED_VALUE"""),"Nhãn")</f>
        <v>Nhãn</v>
      </c>
      <c r="C2709" s="87" t="str">
        <f>IFERROR(__xludf.DUMMYFUNCTION("""COMPUTED_VALUE"""),"NHD2077")</f>
        <v>NHD2077</v>
      </c>
      <c r="D2709" s="87" t="str">
        <f>IFERROR(__xludf.DUMMYFUNCTION("""COMPUTED_VALUE"""),"[Nhãn] LOT IDA Global - I - 2077 - Thần Hổ 1.9 (nước vàng trà) - 450ml - 40")</f>
        <v>[Nhãn] LOT IDA Global - I - 2077 - Thần Hổ 1.9 (nước vàng trà) - 450ml - 40</v>
      </c>
      <c r="E2709" s="87" t="str">
        <f>IFERROR(__xludf.DUMMYFUNCTION("""COMPUTED_VALUE"""),"Creek 2.1EC")</f>
        <v>Creek 2.1EC</v>
      </c>
      <c r="F2709" s="87" t="str">
        <f>IFERROR(__xludf.DUMMYFUNCTION("""COMPUTED_VALUE"""),"HH2077")</f>
        <v>HH2077</v>
      </c>
      <c r="G2709" s="87" t="str">
        <f>IFERROR(__xludf.DUMMYFUNCTION("""COMPUTED_VALUE"""),"LOT IDA Global - I - 2077 - Thần Hổ 1.9 (nước vàng trà) - 450ml - 40")</f>
        <v>LOT IDA Global - I - 2077 - Thần Hổ 1.9 (nước vàng trà) - 450ml - 40</v>
      </c>
    </row>
    <row r="2710">
      <c r="A2710" s="86">
        <f>IFERROR(__xludf.DUMMYFUNCTION("""COMPUTED_VALUE"""),2708.0)</f>
        <v>2708</v>
      </c>
      <c r="B2710" s="87" t="str">
        <f>IFERROR(__xludf.DUMMYFUNCTION("""COMPUTED_VALUE"""),"Nhãn thùng")</f>
        <v>Nhãn thùng</v>
      </c>
      <c r="C2710" s="87" t="str">
        <f>IFERROR(__xludf.DUMMYFUNCTION("""COMPUTED_VALUE"""),"NDT2077")</f>
        <v>NDT2077</v>
      </c>
      <c r="D2710" s="87" t="str">
        <f>IFERROR(__xludf.DUMMYFUNCTION("""COMPUTED_VALUE"""),"[Nhãn thùng] LOT IDA Global - I - 2077 - Thần Hổ 1.9 (nước vàng trà) - 450ml - 40")</f>
        <v>[Nhãn thùng] LOT IDA Global - I - 2077 - Thần Hổ 1.9 (nước vàng trà) - 450ml - 40</v>
      </c>
      <c r="E2710" s="87" t="str">
        <f>IFERROR(__xludf.DUMMYFUNCTION("""COMPUTED_VALUE"""),"Creek 2.1EC")</f>
        <v>Creek 2.1EC</v>
      </c>
      <c r="F2710" s="87" t="str">
        <f>IFERROR(__xludf.DUMMYFUNCTION("""COMPUTED_VALUE"""),"HH2077")</f>
        <v>HH2077</v>
      </c>
      <c r="G2710" s="87" t="str">
        <f>IFERROR(__xludf.DUMMYFUNCTION("""COMPUTED_VALUE"""),"LOT IDA Global - I - 2077 - Thần Hổ 1.9 (nước vàng trà) - 450ml - 40")</f>
        <v>LOT IDA Global - I - 2077 - Thần Hổ 1.9 (nước vàng trà) - 450ml - 40</v>
      </c>
    </row>
    <row r="2711">
      <c r="A2711" s="86">
        <f>IFERROR(__xludf.DUMMYFUNCTION("""COMPUTED_VALUE"""),2709.0)</f>
        <v>2709</v>
      </c>
      <c r="B2711" s="87" t="str">
        <f>IFERROR(__xludf.DUMMYFUNCTION("""COMPUTED_VALUE"""),"Nhãn")</f>
        <v>Nhãn</v>
      </c>
      <c r="C2711" s="87" t="str">
        <f>IFERROR(__xludf.DUMMYFUNCTION("""COMPUTED_VALUE"""),"NTN2078")</f>
        <v>NTN2078</v>
      </c>
      <c r="D2711" s="87" t="str">
        <f>IFERROR(__xludf.DUMMYFUNCTION("""COMPUTED_VALUE"""),"[Nhãn] GC - II - 2078 - AGC - Cty Dragon Sài Gòn (A.Khén) - IMIPRID 10WP (Bột trắng) - 100gr - 100")</f>
        <v>[Nhãn] GC - II - 2078 - AGC - Cty Dragon Sài Gòn (A.Khén) - IMIPRID 10WP (Bột trắng) - 100gr - 100</v>
      </c>
      <c r="E2711" s="87" t="str">
        <f>IFERROR(__xludf.DUMMYFUNCTION("""COMPUTED_VALUE"""),"IMIPRID 10WP")</f>
        <v>IMIPRID 10WP</v>
      </c>
      <c r="F2711" s="87" t="str">
        <f>IFERROR(__xludf.DUMMYFUNCTION("""COMPUTED_VALUE"""),"HH2078")</f>
        <v>HH2078</v>
      </c>
      <c r="G2711" s="87" t="str">
        <f>IFERROR(__xludf.DUMMYFUNCTION("""COMPUTED_VALUE"""),"GC - II - 2078 - AGC - Cty Dragon Sài Gòn (A.Khén) - IMIPRID 10WP (Bột trắng) - 100gr - 100")</f>
        <v>GC - II - 2078 - AGC - Cty Dragon Sài Gòn (A.Khén) - IMIPRID 10WP (Bột trắng) - 100gr - 100</v>
      </c>
    </row>
    <row r="2712">
      <c r="A2712" s="86">
        <f>IFERROR(__xludf.DUMMYFUNCTION("""COMPUTED_VALUE"""),2710.0)</f>
        <v>2710</v>
      </c>
      <c r="B2712" s="87" t="str">
        <f>IFERROR(__xludf.DUMMYFUNCTION("""COMPUTED_VALUE"""),"Nhãn")</f>
        <v>Nhãn</v>
      </c>
      <c r="C2712" s="87" t="str">
        <f>IFERROR(__xludf.DUMMYFUNCTION("""COMPUTED_VALUE"""),"NHG2078")</f>
        <v>NHG2078</v>
      </c>
      <c r="D2712" s="87" t="str">
        <f>IFERROR(__xludf.DUMMYFUNCTION("""COMPUTED_VALUE"""),"[Nhãn] GC - II - 2078 - AGC - Cty Dragon Sài Gòn (A.Khén) - IMIPRID 10WP (Bột trắng) - 100gr - 100")</f>
        <v>[Nhãn] GC - II - 2078 - AGC - Cty Dragon Sài Gòn (A.Khén) - IMIPRID 10WP (Bột trắng) - 100gr - 100</v>
      </c>
      <c r="E2712" s="87" t="str">
        <f>IFERROR(__xludf.DUMMYFUNCTION("""COMPUTED_VALUE"""),"IMIPRID 10WP")</f>
        <v>IMIPRID 10WP</v>
      </c>
      <c r="F2712" s="87" t="str">
        <f>IFERROR(__xludf.DUMMYFUNCTION("""COMPUTED_VALUE"""),"HH2078")</f>
        <v>HH2078</v>
      </c>
      <c r="G2712" s="87" t="str">
        <f>IFERROR(__xludf.DUMMYFUNCTION("""COMPUTED_VALUE"""),"GC - II - 2078 - AGC - Cty Dragon Sài Gòn (A.Khén) - IMIPRID 10WP (Bột trắng) - 100gr - 100")</f>
        <v>GC - II - 2078 - AGC - Cty Dragon Sài Gòn (A.Khén) - IMIPRID 10WP (Bột trắng) - 100gr - 100</v>
      </c>
    </row>
    <row r="2713">
      <c r="A2713" s="86">
        <f>IFERROR(__xludf.DUMMYFUNCTION("""COMPUTED_VALUE"""),2711.0)</f>
        <v>2711</v>
      </c>
      <c r="B2713" s="87" t="str">
        <f>IFERROR(__xludf.DUMMYFUNCTION("""COMPUTED_VALUE"""),"Nhãn thùng")</f>
        <v>Nhãn thùng</v>
      </c>
      <c r="C2713" s="87" t="str">
        <f>IFERROR(__xludf.DUMMYFUNCTION("""COMPUTED_VALUE"""),"NDT2078")</f>
        <v>NDT2078</v>
      </c>
      <c r="D2713" s="87" t="str">
        <f>IFERROR(__xludf.DUMMYFUNCTION("""COMPUTED_VALUE"""),"[Nhãn thùng] GC - II - 2078 - AGC - Cty Dragon Sài Gòn (A.Khén) - IMIPRID 10WP (Bột trắng) - 100gr - 100")</f>
        <v>[Nhãn thùng] GC - II - 2078 - AGC - Cty Dragon Sài Gòn (A.Khén) - IMIPRID 10WP (Bột trắng) - 100gr - 100</v>
      </c>
      <c r="E2713" s="87" t="str">
        <f>IFERROR(__xludf.DUMMYFUNCTION("""COMPUTED_VALUE"""),"IMIPRID 10WP")</f>
        <v>IMIPRID 10WP</v>
      </c>
      <c r="F2713" s="87" t="str">
        <f>IFERROR(__xludf.DUMMYFUNCTION("""COMPUTED_VALUE"""),"HH2078")</f>
        <v>HH2078</v>
      </c>
      <c r="G2713" s="87" t="str">
        <f>IFERROR(__xludf.DUMMYFUNCTION("""COMPUTED_VALUE"""),"GC - II - 2078 - AGC - Cty Dragon Sài Gòn (A.Khén) - IMIPRID 10WP (Bột trắng) - 100gr - 100")</f>
        <v>GC - II - 2078 - AGC - Cty Dragon Sài Gòn (A.Khén) - IMIPRID 10WP (Bột trắng) - 100gr - 100</v>
      </c>
    </row>
    <row r="2714">
      <c r="A2714" s="86">
        <f>IFERROR(__xludf.DUMMYFUNCTION("""COMPUTED_VALUE"""),2712.0)</f>
        <v>2712</v>
      </c>
      <c r="B2714" s="87" t="str">
        <f>IFERROR(__xludf.DUMMYFUNCTION("""COMPUTED_VALUE"""),"Nhãn")</f>
        <v>Nhãn</v>
      </c>
      <c r="C2714" s="87" t="str">
        <f>IFERROR(__xludf.DUMMYFUNCTION("""COMPUTED_VALUE"""),"NHG2079")</f>
        <v>NHG2079</v>
      </c>
      <c r="D2714" s="87" t="str">
        <f>IFERROR(__xludf.DUMMYFUNCTION("""COMPUTED_VALUE"""),"[Nhãn] GC - IV - 2079 - Cty Newtex - VATINO SUPER 525SE (Nước cam sữa) - 240ml - 40")</f>
        <v>[Nhãn] GC - IV - 2079 - Cty Newtex - VATINO SUPER 525SE (Nước cam sữa) - 240ml - 40</v>
      </c>
      <c r="E2714" s="87" t="str">
        <f>IFERROR(__xludf.DUMMYFUNCTION("""COMPUTED_VALUE"""),"VATINO SUPER 525SE")</f>
        <v>VATINO SUPER 525SE</v>
      </c>
      <c r="F2714" s="87" t="str">
        <f>IFERROR(__xludf.DUMMYFUNCTION("""COMPUTED_VALUE"""),"HH2079")</f>
        <v>HH2079</v>
      </c>
      <c r="G2714" s="87" t="str">
        <f>IFERROR(__xludf.DUMMYFUNCTION("""COMPUTED_VALUE"""),"GC - IV - 2079 - Cty Newtex - VATINO SUPER 525SE (Nước cam sữa) - 240ml - 40")</f>
        <v>GC - IV - 2079 - Cty Newtex - VATINO SUPER 525SE (Nước cam sữa) - 240ml - 40</v>
      </c>
    </row>
    <row r="2715">
      <c r="A2715" s="86">
        <f>IFERROR(__xludf.DUMMYFUNCTION("""COMPUTED_VALUE"""),2713.0)</f>
        <v>2713</v>
      </c>
      <c r="B2715" s="87" t="str">
        <f>IFERROR(__xludf.DUMMYFUNCTION("""COMPUTED_VALUE"""),"Nhãn")</f>
        <v>Nhãn</v>
      </c>
      <c r="C2715" s="87" t="str">
        <f>IFERROR(__xludf.DUMMYFUNCTION("""COMPUTED_VALUE"""),"NHD2080")</f>
        <v>NHD2080</v>
      </c>
      <c r="D2715" s="87" t="str">
        <f>IFERROR(__xludf.DUMMYFUNCTION("""COMPUTED_VALUE"""),"[Nhãn] NB - I - 2080 - Cty Nông Dược Sunrise - CỎ CHÁY THẾ HỆ MỚI (Nước đỏ) - 4.5L - 4")</f>
        <v>[Nhãn] NB - I - 2080 - Cty Nông Dược Sunrise - CỎ CHÁY THẾ HỆ MỚI (Nước đỏ) - 4.5L - 4</v>
      </c>
      <c r="E2715" s="87" t="str">
        <f>IFERROR(__xludf.DUMMYFUNCTION("""COMPUTED_VALUE"""),"NEWFOSINATE 150SL")</f>
        <v>NEWFOSINATE 150SL</v>
      </c>
      <c r="F2715" s="87" t="str">
        <f>IFERROR(__xludf.DUMMYFUNCTION("""COMPUTED_VALUE"""),"HH2080")</f>
        <v>HH2080</v>
      </c>
      <c r="G2715" s="87" t="str">
        <f>IFERROR(__xludf.DUMMYFUNCTION("""COMPUTED_VALUE"""),"NB - I - 2080 - Cty Nông Dược Sunrise - CỎ CHÁY THẾ HỆ MỚI (Nước đỏ) - 4.5L - 4")</f>
        <v>NB - I - 2080 - Cty Nông Dược Sunrise - CỎ CHÁY THẾ HỆ MỚI (Nước đỏ) - 4.5L - 4</v>
      </c>
    </row>
    <row r="2716">
      <c r="A2716" s="86">
        <f>IFERROR(__xludf.DUMMYFUNCTION("""COMPUTED_VALUE"""),2714.0)</f>
        <v>2714</v>
      </c>
      <c r="B2716" s="87" t="str">
        <f>IFERROR(__xludf.DUMMYFUNCTION("""COMPUTED_VALUE"""),"Nhãn")</f>
        <v>Nhãn</v>
      </c>
      <c r="C2716" s="87" t="str">
        <f>IFERROR(__xludf.DUMMYFUNCTION("""COMPUTED_VALUE"""),"NHG2081")</f>
        <v>NHG2081</v>
      </c>
      <c r="D2716" s="87" t="str">
        <f>IFERROR(__xludf.DUMMYFUNCTION("""COMPUTED_VALUE"""),"[Nhãn] GC - II - 2081 - THÀNH CÔNG AGRI - CHẶN ĐỌT 25 NGÀY (Nước nâu đen) - 500ml - 40")</f>
        <v>[Nhãn] GC - II - 2081 - THÀNH CÔNG AGRI - CHẶN ĐỌT 25 NGÀY (Nước nâu đen) - 500ml - 40</v>
      </c>
      <c r="E2716" s="87" t="str">
        <f>IFERROR(__xludf.DUMMYFUNCTION("""COMPUTED_VALUE"""),"Vi lượng Run Fast")</f>
        <v>Vi lượng Run Fast</v>
      </c>
      <c r="F2716" s="87" t="str">
        <f>IFERROR(__xludf.DUMMYFUNCTION("""COMPUTED_VALUE"""),"HH2081")</f>
        <v>HH2081</v>
      </c>
      <c r="G2716" s="87" t="str">
        <f>IFERROR(__xludf.DUMMYFUNCTION("""COMPUTED_VALUE"""),"GC - II - 2081 - THÀNH CÔNG AGRI - CHẶN ĐỌT 25 NGÀY (Nước nâu đen) - 500ml - 40")</f>
        <v>GC - II - 2081 - THÀNH CÔNG AGRI - CHẶN ĐỌT 25 NGÀY (Nước nâu đen) - 500ml - 40</v>
      </c>
    </row>
    <row r="2717">
      <c r="A2717" s="86">
        <f>IFERROR(__xludf.DUMMYFUNCTION("""COMPUTED_VALUE"""),2715.0)</f>
        <v>2715</v>
      </c>
      <c r="B2717" s="87" t="str">
        <f>IFERROR(__xludf.DUMMYFUNCTION("""COMPUTED_VALUE"""),"Nhãn")</f>
        <v>Nhãn</v>
      </c>
      <c r="C2717" s="87" t="str">
        <f>IFERROR(__xludf.DUMMYFUNCTION("""COMPUTED_VALUE"""),"NHG2082")</f>
        <v>NHG2082</v>
      </c>
      <c r="D2717" s="87" t="str">
        <f>IFERROR(__xludf.DUMMYFUNCTION("""COMPUTED_VALUE"""),"[Nhãn] GC - II - 2082 - THÀNH CÔNG AGRI - STOP BUD (Nước nâu đen) - 1L - 20")</f>
        <v>[Nhãn] GC - II - 2082 - THÀNH CÔNG AGRI - STOP BUD (Nước nâu đen) - 1L - 20</v>
      </c>
      <c r="E2717" s="87" t="str">
        <f>IFERROR(__xludf.DUMMYFUNCTION("""COMPUTED_VALUE"""),"Vi lượng Quantity New")</f>
        <v>Vi lượng Quantity New</v>
      </c>
      <c r="F2717" s="87" t="str">
        <f>IFERROR(__xludf.DUMMYFUNCTION("""COMPUTED_VALUE"""),"HH2082")</f>
        <v>HH2082</v>
      </c>
      <c r="G2717" s="87" t="str">
        <f>IFERROR(__xludf.DUMMYFUNCTION("""COMPUTED_VALUE"""),"GC - II - 2082 - THÀNH CÔNG AGRI - STOP BUD (Nước nâu đen) - 1L - 20")</f>
        <v>GC - II - 2082 - THÀNH CÔNG AGRI - STOP BUD (Nước nâu đen) - 1L - 20</v>
      </c>
    </row>
    <row r="2718">
      <c r="A2718" s="86">
        <f>IFERROR(__xludf.DUMMYFUNCTION("""COMPUTED_VALUE"""),2716.0)</f>
        <v>2716</v>
      </c>
      <c r="B2718" s="87" t="str">
        <f>IFERROR(__xludf.DUMMYFUNCTION("""COMPUTED_VALUE"""),"Nhãn")</f>
        <v>Nhãn</v>
      </c>
      <c r="C2718" s="87" t="str">
        <f>IFERROR(__xludf.DUMMYFUNCTION("""COMPUTED_VALUE"""),"NTN2083")</f>
        <v>NTN2083</v>
      </c>
      <c r="D2718" s="87" t="str">
        <f>IFERROR(__xludf.DUMMYFUNCTION("""COMPUTED_VALUE"""),"[Nhãn] GC - IV - 2083 - Cty Kim Ngọc - Khongray 54WP (bột trắng ngà) - 100gr - 100")</f>
        <v>[Nhãn] GC - IV - 2083 - Cty Kim Ngọc - Khongray 54WP (bột trắng ngà) - 100gr - 100</v>
      </c>
      <c r="E2718" s="87" t="str">
        <f>IFERROR(__xludf.DUMMYFUNCTION("""COMPUTED_VALUE"""),"KHONGRAY 54WP")</f>
        <v>KHONGRAY 54WP</v>
      </c>
      <c r="F2718" s="87" t="str">
        <f>IFERROR(__xludf.DUMMYFUNCTION("""COMPUTED_VALUE"""),"HH2083")</f>
        <v>HH2083</v>
      </c>
      <c r="G2718" s="87" t="str">
        <f>IFERROR(__xludf.DUMMYFUNCTION("""COMPUTED_VALUE"""),"GC - IV - 2083 - Cty Kim Ngọc - Khongray 54WP (bột trắng ngà) - 100gr - 100")</f>
        <v>GC - IV - 2083 - Cty Kim Ngọc - Khongray 54WP (bột trắng ngà) - 100gr - 100</v>
      </c>
    </row>
    <row r="2719">
      <c r="A2719" s="86">
        <f>IFERROR(__xludf.DUMMYFUNCTION("""COMPUTED_VALUE"""),2717.0)</f>
        <v>2717</v>
      </c>
      <c r="B2719" s="87" t="str">
        <f>IFERROR(__xludf.DUMMYFUNCTION("""COMPUTED_VALUE"""),"Nhãn thùng")</f>
        <v>Nhãn thùng</v>
      </c>
      <c r="C2719" s="87" t="str">
        <f>IFERROR(__xludf.DUMMYFUNCTION("""COMPUTED_VALUE"""),"NDT2083")</f>
        <v>NDT2083</v>
      </c>
      <c r="D2719" s="87" t="str">
        <f>IFERROR(__xludf.DUMMYFUNCTION("""COMPUTED_VALUE"""),"[Nhãn thùng] GC - IV - 2083 - Cty Kim Ngọc - Khongray 54WP (bột trắng ngà) - 100gr - 100")</f>
        <v>[Nhãn thùng] GC - IV - 2083 - Cty Kim Ngọc - Khongray 54WP (bột trắng ngà) - 100gr - 100</v>
      </c>
      <c r="E2719" s="87" t="str">
        <f>IFERROR(__xludf.DUMMYFUNCTION("""COMPUTED_VALUE"""),"KHONGRAY 54WP")</f>
        <v>KHONGRAY 54WP</v>
      </c>
      <c r="F2719" s="87" t="str">
        <f>IFERROR(__xludf.DUMMYFUNCTION("""COMPUTED_VALUE"""),"HH2083")</f>
        <v>HH2083</v>
      </c>
      <c r="G2719" s="87" t="str">
        <f>IFERROR(__xludf.DUMMYFUNCTION("""COMPUTED_VALUE"""),"GC - IV - 2083 - Cty Kim Ngọc - Khongray 54WP (bột trắng ngà) - 100gr - 100")</f>
        <v>GC - IV - 2083 - Cty Kim Ngọc - Khongray 54WP (bột trắng ngà) - 100gr - 100</v>
      </c>
    </row>
    <row r="2720">
      <c r="A2720" s="86">
        <f>IFERROR(__xludf.DUMMYFUNCTION("""COMPUTED_VALUE"""),2718.0)</f>
        <v>2718</v>
      </c>
      <c r="B2720" s="87" t="str">
        <f>IFERROR(__xludf.DUMMYFUNCTION("""COMPUTED_VALUE"""),"Nhãn")</f>
        <v>Nhãn</v>
      </c>
      <c r="C2720" s="87" t="str">
        <f>IFERROR(__xludf.DUMMYFUNCTION("""COMPUTED_VALUE"""),"NTN2085")</f>
        <v>NTN2085</v>
      </c>
      <c r="D2720" s="87" t="str">
        <f>IFERROR(__xludf.DUMMYFUNCTION("""COMPUTED_VALUE"""),"[Nhãn] GC - II - 2085 - AGC - PHOPPAWAY 80WG (bột trắng) - 50gr - 100")</f>
        <v>[Nhãn] GC - II - 2085 - AGC - PHOPPAWAY 80WG (bột trắng) - 50gr - 100</v>
      </c>
      <c r="E2720" s="87"/>
      <c r="F2720" s="87"/>
      <c r="G2720" s="87"/>
    </row>
    <row r="2721">
      <c r="A2721" s="86">
        <f>IFERROR(__xludf.DUMMYFUNCTION("""COMPUTED_VALUE"""),2719.0)</f>
        <v>2719</v>
      </c>
      <c r="B2721" s="87" t="str">
        <f>IFERROR(__xludf.DUMMYFUNCTION("""COMPUTED_VALUE"""),"IDA")</f>
        <v>IDA</v>
      </c>
      <c r="C2721" s="87" t="str">
        <f>IFERROR(__xludf.DUMMYFUNCTION("""COMPUTED_VALUE"""),"450ml")</f>
        <v>450ml</v>
      </c>
      <c r="D2721" s="87" t="str">
        <f>IFERROR(__xludf.DUMMYFUNCTION("""COMPUTED_VALUE"""),"40")</f>
        <v>40</v>
      </c>
      <c r="E2721" s="87" t="str">
        <f>IFERROR(__xludf.DUMMYFUNCTION("""COMPUTED_VALUE"""),"Nhãn giấy cán bóng")</f>
        <v>Nhãn giấy cán bóng</v>
      </c>
      <c r="F2721" s="87" t="str">
        <f>IFERROR(__xludf.DUMMYFUNCTION("""COMPUTED_VALUE"""),"Cái")</f>
        <v>Cái</v>
      </c>
      <c r="G2721" s="87"/>
    </row>
    <row r="2722">
      <c r="A2722" s="86">
        <f>IFERROR(__xludf.DUMMYFUNCTION("""COMPUTED_VALUE"""),2720.0)</f>
        <v>2720</v>
      </c>
      <c r="B2722" s="87" t="str">
        <f>IFERROR(__xludf.DUMMYFUNCTION("""COMPUTED_VALUE"""),"Nhãn thùng")</f>
        <v>Nhãn thùng</v>
      </c>
      <c r="C2722" s="87" t="str">
        <f>IFERROR(__xludf.DUMMYFUNCTION("""COMPUTED_VALUE"""),"NDT2085")</f>
        <v>NDT2085</v>
      </c>
      <c r="D2722" s="87" t="str">
        <f>IFERROR(__xludf.DUMMYFUNCTION("""COMPUTED_VALUE"""),"[Nhãn thùng] GC - II - 2085 - AGC - PHOPPAWAY 80WG (bột trắng) - 50gr - 100")</f>
        <v>[Nhãn thùng] GC - II - 2085 - AGC - PHOPPAWAY 80WG (bột trắng) - 50gr - 100</v>
      </c>
      <c r="E2722" s="87"/>
      <c r="F2722" s="87"/>
      <c r="G2722" s="87"/>
    </row>
    <row r="2723">
      <c r="A2723" s="86">
        <f>IFERROR(__xludf.DUMMYFUNCTION("""COMPUTED_VALUE"""),2721.0)</f>
        <v>2721</v>
      </c>
      <c r="B2723" s="87" t="str">
        <f>IFERROR(__xludf.DUMMYFUNCTION("""COMPUTED_VALUE"""),"ABA")</f>
        <v>ABA</v>
      </c>
      <c r="C2723" s="87" t="str">
        <f>IFERROR(__xludf.DUMMYFUNCTION("""COMPUTED_VALUE"""),"500ml")</f>
        <v>500ml</v>
      </c>
      <c r="D2723" s="87" t="str">
        <f>IFERROR(__xludf.DUMMYFUNCTION("""COMPUTED_VALUE"""),"40")</f>
        <v>40</v>
      </c>
      <c r="E2723" s="87" t="str">
        <f>IFERROR(__xludf.DUMMYFUNCTION("""COMPUTED_VALUE"""),"Nhãn giấy cán mờ")</f>
        <v>Nhãn giấy cán mờ</v>
      </c>
      <c r="F2723" s="87" t="str">
        <f>IFERROR(__xludf.DUMMYFUNCTION("""COMPUTED_VALUE"""),"Cái")</f>
        <v>Cái</v>
      </c>
      <c r="G2723" s="87"/>
    </row>
    <row r="2724">
      <c r="A2724" s="86">
        <f>IFERROR(__xludf.DUMMYFUNCTION("""COMPUTED_VALUE"""),2722.0)</f>
        <v>2722</v>
      </c>
      <c r="B2724" s="87" t="str">
        <f>IFERROR(__xludf.DUMMYFUNCTION("""COMPUTED_VALUE"""),"Nhãn")</f>
        <v>Nhãn</v>
      </c>
      <c r="C2724" s="87" t="str">
        <f>IFERROR(__xludf.DUMMYFUNCTION("""COMPUTED_VALUE"""),"NTN2087")</f>
        <v>NTN2087</v>
      </c>
      <c r="D2724" s="87" t="str">
        <f>IFERROR(__xludf.DUMMYFUNCTION("""COMPUTED_VALUE"""),"[Nhãn] GC - IV - 2087 - AGRITECH - HUMIK (Vẩy nâu đen) - 1 kg - 25")</f>
        <v>[Nhãn] GC - IV - 2087 - AGRITECH - HUMIK (Vẩy nâu đen) - 1 kg - 25</v>
      </c>
      <c r="E2724" s="87" t="str">
        <f>IFERROR(__xludf.DUMMYFUNCTION("""COMPUTED_VALUE"""),"Hữu cơ sinh học Nam Kinh 02")</f>
        <v>Hữu cơ sinh học Nam Kinh 02</v>
      </c>
      <c r="F2724" s="87" t="str">
        <f>IFERROR(__xludf.DUMMYFUNCTION("""COMPUTED_VALUE"""),"HH2087")</f>
        <v>HH2087</v>
      </c>
      <c r="G2724" s="87" t="str">
        <f>IFERROR(__xludf.DUMMYFUNCTION("""COMPUTED_VALUE"""),"GC - IV - 2087 - AGRITECH - HUMIK (Vẩy nâu đen) - 1 kg - 25")</f>
        <v>GC - IV - 2087 - AGRITECH - HUMIK (Vẩy nâu đen) - 1 kg - 25</v>
      </c>
    </row>
    <row r="2725">
      <c r="A2725" s="86">
        <f>IFERROR(__xludf.DUMMYFUNCTION("""COMPUTED_VALUE"""),2723.0)</f>
        <v>2723</v>
      </c>
      <c r="B2725" s="87" t="str">
        <f>IFERROR(__xludf.DUMMYFUNCTION("""COMPUTED_VALUE"""),"Nhãn thùng")</f>
        <v>Nhãn thùng</v>
      </c>
      <c r="C2725" s="87" t="str">
        <f>IFERROR(__xludf.DUMMYFUNCTION("""COMPUTED_VALUE"""),"NDT2087")</f>
        <v>NDT2087</v>
      </c>
      <c r="D2725" s="87" t="str">
        <f>IFERROR(__xludf.DUMMYFUNCTION("""COMPUTED_VALUE"""),"[Nhãn thùng] GC - IV - 2087 - AGRITECH - HUMIK (Vẩy nâu đen) - 1 kg - 25")</f>
        <v>[Nhãn thùng] GC - IV - 2087 - AGRITECH - HUMIK (Vẩy nâu đen) - 1 kg - 25</v>
      </c>
      <c r="E2725" s="87" t="str">
        <f>IFERROR(__xludf.DUMMYFUNCTION("""COMPUTED_VALUE"""),"Hữu cơ sinh học Nam Kinh 02")</f>
        <v>Hữu cơ sinh học Nam Kinh 02</v>
      </c>
      <c r="F2725" s="87" t="str">
        <f>IFERROR(__xludf.DUMMYFUNCTION("""COMPUTED_VALUE"""),"HH2087")</f>
        <v>HH2087</v>
      </c>
      <c r="G2725" s="87" t="str">
        <f>IFERROR(__xludf.DUMMYFUNCTION("""COMPUTED_VALUE"""),"GC - IV - 2087 - AGRITECH - HUMIK (Vẩy nâu đen) - 1 kg - 25")</f>
        <v>GC - IV - 2087 - AGRITECH - HUMIK (Vẩy nâu đen) - 1 kg - 25</v>
      </c>
    </row>
    <row r="2726">
      <c r="A2726" s="86">
        <f>IFERROR(__xludf.DUMMYFUNCTION("""COMPUTED_VALUE"""),2724.0)</f>
        <v>2724</v>
      </c>
      <c r="B2726" s="87" t="str">
        <f>IFERROR(__xludf.DUMMYFUNCTION("""COMPUTED_VALUE"""),"Nhãn")</f>
        <v>Nhãn</v>
      </c>
      <c r="C2726" s="87" t="str">
        <f>IFERROR(__xludf.DUMMYFUNCTION("""COMPUTED_VALUE"""),"NTN2088")</f>
        <v>NTN2088</v>
      </c>
      <c r="D2726" s="87" t="str">
        <f>IFERROR(__xludf.DUMMYFUNCTION("""COMPUTED_VALUE"""),"[Nhãn] GC - II - 2088 - AGC - SIÊU SÂU (Bột trắng) - 100gr - 100")</f>
        <v>[Nhãn] GC - II - 2088 - AGC - SIÊU SÂU (Bột trắng) - 100gr - 100</v>
      </c>
      <c r="E2726" s="87" t="str">
        <f>IFERROR(__xludf.DUMMYFUNCTION("""COMPUTED_VALUE"""),"SHA CHONG JING 95WP")</f>
        <v>SHA CHONG JING 95WP</v>
      </c>
      <c r="F2726" s="87" t="str">
        <f>IFERROR(__xludf.DUMMYFUNCTION("""COMPUTED_VALUE"""),"HH2088")</f>
        <v>HH2088</v>
      </c>
      <c r="G2726" s="87" t="str">
        <f>IFERROR(__xludf.DUMMYFUNCTION("""COMPUTED_VALUE"""),"GC - II - 2088 - AGC - SIÊU SÂU (Bột trắng) - 100gr - 100")</f>
        <v>GC - II - 2088 - AGC - SIÊU SÂU (Bột trắng) - 100gr - 100</v>
      </c>
    </row>
    <row r="2727">
      <c r="A2727" s="86">
        <f>IFERROR(__xludf.DUMMYFUNCTION("""COMPUTED_VALUE"""),2725.0)</f>
        <v>2725</v>
      </c>
      <c r="B2727" s="87" t="str">
        <f>IFERROR(__xludf.DUMMYFUNCTION("""COMPUTED_VALUE"""),"Nhãn thùng")</f>
        <v>Nhãn thùng</v>
      </c>
      <c r="C2727" s="87" t="str">
        <f>IFERROR(__xludf.DUMMYFUNCTION("""COMPUTED_VALUE"""),"NDT2088")</f>
        <v>NDT2088</v>
      </c>
      <c r="D2727" s="87" t="str">
        <f>IFERROR(__xludf.DUMMYFUNCTION("""COMPUTED_VALUE"""),"[Nhãn thùng] GC - II - 2088 - AGC - SIÊU SÂU (Bột trắng) - 100gr - 100")</f>
        <v>[Nhãn thùng] GC - II - 2088 - AGC - SIÊU SÂU (Bột trắng) - 100gr - 100</v>
      </c>
      <c r="E2727" s="87" t="str">
        <f>IFERROR(__xludf.DUMMYFUNCTION("""COMPUTED_VALUE"""),"SHA CHONG JING 95WP")</f>
        <v>SHA CHONG JING 95WP</v>
      </c>
      <c r="F2727" s="87" t="str">
        <f>IFERROR(__xludf.DUMMYFUNCTION("""COMPUTED_VALUE"""),"HH2088")</f>
        <v>HH2088</v>
      </c>
      <c r="G2727" s="87" t="str">
        <f>IFERROR(__xludf.DUMMYFUNCTION("""COMPUTED_VALUE"""),"GC - II - 2088 - AGC - SIÊU SÂU (Bột trắng) - 100gr - 100")</f>
        <v>GC - II - 2088 - AGC - SIÊU SÂU (Bột trắng) - 100gr - 100</v>
      </c>
    </row>
    <row r="2728">
      <c r="A2728" s="86">
        <f>IFERROR(__xludf.DUMMYFUNCTION("""COMPUTED_VALUE"""),2726.0)</f>
        <v>2726</v>
      </c>
      <c r="B2728" s="87" t="str">
        <f>IFERROR(__xludf.DUMMYFUNCTION("""COMPUTED_VALUE"""),"Nhãn")</f>
        <v>Nhãn</v>
      </c>
      <c r="C2728" s="87" t="str">
        <f>IFERROR(__xludf.DUMMYFUNCTION("""COMPUTED_VALUE"""),"NHG2089")</f>
        <v>NHG2089</v>
      </c>
      <c r="D2728" s="87" t="str">
        <f>IFERROR(__xludf.DUMMYFUNCTION("""COMPUTED_VALUE"""),"[Nhãn] GC - II - 2089 - AGC (TÂY NGUYÊN) - COMBI EXTRA (Nước xanh bơ sữa) - 500ml - 30")</f>
        <v>[Nhãn] GC - II - 2089 - AGC (TÂY NGUYÊN) - COMBI EXTRA (Nước xanh bơ sữa) - 500ml - 30</v>
      </c>
      <c r="E2728" s="87" t="str">
        <f>IFERROR(__xludf.DUMMYFUNCTION("""COMPUTED_VALUE"""),"Vi lượng Quantity New")</f>
        <v>Vi lượng Quantity New</v>
      </c>
      <c r="F2728" s="87" t="str">
        <f>IFERROR(__xludf.DUMMYFUNCTION("""COMPUTED_VALUE"""),"HH2089")</f>
        <v>HH2089</v>
      </c>
      <c r="G2728" s="87" t="str">
        <f>IFERROR(__xludf.DUMMYFUNCTION("""COMPUTED_VALUE"""),"GC - II - 2089 - AGC (TÂY NGUYÊN) - COMBI EXTRA (Nước xanh bơ sữa) - 500ml - 30")</f>
        <v>GC - II - 2089 - AGC (TÂY NGUYÊN) - COMBI EXTRA (Nước xanh bơ sữa) - 500ml - 30</v>
      </c>
    </row>
    <row r="2729">
      <c r="A2729" s="86">
        <f>IFERROR(__xludf.DUMMYFUNCTION("""COMPUTED_VALUE"""),2727.0)</f>
        <v>2727</v>
      </c>
      <c r="B2729" s="87" t="str">
        <f>IFERROR(__xludf.DUMMYFUNCTION("""COMPUTED_VALUE"""),"Nhãn")</f>
        <v>Nhãn</v>
      </c>
      <c r="C2729" s="87" t="str">
        <f>IFERROR(__xludf.DUMMYFUNCTION("""COMPUTED_VALUE"""),"NHG2090")</f>
        <v>NHG2090</v>
      </c>
      <c r="D2729" s="87" t="str">
        <f>IFERROR(__xludf.DUMMYFUNCTION("""COMPUTED_VALUE"""),"[Nhãn] GC - IV - Agritech - 2090 - Pyxoate 44EC (nước đỏ) - 450ml - 40")</f>
        <v>[Nhãn] GC - IV - Agritech - 2090 - Pyxoate 44EC (nước đỏ) - 450ml - 40</v>
      </c>
      <c r="E2729" s="87" t="str">
        <f>IFERROR(__xludf.DUMMYFUNCTION("""COMPUTED_VALUE"""),"PYXOATE 44EC")</f>
        <v>PYXOATE 44EC</v>
      </c>
      <c r="F2729" s="87" t="str">
        <f>IFERROR(__xludf.DUMMYFUNCTION("""COMPUTED_VALUE"""),"HH2090")</f>
        <v>HH2090</v>
      </c>
      <c r="G2729" s="87" t="str">
        <f>IFERROR(__xludf.DUMMYFUNCTION("""COMPUTED_VALUE"""),"GC - IV - Agritech - 2090 - Pyxoate 44EC (nước đỏ) - 450ml - 40")</f>
        <v>GC - IV - Agritech - 2090 - Pyxoate 44EC (nước đỏ) - 450ml - 40</v>
      </c>
    </row>
    <row r="2730">
      <c r="A2730" s="86">
        <f>IFERROR(__xludf.DUMMYFUNCTION("""COMPUTED_VALUE"""),2728.0)</f>
        <v>2728</v>
      </c>
      <c r="B2730" s="87" t="str">
        <f>IFERROR(__xludf.DUMMYFUNCTION("""COMPUTED_VALUE"""),"Nhãn")</f>
        <v>Nhãn</v>
      </c>
      <c r="C2730" s="87" t="str">
        <f>IFERROR(__xludf.DUMMYFUNCTION("""COMPUTED_VALUE"""),"NTN2090")</f>
        <v>NTN2090</v>
      </c>
      <c r="D2730" s="87" t="str">
        <f>IFERROR(__xludf.DUMMYFUNCTION("""COMPUTED_VALUE"""),"[Nhãn] GC - IV - Agritech - 2090 - Pyxoate 44EC (nước đỏ) - 450ml - 40")</f>
        <v>[Nhãn] GC - IV - Agritech - 2090 - Pyxoate 44EC (nước đỏ) - 450ml - 40</v>
      </c>
      <c r="E2730" s="87" t="str">
        <f>IFERROR(__xludf.DUMMYFUNCTION("""COMPUTED_VALUE"""),"PYXOATE 44EC")</f>
        <v>PYXOATE 44EC</v>
      </c>
      <c r="F2730" s="87" t="str">
        <f>IFERROR(__xludf.DUMMYFUNCTION("""COMPUTED_VALUE"""),"HH2090")</f>
        <v>HH2090</v>
      </c>
      <c r="G2730" s="87" t="str">
        <f>IFERROR(__xludf.DUMMYFUNCTION("""COMPUTED_VALUE"""),"GC - IV - Agritech - 2090 - Pyxoate 44EC (nước đỏ) - 450ml - 40")</f>
        <v>GC - IV - Agritech - 2090 - Pyxoate 44EC (nước đỏ) - 450ml - 40</v>
      </c>
    </row>
    <row r="2731">
      <c r="A2731" s="86">
        <f>IFERROR(__xludf.DUMMYFUNCTION("""COMPUTED_VALUE"""),2729.0)</f>
        <v>2729</v>
      </c>
      <c r="B2731" s="87" t="str">
        <f>IFERROR(__xludf.DUMMYFUNCTION("""COMPUTED_VALUE"""),"Nhãn")</f>
        <v>Nhãn</v>
      </c>
      <c r="C2731" s="87" t="str">
        <f>IFERROR(__xludf.DUMMYFUNCTION("""COMPUTED_VALUE"""),"NTN2091")</f>
        <v>NTN2091</v>
      </c>
      <c r="D2731" s="87" t="str">
        <f>IFERROR(__xludf.DUMMYFUNCTION("""COMPUTED_VALUE"""),"[Nhãn] GC - IV - 2091 - Cty SC Chemical - MANCOSUPER (bột vàng) - 1kg - 20")</f>
        <v>[Nhãn] GC - IV - 2091 - Cty SC Chemical - MANCOSUPER (bột vàng) - 1kg - 20</v>
      </c>
      <c r="E2731" s="87" t="str">
        <f>IFERROR(__xludf.DUMMYFUNCTION("""COMPUTED_VALUE"""),"MANCOBGO 80WP")</f>
        <v>MANCOBGO 80WP</v>
      </c>
      <c r="F2731" s="87" t="str">
        <f>IFERROR(__xludf.DUMMYFUNCTION("""COMPUTED_VALUE"""),"HH2091")</f>
        <v>HH2091</v>
      </c>
      <c r="G2731" s="87" t="str">
        <f>IFERROR(__xludf.DUMMYFUNCTION("""COMPUTED_VALUE"""),"GC - IV - 2091 - Cty SC Chemical - MANCOSUPER (bột vàng) - 1kg - 20")</f>
        <v>GC - IV - 2091 - Cty SC Chemical - MANCOSUPER (bột vàng) - 1kg - 20</v>
      </c>
    </row>
    <row r="2732">
      <c r="A2732" s="86">
        <f>IFERROR(__xludf.DUMMYFUNCTION("""COMPUTED_VALUE"""),2730.0)</f>
        <v>2730</v>
      </c>
      <c r="B2732" s="87" t="str">
        <f>IFERROR(__xludf.DUMMYFUNCTION("""COMPUTED_VALUE"""),"Nhãn")</f>
        <v>Nhãn</v>
      </c>
      <c r="C2732" s="87" t="str">
        <f>IFERROR(__xludf.DUMMYFUNCTION("""COMPUTED_VALUE"""),"NHG2092")</f>
        <v>NHG2092</v>
      </c>
      <c r="D2732" s="87" t="str">
        <f>IFERROR(__xludf.DUMMYFUNCTION("""COMPUTED_VALUE"""),"[Nhãn] GC - IV - 2092 - CTY NÔNG HÓA XANH - MI STOP 350SC (Nước vàng chanh) - 240ml - 40")</f>
        <v>[Nhãn] GC - IV - 2092 - CTY NÔNG HÓA XANH - MI STOP 350SC (Nước vàng chanh) - 240ml - 40</v>
      </c>
      <c r="E2732" s="87" t="str">
        <f>IFERROR(__xludf.DUMMYFUNCTION("""COMPUTED_VALUE"""),"MI STOP 350SC")</f>
        <v>MI STOP 350SC</v>
      </c>
      <c r="F2732" s="87" t="str">
        <f>IFERROR(__xludf.DUMMYFUNCTION("""COMPUTED_VALUE"""),"HH2092")</f>
        <v>HH2092</v>
      </c>
      <c r="G2732" s="87" t="str">
        <f>IFERROR(__xludf.DUMMYFUNCTION("""COMPUTED_VALUE"""),"GC - IV - 2092 - CTY NÔNG HÓA XANH - MI STOP 350SC (Nước vàng chanh) - 240ml - 40")</f>
        <v>GC - IV - 2092 - CTY NÔNG HÓA XANH - MI STOP 350SC (Nước vàng chanh) - 240ml - 40</v>
      </c>
    </row>
    <row r="2733">
      <c r="A2733" s="86">
        <f>IFERROR(__xludf.DUMMYFUNCTION("""COMPUTED_VALUE"""),2731.0)</f>
        <v>2731</v>
      </c>
      <c r="B2733" s="87" t="str">
        <f>IFERROR(__xludf.DUMMYFUNCTION("""COMPUTED_VALUE"""),"Nhãn")</f>
        <v>Nhãn</v>
      </c>
      <c r="C2733" s="87" t="str">
        <f>IFERROR(__xludf.DUMMYFUNCTION("""COMPUTED_VALUE"""),"NHG2092.1")</f>
        <v>NHG2092.1</v>
      </c>
      <c r="D2733" s="87" t="str">
        <f>IFERROR(__xludf.DUMMYFUNCTION("""COMPUTED_VALUE"""),"[Nhãn] GC - IV - 2092.1 - CTY NÔNG HÓA XANH - MI STOP 350SC (Nước vàng chanh) - 240ml - 60")</f>
        <v>[Nhãn] GC - IV - 2092.1 - CTY NÔNG HÓA XANH - MI STOP 350SC (Nước vàng chanh) - 240ml - 60</v>
      </c>
      <c r="E2733" s="87" t="str">
        <f>IFERROR(__xludf.DUMMYFUNCTION("""COMPUTED_VALUE"""),"MI STOP 350SC")</f>
        <v>MI STOP 350SC</v>
      </c>
      <c r="F2733" s="87" t="str">
        <f>IFERROR(__xludf.DUMMYFUNCTION("""COMPUTED_VALUE"""),"HH92.1")</f>
        <v>HH92.1</v>
      </c>
      <c r="G2733" s="87" t="str">
        <f>IFERROR(__xludf.DUMMYFUNCTION("""COMPUTED_VALUE"""),"GC - IV - 2092.1 - CTY NÔNG HÓA XANH - MI STOP 350SC (Nước vàng chanh) - 240ml - 60")</f>
        <v>GC - IV - 2092.1 - CTY NÔNG HÓA XANH - MI STOP 350SC (Nước vàng chanh) - 240ml - 60</v>
      </c>
    </row>
    <row r="2734">
      <c r="A2734" s="86">
        <f>IFERROR(__xludf.DUMMYFUNCTION("""COMPUTED_VALUE"""),2732.0)</f>
        <v>2732</v>
      </c>
      <c r="B2734" s="87" t="str">
        <f>IFERROR(__xludf.DUMMYFUNCTION("""COMPUTED_VALUE"""),"Nhãn")</f>
        <v>Nhãn</v>
      </c>
      <c r="C2734" s="87" t="str">
        <f>IFERROR(__xludf.DUMMYFUNCTION("""COMPUTED_VALUE"""),"NTN2094")</f>
        <v>NTN2094</v>
      </c>
      <c r="D2734" s="87" t="str">
        <f>IFERROR(__xludf.DUMMYFUNCTION("""COMPUTED_VALUE"""),"[Nhãn] GC - IV - 2094 - AGRIPLANT - Siêu diệt vi khuẩn - Thái (Bột trắng) - 25gr - 300")</f>
        <v>[Nhãn] GC - IV - 2094 - AGRIPLANT - Siêu diệt vi khuẩn - Thái (Bột trắng) - 25gr - 300</v>
      </c>
      <c r="E2734" s="87" t="str">
        <f>IFERROR(__xludf.DUMMYFUNCTION("""COMPUTED_VALUE"""),"Oxycin 100WP")</f>
        <v>Oxycin 100WP</v>
      </c>
      <c r="F2734" s="87" t="str">
        <f>IFERROR(__xludf.DUMMYFUNCTION("""COMPUTED_VALUE"""),"HH2094")</f>
        <v>HH2094</v>
      </c>
      <c r="G2734" s="87" t="str">
        <f>IFERROR(__xludf.DUMMYFUNCTION("""COMPUTED_VALUE"""),"GC - IV - 2094 - AGRIPLANT - Siêu diệt vi khuẩn - Thái (Bột trắng) - 25gr - 300")</f>
        <v>GC - IV - 2094 - AGRIPLANT - Siêu diệt vi khuẩn - Thái (Bột trắng) - 25gr - 300</v>
      </c>
    </row>
    <row r="2735">
      <c r="A2735" s="86">
        <f>IFERROR(__xludf.DUMMYFUNCTION("""COMPUTED_VALUE"""),2733.0)</f>
        <v>2733</v>
      </c>
      <c r="B2735" s="87" t="str">
        <f>IFERROR(__xludf.DUMMYFUNCTION("""COMPUTED_VALUE"""),"Nhãn thùng")</f>
        <v>Nhãn thùng</v>
      </c>
      <c r="C2735" s="87" t="str">
        <f>IFERROR(__xludf.DUMMYFUNCTION("""COMPUTED_VALUE"""),"NDT2094")</f>
        <v>NDT2094</v>
      </c>
      <c r="D2735" s="87" t="str">
        <f>IFERROR(__xludf.DUMMYFUNCTION("""COMPUTED_VALUE"""),"[Nhãn thùng] GC - IV - 2094 - AGRIPLANT - Siêu diệt vi khuẩn - Thái (Bột trắng) - 25gr - 300")</f>
        <v>[Nhãn thùng] GC - IV - 2094 - AGRIPLANT - Siêu diệt vi khuẩn - Thái (Bột trắng) - 25gr - 300</v>
      </c>
      <c r="E2735" s="87" t="str">
        <f>IFERROR(__xludf.DUMMYFUNCTION("""COMPUTED_VALUE"""),"Oxycin 100WP")</f>
        <v>Oxycin 100WP</v>
      </c>
      <c r="F2735" s="87" t="str">
        <f>IFERROR(__xludf.DUMMYFUNCTION("""COMPUTED_VALUE"""),"HH2094")</f>
        <v>HH2094</v>
      </c>
      <c r="G2735" s="87" t="str">
        <f>IFERROR(__xludf.DUMMYFUNCTION("""COMPUTED_VALUE"""),"GC - IV - 2094 - AGRIPLANT - Siêu diệt vi khuẩn - Thái (Bột trắng) - 25gr - 300")</f>
        <v>GC - IV - 2094 - AGRIPLANT - Siêu diệt vi khuẩn - Thái (Bột trắng) - 25gr - 300</v>
      </c>
    </row>
    <row r="2736">
      <c r="A2736" s="86">
        <f>IFERROR(__xludf.DUMMYFUNCTION("""COMPUTED_VALUE"""),2734.0)</f>
        <v>2734</v>
      </c>
      <c r="B2736" s="87" t="str">
        <f>IFERROR(__xludf.DUMMYFUNCTION("""COMPUTED_VALUE"""),"Nhãn")</f>
        <v>Nhãn</v>
      </c>
      <c r="C2736" s="87" t="str">
        <f>IFERROR(__xludf.DUMMYFUNCTION("""COMPUTED_VALUE"""),"NHG2095")</f>
        <v>NHG2095</v>
      </c>
      <c r="D2736" s="87" t="str">
        <f>IFERROR(__xludf.DUMMYFUNCTION("""COMPUTED_VALUE"""),"[Nhãn] GC - II - 2095 - CTY VIỆT Á - SH AGRO ORGANIC FERTILIZER 20 (Nước trong) - 100ml - 100")</f>
        <v>[Nhãn] GC - II - 2095 - CTY VIỆT Á - SH AGRO ORGANIC FERTILIZER 20 (Nước trong) - 100ml - 100</v>
      </c>
      <c r="E2736" s="87" t="str">
        <f>IFERROR(__xludf.DUMMYFUNCTION("""COMPUTED_VALUE"""),"Hữu cơ SH Agro Organic Fertilizer 20")</f>
        <v>Hữu cơ SH Agro Organic Fertilizer 20</v>
      </c>
      <c r="F2736" s="87" t="str">
        <f>IFERROR(__xludf.DUMMYFUNCTION("""COMPUTED_VALUE"""),"HH2095")</f>
        <v>HH2095</v>
      </c>
      <c r="G2736" s="87" t="str">
        <f>IFERROR(__xludf.DUMMYFUNCTION("""COMPUTED_VALUE"""),"GC - II - 2095 - CTY VIỆT Á - SH AGRO ORGANIC FERTILIZER 20 (Nước trong) - 100ml - 100")</f>
        <v>GC - II - 2095 - CTY VIỆT Á - SH AGRO ORGANIC FERTILIZER 20 (Nước trong) - 100ml - 100</v>
      </c>
    </row>
    <row r="2737">
      <c r="A2737" s="86">
        <f>IFERROR(__xludf.DUMMYFUNCTION("""COMPUTED_VALUE"""),2735.0)</f>
        <v>2735</v>
      </c>
      <c r="B2737" s="87" t="str">
        <f>IFERROR(__xludf.DUMMYFUNCTION("""COMPUTED_VALUE"""),"Nhãn thùng")</f>
        <v>Nhãn thùng</v>
      </c>
      <c r="C2737" s="87" t="str">
        <f>IFERROR(__xludf.DUMMYFUNCTION("""COMPUTED_VALUE"""),"NDT2095")</f>
        <v>NDT2095</v>
      </c>
      <c r="D2737" s="87" t="str">
        <f>IFERROR(__xludf.DUMMYFUNCTION("""COMPUTED_VALUE"""),"[Nhãn thùng] GC - II - 2095 - CTY VIỆT Á - SH AGRO ORGANIC FERTILIZER 20 (Nước trong) - 100ml - 100")</f>
        <v>[Nhãn thùng] GC - II - 2095 - CTY VIỆT Á - SH AGRO ORGANIC FERTILIZER 20 (Nước trong) - 100ml - 100</v>
      </c>
      <c r="E2737" s="87" t="str">
        <f>IFERROR(__xludf.DUMMYFUNCTION("""COMPUTED_VALUE"""),"Hữu cơ SH Agro Organic Fertilizer 20")</f>
        <v>Hữu cơ SH Agro Organic Fertilizer 20</v>
      </c>
      <c r="F2737" s="87" t="str">
        <f>IFERROR(__xludf.DUMMYFUNCTION("""COMPUTED_VALUE"""),"HH2095")</f>
        <v>HH2095</v>
      </c>
      <c r="G2737" s="87" t="str">
        <f>IFERROR(__xludf.DUMMYFUNCTION("""COMPUTED_VALUE"""),"GC - II - 2095 - CTY VIỆT Á - SH AGRO ORGANIC FERTILIZER 20 (Nước trong) - 100ml - 100")</f>
        <v>GC - II - 2095 - CTY VIỆT Á - SH AGRO ORGANIC FERTILIZER 20 (Nước trong) - 100ml - 100</v>
      </c>
    </row>
    <row r="2738">
      <c r="A2738" s="86">
        <f>IFERROR(__xludf.DUMMYFUNCTION("""COMPUTED_VALUE"""),2736.0)</f>
        <v>2736</v>
      </c>
      <c r="B2738" s="87" t="str">
        <f>IFERROR(__xludf.DUMMYFUNCTION("""COMPUTED_VALUE"""),"Nhãn")</f>
        <v>Nhãn</v>
      </c>
      <c r="C2738" s="87" t="str">
        <f>IFERROR(__xludf.DUMMYFUNCTION("""COMPUTED_VALUE"""),"NHG2096")</f>
        <v>NHG2096</v>
      </c>
      <c r="D2738" s="87" t="str">
        <f>IFERROR(__xludf.DUMMYFUNCTION("""COMPUTED_VALUE"""),"[Nhãn] GC - IV - 2096 - CTY LÊ CHÂU CT - Dr. Fresh (Nước nâu đen) - 500ml - 40")</f>
        <v>[Nhãn] GC - IV - 2096 - CTY LÊ CHÂU CT - Dr. Fresh (Nước nâu đen) - 500ml - 40</v>
      </c>
      <c r="E2738" s="87" t="str">
        <f>IFERROR(__xludf.DUMMYFUNCTION("""COMPUTED_VALUE"""),"Hữu cơ SH Agro Organic Fertilizer 20")</f>
        <v>Hữu cơ SH Agro Organic Fertilizer 20</v>
      </c>
      <c r="F2738" s="87" t="str">
        <f>IFERROR(__xludf.DUMMYFUNCTION("""COMPUTED_VALUE"""),"HH2096")</f>
        <v>HH2096</v>
      </c>
      <c r="G2738" s="87" t="str">
        <f>IFERROR(__xludf.DUMMYFUNCTION("""COMPUTED_VALUE"""),"GC - IV - 2096 - CTY LÊ CHÂU CT - Dr. Fresh (Nước nâu đen) - 500ml - 40")</f>
        <v>GC - IV - 2096 - CTY LÊ CHÂU CT - Dr. Fresh (Nước nâu đen) - 500ml - 40</v>
      </c>
    </row>
    <row r="2739">
      <c r="A2739" s="86">
        <f>IFERROR(__xludf.DUMMYFUNCTION("""COMPUTED_VALUE"""),2737.0)</f>
        <v>2737</v>
      </c>
      <c r="B2739" s="87" t="str">
        <f>IFERROR(__xludf.DUMMYFUNCTION("""COMPUTED_VALUE"""),"Nhãn thùng")</f>
        <v>Nhãn thùng</v>
      </c>
      <c r="C2739" s="87" t="str">
        <f>IFERROR(__xludf.DUMMYFUNCTION("""COMPUTED_VALUE"""),"NDT2096")</f>
        <v>NDT2096</v>
      </c>
      <c r="D2739" s="87" t="str">
        <f>IFERROR(__xludf.DUMMYFUNCTION("""COMPUTED_VALUE"""),"[Nhãn thùng] GC - IV - 2096 - CTY LÊ CHÂU CT - Dr. Fresh (Nước nâu đen) - 500ml - 40")</f>
        <v>[Nhãn thùng] GC - IV - 2096 - CTY LÊ CHÂU CT - Dr. Fresh (Nước nâu đen) - 500ml - 40</v>
      </c>
      <c r="E2739" s="87" t="str">
        <f>IFERROR(__xludf.DUMMYFUNCTION("""COMPUTED_VALUE"""),"Hữu cơ SH Agro Organic Fertilizer 20")</f>
        <v>Hữu cơ SH Agro Organic Fertilizer 20</v>
      </c>
      <c r="F2739" s="87" t="str">
        <f>IFERROR(__xludf.DUMMYFUNCTION("""COMPUTED_VALUE"""),"HH2096")</f>
        <v>HH2096</v>
      </c>
      <c r="G2739" s="87" t="str">
        <f>IFERROR(__xludf.DUMMYFUNCTION("""COMPUTED_VALUE"""),"GC - IV - 2096 - CTY LÊ CHÂU CT - Dr. Fresh (Nước nâu đen) - 500ml - 40")</f>
        <v>GC - IV - 2096 - CTY LÊ CHÂU CT - Dr. Fresh (Nước nâu đen) - 500ml - 40</v>
      </c>
    </row>
    <row r="2740">
      <c r="A2740" s="86">
        <f>IFERROR(__xludf.DUMMYFUNCTION("""COMPUTED_VALUE"""),2738.0)</f>
        <v>2738</v>
      </c>
      <c r="B2740" s="87" t="str">
        <f>IFERROR(__xludf.DUMMYFUNCTION("""COMPUTED_VALUE"""),"Nhãn")</f>
        <v>Nhãn</v>
      </c>
      <c r="C2740" s="87" t="str">
        <f>IFERROR(__xludf.DUMMYFUNCTION("""COMPUTED_VALUE"""),"NHG2097")</f>
        <v>NHG2097</v>
      </c>
      <c r="D2740" s="87" t="str">
        <f>IFERROR(__xludf.DUMMYFUNCTION("""COMPUTED_VALUE"""),"[Nhãn] GC - II - 2097 - GC ABA (A.Nguyên) - SPIRO 240SC (Nước trắng sữa) - 60ml - 100")</f>
        <v>[Nhãn] GC - II - 2097 - GC ABA (A.Nguyên) - SPIRO 240SC (Nước trắng sữa) - 60ml - 100</v>
      </c>
      <c r="E2740" s="87" t="str">
        <f>IFERROR(__xludf.DUMMYFUNCTION("""COMPUTED_VALUE"""),"SPIRO 240SC")</f>
        <v>SPIRO 240SC</v>
      </c>
      <c r="F2740" s="87" t="str">
        <f>IFERROR(__xludf.DUMMYFUNCTION("""COMPUTED_VALUE"""),"HH2097")</f>
        <v>HH2097</v>
      </c>
      <c r="G2740" s="87" t="str">
        <f>IFERROR(__xludf.DUMMYFUNCTION("""COMPUTED_VALUE"""),"GC - II - 2097 - GC ABA (A.Nguyên) - SPIRO 240SC (Nước trắng sữa) - 60ml - 100")</f>
        <v>GC - II - 2097 - GC ABA (A.Nguyên) - SPIRO 240SC (Nước trắng sữa) - 60ml - 100</v>
      </c>
    </row>
    <row r="2741">
      <c r="A2741" s="86">
        <f>IFERROR(__xludf.DUMMYFUNCTION("""COMPUTED_VALUE"""),2739.0)</f>
        <v>2739</v>
      </c>
      <c r="B2741" s="87" t="str">
        <f>IFERROR(__xludf.DUMMYFUNCTION("""COMPUTED_VALUE"""),"Nhãn")</f>
        <v>Nhãn</v>
      </c>
      <c r="C2741" s="87" t="str">
        <f>IFERROR(__xludf.DUMMYFUNCTION("""COMPUTED_VALUE"""),"NHD2098")</f>
        <v>NHD2098</v>
      </c>
      <c r="D2741" s="87" t="str">
        <f>IFERROR(__xludf.DUMMYFUNCTION("""COMPUTED_VALUE"""),"[Nhãn] GC - II - 2098 - THÀNH CÔNG AGRI - ULTRA FRUIT (Gel nâu đen) - 20L - 1")</f>
        <v>[Nhãn] GC - II - 2098 - THÀNH CÔNG AGRI - ULTRA FRUIT (Gel nâu đen) - 20L - 1</v>
      </c>
      <c r="E2741" s="87" t="str">
        <f>IFERROR(__xludf.DUMMYFUNCTION("""COMPUTED_VALUE"""),"Vi lượng Quantity New")</f>
        <v>Vi lượng Quantity New</v>
      </c>
      <c r="F2741" s="87" t="str">
        <f>IFERROR(__xludf.DUMMYFUNCTION("""COMPUTED_VALUE"""),"HH2098")</f>
        <v>HH2098</v>
      </c>
      <c r="G2741" s="87" t="str">
        <f>IFERROR(__xludf.DUMMYFUNCTION("""COMPUTED_VALUE"""),"GC - II - 2098 - THÀNH CÔNG AGRI - ULTRA FRUIT (Gel nâu đen) - 20L - 1")</f>
        <v>GC - II - 2098 - THÀNH CÔNG AGRI - ULTRA FRUIT (Gel nâu đen) - 20L - 1</v>
      </c>
    </row>
    <row r="2742">
      <c r="A2742" s="86">
        <f>IFERROR(__xludf.DUMMYFUNCTION("""COMPUTED_VALUE"""),2740.0)</f>
        <v>2740</v>
      </c>
      <c r="B2742" s="87" t="str">
        <f>IFERROR(__xludf.DUMMYFUNCTION("""COMPUTED_VALUE"""),"Nhãn")</f>
        <v>Nhãn</v>
      </c>
      <c r="C2742" s="87" t="str">
        <f>IFERROR(__xludf.DUMMYFUNCTION("""COMPUTED_VALUE"""),"NHG2099")</f>
        <v>NHG2099</v>
      </c>
      <c r="D2742" s="87" t="str">
        <f>IFERROR(__xludf.DUMMYFUNCTION("""COMPUTED_VALUE"""),"[Nhãn] GC - IV - 2099 - CTY VIN AG - EXTRA MITE (Nước xanh lá) - 450ml - 40")</f>
        <v>[Nhãn] GC - IV - 2099 - CTY VIN AG - EXTRA MITE (Nước xanh lá) - 450ml - 40</v>
      </c>
      <c r="E2742" s="87" t="str">
        <f>IFERROR(__xludf.DUMMYFUNCTION("""COMPUTED_VALUE"""),"Chitin 3.6EC")</f>
        <v>Chitin 3.6EC</v>
      </c>
      <c r="F2742" s="87" t="str">
        <f>IFERROR(__xludf.DUMMYFUNCTION("""COMPUTED_VALUE"""),"HH2099")</f>
        <v>HH2099</v>
      </c>
      <c r="G2742" s="87" t="str">
        <f>IFERROR(__xludf.DUMMYFUNCTION("""COMPUTED_VALUE"""),"GC - IV - 2099 - CTY VIN AG - EXTRA MITE (Nước xanh lá) - 450ml - 40")</f>
        <v>GC - IV - 2099 - CTY VIN AG - EXTRA MITE (Nước xanh lá) - 450ml - 40</v>
      </c>
    </row>
    <row r="2743">
      <c r="A2743" s="86">
        <f>IFERROR(__xludf.DUMMYFUNCTION("""COMPUTED_VALUE"""),2741.0)</f>
        <v>2741</v>
      </c>
      <c r="B2743" s="87" t="str">
        <f>IFERROR(__xludf.DUMMYFUNCTION("""COMPUTED_VALUE"""),"Nhãn")</f>
        <v>Nhãn</v>
      </c>
      <c r="C2743" s="87" t="str">
        <f>IFERROR(__xludf.DUMMYFUNCTION("""COMPUTED_VALUE"""),"NHG2100")</f>
        <v>NHG2100</v>
      </c>
      <c r="D2743" s="87" t="str">
        <f>IFERROR(__xludf.DUMMYFUNCTION("""COMPUTED_VALUE"""),"[Nhãn] GC - IV - 2100 - CTY ECO - SUPER MITE (Nước xanh lá) - 450ml - 40")</f>
        <v>[Nhãn] GC - IV - 2100 - CTY ECO - SUPER MITE (Nước xanh lá) - 450ml - 40</v>
      </c>
      <c r="E2743" s="87" t="str">
        <f>IFERROR(__xludf.DUMMYFUNCTION("""COMPUTED_VALUE"""),"Chitin 3.6EC")</f>
        <v>Chitin 3.6EC</v>
      </c>
      <c r="F2743" s="87" t="str">
        <f>IFERROR(__xludf.DUMMYFUNCTION("""COMPUTED_VALUE"""),"HH2100")</f>
        <v>HH2100</v>
      </c>
      <c r="G2743" s="87" t="str">
        <f>IFERROR(__xludf.DUMMYFUNCTION("""COMPUTED_VALUE"""),"GC - IV - 2100 - CTY ECO - SUPER MITE (Nước xanh lá) - 450ml - 40")</f>
        <v>GC - IV - 2100 - CTY ECO - SUPER MITE (Nước xanh lá) - 450ml - 40</v>
      </c>
    </row>
    <row r="2744">
      <c r="A2744" s="86">
        <f>IFERROR(__xludf.DUMMYFUNCTION("""COMPUTED_VALUE"""),2742.0)</f>
        <v>2742</v>
      </c>
      <c r="B2744" s="87" t="str">
        <f>IFERROR(__xludf.DUMMYFUNCTION("""COMPUTED_VALUE"""),"Nhãn")</f>
        <v>Nhãn</v>
      </c>
      <c r="C2744" s="87" t="str">
        <f>IFERROR(__xludf.DUMMYFUNCTION("""COMPUTED_VALUE"""),"NHG2101")</f>
        <v>NHG2101</v>
      </c>
      <c r="D2744" s="87" t="str">
        <f>IFERROR(__xludf.DUMMYFUNCTION("""COMPUTED_VALUE"""),"[Nhãn] IDA Global - I - 2101 - ĐL ĐỨC MINH - IDA VIL 5SC (Nước vàng) - 1L - 20")</f>
        <v>[Nhãn] IDA Global - I - 2101 - ĐL ĐỨC MINH - IDA VIL 5SC (Nước vàng) - 1L - 20</v>
      </c>
      <c r="E2744" s="87" t="str">
        <f>IFERROR(__xludf.DUMMYFUNCTION("""COMPUTED_VALUE"""),"Mekongvil 5SC")</f>
        <v>Mekongvil 5SC</v>
      </c>
      <c r="F2744" s="87" t="str">
        <f>IFERROR(__xludf.DUMMYFUNCTION("""COMPUTED_VALUE"""),"HH2101")</f>
        <v>HH2101</v>
      </c>
      <c r="G2744" s="87" t="str">
        <f>IFERROR(__xludf.DUMMYFUNCTION("""COMPUTED_VALUE"""),"IDA Global - I - 2101 - ĐL ĐỨC MINH - IDA VIL 5SC (Nước vàng) - 1L - 20")</f>
        <v>IDA Global - I - 2101 - ĐL ĐỨC MINH - IDA VIL 5SC (Nước vàng) - 1L - 20</v>
      </c>
    </row>
    <row r="2745">
      <c r="A2745" s="86">
        <f>IFERROR(__xludf.DUMMYFUNCTION("""COMPUTED_VALUE"""),2743.0)</f>
        <v>2743</v>
      </c>
      <c r="B2745" s="87" t="str">
        <f>IFERROR(__xludf.DUMMYFUNCTION("""COMPUTED_VALUE"""),"Nhãn")</f>
        <v>Nhãn</v>
      </c>
      <c r="C2745" s="87" t="str">
        <f>IFERROR(__xludf.DUMMYFUNCTION("""COMPUTED_VALUE"""),"NHD2102")</f>
        <v>NHD2102</v>
      </c>
      <c r="D2745" s="87" t="str">
        <f>IFERROR(__xludf.DUMMYFUNCTION("""COMPUTED_VALUE"""),"[Nhãn] GC - II - 2102 - AGC (TÂY NGUYÊN) - NUTRI PLUS - TA02 (Nước nâu đen) - 5L - 4")</f>
        <v>[Nhãn] GC - II - 2102 - AGC (TÂY NGUYÊN) - NUTRI PLUS - TA02 (Nước nâu đen) - 5L - 4</v>
      </c>
      <c r="E2745" s="87" t="str">
        <f>IFERROR(__xludf.DUMMYFUNCTION("""COMPUTED_VALUE"""),"Hữu cơ SH Agro Organic Fertilizer 20")</f>
        <v>Hữu cơ SH Agro Organic Fertilizer 20</v>
      </c>
      <c r="F2745" s="87" t="str">
        <f>IFERROR(__xludf.DUMMYFUNCTION("""COMPUTED_VALUE"""),"HH2102")</f>
        <v>HH2102</v>
      </c>
      <c r="G2745" s="87" t="str">
        <f>IFERROR(__xludf.DUMMYFUNCTION("""COMPUTED_VALUE"""),"GC - II - 2102 - AGC (TÂY NGUYÊN) - NUTRI PLUS - TA02 (Nước nâu đen) - 5L - 4")</f>
        <v>GC - II - 2102 - AGC (TÂY NGUYÊN) - NUTRI PLUS - TA02 (Nước nâu đen) - 5L - 4</v>
      </c>
    </row>
    <row r="2746">
      <c r="A2746" s="86">
        <f>IFERROR(__xludf.DUMMYFUNCTION("""COMPUTED_VALUE"""),2744.0)</f>
        <v>2744</v>
      </c>
      <c r="B2746" s="87" t="str">
        <f>IFERROR(__xludf.DUMMYFUNCTION("""COMPUTED_VALUE"""),"Nhãn thùng")</f>
        <v>Nhãn thùng</v>
      </c>
      <c r="C2746" s="87" t="str">
        <f>IFERROR(__xludf.DUMMYFUNCTION("""COMPUTED_VALUE"""),"NDT2102")</f>
        <v>NDT2102</v>
      </c>
      <c r="D2746" s="87" t="str">
        <f>IFERROR(__xludf.DUMMYFUNCTION("""COMPUTED_VALUE"""),"[Nhãn thùng] GC - II - 2102 - AGC (TÂY NGUYÊN) - NUTRI PLUS - TA02 (Nước nâu đen) - 5L - 4")</f>
        <v>[Nhãn thùng] GC - II - 2102 - AGC (TÂY NGUYÊN) - NUTRI PLUS - TA02 (Nước nâu đen) - 5L - 4</v>
      </c>
      <c r="E2746" s="87" t="str">
        <f>IFERROR(__xludf.DUMMYFUNCTION("""COMPUTED_VALUE"""),"Hữu cơ SH Agro Organic Fertilizer 20")</f>
        <v>Hữu cơ SH Agro Organic Fertilizer 20</v>
      </c>
      <c r="F2746" s="87" t="str">
        <f>IFERROR(__xludf.DUMMYFUNCTION("""COMPUTED_VALUE"""),"HH2102")</f>
        <v>HH2102</v>
      </c>
      <c r="G2746" s="87" t="str">
        <f>IFERROR(__xludf.DUMMYFUNCTION("""COMPUTED_VALUE"""),"GC - II - 2102 - AGC (TÂY NGUYÊN) - NUTRI PLUS - TA02 (Nước nâu đen) - 5L - 4")</f>
        <v>GC - II - 2102 - AGC (TÂY NGUYÊN) - NUTRI PLUS - TA02 (Nước nâu đen) - 5L - 4</v>
      </c>
    </row>
    <row r="2747">
      <c r="A2747" s="86">
        <f>IFERROR(__xludf.DUMMYFUNCTION("""COMPUTED_VALUE"""),2745.0)</f>
        <v>2745</v>
      </c>
      <c r="B2747" s="87" t="str">
        <f>IFERROR(__xludf.DUMMYFUNCTION("""COMPUTED_VALUE"""),"Nhãn")</f>
        <v>Nhãn</v>
      </c>
      <c r="C2747" s="87" t="str">
        <f>IFERROR(__xludf.DUMMYFUNCTION("""COMPUTED_VALUE"""),"NHG2103")</f>
        <v>NHG2103</v>
      </c>
      <c r="D2747" s="87" t="str">
        <f>IFERROR(__xludf.DUMMYFUNCTION("""COMPUTED_VALUE"""),"[Nhãn] GC - II - 2103 - AGC (TÂY NGUYÊN) - AMINO MAX (Nước nâu đen) - 500ml - 40")</f>
        <v>[Nhãn] GC - II - 2103 - AGC (TÂY NGUYÊN) - AMINO MAX (Nước nâu đen) - 500ml - 40</v>
      </c>
      <c r="E2747" s="87" t="str">
        <f>IFERROR(__xludf.DUMMYFUNCTION("""COMPUTED_VALUE"""),"Vi lượng Quantity New")</f>
        <v>Vi lượng Quantity New</v>
      </c>
      <c r="F2747" s="87" t="str">
        <f>IFERROR(__xludf.DUMMYFUNCTION("""COMPUTED_VALUE"""),"HH2103")</f>
        <v>HH2103</v>
      </c>
      <c r="G2747" s="87" t="str">
        <f>IFERROR(__xludf.DUMMYFUNCTION("""COMPUTED_VALUE"""),"GC - II - 2103 - AGC (TÂY NGUYÊN) - AMINO MAX (Nước nâu đen) - 500ml - 40")</f>
        <v>GC - II - 2103 - AGC (TÂY NGUYÊN) - AMINO MAX (Nước nâu đen) - 500ml - 40</v>
      </c>
    </row>
    <row r="2748">
      <c r="A2748" s="86">
        <f>IFERROR(__xludf.DUMMYFUNCTION("""COMPUTED_VALUE"""),2746.0)</f>
        <v>2746</v>
      </c>
      <c r="B2748" s="87" t="str">
        <f>IFERROR(__xludf.DUMMYFUNCTION("""COMPUTED_VALUE"""),"Nhãn")</f>
        <v>Nhãn</v>
      </c>
      <c r="C2748" s="87" t="str">
        <f>IFERROR(__xludf.DUMMYFUNCTION("""COMPUTED_VALUE"""),"NHG2104")</f>
        <v>NHG2104</v>
      </c>
      <c r="D2748" s="87" t="str">
        <f>IFERROR(__xludf.DUMMYFUNCTION("""COMPUTED_VALUE"""),"[Nhãn] GC - II - 2104 - AGC (TÂY NGUYÊN) - NOFARA 350SC (Nước trắng sữa) - 240ml - 40")</f>
        <v>[Nhãn] GC - II - 2104 - AGC (TÂY NGUYÊN) - NOFARA 350SC (Nước trắng sữa) - 240ml - 40</v>
      </c>
      <c r="E2748" s="87" t="str">
        <f>IFERROR(__xludf.DUMMYFUNCTION("""COMPUTED_VALUE"""),"NOFARA 350SC")</f>
        <v>NOFARA 350SC</v>
      </c>
      <c r="F2748" s="87" t="str">
        <f>IFERROR(__xludf.DUMMYFUNCTION("""COMPUTED_VALUE"""),"HH2104")</f>
        <v>HH2104</v>
      </c>
      <c r="G2748" s="87" t="str">
        <f>IFERROR(__xludf.DUMMYFUNCTION("""COMPUTED_VALUE"""),"GC - II - 2104 - AGC (TÂY NGUYÊN) - NOFARA 350SC (Nước trắng sữa) - 240ml - 40")</f>
        <v>GC - II - 2104 - AGC (TÂY NGUYÊN) - NOFARA 350SC (Nước trắng sữa) - 240ml - 40</v>
      </c>
    </row>
    <row r="2749">
      <c r="A2749" s="86">
        <f>IFERROR(__xludf.DUMMYFUNCTION("""COMPUTED_VALUE"""),2747.0)</f>
        <v>2747</v>
      </c>
      <c r="B2749" s="87" t="str">
        <f>IFERROR(__xludf.DUMMYFUNCTION("""COMPUTED_VALUE"""),"Nhãn")</f>
        <v>Nhãn</v>
      </c>
      <c r="C2749" s="87" t="str">
        <f>IFERROR(__xludf.DUMMYFUNCTION("""COMPUTED_VALUE"""),"NHG2105")</f>
        <v>NHG2105</v>
      </c>
      <c r="D2749" s="87" t="str">
        <f>IFERROR(__xludf.DUMMYFUNCTION("""COMPUTED_VALUE"""),"[Nhãn] GC - II - 2105 - AGC (TÂY NGUYÊN) - MITOP ONE 390SC (Nước vàng) - 240ml - 40")</f>
        <v>[Nhãn] GC - II - 2105 - AGC (TÂY NGUYÊN) - MITOP ONE 390SC (Nước vàng) - 240ml - 40</v>
      </c>
      <c r="E2749" s="87" t="str">
        <f>IFERROR(__xludf.DUMMYFUNCTION("""COMPUTED_VALUE"""),"MITOP ONE 390SC")</f>
        <v>MITOP ONE 390SC</v>
      </c>
      <c r="F2749" s="87" t="str">
        <f>IFERROR(__xludf.DUMMYFUNCTION("""COMPUTED_VALUE"""),"HH2105")</f>
        <v>HH2105</v>
      </c>
      <c r="G2749" s="87" t="str">
        <f>IFERROR(__xludf.DUMMYFUNCTION("""COMPUTED_VALUE"""),"GC - II - 2105 - AGC (TÂY NGUYÊN) - MITOP ONE 390SC (Nước vàng) - 240ml - 40")</f>
        <v>GC - II - 2105 - AGC (TÂY NGUYÊN) - MITOP ONE 390SC (Nước vàng) - 240ml - 40</v>
      </c>
    </row>
    <row r="2750">
      <c r="A2750" s="86">
        <f>IFERROR(__xludf.DUMMYFUNCTION("""COMPUTED_VALUE"""),2748.0)</f>
        <v>2748</v>
      </c>
      <c r="B2750" s="87" t="str">
        <f>IFERROR(__xludf.DUMMYFUNCTION("""COMPUTED_VALUE"""),"Nhãn")</f>
        <v>Nhãn</v>
      </c>
      <c r="C2750" s="87" t="str">
        <f>IFERROR(__xludf.DUMMYFUNCTION("""COMPUTED_VALUE"""),"NHG2112")</f>
        <v>NHG2112</v>
      </c>
      <c r="D2750" s="87" t="str">
        <f>IFERROR(__xludf.DUMMYFUNCTION("""COMPUTED_VALUE"""),"[Nhãn] NB - I - 2112 - Nông Dược Thụy Sĩ - GENOL 1.2SL (Nước xanh rêu) - 250ml - 20")</f>
        <v>[Nhãn] NB - I - 2112 - Nông Dược Thụy Sĩ - GENOL 1.2SL (Nước xanh rêu) - 250ml - 20</v>
      </c>
      <c r="E2750" s="87" t="str">
        <f>IFERROR(__xludf.DUMMYFUNCTION("""COMPUTED_VALUE"""),"GENOL 1.2SL")</f>
        <v>GENOL 1.2SL</v>
      </c>
      <c r="F2750" s="87" t="str">
        <f>IFERROR(__xludf.DUMMYFUNCTION("""COMPUTED_VALUE"""),"HH2112")</f>
        <v>HH2112</v>
      </c>
      <c r="G2750" s="87" t="str">
        <f>IFERROR(__xludf.DUMMYFUNCTION("""COMPUTED_VALUE"""),"NB - I - 2112 - Nông Dược Thụy Sĩ - GENOL 1.2SL (Nước xanh rêu) - 250ml - 20")</f>
        <v>NB - I - 2112 - Nông Dược Thụy Sĩ - GENOL 1.2SL (Nước xanh rêu) - 250ml - 20</v>
      </c>
    </row>
    <row r="2751">
      <c r="A2751" s="86">
        <f>IFERROR(__xludf.DUMMYFUNCTION("""COMPUTED_VALUE"""),2749.0)</f>
        <v>2749</v>
      </c>
      <c r="B2751" s="87" t="str">
        <f>IFERROR(__xludf.DUMMYFUNCTION("""COMPUTED_VALUE"""),"HỘP")</f>
        <v>HỘP</v>
      </c>
      <c r="C2751" s="87" t="str">
        <f>IFERROR(__xludf.DUMMYFUNCTION("""COMPUTED_VALUE"""),"HOP2112")</f>
        <v>HOP2112</v>
      </c>
      <c r="D2751" s="87" t="str">
        <f>IFERROR(__xludf.DUMMYFUNCTION("""COMPUTED_VALUE"""),"[HOP] NB - I - 2112 - Nông Dược Thụy Sĩ - GENOL 1.2SL (Nước xanh rêu) - 250ml - 20")</f>
        <v>[HOP] NB - I - 2112 - Nông Dược Thụy Sĩ - GENOL 1.2SL (Nước xanh rêu) - 250ml - 20</v>
      </c>
      <c r="E2751" s="87" t="str">
        <f>IFERROR(__xludf.DUMMYFUNCTION("""COMPUTED_VALUE"""),"GENOL 1.2SL")</f>
        <v>GENOL 1.2SL</v>
      </c>
      <c r="F2751" s="87" t="str">
        <f>IFERROR(__xludf.DUMMYFUNCTION("""COMPUTED_VALUE"""),"HH2112")</f>
        <v>HH2112</v>
      </c>
      <c r="G2751" s="87" t="str">
        <f>IFERROR(__xludf.DUMMYFUNCTION("""COMPUTED_VALUE"""),"NB - I - 2112 - Nông Dược Thụy Sĩ - GENOL 1.2SL (Nước xanh rêu) - 250ml - 20")</f>
        <v>NB - I - 2112 - Nông Dược Thụy Sĩ - GENOL 1.2SL (Nước xanh rêu) - 250ml - 20</v>
      </c>
    </row>
    <row r="2752">
      <c r="A2752" s="86">
        <f>IFERROR(__xludf.DUMMYFUNCTION("""COMPUTED_VALUE"""),2750.0)</f>
        <v>2750</v>
      </c>
      <c r="B2752" s="87" t="str">
        <f>IFERROR(__xludf.DUMMYFUNCTION("""COMPUTED_VALUE"""),"Nhãn")</f>
        <v>Nhãn</v>
      </c>
      <c r="C2752" s="87" t="str">
        <f>IFERROR(__xludf.DUMMYFUNCTION("""COMPUTED_VALUE"""),"NHG2113")</f>
        <v>NHG2113</v>
      </c>
      <c r="D2752" s="87" t="str">
        <f>IFERROR(__xludf.DUMMYFUNCTION("""COMPUTED_VALUE"""),"[Nhãn] NB - I - 2113 - Nông Dược Thụy Sĩ - AMILAN 300SC (Nước cam sữa) - 250ml - 20")</f>
        <v>[Nhãn] NB - I - 2113 - Nông Dược Thụy Sĩ - AMILAN 300SC (Nước cam sữa) - 250ml - 20</v>
      </c>
      <c r="E2752" s="87" t="str">
        <f>IFERROR(__xludf.DUMMYFUNCTION("""COMPUTED_VALUE"""),"AMILAN 300SC")</f>
        <v>AMILAN 300SC</v>
      </c>
      <c r="F2752" s="87" t="str">
        <f>IFERROR(__xludf.DUMMYFUNCTION("""COMPUTED_VALUE"""),"HH2113")</f>
        <v>HH2113</v>
      </c>
      <c r="G2752" s="87" t="str">
        <f>IFERROR(__xludf.DUMMYFUNCTION("""COMPUTED_VALUE"""),"NB - I - 2113 - Nông Dược Thụy Sĩ - AMILAN 300SC (Nước cam sữa) - 250ml - 20")</f>
        <v>NB - I - 2113 - Nông Dược Thụy Sĩ - AMILAN 300SC (Nước cam sữa) - 250ml - 20</v>
      </c>
    </row>
    <row r="2753">
      <c r="A2753" s="86">
        <f>IFERROR(__xludf.DUMMYFUNCTION("""COMPUTED_VALUE"""),2751.0)</f>
        <v>2751</v>
      </c>
      <c r="B2753" s="87" t="str">
        <f>IFERROR(__xludf.DUMMYFUNCTION("""COMPUTED_VALUE"""),"Nhãn")</f>
        <v>Nhãn</v>
      </c>
      <c r="C2753" s="87" t="str">
        <f>IFERROR(__xludf.DUMMYFUNCTION("""COMPUTED_VALUE"""),"NHG2114")</f>
        <v>NHG2114</v>
      </c>
      <c r="D2753" s="87" t="str">
        <f>IFERROR(__xludf.DUMMYFUNCTION("""COMPUTED_VALUE"""),"[Nhãn] DR.XANH - II - 2114 - FUNGI GO (Nước vàng chanh) - 240ml - 40")</f>
        <v>[Nhãn] DR.XANH - II - 2114 - FUNGI GO (Nước vàng chanh) - 240ml - 40</v>
      </c>
      <c r="E2753" s="87" t="str">
        <f>IFERROR(__xludf.DUMMYFUNCTION("""COMPUTED_VALUE"""),"MI STOP 350SC")</f>
        <v>MI STOP 350SC</v>
      </c>
      <c r="F2753" s="87" t="str">
        <f>IFERROR(__xludf.DUMMYFUNCTION("""COMPUTED_VALUE"""),"HH2114")</f>
        <v>HH2114</v>
      </c>
      <c r="G2753" s="87" t="str">
        <f>IFERROR(__xludf.DUMMYFUNCTION("""COMPUTED_VALUE"""),"DR.XANH - II - 2114 - FUNGI GO (Nước vàng chanh) - 240ml - 40")</f>
        <v>DR.XANH - II - 2114 - FUNGI GO (Nước vàng chanh) - 240ml - 40</v>
      </c>
    </row>
    <row r="2754">
      <c r="A2754" s="86">
        <f>IFERROR(__xludf.DUMMYFUNCTION("""COMPUTED_VALUE"""),2752.0)</f>
        <v>2752</v>
      </c>
      <c r="B2754" s="87" t="str">
        <f>IFERROR(__xludf.DUMMYFUNCTION("""COMPUTED_VALUE"""),"Nhãn")</f>
        <v>Nhãn</v>
      </c>
      <c r="C2754" s="87" t="str">
        <f>IFERROR(__xludf.DUMMYFUNCTION("""COMPUTED_VALUE"""),"NHG2115")</f>
        <v>NHG2115</v>
      </c>
      <c r="D2754" s="87" t="str">
        <f>IFERROR(__xludf.DUMMYFUNCTION("""COMPUTED_VALUE"""),"[Nhãn] IDA Global - I - 2115 - ĐL ÚT MÍT - VUA ĐẠO ÔN - 480ml - 40")</f>
        <v>[Nhãn] IDA Global - I - 2115 - ĐL ÚT MÍT - VUA ĐẠO ÔN - 480ml - 40</v>
      </c>
      <c r="E2754" s="87" t="str">
        <f>IFERROR(__xludf.DUMMYFUNCTION("""COMPUTED_VALUE"""),"BIMSUPER 650SC")</f>
        <v>BIMSUPER 650SC</v>
      </c>
      <c r="F2754" s="87" t="str">
        <f>IFERROR(__xludf.DUMMYFUNCTION("""COMPUTED_VALUE"""),"HH2115")</f>
        <v>HH2115</v>
      </c>
      <c r="G2754" s="87" t="str">
        <f>IFERROR(__xludf.DUMMYFUNCTION("""COMPUTED_VALUE"""),"IDA Global - I - 2115 - ĐL ÚT MÍT - VUA ĐẠO ÔN - 480ml - 40")</f>
        <v>IDA Global - I - 2115 - ĐL ÚT MÍT - VUA ĐẠO ÔN - 480ml - 40</v>
      </c>
    </row>
    <row r="2755">
      <c r="A2755" s="86">
        <f>IFERROR(__xludf.DUMMYFUNCTION("""COMPUTED_VALUE"""),2753.0)</f>
        <v>2753</v>
      </c>
      <c r="B2755" s="87" t="str">
        <f>IFERROR(__xludf.DUMMYFUNCTION("""COMPUTED_VALUE"""),"Nhãn")</f>
        <v>Nhãn</v>
      </c>
      <c r="C2755" s="87" t="str">
        <f>IFERROR(__xludf.DUMMYFUNCTION("""COMPUTED_VALUE"""),"NHG2116")</f>
        <v>NHG2116</v>
      </c>
      <c r="D2755" s="87" t="str">
        <f>IFERROR(__xludf.DUMMYFUNCTION("""COMPUTED_VALUE"""),"[Nhãn] GC - IV - 2116 - Cty Thiên Di (A Thành Dol) - Dưỡng chất vô cơ chuyên sầu riêng (Nước tím đỏ) - 500ml - 40")</f>
        <v>[Nhãn] GC - IV - 2116 - Cty Thiên Di (A Thành Dol) - Dưỡng chất vô cơ chuyên sầu riêng (Nước tím đỏ) - 500ml - 40</v>
      </c>
      <c r="E2755" s="87" t="str">
        <f>IFERROR(__xludf.DUMMYFUNCTION("""COMPUTED_VALUE"""),"Hỗn hợp NPK BASEL NPK 6-16-3 IDA 15")</f>
        <v>Hỗn hợp NPK BASEL NPK 6-16-3 IDA 15</v>
      </c>
      <c r="F2755" s="87" t="str">
        <f>IFERROR(__xludf.DUMMYFUNCTION("""COMPUTED_VALUE"""),"HH2116")</f>
        <v>HH2116</v>
      </c>
      <c r="G2755" s="87" t="str">
        <f>IFERROR(__xludf.DUMMYFUNCTION("""COMPUTED_VALUE"""),"GC - IV - 2116 - Cty Thiên Di (A Thành Dol) - Dưỡng chất vô cơ chuyên sầu riêng (Nước tím đỏ) - 500ml - 40")</f>
        <v>GC - IV - 2116 - Cty Thiên Di (A Thành Dol) - Dưỡng chất vô cơ chuyên sầu riêng (Nước tím đỏ) - 500ml - 40</v>
      </c>
    </row>
    <row r="2756">
      <c r="A2756" s="86">
        <f>IFERROR(__xludf.DUMMYFUNCTION("""COMPUTED_VALUE"""),2754.0)</f>
        <v>2754</v>
      </c>
      <c r="B2756" s="87" t="str">
        <f>IFERROR(__xludf.DUMMYFUNCTION("""COMPUTED_VALUE"""),"Nhãn")</f>
        <v>Nhãn</v>
      </c>
      <c r="C2756" s="87" t="str">
        <f>IFERROR(__xludf.DUMMYFUNCTION("""COMPUTED_VALUE"""),"NHG2117")</f>
        <v>NHG2117</v>
      </c>
      <c r="D2756" s="87" t="str">
        <f>IFERROR(__xludf.DUMMYFUNCTION("""COMPUTED_VALUE"""),"[Nhãn] GC - IV - 2117 - CTY VIN AG - BLOCKSHOOT (Nước nâu đen) - 500ml - 40")</f>
        <v>[Nhãn] GC - IV - 2117 - CTY VIN AG - BLOCKSHOOT (Nước nâu đen) - 500ml - 40</v>
      </c>
      <c r="E2756" s="87" t="str">
        <f>IFERROR(__xludf.DUMMYFUNCTION("""COMPUTED_VALUE"""),"Vi lượng Quantity New")</f>
        <v>Vi lượng Quantity New</v>
      </c>
      <c r="F2756" s="87" t="str">
        <f>IFERROR(__xludf.DUMMYFUNCTION("""COMPUTED_VALUE"""),"HH2117")</f>
        <v>HH2117</v>
      </c>
      <c r="G2756" s="87" t="str">
        <f>IFERROR(__xludf.DUMMYFUNCTION("""COMPUTED_VALUE"""),"GC - IV - 2117 - CTY VIN AG - BLOCKSHOOT (Nước nâu đen) - 500ml - 40")</f>
        <v>GC - IV - 2117 - CTY VIN AG - BLOCKSHOOT (Nước nâu đen) - 500ml - 40</v>
      </c>
    </row>
    <row r="2757">
      <c r="A2757" s="86">
        <f>IFERROR(__xludf.DUMMYFUNCTION("""COMPUTED_VALUE"""),2755.0)</f>
        <v>2755</v>
      </c>
      <c r="B2757" s="87" t="str">
        <f>IFERROR(__xludf.DUMMYFUNCTION("""COMPUTED_VALUE"""),"Nhãn")</f>
        <v>Nhãn</v>
      </c>
      <c r="C2757" s="87" t="str">
        <f>IFERROR(__xludf.DUMMYFUNCTION("""COMPUTED_VALUE"""),"NHG2118")</f>
        <v>NHG2118</v>
      </c>
      <c r="D2757" s="87" t="str">
        <f>IFERROR(__xludf.DUMMYFUNCTION("""COMPUTED_VALUE"""),"[Nhãn] GC - IV - 2118 - CTY VIN AG - BO.CAXX (Nước đỏ cam) - 500ml - 40")</f>
        <v>[Nhãn] GC - IV - 2118 - CTY VIN AG - BO.CAXX (Nước đỏ cam) - 500ml - 40</v>
      </c>
      <c r="E2757" s="87" t="str">
        <f>IFERROR(__xludf.DUMMYFUNCTION("""COMPUTED_VALUE"""),"Vi lượng Run Fast")</f>
        <v>Vi lượng Run Fast</v>
      </c>
      <c r="F2757" s="87" t="str">
        <f>IFERROR(__xludf.DUMMYFUNCTION("""COMPUTED_VALUE"""),"HH2118")</f>
        <v>HH2118</v>
      </c>
      <c r="G2757" s="87" t="str">
        <f>IFERROR(__xludf.DUMMYFUNCTION("""COMPUTED_VALUE"""),"GC - IV - 2118 - CTY VIN AG - BO.CAXX (Nước đỏ cam) - 500ml - 40")</f>
        <v>GC - IV - 2118 - CTY VIN AG - BO.CAXX (Nước đỏ cam) - 500ml - 40</v>
      </c>
    </row>
    <row r="2758">
      <c r="A2758" s="86">
        <f>IFERROR(__xludf.DUMMYFUNCTION("""COMPUTED_VALUE"""),2756.0)</f>
        <v>2756</v>
      </c>
      <c r="B2758" s="87" t="str">
        <f>IFERROR(__xludf.DUMMYFUNCTION("""COMPUTED_VALUE"""),"Nhãn")</f>
        <v>Nhãn</v>
      </c>
      <c r="C2758" s="87" t="str">
        <f>IFERROR(__xludf.DUMMYFUNCTION("""COMPUTED_VALUE"""),"NTN2121")</f>
        <v>NTN2121</v>
      </c>
      <c r="D2758" s="87" t="str">
        <f>IFERROR(__xludf.DUMMYFUNCTION("""COMPUTED_VALUE"""),"[Nhãn] GC - IV - 2121 - CTY NÔNG HÓA XANH - MAN XANH (Bột xanh) - 1kg - 20")</f>
        <v>[Nhãn] GC - IV - 2121 - CTY NÔNG HÓA XANH - MAN XANH (Bột xanh) - 1kg - 20</v>
      </c>
      <c r="E2758" s="87" t="str">
        <f>IFERROR(__xludf.DUMMYFUNCTION("""COMPUTED_VALUE"""),"MANCOBGO 80WP")</f>
        <v>MANCOBGO 80WP</v>
      </c>
      <c r="F2758" s="87" t="str">
        <f>IFERROR(__xludf.DUMMYFUNCTION("""COMPUTED_VALUE"""),"HH2121")</f>
        <v>HH2121</v>
      </c>
      <c r="G2758" s="87" t="str">
        <f>IFERROR(__xludf.DUMMYFUNCTION("""COMPUTED_VALUE"""),"GC - IV - 2121 - CTY NÔNG HÓA XANH - MAN XANH (Bột xanh) - 1kg - 20")</f>
        <v>GC - IV - 2121 - CTY NÔNG HÓA XANH - MAN XANH (Bột xanh) - 1kg - 20</v>
      </c>
    </row>
    <row r="2759">
      <c r="A2759" s="86">
        <f>IFERROR(__xludf.DUMMYFUNCTION("""COMPUTED_VALUE"""),2757.0)</f>
        <v>2757</v>
      </c>
      <c r="B2759" s="87" t="str">
        <f>IFERROR(__xludf.DUMMYFUNCTION("""COMPUTED_VALUE"""),"Nhãn thùng")</f>
        <v>Nhãn thùng</v>
      </c>
      <c r="C2759" s="87" t="str">
        <f>IFERROR(__xludf.DUMMYFUNCTION("""COMPUTED_VALUE"""),"NDT2121")</f>
        <v>NDT2121</v>
      </c>
      <c r="D2759" s="87" t="str">
        <f>IFERROR(__xludf.DUMMYFUNCTION("""COMPUTED_VALUE"""),"[Nhãn thùng] GC - IV - 2121 - CTY NÔNG HÓA XANH - MAN XANH (Bột xanh) - 1kg - 20")</f>
        <v>[Nhãn thùng] GC - IV - 2121 - CTY NÔNG HÓA XANH - MAN XANH (Bột xanh) - 1kg - 20</v>
      </c>
      <c r="E2759" s="87" t="str">
        <f>IFERROR(__xludf.DUMMYFUNCTION("""COMPUTED_VALUE"""),"MANCOBGO 80WP")</f>
        <v>MANCOBGO 80WP</v>
      </c>
      <c r="F2759" s="87" t="str">
        <f>IFERROR(__xludf.DUMMYFUNCTION("""COMPUTED_VALUE"""),"HH2121")</f>
        <v>HH2121</v>
      </c>
      <c r="G2759" s="87" t="str">
        <f>IFERROR(__xludf.DUMMYFUNCTION("""COMPUTED_VALUE"""),"GC - IV - 2121 - CTY NÔNG HÓA XANH - MAN XANH (Bột xanh) - 1kg - 20")</f>
        <v>GC - IV - 2121 - CTY NÔNG HÓA XANH - MAN XANH (Bột xanh) - 1kg - 20</v>
      </c>
    </row>
    <row r="2760">
      <c r="A2760" s="86">
        <f>IFERROR(__xludf.DUMMYFUNCTION("""COMPUTED_VALUE"""),2758.0)</f>
        <v>2758</v>
      </c>
      <c r="B2760" s="87" t="str">
        <f>IFERROR(__xludf.DUMMYFUNCTION("""COMPUTED_VALUE"""),"Nhãn")</f>
        <v>Nhãn</v>
      </c>
      <c r="C2760" s="87" t="str">
        <f>IFERROR(__xludf.DUMMYFUNCTION("""COMPUTED_VALUE"""),"NHD2122")</f>
        <v>NHD2122</v>
      </c>
      <c r="D2760" s="87" t="str">
        <f>IFERROR(__xludf.DUMMYFUNCTION("""COMPUTED_VALUE"""),"[Nhãn]  GC - IV - 2122 - CTY NÔNG HÓA XANH - KILLSSAU (Nước trong) - 450ml - 40")</f>
        <v>[Nhãn]  GC - IV - 2122 - CTY NÔNG HÓA XANH - KILLSSAU (Nước trong) - 450ml - 40</v>
      </c>
      <c r="E2760" s="87" t="str">
        <f>IFERROR(__xludf.DUMMYFUNCTION("""COMPUTED_VALUE"""),"HAIHAMEC 3.6EC")</f>
        <v>HAIHAMEC 3.6EC</v>
      </c>
      <c r="F2760" s="87" t="str">
        <f>IFERROR(__xludf.DUMMYFUNCTION("""COMPUTED_VALUE"""),"HH2122")</f>
        <v>HH2122</v>
      </c>
      <c r="G2760" s="87" t="str">
        <f>IFERROR(__xludf.DUMMYFUNCTION("""COMPUTED_VALUE"""),"GC - IV - 2122 - CTY NÔNG HÓA XANH - KILLSSAU (Nước trong) - 450ml - 40")</f>
        <v>GC - IV - 2122 - CTY NÔNG HÓA XANH - KILLSSAU (Nước trong) - 450ml - 40</v>
      </c>
    </row>
    <row r="2761">
      <c r="A2761" s="86">
        <f>IFERROR(__xludf.DUMMYFUNCTION("""COMPUTED_VALUE"""),2759.0)</f>
        <v>2759</v>
      </c>
      <c r="B2761" s="87" t="str">
        <f>IFERROR(__xludf.DUMMYFUNCTION("""COMPUTED_VALUE"""),"Nhãn thùng")</f>
        <v>Nhãn thùng</v>
      </c>
      <c r="C2761" s="87" t="str">
        <f>IFERROR(__xludf.DUMMYFUNCTION("""COMPUTED_VALUE"""),"NDT2122")</f>
        <v>NDT2122</v>
      </c>
      <c r="D2761" s="87" t="str">
        <f>IFERROR(__xludf.DUMMYFUNCTION("""COMPUTED_VALUE"""),"[Nhãn thùng]  GC - IV - 2122 - CTY NÔNG HÓA XANH - KILLSSAU (Nước trong) - 450ml - 40")</f>
        <v>[Nhãn thùng]  GC - IV - 2122 - CTY NÔNG HÓA XANH - KILLSSAU (Nước trong) - 450ml - 40</v>
      </c>
      <c r="E2761" s="87" t="str">
        <f>IFERROR(__xludf.DUMMYFUNCTION("""COMPUTED_VALUE"""),"HAIHAMEC 3.6EC")</f>
        <v>HAIHAMEC 3.6EC</v>
      </c>
      <c r="F2761" s="87" t="str">
        <f>IFERROR(__xludf.DUMMYFUNCTION("""COMPUTED_VALUE"""),"HH2122")</f>
        <v>HH2122</v>
      </c>
      <c r="G2761" s="87" t="str">
        <f>IFERROR(__xludf.DUMMYFUNCTION("""COMPUTED_VALUE"""),"GC - IV - 2122 - CTY NÔNG HÓA XANH - KILLSSAU (Nước trong) - 450ml - 40")</f>
        <v>GC - IV - 2122 - CTY NÔNG HÓA XANH - KILLSSAU (Nước trong) - 450ml - 40</v>
      </c>
    </row>
    <row r="2762">
      <c r="A2762" s="86">
        <f>IFERROR(__xludf.DUMMYFUNCTION("""COMPUTED_VALUE"""),2760.0)</f>
        <v>2760</v>
      </c>
      <c r="B2762" s="87" t="str">
        <f>IFERROR(__xludf.DUMMYFUNCTION("""COMPUTED_VALUE"""),"Nhãn")</f>
        <v>Nhãn</v>
      </c>
      <c r="C2762" s="87" t="str">
        <f>IFERROR(__xludf.DUMMYFUNCTION("""COMPUTED_VALUE"""),"NHG2123")</f>
        <v>NHG2123</v>
      </c>
      <c r="D2762" s="87" t="str">
        <f>IFERROR(__xludf.DUMMYFUNCTION("""COMPUTED_VALUE"""),"[Nhãn] GC - II - 2123 - GC ABA (A.Nguyên) - THIPRO 550EC (Nước tím) - 60ml - 100")</f>
        <v>[Nhãn] GC - II - 2123 - GC ABA (A.Nguyên) - THIPRO 550EC (Nước tím) - 60ml - 100</v>
      </c>
      <c r="E2762" s="87" t="str">
        <f>IFERROR(__xludf.DUMMYFUNCTION("""COMPUTED_VALUE"""),"Thipro 550EC")</f>
        <v>Thipro 550EC</v>
      </c>
      <c r="F2762" s="87" t="str">
        <f>IFERROR(__xludf.DUMMYFUNCTION("""COMPUTED_VALUE"""),"HH2123")</f>
        <v>HH2123</v>
      </c>
      <c r="G2762" s="87" t="str">
        <f>IFERROR(__xludf.DUMMYFUNCTION("""COMPUTED_VALUE"""),"GC - II - 2123 - GC ABA (A.Nguyên) - THIPRO 550EC (Nước tím) - 60ml - 100")</f>
        <v>GC - II - 2123 - GC ABA (A.Nguyên) - THIPRO 550EC (Nước tím) - 60ml - 100</v>
      </c>
    </row>
    <row r="2763">
      <c r="A2763" s="86">
        <f>IFERROR(__xludf.DUMMYFUNCTION("""COMPUTED_VALUE"""),2761.0)</f>
        <v>2761</v>
      </c>
      <c r="B2763" s="87" t="str">
        <f>IFERROR(__xludf.DUMMYFUNCTION("""COMPUTED_VALUE"""),"Nhãn")</f>
        <v>Nhãn</v>
      </c>
      <c r="C2763" s="87" t="str">
        <f>IFERROR(__xludf.DUMMYFUNCTION("""COMPUTED_VALUE"""),"NHG2124")</f>
        <v>NHG2124</v>
      </c>
      <c r="D2763" s="87" t="str">
        <f>IFERROR(__xludf.DUMMYFUNCTION("""COMPUTED_VALUE"""),"[Nhãn] GC - IV - 2124 - CTY VIN AG - BOOSTGROW (Nước nâu đen) - 500ml - 40")</f>
        <v>[Nhãn] GC - IV - 2124 - CTY VIN AG - BOOSTGROW (Nước nâu đen) - 500ml - 40</v>
      </c>
      <c r="E2763" s="87" t="str">
        <f>IFERROR(__xludf.DUMMYFUNCTION("""COMPUTED_VALUE"""),"vi lượng HELP FARMER_3")</f>
        <v>vi lượng HELP FARMER_3</v>
      </c>
      <c r="F2763" s="87" t="str">
        <f>IFERROR(__xludf.DUMMYFUNCTION("""COMPUTED_VALUE"""),"HH2124")</f>
        <v>HH2124</v>
      </c>
      <c r="G2763" s="87" t="str">
        <f>IFERROR(__xludf.DUMMYFUNCTION("""COMPUTED_VALUE"""),"GC - IV - 2124 - CTY VIN AG - BOOSTGROW (Nước nâu đen) - 500ml - 40")</f>
        <v>GC - IV - 2124 - CTY VIN AG - BOOSTGROW (Nước nâu đen) - 500ml - 40</v>
      </c>
    </row>
    <row r="2764">
      <c r="A2764" s="86">
        <f>IFERROR(__xludf.DUMMYFUNCTION("""COMPUTED_VALUE"""),2762.0)</f>
        <v>2762</v>
      </c>
      <c r="B2764" s="87" t="str">
        <f>IFERROR(__xludf.DUMMYFUNCTION("""COMPUTED_VALUE"""),"Nhãn")</f>
        <v>Nhãn</v>
      </c>
      <c r="C2764" s="87" t="str">
        <f>IFERROR(__xludf.DUMMYFUNCTION("""COMPUTED_VALUE"""),"NHG2125")</f>
        <v>NHG2125</v>
      </c>
      <c r="D2764" s="87" t="str">
        <f>IFERROR(__xludf.DUMMYFUNCTION("""COMPUTED_VALUE"""),"[Nhãn] IDA Global - I - 2125 - CTY TÂN THÀNH - Flower Top (05 sao) (Nước trắng sữa) - 500ml - 40")</f>
        <v>[Nhãn] IDA Global - I - 2125 - CTY TÂN THÀNH - Flower Top (05 sao) (Nước trắng sữa) - 500ml - 40</v>
      </c>
      <c r="E2764" s="87" t="str">
        <f>IFERROR(__xludf.DUMMYFUNCTION("""COMPUTED_VALUE"""),"Vi lượng Basel IDA 47")</f>
        <v>Vi lượng Basel IDA 47</v>
      </c>
      <c r="F2764" s="87" t="str">
        <f>IFERROR(__xludf.DUMMYFUNCTION("""COMPUTED_VALUE"""),"HH2125")</f>
        <v>HH2125</v>
      </c>
      <c r="G2764" s="87" t="str">
        <f>IFERROR(__xludf.DUMMYFUNCTION("""COMPUTED_VALUE"""),"IDA Global - I - 2125 - CTY TÂN THÀNH - Flower Top (05 sao) (Nước trắng sữa) - 500ml - 40")</f>
        <v>IDA Global - I - 2125 - CTY TÂN THÀNH - Flower Top (05 sao) (Nước trắng sữa) - 500ml - 40</v>
      </c>
    </row>
    <row r="2765">
      <c r="A2765" s="86">
        <f>IFERROR(__xludf.DUMMYFUNCTION("""COMPUTED_VALUE"""),2763.0)</f>
        <v>2763</v>
      </c>
      <c r="B2765" s="87" t="str">
        <f>IFERROR(__xludf.DUMMYFUNCTION("""COMPUTED_VALUE"""),"Nhãn")</f>
        <v>Nhãn</v>
      </c>
      <c r="C2765" s="87" t="str">
        <f>IFERROR(__xludf.DUMMYFUNCTION("""COMPUTED_VALUE"""),"NHG2126")</f>
        <v>NHG2126</v>
      </c>
      <c r="D2765" s="87" t="str">
        <f>IFERROR(__xludf.DUMMYFUNCTION("""COMPUTED_VALUE"""),"[Nhãn] GC - IV - 2126 - CTY VIN AG - EXTRA MITE (Nước xanh lá) - 200ml - 60")</f>
        <v>[Nhãn] GC - IV - 2126 - CTY VIN AG - EXTRA MITE (Nước xanh lá) - 200ml - 60</v>
      </c>
      <c r="E2765" s="87" t="str">
        <f>IFERROR(__xludf.DUMMYFUNCTION("""COMPUTED_VALUE"""),"Chitin 3.6EC")</f>
        <v>Chitin 3.6EC</v>
      </c>
      <c r="F2765" s="87" t="str">
        <f>IFERROR(__xludf.DUMMYFUNCTION("""COMPUTED_VALUE"""),"HH2126")</f>
        <v>HH2126</v>
      </c>
      <c r="G2765" s="87" t="str">
        <f>IFERROR(__xludf.DUMMYFUNCTION("""COMPUTED_VALUE"""),"GC - IV - 2126 - CTY VIN AG - EXTRA MITE (Nước xanh lá) - 200ml - 60")</f>
        <v>GC - IV - 2126 - CTY VIN AG - EXTRA MITE (Nước xanh lá) - 200ml - 60</v>
      </c>
    </row>
    <row r="2766">
      <c r="A2766" s="86">
        <f>IFERROR(__xludf.DUMMYFUNCTION("""COMPUTED_VALUE"""),2764.0)</f>
        <v>2764</v>
      </c>
      <c r="B2766" s="87" t="str">
        <f>IFERROR(__xludf.DUMMYFUNCTION("""COMPUTED_VALUE"""),"Nhãn")</f>
        <v>Nhãn</v>
      </c>
      <c r="C2766" s="87" t="str">
        <f>IFERROR(__xludf.DUMMYFUNCTION("""COMPUTED_VALUE"""),"NHG2127")</f>
        <v>NHG2127</v>
      </c>
      <c r="D2766" s="87" t="str">
        <f>IFERROR(__xludf.DUMMYFUNCTION("""COMPUTED_VALUE"""),"[Nhãn] GC - IV - 2127 - CTY VIN AG - RESA KILL (Nước tím) - 450ml - 40")</f>
        <v>[Nhãn] GC - IV - 2127 - CTY VIN AG - RESA KILL (Nước tím) - 450ml - 40</v>
      </c>
      <c r="E2766" s="87" t="str">
        <f>IFERROR(__xludf.DUMMYFUNCTION("""COMPUTED_VALUE"""),"ABASBA 50EC")</f>
        <v>ABASBA 50EC</v>
      </c>
      <c r="F2766" s="87" t="str">
        <f>IFERROR(__xludf.DUMMYFUNCTION("""COMPUTED_VALUE"""),"HH2127")</f>
        <v>HH2127</v>
      </c>
      <c r="G2766" s="87" t="str">
        <f>IFERROR(__xludf.DUMMYFUNCTION("""COMPUTED_VALUE"""),"GC - IV - 2127 - CTY VIN AG - RESA KILL (Nước tím) - 450ml - 40")</f>
        <v>GC - IV - 2127 - CTY VIN AG - RESA KILL (Nước tím) - 450ml - 40</v>
      </c>
    </row>
    <row r="2767">
      <c r="A2767" s="86">
        <f>IFERROR(__xludf.DUMMYFUNCTION("""COMPUTED_VALUE"""),2765.0)</f>
        <v>2765</v>
      </c>
      <c r="B2767" s="87" t="str">
        <f>IFERROR(__xludf.DUMMYFUNCTION("""COMPUTED_VALUE"""),"Nhãn")</f>
        <v>Nhãn</v>
      </c>
      <c r="C2767" s="87" t="str">
        <f>IFERROR(__xludf.DUMMYFUNCTION("""COMPUTED_VALUE"""),"NTN2128")</f>
        <v>NTN2128</v>
      </c>
      <c r="D2767" s="87" t="str">
        <f>IFERROR(__xludf.DUMMYFUNCTION("""COMPUTED_VALUE"""),"[Nhãn] GC - IV - 2128 - CTY VIN AG - METALAX 35 (Bột hồng) - 100gr - 100")</f>
        <v>[Nhãn] GC - IV - 2128 - CTY VIN AG - METALAX 35 (Bột hồng) - 100gr - 100</v>
      </c>
      <c r="E2767" s="87" t="str">
        <f>IFERROR(__xludf.DUMMYFUNCTION("""COMPUTED_VALUE"""),"Acodyl 35WP")</f>
        <v>Acodyl 35WP</v>
      </c>
      <c r="F2767" s="87" t="str">
        <f>IFERROR(__xludf.DUMMYFUNCTION("""COMPUTED_VALUE"""),"HH2128")</f>
        <v>HH2128</v>
      </c>
      <c r="G2767" s="87" t="str">
        <f>IFERROR(__xludf.DUMMYFUNCTION("""COMPUTED_VALUE"""),"GC - IV - 2128 - CTY VIN AG - METALAX 35 (Bột hồng) - 100gr - 100")</f>
        <v>GC - IV - 2128 - CTY VIN AG - METALAX 35 (Bột hồng) - 100gr - 100</v>
      </c>
    </row>
    <row r="2768">
      <c r="A2768" s="86">
        <f>IFERROR(__xludf.DUMMYFUNCTION("""COMPUTED_VALUE"""),2766.0)</f>
        <v>2766</v>
      </c>
      <c r="B2768" s="87" t="str">
        <f>IFERROR(__xludf.DUMMYFUNCTION("""COMPUTED_VALUE"""),"Nhãn thùng")</f>
        <v>Nhãn thùng</v>
      </c>
      <c r="C2768" s="87" t="str">
        <f>IFERROR(__xludf.DUMMYFUNCTION("""COMPUTED_VALUE"""),"NDT2128")</f>
        <v>NDT2128</v>
      </c>
      <c r="D2768" s="87" t="str">
        <f>IFERROR(__xludf.DUMMYFUNCTION("""COMPUTED_VALUE"""),"[Nhãn thùng] GC - IV - 2128 - CTY VIN AG - METALAX 35 (Bột hồng) - 100gr - 100")</f>
        <v>[Nhãn thùng] GC - IV - 2128 - CTY VIN AG - METALAX 35 (Bột hồng) - 100gr - 100</v>
      </c>
      <c r="E2768" s="87" t="str">
        <f>IFERROR(__xludf.DUMMYFUNCTION("""COMPUTED_VALUE"""),"Acodyl 35WP")</f>
        <v>Acodyl 35WP</v>
      </c>
      <c r="F2768" s="87" t="str">
        <f>IFERROR(__xludf.DUMMYFUNCTION("""COMPUTED_VALUE"""),"HH2128")</f>
        <v>HH2128</v>
      </c>
      <c r="G2768" s="87" t="str">
        <f>IFERROR(__xludf.DUMMYFUNCTION("""COMPUTED_VALUE"""),"GC - IV - 2128 - CTY VIN AG - METALAX 35 (Bột hồng) - 100gr - 100")</f>
        <v>GC - IV - 2128 - CTY VIN AG - METALAX 35 (Bột hồng) - 100gr - 100</v>
      </c>
    </row>
    <row r="2769">
      <c r="A2769" s="86">
        <f>IFERROR(__xludf.DUMMYFUNCTION("""COMPUTED_VALUE"""),2767.0)</f>
        <v>2767</v>
      </c>
      <c r="B2769" s="87" t="str">
        <f>IFERROR(__xludf.DUMMYFUNCTION("""COMPUTED_VALUE"""),"Nhãn")</f>
        <v>Nhãn</v>
      </c>
      <c r="C2769" s="87" t="str">
        <f>IFERROR(__xludf.DUMMYFUNCTION("""COMPUTED_VALUE"""),"NHG2129")</f>
        <v>NHG2129</v>
      </c>
      <c r="D2769" s="87" t="str">
        <f>IFERROR(__xludf.DUMMYFUNCTION("""COMPUTED_VALUE"""),"[Nhãn] GC - IV - 2129 - CTY VIN AG - X-KILLER (Nước đỏ) - 240ml - 40")</f>
        <v>[Nhãn] GC - IV - 2129 - CTY VIN AG - X-KILLER (Nước đỏ) - 240ml - 40</v>
      </c>
      <c r="E2769" s="87" t="str">
        <f>IFERROR(__xludf.DUMMYFUNCTION("""COMPUTED_VALUE"""),"CHIM ƯNG 3.8EC")</f>
        <v>CHIM ƯNG 3.8EC</v>
      </c>
      <c r="F2769" s="87" t="str">
        <f>IFERROR(__xludf.DUMMYFUNCTION("""COMPUTED_VALUE"""),"HH2129")</f>
        <v>HH2129</v>
      </c>
      <c r="G2769" s="87" t="str">
        <f>IFERROR(__xludf.DUMMYFUNCTION("""COMPUTED_VALUE"""),"GC - IV - 2129 - CTY VIN AG - X-KILLER (Nước đỏ) - 240ml - 40")</f>
        <v>GC - IV - 2129 - CTY VIN AG - X-KILLER (Nước đỏ) - 240ml - 40</v>
      </c>
    </row>
    <row r="2770">
      <c r="A2770" s="86">
        <f>IFERROR(__xludf.DUMMYFUNCTION("""COMPUTED_VALUE"""),2768.0)</f>
        <v>2768</v>
      </c>
      <c r="B2770" s="87" t="str">
        <f>IFERROR(__xludf.DUMMYFUNCTION("""COMPUTED_VALUE"""),"Nhãn")</f>
        <v>Nhãn</v>
      </c>
      <c r="C2770" s="87" t="str">
        <f>IFERROR(__xludf.DUMMYFUNCTION("""COMPUTED_VALUE"""),"NHG2130")</f>
        <v>NHG2130</v>
      </c>
      <c r="D2770" s="87" t="str">
        <f>IFERROR(__xludf.DUMMYFUNCTION("""COMPUTED_VALUE"""),"[Nhãn] GC - IV - 2130 - CTY VIN AG - EMA-B 2.1 (Nước đỏ) - 450ml - 40")</f>
        <v>[Nhãn] GC - IV - 2130 - CTY VIN AG - EMA-B 2.1 (Nước đỏ) - 450ml - 40</v>
      </c>
      <c r="E2770" s="87" t="str">
        <f>IFERROR(__xludf.DUMMYFUNCTION("""COMPUTED_VALUE"""),"Creek 2.1EC")</f>
        <v>Creek 2.1EC</v>
      </c>
      <c r="F2770" s="87" t="str">
        <f>IFERROR(__xludf.DUMMYFUNCTION("""COMPUTED_VALUE"""),"HH2130")</f>
        <v>HH2130</v>
      </c>
      <c r="G2770" s="87" t="str">
        <f>IFERROR(__xludf.DUMMYFUNCTION("""COMPUTED_VALUE"""),"GC - IV - 2130 - CTY VIN AG - EMA-B 2.1 (Nước đỏ) - 450ml - 40")</f>
        <v>GC - IV - 2130 - CTY VIN AG - EMA-B 2.1 (Nước đỏ) - 450ml - 40</v>
      </c>
    </row>
    <row r="2771">
      <c r="A2771" s="86">
        <f>IFERROR(__xludf.DUMMYFUNCTION("""COMPUTED_VALUE"""),2769.0)</f>
        <v>2769</v>
      </c>
      <c r="B2771" s="87" t="str">
        <f>IFERROR(__xludf.DUMMYFUNCTION("""COMPUTED_VALUE"""),"Nhãn")</f>
        <v>Nhãn</v>
      </c>
      <c r="C2771" s="87" t="str">
        <f>IFERROR(__xludf.DUMMYFUNCTION("""COMPUTED_VALUE"""),"NHG2131")</f>
        <v>NHG2131</v>
      </c>
      <c r="D2771" s="87" t="str">
        <f>IFERROR(__xludf.DUMMYFUNCTION("""COMPUTED_VALUE"""),"[Nhãn] GC - IV - 2131 - CTY VIN AG - FUNBACT-E (Nước đỏ) - 250ml - 40")</f>
        <v>[Nhãn] GC - IV - 2131 - CTY VIN AG - FUNBACT-E (Nước đỏ) - 250ml - 40</v>
      </c>
      <c r="E2771" s="87" t="str">
        <f>IFERROR(__xludf.DUMMYFUNCTION("""COMPUTED_VALUE"""),"GENOL 1.2SL")</f>
        <v>GENOL 1.2SL</v>
      </c>
      <c r="F2771" s="87" t="str">
        <f>IFERROR(__xludf.DUMMYFUNCTION("""COMPUTED_VALUE"""),"HH2131")</f>
        <v>HH2131</v>
      </c>
      <c r="G2771" s="87" t="str">
        <f>IFERROR(__xludf.DUMMYFUNCTION("""COMPUTED_VALUE"""),"GC - IV - 2131 - CTY VIN AG - FUNBACT-E (Nước đỏ) - 250ml - 40")</f>
        <v>GC - IV - 2131 - CTY VIN AG - FUNBACT-E (Nước đỏ) - 250ml - 40</v>
      </c>
    </row>
    <row r="2772">
      <c r="A2772" s="86">
        <f>IFERROR(__xludf.DUMMYFUNCTION("""COMPUTED_VALUE"""),2770.0)</f>
        <v>2770</v>
      </c>
      <c r="B2772" s="87" t="str">
        <f>IFERROR(__xludf.DUMMYFUNCTION("""COMPUTED_VALUE"""),"Nhãn")</f>
        <v>Nhãn</v>
      </c>
      <c r="C2772" s="87" t="str">
        <f>IFERROR(__xludf.DUMMYFUNCTION("""COMPUTED_VALUE"""),"NTN2132")</f>
        <v>NTN2132</v>
      </c>
      <c r="D2772" s="87" t="str">
        <f>IFERROR(__xludf.DUMMYFUNCTION("""COMPUTED_VALUE"""),"[Nhãn] GC - IV - 2132 - CTY VIN AG - BROWN HOPP (Bột trắng ngà) - 100gr - 100")</f>
        <v>[Nhãn] GC - IV - 2132 - CTY VIN AG - BROWN HOPP (Bột trắng ngà) - 100gr - 100</v>
      </c>
      <c r="E2772" s="87" t="str">
        <f>IFERROR(__xludf.DUMMYFUNCTION("""COMPUTED_VALUE"""),"KHONGRAY 54WP")</f>
        <v>KHONGRAY 54WP</v>
      </c>
      <c r="F2772" s="87" t="str">
        <f>IFERROR(__xludf.DUMMYFUNCTION("""COMPUTED_VALUE"""),"HH2132")</f>
        <v>HH2132</v>
      </c>
      <c r="G2772" s="87" t="str">
        <f>IFERROR(__xludf.DUMMYFUNCTION("""COMPUTED_VALUE"""),"GC - IV - 2132 - CTY VIN AG - BROWN HOPP (Bột trắng ngà) - 100gr - 100")</f>
        <v>GC - IV - 2132 - CTY VIN AG - BROWN HOPP (Bột trắng ngà) - 100gr - 100</v>
      </c>
    </row>
    <row r="2773">
      <c r="A2773" s="86">
        <f>IFERROR(__xludf.DUMMYFUNCTION("""COMPUTED_VALUE"""),2771.0)</f>
        <v>2771</v>
      </c>
      <c r="B2773" s="87" t="str">
        <f>IFERROR(__xludf.DUMMYFUNCTION("""COMPUTED_VALUE"""),"Nhãn thùng")</f>
        <v>Nhãn thùng</v>
      </c>
      <c r="C2773" s="87" t="str">
        <f>IFERROR(__xludf.DUMMYFUNCTION("""COMPUTED_VALUE"""),"NDT2132")</f>
        <v>NDT2132</v>
      </c>
      <c r="D2773" s="87" t="str">
        <f>IFERROR(__xludf.DUMMYFUNCTION("""COMPUTED_VALUE"""),"[Nhãn thùng] GC - IV - 2132 - CTY VIN AG - BROWN HOPP (Bột trắng ngà) - 100gr - 100")</f>
        <v>[Nhãn thùng] GC - IV - 2132 - CTY VIN AG - BROWN HOPP (Bột trắng ngà) - 100gr - 100</v>
      </c>
      <c r="E2773" s="87" t="str">
        <f>IFERROR(__xludf.DUMMYFUNCTION("""COMPUTED_VALUE"""),"KHONGRAY 54WP")</f>
        <v>KHONGRAY 54WP</v>
      </c>
      <c r="F2773" s="87" t="str">
        <f>IFERROR(__xludf.DUMMYFUNCTION("""COMPUTED_VALUE"""),"HH2132")</f>
        <v>HH2132</v>
      </c>
      <c r="G2773" s="87" t="str">
        <f>IFERROR(__xludf.DUMMYFUNCTION("""COMPUTED_VALUE"""),"GC - IV - 2132 - CTY VIN AG - BROWN HOPP (Bột trắng ngà) - 100gr - 100")</f>
        <v>GC - IV - 2132 - CTY VIN AG - BROWN HOPP (Bột trắng ngà) - 100gr - 100</v>
      </c>
    </row>
    <row r="2774">
      <c r="A2774" s="86">
        <f>IFERROR(__xludf.DUMMYFUNCTION("""COMPUTED_VALUE"""),2772.0)</f>
        <v>2772</v>
      </c>
      <c r="B2774" s="87" t="str">
        <f>IFERROR(__xludf.DUMMYFUNCTION("""COMPUTED_VALUE"""),"Nhãn")</f>
        <v>Nhãn</v>
      </c>
      <c r="C2774" s="87" t="str">
        <f>IFERROR(__xludf.DUMMYFUNCTION("""COMPUTED_VALUE"""),"NTN2133")</f>
        <v>NTN2133</v>
      </c>
      <c r="D2774" s="87" t="str">
        <f>IFERROR(__xludf.DUMMYFUNCTION("""COMPUTED_VALUE"""),"[Nhãn] GC - IV - 2133 - CTY VIN AG - CATAPIM 85 (Bột trắng) - 100gr - 100")</f>
        <v>[Nhãn] GC - IV - 2133 - CTY VIN AG - CATAPIM 85 (Bột trắng) - 100gr - 100</v>
      </c>
      <c r="E2774" s="87" t="str">
        <f>IFERROR(__xludf.DUMMYFUNCTION("""COMPUTED_VALUE"""),"NOSAU 85WP")</f>
        <v>NOSAU 85WP</v>
      </c>
      <c r="F2774" s="87" t="str">
        <f>IFERROR(__xludf.DUMMYFUNCTION("""COMPUTED_VALUE"""),"HH2133")</f>
        <v>HH2133</v>
      </c>
      <c r="G2774" s="87" t="str">
        <f>IFERROR(__xludf.DUMMYFUNCTION("""COMPUTED_VALUE"""),"GC - IV - 2133 - CTY VIN AG - CATAPIM 85 (Bột trắng) - 100gr - 100")</f>
        <v>GC - IV - 2133 - CTY VIN AG - CATAPIM 85 (Bột trắng) - 100gr - 100</v>
      </c>
    </row>
    <row r="2775">
      <c r="A2775" s="86">
        <f>IFERROR(__xludf.DUMMYFUNCTION("""COMPUTED_VALUE"""),2773.0)</f>
        <v>2773</v>
      </c>
      <c r="B2775" s="87" t="str">
        <f>IFERROR(__xludf.DUMMYFUNCTION("""COMPUTED_VALUE"""),"Nhãn thùng")</f>
        <v>Nhãn thùng</v>
      </c>
      <c r="C2775" s="87" t="str">
        <f>IFERROR(__xludf.DUMMYFUNCTION("""COMPUTED_VALUE"""),"NDT2133")</f>
        <v>NDT2133</v>
      </c>
      <c r="D2775" s="87" t="str">
        <f>IFERROR(__xludf.DUMMYFUNCTION("""COMPUTED_VALUE"""),"[Nhãn thùng] GC - IV - 2133 - CTY VIN AG - CATAPIM 85 (Bột trắng) - 100gr - 100")</f>
        <v>[Nhãn thùng] GC - IV - 2133 - CTY VIN AG - CATAPIM 85 (Bột trắng) - 100gr - 100</v>
      </c>
      <c r="E2775" s="87" t="str">
        <f>IFERROR(__xludf.DUMMYFUNCTION("""COMPUTED_VALUE"""),"NOSAU 85WP")</f>
        <v>NOSAU 85WP</v>
      </c>
      <c r="F2775" s="87" t="str">
        <f>IFERROR(__xludf.DUMMYFUNCTION("""COMPUTED_VALUE"""),"HH2133")</f>
        <v>HH2133</v>
      </c>
      <c r="G2775" s="87" t="str">
        <f>IFERROR(__xludf.DUMMYFUNCTION("""COMPUTED_VALUE"""),"GC - IV - 2133 - CTY VIN AG - CATAPIM 85 (Bột trắng) - 100gr - 100")</f>
        <v>GC - IV - 2133 - CTY VIN AG - CATAPIM 85 (Bột trắng) - 100gr - 100</v>
      </c>
    </row>
    <row r="2776">
      <c r="A2776" s="86">
        <f>IFERROR(__xludf.DUMMYFUNCTION("""COMPUTED_VALUE"""),2774.0)</f>
        <v>2774</v>
      </c>
      <c r="B2776" s="87" t="str">
        <f>IFERROR(__xludf.DUMMYFUNCTION("""COMPUTED_VALUE"""),"Nhãn")</f>
        <v>Nhãn</v>
      </c>
      <c r="C2776" s="87" t="str">
        <f>IFERROR(__xludf.DUMMYFUNCTION("""COMPUTED_VALUE"""),"NHG2134")</f>
        <v>NHG2134</v>
      </c>
      <c r="D2776" s="87" t="str">
        <f>IFERROR(__xludf.DUMMYFUNCTION("""COMPUTED_VALUE"""),"[Nhãn] GC - IV - 2134 - CTY VIN AG - CYPERMET 250 (Nước vàng trà) - 1L - 20")</f>
        <v>[Nhãn] GC - IV - 2134 - CTY VIN AG - CYPERMET 250 (Nước vàng trà) - 1L - 20</v>
      </c>
      <c r="E2776" s="87" t="str">
        <f>IFERROR(__xludf.DUMMYFUNCTION("""COMPUTED_VALUE"""),"NP-CYRIN SUPER 250EC")</f>
        <v>NP-CYRIN SUPER 250EC</v>
      </c>
      <c r="F2776" s="87" t="str">
        <f>IFERROR(__xludf.DUMMYFUNCTION("""COMPUTED_VALUE"""),"HH2134")</f>
        <v>HH2134</v>
      </c>
      <c r="G2776" s="87" t="str">
        <f>IFERROR(__xludf.DUMMYFUNCTION("""COMPUTED_VALUE"""),"GC - IV - 2134 - CTY VIN AG - CYPERMET 250 (Nước vàng trà) - 1L - 20")</f>
        <v>GC - IV - 2134 - CTY VIN AG - CYPERMET 250 (Nước vàng trà) - 1L - 20</v>
      </c>
    </row>
    <row r="2777">
      <c r="A2777" s="86">
        <f>IFERROR(__xludf.DUMMYFUNCTION("""COMPUTED_VALUE"""),2775.0)</f>
        <v>2775</v>
      </c>
      <c r="B2777" s="87" t="str">
        <f>IFERROR(__xludf.DUMMYFUNCTION("""COMPUTED_VALUE"""),"Nhãn")</f>
        <v>Nhãn</v>
      </c>
      <c r="C2777" s="87" t="str">
        <f>IFERROR(__xludf.DUMMYFUNCTION("""COMPUTED_VALUE"""),"NHG2135")</f>
        <v>NHG2135</v>
      </c>
      <c r="D2777" s="87" t="str">
        <f>IFERROR(__xludf.DUMMYFUNCTION("""COMPUTED_VALUE"""),"[Nhãn] GC - IV - 2135 - CTY VIN AG - CYPERMET 250 (Nước vàng trà) - 480ml - 40")</f>
        <v>[Nhãn] GC - IV - 2135 - CTY VIN AG - CYPERMET 250 (Nước vàng trà) - 480ml - 40</v>
      </c>
      <c r="E2777" s="87" t="str">
        <f>IFERROR(__xludf.DUMMYFUNCTION("""COMPUTED_VALUE"""),"NP-CYRIN SUPER 250EC")</f>
        <v>NP-CYRIN SUPER 250EC</v>
      </c>
      <c r="F2777" s="87" t="str">
        <f>IFERROR(__xludf.DUMMYFUNCTION("""COMPUTED_VALUE"""),"HH2135")</f>
        <v>HH2135</v>
      </c>
      <c r="G2777" s="87" t="str">
        <f>IFERROR(__xludf.DUMMYFUNCTION("""COMPUTED_VALUE"""),"GC - IV - 2135 - CTY VIN AG - CYPERMET 250 (Nước vàng trà) - 480ml - 40")</f>
        <v>GC - IV - 2135 - CTY VIN AG - CYPERMET 250 (Nước vàng trà) - 480ml - 40</v>
      </c>
    </row>
    <row r="2778">
      <c r="A2778" s="86">
        <f>IFERROR(__xludf.DUMMYFUNCTION("""COMPUTED_VALUE"""),2776.0)</f>
        <v>2776</v>
      </c>
      <c r="B2778" s="87" t="str">
        <f>IFERROR(__xludf.DUMMYFUNCTION("""COMPUTED_VALUE"""),"Nhãn")</f>
        <v>Nhãn</v>
      </c>
      <c r="C2778" s="87" t="str">
        <f>IFERROR(__xludf.DUMMYFUNCTION("""COMPUTED_VALUE"""),"NHG2136")</f>
        <v>NHG2136</v>
      </c>
      <c r="D2778" s="87" t="str">
        <f>IFERROR(__xludf.DUMMYFUNCTION("""COMPUTED_VALUE"""),"[Nhãn] GC - IV - 2136 - CTY VIN AG - VIN-OPEN EXTRA (Gel vàng mật ong) - 120ml - 100")</f>
        <v>[Nhãn] GC - IV - 2136 - CTY VIN AG - VIN-OPEN EXTRA (Gel vàng mật ong) - 120ml - 100</v>
      </c>
      <c r="E2778" s="87" t="str">
        <f>IFERROR(__xludf.DUMMYFUNCTION("""COMPUTED_VALUE"""),"Vi lượng Quantity New")</f>
        <v>Vi lượng Quantity New</v>
      </c>
      <c r="F2778" s="87" t="str">
        <f>IFERROR(__xludf.DUMMYFUNCTION("""COMPUTED_VALUE"""),"HH2136")</f>
        <v>HH2136</v>
      </c>
      <c r="G2778" s="87" t="str">
        <f>IFERROR(__xludf.DUMMYFUNCTION("""COMPUTED_VALUE"""),"GC - IV - 2136 - CTY VIN AG - VIN-OPEN EXTRA (Gel vàng mật ong) - 120ml - 100")</f>
        <v>GC - IV - 2136 - CTY VIN AG - VIN-OPEN EXTRA (Gel vàng mật ong) - 120ml - 100</v>
      </c>
    </row>
    <row r="2779">
      <c r="A2779" s="86">
        <f>IFERROR(__xludf.DUMMYFUNCTION("""COMPUTED_VALUE"""),2777.0)</f>
        <v>2777</v>
      </c>
      <c r="B2779" s="87" t="str">
        <f>IFERROR(__xludf.DUMMYFUNCTION("""COMPUTED_VALUE"""),"Nhãn")</f>
        <v>Nhãn</v>
      </c>
      <c r="C2779" s="87" t="str">
        <f>IFERROR(__xludf.DUMMYFUNCTION("""COMPUTED_VALUE"""),"NTN2137")</f>
        <v>NTN2137</v>
      </c>
      <c r="D2779" s="87" t="str">
        <f>IFERROR(__xludf.DUMMYFUNCTION("""COMPUTED_VALUE"""),"[Nhãn] GC - IV - 2137 - CTY VIN AG - PANDANA 95 (Bột trắng) - 100gr - 100")</f>
        <v>[Nhãn] GC - IV - 2137 - CTY VIN AG - PANDANA 95 (Bột trắng) - 100gr - 100</v>
      </c>
      <c r="E2779" s="87" t="str">
        <f>IFERROR(__xludf.DUMMYFUNCTION("""COMPUTED_VALUE"""),"SHA CHONG JING 95WP")</f>
        <v>SHA CHONG JING 95WP</v>
      </c>
      <c r="F2779" s="87" t="str">
        <f>IFERROR(__xludf.DUMMYFUNCTION("""COMPUTED_VALUE"""),"HH2137")</f>
        <v>HH2137</v>
      </c>
      <c r="G2779" s="87" t="str">
        <f>IFERROR(__xludf.DUMMYFUNCTION("""COMPUTED_VALUE"""),"GC - IV - 2137 - CTY VIN AG - PANDANA 95 (Bột trắng) - 100gr - 100")</f>
        <v>GC - IV - 2137 - CTY VIN AG - PANDANA 95 (Bột trắng) - 100gr - 100</v>
      </c>
    </row>
    <row r="2780">
      <c r="A2780" s="86">
        <f>IFERROR(__xludf.DUMMYFUNCTION("""COMPUTED_VALUE"""),2778.0)</f>
        <v>2778</v>
      </c>
      <c r="B2780" s="87" t="str">
        <f>IFERROR(__xludf.DUMMYFUNCTION("""COMPUTED_VALUE"""),"Nhãn thùng")</f>
        <v>Nhãn thùng</v>
      </c>
      <c r="C2780" s="87" t="str">
        <f>IFERROR(__xludf.DUMMYFUNCTION("""COMPUTED_VALUE"""),"NDT2137")</f>
        <v>NDT2137</v>
      </c>
      <c r="D2780" s="87" t="str">
        <f>IFERROR(__xludf.DUMMYFUNCTION("""COMPUTED_VALUE"""),"[Nhãn thùng] GC - IV - 2137 - CTY VIN AG - PANDANA 95 (Bột trắng) - 100gr - 100")</f>
        <v>[Nhãn thùng] GC - IV - 2137 - CTY VIN AG - PANDANA 95 (Bột trắng) - 100gr - 100</v>
      </c>
      <c r="E2780" s="87" t="str">
        <f>IFERROR(__xludf.DUMMYFUNCTION("""COMPUTED_VALUE"""),"SHA CHONG JING 95WP")</f>
        <v>SHA CHONG JING 95WP</v>
      </c>
      <c r="F2780" s="87" t="str">
        <f>IFERROR(__xludf.DUMMYFUNCTION("""COMPUTED_VALUE"""),"HH2137")</f>
        <v>HH2137</v>
      </c>
      <c r="G2780" s="87" t="str">
        <f>IFERROR(__xludf.DUMMYFUNCTION("""COMPUTED_VALUE"""),"GC - IV - 2137 - CTY VIN AG - PANDANA 95 (Bột trắng) - 100gr - 100")</f>
        <v>GC - IV - 2137 - CTY VIN AG - PANDANA 95 (Bột trắng) - 100gr - 100</v>
      </c>
    </row>
    <row r="2781">
      <c r="A2781" s="86">
        <f>IFERROR(__xludf.DUMMYFUNCTION("""COMPUTED_VALUE"""),2779.0)</f>
        <v>2779</v>
      </c>
      <c r="B2781" s="87" t="str">
        <f>IFERROR(__xludf.DUMMYFUNCTION("""COMPUTED_VALUE"""),"Nhãn")</f>
        <v>Nhãn</v>
      </c>
      <c r="C2781" s="87" t="str">
        <f>IFERROR(__xludf.DUMMYFUNCTION("""COMPUTED_VALUE"""),"NHG2138")</f>
        <v>NHG2138</v>
      </c>
      <c r="D2781" s="87" t="str">
        <f>IFERROR(__xludf.DUMMYFUNCTION("""COMPUTED_VALUE"""),"[Nhãn] GC - IV - 2138 - CTY VIN AG - RED DEAD (Nước trắng sữa) - 240ml - 40")</f>
        <v>[Nhãn] GC - IV - 2138 - CTY VIN AG - RED DEAD (Nước trắng sữa) - 240ml - 40</v>
      </c>
      <c r="E2781" s="87" t="str">
        <f>IFERROR(__xludf.DUMMYFUNCTION("""COMPUTED_VALUE"""),"SPIRO 240SC")</f>
        <v>SPIRO 240SC</v>
      </c>
      <c r="F2781" s="87" t="str">
        <f>IFERROR(__xludf.DUMMYFUNCTION("""COMPUTED_VALUE"""),"HH2138")</f>
        <v>HH2138</v>
      </c>
      <c r="G2781" s="87" t="str">
        <f>IFERROR(__xludf.DUMMYFUNCTION("""COMPUTED_VALUE"""),"GC - IV - 2138 - CTY VIN AG - RED DEAD (Nước trắng sữa) - 240ml - 40")</f>
        <v>GC - IV - 2138 - CTY VIN AG - RED DEAD (Nước trắng sữa) - 240ml - 40</v>
      </c>
    </row>
    <row r="2782">
      <c r="A2782" s="86">
        <f>IFERROR(__xludf.DUMMYFUNCTION("""COMPUTED_VALUE"""),2780.0)</f>
        <v>2780</v>
      </c>
      <c r="B2782" s="87" t="str">
        <f>IFERROR(__xludf.DUMMYFUNCTION("""COMPUTED_VALUE"""),"Nhãn")</f>
        <v>Nhãn</v>
      </c>
      <c r="C2782" s="87" t="str">
        <f>IFERROR(__xludf.DUMMYFUNCTION("""COMPUTED_VALUE"""),"NHG2139")</f>
        <v>NHG2139</v>
      </c>
      <c r="D2782" s="87" t="str">
        <f>IFERROR(__xludf.DUMMYFUNCTION("""COMPUTED_VALUE"""),"[Nhãn] GC - IV - 2139 - CTY VIN AG - EXTRA HOPPER (Nước tím) - 250ml - 40")</f>
        <v>[Nhãn] GC - IV - 2139 - CTY VIN AG - EXTRA HOPPER (Nước tím) - 250ml - 40</v>
      </c>
      <c r="E2782" s="87" t="str">
        <f>IFERROR(__xludf.DUMMYFUNCTION("""COMPUTED_VALUE"""),"Thipro 550EC")</f>
        <v>Thipro 550EC</v>
      </c>
      <c r="F2782" s="87" t="str">
        <f>IFERROR(__xludf.DUMMYFUNCTION("""COMPUTED_VALUE"""),"HH2139")</f>
        <v>HH2139</v>
      </c>
      <c r="G2782" s="87" t="str">
        <f>IFERROR(__xludf.DUMMYFUNCTION("""COMPUTED_VALUE"""),"GC - IV - 2139 - CTY VIN AG - EXTRA HOPPER (Nước tím) - 250ml - 40")</f>
        <v>GC - IV - 2139 - CTY VIN AG - EXTRA HOPPER (Nước tím) - 250ml - 40</v>
      </c>
    </row>
    <row r="2783">
      <c r="A2783" s="86">
        <f>IFERROR(__xludf.DUMMYFUNCTION("""COMPUTED_VALUE"""),2781.0)</f>
        <v>2781</v>
      </c>
      <c r="B2783" s="87" t="str">
        <f>IFERROR(__xludf.DUMMYFUNCTION("""COMPUTED_VALUE"""),"Nhãn")</f>
        <v>Nhãn</v>
      </c>
      <c r="C2783" s="87" t="str">
        <f>IFERROR(__xludf.DUMMYFUNCTION("""COMPUTED_VALUE"""),"NHG2140")</f>
        <v>NHG2140</v>
      </c>
      <c r="D2783" s="87" t="str">
        <f>IFERROR(__xludf.DUMMYFUNCTION("""COMPUTED_VALUE"""),"[Nhãn] GC - IV - 2140 - CTY VIN AG - VIN-VATINO 525 (Nước cam sữa) - 240ml - 40")</f>
        <v>[Nhãn] GC - IV - 2140 - CTY VIN AG - VIN-VATINO 525 (Nước cam sữa) - 240ml - 40</v>
      </c>
      <c r="E2783" s="87" t="str">
        <f>IFERROR(__xludf.DUMMYFUNCTION("""COMPUTED_VALUE"""),"VATINO SUPER 525SE")</f>
        <v>VATINO SUPER 525SE</v>
      </c>
      <c r="F2783" s="87" t="str">
        <f>IFERROR(__xludf.DUMMYFUNCTION("""COMPUTED_VALUE"""),"HH2140")</f>
        <v>HH2140</v>
      </c>
      <c r="G2783" s="87" t="str">
        <f>IFERROR(__xludf.DUMMYFUNCTION("""COMPUTED_VALUE"""),"GC - IV - 2140 - CTY VIN AG - VIN-VATINO 525 (Nước cam sữa) - 240ml - 40")</f>
        <v>GC - IV - 2140 - CTY VIN AG - VIN-VATINO 525 (Nước cam sữa) - 240ml - 40</v>
      </c>
    </row>
    <row r="2784">
      <c r="A2784" s="86">
        <f>IFERROR(__xludf.DUMMYFUNCTION("""COMPUTED_VALUE"""),2782.0)</f>
        <v>2782</v>
      </c>
      <c r="B2784" s="87" t="str">
        <f>IFERROR(__xludf.DUMMYFUNCTION("""COMPUTED_VALUE"""),"Nhãn")</f>
        <v>Nhãn</v>
      </c>
      <c r="C2784" s="87" t="str">
        <f>IFERROR(__xludf.DUMMYFUNCTION("""COMPUTED_VALUE"""),"NHG2141")</f>
        <v>NHG2141</v>
      </c>
      <c r="D2784" s="87" t="str">
        <f>IFERROR(__xludf.DUMMYFUNCTION("""COMPUTED_VALUE"""),"[Nhãn] GC - IV - 2141 - CTY ECO - SUPER MITE (Nước xanh lá) - 200ml - 60")</f>
        <v>[Nhãn] GC - IV - 2141 - CTY ECO - SUPER MITE (Nước xanh lá) - 200ml - 60</v>
      </c>
      <c r="E2784" s="87" t="str">
        <f>IFERROR(__xludf.DUMMYFUNCTION("""COMPUTED_VALUE"""),"Chitin 3.6EC")</f>
        <v>Chitin 3.6EC</v>
      </c>
      <c r="F2784" s="87" t="str">
        <f>IFERROR(__xludf.DUMMYFUNCTION("""COMPUTED_VALUE"""),"HH2141")</f>
        <v>HH2141</v>
      </c>
      <c r="G2784" s="87" t="str">
        <f>IFERROR(__xludf.DUMMYFUNCTION("""COMPUTED_VALUE"""),"GC - IV - 2141 - CTY ECO - SUPER MITE (Nước xanh lá) - 200ml - 60")</f>
        <v>GC - IV - 2141 - CTY ECO - SUPER MITE (Nước xanh lá) - 200ml - 60</v>
      </c>
    </row>
    <row r="2785">
      <c r="A2785" s="86">
        <f>IFERROR(__xludf.DUMMYFUNCTION("""COMPUTED_VALUE"""),2783.0)</f>
        <v>2783</v>
      </c>
      <c r="B2785" s="87" t="str">
        <f>IFERROR(__xludf.DUMMYFUNCTION("""COMPUTED_VALUE"""),"Nhãn")</f>
        <v>Nhãn</v>
      </c>
      <c r="C2785" s="87" t="str">
        <f>IFERROR(__xludf.DUMMYFUNCTION("""COMPUTED_VALUE"""),"NHG2142")</f>
        <v>NHG2142</v>
      </c>
      <c r="D2785" s="87" t="str">
        <f>IFERROR(__xludf.DUMMYFUNCTION("""COMPUTED_VALUE"""),"[Nhãn] GC - IV - 2142 - CTY ECO - KILLER MAX (Nước tím) - 450ml - 40")</f>
        <v>[Nhãn] GC - IV - 2142 - CTY ECO - KILLER MAX (Nước tím) - 450ml - 40</v>
      </c>
      <c r="E2785" s="87" t="str">
        <f>IFERROR(__xludf.DUMMYFUNCTION("""COMPUTED_VALUE"""),"ABASBA 50EC")</f>
        <v>ABASBA 50EC</v>
      </c>
      <c r="F2785" s="87" t="str">
        <f>IFERROR(__xludf.DUMMYFUNCTION("""COMPUTED_VALUE"""),"HH2142")</f>
        <v>HH2142</v>
      </c>
      <c r="G2785" s="87" t="str">
        <f>IFERROR(__xludf.DUMMYFUNCTION("""COMPUTED_VALUE"""),"GC - IV - 2142 - CTY ECO - KILLER MAX (Nước tím) - 450ml - 40")</f>
        <v>GC - IV - 2142 - CTY ECO - KILLER MAX (Nước tím) - 450ml - 40</v>
      </c>
    </row>
    <row r="2786">
      <c r="A2786" s="86">
        <f>IFERROR(__xludf.DUMMYFUNCTION("""COMPUTED_VALUE"""),2784.0)</f>
        <v>2784</v>
      </c>
      <c r="B2786" s="87" t="str">
        <f>IFERROR(__xludf.DUMMYFUNCTION("""COMPUTED_VALUE"""),"Nhãn")</f>
        <v>Nhãn</v>
      </c>
      <c r="C2786" s="87" t="str">
        <f>IFERROR(__xludf.DUMMYFUNCTION("""COMPUTED_VALUE"""),"NTN2143")</f>
        <v>NTN2143</v>
      </c>
      <c r="D2786" s="87" t="str">
        <f>IFERROR(__xludf.DUMMYFUNCTION("""COMPUTED_VALUE"""),"[Nhãn] GC - IV - 2143 - CTY ECO - METALAXYL (Bột hồng) - 100gr - 100")</f>
        <v>[Nhãn] GC - IV - 2143 - CTY ECO - METALAXYL (Bột hồng) - 100gr - 100</v>
      </c>
      <c r="E2786" s="87" t="str">
        <f>IFERROR(__xludf.DUMMYFUNCTION("""COMPUTED_VALUE"""),"Acodyl 35WP")</f>
        <v>Acodyl 35WP</v>
      </c>
      <c r="F2786" s="87" t="str">
        <f>IFERROR(__xludf.DUMMYFUNCTION("""COMPUTED_VALUE"""),"HH2143")</f>
        <v>HH2143</v>
      </c>
      <c r="G2786" s="87" t="str">
        <f>IFERROR(__xludf.DUMMYFUNCTION("""COMPUTED_VALUE"""),"GC - IV - 2143 - CTY ECO - METALAXYL (Bột hồng) - 100gr - 100")</f>
        <v>GC - IV - 2143 - CTY ECO - METALAXYL (Bột hồng) - 100gr - 100</v>
      </c>
    </row>
    <row r="2787">
      <c r="A2787" s="86">
        <f>IFERROR(__xludf.DUMMYFUNCTION("""COMPUTED_VALUE"""),2785.0)</f>
        <v>2785</v>
      </c>
      <c r="B2787" s="87" t="str">
        <f>IFERROR(__xludf.DUMMYFUNCTION("""COMPUTED_VALUE"""),"Nhãn thùng")</f>
        <v>Nhãn thùng</v>
      </c>
      <c r="C2787" s="87" t="str">
        <f>IFERROR(__xludf.DUMMYFUNCTION("""COMPUTED_VALUE"""),"NDT2143")</f>
        <v>NDT2143</v>
      </c>
      <c r="D2787" s="87" t="str">
        <f>IFERROR(__xludf.DUMMYFUNCTION("""COMPUTED_VALUE"""),"[Nhãn thùng] GC - IV - 2143 - CTY ECO - METALAXYL (Bột hồng) - 100gr - 100")</f>
        <v>[Nhãn thùng] GC - IV - 2143 - CTY ECO - METALAXYL (Bột hồng) - 100gr - 100</v>
      </c>
      <c r="E2787" s="87" t="str">
        <f>IFERROR(__xludf.DUMMYFUNCTION("""COMPUTED_VALUE"""),"Acodyl 35WP")</f>
        <v>Acodyl 35WP</v>
      </c>
      <c r="F2787" s="87" t="str">
        <f>IFERROR(__xludf.DUMMYFUNCTION("""COMPUTED_VALUE"""),"HH2143")</f>
        <v>HH2143</v>
      </c>
      <c r="G2787" s="87" t="str">
        <f>IFERROR(__xludf.DUMMYFUNCTION("""COMPUTED_VALUE"""),"GC - IV - 2143 - CTY ECO - METALAXYL (Bột hồng) - 100gr - 100")</f>
        <v>GC - IV - 2143 - CTY ECO - METALAXYL (Bột hồng) - 100gr - 100</v>
      </c>
    </row>
    <row r="2788">
      <c r="A2788" s="86">
        <f>IFERROR(__xludf.DUMMYFUNCTION("""COMPUTED_VALUE"""),2786.0)</f>
        <v>2786</v>
      </c>
      <c r="B2788" s="87" t="str">
        <f>IFERROR(__xludf.DUMMYFUNCTION("""COMPUTED_VALUE"""),"Nhãn")</f>
        <v>Nhãn</v>
      </c>
      <c r="C2788" s="87" t="str">
        <f>IFERROR(__xludf.DUMMYFUNCTION("""COMPUTED_VALUE"""),"NHG2144")</f>
        <v>NHG2144</v>
      </c>
      <c r="D2788" s="87" t="str">
        <f>IFERROR(__xludf.DUMMYFUNCTION("""COMPUTED_VALUE"""),"[Nhãn] GC - IV - 2144 - CTY ECO - EAGLE 3.8 (Nước đỏ) - 240ml - 40")</f>
        <v>[Nhãn] GC - IV - 2144 - CTY ECO - EAGLE 3.8 (Nước đỏ) - 240ml - 40</v>
      </c>
      <c r="E2788" s="87" t="str">
        <f>IFERROR(__xludf.DUMMYFUNCTION("""COMPUTED_VALUE"""),"CHIM ƯNG 3.8EC")</f>
        <v>CHIM ƯNG 3.8EC</v>
      </c>
      <c r="F2788" s="87" t="str">
        <f>IFERROR(__xludf.DUMMYFUNCTION("""COMPUTED_VALUE"""),"HH2144")</f>
        <v>HH2144</v>
      </c>
      <c r="G2788" s="87" t="str">
        <f>IFERROR(__xludf.DUMMYFUNCTION("""COMPUTED_VALUE"""),"GC - IV - 2144 - CTY ECO - EAGLE 3.8 (Nước đỏ) - 240ml - 40")</f>
        <v>GC - IV - 2144 - CTY ECO - EAGLE 3.8 (Nước đỏ) - 240ml - 40</v>
      </c>
    </row>
    <row r="2789">
      <c r="A2789" s="86">
        <f>IFERROR(__xludf.DUMMYFUNCTION("""COMPUTED_VALUE"""),2787.0)</f>
        <v>2787</v>
      </c>
      <c r="B2789" s="87" t="str">
        <f>IFERROR(__xludf.DUMMYFUNCTION("""COMPUTED_VALUE"""),"Nhãn")</f>
        <v>Nhãn</v>
      </c>
      <c r="C2789" s="87" t="str">
        <f>IFERROR(__xludf.DUMMYFUNCTION("""COMPUTED_VALUE"""),"NHG2145")</f>
        <v>NHG2145</v>
      </c>
      <c r="D2789" s="87" t="str">
        <f>IFERROR(__xludf.DUMMYFUNCTION("""COMPUTED_VALUE"""),"[Nhãn] GC - IV - 2145 - CTY ECO - EMAMEX 2.1 (Nước đỏ) - 450ml - 40")</f>
        <v>[Nhãn] GC - IV - 2145 - CTY ECO - EMAMEX 2.1 (Nước đỏ) - 450ml - 40</v>
      </c>
      <c r="E2789" s="87" t="str">
        <f>IFERROR(__xludf.DUMMYFUNCTION("""COMPUTED_VALUE"""),"Creek 2.1EC")</f>
        <v>Creek 2.1EC</v>
      </c>
      <c r="F2789" s="87" t="str">
        <f>IFERROR(__xludf.DUMMYFUNCTION("""COMPUTED_VALUE"""),"HH2145")</f>
        <v>HH2145</v>
      </c>
      <c r="G2789" s="87" t="str">
        <f>IFERROR(__xludf.DUMMYFUNCTION("""COMPUTED_VALUE"""),"GC - IV - 2145 - CTY ECO - EMAMEX 2.1 (Nước đỏ) - 450ml - 40")</f>
        <v>GC - IV - 2145 - CTY ECO - EMAMEX 2.1 (Nước đỏ) - 450ml - 40</v>
      </c>
    </row>
    <row r="2790">
      <c r="A2790" s="86">
        <f>IFERROR(__xludf.DUMMYFUNCTION("""COMPUTED_VALUE"""),2788.0)</f>
        <v>2788</v>
      </c>
      <c r="B2790" s="87" t="str">
        <f>IFERROR(__xludf.DUMMYFUNCTION("""COMPUTED_VALUE"""),"Nhãn")</f>
        <v>Nhãn</v>
      </c>
      <c r="C2790" s="87" t="str">
        <f>IFERROR(__xludf.DUMMYFUNCTION("""COMPUTED_VALUE"""),"NHG2146")</f>
        <v>NHG2146</v>
      </c>
      <c r="D2790" s="87" t="str">
        <f>IFERROR(__xludf.DUMMYFUNCTION("""COMPUTED_VALUE"""),"[Nhãn] GC - IV - 2146 - CTY ECO - PROTEC EXTRA (Nước đỏ) - 250ml - 40")</f>
        <v>[Nhãn] GC - IV - 2146 - CTY ECO - PROTEC EXTRA (Nước đỏ) - 250ml - 40</v>
      </c>
      <c r="E2790" s="87" t="str">
        <f>IFERROR(__xludf.DUMMYFUNCTION("""COMPUTED_VALUE"""),"GENOL 1.2SL")</f>
        <v>GENOL 1.2SL</v>
      </c>
      <c r="F2790" s="87" t="str">
        <f>IFERROR(__xludf.DUMMYFUNCTION("""COMPUTED_VALUE"""),"HH2146")</f>
        <v>HH2146</v>
      </c>
      <c r="G2790" s="87" t="str">
        <f>IFERROR(__xludf.DUMMYFUNCTION("""COMPUTED_VALUE"""),"GC - IV - 2146 - CTY ECO - PROTEC EXTRA (Nước đỏ) - 250ml - 40")</f>
        <v>GC - IV - 2146 - CTY ECO - PROTEC EXTRA (Nước đỏ) - 250ml - 40</v>
      </c>
    </row>
    <row r="2791">
      <c r="A2791" s="86">
        <f>IFERROR(__xludf.DUMMYFUNCTION("""COMPUTED_VALUE"""),2789.0)</f>
        <v>2789</v>
      </c>
      <c r="B2791" s="87" t="str">
        <f>IFERROR(__xludf.DUMMYFUNCTION("""COMPUTED_VALUE"""),"Nhãn")</f>
        <v>Nhãn</v>
      </c>
      <c r="C2791" s="87" t="str">
        <f>IFERROR(__xludf.DUMMYFUNCTION("""COMPUTED_VALUE"""),"NTN2147")</f>
        <v>NTN2147</v>
      </c>
      <c r="D2791" s="87" t="str">
        <f>IFERROR(__xludf.DUMMYFUNCTION("""COMPUTED_VALUE"""),"[Nhãn] GC - IV - 2147 - CTY ECO - HOPPER KILLER (Bột trắng ngà) - 100gr - 100")</f>
        <v>[Nhãn] GC - IV - 2147 - CTY ECO - HOPPER KILLER (Bột trắng ngà) - 100gr - 100</v>
      </c>
      <c r="E2791" s="87" t="str">
        <f>IFERROR(__xludf.DUMMYFUNCTION("""COMPUTED_VALUE"""),"KHONGRAY 54WP")</f>
        <v>KHONGRAY 54WP</v>
      </c>
      <c r="F2791" s="87" t="str">
        <f>IFERROR(__xludf.DUMMYFUNCTION("""COMPUTED_VALUE"""),"HH2147")</f>
        <v>HH2147</v>
      </c>
      <c r="G2791" s="87" t="str">
        <f>IFERROR(__xludf.DUMMYFUNCTION("""COMPUTED_VALUE"""),"GC - IV - 2147 - CTY ECO - HOPPER KILLER (Bột trắng ngà) - 100gr - 100")</f>
        <v>GC - IV - 2147 - CTY ECO - HOPPER KILLER (Bột trắng ngà) - 100gr - 100</v>
      </c>
    </row>
    <row r="2792">
      <c r="A2792" s="86">
        <f>IFERROR(__xludf.DUMMYFUNCTION("""COMPUTED_VALUE"""),2790.0)</f>
        <v>2790</v>
      </c>
      <c r="B2792" s="87" t="str">
        <f>IFERROR(__xludf.DUMMYFUNCTION("""COMPUTED_VALUE"""),"Nhãn thùng")</f>
        <v>Nhãn thùng</v>
      </c>
      <c r="C2792" s="87" t="str">
        <f>IFERROR(__xludf.DUMMYFUNCTION("""COMPUTED_VALUE"""),"NDT2147")</f>
        <v>NDT2147</v>
      </c>
      <c r="D2792" s="87" t="str">
        <f>IFERROR(__xludf.DUMMYFUNCTION("""COMPUTED_VALUE"""),"[Nhãn thùng] GC - IV - 2147 - CTY ECO - HOPPER KILLER (Bột trắng ngà) - 100gr - 100")</f>
        <v>[Nhãn thùng] GC - IV - 2147 - CTY ECO - HOPPER KILLER (Bột trắng ngà) - 100gr - 100</v>
      </c>
      <c r="E2792" s="87" t="str">
        <f>IFERROR(__xludf.DUMMYFUNCTION("""COMPUTED_VALUE"""),"KHONGRAY 54WP")</f>
        <v>KHONGRAY 54WP</v>
      </c>
      <c r="F2792" s="87" t="str">
        <f>IFERROR(__xludf.DUMMYFUNCTION("""COMPUTED_VALUE"""),"HH2147")</f>
        <v>HH2147</v>
      </c>
      <c r="G2792" s="87" t="str">
        <f>IFERROR(__xludf.DUMMYFUNCTION("""COMPUTED_VALUE"""),"GC - IV - 2147 - CTY ECO - HOPPER KILLER (Bột trắng ngà) - 100gr - 100")</f>
        <v>GC - IV - 2147 - CTY ECO - HOPPER KILLER (Bột trắng ngà) - 100gr - 100</v>
      </c>
    </row>
    <row r="2793">
      <c r="A2793" s="86">
        <f>IFERROR(__xludf.DUMMYFUNCTION("""COMPUTED_VALUE"""),2791.0)</f>
        <v>2791</v>
      </c>
      <c r="B2793" s="87" t="str">
        <f>IFERROR(__xludf.DUMMYFUNCTION("""COMPUTED_VALUE"""),"Nhãn")</f>
        <v>Nhãn</v>
      </c>
      <c r="C2793" s="87" t="str">
        <f>IFERROR(__xludf.DUMMYFUNCTION("""COMPUTED_VALUE"""),"NTN2148")</f>
        <v>NTN2148</v>
      </c>
      <c r="D2793" s="87" t="str">
        <f>IFERROR(__xludf.DUMMYFUNCTION("""COMPUTED_VALUE"""),"[Nhãn] GC - IV - 2148 - CTY ECO - PEST KILLER (Bột trắng) - 100gr - 100")</f>
        <v>[Nhãn] GC - IV - 2148 - CTY ECO - PEST KILLER (Bột trắng) - 100gr - 100</v>
      </c>
      <c r="E2793" s="87" t="str">
        <f>IFERROR(__xludf.DUMMYFUNCTION("""COMPUTED_VALUE"""),"NOSAU 85WP")</f>
        <v>NOSAU 85WP</v>
      </c>
      <c r="F2793" s="87" t="str">
        <f>IFERROR(__xludf.DUMMYFUNCTION("""COMPUTED_VALUE"""),"HH2148")</f>
        <v>HH2148</v>
      </c>
      <c r="G2793" s="87" t="str">
        <f>IFERROR(__xludf.DUMMYFUNCTION("""COMPUTED_VALUE"""),"GC - IV - 2148 - CTY ECO - PEST KILLER (Bột trắng) - 100gr - 100")</f>
        <v>GC - IV - 2148 - CTY ECO - PEST KILLER (Bột trắng) - 100gr - 100</v>
      </c>
    </row>
    <row r="2794">
      <c r="A2794" s="86">
        <f>IFERROR(__xludf.DUMMYFUNCTION("""COMPUTED_VALUE"""),2792.0)</f>
        <v>2792</v>
      </c>
      <c r="B2794" s="87" t="str">
        <f>IFERROR(__xludf.DUMMYFUNCTION("""COMPUTED_VALUE"""),"Nhãn thùng")</f>
        <v>Nhãn thùng</v>
      </c>
      <c r="C2794" s="87" t="str">
        <f>IFERROR(__xludf.DUMMYFUNCTION("""COMPUTED_VALUE"""),"NDT2148")</f>
        <v>NDT2148</v>
      </c>
      <c r="D2794" s="87" t="str">
        <f>IFERROR(__xludf.DUMMYFUNCTION("""COMPUTED_VALUE"""),"[Nhãn thùng] GC - IV - 2148 - CTY ECO - PEST KILLER (Bột trắng) - 100gr - 100")</f>
        <v>[Nhãn thùng] GC - IV - 2148 - CTY ECO - PEST KILLER (Bột trắng) - 100gr - 100</v>
      </c>
      <c r="E2794" s="87" t="str">
        <f>IFERROR(__xludf.DUMMYFUNCTION("""COMPUTED_VALUE"""),"NOSAU 85WP")</f>
        <v>NOSAU 85WP</v>
      </c>
      <c r="F2794" s="87" t="str">
        <f>IFERROR(__xludf.DUMMYFUNCTION("""COMPUTED_VALUE"""),"HH2148")</f>
        <v>HH2148</v>
      </c>
      <c r="G2794" s="87" t="str">
        <f>IFERROR(__xludf.DUMMYFUNCTION("""COMPUTED_VALUE"""),"GC - IV - 2148 - CTY ECO - PEST KILLER (Bột trắng) - 100gr - 100")</f>
        <v>GC - IV - 2148 - CTY ECO - PEST KILLER (Bột trắng) - 100gr - 100</v>
      </c>
    </row>
    <row r="2795">
      <c r="A2795" s="86">
        <f>IFERROR(__xludf.DUMMYFUNCTION("""COMPUTED_VALUE"""),2793.0)</f>
        <v>2793</v>
      </c>
      <c r="B2795" s="87" t="str">
        <f>IFERROR(__xludf.DUMMYFUNCTION("""COMPUTED_VALUE"""),"Nhãn")</f>
        <v>Nhãn</v>
      </c>
      <c r="C2795" s="87" t="str">
        <f>IFERROR(__xludf.DUMMYFUNCTION("""COMPUTED_VALUE"""),"NHG2149")</f>
        <v>NHG2149</v>
      </c>
      <c r="D2795" s="87" t="str">
        <f>IFERROR(__xludf.DUMMYFUNCTION("""COMPUTED_VALUE"""),"[Nhãn] GC - IV - 2149 - CTY ECO - CYPER 250 (Nước vàng trà) - 480ml - 40")</f>
        <v>[Nhãn] GC - IV - 2149 - CTY ECO - CYPER 250 (Nước vàng trà) - 480ml - 40</v>
      </c>
      <c r="E2795" s="87" t="str">
        <f>IFERROR(__xludf.DUMMYFUNCTION("""COMPUTED_VALUE"""),"NP-CYRIN SUPER 250EC")</f>
        <v>NP-CYRIN SUPER 250EC</v>
      </c>
      <c r="F2795" s="87" t="str">
        <f>IFERROR(__xludf.DUMMYFUNCTION("""COMPUTED_VALUE"""),"HH2149")</f>
        <v>HH2149</v>
      </c>
      <c r="G2795" s="87" t="str">
        <f>IFERROR(__xludf.DUMMYFUNCTION("""COMPUTED_VALUE"""),"GC - IV - 2149 - CTY ECO - CYPER 250 (Nước vàng trà) - 480ml - 40")</f>
        <v>GC - IV - 2149 - CTY ECO - CYPER 250 (Nước vàng trà) - 480ml - 40</v>
      </c>
    </row>
    <row r="2796">
      <c r="A2796" s="86">
        <f>IFERROR(__xludf.DUMMYFUNCTION("""COMPUTED_VALUE"""),2794.0)</f>
        <v>2794</v>
      </c>
      <c r="B2796" s="87" t="str">
        <f>IFERROR(__xludf.DUMMYFUNCTION("""COMPUTED_VALUE"""),"Nhãn")</f>
        <v>Nhãn</v>
      </c>
      <c r="C2796" s="87" t="str">
        <f>IFERROR(__xludf.DUMMYFUNCTION("""COMPUTED_VALUE"""),"NHG2150")</f>
        <v>NHG2150</v>
      </c>
      <c r="D2796" s="87" t="str">
        <f>IFERROR(__xludf.DUMMYFUNCTION("""COMPUTED_VALUE"""),"[Nhãn] GC - IV - 2150 - CTY ECO - CYPER 250 (Nước vàng trà) - 1L - 20")</f>
        <v>[Nhãn] GC - IV - 2150 - CTY ECO - CYPER 250 (Nước vàng trà) - 1L - 20</v>
      </c>
      <c r="E2796" s="87" t="str">
        <f>IFERROR(__xludf.DUMMYFUNCTION("""COMPUTED_VALUE"""),"NP-CYRIN SUPER 250EC")</f>
        <v>NP-CYRIN SUPER 250EC</v>
      </c>
      <c r="F2796" s="87" t="str">
        <f>IFERROR(__xludf.DUMMYFUNCTION("""COMPUTED_VALUE"""),"HH2150")</f>
        <v>HH2150</v>
      </c>
      <c r="G2796" s="87" t="str">
        <f>IFERROR(__xludf.DUMMYFUNCTION("""COMPUTED_VALUE"""),"GC - IV - 2150 - CTY ECO - CYPER 250 (Nước vàng trà) - 1L - 20")</f>
        <v>GC - IV - 2150 - CTY ECO - CYPER 250 (Nước vàng trà) - 1L - 20</v>
      </c>
    </row>
    <row r="2797">
      <c r="A2797" s="86">
        <f>IFERROR(__xludf.DUMMYFUNCTION("""COMPUTED_VALUE"""),2795.0)</f>
        <v>2795</v>
      </c>
      <c r="B2797" s="87" t="str">
        <f>IFERROR(__xludf.DUMMYFUNCTION("""COMPUTED_VALUE"""),"Nhãn")</f>
        <v>Nhãn</v>
      </c>
      <c r="C2797" s="87" t="str">
        <f>IFERROR(__xludf.DUMMYFUNCTION("""COMPUTED_VALUE"""),"NHG2151")</f>
        <v>NHG2151</v>
      </c>
      <c r="D2797" s="87" t="str">
        <f>IFERROR(__xludf.DUMMYFUNCTION("""COMPUTED_VALUE"""),"[Nhãn] GC - IV - 2151 - CTY ECO - BOOST XTRA (Gel vàng mật ong) - 120ml - 100")</f>
        <v>[Nhãn] GC - IV - 2151 - CTY ECO - BOOST XTRA (Gel vàng mật ong) - 120ml - 100</v>
      </c>
      <c r="E2797" s="87" t="str">
        <f>IFERROR(__xludf.DUMMYFUNCTION("""COMPUTED_VALUE"""),"Vi lượng Quantity New")</f>
        <v>Vi lượng Quantity New</v>
      </c>
      <c r="F2797" s="87" t="str">
        <f>IFERROR(__xludf.DUMMYFUNCTION("""COMPUTED_VALUE"""),"HH2151")</f>
        <v>HH2151</v>
      </c>
      <c r="G2797" s="87" t="str">
        <f>IFERROR(__xludf.DUMMYFUNCTION("""COMPUTED_VALUE"""),"GC - IV - 2151 - CTY ECO - BOOST XTRA (Gel vàng mật ong) - 120ml - 100")</f>
        <v>GC - IV - 2151 - CTY ECO - BOOST XTRA (Gel vàng mật ong) - 120ml - 100</v>
      </c>
    </row>
    <row r="2798">
      <c r="A2798" s="86">
        <f>IFERROR(__xludf.DUMMYFUNCTION("""COMPUTED_VALUE"""),2796.0)</f>
        <v>2796</v>
      </c>
      <c r="B2798" s="87" t="str">
        <f>IFERROR(__xludf.DUMMYFUNCTION("""COMPUTED_VALUE"""),"Nhãn")</f>
        <v>Nhãn</v>
      </c>
      <c r="C2798" s="87" t="str">
        <f>IFERROR(__xludf.DUMMYFUNCTION("""COMPUTED_VALUE"""),"NTN2152")</f>
        <v>NTN2152</v>
      </c>
      <c r="D2798" s="87" t="str">
        <f>IFERROR(__xludf.DUMMYFUNCTION("""COMPUTED_VALUE"""),"[Nhãn] GC - IV - 2152 - CTY ECO - BORER KILLER (Bột trắng) - 100gr - 100")</f>
        <v>[Nhãn] GC - IV - 2152 - CTY ECO - BORER KILLER (Bột trắng) - 100gr - 100</v>
      </c>
      <c r="E2798" s="87" t="str">
        <f>IFERROR(__xludf.DUMMYFUNCTION("""COMPUTED_VALUE"""),"SHA CHONG JING 95WP")</f>
        <v>SHA CHONG JING 95WP</v>
      </c>
      <c r="F2798" s="87" t="str">
        <f>IFERROR(__xludf.DUMMYFUNCTION("""COMPUTED_VALUE"""),"HH2152")</f>
        <v>HH2152</v>
      </c>
      <c r="G2798" s="87" t="str">
        <f>IFERROR(__xludf.DUMMYFUNCTION("""COMPUTED_VALUE"""),"GC - IV - 2152 - CTY ECO - BORER KILLER (Bột trắng) - 100gr - 100")</f>
        <v>GC - IV - 2152 - CTY ECO - BORER KILLER (Bột trắng) - 100gr - 100</v>
      </c>
    </row>
    <row r="2799">
      <c r="A2799" s="86">
        <f>IFERROR(__xludf.DUMMYFUNCTION("""COMPUTED_VALUE"""),2797.0)</f>
        <v>2797</v>
      </c>
      <c r="B2799" s="87" t="str">
        <f>IFERROR(__xludf.DUMMYFUNCTION("""COMPUTED_VALUE"""),"Nhãn thùng")</f>
        <v>Nhãn thùng</v>
      </c>
      <c r="C2799" s="87" t="str">
        <f>IFERROR(__xludf.DUMMYFUNCTION("""COMPUTED_VALUE"""),"NDT2152")</f>
        <v>NDT2152</v>
      </c>
      <c r="D2799" s="87" t="str">
        <f>IFERROR(__xludf.DUMMYFUNCTION("""COMPUTED_VALUE"""),"[Nhãn thùng] GC - IV - 2152 - CTY ECO - BORER KILLER (Bột trắng) - 100gr - 100")</f>
        <v>[Nhãn thùng] GC - IV - 2152 - CTY ECO - BORER KILLER (Bột trắng) - 100gr - 100</v>
      </c>
      <c r="E2799" s="87" t="str">
        <f>IFERROR(__xludf.DUMMYFUNCTION("""COMPUTED_VALUE"""),"SHA CHONG JING 95WP")</f>
        <v>SHA CHONG JING 95WP</v>
      </c>
      <c r="F2799" s="87" t="str">
        <f>IFERROR(__xludf.DUMMYFUNCTION("""COMPUTED_VALUE"""),"HH2152")</f>
        <v>HH2152</v>
      </c>
      <c r="G2799" s="87" t="str">
        <f>IFERROR(__xludf.DUMMYFUNCTION("""COMPUTED_VALUE"""),"GC - IV - 2152 - CTY ECO - BORER KILLER (Bột trắng) - 100gr - 100")</f>
        <v>GC - IV - 2152 - CTY ECO - BORER KILLER (Bột trắng) - 100gr - 100</v>
      </c>
    </row>
    <row r="2800">
      <c r="A2800" s="86">
        <f>IFERROR(__xludf.DUMMYFUNCTION("""COMPUTED_VALUE"""),2798.0)</f>
        <v>2798</v>
      </c>
      <c r="B2800" s="87" t="str">
        <f>IFERROR(__xludf.DUMMYFUNCTION("""COMPUTED_VALUE"""),"Nhãn")</f>
        <v>Nhãn</v>
      </c>
      <c r="C2800" s="87" t="str">
        <f>IFERROR(__xludf.DUMMYFUNCTION("""COMPUTED_VALUE"""),"NHG2153")</f>
        <v>NHG2153</v>
      </c>
      <c r="D2800" s="87" t="str">
        <f>IFERROR(__xludf.DUMMYFUNCTION("""COMPUTED_VALUE"""),"[Nhãn] GC - IV - 2153 - CTY ECO - BEST MITE (Nước trắng sữa) - 240ml - 40")</f>
        <v>[Nhãn] GC - IV - 2153 - CTY ECO - BEST MITE (Nước trắng sữa) - 240ml - 40</v>
      </c>
      <c r="E2800" s="87" t="str">
        <f>IFERROR(__xludf.DUMMYFUNCTION("""COMPUTED_VALUE"""),"SPIRO 240SC")</f>
        <v>SPIRO 240SC</v>
      </c>
      <c r="F2800" s="87" t="str">
        <f>IFERROR(__xludf.DUMMYFUNCTION("""COMPUTED_VALUE"""),"HH2153")</f>
        <v>HH2153</v>
      </c>
      <c r="G2800" s="87" t="str">
        <f>IFERROR(__xludf.DUMMYFUNCTION("""COMPUTED_VALUE"""),"GC - IV - 2153 - CTY ECO - BEST MITE (Nước trắng sữa) - 240ml - 40")</f>
        <v>GC - IV - 2153 - CTY ECO - BEST MITE (Nước trắng sữa) - 240ml - 40</v>
      </c>
    </row>
    <row r="2801">
      <c r="A2801" s="86">
        <f>IFERROR(__xludf.DUMMYFUNCTION("""COMPUTED_VALUE"""),2799.0)</f>
        <v>2799</v>
      </c>
      <c r="B2801" s="87" t="str">
        <f>IFERROR(__xludf.DUMMYFUNCTION("""COMPUTED_VALUE"""),"Nhãn")</f>
        <v>Nhãn</v>
      </c>
      <c r="C2801" s="87" t="str">
        <f>IFERROR(__xludf.DUMMYFUNCTION("""COMPUTED_VALUE"""),"NHG2154")</f>
        <v>NHG2154</v>
      </c>
      <c r="D2801" s="87" t="str">
        <f>IFERROR(__xludf.DUMMYFUNCTION("""COMPUTED_VALUE"""),"[Nhãn] GC - IV - 2154 - CTY ECO - HOPPER 550 (Nước tím) - 250ml - 40")</f>
        <v>[Nhãn] GC - IV - 2154 - CTY ECO - HOPPER 550 (Nước tím) - 250ml - 40</v>
      </c>
      <c r="E2801" s="87" t="str">
        <f>IFERROR(__xludf.DUMMYFUNCTION("""COMPUTED_VALUE"""),"Thipro 550EC")</f>
        <v>Thipro 550EC</v>
      </c>
      <c r="F2801" s="87" t="str">
        <f>IFERROR(__xludf.DUMMYFUNCTION("""COMPUTED_VALUE"""),"HH2154")</f>
        <v>HH2154</v>
      </c>
      <c r="G2801" s="87" t="str">
        <f>IFERROR(__xludf.DUMMYFUNCTION("""COMPUTED_VALUE"""),"GC - IV - 2154 - CTY ECO - HOPPER 550 (Nước tím) - 250ml - 40")</f>
        <v>GC - IV - 2154 - CTY ECO - HOPPER 550 (Nước tím) - 250ml - 40</v>
      </c>
    </row>
    <row r="2802">
      <c r="A2802" s="86">
        <f>IFERROR(__xludf.DUMMYFUNCTION("""COMPUTED_VALUE"""),2800.0)</f>
        <v>2800</v>
      </c>
      <c r="B2802" s="87" t="str">
        <f>IFERROR(__xludf.DUMMYFUNCTION("""COMPUTED_VALUE"""),"Nhãn")</f>
        <v>Nhãn</v>
      </c>
      <c r="C2802" s="87" t="str">
        <f>IFERROR(__xludf.DUMMYFUNCTION("""COMPUTED_VALUE"""),"NHG2155")</f>
        <v>NHG2155</v>
      </c>
      <c r="D2802" s="87" t="str">
        <f>IFERROR(__xludf.DUMMYFUNCTION("""COMPUTED_VALUE"""),"[Nhãn] GC - IV - 2155 - CTY ECO - FUNGAL EXTRA (Nước cam sữa) - 240ml - 40")</f>
        <v>[Nhãn] GC - IV - 2155 - CTY ECO - FUNGAL EXTRA (Nước cam sữa) - 240ml - 40</v>
      </c>
      <c r="E2802" s="87" t="str">
        <f>IFERROR(__xludf.DUMMYFUNCTION("""COMPUTED_VALUE"""),"VATINO SUPER 525SE")</f>
        <v>VATINO SUPER 525SE</v>
      </c>
      <c r="F2802" s="87" t="str">
        <f>IFERROR(__xludf.DUMMYFUNCTION("""COMPUTED_VALUE"""),"HH2155")</f>
        <v>HH2155</v>
      </c>
      <c r="G2802" s="87" t="str">
        <f>IFERROR(__xludf.DUMMYFUNCTION("""COMPUTED_VALUE"""),"GC - IV - 2155 - CTY ECO - FUNGAL EXTRA (Nước cam sữa) - 240ml - 40")</f>
        <v>GC - IV - 2155 - CTY ECO - FUNGAL EXTRA (Nước cam sữa) - 240ml - 40</v>
      </c>
    </row>
    <row r="2803">
      <c r="A2803" s="86">
        <f>IFERROR(__xludf.DUMMYFUNCTION("""COMPUTED_VALUE"""),2801.0)</f>
        <v>2801</v>
      </c>
      <c r="B2803" s="87" t="str">
        <f>IFERROR(__xludf.DUMMYFUNCTION("""COMPUTED_VALUE"""),"Nhãn")</f>
        <v>Nhãn</v>
      </c>
      <c r="C2803" s="87" t="str">
        <f>IFERROR(__xludf.DUMMYFUNCTION("""COMPUTED_VALUE"""),"NHG2156")</f>
        <v>NHG2156</v>
      </c>
      <c r="D2803" s="87" t="str">
        <f>IFERROR(__xludf.DUMMYFUNCTION("""COMPUTED_VALUE"""),"[Nhãn] GC - IV - 2156 - Cty Sen Hồng (A.Diễn) - VUA DIỆT RẦY SH (Nước tím) - 250ml - 40")</f>
        <v>[Nhãn] GC - IV - 2156 - Cty Sen Hồng (A.Diễn) - VUA DIỆT RẦY SH (Nước tím) - 250ml - 40</v>
      </c>
      <c r="E2803" s="87" t="str">
        <f>IFERROR(__xludf.DUMMYFUNCTION("""COMPUTED_VALUE"""),"Thipro 550EC")</f>
        <v>Thipro 550EC</v>
      </c>
      <c r="F2803" s="87" t="str">
        <f>IFERROR(__xludf.DUMMYFUNCTION("""COMPUTED_VALUE"""),"HH2156")</f>
        <v>HH2156</v>
      </c>
      <c r="G2803" s="87" t="str">
        <f>IFERROR(__xludf.DUMMYFUNCTION("""COMPUTED_VALUE"""),"GC - IV - 2156 - Cty Sen Hồng (A.Diễn) - VUA DIỆT RẦY SH (Nước tím) - 250ml - 40")</f>
        <v>GC - IV - 2156 - Cty Sen Hồng (A.Diễn) - VUA DIỆT RẦY SH (Nước tím) - 250ml - 40</v>
      </c>
    </row>
    <row r="2804">
      <c r="A2804" s="86">
        <f>IFERROR(__xludf.DUMMYFUNCTION("""COMPUTED_VALUE"""),2802.0)</f>
        <v>2802</v>
      </c>
      <c r="B2804" s="87" t="str">
        <f>IFERROR(__xludf.DUMMYFUNCTION("""COMPUTED_VALUE"""),"Nhãn")</f>
        <v>Nhãn</v>
      </c>
      <c r="C2804" s="87" t="str">
        <f>IFERROR(__xludf.DUMMYFUNCTION("""COMPUTED_VALUE"""),"NHG2157")</f>
        <v>NHG2157</v>
      </c>
      <c r="D2804" s="87" t="str">
        <f>IFERROR(__xludf.DUMMYFUNCTION("""COMPUTED_VALUE"""),"[Nhãn] GC - IV - 2157 - CTY NÔNG HÓA XANH - SIÊU CHẶN ĐỌT (Nước nâu đen) - 1L - 20")</f>
        <v>[Nhãn] GC - IV - 2157 - CTY NÔNG HÓA XANH - SIÊU CHẶN ĐỌT (Nước nâu đen) - 1L - 20</v>
      </c>
      <c r="E2804" s="87" t="str">
        <f>IFERROR(__xludf.DUMMYFUNCTION("""COMPUTED_VALUE"""),"Vi lượng Quantity New")</f>
        <v>Vi lượng Quantity New</v>
      </c>
      <c r="F2804" s="87" t="str">
        <f>IFERROR(__xludf.DUMMYFUNCTION("""COMPUTED_VALUE"""),"HH2157")</f>
        <v>HH2157</v>
      </c>
      <c r="G2804" s="87" t="str">
        <f>IFERROR(__xludf.DUMMYFUNCTION("""COMPUTED_VALUE"""),"GC - IV - 2157 - CTY NÔNG HÓA XANH - SIÊU CHẶN ĐỌT (Nước nâu đen) - 1L - 20")</f>
        <v>GC - IV - 2157 - CTY NÔNG HÓA XANH - SIÊU CHẶN ĐỌT (Nước nâu đen) - 1L - 20</v>
      </c>
    </row>
    <row r="2805">
      <c r="A2805" s="86">
        <f>IFERROR(__xludf.DUMMYFUNCTION("""COMPUTED_VALUE"""),2803.0)</f>
        <v>2803</v>
      </c>
      <c r="B2805" s="87" t="str">
        <f>IFERROR(__xludf.DUMMYFUNCTION("""COMPUTED_VALUE"""),"Nhãn")</f>
        <v>Nhãn</v>
      </c>
      <c r="C2805" s="87" t="str">
        <f>IFERROR(__xludf.DUMMYFUNCTION("""COMPUTED_VALUE"""),"NTN2158")</f>
        <v>NTN2158</v>
      </c>
      <c r="D2805" s="87" t="str">
        <f>IFERROR(__xludf.DUMMYFUNCTION("""COMPUTED_VALUE"""),"[Nhãn] NB - K - 2158 - Cty Nông Dược Thụy Sĩ - Siêu cứng cây - 1kg -20")</f>
        <v>[Nhãn] NB - K - 2158 - Cty Nông Dược Thụy Sĩ - Siêu cứng cây - 1kg -20</v>
      </c>
      <c r="E2805" s="87" t="str">
        <f>IFERROR(__xludf.DUMMYFUNCTION("""COMPUTED_VALUE"""),"VINFER 01")</f>
        <v>VINFER 01</v>
      </c>
      <c r="F2805" s="87" t="str">
        <f>IFERROR(__xludf.DUMMYFUNCTION("""COMPUTED_VALUE"""),"HH2158")</f>
        <v>HH2158</v>
      </c>
      <c r="G2805" s="87" t="str">
        <f>IFERROR(__xludf.DUMMYFUNCTION("""COMPUTED_VALUE"""),"NB - K - 2158 - Cty Nông Dược Thụy Sĩ - Siêu cứng cây - 1kg -20")</f>
        <v>NB - K - 2158 - Cty Nông Dược Thụy Sĩ - Siêu cứng cây - 1kg -20</v>
      </c>
    </row>
    <row r="2806">
      <c r="A2806" s="86">
        <f>IFERROR(__xludf.DUMMYFUNCTION("""COMPUTED_VALUE"""),2804.0)</f>
        <v>2804</v>
      </c>
      <c r="B2806" s="87" t="str">
        <f>IFERROR(__xludf.DUMMYFUNCTION("""COMPUTED_VALUE"""),"Nhãn")</f>
        <v>Nhãn</v>
      </c>
      <c r="C2806" s="87" t="str">
        <f>IFERROR(__xludf.DUMMYFUNCTION("""COMPUTED_VALUE"""),"NTN2159")</f>
        <v>NTN2159</v>
      </c>
      <c r="D2806" s="87" t="str">
        <f>IFERROR(__xludf.DUMMYFUNCTION("""COMPUTED_VALUE"""),"[Nhãn] GC - IV - 2159 - Agriplant - Thalonil 75WWP - 100gr - 100")</f>
        <v>[Nhãn] GC - IV - 2159 - Agriplant - Thalonil 75WWP - 100gr - 100</v>
      </c>
      <c r="E2806" s="87" t="str">
        <f>IFERROR(__xludf.DUMMYFUNCTION("""COMPUTED_VALUE"""),"THALONIL 75WP")</f>
        <v>THALONIL 75WP</v>
      </c>
      <c r="F2806" s="87" t="str">
        <f>IFERROR(__xludf.DUMMYFUNCTION("""COMPUTED_VALUE"""),"HH2159")</f>
        <v>HH2159</v>
      </c>
      <c r="G2806" s="87" t="str">
        <f>IFERROR(__xludf.DUMMYFUNCTION("""COMPUTED_VALUE"""),"GC - IV - 2159 - Agriplant - Thalonil 75WWP - 100gr - 100")</f>
        <v>GC - IV - 2159 - Agriplant - Thalonil 75WWP - 100gr - 100</v>
      </c>
    </row>
    <row r="2807">
      <c r="A2807" s="86">
        <f>IFERROR(__xludf.DUMMYFUNCTION("""COMPUTED_VALUE"""),2805.0)</f>
        <v>2805</v>
      </c>
      <c r="B2807" s="87" t="str">
        <f>IFERROR(__xludf.DUMMYFUNCTION("""COMPUTED_VALUE"""),"Nhãn thùng")</f>
        <v>Nhãn thùng</v>
      </c>
      <c r="C2807" s="87" t="str">
        <f>IFERROR(__xludf.DUMMYFUNCTION("""COMPUTED_VALUE"""),"NDT2159")</f>
        <v>NDT2159</v>
      </c>
      <c r="D2807" s="87" t="str">
        <f>IFERROR(__xludf.DUMMYFUNCTION("""COMPUTED_VALUE"""),"[Nhãn thùng] GC - IV - 2159 - Agriplant - Thalonil 75WWP - 100gr - 100")</f>
        <v>[Nhãn thùng] GC - IV - 2159 - Agriplant - Thalonil 75WWP - 100gr - 100</v>
      </c>
      <c r="E2807" s="87" t="str">
        <f>IFERROR(__xludf.DUMMYFUNCTION("""COMPUTED_VALUE"""),"THALONIL 75WP")</f>
        <v>THALONIL 75WP</v>
      </c>
      <c r="F2807" s="87" t="str">
        <f>IFERROR(__xludf.DUMMYFUNCTION("""COMPUTED_VALUE"""),"HH2159")</f>
        <v>HH2159</v>
      </c>
      <c r="G2807" s="87" t="str">
        <f>IFERROR(__xludf.DUMMYFUNCTION("""COMPUTED_VALUE"""),"GC - IV - 2159 - Agriplant - Thalonil 75WWP - 100gr - 100")</f>
        <v>GC - IV - 2159 - Agriplant - Thalonil 75WWP - 100gr - 100</v>
      </c>
    </row>
    <row r="2808">
      <c r="A2808" s="86">
        <f>IFERROR(__xludf.DUMMYFUNCTION("""COMPUTED_VALUE"""),2806.0)</f>
        <v>2806</v>
      </c>
      <c r="B2808" s="87" t="str">
        <f>IFERROR(__xludf.DUMMYFUNCTION("""COMPUTED_VALUE"""),"Nhãn")</f>
        <v>Nhãn</v>
      </c>
      <c r="C2808" s="87" t="str">
        <f>IFERROR(__xludf.DUMMYFUNCTION("""COMPUTED_VALUE"""),"NHG2160")</f>
        <v>NHG2160</v>
      </c>
      <c r="D2808" s="87" t="str">
        <f>IFERROR(__xludf.DUMMYFUNCTION("""COMPUTED_VALUE"""),"[Nhãn] LOT IDA Global - I - 2160 - An Phát Nông - Calcibor (Nước vàng) - 500ml - 40")</f>
        <v>[Nhãn] LOT IDA Global - I - 2160 - An Phát Nông - Calcibor (Nước vàng) - 500ml - 40</v>
      </c>
      <c r="E2808" s="87" t="str">
        <f>IFERROR(__xludf.DUMMYFUNCTION("""COMPUTED_VALUE"""),"Vi lượng Run Fast")</f>
        <v>Vi lượng Run Fast</v>
      </c>
      <c r="F2808" s="87" t="str">
        <f>IFERROR(__xludf.DUMMYFUNCTION("""COMPUTED_VALUE"""),"HH2160")</f>
        <v>HH2160</v>
      </c>
      <c r="G2808" s="87" t="str">
        <f>IFERROR(__xludf.DUMMYFUNCTION("""COMPUTED_VALUE"""),"LOT IDA Global - I - 2160 - An Phát Nông - Calcibor (Nước vàng) - 500ml - 40")</f>
        <v>LOT IDA Global - I - 2160 - An Phát Nông - Calcibor (Nước vàng) - 500ml - 40</v>
      </c>
    </row>
    <row r="2809">
      <c r="A2809" s="86">
        <f>IFERROR(__xludf.DUMMYFUNCTION("""COMPUTED_VALUE"""),2807.0)</f>
        <v>2807</v>
      </c>
      <c r="B2809" s="87" t="str">
        <f>IFERROR(__xludf.DUMMYFUNCTION("""COMPUTED_VALUE"""),"Nhãn")</f>
        <v>Nhãn</v>
      </c>
      <c r="C2809" s="87" t="str">
        <f>IFERROR(__xludf.DUMMYFUNCTION("""COMPUTED_VALUE"""),"NTN2161")</f>
        <v>NTN2161</v>
      </c>
      <c r="D2809" s="87" t="str">
        <f>IFERROR(__xludf.DUMMYFUNCTION("""COMPUTED_VALUE"""),"[Nhãn]  GC - IV - 2161 - Cty Thiên Di (A Thành Dol) - Mancozeb xanh (bột xanh) - 100gr - 100")</f>
        <v>[Nhãn]  GC - IV - 2161 - Cty Thiên Di (A Thành Dol) - Mancozeb xanh (bột xanh) - 100gr - 100</v>
      </c>
      <c r="E2809" s="87" t="str">
        <f>IFERROR(__xludf.DUMMYFUNCTION("""COMPUTED_VALUE"""),"MANCOBGO 80WP")</f>
        <v>MANCOBGO 80WP</v>
      </c>
      <c r="F2809" s="87" t="str">
        <f>IFERROR(__xludf.DUMMYFUNCTION("""COMPUTED_VALUE"""),"HH2161")</f>
        <v>HH2161</v>
      </c>
      <c r="G2809" s="87" t="str">
        <f>IFERROR(__xludf.DUMMYFUNCTION("""COMPUTED_VALUE"""),"GC - IV - 2161 - Cty Thiên Di (A Thành Dol) - Mancozeb xanh (bột xanh) - 100gr - 100")</f>
        <v>GC - IV - 2161 - Cty Thiên Di (A Thành Dol) - Mancozeb xanh (bột xanh) - 100gr - 100</v>
      </c>
    </row>
    <row r="2810">
      <c r="A2810" s="86">
        <f>IFERROR(__xludf.DUMMYFUNCTION("""COMPUTED_VALUE"""),2808.0)</f>
        <v>2808</v>
      </c>
      <c r="B2810" s="87" t="str">
        <f>IFERROR(__xludf.DUMMYFUNCTION("""COMPUTED_VALUE"""),"Nhãn thùng")</f>
        <v>Nhãn thùng</v>
      </c>
      <c r="C2810" s="87" t="str">
        <f>IFERROR(__xludf.DUMMYFUNCTION("""COMPUTED_VALUE"""),"NDT2161")</f>
        <v>NDT2161</v>
      </c>
      <c r="D2810" s="87" t="str">
        <f>IFERROR(__xludf.DUMMYFUNCTION("""COMPUTED_VALUE"""),"[Nhãn thùng]  GC - IV - 2161 - Cty Thiên Di (A Thành Dol) - Mancozeb xanh (bột xanh) - 100gr - 100")</f>
        <v>[Nhãn thùng]  GC - IV - 2161 - Cty Thiên Di (A Thành Dol) - Mancozeb xanh (bột xanh) - 100gr - 100</v>
      </c>
      <c r="E2810" s="87" t="str">
        <f>IFERROR(__xludf.DUMMYFUNCTION("""COMPUTED_VALUE"""),"MANCOBGO 80WP")</f>
        <v>MANCOBGO 80WP</v>
      </c>
      <c r="F2810" s="87" t="str">
        <f>IFERROR(__xludf.DUMMYFUNCTION("""COMPUTED_VALUE"""),"HH2161")</f>
        <v>HH2161</v>
      </c>
      <c r="G2810" s="87" t="str">
        <f>IFERROR(__xludf.DUMMYFUNCTION("""COMPUTED_VALUE"""),"GC - IV - 2161 - Cty Thiên Di (A Thành Dol) - Mancozeb xanh (bột xanh) - 100gr - 100")</f>
        <v>GC - IV - 2161 - Cty Thiên Di (A Thành Dol) - Mancozeb xanh (bột xanh) - 100gr - 100</v>
      </c>
    </row>
    <row r="2811">
      <c r="A2811" s="86">
        <f>IFERROR(__xludf.DUMMYFUNCTION("""COMPUTED_VALUE"""),2809.0)</f>
        <v>2809</v>
      </c>
      <c r="B2811" s="87" t="str">
        <f>IFERROR(__xludf.DUMMYFUNCTION("""COMPUTED_VALUE"""),"Nhãn")</f>
        <v>Nhãn</v>
      </c>
      <c r="C2811" s="87" t="str">
        <f>IFERROR(__xludf.DUMMYFUNCTION("""COMPUTED_VALUE"""),"NHG2163")</f>
        <v>NHG2163</v>
      </c>
      <c r="D2811" s="87" t="str">
        <f>IFERROR(__xludf.DUMMYFUNCTION("""COMPUTED_VALUE"""),"[Nhãn] GC - II - 2163 - CTY VIỆT Á - PHÂN BÓN VI LƯỢNG AGAMA-SUPPORT (Nước trong) - 100ml - 100")</f>
        <v>[Nhãn] GC - II - 2163 - CTY VIỆT Á - PHÂN BÓN VI LƯỢNG AGAMA-SUPPORT (Nước trong) - 100ml - 100</v>
      </c>
      <c r="E2811" s="87" t="str">
        <f>IFERROR(__xludf.DUMMYFUNCTION("""COMPUTED_VALUE"""),"Vi lượng AGAMA-SUPPORT")</f>
        <v>Vi lượng AGAMA-SUPPORT</v>
      </c>
      <c r="F2811" s="87" t="str">
        <f>IFERROR(__xludf.DUMMYFUNCTION("""COMPUTED_VALUE"""),"HH2163")</f>
        <v>HH2163</v>
      </c>
      <c r="G2811" s="87" t="str">
        <f>IFERROR(__xludf.DUMMYFUNCTION("""COMPUTED_VALUE"""),"GC - II - 2163 - CTY VIỆT Á - PHÂN BÓN VI LƯỢNG AGAMA-SUPPORT (Nước trong) - 100ml - 100")</f>
        <v>GC - II - 2163 - CTY VIỆT Á - PHÂN BÓN VI LƯỢNG AGAMA-SUPPORT (Nước trong) - 100ml - 100</v>
      </c>
    </row>
    <row r="2812">
      <c r="A2812" s="86">
        <f>IFERROR(__xludf.DUMMYFUNCTION("""COMPUTED_VALUE"""),2810.0)</f>
        <v>2810</v>
      </c>
      <c r="B2812" s="87" t="str">
        <f>IFERROR(__xludf.DUMMYFUNCTION("""COMPUTED_VALUE"""),"Nhãn thùng")</f>
        <v>Nhãn thùng</v>
      </c>
      <c r="C2812" s="87" t="str">
        <f>IFERROR(__xludf.DUMMYFUNCTION("""COMPUTED_VALUE"""),"NDT2163")</f>
        <v>NDT2163</v>
      </c>
      <c r="D2812" s="87" t="str">
        <f>IFERROR(__xludf.DUMMYFUNCTION("""COMPUTED_VALUE"""),"[Nhãn thùng] GC - II - 2163 - CTY VIỆT Á - PHÂN BÓN VI LƯỢNG AGAMA-SUPPORT (Nước trong) - 100ml - 100")</f>
        <v>[Nhãn thùng] GC - II - 2163 - CTY VIỆT Á - PHÂN BÓN VI LƯỢNG AGAMA-SUPPORT (Nước trong) - 100ml - 100</v>
      </c>
      <c r="E2812" s="87" t="str">
        <f>IFERROR(__xludf.DUMMYFUNCTION("""COMPUTED_VALUE"""),"Vi lượng AGAMA-SUPPORT")</f>
        <v>Vi lượng AGAMA-SUPPORT</v>
      </c>
      <c r="F2812" s="87" t="str">
        <f>IFERROR(__xludf.DUMMYFUNCTION("""COMPUTED_VALUE"""),"HH2163")</f>
        <v>HH2163</v>
      </c>
      <c r="G2812" s="87" t="str">
        <f>IFERROR(__xludf.DUMMYFUNCTION("""COMPUTED_VALUE"""),"GC - II - 2163 - CTY VIỆT Á - PHÂN BÓN VI LƯỢNG AGAMA-SUPPORT (Nước trong) - 100ml - 100")</f>
        <v>GC - II - 2163 - CTY VIỆT Á - PHÂN BÓN VI LƯỢNG AGAMA-SUPPORT (Nước trong) - 100ml - 100</v>
      </c>
    </row>
    <row r="2813">
      <c r="A2813" s="86">
        <f>IFERROR(__xludf.DUMMYFUNCTION("""COMPUTED_VALUE"""),2811.0)</f>
        <v>2811</v>
      </c>
      <c r="B2813" s="87" t="str">
        <f>IFERROR(__xludf.DUMMYFUNCTION("""COMPUTED_VALUE"""),"Nhãn")</f>
        <v>Nhãn</v>
      </c>
      <c r="C2813" s="87" t="str">
        <f>IFERROR(__xludf.DUMMYFUNCTION("""COMPUTED_VALUE"""),"NHG2164")</f>
        <v>NHG2164</v>
      </c>
      <c r="D2813" s="87" t="str">
        <f>IFERROR(__xludf.DUMMYFUNCTION("""COMPUTED_VALUE"""),"[Nhãn] GC - IV - 2164 - Cty Bellormar - FEDAI (Nước đỏ) - 250ml - 40")</f>
        <v>[Nhãn] GC - IV - 2164 - Cty Bellormar - FEDAI (Nước đỏ) - 250ml - 40</v>
      </c>
      <c r="E2813" s="87" t="str">
        <f>IFERROR(__xludf.DUMMYFUNCTION("""COMPUTED_VALUE"""),"CHIM ƯNG 3.8EC")</f>
        <v>CHIM ƯNG 3.8EC</v>
      </c>
      <c r="F2813" s="87" t="str">
        <f>IFERROR(__xludf.DUMMYFUNCTION("""COMPUTED_VALUE"""),"HH2164")</f>
        <v>HH2164</v>
      </c>
      <c r="G2813" s="87" t="str">
        <f>IFERROR(__xludf.DUMMYFUNCTION("""COMPUTED_VALUE"""),"GC - IV - 2164 - Cty Bellormar - FEDAI (Nước đỏ) - 250ml - 40")</f>
        <v>GC - IV - 2164 - Cty Bellormar - FEDAI (Nước đỏ) - 250ml - 40</v>
      </c>
    </row>
    <row r="2814">
      <c r="A2814" s="86">
        <f>IFERROR(__xludf.DUMMYFUNCTION("""COMPUTED_VALUE"""),2812.0)</f>
        <v>2812</v>
      </c>
      <c r="B2814" s="87" t="str">
        <f>IFERROR(__xludf.DUMMYFUNCTION("""COMPUTED_VALUE"""),"Nhãn")</f>
        <v>Nhãn</v>
      </c>
      <c r="C2814" s="87" t="str">
        <f>IFERROR(__xludf.DUMMYFUNCTION("""COMPUTED_VALUE"""),"NHG2165")</f>
        <v>NHG2165</v>
      </c>
      <c r="D2814" s="87" t="str">
        <f>IFERROR(__xludf.DUMMYFUNCTION("""COMPUTED_VALUE"""),"[Nhãn] GC - IV - 2165 - CTY DONA VINA - CHIM ƯNG 3.8 EC (Nước đỏ) - 250ml - 40")</f>
        <v>[Nhãn] GC - IV - 2165 - CTY DONA VINA - CHIM ƯNG 3.8 EC (Nước đỏ) - 250ml - 40</v>
      </c>
      <c r="E2814" s="87" t="str">
        <f>IFERROR(__xludf.DUMMYFUNCTION("""COMPUTED_VALUE"""),"CHIM ƯNG 3.8EC")</f>
        <v>CHIM ƯNG 3.8EC</v>
      </c>
      <c r="F2814" s="87" t="str">
        <f>IFERROR(__xludf.DUMMYFUNCTION("""COMPUTED_VALUE"""),"HH2165")</f>
        <v>HH2165</v>
      </c>
      <c r="G2814" s="87" t="str">
        <f>IFERROR(__xludf.DUMMYFUNCTION("""COMPUTED_VALUE"""),"GC - IV - 2165 - CTY DONA VINA - CHIM ƯNG 3.8 EC (Nước đỏ) - 250ml - 40")</f>
        <v>GC - IV - 2165 - CTY DONA VINA - CHIM ƯNG 3.8 EC (Nước đỏ) - 250ml - 40</v>
      </c>
    </row>
    <row r="2815">
      <c r="A2815" s="86">
        <f>IFERROR(__xludf.DUMMYFUNCTION("""COMPUTED_VALUE"""),2813.0)</f>
        <v>2813</v>
      </c>
      <c r="B2815" s="87" t="str">
        <f>IFERROR(__xludf.DUMMYFUNCTION("""COMPUTED_VALUE"""),"Nhãn")</f>
        <v>Nhãn</v>
      </c>
      <c r="C2815" s="87" t="str">
        <f>IFERROR(__xludf.DUMMYFUNCTION("""COMPUTED_VALUE"""),"NHG2166")</f>
        <v>NHG2166</v>
      </c>
      <c r="D2815" s="87" t="str">
        <f>IFERROR(__xludf.DUMMYFUNCTION("""COMPUTED_VALUE"""),"[Nhãn] GC - IV - 2166 - CTY DONA VINA - THIPRO 550EC (Nước tím) - 250ml - 40")</f>
        <v>[Nhãn] GC - IV - 2166 - CTY DONA VINA - THIPRO 550EC (Nước tím) - 250ml - 40</v>
      </c>
      <c r="E2815" s="87" t="str">
        <f>IFERROR(__xludf.DUMMYFUNCTION("""COMPUTED_VALUE"""),"Thipro 550EC")</f>
        <v>Thipro 550EC</v>
      </c>
      <c r="F2815" s="87" t="str">
        <f>IFERROR(__xludf.DUMMYFUNCTION("""COMPUTED_VALUE"""),"HH2166")</f>
        <v>HH2166</v>
      </c>
      <c r="G2815" s="87" t="str">
        <f>IFERROR(__xludf.DUMMYFUNCTION("""COMPUTED_VALUE"""),"GC - IV - 2166 - CTY DONA VINA - THIPRO 550EC (Nước tím) - 250ml - 40")</f>
        <v>GC - IV - 2166 - CTY DONA VINA - THIPRO 550EC (Nước tím) - 250ml - 40</v>
      </c>
    </row>
    <row r="2816">
      <c r="A2816" s="86">
        <f>IFERROR(__xludf.DUMMYFUNCTION("""COMPUTED_VALUE"""),2814.0)</f>
        <v>2814</v>
      </c>
      <c r="B2816" s="87" t="str">
        <f>IFERROR(__xludf.DUMMYFUNCTION("""COMPUTED_VALUE"""),"Nhãn")</f>
        <v>Nhãn</v>
      </c>
      <c r="C2816" s="87" t="str">
        <f>IFERROR(__xludf.DUMMYFUNCTION("""COMPUTED_VALUE"""),"NHD2167")</f>
        <v>NHD2167</v>
      </c>
      <c r="D2816" s="87" t="str">
        <f>IFERROR(__xludf.DUMMYFUNCTION("""COMPUTED_VALUE"""),"[Nhãn] BAMBOO - I - 2167 - Bamboo Double Stop (nước nâu đen) - 5L - 4")</f>
        <v>[Nhãn] BAMBOO - I - 2167 - Bamboo Double Stop (nước nâu đen) - 5L - 4</v>
      </c>
      <c r="E2816" s="87" t="str">
        <f>IFERROR(__xludf.DUMMYFUNCTION("""COMPUTED_VALUE"""),"Vi lượng Quantity New")</f>
        <v>Vi lượng Quantity New</v>
      </c>
      <c r="F2816" s="87" t="str">
        <f>IFERROR(__xludf.DUMMYFUNCTION("""COMPUTED_VALUE"""),"HH2167")</f>
        <v>HH2167</v>
      </c>
      <c r="G2816" s="87" t="str">
        <f>IFERROR(__xludf.DUMMYFUNCTION("""COMPUTED_VALUE"""),"BAMBOO - I - 2167 - Bamboo Double Stop (nước nâu đen) - 5L - 4")</f>
        <v>BAMBOO - I - 2167 - Bamboo Double Stop (nước nâu đen) - 5L - 4</v>
      </c>
    </row>
    <row r="2817">
      <c r="A2817" s="86">
        <f>IFERROR(__xludf.DUMMYFUNCTION("""COMPUTED_VALUE"""),2815.0)</f>
        <v>2815</v>
      </c>
      <c r="B2817" s="87" t="str">
        <f>IFERROR(__xludf.DUMMYFUNCTION("""COMPUTED_VALUE"""),"Nhãn thùng")</f>
        <v>Nhãn thùng</v>
      </c>
      <c r="C2817" s="87" t="str">
        <f>IFERROR(__xludf.DUMMYFUNCTION("""COMPUTED_VALUE"""),"NDT2167")</f>
        <v>NDT2167</v>
      </c>
      <c r="D2817" s="87" t="str">
        <f>IFERROR(__xludf.DUMMYFUNCTION("""COMPUTED_VALUE"""),"[Nhãn thùng] BAMBOO - I - 2167 - Bamboo Double Stop (nước nâu đen) - 5L - 4")</f>
        <v>[Nhãn thùng] BAMBOO - I - 2167 - Bamboo Double Stop (nước nâu đen) - 5L - 4</v>
      </c>
      <c r="E2817" s="87" t="str">
        <f>IFERROR(__xludf.DUMMYFUNCTION("""COMPUTED_VALUE"""),"Vi lượng Quantity New")</f>
        <v>Vi lượng Quantity New</v>
      </c>
      <c r="F2817" s="87" t="str">
        <f>IFERROR(__xludf.DUMMYFUNCTION("""COMPUTED_VALUE"""),"HH2167")</f>
        <v>HH2167</v>
      </c>
      <c r="G2817" s="87" t="str">
        <f>IFERROR(__xludf.DUMMYFUNCTION("""COMPUTED_VALUE"""),"BAMBOO - I - 2167 - Bamboo Double Stop (nước nâu đen) - 5L - 4")</f>
        <v>BAMBOO - I - 2167 - Bamboo Double Stop (nước nâu đen) - 5L - 4</v>
      </c>
    </row>
    <row r="2818">
      <c r="A2818" s="86">
        <f>IFERROR(__xludf.DUMMYFUNCTION("""COMPUTED_VALUE"""),2816.0)</f>
        <v>2816</v>
      </c>
      <c r="B2818" s="87" t="str">
        <f>IFERROR(__xludf.DUMMYFUNCTION("""COMPUTED_VALUE"""),"Nhãn")</f>
        <v>Nhãn</v>
      </c>
      <c r="C2818" s="87" t="str">
        <f>IFERROR(__xludf.DUMMYFUNCTION("""COMPUTED_VALUE"""),"NHG2168")</f>
        <v>NHG2168</v>
      </c>
      <c r="D2818" s="87" t="str">
        <f>IFERROR(__xludf.DUMMYFUNCTION("""COMPUTED_VALUE"""),"[Nhãn] GC - IV - 2168 - Cty VNT Mekong - Trâu Đỏ (nước đỏ) - 450ml - 40")</f>
        <v>[Nhãn] GC - IV - 2168 - Cty VNT Mekong - Trâu Đỏ (nước đỏ) - 450ml - 40</v>
      </c>
      <c r="E2818" s="87" t="str">
        <f>IFERROR(__xludf.DUMMYFUNCTION("""COMPUTED_VALUE"""),"Asupergras 200SL")</f>
        <v>Asupergras 200SL</v>
      </c>
      <c r="F2818" s="87" t="str">
        <f>IFERROR(__xludf.DUMMYFUNCTION("""COMPUTED_VALUE"""),"HH2168")</f>
        <v>HH2168</v>
      </c>
      <c r="G2818" s="87" t="str">
        <f>IFERROR(__xludf.DUMMYFUNCTION("""COMPUTED_VALUE"""),"GC - IV - 2168 - Cty VNT Mekong - Trâu Đỏ (nước đỏ) - 450ml - 40")</f>
        <v>GC - IV - 2168 - Cty VNT Mekong - Trâu Đỏ (nước đỏ) - 450ml - 40</v>
      </c>
    </row>
    <row r="2819">
      <c r="A2819" s="86">
        <f>IFERROR(__xludf.DUMMYFUNCTION("""COMPUTED_VALUE"""),2817.0)</f>
        <v>2817</v>
      </c>
      <c r="B2819" s="87" t="str">
        <f>IFERROR(__xludf.DUMMYFUNCTION("""COMPUTED_VALUE"""),"Nhãn")</f>
        <v>Nhãn</v>
      </c>
      <c r="C2819" s="87" t="str">
        <f>IFERROR(__xludf.DUMMYFUNCTION("""COMPUTED_VALUE"""),"NHG2169")</f>
        <v>NHG2169</v>
      </c>
      <c r="D2819" s="87" t="str">
        <f>IFERROR(__xludf.DUMMYFUNCTION("""COMPUTED_VALUE"""),"[Nhãn] GC - IV - 2169 - THÀNH CÔNG AGRI - DIỆT NHỆN THÀNH CÔNG (Nước xanh lá) - 450ml - 40")</f>
        <v>[Nhãn] GC - IV - 2169 - THÀNH CÔNG AGRI - DIỆT NHỆN THÀNH CÔNG (Nước xanh lá) - 450ml - 40</v>
      </c>
      <c r="E2819" s="87" t="str">
        <f>IFERROR(__xludf.DUMMYFUNCTION("""COMPUTED_VALUE"""),"Chitin 3.6EC")</f>
        <v>Chitin 3.6EC</v>
      </c>
      <c r="F2819" s="87" t="str">
        <f>IFERROR(__xludf.DUMMYFUNCTION("""COMPUTED_VALUE"""),"HH2169")</f>
        <v>HH2169</v>
      </c>
      <c r="G2819" s="87" t="str">
        <f>IFERROR(__xludf.DUMMYFUNCTION("""COMPUTED_VALUE"""),"GC - IV - 2169 - THÀNH CÔNG AGRI - DIỆT NHỆN THÀNH CÔNG (Nước xanh lá) - 450ml - 40")</f>
        <v>GC - IV - 2169 - THÀNH CÔNG AGRI - DIỆT NHỆN THÀNH CÔNG (Nước xanh lá) - 450ml - 40</v>
      </c>
    </row>
    <row r="2820">
      <c r="A2820" s="86">
        <f>IFERROR(__xludf.DUMMYFUNCTION("""COMPUTED_VALUE"""),2818.0)</f>
        <v>2818</v>
      </c>
      <c r="B2820" s="87" t="str">
        <f>IFERROR(__xludf.DUMMYFUNCTION("""COMPUTED_VALUE"""),"Nhãn")</f>
        <v>Nhãn</v>
      </c>
      <c r="C2820" s="87" t="str">
        <f>IFERROR(__xludf.DUMMYFUNCTION("""COMPUTED_VALUE"""),"NHG2170")</f>
        <v>NHG2170</v>
      </c>
      <c r="D2820" s="87" t="str">
        <f>IFERROR(__xludf.DUMMYFUNCTION("""COMPUTED_VALUE"""),"[Nhãn] NB - I - 2170- Nông Dược Thụy Sĩ -Vô Gạo Hữu Cơ- 500ml - 40")</f>
        <v>[Nhãn] NB - I - 2170- Nông Dược Thụy Sĩ -Vô Gạo Hữu Cơ- 500ml - 40</v>
      </c>
      <c r="E2820" s="87" t="str">
        <f>IFERROR(__xludf.DUMMYFUNCTION("""COMPUTED_VALUE"""),"VINFER 01")</f>
        <v>VINFER 01</v>
      </c>
      <c r="F2820" s="87" t="str">
        <f>IFERROR(__xludf.DUMMYFUNCTION("""COMPUTED_VALUE"""),"HH2170")</f>
        <v>HH2170</v>
      </c>
      <c r="G2820" s="87" t="str">
        <f>IFERROR(__xludf.DUMMYFUNCTION("""COMPUTED_VALUE"""),"NB - I - 2170- Nông Dược Thụy Sĩ -Vô Gạo Hữu Cơ- 500ml - 40")</f>
        <v>NB - I - 2170- Nông Dược Thụy Sĩ -Vô Gạo Hữu Cơ- 500ml - 40</v>
      </c>
    </row>
    <row r="2821">
      <c r="A2821" s="86">
        <f>IFERROR(__xludf.DUMMYFUNCTION("""COMPUTED_VALUE"""),2819.0)</f>
        <v>2819</v>
      </c>
      <c r="B2821" s="87" t="str">
        <f>IFERROR(__xludf.DUMMYFUNCTION("""COMPUTED_VALUE"""),"Nhãn")</f>
        <v>Nhãn</v>
      </c>
      <c r="C2821" s="87" t="str">
        <f>IFERROR(__xludf.DUMMYFUNCTION("""COMPUTED_VALUE"""),"NHG2171")</f>
        <v>NHG2171</v>
      </c>
      <c r="D2821" s="87" t="str">
        <f>IFERROR(__xludf.DUMMYFUNCTION("""COMPUTED_VALUE"""),"[Nhãn] NB - I - 2171- Nông Dược Thụy Sĩ -KALI Sữa- 500ml - 40")</f>
        <v>[Nhãn] NB - I - 2171- Nông Dược Thụy Sĩ -KALI Sữa- 500ml - 40</v>
      </c>
      <c r="E2821" s="87" t="str">
        <f>IFERROR(__xludf.DUMMYFUNCTION("""COMPUTED_VALUE"""),"VINFER 01")</f>
        <v>VINFER 01</v>
      </c>
      <c r="F2821" s="87" t="str">
        <f>IFERROR(__xludf.DUMMYFUNCTION("""COMPUTED_VALUE"""),"HH2171")</f>
        <v>HH2171</v>
      </c>
      <c r="G2821" s="87" t="str">
        <f>IFERROR(__xludf.DUMMYFUNCTION("""COMPUTED_VALUE"""),"NB - I - 2171- Nông Dược Thụy Sĩ -KALI Sữa- 500ml - 40")</f>
        <v>NB - I - 2171- Nông Dược Thụy Sĩ -KALI Sữa- 500ml - 40</v>
      </c>
    </row>
    <row r="2822">
      <c r="A2822" s="86">
        <f>IFERROR(__xludf.DUMMYFUNCTION("""COMPUTED_VALUE"""),2820.0)</f>
        <v>2820</v>
      </c>
      <c r="B2822" s="87" t="str">
        <f>IFERROR(__xludf.DUMMYFUNCTION("""COMPUTED_VALUE"""),"Nhãn")</f>
        <v>Nhãn</v>
      </c>
      <c r="C2822" s="87" t="str">
        <f>IFERROR(__xludf.DUMMYFUNCTION("""COMPUTED_VALUE"""),"NHG2172")</f>
        <v>NHG2172</v>
      </c>
      <c r="D2822" s="87" t="str">
        <f>IFERROR(__xludf.DUMMYFUNCTION("""COMPUTED_VALUE"""),"[Nhãn] IDA Global - I - 2172 - MƯỜI CHÀ - NUÔI ĐÒNG SỐ 1 (Nước trắng sữa) - 450ml - 40")</f>
        <v>[Nhãn] IDA Global - I - 2172 - MƯỜI CHÀ - NUÔI ĐÒNG SỐ 1 (Nước trắng sữa) - 450ml - 40</v>
      </c>
      <c r="E2822" s="87" t="str">
        <f>IFERROR(__xludf.DUMMYFUNCTION("""COMPUTED_VALUE"""),"Vi lượng Basel IDA 47")</f>
        <v>Vi lượng Basel IDA 47</v>
      </c>
      <c r="F2822" s="87" t="str">
        <f>IFERROR(__xludf.DUMMYFUNCTION("""COMPUTED_VALUE"""),"HH2172")</f>
        <v>HH2172</v>
      </c>
      <c r="G2822" s="87" t="str">
        <f>IFERROR(__xludf.DUMMYFUNCTION("""COMPUTED_VALUE"""),"IDA Global - I - 2172 - MƯỜI CHÀ - NUÔI ĐÒNG SỐ 1 (Nước trắng sữa) - 450ml - 40")</f>
        <v>IDA Global - I - 2172 - MƯỜI CHÀ - NUÔI ĐÒNG SỐ 1 (Nước trắng sữa) - 450ml - 40</v>
      </c>
    </row>
    <row r="2823">
      <c r="A2823" s="86">
        <f>IFERROR(__xludf.DUMMYFUNCTION("""COMPUTED_VALUE"""),2821.0)</f>
        <v>2821</v>
      </c>
      <c r="B2823" s="87" t="str">
        <f>IFERROR(__xludf.DUMMYFUNCTION("""COMPUTED_VALUE"""),"Nhãn")</f>
        <v>Nhãn</v>
      </c>
      <c r="C2823" s="87" t="str">
        <f>IFERROR(__xludf.DUMMYFUNCTION("""COMPUTED_VALUE"""),"NHG2173")</f>
        <v>NHG2173</v>
      </c>
      <c r="D2823" s="87" t="str">
        <f>IFERROR(__xludf.DUMMYFUNCTION("""COMPUTED_VALUE"""),"[Nhãn] IDA Global - I - 2173 - MƯỜI CHÀ - SIÊU NỞ BỤI (Nước tím) - 450ml - 40")</f>
        <v>[Nhãn] IDA Global - I - 2173 - MƯỜI CHÀ - SIÊU NỞ BỤI (Nước tím) - 450ml - 40</v>
      </c>
      <c r="E2823" s="87" t="str">
        <f>IFERROR(__xludf.DUMMYFUNCTION("""COMPUTED_VALUE"""),"NPK-vi lượng BASEL NPK 6-6-8 IDA 33")</f>
        <v>NPK-vi lượng BASEL NPK 6-6-8 IDA 33</v>
      </c>
      <c r="F2823" s="87" t="str">
        <f>IFERROR(__xludf.DUMMYFUNCTION("""COMPUTED_VALUE"""),"HH2173")</f>
        <v>HH2173</v>
      </c>
      <c r="G2823" s="87" t="str">
        <f>IFERROR(__xludf.DUMMYFUNCTION("""COMPUTED_VALUE"""),"IDA Global - I - 2173 - MƯỜI CHÀ - SIÊU NỞ BỤI (Nước tím) - 450ml - 40")</f>
        <v>IDA Global - I - 2173 - MƯỜI CHÀ - SIÊU NỞ BỤI (Nước tím) - 450ml - 40</v>
      </c>
    </row>
    <row r="2824">
      <c r="A2824" s="86">
        <f>IFERROR(__xludf.DUMMYFUNCTION("""COMPUTED_VALUE"""),2822.0)</f>
        <v>2822</v>
      </c>
      <c r="B2824" s="87" t="str">
        <f>IFERROR(__xludf.DUMMYFUNCTION("""COMPUTED_VALUE"""),"Nhãn")</f>
        <v>Nhãn</v>
      </c>
      <c r="C2824" s="87" t="str">
        <f>IFERROR(__xludf.DUMMYFUNCTION("""COMPUTED_VALUE"""),"NTN2174")</f>
        <v>NTN2174</v>
      </c>
      <c r="D2824" s="87" t="str">
        <f>IFERROR(__xludf.DUMMYFUNCTION("""COMPUTED_VALUE"""),"[Nhãn] GC - IV - Agritech - 2174 - KHONGRAY 54WP (Bột trắng ngà) - 100gr - 100")</f>
        <v>[Nhãn] GC - IV - Agritech - 2174 - KHONGRAY 54WP (Bột trắng ngà) - 100gr - 100</v>
      </c>
      <c r="E2824" s="87" t="str">
        <f>IFERROR(__xludf.DUMMYFUNCTION("""COMPUTED_VALUE"""),"KHONGRAY 54WP")</f>
        <v>KHONGRAY 54WP</v>
      </c>
      <c r="F2824" s="87" t="str">
        <f>IFERROR(__xludf.DUMMYFUNCTION("""COMPUTED_VALUE"""),"HH2174")</f>
        <v>HH2174</v>
      </c>
      <c r="G2824" s="87" t="str">
        <f>IFERROR(__xludf.DUMMYFUNCTION("""COMPUTED_VALUE"""),"GC - IV - Agritech - 2174 - KHONGRAY 54WP (Bột trắng ngà) - 100gr - 100")</f>
        <v>GC - IV - Agritech - 2174 - KHONGRAY 54WP (Bột trắng ngà) - 100gr - 100</v>
      </c>
    </row>
    <row r="2825">
      <c r="A2825" s="86">
        <f>IFERROR(__xludf.DUMMYFUNCTION("""COMPUTED_VALUE"""),2823.0)</f>
        <v>2823</v>
      </c>
      <c r="B2825" s="87" t="str">
        <f>IFERROR(__xludf.DUMMYFUNCTION("""COMPUTED_VALUE"""),"Nhãn thùng")</f>
        <v>Nhãn thùng</v>
      </c>
      <c r="C2825" s="87" t="str">
        <f>IFERROR(__xludf.DUMMYFUNCTION("""COMPUTED_VALUE"""),"NDT2174")</f>
        <v>NDT2174</v>
      </c>
      <c r="D2825" s="87" t="str">
        <f>IFERROR(__xludf.DUMMYFUNCTION("""COMPUTED_VALUE"""),"[Nhãn thùng] GC - IV - Agritech - 2174 - KHONGRAY 54WP (Bột trắng ngà) - 100gr - 100")</f>
        <v>[Nhãn thùng] GC - IV - Agritech - 2174 - KHONGRAY 54WP (Bột trắng ngà) - 100gr - 100</v>
      </c>
      <c r="E2825" s="87" t="str">
        <f>IFERROR(__xludf.DUMMYFUNCTION("""COMPUTED_VALUE"""),"KHONGRAY 54WP")</f>
        <v>KHONGRAY 54WP</v>
      </c>
      <c r="F2825" s="87" t="str">
        <f>IFERROR(__xludf.DUMMYFUNCTION("""COMPUTED_VALUE"""),"HH2174")</f>
        <v>HH2174</v>
      </c>
      <c r="G2825" s="87" t="str">
        <f>IFERROR(__xludf.DUMMYFUNCTION("""COMPUTED_VALUE"""),"GC - IV - Agritech - 2174 - KHONGRAY 54WP (Bột trắng ngà) - 100gr - 100")</f>
        <v>GC - IV - Agritech - 2174 - KHONGRAY 54WP (Bột trắng ngà) - 100gr - 100</v>
      </c>
    </row>
    <row r="2826">
      <c r="A2826" s="86">
        <f>IFERROR(__xludf.DUMMYFUNCTION("""COMPUTED_VALUE"""),2824.0)</f>
        <v>2824</v>
      </c>
      <c r="B2826" s="87" t="str">
        <f>IFERROR(__xludf.DUMMYFUNCTION("""COMPUTED_VALUE"""),"Nhãn")</f>
        <v>Nhãn</v>
      </c>
      <c r="C2826" s="87" t="str">
        <f>IFERROR(__xludf.DUMMYFUNCTION("""COMPUTED_VALUE"""),"NHG2175")</f>
        <v>NHG2175</v>
      </c>
      <c r="D2826" s="87" t="str">
        <f>IFERROR(__xludf.DUMMYFUNCTION("""COMPUTED_VALUE"""),"[Nhãn] GC - IV - 2175 - CTY HÓA CHẤT NÔNG NGHIỆP MIỀN NAM (HITACO) - RICE EXTRA (Nước đỏ) - 500ml - 40")</f>
        <v>[Nhãn] GC - IV - 2175 - CTY HÓA CHẤT NÔNG NGHIỆP MIỀN NAM (HITACO) - RICE EXTRA (Nước đỏ) - 500ml - 40</v>
      </c>
      <c r="E2826" s="87" t="str">
        <f>IFERROR(__xludf.DUMMYFUNCTION("""COMPUTED_VALUE"""),"Hữu Cơ PA ORGANIC")</f>
        <v>Hữu Cơ PA ORGANIC</v>
      </c>
      <c r="F2826" s="87" t="str">
        <f>IFERROR(__xludf.DUMMYFUNCTION("""COMPUTED_VALUE"""),"HH2175")</f>
        <v>HH2175</v>
      </c>
      <c r="G2826" s="87" t="str">
        <f>IFERROR(__xludf.DUMMYFUNCTION("""COMPUTED_VALUE"""),"GC - IV - 2175 - CTY HÓA CHẤT NÔNG NGHIỆP MIỀN NAM (HITACO) - RICE EXTRA (Nước đỏ) - 500ml - 40")</f>
        <v>GC - IV - 2175 - CTY HÓA CHẤT NÔNG NGHIỆP MIỀN NAM (HITACO) - RICE EXTRA (Nước đỏ) - 500ml - 40</v>
      </c>
    </row>
    <row r="2827">
      <c r="A2827" s="86">
        <f>IFERROR(__xludf.DUMMYFUNCTION("""COMPUTED_VALUE"""),2825.0)</f>
        <v>2825</v>
      </c>
      <c r="B2827" s="87" t="str">
        <f>IFERROR(__xludf.DUMMYFUNCTION("""COMPUTED_VALUE"""),"Nhãn")</f>
        <v>Nhãn</v>
      </c>
      <c r="C2827" s="87" t="str">
        <f>IFERROR(__xludf.DUMMYFUNCTION("""COMPUTED_VALUE"""),"NHG2176")</f>
        <v>NHG2176</v>
      </c>
      <c r="D2827" s="87" t="str">
        <f>IFERROR(__xludf.DUMMYFUNCTION("""COMPUTED_VALUE"""),"[Nhãn] GC - IV - 2176 - KATO JAPAN - TOP PLUS T86 (Nước vàng) - 240ml - 40")</f>
        <v>[Nhãn] GC - IV - 2176 - KATO JAPAN - TOP PLUS T86 (Nước vàng) - 240ml - 40</v>
      </c>
      <c r="E2827" s="87" t="str">
        <f>IFERROR(__xludf.DUMMYFUNCTION("""COMPUTED_VALUE"""),"MITOP ONE 390SC")</f>
        <v>MITOP ONE 390SC</v>
      </c>
      <c r="F2827" s="87" t="str">
        <f>IFERROR(__xludf.DUMMYFUNCTION("""COMPUTED_VALUE"""),"HH2176")</f>
        <v>HH2176</v>
      </c>
      <c r="G2827" s="87" t="str">
        <f>IFERROR(__xludf.DUMMYFUNCTION("""COMPUTED_VALUE"""),"GC - IV - 2176 - KATO JAPAN - TOP PLUS T86 (Nước vàng) - 240ml - 40")</f>
        <v>GC - IV - 2176 - KATO JAPAN - TOP PLUS T86 (Nước vàng) - 240ml - 40</v>
      </c>
    </row>
    <row r="2828">
      <c r="A2828" s="86">
        <f>IFERROR(__xludf.DUMMYFUNCTION("""COMPUTED_VALUE"""),2826.0)</f>
        <v>2826</v>
      </c>
      <c r="B2828" s="87" t="str">
        <f>IFERROR(__xludf.DUMMYFUNCTION("""COMPUTED_VALUE"""),"Nhãn")</f>
        <v>Nhãn</v>
      </c>
      <c r="C2828" s="87" t="str">
        <f>IFERROR(__xludf.DUMMYFUNCTION("""COMPUTED_VALUE"""),"NHG2178")</f>
        <v>NHG2178</v>
      </c>
      <c r="D2828" s="87" t="str">
        <f>IFERROR(__xludf.DUMMYFUNCTION("""COMPUTED_VALUE"""),"[Nhãn] GC - IV - 2178 - CTY ECO - ECO STOP.BUD (Nước nâu đen) - 500ml - 40")</f>
        <v>[Nhãn] GC - IV - 2178 - CTY ECO - ECO STOP.BUD (Nước nâu đen) - 500ml - 40</v>
      </c>
      <c r="E2828" s="87" t="str">
        <f>IFERROR(__xludf.DUMMYFUNCTION("""COMPUTED_VALUE"""),"Vi lượng Quantity New")</f>
        <v>Vi lượng Quantity New</v>
      </c>
      <c r="F2828" s="87" t="str">
        <f>IFERROR(__xludf.DUMMYFUNCTION("""COMPUTED_VALUE"""),"HH2178")</f>
        <v>HH2178</v>
      </c>
      <c r="G2828" s="87" t="str">
        <f>IFERROR(__xludf.DUMMYFUNCTION("""COMPUTED_VALUE"""),"GC - IV - 2178 - CTY ECO - ECO STOP.BUD (Nước nâu đen) - 500ml - 40")</f>
        <v>GC - IV - 2178 - CTY ECO - ECO STOP.BUD (Nước nâu đen) - 500ml - 40</v>
      </c>
    </row>
    <row r="2829">
      <c r="A2829" s="86">
        <f>IFERROR(__xludf.DUMMYFUNCTION("""COMPUTED_VALUE"""),2827.0)</f>
        <v>2827</v>
      </c>
      <c r="B2829" s="87" t="str">
        <f>IFERROR(__xludf.DUMMYFUNCTION("""COMPUTED_VALUE"""),"Nhãn")</f>
        <v>Nhãn</v>
      </c>
      <c r="C2829" s="87" t="str">
        <f>IFERROR(__xludf.DUMMYFUNCTION("""COMPUTED_VALUE"""),"NHG2179")</f>
        <v>NHG2179</v>
      </c>
      <c r="D2829" s="87" t="str">
        <f>IFERROR(__xludf.DUMMYFUNCTION("""COMPUTED_VALUE"""),"[Nhãn] GC - IV - 2179 - CTY ECO - ECO FEED.FRUIT (Nước nâu đen) - 500ml - 40")</f>
        <v>[Nhãn] GC - IV - 2179 - CTY ECO - ECO FEED.FRUIT (Nước nâu đen) - 500ml - 40</v>
      </c>
      <c r="E2829" s="87" t="str">
        <f>IFERROR(__xludf.DUMMYFUNCTION("""COMPUTED_VALUE"""),"Vi lượng Quantity New")</f>
        <v>Vi lượng Quantity New</v>
      </c>
      <c r="F2829" s="87" t="str">
        <f>IFERROR(__xludf.DUMMYFUNCTION("""COMPUTED_VALUE"""),"HH2179")</f>
        <v>HH2179</v>
      </c>
      <c r="G2829" s="87" t="str">
        <f>IFERROR(__xludf.DUMMYFUNCTION("""COMPUTED_VALUE"""),"GC - IV - 2179 - CTY ECO - ECO FEED.FRUIT (Nước nâu đen) - 500ml - 40")</f>
        <v>GC - IV - 2179 - CTY ECO - ECO FEED.FRUIT (Nước nâu đen) - 500ml - 40</v>
      </c>
    </row>
    <row r="2830">
      <c r="A2830" s="86">
        <f>IFERROR(__xludf.DUMMYFUNCTION("""COMPUTED_VALUE"""),2828.0)</f>
        <v>2828</v>
      </c>
      <c r="B2830" s="87" t="str">
        <f>IFERROR(__xludf.DUMMYFUNCTION("""COMPUTED_VALUE"""),"Nhãn")</f>
        <v>Nhãn</v>
      </c>
      <c r="C2830" s="87" t="str">
        <f>IFERROR(__xludf.DUMMYFUNCTION("""COMPUTED_VALUE"""),"NHG2180")</f>
        <v>NHG2180</v>
      </c>
      <c r="D2830" s="87" t="str">
        <f>IFERROR(__xludf.DUMMYFUNCTION("""COMPUTED_VALUE"""),"[Nhãn] GC - IV - 2180 - CTY ECO - ECO STOP.DROP (Nước nâu đen) - 500ml - 40")</f>
        <v>[Nhãn] GC - IV - 2180 - CTY ECO - ECO STOP.DROP (Nước nâu đen) - 500ml - 40</v>
      </c>
      <c r="E2830" s="87" t="str">
        <f>IFERROR(__xludf.DUMMYFUNCTION("""COMPUTED_VALUE"""),"Vi lượng Quantity New")</f>
        <v>Vi lượng Quantity New</v>
      </c>
      <c r="F2830" s="87" t="str">
        <f>IFERROR(__xludf.DUMMYFUNCTION("""COMPUTED_VALUE"""),"HH2180")</f>
        <v>HH2180</v>
      </c>
      <c r="G2830" s="87" t="str">
        <f>IFERROR(__xludf.DUMMYFUNCTION("""COMPUTED_VALUE"""),"GC - IV - 2180 - CTY ECO - ECO STOP.DROP (Nước nâu đen) - 500ml - 40")</f>
        <v>GC - IV - 2180 - CTY ECO - ECO STOP.DROP (Nước nâu đen) - 500ml - 40</v>
      </c>
    </row>
    <row r="2831">
      <c r="A2831" s="86">
        <f>IFERROR(__xludf.DUMMYFUNCTION("""COMPUTED_VALUE"""),2829.0)</f>
        <v>2829</v>
      </c>
      <c r="B2831" s="87" t="str">
        <f>IFERROR(__xludf.DUMMYFUNCTION("""COMPUTED_VALUE"""),"Nhãn")</f>
        <v>Nhãn</v>
      </c>
      <c r="C2831" s="87" t="str">
        <f>IFERROR(__xludf.DUMMYFUNCTION("""COMPUTED_VALUE"""),"NHG2181")</f>
        <v>NHG2181</v>
      </c>
      <c r="D2831" s="87" t="str">
        <f>IFERROR(__xludf.DUMMYFUNCTION("""COMPUTED_VALUE"""),"[Nhãn] GC - IV - 2181 - CTY ECO - ECO TUG.BUD (Nước nâu đen) - 500ml - 40")</f>
        <v>[Nhãn] GC - IV - 2181 - CTY ECO - ECO TUG.BUD (Nước nâu đen) - 500ml - 40</v>
      </c>
      <c r="E2831" s="87" t="str">
        <f>IFERROR(__xludf.DUMMYFUNCTION("""COMPUTED_VALUE"""),"vi lượng HELP FARMER_3")</f>
        <v>vi lượng HELP FARMER_3</v>
      </c>
      <c r="F2831" s="87" t="str">
        <f>IFERROR(__xludf.DUMMYFUNCTION("""COMPUTED_VALUE"""),"HH2181")</f>
        <v>HH2181</v>
      </c>
      <c r="G2831" s="87" t="str">
        <f>IFERROR(__xludf.DUMMYFUNCTION("""COMPUTED_VALUE"""),"GC - IV - 2181 - CTY ECO - ECO TUG.BUD (Nước nâu đen) - 500ml - 40")</f>
        <v>GC - IV - 2181 - CTY ECO - ECO TUG.BUD (Nước nâu đen) - 500ml - 40</v>
      </c>
    </row>
    <row r="2832">
      <c r="A2832" s="86">
        <f>IFERROR(__xludf.DUMMYFUNCTION("""COMPUTED_VALUE"""),2830.0)</f>
        <v>2830</v>
      </c>
      <c r="B2832" s="87" t="str">
        <f>IFERROR(__xludf.DUMMYFUNCTION("""COMPUTED_VALUE"""),"Nhãn")</f>
        <v>Nhãn</v>
      </c>
      <c r="C2832" s="87" t="str">
        <f>IFERROR(__xludf.DUMMYFUNCTION("""COMPUTED_VALUE"""),"NHG2182")</f>
        <v>NHG2182</v>
      </c>
      <c r="D2832" s="87" t="str">
        <f>IFERROR(__xludf.DUMMYFUNCTION("""COMPUTED_VALUE"""),"[Nhãn] GC - IV - 2182 - CTY ECO - ECO TOP.BOCAXX (Nước đỏ cam) - 500ml - 40")</f>
        <v>[Nhãn] GC - IV - 2182 - CTY ECO - ECO TOP.BOCAXX (Nước đỏ cam) - 500ml - 40</v>
      </c>
      <c r="E2832" s="87" t="str">
        <f>IFERROR(__xludf.DUMMYFUNCTION("""COMPUTED_VALUE"""),"Vi lượng Run Fast")</f>
        <v>Vi lượng Run Fast</v>
      </c>
      <c r="F2832" s="87" t="str">
        <f>IFERROR(__xludf.DUMMYFUNCTION("""COMPUTED_VALUE"""),"HH2182")</f>
        <v>HH2182</v>
      </c>
      <c r="G2832" s="87" t="str">
        <f>IFERROR(__xludf.DUMMYFUNCTION("""COMPUTED_VALUE"""),"GC - IV - 2182 - CTY ECO - ECO TOP.BOCAXX (Nước đỏ cam) - 500ml - 40")</f>
        <v>GC - IV - 2182 - CTY ECO - ECO TOP.BOCAXX (Nước đỏ cam) - 500ml - 40</v>
      </c>
    </row>
    <row r="2833">
      <c r="A2833" s="86">
        <f>IFERROR(__xludf.DUMMYFUNCTION("""COMPUTED_VALUE"""),2831.0)</f>
        <v>2831</v>
      </c>
      <c r="B2833" s="87" t="str">
        <f>IFERROR(__xludf.DUMMYFUNCTION("""COMPUTED_VALUE"""),"HỘP")</f>
        <v>HỘP</v>
      </c>
      <c r="C2833" s="87" t="str">
        <f>IFERROR(__xludf.DUMMYFUNCTION("""COMPUTED_VALUE"""),"HOP2184")</f>
        <v>HOP2184</v>
      </c>
      <c r="D2833" s="87" t="str">
        <f>IFERROR(__xludf.DUMMYFUNCTION("""COMPUTED_VALUE"""),"[HOP] IDA Global - I - 2184 -  PHOPPAWAY 80WG (Bột trắng) - 16gr - 200")</f>
        <v>[HOP] IDA Global - I - 2184 -  PHOPPAWAY 80WG (Bột trắng) - 16gr - 200</v>
      </c>
      <c r="E2833" s="87" t="str">
        <f>IFERROR(__xludf.DUMMYFUNCTION("""COMPUTED_VALUE"""),"PHOPPAWAY 80WG")</f>
        <v>PHOPPAWAY 80WG</v>
      </c>
      <c r="F2833" s="87" t="str">
        <f>IFERROR(__xludf.DUMMYFUNCTION("""COMPUTED_VALUE"""),"HH2184")</f>
        <v>HH2184</v>
      </c>
      <c r="G2833" s="87" t="str">
        <f>IFERROR(__xludf.DUMMYFUNCTION("""COMPUTED_VALUE"""),"IDA Global - I - 2184 -  PHOPPAWAY 80WG (Bột trắng) - 16gr - 200")</f>
        <v>IDA Global - I - 2184 -  PHOPPAWAY 80WG (Bột trắng) - 16gr - 200</v>
      </c>
    </row>
    <row r="2834">
      <c r="A2834" s="86">
        <f>IFERROR(__xludf.DUMMYFUNCTION("""COMPUTED_VALUE"""),2832.0)</f>
        <v>2832</v>
      </c>
      <c r="B2834" s="87" t="str">
        <f>IFERROR(__xludf.DUMMYFUNCTION("""COMPUTED_VALUE"""),"Nhãn")</f>
        <v>Nhãn</v>
      </c>
      <c r="C2834" s="87" t="str">
        <f>IFERROR(__xludf.DUMMYFUNCTION("""COMPUTED_VALUE"""),"NTN2184")</f>
        <v>NTN2184</v>
      </c>
      <c r="D2834" s="87" t="str">
        <f>IFERROR(__xludf.DUMMYFUNCTION("""COMPUTED_VALUE"""),"[Nhãn] IDA Global - I - 2184 -  PHOPPAWAY 80WG (Bột trắng) - 16gr - 200")</f>
        <v>[Nhãn] IDA Global - I - 2184 -  PHOPPAWAY 80WG (Bột trắng) - 16gr - 200</v>
      </c>
      <c r="E2834" s="87" t="str">
        <f>IFERROR(__xludf.DUMMYFUNCTION("""COMPUTED_VALUE"""),"PHOPPAWAY 80WG")</f>
        <v>PHOPPAWAY 80WG</v>
      </c>
      <c r="F2834" s="87" t="str">
        <f>IFERROR(__xludf.DUMMYFUNCTION("""COMPUTED_VALUE"""),"HH2184")</f>
        <v>HH2184</v>
      </c>
      <c r="G2834" s="87" t="str">
        <f>IFERROR(__xludf.DUMMYFUNCTION("""COMPUTED_VALUE"""),"IDA Global - I - 2184 -  PHOPPAWAY 80WG (Bột trắng) - 16gr - 200")</f>
        <v>IDA Global - I - 2184 -  PHOPPAWAY 80WG (Bột trắng) - 16gr - 200</v>
      </c>
    </row>
    <row r="2835">
      <c r="A2835" s="86">
        <f>IFERROR(__xludf.DUMMYFUNCTION("""COMPUTED_VALUE"""),2833.0)</f>
        <v>2833</v>
      </c>
      <c r="B2835" s="87" t="str">
        <f>IFERROR(__xludf.DUMMYFUNCTION("""COMPUTED_VALUE"""),"Nhãn")</f>
        <v>Nhãn</v>
      </c>
      <c r="C2835" s="87" t="str">
        <f>IFERROR(__xludf.DUMMYFUNCTION("""COMPUTED_VALUE"""),"NDT2184")</f>
        <v>NDT2184</v>
      </c>
      <c r="D2835" s="87" t="str">
        <f>IFERROR(__xludf.DUMMYFUNCTION("""COMPUTED_VALUE"""),"[Nhãn] IDA Global - I - 2184 -  PHOPPAWAY 80WG (Bột trắng) - 16gr - 200")</f>
        <v>[Nhãn] IDA Global - I - 2184 -  PHOPPAWAY 80WG (Bột trắng) - 16gr - 200</v>
      </c>
      <c r="E2835" s="87" t="str">
        <f>IFERROR(__xludf.DUMMYFUNCTION("""COMPUTED_VALUE"""),"PHOPPAWAY 80WG")</f>
        <v>PHOPPAWAY 80WG</v>
      </c>
      <c r="F2835" s="87" t="str">
        <f>IFERROR(__xludf.DUMMYFUNCTION("""COMPUTED_VALUE"""),"HH2184")</f>
        <v>HH2184</v>
      </c>
      <c r="G2835" s="87" t="str">
        <f>IFERROR(__xludf.DUMMYFUNCTION("""COMPUTED_VALUE"""),"IDA Global - I - 2184 -  PHOPPAWAY 80WG (Bột trắng) - 16gr - 200")</f>
        <v>IDA Global - I - 2184 -  PHOPPAWAY 80WG (Bột trắng) - 16gr - 200</v>
      </c>
    </row>
    <row r="2836">
      <c r="A2836" s="86">
        <f>IFERROR(__xludf.DUMMYFUNCTION("""COMPUTED_VALUE"""),2834.0)</f>
        <v>2834</v>
      </c>
      <c r="B2836" s="87" t="str">
        <f>IFERROR(__xludf.DUMMYFUNCTION("""COMPUTED_VALUE"""),"Nhãn")</f>
        <v>Nhãn</v>
      </c>
      <c r="C2836" s="87" t="str">
        <f>IFERROR(__xludf.DUMMYFUNCTION("""COMPUTED_VALUE"""),"NHG2185")</f>
        <v>NHG2185</v>
      </c>
      <c r="D2836" s="87" t="str">
        <f>IFERROR(__xludf.DUMMYFUNCTION("""COMPUTED_VALUE"""),"[Nhãn] GC - IV - 2185 - Agritech - Hexavil (Nước trắng sữa) - 1L - 20")</f>
        <v>[Nhãn] GC - IV - 2185 - Agritech - Hexavil (Nước trắng sữa) - 1L - 20</v>
      </c>
      <c r="E2836" s="87" t="str">
        <f>IFERROR(__xludf.DUMMYFUNCTION("""COMPUTED_VALUE"""),"Mekongvil 5SC")</f>
        <v>Mekongvil 5SC</v>
      </c>
      <c r="F2836" s="87" t="str">
        <f>IFERROR(__xludf.DUMMYFUNCTION("""COMPUTED_VALUE"""),"HH2185")</f>
        <v>HH2185</v>
      </c>
      <c r="G2836" s="87" t="str">
        <f>IFERROR(__xludf.DUMMYFUNCTION("""COMPUTED_VALUE"""),"GC - IV - 2185 - Agritech - Hexavil (Nước trắng sữa) - 1L - 20")</f>
        <v>GC - IV - 2185 - Agritech - Hexavil (Nước trắng sữa) - 1L - 20</v>
      </c>
    </row>
    <row r="2837">
      <c r="A2837" s="86">
        <f>IFERROR(__xludf.DUMMYFUNCTION("""COMPUTED_VALUE"""),2835.0)</f>
        <v>2835</v>
      </c>
      <c r="B2837" s="87" t="str">
        <f>IFERROR(__xludf.DUMMYFUNCTION("""COMPUTED_VALUE"""),"Nhãn")</f>
        <v>Nhãn</v>
      </c>
      <c r="C2837" s="87" t="str">
        <f>IFERROR(__xludf.DUMMYFUNCTION("""COMPUTED_VALUE"""),"NHG2186")</f>
        <v>NHG2186</v>
      </c>
      <c r="D2837" s="87" t="str">
        <f>IFERROR(__xludf.DUMMYFUNCTION("""COMPUTED_VALUE"""),"[Nhãn] GC - IV - 2186 - Agritech - TECH-NO 525 (Nước cam sữa) - 240ml - 40")</f>
        <v>[Nhãn] GC - IV - 2186 - Agritech - TECH-NO 525 (Nước cam sữa) - 240ml - 40</v>
      </c>
      <c r="E2837" s="87" t="str">
        <f>IFERROR(__xludf.DUMMYFUNCTION("""COMPUTED_VALUE"""),"VATINO SUPER 525SE")</f>
        <v>VATINO SUPER 525SE</v>
      </c>
      <c r="F2837" s="87" t="str">
        <f>IFERROR(__xludf.DUMMYFUNCTION("""COMPUTED_VALUE"""),"HH2186")</f>
        <v>HH2186</v>
      </c>
      <c r="G2837" s="87" t="str">
        <f>IFERROR(__xludf.DUMMYFUNCTION("""COMPUTED_VALUE"""),"GC - IV - 2186 - Agritech - TECH-NO 525 (Nước cam sữa) - 240ml - 40")</f>
        <v>GC - IV - 2186 - Agritech - TECH-NO 525 (Nước cam sữa) - 240ml - 40</v>
      </c>
    </row>
    <row r="2838">
      <c r="A2838" s="86">
        <f>IFERROR(__xludf.DUMMYFUNCTION("""COMPUTED_VALUE"""),2836.0)</f>
        <v>2836</v>
      </c>
      <c r="B2838" s="87" t="str">
        <f>IFERROR(__xludf.DUMMYFUNCTION("""COMPUTED_VALUE"""),"Nhãn")</f>
        <v>Nhãn</v>
      </c>
      <c r="C2838" s="87" t="str">
        <f>IFERROR(__xludf.DUMMYFUNCTION("""COMPUTED_VALUE"""),"NTN2187")</f>
        <v>NTN2187</v>
      </c>
      <c r="D2838" s="87" t="str">
        <f>IFERROR(__xludf.DUMMYFUNCTION("""COMPUTED_VALUE"""),"[Nhãn] LOT IDA Global - I - 2187 - ĐL Hai Nhóm - Mancozeb xanh (bột xanh) - 1kg - 20")</f>
        <v>[Nhãn] LOT IDA Global - I - 2187 - ĐL Hai Nhóm - Mancozeb xanh (bột xanh) - 1kg - 20</v>
      </c>
      <c r="E2838" s="87" t="str">
        <f>IFERROR(__xludf.DUMMYFUNCTION("""COMPUTED_VALUE"""),"MANCOBGO 80WP")</f>
        <v>MANCOBGO 80WP</v>
      </c>
      <c r="F2838" s="87" t="str">
        <f>IFERROR(__xludf.DUMMYFUNCTION("""COMPUTED_VALUE"""),"HH2187")</f>
        <v>HH2187</v>
      </c>
      <c r="G2838" s="87" t="str">
        <f>IFERROR(__xludf.DUMMYFUNCTION("""COMPUTED_VALUE"""),"LOT IDA Global - I - 2187 - ĐL Hai Nhóm - Mancozeb xanh (bột xanh) - 1kg - 20")</f>
        <v>LOT IDA Global - I - 2187 - ĐL Hai Nhóm - Mancozeb xanh (bột xanh) - 1kg - 20</v>
      </c>
    </row>
    <row r="2839">
      <c r="A2839" s="86">
        <f>IFERROR(__xludf.DUMMYFUNCTION("""COMPUTED_VALUE"""),2837.0)</f>
        <v>2837</v>
      </c>
      <c r="B2839" s="87" t="str">
        <f>IFERROR(__xludf.DUMMYFUNCTION("""COMPUTED_VALUE"""),"Nhãn thùng")</f>
        <v>Nhãn thùng</v>
      </c>
      <c r="C2839" s="87" t="str">
        <f>IFERROR(__xludf.DUMMYFUNCTION("""COMPUTED_VALUE"""),"NDT2187")</f>
        <v>NDT2187</v>
      </c>
      <c r="D2839" s="87" t="str">
        <f>IFERROR(__xludf.DUMMYFUNCTION("""COMPUTED_VALUE"""),"[Nhãn thùng] LOT IDA Global - I - 2187 - ĐL Hai Nhóm - Mancozeb xanh (bột xanh) - 1kg - 20")</f>
        <v>[Nhãn thùng] LOT IDA Global - I - 2187 - ĐL Hai Nhóm - Mancozeb xanh (bột xanh) - 1kg - 20</v>
      </c>
      <c r="E2839" s="87" t="str">
        <f>IFERROR(__xludf.DUMMYFUNCTION("""COMPUTED_VALUE"""),"MANCOBGO 80WP")</f>
        <v>MANCOBGO 80WP</v>
      </c>
      <c r="F2839" s="87" t="str">
        <f>IFERROR(__xludf.DUMMYFUNCTION("""COMPUTED_VALUE"""),"HH2187")</f>
        <v>HH2187</v>
      </c>
      <c r="G2839" s="87" t="str">
        <f>IFERROR(__xludf.DUMMYFUNCTION("""COMPUTED_VALUE"""),"LOT IDA Global - I - 2187 - ĐL Hai Nhóm - Mancozeb xanh (bột xanh) - 1kg - 20")</f>
        <v>LOT IDA Global - I - 2187 - ĐL Hai Nhóm - Mancozeb xanh (bột xanh) - 1kg - 20</v>
      </c>
    </row>
    <row r="2840">
      <c r="A2840" s="86">
        <f>IFERROR(__xludf.DUMMYFUNCTION("""COMPUTED_VALUE"""),2838.0)</f>
        <v>2838</v>
      </c>
      <c r="B2840" s="87" t="str">
        <f>IFERROR(__xludf.DUMMYFUNCTION("""COMPUTED_VALUE"""),"Nhãn")</f>
        <v>Nhãn</v>
      </c>
      <c r="C2840" s="87" t="str">
        <f>IFERROR(__xludf.DUMMYFUNCTION("""COMPUTED_VALUE"""),"NHG2188")</f>
        <v>NHG2188</v>
      </c>
      <c r="D2840" s="87" t="str">
        <f>IFERROR(__xludf.DUMMYFUNCTION("""COMPUTED_VALUE"""),"[Nhãn] GC - IV - 2188 - CTY AGRITECH - NOFARA 350SC (Nước trắng sữa) - 240ml - 40")</f>
        <v>[Nhãn] GC - IV - 2188 - CTY AGRITECH - NOFARA 350SC (Nước trắng sữa) - 240ml - 40</v>
      </c>
      <c r="E2840" s="87" t="str">
        <f>IFERROR(__xludf.DUMMYFUNCTION("""COMPUTED_VALUE"""),"NOFARA 350SC")</f>
        <v>NOFARA 350SC</v>
      </c>
      <c r="F2840" s="87" t="str">
        <f>IFERROR(__xludf.DUMMYFUNCTION("""COMPUTED_VALUE"""),"HH2188")</f>
        <v>HH2188</v>
      </c>
      <c r="G2840" s="87" t="str">
        <f>IFERROR(__xludf.DUMMYFUNCTION("""COMPUTED_VALUE"""),"GC - IV - 2188 - CTY AGRITECH - NOFARA 350SC (Nước trắng sữa) - 240ml - 40")</f>
        <v>GC - IV - 2188 - CTY AGRITECH - NOFARA 350SC (Nước trắng sữa) - 240ml - 40</v>
      </c>
    </row>
    <row r="2841">
      <c r="A2841" s="86">
        <f>IFERROR(__xludf.DUMMYFUNCTION("""COMPUTED_VALUE"""),2839.0)</f>
        <v>2839</v>
      </c>
      <c r="B2841" s="87" t="str">
        <f>IFERROR(__xludf.DUMMYFUNCTION("""COMPUTED_VALUE"""),"Nhãn")</f>
        <v>Nhãn</v>
      </c>
      <c r="C2841" s="87" t="str">
        <f>IFERROR(__xludf.DUMMYFUNCTION("""COMPUTED_VALUE"""),"NHG2189")</f>
        <v>NHG2189</v>
      </c>
      <c r="D2841" s="87" t="str">
        <f>IFERROR(__xludf.DUMMYFUNCTION("""COMPUTED_VALUE"""),"[Nhãn] GC - IV - 2189 - CTY NHC - VUA RẦY BOTRI - R.EP (Nước tím) - 250ml - 40")</f>
        <v>[Nhãn] GC - IV - 2189 - CTY NHC - VUA RẦY BOTRI - R.EP (Nước tím) - 250ml - 40</v>
      </c>
      <c r="E2841" s="87" t="str">
        <f>IFERROR(__xludf.DUMMYFUNCTION("""COMPUTED_VALUE"""),"Thipro 550EC")</f>
        <v>Thipro 550EC</v>
      </c>
      <c r="F2841" s="87" t="str">
        <f>IFERROR(__xludf.DUMMYFUNCTION("""COMPUTED_VALUE"""),"HH2189")</f>
        <v>HH2189</v>
      </c>
      <c r="G2841" s="87" t="str">
        <f>IFERROR(__xludf.DUMMYFUNCTION("""COMPUTED_VALUE"""),"GC - IV - 2189 - CTY NHC - VUA RẦY BOTRI - R.EP (Nước tím) - 250ml - 40")</f>
        <v>GC - IV - 2189 - CTY NHC - VUA RẦY BOTRI - R.EP (Nước tím) - 250ml - 40</v>
      </c>
    </row>
    <row r="2842">
      <c r="A2842" s="86">
        <f>IFERROR(__xludf.DUMMYFUNCTION("""COMPUTED_VALUE"""),2840.0)</f>
        <v>2840</v>
      </c>
      <c r="B2842" s="87" t="str">
        <f>IFERROR(__xludf.DUMMYFUNCTION("""COMPUTED_VALUE"""),"Nhãn")</f>
        <v>Nhãn</v>
      </c>
      <c r="C2842" s="87" t="str">
        <f>IFERROR(__xludf.DUMMYFUNCTION("""COMPUTED_VALUE"""),"NTN2190")</f>
        <v>NTN2190</v>
      </c>
      <c r="D2842" s="87" t="str">
        <f>IFERROR(__xludf.DUMMYFUNCTION("""COMPUTED_VALUE"""),"[Nhãn] GC - IV - 2190 - THẢO NGUYÊN - PIM.PIM 75WP (Bột cam) - 25gr - 400")</f>
        <v>[Nhãn] GC - IV - 2190 - THẢO NGUYÊN - PIM.PIM 75WP (Bột cam) - 25gr - 400</v>
      </c>
      <c r="E2842" s="87" t="str">
        <f>IFERROR(__xludf.DUMMYFUNCTION("""COMPUTED_VALUE"""),"Pim.Pim 75WP")</f>
        <v>Pim.Pim 75WP</v>
      </c>
      <c r="F2842" s="87" t="str">
        <f>IFERROR(__xludf.DUMMYFUNCTION("""COMPUTED_VALUE"""),"HH2190")</f>
        <v>HH2190</v>
      </c>
      <c r="G2842" s="87" t="str">
        <f>IFERROR(__xludf.DUMMYFUNCTION("""COMPUTED_VALUE"""),"GC - IV - 2190 - THẢO NGUYÊN - PIM.PIM 75WP (Bột cam) - 25gr - 400")</f>
        <v>GC - IV - 2190 - THẢO NGUYÊN - PIM.PIM 75WP (Bột cam) - 25gr - 400</v>
      </c>
    </row>
    <row r="2843">
      <c r="A2843" s="86">
        <f>IFERROR(__xludf.DUMMYFUNCTION("""COMPUTED_VALUE"""),2841.0)</f>
        <v>2841</v>
      </c>
      <c r="B2843" s="87" t="str">
        <f>IFERROR(__xludf.DUMMYFUNCTION("""COMPUTED_VALUE"""),"Nhãn thùng")</f>
        <v>Nhãn thùng</v>
      </c>
      <c r="C2843" s="87" t="str">
        <f>IFERROR(__xludf.DUMMYFUNCTION("""COMPUTED_VALUE"""),"NDT2190")</f>
        <v>NDT2190</v>
      </c>
      <c r="D2843" s="87" t="str">
        <f>IFERROR(__xludf.DUMMYFUNCTION("""COMPUTED_VALUE"""),"[Nhãn thùng] GC - IV - 2190 - THẢO NGUYÊN - PIM.PIM 75WP (Bột cam) - 25gr - 400")</f>
        <v>[Nhãn thùng] GC - IV - 2190 - THẢO NGUYÊN - PIM.PIM 75WP (Bột cam) - 25gr - 400</v>
      </c>
      <c r="E2843" s="87" t="str">
        <f>IFERROR(__xludf.DUMMYFUNCTION("""COMPUTED_VALUE"""),"Pim.Pim 75WP")</f>
        <v>Pim.Pim 75WP</v>
      </c>
      <c r="F2843" s="87" t="str">
        <f>IFERROR(__xludf.DUMMYFUNCTION("""COMPUTED_VALUE"""),"HH2190")</f>
        <v>HH2190</v>
      </c>
      <c r="G2843" s="87" t="str">
        <f>IFERROR(__xludf.DUMMYFUNCTION("""COMPUTED_VALUE"""),"GC - IV - 2190 - THẢO NGUYÊN - PIM.PIM 75WP (Bột cam) - 25gr - 400")</f>
        <v>GC - IV - 2190 - THẢO NGUYÊN - PIM.PIM 75WP (Bột cam) - 25gr - 400</v>
      </c>
    </row>
    <row r="2844">
      <c r="A2844" s="86">
        <f>IFERROR(__xludf.DUMMYFUNCTION("""COMPUTED_VALUE"""),2842.0)</f>
        <v>2842</v>
      </c>
      <c r="B2844" s="87" t="str">
        <f>IFERROR(__xludf.DUMMYFUNCTION("""COMPUTED_VALUE"""),"Nhãn")</f>
        <v>Nhãn</v>
      </c>
      <c r="C2844" s="87" t="str">
        <f>IFERROR(__xludf.DUMMYFUNCTION("""COMPUTED_VALUE"""),"NHG2191")</f>
        <v>NHG2191</v>
      </c>
      <c r="D2844" s="87" t="str">
        <f>IFERROR(__xludf.DUMMYFUNCTION("""COMPUTED_VALUE"""),"[Nhãn] GC - IV - 2191 - Cty Hóa Nông Shino - BIM SHINO (Nước cam sữa) - 500ml - 30")</f>
        <v>[Nhãn] GC - IV - 2191 - Cty Hóa Nông Shino - BIM SHINO (Nước cam sữa) - 500ml - 30</v>
      </c>
      <c r="E2844" s="87" t="str">
        <f>IFERROR(__xludf.DUMMYFUNCTION("""COMPUTED_VALUE"""),"AMILAN 300SC")</f>
        <v>AMILAN 300SC</v>
      </c>
      <c r="F2844" s="87" t="str">
        <f>IFERROR(__xludf.DUMMYFUNCTION("""COMPUTED_VALUE"""),"HH2191")</f>
        <v>HH2191</v>
      </c>
      <c r="G2844" s="87" t="str">
        <f>IFERROR(__xludf.DUMMYFUNCTION("""COMPUTED_VALUE"""),"GC - IV - 2191 - Cty Hóa Nông Shino - BIM SHINO (Nước cam sữa) - 500ml - 30")</f>
        <v>GC - IV - 2191 - Cty Hóa Nông Shino - BIM SHINO (Nước cam sữa) - 500ml - 30</v>
      </c>
    </row>
    <row r="2845">
      <c r="A2845" s="86">
        <f>IFERROR(__xludf.DUMMYFUNCTION("""COMPUTED_VALUE"""),2843.0)</f>
        <v>2843</v>
      </c>
      <c r="B2845" s="87" t="str">
        <f>IFERROR(__xludf.DUMMYFUNCTION("""COMPUTED_VALUE"""),"Nhãn")</f>
        <v>Nhãn</v>
      </c>
      <c r="C2845" s="87" t="str">
        <f>IFERROR(__xludf.DUMMYFUNCTION("""COMPUTED_VALUE"""),"NHG2192")</f>
        <v>NHG2192</v>
      </c>
      <c r="D2845" s="87" t="str">
        <f>IFERROR(__xludf.DUMMYFUNCTION("""COMPUTED_VALUE"""),"[Nhãn] GC - IV - 2192 - CTY SEIKO NHẬT BẢN - AMILAN 300SC (Nước cam sữa) - 450ml - 40")</f>
        <v>[Nhãn] GC - IV - 2192 - CTY SEIKO NHẬT BẢN - AMILAN 300SC (Nước cam sữa) - 450ml - 40</v>
      </c>
      <c r="E2845" s="87" t="str">
        <f>IFERROR(__xludf.DUMMYFUNCTION("""COMPUTED_VALUE"""),"AMILAN 300SC")</f>
        <v>AMILAN 300SC</v>
      </c>
      <c r="F2845" s="87" t="str">
        <f>IFERROR(__xludf.DUMMYFUNCTION("""COMPUTED_VALUE"""),"HH2192")</f>
        <v>HH2192</v>
      </c>
      <c r="G2845" s="87" t="str">
        <f>IFERROR(__xludf.DUMMYFUNCTION("""COMPUTED_VALUE"""),"GC - IV - 2192 - CTY SEIKO NHẬT BẢN - AMILAN 300SC (Nước cam sữa) - 450ml - 40")</f>
        <v>GC - IV - 2192 - CTY SEIKO NHẬT BẢN - AMILAN 300SC (Nước cam sữa) - 450ml - 40</v>
      </c>
    </row>
    <row r="2846">
      <c r="A2846" s="86">
        <f>IFERROR(__xludf.DUMMYFUNCTION("""COMPUTED_VALUE"""),2844.0)</f>
        <v>2844</v>
      </c>
      <c r="B2846" s="87" t="str">
        <f>IFERROR(__xludf.DUMMYFUNCTION("""COMPUTED_VALUE"""),"Nhãn")</f>
        <v>Nhãn</v>
      </c>
      <c r="C2846" s="87" t="str">
        <f>IFERROR(__xludf.DUMMYFUNCTION("""COMPUTED_VALUE"""),"NTN2193")</f>
        <v>NTN2193</v>
      </c>
      <c r="D2846" s="87" t="str">
        <f>IFERROR(__xludf.DUMMYFUNCTION("""COMPUTED_VALUE"""),"[Nhãn] GC - IV - 2193 - Cty Newtex - BIẾN VÀNG THÀNH XANH (Bột xanh) - 50gr - 200")</f>
        <v>[Nhãn] GC - IV - 2193 - Cty Newtex - BIẾN VÀNG THÀNH XANH (Bột xanh) - 50gr - 200</v>
      </c>
      <c r="E2846" s="87" t="str">
        <f>IFERROR(__xludf.DUMMYFUNCTION("""COMPUTED_VALUE"""),"FORTAZEB 72WP")</f>
        <v>FORTAZEB 72WP</v>
      </c>
      <c r="F2846" s="87" t="str">
        <f>IFERROR(__xludf.DUMMYFUNCTION("""COMPUTED_VALUE"""),"HH2193")</f>
        <v>HH2193</v>
      </c>
      <c r="G2846" s="87" t="str">
        <f>IFERROR(__xludf.DUMMYFUNCTION("""COMPUTED_VALUE"""),"GC - IV - 2193 - Cty Newtex - BIẾN VÀNG THÀNH XANH (Bột xanh) - 50gr - 200")</f>
        <v>GC - IV - 2193 - Cty Newtex - BIẾN VÀNG THÀNH XANH (Bột xanh) - 50gr - 200</v>
      </c>
    </row>
    <row r="2847">
      <c r="A2847" s="86">
        <f>IFERROR(__xludf.DUMMYFUNCTION("""COMPUTED_VALUE"""),2845.0)</f>
        <v>2845</v>
      </c>
      <c r="B2847" s="87" t="str">
        <f>IFERROR(__xludf.DUMMYFUNCTION("""COMPUTED_VALUE"""),"Nhãn thùng")</f>
        <v>Nhãn thùng</v>
      </c>
      <c r="C2847" s="87" t="str">
        <f>IFERROR(__xludf.DUMMYFUNCTION("""COMPUTED_VALUE"""),"NDT2193")</f>
        <v>NDT2193</v>
      </c>
      <c r="D2847" s="87" t="str">
        <f>IFERROR(__xludf.DUMMYFUNCTION("""COMPUTED_VALUE"""),"[Nhãn thùng] GC - IV - 2193 - Cty Newtex - BIẾN VÀNG THÀNH XANH (Bột xanh) - 50gr - 200")</f>
        <v>[Nhãn thùng] GC - IV - 2193 - Cty Newtex - BIẾN VÀNG THÀNH XANH (Bột xanh) - 50gr - 200</v>
      </c>
      <c r="E2847" s="87" t="str">
        <f>IFERROR(__xludf.DUMMYFUNCTION("""COMPUTED_VALUE"""),"FORTAZEB 72WP")</f>
        <v>FORTAZEB 72WP</v>
      </c>
      <c r="F2847" s="87" t="str">
        <f>IFERROR(__xludf.DUMMYFUNCTION("""COMPUTED_VALUE"""),"HH2193")</f>
        <v>HH2193</v>
      </c>
      <c r="G2847" s="87" t="str">
        <f>IFERROR(__xludf.DUMMYFUNCTION("""COMPUTED_VALUE"""),"GC - IV - 2193 - Cty Newtex - BIẾN VÀNG THÀNH XANH (Bột xanh) - 50gr - 200")</f>
        <v>GC - IV - 2193 - Cty Newtex - BIẾN VÀNG THÀNH XANH (Bột xanh) - 50gr - 200</v>
      </c>
    </row>
    <row r="2848">
      <c r="A2848" s="86">
        <f>IFERROR(__xludf.DUMMYFUNCTION("""COMPUTED_VALUE"""),2846.0)</f>
        <v>2846</v>
      </c>
      <c r="B2848" s="87" t="str">
        <f>IFERROR(__xludf.DUMMYFUNCTION("""COMPUTED_VALUE"""),"Nhãn")</f>
        <v>Nhãn</v>
      </c>
      <c r="C2848" s="87" t="str">
        <f>IFERROR(__xludf.DUMMYFUNCTION("""COMPUTED_VALUE"""),"NHG2194")</f>
        <v>NHG2194</v>
      </c>
      <c r="D2848" s="87" t="str">
        <f>IFERROR(__xludf.DUMMYFUNCTION("""COMPUTED_VALUE"""),"[Nhãn] GC - IV - 2194 - CTY VIN AG - TORNADO 250 (Nước đỏ) - 240ml - 40")</f>
        <v>[Nhãn] GC - IV - 2194 - CTY VIN AG - TORNADO 250 (Nước đỏ) - 240ml - 40</v>
      </c>
      <c r="E2848" s="87" t="str">
        <f>IFERROR(__xludf.DUMMYFUNCTION("""COMPUTED_VALUE"""),"X-SPIDER 25EC")</f>
        <v>X-SPIDER 25EC</v>
      </c>
      <c r="F2848" s="87" t="str">
        <f>IFERROR(__xludf.DUMMYFUNCTION("""COMPUTED_VALUE"""),"HH2194")</f>
        <v>HH2194</v>
      </c>
      <c r="G2848" s="87" t="str">
        <f>IFERROR(__xludf.DUMMYFUNCTION("""COMPUTED_VALUE"""),"GC - IV - 2194 - CTY VIN AG - TORNADO 250 (Nước đỏ) - 240ml - 40")</f>
        <v>GC - IV - 2194 - CTY VIN AG - TORNADO 250 (Nước đỏ) - 240ml - 40</v>
      </c>
    </row>
    <row r="2849">
      <c r="A2849" s="86">
        <f>IFERROR(__xludf.DUMMYFUNCTION("""COMPUTED_VALUE"""),2847.0)</f>
        <v>2847</v>
      </c>
      <c r="B2849" s="87" t="str">
        <f>IFERROR(__xludf.DUMMYFUNCTION("""COMPUTED_VALUE"""),"Nhãn")</f>
        <v>Nhãn</v>
      </c>
      <c r="C2849" s="87" t="str">
        <f>IFERROR(__xludf.DUMMYFUNCTION("""COMPUTED_VALUE"""),"NHG2195")</f>
        <v>NHG2195</v>
      </c>
      <c r="D2849" s="87" t="str">
        <f>IFERROR(__xludf.DUMMYFUNCTION("""COMPUTED_VALUE"""),"[Nhãn] GC - IV - 2195 - CTY VIN AG - GOD THUNDER 260 (Dạng sữa - vàng nhạt) - 240ml - 40")</f>
        <v>[Nhãn] GC - IV - 2195 - CTY VIN AG - GOD THUNDER 260 (Dạng sữa - vàng nhạt) - 240ml - 40</v>
      </c>
      <c r="E2849" s="87" t="str">
        <f>IFERROR(__xludf.DUMMYFUNCTION("""COMPUTED_VALUE"""),"HALO 260SC")</f>
        <v>HALO 260SC</v>
      </c>
      <c r="F2849" s="87" t="str">
        <f>IFERROR(__xludf.DUMMYFUNCTION("""COMPUTED_VALUE"""),"HH2195")</f>
        <v>HH2195</v>
      </c>
      <c r="G2849" s="87" t="str">
        <f>IFERROR(__xludf.DUMMYFUNCTION("""COMPUTED_VALUE"""),"GC - IV - 2195 - CTY VIN AG - GOD THUNDER 260 (Dạng sữa - vàng nhạt) - 240ml - 40")</f>
        <v>GC - IV - 2195 - CTY VIN AG - GOD THUNDER 260 (Dạng sữa - vàng nhạt) - 240ml - 40</v>
      </c>
    </row>
    <row r="2850">
      <c r="A2850" s="86">
        <f>IFERROR(__xludf.DUMMYFUNCTION("""COMPUTED_VALUE"""),2848.0)</f>
        <v>2848</v>
      </c>
      <c r="B2850" s="87" t="str">
        <f>IFERROR(__xludf.DUMMYFUNCTION("""COMPUTED_VALUE"""),"Nhãn")</f>
        <v>Nhãn</v>
      </c>
      <c r="C2850" s="87" t="str">
        <f>IFERROR(__xludf.DUMMYFUNCTION("""COMPUTED_VALUE"""),"NHG2196")</f>
        <v>NHG2196</v>
      </c>
      <c r="D2850" s="87" t="str">
        <f>IFERROR(__xludf.DUMMYFUNCTION("""COMPUTED_VALUE"""),"[Nhãn] GC - IV - 2196 - CTY ECO - HD LION 250 (Nước đỏ) - 240ml - 40")</f>
        <v>[Nhãn] GC - IV - 2196 - CTY ECO - HD LION 250 (Nước đỏ) - 240ml - 40</v>
      </c>
      <c r="E2850" s="87" t="str">
        <f>IFERROR(__xludf.DUMMYFUNCTION("""COMPUTED_VALUE"""),"X-SPIDER 25EC")</f>
        <v>X-SPIDER 25EC</v>
      </c>
      <c r="F2850" s="87" t="str">
        <f>IFERROR(__xludf.DUMMYFUNCTION("""COMPUTED_VALUE"""),"HH2196")</f>
        <v>HH2196</v>
      </c>
      <c r="G2850" s="87" t="str">
        <f>IFERROR(__xludf.DUMMYFUNCTION("""COMPUTED_VALUE"""),"GC - IV - 2196 - CTY ECO - HD LION 250 (Nước đỏ) - 240ml - 40")</f>
        <v>GC - IV - 2196 - CTY ECO - HD LION 250 (Nước đỏ) - 240ml - 40</v>
      </c>
    </row>
    <row r="2851">
      <c r="A2851" s="86">
        <f>IFERROR(__xludf.DUMMYFUNCTION("""COMPUTED_VALUE"""),2849.0)</f>
        <v>2849</v>
      </c>
      <c r="B2851" s="87" t="str">
        <f>IFERROR(__xludf.DUMMYFUNCTION("""COMPUTED_VALUE"""),"Nhãn")</f>
        <v>Nhãn</v>
      </c>
      <c r="C2851" s="87" t="str">
        <f>IFERROR(__xludf.DUMMYFUNCTION("""COMPUTED_VALUE"""),"NHG2197")</f>
        <v>NHG2197</v>
      </c>
      <c r="D2851" s="87" t="str">
        <f>IFERROR(__xludf.DUMMYFUNCTION("""COMPUTED_VALUE"""),"[Nhãn] GC - IV - 2197 - CTY ECO - DIỆT BÁCH TRÙNG (Dạng sữa - vàng nhạt) - 240ml - 40")</f>
        <v>[Nhãn] GC - IV - 2197 - CTY ECO - DIỆT BÁCH TRÙNG (Dạng sữa - vàng nhạt) - 240ml - 40</v>
      </c>
      <c r="E2851" s="87" t="str">
        <f>IFERROR(__xludf.DUMMYFUNCTION("""COMPUTED_VALUE"""),"HALO 260SC")</f>
        <v>HALO 260SC</v>
      </c>
      <c r="F2851" s="87" t="str">
        <f>IFERROR(__xludf.DUMMYFUNCTION("""COMPUTED_VALUE"""),"HH2197")</f>
        <v>HH2197</v>
      </c>
      <c r="G2851" s="87" t="str">
        <f>IFERROR(__xludf.DUMMYFUNCTION("""COMPUTED_VALUE"""),"GC - IV - 2197 - CTY ECO - DIỆT BÁCH TRÙNG (Dạng sữa - vàng nhạt) - 240ml - 40")</f>
        <v>GC - IV - 2197 - CTY ECO - DIỆT BÁCH TRÙNG (Dạng sữa - vàng nhạt) - 240ml - 40</v>
      </c>
    </row>
    <row r="2852">
      <c r="A2852" s="86">
        <f>IFERROR(__xludf.DUMMYFUNCTION("""COMPUTED_VALUE"""),2850.0)</f>
        <v>2850</v>
      </c>
      <c r="B2852" s="87" t="str">
        <f>IFERROR(__xludf.DUMMYFUNCTION("""COMPUTED_VALUE"""),"Nhãn")</f>
        <v>Nhãn</v>
      </c>
      <c r="C2852" s="87" t="str">
        <f>IFERROR(__xludf.DUMMYFUNCTION("""COMPUTED_VALUE"""),"NHG2198")</f>
        <v>NHG2198</v>
      </c>
      <c r="D2852" s="87" t="str">
        <f>IFERROR(__xludf.DUMMYFUNCTION("""COMPUTED_VALUE"""),"[Nhãn] GC - IV - 2198 - Cty Hóa Nông Shino - SHINO ROOTS (Nước xanh lá) - 500ml - 30")</f>
        <v>[Nhãn] GC - IV - 2198 - Cty Hóa Nông Shino - SHINO ROOTS (Nước xanh lá) - 500ml - 30</v>
      </c>
      <c r="E2852" s="87" t="str">
        <f>IFERROR(__xludf.DUMMYFUNCTION("""COMPUTED_VALUE"""),"Hữu cơ SH Agro Organic Fertilizer 20")</f>
        <v>Hữu cơ SH Agro Organic Fertilizer 20</v>
      </c>
      <c r="F2852" s="87" t="str">
        <f>IFERROR(__xludf.DUMMYFUNCTION("""COMPUTED_VALUE"""),"HH2198")</f>
        <v>HH2198</v>
      </c>
      <c r="G2852" s="87" t="str">
        <f>IFERROR(__xludf.DUMMYFUNCTION("""COMPUTED_VALUE"""),"GC - IV - 2198 - Cty Hóa Nông Shino - SHINO ROOTS (Nước xanh lá) - 500ml - 30")</f>
        <v>GC - IV - 2198 - Cty Hóa Nông Shino - SHINO ROOTS (Nước xanh lá) - 500ml - 30</v>
      </c>
    </row>
    <row r="2853">
      <c r="A2853" s="86">
        <f>IFERROR(__xludf.DUMMYFUNCTION("""COMPUTED_VALUE"""),2851.0)</f>
        <v>2851</v>
      </c>
      <c r="B2853" s="87" t="str">
        <f>IFERROR(__xludf.DUMMYFUNCTION("""COMPUTED_VALUE"""),"Nhãn")</f>
        <v>Nhãn</v>
      </c>
      <c r="C2853" s="87" t="str">
        <f>IFERROR(__xludf.DUMMYFUNCTION("""COMPUTED_VALUE"""),"NHD2198")</f>
        <v>NHD2198</v>
      </c>
      <c r="D2853" s="87" t="str">
        <f>IFERROR(__xludf.DUMMYFUNCTION("""COMPUTED_VALUE"""),"[Nhãn] GC - IV - 2198 - Cty Hóa Nông Shino - SHINO ROOTS (Nước xanh lá) - 500ml - 30")</f>
        <v>[Nhãn] GC - IV - 2198 - Cty Hóa Nông Shino - SHINO ROOTS (Nước xanh lá) - 500ml - 30</v>
      </c>
      <c r="E2853" s="87" t="str">
        <f>IFERROR(__xludf.DUMMYFUNCTION("""COMPUTED_VALUE"""),"Hữu cơ SH Agro Organic Fertilizer 20")</f>
        <v>Hữu cơ SH Agro Organic Fertilizer 20</v>
      </c>
      <c r="F2853" s="87" t="str">
        <f>IFERROR(__xludf.DUMMYFUNCTION("""COMPUTED_VALUE"""),"HH2198")</f>
        <v>HH2198</v>
      </c>
      <c r="G2853" s="87" t="str">
        <f>IFERROR(__xludf.DUMMYFUNCTION("""COMPUTED_VALUE"""),"GC - IV - 2198 - Cty Hóa Nông Shino - SHINO ROOTS (Nước xanh lá) - 500ml - 30")</f>
        <v>GC - IV - 2198 - Cty Hóa Nông Shino - SHINO ROOTS (Nước xanh lá) - 500ml - 30</v>
      </c>
    </row>
    <row r="2854">
      <c r="A2854" s="86">
        <f>IFERROR(__xludf.DUMMYFUNCTION("""COMPUTED_VALUE"""),2852.0)</f>
        <v>2852</v>
      </c>
      <c r="B2854" s="87" t="str">
        <f>IFERROR(__xludf.DUMMYFUNCTION("""COMPUTED_VALUE"""),"Nhãn")</f>
        <v>Nhãn</v>
      </c>
      <c r="C2854" s="87" t="str">
        <f>IFERROR(__xludf.DUMMYFUNCTION("""COMPUTED_VALUE"""),"NTN2199")</f>
        <v>NTN2199</v>
      </c>
      <c r="D2854" s="87" t="str">
        <f>IFERROR(__xludf.DUMMYFUNCTION("""COMPUTED_VALUE"""),"[Nhãn] GC - I - 2199 - Cty Nông Dược Sunrise - Manco Sunrise (Bột xanh) - 1kg - 20")</f>
        <v>[Nhãn] GC - I - 2199 - Cty Nông Dược Sunrise - Manco Sunrise (Bột xanh) - 1kg - 20</v>
      </c>
      <c r="E2854" s="87" t="str">
        <f>IFERROR(__xludf.DUMMYFUNCTION("""COMPUTED_VALUE"""),"MANCOBGO 80WP")</f>
        <v>MANCOBGO 80WP</v>
      </c>
      <c r="F2854" s="87" t="str">
        <f>IFERROR(__xludf.DUMMYFUNCTION("""COMPUTED_VALUE"""),"HH2199")</f>
        <v>HH2199</v>
      </c>
      <c r="G2854" s="87" t="str">
        <f>IFERROR(__xludf.DUMMYFUNCTION("""COMPUTED_VALUE"""),"GC - I - 2199 - Cty Nông Dược Sunrise - Manco Sunrise (Bột xanh) - 1kg - 20")</f>
        <v>GC - I - 2199 - Cty Nông Dược Sunrise - Manco Sunrise (Bột xanh) - 1kg - 20</v>
      </c>
    </row>
    <row r="2855">
      <c r="A2855" s="86">
        <f>IFERROR(__xludf.DUMMYFUNCTION("""COMPUTED_VALUE"""),2853.0)</f>
        <v>2853</v>
      </c>
      <c r="B2855" s="87" t="str">
        <f>IFERROR(__xludf.DUMMYFUNCTION("""COMPUTED_VALUE"""),"Nhãn")</f>
        <v>Nhãn</v>
      </c>
      <c r="C2855" s="87" t="str">
        <f>IFERROR(__xludf.DUMMYFUNCTION("""COMPUTED_VALUE"""),"NTN2200")</f>
        <v>NTN2200</v>
      </c>
      <c r="D2855" s="87" t="str">
        <f>IFERROR(__xludf.DUMMYFUNCTION("""COMPUTED_VALUE"""),"[Nhãn] LOT IDA Global - I - 2200 - Mancozeb Xanh (Bột xanh) - 1kg - 20")</f>
        <v>[Nhãn] LOT IDA Global - I - 2200 - Mancozeb Xanh (Bột xanh) - 1kg - 20</v>
      </c>
      <c r="E2855" s="87" t="str">
        <f>IFERROR(__xludf.DUMMYFUNCTION("""COMPUTED_VALUE"""),"MANCOBGO 80WP")</f>
        <v>MANCOBGO 80WP</v>
      </c>
      <c r="F2855" s="87" t="str">
        <f>IFERROR(__xludf.DUMMYFUNCTION("""COMPUTED_VALUE"""),"HH2200")</f>
        <v>HH2200</v>
      </c>
      <c r="G2855" s="87" t="str">
        <f>IFERROR(__xludf.DUMMYFUNCTION("""COMPUTED_VALUE"""),"LOT IDA Global - I - 2200 - Mancozeb Xanh (Bột xanh) - 1kg - 20")</f>
        <v>LOT IDA Global - I - 2200 - Mancozeb Xanh (Bột xanh) - 1kg - 20</v>
      </c>
    </row>
    <row r="2856">
      <c r="A2856" s="86">
        <f>IFERROR(__xludf.DUMMYFUNCTION("""COMPUTED_VALUE"""),2854.0)</f>
        <v>2854</v>
      </c>
      <c r="B2856" s="87" t="str">
        <f>IFERROR(__xludf.DUMMYFUNCTION("""COMPUTED_VALUE"""),"Nhãn thùng")</f>
        <v>Nhãn thùng</v>
      </c>
      <c r="C2856" s="87" t="str">
        <f>IFERROR(__xludf.DUMMYFUNCTION("""COMPUTED_VALUE"""),"NDT2200")</f>
        <v>NDT2200</v>
      </c>
      <c r="D2856" s="87" t="str">
        <f>IFERROR(__xludf.DUMMYFUNCTION("""COMPUTED_VALUE"""),"[Nhãn thùng] LOT IDA Global - I - 2200 - Mancozeb Xanh (Bột xanh) - 1kg - 20")</f>
        <v>[Nhãn thùng] LOT IDA Global - I - 2200 - Mancozeb Xanh (Bột xanh) - 1kg - 20</v>
      </c>
      <c r="E2856" s="87" t="str">
        <f>IFERROR(__xludf.DUMMYFUNCTION("""COMPUTED_VALUE"""),"MANCOBGO 80WP")</f>
        <v>MANCOBGO 80WP</v>
      </c>
      <c r="F2856" s="87" t="str">
        <f>IFERROR(__xludf.DUMMYFUNCTION("""COMPUTED_VALUE"""),"HH2200")</f>
        <v>HH2200</v>
      </c>
      <c r="G2856" s="87" t="str">
        <f>IFERROR(__xludf.DUMMYFUNCTION("""COMPUTED_VALUE"""),"LOT IDA Global - I - 2200 - Mancozeb Xanh (Bột xanh) - 1kg - 20")</f>
        <v>LOT IDA Global - I - 2200 - Mancozeb Xanh (Bột xanh) - 1kg - 20</v>
      </c>
    </row>
    <row r="2857">
      <c r="A2857" s="86">
        <f>IFERROR(__xludf.DUMMYFUNCTION("""COMPUTED_VALUE"""),2855.0)</f>
        <v>2855</v>
      </c>
      <c r="B2857" s="87" t="str">
        <f>IFERROR(__xludf.DUMMYFUNCTION("""COMPUTED_VALUE"""),"Nhãn")</f>
        <v>Nhãn</v>
      </c>
      <c r="C2857" s="87" t="str">
        <f>IFERROR(__xludf.DUMMYFUNCTION("""COMPUTED_VALUE"""),"NTN2201")</f>
        <v>NTN2201</v>
      </c>
      <c r="D2857" s="87" t="str">
        <f>IFERROR(__xludf.DUMMYFUNCTION("""COMPUTED_VALUE"""),"[Nhãn] GC - IV - 2201 - MANCO GREEN (Bột xanh) - 1kg - 20")</f>
        <v>[Nhãn] GC - IV - 2201 - MANCO GREEN (Bột xanh) - 1kg - 20</v>
      </c>
      <c r="E2857" s="87" t="str">
        <f>IFERROR(__xludf.DUMMYFUNCTION("""COMPUTED_VALUE"""),"MANCOBGO 80WP")</f>
        <v>MANCOBGO 80WP</v>
      </c>
      <c r="F2857" s="87" t="str">
        <f>IFERROR(__xludf.DUMMYFUNCTION("""COMPUTED_VALUE"""),"HH2201")</f>
        <v>HH2201</v>
      </c>
      <c r="G2857" s="87" t="str">
        <f>IFERROR(__xludf.DUMMYFUNCTION("""COMPUTED_VALUE"""),"GC - IV - 2201 - MANCO GREEN (Bột xanh) - 1kg - 20")</f>
        <v>GC - IV - 2201 - MANCO GREEN (Bột xanh) - 1kg - 20</v>
      </c>
    </row>
    <row r="2858">
      <c r="A2858" s="86">
        <f>IFERROR(__xludf.DUMMYFUNCTION("""COMPUTED_VALUE"""),2856.0)</f>
        <v>2856</v>
      </c>
      <c r="B2858" s="87" t="str">
        <f>IFERROR(__xludf.DUMMYFUNCTION("""COMPUTED_VALUE"""),"Nhãn thùng")</f>
        <v>Nhãn thùng</v>
      </c>
      <c r="C2858" s="87" t="str">
        <f>IFERROR(__xludf.DUMMYFUNCTION("""COMPUTED_VALUE"""),"NDT2201")</f>
        <v>NDT2201</v>
      </c>
      <c r="D2858" s="87" t="str">
        <f>IFERROR(__xludf.DUMMYFUNCTION("""COMPUTED_VALUE"""),"[Nhãn thùng] GC - IV - 2201 - MANCO GREEN (Bột xanh) - 1kg - 20")</f>
        <v>[Nhãn thùng] GC - IV - 2201 - MANCO GREEN (Bột xanh) - 1kg - 20</v>
      </c>
      <c r="E2858" s="87" t="str">
        <f>IFERROR(__xludf.DUMMYFUNCTION("""COMPUTED_VALUE"""),"MANCOBGO 80WP")</f>
        <v>MANCOBGO 80WP</v>
      </c>
      <c r="F2858" s="87" t="str">
        <f>IFERROR(__xludf.DUMMYFUNCTION("""COMPUTED_VALUE"""),"HH2201")</f>
        <v>HH2201</v>
      </c>
      <c r="G2858" s="87" t="str">
        <f>IFERROR(__xludf.DUMMYFUNCTION("""COMPUTED_VALUE"""),"GC - IV - 2201 - MANCO GREEN (Bột xanh) - 1kg - 20")</f>
        <v>GC - IV - 2201 - MANCO GREEN (Bột xanh) - 1kg - 20</v>
      </c>
    </row>
    <row r="2859">
      <c r="A2859" s="86">
        <f>IFERROR(__xludf.DUMMYFUNCTION("""COMPUTED_VALUE"""),2857.0)</f>
        <v>2857</v>
      </c>
      <c r="B2859" s="87" t="str">
        <f>IFERROR(__xludf.DUMMYFUNCTION("""COMPUTED_VALUE"""),"Nhãn")</f>
        <v>Nhãn</v>
      </c>
      <c r="C2859" s="87" t="str">
        <f>IFERROR(__xludf.DUMMYFUNCTION("""COMPUTED_VALUE"""),"NHD2202")</f>
        <v>NHD2202</v>
      </c>
      <c r="D2859" s="87" t="str">
        <f>IFERROR(__xludf.DUMMYFUNCTION("""COMPUTED_VALUE"""),"[Nhãn] GC - IV - 2202 - CTY GREAT UNITY - SELEC ONE 550 (Nước vàng trà) - 100ml - 100")</f>
        <v>[Nhãn] GC - IV - 2202 - CTY GREAT UNITY - SELEC ONE 550 (Nước vàng trà) - 100ml - 100</v>
      </c>
      <c r="E2859" s="87" t="str">
        <f>IFERROR(__xludf.DUMMYFUNCTION("""COMPUTED_VALUE"""),"Thipro 550EC")</f>
        <v>Thipro 550EC</v>
      </c>
      <c r="F2859" s="87" t="str">
        <f>IFERROR(__xludf.DUMMYFUNCTION("""COMPUTED_VALUE"""),"HH2202")</f>
        <v>HH2202</v>
      </c>
      <c r="G2859" s="87" t="str">
        <f>IFERROR(__xludf.DUMMYFUNCTION("""COMPUTED_VALUE"""),"GC - IV - 2202 - CTY GREAT UNITY - SELEC ONE 550 (Nước vàng trà) - 100ml - 100")</f>
        <v>GC - IV - 2202 - CTY GREAT UNITY - SELEC ONE 550 (Nước vàng trà) - 100ml - 100</v>
      </c>
    </row>
    <row r="2860">
      <c r="A2860" s="86">
        <f>IFERROR(__xludf.DUMMYFUNCTION("""COMPUTED_VALUE"""),2858.0)</f>
        <v>2858</v>
      </c>
      <c r="B2860" s="87" t="str">
        <f>IFERROR(__xludf.DUMMYFUNCTION("""COMPUTED_VALUE"""),"Nhãn")</f>
        <v>Nhãn</v>
      </c>
      <c r="C2860" s="87" t="str">
        <f>IFERROR(__xludf.DUMMYFUNCTION("""COMPUTED_VALUE"""),"NHG2203")</f>
        <v>NHG2203</v>
      </c>
      <c r="D2860" s="87" t="str">
        <f>IFERROR(__xludf.DUMMYFUNCTION("""COMPUTED_VALUE"""),"[Nhãn] GC - IV - 2203 - CTY NÔNG HÓA XANH - XANHVIL (Nước trắng sữa) - 1L - 20")</f>
        <v>[Nhãn] GC - IV - 2203 - CTY NÔNG HÓA XANH - XANHVIL (Nước trắng sữa) - 1L - 20</v>
      </c>
      <c r="E2860" s="87" t="str">
        <f>IFERROR(__xludf.DUMMYFUNCTION("""COMPUTED_VALUE"""),"Mekongvil 5SC")</f>
        <v>Mekongvil 5SC</v>
      </c>
      <c r="F2860" s="87" t="str">
        <f>IFERROR(__xludf.DUMMYFUNCTION("""COMPUTED_VALUE"""),"HH2203")</f>
        <v>HH2203</v>
      </c>
      <c r="G2860" s="87" t="str">
        <f>IFERROR(__xludf.DUMMYFUNCTION("""COMPUTED_VALUE"""),"GC - IV - 2203 - CTY NÔNG HÓA XANH - XANHVIL (Nước trắng sữa) - 1L - 20")</f>
        <v>GC - IV - 2203 - CTY NÔNG HÓA XANH - XANHVIL (Nước trắng sữa) - 1L - 20</v>
      </c>
    </row>
    <row r="2861">
      <c r="A2861" s="86">
        <f>IFERROR(__xludf.DUMMYFUNCTION("""COMPUTED_VALUE"""),2859.0)</f>
        <v>2859</v>
      </c>
      <c r="B2861" s="87" t="str">
        <f>IFERROR(__xludf.DUMMYFUNCTION("""COMPUTED_VALUE"""),"Nhãn")</f>
        <v>Nhãn</v>
      </c>
      <c r="C2861" s="87" t="str">
        <f>IFERROR(__xludf.DUMMYFUNCTION("""COMPUTED_VALUE"""),"NHG2204")</f>
        <v>NHG2204</v>
      </c>
      <c r="D2861" s="87" t="str">
        <f>IFERROR(__xludf.DUMMYFUNCTION("""COMPUTED_VALUE"""),"[Nhãn] GC - II - 2204 - AGC (TÂY NGUYÊN) - OPEN XTRA 44L (Nước vàng) - 120ml - 50")</f>
        <v>[Nhãn] GC - II - 2204 - AGC (TÂY NGUYÊN) - OPEN XTRA 44L (Nước vàng) - 120ml - 50</v>
      </c>
      <c r="E2861" s="87" t="str">
        <f>IFERROR(__xludf.DUMMYFUNCTION("""COMPUTED_VALUE"""),"Vi lượng Quantity New")</f>
        <v>Vi lượng Quantity New</v>
      </c>
      <c r="F2861" s="87" t="str">
        <f>IFERROR(__xludf.DUMMYFUNCTION("""COMPUTED_VALUE"""),"HH2204")</f>
        <v>HH2204</v>
      </c>
      <c r="G2861" s="87" t="str">
        <f>IFERROR(__xludf.DUMMYFUNCTION("""COMPUTED_VALUE"""),"GC - II - 2204 - AGC (TÂY NGUYÊN) - OPEN XTRA 44L (Nước vàng) - 120ml - 50")</f>
        <v>GC - II - 2204 - AGC (TÂY NGUYÊN) - OPEN XTRA 44L (Nước vàng) - 120ml - 50</v>
      </c>
    </row>
    <row r="2862">
      <c r="A2862" s="86">
        <f>IFERROR(__xludf.DUMMYFUNCTION("""COMPUTED_VALUE"""),2860.0)</f>
        <v>2860</v>
      </c>
      <c r="B2862" s="87" t="str">
        <f>IFERROR(__xludf.DUMMYFUNCTION("""COMPUTED_VALUE"""),"Nhãn")</f>
        <v>Nhãn</v>
      </c>
      <c r="C2862" s="87" t="str">
        <f>IFERROR(__xludf.DUMMYFUNCTION("""COMPUTED_VALUE"""),"NHG2205")</f>
        <v>NHG2205</v>
      </c>
      <c r="D2862" s="87" t="str">
        <f>IFERROR(__xludf.DUMMYFUNCTION("""COMPUTED_VALUE"""),"[Nhãn] GC - IV - 2205 - GNH - Siêu tăng trưởng (nước nâu đen) - 1L - 20")</f>
        <v>[Nhãn] GC - IV - 2205 - GNH - Siêu tăng trưởng (nước nâu đen) - 1L - 20</v>
      </c>
      <c r="E2862" s="87" t="str">
        <f>IFERROR(__xludf.DUMMYFUNCTION("""COMPUTED_VALUE"""),"Vi lượng Basel VA01")</f>
        <v>Vi lượng Basel VA01</v>
      </c>
      <c r="F2862" s="87" t="str">
        <f>IFERROR(__xludf.DUMMYFUNCTION("""COMPUTED_VALUE"""),"HH2205")</f>
        <v>HH2205</v>
      </c>
      <c r="G2862" s="87" t="str">
        <f>IFERROR(__xludf.DUMMYFUNCTION("""COMPUTED_VALUE"""),"GC - IV - 2205 - GNH - Siêu tăng trưởng (nước nâu đen) - 1L - 20")</f>
        <v>GC - IV - 2205 - GNH - Siêu tăng trưởng (nước nâu đen) - 1L - 20</v>
      </c>
    </row>
    <row r="2863">
      <c r="A2863" s="86">
        <f>IFERROR(__xludf.DUMMYFUNCTION("""COMPUTED_VALUE"""),2861.0)</f>
        <v>2861</v>
      </c>
      <c r="B2863" s="87" t="str">
        <f>IFERROR(__xludf.DUMMYFUNCTION("""COMPUTED_VALUE"""),"Nhãn")</f>
        <v>Nhãn</v>
      </c>
      <c r="C2863" s="87" t="str">
        <f>IFERROR(__xludf.DUMMYFUNCTION("""COMPUTED_VALUE"""),"NHG2206")</f>
        <v>NHG2206</v>
      </c>
      <c r="D2863" s="87" t="str">
        <f>IFERROR(__xludf.DUMMYFUNCTION("""COMPUTED_VALUE"""),"[Nhãn] GC - IV - 2206 - CTY USAFARM - KING C.A.T (Nước nâu đen) - 100ml - 50")</f>
        <v>[Nhãn] GC - IV - 2206 - CTY USAFARM - KING C.A.T (Nước nâu đen) - 100ml - 50</v>
      </c>
      <c r="E2863" s="87" t="str">
        <f>IFERROR(__xludf.DUMMYFUNCTION("""COMPUTED_VALUE"""),"Hữu cơ SH Agro Organic Fertilizer 20")</f>
        <v>Hữu cơ SH Agro Organic Fertilizer 20</v>
      </c>
      <c r="F2863" s="87" t="str">
        <f>IFERROR(__xludf.DUMMYFUNCTION("""COMPUTED_VALUE"""),"HH2206")</f>
        <v>HH2206</v>
      </c>
      <c r="G2863" s="87" t="str">
        <f>IFERROR(__xludf.DUMMYFUNCTION("""COMPUTED_VALUE"""),"GC - IV - 2206 - CTY USAFARM - KING C.A.T (Nước nâu đen) - 100ml - 50")</f>
        <v>GC - IV - 2206 - CTY USAFARM - KING C.A.T (Nước nâu đen) - 100ml - 50</v>
      </c>
    </row>
    <row r="2864">
      <c r="A2864" s="86">
        <f>IFERROR(__xludf.DUMMYFUNCTION("""COMPUTED_VALUE"""),2862.0)</f>
        <v>2862</v>
      </c>
      <c r="B2864" s="87" t="str">
        <f>IFERROR(__xludf.DUMMYFUNCTION("""COMPUTED_VALUE"""),"Nhãn")</f>
        <v>Nhãn</v>
      </c>
      <c r="C2864" s="87" t="str">
        <f>IFERROR(__xludf.DUMMYFUNCTION("""COMPUTED_VALUE"""),"NHG2207")</f>
        <v>NHG2207</v>
      </c>
      <c r="D2864" s="87" t="str">
        <f>IFERROR(__xludf.DUMMYFUNCTION("""COMPUTED_VALUE"""),"[Nhãn] GC - IV - 2207 - Cty Thiên Di (A Thành Dol) - ATOMIN 15WP (Bột trắng ngà) - 1kg - 20")</f>
        <v>[Nhãn] GC - IV - 2207 - Cty Thiên Di (A Thành Dol) - ATOMIN 15WP (Bột trắng ngà) - 1kg - 20</v>
      </c>
      <c r="E2864" s="87" t="str">
        <f>IFERROR(__xludf.DUMMYFUNCTION("""COMPUTED_VALUE"""),"ATOMIN 15WP")</f>
        <v>ATOMIN 15WP</v>
      </c>
      <c r="F2864" s="87" t="str">
        <f>IFERROR(__xludf.DUMMYFUNCTION("""COMPUTED_VALUE"""),"HH2207")</f>
        <v>HH2207</v>
      </c>
      <c r="G2864" s="87" t="str">
        <f>IFERROR(__xludf.DUMMYFUNCTION("""COMPUTED_VALUE"""),"GC - IV - 2207 - Cty Thiên Di (A Thành Dol) - ATOMIN 15WP (Bột trắng ngà) - 1kg - 20")</f>
        <v>GC - IV - 2207 - Cty Thiên Di (A Thành Dol) - ATOMIN 15WP (Bột trắng ngà) - 1kg - 20</v>
      </c>
    </row>
    <row r="2865">
      <c r="A2865" s="86">
        <f>IFERROR(__xludf.DUMMYFUNCTION("""COMPUTED_VALUE"""),2863.0)</f>
        <v>2863</v>
      </c>
      <c r="B2865" s="87" t="str">
        <f>IFERROR(__xludf.DUMMYFUNCTION("""COMPUTED_VALUE"""),"Nhãn")</f>
        <v>Nhãn</v>
      </c>
      <c r="C2865" s="87" t="str">
        <f>IFERROR(__xludf.DUMMYFUNCTION("""COMPUTED_VALUE"""),"NHP2207")</f>
        <v>NHP2207</v>
      </c>
      <c r="D2865" s="87" t="str">
        <f>IFERROR(__xludf.DUMMYFUNCTION("""COMPUTED_VALUE"""),"[Nhãn] GC - IV - 2207 - Cty Thiên Di (A Thành Dol) - ATOMIN 15WP (Bột trắng ngà) - 1kg - 20")</f>
        <v>[Nhãn] GC - IV - 2207 - Cty Thiên Di (A Thành Dol) - ATOMIN 15WP (Bột trắng ngà) - 1kg - 20</v>
      </c>
      <c r="E2865" s="87" t="str">
        <f>IFERROR(__xludf.DUMMYFUNCTION("""COMPUTED_VALUE"""),"ATOMIN 15WP")</f>
        <v>ATOMIN 15WP</v>
      </c>
      <c r="F2865" s="87" t="str">
        <f>IFERROR(__xludf.DUMMYFUNCTION("""COMPUTED_VALUE"""),"HH2207")</f>
        <v>HH2207</v>
      </c>
      <c r="G2865" s="87" t="str">
        <f>IFERROR(__xludf.DUMMYFUNCTION("""COMPUTED_VALUE"""),"GC - IV - 2207 - Cty Thiên Di (A Thành Dol) - ATOMIN 15WP (Bột trắng ngà) - 1kg - 20")</f>
        <v>GC - IV - 2207 - Cty Thiên Di (A Thành Dol) - ATOMIN 15WP (Bột trắng ngà) - 1kg - 20</v>
      </c>
    </row>
    <row r="2866">
      <c r="A2866" s="86">
        <f>IFERROR(__xludf.DUMMYFUNCTION("""COMPUTED_VALUE"""),2864.0)</f>
        <v>2864</v>
      </c>
      <c r="B2866" s="87" t="str">
        <f>IFERROR(__xludf.DUMMYFUNCTION("""COMPUTED_VALUE"""),"Nhãn thùng")</f>
        <v>Nhãn thùng</v>
      </c>
      <c r="C2866" s="87" t="str">
        <f>IFERROR(__xludf.DUMMYFUNCTION("""COMPUTED_VALUE"""),"NDT2207")</f>
        <v>NDT2207</v>
      </c>
      <c r="D2866" s="87" t="str">
        <f>IFERROR(__xludf.DUMMYFUNCTION("""COMPUTED_VALUE"""),"[Nhãn thùng] GC - IV - 2207 - Cty Thiên Di (A Thành Dol) - ATOMIN 15WP (Bột trắng ngà) - 1kg - 20")</f>
        <v>[Nhãn thùng] GC - IV - 2207 - Cty Thiên Di (A Thành Dol) - ATOMIN 15WP (Bột trắng ngà) - 1kg - 20</v>
      </c>
      <c r="E2866" s="87" t="str">
        <f>IFERROR(__xludf.DUMMYFUNCTION("""COMPUTED_VALUE"""),"ATOMIN 15WP")</f>
        <v>ATOMIN 15WP</v>
      </c>
      <c r="F2866" s="87" t="str">
        <f>IFERROR(__xludf.DUMMYFUNCTION("""COMPUTED_VALUE"""),"HH2207")</f>
        <v>HH2207</v>
      </c>
      <c r="G2866" s="87" t="str">
        <f>IFERROR(__xludf.DUMMYFUNCTION("""COMPUTED_VALUE"""),"GC - IV - 2207 - Cty Thiên Di (A Thành Dol) - ATOMIN 15WP (Bột trắng ngà) - 1kg - 20")</f>
        <v>GC - IV - 2207 - Cty Thiên Di (A Thành Dol) - ATOMIN 15WP (Bột trắng ngà) - 1kg - 20</v>
      </c>
    </row>
    <row r="2867">
      <c r="A2867" s="86">
        <f>IFERROR(__xludf.DUMMYFUNCTION("""COMPUTED_VALUE"""),2865.0)</f>
        <v>2865</v>
      </c>
      <c r="B2867" s="87" t="str">
        <f>IFERROR(__xludf.DUMMYFUNCTION("""COMPUTED_VALUE"""),"Nhãn")</f>
        <v>Nhãn</v>
      </c>
      <c r="C2867" s="87" t="str">
        <f>IFERROR(__xludf.DUMMYFUNCTION("""COMPUTED_VALUE"""),"NHG2208")</f>
        <v>NHG2208</v>
      </c>
      <c r="D2867" s="87" t="str">
        <f>IFERROR(__xludf.DUMMYFUNCTION("""COMPUTED_VALUE"""),"[Nhãn] GC - IV - 2208 - THÀNH CÔNG AGRI - MITOP ONE 390SC (Nước vàng) - 250ml - 40")</f>
        <v>[Nhãn] GC - IV - 2208 - THÀNH CÔNG AGRI - MITOP ONE 390SC (Nước vàng) - 250ml - 40</v>
      </c>
      <c r="E2867" s="87" t="str">
        <f>IFERROR(__xludf.DUMMYFUNCTION("""COMPUTED_VALUE"""),"MITOP ONE 390SC")</f>
        <v>MITOP ONE 390SC</v>
      </c>
      <c r="F2867" s="87" t="str">
        <f>IFERROR(__xludf.DUMMYFUNCTION("""COMPUTED_VALUE"""),"HH2208")</f>
        <v>HH2208</v>
      </c>
      <c r="G2867" s="87" t="str">
        <f>IFERROR(__xludf.DUMMYFUNCTION("""COMPUTED_VALUE"""),"GC - IV - 2208 - THÀNH CÔNG AGRI - MITOP ONE 390SC (Nước vàng) - 250ml - 40")</f>
        <v>GC - IV - 2208 - THÀNH CÔNG AGRI - MITOP ONE 390SC (Nước vàng) - 250ml - 40</v>
      </c>
    </row>
    <row r="2868">
      <c r="A2868" s="86">
        <f>IFERROR(__xludf.DUMMYFUNCTION("""COMPUTED_VALUE"""),2866.0)</f>
        <v>2866</v>
      </c>
      <c r="B2868" s="87" t="str">
        <f>IFERROR(__xludf.DUMMYFUNCTION("""COMPUTED_VALUE"""),"Nhãn")</f>
        <v>Nhãn</v>
      </c>
      <c r="C2868" s="87" t="str">
        <f>IFERROR(__xludf.DUMMYFUNCTION("""COMPUTED_VALUE"""),"NHG2209")</f>
        <v>NHG2209</v>
      </c>
      <c r="D2868" s="87" t="str">
        <f>IFERROR(__xludf.DUMMYFUNCTION("""COMPUTED_VALUE"""),"[Nhãn] GC - IV - 2209 - THÀNH CÔNG AGRI - VATINO SUPER 525SE (Nước cam sữa) - 250ml - 40")</f>
        <v>[Nhãn] GC - IV - 2209 - THÀNH CÔNG AGRI - VATINO SUPER 525SE (Nước cam sữa) - 250ml - 40</v>
      </c>
      <c r="E2868" s="87" t="str">
        <f>IFERROR(__xludf.DUMMYFUNCTION("""COMPUTED_VALUE"""),"VATINO SUPER 525SE")</f>
        <v>VATINO SUPER 525SE</v>
      </c>
      <c r="F2868" s="87" t="str">
        <f>IFERROR(__xludf.DUMMYFUNCTION("""COMPUTED_VALUE"""),"HH2209")</f>
        <v>HH2209</v>
      </c>
      <c r="G2868" s="87" t="str">
        <f>IFERROR(__xludf.DUMMYFUNCTION("""COMPUTED_VALUE"""),"GC - IV - 2209 - THÀNH CÔNG AGRI - VATINO SUPER 525SE (Nước cam sữa) - 250ml - 40")</f>
        <v>GC - IV - 2209 - THÀNH CÔNG AGRI - VATINO SUPER 525SE (Nước cam sữa) - 250ml - 40</v>
      </c>
    </row>
    <row r="2869">
      <c r="A2869" s="86">
        <f>IFERROR(__xludf.DUMMYFUNCTION("""COMPUTED_VALUE"""),2867.0)</f>
        <v>2867</v>
      </c>
      <c r="B2869" s="87" t="str">
        <f>IFERROR(__xludf.DUMMYFUNCTION("""COMPUTED_VALUE"""),"Nhãn")</f>
        <v>Nhãn</v>
      </c>
      <c r="C2869" s="87" t="str">
        <f>IFERROR(__xludf.DUMMYFUNCTION("""COMPUTED_VALUE"""),"NHG2210")</f>
        <v>NHG2210</v>
      </c>
      <c r="D2869" s="87" t="str">
        <f>IFERROR(__xludf.DUMMYFUNCTION("""COMPUTED_VALUE"""),"[Nhãn] GC - IV - 2210 - THÀNH CÔNG AGRI - YAPOKO 250SC (Nước trắng sữa) - 240ml - 40")</f>
        <v>[Nhãn] GC - IV - 2210 - THÀNH CÔNG AGRI - YAPOKO 250SC (Nước trắng sữa) - 240ml - 40</v>
      </c>
      <c r="E2869" s="87" t="str">
        <f>IFERROR(__xludf.DUMMYFUNCTION("""COMPUTED_VALUE"""),"YAPOKO 250SC")</f>
        <v>YAPOKO 250SC</v>
      </c>
      <c r="F2869" s="87" t="str">
        <f>IFERROR(__xludf.DUMMYFUNCTION("""COMPUTED_VALUE"""),"HH2210")</f>
        <v>HH2210</v>
      </c>
      <c r="G2869" s="87" t="str">
        <f>IFERROR(__xludf.DUMMYFUNCTION("""COMPUTED_VALUE"""),"GC - IV - 2210 - THÀNH CÔNG AGRI - YAPOKO 250SC (Nước trắng sữa) - 240ml - 40")</f>
        <v>GC - IV - 2210 - THÀNH CÔNG AGRI - YAPOKO 250SC (Nước trắng sữa) - 240ml - 40</v>
      </c>
    </row>
    <row r="2870">
      <c r="A2870" s="86">
        <f>IFERROR(__xludf.DUMMYFUNCTION("""COMPUTED_VALUE"""),2868.0)</f>
        <v>2868</v>
      </c>
      <c r="B2870" s="87" t="str">
        <f>IFERROR(__xludf.DUMMYFUNCTION("""COMPUTED_VALUE"""),"Nhãn")</f>
        <v>Nhãn</v>
      </c>
      <c r="C2870" s="87" t="str">
        <f>IFERROR(__xludf.DUMMYFUNCTION("""COMPUTED_VALUE"""),"NHG2211")</f>
        <v>NHG2211</v>
      </c>
      <c r="D2870" s="87" t="str">
        <f>IFERROR(__xludf.DUMMYFUNCTION("""COMPUTED_VALUE"""),"[Nhãn] GC - IV - 2211 - THÀNH CÔNG AGRI - NANO VÔ GẠO (Nước đỏ) - 500ml - 30")</f>
        <v>[Nhãn] GC - IV - 2211 - THÀNH CÔNG AGRI - NANO VÔ GẠO (Nước đỏ) - 500ml - 30</v>
      </c>
      <c r="E2870" s="87" t="str">
        <f>IFERROR(__xludf.DUMMYFUNCTION("""COMPUTED_VALUE"""),"Vi lượng Quantity New")</f>
        <v>Vi lượng Quantity New</v>
      </c>
      <c r="F2870" s="87" t="str">
        <f>IFERROR(__xludf.DUMMYFUNCTION("""COMPUTED_VALUE"""),"HH2211")</f>
        <v>HH2211</v>
      </c>
      <c r="G2870" s="87" t="str">
        <f>IFERROR(__xludf.DUMMYFUNCTION("""COMPUTED_VALUE"""),"GC - IV - 2211 - THÀNH CÔNG AGRI - NANO VÔ GẠO (Nước đỏ) - 500ml - 30")</f>
        <v>GC - IV - 2211 - THÀNH CÔNG AGRI - NANO VÔ GẠO (Nước đỏ) - 500ml - 30</v>
      </c>
    </row>
    <row r="2871">
      <c r="A2871" s="86">
        <f>IFERROR(__xludf.DUMMYFUNCTION("""COMPUTED_VALUE"""),2869.0)</f>
        <v>2869</v>
      </c>
      <c r="B2871" s="87" t="str">
        <f>IFERROR(__xludf.DUMMYFUNCTION("""COMPUTED_VALUE"""),"Nhãn")</f>
        <v>Nhãn</v>
      </c>
      <c r="C2871" s="87" t="str">
        <f>IFERROR(__xludf.DUMMYFUNCTION("""COMPUTED_VALUE"""),"NHG2212")</f>
        <v>NHG2212</v>
      </c>
      <c r="D2871" s="87" t="str">
        <f>IFERROR(__xludf.DUMMYFUNCTION("""COMPUTED_VALUE"""),"[Nhãn] GC - IV - 2212 - THÀNH CÔNG AGRI - FU STOP (Gel nâu đen) - 500ml - 30")</f>
        <v>[Nhãn] GC - IV - 2212 - THÀNH CÔNG AGRI - FU STOP (Gel nâu đen) - 500ml - 30</v>
      </c>
      <c r="E2871" s="87" t="str">
        <f>IFERROR(__xludf.DUMMYFUNCTION("""COMPUTED_VALUE"""),"Vi lượng Quantity New")</f>
        <v>Vi lượng Quantity New</v>
      </c>
      <c r="F2871" s="87" t="str">
        <f>IFERROR(__xludf.DUMMYFUNCTION("""COMPUTED_VALUE"""),"HH2212")</f>
        <v>HH2212</v>
      </c>
      <c r="G2871" s="87" t="str">
        <f>IFERROR(__xludf.DUMMYFUNCTION("""COMPUTED_VALUE"""),"GC - IV - 2212 - THÀNH CÔNG AGRI - FU STOP (Gel nâu đen) - 500ml - 30")</f>
        <v>GC - IV - 2212 - THÀNH CÔNG AGRI - FU STOP (Gel nâu đen) - 500ml - 30</v>
      </c>
    </row>
    <row r="2872">
      <c r="A2872" s="86">
        <f>IFERROR(__xludf.DUMMYFUNCTION("""COMPUTED_VALUE"""),2870.0)</f>
        <v>2870</v>
      </c>
      <c r="B2872" s="87" t="str">
        <f>IFERROR(__xludf.DUMMYFUNCTION("""COMPUTED_VALUE"""),"Nhãn")</f>
        <v>Nhãn</v>
      </c>
      <c r="C2872" s="87" t="str">
        <f>IFERROR(__xludf.DUMMYFUNCTION("""COMPUTED_VALUE"""),"NHG2213")</f>
        <v>NHG2213</v>
      </c>
      <c r="D2872" s="87" t="str">
        <f>IFERROR(__xludf.DUMMYFUNCTION("""COMPUTED_VALUE"""),"[Nhãn] GC - IV - 2213 - Agritech - Hexavil - 1L - 20")</f>
        <v>[Nhãn] GC - IV - 2213 - Agritech - Hexavil - 1L - 20</v>
      </c>
      <c r="E2872" s="87" t="str">
        <f>IFERROR(__xludf.DUMMYFUNCTION("""COMPUTED_VALUE"""),"Mekongvil 5SC")</f>
        <v>Mekongvil 5SC</v>
      </c>
      <c r="F2872" s="87" t="str">
        <f>IFERROR(__xludf.DUMMYFUNCTION("""COMPUTED_VALUE"""),"HH2213")</f>
        <v>HH2213</v>
      </c>
      <c r="G2872" s="87" t="str">
        <f>IFERROR(__xludf.DUMMYFUNCTION("""COMPUTED_VALUE"""),"GC - IV - 2213 - Agritech - Hexavil - 1L - 20")</f>
        <v>GC - IV - 2213 - Agritech - Hexavil - 1L - 20</v>
      </c>
    </row>
    <row r="2873">
      <c r="A2873" s="86">
        <f>IFERROR(__xludf.DUMMYFUNCTION("""COMPUTED_VALUE"""),2871.0)</f>
        <v>2871</v>
      </c>
      <c r="B2873" s="87" t="str">
        <f>IFERROR(__xludf.DUMMYFUNCTION("""COMPUTED_VALUE"""),"Nhãn")</f>
        <v>Nhãn</v>
      </c>
      <c r="C2873" s="87" t="str">
        <f>IFERROR(__xludf.DUMMYFUNCTION("""COMPUTED_VALUE"""),"NHG2214")</f>
        <v>NHG2214</v>
      </c>
      <c r="D2873" s="87" t="str">
        <f>IFERROR(__xludf.DUMMYFUNCTION("""COMPUTED_VALUE"""),"[Nhãn] GC - IV - 2214 - ĐL PHONG HẢI - SANTO VIN (Nước hồng) - 1L - 20")</f>
        <v>[Nhãn] GC - IV - 2214 - ĐL PHONG HẢI - SANTO VIN (Nước hồng) - 1L - 20</v>
      </c>
      <c r="E2873" s="87" t="str">
        <f>IFERROR(__xludf.DUMMYFUNCTION("""COMPUTED_VALUE"""),"Mekongvil 5SC")</f>
        <v>Mekongvil 5SC</v>
      </c>
      <c r="F2873" s="87" t="str">
        <f>IFERROR(__xludf.DUMMYFUNCTION("""COMPUTED_VALUE"""),"HH2214")</f>
        <v>HH2214</v>
      </c>
      <c r="G2873" s="87" t="str">
        <f>IFERROR(__xludf.DUMMYFUNCTION("""COMPUTED_VALUE"""),"GC - IV - 2214 - ĐL PHONG HẢI - SANTO VIN (Nước hồng) - 1L - 20")</f>
        <v>GC - IV - 2214 - ĐL PHONG HẢI - SANTO VIN (Nước hồng) - 1L - 20</v>
      </c>
    </row>
    <row r="2874">
      <c r="A2874" s="86">
        <f>IFERROR(__xludf.DUMMYFUNCTION("""COMPUTED_VALUE"""),2872.0)</f>
        <v>2872</v>
      </c>
      <c r="B2874" s="87" t="str">
        <f>IFERROR(__xludf.DUMMYFUNCTION("""COMPUTED_VALUE"""),"Nhãn")</f>
        <v>Nhãn</v>
      </c>
      <c r="C2874" s="87" t="str">
        <f>IFERROR(__xludf.DUMMYFUNCTION("""COMPUTED_VALUE"""),"NHG2215")</f>
        <v>NHG2215</v>
      </c>
      <c r="D2874" s="87" t="str">
        <f>IFERROR(__xludf.DUMMYFUNCTION("""COMPUTED_VALUE"""),"[Nhãn] GC - IV - 2215 - CTY ECO - ECO SUPER.GROW (Nước xanh lá) - 100ml - 100")</f>
        <v>[Nhãn] GC - IV - 2215 - CTY ECO - ECO SUPER.GROW (Nước xanh lá) - 100ml - 100</v>
      </c>
      <c r="E2874" s="87" t="str">
        <f>IFERROR(__xludf.DUMMYFUNCTION("""COMPUTED_VALUE"""),"Vi lượng AGAMA-SUPPORT")</f>
        <v>Vi lượng AGAMA-SUPPORT</v>
      </c>
      <c r="F2874" s="87" t="str">
        <f>IFERROR(__xludf.DUMMYFUNCTION("""COMPUTED_VALUE"""),"HH2215")</f>
        <v>HH2215</v>
      </c>
      <c r="G2874" s="87" t="str">
        <f>IFERROR(__xludf.DUMMYFUNCTION("""COMPUTED_VALUE"""),"GC - IV - 2215 - CTY ECO - ECO SUPER.GROW (Nước xanh lá) - 100ml - 100")</f>
        <v>GC - IV - 2215 - CTY ECO - ECO SUPER.GROW (Nước xanh lá) - 100ml - 100</v>
      </c>
    </row>
    <row r="2875">
      <c r="A2875" s="86">
        <f>IFERROR(__xludf.DUMMYFUNCTION("""COMPUTED_VALUE"""),2873.0)</f>
        <v>2873</v>
      </c>
      <c r="B2875" s="87" t="str">
        <f>IFERROR(__xludf.DUMMYFUNCTION("""COMPUTED_VALUE"""),"Nhãn")</f>
        <v>Nhãn</v>
      </c>
      <c r="C2875" s="87" t="str">
        <f>IFERROR(__xludf.DUMMYFUNCTION("""COMPUTED_VALUE"""),"NHG2216")</f>
        <v>NHG2216</v>
      </c>
      <c r="D2875" s="87" t="str">
        <f>IFERROR(__xludf.DUMMYFUNCTION("""COMPUTED_VALUE"""),"[Nhãn] GC - IV - 2216 - CTY VIN AG - BEST TEPHON (Nước xanh lá) - 100ml - 100")</f>
        <v>[Nhãn] GC - IV - 2216 - CTY VIN AG - BEST TEPHON (Nước xanh lá) - 100ml - 100</v>
      </c>
      <c r="E2875" s="87" t="str">
        <f>IFERROR(__xludf.DUMMYFUNCTION("""COMPUTED_VALUE"""),"Vi lượng AGAMA-SUPPORT")</f>
        <v>Vi lượng AGAMA-SUPPORT</v>
      </c>
      <c r="F2875" s="87" t="str">
        <f>IFERROR(__xludf.DUMMYFUNCTION("""COMPUTED_VALUE"""),"HH2216")</f>
        <v>HH2216</v>
      </c>
      <c r="G2875" s="87" t="str">
        <f>IFERROR(__xludf.DUMMYFUNCTION("""COMPUTED_VALUE"""),"GC - IV - 2216 - CTY VIN AG - BEST TEPHON (Nước xanh lá) - 100ml - 100")</f>
        <v>GC - IV - 2216 - CTY VIN AG - BEST TEPHON (Nước xanh lá) - 100ml - 100</v>
      </c>
    </row>
    <row r="2876">
      <c r="A2876" s="86">
        <f>IFERROR(__xludf.DUMMYFUNCTION("""COMPUTED_VALUE"""),2874.0)</f>
        <v>2874</v>
      </c>
      <c r="B2876" s="87" t="str">
        <f>IFERROR(__xludf.DUMMYFUNCTION("""COMPUTED_VALUE"""),"Nhãn")</f>
        <v>Nhãn</v>
      </c>
      <c r="C2876" s="87" t="str">
        <f>IFERROR(__xludf.DUMMYFUNCTION("""COMPUTED_VALUE"""),"NTN2217")</f>
        <v>NTN2217</v>
      </c>
      <c r="D2876" s="87" t="str">
        <f>IFERROR(__xludf.DUMMYFUNCTION("""COMPUTED_VALUE"""),"[Nhãn] GC - IV - 2217 - Cty NHP Group - ĐẠI BÀNG XANH (dạng cốm màu trắng ngà) - 50gr - 100
")</f>
        <v>[Nhãn] GC - IV - 2217 - Cty NHP Group - ĐẠI BÀNG XANH (dạng cốm màu trắng ngà) - 50gr - 100
</v>
      </c>
      <c r="E2876" s="87" t="str">
        <f>IFERROR(__xludf.DUMMYFUNCTION("""COMPUTED_VALUE"""),"MAKEGREEN 55WG")</f>
        <v>MAKEGREEN 55WG</v>
      </c>
      <c r="F2876" s="87" t="str">
        <f>IFERROR(__xludf.DUMMYFUNCTION("""COMPUTED_VALUE"""),"HH2217")</f>
        <v>HH2217</v>
      </c>
      <c r="G2876" s="87" t="str">
        <f>IFERROR(__xludf.DUMMYFUNCTION("""COMPUTED_VALUE"""),"GC - IV - 2217 - Cty NHP Group - ĐẠI BÀNG XANH (dạng cốm màu trắng ngà) - 50gr - 100
")</f>
        <v>GC - IV - 2217 - Cty NHP Group - ĐẠI BÀNG XANH (dạng cốm màu trắng ngà) - 50gr - 100
</v>
      </c>
    </row>
    <row r="2877">
      <c r="A2877" s="86">
        <f>IFERROR(__xludf.DUMMYFUNCTION("""COMPUTED_VALUE"""),2875.0)</f>
        <v>2875</v>
      </c>
      <c r="B2877" s="87" t="str">
        <f>IFERROR(__xludf.DUMMYFUNCTION("""COMPUTED_VALUE"""),"Nhãn thùng")</f>
        <v>Nhãn thùng</v>
      </c>
      <c r="C2877" s="87" t="str">
        <f>IFERROR(__xludf.DUMMYFUNCTION("""COMPUTED_VALUE"""),"NDT2217")</f>
        <v>NDT2217</v>
      </c>
      <c r="D2877" s="87" t="str">
        <f>IFERROR(__xludf.DUMMYFUNCTION("""COMPUTED_VALUE"""),"[Nhãn thùng] GC - IV - 2217 - Cty NHP Group - ĐẠI BÀNG XANH (dạng cốm màu trắng ngà) - 50gr - 100")</f>
        <v>[Nhãn thùng] GC - IV - 2217 - Cty NHP Group - ĐẠI BÀNG XANH (dạng cốm màu trắng ngà) - 50gr - 100</v>
      </c>
      <c r="E2877" s="87" t="str">
        <f>IFERROR(__xludf.DUMMYFUNCTION("""COMPUTED_VALUE"""),"MAKEGREEN 55WG")</f>
        <v>MAKEGREEN 55WG</v>
      </c>
      <c r="F2877" s="87" t="str">
        <f>IFERROR(__xludf.DUMMYFUNCTION("""COMPUTED_VALUE"""),"HH2217")</f>
        <v>HH2217</v>
      </c>
      <c r="G2877" s="87" t="str">
        <f>IFERROR(__xludf.DUMMYFUNCTION("""COMPUTED_VALUE"""),"GC - IV - 2217 - Cty NHP Group - ĐẠI BÀNG XANH (dạng cốm màu trắng ngà) - 50gr - 100
")</f>
        <v>GC - IV - 2217 - Cty NHP Group - ĐẠI BÀNG XANH (dạng cốm màu trắng ngà) - 50gr - 100
</v>
      </c>
    </row>
    <row r="2878">
      <c r="A2878" s="86">
        <f>IFERROR(__xludf.DUMMYFUNCTION("""COMPUTED_VALUE"""),2876.0)</f>
        <v>2876</v>
      </c>
      <c r="B2878" s="87" t="str">
        <f>IFERROR(__xludf.DUMMYFUNCTION("""COMPUTED_VALUE"""),"Nhãn")</f>
        <v>Nhãn</v>
      </c>
      <c r="C2878" s="87" t="str">
        <f>IFERROR(__xludf.DUMMYFUNCTION("""COMPUTED_VALUE"""),"NHG2218")</f>
        <v>NHG2218</v>
      </c>
      <c r="D2878" s="87" t="str">
        <f>IFERROR(__xludf.DUMMYFUNCTION("""COMPUTED_VALUE"""),"[Nhãn] GC - IV - 2218 - GNH - MK936 (nước nâu đen) - 450ml - 40")</f>
        <v>[Nhãn] GC - IV - 2218 - GNH - MK936 (nước nâu đen) - 450ml - 40</v>
      </c>
      <c r="E2878" s="87" t="str">
        <f>IFERROR(__xludf.DUMMYFUNCTION("""COMPUTED_VALUE"""),"HAIHAMEC 3.6EC")</f>
        <v>HAIHAMEC 3.6EC</v>
      </c>
      <c r="F2878" s="87" t="str">
        <f>IFERROR(__xludf.DUMMYFUNCTION("""COMPUTED_VALUE"""),"HH2218")</f>
        <v>HH2218</v>
      </c>
      <c r="G2878" s="87" t="str">
        <f>IFERROR(__xludf.DUMMYFUNCTION("""COMPUTED_VALUE"""),"GC - IV - 2218 - GNH - MK936 (nước nâu đen) - 450ml - 40")</f>
        <v>GC - IV - 2218 - GNH - MK936 (nước nâu đen) - 450ml - 40</v>
      </c>
    </row>
    <row r="2879">
      <c r="A2879" s="86">
        <f>IFERROR(__xludf.DUMMYFUNCTION("""COMPUTED_VALUE"""),2877.0)</f>
        <v>2877</v>
      </c>
      <c r="B2879" s="87" t="str">
        <f>IFERROR(__xludf.DUMMYFUNCTION("""COMPUTED_VALUE"""),"Nhãn")</f>
        <v>Nhãn</v>
      </c>
      <c r="C2879" s="87" t="str">
        <f>IFERROR(__xludf.DUMMYFUNCTION("""COMPUTED_VALUE"""),"NHD2219")</f>
        <v>NHD2219</v>
      </c>
      <c r="D2879" s="87" t="str">
        <f>IFERROR(__xludf.DUMMYFUNCTION("""COMPUTED_VALUE"""),"[Nhãn] IDA Global - I - 2219 - ĐL PHAN THANH BƯỜN - AVERMECTIN (Nước nâu đen) - 450ml - 40")</f>
        <v>[Nhãn] IDA Global - I - 2219 - ĐL PHAN THANH BƯỜN - AVERMECTIN (Nước nâu đen) - 450ml - 40</v>
      </c>
      <c r="E2879" s="87" t="str">
        <f>IFERROR(__xludf.DUMMYFUNCTION("""COMPUTED_VALUE"""),"Chitin 3.6EC")</f>
        <v>Chitin 3.6EC</v>
      </c>
      <c r="F2879" s="87" t="str">
        <f>IFERROR(__xludf.DUMMYFUNCTION("""COMPUTED_VALUE"""),"HH2219")</f>
        <v>HH2219</v>
      </c>
      <c r="G2879" s="87" t="str">
        <f>IFERROR(__xludf.DUMMYFUNCTION("""COMPUTED_VALUE"""),"IDA Global - I - 2219 - ĐL PHAN THANH BƯỜN - AVERMECTIN (Nước nâu đen) - 450ml - 40")</f>
        <v>IDA Global - I - 2219 - ĐL PHAN THANH BƯỜN - AVERMECTIN (Nước nâu đen) - 450ml - 40</v>
      </c>
    </row>
    <row r="2880">
      <c r="A2880" s="86">
        <f>IFERROR(__xludf.DUMMYFUNCTION("""COMPUTED_VALUE"""),2878.0)</f>
        <v>2878</v>
      </c>
      <c r="B2880" s="87" t="str">
        <f>IFERROR(__xludf.DUMMYFUNCTION("""COMPUTED_VALUE"""),"Nhãn thùng")</f>
        <v>Nhãn thùng</v>
      </c>
      <c r="C2880" s="87" t="str">
        <f>IFERROR(__xludf.DUMMYFUNCTION("""COMPUTED_VALUE"""),"NDT2219")</f>
        <v>NDT2219</v>
      </c>
      <c r="D2880" s="87" t="str">
        <f>IFERROR(__xludf.DUMMYFUNCTION("""COMPUTED_VALUE"""),"[Nhãn thùng] IDA Global - I - 2219 - ĐL PHAN THANH BƯỜN - AVERMECTIN (Nước nâu đen) - 450ml - 40")</f>
        <v>[Nhãn thùng] IDA Global - I - 2219 - ĐL PHAN THANH BƯỜN - AVERMECTIN (Nước nâu đen) - 450ml - 40</v>
      </c>
      <c r="E2880" s="87" t="str">
        <f>IFERROR(__xludf.DUMMYFUNCTION("""COMPUTED_VALUE"""),"Chitin 3.6EC")</f>
        <v>Chitin 3.6EC</v>
      </c>
      <c r="F2880" s="87" t="str">
        <f>IFERROR(__xludf.DUMMYFUNCTION("""COMPUTED_VALUE"""),"HH2219")</f>
        <v>HH2219</v>
      </c>
      <c r="G2880" s="87" t="str">
        <f>IFERROR(__xludf.DUMMYFUNCTION("""COMPUTED_VALUE"""),"IDA Global - I - 2219 - ĐL PHAN THANH BƯỜN - AVERMECTIN (Nước nâu đen) - 450ml - 40")</f>
        <v>IDA Global - I - 2219 - ĐL PHAN THANH BƯỜN - AVERMECTIN (Nước nâu đen) - 450ml - 40</v>
      </c>
    </row>
    <row r="2881">
      <c r="A2881" s="86">
        <f>IFERROR(__xludf.DUMMYFUNCTION("""COMPUTED_VALUE"""),2879.0)</f>
        <v>2879</v>
      </c>
      <c r="B2881" s="87" t="str">
        <f>IFERROR(__xludf.DUMMYFUNCTION("""COMPUTED_VALUE"""),"Nhãn")</f>
        <v>Nhãn</v>
      </c>
      <c r="C2881" s="87" t="str">
        <f>IFERROR(__xludf.DUMMYFUNCTION("""COMPUTED_VALUE"""),"NHD2221")</f>
        <v>NHD2221</v>
      </c>
      <c r="D2881" s="87" t="str">
        <f>IFERROR(__xludf.DUMMYFUNCTION("""COMPUTED_VALUE"""),"[Nhãn] GC - IV - 2221 - Thiên Di - Ema 21 Gold (nước vàng trà) - 450ml - 40")</f>
        <v>[Nhãn] GC - IV - 2221 - Thiên Di - Ema 21 Gold (nước vàng trà) - 450ml - 40</v>
      </c>
      <c r="E2881" s="87"/>
      <c r="F2881" s="87"/>
      <c r="G2881" s="87"/>
    </row>
    <row r="2882">
      <c r="A2882" s="86">
        <f>IFERROR(__xludf.DUMMYFUNCTION("""COMPUTED_VALUE"""),2880.0)</f>
        <v>2880</v>
      </c>
      <c r="B2882" s="87" t="str">
        <f>IFERROR(__xludf.DUMMYFUNCTION("""COMPUTED_VALUE"""),"PEST")</f>
        <v>PEST</v>
      </c>
      <c r="C2882" s="87" t="str">
        <f>IFERROR(__xludf.DUMMYFUNCTION("""COMPUTED_VALUE"""),"900ml")</f>
        <v>900ml</v>
      </c>
      <c r="D2882" s="87" t="str">
        <f>IFERROR(__xludf.DUMMYFUNCTION("""COMPUTED_VALUE"""),"20")</f>
        <v>20</v>
      </c>
      <c r="E2882" s="87" t="str">
        <f>IFERROR(__xludf.DUMMYFUNCTION("""COMPUTED_VALUE"""),"Nhãn giấy cán bóng")</f>
        <v>Nhãn giấy cán bóng</v>
      </c>
      <c r="F2882" s="87" t="str">
        <f>IFERROR(__xludf.DUMMYFUNCTION("""COMPUTED_VALUE"""),"Cái")</f>
        <v>Cái</v>
      </c>
      <c r="G2882" s="87"/>
    </row>
    <row r="2883">
      <c r="A2883" s="86">
        <f>IFERROR(__xludf.DUMMYFUNCTION("""COMPUTED_VALUE"""),2881.0)</f>
        <v>2881</v>
      </c>
      <c r="B2883" s="87" t="str">
        <f>IFERROR(__xludf.DUMMYFUNCTION("""COMPUTED_VALUE"""),"Nhãn thùng")</f>
        <v>Nhãn thùng</v>
      </c>
      <c r="C2883" s="87" t="str">
        <f>IFERROR(__xludf.DUMMYFUNCTION("""COMPUTED_VALUE"""),"NDT2221")</f>
        <v>NDT2221</v>
      </c>
      <c r="D2883" s="87" t="str">
        <f>IFERROR(__xludf.DUMMYFUNCTION("""COMPUTED_VALUE"""),"[Nhãn thùng] GC - IV - 2221 - Thiên Di - Ema 21 Gold (nước vàng trà) - 450ml - 40")</f>
        <v>[Nhãn thùng] GC - IV - 2221 - Thiên Di - Ema 21 Gold (nước vàng trà) - 450ml - 40</v>
      </c>
      <c r="E2883" s="87"/>
      <c r="F2883" s="87"/>
      <c r="G2883" s="87"/>
    </row>
    <row r="2884">
      <c r="A2884" s="86">
        <f>IFERROR(__xludf.DUMMYFUNCTION("""COMPUTED_VALUE"""),2882.0)</f>
        <v>2882</v>
      </c>
      <c r="B2884" s="87" t="str">
        <f>IFERROR(__xludf.DUMMYFUNCTION("""COMPUTED_VALUE"""),"PEST")</f>
        <v>PEST</v>
      </c>
      <c r="C2884" s="87" t="str">
        <f>IFERROR(__xludf.DUMMYFUNCTION("""COMPUTED_VALUE"""),"900ml")</f>
        <v>900ml</v>
      </c>
      <c r="D2884" s="87" t="str">
        <f>IFERROR(__xludf.DUMMYFUNCTION("""COMPUTED_VALUE"""),"20")</f>
        <v>20</v>
      </c>
      <c r="E2884" s="87" t="str">
        <f>IFERROR(__xludf.DUMMYFUNCTION("""COMPUTED_VALUE"""),"Nhãn giấy cán bóng")</f>
        <v>Nhãn giấy cán bóng</v>
      </c>
      <c r="F2884" s="87" t="str">
        <f>IFERROR(__xludf.DUMMYFUNCTION("""COMPUTED_VALUE"""),"Cái")</f>
        <v>Cái</v>
      </c>
      <c r="G2884" s="87"/>
    </row>
    <row r="2885">
      <c r="A2885" s="86">
        <f>IFERROR(__xludf.DUMMYFUNCTION("""COMPUTED_VALUE"""),2883.0)</f>
        <v>2883</v>
      </c>
      <c r="B2885" s="87" t="str">
        <f>IFERROR(__xludf.DUMMYFUNCTION("""COMPUTED_VALUE"""),"Nhãn")</f>
        <v>Nhãn</v>
      </c>
      <c r="C2885" s="87" t="str">
        <f>IFERROR(__xludf.DUMMYFUNCTION("""COMPUTED_VALUE"""),"NHD2228")</f>
        <v>NHD2228</v>
      </c>
      <c r="D2885" s="87" t="str">
        <f>IFERROR(__xludf.DUMMYFUNCTION("""COMPUTED_VALUE"""),"[Nhãn] GC - II - 2228 - AGC - Gamma (nước đỏ) (chai PET vuông) - 450ml - 40")</f>
        <v>[Nhãn] GC - II - 2228 - AGC - Gamma (nước đỏ) (chai PET vuông) - 450ml - 40</v>
      </c>
      <c r="E2885" s="87" t="str">
        <f>IFERROR(__xludf.DUMMYFUNCTION("""COMPUTED_VALUE"""),"Creek 2.1EC")</f>
        <v>Creek 2.1EC</v>
      </c>
      <c r="F2885" s="87" t="str">
        <f>IFERROR(__xludf.DUMMYFUNCTION("""COMPUTED_VALUE"""),"HH2228")</f>
        <v>HH2228</v>
      </c>
      <c r="G2885" s="87" t="str">
        <f>IFERROR(__xludf.DUMMYFUNCTION("""COMPUTED_VALUE"""),"GC - II - 2228 - AGC - Gamma (nước đỏ) (chai PET vuông) - 450ml - 40")</f>
        <v>GC - II - 2228 - AGC - Gamma (nước đỏ) (chai PET vuông) - 450ml - 40</v>
      </c>
    </row>
    <row r="2886">
      <c r="A2886" s="86">
        <f>IFERROR(__xludf.DUMMYFUNCTION("""COMPUTED_VALUE"""),2884.0)</f>
        <v>2884</v>
      </c>
      <c r="B2886" s="87" t="str">
        <f>IFERROR(__xludf.DUMMYFUNCTION("""COMPUTED_VALUE"""),"Nhãn thùng")</f>
        <v>Nhãn thùng</v>
      </c>
      <c r="C2886" s="87" t="str">
        <f>IFERROR(__xludf.DUMMYFUNCTION("""COMPUTED_VALUE"""),"NDT2228")</f>
        <v>NDT2228</v>
      </c>
      <c r="D2886" s="87" t="str">
        <f>IFERROR(__xludf.DUMMYFUNCTION("""COMPUTED_VALUE"""),"[Nhãn thùng] GC - II - 2228 - AGC - Gamma (nước đỏ) (chai PET vuông) - 450ml - 40")</f>
        <v>[Nhãn thùng] GC - II - 2228 - AGC - Gamma (nước đỏ) (chai PET vuông) - 450ml - 40</v>
      </c>
      <c r="E2886" s="87" t="str">
        <f>IFERROR(__xludf.DUMMYFUNCTION("""COMPUTED_VALUE"""),"Creek 2.1EC")</f>
        <v>Creek 2.1EC</v>
      </c>
      <c r="F2886" s="87" t="str">
        <f>IFERROR(__xludf.DUMMYFUNCTION("""COMPUTED_VALUE"""),"HH2228")</f>
        <v>HH2228</v>
      </c>
      <c r="G2886" s="87" t="str">
        <f>IFERROR(__xludf.DUMMYFUNCTION("""COMPUTED_VALUE"""),"GC - II - 2228 - AGC - Gamma (nước đỏ) (chai PET vuông) - 450ml - 40")</f>
        <v>GC - II - 2228 - AGC - Gamma (nước đỏ) (chai PET vuông) - 450ml - 40</v>
      </c>
    </row>
    <row r="2887">
      <c r="A2887" s="86">
        <f>IFERROR(__xludf.DUMMYFUNCTION("""COMPUTED_VALUE"""),2885.0)</f>
        <v>2885</v>
      </c>
      <c r="B2887" s="87" t="str">
        <f>IFERROR(__xludf.DUMMYFUNCTION("""COMPUTED_VALUE"""),"Nhãn")</f>
        <v>Nhãn</v>
      </c>
      <c r="C2887" s="87" t="str">
        <f>IFERROR(__xludf.DUMMYFUNCTION("""COMPUTED_VALUE"""),"NTN2229")</f>
        <v>NTN2229</v>
      </c>
      <c r="D2887" s="87" t="str">
        <f>IFERROR(__xludf.DUMMYFUNCTION("""COMPUTED_VALUE"""),"[Nhãn] GC - IV - 2229 - Cty NANOTECH USA - MANCOZEB (bột xanh) - 1kg - 20")</f>
        <v>[Nhãn] GC - IV - 2229 - Cty NANOTECH USA - MANCOZEB (bột xanh) - 1kg - 20</v>
      </c>
      <c r="E2887" s="87" t="str">
        <f>IFERROR(__xludf.DUMMYFUNCTION("""COMPUTED_VALUE"""),"MANCOBGO 80WP")</f>
        <v>MANCOBGO 80WP</v>
      </c>
      <c r="F2887" s="87" t="str">
        <f>IFERROR(__xludf.DUMMYFUNCTION("""COMPUTED_VALUE"""),"HH2229")</f>
        <v>HH2229</v>
      </c>
      <c r="G2887" s="87" t="str">
        <f>IFERROR(__xludf.DUMMYFUNCTION("""COMPUTED_VALUE"""),"GC - IV - 2229 - Cty NANOTECH USA - MANCOZEB (bột xanh) - 1kg - 20")</f>
        <v>GC - IV - 2229 - Cty NANOTECH USA - MANCOZEB (bột xanh) - 1kg - 20</v>
      </c>
    </row>
    <row r="2888">
      <c r="A2888" s="86">
        <f>IFERROR(__xludf.DUMMYFUNCTION("""COMPUTED_VALUE"""),2886.0)</f>
        <v>2886</v>
      </c>
      <c r="B2888" s="87" t="str">
        <f>IFERROR(__xludf.DUMMYFUNCTION("""COMPUTED_VALUE"""),"Nhãn thùng")</f>
        <v>Nhãn thùng</v>
      </c>
      <c r="C2888" s="87" t="str">
        <f>IFERROR(__xludf.DUMMYFUNCTION("""COMPUTED_VALUE"""),"NDT2229")</f>
        <v>NDT2229</v>
      </c>
      <c r="D2888" s="87" t="str">
        <f>IFERROR(__xludf.DUMMYFUNCTION("""COMPUTED_VALUE"""),"[Nhãn thùng] GC - IV - 2229 - Cty NANOTECH USA - MANCOZEB (bột xanh) - 1kg - 20")</f>
        <v>[Nhãn thùng] GC - IV - 2229 - Cty NANOTECH USA - MANCOZEB (bột xanh) - 1kg - 20</v>
      </c>
      <c r="E2888" s="87" t="str">
        <f>IFERROR(__xludf.DUMMYFUNCTION("""COMPUTED_VALUE"""),"MANCOBGO 80WP")</f>
        <v>MANCOBGO 80WP</v>
      </c>
      <c r="F2888" s="87" t="str">
        <f>IFERROR(__xludf.DUMMYFUNCTION("""COMPUTED_VALUE"""),"HH2229")</f>
        <v>HH2229</v>
      </c>
      <c r="G2888" s="87" t="str">
        <f>IFERROR(__xludf.DUMMYFUNCTION("""COMPUTED_VALUE"""),"GC - IV - 2229 - Cty NANOTECH USA - MANCOZEB (bột xanh) - 1kg - 20")</f>
        <v>GC - IV - 2229 - Cty NANOTECH USA - MANCOZEB (bột xanh) - 1kg - 20</v>
      </c>
    </row>
    <row r="2889">
      <c r="A2889" s="86">
        <f>IFERROR(__xludf.DUMMYFUNCTION("""COMPUTED_VALUE"""),2887.0)</f>
        <v>2887</v>
      </c>
      <c r="B2889" s="87" t="str">
        <f>IFERROR(__xludf.DUMMYFUNCTION("""COMPUTED_VALUE"""),"Nhãn")</f>
        <v>Nhãn</v>
      </c>
      <c r="C2889" s="87" t="str">
        <f>IFERROR(__xludf.DUMMYFUNCTION("""COMPUTED_VALUE"""),"NHG2230")</f>
        <v>NHG2230</v>
      </c>
      <c r="D2889" s="87" t="str">
        <f>IFERROR(__xludf.DUMMYFUNCTION("""COMPUTED_VALUE"""),"[Nhãn]  GC - IV - 2230 - Cty Hóa Nông Shino - BIM SHINO (Nước cam sữa) - 500ml - 30")</f>
        <v>[Nhãn]  GC - IV - 2230 - Cty Hóa Nông Shino - BIM SHINO (Nước cam sữa) - 500ml - 30</v>
      </c>
      <c r="E2889" s="87" t="str">
        <f>IFERROR(__xludf.DUMMYFUNCTION("""COMPUTED_VALUE"""),"AMILAN 300SC")</f>
        <v>AMILAN 300SC</v>
      </c>
      <c r="F2889" s="87" t="str">
        <f>IFERROR(__xludf.DUMMYFUNCTION("""COMPUTED_VALUE"""),"HH2230")</f>
        <v>HH2230</v>
      </c>
      <c r="G2889" s="87" t="str">
        <f>IFERROR(__xludf.DUMMYFUNCTION("""COMPUTED_VALUE"""),"GC - IV - 2230 - Cty Hóa Nông Shino - BIM SHINO (Nước cam sữa) - 500ml - 30")</f>
        <v>GC - IV - 2230 - Cty Hóa Nông Shino - BIM SHINO (Nước cam sữa) - 500ml - 30</v>
      </c>
    </row>
    <row r="2890">
      <c r="A2890" s="86">
        <f>IFERROR(__xludf.DUMMYFUNCTION("""COMPUTED_VALUE"""),2888.0)</f>
        <v>2888</v>
      </c>
      <c r="B2890" s="87" t="str">
        <f>IFERROR(__xludf.DUMMYFUNCTION("""COMPUTED_VALUE"""),"Nhãn")</f>
        <v>Nhãn</v>
      </c>
      <c r="C2890" s="87" t="str">
        <f>IFERROR(__xludf.DUMMYFUNCTION("""COMPUTED_VALUE"""),"NHG2231")</f>
        <v>NHG2231</v>
      </c>
      <c r="D2890" s="87" t="str">
        <f>IFERROR(__xludf.DUMMYFUNCTION("""COMPUTED_VALUE"""),"[Nhãn] GC - IV - 2231 - Cty Sen Hồng (A.Diễn) - NANO 4.0 SIÊU CỨNG CÂY (Nước nâu đen) - 400ml - 30")</f>
        <v>[Nhãn] GC - IV - 2231 - Cty Sen Hồng (A.Diễn) - NANO 4.0 SIÊU CỨNG CÂY (Nước nâu đen) - 400ml - 30</v>
      </c>
      <c r="E2890" s="87" t="str">
        <f>IFERROR(__xludf.DUMMYFUNCTION("""COMPUTED_VALUE"""),"Vi lượng Quantity New")</f>
        <v>Vi lượng Quantity New</v>
      </c>
      <c r="F2890" s="87" t="str">
        <f>IFERROR(__xludf.DUMMYFUNCTION("""COMPUTED_VALUE"""),"HH2231")</f>
        <v>HH2231</v>
      </c>
      <c r="G2890" s="87" t="str">
        <f>IFERROR(__xludf.DUMMYFUNCTION("""COMPUTED_VALUE"""),"GC - IV - 2231 - Cty Sen Hồng (A.Diễn) - NANO 4.0 SIÊU CỨNG CÂY (Nước nâu đen) - 400ml - 30")</f>
        <v>GC - IV - 2231 - Cty Sen Hồng (A.Diễn) - NANO 4.0 SIÊU CỨNG CÂY (Nước nâu đen) - 400ml - 30</v>
      </c>
    </row>
    <row r="2891">
      <c r="A2891" s="86">
        <f>IFERROR(__xludf.DUMMYFUNCTION("""COMPUTED_VALUE"""),2889.0)</f>
        <v>2889</v>
      </c>
      <c r="B2891" s="87" t="str">
        <f>IFERROR(__xludf.DUMMYFUNCTION("""COMPUTED_VALUE"""),"Nhãn")</f>
        <v>Nhãn</v>
      </c>
      <c r="C2891" s="87" t="str">
        <f>IFERROR(__xludf.DUMMYFUNCTION("""COMPUTED_VALUE"""),"NHG2232")</f>
        <v>NHG2232</v>
      </c>
      <c r="D2891" s="87" t="str">
        <f>IFERROR(__xludf.DUMMYFUNCTION("""COMPUTED_VALUE"""),"[Nhãn] GC - IV - 2232 - CTY USAFARM - ROOT 90 (Nước nâu đen) - 250ml - 40")</f>
        <v>[Nhãn] GC - IV - 2232 - CTY USAFARM - ROOT 90 (Nước nâu đen) - 250ml - 40</v>
      </c>
      <c r="E2891" s="87" t="str">
        <f>IFERROR(__xludf.DUMMYFUNCTION("""COMPUTED_VALUE"""),"Hữu cơ SH Agro Organic Fertilizer 20")</f>
        <v>Hữu cơ SH Agro Organic Fertilizer 20</v>
      </c>
      <c r="F2891" s="87" t="str">
        <f>IFERROR(__xludf.DUMMYFUNCTION("""COMPUTED_VALUE"""),"HH2232")</f>
        <v>HH2232</v>
      </c>
      <c r="G2891" s="87" t="str">
        <f>IFERROR(__xludf.DUMMYFUNCTION("""COMPUTED_VALUE"""),"GC - IV - 2232 - CTY USAFARM - ROOT 90 (Nước nâu đen) - 250ml - 40")</f>
        <v>GC - IV - 2232 - CTY USAFARM - ROOT 90 (Nước nâu đen) - 250ml - 40</v>
      </c>
    </row>
    <row r="2892">
      <c r="A2892" s="86">
        <f>IFERROR(__xludf.DUMMYFUNCTION("""COMPUTED_VALUE"""),2890.0)</f>
        <v>2890</v>
      </c>
      <c r="B2892" s="87" t="str">
        <f>IFERROR(__xludf.DUMMYFUNCTION("""COMPUTED_VALUE"""),"Nhãn")</f>
        <v>Nhãn</v>
      </c>
      <c r="C2892" s="87" t="str">
        <f>IFERROR(__xludf.DUMMYFUNCTION("""COMPUTED_VALUE"""),"NHD2233")</f>
        <v>NHD2233</v>
      </c>
      <c r="D2892" s="87" t="str">
        <f>IFERROR(__xludf.DUMMYFUNCTION("""COMPUTED_VALUE"""),"[Nhãn] GC - IV - 2233 - Agritech - Bio Organic (Nước nâu đen) - 5L - 4")</f>
        <v>[Nhãn] GC - IV - 2233 - Agritech - Bio Organic (Nước nâu đen) - 5L - 4</v>
      </c>
      <c r="E2892" s="87" t="str">
        <f>IFERROR(__xludf.DUMMYFUNCTION("""COMPUTED_VALUE"""),"Vi lượng Quantity New")</f>
        <v>Vi lượng Quantity New</v>
      </c>
      <c r="F2892" s="87" t="str">
        <f>IFERROR(__xludf.DUMMYFUNCTION("""COMPUTED_VALUE"""),"HH2233")</f>
        <v>HH2233</v>
      </c>
      <c r="G2892" s="87" t="str">
        <f>IFERROR(__xludf.DUMMYFUNCTION("""COMPUTED_VALUE"""),"GC - IV - 2233 - Agritech - Bio Organic (Nước nâu đen) - 5L - 4")</f>
        <v>GC - IV - 2233 - Agritech - Bio Organic (Nước nâu đen) - 5L - 4</v>
      </c>
    </row>
    <row r="2893">
      <c r="A2893" s="86">
        <f>IFERROR(__xludf.DUMMYFUNCTION("""COMPUTED_VALUE"""),2891.0)</f>
        <v>2891</v>
      </c>
      <c r="B2893" s="87" t="str">
        <f>IFERROR(__xludf.DUMMYFUNCTION("""COMPUTED_VALUE"""),"Nhãn thùng")</f>
        <v>Nhãn thùng</v>
      </c>
      <c r="C2893" s="87" t="str">
        <f>IFERROR(__xludf.DUMMYFUNCTION("""COMPUTED_VALUE"""),"NDT2233")</f>
        <v>NDT2233</v>
      </c>
      <c r="D2893" s="87" t="str">
        <f>IFERROR(__xludf.DUMMYFUNCTION("""COMPUTED_VALUE"""),"[Nhãn thùng] GC - IV - 2233 - Agritech - Bio Organic (Nước nâu đen) - 5L - 4")</f>
        <v>[Nhãn thùng] GC - IV - 2233 - Agritech - Bio Organic (Nước nâu đen) - 5L - 4</v>
      </c>
      <c r="E2893" s="87" t="str">
        <f>IFERROR(__xludf.DUMMYFUNCTION("""COMPUTED_VALUE"""),"Vi lượng Quantity New")</f>
        <v>Vi lượng Quantity New</v>
      </c>
      <c r="F2893" s="87" t="str">
        <f>IFERROR(__xludf.DUMMYFUNCTION("""COMPUTED_VALUE"""),"HH2233")</f>
        <v>HH2233</v>
      </c>
      <c r="G2893" s="87" t="str">
        <f>IFERROR(__xludf.DUMMYFUNCTION("""COMPUTED_VALUE"""),"GC - IV - 2233 - Agritech - Bio Organic (Nước nâu đen) - 5L - 4")</f>
        <v>GC - IV - 2233 - Agritech - Bio Organic (Nước nâu đen) - 5L - 4</v>
      </c>
    </row>
    <row r="2894">
      <c r="A2894" s="86">
        <f>IFERROR(__xludf.DUMMYFUNCTION("""COMPUTED_VALUE"""),2892.0)</f>
        <v>2892</v>
      </c>
      <c r="B2894" s="87" t="str">
        <f>IFERROR(__xludf.DUMMYFUNCTION("""COMPUTED_VALUE"""),"Nhãn")</f>
        <v>Nhãn</v>
      </c>
      <c r="C2894" s="87" t="str">
        <f>IFERROR(__xludf.DUMMYFUNCTION("""COMPUTED_VALUE"""),"NTN2234")</f>
        <v>NTN2234</v>
      </c>
      <c r="D2894" s="87" t="str">
        <f>IFERROR(__xludf.DUMMYFUNCTION("""COMPUTED_VALUE"""),"[Nhãn] GC - IV - 2234 - CTY ITALY - MANCO XANH (bột xanh) - 1kg - 20")</f>
        <v>[Nhãn] GC - IV - 2234 - CTY ITALY - MANCO XANH (bột xanh) - 1kg - 20</v>
      </c>
      <c r="E2894" s="87" t="str">
        <f>IFERROR(__xludf.DUMMYFUNCTION("""COMPUTED_VALUE"""),"MANCOBGO 80WP")</f>
        <v>MANCOBGO 80WP</v>
      </c>
      <c r="F2894" s="87" t="str">
        <f>IFERROR(__xludf.DUMMYFUNCTION("""COMPUTED_VALUE"""),"HH2234")</f>
        <v>HH2234</v>
      </c>
      <c r="G2894" s="87" t="str">
        <f>IFERROR(__xludf.DUMMYFUNCTION("""COMPUTED_VALUE"""),"GC - IV - 2234 - CTY ITALY - MANCO XANH (bột xanh) - 1kg - 20")</f>
        <v>GC - IV - 2234 - CTY ITALY - MANCO XANH (bột xanh) - 1kg - 20</v>
      </c>
    </row>
    <row r="2895">
      <c r="A2895" s="86">
        <f>IFERROR(__xludf.DUMMYFUNCTION("""COMPUTED_VALUE"""),2893.0)</f>
        <v>2893</v>
      </c>
      <c r="B2895" s="87" t="str">
        <f>IFERROR(__xludf.DUMMYFUNCTION("""COMPUTED_VALUE"""),"Nhãn thùng")</f>
        <v>Nhãn thùng</v>
      </c>
      <c r="C2895" s="87" t="str">
        <f>IFERROR(__xludf.DUMMYFUNCTION("""COMPUTED_VALUE"""),"NDT2234")</f>
        <v>NDT2234</v>
      </c>
      <c r="D2895" s="87" t="str">
        <f>IFERROR(__xludf.DUMMYFUNCTION("""COMPUTED_VALUE"""),"[Nhãn thùng] GC - IV - 2234 - CTY ITALY - MANCO XANH (bột xanh) - 1kg - 20")</f>
        <v>[Nhãn thùng] GC - IV - 2234 - CTY ITALY - MANCO XANH (bột xanh) - 1kg - 20</v>
      </c>
      <c r="E2895" s="87" t="str">
        <f>IFERROR(__xludf.DUMMYFUNCTION("""COMPUTED_VALUE"""),"MANCOBGO 80WP")</f>
        <v>MANCOBGO 80WP</v>
      </c>
      <c r="F2895" s="87" t="str">
        <f>IFERROR(__xludf.DUMMYFUNCTION("""COMPUTED_VALUE"""),"HH2234")</f>
        <v>HH2234</v>
      </c>
      <c r="G2895" s="87" t="str">
        <f>IFERROR(__xludf.DUMMYFUNCTION("""COMPUTED_VALUE"""),"GC - IV - 2234 - CTY ITALY - MANCO XANH (bột xanh) - 1kg - 20")</f>
        <v>GC - IV - 2234 - CTY ITALY - MANCO XANH (bột xanh) - 1kg - 20</v>
      </c>
    </row>
    <row r="2896">
      <c r="A2896" s="86">
        <f>IFERROR(__xludf.DUMMYFUNCTION("""COMPUTED_VALUE"""),2894.0)</f>
        <v>2894</v>
      </c>
      <c r="B2896" s="87" t="str">
        <f>IFERROR(__xludf.DUMMYFUNCTION("""COMPUTED_VALUE"""),"Nhãn")</f>
        <v>Nhãn</v>
      </c>
      <c r="C2896" s="87" t="str">
        <f>IFERROR(__xludf.DUMMYFUNCTION("""COMPUTED_VALUE"""),"NHG2235")</f>
        <v>NHG2235</v>
      </c>
      <c r="D2896" s="87" t="str">
        <f>IFERROR(__xludf.DUMMYFUNCTION("""COMPUTED_VALUE"""),"[Nhãn] GC - IV - 2235 - CTY USAFARM - FUSEAMIN (Nước nâu đen) - 500ml - 40")</f>
        <v>[Nhãn] GC - IV - 2235 - CTY USAFARM - FUSEAMIN (Nước nâu đen) - 500ml - 40</v>
      </c>
      <c r="E2896" s="87" t="str">
        <f>IFERROR(__xludf.DUMMYFUNCTION("""COMPUTED_VALUE"""),"Hữu cơ SH Agro Organic Fertilizer 20")</f>
        <v>Hữu cơ SH Agro Organic Fertilizer 20</v>
      </c>
      <c r="F2896" s="87" t="str">
        <f>IFERROR(__xludf.DUMMYFUNCTION("""COMPUTED_VALUE"""),"HH2235")</f>
        <v>HH2235</v>
      </c>
      <c r="G2896" s="87" t="str">
        <f>IFERROR(__xludf.DUMMYFUNCTION("""COMPUTED_VALUE"""),"GC - IV - 2235 - CTY USAFARM - FUSEAMIN (Nước nâu đen) - 500ml - 40")</f>
        <v>GC - IV - 2235 - CTY USAFARM - FUSEAMIN (Nước nâu đen) - 500ml - 40</v>
      </c>
    </row>
    <row r="2897">
      <c r="A2897" s="86">
        <f>IFERROR(__xludf.DUMMYFUNCTION("""COMPUTED_VALUE"""),2895.0)</f>
        <v>2895</v>
      </c>
      <c r="B2897" s="87" t="str">
        <f>IFERROR(__xludf.DUMMYFUNCTION("""COMPUTED_VALUE"""),"Nhãn")</f>
        <v>Nhãn</v>
      </c>
      <c r="C2897" s="87" t="str">
        <f>IFERROR(__xludf.DUMMYFUNCTION("""COMPUTED_VALUE"""),"NHD2236")</f>
        <v>NHD2236</v>
      </c>
      <c r="D2897" s="87" t="str">
        <f>IFERROR(__xludf.DUMMYFUNCTION("""COMPUTED_VALUE"""),"[Nhãn] BAMBOO - II - 2236 - Bamboo Double Stop (nước nâu đen) - 5L - 4")</f>
        <v>[Nhãn] BAMBOO - II - 2236 - Bamboo Double Stop (nước nâu đen) - 5L - 4</v>
      </c>
      <c r="E2897" s="87" t="str">
        <f>IFERROR(__xludf.DUMMYFUNCTION("""COMPUTED_VALUE"""),"Vi lượng Quantity New")</f>
        <v>Vi lượng Quantity New</v>
      </c>
      <c r="F2897" s="87" t="str">
        <f>IFERROR(__xludf.DUMMYFUNCTION("""COMPUTED_VALUE"""),"HH2236")</f>
        <v>HH2236</v>
      </c>
      <c r="G2897" s="87" t="str">
        <f>IFERROR(__xludf.DUMMYFUNCTION("""COMPUTED_VALUE"""),"BAMBOO - II - 2236 - Bamboo Double Stop (nước nâu đen) - 5L - 4")</f>
        <v>BAMBOO - II - 2236 - Bamboo Double Stop (nước nâu đen) - 5L - 4</v>
      </c>
    </row>
    <row r="2898">
      <c r="A2898" s="86">
        <f>IFERROR(__xludf.DUMMYFUNCTION("""COMPUTED_VALUE"""),2896.0)</f>
        <v>2896</v>
      </c>
      <c r="B2898" s="87" t="str">
        <f>IFERROR(__xludf.DUMMYFUNCTION("""COMPUTED_VALUE"""),"Nhãn thùng")</f>
        <v>Nhãn thùng</v>
      </c>
      <c r="C2898" s="87" t="str">
        <f>IFERROR(__xludf.DUMMYFUNCTION("""COMPUTED_VALUE"""),"NDT2236")</f>
        <v>NDT2236</v>
      </c>
      <c r="D2898" s="87" t="str">
        <f>IFERROR(__xludf.DUMMYFUNCTION("""COMPUTED_VALUE"""),"[Nhãn thùng] BAMBOO - II - 2236 - Bamboo Double Stop (nước nâu đen) - 5L - 4")</f>
        <v>[Nhãn thùng] BAMBOO - II - 2236 - Bamboo Double Stop (nước nâu đen) - 5L - 4</v>
      </c>
      <c r="E2898" s="87" t="str">
        <f>IFERROR(__xludf.DUMMYFUNCTION("""COMPUTED_VALUE"""),"Vi lượng Quantity New")</f>
        <v>Vi lượng Quantity New</v>
      </c>
      <c r="F2898" s="87" t="str">
        <f>IFERROR(__xludf.DUMMYFUNCTION("""COMPUTED_VALUE"""),"HH2236")</f>
        <v>HH2236</v>
      </c>
      <c r="G2898" s="87" t="str">
        <f>IFERROR(__xludf.DUMMYFUNCTION("""COMPUTED_VALUE"""),"BAMBOO - II - 2236 - Bamboo Double Stop (nước nâu đen) - 5L - 4")</f>
        <v>BAMBOO - II - 2236 - Bamboo Double Stop (nước nâu đen) - 5L - 4</v>
      </c>
    </row>
    <row r="2899">
      <c r="A2899" s="86">
        <f>IFERROR(__xludf.DUMMYFUNCTION("""COMPUTED_VALUE"""),2897.0)</f>
        <v>2897</v>
      </c>
      <c r="B2899" s="87" t="str">
        <f>IFERROR(__xludf.DUMMYFUNCTION("""COMPUTED_VALUE"""),"Nhãn")</f>
        <v>Nhãn</v>
      </c>
      <c r="C2899" s="87" t="str">
        <f>IFERROR(__xludf.DUMMYFUNCTION("""COMPUTED_VALUE"""),"NTN2237")</f>
        <v>NTN2237</v>
      </c>
      <c r="D2899" s="87" t="str">
        <f>IFERROR(__xludf.DUMMYFUNCTION("""COMPUTED_VALUE"""),"[Nhãn] GC - IV - 2237 - HAC CORP - ROCKING 500WG - 100gr - 100")</f>
        <v>[Nhãn] GC - IV - 2237 - HAC CORP - ROCKING 500WG - 100gr - 100</v>
      </c>
      <c r="E2899" s="87" t="str">
        <f>IFERROR(__xludf.DUMMYFUNCTION("""COMPUTED_VALUE"""),"ROCKING 500WG")</f>
        <v>ROCKING 500WG</v>
      </c>
      <c r="F2899" s="87" t="str">
        <f>IFERROR(__xludf.DUMMYFUNCTION("""COMPUTED_VALUE"""),"HH2237")</f>
        <v>HH2237</v>
      </c>
      <c r="G2899" s="87" t="str">
        <f>IFERROR(__xludf.DUMMYFUNCTION("""COMPUTED_VALUE"""),"GC - IV - 2237 - HAC CORP - ROCKING 500WG - 100gr - 100")</f>
        <v>GC - IV - 2237 - HAC CORP - ROCKING 500WG - 100gr - 100</v>
      </c>
    </row>
    <row r="2900">
      <c r="A2900" s="86">
        <f>IFERROR(__xludf.DUMMYFUNCTION("""COMPUTED_VALUE"""),2898.0)</f>
        <v>2898</v>
      </c>
      <c r="B2900" s="87" t="str">
        <f>IFERROR(__xludf.DUMMYFUNCTION("""COMPUTED_VALUE"""),"Nhãn")</f>
        <v>Nhãn</v>
      </c>
      <c r="C2900" s="87" t="str">
        <f>IFERROR(__xludf.DUMMYFUNCTION("""COMPUTED_VALUE"""),"NTN2238")</f>
        <v>NTN2238</v>
      </c>
      <c r="D2900" s="87" t="str">
        <f>IFERROR(__xludf.DUMMYFUNCTION("""COMPUTED_VALUE"""),"[Nhãn] LOT IDA Global - I - 2238 - MANCO XANH MỚI (Bột xanh) - 1kg - 20")</f>
        <v>[Nhãn] LOT IDA Global - I - 2238 - MANCO XANH MỚI (Bột xanh) - 1kg - 20</v>
      </c>
      <c r="E2900" s="87" t="str">
        <f>IFERROR(__xludf.DUMMYFUNCTION("""COMPUTED_VALUE"""),"MANCOBGO 80WP")</f>
        <v>MANCOBGO 80WP</v>
      </c>
      <c r="F2900" s="87" t="str">
        <f>IFERROR(__xludf.DUMMYFUNCTION("""COMPUTED_VALUE"""),"HH2238")</f>
        <v>HH2238</v>
      </c>
      <c r="G2900" s="87" t="str">
        <f>IFERROR(__xludf.DUMMYFUNCTION("""COMPUTED_VALUE"""),"LOT IDA Global - I - 2238 - MANCO XANH MỚI (Bột xanh) - 1kg - 20")</f>
        <v>LOT IDA Global - I - 2238 - MANCO XANH MỚI (Bột xanh) - 1kg - 20</v>
      </c>
    </row>
    <row r="2901">
      <c r="A2901" s="86">
        <f>IFERROR(__xludf.DUMMYFUNCTION("""COMPUTED_VALUE"""),2899.0)</f>
        <v>2899</v>
      </c>
      <c r="B2901" s="87" t="str">
        <f>IFERROR(__xludf.DUMMYFUNCTION("""COMPUTED_VALUE"""),"Nhãn thùng")</f>
        <v>Nhãn thùng</v>
      </c>
      <c r="C2901" s="87" t="str">
        <f>IFERROR(__xludf.DUMMYFUNCTION("""COMPUTED_VALUE"""),"NDT2238")</f>
        <v>NDT2238</v>
      </c>
      <c r="D2901" s="87" t="str">
        <f>IFERROR(__xludf.DUMMYFUNCTION("""COMPUTED_VALUE"""),"[Nhãn thùng] LOT IDA Global - I - 2238 - MANCO XANH MỚI (Bột xanh) - 1kg - 20")</f>
        <v>[Nhãn thùng] LOT IDA Global - I - 2238 - MANCO XANH MỚI (Bột xanh) - 1kg - 20</v>
      </c>
      <c r="E2901" s="87" t="str">
        <f>IFERROR(__xludf.DUMMYFUNCTION("""COMPUTED_VALUE"""),"MANCOBGO 80WP")</f>
        <v>MANCOBGO 80WP</v>
      </c>
      <c r="F2901" s="87" t="str">
        <f>IFERROR(__xludf.DUMMYFUNCTION("""COMPUTED_VALUE"""),"HH2238")</f>
        <v>HH2238</v>
      </c>
      <c r="G2901" s="87" t="str">
        <f>IFERROR(__xludf.DUMMYFUNCTION("""COMPUTED_VALUE"""),"LOT IDA Global - I - 2238 - MANCO XANH MỚI (Bột xanh) - 1kg - 20")</f>
        <v>LOT IDA Global - I - 2238 - MANCO XANH MỚI (Bột xanh) - 1kg - 20</v>
      </c>
    </row>
    <row r="2902">
      <c r="A2902" s="86">
        <f>IFERROR(__xludf.DUMMYFUNCTION("""COMPUTED_VALUE"""),2900.0)</f>
        <v>2900</v>
      </c>
      <c r="B2902" s="87" t="str">
        <f>IFERROR(__xludf.DUMMYFUNCTION("""COMPUTED_VALUE"""),"Nhãn")</f>
        <v>Nhãn</v>
      </c>
      <c r="C2902" s="87" t="str">
        <f>IFERROR(__xludf.DUMMYFUNCTION("""COMPUTED_VALUE"""),"NHG2239")</f>
        <v>NHG2239</v>
      </c>
      <c r="D2902" s="87" t="str">
        <f>IFERROR(__xludf.DUMMYFUNCTION("""COMPUTED_VALUE"""),"[Nhãn] GC - IV - 2239 - Cty Quang Đăng Agriculture - AMILAN 300SC (Nước cam sữa) - 500ml - 30")</f>
        <v>[Nhãn] GC - IV - 2239 - Cty Quang Đăng Agriculture - AMILAN 300SC (Nước cam sữa) - 500ml - 30</v>
      </c>
      <c r="E2902" s="87" t="str">
        <f>IFERROR(__xludf.DUMMYFUNCTION("""COMPUTED_VALUE"""),"AMILAN 300SC")</f>
        <v>AMILAN 300SC</v>
      </c>
      <c r="F2902" s="87" t="str">
        <f>IFERROR(__xludf.DUMMYFUNCTION("""COMPUTED_VALUE"""),"HH2239")</f>
        <v>HH2239</v>
      </c>
      <c r="G2902" s="87" t="str">
        <f>IFERROR(__xludf.DUMMYFUNCTION("""COMPUTED_VALUE"""),"GC - IV - 2239 - Cty Quang Đăng Agriculture - AMILAN 300SC (Nước cam sữa) - 500ml - 30")</f>
        <v>GC - IV - 2239 - Cty Quang Đăng Agriculture - AMILAN 300SC (Nước cam sữa) - 500ml - 30</v>
      </c>
    </row>
    <row r="2903">
      <c r="A2903" s="86">
        <f>IFERROR(__xludf.DUMMYFUNCTION("""COMPUTED_VALUE"""),2901.0)</f>
        <v>2901</v>
      </c>
      <c r="B2903" s="87" t="str">
        <f>IFERROR(__xludf.DUMMYFUNCTION("""COMPUTED_VALUE"""),"Nhãn")</f>
        <v>Nhãn</v>
      </c>
      <c r="C2903" s="87" t="str">
        <f>IFERROR(__xludf.DUMMYFUNCTION("""COMPUTED_VALUE"""),"NHG2240")</f>
        <v>NHG2240</v>
      </c>
      <c r="D2903" s="87" t="str">
        <f>IFERROR(__xludf.DUMMYFUNCTION("""COMPUTED_VALUE"""),"[Nhãn] GC - IV - 2240 - Cty Quang Đăng Agriculture- VATINO SUPER 525SE (Nước cam sữa) - 240ml - 40")</f>
        <v>[Nhãn] GC - IV - 2240 - Cty Quang Đăng Agriculture- VATINO SUPER 525SE (Nước cam sữa) - 240ml - 40</v>
      </c>
      <c r="E2903" s="87" t="str">
        <f>IFERROR(__xludf.DUMMYFUNCTION("""COMPUTED_VALUE"""),"VATINO SUPER 525SE")</f>
        <v>VATINO SUPER 525SE</v>
      </c>
      <c r="F2903" s="87" t="str">
        <f>IFERROR(__xludf.DUMMYFUNCTION("""COMPUTED_VALUE"""),"HH2240")</f>
        <v>HH2240</v>
      </c>
      <c r="G2903" s="87" t="str">
        <f>IFERROR(__xludf.DUMMYFUNCTION("""COMPUTED_VALUE"""),"GC - IV - 2240 - Cty Quang Đăng Agriculture- VATINO SUPER 525SE (Nước cam sữa) - 240ml - 40")</f>
        <v>GC - IV - 2240 - Cty Quang Đăng Agriculture- VATINO SUPER 525SE (Nước cam sữa) - 240ml - 40</v>
      </c>
    </row>
    <row r="2904">
      <c r="A2904" s="86">
        <f>IFERROR(__xludf.DUMMYFUNCTION("""COMPUTED_VALUE"""),2902.0)</f>
        <v>2902</v>
      </c>
      <c r="B2904" s="87" t="str">
        <f>IFERROR(__xludf.DUMMYFUNCTION("""COMPUTED_VALUE"""),"Nhãn")</f>
        <v>Nhãn</v>
      </c>
      <c r="C2904" s="87" t="str">
        <f>IFERROR(__xludf.DUMMYFUNCTION("""COMPUTED_VALUE"""),"NHG2241")</f>
        <v>NHG2241</v>
      </c>
      <c r="D2904" s="87" t="str">
        <f>IFERROR(__xludf.DUMMYFUNCTION("""COMPUTED_VALUE"""),"[Nhãn] GC - IV - 2241 - Cty Quang Đăng Agriculture - GENOL 1.2SL (Nước đỏ) - 450ml - 30")</f>
        <v>[Nhãn] GC - IV - 2241 - Cty Quang Đăng Agriculture - GENOL 1.2SL (Nước đỏ) - 450ml - 30</v>
      </c>
      <c r="E2904" s="87" t="str">
        <f>IFERROR(__xludf.DUMMYFUNCTION("""COMPUTED_VALUE"""),"GENOL 1.2SL")</f>
        <v>GENOL 1.2SL</v>
      </c>
      <c r="F2904" s="87" t="str">
        <f>IFERROR(__xludf.DUMMYFUNCTION("""COMPUTED_VALUE"""),"HH2241")</f>
        <v>HH2241</v>
      </c>
      <c r="G2904" s="87" t="str">
        <f>IFERROR(__xludf.DUMMYFUNCTION("""COMPUTED_VALUE"""),"GC - IV - 2241 - Cty Quang Đăng Agriculture - GENOL 1.2SL (Nước đỏ) - 450ml - 30")</f>
        <v>GC - IV - 2241 - Cty Quang Đăng Agriculture - GENOL 1.2SL (Nước đỏ) - 450ml - 30</v>
      </c>
    </row>
    <row r="2905">
      <c r="A2905" s="86">
        <f>IFERROR(__xludf.DUMMYFUNCTION("""COMPUTED_VALUE"""),2903.0)</f>
        <v>2903</v>
      </c>
      <c r="B2905" s="87" t="str">
        <f>IFERROR(__xludf.DUMMYFUNCTION("""COMPUTED_VALUE"""),"Nhãn")</f>
        <v>Nhãn</v>
      </c>
      <c r="C2905" s="87" t="str">
        <f>IFERROR(__xludf.DUMMYFUNCTION("""COMPUTED_VALUE"""),"NHD2242")</f>
        <v>NHD2242</v>
      </c>
      <c r="D2905" s="87" t="str">
        <f>IFERROR(__xludf.DUMMYFUNCTION("""COMPUTED_VALUE"""),"[Nhãn] GC - I - 2242 - ĐL Kim Khoa - Creek 2.1EC (Chai PET vuông) - 450ml - 40
")</f>
        <v>[Nhãn] GC - I - 2242 - ĐL Kim Khoa - Creek 2.1EC (Chai PET vuông) - 450ml - 40
</v>
      </c>
      <c r="E2905" s="87" t="str">
        <f>IFERROR(__xludf.DUMMYFUNCTION("""COMPUTED_VALUE"""),"Creek 2.1EC")</f>
        <v>Creek 2.1EC</v>
      </c>
      <c r="F2905" s="87" t="str">
        <f>IFERROR(__xludf.DUMMYFUNCTION("""COMPUTED_VALUE"""),"HH2242")</f>
        <v>HH2242</v>
      </c>
      <c r="G2905" s="87" t="str">
        <f>IFERROR(__xludf.DUMMYFUNCTION("""COMPUTED_VALUE"""),"GC - I - 2242 - ĐL Kim Khoa - Creek 2.1EC (Chai PET vuông) - 450ml - 40
")</f>
        <v>GC - I - 2242 - ĐL Kim Khoa - Creek 2.1EC (Chai PET vuông) - 450ml - 40
</v>
      </c>
    </row>
    <row r="2906">
      <c r="A2906" s="86">
        <f>IFERROR(__xludf.DUMMYFUNCTION("""COMPUTED_VALUE"""),2904.0)</f>
        <v>2904</v>
      </c>
      <c r="B2906" s="87" t="str">
        <f>IFERROR(__xludf.DUMMYFUNCTION("""COMPUTED_VALUE"""),"Nhãn thùng")</f>
        <v>Nhãn thùng</v>
      </c>
      <c r="C2906" s="87" t="str">
        <f>IFERROR(__xludf.DUMMYFUNCTION("""COMPUTED_VALUE"""),"NDT2242")</f>
        <v>NDT2242</v>
      </c>
      <c r="D2906" s="87" t="str">
        <f>IFERROR(__xludf.DUMMYFUNCTION("""COMPUTED_VALUE"""),"[Nhãn thùng] GC - I - 2242 - ĐL Kim Khoa - Creek 2.1EC (Chai PET vuông) - 450ml - 40")</f>
        <v>[Nhãn thùng] GC - I - 2242 - ĐL Kim Khoa - Creek 2.1EC (Chai PET vuông) - 450ml - 40</v>
      </c>
      <c r="E2906" s="87" t="str">
        <f>IFERROR(__xludf.DUMMYFUNCTION("""COMPUTED_VALUE"""),"Creek 2.1EC")</f>
        <v>Creek 2.1EC</v>
      </c>
      <c r="F2906" s="87" t="str">
        <f>IFERROR(__xludf.DUMMYFUNCTION("""COMPUTED_VALUE"""),"HH2242")</f>
        <v>HH2242</v>
      </c>
      <c r="G2906" s="87" t="str">
        <f>IFERROR(__xludf.DUMMYFUNCTION("""COMPUTED_VALUE"""),"GC - I - 2242 - ĐL Kim Khoa - Creek 2.1EC (Chai PET vuông) - 450ml - 40
")</f>
        <v>GC - I - 2242 - ĐL Kim Khoa - Creek 2.1EC (Chai PET vuông) - 450ml - 40
</v>
      </c>
    </row>
    <row r="2907">
      <c r="A2907" s="86">
        <f>IFERROR(__xludf.DUMMYFUNCTION("""COMPUTED_VALUE"""),2905.0)</f>
        <v>2905</v>
      </c>
      <c r="B2907" s="87" t="str">
        <f>IFERROR(__xludf.DUMMYFUNCTION("""COMPUTED_VALUE"""),"Nhãn")</f>
        <v>Nhãn</v>
      </c>
      <c r="C2907" s="87" t="str">
        <f>IFERROR(__xludf.DUMMYFUNCTION("""COMPUTED_VALUE"""),"NHG2243")</f>
        <v>NHG2243</v>
      </c>
      <c r="D2907" s="87" t="str">
        <f>IFERROR(__xludf.DUMMYFUNCTION("""COMPUTED_VALUE"""),"[Nhãn] GC - IV - 2243 - CTY AGRI BẢO MỘC - VÕ SĨ NHẬT (Nước hồng) - 200ml - 40")</f>
        <v>[Nhãn] GC - IV - 2243 - CTY AGRI BẢO MỘC - VÕ SĨ NHẬT (Nước hồng) - 200ml - 40</v>
      </c>
      <c r="E2907" s="87" t="str">
        <f>IFERROR(__xludf.DUMMYFUNCTION("""COMPUTED_VALUE"""),"NEW FUZE 200SC")</f>
        <v>NEW FUZE 200SC</v>
      </c>
      <c r="F2907" s="87" t="str">
        <f>IFERROR(__xludf.DUMMYFUNCTION("""COMPUTED_VALUE"""),"HH2243")</f>
        <v>HH2243</v>
      </c>
      <c r="G2907" s="87" t="str">
        <f>IFERROR(__xludf.DUMMYFUNCTION("""COMPUTED_VALUE"""),"GC - IV - 2243 - CTY AGRI BẢO MỘC - VÕ SĨ NHẬT (Nước hồng) - 200ml - 40")</f>
        <v>GC - IV - 2243 - CTY AGRI BẢO MỘC - VÕ SĨ NHẬT (Nước hồng) - 200ml - 40</v>
      </c>
    </row>
    <row r="2908">
      <c r="A2908" s="86">
        <f>IFERROR(__xludf.DUMMYFUNCTION("""COMPUTED_VALUE"""),2906.0)</f>
        <v>2906</v>
      </c>
      <c r="B2908" s="87" t="str">
        <f>IFERROR(__xludf.DUMMYFUNCTION("""COMPUTED_VALUE"""),"Nhãn")</f>
        <v>Nhãn</v>
      </c>
      <c r="C2908" s="87" t="str">
        <f>IFERROR(__xludf.DUMMYFUNCTION("""COMPUTED_VALUE"""),"NHG2244")</f>
        <v>NHG2244</v>
      </c>
      <c r="D2908" s="87" t="str">
        <f>IFERROR(__xludf.DUMMYFUNCTION("""COMPUTED_VALUE"""),"[Nhãn] GC - IV - 2244 - CTY AGRI BẢO MỘC - VÕ SĨ NHẬT (Nước hồng) - 50ml - 100")</f>
        <v>[Nhãn] GC - IV - 2244 - CTY AGRI BẢO MỘC - VÕ SĨ NHẬT (Nước hồng) - 50ml - 100</v>
      </c>
      <c r="E2908" s="87" t="str">
        <f>IFERROR(__xludf.DUMMYFUNCTION("""COMPUTED_VALUE"""),"NEW FUZE 200SC")</f>
        <v>NEW FUZE 200SC</v>
      </c>
      <c r="F2908" s="87" t="str">
        <f>IFERROR(__xludf.DUMMYFUNCTION("""COMPUTED_VALUE"""),"HH2244")</f>
        <v>HH2244</v>
      </c>
      <c r="G2908" s="87" t="str">
        <f>IFERROR(__xludf.DUMMYFUNCTION("""COMPUTED_VALUE"""),"GC - IV - 2244 - CTY AGRI BẢO MỘC - VÕ SĨ NHẬT (Nước hồng) - 50ml - 100")</f>
        <v>GC - IV - 2244 - CTY AGRI BẢO MỘC - VÕ SĨ NHẬT (Nước hồng) - 50ml - 100</v>
      </c>
    </row>
    <row r="2909">
      <c r="A2909" s="86">
        <f>IFERROR(__xludf.DUMMYFUNCTION("""COMPUTED_VALUE"""),2907.0)</f>
        <v>2907</v>
      </c>
      <c r="B2909" s="87" t="str">
        <f>IFERROR(__xludf.DUMMYFUNCTION("""COMPUTED_VALUE"""),"Nhãn")</f>
        <v>Nhãn</v>
      </c>
      <c r="C2909" s="87" t="str">
        <f>IFERROR(__xludf.DUMMYFUNCTION("""COMPUTED_VALUE"""),"NHG2245")</f>
        <v>NHG2245</v>
      </c>
      <c r="D2909" s="87" t="str">
        <f>IFERROR(__xludf.DUMMYFUNCTION("""COMPUTED_VALUE"""),"[Nhãn] GC - II - 2245 - THÀNH CÔNG AGRI - SUPER KILL (Nước trong) - 450ml - 40")</f>
        <v>[Nhãn] GC - II - 2245 - THÀNH CÔNG AGRI - SUPER KILL (Nước trong) - 450ml - 40</v>
      </c>
      <c r="E2909" s="87" t="str">
        <f>IFERROR(__xludf.DUMMYFUNCTION("""COMPUTED_VALUE"""),"CHIM ƯNG 3.8EC")</f>
        <v>CHIM ƯNG 3.8EC</v>
      </c>
      <c r="F2909" s="87" t="str">
        <f>IFERROR(__xludf.DUMMYFUNCTION("""COMPUTED_VALUE"""),"HH2245")</f>
        <v>HH2245</v>
      </c>
      <c r="G2909" s="87" t="str">
        <f>IFERROR(__xludf.DUMMYFUNCTION("""COMPUTED_VALUE"""),"GC - II - 2245 - THÀNH CÔNG AGRI - SUPER KILL (Nước trong) - 450ml - 40")</f>
        <v>GC - II - 2245 - THÀNH CÔNG AGRI - SUPER KILL (Nước trong) - 450ml - 40</v>
      </c>
    </row>
    <row r="2910">
      <c r="A2910" s="86">
        <f>IFERROR(__xludf.DUMMYFUNCTION("""COMPUTED_VALUE"""),2908.0)</f>
        <v>2908</v>
      </c>
      <c r="B2910" s="87" t="str">
        <f>IFERROR(__xludf.DUMMYFUNCTION("""COMPUTED_VALUE"""),"Nhãn")</f>
        <v>Nhãn</v>
      </c>
      <c r="C2910" s="87" t="str">
        <f>IFERROR(__xludf.DUMMYFUNCTION("""COMPUTED_VALUE"""),"NTN2246")</f>
        <v>NTN2246</v>
      </c>
      <c r="D2910" s="87" t="str">
        <f>IFERROR(__xludf.DUMMYFUNCTION("""COMPUTED_VALUE"""),"[Nhãn] GC - IV - 2246 - A Thời GNH - Hummax (Dạng vẩy màu nâu đen) - 1kg - 25")</f>
        <v>[Nhãn] GC - IV - 2246 - A Thời GNH - Hummax (Dạng vẩy màu nâu đen) - 1kg - 25</v>
      </c>
      <c r="E2910" s="87" t="str">
        <f>IFERROR(__xludf.DUMMYFUNCTION("""COMPUTED_VALUE"""),"Hữu cơ sinh học Nam Kinh 02")</f>
        <v>Hữu cơ sinh học Nam Kinh 02</v>
      </c>
      <c r="F2910" s="87" t="str">
        <f>IFERROR(__xludf.DUMMYFUNCTION("""COMPUTED_VALUE"""),"HH2246")</f>
        <v>HH2246</v>
      </c>
      <c r="G2910" s="87" t="str">
        <f>IFERROR(__xludf.DUMMYFUNCTION("""COMPUTED_VALUE"""),"GC - IV - 2246 - A Thời GNH - Hummax (Dạng vẩy màu nâu đen) - 1kg - 25")</f>
        <v>GC - IV - 2246 - A Thời GNH - Hummax (Dạng vẩy màu nâu đen) - 1kg - 25</v>
      </c>
    </row>
    <row r="2911">
      <c r="A2911" s="86">
        <f>IFERROR(__xludf.DUMMYFUNCTION("""COMPUTED_VALUE"""),2909.0)</f>
        <v>2909</v>
      </c>
      <c r="B2911" s="87" t="str">
        <f>IFERROR(__xludf.DUMMYFUNCTION("""COMPUTED_VALUE"""),"Nhãn thùng")</f>
        <v>Nhãn thùng</v>
      </c>
      <c r="C2911" s="87" t="str">
        <f>IFERROR(__xludf.DUMMYFUNCTION("""COMPUTED_VALUE"""),"NDT2246")</f>
        <v>NDT2246</v>
      </c>
      <c r="D2911" s="87" t="str">
        <f>IFERROR(__xludf.DUMMYFUNCTION("""COMPUTED_VALUE"""),"[Nhãn thùng] GC - IV - 2246 - A Thời GNH - Hummax (Dạng vẩy màu nâu đen) - 1kg - 25")</f>
        <v>[Nhãn thùng] GC - IV - 2246 - A Thời GNH - Hummax (Dạng vẩy màu nâu đen) - 1kg - 25</v>
      </c>
      <c r="E2911" s="87" t="str">
        <f>IFERROR(__xludf.DUMMYFUNCTION("""COMPUTED_VALUE"""),"Hữu cơ sinh học Nam Kinh 02")</f>
        <v>Hữu cơ sinh học Nam Kinh 02</v>
      </c>
      <c r="F2911" s="87" t="str">
        <f>IFERROR(__xludf.DUMMYFUNCTION("""COMPUTED_VALUE"""),"HH2246")</f>
        <v>HH2246</v>
      </c>
      <c r="G2911" s="87" t="str">
        <f>IFERROR(__xludf.DUMMYFUNCTION("""COMPUTED_VALUE"""),"GC - IV - 2246 - A Thời GNH - Hummax (Dạng vẩy màu nâu đen) - 1kg - 25")</f>
        <v>GC - IV - 2246 - A Thời GNH - Hummax (Dạng vẩy màu nâu đen) - 1kg - 25</v>
      </c>
    </row>
    <row r="2912">
      <c r="A2912" s="86">
        <f>IFERROR(__xludf.DUMMYFUNCTION("""COMPUTED_VALUE"""),2910.0)</f>
        <v>2910</v>
      </c>
      <c r="B2912" s="87" t="str">
        <f>IFERROR(__xludf.DUMMYFUNCTION("""COMPUTED_VALUE"""),"Nhãn")</f>
        <v>Nhãn</v>
      </c>
      <c r="C2912" s="87" t="str">
        <f>IFERROR(__xludf.DUMMYFUNCTION("""COMPUTED_VALUE"""),"NHG2247")</f>
        <v>NHG2247</v>
      </c>
      <c r="D2912" s="87" t="str">
        <f>IFERROR(__xludf.DUMMYFUNCTION("""COMPUTED_VALUE"""),"[Nhãn] NB - K - 2247 - BMI - BMI ANVIN (Nước hồng) - 900ml - 28")</f>
        <v>[Nhãn] NB - K - 2247 - BMI - BMI ANVIN (Nước hồng) - 900ml - 28</v>
      </c>
      <c r="E2912" s="87" t="str">
        <f>IFERROR(__xludf.DUMMYFUNCTION("""COMPUTED_VALUE"""),"Mekongvil 5SC")</f>
        <v>Mekongvil 5SC</v>
      </c>
      <c r="F2912" s="87" t="str">
        <f>IFERROR(__xludf.DUMMYFUNCTION("""COMPUTED_VALUE"""),"HH2247")</f>
        <v>HH2247</v>
      </c>
      <c r="G2912" s="87" t="str">
        <f>IFERROR(__xludf.DUMMYFUNCTION("""COMPUTED_VALUE"""),"NB - K - 2247 - BMI - BMI ANVIN (Nước hồng) - 900ml - 28")</f>
        <v>NB - K - 2247 - BMI - BMI ANVIN (Nước hồng) - 900ml - 28</v>
      </c>
    </row>
    <row r="2913">
      <c r="A2913" s="86">
        <f>IFERROR(__xludf.DUMMYFUNCTION("""COMPUTED_VALUE"""),2911.0)</f>
        <v>2911</v>
      </c>
      <c r="B2913" s="87" t="str">
        <f>IFERROR(__xludf.DUMMYFUNCTION("""COMPUTED_VALUE"""),"Nhãn")</f>
        <v>Nhãn</v>
      </c>
      <c r="C2913" s="87" t="str">
        <f>IFERROR(__xludf.DUMMYFUNCTION("""COMPUTED_VALUE"""),"NTN2248")</f>
        <v>NTN2248</v>
      </c>
      <c r="D2913" s="87" t="str">
        <f>IFERROR(__xludf.DUMMYFUNCTION("""COMPUTED_VALUE"""),"[Nhãn] GC - IV - 2248 - Agriplant - Mancozeb xanh (Bột xanh) - 100gr - 150")</f>
        <v>[Nhãn] GC - IV - 2248 - Agriplant - Mancozeb xanh (Bột xanh) - 100gr - 150</v>
      </c>
      <c r="E2913" s="87" t="str">
        <f>IFERROR(__xludf.DUMMYFUNCTION("""COMPUTED_VALUE"""),"MANCOBGO 80WP")</f>
        <v>MANCOBGO 80WP</v>
      </c>
      <c r="F2913" s="87" t="str">
        <f>IFERROR(__xludf.DUMMYFUNCTION("""COMPUTED_VALUE"""),"HH2248")</f>
        <v>HH2248</v>
      </c>
      <c r="G2913" s="87" t="str">
        <f>IFERROR(__xludf.DUMMYFUNCTION("""COMPUTED_VALUE"""),"GC - IV - 2248 - Agriplant - Mancozeb xanh (Bột xanh) - 100gr - 150")</f>
        <v>GC - IV - 2248 - Agriplant - Mancozeb xanh (Bột xanh) - 100gr - 150</v>
      </c>
    </row>
    <row r="2914">
      <c r="A2914" s="86">
        <f>IFERROR(__xludf.DUMMYFUNCTION("""COMPUTED_VALUE"""),2912.0)</f>
        <v>2912</v>
      </c>
      <c r="B2914" s="87" t="str">
        <f>IFERROR(__xludf.DUMMYFUNCTION("""COMPUTED_VALUE"""),"Nhãn thùng")</f>
        <v>Nhãn thùng</v>
      </c>
      <c r="C2914" s="87" t="str">
        <f>IFERROR(__xludf.DUMMYFUNCTION("""COMPUTED_VALUE"""),"NDT2248")</f>
        <v>NDT2248</v>
      </c>
      <c r="D2914" s="87" t="str">
        <f>IFERROR(__xludf.DUMMYFUNCTION("""COMPUTED_VALUE"""),"[Nhãn thùng] GC - IV - 2248 - Agriplant - Mancozeb xanh (Bột xanh) - 100gr - 150")</f>
        <v>[Nhãn thùng] GC - IV - 2248 - Agriplant - Mancozeb xanh (Bột xanh) - 100gr - 150</v>
      </c>
      <c r="E2914" s="87" t="str">
        <f>IFERROR(__xludf.DUMMYFUNCTION("""COMPUTED_VALUE"""),"MANCOBGO 80WP")</f>
        <v>MANCOBGO 80WP</v>
      </c>
      <c r="F2914" s="87" t="str">
        <f>IFERROR(__xludf.DUMMYFUNCTION("""COMPUTED_VALUE"""),"HH2248")</f>
        <v>HH2248</v>
      </c>
      <c r="G2914" s="87" t="str">
        <f>IFERROR(__xludf.DUMMYFUNCTION("""COMPUTED_VALUE"""),"GC - IV - 2248 - Agriplant - Mancozeb xanh (Bột xanh) - 100gr - 150")</f>
        <v>GC - IV - 2248 - Agriplant - Mancozeb xanh (Bột xanh) - 100gr - 150</v>
      </c>
    </row>
    <row r="2915">
      <c r="A2915" s="86">
        <f>IFERROR(__xludf.DUMMYFUNCTION("""COMPUTED_VALUE"""),2913.0)</f>
        <v>2913</v>
      </c>
      <c r="B2915" s="87" t="str">
        <f>IFERROR(__xludf.DUMMYFUNCTION("""COMPUTED_VALUE"""),"Nhãn")</f>
        <v>Nhãn</v>
      </c>
      <c r="C2915" s="87" t="str">
        <f>IFERROR(__xludf.DUMMYFUNCTION("""COMPUTED_VALUE"""),"NHG2249")</f>
        <v>NHG2249</v>
      </c>
      <c r="D2915" s="87" t="str">
        <f>IFERROR(__xludf.DUMMYFUNCTION("""COMPUTED_VALUE"""),"[Nhãn] IDA Global - I - 2249 - RONADO (Nước tím) - 450ml - 40")</f>
        <v>[Nhãn] IDA Global - I - 2249 - RONADO (Nước tím) - 450ml - 40</v>
      </c>
      <c r="E2915" s="87" t="str">
        <f>IFERROR(__xludf.DUMMYFUNCTION("""COMPUTED_VALUE"""),"Hỗn Hợp NP AGAMA-AP")</f>
        <v>Hỗn Hợp NP AGAMA-AP</v>
      </c>
      <c r="F2915" s="87" t="str">
        <f>IFERROR(__xludf.DUMMYFUNCTION("""COMPUTED_VALUE"""),"HH2249")</f>
        <v>HH2249</v>
      </c>
      <c r="G2915" s="87" t="str">
        <f>IFERROR(__xludf.DUMMYFUNCTION("""COMPUTED_VALUE"""),"IDA Global - I - 2249 - RONADO (Nước tím) - 450ml - 40")</f>
        <v>IDA Global - I - 2249 - RONADO (Nước tím) - 450ml - 40</v>
      </c>
    </row>
    <row r="2916">
      <c r="A2916" s="86">
        <f>IFERROR(__xludf.DUMMYFUNCTION("""COMPUTED_VALUE"""),2914.0)</f>
        <v>2914</v>
      </c>
      <c r="B2916" s="87" t="str">
        <f>IFERROR(__xludf.DUMMYFUNCTION("""COMPUTED_VALUE"""),"Nhãn thùng")</f>
        <v>Nhãn thùng</v>
      </c>
      <c r="C2916" s="87" t="str">
        <f>IFERROR(__xludf.DUMMYFUNCTION("""COMPUTED_VALUE"""),"NDT2249")</f>
        <v>NDT2249</v>
      </c>
      <c r="D2916" s="87" t="str">
        <f>IFERROR(__xludf.DUMMYFUNCTION("""COMPUTED_VALUE"""),"[Nhãn thùng] IDA Global - I - 2249 - RONADO (Nước tím) - 450ml - 40")</f>
        <v>[Nhãn thùng] IDA Global - I - 2249 - RONADO (Nước tím) - 450ml - 40</v>
      </c>
      <c r="E2916" s="87" t="str">
        <f>IFERROR(__xludf.DUMMYFUNCTION("""COMPUTED_VALUE"""),"Hỗn Hợp NP AGAMA-AP")</f>
        <v>Hỗn Hợp NP AGAMA-AP</v>
      </c>
      <c r="F2916" s="87" t="str">
        <f>IFERROR(__xludf.DUMMYFUNCTION("""COMPUTED_VALUE"""),"HH2249")</f>
        <v>HH2249</v>
      </c>
      <c r="G2916" s="87" t="str">
        <f>IFERROR(__xludf.DUMMYFUNCTION("""COMPUTED_VALUE"""),"IDA Global - I - 2249 - RONADO (Nước tím) - 450ml - 40")</f>
        <v>IDA Global - I - 2249 - RONADO (Nước tím) - 450ml - 40</v>
      </c>
    </row>
    <row r="2917">
      <c r="A2917" s="86">
        <f>IFERROR(__xludf.DUMMYFUNCTION("""COMPUTED_VALUE"""),2915.0)</f>
        <v>2915</v>
      </c>
      <c r="B2917" s="87" t="str">
        <f>IFERROR(__xludf.DUMMYFUNCTION("""COMPUTED_VALUE"""),"Nhãn")</f>
        <v>Nhãn</v>
      </c>
      <c r="C2917" s="87" t="str">
        <f>IFERROR(__xludf.DUMMYFUNCTION("""COMPUTED_VALUE"""),"NTN2250")</f>
        <v>NTN2250</v>
      </c>
      <c r="D2917" s="87" t="str">
        <f>IFERROR(__xludf.DUMMYFUNCTION("""COMPUTED_VALUE"""),"[Nhãn]  GC - IV - 2250 - Thiên Di - Panadan Nhật 95SP (túi nhôm)(bột trắng) - 100gr - 100")</f>
        <v>[Nhãn]  GC - IV - 2250 - Thiên Di - Panadan Nhật 95SP (túi nhôm)(bột trắng) - 100gr - 100</v>
      </c>
      <c r="E2917" s="87" t="str">
        <f>IFERROR(__xludf.DUMMYFUNCTION("""COMPUTED_VALUE"""),"SHA CHONG JING 95WP")</f>
        <v>SHA CHONG JING 95WP</v>
      </c>
      <c r="F2917" s="87" t="str">
        <f>IFERROR(__xludf.DUMMYFUNCTION("""COMPUTED_VALUE"""),"HH2250")</f>
        <v>HH2250</v>
      </c>
      <c r="G2917" s="87" t="str">
        <f>IFERROR(__xludf.DUMMYFUNCTION("""COMPUTED_VALUE"""),"GC - IV - 2250 - Thiên Di - Panadan Nhật 95SP (túi nhôm)(bột trắng) - 100gr - 100")</f>
        <v>GC - IV - 2250 - Thiên Di - Panadan Nhật 95SP (túi nhôm)(bột trắng) - 100gr - 100</v>
      </c>
    </row>
    <row r="2918">
      <c r="A2918" s="86">
        <f>IFERROR(__xludf.DUMMYFUNCTION("""COMPUTED_VALUE"""),2916.0)</f>
        <v>2916</v>
      </c>
      <c r="B2918" s="87" t="str">
        <f>IFERROR(__xludf.DUMMYFUNCTION("""COMPUTED_VALUE"""),"Nhãn thùng")</f>
        <v>Nhãn thùng</v>
      </c>
      <c r="C2918" s="87" t="str">
        <f>IFERROR(__xludf.DUMMYFUNCTION("""COMPUTED_VALUE"""),"NDT2250")</f>
        <v>NDT2250</v>
      </c>
      <c r="D2918" s="87" t="str">
        <f>IFERROR(__xludf.DUMMYFUNCTION("""COMPUTED_VALUE"""),"[Nhãn thùng]  GC - IV - 2250 - Thiên Di - Panadan Nhật 95SP (túi nhôm)(bột trắng) - 100gr - 100")</f>
        <v>[Nhãn thùng]  GC - IV - 2250 - Thiên Di - Panadan Nhật 95SP (túi nhôm)(bột trắng) - 100gr - 100</v>
      </c>
      <c r="E2918" s="87" t="str">
        <f>IFERROR(__xludf.DUMMYFUNCTION("""COMPUTED_VALUE"""),"SHA CHONG JING 95WP")</f>
        <v>SHA CHONG JING 95WP</v>
      </c>
      <c r="F2918" s="87" t="str">
        <f>IFERROR(__xludf.DUMMYFUNCTION("""COMPUTED_VALUE"""),"HH2250")</f>
        <v>HH2250</v>
      </c>
      <c r="G2918" s="87" t="str">
        <f>IFERROR(__xludf.DUMMYFUNCTION("""COMPUTED_VALUE"""),"GC - IV - 2250 - Thiên Di - Panadan Nhật 95SP (túi nhôm)(bột trắng) - 100gr - 100")</f>
        <v>GC - IV - 2250 - Thiên Di - Panadan Nhật 95SP (túi nhôm)(bột trắng) - 100gr - 100</v>
      </c>
    </row>
    <row r="2919">
      <c r="A2919" s="86">
        <f>IFERROR(__xludf.DUMMYFUNCTION("""COMPUTED_VALUE"""),2917.0)</f>
        <v>2917</v>
      </c>
      <c r="B2919" s="87" t="str">
        <f>IFERROR(__xludf.DUMMYFUNCTION("""COMPUTED_VALUE"""),"Nhãn")</f>
        <v>Nhãn</v>
      </c>
      <c r="C2919" s="87" t="str">
        <f>IFERROR(__xludf.DUMMYFUNCTION("""COMPUTED_VALUE"""),"NTN2251")</f>
        <v>NTN2251</v>
      </c>
      <c r="D2919" s="87" t="str">
        <f>IFERROR(__xludf.DUMMYFUNCTION("""COMPUTED_VALUE"""),"[Nhãn] GC - IV - 2251 - Cty Newtex - OXYCIN 100WP (Bột trắng) - 25gr - 300")</f>
        <v>[Nhãn] GC - IV - 2251 - Cty Newtex - OXYCIN 100WP (Bột trắng) - 25gr - 300</v>
      </c>
      <c r="E2919" s="87" t="str">
        <f>IFERROR(__xludf.DUMMYFUNCTION("""COMPUTED_VALUE"""),"Oxycin 100WP")</f>
        <v>Oxycin 100WP</v>
      </c>
      <c r="F2919" s="87" t="str">
        <f>IFERROR(__xludf.DUMMYFUNCTION("""COMPUTED_VALUE"""),"HH2251")</f>
        <v>HH2251</v>
      </c>
      <c r="G2919" s="87" t="str">
        <f>IFERROR(__xludf.DUMMYFUNCTION("""COMPUTED_VALUE"""),"GC - IV - 2251 - Cty Newtex - OXYCIN 100WP (Bột trắng) - 25gr - 300")</f>
        <v>GC - IV - 2251 - Cty Newtex - OXYCIN 100WP (Bột trắng) - 25gr - 300</v>
      </c>
    </row>
    <row r="2920">
      <c r="A2920" s="86">
        <f>IFERROR(__xludf.DUMMYFUNCTION("""COMPUTED_VALUE"""),2918.0)</f>
        <v>2918</v>
      </c>
      <c r="B2920" s="87" t="str">
        <f>IFERROR(__xludf.DUMMYFUNCTION("""COMPUTED_VALUE"""),"Nhãn thùng")</f>
        <v>Nhãn thùng</v>
      </c>
      <c r="C2920" s="87" t="str">
        <f>IFERROR(__xludf.DUMMYFUNCTION("""COMPUTED_VALUE"""),"NDT2251")</f>
        <v>NDT2251</v>
      </c>
      <c r="D2920" s="87" t="str">
        <f>IFERROR(__xludf.DUMMYFUNCTION("""COMPUTED_VALUE"""),"[Nhãn thùng] GC - IV - 2251 - Cty Newtex - OXYCIN 100WP (Bột trắng) - 25gr - 300")</f>
        <v>[Nhãn thùng] GC - IV - 2251 - Cty Newtex - OXYCIN 100WP (Bột trắng) - 25gr - 300</v>
      </c>
      <c r="E2920" s="87" t="str">
        <f>IFERROR(__xludf.DUMMYFUNCTION("""COMPUTED_VALUE"""),"Oxycin 100WP")</f>
        <v>Oxycin 100WP</v>
      </c>
      <c r="F2920" s="87" t="str">
        <f>IFERROR(__xludf.DUMMYFUNCTION("""COMPUTED_VALUE"""),"HH2251")</f>
        <v>HH2251</v>
      </c>
      <c r="G2920" s="87" t="str">
        <f>IFERROR(__xludf.DUMMYFUNCTION("""COMPUTED_VALUE"""),"GC - IV - 2251 - Cty Newtex - OXYCIN 100WP (Bột trắng) - 25gr - 300")</f>
        <v>GC - IV - 2251 - Cty Newtex - OXYCIN 100WP (Bột trắng) - 25gr - 300</v>
      </c>
    </row>
    <row r="2921">
      <c r="A2921" s="86">
        <f>IFERROR(__xludf.DUMMYFUNCTION("""COMPUTED_VALUE"""),2919.0)</f>
        <v>2919</v>
      </c>
      <c r="B2921" s="87" t="str">
        <f>IFERROR(__xludf.DUMMYFUNCTION("""COMPUTED_VALUE"""),"HỘP")</f>
        <v>HỘP</v>
      </c>
      <c r="C2921" s="87" t="str">
        <f>IFERROR(__xludf.DUMMYFUNCTION("""COMPUTED_VALUE"""),"HOP2252")</f>
        <v>HOP2252</v>
      </c>
      <c r="D2921" s="87" t="str">
        <f>IFERROR(__xludf.DUMMYFUNCTION("""COMPUTED_VALUE"""),"[HOP]  GC - IV - 2252 - CTY SEIKO NHẬT BẢN - SK-01 (Nước xanh lá) - 400ml - 1")</f>
        <v>[HOP]  GC - IV - 2252 - CTY SEIKO NHẬT BẢN - SK-01 (Nước xanh lá) - 400ml - 1</v>
      </c>
      <c r="E2921" s="87" t="str">
        <f>IFERROR(__xludf.DUMMYFUNCTION("""COMPUTED_VALUE"""),"MITOP ONE 390SC")</f>
        <v>MITOP ONE 390SC</v>
      </c>
      <c r="F2921" s="87" t="str">
        <f>IFERROR(__xludf.DUMMYFUNCTION("""COMPUTED_VALUE"""),"HH2252")</f>
        <v>HH2252</v>
      </c>
      <c r="G2921" s="87" t="str">
        <f>IFERROR(__xludf.DUMMYFUNCTION("""COMPUTED_VALUE"""),"GC - IV - 2252 - CTY SEIKO NHẬT BẢN - SK-01 (Nước xanh bơ sữa) - 400ml - 30")</f>
        <v>GC - IV - 2252 - CTY SEIKO NHẬT BẢN - SK-01 (Nước xanh bơ sữa) - 400ml - 30</v>
      </c>
    </row>
    <row r="2922">
      <c r="A2922" s="86">
        <f>IFERROR(__xludf.DUMMYFUNCTION("""COMPUTED_VALUE"""),2920.0)</f>
        <v>2920</v>
      </c>
      <c r="B2922" s="87" t="str">
        <f>IFERROR(__xludf.DUMMYFUNCTION("""COMPUTED_VALUE"""),"Nhãn")</f>
        <v>Nhãn</v>
      </c>
      <c r="C2922" s="87" t="str">
        <f>IFERROR(__xludf.DUMMYFUNCTION("""COMPUTED_VALUE"""),"NHG2252")</f>
        <v>NHG2252</v>
      </c>
      <c r="D2922" s="87" t="str">
        <f>IFERROR(__xludf.DUMMYFUNCTION("""COMPUTED_VALUE"""),"[Nhãn] GC - IV - 2252 - CTY SEIKO NHẬT BẢN - SK-01 (Nước xanh bơ sữa) - 400ml - 30")</f>
        <v>[Nhãn] GC - IV - 2252 - CTY SEIKO NHẬT BẢN - SK-01 (Nước xanh bơ sữa) - 400ml - 30</v>
      </c>
      <c r="E2922" s="87" t="str">
        <f>IFERROR(__xludf.DUMMYFUNCTION("""COMPUTED_VALUE"""),"MITOP ONE 390SC")</f>
        <v>MITOP ONE 390SC</v>
      </c>
      <c r="F2922" s="87" t="str">
        <f>IFERROR(__xludf.DUMMYFUNCTION("""COMPUTED_VALUE"""),"HH2252")</f>
        <v>HH2252</v>
      </c>
      <c r="G2922" s="87" t="str">
        <f>IFERROR(__xludf.DUMMYFUNCTION("""COMPUTED_VALUE"""),"GC - IV - 2252 - CTY SEIKO NHẬT BẢN - SK-01 (Nước xanh bơ sữa) - 400ml - 30")</f>
        <v>GC - IV - 2252 - CTY SEIKO NHẬT BẢN - SK-01 (Nước xanh bơ sữa) - 400ml - 30</v>
      </c>
    </row>
    <row r="2923">
      <c r="A2923" s="86">
        <f>IFERROR(__xludf.DUMMYFUNCTION("""COMPUTED_VALUE"""),2921.0)</f>
        <v>2921</v>
      </c>
      <c r="B2923" s="87" t="str">
        <f>IFERROR(__xludf.DUMMYFUNCTION("""COMPUTED_VALUE"""),"Nhãn")</f>
        <v>Nhãn</v>
      </c>
      <c r="C2923" s="87" t="str">
        <f>IFERROR(__xludf.DUMMYFUNCTION("""COMPUTED_VALUE"""),"NHG2253")</f>
        <v>NHG2253</v>
      </c>
      <c r="D2923" s="87" t="str">
        <f>IFERROR(__xludf.DUMMYFUNCTION("""COMPUTED_VALUE"""),"[Nhãn] GC - II - 2253 - Cty Master Win - Amino Stalk (nước nâu đen) - 500ml - 40")</f>
        <v>[Nhãn] GC - II - 2253 - Cty Master Win - Amino Stalk (nước nâu đen) - 500ml - 40</v>
      </c>
      <c r="E2923" s="87" t="str">
        <f>IFERROR(__xludf.DUMMYFUNCTION("""COMPUTED_VALUE"""),"Vi lượng Quantity New")</f>
        <v>Vi lượng Quantity New</v>
      </c>
      <c r="F2923" s="87" t="str">
        <f>IFERROR(__xludf.DUMMYFUNCTION("""COMPUTED_VALUE"""),"HH2253")</f>
        <v>HH2253</v>
      </c>
      <c r="G2923" s="87" t="str">
        <f>IFERROR(__xludf.DUMMYFUNCTION("""COMPUTED_VALUE"""),"GC - II - 2253 - Cty Master Win - Amino Stalk (nước nâu đen) - 500ml - 40")</f>
        <v>GC - II - 2253 - Cty Master Win - Amino Stalk (nước nâu đen) - 500ml - 40</v>
      </c>
    </row>
    <row r="2924">
      <c r="A2924" s="86">
        <f>IFERROR(__xludf.DUMMYFUNCTION("""COMPUTED_VALUE"""),2922.0)</f>
        <v>2922</v>
      </c>
      <c r="B2924" s="87" t="str">
        <f>IFERROR(__xludf.DUMMYFUNCTION("""COMPUTED_VALUE"""),"Nhãn")</f>
        <v>Nhãn</v>
      </c>
      <c r="C2924" s="87" t="str">
        <f>IFERROR(__xludf.DUMMYFUNCTION("""COMPUTED_VALUE"""),"NTN2254")</f>
        <v>NTN2254</v>
      </c>
      <c r="D2924" s="87" t="str">
        <f>IFERROR(__xludf.DUMMYFUNCTION("""COMPUTED_VALUE"""),"[Nhãn]  IDA Global - I - 2254 - KHONGRAY 54WP (Bột trắng ngà) - 100gr - 100")</f>
        <v>[Nhãn]  IDA Global - I - 2254 - KHONGRAY 54WP (Bột trắng ngà) - 100gr - 100</v>
      </c>
      <c r="E2924" s="87" t="str">
        <f>IFERROR(__xludf.DUMMYFUNCTION("""COMPUTED_VALUE"""),"KHONGRAY 54WP")</f>
        <v>KHONGRAY 54WP</v>
      </c>
      <c r="F2924" s="87" t="str">
        <f>IFERROR(__xludf.DUMMYFUNCTION("""COMPUTED_VALUE"""),"HH2254")</f>
        <v>HH2254</v>
      </c>
      <c r="G2924" s="87" t="str">
        <f>IFERROR(__xludf.DUMMYFUNCTION("""COMPUTED_VALUE"""),"IDA Global - I - 2254 - KHONGRAY 54WP (Bột trắng ngà) - 100gr - 100")</f>
        <v>IDA Global - I - 2254 - KHONGRAY 54WP (Bột trắng ngà) - 100gr - 100</v>
      </c>
    </row>
    <row r="2925">
      <c r="A2925" s="86">
        <f>IFERROR(__xludf.DUMMYFUNCTION("""COMPUTED_VALUE"""),2923.0)</f>
        <v>2923</v>
      </c>
      <c r="B2925" s="87" t="str">
        <f>IFERROR(__xludf.DUMMYFUNCTION("""COMPUTED_VALUE"""),"Nhãn thùng")</f>
        <v>Nhãn thùng</v>
      </c>
      <c r="C2925" s="87" t="str">
        <f>IFERROR(__xludf.DUMMYFUNCTION("""COMPUTED_VALUE"""),"NDT2254")</f>
        <v>NDT2254</v>
      </c>
      <c r="D2925" s="87" t="str">
        <f>IFERROR(__xludf.DUMMYFUNCTION("""COMPUTED_VALUE"""),"[Nhãn thùng]  IDA Global - I - 2254 - KHONGRAY 54WP (Bột trắng ngà) - 100gr - 100")</f>
        <v>[Nhãn thùng]  IDA Global - I - 2254 - KHONGRAY 54WP (Bột trắng ngà) - 100gr - 100</v>
      </c>
      <c r="E2925" s="87" t="str">
        <f>IFERROR(__xludf.DUMMYFUNCTION("""COMPUTED_VALUE"""),"KHONGRAY 54WP")</f>
        <v>KHONGRAY 54WP</v>
      </c>
      <c r="F2925" s="87" t="str">
        <f>IFERROR(__xludf.DUMMYFUNCTION("""COMPUTED_VALUE"""),"HH2254")</f>
        <v>HH2254</v>
      </c>
      <c r="G2925" s="87" t="str">
        <f>IFERROR(__xludf.DUMMYFUNCTION("""COMPUTED_VALUE"""),"IDA Global - I - 2254 - KHONGRAY 54WP (Bột trắng ngà) - 100gr - 100")</f>
        <v>IDA Global - I - 2254 - KHONGRAY 54WP (Bột trắng ngà) - 100gr - 100</v>
      </c>
    </row>
    <row r="2926">
      <c r="A2926" s="86">
        <f>IFERROR(__xludf.DUMMYFUNCTION("""COMPUTED_VALUE"""),2924.0)</f>
        <v>2924</v>
      </c>
      <c r="B2926" s="87" t="str">
        <f>IFERROR(__xludf.DUMMYFUNCTION("""COMPUTED_VALUE"""),"Nhãn")</f>
        <v>Nhãn</v>
      </c>
      <c r="C2926" s="87" t="str">
        <f>IFERROR(__xludf.DUMMYFUNCTION("""COMPUTED_VALUE"""),"NTN2255")</f>
        <v>NTN2255</v>
      </c>
      <c r="D2926" s="87" t="str">
        <f>IFERROR(__xludf.DUMMYFUNCTION("""COMPUTED_VALUE"""),"[Nhãn] IDA Global - I - 2255 - FORTAZEB 72WP (Bột xanh) - 1kg - 20")</f>
        <v>[Nhãn] IDA Global - I - 2255 - FORTAZEB 72WP (Bột xanh) - 1kg - 20</v>
      </c>
      <c r="E2926" s="87" t="str">
        <f>IFERROR(__xludf.DUMMYFUNCTION("""COMPUTED_VALUE"""),"FORTAZEB 72WP")</f>
        <v>FORTAZEB 72WP</v>
      </c>
      <c r="F2926" s="87" t="str">
        <f>IFERROR(__xludf.DUMMYFUNCTION("""COMPUTED_VALUE"""),"HH2255")</f>
        <v>HH2255</v>
      </c>
      <c r="G2926" s="87" t="str">
        <f>IFERROR(__xludf.DUMMYFUNCTION("""COMPUTED_VALUE"""),"IDA Global - I - 2255 - FORTAZEB 72WP (Bột xanh) - 1kg - 20")</f>
        <v>IDA Global - I - 2255 - FORTAZEB 72WP (Bột xanh) - 1kg - 20</v>
      </c>
    </row>
    <row r="2927">
      <c r="A2927" s="86">
        <f>IFERROR(__xludf.DUMMYFUNCTION("""COMPUTED_VALUE"""),2925.0)</f>
        <v>2925</v>
      </c>
      <c r="B2927" s="87" t="str">
        <f>IFERROR(__xludf.DUMMYFUNCTION("""COMPUTED_VALUE"""),"Nhãn thùng")</f>
        <v>Nhãn thùng</v>
      </c>
      <c r="C2927" s="87" t="str">
        <f>IFERROR(__xludf.DUMMYFUNCTION("""COMPUTED_VALUE"""),"NDT2255")</f>
        <v>NDT2255</v>
      </c>
      <c r="D2927" s="87" t="str">
        <f>IFERROR(__xludf.DUMMYFUNCTION("""COMPUTED_VALUE"""),"[Nhãn thùng] IDA Global - I - 2255 - FORTAZEB 72WP (Bột xanh) - 1kg - 20")</f>
        <v>[Nhãn thùng] IDA Global - I - 2255 - FORTAZEB 72WP (Bột xanh) - 1kg - 20</v>
      </c>
      <c r="E2927" s="87" t="str">
        <f>IFERROR(__xludf.DUMMYFUNCTION("""COMPUTED_VALUE"""),"FORTAZEB 72WP")</f>
        <v>FORTAZEB 72WP</v>
      </c>
      <c r="F2927" s="87" t="str">
        <f>IFERROR(__xludf.DUMMYFUNCTION("""COMPUTED_VALUE"""),"HH2255")</f>
        <v>HH2255</v>
      </c>
      <c r="G2927" s="87" t="str">
        <f>IFERROR(__xludf.DUMMYFUNCTION("""COMPUTED_VALUE"""),"IDA Global - I - 2255 - FORTAZEB 72WP (Bột xanh) - 1kg - 20")</f>
        <v>IDA Global - I - 2255 - FORTAZEB 72WP (Bột xanh) - 1kg - 20</v>
      </c>
    </row>
    <row r="2928">
      <c r="A2928" s="86">
        <f>IFERROR(__xludf.DUMMYFUNCTION("""COMPUTED_VALUE"""),2926.0)</f>
        <v>2926</v>
      </c>
      <c r="B2928" s="87" t="str">
        <f>IFERROR(__xludf.DUMMYFUNCTION("""COMPUTED_VALUE"""),"Nhãn")</f>
        <v>Nhãn</v>
      </c>
      <c r="C2928" s="87" t="str">
        <f>IFERROR(__xludf.DUMMYFUNCTION("""COMPUTED_VALUE"""),"NHG2256")</f>
        <v>NHG2256</v>
      </c>
      <c r="D2928" s="87" t="str">
        <f>IFERROR(__xludf.DUMMYFUNCTION("""COMPUTED_VALUE"""),"[Nhãn] IDA Global - I - 2256 - YAPOKO 250SC (Nước trắng sữa) - 240ml - 40")</f>
        <v>[Nhãn] IDA Global - I - 2256 - YAPOKO 250SC (Nước trắng sữa) - 240ml - 40</v>
      </c>
      <c r="E2928" s="87" t="str">
        <f>IFERROR(__xludf.DUMMYFUNCTION("""COMPUTED_VALUE"""),"YAPOKO 250SC")</f>
        <v>YAPOKO 250SC</v>
      </c>
      <c r="F2928" s="87" t="str">
        <f>IFERROR(__xludf.DUMMYFUNCTION("""COMPUTED_VALUE"""),"HH2256")</f>
        <v>HH2256</v>
      </c>
      <c r="G2928" s="87" t="str">
        <f>IFERROR(__xludf.DUMMYFUNCTION("""COMPUTED_VALUE"""),"IDA Global - I - 2256 - YAPOKO 250SC (Nước trắng sữa) - 240ml - 40")</f>
        <v>IDA Global - I - 2256 - YAPOKO 250SC (Nước trắng sữa) - 240ml - 40</v>
      </c>
    </row>
    <row r="2929">
      <c r="A2929" s="86">
        <f>IFERROR(__xludf.DUMMYFUNCTION("""COMPUTED_VALUE"""),2927.0)</f>
        <v>2927</v>
      </c>
      <c r="B2929" s="87" t="str">
        <f>IFERROR(__xludf.DUMMYFUNCTION("""COMPUTED_VALUE"""),"Nhãn")</f>
        <v>Nhãn</v>
      </c>
      <c r="C2929" s="87" t="str">
        <f>IFERROR(__xludf.DUMMYFUNCTION("""COMPUTED_VALUE"""),"NHG2257")</f>
        <v>NHG2257</v>
      </c>
      <c r="D2929" s="87" t="str">
        <f>IFERROR(__xludf.DUMMYFUNCTION("""COMPUTED_VALUE"""),"[Nhãn] GC - IV - 2257 - A.Diễn Cty Sen Hồng - MUOIHANH (nước đỏ) - 450ml - 40")</f>
        <v>[Nhãn] GC - IV - 2257 - A.Diễn Cty Sen Hồng - MUOIHANH (nước đỏ) - 450ml - 40</v>
      </c>
      <c r="E2929" s="87" t="str">
        <f>IFERROR(__xludf.DUMMYFUNCTION("""COMPUTED_VALUE"""),"PYXOATE 44EC")</f>
        <v>PYXOATE 44EC</v>
      </c>
      <c r="F2929" s="87" t="str">
        <f>IFERROR(__xludf.DUMMYFUNCTION("""COMPUTED_VALUE"""),"HH2257")</f>
        <v>HH2257</v>
      </c>
      <c r="G2929" s="87" t="str">
        <f>IFERROR(__xludf.DUMMYFUNCTION("""COMPUTED_VALUE"""),"GC - IV - 2257 - A.Diễn Cty Sen Hồng - MUOIHANH (nước đỏ) - 450ml - 40")</f>
        <v>GC - IV - 2257 - A.Diễn Cty Sen Hồng - MUOIHANH (nước đỏ) - 450ml - 40</v>
      </c>
    </row>
    <row r="2930">
      <c r="A2930" s="86">
        <f>IFERROR(__xludf.DUMMYFUNCTION("""COMPUTED_VALUE"""),2928.0)</f>
        <v>2928</v>
      </c>
      <c r="B2930" s="87" t="str">
        <f>IFERROR(__xludf.DUMMYFUNCTION("""COMPUTED_VALUE"""),"Nhãn")</f>
        <v>Nhãn</v>
      </c>
      <c r="C2930" s="87" t="str">
        <f>IFERROR(__xludf.DUMMYFUNCTION("""COMPUTED_VALUE"""),"NHD2258")</f>
        <v>NHD2258</v>
      </c>
      <c r="D2930" s="87" t="str">
        <f>IFERROR(__xludf.DUMMYFUNCTION("""COMPUTED_VALUE"""),"[Nhãn] GC - IV - 2258 - CTY USAFARM - BIO ROOTS (Nước nâu đen) - 5L - 4")</f>
        <v>[Nhãn] GC - IV - 2258 - CTY USAFARM - BIO ROOTS (Nước nâu đen) - 5L - 4</v>
      </c>
      <c r="E2930" s="87" t="str">
        <f>IFERROR(__xludf.DUMMYFUNCTION("""COMPUTED_VALUE"""),"Hữu cơ SH Agro Organic Fertilizer 20")</f>
        <v>Hữu cơ SH Agro Organic Fertilizer 20</v>
      </c>
      <c r="F2930" s="87" t="str">
        <f>IFERROR(__xludf.DUMMYFUNCTION("""COMPUTED_VALUE"""),"HH2258")</f>
        <v>HH2258</v>
      </c>
      <c r="G2930" s="87" t="str">
        <f>IFERROR(__xludf.DUMMYFUNCTION("""COMPUTED_VALUE"""),"GC - IV - 2258 - CTY USAFARM - BIO ROOTS (Nước nâu đen) - 5L - 4")</f>
        <v>GC - IV - 2258 - CTY USAFARM - BIO ROOTS (Nước nâu đen) - 5L - 4</v>
      </c>
    </row>
    <row r="2931">
      <c r="A2931" s="86">
        <f>IFERROR(__xludf.DUMMYFUNCTION("""COMPUTED_VALUE"""),2929.0)</f>
        <v>2929</v>
      </c>
      <c r="B2931" s="87" t="str">
        <f>IFERROR(__xludf.DUMMYFUNCTION("""COMPUTED_VALUE"""),"Nhãn thùng")</f>
        <v>Nhãn thùng</v>
      </c>
      <c r="C2931" s="87" t="str">
        <f>IFERROR(__xludf.DUMMYFUNCTION("""COMPUTED_VALUE"""),"NDT2258")</f>
        <v>NDT2258</v>
      </c>
      <c r="D2931" s="87" t="str">
        <f>IFERROR(__xludf.DUMMYFUNCTION("""COMPUTED_VALUE"""),"[Nhãn thùng] GC - IV - 2258 - CTY USAFARM - BIO ROOTS (Nước nâu đen) - 5L - 4")</f>
        <v>[Nhãn thùng] GC - IV - 2258 - CTY USAFARM - BIO ROOTS (Nước nâu đen) - 5L - 4</v>
      </c>
      <c r="E2931" s="87" t="str">
        <f>IFERROR(__xludf.DUMMYFUNCTION("""COMPUTED_VALUE"""),"Hữu cơ SH Agro Organic Fertilizer 20")</f>
        <v>Hữu cơ SH Agro Organic Fertilizer 20</v>
      </c>
      <c r="F2931" s="87" t="str">
        <f>IFERROR(__xludf.DUMMYFUNCTION("""COMPUTED_VALUE"""),"HH2258")</f>
        <v>HH2258</v>
      </c>
      <c r="G2931" s="87" t="str">
        <f>IFERROR(__xludf.DUMMYFUNCTION("""COMPUTED_VALUE"""),"GC - IV - 2258 - CTY USAFARM - BIO ROOTS (Nước nâu đen) - 5L - 4")</f>
        <v>GC - IV - 2258 - CTY USAFARM - BIO ROOTS (Nước nâu đen) - 5L - 4</v>
      </c>
    </row>
    <row r="2932">
      <c r="A2932" s="86">
        <f>IFERROR(__xludf.DUMMYFUNCTION("""COMPUTED_VALUE"""),2930.0)</f>
        <v>2930</v>
      </c>
      <c r="B2932" s="87" t="str">
        <f>IFERROR(__xludf.DUMMYFUNCTION("""COMPUTED_VALUE"""),"Nhãn")</f>
        <v>Nhãn</v>
      </c>
      <c r="C2932" s="87" t="str">
        <f>IFERROR(__xludf.DUMMYFUNCTION("""COMPUTED_VALUE"""),"NHD2259")</f>
        <v>NHD2259</v>
      </c>
      <c r="D2932" s="87" t="str">
        <f>IFERROR(__xludf.DUMMYFUNCTION("""COMPUTED_VALUE"""),"[Nhãn] GC - IV - 2259 - CTY USAFARM - BIO ROOTS (Nước nâu đen) - 10L - 1")</f>
        <v>[Nhãn] GC - IV - 2259 - CTY USAFARM - BIO ROOTS (Nước nâu đen) - 10L - 1</v>
      </c>
      <c r="E2932" s="87" t="str">
        <f>IFERROR(__xludf.DUMMYFUNCTION("""COMPUTED_VALUE"""),"Hữu cơ SH Agro Organic Fertilizer 20")</f>
        <v>Hữu cơ SH Agro Organic Fertilizer 20</v>
      </c>
      <c r="F2932" s="87" t="str">
        <f>IFERROR(__xludf.DUMMYFUNCTION("""COMPUTED_VALUE"""),"HH2259")</f>
        <v>HH2259</v>
      </c>
      <c r="G2932" s="87" t="str">
        <f>IFERROR(__xludf.DUMMYFUNCTION("""COMPUTED_VALUE"""),"GC - IV - 2259 - CTY USAFARM - BIO ROOTS (Nước nâu đen) - 10L - 1")</f>
        <v>GC - IV - 2259 - CTY USAFARM - BIO ROOTS (Nước nâu đen) - 10L - 1</v>
      </c>
    </row>
    <row r="2933">
      <c r="A2933" s="86">
        <f>IFERROR(__xludf.DUMMYFUNCTION("""COMPUTED_VALUE"""),2931.0)</f>
        <v>2931</v>
      </c>
      <c r="B2933" s="87" t="str">
        <f>IFERROR(__xludf.DUMMYFUNCTION("""COMPUTED_VALUE"""),"Nhãn")</f>
        <v>Nhãn</v>
      </c>
      <c r="C2933" s="87" t="str">
        <f>IFERROR(__xludf.DUMMYFUNCTION("""COMPUTED_VALUE"""),"NHG2260")</f>
        <v>NHG2260</v>
      </c>
      <c r="D2933" s="87" t="str">
        <f>IFERROR(__xludf.DUMMYFUNCTION("""COMPUTED_VALUE"""),"[Nhãn] GC - IV - 2260 - Cty Hóa Nông Shino - BIM 999 (Nước cam sữa) - 500ml - 30")</f>
        <v>[Nhãn] GC - IV - 2260 - Cty Hóa Nông Shino - BIM 999 (Nước cam sữa) - 500ml - 30</v>
      </c>
      <c r="E2933" s="87" t="str">
        <f>IFERROR(__xludf.DUMMYFUNCTION("""COMPUTED_VALUE"""),"AMILAN 300SC")</f>
        <v>AMILAN 300SC</v>
      </c>
      <c r="F2933" s="87" t="str">
        <f>IFERROR(__xludf.DUMMYFUNCTION("""COMPUTED_VALUE"""),"HH2260")</f>
        <v>HH2260</v>
      </c>
      <c r="G2933" s="87" t="str">
        <f>IFERROR(__xludf.DUMMYFUNCTION("""COMPUTED_VALUE"""),"GC - IV - 2260 - Cty Hóa Nông Shino - BIM 999 (Nước cam sữa) - 500ml - 30")</f>
        <v>GC - IV - 2260 - Cty Hóa Nông Shino - BIM 999 (Nước cam sữa) - 500ml - 30</v>
      </c>
    </row>
    <row r="2934">
      <c r="A2934" s="86">
        <f>IFERROR(__xludf.DUMMYFUNCTION("""COMPUTED_VALUE"""),2932.0)</f>
        <v>2932</v>
      </c>
      <c r="B2934" s="87" t="str">
        <f>IFERROR(__xludf.DUMMYFUNCTION("""COMPUTED_VALUE"""),"Nhãn")</f>
        <v>Nhãn</v>
      </c>
      <c r="C2934" s="87" t="str">
        <f>IFERROR(__xludf.DUMMYFUNCTION("""COMPUTED_VALUE"""),"NHG2261")</f>
        <v>NHG2261</v>
      </c>
      <c r="D2934" s="87" t="str">
        <f>IFERROR(__xludf.DUMMYFUNCTION("""COMPUTED_VALUE"""),"[Nhãn] GC - IV - 2261 - NHP - Killmite (Nước tím) - 250ml - 40")</f>
        <v>[Nhãn] GC - IV - 2261 - NHP - Killmite (Nước tím) - 250ml - 40</v>
      </c>
      <c r="E2934" s="87" t="str">
        <f>IFERROR(__xludf.DUMMYFUNCTION("""COMPUTED_VALUE"""),"Chitin 3.6EC")</f>
        <v>Chitin 3.6EC</v>
      </c>
      <c r="F2934" s="87" t="str">
        <f>IFERROR(__xludf.DUMMYFUNCTION("""COMPUTED_VALUE"""),"HH2261")</f>
        <v>HH2261</v>
      </c>
      <c r="G2934" s="87" t="str">
        <f>IFERROR(__xludf.DUMMYFUNCTION("""COMPUTED_VALUE"""),"GC - IV - 2261 - NHP - Killmite (Nước tím) - 250ml - 40")</f>
        <v>GC - IV - 2261 - NHP - Killmite (Nước tím) - 250ml - 40</v>
      </c>
    </row>
    <row r="2935">
      <c r="A2935" s="86">
        <f>IFERROR(__xludf.DUMMYFUNCTION("""COMPUTED_VALUE"""),2933.0)</f>
        <v>2933</v>
      </c>
      <c r="B2935" s="87" t="str">
        <f>IFERROR(__xludf.DUMMYFUNCTION("""COMPUTED_VALUE"""),"Nhãn")</f>
        <v>Nhãn</v>
      </c>
      <c r="C2935" s="87" t="str">
        <f>IFERROR(__xludf.DUMMYFUNCTION("""COMPUTED_VALUE"""),"NHG2262")</f>
        <v>NHG2262</v>
      </c>
      <c r="D2935" s="87" t="str">
        <f>IFERROR(__xludf.DUMMYFUNCTION("""COMPUTED_VALUE"""),"[Nhãn] IDA Global - I - 2262 - MƯỜI CHÀ - SIÊU NỞ BỤI (Nước tím) - 450ml - 40")</f>
        <v>[Nhãn] IDA Global - I - 2262 - MƯỜI CHÀ - SIÊU NỞ BỤI (Nước tím) - 450ml - 40</v>
      </c>
      <c r="E2935" s="87" t="str">
        <f>IFERROR(__xludf.DUMMYFUNCTION("""COMPUTED_VALUE"""),"Hỗn Hợp NP AGAMA-AP")</f>
        <v>Hỗn Hợp NP AGAMA-AP</v>
      </c>
      <c r="F2935" s="87" t="str">
        <f>IFERROR(__xludf.DUMMYFUNCTION("""COMPUTED_VALUE"""),"HH2262")</f>
        <v>HH2262</v>
      </c>
      <c r="G2935" s="87" t="str">
        <f>IFERROR(__xludf.DUMMYFUNCTION("""COMPUTED_VALUE"""),"IDA Global - I - 2262 - MƯỜI CHÀ - SIÊU NỞ BỤI (Nước tím) - 450ml - 40")</f>
        <v>IDA Global - I - 2262 - MƯỜI CHÀ - SIÊU NỞ BỤI (Nước tím) - 450ml - 40</v>
      </c>
    </row>
    <row r="2936">
      <c r="A2936" s="86">
        <f>IFERROR(__xludf.DUMMYFUNCTION("""COMPUTED_VALUE"""),2934.0)</f>
        <v>2934</v>
      </c>
      <c r="B2936" s="87" t="str">
        <f>IFERROR(__xludf.DUMMYFUNCTION("""COMPUTED_VALUE"""),"Nhãn thùng")</f>
        <v>Nhãn thùng</v>
      </c>
      <c r="C2936" s="87" t="str">
        <f>IFERROR(__xludf.DUMMYFUNCTION("""COMPUTED_VALUE"""),"NDT2262")</f>
        <v>NDT2262</v>
      </c>
      <c r="D2936" s="87" t="str">
        <f>IFERROR(__xludf.DUMMYFUNCTION("""COMPUTED_VALUE"""),"[Nhãn thùng] IDA Global - I - 2262 - MƯỜI CHÀ - SIÊU NỞ BỤI (Nước tím) - 450ml - 40")</f>
        <v>[Nhãn thùng] IDA Global - I - 2262 - MƯỜI CHÀ - SIÊU NỞ BỤI (Nước tím) - 450ml - 40</v>
      </c>
      <c r="E2936" s="87" t="str">
        <f>IFERROR(__xludf.DUMMYFUNCTION("""COMPUTED_VALUE"""),"Hỗn Hợp NP AGAMA-AP")</f>
        <v>Hỗn Hợp NP AGAMA-AP</v>
      </c>
      <c r="F2936" s="87" t="str">
        <f>IFERROR(__xludf.DUMMYFUNCTION("""COMPUTED_VALUE"""),"HH2262")</f>
        <v>HH2262</v>
      </c>
      <c r="G2936" s="87" t="str">
        <f>IFERROR(__xludf.DUMMYFUNCTION("""COMPUTED_VALUE"""),"IDA Global - I - 2262 - MƯỜI CHÀ - SIÊU NỞ BỤI (Nước tím) - 450ml - 40")</f>
        <v>IDA Global - I - 2262 - MƯỜI CHÀ - SIÊU NỞ BỤI (Nước tím) - 450ml - 40</v>
      </c>
    </row>
    <row r="2937">
      <c r="A2937" s="86">
        <f>IFERROR(__xludf.DUMMYFUNCTION("""COMPUTED_VALUE"""),2935.0)</f>
        <v>2935</v>
      </c>
      <c r="B2937" s="87" t="str">
        <f>IFERROR(__xludf.DUMMYFUNCTION("""COMPUTED_VALUE"""),"Nhãn")</f>
        <v>Nhãn</v>
      </c>
      <c r="C2937" s="87" t="str">
        <f>IFERROR(__xludf.DUMMYFUNCTION("""COMPUTED_VALUE"""),"NHG2264")</f>
        <v>NHG2264</v>
      </c>
      <c r="D2937" s="87" t="str">
        <f>IFERROR(__xludf.DUMMYFUNCTION("""COMPUTED_VALUE"""),"[Nhãn] GC - IV - 2264 - GNH - Siêu Bung Đọt (nước nâu đen) - 500ml - 40")</f>
        <v>[Nhãn] GC - IV - 2264 - GNH - Siêu Bung Đọt (nước nâu đen) - 500ml - 40</v>
      </c>
      <c r="E2937" s="87" t="str">
        <f>IFERROR(__xludf.DUMMYFUNCTION("""COMPUTED_VALUE"""),"Vi lượng Basel VA01")</f>
        <v>Vi lượng Basel VA01</v>
      </c>
      <c r="F2937" s="87" t="str">
        <f>IFERROR(__xludf.DUMMYFUNCTION("""COMPUTED_VALUE"""),"HH2264")</f>
        <v>HH2264</v>
      </c>
      <c r="G2937" s="87" t="str">
        <f>IFERROR(__xludf.DUMMYFUNCTION("""COMPUTED_VALUE"""),"GC - IV - 2264 - GNH - Siêu Bung Đọt (nước nâu đen) - 500ml - 40")</f>
        <v>GC - IV - 2264 - GNH - Siêu Bung Đọt (nước nâu đen) - 500ml - 40</v>
      </c>
    </row>
    <row r="2938">
      <c r="A2938" s="86">
        <f>IFERROR(__xludf.DUMMYFUNCTION("""COMPUTED_VALUE"""),2936.0)</f>
        <v>2936</v>
      </c>
      <c r="B2938" s="87" t="str">
        <f>IFERROR(__xludf.DUMMYFUNCTION("""COMPUTED_VALUE"""),"Nhãn")</f>
        <v>Nhãn</v>
      </c>
      <c r="C2938" s="87" t="str">
        <f>IFERROR(__xludf.DUMMYFUNCTION("""COMPUTED_VALUE"""),"NHG2265")</f>
        <v>NHG2265</v>
      </c>
      <c r="D2938" s="87" t="str">
        <f>IFERROR(__xludf.DUMMYFUNCTION("""COMPUTED_VALUE"""),"[Nhãn] GC - II - 2265 - AGC - DR.BUD (nước nâu đen) - 1L - 20")</f>
        <v>[Nhãn] GC - II - 2265 - AGC - DR.BUD (nước nâu đen) - 1L - 20</v>
      </c>
      <c r="E2938" s="87" t="str">
        <f>IFERROR(__xludf.DUMMYFUNCTION("""COMPUTED_VALUE"""),"Vi lượng Quantity New")</f>
        <v>Vi lượng Quantity New</v>
      </c>
      <c r="F2938" s="87" t="str">
        <f>IFERROR(__xludf.DUMMYFUNCTION("""COMPUTED_VALUE"""),"HH2265")</f>
        <v>HH2265</v>
      </c>
      <c r="G2938" s="87" t="str">
        <f>IFERROR(__xludf.DUMMYFUNCTION("""COMPUTED_VALUE"""),"GC - II - 2265 - AGC - DR.BUD (nước nâu đen) - 1L - 20")</f>
        <v>GC - II - 2265 - AGC - DR.BUD (nước nâu đen) - 1L - 20</v>
      </c>
    </row>
    <row r="2939">
      <c r="A2939" s="86">
        <f>IFERROR(__xludf.DUMMYFUNCTION("""COMPUTED_VALUE"""),2937.0)</f>
        <v>2937</v>
      </c>
      <c r="B2939" s="87" t="str">
        <f>IFERROR(__xludf.DUMMYFUNCTION("""COMPUTED_VALUE"""),"Nhãn")</f>
        <v>Nhãn</v>
      </c>
      <c r="C2939" s="87" t="str">
        <f>IFERROR(__xludf.DUMMYFUNCTION("""COMPUTED_VALUE"""),"NHG2266")</f>
        <v>NHG2266</v>
      </c>
      <c r="D2939" s="87" t="str">
        <f>IFERROR(__xludf.DUMMYFUNCTION("""COMPUTED_VALUE"""),"[Nhãn] GC - IV - 2266 - A Thời GNH - Siêu Lớn Trái (Nước nâu đen) - 500ml - 40")</f>
        <v>[Nhãn] GC - IV - 2266 - A Thời GNH - Siêu Lớn Trái (Nước nâu đen) - 500ml - 40</v>
      </c>
      <c r="E2939" s="87" t="str">
        <f>IFERROR(__xludf.DUMMYFUNCTION("""COMPUTED_VALUE"""),"Vi lượng Basel VA02")</f>
        <v>Vi lượng Basel VA02</v>
      </c>
      <c r="F2939" s="87" t="str">
        <f>IFERROR(__xludf.DUMMYFUNCTION("""COMPUTED_VALUE"""),"HH2266")</f>
        <v>HH2266</v>
      </c>
      <c r="G2939" s="87" t="str">
        <f>IFERROR(__xludf.DUMMYFUNCTION("""COMPUTED_VALUE"""),"GC - IV - 2266 - A Thời GNH - Siêu Lớn Trái (Nước nâu đen) - 500ml - 40")</f>
        <v>GC - IV - 2266 - A Thời GNH - Siêu Lớn Trái (Nước nâu đen) - 500ml - 40</v>
      </c>
    </row>
    <row r="2940">
      <c r="A2940" s="86">
        <f>IFERROR(__xludf.DUMMYFUNCTION("""COMPUTED_VALUE"""),2938.0)</f>
        <v>2938</v>
      </c>
      <c r="B2940" s="87" t="str">
        <f>IFERROR(__xludf.DUMMYFUNCTION("""COMPUTED_VALUE"""),"Nhãn")</f>
        <v>Nhãn</v>
      </c>
      <c r="C2940" s="87" t="str">
        <f>IFERROR(__xludf.DUMMYFUNCTION("""COMPUTED_VALUE"""),"NHG2267")</f>
        <v>NHG2267</v>
      </c>
      <c r="D2940" s="87" t="str">
        <f>IFERROR(__xludf.DUMMYFUNCTION("""COMPUTED_VALUE"""),"[Nhãn] GC - II - 2267 - AGC - SIÊU DIỆT RỆP (Pet tròn)(nước tím) - 480ml - 40")</f>
        <v>[Nhãn] GC - II - 2267 - AGC - SIÊU DIỆT RỆP (Pet tròn)(nước tím) - 480ml - 40</v>
      </c>
      <c r="E2940" s="87" t="str">
        <f>IFERROR(__xludf.DUMMYFUNCTION("""COMPUTED_VALUE"""),"ABASBA 50EC")</f>
        <v>ABASBA 50EC</v>
      </c>
      <c r="F2940" s="87" t="str">
        <f>IFERROR(__xludf.DUMMYFUNCTION("""COMPUTED_VALUE"""),"HH2267")</f>
        <v>HH2267</v>
      </c>
      <c r="G2940" s="87" t="str">
        <f>IFERROR(__xludf.DUMMYFUNCTION("""COMPUTED_VALUE"""),"GC - II - 2267 - AGC - SIÊU DIỆT RỆP (Pet tròn)(nước tím) - 480ml - 40")</f>
        <v>GC - II - 2267 - AGC - SIÊU DIỆT RỆP (Pet tròn)(nước tím) - 480ml - 40</v>
      </c>
    </row>
    <row r="2941">
      <c r="A2941" s="86">
        <f>IFERROR(__xludf.DUMMYFUNCTION("""COMPUTED_VALUE"""),2939.0)</f>
        <v>2939</v>
      </c>
      <c r="B2941" s="87" t="str">
        <f>IFERROR(__xludf.DUMMYFUNCTION("""COMPUTED_VALUE"""),"Nhãn")</f>
        <v>Nhãn</v>
      </c>
      <c r="C2941" s="87" t="str">
        <f>IFERROR(__xludf.DUMMYFUNCTION("""COMPUTED_VALUE"""),"NTN2268")</f>
        <v>NTN2268</v>
      </c>
      <c r="D2941" s="87" t="str">
        <f>IFERROR(__xludf.DUMMYFUNCTION("""COMPUTED_VALUE"""),"[Nhãn] GC - IV - 2268 - CTY SEIKO NHẬT BẢN - SK-03 (Bột xanh) - 500gr - 30")</f>
        <v>[Nhãn] GC - IV - 2268 - CTY SEIKO NHẬT BẢN - SK-03 (Bột xanh) - 500gr - 30</v>
      </c>
      <c r="E2941" s="87" t="str">
        <f>IFERROR(__xludf.DUMMYFUNCTION("""COMPUTED_VALUE"""),"FORTAZEB 72WP")</f>
        <v>FORTAZEB 72WP</v>
      </c>
      <c r="F2941" s="87" t="str">
        <f>IFERROR(__xludf.DUMMYFUNCTION("""COMPUTED_VALUE"""),"HH2268")</f>
        <v>HH2268</v>
      </c>
      <c r="G2941" s="87" t="str">
        <f>IFERROR(__xludf.DUMMYFUNCTION("""COMPUTED_VALUE"""),"GC - IV - 2268 - CTY SEIKO NHẬT BẢN - SK-03 (Bột xanh) - 500gr - 30")</f>
        <v>GC - IV - 2268 - CTY SEIKO NHẬT BẢN - SK-03 (Bột xanh) - 500gr - 30</v>
      </c>
    </row>
    <row r="2942">
      <c r="A2942" s="86">
        <f>IFERROR(__xludf.DUMMYFUNCTION("""COMPUTED_VALUE"""),2940.0)</f>
        <v>2940</v>
      </c>
      <c r="B2942" s="87" t="str">
        <f>IFERROR(__xludf.DUMMYFUNCTION("""COMPUTED_VALUE"""),"Nhãn thùng")</f>
        <v>Nhãn thùng</v>
      </c>
      <c r="C2942" s="87" t="str">
        <f>IFERROR(__xludf.DUMMYFUNCTION("""COMPUTED_VALUE"""),"NDT2268")</f>
        <v>NDT2268</v>
      </c>
      <c r="D2942" s="87" t="str">
        <f>IFERROR(__xludf.DUMMYFUNCTION("""COMPUTED_VALUE"""),"[Nhãn thùng] GC - IV - 2268 - CTY SEIKO NHẬT BẢN - SK-03 (Bột xanh) - 500gr - 30")</f>
        <v>[Nhãn thùng] GC - IV - 2268 - CTY SEIKO NHẬT BẢN - SK-03 (Bột xanh) - 500gr - 30</v>
      </c>
      <c r="E2942" s="87" t="str">
        <f>IFERROR(__xludf.DUMMYFUNCTION("""COMPUTED_VALUE"""),"FORTAZEB 72WP")</f>
        <v>FORTAZEB 72WP</v>
      </c>
      <c r="F2942" s="87" t="str">
        <f>IFERROR(__xludf.DUMMYFUNCTION("""COMPUTED_VALUE"""),"HH2268")</f>
        <v>HH2268</v>
      </c>
      <c r="G2942" s="87" t="str">
        <f>IFERROR(__xludf.DUMMYFUNCTION("""COMPUTED_VALUE"""),"GC - IV - 2268 - CTY SEIKO NHẬT BẢN - SK-03 (Bột xanh) - 500gr - 30")</f>
        <v>GC - IV - 2268 - CTY SEIKO NHẬT BẢN - SK-03 (Bột xanh) - 500gr - 30</v>
      </c>
    </row>
    <row r="2943">
      <c r="A2943" s="86">
        <f>IFERROR(__xludf.DUMMYFUNCTION("""COMPUTED_VALUE"""),2941.0)</f>
        <v>2941</v>
      </c>
      <c r="B2943" s="87" t="str">
        <f>IFERROR(__xludf.DUMMYFUNCTION("""COMPUTED_VALUE"""),"Nhãn")</f>
        <v>Nhãn</v>
      </c>
      <c r="C2943" s="87" t="str">
        <f>IFERROR(__xludf.DUMMYFUNCTION("""COMPUTED_VALUE"""),"NHD2270")</f>
        <v>NHD2270</v>
      </c>
      <c r="D2943" s="87" t="str">
        <f>IFERROR(__xludf.DUMMYFUNCTION("""COMPUTED_VALUE"""),"[Nhãn] GC - IV - 2270 - CTY MAXAN AGRI - MAXAN KING SUPER ROOT (Gel nâu đen) - 800ml - 24")</f>
        <v>[Nhãn] GC - IV - 2270 - CTY MAXAN AGRI - MAXAN KING SUPER ROOT (Gel nâu đen) - 800ml - 24</v>
      </c>
      <c r="E2943" s="87" t="str">
        <f>IFERROR(__xludf.DUMMYFUNCTION("""COMPUTED_VALUE"""),"Vi lượng AGAMA-SUPPORT")</f>
        <v>Vi lượng AGAMA-SUPPORT</v>
      </c>
      <c r="F2943" s="87" t="str">
        <f>IFERROR(__xludf.DUMMYFUNCTION("""COMPUTED_VALUE"""),"HH2270")</f>
        <v>HH2270</v>
      </c>
      <c r="G2943" s="87" t="str">
        <f>IFERROR(__xludf.DUMMYFUNCTION("""COMPUTED_VALUE"""),"GC - IV - 2270 - CTY MAXAN AGRI - MAXAN KING SUPER ROOT (Gel nâu đen) - 800ml - 24")</f>
        <v>GC - IV - 2270 - CTY MAXAN AGRI - MAXAN KING SUPER ROOT (Gel nâu đen) - 800ml - 24</v>
      </c>
    </row>
    <row r="2944">
      <c r="A2944" s="86">
        <f>IFERROR(__xludf.DUMMYFUNCTION("""COMPUTED_VALUE"""),2942.0)</f>
        <v>2942</v>
      </c>
      <c r="B2944" s="87" t="str">
        <f>IFERROR(__xludf.DUMMYFUNCTION("""COMPUTED_VALUE"""),"Nhãn")</f>
        <v>Nhãn</v>
      </c>
      <c r="C2944" s="87" t="str">
        <f>IFERROR(__xludf.DUMMYFUNCTION("""COMPUTED_VALUE"""),"NHD2271")</f>
        <v>NHD2271</v>
      </c>
      <c r="D2944" s="87" t="str">
        <f>IFERROR(__xludf.DUMMYFUNCTION("""COMPUTED_VALUE"""),"[Nhãn] GC - IV - 2271 - CTY MAXAN AGRI - MAXAN KING SUPER STOP (Gel nâu đen) - 800ml - 24")</f>
        <v>[Nhãn] GC - IV - 2271 - CTY MAXAN AGRI - MAXAN KING SUPER STOP (Gel nâu đen) - 800ml - 24</v>
      </c>
      <c r="E2944" s="87" t="str">
        <f>IFERROR(__xludf.DUMMYFUNCTION("""COMPUTED_VALUE"""),"Vi lượng Quantity New")</f>
        <v>Vi lượng Quantity New</v>
      </c>
      <c r="F2944" s="87" t="str">
        <f>IFERROR(__xludf.DUMMYFUNCTION("""COMPUTED_VALUE"""),"HH2271")</f>
        <v>HH2271</v>
      </c>
      <c r="G2944" s="87" t="str">
        <f>IFERROR(__xludf.DUMMYFUNCTION("""COMPUTED_VALUE"""),"GC - IV - 2271 - CTY MAXAN AGRI - MAXAN KING SUPER STOP (Gel nâu đen) - 800ml - 24")</f>
        <v>GC - IV - 2271 - CTY MAXAN AGRI - MAXAN KING SUPER STOP (Gel nâu đen) - 800ml - 24</v>
      </c>
    </row>
    <row r="2945">
      <c r="A2945" s="86">
        <f>IFERROR(__xludf.DUMMYFUNCTION("""COMPUTED_VALUE"""),2943.0)</f>
        <v>2943</v>
      </c>
      <c r="B2945" s="87" t="str">
        <f>IFERROR(__xludf.DUMMYFUNCTION("""COMPUTED_VALUE"""),"Nhãn")</f>
        <v>Nhãn</v>
      </c>
      <c r="C2945" s="87" t="str">
        <f>IFERROR(__xludf.DUMMYFUNCTION("""COMPUTED_VALUE"""),"NHD2272")</f>
        <v>NHD2272</v>
      </c>
      <c r="D2945" s="87" t="str">
        <f>IFERROR(__xludf.DUMMYFUNCTION("""COMPUTED_VALUE"""),"[Nhãn] GC - IV - 2272 - CTY MAXAN AGRI - MAXAN KING SUPER KICK (Nước đỏ cam) - 800ml - 24")</f>
        <v>[Nhãn] GC - IV - 2272 - CTY MAXAN AGRI - MAXAN KING SUPER KICK (Nước đỏ cam) - 800ml - 24</v>
      </c>
      <c r="E2945" s="87" t="str">
        <f>IFERROR(__xludf.DUMMYFUNCTION("""COMPUTED_VALUE"""),"Hỗn hợp NK AGAMA MAPO")</f>
        <v>Hỗn hợp NK AGAMA MAPO</v>
      </c>
      <c r="F2945" s="87" t="str">
        <f>IFERROR(__xludf.DUMMYFUNCTION("""COMPUTED_VALUE"""),"HH2272")</f>
        <v>HH2272</v>
      </c>
      <c r="G2945" s="87" t="str">
        <f>IFERROR(__xludf.DUMMYFUNCTION("""COMPUTED_VALUE"""),"GC - IV - 2272 - CTY MAXAN AGRI - MAXAN KING SUPER KICK (Nước đỏ cam) - 800ml - 24")</f>
        <v>GC - IV - 2272 - CTY MAXAN AGRI - MAXAN KING SUPER KICK (Nước đỏ cam) - 800ml - 24</v>
      </c>
    </row>
    <row r="2946">
      <c r="A2946" s="86">
        <f>IFERROR(__xludf.DUMMYFUNCTION("""COMPUTED_VALUE"""),2944.0)</f>
        <v>2944</v>
      </c>
      <c r="B2946" s="87" t="str">
        <f>IFERROR(__xludf.DUMMYFUNCTION("""COMPUTED_VALUE"""),"Nhãn")</f>
        <v>Nhãn</v>
      </c>
      <c r="C2946" s="87" t="str">
        <f>IFERROR(__xludf.DUMMYFUNCTION("""COMPUTED_VALUE"""),"NHD2273")</f>
        <v>NHD2273</v>
      </c>
      <c r="D2946" s="87" t="str">
        <f>IFERROR(__xludf.DUMMYFUNCTION("""COMPUTED_VALUE"""),"[Nhãn] GC - IV - 2273 - CTY MAXAN AGRI - MAXAN KING SUPER FLOWER (Nước xanh lá) - 800ml - 24")</f>
        <v>[Nhãn] GC - IV - 2273 - CTY MAXAN AGRI - MAXAN KING SUPER FLOWER (Nước xanh lá) - 800ml - 24</v>
      </c>
      <c r="E2946" s="87" t="str">
        <f>IFERROR(__xludf.DUMMYFUNCTION("""COMPUTED_VALUE"""),"Hỗn hợp NK AGAMA OMKP")</f>
        <v>Hỗn hợp NK AGAMA OMKP</v>
      </c>
      <c r="F2946" s="87" t="str">
        <f>IFERROR(__xludf.DUMMYFUNCTION("""COMPUTED_VALUE"""),"HH2273")</f>
        <v>HH2273</v>
      </c>
      <c r="G2946" s="87" t="str">
        <f>IFERROR(__xludf.DUMMYFUNCTION("""COMPUTED_VALUE"""),"GC - IV - 2273 - CTY MAXAN AGRI - MAXAN KING SUPER FLOWER (Nước xanh lá) - 800ml - 24")</f>
        <v>GC - IV - 2273 - CTY MAXAN AGRI - MAXAN KING SUPER FLOWER (Nước xanh lá) - 800ml - 24</v>
      </c>
    </row>
    <row r="2947">
      <c r="A2947" s="86">
        <f>IFERROR(__xludf.DUMMYFUNCTION("""COMPUTED_VALUE"""),2945.0)</f>
        <v>2945</v>
      </c>
      <c r="B2947" s="87" t="str">
        <f>IFERROR(__xludf.DUMMYFUNCTION("""COMPUTED_VALUE"""),"Nhãn")</f>
        <v>Nhãn</v>
      </c>
      <c r="C2947" s="87" t="str">
        <f>IFERROR(__xludf.DUMMYFUNCTION("""COMPUTED_VALUE"""),"NHD2275")</f>
        <v>NHD2275</v>
      </c>
      <c r="D2947" s="87" t="str">
        <f>IFERROR(__xludf.DUMMYFUNCTION("""COMPUTED_VALUE"""),"[Nhãn] GC - IV - 2275 - CTY MAXAN AGRI - MAXAN KING SUPER POWER 200 (Nước đỏ) - 800ml - 24")</f>
        <v>[Nhãn] GC - IV - 2275 - CTY MAXAN AGRI - MAXAN KING SUPER POWER 200 (Nước đỏ) - 800ml - 24</v>
      </c>
      <c r="E2947" s="87" t="str">
        <f>IFERROR(__xludf.DUMMYFUNCTION("""COMPUTED_VALUE"""),"Asupergras 200SL")</f>
        <v>Asupergras 200SL</v>
      </c>
      <c r="F2947" s="87" t="str">
        <f>IFERROR(__xludf.DUMMYFUNCTION("""COMPUTED_VALUE"""),"HH2275")</f>
        <v>HH2275</v>
      </c>
      <c r="G2947" s="87" t="str">
        <f>IFERROR(__xludf.DUMMYFUNCTION("""COMPUTED_VALUE"""),"GC - IV - 2275 - CTY MAXAN AGRI - MAXAN KING SUPER POWER 200 (Nước đỏ) - 800ml - 24")</f>
        <v>GC - IV - 2275 - CTY MAXAN AGRI - MAXAN KING SUPER POWER 200 (Nước đỏ) - 800ml - 24</v>
      </c>
    </row>
    <row r="2948">
      <c r="A2948" s="86">
        <f>IFERROR(__xludf.DUMMYFUNCTION("""COMPUTED_VALUE"""),2946.0)</f>
        <v>2946</v>
      </c>
      <c r="B2948" s="87" t="str">
        <f>IFERROR(__xludf.DUMMYFUNCTION("""COMPUTED_VALUE"""),"Nhãn")</f>
        <v>Nhãn</v>
      </c>
      <c r="C2948" s="87" t="str">
        <f>IFERROR(__xludf.DUMMYFUNCTION("""COMPUTED_VALUE"""),"NHG2276")</f>
        <v>NHG2276</v>
      </c>
      <c r="D2948" s="87" t="str">
        <f>IFERROR(__xludf.DUMMYFUNCTION("""COMPUTED_VALUE"""),"[Nhãn] GC - IV - 2276 - CTY MAXAN AGRI - MAXAN GOLD SUPER SPIDER (Gel xanh lá) - 240ml - 60")</f>
        <v>[Nhãn] GC - IV - 2276 - CTY MAXAN AGRI - MAXAN GOLD SUPER SPIDER (Gel xanh lá) - 240ml - 60</v>
      </c>
      <c r="E2948" s="87" t="str">
        <f>IFERROR(__xludf.DUMMYFUNCTION("""COMPUTED_VALUE"""),"Chitin 3.6EC")</f>
        <v>Chitin 3.6EC</v>
      </c>
      <c r="F2948" s="87" t="str">
        <f>IFERROR(__xludf.DUMMYFUNCTION("""COMPUTED_VALUE"""),"HH2276")</f>
        <v>HH2276</v>
      </c>
      <c r="G2948" s="87" t="str">
        <f>IFERROR(__xludf.DUMMYFUNCTION("""COMPUTED_VALUE"""),"GC - IV - 2276 - CTY MAXAN AGRI - MAXAN GOLD SUPER SPIDER (Gel xanh lá) - 240ml - 60")</f>
        <v>GC - IV - 2276 - CTY MAXAN AGRI - MAXAN GOLD SUPER SPIDER (Gel xanh lá) - 240ml - 60</v>
      </c>
    </row>
    <row r="2949">
      <c r="A2949" s="86">
        <f>IFERROR(__xludf.DUMMYFUNCTION("""COMPUTED_VALUE"""),2947.0)</f>
        <v>2947</v>
      </c>
      <c r="B2949" s="87" t="str">
        <f>IFERROR(__xludf.DUMMYFUNCTION("""COMPUTED_VALUE"""),"Nhãn")</f>
        <v>Nhãn</v>
      </c>
      <c r="C2949" s="87" t="str">
        <f>IFERROR(__xludf.DUMMYFUNCTION("""COMPUTED_VALUE"""),"NHG2277")</f>
        <v>NHG2277</v>
      </c>
      <c r="D2949" s="87" t="str">
        <f>IFERROR(__xludf.DUMMYFUNCTION("""COMPUTED_VALUE"""),"[Nhãn] GC - IV - 2277 - CTY MAXAN AGRI - MAXAN GOLD SUPER MAX (Nước đỏ) - 240ml - 60")</f>
        <v>[Nhãn] GC - IV - 2277 - CTY MAXAN AGRI - MAXAN GOLD SUPER MAX (Nước đỏ) - 240ml - 60</v>
      </c>
      <c r="E2949" s="87" t="str">
        <f>IFERROR(__xludf.DUMMYFUNCTION("""COMPUTED_VALUE"""),"CHIM ƯNG 3.8EC")</f>
        <v>CHIM ƯNG 3.8EC</v>
      </c>
      <c r="F2949" s="87" t="str">
        <f>IFERROR(__xludf.DUMMYFUNCTION("""COMPUTED_VALUE"""),"HH2277")</f>
        <v>HH2277</v>
      </c>
      <c r="G2949" s="87" t="str">
        <f>IFERROR(__xludf.DUMMYFUNCTION("""COMPUTED_VALUE"""),"GC - IV - 2277 - CTY MAXAN AGRI - MAXAN GOLD SUPER MAX (Nước đỏ) - 240ml - 60")</f>
        <v>GC - IV - 2277 - CTY MAXAN AGRI - MAXAN GOLD SUPER MAX (Nước đỏ) - 240ml - 60</v>
      </c>
    </row>
    <row r="2950">
      <c r="A2950" s="86">
        <f>IFERROR(__xludf.DUMMYFUNCTION("""COMPUTED_VALUE"""),2948.0)</f>
        <v>2948</v>
      </c>
      <c r="B2950" s="87" t="str">
        <f>IFERROR(__xludf.DUMMYFUNCTION("""COMPUTED_VALUE"""),"Nhãn")</f>
        <v>Nhãn</v>
      </c>
      <c r="C2950" s="87" t="str">
        <f>IFERROR(__xludf.DUMMYFUNCTION("""COMPUTED_VALUE"""),"NTN2278")</f>
        <v>NTN2278</v>
      </c>
      <c r="D2950" s="87" t="str">
        <f>IFERROR(__xludf.DUMMYFUNCTION("""COMPUTED_VALUE"""),"[Nhãn] GC - IV - 2278 - CTY MAXAN AGRI - MAXAN GOLD SUPER WORM (Dạng cốm màu vàng nhạt) - 100gr - 100")</f>
        <v>[Nhãn] GC - IV - 2278 - CTY MAXAN AGRI - MAXAN GOLD SUPER WORM (Dạng cốm màu vàng nhạt) - 100gr - 100</v>
      </c>
      <c r="E2950" s="87" t="str">
        <f>IFERROR(__xludf.DUMMYFUNCTION("""COMPUTED_VALUE"""),"MAKEGREEN 55WG")</f>
        <v>MAKEGREEN 55WG</v>
      </c>
      <c r="F2950" s="87" t="str">
        <f>IFERROR(__xludf.DUMMYFUNCTION("""COMPUTED_VALUE"""),"HH2278")</f>
        <v>HH2278</v>
      </c>
      <c r="G2950" s="87" t="str">
        <f>IFERROR(__xludf.DUMMYFUNCTION("""COMPUTED_VALUE"""),"GC - IV - 2278 - CTY MAXAN AGRI - MAXAN GOLD SUPER WORM (Dạng cốm màu vàng nhạt) - 100gr - 100")</f>
        <v>GC - IV - 2278 - CTY MAXAN AGRI - MAXAN GOLD SUPER WORM (Dạng cốm màu vàng nhạt) - 100gr - 100</v>
      </c>
    </row>
    <row r="2951">
      <c r="A2951" s="86">
        <f>IFERROR(__xludf.DUMMYFUNCTION("""COMPUTED_VALUE"""),2949.0)</f>
        <v>2949</v>
      </c>
      <c r="B2951" s="87" t="str">
        <f>IFERROR(__xludf.DUMMYFUNCTION("""COMPUTED_VALUE"""),"Nhãn thùng")</f>
        <v>Nhãn thùng</v>
      </c>
      <c r="C2951" s="87" t="str">
        <f>IFERROR(__xludf.DUMMYFUNCTION("""COMPUTED_VALUE"""),"NDT2278")</f>
        <v>NDT2278</v>
      </c>
      <c r="D2951" s="87" t="str">
        <f>IFERROR(__xludf.DUMMYFUNCTION("""COMPUTED_VALUE"""),"[Nhãn thùng] GC - IV - 2278 - CTY MAXAN AGRI - MAXAN GOLD SUPER WORM (Dạng cốm màu vàng nhạt) - 100gr - 100")</f>
        <v>[Nhãn thùng] GC - IV - 2278 - CTY MAXAN AGRI - MAXAN GOLD SUPER WORM (Dạng cốm màu vàng nhạt) - 100gr - 100</v>
      </c>
      <c r="E2951" s="87" t="str">
        <f>IFERROR(__xludf.DUMMYFUNCTION("""COMPUTED_VALUE"""),"MAKEGREEN 55WG")</f>
        <v>MAKEGREEN 55WG</v>
      </c>
      <c r="F2951" s="87" t="str">
        <f>IFERROR(__xludf.DUMMYFUNCTION("""COMPUTED_VALUE"""),"HH2278")</f>
        <v>HH2278</v>
      </c>
      <c r="G2951" s="87" t="str">
        <f>IFERROR(__xludf.DUMMYFUNCTION("""COMPUTED_VALUE"""),"GC - IV - 2278 - CTY MAXAN AGRI - MAXAN GOLD SUPER WORM (Dạng cốm màu vàng nhạt) - 100gr - 100")</f>
        <v>GC - IV - 2278 - CTY MAXAN AGRI - MAXAN GOLD SUPER WORM (Dạng cốm màu vàng nhạt) - 100gr - 100</v>
      </c>
    </row>
    <row r="2952">
      <c r="A2952" s="86">
        <f>IFERROR(__xludf.DUMMYFUNCTION("""COMPUTED_VALUE"""),2950.0)</f>
        <v>2950</v>
      </c>
      <c r="B2952" s="87" t="str">
        <f>IFERROR(__xludf.DUMMYFUNCTION("""COMPUTED_VALUE"""),"Nhãn")</f>
        <v>Nhãn</v>
      </c>
      <c r="C2952" s="87" t="str">
        <f>IFERROR(__xludf.DUMMYFUNCTION("""COMPUTED_VALUE"""),"NTN2279")</f>
        <v>NTN2279</v>
      </c>
      <c r="D2952" s="87" t="str">
        <f>IFERROR(__xludf.DUMMYFUNCTION("""COMPUTED_VALUE"""),"[Nhãn] GC - IV - 2279 - CTY MAXAN AGRI - MANCOBGO 80WP (Bột xanh) - 1kg - 20")</f>
        <v>[Nhãn] GC - IV - 2279 - CTY MAXAN AGRI - MANCOBGO 80WP (Bột xanh) - 1kg - 20</v>
      </c>
      <c r="E2952" s="87" t="str">
        <f>IFERROR(__xludf.DUMMYFUNCTION("""COMPUTED_VALUE"""),"MANCOBGO 80WP")</f>
        <v>MANCOBGO 80WP</v>
      </c>
      <c r="F2952" s="87" t="str">
        <f>IFERROR(__xludf.DUMMYFUNCTION("""COMPUTED_VALUE"""),"HH2279")</f>
        <v>HH2279</v>
      </c>
      <c r="G2952" s="87" t="str">
        <f>IFERROR(__xludf.DUMMYFUNCTION("""COMPUTED_VALUE"""),"GC - IV - 2279 - CTY MAXAN AGRI - MANCOBGO 80WP (Bột xanh) - 1kg - 20")</f>
        <v>GC - IV - 2279 - CTY MAXAN AGRI - MANCOBGO 80WP (Bột xanh) - 1kg - 20</v>
      </c>
    </row>
    <row r="2953">
      <c r="A2953" s="86">
        <f>IFERROR(__xludf.DUMMYFUNCTION("""COMPUTED_VALUE"""),2951.0)</f>
        <v>2951</v>
      </c>
      <c r="B2953" s="87" t="str">
        <f>IFERROR(__xludf.DUMMYFUNCTION("""COMPUTED_VALUE"""),"Nhãn thùng")</f>
        <v>Nhãn thùng</v>
      </c>
      <c r="C2953" s="87" t="str">
        <f>IFERROR(__xludf.DUMMYFUNCTION("""COMPUTED_VALUE"""),"NDT2279")</f>
        <v>NDT2279</v>
      </c>
      <c r="D2953" s="87" t="str">
        <f>IFERROR(__xludf.DUMMYFUNCTION("""COMPUTED_VALUE"""),"[Nhãn thùng] GC - IV - 2279 - CTY MAXAN AGRI - MANCOBGO 80WP (Bột xanh) - 1kg - 20")</f>
        <v>[Nhãn thùng] GC - IV - 2279 - CTY MAXAN AGRI - MANCOBGO 80WP (Bột xanh) - 1kg - 20</v>
      </c>
      <c r="E2953" s="87" t="str">
        <f>IFERROR(__xludf.DUMMYFUNCTION("""COMPUTED_VALUE"""),"MANCOBGO 80WP")</f>
        <v>MANCOBGO 80WP</v>
      </c>
      <c r="F2953" s="87" t="str">
        <f>IFERROR(__xludf.DUMMYFUNCTION("""COMPUTED_VALUE"""),"HH2279")</f>
        <v>HH2279</v>
      </c>
      <c r="G2953" s="87" t="str">
        <f>IFERROR(__xludf.DUMMYFUNCTION("""COMPUTED_VALUE"""),"GC - IV - 2279 - CTY MAXAN AGRI - MANCOBGO 80WP (Bột xanh) - 1kg - 20")</f>
        <v>GC - IV - 2279 - CTY MAXAN AGRI - MANCOBGO 80WP (Bột xanh) - 1kg - 20</v>
      </c>
    </row>
    <row r="2954">
      <c r="A2954" s="86">
        <f>IFERROR(__xludf.DUMMYFUNCTION("""COMPUTED_VALUE"""),2952.0)</f>
        <v>2952</v>
      </c>
      <c r="B2954" s="87" t="str">
        <f>IFERROR(__xludf.DUMMYFUNCTION("""COMPUTED_VALUE"""),"Nhãn")</f>
        <v>Nhãn</v>
      </c>
      <c r="C2954" s="87" t="str">
        <f>IFERROR(__xludf.DUMMYFUNCTION("""COMPUTED_VALUE"""),"NHD2280")</f>
        <v>NHD2280</v>
      </c>
      <c r="D2954" s="87" t="str">
        <f>IFERROR(__xludf.DUMMYFUNCTION("""COMPUTED_VALUE"""),"[Nhãn] GC - IV - 2280 - CTY MAXAN AGRI - MAXAN GOLD SUPER JAPA VIL 110SC (Nước trắng sữa) - 800ml - 24")</f>
        <v>[Nhãn] GC - IV - 2280 - CTY MAXAN AGRI - MAXAN GOLD SUPER JAPA VIL 110SC (Nước trắng sữa) - 800ml - 24</v>
      </c>
      <c r="E2954" s="87" t="str">
        <f>IFERROR(__xludf.DUMMYFUNCTION("""COMPUTED_VALUE"""),"JAPA VIL 110SC")</f>
        <v>JAPA VIL 110SC</v>
      </c>
      <c r="F2954" s="87" t="str">
        <f>IFERROR(__xludf.DUMMYFUNCTION("""COMPUTED_VALUE"""),"HH2280")</f>
        <v>HH2280</v>
      </c>
      <c r="G2954" s="87" t="str">
        <f>IFERROR(__xludf.DUMMYFUNCTION("""COMPUTED_VALUE"""),"GC - IV - 2280 - CTY MAXAN AGRI - MAXAN GOLD SUPER JAPA VIL 110SC (Nước trắng sữa) - 800ml - 24")</f>
        <v>GC - IV - 2280 - CTY MAXAN AGRI - MAXAN GOLD SUPER JAPA VIL 110SC (Nước trắng sữa) - 800ml - 24</v>
      </c>
    </row>
    <row r="2955">
      <c r="A2955" s="86">
        <f>IFERROR(__xludf.DUMMYFUNCTION("""COMPUTED_VALUE"""),2953.0)</f>
        <v>2953</v>
      </c>
      <c r="B2955" s="87" t="str">
        <f>IFERROR(__xludf.DUMMYFUNCTION("""COMPUTED_VALUE"""),"Nhãn")</f>
        <v>Nhãn</v>
      </c>
      <c r="C2955" s="87" t="str">
        <f>IFERROR(__xludf.DUMMYFUNCTION("""COMPUTED_VALUE"""),"NHG2281")</f>
        <v>NHG2281</v>
      </c>
      <c r="D2955" s="87" t="str">
        <f>IFERROR(__xludf.DUMMYFUNCTION("""COMPUTED_VALUE"""),"[Nhãn] GC - IV - 2281 - CTY MAXAN AGRI - MAXAN GOLD SUPER CLEAN (Nước tím đậm - V3) - 250ml - 60")</f>
        <v>[Nhãn] GC - IV - 2281 - CTY MAXAN AGRI - MAXAN GOLD SUPER CLEAN (Nước tím đậm - V3) - 250ml - 60</v>
      </c>
      <c r="E2955" s="87" t="str">
        <f>IFERROR(__xludf.DUMMYFUNCTION("""COMPUTED_VALUE"""),"GENOL 1.2SL")</f>
        <v>GENOL 1.2SL</v>
      </c>
      <c r="F2955" s="87" t="str">
        <f>IFERROR(__xludf.DUMMYFUNCTION("""COMPUTED_VALUE"""),"HH2281")</f>
        <v>HH2281</v>
      </c>
      <c r="G2955" s="87" t="str">
        <f>IFERROR(__xludf.DUMMYFUNCTION("""COMPUTED_VALUE"""),"GC - IV - 2281 - CTY MAXAN AGRI - MAXAN GOLD SUPER CLEAN (Nước tím đậm - V3) - 250ml - 60")</f>
        <v>GC - IV - 2281 - CTY MAXAN AGRI - MAXAN GOLD SUPER CLEAN (Nước tím đậm - V3) - 250ml - 60</v>
      </c>
    </row>
    <row r="2956">
      <c r="A2956" s="86">
        <f>IFERROR(__xludf.DUMMYFUNCTION("""COMPUTED_VALUE"""),2954.0)</f>
        <v>2954</v>
      </c>
      <c r="B2956" s="87" t="str">
        <f>IFERROR(__xludf.DUMMYFUNCTION("""COMPUTED_VALUE"""),"Nhãn")</f>
        <v>Nhãn</v>
      </c>
      <c r="C2956" s="87" t="str">
        <f>IFERROR(__xludf.DUMMYFUNCTION("""COMPUTED_VALUE"""),"NHD2282")</f>
        <v>NHD2282</v>
      </c>
      <c r="D2956" s="87" t="str">
        <f>IFERROR(__xludf.DUMMYFUNCTION("""COMPUTED_VALUE"""),"[Nhãn] GC - IV - 2282 - CTY MAXAN AGRI - MAXAN GOLD SUPER NANO (Nước xanh dương) - 750ml - 24")</f>
        <v>[Nhãn] GC - IV - 2282 - CTY MAXAN AGRI - MAXAN GOLD SUPER NANO (Nước xanh dương) - 750ml - 24</v>
      </c>
      <c r="E2956" s="87" t="str">
        <f>IFERROR(__xludf.DUMMYFUNCTION("""COMPUTED_VALUE"""),"Vi lượng Agama - Cu")</f>
        <v>Vi lượng Agama - Cu</v>
      </c>
      <c r="F2956" s="87" t="str">
        <f>IFERROR(__xludf.DUMMYFUNCTION("""COMPUTED_VALUE"""),"HH2282")</f>
        <v>HH2282</v>
      </c>
      <c r="G2956" s="87" t="str">
        <f>IFERROR(__xludf.DUMMYFUNCTION("""COMPUTED_VALUE"""),"GC - IV - 2282 - CTY MAXAN AGRI - MAXAN GOLD SUPER NANO (Nước xanh dương) - 750ml - 24")</f>
        <v>GC - IV - 2282 - CTY MAXAN AGRI - MAXAN GOLD SUPER NANO (Nước xanh dương) - 750ml - 24</v>
      </c>
    </row>
    <row r="2957">
      <c r="A2957" s="86">
        <f>IFERROR(__xludf.DUMMYFUNCTION("""COMPUTED_VALUE"""),2955.0)</f>
        <v>2955</v>
      </c>
      <c r="B2957" s="87" t="str">
        <f>IFERROR(__xludf.DUMMYFUNCTION("""COMPUTED_VALUE"""),"Nhãn")</f>
        <v>Nhãn</v>
      </c>
      <c r="C2957" s="87" t="str">
        <f>IFERROR(__xludf.DUMMYFUNCTION("""COMPUTED_VALUE"""),"NHG2284")</f>
        <v>NHG2284</v>
      </c>
      <c r="D2957" s="87" t="str">
        <f>IFERROR(__xludf.DUMMYFUNCTION("""COMPUTED_VALUE"""),"[Nhãn] GC - IV - 2284 - Cty Quang Đăng Agriculture - GENOL 1.2SL (Nước đỏ) - 450ml - 30")</f>
        <v>[Nhãn] GC - IV - 2284 - Cty Quang Đăng Agriculture - GENOL 1.2SL (Nước đỏ) - 450ml - 30</v>
      </c>
      <c r="E2957" s="87" t="str">
        <f>IFERROR(__xludf.DUMMYFUNCTION("""COMPUTED_VALUE"""),"GENOL 1.2SL")</f>
        <v>GENOL 1.2SL</v>
      </c>
      <c r="F2957" s="87" t="str">
        <f>IFERROR(__xludf.DUMMYFUNCTION("""COMPUTED_VALUE"""),"HH2284")</f>
        <v>HH2284</v>
      </c>
      <c r="G2957" s="87" t="str">
        <f>IFERROR(__xludf.DUMMYFUNCTION("""COMPUTED_VALUE"""),"GC - IV - 2284 - Cty Quang Đăng Agriculture - GENOL 1.2SL (Nước đỏ) - 450ml - 30")</f>
        <v>GC - IV - 2284 - Cty Quang Đăng Agriculture - GENOL 1.2SL (Nước đỏ) - 450ml - 30</v>
      </c>
    </row>
    <row r="2958">
      <c r="A2958" s="86">
        <f>IFERROR(__xludf.DUMMYFUNCTION("""COMPUTED_VALUE"""),2956.0)</f>
        <v>2956</v>
      </c>
      <c r="B2958" s="87" t="str">
        <f>IFERROR(__xludf.DUMMYFUNCTION("""COMPUTED_VALUE"""),"Nhãn")</f>
        <v>Nhãn</v>
      </c>
      <c r="C2958" s="87" t="str">
        <f>IFERROR(__xludf.DUMMYFUNCTION("""COMPUTED_VALUE"""),"NHG2285")</f>
        <v>NHG2285</v>
      </c>
      <c r="D2958" s="87" t="str">
        <f>IFERROR(__xludf.DUMMYFUNCTION("""COMPUTED_VALUE"""),"[Nhãn] GC - IV - 2285 - Cty NN Hoa Kỳ (A.Viên) - Mãnh tướng Repsa (nước tím) - 480ml - 40")</f>
        <v>[Nhãn] GC - IV - 2285 - Cty NN Hoa Kỳ (A.Viên) - Mãnh tướng Repsa (nước tím) - 480ml - 40</v>
      </c>
      <c r="E2958" s="87" t="str">
        <f>IFERROR(__xludf.DUMMYFUNCTION("""COMPUTED_VALUE"""),"ABASBA 50EC")</f>
        <v>ABASBA 50EC</v>
      </c>
      <c r="F2958" s="87" t="str">
        <f>IFERROR(__xludf.DUMMYFUNCTION("""COMPUTED_VALUE"""),"HH2285")</f>
        <v>HH2285</v>
      </c>
      <c r="G2958" s="87" t="str">
        <f>IFERROR(__xludf.DUMMYFUNCTION("""COMPUTED_VALUE"""),"GC - IV - 2285 - Cty NN Hoa Kỳ (A.Viên) - Mãnh tướng Repsa (nước tím) - 480ml - 40")</f>
        <v>GC - IV - 2285 - Cty NN Hoa Kỳ (A.Viên) - Mãnh tướng Repsa (nước tím) - 480ml - 40</v>
      </c>
    </row>
    <row r="2959">
      <c r="A2959" s="86">
        <f>IFERROR(__xludf.DUMMYFUNCTION("""COMPUTED_VALUE"""),2957.0)</f>
        <v>2957</v>
      </c>
      <c r="B2959" s="87" t="str">
        <f>IFERROR(__xludf.DUMMYFUNCTION("""COMPUTED_VALUE"""),"Nhãn")</f>
        <v>Nhãn</v>
      </c>
      <c r="C2959" s="87" t="str">
        <f>IFERROR(__xludf.DUMMYFUNCTION("""COMPUTED_VALUE"""),"NHG2286")</f>
        <v>NHG2286</v>
      </c>
      <c r="D2959" s="87" t="str">
        <f>IFERROR(__xludf.DUMMYFUNCTION("""COMPUTED_VALUE"""),"[Nhãn] GC - II - 2286 - AGC - TOP STOP (nước nâu đen) - 500ml - 40")</f>
        <v>[Nhãn] GC - II - 2286 - AGC - TOP STOP (nước nâu đen) - 500ml - 40</v>
      </c>
      <c r="E2959" s="87" t="str">
        <f>IFERROR(__xludf.DUMMYFUNCTION("""COMPUTED_VALUE"""),"Vi lượng Run Fast")</f>
        <v>Vi lượng Run Fast</v>
      </c>
      <c r="F2959" s="87" t="str">
        <f>IFERROR(__xludf.DUMMYFUNCTION("""COMPUTED_VALUE"""),"HH2286")</f>
        <v>HH2286</v>
      </c>
      <c r="G2959" s="87" t="str">
        <f>IFERROR(__xludf.DUMMYFUNCTION("""COMPUTED_VALUE"""),"GC - II - 2286 - AGC - TOP STOP (nước nâu đen) - 500ml - 40")</f>
        <v>GC - II - 2286 - AGC - TOP STOP (nước nâu đen) - 500ml - 40</v>
      </c>
    </row>
    <row r="2960">
      <c r="A2960" s="86">
        <f>IFERROR(__xludf.DUMMYFUNCTION("""COMPUTED_VALUE"""),2958.0)</f>
        <v>2958</v>
      </c>
      <c r="B2960" s="87" t="str">
        <f>IFERROR(__xludf.DUMMYFUNCTION("""COMPUTED_VALUE"""),"Nhãn")</f>
        <v>Nhãn</v>
      </c>
      <c r="C2960" s="87" t="str">
        <f>IFERROR(__xludf.DUMMYFUNCTION("""COMPUTED_VALUE"""),"NHG2287")</f>
        <v>NHG2287</v>
      </c>
      <c r="D2960" s="87" t="str">
        <f>IFERROR(__xludf.DUMMYFUNCTION("""COMPUTED_VALUE"""),"[Nhãn] GC - IV - 2287 - Cty ABIO Hoa Kỳ - Vua Oc Sâu (nước nâu đen) - 450ml - 40")</f>
        <v>[Nhãn] GC - IV - 2287 - Cty ABIO Hoa Kỳ - Vua Oc Sâu (nước nâu đen) - 450ml - 40</v>
      </c>
      <c r="E2960" s="87" t="str">
        <f>IFERROR(__xludf.DUMMYFUNCTION("""COMPUTED_VALUE"""),"HAIHAMEC 3.6EC")</f>
        <v>HAIHAMEC 3.6EC</v>
      </c>
      <c r="F2960" s="87" t="str">
        <f>IFERROR(__xludf.DUMMYFUNCTION("""COMPUTED_VALUE"""),"HH2287")</f>
        <v>HH2287</v>
      </c>
      <c r="G2960" s="87" t="str">
        <f>IFERROR(__xludf.DUMMYFUNCTION("""COMPUTED_VALUE"""),"GC - IV - 2287 - Cty ABIO Hoa Kỳ - Vua Oc Sâu (nước nâu đen) - 450ml - 40")</f>
        <v>GC - IV - 2287 - Cty ABIO Hoa Kỳ - Vua Oc Sâu (nước nâu đen) - 450ml - 40</v>
      </c>
    </row>
    <row r="2961">
      <c r="A2961" s="86">
        <f>IFERROR(__xludf.DUMMYFUNCTION("""COMPUTED_VALUE"""),2959.0)</f>
        <v>2959</v>
      </c>
      <c r="B2961" s="87" t="str">
        <f>IFERROR(__xludf.DUMMYFUNCTION("""COMPUTED_VALUE"""),"Nhãn")</f>
        <v>Nhãn</v>
      </c>
      <c r="C2961" s="87" t="str">
        <f>IFERROR(__xludf.DUMMYFUNCTION("""COMPUTED_VALUE"""),"NHG2290")</f>
        <v>NHG2290</v>
      </c>
      <c r="D2961" s="87" t="str">
        <f>IFERROR(__xludf.DUMMYFUNCTION("""COMPUTED_VALUE"""),"[Nhãn] GC - IV - 2290 - Cty Thành Công Agri - Master Green (nước trắng sữa) - 450ml - 40")</f>
        <v>[Nhãn] GC - IV - 2290 - Cty Thành Công Agri - Master Green (nước trắng sữa) - 450ml - 40</v>
      </c>
      <c r="E2961" s="87" t="str">
        <f>IFERROR(__xludf.DUMMYFUNCTION("""COMPUTED_VALUE"""),"Vi lượng MICKEY")</f>
        <v>Vi lượng MICKEY</v>
      </c>
      <c r="F2961" s="87" t="str">
        <f>IFERROR(__xludf.DUMMYFUNCTION("""COMPUTED_VALUE"""),"HH2290")</f>
        <v>HH2290</v>
      </c>
      <c r="G2961" s="87" t="str">
        <f>IFERROR(__xludf.DUMMYFUNCTION("""COMPUTED_VALUE"""),"GC - IV - 2290 - Cty Thành Công Agri - Master Green (nước trắng sữa) - 450ml - 40")</f>
        <v>GC - IV - 2290 - Cty Thành Công Agri - Master Green (nước trắng sữa) - 450ml - 40</v>
      </c>
    </row>
    <row r="2962">
      <c r="A2962" s="86">
        <f>IFERROR(__xludf.DUMMYFUNCTION("""COMPUTED_VALUE"""),2960.0)</f>
        <v>2960</v>
      </c>
      <c r="B2962" s="87" t="str">
        <f>IFERROR(__xludf.DUMMYFUNCTION("""COMPUTED_VALUE"""),"Nhãn")</f>
        <v>Nhãn</v>
      </c>
      <c r="C2962" s="87" t="str">
        <f>IFERROR(__xludf.DUMMYFUNCTION("""COMPUTED_VALUE"""),"NHG2291")</f>
        <v>NHG2291</v>
      </c>
      <c r="D2962" s="87" t="str">
        <f>IFERROR(__xludf.DUMMYFUNCTION("""COMPUTED_VALUE"""),"[Nhãn] GC - II - 2291 - Cty Hương Nông - SIÊU PHỤC HỒI (Nước nâu đen) - 1L - 20")</f>
        <v>[Nhãn] GC - II - 2291 - Cty Hương Nông - SIÊU PHỤC HỒI (Nước nâu đen) - 1L - 20</v>
      </c>
      <c r="E2962" s="87" t="str">
        <f>IFERROR(__xludf.DUMMYFUNCTION("""COMPUTED_VALUE"""),"Vi lượng Quantity New")</f>
        <v>Vi lượng Quantity New</v>
      </c>
      <c r="F2962" s="87" t="str">
        <f>IFERROR(__xludf.DUMMYFUNCTION("""COMPUTED_VALUE"""),"HH2291")</f>
        <v>HH2291</v>
      </c>
      <c r="G2962" s="87" t="str">
        <f>IFERROR(__xludf.DUMMYFUNCTION("""COMPUTED_VALUE"""),"GC - II - 2291 - Cty Hương Nông - SIÊU PHỤC HỒI (Nước nâu đen) - 1L - 20")</f>
        <v>GC - II - 2291 - Cty Hương Nông - SIÊU PHỤC HỒI (Nước nâu đen) - 1L - 20</v>
      </c>
    </row>
    <row r="2963">
      <c r="A2963" s="86">
        <f>IFERROR(__xludf.DUMMYFUNCTION("""COMPUTED_VALUE"""),2961.0)</f>
        <v>2961</v>
      </c>
      <c r="B2963" s="87" t="str">
        <f>IFERROR(__xludf.DUMMYFUNCTION("""COMPUTED_VALUE"""),"Nhãn")</f>
        <v>Nhãn</v>
      </c>
      <c r="C2963" s="87" t="str">
        <f>IFERROR(__xludf.DUMMYFUNCTION("""COMPUTED_VALUE"""),"NHG2292")</f>
        <v>NHG2292</v>
      </c>
      <c r="D2963" s="87" t="str">
        <f>IFERROR(__xludf.DUMMYFUNCTION("""COMPUTED_VALUE"""),"[Nhãn] GC - IV - 2292 - Cty NN Hoa Kỳ - Mãnh tướng diệt sâu-bọ-nhện (nước đỏ) - 240ml - 40")</f>
        <v>[Nhãn] GC - IV - 2292 - Cty NN Hoa Kỳ - Mãnh tướng diệt sâu-bọ-nhện (nước đỏ) - 240ml - 40</v>
      </c>
      <c r="E2963" s="87" t="str">
        <f>IFERROR(__xludf.DUMMYFUNCTION("""COMPUTED_VALUE"""),"CHIM ƯNG 3.8EC")</f>
        <v>CHIM ƯNG 3.8EC</v>
      </c>
      <c r="F2963" s="87" t="str">
        <f>IFERROR(__xludf.DUMMYFUNCTION("""COMPUTED_VALUE"""),"HH2292")</f>
        <v>HH2292</v>
      </c>
      <c r="G2963" s="87" t="str">
        <f>IFERROR(__xludf.DUMMYFUNCTION("""COMPUTED_VALUE"""),"GC - IV - 2292 - Cty NN Hoa Kỳ - Mãnh tướng diệt sâu-bọ-nhện (nước đỏ) - 240ml - 40")</f>
        <v>GC - IV - 2292 - Cty NN Hoa Kỳ - Mãnh tướng diệt sâu-bọ-nhện (nước đỏ) - 240ml - 40</v>
      </c>
    </row>
    <row r="2964">
      <c r="A2964" s="86">
        <f>IFERROR(__xludf.DUMMYFUNCTION("""COMPUTED_VALUE"""),2962.0)</f>
        <v>2962</v>
      </c>
      <c r="B2964" s="87" t="str">
        <f>IFERROR(__xludf.DUMMYFUNCTION("""COMPUTED_VALUE"""),"Nhãn")</f>
        <v>Nhãn</v>
      </c>
      <c r="C2964" s="87" t="str">
        <f>IFERROR(__xludf.DUMMYFUNCTION("""COMPUTED_VALUE"""),"NHG2293")</f>
        <v>NHG2293</v>
      </c>
      <c r="D2964" s="87" t="str">
        <f>IFERROR(__xludf.DUMMYFUNCTION("""COMPUTED_VALUE"""),"[Nhãn] IDA Global - I - 2293 - Cty Agrotech - REDPULL (Nước trắng sữa) - 240ml - 40")</f>
        <v>[Nhãn] IDA Global - I - 2293 - Cty Agrotech - REDPULL (Nước trắng sữa) - 240ml - 40</v>
      </c>
      <c r="E2964" s="87" t="str">
        <f>IFERROR(__xludf.DUMMYFUNCTION("""COMPUTED_VALUE"""),"VOTE 34.2SC")</f>
        <v>VOTE 34.2SC</v>
      </c>
      <c r="F2964" s="87" t="str">
        <f>IFERROR(__xludf.DUMMYFUNCTION("""COMPUTED_VALUE"""),"HH2293")</f>
        <v>HH2293</v>
      </c>
      <c r="G2964" s="87" t="str">
        <f>IFERROR(__xludf.DUMMYFUNCTION("""COMPUTED_VALUE"""),"IDA Global - I - 2293 - Cty Agrotech - REDPULL (Nước trắng sữa) - 240ml - 40")</f>
        <v>IDA Global - I - 2293 - Cty Agrotech - REDPULL (Nước trắng sữa) - 240ml - 40</v>
      </c>
    </row>
    <row r="2965">
      <c r="A2965" s="86">
        <f>IFERROR(__xludf.DUMMYFUNCTION("""COMPUTED_VALUE"""),2963.0)</f>
        <v>2963</v>
      </c>
      <c r="B2965" s="87" t="str">
        <f>IFERROR(__xludf.DUMMYFUNCTION("""COMPUTED_VALUE"""),"Nhãn")</f>
        <v>Nhãn</v>
      </c>
      <c r="C2965" s="87" t="str">
        <f>IFERROR(__xludf.DUMMYFUNCTION("""COMPUTED_VALUE"""),"NHG2294")</f>
        <v>NHG2294</v>
      </c>
      <c r="D2965" s="87" t="str">
        <f>IFERROR(__xludf.DUMMYFUNCTION("""COMPUTED_VALUE"""),"[Nhãn] IDA Global - I - 2294 - SIÊU KẼM 247 (Nước vàng nhạt) - 250ml - 40")</f>
        <v>[Nhãn] IDA Global - I - 2294 - SIÊU KẼM 247 (Nước vàng nhạt) - 250ml - 40</v>
      </c>
      <c r="E2965" s="87" t="str">
        <f>IFERROR(__xludf.DUMMYFUNCTION("""COMPUTED_VALUE"""),"Vi lượng AGAMA-ZN")</f>
        <v>Vi lượng AGAMA-ZN</v>
      </c>
      <c r="F2965" s="87" t="str">
        <f>IFERROR(__xludf.DUMMYFUNCTION("""COMPUTED_VALUE"""),"HH2294")</f>
        <v>HH2294</v>
      </c>
      <c r="G2965" s="87" t="str">
        <f>IFERROR(__xludf.DUMMYFUNCTION("""COMPUTED_VALUE"""),"IDA Global - I - 2294 - SIÊU KẼM 247 (Nước vàng nhạt) - 250ml - 40")</f>
        <v>IDA Global - I - 2294 - SIÊU KẼM 247 (Nước vàng nhạt) - 250ml - 40</v>
      </c>
    </row>
    <row r="2966">
      <c r="A2966" s="86">
        <f>IFERROR(__xludf.DUMMYFUNCTION("""COMPUTED_VALUE"""),2964.0)</f>
        <v>2964</v>
      </c>
      <c r="B2966" s="87" t="str">
        <f>IFERROR(__xludf.DUMMYFUNCTION("""COMPUTED_VALUE"""),"Nhãn")</f>
        <v>Nhãn</v>
      </c>
      <c r="C2966" s="87" t="str">
        <f>IFERROR(__xludf.DUMMYFUNCTION("""COMPUTED_VALUE"""),"NTN2295")</f>
        <v>NTN2295</v>
      </c>
      <c r="D2966" s="87" t="str">
        <f>IFERROR(__xludf.DUMMYFUNCTION("""COMPUTED_VALUE"""),"[Nhãn] LOT IDA Global - I - 2295 - MANCO XANH MỚI (Bột xanh) - 1kg - 20")</f>
        <v>[Nhãn] LOT IDA Global - I - 2295 - MANCO XANH MỚI (Bột xanh) - 1kg - 20</v>
      </c>
      <c r="E2966" s="87" t="str">
        <f>IFERROR(__xludf.DUMMYFUNCTION("""COMPUTED_VALUE"""),"MANCOBGO 80WP")</f>
        <v>MANCOBGO 80WP</v>
      </c>
      <c r="F2966" s="87" t="str">
        <f>IFERROR(__xludf.DUMMYFUNCTION("""COMPUTED_VALUE"""),"HH2295")</f>
        <v>HH2295</v>
      </c>
      <c r="G2966" s="87" t="str">
        <f>IFERROR(__xludf.DUMMYFUNCTION("""COMPUTED_VALUE"""),"LOT IDA Global - I - 2295 - MANCO XANH MỚI (Bột xanh) - 1kg - 20")</f>
        <v>LOT IDA Global - I - 2295 - MANCO XANH MỚI (Bột xanh) - 1kg - 20</v>
      </c>
    </row>
    <row r="2967">
      <c r="A2967" s="86">
        <f>IFERROR(__xludf.DUMMYFUNCTION("""COMPUTED_VALUE"""),2965.0)</f>
        <v>2965</v>
      </c>
      <c r="B2967" s="87" t="str">
        <f>IFERROR(__xludf.DUMMYFUNCTION("""COMPUTED_VALUE"""),"Nhãn thùng")</f>
        <v>Nhãn thùng</v>
      </c>
      <c r="C2967" s="87" t="str">
        <f>IFERROR(__xludf.DUMMYFUNCTION("""COMPUTED_VALUE"""),"NDT2295")</f>
        <v>NDT2295</v>
      </c>
      <c r="D2967" s="87" t="str">
        <f>IFERROR(__xludf.DUMMYFUNCTION("""COMPUTED_VALUE"""),"[Nhãn thùng] LOT IDA Global - I - 2295 - MANCO XANH MỚI (Bột xanh) - 1kg - 20")</f>
        <v>[Nhãn thùng] LOT IDA Global - I - 2295 - MANCO XANH MỚI (Bột xanh) - 1kg - 20</v>
      </c>
      <c r="E2967" s="87" t="str">
        <f>IFERROR(__xludf.DUMMYFUNCTION("""COMPUTED_VALUE"""),"MANCOBGO 80WP")</f>
        <v>MANCOBGO 80WP</v>
      </c>
      <c r="F2967" s="87" t="str">
        <f>IFERROR(__xludf.DUMMYFUNCTION("""COMPUTED_VALUE"""),"HH2295")</f>
        <v>HH2295</v>
      </c>
      <c r="G2967" s="87" t="str">
        <f>IFERROR(__xludf.DUMMYFUNCTION("""COMPUTED_VALUE"""),"LOT IDA Global - I - 2295 - MANCO XANH MỚI (Bột xanh) - 1kg - 20")</f>
        <v>LOT IDA Global - I - 2295 - MANCO XANH MỚI (Bột xanh) - 1kg - 20</v>
      </c>
    </row>
    <row r="2968">
      <c r="A2968" s="86">
        <f>IFERROR(__xludf.DUMMYFUNCTION("""COMPUTED_VALUE"""),2966.0)</f>
        <v>2966</v>
      </c>
      <c r="B2968" s="87" t="str">
        <f>IFERROR(__xludf.DUMMYFUNCTION("""COMPUTED_VALUE"""),"Nhãn")</f>
        <v>Nhãn</v>
      </c>
      <c r="C2968" s="87" t="str">
        <f>IFERROR(__xludf.DUMMYFUNCTION("""COMPUTED_VALUE"""),"NHG2297")</f>
        <v>NHG2297</v>
      </c>
      <c r="D2968" s="87" t="str">
        <f>IFERROR(__xludf.DUMMYFUNCTION("""COMPUTED_VALUE"""),"[Nhãn]  IDA Global - I - 2297 - IDA VIL 5SC (Nước trắng sữa) - 1L - 20")</f>
        <v>[Nhãn]  IDA Global - I - 2297 - IDA VIL 5SC (Nước trắng sữa) - 1L - 20</v>
      </c>
      <c r="E2968" s="87" t="str">
        <f>IFERROR(__xludf.DUMMYFUNCTION("""COMPUTED_VALUE"""),"Mekongvil 5SC")</f>
        <v>Mekongvil 5SC</v>
      </c>
      <c r="F2968" s="87" t="str">
        <f>IFERROR(__xludf.DUMMYFUNCTION("""COMPUTED_VALUE"""),"HH2297")</f>
        <v>HH2297</v>
      </c>
      <c r="G2968" s="87" t="str">
        <f>IFERROR(__xludf.DUMMYFUNCTION("""COMPUTED_VALUE"""),"IDA Global - I - 2297 - IDA VIL 5SC (Nước trắng sữa) - 1L - 20")</f>
        <v>IDA Global - I - 2297 - IDA VIL 5SC (Nước trắng sữa) - 1L - 20</v>
      </c>
    </row>
    <row r="2969">
      <c r="A2969" s="86">
        <f>IFERROR(__xludf.DUMMYFUNCTION("""COMPUTED_VALUE"""),2967.0)</f>
        <v>2967</v>
      </c>
      <c r="B2969" s="87" t="str">
        <f>IFERROR(__xludf.DUMMYFUNCTION("""COMPUTED_VALUE"""),"Nhãn")</f>
        <v>Nhãn</v>
      </c>
      <c r="C2969" s="87" t="str">
        <f>IFERROR(__xludf.DUMMYFUNCTION("""COMPUTED_VALUE"""),"NHG2298")</f>
        <v>NHG2298</v>
      </c>
      <c r="D2969" s="87" t="str">
        <f>IFERROR(__xludf.DUMMYFUNCTION("""COMPUTED_VALUE"""),"[Nhãn] IDA Global - I - 2298 - ĐL Ba Toàn - Thần Tài Gold (nước trắng sữa) - 250ml - 40")</f>
        <v>[Nhãn] IDA Global - I - 2298 - ĐL Ba Toàn - Thần Tài Gold (nước trắng sữa) - 250ml - 40</v>
      </c>
      <c r="E2969" s="87" t="str">
        <f>IFERROR(__xludf.DUMMYFUNCTION("""COMPUTED_VALUE"""),"PICOSUPER 280SC")</f>
        <v>PICOSUPER 280SC</v>
      </c>
      <c r="F2969" s="87" t="str">
        <f>IFERROR(__xludf.DUMMYFUNCTION("""COMPUTED_VALUE"""),"HH2298")</f>
        <v>HH2298</v>
      </c>
      <c r="G2969" s="87" t="str">
        <f>IFERROR(__xludf.DUMMYFUNCTION("""COMPUTED_VALUE"""),"IDA Global - I - 2298 - ĐL Ba Toàn - Thần Tài Gold (nước trắng sữa) - 250ml - 40")</f>
        <v>IDA Global - I - 2298 - ĐL Ba Toàn - Thần Tài Gold (nước trắng sữa) - 250ml - 40</v>
      </c>
    </row>
    <row r="2970">
      <c r="A2970" s="86">
        <f>IFERROR(__xludf.DUMMYFUNCTION("""COMPUTED_VALUE"""),2968.0)</f>
        <v>2968</v>
      </c>
      <c r="B2970" s="87" t="str">
        <f>IFERROR(__xludf.DUMMYFUNCTION("""COMPUTED_VALUE"""),"Nhãn")</f>
        <v>Nhãn</v>
      </c>
      <c r="C2970" s="87" t="str">
        <f>IFERROR(__xludf.DUMMYFUNCTION("""COMPUTED_VALUE"""),"NTN2299")</f>
        <v>NTN2299</v>
      </c>
      <c r="D2970" s="87" t="str">
        <f>IFERROR(__xludf.DUMMYFUNCTION("""COMPUTED_VALUE"""),"[Nhãn] GC - IV - 2299 - CTY ITALY - MANCO XANH (bột xanh) - 1kg - 20")</f>
        <v>[Nhãn] GC - IV - 2299 - CTY ITALY - MANCO XANH (bột xanh) - 1kg - 20</v>
      </c>
      <c r="E2970" s="87" t="str">
        <f>IFERROR(__xludf.DUMMYFUNCTION("""COMPUTED_VALUE"""),"MANCOBGO 80WP")</f>
        <v>MANCOBGO 80WP</v>
      </c>
      <c r="F2970" s="87" t="str">
        <f>IFERROR(__xludf.DUMMYFUNCTION("""COMPUTED_VALUE"""),"HH2299")</f>
        <v>HH2299</v>
      </c>
      <c r="G2970" s="87" t="str">
        <f>IFERROR(__xludf.DUMMYFUNCTION("""COMPUTED_VALUE"""),"GC - IV - 2299 - CTY ITALY - MANCO XANH (bột xanh) - 1kg - 20")</f>
        <v>GC - IV - 2299 - CTY ITALY - MANCO XANH (bột xanh) - 1kg - 20</v>
      </c>
    </row>
    <row r="2971">
      <c r="A2971" s="86">
        <f>IFERROR(__xludf.DUMMYFUNCTION("""COMPUTED_VALUE"""),2969.0)</f>
        <v>2969</v>
      </c>
      <c r="B2971" s="87" t="str">
        <f>IFERROR(__xludf.DUMMYFUNCTION("""COMPUTED_VALUE"""),"Nhãn thùng")</f>
        <v>Nhãn thùng</v>
      </c>
      <c r="C2971" s="87" t="str">
        <f>IFERROR(__xludf.DUMMYFUNCTION("""COMPUTED_VALUE"""),"NDT2299")</f>
        <v>NDT2299</v>
      </c>
      <c r="D2971" s="87" t="str">
        <f>IFERROR(__xludf.DUMMYFUNCTION("""COMPUTED_VALUE"""),"[Nhãn thùng] GC - IV - 2299 - CTY ITALY - MANCO XANH (bột xanh) - 1kg - 20")</f>
        <v>[Nhãn thùng] GC - IV - 2299 - CTY ITALY - MANCO XANH (bột xanh) - 1kg - 20</v>
      </c>
      <c r="E2971" s="87" t="str">
        <f>IFERROR(__xludf.DUMMYFUNCTION("""COMPUTED_VALUE"""),"MANCOBGO 80WP")</f>
        <v>MANCOBGO 80WP</v>
      </c>
      <c r="F2971" s="87" t="str">
        <f>IFERROR(__xludf.DUMMYFUNCTION("""COMPUTED_VALUE"""),"HH2299")</f>
        <v>HH2299</v>
      </c>
      <c r="G2971" s="87" t="str">
        <f>IFERROR(__xludf.DUMMYFUNCTION("""COMPUTED_VALUE"""),"GC - IV - 2299 - CTY ITALY - MANCO XANH (bột xanh) - 1kg - 20")</f>
        <v>GC - IV - 2299 - CTY ITALY - MANCO XANH (bột xanh) - 1kg - 20</v>
      </c>
    </row>
    <row r="2972">
      <c r="A2972" s="86">
        <f>IFERROR(__xludf.DUMMYFUNCTION("""COMPUTED_VALUE"""),2970.0)</f>
        <v>2970</v>
      </c>
      <c r="B2972" s="87" t="str">
        <f>IFERROR(__xludf.DUMMYFUNCTION("""COMPUTED_VALUE"""),"Nhãn")</f>
        <v>Nhãn</v>
      </c>
      <c r="C2972" s="87" t="str">
        <f>IFERROR(__xludf.DUMMYFUNCTION("""COMPUTED_VALUE"""),"NHG2300")</f>
        <v>NHG2300</v>
      </c>
      <c r="D2972" s="87" t="str">
        <f>IFERROR(__xludf.DUMMYFUNCTION("""COMPUTED_VALUE"""),"[Nhãn] IDA Global - I - 2300 - KÉT ĐỎ (Nước trắng sữa) - 240ml - 40")</f>
        <v>[Nhãn] IDA Global - I - 2300 - KÉT ĐỎ (Nước trắng sữa) - 240ml - 40</v>
      </c>
      <c r="E2972" s="87" t="str">
        <f>IFERROR(__xludf.DUMMYFUNCTION("""COMPUTED_VALUE"""),"VOTE 34.2SC")</f>
        <v>VOTE 34.2SC</v>
      </c>
      <c r="F2972" s="87" t="str">
        <f>IFERROR(__xludf.DUMMYFUNCTION("""COMPUTED_VALUE"""),"HH2300")</f>
        <v>HH2300</v>
      </c>
      <c r="G2972" s="87" t="str">
        <f>IFERROR(__xludf.DUMMYFUNCTION("""COMPUTED_VALUE"""),"IDA Global - I - 2300 - KÉT ĐỎ (Nước trắng sữa) - 240ml - 40")</f>
        <v>IDA Global - I - 2300 - KÉT ĐỎ (Nước trắng sữa) - 240ml - 40</v>
      </c>
    </row>
    <row r="2973">
      <c r="A2973" s="86">
        <f>IFERROR(__xludf.DUMMYFUNCTION("""COMPUTED_VALUE"""),2971.0)</f>
        <v>2971</v>
      </c>
      <c r="B2973" s="87" t="str">
        <f>IFERROR(__xludf.DUMMYFUNCTION("""COMPUTED_VALUE"""),"Nhãn")</f>
        <v>Nhãn</v>
      </c>
      <c r="C2973" s="87" t="str">
        <f>IFERROR(__xludf.DUMMYFUNCTION("""COMPUTED_VALUE"""),"NHG2301")</f>
        <v>NHG2301</v>
      </c>
      <c r="D2973" s="87" t="str">
        <f>IFERROR(__xludf.DUMMYFUNCTION("""COMPUTED_VALUE"""),"[Nhãn] IDA Global - I - 2301 - BIGMAX (Nước trắng sữa) - 450ml - 40")</f>
        <v>[Nhãn] IDA Global - I - 2301 - BIGMAX (Nước trắng sữa) - 450ml - 40</v>
      </c>
      <c r="E2973" s="87" t="str">
        <f>IFERROR(__xludf.DUMMYFUNCTION("""COMPUTED_VALUE"""),"Vi lượng Basel IDA 47")</f>
        <v>Vi lượng Basel IDA 47</v>
      </c>
      <c r="F2973" s="87" t="str">
        <f>IFERROR(__xludf.DUMMYFUNCTION("""COMPUTED_VALUE"""),"HH2301")</f>
        <v>HH2301</v>
      </c>
      <c r="G2973" s="87" t="str">
        <f>IFERROR(__xludf.DUMMYFUNCTION("""COMPUTED_VALUE"""),"IDA Global - I - 2301 - BIGMAX (Nước trắng sữa) - 450ml - 40")</f>
        <v>IDA Global - I - 2301 - BIGMAX (Nước trắng sữa) - 450ml - 40</v>
      </c>
    </row>
    <row r="2974">
      <c r="A2974" s="86">
        <f>IFERROR(__xludf.DUMMYFUNCTION("""COMPUTED_VALUE"""),2972.0)</f>
        <v>2972</v>
      </c>
      <c r="B2974" s="87" t="str">
        <f>IFERROR(__xludf.DUMMYFUNCTION("""COMPUTED_VALUE"""),"Nhãn thùng")</f>
        <v>Nhãn thùng</v>
      </c>
      <c r="C2974" s="87" t="str">
        <f>IFERROR(__xludf.DUMMYFUNCTION("""COMPUTED_VALUE"""),"NDT2301")</f>
        <v>NDT2301</v>
      </c>
      <c r="D2974" s="87" t="str">
        <f>IFERROR(__xludf.DUMMYFUNCTION("""COMPUTED_VALUE"""),"[Nhãn thùng] IDA Global - I - 2301 - BIGMAX (Nước trắng sữa) - 450ml - 40")</f>
        <v>[Nhãn thùng] IDA Global - I - 2301 - BIGMAX (Nước trắng sữa) - 450ml - 40</v>
      </c>
      <c r="E2974" s="87" t="str">
        <f>IFERROR(__xludf.DUMMYFUNCTION("""COMPUTED_VALUE"""),"Vi lượng Basel IDA 47")</f>
        <v>Vi lượng Basel IDA 47</v>
      </c>
      <c r="F2974" s="87" t="str">
        <f>IFERROR(__xludf.DUMMYFUNCTION("""COMPUTED_VALUE"""),"HH2301")</f>
        <v>HH2301</v>
      </c>
      <c r="G2974" s="87" t="str">
        <f>IFERROR(__xludf.DUMMYFUNCTION("""COMPUTED_VALUE"""),"IDA Global - I - 2301 - BIGMAX (Nước trắng sữa) - 450ml - 40")</f>
        <v>IDA Global - I - 2301 - BIGMAX (Nước trắng sữa) - 450ml - 40</v>
      </c>
    </row>
    <row r="2975">
      <c r="A2975" s="86">
        <f>IFERROR(__xludf.DUMMYFUNCTION("""COMPUTED_VALUE"""),2973.0)</f>
        <v>2973</v>
      </c>
      <c r="B2975" s="87" t="str">
        <f>IFERROR(__xludf.DUMMYFUNCTION("""COMPUTED_VALUE"""),"Nhãn")</f>
        <v>Nhãn</v>
      </c>
      <c r="C2975" s="87" t="str">
        <f>IFERROR(__xludf.DUMMYFUNCTION("""COMPUTED_VALUE"""),"NHG2302")</f>
        <v>NHG2302</v>
      </c>
      <c r="D2975" s="87" t="str">
        <f>IFERROR(__xludf.DUMMYFUNCTION("""COMPUTED_VALUE"""),"[Nhãn] IDA Global - I - 2302 - THIPRO 550EC (Nước vàng trà) - 250ml - 40")</f>
        <v>[Nhãn] IDA Global - I - 2302 - THIPRO 550EC (Nước vàng trà) - 250ml - 40</v>
      </c>
      <c r="E2975" s="87" t="str">
        <f>IFERROR(__xludf.DUMMYFUNCTION("""COMPUTED_VALUE"""),"Thipro 550EC")</f>
        <v>Thipro 550EC</v>
      </c>
      <c r="F2975" s="87" t="str">
        <f>IFERROR(__xludf.DUMMYFUNCTION("""COMPUTED_VALUE"""),"HH2302")</f>
        <v>HH2302</v>
      </c>
      <c r="G2975" s="87" t="str">
        <f>IFERROR(__xludf.DUMMYFUNCTION("""COMPUTED_VALUE"""),"IDA Global - I - 2302 - THIPRO 550EC (Nước vàng trà) - 250ml - 40")</f>
        <v>IDA Global - I - 2302 - THIPRO 550EC (Nước vàng trà) - 250ml - 40</v>
      </c>
    </row>
    <row r="2976">
      <c r="A2976" s="86">
        <f>IFERROR(__xludf.DUMMYFUNCTION("""COMPUTED_VALUE"""),2974.0)</f>
        <v>2974</v>
      </c>
      <c r="B2976" s="87" t="str">
        <f>IFERROR(__xludf.DUMMYFUNCTION("""COMPUTED_VALUE"""),"Nhãn")</f>
        <v>Nhãn</v>
      </c>
      <c r="C2976" s="87" t="str">
        <f>IFERROR(__xludf.DUMMYFUNCTION("""COMPUTED_VALUE"""),"NHD2303")</f>
        <v>NHD2303</v>
      </c>
      <c r="D2976" s="87" t="str">
        <f>IFERROR(__xludf.DUMMYFUNCTION("""COMPUTED_VALUE"""),"[Nhãn] IDA Global - I - 2303 - ĐL PHÚC NÔNG - CÚ MÈO (Nước đỏ) - 450ml - 40")</f>
        <v>[Nhãn] IDA Global - I - 2303 - ĐL PHÚC NÔNG - CÚ MÈO (Nước đỏ) - 450ml - 40</v>
      </c>
      <c r="E2976" s="87" t="str">
        <f>IFERROR(__xludf.DUMMYFUNCTION("""COMPUTED_VALUE"""),"Creek 2.1EC")</f>
        <v>Creek 2.1EC</v>
      </c>
      <c r="F2976" s="87" t="str">
        <f>IFERROR(__xludf.DUMMYFUNCTION("""COMPUTED_VALUE"""),"HH2303")</f>
        <v>HH2303</v>
      </c>
      <c r="G2976" s="87" t="str">
        <f>IFERROR(__xludf.DUMMYFUNCTION("""COMPUTED_VALUE"""),"IDA Global - I - 2303 - ĐL PHÚC NÔNG - CÚ MÈO (Nước đỏ) - 450ml - 40")</f>
        <v>IDA Global - I - 2303 - ĐL PHÚC NÔNG - CÚ MÈO (Nước đỏ) - 450ml - 40</v>
      </c>
    </row>
    <row r="2977">
      <c r="A2977" s="86">
        <f>IFERROR(__xludf.DUMMYFUNCTION("""COMPUTED_VALUE"""),2975.0)</f>
        <v>2975</v>
      </c>
      <c r="B2977" s="87" t="str">
        <f>IFERROR(__xludf.DUMMYFUNCTION("""COMPUTED_VALUE"""),"Nhãn thùng")</f>
        <v>Nhãn thùng</v>
      </c>
      <c r="C2977" s="87" t="str">
        <f>IFERROR(__xludf.DUMMYFUNCTION("""COMPUTED_VALUE"""),"NDT2303")</f>
        <v>NDT2303</v>
      </c>
      <c r="D2977" s="87" t="str">
        <f>IFERROR(__xludf.DUMMYFUNCTION("""COMPUTED_VALUE"""),"[Nhãn thùng] IDA Global - I - 2303 - ĐL PHÚC NÔNG - CÚ MÈO (Nước đỏ) - 450ml - 40")</f>
        <v>[Nhãn thùng] IDA Global - I - 2303 - ĐL PHÚC NÔNG - CÚ MÈO (Nước đỏ) - 450ml - 40</v>
      </c>
      <c r="E2977" s="87" t="str">
        <f>IFERROR(__xludf.DUMMYFUNCTION("""COMPUTED_VALUE"""),"Creek 2.1EC")</f>
        <v>Creek 2.1EC</v>
      </c>
      <c r="F2977" s="87" t="str">
        <f>IFERROR(__xludf.DUMMYFUNCTION("""COMPUTED_VALUE"""),"HH2303")</f>
        <v>HH2303</v>
      </c>
      <c r="G2977" s="87" t="str">
        <f>IFERROR(__xludf.DUMMYFUNCTION("""COMPUTED_VALUE"""),"IDA Global - I - 2303 - ĐL PHÚC NÔNG - CÚ MÈO (Nước đỏ) - 450ml - 40")</f>
        <v>IDA Global - I - 2303 - ĐL PHÚC NÔNG - CÚ MÈO (Nước đỏ) - 450ml - 40</v>
      </c>
    </row>
    <row r="2978">
      <c r="A2978" s="86">
        <f>IFERROR(__xludf.DUMMYFUNCTION("""COMPUTED_VALUE"""),2976.0)</f>
        <v>2976</v>
      </c>
      <c r="B2978" s="87" t="str">
        <f>IFERROR(__xludf.DUMMYFUNCTION("""COMPUTED_VALUE"""),"Nhãn")</f>
        <v>Nhãn</v>
      </c>
      <c r="C2978" s="87" t="str">
        <f>IFERROR(__xludf.DUMMYFUNCTION("""COMPUTED_VALUE"""),"NTN2304")</f>
        <v>NTN2304</v>
      </c>
      <c r="D2978" s="87" t="str">
        <f>IFERROR(__xludf.DUMMYFUNCTION("""COMPUTED_VALUE"""),"[Nhãn] GC - IV - 2304 - Cty Thiên Di (A Thành Dol) - Mancozeb xanh (bột xanh) - 100gr - 100")</f>
        <v>[Nhãn] GC - IV - 2304 - Cty Thiên Di (A Thành Dol) - Mancozeb xanh (bột xanh) - 100gr - 100</v>
      </c>
      <c r="E2978" s="87" t="str">
        <f>IFERROR(__xludf.DUMMYFUNCTION("""COMPUTED_VALUE"""),"MANCOBGO 80WP")</f>
        <v>MANCOBGO 80WP</v>
      </c>
      <c r="F2978" s="87" t="str">
        <f>IFERROR(__xludf.DUMMYFUNCTION("""COMPUTED_VALUE"""),"HH2304")</f>
        <v>HH2304</v>
      </c>
      <c r="G2978" s="87" t="str">
        <f>IFERROR(__xludf.DUMMYFUNCTION("""COMPUTED_VALUE"""),"GC - IV - 2304 - Cty Thiên Di (A Thành Dol) - Mancozeb xanh (bột xanh) - 100gr - 100")</f>
        <v>GC - IV - 2304 - Cty Thiên Di (A Thành Dol) - Mancozeb xanh (bột xanh) - 100gr - 100</v>
      </c>
    </row>
    <row r="2979">
      <c r="A2979" s="86">
        <f>IFERROR(__xludf.DUMMYFUNCTION("""COMPUTED_VALUE"""),2977.0)</f>
        <v>2977</v>
      </c>
      <c r="B2979" s="87" t="str">
        <f>IFERROR(__xludf.DUMMYFUNCTION("""COMPUTED_VALUE"""),"Nhãn thùng")</f>
        <v>Nhãn thùng</v>
      </c>
      <c r="C2979" s="87" t="str">
        <f>IFERROR(__xludf.DUMMYFUNCTION("""COMPUTED_VALUE"""),"NDT2304")</f>
        <v>NDT2304</v>
      </c>
      <c r="D2979" s="87" t="str">
        <f>IFERROR(__xludf.DUMMYFUNCTION("""COMPUTED_VALUE"""),"[Nhãn thùng] GC - IV - 2304 - Cty Thiên Di (A Thành Dol) - Mancozeb xanh (bột xanh) - 100gr - 100")</f>
        <v>[Nhãn thùng] GC - IV - 2304 - Cty Thiên Di (A Thành Dol) - Mancozeb xanh (bột xanh) - 100gr - 100</v>
      </c>
      <c r="E2979" s="87" t="str">
        <f>IFERROR(__xludf.DUMMYFUNCTION("""COMPUTED_VALUE"""),"MANCOBGO 80WP")</f>
        <v>MANCOBGO 80WP</v>
      </c>
      <c r="F2979" s="87" t="str">
        <f>IFERROR(__xludf.DUMMYFUNCTION("""COMPUTED_VALUE"""),"HH2304")</f>
        <v>HH2304</v>
      </c>
      <c r="G2979" s="87" t="str">
        <f>IFERROR(__xludf.DUMMYFUNCTION("""COMPUTED_VALUE"""),"GC - IV - 2304 - Cty Thiên Di (A Thành Dol) - Mancozeb xanh (bột xanh) - 100gr - 100")</f>
        <v>GC - IV - 2304 - Cty Thiên Di (A Thành Dol) - Mancozeb xanh (bột xanh) - 100gr - 100</v>
      </c>
    </row>
    <row r="2980">
      <c r="A2980" s="86">
        <f>IFERROR(__xludf.DUMMYFUNCTION("""COMPUTED_VALUE"""),2978.0)</f>
        <v>2978</v>
      </c>
      <c r="B2980" s="87" t="str">
        <f>IFERROR(__xludf.DUMMYFUNCTION("""COMPUTED_VALUE"""),"Nhãn")</f>
        <v>Nhãn</v>
      </c>
      <c r="C2980" s="87" t="str">
        <f>IFERROR(__xludf.DUMMYFUNCTION("""COMPUTED_VALUE"""),"NHG2305")</f>
        <v>NHG2305</v>
      </c>
      <c r="D2980" s="87" t="str">
        <f>IFERROR(__xludf.DUMMYFUNCTION("""COMPUTED_VALUE"""),"[Nhãn] IDA Global - I - 2305 - ĐL PHÚC NÔNG - X-SPIDER (Nước đỏ) - 100ml - 100")</f>
        <v>[Nhãn] IDA Global - I - 2305 - ĐL PHÚC NÔNG - X-SPIDER (Nước đỏ) - 100ml - 100</v>
      </c>
      <c r="E2980" s="87" t="str">
        <f>IFERROR(__xludf.DUMMYFUNCTION("""COMPUTED_VALUE"""),"CHIM ƯNG 3.8EC")</f>
        <v>CHIM ƯNG 3.8EC</v>
      </c>
      <c r="F2980" s="87" t="str">
        <f>IFERROR(__xludf.DUMMYFUNCTION("""COMPUTED_VALUE"""),"HH2305")</f>
        <v>HH2305</v>
      </c>
      <c r="G2980" s="87" t="str">
        <f>IFERROR(__xludf.DUMMYFUNCTION("""COMPUTED_VALUE"""),"IDA Global - I - 2305 - ĐL PHÚC NÔNG - X-SPIDER (Nước đỏ) - 100ml - 100")</f>
        <v>IDA Global - I - 2305 - ĐL PHÚC NÔNG - X-SPIDER (Nước đỏ) - 100ml - 100</v>
      </c>
    </row>
    <row r="2981">
      <c r="A2981" s="86">
        <f>IFERROR(__xludf.DUMMYFUNCTION("""COMPUTED_VALUE"""),2979.0)</f>
        <v>2979</v>
      </c>
      <c r="B2981" s="87" t="str">
        <f>IFERROR(__xludf.DUMMYFUNCTION("""COMPUTED_VALUE"""),"Nhãn")</f>
        <v>Nhãn</v>
      </c>
      <c r="C2981" s="87" t="str">
        <f>IFERROR(__xludf.DUMMYFUNCTION("""COMPUTED_VALUE"""),"NTN2305")</f>
        <v>NTN2305</v>
      </c>
      <c r="D2981" s="87" t="str">
        <f>IFERROR(__xludf.DUMMYFUNCTION("""COMPUTED_VALUE"""),"[Nhãn] IDA Global - I - 2305 - ĐL PHÚC NÔNG - X-SPIDER (Nước đỏ) - 100ml - 100")</f>
        <v>[Nhãn] IDA Global - I - 2305 - ĐL PHÚC NÔNG - X-SPIDER (Nước đỏ) - 100ml - 100</v>
      </c>
      <c r="E2981" s="87" t="str">
        <f>IFERROR(__xludf.DUMMYFUNCTION("""COMPUTED_VALUE"""),"CHIM ƯNG 3.8EC")</f>
        <v>CHIM ƯNG 3.8EC</v>
      </c>
      <c r="F2981" s="87" t="str">
        <f>IFERROR(__xludf.DUMMYFUNCTION("""COMPUTED_VALUE"""),"HH2305")</f>
        <v>HH2305</v>
      </c>
      <c r="G2981" s="87" t="str">
        <f>IFERROR(__xludf.DUMMYFUNCTION("""COMPUTED_VALUE"""),"IDA Global - I - 2305 - ĐL PHÚC NÔNG - X-SPIDER (Nước đỏ) - 100ml - 100")</f>
        <v>IDA Global - I - 2305 - ĐL PHÚC NÔNG - X-SPIDER (Nước đỏ) - 100ml - 100</v>
      </c>
    </row>
    <row r="2982">
      <c r="A2982" s="86">
        <f>IFERROR(__xludf.DUMMYFUNCTION("""COMPUTED_VALUE"""),2980.0)</f>
        <v>2980</v>
      </c>
      <c r="B2982" s="87" t="str">
        <f>IFERROR(__xludf.DUMMYFUNCTION("""COMPUTED_VALUE"""),"Nhãn")</f>
        <v>Nhãn</v>
      </c>
      <c r="C2982" s="87" t="str">
        <f>IFERROR(__xludf.DUMMYFUNCTION("""COMPUTED_VALUE"""),"NTN2306")</f>
        <v>NTN2306</v>
      </c>
      <c r="D2982" s="87" t="str">
        <f>IFERROR(__xludf.DUMMYFUNCTION("""COMPUTED_VALUE"""),"[Nhãn] GC - IV - 2306 - Cty Thiên Di (A Thành Dol) - Mancozeb xanh (bột xanh) - 1kg - 20")</f>
        <v>[Nhãn] GC - IV - 2306 - Cty Thiên Di (A Thành Dol) - Mancozeb xanh (bột xanh) - 1kg - 20</v>
      </c>
      <c r="E2982" s="87" t="str">
        <f>IFERROR(__xludf.DUMMYFUNCTION("""COMPUTED_VALUE"""),"MANCOBGO 80WP")</f>
        <v>MANCOBGO 80WP</v>
      </c>
      <c r="F2982" s="87" t="str">
        <f>IFERROR(__xludf.DUMMYFUNCTION("""COMPUTED_VALUE"""),"HH2306")</f>
        <v>HH2306</v>
      </c>
      <c r="G2982" s="87" t="str">
        <f>IFERROR(__xludf.DUMMYFUNCTION("""COMPUTED_VALUE"""),"GC - IV - 2306 - Cty Thiên Di (A Thành Dol) - Mancozeb xanh (bột xanh) - 1kg - 20")</f>
        <v>GC - IV - 2306 - Cty Thiên Di (A Thành Dol) - Mancozeb xanh (bột xanh) - 1kg - 20</v>
      </c>
    </row>
    <row r="2983">
      <c r="A2983" s="86">
        <f>IFERROR(__xludf.DUMMYFUNCTION("""COMPUTED_VALUE"""),2981.0)</f>
        <v>2981</v>
      </c>
      <c r="B2983" s="87" t="str">
        <f>IFERROR(__xludf.DUMMYFUNCTION("""COMPUTED_VALUE"""),"Nhãn")</f>
        <v>Nhãn</v>
      </c>
      <c r="C2983" s="87" t="str">
        <f>IFERROR(__xludf.DUMMYFUNCTION("""COMPUTED_VALUE"""),"NDT2306")</f>
        <v>NDT2306</v>
      </c>
      <c r="D2983" s="87" t="str">
        <f>IFERROR(__xludf.DUMMYFUNCTION("""COMPUTED_VALUE"""),"[Nhãn] GC - IV - 2306 - Cty Thiên Di (A Thành Dol) - Mancozeb xanh (bột xanh) - 1kg - 20")</f>
        <v>[Nhãn] GC - IV - 2306 - Cty Thiên Di (A Thành Dol) - Mancozeb xanh (bột xanh) - 1kg - 20</v>
      </c>
      <c r="E2983" s="87" t="str">
        <f>IFERROR(__xludf.DUMMYFUNCTION("""COMPUTED_VALUE"""),"MANCOBGO 80WP")</f>
        <v>MANCOBGO 80WP</v>
      </c>
      <c r="F2983" s="87" t="str">
        <f>IFERROR(__xludf.DUMMYFUNCTION("""COMPUTED_VALUE"""),"HH2306")</f>
        <v>HH2306</v>
      </c>
      <c r="G2983" s="87" t="str">
        <f>IFERROR(__xludf.DUMMYFUNCTION("""COMPUTED_VALUE"""),"GC - IV - 2306 - Cty Thiên Di (A Thành Dol) - Mancozeb xanh (bột xanh) - 1kg - 20")</f>
        <v>GC - IV - 2306 - Cty Thiên Di (A Thành Dol) - Mancozeb xanh (bột xanh) - 1kg - 20</v>
      </c>
    </row>
    <row r="2984">
      <c r="A2984" s="86">
        <f>IFERROR(__xludf.DUMMYFUNCTION("""COMPUTED_VALUE"""),2982.0)</f>
        <v>2982</v>
      </c>
      <c r="B2984" s="87" t="str">
        <f>IFERROR(__xludf.DUMMYFUNCTION("""COMPUTED_VALUE"""),"Nhãn")</f>
        <v>Nhãn</v>
      </c>
      <c r="C2984" s="87" t="str">
        <f>IFERROR(__xludf.DUMMYFUNCTION("""COMPUTED_VALUE"""),"NHG2307")</f>
        <v>NHG2307</v>
      </c>
      <c r="D2984" s="87" t="str">
        <f>IFERROR(__xludf.DUMMYFUNCTION("""COMPUTED_VALUE"""),"[Nhãn] GC - IV - 2307 - KATO JAPAN - TIA CHỚP (Nước trắng sữa) - 240ml - 40")</f>
        <v>[Nhãn] GC - IV - 2307 - KATO JAPAN - TIA CHỚP (Nước trắng sữa) - 240ml - 40</v>
      </c>
      <c r="E2984" s="87" t="str">
        <f>IFERROR(__xludf.DUMMYFUNCTION("""COMPUTED_VALUE"""),"NOFARA 350SC")</f>
        <v>NOFARA 350SC</v>
      </c>
      <c r="F2984" s="87" t="str">
        <f>IFERROR(__xludf.DUMMYFUNCTION("""COMPUTED_VALUE"""),"HH2307")</f>
        <v>HH2307</v>
      </c>
      <c r="G2984" s="87" t="str">
        <f>IFERROR(__xludf.DUMMYFUNCTION("""COMPUTED_VALUE"""),"GC - IV - 2307 - KATO JAPAN - TIA CHỚP (Nước trắng sữa) - 240ml - 40")</f>
        <v>GC - IV - 2307 - KATO JAPAN - TIA CHỚP (Nước trắng sữa) - 240ml - 40</v>
      </c>
    </row>
    <row r="2985">
      <c r="A2985" s="86">
        <f>IFERROR(__xludf.DUMMYFUNCTION("""COMPUTED_VALUE"""),2983.0)</f>
        <v>2983</v>
      </c>
      <c r="B2985" s="87" t="str">
        <f>IFERROR(__xludf.DUMMYFUNCTION("""COMPUTED_VALUE"""),"Nhãn")</f>
        <v>Nhãn</v>
      </c>
      <c r="C2985" s="87" t="str">
        <f>IFERROR(__xludf.DUMMYFUNCTION("""COMPUTED_VALUE"""),"NTN2308")</f>
        <v>NTN2308</v>
      </c>
      <c r="D2985" s="87" t="str">
        <f>IFERROR(__xludf.DUMMYFUNCTION("""COMPUTED_VALUE"""),"[Nhãn] GC - IV - 2308 - Cty Kim Ngọc - Mancozeb Xanh (Bột xanh) - 1kg - 20")</f>
        <v>[Nhãn] GC - IV - 2308 - Cty Kim Ngọc - Mancozeb Xanh (Bột xanh) - 1kg - 20</v>
      </c>
      <c r="E2985" s="87" t="str">
        <f>IFERROR(__xludf.DUMMYFUNCTION("""COMPUTED_VALUE"""),"MANCOBGO 80WP")</f>
        <v>MANCOBGO 80WP</v>
      </c>
      <c r="F2985" s="87" t="str">
        <f>IFERROR(__xludf.DUMMYFUNCTION("""COMPUTED_VALUE"""),"HH2308")</f>
        <v>HH2308</v>
      </c>
      <c r="G2985" s="87" t="str">
        <f>IFERROR(__xludf.DUMMYFUNCTION("""COMPUTED_VALUE"""),"GC - IV - 2308 - Cty Kim Ngọc - Mancozeb Xanh (Bột xanh) - 1kg - 20")</f>
        <v>GC - IV - 2308 - Cty Kim Ngọc - Mancozeb Xanh (Bột xanh) - 1kg - 20</v>
      </c>
    </row>
    <row r="2986">
      <c r="A2986" s="86">
        <f>IFERROR(__xludf.DUMMYFUNCTION("""COMPUTED_VALUE"""),2984.0)</f>
        <v>2984</v>
      </c>
      <c r="B2986" s="87" t="str">
        <f>IFERROR(__xludf.DUMMYFUNCTION("""COMPUTED_VALUE"""),"Nhãn")</f>
        <v>Nhãn</v>
      </c>
      <c r="C2986" s="87" t="str">
        <f>IFERROR(__xludf.DUMMYFUNCTION("""COMPUTED_VALUE"""),"NDT2308")</f>
        <v>NDT2308</v>
      </c>
      <c r="D2986" s="87" t="str">
        <f>IFERROR(__xludf.DUMMYFUNCTION("""COMPUTED_VALUE"""),"[Nhãn] GC - IV - 2308 - Cty Kim Ngọc - Mancozeb Xanh (Bột xanh) - 1kg - 20")</f>
        <v>[Nhãn] GC - IV - 2308 - Cty Kim Ngọc - Mancozeb Xanh (Bột xanh) - 1kg - 20</v>
      </c>
      <c r="E2986" s="87" t="str">
        <f>IFERROR(__xludf.DUMMYFUNCTION("""COMPUTED_VALUE"""),"MANCOBGO 80WP")</f>
        <v>MANCOBGO 80WP</v>
      </c>
      <c r="F2986" s="87" t="str">
        <f>IFERROR(__xludf.DUMMYFUNCTION("""COMPUTED_VALUE"""),"HH2308")</f>
        <v>HH2308</v>
      </c>
      <c r="G2986" s="87" t="str">
        <f>IFERROR(__xludf.DUMMYFUNCTION("""COMPUTED_VALUE"""),"GC - IV - 2308 - Cty Kim Ngọc - Mancozeb Xanh (Bột xanh) - 1kg - 20")</f>
        <v>GC - IV - 2308 - Cty Kim Ngọc - Mancozeb Xanh (Bột xanh) - 1kg - 20</v>
      </c>
    </row>
    <row r="2987">
      <c r="A2987" s="86">
        <f>IFERROR(__xludf.DUMMYFUNCTION("""COMPUTED_VALUE"""),2985.0)</f>
        <v>2985</v>
      </c>
      <c r="B2987" s="87" t="str">
        <f>IFERROR(__xludf.DUMMYFUNCTION("""COMPUTED_VALUE"""),"Nhãn")</f>
        <v>Nhãn</v>
      </c>
      <c r="C2987" s="87" t="str">
        <f>IFERROR(__xludf.DUMMYFUNCTION("""COMPUTED_VALUE"""),"NHG2310")</f>
        <v>NHG2310</v>
      </c>
      <c r="D2987" s="87" t="str">
        <f>IFERROR(__xludf.DUMMYFUNCTION("""COMPUTED_VALUE"""),"[Nhãn] GC - IV - 2310 - CTY NGỌC BẢO LONG AGRI - SIÊU VÔ GẠO (nước nâu đen) - 500ml - 30")</f>
        <v>[Nhãn] GC - IV - 2310 - CTY NGỌC BẢO LONG AGRI - SIÊU VÔ GẠO (nước nâu đen) - 500ml - 30</v>
      </c>
      <c r="E2987" s="87" t="str">
        <f>IFERROR(__xludf.DUMMYFUNCTION("""COMPUTED_VALUE"""),"Vi lượng AGAMA-SUPPORT")</f>
        <v>Vi lượng AGAMA-SUPPORT</v>
      </c>
      <c r="F2987" s="87" t="str">
        <f>IFERROR(__xludf.DUMMYFUNCTION("""COMPUTED_VALUE"""),"HH2310")</f>
        <v>HH2310</v>
      </c>
      <c r="G2987" s="87" t="str">
        <f>IFERROR(__xludf.DUMMYFUNCTION("""COMPUTED_VALUE"""),"GC - IV - 2310 - CTY NGỌC BẢO LONG AGRI - SIÊU VÔ GẠO (nước nâu đen) - 500ml - 30")</f>
        <v>GC - IV - 2310 - CTY NGỌC BẢO LONG AGRI - SIÊU VÔ GẠO (nước nâu đen) - 500ml - 30</v>
      </c>
    </row>
    <row r="2988">
      <c r="A2988" s="86">
        <f>IFERROR(__xludf.DUMMYFUNCTION("""COMPUTED_VALUE"""),2986.0)</f>
        <v>2986</v>
      </c>
      <c r="B2988" s="87" t="str">
        <f>IFERROR(__xludf.DUMMYFUNCTION("""COMPUTED_VALUE"""),"Nhãn")</f>
        <v>Nhãn</v>
      </c>
      <c r="C2988" s="87" t="str">
        <f>IFERROR(__xludf.DUMMYFUNCTION("""COMPUTED_VALUE"""),"NHD2311")</f>
        <v>NHD2311</v>
      </c>
      <c r="D2988" s="87" t="str">
        <f>IFERROR(__xludf.DUMMYFUNCTION("""COMPUTED_VALUE"""),"[Nhãn] GC - IV - 2311 - AGRITECH - AGRI BIO FISH (Nước nâu đen) - 5L - 4")</f>
        <v>[Nhãn] GC - IV - 2311 - AGRITECH - AGRI BIO FISH (Nước nâu đen) - 5L - 4</v>
      </c>
      <c r="E2988" s="87" t="str">
        <f>IFERROR(__xludf.DUMMYFUNCTION("""COMPUTED_VALUE"""),"Hữu cơ SH Agro Organic Fertilizer 20")</f>
        <v>Hữu cơ SH Agro Organic Fertilizer 20</v>
      </c>
      <c r="F2988" s="87" t="str">
        <f>IFERROR(__xludf.DUMMYFUNCTION("""COMPUTED_VALUE"""),"HH2311")</f>
        <v>HH2311</v>
      </c>
      <c r="G2988" s="87" t="str">
        <f>IFERROR(__xludf.DUMMYFUNCTION("""COMPUTED_VALUE"""),"GC - IV - 2311 - AGRITECH - AGRI BIO FISH (Nước nâu đen) - 5L - 4")</f>
        <v>GC - IV - 2311 - AGRITECH - AGRI BIO FISH (Nước nâu đen) - 5L - 4</v>
      </c>
    </row>
    <row r="2989">
      <c r="A2989" s="86">
        <f>IFERROR(__xludf.DUMMYFUNCTION("""COMPUTED_VALUE"""),2987.0)</f>
        <v>2987</v>
      </c>
      <c r="B2989" s="87" t="str">
        <f>IFERROR(__xludf.DUMMYFUNCTION("""COMPUTED_VALUE"""),"Nhãn thùng")</f>
        <v>Nhãn thùng</v>
      </c>
      <c r="C2989" s="87" t="str">
        <f>IFERROR(__xludf.DUMMYFUNCTION("""COMPUTED_VALUE"""),"NDT2311")</f>
        <v>NDT2311</v>
      </c>
      <c r="D2989" s="87" t="str">
        <f>IFERROR(__xludf.DUMMYFUNCTION("""COMPUTED_VALUE"""),"[Nhãn thùng] GC - IV - 2311 - AGRITECH - AGRI BIO FISH (Nước nâu đen) - 5L - 4")</f>
        <v>[Nhãn thùng] GC - IV - 2311 - AGRITECH - AGRI BIO FISH (Nước nâu đen) - 5L - 4</v>
      </c>
      <c r="E2989" s="87" t="str">
        <f>IFERROR(__xludf.DUMMYFUNCTION("""COMPUTED_VALUE"""),"Hữu cơ SH Agro Organic Fertilizer 20")</f>
        <v>Hữu cơ SH Agro Organic Fertilizer 20</v>
      </c>
      <c r="F2989" s="87" t="str">
        <f>IFERROR(__xludf.DUMMYFUNCTION("""COMPUTED_VALUE"""),"HH2311")</f>
        <v>HH2311</v>
      </c>
      <c r="G2989" s="87" t="str">
        <f>IFERROR(__xludf.DUMMYFUNCTION("""COMPUTED_VALUE"""),"GC - IV - 2311 - AGRITECH - AGRI BIO FISH (Nước nâu đen) - 5L - 4")</f>
        <v>GC - IV - 2311 - AGRITECH - AGRI BIO FISH (Nước nâu đen) - 5L - 4</v>
      </c>
    </row>
    <row r="2990">
      <c r="A2990" s="86">
        <f>IFERROR(__xludf.DUMMYFUNCTION("""COMPUTED_VALUE"""),2988.0)</f>
        <v>2988</v>
      </c>
      <c r="B2990" s="87" t="str">
        <f>IFERROR(__xludf.DUMMYFUNCTION("""COMPUTED_VALUE"""),"Nhãn")</f>
        <v>Nhãn</v>
      </c>
      <c r="C2990" s="87" t="str">
        <f>IFERROR(__xludf.DUMMYFUNCTION("""COMPUTED_VALUE"""),"NHG2312")</f>
        <v>NHG2312</v>
      </c>
      <c r="D2990" s="87" t="str">
        <f>IFERROR(__xludf.DUMMYFUNCTION("""COMPUTED_VALUE"""),"[Nhãn] GC - IV - 2312 - Agritech - AGRI STOP (Nước nâu đen) - 1L - 20")</f>
        <v>[Nhãn] GC - IV - 2312 - Agritech - AGRI STOP (Nước nâu đen) - 1L - 20</v>
      </c>
      <c r="E2990" s="87" t="str">
        <f>IFERROR(__xludf.DUMMYFUNCTION("""COMPUTED_VALUE"""),"Vi lượng Quantity New")</f>
        <v>Vi lượng Quantity New</v>
      </c>
      <c r="F2990" s="87" t="str">
        <f>IFERROR(__xludf.DUMMYFUNCTION("""COMPUTED_VALUE"""),"HH2312")</f>
        <v>HH2312</v>
      </c>
      <c r="G2990" s="87" t="str">
        <f>IFERROR(__xludf.DUMMYFUNCTION("""COMPUTED_VALUE"""),"GC - IV - 2312 - Agritech - AGRI STOP (Nước nâu đen) - 1L - 20")</f>
        <v>GC - IV - 2312 - Agritech - AGRI STOP (Nước nâu đen) - 1L - 20</v>
      </c>
    </row>
    <row r="2991">
      <c r="A2991" s="86">
        <f>IFERROR(__xludf.DUMMYFUNCTION("""COMPUTED_VALUE"""),2989.0)</f>
        <v>2989</v>
      </c>
      <c r="B2991" s="87" t="str">
        <f>IFERROR(__xludf.DUMMYFUNCTION("""COMPUTED_VALUE"""),"Nhãn")</f>
        <v>Nhãn</v>
      </c>
      <c r="C2991" s="87" t="str">
        <f>IFERROR(__xludf.DUMMYFUNCTION("""COMPUTED_VALUE"""),"NHG2313")</f>
        <v>NHG2313</v>
      </c>
      <c r="D2991" s="87" t="str">
        <f>IFERROR(__xludf.DUMMYFUNCTION("""COMPUTED_VALUE"""),"[Nhãn] GC - IV - 2313 - Cty Thiên Di (A Thành Dol) - Dưỡng chất vô cơ chuyên sầu riêng (Nước tím đỏ) - 500ml - 40")</f>
        <v>[Nhãn] GC - IV - 2313 - Cty Thiên Di (A Thành Dol) - Dưỡng chất vô cơ chuyên sầu riêng (Nước tím đỏ) - 500ml - 40</v>
      </c>
      <c r="E2991" s="87" t="str">
        <f>IFERROR(__xludf.DUMMYFUNCTION("""COMPUTED_VALUE"""),"Hỗn Hợp NP AGAMA-AP")</f>
        <v>Hỗn Hợp NP AGAMA-AP</v>
      </c>
      <c r="F2991" s="87" t="str">
        <f>IFERROR(__xludf.DUMMYFUNCTION("""COMPUTED_VALUE"""),"HH2313")</f>
        <v>HH2313</v>
      </c>
      <c r="G2991" s="87" t="str">
        <f>IFERROR(__xludf.DUMMYFUNCTION("""COMPUTED_VALUE"""),"GC - IV - 2313 - Cty Thiên Di (A Thành Dol) - Dưỡng chất vô cơ chuyên sầu riêng (Nước tím đỏ) - 500ml - 40")</f>
        <v>GC - IV - 2313 - Cty Thiên Di (A Thành Dol) - Dưỡng chất vô cơ chuyên sầu riêng (Nước tím đỏ) - 500ml - 40</v>
      </c>
    </row>
    <row r="2992">
      <c r="A2992" s="86">
        <f>IFERROR(__xludf.DUMMYFUNCTION("""COMPUTED_VALUE"""),2990.0)</f>
        <v>2990</v>
      </c>
      <c r="B2992" s="87" t="str">
        <f>IFERROR(__xludf.DUMMYFUNCTION("""COMPUTED_VALUE"""),"Nhãn")</f>
        <v>Nhãn</v>
      </c>
      <c r="C2992" s="87" t="str">
        <f>IFERROR(__xludf.DUMMYFUNCTION("""COMPUTED_VALUE"""),"NHG2315")</f>
        <v>NHG2315</v>
      </c>
      <c r="D2992" s="87" t="str">
        <f>IFERROR(__xludf.DUMMYFUNCTION("""COMPUTED_VALUE"""),"[Nhãn] GC - IV - 2315 - CTY BIOCHEM VIỆT Á - DƯỠNG ĐÒNG VÀNG (Nước vàng) - 500L - 1")</f>
        <v>[Nhãn] GC - IV - 2315 - CTY BIOCHEM VIỆT Á - DƯỠNG ĐÒNG VÀNG (Nước vàng) - 500L - 1</v>
      </c>
      <c r="E2992" s="87" t="str">
        <f>IFERROR(__xludf.DUMMYFUNCTION("""COMPUTED_VALUE"""),"Phân hữu cơ ORGANIC VIET-A NUTRI PLUS")</f>
        <v>Phân hữu cơ ORGANIC VIET-A NUTRI PLUS</v>
      </c>
      <c r="F2992" s="87" t="str">
        <f>IFERROR(__xludf.DUMMYFUNCTION("""COMPUTED_VALUE"""),"HH2315")</f>
        <v>HH2315</v>
      </c>
      <c r="G2992" s="87" t="str">
        <f>IFERROR(__xludf.DUMMYFUNCTION("""COMPUTED_VALUE"""),"GC - IV - 2315 - CTY BIOCHEM VIỆT Á - DƯỠNG ĐÒNG VÀNG (Nước vàng) - 500L - 1")</f>
        <v>GC - IV - 2315 - CTY BIOCHEM VIỆT Á - DƯỠNG ĐÒNG VÀNG (Nước vàng) - 500L - 1</v>
      </c>
    </row>
    <row r="2993">
      <c r="A2993" s="86">
        <f>IFERROR(__xludf.DUMMYFUNCTION("""COMPUTED_VALUE"""),2991.0)</f>
        <v>2991</v>
      </c>
      <c r="B2993" s="87" t="str">
        <f>IFERROR(__xludf.DUMMYFUNCTION("""COMPUTED_VALUE"""),"Nhãn")</f>
        <v>Nhãn</v>
      </c>
      <c r="C2993" s="87" t="str">
        <f>IFERROR(__xludf.DUMMYFUNCTION("""COMPUTED_VALUE"""),"NHG2317")</f>
        <v>NHG2317</v>
      </c>
      <c r="D2993" s="87" t="str">
        <f>IFERROR(__xludf.DUMMYFUNCTION("""COMPUTED_VALUE"""),"[Nhãn] GC - IV - 2317 - Cty Kim Ngọc - Cỏ Lưu Dẫn (nước đỏ ) - 900ml - 20")</f>
        <v>[Nhãn] GC - IV - 2317 - Cty Kim Ngọc - Cỏ Lưu Dẫn (nước đỏ ) - 900ml - 20</v>
      </c>
      <c r="E2993" s="87" t="str">
        <f>IFERROR(__xludf.DUMMYFUNCTION("""COMPUTED_VALUE"""),"NEWFOSINATE 150SL")</f>
        <v>NEWFOSINATE 150SL</v>
      </c>
      <c r="F2993" s="87" t="str">
        <f>IFERROR(__xludf.DUMMYFUNCTION("""COMPUTED_VALUE"""),"HH2317")</f>
        <v>HH2317</v>
      </c>
      <c r="G2993" s="87" t="str">
        <f>IFERROR(__xludf.DUMMYFUNCTION("""COMPUTED_VALUE"""),"GC - IV - 2317 - Cty Kim Ngọc - Cỏ Lưu Dẫn (nước đỏ ) - 900ml - 20")</f>
        <v>GC - IV - 2317 - Cty Kim Ngọc - Cỏ Lưu Dẫn (nước đỏ ) - 900ml - 20</v>
      </c>
    </row>
    <row r="2994">
      <c r="A2994" s="86">
        <f>IFERROR(__xludf.DUMMYFUNCTION("""COMPUTED_VALUE"""),2992.0)</f>
        <v>2992</v>
      </c>
      <c r="B2994" s="87" t="str">
        <f>IFERROR(__xludf.DUMMYFUNCTION("""COMPUTED_VALUE"""),"Nhãn")</f>
        <v>Nhãn</v>
      </c>
      <c r="C2994" s="87" t="str">
        <f>IFERROR(__xludf.DUMMYFUNCTION("""COMPUTED_VALUE"""),"NHG2318")</f>
        <v>NHG2318</v>
      </c>
      <c r="D2994" s="87" t="str">
        <f>IFERROR(__xludf.DUMMYFUNCTION("""COMPUTED_VALUE"""),"[Nhãn] GC - IV - 2318 - NHP - Nhện đỏ (Nước tím) - 240ml - 40")</f>
        <v>[Nhãn] GC - IV - 2318 - NHP - Nhện đỏ (Nước tím) - 240ml - 40</v>
      </c>
      <c r="E2994" s="87" t="str">
        <f>IFERROR(__xludf.DUMMYFUNCTION("""COMPUTED_VALUE"""),"Chitin 3.6EC")</f>
        <v>Chitin 3.6EC</v>
      </c>
      <c r="F2994" s="87" t="str">
        <f>IFERROR(__xludf.DUMMYFUNCTION("""COMPUTED_VALUE"""),"HH2318")</f>
        <v>HH2318</v>
      </c>
      <c r="G2994" s="87" t="str">
        <f>IFERROR(__xludf.DUMMYFUNCTION("""COMPUTED_VALUE"""),"GC - IV - 2318 - NHP - Nhện đỏ (Nước tím) - 240ml - 40")</f>
        <v>GC - IV - 2318 - NHP - Nhện đỏ (Nước tím) - 240ml - 40</v>
      </c>
    </row>
    <row r="2995">
      <c r="A2995" s="86">
        <f>IFERROR(__xludf.DUMMYFUNCTION("""COMPUTED_VALUE"""),2993.0)</f>
        <v>2993</v>
      </c>
      <c r="B2995" s="87" t="str">
        <f>IFERROR(__xludf.DUMMYFUNCTION("""COMPUTED_VALUE"""),"Nhãn")</f>
        <v>Nhãn</v>
      </c>
      <c r="C2995" s="87" t="str">
        <f>IFERROR(__xludf.DUMMYFUNCTION("""COMPUTED_VALUE"""),"NHG2319")</f>
        <v>NHG2319</v>
      </c>
      <c r="D2995" s="87" t="str">
        <f>IFERROR(__xludf.DUMMYFUNCTION("""COMPUTED_VALUE"""),"[Nhãn] GC - IV - 2319 - NHP - Killmite (Nước tím) - 250ml - 40")</f>
        <v>[Nhãn] GC - IV - 2319 - NHP - Killmite (Nước tím) - 250ml - 40</v>
      </c>
      <c r="E2995" s="87" t="str">
        <f>IFERROR(__xludf.DUMMYFUNCTION("""COMPUTED_VALUE"""),"Chitin 3.6EC")</f>
        <v>Chitin 3.6EC</v>
      </c>
      <c r="F2995" s="87" t="str">
        <f>IFERROR(__xludf.DUMMYFUNCTION("""COMPUTED_VALUE"""),"HH2319")</f>
        <v>HH2319</v>
      </c>
      <c r="G2995" s="87" t="str">
        <f>IFERROR(__xludf.DUMMYFUNCTION("""COMPUTED_VALUE"""),"GC - IV - 2319 - NHP - Killmite (Nước tím) - 250ml - 40")</f>
        <v>GC - IV - 2319 - NHP - Killmite (Nước tím) - 250ml - 40</v>
      </c>
    </row>
    <row r="2996">
      <c r="A2996" s="86">
        <f>IFERROR(__xludf.DUMMYFUNCTION("""COMPUTED_VALUE"""),2994.0)</f>
        <v>2994</v>
      </c>
      <c r="B2996" s="87" t="str">
        <f>IFERROR(__xludf.DUMMYFUNCTION("""COMPUTED_VALUE"""),"Nhãn")</f>
        <v>Nhãn</v>
      </c>
      <c r="C2996" s="87" t="str">
        <f>IFERROR(__xludf.DUMMYFUNCTION("""COMPUTED_VALUE"""),"NHG2320")</f>
        <v>NHG2320</v>
      </c>
      <c r="D2996" s="87" t="str">
        <f>IFERROR(__xludf.DUMMYFUNCTION("""COMPUTED_VALUE"""),"[Nhãn] GC - IV - 2320 - Cty Hóa Nông Shino - Newfosinate 150SL (nước tím) - 900ml - 20")</f>
        <v>[Nhãn] GC - IV - 2320 - Cty Hóa Nông Shino - Newfosinate 150SL (nước tím) - 900ml - 20</v>
      </c>
      <c r="E2996" s="87" t="str">
        <f>IFERROR(__xludf.DUMMYFUNCTION("""COMPUTED_VALUE"""),"NEWFOSINATE 150SL")</f>
        <v>NEWFOSINATE 150SL</v>
      </c>
      <c r="F2996" s="87" t="str">
        <f>IFERROR(__xludf.DUMMYFUNCTION("""COMPUTED_VALUE"""),"HH2320")</f>
        <v>HH2320</v>
      </c>
      <c r="G2996" s="87" t="str">
        <f>IFERROR(__xludf.DUMMYFUNCTION("""COMPUTED_VALUE"""),"GC - IV - 2320 - Cty Hóa Nông Shino - Newfosinate 150SL (nước tím) - 900ml - 20")</f>
        <v>GC - IV - 2320 - Cty Hóa Nông Shino - Newfosinate 150SL (nước tím) - 900ml - 20</v>
      </c>
    </row>
    <row r="2997">
      <c r="A2997" s="86">
        <f>IFERROR(__xludf.DUMMYFUNCTION("""COMPUTED_VALUE"""),2995.0)</f>
        <v>2995</v>
      </c>
      <c r="B2997" s="87" t="str">
        <f>IFERROR(__xludf.DUMMYFUNCTION("""COMPUTED_VALUE"""),"Nhãn")</f>
        <v>Nhãn</v>
      </c>
      <c r="C2997" s="87" t="str">
        <f>IFERROR(__xludf.DUMMYFUNCTION("""COMPUTED_VALUE"""),"NTN2321")</f>
        <v>NTN2321</v>
      </c>
      <c r="D2997" s="87" t="str">
        <f>IFERROR(__xludf.DUMMYFUNCTION("""COMPUTED_VALUE"""),"[Nhãn] GC - IV - 2321 - AGRITECH - HUMIK (Vẩy nâu đen) - 1 kg - 25")</f>
        <v>[Nhãn] GC - IV - 2321 - AGRITECH - HUMIK (Vẩy nâu đen) - 1 kg - 25</v>
      </c>
      <c r="E2997" s="87" t="str">
        <f>IFERROR(__xludf.DUMMYFUNCTION("""COMPUTED_VALUE"""),"Hữu cơ sinh học Nam Kinh 02")</f>
        <v>Hữu cơ sinh học Nam Kinh 02</v>
      </c>
      <c r="F2997" s="87" t="str">
        <f>IFERROR(__xludf.DUMMYFUNCTION("""COMPUTED_VALUE"""),"HH2321")</f>
        <v>HH2321</v>
      </c>
      <c r="G2997" s="87" t="str">
        <f>IFERROR(__xludf.DUMMYFUNCTION("""COMPUTED_VALUE"""),"GC - IV - 2321 - AGRITECH - HUMIK (Vẩy nâu đen) - 1 kg - 25")</f>
        <v>GC - IV - 2321 - AGRITECH - HUMIK (Vẩy nâu đen) - 1 kg - 25</v>
      </c>
    </row>
    <row r="2998">
      <c r="A2998" s="86">
        <f>IFERROR(__xludf.DUMMYFUNCTION("""COMPUTED_VALUE"""),2996.0)</f>
        <v>2996</v>
      </c>
      <c r="B2998" s="87" t="str">
        <f>IFERROR(__xludf.DUMMYFUNCTION("""COMPUTED_VALUE"""),"Nhãn")</f>
        <v>Nhãn</v>
      </c>
      <c r="C2998" s="87" t="str">
        <f>IFERROR(__xludf.DUMMYFUNCTION("""COMPUTED_VALUE"""),"NHG2322")</f>
        <v>NHG2322</v>
      </c>
      <c r="D2998" s="87" t="str">
        <f>IFERROR(__xludf.DUMMYFUNCTION("""COMPUTED_VALUE"""),"[Nhãn] LOT IDA Global - I - 2322 - Cỏ Lưu Dẫn (200SL)(nước đỏ) - 900ml - 20")</f>
        <v>[Nhãn] LOT IDA Global - I - 2322 - Cỏ Lưu Dẫn (200SL)(nước đỏ) - 900ml - 20</v>
      </c>
      <c r="E2998" s="87" t="str">
        <f>IFERROR(__xludf.DUMMYFUNCTION("""COMPUTED_VALUE"""),"Asupergras 200SL")</f>
        <v>Asupergras 200SL</v>
      </c>
      <c r="F2998" s="87" t="str">
        <f>IFERROR(__xludf.DUMMYFUNCTION("""COMPUTED_VALUE"""),"HH2322")</f>
        <v>HH2322</v>
      </c>
      <c r="G2998" s="87" t="str">
        <f>IFERROR(__xludf.DUMMYFUNCTION("""COMPUTED_VALUE"""),"LOT IDA Global - I - 2322 - Cỏ Lưu Dẫn (200SL)(nước đỏ) - 900ml - 20")</f>
        <v>LOT IDA Global - I - 2322 - Cỏ Lưu Dẫn (200SL)(nước đỏ) - 900ml - 20</v>
      </c>
    </row>
    <row r="2999">
      <c r="A2999" s="86">
        <f>IFERROR(__xludf.DUMMYFUNCTION("""COMPUTED_VALUE"""),2997.0)</f>
        <v>2997</v>
      </c>
      <c r="B2999" s="87" t="str">
        <f>IFERROR(__xludf.DUMMYFUNCTION("""COMPUTED_VALUE"""),"Nhãn")</f>
        <v>Nhãn</v>
      </c>
      <c r="C2999" s="87" t="str">
        <f>IFERROR(__xludf.DUMMYFUNCTION("""COMPUTED_VALUE"""),"NTN2323")</f>
        <v>NTN2323</v>
      </c>
      <c r="D2999" s="87" t="str">
        <f>IFERROR(__xludf.DUMMYFUNCTION("""COMPUTED_VALUE"""),"[Nhãn] LOT IDA Global - I - 2323 - Mancozeb Xanh (Bột xanh) - 1kg - 20")</f>
        <v>[Nhãn] LOT IDA Global - I - 2323 - Mancozeb Xanh (Bột xanh) - 1kg - 20</v>
      </c>
      <c r="E2999" s="87" t="str">
        <f>IFERROR(__xludf.DUMMYFUNCTION("""COMPUTED_VALUE"""),"MANCOBGO 80WP")</f>
        <v>MANCOBGO 80WP</v>
      </c>
      <c r="F2999" s="87" t="str">
        <f>IFERROR(__xludf.DUMMYFUNCTION("""COMPUTED_VALUE"""),"HH2323")</f>
        <v>HH2323</v>
      </c>
      <c r="G2999" s="87" t="str">
        <f>IFERROR(__xludf.DUMMYFUNCTION("""COMPUTED_VALUE"""),"LOT IDA Global - I - 2323 - Mancozeb Xanh (Bột xanh) - 1kg - 20")</f>
        <v>LOT IDA Global - I - 2323 - Mancozeb Xanh (Bột xanh) - 1kg - 20</v>
      </c>
    </row>
    <row r="3000">
      <c r="A3000" s="86">
        <f>IFERROR(__xludf.DUMMYFUNCTION("""COMPUTED_VALUE"""),2998.0)</f>
        <v>2998</v>
      </c>
      <c r="B3000" s="87" t="str">
        <f>IFERROR(__xludf.DUMMYFUNCTION("""COMPUTED_VALUE"""),"Nhãn thùng")</f>
        <v>Nhãn thùng</v>
      </c>
      <c r="C3000" s="87" t="str">
        <f>IFERROR(__xludf.DUMMYFUNCTION("""COMPUTED_VALUE"""),"NDT2323")</f>
        <v>NDT2323</v>
      </c>
      <c r="D3000" s="87" t="str">
        <f>IFERROR(__xludf.DUMMYFUNCTION("""COMPUTED_VALUE"""),"[Nhãn thùng] LOT IDA Global - I - 2323 - Mancozeb Xanh (Bột xanh) - 1kg - 20")</f>
        <v>[Nhãn thùng] LOT IDA Global - I - 2323 - Mancozeb Xanh (Bột xanh) - 1kg - 20</v>
      </c>
      <c r="E3000" s="87" t="str">
        <f>IFERROR(__xludf.DUMMYFUNCTION("""COMPUTED_VALUE"""),"MANCOBGO 80WP")</f>
        <v>MANCOBGO 80WP</v>
      </c>
      <c r="F3000" s="87" t="str">
        <f>IFERROR(__xludf.DUMMYFUNCTION("""COMPUTED_VALUE"""),"HH2323")</f>
        <v>HH2323</v>
      </c>
      <c r="G3000" s="87" t="str">
        <f>IFERROR(__xludf.DUMMYFUNCTION("""COMPUTED_VALUE"""),"LOT IDA Global - I - 2323 - Mancozeb Xanh (Bột xanh) - 1kg - 20")</f>
        <v>LOT IDA Global - I - 2323 - Mancozeb Xanh (Bột xanh) - 1kg - 20</v>
      </c>
    </row>
    <row r="3001">
      <c r="A3001" s="86">
        <f>IFERROR(__xludf.DUMMYFUNCTION("""COMPUTED_VALUE"""),2999.0)</f>
        <v>2999</v>
      </c>
      <c r="B3001" s="87" t="str">
        <f>IFERROR(__xludf.DUMMYFUNCTION("""COMPUTED_VALUE"""),"Nhãn")</f>
        <v>Nhãn</v>
      </c>
      <c r="C3001" s="87" t="str">
        <f>IFERROR(__xludf.DUMMYFUNCTION("""COMPUTED_VALUE"""),"NHG2324")</f>
        <v>NHG2324</v>
      </c>
      <c r="D3001" s="87" t="str">
        <f>IFERROR(__xludf.DUMMYFUNCTION("""COMPUTED_VALUE"""),"[Nhãn] GC - IV - 2324 - Cty VNT Mekong - Trâu Đỏ (nước đỏ) - 900ml - 20")</f>
        <v>[Nhãn] GC - IV - 2324 - Cty VNT Mekong - Trâu Đỏ (nước đỏ) - 900ml - 20</v>
      </c>
      <c r="E3001" s="87" t="str">
        <f>IFERROR(__xludf.DUMMYFUNCTION("""COMPUTED_VALUE"""),"Asupergras 200SL")</f>
        <v>Asupergras 200SL</v>
      </c>
      <c r="F3001" s="87" t="str">
        <f>IFERROR(__xludf.DUMMYFUNCTION("""COMPUTED_VALUE"""),"HH2324")</f>
        <v>HH2324</v>
      </c>
      <c r="G3001" s="87" t="str">
        <f>IFERROR(__xludf.DUMMYFUNCTION("""COMPUTED_VALUE"""),"GC - IV - 2324 - Cty VNT Mekong - Trâu Đỏ (nước đỏ) - 900ml - 20")</f>
        <v>GC - IV - 2324 - Cty VNT Mekong - Trâu Đỏ (nước đỏ) - 900ml - 20</v>
      </c>
    </row>
    <row r="3002">
      <c r="A3002" s="86">
        <f>IFERROR(__xludf.DUMMYFUNCTION("""COMPUTED_VALUE"""),3000.0)</f>
        <v>3000</v>
      </c>
      <c r="B3002" s="87" t="str">
        <f>IFERROR(__xludf.DUMMYFUNCTION("""COMPUTED_VALUE"""),"Nhãn")</f>
        <v>Nhãn</v>
      </c>
      <c r="C3002" s="87" t="str">
        <f>IFERROR(__xludf.DUMMYFUNCTION("""COMPUTED_VALUE"""),"NHD2325")</f>
        <v>NHD2325</v>
      </c>
      <c r="D3002" s="87" t="str">
        <f>IFERROR(__xludf.DUMMYFUNCTION("""COMPUTED_VALUE"""),"[Nhãn] IDA GLOBAL - I - 2325 - Creek 2.1EC (pet vuông) (nước đỏ) - 450ml - 40")</f>
        <v>[Nhãn] IDA GLOBAL - I - 2325 - Creek 2.1EC (pet vuông) (nước đỏ) - 450ml - 40</v>
      </c>
      <c r="E3002" s="87" t="str">
        <f>IFERROR(__xludf.DUMMYFUNCTION("""COMPUTED_VALUE"""),"Creek 2.1EC")</f>
        <v>Creek 2.1EC</v>
      </c>
      <c r="F3002" s="87" t="str">
        <f>IFERROR(__xludf.DUMMYFUNCTION("""COMPUTED_VALUE"""),"HH2325")</f>
        <v>HH2325</v>
      </c>
      <c r="G3002" s="87" t="str">
        <f>IFERROR(__xludf.DUMMYFUNCTION("""COMPUTED_VALUE"""),"IDA GLOBAL - I - 2325 - Creek 2.1EC (pet vuông) (nước đỏ) - 450ml - 40")</f>
        <v>IDA GLOBAL - I - 2325 - Creek 2.1EC (pet vuông) (nước đỏ) - 450ml - 40</v>
      </c>
    </row>
    <row r="3003">
      <c r="A3003" s="86">
        <f>IFERROR(__xludf.DUMMYFUNCTION("""COMPUTED_VALUE"""),3001.0)</f>
        <v>3001</v>
      </c>
      <c r="B3003" s="87" t="str">
        <f>IFERROR(__xludf.DUMMYFUNCTION("""COMPUTED_VALUE"""),"Nhãn thùng")</f>
        <v>Nhãn thùng</v>
      </c>
      <c r="C3003" s="87" t="str">
        <f>IFERROR(__xludf.DUMMYFUNCTION("""COMPUTED_VALUE"""),"NDT2325")</f>
        <v>NDT2325</v>
      </c>
      <c r="D3003" s="87" t="str">
        <f>IFERROR(__xludf.DUMMYFUNCTION("""COMPUTED_VALUE"""),"[Nhãn thùng] IDA GLOBAL - I - 2325 - Creek 2.1EC (pet vuông) (nước đỏ) - 450ml - 40")</f>
        <v>[Nhãn thùng] IDA GLOBAL - I - 2325 - Creek 2.1EC (pet vuông) (nước đỏ) - 450ml - 40</v>
      </c>
      <c r="E3003" s="87" t="str">
        <f>IFERROR(__xludf.DUMMYFUNCTION("""COMPUTED_VALUE"""),"Creek 2.1EC")</f>
        <v>Creek 2.1EC</v>
      </c>
      <c r="F3003" s="87" t="str">
        <f>IFERROR(__xludf.DUMMYFUNCTION("""COMPUTED_VALUE"""),"HH2325")</f>
        <v>HH2325</v>
      </c>
      <c r="G3003" s="87" t="str">
        <f>IFERROR(__xludf.DUMMYFUNCTION("""COMPUTED_VALUE"""),"IDA GLOBAL - I - 2325 - Creek 2.1EC (pet vuông) (nước đỏ) - 450ml - 40")</f>
        <v>IDA GLOBAL - I - 2325 - Creek 2.1EC (pet vuông) (nước đỏ) - 450ml - 40</v>
      </c>
    </row>
    <row r="3004">
      <c r="A3004" s="86">
        <f>IFERROR(__xludf.DUMMYFUNCTION("""COMPUTED_VALUE"""),3002.0)</f>
        <v>3002</v>
      </c>
      <c r="B3004" s="87" t="str">
        <f>IFERROR(__xludf.DUMMYFUNCTION("""COMPUTED_VALUE"""),"Nhãn")</f>
        <v>Nhãn</v>
      </c>
      <c r="C3004" s="87" t="str">
        <f>IFERROR(__xludf.DUMMYFUNCTION("""COMPUTED_VALUE"""),"NHG2326")</f>
        <v>NHG2326</v>
      </c>
      <c r="D3004" s="87" t="str">
        <f>IFERROR(__xludf.DUMMYFUNCTION("""COMPUTED_VALUE"""),"[Nhãn] GC - IV - 2326 - NHP GROUP - Chitin 3.6EC (nước nâu đen) - 450ml - 40")</f>
        <v>[Nhãn] GC - IV - 2326 - NHP GROUP - Chitin 3.6EC (nước nâu đen) - 450ml - 40</v>
      </c>
      <c r="E3004" s="87" t="str">
        <f>IFERROR(__xludf.DUMMYFUNCTION("""COMPUTED_VALUE"""),"Chitin 3.6EC")</f>
        <v>Chitin 3.6EC</v>
      </c>
      <c r="F3004" s="87" t="str">
        <f>IFERROR(__xludf.DUMMYFUNCTION("""COMPUTED_VALUE"""),"HH2326")</f>
        <v>HH2326</v>
      </c>
      <c r="G3004" s="87" t="str">
        <f>IFERROR(__xludf.DUMMYFUNCTION("""COMPUTED_VALUE"""),"GC - IV - 2326 - NHP GROUP - Chitin 3.6EC (nước nâu đen) - 450ml - 40")</f>
        <v>GC - IV - 2326 - NHP GROUP - Chitin 3.6EC (nước nâu đen) - 450ml - 40</v>
      </c>
    </row>
    <row r="3005">
      <c r="A3005" s="86">
        <f>IFERROR(__xludf.DUMMYFUNCTION("""COMPUTED_VALUE"""),3003.0)</f>
        <v>3003</v>
      </c>
      <c r="B3005" s="87" t="str">
        <f>IFERROR(__xludf.DUMMYFUNCTION("""COMPUTED_VALUE"""),"Nhãn")</f>
        <v>Nhãn</v>
      </c>
      <c r="C3005" s="87" t="str">
        <f>IFERROR(__xludf.DUMMYFUNCTION("""COMPUTED_VALUE"""),"NHG2327")</f>
        <v>NHG2327</v>
      </c>
      <c r="D3005" s="87" t="str">
        <f>IFERROR(__xludf.DUMMYFUNCTION("""COMPUTED_VALUE"""),"[Nhãn] GC - IV - 2327 - THÀNH CÔNG AGRI - MIKHADA 45ME (Nước trắng sữa) - 100ml - 50")</f>
        <v>[Nhãn] GC - IV - 2327 - THÀNH CÔNG AGRI - MIKHADA 45ME (Nước trắng sữa) - 100ml - 50</v>
      </c>
      <c r="E3005" s="87" t="str">
        <f>IFERROR(__xludf.DUMMYFUNCTION("""COMPUTED_VALUE"""),"MIKHADA 45ME")</f>
        <v>MIKHADA 45ME</v>
      </c>
      <c r="F3005" s="87" t="str">
        <f>IFERROR(__xludf.DUMMYFUNCTION("""COMPUTED_VALUE"""),"HH2327")</f>
        <v>HH2327</v>
      </c>
      <c r="G3005" s="87" t="str">
        <f>IFERROR(__xludf.DUMMYFUNCTION("""COMPUTED_VALUE"""),"GC - IV - 2327 - THÀNH CÔNG AGRI - MIKHADA 45ME (Nước trắng sữa) - 100ml - 50")</f>
        <v>GC - IV - 2327 - THÀNH CÔNG AGRI - MIKHADA 45ME (Nước trắng sữa) - 100ml - 50</v>
      </c>
    </row>
    <row r="3006">
      <c r="A3006" s="86">
        <f>IFERROR(__xludf.DUMMYFUNCTION("""COMPUTED_VALUE"""),3004.0)</f>
        <v>3004</v>
      </c>
      <c r="B3006" s="87" t="str">
        <f>IFERROR(__xludf.DUMMYFUNCTION("""COMPUTED_VALUE"""),"Nhãn")</f>
        <v>Nhãn</v>
      </c>
      <c r="C3006" s="87" t="str">
        <f>IFERROR(__xludf.DUMMYFUNCTION("""COMPUTED_VALUE"""),"NHG2328")</f>
        <v>NHG2328</v>
      </c>
      <c r="D3006" s="87" t="str">
        <f>IFERROR(__xludf.DUMMYFUNCTION("""COMPUTED_VALUE"""),"[Nhãn] GC - IV - 2328 - THÀNH CÔNG AGRI - THIO GOLD 350 (Nước trắng sữa) - 250ml - 40")</f>
        <v>[Nhãn] GC - IV - 2328 - THÀNH CÔNG AGRI - THIO GOLD 350 (Nước trắng sữa) - 250ml - 40</v>
      </c>
      <c r="E3006" s="87" t="str">
        <f>IFERROR(__xludf.DUMMYFUNCTION("""COMPUTED_VALUE"""),"NOFARA 350SC")</f>
        <v>NOFARA 350SC</v>
      </c>
      <c r="F3006" s="87" t="str">
        <f>IFERROR(__xludf.DUMMYFUNCTION("""COMPUTED_VALUE"""),"HH2328")</f>
        <v>HH2328</v>
      </c>
      <c r="G3006" s="87" t="str">
        <f>IFERROR(__xludf.DUMMYFUNCTION("""COMPUTED_VALUE"""),"GC - IV - 2328 - THÀNH CÔNG AGRI - THIO GOLD 350 (Nước trắng sữa) - 250ml - 40")</f>
        <v>GC - IV - 2328 - THÀNH CÔNG AGRI - THIO GOLD 350 (Nước trắng sữa) - 250ml - 40</v>
      </c>
    </row>
    <row r="3007">
      <c r="A3007" s="86">
        <f>IFERROR(__xludf.DUMMYFUNCTION("""COMPUTED_VALUE"""),3005.0)</f>
        <v>3005</v>
      </c>
      <c r="B3007" s="87" t="str">
        <f>IFERROR(__xludf.DUMMYFUNCTION("""COMPUTED_VALUE"""),"Nhãn")</f>
        <v>Nhãn</v>
      </c>
      <c r="C3007" s="87" t="str">
        <f>IFERROR(__xludf.DUMMYFUNCTION("""COMPUTED_VALUE"""),"NHG2329")</f>
        <v>NHG2329</v>
      </c>
      <c r="D3007" s="87" t="str">
        <f>IFERROR(__xludf.DUMMYFUNCTION("""COMPUTED_VALUE"""),"[Nhãn] GC - IV - 2329 - THÀNH CÔNG AGRI - PROFAST 550 (Nước vàng) - 450ml - 40")</f>
        <v>[Nhãn] GC - IV - 2329 - THÀNH CÔNG AGRI - PROFAST 550 (Nước vàng) - 450ml - 40</v>
      </c>
      <c r="E3007" s="87" t="str">
        <f>IFERROR(__xludf.DUMMYFUNCTION("""COMPUTED_VALUE"""),"Thipro 550EC")</f>
        <v>Thipro 550EC</v>
      </c>
      <c r="F3007" s="87" t="str">
        <f>IFERROR(__xludf.DUMMYFUNCTION("""COMPUTED_VALUE"""),"HH2329")</f>
        <v>HH2329</v>
      </c>
      <c r="G3007" s="87" t="str">
        <f>IFERROR(__xludf.DUMMYFUNCTION("""COMPUTED_VALUE"""),"GC - IV - 2329 - THÀNH CÔNG AGRI - PROFAST 550 (Nước vàng) - 450ml - 40")</f>
        <v>GC - IV - 2329 - THÀNH CÔNG AGRI - PROFAST 550 (Nước vàng) - 450ml - 40</v>
      </c>
    </row>
    <row r="3008">
      <c r="A3008" s="86">
        <f>IFERROR(__xludf.DUMMYFUNCTION("""COMPUTED_VALUE"""),3006.0)</f>
        <v>3006</v>
      </c>
      <c r="B3008" s="87" t="str">
        <f>IFERROR(__xludf.DUMMYFUNCTION("""COMPUTED_VALUE"""),"Nhãn")</f>
        <v>Nhãn</v>
      </c>
      <c r="C3008" s="87" t="str">
        <f>IFERROR(__xludf.DUMMYFUNCTION("""COMPUTED_VALUE"""),"NHG2331")</f>
        <v>NHG2331</v>
      </c>
      <c r="D3008" s="87" t="str">
        <f>IFERROR(__xludf.DUMMYFUNCTION("""COMPUTED_VALUE"""),"[Nhãn] GC - IV - 2331 - THÀNH CÔNG AGRI - AZOTA TOP (Nước vàng) - 250ml - 40")</f>
        <v>[Nhãn] GC - IV - 2331 - THÀNH CÔNG AGRI - AZOTA TOP (Nước vàng) - 250ml - 40</v>
      </c>
      <c r="E3008" s="87" t="str">
        <f>IFERROR(__xludf.DUMMYFUNCTION("""COMPUTED_VALUE"""),"MITOP ONE 390SC")</f>
        <v>MITOP ONE 390SC</v>
      </c>
      <c r="F3008" s="87" t="str">
        <f>IFERROR(__xludf.DUMMYFUNCTION("""COMPUTED_VALUE"""),"HH2331")</f>
        <v>HH2331</v>
      </c>
      <c r="G3008" s="87" t="str">
        <f>IFERROR(__xludf.DUMMYFUNCTION("""COMPUTED_VALUE"""),"GC - IV - 2331 - THÀNH CÔNG AGRI - AZOTA TOP (Nước vàng) - 250ml - 40")</f>
        <v>GC - IV - 2331 - THÀNH CÔNG AGRI - AZOTA TOP (Nước vàng) - 250ml - 40</v>
      </c>
    </row>
    <row r="3009">
      <c r="A3009" s="86">
        <f>IFERROR(__xludf.DUMMYFUNCTION("""COMPUTED_VALUE"""),3007.0)</f>
        <v>3007</v>
      </c>
      <c r="B3009" s="87" t="str">
        <f>IFERROR(__xludf.DUMMYFUNCTION("""COMPUTED_VALUE"""),"Nhãn")</f>
        <v>Nhãn</v>
      </c>
      <c r="C3009" s="87" t="str">
        <f>IFERROR(__xludf.DUMMYFUNCTION("""COMPUTED_VALUE"""),"NTN2332")</f>
        <v>NTN2332</v>
      </c>
      <c r="D3009" s="87" t="str">
        <f>IFERROR(__xludf.DUMMYFUNCTION("""COMPUTED_VALUE"""),"[Nhãn] GC - IV - 2332 - THÀNH CÔNG AGRI - MASTER PHYTOP (Bột xanh) - 250gr - 60")</f>
        <v>[Nhãn] GC - IV - 2332 - THÀNH CÔNG AGRI - MASTER PHYTOP (Bột xanh) - 250gr - 60</v>
      </c>
      <c r="E3009" s="87" t="str">
        <f>IFERROR(__xludf.DUMMYFUNCTION("""COMPUTED_VALUE"""),"FORTAZEB 72WP")</f>
        <v>FORTAZEB 72WP</v>
      </c>
      <c r="F3009" s="87" t="str">
        <f>IFERROR(__xludf.DUMMYFUNCTION("""COMPUTED_VALUE"""),"HH2332")</f>
        <v>HH2332</v>
      </c>
      <c r="G3009" s="87" t="str">
        <f>IFERROR(__xludf.DUMMYFUNCTION("""COMPUTED_VALUE"""),"GC - IV - 2332 - THÀNH CÔNG AGRI - MASTER PHYTOP (Bột xanh) - 250gr - 60")</f>
        <v>GC - IV - 2332 - THÀNH CÔNG AGRI - MASTER PHYTOP (Bột xanh) - 250gr - 60</v>
      </c>
    </row>
    <row r="3010">
      <c r="A3010" s="86">
        <f>IFERROR(__xludf.DUMMYFUNCTION("""COMPUTED_VALUE"""),3008.0)</f>
        <v>3008</v>
      </c>
      <c r="B3010" s="87" t="str">
        <f>IFERROR(__xludf.DUMMYFUNCTION("""COMPUTED_VALUE"""),"Nhãn thùng")</f>
        <v>Nhãn thùng</v>
      </c>
      <c r="C3010" s="87" t="str">
        <f>IFERROR(__xludf.DUMMYFUNCTION("""COMPUTED_VALUE"""),"NDT2332")</f>
        <v>NDT2332</v>
      </c>
      <c r="D3010" s="87" t="str">
        <f>IFERROR(__xludf.DUMMYFUNCTION("""COMPUTED_VALUE"""),"[Nhãn thùng] GC - IV - 2332 - THÀNH CÔNG AGRI - MASTER PHYTOP (Bột xanh) - 250gr - 60")</f>
        <v>[Nhãn thùng] GC - IV - 2332 - THÀNH CÔNG AGRI - MASTER PHYTOP (Bột xanh) - 250gr - 60</v>
      </c>
      <c r="E3010" s="87" t="str">
        <f>IFERROR(__xludf.DUMMYFUNCTION("""COMPUTED_VALUE"""),"FORTAZEB 72WP")</f>
        <v>FORTAZEB 72WP</v>
      </c>
      <c r="F3010" s="87" t="str">
        <f>IFERROR(__xludf.DUMMYFUNCTION("""COMPUTED_VALUE"""),"HH2332")</f>
        <v>HH2332</v>
      </c>
      <c r="G3010" s="87" t="str">
        <f>IFERROR(__xludf.DUMMYFUNCTION("""COMPUTED_VALUE"""),"GC - IV - 2332 - THÀNH CÔNG AGRI - MASTER PHYTOP (Bột xanh) - 250gr - 60")</f>
        <v>GC - IV - 2332 - THÀNH CÔNG AGRI - MASTER PHYTOP (Bột xanh) - 250gr - 60</v>
      </c>
    </row>
    <row r="3011">
      <c r="A3011" s="86">
        <f>IFERROR(__xludf.DUMMYFUNCTION("""COMPUTED_VALUE"""),3009.0)</f>
        <v>3009</v>
      </c>
      <c r="B3011" s="87" t="str">
        <f>IFERROR(__xludf.DUMMYFUNCTION("""COMPUTED_VALUE"""),"Nhãn")</f>
        <v>Nhãn</v>
      </c>
      <c r="C3011" s="87" t="str">
        <f>IFERROR(__xludf.DUMMYFUNCTION("""COMPUTED_VALUE"""),"NHG2334")</f>
        <v>NHG2334</v>
      </c>
      <c r="D3011" s="87" t="str">
        <f>IFERROR(__xludf.DUMMYFUNCTION("""COMPUTED_VALUE"""),"[Nhãn] GC - IV - 2334 - THÀNH CÔNG AGRI - MASTER FRESH (Nước nâu đen) - 500ml - 30")</f>
        <v>[Nhãn] GC - IV - 2334 - THÀNH CÔNG AGRI - MASTER FRESH (Nước nâu đen) - 500ml - 30</v>
      </c>
      <c r="E3011" s="87" t="str">
        <f>IFERROR(__xludf.DUMMYFUNCTION("""COMPUTED_VALUE"""),"Hữu cơ SH Agro Organic Fertilizer 20")</f>
        <v>Hữu cơ SH Agro Organic Fertilizer 20</v>
      </c>
      <c r="F3011" s="87" t="str">
        <f>IFERROR(__xludf.DUMMYFUNCTION("""COMPUTED_VALUE"""),"HH2334")</f>
        <v>HH2334</v>
      </c>
      <c r="G3011" s="87" t="str">
        <f>IFERROR(__xludf.DUMMYFUNCTION("""COMPUTED_VALUE"""),"GC - IV - 2334 - THÀNH CÔNG AGRI - MASTER FRESH (Nước nâu đen) - 500ml - 30")</f>
        <v>GC - IV - 2334 - THÀNH CÔNG AGRI - MASTER FRESH (Nước nâu đen) - 500ml - 30</v>
      </c>
    </row>
    <row r="3012">
      <c r="A3012" s="86">
        <f>IFERROR(__xludf.DUMMYFUNCTION("""COMPUTED_VALUE"""),3010.0)</f>
        <v>3010</v>
      </c>
      <c r="B3012" s="87" t="str">
        <f>IFERROR(__xludf.DUMMYFUNCTION("""COMPUTED_VALUE"""),"Nhãn")</f>
        <v>Nhãn</v>
      </c>
      <c r="C3012" s="87" t="str">
        <f>IFERROR(__xludf.DUMMYFUNCTION("""COMPUTED_VALUE"""),"NHG2335")</f>
        <v>NHG2335</v>
      </c>
      <c r="D3012" s="87" t="str">
        <f>IFERROR(__xludf.DUMMYFUNCTION("""COMPUTED_VALUE"""),"[Nhãn] GC - IV - 2335 - THÀNH CÔNG AGRI - MASTER BUD (Nước nâu đen) - 500ml - 30")</f>
        <v>[Nhãn] GC - IV - 2335 - THÀNH CÔNG AGRI - MASTER BUD (Nước nâu đen) - 500ml - 30</v>
      </c>
      <c r="E3012" s="87" t="str">
        <f>IFERROR(__xludf.DUMMYFUNCTION("""COMPUTED_VALUE"""),"Hữu cơ SH Agro Organic Fertilizer 20")</f>
        <v>Hữu cơ SH Agro Organic Fertilizer 20</v>
      </c>
      <c r="F3012" s="87" t="str">
        <f>IFERROR(__xludf.DUMMYFUNCTION("""COMPUTED_VALUE"""),"HH2335")</f>
        <v>HH2335</v>
      </c>
      <c r="G3012" s="87" t="str">
        <f>IFERROR(__xludf.DUMMYFUNCTION("""COMPUTED_VALUE"""),"GC - IV - 2335 - THÀNH CÔNG AGRI - MASTER BUD (Nước nâu đen) - 500ml - 30")</f>
        <v>GC - IV - 2335 - THÀNH CÔNG AGRI - MASTER BUD (Nước nâu đen) - 500ml - 30</v>
      </c>
    </row>
    <row r="3013">
      <c r="A3013" s="86">
        <f>IFERROR(__xludf.DUMMYFUNCTION("""COMPUTED_VALUE"""),3011.0)</f>
        <v>3011</v>
      </c>
      <c r="B3013" s="87" t="str">
        <f>IFERROR(__xludf.DUMMYFUNCTION("""COMPUTED_VALUE"""),"Nhãn")</f>
        <v>Nhãn</v>
      </c>
      <c r="C3013" s="87" t="str">
        <f>IFERROR(__xludf.DUMMYFUNCTION("""COMPUTED_VALUE"""),"NHG2337")</f>
        <v>NHG2337</v>
      </c>
      <c r="D3013" s="87" t="str">
        <f>IFERROR(__xludf.DUMMYFUNCTION("""COMPUTED_VALUE"""),"[Nhãn] IDA Global - I - 2337 - CỨNG CÂY 304 (Nước nâu đen) - 500ml - 40")</f>
        <v>[Nhãn] IDA Global - I - 2337 - CỨNG CÂY 304 (Nước nâu đen) - 500ml - 40</v>
      </c>
      <c r="E3013" s="87" t="str">
        <f>IFERROR(__xludf.DUMMYFUNCTION("""COMPUTED_VALUE"""),"Hữu cơ SH Agro Organic Fertilizer 20")</f>
        <v>Hữu cơ SH Agro Organic Fertilizer 20</v>
      </c>
      <c r="F3013" s="87" t="str">
        <f>IFERROR(__xludf.DUMMYFUNCTION("""COMPUTED_VALUE"""),"HH2337")</f>
        <v>HH2337</v>
      </c>
      <c r="G3013" s="87" t="str">
        <f>IFERROR(__xludf.DUMMYFUNCTION("""COMPUTED_VALUE"""),"IDA Global - I - 2337 - CỨNG CÂY 304 (Nước nâu đen) - 500ml - 40")</f>
        <v>IDA Global - I - 2337 - CỨNG CÂY 304 (Nước nâu đen) - 500ml - 40</v>
      </c>
    </row>
    <row r="3014">
      <c r="A3014" s="86">
        <f>IFERROR(__xludf.DUMMYFUNCTION("""COMPUTED_VALUE"""),3012.0)</f>
        <v>3012</v>
      </c>
      <c r="B3014" s="87" t="str">
        <f>IFERROR(__xludf.DUMMYFUNCTION("""COMPUTED_VALUE"""),"Nhãn")</f>
        <v>Nhãn</v>
      </c>
      <c r="C3014" s="87" t="str">
        <f>IFERROR(__xludf.DUMMYFUNCTION("""COMPUTED_VALUE"""),"NHG2338")</f>
        <v>NHG2338</v>
      </c>
      <c r="D3014" s="87" t="str">
        <f>IFERROR(__xludf.DUMMYFUNCTION("""COMPUTED_VALUE"""),"[Nhãn] GC - IV - 2338 - Bellormar - Genol 1.2SL (nước đỏ) - 450ml - 40")</f>
        <v>[Nhãn] GC - IV - 2338 - Bellormar - Genol 1.2SL (nước đỏ) - 450ml - 40</v>
      </c>
      <c r="E3014" s="87" t="str">
        <f>IFERROR(__xludf.DUMMYFUNCTION("""COMPUTED_VALUE"""),"GENOL 1.2SL")</f>
        <v>GENOL 1.2SL</v>
      </c>
      <c r="F3014" s="87" t="str">
        <f>IFERROR(__xludf.DUMMYFUNCTION("""COMPUTED_VALUE"""),"HH2338")</f>
        <v>HH2338</v>
      </c>
      <c r="G3014" s="87" t="str">
        <f>IFERROR(__xludf.DUMMYFUNCTION("""COMPUTED_VALUE"""),"GC - IV - 2338 - Bellormar - Genol 1.2SL (nước đỏ) - 450ml - 40")</f>
        <v>GC - IV - 2338 - Bellormar - Genol 1.2SL (nước đỏ) - 450ml - 40</v>
      </c>
    </row>
    <row r="3015">
      <c r="A3015" s="86">
        <f>IFERROR(__xludf.DUMMYFUNCTION("""COMPUTED_VALUE"""),3013.0)</f>
        <v>3013</v>
      </c>
      <c r="B3015" s="87" t="str">
        <f>IFERROR(__xludf.DUMMYFUNCTION("""COMPUTED_VALUE"""),"Nhãn")</f>
        <v>Nhãn</v>
      </c>
      <c r="C3015" s="87" t="str">
        <f>IFERROR(__xludf.DUMMYFUNCTION("""COMPUTED_VALUE"""),"NTN2339")</f>
        <v>NTN2339</v>
      </c>
      <c r="D3015" s="87" t="str">
        <f>IFERROR(__xludf.DUMMYFUNCTION("""COMPUTED_VALUE"""),"[Nhãn] GC - IV - 2339 - Cty PGT - MANCOBGO 80WP (Bột xanh) - 1kg - 20")</f>
        <v>[Nhãn] GC - IV - 2339 - Cty PGT - MANCOBGO 80WP (Bột xanh) - 1kg - 20</v>
      </c>
      <c r="E3015" s="87" t="str">
        <f>IFERROR(__xludf.DUMMYFUNCTION("""COMPUTED_VALUE"""),"MANCOBGO 80WP")</f>
        <v>MANCOBGO 80WP</v>
      </c>
      <c r="F3015" s="87" t="str">
        <f>IFERROR(__xludf.DUMMYFUNCTION("""COMPUTED_VALUE"""),"HH2339")</f>
        <v>HH2339</v>
      </c>
      <c r="G3015" s="87" t="str">
        <f>IFERROR(__xludf.DUMMYFUNCTION("""COMPUTED_VALUE"""),"GC - IV - 2339 - Cty PGT - MANCOBGO 80WP (Bột xanh) - 1kg - 20")</f>
        <v>GC - IV - 2339 - Cty PGT - MANCOBGO 80WP (Bột xanh) - 1kg - 20</v>
      </c>
    </row>
    <row r="3016">
      <c r="A3016" s="86">
        <f>IFERROR(__xludf.DUMMYFUNCTION("""COMPUTED_VALUE"""),3014.0)</f>
        <v>3014</v>
      </c>
      <c r="B3016" s="87" t="str">
        <f>IFERROR(__xludf.DUMMYFUNCTION("""COMPUTED_VALUE"""),"Nhãn thùng")</f>
        <v>Nhãn thùng</v>
      </c>
      <c r="C3016" s="87" t="str">
        <f>IFERROR(__xludf.DUMMYFUNCTION("""COMPUTED_VALUE"""),"NDT2339")</f>
        <v>NDT2339</v>
      </c>
      <c r="D3016" s="87" t="str">
        <f>IFERROR(__xludf.DUMMYFUNCTION("""COMPUTED_VALUE"""),"[Nhãn thùng] GC - IV - 2339 - Cty PGT - MANCOBGO 80WP (Bột xanh) - 1kg - 20")</f>
        <v>[Nhãn thùng] GC - IV - 2339 - Cty PGT - MANCOBGO 80WP (Bột xanh) - 1kg - 20</v>
      </c>
      <c r="E3016" s="87" t="str">
        <f>IFERROR(__xludf.DUMMYFUNCTION("""COMPUTED_VALUE"""),"MANCOBGO 80WP")</f>
        <v>MANCOBGO 80WP</v>
      </c>
      <c r="F3016" s="87" t="str">
        <f>IFERROR(__xludf.DUMMYFUNCTION("""COMPUTED_VALUE"""),"HH2339")</f>
        <v>HH2339</v>
      </c>
      <c r="G3016" s="87" t="str">
        <f>IFERROR(__xludf.DUMMYFUNCTION("""COMPUTED_VALUE"""),"GC - IV - 2339 - Cty PGT - MANCOBGO 80WP (Bột xanh) - 1kg - 20")</f>
        <v>GC - IV - 2339 - Cty PGT - MANCOBGO 80WP (Bột xanh) - 1kg - 20</v>
      </c>
    </row>
    <row r="3017">
      <c r="A3017" s="86">
        <f>IFERROR(__xludf.DUMMYFUNCTION("""COMPUTED_VALUE"""),3015.0)</f>
        <v>3015</v>
      </c>
      <c r="B3017" s="87" t="str">
        <f>IFERROR(__xludf.DUMMYFUNCTION("""COMPUTED_VALUE"""),"Nhãn")</f>
        <v>Nhãn</v>
      </c>
      <c r="C3017" s="87" t="str">
        <f>IFERROR(__xludf.DUMMYFUNCTION("""COMPUTED_VALUE"""),"NHG2340")</f>
        <v>NHG2340</v>
      </c>
      <c r="D3017" s="87" t="str">
        <f>IFERROR(__xludf.DUMMYFUNCTION("""COMPUTED_VALUE"""),"[Nhãn] NB - I - 2340 - CTY GOLDDEN FARM - HAIHAMEC 3.6EC (nước nâu đen) - 450ml - 40")</f>
        <v>[Nhãn] NB - I - 2340 - CTY GOLDDEN FARM - HAIHAMEC 3.6EC (nước nâu đen) - 450ml - 40</v>
      </c>
      <c r="E3017" s="87" t="str">
        <f>IFERROR(__xludf.DUMMYFUNCTION("""COMPUTED_VALUE"""),"HAIHAMEC 3.6EC")</f>
        <v>HAIHAMEC 3.6EC</v>
      </c>
      <c r="F3017" s="87" t="str">
        <f>IFERROR(__xludf.DUMMYFUNCTION("""COMPUTED_VALUE"""),"HH2340")</f>
        <v>HH2340</v>
      </c>
      <c r="G3017" s="87" t="str">
        <f>IFERROR(__xludf.DUMMYFUNCTION("""COMPUTED_VALUE"""),"NB - I - 2340 - CTY GOLDDEN FARM - HAIHAMEC 3.6EC (nước nâu đen) - 450ml - 40")</f>
        <v>NB - I - 2340 - CTY GOLDDEN FARM - HAIHAMEC 3.6EC (nước nâu đen) - 450ml - 40</v>
      </c>
    </row>
    <row r="3018">
      <c r="A3018" s="86">
        <f>IFERROR(__xludf.DUMMYFUNCTION("""COMPUTED_VALUE"""),3016.0)</f>
        <v>3016</v>
      </c>
      <c r="B3018" s="87" t="str">
        <f>IFERROR(__xludf.DUMMYFUNCTION("""COMPUTED_VALUE"""),"Nhãn")</f>
        <v>Nhãn</v>
      </c>
      <c r="C3018" s="87" t="str">
        <f>IFERROR(__xludf.DUMMYFUNCTION("""COMPUTED_VALUE"""),"NHG2342")</f>
        <v>NHG2342</v>
      </c>
      <c r="D3018" s="87" t="str">
        <f>IFERROR(__xludf.DUMMYFUNCTION("""COMPUTED_VALUE"""),"[Nhãn] GC - IV - 2342 - Cty Nhất Tiến Nông - Voi Đỏ (nước đỏ) - 900ml - 20")</f>
        <v>[Nhãn] GC - IV - 2342 - Cty Nhất Tiến Nông - Voi Đỏ (nước đỏ) - 900ml - 20</v>
      </c>
      <c r="E3018" s="87" t="str">
        <f>IFERROR(__xludf.DUMMYFUNCTION("""COMPUTED_VALUE"""),"Asupergras 200SL")</f>
        <v>Asupergras 200SL</v>
      </c>
      <c r="F3018" s="87" t="str">
        <f>IFERROR(__xludf.DUMMYFUNCTION("""COMPUTED_VALUE"""),"HH2342")</f>
        <v>HH2342</v>
      </c>
      <c r="G3018" s="87" t="str">
        <f>IFERROR(__xludf.DUMMYFUNCTION("""COMPUTED_VALUE"""),"GC - IV - 2342 - Cty Nhất Tiến Nông - Voi Đỏ (nước đỏ) - 900ml - 20")</f>
        <v>GC - IV - 2342 - Cty Nhất Tiến Nông - Voi Đỏ (nước đỏ) - 900ml - 20</v>
      </c>
    </row>
    <row r="3019">
      <c r="A3019" s="86">
        <f>IFERROR(__xludf.DUMMYFUNCTION("""COMPUTED_VALUE"""),3017.0)</f>
        <v>3017</v>
      </c>
      <c r="B3019" s="87" t="str">
        <f>IFERROR(__xludf.DUMMYFUNCTION("""COMPUTED_VALUE"""),"Nhãn")</f>
        <v>Nhãn</v>
      </c>
      <c r="C3019" s="87" t="str">
        <f>IFERROR(__xludf.DUMMYFUNCTION("""COMPUTED_VALUE"""),"NHG2343")</f>
        <v>NHG2343</v>
      </c>
      <c r="D3019" s="87" t="str">
        <f>IFERROR(__xludf.DUMMYFUNCTION("""COMPUTED_VALUE"""),"[Nhãn] GC - IV - 2343 - GOLDFIELD - MAX DEEP (nước vàng) - 120ml - 90")</f>
        <v>[Nhãn] GC - IV - 2343 - GOLDFIELD - MAX DEEP (nước vàng) - 120ml - 90</v>
      </c>
      <c r="E3019" s="87" t="str">
        <f>IFERROR(__xludf.DUMMYFUNCTION("""COMPUTED_VALUE"""),"Vi lượng Quantity New")</f>
        <v>Vi lượng Quantity New</v>
      </c>
      <c r="F3019" s="87" t="str">
        <f>IFERROR(__xludf.DUMMYFUNCTION("""COMPUTED_VALUE"""),"HH2343")</f>
        <v>HH2343</v>
      </c>
      <c r="G3019" s="87" t="str">
        <f>IFERROR(__xludf.DUMMYFUNCTION("""COMPUTED_VALUE"""),"GC - IV - 2343 - GOLDFIELD - MAX DEEP (nước vàng) - 120ml - 90")</f>
        <v>GC - IV - 2343 - GOLDFIELD - MAX DEEP (nước vàng) - 120ml - 90</v>
      </c>
    </row>
    <row r="3020">
      <c r="A3020" s="86">
        <f>IFERROR(__xludf.DUMMYFUNCTION("""COMPUTED_VALUE"""),3018.0)</f>
        <v>3018</v>
      </c>
      <c r="B3020" s="87" t="str">
        <f>IFERROR(__xludf.DUMMYFUNCTION("""COMPUTED_VALUE"""),"Nhãn thùng")</f>
        <v>Nhãn thùng</v>
      </c>
      <c r="C3020" s="87" t="str">
        <f>IFERROR(__xludf.DUMMYFUNCTION("""COMPUTED_VALUE"""),"NDT2343")</f>
        <v>NDT2343</v>
      </c>
      <c r="D3020" s="87" t="str">
        <f>IFERROR(__xludf.DUMMYFUNCTION("""COMPUTED_VALUE"""),"[Nhãn thùng] GC - IV - 2343 - GOLDFIELD - MAX DEEP (nước vàng) - 120ml - 90")</f>
        <v>[Nhãn thùng] GC - IV - 2343 - GOLDFIELD - MAX DEEP (nước vàng) - 120ml - 90</v>
      </c>
      <c r="E3020" s="87" t="str">
        <f>IFERROR(__xludf.DUMMYFUNCTION("""COMPUTED_VALUE"""),"Vi lượng Quantity New")</f>
        <v>Vi lượng Quantity New</v>
      </c>
      <c r="F3020" s="87" t="str">
        <f>IFERROR(__xludf.DUMMYFUNCTION("""COMPUTED_VALUE"""),"HH2343")</f>
        <v>HH2343</v>
      </c>
      <c r="G3020" s="87" t="str">
        <f>IFERROR(__xludf.DUMMYFUNCTION("""COMPUTED_VALUE"""),"GC - IV - 2343 - GOLDFIELD - MAX DEEP (nước vàng) - 120ml - 90")</f>
        <v>GC - IV - 2343 - GOLDFIELD - MAX DEEP (nước vàng) - 120ml - 90</v>
      </c>
    </row>
    <row r="3021">
      <c r="A3021" s="86">
        <f>IFERROR(__xludf.DUMMYFUNCTION("""COMPUTED_VALUE"""),3019.0)</f>
        <v>3019</v>
      </c>
      <c r="B3021" s="87" t="str">
        <f>IFERROR(__xludf.DUMMYFUNCTION("""COMPUTED_VALUE"""),"Nhãn")</f>
        <v>Nhãn</v>
      </c>
      <c r="C3021" s="87" t="str">
        <f>IFERROR(__xludf.DUMMYFUNCTION("""COMPUTED_VALUE"""),"NHG2344")</f>
        <v>NHG2344</v>
      </c>
      <c r="D3021" s="87" t="str">
        <f>IFERROR(__xludf.DUMMYFUNCTION("""COMPUTED_VALUE"""),"[Nhãn] GC - IV - 2344 - CTY SRILANKA - CHÁY NHANH - LƯU DẪN (nước đỏ) - 900ml - 20")</f>
        <v>[Nhãn] GC - IV - 2344 - CTY SRILANKA - CHÁY NHANH - LƯU DẪN (nước đỏ) - 900ml - 20</v>
      </c>
      <c r="E3021" s="87" t="str">
        <f>IFERROR(__xludf.DUMMYFUNCTION("""COMPUTED_VALUE"""),"Asupergras 200SL")</f>
        <v>Asupergras 200SL</v>
      </c>
      <c r="F3021" s="87" t="str">
        <f>IFERROR(__xludf.DUMMYFUNCTION("""COMPUTED_VALUE"""),"HH2344")</f>
        <v>HH2344</v>
      </c>
      <c r="G3021" s="87" t="str">
        <f>IFERROR(__xludf.DUMMYFUNCTION("""COMPUTED_VALUE"""),"GC - IV - 2344 - CTY SRILANKA - CHÁY NHANH - LƯU DẪN (nước đỏ) - 900ml - 20")</f>
        <v>GC - IV - 2344 - CTY SRILANKA - CHÁY NHANH - LƯU DẪN (nước đỏ) - 900ml - 20</v>
      </c>
    </row>
    <row r="3022">
      <c r="A3022" s="86">
        <f>IFERROR(__xludf.DUMMYFUNCTION("""COMPUTED_VALUE"""),3020.0)</f>
        <v>3020</v>
      </c>
      <c r="B3022" s="87" t="str">
        <f>IFERROR(__xludf.DUMMYFUNCTION("""COMPUTED_VALUE"""),"Nhãn")</f>
        <v>Nhãn</v>
      </c>
      <c r="C3022" s="87" t="str">
        <f>IFERROR(__xludf.DUMMYFUNCTION("""COMPUTED_VALUE"""),"NHG2345")</f>
        <v>NHG2345</v>
      </c>
      <c r="D3022" s="87" t="str">
        <f>IFERROR(__xludf.DUMMYFUNCTION("""COMPUTED_VALUE"""),"[Nhãn] GC - IV - 2345 - Cty Hương Nông - HN-pH++ (Nước nâu đen) - 1L - 20")</f>
        <v>[Nhãn] GC - IV - 2345 - Cty Hương Nông - HN-pH++ (Nước nâu đen) - 1L - 20</v>
      </c>
      <c r="E3022" s="87" t="str">
        <f>IFERROR(__xludf.DUMMYFUNCTION("""COMPUTED_VALUE"""),"Hữu cơ SH Agro Organic Fertilizer 20")</f>
        <v>Hữu cơ SH Agro Organic Fertilizer 20</v>
      </c>
      <c r="F3022" s="87" t="str">
        <f>IFERROR(__xludf.DUMMYFUNCTION("""COMPUTED_VALUE"""),"HH2345")</f>
        <v>HH2345</v>
      </c>
      <c r="G3022" s="87" t="str">
        <f>IFERROR(__xludf.DUMMYFUNCTION("""COMPUTED_VALUE"""),"GC - IV - 2345 - Cty Hương Nông - HN-pH++ (Nước nâu đen) - 1L - 20")</f>
        <v>GC - IV - 2345 - Cty Hương Nông - HN-pH++ (Nước nâu đen) - 1L - 20</v>
      </c>
    </row>
    <row r="3023">
      <c r="A3023" s="86">
        <f>IFERROR(__xludf.DUMMYFUNCTION("""COMPUTED_VALUE"""),3021.0)</f>
        <v>3021</v>
      </c>
      <c r="B3023" s="87" t="str">
        <f>IFERROR(__xludf.DUMMYFUNCTION("""COMPUTED_VALUE"""),"Nhãn")</f>
        <v>Nhãn</v>
      </c>
      <c r="C3023" s="87" t="str">
        <f>IFERROR(__xludf.DUMMYFUNCTION("""COMPUTED_VALUE"""),"NHG2346")</f>
        <v>NHG2346</v>
      </c>
      <c r="D3023" s="87" t="str">
        <f>IFERROR(__xludf.DUMMYFUNCTION("""COMPUTED_VALUE"""),"[Nhãn] GC - IV - 2346 - Cty Tiến Vinh - NẤM KHUẨN PLUS (Nước đỏ) - 250ml - 40")</f>
        <v>[Nhãn] GC - IV - 2346 - Cty Tiến Vinh - NẤM KHUẨN PLUS (Nước đỏ) - 250ml - 40</v>
      </c>
      <c r="E3023" s="87" t="str">
        <f>IFERROR(__xludf.DUMMYFUNCTION("""COMPUTED_VALUE"""),"GENOL 1.2SL")</f>
        <v>GENOL 1.2SL</v>
      </c>
      <c r="F3023" s="87" t="str">
        <f>IFERROR(__xludf.DUMMYFUNCTION("""COMPUTED_VALUE"""),"HH2346")</f>
        <v>HH2346</v>
      </c>
      <c r="G3023" s="87" t="str">
        <f>IFERROR(__xludf.DUMMYFUNCTION("""COMPUTED_VALUE"""),"GC - IV - 2346 - Cty Tiến Vinh - NẤM KHUẨN PLUS (Nước đỏ) - 250ml - 40")</f>
        <v>GC - IV - 2346 - Cty Tiến Vinh - NẤM KHUẨN PLUS (Nước đỏ) - 250ml - 40</v>
      </c>
    </row>
    <row r="3024">
      <c r="A3024" s="86">
        <f>IFERROR(__xludf.DUMMYFUNCTION("""COMPUTED_VALUE"""),3022.0)</f>
        <v>3022</v>
      </c>
      <c r="B3024" s="87" t="str">
        <f>IFERROR(__xludf.DUMMYFUNCTION("""COMPUTED_VALUE"""),"Nhãn")</f>
        <v>Nhãn</v>
      </c>
      <c r="C3024" s="87" t="str">
        <f>IFERROR(__xludf.DUMMYFUNCTION("""COMPUTED_VALUE"""),"NTN2349")</f>
        <v>NTN2349</v>
      </c>
      <c r="D3024" s="87" t="str">
        <f>IFERROR(__xludf.DUMMYFUNCTION("""COMPUTED_VALUE"""),"[Nhãn] GC - IV - 2349 - THÀNH CÔNG AGRI - RIZOMAX (Bột xanh) - 100gr - 100")</f>
        <v>[Nhãn] GC - IV - 2349 - THÀNH CÔNG AGRI - RIZOMAX (Bột xanh) - 100gr - 100</v>
      </c>
      <c r="E3024" s="87" t="str">
        <f>IFERROR(__xludf.DUMMYFUNCTION("""COMPUTED_VALUE"""),"FORTAZEB 72WP")</f>
        <v>FORTAZEB 72WP</v>
      </c>
      <c r="F3024" s="87" t="str">
        <f>IFERROR(__xludf.DUMMYFUNCTION("""COMPUTED_VALUE"""),"HH2349")</f>
        <v>HH2349</v>
      </c>
      <c r="G3024" s="87" t="str">
        <f>IFERROR(__xludf.DUMMYFUNCTION("""COMPUTED_VALUE"""),"GC - IV - 2349 - THÀNH CÔNG AGRI - RIZOMAX (Bột xanh) - 100gr - 100")</f>
        <v>GC - IV - 2349 - THÀNH CÔNG AGRI - RIZOMAX (Bột xanh) - 100gr - 100</v>
      </c>
    </row>
    <row r="3025">
      <c r="A3025" s="86">
        <f>IFERROR(__xludf.DUMMYFUNCTION("""COMPUTED_VALUE"""),3023.0)</f>
        <v>3023</v>
      </c>
      <c r="B3025" s="87" t="str">
        <f>IFERROR(__xludf.DUMMYFUNCTION("""COMPUTED_VALUE"""),"Nhãn thùng")</f>
        <v>Nhãn thùng</v>
      </c>
      <c r="C3025" s="87" t="str">
        <f>IFERROR(__xludf.DUMMYFUNCTION("""COMPUTED_VALUE"""),"NDT2349")</f>
        <v>NDT2349</v>
      </c>
      <c r="D3025" s="87" t="str">
        <f>IFERROR(__xludf.DUMMYFUNCTION("""COMPUTED_VALUE"""),"[Nhãn thùng] GC - IV - 2349 - THÀNH CÔNG AGRI - RIZOMAX (Bột xanh) - 100gr - 100")</f>
        <v>[Nhãn thùng] GC - IV - 2349 - THÀNH CÔNG AGRI - RIZOMAX (Bột xanh) - 100gr - 100</v>
      </c>
      <c r="E3025" s="87" t="str">
        <f>IFERROR(__xludf.DUMMYFUNCTION("""COMPUTED_VALUE"""),"FORTAZEB 72WP")</f>
        <v>FORTAZEB 72WP</v>
      </c>
      <c r="F3025" s="87" t="str">
        <f>IFERROR(__xludf.DUMMYFUNCTION("""COMPUTED_VALUE"""),"HH2349")</f>
        <v>HH2349</v>
      </c>
      <c r="G3025" s="87" t="str">
        <f>IFERROR(__xludf.DUMMYFUNCTION("""COMPUTED_VALUE"""),"GC - IV - 2349 - THÀNH CÔNG AGRI - RIZOMAX (Bột xanh) - 100gr - 100")</f>
        <v>GC - IV - 2349 - THÀNH CÔNG AGRI - RIZOMAX (Bột xanh) - 100gr - 100</v>
      </c>
    </row>
    <row r="3026">
      <c r="A3026" s="86">
        <f>IFERROR(__xludf.DUMMYFUNCTION("""COMPUTED_VALUE"""),3024.0)</f>
        <v>3024</v>
      </c>
      <c r="B3026" s="87" t="str">
        <f>IFERROR(__xludf.DUMMYFUNCTION("""COMPUTED_VALUE"""),"Nhãn")</f>
        <v>Nhãn</v>
      </c>
      <c r="C3026" s="87" t="str">
        <f>IFERROR(__xludf.DUMMYFUNCTION("""COMPUTED_VALUE"""),"NHG2350")</f>
        <v>NHG2350</v>
      </c>
      <c r="D3026" s="87" t="str">
        <f>IFERROR(__xludf.DUMMYFUNCTION("""COMPUTED_VALUE"""),"[Nhãn] GC - IV - 2350 - Cty Quang Đăng Agriculture - PROTEIN QĐ PLUS (Nước nâu đen) - 500ml - 30")</f>
        <v>[Nhãn] GC - IV - 2350 - Cty Quang Đăng Agriculture - PROTEIN QĐ PLUS (Nước nâu đen) - 500ml - 30</v>
      </c>
      <c r="E3026" s="87" t="str">
        <f>IFERROR(__xludf.DUMMYFUNCTION("""COMPUTED_VALUE"""),"Hỗn Hợp NP AGAMA-AP")</f>
        <v>Hỗn Hợp NP AGAMA-AP</v>
      </c>
      <c r="F3026" s="87" t="str">
        <f>IFERROR(__xludf.DUMMYFUNCTION("""COMPUTED_VALUE"""),"HH2350")</f>
        <v>HH2350</v>
      </c>
      <c r="G3026" s="87" t="str">
        <f>IFERROR(__xludf.DUMMYFUNCTION("""COMPUTED_VALUE"""),"GC - IV - 2350 - Cty Quang Đăng Agriculture - PROTEIN QĐ PLUS (Nước nâu đen) - 500ml - 30")</f>
        <v>GC - IV - 2350 - Cty Quang Đăng Agriculture - PROTEIN QĐ PLUS (Nước nâu đen) - 500ml - 30</v>
      </c>
    </row>
    <row r="3027">
      <c r="A3027" s="86">
        <f>IFERROR(__xludf.DUMMYFUNCTION("""COMPUTED_VALUE"""),3025.0)</f>
        <v>3025</v>
      </c>
      <c r="B3027" s="87" t="str">
        <f>IFERROR(__xludf.DUMMYFUNCTION("""COMPUTED_VALUE"""),"Nhãn")</f>
        <v>Nhãn</v>
      </c>
      <c r="C3027" s="87" t="str">
        <f>IFERROR(__xludf.DUMMYFUNCTION("""COMPUTED_VALUE"""),"NHG2351")</f>
        <v>NHG2351</v>
      </c>
      <c r="D3027" s="87" t="str">
        <f>IFERROR(__xludf.DUMMYFUNCTION("""COMPUTED_VALUE"""),"[Nhãn] GC - IV - 2351 - CTY ECO - BEST MITE (Nước trắng sữa) - 240ml - 40")</f>
        <v>[Nhãn] GC - IV - 2351 - CTY ECO - BEST MITE (Nước trắng sữa) - 240ml - 40</v>
      </c>
      <c r="E3027" s="87" t="str">
        <f>IFERROR(__xludf.DUMMYFUNCTION("""COMPUTED_VALUE"""),"SPIRO 240SC")</f>
        <v>SPIRO 240SC</v>
      </c>
      <c r="F3027" s="87" t="str">
        <f>IFERROR(__xludf.DUMMYFUNCTION("""COMPUTED_VALUE"""),"HH2351")</f>
        <v>HH2351</v>
      </c>
      <c r="G3027" s="87" t="str">
        <f>IFERROR(__xludf.DUMMYFUNCTION("""COMPUTED_VALUE"""),"GC - IV - 2351 - CTY ECO - BEST MITE (Nước trắng sữa) - 240ml - 40")</f>
        <v>GC - IV - 2351 - CTY ECO - BEST MITE (Nước trắng sữa) - 240ml - 40</v>
      </c>
    </row>
    <row r="3028">
      <c r="A3028" s="86">
        <f>IFERROR(__xludf.DUMMYFUNCTION("""COMPUTED_VALUE"""),3026.0)</f>
        <v>3026</v>
      </c>
      <c r="B3028" s="87" t="str">
        <f>IFERROR(__xludf.DUMMYFUNCTION("""COMPUTED_VALUE"""),"Nhãn")</f>
        <v>Nhãn</v>
      </c>
      <c r="C3028" s="87" t="str">
        <f>IFERROR(__xludf.DUMMYFUNCTION("""COMPUTED_VALUE"""),"NHG2352")</f>
        <v>NHG2352</v>
      </c>
      <c r="D3028" s="87" t="str">
        <f>IFERROR(__xludf.DUMMYFUNCTION("""COMPUTED_VALUE"""),"[Nhãn] NB - I - 2352 - CTY NÔNG NGHIỆP CÒ VÀNG - STORK SUPER 200 (Nước đỏ) - 900ml - 20")</f>
        <v>[Nhãn] NB - I - 2352 - CTY NÔNG NGHIỆP CÒ VÀNG - STORK SUPER 200 (Nước đỏ) - 900ml - 20</v>
      </c>
      <c r="E3028" s="87" t="str">
        <f>IFERROR(__xludf.DUMMYFUNCTION("""COMPUTED_VALUE"""),"Asupergras 200SL")</f>
        <v>Asupergras 200SL</v>
      </c>
      <c r="F3028" s="87" t="str">
        <f>IFERROR(__xludf.DUMMYFUNCTION("""COMPUTED_VALUE"""),"HH2352")</f>
        <v>HH2352</v>
      </c>
      <c r="G3028" s="87" t="str">
        <f>IFERROR(__xludf.DUMMYFUNCTION("""COMPUTED_VALUE"""),"NB - I - 2352 - CTY NÔNG NGHIỆP CÒ VÀNG - STORK SUPER 200 (Nước đỏ) - 900ml - 20")</f>
        <v>NB - I - 2352 - CTY NÔNG NGHIỆP CÒ VÀNG - STORK SUPER 200 (Nước đỏ) - 900ml - 20</v>
      </c>
    </row>
    <row r="3029">
      <c r="A3029" s="86">
        <f>IFERROR(__xludf.DUMMYFUNCTION("""COMPUTED_VALUE"""),3027.0)</f>
        <v>3027</v>
      </c>
      <c r="B3029" s="87" t="str">
        <f>IFERROR(__xludf.DUMMYFUNCTION("""COMPUTED_VALUE"""),"Nhãn")</f>
        <v>Nhãn</v>
      </c>
      <c r="C3029" s="87" t="str">
        <f>IFERROR(__xludf.DUMMYFUNCTION("""COMPUTED_VALUE"""),"NHD2353")</f>
        <v>NHD2353</v>
      </c>
      <c r="D3029" s="87" t="str">
        <f>IFERROR(__xludf.DUMMYFUNCTION("""COMPUTED_VALUE"""),"[Nhãn] NB - I - 2353 - CTY NÔNG NGHIỆP CÒ VÀNG - STORK SUPER 200 (Nước đỏ) - 4.5L - 4")</f>
        <v>[Nhãn] NB - I - 2353 - CTY NÔNG NGHIỆP CÒ VÀNG - STORK SUPER 200 (Nước đỏ) - 4.5L - 4</v>
      </c>
      <c r="E3029" s="87" t="str">
        <f>IFERROR(__xludf.DUMMYFUNCTION("""COMPUTED_VALUE"""),"Asupergras 200SL")</f>
        <v>Asupergras 200SL</v>
      </c>
      <c r="F3029" s="87" t="str">
        <f>IFERROR(__xludf.DUMMYFUNCTION("""COMPUTED_VALUE"""),"HH2353")</f>
        <v>HH2353</v>
      </c>
      <c r="G3029" s="87" t="str">
        <f>IFERROR(__xludf.DUMMYFUNCTION("""COMPUTED_VALUE"""),"NB - I - 2353 - CTY NÔNG NGHIỆP CÒ VÀNG - STORK SUPER 200 (Nước đỏ) - 4.5L - 4")</f>
        <v>NB - I - 2353 - CTY NÔNG NGHIỆP CÒ VÀNG - STORK SUPER 200 (Nước đỏ) - 4.5L - 4</v>
      </c>
    </row>
    <row r="3030">
      <c r="A3030" s="86">
        <f>IFERROR(__xludf.DUMMYFUNCTION("""COMPUTED_VALUE"""),3028.0)</f>
        <v>3028</v>
      </c>
      <c r="B3030" s="87" t="str">
        <f>IFERROR(__xludf.DUMMYFUNCTION("""COMPUTED_VALUE"""),"Nhãn")</f>
        <v>Nhãn</v>
      </c>
      <c r="C3030" s="87" t="str">
        <f>IFERROR(__xludf.DUMMYFUNCTION("""COMPUTED_VALUE"""),"NHG2354")</f>
        <v>NHG2354</v>
      </c>
      <c r="D3030" s="87" t="str">
        <f>IFERROR(__xludf.DUMMYFUNCTION("""COMPUTED_VALUE"""),"[Nhãn] GC - IV - 2354 - THÀNH CÔNG AGRI - MT STOP (Nước nâu đen) - 1L - 20")</f>
        <v>[Nhãn] GC - IV - 2354 - THÀNH CÔNG AGRI - MT STOP (Nước nâu đen) - 1L - 20</v>
      </c>
      <c r="E3030" s="87"/>
      <c r="F3030" s="87"/>
      <c r="G3030" s="87"/>
    </row>
    <row r="3031">
      <c r="A3031" s="86">
        <f>IFERROR(__xludf.DUMMYFUNCTION("""COMPUTED_VALUE"""),3029.0)</f>
        <v>3029</v>
      </c>
      <c r="B3031" s="87" t="str">
        <f>IFERROR(__xludf.DUMMYFUNCTION("""COMPUTED_VALUE"""),"ABA")</f>
        <v>ABA</v>
      </c>
      <c r="C3031" s="87" t="str">
        <f>IFERROR(__xludf.DUMMYFUNCTION("""COMPUTED_VALUE"""),"240ml")</f>
        <v>240ml</v>
      </c>
      <c r="D3031" s="87" t="str">
        <f>IFERROR(__xludf.DUMMYFUNCTION("""COMPUTED_VALUE"""),"40")</f>
        <v>40</v>
      </c>
      <c r="E3031" s="87" t="str">
        <f>IFERROR(__xludf.DUMMYFUNCTION("""COMPUTED_VALUE"""),"Nhãn giấy cán bóng")</f>
        <v>Nhãn giấy cán bóng</v>
      </c>
      <c r="F3031" s="87" t="str">
        <f>IFERROR(__xludf.DUMMYFUNCTION("""COMPUTED_VALUE"""),"Cái")</f>
        <v>Cái</v>
      </c>
      <c r="G3031" s="87"/>
    </row>
    <row r="3032">
      <c r="A3032" s="86">
        <f>IFERROR(__xludf.DUMMYFUNCTION("""COMPUTED_VALUE"""),3030.0)</f>
        <v>3030</v>
      </c>
      <c r="B3032" s="87" t="str">
        <f>IFERROR(__xludf.DUMMYFUNCTION("""COMPUTED_VALUE"""),"Nhãn")</f>
        <v>Nhãn</v>
      </c>
      <c r="C3032" s="87" t="str">
        <f>IFERROR(__xludf.DUMMYFUNCTION("""COMPUTED_VALUE"""),"NHG2355")</f>
        <v>NHG2355</v>
      </c>
      <c r="D3032" s="87" t="str">
        <f>IFERROR(__xludf.DUMMYFUNCTION("""COMPUTED_VALUE"""),"[Nhãn] GC - IV - 2355 - CTY VIN AG - EXTRA MITE (Nước xanh lá) - 450ml - 40")</f>
        <v>[Nhãn] GC - IV - 2355 - CTY VIN AG - EXTRA MITE (Nước xanh lá) - 450ml - 40</v>
      </c>
      <c r="E3032" s="87" t="str">
        <f>IFERROR(__xludf.DUMMYFUNCTION("""COMPUTED_VALUE"""),"Chitin 3.6EC")</f>
        <v>Chitin 3.6EC</v>
      </c>
      <c r="F3032" s="87" t="str">
        <f>IFERROR(__xludf.DUMMYFUNCTION("""COMPUTED_VALUE"""),"HH2355")</f>
        <v>HH2355</v>
      </c>
      <c r="G3032" s="87" t="str">
        <f>IFERROR(__xludf.DUMMYFUNCTION("""COMPUTED_VALUE"""),"GC - IV - 2355 - CTY VIN AG - EXTRA MITE (Nước xanh lá) - 450ml - 40")</f>
        <v>GC - IV - 2355 - CTY VIN AG - EXTRA MITE (Nước xanh lá) - 450ml - 40</v>
      </c>
    </row>
    <row r="3033">
      <c r="A3033" s="86">
        <f>IFERROR(__xludf.DUMMYFUNCTION("""COMPUTED_VALUE"""),3031.0)</f>
        <v>3031</v>
      </c>
      <c r="B3033" s="87" t="str">
        <f>IFERROR(__xludf.DUMMYFUNCTION("""COMPUTED_VALUE"""),"Nhãn")</f>
        <v>Nhãn</v>
      </c>
      <c r="C3033" s="87" t="str">
        <f>IFERROR(__xludf.DUMMYFUNCTION("""COMPUTED_VALUE"""),"NHG2356")</f>
        <v>NHG2356</v>
      </c>
      <c r="D3033" s="87" t="str">
        <f>IFERROR(__xludf.DUMMYFUNCTION("""COMPUTED_VALUE"""),"[Nhãn] GC - IV - 2356 - CTY VIN AG - EXTRA MITE (Nước xanh lá) - 240ml - 60")</f>
        <v>[Nhãn] GC - IV - 2356 - CTY VIN AG - EXTRA MITE (Nước xanh lá) - 240ml - 60</v>
      </c>
      <c r="E3033" s="87" t="str">
        <f>IFERROR(__xludf.DUMMYFUNCTION("""COMPUTED_VALUE"""),"Chitin 3.6EC")</f>
        <v>Chitin 3.6EC</v>
      </c>
      <c r="F3033" s="87" t="str">
        <f>IFERROR(__xludf.DUMMYFUNCTION("""COMPUTED_VALUE"""),"HH2356")</f>
        <v>HH2356</v>
      </c>
      <c r="G3033" s="87" t="str">
        <f>IFERROR(__xludf.DUMMYFUNCTION("""COMPUTED_VALUE"""),"GC - IV - 2356 - CTY VIN AG - EXTRA MITE (Nước xanh lá) - 240ml - 60")</f>
        <v>GC - IV - 2356 - CTY VIN AG - EXTRA MITE (Nước xanh lá) - 240ml - 60</v>
      </c>
    </row>
    <row r="3034">
      <c r="A3034" s="86">
        <f>IFERROR(__xludf.DUMMYFUNCTION("""COMPUTED_VALUE"""),3032.0)</f>
        <v>3032</v>
      </c>
      <c r="B3034" s="87" t="str">
        <f>IFERROR(__xludf.DUMMYFUNCTION("""COMPUTED_VALUE"""),"Nhãn")</f>
        <v>Nhãn</v>
      </c>
      <c r="C3034" s="87" t="str">
        <f>IFERROR(__xludf.DUMMYFUNCTION("""COMPUTED_VALUE"""),"NHG2357")</f>
        <v>NHG2357</v>
      </c>
      <c r="D3034" s="87" t="str">
        <f>IFERROR(__xludf.DUMMYFUNCTION("""COMPUTED_VALUE"""),"[Nhãn] GC - IV - 2357 - CTY VIN AG - RESA KILL (Nước tím) - 450ml - 40")</f>
        <v>[Nhãn] GC - IV - 2357 - CTY VIN AG - RESA KILL (Nước tím) - 450ml - 40</v>
      </c>
      <c r="E3034" s="87" t="str">
        <f>IFERROR(__xludf.DUMMYFUNCTION("""COMPUTED_VALUE"""),"ABASBA 50EC")</f>
        <v>ABASBA 50EC</v>
      </c>
      <c r="F3034" s="87" t="str">
        <f>IFERROR(__xludf.DUMMYFUNCTION("""COMPUTED_VALUE"""),"HH2357")</f>
        <v>HH2357</v>
      </c>
      <c r="G3034" s="87" t="str">
        <f>IFERROR(__xludf.DUMMYFUNCTION("""COMPUTED_VALUE"""),"GC - IV - 2357 - CTY VIN AG - RESA KILL (Nước tím) - 450ml - 40")</f>
        <v>GC - IV - 2357 - CTY VIN AG - RESA KILL (Nước tím) - 450ml - 40</v>
      </c>
    </row>
    <row r="3035">
      <c r="A3035" s="86">
        <f>IFERROR(__xludf.DUMMYFUNCTION("""COMPUTED_VALUE"""),3033.0)</f>
        <v>3033</v>
      </c>
      <c r="B3035" s="87" t="str">
        <f>IFERROR(__xludf.DUMMYFUNCTION("""COMPUTED_VALUE"""),"Nhãn")</f>
        <v>Nhãn</v>
      </c>
      <c r="C3035" s="87" t="str">
        <f>IFERROR(__xludf.DUMMYFUNCTION("""COMPUTED_VALUE"""),"NHG2358")</f>
        <v>NHG2358</v>
      </c>
      <c r="D3035" s="87" t="str">
        <f>IFERROR(__xludf.DUMMYFUNCTION("""COMPUTED_VALUE"""),"[Nhãn] GC - IV - 2358 - CTY VIN AG - X-KILLER (Nước đỏ) - 240ml - 40")</f>
        <v>[Nhãn] GC - IV - 2358 - CTY VIN AG - X-KILLER (Nước đỏ) - 240ml - 40</v>
      </c>
      <c r="E3035" s="87" t="str">
        <f>IFERROR(__xludf.DUMMYFUNCTION("""COMPUTED_VALUE"""),"CHIM ƯNG 3.8EC")</f>
        <v>CHIM ƯNG 3.8EC</v>
      </c>
      <c r="F3035" s="87" t="str">
        <f>IFERROR(__xludf.DUMMYFUNCTION("""COMPUTED_VALUE"""),"HH2358")</f>
        <v>HH2358</v>
      </c>
      <c r="G3035" s="87" t="str">
        <f>IFERROR(__xludf.DUMMYFUNCTION("""COMPUTED_VALUE"""),"GC - IV - 2358 - CTY VIN AG - X-KILLER (Nước đỏ) - 240ml - 40")</f>
        <v>GC - IV - 2358 - CTY VIN AG - X-KILLER (Nước đỏ) - 240ml - 40</v>
      </c>
    </row>
    <row r="3036">
      <c r="A3036" s="86">
        <f>IFERROR(__xludf.DUMMYFUNCTION("""COMPUTED_VALUE"""),3034.0)</f>
        <v>3034</v>
      </c>
      <c r="B3036" s="87" t="str">
        <f>IFERROR(__xludf.DUMMYFUNCTION("""COMPUTED_VALUE"""),"Nhãn")</f>
        <v>Nhãn</v>
      </c>
      <c r="C3036" s="87" t="str">
        <f>IFERROR(__xludf.DUMMYFUNCTION("""COMPUTED_VALUE"""),"NHG2359")</f>
        <v>NHG2359</v>
      </c>
      <c r="D3036" s="87" t="str">
        <f>IFERROR(__xludf.DUMMYFUNCTION("""COMPUTED_VALUE"""),"[Nhãn] GC - IV - 2359 - CTY VIN AG - EMA-B 2.1 (Nước đỏ) - 450ml - 40")</f>
        <v>[Nhãn] GC - IV - 2359 - CTY VIN AG - EMA-B 2.1 (Nước đỏ) - 450ml - 40</v>
      </c>
      <c r="E3036" s="87" t="str">
        <f>IFERROR(__xludf.DUMMYFUNCTION("""COMPUTED_VALUE"""),"Creek 2.1EC")</f>
        <v>Creek 2.1EC</v>
      </c>
      <c r="F3036" s="87" t="str">
        <f>IFERROR(__xludf.DUMMYFUNCTION("""COMPUTED_VALUE"""),"HH2359")</f>
        <v>HH2359</v>
      </c>
      <c r="G3036" s="87" t="str">
        <f>IFERROR(__xludf.DUMMYFUNCTION("""COMPUTED_VALUE"""),"GC - IV - 2359 - CTY VIN AG - EMA-B 2.1 (Nước đỏ) - 450ml - 40")</f>
        <v>GC - IV - 2359 - CTY VIN AG - EMA-B 2.1 (Nước đỏ) - 450ml - 40</v>
      </c>
    </row>
    <row r="3037">
      <c r="A3037" s="86">
        <f>IFERROR(__xludf.DUMMYFUNCTION("""COMPUTED_VALUE"""),3035.0)</f>
        <v>3035</v>
      </c>
      <c r="B3037" s="87" t="str">
        <f>IFERROR(__xludf.DUMMYFUNCTION("""COMPUTED_VALUE"""),"Nhãn")</f>
        <v>Nhãn</v>
      </c>
      <c r="C3037" s="87" t="str">
        <f>IFERROR(__xludf.DUMMYFUNCTION("""COMPUTED_VALUE"""),"NHG2360")</f>
        <v>NHG2360</v>
      </c>
      <c r="D3037" s="87" t="str">
        <f>IFERROR(__xludf.DUMMYFUNCTION("""COMPUTED_VALUE"""),"[Nhãn] GC - IV - 2360 - CTY VIN AG - FUNBACT-E (Nước đỏ V4) - 250ml - 40")</f>
        <v>[Nhãn] GC - IV - 2360 - CTY VIN AG - FUNBACT-E (Nước đỏ V4) - 250ml - 40</v>
      </c>
      <c r="E3037" s="87" t="str">
        <f>IFERROR(__xludf.DUMMYFUNCTION("""COMPUTED_VALUE"""),"GENOL 1.2SL")</f>
        <v>GENOL 1.2SL</v>
      </c>
      <c r="F3037" s="87" t="str">
        <f>IFERROR(__xludf.DUMMYFUNCTION("""COMPUTED_VALUE"""),"HH2360")</f>
        <v>HH2360</v>
      </c>
      <c r="G3037" s="87" t="str">
        <f>IFERROR(__xludf.DUMMYFUNCTION("""COMPUTED_VALUE"""),"GC - IV - 2360 - CTY VIN AG - FUNBACT-E (Nước đỏ V4) - 250ml - 40")</f>
        <v>GC - IV - 2360 - CTY VIN AG - FUNBACT-E (Nước đỏ V4) - 250ml - 40</v>
      </c>
    </row>
    <row r="3038">
      <c r="A3038" s="86">
        <f>IFERROR(__xludf.DUMMYFUNCTION("""COMPUTED_VALUE"""),3036.0)</f>
        <v>3036</v>
      </c>
      <c r="B3038" s="87" t="str">
        <f>IFERROR(__xludf.DUMMYFUNCTION("""COMPUTED_VALUE"""),"Nhãn")</f>
        <v>Nhãn</v>
      </c>
      <c r="C3038" s="87" t="str">
        <f>IFERROR(__xludf.DUMMYFUNCTION("""COMPUTED_VALUE"""),"NTN2361")</f>
        <v>NTN2361</v>
      </c>
      <c r="D3038" s="87" t="str">
        <f>IFERROR(__xludf.DUMMYFUNCTION("""COMPUTED_VALUE"""),"[Nhãn]  IDA Global - I - 2361 - TOTO-BOOST (Nước xanh dương) - 30ml - 400")</f>
        <v>[Nhãn]  IDA Global - I - 2361 - TOTO-BOOST (Nước xanh dương) - 30ml - 400</v>
      </c>
      <c r="E3038" s="87" t="str">
        <f>IFERROR(__xludf.DUMMYFUNCTION("""COMPUTED_VALUE"""),"NPK-vi lượng BASEL NPK 6-6-8 IDA 33")</f>
        <v>NPK-vi lượng BASEL NPK 6-6-8 IDA 33</v>
      </c>
      <c r="F3038" s="87" t="str">
        <f>IFERROR(__xludf.DUMMYFUNCTION("""COMPUTED_VALUE"""),"HH2361")</f>
        <v>HH2361</v>
      </c>
      <c r="G3038" s="87" t="str">
        <f>IFERROR(__xludf.DUMMYFUNCTION("""COMPUTED_VALUE"""),"IDA Global - I - 2361 - TOTO-BOOST (Nước xanh dương) - 30ml - 400")</f>
        <v>IDA Global - I - 2361 - TOTO-BOOST (Nước xanh dương) - 30ml - 400</v>
      </c>
    </row>
    <row r="3039">
      <c r="A3039" s="86">
        <f>IFERROR(__xludf.DUMMYFUNCTION("""COMPUTED_VALUE"""),3037.0)</f>
        <v>3037</v>
      </c>
      <c r="B3039" s="87" t="str">
        <f>IFERROR(__xludf.DUMMYFUNCTION("""COMPUTED_VALUE"""),"Nhãn thùng")</f>
        <v>Nhãn thùng</v>
      </c>
      <c r="C3039" s="87" t="str">
        <f>IFERROR(__xludf.DUMMYFUNCTION("""COMPUTED_VALUE"""),"NDT2361")</f>
        <v>NDT2361</v>
      </c>
      <c r="D3039" s="87" t="str">
        <f>IFERROR(__xludf.DUMMYFUNCTION("""COMPUTED_VALUE"""),"[Nhãn thùng]  IDA Global - I - 2361 - TOTO-BOOST (Nước xanh dương) - 30ml - 400")</f>
        <v>[Nhãn thùng]  IDA Global - I - 2361 - TOTO-BOOST (Nước xanh dương) - 30ml - 400</v>
      </c>
      <c r="E3039" s="87" t="str">
        <f>IFERROR(__xludf.DUMMYFUNCTION("""COMPUTED_VALUE"""),"NPK-vi lượng BASEL NPK 6-6-8 IDA 33")</f>
        <v>NPK-vi lượng BASEL NPK 6-6-8 IDA 33</v>
      </c>
      <c r="F3039" s="87" t="str">
        <f>IFERROR(__xludf.DUMMYFUNCTION("""COMPUTED_VALUE"""),"HH2361")</f>
        <v>HH2361</v>
      </c>
      <c r="G3039" s="87" t="str">
        <f>IFERROR(__xludf.DUMMYFUNCTION("""COMPUTED_VALUE"""),"IDA Global - I - 2361 - TOTO-BOOST (Nước xanh dương) - 30ml - 400")</f>
        <v>IDA Global - I - 2361 - TOTO-BOOST (Nước xanh dương) - 30ml - 400</v>
      </c>
    </row>
    <row r="3040">
      <c r="A3040" s="86">
        <f>IFERROR(__xludf.DUMMYFUNCTION("""COMPUTED_VALUE"""),3038.0)</f>
        <v>3038</v>
      </c>
      <c r="B3040" s="87" t="str">
        <f>IFERROR(__xludf.DUMMYFUNCTION("""COMPUTED_VALUE"""),"Nhãn")</f>
        <v>Nhãn</v>
      </c>
      <c r="C3040" s="87" t="str">
        <f>IFERROR(__xludf.DUMMYFUNCTION("""COMPUTED_VALUE"""),"NHG2364")</f>
        <v>NHG2364</v>
      </c>
      <c r="D3040" s="87" t="str">
        <f>IFERROR(__xludf.DUMMYFUNCTION("""COMPUTED_VALUE"""),"[Nhãn] LOT IDA Global - I - 2364 - IDA Vil (Xanh Lá)(HD trắng)(nắp xanh)(nước trắng) - 1 Lít - 20")</f>
        <v>[Nhãn] LOT IDA Global - I - 2364 - IDA Vil (Xanh Lá)(HD trắng)(nắp xanh)(nước trắng) - 1 Lít - 20</v>
      </c>
      <c r="E3040" s="87" t="str">
        <f>IFERROR(__xludf.DUMMYFUNCTION("""COMPUTED_VALUE"""),"Mekongvil 5SC")</f>
        <v>Mekongvil 5SC</v>
      </c>
      <c r="F3040" s="87" t="str">
        <f>IFERROR(__xludf.DUMMYFUNCTION("""COMPUTED_VALUE"""),"HH2364")</f>
        <v>HH2364</v>
      </c>
      <c r="G3040" s="87" t="str">
        <f>IFERROR(__xludf.DUMMYFUNCTION("""COMPUTED_VALUE"""),"LOT IDA Global - I - 2364 - IDA Vil (Xanh Lá)(HD trắng)(nắp xanh)(nước trắng) - 1 Lít - 20")</f>
        <v>LOT IDA Global - I - 2364 - IDA Vil (Xanh Lá)(HD trắng)(nắp xanh)(nước trắng) - 1 Lít - 20</v>
      </c>
    </row>
    <row r="3041">
      <c r="A3041" s="86">
        <f>IFERROR(__xludf.DUMMYFUNCTION("""COMPUTED_VALUE"""),3039.0)</f>
        <v>3039</v>
      </c>
      <c r="B3041" s="87" t="str">
        <f>IFERROR(__xludf.DUMMYFUNCTION("""COMPUTED_VALUE"""),"Nhãn")</f>
        <v>Nhãn</v>
      </c>
      <c r="C3041" s="87" t="str">
        <f>IFERROR(__xludf.DUMMYFUNCTION("""COMPUTED_VALUE"""),"NHG2365")</f>
        <v>NHG2365</v>
      </c>
      <c r="D3041" s="87" t="str">
        <f>IFERROR(__xludf.DUMMYFUNCTION("""COMPUTED_VALUE"""),"[Nhãn] LOT IDA Global - I - 2365 - ĐL Lệ Hồng 1 - THẦN HỔ (Pet tròn)(nắp đỏ)(nước nâu đen) - 450ml - 40")</f>
        <v>[Nhãn] LOT IDA Global - I - 2365 - ĐL Lệ Hồng 1 - THẦN HỔ (Pet tròn)(nắp đỏ)(nước nâu đen) - 450ml - 40</v>
      </c>
      <c r="E3041" s="87" t="str">
        <f>IFERROR(__xludf.DUMMYFUNCTION("""COMPUTED_VALUE"""),"Chitin 3.6EC")</f>
        <v>Chitin 3.6EC</v>
      </c>
      <c r="F3041" s="87" t="str">
        <f>IFERROR(__xludf.DUMMYFUNCTION("""COMPUTED_VALUE"""),"HH2365")</f>
        <v>HH2365</v>
      </c>
      <c r="G3041" s="87" t="str">
        <f>IFERROR(__xludf.DUMMYFUNCTION("""COMPUTED_VALUE"""),"LOT IDA Global - I - 2365 - ĐL Lệ Hồng 1 - THẦN HỔ (Pet tròn)(nắp đỏ)(nước nâu đen) - 450ml - 40")</f>
        <v>LOT IDA Global - I - 2365 - ĐL Lệ Hồng 1 - THẦN HỔ (Pet tròn)(nắp đỏ)(nước nâu đen) - 450ml - 40</v>
      </c>
    </row>
    <row r="3042">
      <c r="A3042" s="86">
        <f>IFERROR(__xludf.DUMMYFUNCTION("""COMPUTED_VALUE"""),3040.0)</f>
        <v>3040</v>
      </c>
      <c r="B3042" s="87" t="str">
        <f>IFERROR(__xludf.DUMMYFUNCTION("""COMPUTED_VALUE"""),"Nhãn")</f>
        <v>Nhãn</v>
      </c>
      <c r="C3042" s="87" t="str">
        <f>IFERROR(__xludf.DUMMYFUNCTION("""COMPUTED_VALUE"""),"NHD2368")</f>
        <v>NHD2368</v>
      </c>
      <c r="D3042" s="87" t="str">
        <f>IFERROR(__xludf.DUMMYFUNCTION("""COMPUTED_VALUE"""),"[Nhãn] LOT IDA Global - I - 2368 - ĐL Phúc Nông - Thần Hổ (Nước nâu đen) - 100ml - 100")</f>
        <v>[Nhãn] LOT IDA Global - I - 2368 - ĐL Phúc Nông - Thần Hổ (Nước nâu đen) - 100ml - 100</v>
      </c>
      <c r="E3042" s="87" t="str">
        <f>IFERROR(__xludf.DUMMYFUNCTION("""COMPUTED_VALUE"""),"HAIHAMEC 3.6EC")</f>
        <v>HAIHAMEC 3.6EC</v>
      </c>
      <c r="F3042" s="87" t="str">
        <f>IFERROR(__xludf.DUMMYFUNCTION("""COMPUTED_VALUE"""),"HH2368")</f>
        <v>HH2368</v>
      </c>
      <c r="G3042" s="87" t="str">
        <f>IFERROR(__xludf.DUMMYFUNCTION("""COMPUTED_VALUE"""),"LOT IDA Global - I - 2368 - ĐL Phúc Nông - Thần Hổ (Nước nâu đen) - 100ml - 100")</f>
        <v>LOT IDA Global - I - 2368 - ĐL Phúc Nông - Thần Hổ (Nước nâu đen) - 100ml - 100</v>
      </c>
    </row>
    <row r="3043">
      <c r="A3043" s="86">
        <f>IFERROR(__xludf.DUMMYFUNCTION("""COMPUTED_VALUE"""),3041.0)</f>
        <v>3041</v>
      </c>
      <c r="B3043" s="87" t="str">
        <f>IFERROR(__xludf.DUMMYFUNCTION("""COMPUTED_VALUE"""),"Nhãn thùng")</f>
        <v>Nhãn thùng</v>
      </c>
      <c r="C3043" s="87" t="str">
        <f>IFERROR(__xludf.DUMMYFUNCTION("""COMPUTED_VALUE"""),"NDT2368")</f>
        <v>NDT2368</v>
      </c>
      <c r="D3043" s="87" t="str">
        <f>IFERROR(__xludf.DUMMYFUNCTION("""COMPUTED_VALUE"""),"[Nhãn thùng] LOT IDA Global - I - 2368 - ĐL Phúc Nông - Thần Hổ (Nước nâu đen) - 100ml - 100")</f>
        <v>[Nhãn thùng] LOT IDA Global - I - 2368 - ĐL Phúc Nông - Thần Hổ (Nước nâu đen) - 100ml - 100</v>
      </c>
      <c r="E3043" s="87" t="str">
        <f>IFERROR(__xludf.DUMMYFUNCTION("""COMPUTED_VALUE"""),"HAIHAMEC 3.6EC")</f>
        <v>HAIHAMEC 3.6EC</v>
      </c>
      <c r="F3043" s="87" t="str">
        <f>IFERROR(__xludf.DUMMYFUNCTION("""COMPUTED_VALUE"""),"HH2368")</f>
        <v>HH2368</v>
      </c>
      <c r="G3043" s="87" t="str">
        <f>IFERROR(__xludf.DUMMYFUNCTION("""COMPUTED_VALUE"""),"LOT IDA Global - I - 2368 - ĐL Phúc Nông - Thần Hổ (Nước nâu đen) - 100ml - 100")</f>
        <v>LOT IDA Global - I - 2368 - ĐL Phúc Nông - Thần Hổ (Nước nâu đen) - 100ml - 100</v>
      </c>
    </row>
    <row r="3044">
      <c r="A3044" s="86">
        <f>IFERROR(__xludf.DUMMYFUNCTION("""COMPUTED_VALUE"""),3042.0)</f>
        <v>3042</v>
      </c>
      <c r="B3044" s="87" t="str">
        <f>IFERROR(__xludf.DUMMYFUNCTION("""COMPUTED_VALUE"""),"Nhãn")</f>
        <v>Nhãn</v>
      </c>
      <c r="C3044" s="87" t="str">
        <f>IFERROR(__xludf.DUMMYFUNCTION("""COMPUTED_VALUE"""),"NHG2374")</f>
        <v>NHG2374</v>
      </c>
      <c r="D3044" s="87" t="str">
        <f>IFERROR(__xludf.DUMMYFUNCTION("""COMPUTED_VALUE"""),"[Nhãn] LOT IDA Global - I - 2374 - ĐL Út Quang - Chim Ưng (Nước nâu đen) - 450ml - 40")</f>
        <v>[Nhãn] LOT IDA Global - I - 2374 - ĐL Út Quang - Chim Ưng (Nước nâu đen) - 450ml - 40</v>
      </c>
      <c r="E3044" s="87" t="str">
        <f>IFERROR(__xludf.DUMMYFUNCTION("""COMPUTED_VALUE"""),"HAIHAMEC 3.6EC")</f>
        <v>HAIHAMEC 3.6EC</v>
      </c>
      <c r="F3044" s="87" t="str">
        <f>IFERROR(__xludf.DUMMYFUNCTION("""COMPUTED_VALUE"""),"HH2374")</f>
        <v>HH2374</v>
      </c>
      <c r="G3044" s="87" t="str">
        <f>IFERROR(__xludf.DUMMYFUNCTION("""COMPUTED_VALUE"""),"LOT IDA Global - I - 2374 - ĐL Út Quang - Chim Ưng (Nước nâu đen) - 450ml - 40")</f>
        <v>LOT IDA Global - I - 2374 - ĐL Út Quang - Chim Ưng (Nước nâu đen) - 450ml - 40</v>
      </c>
    </row>
    <row r="3045">
      <c r="A3045" s="86">
        <f>IFERROR(__xludf.DUMMYFUNCTION("""COMPUTED_VALUE"""),3043.0)</f>
        <v>3043</v>
      </c>
      <c r="B3045" s="87" t="str">
        <f>IFERROR(__xludf.DUMMYFUNCTION("""COMPUTED_VALUE"""),"Nhãn")</f>
        <v>Nhãn</v>
      </c>
      <c r="C3045" s="87" t="str">
        <f>IFERROR(__xludf.DUMMYFUNCTION("""COMPUTED_VALUE"""),"NHD2377")</f>
        <v>NHD2377</v>
      </c>
      <c r="D3045" s="87" t="str">
        <f>IFERROR(__xludf.DUMMYFUNCTION("""COMPUTED_VALUE"""),"[Nhãn] LOT IDA Global - I - 2377 - ĐL Trịnh Thến - Sư Tử Gold (Nước nâu đen) - 450ml - 40")</f>
        <v>[Nhãn] LOT IDA Global - I - 2377 - ĐL Trịnh Thến - Sư Tử Gold (Nước nâu đen) - 450ml - 40</v>
      </c>
      <c r="E3045" s="87" t="str">
        <f>IFERROR(__xludf.DUMMYFUNCTION("""COMPUTED_VALUE"""),"Chitin 3.6EC")</f>
        <v>Chitin 3.6EC</v>
      </c>
      <c r="F3045" s="87" t="str">
        <f>IFERROR(__xludf.DUMMYFUNCTION("""COMPUTED_VALUE"""),"HH2377")</f>
        <v>HH2377</v>
      </c>
      <c r="G3045" s="87" t="str">
        <f>IFERROR(__xludf.DUMMYFUNCTION("""COMPUTED_VALUE"""),"LOT IDA Global - I - 2377 - ĐL Trịnh Thến - Sư Tử Gold (Nước nâu đen) - 450ml - 40")</f>
        <v>LOT IDA Global - I - 2377 - ĐL Trịnh Thến - Sư Tử Gold (Nước nâu đen) - 450ml - 40</v>
      </c>
    </row>
    <row r="3046">
      <c r="A3046" s="86">
        <f>IFERROR(__xludf.DUMMYFUNCTION("""COMPUTED_VALUE"""),3044.0)</f>
        <v>3044</v>
      </c>
      <c r="B3046" s="87" t="str">
        <f>IFERROR(__xludf.DUMMYFUNCTION("""COMPUTED_VALUE"""),"Nhãn thùng")</f>
        <v>Nhãn thùng</v>
      </c>
      <c r="C3046" s="87" t="str">
        <f>IFERROR(__xludf.DUMMYFUNCTION("""COMPUTED_VALUE"""),"NDT2379")</f>
        <v>NDT2379</v>
      </c>
      <c r="D3046" s="87" t="str">
        <f>IFERROR(__xludf.DUMMYFUNCTION("""COMPUTED_VALUE"""),"#N/A")</f>
        <v>#N/A</v>
      </c>
      <c r="E3046" s="87"/>
      <c r="F3046" s="87" t="str">
        <f>IFERROR(__xludf.DUMMYFUNCTION("""COMPUTED_VALUE"""),"HH2379")</f>
        <v>HH2379</v>
      </c>
      <c r="G3046" s="87"/>
    </row>
    <row r="3047">
      <c r="A3047" s="86">
        <f>IFERROR(__xludf.DUMMYFUNCTION("""COMPUTED_VALUE"""),3045.0)</f>
        <v>3045</v>
      </c>
      <c r="B3047" s="87" t="str">
        <f>IFERROR(__xludf.DUMMYFUNCTION("""COMPUTED_VALUE"""),"Nhãn")</f>
        <v>Nhãn</v>
      </c>
      <c r="C3047" s="87" t="str">
        <f>IFERROR(__xludf.DUMMYFUNCTION("""COMPUTED_VALUE"""),"NHG2382")</f>
        <v>NHG2382</v>
      </c>
      <c r="D3047" s="87" t="str">
        <f>IFERROR(__xludf.DUMMYFUNCTION("""COMPUTED_VALUE"""),"[Nhãn] LOT IDA Global - I - 2382 - ĐL Tập Hưng - Gà Râu (nước nâu đen) - 450ml - 40")</f>
        <v>[Nhãn] LOT IDA Global - I - 2382 - ĐL Tập Hưng - Gà Râu (nước nâu đen) - 450ml - 40</v>
      </c>
      <c r="E3047" s="87" t="str">
        <f>IFERROR(__xludf.DUMMYFUNCTION("""COMPUTED_VALUE"""),"HAIHAMEC 3.6EC")</f>
        <v>HAIHAMEC 3.6EC</v>
      </c>
      <c r="F3047" s="87" t="str">
        <f>IFERROR(__xludf.DUMMYFUNCTION("""COMPUTED_VALUE"""),"HH2382")</f>
        <v>HH2382</v>
      </c>
      <c r="G3047" s="87" t="str">
        <f>IFERROR(__xludf.DUMMYFUNCTION("""COMPUTED_VALUE"""),"LOT IDA Global - I - 2382 - ĐL Tập Hưng - Gà Râu (nước nâu đen) - 450ml - 40")</f>
        <v>LOT IDA Global - I - 2382 - ĐL Tập Hưng - Gà Râu (nước nâu đen) - 450ml - 40</v>
      </c>
    </row>
    <row r="3048">
      <c r="A3048" s="86">
        <f>IFERROR(__xludf.DUMMYFUNCTION("""COMPUTED_VALUE"""),3046.0)</f>
        <v>3046</v>
      </c>
      <c r="B3048" s="87" t="str">
        <f>IFERROR(__xludf.DUMMYFUNCTION("""COMPUTED_VALUE"""),"Nhãn")</f>
        <v>Nhãn</v>
      </c>
      <c r="C3048" s="87" t="str">
        <f>IFERROR(__xludf.DUMMYFUNCTION("""COMPUTED_VALUE"""),"NHG2383")</f>
        <v>NHG2383</v>
      </c>
      <c r="D3048" s="87" t="str">
        <f>IFERROR(__xludf.DUMMYFUNCTION("""COMPUTED_VALUE"""),"[Nhãn] IDA Global - I - 2383 - ĐL.Thanh Liêm (BL) - Flower Top SC Lúa &amp; Rau màu (nước trắng ngà) - 450ml - 40")</f>
        <v>[Nhãn] IDA Global - I - 2383 - ĐL.Thanh Liêm (BL) - Flower Top SC Lúa &amp; Rau màu (nước trắng ngà) - 450ml - 40</v>
      </c>
      <c r="E3048" s="87" t="str">
        <f>IFERROR(__xludf.DUMMYFUNCTION("""COMPUTED_VALUE"""),"Vi lượng Basel IDA 47")</f>
        <v>Vi lượng Basel IDA 47</v>
      </c>
      <c r="F3048" s="87" t="str">
        <f>IFERROR(__xludf.DUMMYFUNCTION("""COMPUTED_VALUE"""),"HH2383")</f>
        <v>HH2383</v>
      </c>
      <c r="G3048" s="87" t="str">
        <f>IFERROR(__xludf.DUMMYFUNCTION("""COMPUTED_VALUE"""),"IDA Global - I - 2383 - ĐL.Thanh Liêm (BL) - Flower Top SC Lúa &amp; Rau màu (nước trắng ngà) - 450ml - 40")</f>
        <v>IDA Global - I - 2383 - ĐL.Thanh Liêm (BL) - Flower Top SC Lúa &amp; Rau màu (nước trắng ngà) - 450ml - 40</v>
      </c>
    </row>
    <row r="3049">
      <c r="A3049" s="86">
        <f>IFERROR(__xludf.DUMMYFUNCTION("""COMPUTED_VALUE"""),3047.0)</f>
        <v>3047</v>
      </c>
      <c r="B3049" s="87" t="str">
        <f>IFERROR(__xludf.DUMMYFUNCTION("""COMPUTED_VALUE"""),"Nhãn thùng")</f>
        <v>Nhãn thùng</v>
      </c>
      <c r="C3049" s="87" t="str">
        <f>IFERROR(__xludf.DUMMYFUNCTION("""COMPUTED_VALUE"""),"NDT2383")</f>
        <v>NDT2383</v>
      </c>
      <c r="D3049" s="87" t="str">
        <f>IFERROR(__xludf.DUMMYFUNCTION("""COMPUTED_VALUE"""),"[Nhãn thùng] IDA Global - I - 2383 - ĐL.Thanh Liêm (BL) - Flower Top SC Lúa &amp; Rau màu (nước trắng ngà) - 450ml - 40")</f>
        <v>[Nhãn thùng] IDA Global - I - 2383 - ĐL.Thanh Liêm (BL) - Flower Top SC Lúa &amp; Rau màu (nước trắng ngà) - 450ml - 40</v>
      </c>
      <c r="E3049" s="87" t="str">
        <f>IFERROR(__xludf.DUMMYFUNCTION("""COMPUTED_VALUE"""),"Vi lượng Basel IDA 47")</f>
        <v>Vi lượng Basel IDA 47</v>
      </c>
      <c r="F3049" s="87" t="str">
        <f>IFERROR(__xludf.DUMMYFUNCTION("""COMPUTED_VALUE"""),"HH2383")</f>
        <v>HH2383</v>
      </c>
      <c r="G3049" s="87" t="str">
        <f>IFERROR(__xludf.DUMMYFUNCTION("""COMPUTED_VALUE"""),"IDA Global - I - 2383 - ĐL.Thanh Liêm (BL) - Flower Top SC Lúa &amp; Rau màu (nước trắng ngà) - 450ml - 40")</f>
        <v>IDA Global - I - 2383 - ĐL.Thanh Liêm (BL) - Flower Top SC Lúa &amp; Rau màu (nước trắng ngà) - 450ml - 40</v>
      </c>
    </row>
    <row r="3050">
      <c r="A3050" s="86">
        <f>IFERROR(__xludf.DUMMYFUNCTION("""COMPUTED_VALUE"""),3048.0)</f>
        <v>3048</v>
      </c>
      <c r="B3050" s="87" t="str">
        <f>IFERROR(__xludf.DUMMYFUNCTION("""COMPUTED_VALUE"""),"Nhãn")</f>
        <v>Nhãn</v>
      </c>
      <c r="C3050" s="87" t="str">
        <f>IFERROR(__xludf.DUMMYFUNCTION("""COMPUTED_VALUE"""),"NTN2388")</f>
        <v>NTN2388</v>
      </c>
      <c r="D3050" s="87" t="str">
        <f>IFERROR(__xludf.DUMMYFUNCTION("""COMPUTED_VALUE"""),"[Nhãn] IDA Global - I - 2388 - WINNER (Bột trắng hồng) - 50gr - 300")</f>
        <v>[Nhãn] IDA Global - I - 2388 - WINNER (Bột trắng hồng) - 50gr - 300</v>
      </c>
      <c r="E3050" s="87" t="str">
        <f>IFERROR(__xludf.DUMMYFUNCTION("""COMPUTED_VALUE"""),"Hỗn hợp NPK BASEL NPK 7-5-44 IDA 45")</f>
        <v>Hỗn hợp NPK BASEL NPK 7-5-44 IDA 45</v>
      </c>
      <c r="F3050" s="87" t="str">
        <f>IFERROR(__xludf.DUMMYFUNCTION("""COMPUTED_VALUE"""),"HH2388")</f>
        <v>HH2388</v>
      </c>
      <c r="G3050" s="87" t="str">
        <f>IFERROR(__xludf.DUMMYFUNCTION("""COMPUTED_VALUE"""),"IDA Global - I - 2388 - WINNER (Bột trắng hồng) - 50gr - 300")</f>
        <v>IDA Global - I - 2388 - WINNER (Bột trắng hồng) - 50gr - 300</v>
      </c>
    </row>
    <row r="3051">
      <c r="A3051" s="86">
        <f>IFERROR(__xludf.DUMMYFUNCTION("""COMPUTED_VALUE"""),3049.0)</f>
        <v>3049</v>
      </c>
      <c r="B3051" s="87" t="str">
        <f>IFERROR(__xludf.DUMMYFUNCTION("""COMPUTED_VALUE"""),"Nhãn thùng")</f>
        <v>Nhãn thùng</v>
      </c>
      <c r="C3051" s="87" t="str">
        <f>IFERROR(__xludf.DUMMYFUNCTION("""COMPUTED_VALUE"""),"NDT2388")</f>
        <v>NDT2388</v>
      </c>
      <c r="D3051" s="87" t="str">
        <f>IFERROR(__xludf.DUMMYFUNCTION("""COMPUTED_VALUE"""),"[Nhãn thùng] IDA Global - I - 2388 - WINNER (Bột trắng hồng) - 50gr - 300")</f>
        <v>[Nhãn thùng] IDA Global - I - 2388 - WINNER (Bột trắng hồng) - 50gr - 300</v>
      </c>
      <c r="E3051" s="87" t="str">
        <f>IFERROR(__xludf.DUMMYFUNCTION("""COMPUTED_VALUE"""),"Hỗn hợp NPK BASEL NPK 7-5-44 IDA 45")</f>
        <v>Hỗn hợp NPK BASEL NPK 7-5-44 IDA 45</v>
      </c>
      <c r="F3051" s="87" t="str">
        <f>IFERROR(__xludf.DUMMYFUNCTION("""COMPUTED_VALUE"""),"HH2388")</f>
        <v>HH2388</v>
      </c>
      <c r="G3051" s="87" t="str">
        <f>IFERROR(__xludf.DUMMYFUNCTION("""COMPUTED_VALUE"""),"IDA Global - I - 2388 - WINNER (Bột trắng hồng) - 50gr - 300")</f>
        <v>IDA Global - I - 2388 - WINNER (Bột trắng hồng) - 50gr - 300</v>
      </c>
    </row>
    <row r="3052">
      <c r="A3052" s="86">
        <f>IFERROR(__xludf.DUMMYFUNCTION("""COMPUTED_VALUE"""),3050.0)</f>
        <v>3050</v>
      </c>
      <c r="B3052" s="87" t="str">
        <f>IFERROR(__xludf.DUMMYFUNCTION("""COMPUTED_VALUE"""),"Nhãn")</f>
        <v>Nhãn</v>
      </c>
      <c r="C3052" s="87" t="str">
        <f>IFERROR(__xludf.DUMMYFUNCTION("""COMPUTED_VALUE"""),"NTN2395")</f>
        <v>NTN2395</v>
      </c>
      <c r="D3052" s="87" t="str">
        <f>IFERROR(__xludf.DUMMYFUNCTION("""COMPUTED_VALUE"""),"[Nhãn] IDA Global - I - 2395 - SIÊU DIỆT VI KHUẨN (Drone)(Bột trắng) - 100gr - 100")</f>
        <v>[Nhãn] IDA Global - I - 2395 - SIÊU DIỆT VI KHUẨN (Drone)(Bột trắng) - 100gr - 100</v>
      </c>
      <c r="E3052" s="87" t="str">
        <f>IFERROR(__xludf.DUMMYFUNCTION("""COMPUTED_VALUE"""),"Oxycin 100WP")</f>
        <v>Oxycin 100WP</v>
      </c>
      <c r="F3052" s="87" t="str">
        <f>IFERROR(__xludf.DUMMYFUNCTION("""COMPUTED_VALUE"""),"HH2395")</f>
        <v>HH2395</v>
      </c>
      <c r="G3052" s="87" t="str">
        <f>IFERROR(__xludf.DUMMYFUNCTION("""COMPUTED_VALUE"""),"IDA Global - I - 2395 - SIÊU DIỆT VI KHUẨN (Drone)(Bột trắng) - 100gr - 100")</f>
        <v>IDA Global - I - 2395 - SIÊU DIỆT VI KHUẨN (Drone)(Bột trắng) - 100gr - 100</v>
      </c>
    </row>
    <row r="3053">
      <c r="A3053" s="86">
        <f>IFERROR(__xludf.DUMMYFUNCTION("""COMPUTED_VALUE"""),3051.0)</f>
        <v>3051</v>
      </c>
      <c r="B3053" s="87" t="str">
        <f>IFERROR(__xludf.DUMMYFUNCTION("""COMPUTED_VALUE"""),"Nhãn thùng")</f>
        <v>Nhãn thùng</v>
      </c>
      <c r="C3053" s="87" t="str">
        <f>IFERROR(__xludf.DUMMYFUNCTION("""COMPUTED_VALUE"""),"NDT2395")</f>
        <v>NDT2395</v>
      </c>
      <c r="D3053" s="87" t="str">
        <f>IFERROR(__xludf.DUMMYFUNCTION("""COMPUTED_VALUE"""),"[Nhãn thùng] IDA Global - I - 2395 - SIÊU DIỆT VI KHUẨN (Drone)(Bột trắng) - 100gr - 100")</f>
        <v>[Nhãn thùng] IDA Global - I - 2395 - SIÊU DIỆT VI KHUẨN (Drone)(Bột trắng) - 100gr - 100</v>
      </c>
      <c r="E3053" s="87" t="str">
        <f>IFERROR(__xludf.DUMMYFUNCTION("""COMPUTED_VALUE"""),"Oxycin 100WP")</f>
        <v>Oxycin 100WP</v>
      </c>
      <c r="F3053" s="87" t="str">
        <f>IFERROR(__xludf.DUMMYFUNCTION("""COMPUTED_VALUE"""),"HH2395")</f>
        <v>HH2395</v>
      </c>
      <c r="G3053" s="87" t="str">
        <f>IFERROR(__xludf.DUMMYFUNCTION("""COMPUTED_VALUE"""),"IDA Global - I - 2395 - SIÊU DIỆT VI KHUẨN (Drone)(Bột trắng) - 100gr - 100")</f>
        <v>IDA Global - I - 2395 - SIÊU DIỆT VI KHUẨN (Drone)(Bột trắng) - 100gr - 100</v>
      </c>
    </row>
    <row r="3054">
      <c r="A3054" s="86">
        <f>IFERROR(__xludf.DUMMYFUNCTION("""COMPUTED_VALUE"""),3052.0)</f>
        <v>3052</v>
      </c>
      <c r="B3054" s="87" t="str">
        <f>IFERROR(__xludf.DUMMYFUNCTION("""COMPUTED_VALUE"""),"Nhãn")</f>
        <v>Nhãn</v>
      </c>
      <c r="C3054" s="87" t="str">
        <f>IFERROR(__xludf.DUMMYFUNCTION("""COMPUTED_VALUE"""),"NTN2397")</f>
        <v>NTN2397</v>
      </c>
      <c r="D3054" s="87" t="str">
        <f>IFERROR(__xludf.DUMMYFUNCTION("""COMPUTED_VALUE"""),"[Nhãn] IDA Global - I - 2397 - RAYXANH 200WP ̣(Bột trắng) - 100gr - 100")</f>
        <v>[Nhãn] IDA Global - I - 2397 - RAYXANH 200WP ̣(Bột trắng) - 100gr - 100</v>
      </c>
      <c r="E3054" s="87" t="str">
        <f>IFERROR(__xludf.DUMMYFUNCTION("""COMPUTED_VALUE"""),"RAYXANH 200WP")</f>
        <v>RAYXANH 200WP</v>
      </c>
      <c r="F3054" s="87" t="str">
        <f>IFERROR(__xludf.DUMMYFUNCTION("""COMPUTED_VALUE"""),"HH2397")</f>
        <v>HH2397</v>
      </c>
      <c r="G3054" s="87" t="str">
        <f>IFERROR(__xludf.DUMMYFUNCTION("""COMPUTED_VALUE"""),"IDA Global - I - 2397 - RAYXANH 200WP ̣(Bột trắng) - 100gr - 100")</f>
        <v>IDA Global - I - 2397 - RAYXANH 200WP ̣(Bột trắng) - 100gr - 100</v>
      </c>
    </row>
    <row r="3055">
      <c r="A3055" s="86">
        <f>IFERROR(__xludf.DUMMYFUNCTION("""COMPUTED_VALUE"""),3053.0)</f>
        <v>3053</v>
      </c>
      <c r="B3055" s="87" t="str">
        <f>IFERROR(__xludf.DUMMYFUNCTION("""COMPUTED_VALUE"""),"Nhãn thùng")</f>
        <v>Nhãn thùng</v>
      </c>
      <c r="C3055" s="87" t="str">
        <f>IFERROR(__xludf.DUMMYFUNCTION("""COMPUTED_VALUE"""),"NDT2397")</f>
        <v>NDT2397</v>
      </c>
      <c r="D3055" s="87" t="str">
        <f>IFERROR(__xludf.DUMMYFUNCTION("""COMPUTED_VALUE"""),"[Nhãn thùng] IDA Global - I - 2397 - RAYXANH 200WP ̣(Bột trắng) - 100gr - 100")</f>
        <v>[Nhãn thùng] IDA Global - I - 2397 - RAYXANH 200WP ̣(Bột trắng) - 100gr - 100</v>
      </c>
      <c r="E3055" s="87" t="str">
        <f>IFERROR(__xludf.DUMMYFUNCTION("""COMPUTED_VALUE"""),"RAYXANH 200WP")</f>
        <v>RAYXANH 200WP</v>
      </c>
      <c r="F3055" s="87" t="str">
        <f>IFERROR(__xludf.DUMMYFUNCTION("""COMPUTED_VALUE"""),"HH2397")</f>
        <v>HH2397</v>
      </c>
      <c r="G3055" s="87" t="str">
        <f>IFERROR(__xludf.DUMMYFUNCTION("""COMPUTED_VALUE"""),"IDA Global - I - 2397 - RAYXANH 200WP ̣(Bột trắng) - 100gr - 100")</f>
        <v>IDA Global - I - 2397 - RAYXANH 200WP ̣(Bột trắng) - 100gr - 100</v>
      </c>
    </row>
    <row r="3056">
      <c r="A3056" s="86">
        <f>IFERROR(__xludf.DUMMYFUNCTION("""COMPUTED_VALUE"""),3054.0)</f>
        <v>3054</v>
      </c>
      <c r="B3056" s="87" t="str">
        <f>IFERROR(__xludf.DUMMYFUNCTION("""COMPUTED_VALUE"""),"Nhãn")</f>
        <v>Nhãn</v>
      </c>
      <c r="C3056" s="87" t="str">
        <f>IFERROR(__xludf.DUMMYFUNCTION("""COMPUTED_VALUE"""),"NHG2399")</f>
        <v>NHG2399</v>
      </c>
      <c r="D3056" s="87" t="str">
        <f>IFERROR(__xludf.DUMMYFUNCTION("""COMPUTED_VALUE"""),"[Nhãn] IDA Global - I - 2399 - Siêu Xông Hơi - 450ml - 40")</f>
        <v>[Nhãn] IDA Global - I - 2399 - Siêu Xông Hơi - 450ml - 40</v>
      </c>
      <c r="E3056" s="87" t="str">
        <f>IFERROR(__xludf.DUMMYFUNCTION("""COMPUTED_VALUE"""),"PYXOATE 44EC")</f>
        <v>PYXOATE 44EC</v>
      </c>
      <c r="F3056" s="87" t="str">
        <f>IFERROR(__xludf.DUMMYFUNCTION("""COMPUTED_VALUE"""),"HH2399")</f>
        <v>HH2399</v>
      </c>
      <c r="G3056" s="87" t="str">
        <f>IFERROR(__xludf.DUMMYFUNCTION("""COMPUTED_VALUE"""),"IDA Global - I - 2399 - Siêu Xông Hơi - 450ml - 40")</f>
        <v>IDA Global - I - 2399 - Siêu Xông Hơi - 450ml - 40</v>
      </c>
    </row>
    <row r="3057">
      <c r="A3057" s="86">
        <f>IFERROR(__xludf.DUMMYFUNCTION("""COMPUTED_VALUE"""),3055.0)</f>
        <v>3055</v>
      </c>
      <c r="B3057" s="87" t="str">
        <f>IFERROR(__xludf.DUMMYFUNCTION("""COMPUTED_VALUE"""),"Nhãn")</f>
        <v>Nhãn</v>
      </c>
      <c r="C3057" s="87" t="str">
        <f>IFERROR(__xludf.DUMMYFUNCTION("""COMPUTED_VALUE"""),"NHG2401")</f>
        <v>NHG2401</v>
      </c>
      <c r="D3057" s="87" t="str">
        <f>IFERROR(__xludf.DUMMYFUNCTION("""COMPUTED_VALUE"""),"[Nhãn] IDA Global - I - 2401 - Vatino Super 525SE (Nước cam sữa) - 250ml - 40 ([btp],c,t)")</f>
        <v>[Nhãn] IDA Global - I - 2401 - Vatino Super 525SE (Nước cam sữa) - 250ml - 40 ([btp],c,t)</v>
      </c>
      <c r="E3057" s="87" t="str">
        <f>IFERROR(__xludf.DUMMYFUNCTION("""COMPUTED_VALUE"""),"VATINO SUPER 525SE")</f>
        <v>VATINO SUPER 525SE</v>
      </c>
      <c r="F3057" s="87" t="str">
        <f>IFERROR(__xludf.DUMMYFUNCTION("""COMPUTED_VALUE"""),"HH2401")</f>
        <v>HH2401</v>
      </c>
      <c r="G3057" s="87" t="str">
        <f>IFERROR(__xludf.DUMMYFUNCTION("""COMPUTED_VALUE"""),"IDA Global - I - 2401 - Vatino Super 525SE (Nước cam sữa) - 250ml - 40 ([btp],c,t)")</f>
        <v>IDA Global - I - 2401 - Vatino Super 525SE (Nước cam sữa) - 250ml - 40 ([btp],c,t)</v>
      </c>
    </row>
    <row r="3058">
      <c r="A3058" s="86">
        <f>IFERROR(__xludf.DUMMYFUNCTION("""COMPUTED_VALUE"""),3056.0)</f>
        <v>3056</v>
      </c>
      <c r="B3058" s="87" t="str">
        <f>IFERROR(__xludf.DUMMYFUNCTION("""COMPUTED_VALUE"""),"[Nhãn]")</f>
        <v>[Nhãn]</v>
      </c>
      <c r="C3058" s="87" t="str">
        <f>IFERROR(__xludf.DUMMYFUNCTION("""COMPUTED_VALUE"""),"NHG2403")</f>
        <v>NHG2403</v>
      </c>
      <c r="D3058" s="87" t="str">
        <f>IFERROR(__xludf.DUMMYFUNCTION("""COMPUTED_VALUE"""),"[Nhãn] IDA Global - I - 2403 - Toto - Boost (chai HD) - 240ml - 40")</f>
        <v>[Nhãn] IDA Global - I - 2403 - Toto - Boost (chai HD) - 240ml - 40</v>
      </c>
      <c r="E3058" s="87" t="str">
        <f>IFERROR(__xludf.DUMMYFUNCTION("""COMPUTED_VALUE"""),"NPK Bổ sung Vi lượng Basel NPK 6-6-8 IDA 33")</f>
        <v>NPK Bổ sung Vi lượng Basel NPK 6-6-8 IDA 33</v>
      </c>
      <c r="F3058" s="87" t="str">
        <f>IFERROR(__xludf.DUMMYFUNCTION("""COMPUTED_VALUE"""),"HH2403")</f>
        <v>HH2403</v>
      </c>
      <c r="G3058" s="87" t="str">
        <f>IFERROR(__xludf.DUMMYFUNCTION("""COMPUTED_VALUE"""),"IDA Global - I - 2403 - Toto - Boost (chai HD) - 240ml - 40")</f>
        <v>IDA Global - I - 2403 - Toto - Boost (chai HD) - 240ml - 40</v>
      </c>
    </row>
    <row r="3059">
      <c r="A3059" s="86">
        <f>IFERROR(__xludf.DUMMYFUNCTION("""COMPUTED_VALUE"""),3057.0)</f>
        <v>3057</v>
      </c>
      <c r="B3059" s="87" t="str">
        <f>IFERROR(__xludf.DUMMYFUNCTION("""COMPUTED_VALUE"""),"Nhãn")</f>
        <v>Nhãn</v>
      </c>
      <c r="C3059" s="87" t="str">
        <f>IFERROR(__xludf.DUMMYFUNCTION("""COMPUTED_VALUE"""),"NHG2408")</f>
        <v>NHG2408</v>
      </c>
      <c r="D3059" s="87" t="str">
        <f>IFERROR(__xludf.DUMMYFUNCTION("""COMPUTED_VALUE"""),"[Nhãn] LOT IDA Global - I - 2408 - Avermectin 36 (Pet tròn)(nước nâu đen) - 450ml - 40")</f>
        <v>[Nhãn] LOT IDA Global - I - 2408 - Avermectin 36 (Pet tròn)(nước nâu đen) - 450ml - 40</v>
      </c>
      <c r="E3059" s="87" t="str">
        <f>IFERROR(__xludf.DUMMYFUNCTION("""COMPUTED_VALUE"""),"Chitin 3.6EC")</f>
        <v>Chitin 3.6EC</v>
      </c>
      <c r="F3059" s="87" t="str">
        <f>IFERROR(__xludf.DUMMYFUNCTION("""COMPUTED_VALUE"""),"HH2408")</f>
        <v>HH2408</v>
      </c>
      <c r="G3059" s="87" t="str">
        <f>IFERROR(__xludf.DUMMYFUNCTION("""COMPUTED_VALUE"""),"LOT IDA Global - I - 2408 - Avermectin 36 (Pet tròn)(nước nâu đen) - 450ml - 40")</f>
        <v>LOT IDA Global - I - 2408 - Avermectin 36 (Pet tròn)(nước nâu đen) - 450ml - 40</v>
      </c>
    </row>
    <row r="3060">
      <c r="A3060" s="86">
        <f>IFERROR(__xludf.DUMMYFUNCTION("""COMPUTED_VALUE"""),3058.0)</f>
        <v>3058</v>
      </c>
      <c r="B3060" s="87" t="str">
        <f>IFERROR(__xludf.DUMMYFUNCTION("""COMPUTED_VALUE"""),"Nhãn")</f>
        <v>Nhãn</v>
      </c>
      <c r="C3060" s="87" t="str">
        <f>IFERROR(__xludf.DUMMYFUNCTION("""COMPUTED_VALUE"""),"NHG2409")</f>
        <v>NHG2409</v>
      </c>
      <c r="D3060" s="87" t="str">
        <f>IFERROR(__xludf.DUMMYFUNCTION("""COMPUTED_VALUE"""),"[Nhãn] IDA Global - I - 2409 - CHITO-M55 (drone-vàng)(Nước trắng sữa) - 500ml - 40")</f>
        <v>[Nhãn] IDA Global - I - 2409 - CHITO-M55 (drone-vàng)(Nước trắng sữa) - 500ml - 40</v>
      </c>
      <c r="E3060" s="87" t="str">
        <f>IFERROR(__xludf.DUMMYFUNCTION("""COMPUTED_VALUE"""),"Vi lượng Basel IDA 50")</f>
        <v>Vi lượng Basel IDA 50</v>
      </c>
      <c r="F3060" s="87" t="str">
        <f>IFERROR(__xludf.DUMMYFUNCTION("""COMPUTED_VALUE"""),"HH2409")</f>
        <v>HH2409</v>
      </c>
      <c r="G3060" s="87" t="str">
        <f>IFERROR(__xludf.DUMMYFUNCTION("""COMPUTED_VALUE"""),"IDA Global - I - 2409 - CHITO-M55 (drone-vàng)(Nước trắng sữa) - 500ml - 40")</f>
        <v>IDA Global - I - 2409 - CHITO-M55 (drone-vàng)(Nước trắng sữa) - 500ml - 40</v>
      </c>
    </row>
    <row r="3061">
      <c r="A3061" s="86">
        <f>IFERROR(__xludf.DUMMYFUNCTION("""COMPUTED_VALUE"""),3059.0)</f>
        <v>3059</v>
      </c>
      <c r="B3061" s="87" t="str">
        <f>IFERROR(__xludf.DUMMYFUNCTION("""COMPUTED_VALUE"""),"Nhãn")</f>
        <v>Nhãn</v>
      </c>
      <c r="C3061" s="87" t="str">
        <f>IFERROR(__xludf.DUMMYFUNCTION("""COMPUTED_VALUE"""),"NHD2410")</f>
        <v>NHD2410</v>
      </c>
      <c r="D3061" s="87" t="str">
        <f>IFERROR(__xludf.DUMMYFUNCTION("""COMPUTED_VALUE"""),"[Nhãn] LOT IDA Global - I - 2410 - ĐL Phúc Nông - Thần Hổ (Pet vuông) (nắp vàng)(nước nâu đen) - 450ml - 40")</f>
        <v>[Nhãn] LOT IDA Global - I - 2410 - ĐL Phúc Nông - Thần Hổ (Pet vuông) (nắp vàng)(nước nâu đen) - 450ml - 40</v>
      </c>
      <c r="E3061" s="87" t="str">
        <f>IFERROR(__xludf.DUMMYFUNCTION("""COMPUTED_VALUE"""),"HAIHAMEC 3.6EC")</f>
        <v>HAIHAMEC 3.6EC</v>
      </c>
      <c r="F3061" s="87" t="str">
        <f>IFERROR(__xludf.DUMMYFUNCTION("""COMPUTED_VALUE"""),"HH2410")</f>
        <v>HH2410</v>
      </c>
      <c r="G3061" s="87" t="str">
        <f>IFERROR(__xludf.DUMMYFUNCTION("""COMPUTED_VALUE"""),"LOT IDA Global - I - 2410 - ĐL Phúc Nông - Thần Hổ (Pet vuông) (nắp vàng)(nước nâu đen) - 450ml - 40")</f>
        <v>LOT IDA Global - I - 2410 - ĐL Phúc Nông - Thần Hổ (Pet vuông) (nắp vàng)(nước nâu đen) - 450ml - 40</v>
      </c>
    </row>
    <row r="3062">
      <c r="A3062" s="86">
        <f>IFERROR(__xludf.DUMMYFUNCTION("""COMPUTED_VALUE"""),3060.0)</f>
        <v>3060</v>
      </c>
      <c r="B3062" s="87" t="str">
        <f>IFERROR(__xludf.DUMMYFUNCTION("""COMPUTED_VALUE"""),"Nhãn")</f>
        <v>Nhãn</v>
      </c>
      <c r="C3062" s="87" t="str">
        <f>IFERROR(__xludf.DUMMYFUNCTION("""COMPUTED_VALUE"""),"NHD2410")</f>
        <v>NHD2410</v>
      </c>
      <c r="D3062" s="87" t="str">
        <f>IFERROR(__xludf.DUMMYFUNCTION("""COMPUTED_VALUE"""),"[Nhãn] LOT IDA Global - I - 2410 - ĐL Phúc Nông - Thần Hổ (Pet vuông) (nắp vàng)(nước nâu đen) - 450ml - 40")</f>
        <v>[Nhãn] LOT IDA Global - I - 2410 - ĐL Phúc Nông - Thần Hổ (Pet vuông) (nắp vàng)(nước nâu đen) - 450ml - 40</v>
      </c>
      <c r="E3062" s="87" t="str">
        <f>IFERROR(__xludf.DUMMYFUNCTION("""COMPUTED_VALUE"""),"HAIHAMEC 3.6EC")</f>
        <v>HAIHAMEC 3.6EC</v>
      </c>
      <c r="F3062" s="87" t="str">
        <f>IFERROR(__xludf.DUMMYFUNCTION("""COMPUTED_VALUE"""),"HH2410")</f>
        <v>HH2410</v>
      </c>
      <c r="G3062" s="87" t="str">
        <f>IFERROR(__xludf.DUMMYFUNCTION("""COMPUTED_VALUE"""),"LOT IDA Global - I - 2410 - ĐL Phúc Nông - Thần Hổ (Pet vuông) (nắp vàng)(nước nâu đen) - 450ml - 40")</f>
        <v>LOT IDA Global - I - 2410 - ĐL Phúc Nông - Thần Hổ (Pet vuông) (nắp vàng)(nước nâu đen) - 450ml - 40</v>
      </c>
    </row>
    <row r="3063">
      <c r="A3063" s="86">
        <f>IFERROR(__xludf.DUMMYFUNCTION("""COMPUTED_VALUE"""),3061.0)</f>
        <v>3061</v>
      </c>
      <c r="B3063" s="87" t="str">
        <f>IFERROR(__xludf.DUMMYFUNCTION("""COMPUTED_VALUE"""),"Nhãn thùng")</f>
        <v>Nhãn thùng</v>
      </c>
      <c r="C3063" s="87" t="str">
        <f>IFERROR(__xludf.DUMMYFUNCTION("""COMPUTED_VALUE"""),"NDT2410")</f>
        <v>NDT2410</v>
      </c>
      <c r="D3063" s="87" t="str">
        <f>IFERROR(__xludf.DUMMYFUNCTION("""COMPUTED_VALUE"""),"[Nhãn thùng] LOT IDA Global - I - 2410 - ĐL Phúc Nông - Thần Hổ (Pet vuông) (nắp vàng)(nước nâu đen) - 450ml - 40")</f>
        <v>[Nhãn thùng] LOT IDA Global - I - 2410 - ĐL Phúc Nông - Thần Hổ (Pet vuông) (nắp vàng)(nước nâu đen) - 450ml - 40</v>
      </c>
      <c r="E3063" s="87" t="str">
        <f>IFERROR(__xludf.DUMMYFUNCTION("""COMPUTED_VALUE"""),"HAIHAMEC 3.6EC")</f>
        <v>HAIHAMEC 3.6EC</v>
      </c>
      <c r="F3063" s="87" t="str">
        <f>IFERROR(__xludf.DUMMYFUNCTION("""COMPUTED_VALUE"""),"HH2410")</f>
        <v>HH2410</v>
      </c>
      <c r="G3063" s="87" t="str">
        <f>IFERROR(__xludf.DUMMYFUNCTION("""COMPUTED_VALUE"""),"LOT IDA Global - I - 2410 - ĐL Phúc Nông - Thần Hổ (Pet vuông) (nắp vàng)(nước nâu đen) - 450ml - 40")</f>
        <v>LOT IDA Global - I - 2410 - ĐL Phúc Nông - Thần Hổ (Pet vuông) (nắp vàng)(nước nâu đen) - 450ml - 40</v>
      </c>
    </row>
    <row r="3064">
      <c r="A3064" s="86">
        <f>IFERROR(__xludf.DUMMYFUNCTION("""COMPUTED_VALUE"""),3062.0)</f>
        <v>3062</v>
      </c>
      <c r="B3064" s="87" t="str">
        <f>IFERROR(__xludf.DUMMYFUNCTION("""COMPUTED_VALUE"""),"Nhãn")</f>
        <v>Nhãn</v>
      </c>
      <c r="C3064" s="87" t="str">
        <f>IFERROR(__xludf.DUMMYFUNCTION("""COMPUTED_VALUE"""),"NHG2411")</f>
        <v>NHG2411</v>
      </c>
      <c r="D3064" s="87" t="str">
        <f>IFERROR(__xludf.DUMMYFUNCTION("""COMPUTED_VALUE"""),"[Nhãn] LOT IDA Global - I - 2411 - ĐL Hai Nhóm - Avermectin (nước nâu đen) - 450ml - 40")</f>
        <v>[Nhãn] LOT IDA Global - I - 2411 - ĐL Hai Nhóm - Avermectin (nước nâu đen) - 450ml - 40</v>
      </c>
      <c r="E3064" s="87" t="str">
        <f>IFERROR(__xludf.DUMMYFUNCTION("""COMPUTED_VALUE"""),"Chitin 3.6EC")</f>
        <v>Chitin 3.6EC</v>
      </c>
      <c r="F3064" s="87" t="str">
        <f>IFERROR(__xludf.DUMMYFUNCTION("""COMPUTED_VALUE"""),"HH2411")</f>
        <v>HH2411</v>
      </c>
      <c r="G3064" s="87" t="str">
        <f>IFERROR(__xludf.DUMMYFUNCTION("""COMPUTED_VALUE"""),"LOT IDA Global - I - 2411 - ĐL Hai Nhóm - Avermectin (nước nâu đen) - 450ml - 40")</f>
        <v>LOT IDA Global - I - 2411 - ĐL Hai Nhóm - Avermectin (nước nâu đen) - 450ml - 40</v>
      </c>
    </row>
    <row r="3065">
      <c r="A3065" s="86">
        <f>IFERROR(__xludf.DUMMYFUNCTION("""COMPUTED_VALUE"""),3063.0)</f>
        <v>3063</v>
      </c>
      <c r="B3065" s="87" t="str">
        <f>IFERROR(__xludf.DUMMYFUNCTION("""COMPUTED_VALUE"""),"Nhãn")</f>
        <v>Nhãn</v>
      </c>
      <c r="C3065" s="87" t="str">
        <f>IFERROR(__xludf.DUMMYFUNCTION("""COMPUTED_VALUE"""),"NTN2415")</f>
        <v>NTN2415</v>
      </c>
      <c r="D3065" s="87" t="str">
        <f>IFERROR(__xludf.DUMMYFUNCTION("""COMPUTED_VALUE"""),"[Nhãn] IDA Global  - I - 2415 - Sức mạnh Tricyclazole (bột cam) - 25gr - 300")</f>
        <v>[Nhãn] IDA Global  - I - 2415 - Sức mạnh Tricyclazole (bột cam) - 25gr - 300</v>
      </c>
      <c r="E3065" s="87" t="str">
        <f>IFERROR(__xludf.DUMMYFUNCTION("""COMPUTED_VALUE"""),"Pim.Pim 75WP")</f>
        <v>Pim.Pim 75WP</v>
      </c>
      <c r="F3065" s="87" t="str">
        <f>IFERROR(__xludf.DUMMYFUNCTION("""COMPUTED_VALUE"""),"HH2415")</f>
        <v>HH2415</v>
      </c>
      <c r="G3065" s="87" t="str">
        <f>IFERROR(__xludf.DUMMYFUNCTION("""COMPUTED_VALUE"""),"IDA Global  - I - 2415 - Sức mạnh Tricyclazole (bột cam) - 25gr - 300")</f>
        <v>IDA Global  - I - 2415 - Sức mạnh Tricyclazole (bột cam) - 25gr - 300</v>
      </c>
    </row>
    <row r="3066">
      <c r="A3066" s="86">
        <f>IFERROR(__xludf.DUMMYFUNCTION("""COMPUTED_VALUE"""),3064.0)</f>
        <v>3064</v>
      </c>
      <c r="B3066" s="87" t="str">
        <f>IFERROR(__xludf.DUMMYFUNCTION("""COMPUTED_VALUE"""),"Nhãn thùng")</f>
        <v>Nhãn thùng</v>
      </c>
      <c r="C3066" s="87" t="str">
        <f>IFERROR(__xludf.DUMMYFUNCTION("""COMPUTED_VALUE"""),"NDT2415")</f>
        <v>NDT2415</v>
      </c>
      <c r="D3066" s="87" t="str">
        <f>IFERROR(__xludf.DUMMYFUNCTION("""COMPUTED_VALUE"""),"[Nhãn thùng] IDA Global  - I - 2415 - Sức mạnh Tricyclazole (bột cam) - 25gr - 300")</f>
        <v>[Nhãn thùng] IDA Global  - I - 2415 - Sức mạnh Tricyclazole (bột cam) - 25gr - 300</v>
      </c>
      <c r="E3066" s="87" t="str">
        <f>IFERROR(__xludf.DUMMYFUNCTION("""COMPUTED_VALUE"""),"Pim.Pim 75WP")</f>
        <v>Pim.Pim 75WP</v>
      </c>
      <c r="F3066" s="87" t="str">
        <f>IFERROR(__xludf.DUMMYFUNCTION("""COMPUTED_VALUE"""),"HH2415")</f>
        <v>HH2415</v>
      </c>
      <c r="G3066" s="87" t="str">
        <f>IFERROR(__xludf.DUMMYFUNCTION("""COMPUTED_VALUE"""),"IDA Global  - I - 2415 - Sức mạnh Tricyclazole (bột cam) - 25gr - 300")</f>
        <v>IDA Global  - I - 2415 - Sức mạnh Tricyclazole (bột cam) - 25gr - 300</v>
      </c>
    </row>
    <row r="3067">
      <c r="A3067" s="86">
        <f>IFERROR(__xludf.DUMMYFUNCTION("""COMPUTED_VALUE"""),3065.0)</f>
        <v>3065</v>
      </c>
      <c r="B3067" s="87" t="str">
        <f>IFERROR(__xludf.DUMMYFUNCTION("""COMPUTED_VALUE"""),"Nhãn")</f>
        <v>Nhãn</v>
      </c>
      <c r="C3067" s="87" t="str">
        <f>IFERROR(__xludf.DUMMYFUNCTION("""COMPUTED_VALUE"""),"NTN2416")</f>
        <v>NTN2416</v>
      </c>
      <c r="D3067" s="87" t="str">
        <f>IFERROR(__xludf.DUMMYFUNCTION("""COMPUTED_VALUE"""),"[Nhãn] Global  - I - 2416 - Sức mạnh Tricyclazole (New 35gr)(bột cam) - 35gr - 300")</f>
        <v>[Nhãn] Global  - I - 2416 - Sức mạnh Tricyclazole (New 35gr)(bột cam) - 35gr - 300</v>
      </c>
      <c r="E3067" s="87" t="str">
        <f>IFERROR(__xludf.DUMMYFUNCTION("""COMPUTED_VALUE"""),"Pim.Pim 75WP")</f>
        <v>Pim.Pim 75WP</v>
      </c>
      <c r="F3067" s="87" t="str">
        <f>IFERROR(__xludf.DUMMYFUNCTION("""COMPUTED_VALUE"""),"HH2416")</f>
        <v>HH2416</v>
      </c>
      <c r="G3067" s="87" t="str">
        <f>IFERROR(__xludf.DUMMYFUNCTION("""COMPUTED_VALUE"""),"IDA Global  - I - 2416 - Sức mạnh Tricyclazole (New 35gr)(bột cam) - 35gr - 300")</f>
        <v>IDA Global  - I - 2416 - Sức mạnh Tricyclazole (New 35gr)(bột cam) - 35gr - 300</v>
      </c>
    </row>
    <row r="3068">
      <c r="A3068" s="86">
        <f>IFERROR(__xludf.DUMMYFUNCTION("""COMPUTED_VALUE"""),3066.0)</f>
        <v>3066</v>
      </c>
      <c r="B3068" s="87" t="str">
        <f>IFERROR(__xludf.DUMMYFUNCTION("""COMPUTED_VALUE"""),"Nhãn thùng")</f>
        <v>Nhãn thùng</v>
      </c>
      <c r="C3068" s="87" t="str">
        <f>IFERROR(__xludf.DUMMYFUNCTION("""COMPUTED_VALUE"""),"NDT2416")</f>
        <v>NDT2416</v>
      </c>
      <c r="D3068" s="87" t="str">
        <f>IFERROR(__xludf.DUMMYFUNCTION("""COMPUTED_VALUE"""),"[Nhãn thùng] Global  - I - 2416 - Sức mạnh Tricyclazole (New 35gr)(bột cam) - 35gr - 300")</f>
        <v>[Nhãn thùng] Global  - I - 2416 - Sức mạnh Tricyclazole (New 35gr)(bột cam) - 35gr - 300</v>
      </c>
      <c r="E3068" s="87" t="str">
        <f>IFERROR(__xludf.DUMMYFUNCTION("""COMPUTED_VALUE"""),"Pim.Pim 75WP")</f>
        <v>Pim.Pim 75WP</v>
      </c>
      <c r="F3068" s="87" t="str">
        <f>IFERROR(__xludf.DUMMYFUNCTION("""COMPUTED_VALUE"""),"HH2416")</f>
        <v>HH2416</v>
      </c>
      <c r="G3068" s="87" t="str">
        <f>IFERROR(__xludf.DUMMYFUNCTION("""COMPUTED_VALUE"""),"IDA Global  - I - 2416 - Sức mạnh Tricyclazole (New 35gr)(bột cam) - 35gr - 300")</f>
        <v>IDA Global  - I - 2416 - Sức mạnh Tricyclazole (New 35gr)(bột cam) - 35gr - 300</v>
      </c>
    </row>
    <row r="3069">
      <c r="A3069" s="86">
        <f>IFERROR(__xludf.DUMMYFUNCTION("""COMPUTED_VALUE"""),3067.0)</f>
        <v>3067</v>
      </c>
      <c r="B3069" s="87" t="str">
        <f>IFERROR(__xludf.DUMMYFUNCTION("""COMPUTED_VALUE"""),"Nhãn")</f>
        <v>Nhãn</v>
      </c>
      <c r="C3069" s="87" t="str">
        <f>IFERROR(__xludf.DUMMYFUNCTION("""COMPUTED_VALUE"""),"NTN2417")</f>
        <v>NTN2417</v>
      </c>
      <c r="D3069" s="87" t="str">
        <f>IFERROR(__xludf.DUMMYFUNCTION("""COMPUTED_VALUE"""),"[Nhãn] IDA Global - I - 2417 - Sức mạnh Tricyclazole (Bột cam) - 100gr - 100")</f>
        <v>[Nhãn] IDA Global - I - 2417 - Sức mạnh Tricyclazole (Bột cam) - 100gr - 100</v>
      </c>
      <c r="E3069" s="87" t="str">
        <f>IFERROR(__xludf.DUMMYFUNCTION("""COMPUTED_VALUE"""),"Pim.Pim 75WP")</f>
        <v>Pim.Pim 75WP</v>
      </c>
      <c r="F3069" s="87" t="str">
        <f>IFERROR(__xludf.DUMMYFUNCTION("""COMPUTED_VALUE"""),"HH2417")</f>
        <v>HH2417</v>
      </c>
      <c r="G3069" s="87" t="str">
        <f>IFERROR(__xludf.DUMMYFUNCTION("""COMPUTED_VALUE"""),"IDA Global - I - 2417 - Sức mạnh Tricyclazole (Bột cam) - 100gr - 100")</f>
        <v>IDA Global - I - 2417 - Sức mạnh Tricyclazole (Bột cam) - 100gr - 100</v>
      </c>
    </row>
    <row r="3070">
      <c r="A3070" s="86">
        <f>IFERROR(__xludf.DUMMYFUNCTION("""COMPUTED_VALUE"""),3068.0)</f>
        <v>3068</v>
      </c>
      <c r="B3070" s="87" t="str">
        <f>IFERROR(__xludf.DUMMYFUNCTION("""COMPUTED_VALUE"""),"Nhãn thùng")</f>
        <v>Nhãn thùng</v>
      </c>
      <c r="C3070" s="87" t="str">
        <f>IFERROR(__xludf.DUMMYFUNCTION("""COMPUTED_VALUE"""),"NDT2417")</f>
        <v>NDT2417</v>
      </c>
      <c r="D3070" s="87" t="str">
        <f>IFERROR(__xludf.DUMMYFUNCTION("""COMPUTED_VALUE"""),"[Nhãn thùng] IDA Global - I - 2417 - Sức mạnh Tricyclazole (Bột cam) - 100gr - 100")</f>
        <v>[Nhãn thùng] IDA Global - I - 2417 - Sức mạnh Tricyclazole (Bột cam) - 100gr - 100</v>
      </c>
      <c r="E3070" s="87" t="str">
        <f>IFERROR(__xludf.DUMMYFUNCTION("""COMPUTED_VALUE"""),"Pim.Pim 75WP")</f>
        <v>Pim.Pim 75WP</v>
      </c>
      <c r="F3070" s="87" t="str">
        <f>IFERROR(__xludf.DUMMYFUNCTION("""COMPUTED_VALUE"""),"HH2417")</f>
        <v>HH2417</v>
      </c>
      <c r="G3070" s="87" t="str">
        <f>IFERROR(__xludf.DUMMYFUNCTION("""COMPUTED_VALUE"""),"IDA Global - I - 2417 - Sức mạnh Tricyclazole (Bột cam) - 100gr - 100")</f>
        <v>IDA Global - I - 2417 - Sức mạnh Tricyclazole (Bột cam) - 100gr - 100</v>
      </c>
    </row>
    <row r="3071">
      <c r="A3071" s="86">
        <f>IFERROR(__xludf.DUMMYFUNCTION("""COMPUTED_VALUE"""),3069.0)</f>
        <v>3069</v>
      </c>
      <c r="B3071" s="87" t="str">
        <f>IFERROR(__xludf.DUMMYFUNCTION("""COMPUTED_VALUE"""),"Nhãn")</f>
        <v>Nhãn</v>
      </c>
      <c r="C3071" s="87" t="str">
        <f>IFERROR(__xludf.DUMMYFUNCTION("""COMPUTED_VALUE"""),"NHG2421")</f>
        <v>NHG2421</v>
      </c>
      <c r="D3071" s="87" t="str">
        <f>IFERROR(__xludf.DUMMYFUNCTION("""COMPUTED_VALUE"""),"[Nhãn] LOT IDA Global - I - 2421 - Cty Agronet - Sói Xám (nước nâu đen) - 450ml - 40")</f>
        <v>[Nhãn] LOT IDA Global - I - 2421 - Cty Agronet - Sói Xám (nước nâu đen) - 450ml - 40</v>
      </c>
      <c r="E3071" s="87" t="str">
        <f>IFERROR(__xludf.DUMMYFUNCTION("""COMPUTED_VALUE"""),"HAIHAMEC 3.6EC")</f>
        <v>HAIHAMEC 3.6EC</v>
      </c>
      <c r="F3071" s="87" t="str">
        <f>IFERROR(__xludf.DUMMYFUNCTION("""COMPUTED_VALUE"""),"HH2421")</f>
        <v>HH2421</v>
      </c>
      <c r="G3071" s="87" t="str">
        <f>IFERROR(__xludf.DUMMYFUNCTION("""COMPUTED_VALUE"""),"LOT IDA Global - I - 2421 - Cty Agronet - Sói Xám (nước nâu đen) - 450ml - 40")</f>
        <v>LOT IDA Global - I - 2421 - Cty Agronet - Sói Xám (nước nâu đen) - 450ml - 40</v>
      </c>
    </row>
    <row r="3072">
      <c r="A3072" s="86">
        <f>IFERROR(__xludf.DUMMYFUNCTION("""COMPUTED_VALUE"""),3070.0)</f>
        <v>3070</v>
      </c>
      <c r="B3072" s="87" t="str">
        <f>IFERROR(__xludf.DUMMYFUNCTION("""COMPUTED_VALUE"""),"Nhãn")</f>
        <v>Nhãn</v>
      </c>
      <c r="C3072" s="87" t="str">
        <f>IFERROR(__xludf.DUMMYFUNCTION("""COMPUTED_VALUE"""),"NHG2423")</f>
        <v>NHG2423</v>
      </c>
      <c r="D3072" s="87" t="str">
        <f>IFERROR(__xludf.DUMMYFUNCTION("""COMPUTED_VALUE"""),"[Nhãn] LOT IDA Global - I - 2423 - ĐL HOÀNG EM - Cá Sấu Chúa (Nước nâu đen) - 450ml - 40")</f>
        <v>[Nhãn] LOT IDA Global - I - 2423 - ĐL HOÀNG EM - Cá Sấu Chúa (Nước nâu đen) - 450ml - 40</v>
      </c>
      <c r="E3072" s="87" t="str">
        <f>IFERROR(__xludf.DUMMYFUNCTION("""COMPUTED_VALUE"""),"HAIHAMEC 3.6EC")</f>
        <v>HAIHAMEC 3.6EC</v>
      </c>
      <c r="F3072" s="87" t="str">
        <f>IFERROR(__xludf.DUMMYFUNCTION("""COMPUTED_VALUE"""),"HH2423")</f>
        <v>HH2423</v>
      </c>
      <c r="G3072" s="87" t="str">
        <f>IFERROR(__xludf.DUMMYFUNCTION("""COMPUTED_VALUE"""),"LOT IDA Global - I - 2423 - ĐL HOÀNG EM - Cá Sấu Chúa (Nước nâu đen) - 450ml - 40")</f>
        <v>LOT IDA Global - I - 2423 - ĐL HOÀNG EM - Cá Sấu Chúa (Nước nâu đen) - 450ml - 40</v>
      </c>
    </row>
    <row r="3073">
      <c r="A3073" s="86">
        <f>IFERROR(__xludf.DUMMYFUNCTION("""COMPUTED_VALUE"""),3071.0)</f>
        <v>3071</v>
      </c>
      <c r="B3073" s="87" t="str">
        <f>IFERROR(__xludf.DUMMYFUNCTION("""COMPUTED_VALUE"""),"Nhãn")</f>
        <v>Nhãn</v>
      </c>
      <c r="C3073" s="87" t="str">
        <f>IFERROR(__xludf.DUMMYFUNCTION("""COMPUTED_VALUE"""),"NHG2424")</f>
        <v>NHG2424</v>
      </c>
      <c r="D3073" s="87" t="str">
        <f>IFERROR(__xludf.DUMMYFUNCTION("""COMPUTED_VALUE"""),"[Nhãn] LOT IDA Global - I - 2424 - Abamectin 3.6 (AG1) (Nước nâu đen) - 450ml - 40")</f>
        <v>[Nhãn] LOT IDA Global - I - 2424 - Abamectin 3.6 (AG1) (Nước nâu đen) - 450ml - 40</v>
      </c>
      <c r="E3073" s="87" t="str">
        <f>IFERROR(__xludf.DUMMYFUNCTION("""COMPUTED_VALUE"""),"HAIHAMEC 3.6EC")</f>
        <v>HAIHAMEC 3.6EC</v>
      </c>
      <c r="F3073" s="87" t="str">
        <f>IFERROR(__xludf.DUMMYFUNCTION("""COMPUTED_VALUE"""),"HH2424")</f>
        <v>HH2424</v>
      </c>
      <c r="G3073" s="87" t="str">
        <f>IFERROR(__xludf.DUMMYFUNCTION("""COMPUTED_VALUE"""),"LOT IDA Global - I - 2424 - Abamectin 3.6 (AG1) (Nước nâu đen) - 450ml - 40")</f>
        <v>LOT IDA Global - I - 2424 - Abamectin 3.6 (AG1) (Nước nâu đen) - 450ml - 40</v>
      </c>
    </row>
    <row r="3074">
      <c r="A3074" s="86">
        <f>IFERROR(__xludf.DUMMYFUNCTION("""COMPUTED_VALUE"""),3072.0)</f>
        <v>3072</v>
      </c>
      <c r="B3074" s="87" t="str">
        <f>IFERROR(__xludf.DUMMYFUNCTION("""COMPUTED_VALUE"""),"Nhãn")</f>
        <v>Nhãn</v>
      </c>
      <c r="C3074" s="87" t="str">
        <f>IFERROR(__xludf.DUMMYFUNCTION("""COMPUTED_VALUE"""),"NHG2429")</f>
        <v>NHG2429</v>
      </c>
      <c r="D3074" s="87" t="str">
        <f>IFERROR(__xludf.DUMMYFUNCTION("""COMPUTED_VALUE"""),"[Nhãn] IDA Global - I - 2429 - Winner SC (Nước nâu đen) - 500ml - 40")</f>
        <v>[Nhãn] IDA Global - I - 2429 - Winner SC (Nước nâu đen) - 500ml - 40</v>
      </c>
      <c r="E3074" s="87" t="str">
        <f>IFERROR(__xludf.DUMMYFUNCTION("""COMPUTED_VALUE"""),"Vi lượng AGAMA-SUPPORT")</f>
        <v>Vi lượng AGAMA-SUPPORT</v>
      </c>
      <c r="F3074" s="87" t="str">
        <f>IFERROR(__xludf.DUMMYFUNCTION("""COMPUTED_VALUE"""),"HH2429")</f>
        <v>HH2429</v>
      </c>
      <c r="G3074" s="87" t="str">
        <f>IFERROR(__xludf.DUMMYFUNCTION("""COMPUTED_VALUE"""),"IDA Global - I - 2429 - Winner SC (Nước nâu đen) - 500ml - 40")</f>
        <v>IDA Global - I - 2429 - Winner SC (Nước nâu đen) - 500ml - 40</v>
      </c>
    </row>
    <row r="3075">
      <c r="A3075" s="86">
        <f>IFERROR(__xludf.DUMMYFUNCTION("""COMPUTED_VALUE"""),3073.0)</f>
        <v>3073</v>
      </c>
      <c r="B3075" s="87" t="str">
        <f>IFERROR(__xludf.DUMMYFUNCTION("""COMPUTED_VALUE"""),"Nhãn")</f>
        <v>Nhãn</v>
      </c>
      <c r="C3075" s="87" t="str">
        <f>IFERROR(__xludf.DUMMYFUNCTION("""COMPUTED_VALUE"""),"NHG2430")</f>
        <v>NHG2430</v>
      </c>
      <c r="D3075" s="87" t="str">
        <f>IFERROR(__xludf.DUMMYFUNCTION("""COMPUTED_VALUE"""),"[Nhãn] IDA Global - I - 2430 - Chấn Phong - Picosuper 280SC (nước trắng sữa) - 240ml - 40")</f>
        <v>[Nhãn] IDA Global - I - 2430 - Chấn Phong - Picosuper 280SC (nước trắng sữa) - 240ml - 40</v>
      </c>
      <c r="E3075" s="87" t="str">
        <f>IFERROR(__xludf.DUMMYFUNCTION("""COMPUTED_VALUE"""),"PICOSUPER 280SC")</f>
        <v>PICOSUPER 280SC</v>
      </c>
      <c r="F3075" s="87" t="str">
        <f>IFERROR(__xludf.DUMMYFUNCTION("""COMPUTED_VALUE"""),"HH2430")</f>
        <v>HH2430</v>
      </c>
      <c r="G3075" s="87" t="str">
        <f>IFERROR(__xludf.DUMMYFUNCTION("""COMPUTED_VALUE"""),"IDA Global - I - 2430 - Chấn Phong - Picosuper 280SC (nước trắng sữa) - 240ml - 40")</f>
        <v>IDA Global - I - 2430 - Chấn Phong - Picosuper 280SC (nước trắng sữa) - 240ml - 40</v>
      </c>
    </row>
    <row r="3076">
      <c r="A3076" s="86">
        <f>IFERROR(__xludf.DUMMYFUNCTION("""COMPUTED_VALUE"""),3074.0)</f>
        <v>3074</v>
      </c>
      <c r="B3076" s="87" t="str">
        <f>IFERROR(__xludf.DUMMYFUNCTION("""COMPUTED_VALUE"""),"Nhãn")</f>
        <v>Nhãn</v>
      </c>
      <c r="C3076" s="87" t="str">
        <f>IFERROR(__xludf.DUMMYFUNCTION("""COMPUTED_VALUE"""),"NHG2433")</f>
        <v>NHG2433</v>
      </c>
      <c r="D3076" s="87" t="str">
        <f>IFERROR(__xludf.DUMMYFUNCTION("""COMPUTED_VALUE"""),"[Nhãn]  IDA Global - I - 2433 - Nhện đỏ (Nước đỏ) - 240ml - 60")</f>
        <v>[Nhãn]  IDA Global - I - 2433 - Nhện đỏ (Nước đỏ) - 240ml - 60</v>
      </c>
      <c r="E3076" s="87" t="str">
        <f>IFERROR(__xludf.DUMMYFUNCTION("""COMPUTED_VALUE"""),"Chitin 3.6EC")</f>
        <v>Chitin 3.6EC</v>
      </c>
      <c r="F3076" s="87" t="str">
        <f>IFERROR(__xludf.DUMMYFUNCTION("""COMPUTED_VALUE"""),"HH2433")</f>
        <v>HH2433</v>
      </c>
      <c r="G3076" s="87" t="str">
        <f>IFERROR(__xludf.DUMMYFUNCTION("""COMPUTED_VALUE"""),"IDA Global - I - 2433 - Nhện đỏ (Nước đỏ) - 240ml - 60")</f>
        <v>IDA Global - I - 2433 - Nhện đỏ (Nước đỏ) - 240ml - 60</v>
      </c>
    </row>
    <row r="3077">
      <c r="A3077" s="86">
        <f>IFERROR(__xludf.DUMMYFUNCTION("""COMPUTED_VALUE"""),3075.0)</f>
        <v>3075</v>
      </c>
      <c r="B3077" s="87" t="str">
        <f>IFERROR(__xludf.DUMMYFUNCTION("""COMPUTED_VALUE"""),"Nhãn")</f>
        <v>Nhãn</v>
      </c>
      <c r="C3077" s="87" t="str">
        <f>IFERROR(__xludf.DUMMYFUNCTION("""COMPUTED_VALUE"""),"NHD2434")</f>
        <v>NHD2434</v>
      </c>
      <c r="D3077" s="87" t="str">
        <f>IFERROR(__xludf.DUMMYFUNCTION("""COMPUTED_VALUE"""),"[Nhãn] IDA Global - I - 2434 - Siêu diệt rầy (rệp) (Nước tím) - 450ml - 40")</f>
        <v>[Nhãn] IDA Global - I - 2434 - Siêu diệt rầy (rệp) (Nước tím) - 450ml - 40</v>
      </c>
      <c r="E3077" s="87" t="str">
        <f>IFERROR(__xludf.DUMMYFUNCTION("""COMPUTED_VALUE"""),"ABASBA 50EC")</f>
        <v>ABASBA 50EC</v>
      </c>
      <c r="F3077" s="87" t="str">
        <f>IFERROR(__xludf.DUMMYFUNCTION("""COMPUTED_VALUE"""),"HH2434")</f>
        <v>HH2434</v>
      </c>
      <c r="G3077" s="87" t="str">
        <f>IFERROR(__xludf.DUMMYFUNCTION("""COMPUTED_VALUE"""),"IDA Global - I - 2434 - Siêu diệt rầy (rệp) (Nước tím) - 450ml - 40")</f>
        <v>IDA Global - I - 2434 - Siêu diệt rầy (rệp) (Nước tím) - 450ml - 40</v>
      </c>
    </row>
    <row r="3078">
      <c r="A3078" s="86">
        <f>IFERROR(__xludf.DUMMYFUNCTION("""COMPUTED_VALUE"""),3076.0)</f>
        <v>3076</v>
      </c>
      <c r="B3078" s="87" t="str">
        <f>IFERROR(__xludf.DUMMYFUNCTION("""COMPUTED_VALUE"""),"Nhãn")</f>
        <v>Nhãn</v>
      </c>
      <c r="C3078" s="87" t="str">
        <f>IFERROR(__xludf.DUMMYFUNCTION("""COMPUTED_VALUE"""),"NHD2435")</f>
        <v>NHD2435</v>
      </c>
      <c r="D3078" s="87" t="str">
        <f>IFERROR(__xludf.DUMMYFUNCTION("""COMPUTED_VALUE"""),"[Nhãn] IDA Global - I -  2435 - Diệt nhện Taiwan (Nước xanh lá) - 480ml - 40")</f>
        <v>[Nhãn] IDA Global - I -  2435 - Diệt nhện Taiwan (Nước xanh lá) - 480ml - 40</v>
      </c>
      <c r="E3078" s="87" t="str">
        <f>IFERROR(__xludf.DUMMYFUNCTION("""COMPUTED_VALUE"""),"Chitin 3.6EC")</f>
        <v>Chitin 3.6EC</v>
      </c>
      <c r="F3078" s="87" t="str">
        <f>IFERROR(__xludf.DUMMYFUNCTION("""COMPUTED_VALUE"""),"HH2435")</f>
        <v>HH2435</v>
      </c>
      <c r="G3078" s="87" t="str">
        <f>IFERROR(__xludf.DUMMYFUNCTION("""COMPUTED_VALUE"""),"IDA Global - I -  2435 - Diệt nhện Taiwan (Nước xanh lá) - 480ml - 40")</f>
        <v>IDA Global - I -  2435 - Diệt nhện Taiwan (Nước xanh lá) - 480ml - 40</v>
      </c>
    </row>
    <row r="3079">
      <c r="A3079" s="86">
        <f>IFERROR(__xludf.DUMMYFUNCTION("""COMPUTED_VALUE"""),3077.0)</f>
        <v>3077</v>
      </c>
      <c r="B3079" s="87" t="str">
        <f>IFERROR(__xludf.DUMMYFUNCTION("""COMPUTED_VALUE"""),"Nhãn")</f>
        <v>Nhãn</v>
      </c>
      <c r="C3079" s="87" t="str">
        <f>IFERROR(__xludf.DUMMYFUNCTION("""COMPUTED_VALUE"""),"NHD2436")</f>
        <v>NHD2436</v>
      </c>
      <c r="D3079" s="87" t="str">
        <f>IFERROR(__xludf.DUMMYFUNCTION("""COMPUTED_VALUE"""),"[Nhãn] IDA Global - I - 2436 - IDA Organic (Nước nâu đen) - 5L - 4")</f>
        <v>[Nhãn] IDA Global - I - 2436 - IDA Organic (Nước nâu đen) - 5L - 4</v>
      </c>
      <c r="E3079" s="87" t="str">
        <f>IFERROR(__xludf.DUMMYFUNCTION("""COMPUTED_VALUE"""),"Vi lượng Quantity New")</f>
        <v>Vi lượng Quantity New</v>
      </c>
      <c r="F3079" s="87" t="str">
        <f>IFERROR(__xludf.DUMMYFUNCTION("""COMPUTED_VALUE"""),"HH2436")</f>
        <v>HH2436</v>
      </c>
      <c r="G3079" s="87" t="str">
        <f>IFERROR(__xludf.DUMMYFUNCTION("""COMPUTED_VALUE"""),"IDA Global - I - 2436 - IDA Organic (Nước nâu đen) - 5L - 4")</f>
        <v>IDA Global - I - 2436 - IDA Organic (Nước nâu đen) - 5L - 4</v>
      </c>
    </row>
    <row r="3080">
      <c r="A3080" s="86">
        <f>IFERROR(__xludf.DUMMYFUNCTION("""COMPUTED_VALUE"""),3078.0)</f>
        <v>3078</v>
      </c>
      <c r="B3080" s="87" t="str">
        <f>IFERROR(__xludf.DUMMYFUNCTION("""COMPUTED_VALUE"""),"Nhãn thùng")</f>
        <v>Nhãn thùng</v>
      </c>
      <c r="C3080" s="87" t="str">
        <f>IFERROR(__xludf.DUMMYFUNCTION("""COMPUTED_VALUE"""),"NDT2436")</f>
        <v>NDT2436</v>
      </c>
      <c r="D3080" s="87" t="str">
        <f>IFERROR(__xludf.DUMMYFUNCTION("""COMPUTED_VALUE"""),"[Nhãn thùng] IDA Global - I - 2436 - IDA Organic (Nước nâu đen) - 5L - 4")</f>
        <v>[Nhãn thùng] IDA Global - I - 2436 - IDA Organic (Nước nâu đen) - 5L - 4</v>
      </c>
      <c r="E3080" s="87" t="str">
        <f>IFERROR(__xludf.DUMMYFUNCTION("""COMPUTED_VALUE"""),"Vi lượng Quantity New")</f>
        <v>Vi lượng Quantity New</v>
      </c>
      <c r="F3080" s="87" t="str">
        <f>IFERROR(__xludf.DUMMYFUNCTION("""COMPUTED_VALUE"""),"HH2436")</f>
        <v>HH2436</v>
      </c>
      <c r="G3080" s="87" t="str">
        <f>IFERROR(__xludf.DUMMYFUNCTION("""COMPUTED_VALUE"""),"IDA Global - I - 2436 - IDA Organic (Nước nâu đen) - 5L - 4")</f>
        <v>IDA Global - I - 2436 - IDA Organic (Nước nâu đen) - 5L - 4</v>
      </c>
    </row>
    <row r="3081">
      <c r="A3081" s="86">
        <f>IFERROR(__xludf.DUMMYFUNCTION("""COMPUTED_VALUE"""),3079.0)</f>
        <v>3079</v>
      </c>
      <c r="B3081" s="87" t="str">
        <f>IFERROR(__xludf.DUMMYFUNCTION("""COMPUTED_VALUE"""),"Nhãn")</f>
        <v>Nhãn</v>
      </c>
      <c r="C3081" s="87" t="str">
        <f>IFERROR(__xludf.DUMMYFUNCTION("""COMPUTED_VALUE"""),"NHG2443")</f>
        <v>NHG2443</v>
      </c>
      <c r="D3081" s="87" t="str">
        <f>IFERROR(__xludf.DUMMYFUNCTION("""COMPUTED_VALUE"""),"[Nhãn] IDA Global - I - 2443 - Bimsuper 650SC (Drone) (nước hồng cam) - 480ml - 40")</f>
        <v>[Nhãn] IDA Global - I - 2443 - Bimsuper 650SC (Drone) (nước hồng cam) - 480ml - 40</v>
      </c>
      <c r="E3081" s="87" t="str">
        <f>IFERROR(__xludf.DUMMYFUNCTION("""COMPUTED_VALUE"""),"BIMSUPER 650SC")</f>
        <v>BIMSUPER 650SC</v>
      </c>
      <c r="F3081" s="87" t="str">
        <f>IFERROR(__xludf.DUMMYFUNCTION("""COMPUTED_VALUE"""),"HH2443")</f>
        <v>HH2443</v>
      </c>
      <c r="G3081" s="87" t="str">
        <f>IFERROR(__xludf.DUMMYFUNCTION("""COMPUTED_VALUE"""),"IDA Global - I - 2443 - Bimsuper 650SC (Drone) (nước hồng cam) - 480ml - 40")</f>
        <v>IDA Global - I - 2443 - Bimsuper 650SC (Drone) (nước hồng cam) - 480ml - 40</v>
      </c>
    </row>
    <row r="3082">
      <c r="A3082" s="86">
        <f>IFERROR(__xludf.DUMMYFUNCTION("""COMPUTED_VALUE"""),3080.0)</f>
        <v>3080</v>
      </c>
      <c r="B3082" s="87" t="str">
        <f>IFERROR(__xludf.DUMMYFUNCTION("""COMPUTED_VALUE"""),"Nhãn")</f>
        <v>Nhãn</v>
      </c>
      <c r="C3082" s="87" t="str">
        <f>IFERROR(__xludf.DUMMYFUNCTION("""COMPUTED_VALUE"""),"NHG2450")</f>
        <v>NHG2450</v>
      </c>
      <c r="D3082" s="87" t="str">
        <f>IFERROR(__xludf.DUMMYFUNCTION("""COMPUTED_VALUE"""),"[Nhãn]  IDA Global - I - 2450- IDA GENOL 1.2SL (nước đỏ) - 480ml - 40")</f>
        <v>[Nhãn]  IDA Global - I - 2450- IDA GENOL 1.2SL (nước đỏ) - 480ml - 40</v>
      </c>
      <c r="E3082" s="87" t="str">
        <f>IFERROR(__xludf.DUMMYFUNCTION("""COMPUTED_VALUE"""),"GENOL 1.2SL")</f>
        <v>GENOL 1.2SL</v>
      </c>
      <c r="F3082" s="87" t="str">
        <f>IFERROR(__xludf.DUMMYFUNCTION("""COMPUTED_VALUE"""),"HH2450")</f>
        <v>HH2450</v>
      </c>
      <c r="G3082" s="87" t="str">
        <f>IFERROR(__xludf.DUMMYFUNCTION("""COMPUTED_VALUE"""),"IDA Global - I - 2450- IDA GENOL 1.2SL (nước đỏ) - 480ml - 40")</f>
        <v>IDA Global - I - 2450- IDA GENOL 1.2SL (nước đỏ) - 480ml - 40</v>
      </c>
    </row>
    <row r="3083">
      <c r="A3083" s="86">
        <f>IFERROR(__xludf.DUMMYFUNCTION("""COMPUTED_VALUE"""),3081.0)</f>
        <v>3081</v>
      </c>
      <c r="B3083" s="87" t="str">
        <f>IFERROR(__xludf.DUMMYFUNCTION("""COMPUTED_VALUE"""),"Nhãn")</f>
        <v>Nhãn</v>
      </c>
      <c r="C3083" s="87" t="str">
        <f>IFERROR(__xludf.DUMMYFUNCTION("""COMPUTED_VALUE"""),"NHG2456")</f>
        <v>NHG2456</v>
      </c>
      <c r="D3083" s="87" t="str">
        <f>IFERROR(__xludf.DUMMYFUNCTION("""COMPUTED_VALUE"""),"[Nhãn] IDA Global - I - 2456 - Cty Agrotech - Genol 1.2SL (nước đỏ) - 480ml - 40")</f>
        <v>[Nhãn] IDA Global - I - 2456 - Cty Agrotech - Genol 1.2SL (nước đỏ) - 480ml - 40</v>
      </c>
      <c r="E3083" s="87" t="str">
        <f>IFERROR(__xludf.DUMMYFUNCTION("""COMPUTED_VALUE"""),"GENOL 1.2SL")</f>
        <v>GENOL 1.2SL</v>
      </c>
      <c r="F3083" s="87" t="str">
        <f>IFERROR(__xludf.DUMMYFUNCTION("""COMPUTED_VALUE"""),"HH2456")</f>
        <v>HH2456</v>
      </c>
      <c r="G3083" s="87" t="str">
        <f>IFERROR(__xludf.DUMMYFUNCTION("""COMPUTED_VALUE"""),"IDA Global - I - 2456 - Cty Agrotech - Genol 1.2SL (nước đỏ) - 480ml - 40")</f>
        <v>IDA Global - I - 2456 - Cty Agrotech - Genol 1.2SL (nước đỏ) - 480ml - 40</v>
      </c>
    </row>
    <row r="3084">
      <c r="A3084" s="86">
        <f>IFERROR(__xludf.DUMMYFUNCTION("""COMPUTED_VALUE"""),3082.0)</f>
        <v>3082</v>
      </c>
      <c r="B3084" s="87" t="str">
        <f>IFERROR(__xludf.DUMMYFUNCTION("""COMPUTED_VALUE"""),"Nhãn")</f>
        <v>Nhãn</v>
      </c>
      <c r="C3084" s="87" t="str">
        <f>IFERROR(__xludf.DUMMYFUNCTION("""COMPUTED_VALUE"""),"NHG2460")</f>
        <v>NHG2460</v>
      </c>
      <c r="D3084" s="87" t="str">
        <f>IFERROR(__xludf.DUMMYFUNCTION("""COMPUTED_VALUE"""),"[Nhãn] IDA Global - I - 2460 - Cty Agronet - Genol 1.2SL (nước đỏ) - 350ml - 40")</f>
        <v>[Nhãn] IDA Global - I - 2460 - Cty Agronet - Genol 1.2SL (nước đỏ) - 350ml - 40</v>
      </c>
      <c r="E3084" s="87" t="str">
        <f>IFERROR(__xludf.DUMMYFUNCTION("""COMPUTED_VALUE"""),"GENOL 1.2SL")</f>
        <v>GENOL 1.2SL</v>
      </c>
      <c r="F3084" s="87" t="str">
        <f>IFERROR(__xludf.DUMMYFUNCTION("""COMPUTED_VALUE"""),"HH2460")</f>
        <v>HH2460</v>
      </c>
      <c r="G3084" s="87" t="str">
        <f>IFERROR(__xludf.DUMMYFUNCTION("""COMPUTED_VALUE"""),"IDA Global - I - 2460 - Cty Agronet - Genol 1.2SL (nước đỏ) - 350ml - 40")</f>
        <v>IDA Global - I - 2460 - Cty Agronet - Genol 1.2SL (nước đỏ) - 350ml - 40</v>
      </c>
    </row>
    <row r="3085">
      <c r="A3085" s="86">
        <f>IFERROR(__xludf.DUMMYFUNCTION("""COMPUTED_VALUE"""),3083.0)</f>
        <v>3083</v>
      </c>
      <c r="B3085" s="87" t="str">
        <f>IFERROR(__xludf.DUMMYFUNCTION("""COMPUTED_VALUE"""),"Nhãn")</f>
        <v>Nhãn</v>
      </c>
      <c r="C3085" s="87" t="str">
        <f>IFERROR(__xludf.DUMMYFUNCTION("""COMPUTED_VALUE"""),"NHG2463")</f>
        <v>NHG2463</v>
      </c>
      <c r="D3085" s="87" t="str">
        <f>IFERROR(__xludf.DUMMYFUNCTION("""COMPUTED_VALUE"""),"[Nhãn] IDA Global - I - 2463 - IDA Vil (Vàng) (HD trắng)(nắp vàng)(nước vàng) - 1L - 20")</f>
        <v>[Nhãn] IDA Global - I - 2463 - IDA Vil (Vàng) (HD trắng)(nắp vàng)(nước vàng) - 1L - 20</v>
      </c>
      <c r="E3085" s="87" t="str">
        <f>IFERROR(__xludf.DUMMYFUNCTION("""COMPUTED_VALUE"""),"Mekongvil 5SC")</f>
        <v>Mekongvil 5SC</v>
      </c>
      <c r="F3085" s="87" t="str">
        <f>IFERROR(__xludf.DUMMYFUNCTION("""COMPUTED_VALUE"""),"HH2463")</f>
        <v>HH2463</v>
      </c>
      <c r="G3085" s="87" t="str">
        <f>IFERROR(__xludf.DUMMYFUNCTION("""COMPUTED_VALUE"""),"IDA Global - I - 2463 - IDA Vil (Vàng) (HD trắng)(nắp vàng)(nước vàng) - 1L - 20")</f>
        <v>IDA Global - I - 2463 - IDA Vil (Vàng) (HD trắng)(nắp vàng)(nước vàng) - 1L - 20</v>
      </c>
    </row>
    <row r="3086">
      <c r="A3086" s="86">
        <f>IFERROR(__xludf.DUMMYFUNCTION("""COMPUTED_VALUE"""),3084.0)</f>
        <v>3084</v>
      </c>
      <c r="B3086" s="87" t="str">
        <f>IFERROR(__xludf.DUMMYFUNCTION("""COMPUTED_VALUE"""),"Nhãn")</f>
        <v>Nhãn</v>
      </c>
      <c r="C3086" s="87" t="str">
        <f>IFERROR(__xludf.DUMMYFUNCTION("""COMPUTED_VALUE"""),"NHG2464")</f>
        <v>NHG2464</v>
      </c>
      <c r="D3086" s="87" t="str">
        <f>IFERROR(__xludf.DUMMYFUNCTION("""COMPUTED_VALUE"""),"[Nhãn] IDA Global - I - 2464 - Tree Top (drone) - 450ml - 40")</f>
        <v>[Nhãn] IDA Global - I - 2464 - Tree Top (drone) - 450ml - 40</v>
      </c>
      <c r="E3086" s="87" t="str">
        <f>IFERROR(__xludf.DUMMYFUNCTION("""COMPUTED_VALUE"""),"Vi lượng Run Fast")</f>
        <v>Vi lượng Run Fast</v>
      </c>
      <c r="F3086" s="87" t="str">
        <f>IFERROR(__xludf.DUMMYFUNCTION("""COMPUTED_VALUE"""),"HH2464")</f>
        <v>HH2464</v>
      </c>
      <c r="G3086" s="87" t="str">
        <f>IFERROR(__xludf.DUMMYFUNCTION("""COMPUTED_VALUE"""),"IDA Global - I - 2464 - Tree Top (drone) - 450ml - 40")</f>
        <v>IDA Global - I - 2464 - Tree Top (drone) - 450ml - 40</v>
      </c>
    </row>
    <row r="3087">
      <c r="A3087" s="86">
        <f>IFERROR(__xludf.DUMMYFUNCTION("""COMPUTED_VALUE"""),3085.0)</f>
        <v>3085</v>
      </c>
      <c r="B3087" s="87" t="str">
        <f>IFERROR(__xludf.DUMMYFUNCTION("""COMPUTED_VALUE"""),"Nhãn")</f>
        <v>Nhãn</v>
      </c>
      <c r="C3087" s="87" t="str">
        <f>IFERROR(__xludf.DUMMYFUNCTION("""COMPUTED_VALUE"""),"NHG2465")</f>
        <v>NHG2465</v>
      </c>
      <c r="D3087" s="87" t="str">
        <f>IFERROR(__xludf.DUMMYFUNCTION("""COMPUTED_VALUE"""),"[Nhãn] IDA Global - I - 2465 - STOP UP (Nước nâu đen) - 1L - 20")</f>
        <v>[Nhãn] IDA Global - I - 2465 - STOP UP (Nước nâu đen) - 1L - 20</v>
      </c>
      <c r="E3087" s="87" t="str">
        <f>IFERROR(__xludf.DUMMYFUNCTION("""COMPUTED_VALUE"""),"Vi lượng Quantity New")</f>
        <v>Vi lượng Quantity New</v>
      </c>
      <c r="F3087" s="87" t="str">
        <f>IFERROR(__xludf.DUMMYFUNCTION("""COMPUTED_VALUE"""),"HH2465")</f>
        <v>HH2465</v>
      </c>
      <c r="G3087" s="87" t="str">
        <f>IFERROR(__xludf.DUMMYFUNCTION("""COMPUTED_VALUE"""),"IDA Global - I - 2465 - STOP UP (Nước nâu đen) - 1L - 20")</f>
        <v>IDA Global - I - 2465 - STOP UP (Nước nâu đen) - 1L - 20</v>
      </c>
    </row>
    <row r="3088">
      <c r="A3088" s="86">
        <f>IFERROR(__xludf.DUMMYFUNCTION("""COMPUTED_VALUE"""),3086.0)</f>
        <v>3086</v>
      </c>
      <c r="B3088" s="87" t="str">
        <f>IFERROR(__xludf.DUMMYFUNCTION("""COMPUTED_VALUE"""),"Nhãn")</f>
        <v>Nhãn</v>
      </c>
      <c r="C3088" s="87" t="str">
        <f>IFERROR(__xludf.DUMMYFUNCTION("""COMPUTED_VALUE"""),"NHG2466")</f>
        <v>NHG2466</v>
      </c>
      <c r="D3088" s="87" t="str">
        <f>IFERROR(__xludf.DUMMYFUNCTION("""COMPUTED_VALUE"""),"[Nhãn] IDA Global - I - 2466- Vatino Super 525SE (nước cam sữa) - 480ml - 40")</f>
        <v>[Nhãn] IDA Global - I - 2466- Vatino Super 525SE (nước cam sữa) - 480ml - 40</v>
      </c>
      <c r="E3088" s="87" t="str">
        <f>IFERROR(__xludf.DUMMYFUNCTION("""COMPUTED_VALUE"""),"VATINO SUPER 525SE")</f>
        <v>VATINO SUPER 525SE</v>
      </c>
      <c r="F3088" s="87" t="str">
        <f>IFERROR(__xludf.DUMMYFUNCTION("""COMPUTED_VALUE"""),"HH2466")</f>
        <v>HH2466</v>
      </c>
      <c r="G3088" s="87" t="str">
        <f>IFERROR(__xludf.DUMMYFUNCTION("""COMPUTED_VALUE"""),"IDA Global - I - 2466- Vatino Super 525SE (nước cam sữa) - 480ml - 40")</f>
        <v>IDA Global - I - 2466- Vatino Super 525SE (nước cam sữa) - 480ml - 40</v>
      </c>
    </row>
    <row r="3089">
      <c r="A3089" s="86">
        <f>IFERROR(__xludf.DUMMYFUNCTION("""COMPUTED_VALUE"""),3087.0)</f>
        <v>3087</v>
      </c>
      <c r="B3089" s="87" t="str">
        <f>IFERROR(__xludf.DUMMYFUNCTION("""COMPUTED_VALUE"""),"Nhãn")</f>
        <v>Nhãn</v>
      </c>
      <c r="C3089" s="87" t="str">
        <f>IFERROR(__xludf.DUMMYFUNCTION("""COMPUTED_VALUE"""),"NHG2467")</f>
        <v>NHG2467</v>
      </c>
      <c r="D3089" s="87" t="str">
        <f>IFERROR(__xludf.DUMMYFUNCTION("""COMPUTED_VALUE"""),"[Nhãn] IDA Global - I - 2467 - Genol 1.2SL - SẠCH BỆNH (nước đỏ) - 480ml - 40")</f>
        <v>[Nhãn] IDA Global - I - 2467 - Genol 1.2SL - SẠCH BỆNH (nước đỏ) - 480ml - 40</v>
      </c>
      <c r="E3089" s="87" t="str">
        <f>IFERROR(__xludf.DUMMYFUNCTION("""COMPUTED_VALUE"""),"GENOL 1.2SL")</f>
        <v>GENOL 1.2SL</v>
      </c>
      <c r="F3089" s="87" t="str">
        <f>IFERROR(__xludf.DUMMYFUNCTION("""COMPUTED_VALUE"""),"HH2467")</f>
        <v>HH2467</v>
      </c>
      <c r="G3089" s="87" t="str">
        <f>IFERROR(__xludf.DUMMYFUNCTION("""COMPUTED_VALUE"""),"IDA Global - I - 2467 - Genol 1.2SL - SẠCH BỆNH (nước đỏ) - 480ml - 40")</f>
        <v>IDA Global - I - 2467 - Genol 1.2SL - SẠCH BỆNH (nước đỏ) - 480ml - 40</v>
      </c>
    </row>
    <row r="3090">
      <c r="A3090" s="86">
        <f>IFERROR(__xludf.DUMMYFUNCTION("""COMPUTED_VALUE"""),3088.0)</f>
        <v>3088</v>
      </c>
      <c r="B3090" s="87" t="str">
        <f>IFERROR(__xludf.DUMMYFUNCTION("""COMPUTED_VALUE"""),"Nhãn")</f>
        <v>Nhãn</v>
      </c>
      <c r="C3090" s="87" t="str">
        <f>IFERROR(__xludf.DUMMYFUNCTION("""COMPUTED_VALUE"""),"NHG2469")</f>
        <v>NHG2469</v>
      </c>
      <c r="D3090" s="87" t="str">
        <f>IFERROR(__xludf.DUMMYFUNCTION("""COMPUTED_VALUE"""),"[Nhãn] IDA Global - I - 2469 - Flower Top Chuyên Lúa Và Rau Màu (drone) (Nước trắng sữa) - 450ml - 40")</f>
        <v>[Nhãn] IDA Global - I - 2469 - Flower Top Chuyên Lúa Và Rau Màu (drone) (Nước trắng sữa) - 450ml - 40</v>
      </c>
      <c r="E3090" s="87" t="str">
        <f>IFERROR(__xludf.DUMMYFUNCTION("""COMPUTED_VALUE"""),"Vi lượng Basel IDA 47")</f>
        <v>Vi lượng Basel IDA 47</v>
      </c>
      <c r="F3090" s="87" t="str">
        <f>IFERROR(__xludf.DUMMYFUNCTION("""COMPUTED_VALUE"""),"HH2469")</f>
        <v>HH2469</v>
      </c>
      <c r="G3090" s="87" t="str">
        <f>IFERROR(__xludf.DUMMYFUNCTION("""COMPUTED_VALUE"""),"IDA Global - I - 2469 - Flower Top Chuyên Lúa Và Rau Màu (drone) (Nước trắng sữa) - 450ml - 40")</f>
        <v>IDA Global - I - 2469 - Flower Top Chuyên Lúa Và Rau Màu (drone) (Nước trắng sữa) - 450ml - 40</v>
      </c>
    </row>
    <row r="3091">
      <c r="A3091" s="86">
        <f>IFERROR(__xludf.DUMMYFUNCTION("""COMPUTED_VALUE"""),3089.0)</f>
        <v>3089</v>
      </c>
      <c r="B3091" s="87" t="str">
        <f>IFERROR(__xludf.DUMMYFUNCTION("""COMPUTED_VALUE"""),"Nhãn thùng")</f>
        <v>Nhãn thùng</v>
      </c>
      <c r="C3091" s="87" t="str">
        <f>IFERROR(__xludf.DUMMYFUNCTION("""COMPUTED_VALUE"""),"NDT2469")</f>
        <v>NDT2469</v>
      </c>
      <c r="D3091" s="87" t="str">
        <f>IFERROR(__xludf.DUMMYFUNCTION("""COMPUTED_VALUE"""),"[Nhãn thùng] IDA Global - I - 2469 - Flower Top Chuyên Lúa Và Rau Màu (drone) (Nước trắng sữa) - 450ml - 40")</f>
        <v>[Nhãn thùng] IDA Global - I - 2469 - Flower Top Chuyên Lúa Và Rau Màu (drone) (Nước trắng sữa) - 450ml - 40</v>
      </c>
      <c r="E3091" s="87" t="str">
        <f>IFERROR(__xludf.DUMMYFUNCTION("""COMPUTED_VALUE"""),"Vi lượng Basel IDA 47")</f>
        <v>Vi lượng Basel IDA 47</v>
      </c>
      <c r="F3091" s="87" t="str">
        <f>IFERROR(__xludf.DUMMYFUNCTION("""COMPUTED_VALUE"""),"HH2469")</f>
        <v>HH2469</v>
      </c>
      <c r="G3091" s="87" t="str">
        <f>IFERROR(__xludf.DUMMYFUNCTION("""COMPUTED_VALUE"""),"IDA Global - I - 2469 - Flower Top Chuyên Lúa Và Rau Màu (drone) (Nước trắng sữa) - 450ml - 40")</f>
        <v>IDA Global - I - 2469 - Flower Top Chuyên Lúa Và Rau Màu (drone) (Nước trắng sữa) - 450ml - 40</v>
      </c>
    </row>
    <row r="3092">
      <c r="A3092" s="86">
        <f>IFERROR(__xludf.DUMMYFUNCTION("""COMPUTED_VALUE"""),3090.0)</f>
        <v>3090</v>
      </c>
      <c r="B3092" s="87" t="str">
        <f>IFERROR(__xludf.DUMMYFUNCTION("""COMPUTED_VALUE"""),"Nhãn")</f>
        <v>Nhãn</v>
      </c>
      <c r="C3092" s="87" t="str">
        <f>IFERROR(__xludf.DUMMYFUNCTION("""COMPUTED_VALUE"""),"NHG2470")</f>
        <v>NHG2470</v>
      </c>
      <c r="D3092" s="87" t="str">
        <f>IFERROR(__xludf.DUMMYFUNCTION("""COMPUTED_VALUE"""),"[Nhãn] IDA Global - I - 2470 - CỨNG CÂY 304 (Nước nâu đen) - 500ml - 40")</f>
        <v>[Nhãn] IDA Global - I - 2470 - CỨNG CÂY 304 (Nước nâu đen) - 500ml - 40</v>
      </c>
      <c r="E3092" s="87" t="str">
        <f>IFERROR(__xludf.DUMMYFUNCTION("""COMPUTED_VALUE"""),"Hữu cơ SH Agro Organic Fertilizer 20")</f>
        <v>Hữu cơ SH Agro Organic Fertilizer 20</v>
      </c>
      <c r="F3092" s="87" t="str">
        <f>IFERROR(__xludf.DUMMYFUNCTION("""COMPUTED_VALUE"""),"HH2470")</f>
        <v>HH2470</v>
      </c>
      <c r="G3092" s="87" t="str">
        <f>IFERROR(__xludf.DUMMYFUNCTION("""COMPUTED_VALUE"""),"IDA Global - I - 2470 - CỨNG CÂY 304 (Nước nâu đen) - 500ml - 40")</f>
        <v>IDA Global - I - 2470 - CỨNG CÂY 304 (Nước nâu đen) - 500ml - 40</v>
      </c>
    </row>
    <row r="3093">
      <c r="A3093" s="86">
        <f>IFERROR(__xludf.DUMMYFUNCTION("""COMPUTED_VALUE"""),3091.0)</f>
        <v>3091</v>
      </c>
      <c r="B3093" s="87" t="str">
        <f>IFERROR(__xludf.DUMMYFUNCTION("""COMPUTED_VALUE"""),"Nhãn")</f>
        <v>Nhãn</v>
      </c>
      <c r="C3093" s="87" t="str">
        <f>IFERROR(__xludf.DUMMYFUNCTION("""COMPUTED_VALUE"""),"NHG2471")</f>
        <v>NHG2471</v>
      </c>
      <c r="D3093" s="87" t="str">
        <f>IFERROR(__xludf.DUMMYFUNCTION("""COMPUTED_VALUE"""),"[Nhãn] IDA Global - I - 2471 - WINNER X2 (Nước đỏ cam) - 500ml - 40")</f>
        <v>[Nhãn] IDA Global - I - 2471 - WINNER X2 (Nước đỏ cam) - 500ml - 40</v>
      </c>
      <c r="E3093" s="87" t="str">
        <f>IFERROR(__xludf.DUMMYFUNCTION("""COMPUTED_VALUE"""),"NPK-Vi lượng MASSIVE-BLUE")</f>
        <v>NPK-Vi lượng MASSIVE-BLUE</v>
      </c>
      <c r="F3093" s="87" t="str">
        <f>IFERROR(__xludf.DUMMYFUNCTION("""COMPUTED_VALUE"""),"HH2471")</f>
        <v>HH2471</v>
      </c>
      <c r="G3093" s="87" t="str">
        <f>IFERROR(__xludf.DUMMYFUNCTION("""COMPUTED_VALUE"""),"IDA Global - I - 2471 - WINNER X2 (Nước đỏ cam) - 500ml - 40")</f>
        <v>IDA Global - I - 2471 - WINNER X2 (Nước đỏ cam) - 500ml - 40</v>
      </c>
    </row>
    <row r="3094">
      <c r="A3094" s="86">
        <f>IFERROR(__xludf.DUMMYFUNCTION("""COMPUTED_VALUE"""),3092.0)</f>
        <v>3092</v>
      </c>
      <c r="B3094" s="87" t="str">
        <f>IFERROR(__xludf.DUMMYFUNCTION("""COMPUTED_VALUE"""),"Nhãn")</f>
        <v>Nhãn</v>
      </c>
      <c r="C3094" s="87" t="str">
        <f>IFERROR(__xludf.DUMMYFUNCTION("""COMPUTED_VALUE"""),"NHD2473")</f>
        <v>NHD2473</v>
      </c>
      <c r="D3094" s="87" t="str">
        <f>IFERROR(__xludf.DUMMYFUNCTION("""COMPUTED_VALUE"""),"[Nhãn] LOT IDA Global - I - 2473 - BẠCH HỔ (Nước trong) - 450ml - 40")</f>
        <v>[Nhãn] LOT IDA Global - I - 2473 - BẠCH HỔ (Nước trong) - 450ml - 40</v>
      </c>
      <c r="E3094" s="87" t="str">
        <f>IFERROR(__xludf.DUMMYFUNCTION("""COMPUTED_VALUE"""),"HAIHAMEC 3.6EC")</f>
        <v>HAIHAMEC 3.6EC</v>
      </c>
      <c r="F3094" s="87" t="str">
        <f>IFERROR(__xludf.DUMMYFUNCTION("""COMPUTED_VALUE"""),"HH2473")</f>
        <v>HH2473</v>
      </c>
      <c r="G3094" s="87" t="str">
        <f>IFERROR(__xludf.DUMMYFUNCTION("""COMPUTED_VALUE"""),"LOT IDA Global - I - 2473 - BẠCH HỔ (Nước trong) - 450ml - 40")</f>
        <v>LOT IDA Global - I - 2473 - BẠCH HỔ (Nước trong) - 450ml - 40</v>
      </c>
    </row>
    <row r="3095">
      <c r="A3095" s="86">
        <f>IFERROR(__xludf.DUMMYFUNCTION("""COMPUTED_VALUE"""),3093.0)</f>
        <v>3093</v>
      </c>
      <c r="B3095" s="87" t="str">
        <f>IFERROR(__xludf.DUMMYFUNCTION("""COMPUTED_VALUE"""),"Nhãn thùng")</f>
        <v>Nhãn thùng</v>
      </c>
      <c r="C3095" s="87" t="str">
        <f>IFERROR(__xludf.DUMMYFUNCTION("""COMPUTED_VALUE"""),"NDT2473")</f>
        <v>NDT2473</v>
      </c>
      <c r="D3095" s="87" t="str">
        <f>IFERROR(__xludf.DUMMYFUNCTION("""COMPUTED_VALUE"""),"[Nhãn thùng] LOT IDA Global - I - 2473 - BẠCH HỔ (Nước trong) - 450ml - 40")</f>
        <v>[Nhãn thùng] LOT IDA Global - I - 2473 - BẠCH HỔ (Nước trong) - 450ml - 40</v>
      </c>
      <c r="E3095" s="87" t="str">
        <f>IFERROR(__xludf.DUMMYFUNCTION("""COMPUTED_VALUE"""),"HAIHAMEC 3.6EC")</f>
        <v>HAIHAMEC 3.6EC</v>
      </c>
      <c r="F3095" s="87" t="str">
        <f>IFERROR(__xludf.DUMMYFUNCTION("""COMPUTED_VALUE"""),"HH2473")</f>
        <v>HH2473</v>
      </c>
      <c r="G3095" s="87" t="str">
        <f>IFERROR(__xludf.DUMMYFUNCTION("""COMPUTED_VALUE"""),"LOT IDA Global - I - 2473 - BẠCH HỔ (Nước trong) - 450ml - 40")</f>
        <v>LOT IDA Global - I - 2473 - BẠCH HỔ (Nước trong) - 450ml - 40</v>
      </c>
    </row>
    <row r="3096">
      <c r="A3096" s="86">
        <f>IFERROR(__xludf.DUMMYFUNCTION("""COMPUTED_VALUE"""),3094.0)</f>
        <v>3094</v>
      </c>
      <c r="B3096" s="87" t="str">
        <f>IFERROR(__xludf.DUMMYFUNCTION("""COMPUTED_VALUE"""),"Nhãn")</f>
        <v>Nhãn</v>
      </c>
      <c r="C3096" s="87" t="str">
        <f>IFERROR(__xludf.DUMMYFUNCTION("""COMPUTED_VALUE"""),"NHG2478")</f>
        <v>NHG2478</v>
      </c>
      <c r="D3096" s="87" t="str">
        <f>IFERROR(__xludf.DUMMYFUNCTION("""COMPUTED_VALUE"""),"[Nhãn] IDA Global - I - 2478 - Vua Chim Trĩ (Nước trắng sữa) - 240ml - 40")</f>
        <v>[Nhãn] IDA Global - I - 2478 - Vua Chim Trĩ (Nước trắng sữa) - 240ml - 40</v>
      </c>
      <c r="E3096" s="87" t="str">
        <f>IFERROR(__xludf.DUMMYFUNCTION("""COMPUTED_VALUE"""),"VOTE 34.2SC")</f>
        <v>VOTE 34.2SC</v>
      </c>
      <c r="F3096" s="87" t="str">
        <f>IFERROR(__xludf.DUMMYFUNCTION("""COMPUTED_VALUE"""),"HH2478")</f>
        <v>HH2478</v>
      </c>
      <c r="G3096" s="87" t="str">
        <f>IFERROR(__xludf.DUMMYFUNCTION("""COMPUTED_VALUE"""),"IDA Global - I - 2478 - Vua Chim Trĩ (Nước trắng sữa) - 240ml - 40")</f>
        <v>IDA Global - I - 2478 - Vua Chim Trĩ (Nước trắng sữa) - 240ml - 40</v>
      </c>
    </row>
    <row r="3097">
      <c r="A3097" s="86">
        <f>IFERROR(__xludf.DUMMYFUNCTION("""COMPUTED_VALUE"""),3095.0)</f>
        <v>3095</v>
      </c>
      <c r="B3097" s="87" t="str">
        <f>IFERROR(__xludf.DUMMYFUNCTION("""COMPUTED_VALUE"""),"Nhãn thùng")</f>
        <v>Nhãn thùng</v>
      </c>
      <c r="C3097" s="87" t="str">
        <f>IFERROR(__xludf.DUMMYFUNCTION("""COMPUTED_VALUE"""),"NDT2478")</f>
        <v>NDT2478</v>
      </c>
      <c r="D3097" s="87" t="str">
        <f>IFERROR(__xludf.DUMMYFUNCTION("""COMPUTED_VALUE"""),"[Nhãn thùng] IDA Global - I - 2478 - Vua Chim Trĩ (Nước trắng sữa) - 240ml - 40")</f>
        <v>[Nhãn thùng] IDA Global - I - 2478 - Vua Chim Trĩ (Nước trắng sữa) - 240ml - 40</v>
      </c>
      <c r="E3097" s="87" t="str">
        <f>IFERROR(__xludf.DUMMYFUNCTION("""COMPUTED_VALUE"""),"VOTE 34.2SC")</f>
        <v>VOTE 34.2SC</v>
      </c>
      <c r="F3097" s="87" t="str">
        <f>IFERROR(__xludf.DUMMYFUNCTION("""COMPUTED_VALUE"""),"HH2478")</f>
        <v>HH2478</v>
      </c>
      <c r="G3097" s="87" t="str">
        <f>IFERROR(__xludf.DUMMYFUNCTION("""COMPUTED_VALUE"""),"IDA Global - I - 2478 - Vua Chim Trĩ (Nước trắng sữa) - 240ml - 40")</f>
        <v>IDA Global - I - 2478 - Vua Chim Trĩ (Nước trắng sữa) - 240ml - 40</v>
      </c>
    </row>
    <row r="3098">
      <c r="A3098" s="86">
        <f>IFERROR(__xludf.DUMMYFUNCTION("""COMPUTED_VALUE"""),3096.0)</f>
        <v>3096</v>
      </c>
      <c r="B3098" s="87" t="str">
        <f>IFERROR(__xludf.DUMMYFUNCTION("""COMPUTED_VALUE"""),"Nhãn")</f>
        <v>Nhãn</v>
      </c>
      <c r="C3098" s="87" t="str">
        <f>IFERROR(__xludf.DUMMYFUNCTION("""COMPUTED_VALUE"""),"NHG2479")</f>
        <v>NHG2479</v>
      </c>
      <c r="D3098" s="87" t="str">
        <f>IFERROR(__xludf.DUMMYFUNCTION("""COMPUTED_VALUE"""),"[Nhãn]  IDA Global - I - 2479 - Vua chim trĩ (Nước trắng sữa) - 100ml - 100")</f>
        <v>[Nhãn]  IDA Global - I - 2479 - Vua chim trĩ (Nước trắng sữa) - 100ml - 100</v>
      </c>
      <c r="E3098" s="87" t="str">
        <f>IFERROR(__xludf.DUMMYFUNCTION("""COMPUTED_VALUE"""),"VOTE 34.2SC")</f>
        <v>VOTE 34.2SC</v>
      </c>
      <c r="F3098" s="87" t="str">
        <f>IFERROR(__xludf.DUMMYFUNCTION("""COMPUTED_VALUE"""),"HH2479")</f>
        <v>HH2479</v>
      </c>
      <c r="G3098" s="87" t="str">
        <f>IFERROR(__xludf.DUMMYFUNCTION("""COMPUTED_VALUE"""),"IDA Global - I - 2479 - Vua chim trĩ (Nước trắng sữa) - 100ml - 100")</f>
        <v>IDA Global - I - 2479 - Vua chim trĩ (Nước trắng sữa) - 100ml - 100</v>
      </c>
    </row>
    <row r="3099">
      <c r="A3099" s="86">
        <f>IFERROR(__xludf.DUMMYFUNCTION("""COMPUTED_VALUE"""),3097.0)</f>
        <v>3097</v>
      </c>
      <c r="B3099" s="87" t="str">
        <f>IFERROR(__xludf.DUMMYFUNCTION("""COMPUTED_VALUE"""),"Nhãn")</f>
        <v>Nhãn</v>
      </c>
      <c r="C3099" s="87" t="str">
        <f>IFERROR(__xludf.DUMMYFUNCTION("""COMPUTED_VALUE"""),"NHG2480")</f>
        <v>NHG2480</v>
      </c>
      <c r="D3099" s="87" t="str">
        <f>IFERROR(__xludf.DUMMYFUNCTION("""COMPUTED_VALUE"""),"[Nhãn] IDA Global - I - 2480 - Flower Top Chuyên Cây Ăn Trái (drone) - 450ml - 40")</f>
        <v>[Nhãn] IDA Global - I - 2480 - Flower Top Chuyên Cây Ăn Trái (drone) - 450ml - 40</v>
      </c>
      <c r="E3099" s="87" t="str">
        <f>IFERROR(__xludf.DUMMYFUNCTION("""COMPUTED_VALUE"""),"Vi lượng Basel IDA 47")</f>
        <v>Vi lượng Basel IDA 47</v>
      </c>
      <c r="F3099" s="87" t="str">
        <f>IFERROR(__xludf.DUMMYFUNCTION("""COMPUTED_VALUE"""),"HH2480")</f>
        <v>HH2480</v>
      </c>
      <c r="G3099" s="87" t="str">
        <f>IFERROR(__xludf.DUMMYFUNCTION("""COMPUTED_VALUE"""),"IDA Global - I - 2480 - Flower Top Chuyên Cây Ăn Trái (drone) - 450ml - 40")</f>
        <v>IDA Global - I - 2480 - Flower Top Chuyên Cây Ăn Trái (drone) - 450ml - 40</v>
      </c>
    </row>
    <row r="3100">
      <c r="A3100" s="86">
        <f>IFERROR(__xludf.DUMMYFUNCTION("""COMPUTED_VALUE"""),3098.0)</f>
        <v>3098</v>
      </c>
      <c r="B3100" s="87" t="str">
        <f>IFERROR(__xludf.DUMMYFUNCTION("""COMPUTED_VALUE"""),"Nhãn thùng")</f>
        <v>Nhãn thùng</v>
      </c>
      <c r="C3100" s="87" t="str">
        <f>IFERROR(__xludf.DUMMYFUNCTION("""COMPUTED_VALUE"""),"NDT2480")</f>
        <v>NDT2480</v>
      </c>
      <c r="D3100" s="87" t="str">
        <f>IFERROR(__xludf.DUMMYFUNCTION("""COMPUTED_VALUE"""),"[Nhãn thùng] IDA Global - I - 2480 - Flower Top Chuyên Cây Ăn Trái (drone) - 450ml - 40")</f>
        <v>[Nhãn thùng] IDA Global - I - 2480 - Flower Top Chuyên Cây Ăn Trái (drone) - 450ml - 40</v>
      </c>
      <c r="E3100" s="87" t="str">
        <f>IFERROR(__xludf.DUMMYFUNCTION("""COMPUTED_VALUE"""),"Vi lượng Basel IDA 47")</f>
        <v>Vi lượng Basel IDA 47</v>
      </c>
      <c r="F3100" s="87" t="str">
        <f>IFERROR(__xludf.DUMMYFUNCTION("""COMPUTED_VALUE"""),"HH2480")</f>
        <v>HH2480</v>
      </c>
      <c r="G3100" s="87" t="str">
        <f>IFERROR(__xludf.DUMMYFUNCTION("""COMPUTED_VALUE"""),"IDA Global - I - 2480 - Flower Top Chuyên Cây Ăn Trái (drone) - 450ml - 40")</f>
        <v>IDA Global - I - 2480 - Flower Top Chuyên Cây Ăn Trái (drone) - 450ml - 40</v>
      </c>
    </row>
    <row r="3101">
      <c r="A3101" s="86">
        <f>IFERROR(__xludf.DUMMYFUNCTION("""COMPUTED_VALUE"""),3099.0)</f>
        <v>3099</v>
      </c>
      <c r="B3101" s="87" t="str">
        <f>IFERROR(__xludf.DUMMYFUNCTION("""COMPUTED_VALUE"""),"Nhãn")</f>
        <v>Nhãn</v>
      </c>
      <c r="C3101" s="87" t="str">
        <f>IFERROR(__xludf.DUMMYFUNCTION("""COMPUTED_VALUE"""),"NHG2483")</f>
        <v>NHG2483</v>
      </c>
      <c r="D3101" s="87" t="str">
        <f>IFERROR(__xludf.DUMMYFUNCTION("""COMPUTED_VALUE"""),"[Nhãn] IDA Global - I - 2483 - Ếch vàng 200 (Nước xanh dương) - 200ml - 40")</f>
        <v>[Nhãn] IDA Global - I - 2483 - Ếch vàng 200 (Nước xanh dương) - 200ml - 40</v>
      </c>
      <c r="E3101" s="87" t="str">
        <f>IFERROR(__xludf.DUMMYFUNCTION("""COMPUTED_VALUE"""),"NEW FUZE 200SC")</f>
        <v>NEW FUZE 200SC</v>
      </c>
      <c r="F3101" s="87" t="str">
        <f>IFERROR(__xludf.DUMMYFUNCTION("""COMPUTED_VALUE"""),"HH2483")</f>
        <v>HH2483</v>
      </c>
      <c r="G3101" s="87" t="str">
        <f>IFERROR(__xludf.DUMMYFUNCTION("""COMPUTED_VALUE"""),"IDA Global - I - 2483 - Ếch vàng 200 (Nước xanh dương) - 200ml - 40")</f>
        <v>IDA Global - I - 2483 - Ếch vàng 200 (Nước xanh dương) - 200ml - 40</v>
      </c>
    </row>
    <row r="3102">
      <c r="A3102" s="86" t="str">
        <f>IFERROR(__xludf.DUMMYFUNCTION("""COMPUTED_VALUE"""),"")</f>
        <v/>
      </c>
      <c r="B3102" s="87"/>
      <c r="C3102" s="87" t="str">
        <f>IFERROR(__xludf.DUMMYFUNCTION("""COMPUTED_VALUE"""),"Túi nhôm")</f>
        <v>Túi nhôm</v>
      </c>
      <c r="D3102" s="87" t="str">
        <f>IFERROR(__xludf.DUMMYFUNCTION("""COMPUTED_VALUE"""),"Nhãn in flexo")</f>
        <v>Nhãn in flexo</v>
      </c>
      <c r="E3102" s="87"/>
      <c r="F3102" s="87" t="str">
        <f>IFERROR(__xludf.DUMMYFUNCTION("""COMPUTED_VALUE"""),"Thùng chung PEST")</f>
        <v>Thùng chung PEST</v>
      </c>
      <c r="G3102" s="87"/>
    </row>
    <row r="3103">
      <c r="A3103" s="86">
        <f>IFERROR(__xludf.DUMMYFUNCTION("""COMPUTED_VALUE"""),3101.0)</f>
        <v>3101</v>
      </c>
      <c r="B3103" s="87" t="str">
        <f>IFERROR(__xludf.DUMMYFUNCTION("""COMPUTED_VALUE"""),"Nhãn")</f>
        <v>Nhãn</v>
      </c>
      <c r="C3103" s="87" t="str">
        <f>IFERROR(__xludf.DUMMYFUNCTION("""COMPUTED_VALUE"""),"NHG2485")</f>
        <v>NHG2485</v>
      </c>
      <c r="D3103" s="87" t="str">
        <f>IFERROR(__xludf.DUMMYFUNCTION("""COMPUTED_VALUE"""),"[Nhãn] IDA Global - I - 2485 - ĐL LÂM ANH TUẤN - IDA GENOL 1.2SL (nước đỏ) - 240ml - 40")</f>
        <v>[Nhãn] IDA Global - I - 2485 - ĐL LÂM ANH TUẤN - IDA GENOL 1.2SL (nước đỏ) - 240ml - 40</v>
      </c>
      <c r="E3103" s="87" t="str">
        <f>IFERROR(__xludf.DUMMYFUNCTION("""COMPUTED_VALUE"""),"GENOL 1.2SL")</f>
        <v>GENOL 1.2SL</v>
      </c>
      <c r="F3103" s="87" t="str">
        <f>IFERROR(__xludf.DUMMYFUNCTION("""COMPUTED_VALUE"""),"HH2485")</f>
        <v>HH2485</v>
      </c>
      <c r="G3103" s="87" t="str">
        <f>IFERROR(__xludf.DUMMYFUNCTION("""COMPUTED_VALUE"""),"IDA Global - I - 2485 - ĐL LÂM ANH TUẤN - IDA GENOL 1.2SL (nước đỏ) - 240ml - 40")</f>
        <v>IDA Global - I - 2485 - ĐL LÂM ANH TUẤN - IDA GENOL 1.2SL (nước đỏ) - 240ml - 40</v>
      </c>
    </row>
    <row r="3104">
      <c r="A3104" s="86">
        <f>IFERROR(__xludf.DUMMYFUNCTION("""COMPUTED_VALUE"""),3102.0)</f>
        <v>3102</v>
      </c>
      <c r="B3104" s="87" t="str">
        <f>IFERROR(__xludf.DUMMYFUNCTION("""COMPUTED_VALUE"""),"Nhãn")</f>
        <v>Nhãn</v>
      </c>
      <c r="C3104" s="87" t="str">
        <f>IFERROR(__xludf.DUMMYFUNCTION("""COMPUTED_VALUE"""),"NTN2487")</f>
        <v>NTN2487</v>
      </c>
      <c r="D3104" s="87" t="str">
        <f>IFERROR(__xludf.DUMMYFUNCTION("""COMPUTED_VALUE"""),"[Nhãn] IDA Global - I - 2487 - Ra Rễ - Mập Chồi (Nước hồng) - 50ml - 300")</f>
        <v>[Nhãn] IDA Global - I - 2487 - Ra Rễ - Mập Chồi (Nước hồng) - 50ml - 300</v>
      </c>
      <c r="E3104" s="87" t="str">
        <f>IFERROR(__xludf.DUMMYFUNCTION("""COMPUTED_VALUE"""),"Hỗn hợp NPK BASEL NPK 6-16-3 IDA 15")</f>
        <v>Hỗn hợp NPK BASEL NPK 6-16-3 IDA 15</v>
      </c>
      <c r="F3104" s="87" t="str">
        <f>IFERROR(__xludf.DUMMYFUNCTION("""COMPUTED_VALUE"""),"HH2487")</f>
        <v>HH2487</v>
      </c>
      <c r="G3104" s="87" t="str">
        <f>IFERROR(__xludf.DUMMYFUNCTION("""COMPUTED_VALUE"""),"IDA Global - I - 2487 - Ra Rễ - Mập Chồi (Nước hồng) - 50ml - 300")</f>
        <v>IDA Global - I - 2487 - Ra Rễ - Mập Chồi (Nước hồng) - 50ml - 300</v>
      </c>
    </row>
    <row r="3105">
      <c r="A3105" s="86">
        <f>IFERROR(__xludf.DUMMYFUNCTION("""COMPUTED_VALUE"""),3103.0)</f>
        <v>3103</v>
      </c>
      <c r="B3105" s="87" t="str">
        <f>IFERROR(__xludf.DUMMYFUNCTION("""COMPUTED_VALUE"""),"Nhãn thùng")</f>
        <v>Nhãn thùng</v>
      </c>
      <c r="C3105" s="87" t="str">
        <f>IFERROR(__xludf.DUMMYFUNCTION("""COMPUTED_VALUE"""),"NDT2487")</f>
        <v>NDT2487</v>
      </c>
      <c r="D3105" s="87" t="str">
        <f>IFERROR(__xludf.DUMMYFUNCTION("""COMPUTED_VALUE"""),"[Nhãn thùng] IDA Global - I - 2487 - Ra Rễ - Mập Chồi (Nước hồng) - 50ml - 300")</f>
        <v>[Nhãn thùng] IDA Global - I - 2487 - Ra Rễ - Mập Chồi (Nước hồng) - 50ml - 300</v>
      </c>
      <c r="E3105" s="87" t="str">
        <f>IFERROR(__xludf.DUMMYFUNCTION("""COMPUTED_VALUE"""),"Hỗn hợp NPK BASEL NPK 6-16-3 IDA 15")</f>
        <v>Hỗn hợp NPK BASEL NPK 6-16-3 IDA 15</v>
      </c>
      <c r="F3105" s="87" t="str">
        <f>IFERROR(__xludf.DUMMYFUNCTION("""COMPUTED_VALUE"""),"HH2487")</f>
        <v>HH2487</v>
      </c>
      <c r="G3105" s="87" t="str">
        <f>IFERROR(__xludf.DUMMYFUNCTION("""COMPUTED_VALUE"""),"IDA Global - I - 2487 - Ra Rễ - Mập Chồi (Nước hồng) - 50ml - 300")</f>
        <v>IDA Global - I - 2487 - Ra Rễ - Mập Chồi (Nước hồng) - 50ml - 300</v>
      </c>
    </row>
    <row r="3106">
      <c r="A3106" s="86">
        <f>IFERROR(__xludf.DUMMYFUNCTION("""COMPUTED_VALUE"""),3104.0)</f>
        <v>3104</v>
      </c>
      <c r="B3106" s="87" t="str">
        <f>IFERROR(__xludf.DUMMYFUNCTION("""COMPUTED_VALUE"""),"Nhãn")</f>
        <v>Nhãn</v>
      </c>
      <c r="C3106" s="87" t="str">
        <f>IFERROR(__xludf.DUMMYFUNCTION("""COMPUTED_VALUE"""),"NHG2488")</f>
        <v>NHG2488</v>
      </c>
      <c r="D3106" s="87" t="str">
        <f>IFERROR(__xludf.DUMMYFUNCTION("""COMPUTED_VALUE"""),"[Nhãn] IDA Global - I - 2488 - Picosuper 280SC (nước trắng sữa) - 250ml - 40")</f>
        <v>[Nhãn] IDA Global - I - 2488 - Picosuper 280SC (nước trắng sữa) - 250ml - 40</v>
      </c>
      <c r="E3106" s="87" t="str">
        <f>IFERROR(__xludf.DUMMYFUNCTION("""COMPUTED_VALUE"""),"PICOSUPER 280SC")</f>
        <v>PICOSUPER 280SC</v>
      </c>
      <c r="F3106" s="87" t="str">
        <f>IFERROR(__xludf.DUMMYFUNCTION("""COMPUTED_VALUE"""),"HH2488")</f>
        <v>HH2488</v>
      </c>
      <c r="G3106" s="87" t="str">
        <f>IFERROR(__xludf.DUMMYFUNCTION("""COMPUTED_VALUE"""),"IDA Global - I - 2488 - Picosuper 280SC (nước trắng sữa) - 250ml - 40")</f>
        <v>IDA Global - I - 2488 - Picosuper 280SC (nước trắng sữa) - 250ml - 40</v>
      </c>
    </row>
    <row r="3107">
      <c r="A3107" s="86">
        <f>IFERROR(__xludf.DUMMYFUNCTION("""COMPUTED_VALUE"""),3105.0)</f>
        <v>3105</v>
      </c>
      <c r="B3107" s="87" t="str">
        <f>IFERROR(__xludf.DUMMYFUNCTION("""COMPUTED_VALUE"""),"Nhãn")</f>
        <v>Nhãn</v>
      </c>
      <c r="C3107" s="87" t="str">
        <f>IFERROR(__xludf.DUMMYFUNCTION("""COMPUTED_VALUE"""),"NHD2490")</f>
        <v>NHD2490</v>
      </c>
      <c r="D3107" s="87" t="str">
        <f>IFERROR(__xludf.DUMMYFUNCTION("""COMPUTED_VALUE"""),"[Nhãn] LOT IDA Global - I - 2490 - Thần Hổ 1.9 (nước vàng trà) - 450ml - 40")</f>
        <v>[Nhãn] LOT IDA Global - I - 2490 - Thần Hổ 1.9 (nước vàng trà) - 450ml - 40</v>
      </c>
      <c r="E3107" s="87" t="str">
        <f>IFERROR(__xludf.DUMMYFUNCTION("""COMPUTED_VALUE"""),"Creek 2.1EC")</f>
        <v>Creek 2.1EC</v>
      </c>
      <c r="F3107" s="87" t="str">
        <f>IFERROR(__xludf.DUMMYFUNCTION("""COMPUTED_VALUE"""),"HH2490")</f>
        <v>HH2490</v>
      </c>
      <c r="G3107" s="87" t="str">
        <f>IFERROR(__xludf.DUMMYFUNCTION("""COMPUTED_VALUE"""),"LOT IDA Global - I - 2490 - Thần Hổ 1.9 (nước vàng trà) - 450ml - 40")</f>
        <v>LOT IDA Global - I - 2490 - Thần Hổ 1.9 (nước vàng trà) - 450ml - 40</v>
      </c>
    </row>
    <row r="3108">
      <c r="A3108" s="86">
        <f>IFERROR(__xludf.DUMMYFUNCTION("""COMPUTED_VALUE"""),3106.0)</f>
        <v>3106</v>
      </c>
      <c r="B3108" s="87" t="str">
        <f>IFERROR(__xludf.DUMMYFUNCTION("""COMPUTED_VALUE"""),"Nhãn thùng")</f>
        <v>Nhãn thùng</v>
      </c>
      <c r="C3108" s="87" t="str">
        <f>IFERROR(__xludf.DUMMYFUNCTION("""COMPUTED_VALUE"""),"NDT2490")</f>
        <v>NDT2490</v>
      </c>
      <c r="D3108" s="87" t="str">
        <f>IFERROR(__xludf.DUMMYFUNCTION("""COMPUTED_VALUE"""),"[Nhãn thùng] LOT IDA Global - I - 2490 - Thần Hổ 1.9 (nước vàng trà) - 450ml - 40")</f>
        <v>[Nhãn thùng] LOT IDA Global - I - 2490 - Thần Hổ 1.9 (nước vàng trà) - 450ml - 40</v>
      </c>
      <c r="E3108" s="87" t="str">
        <f>IFERROR(__xludf.DUMMYFUNCTION("""COMPUTED_VALUE"""),"Creek 2.1EC")</f>
        <v>Creek 2.1EC</v>
      </c>
      <c r="F3108" s="87" t="str">
        <f>IFERROR(__xludf.DUMMYFUNCTION("""COMPUTED_VALUE"""),"HH2490")</f>
        <v>HH2490</v>
      </c>
      <c r="G3108" s="87" t="str">
        <f>IFERROR(__xludf.DUMMYFUNCTION("""COMPUTED_VALUE"""),"LOT IDA Global - I - 2490 - Thần Hổ 1.9 (nước vàng trà) - 450ml - 40")</f>
        <v>LOT IDA Global - I - 2490 - Thần Hổ 1.9 (nước vàng trà) - 450ml - 40</v>
      </c>
    </row>
    <row r="3109">
      <c r="A3109" s="86">
        <f>IFERROR(__xludf.DUMMYFUNCTION("""COMPUTED_VALUE"""),3107.0)</f>
        <v>3107</v>
      </c>
      <c r="B3109" s="87" t="str">
        <f>IFERROR(__xludf.DUMMYFUNCTION("""COMPUTED_VALUE"""),"[Nhãn]")</f>
        <v>[Nhãn]</v>
      </c>
      <c r="C3109" s="87" t="str">
        <f>IFERROR(__xludf.DUMMYFUNCTION("""COMPUTED_VALUE"""),"NHD2490")</f>
        <v>NHD2490</v>
      </c>
      <c r="D3109" s="87" t="str">
        <f>IFERROR(__xludf.DUMMYFUNCTION("""COMPUTED_VALUE"""),"[Nhãn] LOT IDA Global - I - 2490 - Thần Hổ 1.9 (nước vàng trà) - 450ml - 40")</f>
        <v>[Nhãn] LOT IDA Global - I - 2490 - Thần Hổ 1.9 (nước vàng trà) - 450ml - 40</v>
      </c>
      <c r="E3109" s="87" t="str">
        <f>IFERROR(__xludf.DUMMYFUNCTION("""COMPUTED_VALUE"""),"Creek 2.1EC")</f>
        <v>Creek 2.1EC</v>
      </c>
      <c r="F3109" s="87" t="str">
        <f>IFERROR(__xludf.DUMMYFUNCTION("""COMPUTED_VALUE"""),"HH2490")</f>
        <v>HH2490</v>
      </c>
      <c r="G3109" s="87" t="str">
        <f>IFERROR(__xludf.DUMMYFUNCTION("""COMPUTED_VALUE"""),"LOT IDA Global - I - 2490 - Thần Hổ 1.9 (nước vàng trà) - 450ml - 40")</f>
        <v>LOT IDA Global - I - 2490 - Thần Hổ 1.9 (nước vàng trà) - 450ml - 40</v>
      </c>
    </row>
    <row r="3110">
      <c r="A3110" s="86">
        <f>IFERROR(__xludf.DUMMYFUNCTION("""COMPUTED_VALUE"""),3108.0)</f>
        <v>3108</v>
      </c>
      <c r="B3110" s="87" t="str">
        <f>IFERROR(__xludf.DUMMYFUNCTION("""COMPUTED_VALUE"""),"Nhãn")</f>
        <v>Nhãn</v>
      </c>
      <c r="C3110" s="87" t="str">
        <f>IFERROR(__xludf.DUMMYFUNCTION("""COMPUTED_VALUE"""),"NHG2491")</f>
        <v>NHG2491</v>
      </c>
      <c r="D3110" s="87" t="str">
        <f>IFERROR(__xludf.DUMMYFUNCTION("""COMPUTED_VALUE"""),"[Nhãn] IDA Global - I - 2491 - ĐL ĐỨC MINH - IDA VIL 5SC (Nước vàng) - 1L - 20")</f>
        <v>[Nhãn] IDA Global - I - 2491 - ĐL ĐỨC MINH - IDA VIL 5SC (Nước vàng) - 1L - 20</v>
      </c>
      <c r="E3110" s="87" t="str">
        <f>IFERROR(__xludf.DUMMYFUNCTION("""COMPUTED_VALUE"""),"Mekongvil 5SC")</f>
        <v>Mekongvil 5SC</v>
      </c>
      <c r="F3110" s="87" t="str">
        <f>IFERROR(__xludf.DUMMYFUNCTION("""COMPUTED_VALUE"""),"HH2491")</f>
        <v>HH2491</v>
      </c>
      <c r="G3110" s="87" t="str">
        <f>IFERROR(__xludf.DUMMYFUNCTION("""COMPUTED_VALUE"""),"IDA Global - I - 2491 - ĐL ĐỨC MINH - IDA VIL 5SC (Nước vàng) - 1L - 20")</f>
        <v>IDA Global - I - 2491 - ĐL ĐỨC MINH - IDA VIL 5SC (Nước vàng) - 1L - 20</v>
      </c>
    </row>
    <row r="3111">
      <c r="A3111" s="86">
        <f>IFERROR(__xludf.DUMMYFUNCTION("""COMPUTED_VALUE"""),3109.0)</f>
        <v>3109</v>
      </c>
      <c r="B3111" s="87" t="str">
        <f>IFERROR(__xludf.DUMMYFUNCTION("""COMPUTED_VALUE"""),"Nhãn")</f>
        <v>Nhãn</v>
      </c>
      <c r="C3111" s="87" t="str">
        <f>IFERROR(__xludf.DUMMYFUNCTION("""COMPUTED_VALUE"""),"NTN2496")</f>
        <v>NTN2496</v>
      </c>
      <c r="D3111" s="87" t="str">
        <f>IFERROR(__xludf.DUMMYFUNCTION("""COMPUTED_VALUE"""),"[Nhãn] LOT IDA Global - I - 2496 - ĐL Hai Nhóm - Mancozeb xanh (bột xanh) - 1kg - 20")</f>
        <v>[Nhãn] LOT IDA Global - I - 2496 - ĐL Hai Nhóm - Mancozeb xanh (bột xanh) - 1kg - 20</v>
      </c>
      <c r="E3111" s="87" t="str">
        <f>IFERROR(__xludf.DUMMYFUNCTION("""COMPUTED_VALUE"""),"MANCOBGO 80WP")</f>
        <v>MANCOBGO 80WP</v>
      </c>
      <c r="F3111" s="87" t="str">
        <f>IFERROR(__xludf.DUMMYFUNCTION("""COMPUTED_VALUE"""),"HH2496")</f>
        <v>HH2496</v>
      </c>
      <c r="G3111" s="87" t="str">
        <f>IFERROR(__xludf.DUMMYFUNCTION("""COMPUTED_VALUE"""),"LOT IDA Global - I - 2496 - ĐL Hai Nhóm - Mancozeb xanh (bột xanh) - 1kg - 20")</f>
        <v>LOT IDA Global - I - 2496 - ĐL Hai Nhóm - Mancozeb xanh (bột xanh) - 1kg - 20</v>
      </c>
    </row>
    <row r="3112">
      <c r="A3112" s="86">
        <f>IFERROR(__xludf.DUMMYFUNCTION("""COMPUTED_VALUE"""),3110.0)</f>
        <v>3110</v>
      </c>
      <c r="B3112" s="87" t="str">
        <f>IFERROR(__xludf.DUMMYFUNCTION("""COMPUTED_VALUE"""),"Nhãn thùng")</f>
        <v>Nhãn thùng</v>
      </c>
      <c r="C3112" s="87" t="str">
        <f>IFERROR(__xludf.DUMMYFUNCTION("""COMPUTED_VALUE"""),"NDT2496")</f>
        <v>NDT2496</v>
      </c>
      <c r="D3112" s="87" t="str">
        <f>IFERROR(__xludf.DUMMYFUNCTION("""COMPUTED_VALUE"""),"[Nhãn thùng] LOT IDA Global - I - 2496 - ĐL Hai Nhóm - Mancozeb xanh (bột xanh) - 1kg - 20")</f>
        <v>[Nhãn thùng] LOT IDA Global - I - 2496 - ĐL Hai Nhóm - Mancozeb xanh (bột xanh) - 1kg - 20</v>
      </c>
      <c r="E3112" s="87" t="str">
        <f>IFERROR(__xludf.DUMMYFUNCTION("""COMPUTED_VALUE"""),"MANCOBGO 80WP")</f>
        <v>MANCOBGO 80WP</v>
      </c>
      <c r="F3112" s="87" t="str">
        <f>IFERROR(__xludf.DUMMYFUNCTION("""COMPUTED_VALUE"""),"HH2496")</f>
        <v>HH2496</v>
      </c>
      <c r="G3112" s="87" t="str">
        <f>IFERROR(__xludf.DUMMYFUNCTION("""COMPUTED_VALUE"""),"LOT IDA Global - I - 2496 - ĐL Hai Nhóm - Mancozeb xanh (bột xanh) - 1kg - 20")</f>
        <v>LOT IDA Global - I - 2496 - ĐL Hai Nhóm - Mancozeb xanh (bột xanh) - 1kg - 20</v>
      </c>
    </row>
    <row r="3113">
      <c r="A3113" s="86">
        <f>IFERROR(__xludf.DUMMYFUNCTION("""COMPUTED_VALUE"""),3111.0)</f>
        <v>3111</v>
      </c>
      <c r="B3113" s="87" t="str">
        <f>IFERROR(__xludf.DUMMYFUNCTION("""COMPUTED_VALUE"""),"Nhãn")</f>
        <v>Nhãn</v>
      </c>
      <c r="C3113" s="87" t="str">
        <f>IFERROR(__xludf.DUMMYFUNCTION("""COMPUTED_VALUE"""),"NTN2497")</f>
        <v>NTN2497</v>
      </c>
      <c r="D3113" s="87" t="str">
        <f>IFERROR(__xludf.DUMMYFUNCTION("""COMPUTED_VALUE"""),"[Nhãn]  LOT IDA Global - I - 2497 - Mancozeb Xanh (Bột xanh) - 1kg - 20")</f>
        <v>[Nhãn]  LOT IDA Global - I - 2497 - Mancozeb Xanh (Bột xanh) - 1kg - 20</v>
      </c>
      <c r="E3113" s="87" t="str">
        <f>IFERROR(__xludf.DUMMYFUNCTION("""COMPUTED_VALUE"""),"MANCOBGO 80WP")</f>
        <v>MANCOBGO 80WP</v>
      </c>
      <c r="F3113" s="87" t="str">
        <f>IFERROR(__xludf.DUMMYFUNCTION("""COMPUTED_VALUE"""),"HH2497")</f>
        <v>HH2497</v>
      </c>
      <c r="G3113" s="87" t="str">
        <f>IFERROR(__xludf.DUMMYFUNCTION("""COMPUTED_VALUE"""),"LOT IDA Global - I - 2497 - Mancozeb Xanh (Bột xanh) - 1kg - 20")</f>
        <v>LOT IDA Global - I - 2497 - Mancozeb Xanh (Bột xanh) - 1kg - 20</v>
      </c>
    </row>
    <row r="3114">
      <c r="A3114" s="86">
        <f>IFERROR(__xludf.DUMMYFUNCTION("""COMPUTED_VALUE"""),3112.0)</f>
        <v>3112</v>
      </c>
      <c r="B3114" s="87" t="str">
        <f>IFERROR(__xludf.DUMMYFUNCTION("""COMPUTED_VALUE"""),"Nhãn thùng")</f>
        <v>Nhãn thùng</v>
      </c>
      <c r="C3114" s="87" t="str">
        <f>IFERROR(__xludf.DUMMYFUNCTION("""COMPUTED_VALUE"""),"NDT2497")</f>
        <v>NDT2497</v>
      </c>
      <c r="D3114" s="87" t="str">
        <f>IFERROR(__xludf.DUMMYFUNCTION("""COMPUTED_VALUE"""),"[Nhãn thùng]  LOT IDA Global - I - 2497 - Mancozeb Xanh (Bột xanh) - 1kg - 20")</f>
        <v>[Nhãn thùng]  LOT IDA Global - I - 2497 - Mancozeb Xanh (Bột xanh) - 1kg - 20</v>
      </c>
      <c r="E3114" s="87" t="str">
        <f>IFERROR(__xludf.DUMMYFUNCTION("""COMPUTED_VALUE"""),"MANCOBGO 80WP")</f>
        <v>MANCOBGO 80WP</v>
      </c>
      <c r="F3114" s="87" t="str">
        <f>IFERROR(__xludf.DUMMYFUNCTION("""COMPUTED_VALUE"""),"HH2497")</f>
        <v>HH2497</v>
      </c>
      <c r="G3114" s="87" t="str">
        <f>IFERROR(__xludf.DUMMYFUNCTION("""COMPUTED_VALUE"""),"LOT IDA Global - I - 2497 - Mancozeb Xanh (Bột xanh) - 1kg - 20")</f>
        <v>LOT IDA Global - I - 2497 - Mancozeb Xanh (Bột xanh) - 1kg - 20</v>
      </c>
    </row>
    <row r="3115">
      <c r="A3115" s="86">
        <f>IFERROR(__xludf.DUMMYFUNCTION("""COMPUTED_VALUE"""),3113.0)</f>
        <v>3113</v>
      </c>
      <c r="B3115" s="87" t="str">
        <f>IFERROR(__xludf.DUMMYFUNCTION("""COMPUTED_VALUE"""),"Nhãn")</f>
        <v>Nhãn</v>
      </c>
      <c r="C3115" s="87" t="str">
        <f>IFERROR(__xludf.DUMMYFUNCTION("""COMPUTED_VALUE"""),"NHG2503")</f>
        <v>NHG2503</v>
      </c>
      <c r="D3115" s="87" t="str">
        <f>IFERROR(__xludf.DUMMYFUNCTION("""COMPUTED_VALUE"""),"[Nhãn] IDA Global - I - 2503 - RONADO (Nước tím) - 450ml - 40")</f>
        <v>[Nhãn] IDA Global - I - 2503 - RONADO (Nước tím) - 450ml - 40</v>
      </c>
      <c r="E3115" s="87" t="str">
        <f>IFERROR(__xludf.DUMMYFUNCTION("""COMPUTED_VALUE"""),"Hỗn Hợp NP AGAMA-AP")</f>
        <v>Hỗn Hợp NP AGAMA-AP</v>
      </c>
      <c r="F3115" s="87" t="str">
        <f>IFERROR(__xludf.DUMMYFUNCTION("""COMPUTED_VALUE"""),"HH2503")</f>
        <v>HH2503</v>
      </c>
      <c r="G3115" s="87" t="str">
        <f>IFERROR(__xludf.DUMMYFUNCTION("""COMPUTED_VALUE"""),"IDA Global - I - 2503 - RONADO (Nước tím) - 450ml - 40")</f>
        <v>IDA Global - I - 2503 - RONADO (Nước tím) - 450ml - 40</v>
      </c>
    </row>
    <row r="3116">
      <c r="A3116" s="86">
        <f>IFERROR(__xludf.DUMMYFUNCTION("""COMPUTED_VALUE"""),3114.0)</f>
        <v>3114</v>
      </c>
      <c r="B3116" s="87" t="str">
        <f>IFERROR(__xludf.DUMMYFUNCTION("""COMPUTED_VALUE"""),"Nhãn thùng")</f>
        <v>Nhãn thùng</v>
      </c>
      <c r="C3116" s="87" t="str">
        <f>IFERROR(__xludf.DUMMYFUNCTION("""COMPUTED_VALUE"""),"NDT2503")</f>
        <v>NDT2503</v>
      </c>
      <c r="D3116" s="87" t="str">
        <f>IFERROR(__xludf.DUMMYFUNCTION("""COMPUTED_VALUE"""),"[Nhãn thùng] IDA Global - I - 2503 - RONADO (Nước tím) - 450ml - 40")</f>
        <v>[Nhãn thùng] IDA Global - I - 2503 - RONADO (Nước tím) - 450ml - 40</v>
      </c>
      <c r="E3116" s="87" t="str">
        <f>IFERROR(__xludf.DUMMYFUNCTION("""COMPUTED_VALUE"""),"Hỗn Hợp NP AGAMA-AP")</f>
        <v>Hỗn Hợp NP AGAMA-AP</v>
      </c>
      <c r="F3116" s="87" t="str">
        <f>IFERROR(__xludf.DUMMYFUNCTION("""COMPUTED_VALUE"""),"HH2503")</f>
        <v>HH2503</v>
      </c>
      <c r="G3116" s="87" t="str">
        <f>IFERROR(__xludf.DUMMYFUNCTION("""COMPUTED_VALUE"""),"IDA Global - I - 2503 - RONADO (Nước tím) - 450ml - 40")</f>
        <v>IDA Global - I - 2503 - RONADO (Nước tím) - 450ml - 40</v>
      </c>
    </row>
    <row r="3117">
      <c r="A3117" s="86">
        <f>IFERROR(__xludf.DUMMYFUNCTION("""COMPUTED_VALUE"""),3115.0)</f>
        <v>3115</v>
      </c>
      <c r="B3117" s="87" t="str">
        <f>IFERROR(__xludf.DUMMYFUNCTION("""COMPUTED_VALUE"""),"Nhãn thùng")</f>
        <v>Nhãn thùng</v>
      </c>
      <c r="C3117" s="87" t="str">
        <f>IFERROR(__xludf.DUMMYFUNCTION("""COMPUTED_VALUE"""),"NDT2504")</f>
        <v>NDT2504</v>
      </c>
      <c r="D3117" s="87" t="str">
        <f>IFERROR(__xludf.DUMMYFUNCTION("""COMPUTED_VALUE"""),"#N/A")</f>
        <v>#N/A</v>
      </c>
      <c r="E3117" s="87"/>
      <c r="F3117" s="87" t="str">
        <f>IFERROR(__xludf.DUMMYFUNCTION("""COMPUTED_VALUE"""),"HH2504")</f>
        <v>HH2504</v>
      </c>
      <c r="G3117" s="87"/>
    </row>
    <row r="3118">
      <c r="A3118" s="86">
        <f>IFERROR(__xludf.DUMMYFUNCTION("""COMPUTED_VALUE"""),3116.0)</f>
        <v>3116</v>
      </c>
      <c r="B3118" s="87" t="str">
        <f>IFERROR(__xludf.DUMMYFUNCTION("""COMPUTED_VALUE"""),"Nhãn")</f>
        <v>Nhãn</v>
      </c>
      <c r="C3118" s="87" t="str">
        <f>IFERROR(__xludf.DUMMYFUNCTION("""COMPUTED_VALUE"""),"NTN2505")</f>
        <v>NTN2505</v>
      </c>
      <c r="D3118" s="87" t="str">
        <f>IFERROR(__xludf.DUMMYFUNCTION("""COMPUTED_VALUE"""),"[Nhãn] IDA Global - I - 2505 - KHONGRAY 54WP (Bột trắng ngà) - 100gr - 100")</f>
        <v>[Nhãn] IDA Global - I - 2505 - KHONGRAY 54WP (Bột trắng ngà) - 100gr - 100</v>
      </c>
      <c r="E3118" s="87" t="str">
        <f>IFERROR(__xludf.DUMMYFUNCTION("""COMPUTED_VALUE"""),"KHONGRAY 54WP")</f>
        <v>KHONGRAY 54WP</v>
      </c>
      <c r="F3118" s="87" t="str">
        <f>IFERROR(__xludf.DUMMYFUNCTION("""COMPUTED_VALUE"""),"HH2505")</f>
        <v>HH2505</v>
      </c>
      <c r="G3118" s="87" t="str">
        <f>IFERROR(__xludf.DUMMYFUNCTION("""COMPUTED_VALUE"""),"IDA Global - I - 2505 - KHONGRAY 54WP (Bột trắng ngà) - 100gr - 100")</f>
        <v>IDA Global - I - 2505 - KHONGRAY 54WP (Bột trắng ngà) - 100gr - 100</v>
      </c>
    </row>
    <row r="3119">
      <c r="A3119" s="86">
        <f>IFERROR(__xludf.DUMMYFUNCTION("""COMPUTED_VALUE"""),3117.0)</f>
        <v>3117</v>
      </c>
      <c r="B3119" s="87" t="str">
        <f>IFERROR(__xludf.DUMMYFUNCTION("""COMPUTED_VALUE"""),"Nhãn thùng")</f>
        <v>Nhãn thùng</v>
      </c>
      <c r="C3119" s="87" t="str">
        <f>IFERROR(__xludf.DUMMYFUNCTION("""COMPUTED_VALUE"""),"NDT2505")</f>
        <v>NDT2505</v>
      </c>
      <c r="D3119" s="87" t="str">
        <f>IFERROR(__xludf.DUMMYFUNCTION("""COMPUTED_VALUE"""),"[Nhãn thùng] IDA Global - I - 2505 - KHONGRAY 54WP (Bột trắng ngà) - 100gr - 100")</f>
        <v>[Nhãn thùng] IDA Global - I - 2505 - KHONGRAY 54WP (Bột trắng ngà) - 100gr - 100</v>
      </c>
      <c r="E3119" s="87" t="str">
        <f>IFERROR(__xludf.DUMMYFUNCTION("""COMPUTED_VALUE"""),"KHONGRAY 54WP")</f>
        <v>KHONGRAY 54WP</v>
      </c>
      <c r="F3119" s="87" t="str">
        <f>IFERROR(__xludf.DUMMYFUNCTION("""COMPUTED_VALUE"""),"HH2505")</f>
        <v>HH2505</v>
      </c>
      <c r="G3119" s="87" t="str">
        <f>IFERROR(__xludf.DUMMYFUNCTION("""COMPUTED_VALUE"""),"IDA Global - I - 2505 - KHONGRAY 54WP (Bột trắng ngà) - 100gr - 100")</f>
        <v>IDA Global - I - 2505 - KHONGRAY 54WP (Bột trắng ngà) - 100gr - 100</v>
      </c>
    </row>
    <row r="3120">
      <c r="A3120" s="86">
        <f>IFERROR(__xludf.DUMMYFUNCTION("""COMPUTED_VALUE"""),3118.0)</f>
        <v>3118</v>
      </c>
      <c r="B3120" s="87" t="str">
        <f>IFERROR(__xludf.DUMMYFUNCTION("""COMPUTED_VALUE"""),"Nhãn")</f>
        <v>Nhãn</v>
      </c>
      <c r="C3120" s="87" t="str">
        <f>IFERROR(__xludf.DUMMYFUNCTION("""COMPUTED_VALUE"""),"NTN2506")</f>
        <v>NTN2506</v>
      </c>
      <c r="D3120" s="87" t="str">
        <f>IFERROR(__xludf.DUMMYFUNCTION("""COMPUTED_VALUE"""),"[Nhãn] IDA Global - I - 2506 - FORTAZEB 72WP (Bột xanh) - 1kg - 20")</f>
        <v>[Nhãn] IDA Global - I - 2506 - FORTAZEB 72WP (Bột xanh) - 1kg - 20</v>
      </c>
      <c r="E3120" s="87" t="str">
        <f>IFERROR(__xludf.DUMMYFUNCTION("""COMPUTED_VALUE"""),"FORTAZEB 72WP")</f>
        <v>FORTAZEB 72WP</v>
      </c>
      <c r="F3120" s="87" t="str">
        <f>IFERROR(__xludf.DUMMYFUNCTION("""COMPUTED_VALUE"""),"HH2506")</f>
        <v>HH2506</v>
      </c>
      <c r="G3120" s="87" t="str">
        <f>IFERROR(__xludf.DUMMYFUNCTION("""COMPUTED_VALUE"""),"IDA Global - I - 2506 - FORTAZEB 72WP (Bột xanh) - 1kg - 20")</f>
        <v>IDA Global - I - 2506 - FORTAZEB 72WP (Bột xanh) - 1kg - 20</v>
      </c>
    </row>
    <row r="3121">
      <c r="A3121" s="86">
        <f>IFERROR(__xludf.DUMMYFUNCTION("""COMPUTED_VALUE"""),3119.0)</f>
        <v>3119</v>
      </c>
      <c r="B3121" s="87" t="str">
        <f>IFERROR(__xludf.DUMMYFUNCTION("""COMPUTED_VALUE"""),"Nhãn thùng")</f>
        <v>Nhãn thùng</v>
      </c>
      <c r="C3121" s="87" t="str">
        <f>IFERROR(__xludf.DUMMYFUNCTION("""COMPUTED_VALUE"""),"NDT2506")</f>
        <v>NDT2506</v>
      </c>
      <c r="D3121" s="87" t="str">
        <f>IFERROR(__xludf.DUMMYFUNCTION("""COMPUTED_VALUE"""),"[Nhãn thùng] IDA Global - I - 2506 - FORTAZEB 72WP (Bột xanh) - 1kg - 20")</f>
        <v>[Nhãn thùng] IDA Global - I - 2506 - FORTAZEB 72WP (Bột xanh) - 1kg - 20</v>
      </c>
      <c r="E3121" s="87" t="str">
        <f>IFERROR(__xludf.DUMMYFUNCTION("""COMPUTED_VALUE"""),"FORTAZEB 72WP")</f>
        <v>FORTAZEB 72WP</v>
      </c>
      <c r="F3121" s="87" t="str">
        <f>IFERROR(__xludf.DUMMYFUNCTION("""COMPUTED_VALUE"""),"HH2506")</f>
        <v>HH2506</v>
      </c>
      <c r="G3121" s="87" t="str">
        <f>IFERROR(__xludf.DUMMYFUNCTION("""COMPUTED_VALUE"""),"IDA Global - I - 2506 - FORTAZEB 72WP (Bột xanh) - 1kg - 20")</f>
        <v>IDA Global - I - 2506 - FORTAZEB 72WP (Bột xanh) - 1kg - 20</v>
      </c>
    </row>
    <row r="3122">
      <c r="A3122" s="86">
        <f>IFERROR(__xludf.DUMMYFUNCTION("""COMPUTED_VALUE"""),3120.0)</f>
        <v>3120</v>
      </c>
      <c r="B3122" s="87" t="str">
        <f>IFERROR(__xludf.DUMMYFUNCTION("""COMPUTED_VALUE"""),"HỘP")</f>
        <v>HỘP</v>
      </c>
      <c r="C3122" s="87" t="str">
        <f>IFERROR(__xludf.DUMMYFUNCTION("""COMPUTED_VALUE"""),"HOP2508")</f>
        <v>HOP2508</v>
      </c>
      <c r="D3122" s="87" t="str">
        <f>IFERROR(__xludf.DUMMYFUNCTION("""COMPUTED_VALUE"""),"[HOP] IDA Global - I - 2508 - ĐL PHONG CHI - MAX FUNGICIDE  - 480ml - 2")</f>
        <v>[HOP] IDA Global - I - 2508 - ĐL PHONG CHI - MAX FUNGICIDE  - 480ml - 2</v>
      </c>
      <c r="E3122" s="87" t="str">
        <f>IFERROR(__xludf.DUMMYFUNCTION("""COMPUTED_VALUE"""),"BIMSUPER 650SC")</f>
        <v>BIMSUPER 650SC</v>
      </c>
      <c r="F3122" s="87" t="str">
        <f>IFERROR(__xludf.DUMMYFUNCTION("""COMPUTED_VALUE"""),"HH2508")</f>
        <v>HH2508</v>
      </c>
      <c r="G3122" s="87" t="str">
        <f>IFERROR(__xludf.DUMMYFUNCTION("""COMPUTED_VALUE"""),"IDA Global - I - 2508 - ĐL PHONG CHI - MAX FUNGICIDE (Nước hồng cam) - 480ml - 40")</f>
        <v>IDA Global - I - 2508 - ĐL PHONG CHI - MAX FUNGICIDE (Nước hồng cam) - 480ml - 40</v>
      </c>
    </row>
    <row r="3123">
      <c r="A3123" s="86">
        <f>IFERROR(__xludf.DUMMYFUNCTION("""COMPUTED_VALUE"""),3121.0)</f>
        <v>3121</v>
      </c>
      <c r="B3123" s="87" t="str">
        <f>IFERROR(__xludf.DUMMYFUNCTION("""COMPUTED_VALUE"""),"Nhãn")</f>
        <v>Nhãn</v>
      </c>
      <c r="C3123" s="87" t="str">
        <f>IFERROR(__xludf.DUMMYFUNCTION("""COMPUTED_VALUE"""),"NHG2508")</f>
        <v>NHG2508</v>
      </c>
      <c r="D3123" s="87" t="str">
        <f>IFERROR(__xludf.DUMMYFUNCTION("""COMPUTED_VALUE"""),"[Nhãn] IDA Global - I - 2508 - ĐL PHONG CHI - MAX FUNGICIDE (Nước hồng cam) - 480ml - 40")</f>
        <v>[Nhãn] IDA Global - I - 2508 - ĐL PHONG CHI - MAX FUNGICIDE (Nước hồng cam) - 480ml - 40</v>
      </c>
      <c r="E3123" s="87" t="str">
        <f>IFERROR(__xludf.DUMMYFUNCTION("""COMPUTED_VALUE"""),"BIMSUPER 650SC")</f>
        <v>BIMSUPER 650SC</v>
      </c>
      <c r="F3123" s="87" t="str">
        <f>IFERROR(__xludf.DUMMYFUNCTION("""COMPUTED_VALUE"""),"HH2508")</f>
        <v>HH2508</v>
      </c>
      <c r="G3123" s="87" t="str">
        <f>IFERROR(__xludf.DUMMYFUNCTION("""COMPUTED_VALUE"""),"IDA Global - I - 2508 - ĐL PHONG CHI - MAX FUNGICIDE (Nước hồng cam) - 480ml - 40")</f>
        <v>IDA Global - I - 2508 - ĐL PHONG CHI - MAX FUNGICIDE (Nước hồng cam) - 480ml - 40</v>
      </c>
    </row>
    <row r="3124">
      <c r="A3124" s="86">
        <f>IFERROR(__xludf.DUMMYFUNCTION("""COMPUTED_VALUE"""),3122.0)</f>
        <v>3122</v>
      </c>
      <c r="B3124" s="87" t="str">
        <f>IFERROR(__xludf.DUMMYFUNCTION("""COMPUTED_VALUE"""),"Nhãn")</f>
        <v>Nhãn</v>
      </c>
      <c r="C3124" s="87" t="str">
        <f>IFERROR(__xludf.DUMMYFUNCTION("""COMPUTED_VALUE"""),"NHG2509")</f>
        <v>NHG2509</v>
      </c>
      <c r="D3124" s="87" t="str">
        <f>IFERROR(__xludf.DUMMYFUNCTION("""COMPUTED_VALUE"""),"[Nhãn] IDA Global - I - ĐL PHONG CHI - 2509 - TOP FUNGICIDE (nước đỏ) - 480ml - 40")</f>
        <v>[Nhãn] IDA Global - I - ĐL PHONG CHI - 2509 - TOP FUNGICIDE (nước đỏ) - 480ml - 40</v>
      </c>
      <c r="E3124" s="87" t="str">
        <f>IFERROR(__xludf.DUMMYFUNCTION("""COMPUTED_VALUE"""),"GENOL 1.2SL")</f>
        <v>GENOL 1.2SL</v>
      </c>
      <c r="F3124" s="87" t="str">
        <f>IFERROR(__xludf.DUMMYFUNCTION("""COMPUTED_VALUE"""),"HH2509")</f>
        <v>HH2509</v>
      </c>
      <c r="G3124" s="87" t="str">
        <f>IFERROR(__xludf.DUMMYFUNCTION("""COMPUTED_VALUE"""),"IDA Global - I - ĐL PHONG CHI - 2509 - TOP FUNGICIDE (nước đỏ) - 480ml - 40")</f>
        <v>IDA Global - I - ĐL PHONG CHI - 2509 - TOP FUNGICIDE (nước đỏ) - 480ml - 40</v>
      </c>
    </row>
    <row r="3125">
      <c r="A3125" s="86">
        <f>IFERROR(__xludf.DUMMYFUNCTION("""COMPUTED_VALUE"""),3123.0)</f>
        <v>3123</v>
      </c>
      <c r="B3125" s="87" t="str">
        <f>IFERROR(__xludf.DUMMYFUNCTION("""COMPUTED_VALUE"""),"Nhãn")</f>
        <v>Nhãn</v>
      </c>
      <c r="C3125" s="87" t="str">
        <f>IFERROR(__xludf.DUMMYFUNCTION("""COMPUTED_VALUE"""),"NTN2510")</f>
        <v>NTN2510</v>
      </c>
      <c r="D3125" s="87" t="str">
        <f>IFERROR(__xludf.DUMMYFUNCTION("""COMPUTED_VALUE"""),"[Nhãn] GC - IV - 2510 - Cty Newtex - Mancobgo 80WP (Bột xanh) - 1kg - 25")</f>
        <v>[Nhãn] GC - IV - 2510 - Cty Newtex - Mancobgo 80WP (Bột xanh) - 1kg - 25</v>
      </c>
      <c r="E3125" s="87" t="str">
        <f>IFERROR(__xludf.DUMMYFUNCTION("""COMPUTED_VALUE"""),"MANCOBGO 80WP")</f>
        <v>MANCOBGO 80WP</v>
      </c>
      <c r="F3125" s="87" t="str">
        <f>IFERROR(__xludf.DUMMYFUNCTION("""COMPUTED_VALUE"""),"HH2510")</f>
        <v>HH2510</v>
      </c>
      <c r="G3125" s="87" t="str">
        <f>IFERROR(__xludf.DUMMYFUNCTION("""COMPUTED_VALUE"""),"GC - IV - 2510 - Cty Newtex - Mancobgo 80WP (Bột xanh) - 1kg - 25")</f>
        <v>GC - IV - 2510 - Cty Newtex - Mancobgo 80WP (Bột xanh) - 1kg - 25</v>
      </c>
    </row>
    <row r="3126">
      <c r="A3126" s="86">
        <f>IFERROR(__xludf.DUMMYFUNCTION("""COMPUTED_VALUE"""),3124.0)</f>
        <v>3124</v>
      </c>
      <c r="B3126" s="87" t="str">
        <f>IFERROR(__xludf.DUMMYFUNCTION("""COMPUTED_VALUE"""),"Nhãn")</f>
        <v>Nhãn</v>
      </c>
      <c r="C3126" s="87" t="str">
        <f>IFERROR(__xludf.DUMMYFUNCTION("""COMPUTED_VALUE"""),"NHG2511")</f>
        <v>NHG2511</v>
      </c>
      <c r="D3126" s="87" t="str">
        <f>IFERROR(__xludf.DUMMYFUNCTION("""COMPUTED_VALUE"""),"[Nhãn] GC - II - 2511 - AGC - Redmite (chai nhôm đỏ) - 240ml - 40")</f>
        <v>[Nhãn] GC - II - 2511 - AGC - Redmite (chai nhôm đỏ) - 240ml - 40</v>
      </c>
      <c r="E3126" s="87" t="str">
        <f>IFERROR(__xludf.DUMMYFUNCTION("""COMPUTED_VALUE"""),"CHIM ƯNG 3.8EC")</f>
        <v>CHIM ƯNG 3.8EC</v>
      </c>
      <c r="F3126" s="87" t="str">
        <f>IFERROR(__xludf.DUMMYFUNCTION("""COMPUTED_VALUE"""),"HH2511")</f>
        <v>HH2511</v>
      </c>
      <c r="G3126" s="87" t="str">
        <f>IFERROR(__xludf.DUMMYFUNCTION("""COMPUTED_VALUE"""),"GC - II - 2511 - AGC - Redmite (chai nhôm đỏ) - 240ml - 40")</f>
        <v>GC - II - 2511 - AGC - Redmite (chai nhôm đỏ) - 240ml - 40</v>
      </c>
    </row>
    <row r="3127">
      <c r="A3127" s="86">
        <f>IFERROR(__xludf.DUMMYFUNCTION("""COMPUTED_VALUE"""),3125.0)</f>
        <v>3125</v>
      </c>
      <c r="B3127" s="87" t="str">
        <f>IFERROR(__xludf.DUMMYFUNCTION("""COMPUTED_VALUE"""),"Nhãn")</f>
        <v>Nhãn</v>
      </c>
      <c r="C3127" s="87" t="str">
        <f>IFERROR(__xludf.DUMMYFUNCTION("""COMPUTED_VALUE"""),"NHD2512")</f>
        <v>NHD2512</v>
      </c>
      <c r="D3127" s="87" t="str">
        <f>IFERROR(__xludf.DUMMYFUNCTION("""COMPUTED_VALUE"""),"[Nhãn] GC - II - 2512 - NANOFISH - Nano Soil (Nước nâu đen) - 5L - 4")</f>
        <v>[Nhãn] GC - II - 2512 - NANOFISH - Nano Soil (Nước nâu đen) - 5L - 4</v>
      </c>
      <c r="E3127" s="87" t="str">
        <f>IFERROR(__xludf.DUMMYFUNCTION("""COMPUTED_VALUE"""),"Vi lượng Quantity New")</f>
        <v>Vi lượng Quantity New</v>
      </c>
      <c r="F3127" s="87" t="str">
        <f>IFERROR(__xludf.DUMMYFUNCTION("""COMPUTED_VALUE"""),"HH2512")</f>
        <v>HH2512</v>
      </c>
      <c r="G3127" s="87" t="str">
        <f>IFERROR(__xludf.DUMMYFUNCTION("""COMPUTED_VALUE"""),"GC - II - 2512 - NANOFISH - Nano Soil (Nước nâu đen) - 5L - 4")</f>
        <v>GC - II - 2512 - NANOFISH - Nano Soil (Nước nâu đen) - 5L - 4</v>
      </c>
    </row>
    <row r="3128">
      <c r="A3128" s="86">
        <f>IFERROR(__xludf.DUMMYFUNCTION("""COMPUTED_VALUE"""),3126.0)</f>
        <v>3126</v>
      </c>
      <c r="B3128" s="87" t="str">
        <f>IFERROR(__xludf.DUMMYFUNCTION("""COMPUTED_VALUE"""),"Nhãn thùng")</f>
        <v>Nhãn thùng</v>
      </c>
      <c r="C3128" s="87" t="str">
        <f>IFERROR(__xludf.DUMMYFUNCTION("""COMPUTED_VALUE"""),"NDT2512")</f>
        <v>NDT2512</v>
      </c>
      <c r="D3128" s="87" t="str">
        <f>IFERROR(__xludf.DUMMYFUNCTION("""COMPUTED_VALUE"""),"[Nhãn thùng] GC - II - 2512 - NANOFISH - Nano Soil (Nước nâu đen) - 5L - 4")</f>
        <v>[Nhãn thùng] GC - II - 2512 - NANOFISH - Nano Soil (Nước nâu đen) - 5L - 4</v>
      </c>
      <c r="E3128" s="87" t="str">
        <f>IFERROR(__xludf.DUMMYFUNCTION("""COMPUTED_VALUE"""),"Vi lượng Quantity New")</f>
        <v>Vi lượng Quantity New</v>
      </c>
      <c r="F3128" s="87" t="str">
        <f>IFERROR(__xludf.DUMMYFUNCTION("""COMPUTED_VALUE"""),"HH2512")</f>
        <v>HH2512</v>
      </c>
      <c r="G3128" s="87" t="str">
        <f>IFERROR(__xludf.DUMMYFUNCTION("""COMPUTED_VALUE"""),"GC - II - 2512 - NANOFISH - Nano Soil (Nước nâu đen) - 5L - 4")</f>
        <v>GC - II - 2512 - NANOFISH - Nano Soil (Nước nâu đen) - 5L - 4</v>
      </c>
    </row>
    <row r="3129">
      <c r="A3129" s="86">
        <f>IFERROR(__xludf.DUMMYFUNCTION("""COMPUTED_VALUE"""),3127.0)</f>
        <v>3127</v>
      </c>
      <c r="B3129" s="87" t="str">
        <f>IFERROR(__xludf.DUMMYFUNCTION("""COMPUTED_VALUE"""),"Nhãn")</f>
        <v>Nhãn</v>
      </c>
      <c r="C3129" s="87" t="str">
        <f>IFERROR(__xludf.DUMMYFUNCTION("""COMPUTED_VALUE"""),"NHG2513")</f>
        <v>NHG2513</v>
      </c>
      <c r="D3129" s="87" t="str">
        <f>IFERROR(__xludf.DUMMYFUNCTION("""COMPUTED_VALUE"""),"[Nhãn] GC - IV - 2513 - Mekong Group - Sức Mạnh Bò Tót (nước đỏ) - 900ml - 20")</f>
        <v>[Nhãn] GC - IV - 2513 - Mekong Group - Sức Mạnh Bò Tót (nước đỏ) - 900ml - 20</v>
      </c>
      <c r="E3129" s="87" t="str">
        <f>IFERROR(__xludf.DUMMYFUNCTION("""COMPUTED_VALUE"""),"Asupergras 200SL")</f>
        <v>Asupergras 200SL</v>
      </c>
      <c r="F3129" s="87" t="str">
        <f>IFERROR(__xludf.DUMMYFUNCTION("""COMPUTED_VALUE"""),"HH2513")</f>
        <v>HH2513</v>
      </c>
      <c r="G3129" s="87" t="str">
        <f>IFERROR(__xludf.DUMMYFUNCTION("""COMPUTED_VALUE"""),"GC - IV - 2513 - Mekong Group - Sức Mạnh Bò Tót (nước đỏ) - 900ml - 20")</f>
        <v>GC - IV - 2513 - Mekong Group - Sức Mạnh Bò Tót (nước đỏ) - 900ml - 20</v>
      </c>
    </row>
    <row r="3130">
      <c r="A3130" s="86">
        <f>IFERROR(__xludf.DUMMYFUNCTION("""COMPUTED_VALUE"""),3128.0)</f>
        <v>3128</v>
      </c>
      <c r="B3130" s="87" t="str">
        <f>IFERROR(__xludf.DUMMYFUNCTION("""COMPUTED_VALUE"""),"Nhãn")</f>
        <v>Nhãn</v>
      </c>
      <c r="C3130" s="87" t="str">
        <f>IFERROR(__xludf.DUMMYFUNCTION("""COMPUTED_VALUE"""),"NTN2514")</f>
        <v>NTN2514</v>
      </c>
      <c r="D3130" s="87" t="str">
        <f>IFERROR(__xludf.DUMMYFUNCTION("""COMPUTED_VALUE"""),"[Nhãn] GC - IV - 2514 - Cty GNH (A.Thời) - Manco Green (Bột xanh) - 1kg - 20")</f>
        <v>[Nhãn] GC - IV - 2514 - Cty GNH (A.Thời) - Manco Green (Bột xanh) - 1kg - 20</v>
      </c>
      <c r="E3130" s="87" t="str">
        <f>IFERROR(__xludf.DUMMYFUNCTION("""COMPUTED_VALUE"""),"MANCOBGO 80WP")</f>
        <v>MANCOBGO 80WP</v>
      </c>
      <c r="F3130" s="87" t="str">
        <f>IFERROR(__xludf.DUMMYFUNCTION("""COMPUTED_VALUE"""),"HH2514")</f>
        <v>HH2514</v>
      </c>
      <c r="G3130" s="87" t="str">
        <f>IFERROR(__xludf.DUMMYFUNCTION("""COMPUTED_VALUE"""),"GC - IV - 2514 - Cty GNH (A.Thời) - Manco Green (Bột xanh) - 1kg - 20")</f>
        <v>GC - IV - 2514 - Cty GNH (A.Thời) - Manco Green (Bột xanh) - 1kg - 20</v>
      </c>
    </row>
    <row r="3131">
      <c r="A3131" s="86">
        <f>IFERROR(__xludf.DUMMYFUNCTION("""COMPUTED_VALUE"""),3129.0)</f>
        <v>3129</v>
      </c>
      <c r="B3131" s="87" t="str">
        <f>IFERROR(__xludf.DUMMYFUNCTION("""COMPUTED_VALUE"""),"Nhãn thùng")</f>
        <v>Nhãn thùng</v>
      </c>
      <c r="C3131" s="87" t="str">
        <f>IFERROR(__xludf.DUMMYFUNCTION("""COMPUTED_VALUE"""),"NDT2514")</f>
        <v>NDT2514</v>
      </c>
      <c r="D3131" s="87" t="str">
        <f>IFERROR(__xludf.DUMMYFUNCTION("""COMPUTED_VALUE"""),"[Nhãn thùng] GC - IV - 2514 - Cty GNH (A.Thời) - Manco Green (Bột xanh) - 1kg - 20")</f>
        <v>[Nhãn thùng] GC - IV - 2514 - Cty GNH (A.Thời) - Manco Green (Bột xanh) - 1kg - 20</v>
      </c>
      <c r="E3131" s="87" t="str">
        <f>IFERROR(__xludf.DUMMYFUNCTION("""COMPUTED_VALUE"""),"MANCOBGO 80WP")</f>
        <v>MANCOBGO 80WP</v>
      </c>
      <c r="F3131" s="87" t="str">
        <f>IFERROR(__xludf.DUMMYFUNCTION("""COMPUTED_VALUE"""),"HH2514")</f>
        <v>HH2514</v>
      </c>
      <c r="G3131" s="87" t="str">
        <f>IFERROR(__xludf.DUMMYFUNCTION("""COMPUTED_VALUE"""),"GC - IV - 2514 - Cty GNH (A.Thời) - Manco Green (Bột xanh) - 1kg - 20")</f>
        <v>GC - IV - 2514 - Cty GNH (A.Thời) - Manco Green (Bột xanh) - 1kg - 20</v>
      </c>
    </row>
    <row r="3132">
      <c r="A3132" s="86">
        <f>IFERROR(__xludf.DUMMYFUNCTION("""COMPUTED_VALUE"""),3130.0)</f>
        <v>3130</v>
      </c>
      <c r="B3132" s="87" t="str">
        <f>IFERROR(__xludf.DUMMYFUNCTION("""COMPUTED_VALUE"""),"Nhãn")</f>
        <v>Nhãn</v>
      </c>
      <c r="C3132" s="87" t="str">
        <f>IFERROR(__xludf.DUMMYFUNCTION("""COMPUTED_VALUE"""),"NHD2515")</f>
        <v>NHD2515</v>
      </c>
      <c r="D3132" s="87" t="str">
        <f>IFERROR(__xludf.DUMMYFUNCTION("""COMPUTED_VALUE"""),"[Nhãn] GC - IV - 2515 - AGRITECH - ORGANIC 23% (Dạng vảy miểng màu đen) - 10kg - 1")</f>
        <v>[Nhãn] GC - IV - 2515 - AGRITECH - ORGANIC 23% (Dạng vảy miểng màu đen) - 10kg - 1</v>
      </c>
      <c r="E3132" s="87" t="str">
        <f>IFERROR(__xludf.DUMMYFUNCTION("""COMPUTED_VALUE"""),"Hữu cơ sinh học Nam Kinh 02")</f>
        <v>Hữu cơ sinh học Nam Kinh 02</v>
      </c>
      <c r="F3132" s="87" t="str">
        <f>IFERROR(__xludf.DUMMYFUNCTION("""COMPUTED_VALUE"""),"HH2515")</f>
        <v>HH2515</v>
      </c>
      <c r="G3132" s="87" t="str">
        <f>IFERROR(__xludf.DUMMYFUNCTION("""COMPUTED_VALUE"""),"GC - IV - 2515 - AGRITECH - ORGANIC 23% (Dạng vảy miểng màu đen) - 10kg - 1")</f>
        <v>GC - IV - 2515 - AGRITECH - ORGANIC 23% (Dạng vảy miểng màu đen) - 10kg - 1</v>
      </c>
    </row>
    <row r="3133">
      <c r="A3133" s="86">
        <f>IFERROR(__xludf.DUMMYFUNCTION("""COMPUTED_VALUE"""),3131.0)</f>
        <v>3131</v>
      </c>
      <c r="B3133" s="87" t="str">
        <f>IFERROR(__xludf.DUMMYFUNCTION("""COMPUTED_VALUE"""),"Nhãn")</f>
        <v>Nhãn</v>
      </c>
      <c r="C3133" s="87" t="str">
        <f>IFERROR(__xludf.DUMMYFUNCTION("""COMPUTED_VALUE"""),"NTN2516")</f>
        <v>NTN2516</v>
      </c>
      <c r="D3133" s="87" t="str">
        <f>IFERROR(__xludf.DUMMYFUNCTION("""COMPUTED_VALUE"""),"[Nhãn] GC - IV - 2516 - CTY BA MÙA - MANCOZEB XANH (Bột xanh) - 1kg - 20")</f>
        <v>[Nhãn] GC - IV - 2516 - CTY BA MÙA - MANCOZEB XANH (Bột xanh) - 1kg - 20</v>
      </c>
      <c r="E3133" s="87" t="str">
        <f>IFERROR(__xludf.DUMMYFUNCTION("""COMPUTED_VALUE"""),"MANCOBGO 80WP")</f>
        <v>MANCOBGO 80WP</v>
      </c>
      <c r="F3133" s="87" t="str">
        <f>IFERROR(__xludf.DUMMYFUNCTION("""COMPUTED_VALUE"""),"HH2516")</f>
        <v>HH2516</v>
      </c>
      <c r="G3133" s="87" t="str">
        <f>IFERROR(__xludf.DUMMYFUNCTION("""COMPUTED_VALUE"""),"GC - IV - 2516 - CTY BA MÙA - MANCOZEB XANH (Bột xanh) - 1kg - 20")</f>
        <v>GC - IV - 2516 - CTY BA MÙA - MANCOZEB XANH (Bột xanh) - 1kg - 20</v>
      </c>
    </row>
    <row r="3134">
      <c r="A3134" s="86">
        <f>IFERROR(__xludf.DUMMYFUNCTION("""COMPUTED_VALUE"""),3132.0)</f>
        <v>3132</v>
      </c>
      <c r="B3134" s="87" t="str">
        <f>IFERROR(__xludf.DUMMYFUNCTION("""COMPUTED_VALUE"""),"Nhãn thùng")</f>
        <v>Nhãn thùng</v>
      </c>
      <c r="C3134" s="87" t="str">
        <f>IFERROR(__xludf.DUMMYFUNCTION("""COMPUTED_VALUE"""),"NDT2516")</f>
        <v>NDT2516</v>
      </c>
      <c r="D3134" s="87" t="str">
        <f>IFERROR(__xludf.DUMMYFUNCTION("""COMPUTED_VALUE"""),"[Nhãn thùng] GC - IV - 2516 - CTY BA MÙA - MANCOZEB XANH (Bột xanh) - 1kg - 20")</f>
        <v>[Nhãn thùng] GC - IV - 2516 - CTY BA MÙA - MANCOZEB XANH (Bột xanh) - 1kg - 20</v>
      </c>
      <c r="E3134" s="87" t="str">
        <f>IFERROR(__xludf.DUMMYFUNCTION("""COMPUTED_VALUE"""),"MANCOBGO 80WP")</f>
        <v>MANCOBGO 80WP</v>
      </c>
      <c r="F3134" s="87" t="str">
        <f>IFERROR(__xludf.DUMMYFUNCTION("""COMPUTED_VALUE"""),"HH2516")</f>
        <v>HH2516</v>
      </c>
      <c r="G3134" s="87" t="str">
        <f>IFERROR(__xludf.DUMMYFUNCTION("""COMPUTED_VALUE"""),"GC - IV - 2516 - CTY BA MÙA - MANCOZEB XANH (Bột xanh) - 1kg - 20")</f>
        <v>GC - IV - 2516 - CTY BA MÙA - MANCOZEB XANH (Bột xanh) - 1kg - 20</v>
      </c>
    </row>
    <row r="3135">
      <c r="A3135" s="86">
        <f>IFERROR(__xludf.DUMMYFUNCTION("""COMPUTED_VALUE"""),3133.0)</f>
        <v>3133</v>
      </c>
      <c r="B3135" s="87" t="str">
        <f>IFERROR(__xludf.DUMMYFUNCTION("""COMPUTED_VALUE"""),"Nhãn")</f>
        <v>Nhãn</v>
      </c>
      <c r="C3135" s="87" t="str">
        <f>IFERROR(__xludf.DUMMYFUNCTION("""COMPUTED_VALUE"""),"NHG2517")</f>
        <v>NHG2517</v>
      </c>
      <c r="D3135" s="87" t="str">
        <f>IFERROR(__xludf.DUMMYFUNCTION("""COMPUTED_VALUE"""),"[Nhãn] GC - IV - 2517 - BA MÙA - Mekongvil 5SC (Nước sữa trắng) - 1L - 20")</f>
        <v>[Nhãn] GC - IV - 2517 - BA MÙA - Mekongvil 5SC (Nước sữa trắng) - 1L - 20</v>
      </c>
      <c r="E3135" s="87" t="str">
        <f>IFERROR(__xludf.DUMMYFUNCTION("""COMPUTED_VALUE"""),"Mekongvil 5SC")</f>
        <v>Mekongvil 5SC</v>
      </c>
      <c r="F3135" s="87" t="str">
        <f>IFERROR(__xludf.DUMMYFUNCTION("""COMPUTED_VALUE"""),"HH2517")</f>
        <v>HH2517</v>
      </c>
      <c r="G3135" s="87" t="str">
        <f>IFERROR(__xludf.DUMMYFUNCTION("""COMPUTED_VALUE"""),"GC - IV - 2517 - BA MÙA - Mekongvil 5SC (Nước sữa trắng) - 1L - 20")</f>
        <v>GC - IV - 2517 - BA MÙA - Mekongvil 5SC (Nước sữa trắng) - 1L - 20</v>
      </c>
    </row>
    <row r="3136">
      <c r="A3136" s="86">
        <f>IFERROR(__xludf.DUMMYFUNCTION("""COMPUTED_VALUE"""),3134.0)</f>
        <v>3134</v>
      </c>
      <c r="B3136" s="87" t="str">
        <f>IFERROR(__xludf.DUMMYFUNCTION("""COMPUTED_VALUE"""),"Nhãn")</f>
        <v>Nhãn</v>
      </c>
      <c r="C3136" s="87" t="str">
        <f>IFERROR(__xludf.DUMMYFUNCTION("""COMPUTED_VALUE"""),"NHG2518")</f>
        <v>NHG2518</v>
      </c>
      <c r="D3136" s="87" t="str">
        <f>IFERROR(__xludf.DUMMYFUNCTION("""COMPUTED_VALUE"""),"[Nhãn] IDA Global - I - 2518 - ĐL CHÍ TOÀN - VOTE 34.2SC (Nước trắng sữa) - 240ml - 40")</f>
        <v>[Nhãn] IDA Global - I - 2518 - ĐL CHÍ TOÀN - VOTE 34.2SC (Nước trắng sữa) - 240ml - 40</v>
      </c>
      <c r="E3136" s="87" t="str">
        <f>IFERROR(__xludf.DUMMYFUNCTION("""COMPUTED_VALUE"""),"VOTE 34.2SC")</f>
        <v>VOTE 34.2SC</v>
      </c>
      <c r="F3136" s="87" t="str">
        <f>IFERROR(__xludf.DUMMYFUNCTION("""COMPUTED_VALUE"""),"HH2518")</f>
        <v>HH2518</v>
      </c>
      <c r="G3136" s="87" t="str">
        <f>IFERROR(__xludf.DUMMYFUNCTION("""COMPUTED_VALUE"""),"IDA Global - I - 2518 - ĐL CHÍ TOÀN - VOTE 34.2SC (Nước trắng sữa) - 240ml - 40")</f>
        <v>IDA Global - I - 2518 - ĐL CHÍ TOÀN - VOTE 34.2SC (Nước trắng sữa) - 240ml - 40</v>
      </c>
    </row>
    <row r="3137">
      <c r="A3137" s="86">
        <f>IFERROR(__xludf.DUMMYFUNCTION("""COMPUTED_VALUE"""),3135.0)</f>
        <v>3135</v>
      </c>
      <c r="B3137" s="87" t="str">
        <f>IFERROR(__xludf.DUMMYFUNCTION("""COMPUTED_VALUE"""),"Nhãn")</f>
        <v>Nhãn</v>
      </c>
      <c r="C3137" s="87" t="str">
        <f>IFERROR(__xludf.DUMMYFUNCTION("""COMPUTED_VALUE"""),"NHG2519")</f>
        <v>NHG2519</v>
      </c>
      <c r="D3137" s="87" t="str">
        <f>IFERROR(__xludf.DUMMYFUNCTION("""COMPUTED_VALUE"""),"[Nhãn]  GC - IV - 2519 - Cty Hóa Nông Shino - 1 TẤN 4 (nước đỏ cam) - 500ml - 30")</f>
        <v>[Nhãn]  GC - IV - 2519 - Cty Hóa Nông Shino - 1 TẤN 4 (nước đỏ cam) - 500ml - 30</v>
      </c>
      <c r="E3137" s="87" t="str">
        <f>IFERROR(__xludf.DUMMYFUNCTION("""COMPUTED_VALUE"""),"NPK-Vi lượng MASSIVE-BLUE")</f>
        <v>NPK-Vi lượng MASSIVE-BLUE</v>
      </c>
      <c r="F3137" s="87" t="str">
        <f>IFERROR(__xludf.DUMMYFUNCTION("""COMPUTED_VALUE"""),"HH2519")</f>
        <v>HH2519</v>
      </c>
      <c r="G3137" s="87" t="str">
        <f>IFERROR(__xludf.DUMMYFUNCTION("""COMPUTED_VALUE"""),"GC - IV - 2519 - Cty Hóa Nông Shino - 1 TẤN 4 (nước đỏ cam) - 500ml - 30")</f>
        <v>GC - IV - 2519 - Cty Hóa Nông Shino - 1 TẤN 4 (nước đỏ cam) - 500ml - 30</v>
      </c>
    </row>
    <row r="3138">
      <c r="A3138" s="86">
        <f>IFERROR(__xludf.DUMMYFUNCTION("""COMPUTED_VALUE"""),3136.0)</f>
        <v>3136</v>
      </c>
      <c r="B3138" s="87" t="str">
        <f>IFERROR(__xludf.DUMMYFUNCTION("""COMPUTED_VALUE"""),"Nhãn")</f>
        <v>Nhãn</v>
      </c>
      <c r="C3138" s="87" t="str">
        <f>IFERROR(__xludf.DUMMYFUNCTION("""COMPUTED_VALUE"""),"NTN2520")</f>
        <v>NTN2520</v>
      </c>
      <c r="D3138" s="87" t="str">
        <f>IFERROR(__xludf.DUMMYFUNCTION("""COMPUTED_VALUE"""),"[Nhãn] GC - IV - 2520 - AGRICARE ÚC - KHONGRAY 54WP (Bột trắng ngà) - 100gr - 100")</f>
        <v>[Nhãn] GC - IV - 2520 - AGRICARE ÚC - KHONGRAY 54WP (Bột trắng ngà) - 100gr - 100</v>
      </c>
      <c r="E3138" s="87" t="str">
        <f>IFERROR(__xludf.DUMMYFUNCTION("""COMPUTED_VALUE"""),"KHONGRAY 54WP")</f>
        <v>KHONGRAY 54WP</v>
      </c>
      <c r="F3138" s="87" t="str">
        <f>IFERROR(__xludf.DUMMYFUNCTION("""COMPUTED_VALUE"""),"HH2520")</f>
        <v>HH2520</v>
      </c>
      <c r="G3138" s="87" t="str">
        <f>IFERROR(__xludf.DUMMYFUNCTION("""COMPUTED_VALUE"""),"GC - IV - 2520 - AGRICARE ÚC - KHONGRAY 54WP (Bột trắng ngà) - 100gr - 100")</f>
        <v>GC - IV - 2520 - AGRICARE ÚC - KHONGRAY 54WP (Bột trắng ngà) - 100gr - 100</v>
      </c>
    </row>
    <row r="3139">
      <c r="A3139" s="86">
        <f>IFERROR(__xludf.DUMMYFUNCTION("""COMPUTED_VALUE"""),3137.0)</f>
        <v>3137</v>
      </c>
      <c r="B3139" s="87" t="str">
        <f>IFERROR(__xludf.DUMMYFUNCTION("""COMPUTED_VALUE"""),"Nhãn thùng")</f>
        <v>Nhãn thùng</v>
      </c>
      <c r="C3139" s="87" t="str">
        <f>IFERROR(__xludf.DUMMYFUNCTION("""COMPUTED_VALUE"""),"NDT2520")</f>
        <v>NDT2520</v>
      </c>
      <c r="D3139" s="87" t="str">
        <f>IFERROR(__xludf.DUMMYFUNCTION("""COMPUTED_VALUE"""),"[Nhãn thùng] GC - IV - 2520 - AGRICARE ÚC - KHONGRAY 54WP (Bột trắng ngà) - 100gr - 100")</f>
        <v>[Nhãn thùng] GC - IV - 2520 - AGRICARE ÚC - KHONGRAY 54WP (Bột trắng ngà) - 100gr - 100</v>
      </c>
      <c r="E3139" s="87" t="str">
        <f>IFERROR(__xludf.DUMMYFUNCTION("""COMPUTED_VALUE"""),"KHONGRAY 54WP")</f>
        <v>KHONGRAY 54WP</v>
      </c>
      <c r="F3139" s="87" t="str">
        <f>IFERROR(__xludf.DUMMYFUNCTION("""COMPUTED_VALUE"""),"HH2520")</f>
        <v>HH2520</v>
      </c>
      <c r="G3139" s="87" t="str">
        <f>IFERROR(__xludf.DUMMYFUNCTION("""COMPUTED_VALUE"""),"GC - IV - 2520 - AGRICARE ÚC - KHONGRAY 54WP (Bột trắng ngà) - 100gr - 100")</f>
        <v>GC - IV - 2520 - AGRICARE ÚC - KHONGRAY 54WP (Bột trắng ngà) - 100gr - 100</v>
      </c>
    </row>
    <row r="3140">
      <c r="A3140" s="86">
        <f>IFERROR(__xludf.DUMMYFUNCTION("""COMPUTED_VALUE"""),3138.0)</f>
        <v>3138</v>
      </c>
      <c r="B3140" s="87" t="str">
        <f>IFERROR(__xludf.DUMMYFUNCTION("""COMPUTED_VALUE"""),"Nhãn")</f>
        <v>Nhãn</v>
      </c>
      <c r="C3140" s="87" t="str">
        <f>IFERROR(__xludf.DUMMYFUNCTION("""COMPUTED_VALUE"""),"NHG2522")</f>
        <v>NHG2522</v>
      </c>
      <c r="D3140" s="87" t="str">
        <f>IFERROR(__xludf.DUMMYFUNCTION("""COMPUTED_VALUE"""),"[Nhãn] GC - II - 2522 - CSSX An Khang (A.Dinh) - T-AK 01 (Gel nâu đen) - 500ml - 40")</f>
        <v>[Nhãn] GC - II - 2522 - CSSX An Khang (A.Dinh) - T-AK 01 (Gel nâu đen) - 500ml - 40</v>
      </c>
      <c r="E3140" s="87" t="str">
        <f>IFERROR(__xludf.DUMMYFUNCTION("""COMPUTED_VALUE"""),"Vi lượng Quantity New")</f>
        <v>Vi lượng Quantity New</v>
      </c>
      <c r="F3140" s="87" t="str">
        <f>IFERROR(__xludf.DUMMYFUNCTION("""COMPUTED_VALUE"""),"HH2522")</f>
        <v>HH2522</v>
      </c>
      <c r="G3140" s="87" t="str">
        <f>IFERROR(__xludf.DUMMYFUNCTION("""COMPUTED_VALUE"""),"GC - II - 2522 - CSSX An Khang (A.Dinh) - T-AK 01 (Gel nâu đen) - 500ml - 40")</f>
        <v>GC - II - 2522 - CSSX An Khang (A.Dinh) - T-AK 01 (Gel nâu đen) - 500ml - 40</v>
      </c>
    </row>
    <row r="3141">
      <c r="A3141" s="86">
        <f>IFERROR(__xludf.DUMMYFUNCTION("""COMPUTED_VALUE"""),3139.0)</f>
        <v>3139</v>
      </c>
      <c r="B3141" s="87" t="str">
        <f>IFERROR(__xludf.DUMMYFUNCTION("""COMPUTED_VALUE"""),"Nhãn")</f>
        <v>Nhãn</v>
      </c>
      <c r="C3141" s="87" t="str">
        <f>IFERROR(__xludf.DUMMYFUNCTION("""COMPUTED_VALUE"""),"NHG2523")</f>
        <v>NHG2523</v>
      </c>
      <c r="D3141" s="87" t="str">
        <f>IFERROR(__xludf.DUMMYFUNCTION("""COMPUTED_VALUE"""),"[Nhãn]  IDA Global - I - 2523 - IDA Vil (nước vàng)(chai trắng nắp xanh dương) - 1 Lít - 20")</f>
        <v>[Nhãn]  IDA Global - I - 2523 - IDA Vil (nước vàng)(chai trắng nắp xanh dương) - 1 Lít - 20</v>
      </c>
      <c r="E3141" s="87" t="str">
        <f>IFERROR(__xludf.DUMMYFUNCTION("""COMPUTED_VALUE"""),"Mekongvil 5SC")</f>
        <v>Mekongvil 5SC</v>
      </c>
      <c r="F3141" s="87" t="str">
        <f>IFERROR(__xludf.DUMMYFUNCTION("""COMPUTED_VALUE"""),"HH2523")</f>
        <v>HH2523</v>
      </c>
      <c r="G3141" s="87" t="str">
        <f>IFERROR(__xludf.DUMMYFUNCTION("""COMPUTED_VALUE"""),"IDA Global - I - 2523 - IDA Vil (nước vàng)(chai trắng nắp xanh dương) - 1 Lít - 20")</f>
        <v>IDA Global - I - 2523 - IDA Vil (nước vàng)(chai trắng nắp xanh dương) - 1 Lít - 20</v>
      </c>
    </row>
    <row r="3142">
      <c r="A3142" s="86">
        <f>IFERROR(__xludf.DUMMYFUNCTION("""COMPUTED_VALUE"""),3140.0)</f>
        <v>3140</v>
      </c>
      <c r="B3142" s="87" t="str">
        <f>IFERROR(__xludf.DUMMYFUNCTION("""COMPUTED_VALUE"""),"Nhãn")</f>
        <v>Nhãn</v>
      </c>
      <c r="C3142" s="87" t="str">
        <f>IFERROR(__xludf.DUMMYFUNCTION("""COMPUTED_VALUE"""),"NHD2524")</f>
        <v>NHD2524</v>
      </c>
      <c r="D3142" s="87" t="str">
        <f>IFERROR(__xludf.DUMMYFUNCTION("""COMPUTED_VALUE"""),"[Nhãn] LOT IDA Global - I - 2524 - ĐL Tập Hưng - Con Cọp 36 (Nước nâu đen) - 450ml - 40")</f>
        <v>[Nhãn] LOT IDA Global - I - 2524 - ĐL Tập Hưng - Con Cọp 36 (Nước nâu đen) - 450ml - 40</v>
      </c>
      <c r="E3142" s="87" t="str">
        <f>IFERROR(__xludf.DUMMYFUNCTION("""COMPUTED_VALUE"""),"Chitin 3.6EC")</f>
        <v>Chitin 3.6EC</v>
      </c>
      <c r="F3142" s="87" t="str">
        <f>IFERROR(__xludf.DUMMYFUNCTION("""COMPUTED_VALUE"""),"HH2524")</f>
        <v>HH2524</v>
      </c>
      <c r="G3142" s="87" t="str">
        <f>IFERROR(__xludf.DUMMYFUNCTION("""COMPUTED_VALUE"""),"LOT IDA Global - I - 2524 - ĐL Tập Hưng - Con Cọp 36 (Nước nâu đen) - 450ml - 40")</f>
        <v>LOT IDA Global - I - 2524 - ĐL Tập Hưng - Con Cọp 36 (Nước nâu đen) - 450ml - 40</v>
      </c>
    </row>
    <row r="3143">
      <c r="A3143" s="86">
        <f>IFERROR(__xludf.DUMMYFUNCTION("""COMPUTED_VALUE"""),3141.0)</f>
        <v>3141</v>
      </c>
      <c r="B3143" s="87" t="str">
        <f>IFERROR(__xludf.DUMMYFUNCTION("""COMPUTED_VALUE"""),"Nhãn thùng")</f>
        <v>Nhãn thùng</v>
      </c>
      <c r="C3143" s="87" t="str">
        <f>IFERROR(__xludf.DUMMYFUNCTION("""COMPUTED_VALUE"""),"NDT2524")</f>
        <v>NDT2524</v>
      </c>
      <c r="D3143" s="87" t="str">
        <f>IFERROR(__xludf.DUMMYFUNCTION("""COMPUTED_VALUE"""),"[Nhãn thùng] LOT IDA Global - I - 2524 - ĐL Tập Hưng - Con Cọp 36 (Nước nâu đen) - 450ml - 40")</f>
        <v>[Nhãn thùng] LOT IDA Global - I - 2524 - ĐL Tập Hưng - Con Cọp 36 (Nước nâu đen) - 450ml - 40</v>
      </c>
      <c r="E3143" s="87" t="str">
        <f>IFERROR(__xludf.DUMMYFUNCTION("""COMPUTED_VALUE"""),"Chitin 3.6EC")</f>
        <v>Chitin 3.6EC</v>
      </c>
      <c r="F3143" s="87" t="str">
        <f>IFERROR(__xludf.DUMMYFUNCTION("""COMPUTED_VALUE"""),"HH2524")</f>
        <v>HH2524</v>
      </c>
      <c r="G3143" s="87" t="str">
        <f>IFERROR(__xludf.DUMMYFUNCTION("""COMPUTED_VALUE"""),"LOT IDA Global - I - 2524 - ĐL Tập Hưng - Con Cọp 36 (Nước nâu đen) - 450ml - 40")</f>
        <v>LOT IDA Global - I - 2524 - ĐL Tập Hưng - Con Cọp 36 (Nước nâu đen) - 450ml - 40</v>
      </c>
    </row>
    <row r="3144">
      <c r="A3144" s="86">
        <f>IFERROR(__xludf.DUMMYFUNCTION("""COMPUTED_VALUE"""),3142.0)</f>
        <v>3142</v>
      </c>
      <c r="B3144" s="87" t="str">
        <f>IFERROR(__xludf.DUMMYFUNCTION("""COMPUTED_VALUE"""),"Nhãn")</f>
        <v>Nhãn</v>
      </c>
      <c r="C3144" s="87" t="str">
        <f>IFERROR(__xludf.DUMMYFUNCTION("""COMPUTED_VALUE"""),"NHG2525")</f>
        <v>NHG2525</v>
      </c>
      <c r="D3144" s="87" t="str">
        <f>IFERROR(__xludf.DUMMYFUNCTION("""COMPUTED_VALUE"""),"[Nhãn] GC - IV - 2525 - CTY HAT GROUP - ĐẠI BÀNG CHÚA (Nước vàng trà V1) - 400ml - 40")</f>
        <v>[Nhãn] GC - IV - 2525 - CTY HAT GROUP - ĐẠI BÀNG CHÚA (Nước vàng trà V1) - 400ml - 40</v>
      </c>
      <c r="E3144" s="87" t="str">
        <f>IFERROR(__xludf.DUMMYFUNCTION("""COMPUTED_VALUE"""),"Thipro 550EC")</f>
        <v>Thipro 550EC</v>
      </c>
      <c r="F3144" s="87" t="str">
        <f>IFERROR(__xludf.DUMMYFUNCTION("""COMPUTED_VALUE"""),"HH2525")</f>
        <v>HH2525</v>
      </c>
      <c r="G3144" s="87" t="str">
        <f>IFERROR(__xludf.DUMMYFUNCTION("""COMPUTED_VALUE"""),"GC - IV - 2525 - CTY HAT GROUP - ĐẠI BÀNG CHÚA (Nước vàng trà V1) - 400ml - 40")</f>
        <v>GC - IV - 2525 - CTY HAT GROUP - ĐẠI BÀNG CHÚA (Nước vàng trà V1) - 400ml - 40</v>
      </c>
    </row>
    <row r="3145">
      <c r="A3145" s="86">
        <f>IFERROR(__xludf.DUMMYFUNCTION("""COMPUTED_VALUE"""),3143.0)</f>
        <v>3143</v>
      </c>
      <c r="B3145" s="87" t="str">
        <f>IFERROR(__xludf.DUMMYFUNCTION("""COMPUTED_VALUE"""),"Nhãn")</f>
        <v>Nhãn</v>
      </c>
      <c r="C3145" s="87" t="str">
        <f>IFERROR(__xludf.DUMMYFUNCTION("""COMPUTED_VALUE"""),"NHG2526")</f>
        <v>NHG2526</v>
      </c>
      <c r="D3145" s="87" t="str">
        <f>IFERROR(__xludf.DUMMYFUNCTION("""COMPUTED_VALUE"""),"[Nhãn] GC - II - 2526 - AGC (TÂY NGUYÊN) - YAPOKO 250SC (Nước trắng sữa) - 240ml - 40")</f>
        <v>[Nhãn] GC - II - 2526 - AGC (TÂY NGUYÊN) - YAPOKO 250SC (Nước trắng sữa) - 240ml - 40</v>
      </c>
      <c r="E3145" s="87" t="str">
        <f>IFERROR(__xludf.DUMMYFUNCTION("""COMPUTED_VALUE"""),"YAPOKO 250SC")</f>
        <v>YAPOKO 250SC</v>
      </c>
      <c r="F3145" s="87" t="str">
        <f>IFERROR(__xludf.DUMMYFUNCTION("""COMPUTED_VALUE"""),"HH2526")</f>
        <v>HH2526</v>
      </c>
      <c r="G3145" s="87" t="str">
        <f>IFERROR(__xludf.DUMMYFUNCTION("""COMPUTED_VALUE"""),"GC - II - 2526 - AGC (TÂY NGUYÊN) - YAPOKO 250SC (Nước trắng sữa) - 240ml - 40")</f>
        <v>GC - II - 2526 - AGC (TÂY NGUYÊN) - YAPOKO 250SC (Nước trắng sữa) - 240ml - 40</v>
      </c>
    </row>
    <row r="3146">
      <c r="A3146" s="86">
        <f>IFERROR(__xludf.DUMMYFUNCTION("""COMPUTED_VALUE"""),3144.0)</f>
        <v>3144</v>
      </c>
      <c r="B3146" s="87" t="str">
        <f>IFERROR(__xludf.DUMMYFUNCTION("""COMPUTED_VALUE"""),"Nhãn")</f>
        <v>Nhãn</v>
      </c>
      <c r="C3146" s="87" t="str">
        <f>IFERROR(__xludf.DUMMYFUNCTION("""COMPUTED_VALUE"""),"NTN2527")</f>
        <v>NTN2527</v>
      </c>
      <c r="D3146" s="87" t="str">
        <f>IFERROR(__xludf.DUMMYFUNCTION("""COMPUTED_VALUE"""),"[Nhãn] GC - II - 2527 - AGC (TÂY NGUYÊN) - MANCOLAXYL PRO (Bột vàng) - 250gr - 60")</f>
        <v>[Nhãn] GC - II - 2527 - AGC (TÂY NGUYÊN) - MANCOLAXYL PRO (Bột vàng) - 250gr - 60</v>
      </c>
      <c r="E3146" s="87" t="str">
        <f>IFERROR(__xludf.DUMMYFUNCTION("""COMPUTED_VALUE"""),"FORTAZEB 72WP")</f>
        <v>FORTAZEB 72WP</v>
      </c>
      <c r="F3146" s="87" t="str">
        <f>IFERROR(__xludf.DUMMYFUNCTION("""COMPUTED_VALUE"""),"HH2527")</f>
        <v>HH2527</v>
      </c>
      <c r="G3146" s="87" t="str">
        <f>IFERROR(__xludf.DUMMYFUNCTION("""COMPUTED_VALUE"""),"GC - II - 2527 - AGC (TÂY NGUYÊN) - MANCOLAXYL PRO (Bột vàng) - 250gr - 60")</f>
        <v>GC - II - 2527 - AGC (TÂY NGUYÊN) - MANCOLAXYL PRO (Bột vàng) - 250gr - 60</v>
      </c>
    </row>
    <row r="3147">
      <c r="A3147" s="86">
        <f>IFERROR(__xludf.DUMMYFUNCTION("""COMPUTED_VALUE"""),3145.0)</f>
        <v>3145</v>
      </c>
      <c r="B3147" s="87" t="str">
        <f>IFERROR(__xludf.DUMMYFUNCTION("""COMPUTED_VALUE"""),"Nhãn thùng")</f>
        <v>Nhãn thùng</v>
      </c>
      <c r="C3147" s="87" t="str">
        <f>IFERROR(__xludf.DUMMYFUNCTION("""COMPUTED_VALUE"""),"NDT2527")</f>
        <v>NDT2527</v>
      </c>
      <c r="D3147" s="87" t="str">
        <f>IFERROR(__xludf.DUMMYFUNCTION("""COMPUTED_VALUE"""),"[Nhãn thùng] GC - II - 2527 - AGC (TÂY NGUYÊN) - MANCOLAXYL PRO (Bột vàng) - 250gr - 60")</f>
        <v>[Nhãn thùng] GC - II - 2527 - AGC (TÂY NGUYÊN) - MANCOLAXYL PRO (Bột vàng) - 250gr - 60</v>
      </c>
      <c r="E3147" s="87" t="str">
        <f>IFERROR(__xludf.DUMMYFUNCTION("""COMPUTED_VALUE"""),"FORTAZEB 72WP")</f>
        <v>FORTAZEB 72WP</v>
      </c>
      <c r="F3147" s="87" t="str">
        <f>IFERROR(__xludf.DUMMYFUNCTION("""COMPUTED_VALUE"""),"HH2527")</f>
        <v>HH2527</v>
      </c>
      <c r="G3147" s="87" t="str">
        <f>IFERROR(__xludf.DUMMYFUNCTION("""COMPUTED_VALUE"""),"GC - II - 2527 - AGC (TÂY NGUYÊN) - MANCOLAXYL PRO (Bột vàng) - 250gr - 60")</f>
        <v>GC - II - 2527 - AGC (TÂY NGUYÊN) - MANCOLAXYL PRO (Bột vàng) - 250gr - 60</v>
      </c>
    </row>
    <row r="3148">
      <c r="A3148" s="86">
        <f>IFERROR(__xludf.DUMMYFUNCTION("""COMPUTED_VALUE"""),3146.0)</f>
        <v>3146</v>
      </c>
      <c r="B3148" s="87" t="str">
        <f>IFERROR(__xludf.DUMMYFUNCTION("""COMPUTED_VALUE"""),"Nhãn")</f>
        <v>Nhãn</v>
      </c>
      <c r="C3148" s="87" t="str">
        <f>IFERROR(__xludf.DUMMYFUNCTION("""COMPUTED_VALUE"""),"NHD2528")</f>
        <v>NHD2528</v>
      </c>
      <c r="D3148" s="87" t="str">
        <f>IFERROR(__xludf.DUMMYFUNCTION("""COMPUTED_VALUE"""),"[Nhãn] BAMBOO - II - 2528 - BAMBOO ORGANIC (nước nâu đen) - 5L - 4")</f>
        <v>[Nhãn] BAMBOO - II - 2528 - BAMBOO ORGANIC (nước nâu đen) - 5L - 4</v>
      </c>
      <c r="E3148" s="87" t="str">
        <f>IFERROR(__xludf.DUMMYFUNCTION("""COMPUTED_VALUE"""),"Hữu cơ SH Agro Organic Fertilizer 20")</f>
        <v>Hữu cơ SH Agro Organic Fertilizer 20</v>
      </c>
      <c r="F3148" s="87" t="str">
        <f>IFERROR(__xludf.DUMMYFUNCTION("""COMPUTED_VALUE"""),"HH2528")</f>
        <v>HH2528</v>
      </c>
      <c r="G3148" s="87" t="str">
        <f>IFERROR(__xludf.DUMMYFUNCTION("""COMPUTED_VALUE"""),"BAMBOO - II - 2528 - BAMBOO ORGANIC (nước nâu đen) - 5L - 4")</f>
        <v>BAMBOO - II - 2528 - BAMBOO ORGANIC (nước nâu đen) - 5L - 4</v>
      </c>
    </row>
    <row r="3149">
      <c r="A3149" s="86">
        <f>IFERROR(__xludf.DUMMYFUNCTION("""COMPUTED_VALUE"""),3147.0)</f>
        <v>3147</v>
      </c>
      <c r="B3149" s="87" t="str">
        <f>IFERROR(__xludf.DUMMYFUNCTION("""COMPUTED_VALUE"""),"Nhãn thùng")</f>
        <v>Nhãn thùng</v>
      </c>
      <c r="C3149" s="87" t="str">
        <f>IFERROR(__xludf.DUMMYFUNCTION("""COMPUTED_VALUE"""),"NDT2528")</f>
        <v>NDT2528</v>
      </c>
      <c r="D3149" s="87" t="str">
        <f>IFERROR(__xludf.DUMMYFUNCTION("""COMPUTED_VALUE"""),"[Nhãn thùng] BAMBOO - II - 2528 - BAMBOO ORGANIC (nước nâu đen) - 5L - 4")</f>
        <v>[Nhãn thùng] BAMBOO - II - 2528 - BAMBOO ORGANIC (nước nâu đen) - 5L - 4</v>
      </c>
      <c r="E3149" s="87" t="str">
        <f>IFERROR(__xludf.DUMMYFUNCTION("""COMPUTED_VALUE"""),"Hữu cơ SH Agro Organic Fertilizer 20")</f>
        <v>Hữu cơ SH Agro Organic Fertilizer 20</v>
      </c>
      <c r="F3149" s="87" t="str">
        <f>IFERROR(__xludf.DUMMYFUNCTION("""COMPUTED_VALUE"""),"HH2528")</f>
        <v>HH2528</v>
      </c>
      <c r="G3149" s="87" t="str">
        <f>IFERROR(__xludf.DUMMYFUNCTION("""COMPUTED_VALUE"""),"BAMBOO - II - 2528 - BAMBOO ORGANIC (nước nâu đen) - 5L - 4")</f>
        <v>BAMBOO - II - 2528 - BAMBOO ORGANIC (nước nâu đen) - 5L - 4</v>
      </c>
    </row>
    <row r="3150">
      <c r="A3150" s="86">
        <f>IFERROR(__xludf.DUMMYFUNCTION("""COMPUTED_VALUE"""),3148.0)</f>
        <v>3148</v>
      </c>
      <c r="B3150" s="87" t="str">
        <f>IFERROR(__xludf.DUMMYFUNCTION("""COMPUTED_VALUE"""),"Nhãn")</f>
        <v>Nhãn</v>
      </c>
      <c r="C3150" s="87" t="str">
        <f>IFERROR(__xludf.DUMMYFUNCTION("""COMPUTED_VALUE"""),"NTN2529")</f>
        <v>NTN2529</v>
      </c>
      <c r="D3150" s="87" t="str">
        <f>IFERROR(__xludf.DUMMYFUNCTION("""COMPUTED_VALUE"""),"[Nhãn] GC - IV - 2529 - Cty Agricare Úc (Anh Lộc) - Mancozeb Xanh (bột xanh) - 1kg - 20")</f>
        <v>[Nhãn] GC - IV - 2529 - Cty Agricare Úc (Anh Lộc) - Mancozeb Xanh (bột xanh) - 1kg - 20</v>
      </c>
      <c r="E3150" s="87" t="str">
        <f>IFERROR(__xludf.DUMMYFUNCTION("""COMPUTED_VALUE"""),"MANCOBGO 80WP")</f>
        <v>MANCOBGO 80WP</v>
      </c>
      <c r="F3150" s="87" t="str">
        <f>IFERROR(__xludf.DUMMYFUNCTION("""COMPUTED_VALUE"""),"HH2529")</f>
        <v>HH2529</v>
      </c>
      <c r="G3150" s="87" t="str">
        <f>IFERROR(__xludf.DUMMYFUNCTION("""COMPUTED_VALUE"""),"GC - IV - 2529 - Cty Agricare Úc (Anh Lộc) - Mancozeb Xanh (bột xanh) - 1kg - 20")</f>
        <v>GC - IV - 2529 - Cty Agricare Úc (Anh Lộc) - Mancozeb Xanh (bột xanh) - 1kg - 20</v>
      </c>
    </row>
    <row r="3151">
      <c r="A3151" s="86">
        <f>IFERROR(__xludf.DUMMYFUNCTION("""COMPUTED_VALUE"""),3149.0)</f>
        <v>3149</v>
      </c>
      <c r="B3151" s="87" t="str">
        <f>IFERROR(__xludf.DUMMYFUNCTION("""COMPUTED_VALUE"""),"Nhãn thùng")</f>
        <v>Nhãn thùng</v>
      </c>
      <c r="C3151" s="87" t="str">
        <f>IFERROR(__xludf.DUMMYFUNCTION("""COMPUTED_VALUE"""),"NDT2529")</f>
        <v>NDT2529</v>
      </c>
      <c r="D3151" s="87" t="str">
        <f>IFERROR(__xludf.DUMMYFUNCTION("""COMPUTED_VALUE"""),"[Nhãn thùng] GC - IV - 2529 - Cty Agricare Úc (Anh Lộc) - Mancozeb Xanh (bột xanh) - 1kg - 20")</f>
        <v>[Nhãn thùng] GC - IV - 2529 - Cty Agricare Úc (Anh Lộc) - Mancozeb Xanh (bột xanh) - 1kg - 20</v>
      </c>
      <c r="E3151" s="87" t="str">
        <f>IFERROR(__xludf.DUMMYFUNCTION("""COMPUTED_VALUE"""),"MANCOBGO 80WP")</f>
        <v>MANCOBGO 80WP</v>
      </c>
      <c r="F3151" s="87" t="str">
        <f>IFERROR(__xludf.DUMMYFUNCTION("""COMPUTED_VALUE"""),"HH2529")</f>
        <v>HH2529</v>
      </c>
      <c r="G3151" s="87" t="str">
        <f>IFERROR(__xludf.DUMMYFUNCTION("""COMPUTED_VALUE"""),"GC - IV - 2529 - Cty Agricare Úc (Anh Lộc) - Mancozeb Xanh (bột xanh) - 1kg - 20")</f>
        <v>GC - IV - 2529 - Cty Agricare Úc (Anh Lộc) - Mancozeb Xanh (bột xanh) - 1kg - 20</v>
      </c>
    </row>
    <row r="3152">
      <c r="A3152" s="86">
        <f>IFERROR(__xludf.DUMMYFUNCTION("""COMPUTED_VALUE"""),3150.0)</f>
        <v>3150</v>
      </c>
      <c r="B3152" s="87" t="str">
        <f>IFERROR(__xludf.DUMMYFUNCTION("""COMPUTED_VALUE"""),"Nhãn")</f>
        <v>Nhãn</v>
      </c>
      <c r="C3152" s="87" t="str">
        <f>IFERROR(__xludf.DUMMYFUNCTION("""COMPUTED_VALUE"""),"NHG2530")</f>
        <v>NHG2530</v>
      </c>
      <c r="D3152" s="87" t="str">
        <f>IFERROR(__xludf.DUMMYFUNCTION("""COMPUTED_VALUE"""),"[Nhãn] GC - IV - 2530 - THÀNH CÔNG AGRI - DIỆT CỎ THÀNH CÔNG (Nước tím) - 900ml - 20")</f>
        <v>[Nhãn] GC - IV - 2530 - THÀNH CÔNG AGRI - DIỆT CỎ THÀNH CÔNG (Nước tím) - 900ml - 20</v>
      </c>
      <c r="E3152" s="87" t="str">
        <f>IFERROR(__xludf.DUMMYFUNCTION("""COMPUTED_VALUE"""),"Asupergras 200SL")</f>
        <v>Asupergras 200SL</v>
      </c>
      <c r="F3152" s="87" t="str">
        <f>IFERROR(__xludf.DUMMYFUNCTION("""COMPUTED_VALUE"""),"HH2530")</f>
        <v>HH2530</v>
      </c>
      <c r="G3152" s="87" t="str">
        <f>IFERROR(__xludf.DUMMYFUNCTION("""COMPUTED_VALUE"""),"GC - IV - 2530 - THÀNH CÔNG AGRI - DIỆT CỎ THÀNH CÔNG (Nước tím) - 900ml - 20")</f>
        <v>GC - IV - 2530 - THÀNH CÔNG AGRI - DIỆT CỎ THÀNH CÔNG (Nước tím) - 900ml - 20</v>
      </c>
    </row>
    <row r="3153">
      <c r="A3153" s="86">
        <f>IFERROR(__xludf.DUMMYFUNCTION("""COMPUTED_VALUE"""),3151.0)</f>
        <v>3151</v>
      </c>
      <c r="B3153" s="87" t="str">
        <f>IFERROR(__xludf.DUMMYFUNCTION("""COMPUTED_VALUE"""),"Nhãn")</f>
        <v>Nhãn</v>
      </c>
      <c r="C3153" s="87" t="str">
        <f>IFERROR(__xludf.DUMMYFUNCTION("""COMPUTED_VALUE"""),"NHG2531")</f>
        <v>NHG2531</v>
      </c>
      <c r="D3153" s="87" t="str">
        <f>IFERROR(__xludf.DUMMYFUNCTION("""COMPUTED_VALUE"""),"#N/A")</f>
        <v>#N/A</v>
      </c>
      <c r="E3153" s="87"/>
      <c r="F3153" s="87" t="str">
        <f>IFERROR(__xludf.DUMMYFUNCTION("""COMPUTED_VALUE"""),"HH2531")</f>
        <v>HH2531</v>
      </c>
      <c r="G3153" s="87"/>
    </row>
    <row r="3154">
      <c r="A3154" s="86">
        <f>IFERROR(__xludf.DUMMYFUNCTION("""COMPUTED_VALUE"""),3152.0)</f>
        <v>3152</v>
      </c>
      <c r="B3154" s="87" t="str">
        <f>IFERROR(__xludf.DUMMYFUNCTION("""COMPUTED_VALUE"""),"Nhãn")</f>
        <v>Nhãn</v>
      </c>
      <c r="C3154" s="87" t="str">
        <f>IFERROR(__xludf.DUMMYFUNCTION("""COMPUTED_VALUE"""),"NHG2532")</f>
        <v>NHG2532</v>
      </c>
      <c r="D3154" s="87" t="str">
        <f>IFERROR(__xludf.DUMMYFUNCTION("""COMPUTED_VALUE"""),"[Nhãn] NB - I - 2532 - CTY SÀN THUỐC BVTV - HEXA NHẬT - 1L")</f>
        <v>[Nhãn] NB - I - 2532 - CTY SÀN THUỐC BVTV - HEXA NHẬT - 1L</v>
      </c>
      <c r="E3154" s="87" t="str">
        <f>IFERROR(__xludf.DUMMYFUNCTION("""COMPUTED_VALUE"""),"Mekongvil 5SC")</f>
        <v>Mekongvil 5SC</v>
      </c>
      <c r="F3154" s="87" t="str">
        <f>IFERROR(__xludf.DUMMYFUNCTION("""COMPUTED_VALUE"""),"HH2532")</f>
        <v>HH2532</v>
      </c>
      <c r="G3154" s="87" t="str">
        <f>IFERROR(__xludf.DUMMYFUNCTION("""COMPUTED_VALUE"""),"NB - I - 2532 - CTY SÀN THUỐC BVTV - HEXA NHẬT - 1L")</f>
        <v>NB - I - 2532 - CTY SÀN THUỐC BVTV - HEXA NHẬT - 1L</v>
      </c>
    </row>
    <row r="3155">
      <c r="A3155" s="86">
        <f>IFERROR(__xludf.DUMMYFUNCTION("""COMPUTED_VALUE"""),3153.0)</f>
        <v>3153</v>
      </c>
      <c r="B3155" s="87" t="str">
        <f>IFERROR(__xludf.DUMMYFUNCTION("""COMPUTED_VALUE"""),"Nhãn")</f>
        <v>Nhãn</v>
      </c>
      <c r="C3155" s="87" t="str">
        <f>IFERROR(__xludf.DUMMYFUNCTION("""COMPUTED_VALUE"""),"NTN2533")</f>
        <v>NTN2533</v>
      </c>
      <c r="D3155" s="87" t="str">
        <f>IFERROR(__xludf.DUMMYFUNCTION("""COMPUTED_VALUE"""),"[Nhãn] GC - II - 2533 - AQUA - Siêu ra hoa xoài (Bột trắng xanh) - 1kg - 25")</f>
        <v>[Nhãn] GC - II - 2533 - AQUA - Siêu ra hoa xoài (Bột trắng xanh) - 1kg - 25</v>
      </c>
      <c r="E3155" s="87" t="str">
        <f>IFERROR(__xludf.DUMMYFUNCTION("""COMPUTED_VALUE"""),"Vi lượng AV4-BO633")</f>
        <v>Vi lượng AV4-BO633</v>
      </c>
      <c r="F3155" s="87" t="str">
        <f>IFERROR(__xludf.DUMMYFUNCTION("""COMPUTED_VALUE"""),"HH2533")</f>
        <v>HH2533</v>
      </c>
      <c r="G3155" s="87" t="str">
        <f>IFERROR(__xludf.DUMMYFUNCTION("""COMPUTED_VALUE"""),"GC - II - 2533 - AQUA - Siêu ra hoa xoài (Bột trắng xanh) - 1kg - 25")</f>
        <v>GC - II - 2533 - AQUA - Siêu ra hoa xoài (Bột trắng xanh) - 1kg - 25</v>
      </c>
    </row>
    <row r="3156">
      <c r="A3156" s="86">
        <f>IFERROR(__xludf.DUMMYFUNCTION("""COMPUTED_VALUE"""),3154.0)</f>
        <v>3154</v>
      </c>
      <c r="B3156" s="87" t="str">
        <f>IFERROR(__xludf.DUMMYFUNCTION("""COMPUTED_VALUE"""),"Nhãn")</f>
        <v>Nhãn</v>
      </c>
      <c r="C3156" s="87" t="str">
        <f>IFERROR(__xludf.DUMMYFUNCTION("""COMPUTED_VALUE"""),"NHD2536")</f>
        <v>NHD2536</v>
      </c>
      <c r="D3156" s="87" t="str">
        <f>IFERROR(__xludf.DUMMYFUNCTION("""COMPUTED_VALUE"""),"[Nhãn] GC - IV - 2536 - CTY LÊ CHÂU CT - LC-ROOTS (Nước nâu đen) - 5L - 4")</f>
        <v>[Nhãn] GC - IV - 2536 - CTY LÊ CHÂU CT - LC-ROOTS (Nước nâu đen) - 5L - 4</v>
      </c>
      <c r="E3156" s="87" t="str">
        <f>IFERROR(__xludf.DUMMYFUNCTION("""COMPUTED_VALUE"""),"Hữu cơ SH Agro Organic Fertilizer 20")</f>
        <v>Hữu cơ SH Agro Organic Fertilizer 20</v>
      </c>
      <c r="F3156" s="87" t="str">
        <f>IFERROR(__xludf.DUMMYFUNCTION("""COMPUTED_VALUE"""),"HH2536")</f>
        <v>HH2536</v>
      </c>
      <c r="G3156" s="87" t="str">
        <f>IFERROR(__xludf.DUMMYFUNCTION("""COMPUTED_VALUE"""),"GC - IV - 2536 - CTY LÊ CHÂU CT - LC-ROOTS (Nước nâu đen) - 5L - 4")</f>
        <v>GC - IV - 2536 - CTY LÊ CHÂU CT - LC-ROOTS (Nước nâu đen) - 5L - 4</v>
      </c>
    </row>
    <row r="3157">
      <c r="A3157" s="86">
        <f>IFERROR(__xludf.DUMMYFUNCTION("""COMPUTED_VALUE"""),3155.0)</f>
        <v>3155</v>
      </c>
      <c r="B3157" s="87" t="str">
        <f>IFERROR(__xludf.DUMMYFUNCTION("""COMPUTED_VALUE"""),"Nhãn thùng")</f>
        <v>Nhãn thùng</v>
      </c>
      <c r="C3157" s="87" t="str">
        <f>IFERROR(__xludf.DUMMYFUNCTION("""COMPUTED_VALUE"""),"NDT2536")</f>
        <v>NDT2536</v>
      </c>
      <c r="D3157" s="87" t="str">
        <f>IFERROR(__xludf.DUMMYFUNCTION("""COMPUTED_VALUE"""),"[Nhãn thùng] GC - IV - 2536 - CTY LÊ CHÂU CT - LC-ROOTS (Nước nâu đen) - 5L - 4")</f>
        <v>[Nhãn thùng] GC - IV - 2536 - CTY LÊ CHÂU CT - LC-ROOTS (Nước nâu đen) - 5L - 4</v>
      </c>
      <c r="E3157" s="87" t="str">
        <f>IFERROR(__xludf.DUMMYFUNCTION("""COMPUTED_VALUE"""),"Hữu cơ SH Agro Organic Fertilizer 20")</f>
        <v>Hữu cơ SH Agro Organic Fertilizer 20</v>
      </c>
      <c r="F3157" s="87" t="str">
        <f>IFERROR(__xludf.DUMMYFUNCTION("""COMPUTED_VALUE"""),"HH2536")</f>
        <v>HH2536</v>
      </c>
      <c r="G3157" s="87" t="str">
        <f>IFERROR(__xludf.DUMMYFUNCTION("""COMPUTED_VALUE"""),"GC - IV - 2536 - CTY LÊ CHÂU CT - LC-ROOTS (Nước nâu đen) - 5L - 4")</f>
        <v>GC - IV - 2536 - CTY LÊ CHÂU CT - LC-ROOTS (Nước nâu đen) - 5L - 4</v>
      </c>
    </row>
    <row r="3158">
      <c r="A3158" s="86">
        <f>IFERROR(__xludf.DUMMYFUNCTION("""COMPUTED_VALUE"""),3156.0)</f>
        <v>3156</v>
      </c>
      <c r="B3158" s="87" t="str">
        <f>IFERROR(__xludf.DUMMYFUNCTION("""COMPUTED_VALUE"""),"Nhãn")</f>
        <v>Nhãn</v>
      </c>
      <c r="C3158" s="87" t="str">
        <f>IFERROR(__xludf.DUMMYFUNCTION("""COMPUTED_VALUE"""),"NHD2537")</f>
        <v>NHD2537</v>
      </c>
      <c r="D3158" s="87" t="str">
        <f>IFERROR(__xludf.DUMMYFUNCTION("""COMPUTED_VALUE"""),"[Nhãn] GC - IV - 2537 - CTY LÊ CHÂU CT - LC-ROOTS (Nước nâu đen) - 10L - 1")</f>
        <v>[Nhãn] GC - IV - 2537 - CTY LÊ CHÂU CT - LC-ROOTS (Nước nâu đen) - 10L - 1</v>
      </c>
      <c r="E3158" s="87" t="str">
        <f>IFERROR(__xludf.DUMMYFUNCTION("""COMPUTED_VALUE"""),"Hữu cơ SH Agro Organic Fertilizer 20")</f>
        <v>Hữu cơ SH Agro Organic Fertilizer 20</v>
      </c>
      <c r="F3158" s="87" t="str">
        <f>IFERROR(__xludf.DUMMYFUNCTION("""COMPUTED_VALUE"""),"HH2537")</f>
        <v>HH2537</v>
      </c>
      <c r="G3158" s="87" t="str">
        <f>IFERROR(__xludf.DUMMYFUNCTION("""COMPUTED_VALUE"""),"GC - IV - 2537 - CTY LÊ CHÂU CT - LC-ROOTS (Nước nâu đen) - 10L - 1")</f>
        <v>GC - IV - 2537 - CTY LÊ CHÂU CT - LC-ROOTS (Nước nâu đen) - 10L - 1</v>
      </c>
    </row>
    <row r="3159">
      <c r="A3159" s="86">
        <f>IFERROR(__xludf.DUMMYFUNCTION("""COMPUTED_VALUE"""),3157.0)</f>
        <v>3157</v>
      </c>
      <c r="B3159" s="87" t="str">
        <f>IFERROR(__xludf.DUMMYFUNCTION("""COMPUTED_VALUE"""),"Nhãn")</f>
        <v>Nhãn</v>
      </c>
      <c r="C3159" s="87" t="str">
        <f>IFERROR(__xludf.DUMMYFUNCTION("""COMPUTED_VALUE"""),"NTN2538")</f>
        <v>NTN2538</v>
      </c>
      <c r="D3159" s="87" t="str">
        <f>IFERROR(__xludf.DUMMYFUNCTION("""COMPUTED_VALUE"""),"[Nhãn] GC - IV - 2538 - MANCO GREEN (Bột xanh) - 1kg - 20")</f>
        <v>[Nhãn] GC - IV - 2538 - MANCO GREEN (Bột xanh) - 1kg - 20</v>
      </c>
      <c r="E3159" s="87" t="str">
        <f>IFERROR(__xludf.DUMMYFUNCTION("""COMPUTED_VALUE"""),"MANCOBGO 80WP")</f>
        <v>MANCOBGO 80WP</v>
      </c>
      <c r="F3159" s="87" t="str">
        <f>IFERROR(__xludf.DUMMYFUNCTION("""COMPUTED_VALUE"""),"HH2538")</f>
        <v>HH2538</v>
      </c>
      <c r="G3159" s="87" t="str">
        <f>IFERROR(__xludf.DUMMYFUNCTION("""COMPUTED_VALUE"""),"GC - IV - 2538 - MANCO GREEN (Bột xanh) - 1kg - 20")</f>
        <v>GC - IV - 2538 - MANCO GREEN (Bột xanh) - 1kg - 20</v>
      </c>
    </row>
    <row r="3160">
      <c r="A3160" s="86">
        <f>IFERROR(__xludf.DUMMYFUNCTION("""COMPUTED_VALUE"""),3158.0)</f>
        <v>3158</v>
      </c>
      <c r="B3160" s="87" t="str">
        <f>IFERROR(__xludf.DUMMYFUNCTION("""COMPUTED_VALUE"""),"Nhãn thùng")</f>
        <v>Nhãn thùng</v>
      </c>
      <c r="C3160" s="87" t="str">
        <f>IFERROR(__xludf.DUMMYFUNCTION("""COMPUTED_VALUE"""),"NDT2538")</f>
        <v>NDT2538</v>
      </c>
      <c r="D3160" s="87" t="str">
        <f>IFERROR(__xludf.DUMMYFUNCTION("""COMPUTED_VALUE"""),"[Nhãn thùng] GC - IV - 2538 - MANCO GREEN (Bột xanh) - 1kg - 20")</f>
        <v>[Nhãn thùng] GC - IV - 2538 - MANCO GREEN (Bột xanh) - 1kg - 20</v>
      </c>
      <c r="E3160" s="87" t="str">
        <f>IFERROR(__xludf.DUMMYFUNCTION("""COMPUTED_VALUE"""),"MANCOBGO 80WP")</f>
        <v>MANCOBGO 80WP</v>
      </c>
      <c r="F3160" s="87" t="str">
        <f>IFERROR(__xludf.DUMMYFUNCTION("""COMPUTED_VALUE"""),"HH2538")</f>
        <v>HH2538</v>
      </c>
      <c r="G3160" s="87" t="str">
        <f>IFERROR(__xludf.DUMMYFUNCTION("""COMPUTED_VALUE"""),"GC - IV - 2538 - MANCO GREEN (Bột xanh) - 1kg - 20")</f>
        <v>GC - IV - 2538 - MANCO GREEN (Bột xanh) - 1kg - 20</v>
      </c>
    </row>
    <row r="3161">
      <c r="A3161" s="86">
        <f>IFERROR(__xludf.DUMMYFUNCTION("""COMPUTED_VALUE"""),3159.0)</f>
        <v>3159</v>
      </c>
      <c r="B3161" s="87" t="str">
        <f>IFERROR(__xludf.DUMMYFUNCTION("""COMPUTED_VALUE"""),"Nhãn")</f>
        <v>Nhãn</v>
      </c>
      <c r="C3161" s="87" t="str">
        <f>IFERROR(__xludf.DUMMYFUNCTION("""COMPUTED_VALUE"""),"NTN2539")</f>
        <v>NTN2539</v>
      </c>
      <c r="D3161" s="87" t="str">
        <f>IFERROR(__xludf.DUMMYFUNCTION("""COMPUTED_VALUE"""),"[Nhãn] GC - IV - 2539 - Cty NANOTECH USA - MANCOZEB (bột xanh) - 1kg - 20")</f>
        <v>[Nhãn] GC - IV - 2539 - Cty NANOTECH USA - MANCOZEB (bột xanh) - 1kg - 20</v>
      </c>
      <c r="E3161" s="87" t="str">
        <f>IFERROR(__xludf.DUMMYFUNCTION("""COMPUTED_VALUE"""),"MANCOBGO 80WP")</f>
        <v>MANCOBGO 80WP</v>
      </c>
      <c r="F3161" s="87" t="str">
        <f>IFERROR(__xludf.DUMMYFUNCTION("""COMPUTED_VALUE"""),"HH2539")</f>
        <v>HH2539</v>
      </c>
      <c r="G3161" s="87" t="str">
        <f>IFERROR(__xludf.DUMMYFUNCTION("""COMPUTED_VALUE"""),"GC - IV - 2539 - Cty NANOTECH USA - MANCOZEB (bột xanh) - 1kg - 20")</f>
        <v>GC - IV - 2539 - Cty NANOTECH USA - MANCOZEB (bột xanh) - 1kg - 20</v>
      </c>
    </row>
    <row r="3162">
      <c r="A3162" s="86">
        <f>IFERROR(__xludf.DUMMYFUNCTION("""COMPUTED_VALUE"""),3160.0)</f>
        <v>3160</v>
      </c>
      <c r="B3162" s="87" t="str">
        <f>IFERROR(__xludf.DUMMYFUNCTION("""COMPUTED_VALUE"""),"Nhãn thùng")</f>
        <v>Nhãn thùng</v>
      </c>
      <c r="C3162" s="87" t="str">
        <f>IFERROR(__xludf.DUMMYFUNCTION("""COMPUTED_VALUE"""),"NDT2539")</f>
        <v>NDT2539</v>
      </c>
      <c r="D3162" s="87" t="str">
        <f>IFERROR(__xludf.DUMMYFUNCTION("""COMPUTED_VALUE"""),"[Nhãn thùng] GC - IV - 2539 - Cty NANOTECH USA - MANCOZEB (bột xanh) - 1kg - 20")</f>
        <v>[Nhãn thùng] GC - IV - 2539 - Cty NANOTECH USA - MANCOZEB (bột xanh) - 1kg - 20</v>
      </c>
      <c r="E3162" s="87" t="str">
        <f>IFERROR(__xludf.DUMMYFUNCTION("""COMPUTED_VALUE"""),"MANCOBGO 80WP")</f>
        <v>MANCOBGO 80WP</v>
      </c>
      <c r="F3162" s="87" t="str">
        <f>IFERROR(__xludf.DUMMYFUNCTION("""COMPUTED_VALUE"""),"HH2539")</f>
        <v>HH2539</v>
      </c>
      <c r="G3162" s="87" t="str">
        <f>IFERROR(__xludf.DUMMYFUNCTION("""COMPUTED_VALUE"""),"GC - IV - 2539 - Cty NANOTECH USA - MANCOZEB (bột xanh) - 1kg - 20")</f>
        <v>GC - IV - 2539 - Cty NANOTECH USA - MANCOZEB (bột xanh) - 1kg - 20</v>
      </c>
    </row>
    <row r="3163">
      <c r="A3163" s="86">
        <f>IFERROR(__xludf.DUMMYFUNCTION("""COMPUTED_VALUE"""),3161.0)</f>
        <v>3161</v>
      </c>
      <c r="B3163" s="87" t="str">
        <f>IFERROR(__xludf.DUMMYFUNCTION("""COMPUTED_VALUE"""),"Nhãn")</f>
        <v>Nhãn</v>
      </c>
      <c r="C3163" s="87" t="str">
        <f>IFERROR(__xludf.DUMMYFUNCTION("""COMPUTED_VALUE"""),"NHG2540")</f>
        <v>NHG2540</v>
      </c>
      <c r="D3163" s="87" t="str">
        <f>IFERROR(__xludf.DUMMYFUNCTION("""COMPUTED_VALUE"""),"[Nhãn] GC - IV - 2540 - CTY HC VIỆT AGRI - ANCONA (Nước cam sữa) - 100ml - 100")</f>
        <v>[Nhãn] GC - IV - 2540 - CTY HC VIỆT AGRI - ANCONA (Nước cam sữa) - 100ml - 100</v>
      </c>
      <c r="E3163" s="87" t="str">
        <f>IFERROR(__xludf.DUMMYFUNCTION("""COMPUTED_VALUE"""),"VATINO SUPER 525SE")</f>
        <v>VATINO SUPER 525SE</v>
      </c>
      <c r="F3163" s="87" t="str">
        <f>IFERROR(__xludf.DUMMYFUNCTION("""COMPUTED_VALUE"""),"HH2540")</f>
        <v>HH2540</v>
      </c>
      <c r="G3163" s="87" t="str">
        <f>IFERROR(__xludf.DUMMYFUNCTION("""COMPUTED_VALUE"""),"GC - IV - 2540 - CTY HC VIỆT AGRI - ANCONA (Nước cam sữa) - 100ml - 100")</f>
        <v>GC - IV - 2540 - CTY HC VIỆT AGRI - ANCONA (Nước cam sữa) - 100ml - 100</v>
      </c>
    </row>
    <row r="3164">
      <c r="A3164" s="86">
        <f>IFERROR(__xludf.DUMMYFUNCTION("""COMPUTED_VALUE"""),3162.0)</f>
        <v>3162</v>
      </c>
      <c r="B3164" s="87" t="str">
        <f>IFERROR(__xludf.DUMMYFUNCTION("""COMPUTED_VALUE"""),"Nhãn")</f>
        <v>Nhãn</v>
      </c>
      <c r="C3164" s="87" t="str">
        <f>IFERROR(__xludf.DUMMYFUNCTION("""COMPUTED_VALUE"""),"NHG2541")</f>
        <v>NHG2541</v>
      </c>
      <c r="D3164" s="87" t="str">
        <f>IFERROR(__xludf.DUMMYFUNCTION("""COMPUTED_VALUE"""),"[Nhãn] GC - IV - 2541 - CTY HC VIỆT AGRI - ANCOVIL (Nước xanh dương) - 1L - 20")</f>
        <v>[Nhãn] GC - IV - 2541 - CTY HC VIỆT AGRI - ANCOVIL (Nước xanh dương) - 1L - 20</v>
      </c>
      <c r="E3164" s="87" t="str">
        <f>IFERROR(__xludf.DUMMYFUNCTION("""COMPUTED_VALUE"""),"Mekongvil 5SC")</f>
        <v>Mekongvil 5SC</v>
      </c>
      <c r="F3164" s="87" t="str">
        <f>IFERROR(__xludf.DUMMYFUNCTION("""COMPUTED_VALUE"""),"HH2541")</f>
        <v>HH2541</v>
      </c>
      <c r="G3164" s="87" t="str">
        <f>IFERROR(__xludf.DUMMYFUNCTION("""COMPUTED_VALUE"""),"GC - IV - 2541 - CTY HC VIỆT AGRI - ANCOVIL (Nước xanh dương) - 1L - 20")</f>
        <v>GC - IV - 2541 - CTY HC VIỆT AGRI - ANCOVIL (Nước xanh dương) - 1L - 20</v>
      </c>
    </row>
    <row r="3165">
      <c r="A3165" s="86">
        <f>IFERROR(__xludf.DUMMYFUNCTION("""COMPUTED_VALUE"""),3163.0)</f>
        <v>3163</v>
      </c>
      <c r="B3165" s="87" t="str">
        <f>IFERROR(__xludf.DUMMYFUNCTION("""COMPUTED_VALUE"""),"Nhãn")</f>
        <v>Nhãn</v>
      </c>
      <c r="C3165" s="87" t="str">
        <f>IFERROR(__xludf.DUMMYFUNCTION("""COMPUTED_VALUE"""),"NTN2542")</f>
        <v>NTN2542</v>
      </c>
      <c r="D3165" s="87" t="str">
        <f>IFERROR(__xludf.DUMMYFUNCTION("""COMPUTED_VALUE"""),"[Nhãn] GC - IV - 2542 - Cty Newtex - BIẾN VÀNG THÀNH XANH (Bột xanh) - 50gr - 200")</f>
        <v>[Nhãn] GC - IV - 2542 - Cty Newtex - BIẾN VÀNG THÀNH XANH (Bột xanh) - 50gr - 200</v>
      </c>
      <c r="E3165" s="87" t="str">
        <f>IFERROR(__xludf.DUMMYFUNCTION("""COMPUTED_VALUE"""),"FORTAZEB 72WP")</f>
        <v>FORTAZEB 72WP</v>
      </c>
      <c r="F3165" s="87" t="str">
        <f>IFERROR(__xludf.DUMMYFUNCTION("""COMPUTED_VALUE"""),"HH2542")</f>
        <v>HH2542</v>
      </c>
      <c r="G3165" s="87" t="str">
        <f>IFERROR(__xludf.DUMMYFUNCTION("""COMPUTED_VALUE"""),"GC - IV - 2542 - Cty Newtex - BIẾN VÀNG THÀNH XANH (Bột xanh) - 50gr - 200")</f>
        <v>GC - IV - 2542 - Cty Newtex - BIẾN VÀNG THÀNH XANH (Bột xanh) - 50gr - 200</v>
      </c>
    </row>
    <row r="3166">
      <c r="A3166" s="86">
        <f>IFERROR(__xludf.DUMMYFUNCTION("""COMPUTED_VALUE"""),3164.0)</f>
        <v>3164</v>
      </c>
      <c r="B3166" s="87" t="str">
        <f>IFERROR(__xludf.DUMMYFUNCTION("""COMPUTED_VALUE"""),"Nhãn thùng")</f>
        <v>Nhãn thùng</v>
      </c>
      <c r="C3166" s="87" t="str">
        <f>IFERROR(__xludf.DUMMYFUNCTION("""COMPUTED_VALUE"""),"NDT2542")</f>
        <v>NDT2542</v>
      </c>
      <c r="D3166" s="87" t="str">
        <f>IFERROR(__xludf.DUMMYFUNCTION("""COMPUTED_VALUE"""),"[Nhãn thùng] GC - IV - 2542 - Cty Newtex - BIẾN VÀNG THÀNH XANH (Bột xanh) - 50gr - 200")</f>
        <v>[Nhãn thùng] GC - IV - 2542 - Cty Newtex - BIẾN VÀNG THÀNH XANH (Bột xanh) - 50gr - 200</v>
      </c>
      <c r="E3166" s="87" t="str">
        <f>IFERROR(__xludf.DUMMYFUNCTION("""COMPUTED_VALUE"""),"FORTAZEB 72WP")</f>
        <v>FORTAZEB 72WP</v>
      </c>
      <c r="F3166" s="87" t="str">
        <f>IFERROR(__xludf.DUMMYFUNCTION("""COMPUTED_VALUE"""),"HH2542")</f>
        <v>HH2542</v>
      </c>
      <c r="G3166" s="87" t="str">
        <f>IFERROR(__xludf.DUMMYFUNCTION("""COMPUTED_VALUE"""),"GC - IV - 2542 - Cty Newtex - BIẾN VÀNG THÀNH XANH (Bột xanh) - 50gr - 200")</f>
        <v>GC - IV - 2542 - Cty Newtex - BIẾN VÀNG THÀNH XANH (Bột xanh) - 50gr - 200</v>
      </c>
    </row>
    <row r="3167">
      <c r="A3167" s="86">
        <f>IFERROR(__xludf.DUMMYFUNCTION("""COMPUTED_VALUE"""),3165.0)</f>
        <v>3165</v>
      </c>
      <c r="B3167" s="87" t="str">
        <f>IFERROR(__xludf.DUMMYFUNCTION("""COMPUTED_VALUE"""),"Nhãn")</f>
        <v>Nhãn</v>
      </c>
      <c r="C3167" s="87" t="str">
        <f>IFERROR(__xludf.DUMMYFUNCTION("""COMPUTED_VALUE"""),"NHG2543")</f>
        <v>NHG2543</v>
      </c>
      <c r="D3167" s="87" t="str">
        <f>IFERROR(__xludf.DUMMYFUNCTION("""COMPUTED_VALUE"""),"[Nhãn] GC - IV - 2543 - Cty Thành Công Agri - MASTER STOP (nước nâu đen V2) - 1L - 20")</f>
        <v>[Nhãn] GC - IV - 2543 - Cty Thành Công Agri - MASTER STOP (nước nâu đen V2) - 1L - 20</v>
      </c>
      <c r="E3167" s="87" t="str">
        <f>IFERROR(__xludf.DUMMYFUNCTION("""COMPUTED_VALUE"""),"Vi lượng Quantity New")</f>
        <v>Vi lượng Quantity New</v>
      </c>
      <c r="F3167" s="87" t="str">
        <f>IFERROR(__xludf.DUMMYFUNCTION("""COMPUTED_VALUE"""),"HH2543")</f>
        <v>HH2543</v>
      </c>
      <c r="G3167" s="87" t="str">
        <f>IFERROR(__xludf.DUMMYFUNCTION("""COMPUTED_VALUE"""),"GC - IV - 2543 - Cty Thành Công Agri - MASTER STOP (nước nâu đen V2) - 1L - 20")</f>
        <v>GC - IV - 2543 - Cty Thành Công Agri - MASTER STOP (nước nâu đen V2) - 1L - 20</v>
      </c>
    </row>
    <row r="3168">
      <c r="A3168" s="86">
        <f>IFERROR(__xludf.DUMMYFUNCTION("""COMPUTED_VALUE"""),3166.0)</f>
        <v>3166</v>
      </c>
      <c r="B3168" s="87" t="str">
        <f>IFERROR(__xludf.DUMMYFUNCTION("""COMPUTED_VALUE"""),"Nhãn")</f>
        <v>Nhãn</v>
      </c>
      <c r="C3168" s="87" t="str">
        <f>IFERROR(__xludf.DUMMYFUNCTION("""COMPUTED_VALUE"""),"NHD2544")</f>
        <v>NHD2544</v>
      </c>
      <c r="D3168" s="87" t="str">
        <f>IFERROR(__xludf.DUMMYFUNCTION("""COMPUTED_VALUE"""),"[Nhãn] NB - IV - 2544 - Hưng Thắng Lợi Gia Lai - Asupergras 200SL(nước đỏ) - 20L - 1")</f>
        <v>[Nhãn] NB - IV - 2544 - Hưng Thắng Lợi Gia Lai - Asupergras 200SL(nước đỏ) - 20L - 1</v>
      </c>
      <c r="E3168" s="87" t="str">
        <f>IFERROR(__xludf.DUMMYFUNCTION("""COMPUTED_VALUE"""),"Asupergras 200SL")</f>
        <v>Asupergras 200SL</v>
      </c>
      <c r="F3168" s="87" t="str">
        <f>IFERROR(__xludf.DUMMYFUNCTION("""COMPUTED_VALUE"""),"HH2544")</f>
        <v>HH2544</v>
      </c>
      <c r="G3168" s="87" t="str">
        <f>IFERROR(__xludf.DUMMYFUNCTION("""COMPUTED_VALUE"""),"NB - IV - 2544 - Hưng Thắng Lợi Gia Lai - Asupergras 200SL(nước đỏ) - 20L - 1")</f>
        <v>NB - IV - 2544 - Hưng Thắng Lợi Gia Lai - Asupergras 200SL(nước đỏ) - 20L - 1</v>
      </c>
    </row>
    <row r="3169">
      <c r="A3169" s="86">
        <f>IFERROR(__xludf.DUMMYFUNCTION("""COMPUTED_VALUE"""),3167.0)</f>
        <v>3167</v>
      </c>
      <c r="B3169" s="87" t="str">
        <f>IFERROR(__xludf.DUMMYFUNCTION("""COMPUTED_VALUE"""),"Nhãn")</f>
        <v>Nhãn</v>
      </c>
      <c r="C3169" s="87" t="str">
        <f>IFERROR(__xludf.DUMMYFUNCTION("""COMPUTED_VALUE"""),"NHG2545")</f>
        <v>NHG2545</v>
      </c>
      <c r="D3169" s="87" t="str">
        <f>IFERROR(__xludf.DUMMYFUNCTION("""COMPUTED_VALUE"""),"[Nhãn] LOT IDA Global - I - 2545 - Cỏ Lưu Dẫn (200SL)(nước đỏ) - 900ml - 20")</f>
        <v>[Nhãn] LOT IDA Global - I - 2545 - Cỏ Lưu Dẫn (200SL)(nước đỏ) - 900ml - 20</v>
      </c>
      <c r="E3169" s="87" t="str">
        <f>IFERROR(__xludf.DUMMYFUNCTION("""COMPUTED_VALUE"""),"Asupergras 200SL")</f>
        <v>Asupergras 200SL</v>
      </c>
      <c r="F3169" s="87" t="str">
        <f>IFERROR(__xludf.DUMMYFUNCTION("""COMPUTED_VALUE"""),"HH2545")</f>
        <v>HH2545</v>
      </c>
      <c r="G3169" s="87" t="str">
        <f>IFERROR(__xludf.DUMMYFUNCTION("""COMPUTED_VALUE"""),"LOT IDA Global - I - 2545 - Cỏ Lưu Dẫn (200SL)(nước đỏ) - 900ml - 20")</f>
        <v>LOT IDA Global - I - 2545 - Cỏ Lưu Dẫn (200SL)(nước đỏ) - 900ml - 20</v>
      </c>
    </row>
    <row r="3170">
      <c r="A3170" s="86">
        <f>IFERROR(__xludf.DUMMYFUNCTION("""COMPUTED_VALUE"""),3168.0)</f>
        <v>3168</v>
      </c>
      <c r="B3170" s="87" t="str">
        <f>IFERROR(__xludf.DUMMYFUNCTION("""COMPUTED_VALUE"""),"Nhãn")</f>
        <v>Nhãn</v>
      </c>
      <c r="C3170" s="87" t="str">
        <f>IFERROR(__xludf.DUMMYFUNCTION("""COMPUTED_VALUE"""),"NHG2546")</f>
        <v>NHG2546</v>
      </c>
      <c r="D3170" s="87" t="str">
        <f>IFERROR(__xludf.DUMMYFUNCTION("""COMPUTED_VALUE"""),"[Nhãn] GC - IV - 2546 - NEWTECH CROP SCIENCE - NEWTECH 5,0 (Nước vàng) - 120ml - 50")</f>
        <v>[Nhãn] GC - IV - 2546 - NEWTECH CROP SCIENCE - NEWTECH 5,0 (Nước vàng) - 120ml - 50</v>
      </c>
      <c r="E3170" s="87" t="str">
        <f>IFERROR(__xludf.DUMMYFUNCTION("""COMPUTED_VALUE"""),"Vi lượng Quantity New")</f>
        <v>Vi lượng Quantity New</v>
      </c>
      <c r="F3170" s="87" t="str">
        <f>IFERROR(__xludf.DUMMYFUNCTION("""COMPUTED_VALUE"""),"HH2546")</f>
        <v>HH2546</v>
      </c>
      <c r="G3170" s="87" t="str">
        <f>IFERROR(__xludf.DUMMYFUNCTION("""COMPUTED_VALUE"""),"GC - IV - 2546 - NEWTECH CROP SCIENCE - NEWTECH 5,0 (Nước vàng) - 120ml - 50")</f>
        <v>GC - IV - 2546 - NEWTECH CROP SCIENCE - NEWTECH 5,0 (Nước vàng) - 120ml - 50</v>
      </c>
    </row>
    <row r="3171">
      <c r="A3171" s="86">
        <f>IFERROR(__xludf.DUMMYFUNCTION("""COMPUTED_VALUE"""),3169.0)</f>
        <v>3169</v>
      </c>
      <c r="B3171" s="87" t="str">
        <f>IFERROR(__xludf.DUMMYFUNCTION("""COMPUTED_VALUE"""),"Nhãn thùng")</f>
        <v>Nhãn thùng</v>
      </c>
      <c r="C3171" s="87" t="str">
        <f>IFERROR(__xludf.DUMMYFUNCTION("""COMPUTED_VALUE"""),"NDT2546")</f>
        <v>NDT2546</v>
      </c>
      <c r="D3171" s="87" t="str">
        <f>IFERROR(__xludf.DUMMYFUNCTION("""COMPUTED_VALUE"""),"[Nhãn thùng] GC - IV - 2546 - NEWTECH CROP SCIENCE - NEWTECH 5,0 (Nước vàng) - 120ml - 50")</f>
        <v>[Nhãn thùng] GC - IV - 2546 - NEWTECH CROP SCIENCE - NEWTECH 5,0 (Nước vàng) - 120ml - 50</v>
      </c>
      <c r="E3171" s="87" t="str">
        <f>IFERROR(__xludf.DUMMYFUNCTION("""COMPUTED_VALUE"""),"Vi lượng Quantity New")</f>
        <v>Vi lượng Quantity New</v>
      </c>
      <c r="F3171" s="87" t="str">
        <f>IFERROR(__xludf.DUMMYFUNCTION("""COMPUTED_VALUE"""),"HH2546")</f>
        <v>HH2546</v>
      </c>
      <c r="G3171" s="87" t="str">
        <f>IFERROR(__xludf.DUMMYFUNCTION("""COMPUTED_VALUE"""),"GC - IV - 2546 - NEWTECH CROP SCIENCE - NEWTECH 5,0 (Nước vàng) - 120ml - 50")</f>
        <v>GC - IV - 2546 - NEWTECH CROP SCIENCE - NEWTECH 5,0 (Nước vàng) - 120ml - 50</v>
      </c>
    </row>
    <row r="3172">
      <c r="A3172" s="86">
        <f>IFERROR(__xludf.DUMMYFUNCTION("""COMPUTED_VALUE"""),3170.0)</f>
        <v>3170</v>
      </c>
      <c r="B3172" s="87" t="str">
        <f>IFERROR(__xludf.DUMMYFUNCTION("""COMPUTED_VALUE"""),"Nhãn")</f>
        <v>Nhãn</v>
      </c>
      <c r="C3172" s="87" t="str">
        <f>IFERROR(__xludf.DUMMYFUNCTION("""COMPUTED_VALUE"""),"NHG2547")</f>
        <v>NHG2547</v>
      </c>
      <c r="D3172" s="87" t="str">
        <f>IFERROR(__xludf.DUMMYFUNCTION("""COMPUTED_VALUE"""),"[Nhãn] LOT IDA Global - I - 2547 - ABAMECTIN 3.6 MỚI (nước nâu đen) - 450ml - 40")</f>
        <v>[Nhãn] LOT IDA Global - I - 2547 - ABAMECTIN 3.6 MỚI (nước nâu đen) - 450ml - 40</v>
      </c>
      <c r="E3172" s="87" t="str">
        <f>IFERROR(__xludf.DUMMYFUNCTION("""COMPUTED_VALUE"""),"Chitin 3.6EC")</f>
        <v>Chitin 3.6EC</v>
      </c>
      <c r="F3172" s="87" t="str">
        <f>IFERROR(__xludf.DUMMYFUNCTION("""COMPUTED_VALUE"""),"HH2547")</f>
        <v>HH2547</v>
      </c>
      <c r="G3172" s="87" t="str">
        <f>IFERROR(__xludf.DUMMYFUNCTION("""COMPUTED_VALUE"""),"LOT IDA Global - I - 2547 - ABAMECTIN 3.6 MỚI (nước nâu đen) - 450ml - 40")</f>
        <v>LOT IDA Global - I - 2547 - ABAMECTIN 3.6 MỚI (nước nâu đen) - 450ml - 40</v>
      </c>
    </row>
    <row r="3173">
      <c r="A3173" s="86">
        <f>IFERROR(__xludf.DUMMYFUNCTION("""COMPUTED_VALUE"""),3171.0)</f>
        <v>3171</v>
      </c>
      <c r="B3173" s="87" t="str">
        <f>IFERROR(__xludf.DUMMYFUNCTION("""COMPUTED_VALUE"""),"Nhãn")</f>
        <v>Nhãn</v>
      </c>
      <c r="C3173" s="87" t="str">
        <f>IFERROR(__xludf.DUMMYFUNCTION("""COMPUTED_VALUE"""),"NHD2549")</f>
        <v>NHD2549</v>
      </c>
      <c r="D3173" s="87" t="str">
        <f>IFERROR(__xludf.DUMMYFUNCTION("""COMPUTED_VALUE"""),"[Nhãn] GC - II - 2549 - AN KHANG - Haihamec 3.6EC (nước nâu đen) - 450ml - 40")</f>
        <v>[Nhãn] GC - II - 2549 - AN KHANG - Haihamec 3.6EC (nước nâu đen) - 450ml - 40</v>
      </c>
      <c r="E3173" s="87" t="str">
        <f>IFERROR(__xludf.DUMMYFUNCTION("""COMPUTED_VALUE"""),"HAIHAMEC 3.6EC")</f>
        <v>HAIHAMEC 3.6EC</v>
      </c>
      <c r="F3173" s="87" t="str">
        <f>IFERROR(__xludf.DUMMYFUNCTION("""COMPUTED_VALUE"""),"HH2549")</f>
        <v>HH2549</v>
      </c>
      <c r="G3173" s="87" t="str">
        <f>IFERROR(__xludf.DUMMYFUNCTION("""COMPUTED_VALUE"""),"GC - II - 2549 - AN KHANG - Haihamec 3.6EC (nước nâu đen) - 450ml - 40")</f>
        <v>GC - II - 2549 - AN KHANG - Haihamec 3.6EC (nước nâu đen) - 450ml - 40</v>
      </c>
    </row>
    <row r="3174">
      <c r="A3174" s="86">
        <f>IFERROR(__xludf.DUMMYFUNCTION("""COMPUTED_VALUE"""),3172.0)</f>
        <v>3172</v>
      </c>
      <c r="B3174" s="87" t="str">
        <f>IFERROR(__xludf.DUMMYFUNCTION("""COMPUTED_VALUE"""),"Nhãn thùng")</f>
        <v>Nhãn thùng</v>
      </c>
      <c r="C3174" s="87" t="str">
        <f>IFERROR(__xludf.DUMMYFUNCTION("""COMPUTED_VALUE"""),"NDT2549")</f>
        <v>NDT2549</v>
      </c>
      <c r="D3174" s="87" t="str">
        <f>IFERROR(__xludf.DUMMYFUNCTION("""COMPUTED_VALUE"""),"[Nhãn thùng] GC - II - 2549 - AN KHANG - Haihamec 3.6EC (nước nâu đen) - 450ml - 40")</f>
        <v>[Nhãn thùng] GC - II - 2549 - AN KHANG - Haihamec 3.6EC (nước nâu đen) - 450ml - 40</v>
      </c>
      <c r="E3174" s="87" t="str">
        <f>IFERROR(__xludf.DUMMYFUNCTION("""COMPUTED_VALUE"""),"HAIHAMEC 3.6EC")</f>
        <v>HAIHAMEC 3.6EC</v>
      </c>
      <c r="F3174" s="87" t="str">
        <f>IFERROR(__xludf.DUMMYFUNCTION("""COMPUTED_VALUE"""),"HH2549")</f>
        <v>HH2549</v>
      </c>
      <c r="G3174" s="87" t="str">
        <f>IFERROR(__xludf.DUMMYFUNCTION("""COMPUTED_VALUE"""),"GC - II - 2549 - AN KHANG - Haihamec 3.6EC (nước nâu đen) - 450ml - 40")</f>
        <v>GC - II - 2549 - AN KHANG - Haihamec 3.6EC (nước nâu đen) - 450ml - 40</v>
      </c>
    </row>
    <row r="3175">
      <c r="A3175" s="86">
        <f>IFERROR(__xludf.DUMMYFUNCTION("""COMPUTED_VALUE"""),3173.0)</f>
        <v>3173</v>
      </c>
      <c r="B3175" s="87" t="str">
        <f>IFERROR(__xludf.DUMMYFUNCTION("""COMPUTED_VALUE"""),"Nhãn")</f>
        <v>Nhãn</v>
      </c>
      <c r="C3175" s="87" t="str">
        <f>IFERROR(__xludf.DUMMYFUNCTION("""COMPUTED_VALUE"""),"NHG2550")</f>
        <v>NHG2550</v>
      </c>
      <c r="D3175" s="87" t="str">
        <f>IFERROR(__xludf.DUMMYFUNCTION("""COMPUTED_VALUE"""),"[Nhãn] GC - II - 2550 - CSSX An Khang (A.Dinh) - T-AK 02 (Gel nâu đen) - 500ml - 40")</f>
        <v>[Nhãn] GC - II - 2550 - CSSX An Khang (A.Dinh) - T-AK 02 (Gel nâu đen) - 500ml - 40</v>
      </c>
      <c r="E3175" s="87" t="str">
        <f>IFERROR(__xludf.DUMMYFUNCTION("""COMPUTED_VALUE"""),"Vi lượng Run Fast")</f>
        <v>Vi lượng Run Fast</v>
      </c>
      <c r="F3175" s="87" t="str">
        <f>IFERROR(__xludf.DUMMYFUNCTION("""COMPUTED_VALUE"""),"HH2550")</f>
        <v>HH2550</v>
      </c>
      <c r="G3175" s="87" t="str">
        <f>IFERROR(__xludf.DUMMYFUNCTION("""COMPUTED_VALUE"""),"GC - II - 2550 - CSSX An Khang (A.Dinh) - T-AK 02 (Gel nâu đen) - 500ml - 40")</f>
        <v>GC - II - 2550 - CSSX An Khang (A.Dinh) - T-AK 02 (Gel nâu đen) - 500ml - 40</v>
      </c>
    </row>
    <row r="3176">
      <c r="A3176" s="86">
        <f>IFERROR(__xludf.DUMMYFUNCTION("""COMPUTED_VALUE"""),3174.0)</f>
        <v>3174</v>
      </c>
      <c r="B3176" s="87" t="str">
        <f>IFERROR(__xludf.DUMMYFUNCTION("""COMPUTED_VALUE"""),"Nhãn")</f>
        <v>Nhãn</v>
      </c>
      <c r="C3176" s="87" t="str">
        <f>IFERROR(__xludf.DUMMYFUNCTION("""COMPUTED_VALUE"""),"NHG2552")</f>
        <v>NHG2552</v>
      </c>
      <c r="D3176" s="87" t="str">
        <f>IFERROR(__xludf.DUMMYFUNCTION("""COMPUTED_VALUE"""),"[Nhãn] GC - IV - 2552 - A.Diễn Cty Sen Hồng - ĐẠI BÀNG LỬA (Nước trắng sữa) - 1L - 20")</f>
        <v>[Nhãn] GC - IV - 2552 - A.Diễn Cty Sen Hồng - ĐẠI BÀNG LỬA (Nước trắng sữa) - 1L - 20</v>
      </c>
      <c r="E3176" s="87" t="str">
        <f>IFERROR(__xludf.DUMMYFUNCTION("""COMPUTED_VALUE"""),"JAPA VIL 110SC")</f>
        <v>JAPA VIL 110SC</v>
      </c>
      <c r="F3176" s="87" t="str">
        <f>IFERROR(__xludf.DUMMYFUNCTION("""COMPUTED_VALUE"""),"HH2552")</f>
        <v>HH2552</v>
      </c>
      <c r="G3176" s="87" t="str">
        <f>IFERROR(__xludf.DUMMYFUNCTION("""COMPUTED_VALUE"""),"GC - IV - 2552 - A.Diễn Cty Sen Hồng - ĐẠI BÀNG LỬA (Nước trắng sữa) - 1L - 20")</f>
        <v>GC - IV - 2552 - A.Diễn Cty Sen Hồng - ĐẠI BÀNG LỬA (Nước trắng sữa) - 1L - 20</v>
      </c>
    </row>
    <row r="3177">
      <c r="A3177" s="86">
        <f>IFERROR(__xludf.DUMMYFUNCTION("""COMPUTED_VALUE"""),3175.0)</f>
        <v>3175</v>
      </c>
      <c r="B3177" s="87" t="str">
        <f>IFERROR(__xludf.DUMMYFUNCTION("""COMPUTED_VALUE"""),"Nhãn")</f>
        <v>Nhãn</v>
      </c>
      <c r="C3177" s="87" t="str">
        <f>IFERROR(__xludf.DUMMYFUNCTION("""COMPUTED_VALUE"""),"NTN2554")</f>
        <v>NTN2554</v>
      </c>
      <c r="D3177" s="87" t="str">
        <f>IFERROR(__xludf.DUMMYFUNCTION("""COMPUTED_VALUE"""),"[Nhãn] IDA GLOBAL - I - 2554 - CREEK 51WG (Dạng cốm màu vàng nhạt) - 150gr - 100")</f>
        <v>[Nhãn] IDA GLOBAL - I - 2554 - CREEK 51WG (Dạng cốm màu vàng nhạt) - 150gr - 100</v>
      </c>
      <c r="E3177" s="87" t="str">
        <f>IFERROR(__xludf.DUMMYFUNCTION("""COMPUTED_VALUE"""),"Creek 51WG")</f>
        <v>Creek 51WG</v>
      </c>
      <c r="F3177" s="87" t="str">
        <f>IFERROR(__xludf.DUMMYFUNCTION("""COMPUTED_VALUE"""),"HH2554")</f>
        <v>HH2554</v>
      </c>
      <c r="G3177" s="87" t="str">
        <f>IFERROR(__xludf.DUMMYFUNCTION("""COMPUTED_VALUE"""),"IDA GLOBAL - I - 2554 - CREEK 51WG (Dạng cốm màu vàng nhạt) - 150gr - 100")</f>
        <v>IDA GLOBAL - I - 2554 - CREEK 51WG (Dạng cốm màu vàng nhạt) - 150gr - 100</v>
      </c>
    </row>
    <row r="3178">
      <c r="A3178" s="86">
        <f>IFERROR(__xludf.DUMMYFUNCTION("""COMPUTED_VALUE"""),3176.0)</f>
        <v>3176</v>
      </c>
      <c r="B3178" s="87" t="str">
        <f>IFERROR(__xludf.DUMMYFUNCTION("""COMPUTED_VALUE"""),"Nhãn thùng")</f>
        <v>Nhãn thùng</v>
      </c>
      <c r="C3178" s="87" t="str">
        <f>IFERROR(__xludf.DUMMYFUNCTION("""COMPUTED_VALUE"""),"NDT2554")</f>
        <v>NDT2554</v>
      </c>
      <c r="D3178" s="87" t="str">
        <f>IFERROR(__xludf.DUMMYFUNCTION("""COMPUTED_VALUE"""),"[Nhãn thùng] IDA GLOBAL - I - 2554 - CREEK 51WG (Dạng cốm màu vàng nhạt) - 150gr - 100")</f>
        <v>[Nhãn thùng] IDA GLOBAL - I - 2554 - CREEK 51WG (Dạng cốm màu vàng nhạt) - 150gr - 100</v>
      </c>
      <c r="E3178" s="87" t="str">
        <f>IFERROR(__xludf.DUMMYFUNCTION("""COMPUTED_VALUE"""),"Creek 51WG")</f>
        <v>Creek 51WG</v>
      </c>
      <c r="F3178" s="87" t="str">
        <f>IFERROR(__xludf.DUMMYFUNCTION("""COMPUTED_VALUE"""),"HH2554")</f>
        <v>HH2554</v>
      </c>
      <c r="G3178" s="87" t="str">
        <f>IFERROR(__xludf.DUMMYFUNCTION("""COMPUTED_VALUE"""),"IDA GLOBAL - I - 2554 - CREEK 51WG (Dạng cốm màu vàng nhạt) - 150gr - 100")</f>
        <v>IDA GLOBAL - I - 2554 - CREEK 51WG (Dạng cốm màu vàng nhạt) - 150gr - 100</v>
      </c>
    </row>
    <row r="3179">
      <c r="A3179" s="86">
        <f>IFERROR(__xludf.DUMMYFUNCTION("""COMPUTED_VALUE"""),3177.0)</f>
        <v>3177</v>
      </c>
      <c r="B3179" s="87" t="str">
        <f>IFERROR(__xludf.DUMMYFUNCTION("""COMPUTED_VALUE"""),"Nhãn")</f>
        <v>Nhãn</v>
      </c>
      <c r="C3179" s="87" t="str">
        <f>IFERROR(__xludf.DUMMYFUNCTION("""COMPUTED_VALUE"""),"NTN2555")</f>
        <v>NTN2555</v>
      </c>
      <c r="D3179" s="87" t="str">
        <f>IFERROR(__xludf.DUMMYFUNCTION("""COMPUTED_VALUE"""),"[Nhãn] IDA GLOBAL - I - 2555 - CREEK 51WG (Dạng cốm màu vàng nhạt) - 30gr - 300")</f>
        <v>[Nhãn] IDA GLOBAL - I - 2555 - CREEK 51WG (Dạng cốm màu vàng nhạt) - 30gr - 300</v>
      </c>
      <c r="E3179" s="87" t="str">
        <f>IFERROR(__xludf.DUMMYFUNCTION("""COMPUTED_VALUE"""),"Creek 51WG")</f>
        <v>Creek 51WG</v>
      </c>
      <c r="F3179" s="87" t="str">
        <f>IFERROR(__xludf.DUMMYFUNCTION("""COMPUTED_VALUE"""),"HH2555")</f>
        <v>HH2555</v>
      </c>
      <c r="G3179" s="87" t="str">
        <f>IFERROR(__xludf.DUMMYFUNCTION("""COMPUTED_VALUE"""),"IDA GLOBAL - I - 2555 - CREEK 51WG (Dạng cốm màu vàng nhạt) - 30gr - 300")</f>
        <v>IDA GLOBAL - I - 2555 - CREEK 51WG (Dạng cốm màu vàng nhạt) - 30gr - 300</v>
      </c>
    </row>
    <row r="3180">
      <c r="A3180" s="86">
        <f>IFERROR(__xludf.DUMMYFUNCTION("""COMPUTED_VALUE"""),3178.0)</f>
        <v>3178</v>
      </c>
      <c r="B3180" s="87" t="str">
        <f>IFERROR(__xludf.DUMMYFUNCTION("""COMPUTED_VALUE"""),"Nhãn thùng")</f>
        <v>Nhãn thùng</v>
      </c>
      <c r="C3180" s="87" t="str">
        <f>IFERROR(__xludf.DUMMYFUNCTION("""COMPUTED_VALUE"""),"NDT2555")</f>
        <v>NDT2555</v>
      </c>
      <c r="D3180" s="87" t="str">
        <f>IFERROR(__xludf.DUMMYFUNCTION("""COMPUTED_VALUE"""),"[Nhãn thùng] IDA GLOBAL - I - 2555 - CREEK 51WG (Dạng cốm màu vàng nhạt) - 30gr - 300")</f>
        <v>[Nhãn thùng] IDA GLOBAL - I - 2555 - CREEK 51WG (Dạng cốm màu vàng nhạt) - 30gr - 300</v>
      </c>
      <c r="E3180" s="87" t="str">
        <f>IFERROR(__xludf.DUMMYFUNCTION("""COMPUTED_VALUE"""),"Creek 51WG")</f>
        <v>Creek 51WG</v>
      </c>
      <c r="F3180" s="87" t="str">
        <f>IFERROR(__xludf.DUMMYFUNCTION("""COMPUTED_VALUE"""),"HH2555")</f>
        <v>HH2555</v>
      </c>
      <c r="G3180" s="87" t="str">
        <f>IFERROR(__xludf.DUMMYFUNCTION("""COMPUTED_VALUE"""),"IDA GLOBAL - I - 2555 - CREEK 51WG (Dạng cốm màu vàng nhạt) - 30gr - 300")</f>
        <v>IDA GLOBAL - I - 2555 - CREEK 51WG (Dạng cốm màu vàng nhạt) - 30gr - 300</v>
      </c>
    </row>
    <row r="3181">
      <c r="A3181" s="86">
        <f>IFERROR(__xludf.DUMMYFUNCTION("""COMPUTED_VALUE"""),3179.0)</f>
        <v>3179</v>
      </c>
      <c r="B3181" s="87" t="str">
        <f>IFERROR(__xludf.DUMMYFUNCTION("""COMPUTED_VALUE"""),"Nhãn")</f>
        <v>Nhãn</v>
      </c>
      <c r="C3181" s="87" t="str">
        <f>IFERROR(__xludf.DUMMYFUNCTION("""COMPUTED_VALUE"""),"NTN2556")</f>
        <v>NTN2556</v>
      </c>
      <c r="D3181" s="87" t="str">
        <f>IFERROR(__xludf.DUMMYFUNCTION("""COMPUTED_VALUE"""),"[Nhãn] IDA Global - I - 2556 - METALAXYL - 100gr - 100")</f>
        <v>[Nhãn] IDA Global - I - 2556 - METALAXYL - 100gr - 100</v>
      </c>
      <c r="E3181" s="87" t="str">
        <f>IFERROR(__xludf.DUMMYFUNCTION("""COMPUTED_VALUE"""),"Acodyl 35WP")</f>
        <v>Acodyl 35WP</v>
      </c>
      <c r="F3181" s="87" t="str">
        <f>IFERROR(__xludf.DUMMYFUNCTION("""COMPUTED_VALUE"""),"HH2556")</f>
        <v>HH2556</v>
      </c>
      <c r="G3181" s="87" t="str">
        <f>IFERROR(__xludf.DUMMYFUNCTION("""COMPUTED_VALUE"""),"IDA Global - I - 2556 - METALAXYL - 100gr - 100")</f>
        <v>IDA Global - I - 2556 - METALAXYL - 100gr - 100</v>
      </c>
    </row>
    <row r="3182">
      <c r="A3182" s="86">
        <f>IFERROR(__xludf.DUMMYFUNCTION("""COMPUTED_VALUE"""),3180.0)</f>
        <v>3180</v>
      </c>
      <c r="B3182" s="87" t="str">
        <f>IFERROR(__xludf.DUMMYFUNCTION("""COMPUTED_VALUE"""),"Nhãn thùng")</f>
        <v>Nhãn thùng</v>
      </c>
      <c r="C3182" s="87" t="str">
        <f>IFERROR(__xludf.DUMMYFUNCTION("""COMPUTED_VALUE"""),"NDT2556")</f>
        <v>NDT2556</v>
      </c>
      <c r="D3182" s="87" t="str">
        <f>IFERROR(__xludf.DUMMYFUNCTION("""COMPUTED_VALUE"""),"[Nhãn thùng] IDA Global - I - 2556 - METALAXYL - 100gr - 100")</f>
        <v>[Nhãn thùng] IDA Global - I - 2556 - METALAXYL - 100gr - 100</v>
      </c>
      <c r="E3182" s="87" t="str">
        <f>IFERROR(__xludf.DUMMYFUNCTION("""COMPUTED_VALUE"""),"Acodyl 35WP")</f>
        <v>Acodyl 35WP</v>
      </c>
      <c r="F3182" s="87" t="str">
        <f>IFERROR(__xludf.DUMMYFUNCTION("""COMPUTED_VALUE"""),"HH2556")</f>
        <v>HH2556</v>
      </c>
      <c r="G3182" s="87" t="str">
        <f>IFERROR(__xludf.DUMMYFUNCTION("""COMPUTED_VALUE"""),"IDA Global - I - 2556 - METALAXYL - 100gr - 100")</f>
        <v>IDA Global - I - 2556 - METALAXYL - 100gr - 100</v>
      </c>
    </row>
    <row r="3183">
      <c r="A3183" s="86">
        <f>IFERROR(__xludf.DUMMYFUNCTION("""COMPUTED_VALUE"""),3181.0)</f>
        <v>3181</v>
      </c>
      <c r="B3183" s="87" t="str">
        <f>IFERROR(__xludf.DUMMYFUNCTION("""COMPUTED_VALUE"""),"HỘP")</f>
        <v>HỘP</v>
      </c>
      <c r="C3183" s="87" t="str">
        <f>IFERROR(__xludf.DUMMYFUNCTION("""COMPUTED_VALUE"""),"HOP2557")</f>
        <v>HOP2557</v>
      </c>
      <c r="D3183" s="87" t="str">
        <f>IFERROR(__xludf.DUMMYFUNCTION("""COMPUTED_VALUE"""),"[HOP] IDA GLOBAL - I - 2557 - Creek 2.1EC (pet vuông) (nước đỏ) - 450ml -1")</f>
        <v>[HOP] IDA GLOBAL - I - 2557 - Creek 2.1EC (pet vuông) (nước đỏ) - 450ml -1</v>
      </c>
      <c r="E3183" s="87" t="str">
        <f>IFERROR(__xludf.DUMMYFUNCTION("""COMPUTED_VALUE"""),"Creek 2.1EC")</f>
        <v>Creek 2.1EC</v>
      </c>
      <c r="F3183" s="87" t="str">
        <f>IFERROR(__xludf.DUMMYFUNCTION("""COMPUTED_VALUE"""),"HH2557")</f>
        <v>HH2557</v>
      </c>
      <c r="G3183" s="87" t="str">
        <f>IFERROR(__xludf.DUMMYFUNCTION("""COMPUTED_VALUE"""),"IDA GLOBAL - I - 2557 - Creek 2.1EC (pet vuông) (nước đỏ) - 450ml - 40")</f>
        <v>IDA GLOBAL - I - 2557 - Creek 2.1EC (pet vuông) (nước đỏ) - 450ml - 40</v>
      </c>
    </row>
    <row r="3184">
      <c r="A3184" s="86">
        <f>IFERROR(__xludf.DUMMYFUNCTION("""COMPUTED_VALUE"""),3182.0)</f>
        <v>3182</v>
      </c>
      <c r="B3184" s="87" t="str">
        <f>IFERROR(__xludf.DUMMYFUNCTION("""COMPUTED_VALUE"""),"Nhãn")</f>
        <v>Nhãn</v>
      </c>
      <c r="C3184" s="87" t="str">
        <f>IFERROR(__xludf.DUMMYFUNCTION("""COMPUTED_VALUE"""),"NHD2557")</f>
        <v>NHD2557</v>
      </c>
      <c r="D3184" s="87" t="str">
        <f>IFERROR(__xludf.DUMMYFUNCTION("""COMPUTED_VALUE"""),"[Nhãn] IDA GLOBAL - I - 2557 - Creek 2.1EC (pet vuông) (nước đỏ) - 450ml - 40")</f>
        <v>[Nhãn] IDA GLOBAL - I - 2557 - Creek 2.1EC (pet vuông) (nước đỏ) - 450ml - 40</v>
      </c>
      <c r="E3184" s="87" t="str">
        <f>IFERROR(__xludf.DUMMYFUNCTION("""COMPUTED_VALUE"""),"Creek 2.1EC")</f>
        <v>Creek 2.1EC</v>
      </c>
      <c r="F3184" s="87" t="str">
        <f>IFERROR(__xludf.DUMMYFUNCTION("""COMPUTED_VALUE"""),"HH2557")</f>
        <v>HH2557</v>
      </c>
      <c r="G3184" s="87" t="str">
        <f>IFERROR(__xludf.DUMMYFUNCTION("""COMPUTED_VALUE"""),"IDA GLOBAL - I - 2557 - Creek 2.1EC (pet vuông) (nước đỏ) - 450ml - 40")</f>
        <v>IDA GLOBAL - I - 2557 - Creek 2.1EC (pet vuông) (nước đỏ) - 450ml - 40</v>
      </c>
    </row>
    <row r="3185">
      <c r="A3185" s="86">
        <f>IFERROR(__xludf.DUMMYFUNCTION("""COMPUTED_VALUE"""),3183.0)</f>
        <v>3183</v>
      </c>
      <c r="B3185" s="87" t="str">
        <f>IFERROR(__xludf.DUMMYFUNCTION("""COMPUTED_VALUE"""),"Nhãn")</f>
        <v>Nhãn</v>
      </c>
      <c r="C3185" s="87" t="str">
        <f>IFERROR(__xludf.DUMMYFUNCTION("""COMPUTED_VALUE"""),"NDT2557")</f>
        <v>NDT2557</v>
      </c>
      <c r="D3185" s="87" t="str">
        <f>IFERROR(__xludf.DUMMYFUNCTION("""COMPUTED_VALUE"""),"[Nhãn] IDA GLOBAL - I - 2557 - Creek 2.1EC (pet vuông) (nước đỏ) - 450ml - 40")</f>
        <v>[Nhãn] IDA GLOBAL - I - 2557 - Creek 2.1EC (pet vuông) (nước đỏ) - 450ml - 40</v>
      </c>
      <c r="E3185" s="87" t="str">
        <f>IFERROR(__xludf.DUMMYFUNCTION("""COMPUTED_VALUE"""),"Creek 2.1EC")</f>
        <v>Creek 2.1EC</v>
      </c>
      <c r="F3185" s="87" t="str">
        <f>IFERROR(__xludf.DUMMYFUNCTION("""COMPUTED_VALUE"""),"HH2557")</f>
        <v>HH2557</v>
      </c>
      <c r="G3185" s="87" t="str">
        <f>IFERROR(__xludf.DUMMYFUNCTION("""COMPUTED_VALUE"""),"IDA GLOBAL - I - 2557 - Creek 2.1EC (pet vuông) (nước đỏ) - 450ml - 40")</f>
        <v>IDA GLOBAL - I - 2557 - Creek 2.1EC (pet vuông) (nước đỏ) - 450ml - 40</v>
      </c>
    </row>
    <row r="3186">
      <c r="A3186" s="86">
        <f>IFERROR(__xludf.DUMMYFUNCTION("""COMPUTED_VALUE"""),3184.0)</f>
        <v>3184</v>
      </c>
      <c r="B3186" s="87" t="str">
        <f>IFERROR(__xludf.DUMMYFUNCTION("""COMPUTED_VALUE"""),"Nhãn")</f>
        <v>Nhãn</v>
      </c>
      <c r="C3186" s="87" t="str">
        <f>IFERROR(__xludf.DUMMYFUNCTION("""COMPUTED_VALUE"""),"NHG2558")</f>
        <v>NHG2558</v>
      </c>
      <c r="D3186" s="87" t="str">
        <f>IFERROR(__xludf.DUMMYFUNCTION("""COMPUTED_VALUE"""),"[Nhãn] GC - IV - 2558 - VietChem - Hextop (nước trắng sữa) - 1L - 20")</f>
        <v>[Nhãn] GC - IV - 2558 - VietChem - Hextop (nước trắng sữa) - 1L - 20</v>
      </c>
      <c r="E3186" s="87" t="str">
        <f>IFERROR(__xludf.DUMMYFUNCTION("""COMPUTED_VALUE"""),"MEKONGVIL 5SC")</f>
        <v>MEKONGVIL 5SC</v>
      </c>
      <c r="F3186" s="87" t="str">
        <f>IFERROR(__xludf.DUMMYFUNCTION("""COMPUTED_VALUE"""),"HH2558")</f>
        <v>HH2558</v>
      </c>
      <c r="G3186" s="87" t="str">
        <f>IFERROR(__xludf.DUMMYFUNCTION("""COMPUTED_VALUE"""),"GC - IV - 2558 - VietChem - Hextop (nước trắng sữa) - 1L - 20")</f>
        <v>GC - IV - 2558 - VietChem - Hextop (nước trắng sữa) - 1L - 20</v>
      </c>
    </row>
    <row r="3187">
      <c r="A3187" s="86">
        <f>IFERROR(__xludf.DUMMYFUNCTION("""COMPUTED_VALUE"""),3185.0)</f>
        <v>3185</v>
      </c>
      <c r="B3187" s="87" t="str">
        <f>IFERROR(__xludf.DUMMYFUNCTION("""COMPUTED_VALUE"""),"Nhãn")</f>
        <v>Nhãn</v>
      </c>
      <c r="C3187" s="87" t="str">
        <f>IFERROR(__xludf.DUMMYFUNCTION("""COMPUTED_VALUE"""),"NTN2559")</f>
        <v>NTN2559</v>
      </c>
      <c r="D3187" s="87" t="str">
        <f>IFERROR(__xludf.DUMMYFUNCTION("""COMPUTED_VALUE"""),"[Nhãn] GC - IV - 2559 - A.Diễn Cty Sen Hồng - MANCO GREEN (Bột xanh) - 100gr - 100")</f>
        <v>[Nhãn] GC - IV - 2559 - A.Diễn Cty Sen Hồng - MANCO GREEN (Bột xanh) - 100gr - 100</v>
      </c>
      <c r="E3187" s="87" t="str">
        <f>IFERROR(__xludf.DUMMYFUNCTION("""COMPUTED_VALUE"""),"MANCOBGO 80WP")</f>
        <v>MANCOBGO 80WP</v>
      </c>
      <c r="F3187" s="87" t="str">
        <f>IFERROR(__xludf.DUMMYFUNCTION("""COMPUTED_VALUE"""),"HH2559")</f>
        <v>HH2559</v>
      </c>
      <c r="G3187" s="87" t="str">
        <f>IFERROR(__xludf.DUMMYFUNCTION("""COMPUTED_VALUE"""),"GC - IV - 2559 - A.Diễn Cty Sen Hồng - MANCO GREEN (Bột xanh) - 100gr - 100")</f>
        <v>GC - IV - 2559 - A.Diễn Cty Sen Hồng - MANCO GREEN (Bột xanh) - 100gr - 100</v>
      </c>
    </row>
    <row r="3188">
      <c r="A3188" s="86">
        <f>IFERROR(__xludf.DUMMYFUNCTION("""COMPUTED_VALUE"""),3186.0)</f>
        <v>3186</v>
      </c>
      <c r="B3188" s="87" t="str">
        <f>IFERROR(__xludf.DUMMYFUNCTION("""COMPUTED_VALUE"""),"Nhãn thùng")</f>
        <v>Nhãn thùng</v>
      </c>
      <c r="C3188" s="87" t="str">
        <f>IFERROR(__xludf.DUMMYFUNCTION("""COMPUTED_VALUE"""),"NDT2559")</f>
        <v>NDT2559</v>
      </c>
      <c r="D3188" s="87" t="str">
        <f>IFERROR(__xludf.DUMMYFUNCTION("""COMPUTED_VALUE"""),"[Nhãn thùng] GC - IV - 2559 - A.Diễn Cty Sen Hồng - MANCO GREEN (Bột xanh) - 100gr - 100")</f>
        <v>[Nhãn thùng] GC - IV - 2559 - A.Diễn Cty Sen Hồng - MANCO GREEN (Bột xanh) - 100gr - 100</v>
      </c>
      <c r="E3188" s="87" t="str">
        <f>IFERROR(__xludf.DUMMYFUNCTION("""COMPUTED_VALUE"""),"MANCOBGO 80WP")</f>
        <v>MANCOBGO 80WP</v>
      </c>
      <c r="F3188" s="87" t="str">
        <f>IFERROR(__xludf.DUMMYFUNCTION("""COMPUTED_VALUE"""),"HH2559")</f>
        <v>HH2559</v>
      </c>
      <c r="G3188" s="87" t="str">
        <f>IFERROR(__xludf.DUMMYFUNCTION("""COMPUTED_VALUE"""),"GC - IV - 2559 - A.Diễn Cty Sen Hồng - MANCO GREEN (Bột xanh) - 100gr - 100")</f>
        <v>GC - IV - 2559 - A.Diễn Cty Sen Hồng - MANCO GREEN (Bột xanh) - 100gr - 100</v>
      </c>
    </row>
    <row r="3189">
      <c r="A3189" s="86">
        <f>IFERROR(__xludf.DUMMYFUNCTION("""COMPUTED_VALUE"""),3187.0)</f>
        <v>3187</v>
      </c>
      <c r="B3189" s="87" t="str">
        <f>IFERROR(__xludf.DUMMYFUNCTION("""COMPUTED_VALUE"""),"Nhãn")</f>
        <v>Nhãn</v>
      </c>
      <c r="C3189" s="87" t="str">
        <f>IFERROR(__xludf.DUMMYFUNCTION("""COMPUTED_VALUE"""),"NTN2560")</f>
        <v>NTN2560</v>
      </c>
      <c r="D3189" s="87" t="str">
        <f>IFERROR(__xludf.DUMMYFUNCTION("""COMPUTED_VALUE"""),"[Nhãn] GC - IV - 2560 - A.Diễn Cty Sen Hồng - MANCO GREEN (Bột xanh) - 1kg - 20")</f>
        <v>[Nhãn] GC - IV - 2560 - A.Diễn Cty Sen Hồng - MANCO GREEN (Bột xanh) - 1kg - 20</v>
      </c>
      <c r="E3189" s="87" t="str">
        <f>IFERROR(__xludf.DUMMYFUNCTION("""COMPUTED_VALUE"""),"MANCOBGO 80WP")</f>
        <v>MANCOBGO 80WP</v>
      </c>
      <c r="F3189" s="87" t="str">
        <f>IFERROR(__xludf.DUMMYFUNCTION("""COMPUTED_VALUE"""),"HH2560")</f>
        <v>HH2560</v>
      </c>
      <c r="G3189" s="87" t="str">
        <f>IFERROR(__xludf.DUMMYFUNCTION("""COMPUTED_VALUE"""),"GC - IV - 2560 - A.Diễn Cty Sen Hồng - MANCO GREEN (Bột xanh) - 1kg - 20")</f>
        <v>GC - IV - 2560 - A.Diễn Cty Sen Hồng - MANCO GREEN (Bột xanh) - 1kg - 20</v>
      </c>
    </row>
    <row r="3190">
      <c r="A3190" s="86">
        <f>IFERROR(__xludf.DUMMYFUNCTION("""COMPUTED_VALUE"""),3188.0)</f>
        <v>3188</v>
      </c>
      <c r="B3190" s="87" t="str">
        <f>IFERROR(__xludf.DUMMYFUNCTION("""COMPUTED_VALUE"""),"Nhãn thùng")</f>
        <v>Nhãn thùng</v>
      </c>
      <c r="C3190" s="87" t="str">
        <f>IFERROR(__xludf.DUMMYFUNCTION("""COMPUTED_VALUE"""),"NDT2560")</f>
        <v>NDT2560</v>
      </c>
      <c r="D3190" s="87" t="str">
        <f>IFERROR(__xludf.DUMMYFUNCTION("""COMPUTED_VALUE"""),"[Nhãn thùng] GC - IV - 2560 - A.Diễn Cty Sen Hồng - MANCO GREEN (Bột xanh) - 1kg - 20")</f>
        <v>[Nhãn thùng] GC - IV - 2560 - A.Diễn Cty Sen Hồng - MANCO GREEN (Bột xanh) - 1kg - 20</v>
      </c>
      <c r="E3190" s="87" t="str">
        <f>IFERROR(__xludf.DUMMYFUNCTION("""COMPUTED_VALUE"""),"MANCOBGO 80WP")</f>
        <v>MANCOBGO 80WP</v>
      </c>
      <c r="F3190" s="87" t="str">
        <f>IFERROR(__xludf.DUMMYFUNCTION("""COMPUTED_VALUE"""),"HH2560")</f>
        <v>HH2560</v>
      </c>
      <c r="G3190" s="87" t="str">
        <f>IFERROR(__xludf.DUMMYFUNCTION("""COMPUTED_VALUE"""),"GC - IV - 2560 - A.Diễn Cty Sen Hồng - MANCO GREEN (Bột xanh) - 1kg - 20")</f>
        <v>GC - IV - 2560 - A.Diễn Cty Sen Hồng - MANCO GREEN (Bột xanh) - 1kg - 20</v>
      </c>
    </row>
    <row r="3191">
      <c r="A3191" s="86">
        <f>IFERROR(__xludf.DUMMYFUNCTION("""COMPUTED_VALUE"""),3189.0)</f>
        <v>3189</v>
      </c>
      <c r="B3191" s="87" t="str">
        <f>IFERROR(__xludf.DUMMYFUNCTION("""COMPUTED_VALUE"""),"Nhãn")</f>
        <v>Nhãn</v>
      </c>
      <c r="C3191" s="87" t="str">
        <f>IFERROR(__xludf.DUMMYFUNCTION("""COMPUTED_VALUE"""),"NHG2561")</f>
        <v>NHG2561</v>
      </c>
      <c r="D3191" s="87" t="str">
        <f>IFERROR(__xludf.DUMMYFUNCTION("""COMPUTED_VALUE"""),"[Nhãn]  IDA Global - I - 2561 - Lưu dẫn thấm sâu mới (Nước xanh dương)- 120ml - 50")</f>
        <v>[Nhãn]  IDA Global - I - 2561 - Lưu dẫn thấm sâu mới (Nước xanh dương)- 120ml - 50</v>
      </c>
      <c r="E3191" s="87" t="str">
        <f>IFERROR(__xludf.DUMMYFUNCTION("""COMPUTED_VALUE"""),"Vi lượng Quantity New")</f>
        <v>Vi lượng Quantity New</v>
      </c>
      <c r="F3191" s="87" t="str">
        <f>IFERROR(__xludf.DUMMYFUNCTION("""COMPUTED_VALUE"""),"HH2561")</f>
        <v>HH2561</v>
      </c>
      <c r="G3191" s="87" t="str">
        <f>IFERROR(__xludf.DUMMYFUNCTION("""COMPUTED_VALUE"""),"IDA Global - I - 2561 - Lưu dẫn thấm sâu mới (Nước xanh dương)- 120ml - 50")</f>
        <v>IDA Global - I - 2561 - Lưu dẫn thấm sâu mới (Nước xanh dương)- 120ml - 50</v>
      </c>
    </row>
    <row r="3192">
      <c r="A3192" s="86">
        <f>IFERROR(__xludf.DUMMYFUNCTION("""COMPUTED_VALUE"""),3190.0)</f>
        <v>3190</v>
      </c>
      <c r="B3192" s="87" t="str">
        <f>IFERROR(__xludf.DUMMYFUNCTION("""COMPUTED_VALUE"""),"Nhãn")</f>
        <v>Nhãn</v>
      </c>
      <c r="C3192" s="87" t="str">
        <f>IFERROR(__xludf.DUMMYFUNCTION("""COMPUTED_VALUE"""),"NHG2562")</f>
        <v>NHG2562</v>
      </c>
      <c r="D3192" s="87" t="str">
        <f>IFERROR(__xludf.DUMMYFUNCTION("""COMPUTED_VALUE"""),"[Nhãn] GC - IV - 2562 - CTY NAUY - SUPER NANO (Nước nâu đen) - 500ml - 40")</f>
        <v>[Nhãn] GC - IV - 2562 - CTY NAUY - SUPER NANO (Nước nâu đen) - 500ml - 40</v>
      </c>
      <c r="E3192" s="87" t="str">
        <f>IFERROR(__xludf.DUMMYFUNCTION("""COMPUTED_VALUE"""),"Vi lượng AGAMA-SUPPORT")</f>
        <v>Vi lượng AGAMA-SUPPORT</v>
      </c>
      <c r="F3192" s="87" t="str">
        <f>IFERROR(__xludf.DUMMYFUNCTION("""COMPUTED_VALUE"""),"HH2562")</f>
        <v>HH2562</v>
      </c>
      <c r="G3192" s="87" t="str">
        <f>IFERROR(__xludf.DUMMYFUNCTION("""COMPUTED_VALUE"""),"GC - IV - 2562 - CTY NAUY - SUPER NANO (Nước nâu đen) - 500ml - 40")</f>
        <v>GC - IV - 2562 - CTY NAUY - SUPER NANO (Nước nâu đen) - 500ml - 40</v>
      </c>
    </row>
    <row r="3193">
      <c r="A3193" s="86">
        <f>IFERROR(__xludf.DUMMYFUNCTION("""COMPUTED_VALUE"""),3191.0)</f>
        <v>3191</v>
      </c>
      <c r="B3193" s="87" t="str">
        <f>IFERROR(__xludf.DUMMYFUNCTION("""COMPUTED_VALUE"""),"Nhãn")</f>
        <v>Nhãn</v>
      </c>
      <c r="C3193" s="87" t="str">
        <f>IFERROR(__xludf.DUMMYFUNCTION("""COMPUTED_VALUE"""),"NHG2564")</f>
        <v>NHG2564</v>
      </c>
      <c r="D3193" s="87" t="str">
        <f>IFERROR(__xludf.DUMMYFUNCTION("""COMPUTED_VALUE"""),"[Nhãn] IDA Global - I - 2564 - Chấn Phong - BLAST 333 (Nước cam sữa) - 480ml - 40")</f>
        <v>[Nhãn] IDA Global - I - 2564 - Chấn Phong - BLAST 333 (Nước cam sữa) - 480ml - 40</v>
      </c>
      <c r="E3193" s="87" t="str">
        <f>IFERROR(__xludf.DUMMYFUNCTION("""COMPUTED_VALUE"""),"CITIZEN 333SC")</f>
        <v>CITIZEN 333SC</v>
      </c>
      <c r="F3193" s="87" t="str">
        <f>IFERROR(__xludf.DUMMYFUNCTION("""COMPUTED_VALUE"""),"HH2564")</f>
        <v>HH2564</v>
      </c>
      <c r="G3193" s="87" t="str">
        <f>IFERROR(__xludf.DUMMYFUNCTION("""COMPUTED_VALUE"""),"IDA Global - I - 2564 - Chấn Phong - BLAST 333 (Nước cam sữa) - 480ml - 40")</f>
        <v>IDA Global - I - 2564 - Chấn Phong - BLAST 333 (Nước cam sữa) - 480ml - 40</v>
      </c>
    </row>
    <row r="3194">
      <c r="A3194" s="86">
        <f>IFERROR(__xludf.DUMMYFUNCTION("""COMPUTED_VALUE"""),3192.0)</f>
        <v>3192</v>
      </c>
      <c r="B3194" s="87" t="str">
        <f>IFERROR(__xludf.DUMMYFUNCTION("""COMPUTED_VALUE"""),"Nhãn")</f>
        <v>Nhãn</v>
      </c>
      <c r="C3194" s="87" t="str">
        <f>IFERROR(__xludf.DUMMYFUNCTION("""COMPUTED_VALUE"""),"NHG2565")</f>
        <v>NHG2565</v>
      </c>
      <c r="D3194" s="87" t="str">
        <f>IFERROR(__xludf.DUMMYFUNCTION("""COMPUTED_VALUE"""),"[Nhãn] NB - I - 2565- Nông Dược Thụy Sĩ - VUA CỎ BỜ - 900ml - 20")</f>
        <v>[Nhãn] NB - I - 2565- Nông Dược Thụy Sĩ - VUA CỎ BỜ - 900ml - 20</v>
      </c>
      <c r="E3194" s="87" t="str">
        <f>IFERROR(__xludf.DUMMYFUNCTION("""COMPUTED_VALUE"""),"BATOT 200SL")</f>
        <v>BATOT 200SL</v>
      </c>
      <c r="F3194" s="87" t="str">
        <f>IFERROR(__xludf.DUMMYFUNCTION("""COMPUTED_VALUE"""),"HH2565")</f>
        <v>HH2565</v>
      </c>
      <c r="G3194" s="87" t="str">
        <f>IFERROR(__xludf.DUMMYFUNCTION("""COMPUTED_VALUE"""),"NB - I - 2565- Nông Dược Thụy Sĩ - VUA CỎ BỜ - 900ml - 20")</f>
        <v>NB - I - 2565- Nông Dược Thụy Sĩ - VUA CỎ BỜ - 900ml - 20</v>
      </c>
    </row>
    <row r="3195">
      <c r="A3195" s="86">
        <f>IFERROR(__xludf.DUMMYFUNCTION("""COMPUTED_VALUE"""),3193.0)</f>
        <v>3193</v>
      </c>
      <c r="B3195" s="87" t="str">
        <f>IFERROR(__xludf.DUMMYFUNCTION("""COMPUTED_VALUE"""),"Nhãn")</f>
        <v>Nhãn</v>
      </c>
      <c r="C3195" s="87" t="str">
        <f>IFERROR(__xludf.DUMMYFUNCTION("""COMPUTED_VALUE"""),"NHD2566")</f>
        <v>NHD2566</v>
      </c>
      <c r="D3195" s="87" t="str">
        <f>IFERROR(__xludf.DUMMYFUNCTION("""COMPUTED_VALUE"""),"[Nhãn] GC - IV - 2566 - CTY XNK O2L - Abamectin 3.6 (Ốc Vàng - Nhãn Đen) (Nước nâu đen) - 450ml - 40")</f>
        <v>[Nhãn] GC - IV - 2566 - CTY XNK O2L - Abamectin 3.6 (Ốc Vàng - Nhãn Đen) (Nước nâu đen) - 450ml - 40</v>
      </c>
      <c r="E3195" s="87" t="str">
        <f>IFERROR(__xludf.DUMMYFUNCTION("""COMPUTED_VALUE"""),"Chitin 3.6EC")</f>
        <v>Chitin 3.6EC</v>
      </c>
      <c r="F3195" s="87" t="str">
        <f>IFERROR(__xludf.DUMMYFUNCTION("""COMPUTED_VALUE"""),"HH2566")</f>
        <v>HH2566</v>
      </c>
      <c r="G3195" s="87" t="str">
        <f>IFERROR(__xludf.DUMMYFUNCTION("""COMPUTED_VALUE"""),"GC - IV - 2566 - CTY XNK O2L - Abamectin 3.6 (Ốc Vàng - Nhãn Đen) (Nước nâu đen) - 450ml - 40")</f>
        <v>GC - IV - 2566 - CTY XNK O2L - Abamectin 3.6 (Ốc Vàng - Nhãn Đen) (Nước nâu đen) - 450ml - 40</v>
      </c>
    </row>
    <row r="3196">
      <c r="A3196" s="86">
        <f>IFERROR(__xludf.DUMMYFUNCTION("""COMPUTED_VALUE"""),3194.0)</f>
        <v>3194</v>
      </c>
      <c r="B3196" s="87" t="str">
        <f>IFERROR(__xludf.DUMMYFUNCTION("""COMPUTED_VALUE"""),"Nhãn thùng")</f>
        <v>Nhãn thùng</v>
      </c>
      <c r="C3196" s="87" t="str">
        <f>IFERROR(__xludf.DUMMYFUNCTION("""COMPUTED_VALUE"""),"NDT2566")</f>
        <v>NDT2566</v>
      </c>
      <c r="D3196" s="87" t="str">
        <f>IFERROR(__xludf.DUMMYFUNCTION("""COMPUTED_VALUE"""),"[Nhãn thùng] GC - IV - 2566 - CTY XNK O2L - Abamectin 3.6 (Ốc Vàng - Nhãn Đen) (Nước nâu đen) - 450ml - 40")</f>
        <v>[Nhãn thùng] GC - IV - 2566 - CTY XNK O2L - Abamectin 3.6 (Ốc Vàng - Nhãn Đen) (Nước nâu đen) - 450ml - 40</v>
      </c>
      <c r="E3196" s="87" t="str">
        <f>IFERROR(__xludf.DUMMYFUNCTION("""COMPUTED_VALUE"""),"Chitin 3.6EC")</f>
        <v>Chitin 3.6EC</v>
      </c>
      <c r="F3196" s="87" t="str">
        <f>IFERROR(__xludf.DUMMYFUNCTION("""COMPUTED_VALUE"""),"HH2566")</f>
        <v>HH2566</v>
      </c>
      <c r="G3196" s="87" t="str">
        <f>IFERROR(__xludf.DUMMYFUNCTION("""COMPUTED_VALUE"""),"GC - IV - 2566 - CTY XNK O2L - Abamectin 3.6 (Ốc Vàng - Nhãn Đen) (Nước nâu đen) - 450ml - 40")</f>
        <v>GC - IV - 2566 - CTY XNK O2L - Abamectin 3.6 (Ốc Vàng - Nhãn Đen) (Nước nâu đen) - 450ml - 40</v>
      </c>
    </row>
    <row r="3197">
      <c r="A3197" s="86">
        <f>IFERROR(__xludf.DUMMYFUNCTION("""COMPUTED_VALUE"""),3195.0)</f>
        <v>3195</v>
      </c>
      <c r="B3197" s="87" t="str">
        <f>IFERROR(__xludf.DUMMYFUNCTION("""COMPUTED_VALUE"""),"Nhãn")</f>
        <v>Nhãn</v>
      </c>
      <c r="C3197" s="87" t="str">
        <f>IFERROR(__xludf.DUMMYFUNCTION("""COMPUTED_VALUE"""),"NHG2567")</f>
        <v>NHG2567</v>
      </c>
      <c r="D3197" s="87" t="str">
        <f>IFERROR(__xludf.DUMMYFUNCTION("""COMPUTED_VALUE"""),"[Nhãn] GC - IV - 2567 - GNH - MK936 (nước nâu đen) - 450ml - 40")</f>
        <v>[Nhãn] GC - IV - 2567 - GNH - MK936 (nước nâu đen) - 450ml - 40</v>
      </c>
      <c r="E3197" s="87" t="str">
        <f>IFERROR(__xludf.DUMMYFUNCTION("""COMPUTED_VALUE"""),"HAIHAMEC 3.6EC")</f>
        <v>HAIHAMEC 3.6EC</v>
      </c>
      <c r="F3197" s="87" t="str">
        <f>IFERROR(__xludf.DUMMYFUNCTION("""COMPUTED_VALUE"""),"HH2567")</f>
        <v>HH2567</v>
      </c>
      <c r="G3197" s="87" t="str">
        <f>IFERROR(__xludf.DUMMYFUNCTION("""COMPUTED_VALUE"""),"GC - IV - 2567 - GNH - MK936 (nước nâu đen) - 450ml - 40")</f>
        <v>GC - IV - 2567 - GNH - MK936 (nước nâu đen) - 450ml - 40</v>
      </c>
    </row>
    <row r="3198">
      <c r="A3198" s="86">
        <f>IFERROR(__xludf.DUMMYFUNCTION("""COMPUTED_VALUE"""),3196.0)</f>
        <v>3196</v>
      </c>
      <c r="B3198" s="87" t="str">
        <f>IFERROR(__xludf.DUMMYFUNCTION("""COMPUTED_VALUE"""),"Nhãn")</f>
        <v>Nhãn</v>
      </c>
      <c r="C3198" s="87" t="str">
        <f>IFERROR(__xludf.DUMMYFUNCTION("""COMPUTED_VALUE"""),"NHG2568")</f>
        <v>NHG2568</v>
      </c>
      <c r="D3198" s="87" t="str">
        <f>IFERROR(__xludf.DUMMYFUNCTION("""COMPUTED_VALUE"""),"[Nhãn] GC - IV - 2568 - Agritech - Arivil - 1L - 20")</f>
        <v>[Nhãn] GC - IV - 2568 - Agritech - Arivil - 1L - 20</v>
      </c>
      <c r="E3198" s="87" t="str">
        <f>IFERROR(__xludf.DUMMYFUNCTION("""COMPUTED_VALUE"""),"JAPA VIL 110SC")</f>
        <v>JAPA VIL 110SC</v>
      </c>
      <c r="F3198" s="87" t="str">
        <f>IFERROR(__xludf.DUMMYFUNCTION("""COMPUTED_VALUE"""),"HH2568")</f>
        <v>HH2568</v>
      </c>
      <c r="G3198" s="87" t="str">
        <f>IFERROR(__xludf.DUMMYFUNCTION("""COMPUTED_VALUE"""),"GC - IV - 2568 - Agritech - Arivil - 1L - 20")</f>
        <v>GC - IV - 2568 - Agritech - Arivil - 1L - 20</v>
      </c>
    </row>
    <row r="3199">
      <c r="A3199" s="86">
        <f>IFERROR(__xludf.DUMMYFUNCTION("""COMPUTED_VALUE"""),3197.0)</f>
        <v>3197</v>
      </c>
      <c r="B3199" s="87" t="str">
        <f>IFERROR(__xludf.DUMMYFUNCTION("""COMPUTED_VALUE"""),"Nhãn")</f>
        <v>Nhãn</v>
      </c>
      <c r="C3199" s="87" t="str">
        <f>IFERROR(__xludf.DUMMYFUNCTION("""COMPUTED_VALUE"""),"NTN2569")</f>
        <v>NTN2569</v>
      </c>
      <c r="D3199" s="87" t="str">
        <f>IFERROR(__xludf.DUMMYFUNCTION("""COMPUTED_VALUE"""),"[Nhãn] GC - IV - Agritech - 2569 - ROCKAGRI (Dạng cốm màu trắng ngà) - 80gr - 150")</f>
        <v>[Nhãn] GC - IV - Agritech - 2569 - ROCKAGRI (Dạng cốm màu trắng ngà) - 80gr - 150</v>
      </c>
      <c r="E3199" s="87" t="str">
        <f>IFERROR(__xludf.DUMMYFUNCTION("""COMPUTED_VALUE"""),"ROCKING 500WG")</f>
        <v>ROCKING 500WG</v>
      </c>
      <c r="F3199" s="87" t="str">
        <f>IFERROR(__xludf.DUMMYFUNCTION("""COMPUTED_VALUE"""),"HH2569")</f>
        <v>HH2569</v>
      </c>
      <c r="G3199" s="87" t="str">
        <f>IFERROR(__xludf.DUMMYFUNCTION("""COMPUTED_VALUE"""),"GC - IV - Agritech - 2569 - ROCKAGRI (Dạng cốm màu trắng ngà) - 80gr - 150")</f>
        <v>GC - IV - Agritech - 2569 - ROCKAGRI (Dạng cốm màu trắng ngà) - 80gr - 150</v>
      </c>
    </row>
    <row r="3200">
      <c r="A3200" s="86">
        <f>IFERROR(__xludf.DUMMYFUNCTION("""COMPUTED_VALUE"""),3198.0)</f>
        <v>3198</v>
      </c>
      <c r="B3200" s="87" t="str">
        <f>IFERROR(__xludf.DUMMYFUNCTION("""COMPUTED_VALUE"""),"Nhãn thùng")</f>
        <v>Nhãn thùng</v>
      </c>
      <c r="C3200" s="87" t="str">
        <f>IFERROR(__xludf.DUMMYFUNCTION("""COMPUTED_VALUE"""),"NDT2569")</f>
        <v>NDT2569</v>
      </c>
      <c r="D3200" s="87" t="str">
        <f>IFERROR(__xludf.DUMMYFUNCTION("""COMPUTED_VALUE"""),"[Nhãn thùng] GC - IV - Agritech - 2569 - ROCKAGRI (Dạng cốm màu trắng ngà) - 80gr - 150")</f>
        <v>[Nhãn thùng] GC - IV - Agritech - 2569 - ROCKAGRI (Dạng cốm màu trắng ngà) - 80gr - 150</v>
      </c>
      <c r="E3200" s="87" t="str">
        <f>IFERROR(__xludf.DUMMYFUNCTION("""COMPUTED_VALUE"""),"ROCKING 500WG")</f>
        <v>ROCKING 500WG</v>
      </c>
      <c r="F3200" s="87" t="str">
        <f>IFERROR(__xludf.DUMMYFUNCTION("""COMPUTED_VALUE"""),"HH2569")</f>
        <v>HH2569</v>
      </c>
      <c r="G3200" s="87" t="str">
        <f>IFERROR(__xludf.DUMMYFUNCTION("""COMPUTED_VALUE"""),"GC - IV - Agritech - 2569 - ROCKAGRI (Dạng cốm màu trắng ngà) - 80gr - 150")</f>
        <v>GC - IV - Agritech - 2569 - ROCKAGRI (Dạng cốm màu trắng ngà) - 80gr - 150</v>
      </c>
    </row>
    <row r="3201">
      <c r="A3201" s="86">
        <f>IFERROR(__xludf.DUMMYFUNCTION("""COMPUTED_VALUE"""),3199.0)</f>
        <v>3199</v>
      </c>
      <c r="B3201" s="87" t="str">
        <f>IFERROR(__xludf.DUMMYFUNCTION("""COMPUTED_VALUE"""),"Nhãn")</f>
        <v>Nhãn</v>
      </c>
      <c r="C3201" s="87" t="str">
        <f>IFERROR(__xludf.DUMMYFUNCTION("""COMPUTED_VALUE"""),"NHD2571")</f>
        <v>NHD2571</v>
      </c>
      <c r="D3201" s="87" t="str">
        <f>IFERROR(__xludf.DUMMYFUNCTION("""COMPUTED_VALUE"""),"[Nhãn] GC - I - 2571 - ĐL Kim Khoa - Creek 2.1EC (Nước vàng trà) - 450ml - 40")</f>
        <v>[Nhãn] GC - I - 2571 - ĐL Kim Khoa - Creek 2.1EC (Nước vàng trà) - 450ml - 40</v>
      </c>
      <c r="E3201" s="87" t="str">
        <f>IFERROR(__xludf.DUMMYFUNCTION("""COMPUTED_VALUE"""),"Creek 2.1EC")</f>
        <v>Creek 2.1EC</v>
      </c>
      <c r="F3201" s="87" t="str">
        <f>IFERROR(__xludf.DUMMYFUNCTION("""COMPUTED_VALUE"""),"HH2571")</f>
        <v>HH2571</v>
      </c>
      <c r="G3201" s="87" t="str">
        <f>IFERROR(__xludf.DUMMYFUNCTION("""COMPUTED_VALUE"""),"GC - I - 2571 - ĐL Kim Khoa - Creek 2.1EC (Nước vàng trà) - 450ml - 40")</f>
        <v>GC - I - 2571 - ĐL Kim Khoa - Creek 2.1EC (Nước vàng trà) - 450ml - 40</v>
      </c>
    </row>
    <row r="3202">
      <c r="A3202" s="86">
        <f>IFERROR(__xludf.DUMMYFUNCTION("""COMPUTED_VALUE"""),3200.0)</f>
        <v>3200</v>
      </c>
      <c r="B3202" s="87" t="str">
        <f>IFERROR(__xludf.DUMMYFUNCTION("""COMPUTED_VALUE"""),"Nhãn thùng")</f>
        <v>Nhãn thùng</v>
      </c>
      <c r="C3202" s="87" t="str">
        <f>IFERROR(__xludf.DUMMYFUNCTION("""COMPUTED_VALUE"""),"NDT2571")</f>
        <v>NDT2571</v>
      </c>
      <c r="D3202" s="87" t="str">
        <f>IFERROR(__xludf.DUMMYFUNCTION("""COMPUTED_VALUE"""),"[Nhãn thùng] GC - I - 2571 - ĐL Kim Khoa - Creek 2.1EC (Nước vàng trà) - 450ml - 40")</f>
        <v>[Nhãn thùng] GC - I - 2571 - ĐL Kim Khoa - Creek 2.1EC (Nước vàng trà) - 450ml - 40</v>
      </c>
      <c r="E3202" s="87" t="str">
        <f>IFERROR(__xludf.DUMMYFUNCTION("""COMPUTED_VALUE"""),"Creek 2.1EC")</f>
        <v>Creek 2.1EC</v>
      </c>
      <c r="F3202" s="87" t="str">
        <f>IFERROR(__xludf.DUMMYFUNCTION("""COMPUTED_VALUE"""),"HH2571")</f>
        <v>HH2571</v>
      </c>
      <c r="G3202" s="87" t="str">
        <f>IFERROR(__xludf.DUMMYFUNCTION("""COMPUTED_VALUE"""),"GC - I - 2571 - ĐL Kim Khoa - Creek 2.1EC (Nước vàng trà) - 450ml - 40")</f>
        <v>GC - I - 2571 - ĐL Kim Khoa - Creek 2.1EC (Nước vàng trà) - 450ml - 40</v>
      </c>
    </row>
    <row r="3203">
      <c r="A3203" s="86">
        <f>IFERROR(__xludf.DUMMYFUNCTION("""COMPUTED_VALUE"""),3201.0)</f>
        <v>3201</v>
      </c>
      <c r="B3203" s="87" t="str">
        <f>IFERROR(__xludf.DUMMYFUNCTION("""COMPUTED_VALUE"""),"Nhãn")</f>
        <v>Nhãn</v>
      </c>
      <c r="C3203" s="87" t="str">
        <f>IFERROR(__xludf.DUMMYFUNCTION("""COMPUTED_VALUE"""),"NHG2572")</f>
        <v>NHG2572</v>
      </c>
      <c r="D3203" s="87" t="str">
        <f>IFERROR(__xludf.DUMMYFUNCTION("""COMPUTED_VALUE"""),"[Nhãn] GC - IV - 2572 - Cty Agrictech - Emamex 19 (Nước vàng trà) - 450ml - 40")</f>
        <v>[Nhãn] GC - IV - 2572 - Cty Agrictech - Emamex 19 (Nước vàng trà) - 450ml - 40</v>
      </c>
      <c r="E3203" s="87" t="str">
        <f>IFERROR(__xludf.DUMMYFUNCTION("""COMPUTED_VALUE"""),"Creek 2.1EC")</f>
        <v>Creek 2.1EC</v>
      </c>
      <c r="F3203" s="87" t="str">
        <f>IFERROR(__xludf.DUMMYFUNCTION("""COMPUTED_VALUE"""),"HH2572")</f>
        <v>HH2572</v>
      </c>
      <c r="G3203" s="87" t="str">
        <f>IFERROR(__xludf.DUMMYFUNCTION("""COMPUTED_VALUE"""),"GC - IV - 2572 - Cty Agrictech - Emamex 19 (Nước vàng trà) - 450ml - 40")</f>
        <v>GC - IV - 2572 - Cty Agrictech - Emamex 19 (Nước vàng trà) - 450ml - 40</v>
      </c>
    </row>
    <row r="3204">
      <c r="A3204" s="86">
        <f>IFERROR(__xludf.DUMMYFUNCTION("""COMPUTED_VALUE"""),3202.0)</f>
        <v>3202</v>
      </c>
      <c r="B3204" s="87" t="str">
        <f>IFERROR(__xludf.DUMMYFUNCTION("""COMPUTED_VALUE"""),"Nhãn")</f>
        <v>Nhãn</v>
      </c>
      <c r="C3204" s="87" t="str">
        <f>IFERROR(__xludf.DUMMYFUNCTION("""COMPUTED_VALUE"""),"NHD2572")</f>
        <v>NHD2572</v>
      </c>
      <c r="D3204" s="87" t="str">
        <f>IFERROR(__xludf.DUMMYFUNCTION("""COMPUTED_VALUE"""),"[Nhãn] GC - IV - 2572 - Cty Agrictech - Emamex 19 (Nước vàng trà) - 450ml - 40")</f>
        <v>[Nhãn] GC - IV - 2572 - Cty Agrictech - Emamex 19 (Nước vàng trà) - 450ml - 40</v>
      </c>
      <c r="E3204" s="87" t="str">
        <f>IFERROR(__xludf.DUMMYFUNCTION("""COMPUTED_VALUE"""),"Creek 2.1EC")</f>
        <v>Creek 2.1EC</v>
      </c>
      <c r="F3204" s="87" t="str">
        <f>IFERROR(__xludf.DUMMYFUNCTION("""COMPUTED_VALUE"""),"HH2572")</f>
        <v>HH2572</v>
      </c>
      <c r="G3204" s="87" t="str">
        <f>IFERROR(__xludf.DUMMYFUNCTION("""COMPUTED_VALUE"""),"GC - IV - 2572 - Cty Agrictech - Emamex 19 (Nước vàng trà) - 450ml - 40")</f>
        <v>GC - IV - 2572 - Cty Agrictech - Emamex 19 (Nước vàng trà) - 450ml - 40</v>
      </c>
    </row>
    <row r="3205">
      <c r="A3205" s="86">
        <f>IFERROR(__xludf.DUMMYFUNCTION("""COMPUTED_VALUE"""),3203.0)</f>
        <v>3203</v>
      </c>
      <c r="B3205" s="87" t="str">
        <f>IFERROR(__xludf.DUMMYFUNCTION("""COMPUTED_VALUE"""),"HỘP")</f>
        <v>HỘP</v>
      </c>
      <c r="C3205" s="87" t="str">
        <f>IFERROR(__xludf.DUMMYFUNCTION("""COMPUTED_VALUE"""),"HOP2573")</f>
        <v>HOP2573</v>
      </c>
      <c r="D3205" s="87" t="str">
        <f>IFERROR(__xludf.DUMMYFUNCTION("""COMPUTED_VALUE"""),"[HOP] IDA Global - I - 2573 - CENTERTANER 500WP (bột vàng nhạt) - 12gr - 50")</f>
        <v>[HOP] IDA Global - I - 2573 - CENTERTANER 500WP (bột vàng nhạt) - 12gr - 50</v>
      </c>
      <c r="E3205" s="87" t="str">
        <f>IFERROR(__xludf.DUMMYFUNCTION("""COMPUTED_VALUE"""),"Centertaner 500WP")</f>
        <v>Centertaner 500WP</v>
      </c>
      <c r="F3205" s="87" t="str">
        <f>IFERROR(__xludf.DUMMYFUNCTION("""COMPUTED_VALUE"""),"HH2573")</f>
        <v>HH2573</v>
      </c>
      <c r="G3205" s="87" t="str">
        <f>IFERROR(__xludf.DUMMYFUNCTION("""COMPUTED_VALUE"""),"IDA Global - I - 2573 - CENTERTANER 500WP (bột vàng nhạt) - 12gr - 400")</f>
        <v>IDA Global - I - 2573 - CENTERTANER 500WP (bột vàng nhạt) - 12gr - 400</v>
      </c>
    </row>
    <row r="3206">
      <c r="A3206" s="86">
        <f>IFERROR(__xludf.DUMMYFUNCTION("""COMPUTED_VALUE"""),3204.0)</f>
        <v>3204</v>
      </c>
      <c r="B3206" s="87" t="str">
        <f>IFERROR(__xludf.DUMMYFUNCTION("""COMPUTED_VALUE"""),"Nhãn")</f>
        <v>Nhãn</v>
      </c>
      <c r="C3206" s="87" t="str">
        <f>IFERROR(__xludf.DUMMYFUNCTION("""COMPUTED_VALUE"""),"NTN2573")</f>
        <v>NTN2573</v>
      </c>
      <c r="D3206" s="87" t="str">
        <f>IFERROR(__xludf.DUMMYFUNCTION("""COMPUTED_VALUE"""),"[Nhãn] IDA Global - I - 2573 - CENTERTANER 500WP (bột vàng nhạt) - 12gr - 400")</f>
        <v>[Nhãn] IDA Global - I - 2573 - CENTERTANER 500WP (bột vàng nhạt) - 12gr - 400</v>
      </c>
      <c r="E3206" s="87" t="str">
        <f>IFERROR(__xludf.DUMMYFUNCTION("""COMPUTED_VALUE"""),"Centertaner 500WP")</f>
        <v>Centertaner 500WP</v>
      </c>
      <c r="F3206" s="87" t="str">
        <f>IFERROR(__xludf.DUMMYFUNCTION("""COMPUTED_VALUE"""),"HH2573")</f>
        <v>HH2573</v>
      </c>
      <c r="G3206" s="87" t="str">
        <f>IFERROR(__xludf.DUMMYFUNCTION("""COMPUTED_VALUE"""),"IDA Global - I - 2573 - CENTERTANER 500WP (bột vàng nhạt) - 12gr - 400")</f>
        <v>IDA Global - I - 2573 - CENTERTANER 500WP (bột vàng nhạt) - 12gr - 400</v>
      </c>
    </row>
    <row r="3207">
      <c r="A3207" s="86">
        <f>IFERROR(__xludf.DUMMYFUNCTION("""COMPUTED_VALUE"""),3205.0)</f>
        <v>3205</v>
      </c>
      <c r="B3207" s="87" t="str">
        <f>IFERROR(__xludf.DUMMYFUNCTION("""COMPUTED_VALUE"""),"Nhãn")</f>
        <v>Nhãn</v>
      </c>
      <c r="C3207" s="87" t="str">
        <f>IFERROR(__xludf.DUMMYFUNCTION("""COMPUTED_VALUE"""),"NHG2573")</f>
        <v>NHG2573</v>
      </c>
      <c r="D3207" s="87" t="str">
        <f>IFERROR(__xludf.DUMMYFUNCTION("""COMPUTED_VALUE"""),"[Nhãn] IDA Global - I - 2573 - CENTERTANER 500WP (bột vàng nhạt) - 12gr - 400")</f>
        <v>[Nhãn] IDA Global - I - 2573 - CENTERTANER 500WP (bột vàng nhạt) - 12gr - 400</v>
      </c>
      <c r="E3207" s="87" t="str">
        <f>IFERROR(__xludf.DUMMYFUNCTION("""COMPUTED_VALUE"""),"Centertaner 500WP")</f>
        <v>Centertaner 500WP</v>
      </c>
      <c r="F3207" s="87" t="str">
        <f>IFERROR(__xludf.DUMMYFUNCTION("""COMPUTED_VALUE"""),"HH2573")</f>
        <v>HH2573</v>
      </c>
      <c r="G3207" s="87" t="str">
        <f>IFERROR(__xludf.DUMMYFUNCTION("""COMPUTED_VALUE"""),"IDA Global - I - 2573 - CENTERTANER 500WP (bột vàng nhạt) - 12gr - 400")</f>
        <v>IDA Global - I - 2573 - CENTERTANER 500WP (bột vàng nhạt) - 12gr - 400</v>
      </c>
    </row>
    <row r="3208">
      <c r="A3208" s="86">
        <f>IFERROR(__xludf.DUMMYFUNCTION("""COMPUTED_VALUE"""),3206.0)</f>
        <v>3206</v>
      </c>
      <c r="B3208" s="87" t="str">
        <f>IFERROR(__xludf.DUMMYFUNCTION("""COMPUTED_VALUE"""),"Nhãn thùng")</f>
        <v>Nhãn thùng</v>
      </c>
      <c r="C3208" s="87" t="str">
        <f>IFERROR(__xludf.DUMMYFUNCTION("""COMPUTED_VALUE"""),"NDT2573")</f>
        <v>NDT2573</v>
      </c>
      <c r="D3208" s="87" t="str">
        <f>IFERROR(__xludf.DUMMYFUNCTION("""COMPUTED_VALUE"""),"[Nhãn thùng] IDA Global - I - 2573 - CENTERTANER 500WP (bột vàng nhạt) - 12gr - 400")</f>
        <v>[Nhãn thùng] IDA Global - I - 2573 - CENTERTANER 500WP (bột vàng nhạt) - 12gr - 400</v>
      </c>
      <c r="E3208" s="87" t="str">
        <f>IFERROR(__xludf.DUMMYFUNCTION("""COMPUTED_VALUE"""),"Centertaner 500WP")</f>
        <v>Centertaner 500WP</v>
      </c>
      <c r="F3208" s="87" t="str">
        <f>IFERROR(__xludf.DUMMYFUNCTION("""COMPUTED_VALUE"""),"HH2573")</f>
        <v>HH2573</v>
      </c>
      <c r="G3208" s="87" t="str">
        <f>IFERROR(__xludf.DUMMYFUNCTION("""COMPUTED_VALUE"""),"IDA Global - I - 2573 - CENTERTANER 500WP (bột vàng nhạt) - 12gr - 400")</f>
        <v>IDA Global - I - 2573 - CENTERTANER 500WP (bột vàng nhạt) - 12gr - 400</v>
      </c>
    </row>
    <row r="3209">
      <c r="A3209" s="86">
        <f>IFERROR(__xludf.DUMMYFUNCTION("""COMPUTED_VALUE"""),3207.0)</f>
        <v>3207</v>
      </c>
      <c r="B3209" s="87" t="str">
        <f>IFERROR(__xludf.DUMMYFUNCTION("""COMPUTED_VALUE"""),"Nhãn")</f>
        <v>Nhãn</v>
      </c>
      <c r="C3209" s="87" t="str">
        <f>IFERROR(__xludf.DUMMYFUNCTION("""COMPUTED_VALUE"""),"NTN2574")</f>
        <v>NTN2574</v>
      </c>
      <c r="D3209" s="87" t="str">
        <f>IFERROR(__xludf.DUMMYFUNCTION("""COMPUTED_VALUE"""),"[Nhãn] IDA Global - I - 2574 - CENTERTANER 500WP (bột vàng nhạt) - 50gr - 100")</f>
        <v>[Nhãn] IDA Global - I - 2574 - CENTERTANER 500WP (bột vàng nhạt) - 50gr - 100</v>
      </c>
      <c r="E3209" s="87" t="str">
        <f>IFERROR(__xludf.DUMMYFUNCTION("""COMPUTED_VALUE"""),"Centertaner 500WP")</f>
        <v>Centertaner 500WP</v>
      </c>
      <c r="F3209" s="87" t="str">
        <f>IFERROR(__xludf.DUMMYFUNCTION("""COMPUTED_VALUE"""),"HH2574")</f>
        <v>HH2574</v>
      </c>
      <c r="G3209" s="87" t="str">
        <f>IFERROR(__xludf.DUMMYFUNCTION("""COMPUTED_VALUE"""),"IDA Global - I - 2574 - CENTERTANER 500WP (bột vàng nhạt) - 50gr - 100")</f>
        <v>IDA Global - I - 2574 - CENTERTANER 500WP (bột vàng nhạt) - 50gr - 100</v>
      </c>
    </row>
    <row r="3210">
      <c r="A3210" s="86">
        <f>IFERROR(__xludf.DUMMYFUNCTION("""COMPUTED_VALUE"""),3208.0)</f>
        <v>3208</v>
      </c>
      <c r="B3210" s="87" t="str">
        <f>IFERROR(__xludf.DUMMYFUNCTION("""COMPUTED_VALUE"""),"Nhãn")</f>
        <v>Nhãn</v>
      </c>
      <c r="C3210" s="87" t="str">
        <f>IFERROR(__xludf.DUMMYFUNCTION("""COMPUTED_VALUE"""),"NHG2574")</f>
        <v>NHG2574</v>
      </c>
      <c r="D3210" s="87" t="str">
        <f>IFERROR(__xludf.DUMMYFUNCTION("""COMPUTED_VALUE"""),"[Nhãn] IDA Global - I - 2574 - CENTERTANER 500WP (bột vàng nhạt) - 50gr - 100")</f>
        <v>[Nhãn] IDA Global - I - 2574 - CENTERTANER 500WP (bột vàng nhạt) - 50gr - 100</v>
      </c>
      <c r="E3210" s="87" t="str">
        <f>IFERROR(__xludf.DUMMYFUNCTION("""COMPUTED_VALUE"""),"Centertaner 500WP")</f>
        <v>Centertaner 500WP</v>
      </c>
      <c r="F3210" s="87" t="str">
        <f>IFERROR(__xludf.DUMMYFUNCTION("""COMPUTED_VALUE"""),"HH2574")</f>
        <v>HH2574</v>
      </c>
      <c r="G3210" s="87" t="str">
        <f>IFERROR(__xludf.DUMMYFUNCTION("""COMPUTED_VALUE"""),"IDA Global - I - 2574 - CENTERTANER 500WP (bột vàng nhạt) - 50gr - 100")</f>
        <v>IDA Global - I - 2574 - CENTERTANER 500WP (bột vàng nhạt) - 50gr - 100</v>
      </c>
    </row>
    <row r="3211">
      <c r="A3211" s="86">
        <f>IFERROR(__xludf.DUMMYFUNCTION("""COMPUTED_VALUE"""),3209.0)</f>
        <v>3209</v>
      </c>
      <c r="B3211" s="87" t="str">
        <f>IFERROR(__xludf.DUMMYFUNCTION("""COMPUTED_VALUE"""),"Nhãn thùng")</f>
        <v>Nhãn thùng</v>
      </c>
      <c r="C3211" s="87" t="str">
        <f>IFERROR(__xludf.DUMMYFUNCTION("""COMPUTED_VALUE"""),"NDT2574")</f>
        <v>NDT2574</v>
      </c>
      <c r="D3211" s="87" t="str">
        <f>IFERROR(__xludf.DUMMYFUNCTION("""COMPUTED_VALUE"""),"[Nhãn thùng] IDA Global - I - 2574 - CENTERTANER 500WP (bột vàng nhạt) - 50gr - 100")</f>
        <v>[Nhãn thùng] IDA Global - I - 2574 - CENTERTANER 500WP (bột vàng nhạt) - 50gr - 100</v>
      </c>
      <c r="E3211" s="87" t="str">
        <f>IFERROR(__xludf.DUMMYFUNCTION("""COMPUTED_VALUE"""),"Centertaner 500WP")</f>
        <v>Centertaner 500WP</v>
      </c>
      <c r="F3211" s="87" t="str">
        <f>IFERROR(__xludf.DUMMYFUNCTION("""COMPUTED_VALUE"""),"HH2574")</f>
        <v>HH2574</v>
      </c>
      <c r="G3211" s="87" t="str">
        <f>IFERROR(__xludf.DUMMYFUNCTION("""COMPUTED_VALUE"""),"IDA Global - I - 2574 - CENTERTANER 500WP (bột vàng nhạt) - 50gr - 100")</f>
        <v>IDA Global - I - 2574 - CENTERTANER 500WP (bột vàng nhạt) - 50gr - 100</v>
      </c>
    </row>
    <row r="3212">
      <c r="A3212" s="86">
        <f>IFERROR(__xludf.DUMMYFUNCTION("""COMPUTED_VALUE"""),3210.0)</f>
        <v>3210</v>
      </c>
      <c r="B3212" s="87" t="str">
        <f>IFERROR(__xludf.DUMMYFUNCTION("""COMPUTED_VALUE"""),"Nhãn")</f>
        <v>Nhãn</v>
      </c>
      <c r="C3212" s="87" t="str">
        <f>IFERROR(__xludf.DUMMYFUNCTION("""COMPUTED_VALUE"""),"NHG2575")</f>
        <v>NHG2575</v>
      </c>
      <c r="D3212" s="87" t="str">
        <f>IFERROR(__xludf.DUMMYFUNCTION("""COMPUTED_VALUE"""),"[Nhãn] GC - IV - 2575 - HÓA NÔNG SHINO - NUTRI EXTRA (Nước xanh nõn chuối) - 250ml - 40")</f>
        <v>[Nhãn] GC - IV - 2575 - HÓA NÔNG SHINO - NUTRI EXTRA (Nước xanh nõn chuối) - 250ml - 40</v>
      </c>
      <c r="E3212" s="87" t="str">
        <f>IFERROR(__xludf.DUMMYFUNCTION("""COMPUTED_VALUE"""),"Vi lượng Quantity New")</f>
        <v>Vi lượng Quantity New</v>
      </c>
      <c r="F3212" s="87" t="str">
        <f>IFERROR(__xludf.DUMMYFUNCTION("""COMPUTED_VALUE"""),"HH2575")</f>
        <v>HH2575</v>
      </c>
      <c r="G3212" s="87" t="str">
        <f>IFERROR(__xludf.DUMMYFUNCTION("""COMPUTED_VALUE"""),"GC - IV - 2575 - Cty Hóa Nông Shino - NUTRI EXTRA (Nước xanh nõn chuối) - 250ml - 40")</f>
        <v>GC - IV - 2575 - Cty Hóa Nông Shino - NUTRI EXTRA (Nước xanh nõn chuối) - 250ml - 40</v>
      </c>
    </row>
    <row r="3213">
      <c r="A3213" s="86">
        <f>IFERROR(__xludf.DUMMYFUNCTION("""COMPUTED_VALUE"""),3211.0)</f>
        <v>3211</v>
      </c>
      <c r="B3213" s="87" t="str">
        <f>IFERROR(__xludf.DUMMYFUNCTION("""COMPUTED_VALUE"""),"Nhãn")</f>
        <v>Nhãn</v>
      </c>
      <c r="C3213" s="87" t="str">
        <f>IFERROR(__xludf.DUMMYFUNCTION("""COMPUTED_VALUE"""),"NHG2576")</f>
        <v>NHG2576</v>
      </c>
      <c r="D3213" s="87" t="str">
        <f>IFERROR(__xludf.DUMMYFUNCTION("""COMPUTED_VALUE"""),"[Nhãn] GC - IV - 2576 - HÓA NÔNG SHINO - TRỢ LỰC D1 (Nước vàng) - 60ml - 100")</f>
        <v>[Nhãn] GC - IV - 2576 - HÓA NÔNG SHINO - TRỢ LỰC D1 (Nước vàng) - 60ml - 100</v>
      </c>
      <c r="E3213" s="87" t="str">
        <f>IFERROR(__xludf.DUMMYFUNCTION("""COMPUTED_VALUE"""),"Vi lượng Quantity New")</f>
        <v>Vi lượng Quantity New</v>
      </c>
      <c r="F3213" s="87" t="str">
        <f>IFERROR(__xludf.DUMMYFUNCTION("""COMPUTED_VALUE"""),"HH2576")</f>
        <v>HH2576</v>
      </c>
      <c r="G3213" s="87" t="str">
        <f>IFERROR(__xludf.DUMMYFUNCTION("""COMPUTED_VALUE"""),"GC - IV - 2576 - Cty Hóa Nông Shino - TRỢ LỰC D1 (Nước vàng) - 60ml - 100")</f>
        <v>GC - IV - 2576 - Cty Hóa Nông Shino - TRỢ LỰC D1 (Nước vàng) - 60ml - 100</v>
      </c>
    </row>
    <row r="3214">
      <c r="A3214" s="86">
        <f>IFERROR(__xludf.DUMMYFUNCTION("""COMPUTED_VALUE"""),3212.0)</f>
        <v>3212</v>
      </c>
      <c r="B3214" s="87" t="str">
        <f>IFERROR(__xludf.DUMMYFUNCTION("""COMPUTED_VALUE"""),"[Nhãn thùng]")</f>
        <v>[Nhãn thùng]</v>
      </c>
      <c r="C3214" s="87" t="str">
        <f>IFERROR(__xludf.DUMMYFUNCTION("""COMPUTED_VALUE"""),"NDT0517")</f>
        <v>NDT0517</v>
      </c>
      <c r="D3214" s="87" t="str">
        <f>IFERROR(__xludf.DUMMYFUNCTION("""COMPUTED_VALUE"""),"[Nhãn thùng] GC - II - 517 - SH - Humiix (túi nhôm) - 1 Kg - 25")</f>
        <v>[Nhãn thùng] GC - II - 517 - SH - Humiix (túi nhôm) - 1 Kg - 25</v>
      </c>
      <c r="E3214" s="87" t="str">
        <f>IFERROR(__xludf.DUMMYFUNCTION("""COMPUTED_VALUE"""),"VD2")</f>
        <v>VD2</v>
      </c>
      <c r="F3214" s="87" t="str">
        <f>IFERROR(__xludf.DUMMYFUNCTION("""COMPUTED_VALUE"""),"HH0517")</f>
        <v>HH0517</v>
      </c>
      <c r="G3214" s="87" t="str">
        <f>IFERROR(__xludf.DUMMYFUNCTION("""COMPUTED_VALUE"""),"GC - II - 517 - SH - Humiix (túi nhôm) - 1 Kg - 25")</f>
        <v>GC - II - 517 - SH - Humiix (túi nhôm) - 1 Kg - 25</v>
      </c>
    </row>
    <row r="3215">
      <c r="A3215" s="86">
        <f>IFERROR(__xludf.DUMMYFUNCTION("""COMPUTED_VALUE"""),3213.0)</f>
        <v>3213</v>
      </c>
      <c r="B3215" s="87" t="str">
        <f>IFERROR(__xludf.DUMMYFUNCTION("""COMPUTED_VALUE"""),"[Nhãn thùng]")</f>
        <v>[Nhãn thùng]</v>
      </c>
      <c r="C3215" s="87" t="str">
        <f>IFERROR(__xludf.DUMMYFUNCTION("""COMPUTED_VALUE"""),"NDT0804")</f>
        <v>NDT0804</v>
      </c>
      <c r="D3215" s="87" t="str">
        <f>IFERROR(__xludf.DUMMYFUNCTION("""COMPUTED_VALUE"""),"[Nhãn thùng] GC - II - 804 - AGC - Ray xanh 200WP - 80gr - 150")</f>
        <v>[Nhãn thùng] GC - II - 804 - AGC - Ray xanh 200WP - 80gr - 150</v>
      </c>
      <c r="E3215" s="87" t="str">
        <f>IFERROR(__xludf.DUMMYFUNCTION("""COMPUTED_VALUE"""),"RAYXANH 200WP")</f>
        <v>RAYXANH 200WP</v>
      </c>
      <c r="F3215" s="87" t="str">
        <f>IFERROR(__xludf.DUMMYFUNCTION("""COMPUTED_VALUE"""),"HH0804")</f>
        <v>HH0804</v>
      </c>
      <c r="G3215" s="87" t="str">
        <f>IFERROR(__xludf.DUMMYFUNCTION("""COMPUTED_VALUE"""),"GC - II - 804 - AGC - Ray xanh 200WP - 80gr - 150")</f>
        <v>GC - II - 804 - AGC - Ray xanh 200WP - 80gr - 150</v>
      </c>
    </row>
    <row r="3216">
      <c r="A3216" s="86">
        <f>IFERROR(__xludf.DUMMYFUNCTION("""COMPUTED_VALUE"""),3214.0)</f>
        <v>3214</v>
      </c>
      <c r="B3216" s="87" t="str">
        <f>IFERROR(__xludf.DUMMYFUNCTION("""COMPUTED_VALUE"""),"[Nhãn thùng]")</f>
        <v>[Nhãn thùng]</v>
      </c>
      <c r="C3216" s="87" t="str">
        <f>IFERROR(__xludf.DUMMYFUNCTION("""COMPUTED_VALUE"""),"NDT1670")</f>
        <v>NDT1670</v>
      </c>
      <c r="D3216" s="87" t="str">
        <f>IFERROR(__xludf.DUMMYFUNCTION("""COMPUTED_VALUE"""),"[Nhãn thùng] GC -  IV - 1670 - Cty Agricare Úc (A.Lộc)  - Dưỡng Chất Hữu Cơ (Gel nâu đen)  - 50ml - 200")</f>
        <v>[Nhãn thùng] GC -  IV - 1670 - Cty Agricare Úc (A.Lộc)  - Dưỡng Chất Hữu Cơ (Gel nâu đen)  - 50ml - 200</v>
      </c>
      <c r="E3216" s="87" t="str">
        <f>IFERROR(__xludf.DUMMYFUNCTION("""COMPUTED_VALUE"""),"Vi lượng AV-CFC Plus")</f>
        <v>Vi lượng AV-CFC Plus</v>
      </c>
      <c r="F3216" s="87" t="str">
        <f>IFERROR(__xludf.DUMMYFUNCTION("""COMPUTED_VALUE"""),"HH1670")</f>
        <v>HH1670</v>
      </c>
      <c r="G3216" s="87" t="str">
        <f>IFERROR(__xludf.DUMMYFUNCTION("""COMPUTED_VALUE"""),"GC -  IV - 1670 - Cty Agricare Úc (A.Lộc)  - Dưỡng Chất Hữu Cơ (Gel nâu đen)  - 50ml - 200")</f>
        <v>GC -  IV - 1670 - Cty Agricare Úc (A.Lộc)  - Dưỡng Chất Hữu Cơ (Gel nâu đen)  - 50ml - 200</v>
      </c>
    </row>
    <row r="3217">
      <c r="A3217" s="86">
        <f>IFERROR(__xludf.DUMMYFUNCTION("""COMPUTED_VALUE"""),3215.0)</f>
        <v>3215</v>
      </c>
      <c r="B3217" s="87" t="str">
        <f>IFERROR(__xludf.DUMMYFUNCTION("""COMPUTED_VALUE"""),"Nhãn")</f>
        <v>Nhãn</v>
      </c>
      <c r="C3217" s="87" t="str">
        <f>IFERROR(__xludf.DUMMYFUNCTION("""COMPUTED_VALUE"""),"NHG2578")</f>
        <v>NHG2578</v>
      </c>
      <c r="D3217" s="87" t="str">
        <f>IFERROR(__xludf.DUMMYFUNCTION("""COMPUTED_VALUE"""),"[Nhãn] GC - IV - 2578 - Australia - Genol 1.2SL (nước tím) - 500ml - 30")</f>
        <v>[Nhãn] GC - IV - 2578 - Australia - Genol 1.2SL (nước tím) - 500ml - 30</v>
      </c>
      <c r="E3217" s="87" t="str">
        <f>IFERROR(__xludf.DUMMYFUNCTION("""COMPUTED_VALUE"""),"GENOL 1.2SL")</f>
        <v>GENOL 1.2SL</v>
      </c>
      <c r="F3217" s="87" t="str">
        <f>IFERROR(__xludf.DUMMYFUNCTION("""COMPUTED_VALUE"""),"HH2578")</f>
        <v>HH2578</v>
      </c>
      <c r="G3217" s="87" t="str">
        <f>IFERROR(__xludf.DUMMYFUNCTION("""COMPUTED_VALUE"""),"GC - IV - 2578 - Australia - Genol 1.2SL (nước tím) - 500ml - 30")</f>
        <v>GC - IV - 2578 - Australia - Genol 1.2SL (nước tím) - 500ml - 30</v>
      </c>
    </row>
    <row r="3218">
      <c r="A3218" s="86">
        <f>IFERROR(__xludf.DUMMYFUNCTION("""COMPUTED_VALUE"""),3216.0)</f>
        <v>3216</v>
      </c>
      <c r="B3218" s="87" t="str">
        <f>IFERROR(__xludf.DUMMYFUNCTION("""COMPUTED_VALUE"""),"Nhãn thùng")</f>
        <v>Nhãn thùng</v>
      </c>
      <c r="C3218" s="87" t="str">
        <f>IFERROR(__xludf.DUMMYFUNCTION("""COMPUTED_VALUE"""),"NDT2578")</f>
        <v>NDT2578</v>
      </c>
      <c r="D3218" s="87" t="str">
        <f>IFERROR(__xludf.DUMMYFUNCTION("""COMPUTED_VALUE"""),"[Nhãn thùng] GC - IV - 2578 - Australia - Genol 1.2SL (nước tím) - 500ml - 30")</f>
        <v>[Nhãn thùng] GC - IV - 2578 - Australia - Genol 1.2SL (nước tím) - 500ml - 30</v>
      </c>
      <c r="E3218" s="87" t="str">
        <f>IFERROR(__xludf.DUMMYFUNCTION("""COMPUTED_VALUE"""),"GENOL 1.2SL")</f>
        <v>GENOL 1.2SL</v>
      </c>
      <c r="F3218" s="87" t="str">
        <f>IFERROR(__xludf.DUMMYFUNCTION("""COMPUTED_VALUE"""),"HH2578")</f>
        <v>HH2578</v>
      </c>
      <c r="G3218" s="87" t="str">
        <f>IFERROR(__xludf.DUMMYFUNCTION("""COMPUTED_VALUE"""),"GC - IV - 2578 - Australia - Genol 1.2SL (nước tím) - 500ml - 30")</f>
        <v>GC - IV - 2578 - Australia - Genol 1.2SL (nước tím) - 500ml - 30</v>
      </c>
    </row>
    <row r="3219">
      <c r="A3219" s="86">
        <f>IFERROR(__xludf.DUMMYFUNCTION("""COMPUTED_VALUE"""),3217.0)</f>
        <v>3217</v>
      </c>
      <c r="B3219" s="87" t="str">
        <f>IFERROR(__xludf.DUMMYFUNCTION("""COMPUTED_VALUE"""),"Nhãn")</f>
        <v>Nhãn</v>
      </c>
      <c r="C3219" s="87" t="str">
        <f>IFERROR(__xludf.DUMMYFUNCTION("""COMPUTED_VALUE"""),"NHG2579")</f>
        <v>NHG2579</v>
      </c>
      <c r="D3219" s="87" t="str">
        <f>IFERROR(__xludf.DUMMYFUNCTION("""COMPUTED_VALUE"""),"[Nhãn] GC - IV - 2579 - Hóa Nông Shino - Đạo ôn và nấm khuẩn (nước đỏ - V4) - 250ML - 40")</f>
        <v>[Nhãn] GC - IV - 2579 - Hóa Nông Shino - Đạo ôn và nấm khuẩn (nước đỏ - V4) - 250ML - 40</v>
      </c>
      <c r="E3219" s="87" t="str">
        <f>IFERROR(__xludf.DUMMYFUNCTION("""COMPUTED_VALUE"""),"GENOL 1.2SL")</f>
        <v>GENOL 1.2SL</v>
      </c>
      <c r="F3219" s="87" t="str">
        <f>IFERROR(__xludf.DUMMYFUNCTION("""COMPUTED_VALUE"""),"HH2579")</f>
        <v>HH2579</v>
      </c>
      <c r="G3219" s="87" t="str">
        <f>IFERROR(__xludf.DUMMYFUNCTION("""COMPUTED_VALUE"""),"GC - IV - 2579 - Cty Hóa Nông Shino - Đạo ôn và nấm khuẩn (nước đỏ - V4) - 250ML - 40")</f>
        <v>GC - IV - 2579 - Cty Hóa Nông Shino - Đạo ôn và nấm khuẩn (nước đỏ - V4) - 250ML - 40</v>
      </c>
    </row>
    <row r="3220">
      <c r="A3220" s="86">
        <f>IFERROR(__xludf.DUMMYFUNCTION("""COMPUTED_VALUE"""),3218.0)</f>
        <v>3218</v>
      </c>
      <c r="B3220" s="87" t="str">
        <f>IFERROR(__xludf.DUMMYFUNCTION("""COMPUTED_VALUE"""),"Nhãn thùng")</f>
        <v>Nhãn thùng</v>
      </c>
      <c r="C3220" s="87" t="str">
        <f>IFERROR(__xludf.DUMMYFUNCTION("""COMPUTED_VALUE"""),"NDT2579")</f>
        <v>NDT2579</v>
      </c>
      <c r="D3220" s="87" t="str">
        <f>IFERROR(__xludf.DUMMYFUNCTION("""COMPUTED_VALUE"""),"[Nhãn thùng] GC - IV - 2579 - Hóa Nông Shino - Đạo ôn và nấm khuẩn (nước đỏ - V4) - 250ML - 40")</f>
        <v>[Nhãn thùng] GC - IV - 2579 - Hóa Nông Shino - Đạo ôn và nấm khuẩn (nước đỏ - V4) - 250ML - 40</v>
      </c>
      <c r="E3220" s="87" t="str">
        <f>IFERROR(__xludf.DUMMYFUNCTION("""COMPUTED_VALUE"""),"GENOL 1.2SL")</f>
        <v>GENOL 1.2SL</v>
      </c>
      <c r="F3220" s="87" t="str">
        <f>IFERROR(__xludf.DUMMYFUNCTION("""COMPUTED_VALUE"""),"HH2579")</f>
        <v>HH2579</v>
      </c>
      <c r="G3220" s="87" t="str">
        <f>IFERROR(__xludf.DUMMYFUNCTION("""COMPUTED_VALUE"""),"GC - IV - 2579 - Cty Hóa Nông Shino - Đạo ôn và nấm khuẩn (nước đỏ - V4) - 250ML - 40")</f>
        <v>GC - IV - 2579 - Cty Hóa Nông Shino - Đạo ôn và nấm khuẩn (nước đỏ - V4) - 250ML - 40</v>
      </c>
    </row>
    <row r="3221">
      <c r="A3221" s="86">
        <f>IFERROR(__xludf.DUMMYFUNCTION("""COMPUTED_VALUE"""),3219.0)</f>
        <v>3219</v>
      </c>
      <c r="B3221" s="87" t="str">
        <f>IFERROR(__xludf.DUMMYFUNCTION("""COMPUTED_VALUE"""),"Nhãn")</f>
        <v>Nhãn</v>
      </c>
      <c r="C3221" s="87" t="str">
        <f>IFERROR(__xludf.DUMMYFUNCTION("""COMPUTED_VALUE"""),"NHG2580")</f>
        <v>NHG2580</v>
      </c>
      <c r="D3221" s="87" t="str">
        <f>IFERROR(__xludf.DUMMYFUNCTION("""COMPUTED_VALUE"""),"[Nhãn] GC - IV - 2580 - Cty Sen Hồng  - Đạo ôn và nấm khuẩn (nước đỏ) - 450ml - 40")</f>
        <v>[Nhãn] GC - IV - 2580 - Cty Sen Hồng  - Đạo ôn và nấm khuẩn (nước đỏ) - 450ml - 40</v>
      </c>
      <c r="E3221" s="87" t="str">
        <f>IFERROR(__xludf.DUMMYFUNCTION("""COMPUTED_VALUE"""),"GENOL 1.2SL")</f>
        <v>GENOL 1.2SL</v>
      </c>
      <c r="F3221" s="87" t="str">
        <f>IFERROR(__xludf.DUMMYFUNCTION("""COMPUTED_VALUE"""),"HH2580")</f>
        <v>HH2580</v>
      </c>
      <c r="G3221" s="87" t="str">
        <f>IFERROR(__xludf.DUMMYFUNCTION("""COMPUTED_VALUE"""),"GC - IV - 2580 - Cty Sen Hồng  - Đạo ôn và nấm khuẩn (nước đỏ) - 450ml - 40")</f>
        <v>GC - IV - 2580 - Cty Sen Hồng  - Đạo ôn và nấm khuẩn (nước đỏ) - 450ml - 40</v>
      </c>
    </row>
    <row r="3222">
      <c r="A3222" s="86">
        <f>IFERROR(__xludf.DUMMYFUNCTION("""COMPUTED_VALUE"""),3220.0)</f>
        <v>3220</v>
      </c>
      <c r="B3222" s="87" t="str">
        <f>IFERROR(__xludf.DUMMYFUNCTION("""COMPUTED_VALUE"""),"Nhãn")</f>
        <v>Nhãn</v>
      </c>
      <c r="C3222" s="87" t="str">
        <f>IFERROR(__xludf.DUMMYFUNCTION("""COMPUTED_VALUE"""),"NTN2581")</f>
        <v>NTN2581</v>
      </c>
      <c r="D3222" s="87" t="str">
        <f>IFERROR(__xludf.DUMMYFUNCTION("""COMPUTED_VALUE"""),"[Nhãn] IDA Global - I - 2581 - SIÊU DIỆT VI KHUẨN (Bột trắng) - 25gr - 300")</f>
        <v>[Nhãn] IDA Global - I - 2581 - SIÊU DIỆT VI KHUẨN (Bột trắng) - 25gr - 300</v>
      </c>
      <c r="E3222" s="87" t="str">
        <f>IFERROR(__xludf.DUMMYFUNCTION("""COMPUTED_VALUE"""),"Oxycin 100WP")</f>
        <v>Oxycin 100WP</v>
      </c>
      <c r="F3222" s="87" t="str">
        <f>IFERROR(__xludf.DUMMYFUNCTION("""COMPUTED_VALUE"""),"HH2581")</f>
        <v>HH2581</v>
      </c>
      <c r="G3222" s="87" t="str">
        <f>IFERROR(__xludf.DUMMYFUNCTION("""COMPUTED_VALUE"""),"IDA Global - I - 2581 - SIÊU DIỆT VI KHUẨN (Bột trắng) - 25gr - 300")</f>
        <v>IDA Global - I - 2581 - SIÊU DIỆT VI KHUẨN (Bột trắng) - 25gr - 300</v>
      </c>
    </row>
    <row r="3223">
      <c r="A3223" s="86">
        <f>IFERROR(__xludf.DUMMYFUNCTION("""COMPUTED_VALUE"""),3221.0)</f>
        <v>3221</v>
      </c>
      <c r="B3223" s="87" t="str">
        <f>IFERROR(__xludf.DUMMYFUNCTION("""COMPUTED_VALUE"""),"Nhãn")</f>
        <v>Nhãn</v>
      </c>
      <c r="C3223" s="87" t="str">
        <f>IFERROR(__xludf.DUMMYFUNCTION("""COMPUTED_VALUE"""),"NTN2582")</f>
        <v>NTN2582</v>
      </c>
      <c r="D3223" s="87" t="str">
        <f>IFERROR(__xludf.DUMMYFUNCTION("""COMPUTED_VALUE"""),"[Nhãn] IDA Global - I - 2582 - SIÊU DIỆT VI KHUẨN (Bột trắng) - 100gr - 100")</f>
        <v>[Nhãn] IDA Global - I - 2582 - SIÊU DIỆT VI KHUẨN (Bột trắng) - 100gr - 100</v>
      </c>
      <c r="E3223" s="87" t="str">
        <f>IFERROR(__xludf.DUMMYFUNCTION("""COMPUTED_VALUE"""),"Oxycin 100WP")</f>
        <v>Oxycin 100WP</v>
      </c>
      <c r="F3223" s="87" t="str">
        <f>IFERROR(__xludf.DUMMYFUNCTION("""COMPUTED_VALUE"""),"HH2582")</f>
        <v>HH2582</v>
      </c>
      <c r="G3223" s="87" t="str">
        <f>IFERROR(__xludf.DUMMYFUNCTION("""COMPUTED_VALUE"""),"IDA Global - I - 2582 - SIÊU DIỆT VI KHUẨN (Bột trắng) - 100gr - 100")</f>
        <v>IDA Global - I - 2582 - SIÊU DIỆT VI KHUẨN (Bột trắng) - 100gr - 100</v>
      </c>
    </row>
    <row r="3224">
      <c r="A3224" s="86">
        <f>IFERROR(__xludf.DUMMYFUNCTION("""COMPUTED_VALUE"""),3222.0)</f>
        <v>3222</v>
      </c>
      <c r="B3224" s="87" t="str">
        <f>IFERROR(__xludf.DUMMYFUNCTION("""COMPUTED_VALUE"""),"Nhãn thùng")</f>
        <v>Nhãn thùng</v>
      </c>
      <c r="C3224" s="87" t="str">
        <f>IFERROR(__xludf.DUMMYFUNCTION("""COMPUTED_VALUE"""),"NDT2582")</f>
        <v>NDT2582</v>
      </c>
      <c r="D3224" s="87" t="str">
        <f>IFERROR(__xludf.DUMMYFUNCTION("""COMPUTED_VALUE"""),"[Nhãn thùng] IDA Global - I - 2582 - SIÊU DIỆT VI KHUẨN (Bột trắng) - 100gr - 100")</f>
        <v>[Nhãn thùng] IDA Global - I - 2582 - SIÊU DIỆT VI KHUẨN (Bột trắng) - 100gr - 100</v>
      </c>
      <c r="E3224" s="87" t="str">
        <f>IFERROR(__xludf.DUMMYFUNCTION("""COMPUTED_VALUE"""),"Oxycin 100WP")</f>
        <v>Oxycin 100WP</v>
      </c>
      <c r="F3224" s="87" t="str">
        <f>IFERROR(__xludf.DUMMYFUNCTION("""COMPUTED_VALUE"""),"HH2582")</f>
        <v>HH2582</v>
      </c>
      <c r="G3224" s="87" t="str">
        <f>IFERROR(__xludf.DUMMYFUNCTION("""COMPUTED_VALUE"""),"IDA Global - I - 2582 - SIÊU DIỆT VI KHUẨN (Bột trắng) - 100gr - 100")</f>
        <v>IDA Global - I - 2582 - SIÊU DIỆT VI KHUẨN (Bột trắng) - 100gr - 100</v>
      </c>
    </row>
    <row r="3225">
      <c r="A3225" s="86">
        <f>IFERROR(__xludf.DUMMYFUNCTION("""COMPUTED_VALUE"""),3223.0)</f>
        <v>3223</v>
      </c>
      <c r="B3225" s="87" t="str">
        <f>IFERROR(__xludf.DUMMYFUNCTION("""COMPUTED_VALUE"""),"Nhãn")</f>
        <v>Nhãn</v>
      </c>
      <c r="C3225" s="87" t="str">
        <f>IFERROR(__xludf.DUMMYFUNCTION("""COMPUTED_VALUE"""),"NHG2583")</f>
        <v>NHG2583</v>
      </c>
      <c r="D3225" s="87" t="str">
        <f>IFERROR(__xludf.DUMMYFUNCTION("""COMPUTED_VALUE"""),"[Nhãn] GC - IV - 2583 - NEWTECH CROP SCIENCE - YAPOKO 250SC (Nước trắng sữa) - 450ml - 30")</f>
        <v>[Nhãn] GC - IV - 2583 - NEWTECH CROP SCIENCE - YAPOKO 250SC (Nước trắng sữa) - 450ml - 30</v>
      </c>
      <c r="E3225" s="87" t="str">
        <f>IFERROR(__xludf.DUMMYFUNCTION("""COMPUTED_VALUE"""),"YAPOKO 250SC")</f>
        <v>YAPOKO 250SC</v>
      </c>
      <c r="F3225" s="87" t="str">
        <f>IFERROR(__xludf.DUMMYFUNCTION("""COMPUTED_VALUE"""),"HH2583")</f>
        <v>HH2583</v>
      </c>
      <c r="G3225" s="87" t="str">
        <f>IFERROR(__xludf.DUMMYFUNCTION("""COMPUTED_VALUE"""),"GC - IV - 2583 - NEWTECH CROP SCIENCE - YAPOKO 250SC (Nước trắng sữa) - 450ml - 30")</f>
        <v>GC - IV - 2583 - NEWTECH CROP SCIENCE - YAPOKO 250SC (Nước trắng sữa) - 450ml - 30</v>
      </c>
    </row>
    <row r="3226">
      <c r="A3226" s="86">
        <f>IFERROR(__xludf.DUMMYFUNCTION("""COMPUTED_VALUE"""),3224.0)</f>
        <v>3224</v>
      </c>
      <c r="B3226" s="87" t="str">
        <f>IFERROR(__xludf.DUMMYFUNCTION("""COMPUTED_VALUE"""),"Nhãn")</f>
        <v>Nhãn</v>
      </c>
      <c r="C3226" s="87" t="str">
        <f>IFERROR(__xludf.DUMMYFUNCTION("""COMPUTED_VALUE"""),"NHG2584")</f>
        <v>NHG2584</v>
      </c>
      <c r="D3226" s="87" t="str">
        <f>IFERROR(__xludf.DUMMYFUNCTION("""COMPUTED_VALUE"""),"[Nhãn] LOT IDA Global - I - 2584 - ĐL NGUYỄN ĐỨC MINH - ABAMECTIN 3.6 MỚI (nước nâu đen) - 450ml - 40")</f>
        <v>[Nhãn] LOT IDA Global - I - 2584 - ĐL NGUYỄN ĐỨC MINH - ABAMECTIN 3.6 MỚI (nước nâu đen) - 450ml - 40</v>
      </c>
      <c r="E3226" s="87" t="str">
        <f>IFERROR(__xludf.DUMMYFUNCTION("""COMPUTED_VALUE"""),"HAIHAMEC 3.6EC")</f>
        <v>HAIHAMEC 3.6EC</v>
      </c>
      <c r="F3226" s="87" t="str">
        <f>IFERROR(__xludf.DUMMYFUNCTION("""COMPUTED_VALUE"""),"HH2584")</f>
        <v>HH2584</v>
      </c>
      <c r="G3226" s="87" t="str">
        <f>IFERROR(__xludf.DUMMYFUNCTION("""COMPUTED_VALUE"""),"LOT IDA Global - I - 2584 - ĐL NGUYỄN ĐỨC MINH - ABAMECTIN 3.6 MỚI (nước nâu đen) - 450ml - 40")</f>
        <v>LOT IDA Global - I - 2584 - ĐL NGUYỄN ĐỨC MINH - ABAMECTIN 3.6 MỚI (nước nâu đen) - 450ml - 40</v>
      </c>
    </row>
    <row r="3227">
      <c r="A3227" s="86">
        <f>IFERROR(__xludf.DUMMYFUNCTION("""COMPUTED_VALUE"""),3225.0)</f>
        <v>3225</v>
      </c>
      <c r="B3227" s="87" t="str">
        <f>IFERROR(__xludf.DUMMYFUNCTION("""COMPUTED_VALUE"""),"Nhãn")</f>
        <v>Nhãn</v>
      </c>
      <c r="C3227" s="87" t="str">
        <f>IFERROR(__xludf.DUMMYFUNCTION("""COMPUTED_VALUE"""),"NHG2585")</f>
        <v>NHG2585</v>
      </c>
      <c r="D3227" s="87" t="str">
        <f>IFERROR(__xludf.DUMMYFUNCTION("""COMPUTED_VALUE"""),"[Nhãn] GC - IV - 2585 - Cty Newtex - Vua Cỏ Mần Trầu (nước tím) - 900ml - 20")</f>
        <v>[Nhãn] GC - IV - 2585 - Cty Newtex - Vua Cỏ Mần Trầu (nước tím) - 900ml - 20</v>
      </c>
      <c r="E3227" s="87" t="str">
        <f>IFERROR(__xludf.DUMMYFUNCTION("""COMPUTED_VALUE"""),"Asupergras 200SL")</f>
        <v>Asupergras 200SL</v>
      </c>
      <c r="F3227" s="87" t="str">
        <f>IFERROR(__xludf.DUMMYFUNCTION("""COMPUTED_VALUE"""),"HH2585")</f>
        <v>HH2585</v>
      </c>
      <c r="G3227" s="87" t="str">
        <f>IFERROR(__xludf.DUMMYFUNCTION("""COMPUTED_VALUE"""),"GC - IV - 2585 - Cty Newtex - Vua Cỏ Mần Trầu (nước tím) - 900ml - 20")</f>
        <v>GC - IV - 2585 - Cty Newtex - Vua Cỏ Mần Trầu (nước tím) - 900ml - 20</v>
      </c>
    </row>
    <row r="3228">
      <c r="A3228" s="86">
        <f>IFERROR(__xludf.DUMMYFUNCTION("""COMPUTED_VALUE"""),3226.0)</f>
        <v>3226</v>
      </c>
      <c r="B3228" s="87" t="str">
        <f>IFERROR(__xludf.DUMMYFUNCTION("""COMPUTED_VALUE"""),"Nhãn")</f>
        <v>Nhãn</v>
      </c>
      <c r="C3228" s="87" t="str">
        <f>IFERROR(__xludf.DUMMYFUNCTION("""COMPUTED_VALUE"""),"NHG2588")</f>
        <v>NHG2588</v>
      </c>
      <c r="D3228" s="87" t="str">
        <f>IFERROR(__xludf.DUMMYFUNCTION("""COMPUTED_VALUE"""),"[Nhãn] GC - IV - 2588 - Cty NTT - TRI-HEXA (Nước hồng) - 1L - 20")</f>
        <v>[Nhãn] GC - IV - 2588 - Cty NTT - TRI-HEXA (Nước hồng) - 1L - 20</v>
      </c>
      <c r="E3228" s="87" t="str">
        <f>IFERROR(__xludf.DUMMYFUNCTION("""COMPUTED_VALUE"""),"Mekongvil 5SC")</f>
        <v>Mekongvil 5SC</v>
      </c>
      <c r="F3228" s="87" t="str">
        <f>IFERROR(__xludf.DUMMYFUNCTION("""COMPUTED_VALUE"""),"HH2588")</f>
        <v>HH2588</v>
      </c>
      <c r="G3228" s="87" t="str">
        <f>IFERROR(__xludf.DUMMYFUNCTION("""COMPUTED_VALUE"""),"GC - IV - 2588 - Cty NTT - TRI-HEXA (Nước hồng) - 1L - 20")</f>
        <v>GC - IV - 2588 - Cty NTT - TRI-HEXA (Nước hồng) - 1L - 20</v>
      </c>
    </row>
    <row r="3229">
      <c r="A3229" s="86">
        <f>IFERROR(__xludf.DUMMYFUNCTION("""COMPUTED_VALUE"""),3227.0)</f>
        <v>3227</v>
      </c>
      <c r="B3229" s="87" t="str">
        <f>IFERROR(__xludf.DUMMYFUNCTION("""COMPUTED_VALUE"""),"Nhãn")</f>
        <v>Nhãn</v>
      </c>
      <c r="C3229" s="87" t="str">
        <f>IFERROR(__xludf.DUMMYFUNCTION("""COMPUTED_VALUE"""),"NHG2589")</f>
        <v>NHG2589</v>
      </c>
      <c r="D3229" s="87" t="str">
        <f>IFERROR(__xludf.DUMMYFUNCTION("""COMPUTED_VALUE"""),"[Nhãn] GC - IV - 2589 - Cty NTT - VIL EXTRA (Nước hồng) - 1L - 20")</f>
        <v>[Nhãn] GC - IV - 2589 - Cty NTT - VIL EXTRA (Nước hồng) - 1L - 20</v>
      </c>
      <c r="E3229" s="87" t="str">
        <f>IFERROR(__xludf.DUMMYFUNCTION("""COMPUTED_VALUE"""),"Mekongvil 5SC")</f>
        <v>Mekongvil 5SC</v>
      </c>
      <c r="F3229" s="87" t="str">
        <f>IFERROR(__xludf.DUMMYFUNCTION("""COMPUTED_VALUE"""),"HH2589")</f>
        <v>HH2589</v>
      </c>
      <c r="G3229" s="87" t="str">
        <f>IFERROR(__xludf.DUMMYFUNCTION("""COMPUTED_VALUE"""),"GC - IV - 2589 - Cty NTT - VIL EXTRA (Nước hồng) - 1L - 20")</f>
        <v>GC - IV - 2589 - Cty NTT - VIL EXTRA (Nước hồng) - 1L - 20</v>
      </c>
    </row>
    <row r="3230">
      <c r="A3230" s="86">
        <f>IFERROR(__xludf.DUMMYFUNCTION("""COMPUTED_VALUE"""),3228.0)</f>
        <v>3228</v>
      </c>
      <c r="B3230" s="87" t="str">
        <f>IFERROR(__xludf.DUMMYFUNCTION("""COMPUTED_VALUE"""),"Nhãn")</f>
        <v>Nhãn</v>
      </c>
      <c r="C3230" s="87" t="str">
        <f>IFERROR(__xludf.DUMMYFUNCTION("""COMPUTED_VALUE"""),"NHG2590")</f>
        <v>NHG2590</v>
      </c>
      <c r="D3230" s="87" t="str">
        <f>IFERROR(__xludf.DUMMYFUNCTION("""COMPUTED_VALUE"""),"[Nhãn]  IDA Global - I - 2590 - CITIZEN 333 (Nước cam sữa) - 450ml - 40")</f>
        <v>[Nhãn]  IDA Global - I - 2590 - CITIZEN 333 (Nước cam sữa) - 450ml - 40</v>
      </c>
      <c r="E3230" s="87" t="str">
        <f>IFERROR(__xludf.DUMMYFUNCTION("""COMPUTED_VALUE"""),"CITIZEN 333SC")</f>
        <v>CITIZEN 333SC</v>
      </c>
      <c r="F3230" s="87" t="str">
        <f>IFERROR(__xludf.DUMMYFUNCTION("""COMPUTED_VALUE"""),"HH2590")</f>
        <v>HH2590</v>
      </c>
      <c r="G3230" s="87" t="str">
        <f>IFERROR(__xludf.DUMMYFUNCTION("""COMPUTED_VALUE"""),"IDA Global - I - 2590 - CITIZEN 333 (Nước cam sữa) - 450ml - 40")</f>
        <v>IDA Global - I - 2590 - CITIZEN 333 (Nước cam sữa) - 450ml - 40</v>
      </c>
    </row>
    <row r="3231">
      <c r="A3231" s="86">
        <f>IFERROR(__xludf.DUMMYFUNCTION("""COMPUTED_VALUE"""),3229.0)</f>
        <v>3229</v>
      </c>
      <c r="B3231" s="87" t="str">
        <f>IFERROR(__xludf.DUMMYFUNCTION("""COMPUTED_VALUE"""),"Nhãn")</f>
        <v>Nhãn</v>
      </c>
      <c r="C3231" s="87" t="str">
        <f>IFERROR(__xludf.DUMMYFUNCTION("""COMPUTED_VALUE"""),"NHG2591")</f>
        <v>NHG2591</v>
      </c>
      <c r="D3231" s="87" t="str">
        <f>IFERROR(__xludf.DUMMYFUNCTION("""COMPUTED_VALUE"""),"[Nhãn] GC - IV - 2591 - AGRICARE ÚC - NOFARA 350SC (Nước trắng sữa) - 250ml - 40")</f>
        <v>[Nhãn] GC - IV - 2591 - AGRICARE ÚC - NOFARA 350SC (Nước trắng sữa) - 250ml - 40</v>
      </c>
      <c r="E3231" s="87" t="str">
        <f>IFERROR(__xludf.DUMMYFUNCTION("""COMPUTED_VALUE"""),"NOFARA 350SC")</f>
        <v>NOFARA 350SC</v>
      </c>
      <c r="F3231" s="87" t="str">
        <f>IFERROR(__xludf.DUMMYFUNCTION("""COMPUTED_VALUE"""),"HH2591")</f>
        <v>HH2591</v>
      </c>
      <c r="G3231" s="87" t="str">
        <f>IFERROR(__xludf.DUMMYFUNCTION("""COMPUTED_VALUE"""),"GC - IV - 2591 - AGRICARE ÚC - NOFARA 350SC (Nước trắng sữa) - 250ml - 40")</f>
        <v>GC - IV - 2591 - AGRICARE ÚC - NOFARA 350SC (Nước trắng sữa) - 250ml - 40</v>
      </c>
    </row>
    <row r="3232">
      <c r="A3232" s="86">
        <f>IFERROR(__xludf.DUMMYFUNCTION("""COMPUTED_VALUE"""),3230.0)</f>
        <v>3230</v>
      </c>
      <c r="B3232" s="87" t="str">
        <f>IFERROR(__xludf.DUMMYFUNCTION("""COMPUTED_VALUE"""),"Nhãn")</f>
        <v>Nhãn</v>
      </c>
      <c r="C3232" s="87" t="str">
        <f>IFERROR(__xludf.DUMMYFUNCTION("""COMPUTED_VALUE"""),"NTN2592")</f>
        <v>NTN2592</v>
      </c>
      <c r="D3232" s="87" t="str">
        <f>IFERROR(__xludf.DUMMYFUNCTION("""COMPUTED_VALUE"""),"[Nhãn] GC - IV - 2592 - THÀNH CÔNG AGRI - KHONGRAY 54WP (Bột trắng ngà) - 100gr - 100")</f>
        <v>[Nhãn] GC - IV - 2592 - THÀNH CÔNG AGRI - KHONGRAY 54WP (Bột trắng ngà) - 100gr - 100</v>
      </c>
      <c r="E3232" s="87" t="str">
        <f>IFERROR(__xludf.DUMMYFUNCTION("""COMPUTED_VALUE"""),"KHONGRAY 54WP")</f>
        <v>KHONGRAY 54WP</v>
      </c>
      <c r="F3232" s="87" t="str">
        <f>IFERROR(__xludf.DUMMYFUNCTION("""COMPUTED_VALUE"""),"HH2592")</f>
        <v>HH2592</v>
      </c>
      <c r="G3232" s="87" t="str">
        <f>IFERROR(__xludf.DUMMYFUNCTION("""COMPUTED_VALUE"""),"GC - IV - 2592 - THÀNH CÔNG AGRI - KHONGRAY 54WP (Bột trắng ngà) - 100gr - 100")</f>
        <v>GC - IV - 2592 - THÀNH CÔNG AGRI - KHONGRAY 54WP (Bột trắng ngà) - 100gr - 100</v>
      </c>
    </row>
    <row r="3233">
      <c r="A3233" s="86">
        <f>IFERROR(__xludf.DUMMYFUNCTION("""COMPUTED_VALUE"""),3231.0)</f>
        <v>3231</v>
      </c>
      <c r="B3233" s="87" t="str">
        <f>IFERROR(__xludf.DUMMYFUNCTION("""COMPUTED_VALUE"""),"Nhãn thùng")</f>
        <v>Nhãn thùng</v>
      </c>
      <c r="C3233" s="87" t="str">
        <f>IFERROR(__xludf.DUMMYFUNCTION("""COMPUTED_VALUE"""),"NDT2592")</f>
        <v>NDT2592</v>
      </c>
      <c r="D3233" s="87" t="str">
        <f>IFERROR(__xludf.DUMMYFUNCTION("""COMPUTED_VALUE"""),"[Nhãn thùng] GC - IV - 2592 - THÀNH CÔNG AGRI - KHONGRAY 54WP (Bột trắng ngà) - 100gr - 100")</f>
        <v>[Nhãn thùng] GC - IV - 2592 - THÀNH CÔNG AGRI - KHONGRAY 54WP (Bột trắng ngà) - 100gr - 100</v>
      </c>
      <c r="E3233" s="87" t="str">
        <f>IFERROR(__xludf.DUMMYFUNCTION("""COMPUTED_VALUE"""),"KHONGRAY 54WP")</f>
        <v>KHONGRAY 54WP</v>
      </c>
      <c r="F3233" s="87" t="str">
        <f>IFERROR(__xludf.DUMMYFUNCTION("""COMPUTED_VALUE"""),"HH2592")</f>
        <v>HH2592</v>
      </c>
      <c r="G3233" s="87" t="str">
        <f>IFERROR(__xludf.DUMMYFUNCTION("""COMPUTED_VALUE"""),"GC - IV - 2592 - THÀNH CÔNG AGRI - KHONGRAY 54WP (Bột trắng ngà) - 100gr - 100")</f>
        <v>GC - IV - 2592 - THÀNH CÔNG AGRI - KHONGRAY 54WP (Bột trắng ngà) - 100gr - 100</v>
      </c>
    </row>
    <row r="3234">
      <c r="A3234" s="86">
        <f>IFERROR(__xludf.DUMMYFUNCTION("""COMPUTED_VALUE"""),3232.0)</f>
        <v>3232</v>
      </c>
      <c r="B3234" s="87" t="str">
        <f>IFERROR(__xludf.DUMMYFUNCTION("""COMPUTED_VALUE"""),"Nhãn")</f>
        <v>Nhãn</v>
      </c>
      <c r="C3234" s="87" t="str">
        <f>IFERROR(__xludf.DUMMYFUNCTION("""COMPUTED_VALUE"""),"NTN2593")</f>
        <v>NTN2593</v>
      </c>
      <c r="D3234" s="87" t="str">
        <f>IFERROR(__xludf.DUMMYFUNCTION("""COMPUTED_VALUE"""),"[Nhãn] GC - IV - 2593 - THÀNH CÔNG AGRI - METALAXYL (Bột màu trắng) - 100gr - 100")</f>
        <v>[Nhãn] GC - IV - 2593 - THÀNH CÔNG AGRI - METALAXYL (Bột màu trắng) - 100gr - 100</v>
      </c>
      <c r="E3234" s="87" t="str">
        <f>IFERROR(__xludf.DUMMYFUNCTION("""COMPUTED_VALUE"""),"Acodyl 35WP")</f>
        <v>Acodyl 35WP</v>
      </c>
      <c r="F3234" s="87" t="str">
        <f>IFERROR(__xludf.DUMMYFUNCTION("""COMPUTED_VALUE"""),"HH2593")</f>
        <v>HH2593</v>
      </c>
      <c r="G3234" s="87" t="str">
        <f>IFERROR(__xludf.DUMMYFUNCTION("""COMPUTED_VALUE"""),"GC - IV - 2593 - THÀNH CÔNG AGRI - METALAXYL (Bột màu trắng) - 100gr - 100")</f>
        <v>GC - IV - 2593 - THÀNH CÔNG AGRI - METALAXYL (Bột màu trắng) - 100gr - 100</v>
      </c>
    </row>
    <row r="3235">
      <c r="A3235" s="86">
        <f>IFERROR(__xludf.DUMMYFUNCTION("""COMPUTED_VALUE"""),3233.0)</f>
        <v>3233</v>
      </c>
      <c r="B3235" s="87" t="str">
        <f>IFERROR(__xludf.DUMMYFUNCTION("""COMPUTED_VALUE"""),"Nhãn thùng")</f>
        <v>Nhãn thùng</v>
      </c>
      <c r="C3235" s="87" t="str">
        <f>IFERROR(__xludf.DUMMYFUNCTION("""COMPUTED_VALUE"""),"NDT2593")</f>
        <v>NDT2593</v>
      </c>
      <c r="D3235" s="87" t="str">
        <f>IFERROR(__xludf.DUMMYFUNCTION("""COMPUTED_VALUE"""),"[Nhãn thùng] GC - IV - 2593 - THÀNH CÔNG AGRI - METALAXYL (Bột màu trắng) - 100gr - 100")</f>
        <v>[Nhãn thùng] GC - IV - 2593 - THÀNH CÔNG AGRI - METALAXYL (Bột màu trắng) - 100gr - 100</v>
      </c>
      <c r="E3235" s="87" t="str">
        <f>IFERROR(__xludf.DUMMYFUNCTION("""COMPUTED_VALUE"""),"Acodyl 35WP")</f>
        <v>Acodyl 35WP</v>
      </c>
      <c r="F3235" s="87" t="str">
        <f>IFERROR(__xludf.DUMMYFUNCTION("""COMPUTED_VALUE"""),"HH2593")</f>
        <v>HH2593</v>
      </c>
      <c r="G3235" s="87" t="str">
        <f>IFERROR(__xludf.DUMMYFUNCTION("""COMPUTED_VALUE"""),"GC - IV - 2593 - THÀNH CÔNG AGRI - METALAXYL (Bột màu trắng) - 100gr - 100")</f>
        <v>GC - IV - 2593 - THÀNH CÔNG AGRI - METALAXYL (Bột màu trắng) - 100gr - 100</v>
      </c>
    </row>
    <row r="3236">
      <c r="A3236" s="86">
        <f>IFERROR(__xludf.DUMMYFUNCTION("""COMPUTED_VALUE"""),3234.0)</f>
        <v>3234</v>
      </c>
      <c r="B3236" s="87" t="str">
        <f>IFERROR(__xludf.DUMMYFUNCTION("""COMPUTED_VALUE"""),"Nhãn")</f>
        <v>Nhãn</v>
      </c>
      <c r="C3236" s="87" t="str">
        <f>IFERROR(__xludf.DUMMYFUNCTION("""COMPUTED_VALUE"""),"NTN2594")</f>
        <v>NTN2594</v>
      </c>
      <c r="D3236" s="87" t="str">
        <f>IFERROR(__xludf.DUMMYFUNCTION("""COMPUTED_VALUE"""),"[Nhãn] GC - IV - 2594 - THÀNH CÔNG AGRI - FORTAZEB 72WP (Bột xanh) - 250gr - 60")</f>
        <v>[Nhãn] GC - IV - 2594 - THÀNH CÔNG AGRI - FORTAZEB 72WP (Bột xanh) - 250gr - 60</v>
      </c>
      <c r="E3236" s="87" t="str">
        <f>IFERROR(__xludf.DUMMYFUNCTION("""COMPUTED_VALUE"""),"FORTAZEB 72WP")</f>
        <v>FORTAZEB 72WP</v>
      </c>
      <c r="F3236" s="87" t="str">
        <f>IFERROR(__xludf.DUMMYFUNCTION("""COMPUTED_VALUE"""),"HH2594")</f>
        <v>HH2594</v>
      </c>
      <c r="G3236" s="87" t="str">
        <f>IFERROR(__xludf.DUMMYFUNCTION("""COMPUTED_VALUE"""),"GC - IV - 2594 - THÀNH CÔNG AGRI - FORTAZEB 72WP (Bột xanh) - 250gr - 60")</f>
        <v>GC - IV - 2594 - THÀNH CÔNG AGRI - FORTAZEB 72WP (Bột xanh) - 250gr - 60</v>
      </c>
    </row>
    <row r="3237">
      <c r="A3237" s="86">
        <f>IFERROR(__xludf.DUMMYFUNCTION("""COMPUTED_VALUE"""),3235.0)</f>
        <v>3235</v>
      </c>
      <c r="B3237" s="87" t="str">
        <f>IFERROR(__xludf.DUMMYFUNCTION("""COMPUTED_VALUE"""),"Nhãn thùng")</f>
        <v>Nhãn thùng</v>
      </c>
      <c r="C3237" s="87" t="str">
        <f>IFERROR(__xludf.DUMMYFUNCTION("""COMPUTED_VALUE"""),"NDT2594")</f>
        <v>NDT2594</v>
      </c>
      <c r="D3237" s="87" t="str">
        <f>IFERROR(__xludf.DUMMYFUNCTION("""COMPUTED_VALUE"""),"[Nhãn thùng] GC - IV - 2594 - THÀNH CÔNG AGRI - FORTAZEB 72WP (Bột xanh) - 250gr - 60")</f>
        <v>[Nhãn thùng] GC - IV - 2594 - THÀNH CÔNG AGRI - FORTAZEB 72WP (Bột xanh) - 250gr - 60</v>
      </c>
      <c r="E3237" s="87" t="str">
        <f>IFERROR(__xludf.DUMMYFUNCTION("""COMPUTED_VALUE"""),"FORTAZEB 72WP")</f>
        <v>FORTAZEB 72WP</v>
      </c>
      <c r="F3237" s="87" t="str">
        <f>IFERROR(__xludf.DUMMYFUNCTION("""COMPUTED_VALUE"""),"HH2594")</f>
        <v>HH2594</v>
      </c>
      <c r="G3237" s="87" t="str">
        <f>IFERROR(__xludf.DUMMYFUNCTION("""COMPUTED_VALUE"""),"GC - IV - 2594 - THÀNH CÔNG AGRI - FORTAZEB 72WP (Bột xanh) - 250gr - 60")</f>
        <v>GC - IV - 2594 - THÀNH CÔNG AGRI - FORTAZEB 72WP (Bột xanh) - 250gr - 60</v>
      </c>
    </row>
    <row r="3238">
      <c r="A3238" s="86">
        <f>IFERROR(__xludf.DUMMYFUNCTION("""COMPUTED_VALUE"""),3236.0)</f>
        <v>3236</v>
      </c>
      <c r="B3238" s="87" t="str">
        <f>IFERROR(__xludf.DUMMYFUNCTION("""COMPUTED_VALUE"""),"Nhãn")</f>
        <v>Nhãn</v>
      </c>
      <c r="C3238" s="87" t="str">
        <f>IFERROR(__xludf.DUMMYFUNCTION("""COMPUTED_VALUE"""),"NHG2595")</f>
        <v>NHG2595</v>
      </c>
      <c r="D3238" s="87" t="str">
        <f>IFERROR(__xludf.DUMMYFUNCTION("""COMPUTED_VALUE"""),"[Nhãn] GC - IV - 2595 - AGRICARE ÚC - MIKHADA 45ME (Nước trắng sữa) - 100ml - 100")</f>
        <v>[Nhãn] GC - IV - 2595 - AGRICARE ÚC - MIKHADA 45ME (Nước trắng sữa) - 100ml - 100</v>
      </c>
      <c r="E3238" s="87" t="str">
        <f>IFERROR(__xludf.DUMMYFUNCTION("""COMPUTED_VALUE"""),"MIKHADA 45ME")</f>
        <v>MIKHADA 45ME</v>
      </c>
      <c r="F3238" s="87" t="str">
        <f>IFERROR(__xludf.DUMMYFUNCTION("""COMPUTED_VALUE"""),"HH2595")</f>
        <v>HH2595</v>
      </c>
      <c r="G3238" s="87" t="str">
        <f>IFERROR(__xludf.DUMMYFUNCTION("""COMPUTED_VALUE"""),"GC - IV - 2595 - AGRICARE ÚC - MIKHADA 45ME (Nước trắng sữa) - 100ml - 100")</f>
        <v>GC - IV - 2595 - AGRICARE ÚC - MIKHADA 45ME (Nước trắng sữa) - 100ml - 100</v>
      </c>
    </row>
    <row r="3239">
      <c r="A3239" s="86">
        <f>IFERROR(__xludf.DUMMYFUNCTION("""COMPUTED_VALUE"""),3237.0)</f>
        <v>3237</v>
      </c>
      <c r="B3239" s="87" t="str">
        <f>IFERROR(__xludf.DUMMYFUNCTION("""COMPUTED_VALUE"""),"Nhãn")</f>
        <v>Nhãn</v>
      </c>
      <c r="C3239" s="87" t="str">
        <f>IFERROR(__xludf.DUMMYFUNCTION("""COMPUTED_VALUE"""),"NHG2596")</f>
        <v>NHG2596</v>
      </c>
      <c r="D3239" s="87" t="str">
        <f>IFERROR(__xludf.DUMMYFUNCTION("""COMPUTED_VALUE"""),"[Nhãn] GC - IV - 2596 - Cty Sen Hồng  - Mập Đòng (Gel nâu đen) - 500ml - 40")</f>
        <v>[Nhãn] GC - IV - 2596 - Cty Sen Hồng  - Mập Đòng (Gel nâu đen) - 500ml - 40</v>
      </c>
      <c r="E3239" s="87" t="str">
        <f>IFERROR(__xludf.DUMMYFUNCTION("""COMPUTED_VALUE"""),"vi lượng HELP FARMER_3")</f>
        <v>vi lượng HELP FARMER_3</v>
      </c>
      <c r="F3239" s="87" t="str">
        <f>IFERROR(__xludf.DUMMYFUNCTION("""COMPUTED_VALUE"""),"HH2596")</f>
        <v>HH2596</v>
      </c>
      <c r="G3239" s="87" t="str">
        <f>IFERROR(__xludf.DUMMYFUNCTION("""COMPUTED_VALUE"""),"GC - IV - 2596 - Cty Sen Hồng  - Mập Đòng (Gel nâu đen) - 500ml - 40")</f>
        <v>GC - IV - 2596 - Cty Sen Hồng  - Mập Đòng (Gel nâu đen) - 500ml - 40</v>
      </c>
    </row>
    <row r="3240">
      <c r="A3240" s="86">
        <f>IFERROR(__xludf.DUMMYFUNCTION("""COMPUTED_VALUE"""),3238.0)</f>
        <v>3238</v>
      </c>
      <c r="B3240" s="87" t="str">
        <f>IFERROR(__xludf.DUMMYFUNCTION("""COMPUTED_VALUE"""),"Nhãn")</f>
        <v>Nhãn</v>
      </c>
      <c r="C3240" s="87" t="str">
        <f>IFERROR(__xludf.DUMMYFUNCTION("""COMPUTED_VALUE"""),"NHG2597")</f>
        <v>NHG2597</v>
      </c>
      <c r="D3240" s="87" t="str">
        <f>IFERROR(__xludf.DUMMYFUNCTION("""COMPUTED_VALUE"""),"[Nhãn] GC - IV - 2597 - Cty Sen Hồng - ROOT+ (Gel xanh dương) - 500ml - 40")</f>
        <v>[Nhãn] GC - IV - 2597 - Cty Sen Hồng - ROOT+ (Gel xanh dương) - 500ml - 40</v>
      </c>
      <c r="E3240" s="87" t="str">
        <f>IFERROR(__xludf.DUMMYFUNCTION("""COMPUTED_VALUE"""),"Vi lượng AGAMA-SUPPORT")</f>
        <v>Vi lượng AGAMA-SUPPORT</v>
      </c>
      <c r="F3240" s="87" t="str">
        <f>IFERROR(__xludf.DUMMYFUNCTION("""COMPUTED_VALUE"""),"HH2597")</f>
        <v>HH2597</v>
      </c>
      <c r="G3240" s="87" t="str">
        <f>IFERROR(__xludf.DUMMYFUNCTION("""COMPUTED_VALUE"""),"GC - IV - 2597 - Cty Sen Hồng - ROOT+ (Gel xanh dương) - 500ml - 40")</f>
        <v>GC - IV - 2597 - Cty Sen Hồng - ROOT+ (Gel xanh dương) - 500ml - 40</v>
      </c>
    </row>
    <row r="3241">
      <c r="A3241" s="86">
        <f>IFERROR(__xludf.DUMMYFUNCTION("""COMPUTED_VALUE"""),3239.0)</f>
        <v>3239</v>
      </c>
      <c r="B3241" s="87" t="str">
        <f>IFERROR(__xludf.DUMMYFUNCTION("""COMPUTED_VALUE"""),"Nhãn")</f>
        <v>Nhãn</v>
      </c>
      <c r="C3241" s="87" t="str">
        <f>IFERROR(__xludf.DUMMYFUNCTION("""COMPUTED_VALUE"""),"NTN2598")</f>
        <v>NTN2598</v>
      </c>
      <c r="D3241" s="87" t="str">
        <f>IFERROR(__xludf.DUMMYFUNCTION("""COMPUTED_VALUE"""),"[Nhãn] GC - IV - 2598 - THÀNH CÔNG AGRI - FORWIN 85WP (Bột trắng ngà) - 50gr - 200")</f>
        <v>[Nhãn] GC - IV - 2598 - THÀNH CÔNG AGRI - FORWIN 85WP (Bột trắng ngà) - 50gr - 200</v>
      </c>
      <c r="E3241" s="87" t="str">
        <f>IFERROR(__xludf.DUMMYFUNCTION("""COMPUTED_VALUE"""),"FORWIN 85WP")</f>
        <v>FORWIN 85WP</v>
      </c>
      <c r="F3241" s="87" t="str">
        <f>IFERROR(__xludf.DUMMYFUNCTION("""COMPUTED_VALUE"""),"HH2598")</f>
        <v>HH2598</v>
      </c>
      <c r="G3241" s="87" t="str">
        <f>IFERROR(__xludf.DUMMYFUNCTION("""COMPUTED_VALUE"""),"GC - IV - 2598 - THÀNH CÔNG AGRI - FORWIN 85WP (Bột trắng ngà) - 50gr - 200")</f>
        <v>GC - IV - 2598 - THÀNH CÔNG AGRI - FORWIN 85WP (Bột trắng ngà) - 50gr - 200</v>
      </c>
    </row>
    <row r="3242">
      <c r="A3242" s="86">
        <f>IFERROR(__xludf.DUMMYFUNCTION("""COMPUTED_VALUE"""),3240.0)</f>
        <v>3240</v>
      </c>
      <c r="B3242" s="87" t="str">
        <f>IFERROR(__xludf.DUMMYFUNCTION("""COMPUTED_VALUE"""),"Nhãn thùng")</f>
        <v>Nhãn thùng</v>
      </c>
      <c r="C3242" s="87" t="str">
        <f>IFERROR(__xludf.DUMMYFUNCTION("""COMPUTED_VALUE"""),"NDT2598")</f>
        <v>NDT2598</v>
      </c>
      <c r="D3242" s="87" t="str">
        <f>IFERROR(__xludf.DUMMYFUNCTION("""COMPUTED_VALUE"""),"[Nhãn thùng] GC - IV - 2598 - THÀNH CÔNG AGRI - FORWIN 85WP (Bột trắng ngà) - 50gr - 200")</f>
        <v>[Nhãn thùng] GC - IV - 2598 - THÀNH CÔNG AGRI - FORWIN 85WP (Bột trắng ngà) - 50gr - 200</v>
      </c>
      <c r="E3242" s="87" t="str">
        <f>IFERROR(__xludf.DUMMYFUNCTION("""COMPUTED_VALUE"""),"FORWIN 85WP")</f>
        <v>FORWIN 85WP</v>
      </c>
      <c r="F3242" s="87" t="str">
        <f>IFERROR(__xludf.DUMMYFUNCTION("""COMPUTED_VALUE"""),"HH2598")</f>
        <v>HH2598</v>
      </c>
      <c r="G3242" s="87" t="str">
        <f>IFERROR(__xludf.DUMMYFUNCTION("""COMPUTED_VALUE"""),"GC - IV - 2598 - THÀNH CÔNG AGRI - FORWIN 85WP (Bột trắng ngà) - 50gr - 200")</f>
        <v>GC - IV - 2598 - THÀNH CÔNG AGRI - FORWIN 85WP (Bột trắng ngà) - 50gr - 200</v>
      </c>
    </row>
    <row r="3243">
      <c r="A3243" s="86">
        <f>IFERROR(__xludf.DUMMYFUNCTION("""COMPUTED_VALUE"""),3241.0)</f>
        <v>3241</v>
      </c>
      <c r="B3243" s="87" t="str">
        <f>IFERROR(__xludf.DUMMYFUNCTION("""COMPUTED_VALUE"""),"Nhãn")</f>
        <v>Nhãn</v>
      </c>
      <c r="C3243" s="87" t="str">
        <f>IFERROR(__xludf.DUMMYFUNCTION("""COMPUTED_VALUE"""),"NTN2599")</f>
        <v>NTN2599</v>
      </c>
      <c r="D3243" s="87" t="str">
        <f>IFERROR(__xludf.DUMMYFUNCTION("""COMPUTED_VALUE"""),"[Nhãn] GC - II - 2599 - Agriplant - Bio Dưỡng Cây - Mập Chồi - 50ml - 200")</f>
        <v>[Nhãn] GC - II - 2599 - Agriplant - Bio Dưỡng Cây - Mập Chồi - 50ml - 200</v>
      </c>
      <c r="E3243" s="87" t="str">
        <f>IFERROR(__xludf.DUMMYFUNCTION("""COMPUTED_VALUE"""),"Vi lượng AV-CFC Plus")</f>
        <v>Vi lượng AV-CFC Plus</v>
      </c>
      <c r="F3243" s="87" t="str">
        <f>IFERROR(__xludf.DUMMYFUNCTION("""COMPUTED_VALUE"""),"HH2599")</f>
        <v>HH2599</v>
      </c>
      <c r="G3243" s="87" t="str">
        <f>IFERROR(__xludf.DUMMYFUNCTION("""COMPUTED_VALUE"""),"GC - II - 2599 - Agriplant - Bio Dưỡng Cây - Mập Chồi - 50ml - 200")</f>
        <v>GC - II - 2599 - Agriplant - Bio Dưỡng Cây - Mập Chồi - 50ml - 200</v>
      </c>
    </row>
    <row r="3244">
      <c r="A3244" s="86">
        <f>IFERROR(__xludf.DUMMYFUNCTION("""COMPUTED_VALUE"""),3242.0)</f>
        <v>3242</v>
      </c>
      <c r="B3244" s="87" t="str">
        <f>IFERROR(__xludf.DUMMYFUNCTION("""COMPUTED_VALUE"""),"Nhãn")</f>
        <v>Nhãn</v>
      </c>
      <c r="C3244" s="87" t="str">
        <f>IFERROR(__xludf.DUMMYFUNCTION("""COMPUTED_VALUE"""),"NHG2600")</f>
        <v>NHG2600</v>
      </c>
      <c r="D3244" s="87" t="str">
        <f>IFERROR(__xludf.DUMMYFUNCTION("""COMPUTED_VALUE"""),"[Nhãn] GC - IV - 2600 - CTY HAT GROUP - NASA F350 (Nước trắng sữa) - 250ml - 40")</f>
        <v>[Nhãn] GC - IV - 2600 - CTY HAT GROUP - NASA F350 (Nước trắng sữa) - 250ml - 40</v>
      </c>
      <c r="E3244" s="87" t="str">
        <f>IFERROR(__xludf.DUMMYFUNCTION("""COMPUTED_VALUE"""),"NOFARA 350SC")</f>
        <v>NOFARA 350SC</v>
      </c>
      <c r="F3244" s="87" t="str">
        <f>IFERROR(__xludf.DUMMYFUNCTION("""COMPUTED_VALUE"""),"HH2600")</f>
        <v>HH2600</v>
      </c>
      <c r="G3244" s="87" t="str">
        <f>IFERROR(__xludf.DUMMYFUNCTION("""COMPUTED_VALUE"""),"GC - IV - 2600 - CTY HAT GROUP - NASA F350 (Nước trắng sữa) - 250ml - 40")</f>
        <v>GC - IV - 2600 - CTY HAT GROUP - NASA F350 (Nước trắng sữa) - 250ml - 40</v>
      </c>
    </row>
    <row r="3245">
      <c r="A3245" s="86">
        <f>IFERROR(__xludf.DUMMYFUNCTION("""COMPUTED_VALUE"""),3243.0)</f>
        <v>3243</v>
      </c>
      <c r="B3245" s="87" t="str">
        <f>IFERROR(__xludf.DUMMYFUNCTION("""COMPUTED_VALUE"""),"Nhãn")</f>
        <v>Nhãn</v>
      </c>
      <c r="C3245" s="87" t="str">
        <f>IFERROR(__xludf.DUMMYFUNCTION("""COMPUTED_VALUE"""),"NTN2601")</f>
        <v>NTN2601</v>
      </c>
      <c r="D3245" s="87" t="str">
        <f>IFERROR(__xludf.DUMMYFUNCTION("""COMPUTED_VALUE"""),"[Nhãn] GC - IV - 2601 - CTY HAT GROUP - SIÊU RẦY X3 (Bột trắng ngà) - 100gr - 100")</f>
        <v>[Nhãn] GC - IV - 2601 - CTY HAT GROUP - SIÊU RẦY X3 (Bột trắng ngà) - 100gr - 100</v>
      </c>
      <c r="E3245" s="87" t="str">
        <f>IFERROR(__xludf.DUMMYFUNCTION("""COMPUTED_VALUE"""),"KHONGRAY 54WP")</f>
        <v>KHONGRAY 54WP</v>
      </c>
      <c r="F3245" s="87" t="str">
        <f>IFERROR(__xludf.DUMMYFUNCTION("""COMPUTED_VALUE"""),"HH2601")</f>
        <v>HH2601</v>
      </c>
      <c r="G3245" s="87" t="str">
        <f>IFERROR(__xludf.DUMMYFUNCTION("""COMPUTED_VALUE"""),"GC - IV - 2601 - CTY HAT GROUP - SIÊU RẦY X3 (Bột trắng ngà) - 100gr - 100")</f>
        <v>GC - IV - 2601 - CTY HAT GROUP - SIÊU RẦY X3 (Bột trắng ngà) - 100gr - 100</v>
      </c>
    </row>
    <row r="3246">
      <c r="A3246" s="86">
        <f>IFERROR(__xludf.DUMMYFUNCTION("""COMPUTED_VALUE"""),3244.0)</f>
        <v>3244</v>
      </c>
      <c r="B3246" s="87" t="str">
        <f>IFERROR(__xludf.DUMMYFUNCTION("""COMPUTED_VALUE"""),"Nhãn thùng")</f>
        <v>Nhãn thùng</v>
      </c>
      <c r="C3246" s="87" t="str">
        <f>IFERROR(__xludf.DUMMYFUNCTION("""COMPUTED_VALUE"""),"NDT2601")</f>
        <v>NDT2601</v>
      </c>
      <c r="D3246" s="87" t="str">
        <f>IFERROR(__xludf.DUMMYFUNCTION("""COMPUTED_VALUE"""),"[Nhãn thùng] GC - IV - 2601 - CTY HAT GROUP - SIÊU RẦY X3 (Bột trắng ngà) - 100gr - 100")</f>
        <v>[Nhãn thùng] GC - IV - 2601 - CTY HAT GROUP - SIÊU RẦY X3 (Bột trắng ngà) - 100gr - 100</v>
      </c>
      <c r="E3246" s="87" t="str">
        <f>IFERROR(__xludf.DUMMYFUNCTION("""COMPUTED_VALUE"""),"KHONGRAY 54WP")</f>
        <v>KHONGRAY 54WP</v>
      </c>
      <c r="F3246" s="87" t="str">
        <f>IFERROR(__xludf.DUMMYFUNCTION("""COMPUTED_VALUE"""),"HH2601")</f>
        <v>HH2601</v>
      </c>
      <c r="G3246" s="87" t="str">
        <f>IFERROR(__xludf.DUMMYFUNCTION("""COMPUTED_VALUE"""),"GC - IV - 2601 - CTY HAT GROUP - SIÊU RẦY X3 (Bột trắng ngà) - 100gr - 100")</f>
        <v>GC - IV - 2601 - CTY HAT GROUP - SIÊU RẦY X3 (Bột trắng ngà) - 100gr - 100</v>
      </c>
    </row>
    <row r="3247">
      <c r="A3247" s="86">
        <f>IFERROR(__xludf.DUMMYFUNCTION("""COMPUTED_VALUE"""),3245.0)</f>
        <v>3245</v>
      </c>
      <c r="B3247" s="87" t="str">
        <f>IFERROR(__xludf.DUMMYFUNCTION("""COMPUTED_VALUE"""),"Nhãn")</f>
        <v>Nhãn</v>
      </c>
      <c r="C3247" s="87" t="str">
        <f>IFERROR(__xludf.DUMMYFUNCTION("""COMPUTED_VALUE"""),"NTN2602")</f>
        <v>NTN2602</v>
      </c>
      <c r="D3247" s="87" t="str">
        <f>IFERROR(__xludf.DUMMYFUNCTION("""COMPUTED_VALUE"""),"[Nhãn] GC - IV -2602 - CTY ITALY - MANCO XANH (bột xanh) - 1kg - 20")</f>
        <v>[Nhãn] GC - IV -2602 - CTY ITALY - MANCO XANH (bột xanh) - 1kg - 20</v>
      </c>
      <c r="E3247" s="87" t="str">
        <f>IFERROR(__xludf.DUMMYFUNCTION("""COMPUTED_VALUE"""),"MANCOBGO 80WP")</f>
        <v>MANCOBGO 80WP</v>
      </c>
      <c r="F3247" s="87" t="str">
        <f>IFERROR(__xludf.DUMMYFUNCTION("""COMPUTED_VALUE"""),"HH2602")</f>
        <v>HH2602</v>
      </c>
      <c r="G3247" s="87" t="str">
        <f>IFERROR(__xludf.DUMMYFUNCTION("""COMPUTED_VALUE"""),"GC - IV -2602 - CTY ITALY - MANCO XANH (bột xanh) - 1kg - 20")</f>
        <v>GC - IV -2602 - CTY ITALY - MANCO XANH (bột xanh) - 1kg - 20</v>
      </c>
    </row>
    <row r="3248">
      <c r="A3248" s="86">
        <f>IFERROR(__xludf.DUMMYFUNCTION("""COMPUTED_VALUE"""),3246.0)</f>
        <v>3246</v>
      </c>
      <c r="B3248" s="87" t="str">
        <f>IFERROR(__xludf.DUMMYFUNCTION("""COMPUTED_VALUE"""),"Nhãn thùng")</f>
        <v>Nhãn thùng</v>
      </c>
      <c r="C3248" s="87" t="str">
        <f>IFERROR(__xludf.DUMMYFUNCTION("""COMPUTED_VALUE"""),"NDT2602")</f>
        <v>NDT2602</v>
      </c>
      <c r="D3248" s="87" t="str">
        <f>IFERROR(__xludf.DUMMYFUNCTION("""COMPUTED_VALUE"""),"[Nhãn thùng] GC - IV -2602 - CTY ITALY - MANCO XANH (bột xanh) - 1kg - 20")</f>
        <v>[Nhãn thùng] GC - IV -2602 - CTY ITALY - MANCO XANH (bột xanh) - 1kg - 20</v>
      </c>
      <c r="E3248" s="87" t="str">
        <f>IFERROR(__xludf.DUMMYFUNCTION("""COMPUTED_VALUE"""),"MANCOBGO 80WP")</f>
        <v>MANCOBGO 80WP</v>
      </c>
      <c r="F3248" s="87" t="str">
        <f>IFERROR(__xludf.DUMMYFUNCTION("""COMPUTED_VALUE"""),"HH2602")</f>
        <v>HH2602</v>
      </c>
      <c r="G3248" s="87" t="str">
        <f>IFERROR(__xludf.DUMMYFUNCTION("""COMPUTED_VALUE"""),"GC - IV -2602 - CTY ITALY - MANCO XANH (bột xanh) - 1kg - 20")</f>
        <v>GC - IV -2602 - CTY ITALY - MANCO XANH (bột xanh) - 1kg - 20</v>
      </c>
    </row>
    <row r="3249">
      <c r="A3249" s="86">
        <f>IFERROR(__xludf.DUMMYFUNCTION("""COMPUTED_VALUE"""),3247.0)</f>
        <v>3247</v>
      </c>
      <c r="B3249" s="87" t="str">
        <f>IFERROR(__xludf.DUMMYFUNCTION("""COMPUTED_VALUE"""),"Nhãn")</f>
        <v>Nhãn</v>
      </c>
      <c r="C3249" s="87" t="str">
        <f>IFERROR(__xludf.DUMMYFUNCTION("""COMPUTED_VALUE"""),"NHG2605")</f>
        <v>NHG2605</v>
      </c>
      <c r="D3249" s="87" t="str">
        <f>IFERROR(__xludf.DUMMYFUNCTION("""COMPUTED_VALUE"""),"[Nhãn] GC - IV - 2605 - NHP - Nhện đỏ (Nước tím) - 240ml - 40")</f>
        <v>[Nhãn] GC - IV - 2605 - NHP - Nhện đỏ (Nước tím) - 240ml - 40</v>
      </c>
      <c r="E3249" s="87" t="str">
        <f>IFERROR(__xludf.DUMMYFUNCTION("""COMPUTED_VALUE"""),"Chitin 3.6EC")</f>
        <v>Chitin 3.6EC</v>
      </c>
      <c r="F3249" s="87" t="str">
        <f>IFERROR(__xludf.DUMMYFUNCTION("""COMPUTED_VALUE"""),"HH2605")</f>
        <v>HH2605</v>
      </c>
      <c r="G3249" s="87" t="str">
        <f>IFERROR(__xludf.DUMMYFUNCTION("""COMPUTED_VALUE"""),"GC - IV - 2605 - NHP - Nhện đỏ (Nước tím) - 240ml - 40")</f>
        <v>GC - IV - 2605 - NHP - Nhện đỏ (Nước tím) - 240ml - 40</v>
      </c>
    </row>
    <row r="3250">
      <c r="A3250" s="86">
        <f>IFERROR(__xludf.DUMMYFUNCTION("""COMPUTED_VALUE"""),3248.0)</f>
        <v>3248</v>
      </c>
      <c r="B3250" s="87" t="str">
        <f>IFERROR(__xludf.DUMMYFUNCTION("""COMPUTED_VALUE"""),"Nhãn")</f>
        <v>Nhãn</v>
      </c>
      <c r="C3250" s="87" t="str">
        <f>IFERROR(__xludf.DUMMYFUNCTION("""COMPUTED_VALUE"""),"NHG2606")</f>
        <v>NHG2606</v>
      </c>
      <c r="D3250" s="87" t="str">
        <f>IFERROR(__xludf.DUMMYFUNCTION("""COMPUTED_VALUE"""),"[Nhãn] GC - IV - 2606 - Huy Phát - A-CARI (Nước đỏ) - 240ml - 40")</f>
        <v>[Nhãn] GC - IV - 2606 - Huy Phát - A-CARI (Nước đỏ) - 240ml - 40</v>
      </c>
      <c r="E3250" s="87" t="str">
        <f>IFERROR(__xludf.DUMMYFUNCTION("""COMPUTED_VALUE"""),"CHIM ƯNG 3.8EC")</f>
        <v>CHIM ƯNG 3.8EC</v>
      </c>
      <c r="F3250" s="87" t="str">
        <f>IFERROR(__xludf.DUMMYFUNCTION("""COMPUTED_VALUE"""),"HH2606")</f>
        <v>HH2606</v>
      </c>
      <c r="G3250" s="87" t="str">
        <f>IFERROR(__xludf.DUMMYFUNCTION("""COMPUTED_VALUE"""),"GC - IV - 2606 - Huy Phát - A-CARI (Nước đỏ) - 240ml - 40")</f>
        <v>GC - IV - 2606 - Huy Phát - A-CARI (Nước đỏ) - 240ml - 40</v>
      </c>
    </row>
    <row r="3251">
      <c r="A3251" s="86">
        <f>IFERROR(__xludf.DUMMYFUNCTION("""COMPUTED_VALUE"""),3249.0)</f>
        <v>3249</v>
      </c>
      <c r="B3251" s="87" t="str">
        <f>IFERROR(__xludf.DUMMYFUNCTION("""COMPUTED_VALUE"""),"Nhãn")</f>
        <v>Nhãn</v>
      </c>
      <c r="C3251" s="87" t="str">
        <f>IFERROR(__xludf.DUMMYFUNCTION("""COMPUTED_VALUE"""),"NHG2607")</f>
        <v>NHG2607</v>
      </c>
      <c r="D3251" s="87" t="str">
        <f>IFERROR(__xludf.DUMMYFUNCTION("""COMPUTED_VALUE"""),"[Nhãn] GC - IV - 2607 - Agritech - VIL110 (Nước trắng sữa) - 1L - 20")</f>
        <v>[Nhãn] GC - IV - 2607 - Agritech - VIL110 (Nước trắng sữa) - 1L - 20</v>
      </c>
      <c r="E3251" s="87" t="str">
        <f>IFERROR(__xludf.DUMMYFUNCTION("""COMPUTED_VALUE"""),"JAPA VIL 110SC")</f>
        <v>JAPA VIL 110SC</v>
      </c>
      <c r="F3251" s="87" t="str">
        <f>IFERROR(__xludf.DUMMYFUNCTION("""COMPUTED_VALUE"""),"HH2607")</f>
        <v>HH2607</v>
      </c>
      <c r="G3251" s="87" t="str">
        <f>IFERROR(__xludf.DUMMYFUNCTION("""COMPUTED_VALUE"""),"GC - IV - 2607 - Agritech - VIL110 (Nước trắng sữa) - 1L - 20")</f>
        <v>GC - IV - 2607 - Agritech - VIL110 (Nước trắng sữa) - 1L - 20</v>
      </c>
    </row>
    <row r="3252">
      <c r="A3252" s="86">
        <f>IFERROR(__xludf.DUMMYFUNCTION("""COMPUTED_VALUE"""),3250.0)</f>
        <v>3250</v>
      </c>
      <c r="B3252" s="87" t="str">
        <f>IFERROR(__xludf.DUMMYFUNCTION("""COMPUTED_VALUE"""),"Nhãn")</f>
        <v>Nhãn</v>
      </c>
      <c r="C3252" s="87" t="str">
        <f>IFERROR(__xludf.DUMMYFUNCTION("""COMPUTED_VALUE"""),"NTN2608")</f>
        <v>NTN2608</v>
      </c>
      <c r="D3252" s="87" t="str">
        <f>IFERROR(__xludf.DUMMYFUNCTION("""COMPUTED_VALUE"""),"[Nhãn] IDA Global - I - 2608 - ĐL ÚT MÍT - VUA DIỆT RẦY (Bột trắng ngà) - 100gr - 100")</f>
        <v>[Nhãn] IDA Global - I - 2608 - ĐL ÚT MÍT - VUA DIỆT RẦY (Bột trắng ngà) - 100gr - 100</v>
      </c>
      <c r="E3252" s="87" t="str">
        <f>IFERROR(__xludf.DUMMYFUNCTION("""COMPUTED_VALUE"""),"KHONGRAY 54WP")</f>
        <v>KHONGRAY 54WP</v>
      </c>
      <c r="F3252" s="87" t="str">
        <f>IFERROR(__xludf.DUMMYFUNCTION("""COMPUTED_VALUE"""),"HH2608")</f>
        <v>HH2608</v>
      </c>
      <c r="G3252" s="87" t="str">
        <f>IFERROR(__xludf.DUMMYFUNCTION("""COMPUTED_VALUE"""),"IDA Global - I - 2608 - ĐL ÚT MÍT - VUA DIỆT RẦY (Bột trắng ngà) - 100gr - 100")</f>
        <v>IDA Global - I - 2608 - ĐL ÚT MÍT - VUA DIỆT RẦY (Bột trắng ngà) - 100gr - 100</v>
      </c>
    </row>
    <row r="3253">
      <c r="A3253" s="86">
        <f>IFERROR(__xludf.DUMMYFUNCTION("""COMPUTED_VALUE"""),3251.0)</f>
        <v>3251</v>
      </c>
      <c r="B3253" s="87" t="str">
        <f>IFERROR(__xludf.DUMMYFUNCTION("""COMPUTED_VALUE"""),"Nhãn thùng")</f>
        <v>Nhãn thùng</v>
      </c>
      <c r="C3253" s="87" t="str">
        <f>IFERROR(__xludf.DUMMYFUNCTION("""COMPUTED_VALUE"""),"NDT2608")</f>
        <v>NDT2608</v>
      </c>
      <c r="D3253" s="87" t="str">
        <f>IFERROR(__xludf.DUMMYFUNCTION("""COMPUTED_VALUE"""),"[Nhãn thùng] IDA Global - I - 2608 - ĐL ÚT MÍT - VUA DIỆT RẦY (Bột trắng ngà) - 100gr - 100")</f>
        <v>[Nhãn thùng] IDA Global - I - 2608 - ĐL ÚT MÍT - VUA DIỆT RẦY (Bột trắng ngà) - 100gr - 100</v>
      </c>
      <c r="E3253" s="87" t="str">
        <f>IFERROR(__xludf.DUMMYFUNCTION("""COMPUTED_VALUE"""),"KHONGRAY 54WP")</f>
        <v>KHONGRAY 54WP</v>
      </c>
      <c r="F3253" s="87" t="str">
        <f>IFERROR(__xludf.DUMMYFUNCTION("""COMPUTED_VALUE"""),"HH2608")</f>
        <v>HH2608</v>
      </c>
      <c r="G3253" s="87" t="str">
        <f>IFERROR(__xludf.DUMMYFUNCTION("""COMPUTED_VALUE"""),"IDA Global - I - 2608 - ĐL ÚT MÍT - VUA DIỆT RẦY (Bột trắng ngà) - 100gr - 100")</f>
        <v>IDA Global - I - 2608 - ĐL ÚT MÍT - VUA DIỆT RẦY (Bột trắng ngà) - 100gr - 100</v>
      </c>
    </row>
    <row r="3254">
      <c r="A3254" s="86">
        <f>IFERROR(__xludf.DUMMYFUNCTION("""COMPUTED_VALUE"""),3252.0)</f>
        <v>3252</v>
      </c>
      <c r="B3254" s="87" t="str">
        <f>IFERROR(__xludf.DUMMYFUNCTION("""COMPUTED_VALUE"""),"Nhãn")</f>
        <v>Nhãn</v>
      </c>
      <c r="C3254" s="87" t="str">
        <f>IFERROR(__xludf.DUMMYFUNCTION("""COMPUTED_VALUE"""),"NTN2609")</f>
        <v>NTN2609</v>
      </c>
      <c r="D3254" s="87" t="str">
        <f>IFERROR(__xludf.DUMMYFUNCTION("""COMPUTED_VALUE"""),"[Nhãn] GC - II - 2609 - AGC - LEDAN 4GR (Hạt Hồng Cam) - 1kg - 20")</f>
        <v>[Nhãn] GC - II - 2609 - AGC - LEDAN 4GR (Hạt Hồng Cam) - 1kg - 20</v>
      </c>
      <c r="E3254" s="87" t="str">
        <f>IFERROR(__xludf.DUMMYFUNCTION("""COMPUTED_VALUE"""),"LEDAN 4GR")</f>
        <v>LEDAN 4GR</v>
      </c>
      <c r="F3254" s="87" t="str">
        <f>IFERROR(__xludf.DUMMYFUNCTION("""COMPUTED_VALUE"""),"HH2609")</f>
        <v>HH2609</v>
      </c>
      <c r="G3254" s="87" t="str">
        <f>IFERROR(__xludf.DUMMYFUNCTION("""COMPUTED_VALUE"""),"GC - II - 2609 - AGC - LEDAN 4GR (Hạt Hồng Cam) - 1kg - 20")</f>
        <v>GC - II - 2609 - AGC - LEDAN 4GR (Hạt Hồng Cam) - 1kg - 20</v>
      </c>
    </row>
    <row r="3255">
      <c r="A3255" s="86">
        <f>IFERROR(__xludf.DUMMYFUNCTION("""COMPUTED_VALUE"""),3253.0)</f>
        <v>3253</v>
      </c>
      <c r="B3255" s="87" t="str">
        <f>IFERROR(__xludf.DUMMYFUNCTION("""COMPUTED_VALUE"""),"Nhãn thùng")</f>
        <v>Nhãn thùng</v>
      </c>
      <c r="C3255" s="87" t="str">
        <f>IFERROR(__xludf.DUMMYFUNCTION("""COMPUTED_VALUE"""),"NDT2609")</f>
        <v>NDT2609</v>
      </c>
      <c r="D3255" s="87" t="str">
        <f>IFERROR(__xludf.DUMMYFUNCTION("""COMPUTED_VALUE"""),"[Nhãn thùng] GC - II - 2609 - AGC - LEDAN 4GR (Hạt Hồng Cam) - 1kg - 20")</f>
        <v>[Nhãn thùng] GC - II - 2609 - AGC - LEDAN 4GR (Hạt Hồng Cam) - 1kg - 20</v>
      </c>
      <c r="E3255" s="87" t="str">
        <f>IFERROR(__xludf.DUMMYFUNCTION("""COMPUTED_VALUE"""),"LEDAN 4GR")</f>
        <v>LEDAN 4GR</v>
      </c>
      <c r="F3255" s="87" t="str">
        <f>IFERROR(__xludf.DUMMYFUNCTION("""COMPUTED_VALUE"""),"HH2609")</f>
        <v>HH2609</v>
      </c>
      <c r="G3255" s="87" t="str">
        <f>IFERROR(__xludf.DUMMYFUNCTION("""COMPUTED_VALUE"""),"GC - II - 2609 - AGC - LEDAN 4GR (Hạt Hồng Cam) - 1kg - 20")</f>
        <v>GC - II - 2609 - AGC - LEDAN 4GR (Hạt Hồng Cam) - 1kg - 20</v>
      </c>
    </row>
    <row r="3256">
      <c r="A3256" s="86">
        <f>IFERROR(__xludf.DUMMYFUNCTION("""COMPUTED_VALUE"""),3254.0)</f>
        <v>3254</v>
      </c>
      <c r="B3256" s="87" t="str">
        <f>IFERROR(__xludf.DUMMYFUNCTION("""COMPUTED_VALUE"""),"Nhãn")</f>
        <v>Nhãn</v>
      </c>
      <c r="C3256" s="87" t="str">
        <f>IFERROR(__xludf.DUMMYFUNCTION("""COMPUTED_VALUE"""),"NHG2610")</f>
        <v>NHG2610</v>
      </c>
      <c r="D3256" s="87" t="str">
        <f>IFERROR(__xludf.DUMMYFUNCTION("""COMPUTED_VALUE"""),"[Nhãn] GC - IV - 2610 - Agritech - AMECTIN 36 (Nước nâu đen) - 450ml - 40")</f>
        <v>[Nhãn] GC - IV - 2610 - Agritech - AMECTIN 36 (Nước nâu đen) - 450ml - 40</v>
      </c>
      <c r="E3256" s="87" t="str">
        <f>IFERROR(__xludf.DUMMYFUNCTION("""COMPUTED_VALUE"""),"Chitin 3.6EC")</f>
        <v>Chitin 3.6EC</v>
      </c>
      <c r="F3256" s="87" t="str">
        <f>IFERROR(__xludf.DUMMYFUNCTION("""COMPUTED_VALUE"""),"HH2610")</f>
        <v>HH2610</v>
      </c>
      <c r="G3256" s="87" t="str">
        <f>IFERROR(__xludf.DUMMYFUNCTION("""COMPUTED_VALUE"""),"GC - IV - 2610 - Agritech - AMECTIN 36 (Nước nâu đen) - 450ml - 40")</f>
        <v>GC - IV - 2610 - Agritech - AMECTIN 36 (Nước nâu đen) - 450ml - 40</v>
      </c>
    </row>
    <row r="3257">
      <c r="A3257" s="86">
        <f>IFERROR(__xludf.DUMMYFUNCTION("""COMPUTED_VALUE"""),3255.0)</f>
        <v>3255</v>
      </c>
      <c r="B3257" s="87" t="str">
        <f>IFERROR(__xludf.DUMMYFUNCTION("""COMPUTED_VALUE"""),"Nhãn")</f>
        <v>Nhãn</v>
      </c>
      <c r="C3257" s="87" t="str">
        <f>IFERROR(__xludf.DUMMYFUNCTION("""COMPUTED_VALUE"""),"NHG2611")</f>
        <v>NHG2611</v>
      </c>
      <c r="D3257" s="87" t="str">
        <f>IFERROR(__xludf.DUMMYFUNCTION("""COMPUTED_VALUE"""),"[Nhãn] GC - IV - 2611 - Agritech - Agritech Abamectin 36 (Nước nâu đen) - 450ml - 40")</f>
        <v>[Nhãn] GC - IV - 2611 - Agritech - Agritech Abamectin 36 (Nước nâu đen) - 450ml - 40</v>
      </c>
      <c r="E3257" s="87" t="str">
        <f>IFERROR(__xludf.DUMMYFUNCTION("""COMPUTED_VALUE"""),"Chitin 3.6EC")</f>
        <v>Chitin 3.6EC</v>
      </c>
      <c r="F3257" s="87" t="str">
        <f>IFERROR(__xludf.DUMMYFUNCTION("""COMPUTED_VALUE"""),"HH2611")</f>
        <v>HH2611</v>
      </c>
      <c r="G3257" s="87" t="str">
        <f>IFERROR(__xludf.DUMMYFUNCTION("""COMPUTED_VALUE"""),"GC - IV - 2611 - Agritech - Agritech Abamectin 36 (Nước nâu đen) - 450ml - 40")</f>
        <v>GC - IV - 2611 - Agritech - Agritech Abamectin 36 (Nước nâu đen) - 450ml - 40</v>
      </c>
    </row>
    <row r="3258">
      <c r="A3258" s="86">
        <f>IFERROR(__xludf.DUMMYFUNCTION("""COMPUTED_VALUE"""),3256.0)</f>
        <v>3256</v>
      </c>
      <c r="B3258" s="87" t="str">
        <f>IFERROR(__xludf.DUMMYFUNCTION("""COMPUTED_VALUE"""),"Nhãn")</f>
        <v>Nhãn</v>
      </c>
      <c r="C3258" s="87" t="str">
        <f>IFERROR(__xludf.DUMMYFUNCTION("""COMPUTED_VALUE"""),"NTN2612")</f>
        <v>NTN2612</v>
      </c>
      <c r="D3258" s="87" t="str">
        <f>IFERROR(__xludf.DUMMYFUNCTION("""COMPUTED_VALUE"""),"[Nhãn] GC - IV - 2612 - NEWTECH CROP SCIENCE - KHONGRAY 54WP (Bột trắng ngà) - 100gr - 100")</f>
        <v>[Nhãn] GC - IV - 2612 - NEWTECH CROP SCIENCE - KHONGRAY 54WP (Bột trắng ngà) - 100gr - 100</v>
      </c>
      <c r="E3258" s="87" t="str">
        <f>IFERROR(__xludf.DUMMYFUNCTION("""COMPUTED_VALUE"""),"KHONGRAY 54WP")</f>
        <v>KHONGRAY 54WP</v>
      </c>
      <c r="F3258" s="87" t="str">
        <f>IFERROR(__xludf.DUMMYFUNCTION("""COMPUTED_VALUE"""),"HH2612")</f>
        <v>HH2612</v>
      </c>
      <c r="G3258" s="87" t="str">
        <f>IFERROR(__xludf.DUMMYFUNCTION("""COMPUTED_VALUE"""),"GC - IV - 2612 - NEWTECH CROP SCIENCE - KHONGRAY 54WP (Bột trắng ngà) - 100gr - 100")</f>
        <v>GC - IV - 2612 - NEWTECH CROP SCIENCE - KHONGRAY 54WP (Bột trắng ngà) - 100gr - 100</v>
      </c>
    </row>
    <row r="3259">
      <c r="A3259" s="86">
        <f>IFERROR(__xludf.DUMMYFUNCTION("""COMPUTED_VALUE"""),3257.0)</f>
        <v>3257</v>
      </c>
      <c r="B3259" s="87" t="str">
        <f>IFERROR(__xludf.DUMMYFUNCTION("""COMPUTED_VALUE"""),"Nhãn thùng")</f>
        <v>Nhãn thùng</v>
      </c>
      <c r="C3259" s="87" t="str">
        <f>IFERROR(__xludf.DUMMYFUNCTION("""COMPUTED_VALUE"""),"NDT2612")</f>
        <v>NDT2612</v>
      </c>
      <c r="D3259" s="87" t="str">
        <f>IFERROR(__xludf.DUMMYFUNCTION("""COMPUTED_VALUE"""),"[Nhãn thùng] GC - IV - 2612 - NEWTECH CROP SCIENCE - KHONGRAY 54WP (Bột trắng ngà) - 100gr - 100")</f>
        <v>[Nhãn thùng] GC - IV - 2612 - NEWTECH CROP SCIENCE - KHONGRAY 54WP (Bột trắng ngà) - 100gr - 100</v>
      </c>
      <c r="E3259" s="87" t="str">
        <f>IFERROR(__xludf.DUMMYFUNCTION("""COMPUTED_VALUE"""),"KHONGRAY 54WP")</f>
        <v>KHONGRAY 54WP</v>
      </c>
      <c r="F3259" s="87" t="str">
        <f>IFERROR(__xludf.DUMMYFUNCTION("""COMPUTED_VALUE"""),"HH2612")</f>
        <v>HH2612</v>
      </c>
      <c r="G3259" s="87" t="str">
        <f>IFERROR(__xludf.DUMMYFUNCTION("""COMPUTED_VALUE"""),"GC - IV - 2612 - NEWTECH CROP SCIENCE - KHONGRAY 54WP (Bột trắng ngà) - 100gr - 100")</f>
        <v>GC - IV - 2612 - NEWTECH CROP SCIENCE - KHONGRAY 54WP (Bột trắng ngà) - 100gr - 100</v>
      </c>
    </row>
    <row r="3260">
      <c r="A3260" s="86">
        <f>IFERROR(__xludf.DUMMYFUNCTION("""COMPUTED_VALUE"""),3258.0)</f>
        <v>3258</v>
      </c>
      <c r="B3260" s="87" t="str">
        <f>IFERROR(__xludf.DUMMYFUNCTION("""COMPUTED_VALUE"""),"Nhãn")</f>
        <v>Nhãn</v>
      </c>
      <c r="C3260" s="87" t="str">
        <f>IFERROR(__xludf.DUMMYFUNCTION("""COMPUTED_VALUE"""),"NHD2613")</f>
        <v>NHD2613</v>
      </c>
      <c r="D3260" s="87" t="str">
        <f>IFERROR(__xludf.DUMMYFUNCTION("""COMPUTED_VALUE"""),"[Nhãn] GC - IV -  2613 - Agritech - Creek 2.1EC (Pet vuông)(nắp trắng)(nước đỏ) - 400ml - 40")</f>
        <v>[Nhãn] GC - IV -  2613 - Agritech - Creek 2.1EC (Pet vuông)(nắp trắng)(nước đỏ) - 400ml - 40</v>
      </c>
      <c r="E3260" s="87" t="str">
        <f>IFERROR(__xludf.DUMMYFUNCTION("""COMPUTED_VALUE"""),"CREEK 2.1EC")</f>
        <v>CREEK 2.1EC</v>
      </c>
      <c r="F3260" s="87" t="str">
        <f>IFERROR(__xludf.DUMMYFUNCTION("""COMPUTED_VALUE"""),"HH2613")</f>
        <v>HH2613</v>
      </c>
      <c r="G3260" s="87" t="str">
        <f>IFERROR(__xludf.DUMMYFUNCTION("""COMPUTED_VALUE"""),"GC - IV -  2613 - Agritech - Creek 2.1EC (Pet vuông)(nắp trắng)(nước đỏ) - 400ml - 40")</f>
        <v>GC - IV -  2613 - Agritech - Creek 2.1EC (Pet vuông)(nắp trắng)(nước đỏ) - 400ml - 40</v>
      </c>
    </row>
    <row r="3261">
      <c r="A3261" s="86">
        <f>IFERROR(__xludf.DUMMYFUNCTION("""COMPUTED_VALUE"""),3259.0)</f>
        <v>3259</v>
      </c>
      <c r="B3261" s="87" t="str">
        <f>IFERROR(__xludf.DUMMYFUNCTION("""COMPUTED_VALUE"""),"Nhãn")</f>
        <v>Nhãn</v>
      </c>
      <c r="C3261" s="87" t="str">
        <f>IFERROR(__xludf.DUMMYFUNCTION("""COMPUTED_VALUE"""),"NDT2613")</f>
        <v>NDT2613</v>
      </c>
      <c r="D3261" s="87" t="str">
        <f>IFERROR(__xludf.DUMMYFUNCTION("""COMPUTED_VALUE"""),"[Nhãn thùng] GC - IV -  2613 - Agritech - Creek 2.1EC (Pet vuông)(nắp trắng)(nước đỏ) - 400ml - 40")</f>
        <v>[Nhãn thùng] GC - IV -  2613 - Agritech - Creek 2.1EC (Pet vuông)(nắp trắng)(nước đỏ) - 400ml - 40</v>
      </c>
      <c r="E3261" s="87" t="str">
        <f>IFERROR(__xludf.DUMMYFUNCTION("""COMPUTED_VALUE"""),"CREEK 2.1EC")</f>
        <v>CREEK 2.1EC</v>
      </c>
      <c r="F3261" s="87" t="str">
        <f>IFERROR(__xludf.DUMMYFUNCTION("""COMPUTED_VALUE"""),"HH2613")</f>
        <v>HH2613</v>
      </c>
      <c r="G3261" s="87" t="str">
        <f>IFERROR(__xludf.DUMMYFUNCTION("""COMPUTED_VALUE"""),"GC - IV -  2613 - Agritech - Creek 2.1EC (Pet vuông)(nắp trắng)(nước đỏ) - 400ml - 40")</f>
        <v>GC - IV -  2613 - Agritech - Creek 2.1EC (Pet vuông)(nắp trắng)(nước đỏ) - 400ml - 40</v>
      </c>
    </row>
    <row r="3262">
      <c r="A3262" s="86">
        <f>IFERROR(__xludf.DUMMYFUNCTION("""COMPUTED_VALUE"""),3260.0)</f>
        <v>3260</v>
      </c>
      <c r="B3262" s="87" t="str">
        <f>IFERROR(__xludf.DUMMYFUNCTION("""COMPUTED_VALUE"""),"Nhãn")</f>
        <v>Nhãn</v>
      </c>
      <c r="C3262" s="87" t="str">
        <f>IFERROR(__xludf.DUMMYFUNCTION("""COMPUTED_VALUE"""),"NHD2613")</f>
        <v>NHD2613</v>
      </c>
      <c r="D3262" s="87" t="str">
        <f>IFERROR(__xludf.DUMMYFUNCTION("""COMPUTED_VALUE"""),"[Nhãn] GC - IV -  2613 - Agritech - Creek 2.1EC (Pet vuông)(nắp trắng)(nước đỏ) - 400ml - 40")</f>
        <v>[Nhãn] GC - IV -  2613 - Agritech - Creek 2.1EC (Pet vuông)(nắp trắng)(nước đỏ) - 400ml - 40</v>
      </c>
      <c r="E3262" s="87" t="str">
        <f>IFERROR(__xludf.DUMMYFUNCTION("""COMPUTED_VALUE"""),"CREEK 2.1EC")</f>
        <v>CREEK 2.1EC</v>
      </c>
      <c r="F3262" s="87" t="str">
        <f>IFERROR(__xludf.DUMMYFUNCTION("""COMPUTED_VALUE"""),"HH2613")</f>
        <v>HH2613</v>
      </c>
      <c r="G3262" s="87" t="str">
        <f>IFERROR(__xludf.DUMMYFUNCTION("""COMPUTED_VALUE"""),"GC - IV -  2613 - Agritech - Creek 2.1EC (Pet vuông)(nắp trắng)(nước đỏ) - 400ml - 40")</f>
        <v>GC - IV -  2613 - Agritech - Creek 2.1EC (Pet vuông)(nắp trắng)(nước đỏ) - 400ml - 40</v>
      </c>
    </row>
    <row r="3263">
      <c r="A3263" s="86">
        <f>IFERROR(__xludf.DUMMYFUNCTION("""COMPUTED_VALUE"""),3261.0)</f>
        <v>3261</v>
      </c>
      <c r="B3263" s="87" t="str">
        <f>IFERROR(__xludf.DUMMYFUNCTION("""COMPUTED_VALUE"""),"Nhãn")</f>
        <v>Nhãn</v>
      </c>
      <c r="C3263" s="87" t="str">
        <f>IFERROR(__xludf.DUMMYFUNCTION("""COMPUTED_VALUE"""),"NTN2614")</f>
        <v>NTN2614</v>
      </c>
      <c r="D3263" s="87" t="str">
        <f>IFERROR(__xludf.DUMMYFUNCTION("""COMPUTED_VALUE"""),"[Nhãn] GC - IV - 2614 - Agritech (Anh Trương) - MANCO XANH (bột xanh) - 1kg - 20")</f>
        <v>[Nhãn] GC - IV - 2614 - Agritech (Anh Trương) - MANCO XANH (bột xanh) - 1kg - 20</v>
      </c>
      <c r="E3263" s="87" t="str">
        <f>IFERROR(__xludf.DUMMYFUNCTION("""COMPUTED_VALUE"""),"MANCOBGO 80WP")</f>
        <v>MANCOBGO 80WP</v>
      </c>
      <c r="F3263" s="87" t="str">
        <f>IFERROR(__xludf.DUMMYFUNCTION("""COMPUTED_VALUE"""),"HH2614")</f>
        <v>HH2614</v>
      </c>
      <c r="G3263" s="87" t="str">
        <f>IFERROR(__xludf.DUMMYFUNCTION("""COMPUTED_VALUE"""),"GC - IV - 2614 - Agritech (Anh Trương) - MANCO XANH (bột xanh) - 1kg - 20")</f>
        <v>GC - IV - 2614 - Agritech (Anh Trương) - MANCO XANH (bột xanh) - 1kg - 20</v>
      </c>
    </row>
    <row r="3264">
      <c r="A3264" s="86">
        <f>IFERROR(__xludf.DUMMYFUNCTION("""COMPUTED_VALUE"""),3262.0)</f>
        <v>3262</v>
      </c>
      <c r="B3264" s="87" t="str">
        <f>IFERROR(__xludf.DUMMYFUNCTION("""COMPUTED_VALUE"""),"Nhãn thùng")</f>
        <v>Nhãn thùng</v>
      </c>
      <c r="C3264" s="87" t="str">
        <f>IFERROR(__xludf.DUMMYFUNCTION("""COMPUTED_VALUE"""),"NDT2614")</f>
        <v>NDT2614</v>
      </c>
      <c r="D3264" s="87" t="str">
        <f>IFERROR(__xludf.DUMMYFUNCTION("""COMPUTED_VALUE"""),"[Nhãn thùng] GC - IV - 2614 - Agritech (Anh Trương) - MANCO XANH (bột xanh) - 1kg - 20")</f>
        <v>[Nhãn thùng] GC - IV - 2614 - Agritech (Anh Trương) - MANCO XANH (bột xanh) - 1kg - 20</v>
      </c>
      <c r="E3264" s="87" t="str">
        <f>IFERROR(__xludf.DUMMYFUNCTION("""COMPUTED_VALUE"""),"MANCOBGO 80WP")</f>
        <v>MANCOBGO 80WP</v>
      </c>
      <c r="F3264" s="87" t="str">
        <f>IFERROR(__xludf.DUMMYFUNCTION("""COMPUTED_VALUE"""),"HH2614")</f>
        <v>HH2614</v>
      </c>
      <c r="G3264" s="87" t="str">
        <f>IFERROR(__xludf.DUMMYFUNCTION("""COMPUTED_VALUE"""),"GC - IV - 2614 - Agritech (Anh Trương) - MANCO XANH (bột xanh) - 1kg - 20")</f>
        <v>GC - IV - 2614 - Agritech (Anh Trương) - MANCO XANH (bột xanh) - 1kg - 20</v>
      </c>
    </row>
    <row r="3265">
      <c r="A3265" s="86">
        <f>IFERROR(__xludf.DUMMYFUNCTION("""COMPUTED_VALUE"""),3263.0)</f>
        <v>3263</v>
      </c>
      <c r="B3265" s="87" t="str">
        <f>IFERROR(__xludf.DUMMYFUNCTION("""COMPUTED_VALUE"""),"Nhãn")</f>
        <v>Nhãn</v>
      </c>
      <c r="C3265" s="87" t="str">
        <f>IFERROR(__xludf.DUMMYFUNCTION("""COMPUTED_VALUE"""),"NTN2615")</f>
        <v>NTN2615</v>
      </c>
      <c r="D3265" s="87" t="str">
        <f>IFERROR(__xludf.DUMMYFUNCTION("""COMPUTED_VALUE"""),"[Nhãn] GC - IV - 2615 - Cty Agritech Hà Lan - MANCOBGO 80WP (bột xanh) - 1kg - 20")</f>
        <v>[Nhãn] GC - IV - 2615 - Cty Agritech Hà Lan - MANCOBGO 80WP (bột xanh) - 1kg - 20</v>
      </c>
      <c r="E3265" s="87" t="str">
        <f>IFERROR(__xludf.DUMMYFUNCTION("""COMPUTED_VALUE"""),"MANCOBGO 80WP")</f>
        <v>MANCOBGO 80WP</v>
      </c>
      <c r="F3265" s="87" t="str">
        <f>IFERROR(__xludf.DUMMYFUNCTION("""COMPUTED_VALUE"""),"HH2615")</f>
        <v>HH2615</v>
      </c>
      <c r="G3265" s="87" t="str">
        <f>IFERROR(__xludf.DUMMYFUNCTION("""COMPUTED_VALUE"""),"GC - IV - 2615 - Cty Agritech Hà Lan - MANCOBGO 80WP (bột xanh) - 1kg - 20")</f>
        <v>GC - IV - 2615 - Cty Agritech Hà Lan - MANCOBGO 80WP (bột xanh) - 1kg - 20</v>
      </c>
    </row>
    <row r="3266">
      <c r="A3266" s="86">
        <f>IFERROR(__xludf.DUMMYFUNCTION("""COMPUTED_VALUE"""),3264.0)</f>
        <v>3264</v>
      </c>
      <c r="B3266" s="87" t="str">
        <f>IFERROR(__xludf.DUMMYFUNCTION("""COMPUTED_VALUE"""),"Nhãn thùng")</f>
        <v>Nhãn thùng</v>
      </c>
      <c r="C3266" s="87" t="str">
        <f>IFERROR(__xludf.DUMMYFUNCTION("""COMPUTED_VALUE"""),"NDT2615")</f>
        <v>NDT2615</v>
      </c>
      <c r="D3266" s="87" t="str">
        <f>IFERROR(__xludf.DUMMYFUNCTION("""COMPUTED_VALUE"""),"[Nhãn thùng] GC - IV - 2615 - Cty Agritech Hà Lan - MANCOBGO 80WP (bột xanh) - 1kg - 20")</f>
        <v>[Nhãn thùng] GC - IV - 2615 - Cty Agritech Hà Lan - MANCOBGO 80WP (bột xanh) - 1kg - 20</v>
      </c>
      <c r="E3266" s="87" t="str">
        <f>IFERROR(__xludf.DUMMYFUNCTION("""COMPUTED_VALUE"""),"MANCOBGO 80WP")</f>
        <v>MANCOBGO 80WP</v>
      </c>
      <c r="F3266" s="87" t="str">
        <f>IFERROR(__xludf.DUMMYFUNCTION("""COMPUTED_VALUE"""),"HH2615")</f>
        <v>HH2615</v>
      </c>
      <c r="G3266" s="87" t="str">
        <f>IFERROR(__xludf.DUMMYFUNCTION("""COMPUTED_VALUE"""),"GC - IV - 2615 - Cty Agritech Hà Lan - MANCOBGO 80WP (bột xanh) - 1kg - 20")</f>
        <v>GC - IV - 2615 - Cty Agritech Hà Lan - MANCOBGO 80WP (bột xanh) - 1kg - 20</v>
      </c>
    </row>
    <row r="3267">
      <c r="A3267" s="86">
        <f>IFERROR(__xludf.DUMMYFUNCTION("""COMPUTED_VALUE"""),3265.0)</f>
        <v>3265</v>
      </c>
      <c r="B3267" s="87" t="str">
        <f>IFERROR(__xludf.DUMMYFUNCTION("""COMPUTED_VALUE"""),"Nhãn")</f>
        <v>Nhãn</v>
      </c>
      <c r="C3267" s="87" t="str">
        <f>IFERROR(__xludf.DUMMYFUNCTION("""COMPUTED_VALUE"""),"NHG2617")</f>
        <v>NHG2617</v>
      </c>
      <c r="D3267" s="87" t="str">
        <f>IFERROR(__xludf.DUMMYFUNCTION("""COMPUTED_VALUE"""),"[Nhãn] GC - IV - 2617 - HÓA NÔNG SHINO - CỨNG CÂY K40 (Nước nâu đen) - 500ml - 30")</f>
        <v>[Nhãn] GC - IV - 2617 - HÓA NÔNG SHINO - CỨNG CÂY K40 (Nước nâu đen) - 500ml - 30</v>
      </c>
      <c r="E3267" s="87" t="str">
        <f>IFERROR(__xludf.DUMMYFUNCTION("""COMPUTED_VALUE"""),"Hữu cơ SH Agro Organic Fertilizer 20")</f>
        <v>Hữu cơ SH Agro Organic Fertilizer 20</v>
      </c>
      <c r="F3267" s="87" t="str">
        <f>IFERROR(__xludf.DUMMYFUNCTION("""COMPUTED_VALUE"""),"HH2617")</f>
        <v>HH2617</v>
      </c>
      <c r="G3267" s="87" t="str">
        <f>IFERROR(__xludf.DUMMYFUNCTION("""COMPUTED_VALUE"""),"GC - IV - 2617 - Cty Hóa Nông Shino - CỨNG CÂY K40 (Nước nâu đen) - 500ml - 30")</f>
        <v>GC - IV - 2617 - Cty Hóa Nông Shino - CỨNG CÂY K40 (Nước nâu đen) - 500ml - 30</v>
      </c>
    </row>
    <row r="3268">
      <c r="A3268" s="86">
        <f>IFERROR(__xludf.DUMMYFUNCTION("""COMPUTED_VALUE"""),3266.0)</f>
        <v>3266</v>
      </c>
      <c r="B3268" s="87" t="str">
        <f>IFERROR(__xludf.DUMMYFUNCTION("""COMPUTED_VALUE"""),"Nhãn")</f>
        <v>Nhãn</v>
      </c>
      <c r="C3268" s="87" t="str">
        <f>IFERROR(__xludf.DUMMYFUNCTION("""COMPUTED_VALUE"""),"NHG2618")</f>
        <v>NHG2618</v>
      </c>
      <c r="D3268" s="87" t="str">
        <f>IFERROR(__xludf.DUMMYFUNCTION("""COMPUTED_VALUE"""),"[Nhãn] GC - II - 2618 - A Mạnh - Vua diệt nhện 7.2 (nước tím) - 240ml - 60")</f>
        <v>[Nhãn] GC - II - 2618 - A Mạnh - Vua diệt nhện 7.2 (nước tím) - 240ml - 60</v>
      </c>
      <c r="E3268" s="87" t="str">
        <f>IFERROR(__xludf.DUMMYFUNCTION("""COMPUTED_VALUE"""),"HAIHAMEC 3.6EC")</f>
        <v>HAIHAMEC 3.6EC</v>
      </c>
      <c r="F3268" s="87" t="str">
        <f>IFERROR(__xludf.DUMMYFUNCTION("""COMPUTED_VALUE"""),"HH2618")</f>
        <v>HH2618</v>
      </c>
      <c r="G3268" s="87" t="str">
        <f>IFERROR(__xludf.DUMMYFUNCTION("""COMPUTED_VALUE"""),"GC - II - 2618 - A Mạnh - Vua diệt nhện 7.2 (nước tím) - 240ml - 60")</f>
        <v>GC - II - 2618 - A Mạnh - Vua diệt nhện 7.2 (nước tím) - 240ml - 60</v>
      </c>
    </row>
    <row r="3269">
      <c r="A3269" s="86">
        <f>IFERROR(__xludf.DUMMYFUNCTION("""COMPUTED_VALUE"""),3267.0)</f>
        <v>3267</v>
      </c>
      <c r="B3269" s="87" t="str">
        <f>IFERROR(__xludf.DUMMYFUNCTION("""COMPUTED_VALUE"""),"Nhãn")</f>
        <v>Nhãn</v>
      </c>
      <c r="C3269" s="87" t="str">
        <f>IFERROR(__xludf.DUMMYFUNCTION("""COMPUTED_VALUE"""),"NHD2619")</f>
        <v>NHD2619</v>
      </c>
      <c r="D3269" s="87" t="str">
        <f>IFERROR(__xludf.DUMMYFUNCTION("""COMPUTED_VALUE"""),"[Nhãn] GC - IV - 2619 - CTY NÔNG HÓA XANH - KILLSSAU (Nước trong) - 450ml - 40")</f>
        <v>[Nhãn] GC - IV - 2619 - CTY NÔNG HÓA XANH - KILLSSAU (Nước trong) - 450ml - 40</v>
      </c>
      <c r="E3269" s="87" t="str">
        <f>IFERROR(__xludf.DUMMYFUNCTION("""COMPUTED_VALUE"""),"HAIHAMEC 3.6EC")</f>
        <v>HAIHAMEC 3.6EC</v>
      </c>
      <c r="F3269" s="87" t="str">
        <f>IFERROR(__xludf.DUMMYFUNCTION("""COMPUTED_VALUE"""),"HH2619")</f>
        <v>HH2619</v>
      </c>
      <c r="G3269" s="87" t="str">
        <f>IFERROR(__xludf.DUMMYFUNCTION("""COMPUTED_VALUE"""),"GC - IV - 2619 - CTY NÔNG HÓA XANH - KILLSSAU (Nước trong) - 450ml - 40")</f>
        <v>GC - IV - 2619 - CTY NÔNG HÓA XANH - KILLSSAU (Nước trong) - 450ml - 40</v>
      </c>
    </row>
    <row r="3270">
      <c r="A3270" s="86">
        <f>IFERROR(__xludf.DUMMYFUNCTION("""COMPUTED_VALUE"""),3268.0)</f>
        <v>3268</v>
      </c>
      <c r="B3270" s="87" t="str">
        <f>IFERROR(__xludf.DUMMYFUNCTION("""COMPUTED_VALUE"""),"Nhãn thùng")</f>
        <v>Nhãn thùng</v>
      </c>
      <c r="C3270" s="87" t="str">
        <f>IFERROR(__xludf.DUMMYFUNCTION("""COMPUTED_VALUE"""),"NDT2619")</f>
        <v>NDT2619</v>
      </c>
      <c r="D3270" s="87" t="str">
        <f>IFERROR(__xludf.DUMMYFUNCTION("""COMPUTED_VALUE"""),"[Nhãn thùng] GC - IV - 2619 - CTY NÔNG HÓA XANH - KILLSSAU (Nước trong) - 450ml - 40")</f>
        <v>[Nhãn thùng] GC - IV - 2619 - CTY NÔNG HÓA XANH - KILLSSAU (Nước trong) - 450ml - 40</v>
      </c>
      <c r="E3270" s="87" t="str">
        <f>IFERROR(__xludf.DUMMYFUNCTION("""COMPUTED_VALUE"""),"HAIHAMEC 3.6EC")</f>
        <v>HAIHAMEC 3.6EC</v>
      </c>
      <c r="F3270" s="87" t="str">
        <f>IFERROR(__xludf.DUMMYFUNCTION("""COMPUTED_VALUE"""),"HH2619")</f>
        <v>HH2619</v>
      </c>
      <c r="G3270" s="87" t="str">
        <f>IFERROR(__xludf.DUMMYFUNCTION("""COMPUTED_VALUE"""),"GC - IV - 2619 - CTY NÔNG HÓA XANH - KILLSSAU (Nước trong) - 450ml - 40")</f>
        <v>GC - IV - 2619 - CTY NÔNG HÓA XANH - KILLSSAU (Nước trong) - 450ml - 40</v>
      </c>
    </row>
    <row r="3271">
      <c r="A3271" s="86">
        <f>IFERROR(__xludf.DUMMYFUNCTION("""COMPUTED_VALUE"""),3269.0)</f>
        <v>3269</v>
      </c>
      <c r="B3271" s="87" t="str">
        <f>IFERROR(__xludf.DUMMYFUNCTION("""COMPUTED_VALUE"""),"Nhãn")</f>
        <v>Nhãn</v>
      </c>
      <c r="C3271" s="87" t="str">
        <f>IFERROR(__xludf.DUMMYFUNCTION("""COMPUTED_VALUE"""),"NHD2621")</f>
        <v>NHD2621</v>
      </c>
      <c r="D3271" s="87" t="str">
        <f>IFERROR(__xludf.DUMMYFUNCTION("""COMPUTED_VALUE"""),"[Nhãn] GC - IV - 2621 - Cty TNHH NK Australia - Haihamec 3.6EC (nước nâu đen) - 450ml - 40")</f>
        <v>[Nhãn] GC - IV - 2621 - Cty TNHH NK Australia - Haihamec 3.6EC (nước nâu đen) - 450ml - 40</v>
      </c>
      <c r="E3271" s="87" t="str">
        <f>IFERROR(__xludf.DUMMYFUNCTION("""COMPUTED_VALUE"""),"HAIHAMEC 3.6EC")</f>
        <v>HAIHAMEC 3.6EC</v>
      </c>
      <c r="F3271" s="87" t="str">
        <f>IFERROR(__xludf.DUMMYFUNCTION("""COMPUTED_VALUE"""),"HH2621")</f>
        <v>HH2621</v>
      </c>
      <c r="G3271" s="87" t="str">
        <f>IFERROR(__xludf.DUMMYFUNCTION("""COMPUTED_VALUE"""),"GC - IV - 2621 - Cty TNHH NK Australia - Haihamec 3.6EC (nước nâu đen) - 450ml - 40")</f>
        <v>GC - IV - 2621 - Cty TNHH NK Australia - Haihamec 3.6EC (nước nâu đen) - 450ml - 40</v>
      </c>
    </row>
    <row r="3272">
      <c r="A3272" s="86">
        <f>IFERROR(__xludf.DUMMYFUNCTION("""COMPUTED_VALUE"""),3270.0)</f>
        <v>3270</v>
      </c>
      <c r="B3272" s="87" t="str">
        <f>IFERROR(__xludf.DUMMYFUNCTION("""COMPUTED_VALUE"""),"Nhãn thùng")</f>
        <v>Nhãn thùng</v>
      </c>
      <c r="C3272" s="87" t="str">
        <f>IFERROR(__xludf.DUMMYFUNCTION("""COMPUTED_VALUE"""),"NDT2621")</f>
        <v>NDT2621</v>
      </c>
      <c r="D3272" s="87" t="str">
        <f>IFERROR(__xludf.DUMMYFUNCTION("""COMPUTED_VALUE"""),"[Nhãn thùng] GC - IV - 2621 - Cty TNHH NK Australia - Haihamec 3.6EC (nước nâu đen) - 450ml - 40")</f>
        <v>[Nhãn thùng] GC - IV - 2621 - Cty TNHH NK Australia - Haihamec 3.6EC (nước nâu đen) - 450ml - 40</v>
      </c>
      <c r="E3272" s="87" t="str">
        <f>IFERROR(__xludf.DUMMYFUNCTION("""COMPUTED_VALUE"""),"HAIHAMEC 3.6EC")</f>
        <v>HAIHAMEC 3.6EC</v>
      </c>
      <c r="F3272" s="87" t="str">
        <f>IFERROR(__xludf.DUMMYFUNCTION("""COMPUTED_VALUE"""),"HH2621")</f>
        <v>HH2621</v>
      </c>
      <c r="G3272" s="87" t="str">
        <f>IFERROR(__xludf.DUMMYFUNCTION("""COMPUTED_VALUE"""),"GC - IV - 2621 - Cty TNHH NK Australia - Haihamec 3.6EC (nước nâu đen) - 450ml - 40")</f>
        <v>GC - IV - 2621 - Cty TNHH NK Australia - Haihamec 3.6EC (nước nâu đen) - 450ml - 40</v>
      </c>
    </row>
    <row r="3273">
      <c r="A3273" s="86">
        <f>IFERROR(__xludf.DUMMYFUNCTION("""COMPUTED_VALUE"""),3271.0)</f>
        <v>3271</v>
      </c>
      <c r="B3273" s="87" t="str">
        <f>IFERROR(__xludf.DUMMYFUNCTION("""COMPUTED_VALUE"""),"Nhãn")</f>
        <v>Nhãn</v>
      </c>
      <c r="C3273" s="87" t="str">
        <f>IFERROR(__xludf.DUMMYFUNCTION("""COMPUTED_VALUE"""),"NTN2622")</f>
        <v>NTN2622</v>
      </c>
      <c r="D3273" s="87" t="str">
        <f>IFERROR(__xludf.DUMMYFUNCTION("""COMPUTED_VALUE"""),"[Nhãn] GC - IV - 2622 - Cty GNH (A.Thời) - Manco Green (Bột xanh) - 1kg - 20")</f>
        <v>[Nhãn] GC - IV - 2622 - Cty GNH (A.Thời) - Manco Green (Bột xanh) - 1kg - 20</v>
      </c>
      <c r="E3273" s="87" t="str">
        <f>IFERROR(__xludf.DUMMYFUNCTION("""COMPUTED_VALUE"""),"MANCOBGO 80WP")</f>
        <v>MANCOBGO 80WP</v>
      </c>
      <c r="F3273" s="87" t="str">
        <f>IFERROR(__xludf.DUMMYFUNCTION("""COMPUTED_VALUE"""),"HH2622")</f>
        <v>HH2622</v>
      </c>
      <c r="G3273" s="87" t="str">
        <f>IFERROR(__xludf.DUMMYFUNCTION("""COMPUTED_VALUE"""),"GC - IV - 2622 - Cty GNH (A.Thời) - Manco Green (Bột xanh) - 1kg - 20")</f>
        <v>GC - IV - 2622 - Cty GNH (A.Thời) - Manco Green (Bột xanh) - 1kg - 20</v>
      </c>
    </row>
    <row r="3274">
      <c r="A3274" s="86">
        <f>IFERROR(__xludf.DUMMYFUNCTION("""COMPUTED_VALUE"""),3272.0)</f>
        <v>3272</v>
      </c>
      <c r="B3274" s="87" t="str">
        <f>IFERROR(__xludf.DUMMYFUNCTION("""COMPUTED_VALUE"""),"Nhãn thùng")</f>
        <v>Nhãn thùng</v>
      </c>
      <c r="C3274" s="87" t="str">
        <f>IFERROR(__xludf.DUMMYFUNCTION("""COMPUTED_VALUE"""),"NDT2622")</f>
        <v>NDT2622</v>
      </c>
      <c r="D3274" s="87" t="str">
        <f>IFERROR(__xludf.DUMMYFUNCTION("""COMPUTED_VALUE"""),"[Nhãn thùng] GC - IV - 2622 - Cty GNH (A.Thời) - Manco Green (Bột xanh) - 1kg - 20")</f>
        <v>[Nhãn thùng] GC - IV - 2622 - Cty GNH (A.Thời) - Manco Green (Bột xanh) - 1kg - 20</v>
      </c>
      <c r="E3274" s="87" t="str">
        <f>IFERROR(__xludf.DUMMYFUNCTION("""COMPUTED_VALUE"""),"MANCOBGO 80WP")</f>
        <v>MANCOBGO 80WP</v>
      </c>
      <c r="F3274" s="87" t="str">
        <f>IFERROR(__xludf.DUMMYFUNCTION("""COMPUTED_VALUE"""),"HH2622")</f>
        <v>HH2622</v>
      </c>
      <c r="G3274" s="87" t="str">
        <f>IFERROR(__xludf.DUMMYFUNCTION("""COMPUTED_VALUE"""),"GC - IV - 2622 - Cty GNH (A.Thời) - Manco Green (Bột xanh) - 1kg - 20")</f>
        <v>GC - IV - 2622 - Cty GNH (A.Thời) - Manco Green (Bột xanh) - 1kg - 20</v>
      </c>
    </row>
    <row r="3275">
      <c r="A3275" s="86">
        <f>IFERROR(__xludf.DUMMYFUNCTION("""COMPUTED_VALUE"""),3273.0)</f>
        <v>3273</v>
      </c>
      <c r="B3275" s="87" t="str">
        <f>IFERROR(__xludf.DUMMYFUNCTION("""COMPUTED_VALUE"""),"Nhãn")</f>
        <v>Nhãn</v>
      </c>
      <c r="C3275" s="87" t="str">
        <f>IFERROR(__xludf.DUMMYFUNCTION("""COMPUTED_VALUE"""),"NHG2623")</f>
        <v>NHG2623</v>
      </c>
      <c r="D3275" s="87" t="str">
        <f>IFERROR(__xludf.DUMMYFUNCTION("""COMPUTED_VALUE"""),"[Nhãn] GC - IV - 2623 - Agritech (Anh Trương) - CITTIZEN 333SC (Nước cam) - 450ml - 40")</f>
        <v>[Nhãn] GC - IV - 2623 - Agritech (Anh Trương) - CITTIZEN 333SC (Nước cam) - 450ml - 40</v>
      </c>
      <c r="E3275" s="87" t="str">
        <f>IFERROR(__xludf.DUMMYFUNCTION("""COMPUTED_VALUE"""),"CITTIZEN 333SC")</f>
        <v>CITTIZEN 333SC</v>
      </c>
      <c r="F3275" s="87" t="str">
        <f>IFERROR(__xludf.DUMMYFUNCTION("""COMPUTED_VALUE"""),"HH2623")</f>
        <v>HH2623</v>
      </c>
      <c r="G3275" s="87" t="str">
        <f>IFERROR(__xludf.DUMMYFUNCTION("""COMPUTED_VALUE"""),"GC - IV - 2623 - Agritech (Anh Trương) - CITTIZEN 333SC (Nước cam) - 450ml - 40")</f>
        <v>GC - IV - 2623 - Agritech (Anh Trương) - CITTIZEN 333SC (Nước cam) - 450ml - 40</v>
      </c>
    </row>
    <row r="3276">
      <c r="A3276" s="86">
        <f>IFERROR(__xludf.DUMMYFUNCTION("""COMPUTED_VALUE"""),3274.0)</f>
        <v>3274</v>
      </c>
      <c r="B3276" s="87" t="str">
        <f>IFERROR(__xludf.DUMMYFUNCTION("""COMPUTED_VALUE"""),"Nhãn")</f>
        <v>Nhãn</v>
      </c>
      <c r="C3276" s="87" t="str">
        <f>IFERROR(__xludf.DUMMYFUNCTION("""COMPUTED_VALUE"""),"NTN2624")</f>
        <v>NTN2624</v>
      </c>
      <c r="D3276" s="87" t="str">
        <f>IFERROR(__xludf.DUMMYFUNCTION("""COMPUTED_VALUE"""),"[Nhãn] GC - II - 2624 - AGC - Ray xanh 200WP - 80gr - 150")</f>
        <v>[Nhãn] GC - II - 2624 - AGC - Ray xanh 200WP - 80gr - 150</v>
      </c>
      <c r="E3276" s="87" t="str">
        <f>IFERROR(__xludf.DUMMYFUNCTION("""COMPUTED_VALUE"""),"RAYXANH 200WP")</f>
        <v>RAYXANH 200WP</v>
      </c>
      <c r="F3276" s="87" t="str">
        <f>IFERROR(__xludf.DUMMYFUNCTION("""COMPUTED_VALUE"""),"HH2624")</f>
        <v>HH2624</v>
      </c>
      <c r="G3276" s="87" t="str">
        <f>IFERROR(__xludf.DUMMYFUNCTION("""COMPUTED_VALUE"""),"GC - II - 2624 - AGC - Ray xanh 200WP - 80gr - 150")</f>
        <v>GC - II - 2624 - AGC - Ray xanh 200WP - 80gr - 150</v>
      </c>
    </row>
    <row r="3277">
      <c r="A3277" s="86">
        <f>IFERROR(__xludf.DUMMYFUNCTION("""COMPUTED_VALUE"""),3275.0)</f>
        <v>3275</v>
      </c>
      <c r="B3277" s="87" t="str">
        <f>IFERROR(__xludf.DUMMYFUNCTION("""COMPUTED_VALUE"""),"Nhãn thùng")</f>
        <v>Nhãn thùng</v>
      </c>
      <c r="C3277" s="87" t="str">
        <f>IFERROR(__xludf.DUMMYFUNCTION("""COMPUTED_VALUE"""),"NDT2624")</f>
        <v>NDT2624</v>
      </c>
      <c r="D3277" s="87" t="str">
        <f>IFERROR(__xludf.DUMMYFUNCTION("""COMPUTED_VALUE"""),"[Nhãn thùng] GC - II - 2624 - AGC - Ray xanh 200WP - 80gr - 150")</f>
        <v>[Nhãn thùng] GC - II - 2624 - AGC - Ray xanh 200WP - 80gr - 150</v>
      </c>
      <c r="E3277" s="87" t="str">
        <f>IFERROR(__xludf.DUMMYFUNCTION("""COMPUTED_VALUE"""),"RAYXANH 200WP")</f>
        <v>RAYXANH 200WP</v>
      </c>
      <c r="F3277" s="87" t="str">
        <f>IFERROR(__xludf.DUMMYFUNCTION("""COMPUTED_VALUE"""),"HH2624")</f>
        <v>HH2624</v>
      </c>
      <c r="G3277" s="87" t="str">
        <f>IFERROR(__xludf.DUMMYFUNCTION("""COMPUTED_VALUE"""),"GC - II - 2624 - AGC - Ray xanh 200WP - 80gr - 150")</f>
        <v>GC - II - 2624 - AGC - Ray xanh 200WP - 80gr - 150</v>
      </c>
    </row>
    <row r="3278">
      <c r="A3278" s="86">
        <f>IFERROR(__xludf.DUMMYFUNCTION("""COMPUTED_VALUE"""),3276.0)</f>
        <v>3276</v>
      </c>
      <c r="B3278" s="87" t="str">
        <f>IFERROR(__xludf.DUMMYFUNCTION("""COMPUTED_VALUE"""),"Nhãn")</f>
        <v>Nhãn</v>
      </c>
      <c r="C3278" s="87" t="str">
        <f>IFERROR(__xludf.DUMMYFUNCTION("""COMPUTED_VALUE"""),"NHG2625")</f>
        <v>NHG2625</v>
      </c>
      <c r="D3278" s="87" t="str">
        <f>IFERROR(__xludf.DUMMYFUNCTION("""COMPUTED_VALUE"""),"[Nhãn] GC - IV - 2625 - CTY NÔNG HÓA XANH - STOPS (Nước tím) - 450ml - 40")</f>
        <v>[Nhãn] GC - IV - 2625 - CTY NÔNG HÓA XANH - STOPS (Nước tím) - 450ml - 40</v>
      </c>
      <c r="E3278" s="87" t="str">
        <f>IFERROR(__xludf.DUMMYFUNCTION("""COMPUTED_VALUE"""),"ABASBA 50EC")</f>
        <v>ABASBA 50EC</v>
      </c>
      <c r="F3278" s="87" t="str">
        <f>IFERROR(__xludf.DUMMYFUNCTION("""COMPUTED_VALUE"""),"HH2625")</f>
        <v>HH2625</v>
      </c>
      <c r="G3278" s="87" t="str">
        <f>IFERROR(__xludf.DUMMYFUNCTION("""COMPUTED_VALUE"""),"GC - IV - 2625 - CTY NÔNG HÓA XANH - STOPS (Nước tím) - 450ml - 40")</f>
        <v>GC - IV - 2625 - CTY NÔNG HÓA XANH - STOPS (Nước tím) - 450ml - 40</v>
      </c>
    </row>
    <row r="3279">
      <c r="A3279" s="86">
        <f>IFERROR(__xludf.DUMMYFUNCTION("""COMPUTED_VALUE"""),3277.0)</f>
        <v>3277</v>
      </c>
      <c r="B3279" s="87" t="str">
        <f>IFERROR(__xludf.DUMMYFUNCTION("""COMPUTED_VALUE"""),"Nhãn")</f>
        <v>Nhãn</v>
      </c>
      <c r="C3279" s="87" t="str">
        <f>IFERROR(__xludf.DUMMYFUNCTION("""COMPUTED_VALUE"""),"NHD2627")</f>
        <v>NHD2627</v>
      </c>
      <c r="D3279" s="87" t="str">
        <f>IFERROR(__xludf.DUMMYFUNCTION("""COMPUTED_VALUE"""),"[Nhãn] GC - IV - 2627 - NEWTECH CROP SCIENCE - THIPRO 550EC (Nước vàng trà) - 450ml - 30")</f>
        <v>[Nhãn] GC - IV - 2627 - NEWTECH CROP SCIENCE - THIPRO 550EC (Nước vàng trà) - 450ml - 30</v>
      </c>
      <c r="E3279" s="87" t="str">
        <f>IFERROR(__xludf.DUMMYFUNCTION("""COMPUTED_VALUE"""),"Thipro 550EC")</f>
        <v>Thipro 550EC</v>
      </c>
      <c r="F3279" s="87" t="str">
        <f>IFERROR(__xludf.DUMMYFUNCTION("""COMPUTED_VALUE"""),"HH2627")</f>
        <v>HH2627</v>
      </c>
      <c r="G3279" s="87" t="str">
        <f>IFERROR(__xludf.DUMMYFUNCTION("""COMPUTED_VALUE"""),"GC - IV - 2627 - NEWTECH CROP SCIENCE - THIPRO 550EC (Nước vàng trà) - 450ml - 30")</f>
        <v>GC - IV - 2627 - NEWTECH CROP SCIENCE - THIPRO 550EC (Nước vàng trà) - 450ml - 30</v>
      </c>
    </row>
    <row r="3280">
      <c r="A3280" s="86">
        <f>IFERROR(__xludf.DUMMYFUNCTION("""COMPUTED_VALUE"""),3278.0)</f>
        <v>3278</v>
      </c>
      <c r="B3280" s="87" t="str">
        <f>IFERROR(__xludf.DUMMYFUNCTION("""COMPUTED_VALUE"""),"Nhãn thùng")</f>
        <v>Nhãn thùng</v>
      </c>
      <c r="C3280" s="87" t="str">
        <f>IFERROR(__xludf.DUMMYFUNCTION("""COMPUTED_VALUE"""),"NDT2627")</f>
        <v>NDT2627</v>
      </c>
      <c r="D3280" s="87" t="str">
        <f>IFERROR(__xludf.DUMMYFUNCTION("""COMPUTED_VALUE"""),"[Nhãn thùng] GC - IV - 2627 - NEWTECH CROP SCIENCE - THIPRO 550EC (Nước vàng trà) - 450ml - 30")</f>
        <v>[Nhãn thùng] GC - IV - 2627 - NEWTECH CROP SCIENCE - THIPRO 550EC (Nước vàng trà) - 450ml - 30</v>
      </c>
      <c r="E3280" s="87" t="str">
        <f>IFERROR(__xludf.DUMMYFUNCTION("""COMPUTED_VALUE"""),"Thipro 550EC")</f>
        <v>Thipro 550EC</v>
      </c>
      <c r="F3280" s="87" t="str">
        <f>IFERROR(__xludf.DUMMYFUNCTION("""COMPUTED_VALUE"""),"HH2627")</f>
        <v>HH2627</v>
      </c>
      <c r="G3280" s="87" t="str">
        <f>IFERROR(__xludf.DUMMYFUNCTION("""COMPUTED_VALUE"""),"GC - IV - 2627 - NEWTECH CROP SCIENCE - THIPRO 550EC (Nước vàng trà) - 450ml - 30")</f>
        <v>GC - IV - 2627 - NEWTECH CROP SCIENCE - THIPRO 550EC (Nước vàng trà) - 450ml - 30</v>
      </c>
    </row>
    <row r="3281">
      <c r="A3281" s="86">
        <f>IFERROR(__xludf.DUMMYFUNCTION("""COMPUTED_VALUE"""),3279.0)</f>
        <v>3279</v>
      </c>
      <c r="B3281" s="87" t="str">
        <f>IFERROR(__xludf.DUMMYFUNCTION("""COMPUTED_VALUE"""),"Nhãn")</f>
        <v>Nhãn</v>
      </c>
      <c r="C3281" s="87" t="str">
        <f>IFERROR(__xludf.DUMMYFUNCTION("""COMPUTED_VALUE"""),"NHG2628")</f>
        <v>NHG2628</v>
      </c>
      <c r="D3281" s="87" t="str">
        <f>IFERROR(__xludf.DUMMYFUNCTION("""COMPUTED_VALUE"""),"[Nhãn] GC - IV - 2628 - THÀNH CÔNG AGRI - PYXOATE 44EC (Nước đỏ) - 450ml - 40")</f>
        <v>[Nhãn] GC - IV - 2628 - THÀNH CÔNG AGRI - PYXOATE 44EC (Nước đỏ) - 450ml - 40</v>
      </c>
      <c r="E3281" s="87" t="str">
        <f>IFERROR(__xludf.DUMMYFUNCTION("""COMPUTED_VALUE"""),"PYXOATE 44EC")</f>
        <v>PYXOATE 44EC</v>
      </c>
      <c r="F3281" s="87" t="str">
        <f>IFERROR(__xludf.DUMMYFUNCTION("""COMPUTED_VALUE"""),"HH2628")</f>
        <v>HH2628</v>
      </c>
      <c r="G3281" s="87" t="str">
        <f>IFERROR(__xludf.DUMMYFUNCTION("""COMPUTED_VALUE"""),"GC - IV - 2628 - THÀNH CÔNG AGRI - PYXOATE 44EC (Nước đỏ) - 450ml - 40")</f>
        <v>GC - IV - 2628 - THÀNH CÔNG AGRI - PYXOATE 44EC (Nước đỏ) - 450ml - 40</v>
      </c>
    </row>
    <row r="3282">
      <c r="A3282" s="86">
        <f>IFERROR(__xludf.DUMMYFUNCTION("""COMPUTED_VALUE"""),3280.0)</f>
        <v>3280</v>
      </c>
      <c r="B3282" s="87" t="str">
        <f>IFERROR(__xludf.DUMMYFUNCTION("""COMPUTED_VALUE"""),"Nhãn")</f>
        <v>Nhãn</v>
      </c>
      <c r="C3282" s="87" t="str">
        <f>IFERROR(__xludf.DUMMYFUNCTION("""COMPUTED_VALUE"""),"NHG2629")</f>
        <v>NHG2629</v>
      </c>
      <c r="D3282" s="87" t="str">
        <f>IFERROR(__xludf.DUMMYFUNCTION("""COMPUTED_VALUE"""),"[Nhãn] NB - IV - 2629 - Hưng Thắng Lợi Gia Lai - FORTAZEB 72WP (Bột vàng) - 25kg - 1")</f>
        <v>[Nhãn] NB - IV - 2629 - Hưng Thắng Lợi Gia Lai - FORTAZEB 72WP (Bột vàng) - 25kg - 1</v>
      </c>
      <c r="E3282" s="87" t="str">
        <f>IFERROR(__xludf.DUMMYFUNCTION("""COMPUTED_VALUE"""),"FORTAZEB 72WP")</f>
        <v>FORTAZEB 72WP</v>
      </c>
      <c r="F3282" s="87" t="str">
        <f>IFERROR(__xludf.DUMMYFUNCTION("""COMPUTED_VALUE"""),"HH2629")</f>
        <v>HH2629</v>
      </c>
      <c r="G3282" s="87" t="str">
        <f>IFERROR(__xludf.DUMMYFUNCTION("""COMPUTED_VALUE"""),"NB - IV - 2629 - Hưng Thắng Lợi Gia Lai - FORTAZEB 72WP (Bột vàng) - 25kg - 1")</f>
        <v>NB - IV - 2629 - Hưng Thắng Lợi Gia Lai - FORTAZEB 72WP (Bột vàng) - 25kg - 1</v>
      </c>
    </row>
    <row r="3283">
      <c r="A3283" s="86">
        <f>IFERROR(__xludf.DUMMYFUNCTION("""COMPUTED_VALUE"""),3281.0)</f>
        <v>3281</v>
      </c>
      <c r="B3283" s="87" t="str">
        <f>IFERROR(__xludf.DUMMYFUNCTION("""COMPUTED_VALUE"""),"Nhãn")</f>
        <v>Nhãn</v>
      </c>
      <c r="C3283" s="87" t="str">
        <f>IFERROR(__xludf.DUMMYFUNCTION("""COMPUTED_VALUE"""),"NHG2630")</f>
        <v>NHG2630</v>
      </c>
      <c r="D3283" s="87" t="str">
        <f>IFERROR(__xludf.DUMMYFUNCTION("""COMPUTED_VALUE"""),"[Nhãn] GC - IV - 2630 - Cty Liên Dương ND - Haihamec 3.6EC (nước nâu đen) - 450ml - 40")</f>
        <v>[Nhãn] GC - IV - 2630 - Cty Liên Dương ND - Haihamec 3.6EC (nước nâu đen) - 450ml - 40</v>
      </c>
      <c r="E3283" s="87" t="str">
        <f>IFERROR(__xludf.DUMMYFUNCTION("""COMPUTED_VALUE"""),"HAIHAMEC 3.6EC")</f>
        <v>HAIHAMEC 3.6EC</v>
      </c>
      <c r="F3283" s="87" t="str">
        <f>IFERROR(__xludf.DUMMYFUNCTION("""COMPUTED_VALUE"""),"HH2630")</f>
        <v>HH2630</v>
      </c>
      <c r="G3283" s="87" t="str">
        <f>IFERROR(__xludf.DUMMYFUNCTION("""COMPUTED_VALUE"""),"GC - IV - 2630 - Cty Liên Dương ND - Haihamec 3.6EC (nước nâu đen) - 450ml - 40")</f>
        <v>GC - IV - 2630 - Cty Liên Dương ND - Haihamec 3.6EC (nước nâu đen) - 450ml - 40</v>
      </c>
    </row>
    <row r="3284">
      <c r="A3284" s="86">
        <f>IFERROR(__xludf.DUMMYFUNCTION("""COMPUTED_VALUE"""),3282.0)</f>
        <v>3282</v>
      </c>
      <c r="B3284" s="87" t="str">
        <f>IFERROR(__xludf.DUMMYFUNCTION("""COMPUTED_VALUE"""),"Nhãn")</f>
        <v>Nhãn</v>
      </c>
      <c r="C3284" s="87" t="str">
        <f>IFERROR(__xludf.DUMMYFUNCTION("""COMPUTED_VALUE"""),"NHG2631")</f>
        <v>NHG2631</v>
      </c>
      <c r="D3284" s="87" t="str">
        <f>IFERROR(__xludf.DUMMYFUNCTION("""COMPUTED_VALUE"""),"[Nhãn] GC - IV - 2631 - THÀNH CÔNG AGRI - GLUTACO 200 (Nước tím - V6) - 900ml - 20")</f>
        <v>[Nhãn] GC - IV - 2631 - THÀNH CÔNG AGRI - GLUTACO 200 (Nước tím - V6) - 900ml - 20</v>
      </c>
      <c r="E3284" s="87" t="str">
        <f>IFERROR(__xludf.DUMMYFUNCTION("""COMPUTED_VALUE"""),"Asupergras 200SL")</f>
        <v>Asupergras 200SL</v>
      </c>
      <c r="F3284" s="87" t="str">
        <f>IFERROR(__xludf.DUMMYFUNCTION("""COMPUTED_VALUE"""),"HH2631")</f>
        <v>HH2631</v>
      </c>
      <c r="G3284" s="87" t="str">
        <f>IFERROR(__xludf.DUMMYFUNCTION("""COMPUTED_VALUE"""),"GC - IV - 2631 - THÀNH CÔNG AGRI - GLUTACO 200 (Nước tím - V6) - 900ml - 20")</f>
        <v>GC - IV - 2631 - THÀNH CÔNG AGRI - GLUTACO 200 (Nước tím - V6) - 900ml - 20</v>
      </c>
    </row>
    <row r="3285">
      <c r="A3285" s="86">
        <f>IFERROR(__xludf.DUMMYFUNCTION("""COMPUTED_VALUE"""),3283.0)</f>
        <v>3283</v>
      </c>
      <c r="B3285" s="87" t="str">
        <f>IFERROR(__xludf.DUMMYFUNCTION("""COMPUTED_VALUE"""),"Nhãn")</f>
        <v>Nhãn</v>
      </c>
      <c r="C3285" s="87" t="str">
        <f>IFERROR(__xludf.DUMMYFUNCTION("""COMPUTED_VALUE"""),"NHG2632")</f>
        <v>NHG2632</v>
      </c>
      <c r="D3285" s="87" t="str">
        <f>IFERROR(__xludf.DUMMYFUNCTION("""COMPUTED_VALUE"""),"[Nhãn] GC - IV - 2632 - Agritech (Anh Trương) - GENOL 1.2SL (Nước đỏ) - 450ml - 40")</f>
        <v>[Nhãn] GC - IV - 2632 - Agritech (Anh Trương) - GENOL 1.2SL (Nước đỏ) - 450ml - 40</v>
      </c>
      <c r="E3285" s="87" t="str">
        <f>IFERROR(__xludf.DUMMYFUNCTION("""COMPUTED_VALUE"""),"GENOL 1.2SL")</f>
        <v>GENOL 1.2SL</v>
      </c>
      <c r="F3285" s="87" t="str">
        <f>IFERROR(__xludf.DUMMYFUNCTION("""COMPUTED_VALUE"""),"HH2632")</f>
        <v>HH2632</v>
      </c>
      <c r="G3285" s="87" t="str">
        <f>IFERROR(__xludf.DUMMYFUNCTION("""COMPUTED_VALUE"""),"GC - IV - 2632 - Agritech (Anh Trương) - GENOL 1.2SL (Nước đỏ) - 450ml - 40")</f>
        <v>GC - IV - 2632 - Agritech (Anh Trương) - GENOL 1.2SL (Nước đỏ) - 450ml - 40</v>
      </c>
    </row>
    <row r="3286">
      <c r="A3286" s="86">
        <f>IFERROR(__xludf.DUMMYFUNCTION("""COMPUTED_VALUE"""),3284.0)</f>
        <v>3284</v>
      </c>
      <c r="B3286" s="87" t="str">
        <f>IFERROR(__xludf.DUMMYFUNCTION("""COMPUTED_VALUE"""),"Nhãn")</f>
        <v>Nhãn</v>
      </c>
      <c r="C3286" s="87" t="str">
        <f>IFERROR(__xludf.DUMMYFUNCTION("""COMPUTED_VALUE"""),"NHG2633")</f>
        <v>NHG2633</v>
      </c>
      <c r="D3286" s="87" t="str">
        <f>IFERROR(__xludf.DUMMYFUNCTION("""COMPUTED_VALUE"""),"[Nhãn]  GC - IV - 2633 - Cty Tiến Vinh - THẦN LỬA (Nước tím - V6) - 900ml - 20")</f>
        <v>[Nhãn]  GC - IV - 2633 - Cty Tiến Vinh - THẦN LỬA (Nước tím - V6) - 900ml - 20</v>
      </c>
      <c r="E3286" s="87" t="str">
        <f>IFERROR(__xludf.DUMMYFUNCTION("""COMPUTED_VALUE"""),"Asupergras 200SL")</f>
        <v>Asupergras 200SL</v>
      </c>
      <c r="F3286" s="87" t="str">
        <f>IFERROR(__xludf.DUMMYFUNCTION("""COMPUTED_VALUE"""),"HH2633")</f>
        <v>HH2633</v>
      </c>
      <c r="G3286" s="87" t="str">
        <f>IFERROR(__xludf.DUMMYFUNCTION("""COMPUTED_VALUE"""),"GC - IV - 2633 - Cty Tiến Vinh - THẦN LỬA (Nước tím - V6) - 900ml - 20")</f>
        <v>GC - IV - 2633 - Cty Tiến Vinh - THẦN LỬA (Nước tím - V6) - 900ml - 20</v>
      </c>
    </row>
    <row r="3287">
      <c r="A3287" s="86">
        <f>IFERROR(__xludf.DUMMYFUNCTION("""COMPUTED_VALUE"""),3285.0)</f>
        <v>3285</v>
      </c>
      <c r="B3287" s="87" t="str">
        <f>IFERROR(__xludf.DUMMYFUNCTION("""COMPUTED_VALUE"""),"Nhãn")</f>
        <v>Nhãn</v>
      </c>
      <c r="C3287" s="87" t="str">
        <f>IFERROR(__xludf.DUMMYFUNCTION("""COMPUTED_VALUE"""),"NHD2634")</f>
        <v>NHD2634</v>
      </c>
      <c r="D3287" s="87" t="str">
        <f>IFERROR(__xludf.DUMMYFUNCTION("""COMPUTED_VALUE"""),"[Nhãn] GC - IV - 2634 - Huy Phát - HP Pro Max (nước đỏ)(Pet Vuông) - 400ml - 40")</f>
        <v>[Nhãn] GC - IV - 2634 - Huy Phát - HP Pro Max (nước đỏ)(Pet Vuông) - 400ml - 40</v>
      </c>
      <c r="E3287" s="87" t="str">
        <f>IFERROR(__xludf.DUMMYFUNCTION("""COMPUTED_VALUE"""),"Creek 2.1EC")</f>
        <v>Creek 2.1EC</v>
      </c>
      <c r="F3287" s="87" t="str">
        <f>IFERROR(__xludf.DUMMYFUNCTION("""COMPUTED_VALUE"""),"HH2634")</f>
        <v>HH2634</v>
      </c>
      <c r="G3287" s="87" t="str">
        <f>IFERROR(__xludf.DUMMYFUNCTION("""COMPUTED_VALUE"""),"GC - IV - 2634 - Huy Phát - HP Pro Max (nước đỏ)(Pet Vuông) - 400ml - 40")</f>
        <v>GC - IV - 2634 - Huy Phát - HP Pro Max (nước đỏ)(Pet Vuông) - 400ml - 40</v>
      </c>
    </row>
    <row r="3288">
      <c r="A3288" s="86">
        <f>IFERROR(__xludf.DUMMYFUNCTION("""COMPUTED_VALUE"""),3286.0)</f>
        <v>3286</v>
      </c>
      <c r="B3288" s="87" t="str">
        <f>IFERROR(__xludf.DUMMYFUNCTION("""COMPUTED_VALUE"""),"Nhãn")</f>
        <v>Nhãn</v>
      </c>
      <c r="C3288" s="87" t="str">
        <f>IFERROR(__xludf.DUMMYFUNCTION("""COMPUTED_VALUE"""),"NHG2635")</f>
        <v>NHG2635</v>
      </c>
      <c r="D3288" s="87" t="str">
        <f>IFERROR(__xludf.DUMMYFUNCTION("""COMPUTED_VALUE"""),"[Nhãn] GC - IV - 2635 - CTY Nghi Phong - Vua Diệt Cỏ (nước vàng) - 900ml - 20")</f>
        <v>[Nhãn] GC - IV - 2635 - CTY Nghi Phong - Vua Diệt Cỏ (nước vàng) - 900ml - 20</v>
      </c>
      <c r="E3288" s="87" t="str">
        <f>IFERROR(__xludf.DUMMYFUNCTION("""COMPUTED_VALUE"""),"Asupergras 200SL")</f>
        <v>Asupergras 200SL</v>
      </c>
      <c r="F3288" s="87" t="str">
        <f>IFERROR(__xludf.DUMMYFUNCTION("""COMPUTED_VALUE"""),"HH2635")</f>
        <v>HH2635</v>
      </c>
      <c r="G3288" s="87" t="str">
        <f>IFERROR(__xludf.DUMMYFUNCTION("""COMPUTED_VALUE"""),"GC - IV - 2635 - CTY Nghi Phong - Vua Diệt Cỏ (nước vàng) - 900ml - 20")</f>
        <v>GC - IV - 2635 - CTY Nghi Phong - Vua Diệt Cỏ (nước vàng) - 900ml - 20</v>
      </c>
    </row>
    <row r="3289">
      <c r="A3289" s="86">
        <f>IFERROR(__xludf.DUMMYFUNCTION("""COMPUTED_VALUE"""),3287.0)</f>
        <v>3287</v>
      </c>
      <c r="B3289" s="87" t="str">
        <f>IFERROR(__xludf.DUMMYFUNCTION("""COMPUTED_VALUE"""),"Nhãn")</f>
        <v>Nhãn</v>
      </c>
      <c r="C3289" s="87" t="str">
        <f>IFERROR(__xludf.DUMMYFUNCTION("""COMPUTED_VALUE"""),"NHD2636")</f>
        <v>NHD2636</v>
      </c>
      <c r="D3289" s="87" t="str">
        <f>IFERROR(__xludf.DUMMYFUNCTION("""COMPUTED_VALUE"""),"[Nhãn] GC - IV - 2636 - Cty Nghi Phong - Vua Sâu Nhện (nước xanh lá) - 450ml - 40")</f>
        <v>[Nhãn] GC - IV - 2636 - Cty Nghi Phong - Vua Sâu Nhện (nước xanh lá) - 450ml - 40</v>
      </c>
      <c r="E3289" s="87" t="str">
        <f>IFERROR(__xludf.DUMMYFUNCTION("""COMPUTED_VALUE"""),"HAIHAMEC 3.6EC")</f>
        <v>HAIHAMEC 3.6EC</v>
      </c>
      <c r="F3289" s="87" t="str">
        <f>IFERROR(__xludf.DUMMYFUNCTION("""COMPUTED_VALUE"""),"HH2636")</f>
        <v>HH2636</v>
      </c>
      <c r="G3289" s="87" t="str">
        <f>IFERROR(__xludf.DUMMYFUNCTION("""COMPUTED_VALUE"""),"GC - IV - 2636 - Cty Nghi Phong - Vua Sâu Nhện (nước xanh lá) - 450ml - 40")</f>
        <v>GC - IV - 2636 - Cty Nghi Phong - Vua Sâu Nhện (nước xanh lá) - 450ml - 40</v>
      </c>
    </row>
    <row r="3290">
      <c r="A3290" s="86">
        <f>IFERROR(__xludf.DUMMYFUNCTION("""COMPUTED_VALUE"""),3288.0)</f>
        <v>3288</v>
      </c>
      <c r="B3290" s="87" t="str">
        <f>IFERROR(__xludf.DUMMYFUNCTION("""COMPUTED_VALUE"""),"Nhãn thùng")</f>
        <v>Nhãn thùng</v>
      </c>
      <c r="C3290" s="87" t="str">
        <f>IFERROR(__xludf.DUMMYFUNCTION("""COMPUTED_VALUE"""),"NDT2636")</f>
        <v>NDT2636</v>
      </c>
      <c r="D3290" s="87" t="str">
        <f>IFERROR(__xludf.DUMMYFUNCTION("""COMPUTED_VALUE"""),"[Nhãn thùng] GC - IV - 2636 - Cty Nghi Phong - Vua Sâu Nhện (nước xanh lá) - 450ml - 40")</f>
        <v>[Nhãn thùng] GC - IV - 2636 - Cty Nghi Phong - Vua Sâu Nhện (nước xanh lá) - 450ml - 40</v>
      </c>
      <c r="E3290" s="87" t="str">
        <f>IFERROR(__xludf.DUMMYFUNCTION("""COMPUTED_VALUE"""),"HAIHAMEC 3.6EC")</f>
        <v>HAIHAMEC 3.6EC</v>
      </c>
      <c r="F3290" s="87" t="str">
        <f>IFERROR(__xludf.DUMMYFUNCTION("""COMPUTED_VALUE"""),"HH2636")</f>
        <v>HH2636</v>
      </c>
      <c r="G3290" s="87" t="str">
        <f>IFERROR(__xludf.DUMMYFUNCTION("""COMPUTED_VALUE"""),"GC - IV - 2636 - Cty Nghi Phong - Vua Sâu Nhện (nước xanh lá) - 450ml - 40")</f>
        <v>GC - IV - 2636 - Cty Nghi Phong - Vua Sâu Nhện (nước xanh lá) - 450ml - 40</v>
      </c>
    </row>
    <row r="3291">
      <c r="A3291" s="86">
        <f>IFERROR(__xludf.DUMMYFUNCTION("""COMPUTED_VALUE"""),3289.0)</f>
        <v>3289</v>
      </c>
      <c r="B3291" s="87" t="str">
        <f>IFERROR(__xludf.DUMMYFUNCTION("""COMPUTED_VALUE"""),"Nhãn")</f>
        <v>Nhãn</v>
      </c>
      <c r="C3291" s="87" t="str">
        <f>IFERROR(__xludf.DUMMYFUNCTION("""COMPUTED_VALUE"""),"NHG2638")</f>
        <v>NHG2638</v>
      </c>
      <c r="D3291" s="87" t="str">
        <f>IFERROR(__xludf.DUMMYFUNCTION("""COMPUTED_VALUE"""),"[Nhãn] GC - IV - 2638 - CTY SEIKO NHẬT BẢN - VUA CỎ MẦN TRẦU (Nước tím) - 900ml - 20")</f>
        <v>[Nhãn] GC - IV - 2638 - CTY SEIKO NHẬT BẢN - VUA CỎ MẦN TRẦU (Nước tím) - 900ml - 20</v>
      </c>
      <c r="E3291" s="87" t="str">
        <f>IFERROR(__xludf.DUMMYFUNCTION("""COMPUTED_VALUE"""),"Asupergras 200SL")</f>
        <v>Asupergras 200SL</v>
      </c>
      <c r="F3291" s="87" t="str">
        <f>IFERROR(__xludf.DUMMYFUNCTION("""COMPUTED_VALUE"""),"HH2638")</f>
        <v>HH2638</v>
      </c>
      <c r="G3291" s="87" t="str">
        <f>IFERROR(__xludf.DUMMYFUNCTION("""COMPUTED_VALUE"""),"GC - IV - 2638 - CTY SEIKO NHẬT BẢN - VUA CỎ MẦN TRẦU (Nước tím) - 900ml - 20")</f>
        <v>GC - IV - 2638 - CTY SEIKO NHẬT BẢN - VUA CỎ MẦN TRẦU (Nước tím) - 900ml - 20</v>
      </c>
    </row>
    <row r="3292">
      <c r="A3292" s="86">
        <f>IFERROR(__xludf.DUMMYFUNCTION("""COMPUTED_VALUE"""),3290.0)</f>
        <v>3290</v>
      </c>
      <c r="B3292" s="87" t="str">
        <f>IFERROR(__xludf.DUMMYFUNCTION("""COMPUTED_VALUE"""),"Nhãn")</f>
        <v>Nhãn</v>
      </c>
      <c r="C3292" s="87" t="str">
        <f>IFERROR(__xludf.DUMMYFUNCTION("""COMPUTED_VALUE"""),"NHG2639")</f>
        <v>NHG2639</v>
      </c>
      <c r="D3292" s="87" t="str">
        <f>IFERROR(__xludf.DUMMYFUNCTION("""COMPUTED_VALUE"""),"[Nhãn] GC - IV - 2639 - BELLORMAR - HEXAVIL (Nước xanh dương) - 1L - 20")</f>
        <v>[Nhãn] GC - IV - 2639 - BELLORMAR - HEXAVIL (Nước xanh dương) - 1L - 20</v>
      </c>
      <c r="E3292" s="87" t="str">
        <f>IFERROR(__xludf.DUMMYFUNCTION("""COMPUTED_VALUE"""),"JAPA VIL 110SC")</f>
        <v>JAPA VIL 110SC</v>
      </c>
      <c r="F3292" s="87" t="str">
        <f>IFERROR(__xludf.DUMMYFUNCTION("""COMPUTED_VALUE"""),"HH2639")</f>
        <v>HH2639</v>
      </c>
      <c r="G3292" s="87" t="str">
        <f>IFERROR(__xludf.DUMMYFUNCTION("""COMPUTED_VALUE"""),"GC - IV - 2639 - BELLORMAR - HEXAVIL (Nước xanh dương) - 1L - 20")</f>
        <v>GC - IV - 2639 - BELLORMAR - HEXAVIL (Nước xanh dương) - 1L - 20</v>
      </c>
    </row>
    <row r="3293">
      <c r="A3293" s="86">
        <f>IFERROR(__xludf.DUMMYFUNCTION("""COMPUTED_VALUE"""),3291.0)</f>
        <v>3291</v>
      </c>
      <c r="B3293" s="87" t="str">
        <f>IFERROR(__xludf.DUMMYFUNCTION("""COMPUTED_VALUE"""),"Nhãn")</f>
        <v>Nhãn</v>
      </c>
      <c r="C3293" s="87" t="str">
        <f>IFERROR(__xludf.DUMMYFUNCTION("""COMPUTED_VALUE"""),"NHG2640")</f>
        <v>NHG2640</v>
      </c>
      <c r="D3293" s="87" t="str">
        <f>IFERROR(__xludf.DUMMYFUNCTION("""COMPUTED_VALUE"""),"[Nhãn] GC - IV - 2640 - GNH - SIÊU TẠO NỤ (Nước nâu đen) - 250ml - 40")</f>
        <v>[Nhãn] GC - IV - 2640 - GNH - SIÊU TẠO NỤ (Nước nâu đen) - 250ml - 40</v>
      </c>
      <c r="E3293" s="87" t="str">
        <f>IFERROR(__xludf.DUMMYFUNCTION("""COMPUTED_VALUE"""),"Vi lượng AGAMA-SUPPORT")</f>
        <v>Vi lượng AGAMA-SUPPORT</v>
      </c>
      <c r="F3293" s="87" t="str">
        <f>IFERROR(__xludf.DUMMYFUNCTION("""COMPUTED_VALUE"""),"HH2640")</f>
        <v>HH2640</v>
      </c>
      <c r="G3293" s="87" t="str">
        <f>IFERROR(__xludf.DUMMYFUNCTION("""COMPUTED_VALUE"""),"GC - IV - 2640 - GNH - SIÊU TẠO NỤ (Nước nâu đen) - 250ml - 40")</f>
        <v>GC - IV - 2640 - GNH - SIÊU TẠO NỤ (Nước nâu đen) - 250ml - 40</v>
      </c>
    </row>
    <row r="3294">
      <c r="A3294" s="86">
        <f>IFERROR(__xludf.DUMMYFUNCTION("""COMPUTED_VALUE"""),3292.0)</f>
        <v>3292</v>
      </c>
      <c r="B3294" s="87" t="str">
        <f>IFERROR(__xludf.DUMMYFUNCTION("""COMPUTED_VALUE"""),"Nhãn")</f>
        <v>Nhãn</v>
      </c>
      <c r="C3294" s="87" t="str">
        <f>IFERROR(__xludf.DUMMYFUNCTION("""COMPUTED_VALUE"""),"NHG2641")</f>
        <v>NHG2641</v>
      </c>
      <c r="D3294" s="87" t="str">
        <f>IFERROR(__xludf.DUMMYFUNCTION("""COMPUTED_VALUE"""),"[Nhãn] GC - IV - 2641 - GNH - SIÊU TẠO NỤ (Nước nâu đen) - 500ml - 40")</f>
        <v>[Nhãn] GC - IV - 2641 - GNH - SIÊU TẠO NỤ (Nước nâu đen) - 500ml - 40</v>
      </c>
      <c r="E3294" s="87" t="str">
        <f>IFERROR(__xludf.DUMMYFUNCTION("""COMPUTED_VALUE"""),"Vi lượng AGAMA-SUPPORT")</f>
        <v>Vi lượng AGAMA-SUPPORT</v>
      </c>
      <c r="F3294" s="87" t="str">
        <f>IFERROR(__xludf.DUMMYFUNCTION("""COMPUTED_VALUE"""),"HH2641")</f>
        <v>HH2641</v>
      </c>
      <c r="G3294" s="87" t="str">
        <f>IFERROR(__xludf.DUMMYFUNCTION("""COMPUTED_VALUE"""),"GC - IV - 2641 - GNH - SIÊU TẠO NỤ (Nước nâu đen) - 500ml - 40")</f>
        <v>GC - IV - 2641 - GNH - SIÊU TẠO NỤ (Nước nâu đen) - 500ml - 40</v>
      </c>
    </row>
    <row r="3295">
      <c r="A3295" s="86">
        <f>IFERROR(__xludf.DUMMYFUNCTION("""COMPUTED_VALUE"""),3293.0)</f>
        <v>3293</v>
      </c>
      <c r="B3295" s="87" t="str">
        <f>IFERROR(__xludf.DUMMYFUNCTION("""COMPUTED_VALUE"""),"Nhãn")</f>
        <v>Nhãn</v>
      </c>
      <c r="C3295" s="87" t="str">
        <f>IFERROR(__xludf.DUMMYFUNCTION("""COMPUTED_VALUE"""),"NHG2642")</f>
        <v>NHG2642</v>
      </c>
      <c r="D3295" s="87" t="str">
        <f>IFERROR(__xludf.DUMMYFUNCTION("""COMPUTED_VALUE"""),"[Nhãn] GC - IV - 2642 - Cty ABIO Hoa Kỳ - JAPAVIL 110SC (Nước trắng sữa) - 1L - 20")</f>
        <v>[Nhãn] GC - IV - 2642 - Cty ABIO Hoa Kỳ - JAPAVIL 110SC (Nước trắng sữa) - 1L - 20</v>
      </c>
      <c r="E3295" s="87" t="str">
        <f>IFERROR(__xludf.DUMMYFUNCTION("""COMPUTED_VALUE"""),"JAPA VIL 110SC")</f>
        <v>JAPA VIL 110SC</v>
      </c>
      <c r="F3295" s="87" t="str">
        <f>IFERROR(__xludf.DUMMYFUNCTION("""COMPUTED_VALUE"""),"HH2642")</f>
        <v>HH2642</v>
      </c>
      <c r="G3295" s="87" t="str">
        <f>IFERROR(__xludf.DUMMYFUNCTION("""COMPUTED_VALUE"""),"GC - IV - 2642 - Cty ABIO Hoa Kỳ - JAPAVIL 110SC (Nước trắng sữa) - 1L - 20")</f>
        <v>GC - IV - 2642 - Cty ABIO Hoa Kỳ - JAPAVIL 110SC (Nước trắng sữa) - 1L - 20</v>
      </c>
    </row>
    <row r="3296">
      <c r="A3296" s="86">
        <f>IFERROR(__xludf.DUMMYFUNCTION("""COMPUTED_VALUE"""),3294.0)</f>
        <v>3294</v>
      </c>
      <c r="B3296" s="87" t="str">
        <f>IFERROR(__xludf.DUMMYFUNCTION("""COMPUTED_VALUE"""),"Nhãn")</f>
        <v>Nhãn</v>
      </c>
      <c r="C3296" s="87" t="str">
        <f>IFERROR(__xludf.DUMMYFUNCTION("""COMPUTED_VALUE"""),"NHG2643")</f>
        <v>NHG2643</v>
      </c>
      <c r="D3296" s="87" t="str">
        <f>IFERROR(__xludf.DUMMYFUNCTION("""COMPUTED_VALUE"""),"[Nhãn] GC - IV - 2643 - CTY ACE VN - BÒ VÀNG (Nước tím) - 900ml - 20")</f>
        <v>[Nhãn] GC - IV - 2643 - CTY ACE VN - BÒ VÀNG (Nước tím) - 900ml - 20</v>
      </c>
      <c r="E3296" s="87" t="str">
        <f>IFERROR(__xludf.DUMMYFUNCTION("""COMPUTED_VALUE"""),"Asupergras 200SL")</f>
        <v>Asupergras 200SL</v>
      </c>
      <c r="F3296" s="87" t="str">
        <f>IFERROR(__xludf.DUMMYFUNCTION("""COMPUTED_VALUE"""),"HH2643")</f>
        <v>HH2643</v>
      </c>
      <c r="G3296" s="87" t="str">
        <f>IFERROR(__xludf.DUMMYFUNCTION("""COMPUTED_VALUE"""),"GC - IV - 2643 - CTY ACE VN - BÒ VÀNG (Nước tím) - 900ml - 20")</f>
        <v>GC - IV - 2643 - CTY ACE VN - BÒ VÀNG (Nước tím) - 900ml - 20</v>
      </c>
    </row>
    <row r="3297">
      <c r="A3297" s="86">
        <f>IFERROR(__xludf.DUMMYFUNCTION("""COMPUTED_VALUE"""),3295.0)</f>
        <v>3295</v>
      </c>
      <c r="B3297" s="87" t="str">
        <f>IFERROR(__xludf.DUMMYFUNCTION("""COMPUTED_VALUE"""),"Nhãn")</f>
        <v>Nhãn</v>
      </c>
      <c r="C3297" s="87" t="str">
        <f>IFERROR(__xludf.DUMMYFUNCTION("""COMPUTED_VALUE"""),"NTN2644")</f>
        <v>NTN2644</v>
      </c>
      <c r="D3297" s="87" t="str">
        <f>IFERROR(__xludf.DUMMYFUNCTION("""COMPUTED_VALUE"""),"[Nhãn] GC - IV - 2644 - CTY NÔNG HÓA XANH - RAYXANH 200WP (bột trắng ngà) - 100gr - 100")</f>
        <v>[Nhãn] GC - IV - 2644 - CTY NÔNG HÓA XANH - RAYXANH 200WP (bột trắng ngà) - 100gr - 100</v>
      </c>
      <c r="E3297" s="87" t="str">
        <f>IFERROR(__xludf.DUMMYFUNCTION("""COMPUTED_VALUE"""),"RAYXANH 200WP")</f>
        <v>RAYXANH 200WP</v>
      </c>
      <c r="F3297" s="87" t="str">
        <f>IFERROR(__xludf.DUMMYFUNCTION("""COMPUTED_VALUE"""),"HH2644")</f>
        <v>HH2644</v>
      </c>
      <c r="G3297" s="87" t="str">
        <f>IFERROR(__xludf.DUMMYFUNCTION("""COMPUTED_VALUE"""),"GC - IV - 2644 - CTY NÔNG HÓA XANH - RAYXANH 200WP (bột trắng ngà) - 100gr - 100")</f>
        <v>GC - IV - 2644 - CTY NÔNG HÓA XANH - RAYXANH 200WP (bột trắng ngà) - 100gr - 100</v>
      </c>
    </row>
    <row r="3298">
      <c r="A3298" s="86">
        <f>IFERROR(__xludf.DUMMYFUNCTION("""COMPUTED_VALUE"""),3296.0)</f>
        <v>3296</v>
      </c>
      <c r="B3298" s="87" t="str">
        <f>IFERROR(__xludf.DUMMYFUNCTION("""COMPUTED_VALUE"""),"Nhãn thùng")</f>
        <v>Nhãn thùng</v>
      </c>
      <c r="C3298" s="87" t="str">
        <f>IFERROR(__xludf.DUMMYFUNCTION("""COMPUTED_VALUE"""),"NDT2644")</f>
        <v>NDT2644</v>
      </c>
      <c r="D3298" s="87" t="str">
        <f>IFERROR(__xludf.DUMMYFUNCTION("""COMPUTED_VALUE"""),"[Nhãn thùng] GC - IV - 2644 - CTY NÔNG HÓA XANH - RAYXANH 200WP (bột trắng ngà) - 100gr - 100")</f>
        <v>[Nhãn thùng] GC - IV - 2644 - CTY NÔNG HÓA XANH - RAYXANH 200WP (bột trắng ngà) - 100gr - 100</v>
      </c>
      <c r="E3298" s="87" t="str">
        <f>IFERROR(__xludf.DUMMYFUNCTION("""COMPUTED_VALUE"""),"RAYXANH 200WP")</f>
        <v>RAYXANH 200WP</v>
      </c>
      <c r="F3298" s="87" t="str">
        <f>IFERROR(__xludf.DUMMYFUNCTION("""COMPUTED_VALUE"""),"HH2644")</f>
        <v>HH2644</v>
      </c>
      <c r="G3298" s="87" t="str">
        <f>IFERROR(__xludf.DUMMYFUNCTION("""COMPUTED_VALUE"""),"GC - IV - 2644 - CTY NÔNG HÓA XANH - RAYXANH 200WP (bột trắng ngà) - 100gr - 100")</f>
        <v>GC - IV - 2644 - CTY NÔNG HÓA XANH - RAYXANH 200WP (bột trắng ngà) - 100gr - 100</v>
      </c>
    </row>
    <row r="3299">
      <c r="A3299" s="86">
        <f>IFERROR(__xludf.DUMMYFUNCTION("""COMPUTED_VALUE"""),3297.0)</f>
        <v>3297</v>
      </c>
      <c r="B3299" s="87" t="str">
        <f>IFERROR(__xludf.DUMMYFUNCTION("""COMPUTED_VALUE"""),"Nhãn")</f>
        <v>Nhãn</v>
      </c>
      <c r="C3299" s="87" t="str">
        <f>IFERROR(__xludf.DUMMYFUNCTION("""COMPUTED_VALUE"""),"NHG2645")</f>
        <v>NHG2645</v>
      </c>
      <c r="D3299" s="87" t="str">
        <f>IFERROR(__xludf.DUMMYFUNCTION("""COMPUTED_VALUE"""),"[Nhãn] GC - IV - 2645 - Cty Master Win - GENOL (Nước tím đậm - V3) - 250ml - 40")</f>
        <v>[Nhãn] GC - IV - 2645 - Cty Master Win - GENOL (Nước tím đậm - V3) - 250ml - 40</v>
      </c>
      <c r="E3299" s="87" t="str">
        <f>IFERROR(__xludf.DUMMYFUNCTION("""COMPUTED_VALUE"""),"GENOL 1.2SL")</f>
        <v>GENOL 1.2SL</v>
      </c>
      <c r="F3299" s="87" t="str">
        <f>IFERROR(__xludf.DUMMYFUNCTION("""COMPUTED_VALUE"""),"HH2645")</f>
        <v>HH2645</v>
      </c>
      <c r="G3299" s="87" t="str">
        <f>IFERROR(__xludf.DUMMYFUNCTION("""COMPUTED_VALUE"""),"GC - IV - 2645 - Cty Master Win - GENOL (Nước tím đậm - V3) - 250ml - 40")</f>
        <v>GC - IV - 2645 - Cty Master Win - GENOL (Nước tím đậm - V3) - 250ml - 40</v>
      </c>
    </row>
    <row r="3300">
      <c r="A3300" s="86">
        <f>IFERROR(__xludf.DUMMYFUNCTION("""COMPUTED_VALUE"""),3298.0)</f>
        <v>3298</v>
      </c>
      <c r="B3300" s="87" t="str">
        <f>IFERROR(__xludf.DUMMYFUNCTION("""COMPUTED_VALUE"""),"Nhãn")</f>
        <v>Nhãn</v>
      </c>
      <c r="C3300" s="87" t="str">
        <f>IFERROR(__xludf.DUMMYFUNCTION("""COMPUTED_VALUE"""),"NHG2646")</f>
        <v>NHG2646</v>
      </c>
      <c r="D3300" s="87" t="str">
        <f>IFERROR(__xludf.DUMMYFUNCTION("""COMPUTED_VALUE"""),"[Nhãn] GC - IV - 2646 - Agriplant - AVIL-UC (Nước trắng sữa) - 1L - 20")</f>
        <v>[Nhãn] GC - IV - 2646 - Agriplant - AVIL-UC (Nước trắng sữa) - 1L - 20</v>
      </c>
      <c r="E3300" s="87" t="str">
        <f>IFERROR(__xludf.DUMMYFUNCTION("""COMPUTED_VALUE"""),"JAPA VIL 110SC")</f>
        <v>JAPA VIL 110SC</v>
      </c>
      <c r="F3300" s="87" t="str">
        <f>IFERROR(__xludf.DUMMYFUNCTION("""COMPUTED_VALUE"""),"HH2646")</f>
        <v>HH2646</v>
      </c>
      <c r="G3300" s="87" t="str">
        <f>IFERROR(__xludf.DUMMYFUNCTION("""COMPUTED_VALUE"""),"GC - IV - 2646 - Agriplant - AVIL-UC (Nước trắng sữa) - 1L - 20")</f>
        <v>GC - IV - 2646 - Agriplant - AVIL-UC (Nước trắng sữa) - 1L - 20</v>
      </c>
    </row>
    <row r="3301">
      <c r="A3301" s="86">
        <f>IFERROR(__xludf.DUMMYFUNCTION("""COMPUTED_VALUE"""),3299.0)</f>
        <v>3299</v>
      </c>
      <c r="B3301" s="87" t="str">
        <f>IFERROR(__xludf.DUMMYFUNCTION("""COMPUTED_VALUE"""),"Nhãn")</f>
        <v>Nhãn</v>
      </c>
      <c r="C3301" s="87" t="str">
        <f>IFERROR(__xludf.DUMMYFUNCTION("""COMPUTED_VALUE"""),"NTN2647")</f>
        <v>NTN2647</v>
      </c>
      <c r="D3301" s="87" t="str">
        <f>IFERROR(__xludf.DUMMYFUNCTION("""COMPUTED_VALUE"""),"[Nhãn] GC - IV - 2647 - THÀNH CÔNG AGRI - TAPY 500 (Dạng cốm màu trắng ngà) - 50gr - 200")</f>
        <v>[Nhãn] GC - IV - 2647 - THÀNH CÔNG AGRI - TAPY 500 (Dạng cốm màu trắng ngà) - 50gr - 200</v>
      </c>
      <c r="E3301" s="87" t="str">
        <f>IFERROR(__xludf.DUMMYFUNCTION("""COMPUTED_VALUE"""),"ROCKING 500WG")</f>
        <v>ROCKING 500WG</v>
      </c>
      <c r="F3301" s="87" t="str">
        <f>IFERROR(__xludf.DUMMYFUNCTION("""COMPUTED_VALUE"""),"HH2647")</f>
        <v>HH2647</v>
      </c>
      <c r="G3301" s="87" t="str">
        <f>IFERROR(__xludf.DUMMYFUNCTION("""COMPUTED_VALUE"""),"GC - IV - 2647 - THÀNH CÔNG AGRI - TAPY 500 (Dạng cốm màu trắng ngà) - 50gr - 200")</f>
        <v>GC - IV - 2647 - THÀNH CÔNG AGRI - TAPY 500 (Dạng cốm màu trắng ngà) - 50gr - 200</v>
      </c>
    </row>
    <row r="3302">
      <c r="A3302" s="86">
        <f>IFERROR(__xludf.DUMMYFUNCTION("""COMPUTED_VALUE"""),3300.0)</f>
        <v>3300</v>
      </c>
      <c r="B3302" s="87" t="str">
        <f>IFERROR(__xludf.DUMMYFUNCTION("""COMPUTED_VALUE"""),"Nhãn thùng")</f>
        <v>Nhãn thùng</v>
      </c>
      <c r="C3302" s="87" t="str">
        <f>IFERROR(__xludf.DUMMYFUNCTION("""COMPUTED_VALUE"""),"NDT2647")</f>
        <v>NDT2647</v>
      </c>
      <c r="D3302" s="87" t="str">
        <f>IFERROR(__xludf.DUMMYFUNCTION("""COMPUTED_VALUE"""),"[Nhãn thùng] GC - IV - 2647 - THÀNH CÔNG AGRI - TAPY 500 (Dạng cốm màu trắng ngà) - 50gr - 200")</f>
        <v>[Nhãn thùng] GC - IV - 2647 - THÀNH CÔNG AGRI - TAPY 500 (Dạng cốm màu trắng ngà) - 50gr - 200</v>
      </c>
      <c r="E3302" s="87" t="str">
        <f>IFERROR(__xludf.DUMMYFUNCTION("""COMPUTED_VALUE"""),"ROCKING 500WG")</f>
        <v>ROCKING 500WG</v>
      </c>
      <c r="F3302" s="87" t="str">
        <f>IFERROR(__xludf.DUMMYFUNCTION("""COMPUTED_VALUE"""),"HH2647")</f>
        <v>HH2647</v>
      </c>
      <c r="G3302" s="87" t="str">
        <f>IFERROR(__xludf.DUMMYFUNCTION("""COMPUTED_VALUE"""),"GC - IV - 2647 - THÀNH CÔNG AGRI - TAPY 500 (Dạng cốm màu trắng ngà) - 50gr - 200")</f>
        <v>GC - IV - 2647 - THÀNH CÔNG AGRI - TAPY 500 (Dạng cốm màu trắng ngà) - 50gr - 200</v>
      </c>
    </row>
    <row r="3303">
      <c r="A3303" s="86">
        <f>IFERROR(__xludf.DUMMYFUNCTION("""COMPUTED_VALUE"""),3301.0)</f>
        <v>3301</v>
      </c>
      <c r="B3303" s="87" t="str">
        <f>IFERROR(__xludf.DUMMYFUNCTION("""COMPUTED_VALUE"""),"Nhãn")</f>
        <v>Nhãn</v>
      </c>
      <c r="C3303" s="87" t="str">
        <f>IFERROR(__xludf.DUMMYFUNCTION("""COMPUTED_VALUE"""),"NHG2648")</f>
        <v>NHG2648</v>
      </c>
      <c r="D3303" s="87" t="str">
        <f>IFERROR(__xludf.DUMMYFUNCTION("""COMPUTED_VALUE"""),"[Nhãn] GC - II - 2648 - HKD HAI LÚA - SUPER ROOTS (Nước nâu đen) - 500ml - 30")</f>
        <v>[Nhãn] GC - II - 2648 - HKD HAI LÚA - SUPER ROOTS (Nước nâu đen) - 500ml - 30</v>
      </c>
      <c r="E3303" s="87" t="str">
        <f>IFERROR(__xludf.DUMMYFUNCTION("""COMPUTED_VALUE"""),"Hữu cơ SH Agro Organic Fertilizer 20")</f>
        <v>Hữu cơ SH Agro Organic Fertilizer 20</v>
      </c>
      <c r="F3303" s="87" t="str">
        <f>IFERROR(__xludf.DUMMYFUNCTION("""COMPUTED_VALUE"""),"HH2648")</f>
        <v>HH2648</v>
      </c>
      <c r="G3303" s="87" t="str">
        <f>IFERROR(__xludf.DUMMYFUNCTION("""COMPUTED_VALUE"""),"GC - II - 2648 - HKD HAI LÚA - SUPER ROOTS (Nước nâu đen) - 500ml - 30")</f>
        <v>GC - II - 2648 - HKD HAI LÚA - SUPER ROOTS (Nước nâu đen) - 500ml - 30</v>
      </c>
    </row>
    <row r="3304">
      <c r="A3304" s="86">
        <f>IFERROR(__xludf.DUMMYFUNCTION("""COMPUTED_VALUE"""),3302.0)</f>
        <v>3302</v>
      </c>
      <c r="B3304" s="87" t="str">
        <f>IFERROR(__xludf.DUMMYFUNCTION("""COMPUTED_VALUE"""),"Nhãn thùng")</f>
        <v>Nhãn thùng</v>
      </c>
      <c r="C3304" s="87" t="str">
        <f>IFERROR(__xludf.DUMMYFUNCTION("""COMPUTED_VALUE"""),"NDT2648")</f>
        <v>NDT2648</v>
      </c>
      <c r="D3304" s="87" t="str">
        <f>IFERROR(__xludf.DUMMYFUNCTION("""COMPUTED_VALUE"""),"[Nhãn thùng] GC - II - 2648 - HKD HAI LÚA - SUPER ROOTS (Nước nâu đen) - 500ml - 30")</f>
        <v>[Nhãn thùng] GC - II - 2648 - HKD HAI LÚA - SUPER ROOTS (Nước nâu đen) - 500ml - 30</v>
      </c>
      <c r="E3304" s="87" t="str">
        <f>IFERROR(__xludf.DUMMYFUNCTION("""COMPUTED_VALUE"""),"Hữu cơ SH Agro Organic Fertilizer 20")</f>
        <v>Hữu cơ SH Agro Organic Fertilizer 20</v>
      </c>
      <c r="F3304" s="87" t="str">
        <f>IFERROR(__xludf.DUMMYFUNCTION("""COMPUTED_VALUE"""),"HH2648")</f>
        <v>HH2648</v>
      </c>
      <c r="G3304" s="87" t="str">
        <f>IFERROR(__xludf.DUMMYFUNCTION("""COMPUTED_VALUE"""),"GC - II - 2648 - HKD HAI LÚA - SUPER ROOTS (Nước nâu đen) - 500ml - 30")</f>
        <v>GC - II - 2648 - HKD HAI LÚA - SUPER ROOTS (Nước nâu đen) - 500ml - 30</v>
      </c>
    </row>
    <row r="3305">
      <c r="A3305" s="86">
        <f>IFERROR(__xludf.DUMMYFUNCTION("""COMPUTED_VALUE"""),3303.0)</f>
        <v>3303</v>
      </c>
      <c r="B3305" s="87" t="str">
        <f>IFERROR(__xludf.DUMMYFUNCTION("""COMPUTED_VALUE"""),"Nhãn")</f>
        <v>Nhãn</v>
      </c>
      <c r="C3305" s="87" t="str">
        <f>IFERROR(__xludf.DUMMYFUNCTION("""COMPUTED_VALUE"""),"NHG2649")</f>
        <v>NHG2649</v>
      </c>
      <c r="D3305" s="87" t="str">
        <f>IFERROR(__xludf.DUMMYFUNCTION("""COMPUTED_VALUE"""),"[Nhãn] GC - IV - 2649 - Cty Hóa Nông Shino - BIM 999 (Nước cam) - 450ml - 30")</f>
        <v>[Nhãn] GC - IV - 2649 - Cty Hóa Nông Shino - BIM 999 (Nước cam) - 450ml - 30</v>
      </c>
      <c r="E3305" s="87" t="str">
        <f>IFERROR(__xludf.DUMMYFUNCTION("""COMPUTED_VALUE"""),"CITTIZEN 333SC")</f>
        <v>CITTIZEN 333SC</v>
      </c>
      <c r="F3305" s="87" t="str">
        <f>IFERROR(__xludf.DUMMYFUNCTION("""COMPUTED_VALUE"""),"HH2649")</f>
        <v>HH2649</v>
      </c>
      <c r="G3305" s="87" t="str">
        <f>IFERROR(__xludf.DUMMYFUNCTION("""COMPUTED_VALUE"""),"GC - IV - 2649 - Cty Hóa Nông Shino - BIM 999 (Nước cam) - 450ml - 30")</f>
        <v>GC - IV - 2649 - Cty Hóa Nông Shino - BIM 999 (Nước cam) - 450ml - 30</v>
      </c>
    </row>
    <row r="3306">
      <c r="A3306" s="86">
        <f>IFERROR(__xludf.DUMMYFUNCTION("""COMPUTED_VALUE"""),3304.0)</f>
        <v>3304</v>
      </c>
      <c r="B3306" s="87" t="str">
        <f>IFERROR(__xludf.DUMMYFUNCTION("""COMPUTED_VALUE"""),"Nhãn")</f>
        <v>Nhãn</v>
      </c>
      <c r="C3306" s="87" t="str">
        <f>IFERROR(__xludf.DUMMYFUNCTION("""COMPUTED_VALUE"""),"NHG2650")</f>
        <v>NHG2650</v>
      </c>
      <c r="D3306" s="87" t="str">
        <f>IFERROR(__xludf.DUMMYFUNCTION("""COMPUTED_VALUE"""),"[Nhãn] GC - IV - 2650 - Cty Hóa Nông Shino - BIM SHINO (Nước cam) - 450ml - 30")</f>
        <v>[Nhãn] GC - IV - 2650 - Cty Hóa Nông Shino - BIM SHINO (Nước cam) - 450ml - 30</v>
      </c>
      <c r="E3306" s="87" t="str">
        <f>IFERROR(__xludf.DUMMYFUNCTION("""COMPUTED_VALUE"""),"CITTIZEN 333SC")</f>
        <v>CITTIZEN 333SC</v>
      </c>
      <c r="F3306" s="87" t="str">
        <f>IFERROR(__xludf.DUMMYFUNCTION("""COMPUTED_VALUE"""),"HH2650")</f>
        <v>HH2650</v>
      </c>
      <c r="G3306" s="87" t="str">
        <f>IFERROR(__xludf.DUMMYFUNCTION("""COMPUTED_VALUE"""),"GC - IV - 2650 - Cty Hóa Nông Shino - BIM SHINO (Nước cam) - 450ml - 30")</f>
        <v>GC - IV - 2650 - Cty Hóa Nông Shino - BIM SHINO (Nước cam) - 450ml - 30</v>
      </c>
    </row>
    <row r="3307">
      <c r="A3307" s="86">
        <f>IFERROR(__xludf.DUMMYFUNCTION("""COMPUTED_VALUE"""),3305.0)</f>
        <v>3305</v>
      </c>
      <c r="B3307" s="87" t="str">
        <f>IFERROR(__xludf.DUMMYFUNCTION("""COMPUTED_VALUE"""),"Nhãn")</f>
        <v>Nhãn</v>
      </c>
      <c r="C3307" s="87" t="str">
        <f>IFERROR(__xludf.DUMMYFUNCTION("""COMPUTED_VALUE"""),"NHG2651")</f>
        <v>NHG2651</v>
      </c>
      <c r="D3307" s="87" t="str">
        <f>IFERROR(__xludf.DUMMYFUNCTION("""COMPUTED_VALUE"""),"[Nhãn] GC - IV - 2651 - Cty Hóa Nông Shino - BIM SHINO (Nước cam) - 450ml - 30")</f>
        <v>[Nhãn] GC - IV - 2651 - Cty Hóa Nông Shino - BIM SHINO (Nước cam) - 450ml - 30</v>
      </c>
      <c r="E3307" s="87" t="str">
        <f>IFERROR(__xludf.DUMMYFUNCTION("""COMPUTED_VALUE"""),"CITTIZEN 333SC")</f>
        <v>CITTIZEN 333SC</v>
      </c>
      <c r="F3307" s="87" t="str">
        <f>IFERROR(__xludf.DUMMYFUNCTION("""COMPUTED_VALUE"""),"HH2651")</f>
        <v>HH2651</v>
      </c>
      <c r="G3307" s="87" t="str">
        <f>IFERROR(__xludf.DUMMYFUNCTION("""COMPUTED_VALUE"""),"GC - IV - 2651 - Cty Hóa Nông Shino - BIM SHINO (Nước cam) - 450ml - 30")</f>
        <v>GC - IV - 2651 - Cty Hóa Nông Shino - BIM SHINO (Nước cam) - 450ml - 30</v>
      </c>
    </row>
    <row r="3308">
      <c r="A3308" s="86">
        <f>IFERROR(__xludf.DUMMYFUNCTION("""COMPUTED_VALUE"""),3306.0)</f>
        <v>3306</v>
      </c>
      <c r="B3308" s="87" t="str">
        <f>IFERROR(__xludf.DUMMYFUNCTION("""COMPUTED_VALUE"""),"Nhãn")</f>
        <v>Nhãn</v>
      </c>
      <c r="C3308" s="87" t="str">
        <f>IFERROR(__xludf.DUMMYFUNCTION("""COMPUTED_VALUE"""),"NHG2652")</f>
        <v>NHG2652</v>
      </c>
      <c r="D3308" s="87" t="str">
        <f>IFERROR(__xludf.DUMMYFUNCTION("""COMPUTED_VALUE"""),"[Nhãn] GC - II - 2652 - AGC - Open Xtra 44L - (nước vàng) - 120ml - 50")</f>
        <v>[Nhãn] GC - II - 2652 - AGC - Open Xtra 44L - (nước vàng) - 120ml - 50</v>
      </c>
      <c r="E3308" s="87" t="str">
        <f>IFERROR(__xludf.DUMMYFUNCTION("""COMPUTED_VALUE"""),"Vi lượng Quantity New")</f>
        <v>Vi lượng Quantity New</v>
      </c>
      <c r="F3308" s="87" t="str">
        <f>IFERROR(__xludf.DUMMYFUNCTION("""COMPUTED_VALUE"""),"HH2652")</f>
        <v>HH2652</v>
      </c>
      <c r="G3308" s="87" t="str">
        <f>IFERROR(__xludf.DUMMYFUNCTION("""COMPUTED_VALUE"""),"GC - II - 2652 - AGC - Open Xtra 44L - (nước vàng) - 120ml - 50")</f>
        <v>GC - II - 2652 - AGC - Open Xtra 44L - (nước vàng) - 120ml - 50</v>
      </c>
    </row>
    <row r="3309">
      <c r="A3309" s="86">
        <f>IFERROR(__xludf.DUMMYFUNCTION("""COMPUTED_VALUE"""),3307.0)</f>
        <v>3307</v>
      </c>
      <c r="B3309" s="87" t="str">
        <f>IFERROR(__xludf.DUMMYFUNCTION("""COMPUTED_VALUE"""),"Nhãn")</f>
        <v>Nhãn</v>
      </c>
      <c r="C3309" s="87" t="str">
        <f>IFERROR(__xludf.DUMMYFUNCTION("""COMPUTED_VALUE"""),"NHG2653")</f>
        <v>NHG2653</v>
      </c>
      <c r="D3309" s="87" t="str">
        <f>IFERROR(__xludf.DUMMYFUNCTION("""COMPUTED_VALUE"""),"[Nhãn]  GC - IV - 2653 - CTY ECO - SUPER MITE (Nước xanh lá) - 200ml - 60")</f>
        <v>[Nhãn]  GC - IV - 2653 - CTY ECO - SUPER MITE (Nước xanh lá) - 200ml - 60</v>
      </c>
      <c r="E3309" s="87" t="str">
        <f>IFERROR(__xludf.DUMMYFUNCTION("""COMPUTED_VALUE"""),"Chitin 3.6EC")</f>
        <v>Chitin 3.6EC</v>
      </c>
      <c r="F3309" s="87" t="str">
        <f>IFERROR(__xludf.DUMMYFUNCTION("""COMPUTED_VALUE"""),"HH2653")</f>
        <v>HH2653</v>
      </c>
      <c r="G3309" s="87" t="str">
        <f>IFERROR(__xludf.DUMMYFUNCTION("""COMPUTED_VALUE"""),"GC - IV - 2653 - CTY ECO - SUPER MITE (Nước xanh lá) - 200ml - 60")</f>
        <v>GC - IV - 2653 - CTY ECO - SUPER MITE (Nước xanh lá) - 200ml - 60</v>
      </c>
    </row>
    <row r="3310">
      <c r="A3310" s="86">
        <f>IFERROR(__xludf.DUMMYFUNCTION("""COMPUTED_VALUE"""),3308.0)</f>
        <v>3308</v>
      </c>
      <c r="B3310" s="87" t="str">
        <f>IFERROR(__xludf.DUMMYFUNCTION("""COMPUTED_VALUE"""),"Nhãn")</f>
        <v>Nhãn</v>
      </c>
      <c r="C3310" s="87" t="str">
        <f>IFERROR(__xludf.DUMMYFUNCTION("""COMPUTED_VALUE"""),"NTN2654")</f>
        <v>NTN2654</v>
      </c>
      <c r="D3310" s="87" t="str">
        <f>IFERROR(__xludf.DUMMYFUNCTION("""COMPUTED_VALUE"""),"[Nhãn] GC - IV - 2654 - Agritech (Anh Trương) - FAST KILL SNAIL (Bột vàng nghệ) - 70gr - 150")</f>
        <v>[Nhãn] GC - IV - 2654 - Agritech (Anh Trương) - FAST KILL SNAIL (Bột vàng nghệ) - 70gr - 150</v>
      </c>
      <c r="E3310" s="87" t="str">
        <f>IFERROR(__xludf.DUMMYFUNCTION("""COMPUTED_VALUE"""),"NP SNAILICIDE 700WP")</f>
        <v>NP SNAILICIDE 700WP</v>
      </c>
      <c r="F3310" s="87" t="str">
        <f>IFERROR(__xludf.DUMMYFUNCTION("""COMPUTED_VALUE"""),"HH2654")</f>
        <v>HH2654</v>
      </c>
      <c r="G3310" s="87" t="str">
        <f>IFERROR(__xludf.DUMMYFUNCTION("""COMPUTED_VALUE"""),"GC - IV - 2654 - Agritech (Anh Trương) - FAST KILL SNAIL (Bột vàng nghệ) - 70gr - 150")</f>
        <v>GC - IV - 2654 - Agritech (Anh Trương) - FAST KILL SNAIL (Bột vàng nghệ) - 70gr - 150</v>
      </c>
    </row>
    <row r="3311">
      <c r="A3311" s="86">
        <f>IFERROR(__xludf.DUMMYFUNCTION("""COMPUTED_VALUE"""),3309.0)</f>
        <v>3309</v>
      </c>
      <c r="B3311" s="87" t="str">
        <f>IFERROR(__xludf.DUMMYFUNCTION("""COMPUTED_VALUE"""),"Nhãn thùng")</f>
        <v>Nhãn thùng</v>
      </c>
      <c r="C3311" s="87" t="str">
        <f>IFERROR(__xludf.DUMMYFUNCTION("""COMPUTED_VALUE"""),"NDT2654")</f>
        <v>NDT2654</v>
      </c>
      <c r="D3311" s="87" t="str">
        <f>IFERROR(__xludf.DUMMYFUNCTION("""COMPUTED_VALUE"""),"[Nhãn thùng] GC - IV - 2654 - Agritech (Anh Trương) - FAST KILL SNAIL (Bột vàng nghệ) - 70gr - 150")</f>
        <v>[Nhãn thùng] GC - IV - 2654 - Agritech (Anh Trương) - FAST KILL SNAIL (Bột vàng nghệ) - 70gr - 150</v>
      </c>
      <c r="E3311" s="87" t="str">
        <f>IFERROR(__xludf.DUMMYFUNCTION("""COMPUTED_VALUE"""),"NP SNAILICIDE 700WP")</f>
        <v>NP SNAILICIDE 700WP</v>
      </c>
      <c r="F3311" s="87" t="str">
        <f>IFERROR(__xludf.DUMMYFUNCTION("""COMPUTED_VALUE"""),"HH2654")</f>
        <v>HH2654</v>
      </c>
      <c r="G3311" s="87" t="str">
        <f>IFERROR(__xludf.DUMMYFUNCTION("""COMPUTED_VALUE"""),"GC - IV - 2654 - Agritech (Anh Trương) - FAST KILL SNAIL (Bột vàng nghệ) - 70gr - 150")</f>
        <v>GC - IV - 2654 - Agritech (Anh Trương) - FAST KILL SNAIL (Bột vàng nghệ) - 70gr - 150</v>
      </c>
    </row>
    <row r="3312">
      <c r="A3312" s="86">
        <f>IFERROR(__xludf.DUMMYFUNCTION("""COMPUTED_VALUE"""),3310.0)</f>
        <v>3310</v>
      </c>
      <c r="B3312" s="87" t="str">
        <f>IFERROR(__xludf.DUMMYFUNCTION("""COMPUTED_VALUE"""),"Nhãn")</f>
        <v>Nhãn</v>
      </c>
      <c r="C3312" s="87" t="str">
        <f>IFERROR(__xludf.DUMMYFUNCTION("""COMPUTED_VALUE"""),"NHD2655")</f>
        <v>NHD2655</v>
      </c>
      <c r="D3312" s="87" t="str">
        <f>IFERROR(__xludf.DUMMYFUNCTION("""COMPUTED_VALUE"""),"[Nhãn] GC - IV - 2655 - CTY THIÊN DI - CREEK 2.1EC (Nước vàng trà) - 400ml - 40")</f>
        <v>[Nhãn] GC - IV - 2655 - CTY THIÊN DI - CREEK 2.1EC (Nước vàng trà) - 400ml - 40</v>
      </c>
      <c r="E3312" s="87" t="str">
        <f>IFERROR(__xludf.DUMMYFUNCTION("""COMPUTED_VALUE"""),"Creek 2.1EC")</f>
        <v>Creek 2.1EC</v>
      </c>
      <c r="F3312" s="87" t="str">
        <f>IFERROR(__xludf.DUMMYFUNCTION("""COMPUTED_VALUE"""),"HH2655")</f>
        <v>HH2655</v>
      </c>
      <c r="G3312" s="87" t="str">
        <f>IFERROR(__xludf.DUMMYFUNCTION("""COMPUTED_VALUE"""),"GC - IV - 2655 - CTY THIÊN DI - CREEK 2.1EC (Nước vàng trà) - 400ml - 40")</f>
        <v>GC - IV - 2655 - CTY THIÊN DI - CREEK 2.1EC (Nước vàng trà) - 400ml - 40</v>
      </c>
    </row>
    <row r="3313">
      <c r="A3313" s="86">
        <f>IFERROR(__xludf.DUMMYFUNCTION("""COMPUTED_VALUE"""),3311.0)</f>
        <v>3311</v>
      </c>
      <c r="B3313" s="87" t="str">
        <f>IFERROR(__xludf.DUMMYFUNCTION("""COMPUTED_VALUE"""),"Nhãn thùng")</f>
        <v>Nhãn thùng</v>
      </c>
      <c r="C3313" s="87" t="str">
        <f>IFERROR(__xludf.DUMMYFUNCTION("""COMPUTED_VALUE"""),"NDT2655")</f>
        <v>NDT2655</v>
      </c>
      <c r="D3313" s="87" t="str">
        <f>IFERROR(__xludf.DUMMYFUNCTION("""COMPUTED_VALUE"""),"[Nhãn thùng] GC - IV - 2655 - CTY THIÊN DI - CREEK 2.1EC (Nước vàng trà) - 400ml - 40")</f>
        <v>[Nhãn thùng] GC - IV - 2655 - CTY THIÊN DI - CREEK 2.1EC (Nước vàng trà) - 400ml - 40</v>
      </c>
      <c r="E3313" s="87" t="str">
        <f>IFERROR(__xludf.DUMMYFUNCTION("""COMPUTED_VALUE"""),"Creek 2.1EC")</f>
        <v>Creek 2.1EC</v>
      </c>
      <c r="F3313" s="87" t="str">
        <f>IFERROR(__xludf.DUMMYFUNCTION("""COMPUTED_VALUE"""),"HH2655")</f>
        <v>HH2655</v>
      </c>
      <c r="G3313" s="87" t="str">
        <f>IFERROR(__xludf.DUMMYFUNCTION("""COMPUTED_VALUE"""),"GC - IV - 2655 - CTY THIÊN DI - CREEK 2.1EC (Nước vàng trà) - 400ml - 40")</f>
        <v>GC - IV - 2655 - CTY THIÊN DI - CREEK 2.1EC (Nước vàng trà) - 400ml - 40</v>
      </c>
    </row>
    <row r="3314">
      <c r="A3314" s="86">
        <f>IFERROR(__xludf.DUMMYFUNCTION("""COMPUTED_VALUE"""),3312.0)</f>
        <v>3312</v>
      </c>
      <c r="B3314" s="87" t="str">
        <f>IFERROR(__xludf.DUMMYFUNCTION("""COMPUTED_VALUE"""),"Nhãn")</f>
        <v>Nhãn</v>
      </c>
      <c r="C3314" s="87" t="str">
        <f>IFERROR(__xludf.DUMMYFUNCTION("""COMPUTED_VALUE"""),"NHD2656")</f>
        <v>NHD2656</v>
      </c>
      <c r="D3314" s="87" t="str">
        <f>IFERROR(__xludf.DUMMYFUNCTION("""COMPUTED_VALUE"""),"[Nhãn] GC - IV - 2656 - Cty Hương Nông - HN-pH++ (Nước nâu đen) - 5L - 4")</f>
        <v>[Nhãn] GC - IV - 2656 - Cty Hương Nông - HN-pH++ (Nước nâu đen) - 5L - 4</v>
      </c>
      <c r="E3314" s="87" t="str">
        <f>IFERROR(__xludf.DUMMYFUNCTION("""COMPUTED_VALUE"""),"Hữu cơ SH Agro Organic Fertilizer 20")</f>
        <v>Hữu cơ SH Agro Organic Fertilizer 20</v>
      </c>
      <c r="F3314" s="87" t="str">
        <f>IFERROR(__xludf.DUMMYFUNCTION("""COMPUTED_VALUE"""),"HH2656")</f>
        <v>HH2656</v>
      </c>
      <c r="G3314" s="87" t="str">
        <f>IFERROR(__xludf.DUMMYFUNCTION("""COMPUTED_VALUE"""),"GC - IV - 2656 - Cty Hương Nông - HN-pH++ (Nước nâu đen) - 5L - 4")</f>
        <v>GC - IV - 2656 - Cty Hương Nông - HN-pH++ (Nước nâu đen) - 5L - 4</v>
      </c>
    </row>
    <row r="3315">
      <c r="A3315" s="86">
        <f>IFERROR(__xludf.DUMMYFUNCTION("""COMPUTED_VALUE"""),3313.0)</f>
        <v>3313</v>
      </c>
      <c r="B3315" s="87" t="str">
        <f>IFERROR(__xludf.DUMMYFUNCTION("""COMPUTED_VALUE"""),"Nhãn thùng")</f>
        <v>Nhãn thùng</v>
      </c>
      <c r="C3315" s="87" t="str">
        <f>IFERROR(__xludf.DUMMYFUNCTION("""COMPUTED_VALUE"""),"NDT2656")</f>
        <v>NDT2656</v>
      </c>
      <c r="D3315" s="87" t="str">
        <f>IFERROR(__xludf.DUMMYFUNCTION("""COMPUTED_VALUE"""),"[Nhãn thùng] GC - IV - 2656 - Cty Hương Nông - HN-pH++ (Nước nâu đen) - 5L - 4")</f>
        <v>[Nhãn thùng] GC - IV - 2656 - Cty Hương Nông - HN-pH++ (Nước nâu đen) - 5L - 4</v>
      </c>
      <c r="E3315" s="87" t="str">
        <f>IFERROR(__xludf.DUMMYFUNCTION("""COMPUTED_VALUE"""),"Hữu cơ SH Agro Organic Fertilizer 20")</f>
        <v>Hữu cơ SH Agro Organic Fertilizer 20</v>
      </c>
      <c r="F3315" s="87" t="str">
        <f>IFERROR(__xludf.DUMMYFUNCTION("""COMPUTED_VALUE"""),"HH2656")</f>
        <v>HH2656</v>
      </c>
      <c r="G3315" s="87" t="str">
        <f>IFERROR(__xludf.DUMMYFUNCTION("""COMPUTED_VALUE"""),"GC - IV - 2656 - Cty Hương Nông - HN-pH++ (Nước nâu đen) - 5L - 4")</f>
        <v>GC - IV - 2656 - Cty Hương Nông - HN-pH++ (Nước nâu đen) - 5L - 4</v>
      </c>
    </row>
    <row r="3316">
      <c r="A3316" s="86">
        <f>IFERROR(__xludf.DUMMYFUNCTION("""COMPUTED_VALUE"""),3314.0)</f>
        <v>3314</v>
      </c>
      <c r="B3316" s="87" t="str">
        <f>IFERROR(__xludf.DUMMYFUNCTION("""COMPUTED_VALUE"""),"Nhãn")</f>
        <v>Nhãn</v>
      </c>
      <c r="C3316" s="87" t="str">
        <f>IFERROR(__xludf.DUMMYFUNCTION("""COMPUTED_VALUE"""),"NHG2657")</f>
        <v>NHG2657</v>
      </c>
      <c r="D3316" s="87" t="str">
        <f>IFERROR(__xludf.DUMMYFUNCTION("""COMPUTED_VALUE"""),"[Nhãn] GC - IV - 2657 - Cty Hóa Nông Shino - CHIM ƯNG (Nước trắng sữa) - 200ml - 40")</f>
        <v>[Nhãn] GC - IV - 2657 - Cty Hóa Nông Shino - CHIM ƯNG (Nước trắng sữa) - 200ml - 40</v>
      </c>
      <c r="E3316" s="87" t="str">
        <f>IFERROR(__xludf.DUMMYFUNCTION("""COMPUTED_VALUE"""),"VOTE 34.2SC")</f>
        <v>VOTE 34.2SC</v>
      </c>
      <c r="F3316" s="87" t="str">
        <f>IFERROR(__xludf.DUMMYFUNCTION("""COMPUTED_VALUE"""),"HH2657")</f>
        <v>HH2657</v>
      </c>
      <c r="G3316" s="87" t="str">
        <f>IFERROR(__xludf.DUMMYFUNCTION("""COMPUTED_VALUE"""),"GC - IV - 2657 - Cty Hóa Nông Shino - CHIM ƯNG (Nước trắng sữa) - 200ml - 40")</f>
        <v>GC - IV - 2657 - Cty Hóa Nông Shino - CHIM ƯNG (Nước trắng sữa) - 200ml - 40</v>
      </c>
    </row>
    <row r="3317">
      <c r="A3317" s="86">
        <f>IFERROR(__xludf.DUMMYFUNCTION("""COMPUTED_VALUE"""),3315.0)</f>
        <v>3315</v>
      </c>
      <c r="B3317" s="87" t="str">
        <f>IFERROR(__xludf.DUMMYFUNCTION("""COMPUTED_VALUE"""),"Nhãn")</f>
        <v>Nhãn</v>
      </c>
      <c r="C3317" s="87" t="str">
        <f>IFERROR(__xludf.DUMMYFUNCTION("""COMPUTED_VALUE"""),"NTN2658")</f>
        <v>NTN2658</v>
      </c>
      <c r="D3317" s="87" t="str">
        <f>IFERROR(__xludf.DUMMYFUNCTION("""COMPUTED_VALUE"""),"[Nhãn] BAMBOO - II - 2658 - BAMBOO XRAY (Bột trắng ngà) - 100gr - 100")</f>
        <v>[Nhãn] BAMBOO - II - 2658 - BAMBOO XRAY (Bột trắng ngà) - 100gr - 100</v>
      </c>
      <c r="E3317" s="87" t="str">
        <f>IFERROR(__xludf.DUMMYFUNCTION("""COMPUTED_VALUE"""),"KHONGRAY 54WP")</f>
        <v>KHONGRAY 54WP</v>
      </c>
      <c r="F3317" s="87" t="str">
        <f>IFERROR(__xludf.DUMMYFUNCTION("""COMPUTED_VALUE"""),"HH2658")</f>
        <v>HH2658</v>
      </c>
      <c r="G3317" s="87" t="str">
        <f>IFERROR(__xludf.DUMMYFUNCTION("""COMPUTED_VALUE"""),"BAMBOO - II - 2658 - BAMBOO XRAY (Bột trắng ngà) - 100gr - 100")</f>
        <v>BAMBOO - II - 2658 - BAMBOO XRAY (Bột trắng ngà) - 100gr - 100</v>
      </c>
    </row>
    <row r="3318">
      <c r="A3318" s="86">
        <f>IFERROR(__xludf.DUMMYFUNCTION("""COMPUTED_VALUE"""),3316.0)</f>
        <v>3316</v>
      </c>
      <c r="B3318" s="87" t="str">
        <f>IFERROR(__xludf.DUMMYFUNCTION("""COMPUTED_VALUE"""),"Nhãn thùng")</f>
        <v>Nhãn thùng</v>
      </c>
      <c r="C3318" s="87" t="str">
        <f>IFERROR(__xludf.DUMMYFUNCTION("""COMPUTED_VALUE"""),"NDT2658")</f>
        <v>NDT2658</v>
      </c>
      <c r="D3318" s="87" t="str">
        <f>IFERROR(__xludf.DUMMYFUNCTION("""COMPUTED_VALUE"""),"[Nhãn thùng] BAMBOO - II - 2658 - BAMBOO XRAY (Bột trắng ngà) - 100gr - 100")</f>
        <v>[Nhãn thùng] BAMBOO - II - 2658 - BAMBOO XRAY (Bột trắng ngà) - 100gr - 100</v>
      </c>
      <c r="E3318" s="87" t="str">
        <f>IFERROR(__xludf.DUMMYFUNCTION("""COMPUTED_VALUE"""),"KHONGRAY 54WP")</f>
        <v>KHONGRAY 54WP</v>
      </c>
      <c r="F3318" s="87" t="str">
        <f>IFERROR(__xludf.DUMMYFUNCTION("""COMPUTED_VALUE"""),"HH2658")</f>
        <v>HH2658</v>
      </c>
      <c r="G3318" s="87" t="str">
        <f>IFERROR(__xludf.DUMMYFUNCTION("""COMPUTED_VALUE"""),"BAMBOO - II - 2658 - BAMBOO XRAY (Bột trắng ngà) - 100gr - 100")</f>
        <v>BAMBOO - II - 2658 - BAMBOO XRAY (Bột trắng ngà) - 100gr - 100</v>
      </c>
    </row>
    <row r="3319">
      <c r="A3319" s="86">
        <f>IFERROR(__xludf.DUMMYFUNCTION("""COMPUTED_VALUE"""),3317.0)</f>
        <v>3317</v>
      </c>
      <c r="B3319" s="87" t="str">
        <f>IFERROR(__xludf.DUMMYFUNCTION("""COMPUTED_VALUE"""),"Nhãn")</f>
        <v>Nhãn</v>
      </c>
      <c r="C3319" s="87" t="str">
        <f>IFERROR(__xludf.DUMMYFUNCTION("""COMPUTED_VALUE"""),"NHG2659")</f>
        <v>NHG2659</v>
      </c>
      <c r="D3319" s="87" t="str">
        <f>IFERROR(__xludf.DUMMYFUNCTION("""COMPUTED_VALUE"""),"[Nhãn] GC - II - 2659 - HKD HAI LÚA XANH - BOOM FLOWER 2 (Nước nâu đen) - 500ml - 30")</f>
        <v>[Nhãn] GC - II - 2659 - HKD HAI LÚA XANH - BOOM FLOWER 2 (Nước nâu đen) - 500ml - 30</v>
      </c>
      <c r="E3319" s="87" t="str">
        <f>IFERROR(__xludf.DUMMYFUNCTION("""COMPUTED_VALUE"""),"vi lượng HELP FARMER_3")</f>
        <v>vi lượng HELP FARMER_3</v>
      </c>
      <c r="F3319" s="87" t="str">
        <f>IFERROR(__xludf.DUMMYFUNCTION("""COMPUTED_VALUE"""),"HH2659")</f>
        <v>HH2659</v>
      </c>
      <c r="G3319" s="87" t="str">
        <f>IFERROR(__xludf.DUMMYFUNCTION("""COMPUTED_VALUE"""),"GC - II - 2659 - HKD HAI LÚA XANH - BOOM FLOWER 2 (Nước nâu đen) - 500ml - 30")</f>
        <v>GC - II - 2659 - HKD HAI LÚA XANH - BOOM FLOWER 2 (Nước nâu đen) - 500ml - 30</v>
      </c>
    </row>
    <row r="3320">
      <c r="A3320" s="86">
        <f>IFERROR(__xludf.DUMMYFUNCTION("""COMPUTED_VALUE"""),3318.0)</f>
        <v>3318</v>
      </c>
      <c r="B3320" s="87" t="str">
        <f>IFERROR(__xludf.DUMMYFUNCTION("""COMPUTED_VALUE"""),"Nhãn thùng")</f>
        <v>Nhãn thùng</v>
      </c>
      <c r="C3320" s="87" t="str">
        <f>IFERROR(__xludf.DUMMYFUNCTION("""COMPUTED_VALUE"""),"NDT2659")</f>
        <v>NDT2659</v>
      </c>
      <c r="D3320" s="87" t="str">
        <f>IFERROR(__xludf.DUMMYFUNCTION("""COMPUTED_VALUE"""),"[Nhãn thùng] GC - II - 2659 - HKD HAI LÚA XANH - BOOM FLOWER 2 (Nước nâu đen) - 500ml - 30")</f>
        <v>[Nhãn thùng] GC - II - 2659 - HKD HAI LÚA XANH - BOOM FLOWER 2 (Nước nâu đen) - 500ml - 30</v>
      </c>
      <c r="E3320" s="87" t="str">
        <f>IFERROR(__xludf.DUMMYFUNCTION("""COMPUTED_VALUE"""),"vi lượng HELP FARMER_3")</f>
        <v>vi lượng HELP FARMER_3</v>
      </c>
      <c r="F3320" s="87" t="str">
        <f>IFERROR(__xludf.DUMMYFUNCTION("""COMPUTED_VALUE"""),"HH2659")</f>
        <v>HH2659</v>
      </c>
      <c r="G3320" s="87" t="str">
        <f>IFERROR(__xludf.DUMMYFUNCTION("""COMPUTED_VALUE"""),"GC - II - 2659 - HKD HAI LÚA XANH - BOOM FLOWER 2 (Nước nâu đen) - 500ml - 30")</f>
        <v>GC - II - 2659 - HKD HAI LÚA XANH - BOOM FLOWER 2 (Nước nâu đen) - 500ml - 30</v>
      </c>
    </row>
    <row r="3321">
      <c r="A3321" s="86">
        <f>IFERROR(__xludf.DUMMYFUNCTION("""COMPUTED_VALUE"""),3319.0)</f>
        <v>3319</v>
      </c>
      <c r="B3321" s="87" t="str">
        <f>IFERROR(__xludf.DUMMYFUNCTION("""COMPUTED_VALUE"""),"Nhãn")</f>
        <v>Nhãn</v>
      </c>
      <c r="C3321" s="87" t="str">
        <f>IFERROR(__xludf.DUMMYFUNCTION("""COMPUTED_VALUE"""),"NTN2660")</f>
        <v>NTN2660</v>
      </c>
      <c r="D3321" s="87" t="str">
        <f>IFERROR(__xludf.DUMMYFUNCTION("""COMPUTED_VALUE"""),"[Nhãn] GC - IV - 2660 - Cty SC Chemical - MANCOSUPER (bột vàng) - 1kg - 20")</f>
        <v>[Nhãn] GC - IV - 2660 - Cty SC Chemical - MANCOSUPER (bột vàng) - 1kg - 20</v>
      </c>
      <c r="E3321" s="87" t="str">
        <f>IFERROR(__xludf.DUMMYFUNCTION("""COMPUTED_VALUE"""),"MANCOBGO 80WP")</f>
        <v>MANCOBGO 80WP</v>
      </c>
      <c r="F3321" s="87" t="str">
        <f>IFERROR(__xludf.DUMMYFUNCTION("""COMPUTED_VALUE"""),"HH2660")</f>
        <v>HH2660</v>
      </c>
      <c r="G3321" s="87" t="str">
        <f>IFERROR(__xludf.DUMMYFUNCTION("""COMPUTED_VALUE"""),"GC - IV - 2660 - Cty SC Chemical - MANCOSUPER (bột vàng) - 1kg - 20")</f>
        <v>GC - IV - 2660 - Cty SC Chemical - MANCOSUPER (bột vàng) - 1kg - 20</v>
      </c>
    </row>
    <row r="3322">
      <c r="A3322" s="86">
        <f>IFERROR(__xludf.DUMMYFUNCTION("""COMPUTED_VALUE"""),3320.0)</f>
        <v>3320</v>
      </c>
      <c r="B3322" s="87" t="str">
        <f>IFERROR(__xludf.DUMMYFUNCTION("""COMPUTED_VALUE"""),"Nhãn thùng")</f>
        <v>Nhãn thùng</v>
      </c>
      <c r="C3322" s="87" t="str">
        <f>IFERROR(__xludf.DUMMYFUNCTION("""COMPUTED_VALUE"""),"NDT2660")</f>
        <v>NDT2660</v>
      </c>
      <c r="D3322" s="87" t="str">
        <f>IFERROR(__xludf.DUMMYFUNCTION("""COMPUTED_VALUE"""),"[Nhãn thùng] GC - IV - 2660 - Cty SC Chemical - MANCOSUPER (bột vàng) - 1kg - 20")</f>
        <v>[Nhãn thùng] GC - IV - 2660 - Cty SC Chemical - MANCOSUPER (bột vàng) - 1kg - 20</v>
      </c>
      <c r="E3322" s="87" t="str">
        <f>IFERROR(__xludf.DUMMYFUNCTION("""COMPUTED_VALUE"""),"MANCOBGO 80WP")</f>
        <v>MANCOBGO 80WP</v>
      </c>
      <c r="F3322" s="87" t="str">
        <f>IFERROR(__xludf.DUMMYFUNCTION("""COMPUTED_VALUE"""),"HH2660")</f>
        <v>HH2660</v>
      </c>
      <c r="G3322" s="87" t="str">
        <f>IFERROR(__xludf.DUMMYFUNCTION("""COMPUTED_VALUE"""),"GC - IV - 2660 - Cty SC Chemical - MANCOSUPER (bột vàng) - 1kg - 20")</f>
        <v>GC - IV - 2660 - Cty SC Chemical - MANCOSUPER (bột vàng) - 1kg - 20</v>
      </c>
    </row>
    <row r="3323">
      <c r="A3323" s="86">
        <f>IFERROR(__xludf.DUMMYFUNCTION("""COMPUTED_VALUE"""),3321.0)</f>
        <v>3321</v>
      </c>
      <c r="B3323" s="87" t="str">
        <f>IFERROR(__xludf.DUMMYFUNCTION("""COMPUTED_VALUE"""),"Nhãn")</f>
        <v>Nhãn</v>
      </c>
      <c r="C3323" s="87" t="str">
        <f>IFERROR(__xludf.DUMMYFUNCTION("""COMPUTED_VALUE"""),"NHG2661")</f>
        <v>NHG2661</v>
      </c>
      <c r="D3323" s="87" t="str">
        <f>IFERROR(__xludf.DUMMYFUNCTION("""COMPUTED_VALUE"""),"[Nhãn] GC - II - 2661 - AGC - OXYCIN 100WP (Bột trắng) - 250gr - 48")</f>
        <v>[Nhãn] GC - II - 2661 - AGC - OXYCIN 100WP (Bột trắng) - 250gr - 48</v>
      </c>
      <c r="E3323" s="87" t="str">
        <f>IFERROR(__xludf.DUMMYFUNCTION("""COMPUTED_VALUE"""),"Oxycin 100WP")</f>
        <v>Oxycin 100WP</v>
      </c>
      <c r="F3323" s="87" t="str">
        <f>IFERROR(__xludf.DUMMYFUNCTION("""COMPUTED_VALUE"""),"HH2661")</f>
        <v>HH2661</v>
      </c>
      <c r="G3323" s="87" t="str">
        <f>IFERROR(__xludf.DUMMYFUNCTION("""COMPUTED_VALUE"""),"GC - II - 2661 - AGC - OXYCIN 100WP (Bột trắng) - 250gr - 48")</f>
        <v>GC - II - 2661 - AGC - OXYCIN 100WP (Bột trắng) - 250gr - 48</v>
      </c>
    </row>
    <row r="3324">
      <c r="A3324" s="86">
        <f>IFERROR(__xludf.DUMMYFUNCTION("""COMPUTED_VALUE"""),3322.0)</f>
        <v>3322</v>
      </c>
      <c r="B3324" s="87" t="str">
        <f>IFERROR(__xludf.DUMMYFUNCTION("""COMPUTED_VALUE"""),"Nhãn")</f>
        <v>Nhãn</v>
      </c>
      <c r="C3324" s="87" t="str">
        <f>IFERROR(__xludf.DUMMYFUNCTION("""COMPUTED_VALUE"""),"NHG2662")</f>
        <v>NHG2662</v>
      </c>
      <c r="D3324" s="87" t="str">
        <f>IFERROR(__xludf.DUMMYFUNCTION("""COMPUTED_VALUE"""),"[Nhãn] GC - II - 2662 - AGC - GENOL+ (Nước tím đậm - V3) - 250ml - 40")</f>
        <v>[Nhãn] GC - II - 2662 - AGC - GENOL+ (Nước tím đậm - V3) - 250ml - 40</v>
      </c>
      <c r="E3324" s="87" t="str">
        <f>IFERROR(__xludf.DUMMYFUNCTION("""COMPUTED_VALUE"""),"GENOL 1.2SL")</f>
        <v>GENOL 1.2SL</v>
      </c>
      <c r="F3324" s="87" t="str">
        <f>IFERROR(__xludf.DUMMYFUNCTION("""COMPUTED_VALUE"""),"HH2662")</f>
        <v>HH2662</v>
      </c>
      <c r="G3324" s="87" t="str">
        <f>IFERROR(__xludf.DUMMYFUNCTION("""COMPUTED_VALUE"""),"GC - II - 2662 - AGC - GENOL+ (Nước tím đậm - V3) - 250ml - 40")</f>
        <v>GC - II - 2662 - AGC - GENOL+ (Nước tím đậm - V3) - 250ml - 40</v>
      </c>
    </row>
    <row r="3325">
      <c r="A3325" s="86">
        <f>IFERROR(__xludf.DUMMYFUNCTION("""COMPUTED_VALUE"""),3323.0)</f>
        <v>3323</v>
      </c>
      <c r="B3325" s="87" t="str">
        <f>IFERROR(__xludf.DUMMYFUNCTION("""COMPUTED_VALUE"""),"Nhãn")</f>
        <v>Nhãn</v>
      </c>
      <c r="C3325" s="87" t="str">
        <f>IFERROR(__xludf.DUMMYFUNCTION("""COMPUTED_VALUE"""),"NHD2662")</f>
        <v>NHD2662</v>
      </c>
      <c r="D3325" s="87" t="str">
        <f>IFERROR(__xludf.DUMMYFUNCTION("""COMPUTED_VALUE"""),"[Nhãn] GC - II - 2662 - AGC - GENOL+ (Nước tím đậm - V3) - 250ml - 40")</f>
        <v>[Nhãn] GC - II - 2662 - AGC - GENOL+ (Nước tím đậm - V3) - 250ml - 40</v>
      </c>
      <c r="E3325" s="87" t="str">
        <f>IFERROR(__xludf.DUMMYFUNCTION("""COMPUTED_VALUE"""),"GENOL 1.2SL")</f>
        <v>GENOL 1.2SL</v>
      </c>
      <c r="F3325" s="87" t="str">
        <f>IFERROR(__xludf.DUMMYFUNCTION("""COMPUTED_VALUE"""),"HH2662")</f>
        <v>HH2662</v>
      </c>
      <c r="G3325" s="87" t="str">
        <f>IFERROR(__xludf.DUMMYFUNCTION("""COMPUTED_VALUE"""),"GC - II - 2662 - AGC - GENOL+ (Nước tím đậm - V3) - 250ml - 40")</f>
        <v>GC - II - 2662 - AGC - GENOL+ (Nước tím đậm - V3) - 250ml - 40</v>
      </c>
    </row>
    <row r="3326">
      <c r="A3326" s="86">
        <f>IFERROR(__xludf.DUMMYFUNCTION("""COMPUTED_VALUE"""),3324.0)</f>
        <v>3324</v>
      </c>
      <c r="B3326" s="87" t="str">
        <f>IFERROR(__xludf.DUMMYFUNCTION("""COMPUTED_VALUE"""),"Nhãn")</f>
        <v>Nhãn</v>
      </c>
      <c r="C3326" s="87" t="str">
        <f>IFERROR(__xludf.DUMMYFUNCTION("""COMPUTED_VALUE"""),"NHG2663")</f>
        <v>NHG2663</v>
      </c>
      <c r="D3326" s="87" t="str">
        <f>IFERROR(__xludf.DUMMYFUNCTION("""COMPUTED_VALUE"""),"[Nhãn] GC - IV - 2663 - CTY HƯƠNG NÔNG - SIÊU DIỆT NẤM KHUẨN (Nước đỏ - V4) - 250ml - 40")</f>
        <v>[Nhãn] GC - IV - 2663 - CTY HƯƠNG NÔNG - SIÊU DIỆT NẤM KHUẨN (Nước đỏ - V4) - 250ml - 40</v>
      </c>
      <c r="E3326" s="87" t="str">
        <f>IFERROR(__xludf.DUMMYFUNCTION("""COMPUTED_VALUE"""),"GENOL 1.2SL")</f>
        <v>GENOL 1.2SL</v>
      </c>
      <c r="F3326" s="87" t="str">
        <f>IFERROR(__xludf.DUMMYFUNCTION("""COMPUTED_VALUE"""),"HH2663")</f>
        <v>HH2663</v>
      </c>
      <c r="G3326" s="87" t="str">
        <f>IFERROR(__xludf.DUMMYFUNCTION("""COMPUTED_VALUE"""),"GC - IV - 2663 - CTY HƯƠNG NÔNG - SIÊU DIỆT NẤM KHUẨN (Nước đỏ - V4) - 250ml - 40")</f>
        <v>GC - IV - 2663 - CTY HƯƠNG NÔNG - SIÊU DIỆT NẤM KHUẨN (Nước đỏ - V4) - 250ml - 40</v>
      </c>
    </row>
    <row r="3327">
      <c r="A3327" s="86">
        <f>IFERROR(__xludf.DUMMYFUNCTION("""COMPUTED_VALUE"""),3325.0)</f>
        <v>3325</v>
      </c>
      <c r="B3327" s="87" t="str">
        <f>IFERROR(__xludf.DUMMYFUNCTION("""COMPUTED_VALUE"""),"Nhãn")</f>
        <v>Nhãn</v>
      </c>
      <c r="C3327" s="87" t="str">
        <f>IFERROR(__xludf.DUMMYFUNCTION("""COMPUTED_VALUE"""),"NHG2664")</f>
        <v>NHG2664</v>
      </c>
      <c r="D3327" s="87" t="str">
        <f>IFERROR(__xludf.DUMMYFUNCTION("""COMPUTED_VALUE"""),"[Nhãn] BAMBOO - II - 2664 - BAMBOO CANXI-BO MASTER (Nước trắng sữa) - 1L - 20")</f>
        <v>[Nhãn] BAMBOO - II - 2664 - BAMBOO CANXI-BO MASTER (Nước trắng sữa) - 1L - 20</v>
      </c>
      <c r="E3327" s="87" t="str">
        <f>IFERROR(__xludf.DUMMYFUNCTION("""COMPUTED_VALUE"""),"Vi lượng AGAMA-CANXI BO")</f>
        <v>Vi lượng AGAMA-CANXI BO</v>
      </c>
      <c r="F3327" s="87" t="str">
        <f>IFERROR(__xludf.DUMMYFUNCTION("""COMPUTED_VALUE"""),"HH2664")</f>
        <v>HH2664</v>
      </c>
      <c r="G3327" s="87" t="str">
        <f>IFERROR(__xludf.DUMMYFUNCTION("""COMPUTED_VALUE"""),"BAMBOO - II - 2664 - BAMBOO CANXI-BO MASTER (Nước trắng sữa) - 1L - 20")</f>
        <v>BAMBOO - II - 2664 - BAMBOO CANXI-BO MASTER (Nước trắng sữa) - 1L - 20</v>
      </c>
    </row>
    <row r="3328">
      <c r="A3328" s="86">
        <f>IFERROR(__xludf.DUMMYFUNCTION("""COMPUTED_VALUE"""),3326.0)</f>
        <v>3326</v>
      </c>
      <c r="B3328" s="87" t="str">
        <f>IFERROR(__xludf.DUMMYFUNCTION("""COMPUTED_VALUE"""),"Nhãn thùng")</f>
        <v>Nhãn thùng</v>
      </c>
      <c r="C3328" s="87" t="str">
        <f>IFERROR(__xludf.DUMMYFUNCTION("""COMPUTED_VALUE"""),"NDT2664")</f>
        <v>NDT2664</v>
      </c>
      <c r="D3328" s="87" t="str">
        <f>IFERROR(__xludf.DUMMYFUNCTION("""COMPUTED_VALUE"""),"[Nhãn thùng] BAMBOO - II - 2664 - BAMBOO CANXI-BO MASTER (Nước trắng sữa) - 1L - 20")</f>
        <v>[Nhãn thùng] BAMBOO - II - 2664 - BAMBOO CANXI-BO MASTER (Nước trắng sữa) - 1L - 20</v>
      </c>
      <c r="E3328" s="87" t="str">
        <f>IFERROR(__xludf.DUMMYFUNCTION("""COMPUTED_VALUE"""),"Vi lượng AGAMA-CANXI BO")</f>
        <v>Vi lượng AGAMA-CANXI BO</v>
      </c>
      <c r="F3328" s="87" t="str">
        <f>IFERROR(__xludf.DUMMYFUNCTION("""COMPUTED_VALUE"""),"HH2664")</f>
        <v>HH2664</v>
      </c>
      <c r="G3328" s="87" t="str">
        <f>IFERROR(__xludf.DUMMYFUNCTION("""COMPUTED_VALUE"""),"BAMBOO - II - 2664 - BAMBOO CANXI-BO MASTER (Nước trắng sữa) - 1L - 20")</f>
        <v>BAMBOO - II - 2664 - BAMBOO CANXI-BO MASTER (Nước trắng sữa) - 1L - 20</v>
      </c>
    </row>
    <row r="3329">
      <c r="A3329" s="86">
        <f>IFERROR(__xludf.DUMMYFUNCTION("""COMPUTED_VALUE"""),3327.0)</f>
        <v>3327</v>
      </c>
      <c r="B3329" s="87" t="str">
        <f>IFERROR(__xludf.DUMMYFUNCTION("""COMPUTED_VALUE"""),"Nhãn")</f>
        <v>Nhãn</v>
      </c>
      <c r="C3329" s="87" t="str">
        <f>IFERROR(__xludf.DUMMYFUNCTION("""COMPUTED_VALUE"""),"NHD2665")</f>
        <v>NHD2665</v>
      </c>
      <c r="D3329" s="87" t="str">
        <f>IFERROR(__xludf.DUMMYFUNCTION("""COMPUTED_VALUE"""),"[Nhãn] GC - IV - 2665 - NEWTECH CROP SCIENCE - THIPRO 550EC (Nước vàng trà) - 400ml - 30")</f>
        <v>[Nhãn] GC - IV - 2665 - NEWTECH CROP SCIENCE - THIPRO 550EC (Nước vàng trà) - 400ml - 30</v>
      </c>
      <c r="E3329" s="87" t="str">
        <f>IFERROR(__xludf.DUMMYFUNCTION("""COMPUTED_VALUE"""),"Thipro 550EC")</f>
        <v>Thipro 550EC</v>
      </c>
      <c r="F3329" s="87" t="str">
        <f>IFERROR(__xludf.DUMMYFUNCTION("""COMPUTED_VALUE"""),"HH2665")</f>
        <v>HH2665</v>
      </c>
      <c r="G3329" s="87" t="str">
        <f>IFERROR(__xludf.DUMMYFUNCTION("""COMPUTED_VALUE"""),"GC - IV - 2665 - NEWTECH CROP SCIENCE - THIPRO 550EC (Nước vàng trà) - 400ml - 30")</f>
        <v>GC - IV - 2665 - NEWTECH CROP SCIENCE - THIPRO 550EC (Nước vàng trà) - 400ml - 30</v>
      </c>
    </row>
    <row r="3330">
      <c r="A3330" s="86">
        <f>IFERROR(__xludf.DUMMYFUNCTION("""COMPUTED_VALUE"""),3328.0)</f>
        <v>3328</v>
      </c>
      <c r="B3330" s="87" t="str">
        <f>IFERROR(__xludf.DUMMYFUNCTION("""COMPUTED_VALUE"""),"Nhãn thùng")</f>
        <v>Nhãn thùng</v>
      </c>
      <c r="C3330" s="87" t="str">
        <f>IFERROR(__xludf.DUMMYFUNCTION("""COMPUTED_VALUE"""),"NDT2665")</f>
        <v>NDT2665</v>
      </c>
      <c r="D3330" s="87" t="str">
        <f>IFERROR(__xludf.DUMMYFUNCTION("""COMPUTED_VALUE"""),"[Nhãn thùng] GC - IV - 2665 - NEWTECH CROP SCIENCE - THIPRO 550EC (Nước vàng trà) - 400ml - 30")</f>
        <v>[Nhãn thùng] GC - IV - 2665 - NEWTECH CROP SCIENCE - THIPRO 550EC (Nước vàng trà) - 400ml - 30</v>
      </c>
      <c r="E3330" s="87" t="str">
        <f>IFERROR(__xludf.DUMMYFUNCTION("""COMPUTED_VALUE"""),"Thipro 550EC")</f>
        <v>Thipro 550EC</v>
      </c>
      <c r="F3330" s="87" t="str">
        <f>IFERROR(__xludf.DUMMYFUNCTION("""COMPUTED_VALUE"""),"HH2665")</f>
        <v>HH2665</v>
      </c>
      <c r="G3330" s="87" t="str">
        <f>IFERROR(__xludf.DUMMYFUNCTION("""COMPUTED_VALUE"""),"GC - IV - 2665 - NEWTECH CROP SCIENCE - THIPRO 550EC (Nước vàng trà) - 400ml - 30")</f>
        <v>GC - IV - 2665 - NEWTECH CROP SCIENCE - THIPRO 550EC (Nước vàng trà) - 400ml - 30</v>
      </c>
    </row>
    <row r="3331">
      <c r="A3331" s="86">
        <f>IFERROR(__xludf.DUMMYFUNCTION("""COMPUTED_VALUE"""),3329.0)</f>
        <v>3329</v>
      </c>
      <c r="B3331" s="87" t="str">
        <f>IFERROR(__xludf.DUMMYFUNCTION("""COMPUTED_VALUE"""),"[Nhãn]")</f>
        <v>[Nhãn]</v>
      </c>
      <c r="C3331" s="87" t="str">
        <f>IFERROR(__xludf.DUMMYFUNCTION("""COMPUTED_VALUE"""),"NHD2665")</f>
        <v>NHD2665</v>
      </c>
      <c r="D3331" s="87" t="str">
        <f>IFERROR(__xludf.DUMMYFUNCTION("""COMPUTED_VALUE"""),"[Nhãn] GC - IV - 2665 - NEWTECH CROP SCIENCE - THIPRO 550EC (Nước vàng trà) - 400ml - 30")</f>
        <v>[Nhãn] GC - IV - 2665 - NEWTECH CROP SCIENCE - THIPRO 550EC (Nước vàng trà) - 400ml - 30</v>
      </c>
      <c r="E3331" s="87" t="str">
        <f>IFERROR(__xludf.DUMMYFUNCTION("""COMPUTED_VALUE"""),"Thipro 550EC")</f>
        <v>Thipro 550EC</v>
      </c>
      <c r="F3331" s="87" t="str">
        <f>IFERROR(__xludf.DUMMYFUNCTION("""COMPUTED_VALUE"""),"HH2665")</f>
        <v>HH2665</v>
      </c>
      <c r="G3331" s="87" t="str">
        <f>IFERROR(__xludf.DUMMYFUNCTION("""COMPUTED_VALUE"""),"GC - IV - 2665 - NEWTECH CROP SCIENCE - THIPRO 550EC (Nước vàng trà) - 400ml - 30")</f>
        <v>GC - IV - 2665 - NEWTECH CROP SCIENCE - THIPRO 550EC (Nước vàng trà) - 400ml - 30</v>
      </c>
    </row>
    <row r="3332">
      <c r="A3332" s="86">
        <f>IFERROR(__xludf.DUMMYFUNCTION("""COMPUTED_VALUE"""),3330.0)</f>
        <v>3330</v>
      </c>
      <c r="B3332" s="87" t="str">
        <f>IFERROR(__xludf.DUMMYFUNCTION("""COMPUTED_VALUE"""),"Nhãn")</f>
        <v>Nhãn</v>
      </c>
      <c r="C3332" s="87" t="str">
        <f>IFERROR(__xludf.DUMMYFUNCTION("""COMPUTED_VALUE"""),"NHG2666")</f>
        <v>NHG2666</v>
      </c>
      <c r="D3332" s="87" t="str">
        <f>IFERROR(__xludf.DUMMYFUNCTION("""COMPUTED_VALUE"""),"[Nhãn] GC - II - 2666 - AGC - TOP SPROUT (nước nâu đen) - 500ml - 40")</f>
        <v>[Nhãn] GC - II - 2666 - AGC - TOP SPROUT (nước nâu đen) - 500ml - 40</v>
      </c>
      <c r="E3332" s="87" t="str">
        <f>IFERROR(__xludf.DUMMYFUNCTION("""COMPUTED_VALUE"""),"Vi lượng Run Fast")</f>
        <v>Vi lượng Run Fast</v>
      </c>
      <c r="F3332" s="87" t="str">
        <f>IFERROR(__xludf.DUMMYFUNCTION("""COMPUTED_VALUE"""),"HH2666")</f>
        <v>HH2666</v>
      </c>
      <c r="G3332" s="87" t="str">
        <f>IFERROR(__xludf.DUMMYFUNCTION("""COMPUTED_VALUE"""),"GC - II - 2666 - AGC - TOP SPROUT (nước nâu đen) - 500ml - 40")</f>
        <v>GC - II - 2666 - AGC - TOP SPROUT (nước nâu đen) - 500ml - 40</v>
      </c>
    </row>
    <row r="3333">
      <c r="A3333" s="86">
        <f>IFERROR(__xludf.DUMMYFUNCTION("""COMPUTED_VALUE"""),3331.0)</f>
        <v>3331</v>
      </c>
      <c r="B3333" s="87" t="str">
        <f>IFERROR(__xludf.DUMMYFUNCTION("""COMPUTED_VALUE"""),"Nhãn")</f>
        <v>Nhãn</v>
      </c>
      <c r="C3333" s="87" t="str">
        <f>IFERROR(__xludf.DUMMYFUNCTION("""COMPUTED_VALUE"""),"NHG2667")</f>
        <v>NHG2667</v>
      </c>
      <c r="D3333" s="87" t="str">
        <f>IFERROR(__xludf.DUMMYFUNCTION("""COMPUTED_VALUE"""),"[Nhãn] GC - IV - 2667 - Agritech - AGRI STOP (Nước nâu đen) - 1L - 20")</f>
        <v>[Nhãn] GC - IV - 2667 - Agritech - AGRI STOP (Nước nâu đen) - 1L - 20</v>
      </c>
      <c r="E3333" s="87" t="str">
        <f>IFERROR(__xludf.DUMMYFUNCTION("""COMPUTED_VALUE"""),"Vi lượng Quantity New")</f>
        <v>Vi lượng Quantity New</v>
      </c>
      <c r="F3333" s="87" t="str">
        <f>IFERROR(__xludf.DUMMYFUNCTION("""COMPUTED_VALUE"""),"HH2667")</f>
        <v>HH2667</v>
      </c>
      <c r="G3333" s="87" t="str">
        <f>IFERROR(__xludf.DUMMYFUNCTION("""COMPUTED_VALUE"""),"GC - IV - 2667 - Agritech - AGRI STOP (Nước nâu đen) - 1L - 20")</f>
        <v>GC - IV - 2667 - Agritech - AGRI STOP (Nước nâu đen) - 1L - 20</v>
      </c>
    </row>
    <row r="3334">
      <c r="A3334" s="86">
        <f>IFERROR(__xludf.DUMMYFUNCTION("""COMPUTED_VALUE"""),3332.0)</f>
        <v>3332</v>
      </c>
      <c r="B3334" s="87" t="str">
        <f>IFERROR(__xludf.DUMMYFUNCTION("""COMPUTED_VALUE"""),"Nhãn")</f>
        <v>Nhãn</v>
      </c>
      <c r="C3334" s="87" t="str">
        <f>IFERROR(__xludf.DUMMYFUNCTION("""COMPUTED_VALUE"""),"NHG2668")</f>
        <v>NHG2668</v>
      </c>
      <c r="D3334" s="87" t="str">
        <f>IFERROR(__xludf.DUMMYFUNCTION("""COMPUTED_VALUE"""),"[Nhãn] IDA Global - I - 2668 - ĐL PHÚC NÔNG - GENOL 1.2SL (Nước đỏ) - 100ml - 100")</f>
        <v>[Nhãn] IDA Global - I - 2668 - ĐL PHÚC NÔNG - GENOL 1.2SL (Nước đỏ) - 100ml - 100</v>
      </c>
      <c r="E3334" s="87" t="str">
        <f>IFERROR(__xludf.DUMMYFUNCTION("""COMPUTED_VALUE"""),"GENOL 1.2SL")</f>
        <v>GENOL 1.2SL</v>
      </c>
      <c r="F3334" s="87" t="str">
        <f>IFERROR(__xludf.DUMMYFUNCTION("""COMPUTED_VALUE"""),"HH2668")</f>
        <v>HH2668</v>
      </c>
      <c r="G3334" s="87" t="str">
        <f>IFERROR(__xludf.DUMMYFUNCTION("""COMPUTED_VALUE"""),"IDA Global - I - 2668 - ĐL PHÚC NÔNG - GENOL 1.2SL (Nước đỏ) - 100ml - 100")</f>
        <v>IDA Global - I - 2668 - ĐL PHÚC NÔNG - GENOL 1.2SL (Nước đỏ) - 100ml - 100</v>
      </c>
    </row>
    <row r="3335">
      <c r="A3335" s="86">
        <f>IFERROR(__xludf.DUMMYFUNCTION("""COMPUTED_VALUE"""),3333.0)</f>
        <v>3333</v>
      </c>
      <c r="B3335" s="87" t="str">
        <f>IFERROR(__xludf.DUMMYFUNCTION("""COMPUTED_VALUE"""),"Nhãn")</f>
        <v>Nhãn</v>
      </c>
      <c r="C3335" s="87" t="str">
        <f>IFERROR(__xludf.DUMMYFUNCTION("""COMPUTED_VALUE"""),"NHG2670")</f>
        <v>NHG2670</v>
      </c>
      <c r="D3335" s="87" t="str">
        <f>IFERROR(__xludf.DUMMYFUNCTION("""COMPUTED_VALUE"""),"[Nhãn] GC - IV - 2670 - Cty Sen Hồng - Haihamec 3.6EC (nước nâu đen) - 450ml - 40")</f>
        <v>[Nhãn] GC - IV - 2670 - Cty Sen Hồng - Haihamec 3.6EC (nước nâu đen) - 450ml - 40</v>
      </c>
      <c r="E3335" s="87" t="str">
        <f>IFERROR(__xludf.DUMMYFUNCTION("""COMPUTED_VALUE"""),"HAIHAMEC 3.6EC")</f>
        <v>HAIHAMEC 3.6EC</v>
      </c>
      <c r="F3335" s="87" t="str">
        <f>IFERROR(__xludf.DUMMYFUNCTION("""COMPUTED_VALUE"""),"HH2670")</f>
        <v>HH2670</v>
      </c>
      <c r="G3335" s="87" t="str">
        <f>IFERROR(__xludf.DUMMYFUNCTION("""COMPUTED_VALUE"""),"GC - IV - 2670 - Cty Sen Hồng - Haihamec 3.6EC (nước nâu đen) - 450ml - 40")</f>
        <v>GC - IV - 2670 - Cty Sen Hồng - Haihamec 3.6EC (nước nâu đen) - 450ml - 40</v>
      </c>
    </row>
    <row r="3336">
      <c r="A3336" s="86">
        <f>IFERROR(__xludf.DUMMYFUNCTION("""COMPUTED_VALUE"""),3334.0)</f>
        <v>3334</v>
      </c>
      <c r="B3336" s="87" t="str">
        <f>IFERROR(__xludf.DUMMYFUNCTION("""COMPUTED_VALUE"""),"Nhãn")</f>
        <v>Nhãn</v>
      </c>
      <c r="C3336" s="87" t="str">
        <f>IFERROR(__xludf.DUMMYFUNCTION("""COMPUTED_VALUE"""),"NHG2671")</f>
        <v>NHG2671</v>
      </c>
      <c r="D3336" s="87" t="str">
        <f>IFERROR(__xludf.DUMMYFUNCTION("""COMPUTED_VALUE"""),"[Nhãn] GC - IV - 2671 - Cty Agro Life Solution - Bọ Cạp Thái (nước nâu đen) - 450ml - 40")</f>
        <v>[Nhãn] GC - IV - 2671 - Cty Agro Life Solution - Bọ Cạp Thái (nước nâu đen) - 450ml - 40</v>
      </c>
      <c r="E3336" s="87" t="str">
        <f>IFERROR(__xludf.DUMMYFUNCTION("""COMPUTED_VALUE"""),"HAIHAMEC 3.6EC")</f>
        <v>HAIHAMEC 3.6EC</v>
      </c>
      <c r="F3336" s="87" t="str">
        <f>IFERROR(__xludf.DUMMYFUNCTION("""COMPUTED_VALUE"""),"HH2671")</f>
        <v>HH2671</v>
      </c>
      <c r="G3336" s="87" t="str">
        <f>IFERROR(__xludf.DUMMYFUNCTION("""COMPUTED_VALUE"""),"GC - IV - 2671 - Cty Agro Life Solution - Bọ Cạp Thái (nước nâu đen) - 450ml - 40")</f>
        <v>GC - IV - 2671 - Cty Agro Life Solution - Bọ Cạp Thái (nước nâu đen) - 450ml - 40</v>
      </c>
    </row>
    <row r="3337">
      <c r="A3337" s="86">
        <f>IFERROR(__xludf.DUMMYFUNCTION("""COMPUTED_VALUE"""),3335.0)</f>
        <v>3335</v>
      </c>
      <c r="B3337" s="87" t="str">
        <f>IFERROR(__xludf.DUMMYFUNCTION("""COMPUTED_VALUE"""),"Nhãn")</f>
        <v>Nhãn</v>
      </c>
      <c r="C3337" s="87" t="str">
        <f>IFERROR(__xludf.DUMMYFUNCTION("""COMPUTED_VALUE"""),"NHG2672")</f>
        <v>NHG2672</v>
      </c>
      <c r="D3337" s="87" t="str">
        <f>IFERROR(__xludf.DUMMYFUNCTION("""COMPUTED_VALUE"""),"[Nhãn] GC - IV - 2672 - Cty Hóa Nông Shino - VIL SHINO (Nước trắng sữa) - 1L - 20")</f>
        <v>[Nhãn] GC - IV - 2672 - Cty Hóa Nông Shino - VIL SHINO (Nước trắng sữa) - 1L - 20</v>
      </c>
      <c r="E3337" s="87" t="str">
        <f>IFERROR(__xludf.DUMMYFUNCTION("""COMPUTED_VALUE"""),"JAPA VIL 110SC")</f>
        <v>JAPA VIL 110SC</v>
      </c>
      <c r="F3337" s="87" t="str">
        <f>IFERROR(__xludf.DUMMYFUNCTION("""COMPUTED_VALUE"""),"HH2672")</f>
        <v>HH2672</v>
      </c>
      <c r="G3337" s="87" t="str">
        <f>IFERROR(__xludf.DUMMYFUNCTION("""COMPUTED_VALUE"""),"GC - IV - 2672 - Cty Hóa Nông Shino - VIL SHINO (Nước trắng sữa) - 1L - 20")</f>
        <v>GC - IV - 2672 - Cty Hóa Nông Shino - VIL SHINO (Nước trắng sữa) - 1L - 20</v>
      </c>
    </row>
    <row r="3338">
      <c r="A3338" s="86">
        <f>IFERROR(__xludf.DUMMYFUNCTION("""COMPUTED_VALUE"""),3336.0)</f>
        <v>3336</v>
      </c>
      <c r="B3338" s="87" t="str">
        <f>IFERROR(__xludf.DUMMYFUNCTION("""COMPUTED_VALUE"""),"Nhãn")</f>
        <v>Nhãn</v>
      </c>
      <c r="C3338" s="87" t="str">
        <f>IFERROR(__xludf.DUMMYFUNCTION("""COMPUTED_VALUE"""),"NHG2673")</f>
        <v>NHG2673</v>
      </c>
      <c r="D3338" s="87" t="str">
        <f>IFERROR(__xludf.DUMMYFUNCTION("""COMPUTED_VALUE"""),"[Nhãn] GC - IV - 2673 - CTY ASAHI NHẬT BẢN - SIÊU KẼM (Gel xanh lá) - 500ml - 40")</f>
        <v>[Nhãn] GC - IV - 2673 - CTY ASAHI NHẬT BẢN - SIÊU KẼM (Gel xanh lá) - 500ml - 40</v>
      </c>
      <c r="E3338" s="87" t="str">
        <f>IFERROR(__xludf.DUMMYFUNCTION("""COMPUTED_VALUE"""),"Vi lượng AGAMA-SUPPORT")</f>
        <v>Vi lượng AGAMA-SUPPORT</v>
      </c>
      <c r="F3338" s="87" t="str">
        <f>IFERROR(__xludf.DUMMYFUNCTION("""COMPUTED_VALUE"""),"HH2673")</f>
        <v>HH2673</v>
      </c>
      <c r="G3338" s="87" t="str">
        <f>IFERROR(__xludf.DUMMYFUNCTION("""COMPUTED_VALUE"""),"GC - IV - 2673 - CTY ASAHI NHẬT BẢN - SIÊU KẼM (Gel xanh lá) - 500ml - 40")</f>
        <v>GC - IV - 2673 - CTY ASAHI NHẬT BẢN - SIÊU KẼM (Gel xanh lá) - 500ml - 40</v>
      </c>
    </row>
    <row r="3339">
      <c r="A3339" s="86">
        <f>IFERROR(__xludf.DUMMYFUNCTION("""COMPUTED_VALUE"""),3337.0)</f>
        <v>3337</v>
      </c>
      <c r="B3339" s="87" t="str">
        <f>IFERROR(__xludf.DUMMYFUNCTION("""COMPUTED_VALUE"""),"Nhãn")</f>
        <v>Nhãn</v>
      </c>
      <c r="C3339" s="87" t="str">
        <f>IFERROR(__xludf.DUMMYFUNCTION("""COMPUTED_VALUE"""),"NHG2674")</f>
        <v>NHG2674</v>
      </c>
      <c r="D3339" s="87" t="str">
        <f>IFERROR(__xludf.DUMMYFUNCTION("""COMPUTED_VALUE"""),"[Nhãn] GC - IV - 2674 - CTY ASAHI NHẬT BẢN - DIỆP LỤC TỐ (Gel xanh lá) - 500ml - 40")</f>
        <v>[Nhãn] GC - IV - 2674 - CTY ASAHI NHẬT BẢN - DIỆP LỤC TỐ (Gel xanh lá) - 500ml - 40</v>
      </c>
      <c r="E3339" s="87" t="str">
        <f>IFERROR(__xludf.DUMMYFUNCTION("""COMPUTED_VALUE"""),"Vi lượng AGAMA-SUPPORT")</f>
        <v>Vi lượng AGAMA-SUPPORT</v>
      </c>
      <c r="F3339" s="87" t="str">
        <f>IFERROR(__xludf.DUMMYFUNCTION("""COMPUTED_VALUE"""),"HH2674")</f>
        <v>HH2674</v>
      </c>
      <c r="G3339" s="87" t="str">
        <f>IFERROR(__xludf.DUMMYFUNCTION("""COMPUTED_VALUE"""),"GC - IV - 2674 - CTY ASAHI NHẬT BẢN - DIỆP LỤC TỐ (Gel xanh lá) - 500ml - 40")</f>
        <v>GC - IV - 2674 - CTY ASAHI NHẬT BẢN - DIỆP LỤC TỐ (Gel xanh lá) - 500ml - 40</v>
      </c>
    </row>
    <row r="3340">
      <c r="A3340" s="86">
        <f>IFERROR(__xludf.DUMMYFUNCTION("""COMPUTED_VALUE"""),3338.0)</f>
        <v>3338</v>
      </c>
      <c r="B3340" s="87" t="str">
        <f>IFERROR(__xludf.DUMMYFUNCTION("""COMPUTED_VALUE"""),"Nhãn")</f>
        <v>Nhãn</v>
      </c>
      <c r="C3340" s="87" t="str">
        <f>IFERROR(__xludf.DUMMYFUNCTION("""COMPUTED_VALUE"""),"NHG2675")</f>
        <v>NHG2675</v>
      </c>
      <c r="D3340" s="87" t="str">
        <f>IFERROR(__xludf.DUMMYFUNCTION("""COMPUTED_VALUE"""),"[Nhãn] GC - IV - 2675 - CTY ASAHI NHẬT BẢN - GIẢM STRESS CHỐNG SHOCK (Gel xanh lá) - 500ml - 40")</f>
        <v>[Nhãn] GC - IV - 2675 - CTY ASAHI NHẬT BẢN - GIẢM STRESS CHỐNG SHOCK (Gel xanh lá) - 500ml - 40</v>
      </c>
      <c r="E3340" s="87" t="str">
        <f>IFERROR(__xludf.DUMMYFUNCTION("""COMPUTED_VALUE"""),"Vi lượng AGAMA-SUPPORT")</f>
        <v>Vi lượng AGAMA-SUPPORT</v>
      </c>
      <c r="F3340" s="87" t="str">
        <f>IFERROR(__xludf.DUMMYFUNCTION("""COMPUTED_VALUE"""),"HH2675")</f>
        <v>HH2675</v>
      </c>
      <c r="G3340" s="87" t="str">
        <f>IFERROR(__xludf.DUMMYFUNCTION("""COMPUTED_VALUE"""),"GC - IV - 2675 - CTY ASAHI NHẬT BẢN - GIẢM STRESS CHỐNG SHOCK (Gel xanh lá) - 500ml - 40")</f>
        <v>GC - IV - 2675 - CTY ASAHI NHẬT BẢN - GIẢM STRESS CHỐNG SHOCK (Gel xanh lá) - 500ml - 40</v>
      </c>
    </row>
    <row r="3341">
      <c r="A3341" s="86">
        <f>IFERROR(__xludf.DUMMYFUNCTION("""COMPUTED_VALUE"""),3339.0)</f>
        <v>3339</v>
      </c>
      <c r="B3341" s="87" t="str">
        <f>IFERROR(__xludf.DUMMYFUNCTION("""COMPUTED_VALUE"""),"Nhãn")</f>
        <v>Nhãn</v>
      </c>
      <c r="C3341" s="87" t="str">
        <f>IFERROR(__xludf.DUMMYFUNCTION("""COMPUTED_VALUE"""),"NHG2676")</f>
        <v>NHG2676</v>
      </c>
      <c r="D3341" s="87" t="str">
        <f>IFERROR(__xludf.DUMMYFUNCTION("""COMPUTED_VALUE"""),"[Nhãn] GC - IV - 2676 - CTY ASAHI NHẬT BẢN - SUPER PHOS-ZINC (Gel xanh lá) - 500ml - 40")</f>
        <v>[Nhãn] GC - IV - 2676 - CTY ASAHI NHẬT BẢN - SUPER PHOS-ZINC (Gel xanh lá) - 500ml - 40</v>
      </c>
      <c r="E3341" s="87" t="str">
        <f>IFERROR(__xludf.DUMMYFUNCTION("""COMPUTED_VALUE"""),"Vi lượng AGAMA-SUPPORT")</f>
        <v>Vi lượng AGAMA-SUPPORT</v>
      </c>
      <c r="F3341" s="87" t="str">
        <f>IFERROR(__xludf.DUMMYFUNCTION("""COMPUTED_VALUE"""),"HH2676")</f>
        <v>HH2676</v>
      </c>
      <c r="G3341" s="87" t="str">
        <f>IFERROR(__xludf.DUMMYFUNCTION("""COMPUTED_VALUE"""),"GC - IV - 2676 - CTY ASAHI NHẬT BẢN - SUPER PHOS-ZINC (Gel xanh lá) - 500ml - 40")</f>
        <v>GC - IV - 2676 - CTY ASAHI NHẬT BẢN - SUPER PHOS-ZINC (Gel xanh lá) - 500ml - 40</v>
      </c>
    </row>
    <row r="3342">
      <c r="A3342" s="86">
        <f>IFERROR(__xludf.DUMMYFUNCTION("""COMPUTED_VALUE"""),3340.0)</f>
        <v>3340</v>
      </c>
      <c r="B3342" s="87" t="str">
        <f>IFERROR(__xludf.DUMMYFUNCTION("""COMPUTED_VALUE"""),"Nhãn")</f>
        <v>Nhãn</v>
      </c>
      <c r="C3342" s="87" t="str">
        <f>IFERROR(__xludf.DUMMYFUNCTION("""COMPUTED_VALUE"""),"NHG2677")</f>
        <v>NHG2677</v>
      </c>
      <c r="D3342" s="87" t="str">
        <f>IFERROR(__xludf.DUMMYFUNCTION("""COMPUTED_VALUE"""),"[Nhãn] GC - IV - 2677 - CTY ASAHI NHẬT BẢN - AMINOMIX CÁ MẬP XANH (Gel nâu đen) - 500ml - 40")</f>
        <v>[Nhãn] GC - IV - 2677 - CTY ASAHI NHẬT BẢN - AMINOMIX CÁ MẬP XANH (Gel nâu đen) - 500ml - 40</v>
      </c>
      <c r="E3342" s="87" t="str">
        <f>IFERROR(__xludf.DUMMYFUNCTION("""COMPUTED_VALUE"""),"Vi lượng Quantity New")</f>
        <v>Vi lượng Quantity New</v>
      </c>
      <c r="F3342" s="87" t="str">
        <f>IFERROR(__xludf.DUMMYFUNCTION("""COMPUTED_VALUE"""),"HH2677")</f>
        <v>HH2677</v>
      </c>
      <c r="G3342" s="87" t="str">
        <f>IFERROR(__xludf.DUMMYFUNCTION("""COMPUTED_VALUE"""),"GC - IV - 2677 - CTY ASAHI NHẬT BẢN - AMINOMIX CÁ MẬP XANH (Gel nâu đen) - 500ml - 40")</f>
        <v>GC - IV - 2677 - CTY ASAHI NHẬT BẢN - AMINOMIX CÁ MẬP XANH (Gel nâu đen) - 500ml - 40</v>
      </c>
    </row>
    <row r="3343">
      <c r="A3343" s="86">
        <f>IFERROR(__xludf.DUMMYFUNCTION("""COMPUTED_VALUE"""),3341.0)</f>
        <v>3341</v>
      </c>
      <c r="B3343" s="87" t="str">
        <f>IFERROR(__xludf.DUMMYFUNCTION("""COMPUTED_VALUE"""),"Nhãn")</f>
        <v>Nhãn</v>
      </c>
      <c r="C3343" s="87" t="str">
        <f>IFERROR(__xludf.DUMMYFUNCTION("""COMPUTED_VALUE"""),"NHG2678")</f>
        <v>NHG2678</v>
      </c>
      <c r="D3343" s="87" t="str">
        <f>IFERROR(__xludf.DUMMYFUNCTION("""COMPUTED_VALUE"""),"[Nhãn] GC - IV - 2678 - CTY ASAHI NHẬT BẢN - AMINOMAX HUMIX SIÊU ĐẬM ĐẶC (Gel nâu đen) - 500ml - 40")</f>
        <v>[Nhãn] GC - IV - 2678 - CTY ASAHI NHẬT BẢN - AMINOMAX HUMIX SIÊU ĐẬM ĐẶC (Gel nâu đen) - 500ml - 40</v>
      </c>
      <c r="E3343" s="87" t="str">
        <f>IFERROR(__xludf.DUMMYFUNCTION("""COMPUTED_VALUE"""),"Vi lượng Quantity New")</f>
        <v>Vi lượng Quantity New</v>
      </c>
      <c r="F3343" s="87" t="str">
        <f>IFERROR(__xludf.DUMMYFUNCTION("""COMPUTED_VALUE"""),"HH2678")</f>
        <v>HH2678</v>
      </c>
      <c r="G3343" s="87" t="str">
        <f>IFERROR(__xludf.DUMMYFUNCTION("""COMPUTED_VALUE"""),"GC - IV - 2678 - CTY ASAHI NHẬT BẢN - AMINOMAX HUMIX SIÊU ĐẬM ĐẶC (Gel nâu đen) - 500ml - 40")</f>
        <v>GC - IV - 2678 - CTY ASAHI NHẬT BẢN - AMINOMAX HUMIX SIÊU ĐẬM ĐẶC (Gel nâu đen) - 500ml - 40</v>
      </c>
    </row>
    <row r="3344">
      <c r="A3344" s="86">
        <f>IFERROR(__xludf.DUMMYFUNCTION("""COMPUTED_VALUE"""),3342.0)</f>
        <v>3342</v>
      </c>
      <c r="B3344" s="87" t="str">
        <f>IFERROR(__xludf.DUMMYFUNCTION("""COMPUTED_VALUE"""),"Nhãn")</f>
        <v>Nhãn</v>
      </c>
      <c r="C3344" s="87" t="str">
        <f>IFERROR(__xludf.DUMMYFUNCTION("""COMPUTED_VALUE"""),"NHG2679")</f>
        <v>NHG2679</v>
      </c>
      <c r="D3344" s="87" t="str">
        <f>IFERROR(__xludf.DUMMYFUNCTION("""COMPUTED_VALUE"""),"[Nhãn] GC - IV - 2679 - CTY ASAHI NHẬT BẢN - AMINO FRESH (Gel nâu đen) - 500ml - 40")</f>
        <v>[Nhãn] GC - IV - 2679 - CTY ASAHI NHẬT BẢN - AMINO FRESH (Gel nâu đen) - 500ml - 40</v>
      </c>
      <c r="E3344" s="87" t="str">
        <f>IFERROR(__xludf.DUMMYFUNCTION("""COMPUTED_VALUE"""),"Vi lượng Quantity New")</f>
        <v>Vi lượng Quantity New</v>
      </c>
      <c r="F3344" s="87" t="str">
        <f>IFERROR(__xludf.DUMMYFUNCTION("""COMPUTED_VALUE"""),"HH2679")</f>
        <v>HH2679</v>
      </c>
      <c r="G3344" s="87" t="str">
        <f>IFERROR(__xludf.DUMMYFUNCTION("""COMPUTED_VALUE"""),"GC - IV - 2679 - CTY ASAHI NHẬT BẢN - AMINO FRESH (Gel nâu đen) - 500ml - 40")</f>
        <v>GC - IV - 2679 - CTY ASAHI NHẬT BẢN - AMINO FRESH (Gel nâu đen) - 500ml - 40</v>
      </c>
    </row>
    <row r="3345">
      <c r="A3345" s="86">
        <f>IFERROR(__xludf.DUMMYFUNCTION("""COMPUTED_VALUE"""),3343.0)</f>
        <v>3343</v>
      </c>
      <c r="B3345" s="87" t="str">
        <f>IFERROR(__xludf.DUMMYFUNCTION("""COMPUTED_VALUE"""),"Nhãn")</f>
        <v>Nhãn</v>
      </c>
      <c r="C3345" s="87" t="str">
        <f>IFERROR(__xludf.DUMMYFUNCTION("""COMPUTED_VALUE"""),"NHG2680")</f>
        <v>NHG2680</v>
      </c>
      <c r="D3345" s="87" t="str">
        <f>IFERROR(__xludf.DUMMYFUNCTION("""COMPUTED_VALUE"""),"[Nhãn] GC - IV - 2680 - CTY ASAHI NHẬT BẢN - SUPER ROOTS SIÊU KÍCH RỄ (Gel nâu đen) - 500ml - 40")</f>
        <v>[Nhãn] GC - IV - 2680 - CTY ASAHI NHẬT BẢN - SUPER ROOTS SIÊU KÍCH RỄ (Gel nâu đen) - 500ml - 40</v>
      </c>
      <c r="E3345" s="87" t="str">
        <f>IFERROR(__xludf.DUMMYFUNCTION("""COMPUTED_VALUE"""),"Vi lượng Quantity New")</f>
        <v>Vi lượng Quantity New</v>
      </c>
      <c r="F3345" s="87" t="str">
        <f>IFERROR(__xludf.DUMMYFUNCTION("""COMPUTED_VALUE"""),"HH2680")</f>
        <v>HH2680</v>
      </c>
      <c r="G3345" s="87" t="str">
        <f>IFERROR(__xludf.DUMMYFUNCTION("""COMPUTED_VALUE"""),"GC - IV - 2680 - CTY ASAHI NHẬT BẢN - SUPER ROOTS SIÊU KÍCH RỄ (Gel nâu đen) - 500ml - 40")</f>
        <v>GC - IV - 2680 - CTY ASAHI NHẬT BẢN - SUPER ROOTS SIÊU KÍCH RỄ (Gel nâu đen) - 500ml - 40</v>
      </c>
    </row>
    <row r="3346">
      <c r="A3346" s="86">
        <f>IFERROR(__xludf.DUMMYFUNCTION("""COMPUTED_VALUE"""),3344.0)</f>
        <v>3344</v>
      </c>
      <c r="B3346" s="87" t="str">
        <f>IFERROR(__xludf.DUMMYFUNCTION("""COMPUTED_VALUE"""),"Nhãn")</f>
        <v>Nhãn</v>
      </c>
      <c r="C3346" s="87" t="str">
        <f>IFERROR(__xludf.DUMMYFUNCTION("""COMPUTED_VALUE"""),"NHG2681")</f>
        <v>NHG2681</v>
      </c>
      <c r="D3346" s="87" t="str">
        <f>IFERROR(__xludf.DUMMYFUNCTION("""COMPUTED_VALUE"""),"[Nhãn] GC - IV - 2681 - CTY ASAHI NHẬT BẢN - SUPER PHOSKA (Gel nâu đen) - 500ml - 40")</f>
        <v>[Nhãn] GC - IV - 2681 - CTY ASAHI NHẬT BẢN - SUPER PHOSKA (Gel nâu đen) - 500ml - 40</v>
      </c>
      <c r="E3346" s="87" t="str">
        <f>IFERROR(__xludf.DUMMYFUNCTION("""COMPUTED_VALUE"""),"Vi lượng Quantity New")</f>
        <v>Vi lượng Quantity New</v>
      </c>
      <c r="F3346" s="87" t="str">
        <f>IFERROR(__xludf.DUMMYFUNCTION("""COMPUTED_VALUE"""),"HH2681")</f>
        <v>HH2681</v>
      </c>
      <c r="G3346" s="87" t="str">
        <f>IFERROR(__xludf.DUMMYFUNCTION("""COMPUTED_VALUE"""),"GC - IV - 2681 - CTY ASAHI NHẬT BẢN - SUPER PHOSKA (Gel nâu đen) - 500ml - 40")</f>
        <v>GC - IV - 2681 - CTY ASAHI NHẬT BẢN - SUPER PHOSKA (Gel nâu đen) - 500ml - 40</v>
      </c>
    </row>
    <row r="3347">
      <c r="A3347" s="86">
        <f>IFERROR(__xludf.DUMMYFUNCTION("""COMPUTED_VALUE"""),3345.0)</f>
        <v>3345</v>
      </c>
      <c r="B3347" s="87" t="str">
        <f>IFERROR(__xludf.DUMMYFUNCTION("""COMPUTED_VALUE"""),"Nhãn")</f>
        <v>Nhãn</v>
      </c>
      <c r="C3347" s="87" t="str">
        <f>IFERROR(__xludf.DUMMYFUNCTION("""COMPUTED_VALUE"""),"NHG2682")</f>
        <v>NHG2682</v>
      </c>
      <c r="D3347" s="87" t="str">
        <f>IFERROR(__xludf.DUMMYFUNCTION("""COMPUTED_VALUE"""),"[Nhãn] GC - IV - 2682 - CTY ASAHI NHẬT BẢN - SUPER BO-MIX (Gel vàng cam) - 500ml - 40")</f>
        <v>[Nhãn] GC - IV - 2682 - CTY ASAHI NHẬT BẢN - SUPER BO-MIX (Gel vàng cam) - 500ml - 40</v>
      </c>
      <c r="E3347" s="87" t="str">
        <f>IFERROR(__xludf.DUMMYFUNCTION("""COMPUTED_VALUE"""),"Vi lượng Run Fast")</f>
        <v>Vi lượng Run Fast</v>
      </c>
      <c r="F3347" s="87" t="str">
        <f>IFERROR(__xludf.DUMMYFUNCTION("""COMPUTED_VALUE"""),"HH2682")</f>
        <v>HH2682</v>
      </c>
      <c r="G3347" s="87" t="str">
        <f>IFERROR(__xludf.DUMMYFUNCTION("""COMPUTED_VALUE"""),"GC - IV - 2682 - CTY ASAHI NHẬT BẢN - SUPER BO-MIX (Gel vàng cam) - 500ml - 40")</f>
        <v>GC - IV - 2682 - CTY ASAHI NHẬT BẢN - SUPER BO-MIX (Gel vàng cam) - 500ml - 40</v>
      </c>
    </row>
    <row r="3348">
      <c r="A3348" s="86">
        <f>IFERROR(__xludf.DUMMYFUNCTION("""COMPUTED_VALUE"""),3346.0)</f>
        <v>3346</v>
      </c>
      <c r="B3348" s="87" t="str">
        <f>IFERROR(__xludf.DUMMYFUNCTION("""COMPUTED_VALUE"""),"Nhãn")</f>
        <v>Nhãn</v>
      </c>
      <c r="C3348" s="87" t="str">
        <f>IFERROR(__xludf.DUMMYFUNCTION("""COMPUTED_VALUE"""),"NHG2683")</f>
        <v>NHG2683</v>
      </c>
      <c r="D3348" s="87" t="str">
        <f>IFERROR(__xludf.DUMMYFUNCTION("""COMPUTED_VALUE"""),"[Nhãn] GC - IV - 2683 - CTY ASAHI NHẬT BẢN - SUPER BO-CAXX (Gel vàng cam) - 500ml - 40")</f>
        <v>[Nhãn] GC - IV - 2683 - CTY ASAHI NHẬT BẢN - SUPER BO-CAXX (Gel vàng cam) - 500ml - 40</v>
      </c>
      <c r="E3348" s="87" t="str">
        <f>IFERROR(__xludf.DUMMYFUNCTION("""COMPUTED_VALUE"""),"Vi lượng Run Fast")</f>
        <v>Vi lượng Run Fast</v>
      </c>
      <c r="F3348" s="87" t="str">
        <f>IFERROR(__xludf.DUMMYFUNCTION("""COMPUTED_VALUE"""),"HH2683")</f>
        <v>HH2683</v>
      </c>
      <c r="G3348" s="87" t="str">
        <f>IFERROR(__xludf.DUMMYFUNCTION("""COMPUTED_VALUE"""),"GC - IV - 2683 - CTY ASAHI NHẬT BẢN - SUPER BO-CAXX (Gel vàng cam) - 500ml - 40")</f>
        <v>GC - IV - 2683 - CTY ASAHI NHẬT BẢN - SUPER BO-CAXX (Gel vàng cam) - 500ml - 40</v>
      </c>
    </row>
    <row r="3349">
      <c r="A3349" s="86">
        <f>IFERROR(__xludf.DUMMYFUNCTION("""COMPUTED_VALUE"""),3347.0)</f>
        <v>3347</v>
      </c>
      <c r="B3349" s="87" t="str">
        <f>IFERROR(__xludf.DUMMYFUNCTION("""COMPUTED_VALUE"""),"Nhãn")</f>
        <v>Nhãn</v>
      </c>
      <c r="C3349" s="87" t="str">
        <f>IFERROR(__xludf.DUMMYFUNCTION("""COMPUTED_VALUE"""),"NHG2684")</f>
        <v>NHG2684</v>
      </c>
      <c r="D3349" s="87" t="str">
        <f>IFERROR(__xludf.DUMMYFUNCTION("""COMPUTED_VALUE"""),"[Nhãn] GC - IV - 2684 - CTY ASAHI NHẬT BẢN - SUPER KABOLI (Gel vàng cam) - 500ml - 40")</f>
        <v>[Nhãn] GC - IV - 2684 - CTY ASAHI NHẬT BẢN - SUPER KABOLI (Gel vàng cam) - 500ml - 40</v>
      </c>
      <c r="E3349" s="87" t="str">
        <f>IFERROR(__xludf.DUMMYFUNCTION("""COMPUTED_VALUE"""),"Vi lượng Run Fast")</f>
        <v>Vi lượng Run Fast</v>
      </c>
      <c r="F3349" s="87" t="str">
        <f>IFERROR(__xludf.DUMMYFUNCTION("""COMPUTED_VALUE"""),"HH2684")</f>
        <v>HH2684</v>
      </c>
      <c r="G3349" s="87" t="str">
        <f>IFERROR(__xludf.DUMMYFUNCTION("""COMPUTED_VALUE"""),"GC - IV - 2684 - CTY ASAHI NHẬT BẢN - SUPER KABOLI (Gel vàng cam) - 500ml - 40")</f>
        <v>GC - IV - 2684 - CTY ASAHI NHẬT BẢN - SUPER KABOLI (Gel vàng cam) - 500ml - 40</v>
      </c>
    </row>
    <row r="3350">
      <c r="A3350" s="86">
        <f>IFERROR(__xludf.DUMMYFUNCTION("""COMPUTED_VALUE"""),3348.0)</f>
        <v>3348</v>
      </c>
      <c r="B3350" s="87" t="str">
        <f>IFERROR(__xludf.DUMMYFUNCTION("""COMPUTED_VALUE"""),"Nhãn")</f>
        <v>Nhãn</v>
      </c>
      <c r="C3350" s="87" t="str">
        <f>IFERROR(__xludf.DUMMYFUNCTION("""COMPUTED_VALUE"""),"NHG2685")</f>
        <v>NHG2685</v>
      </c>
      <c r="D3350" s="87" t="str">
        <f>IFERROR(__xludf.DUMMYFUNCTION("""COMPUTED_VALUE"""),"[Nhãn] GC - IV - 2685 - Kim Ngọc - KINO VIL (Nước trắng sữa) - 1L - 20")</f>
        <v>[Nhãn] GC - IV - 2685 - Kim Ngọc - KINO VIL (Nước trắng sữa) - 1L - 20</v>
      </c>
      <c r="E3350" s="87" t="str">
        <f>IFERROR(__xludf.DUMMYFUNCTION("""COMPUTED_VALUE"""),"JAPA VIL 110SC")</f>
        <v>JAPA VIL 110SC</v>
      </c>
      <c r="F3350" s="87" t="str">
        <f>IFERROR(__xludf.DUMMYFUNCTION("""COMPUTED_VALUE"""),"HH2685")</f>
        <v>HH2685</v>
      </c>
      <c r="G3350" s="87" t="str">
        <f>IFERROR(__xludf.DUMMYFUNCTION("""COMPUTED_VALUE"""),"GC - IV - 2685 - Kim Ngọc - KINO VIL (Nước trắng sữa) - 1L - 20")</f>
        <v>GC - IV - 2685 - Kim Ngọc - KINO VIL (Nước trắng sữa) - 1L - 20</v>
      </c>
    </row>
    <row r="3351">
      <c r="A3351" s="86">
        <f>IFERROR(__xludf.DUMMYFUNCTION("""COMPUTED_VALUE"""),3349.0)</f>
        <v>3349</v>
      </c>
      <c r="B3351" s="87" t="str">
        <f>IFERROR(__xludf.DUMMYFUNCTION("""COMPUTED_VALUE"""),"Nhãn")</f>
        <v>Nhãn</v>
      </c>
      <c r="C3351" s="87" t="str">
        <f>IFERROR(__xludf.DUMMYFUNCTION("""COMPUTED_VALUE"""),"NHG2686")</f>
        <v>NHG2686</v>
      </c>
      <c r="D3351" s="87" t="str">
        <f>IFERROR(__xludf.DUMMYFUNCTION("""COMPUTED_VALUE"""),"[Nhãn] LOT IDA Global - I - 2686 - ĐL.Huỳnh Thanh - Vua Bò Cạp (nước nâu đen) - 450ml - 40")</f>
        <v>[Nhãn] LOT IDA Global - I - 2686 - ĐL.Huỳnh Thanh - Vua Bò Cạp (nước nâu đen) - 450ml - 40</v>
      </c>
      <c r="E3351" s="87" t="str">
        <f>IFERROR(__xludf.DUMMYFUNCTION("""COMPUTED_VALUE"""),"Chitin 3.6EC")</f>
        <v>Chitin 3.6EC</v>
      </c>
      <c r="F3351" s="87" t="str">
        <f>IFERROR(__xludf.DUMMYFUNCTION("""COMPUTED_VALUE"""),"HH2686")</f>
        <v>HH2686</v>
      </c>
      <c r="G3351" s="87" t="str">
        <f>IFERROR(__xludf.DUMMYFUNCTION("""COMPUTED_VALUE"""),"LOT IDA Global - I - 2686 - ĐL.Huỳnh Thanh - Vua Bò Cạp (nước nâu đen) - 450ml - 40")</f>
        <v>LOT IDA Global - I - 2686 - ĐL.Huỳnh Thanh - Vua Bò Cạp (nước nâu đen) - 450ml - 40</v>
      </c>
    </row>
    <row r="3352">
      <c r="A3352" s="86">
        <f>IFERROR(__xludf.DUMMYFUNCTION("""COMPUTED_VALUE"""),3350.0)</f>
        <v>3350</v>
      </c>
      <c r="B3352" s="87" t="str">
        <f>IFERROR(__xludf.DUMMYFUNCTION("""COMPUTED_VALUE"""),"Nhãn")</f>
        <v>Nhãn</v>
      </c>
      <c r="C3352" s="87" t="str">
        <f>IFERROR(__xludf.DUMMYFUNCTION("""COMPUTED_VALUE"""),"NTN2689")</f>
        <v>NTN2689</v>
      </c>
      <c r="D3352" s="87" t="str">
        <f>IFERROR(__xludf.DUMMYFUNCTION("""COMPUTED_VALUE"""),"[Nhãn] GC - II - 2689 - Anh Tuấn Agri - NOSAU 85WP (bột trắng) - 100gr - 150")</f>
        <v>[Nhãn] GC - II - 2689 - Anh Tuấn Agri - NOSAU 85WP (bột trắng) - 100gr - 150</v>
      </c>
      <c r="E3352" s="87" t="str">
        <f>IFERROR(__xludf.DUMMYFUNCTION("""COMPUTED_VALUE"""),"NOSAU 85WP")</f>
        <v>NOSAU 85WP</v>
      </c>
      <c r="F3352" s="87" t="str">
        <f>IFERROR(__xludf.DUMMYFUNCTION("""COMPUTED_VALUE"""),"HH2689")</f>
        <v>HH2689</v>
      </c>
      <c r="G3352" s="87" t="str">
        <f>IFERROR(__xludf.DUMMYFUNCTION("""COMPUTED_VALUE"""),"GC - II - 2689 - Anh Tuấn Agri - NOSAU 85WP (bột trắng) - 100gr - 150")</f>
        <v>GC - II - 2689 - Anh Tuấn Agri - NOSAU 85WP (bột trắng) - 100gr - 150</v>
      </c>
    </row>
    <row r="3353">
      <c r="A3353" s="86">
        <f>IFERROR(__xludf.DUMMYFUNCTION("""COMPUTED_VALUE"""),3351.0)</f>
        <v>3351</v>
      </c>
      <c r="B3353" s="87" t="str">
        <f>IFERROR(__xludf.DUMMYFUNCTION("""COMPUTED_VALUE"""),"Nhãn thùng")</f>
        <v>Nhãn thùng</v>
      </c>
      <c r="C3353" s="87" t="str">
        <f>IFERROR(__xludf.DUMMYFUNCTION("""COMPUTED_VALUE"""),"NDT2689")</f>
        <v>NDT2689</v>
      </c>
      <c r="D3353" s="87" t="str">
        <f>IFERROR(__xludf.DUMMYFUNCTION("""COMPUTED_VALUE"""),"[Nhãn thùng] GC - II - 2689 - Anh Tuấn Agri - NOSAU 85WP (bột trắng) - 100gr - 150")</f>
        <v>[Nhãn thùng] GC - II - 2689 - Anh Tuấn Agri - NOSAU 85WP (bột trắng) - 100gr - 150</v>
      </c>
      <c r="E3353" s="87" t="str">
        <f>IFERROR(__xludf.DUMMYFUNCTION("""COMPUTED_VALUE"""),"NOSAU 85WP")</f>
        <v>NOSAU 85WP</v>
      </c>
      <c r="F3353" s="87" t="str">
        <f>IFERROR(__xludf.DUMMYFUNCTION("""COMPUTED_VALUE"""),"HH2689")</f>
        <v>HH2689</v>
      </c>
      <c r="G3353" s="87" t="str">
        <f>IFERROR(__xludf.DUMMYFUNCTION("""COMPUTED_VALUE"""),"GC - II - 2689 - Anh Tuấn Agri - NOSAU 85WP (bột trắng) - 100gr - 150")</f>
        <v>GC - II - 2689 - Anh Tuấn Agri - NOSAU 85WP (bột trắng) - 100gr - 150</v>
      </c>
    </row>
    <row r="3354">
      <c r="A3354" s="86">
        <f>IFERROR(__xludf.DUMMYFUNCTION("""COMPUTED_VALUE"""),3352.0)</f>
        <v>3352</v>
      </c>
      <c r="B3354" s="87" t="str">
        <f>IFERROR(__xludf.DUMMYFUNCTION("""COMPUTED_VALUE"""),"Nhãn")</f>
        <v>Nhãn</v>
      </c>
      <c r="C3354" s="87" t="str">
        <f>IFERROR(__xludf.DUMMYFUNCTION("""COMPUTED_VALUE"""),"NTN2690")</f>
        <v>NTN2690</v>
      </c>
      <c r="D3354" s="87" t="str">
        <f>IFERROR(__xludf.DUMMYFUNCTION("""COMPUTED_VALUE"""),"[Nhãn] GC - IV - 2690 - AGRICARE ÚC - FORWIN GOLD (Bột trắng) - 100gr - 100")</f>
        <v>[Nhãn] GC - IV - 2690 - AGRICARE ÚC - FORWIN GOLD (Bột trắng) - 100gr - 100</v>
      </c>
      <c r="E3354" s="87" t="str">
        <f>IFERROR(__xludf.DUMMYFUNCTION("""COMPUTED_VALUE"""),"FORWIN 85WP")</f>
        <v>FORWIN 85WP</v>
      </c>
      <c r="F3354" s="87" t="str">
        <f>IFERROR(__xludf.DUMMYFUNCTION("""COMPUTED_VALUE"""),"HH2690")</f>
        <v>HH2690</v>
      </c>
      <c r="G3354" s="87" t="str">
        <f>IFERROR(__xludf.DUMMYFUNCTION("""COMPUTED_VALUE"""),"GC - IV - 2690 - AGRICARE ÚC - FORWIN GOLD (Bột trắng) - 100gr - 100")</f>
        <v>GC - IV - 2690 - AGRICARE ÚC - FORWIN GOLD (Bột trắng) - 100gr - 100</v>
      </c>
    </row>
    <row r="3355">
      <c r="A3355" s="86">
        <f>IFERROR(__xludf.DUMMYFUNCTION("""COMPUTED_VALUE"""),3353.0)</f>
        <v>3353</v>
      </c>
      <c r="B3355" s="87" t="str">
        <f>IFERROR(__xludf.DUMMYFUNCTION("""COMPUTED_VALUE"""),"Nhãn thùng")</f>
        <v>Nhãn thùng</v>
      </c>
      <c r="C3355" s="87" t="str">
        <f>IFERROR(__xludf.DUMMYFUNCTION("""COMPUTED_VALUE"""),"NDT2690")</f>
        <v>NDT2690</v>
      </c>
      <c r="D3355" s="87" t="str">
        <f>IFERROR(__xludf.DUMMYFUNCTION("""COMPUTED_VALUE"""),"[Nhãn thùng] GC - IV - 2690 - AGRICARE ÚC - FORWIN GOLD (Bột trắng) - 100gr - 100")</f>
        <v>[Nhãn thùng] GC - IV - 2690 - AGRICARE ÚC - FORWIN GOLD (Bột trắng) - 100gr - 100</v>
      </c>
      <c r="E3355" s="87" t="str">
        <f>IFERROR(__xludf.DUMMYFUNCTION("""COMPUTED_VALUE"""),"FORWIN 85WP")</f>
        <v>FORWIN 85WP</v>
      </c>
      <c r="F3355" s="87" t="str">
        <f>IFERROR(__xludf.DUMMYFUNCTION("""COMPUTED_VALUE"""),"HH2690")</f>
        <v>HH2690</v>
      </c>
      <c r="G3355" s="87" t="str">
        <f>IFERROR(__xludf.DUMMYFUNCTION("""COMPUTED_VALUE"""),"GC - IV - 2690 - AGRICARE ÚC - FORWIN GOLD (Bột trắng) - 100gr - 100")</f>
        <v>GC - IV - 2690 - AGRICARE ÚC - FORWIN GOLD (Bột trắng) - 100gr - 100</v>
      </c>
    </row>
    <row r="3356">
      <c r="A3356" s="86">
        <f>IFERROR(__xludf.DUMMYFUNCTION("""COMPUTED_VALUE"""),3354.0)</f>
        <v>3354</v>
      </c>
      <c r="B3356" s="87" t="str">
        <f>IFERROR(__xludf.DUMMYFUNCTION("""COMPUTED_VALUE"""),"Nhãn")</f>
        <v>Nhãn</v>
      </c>
      <c r="C3356" s="87" t="str">
        <f>IFERROR(__xludf.DUMMYFUNCTION("""COMPUTED_VALUE"""),"NTN2691")</f>
        <v>NTN2691</v>
      </c>
      <c r="D3356" s="87" t="str">
        <f>IFERROR(__xludf.DUMMYFUNCTION("""COMPUTED_VALUE"""),"[Nhãn] GC - IV - 2691 - CTY HC VIỆT AGRI - OXYCIN 100WP (Bột trắng) - 25gr - 300")</f>
        <v>[Nhãn] GC - IV - 2691 - CTY HC VIỆT AGRI - OXYCIN 100WP (Bột trắng) - 25gr - 300</v>
      </c>
      <c r="E3356" s="87" t="str">
        <f>IFERROR(__xludf.DUMMYFUNCTION("""COMPUTED_VALUE"""),"Oxycin 100WP")</f>
        <v>Oxycin 100WP</v>
      </c>
      <c r="F3356" s="87" t="str">
        <f>IFERROR(__xludf.DUMMYFUNCTION("""COMPUTED_VALUE"""),"HH2691")</f>
        <v>HH2691</v>
      </c>
      <c r="G3356" s="87" t="str">
        <f>IFERROR(__xludf.DUMMYFUNCTION("""COMPUTED_VALUE"""),"GC - IV - 2691 - CTY HC VIỆT AGRI - OXYCIN 100WP (Bột trắng) - 25gr - 300")</f>
        <v>GC - IV - 2691 - CTY HC VIỆT AGRI - OXYCIN 100WP (Bột trắng) - 25gr - 300</v>
      </c>
    </row>
    <row r="3357">
      <c r="A3357" s="86">
        <f>IFERROR(__xludf.DUMMYFUNCTION("""COMPUTED_VALUE"""),3355.0)</f>
        <v>3355</v>
      </c>
      <c r="B3357" s="87" t="str">
        <f>IFERROR(__xludf.DUMMYFUNCTION("""COMPUTED_VALUE"""),"Nhãn thùng")</f>
        <v>Nhãn thùng</v>
      </c>
      <c r="C3357" s="87" t="str">
        <f>IFERROR(__xludf.DUMMYFUNCTION("""COMPUTED_VALUE"""),"NDT2691")</f>
        <v>NDT2691</v>
      </c>
      <c r="D3357" s="87" t="str">
        <f>IFERROR(__xludf.DUMMYFUNCTION("""COMPUTED_VALUE"""),"[Nhãn thùng] GC - IV - 2691 - CTY HC VIỆT AGRI - OXYCIN 100WP (Bột trắng) - 25gr - 300")</f>
        <v>[Nhãn thùng] GC - IV - 2691 - CTY HC VIỆT AGRI - OXYCIN 100WP (Bột trắng) - 25gr - 300</v>
      </c>
      <c r="E3357" s="87" t="str">
        <f>IFERROR(__xludf.DUMMYFUNCTION("""COMPUTED_VALUE"""),"Oxycin 100WP")</f>
        <v>Oxycin 100WP</v>
      </c>
      <c r="F3357" s="87" t="str">
        <f>IFERROR(__xludf.DUMMYFUNCTION("""COMPUTED_VALUE"""),"HH2691")</f>
        <v>HH2691</v>
      </c>
      <c r="G3357" s="87" t="str">
        <f>IFERROR(__xludf.DUMMYFUNCTION("""COMPUTED_VALUE"""),"GC - IV - 2691 - CTY HC VIỆT AGRI - OXYCIN 100WP (Bột trắng) - 25gr - 300")</f>
        <v>GC - IV - 2691 - CTY HC VIỆT AGRI - OXYCIN 100WP (Bột trắng) - 25gr - 300</v>
      </c>
    </row>
    <row r="3358">
      <c r="A3358" s="86">
        <f>IFERROR(__xludf.DUMMYFUNCTION("""COMPUTED_VALUE"""),3356.0)</f>
        <v>3356</v>
      </c>
      <c r="B3358" s="87" t="str">
        <f>IFERROR(__xludf.DUMMYFUNCTION("""COMPUTED_VALUE"""),"Nhãn")</f>
        <v>Nhãn</v>
      </c>
      <c r="C3358" s="87" t="str">
        <f>IFERROR(__xludf.DUMMYFUNCTION("""COMPUTED_VALUE"""),"NTN2692")</f>
        <v>NTN2692</v>
      </c>
      <c r="D3358" s="87" t="str">
        <f>IFERROR(__xludf.DUMMYFUNCTION("""COMPUTED_VALUE"""),"[Nhãn] GC - IV - 2692 - CTY HC VIỆT AGRI - NIKASU 100WP (Bột trắng) - 25gr - 300")</f>
        <v>[Nhãn] GC - IV - 2692 - CTY HC VIỆT AGRI - NIKASU 100WP (Bột trắng) - 25gr - 300</v>
      </c>
      <c r="E3358" s="87" t="str">
        <f>IFERROR(__xludf.DUMMYFUNCTION("""COMPUTED_VALUE"""),"NIKASU 100WP")</f>
        <v>NIKASU 100WP</v>
      </c>
      <c r="F3358" s="87" t="str">
        <f>IFERROR(__xludf.DUMMYFUNCTION("""COMPUTED_VALUE"""),"HH2692")</f>
        <v>HH2692</v>
      </c>
      <c r="G3358" s="87" t="str">
        <f>IFERROR(__xludf.DUMMYFUNCTION("""COMPUTED_VALUE"""),"GC - IV - 2692 - CTY HC VIỆT AGRI - NIKASU 100WP (Bột trắng) - 25gr - 300")</f>
        <v>GC - IV - 2692 - CTY HC VIỆT AGRI - NIKASU 100WP (Bột trắng) - 25gr - 300</v>
      </c>
    </row>
    <row r="3359">
      <c r="A3359" s="86">
        <f>IFERROR(__xludf.DUMMYFUNCTION("""COMPUTED_VALUE"""),3357.0)</f>
        <v>3357</v>
      </c>
      <c r="B3359" s="87" t="str">
        <f>IFERROR(__xludf.DUMMYFUNCTION("""COMPUTED_VALUE"""),"Nhãn thùng")</f>
        <v>Nhãn thùng</v>
      </c>
      <c r="C3359" s="87" t="str">
        <f>IFERROR(__xludf.DUMMYFUNCTION("""COMPUTED_VALUE"""),"NDT2692")</f>
        <v>NDT2692</v>
      </c>
      <c r="D3359" s="87" t="str">
        <f>IFERROR(__xludf.DUMMYFUNCTION("""COMPUTED_VALUE"""),"[Nhãn thùng] GC - IV - 2692 - CTY HC VIỆT AGRI - NIKASU 100WP (Bột trắng) - 25gr - 300")</f>
        <v>[Nhãn thùng] GC - IV - 2692 - CTY HC VIỆT AGRI - NIKASU 100WP (Bột trắng) - 25gr - 300</v>
      </c>
      <c r="E3359" s="87" t="str">
        <f>IFERROR(__xludf.DUMMYFUNCTION("""COMPUTED_VALUE"""),"NIKASU 100WP")</f>
        <v>NIKASU 100WP</v>
      </c>
      <c r="F3359" s="87" t="str">
        <f>IFERROR(__xludf.DUMMYFUNCTION("""COMPUTED_VALUE"""),"HH2692")</f>
        <v>HH2692</v>
      </c>
      <c r="G3359" s="87" t="str">
        <f>IFERROR(__xludf.DUMMYFUNCTION("""COMPUTED_VALUE"""),"GC - IV - 2692 - CTY HC VIỆT AGRI - NIKASU 100WP (Bột trắng) - 25gr - 300")</f>
        <v>GC - IV - 2692 - CTY HC VIỆT AGRI - NIKASU 100WP (Bột trắng) - 25gr - 300</v>
      </c>
    </row>
    <row r="3360">
      <c r="A3360" s="86">
        <f>IFERROR(__xludf.DUMMYFUNCTION("""COMPUTED_VALUE"""),3358.0)</f>
        <v>3358</v>
      </c>
      <c r="B3360" s="87" t="str">
        <f>IFERROR(__xludf.DUMMYFUNCTION("""COMPUTED_VALUE"""),"Nhãn")</f>
        <v>Nhãn</v>
      </c>
      <c r="C3360" s="87" t="str">
        <f>IFERROR(__xludf.DUMMYFUNCTION("""COMPUTED_VALUE"""),"NHG2693")</f>
        <v>NHG2693</v>
      </c>
      <c r="D3360" s="87" t="str">
        <f>IFERROR(__xludf.DUMMYFUNCTION("""COMPUTED_VALUE"""),"[Nhãn] GC - II - 2693 - THÀNH CÔNG AGRI - MASTER EXTRA (Gel trong) - 100ml - 50")</f>
        <v>[Nhãn] GC - II - 2693 - THÀNH CÔNG AGRI - MASTER EXTRA (Gel trong) - 100ml - 50</v>
      </c>
      <c r="E3360" s="87" t="str">
        <f>IFERROR(__xludf.DUMMYFUNCTION("""COMPUTED_VALUE"""),"Vi lượng AGAMA-SUPPORT")</f>
        <v>Vi lượng AGAMA-SUPPORT</v>
      </c>
      <c r="F3360" s="87" t="str">
        <f>IFERROR(__xludf.DUMMYFUNCTION("""COMPUTED_VALUE"""),"HH2693")</f>
        <v>HH2693</v>
      </c>
      <c r="G3360" s="87" t="str">
        <f>IFERROR(__xludf.DUMMYFUNCTION("""COMPUTED_VALUE"""),"GC - II - 2693 - THÀNH CÔNG AGRI - MASTER EXTRA (Gel trong) - 100ml - 50")</f>
        <v>GC - II - 2693 - THÀNH CÔNG AGRI - MASTER EXTRA (Gel trong) - 100ml - 50</v>
      </c>
    </row>
    <row r="3361">
      <c r="A3361" s="86">
        <f>IFERROR(__xludf.DUMMYFUNCTION("""COMPUTED_VALUE"""),3359.0)</f>
        <v>3359</v>
      </c>
      <c r="B3361" s="87" t="str">
        <f>IFERROR(__xludf.DUMMYFUNCTION("""COMPUTED_VALUE"""),"Nhãn")</f>
        <v>Nhãn</v>
      </c>
      <c r="C3361" s="87" t="str">
        <f>IFERROR(__xludf.DUMMYFUNCTION("""COMPUTED_VALUE"""),"NTN2694")</f>
        <v>NTN2694</v>
      </c>
      <c r="D3361" s="87" t="str">
        <f>IFERROR(__xludf.DUMMYFUNCTION("""COMPUTED_VALUE"""),"[Nhãn] GC - IV - 2694 - Cty Newtex - MANCOBGO 80WP (Bột xanh) - 1kg - 25")</f>
        <v>[Nhãn] GC - IV - 2694 - Cty Newtex - MANCOBGO 80WP (Bột xanh) - 1kg - 25</v>
      </c>
      <c r="E3361" s="87" t="str">
        <f>IFERROR(__xludf.DUMMYFUNCTION("""COMPUTED_VALUE"""),"MANCOBGO 80WP")</f>
        <v>MANCOBGO 80WP</v>
      </c>
      <c r="F3361" s="87" t="str">
        <f>IFERROR(__xludf.DUMMYFUNCTION("""COMPUTED_VALUE"""),"HH2694")</f>
        <v>HH2694</v>
      </c>
      <c r="G3361" s="87" t="str">
        <f>IFERROR(__xludf.DUMMYFUNCTION("""COMPUTED_VALUE"""),"GC - IV - 2694 - Cty Newtex - MANCOBGO 80WP (Bột xanh) - 1kg - 25")</f>
        <v>GC - IV - 2694 - Cty Newtex - MANCOBGO 80WP (Bột xanh) - 1kg - 25</v>
      </c>
    </row>
    <row r="3362">
      <c r="A3362" s="86">
        <f>IFERROR(__xludf.DUMMYFUNCTION("""COMPUTED_VALUE"""),3360.0)</f>
        <v>3360</v>
      </c>
      <c r="B3362" s="87" t="str">
        <f>IFERROR(__xludf.DUMMYFUNCTION("""COMPUTED_VALUE"""),"Nhãn thùng")</f>
        <v>Nhãn thùng</v>
      </c>
      <c r="C3362" s="87" t="str">
        <f>IFERROR(__xludf.DUMMYFUNCTION("""COMPUTED_VALUE"""),"NDT2694")</f>
        <v>NDT2694</v>
      </c>
      <c r="D3362" s="87" t="str">
        <f>IFERROR(__xludf.DUMMYFUNCTION("""COMPUTED_VALUE"""),"[Nhãn thùng] GC - IV - 2694 - Cty Newtex - MANCOBGO 80WP (Bột xanh) - 1kg - 25")</f>
        <v>[Nhãn thùng] GC - IV - 2694 - Cty Newtex - MANCOBGO 80WP (Bột xanh) - 1kg - 25</v>
      </c>
      <c r="E3362" s="87" t="str">
        <f>IFERROR(__xludf.DUMMYFUNCTION("""COMPUTED_VALUE"""),"MANCOBGO 80WP")</f>
        <v>MANCOBGO 80WP</v>
      </c>
      <c r="F3362" s="87" t="str">
        <f>IFERROR(__xludf.DUMMYFUNCTION("""COMPUTED_VALUE"""),"HH2694")</f>
        <v>HH2694</v>
      </c>
      <c r="G3362" s="87" t="str">
        <f>IFERROR(__xludf.DUMMYFUNCTION("""COMPUTED_VALUE"""),"GC - IV - 2694 - Cty Newtex - MANCOBGO 80WP (Bột xanh) - 1kg - 25")</f>
        <v>GC - IV - 2694 - Cty Newtex - MANCOBGO 80WP (Bột xanh) - 1kg - 25</v>
      </c>
    </row>
    <row r="3363">
      <c r="A3363" s="86">
        <f>IFERROR(__xludf.DUMMYFUNCTION("""COMPUTED_VALUE"""),3361.0)</f>
        <v>3361</v>
      </c>
      <c r="B3363" s="87" t="str">
        <f>IFERROR(__xludf.DUMMYFUNCTION("""COMPUTED_VALUE"""),"Nhãn")</f>
        <v>Nhãn</v>
      </c>
      <c r="C3363" s="87" t="str">
        <f>IFERROR(__xludf.DUMMYFUNCTION("""COMPUTED_VALUE"""),"NHG2695")</f>
        <v>NHG2695</v>
      </c>
      <c r="D3363" s="87" t="str">
        <f>IFERROR(__xludf.DUMMYFUNCTION("""COMPUTED_VALUE"""),"[Nhãn] GC - IV - 2695 - CTY USAFARM - THẤM SÂU (Gel trong) - 100ml - 50")</f>
        <v>[Nhãn] GC - IV - 2695 - CTY USAFARM - THẤM SÂU (Gel trong) - 100ml - 50</v>
      </c>
      <c r="E3363" s="87" t="str">
        <f>IFERROR(__xludf.DUMMYFUNCTION("""COMPUTED_VALUE"""),"Vi lượng AGAMA-SUPPORT")</f>
        <v>Vi lượng AGAMA-SUPPORT</v>
      </c>
      <c r="F3363" s="87" t="str">
        <f>IFERROR(__xludf.DUMMYFUNCTION("""COMPUTED_VALUE"""),"HH2695")</f>
        <v>HH2695</v>
      </c>
      <c r="G3363" s="87" t="str">
        <f>IFERROR(__xludf.DUMMYFUNCTION("""COMPUTED_VALUE"""),"GC - IV - 2695 - CTY USAFARM - THẤM SÂU (Gel trong) - 100ml - 50")</f>
        <v>GC - IV - 2695 - CTY USAFARM - THẤM SÂU (Gel trong) - 100ml - 50</v>
      </c>
    </row>
    <row r="3364">
      <c r="A3364" s="86">
        <f>IFERROR(__xludf.DUMMYFUNCTION("""COMPUTED_VALUE"""),3362.0)</f>
        <v>3362</v>
      </c>
      <c r="B3364" s="87" t="str">
        <f>IFERROR(__xludf.DUMMYFUNCTION("""COMPUTED_VALUE"""),"Nhãn")</f>
        <v>Nhãn</v>
      </c>
      <c r="C3364" s="87" t="str">
        <f>IFERROR(__xludf.DUMMYFUNCTION("""COMPUTED_VALUE"""),"NTN2696")</f>
        <v>NTN2696</v>
      </c>
      <c r="D3364" s="87" t="str">
        <f>IFERROR(__xludf.DUMMYFUNCTION("""COMPUTED_VALUE"""),"[Nhãn] GC - II - 2696 - AGC - ALONIL (Bột trắng) - 100gr - 100")</f>
        <v>[Nhãn] GC - II - 2696 - AGC - ALONIL (Bột trắng) - 100gr - 100</v>
      </c>
      <c r="E3364" s="87" t="str">
        <f>IFERROR(__xludf.DUMMYFUNCTION("""COMPUTED_VALUE"""),"THALONIL 75WP")</f>
        <v>THALONIL 75WP</v>
      </c>
      <c r="F3364" s="87" t="str">
        <f>IFERROR(__xludf.DUMMYFUNCTION("""COMPUTED_VALUE"""),"HH2696")</f>
        <v>HH2696</v>
      </c>
      <c r="G3364" s="87" t="str">
        <f>IFERROR(__xludf.DUMMYFUNCTION("""COMPUTED_VALUE"""),"GC - II - 2696 - AGC - ALONIL (Bột trắng) - 100gr - 100")</f>
        <v>GC - II - 2696 - AGC - ALONIL (Bột trắng) - 100gr - 100</v>
      </c>
    </row>
    <row r="3365">
      <c r="A3365" s="86">
        <f>IFERROR(__xludf.DUMMYFUNCTION("""COMPUTED_VALUE"""),3363.0)</f>
        <v>3363</v>
      </c>
      <c r="B3365" s="87" t="str">
        <f>IFERROR(__xludf.DUMMYFUNCTION("""COMPUTED_VALUE"""),"Nhãn thùng")</f>
        <v>Nhãn thùng</v>
      </c>
      <c r="C3365" s="87" t="str">
        <f>IFERROR(__xludf.DUMMYFUNCTION("""COMPUTED_VALUE"""),"NDT2696")</f>
        <v>NDT2696</v>
      </c>
      <c r="D3365" s="87" t="str">
        <f>IFERROR(__xludf.DUMMYFUNCTION("""COMPUTED_VALUE"""),"[Nhãn thùng] GC - II - 2696 - AGC - ALONIL (Bột trắng) - 100gr - 100")</f>
        <v>[Nhãn thùng] GC - II - 2696 - AGC - ALONIL (Bột trắng) - 100gr - 100</v>
      </c>
      <c r="E3365" s="87" t="str">
        <f>IFERROR(__xludf.DUMMYFUNCTION("""COMPUTED_VALUE"""),"THALONIL 75WP")</f>
        <v>THALONIL 75WP</v>
      </c>
      <c r="F3365" s="87" t="str">
        <f>IFERROR(__xludf.DUMMYFUNCTION("""COMPUTED_VALUE"""),"HH2696")</f>
        <v>HH2696</v>
      </c>
      <c r="G3365" s="87" t="str">
        <f>IFERROR(__xludf.DUMMYFUNCTION("""COMPUTED_VALUE"""),"GC - II - 2696 - AGC - ALONIL (Bột trắng) - 100gr - 100")</f>
        <v>GC - II - 2696 - AGC - ALONIL (Bột trắng) - 100gr - 100</v>
      </c>
    </row>
    <row r="3366">
      <c r="A3366" s="86">
        <f>IFERROR(__xludf.DUMMYFUNCTION("""COMPUTED_VALUE"""),3364.0)</f>
        <v>3364</v>
      </c>
      <c r="B3366" s="87" t="str">
        <f>IFERROR(__xludf.DUMMYFUNCTION("""COMPUTED_VALUE"""),"Nhãn")</f>
        <v>Nhãn</v>
      </c>
      <c r="C3366" s="87" t="str">
        <f>IFERROR(__xludf.DUMMYFUNCTION("""COMPUTED_VALUE"""),"NTN2697")</f>
        <v>NTN2697</v>
      </c>
      <c r="D3366" s="87" t="str">
        <f>IFERROR(__xludf.DUMMYFUNCTION("""COMPUTED_VALUE"""),"[Nhãn] GC - IV - 2697 - CTY ACE VN - REGENTS SUPER (Nước trắng sữa) - 25ml - 400")</f>
        <v>[Nhãn] GC - IV - 2697 - CTY ACE VN - REGENTS SUPER (Nước trắng sữa) - 25ml - 400</v>
      </c>
      <c r="E3366" s="87" t="str">
        <f>IFERROR(__xludf.DUMMYFUNCTION("""COMPUTED_VALUE"""),"YAPOKO 250SC")</f>
        <v>YAPOKO 250SC</v>
      </c>
      <c r="F3366" s="87" t="str">
        <f>IFERROR(__xludf.DUMMYFUNCTION("""COMPUTED_VALUE"""),"HH2697")</f>
        <v>HH2697</v>
      </c>
      <c r="G3366" s="87" t="str">
        <f>IFERROR(__xludf.DUMMYFUNCTION("""COMPUTED_VALUE"""),"GC - IV - 2697 - CTY ACE VN - REGENTS SUPER (Nước trắng sữa) - 25ml - 400")</f>
        <v>GC - IV - 2697 - CTY ACE VN - REGENTS SUPER (Nước trắng sữa) - 25ml - 400</v>
      </c>
    </row>
    <row r="3367">
      <c r="A3367" s="86">
        <f>IFERROR(__xludf.DUMMYFUNCTION("""COMPUTED_VALUE"""),3365.0)</f>
        <v>3365</v>
      </c>
      <c r="B3367" s="87" t="str">
        <f>IFERROR(__xludf.DUMMYFUNCTION("""COMPUTED_VALUE"""),"Nhãn thùng")</f>
        <v>Nhãn thùng</v>
      </c>
      <c r="C3367" s="87" t="str">
        <f>IFERROR(__xludf.DUMMYFUNCTION("""COMPUTED_VALUE"""),"NDT2697")</f>
        <v>NDT2697</v>
      </c>
      <c r="D3367" s="87" t="str">
        <f>IFERROR(__xludf.DUMMYFUNCTION("""COMPUTED_VALUE"""),"[Nhãn thùng] GC - IV - 2697 - CTY ACE VN - REGENTS SUPER (Nước trắng sữa) - 25ml - 400")</f>
        <v>[Nhãn thùng] GC - IV - 2697 - CTY ACE VN - REGENTS SUPER (Nước trắng sữa) - 25ml - 400</v>
      </c>
      <c r="E3367" s="87" t="str">
        <f>IFERROR(__xludf.DUMMYFUNCTION("""COMPUTED_VALUE"""),"YAPOKO 250SC")</f>
        <v>YAPOKO 250SC</v>
      </c>
      <c r="F3367" s="87" t="str">
        <f>IFERROR(__xludf.DUMMYFUNCTION("""COMPUTED_VALUE"""),"HH2697")</f>
        <v>HH2697</v>
      </c>
      <c r="G3367" s="87" t="str">
        <f>IFERROR(__xludf.DUMMYFUNCTION("""COMPUTED_VALUE"""),"GC - IV - 2697 - CTY ACE VN - REGENTS SUPER (Nước trắng sữa) - 25ml - 400")</f>
        <v>GC - IV - 2697 - CTY ACE VN - REGENTS SUPER (Nước trắng sữa) - 25ml - 400</v>
      </c>
    </row>
    <row r="3368">
      <c r="A3368" s="86">
        <f>IFERROR(__xludf.DUMMYFUNCTION("""COMPUTED_VALUE"""),3366.0)</f>
        <v>3366</v>
      </c>
      <c r="B3368" s="87" t="str">
        <f>IFERROR(__xludf.DUMMYFUNCTION("""COMPUTED_VALUE"""),"Nhãn")</f>
        <v>Nhãn</v>
      </c>
      <c r="C3368" s="87" t="str">
        <f>IFERROR(__xludf.DUMMYFUNCTION("""COMPUTED_VALUE"""),"NHG2700")</f>
        <v>NHG2700</v>
      </c>
      <c r="D3368" s="87" t="str">
        <f>IFERROR(__xludf.DUMMYFUNCTION("""COMPUTED_VALUE"""),"[Nhãn] NB - I - 2700- Cty ND Thuỵ Sĩ - VÔ GẠO THỤY SĨ - 500ml - 40")</f>
        <v>[Nhãn] NB - I - 2700- Cty ND Thuỵ Sĩ - VÔ GẠO THỤY SĨ - 500ml - 40</v>
      </c>
      <c r="E3368" s="87" t="str">
        <f>IFERROR(__xludf.DUMMYFUNCTION("""COMPUTED_VALUE"""),"VINFER 01")</f>
        <v>VINFER 01</v>
      </c>
      <c r="F3368" s="87" t="str">
        <f>IFERROR(__xludf.DUMMYFUNCTION("""COMPUTED_VALUE"""),"HH2700")</f>
        <v>HH2700</v>
      </c>
      <c r="G3368" s="87" t="str">
        <f>IFERROR(__xludf.DUMMYFUNCTION("""COMPUTED_VALUE"""),"NB - I - 2700- Cty ND Thuỵ Sĩ - VÔ GẠO THỤY SĨ - 500ml - 40")</f>
        <v>NB - I - 2700- Cty ND Thuỵ Sĩ - VÔ GẠO THỤY SĨ - 500ml - 40</v>
      </c>
    </row>
    <row r="3369">
      <c r="A3369" s="86">
        <f>IFERROR(__xludf.DUMMYFUNCTION("""COMPUTED_VALUE"""),3367.0)</f>
        <v>3367</v>
      </c>
      <c r="B3369" s="87" t="str">
        <f>IFERROR(__xludf.DUMMYFUNCTION("""COMPUTED_VALUE"""),"Nhãn")</f>
        <v>Nhãn</v>
      </c>
      <c r="C3369" s="87" t="str">
        <f>IFERROR(__xludf.DUMMYFUNCTION("""COMPUTED_VALUE"""),"NHG2701")</f>
        <v>NHG2701</v>
      </c>
      <c r="D3369" s="87" t="str">
        <f>IFERROR(__xludf.DUMMYFUNCTION("""COMPUTED_VALUE"""),"[Nhãn] NB - I - 2701- Cty ND Thuỵ Sĩ - VÔ GẠO HỮU CƠ - 500ml - 40")</f>
        <v>[Nhãn] NB - I - 2701- Cty ND Thuỵ Sĩ - VÔ GẠO HỮU CƠ - 500ml - 40</v>
      </c>
      <c r="E3369" s="87" t="str">
        <f>IFERROR(__xludf.DUMMYFUNCTION("""COMPUTED_VALUE"""),"VINFER 01")</f>
        <v>VINFER 01</v>
      </c>
      <c r="F3369" s="87" t="str">
        <f>IFERROR(__xludf.DUMMYFUNCTION("""COMPUTED_VALUE"""),"HH2701")</f>
        <v>HH2701</v>
      </c>
      <c r="G3369" s="87" t="str">
        <f>IFERROR(__xludf.DUMMYFUNCTION("""COMPUTED_VALUE"""),"NB - I - 2701- Cty ND Thuỵ Sĩ - VÔ GẠO HỮU CƠ - 500ml - 40")</f>
        <v>NB - I - 2701- Cty ND Thuỵ Sĩ - VÔ GẠO HỮU CƠ - 500ml - 40</v>
      </c>
    </row>
    <row r="3370">
      <c r="A3370" s="86">
        <f>IFERROR(__xludf.DUMMYFUNCTION("""COMPUTED_VALUE"""),3368.0)</f>
        <v>3368</v>
      </c>
      <c r="B3370" s="87" t="str">
        <f>IFERROR(__xludf.DUMMYFUNCTION("""COMPUTED_VALUE"""),"Nhãn")</f>
        <v>Nhãn</v>
      </c>
      <c r="C3370" s="87" t="str">
        <f>IFERROR(__xludf.DUMMYFUNCTION("""COMPUTED_VALUE"""),"NHG2704")</f>
        <v>NHG2704</v>
      </c>
      <c r="D3370" s="87" t="str">
        <f>IFERROR(__xludf.DUMMYFUNCTION("""COMPUTED_VALUE"""),"[Nhãn] NB - I - 2704- Cty ND Thuỵ Sĩ -  KING ROOTS - 500ml - 40")</f>
        <v>[Nhãn] NB - I - 2704- Cty ND Thuỵ Sĩ -  KING ROOTS - 500ml - 40</v>
      </c>
      <c r="E3370" s="87" t="str">
        <f>IFERROR(__xludf.DUMMYFUNCTION("""COMPUTED_VALUE"""),"HỮU CƠ ORGANIC COMBI VINASTAR")</f>
        <v>HỮU CƠ ORGANIC COMBI VINASTAR</v>
      </c>
      <c r="F3370" s="87" t="str">
        <f>IFERROR(__xludf.DUMMYFUNCTION("""COMPUTED_VALUE"""),"HH2704")</f>
        <v>HH2704</v>
      </c>
      <c r="G3370" s="87" t="str">
        <f>IFERROR(__xludf.DUMMYFUNCTION("""COMPUTED_VALUE"""),"NB - I - 2704- Cty ND Thuỵ Sĩ -  KING ROOTS - 500ml - 40")</f>
        <v>NB - I - 2704- Cty ND Thuỵ Sĩ -  KING ROOTS - 500ml - 40</v>
      </c>
    </row>
    <row r="3371">
      <c r="A3371" s="86">
        <f>IFERROR(__xludf.DUMMYFUNCTION("""COMPUTED_VALUE"""),3369.0)</f>
        <v>3369</v>
      </c>
      <c r="B3371" s="87" t="str">
        <f>IFERROR(__xludf.DUMMYFUNCTION("""COMPUTED_VALUE"""),"Nhãn")</f>
        <v>Nhãn</v>
      </c>
      <c r="C3371" s="87" t="str">
        <f>IFERROR(__xludf.DUMMYFUNCTION("""COMPUTED_VALUE"""),"NHG2705")</f>
        <v>NHG2705</v>
      </c>
      <c r="D3371" s="87" t="str">
        <f>IFERROR(__xludf.DUMMYFUNCTION("""COMPUTED_VALUE"""),"[Nhãn] GC - IV - 2705 - CTY TIẾN VINH - SƯ TƯ LỬA (nước đỏ) - 900ml - 20")</f>
        <v>[Nhãn] GC - IV - 2705 - CTY TIẾN VINH - SƯ TƯ LỬA (nước đỏ) - 900ml - 20</v>
      </c>
      <c r="E3371" s="87" t="str">
        <f>IFERROR(__xludf.DUMMYFUNCTION("""COMPUTED_VALUE"""),"Asupergras 200SL")</f>
        <v>Asupergras 200SL</v>
      </c>
      <c r="F3371" s="87" t="str">
        <f>IFERROR(__xludf.DUMMYFUNCTION("""COMPUTED_VALUE"""),"HH2705")</f>
        <v>HH2705</v>
      </c>
      <c r="G3371" s="87" t="str">
        <f>IFERROR(__xludf.DUMMYFUNCTION("""COMPUTED_VALUE"""),"GC - IV - 2705 - CTY TIẾN VINH - SƯ TƯ LỬA (nước đỏ) - 900ml - 20")</f>
        <v>GC - IV - 2705 - CTY TIẾN VINH - SƯ TƯ LỬA (nước đỏ) - 900ml - 20</v>
      </c>
    </row>
    <row r="3372">
      <c r="A3372" s="86">
        <f>IFERROR(__xludf.DUMMYFUNCTION("""COMPUTED_VALUE"""),3370.0)</f>
        <v>3370</v>
      </c>
      <c r="B3372" s="87" t="str">
        <f>IFERROR(__xludf.DUMMYFUNCTION("""COMPUTED_VALUE"""),"Nhãn")</f>
        <v>Nhãn</v>
      </c>
      <c r="C3372" s="87" t="str">
        <f>IFERROR(__xludf.DUMMYFUNCTION("""COMPUTED_VALUE"""),"NHG2708")</f>
        <v>NHG2708</v>
      </c>
      <c r="D3372" s="87" t="str">
        <f>IFERROR(__xludf.DUMMYFUNCTION("""COMPUTED_VALUE"""),"[Nhãn] BAMBOO - II - 2708 - BAMBOO X3 (Nước xanh dương) - 100ml - 100")</f>
        <v>[Nhãn] BAMBOO - II - 2708 - BAMBOO X3 (Nước xanh dương) - 100ml - 100</v>
      </c>
      <c r="E3372" s="87" t="str">
        <f>IFERROR(__xludf.DUMMYFUNCTION("""COMPUTED_VALUE"""),"Vi lượng Quantity New")</f>
        <v>Vi lượng Quantity New</v>
      </c>
      <c r="F3372" s="87" t="str">
        <f>IFERROR(__xludf.DUMMYFUNCTION("""COMPUTED_VALUE"""),"HH2708")</f>
        <v>HH2708</v>
      </c>
      <c r="G3372" s="87" t="str">
        <f>IFERROR(__xludf.DUMMYFUNCTION("""COMPUTED_VALUE"""),"BAMBOO - II - 2708 - BAMBOO X3 (Nước xanh dương) - 100ml - 100")</f>
        <v>BAMBOO - II - 2708 - BAMBOO X3 (Nước xanh dương) - 100ml - 100</v>
      </c>
    </row>
    <row r="3373">
      <c r="A3373" s="86">
        <f>IFERROR(__xludf.DUMMYFUNCTION("""COMPUTED_VALUE"""),3371.0)</f>
        <v>3371</v>
      </c>
      <c r="B3373" s="87" t="str">
        <f>IFERROR(__xludf.DUMMYFUNCTION("""COMPUTED_VALUE"""),"Nhãn")</f>
        <v>Nhãn</v>
      </c>
      <c r="C3373" s="87" t="str">
        <f>IFERROR(__xludf.DUMMYFUNCTION("""COMPUTED_VALUE"""),"NHG2709")</f>
        <v>NHG2709</v>
      </c>
      <c r="D3373" s="87" t="str">
        <f>IFERROR(__xludf.DUMMYFUNCTION("""COMPUTED_VALUE"""),"[Nhãn] GC - IV - 2709 - CTY AGRITECH (Anh Trương) - AGRI GRAS (Nước đỏ) - 900ml - 20")</f>
        <v>[Nhãn] GC - IV - 2709 - CTY AGRITECH (Anh Trương) - AGRI GRAS (Nước đỏ) - 900ml - 20</v>
      </c>
      <c r="E3373" s="87" t="str">
        <f>IFERROR(__xludf.DUMMYFUNCTION("""COMPUTED_VALUE"""),"Asupergras 200SL")</f>
        <v>Asupergras 200SL</v>
      </c>
      <c r="F3373" s="87" t="str">
        <f>IFERROR(__xludf.DUMMYFUNCTION("""COMPUTED_VALUE"""),"HH2709")</f>
        <v>HH2709</v>
      </c>
      <c r="G3373" s="87" t="str">
        <f>IFERROR(__xludf.DUMMYFUNCTION("""COMPUTED_VALUE"""),"GC - IV - 2709 - CTY AGRITECH (Anh Trương) - AGRI GRAS (Nước đỏ) - 900ml - 20")</f>
        <v>GC - IV - 2709 - CTY AGRITECH (Anh Trương) - AGRI GRAS (Nước đỏ) - 900ml - 20</v>
      </c>
    </row>
    <row r="3374">
      <c r="A3374" s="86">
        <f>IFERROR(__xludf.DUMMYFUNCTION("""COMPUTED_VALUE"""),3372.0)</f>
        <v>3372</v>
      </c>
      <c r="B3374" s="87" t="str">
        <f>IFERROR(__xludf.DUMMYFUNCTION("""COMPUTED_VALUE"""),"Nhãn")</f>
        <v>Nhãn</v>
      </c>
      <c r="C3374" s="87" t="str">
        <f>IFERROR(__xludf.DUMMYFUNCTION("""COMPUTED_VALUE"""),"NHG2710")</f>
        <v>NHG2710</v>
      </c>
      <c r="D3374" s="87" t="str">
        <f>IFERROR(__xludf.DUMMYFUNCTION("""COMPUTED_VALUE"""),"[Nhãn] GC - IV - 2710 - NEWTECH CROP SCIENCE - CITTIZEN 333SC (Nước cam sữa) - 450ml - 40")</f>
        <v>[Nhãn] GC - IV - 2710 - NEWTECH CROP SCIENCE - CITTIZEN 333SC (Nước cam sữa) - 450ml - 40</v>
      </c>
      <c r="E3374" s="87" t="str">
        <f>IFERROR(__xludf.DUMMYFUNCTION("""COMPUTED_VALUE"""),"CITTIZEN 333SC")</f>
        <v>CITTIZEN 333SC</v>
      </c>
      <c r="F3374" s="87" t="str">
        <f>IFERROR(__xludf.DUMMYFUNCTION("""COMPUTED_VALUE"""),"HH2710")</f>
        <v>HH2710</v>
      </c>
      <c r="G3374" s="87" t="str">
        <f>IFERROR(__xludf.DUMMYFUNCTION("""COMPUTED_VALUE"""),"GC - IV - 2710 - NEWTECH CROP SCIENCE - CITTIZEN 333SC (Nước cam sữa) - 450ml - 40")</f>
        <v>GC - IV - 2710 - NEWTECH CROP SCIENCE - CITTIZEN 333SC (Nước cam sữa) - 450ml - 40</v>
      </c>
    </row>
    <row r="3375">
      <c r="A3375" s="86">
        <f>IFERROR(__xludf.DUMMYFUNCTION("""COMPUTED_VALUE"""),3373.0)</f>
        <v>3373</v>
      </c>
      <c r="B3375" s="87" t="str">
        <f>IFERROR(__xludf.DUMMYFUNCTION("""COMPUTED_VALUE"""),"Nhãn thùng")</f>
        <v>Nhãn thùng</v>
      </c>
      <c r="C3375" s="87" t="str">
        <f>IFERROR(__xludf.DUMMYFUNCTION("""COMPUTED_VALUE"""),"NDT2710")</f>
        <v>NDT2710</v>
      </c>
      <c r="D3375" s="87" t="str">
        <f>IFERROR(__xludf.DUMMYFUNCTION("""COMPUTED_VALUE"""),"[Nhãn thùng] GC - IV - 2710 - NEWTECH CROP SCIENCE - CITTIZEN 333SC (Nước cam sữa) - 450ml - 40")</f>
        <v>[Nhãn thùng] GC - IV - 2710 - NEWTECH CROP SCIENCE - CITTIZEN 333SC (Nước cam sữa) - 450ml - 40</v>
      </c>
      <c r="E3375" s="87" t="str">
        <f>IFERROR(__xludf.DUMMYFUNCTION("""COMPUTED_VALUE"""),"CITTIZEN 333SC")</f>
        <v>CITTIZEN 333SC</v>
      </c>
      <c r="F3375" s="87" t="str">
        <f>IFERROR(__xludf.DUMMYFUNCTION("""COMPUTED_VALUE"""),"HH2710")</f>
        <v>HH2710</v>
      </c>
      <c r="G3375" s="87" t="str">
        <f>IFERROR(__xludf.DUMMYFUNCTION("""COMPUTED_VALUE"""),"GC - IV - 2710 - NEWTECH CROP SCIENCE - CITTIZEN 333SC (Nước cam sữa) - 450ml - 40")</f>
        <v>GC - IV - 2710 - NEWTECH CROP SCIENCE - CITTIZEN 333SC (Nước cam sữa) - 450ml - 40</v>
      </c>
    </row>
    <row r="3376">
      <c r="A3376" s="86">
        <f>IFERROR(__xludf.DUMMYFUNCTION("""COMPUTED_VALUE"""),3374.0)</f>
        <v>3374</v>
      </c>
      <c r="B3376" s="87" t="str">
        <f>IFERROR(__xludf.DUMMYFUNCTION("""COMPUTED_VALUE"""),"Nhãn")</f>
        <v>Nhãn</v>
      </c>
      <c r="C3376" s="87" t="str">
        <f>IFERROR(__xludf.DUMMYFUNCTION("""COMPUTED_VALUE"""),"NHG2712")</f>
        <v>NHG2712</v>
      </c>
      <c r="D3376" s="87" t="str">
        <f>IFERROR(__xludf.DUMMYFUNCTION("""COMPUTED_VALUE"""),"[Nhãn] GC - IV - 2712 - Cty Tiến Vinh - TIVIDAN 85 (Bột trắng) - 100gr - 84")</f>
        <v>[Nhãn] GC - IV - 2712 - Cty Tiến Vinh - TIVIDAN 85 (Bột trắng) - 100gr - 84</v>
      </c>
      <c r="E3376" s="87" t="str">
        <f>IFERROR(__xludf.DUMMYFUNCTION("""COMPUTED_VALUE"""),"NOSAU 85WP")</f>
        <v>NOSAU 85WP</v>
      </c>
      <c r="F3376" s="87" t="str">
        <f>IFERROR(__xludf.DUMMYFUNCTION("""COMPUTED_VALUE"""),"HH2712")</f>
        <v>HH2712</v>
      </c>
      <c r="G3376" s="87" t="str">
        <f>IFERROR(__xludf.DUMMYFUNCTION("""COMPUTED_VALUE"""),"GC - IV - 2712 - Cty Tiến Vinh - TIVIDAN 85 (Bột trắng) - 100gr - 84")</f>
        <v>GC - IV - 2712 - Cty Tiến Vinh - TIVIDAN 85 (Bột trắng) - 100gr - 84</v>
      </c>
    </row>
    <row r="3377">
      <c r="A3377" s="86">
        <f>IFERROR(__xludf.DUMMYFUNCTION("""COMPUTED_VALUE"""),3375.0)</f>
        <v>3375</v>
      </c>
      <c r="B3377" s="87" t="str">
        <f>IFERROR(__xludf.DUMMYFUNCTION("""COMPUTED_VALUE"""),"Nhãn")</f>
        <v>Nhãn</v>
      </c>
      <c r="C3377" s="87" t="str">
        <f>IFERROR(__xludf.DUMMYFUNCTION("""COMPUTED_VALUE"""),"NTN2713")</f>
        <v>NTN2713</v>
      </c>
      <c r="D3377" s="87" t="str">
        <f>IFERROR(__xludf.DUMMYFUNCTION("""COMPUTED_VALUE"""),"[Nhãn] GC - IV - 2713 - Cty Hóa Nông Đất Vàng - FORWIN 85WP (Bột trắng ngà) - 50gr - 200")</f>
        <v>[Nhãn] GC - IV - 2713 - Cty Hóa Nông Đất Vàng - FORWIN 85WP (Bột trắng ngà) - 50gr - 200</v>
      </c>
      <c r="E3377" s="87" t="str">
        <f>IFERROR(__xludf.DUMMYFUNCTION("""COMPUTED_VALUE"""),"FORWIN 85WP")</f>
        <v>FORWIN 85WP</v>
      </c>
      <c r="F3377" s="87" t="str">
        <f>IFERROR(__xludf.DUMMYFUNCTION("""COMPUTED_VALUE"""),"HH2713")</f>
        <v>HH2713</v>
      </c>
      <c r="G3377" s="87" t="str">
        <f>IFERROR(__xludf.DUMMYFUNCTION("""COMPUTED_VALUE"""),"GC - IV - 2713 - Cty Hóa Nông Đất Vàng - FORWIN 85WP (Bột trắng ngà) - 50gr - 200")</f>
        <v>GC - IV - 2713 - Cty Hóa Nông Đất Vàng - FORWIN 85WP (Bột trắng ngà) - 50gr - 200</v>
      </c>
    </row>
    <row r="3378">
      <c r="A3378" s="86">
        <f>IFERROR(__xludf.DUMMYFUNCTION("""COMPUTED_VALUE"""),3376.0)</f>
        <v>3376</v>
      </c>
      <c r="B3378" s="87" t="str">
        <f>IFERROR(__xludf.DUMMYFUNCTION("""COMPUTED_VALUE"""),"Nhãn thùng")</f>
        <v>Nhãn thùng</v>
      </c>
      <c r="C3378" s="87" t="str">
        <f>IFERROR(__xludf.DUMMYFUNCTION("""COMPUTED_VALUE"""),"NDT2713")</f>
        <v>NDT2713</v>
      </c>
      <c r="D3378" s="87" t="str">
        <f>IFERROR(__xludf.DUMMYFUNCTION("""COMPUTED_VALUE"""),"[Nhãn thùng] GC - IV - 2713 - Cty Hóa Nông Đất Vàng - FORWIN 85WP (Bột trắng ngà) - 50gr - 200")</f>
        <v>[Nhãn thùng] GC - IV - 2713 - Cty Hóa Nông Đất Vàng - FORWIN 85WP (Bột trắng ngà) - 50gr - 200</v>
      </c>
      <c r="E3378" s="87" t="str">
        <f>IFERROR(__xludf.DUMMYFUNCTION("""COMPUTED_VALUE"""),"FORWIN 85WP")</f>
        <v>FORWIN 85WP</v>
      </c>
      <c r="F3378" s="87" t="str">
        <f>IFERROR(__xludf.DUMMYFUNCTION("""COMPUTED_VALUE"""),"HH2713")</f>
        <v>HH2713</v>
      </c>
      <c r="G3378" s="87" t="str">
        <f>IFERROR(__xludf.DUMMYFUNCTION("""COMPUTED_VALUE"""),"GC - IV - 2713 - Cty Hóa Nông Đất Vàng - FORWIN 85WP (Bột trắng ngà) - 50gr - 200")</f>
        <v>GC - IV - 2713 - Cty Hóa Nông Đất Vàng - FORWIN 85WP (Bột trắng ngà) - 50gr - 200</v>
      </c>
    </row>
    <row r="3379">
      <c r="A3379" s="86">
        <f>IFERROR(__xludf.DUMMYFUNCTION("""COMPUTED_VALUE"""),3377.0)</f>
        <v>3377</v>
      </c>
      <c r="B3379" s="87" t="str">
        <f>IFERROR(__xludf.DUMMYFUNCTION("""COMPUTED_VALUE"""),"Nhãn")</f>
        <v>Nhãn</v>
      </c>
      <c r="C3379" s="87" t="str">
        <f>IFERROR(__xludf.DUMMYFUNCTION("""COMPUTED_VALUE"""),"NHD2714")</f>
        <v>NHD2714</v>
      </c>
      <c r="D3379" s="87" t="str">
        <f>IFERROR(__xludf.DUMMYFUNCTION("""COMPUTED_VALUE"""),"[Nhãn] GC - IV - 2714 - VTNN Bảy Phận - PANTHER (Nước nâu đen) - 450ml - 40")</f>
        <v>[Nhãn] GC - IV - 2714 - VTNN Bảy Phận - PANTHER (Nước nâu đen) - 450ml - 40</v>
      </c>
      <c r="E3379" s="87" t="str">
        <f>IFERROR(__xludf.DUMMYFUNCTION("""COMPUTED_VALUE"""),"HAIHAMEC 3.6EC")</f>
        <v>HAIHAMEC 3.6EC</v>
      </c>
      <c r="F3379" s="87" t="str">
        <f>IFERROR(__xludf.DUMMYFUNCTION("""COMPUTED_VALUE"""),"HH2714")</f>
        <v>HH2714</v>
      </c>
      <c r="G3379" s="87" t="str">
        <f>IFERROR(__xludf.DUMMYFUNCTION("""COMPUTED_VALUE"""),"GC - IV - 2714 - VTNN Bảy Phận - PANTHER (Nước nâu đen) - 450ml - 40")</f>
        <v>GC - IV - 2714 - VTNN Bảy Phận - PANTHER (Nước nâu đen) - 450ml - 40</v>
      </c>
    </row>
    <row r="3380">
      <c r="A3380" s="86">
        <f>IFERROR(__xludf.DUMMYFUNCTION("""COMPUTED_VALUE"""),3378.0)</f>
        <v>3378</v>
      </c>
      <c r="B3380" s="87" t="str">
        <f>IFERROR(__xludf.DUMMYFUNCTION("""COMPUTED_VALUE"""),"Nhãn thùng")</f>
        <v>Nhãn thùng</v>
      </c>
      <c r="C3380" s="87" t="str">
        <f>IFERROR(__xludf.DUMMYFUNCTION("""COMPUTED_VALUE"""),"NDT2714")</f>
        <v>NDT2714</v>
      </c>
      <c r="D3380" s="87" t="str">
        <f>IFERROR(__xludf.DUMMYFUNCTION("""COMPUTED_VALUE"""),"[Nhãn thùng] GC - IV - 2714 - VTNN Bảy Phận - PANTHER (Nước nâu đen) - 450ml - 40")</f>
        <v>[Nhãn thùng] GC - IV - 2714 - VTNN Bảy Phận - PANTHER (Nước nâu đen) - 450ml - 40</v>
      </c>
      <c r="E3380" s="87" t="str">
        <f>IFERROR(__xludf.DUMMYFUNCTION("""COMPUTED_VALUE"""),"HAIHAMEC 3.6EC")</f>
        <v>HAIHAMEC 3.6EC</v>
      </c>
      <c r="F3380" s="87" t="str">
        <f>IFERROR(__xludf.DUMMYFUNCTION("""COMPUTED_VALUE"""),"HH2714")</f>
        <v>HH2714</v>
      </c>
      <c r="G3380" s="87" t="str">
        <f>IFERROR(__xludf.DUMMYFUNCTION("""COMPUTED_VALUE"""),"GC - IV - 2714 - VTNN Bảy Phận - PANTHER (Nước nâu đen) - 450ml - 40")</f>
        <v>GC - IV - 2714 - VTNN Bảy Phận - PANTHER (Nước nâu đen) - 450ml - 40</v>
      </c>
    </row>
    <row r="3381">
      <c r="A3381" s="86">
        <f>IFERROR(__xludf.DUMMYFUNCTION("""COMPUTED_VALUE"""),3379.0)</f>
        <v>3379</v>
      </c>
      <c r="B3381" s="87" t="str">
        <f>IFERROR(__xludf.DUMMYFUNCTION("""COMPUTED_VALUE"""),"Nhãn")</f>
        <v>Nhãn</v>
      </c>
      <c r="C3381" s="87" t="str">
        <f>IFERROR(__xludf.DUMMYFUNCTION("""COMPUTED_VALUE"""),"NHD2715")</f>
        <v>NHD2715</v>
      </c>
      <c r="D3381" s="87" t="str">
        <f>IFERROR(__xludf.DUMMYFUNCTION("""COMPUTED_VALUE"""),"[Nhãn] GC - IV - 2715 - VTNN Bảy Phận - SHARK (Nước nâu đen) - 450ml - 40")</f>
        <v>[Nhãn] GC - IV - 2715 - VTNN Bảy Phận - SHARK (Nước nâu đen) - 450ml - 40</v>
      </c>
      <c r="E3381" s="87" t="str">
        <f>IFERROR(__xludf.DUMMYFUNCTION("""COMPUTED_VALUE"""),"HAIHAMEC 3.6EC")</f>
        <v>HAIHAMEC 3.6EC</v>
      </c>
      <c r="F3381" s="87" t="str">
        <f>IFERROR(__xludf.DUMMYFUNCTION("""COMPUTED_VALUE"""),"HH2715")</f>
        <v>HH2715</v>
      </c>
      <c r="G3381" s="87" t="str">
        <f>IFERROR(__xludf.DUMMYFUNCTION("""COMPUTED_VALUE"""),"GC - IV - 2715 - VTNN Bảy Phận - SHARK (Nước nâu đen) - 450ml - 40")</f>
        <v>GC - IV - 2715 - VTNN Bảy Phận - SHARK (Nước nâu đen) - 450ml - 40</v>
      </c>
    </row>
    <row r="3382">
      <c r="A3382" s="86">
        <f>IFERROR(__xludf.DUMMYFUNCTION("""COMPUTED_VALUE"""),3380.0)</f>
        <v>3380</v>
      </c>
      <c r="B3382" s="87" t="str">
        <f>IFERROR(__xludf.DUMMYFUNCTION("""COMPUTED_VALUE"""),"Nhãn thùng")</f>
        <v>Nhãn thùng</v>
      </c>
      <c r="C3382" s="87" t="str">
        <f>IFERROR(__xludf.DUMMYFUNCTION("""COMPUTED_VALUE"""),"NDT2715")</f>
        <v>NDT2715</v>
      </c>
      <c r="D3382" s="87" t="str">
        <f>IFERROR(__xludf.DUMMYFUNCTION("""COMPUTED_VALUE"""),"[Nhãn thùng] GC - IV - 2715 - VTNN Bảy Phận - SHARK (Nước nâu đen) - 450ml - 40")</f>
        <v>[Nhãn thùng] GC - IV - 2715 - VTNN Bảy Phận - SHARK (Nước nâu đen) - 450ml - 40</v>
      </c>
      <c r="E3382" s="87" t="str">
        <f>IFERROR(__xludf.DUMMYFUNCTION("""COMPUTED_VALUE"""),"HAIHAMEC 3.6EC")</f>
        <v>HAIHAMEC 3.6EC</v>
      </c>
      <c r="F3382" s="87" t="str">
        <f>IFERROR(__xludf.DUMMYFUNCTION("""COMPUTED_VALUE"""),"HH2715")</f>
        <v>HH2715</v>
      </c>
      <c r="G3382" s="87" t="str">
        <f>IFERROR(__xludf.DUMMYFUNCTION("""COMPUTED_VALUE"""),"GC - IV - 2715 - VTNN Bảy Phận - SHARK (Nước nâu đen) - 450ml - 40")</f>
        <v>GC - IV - 2715 - VTNN Bảy Phận - SHARK (Nước nâu đen) - 450ml - 40</v>
      </c>
    </row>
    <row r="3383">
      <c r="A3383" s="86">
        <f>IFERROR(__xludf.DUMMYFUNCTION("""COMPUTED_VALUE"""),3381.0)</f>
        <v>3381</v>
      </c>
      <c r="B3383" s="87" t="str">
        <f>IFERROR(__xludf.DUMMYFUNCTION("""COMPUTED_VALUE"""),"Nhãn")</f>
        <v>Nhãn</v>
      </c>
      <c r="C3383" s="87" t="str">
        <f>IFERROR(__xludf.DUMMYFUNCTION("""COMPUTED_VALUE"""),"NHG2716")</f>
        <v>NHG2716</v>
      </c>
      <c r="D3383" s="87" t="str">
        <f>IFERROR(__xludf.DUMMYFUNCTION("""COMPUTED_VALUE"""),"[Nhãn] GC - IV - 2716 - GNH - DR. PHOENIX NANO ĐỒNG (Nước xanh nõn chuối) - 100ml - 100")</f>
        <v>[Nhãn] GC - IV - 2716 - GNH - DR. PHOENIX NANO ĐỒNG (Nước xanh nõn chuối) - 100ml - 100</v>
      </c>
      <c r="E3383" s="87" t="str">
        <f>IFERROR(__xludf.DUMMYFUNCTION("""COMPUTED_VALUE"""),"Vi lượng Agama - Cu")</f>
        <v>Vi lượng Agama - Cu</v>
      </c>
      <c r="F3383" s="87" t="str">
        <f>IFERROR(__xludf.DUMMYFUNCTION("""COMPUTED_VALUE"""),"HH2716")</f>
        <v>HH2716</v>
      </c>
      <c r="G3383" s="87" t="str">
        <f>IFERROR(__xludf.DUMMYFUNCTION("""COMPUTED_VALUE"""),"GC - IV - 2716 - GNH - DR. PHOENIX NANO ĐỒNG (Nước xanh nõn chuối) - 100ml - 100")</f>
        <v>GC - IV - 2716 - GNH - DR. PHOENIX NANO ĐỒNG (Nước xanh nõn chuối) - 100ml - 100</v>
      </c>
    </row>
    <row r="3384">
      <c r="A3384" s="86">
        <f>IFERROR(__xludf.DUMMYFUNCTION("""COMPUTED_VALUE"""),3382.0)</f>
        <v>3382</v>
      </c>
      <c r="B3384" s="87" t="str">
        <f>IFERROR(__xludf.DUMMYFUNCTION("""COMPUTED_VALUE"""),"Nhãn")</f>
        <v>Nhãn</v>
      </c>
      <c r="C3384" s="87" t="str">
        <f>IFERROR(__xludf.DUMMYFUNCTION("""COMPUTED_VALUE"""),"NHG2717")</f>
        <v>NHG2717</v>
      </c>
      <c r="D3384" s="87" t="str">
        <f>IFERROR(__xludf.DUMMYFUNCTION("""COMPUTED_VALUE"""),"[Nhãn] GC - IV - 2717 - GNH - DR. PHOENIX NANO ĐỒNG (Nước xanh nõn chuối) - 250ml - 40")</f>
        <v>[Nhãn] GC - IV - 2717 - GNH - DR. PHOENIX NANO ĐỒNG (Nước xanh nõn chuối) - 250ml - 40</v>
      </c>
      <c r="E3384" s="87" t="str">
        <f>IFERROR(__xludf.DUMMYFUNCTION("""COMPUTED_VALUE"""),"Vi lượng Agama - Cu")</f>
        <v>Vi lượng Agama - Cu</v>
      </c>
      <c r="F3384" s="87" t="str">
        <f>IFERROR(__xludf.DUMMYFUNCTION("""COMPUTED_VALUE"""),"HH2717")</f>
        <v>HH2717</v>
      </c>
      <c r="G3384" s="87" t="str">
        <f>IFERROR(__xludf.DUMMYFUNCTION("""COMPUTED_VALUE"""),"GC - IV - 2717 - GNH - DR. PHOENIX NANO ĐỒNG (Nước xanh nõn chuối) - 250ml - 40")</f>
        <v>GC - IV - 2717 - GNH - DR. PHOENIX NANO ĐỒNG (Nước xanh nõn chuối) - 250ml - 40</v>
      </c>
    </row>
    <row r="3385">
      <c r="A3385" s="86">
        <f>IFERROR(__xludf.DUMMYFUNCTION("""COMPUTED_VALUE"""),3383.0)</f>
        <v>3383</v>
      </c>
      <c r="B3385" s="87" t="str">
        <f>IFERROR(__xludf.DUMMYFUNCTION("""COMPUTED_VALUE"""),"Nhãn")</f>
        <v>Nhãn</v>
      </c>
      <c r="C3385" s="87" t="str">
        <f>IFERROR(__xludf.DUMMYFUNCTION("""COMPUTED_VALUE"""),"NTN2718")</f>
        <v>NTN2718</v>
      </c>
      <c r="D3385" s="87" t="str">
        <f>IFERROR(__xludf.DUMMYFUNCTION("""COMPUTED_VALUE"""),"[Nhãn] GC - IV - 2718 - Cty Sen Hồng - Pim.Pim 75WP (Bột cam) - 100gr - 100")</f>
        <v>[Nhãn] GC - IV - 2718 - Cty Sen Hồng - Pim.Pim 75WP (Bột cam) - 100gr - 100</v>
      </c>
      <c r="E3385" s="87" t="str">
        <f>IFERROR(__xludf.DUMMYFUNCTION("""COMPUTED_VALUE"""),"Pim.Pim 75WP")</f>
        <v>Pim.Pim 75WP</v>
      </c>
      <c r="F3385" s="87" t="str">
        <f>IFERROR(__xludf.DUMMYFUNCTION("""COMPUTED_VALUE"""),"HH2718")</f>
        <v>HH2718</v>
      </c>
      <c r="G3385" s="87" t="str">
        <f>IFERROR(__xludf.DUMMYFUNCTION("""COMPUTED_VALUE"""),"GC - IV - 2718 - Cty Sen Hồng - Pim.Pim 75WP (Bột cam) - 100gr - 100")</f>
        <v>GC - IV - 2718 - Cty Sen Hồng - Pim.Pim 75WP (Bột cam) - 100gr - 100</v>
      </c>
    </row>
    <row r="3386">
      <c r="A3386" s="86">
        <f>IFERROR(__xludf.DUMMYFUNCTION("""COMPUTED_VALUE"""),3384.0)</f>
        <v>3384</v>
      </c>
      <c r="B3386" s="87" t="str">
        <f>IFERROR(__xludf.DUMMYFUNCTION("""COMPUTED_VALUE"""),"Nhãn thùng")</f>
        <v>Nhãn thùng</v>
      </c>
      <c r="C3386" s="87" t="str">
        <f>IFERROR(__xludf.DUMMYFUNCTION("""COMPUTED_VALUE"""),"NDT2718")</f>
        <v>NDT2718</v>
      </c>
      <c r="D3386" s="87" t="str">
        <f>IFERROR(__xludf.DUMMYFUNCTION("""COMPUTED_VALUE"""),"[Nhãn thùng] GC - IV - 2718 - Cty Sen Hồng - Pim.Pim 75WP (Bột cam) - 100gr - 100")</f>
        <v>[Nhãn thùng] GC - IV - 2718 - Cty Sen Hồng - Pim.Pim 75WP (Bột cam) - 100gr - 100</v>
      </c>
      <c r="E3386" s="87" t="str">
        <f>IFERROR(__xludf.DUMMYFUNCTION("""COMPUTED_VALUE"""),"Pim.Pim 75WP")</f>
        <v>Pim.Pim 75WP</v>
      </c>
      <c r="F3386" s="87" t="str">
        <f>IFERROR(__xludf.DUMMYFUNCTION("""COMPUTED_VALUE"""),"HH2718")</f>
        <v>HH2718</v>
      </c>
      <c r="G3386" s="87" t="str">
        <f>IFERROR(__xludf.DUMMYFUNCTION("""COMPUTED_VALUE"""),"GC - IV - 2718 - Cty Sen Hồng - Pim.Pim 75WP (Bột cam) - 100gr - 100")</f>
        <v>GC - IV - 2718 - Cty Sen Hồng - Pim.Pim 75WP (Bột cam) - 100gr - 100</v>
      </c>
    </row>
    <row r="3387">
      <c r="A3387" s="86">
        <f>IFERROR(__xludf.DUMMYFUNCTION("""COMPUTED_VALUE"""),3385.0)</f>
        <v>3385</v>
      </c>
      <c r="B3387" s="87" t="str">
        <f>IFERROR(__xludf.DUMMYFUNCTION("""COMPUTED_VALUE"""),"Nhãn")</f>
        <v>Nhãn</v>
      </c>
      <c r="C3387" s="87" t="str">
        <f>IFERROR(__xludf.DUMMYFUNCTION("""COMPUTED_VALUE"""),"NHG2719")</f>
        <v>NHG2719</v>
      </c>
      <c r="D3387" s="87" t="str">
        <f>IFERROR(__xludf.DUMMYFUNCTION("""COMPUTED_VALUE"""),"[Nhãn] GC - IV - 2719 - Cty Sen Hồng  - HEXAVIL (Nước xanh dương) - 1L - 20")</f>
        <v>[Nhãn] GC - IV - 2719 - Cty Sen Hồng  - HEXAVIL (Nước xanh dương) - 1L - 20</v>
      </c>
      <c r="E3387" s="87" t="str">
        <f>IFERROR(__xludf.DUMMYFUNCTION("""COMPUTED_VALUE"""),"Mekongvil 5SC")</f>
        <v>Mekongvil 5SC</v>
      </c>
      <c r="F3387" s="87" t="str">
        <f>IFERROR(__xludf.DUMMYFUNCTION("""COMPUTED_VALUE"""),"HH2719")</f>
        <v>HH2719</v>
      </c>
      <c r="G3387" s="87" t="str">
        <f>IFERROR(__xludf.DUMMYFUNCTION("""COMPUTED_VALUE"""),"GC - IV - 2719 - Cty Sen Hồng  - HEXAVIL (Nước xanh dương) - 1L - 20")</f>
        <v>GC - IV - 2719 - Cty Sen Hồng  - HEXAVIL (Nước xanh dương) - 1L - 20</v>
      </c>
    </row>
    <row r="3388">
      <c r="A3388" s="86">
        <f>IFERROR(__xludf.DUMMYFUNCTION("""COMPUTED_VALUE"""),3386.0)</f>
        <v>3386</v>
      </c>
      <c r="B3388" s="87" t="str">
        <f>IFERROR(__xludf.DUMMYFUNCTION("""COMPUTED_VALUE"""),"Nhãn")</f>
        <v>Nhãn</v>
      </c>
      <c r="C3388" s="87" t="str">
        <f>IFERROR(__xludf.DUMMYFUNCTION("""COMPUTED_VALUE"""),"NHD2720")</f>
        <v>NHD2720</v>
      </c>
      <c r="D3388" s="87" t="str">
        <f>IFERROR(__xludf.DUMMYFUNCTION("""COMPUTED_VALUE"""),"[Nhãn] GC - IV - 2720 - CTY BIOCHEM TẤN PHÁT - HAIHAMEC 3.6EC (nước nâu đen) - 450ml - 40")</f>
        <v>[Nhãn] GC - IV - 2720 - CTY BIOCHEM TẤN PHÁT - HAIHAMEC 3.6EC (nước nâu đen) - 450ml - 40</v>
      </c>
      <c r="E3388" s="87" t="str">
        <f>IFERROR(__xludf.DUMMYFUNCTION("""COMPUTED_VALUE"""),"HAIHAMEC 3.6EC")</f>
        <v>HAIHAMEC 3.6EC</v>
      </c>
      <c r="F3388" s="87" t="str">
        <f>IFERROR(__xludf.DUMMYFUNCTION("""COMPUTED_VALUE"""),"HH2720")</f>
        <v>HH2720</v>
      </c>
      <c r="G3388" s="87" t="str">
        <f>IFERROR(__xludf.DUMMYFUNCTION("""COMPUTED_VALUE"""),"GC - IV - 2720 - CTY BIOCHEM TẤN PHÁT - HAIHAMEC 3.6EC (nước nâu đen) - 450ml - 40")</f>
        <v>GC - IV - 2720 - CTY BIOCHEM TẤN PHÁT - HAIHAMEC 3.6EC (nước nâu đen) - 450ml - 40</v>
      </c>
    </row>
    <row r="3389">
      <c r="A3389" s="86">
        <f>IFERROR(__xludf.DUMMYFUNCTION("""COMPUTED_VALUE"""),3387.0)</f>
        <v>3387</v>
      </c>
      <c r="B3389" s="87" t="str">
        <f>IFERROR(__xludf.DUMMYFUNCTION("""COMPUTED_VALUE"""),"Nhãn")</f>
        <v>Nhãn</v>
      </c>
      <c r="C3389" s="87" t="str">
        <f>IFERROR(__xludf.DUMMYFUNCTION("""COMPUTED_VALUE"""),"NHD2720")</f>
        <v>NHD2720</v>
      </c>
      <c r="D3389" s="87" t="str">
        <f>IFERROR(__xludf.DUMMYFUNCTION("""COMPUTED_VALUE"""),"[Nhãn] GC - IV - 2720 - CTY BIOCHEM TẤN PHÁT - HAIHAMEC 3.6EC (nước nâu đen) - 450ml - 40")</f>
        <v>[Nhãn] GC - IV - 2720 - CTY BIOCHEM TẤN PHÁT - HAIHAMEC 3.6EC (nước nâu đen) - 450ml - 40</v>
      </c>
      <c r="E3389" s="87" t="str">
        <f>IFERROR(__xludf.DUMMYFUNCTION("""COMPUTED_VALUE"""),"HAIHAMEC 3.6EC")</f>
        <v>HAIHAMEC 3.6EC</v>
      </c>
      <c r="F3389" s="87" t="str">
        <f>IFERROR(__xludf.DUMMYFUNCTION("""COMPUTED_VALUE"""),"HH2720")</f>
        <v>HH2720</v>
      </c>
      <c r="G3389" s="87" t="str">
        <f>IFERROR(__xludf.DUMMYFUNCTION("""COMPUTED_VALUE"""),"GC - IV - 2720 - CTY BIOCHEM TẤN PHÁT - HAIHAMEC 3.6EC (nước nâu đen) - 450ml - 40")</f>
        <v>GC - IV - 2720 - CTY BIOCHEM TẤN PHÁT - HAIHAMEC 3.6EC (nước nâu đen) - 450ml - 40</v>
      </c>
    </row>
    <row r="3390">
      <c r="A3390" s="86">
        <f>IFERROR(__xludf.DUMMYFUNCTION("""COMPUTED_VALUE"""),3388.0)</f>
        <v>3388</v>
      </c>
      <c r="B3390" s="87" t="str">
        <f>IFERROR(__xludf.DUMMYFUNCTION("""COMPUTED_VALUE"""),"Nhãn thùng")</f>
        <v>Nhãn thùng</v>
      </c>
      <c r="C3390" s="87" t="str">
        <f>IFERROR(__xludf.DUMMYFUNCTION("""COMPUTED_VALUE"""),"NDT2720")</f>
        <v>NDT2720</v>
      </c>
      <c r="D3390" s="87" t="str">
        <f>IFERROR(__xludf.DUMMYFUNCTION("""COMPUTED_VALUE"""),"[Nhãn thùng] GC - IV - 2720 - CTY BIOCHEM TẤN PHÁT - HAIHAMEC 3.6EC (nước nâu đen) - 450ml - 40")</f>
        <v>[Nhãn thùng] GC - IV - 2720 - CTY BIOCHEM TẤN PHÁT - HAIHAMEC 3.6EC (nước nâu đen) - 450ml - 40</v>
      </c>
      <c r="E3390" s="87" t="str">
        <f>IFERROR(__xludf.DUMMYFUNCTION("""COMPUTED_VALUE"""),"HAIHAMEC 3.6EC")</f>
        <v>HAIHAMEC 3.6EC</v>
      </c>
      <c r="F3390" s="87" t="str">
        <f>IFERROR(__xludf.DUMMYFUNCTION("""COMPUTED_VALUE"""),"HH2720")</f>
        <v>HH2720</v>
      </c>
      <c r="G3390" s="87" t="str">
        <f>IFERROR(__xludf.DUMMYFUNCTION("""COMPUTED_VALUE"""),"GC - IV - 2720 - CTY BIOCHEM TẤN PHÁT - HAIHAMEC 3.6EC (nước nâu đen) - 450ml - 40")</f>
        <v>GC - IV - 2720 - CTY BIOCHEM TẤN PHÁT - HAIHAMEC 3.6EC (nước nâu đen) - 450ml - 40</v>
      </c>
    </row>
    <row r="3391">
      <c r="A3391" s="86">
        <f>IFERROR(__xludf.DUMMYFUNCTION("""COMPUTED_VALUE"""),3389.0)</f>
        <v>3389</v>
      </c>
      <c r="B3391" s="87" t="str">
        <f>IFERROR(__xludf.DUMMYFUNCTION("""COMPUTED_VALUE"""),"Nhãn")</f>
        <v>Nhãn</v>
      </c>
      <c r="C3391" s="87" t="str">
        <f>IFERROR(__xludf.DUMMYFUNCTION("""COMPUTED_VALUE"""),"NHG2721")</f>
        <v>NHG2721</v>
      </c>
      <c r="D3391" s="87" t="str">
        <f>IFERROR(__xludf.DUMMYFUNCTION("""COMPUTED_VALUE"""),"[Nhãn] GC - IV - 2721 - AGRITECH - NUTI ROOTS 02 (Gel nâu đen) - 500ml - 40")</f>
        <v>[Nhãn] GC - IV - 2721 - AGRITECH - NUTI ROOTS 02 (Gel nâu đen) - 500ml - 40</v>
      </c>
      <c r="E3391" s="87" t="str">
        <f>IFERROR(__xludf.DUMMYFUNCTION("""COMPUTED_VALUE"""),"vi lượng HELP FARMER_3")</f>
        <v>vi lượng HELP FARMER_3</v>
      </c>
      <c r="F3391" s="87" t="str">
        <f>IFERROR(__xludf.DUMMYFUNCTION("""COMPUTED_VALUE"""),"HH2721")</f>
        <v>HH2721</v>
      </c>
      <c r="G3391" s="87" t="str">
        <f>IFERROR(__xludf.DUMMYFUNCTION("""COMPUTED_VALUE"""),"GC - IV - 2721 - AGRITECH - NUTI ROOTS 02 (Gel nâu đen) - 500ml - 40")</f>
        <v>GC - IV - 2721 - AGRITECH - NUTI ROOTS 02 (Gel nâu đen) - 500ml - 40</v>
      </c>
    </row>
    <row r="3392">
      <c r="A3392" s="86">
        <f>IFERROR(__xludf.DUMMYFUNCTION("""COMPUTED_VALUE"""),3390.0)</f>
        <v>3390</v>
      </c>
      <c r="B3392" s="87" t="str">
        <f>IFERROR(__xludf.DUMMYFUNCTION("""COMPUTED_VALUE"""),"Nhãn")</f>
        <v>Nhãn</v>
      </c>
      <c r="C3392" s="87" t="str">
        <f>IFERROR(__xludf.DUMMYFUNCTION("""COMPUTED_VALUE"""),"NHG2722")</f>
        <v>NHG2722</v>
      </c>
      <c r="D3392" s="87" t="str">
        <f>IFERROR(__xludf.DUMMYFUNCTION("""COMPUTED_VALUE"""),"[Nhãn] GC - IV - 2722 - AGRITECH - NUTI ROOTS 02 (Gel nâu đen) - 1L - 20")</f>
        <v>[Nhãn] GC - IV - 2722 - AGRITECH - NUTI ROOTS 02 (Gel nâu đen) - 1L - 20</v>
      </c>
      <c r="E3392" s="87" t="str">
        <f>IFERROR(__xludf.DUMMYFUNCTION("""COMPUTED_VALUE"""),"vi lượng HELP FARMER_3")</f>
        <v>vi lượng HELP FARMER_3</v>
      </c>
      <c r="F3392" s="87" t="str">
        <f>IFERROR(__xludf.DUMMYFUNCTION("""COMPUTED_VALUE"""),"HH2722")</f>
        <v>HH2722</v>
      </c>
      <c r="G3392" s="87" t="str">
        <f>IFERROR(__xludf.DUMMYFUNCTION("""COMPUTED_VALUE"""),"GC - IV - 2722 - AGRITECH - NUTI ROOTS 02 (Gel nâu đen) - 1L - 20")</f>
        <v>GC - IV - 2722 - AGRITECH - NUTI ROOTS 02 (Gel nâu đen) - 1L - 20</v>
      </c>
    </row>
    <row r="3393">
      <c r="A3393" s="86">
        <f>IFERROR(__xludf.DUMMYFUNCTION("""COMPUTED_VALUE"""),3391.0)</f>
        <v>3391</v>
      </c>
      <c r="B3393" s="87" t="str">
        <f>IFERROR(__xludf.DUMMYFUNCTION("""COMPUTED_VALUE"""),"Nhãn")</f>
        <v>Nhãn</v>
      </c>
      <c r="C3393" s="87" t="str">
        <f>IFERROR(__xludf.DUMMYFUNCTION("""COMPUTED_VALUE"""),"NHG2723")</f>
        <v>NHG2723</v>
      </c>
      <c r="D3393" s="87" t="str">
        <f>IFERROR(__xludf.DUMMYFUNCTION("""COMPUTED_VALUE"""),"[Nhãn] GC - IV - 2723 - AGRITECH - NUTI FLOWER (Gel nâu đen) - 500ml - 40")</f>
        <v>[Nhãn] GC - IV - 2723 - AGRITECH - NUTI FLOWER (Gel nâu đen) - 500ml - 40</v>
      </c>
      <c r="E3393" s="87" t="str">
        <f>IFERROR(__xludf.DUMMYFUNCTION("""COMPUTED_VALUE"""),"Vi lượng AGAMA-SUPPORT")</f>
        <v>Vi lượng AGAMA-SUPPORT</v>
      </c>
      <c r="F3393" s="87" t="str">
        <f>IFERROR(__xludf.DUMMYFUNCTION("""COMPUTED_VALUE"""),"HH2723")</f>
        <v>HH2723</v>
      </c>
      <c r="G3393" s="87" t="str">
        <f>IFERROR(__xludf.DUMMYFUNCTION("""COMPUTED_VALUE"""),"GC - IV - 2723 - AGRITECH - NUTI FLOWER (Gel nâu đen) - 500ml - 40")</f>
        <v>GC - IV - 2723 - AGRITECH - NUTI FLOWER (Gel nâu đen) - 500ml - 40</v>
      </c>
    </row>
    <row r="3394">
      <c r="A3394" s="86">
        <f>IFERROR(__xludf.DUMMYFUNCTION("""COMPUTED_VALUE"""),3392.0)</f>
        <v>3392</v>
      </c>
      <c r="B3394" s="87" t="str">
        <f>IFERROR(__xludf.DUMMYFUNCTION("""COMPUTED_VALUE"""),"Nhãn")</f>
        <v>Nhãn</v>
      </c>
      <c r="C3394" s="87" t="str">
        <f>IFERROR(__xludf.DUMMYFUNCTION("""COMPUTED_VALUE"""),"NHG2724")</f>
        <v>NHG2724</v>
      </c>
      <c r="D3394" s="87" t="str">
        <f>IFERROR(__xludf.DUMMYFUNCTION("""COMPUTED_VALUE"""),"[Nhãn] GC - IV - 2724 - AGRITECH - NUTI FLOWER (Gel nâu đen) - 1L - 20")</f>
        <v>[Nhãn] GC - IV - 2724 - AGRITECH - NUTI FLOWER (Gel nâu đen) - 1L - 20</v>
      </c>
      <c r="E3394" s="87" t="str">
        <f>IFERROR(__xludf.DUMMYFUNCTION("""COMPUTED_VALUE"""),"Vi lượng AGAMA-SUPPORT")</f>
        <v>Vi lượng AGAMA-SUPPORT</v>
      </c>
      <c r="F3394" s="87" t="str">
        <f>IFERROR(__xludf.DUMMYFUNCTION("""COMPUTED_VALUE"""),"HH2724")</f>
        <v>HH2724</v>
      </c>
      <c r="G3394" s="87" t="str">
        <f>IFERROR(__xludf.DUMMYFUNCTION("""COMPUTED_VALUE"""),"GC - IV - 2724 - AGRITECH - NUTI FLOWER (Gel nâu đen) - 1L - 20")</f>
        <v>GC - IV - 2724 - AGRITECH - NUTI FLOWER (Gel nâu đen) - 1L - 20</v>
      </c>
    </row>
    <row r="3395">
      <c r="A3395" s="86">
        <f>IFERROR(__xludf.DUMMYFUNCTION("""COMPUTED_VALUE"""),3393.0)</f>
        <v>3393</v>
      </c>
      <c r="B3395" s="87" t="str">
        <f>IFERROR(__xludf.DUMMYFUNCTION("""COMPUTED_VALUE"""),"Nhãn")</f>
        <v>Nhãn</v>
      </c>
      <c r="C3395" s="87" t="str">
        <f>IFERROR(__xludf.DUMMYFUNCTION("""COMPUTED_VALUE"""),"NHG2725")</f>
        <v>NHG2725</v>
      </c>
      <c r="D3395" s="87" t="str">
        <f>IFERROR(__xludf.DUMMYFUNCTION("""COMPUTED_VALUE"""),"[Nhãn] GC - IV - 2725 - AGRITECH - NUTI RICE MAX (Gel vàng cam) - 500ml - 40")</f>
        <v>[Nhãn] GC - IV - 2725 - AGRITECH - NUTI RICE MAX (Gel vàng cam) - 500ml - 40</v>
      </c>
      <c r="E3395" s="87" t="str">
        <f>IFERROR(__xludf.DUMMYFUNCTION("""COMPUTED_VALUE"""),"Vi lượng Run Fast")</f>
        <v>Vi lượng Run Fast</v>
      </c>
      <c r="F3395" s="87" t="str">
        <f>IFERROR(__xludf.DUMMYFUNCTION("""COMPUTED_VALUE"""),"HH2725")</f>
        <v>HH2725</v>
      </c>
      <c r="G3395" s="87" t="str">
        <f>IFERROR(__xludf.DUMMYFUNCTION("""COMPUTED_VALUE"""),"GC - IV - 2725 - AGRITECH - NUTI RICE MAX (Gel vàng cam) - 500ml - 40")</f>
        <v>GC - IV - 2725 - AGRITECH - NUTI RICE MAX (Gel vàng cam) - 500ml - 40</v>
      </c>
    </row>
    <row r="3396">
      <c r="A3396" s="86">
        <f>IFERROR(__xludf.DUMMYFUNCTION("""COMPUTED_VALUE"""),3394.0)</f>
        <v>3394</v>
      </c>
      <c r="B3396" s="87" t="str">
        <f>IFERROR(__xludf.DUMMYFUNCTION("""COMPUTED_VALUE"""),"Nhãn")</f>
        <v>Nhãn</v>
      </c>
      <c r="C3396" s="87" t="str">
        <f>IFERROR(__xludf.DUMMYFUNCTION("""COMPUTED_VALUE"""),"NHG2726")</f>
        <v>NHG2726</v>
      </c>
      <c r="D3396" s="87" t="str">
        <f>IFERROR(__xludf.DUMMYFUNCTION("""COMPUTED_VALUE"""),"[Nhãn] GC - IV - 2726 - AGRITECH - NUTI RICE MAX (Gel vàng cam) - 1L - 20")</f>
        <v>[Nhãn] GC - IV - 2726 - AGRITECH - NUTI RICE MAX (Gel vàng cam) - 1L - 20</v>
      </c>
      <c r="E3396" s="87" t="str">
        <f>IFERROR(__xludf.DUMMYFUNCTION("""COMPUTED_VALUE"""),"Vi lượng Run Fast")</f>
        <v>Vi lượng Run Fast</v>
      </c>
      <c r="F3396" s="87" t="str">
        <f>IFERROR(__xludf.DUMMYFUNCTION("""COMPUTED_VALUE"""),"HH2726")</f>
        <v>HH2726</v>
      </c>
      <c r="G3396" s="87" t="str">
        <f>IFERROR(__xludf.DUMMYFUNCTION("""COMPUTED_VALUE"""),"GC - IV - 2726 - AGRITECH - NUTI RICE MAX (Gel vàng cam) - 1L - 20")</f>
        <v>GC - IV - 2726 - AGRITECH - NUTI RICE MAX (Gel vàng cam) - 1L - 20</v>
      </c>
    </row>
    <row r="3397">
      <c r="A3397" s="86">
        <f>IFERROR(__xludf.DUMMYFUNCTION("""COMPUTED_VALUE"""),3395.0)</f>
        <v>3395</v>
      </c>
      <c r="B3397" s="87" t="str">
        <f>IFERROR(__xludf.DUMMYFUNCTION("""COMPUTED_VALUE"""),"Nhãn")</f>
        <v>Nhãn</v>
      </c>
      <c r="C3397" s="87" t="str">
        <f>IFERROR(__xludf.DUMMYFUNCTION("""COMPUTED_VALUE"""),"NHD2727")</f>
        <v>NHD2727</v>
      </c>
      <c r="D3397" s="87" t="str">
        <f>IFERROR(__xludf.DUMMYFUNCTION("""COMPUTED_VALUE"""),"[Nhãn] GC - II - 2727- Agriplant - Bio King Super - 5 lít - 4")</f>
        <v>[Nhãn] GC - II - 2727- Agriplant - Bio King Super - 5 lít - 4</v>
      </c>
      <c r="E3397" s="87" t="str">
        <f>IFERROR(__xludf.DUMMYFUNCTION("""COMPUTED_VALUE"""),"Prima 04")</f>
        <v>Prima 04</v>
      </c>
      <c r="F3397" s="87" t="str">
        <f>IFERROR(__xludf.DUMMYFUNCTION("""COMPUTED_VALUE"""),"HH2727")</f>
        <v>HH2727</v>
      </c>
      <c r="G3397" s="87" t="str">
        <f>IFERROR(__xludf.DUMMYFUNCTION("""COMPUTED_VALUE"""),"GC - II - 2727- Agriplant - Bio King Super - 5 lít - 4")</f>
        <v>GC - II - 2727- Agriplant - Bio King Super - 5 lít - 4</v>
      </c>
    </row>
    <row r="3398">
      <c r="A3398" s="86">
        <f>IFERROR(__xludf.DUMMYFUNCTION("""COMPUTED_VALUE"""),3396.0)</f>
        <v>3396</v>
      </c>
      <c r="B3398" s="87" t="str">
        <f>IFERROR(__xludf.DUMMYFUNCTION("""COMPUTED_VALUE"""),"Nhãn")</f>
        <v>Nhãn</v>
      </c>
      <c r="C3398" s="87" t="str">
        <f>IFERROR(__xludf.DUMMYFUNCTION("""COMPUTED_VALUE"""),"NTN2728")</f>
        <v>NTN2728</v>
      </c>
      <c r="D3398" s="87" t="str">
        <f>IFERROR(__xludf.DUMMYFUNCTION("""COMPUTED_VALUE"""),"[Nhãn] GC - IV - 2728 - CTY NÔNG HÓA XANH - MAN XANH (Bột xanh) - 1kg - 20")</f>
        <v>[Nhãn] GC - IV - 2728 - CTY NÔNG HÓA XANH - MAN XANH (Bột xanh) - 1kg - 20</v>
      </c>
      <c r="E3398" s="87" t="str">
        <f>IFERROR(__xludf.DUMMYFUNCTION("""COMPUTED_VALUE"""),"MANCOBGO 80WP")</f>
        <v>MANCOBGO 80WP</v>
      </c>
      <c r="F3398" s="87" t="str">
        <f>IFERROR(__xludf.DUMMYFUNCTION("""COMPUTED_VALUE"""),"HH2728")</f>
        <v>HH2728</v>
      </c>
      <c r="G3398" s="87" t="str">
        <f>IFERROR(__xludf.DUMMYFUNCTION("""COMPUTED_VALUE"""),"GC - IV - 2728 - CTY NÔNG HÓA XANH - MAN XANH (Bột xanh) - 1kg - 20")</f>
        <v>GC - IV - 2728 - CTY NÔNG HÓA XANH - MAN XANH (Bột xanh) - 1kg - 20</v>
      </c>
    </row>
    <row r="3399">
      <c r="A3399" s="86">
        <f>IFERROR(__xludf.DUMMYFUNCTION("""COMPUTED_VALUE"""),3397.0)</f>
        <v>3397</v>
      </c>
      <c r="B3399" s="87" t="str">
        <f>IFERROR(__xludf.DUMMYFUNCTION("""COMPUTED_VALUE"""),"[Nhãn thùng]")</f>
        <v>[Nhãn thùng]</v>
      </c>
      <c r="C3399" s="87" t="str">
        <f>IFERROR(__xludf.DUMMYFUNCTION("""COMPUTED_VALUE"""),"NDT2728")</f>
        <v>NDT2728</v>
      </c>
      <c r="D3399" s="87" t="str">
        <f>IFERROR(__xludf.DUMMYFUNCTION("""COMPUTED_VALUE"""),"[Nhãn thùng] GC - IV - 2728 - CTY NÔNG HÓA XANH - MAN XANH (Bột xanh) - 1kg - 20")</f>
        <v>[Nhãn thùng] GC - IV - 2728 - CTY NÔNG HÓA XANH - MAN XANH (Bột xanh) - 1kg - 20</v>
      </c>
      <c r="E3399" s="87" t="str">
        <f>IFERROR(__xludf.DUMMYFUNCTION("""COMPUTED_VALUE"""),"MANCOBGO 80WP")</f>
        <v>MANCOBGO 80WP</v>
      </c>
      <c r="F3399" s="87" t="str">
        <f>IFERROR(__xludf.DUMMYFUNCTION("""COMPUTED_VALUE"""),"HH2728")</f>
        <v>HH2728</v>
      </c>
      <c r="G3399" s="87" t="str">
        <f>IFERROR(__xludf.DUMMYFUNCTION("""COMPUTED_VALUE"""),"GC - IV - 2728 - CTY NÔNG HÓA XANH - MAN XANH (Bột xanh) - 1kg - 20")</f>
        <v>GC - IV - 2728 - CTY NÔNG HÓA XANH - MAN XANH (Bột xanh) - 1kg - 20</v>
      </c>
    </row>
    <row r="3400">
      <c r="A3400" s="86">
        <f>IFERROR(__xludf.DUMMYFUNCTION("""COMPUTED_VALUE"""),3398.0)</f>
        <v>3398</v>
      </c>
      <c r="B3400" s="87" t="str">
        <f>IFERROR(__xludf.DUMMYFUNCTION("""COMPUTED_VALUE"""),"Nhãn")</f>
        <v>Nhãn</v>
      </c>
      <c r="C3400" s="87" t="str">
        <f>IFERROR(__xludf.DUMMYFUNCTION("""COMPUTED_VALUE"""),"NHD2729")</f>
        <v>NHD2729</v>
      </c>
      <c r="D3400" s="87" t="str">
        <f>IFERROR(__xludf.DUMMYFUNCTION("""COMPUTED_VALUE"""),"[Nhãn] GC - IV - 2729 - Kim Ngọc - SẠCH RẦY (Nước vàng trà) - 400ml - 40")</f>
        <v>[Nhãn] GC - IV - 2729 - Kim Ngọc - SẠCH RẦY (Nước vàng trà) - 400ml - 40</v>
      </c>
      <c r="E3400" s="87" t="str">
        <f>IFERROR(__xludf.DUMMYFUNCTION("""COMPUTED_VALUE"""),"Thipro 550EC")</f>
        <v>Thipro 550EC</v>
      </c>
      <c r="F3400" s="87" t="str">
        <f>IFERROR(__xludf.DUMMYFUNCTION("""COMPUTED_VALUE"""),"HH2729")</f>
        <v>HH2729</v>
      </c>
      <c r="G3400" s="87" t="str">
        <f>IFERROR(__xludf.DUMMYFUNCTION("""COMPUTED_VALUE"""),"GC - IV - 2729 - Kim Ngọc - SẠCH RẦY (Nước vàng trà) - 400ml - 40")</f>
        <v>GC - IV - 2729 - Kim Ngọc - SẠCH RẦY (Nước vàng trà) - 400ml - 40</v>
      </c>
    </row>
    <row r="3401">
      <c r="A3401" s="86">
        <f>IFERROR(__xludf.DUMMYFUNCTION("""COMPUTED_VALUE"""),3399.0)</f>
        <v>3399</v>
      </c>
      <c r="B3401" s="87" t="str">
        <f>IFERROR(__xludf.DUMMYFUNCTION("""COMPUTED_VALUE"""),"Nhãn thùng")</f>
        <v>Nhãn thùng</v>
      </c>
      <c r="C3401" s="87" t="str">
        <f>IFERROR(__xludf.DUMMYFUNCTION("""COMPUTED_VALUE"""),"NDT2729")</f>
        <v>NDT2729</v>
      </c>
      <c r="D3401" s="87" t="str">
        <f>IFERROR(__xludf.DUMMYFUNCTION("""COMPUTED_VALUE"""),"[Nhãn thùng] GC - IV - 2729 - Kim Ngọc - SẠCH RẦY (Nước vàng trà) - 400ml - 40")</f>
        <v>[Nhãn thùng] GC - IV - 2729 - Kim Ngọc - SẠCH RẦY (Nước vàng trà) - 400ml - 40</v>
      </c>
      <c r="E3401" s="87" t="str">
        <f>IFERROR(__xludf.DUMMYFUNCTION("""COMPUTED_VALUE"""),"Thipro 550EC")</f>
        <v>Thipro 550EC</v>
      </c>
      <c r="F3401" s="87" t="str">
        <f>IFERROR(__xludf.DUMMYFUNCTION("""COMPUTED_VALUE"""),"HH2729")</f>
        <v>HH2729</v>
      </c>
      <c r="G3401" s="87" t="str">
        <f>IFERROR(__xludf.DUMMYFUNCTION("""COMPUTED_VALUE"""),"GC - IV - 2729 - Kim Ngọc - SẠCH RẦY (Nước vàng trà) - 400ml - 40")</f>
        <v>GC - IV - 2729 - Kim Ngọc - SẠCH RẦY (Nước vàng trà) - 400ml - 40</v>
      </c>
    </row>
    <row r="3402">
      <c r="A3402" s="86">
        <f>IFERROR(__xludf.DUMMYFUNCTION("""COMPUTED_VALUE"""),3400.0)</f>
        <v>3400</v>
      </c>
      <c r="B3402" s="87" t="str">
        <f>IFERROR(__xludf.DUMMYFUNCTION("""COMPUTED_VALUE"""),"Nhãn")</f>
        <v>Nhãn</v>
      </c>
      <c r="C3402" s="87" t="str">
        <f>IFERROR(__xludf.DUMMYFUNCTION("""COMPUTED_VALUE"""),"NTN2730")</f>
        <v>NTN2730</v>
      </c>
      <c r="D3402" s="87" t="str">
        <f>IFERROR(__xludf.DUMMYFUNCTION("""COMPUTED_VALUE"""),"[Nhãn] IDA Global - I - 2730 - HUMI TOTAL (nhãn viền cam) (vẩy màu đen) - 1kg - 25")</f>
        <v>[Nhãn] IDA Global - I - 2730 - HUMI TOTAL (nhãn viền cam) (vẩy màu đen) - 1kg - 25</v>
      </c>
      <c r="E3402" s="87" t="str">
        <f>IFERROR(__xludf.DUMMYFUNCTION("""COMPUTED_VALUE"""),"Vi lượng AV-CFC
(Dạng rắn)")</f>
        <v>Vi lượng AV-CFC
(Dạng rắn)</v>
      </c>
      <c r="F3402" s="87" t="str">
        <f>IFERROR(__xludf.DUMMYFUNCTION("""COMPUTED_VALUE"""),"HH2730")</f>
        <v>HH2730</v>
      </c>
      <c r="G3402" s="87" t="str">
        <f>IFERROR(__xludf.DUMMYFUNCTION("""COMPUTED_VALUE"""),"IDA Global - I - 2730 - HUMI TOTAL (nhãn viền cam) (vẩy màu đen) - 1kg - 25")</f>
        <v>IDA Global - I - 2730 - HUMI TOTAL (nhãn viền cam) (vẩy màu đen) - 1kg - 25</v>
      </c>
    </row>
    <row r="3403">
      <c r="A3403" s="86">
        <f>IFERROR(__xludf.DUMMYFUNCTION("""COMPUTED_VALUE"""),3401.0)</f>
        <v>3401</v>
      </c>
      <c r="B3403" s="87" t="str">
        <f>IFERROR(__xludf.DUMMYFUNCTION("""COMPUTED_VALUE"""),"[Nhãn thùng]")</f>
        <v>[Nhãn thùng]</v>
      </c>
      <c r="C3403" s="87" t="str">
        <f>IFERROR(__xludf.DUMMYFUNCTION("""COMPUTED_VALUE"""),"NDT2730")</f>
        <v>NDT2730</v>
      </c>
      <c r="D3403" s="87" t="str">
        <f>IFERROR(__xludf.DUMMYFUNCTION("""COMPUTED_VALUE"""),"[Nhãn thùng] IDA Global - I - 2730 - HUMI TOTAL (nhãn viền cam) (vẩy màu đen) - 1kg - 25")</f>
        <v>[Nhãn thùng] IDA Global - I - 2730 - HUMI TOTAL (nhãn viền cam) (vẩy màu đen) - 1kg - 25</v>
      </c>
      <c r="E3403" s="87" t="str">
        <f>IFERROR(__xludf.DUMMYFUNCTION("""COMPUTED_VALUE"""),"Vi lượng AV-CFC
(Dạng rắn)")</f>
        <v>Vi lượng AV-CFC
(Dạng rắn)</v>
      </c>
      <c r="F3403" s="87" t="str">
        <f>IFERROR(__xludf.DUMMYFUNCTION("""COMPUTED_VALUE"""),"HH2730")</f>
        <v>HH2730</v>
      </c>
      <c r="G3403" s="87" t="str">
        <f>IFERROR(__xludf.DUMMYFUNCTION("""COMPUTED_VALUE"""),"IDA Global - I - 2730 - HUMI TOTAL (nhãn viền cam) (vẩy màu đen) - 1kg - 25")</f>
        <v>IDA Global - I - 2730 - HUMI TOTAL (nhãn viền cam) (vẩy màu đen) - 1kg - 25</v>
      </c>
    </row>
    <row r="3404">
      <c r="A3404" s="86">
        <f>IFERROR(__xludf.DUMMYFUNCTION("""COMPUTED_VALUE"""),3402.0)</f>
        <v>3402</v>
      </c>
      <c r="B3404" s="87" t="str">
        <f>IFERROR(__xludf.DUMMYFUNCTION("""COMPUTED_VALUE"""),"Nhãn")</f>
        <v>Nhãn</v>
      </c>
      <c r="C3404" s="87" t="str">
        <f>IFERROR(__xludf.DUMMYFUNCTION("""COMPUTED_VALUE"""),"NHG2731")</f>
        <v>NHG2731</v>
      </c>
      <c r="D3404" s="87" t="str">
        <f>IFERROR(__xludf.DUMMYFUNCTION("""COMPUTED_VALUE"""),"[Nhãn] GC - IV - 2731 - Anh Thiệu - THIPRO 550EC (nước tím) - 240ml - 40")</f>
        <v>[Nhãn] GC - IV - 2731 - Anh Thiệu - THIPRO 550EC (nước tím) - 240ml - 40</v>
      </c>
      <c r="E3404" s="87" t="str">
        <f>IFERROR(__xludf.DUMMYFUNCTION("""COMPUTED_VALUE"""),"Thipro 550EC")</f>
        <v>Thipro 550EC</v>
      </c>
      <c r="F3404" s="87" t="str">
        <f>IFERROR(__xludf.DUMMYFUNCTION("""COMPUTED_VALUE"""),"HH2731")</f>
        <v>HH2731</v>
      </c>
      <c r="G3404" s="87" t="str">
        <f>IFERROR(__xludf.DUMMYFUNCTION("""COMPUTED_VALUE"""),"GC - IV - 2731 - Anh Thiệu - THIPRO 550EC (nước tím) - 240ml - 40")</f>
        <v>GC - IV - 2731 - Anh Thiệu - THIPRO 550EC (nước tím) - 240ml - 40</v>
      </c>
    </row>
    <row r="3405">
      <c r="A3405" s="86">
        <f>IFERROR(__xludf.DUMMYFUNCTION("""COMPUTED_VALUE"""),3403.0)</f>
        <v>3403</v>
      </c>
      <c r="B3405" s="87" t="str">
        <f>IFERROR(__xludf.DUMMYFUNCTION("""COMPUTED_VALUE"""),"Nhãn")</f>
        <v>Nhãn</v>
      </c>
      <c r="C3405" s="87" t="str">
        <f>IFERROR(__xludf.DUMMYFUNCTION("""COMPUTED_VALUE"""),"NTN2732")</f>
        <v>NTN2732</v>
      </c>
      <c r="D3405" s="87" t="str">
        <f>IFERROR(__xludf.DUMMYFUNCTION("""COMPUTED_VALUE"""),"[Nhãn] GC - IV - 2732 - Cty Kim Ngọc - Mancozeb Xanh (Bột xanh) - 1kg - 20")</f>
        <v>[Nhãn] GC - IV - 2732 - Cty Kim Ngọc - Mancozeb Xanh (Bột xanh) - 1kg - 20</v>
      </c>
      <c r="E3405" s="87" t="str">
        <f>IFERROR(__xludf.DUMMYFUNCTION("""COMPUTED_VALUE"""),"MANCOBGO 80WP")</f>
        <v>MANCOBGO 80WP</v>
      </c>
      <c r="F3405" s="87" t="str">
        <f>IFERROR(__xludf.DUMMYFUNCTION("""COMPUTED_VALUE"""),"HH2732")</f>
        <v>HH2732</v>
      </c>
      <c r="G3405" s="87" t="str">
        <f>IFERROR(__xludf.DUMMYFUNCTION("""COMPUTED_VALUE"""),"GC - IV - 2732 - Cty Kim Ngọc - Mancozeb Xanh (Bột xanh) - 1kg - 20")</f>
        <v>GC - IV - 2732 - Cty Kim Ngọc - Mancozeb Xanh (Bột xanh) - 1kg - 20</v>
      </c>
    </row>
    <row r="3406">
      <c r="A3406" s="86">
        <f>IFERROR(__xludf.DUMMYFUNCTION("""COMPUTED_VALUE"""),3404.0)</f>
        <v>3404</v>
      </c>
      <c r="B3406" s="87" t="str">
        <f>IFERROR(__xludf.DUMMYFUNCTION("""COMPUTED_VALUE"""),"Nhãn thùng")</f>
        <v>Nhãn thùng</v>
      </c>
      <c r="C3406" s="87" t="str">
        <f>IFERROR(__xludf.DUMMYFUNCTION("""COMPUTED_VALUE"""),"NDT2732")</f>
        <v>NDT2732</v>
      </c>
      <c r="D3406" s="87" t="str">
        <f>IFERROR(__xludf.DUMMYFUNCTION("""COMPUTED_VALUE"""),"[Nhãn thùng] GC - IV - 2732 - Cty Kim Ngọc - Mancozeb Xanh (Bột xanh) - 1kg - 20")</f>
        <v>[Nhãn thùng] GC - IV - 2732 - Cty Kim Ngọc - Mancozeb Xanh (Bột xanh) - 1kg - 20</v>
      </c>
      <c r="E3406" s="87" t="str">
        <f>IFERROR(__xludf.DUMMYFUNCTION("""COMPUTED_VALUE"""),"MANCOBGO 80WP")</f>
        <v>MANCOBGO 80WP</v>
      </c>
      <c r="F3406" s="87" t="str">
        <f>IFERROR(__xludf.DUMMYFUNCTION("""COMPUTED_VALUE"""),"HH2732")</f>
        <v>HH2732</v>
      </c>
      <c r="G3406" s="87" t="str">
        <f>IFERROR(__xludf.DUMMYFUNCTION("""COMPUTED_VALUE"""),"GC - IV - 2732 - Cty Kim Ngọc - Mancozeb Xanh (Bột xanh) - 1kg - 20")</f>
        <v>GC - IV - 2732 - Cty Kim Ngọc - Mancozeb Xanh (Bột xanh) - 1kg - 20</v>
      </c>
    </row>
    <row r="3407">
      <c r="A3407" s="86">
        <f>IFERROR(__xludf.DUMMYFUNCTION("""COMPUTED_VALUE"""),3405.0)</f>
        <v>3405</v>
      </c>
      <c r="B3407" s="87" t="str">
        <f>IFERROR(__xludf.DUMMYFUNCTION("""COMPUTED_VALUE"""),"Nhãn")</f>
        <v>Nhãn</v>
      </c>
      <c r="C3407" s="87" t="str">
        <f>IFERROR(__xludf.DUMMYFUNCTION("""COMPUTED_VALUE"""),"NHG2733")</f>
        <v>NHG2733</v>
      </c>
      <c r="D3407" s="87" t="str">
        <f>IFERROR(__xludf.DUMMYFUNCTION("""COMPUTED_VALUE"""),"[Nhãn] GC - IV - 2733 - Cty Kim Ngọc - Cỏ Lưu Dẫn (nước đỏ) - 900ml - 20")</f>
        <v>[Nhãn] GC - IV - 2733 - Cty Kim Ngọc - Cỏ Lưu Dẫn (nước đỏ) - 900ml - 20</v>
      </c>
      <c r="E3407" s="87" t="str">
        <f>IFERROR(__xludf.DUMMYFUNCTION("""COMPUTED_VALUE"""),"NEWFOSINATE 150SL")</f>
        <v>NEWFOSINATE 150SL</v>
      </c>
      <c r="F3407" s="87" t="str">
        <f>IFERROR(__xludf.DUMMYFUNCTION("""COMPUTED_VALUE"""),"HH2733")</f>
        <v>HH2733</v>
      </c>
      <c r="G3407" s="87" t="str">
        <f>IFERROR(__xludf.DUMMYFUNCTION("""COMPUTED_VALUE"""),"GC - IV - 2733 - Cty Kim Ngọc - Cỏ Lưu Dẫn (nước đỏ) - 900ml - 20")</f>
        <v>GC - IV - 2733 - Cty Kim Ngọc - Cỏ Lưu Dẫn (nước đỏ) - 900ml - 20</v>
      </c>
    </row>
    <row r="3408">
      <c r="A3408" s="86">
        <f>IFERROR(__xludf.DUMMYFUNCTION("""COMPUTED_VALUE"""),3406.0)</f>
        <v>3406</v>
      </c>
      <c r="B3408" s="87" t="str">
        <f>IFERROR(__xludf.DUMMYFUNCTION("""COMPUTED_VALUE"""),"Nhãn")</f>
        <v>Nhãn</v>
      </c>
      <c r="C3408" s="87" t="str">
        <f>IFERROR(__xludf.DUMMYFUNCTION("""COMPUTED_VALUE"""),"NHG2734")</f>
        <v>NHG2734</v>
      </c>
      <c r="D3408" s="87" t="str">
        <f>IFERROR(__xludf.DUMMYFUNCTION("""COMPUTED_VALUE"""),"[Nhãn] NB - IV - 2734 - CTY NAUY - SUPER NANO (Nước nâu đen) - 500ml - 40")</f>
        <v>[Nhãn] NB - IV - 2734 - CTY NAUY - SUPER NANO (Nước nâu đen) - 500ml - 40</v>
      </c>
      <c r="E3408" s="87" t="str">
        <f>IFERROR(__xludf.DUMMYFUNCTION("""COMPUTED_VALUE"""),"Vi lượng AGAMA-SUPPORT")</f>
        <v>Vi lượng AGAMA-SUPPORT</v>
      </c>
      <c r="F3408" s="87" t="str">
        <f>IFERROR(__xludf.DUMMYFUNCTION("""COMPUTED_VALUE"""),"HH2734")</f>
        <v>HH2734</v>
      </c>
      <c r="G3408" s="87" t="str">
        <f>IFERROR(__xludf.DUMMYFUNCTION("""COMPUTED_VALUE"""),"NB - IV - 2734 - CTY NAUY - SUPER NANO (Nước nâu đen) - 500ml - 40")</f>
        <v>NB - IV - 2734 - CTY NAUY - SUPER NANO (Nước nâu đen) - 500ml - 40</v>
      </c>
    </row>
    <row r="3409">
      <c r="A3409" s="86">
        <f>IFERROR(__xludf.DUMMYFUNCTION("""COMPUTED_VALUE"""),3407.0)</f>
        <v>3407</v>
      </c>
      <c r="B3409" s="87" t="str">
        <f>IFERROR(__xludf.DUMMYFUNCTION("""COMPUTED_VALUE"""),"Nhãn")</f>
        <v>Nhãn</v>
      </c>
      <c r="C3409" s="87" t="str">
        <f>IFERROR(__xludf.DUMMYFUNCTION("""COMPUTED_VALUE"""),"NHG2735")</f>
        <v>NHG2735</v>
      </c>
      <c r="D3409" s="87" t="str">
        <f>IFERROR(__xludf.DUMMYFUNCTION("""COMPUTED_VALUE"""),"[Nhãn] GC - IV - 2735 - NEWTECH CROP SCIENCE - GENOL 1.2SL (Nước đỏ) - 450ml - 40")</f>
        <v>[Nhãn] GC - IV - 2735 - NEWTECH CROP SCIENCE - GENOL 1.2SL (Nước đỏ) - 450ml - 40</v>
      </c>
      <c r="E3409" s="87" t="str">
        <f>IFERROR(__xludf.DUMMYFUNCTION("""COMPUTED_VALUE"""),"GENOL 1.2SL")</f>
        <v>GENOL 1.2SL</v>
      </c>
      <c r="F3409" s="87" t="str">
        <f>IFERROR(__xludf.DUMMYFUNCTION("""COMPUTED_VALUE"""),"HH2735")</f>
        <v>HH2735</v>
      </c>
      <c r="G3409" s="87" t="str">
        <f>IFERROR(__xludf.DUMMYFUNCTION("""COMPUTED_VALUE"""),"GC - IV - 2735 - NEWTECH CROP SCIENCE - GENOL 1.2SL (Nước đỏ) - 450ml - 40")</f>
        <v>GC - IV - 2735 - NEWTECH CROP SCIENCE - GENOL 1.2SL (Nước đỏ) - 450ml - 40</v>
      </c>
    </row>
    <row r="3410">
      <c r="A3410" s="86">
        <f>IFERROR(__xludf.DUMMYFUNCTION("""COMPUTED_VALUE"""),3408.0)</f>
        <v>3408</v>
      </c>
      <c r="B3410" s="87" t="str">
        <f>IFERROR(__xludf.DUMMYFUNCTION("""COMPUTED_VALUE"""),"Nhãn thùng")</f>
        <v>Nhãn thùng</v>
      </c>
      <c r="C3410" s="87" t="str">
        <f>IFERROR(__xludf.DUMMYFUNCTION("""COMPUTED_VALUE"""),"NDT2735")</f>
        <v>NDT2735</v>
      </c>
      <c r="D3410" s="87" t="str">
        <f>IFERROR(__xludf.DUMMYFUNCTION("""COMPUTED_VALUE"""),"[Nhãn thùng] GC - IV - 2735 - NEWTECH CROP SCIENCE - GENOL 1.2SL (Nước đỏ) - 450ml - 40")</f>
        <v>[Nhãn thùng] GC - IV - 2735 - NEWTECH CROP SCIENCE - GENOL 1.2SL (Nước đỏ) - 450ml - 40</v>
      </c>
      <c r="E3410" s="87" t="str">
        <f>IFERROR(__xludf.DUMMYFUNCTION("""COMPUTED_VALUE"""),"GENOL 1.2SL")</f>
        <v>GENOL 1.2SL</v>
      </c>
      <c r="F3410" s="87" t="str">
        <f>IFERROR(__xludf.DUMMYFUNCTION("""COMPUTED_VALUE"""),"HH2735")</f>
        <v>HH2735</v>
      </c>
      <c r="G3410" s="87" t="str">
        <f>IFERROR(__xludf.DUMMYFUNCTION("""COMPUTED_VALUE"""),"GC - IV - 2735 - NEWTECH CROP SCIENCE - GENOL 1.2SL (Nước đỏ) - 450ml - 40")</f>
        <v>GC - IV - 2735 - NEWTECH CROP SCIENCE - GENOL 1.2SL (Nước đỏ) - 450ml - 40</v>
      </c>
    </row>
    <row r="3411">
      <c r="A3411" s="86">
        <f>IFERROR(__xludf.DUMMYFUNCTION("""COMPUTED_VALUE"""),3409.0)</f>
        <v>3409</v>
      </c>
      <c r="B3411" s="87" t="str">
        <f>IFERROR(__xludf.DUMMYFUNCTION("""COMPUTED_VALUE"""),"Nhãn")</f>
        <v>Nhãn</v>
      </c>
      <c r="C3411" s="87" t="str">
        <f>IFERROR(__xludf.DUMMYFUNCTION("""COMPUTED_VALUE"""),"NHG2737")</f>
        <v>NHG2737</v>
      </c>
      <c r="D3411" s="87" t="str">
        <f>IFERROR(__xludf.DUMMYFUNCTION("""COMPUTED_VALUE"""),"[Nhãn] GC - IV - 2737 - GNH - Chắc hạt (HD trắng) - 1L - 20")</f>
        <v>[Nhãn] GC - IV - 2737 - GNH - Chắc hạt (HD trắng) - 1L - 20</v>
      </c>
      <c r="E3411" s="87"/>
      <c r="F3411" s="87"/>
      <c r="G3411" s="87"/>
    </row>
    <row r="3412">
      <c r="A3412" s="86">
        <f>IFERROR(__xludf.DUMMYFUNCTION("""COMPUTED_VALUE"""),3410.0)</f>
        <v>3410</v>
      </c>
      <c r="B3412" s="87" t="str">
        <f>IFERROR(__xludf.DUMMYFUNCTION("""COMPUTED_VALUE"""),"ABA")</f>
        <v>ABA</v>
      </c>
      <c r="C3412" s="87" t="str">
        <f>IFERROR(__xludf.DUMMYFUNCTION("""COMPUTED_VALUE"""),"20L")</f>
        <v>20L</v>
      </c>
      <c r="D3412" s="87" t="str">
        <f>IFERROR(__xludf.DUMMYFUNCTION("""COMPUTED_VALUE"""),"1")</f>
        <v>1</v>
      </c>
      <c r="E3412" s="87" t="str">
        <f>IFERROR(__xludf.DUMMYFUNCTION("""COMPUTED_VALUE"""),"Nhãn decal bóng")</f>
        <v>Nhãn decal bóng</v>
      </c>
      <c r="F3412" s="87" t="str">
        <f>IFERROR(__xludf.DUMMYFUNCTION("""COMPUTED_VALUE"""),"Cái")</f>
        <v>Cái</v>
      </c>
      <c r="G3412" s="87"/>
    </row>
    <row r="3413">
      <c r="A3413" s="86">
        <f>IFERROR(__xludf.DUMMYFUNCTION("""COMPUTED_VALUE"""),3411.0)</f>
        <v>3411</v>
      </c>
      <c r="B3413" s="87" t="str">
        <f>IFERROR(__xludf.DUMMYFUNCTION("""COMPUTED_VALUE"""),"Nhãn")</f>
        <v>Nhãn</v>
      </c>
      <c r="C3413" s="87" t="str">
        <f>IFERROR(__xludf.DUMMYFUNCTION("""COMPUTED_VALUE"""),"NHD2738")</f>
        <v>NHD2738</v>
      </c>
      <c r="D3413" s="87" t="str">
        <f>IFERROR(__xludf.DUMMYFUNCTION("""COMPUTED_VALUE"""),"[Nhãn]  GC - IV - 2738 - Cty Biotech Hà Lan - DIỆT SÂU CHẤN ĐỘNG (Nước trong) - 450ml - 40")</f>
        <v>[Nhãn]  GC - IV - 2738 - Cty Biotech Hà Lan - DIỆT SÂU CHẤN ĐỘNG (Nước trong) - 450ml - 40</v>
      </c>
      <c r="E3413" s="87" t="str">
        <f>IFERROR(__xludf.DUMMYFUNCTION("""COMPUTED_VALUE"""),"HAIHAMEC 3.6EC")</f>
        <v>HAIHAMEC 3.6EC</v>
      </c>
      <c r="F3413" s="87" t="str">
        <f>IFERROR(__xludf.DUMMYFUNCTION("""COMPUTED_VALUE"""),"HH2738")</f>
        <v>HH2738</v>
      </c>
      <c r="G3413" s="87" t="str">
        <f>IFERROR(__xludf.DUMMYFUNCTION("""COMPUTED_VALUE"""),"GC - IV - 2738 - Cty Biotech Hà Lan - DIỆT SÂU CHẤN ĐỘNG (Nước trong) - 450ml - 40")</f>
        <v>GC - IV - 2738 - Cty Biotech Hà Lan - DIỆT SÂU CHẤN ĐỘNG (Nước trong) - 450ml - 40</v>
      </c>
    </row>
    <row r="3414">
      <c r="A3414" s="86">
        <f>IFERROR(__xludf.DUMMYFUNCTION("""COMPUTED_VALUE"""),3412.0)</f>
        <v>3412</v>
      </c>
      <c r="B3414" s="87" t="str">
        <f>IFERROR(__xludf.DUMMYFUNCTION("""COMPUTED_VALUE"""),"Nhãn thùng")</f>
        <v>Nhãn thùng</v>
      </c>
      <c r="C3414" s="87" t="str">
        <f>IFERROR(__xludf.DUMMYFUNCTION("""COMPUTED_VALUE"""),"NDT2738")</f>
        <v>NDT2738</v>
      </c>
      <c r="D3414" s="87" t="str">
        <f>IFERROR(__xludf.DUMMYFUNCTION("""COMPUTED_VALUE"""),"[Nhãn thùng]  GC - IV - 2738 - Cty Biotech Hà Lan - DIỆT SÂU CHẤN ĐỘNG (Nước trong) - 450ml - 40")</f>
        <v>[Nhãn thùng]  GC - IV - 2738 - Cty Biotech Hà Lan - DIỆT SÂU CHẤN ĐỘNG (Nước trong) - 450ml - 40</v>
      </c>
      <c r="E3414" s="87" t="str">
        <f>IFERROR(__xludf.DUMMYFUNCTION("""COMPUTED_VALUE"""),"HAIHAMEC 3.6EC")</f>
        <v>HAIHAMEC 3.6EC</v>
      </c>
      <c r="F3414" s="87" t="str">
        <f>IFERROR(__xludf.DUMMYFUNCTION("""COMPUTED_VALUE"""),"HH2738")</f>
        <v>HH2738</v>
      </c>
      <c r="G3414" s="87" t="str">
        <f>IFERROR(__xludf.DUMMYFUNCTION("""COMPUTED_VALUE"""),"GC - IV - 2738 - Cty Biotech Hà Lan - DIỆT SÂU CHẤN ĐỘNG (Nước trong) - 450ml - 40")</f>
        <v>GC - IV - 2738 - Cty Biotech Hà Lan - DIỆT SÂU CHẤN ĐỘNG (Nước trong) - 450ml - 40</v>
      </c>
    </row>
    <row r="3415">
      <c r="A3415" s="86">
        <f>IFERROR(__xludf.DUMMYFUNCTION("""COMPUTED_VALUE"""),3413.0)</f>
        <v>3413</v>
      </c>
      <c r="B3415" s="87" t="str">
        <f>IFERROR(__xludf.DUMMYFUNCTION("""COMPUTED_VALUE"""),"Nhãn")</f>
        <v>Nhãn</v>
      </c>
      <c r="C3415" s="87" t="str">
        <f>IFERROR(__xludf.DUMMYFUNCTION("""COMPUTED_VALUE"""),"NTN2739")</f>
        <v>NTN2739</v>
      </c>
      <c r="D3415" s="87" t="str">
        <f>IFERROR(__xludf.DUMMYFUNCTION("""COMPUTED_VALUE"""),"[Nhãn] LOT IDA Global - I - 2739 - MANCO XANH MỚI (Bột xanh) - 1kg - 20")</f>
        <v>[Nhãn] LOT IDA Global - I - 2739 - MANCO XANH MỚI (Bột xanh) - 1kg - 20</v>
      </c>
      <c r="E3415" s="87" t="str">
        <f>IFERROR(__xludf.DUMMYFUNCTION("""COMPUTED_VALUE"""),"MANCOBGO 80WP")</f>
        <v>MANCOBGO 80WP</v>
      </c>
      <c r="F3415" s="87" t="str">
        <f>IFERROR(__xludf.DUMMYFUNCTION("""COMPUTED_VALUE"""),"HH2739")</f>
        <v>HH2739</v>
      </c>
      <c r="G3415" s="87" t="str">
        <f>IFERROR(__xludf.DUMMYFUNCTION("""COMPUTED_VALUE"""),"LOT IDA Global - I - 2739 - MANCO XANH MỚI (Bột xanh) - 1kg - 20")</f>
        <v>LOT IDA Global - I - 2739 - MANCO XANH MỚI (Bột xanh) - 1kg - 20</v>
      </c>
    </row>
    <row r="3416">
      <c r="A3416" s="86">
        <f>IFERROR(__xludf.DUMMYFUNCTION("""COMPUTED_VALUE"""),3414.0)</f>
        <v>3414</v>
      </c>
      <c r="B3416" s="87" t="str">
        <f>IFERROR(__xludf.DUMMYFUNCTION("""COMPUTED_VALUE"""),"Nhãn thùng")</f>
        <v>Nhãn thùng</v>
      </c>
      <c r="C3416" s="87" t="str">
        <f>IFERROR(__xludf.DUMMYFUNCTION("""COMPUTED_VALUE"""),"NDT2739")</f>
        <v>NDT2739</v>
      </c>
      <c r="D3416" s="87" t="str">
        <f>IFERROR(__xludf.DUMMYFUNCTION("""COMPUTED_VALUE"""),"[Nhãn thùng] LOT IDA Global - I - 2739 - MANCO XANH MỚI (Bột xanh) - 1kg - 20")</f>
        <v>[Nhãn thùng] LOT IDA Global - I - 2739 - MANCO XANH MỚI (Bột xanh) - 1kg - 20</v>
      </c>
      <c r="E3416" s="87" t="str">
        <f>IFERROR(__xludf.DUMMYFUNCTION("""COMPUTED_VALUE"""),"MANCOBGO 80WP")</f>
        <v>MANCOBGO 80WP</v>
      </c>
      <c r="F3416" s="87" t="str">
        <f>IFERROR(__xludf.DUMMYFUNCTION("""COMPUTED_VALUE"""),"HH2739")</f>
        <v>HH2739</v>
      </c>
      <c r="G3416" s="87" t="str">
        <f>IFERROR(__xludf.DUMMYFUNCTION("""COMPUTED_VALUE"""),"LOT IDA Global - I - 2739 - MANCO XANH MỚI (Bột xanh) - 1kg - 20")</f>
        <v>LOT IDA Global - I - 2739 - MANCO XANH MỚI (Bột xanh) - 1kg - 20</v>
      </c>
    </row>
    <row r="3417">
      <c r="A3417" s="86">
        <f>IFERROR(__xludf.DUMMYFUNCTION("""COMPUTED_VALUE"""),3415.0)</f>
        <v>3415</v>
      </c>
      <c r="B3417" s="87" t="str">
        <f>IFERROR(__xludf.DUMMYFUNCTION("""COMPUTED_VALUE"""),"Nhãn")</f>
        <v>Nhãn</v>
      </c>
      <c r="C3417" s="87" t="str">
        <f>IFERROR(__xludf.DUMMYFUNCTION("""COMPUTED_VALUE"""),"NHD2740")</f>
        <v>NHD2740</v>
      </c>
      <c r="D3417" s="87" t="str">
        <f>IFERROR(__xludf.DUMMYFUNCTION("""COMPUTED_VALUE"""),"[Nhãn] NB - IV - 2740- Hưng Thắng Lợi Gia Lai - ASMILTATOP SUPER 400SC  - 20L - 1")</f>
        <v>[Nhãn] NB - IV - 2740- Hưng Thắng Lợi Gia Lai - ASMILTATOP SUPER 400SC  - 20L - 1</v>
      </c>
      <c r="E3417" s="87" t="str">
        <f>IFERROR(__xludf.DUMMYFUNCTION("""COMPUTED_VALUE"""),"ASMILTATOP SUPER 400SC")</f>
        <v>ASMILTATOP SUPER 400SC</v>
      </c>
      <c r="F3417" s="87" t="str">
        <f>IFERROR(__xludf.DUMMYFUNCTION("""COMPUTED_VALUE"""),"HH2740")</f>
        <v>HH2740</v>
      </c>
      <c r="G3417" s="87" t="str">
        <f>IFERROR(__xludf.DUMMYFUNCTION("""COMPUTED_VALUE"""),"NB - IV - 2740- Hưng Thắng Lợi Gia Lai - ASMILTATOP SUPER 400SC  - 20L - 1")</f>
        <v>NB - IV - 2740- Hưng Thắng Lợi Gia Lai - ASMILTATOP SUPER 400SC  - 20L - 1</v>
      </c>
    </row>
    <row r="3418">
      <c r="A3418" s="86">
        <f>IFERROR(__xludf.DUMMYFUNCTION("""COMPUTED_VALUE"""),3416.0)</f>
        <v>3416</v>
      </c>
      <c r="B3418" s="87" t="str">
        <f>IFERROR(__xludf.DUMMYFUNCTION("""COMPUTED_VALUE"""),"Nhãn")</f>
        <v>Nhãn</v>
      </c>
      <c r="C3418" s="87" t="str">
        <f>IFERROR(__xludf.DUMMYFUNCTION("""COMPUTED_VALUE"""),"NTN2741")</f>
        <v>NTN2741</v>
      </c>
      <c r="D3418" s="87" t="str">
        <f>IFERROR(__xludf.DUMMYFUNCTION("""COMPUTED_VALUE"""),"[Nhãn] GC - IV - 2741 - CTY BA MÙA - MANCOZEB XANH (Bột xanh) - 1kg - 20")</f>
        <v>[Nhãn] GC - IV - 2741 - CTY BA MÙA - MANCOZEB XANH (Bột xanh) - 1kg - 20</v>
      </c>
      <c r="E3418" s="87" t="str">
        <f>IFERROR(__xludf.DUMMYFUNCTION("""COMPUTED_VALUE"""),"MANCOBGO 80WP")</f>
        <v>MANCOBGO 80WP</v>
      </c>
      <c r="F3418" s="87" t="str">
        <f>IFERROR(__xludf.DUMMYFUNCTION("""COMPUTED_VALUE"""),"HH2741")</f>
        <v>HH2741</v>
      </c>
      <c r="G3418" s="87" t="str">
        <f>IFERROR(__xludf.DUMMYFUNCTION("""COMPUTED_VALUE"""),"GC - IV - 2741 - CTY BA MÙA - MANCOZEB XANH (Bột xanh) - 1kg - 20")</f>
        <v>GC - IV - 2741 - CTY BA MÙA - MANCOZEB XANH (Bột xanh) - 1kg - 20</v>
      </c>
    </row>
    <row r="3419">
      <c r="A3419" s="86">
        <f>IFERROR(__xludf.DUMMYFUNCTION("""COMPUTED_VALUE"""),3417.0)</f>
        <v>3417</v>
      </c>
      <c r="B3419" s="87" t="str">
        <f>IFERROR(__xludf.DUMMYFUNCTION("""COMPUTED_VALUE"""),"Nhãn thùng")</f>
        <v>Nhãn thùng</v>
      </c>
      <c r="C3419" s="87" t="str">
        <f>IFERROR(__xludf.DUMMYFUNCTION("""COMPUTED_VALUE"""),"NDT2741")</f>
        <v>NDT2741</v>
      </c>
      <c r="D3419" s="87" t="str">
        <f>IFERROR(__xludf.DUMMYFUNCTION("""COMPUTED_VALUE"""),"[Nhãn thùng] GC - IV - 2741 - CTY BA MÙA - MANCOZEB XANH (Bột xanh) - 1kg - 20")</f>
        <v>[Nhãn thùng] GC - IV - 2741 - CTY BA MÙA - MANCOZEB XANH (Bột xanh) - 1kg - 20</v>
      </c>
      <c r="E3419" s="87" t="str">
        <f>IFERROR(__xludf.DUMMYFUNCTION("""COMPUTED_VALUE"""),"MANCOBGO 80WP")</f>
        <v>MANCOBGO 80WP</v>
      </c>
      <c r="F3419" s="87" t="str">
        <f>IFERROR(__xludf.DUMMYFUNCTION("""COMPUTED_VALUE"""),"HH2741")</f>
        <v>HH2741</v>
      </c>
      <c r="G3419" s="87" t="str">
        <f>IFERROR(__xludf.DUMMYFUNCTION("""COMPUTED_VALUE"""),"GC - IV - 2741 - CTY BA MÙA - MANCOZEB XANH (Bột xanh) - 1kg - 20")</f>
        <v>GC - IV - 2741 - CTY BA MÙA - MANCOZEB XANH (Bột xanh) - 1kg - 20</v>
      </c>
    </row>
    <row r="3420">
      <c r="A3420" s="86">
        <f>IFERROR(__xludf.DUMMYFUNCTION("""COMPUTED_VALUE"""),3418.0)</f>
        <v>3418</v>
      </c>
      <c r="B3420" s="87" t="str">
        <f>IFERROR(__xludf.DUMMYFUNCTION("""COMPUTED_VALUE"""),"Nhãn")</f>
        <v>Nhãn</v>
      </c>
      <c r="C3420" s="87" t="str">
        <f>IFERROR(__xludf.DUMMYFUNCTION("""COMPUTED_VALUE"""),"NHD2742")</f>
        <v>NHD2742</v>
      </c>
      <c r="D3420" s="87" t="str">
        <f>IFERROR(__xludf.DUMMYFUNCTION("""COMPUTED_VALUE"""),"[Nhãn] GC - IV - 2742 - CT Tây Nguyên - RONG RÊU (Nước xanh dương) - 250ml - 40")</f>
        <v>[Nhãn] GC - IV - 2742 - CT Tây Nguyên - RONG RÊU (Nước xanh dương) - 250ml - 40</v>
      </c>
      <c r="E3420" s="87" t="str">
        <f>IFERROR(__xludf.DUMMYFUNCTION("""COMPUTED_VALUE"""),"Vi lượng Basel IDA 11")</f>
        <v>Vi lượng Basel IDA 11</v>
      </c>
      <c r="F3420" s="87" t="str">
        <f>IFERROR(__xludf.DUMMYFUNCTION("""COMPUTED_VALUE"""),"HH2742")</f>
        <v>HH2742</v>
      </c>
      <c r="G3420" s="87" t="str">
        <f>IFERROR(__xludf.DUMMYFUNCTION("""COMPUTED_VALUE"""),"GC - IV - 2742 - CT Tây Nguyên - RONG RÊU (Nước xanh dương) - 250ml - 40")</f>
        <v>GC - IV - 2742 - CT Tây Nguyên - RONG RÊU (Nước xanh dương) - 250ml - 40</v>
      </c>
    </row>
    <row r="3421">
      <c r="A3421" s="86">
        <f>IFERROR(__xludf.DUMMYFUNCTION("""COMPUTED_VALUE"""),3419.0)</f>
        <v>3419</v>
      </c>
      <c r="B3421" s="87" t="str">
        <f>IFERROR(__xludf.DUMMYFUNCTION("""COMPUTED_VALUE"""),"Nhãn thùng")</f>
        <v>Nhãn thùng</v>
      </c>
      <c r="C3421" s="87" t="str">
        <f>IFERROR(__xludf.DUMMYFUNCTION("""COMPUTED_VALUE"""),"NDT2742")</f>
        <v>NDT2742</v>
      </c>
      <c r="D3421" s="87" t="str">
        <f>IFERROR(__xludf.DUMMYFUNCTION("""COMPUTED_VALUE"""),"[Nhãn thùng] GC - IV - 2742 - CT Tây Nguyên - RONG RÊU (Nước xanh dương) - 250ml - 40")</f>
        <v>[Nhãn thùng] GC - IV - 2742 - CT Tây Nguyên - RONG RÊU (Nước xanh dương) - 250ml - 40</v>
      </c>
      <c r="E3421" s="87" t="str">
        <f>IFERROR(__xludf.DUMMYFUNCTION("""COMPUTED_VALUE"""),"Vi lượng Basel IDA 11")</f>
        <v>Vi lượng Basel IDA 11</v>
      </c>
      <c r="F3421" s="87" t="str">
        <f>IFERROR(__xludf.DUMMYFUNCTION("""COMPUTED_VALUE"""),"HH2742")</f>
        <v>HH2742</v>
      </c>
      <c r="G3421" s="87" t="str">
        <f>IFERROR(__xludf.DUMMYFUNCTION("""COMPUTED_VALUE"""),"GC - IV - 2742 - CT Tây Nguyên - RONG RÊU (Nước xanh dương) - 250ml - 40")</f>
        <v>GC - IV - 2742 - CT Tây Nguyên - RONG RÊU (Nước xanh dương) - 250ml - 40</v>
      </c>
    </row>
    <row r="3422">
      <c r="A3422" s="86">
        <f>IFERROR(__xludf.DUMMYFUNCTION("""COMPUTED_VALUE"""),3420.0)</f>
        <v>3420</v>
      </c>
      <c r="B3422" s="87" t="str">
        <f>IFERROR(__xludf.DUMMYFUNCTION("""COMPUTED_VALUE"""),"Nhãn")</f>
        <v>Nhãn</v>
      </c>
      <c r="C3422" s="87" t="str">
        <f>IFERROR(__xludf.DUMMYFUNCTION("""COMPUTED_VALUE"""),"NHG2743")</f>
        <v>NHG2743</v>
      </c>
      <c r="D3422" s="87" t="str">
        <f>IFERROR(__xludf.DUMMYFUNCTION("""COMPUTED_VALUE"""),"[Nhãn] GC - II - 2743 - AGC - THIPRO 550EC (Nước tím) - 250ml - 40")</f>
        <v>[Nhãn] GC - II - 2743 - AGC - THIPRO 550EC (Nước tím) - 250ml - 40</v>
      </c>
      <c r="E3422" s="87" t="str">
        <f>IFERROR(__xludf.DUMMYFUNCTION("""COMPUTED_VALUE"""),"Thipro 550EC")</f>
        <v>Thipro 550EC</v>
      </c>
      <c r="F3422" s="87" t="str">
        <f>IFERROR(__xludf.DUMMYFUNCTION("""COMPUTED_VALUE"""),"HH2743")</f>
        <v>HH2743</v>
      </c>
      <c r="G3422" s="87" t="str">
        <f>IFERROR(__xludf.DUMMYFUNCTION("""COMPUTED_VALUE"""),"GC - II - 2743 - AGC - THIPRO 550EC (Nước tím) - 250ml - 40")</f>
        <v>GC - II - 2743 - AGC - THIPRO 550EC (Nước tím) - 250ml - 40</v>
      </c>
    </row>
    <row r="3423">
      <c r="A3423" s="86">
        <f>IFERROR(__xludf.DUMMYFUNCTION("""COMPUTED_VALUE"""),3421.0)</f>
        <v>3421</v>
      </c>
      <c r="B3423" s="87" t="str">
        <f>IFERROR(__xludf.DUMMYFUNCTION("""COMPUTED_VALUE"""),"Nhãn")</f>
        <v>Nhãn</v>
      </c>
      <c r="C3423" s="87" t="str">
        <f>IFERROR(__xludf.DUMMYFUNCTION("""COMPUTED_VALUE"""),"NTN2744")</f>
        <v>NTN2744</v>
      </c>
      <c r="D3423" s="87" t="str">
        <f>IFERROR(__xludf.DUMMYFUNCTION("""COMPUTED_VALUE"""),"[Nhãn] GC - IV - 2744 - NHP GROUP - MANCOXANH (Bột xanh) - 1kg - 20")</f>
        <v>[Nhãn] GC - IV - 2744 - NHP GROUP - MANCOXANH (Bột xanh) - 1kg - 20</v>
      </c>
      <c r="E3423" s="87" t="str">
        <f>IFERROR(__xludf.DUMMYFUNCTION("""COMPUTED_VALUE"""),"MANCOBGO 80WP")</f>
        <v>MANCOBGO 80WP</v>
      </c>
      <c r="F3423" s="87" t="str">
        <f>IFERROR(__xludf.DUMMYFUNCTION("""COMPUTED_VALUE"""),"HH2744")</f>
        <v>HH2744</v>
      </c>
      <c r="G3423" s="87" t="str">
        <f>IFERROR(__xludf.DUMMYFUNCTION("""COMPUTED_VALUE"""),"GC - IV - 2744 - NHP GROUP - MANCOXANH (Bột xanh) - 1kg - 20")</f>
        <v>GC - IV - 2744 - NHP GROUP - MANCOXANH (Bột xanh) - 1kg - 20</v>
      </c>
    </row>
    <row r="3424">
      <c r="A3424" s="86">
        <f>IFERROR(__xludf.DUMMYFUNCTION("""COMPUTED_VALUE"""),3422.0)</f>
        <v>3422</v>
      </c>
      <c r="B3424" s="87" t="str">
        <f>IFERROR(__xludf.DUMMYFUNCTION("""COMPUTED_VALUE"""),"Nhãn thùng")</f>
        <v>Nhãn thùng</v>
      </c>
      <c r="C3424" s="87" t="str">
        <f>IFERROR(__xludf.DUMMYFUNCTION("""COMPUTED_VALUE"""),"NDT2744")</f>
        <v>NDT2744</v>
      </c>
      <c r="D3424" s="87" t="str">
        <f>IFERROR(__xludf.DUMMYFUNCTION("""COMPUTED_VALUE"""),"[Nhãn thùng] GC - IV - 2744 - NHP GROUP - MANCOXANH (Bột xanh) - 1kg - 20")</f>
        <v>[Nhãn thùng] GC - IV - 2744 - NHP GROUP - MANCOXANH (Bột xanh) - 1kg - 20</v>
      </c>
      <c r="E3424" s="87" t="str">
        <f>IFERROR(__xludf.DUMMYFUNCTION("""COMPUTED_VALUE"""),"MANCOBGO 80WP")</f>
        <v>MANCOBGO 80WP</v>
      </c>
      <c r="F3424" s="87" t="str">
        <f>IFERROR(__xludf.DUMMYFUNCTION("""COMPUTED_VALUE"""),"HH2744")</f>
        <v>HH2744</v>
      </c>
      <c r="G3424" s="87" t="str">
        <f>IFERROR(__xludf.DUMMYFUNCTION("""COMPUTED_VALUE"""),"GC - IV - 2744 - NHP GROUP - MANCOXANH (Bột xanh) - 1kg - 20")</f>
        <v>GC - IV - 2744 - NHP GROUP - MANCOXANH (Bột xanh) - 1kg - 20</v>
      </c>
    </row>
    <row r="3425">
      <c r="A3425" s="86">
        <f>IFERROR(__xludf.DUMMYFUNCTION("""COMPUTED_VALUE"""),3423.0)</f>
        <v>3423</v>
      </c>
      <c r="B3425" s="87" t="str">
        <f>IFERROR(__xludf.DUMMYFUNCTION("""COMPUTED_VALUE"""),"Nhãn")</f>
        <v>Nhãn</v>
      </c>
      <c r="C3425" s="87" t="str">
        <f>IFERROR(__xludf.DUMMYFUNCTION("""COMPUTED_VALUE"""),"NHG2745")</f>
        <v>NHG2745</v>
      </c>
      <c r="D3425" s="87" t="str">
        <f>IFERROR(__xludf.DUMMYFUNCTION("""COMPUTED_VALUE"""),"[Nhãn] GC - IV - 2745 - CTY QUANG ĐĂNG AGRICULTURE  - MI STOP 350SC (Nước vàng chanh) - 240ml - 40")</f>
        <v>[Nhãn] GC - IV - 2745 - CTY QUANG ĐĂNG AGRICULTURE  - MI STOP 350SC (Nước vàng chanh) - 240ml - 40</v>
      </c>
      <c r="E3425" s="87" t="str">
        <f>IFERROR(__xludf.DUMMYFUNCTION("""COMPUTED_VALUE"""),"MI STOP 350SC")</f>
        <v>MI STOP 350SC</v>
      </c>
      <c r="F3425" s="87" t="str">
        <f>IFERROR(__xludf.DUMMYFUNCTION("""COMPUTED_VALUE"""),"HH2745")</f>
        <v>HH2745</v>
      </c>
      <c r="G3425" s="87" t="str">
        <f>IFERROR(__xludf.DUMMYFUNCTION("""COMPUTED_VALUE"""),"GC - IV - 2745 - Cty Quang Đăng Agriculture - MI STOP 350SC (Nước vàng chanh) - 240ml - 40")</f>
        <v>GC - IV - 2745 - Cty Quang Đăng Agriculture - MI STOP 350SC (Nước vàng chanh) - 240ml - 40</v>
      </c>
    </row>
    <row r="3426">
      <c r="A3426" s="86">
        <f>IFERROR(__xludf.DUMMYFUNCTION("""COMPUTED_VALUE"""),3424.0)</f>
        <v>3424</v>
      </c>
      <c r="B3426" s="87" t="str">
        <f>IFERROR(__xludf.DUMMYFUNCTION("""COMPUTED_VALUE"""),"Nhãn")</f>
        <v>Nhãn</v>
      </c>
      <c r="C3426" s="87" t="str">
        <f>IFERROR(__xludf.DUMMYFUNCTION("""COMPUTED_VALUE"""),"NHG2746")</f>
        <v>NHG2746</v>
      </c>
      <c r="D3426" s="87" t="str">
        <f>IFERROR(__xludf.DUMMYFUNCTION("""COMPUTED_VALUE"""),"[Nhãn] GC - IV - 2746 - CTY QUANG ĐĂNG AGRICULTURE - CITTIZEN 333SC (Nước cam sữa) - 450ml - 30")</f>
        <v>[Nhãn] GC - IV - 2746 - CTY QUANG ĐĂNG AGRICULTURE - CITTIZEN 333SC (Nước cam sữa) - 450ml - 30</v>
      </c>
      <c r="E3426" s="87" t="str">
        <f>IFERROR(__xludf.DUMMYFUNCTION("""COMPUTED_VALUE"""),"CITTIZEN 333SC")</f>
        <v>CITTIZEN 333SC</v>
      </c>
      <c r="F3426" s="87" t="str">
        <f>IFERROR(__xludf.DUMMYFUNCTION("""COMPUTED_VALUE"""),"HH2746")</f>
        <v>HH2746</v>
      </c>
      <c r="G3426" s="87" t="str">
        <f>IFERROR(__xludf.DUMMYFUNCTION("""COMPUTED_VALUE"""),"GC - IV - 2746 - Cty Quang Đăng Agriculture - CITTIZEN 333SC (Nước cam sữa) - 450ml - 30")</f>
        <v>GC - IV - 2746 - Cty Quang Đăng Agriculture - CITTIZEN 333SC (Nước cam sữa) - 450ml - 30</v>
      </c>
    </row>
    <row r="3427">
      <c r="A3427" s="86">
        <f>IFERROR(__xludf.DUMMYFUNCTION("""COMPUTED_VALUE"""),3425.0)</f>
        <v>3425</v>
      </c>
      <c r="B3427" s="87" t="str">
        <f>IFERROR(__xludf.DUMMYFUNCTION("""COMPUTED_VALUE"""),"Nhãn")</f>
        <v>Nhãn</v>
      </c>
      <c r="C3427" s="87" t="str">
        <f>IFERROR(__xludf.DUMMYFUNCTION("""COMPUTED_VALUE"""),"NHG2747")</f>
        <v>NHG2747</v>
      </c>
      <c r="D3427" s="87" t="str">
        <f>IFERROR(__xludf.DUMMYFUNCTION("""COMPUTED_VALUE"""),"[Nhãn] GC - IV - 2747 - CTY QUANG ĐĂNG AGRICULTURE  - STOMA MAX (Gel vàng mật ong) - 120ml - 90")</f>
        <v>[Nhãn] GC - IV - 2747 - CTY QUANG ĐĂNG AGRICULTURE  - STOMA MAX (Gel vàng mật ong) - 120ml - 90</v>
      </c>
      <c r="E3427" s="87" t="str">
        <f>IFERROR(__xludf.DUMMYFUNCTION("""COMPUTED_VALUE"""),"Vi lượng Quantity New")</f>
        <v>Vi lượng Quantity New</v>
      </c>
      <c r="F3427" s="87" t="str">
        <f>IFERROR(__xludf.DUMMYFUNCTION("""COMPUTED_VALUE"""),"HH2747")</f>
        <v>HH2747</v>
      </c>
      <c r="G3427" s="87" t="str">
        <f>IFERROR(__xludf.DUMMYFUNCTION("""COMPUTED_VALUE"""),"GC - IV - 2747 - Cty Quang Đăng Agriculture - STOMA MAX (Gel vàng mật ong) - 120ml - 90")</f>
        <v>GC - IV - 2747 - Cty Quang Đăng Agriculture - STOMA MAX (Gel vàng mật ong) - 120ml - 90</v>
      </c>
    </row>
    <row r="3428">
      <c r="A3428" s="86">
        <f>IFERROR(__xludf.DUMMYFUNCTION("""COMPUTED_VALUE"""),3426.0)</f>
        <v>3426</v>
      </c>
      <c r="B3428" s="87" t="str">
        <f>IFERROR(__xludf.DUMMYFUNCTION("""COMPUTED_VALUE"""),"Nhãn")</f>
        <v>Nhãn</v>
      </c>
      <c r="C3428" s="87" t="str">
        <f>IFERROR(__xludf.DUMMYFUNCTION("""COMPUTED_VALUE"""),"NTN2748")</f>
        <v>NTN2748</v>
      </c>
      <c r="D3428" s="87" t="str">
        <f>IFERROR(__xludf.DUMMYFUNCTION("""COMPUTED_VALUE"""),"[Nhãn] GC - II - 2748 - CSSX An Khang (A.Dinh) - TAK20 (Bột màu trắng) - 1kg - 20")</f>
        <v>[Nhãn] GC - II - 2748 - CSSX An Khang (A.Dinh) - TAK20 (Bột màu trắng) - 1kg - 20</v>
      </c>
      <c r="E3428" s="87" t="str">
        <f>IFERROR(__xludf.DUMMYFUNCTION("""COMPUTED_VALUE"""),"Vi lượng AGAMA-BATFUNG")</f>
        <v>Vi lượng AGAMA-BATFUNG</v>
      </c>
      <c r="F3428" s="87" t="str">
        <f>IFERROR(__xludf.DUMMYFUNCTION("""COMPUTED_VALUE"""),"HH2748")</f>
        <v>HH2748</v>
      </c>
      <c r="G3428" s="87" t="str">
        <f>IFERROR(__xludf.DUMMYFUNCTION("""COMPUTED_VALUE"""),"GC - II - 2748 - CSSX An Khang (A.Dinh) - TAK20 (Bột màu trắng) - 1kg - 20")</f>
        <v>GC - II - 2748 - CSSX An Khang (A.Dinh) - TAK20 (Bột màu trắng) - 1kg - 20</v>
      </c>
    </row>
    <row r="3429">
      <c r="A3429" s="86">
        <f>IFERROR(__xludf.DUMMYFUNCTION("""COMPUTED_VALUE"""),3427.0)</f>
        <v>3427</v>
      </c>
      <c r="B3429" s="87" t="str">
        <f>IFERROR(__xludf.DUMMYFUNCTION("""COMPUTED_VALUE"""),"Nhãn thùng")</f>
        <v>Nhãn thùng</v>
      </c>
      <c r="C3429" s="87" t="str">
        <f>IFERROR(__xludf.DUMMYFUNCTION("""COMPUTED_VALUE"""),"NDT2748")</f>
        <v>NDT2748</v>
      </c>
      <c r="D3429" s="87" t="str">
        <f>IFERROR(__xludf.DUMMYFUNCTION("""COMPUTED_VALUE"""),"[Nhãn thùng] GC - II - 2748 - CSSX An Khang (A.Dinh) - TAK20 (Bột màu trắng) - 1kg - 20")</f>
        <v>[Nhãn thùng] GC - II - 2748 - CSSX An Khang (A.Dinh) - TAK20 (Bột màu trắng) - 1kg - 20</v>
      </c>
      <c r="E3429" s="87" t="str">
        <f>IFERROR(__xludf.DUMMYFUNCTION("""COMPUTED_VALUE"""),"Vi lượng AGAMA-BATFUNG")</f>
        <v>Vi lượng AGAMA-BATFUNG</v>
      </c>
      <c r="F3429" s="87" t="str">
        <f>IFERROR(__xludf.DUMMYFUNCTION("""COMPUTED_VALUE"""),"HH2748")</f>
        <v>HH2748</v>
      </c>
      <c r="G3429" s="87" t="str">
        <f>IFERROR(__xludf.DUMMYFUNCTION("""COMPUTED_VALUE"""),"GC - II - 2748 - CSSX An Khang (A.Dinh) - TAK20 (Bột màu trắng) - 1kg - 20")</f>
        <v>GC - II - 2748 - CSSX An Khang (A.Dinh) - TAK20 (Bột màu trắng) - 1kg - 20</v>
      </c>
    </row>
    <row r="3430">
      <c r="A3430" s="86">
        <f>IFERROR(__xludf.DUMMYFUNCTION("""COMPUTED_VALUE"""),3428.0)</f>
        <v>3428</v>
      </c>
      <c r="B3430" s="87" t="str">
        <f>IFERROR(__xludf.DUMMYFUNCTION("""COMPUTED_VALUE"""),"Nhãn")</f>
        <v>Nhãn</v>
      </c>
      <c r="C3430" s="87" t="str">
        <f>IFERROR(__xludf.DUMMYFUNCTION("""COMPUTED_VALUE"""),"NTN2749")</f>
        <v>NTN2749</v>
      </c>
      <c r="D3430" s="87" t="str">
        <f>IFERROR(__xludf.DUMMYFUNCTION("""COMPUTED_VALUE"""),"[Nhãn] GC - II - 2749 - CSSX An Khang (A.Dinh) - TAK12.61 (Dạng tinh thể màu trắng) - 2kg - 10")</f>
        <v>[Nhãn] GC - II - 2749 - CSSX An Khang (A.Dinh) - TAK12.61 (Dạng tinh thể màu trắng) - 2kg - 10</v>
      </c>
      <c r="E3430" s="87" t="str">
        <f>IFERROR(__xludf.DUMMYFUNCTION("""COMPUTED_VALUE"""),"Vi lượng AGAMA-BATFUNG")</f>
        <v>Vi lượng AGAMA-BATFUNG</v>
      </c>
      <c r="F3430" s="87" t="str">
        <f>IFERROR(__xludf.DUMMYFUNCTION("""COMPUTED_VALUE"""),"HH2749")</f>
        <v>HH2749</v>
      </c>
      <c r="G3430" s="87" t="str">
        <f>IFERROR(__xludf.DUMMYFUNCTION("""COMPUTED_VALUE"""),"GC - II - 2749 - CSSX An Khang (A.Dinh) - TAK12.61 (Dạng tinh thể màu trắng) - 2kg - 10")</f>
        <v>GC - II - 2749 - CSSX An Khang (A.Dinh) - TAK12.61 (Dạng tinh thể màu trắng) - 2kg - 10</v>
      </c>
    </row>
    <row r="3431">
      <c r="A3431" s="86">
        <f>IFERROR(__xludf.DUMMYFUNCTION("""COMPUTED_VALUE"""),3429.0)</f>
        <v>3429</v>
      </c>
      <c r="B3431" s="87" t="str">
        <f>IFERROR(__xludf.DUMMYFUNCTION("""COMPUTED_VALUE"""),"Nhãn thùng")</f>
        <v>Nhãn thùng</v>
      </c>
      <c r="C3431" s="87" t="str">
        <f>IFERROR(__xludf.DUMMYFUNCTION("""COMPUTED_VALUE"""),"NDT2749")</f>
        <v>NDT2749</v>
      </c>
      <c r="D3431" s="87" t="str">
        <f>IFERROR(__xludf.DUMMYFUNCTION("""COMPUTED_VALUE"""),"[Nhãn thùng] GC - II - 2749 - CSSX An Khang (A.Dinh) - TAK12.61 (Dạng tinh thể màu trắng) - 2kg - 10")</f>
        <v>[Nhãn thùng] GC - II - 2749 - CSSX An Khang (A.Dinh) - TAK12.61 (Dạng tinh thể màu trắng) - 2kg - 10</v>
      </c>
      <c r="E3431" s="87" t="str">
        <f>IFERROR(__xludf.DUMMYFUNCTION("""COMPUTED_VALUE"""),"Vi lượng AGAMA-BATFUNG")</f>
        <v>Vi lượng AGAMA-BATFUNG</v>
      </c>
      <c r="F3431" s="87" t="str">
        <f>IFERROR(__xludf.DUMMYFUNCTION("""COMPUTED_VALUE"""),"HH2749")</f>
        <v>HH2749</v>
      </c>
      <c r="G3431" s="87" t="str">
        <f>IFERROR(__xludf.DUMMYFUNCTION("""COMPUTED_VALUE"""),"GC - II - 2749 - CSSX An Khang (A.Dinh) - TAK12.61 (Dạng tinh thể màu trắng) - 2kg - 10")</f>
        <v>GC - II - 2749 - CSSX An Khang (A.Dinh) - TAK12.61 (Dạng tinh thể màu trắng) - 2kg - 10</v>
      </c>
    </row>
    <row r="3432">
      <c r="A3432" s="86">
        <f>IFERROR(__xludf.DUMMYFUNCTION("""COMPUTED_VALUE"""),3430.0)</f>
        <v>3430</v>
      </c>
      <c r="B3432" s="87" t="str">
        <f>IFERROR(__xludf.DUMMYFUNCTION("""COMPUTED_VALUE"""),"Nhãn")</f>
        <v>Nhãn</v>
      </c>
      <c r="C3432" s="87" t="str">
        <f>IFERROR(__xludf.DUMMYFUNCTION("""COMPUTED_VALUE"""),"NHG2750")</f>
        <v>NHG2750</v>
      </c>
      <c r="D3432" s="87" t="str">
        <f>IFERROR(__xludf.DUMMYFUNCTION("""COMPUTED_VALUE"""),"[Nhãn] GC - IV - 2750 - Cty Agritech Hà Lan  - Thipro 550EC - DIỆT RẦY THẦN TỐC (Nước tím) - 120ml - 100")</f>
        <v>[Nhãn] GC - IV - 2750 - Cty Agritech Hà Lan  - Thipro 550EC - DIỆT RẦY THẦN TỐC (Nước tím) - 120ml - 100</v>
      </c>
      <c r="E3432" s="87" t="str">
        <f>IFERROR(__xludf.DUMMYFUNCTION("""COMPUTED_VALUE"""),"Thipro 550EC")</f>
        <v>Thipro 550EC</v>
      </c>
      <c r="F3432" s="87" t="str">
        <f>IFERROR(__xludf.DUMMYFUNCTION("""COMPUTED_VALUE"""),"HH2750")</f>
        <v>HH2750</v>
      </c>
      <c r="G3432" s="87" t="str">
        <f>IFERROR(__xludf.DUMMYFUNCTION("""COMPUTED_VALUE"""),"GC - IV - 2750 - Cty Agritech Hà Lan  - Thipro 550EC - DIỆT RẦY THẦN TỐC (Nước tím) - 120ml - 100")</f>
        <v>GC - IV - 2750 - Cty Agritech Hà Lan  - Thipro 550EC - DIỆT RẦY THẦN TỐC (Nước tím) - 120ml - 100</v>
      </c>
    </row>
    <row r="3433">
      <c r="A3433" s="86">
        <f>IFERROR(__xludf.DUMMYFUNCTION("""COMPUTED_VALUE"""),3431.0)</f>
        <v>3431</v>
      </c>
      <c r="B3433" s="87" t="str">
        <f>IFERROR(__xludf.DUMMYFUNCTION("""COMPUTED_VALUE"""),"Nhãn thùng")</f>
        <v>Nhãn thùng</v>
      </c>
      <c r="C3433" s="87" t="str">
        <f>IFERROR(__xludf.DUMMYFUNCTION("""COMPUTED_VALUE"""),"NDT2750")</f>
        <v>NDT2750</v>
      </c>
      <c r="D3433" s="87" t="str">
        <f>IFERROR(__xludf.DUMMYFUNCTION("""COMPUTED_VALUE"""),"[Nhãn thùng] GC - IV - 2750 - Cty Agritech Hà Lan  - Thipro 550EC - DIỆT RẦY THẦN TỐC (Nước tím) - 120ml - 100")</f>
        <v>[Nhãn thùng] GC - IV - 2750 - Cty Agritech Hà Lan  - Thipro 550EC - DIỆT RẦY THẦN TỐC (Nước tím) - 120ml - 100</v>
      </c>
      <c r="E3433" s="87" t="str">
        <f>IFERROR(__xludf.DUMMYFUNCTION("""COMPUTED_VALUE"""),"Thipro 550EC")</f>
        <v>Thipro 550EC</v>
      </c>
      <c r="F3433" s="87" t="str">
        <f>IFERROR(__xludf.DUMMYFUNCTION("""COMPUTED_VALUE"""),"HH2750")</f>
        <v>HH2750</v>
      </c>
      <c r="G3433" s="87" t="str">
        <f>IFERROR(__xludf.DUMMYFUNCTION("""COMPUTED_VALUE"""),"GC - IV - 2750 - Cty Agritech Hà Lan  - Thipro 550EC - DIỆT RẦY THẦN TỐC (Nước tím) - 120ml - 100")</f>
        <v>GC - IV - 2750 - Cty Agritech Hà Lan  - Thipro 550EC - DIỆT RẦY THẦN TỐC (Nước tím) - 120ml - 100</v>
      </c>
    </row>
    <row r="3434">
      <c r="A3434" s="86">
        <f>IFERROR(__xludf.DUMMYFUNCTION("""COMPUTED_VALUE"""),3432.0)</f>
        <v>3432</v>
      </c>
      <c r="B3434" s="87" t="str">
        <f>IFERROR(__xludf.DUMMYFUNCTION("""COMPUTED_VALUE"""),"Nhãn")</f>
        <v>Nhãn</v>
      </c>
      <c r="C3434" s="87" t="str">
        <f>IFERROR(__xludf.DUMMYFUNCTION("""COMPUTED_VALUE"""),"NHG2751")</f>
        <v>NHG2751</v>
      </c>
      <c r="D3434" s="87" t="str">
        <f>IFERROR(__xludf.DUMMYFUNCTION("""COMPUTED_VALUE"""),"[Nhãn] GC - IV - 2751 - Cty Agritech Hà Lan  - Thipro 550EC - ỐC XOÁY (Nước tím) - 120ml - 100")</f>
        <v>[Nhãn] GC - IV - 2751 - Cty Agritech Hà Lan  - Thipro 550EC - ỐC XOÁY (Nước tím) - 120ml - 100</v>
      </c>
      <c r="E3434" s="87" t="str">
        <f>IFERROR(__xludf.DUMMYFUNCTION("""COMPUTED_VALUE"""),"Thipro 550EC")</f>
        <v>Thipro 550EC</v>
      </c>
      <c r="F3434" s="87" t="str">
        <f>IFERROR(__xludf.DUMMYFUNCTION("""COMPUTED_VALUE"""),"HH2751")</f>
        <v>HH2751</v>
      </c>
      <c r="G3434" s="87" t="str">
        <f>IFERROR(__xludf.DUMMYFUNCTION("""COMPUTED_VALUE"""),"GC - IV - 2751 - Cty Agritech Hà Lan  - Thipro 550EC - ỐC XOÁY (Nước tím) - 120ml - 100")</f>
        <v>GC - IV - 2751 - Cty Agritech Hà Lan  - Thipro 550EC - ỐC XOÁY (Nước tím) - 120ml - 100</v>
      </c>
    </row>
    <row r="3435">
      <c r="A3435" s="86">
        <f>IFERROR(__xludf.DUMMYFUNCTION("""COMPUTED_VALUE"""),3433.0)</f>
        <v>3433</v>
      </c>
      <c r="B3435" s="87" t="str">
        <f>IFERROR(__xludf.DUMMYFUNCTION("""COMPUTED_VALUE"""),"Nhãn")</f>
        <v>Nhãn</v>
      </c>
      <c r="C3435" s="87" t="str">
        <f>IFERROR(__xludf.DUMMYFUNCTION("""COMPUTED_VALUE"""),"NHD2752")</f>
        <v>NHD2752</v>
      </c>
      <c r="D3435" s="87" t="str">
        <f>IFERROR(__xludf.DUMMYFUNCTION("""COMPUTED_VALUE"""),"[Nhãn] GC - II - 2752 - AGC - Nutri Bio King - (Gel nâu đen) - 5L - 4")</f>
        <v>[Nhãn] GC - II - 2752 - AGC - Nutri Bio King - (Gel nâu đen) - 5L - 4</v>
      </c>
      <c r="E3435" s="87" t="str">
        <f>IFERROR(__xludf.DUMMYFUNCTION("""COMPUTED_VALUE"""),"Vi lượng Quantity New")</f>
        <v>Vi lượng Quantity New</v>
      </c>
      <c r="F3435" s="87" t="str">
        <f>IFERROR(__xludf.DUMMYFUNCTION("""COMPUTED_VALUE"""),"HH2752")</f>
        <v>HH2752</v>
      </c>
      <c r="G3435" s="87" t="str">
        <f>IFERROR(__xludf.DUMMYFUNCTION("""COMPUTED_VALUE"""),"GC - II - 2752 - AGC - Nutri Bio King - (Gel nâu đen) - 5L - 4")</f>
        <v>GC - II - 2752 - AGC - Nutri Bio King - (Gel nâu đen) - 5L - 4</v>
      </c>
    </row>
    <row r="3436">
      <c r="A3436" s="86">
        <f>IFERROR(__xludf.DUMMYFUNCTION("""COMPUTED_VALUE"""),3434.0)</f>
        <v>3434</v>
      </c>
      <c r="B3436" s="87" t="str">
        <f>IFERROR(__xludf.DUMMYFUNCTION("""COMPUTED_VALUE"""),"Nhãn")</f>
        <v>Nhãn</v>
      </c>
      <c r="C3436" s="87" t="str">
        <f>IFERROR(__xludf.DUMMYFUNCTION("""COMPUTED_VALUE"""),"NHG2752")</f>
        <v>NHG2752</v>
      </c>
      <c r="D3436" s="87" t="str">
        <f>IFERROR(__xludf.DUMMYFUNCTION("""COMPUTED_VALUE"""),"[Nhãn] GC - II - 2752 - AGC - Nutri Bio King - (Gel nâu đen) - 5L - 4")</f>
        <v>[Nhãn] GC - II - 2752 - AGC - Nutri Bio King - (Gel nâu đen) - 5L - 4</v>
      </c>
      <c r="E3436" s="87" t="str">
        <f>IFERROR(__xludf.DUMMYFUNCTION("""COMPUTED_VALUE"""),"Vi lượng Quantity New")</f>
        <v>Vi lượng Quantity New</v>
      </c>
      <c r="F3436" s="87" t="str">
        <f>IFERROR(__xludf.DUMMYFUNCTION("""COMPUTED_VALUE"""),"HH2752")</f>
        <v>HH2752</v>
      </c>
      <c r="G3436" s="87" t="str">
        <f>IFERROR(__xludf.DUMMYFUNCTION("""COMPUTED_VALUE"""),"GC - II - 2752 - AGC - Nutri Bio King - (Gel nâu đen) - 5L - 4")</f>
        <v>GC - II - 2752 - AGC - Nutri Bio King - (Gel nâu đen) - 5L - 4</v>
      </c>
    </row>
    <row r="3437">
      <c r="A3437" s="86">
        <f>IFERROR(__xludf.DUMMYFUNCTION("""COMPUTED_VALUE"""),3435.0)</f>
        <v>3435</v>
      </c>
      <c r="B3437" s="87" t="str">
        <f>IFERROR(__xludf.DUMMYFUNCTION("""COMPUTED_VALUE"""),"Nhãn thùng")</f>
        <v>Nhãn thùng</v>
      </c>
      <c r="C3437" s="87" t="str">
        <f>IFERROR(__xludf.DUMMYFUNCTION("""COMPUTED_VALUE"""),"NDT2752")</f>
        <v>NDT2752</v>
      </c>
      <c r="D3437" s="87" t="str">
        <f>IFERROR(__xludf.DUMMYFUNCTION("""COMPUTED_VALUE"""),"[Nhãn thùng] GC - II - 2752 - AGC - Nutri Bio King - (Gel nâu đen) - 5L - 4")</f>
        <v>[Nhãn thùng] GC - II - 2752 - AGC - Nutri Bio King - (Gel nâu đen) - 5L - 4</v>
      </c>
      <c r="E3437" s="87" t="str">
        <f>IFERROR(__xludf.DUMMYFUNCTION("""COMPUTED_VALUE"""),"Vi lượng Quantity New")</f>
        <v>Vi lượng Quantity New</v>
      </c>
      <c r="F3437" s="87" t="str">
        <f>IFERROR(__xludf.DUMMYFUNCTION("""COMPUTED_VALUE"""),"HH2752")</f>
        <v>HH2752</v>
      </c>
      <c r="G3437" s="87" t="str">
        <f>IFERROR(__xludf.DUMMYFUNCTION("""COMPUTED_VALUE"""),"GC - II - 2752 - AGC - Nutri Bio King - (Gel nâu đen) - 5L - 4")</f>
        <v>GC - II - 2752 - AGC - Nutri Bio King - (Gel nâu đen) - 5L - 4</v>
      </c>
    </row>
    <row r="3438">
      <c r="A3438" s="86">
        <f>IFERROR(__xludf.DUMMYFUNCTION("""COMPUTED_VALUE"""),3436.0)</f>
        <v>3436</v>
      </c>
      <c r="B3438" s="87" t="str">
        <f>IFERROR(__xludf.DUMMYFUNCTION("""COMPUTED_VALUE"""),"Nhãn")</f>
        <v>Nhãn</v>
      </c>
      <c r="C3438" s="87" t="str">
        <f>IFERROR(__xludf.DUMMYFUNCTION("""COMPUTED_VALUE"""),"NHG2753")</f>
        <v>NHG2753</v>
      </c>
      <c r="D3438" s="87" t="str">
        <f>IFERROR(__xludf.DUMMYFUNCTION("""COMPUTED_VALUE"""),"[Nhãn] GC - IV - 2753 - VTNN Bảy Phận - TIGER (Nước nâu đen) - 450ml - 40")</f>
        <v>[Nhãn] GC - IV - 2753 - VTNN Bảy Phận - TIGER (Nước nâu đen) - 450ml - 40</v>
      </c>
      <c r="E3438" s="87" t="str">
        <f>IFERROR(__xludf.DUMMYFUNCTION("""COMPUTED_VALUE"""),"HAIHAMEC 3.6EC")</f>
        <v>HAIHAMEC 3.6EC</v>
      </c>
      <c r="F3438" s="87" t="str">
        <f>IFERROR(__xludf.DUMMYFUNCTION("""COMPUTED_VALUE"""),"HH2753")</f>
        <v>HH2753</v>
      </c>
      <c r="G3438" s="87" t="str">
        <f>IFERROR(__xludf.DUMMYFUNCTION("""COMPUTED_VALUE"""),"GC - IV - 2753 - VTNN Bảy Phận - TIGER (Nước nâu đen) - 450ml - 40")</f>
        <v>GC - IV - 2753 - VTNN Bảy Phận - TIGER (Nước nâu đen) - 450ml - 40</v>
      </c>
    </row>
    <row r="3439">
      <c r="A3439" s="86">
        <f>IFERROR(__xludf.DUMMYFUNCTION("""COMPUTED_VALUE"""),3437.0)</f>
        <v>3437</v>
      </c>
      <c r="B3439" s="87" t="str">
        <f>IFERROR(__xludf.DUMMYFUNCTION("""COMPUTED_VALUE"""),"Nhãn")</f>
        <v>Nhãn</v>
      </c>
      <c r="C3439" s="87" t="str">
        <f>IFERROR(__xludf.DUMMYFUNCTION("""COMPUTED_VALUE"""),"NHG2754")</f>
        <v>NHG2754</v>
      </c>
      <c r="D3439" s="87" t="str">
        <f>IFERROR(__xludf.DUMMYFUNCTION("""COMPUTED_VALUE"""),"[Nhãn] GC - IV - 2754 - NEWTECH CROP SCIENCE - MEKONG VIL 5SC (Nước trắng sữa) - 1L - 20")</f>
        <v>[Nhãn] GC - IV - 2754 - NEWTECH CROP SCIENCE - MEKONG VIL 5SC (Nước trắng sữa) - 1L - 20</v>
      </c>
      <c r="E3439" s="87" t="str">
        <f>IFERROR(__xludf.DUMMYFUNCTION("""COMPUTED_VALUE"""),"MEKONGVIL 5SC")</f>
        <v>MEKONGVIL 5SC</v>
      </c>
      <c r="F3439" s="87" t="str">
        <f>IFERROR(__xludf.DUMMYFUNCTION("""COMPUTED_VALUE"""),"HH2754")</f>
        <v>HH2754</v>
      </c>
      <c r="G3439" s="87" t="str">
        <f>IFERROR(__xludf.DUMMYFUNCTION("""COMPUTED_VALUE"""),"GC - IV - 2754 - NEWTECH CROP SCIENCE - MEKONG VIL 5SC (Nước trắng sữa) - 1L - 20")</f>
        <v>GC - IV - 2754 - NEWTECH CROP SCIENCE - MEKONG VIL 5SC (Nước trắng sữa) - 1L - 20</v>
      </c>
    </row>
    <row r="3440">
      <c r="A3440" s="86">
        <f>IFERROR(__xludf.DUMMYFUNCTION("""COMPUTED_VALUE"""),3438.0)</f>
        <v>3438</v>
      </c>
      <c r="B3440" s="87" t="str">
        <f>IFERROR(__xludf.DUMMYFUNCTION("""COMPUTED_VALUE"""),"Nhãn thùng")</f>
        <v>Nhãn thùng</v>
      </c>
      <c r="C3440" s="87" t="str">
        <f>IFERROR(__xludf.DUMMYFUNCTION("""COMPUTED_VALUE"""),"NDT2754")</f>
        <v>NDT2754</v>
      </c>
      <c r="D3440" s="87" t="str">
        <f>IFERROR(__xludf.DUMMYFUNCTION("""COMPUTED_VALUE"""),"[Nhãn thùng] GC - IV - 2754 - NEWTECH CROP SCIENCE - MEKONG VIL 5SC (Nước trắng sữa) - 1L - 20")</f>
        <v>[Nhãn thùng] GC - IV - 2754 - NEWTECH CROP SCIENCE - MEKONG VIL 5SC (Nước trắng sữa) - 1L - 20</v>
      </c>
      <c r="E3440" s="87" t="str">
        <f>IFERROR(__xludf.DUMMYFUNCTION("""COMPUTED_VALUE"""),"MEKONGVIL 5SC")</f>
        <v>MEKONGVIL 5SC</v>
      </c>
      <c r="F3440" s="87" t="str">
        <f>IFERROR(__xludf.DUMMYFUNCTION("""COMPUTED_VALUE"""),"HH2754")</f>
        <v>HH2754</v>
      </c>
      <c r="G3440" s="87" t="str">
        <f>IFERROR(__xludf.DUMMYFUNCTION("""COMPUTED_VALUE"""),"GC - IV - 2754 - NEWTECH CROP SCIENCE - MEKONG VIL 5SC (Nước trắng sữa) - 1L - 20")</f>
        <v>GC - IV - 2754 - NEWTECH CROP SCIENCE - MEKONG VIL 5SC (Nước trắng sữa) - 1L - 20</v>
      </c>
    </row>
    <row r="3441">
      <c r="A3441" s="86">
        <f>IFERROR(__xludf.DUMMYFUNCTION("""COMPUTED_VALUE"""),3439.0)</f>
        <v>3439</v>
      </c>
      <c r="B3441" s="87" t="str">
        <f>IFERROR(__xludf.DUMMYFUNCTION("""COMPUTED_VALUE"""),"Nhãn")</f>
        <v>Nhãn</v>
      </c>
      <c r="C3441" s="87" t="str">
        <f>IFERROR(__xludf.DUMMYFUNCTION("""COMPUTED_VALUE"""),"NHG2755")</f>
        <v>NHG2755</v>
      </c>
      <c r="D3441" s="87" t="str">
        <f>IFERROR(__xludf.DUMMYFUNCTION("""COMPUTED_VALUE"""),"[Nhãn] GC - IV - 2755 - VTNN Bảy Phận - CÁ KIẾM (Nước nâu đen) - 450ml - 40")</f>
        <v>[Nhãn] GC - IV - 2755 - VTNN Bảy Phận - CÁ KIẾM (Nước nâu đen) - 450ml - 40</v>
      </c>
      <c r="E3441" s="87" t="str">
        <f>IFERROR(__xludf.DUMMYFUNCTION("""COMPUTED_VALUE"""),"HAIHAMEC 3.6EC")</f>
        <v>HAIHAMEC 3.6EC</v>
      </c>
      <c r="F3441" s="87" t="str">
        <f>IFERROR(__xludf.DUMMYFUNCTION("""COMPUTED_VALUE"""),"HH2755")</f>
        <v>HH2755</v>
      </c>
      <c r="G3441" s="87" t="str">
        <f>IFERROR(__xludf.DUMMYFUNCTION("""COMPUTED_VALUE"""),"GC - IV - 2755 - VTNN Bảy Phận - CÁ KIẾM (Nước nâu đen) - 450ml - 40")</f>
        <v>GC - IV - 2755 - VTNN Bảy Phận - CÁ KIẾM (Nước nâu đen) - 450ml - 40</v>
      </c>
    </row>
    <row r="3442">
      <c r="A3442" s="86">
        <f>IFERROR(__xludf.DUMMYFUNCTION("""COMPUTED_VALUE"""),3440.0)</f>
        <v>3440</v>
      </c>
      <c r="B3442" s="87" t="str">
        <f>IFERROR(__xludf.DUMMYFUNCTION("""COMPUTED_VALUE"""),"Nhãn")</f>
        <v>Nhãn</v>
      </c>
      <c r="C3442" s="87" t="str">
        <f>IFERROR(__xludf.DUMMYFUNCTION("""COMPUTED_VALUE"""),"NHD2756")</f>
        <v>NHD2756</v>
      </c>
      <c r="D3442" s="87" t="str">
        <f>IFERROR(__xludf.DUMMYFUNCTION("""COMPUTED_VALUE"""),"[Nhãn] GC - IV - 2756 - Cty Master Win - ENERGROW (Gel nâu đen) - 1L - 20")</f>
        <v>[Nhãn] GC - IV - 2756 - Cty Master Win - ENERGROW (Gel nâu đen) - 1L - 20</v>
      </c>
      <c r="E3442" s="87" t="str">
        <f>IFERROR(__xludf.DUMMYFUNCTION("""COMPUTED_VALUE"""),"Hữu Cơ Crops Care")</f>
        <v>Hữu Cơ Crops Care</v>
      </c>
      <c r="F3442" s="87" t="str">
        <f>IFERROR(__xludf.DUMMYFUNCTION("""COMPUTED_VALUE"""),"HH2756")</f>
        <v>HH2756</v>
      </c>
      <c r="G3442" s="87" t="str">
        <f>IFERROR(__xludf.DUMMYFUNCTION("""COMPUTED_VALUE"""),"GC - IV - 2756 - Cty Master Win - ENERGROW (Gel nâu đen) - 1L - 20")</f>
        <v>GC - IV - 2756 - Cty Master Win - ENERGROW (Gel nâu đen) - 1L - 20</v>
      </c>
    </row>
    <row r="3443">
      <c r="A3443" s="86">
        <f>IFERROR(__xludf.DUMMYFUNCTION("""COMPUTED_VALUE"""),3441.0)</f>
        <v>3441</v>
      </c>
      <c r="B3443" s="87" t="str">
        <f>IFERROR(__xludf.DUMMYFUNCTION("""COMPUTED_VALUE"""),"Nhãn thùng")</f>
        <v>Nhãn thùng</v>
      </c>
      <c r="C3443" s="87" t="str">
        <f>IFERROR(__xludf.DUMMYFUNCTION("""COMPUTED_VALUE"""),"NDT2756")</f>
        <v>NDT2756</v>
      </c>
      <c r="D3443" s="87" t="str">
        <f>IFERROR(__xludf.DUMMYFUNCTION("""COMPUTED_VALUE"""),"[Nhãn thùng] GC - IV - 2756 - Cty Master Win - ENERGROW (Gel nâu đen) - 1L - 20")</f>
        <v>[Nhãn thùng] GC - IV - 2756 - Cty Master Win - ENERGROW (Gel nâu đen) - 1L - 20</v>
      </c>
      <c r="E3443" s="87" t="str">
        <f>IFERROR(__xludf.DUMMYFUNCTION("""COMPUTED_VALUE"""),"Hữu Cơ Crops Care")</f>
        <v>Hữu Cơ Crops Care</v>
      </c>
      <c r="F3443" s="87" t="str">
        <f>IFERROR(__xludf.DUMMYFUNCTION("""COMPUTED_VALUE"""),"HH2756")</f>
        <v>HH2756</v>
      </c>
      <c r="G3443" s="87" t="str">
        <f>IFERROR(__xludf.DUMMYFUNCTION("""COMPUTED_VALUE"""),"GC - IV - 2756 - Cty Master Win - ENERGROW (Gel nâu đen) - 1L - 20")</f>
        <v>GC - IV - 2756 - Cty Master Win - ENERGROW (Gel nâu đen) - 1L - 20</v>
      </c>
    </row>
    <row r="3444">
      <c r="A3444" s="86">
        <f>IFERROR(__xludf.DUMMYFUNCTION("""COMPUTED_VALUE"""),3442.0)</f>
        <v>3442</v>
      </c>
      <c r="B3444" s="87" t="str">
        <f>IFERROR(__xludf.DUMMYFUNCTION("""COMPUTED_VALUE"""),"Nhãn")</f>
        <v>Nhãn</v>
      </c>
      <c r="C3444" s="87" t="str">
        <f>IFERROR(__xludf.DUMMYFUNCTION("""COMPUTED_VALUE"""),"NHG2757")</f>
        <v>NHG2757</v>
      </c>
      <c r="D3444" s="87" t="str">
        <f>IFERROR(__xludf.DUMMYFUNCTION("""COMPUTED_VALUE"""),"[Nhãn] GC - IV - 2757 - NEWTECH CROP SCIENCE - AMICOL 360EC (Nước vàng trà) - 250ml - 40")</f>
        <v>[Nhãn] GC - IV - 2757 - NEWTECH CROP SCIENCE - AMICOL 360EC (Nước vàng trà) - 250ml - 40</v>
      </c>
      <c r="E3444" s="87" t="str">
        <f>IFERROR(__xludf.DUMMYFUNCTION("""COMPUTED_VALUE"""),"AMICOL 360EC")</f>
        <v>AMICOL 360EC</v>
      </c>
      <c r="F3444" s="87" t="str">
        <f>IFERROR(__xludf.DUMMYFUNCTION("""COMPUTED_VALUE"""),"HH2757")</f>
        <v>HH2757</v>
      </c>
      <c r="G3444" s="87" t="str">
        <f>IFERROR(__xludf.DUMMYFUNCTION("""COMPUTED_VALUE"""),"GC - IV - 2757 - NEWTECH CROP SCIENCE - AMICOL 360EC (Nước vàng trà) - 250ml - 40")</f>
        <v>GC - IV - 2757 - NEWTECH CROP SCIENCE - AMICOL 360EC (Nước vàng trà) - 250ml - 40</v>
      </c>
    </row>
    <row r="3445">
      <c r="A3445" s="86">
        <f>IFERROR(__xludf.DUMMYFUNCTION("""COMPUTED_VALUE"""),3443.0)</f>
        <v>3443</v>
      </c>
      <c r="B3445" s="87" t="str">
        <f>IFERROR(__xludf.DUMMYFUNCTION("""COMPUTED_VALUE"""),"Nhãn thùng")</f>
        <v>Nhãn thùng</v>
      </c>
      <c r="C3445" s="87" t="str">
        <f>IFERROR(__xludf.DUMMYFUNCTION("""COMPUTED_VALUE"""),"NDT2757")</f>
        <v>NDT2757</v>
      </c>
      <c r="D3445" s="87" t="str">
        <f>IFERROR(__xludf.DUMMYFUNCTION("""COMPUTED_VALUE"""),"[Nhãn thùng] GC - IV - 2757 - NEWTECH CROP SCIENCE - AMICOL 360EC (Nước vàng trà) - 250ml - 40")</f>
        <v>[Nhãn thùng] GC - IV - 2757 - NEWTECH CROP SCIENCE - AMICOL 360EC (Nước vàng trà) - 250ml - 40</v>
      </c>
      <c r="E3445" s="87" t="str">
        <f>IFERROR(__xludf.DUMMYFUNCTION("""COMPUTED_VALUE"""),"AMICOL 360EC")</f>
        <v>AMICOL 360EC</v>
      </c>
      <c r="F3445" s="87" t="str">
        <f>IFERROR(__xludf.DUMMYFUNCTION("""COMPUTED_VALUE"""),"HH2757")</f>
        <v>HH2757</v>
      </c>
      <c r="G3445" s="87" t="str">
        <f>IFERROR(__xludf.DUMMYFUNCTION("""COMPUTED_VALUE"""),"GC - IV - 2757 - NEWTECH CROP SCIENCE - AMICOL 360EC (Nước vàng trà) - 250ml - 40")</f>
        <v>GC - IV - 2757 - NEWTECH CROP SCIENCE - AMICOL 360EC (Nước vàng trà) - 250ml - 40</v>
      </c>
    </row>
    <row r="3446">
      <c r="A3446" s="86">
        <f>IFERROR(__xludf.DUMMYFUNCTION("""COMPUTED_VALUE"""),3444.0)</f>
        <v>3444</v>
      </c>
      <c r="B3446" s="87" t="str">
        <f>IFERROR(__xludf.DUMMYFUNCTION("""COMPUTED_VALUE"""),"Nhãn")</f>
        <v>Nhãn</v>
      </c>
      <c r="C3446" s="87" t="str">
        <f>IFERROR(__xludf.DUMMYFUNCTION("""COMPUTED_VALUE"""),"NHG2758")</f>
        <v>NHG2758</v>
      </c>
      <c r="D3446" s="87" t="str">
        <f>IFERROR(__xludf.DUMMYFUNCTION("""COMPUTED_VALUE"""),"[Nhãn] GC - IV - 2758 - CTY BIOCHEM TẤN PHÁT - RUN FAST (Nước trắng sữa) - 500ml - 40")</f>
        <v>[Nhãn] GC - IV - 2758 - CTY BIOCHEM TẤN PHÁT - RUN FAST (Nước trắng sữa) - 500ml - 40</v>
      </c>
      <c r="E3446" s="87" t="str">
        <f>IFERROR(__xludf.DUMMYFUNCTION("""COMPUTED_VALUE"""),"Vi lượng Run Fast")</f>
        <v>Vi lượng Run Fast</v>
      </c>
      <c r="F3446" s="87" t="str">
        <f>IFERROR(__xludf.DUMMYFUNCTION("""COMPUTED_VALUE"""),"HH2758")</f>
        <v>HH2758</v>
      </c>
      <c r="G3446" s="87" t="str">
        <f>IFERROR(__xludf.DUMMYFUNCTION("""COMPUTED_VALUE"""),"GC - IV - 2758 - CTY BIOCHEM TẤN PHÁT - RUN FAST (Nước trắng sữa) - 500ml - 40")</f>
        <v>GC - IV - 2758 - CTY BIOCHEM TẤN PHÁT - RUN FAST (Nước trắng sữa) - 500ml - 40</v>
      </c>
    </row>
    <row r="3447">
      <c r="A3447" s="86">
        <f>IFERROR(__xludf.DUMMYFUNCTION("""COMPUTED_VALUE"""),3445.0)</f>
        <v>3445</v>
      </c>
      <c r="B3447" s="87" t="str">
        <f>IFERROR(__xludf.DUMMYFUNCTION("""COMPUTED_VALUE"""),"Nhãn thùng")</f>
        <v>Nhãn thùng</v>
      </c>
      <c r="C3447" s="87" t="str">
        <f>IFERROR(__xludf.DUMMYFUNCTION("""COMPUTED_VALUE"""),"NDT2758")</f>
        <v>NDT2758</v>
      </c>
      <c r="D3447" s="87" t="str">
        <f>IFERROR(__xludf.DUMMYFUNCTION("""COMPUTED_VALUE"""),"[Nhãn thùng] GC - IV - 2758 - CTY BIOCHEM TẤN PHÁT - RUN FAST (Nước trắng sữa) - 500ml - 40")</f>
        <v>[Nhãn thùng] GC - IV - 2758 - CTY BIOCHEM TẤN PHÁT - RUN FAST (Nước trắng sữa) - 500ml - 40</v>
      </c>
      <c r="E3447" s="87" t="str">
        <f>IFERROR(__xludf.DUMMYFUNCTION("""COMPUTED_VALUE"""),"Vi lượng Run Fast")</f>
        <v>Vi lượng Run Fast</v>
      </c>
      <c r="F3447" s="87" t="str">
        <f>IFERROR(__xludf.DUMMYFUNCTION("""COMPUTED_VALUE"""),"HH2758")</f>
        <v>HH2758</v>
      </c>
      <c r="G3447" s="87" t="str">
        <f>IFERROR(__xludf.DUMMYFUNCTION("""COMPUTED_VALUE"""),"GC - IV - 2758 - CTY BIOCHEM TẤN PHÁT - RUN FAST (Nước trắng sữa) - 500ml - 40")</f>
        <v>GC - IV - 2758 - CTY BIOCHEM TẤN PHÁT - RUN FAST (Nước trắng sữa) - 500ml - 40</v>
      </c>
    </row>
    <row r="3448">
      <c r="A3448" s="86">
        <f>IFERROR(__xludf.DUMMYFUNCTION("""COMPUTED_VALUE"""),3446.0)</f>
        <v>3446</v>
      </c>
      <c r="B3448" s="87" t="str">
        <f>IFERROR(__xludf.DUMMYFUNCTION("""COMPUTED_VALUE"""),"Nhãn")</f>
        <v>Nhãn</v>
      </c>
      <c r="C3448" s="87" t="str">
        <f>IFERROR(__xludf.DUMMYFUNCTION("""COMPUTED_VALUE"""),"NHG2759")</f>
        <v>NHG2759</v>
      </c>
      <c r="D3448" s="87" t="str">
        <f>IFERROR(__xludf.DUMMYFUNCTION("""COMPUTED_VALUE"""),"[Nhãn] LOT IDA Global - I - 2759 - ĐL Kim Nga - Ema Thái (nước trong) - 400ml - 40")</f>
        <v>[Nhãn] LOT IDA Global - I - 2759 - ĐL Kim Nga - Ema Thái (nước trong) - 400ml - 40</v>
      </c>
      <c r="E3448" s="87" t="str">
        <f>IFERROR(__xludf.DUMMYFUNCTION("""COMPUTED_VALUE"""),"Creek 2.1EC")</f>
        <v>Creek 2.1EC</v>
      </c>
      <c r="F3448" s="87" t="str">
        <f>IFERROR(__xludf.DUMMYFUNCTION("""COMPUTED_VALUE"""),"HH2759")</f>
        <v>HH2759</v>
      </c>
      <c r="G3448" s="87" t="str">
        <f>IFERROR(__xludf.DUMMYFUNCTION("""COMPUTED_VALUE"""),"LOT IDA Global - I - 2759 - ĐL Kim Nga - Ema Thái (nước trong) - 400ml - 40")</f>
        <v>LOT IDA Global - I - 2759 - ĐL Kim Nga - Ema Thái (nước trong) - 400ml - 40</v>
      </c>
    </row>
    <row r="3449">
      <c r="A3449" s="86">
        <f>IFERROR(__xludf.DUMMYFUNCTION("""COMPUTED_VALUE"""),3447.0)</f>
        <v>3447</v>
      </c>
      <c r="B3449" s="87" t="str">
        <f>IFERROR(__xludf.DUMMYFUNCTION("""COMPUTED_VALUE"""),"Nhãn")</f>
        <v>Nhãn</v>
      </c>
      <c r="C3449" s="87" t="str">
        <f>IFERROR(__xludf.DUMMYFUNCTION("""COMPUTED_VALUE"""),"NHG2760")</f>
        <v>NHG2760</v>
      </c>
      <c r="D3449" s="87" t="str">
        <f>IFERROR(__xludf.DUMMYFUNCTION("""COMPUTED_VALUE"""),"[Nhãn] GC - IV - 2760 - NEWTECH CROP SCIENCE - JAPA VIL 110SC (Nước trắng sữa) - 1L - 20")</f>
        <v>[Nhãn] GC - IV - 2760 - NEWTECH CROP SCIENCE - JAPA VIL 110SC (Nước trắng sữa) - 1L - 20</v>
      </c>
      <c r="E3449" s="87" t="str">
        <f>IFERROR(__xludf.DUMMYFUNCTION("""COMPUTED_VALUE"""),"JAPA VIL 110SC")</f>
        <v>JAPA VIL 110SC</v>
      </c>
      <c r="F3449" s="87" t="str">
        <f>IFERROR(__xludf.DUMMYFUNCTION("""COMPUTED_VALUE"""),"HH2760")</f>
        <v>HH2760</v>
      </c>
      <c r="G3449" s="87" t="str">
        <f>IFERROR(__xludf.DUMMYFUNCTION("""COMPUTED_VALUE"""),"GC - IV - 2760 - NEWTECH CROP SCIENCE - JAPA VIL 110SC (Nước trắng sữa) - 1L - 20")</f>
        <v>GC - IV - 2760 - NEWTECH CROP SCIENCE - JAPA VIL 110SC (Nước trắng sữa) - 1L - 20</v>
      </c>
    </row>
    <row r="3450">
      <c r="A3450" s="86">
        <f>IFERROR(__xludf.DUMMYFUNCTION("""COMPUTED_VALUE"""),3448.0)</f>
        <v>3448</v>
      </c>
      <c r="B3450" s="87" t="str">
        <f>IFERROR(__xludf.DUMMYFUNCTION("""COMPUTED_VALUE"""),"Nhãn")</f>
        <v>Nhãn</v>
      </c>
      <c r="C3450" s="87" t="str">
        <f>IFERROR(__xludf.DUMMYFUNCTION("""COMPUTED_VALUE"""),"NHG2761")</f>
        <v>NHG2761</v>
      </c>
      <c r="D3450" s="87" t="str">
        <f>IFERROR(__xludf.DUMMYFUNCTION("""COMPUTED_VALUE"""),"[Nhãn] BAMBOO - II - 2761 - BAMBOO HEXA (Nước vàng) - 1L - 20")</f>
        <v>[Nhãn] BAMBOO - II - 2761 - BAMBOO HEXA (Nước vàng) - 1L - 20</v>
      </c>
      <c r="E3450" s="87" t="str">
        <f>IFERROR(__xludf.DUMMYFUNCTION("""COMPUTED_VALUE"""),"Mekongvil 5SC")</f>
        <v>Mekongvil 5SC</v>
      </c>
      <c r="F3450" s="87" t="str">
        <f>IFERROR(__xludf.DUMMYFUNCTION("""COMPUTED_VALUE"""),"HH2761")</f>
        <v>HH2761</v>
      </c>
      <c r="G3450" s="87" t="str">
        <f>IFERROR(__xludf.DUMMYFUNCTION("""COMPUTED_VALUE"""),"BAMBOO - II - 2761 - BAMBOO HEXA (Nước vàng) - 1L - 20")</f>
        <v>BAMBOO - II - 2761 - BAMBOO HEXA (Nước vàng) - 1L - 20</v>
      </c>
    </row>
    <row r="3451">
      <c r="A3451" s="86">
        <f>IFERROR(__xludf.DUMMYFUNCTION("""COMPUTED_VALUE"""),3449.0)</f>
        <v>3449</v>
      </c>
      <c r="B3451" s="87" t="str">
        <f>IFERROR(__xludf.DUMMYFUNCTION("""COMPUTED_VALUE"""),"Nhãn")</f>
        <v>Nhãn</v>
      </c>
      <c r="C3451" s="87" t="str">
        <f>IFERROR(__xludf.DUMMYFUNCTION("""COMPUTED_VALUE"""),"NTN2762")</f>
        <v>NTN2762</v>
      </c>
      <c r="D3451" s="87" t="str">
        <f>IFERROR(__xludf.DUMMYFUNCTION("""COMPUTED_VALUE"""),"[Nhãn] BAMBOO - II - 2762 - BAMBOO CHROLONIL (Bột trắng) - 100gr - 100")</f>
        <v>[Nhãn] BAMBOO - II - 2762 - BAMBOO CHROLONIL (Bột trắng) - 100gr - 100</v>
      </c>
      <c r="E3451" s="87" t="str">
        <f>IFERROR(__xludf.DUMMYFUNCTION("""COMPUTED_VALUE"""),"THALONIL 75WP")</f>
        <v>THALONIL 75WP</v>
      </c>
      <c r="F3451" s="87" t="str">
        <f>IFERROR(__xludf.DUMMYFUNCTION("""COMPUTED_VALUE"""),"HH2762")</f>
        <v>HH2762</v>
      </c>
      <c r="G3451" s="87" t="str">
        <f>IFERROR(__xludf.DUMMYFUNCTION("""COMPUTED_VALUE"""),"BAMBOO - II - 2762 - BAMBOO CHROLONIL (Bột trắng) - 100gr - 100")</f>
        <v>BAMBOO - II - 2762 - BAMBOO CHROLONIL (Bột trắng) - 100gr - 100</v>
      </c>
    </row>
    <row r="3452">
      <c r="A3452" s="86">
        <f>IFERROR(__xludf.DUMMYFUNCTION("""COMPUTED_VALUE"""),3450.0)</f>
        <v>3450</v>
      </c>
      <c r="B3452" s="87" t="str">
        <f>IFERROR(__xludf.DUMMYFUNCTION("""COMPUTED_VALUE"""),"Nhãn thùng")</f>
        <v>Nhãn thùng</v>
      </c>
      <c r="C3452" s="87" t="str">
        <f>IFERROR(__xludf.DUMMYFUNCTION("""COMPUTED_VALUE"""),"NDT2762")</f>
        <v>NDT2762</v>
      </c>
      <c r="D3452" s="87" t="str">
        <f>IFERROR(__xludf.DUMMYFUNCTION("""COMPUTED_VALUE"""),"[Nhãn thùng] BAMBOO - II - 2762 - BAMBOO CHROLONIL (Bột trắng) - 100gr - 100")</f>
        <v>[Nhãn thùng] BAMBOO - II - 2762 - BAMBOO CHROLONIL (Bột trắng) - 100gr - 100</v>
      </c>
      <c r="E3452" s="87" t="str">
        <f>IFERROR(__xludf.DUMMYFUNCTION("""COMPUTED_VALUE"""),"THALONIL 75WP")</f>
        <v>THALONIL 75WP</v>
      </c>
      <c r="F3452" s="87" t="str">
        <f>IFERROR(__xludf.DUMMYFUNCTION("""COMPUTED_VALUE"""),"HH2762")</f>
        <v>HH2762</v>
      </c>
      <c r="G3452" s="87" t="str">
        <f>IFERROR(__xludf.DUMMYFUNCTION("""COMPUTED_VALUE"""),"BAMBOO - II - 2762 - BAMBOO CHROLONIL (Bột trắng) - 100gr - 100")</f>
        <v>BAMBOO - II - 2762 - BAMBOO CHROLONIL (Bột trắng) - 100gr - 100</v>
      </c>
    </row>
    <row r="3453">
      <c r="A3453" s="86">
        <f>IFERROR(__xludf.DUMMYFUNCTION("""COMPUTED_VALUE"""),3451.0)</f>
        <v>3451</v>
      </c>
      <c r="B3453" s="87" t="str">
        <f>IFERROR(__xludf.DUMMYFUNCTION("""COMPUTED_VALUE"""),"Nhãn")</f>
        <v>Nhãn</v>
      </c>
      <c r="C3453" s="87" t="str">
        <f>IFERROR(__xludf.DUMMYFUNCTION("""COMPUTED_VALUE"""),"NTN2763")</f>
        <v>NTN2763</v>
      </c>
      <c r="D3453" s="87" t="str">
        <f>IFERROR(__xludf.DUMMYFUNCTION("""COMPUTED_VALUE"""),"[Nhãn] BAMBOO - II - 2763 - BAMBOO METALAXYL (Bột trắng) - 100gr - 100")</f>
        <v>[Nhãn] BAMBOO - II - 2763 - BAMBOO METALAXYL (Bột trắng) - 100gr - 100</v>
      </c>
      <c r="E3453" s="87" t="str">
        <f>IFERROR(__xludf.DUMMYFUNCTION("""COMPUTED_VALUE"""),"Acodyl 35WP")</f>
        <v>Acodyl 35WP</v>
      </c>
      <c r="F3453" s="87" t="str">
        <f>IFERROR(__xludf.DUMMYFUNCTION("""COMPUTED_VALUE"""),"HH2763")</f>
        <v>HH2763</v>
      </c>
      <c r="G3453" s="87" t="str">
        <f>IFERROR(__xludf.DUMMYFUNCTION("""COMPUTED_VALUE"""),"BAMBOO - II - 2763 - BAMBOO METALAXYL (Bột trắng) - 100gr - 100")</f>
        <v>BAMBOO - II - 2763 - BAMBOO METALAXYL (Bột trắng) - 100gr - 100</v>
      </c>
    </row>
    <row r="3454">
      <c r="A3454" s="86">
        <f>IFERROR(__xludf.DUMMYFUNCTION("""COMPUTED_VALUE"""),3452.0)</f>
        <v>3452</v>
      </c>
      <c r="B3454" s="87" t="str">
        <f>IFERROR(__xludf.DUMMYFUNCTION("""COMPUTED_VALUE"""),"Nhãn thùng")</f>
        <v>Nhãn thùng</v>
      </c>
      <c r="C3454" s="87" t="str">
        <f>IFERROR(__xludf.DUMMYFUNCTION("""COMPUTED_VALUE"""),"NDT2763")</f>
        <v>NDT2763</v>
      </c>
      <c r="D3454" s="87" t="str">
        <f>IFERROR(__xludf.DUMMYFUNCTION("""COMPUTED_VALUE"""),"[Nhãn thùng] BAMBOO - II - 2763 - BAMBOO METALAXYL (Bột trắng) - 100gr - 100")</f>
        <v>[Nhãn thùng] BAMBOO - II - 2763 - BAMBOO METALAXYL (Bột trắng) - 100gr - 100</v>
      </c>
      <c r="E3454" s="87" t="str">
        <f>IFERROR(__xludf.DUMMYFUNCTION("""COMPUTED_VALUE"""),"Acodyl 35WP")</f>
        <v>Acodyl 35WP</v>
      </c>
      <c r="F3454" s="87" t="str">
        <f>IFERROR(__xludf.DUMMYFUNCTION("""COMPUTED_VALUE"""),"HH2763")</f>
        <v>HH2763</v>
      </c>
      <c r="G3454" s="87" t="str">
        <f>IFERROR(__xludf.DUMMYFUNCTION("""COMPUTED_VALUE"""),"BAMBOO - II - 2763 - BAMBOO METALAXYL (Bột trắng) - 100gr - 100")</f>
        <v>BAMBOO - II - 2763 - BAMBOO METALAXYL (Bột trắng) - 100gr - 100</v>
      </c>
    </row>
    <row r="3455">
      <c r="A3455" s="86">
        <f>IFERROR(__xludf.DUMMYFUNCTION("""COMPUTED_VALUE"""),3453.0)</f>
        <v>3453</v>
      </c>
      <c r="B3455" s="87" t="str">
        <f>IFERROR(__xludf.DUMMYFUNCTION("""COMPUTED_VALUE"""),"Nhãn")</f>
        <v>Nhãn</v>
      </c>
      <c r="C3455" s="87" t="str">
        <f>IFERROR(__xludf.DUMMYFUNCTION("""COMPUTED_VALUE"""),"NTN2764")</f>
        <v>NTN2764</v>
      </c>
      <c r="D3455" s="87" t="str">
        <f>IFERROR(__xludf.DUMMYFUNCTION("""COMPUTED_VALUE"""),"[Nhãn] BAMBOO - II - 2764 - BAMBOO MANCO (Bột xanh) - 1kg - 20")</f>
        <v>[Nhãn] BAMBOO - II - 2764 - BAMBOO MANCO (Bột xanh) - 1kg - 20</v>
      </c>
      <c r="E3455" s="87" t="str">
        <f>IFERROR(__xludf.DUMMYFUNCTION("""COMPUTED_VALUE"""),"MANCOBGO 80WP")</f>
        <v>MANCOBGO 80WP</v>
      </c>
      <c r="F3455" s="87" t="str">
        <f>IFERROR(__xludf.DUMMYFUNCTION("""COMPUTED_VALUE"""),"HH2764")</f>
        <v>HH2764</v>
      </c>
      <c r="G3455" s="87" t="str">
        <f>IFERROR(__xludf.DUMMYFUNCTION("""COMPUTED_VALUE"""),"BAMBOO - II - 2764 - BAMBOO MANCO (Bột xanh) - 1kg - 20")</f>
        <v>BAMBOO - II - 2764 - BAMBOO MANCO (Bột xanh) - 1kg - 20</v>
      </c>
    </row>
    <row r="3456">
      <c r="A3456" s="86">
        <f>IFERROR(__xludf.DUMMYFUNCTION("""COMPUTED_VALUE"""),3454.0)</f>
        <v>3454</v>
      </c>
      <c r="B3456" s="87" t="str">
        <f>IFERROR(__xludf.DUMMYFUNCTION("""COMPUTED_VALUE"""),"Nhãn thùng")</f>
        <v>Nhãn thùng</v>
      </c>
      <c r="C3456" s="87" t="str">
        <f>IFERROR(__xludf.DUMMYFUNCTION("""COMPUTED_VALUE"""),"NDT2764")</f>
        <v>NDT2764</v>
      </c>
      <c r="D3456" s="87" t="str">
        <f>IFERROR(__xludf.DUMMYFUNCTION("""COMPUTED_VALUE"""),"[Nhãn thùng] BAMBOO - II - 2764 - BAMBOO MANCO (Bột xanh) - 1kg - 20")</f>
        <v>[Nhãn thùng] BAMBOO - II - 2764 - BAMBOO MANCO (Bột xanh) - 1kg - 20</v>
      </c>
      <c r="E3456" s="87" t="str">
        <f>IFERROR(__xludf.DUMMYFUNCTION("""COMPUTED_VALUE"""),"MANCOBGO 80WP")</f>
        <v>MANCOBGO 80WP</v>
      </c>
      <c r="F3456" s="87" t="str">
        <f>IFERROR(__xludf.DUMMYFUNCTION("""COMPUTED_VALUE"""),"HH2764")</f>
        <v>HH2764</v>
      </c>
      <c r="G3456" s="87" t="str">
        <f>IFERROR(__xludf.DUMMYFUNCTION("""COMPUTED_VALUE"""),"BAMBOO - II - 2764 - BAMBOO MANCO (Bột xanh) - 1kg - 20")</f>
        <v>BAMBOO - II - 2764 - BAMBOO MANCO (Bột xanh) - 1kg - 20</v>
      </c>
    </row>
    <row r="3457">
      <c r="A3457" s="86">
        <f>IFERROR(__xludf.DUMMYFUNCTION("""COMPUTED_VALUE"""),3455.0)</f>
        <v>3455</v>
      </c>
      <c r="B3457" s="87" t="str">
        <f>IFERROR(__xludf.DUMMYFUNCTION("""COMPUTED_VALUE"""),"Nhãn")</f>
        <v>Nhãn</v>
      </c>
      <c r="C3457" s="87" t="str">
        <f>IFERROR(__xludf.DUMMYFUNCTION("""COMPUTED_VALUE"""),"NHG2765")</f>
        <v>NHG2765</v>
      </c>
      <c r="D3457" s="87" t="str">
        <f>IFERROR(__xludf.DUMMYFUNCTION("""COMPUTED_VALUE"""),"[Nhãn] BAMBOO - II - 2765 - BAMBOO FENO (Nước tím) - 450ml - 40")</f>
        <v>[Nhãn] BAMBOO - II - 2765 - BAMBOO FENO (Nước tím) - 450ml - 40</v>
      </c>
      <c r="E3457" s="87" t="str">
        <f>IFERROR(__xludf.DUMMYFUNCTION("""COMPUTED_VALUE"""),"ABASBA 50EC")</f>
        <v>ABASBA 50EC</v>
      </c>
      <c r="F3457" s="87" t="str">
        <f>IFERROR(__xludf.DUMMYFUNCTION("""COMPUTED_VALUE"""),"HH2765")</f>
        <v>HH2765</v>
      </c>
      <c r="G3457" s="87" t="str">
        <f>IFERROR(__xludf.DUMMYFUNCTION("""COMPUTED_VALUE"""),"BAMBOO - II - 2765 - BAMBOO FENO (Nước tím) - 450ml - 40")</f>
        <v>BAMBOO - II - 2765 - BAMBOO FENO (Nước tím) - 450ml - 40</v>
      </c>
    </row>
    <row r="3458">
      <c r="A3458" s="86">
        <f>IFERROR(__xludf.DUMMYFUNCTION("""COMPUTED_VALUE"""),3456.0)</f>
        <v>3456</v>
      </c>
      <c r="B3458" s="87" t="str">
        <f>IFERROR(__xludf.DUMMYFUNCTION("""COMPUTED_VALUE"""),"Nhãn")</f>
        <v>Nhãn</v>
      </c>
      <c r="C3458" s="87" t="str">
        <f>IFERROR(__xludf.DUMMYFUNCTION("""COMPUTED_VALUE"""),"NTN2766")</f>
        <v>NTN2766</v>
      </c>
      <c r="D3458" s="87" t="str">
        <f>IFERROR(__xludf.DUMMYFUNCTION("""COMPUTED_VALUE"""),"[Nhãn] GC - IV - 2766 - NEWTECH CROP SCIENCE - MAKEGREEN 55WG (Bột trắng ngà) - 120gr - 100")</f>
        <v>[Nhãn] GC - IV - 2766 - NEWTECH CROP SCIENCE - MAKEGREEN 55WG (Bột trắng ngà) - 120gr - 100</v>
      </c>
      <c r="E3458" s="87" t="str">
        <f>IFERROR(__xludf.DUMMYFUNCTION("""COMPUTED_VALUE"""),"MAKEGREEN 55WG")</f>
        <v>MAKEGREEN 55WG</v>
      </c>
      <c r="F3458" s="87" t="str">
        <f>IFERROR(__xludf.DUMMYFUNCTION("""COMPUTED_VALUE"""),"HH2766")</f>
        <v>HH2766</v>
      </c>
      <c r="G3458" s="87" t="str">
        <f>IFERROR(__xludf.DUMMYFUNCTION("""COMPUTED_VALUE"""),"GC - IV - 2766 - NEWTECH CROP SCIENCE - MAKEGREEN 55WG (Bột trắng ngà) - 120gr - 100")</f>
        <v>GC - IV - 2766 - NEWTECH CROP SCIENCE - MAKEGREEN 55WG (Bột trắng ngà) - 120gr - 100</v>
      </c>
    </row>
    <row r="3459">
      <c r="A3459" s="86">
        <f>IFERROR(__xludf.DUMMYFUNCTION("""COMPUTED_VALUE"""),3457.0)</f>
        <v>3457</v>
      </c>
      <c r="B3459" s="87" t="str">
        <f>IFERROR(__xludf.DUMMYFUNCTION("""COMPUTED_VALUE"""),"Nhãn")</f>
        <v>Nhãn</v>
      </c>
      <c r="C3459" s="87" t="str">
        <f>IFERROR(__xludf.DUMMYFUNCTION("""COMPUTED_VALUE"""),"NHG2769")</f>
        <v>NHG2769</v>
      </c>
      <c r="D3459" s="87" t="str">
        <f>IFERROR(__xludf.DUMMYFUNCTION("""COMPUTED_VALUE"""),"[Nhãn] GC - IV - 2769 - THÀNH CÔNG AGRI - MASTER CABO (Nước trắng sữa) - 500ml - 30")</f>
        <v>[Nhãn] GC - IV - 2769 - THÀNH CÔNG AGRI - MASTER CABO (Nước trắng sữa) - 500ml - 30</v>
      </c>
      <c r="E3459" s="87" t="str">
        <f>IFERROR(__xludf.DUMMYFUNCTION("""COMPUTED_VALUE"""),"Vi lượng AGAMA-CANXI BO")</f>
        <v>Vi lượng AGAMA-CANXI BO</v>
      </c>
      <c r="F3459" s="87" t="str">
        <f>IFERROR(__xludf.DUMMYFUNCTION("""COMPUTED_VALUE"""),"HH2769")</f>
        <v>HH2769</v>
      </c>
      <c r="G3459" s="87" t="str">
        <f>IFERROR(__xludf.DUMMYFUNCTION("""COMPUTED_VALUE"""),"GC - IV - 2769 - THÀNH CÔNG AGRI - MASTER CABO (Nước trắng sữa) - 500ml - 30")</f>
        <v>GC - IV - 2769 - THÀNH CÔNG AGRI - MASTER CABO (Nước trắng sữa) - 500ml - 30</v>
      </c>
    </row>
    <row r="3460">
      <c r="A3460" s="86">
        <f>IFERROR(__xludf.DUMMYFUNCTION("""COMPUTED_VALUE"""),3458.0)</f>
        <v>3458</v>
      </c>
      <c r="B3460" s="87" t="str">
        <f>IFERROR(__xludf.DUMMYFUNCTION("""COMPUTED_VALUE"""),"Nhãn")</f>
        <v>Nhãn</v>
      </c>
      <c r="C3460" s="87" t="str">
        <f>IFERROR(__xludf.DUMMYFUNCTION("""COMPUTED_VALUE"""),"NHG2770")</f>
        <v>NHG2770</v>
      </c>
      <c r="D3460" s="87" t="str">
        <f>IFERROR(__xludf.DUMMYFUNCTION("""COMPUTED_VALUE"""),"[Nhãn] GC - IV - 2770 - AGRICARE ÚC - THIPRO 550EC (nước tím) - 250ml - 40")</f>
        <v>[Nhãn] GC - IV - 2770 - AGRICARE ÚC - THIPRO 550EC (nước tím) - 250ml - 40</v>
      </c>
      <c r="E3460" s="87" t="str">
        <f>IFERROR(__xludf.DUMMYFUNCTION("""COMPUTED_VALUE"""),"Thipro 550EC")</f>
        <v>Thipro 550EC</v>
      </c>
      <c r="F3460" s="87" t="str">
        <f>IFERROR(__xludf.DUMMYFUNCTION("""COMPUTED_VALUE"""),"HH2770")</f>
        <v>HH2770</v>
      </c>
      <c r="G3460" s="87" t="str">
        <f>IFERROR(__xludf.DUMMYFUNCTION("""COMPUTED_VALUE"""),"GC - IV - 2770 - AGRICARE ÚC - THIPRO 550EC (nước tím) - 250ml - 40")</f>
        <v>GC - IV - 2770 - AGRICARE ÚC - THIPRO 550EC (nước tím) - 250ml - 40</v>
      </c>
    </row>
    <row r="3461">
      <c r="A3461" s="86">
        <f>IFERROR(__xludf.DUMMYFUNCTION("""COMPUTED_VALUE"""),3459.0)</f>
        <v>3459</v>
      </c>
      <c r="B3461" s="87" t="str">
        <f>IFERROR(__xludf.DUMMYFUNCTION("""COMPUTED_VALUE"""),"Nhãn")</f>
        <v>Nhãn</v>
      </c>
      <c r="C3461" s="87" t="str">
        <f>IFERROR(__xludf.DUMMYFUNCTION("""COMPUTED_VALUE"""),"NHG2771")</f>
        <v>NHG2771</v>
      </c>
      <c r="D3461" s="87" t="str">
        <f>IFERROR(__xludf.DUMMYFUNCTION("""COMPUTED_VALUE"""),"[Nhãn] GC - IV - 2771 - SEN HỒNG - BRETIL SUPER 300EC (Nước trắng sữa) - 240ml - 40")</f>
        <v>[Nhãn] GC - IV - 2771 - SEN HỒNG - BRETIL SUPER 300EC (Nước trắng sữa) - 240ml - 40</v>
      </c>
      <c r="E3461" s="87" t="str">
        <f>IFERROR(__xludf.DUMMYFUNCTION("""COMPUTED_VALUE"""),"BRETIL SUPER 300EC")</f>
        <v>BRETIL SUPER 300EC</v>
      </c>
      <c r="F3461" s="87" t="str">
        <f>IFERROR(__xludf.DUMMYFUNCTION("""COMPUTED_VALUE"""),"HH2771")</f>
        <v>HH2771</v>
      </c>
      <c r="G3461" s="87" t="str">
        <f>IFERROR(__xludf.DUMMYFUNCTION("""COMPUTED_VALUE"""),"GC - IV - 2771 - SEN HỒNG - BRETIL SUPER 300EC (Nước trắng sữa) - 240ml - 40")</f>
        <v>GC - IV - 2771 - SEN HỒNG - BRETIL SUPER 300EC (Nước trắng sữa) - 240ml - 40</v>
      </c>
    </row>
    <row r="3462">
      <c r="A3462" s="86">
        <f>IFERROR(__xludf.DUMMYFUNCTION("""COMPUTED_VALUE"""),3460.0)</f>
        <v>3460</v>
      </c>
      <c r="B3462" s="87" t="str">
        <f>IFERROR(__xludf.DUMMYFUNCTION("""COMPUTED_VALUE"""),"Nhãn")</f>
        <v>Nhãn</v>
      </c>
      <c r="C3462" s="87" t="str">
        <f>IFERROR(__xludf.DUMMYFUNCTION("""COMPUTED_VALUE"""),"NHG2772")</f>
        <v>NHG2772</v>
      </c>
      <c r="D3462" s="87" t="str">
        <f>IFERROR(__xludf.DUMMYFUNCTION("""COMPUTED_VALUE"""),"[Nhãn] GC - IV - 2772 - NEWTECH CROP SCIENCE - NEW PLANT (Nước nâu đen) - 500ml - 40 (30)")</f>
        <v>[Nhãn] GC - IV - 2772 - NEWTECH CROP SCIENCE - NEW PLANT (Nước nâu đen) - 500ml - 40 (30)</v>
      </c>
      <c r="E3462" s="87" t="str">
        <f>IFERROR(__xludf.DUMMYFUNCTION("""COMPUTED_VALUE"""),"Hỗn Hợp NP AGAMA-AP")</f>
        <v>Hỗn Hợp NP AGAMA-AP</v>
      </c>
      <c r="F3462" s="87" t="str">
        <f>IFERROR(__xludf.DUMMYFUNCTION("""COMPUTED_VALUE"""),"HH2772")</f>
        <v>HH2772</v>
      </c>
      <c r="G3462" s="87" t="str">
        <f>IFERROR(__xludf.DUMMYFUNCTION("""COMPUTED_VALUE"""),"GC - IV - 2772 - NEWTECH CROP SCIENCE - NEW PLANT (Nước nâu đen) - 500ml - 40 (30)")</f>
        <v>GC - IV - 2772 - NEWTECH CROP SCIENCE - NEW PLANT (Nước nâu đen) - 500ml - 40 (30)</v>
      </c>
    </row>
    <row r="3463">
      <c r="A3463" s="86">
        <f>IFERROR(__xludf.DUMMYFUNCTION("""COMPUTED_VALUE"""),3461.0)</f>
        <v>3461</v>
      </c>
      <c r="B3463" s="87" t="str">
        <f>IFERROR(__xludf.DUMMYFUNCTION("""COMPUTED_VALUE"""),"Nhãn")</f>
        <v>Nhãn</v>
      </c>
      <c r="C3463" s="87" t="str">
        <f>IFERROR(__xludf.DUMMYFUNCTION("""COMPUTED_VALUE"""),"NHG2773")</f>
        <v>NHG2773</v>
      </c>
      <c r="D3463" s="87" t="str">
        <f>IFERROR(__xludf.DUMMYFUNCTION("""COMPUTED_VALUE"""),"[Nhãn] GC - IV - 2773 - NEWTECH CROP SCIENCE - NEW STOP (Nước nâu đen) - 500ml - 30")</f>
        <v>[Nhãn] GC - IV - 2773 - NEWTECH CROP SCIENCE - NEW STOP (Nước nâu đen) - 500ml - 30</v>
      </c>
      <c r="E3463" s="87" t="str">
        <f>IFERROR(__xludf.DUMMYFUNCTION("""COMPUTED_VALUE"""),"Hữu cơ Organic BM Gold  FW")</f>
        <v>Hữu cơ Organic BM Gold  FW</v>
      </c>
      <c r="F3463" s="87" t="str">
        <f>IFERROR(__xludf.DUMMYFUNCTION("""COMPUTED_VALUE"""),"HH2773")</f>
        <v>HH2773</v>
      </c>
      <c r="G3463" s="87" t="str">
        <f>IFERROR(__xludf.DUMMYFUNCTION("""COMPUTED_VALUE"""),"GC - IV - 2773 - NEWTECH CROP SCIENCE - NEW STOP (Nước nâu đen) - 500ml - 30")</f>
        <v>GC - IV - 2773 - NEWTECH CROP SCIENCE - NEW STOP (Nước nâu đen) - 500ml - 30</v>
      </c>
    </row>
    <row r="3464">
      <c r="A3464" s="86">
        <f>IFERROR(__xludf.DUMMYFUNCTION("""COMPUTED_VALUE"""),3462.0)</f>
        <v>3462</v>
      </c>
      <c r="B3464" s="87" t="str">
        <f>IFERROR(__xludf.DUMMYFUNCTION("""COMPUTED_VALUE"""),"Nhãn thùng")</f>
        <v>Nhãn thùng</v>
      </c>
      <c r="C3464" s="87" t="str">
        <f>IFERROR(__xludf.DUMMYFUNCTION("""COMPUTED_VALUE"""),"NDT2773")</f>
        <v>NDT2773</v>
      </c>
      <c r="D3464" s="87" t="str">
        <f>IFERROR(__xludf.DUMMYFUNCTION("""COMPUTED_VALUE"""),"[Nhãn thùng] GC - IV - 2773 - NEWTECH CROP SCIENCE - NEW STOP (Nước nâu đen) - 500ml - 30")</f>
        <v>[Nhãn thùng] GC - IV - 2773 - NEWTECH CROP SCIENCE - NEW STOP (Nước nâu đen) - 500ml - 30</v>
      </c>
      <c r="E3464" s="87" t="str">
        <f>IFERROR(__xludf.DUMMYFUNCTION("""COMPUTED_VALUE"""),"Hữu cơ Organic BM Gold  FW")</f>
        <v>Hữu cơ Organic BM Gold  FW</v>
      </c>
      <c r="F3464" s="87" t="str">
        <f>IFERROR(__xludf.DUMMYFUNCTION("""COMPUTED_VALUE"""),"HH2773")</f>
        <v>HH2773</v>
      </c>
      <c r="G3464" s="87" t="str">
        <f>IFERROR(__xludf.DUMMYFUNCTION("""COMPUTED_VALUE"""),"GC - IV - 2773 - NEWTECH CROP SCIENCE - NEW STOP (Nước nâu đen) - 500ml - 30")</f>
        <v>GC - IV - 2773 - NEWTECH CROP SCIENCE - NEW STOP (Nước nâu đen) - 500ml - 30</v>
      </c>
    </row>
    <row r="3465">
      <c r="A3465" s="86">
        <f>IFERROR(__xludf.DUMMYFUNCTION("""COMPUTED_VALUE"""),3463.0)</f>
        <v>3463</v>
      </c>
      <c r="B3465" s="87" t="str">
        <f>IFERROR(__xludf.DUMMYFUNCTION("""COMPUTED_VALUE"""),"Nhãn")</f>
        <v>Nhãn</v>
      </c>
      <c r="C3465" s="87" t="str">
        <f>IFERROR(__xludf.DUMMYFUNCTION("""COMPUTED_VALUE"""),"NHG2774")</f>
        <v>NHG2774</v>
      </c>
      <c r="D3465" s="87" t="str">
        <f>IFERROR(__xludf.DUMMYFUNCTION("""COMPUTED_VALUE"""),"[Nhãn] GC - IV - 2774 - NEWTECH CROP SCIENCE - NEW PH (Gel nâu đen) - 1L - 20")</f>
        <v>[Nhãn] GC - IV - 2774 - NEWTECH CROP SCIENCE - NEW PH (Gel nâu đen) - 1L - 20</v>
      </c>
      <c r="E3465" s="87" t="str">
        <f>IFERROR(__xludf.DUMMYFUNCTION("""COMPUTED_VALUE"""),"Hữu cơ SH Agro Organic Fertilizer 20")</f>
        <v>Hữu cơ SH Agro Organic Fertilizer 20</v>
      </c>
      <c r="F3465" s="87" t="str">
        <f>IFERROR(__xludf.DUMMYFUNCTION("""COMPUTED_VALUE"""),"HH2774")</f>
        <v>HH2774</v>
      </c>
      <c r="G3465" s="87" t="str">
        <f>IFERROR(__xludf.DUMMYFUNCTION("""COMPUTED_VALUE"""),"GC - IV - 2774 - NEWTECH CROP SCIENCE - NEW PH (Gel nâu đen) - 1L - 20")</f>
        <v>GC - IV - 2774 - NEWTECH CROP SCIENCE - NEW PH (Gel nâu đen) - 1L - 20</v>
      </c>
    </row>
    <row r="3466">
      <c r="A3466" s="86">
        <f>IFERROR(__xludf.DUMMYFUNCTION("""COMPUTED_VALUE"""),3464.0)</f>
        <v>3464</v>
      </c>
      <c r="B3466" s="87" t="str">
        <f>IFERROR(__xludf.DUMMYFUNCTION("""COMPUTED_VALUE"""),"Nhãn thùng")</f>
        <v>Nhãn thùng</v>
      </c>
      <c r="C3466" s="87" t="str">
        <f>IFERROR(__xludf.DUMMYFUNCTION("""COMPUTED_VALUE"""),"NDT2774")</f>
        <v>NDT2774</v>
      </c>
      <c r="D3466" s="87" t="str">
        <f>IFERROR(__xludf.DUMMYFUNCTION("""COMPUTED_VALUE"""),"[Nhãn thùng] GC - IV - 2774 - NEWTECH CROP SCIENCE - NEW PH (Gel nâu đen) - 1L - 20")</f>
        <v>[Nhãn thùng] GC - IV - 2774 - NEWTECH CROP SCIENCE - NEW PH (Gel nâu đen) - 1L - 20</v>
      </c>
      <c r="E3466" s="87" t="str">
        <f>IFERROR(__xludf.DUMMYFUNCTION("""COMPUTED_VALUE"""),"Hữu cơ SH Agro Organic Fertilizer 20")</f>
        <v>Hữu cơ SH Agro Organic Fertilizer 20</v>
      </c>
      <c r="F3466" s="87" t="str">
        <f>IFERROR(__xludf.DUMMYFUNCTION("""COMPUTED_VALUE"""),"HH2774")</f>
        <v>HH2774</v>
      </c>
      <c r="G3466" s="87" t="str">
        <f>IFERROR(__xludf.DUMMYFUNCTION("""COMPUTED_VALUE"""),"GC - IV - 2774 - NEWTECH CROP SCIENCE - NEW PH (Gel nâu đen) - 1L - 20")</f>
        <v>GC - IV - 2774 - NEWTECH CROP SCIENCE - NEW PH (Gel nâu đen) - 1L - 20</v>
      </c>
    </row>
    <row r="3467">
      <c r="A3467" s="86">
        <f>IFERROR(__xludf.DUMMYFUNCTION("""COMPUTED_VALUE"""),3465.0)</f>
        <v>3465</v>
      </c>
      <c r="B3467" s="87" t="str">
        <f>IFERROR(__xludf.DUMMYFUNCTION("""COMPUTED_VALUE"""),"Nhãn")</f>
        <v>Nhãn</v>
      </c>
      <c r="C3467" s="87" t="str">
        <f>IFERROR(__xludf.DUMMYFUNCTION("""COMPUTED_VALUE"""),"NHG2775")</f>
        <v>NHG2775</v>
      </c>
      <c r="D3467" s="87" t="str">
        <f>IFERROR(__xludf.DUMMYFUNCTION("""COMPUTED_VALUE"""),"[Nhãn] GC - IV - 2775 - NEWTECH CROP SCIENCE - NEW CARBO (Gel vàng mật ong) - 500ml - 30")</f>
        <v>[Nhãn] GC - IV - 2775 - NEWTECH CROP SCIENCE - NEW CARBO (Gel vàng mật ong) - 500ml - 30</v>
      </c>
      <c r="E3467" s="87" t="str">
        <f>IFERROR(__xludf.DUMMYFUNCTION("""COMPUTED_VALUE"""),"Vi lượng Run Fast")</f>
        <v>Vi lượng Run Fast</v>
      </c>
      <c r="F3467" s="87" t="str">
        <f>IFERROR(__xludf.DUMMYFUNCTION("""COMPUTED_VALUE"""),"HH2775")</f>
        <v>HH2775</v>
      </c>
      <c r="G3467" s="87" t="str">
        <f>IFERROR(__xludf.DUMMYFUNCTION("""COMPUTED_VALUE"""),"GC - IV - 2775 - NEWTECH CROP SCIENCE - NEW CARBO (Gel vàng mật ong) - 500ml - 30")</f>
        <v>GC - IV - 2775 - NEWTECH CROP SCIENCE - NEW CARBO (Gel vàng mật ong) - 500ml - 30</v>
      </c>
    </row>
    <row r="3468">
      <c r="A3468" s="86">
        <f>IFERROR(__xludf.DUMMYFUNCTION("""COMPUTED_VALUE"""),3466.0)</f>
        <v>3466</v>
      </c>
      <c r="B3468" s="87" t="str">
        <f>IFERROR(__xludf.DUMMYFUNCTION("""COMPUTED_VALUE"""),"Nhãn thùng")</f>
        <v>Nhãn thùng</v>
      </c>
      <c r="C3468" s="87" t="str">
        <f>IFERROR(__xludf.DUMMYFUNCTION("""COMPUTED_VALUE"""),"NDT2775")</f>
        <v>NDT2775</v>
      </c>
      <c r="D3468" s="87" t="str">
        <f>IFERROR(__xludf.DUMMYFUNCTION("""COMPUTED_VALUE"""),"[Nhãn thùng] GC - IV - 2775 - NEWTECH CROP SCIENCE - NEW CARBO (Gel vàng mật ong) - 500ml - 30")</f>
        <v>[Nhãn thùng] GC - IV - 2775 - NEWTECH CROP SCIENCE - NEW CARBO (Gel vàng mật ong) - 500ml - 30</v>
      </c>
      <c r="E3468" s="87" t="str">
        <f>IFERROR(__xludf.DUMMYFUNCTION("""COMPUTED_VALUE"""),"Vi lượng Run Fast")</f>
        <v>Vi lượng Run Fast</v>
      </c>
      <c r="F3468" s="87" t="str">
        <f>IFERROR(__xludf.DUMMYFUNCTION("""COMPUTED_VALUE"""),"HH2775")</f>
        <v>HH2775</v>
      </c>
      <c r="G3468" s="87" t="str">
        <f>IFERROR(__xludf.DUMMYFUNCTION("""COMPUTED_VALUE"""),"GC - IV - 2775 - NEWTECH CROP SCIENCE - NEW CARBO (Gel vàng mật ong) - 500ml - 30")</f>
        <v>GC - IV - 2775 - NEWTECH CROP SCIENCE - NEW CARBO (Gel vàng mật ong) - 500ml - 30</v>
      </c>
    </row>
    <row r="3469">
      <c r="A3469" s="86">
        <f>IFERROR(__xludf.DUMMYFUNCTION("""COMPUTED_VALUE"""),3467.0)</f>
        <v>3467</v>
      </c>
      <c r="B3469" s="87" t="str">
        <f>IFERROR(__xludf.DUMMYFUNCTION("""COMPUTED_VALUE"""),"Nhãn")</f>
        <v>Nhãn</v>
      </c>
      <c r="C3469" s="87" t="str">
        <f>IFERROR(__xludf.DUMMYFUNCTION("""COMPUTED_VALUE"""),"NHG2776")</f>
        <v>NHG2776</v>
      </c>
      <c r="D3469" s="87" t="str">
        <f>IFERROR(__xludf.DUMMYFUNCTION("""COMPUTED_VALUE"""),"[Nhãn] GC - IV - 2776 - NEWTECH CROP SCIENCE - NEW AMINO (Nước nâu đen) - 500ml - 30")</f>
        <v>[Nhãn] GC - IV - 2776 - NEWTECH CROP SCIENCE - NEW AMINO (Nước nâu đen) - 500ml - 30</v>
      </c>
      <c r="E3469" s="87" t="str">
        <f>IFERROR(__xludf.DUMMYFUNCTION("""COMPUTED_VALUE"""),"Hữu cơ Organic BM Gold  FW")</f>
        <v>Hữu cơ Organic BM Gold  FW</v>
      </c>
      <c r="F3469" s="87" t="str">
        <f>IFERROR(__xludf.DUMMYFUNCTION("""COMPUTED_VALUE"""),"HH2776")</f>
        <v>HH2776</v>
      </c>
      <c r="G3469" s="87" t="str">
        <f>IFERROR(__xludf.DUMMYFUNCTION("""COMPUTED_VALUE"""),"GC - IV - 2776 - NEWTECH CROP SCIENCE - NEW AMINO (Nước nâu đen) - 500ml - 30")</f>
        <v>GC - IV - 2776 - NEWTECH CROP SCIENCE - NEW AMINO (Nước nâu đen) - 500ml - 30</v>
      </c>
    </row>
    <row r="3470">
      <c r="A3470" s="86">
        <f>IFERROR(__xludf.DUMMYFUNCTION("""COMPUTED_VALUE"""),3468.0)</f>
        <v>3468</v>
      </c>
      <c r="B3470" s="87" t="str">
        <f>IFERROR(__xludf.DUMMYFUNCTION("""COMPUTED_VALUE"""),"Nhãn thùng")</f>
        <v>Nhãn thùng</v>
      </c>
      <c r="C3470" s="87" t="str">
        <f>IFERROR(__xludf.DUMMYFUNCTION("""COMPUTED_VALUE"""),"NDT2776")</f>
        <v>NDT2776</v>
      </c>
      <c r="D3470" s="87" t="str">
        <f>IFERROR(__xludf.DUMMYFUNCTION("""COMPUTED_VALUE"""),"[Nhãn thùng] GC - IV - 2776 - NEWTECH CROP SCIENCE - NEW AMINO (Nước nâu đen) - 500ml - 30")</f>
        <v>[Nhãn thùng] GC - IV - 2776 - NEWTECH CROP SCIENCE - NEW AMINO (Nước nâu đen) - 500ml - 30</v>
      </c>
      <c r="E3470" s="87" t="str">
        <f>IFERROR(__xludf.DUMMYFUNCTION("""COMPUTED_VALUE"""),"Hữu cơ Organic BM Gold  FW")</f>
        <v>Hữu cơ Organic BM Gold  FW</v>
      </c>
      <c r="F3470" s="87" t="str">
        <f>IFERROR(__xludf.DUMMYFUNCTION("""COMPUTED_VALUE"""),"HH2776")</f>
        <v>HH2776</v>
      </c>
      <c r="G3470" s="87" t="str">
        <f>IFERROR(__xludf.DUMMYFUNCTION("""COMPUTED_VALUE"""),"GC - IV - 2776 - NEWTECH CROP SCIENCE - NEW AMINO (Nước nâu đen) - 500ml - 30")</f>
        <v>GC - IV - 2776 - NEWTECH CROP SCIENCE - NEW AMINO (Nước nâu đen) - 500ml - 30</v>
      </c>
    </row>
    <row r="3471">
      <c r="A3471" s="86">
        <f>IFERROR(__xludf.DUMMYFUNCTION("""COMPUTED_VALUE"""),3469.0)</f>
        <v>3469</v>
      </c>
      <c r="B3471" s="87" t="str">
        <f>IFERROR(__xludf.DUMMYFUNCTION("""COMPUTED_VALUE"""),"Nhãn")</f>
        <v>Nhãn</v>
      </c>
      <c r="C3471" s="87" t="str">
        <f>IFERROR(__xludf.DUMMYFUNCTION("""COMPUTED_VALUE"""),"NHG2777")</f>
        <v>NHG2777</v>
      </c>
      <c r="D3471" s="87" t="str">
        <f>IFERROR(__xludf.DUMMYFUNCTION("""COMPUTED_VALUE"""),"[Nhãn] GC - IV - 2777 - NEWTECH CROP SCIENCE - NEW COMBI US (Nước xanh lá) - 500ml - 30")</f>
        <v>[Nhãn] GC - IV - 2777 - NEWTECH CROP SCIENCE - NEW COMBI US (Nước xanh lá) - 500ml - 30</v>
      </c>
      <c r="E3471" s="87" t="str">
        <f>IFERROR(__xludf.DUMMYFUNCTION("""COMPUTED_VALUE"""),"Vi lượng Quantity New")</f>
        <v>Vi lượng Quantity New</v>
      </c>
      <c r="F3471" s="87" t="str">
        <f>IFERROR(__xludf.DUMMYFUNCTION("""COMPUTED_VALUE"""),"HH2777")</f>
        <v>HH2777</v>
      </c>
      <c r="G3471" s="87" t="str">
        <f>IFERROR(__xludf.DUMMYFUNCTION("""COMPUTED_VALUE"""),"GC - IV - 2777 - NEWTECH CROP SCIENCE - NEW COMBI US (Nước xanh lá) - 500ml - 30")</f>
        <v>GC - IV - 2777 - NEWTECH CROP SCIENCE - NEW COMBI US (Nước xanh lá) - 500ml - 30</v>
      </c>
    </row>
    <row r="3472">
      <c r="A3472" s="86">
        <f>IFERROR(__xludf.DUMMYFUNCTION("""COMPUTED_VALUE"""),3470.0)</f>
        <v>3470</v>
      </c>
      <c r="B3472" s="87" t="str">
        <f>IFERROR(__xludf.DUMMYFUNCTION("""COMPUTED_VALUE"""),"Nhãn thùng")</f>
        <v>Nhãn thùng</v>
      </c>
      <c r="C3472" s="87" t="str">
        <f>IFERROR(__xludf.DUMMYFUNCTION("""COMPUTED_VALUE"""),"NDT2777")</f>
        <v>NDT2777</v>
      </c>
      <c r="D3472" s="87" t="str">
        <f>IFERROR(__xludf.DUMMYFUNCTION("""COMPUTED_VALUE"""),"[Nhãn thùng] GC - IV - 2777 - NEWTECH CROP SCIENCE - NEW COMBI US (Nước xanh lá) - 500ml - 30")</f>
        <v>[Nhãn thùng] GC - IV - 2777 - NEWTECH CROP SCIENCE - NEW COMBI US (Nước xanh lá) - 500ml - 30</v>
      </c>
      <c r="E3472" s="87" t="str">
        <f>IFERROR(__xludf.DUMMYFUNCTION("""COMPUTED_VALUE"""),"Vi lượng Quantity New")</f>
        <v>Vi lượng Quantity New</v>
      </c>
      <c r="F3472" s="87" t="str">
        <f>IFERROR(__xludf.DUMMYFUNCTION("""COMPUTED_VALUE"""),"HH2777")</f>
        <v>HH2777</v>
      </c>
      <c r="G3472" s="87" t="str">
        <f>IFERROR(__xludf.DUMMYFUNCTION("""COMPUTED_VALUE"""),"GC - IV - 2777 - NEWTECH CROP SCIENCE - NEW COMBI US (Nước xanh lá) - 500ml - 30")</f>
        <v>GC - IV - 2777 - NEWTECH CROP SCIENCE - NEW COMBI US (Nước xanh lá) - 500ml - 30</v>
      </c>
    </row>
    <row r="3473">
      <c r="A3473" s="86">
        <f>IFERROR(__xludf.DUMMYFUNCTION("""COMPUTED_VALUE"""),3471.0)</f>
        <v>3471</v>
      </c>
      <c r="B3473" s="87" t="str">
        <f>IFERROR(__xludf.DUMMYFUNCTION("""COMPUTED_VALUE"""),"Nhãn")</f>
        <v>Nhãn</v>
      </c>
      <c r="C3473" s="87" t="str">
        <f>IFERROR(__xludf.DUMMYFUNCTION("""COMPUTED_VALUE"""),"NHG2778")</f>
        <v>NHG2778</v>
      </c>
      <c r="D3473" s="87" t="str">
        <f>IFERROR(__xludf.DUMMYFUNCTION("""COMPUTED_VALUE"""),"[Nhãn] GC - IV - 2778 - CTY QUANG ĐĂNG AGRICULTURE - SUPER VÔ GẠO + (Nước vàng cam) - 1L - 20")</f>
        <v>[Nhãn] GC - IV - 2778 - CTY QUANG ĐĂNG AGRICULTURE - SUPER VÔ GẠO + (Nước vàng cam) - 1L - 20</v>
      </c>
      <c r="E3473" s="87" t="str">
        <f>IFERROR(__xludf.DUMMYFUNCTION("""COMPUTED_VALUE"""),"NPK-Vi lượng MASSIVE-BLUE")</f>
        <v>NPK-Vi lượng MASSIVE-BLUE</v>
      </c>
      <c r="F3473" s="87" t="str">
        <f>IFERROR(__xludf.DUMMYFUNCTION("""COMPUTED_VALUE"""),"HH2778")</f>
        <v>HH2778</v>
      </c>
      <c r="G3473" s="87" t="str">
        <f>IFERROR(__xludf.DUMMYFUNCTION("""COMPUTED_VALUE"""),"GC - IV - 2778 - Cty Quang Đăng Agriculture - SUPER VÔ GẠO + (Nước vàng cam) - 1L - 20")</f>
        <v>GC - IV - 2778 - Cty Quang Đăng Agriculture - SUPER VÔ GẠO + (Nước vàng cam) - 1L - 20</v>
      </c>
    </row>
    <row r="3474">
      <c r="A3474" s="86">
        <f>IFERROR(__xludf.DUMMYFUNCTION("""COMPUTED_VALUE"""),3472.0)</f>
        <v>3472</v>
      </c>
      <c r="B3474" s="87" t="str">
        <f>IFERROR(__xludf.DUMMYFUNCTION("""COMPUTED_VALUE"""),"Nhãn")</f>
        <v>Nhãn</v>
      </c>
      <c r="C3474" s="87" t="str">
        <f>IFERROR(__xludf.DUMMYFUNCTION("""COMPUTED_VALUE"""),"NHG2779")</f>
        <v>NHG2779</v>
      </c>
      <c r="D3474" s="87" t="str">
        <f>IFERROR(__xludf.DUMMYFUNCTION("""COMPUTED_VALUE"""),"[Nhãn]  GC - IV - 2779 - CTY QUANG ĐĂNG AGRICULTURE - SIÊU KÍCH RỄ NỞ BỤI + (Nước nâu đen) - 1L - 20")</f>
        <v>[Nhãn]  GC - IV - 2779 - CTY QUANG ĐĂNG AGRICULTURE - SIÊU KÍCH RỄ NỞ BỤI + (Nước nâu đen) - 1L - 20</v>
      </c>
      <c r="E3474" s="87" t="str">
        <f>IFERROR(__xludf.DUMMYFUNCTION("""COMPUTED_VALUE"""),"Vi lượng Quantity New")</f>
        <v>Vi lượng Quantity New</v>
      </c>
      <c r="F3474" s="87" t="str">
        <f>IFERROR(__xludf.DUMMYFUNCTION("""COMPUTED_VALUE"""),"HH2779")</f>
        <v>HH2779</v>
      </c>
      <c r="G3474" s="87" t="str">
        <f>IFERROR(__xludf.DUMMYFUNCTION("""COMPUTED_VALUE"""),"GC - IV - 2779 - Cty Quang Đăng Agriculture - SIÊU KÍCH RỄ NỞ BỤI + (Nước nâu đen) - 1L - 20")</f>
        <v>GC - IV - 2779 - Cty Quang Đăng Agriculture - SIÊU KÍCH RỄ NỞ BỤI + (Nước nâu đen) - 1L - 20</v>
      </c>
    </row>
    <row r="3475">
      <c r="A3475" s="86">
        <f>IFERROR(__xludf.DUMMYFUNCTION("""COMPUTED_VALUE"""),3473.0)</f>
        <v>3473</v>
      </c>
      <c r="B3475" s="87" t="str">
        <f>IFERROR(__xludf.DUMMYFUNCTION("""COMPUTED_VALUE"""),"Nhãn")</f>
        <v>Nhãn</v>
      </c>
      <c r="C3475" s="87" t="str">
        <f>IFERROR(__xludf.DUMMYFUNCTION("""COMPUTED_VALUE"""),"NHG2780")</f>
        <v>NHG2780</v>
      </c>
      <c r="D3475" s="87" t="str">
        <f>IFERROR(__xludf.DUMMYFUNCTION("""COMPUTED_VALUE"""),"[Nhãn] GC - IV - 2780 - CTY QUANG ĐĂNG AGRICULTURE - NUÔI ĐÒNG TRỔ THOÁT + (Nước nâu đen) - 1L - 20")</f>
        <v>[Nhãn] GC - IV - 2780 - CTY QUANG ĐĂNG AGRICULTURE - NUÔI ĐÒNG TRỔ THOÁT + (Nước nâu đen) - 1L - 20</v>
      </c>
      <c r="E3475" s="87" t="str">
        <f>IFERROR(__xludf.DUMMYFUNCTION("""COMPUTED_VALUE"""),"vi lượng HELP FARMER_3")</f>
        <v>vi lượng HELP FARMER_3</v>
      </c>
      <c r="F3475" s="87" t="str">
        <f>IFERROR(__xludf.DUMMYFUNCTION("""COMPUTED_VALUE"""),"HH2780")</f>
        <v>HH2780</v>
      </c>
      <c r="G3475" s="87" t="str">
        <f>IFERROR(__xludf.DUMMYFUNCTION("""COMPUTED_VALUE"""),"GC - IV - 2780 - Cty Quang Đăng Agriculture - NUÔI ĐÒNG TRỔ THOÁT + (Nước nâu đen) - 1L - 20")</f>
        <v>GC - IV - 2780 - Cty Quang Đăng Agriculture - NUÔI ĐÒNG TRỔ THOÁT + (Nước nâu đen) - 1L - 20</v>
      </c>
    </row>
    <row r="3476">
      <c r="A3476" s="86">
        <f>IFERROR(__xludf.DUMMYFUNCTION("""COMPUTED_VALUE"""),3474.0)</f>
        <v>3474</v>
      </c>
      <c r="B3476" s="87" t="str">
        <f>IFERROR(__xludf.DUMMYFUNCTION("""COMPUTED_VALUE"""),"Nhãn")</f>
        <v>Nhãn</v>
      </c>
      <c r="C3476" s="87" t="str">
        <f>IFERROR(__xludf.DUMMYFUNCTION("""COMPUTED_VALUE"""),"NHD2781")</f>
        <v>NHD2781</v>
      </c>
      <c r="D3476" s="87" t="str">
        <f>IFERROR(__xludf.DUMMYFUNCTION("""COMPUTED_VALUE"""),"[Nhãn] GC - IV - 2781 - CTY OLYMPUS - NP-CYRIN SUPER 250EC (Nước vàng trà) - 450ml - 40")</f>
        <v>[Nhãn] GC - IV - 2781 - CTY OLYMPUS - NP-CYRIN SUPER 250EC (Nước vàng trà) - 450ml - 40</v>
      </c>
      <c r="E3476" s="87" t="str">
        <f>IFERROR(__xludf.DUMMYFUNCTION("""COMPUTED_VALUE"""),"NP-CYRIN SUPER 250EC")</f>
        <v>NP-CYRIN SUPER 250EC</v>
      </c>
      <c r="F3476" s="87" t="str">
        <f>IFERROR(__xludf.DUMMYFUNCTION("""COMPUTED_VALUE"""),"HH2781")</f>
        <v>HH2781</v>
      </c>
      <c r="G3476" s="87" t="str">
        <f>IFERROR(__xludf.DUMMYFUNCTION("""COMPUTED_VALUE"""),"GC - IV - 2781 - CTY OLYMPUS - NP-CYRIN SUPER 250EC (Nước vàng trà) - 450ml - 40")</f>
        <v>GC - IV - 2781 - CTY OLYMPUS - NP-CYRIN SUPER 250EC (Nước vàng trà) - 450ml - 40</v>
      </c>
    </row>
    <row r="3477">
      <c r="A3477" s="86">
        <f>IFERROR(__xludf.DUMMYFUNCTION("""COMPUTED_VALUE"""),3475.0)</f>
        <v>3475</v>
      </c>
      <c r="B3477" s="87" t="str">
        <f>IFERROR(__xludf.DUMMYFUNCTION("""COMPUTED_VALUE"""),"Nhãn thùng")</f>
        <v>Nhãn thùng</v>
      </c>
      <c r="C3477" s="87" t="str">
        <f>IFERROR(__xludf.DUMMYFUNCTION("""COMPUTED_VALUE"""),"NDT2781")</f>
        <v>NDT2781</v>
      </c>
      <c r="D3477" s="87" t="str">
        <f>IFERROR(__xludf.DUMMYFUNCTION("""COMPUTED_VALUE"""),"[Nhãn thùng] GC - IV - 2781 - CTY OLYMPUS - NP-CYRIN SUPER 250EC (Nước vàng trà) - 450ml - 40")</f>
        <v>[Nhãn thùng] GC - IV - 2781 - CTY OLYMPUS - NP-CYRIN SUPER 250EC (Nước vàng trà) - 450ml - 40</v>
      </c>
      <c r="E3477" s="87" t="str">
        <f>IFERROR(__xludf.DUMMYFUNCTION("""COMPUTED_VALUE"""),"NP-CYRIN SUPER 250EC")</f>
        <v>NP-CYRIN SUPER 250EC</v>
      </c>
      <c r="F3477" s="87" t="str">
        <f>IFERROR(__xludf.DUMMYFUNCTION("""COMPUTED_VALUE"""),"HH2781")</f>
        <v>HH2781</v>
      </c>
      <c r="G3477" s="87" t="str">
        <f>IFERROR(__xludf.DUMMYFUNCTION("""COMPUTED_VALUE"""),"GC - IV - 2781 - CTY OLYMPUS - NP-CYRIN SUPER 250EC (Nước vàng trà) - 450ml - 40")</f>
        <v>GC - IV - 2781 - CTY OLYMPUS - NP-CYRIN SUPER 250EC (Nước vàng trà) - 450ml - 40</v>
      </c>
    </row>
    <row r="3478">
      <c r="A3478" s="86">
        <f>IFERROR(__xludf.DUMMYFUNCTION("""COMPUTED_VALUE"""),3476.0)</f>
        <v>3476</v>
      </c>
      <c r="B3478" s="87" t="str">
        <f>IFERROR(__xludf.DUMMYFUNCTION("""COMPUTED_VALUE"""),"Nhãn")</f>
        <v>Nhãn</v>
      </c>
      <c r="C3478" s="87" t="str">
        <f>IFERROR(__xludf.DUMMYFUNCTION("""COMPUTED_VALUE"""),"NHG2785")</f>
        <v>NHG2785</v>
      </c>
      <c r="D3478" s="87" t="str">
        <f>IFERROR(__xludf.DUMMYFUNCTION("""COMPUTED_VALUE"""),"[Nhãn] GC - II - 2785 - AGC - Gvil (Chai HD) - 1L- 20")</f>
        <v>[Nhãn] GC - II - 2785 - AGC - Gvil (Chai HD) - 1L- 20</v>
      </c>
      <c r="E3478" s="87" t="str">
        <f>IFERROR(__xludf.DUMMYFUNCTION("""COMPUTED_VALUE"""),"Mekongvil 5SC")</f>
        <v>Mekongvil 5SC</v>
      </c>
      <c r="F3478" s="87" t="str">
        <f>IFERROR(__xludf.DUMMYFUNCTION("""COMPUTED_VALUE"""),"HH2785")</f>
        <v>HH2785</v>
      </c>
      <c r="G3478" s="87" t="str">
        <f>IFERROR(__xludf.DUMMYFUNCTION("""COMPUTED_VALUE"""),"GC - II - 2785 - AGC - Gvil (Chai HD) - 1L- 20")</f>
        <v>GC - II - 2785 - AGC - Gvil (Chai HD) - 1L- 20</v>
      </c>
    </row>
    <row r="3479">
      <c r="A3479" s="86">
        <f>IFERROR(__xludf.DUMMYFUNCTION("""COMPUTED_VALUE"""),3477.0)</f>
        <v>3477</v>
      </c>
      <c r="B3479" s="87" t="str">
        <f>IFERROR(__xludf.DUMMYFUNCTION("""COMPUTED_VALUE"""),"Nhãn")</f>
        <v>Nhãn</v>
      </c>
      <c r="C3479" s="87" t="str">
        <f>IFERROR(__xludf.DUMMYFUNCTION("""COMPUTED_VALUE"""),"NHG2787")</f>
        <v>NHG2787</v>
      </c>
      <c r="D3479" s="87" t="str">
        <f>IFERROR(__xludf.DUMMYFUNCTION("""COMPUTED_VALUE"""),"[Nhãn] GC - II - 2787 - LOT AGC - AGRICULTURE - HAIHAMEC 3.6EC (Nước trong) - 450ml - 40")</f>
        <v>[Nhãn] GC - II - 2787 - LOT AGC - AGRICULTURE - HAIHAMEC 3.6EC (Nước trong) - 450ml - 40</v>
      </c>
      <c r="E3479" s="87" t="str">
        <f>IFERROR(__xludf.DUMMYFUNCTION("""COMPUTED_VALUE"""),"HAIHAMEC 3.6EC")</f>
        <v>HAIHAMEC 3.6EC</v>
      </c>
      <c r="F3479" s="87" t="str">
        <f>IFERROR(__xludf.DUMMYFUNCTION("""COMPUTED_VALUE"""),"HH2787")</f>
        <v>HH2787</v>
      </c>
      <c r="G3479" s="87" t="str">
        <f>IFERROR(__xludf.DUMMYFUNCTION("""COMPUTED_VALUE"""),"GC - II - 2787 - LOT AGC - AGRICULTURE - HAIHAMEC 3.6EC (Nước trong) - 450ml - 40")</f>
        <v>GC - II - 2787 - LOT AGC - AGRICULTURE - HAIHAMEC 3.6EC (Nước trong) - 450ml - 40</v>
      </c>
    </row>
    <row r="3480">
      <c r="A3480" s="86">
        <f>IFERROR(__xludf.DUMMYFUNCTION("""COMPUTED_VALUE"""),3478.0)</f>
        <v>3478</v>
      </c>
      <c r="B3480" s="87" t="str">
        <f>IFERROR(__xludf.DUMMYFUNCTION("""COMPUTED_VALUE"""),"Nhãn")</f>
        <v>Nhãn</v>
      </c>
      <c r="C3480" s="87" t="str">
        <f>IFERROR(__xludf.DUMMYFUNCTION("""COMPUTED_VALUE"""),"NHG2788")</f>
        <v>NHG2788</v>
      </c>
      <c r="D3480" s="87" t="str">
        <f>IFERROR(__xludf.DUMMYFUNCTION("""COMPUTED_VALUE"""),"[Nhãn] GC - II - 2788 - LOT AGC - AGRICULTURE - NANO CU (Nước xanh dương) - 500ml - 40")</f>
        <v>[Nhãn] GC - II - 2788 - LOT AGC - AGRICULTURE - NANO CU (Nước xanh dương) - 500ml - 40</v>
      </c>
      <c r="E3480" s="87" t="str">
        <f>IFERROR(__xludf.DUMMYFUNCTION("""COMPUTED_VALUE"""),"Vi lượng Agama - Cu")</f>
        <v>Vi lượng Agama - Cu</v>
      </c>
      <c r="F3480" s="87" t="str">
        <f>IFERROR(__xludf.DUMMYFUNCTION("""COMPUTED_VALUE"""),"HH2788")</f>
        <v>HH2788</v>
      </c>
      <c r="G3480" s="87" t="str">
        <f>IFERROR(__xludf.DUMMYFUNCTION("""COMPUTED_VALUE"""),"GC - II - 2788 - LOT AGC - AGRICULTURE - NANO CU (Nước xanh dương) - 500ml - 40")</f>
        <v>GC - II - 2788 - LOT AGC - AGRICULTURE - NANO CU (Nước xanh dương) - 500ml - 40</v>
      </c>
    </row>
    <row r="3481">
      <c r="A3481" s="86">
        <f>IFERROR(__xludf.DUMMYFUNCTION("""COMPUTED_VALUE"""),3479.0)</f>
        <v>3479</v>
      </c>
      <c r="B3481" s="87" t="str">
        <f>IFERROR(__xludf.DUMMYFUNCTION("""COMPUTED_VALUE"""),"Nhãn")</f>
        <v>Nhãn</v>
      </c>
      <c r="C3481" s="87" t="str">
        <f>IFERROR(__xludf.DUMMYFUNCTION("""COMPUTED_VALUE"""),"NHG2789")</f>
        <v>NHG2789</v>
      </c>
      <c r="D3481" s="87" t="str">
        <f>IFERROR(__xludf.DUMMYFUNCTION("""COMPUTED_VALUE"""),"[Nhãn] GC - II - 2789 - LOT AGC - AGRICULTURE - NANO AG (Nước xanh nõn chuối) - 500ml - 40")</f>
        <v>[Nhãn] GC - II - 2789 - LOT AGC - AGRICULTURE - NANO AG (Nước xanh nõn chuối) - 500ml - 40</v>
      </c>
      <c r="E3481" s="87" t="str">
        <f>IFERROR(__xludf.DUMMYFUNCTION("""COMPUTED_VALUE"""),"Vi lượng Run Fast")</f>
        <v>Vi lượng Run Fast</v>
      </c>
      <c r="F3481" s="87" t="str">
        <f>IFERROR(__xludf.DUMMYFUNCTION("""COMPUTED_VALUE"""),"HH2789")</f>
        <v>HH2789</v>
      </c>
      <c r="G3481" s="87" t="str">
        <f>IFERROR(__xludf.DUMMYFUNCTION("""COMPUTED_VALUE"""),"GC - II - 2789 - LOT AGC - AGRICULTURE - NANO AG (Nước xanh nõn chuối) - 500ml - 40")</f>
        <v>GC - II - 2789 - LOT AGC - AGRICULTURE - NANO AG (Nước xanh nõn chuối) - 500ml - 40</v>
      </c>
    </row>
    <row r="3482">
      <c r="A3482" s="86">
        <f>IFERROR(__xludf.DUMMYFUNCTION("""COMPUTED_VALUE"""),3480.0)</f>
        <v>3480</v>
      </c>
      <c r="B3482" s="87" t="str">
        <f>IFERROR(__xludf.DUMMYFUNCTION("""COMPUTED_VALUE"""),"HỘP")</f>
        <v>HỘP</v>
      </c>
      <c r="C3482" s="87" t="str">
        <f>IFERROR(__xludf.DUMMYFUNCTION("""COMPUTED_VALUE"""),"HOP2790")</f>
        <v>HOP2790</v>
      </c>
      <c r="D3482" s="87" t="str">
        <f>IFERROR(__xludf.DUMMYFUNCTION("""COMPUTED_VALUE"""),"[HOP] GC - IV - 2790 - Cty Hóa Nông Shino - ĐẠO ÔN &amp; NẮM KHUẨN (Nước đỏ sậm - V4) - 250ml - 40")</f>
        <v>[HOP] GC - IV - 2790 - Cty Hóa Nông Shino - ĐẠO ÔN &amp; NẮM KHUẨN (Nước đỏ sậm - V4) - 250ml - 40</v>
      </c>
      <c r="E3482" s="87" t="str">
        <f>IFERROR(__xludf.DUMMYFUNCTION("""COMPUTED_VALUE"""),"GENOL 1.2SL")</f>
        <v>GENOL 1.2SL</v>
      </c>
      <c r="F3482" s="87" t="str">
        <f>IFERROR(__xludf.DUMMYFUNCTION("""COMPUTED_VALUE"""),"HH2790")</f>
        <v>HH2790</v>
      </c>
      <c r="G3482" s="87" t="str">
        <f>IFERROR(__xludf.DUMMYFUNCTION("""COMPUTED_VALUE"""),"GC - IV - 2790 - Cty Hóa Nông Shino - ĐẠO ÔN &amp; NẮM KHUẨN (Nước đỏ sậm - V4) - 250ml - 40")</f>
        <v>GC - IV - 2790 - Cty Hóa Nông Shino - ĐẠO ÔN &amp; NẮM KHUẨN (Nước đỏ sậm - V4) - 250ml - 40</v>
      </c>
    </row>
    <row r="3483">
      <c r="A3483" s="86">
        <f>IFERROR(__xludf.DUMMYFUNCTION("""COMPUTED_VALUE"""),3481.0)</f>
        <v>3481</v>
      </c>
      <c r="B3483" s="87" t="str">
        <f>IFERROR(__xludf.DUMMYFUNCTION("""COMPUTED_VALUE"""),"Nhãn")</f>
        <v>Nhãn</v>
      </c>
      <c r="C3483" s="87" t="str">
        <f>IFERROR(__xludf.DUMMYFUNCTION("""COMPUTED_VALUE"""),"NHG2790")</f>
        <v>NHG2790</v>
      </c>
      <c r="D3483" s="87" t="str">
        <f>IFERROR(__xludf.DUMMYFUNCTION("""COMPUTED_VALUE"""),"[Nhãn] GC - IV - 2790 - Cty Hóa Nông Shino - ĐẠO ÔN &amp; NẮM KHUẨN (Nước đỏ sậm - V4) - 250ml - 40")</f>
        <v>[Nhãn] GC - IV - 2790 - Cty Hóa Nông Shino - ĐẠO ÔN &amp; NẮM KHUẨN (Nước đỏ sậm - V4) - 250ml - 40</v>
      </c>
      <c r="E3483" s="87" t="str">
        <f>IFERROR(__xludf.DUMMYFUNCTION("""COMPUTED_VALUE"""),"GENOL 1.2SL")</f>
        <v>GENOL 1.2SL</v>
      </c>
      <c r="F3483" s="87" t="str">
        <f>IFERROR(__xludf.DUMMYFUNCTION("""COMPUTED_VALUE"""),"HH2790")</f>
        <v>HH2790</v>
      </c>
      <c r="G3483" s="87" t="str">
        <f>IFERROR(__xludf.DUMMYFUNCTION("""COMPUTED_VALUE"""),"GC - IV - 2790 - Cty Hóa Nông Shino - ĐẠO ÔN &amp; NẮM KHUẨN (Nước đỏ sậm - V4) - 250ml - 40")</f>
        <v>GC - IV - 2790 - Cty Hóa Nông Shino - ĐẠO ÔN &amp; NẮM KHUẨN (Nước đỏ sậm - V4) - 250ml - 40</v>
      </c>
    </row>
    <row r="3484">
      <c r="A3484" s="86">
        <f>IFERROR(__xludf.DUMMYFUNCTION("""COMPUTED_VALUE"""),3482.0)</f>
        <v>3482</v>
      </c>
      <c r="B3484" s="87" t="str">
        <f>IFERROR(__xludf.DUMMYFUNCTION("""COMPUTED_VALUE"""),"Nhãn thùng")</f>
        <v>Nhãn thùng</v>
      </c>
      <c r="C3484" s="87" t="str">
        <f>IFERROR(__xludf.DUMMYFUNCTION("""COMPUTED_VALUE"""),"NDT2790")</f>
        <v>NDT2790</v>
      </c>
      <c r="D3484" s="87" t="str">
        <f>IFERROR(__xludf.DUMMYFUNCTION("""COMPUTED_VALUE"""),"[Nhãn thùng] GC - IV - 2790 - Cty Hóa Nông Shino - ĐẠO ÔN &amp; NẮM KHUẨN (Nước đỏ sậm - V4) - 250ml - 40")</f>
        <v>[Nhãn thùng] GC - IV - 2790 - Cty Hóa Nông Shino - ĐẠO ÔN &amp; NẮM KHUẨN (Nước đỏ sậm - V4) - 250ml - 40</v>
      </c>
      <c r="E3484" s="87" t="str">
        <f>IFERROR(__xludf.DUMMYFUNCTION("""COMPUTED_VALUE"""),"GENOL 1.2SL")</f>
        <v>GENOL 1.2SL</v>
      </c>
      <c r="F3484" s="87" t="str">
        <f>IFERROR(__xludf.DUMMYFUNCTION("""COMPUTED_VALUE"""),"HH2790")</f>
        <v>HH2790</v>
      </c>
      <c r="G3484" s="87" t="str">
        <f>IFERROR(__xludf.DUMMYFUNCTION("""COMPUTED_VALUE"""),"GC - IV - 2790 - Cty Hóa Nông Shino - ĐẠO ÔN &amp; NẮM KHUẨN (Nước đỏ sậm - V4) - 250ml - 40")</f>
        <v>GC - IV - 2790 - Cty Hóa Nông Shino - ĐẠO ÔN &amp; NẮM KHUẨN (Nước đỏ sậm - V4) - 250ml - 40</v>
      </c>
    </row>
    <row r="3485">
      <c r="A3485" s="86">
        <f>IFERROR(__xludf.DUMMYFUNCTION("""COMPUTED_VALUE"""),3483.0)</f>
        <v>3483</v>
      </c>
      <c r="B3485" s="87" t="str">
        <f>IFERROR(__xludf.DUMMYFUNCTION("""COMPUTED_VALUE"""),"[Nhãn]")</f>
        <v>[Nhãn]</v>
      </c>
      <c r="C3485" s="87" t="str">
        <f>IFERROR(__xludf.DUMMYFUNCTION("""COMPUTED_VALUE"""),"NHG2791")</f>
        <v>NHG2791</v>
      </c>
      <c r="D3485" s="87" t="str">
        <f>IFERROR(__xludf.DUMMYFUNCTION("""COMPUTED_VALUE"""),"[Nhãn] GC - IV - 2791 - Cty Hóa Nông Shino - VATINO SUPER 525SE (Nước cam sữa) - 250ml - 40")</f>
        <v>[Nhãn] GC - IV - 2791 - Cty Hóa Nông Shino - VATINO SUPER 525SE (Nước cam sữa) - 250ml - 40</v>
      </c>
      <c r="E3485" s="87" t="str">
        <f>IFERROR(__xludf.DUMMYFUNCTION("""COMPUTED_VALUE"""),"VATINO SUPER 525SE")</f>
        <v>VATINO SUPER 525SE</v>
      </c>
      <c r="F3485" s="87" t="str">
        <f>IFERROR(__xludf.DUMMYFUNCTION("""COMPUTED_VALUE"""),"HH2791")</f>
        <v>HH2791</v>
      </c>
      <c r="G3485" s="87" t="str">
        <f>IFERROR(__xludf.DUMMYFUNCTION("""COMPUTED_VALUE"""),"GC - IV - 2791 - Cty Hóa Nông Shino - VATINO SUPER 525SE (Nước cam sữa) - 250ml - 40")</f>
        <v>GC - IV - 2791 - Cty Hóa Nông Shino - VATINO SUPER 525SE (Nước cam sữa) - 250ml - 40</v>
      </c>
    </row>
    <row r="3486">
      <c r="A3486" s="86">
        <f>IFERROR(__xludf.DUMMYFUNCTION("""COMPUTED_VALUE"""),3484.0)</f>
        <v>3484</v>
      </c>
      <c r="B3486" s="87" t="str">
        <f>IFERROR(__xludf.DUMMYFUNCTION("""COMPUTED_VALUE"""),"[Nhãn thùng]")</f>
        <v>[Nhãn thùng]</v>
      </c>
      <c r="C3486" s="87" t="str">
        <f>IFERROR(__xludf.DUMMYFUNCTION("""COMPUTED_VALUE"""),"NDT2791")</f>
        <v>NDT2791</v>
      </c>
      <c r="D3486" s="87" t="str">
        <f>IFERROR(__xludf.DUMMYFUNCTION("""COMPUTED_VALUE"""),"[Nhãn thùng] GC - IV - 2791 - Cty Hóa Nông Shino - VATINO SUPER 525SE (Nước cam sữa) - 250ml - 40")</f>
        <v>[Nhãn thùng] GC - IV - 2791 - Cty Hóa Nông Shino - VATINO SUPER 525SE (Nước cam sữa) - 250ml - 40</v>
      </c>
      <c r="E3486" s="87" t="str">
        <f>IFERROR(__xludf.DUMMYFUNCTION("""COMPUTED_VALUE"""),"VATINO SUPER 525SE")</f>
        <v>VATINO SUPER 525SE</v>
      </c>
      <c r="F3486" s="87" t="str">
        <f>IFERROR(__xludf.DUMMYFUNCTION("""COMPUTED_VALUE"""),"HH2791")</f>
        <v>HH2791</v>
      </c>
      <c r="G3486" s="87" t="str">
        <f>IFERROR(__xludf.DUMMYFUNCTION("""COMPUTED_VALUE"""),"GC - IV - 2791 - Cty Hóa Nông Shino - VATINO SUPER 525SE (Nước cam sữa) - 250ml - 40")</f>
        <v>GC - IV - 2791 - Cty Hóa Nông Shino - VATINO SUPER 525SE (Nước cam sữa) - 250ml - 40</v>
      </c>
    </row>
    <row r="3487">
      <c r="A3487" s="86">
        <f>IFERROR(__xludf.DUMMYFUNCTION("""COMPUTED_VALUE"""),3485.0)</f>
        <v>3485</v>
      </c>
      <c r="B3487" s="87" t="str">
        <f>IFERROR(__xludf.DUMMYFUNCTION("""COMPUTED_VALUE"""),"Nhãn")</f>
        <v>Nhãn</v>
      </c>
      <c r="C3487" s="87" t="str">
        <f>IFERROR(__xludf.DUMMYFUNCTION("""COMPUTED_VALUE"""),"NHG2792")</f>
        <v>NHG2792</v>
      </c>
      <c r="D3487" s="87" t="str">
        <f>IFERROR(__xludf.DUMMYFUNCTION("""COMPUTED_VALUE"""),"[Nhãn] GC - IV - 2792 - Cty Hóa Nông Shino - SHINO RICE (nước đỏ cam) - 500ml - 30")</f>
        <v>[Nhãn] GC - IV - 2792 - Cty Hóa Nông Shino - SHINO RICE (nước đỏ cam) - 500ml - 30</v>
      </c>
      <c r="E3487" s="87" t="str">
        <f>IFERROR(__xludf.DUMMYFUNCTION("""COMPUTED_VALUE"""),"NPK-Vi lượng MASSIVE-BLUE")</f>
        <v>NPK-Vi lượng MASSIVE-BLUE</v>
      </c>
      <c r="F3487" s="87" t="str">
        <f>IFERROR(__xludf.DUMMYFUNCTION("""COMPUTED_VALUE"""),"HH2792")</f>
        <v>HH2792</v>
      </c>
      <c r="G3487" s="87" t="str">
        <f>IFERROR(__xludf.DUMMYFUNCTION("""COMPUTED_VALUE"""),"GC - IV - 2792 - Cty Hóa Nông Shino - SHINO RICE (nước đỏ cam) - 500ml - 30")</f>
        <v>GC - IV - 2792 - Cty Hóa Nông Shino - SHINO RICE (nước đỏ cam) - 500ml - 30</v>
      </c>
    </row>
    <row r="3488">
      <c r="A3488" s="86">
        <f>IFERROR(__xludf.DUMMYFUNCTION("""COMPUTED_VALUE"""),3486.0)</f>
        <v>3486</v>
      </c>
      <c r="B3488" s="87" t="str">
        <f>IFERROR(__xludf.DUMMYFUNCTION("""COMPUTED_VALUE"""),"Nhãn")</f>
        <v>Nhãn</v>
      </c>
      <c r="C3488" s="87" t="str">
        <f>IFERROR(__xludf.DUMMYFUNCTION("""COMPUTED_VALUE"""),"NHG2793")</f>
        <v>NHG2793</v>
      </c>
      <c r="D3488" s="87" t="str">
        <f>IFERROR(__xludf.DUMMYFUNCTION("""COMPUTED_VALUE"""),"[Nhãn] GC - IV - 2793 - CTY BAVINA - GOD THUNDER 260 (Dạng sữa - vàng nhạt) - 240ml - 40")</f>
        <v>[Nhãn] GC - IV - 2793 - CTY BAVINA - GOD THUNDER 260 (Dạng sữa - vàng nhạt) - 240ml - 40</v>
      </c>
      <c r="E3488" s="87" t="str">
        <f>IFERROR(__xludf.DUMMYFUNCTION("""COMPUTED_VALUE"""),"HALO 260SC")</f>
        <v>HALO 260SC</v>
      </c>
      <c r="F3488" s="87" t="str">
        <f>IFERROR(__xludf.DUMMYFUNCTION("""COMPUTED_VALUE"""),"HH2793")</f>
        <v>HH2793</v>
      </c>
      <c r="G3488" s="87" t="str">
        <f>IFERROR(__xludf.DUMMYFUNCTION("""COMPUTED_VALUE"""),"GC - IV - 2793 - CTY BAVINA - GOD THUNDER 260 (Dạng sữa - vàng nhạt) - 240ml - 40")</f>
        <v>GC - IV - 2793 - CTY BAVINA - GOD THUNDER 260 (Dạng sữa - vàng nhạt) - 240ml - 40</v>
      </c>
    </row>
    <row r="3489">
      <c r="A3489" s="86">
        <f>IFERROR(__xludf.DUMMYFUNCTION("""COMPUTED_VALUE"""),3487.0)</f>
        <v>3487</v>
      </c>
      <c r="B3489" s="87" t="str">
        <f>IFERROR(__xludf.DUMMYFUNCTION("""COMPUTED_VALUE"""),"Nhãn")</f>
        <v>Nhãn</v>
      </c>
      <c r="C3489" s="87" t="str">
        <f>IFERROR(__xludf.DUMMYFUNCTION("""COMPUTED_VALUE"""),"NHG2794")</f>
        <v>NHG2794</v>
      </c>
      <c r="D3489" s="87" t="str">
        <f>IFERROR(__xludf.DUMMYFUNCTION("""COMPUTED_VALUE"""),"[Nhãn] GC - IV - 2794 - CTY BAVINA - HD LION 250 (Nước đỏ) - 240ml - 40")</f>
        <v>[Nhãn] GC - IV - 2794 - CTY BAVINA - HD LION 250 (Nước đỏ) - 240ml - 40</v>
      </c>
      <c r="E3489" s="87" t="str">
        <f>IFERROR(__xludf.DUMMYFUNCTION("""COMPUTED_VALUE"""),"X-SPIDER 25EC")</f>
        <v>X-SPIDER 25EC</v>
      </c>
      <c r="F3489" s="87" t="str">
        <f>IFERROR(__xludf.DUMMYFUNCTION("""COMPUTED_VALUE"""),"HH2794")</f>
        <v>HH2794</v>
      </c>
      <c r="G3489" s="87" t="str">
        <f>IFERROR(__xludf.DUMMYFUNCTION("""COMPUTED_VALUE"""),"GC - IV - 2794 - CTY BAVINA - HD LION 250 (Nước đỏ) - 240ml - 40")</f>
        <v>GC - IV - 2794 - CTY BAVINA - HD LION 250 (Nước đỏ) - 240ml - 40</v>
      </c>
    </row>
    <row r="3490">
      <c r="A3490" s="86">
        <f>IFERROR(__xludf.DUMMYFUNCTION("""COMPUTED_VALUE"""),3488.0)</f>
        <v>3488</v>
      </c>
      <c r="B3490" s="87" t="str">
        <f>IFERROR(__xludf.DUMMYFUNCTION("""COMPUTED_VALUE"""),"Nhãn")</f>
        <v>Nhãn</v>
      </c>
      <c r="C3490" s="87" t="str">
        <f>IFERROR(__xludf.DUMMYFUNCTION("""COMPUTED_VALUE"""),"NHG2795")</f>
        <v>NHG2795</v>
      </c>
      <c r="D3490" s="87" t="str">
        <f>IFERROR(__xludf.DUMMYFUNCTION("""COMPUTED_VALUE"""),"[Nhãn] GC - IV - 2795- CTY ECO - PROTEC EXTRA (Nước đỏ) - 250ml - 40")</f>
        <v>[Nhãn] GC - IV - 2795- CTY ECO - PROTEC EXTRA (Nước đỏ) - 250ml - 40</v>
      </c>
      <c r="E3490" s="87" t="str">
        <f>IFERROR(__xludf.DUMMYFUNCTION("""COMPUTED_VALUE"""),"GENOL 1.2SL")</f>
        <v>GENOL 1.2SL</v>
      </c>
      <c r="F3490" s="87" t="str">
        <f>IFERROR(__xludf.DUMMYFUNCTION("""COMPUTED_VALUE"""),"HH2795")</f>
        <v>HH2795</v>
      </c>
      <c r="G3490" s="87" t="str">
        <f>IFERROR(__xludf.DUMMYFUNCTION("""COMPUTED_VALUE"""),"GC - IV - 2795- CTY ECO - PROTEC EXTRA (Nước đỏ) - 250ml - 40")</f>
        <v>GC - IV - 2795- CTY ECO - PROTEC EXTRA (Nước đỏ) - 250ml - 40</v>
      </c>
    </row>
    <row r="3491">
      <c r="A3491" s="86">
        <f>IFERROR(__xludf.DUMMYFUNCTION("""COMPUTED_VALUE"""),3489.0)</f>
        <v>3489</v>
      </c>
      <c r="B3491" s="87" t="str">
        <f>IFERROR(__xludf.DUMMYFUNCTION("""COMPUTED_VALUE"""),"Nhãn thùng")</f>
        <v>Nhãn thùng</v>
      </c>
      <c r="C3491" s="87" t="str">
        <f>IFERROR(__xludf.DUMMYFUNCTION("""COMPUTED_VALUE"""),"NDT2795")</f>
        <v>NDT2795</v>
      </c>
      <c r="D3491" s="87" t="str">
        <f>IFERROR(__xludf.DUMMYFUNCTION("""COMPUTED_VALUE"""),"[Nhãn thùng] GC - IV - 2795- CTY ECO - PROTEC EXTRA (Nước đỏ) - 250ml - 40")</f>
        <v>[Nhãn thùng] GC - IV - 2795- CTY ECO - PROTEC EXTRA (Nước đỏ) - 250ml - 40</v>
      </c>
      <c r="E3491" s="87" t="str">
        <f>IFERROR(__xludf.DUMMYFUNCTION("""COMPUTED_VALUE"""),"GENOL 1.2SL")</f>
        <v>GENOL 1.2SL</v>
      </c>
      <c r="F3491" s="87" t="str">
        <f>IFERROR(__xludf.DUMMYFUNCTION("""COMPUTED_VALUE"""),"HH2795")</f>
        <v>HH2795</v>
      </c>
      <c r="G3491" s="87" t="str">
        <f>IFERROR(__xludf.DUMMYFUNCTION("""COMPUTED_VALUE"""),"GC - IV - 2795- CTY ECO - PROTEC EXTRA (Nước đỏ) - 250ml - 40")</f>
        <v>GC - IV - 2795- CTY ECO - PROTEC EXTRA (Nước đỏ) - 250ml - 40</v>
      </c>
    </row>
    <row r="3492">
      <c r="A3492" s="86">
        <f>IFERROR(__xludf.DUMMYFUNCTION("""COMPUTED_VALUE"""),3490.0)</f>
        <v>3490</v>
      </c>
      <c r="B3492" s="87" t="str">
        <f>IFERROR(__xludf.DUMMYFUNCTION("""COMPUTED_VALUE"""),"Nhãn")</f>
        <v>Nhãn</v>
      </c>
      <c r="C3492" s="87" t="str">
        <f>IFERROR(__xludf.DUMMYFUNCTION("""COMPUTED_VALUE"""),"NHG2796")</f>
        <v>NHG2796</v>
      </c>
      <c r="D3492" s="87" t="str">
        <f>IFERROR(__xludf.DUMMYFUNCTION("""COMPUTED_VALUE"""),"[Nhãn] GC - IV - 2796 - ĐL PHONG HẢI - GENOL 1.2SL (Nước đỏ) - 450ml - 30")</f>
        <v>[Nhãn] GC - IV - 2796 - ĐL PHONG HẢI - GENOL 1.2SL (Nước đỏ) - 450ml - 30</v>
      </c>
      <c r="E3492" s="87" t="str">
        <f>IFERROR(__xludf.DUMMYFUNCTION("""COMPUTED_VALUE"""),"GENOL 1.2SL")</f>
        <v>GENOL 1.2SL</v>
      </c>
      <c r="F3492" s="87" t="str">
        <f>IFERROR(__xludf.DUMMYFUNCTION("""COMPUTED_VALUE"""),"HH2796")</f>
        <v>HH2796</v>
      </c>
      <c r="G3492" s="87" t="str">
        <f>IFERROR(__xludf.DUMMYFUNCTION("""COMPUTED_VALUE"""),"GC - IV - 2796 - ĐL PHONG HẢI - GENOL 1.2SL (Nước đỏ) - 450ml - 30")</f>
        <v>GC - IV - 2796 - ĐL PHONG HẢI - GENOL 1.2SL (Nước đỏ) - 450ml - 30</v>
      </c>
    </row>
    <row r="3493">
      <c r="A3493" s="86">
        <f>IFERROR(__xludf.DUMMYFUNCTION("""COMPUTED_VALUE"""),3491.0)</f>
        <v>3491</v>
      </c>
      <c r="B3493" s="87" t="str">
        <f>IFERROR(__xludf.DUMMYFUNCTION("""COMPUTED_VALUE"""),"Nhãn")</f>
        <v>Nhãn</v>
      </c>
      <c r="C3493" s="87" t="str">
        <f>IFERROR(__xludf.DUMMYFUNCTION("""COMPUTED_VALUE"""),"NHG2798")</f>
        <v>NHG2798</v>
      </c>
      <c r="D3493" s="87" t="str">
        <f>IFERROR(__xludf.DUMMYFUNCTION("""COMPUTED_VALUE"""),"[Nhãn] GC - IV - 2798 - Cty Agrochem Korea - CỨNG NHƯ ĐẠN (Gel nâu đen) - 500ml - 30")</f>
        <v>[Nhãn] GC - IV - 2798 - Cty Agrochem Korea - CỨNG NHƯ ĐẠN (Gel nâu đen) - 500ml - 30</v>
      </c>
      <c r="E3493" s="87" t="str">
        <f>IFERROR(__xludf.DUMMYFUNCTION("""COMPUTED_VALUE"""),"Vi lượng Quantity New")</f>
        <v>Vi lượng Quantity New</v>
      </c>
      <c r="F3493" s="87" t="str">
        <f>IFERROR(__xludf.DUMMYFUNCTION("""COMPUTED_VALUE"""),"HH2798")</f>
        <v>HH2798</v>
      </c>
      <c r="G3493" s="87" t="str">
        <f>IFERROR(__xludf.DUMMYFUNCTION("""COMPUTED_VALUE"""),"GC - IV - 2798 - Cty Agrochem Korea - CỨNG NHƯ ĐẠN (Gel nâu đen) - 500ml - 30")</f>
        <v>GC - IV - 2798 - Cty Agrochem Korea - CỨNG NHƯ ĐẠN (Gel nâu đen) - 500ml - 30</v>
      </c>
    </row>
    <row r="3494">
      <c r="A3494" s="86">
        <f>IFERROR(__xludf.DUMMYFUNCTION("""COMPUTED_VALUE"""),3492.0)</f>
        <v>3492</v>
      </c>
      <c r="B3494" s="87" t="str">
        <f>IFERROR(__xludf.DUMMYFUNCTION("""COMPUTED_VALUE"""),"Nhãn thùng")</f>
        <v>Nhãn thùng</v>
      </c>
      <c r="C3494" s="87" t="str">
        <f>IFERROR(__xludf.DUMMYFUNCTION("""COMPUTED_VALUE"""),"NDT2798")</f>
        <v>NDT2798</v>
      </c>
      <c r="D3494" s="87" t="str">
        <f>IFERROR(__xludf.DUMMYFUNCTION("""COMPUTED_VALUE"""),"[Nhãn thùng] GC - IV - 2798 - Cty Agrochem Korea - CỨNG NHƯ ĐẠN (Gel nâu đen) - 500ml - 30")</f>
        <v>[Nhãn thùng] GC - IV - 2798 - Cty Agrochem Korea - CỨNG NHƯ ĐẠN (Gel nâu đen) - 500ml - 30</v>
      </c>
      <c r="E3494" s="87" t="str">
        <f>IFERROR(__xludf.DUMMYFUNCTION("""COMPUTED_VALUE"""),"Vi lượng Quantity New")</f>
        <v>Vi lượng Quantity New</v>
      </c>
      <c r="F3494" s="87" t="str">
        <f>IFERROR(__xludf.DUMMYFUNCTION("""COMPUTED_VALUE"""),"HH2798")</f>
        <v>HH2798</v>
      </c>
      <c r="G3494" s="87" t="str">
        <f>IFERROR(__xludf.DUMMYFUNCTION("""COMPUTED_VALUE"""),"GC - IV - 2798 - Cty Agrochem Korea - CỨNG NHƯ ĐẠN (Gel nâu đen) - 500ml - 30")</f>
        <v>GC - IV - 2798 - Cty Agrochem Korea - CỨNG NHƯ ĐẠN (Gel nâu đen) - 500ml - 30</v>
      </c>
    </row>
    <row r="3495">
      <c r="A3495" s="86">
        <f>IFERROR(__xludf.DUMMYFUNCTION("""COMPUTED_VALUE"""),3493.0)</f>
        <v>3493</v>
      </c>
      <c r="B3495" s="87" t="str">
        <f>IFERROR(__xludf.DUMMYFUNCTION("""COMPUTED_VALUE"""),"Nhãn")</f>
        <v>Nhãn</v>
      </c>
      <c r="C3495" s="87" t="str">
        <f>IFERROR(__xludf.DUMMYFUNCTION("""COMPUTED_VALUE"""),"NHD2799")</f>
        <v>NHD2799</v>
      </c>
      <c r="D3495" s="87" t="str">
        <f>IFERROR(__xludf.DUMMYFUNCTION("""COMPUTED_VALUE"""),"[Nhãn] NB - 2799 - DEGO - Soil Improverment - l Lít - 20")</f>
        <v>[Nhãn] NB - 2799 - DEGO - Soil Improverment - l Lít - 20</v>
      </c>
      <c r="E3495" s="87"/>
      <c r="F3495" s="87" t="str">
        <f>IFERROR(__xludf.DUMMYFUNCTION("""COMPUTED_VALUE"""),"HH2799")</f>
        <v>HH2799</v>
      </c>
      <c r="G3495" s="87"/>
    </row>
    <row r="3496">
      <c r="A3496" s="86">
        <f>IFERROR(__xludf.DUMMYFUNCTION("""COMPUTED_VALUE"""),3494.0)</f>
        <v>3494</v>
      </c>
      <c r="B3496" s="87" t="str">
        <f>IFERROR(__xludf.DUMMYFUNCTION("""COMPUTED_VALUE"""),"Nhãn")</f>
        <v>Nhãn</v>
      </c>
      <c r="C3496" s="87" t="str">
        <f>IFERROR(__xludf.DUMMYFUNCTION("""COMPUTED_VALUE"""),"NHD2800")</f>
        <v>NHD2800</v>
      </c>
      <c r="D3496" s="87" t="str">
        <f>IFERROR(__xludf.DUMMYFUNCTION("""COMPUTED_VALUE"""),"[Nhãn] NB - IV - 2800 - Hưng Thắng Lợi Gia Lai - Glufocide 200SL - 20L - 1")</f>
        <v>[Nhãn] NB - IV - 2800 - Hưng Thắng Lợi Gia Lai - Glufocide 200SL - 20L - 1</v>
      </c>
      <c r="E3496" s="87" t="str">
        <f>IFERROR(__xludf.DUMMYFUNCTION("""COMPUTED_VALUE"""),"GLUFOCIDE 200SL")</f>
        <v>GLUFOCIDE 200SL</v>
      </c>
      <c r="F3496" s="87" t="str">
        <f>IFERROR(__xludf.DUMMYFUNCTION("""COMPUTED_VALUE"""),"HH2800")</f>
        <v>HH2800</v>
      </c>
      <c r="G3496" s="87" t="str">
        <f>IFERROR(__xludf.DUMMYFUNCTION("""COMPUTED_VALUE"""),"NB - IV - 2800 - Hưng Thắng Lợi Gia Lai - Glufocide 200SL - 20L - 1")</f>
        <v>NB - IV - 2800 - Hưng Thắng Lợi Gia Lai - Glufocide 200SL - 20L - 1</v>
      </c>
    </row>
    <row r="3497">
      <c r="A3497" s="86">
        <f>IFERROR(__xludf.DUMMYFUNCTION("""COMPUTED_VALUE"""),3495.0)</f>
        <v>3495</v>
      </c>
      <c r="B3497" s="87" t="str">
        <f>IFERROR(__xludf.DUMMYFUNCTION("""COMPUTED_VALUE"""),"Nhãn")</f>
        <v>Nhãn</v>
      </c>
      <c r="C3497" s="87" t="str">
        <f>IFERROR(__xludf.DUMMYFUNCTION("""COMPUTED_VALUE"""),"NHD2801")</f>
        <v>NHD2801</v>
      </c>
      <c r="D3497" s="87" t="str">
        <f>IFERROR(__xludf.DUMMYFUNCTION("""COMPUTED_VALUE"""),"[Nhãn] NB - IV - 2801 - Hưng Thắng Lợi Gia Lai - Thalonil 75WP - 20L - 1")</f>
        <v>[Nhãn] NB - IV - 2801 - Hưng Thắng Lợi Gia Lai - Thalonil 75WP - 20L - 1</v>
      </c>
      <c r="E3497" s="87" t="str">
        <f>IFERROR(__xludf.DUMMYFUNCTION("""COMPUTED_VALUE"""),"THALONIL 75WP")</f>
        <v>THALONIL 75WP</v>
      </c>
      <c r="F3497" s="87" t="str">
        <f>IFERROR(__xludf.DUMMYFUNCTION("""COMPUTED_VALUE"""),"HH2801")</f>
        <v>HH2801</v>
      </c>
      <c r="G3497" s="87" t="str">
        <f>IFERROR(__xludf.DUMMYFUNCTION("""COMPUTED_VALUE"""),"NB - IV - 2801 - Hưng Thắng Lợi Gia Lai - Thalonil 75WP - 20L - 1")</f>
        <v>NB - IV - 2801 - Hưng Thắng Lợi Gia Lai - Thalonil 75WP - 20L - 1</v>
      </c>
    </row>
    <row r="3498">
      <c r="A3498" s="86">
        <f>IFERROR(__xludf.DUMMYFUNCTION("""COMPUTED_VALUE"""),3496.0)</f>
        <v>3496</v>
      </c>
      <c r="B3498" s="87" t="str">
        <f>IFERROR(__xludf.DUMMYFUNCTION("""COMPUTED_VALUE"""),"Nhãn")</f>
        <v>Nhãn</v>
      </c>
      <c r="C3498" s="87" t="str">
        <f>IFERROR(__xludf.DUMMYFUNCTION("""COMPUTED_VALUE"""),"NHG2802")</f>
        <v>NHG2802</v>
      </c>
      <c r="D3498" s="87" t="str">
        <f>IFERROR(__xludf.DUMMYFUNCTION("""COMPUTED_VALUE"""),"[Nhãn] GC - IV - 2802 - KIM NGỌC - AGAMA-CANXI BO (Nước trắng sữa) - 500ml - 40")</f>
        <v>[Nhãn] GC - IV - 2802 - KIM NGỌC - AGAMA-CANXI BO (Nước trắng sữa) - 500ml - 40</v>
      </c>
      <c r="E3498" s="87" t="str">
        <f>IFERROR(__xludf.DUMMYFUNCTION("""COMPUTED_VALUE"""),"Vi lượng AGAMA-CANXI BO")</f>
        <v>Vi lượng AGAMA-CANXI BO</v>
      </c>
      <c r="F3498" s="87" t="str">
        <f>IFERROR(__xludf.DUMMYFUNCTION("""COMPUTED_VALUE"""),"HH2802")</f>
        <v>HH2802</v>
      </c>
      <c r="G3498" s="87" t="str">
        <f>IFERROR(__xludf.DUMMYFUNCTION("""COMPUTED_VALUE"""),"GC - IV - 2802 - KIM NGỌC - AGAMA-CANXI BO (Nước trắng sữa) - 500ml - 40")</f>
        <v>GC - IV - 2802 - KIM NGỌC - AGAMA-CANXI BO (Nước trắng sữa) - 500ml - 40</v>
      </c>
    </row>
    <row r="3499">
      <c r="A3499" s="86">
        <f>IFERROR(__xludf.DUMMYFUNCTION("""COMPUTED_VALUE"""),3497.0)</f>
        <v>3497</v>
      </c>
      <c r="B3499" s="87" t="str">
        <f>IFERROR(__xludf.DUMMYFUNCTION("""COMPUTED_VALUE"""),"Nhãn")</f>
        <v>Nhãn</v>
      </c>
      <c r="C3499" s="87" t="str">
        <f>IFERROR(__xludf.DUMMYFUNCTION("""COMPUTED_VALUE"""),"NHG2803")</f>
        <v>NHG2803</v>
      </c>
      <c r="D3499" s="87" t="str">
        <f>IFERROR(__xludf.DUMMYFUNCTION("""COMPUTED_VALUE"""),"[Nhãn] GC - IV - 2803 - Cty Agro Life Solution - Bọ Cạp Lửa (nước nâu đen) - 450ml - 40")</f>
        <v>[Nhãn] GC - IV - 2803 - Cty Agro Life Solution - Bọ Cạp Lửa (nước nâu đen) - 450ml - 40</v>
      </c>
      <c r="E3499" s="87" t="str">
        <f>IFERROR(__xludf.DUMMYFUNCTION("""COMPUTED_VALUE"""),"HAIHAMEC 3.6EC")</f>
        <v>HAIHAMEC 3.6EC</v>
      </c>
      <c r="F3499" s="87" t="str">
        <f>IFERROR(__xludf.DUMMYFUNCTION("""COMPUTED_VALUE"""),"HH2803")</f>
        <v>HH2803</v>
      </c>
      <c r="G3499" s="87" t="str">
        <f>IFERROR(__xludf.DUMMYFUNCTION("""COMPUTED_VALUE"""),"GC - IV - 2803 - Cty Agro Life Solution - Bọ Cạp Lửa (nước nâu đen) - 450ml - 40")</f>
        <v>GC - IV - 2803 - Cty Agro Life Solution - Bọ Cạp Lửa (nước nâu đen) - 450ml - 40</v>
      </c>
    </row>
    <row r="3500">
      <c r="A3500" s="86">
        <f>IFERROR(__xludf.DUMMYFUNCTION("""COMPUTED_VALUE"""),3498.0)</f>
        <v>3498</v>
      </c>
      <c r="B3500" s="87" t="str">
        <f>IFERROR(__xludf.DUMMYFUNCTION("""COMPUTED_VALUE"""),"[Nhãn thùng]")</f>
        <v>[Nhãn thùng]</v>
      </c>
      <c r="C3500" s="87" t="str">
        <f>IFERROR(__xludf.DUMMYFUNCTION("""COMPUTED_VALUE"""),"NDT2803")</f>
        <v>NDT2803</v>
      </c>
      <c r="D3500" s="87" t="str">
        <f>IFERROR(__xludf.DUMMYFUNCTION("""COMPUTED_VALUE"""),"[Nhãn thùng] GC - IV - 2803 - Cty Agro Life Solution - Bọ Cạp Lửa (nước nâu đen) - 450ml - 40")</f>
        <v>[Nhãn thùng] GC - IV - 2803 - Cty Agro Life Solution - Bọ Cạp Lửa (nước nâu đen) - 450ml - 40</v>
      </c>
      <c r="E3500" s="87" t="str">
        <f>IFERROR(__xludf.DUMMYFUNCTION("""COMPUTED_VALUE"""),"HAIHAMEC 3.6EC")</f>
        <v>HAIHAMEC 3.6EC</v>
      </c>
      <c r="F3500" s="87" t="str">
        <f>IFERROR(__xludf.DUMMYFUNCTION("""COMPUTED_VALUE"""),"HH2803")</f>
        <v>HH2803</v>
      </c>
      <c r="G3500" s="87" t="str">
        <f>IFERROR(__xludf.DUMMYFUNCTION("""COMPUTED_VALUE"""),"GC - IV - 2803 - Cty Agro Life Solution - Bọ Cạp Lửa (nước nâu đen) - 450ml - 40")</f>
        <v>GC - IV - 2803 - Cty Agro Life Solution - Bọ Cạp Lửa (nước nâu đen) - 450ml - 40</v>
      </c>
    </row>
    <row r="3501">
      <c r="A3501" s="86">
        <f>IFERROR(__xludf.DUMMYFUNCTION("""COMPUTED_VALUE"""),3499.0)</f>
        <v>3499</v>
      </c>
      <c r="B3501" s="87" t="str">
        <f>IFERROR(__xludf.DUMMYFUNCTION("""COMPUTED_VALUE"""),"Nhãn")</f>
        <v>Nhãn</v>
      </c>
      <c r="C3501" s="87" t="str">
        <f>IFERROR(__xludf.DUMMYFUNCTION("""COMPUTED_VALUE"""),"NHG2804")</f>
        <v>NHG2804</v>
      </c>
      <c r="D3501" s="87" t="str">
        <f>IFERROR(__xludf.DUMMYFUNCTION("""COMPUTED_VALUE"""),"[Nhãn]  LOT IDA Global - I - 2804 - ĐL Quốc Dũng - Thần Hổ (Pet tròn)(nắp đỏ)(nước nâu đen) - 450ml - 40")</f>
        <v>[Nhãn]  LOT IDA Global - I - 2804 - ĐL Quốc Dũng - Thần Hổ (Pet tròn)(nắp đỏ)(nước nâu đen) - 450ml - 40</v>
      </c>
      <c r="E3501" s="87" t="str">
        <f>IFERROR(__xludf.DUMMYFUNCTION("""COMPUTED_VALUE"""),"Chitin 3.6EC")</f>
        <v>Chitin 3.6EC</v>
      </c>
      <c r="F3501" s="87" t="str">
        <f>IFERROR(__xludf.DUMMYFUNCTION("""COMPUTED_VALUE"""),"HH2804")</f>
        <v>HH2804</v>
      </c>
      <c r="G3501" s="87" t="str">
        <f>IFERROR(__xludf.DUMMYFUNCTION("""COMPUTED_VALUE"""),"LOT IDA Global - I - 2804 - ĐL Quốc Dũng - Thần Hổ (Pet tròn)(nắp đỏ)(nước nâu đen) - 450ml - 40")</f>
        <v>LOT IDA Global - I - 2804 - ĐL Quốc Dũng - Thần Hổ (Pet tròn)(nắp đỏ)(nước nâu đen) - 450ml - 40</v>
      </c>
    </row>
    <row r="3502">
      <c r="A3502" s="86">
        <f>IFERROR(__xludf.DUMMYFUNCTION("""COMPUTED_VALUE"""),3500.0)</f>
        <v>3500</v>
      </c>
      <c r="B3502" s="87" t="str">
        <f>IFERROR(__xludf.DUMMYFUNCTION("""COMPUTED_VALUE"""),"Nhãn")</f>
        <v>Nhãn</v>
      </c>
      <c r="C3502" s="87" t="str">
        <f>IFERROR(__xludf.DUMMYFUNCTION("""COMPUTED_VALUE"""),"NHG2805")</f>
        <v>NHG2805</v>
      </c>
      <c r="D3502" s="87" t="str">
        <f>IFERROR(__xludf.DUMMYFUNCTION("""COMPUTED_VALUE"""),"[Nhãn] GC - IV - 2805 - CTY OLYMPUS - CITTIZEN 333SC (Nước cam) - 250ml - 40")</f>
        <v>[Nhãn] GC - IV - 2805 - CTY OLYMPUS - CITTIZEN 333SC (Nước cam) - 250ml - 40</v>
      </c>
      <c r="E3502" s="87" t="str">
        <f>IFERROR(__xludf.DUMMYFUNCTION("""COMPUTED_VALUE"""),"CITTIZEN 333SC")</f>
        <v>CITTIZEN 333SC</v>
      </c>
      <c r="F3502" s="87" t="str">
        <f>IFERROR(__xludf.DUMMYFUNCTION("""COMPUTED_VALUE"""),"HH2805")</f>
        <v>HH2805</v>
      </c>
      <c r="G3502" s="87" t="str">
        <f>IFERROR(__xludf.DUMMYFUNCTION("""COMPUTED_VALUE"""),"GC - IV - 2805 - CTY OLYMPUS - CITTIZEN 333SC (Nước cam) - 250ml - 40")</f>
        <v>GC - IV - 2805 - CTY OLYMPUS - CITTIZEN 333SC (Nước cam) - 250ml - 40</v>
      </c>
    </row>
    <row r="3503">
      <c r="A3503" s="86">
        <f>IFERROR(__xludf.DUMMYFUNCTION("""COMPUTED_VALUE"""),3501.0)</f>
        <v>3501</v>
      </c>
      <c r="B3503" s="87" t="str">
        <f>IFERROR(__xludf.DUMMYFUNCTION("""COMPUTED_VALUE"""),"Nhãn thùng")</f>
        <v>Nhãn thùng</v>
      </c>
      <c r="C3503" s="87" t="str">
        <f>IFERROR(__xludf.DUMMYFUNCTION("""COMPUTED_VALUE"""),"NDT2805")</f>
        <v>NDT2805</v>
      </c>
      <c r="D3503" s="87" t="str">
        <f>IFERROR(__xludf.DUMMYFUNCTION("""COMPUTED_VALUE"""),"[Nhãn thùng] GC - IV - 2805 - CTY OLYMPUS - CITTIZEN 333SC (Nước cam) - 250ml - 40")</f>
        <v>[Nhãn thùng] GC - IV - 2805 - CTY OLYMPUS - CITTIZEN 333SC (Nước cam) - 250ml - 40</v>
      </c>
      <c r="E3503" s="87" t="str">
        <f>IFERROR(__xludf.DUMMYFUNCTION("""COMPUTED_VALUE"""),"CITTIZEN 333SC")</f>
        <v>CITTIZEN 333SC</v>
      </c>
      <c r="F3503" s="87" t="str">
        <f>IFERROR(__xludf.DUMMYFUNCTION("""COMPUTED_VALUE"""),"HH2805")</f>
        <v>HH2805</v>
      </c>
      <c r="G3503" s="87" t="str">
        <f>IFERROR(__xludf.DUMMYFUNCTION("""COMPUTED_VALUE"""),"GC - IV - 2805 - CTY OLYMPUS - CITTIZEN 333SC (Nước cam) - 250ml - 40")</f>
        <v>GC - IV - 2805 - CTY OLYMPUS - CITTIZEN 333SC (Nước cam) - 250ml - 40</v>
      </c>
    </row>
    <row r="3504">
      <c r="A3504" s="86">
        <f>IFERROR(__xludf.DUMMYFUNCTION("""COMPUTED_VALUE"""),3502.0)</f>
        <v>3502</v>
      </c>
      <c r="B3504" s="87" t="str">
        <f>IFERROR(__xludf.DUMMYFUNCTION("""COMPUTED_VALUE"""),"Nhãn")</f>
        <v>Nhãn</v>
      </c>
      <c r="C3504" s="87" t="str">
        <f>IFERROR(__xludf.DUMMYFUNCTION("""COMPUTED_VALUE"""),"NHG2806")</f>
        <v>NHG2806</v>
      </c>
      <c r="D3504" s="87" t="str">
        <f>IFERROR(__xludf.DUMMYFUNCTION("""COMPUTED_VALUE"""),"[Nhãn] LOT IDA Global - I - 2806 - ĐL NGUYỄN ĐỨC MINH - ABAMECTIN 3.6 (nước nâu đen) - 450ml - 40")</f>
        <v>[Nhãn] LOT IDA Global - I - 2806 - ĐL NGUYỄN ĐỨC MINH - ABAMECTIN 3.6 (nước nâu đen) - 450ml - 40</v>
      </c>
      <c r="E3504" s="87" t="str">
        <f>IFERROR(__xludf.DUMMYFUNCTION("""COMPUTED_VALUE"""),"HAIHAMEC 3.6EC")</f>
        <v>HAIHAMEC 3.6EC</v>
      </c>
      <c r="F3504" s="87" t="str">
        <f>IFERROR(__xludf.DUMMYFUNCTION("""COMPUTED_VALUE"""),"HH2806")</f>
        <v>HH2806</v>
      </c>
      <c r="G3504" s="87" t="str">
        <f>IFERROR(__xludf.DUMMYFUNCTION("""COMPUTED_VALUE"""),"LOT IDA Global - I - 2806 - ĐL NGUYỄN ĐỨC MINH - ABAMECTIN 3.6 (nước nâu đen) - 450ml - 40")</f>
        <v>LOT IDA Global - I - 2806 - ĐL NGUYỄN ĐỨC MINH - ABAMECTIN 3.6 (nước nâu đen) - 450ml - 40</v>
      </c>
    </row>
    <row r="3505">
      <c r="A3505" s="86">
        <f>IFERROR(__xludf.DUMMYFUNCTION("""COMPUTED_VALUE"""),3503.0)</f>
        <v>3503</v>
      </c>
      <c r="B3505" s="87" t="str">
        <f>IFERROR(__xludf.DUMMYFUNCTION("""COMPUTED_VALUE"""),"Nhãn")</f>
        <v>Nhãn</v>
      </c>
      <c r="C3505" s="87" t="str">
        <f>IFERROR(__xludf.DUMMYFUNCTION("""COMPUTED_VALUE"""),"NHG2807")</f>
        <v>NHG2807</v>
      </c>
      <c r="D3505" s="87" t="str">
        <f>IFERROR(__xludf.DUMMYFUNCTION("""COMPUTED_VALUE"""),"[Nhãn] IDA Global - I - 2807 - ĐL CHÍ TOÀN - VÔ GẠO TRUERICE (Nước đỏ cam) - 500ml - 40")</f>
        <v>[Nhãn] IDA Global - I - 2807 - ĐL CHÍ TOÀN - VÔ GẠO TRUERICE (Nước đỏ cam) - 500ml - 40</v>
      </c>
      <c r="E3505" s="87" t="str">
        <f>IFERROR(__xludf.DUMMYFUNCTION("""COMPUTED_VALUE"""),"NPK-Vi lượng MASSIVE-BLUE")</f>
        <v>NPK-Vi lượng MASSIVE-BLUE</v>
      </c>
      <c r="F3505" s="87" t="str">
        <f>IFERROR(__xludf.DUMMYFUNCTION("""COMPUTED_VALUE"""),"HH2807")</f>
        <v>HH2807</v>
      </c>
      <c r="G3505" s="87" t="str">
        <f>IFERROR(__xludf.DUMMYFUNCTION("""COMPUTED_VALUE"""),"IDA Global - I - 2807 - ĐL CHÍ TOÀN - VÔ GẠO TRUERICE (Nước đỏ cam) - 500ml - 40")</f>
        <v>IDA Global - I - 2807 - ĐL CHÍ TOÀN - VÔ GẠO TRUERICE (Nước đỏ cam) - 500ml - 40</v>
      </c>
    </row>
    <row r="3506">
      <c r="A3506" s="86">
        <f>IFERROR(__xludf.DUMMYFUNCTION("""COMPUTED_VALUE"""),3504.0)</f>
        <v>3504</v>
      </c>
      <c r="B3506" s="87" t="str">
        <f>IFERROR(__xludf.DUMMYFUNCTION("""COMPUTED_VALUE"""),"Nhãn")</f>
        <v>Nhãn</v>
      </c>
      <c r="C3506" s="87" t="str">
        <f>IFERROR(__xludf.DUMMYFUNCTION("""COMPUTED_VALUE"""),"NHG2808")</f>
        <v>NHG2808</v>
      </c>
      <c r="D3506" s="87" t="str">
        <f>IFERROR(__xludf.DUMMYFUNCTION("""COMPUTED_VALUE"""),"[Nhãn] GC - IV - 2808 - Cty VNT Mekong - Trâu Đỏ (nước đỏ) - 900ml - 20")</f>
        <v>[Nhãn] GC - IV - 2808 - Cty VNT Mekong - Trâu Đỏ (nước đỏ) - 900ml - 20</v>
      </c>
      <c r="E3506" s="87" t="str">
        <f>IFERROR(__xludf.DUMMYFUNCTION("""COMPUTED_VALUE"""),"Asupergras 200SL")</f>
        <v>Asupergras 200SL</v>
      </c>
      <c r="F3506" s="87" t="str">
        <f>IFERROR(__xludf.DUMMYFUNCTION("""COMPUTED_VALUE"""),"HH2808")</f>
        <v>HH2808</v>
      </c>
      <c r="G3506" s="87" t="str">
        <f>IFERROR(__xludf.DUMMYFUNCTION("""COMPUTED_VALUE"""),"GC - IV - 2808 - Cty VNT Mekong - Trâu Đỏ (nước đỏ) - 900ml - 20")</f>
        <v>GC - IV - 2808 - Cty VNT Mekong - Trâu Đỏ (nước đỏ) - 900ml - 20</v>
      </c>
    </row>
    <row r="3507">
      <c r="A3507" s="86">
        <f>IFERROR(__xludf.DUMMYFUNCTION("""COMPUTED_VALUE"""),3505.0)</f>
        <v>3505</v>
      </c>
      <c r="B3507" s="87" t="str">
        <f>IFERROR(__xludf.DUMMYFUNCTION("""COMPUTED_VALUE"""),"Nhãn")</f>
        <v>Nhãn</v>
      </c>
      <c r="C3507" s="87" t="str">
        <f>IFERROR(__xludf.DUMMYFUNCTION("""COMPUTED_VALUE"""),"NHG2809")</f>
        <v>NHG2809</v>
      </c>
      <c r="D3507" s="87" t="str">
        <f>IFERROR(__xludf.DUMMYFUNCTION("""COMPUTED_VALUE"""),"[Nhãn] GC - II - 2809 - ĐL PHONG HẢI - THIÊN TRỤ (Nước nâu đen) - 500ml - 30")</f>
        <v>[Nhãn] GC - II - 2809 - ĐL PHONG HẢI - THIÊN TRỤ (Nước nâu đen) - 500ml - 30</v>
      </c>
      <c r="E3507" s="87" t="str">
        <f>IFERROR(__xludf.DUMMYFUNCTION("""COMPUTED_VALUE"""),"Vi lượng Quantity New")</f>
        <v>Vi lượng Quantity New</v>
      </c>
      <c r="F3507" s="87" t="str">
        <f>IFERROR(__xludf.DUMMYFUNCTION("""COMPUTED_VALUE"""),"HH2809")</f>
        <v>HH2809</v>
      </c>
      <c r="G3507" s="87" t="str">
        <f>IFERROR(__xludf.DUMMYFUNCTION("""COMPUTED_VALUE"""),"GC - II - 2809 - ĐL PHONG HẢI - THIÊN TRỤ (Nước nâu đen) - 500ml - 30")</f>
        <v>GC - II - 2809 - ĐL PHONG HẢI - THIÊN TRỤ (Nước nâu đen) - 500ml - 30</v>
      </c>
    </row>
    <row r="3508">
      <c r="A3508" s="86">
        <f>IFERROR(__xludf.DUMMYFUNCTION("""COMPUTED_VALUE"""),3506.0)</f>
        <v>3506</v>
      </c>
      <c r="B3508" s="87" t="str">
        <f>IFERROR(__xludf.DUMMYFUNCTION("""COMPUTED_VALUE"""),"Nhãn")</f>
        <v>Nhãn</v>
      </c>
      <c r="C3508" s="87" t="str">
        <f>IFERROR(__xludf.DUMMYFUNCTION("""COMPUTED_VALUE"""),"NHG2811")</f>
        <v>NHG2811</v>
      </c>
      <c r="D3508" s="87" t="str">
        <f>IFERROR(__xludf.DUMMYFUNCTION("""COMPUTED_VALUE"""),"[Nhãn] GC - II - 2811 - THÀNH CÔNG AGRI - ROOTS 89 (Nước nâu đen) - 5L - 4")</f>
        <v>[Nhãn] GC - II - 2811 - THÀNH CÔNG AGRI - ROOTS 89 (Nước nâu đen) - 5L - 4</v>
      </c>
      <c r="E3508" s="87" t="str">
        <f>IFERROR(__xludf.DUMMYFUNCTION("""COMPUTED_VALUE"""),"Vi lượng Quantity New")</f>
        <v>Vi lượng Quantity New</v>
      </c>
      <c r="F3508" s="87" t="str">
        <f>IFERROR(__xludf.DUMMYFUNCTION("""COMPUTED_VALUE"""),"HH2811")</f>
        <v>HH2811</v>
      </c>
      <c r="G3508" s="87" t="str">
        <f>IFERROR(__xludf.DUMMYFUNCTION("""COMPUTED_VALUE"""),"GC - II - 2811 - THÀNH CÔNG AGRI - ROOTS 89 (Nước nâu đen) - 5L - 4")</f>
        <v>GC - II - 2811 - THÀNH CÔNG AGRI - ROOTS 89 (Nước nâu đen) - 5L - 4</v>
      </c>
    </row>
    <row r="3509">
      <c r="A3509" s="86">
        <f>IFERROR(__xludf.DUMMYFUNCTION("""COMPUTED_VALUE"""),3507.0)</f>
        <v>3507</v>
      </c>
      <c r="B3509" s="87" t="str">
        <f>IFERROR(__xludf.DUMMYFUNCTION("""COMPUTED_VALUE"""),"Nhãn")</f>
        <v>Nhãn</v>
      </c>
      <c r="C3509" s="87" t="str">
        <f>IFERROR(__xludf.DUMMYFUNCTION("""COMPUTED_VALUE"""),"NHD2811")</f>
        <v>NHD2811</v>
      </c>
      <c r="D3509" s="87" t="str">
        <f>IFERROR(__xludf.DUMMYFUNCTION("""COMPUTED_VALUE"""),"[Nhãn] GC - II - 2811 - THÀNH CÔNG AGRI - ROOTS 89 (Nước nâu đen) - 5L - 4")</f>
        <v>[Nhãn] GC - II - 2811 - THÀNH CÔNG AGRI - ROOTS 89 (Nước nâu đen) - 5L - 4</v>
      </c>
      <c r="E3509" s="87" t="str">
        <f>IFERROR(__xludf.DUMMYFUNCTION("""COMPUTED_VALUE"""),"Vi lượng Quantity New")</f>
        <v>Vi lượng Quantity New</v>
      </c>
      <c r="F3509" s="87" t="str">
        <f>IFERROR(__xludf.DUMMYFUNCTION("""COMPUTED_VALUE"""),"HH2811")</f>
        <v>HH2811</v>
      </c>
      <c r="G3509" s="87" t="str">
        <f>IFERROR(__xludf.DUMMYFUNCTION("""COMPUTED_VALUE"""),"GC - II - 2811 - THÀNH CÔNG AGRI - ROOTS 89 (Nước nâu đen) - 5L - 4")</f>
        <v>GC - II - 2811 - THÀNH CÔNG AGRI - ROOTS 89 (Nước nâu đen) - 5L - 4</v>
      </c>
    </row>
    <row r="3510">
      <c r="A3510" s="86">
        <f>IFERROR(__xludf.DUMMYFUNCTION("""COMPUTED_VALUE"""),3508.0)</f>
        <v>3508</v>
      </c>
      <c r="B3510" s="87" t="str">
        <f>IFERROR(__xludf.DUMMYFUNCTION("""COMPUTED_VALUE"""),"Nhãn thùng")</f>
        <v>Nhãn thùng</v>
      </c>
      <c r="C3510" s="87" t="str">
        <f>IFERROR(__xludf.DUMMYFUNCTION("""COMPUTED_VALUE"""),"NDT2811")</f>
        <v>NDT2811</v>
      </c>
      <c r="D3510" s="87" t="str">
        <f>IFERROR(__xludf.DUMMYFUNCTION("""COMPUTED_VALUE"""),"[Nhãn thùng] GC - II - 2811 - THÀNH CÔNG AGRI - ROOTS 89 (Nước nâu đen) - 5L - 4")</f>
        <v>[Nhãn thùng] GC - II - 2811 - THÀNH CÔNG AGRI - ROOTS 89 (Nước nâu đen) - 5L - 4</v>
      </c>
      <c r="E3510" s="87" t="str">
        <f>IFERROR(__xludf.DUMMYFUNCTION("""COMPUTED_VALUE"""),"Vi lượng Quantity New")</f>
        <v>Vi lượng Quantity New</v>
      </c>
      <c r="F3510" s="87" t="str">
        <f>IFERROR(__xludf.DUMMYFUNCTION("""COMPUTED_VALUE"""),"HH2811")</f>
        <v>HH2811</v>
      </c>
      <c r="G3510" s="87" t="str">
        <f>IFERROR(__xludf.DUMMYFUNCTION("""COMPUTED_VALUE"""),"GC - II - 2811 - THÀNH CÔNG AGRI - ROOTS 89 (Nước nâu đen) - 5L - 4")</f>
        <v>GC - II - 2811 - THÀNH CÔNG AGRI - ROOTS 89 (Nước nâu đen) - 5L - 4</v>
      </c>
    </row>
    <row r="3511">
      <c r="A3511" s="86">
        <f>IFERROR(__xludf.DUMMYFUNCTION("""COMPUTED_VALUE"""),3509.0)</f>
        <v>3509</v>
      </c>
      <c r="B3511" s="87" t="str">
        <f>IFERROR(__xludf.DUMMYFUNCTION("""COMPUTED_VALUE"""),"Nhãn")</f>
        <v>Nhãn</v>
      </c>
      <c r="C3511" s="87" t="str">
        <f>IFERROR(__xludf.DUMMYFUNCTION("""COMPUTED_VALUE"""),"NHG2812")</f>
        <v>NHG2812</v>
      </c>
      <c r="D3511" s="87" t="str">
        <f>IFERROR(__xludf.DUMMYFUNCTION("""COMPUTED_VALUE"""),"[Nhãn] IDA Global - I - 2812 - Cty Thịnh Vượng - Bò Cạp Vàng (nước nâu đen) - 450ml - 40")</f>
        <v>[Nhãn] IDA Global - I - 2812 - Cty Thịnh Vượng - Bò Cạp Vàng (nước nâu đen) - 450ml - 40</v>
      </c>
      <c r="E3511" s="87" t="str">
        <f>IFERROR(__xludf.DUMMYFUNCTION("""COMPUTED_VALUE"""),"HAIHAMEC 3.6EC")</f>
        <v>HAIHAMEC 3.6EC</v>
      </c>
      <c r="F3511" s="87" t="str">
        <f>IFERROR(__xludf.DUMMYFUNCTION("""COMPUTED_VALUE"""),"HH2812")</f>
        <v>HH2812</v>
      </c>
      <c r="G3511" s="87" t="str">
        <f>IFERROR(__xludf.DUMMYFUNCTION("""COMPUTED_VALUE"""),"IDA Global - I - 2812 - Cty Thịnh Vượng - Bò Cạp Vàng (nước nâu đen) - 450ml - 40")</f>
        <v>IDA Global - I - 2812 - Cty Thịnh Vượng - Bò Cạp Vàng (nước nâu đen) - 450ml - 40</v>
      </c>
    </row>
    <row r="3512">
      <c r="A3512" s="86">
        <f>IFERROR(__xludf.DUMMYFUNCTION("""COMPUTED_VALUE"""),3510.0)</f>
        <v>3510</v>
      </c>
      <c r="B3512" s="87" t="str">
        <f>IFERROR(__xludf.DUMMYFUNCTION("""COMPUTED_VALUE"""),"Nhãn")</f>
        <v>Nhãn</v>
      </c>
      <c r="C3512" s="87" t="str">
        <f>IFERROR(__xludf.DUMMYFUNCTION("""COMPUTED_VALUE"""),"NHG2813")</f>
        <v>NHG2813</v>
      </c>
      <c r="D3512" s="87" t="str">
        <f>IFERROR(__xludf.DUMMYFUNCTION("""COMPUTED_VALUE"""),"[Nhãn] LOT IDA Global - I - 2813 - ĐL ĐỨC MINH KG - CON CỌP (Nước nâu đen) - 450ml - 40")</f>
        <v>[Nhãn] LOT IDA Global - I - 2813 - ĐL ĐỨC MINH KG - CON CỌP (Nước nâu đen) - 450ml - 40</v>
      </c>
      <c r="E3512" s="87" t="str">
        <f>IFERROR(__xludf.DUMMYFUNCTION("""COMPUTED_VALUE"""),"HAIHAMEC 3.6EC")</f>
        <v>HAIHAMEC 3.6EC</v>
      </c>
      <c r="F3512" s="87" t="str">
        <f>IFERROR(__xludf.DUMMYFUNCTION("""COMPUTED_VALUE"""),"HH2813")</f>
        <v>HH2813</v>
      </c>
      <c r="G3512" s="87" t="str">
        <f>IFERROR(__xludf.DUMMYFUNCTION("""COMPUTED_VALUE"""),"LOT IDA Global - I - 2813 - ĐL ĐỨC MINH KG - CON CỌP (Nước nâu đen) - 450ml - 40")</f>
        <v>LOT IDA Global - I - 2813 - ĐL ĐỨC MINH KG - CON CỌP (Nước nâu đen) - 450ml - 40</v>
      </c>
    </row>
    <row r="3513">
      <c r="A3513" s="86">
        <f>IFERROR(__xludf.DUMMYFUNCTION("""COMPUTED_VALUE"""),3511.0)</f>
        <v>3511</v>
      </c>
      <c r="B3513" s="87" t="str">
        <f>IFERROR(__xludf.DUMMYFUNCTION("""COMPUTED_VALUE"""),"Nhãn")</f>
        <v>Nhãn</v>
      </c>
      <c r="C3513" s="87" t="str">
        <f>IFERROR(__xludf.DUMMYFUNCTION("""COMPUTED_VALUE"""),"NHG2814")</f>
        <v>NHG2814</v>
      </c>
      <c r="D3513" s="87" t="str">
        <f>IFERROR(__xludf.DUMMYFUNCTION("""COMPUTED_VALUE"""),"[Nhãn] GC - II - 2814 - AGC AGRICULTURE - THIPRO 550EC (nước tím) - 250ml - 40")</f>
        <v>[Nhãn] GC - II - 2814 - AGC AGRICULTURE - THIPRO 550EC (nước tím) - 250ml - 40</v>
      </c>
      <c r="E3513" s="87" t="str">
        <f>IFERROR(__xludf.DUMMYFUNCTION("""COMPUTED_VALUE"""),"Thipro 550EC")</f>
        <v>Thipro 550EC</v>
      </c>
      <c r="F3513" s="87" t="str">
        <f>IFERROR(__xludf.DUMMYFUNCTION("""COMPUTED_VALUE"""),"HH2814")</f>
        <v>HH2814</v>
      </c>
      <c r="G3513" s="87" t="str">
        <f>IFERROR(__xludf.DUMMYFUNCTION("""COMPUTED_VALUE"""),"GC - II - 2814 - AGC AGRICULTURE - THIPRO 550EC (nước tím) - 250ml - 40")</f>
        <v>GC - II - 2814 - AGC AGRICULTURE - THIPRO 550EC (nước tím) - 250ml - 40</v>
      </c>
    </row>
    <row r="3514">
      <c r="A3514" s="86">
        <f>IFERROR(__xludf.DUMMYFUNCTION("""COMPUTED_VALUE"""),3512.0)</f>
        <v>3512</v>
      </c>
      <c r="B3514" s="87" t="str">
        <f>IFERROR(__xludf.DUMMYFUNCTION("""COMPUTED_VALUE"""),"Nhãn")</f>
        <v>Nhãn</v>
      </c>
      <c r="C3514" s="87" t="str">
        <f>IFERROR(__xludf.DUMMYFUNCTION("""COMPUTED_VALUE"""),"NHG2815")</f>
        <v>NHG2815</v>
      </c>
      <c r="D3514" s="87" t="str">
        <f>IFERROR(__xludf.DUMMYFUNCTION("""COMPUTED_VALUE"""),"[Nhãn] IDA Global - I - 2815 - X-SPIDER (nước đỏ) - 240ml - 40")</f>
        <v>[Nhãn] IDA Global - I - 2815 - X-SPIDER (nước đỏ) - 240ml - 40</v>
      </c>
      <c r="E3514" s="87" t="str">
        <f>IFERROR(__xludf.DUMMYFUNCTION("""COMPUTED_VALUE"""),"CHIM ƯNG 3.8EC")</f>
        <v>CHIM ƯNG 3.8EC</v>
      </c>
      <c r="F3514" s="87" t="str">
        <f>IFERROR(__xludf.DUMMYFUNCTION("""COMPUTED_VALUE"""),"HH2815")</f>
        <v>HH2815</v>
      </c>
      <c r="G3514" s="87" t="str">
        <f>IFERROR(__xludf.DUMMYFUNCTION("""COMPUTED_VALUE"""),"IDA Global - I - 2815 - X-SPIDER (nước đỏ) - 240ml - 40")</f>
        <v>IDA Global - I - 2815 - X-SPIDER (nước đỏ) - 240ml - 40</v>
      </c>
    </row>
    <row r="3515">
      <c r="A3515" s="86">
        <f>IFERROR(__xludf.DUMMYFUNCTION("""COMPUTED_VALUE"""),3513.0)</f>
        <v>3513</v>
      </c>
      <c r="B3515" s="87" t="str">
        <f>IFERROR(__xludf.DUMMYFUNCTION("""COMPUTED_VALUE"""),"Nhãn")</f>
        <v>Nhãn</v>
      </c>
      <c r="C3515" s="87" t="str">
        <f>IFERROR(__xludf.DUMMYFUNCTION("""COMPUTED_VALUE"""),"NTN2816")</f>
        <v>NTN2816</v>
      </c>
      <c r="D3515" s="87" t="str">
        <f>IFERROR(__xludf.DUMMYFUNCTION("""COMPUTED_VALUE"""),"[Nhãn] GC - IV - 2816 - Cty Newtex - OXYCIN 100WP (Bột trắng) - 25gr - 300")</f>
        <v>[Nhãn] GC - IV - 2816 - Cty Newtex - OXYCIN 100WP (Bột trắng) - 25gr - 300</v>
      </c>
      <c r="E3515" s="87" t="str">
        <f>IFERROR(__xludf.DUMMYFUNCTION("""COMPUTED_VALUE"""),"Oxycin 100WP")</f>
        <v>Oxycin 100WP</v>
      </c>
      <c r="F3515" s="87" t="str">
        <f>IFERROR(__xludf.DUMMYFUNCTION("""COMPUTED_VALUE"""),"HH2816")</f>
        <v>HH2816</v>
      </c>
      <c r="G3515" s="87" t="str">
        <f>IFERROR(__xludf.DUMMYFUNCTION("""COMPUTED_VALUE"""),"GC - IV - 2816 - Cty Newtex - OXYCIN 100WP (Bột trắng) - 25gr - 300")</f>
        <v>GC - IV - 2816 - Cty Newtex - OXYCIN 100WP (Bột trắng) - 25gr - 300</v>
      </c>
    </row>
    <row r="3516">
      <c r="A3516" s="86">
        <f>IFERROR(__xludf.DUMMYFUNCTION("""COMPUTED_VALUE"""),3514.0)</f>
        <v>3514</v>
      </c>
      <c r="B3516" s="87" t="str">
        <f>IFERROR(__xludf.DUMMYFUNCTION("""COMPUTED_VALUE"""),"Nhãn thùng")</f>
        <v>Nhãn thùng</v>
      </c>
      <c r="C3516" s="87" t="str">
        <f>IFERROR(__xludf.DUMMYFUNCTION("""COMPUTED_VALUE"""),"NDT2816")</f>
        <v>NDT2816</v>
      </c>
      <c r="D3516" s="87" t="str">
        <f>IFERROR(__xludf.DUMMYFUNCTION("""COMPUTED_VALUE"""),"[Nhãn thùng] GC - IV - 2816 - Cty Newtex - OXYCIN 100WP (Bột trắng) - 25gr - 300")</f>
        <v>[Nhãn thùng] GC - IV - 2816 - Cty Newtex - OXYCIN 100WP (Bột trắng) - 25gr - 300</v>
      </c>
      <c r="E3516" s="87" t="str">
        <f>IFERROR(__xludf.DUMMYFUNCTION("""COMPUTED_VALUE"""),"Oxycin 100WP")</f>
        <v>Oxycin 100WP</v>
      </c>
      <c r="F3516" s="87" t="str">
        <f>IFERROR(__xludf.DUMMYFUNCTION("""COMPUTED_VALUE"""),"HH2816")</f>
        <v>HH2816</v>
      </c>
      <c r="G3516" s="87" t="str">
        <f>IFERROR(__xludf.DUMMYFUNCTION("""COMPUTED_VALUE"""),"GC - IV - 2816 - Cty Newtex - OXYCIN 100WP (Bột trắng) - 25gr - 300")</f>
        <v>GC - IV - 2816 - Cty Newtex - OXYCIN 100WP (Bột trắng) - 25gr - 300</v>
      </c>
    </row>
    <row r="3517">
      <c r="A3517" s="86">
        <f>IFERROR(__xludf.DUMMYFUNCTION("""COMPUTED_VALUE"""),3515.0)</f>
        <v>3515</v>
      </c>
      <c r="B3517" s="87" t="str">
        <f>IFERROR(__xludf.DUMMYFUNCTION("""COMPUTED_VALUE"""),"Nhãn")</f>
        <v>Nhãn</v>
      </c>
      <c r="C3517" s="87" t="str">
        <f>IFERROR(__xludf.DUMMYFUNCTION("""COMPUTED_VALUE"""),"NTN2818")</f>
        <v>NTN2818</v>
      </c>
      <c r="D3517" s="87" t="str">
        <f>IFERROR(__xludf.DUMMYFUNCTION("""COMPUTED_VALUE"""),"[Nhãn] GC - IV - 2818 - CTY QUANG ĐĂNG AGRICULTURE - RAY THAI (Bột trắng) - 120gr - 100")</f>
        <v>[Nhãn] GC - IV - 2818 - CTY QUANG ĐĂNG AGRICULTURE - RAY THAI (Bột trắng) - 120gr - 100</v>
      </c>
      <c r="E3517" s="87" t="str">
        <f>IFERROR(__xludf.DUMMYFUNCTION("""COMPUTED_VALUE"""),"NOSAU 85WP")</f>
        <v>NOSAU 85WP</v>
      </c>
      <c r="F3517" s="87" t="str">
        <f>IFERROR(__xludf.DUMMYFUNCTION("""COMPUTED_VALUE"""),"HH2818")</f>
        <v>HH2818</v>
      </c>
      <c r="G3517" s="87" t="str">
        <f>IFERROR(__xludf.DUMMYFUNCTION("""COMPUTED_VALUE"""),"GC - IV - 2818 - Cty Quang Đăng Agriculture - RAY THAI (Bột trắng) - 120gr - 100")</f>
        <v>GC - IV - 2818 - Cty Quang Đăng Agriculture - RAY THAI (Bột trắng) - 120gr - 100</v>
      </c>
    </row>
    <row r="3518">
      <c r="A3518" s="86">
        <f>IFERROR(__xludf.DUMMYFUNCTION("""COMPUTED_VALUE"""),3516.0)</f>
        <v>3516</v>
      </c>
      <c r="B3518" s="87" t="str">
        <f>IFERROR(__xludf.DUMMYFUNCTION("""COMPUTED_VALUE"""),"Nhãn thùng")</f>
        <v>Nhãn thùng</v>
      </c>
      <c r="C3518" s="87" t="str">
        <f>IFERROR(__xludf.DUMMYFUNCTION("""COMPUTED_VALUE"""),"NDT2818")</f>
        <v>NDT2818</v>
      </c>
      <c r="D3518" s="87" t="str">
        <f>IFERROR(__xludf.DUMMYFUNCTION("""COMPUTED_VALUE"""),"[Nhãn thùng] GC - IV - 2818 - CTY QUANG ĐĂNG AGRICULTURE - RAY THAI (Bột trắng) - 120gr - 100")</f>
        <v>[Nhãn thùng] GC - IV - 2818 - CTY QUANG ĐĂNG AGRICULTURE - RAY THAI (Bột trắng) - 120gr - 100</v>
      </c>
      <c r="E3518" s="87" t="str">
        <f>IFERROR(__xludf.DUMMYFUNCTION("""COMPUTED_VALUE"""),"NOSAU 85WP")</f>
        <v>NOSAU 85WP</v>
      </c>
      <c r="F3518" s="87" t="str">
        <f>IFERROR(__xludf.DUMMYFUNCTION("""COMPUTED_VALUE"""),"HH2818")</f>
        <v>HH2818</v>
      </c>
      <c r="G3518" s="87" t="str">
        <f>IFERROR(__xludf.DUMMYFUNCTION("""COMPUTED_VALUE"""),"GC - IV - 2818 - Cty Quang Đăng Agriculture - RAY THAI (Bột trắng) - 120gr - 100")</f>
        <v>GC - IV - 2818 - Cty Quang Đăng Agriculture - RAY THAI (Bột trắng) - 120gr - 100</v>
      </c>
    </row>
    <row r="3519">
      <c r="A3519" s="86">
        <f>IFERROR(__xludf.DUMMYFUNCTION("""COMPUTED_VALUE"""),3517.0)</f>
        <v>3517</v>
      </c>
      <c r="B3519" s="87" t="str">
        <f>IFERROR(__xludf.DUMMYFUNCTION("""COMPUTED_VALUE"""),"Nhãn")</f>
        <v>Nhãn</v>
      </c>
      <c r="C3519" s="87" t="str">
        <f>IFERROR(__xludf.DUMMYFUNCTION("""COMPUTED_VALUE"""),"NHG2819")</f>
        <v>NHG2819</v>
      </c>
      <c r="D3519" s="87" t="str">
        <f>IFERROR(__xludf.DUMMYFUNCTION("""COMPUTED_VALUE"""),"[Nhãn] GC - IV - 2819 - Tago - Bọ cạp chúa (nước nâu đen) - 450ml - 40")</f>
        <v>[Nhãn] GC - IV - 2819 - Tago - Bọ cạp chúa (nước nâu đen) - 450ml - 40</v>
      </c>
      <c r="E3519" s="87" t="str">
        <f>IFERROR(__xludf.DUMMYFUNCTION("""COMPUTED_VALUE"""),"HAIHAMEC 3.6EC")</f>
        <v>HAIHAMEC 3.6EC</v>
      </c>
      <c r="F3519" s="87" t="str">
        <f>IFERROR(__xludf.DUMMYFUNCTION("""COMPUTED_VALUE"""),"HH2819")</f>
        <v>HH2819</v>
      </c>
      <c r="G3519" s="87" t="str">
        <f>IFERROR(__xludf.DUMMYFUNCTION("""COMPUTED_VALUE"""),"GC - IV - 2819 - Tago - Bọ cạp chúa (nước nâu đen) - 450ml - 40")</f>
        <v>GC - IV - 2819 - Tago - Bọ cạp chúa (nước nâu đen) - 450ml - 40</v>
      </c>
    </row>
    <row r="3520">
      <c r="A3520" s="86">
        <f>IFERROR(__xludf.DUMMYFUNCTION("""COMPUTED_VALUE"""),3518.0)</f>
        <v>3518</v>
      </c>
      <c r="B3520" s="87" t="str">
        <f>IFERROR(__xludf.DUMMYFUNCTION("""COMPUTED_VALUE"""),"Nhãn")</f>
        <v>Nhãn</v>
      </c>
      <c r="C3520" s="87" t="str">
        <f>IFERROR(__xludf.DUMMYFUNCTION("""COMPUTED_VALUE"""),"NHG2821")</f>
        <v>NHG2821</v>
      </c>
      <c r="D3520" s="87" t="str">
        <f>IFERROR(__xludf.DUMMYFUNCTION("""COMPUTED_VALUE"""),"[Nhãn] LOT IDA Global - I - 2821 - ĐL Nhật Linh - Cá Sấu Chúa (nước nâu đen) - 450ml - 40")</f>
        <v>[Nhãn] LOT IDA Global - I - 2821 - ĐL Nhật Linh - Cá Sấu Chúa (nước nâu đen) - 450ml - 40</v>
      </c>
      <c r="E3520" s="87" t="str">
        <f>IFERROR(__xludf.DUMMYFUNCTION("""COMPUTED_VALUE"""),"HAIHAMEC 3.6EC")</f>
        <v>HAIHAMEC 3.6EC</v>
      </c>
      <c r="F3520" s="87" t="str">
        <f>IFERROR(__xludf.DUMMYFUNCTION("""COMPUTED_VALUE"""),"HH2821")</f>
        <v>HH2821</v>
      </c>
      <c r="G3520" s="87" t="str">
        <f>IFERROR(__xludf.DUMMYFUNCTION("""COMPUTED_VALUE"""),"LOT IDA Global - I - 2821 - ĐL Nhật Linh - Cá Sấu Chúa (nước nâu đen) - 450ml - 40")</f>
        <v>LOT IDA Global - I - 2821 - ĐL Nhật Linh - Cá Sấu Chúa (nước nâu đen) - 450ml - 40</v>
      </c>
    </row>
    <row r="3521">
      <c r="A3521" s="86">
        <f>IFERROR(__xludf.DUMMYFUNCTION("""COMPUTED_VALUE"""),3519.0)</f>
        <v>3519</v>
      </c>
      <c r="B3521" s="87" t="str">
        <f>IFERROR(__xludf.DUMMYFUNCTION("""COMPUTED_VALUE"""),"Nhãn")</f>
        <v>Nhãn</v>
      </c>
      <c r="C3521" s="87" t="str">
        <f>IFERROR(__xludf.DUMMYFUNCTION("""COMPUTED_VALUE"""),"NHG2822")</f>
        <v>NHG2822</v>
      </c>
      <c r="D3521" s="87" t="str">
        <f>IFERROR(__xludf.DUMMYFUNCTION("""COMPUTED_VALUE"""),"[Nhãn]  IDA Global - I - 2822 - CANXI BO LIQUID (Nước trắng sữa) - 500ml - 40")</f>
        <v>[Nhãn]  IDA Global - I - 2822 - CANXI BO LIQUID (Nước trắng sữa) - 500ml - 40</v>
      </c>
      <c r="E3521" s="87" t="str">
        <f>IFERROR(__xludf.DUMMYFUNCTION("""COMPUTED_VALUE"""),"Vi lượng AGAMA-CANXI BO")</f>
        <v>Vi lượng AGAMA-CANXI BO</v>
      </c>
      <c r="F3521" s="87" t="str">
        <f>IFERROR(__xludf.DUMMYFUNCTION("""COMPUTED_VALUE"""),"HH2822")</f>
        <v>HH2822</v>
      </c>
      <c r="G3521" s="87" t="str">
        <f>IFERROR(__xludf.DUMMYFUNCTION("""COMPUTED_VALUE"""),"IDA Global - I - 2822 - CANXI BO LIQUID (Nước trắng sữa) - 500ml - 40")</f>
        <v>IDA Global - I - 2822 - CANXI BO LIQUID (Nước trắng sữa) - 500ml - 40</v>
      </c>
    </row>
    <row r="3522">
      <c r="A3522" s="86">
        <f>IFERROR(__xludf.DUMMYFUNCTION("""COMPUTED_VALUE"""),3520.0)</f>
        <v>3520</v>
      </c>
      <c r="B3522" s="87" t="str">
        <f>IFERROR(__xludf.DUMMYFUNCTION("""COMPUTED_VALUE"""),"Nhãn")</f>
        <v>Nhãn</v>
      </c>
      <c r="C3522" s="87" t="str">
        <f>IFERROR(__xludf.DUMMYFUNCTION("""COMPUTED_VALUE"""),"NHD2825")</f>
        <v>NHD2825</v>
      </c>
      <c r="D3522" s="87" t="str">
        <f>IFERROR(__xludf.DUMMYFUNCTION("""COMPUTED_VALUE"""),"[Nhãn] GC - IV - 2825 - ND Bách Khoa - HAIHAMEC 3.6EC (Nước nâu đen) - 20L - 1")</f>
        <v>[Nhãn] GC - IV - 2825 - ND Bách Khoa - HAIHAMEC 3.6EC (Nước nâu đen) - 20L - 1</v>
      </c>
      <c r="E3522" s="87" t="str">
        <f>IFERROR(__xludf.DUMMYFUNCTION("""COMPUTED_VALUE"""),"HAIHAMEC 3.6EC")</f>
        <v>HAIHAMEC 3.6EC</v>
      </c>
      <c r="F3522" s="87" t="str">
        <f>IFERROR(__xludf.DUMMYFUNCTION("""COMPUTED_VALUE"""),"HH2825")</f>
        <v>HH2825</v>
      </c>
      <c r="G3522" s="87" t="str">
        <f>IFERROR(__xludf.DUMMYFUNCTION("""COMPUTED_VALUE"""),"GC - IV - 2825 - ND Bách Khoa - HAIHAMEC 3.6EC (Nước nâu đen) - 20L - 1")</f>
        <v>GC - IV - 2825 - ND Bách Khoa - HAIHAMEC 3.6EC (Nước nâu đen) - 20L - 1</v>
      </c>
    </row>
    <row r="3523">
      <c r="A3523" s="86">
        <f>IFERROR(__xludf.DUMMYFUNCTION("""COMPUTED_VALUE"""),3521.0)</f>
        <v>3521</v>
      </c>
      <c r="B3523" s="87" t="str">
        <f>IFERROR(__xludf.DUMMYFUNCTION("""COMPUTED_VALUE"""),"Nhãn")</f>
        <v>Nhãn</v>
      </c>
      <c r="C3523" s="87" t="str">
        <f>IFERROR(__xludf.DUMMYFUNCTION("""COMPUTED_VALUE"""),"NHP2825")</f>
        <v>NHP2825</v>
      </c>
      <c r="D3523" s="87" t="str">
        <f>IFERROR(__xludf.DUMMYFUNCTION("""COMPUTED_VALUE"""),"[Nhãn] GC - IV - 2825 - ND Bách Khoa - HAIHAMEC 3.6EC (Nước nâu đen) - 20L - 1")</f>
        <v>[Nhãn] GC - IV - 2825 - ND Bách Khoa - HAIHAMEC 3.6EC (Nước nâu đen) - 20L - 1</v>
      </c>
      <c r="E3523" s="87" t="str">
        <f>IFERROR(__xludf.DUMMYFUNCTION("""COMPUTED_VALUE"""),"HAIHAMEC 3.6EC")</f>
        <v>HAIHAMEC 3.6EC</v>
      </c>
      <c r="F3523" s="87" t="str">
        <f>IFERROR(__xludf.DUMMYFUNCTION("""COMPUTED_VALUE"""),"HH2825")</f>
        <v>HH2825</v>
      </c>
      <c r="G3523" s="87" t="str">
        <f>IFERROR(__xludf.DUMMYFUNCTION("""COMPUTED_VALUE"""),"GC - IV - 2825 - ND Bách Khoa - HAIHAMEC 3.6EC (Nước nâu đen) - 20L - 1")</f>
        <v>GC - IV - 2825 - ND Bách Khoa - HAIHAMEC 3.6EC (Nước nâu đen) - 20L - 1</v>
      </c>
    </row>
    <row r="3524">
      <c r="A3524" s="86">
        <f>IFERROR(__xludf.DUMMYFUNCTION("""COMPUTED_VALUE"""),3522.0)</f>
        <v>3522</v>
      </c>
      <c r="B3524" s="87" t="str">
        <f>IFERROR(__xludf.DUMMYFUNCTION("""COMPUTED_VALUE"""),"Nhãn")</f>
        <v>Nhãn</v>
      </c>
      <c r="C3524" s="87" t="str">
        <f>IFERROR(__xludf.DUMMYFUNCTION("""COMPUTED_VALUE"""),"NHD2826")</f>
        <v>NHD2826</v>
      </c>
      <c r="D3524" s="87" t="str">
        <f>IFERROR(__xludf.DUMMYFUNCTION("""COMPUTED_VALUE"""),"[Nhãn] GC - IV - 2826 - CTY VOLVO EARTHQI - RONG RÊU (Nước xanh dương) - 250ml - 40")</f>
        <v>[Nhãn] GC - IV - 2826 - CTY VOLVO EARTHQI - RONG RÊU (Nước xanh dương) - 250ml - 40</v>
      </c>
      <c r="E3524" s="87" t="str">
        <f>IFERROR(__xludf.DUMMYFUNCTION("""COMPUTED_VALUE"""),"Vi lượng Agama - Cu")</f>
        <v>Vi lượng Agama - Cu</v>
      </c>
      <c r="F3524" s="87" t="str">
        <f>IFERROR(__xludf.DUMMYFUNCTION("""COMPUTED_VALUE"""),"HH2826")</f>
        <v>HH2826</v>
      </c>
      <c r="G3524" s="87" t="str">
        <f>IFERROR(__xludf.DUMMYFUNCTION("""COMPUTED_VALUE"""),"GC - IV - 2826 - CTY VOLVO EARTHQI - RONG RÊU (Nước xanh dương) - 250ml - 40")</f>
        <v>GC - IV - 2826 - CTY VOLVO EARTHQI - RONG RÊU (Nước xanh dương) - 250ml - 40</v>
      </c>
    </row>
    <row r="3525">
      <c r="A3525" s="86">
        <f>IFERROR(__xludf.DUMMYFUNCTION("""COMPUTED_VALUE"""),3523.0)</f>
        <v>3523</v>
      </c>
      <c r="B3525" s="87" t="str">
        <f>IFERROR(__xludf.DUMMYFUNCTION("""COMPUTED_VALUE"""),"Nhãn thùng")</f>
        <v>Nhãn thùng</v>
      </c>
      <c r="C3525" s="87" t="str">
        <f>IFERROR(__xludf.DUMMYFUNCTION("""COMPUTED_VALUE"""),"NDT2826")</f>
        <v>NDT2826</v>
      </c>
      <c r="D3525" s="87" t="str">
        <f>IFERROR(__xludf.DUMMYFUNCTION("""COMPUTED_VALUE"""),"[Nhãn thùng] GC - IV - 2826 - CTY VOLVO EARTHQI - RONG RÊU (Nước xanh dương) - 250ml - 40")</f>
        <v>[Nhãn thùng] GC - IV - 2826 - CTY VOLVO EARTHQI - RONG RÊU (Nước xanh dương) - 250ml - 40</v>
      </c>
      <c r="E3525" s="87" t="str">
        <f>IFERROR(__xludf.DUMMYFUNCTION("""COMPUTED_VALUE"""),"Vi lượng Agama - Cu")</f>
        <v>Vi lượng Agama - Cu</v>
      </c>
      <c r="F3525" s="87" t="str">
        <f>IFERROR(__xludf.DUMMYFUNCTION("""COMPUTED_VALUE"""),"HH2826")</f>
        <v>HH2826</v>
      </c>
      <c r="G3525" s="87" t="str">
        <f>IFERROR(__xludf.DUMMYFUNCTION("""COMPUTED_VALUE"""),"GC - IV - 2826 - CTY VOLVO EARTHQI - RONG RÊU (Nước xanh dương) - 250ml - 40")</f>
        <v>GC - IV - 2826 - CTY VOLVO EARTHQI - RONG RÊU (Nước xanh dương) - 250ml - 40</v>
      </c>
    </row>
    <row r="3526">
      <c r="A3526" s="86">
        <f>IFERROR(__xludf.DUMMYFUNCTION("""COMPUTED_VALUE"""),3524.0)</f>
        <v>3524</v>
      </c>
      <c r="B3526" s="87" t="str">
        <f>IFERROR(__xludf.DUMMYFUNCTION("""COMPUTED_VALUE"""),"HỘP")</f>
        <v>HỘP</v>
      </c>
      <c r="C3526" s="87" t="str">
        <f>IFERROR(__xludf.DUMMYFUNCTION("""COMPUTED_VALUE"""),"HOP2828")</f>
        <v>HOP2828</v>
      </c>
      <c r="D3526" s="87" t="str">
        <f>IFERROR(__xludf.DUMMYFUNCTION("""COMPUTED_VALUE"""),"[HOP] GC - II - 2828 - CHIẾN RÂU BONSAI - PERKADO 500EC (Nước đỏ) - 100ml - 120")</f>
        <v>[HOP] GC - II - 2828 - CHIẾN RÂU BONSAI - PERKADO 500EC (Nước đỏ) - 100ml - 120</v>
      </c>
      <c r="E3526" s="87" t="str">
        <f>IFERROR(__xludf.DUMMYFUNCTION("""COMPUTED_VALUE"""),"PERKADO 500EC")</f>
        <v>PERKADO 500EC</v>
      </c>
      <c r="F3526" s="87" t="str">
        <f>IFERROR(__xludf.DUMMYFUNCTION("""COMPUTED_VALUE"""),"HH2828")</f>
        <v>HH2828</v>
      </c>
      <c r="G3526" s="87" t="str">
        <f>IFERROR(__xludf.DUMMYFUNCTION("""COMPUTED_VALUE"""),"GC - II - 2828 - CHIẾN RÂU BONSAI - PERKADO 500EC (Nước đỏ) - 100ml - 120")</f>
        <v>GC - II - 2828 - CHIẾN RÂU BONSAI - PERKADO 500EC (Nước đỏ) - 100ml - 120</v>
      </c>
    </row>
    <row r="3527">
      <c r="A3527" s="86">
        <f>IFERROR(__xludf.DUMMYFUNCTION("""COMPUTED_VALUE"""),3525.0)</f>
        <v>3525</v>
      </c>
      <c r="B3527" s="87" t="str">
        <f>IFERROR(__xludf.DUMMYFUNCTION("""COMPUTED_VALUE"""),"Nhãn")</f>
        <v>Nhãn</v>
      </c>
      <c r="C3527" s="87" t="str">
        <f>IFERROR(__xludf.DUMMYFUNCTION("""COMPUTED_VALUE"""),"NHG2828")</f>
        <v>NHG2828</v>
      </c>
      <c r="D3527" s="87" t="str">
        <f>IFERROR(__xludf.DUMMYFUNCTION("""COMPUTED_VALUE"""),"[Nhãn] GC - II - 2828 - CHIẾN RÂU BONSAI - PERKADO 500EC (Nước đỏ) - 100ml - 120")</f>
        <v>[Nhãn] GC - II - 2828 - CHIẾN RÂU BONSAI - PERKADO 500EC (Nước đỏ) - 100ml - 120</v>
      </c>
      <c r="E3527" s="87" t="str">
        <f>IFERROR(__xludf.DUMMYFUNCTION("""COMPUTED_VALUE"""),"PERKADO 500EC")</f>
        <v>PERKADO 500EC</v>
      </c>
      <c r="F3527" s="87" t="str">
        <f>IFERROR(__xludf.DUMMYFUNCTION("""COMPUTED_VALUE"""),"HH2828")</f>
        <v>HH2828</v>
      </c>
      <c r="G3527" s="87" t="str">
        <f>IFERROR(__xludf.DUMMYFUNCTION("""COMPUTED_VALUE"""),"GC - II - 2828 - CHIẾN RÂU BONSAI - PERKADO 500EC (Nước đỏ) - 100ml - 120")</f>
        <v>GC - II - 2828 - CHIẾN RÂU BONSAI - PERKADO 500EC (Nước đỏ) - 100ml - 120</v>
      </c>
    </row>
    <row r="3528">
      <c r="A3528" s="86">
        <f>IFERROR(__xludf.DUMMYFUNCTION("""COMPUTED_VALUE"""),3526.0)</f>
        <v>3526</v>
      </c>
      <c r="B3528" s="87" t="str">
        <f>IFERROR(__xludf.DUMMYFUNCTION("""COMPUTED_VALUE"""),"Nhãn thùng")</f>
        <v>Nhãn thùng</v>
      </c>
      <c r="C3528" s="87" t="str">
        <f>IFERROR(__xludf.DUMMYFUNCTION("""COMPUTED_VALUE"""),"NDT2828")</f>
        <v>NDT2828</v>
      </c>
      <c r="D3528" s="87" t="str">
        <f>IFERROR(__xludf.DUMMYFUNCTION("""COMPUTED_VALUE"""),"[Nhãn thùng] GC - II - 2828 - CHIẾN RÂU BONSAI - PERKADO 500EC (Nước đỏ) - 100ml - 120")</f>
        <v>[Nhãn thùng] GC - II - 2828 - CHIẾN RÂU BONSAI - PERKADO 500EC (Nước đỏ) - 100ml - 120</v>
      </c>
      <c r="E3528" s="87" t="str">
        <f>IFERROR(__xludf.DUMMYFUNCTION("""COMPUTED_VALUE"""),"PERKADO 500EC")</f>
        <v>PERKADO 500EC</v>
      </c>
      <c r="F3528" s="87" t="str">
        <f>IFERROR(__xludf.DUMMYFUNCTION("""COMPUTED_VALUE"""),"HH2828")</f>
        <v>HH2828</v>
      </c>
      <c r="G3528" s="87" t="str">
        <f>IFERROR(__xludf.DUMMYFUNCTION("""COMPUTED_VALUE"""),"GC - II - 2828 - CHIẾN RÂU BONSAI - PERKADO 500EC (Nước đỏ) - 100ml - 120")</f>
        <v>GC - II - 2828 - CHIẾN RÂU BONSAI - PERKADO 500EC (Nước đỏ) - 100ml - 120</v>
      </c>
    </row>
    <row r="3529">
      <c r="A3529" s="86">
        <f>IFERROR(__xludf.DUMMYFUNCTION("""COMPUTED_VALUE"""),3527.0)</f>
        <v>3527</v>
      </c>
      <c r="B3529" s="87" t="str">
        <f>IFERROR(__xludf.DUMMYFUNCTION("""COMPUTED_VALUE"""),"Nhãn")</f>
        <v>Nhãn</v>
      </c>
      <c r="C3529" s="87" t="str">
        <f>IFERROR(__xludf.DUMMYFUNCTION("""COMPUTED_VALUE"""),"NTN2829")</f>
        <v>NTN2829</v>
      </c>
      <c r="D3529" s="87" t="str">
        <f>IFERROR(__xludf.DUMMYFUNCTION("""COMPUTED_VALUE"""),"[Nhãn] GC - IV - 2829 - Cty Sen Hồng - PIM.PIM 75WP (Bột cam) - 100gr - 100")</f>
        <v>[Nhãn] GC - IV - 2829 - Cty Sen Hồng - PIM.PIM 75WP (Bột cam) - 100gr - 100</v>
      </c>
      <c r="E3529" s="87" t="str">
        <f>IFERROR(__xludf.DUMMYFUNCTION("""COMPUTED_VALUE"""),"Pim.Pim 75WP")</f>
        <v>Pim.Pim 75WP</v>
      </c>
      <c r="F3529" s="87" t="str">
        <f>IFERROR(__xludf.DUMMYFUNCTION("""COMPUTED_VALUE"""),"HH2829")</f>
        <v>HH2829</v>
      </c>
      <c r="G3529" s="87" t="str">
        <f>IFERROR(__xludf.DUMMYFUNCTION("""COMPUTED_VALUE"""),"GC - IV - 2829 - Cty Sen Hồng - PIM.PIM 75WP (Bột cam) - 100gr - 100")</f>
        <v>GC - IV - 2829 - Cty Sen Hồng - PIM.PIM 75WP (Bột cam) - 100gr - 100</v>
      </c>
    </row>
    <row r="3530">
      <c r="A3530" s="86">
        <f>IFERROR(__xludf.DUMMYFUNCTION("""COMPUTED_VALUE"""),3528.0)</f>
        <v>3528</v>
      </c>
      <c r="B3530" s="87" t="str">
        <f>IFERROR(__xludf.DUMMYFUNCTION("""COMPUTED_VALUE"""),"Nhãn thùng")</f>
        <v>Nhãn thùng</v>
      </c>
      <c r="C3530" s="87" t="str">
        <f>IFERROR(__xludf.DUMMYFUNCTION("""COMPUTED_VALUE"""),"NDT2829")</f>
        <v>NDT2829</v>
      </c>
      <c r="D3530" s="87" t="str">
        <f>IFERROR(__xludf.DUMMYFUNCTION("""COMPUTED_VALUE"""),"[Nhãn thùng] GC - IV - 2829 - Cty Sen Hồng - PIM.PIM 75WP (Bột cam) - 100gr - 100")</f>
        <v>[Nhãn thùng] GC - IV - 2829 - Cty Sen Hồng - PIM.PIM 75WP (Bột cam) - 100gr - 100</v>
      </c>
      <c r="E3530" s="87" t="str">
        <f>IFERROR(__xludf.DUMMYFUNCTION("""COMPUTED_VALUE"""),"Pim.Pim 75WP")</f>
        <v>Pim.Pim 75WP</v>
      </c>
      <c r="F3530" s="87" t="str">
        <f>IFERROR(__xludf.DUMMYFUNCTION("""COMPUTED_VALUE"""),"HH2829")</f>
        <v>HH2829</v>
      </c>
      <c r="G3530" s="87" t="str">
        <f>IFERROR(__xludf.DUMMYFUNCTION("""COMPUTED_VALUE"""),"GC - IV - 2829 - Cty Sen Hồng - PIM.PIM 75WP (Bột cam) - 100gr - 100")</f>
        <v>GC - IV - 2829 - Cty Sen Hồng - PIM.PIM 75WP (Bột cam) - 100gr - 100</v>
      </c>
    </row>
    <row r="3531">
      <c r="A3531" s="86">
        <f>IFERROR(__xludf.DUMMYFUNCTION("""COMPUTED_VALUE"""),3529.0)</f>
        <v>3529</v>
      </c>
      <c r="B3531" s="87" t="str">
        <f>IFERROR(__xludf.DUMMYFUNCTION("""COMPUTED_VALUE"""),"Nhãn")</f>
        <v>Nhãn</v>
      </c>
      <c r="C3531" s="87" t="str">
        <f>IFERROR(__xludf.DUMMYFUNCTION("""COMPUTED_VALUE"""),"NHG2830")</f>
        <v>NHG2830</v>
      </c>
      <c r="D3531" s="87" t="str">
        <f>IFERROR(__xludf.DUMMYFUNCTION("""COMPUTED_VALUE"""),"[Nhãn] GC - IV - 2830 - CTY BIOCHEM TẤN PHÁT - FORTIL 250 (Nước trắng sữa) - 250ml - 40")</f>
        <v>[Nhãn] GC - IV - 2830 - CTY BIOCHEM TẤN PHÁT - FORTIL 250 (Nước trắng sữa) - 250ml - 40</v>
      </c>
      <c r="E3531" s="87" t="str">
        <f>IFERROR(__xludf.DUMMYFUNCTION("""COMPUTED_VALUE"""),"FORTIL 25SC")</f>
        <v>FORTIL 25SC</v>
      </c>
      <c r="F3531" s="87" t="str">
        <f>IFERROR(__xludf.DUMMYFUNCTION("""COMPUTED_VALUE"""),"HH2830")</f>
        <v>HH2830</v>
      </c>
      <c r="G3531" s="87" t="str">
        <f>IFERROR(__xludf.DUMMYFUNCTION("""COMPUTED_VALUE"""),"GC - IV - 2830 - CTY BIOCHEM TẤN PHÁT - FORTIL 250 (Nước trắng sữa) - 250ml - 40")</f>
        <v>GC - IV - 2830 - CTY BIOCHEM TẤN PHÁT - FORTIL 250 (Nước trắng sữa) - 250ml - 40</v>
      </c>
    </row>
    <row r="3532">
      <c r="A3532" s="86">
        <f>IFERROR(__xludf.DUMMYFUNCTION("""COMPUTED_VALUE"""),3530.0)</f>
        <v>3530</v>
      </c>
      <c r="B3532" s="87" t="str">
        <f>IFERROR(__xludf.DUMMYFUNCTION("""COMPUTED_VALUE"""),"Nhãn")</f>
        <v>Nhãn</v>
      </c>
      <c r="C3532" s="87" t="str">
        <f>IFERROR(__xludf.DUMMYFUNCTION("""COMPUTED_VALUE"""),"NHG2831")</f>
        <v>NHG2831</v>
      </c>
      <c r="D3532" s="87" t="str">
        <f>IFERROR(__xludf.DUMMYFUNCTION("""COMPUTED_VALUE"""),"[Nhãn] GC - II - 2831 - THÀNH CÔNG AGRI - STOP ĐỌT (Nước nâu đen V2) - 1L - 20")</f>
        <v>[Nhãn] GC - II - 2831 - THÀNH CÔNG AGRI - STOP ĐỌT (Nước nâu đen V2) - 1L - 20</v>
      </c>
      <c r="E3532" s="87" t="str">
        <f>IFERROR(__xludf.DUMMYFUNCTION("""COMPUTED_VALUE"""),"Vi lượng Quantity New")</f>
        <v>Vi lượng Quantity New</v>
      </c>
      <c r="F3532" s="87" t="str">
        <f>IFERROR(__xludf.DUMMYFUNCTION("""COMPUTED_VALUE"""),"HH2831")</f>
        <v>HH2831</v>
      </c>
      <c r="G3532" s="87" t="str">
        <f>IFERROR(__xludf.DUMMYFUNCTION("""COMPUTED_VALUE"""),"GC - II - 2831 - THÀNH CÔNG AGRI - STOP ĐỌT (Nước nâu đen V2) - 1L - 20")</f>
        <v>GC - II - 2831 - THÀNH CÔNG AGRI - STOP ĐỌT (Nước nâu đen V2) - 1L - 20</v>
      </c>
    </row>
    <row r="3533">
      <c r="A3533" s="86">
        <f>IFERROR(__xludf.DUMMYFUNCTION("""COMPUTED_VALUE"""),3531.0)</f>
        <v>3531</v>
      </c>
      <c r="B3533" s="87" t="str">
        <f>IFERROR(__xludf.DUMMYFUNCTION("""COMPUTED_VALUE"""),"Nhãn")</f>
        <v>Nhãn</v>
      </c>
      <c r="C3533" s="87" t="str">
        <f>IFERROR(__xludf.DUMMYFUNCTION("""COMPUTED_VALUE"""),"NHG2832")</f>
        <v>NHG2832</v>
      </c>
      <c r="D3533" s="87" t="str">
        <f>IFERROR(__xludf.DUMMYFUNCTION("""COMPUTED_VALUE"""),"[Nhãn] GC - IV - 2832 - Cty Liên Dương ND - NANO VÔ GẠO (Nước vàng) - 500ml - 30")</f>
        <v>[Nhãn] GC - IV - 2832 - Cty Liên Dương ND - NANO VÔ GẠO (Nước vàng) - 500ml - 30</v>
      </c>
      <c r="E3533" s="87" t="str">
        <f>IFERROR(__xludf.DUMMYFUNCTION("""COMPUTED_VALUE"""),"Vi lượng Run Fast")</f>
        <v>Vi lượng Run Fast</v>
      </c>
      <c r="F3533" s="87" t="str">
        <f>IFERROR(__xludf.DUMMYFUNCTION("""COMPUTED_VALUE"""),"HH2832")</f>
        <v>HH2832</v>
      </c>
      <c r="G3533" s="87" t="str">
        <f>IFERROR(__xludf.DUMMYFUNCTION("""COMPUTED_VALUE"""),"GC - IV - 2832 - Cty Liên Dương ND - NANO VÔ GẠO (Nước vàng) - 500ml - 30")</f>
        <v>GC - IV - 2832 - Cty Liên Dương ND - NANO VÔ GẠO (Nước vàng) - 500ml - 30</v>
      </c>
    </row>
    <row r="3534">
      <c r="A3534" s="86">
        <f>IFERROR(__xludf.DUMMYFUNCTION("""COMPUTED_VALUE"""),3532.0)</f>
        <v>3532</v>
      </c>
      <c r="B3534" s="87" t="str">
        <f>IFERROR(__xludf.DUMMYFUNCTION("""COMPUTED_VALUE"""),"Nhãn")</f>
        <v>Nhãn</v>
      </c>
      <c r="C3534" s="87" t="str">
        <f>IFERROR(__xludf.DUMMYFUNCTION("""COMPUTED_VALUE"""),"NHD2834")</f>
        <v>NHD2834</v>
      </c>
      <c r="D3534" s="87" t="str">
        <f>IFERROR(__xludf.DUMMYFUNCTION("""COMPUTED_VALUE"""),"[Nhãn] LOT IDA Global - I - 2834 - BẠCH HỔ (Nước trong) - 450ml - 40")</f>
        <v>[Nhãn] LOT IDA Global - I - 2834 - BẠCH HỔ (Nước trong) - 450ml - 40</v>
      </c>
      <c r="E3534" s="87" t="str">
        <f>IFERROR(__xludf.DUMMYFUNCTION("""COMPUTED_VALUE"""),"HAIHAMEC 3.6EC")</f>
        <v>HAIHAMEC 3.6EC</v>
      </c>
      <c r="F3534" s="87" t="str">
        <f>IFERROR(__xludf.DUMMYFUNCTION("""COMPUTED_VALUE"""),"HH2834")</f>
        <v>HH2834</v>
      </c>
      <c r="G3534" s="87" t="str">
        <f>IFERROR(__xludf.DUMMYFUNCTION("""COMPUTED_VALUE"""),"LOT IDA Global - I - 2834 - BẠCH HỔ (Nước trong) - 450ml - 40")</f>
        <v>LOT IDA Global - I - 2834 - BẠCH HỔ (Nước trong) - 450ml - 40</v>
      </c>
    </row>
    <row r="3535">
      <c r="A3535" s="86">
        <f>IFERROR(__xludf.DUMMYFUNCTION("""COMPUTED_VALUE"""),3533.0)</f>
        <v>3533</v>
      </c>
      <c r="B3535" s="87" t="str">
        <f>IFERROR(__xludf.DUMMYFUNCTION("""COMPUTED_VALUE"""),"Nhãn thùng")</f>
        <v>Nhãn thùng</v>
      </c>
      <c r="C3535" s="87" t="str">
        <f>IFERROR(__xludf.DUMMYFUNCTION("""COMPUTED_VALUE"""),"NDT2834")</f>
        <v>NDT2834</v>
      </c>
      <c r="D3535" s="87" t="str">
        <f>IFERROR(__xludf.DUMMYFUNCTION("""COMPUTED_VALUE"""),"[Nhãn thùng] LOT IDA Global - I - 2834 - BẠCH HỔ (Nước trong) - 450ml - 40")</f>
        <v>[Nhãn thùng] LOT IDA Global - I - 2834 - BẠCH HỔ (Nước trong) - 450ml - 40</v>
      </c>
      <c r="E3535" s="87" t="str">
        <f>IFERROR(__xludf.DUMMYFUNCTION("""COMPUTED_VALUE"""),"HAIHAMEC 3.6EC")</f>
        <v>HAIHAMEC 3.6EC</v>
      </c>
      <c r="F3535" s="87" t="str">
        <f>IFERROR(__xludf.DUMMYFUNCTION("""COMPUTED_VALUE"""),"HH2834")</f>
        <v>HH2834</v>
      </c>
      <c r="G3535" s="87" t="str">
        <f>IFERROR(__xludf.DUMMYFUNCTION("""COMPUTED_VALUE"""),"LOT IDA Global - I - 2834 - BẠCH HỔ (Nước trong) - 450ml - 40")</f>
        <v>LOT IDA Global - I - 2834 - BẠCH HỔ (Nước trong) - 450ml - 40</v>
      </c>
    </row>
    <row r="3536">
      <c r="A3536" s="86">
        <f>IFERROR(__xludf.DUMMYFUNCTION("""COMPUTED_VALUE"""),3534.0)</f>
        <v>3534</v>
      </c>
      <c r="B3536" s="87" t="str">
        <f>IFERROR(__xludf.DUMMYFUNCTION("""COMPUTED_VALUE"""),"Nhãn")</f>
        <v>Nhãn</v>
      </c>
      <c r="C3536" s="87" t="str">
        <f>IFERROR(__xludf.DUMMYFUNCTION("""COMPUTED_VALUE"""),"NHD2835")</f>
        <v>NHD2835</v>
      </c>
      <c r="D3536" s="87" t="str">
        <f>IFERROR(__xludf.DUMMYFUNCTION("""COMPUTED_VALUE"""),"[Nhãn] GC - IV - 2835 - CTY NÔNG HÓA XANH - NINJA PRO (Nước vàng trà) - 450ml - 40")</f>
        <v>[Nhãn] GC - IV - 2835 - CTY NÔNG HÓA XANH - NINJA PRO (Nước vàng trà) - 450ml - 40</v>
      </c>
      <c r="E3536" s="87" t="str">
        <f>IFERROR(__xludf.DUMMYFUNCTION("""COMPUTED_VALUE"""),"Thipro 550EC")</f>
        <v>Thipro 550EC</v>
      </c>
      <c r="F3536" s="87" t="str">
        <f>IFERROR(__xludf.DUMMYFUNCTION("""COMPUTED_VALUE"""),"HH2835")</f>
        <v>HH2835</v>
      </c>
      <c r="G3536" s="87" t="str">
        <f>IFERROR(__xludf.DUMMYFUNCTION("""COMPUTED_VALUE"""),"GC - IV - 2835 - CTY NÔNG HÓA XANH - NINJA PRO (Nước vàng trà) - 450ml - 40")</f>
        <v>GC - IV - 2835 - CTY NÔNG HÓA XANH - NINJA PRO (Nước vàng trà) - 450ml - 40</v>
      </c>
    </row>
    <row r="3537">
      <c r="A3537" s="86">
        <f>IFERROR(__xludf.DUMMYFUNCTION("""COMPUTED_VALUE"""),3535.0)</f>
        <v>3535</v>
      </c>
      <c r="B3537" s="87" t="str">
        <f>IFERROR(__xludf.DUMMYFUNCTION("""COMPUTED_VALUE"""),"Nhãn thùng")</f>
        <v>Nhãn thùng</v>
      </c>
      <c r="C3537" s="87" t="str">
        <f>IFERROR(__xludf.DUMMYFUNCTION("""COMPUTED_VALUE"""),"NDT2835")</f>
        <v>NDT2835</v>
      </c>
      <c r="D3537" s="87" t="str">
        <f>IFERROR(__xludf.DUMMYFUNCTION("""COMPUTED_VALUE"""),"[Nhãn thùng] GC - IV - 2835 - CTY NÔNG HÓA XANH - NINJA PRO (Nước vàng trà) - 450ml - 40")</f>
        <v>[Nhãn thùng] GC - IV - 2835 - CTY NÔNG HÓA XANH - NINJA PRO (Nước vàng trà) - 450ml - 40</v>
      </c>
      <c r="E3537" s="87" t="str">
        <f>IFERROR(__xludf.DUMMYFUNCTION("""COMPUTED_VALUE"""),"Thipro 550EC")</f>
        <v>Thipro 550EC</v>
      </c>
      <c r="F3537" s="87" t="str">
        <f>IFERROR(__xludf.DUMMYFUNCTION("""COMPUTED_VALUE"""),"HH2835")</f>
        <v>HH2835</v>
      </c>
      <c r="G3537" s="87" t="str">
        <f>IFERROR(__xludf.DUMMYFUNCTION("""COMPUTED_VALUE"""),"GC - IV - 2835 - CTY NÔNG HÓA XANH - NINJA PRO (Nước vàng trà) - 450ml - 40")</f>
        <v>GC - IV - 2835 - CTY NÔNG HÓA XANH - NINJA PRO (Nước vàng trà) - 450ml - 40</v>
      </c>
    </row>
    <row r="3538">
      <c r="A3538" s="86">
        <f>IFERROR(__xludf.DUMMYFUNCTION("""COMPUTED_VALUE"""),3536.0)</f>
        <v>3536</v>
      </c>
      <c r="B3538" s="87" t="str">
        <f>IFERROR(__xludf.DUMMYFUNCTION("""COMPUTED_VALUE"""),"Nhãn")</f>
        <v>Nhãn</v>
      </c>
      <c r="C3538" s="87" t="str">
        <f>IFERROR(__xludf.DUMMYFUNCTION("""COMPUTED_VALUE"""),"NTN2836")</f>
        <v>NTN2836</v>
      </c>
      <c r="D3538" s="87" t="str">
        <f>IFERROR(__xludf.DUMMYFUNCTION("""COMPUTED_VALUE"""),"[Nhãn] GC - IV - 2836 - CTY NÔNG HÓA XANH - CARE PRO (Bột vàng) - 1kg - 20")</f>
        <v>[Nhãn] GC - IV - 2836 - CTY NÔNG HÓA XANH - CARE PRO (Bột vàng) - 1kg - 20</v>
      </c>
      <c r="E3538" s="87"/>
      <c r="F3538" s="87"/>
      <c r="G3538" s="87"/>
    </row>
    <row r="3539">
      <c r="A3539" s="86">
        <f>IFERROR(__xludf.DUMMYFUNCTION("""COMPUTED_VALUE"""),3537.0)</f>
        <v>3537</v>
      </c>
      <c r="B3539" s="87" t="str">
        <f>IFERROR(__xludf.DUMMYFUNCTION("""COMPUTED_VALUE"""),"ABA")</f>
        <v>ABA</v>
      </c>
      <c r="C3539" s="87" t="str">
        <f>IFERROR(__xludf.DUMMYFUNCTION("""COMPUTED_VALUE"""),"450ml")</f>
        <v>450ml</v>
      </c>
      <c r="D3539" s="87" t="str">
        <f>IFERROR(__xludf.DUMMYFUNCTION("""COMPUTED_VALUE"""),"40")</f>
        <v>40</v>
      </c>
      <c r="E3539" s="87" t="str">
        <f>IFERROR(__xludf.DUMMYFUNCTION("""COMPUTED_VALUE"""),"Nhãn giấy cán bóng")</f>
        <v>Nhãn giấy cán bóng</v>
      </c>
      <c r="F3539" s="87" t="str">
        <f>IFERROR(__xludf.DUMMYFUNCTION("""COMPUTED_VALUE"""),"Cái")</f>
        <v>Cái</v>
      </c>
      <c r="G3539" s="87"/>
    </row>
    <row r="3540">
      <c r="A3540" s="86">
        <f>IFERROR(__xludf.DUMMYFUNCTION("""COMPUTED_VALUE"""),3538.0)</f>
        <v>3538</v>
      </c>
      <c r="B3540" s="87" t="str">
        <f>IFERROR(__xludf.DUMMYFUNCTION("""COMPUTED_VALUE"""),"Nhãn thùng")</f>
        <v>Nhãn thùng</v>
      </c>
      <c r="C3540" s="87" t="str">
        <f>IFERROR(__xludf.DUMMYFUNCTION("""COMPUTED_VALUE"""),"NDT2836")</f>
        <v>NDT2836</v>
      </c>
      <c r="D3540" s="87" t="str">
        <f>IFERROR(__xludf.DUMMYFUNCTION("""COMPUTED_VALUE"""),"[Nhãn thùng] GC - IV - 2836 - CTY NÔNG HÓA XANH - CARE PRO (Bột vàng) - 1kg - 20")</f>
        <v>[Nhãn thùng] GC - IV - 2836 - CTY NÔNG HÓA XANH - CARE PRO (Bột vàng) - 1kg - 20</v>
      </c>
      <c r="E3540" s="87"/>
      <c r="F3540" s="87"/>
      <c r="G3540" s="87"/>
    </row>
    <row r="3541">
      <c r="A3541" s="86" t="str">
        <f>IFERROR(__xludf.DUMMYFUNCTION("""COMPUTED_VALUE"""),"")</f>
        <v/>
      </c>
      <c r="B3541" s="87"/>
      <c r="C3541" s="87" t="str">
        <f>IFERROR(__xludf.DUMMYFUNCTION("""COMPUTED_VALUE"""),"450ml")</f>
        <v>450ml</v>
      </c>
      <c r="D3541" s="87" t="str">
        <f>IFERROR(__xludf.DUMMYFUNCTION("""COMPUTED_VALUE"""),"40")</f>
        <v>40</v>
      </c>
      <c r="E3541" s="87" t="str">
        <f>IFERROR(__xludf.DUMMYFUNCTION("""COMPUTED_VALUE"""),"Nhãn decal bóng")</f>
        <v>Nhãn decal bóng</v>
      </c>
      <c r="F3541" s="87" t="str">
        <f>IFERROR(__xludf.DUMMYFUNCTION("""COMPUTED_VALUE"""),"Cái")</f>
        <v>Cái</v>
      </c>
      <c r="G3541" s="87"/>
    </row>
    <row r="3542">
      <c r="A3542" s="86">
        <f>IFERROR(__xludf.DUMMYFUNCTION("""COMPUTED_VALUE"""),3540.0)</f>
        <v>3540</v>
      </c>
      <c r="B3542" s="87" t="str">
        <f>IFERROR(__xludf.DUMMYFUNCTION("""COMPUTED_VALUE"""),"HỘP")</f>
        <v>HỘP</v>
      </c>
      <c r="C3542" s="87" t="str">
        <f>IFERROR(__xludf.DUMMYFUNCTION("""COMPUTED_VALUE"""),"HOP2837")</f>
        <v>HOP2837</v>
      </c>
      <c r="D3542" s="87" t="str">
        <f>IFERROR(__xludf.DUMMYFUNCTION("""COMPUTED_VALUE"""),"[HOP]GC - IV - 2837 - Cty Newtex - RYLEX NEWTEX - 500ml")</f>
        <v>[HOP]GC - IV - 2837 - Cty Newtex - RYLEX NEWTEX - 500ml</v>
      </c>
      <c r="E3542" s="87"/>
      <c r="F3542" s="87" t="str">
        <f>IFERROR(__xludf.DUMMYFUNCTION("""COMPUTED_VALUE"""),"HH2837")</f>
        <v>HH2837</v>
      </c>
      <c r="G3542" s="87" t="str">
        <f>IFERROR(__xludf.DUMMYFUNCTION("""COMPUTED_VALUE"""),"GC - IV - 2837 - Cty Newtex - RYLEX NEWTEX - 500ml")</f>
        <v>GC - IV - 2837 - Cty Newtex - RYLEX NEWTEX - 500ml</v>
      </c>
    </row>
    <row r="3543">
      <c r="A3543" s="86">
        <f>IFERROR(__xludf.DUMMYFUNCTION("""COMPUTED_VALUE"""),3541.0)</f>
        <v>3541</v>
      </c>
      <c r="B3543" s="87" t="str">
        <f>IFERROR(__xludf.DUMMYFUNCTION("""COMPUTED_VALUE"""),"Nhãn")</f>
        <v>Nhãn</v>
      </c>
      <c r="C3543" s="87" t="str">
        <f>IFERROR(__xludf.DUMMYFUNCTION("""COMPUTED_VALUE"""),"NHG2838")</f>
        <v>NHG2838</v>
      </c>
      <c r="D3543" s="87" t="str">
        <f>IFERROR(__xludf.DUMMYFUNCTION("""COMPUTED_VALUE"""),"[Nhãn] GC - II - 2838 - CHIẾN RÂU BONSAI - PERKADO 500EC (Nước đỏ) - 100ml - 100")</f>
        <v>[Nhãn] GC - II - 2838 - CHIẾN RÂU BONSAI - PERKADO 500EC (Nước đỏ) - 100ml - 100</v>
      </c>
      <c r="E3543" s="87" t="str">
        <f>IFERROR(__xludf.DUMMYFUNCTION("""COMPUTED_VALUE"""),"PERKADO 500EC")</f>
        <v>PERKADO 500EC</v>
      </c>
      <c r="F3543" s="87" t="str">
        <f>IFERROR(__xludf.DUMMYFUNCTION("""COMPUTED_VALUE"""),"HH2838")</f>
        <v>HH2838</v>
      </c>
      <c r="G3543" s="87" t="str">
        <f>IFERROR(__xludf.DUMMYFUNCTION("""COMPUTED_VALUE"""),"GC - II - 2838 - CHIẾN RÂU BONSAI - PERKADO 500EC (Nước đỏ) - 100ml - 100")</f>
        <v>GC - II - 2838 - CHIẾN RÂU BONSAI - PERKADO 500EC (Nước đỏ) - 100ml - 100</v>
      </c>
    </row>
    <row r="3544">
      <c r="A3544" s="86">
        <f>IFERROR(__xludf.DUMMYFUNCTION("""COMPUTED_VALUE"""),3542.0)</f>
        <v>3542</v>
      </c>
      <c r="B3544" s="87" t="str">
        <f>IFERROR(__xludf.DUMMYFUNCTION("""COMPUTED_VALUE"""),"Nhãn thùng")</f>
        <v>Nhãn thùng</v>
      </c>
      <c r="C3544" s="87" t="str">
        <f>IFERROR(__xludf.DUMMYFUNCTION("""COMPUTED_VALUE"""),"NDT2838")</f>
        <v>NDT2838</v>
      </c>
      <c r="D3544" s="87" t="str">
        <f>IFERROR(__xludf.DUMMYFUNCTION("""COMPUTED_VALUE"""),"[Nhãn thùng] GC - II - 2838 - CHIẾN RÂU BONSAI - PERKADO 500EC (Nước đỏ) - 100ml - 100")</f>
        <v>[Nhãn thùng] GC - II - 2838 - CHIẾN RÂU BONSAI - PERKADO 500EC (Nước đỏ) - 100ml - 100</v>
      </c>
      <c r="E3544" s="87" t="str">
        <f>IFERROR(__xludf.DUMMYFUNCTION("""COMPUTED_VALUE"""),"PERKADO 500EC")</f>
        <v>PERKADO 500EC</v>
      </c>
      <c r="F3544" s="87" t="str">
        <f>IFERROR(__xludf.DUMMYFUNCTION("""COMPUTED_VALUE"""),"HH2838")</f>
        <v>HH2838</v>
      </c>
      <c r="G3544" s="87" t="str">
        <f>IFERROR(__xludf.DUMMYFUNCTION("""COMPUTED_VALUE"""),"GC - II - 2838 - CHIẾN RÂU BONSAI - PERKADO 500EC (Nước đỏ) - 100ml - 100")</f>
        <v>GC - II - 2838 - CHIẾN RÂU BONSAI - PERKADO 500EC (Nước đỏ) - 100ml - 100</v>
      </c>
    </row>
    <row r="3545">
      <c r="A3545" s="86">
        <f>IFERROR(__xludf.DUMMYFUNCTION("""COMPUTED_VALUE"""),3543.0)</f>
        <v>3543</v>
      </c>
      <c r="B3545" s="87" t="str">
        <f>IFERROR(__xludf.DUMMYFUNCTION("""COMPUTED_VALUE"""),"Nhãn")</f>
        <v>Nhãn</v>
      </c>
      <c r="C3545" s="87" t="str">
        <f>IFERROR(__xludf.DUMMYFUNCTION("""COMPUTED_VALUE"""),"NHG2839")</f>
        <v>NHG2839</v>
      </c>
      <c r="D3545" s="87" t="str">
        <f>IFERROR(__xludf.DUMMYFUNCTION("""COMPUTED_VALUE"""),"[Nhãn] GC - II - 2839 - AGC - GABA (nước đục) (chai PET tròn) - 450ml - 40")</f>
        <v>[Nhãn] GC - II - 2839 - AGC - GABA (nước đục) (chai PET tròn) - 450ml - 40</v>
      </c>
      <c r="E3545" s="87" t="str">
        <f>IFERROR(__xludf.DUMMYFUNCTION("""COMPUTED_VALUE"""),"Chitin 3.6EC")</f>
        <v>Chitin 3.6EC</v>
      </c>
      <c r="F3545" s="87" t="str">
        <f>IFERROR(__xludf.DUMMYFUNCTION("""COMPUTED_VALUE"""),"HH2839")</f>
        <v>HH2839</v>
      </c>
      <c r="G3545" s="87" t="str">
        <f>IFERROR(__xludf.DUMMYFUNCTION("""COMPUTED_VALUE"""),"GC - II - 2839 - AGC - GABA (nước đục) (chai PET tròn) - 450ml - 40")</f>
        <v>GC - II - 2839 - AGC - GABA (nước đục) (chai PET tròn) - 450ml - 40</v>
      </c>
    </row>
    <row r="3546">
      <c r="A3546" s="86">
        <f>IFERROR(__xludf.DUMMYFUNCTION("""COMPUTED_VALUE"""),3544.0)</f>
        <v>3544</v>
      </c>
      <c r="B3546" s="87" t="str">
        <f>IFERROR(__xludf.DUMMYFUNCTION("""COMPUTED_VALUE"""),"HỘP")</f>
        <v>HỘP</v>
      </c>
      <c r="C3546" s="87" t="str">
        <f>IFERROR(__xludf.DUMMYFUNCTION("""COMPUTED_VALUE"""),"HOP2841")</f>
        <v>HOP2841</v>
      </c>
      <c r="D3546" s="87" t="str">
        <f>IFERROR(__xludf.DUMMYFUNCTION("""COMPUTED_VALUE"""),"[HOP] SẠCH BỆNH - THÀNH CÔNG AGRI - GENOL 1.2SL- 250ml - 2841 - 2 - (12x6x14.5cm)")</f>
        <v>[HOP] SẠCH BỆNH - THÀNH CÔNG AGRI - GENOL 1.2SL- 250ml - 2841 - 2 - (12x6x14.5cm)</v>
      </c>
      <c r="E3546" s="87" t="str">
        <f>IFERROR(__xludf.DUMMYFUNCTION("""COMPUTED_VALUE"""),"GENOL 1.2SL")</f>
        <v>GENOL 1.2SL</v>
      </c>
      <c r="F3546" s="87" t="str">
        <f>IFERROR(__xludf.DUMMYFUNCTION("""COMPUTED_VALUE"""),"HH2841")</f>
        <v>HH2841</v>
      </c>
      <c r="G3546" s="87" t="str">
        <f>IFERROR(__xludf.DUMMYFUNCTION("""COMPUTED_VALUE"""),"GC - IV - 2841 - THÀNH CÔNG AGRI - GENOL 1.2SL (Nước đỏ - V2) - 250ml - 40")</f>
        <v>GC - IV - 2841 - THÀNH CÔNG AGRI - GENOL 1.2SL (Nước đỏ - V2) - 250ml - 40</v>
      </c>
    </row>
    <row r="3547">
      <c r="A3547" s="86">
        <f>IFERROR(__xludf.DUMMYFUNCTION("""COMPUTED_VALUE"""),3545.0)</f>
        <v>3545</v>
      </c>
      <c r="B3547" s="87" t="str">
        <f>IFERROR(__xludf.DUMMYFUNCTION("""COMPUTED_VALUE"""),"Nhãn")</f>
        <v>Nhãn</v>
      </c>
      <c r="C3547" s="87" t="str">
        <f>IFERROR(__xludf.DUMMYFUNCTION("""COMPUTED_VALUE"""),"NHG2841")</f>
        <v>NHG2841</v>
      </c>
      <c r="D3547" s="87" t="str">
        <f>IFERROR(__xludf.DUMMYFUNCTION("""COMPUTED_VALUE"""),"[Nhãn] GC - IV - 2841 - THÀNH CÔNG AGRI - GENOL 1.2SL (Nước đỏ - V2) - 250ml - 40")</f>
        <v>[Nhãn] GC - IV - 2841 - THÀNH CÔNG AGRI - GENOL 1.2SL (Nước đỏ - V2) - 250ml - 40</v>
      </c>
      <c r="E3547" s="87" t="str">
        <f>IFERROR(__xludf.DUMMYFUNCTION("""COMPUTED_VALUE"""),"GENOL 1.2SL")</f>
        <v>GENOL 1.2SL</v>
      </c>
      <c r="F3547" s="87" t="str">
        <f>IFERROR(__xludf.DUMMYFUNCTION("""COMPUTED_VALUE"""),"HH2841")</f>
        <v>HH2841</v>
      </c>
      <c r="G3547" s="87" t="str">
        <f>IFERROR(__xludf.DUMMYFUNCTION("""COMPUTED_VALUE"""),"GC - IV - 2841 - THÀNH CÔNG AGRI - GENOL 1.2SL (Nước đỏ - V2) - 250ml - 40")</f>
        <v>GC - IV - 2841 - THÀNH CÔNG AGRI - GENOL 1.2SL (Nước đỏ - V2) - 250ml - 40</v>
      </c>
    </row>
    <row r="3548">
      <c r="A3548" s="86">
        <f>IFERROR(__xludf.DUMMYFUNCTION("""COMPUTED_VALUE"""),3546.0)</f>
        <v>3546</v>
      </c>
      <c r="B3548" s="87" t="str">
        <f>IFERROR(__xludf.DUMMYFUNCTION("""COMPUTED_VALUE"""),"Nhãn")</f>
        <v>Nhãn</v>
      </c>
      <c r="C3548" s="87" t="str">
        <f>IFERROR(__xludf.DUMMYFUNCTION("""COMPUTED_VALUE"""),"NHG2842")</f>
        <v>NHG2842</v>
      </c>
      <c r="D3548" s="87" t="str">
        <f>IFERROR(__xludf.DUMMYFUNCTION("""COMPUTED_VALUE"""),"[Nhãn] GC - IV - 2842 - THÀNH CÔNG AGRI - CITTIZEN 333SC (Nước cam) - 250ml - 40")</f>
        <v>[Nhãn] GC - IV - 2842 - THÀNH CÔNG AGRI - CITTIZEN 333SC (Nước cam) - 250ml - 40</v>
      </c>
      <c r="E3548" s="87" t="str">
        <f>IFERROR(__xludf.DUMMYFUNCTION("""COMPUTED_VALUE"""),"CITTIZEN 333SC")</f>
        <v>CITTIZEN 333SC</v>
      </c>
      <c r="F3548" s="87" t="str">
        <f>IFERROR(__xludf.DUMMYFUNCTION("""COMPUTED_VALUE"""),"HH2842")</f>
        <v>HH2842</v>
      </c>
      <c r="G3548" s="87" t="str">
        <f>IFERROR(__xludf.DUMMYFUNCTION("""COMPUTED_VALUE"""),"GC - IV - 2842 - THÀNH CÔNG AGRI - CITTIZEN 333SC (Nước cam) - 250ml - 40")</f>
        <v>GC - IV - 2842 - THÀNH CÔNG AGRI - CITTIZEN 333SC (Nước cam) - 250ml - 40</v>
      </c>
    </row>
    <row r="3549">
      <c r="A3549" s="86">
        <f>IFERROR(__xludf.DUMMYFUNCTION("""COMPUTED_VALUE"""),3547.0)</f>
        <v>3547</v>
      </c>
      <c r="B3549" s="87" t="str">
        <f>IFERROR(__xludf.DUMMYFUNCTION("""COMPUTED_VALUE"""),"Nhãn")</f>
        <v>Nhãn</v>
      </c>
      <c r="C3549" s="87" t="str">
        <f>IFERROR(__xludf.DUMMYFUNCTION("""COMPUTED_VALUE"""),"NHG2843")</f>
        <v>NHG2843</v>
      </c>
      <c r="D3549" s="87" t="str">
        <f>IFERROR(__xludf.DUMMYFUNCTION("""COMPUTED_VALUE"""),"[Nhãn] IDA Global - I - 2843 - Chấn Phong - BLAST 333 (Nước cam sữa) - 450ml - 40")</f>
        <v>[Nhãn] IDA Global - I - 2843 - Chấn Phong - BLAST 333 (Nước cam sữa) - 450ml - 40</v>
      </c>
      <c r="E3549" s="87" t="str">
        <f>IFERROR(__xludf.DUMMYFUNCTION("""COMPUTED_VALUE"""),"CITTIZEN 333SC")</f>
        <v>CITTIZEN 333SC</v>
      </c>
      <c r="F3549" s="87" t="str">
        <f>IFERROR(__xludf.DUMMYFUNCTION("""COMPUTED_VALUE"""),"HH2843")</f>
        <v>HH2843</v>
      </c>
      <c r="G3549" s="87" t="str">
        <f>IFERROR(__xludf.DUMMYFUNCTION("""COMPUTED_VALUE"""),"IDA Global - I - 2843 - Chấn Phong - BLAST 333 (Nước cam sữa) - 450ml - 40")</f>
        <v>IDA Global - I - 2843 - Chấn Phong - BLAST 333 (Nước cam sữa) - 450ml - 40</v>
      </c>
    </row>
    <row r="3550">
      <c r="A3550" s="86">
        <f>IFERROR(__xludf.DUMMYFUNCTION("""COMPUTED_VALUE"""),3548.0)</f>
        <v>3548</v>
      </c>
      <c r="B3550" s="87" t="str">
        <f>IFERROR(__xludf.DUMMYFUNCTION("""COMPUTED_VALUE"""),"Nhãn")</f>
        <v>Nhãn</v>
      </c>
      <c r="C3550" s="87" t="str">
        <f>IFERROR(__xludf.DUMMYFUNCTION("""COMPUTED_VALUE"""),"NHG2844")</f>
        <v>NHG2844</v>
      </c>
      <c r="D3550" s="87" t="str">
        <f>IFERROR(__xludf.DUMMYFUNCTION("""COMPUTED_VALUE"""),"[Nhãn] GC - IV - 2844 - BELLORMAR - UPX 300 SIÊU CHẶN ĐỌT (Nước nâu đen) - 1L - 20")</f>
        <v>[Nhãn] GC - IV - 2844 - BELLORMAR - UPX 300 SIÊU CHẶN ĐỌT (Nước nâu đen) - 1L - 20</v>
      </c>
      <c r="E3550" s="87" t="str">
        <f>IFERROR(__xludf.DUMMYFUNCTION("""COMPUTED_VALUE"""),"Vi lượng Quantity New")</f>
        <v>Vi lượng Quantity New</v>
      </c>
      <c r="F3550" s="87" t="str">
        <f>IFERROR(__xludf.DUMMYFUNCTION("""COMPUTED_VALUE"""),"HH2844")</f>
        <v>HH2844</v>
      </c>
      <c r="G3550" s="87" t="str">
        <f>IFERROR(__xludf.DUMMYFUNCTION("""COMPUTED_VALUE"""),"GC - IV - 2844 - BELLORMAR - UPX 300 SIÊU CHẶN ĐỌT (Nước nâu đen) - 1L - 20")</f>
        <v>GC - IV - 2844 - BELLORMAR - UPX 300 SIÊU CHẶN ĐỌT (Nước nâu đen) - 1L - 20</v>
      </c>
    </row>
    <row r="3551">
      <c r="A3551" s="86">
        <f>IFERROR(__xludf.DUMMYFUNCTION("""COMPUTED_VALUE"""),3549.0)</f>
        <v>3549</v>
      </c>
      <c r="B3551" s="87" t="str">
        <f>IFERROR(__xludf.DUMMYFUNCTION("""COMPUTED_VALUE"""),"Nhãn")</f>
        <v>Nhãn</v>
      </c>
      <c r="C3551" s="87" t="str">
        <f>IFERROR(__xludf.DUMMYFUNCTION("""COMPUTED_VALUE"""),"NHD2845")</f>
        <v>NHD2845</v>
      </c>
      <c r="D3551" s="87" t="str">
        <f>IFERROR(__xludf.DUMMYFUNCTION("""COMPUTED_VALUE"""),"[Nhãn] GC - IV - 2845 - BELLORMAR - UPX 100 PRO (Nước nâu đen) - 20L - 1")</f>
        <v>[Nhãn] GC - IV - 2845 - BELLORMAR - UPX 100 PRO (Nước nâu đen) - 20L - 1</v>
      </c>
      <c r="E3551" s="87" t="str">
        <f>IFERROR(__xludf.DUMMYFUNCTION("""COMPUTED_VALUE"""),"Vi lượng Quantity New")</f>
        <v>Vi lượng Quantity New</v>
      </c>
      <c r="F3551" s="87" t="str">
        <f>IFERROR(__xludf.DUMMYFUNCTION("""COMPUTED_VALUE"""),"HH2845")</f>
        <v>HH2845</v>
      </c>
      <c r="G3551" s="87" t="str">
        <f>IFERROR(__xludf.DUMMYFUNCTION("""COMPUTED_VALUE"""),"GC - IV - 2845 - BELLORMAR - UPX 100 PRO (Nước nâu đen) - 20L - 1")</f>
        <v>GC - IV - 2845 - BELLORMAR - UPX 100 PRO (Nước nâu đen) - 20L - 1</v>
      </c>
    </row>
    <row r="3552">
      <c r="A3552" s="86">
        <f>IFERROR(__xludf.DUMMYFUNCTION("""COMPUTED_VALUE"""),3550.0)</f>
        <v>3550</v>
      </c>
      <c r="B3552" s="87" t="str">
        <f>IFERROR(__xludf.DUMMYFUNCTION("""COMPUTED_VALUE"""),"Nhãn")</f>
        <v>Nhãn</v>
      </c>
      <c r="C3552" s="87" t="str">
        <f>IFERROR(__xludf.DUMMYFUNCTION("""COMPUTED_VALUE"""),"NHD2846")</f>
        <v>NHD2846</v>
      </c>
      <c r="D3552" s="87" t="str">
        <f>IFERROR(__xludf.DUMMYFUNCTION("""COMPUTED_VALUE"""),"[Nhãn] GC - IV - 2846 - BELLORMAR - UPX 100 (Nước nâu đen) - 5L - 4")</f>
        <v>[Nhãn] GC - IV - 2846 - BELLORMAR - UPX 100 (Nước nâu đen) - 5L - 4</v>
      </c>
      <c r="E3552" s="87" t="str">
        <f>IFERROR(__xludf.DUMMYFUNCTION("""COMPUTED_VALUE"""),"Vi lượng Quantity New")</f>
        <v>Vi lượng Quantity New</v>
      </c>
      <c r="F3552" s="87" t="str">
        <f>IFERROR(__xludf.DUMMYFUNCTION("""COMPUTED_VALUE"""),"HH2846")</f>
        <v>HH2846</v>
      </c>
      <c r="G3552" s="87" t="str">
        <f>IFERROR(__xludf.DUMMYFUNCTION("""COMPUTED_VALUE"""),"GC - IV - 2846 - BELLORMAR - UPX 100 (Nước nâu đen) - 5L - 4")</f>
        <v>GC - IV - 2846 - BELLORMAR - UPX 100 (Nước nâu đen) - 5L - 4</v>
      </c>
    </row>
    <row r="3553">
      <c r="A3553" s="86">
        <f>IFERROR(__xludf.DUMMYFUNCTION("""COMPUTED_VALUE"""),3551.0)</f>
        <v>3551</v>
      </c>
      <c r="B3553" s="87" t="str">
        <f>IFERROR(__xludf.DUMMYFUNCTION("""COMPUTED_VALUE"""),"Nhãn thùng")</f>
        <v>Nhãn thùng</v>
      </c>
      <c r="C3553" s="87" t="str">
        <f>IFERROR(__xludf.DUMMYFUNCTION("""COMPUTED_VALUE"""),"NDT2846")</f>
        <v>NDT2846</v>
      </c>
      <c r="D3553" s="87" t="str">
        <f>IFERROR(__xludf.DUMMYFUNCTION("""COMPUTED_VALUE"""),"[Nhãn thùng] GC - IV - 2846 - BELLORMAR - UPX 100 (Nước nâu đen) - 5L - 4")</f>
        <v>[Nhãn thùng] GC - IV - 2846 - BELLORMAR - UPX 100 (Nước nâu đen) - 5L - 4</v>
      </c>
      <c r="E3553" s="87" t="str">
        <f>IFERROR(__xludf.DUMMYFUNCTION("""COMPUTED_VALUE"""),"Vi lượng Quantity New")</f>
        <v>Vi lượng Quantity New</v>
      </c>
      <c r="F3553" s="87" t="str">
        <f>IFERROR(__xludf.DUMMYFUNCTION("""COMPUTED_VALUE"""),"HH2846")</f>
        <v>HH2846</v>
      </c>
      <c r="G3553" s="87" t="str">
        <f>IFERROR(__xludf.DUMMYFUNCTION("""COMPUTED_VALUE"""),"GC - IV - 2846 - BELLORMAR - UPX 100 (Nước nâu đen) - 5L - 4")</f>
        <v>GC - IV - 2846 - BELLORMAR - UPX 100 (Nước nâu đen) - 5L - 4</v>
      </c>
    </row>
    <row r="3554">
      <c r="A3554" s="86">
        <f>IFERROR(__xludf.DUMMYFUNCTION("""COMPUTED_VALUE"""),3552.0)</f>
        <v>3552</v>
      </c>
      <c r="B3554" s="87" t="str">
        <f>IFERROR(__xludf.DUMMYFUNCTION("""COMPUTED_VALUE"""),"Nhãn")</f>
        <v>Nhãn</v>
      </c>
      <c r="C3554" s="87" t="str">
        <f>IFERROR(__xludf.DUMMYFUNCTION("""COMPUTED_VALUE"""),"NHG2847")</f>
        <v>NHG2847</v>
      </c>
      <c r="D3554" s="87" t="str">
        <f>IFERROR(__xludf.DUMMYFUNCTION("""COMPUTED_VALUE"""),"[Nhãn]  IDA Global - I - 2847 - CITIZEN 333 (Nước cam sữa) - 450ml - 40")</f>
        <v>[Nhãn]  IDA Global - I - 2847 - CITIZEN 333 (Nước cam sữa) - 450ml - 40</v>
      </c>
      <c r="E3554" s="87" t="str">
        <f>IFERROR(__xludf.DUMMYFUNCTION("""COMPUTED_VALUE"""),"CITTIZEN 333SC")</f>
        <v>CITTIZEN 333SC</v>
      </c>
      <c r="F3554" s="87" t="str">
        <f>IFERROR(__xludf.DUMMYFUNCTION("""COMPUTED_VALUE"""),"HH2847")</f>
        <v>HH2847</v>
      </c>
      <c r="G3554" s="87" t="str">
        <f>IFERROR(__xludf.DUMMYFUNCTION("""COMPUTED_VALUE"""),"IDA Global - I - 2847 - CITIZEN 333 (Nước cam sữa) - 450ml - 40")</f>
        <v>IDA Global - I - 2847 - CITIZEN 333 (Nước cam sữa) - 450ml - 40</v>
      </c>
    </row>
    <row r="3555">
      <c r="A3555" s="86">
        <f>IFERROR(__xludf.DUMMYFUNCTION("""COMPUTED_VALUE"""),3553.0)</f>
        <v>3553</v>
      </c>
      <c r="B3555" s="87" t="str">
        <f>IFERROR(__xludf.DUMMYFUNCTION("""COMPUTED_VALUE"""),"Nhãn")</f>
        <v>Nhãn</v>
      </c>
      <c r="C3555" s="87" t="str">
        <f>IFERROR(__xludf.DUMMYFUNCTION("""COMPUTED_VALUE"""),"NHG2848")</f>
        <v>NHG2848</v>
      </c>
      <c r="D3555" s="87" t="str">
        <f>IFERROR(__xludf.DUMMYFUNCTION("""COMPUTED_VALUE"""),"[Nhãn] GC - IV - 2848 - CTY VẠN TRƯỜNG THỊNH - NUTI RICE MAX (Gel vàng cam) - 500ml - 40")</f>
        <v>[Nhãn] GC - IV - 2848 - CTY VẠN TRƯỜNG THỊNH - NUTI RICE MAX (Gel vàng cam) - 500ml - 40</v>
      </c>
      <c r="E3555" s="87" t="str">
        <f>IFERROR(__xludf.DUMMYFUNCTION("""COMPUTED_VALUE"""),"Vi lượng Run Fast")</f>
        <v>Vi lượng Run Fast</v>
      </c>
      <c r="F3555" s="87" t="str">
        <f>IFERROR(__xludf.DUMMYFUNCTION("""COMPUTED_VALUE"""),"HH2848")</f>
        <v>HH2848</v>
      </c>
      <c r="G3555" s="87" t="str">
        <f>IFERROR(__xludf.DUMMYFUNCTION("""COMPUTED_VALUE"""),"GC - IV - 2848 - CTY VẠN TRƯỜNG THỊNH - NUTI RICE MAX (Gel vàng cam) - 500ml - 40")</f>
        <v>GC - IV - 2848 - CTY VẠN TRƯỜNG THỊNH - NUTI RICE MAX (Gel vàng cam) - 500ml - 40</v>
      </c>
    </row>
    <row r="3556">
      <c r="A3556" s="86">
        <f>IFERROR(__xludf.DUMMYFUNCTION("""COMPUTED_VALUE"""),3554.0)</f>
        <v>3554</v>
      </c>
      <c r="B3556" s="87" t="str">
        <f>IFERROR(__xludf.DUMMYFUNCTION("""COMPUTED_VALUE"""),"Nhãn")</f>
        <v>Nhãn</v>
      </c>
      <c r="C3556" s="87" t="str">
        <f>IFERROR(__xludf.DUMMYFUNCTION("""COMPUTED_VALUE"""),"NHG2849")</f>
        <v>NHG2849</v>
      </c>
      <c r="D3556" s="87" t="str">
        <f>IFERROR(__xludf.DUMMYFUNCTION("""COMPUTED_VALUE"""),"[Nhãn] GC - IV - 2849 - CTY VẠN TRƯỜNG THỊNH - NUTI ROOTS 03 (Gel nâu đen) - 500ml - 40")</f>
        <v>[Nhãn] GC - IV - 2849 - CTY VẠN TRƯỜNG THỊNH - NUTI ROOTS 03 (Gel nâu đen) - 500ml - 40</v>
      </c>
      <c r="E3556" s="87" t="str">
        <f>IFERROR(__xludf.DUMMYFUNCTION("""COMPUTED_VALUE"""),"Hữu cơ SH Agro Organic Fertilizer 20")</f>
        <v>Hữu cơ SH Agro Organic Fertilizer 20</v>
      </c>
      <c r="F3556" s="87" t="str">
        <f>IFERROR(__xludf.DUMMYFUNCTION("""COMPUTED_VALUE"""),"HH2849")</f>
        <v>HH2849</v>
      </c>
      <c r="G3556" s="87" t="str">
        <f>IFERROR(__xludf.DUMMYFUNCTION("""COMPUTED_VALUE"""),"GC - IV - 2849 - CTY VẠN TRƯỜNG THỊNH - NUTI ROOTS 03 (Gel nâu đen) - 500ml - 40")</f>
        <v>GC - IV - 2849 - CTY VẠN TRƯỜNG THỊNH - NUTI ROOTS 03 (Gel nâu đen) - 500ml - 40</v>
      </c>
    </row>
    <row r="3557">
      <c r="A3557" s="86">
        <f>IFERROR(__xludf.DUMMYFUNCTION("""COMPUTED_VALUE"""),3555.0)</f>
        <v>3555</v>
      </c>
      <c r="B3557" s="87" t="str">
        <f>IFERROR(__xludf.DUMMYFUNCTION("""COMPUTED_VALUE"""),"Nhãn")</f>
        <v>Nhãn</v>
      </c>
      <c r="C3557" s="87" t="str">
        <f>IFERROR(__xludf.DUMMYFUNCTION("""COMPUTED_VALUE"""),"NHG2850")</f>
        <v>NHG2850</v>
      </c>
      <c r="D3557" s="87" t="str">
        <f>IFERROR(__xludf.DUMMYFUNCTION("""COMPUTED_VALUE"""),"[Nhãn]  GC - IV - 2850 - CTY HƯƠNG NÔNG - VUA HỒI PHỤC (Nước nâu đen) - 1L - 20")</f>
        <v>[Nhãn]  GC - IV - 2850 - CTY HƯƠNG NÔNG - VUA HỒI PHỤC (Nước nâu đen) - 1L - 20</v>
      </c>
      <c r="E3557" s="87" t="str">
        <f>IFERROR(__xludf.DUMMYFUNCTION("""COMPUTED_VALUE"""),"Vi lượng Quantity New")</f>
        <v>Vi lượng Quantity New</v>
      </c>
      <c r="F3557" s="87" t="str">
        <f>IFERROR(__xludf.DUMMYFUNCTION("""COMPUTED_VALUE"""),"HH2850")</f>
        <v>HH2850</v>
      </c>
      <c r="G3557" s="87" t="str">
        <f>IFERROR(__xludf.DUMMYFUNCTION("""COMPUTED_VALUE"""),"GC - IV - 2850 - CTY HƯƠNG NÔNG - VUA HỒI PHỤC (Nước nâu đen) - 1L - 20")</f>
        <v>GC - IV - 2850 - CTY HƯƠNG NÔNG - VUA HỒI PHỤC (Nước nâu đen) - 1L - 20</v>
      </c>
    </row>
    <row r="3558">
      <c r="A3558" s="86">
        <f>IFERROR(__xludf.DUMMYFUNCTION("""COMPUTED_VALUE"""),3556.0)</f>
        <v>3556</v>
      </c>
      <c r="B3558" s="87" t="str">
        <f>IFERROR(__xludf.DUMMYFUNCTION("""COMPUTED_VALUE"""),"Nhãn")</f>
        <v>Nhãn</v>
      </c>
      <c r="C3558" s="87" t="str">
        <f>IFERROR(__xludf.DUMMYFUNCTION("""COMPUTED_VALUE"""),"NHG2851")</f>
        <v>NHG2851</v>
      </c>
      <c r="D3558" s="87" t="str">
        <f>IFERROR(__xludf.DUMMYFUNCTION("""COMPUTED_VALUE"""),"[Nhãn] GC - IV - 2851 - CTY HƯƠNG NÔNG - VUA NÂNG PH (Nước nâu đen) - 1L - 20")</f>
        <v>[Nhãn] GC - IV - 2851 - CTY HƯƠNG NÔNG - VUA NÂNG PH (Nước nâu đen) - 1L - 20</v>
      </c>
      <c r="E3558" s="87" t="str">
        <f>IFERROR(__xludf.DUMMYFUNCTION("""COMPUTED_VALUE"""),"Hữu cơ SH Agro Organic Fertilizer 20")</f>
        <v>Hữu cơ SH Agro Organic Fertilizer 20</v>
      </c>
      <c r="F3558" s="87" t="str">
        <f>IFERROR(__xludf.DUMMYFUNCTION("""COMPUTED_VALUE"""),"HH2851")</f>
        <v>HH2851</v>
      </c>
      <c r="G3558" s="87" t="str">
        <f>IFERROR(__xludf.DUMMYFUNCTION("""COMPUTED_VALUE"""),"GC - IV - 2851 - CTY HƯƠNG NÔNG - VUA NÂNG PH (Nước nâu đen) - 1L - 20")</f>
        <v>GC - IV - 2851 - CTY HƯƠNG NÔNG - VUA NÂNG PH (Nước nâu đen) - 1L - 20</v>
      </c>
    </row>
    <row r="3559">
      <c r="A3559" s="86">
        <f>IFERROR(__xludf.DUMMYFUNCTION("""COMPUTED_VALUE"""),3557.0)</f>
        <v>3557</v>
      </c>
      <c r="B3559" s="87" t="str">
        <f>IFERROR(__xludf.DUMMYFUNCTION("""COMPUTED_VALUE"""),"Nhãn")</f>
        <v>Nhãn</v>
      </c>
      <c r="C3559" s="87" t="str">
        <f>IFERROR(__xludf.DUMMYFUNCTION("""COMPUTED_VALUE"""),"NHD2852")</f>
        <v>NHD2852</v>
      </c>
      <c r="D3559" s="87" t="str">
        <f>IFERROR(__xludf.DUMMYFUNCTION("""COMPUTED_VALUE"""),"[Nhãn] GC - IV - 2852 - CTY HƯƠNG NÔNG - VUA NÂNG PH (Nước nâu đen) - 5L - 4")</f>
        <v>[Nhãn] GC - IV - 2852 - CTY HƯƠNG NÔNG - VUA NÂNG PH (Nước nâu đen) - 5L - 4</v>
      </c>
      <c r="E3559" s="87" t="str">
        <f>IFERROR(__xludf.DUMMYFUNCTION("""COMPUTED_VALUE"""),"Hữu cơ SH Agro Organic Fertilizer 20")</f>
        <v>Hữu cơ SH Agro Organic Fertilizer 20</v>
      </c>
      <c r="F3559" s="87" t="str">
        <f>IFERROR(__xludf.DUMMYFUNCTION("""COMPUTED_VALUE"""),"HH2852")</f>
        <v>HH2852</v>
      </c>
      <c r="G3559" s="87" t="str">
        <f>IFERROR(__xludf.DUMMYFUNCTION("""COMPUTED_VALUE"""),"GC - IV - 2852 - CTY HƯƠNG NÔNG - VUA NÂNG PH (Nước nâu đen) - 5L - 4")</f>
        <v>GC - IV - 2852 - CTY HƯƠNG NÔNG - VUA NÂNG PH (Nước nâu đen) - 5L - 4</v>
      </c>
    </row>
    <row r="3560">
      <c r="A3560" s="86">
        <f>IFERROR(__xludf.DUMMYFUNCTION("""COMPUTED_VALUE"""),3558.0)</f>
        <v>3558</v>
      </c>
      <c r="B3560" s="87" t="str">
        <f>IFERROR(__xludf.DUMMYFUNCTION("""COMPUTED_VALUE"""),"Nhãn thùng")</f>
        <v>Nhãn thùng</v>
      </c>
      <c r="C3560" s="87" t="str">
        <f>IFERROR(__xludf.DUMMYFUNCTION("""COMPUTED_VALUE"""),"NDT2852")</f>
        <v>NDT2852</v>
      </c>
      <c r="D3560" s="87" t="str">
        <f>IFERROR(__xludf.DUMMYFUNCTION("""COMPUTED_VALUE"""),"[Nhãn thùng] GC - IV - 2852 - CTY HƯƠNG NÔNG - VUA NÂNG PH (Nước nâu đen) - 5L - 4")</f>
        <v>[Nhãn thùng] GC - IV - 2852 - CTY HƯƠNG NÔNG - VUA NÂNG PH (Nước nâu đen) - 5L - 4</v>
      </c>
      <c r="E3560" s="87" t="str">
        <f>IFERROR(__xludf.DUMMYFUNCTION("""COMPUTED_VALUE"""),"Hữu cơ SH Agro Organic Fertilizer 20")</f>
        <v>Hữu cơ SH Agro Organic Fertilizer 20</v>
      </c>
      <c r="F3560" s="87" t="str">
        <f>IFERROR(__xludf.DUMMYFUNCTION("""COMPUTED_VALUE"""),"HH2852")</f>
        <v>HH2852</v>
      </c>
      <c r="G3560" s="87" t="str">
        <f>IFERROR(__xludf.DUMMYFUNCTION("""COMPUTED_VALUE"""),"GC - IV - 2852 - CTY HƯƠNG NÔNG - VUA NÂNG PH (Nước nâu đen) - 5L - 4")</f>
        <v>GC - IV - 2852 - CTY HƯƠNG NÔNG - VUA NÂNG PH (Nước nâu đen) - 5L - 4</v>
      </c>
    </row>
    <row r="3561">
      <c r="A3561" s="86">
        <f>IFERROR(__xludf.DUMMYFUNCTION("""COMPUTED_VALUE"""),3559.0)</f>
        <v>3559</v>
      </c>
      <c r="B3561" s="87" t="str">
        <f>IFERROR(__xludf.DUMMYFUNCTION("""COMPUTED_VALUE"""),"Nhãn")</f>
        <v>Nhãn</v>
      </c>
      <c r="C3561" s="87" t="str">
        <f>IFERROR(__xludf.DUMMYFUNCTION("""COMPUTED_VALUE"""),"NHG2853")</f>
        <v>NHG2853</v>
      </c>
      <c r="D3561" s="87" t="str">
        <f>IFERROR(__xludf.DUMMYFUNCTION("""COMPUTED_VALUE"""),"[Nhãn] GC - IV - 2853 - CTY HƯƠNG NÔNG - VUA VỌT ĐỌT (Nước nâu đen) - 500ml - 40")</f>
        <v>[Nhãn] GC - IV - 2853 - CTY HƯƠNG NÔNG - VUA VỌT ĐỌT (Nước nâu đen) - 500ml - 40</v>
      </c>
      <c r="E3561" s="87" t="str">
        <f>IFERROR(__xludf.DUMMYFUNCTION("""COMPUTED_VALUE"""),"Vi lượng Quantity New")</f>
        <v>Vi lượng Quantity New</v>
      </c>
      <c r="F3561" s="87" t="str">
        <f>IFERROR(__xludf.DUMMYFUNCTION("""COMPUTED_VALUE"""),"HH2853")</f>
        <v>HH2853</v>
      </c>
      <c r="G3561" s="87" t="str">
        <f>IFERROR(__xludf.DUMMYFUNCTION("""COMPUTED_VALUE"""),"GC - IV - 2853 - CTY HƯƠNG NÔNG - VUA VỌT ĐỌT (Nước nâu đen) - 500ml - 40")</f>
        <v>GC - IV - 2853 - CTY HƯƠNG NÔNG - VUA VỌT ĐỌT (Nước nâu đen) - 500ml - 40</v>
      </c>
    </row>
    <row r="3562">
      <c r="A3562" s="86">
        <f>IFERROR(__xludf.DUMMYFUNCTION("""COMPUTED_VALUE"""),3560.0)</f>
        <v>3560</v>
      </c>
      <c r="B3562" s="87" t="str">
        <f>IFERROR(__xludf.DUMMYFUNCTION("""COMPUTED_VALUE"""),"Nhãn")</f>
        <v>Nhãn</v>
      </c>
      <c r="C3562" s="87" t="str">
        <f>IFERROR(__xludf.DUMMYFUNCTION("""COMPUTED_VALUE"""),"NHG2854")</f>
        <v>NHG2854</v>
      </c>
      <c r="D3562" s="87" t="str">
        <f>IFERROR(__xludf.DUMMYFUNCTION("""COMPUTED_VALUE"""),"[Nhãn] GC - IV - 2854 - CTY HƯƠNG NÔNG - VUA COMBI AMINO (Nước xanh nõn chuối) - 500ml - 40")</f>
        <v>[Nhãn] GC - IV - 2854 - CTY HƯƠNG NÔNG - VUA COMBI AMINO (Nước xanh nõn chuối) - 500ml - 40</v>
      </c>
      <c r="E3562" s="87" t="str">
        <f>IFERROR(__xludf.DUMMYFUNCTION("""COMPUTED_VALUE"""),"Vi lượng Quantity New")</f>
        <v>Vi lượng Quantity New</v>
      </c>
      <c r="F3562" s="87" t="str">
        <f>IFERROR(__xludf.DUMMYFUNCTION("""COMPUTED_VALUE"""),"HH2854")</f>
        <v>HH2854</v>
      </c>
      <c r="G3562" s="87" t="str">
        <f>IFERROR(__xludf.DUMMYFUNCTION("""COMPUTED_VALUE"""),"GC - IV - 2854 - CTY HƯƠNG NÔNG - VUA COMBI AMINO (Nước xanh nõn chuối) - 500ml - 40")</f>
        <v>GC - IV - 2854 - CTY HƯƠNG NÔNG - VUA COMBI AMINO (Nước xanh nõn chuối) - 500ml - 40</v>
      </c>
    </row>
    <row r="3563">
      <c r="A3563" s="86">
        <f>IFERROR(__xludf.DUMMYFUNCTION("""COMPUTED_VALUE"""),3561.0)</f>
        <v>3561</v>
      </c>
      <c r="B3563" s="87" t="str">
        <f>IFERROR(__xludf.DUMMYFUNCTION("""COMPUTED_VALUE"""),"Nhãn")</f>
        <v>Nhãn</v>
      </c>
      <c r="C3563" s="87" t="str">
        <f>IFERROR(__xludf.DUMMYFUNCTION("""COMPUTED_VALUE"""),"NHG2855")</f>
        <v>NHG2855</v>
      </c>
      <c r="D3563" s="87" t="str">
        <f>IFERROR(__xludf.DUMMYFUNCTION("""COMPUTED_VALUE"""),"[Nhãn] GC - IV - 2855 - CTY HƯƠNG NÔNG - VUA ĐÂM CHỒI (Nước xanh bơ sữa) - 100ml - 50")</f>
        <v>[Nhãn] GC - IV - 2855 - CTY HƯƠNG NÔNG - VUA ĐÂM CHỒI (Nước xanh bơ sữa) - 100ml - 50</v>
      </c>
      <c r="E3563" s="87" t="str">
        <f>IFERROR(__xludf.DUMMYFUNCTION("""COMPUTED_VALUE"""),"Hỗn Hợp NP AGAMA-AP")</f>
        <v>Hỗn Hợp NP AGAMA-AP</v>
      </c>
      <c r="F3563" s="87" t="str">
        <f>IFERROR(__xludf.DUMMYFUNCTION("""COMPUTED_VALUE"""),"HH2855")</f>
        <v>HH2855</v>
      </c>
      <c r="G3563" s="87" t="str">
        <f>IFERROR(__xludf.DUMMYFUNCTION("""COMPUTED_VALUE"""),"GC - IV - 2855 - CTY HƯƠNG NÔNG - VUA ĐÂM CHỒI (Nước xanh bơ sữa) - 100ml - 50")</f>
        <v>GC - IV - 2855 - CTY HƯƠNG NÔNG - VUA ĐÂM CHỒI (Nước xanh bơ sữa) - 100ml - 50</v>
      </c>
    </row>
    <row r="3564">
      <c r="A3564" s="86">
        <f>IFERROR(__xludf.DUMMYFUNCTION("""COMPUTED_VALUE"""),3562.0)</f>
        <v>3562</v>
      </c>
      <c r="B3564" s="87" t="str">
        <f>IFERROR(__xludf.DUMMYFUNCTION("""COMPUTED_VALUE"""),"Nhãn")</f>
        <v>Nhãn</v>
      </c>
      <c r="C3564" s="87" t="str">
        <f>IFERROR(__xludf.DUMMYFUNCTION("""COMPUTED_VALUE"""),"NHG2857")</f>
        <v>NHG2857</v>
      </c>
      <c r="D3564" s="87" t="str">
        <f>IFERROR(__xludf.DUMMYFUNCTION("""COMPUTED_VALUE"""),"[Nhãn] GC - IV - 2857 - CTY ASAHI NHẬT BẢN - DIỆP LỤC TỐ (Gel xanh lá) - 500ml - 40")</f>
        <v>[Nhãn] GC - IV - 2857 - CTY ASAHI NHẬT BẢN - DIỆP LỤC TỐ (Gel xanh lá) - 500ml - 40</v>
      </c>
      <c r="E3564" s="87" t="str">
        <f>IFERROR(__xludf.DUMMYFUNCTION("""COMPUTED_VALUE"""),"Vi lượng AGAMA-SUPPORT")</f>
        <v>Vi lượng AGAMA-SUPPORT</v>
      </c>
      <c r="F3564" s="87" t="str">
        <f>IFERROR(__xludf.DUMMYFUNCTION("""COMPUTED_VALUE"""),"HH2857")</f>
        <v>HH2857</v>
      </c>
      <c r="G3564" s="87" t="str">
        <f>IFERROR(__xludf.DUMMYFUNCTION("""COMPUTED_VALUE"""),"GC - IV - 2857 - CTY ASAHI NHẬT BẢN - DIỆP LỤC TỐ (Gel xanh lá) - 500ml - 40")</f>
        <v>GC - IV - 2857 - CTY ASAHI NHẬT BẢN - DIỆP LỤC TỐ (Gel xanh lá) - 500ml - 40</v>
      </c>
    </row>
    <row r="3565">
      <c r="A3565" s="86">
        <f>IFERROR(__xludf.DUMMYFUNCTION("""COMPUTED_VALUE"""),3563.0)</f>
        <v>3563</v>
      </c>
      <c r="B3565" s="87" t="str">
        <f>IFERROR(__xludf.DUMMYFUNCTION("""COMPUTED_VALUE"""),"Nhãn")</f>
        <v>Nhãn</v>
      </c>
      <c r="C3565" s="87" t="str">
        <f>IFERROR(__xludf.DUMMYFUNCTION("""COMPUTED_VALUE"""),"NHG2858")</f>
        <v>NHG2858</v>
      </c>
      <c r="D3565" s="87" t="str">
        <f>IFERROR(__xludf.DUMMYFUNCTION("""COMPUTED_VALUE"""),"[Nhãn] GC - IV - 2858 - CTY ASAHI NHẬT BẢN - KẼM HỮU CƠ (Gel xanh lá) - 500ml - 40")</f>
        <v>[Nhãn] GC - IV - 2858 - CTY ASAHI NHẬT BẢN - KẼM HỮU CƠ (Gel xanh lá) - 500ml - 40</v>
      </c>
      <c r="E3565" s="87" t="str">
        <f>IFERROR(__xludf.DUMMYFUNCTION("""COMPUTED_VALUE"""),"Vi lượng AGAMA-SUPPORT")</f>
        <v>Vi lượng AGAMA-SUPPORT</v>
      </c>
      <c r="F3565" s="87" t="str">
        <f>IFERROR(__xludf.DUMMYFUNCTION("""COMPUTED_VALUE"""),"HH2858")</f>
        <v>HH2858</v>
      </c>
      <c r="G3565" s="87" t="str">
        <f>IFERROR(__xludf.DUMMYFUNCTION("""COMPUTED_VALUE"""),"GC - IV - 2858 - CTY ASAHI NHẬT BẢN - KẼM HỮU CƠ (Gel xanh lá) - 500ml - 40")</f>
        <v>GC - IV - 2858 - CTY ASAHI NHẬT BẢN - KẼM HỮU CƠ (Gel xanh lá) - 500ml - 40</v>
      </c>
    </row>
    <row r="3566">
      <c r="A3566" s="86">
        <f>IFERROR(__xludf.DUMMYFUNCTION("""COMPUTED_VALUE"""),3564.0)</f>
        <v>3564</v>
      </c>
      <c r="B3566" s="87" t="str">
        <f>IFERROR(__xludf.DUMMYFUNCTION("""COMPUTED_VALUE"""),"Nhãn")</f>
        <v>Nhãn</v>
      </c>
      <c r="C3566" s="87" t="str">
        <f>IFERROR(__xludf.DUMMYFUNCTION("""COMPUTED_VALUE"""),"NHG2859")</f>
        <v>NHG2859</v>
      </c>
      <c r="D3566" s="87" t="str">
        <f>IFERROR(__xludf.DUMMYFUNCTION("""COMPUTED_VALUE"""),"[Nhãn] GC - IV - 2859 - CTY ASAHI NHẬT BẢN - GIẢM STRESS CHỐNG SHOCK (Gel xanh lá) - 500ml - 40")</f>
        <v>[Nhãn] GC - IV - 2859 - CTY ASAHI NHẬT BẢN - GIẢM STRESS CHỐNG SHOCK (Gel xanh lá) - 500ml - 40</v>
      </c>
      <c r="E3566" s="87" t="str">
        <f>IFERROR(__xludf.DUMMYFUNCTION("""COMPUTED_VALUE"""),"Vi lượng AGAMA-SUPPORT")</f>
        <v>Vi lượng AGAMA-SUPPORT</v>
      </c>
      <c r="F3566" s="87" t="str">
        <f>IFERROR(__xludf.DUMMYFUNCTION("""COMPUTED_VALUE"""),"HH2859")</f>
        <v>HH2859</v>
      </c>
      <c r="G3566" s="87" t="str">
        <f>IFERROR(__xludf.DUMMYFUNCTION("""COMPUTED_VALUE"""),"GC - IV - 2859 - CTY ASAHI NHẬT BẢN - GIẢM STRESS CHỐNG SHOCK (Gel xanh lá) - 500ml - 40")</f>
        <v>GC - IV - 2859 - CTY ASAHI NHẬT BẢN - GIẢM STRESS CHỐNG SHOCK (Gel xanh lá) - 500ml - 40</v>
      </c>
    </row>
    <row r="3567">
      <c r="A3567" s="86">
        <f>IFERROR(__xludf.DUMMYFUNCTION("""COMPUTED_VALUE"""),3565.0)</f>
        <v>3565</v>
      </c>
      <c r="B3567" s="87" t="str">
        <f>IFERROR(__xludf.DUMMYFUNCTION("""COMPUTED_VALUE"""),"Nhãn")</f>
        <v>Nhãn</v>
      </c>
      <c r="C3567" s="87" t="str">
        <f>IFERROR(__xludf.DUMMYFUNCTION("""COMPUTED_VALUE"""),"NHG2860")</f>
        <v>NHG2860</v>
      </c>
      <c r="D3567" s="87" t="str">
        <f>IFERROR(__xludf.DUMMYFUNCTION("""COMPUTED_VALUE"""),"[Nhãn] GC - IV - 2860 - CTY ASAHI NHẬT BẢN - LÂN KẼM HỮU CƠ (Gel xanh lá) - 500ml - 40")</f>
        <v>[Nhãn] GC - IV - 2860 - CTY ASAHI NHẬT BẢN - LÂN KẼM HỮU CƠ (Gel xanh lá) - 500ml - 40</v>
      </c>
      <c r="E3567" s="87" t="str">
        <f>IFERROR(__xludf.DUMMYFUNCTION("""COMPUTED_VALUE"""),"Vi lượng AGAMA-SUPPORT")</f>
        <v>Vi lượng AGAMA-SUPPORT</v>
      </c>
      <c r="F3567" s="87" t="str">
        <f>IFERROR(__xludf.DUMMYFUNCTION("""COMPUTED_VALUE"""),"HH2860")</f>
        <v>HH2860</v>
      </c>
      <c r="G3567" s="87" t="str">
        <f>IFERROR(__xludf.DUMMYFUNCTION("""COMPUTED_VALUE"""),"GC - IV - 2860 - CTY ASAHI NHẬT BẢN - LÂN KẼM HỮU CƠ (Gel xanh lá) - 500ml - 40")</f>
        <v>GC - IV - 2860 - CTY ASAHI NHẬT BẢN - LÂN KẼM HỮU CƠ (Gel xanh lá) - 500ml - 40</v>
      </c>
    </row>
    <row r="3568">
      <c r="A3568" s="86">
        <f>IFERROR(__xludf.DUMMYFUNCTION("""COMPUTED_VALUE"""),3566.0)</f>
        <v>3566</v>
      </c>
      <c r="B3568" s="87" t="str">
        <f>IFERROR(__xludf.DUMMYFUNCTION("""COMPUTED_VALUE"""),"Nhãn")</f>
        <v>Nhãn</v>
      </c>
      <c r="C3568" s="87" t="str">
        <f>IFERROR(__xludf.DUMMYFUNCTION("""COMPUTED_VALUE"""),"NHG2861")</f>
        <v>NHG2861</v>
      </c>
      <c r="D3568" s="87" t="str">
        <f>IFERROR(__xludf.DUMMYFUNCTION("""COMPUTED_VALUE"""),"[Nhãn] GC - IV - 2861 - CTY ASAHI NHẬT BẢN - AMINO ĐẠM CÁ (Gel nâu đen) - 500ml - 40")</f>
        <v>[Nhãn] GC - IV - 2861 - CTY ASAHI NHẬT BẢN - AMINO ĐẠM CÁ (Gel nâu đen) - 500ml - 40</v>
      </c>
      <c r="E3568" s="87" t="str">
        <f>IFERROR(__xludf.DUMMYFUNCTION("""COMPUTED_VALUE"""),"Vi lượng Quantity New")</f>
        <v>Vi lượng Quantity New</v>
      </c>
      <c r="F3568" s="87" t="str">
        <f>IFERROR(__xludf.DUMMYFUNCTION("""COMPUTED_VALUE"""),"HH2861")</f>
        <v>HH2861</v>
      </c>
      <c r="G3568" s="87" t="str">
        <f>IFERROR(__xludf.DUMMYFUNCTION("""COMPUTED_VALUE"""),"GC - IV - 2861 - CTY ASAHI NHẬT BẢN - AMINO ĐẠM CÁ (Gel nâu đen) - 500ml - 40")</f>
        <v>GC - IV - 2861 - CTY ASAHI NHẬT BẢN - AMINO ĐẠM CÁ (Gel nâu đen) - 500ml - 40</v>
      </c>
    </row>
    <row r="3569">
      <c r="A3569" s="86">
        <f>IFERROR(__xludf.DUMMYFUNCTION("""COMPUTED_VALUE"""),3567.0)</f>
        <v>3567</v>
      </c>
      <c r="B3569" s="87" t="str">
        <f>IFERROR(__xludf.DUMMYFUNCTION("""COMPUTED_VALUE"""),"Nhãn")</f>
        <v>Nhãn</v>
      </c>
      <c r="C3569" s="87" t="str">
        <f>IFERROR(__xludf.DUMMYFUNCTION("""COMPUTED_VALUE"""),"NHG2862")</f>
        <v>NHG2862</v>
      </c>
      <c r="D3569" s="87" t="str">
        <f>IFERROR(__xludf.DUMMYFUNCTION("""COMPUTED_VALUE"""),"[Nhãn] GC - IV - 2862 - CTY ASAHI NHẬT BẢN - AMINO HUMIC (Gel nâu đen) - 500ml - 40")</f>
        <v>[Nhãn] GC - IV - 2862 - CTY ASAHI NHẬT BẢN - AMINO HUMIC (Gel nâu đen) - 500ml - 40</v>
      </c>
      <c r="E3569" s="87" t="str">
        <f>IFERROR(__xludf.DUMMYFUNCTION("""COMPUTED_VALUE"""),"Vi lượng Quantity New")</f>
        <v>Vi lượng Quantity New</v>
      </c>
      <c r="F3569" s="87" t="str">
        <f>IFERROR(__xludf.DUMMYFUNCTION("""COMPUTED_VALUE"""),"HH2862")</f>
        <v>HH2862</v>
      </c>
      <c r="G3569" s="87" t="str">
        <f>IFERROR(__xludf.DUMMYFUNCTION("""COMPUTED_VALUE"""),"GC - IV - 2862 - CTY ASAHI NHẬT BẢN - AMINO HUMIC (Gel nâu đen) - 500ml - 40")</f>
        <v>GC - IV - 2862 - CTY ASAHI NHẬT BẢN - AMINO HUMIC (Gel nâu đen) - 500ml - 40</v>
      </c>
    </row>
    <row r="3570">
      <c r="A3570" s="86">
        <f>IFERROR(__xludf.DUMMYFUNCTION("""COMPUTED_VALUE"""),3568.0)</f>
        <v>3568</v>
      </c>
      <c r="B3570" s="87" t="str">
        <f>IFERROR(__xludf.DUMMYFUNCTION("""COMPUTED_VALUE"""),"Nhãn")</f>
        <v>Nhãn</v>
      </c>
      <c r="C3570" s="87" t="str">
        <f>IFERROR(__xludf.DUMMYFUNCTION("""COMPUTED_VALUE"""),"NHG2863")</f>
        <v>NHG2863</v>
      </c>
      <c r="D3570" s="87" t="str">
        <f>IFERROR(__xludf.DUMMYFUNCTION("""COMPUTED_VALUE"""),"[Nhãn] GC - IV - 2863 - CTY ASAHI NHẬT BẢN - AMINO RONG BIỂN (Gel nâu đen) - 500ml - 40")</f>
        <v>[Nhãn] GC - IV - 2863 - CTY ASAHI NHẬT BẢN - AMINO RONG BIỂN (Gel nâu đen) - 500ml - 40</v>
      </c>
      <c r="E3570" s="87" t="str">
        <f>IFERROR(__xludf.DUMMYFUNCTION("""COMPUTED_VALUE"""),"Vi lượng Quantity New")</f>
        <v>Vi lượng Quantity New</v>
      </c>
      <c r="F3570" s="87" t="str">
        <f>IFERROR(__xludf.DUMMYFUNCTION("""COMPUTED_VALUE"""),"HH2863")</f>
        <v>HH2863</v>
      </c>
      <c r="G3570" s="87" t="str">
        <f>IFERROR(__xludf.DUMMYFUNCTION("""COMPUTED_VALUE"""),"GC - IV - 2863 - CTY ASAHI NHẬT BẢN - AMINO RONG BIỂN (Gel nâu đen) - 500ml - 40")</f>
        <v>GC - IV - 2863 - CTY ASAHI NHẬT BẢN - AMINO RONG BIỂN (Gel nâu đen) - 500ml - 40</v>
      </c>
    </row>
    <row r="3571">
      <c r="A3571" s="86">
        <f>IFERROR(__xludf.DUMMYFUNCTION("""COMPUTED_VALUE"""),3569.0)</f>
        <v>3569</v>
      </c>
      <c r="B3571" s="87" t="str">
        <f>IFERROR(__xludf.DUMMYFUNCTION("""COMPUTED_VALUE"""),"Nhãn")</f>
        <v>Nhãn</v>
      </c>
      <c r="C3571" s="87" t="str">
        <f>IFERROR(__xludf.DUMMYFUNCTION("""COMPUTED_VALUE"""),"NHG2864")</f>
        <v>NHG2864</v>
      </c>
      <c r="D3571" s="87" t="str">
        <f>IFERROR(__xludf.DUMMYFUNCTION("""COMPUTED_VALUE"""),"[Nhãn] GC - IV - 2864 - CTY ASAHI NHẬT BẢN - ROOTS SIÊU KÍCH RỄ (Gel nâu đen) - 500ml - 40")</f>
        <v>[Nhãn] GC - IV - 2864 - CTY ASAHI NHẬT BẢN - ROOTS SIÊU KÍCH RỄ (Gel nâu đen) - 500ml - 40</v>
      </c>
      <c r="E3571" s="87" t="str">
        <f>IFERROR(__xludf.DUMMYFUNCTION("""COMPUTED_VALUE"""),"Vi lượng Quantity New")</f>
        <v>Vi lượng Quantity New</v>
      </c>
      <c r="F3571" s="87" t="str">
        <f>IFERROR(__xludf.DUMMYFUNCTION("""COMPUTED_VALUE"""),"HH2864")</f>
        <v>HH2864</v>
      </c>
      <c r="G3571" s="87" t="str">
        <f>IFERROR(__xludf.DUMMYFUNCTION("""COMPUTED_VALUE"""),"GC - IV - 2864 - CTY ASAHI NHẬT BẢN - ROOTS SIÊU KÍCH RỄ (Gel nâu đen) - 500ml - 40")</f>
        <v>GC - IV - 2864 - CTY ASAHI NHẬT BẢN - ROOTS SIÊU KÍCH RỄ (Gel nâu đen) - 500ml - 40</v>
      </c>
    </row>
    <row r="3572">
      <c r="A3572" s="86">
        <f>IFERROR(__xludf.DUMMYFUNCTION("""COMPUTED_VALUE"""),3570.0)</f>
        <v>3570</v>
      </c>
      <c r="B3572" s="87" t="str">
        <f>IFERROR(__xludf.DUMMYFUNCTION("""COMPUTED_VALUE"""),"Nhãn")</f>
        <v>Nhãn</v>
      </c>
      <c r="C3572" s="87" t="str">
        <f>IFERROR(__xludf.DUMMYFUNCTION("""COMPUTED_VALUE"""),"NHG2865")</f>
        <v>NHG2865</v>
      </c>
      <c r="D3572" s="87" t="str">
        <f>IFERROR(__xludf.DUMMYFUNCTION("""COMPUTED_VALUE"""),"[Nhãn] GC - IV - 2865 - CTY ASAHI NHẬT BẢN - LÂN HỮU CƠ (Gel nâu đen) - 500ml - 40")</f>
        <v>[Nhãn] GC - IV - 2865 - CTY ASAHI NHẬT BẢN - LÂN HỮU CƠ (Gel nâu đen) - 500ml - 40</v>
      </c>
      <c r="E3572" s="87" t="str">
        <f>IFERROR(__xludf.DUMMYFUNCTION("""COMPUTED_VALUE"""),"Vi lượng Quantity New")</f>
        <v>Vi lượng Quantity New</v>
      </c>
      <c r="F3572" s="87" t="str">
        <f>IFERROR(__xludf.DUMMYFUNCTION("""COMPUTED_VALUE"""),"HH2865")</f>
        <v>HH2865</v>
      </c>
      <c r="G3572" s="87" t="str">
        <f>IFERROR(__xludf.DUMMYFUNCTION("""COMPUTED_VALUE"""),"GC - IV - 2865 - CTY ASAHI NHẬT BẢN - LÂN HỮU CƠ (Gel nâu đen) - 500ml - 40")</f>
        <v>GC - IV - 2865 - CTY ASAHI NHẬT BẢN - LÂN HỮU CƠ (Gel nâu đen) - 500ml - 40</v>
      </c>
    </row>
    <row r="3573">
      <c r="A3573" s="86">
        <f>IFERROR(__xludf.DUMMYFUNCTION("""COMPUTED_VALUE"""),3571.0)</f>
        <v>3571</v>
      </c>
      <c r="B3573" s="87" t="str">
        <f>IFERROR(__xludf.DUMMYFUNCTION("""COMPUTED_VALUE"""),"Nhãn")</f>
        <v>Nhãn</v>
      </c>
      <c r="C3573" s="87" t="str">
        <f>IFERROR(__xludf.DUMMYFUNCTION("""COMPUTED_VALUE"""),"NHG2866")</f>
        <v>NHG2866</v>
      </c>
      <c r="D3573" s="87" t="str">
        <f>IFERROR(__xludf.DUMMYFUNCTION("""COMPUTED_VALUE"""),"[Nhãn] GC - IV - 2866 - CTY ASAHI NHẬT BẢN - SIÊU BO HỮU CƠ (Gel vàng cam) - 500ml - 40")</f>
        <v>[Nhãn] GC - IV - 2866 - CTY ASAHI NHẬT BẢN - SIÊU BO HỮU CƠ (Gel vàng cam) - 500ml - 40</v>
      </c>
      <c r="E3573" s="87" t="str">
        <f>IFERROR(__xludf.DUMMYFUNCTION("""COMPUTED_VALUE"""),"Vi lượng Run Fast")</f>
        <v>Vi lượng Run Fast</v>
      </c>
      <c r="F3573" s="87" t="str">
        <f>IFERROR(__xludf.DUMMYFUNCTION("""COMPUTED_VALUE"""),"HH2866")</f>
        <v>HH2866</v>
      </c>
      <c r="G3573" s="87" t="str">
        <f>IFERROR(__xludf.DUMMYFUNCTION("""COMPUTED_VALUE"""),"GC - IV - 2866 - CTY ASAHI NHẬT BẢN - SIÊU BO HỮU CƠ (Gel vàng cam) - 500ml - 40")</f>
        <v>GC - IV - 2866 - CTY ASAHI NHẬT BẢN - SIÊU BO HỮU CƠ (Gel vàng cam) - 500ml - 40</v>
      </c>
    </row>
    <row r="3574">
      <c r="A3574" s="86">
        <f>IFERROR(__xludf.DUMMYFUNCTION("""COMPUTED_VALUE"""),3572.0)</f>
        <v>3572</v>
      </c>
      <c r="B3574" s="87" t="str">
        <f>IFERROR(__xludf.DUMMYFUNCTION("""COMPUTED_VALUE"""),"Nhãn")</f>
        <v>Nhãn</v>
      </c>
      <c r="C3574" s="87" t="str">
        <f>IFERROR(__xludf.DUMMYFUNCTION("""COMPUTED_VALUE"""),"NHG2867")</f>
        <v>NHG2867</v>
      </c>
      <c r="D3574" s="87" t="str">
        <f>IFERROR(__xludf.DUMMYFUNCTION("""COMPUTED_VALUE"""),"[Nhãn] GC - IV - 2867 - CTY ASAHI NHẬT BẢN - CANXIBO HỮU CƠ (Gel vàng cam) - 500ml - 40")</f>
        <v>[Nhãn] GC - IV - 2867 - CTY ASAHI NHẬT BẢN - CANXIBO HỮU CƠ (Gel vàng cam) - 500ml - 40</v>
      </c>
      <c r="E3574" s="87" t="str">
        <f>IFERROR(__xludf.DUMMYFUNCTION("""COMPUTED_VALUE"""),"Vi lượng Run Fast")</f>
        <v>Vi lượng Run Fast</v>
      </c>
      <c r="F3574" s="87" t="str">
        <f>IFERROR(__xludf.DUMMYFUNCTION("""COMPUTED_VALUE"""),"HH2867")</f>
        <v>HH2867</v>
      </c>
      <c r="G3574" s="87" t="str">
        <f>IFERROR(__xludf.DUMMYFUNCTION("""COMPUTED_VALUE"""),"GC - IV - 2867 - CTY ASAHI NHẬT BẢN - CANXIBO HỮU CƠ (Gel vàng cam) - 500ml - 40")</f>
        <v>GC - IV - 2867 - CTY ASAHI NHẬT BẢN - CANXIBO HỮU CƠ (Gel vàng cam) - 500ml - 40</v>
      </c>
    </row>
    <row r="3575">
      <c r="A3575" s="86">
        <f>IFERROR(__xludf.DUMMYFUNCTION("""COMPUTED_VALUE"""),3573.0)</f>
        <v>3573</v>
      </c>
      <c r="B3575" s="87" t="str">
        <f>IFERROR(__xludf.DUMMYFUNCTION("""COMPUTED_VALUE"""),"Nhãn")</f>
        <v>Nhãn</v>
      </c>
      <c r="C3575" s="87" t="str">
        <f>IFERROR(__xludf.DUMMYFUNCTION("""COMPUTED_VALUE"""),"NHG2868")</f>
        <v>NHG2868</v>
      </c>
      <c r="D3575" s="87" t="str">
        <f>IFERROR(__xludf.DUMMYFUNCTION("""COMPUTED_VALUE"""),"[Nhãn] GC - IV - 2868 - CTY ASAHI NHẬT BẢN - KALIBO HỮU CƠ (Gel vàng cam) - 500ml - 40")</f>
        <v>[Nhãn] GC - IV - 2868 - CTY ASAHI NHẬT BẢN - KALIBO HỮU CƠ (Gel vàng cam) - 500ml - 40</v>
      </c>
      <c r="E3575" s="87" t="str">
        <f>IFERROR(__xludf.DUMMYFUNCTION("""COMPUTED_VALUE"""),"Vi lượng Run Fast")</f>
        <v>Vi lượng Run Fast</v>
      </c>
      <c r="F3575" s="87" t="str">
        <f>IFERROR(__xludf.DUMMYFUNCTION("""COMPUTED_VALUE"""),"HH2868")</f>
        <v>HH2868</v>
      </c>
      <c r="G3575" s="87" t="str">
        <f>IFERROR(__xludf.DUMMYFUNCTION("""COMPUTED_VALUE"""),"GC - IV - 2868 - CTY ASAHI NHẬT BẢN - KALIBO HỮU CƠ (Gel vàng cam) - 500ml - 40")</f>
        <v>GC - IV - 2868 - CTY ASAHI NHẬT BẢN - KALIBO HỮU CƠ (Gel vàng cam) - 500ml - 40</v>
      </c>
    </row>
    <row r="3576">
      <c r="A3576" s="86">
        <f>IFERROR(__xludf.DUMMYFUNCTION("""COMPUTED_VALUE"""),3574.0)</f>
        <v>3574</v>
      </c>
      <c r="B3576" s="87" t="str">
        <f>IFERROR(__xludf.DUMMYFUNCTION("""COMPUTED_VALUE"""),"Nhãn")</f>
        <v>Nhãn</v>
      </c>
      <c r="C3576" s="87" t="str">
        <f>IFERROR(__xludf.DUMMYFUNCTION("""COMPUTED_VALUE"""),"NTN2869")</f>
        <v>NTN2869</v>
      </c>
      <c r="D3576" s="87" t="str">
        <f>IFERROR(__xludf.DUMMYFUNCTION("""COMPUTED_VALUE"""),"[Nhãn] GC - II - 2869 - ÔNG DONG VLOG - MANCOBGO 80WP (Bột xanh) - 1kg - 20")</f>
        <v>[Nhãn] GC - II - 2869 - ÔNG DONG VLOG - MANCOBGO 80WP (Bột xanh) - 1kg - 20</v>
      </c>
      <c r="E3576" s="87" t="str">
        <f>IFERROR(__xludf.DUMMYFUNCTION("""COMPUTED_VALUE"""),"MANCOBGO 80WP")</f>
        <v>MANCOBGO 80WP</v>
      </c>
      <c r="F3576" s="87" t="str">
        <f>IFERROR(__xludf.DUMMYFUNCTION("""COMPUTED_VALUE"""),"HH2869")</f>
        <v>HH2869</v>
      </c>
      <c r="G3576" s="87" t="str">
        <f>IFERROR(__xludf.DUMMYFUNCTION("""COMPUTED_VALUE"""),"GC - II - 2869 - ÔNG DONG VLOG - MANCOBGO 80WP (Bột xanh) - 1kg - 20")</f>
        <v>GC - II - 2869 - ÔNG DONG VLOG - MANCOBGO 80WP (Bột xanh) - 1kg - 20</v>
      </c>
    </row>
    <row r="3577">
      <c r="A3577" s="86">
        <f>IFERROR(__xludf.DUMMYFUNCTION("""COMPUTED_VALUE"""),3575.0)</f>
        <v>3575</v>
      </c>
      <c r="B3577" s="87" t="str">
        <f>IFERROR(__xludf.DUMMYFUNCTION("""COMPUTED_VALUE"""),"Nhãn thùng")</f>
        <v>Nhãn thùng</v>
      </c>
      <c r="C3577" s="87" t="str">
        <f>IFERROR(__xludf.DUMMYFUNCTION("""COMPUTED_VALUE"""),"NDT2869")</f>
        <v>NDT2869</v>
      </c>
      <c r="D3577" s="87" t="str">
        <f>IFERROR(__xludf.DUMMYFUNCTION("""COMPUTED_VALUE"""),"[Nhãn thùng] GC - II - 2869 - ÔNG DONG VLOG - MANCOBGO 80WP (Bột xanh) - 1kg - 20")</f>
        <v>[Nhãn thùng] GC - II - 2869 - ÔNG DONG VLOG - MANCOBGO 80WP (Bột xanh) - 1kg - 20</v>
      </c>
      <c r="E3577" s="87" t="str">
        <f>IFERROR(__xludf.DUMMYFUNCTION("""COMPUTED_VALUE"""),"MANCOBGO 80WP")</f>
        <v>MANCOBGO 80WP</v>
      </c>
      <c r="F3577" s="87" t="str">
        <f>IFERROR(__xludf.DUMMYFUNCTION("""COMPUTED_VALUE"""),"HH2869")</f>
        <v>HH2869</v>
      </c>
      <c r="G3577" s="87" t="str">
        <f>IFERROR(__xludf.DUMMYFUNCTION("""COMPUTED_VALUE"""),"GC - II - 2869 - ÔNG DONG VLOG - MANCOBGO 80WP (Bột xanh) - 1kg - 20")</f>
        <v>GC - II - 2869 - ÔNG DONG VLOG - MANCOBGO 80WP (Bột xanh) - 1kg - 20</v>
      </c>
    </row>
    <row r="3578">
      <c r="A3578" s="86">
        <f>IFERROR(__xludf.DUMMYFUNCTION("""COMPUTED_VALUE"""),3576.0)</f>
        <v>3576</v>
      </c>
      <c r="B3578" s="87" t="str">
        <f>IFERROR(__xludf.DUMMYFUNCTION("""COMPUTED_VALUE"""),"Nhãn")</f>
        <v>Nhãn</v>
      </c>
      <c r="C3578" s="87" t="str">
        <f>IFERROR(__xludf.DUMMYFUNCTION("""COMPUTED_VALUE"""),"NHG2870")</f>
        <v>NHG2870</v>
      </c>
      <c r="D3578" s="87" t="str">
        <f>IFERROR(__xludf.DUMMYFUNCTION("""COMPUTED_VALUE"""),"[Nhãn] GC - IV - 2870 - Chi Nông Phát - Asupergras 200SL (nước đỏ) - 900ml - 20")</f>
        <v>[Nhãn] GC - IV - 2870 - Chi Nông Phát - Asupergras 200SL (nước đỏ) - 900ml - 20</v>
      </c>
      <c r="E3578" s="87" t="str">
        <f>IFERROR(__xludf.DUMMYFUNCTION("""COMPUTED_VALUE"""),"Asupergras 200SL")</f>
        <v>Asupergras 200SL</v>
      </c>
      <c r="F3578" s="87" t="str">
        <f>IFERROR(__xludf.DUMMYFUNCTION("""COMPUTED_VALUE"""),"HH2870")</f>
        <v>HH2870</v>
      </c>
      <c r="G3578" s="87" t="str">
        <f>IFERROR(__xludf.DUMMYFUNCTION("""COMPUTED_VALUE"""),"GC - IV - 2870 - Chi Nông Phát - Asupergras 200SL (nước đỏ) - 900ml - 20")</f>
        <v>GC - IV - 2870 - Chi Nông Phát - Asupergras 200SL (nước đỏ) - 900ml - 20</v>
      </c>
    </row>
    <row r="3579">
      <c r="A3579" s="86">
        <f>IFERROR(__xludf.DUMMYFUNCTION("""COMPUTED_VALUE"""),3577.0)</f>
        <v>3577</v>
      </c>
      <c r="B3579" s="87" t="str">
        <f>IFERROR(__xludf.DUMMYFUNCTION("""COMPUTED_VALUE"""),"Nhãn")</f>
        <v>Nhãn</v>
      </c>
      <c r="C3579" s="87" t="str">
        <f>IFERROR(__xludf.DUMMYFUNCTION("""COMPUTED_VALUE"""),"NHG2871")</f>
        <v>NHG2871</v>
      </c>
      <c r="D3579" s="87" t="str">
        <f>IFERROR(__xludf.DUMMYFUNCTION("""COMPUTED_VALUE"""),"[Nhãn] GC - IV - 2871 - CTY NÔNG HÓA XANH - KILL NHỆN (Nước đỏ) - 240ml - 40")</f>
        <v>[Nhãn] GC - IV - 2871 - CTY NÔNG HÓA XANH - KILL NHỆN (Nước đỏ) - 240ml - 40</v>
      </c>
      <c r="E3579" s="87" t="str">
        <f>IFERROR(__xludf.DUMMYFUNCTION("""COMPUTED_VALUE"""),"CHIM ƯNG 3.8EC")</f>
        <v>CHIM ƯNG 3.8EC</v>
      </c>
      <c r="F3579" s="87" t="str">
        <f>IFERROR(__xludf.DUMMYFUNCTION("""COMPUTED_VALUE"""),"HH2871")</f>
        <v>HH2871</v>
      </c>
      <c r="G3579" s="87" t="str">
        <f>IFERROR(__xludf.DUMMYFUNCTION("""COMPUTED_VALUE"""),"GC - IV - 2871 - CTY NÔNG HÓA XANH - KILL NHỆN (Nước đỏ) - 240ml - 40")</f>
        <v>GC - IV - 2871 - CTY NÔNG HÓA XANH - KILL NHỆN (Nước đỏ) - 240ml - 40</v>
      </c>
    </row>
    <row r="3580">
      <c r="A3580" s="86">
        <f>IFERROR(__xludf.DUMMYFUNCTION("""COMPUTED_VALUE"""),3578.0)</f>
        <v>3578</v>
      </c>
      <c r="B3580" s="87" t="str">
        <f>IFERROR(__xludf.DUMMYFUNCTION("""COMPUTED_VALUE"""),"Nhãn")</f>
        <v>Nhãn</v>
      </c>
      <c r="C3580" s="87" t="str">
        <f>IFERROR(__xludf.DUMMYFUNCTION("""COMPUTED_VALUE"""),"NHG2872")</f>
        <v>NHG2872</v>
      </c>
      <c r="D3580" s="87" t="str">
        <f>IFERROR(__xludf.DUMMYFUNCTION("""COMPUTED_VALUE"""),"[Nhãn] GC - IV - 2872 - Sen Hồng - Mekongvil 5SC (nước trắng sữa) - 1L - 20")</f>
        <v>[Nhãn] GC - IV - 2872 - Sen Hồng - Mekongvil 5SC (nước trắng sữa) - 1L - 20</v>
      </c>
      <c r="E3580" s="87" t="str">
        <f>IFERROR(__xludf.DUMMYFUNCTION("""COMPUTED_VALUE"""),"Mekongvil 5SC")</f>
        <v>Mekongvil 5SC</v>
      </c>
      <c r="F3580" s="87" t="str">
        <f>IFERROR(__xludf.DUMMYFUNCTION("""COMPUTED_VALUE"""),"HH2872")</f>
        <v>HH2872</v>
      </c>
      <c r="G3580" s="87" t="str">
        <f>IFERROR(__xludf.DUMMYFUNCTION("""COMPUTED_VALUE"""),"GC - IV - 2872 - Sen Hồng - Mekongvil 5SC (nước trắng sữa) - 1L - 20")</f>
        <v>GC - IV - 2872 - Sen Hồng - Mekongvil 5SC (nước trắng sữa) - 1L - 20</v>
      </c>
    </row>
    <row r="3581">
      <c r="A3581" s="86">
        <f>IFERROR(__xludf.DUMMYFUNCTION("""COMPUTED_VALUE"""),3579.0)</f>
        <v>3579</v>
      </c>
      <c r="B3581" s="87" t="str">
        <f>IFERROR(__xludf.DUMMYFUNCTION("""COMPUTED_VALUE"""),"Nhãn")</f>
        <v>Nhãn</v>
      </c>
      <c r="C3581" s="87" t="str">
        <f>IFERROR(__xludf.DUMMYFUNCTION("""COMPUTED_VALUE"""),"NHG2873")</f>
        <v>NHG2873</v>
      </c>
      <c r="D3581" s="87" t="str">
        <f>IFERROR(__xludf.DUMMYFUNCTION("""COMPUTED_VALUE"""),"[Nhãn] GC - IV - 2873 - KIM NGỌC - AGAMA-CANXI BO (Nước trắng sữa) - 500ml - 40")</f>
        <v>[Nhãn] GC - IV - 2873 - KIM NGỌC - AGAMA-CANXI BO (Nước trắng sữa) - 500ml - 40</v>
      </c>
      <c r="E3581" s="87" t="str">
        <f>IFERROR(__xludf.DUMMYFUNCTION("""COMPUTED_VALUE"""),"Vi lượng AGAMA-CANXI BO")</f>
        <v>Vi lượng AGAMA-CANXI BO</v>
      </c>
      <c r="F3581" s="87" t="str">
        <f>IFERROR(__xludf.DUMMYFUNCTION("""COMPUTED_VALUE"""),"HH2873")</f>
        <v>HH2873</v>
      </c>
      <c r="G3581" s="87" t="str">
        <f>IFERROR(__xludf.DUMMYFUNCTION("""COMPUTED_VALUE"""),"GC - IV - 2873 - KIM NGỌC - AGAMA-CANXI BO (Nước trắng sữa) - 500ml - 40")</f>
        <v>GC - IV - 2873 - KIM NGỌC - AGAMA-CANXI BO (Nước trắng sữa) - 500ml - 40</v>
      </c>
    </row>
    <row r="3582">
      <c r="A3582" s="86">
        <f>IFERROR(__xludf.DUMMYFUNCTION("""COMPUTED_VALUE"""),3580.0)</f>
        <v>3580</v>
      </c>
      <c r="B3582" s="87" t="str">
        <f>IFERROR(__xludf.DUMMYFUNCTION("""COMPUTED_VALUE"""),"Nhãn")</f>
        <v>Nhãn</v>
      </c>
      <c r="C3582" s="87" t="str">
        <f>IFERROR(__xludf.DUMMYFUNCTION("""COMPUTED_VALUE"""),"NTN2879")</f>
        <v>NTN2879</v>
      </c>
      <c r="D3582" s="87" t="str">
        <f>IFERROR(__xludf.DUMMYFUNCTION("""COMPUTED_VALUE"""),"[Nhãn] GC - IV - 2879 - Cty VNT Mekong - HẾT SÂU (Dạng cốm màu trắng ngà) - 100gr - 100")</f>
        <v>[Nhãn] GC - IV - 2879 - Cty VNT Mekong - HẾT SÂU (Dạng cốm màu trắng ngà) - 100gr - 100</v>
      </c>
      <c r="E3582" s="87" t="str">
        <f>IFERROR(__xludf.DUMMYFUNCTION("""COMPUTED_VALUE"""),"MAKEGREEN 55WG")</f>
        <v>MAKEGREEN 55WG</v>
      </c>
      <c r="F3582" s="87" t="str">
        <f>IFERROR(__xludf.DUMMYFUNCTION("""COMPUTED_VALUE"""),"HH2879")</f>
        <v>HH2879</v>
      </c>
      <c r="G3582" s="87" t="str">
        <f>IFERROR(__xludf.DUMMYFUNCTION("""COMPUTED_VALUE"""),"GC - IV - 2879 - Cty VNT Mekong - HẾT SÂU (Dạng cốm màu trắng ngà) - 100gr - 100")</f>
        <v>GC - IV - 2879 - Cty VNT Mekong - HẾT SÂU (Dạng cốm màu trắng ngà) - 100gr - 100</v>
      </c>
    </row>
    <row r="3583">
      <c r="A3583" s="86">
        <f>IFERROR(__xludf.DUMMYFUNCTION("""COMPUTED_VALUE"""),3581.0)</f>
        <v>3581</v>
      </c>
      <c r="B3583" s="87" t="str">
        <f>IFERROR(__xludf.DUMMYFUNCTION("""COMPUTED_VALUE"""),"Nhãn thùng")</f>
        <v>Nhãn thùng</v>
      </c>
      <c r="C3583" s="87" t="str">
        <f>IFERROR(__xludf.DUMMYFUNCTION("""COMPUTED_VALUE"""),"NDT2879")</f>
        <v>NDT2879</v>
      </c>
      <c r="D3583" s="87" t="str">
        <f>IFERROR(__xludf.DUMMYFUNCTION("""COMPUTED_VALUE"""),"[Nhãn thùng] GC - IV - 2879 - Cty VNT Mekong - HẾT SÂU (Dạng cốm màu trắng ngà) - 100gr - 100")</f>
        <v>[Nhãn thùng] GC - IV - 2879 - Cty VNT Mekong - HẾT SÂU (Dạng cốm màu trắng ngà) - 100gr - 100</v>
      </c>
      <c r="E3583" s="87" t="str">
        <f>IFERROR(__xludf.DUMMYFUNCTION("""COMPUTED_VALUE"""),"MAKEGREEN 55WG")</f>
        <v>MAKEGREEN 55WG</v>
      </c>
      <c r="F3583" s="87" t="str">
        <f>IFERROR(__xludf.DUMMYFUNCTION("""COMPUTED_VALUE"""),"HH2879")</f>
        <v>HH2879</v>
      </c>
      <c r="G3583" s="87" t="str">
        <f>IFERROR(__xludf.DUMMYFUNCTION("""COMPUTED_VALUE"""),"GC - IV - 2879 - Cty VNT Mekong - HẾT SÂU (Dạng cốm màu trắng ngà) - 100gr - 100")</f>
        <v>GC - IV - 2879 - Cty VNT Mekong - HẾT SÂU (Dạng cốm màu trắng ngà) - 100gr - 100</v>
      </c>
    </row>
    <row r="3584">
      <c r="A3584" s="86">
        <f>IFERROR(__xludf.DUMMYFUNCTION("""COMPUTED_VALUE"""),3582.0)</f>
        <v>3582</v>
      </c>
      <c r="B3584" s="87" t="str">
        <f>IFERROR(__xludf.DUMMYFUNCTION("""COMPUTED_VALUE"""),"Nhãn")</f>
        <v>Nhãn</v>
      </c>
      <c r="C3584" s="87" t="str">
        <f>IFERROR(__xludf.DUMMYFUNCTION("""COMPUTED_VALUE"""),"NTN2880")</f>
        <v>NTN2880</v>
      </c>
      <c r="D3584" s="87" t="str">
        <f>IFERROR(__xludf.DUMMYFUNCTION("""COMPUTED_VALUE"""),"[Nhãn] GC - IV - 2880 - Cty VNT Mekong - HẾT SÂU (Dạng cốm màu trắng ngà) - 20gr - 300")</f>
        <v>[Nhãn] GC - IV - 2880 - Cty VNT Mekong - HẾT SÂU (Dạng cốm màu trắng ngà) - 20gr - 300</v>
      </c>
      <c r="E3584" s="87" t="str">
        <f>IFERROR(__xludf.DUMMYFUNCTION("""COMPUTED_VALUE"""),"MAKEGREEN 55WG")</f>
        <v>MAKEGREEN 55WG</v>
      </c>
      <c r="F3584" s="87" t="str">
        <f>IFERROR(__xludf.DUMMYFUNCTION("""COMPUTED_VALUE"""),"HH2880")</f>
        <v>HH2880</v>
      </c>
      <c r="G3584" s="87" t="str">
        <f>IFERROR(__xludf.DUMMYFUNCTION("""COMPUTED_VALUE"""),"GC - IV - 2880 - Cty VNT Mekong - HẾT SÂU (Dạng cốm màu trắng ngà) - 20gr - 300")</f>
        <v>GC - IV - 2880 - Cty VNT Mekong - HẾT SÂU (Dạng cốm màu trắng ngà) - 20gr - 300</v>
      </c>
    </row>
    <row r="3585">
      <c r="A3585" s="86">
        <f>IFERROR(__xludf.DUMMYFUNCTION("""COMPUTED_VALUE"""),3583.0)</f>
        <v>3583</v>
      </c>
      <c r="B3585" s="87" t="str">
        <f>IFERROR(__xludf.DUMMYFUNCTION("""COMPUTED_VALUE"""),"Nhãn thùng")</f>
        <v>Nhãn thùng</v>
      </c>
      <c r="C3585" s="87" t="str">
        <f>IFERROR(__xludf.DUMMYFUNCTION("""COMPUTED_VALUE"""),"NDT2880")</f>
        <v>NDT2880</v>
      </c>
      <c r="D3585" s="87" t="str">
        <f>IFERROR(__xludf.DUMMYFUNCTION("""COMPUTED_VALUE"""),"[Nhãn thùng] GC - IV - 2880 - Cty VNT Mekong - HẾT SÂU (Dạng cốm màu trắng ngà) - 20gr - 300")</f>
        <v>[Nhãn thùng] GC - IV - 2880 - Cty VNT Mekong - HẾT SÂU (Dạng cốm màu trắng ngà) - 20gr - 300</v>
      </c>
      <c r="E3585" s="87" t="str">
        <f>IFERROR(__xludf.DUMMYFUNCTION("""COMPUTED_VALUE"""),"MAKEGREEN 55WG")</f>
        <v>MAKEGREEN 55WG</v>
      </c>
      <c r="F3585" s="87" t="str">
        <f>IFERROR(__xludf.DUMMYFUNCTION("""COMPUTED_VALUE"""),"HH2880")</f>
        <v>HH2880</v>
      </c>
      <c r="G3585" s="87" t="str">
        <f>IFERROR(__xludf.DUMMYFUNCTION("""COMPUTED_VALUE"""),"GC - IV - 2880 - Cty VNT Mekong - HẾT SÂU (Dạng cốm màu trắng ngà) - 20gr - 300")</f>
        <v>GC - IV - 2880 - Cty VNT Mekong - HẾT SÂU (Dạng cốm màu trắng ngà) - 20gr - 300</v>
      </c>
    </row>
    <row r="3586">
      <c r="A3586" s="86">
        <f>IFERROR(__xludf.DUMMYFUNCTION("""COMPUTED_VALUE"""),3584.0)</f>
        <v>3584</v>
      </c>
      <c r="B3586" s="87" t="str">
        <f>IFERROR(__xludf.DUMMYFUNCTION("""COMPUTED_VALUE"""),"Nhãn")</f>
        <v>Nhãn</v>
      </c>
      <c r="C3586" s="87" t="str">
        <f>IFERROR(__xludf.DUMMYFUNCTION("""COMPUTED_VALUE"""),"NHG2881")</f>
        <v>NHG2881</v>
      </c>
      <c r="D3586" s="87" t="str">
        <f>IFERROR(__xludf.DUMMYFUNCTION("""COMPUTED_VALUE"""),"[Nhãn] GC - IV - 2881 - AGRITECH - NUTI RICE MAX (Gel vàng cam) - 1L - 20")</f>
        <v>[Nhãn] GC - IV - 2881 - AGRITECH - NUTI RICE MAX (Gel vàng cam) - 1L - 20</v>
      </c>
      <c r="E3586" s="87" t="str">
        <f>IFERROR(__xludf.DUMMYFUNCTION("""COMPUTED_VALUE"""),"Vi lượng Run Fast")</f>
        <v>Vi lượng Run Fast</v>
      </c>
      <c r="F3586" s="87" t="str">
        <f>IFERROR(__xludf.DUMMYFUNCTION("""COMPUTED_VALUE"""),"HH2881")</f>
        <v>HH2881</v>
      </c>
      <c r="G3586" s="87" t="str">
        <f>IFERROR(__xludf.DUMMYFUNCTION("""COMPUTED_VALUE"""),"GC - IV - 2881 - AGRITECH - NUTI RICE MAX (Gel vàng cam) - 1L - 20")</f>
        <v>GC - IV - 2881 - AGRITECH - NUTI RICE MAX (Gel vàng cam) - 1L - 20</v>
      </c>
    </row>
    <row r="3587">
      <c r="A3587" s="86">
        <f>IFERROR(__xludf.DUMMYFUNCTION("""COMPUTED_VALUE"""),3585.0)</f>
        <v>3585</v>
      </c>
      <c r="B3587" s="87" t="str">
        <f>IFERROR(__xludf.DUMMYFUNCTION("""COMPUTED_VALUE"""),"Nhãn thùng")</f>
        <v>Nhãn thùng</v>
      </c>
      <c r="C3587" s="87" t="str">
        <f>IFERROR(__xludf.DUMMYFUNCTION("""COMPUTED_VALUE"""),"NDT2881")</f>
        <v>NDT2881</v>
      </c>
      <c r="D3587" s="87" t="str">
        <f>IFERROR(__xludf.DUMMYFUNCTION("""COMPUTED_VALUE"""),"[Nhãn thùng] GC - IV - 2881 - AGRITECH - NUTI RICE MAX (Gel vàng cam) - 1L - 20")</f>
        <v>[Nhãn thùng] GC - IV - 2881 - AGRITECH - NUTI RICE MAX (Gel vàng cam) - 1L - 20</v>
      </c>
      <c r="E3587" s="87" t="str">
        <f>IFERROR(__xludf.DUMMYFUNCTION("""COMPUTED_VALUE"""),"Vi lượng Run Fast")</f>
        <v>Vi lượng Run Fast</v>
      </c>
      <c r="F3587" s="87" t="str">
        <f>IFERROR(__xludf.DUMMYFUNCTION("""COMPUTED_VALUE"""),"HH2881")</f>
        <v>HH2881</v>
      </c>
      <c r="G3587" s="87" t="str">
        <f>IFERROR(__xludf.DUMMYFUNCTION("""COMPUTED_VALUE"""),"GC - IV - 2881 - AGRITECH - NUTI RICE MAX (Gel vàng cam) - 1L - 20")</f>
        <v>GC - IV - 2881 - AGRITECH - NUTI RICE MAX (Gel vàng cam) - 1L - 20</v>
      </c>
    </row>
    <row r="3588">
      <c r="A3588" s="86">
        <f>IFERROR(__xludf.DUMMYFUNCTION("""COMPUTED_VALUE"""),3586.0)</f>
        <v>3586</v>
      </c>
      <c r="B3588" s="87" t="str">
        <f>IFERROR(__xludf.DUMMYFUNCTION("""COMPUTED_VALUE"""),"Nhãn")</f>
        <v>Nhãn</v>
      </c>
      <c r="C3588" s="87" t="str">
        <f>IFERROR(__xludf.DUMMYFUNCTION("""COMPUTED_VALUE"""),"NHG2882")</f>
        <v>NHG2882</v>
      </c>
      <c r="D3588" s="87" t="str">
        <f>IFERROR(__xludf.DUMMYFUNCTION("""COMPUTED_VALUE"""),"[Nhãn] GC - IV - 2882 - CTY QUANG ĐĂNG AGRICULTURE - SUPER VÔ GẠO + (Nước vàng cam) - 1L - 20")</f>
        <v>[Nhãn] GC - IV - 2882 - CTY QUANG ĐĂNG AGRICULTURE - SUPER VÔ GẠO + (Nước vàng cam) - 1L - 20</v>
      </c>
      <c r="E3588" s="87" t="str">
        <f>IFERROR(__xludf.DUMMYFUNCTION("""COMPUTED_VALUE"""),"NPK-Vi lượng MASSIVE-BLUE")</f>
        <v>NPK-Vi lượng MASSIVE-BLUE</v>
      </c>
      <c r="F3588" s="87" t="str">
        <f>IFERROR(__xludf.DUMMYFUNCTION("""COMPUTED_VALUE"""),"HH2882")</f>
        <v>HH2882</v>
      </c>
      <c r="G3588" s="87" t="str">
        <f>IFERROR(__xludf.DUMMYFUNCTION("""COMPUTED_VALUE"""),"GC - IV - 2882 - Cty Quang Đăng Agriculture - SUPER VÔ GẠO + (Nước vàng cam) - 1L - 20")</f>
        <v>GC - IV - 2882 - Cty Quang Đăng Agriculture - SUPER VÔ GẠO + (Nước vàng cam) - 1L - 20</v>
      </c>
    </row>
    <row r="3589">
      <c r="A3589" s="86">
        <f>IFERROR(__xludf.DUMMYFUNCTION("""COMPUTED_VALUE"""),3587.0)</f>
        <v>3587</v>
      </c>
      <c r="B3589" s="87" t="str">
        <f>IFERROR(__xludf.DUMMYFUNCTION("""COMPUTED_VALUE"""),"Nhãn thùng")</f>
        <v>Nhãn thùng</v>
      </c>
      <c r="C3589" s="87" t="str">
        <f>IFERROR(__xludf.DUMMYFUNCTION("""COMPUTED_VALUE"""),"NDT2882")</f>
        <v>NDT2882</v>
      </c>
      <c r="D3589" s="87" t="str">
        <f>IFERROR(__xludf.DUMMYFUNCTION("""COMPUTED_VALUE"""),"[Nhãn thùng] GC - IV - 2882 - CTY QUANG ĐĂNG AGRICULTURE - SUPER VÔ GẠO + (Nước vàng cam) - 1L - 20")</f>
        <v>[Nhãn thùng] GC - IV - 2882 - CTY QUANG ĐĂNG AGRICULTURE - SUPER VÔ GẠO + (Nước vàng cam) - 1L - 20</v>
      </c>
      <c r="E3589" s="87" t="str">
        <f>IFERROR(__xludf.DUMMYFUNCTION("""COMPUTED_VALUE"""),"NPK-Vi lượng MASSIVE-BLUE")</f>
        <v>NPK-Vi lượng MASSIVE-BLUE</v>
      </c>
      <c r="F3589" s="87" t="str">
        <f>IFERROR(__xludf.DUMMYFUNCTION("""COMPUTED_VALUE"""),"HH2882")</f>
        <v>HH2882</v>
      </c>
      <c r="G3589" s="87" t="str">
        <f>IFERROR(__xludf.DUMMYFUNCTION("""COMPUTED_VALUE"""),"GC - IV - 2882 - Cty Quang Đăng Agriculture - SUPER VÔ GẠO + (Nước vàng cam) - 1L - 20")</f>
        <v>GC - IV - 2882 - Cty Quang Đăng Agriculture - SUPER VÔ GẠO + (Nước vàng cam) - 1L - 20</v>
      </c>
    </row>
    <row r="3590">
      <c r="A3590" s="86">
        <f>IFERROR(__xludf.DUMMYFUNCTION("""COMPUTED_VALUE"""),3588.0)</f>
        <v>3588</v>
      </c>
      <c r="B3590" s="87" t="str">
        <f>IFERROR(__xludf.DUMMYFUNCTION("""COMPUTED_VALUE"""),"Nhãn")</f>
        <v>Nhãn</v>
      </c>
      <c r="C3590" s="87" t="str">
        <f>IFERROR(__xludf.DUMMYFUNCTION("""COMPUTED_VALUE"""),"NHG2883")</f>
        <v>NHG2883</v>
      </c>
      <c r="D3590" s="87" t="str">
        <f>IFERROR(__xludf.DUMMYFUNCTION("""COMPUTED_VALUE"""),"[Nhãn] GC - IV - 2883 - NHP GROUP - Chitin 3.6EC (nước nâu đen) - 450ml - 40")</f>
        <v>[Nhãn] GC - IV - 2883 - NHP GROUP - Chitin 3.6EC (nước nâu đen) - 450ml - 40</v>
      </c>
      <c r="E3590" s="87" t="str">
        <f>IFERROR(__xludf.DUMMYFUNCTION("""COMPUTED_VALUE"""),"Chitin 3.6EC")</f>
        <v>Chitin 3.6EC</v>
      </c>
      <c r="F3590" s="87" t="str">
        <f>IFERROR(__xludf.DUMMYFUNCTION("""COMPUTED_VALUE"""),"HH2883")</f>
        <v>HH2883</v>
      </c>
      <c r="G3590" s="87" t="str">
        <f>IFERROR(__xludf.DUMMYFUNCTION("""COMPUTED_VALUE"""),"GC - IV - 2883 - NHP GROUP - Chitin 3.6EC (nước nâu đen) - 450ml - 40")</f>
        <v>GC - IV - 2883 - NHP GROUP - Chitin 3.6EC (nước nâu đen) - 450ml - 40</v>
      </c>
    </row>
    <row r="3591">
      <c r="A3591" s="86">
        <f>IFERROR(__xludf.DUMMYFUNCTION("""COMPUTED_VALUE"""),3589.0)</f>
        <v>3589</v>
      </c>
      <c r="B3591" s="87" t="str">
        <f>IFERROR(__xludf.DUMMYFUNCTION("""COMPUTED_VALUE"""),"Nhãn thùng")</f>
        <v>Nhãn thùng</v>
      </c>
      <c r="C3591" s="87" t="str">
        <f>IFERROR(__xludf.DUMMYFUNCTION("""COMPUTED_VALUE"""),"NDT2883")</f>
        <v>NDT2883</v>
      </c>
      <c r="D3591" s="87" t="str">
        <f>IFERROR(__xludf.DUMMYFUNCTION("""COMPUTED_VALUE"""),"[Nhãn thùng] GC - IV - 2883 - NHP GROUP - Chitin 3.6EC (nước nâu đen) - 450ml - 40")</f>
        <v>[Nhãn thùng] GC - IV - 2883 - NHP GROUP - Chitin 3.6EC (nước nâu đen) - 450ml - 40</v>
      </c>
      <c r="E3591" s="87" t="str">
        <f>IFERROR(__xludf.DUMMYFUNCTION("""COMPUTED_VALUE"""),"Chitin 3.6EC")</f>
        <v>Chitin 3.6EC</v>
      </c>
      <c r="F3591" s="87" t="str">
        <f>IFERROR(__xludf.DUMMYFUNCTION("""COMPUTED_VALUE"""),"HH2883")</f>
        <v>HH2883</v>
      </c>
      <c r="G3591" s="87" t="str">
        <f>IFERROR(__xludf.DUMMYFUNCTION("""COMPUTED_VALUE"""),"GC - IV - 2883 - NHP GROUP - Chitin 3.6EC (nước nâu đen) - 450ml - 40")</f>
        <v>GC - IV - 2883 - NHP GROUP - Chitin 3.6EC (nước nâu đen) - 450ml - 40</v>
      </c>
    </row>
    <row r="3592">
      <c r="A3592" s="86">
        <f>IFERROR(__xludf.DUMMYFUNCTION("""COMPUTED_VALUE"""),3590.0)</f>
        <v>3590</v>
      </c>
      <c r="B3592" s="87" t="str">
        <f>IFERROR(__xludf.DUMMYFUNCTION("""COMPUTED_VALUE"""),"Nhãn")</f>
        <v>Nhãn</v>
      </c>
      <c r="C3592" s="87" t="str">
        <f>IFERROR(__xludf.DUMMYFUNCTION("""COMPUTED_VALUE"""),"NTN2884")</f>
        <v>NTN2884</v>
      </c>
      <c r="D3592" s="87" t="str">
        <f>IFERROR(__xludf.DUMMYFUNCTION("""COMPUTED_VALUE"""),"[Nhãn] GC - IV - 2884 - A.Diễn Cty Sen Hồng - MANCO GREEN (Bột xanh) - 1kg - 20")</f>
        <v>[Nhãn] GC - IV - 2884 - A.Diễn Cty Sen Hồng - MANCO GREEN (Bột xanh) - 1kg - 20</v>
      </c>
      <c r="E3592" s="87" t="str">
        <f>IFERROR(__xludf.DUMMYFUNCTION("""COMPUTED_VALUE"""),"MANCOBGO 80WP")</f>
        <v>MANCOBGO 80WP</v>
      </c>
      <c r="F3592" s="87" t="str">
        <f>IFERROR(__xludf.DUMMYFUNCTION("""COMPUTED_VALUE"""),"HH2884")</f>
        <v>HH2884</v>
      </c>
      <c r="G3592" s="87" t="str">
        <f>IFERROR(__xludf.DUMMYFUNCTION("""COMPUTED_VALUE"""),"GC - IV - 2884 - A.Diễn Cty Sen Hồng - MANCO GREEN (Bột xanh) - 1kg - 20")</f>
        <v>GC - IV - 2884 - A.Diễn Cty Sen Hồng - MANCO GREEN (Bột xanh) - 1kg - 20</v>
      </c>
    </row>
    <row r="3593">
      <c r="A3593" s="86">
        <f>IFERROR(__xludf.DUMMYFUNCTION("""COMPUTED_VALUE"""),3591.0)</f>
        <v>3591</v>
      </c>
      <c r="B3593" s="87" t="str">
        <f>IFERROR(__xludf.DUMMYFUNCTION("""COMPUTED_VALUE"""),"Nhãn thùng")</f>
        <v>Nhãn thùng</v>
      </c>
      <c r="C3593" s="87" t="str">
        <f>IFERROR(__xludf.DUMMYFUNCTION("""COMPUTED_VALUE"""),"NDT2884")</f>
        <v>NDT2884</v>
      </c>
      <c r="D3593" s="87" t="str">
        <f>IFERROR(__xludf.DUMMYFUNCTION("""COMPUTED_VALUE"""),"[Nhãn thùng] GC - IV - 2884 - A.Diễn Cty Sen Hồng - MANCO GREEN (Bột xanh) - 1kg - 20")</f>
        <v>[Nhãn thùng] GC - IV - 2884 - A.Diễn Cty Sen Hồng - MANCO GREEN (Bột xanh) - 1kg - 20</v>
      </c>
      <c r="E3593" s="87" t="str">
        <f>IFERROR(__xludf.DUMMYFUNCTION("""COMPUTED_VALUE"""),"MANCOBGO 80WP")</f>
        <v>MANCOBGO 80WP</v>
      </c>
      <c r="F3593" s="87" t="str">
        <f>IFERROR(__xludf.DUMMYFUNCTION("""COMPUTED_VALUE"""),"HH2884")</f>
        <v>HH2884</v>
      </c>
      <c r="G3593" s="87" t="str">
        <f>IFERROR(__xludf.DUMMYFUNCTION("""COMPUTED_VALUE"""),"GC - IV - 2884 - A.Diễn Cty Sen Hồng - MANCO GREEN (Bột xanh) - 1kg - 20")</f>
        <v>GC - IV - 2884 - A.Diễn Cty Sen Hồng - MANCO GREEN (Bột xanh) - 1kg - 20</v>
      </c>
    </row>
    <row r="3594">
      <c r="A3594" s="86">
        <f>IFERROR(__xludf.DUMMYFUNCTION("""COMPUTED_VALUE"""),3592.0)</f>
        <v>3592</v>
      </c>
      <c r="B3594" s="87" t="str">
        <f>IFERROR(__xludf.DUMMYFUNCTION("""COMPUTED_VALUE"""),"Nhãn")</f>
        <v>Nhãn</v>
      </c>
      <c r="C3594" s="87" t="str">
        <f>IFERROR(__xludf.DUMMYFUNCTION("""COMPUTED_VALUE"""),"NTN2885")</f>
        <v>NTN2885</v>
      </c>
      <c r="D3594" s="87" t="str">
        <f>IFERROR(__xludf.DUMMYFUNCTION("""COMPUTED_VALUE"""),"[Nhãn] GC - II - 2885 - AGC (TÂY NGUYÊN) - MANCOLAXYL PRO (Bột vàng) - 500gr - 30")</f>
        <v>[Nhãn] GC - II - 2885 - AGC (TÂY NGUYÊN) - MANCOLAXYL PRO (Bột vàng) - 500gr - 30</v>
      </c>
      <c r="E3594" s="87" t="str">
        <f>IFERROR(__xludf.DUMMYFUNCTION("""COMPUTED_VALUE"""),"FORTAZEB 72WP")</f>
        <v>FORTAZEB 72WP</v>
      </c>
      <c r="F3594" s="87" t="str">
        <f>IFERROR(__xludf.DUMMYFUNCTION("""COMPUTED_VALUE"""),"HH2885")</f>
        <v>HH2885</v>
      </c>
      <c r="G3594" s="87" t="str">
        <f>IFERROR(__xludf.DUMMYFUNCTION("""COMPUTED_VALUE"""),"GC - II - 2885 - AGC (TÂY NGUYÊN) - MANCOLAXYL PRO (Bột vàng) - 500gr - 30")</f>
        <v>GC - II - 2885 - AGC (TÂY NGUYÊN) - MANCOLAXYL PRO (Bột vàng) - 500gr - 30</v>
      </c>
    </row>
    <row r="3595">
      <c r="A3595" s="86">
        <f>IFERROR(__xludf.DUMMYFUNCTION("""COMPUTED_VALUE"""),3593.0)</f>
        <v>3593</v>
      </c>
      <c r="B3595" s="87" t="str">
        <f>IFERROR(__xludf.DUMMYFUNCTION("""COMPUTED_VALUE"""),"[HỘP]")</f>
        <v>[HỘP]</v>
      </c>
      <c r="C3595" s="87" t="str">
        <f>IFERROR(__xludf.DUMMYFUNCTION("""COMPUTED_VALUE"""),"HOP2886")</f>
        <v>HOP2886</v>
      </c>
      <c r="D3595" s="87" t="str">
        <f>IFERROR(__xludf.DUMMYFUNCTION("""COMPUTED_VALUE"""),"[HOP] GC - IV - 2886 - Cty Newtex - SẠCH BỆNH TRÚNG MÙA - 500ml - 2")</f>
        <v>[HOP] GC - IV - 2886 - Cty Newtex - SẠCH BỆNH TRÚNG MÙA - 500ml - 2</v>
      </c>
      <c r="E3595" s="87"/>
      <c r="F3595" s="87" t="str">
        <f>IFERROR(__xludf.DUMMYFUNCTION("""COMPUTED_VALUE"""),"HH2886")</f>
        <v>HH2886</v>
      </c>
      <c r="G3595" s="87" t="str">
        <f>IFERROR(__xludf.DUMMYFUNCTION("""COMPUTED_VALUE"""),"GC - IV - 2886 - Cty Newtex - SẠCH BỆNH TRÚNG MÙA - 500ml - 2")</f>
        <v>GC - IV - 2886 - Cty Newtex - SẠCH BỆNH TRÚNG MÙA - 500ml - 2</v>
      </c>
    </row>
    <row r="3596">
      <c r="A3596" s="86">
        <f>IFERROR(__xludf.DUMMYFUNCTION("""COMPUTED_VALUE"""),3594.0)</f>
        <v>3594</v>
      </c>
      <c r="B3596" s="87" t="str">
        <f>IFERROR(__xludf.DUMMYFUNCTION("""COMPUTED_VALUE"""),"Nhãn")</f>
        <v>Nhãn</v>
      </c>
      <c r="C3596" s="87" t="str">
        <f>IFERROR(__xludf.DUMMYFUNCTION("""COMPUTED_VALUE"""),"NHG2887")</f>
        <v>NHG2887</v>
      </c>
      <c r="D3596" s="87" t="str">
        <f>IFERROR(__xludf.DUMMYFUNCTION("""COMPUTED_VALUE"""),"[Nhãn] GC - IV - 2887 - CTY HITACO - DƯỠNG ĐÒNG ORGANIC (Nước vàng) - 500ml - 40")</f>
        <v>[Nhãn] GC - IV - 2887 - CTY HITACO - DƯỠNG ĐÒNG ORGANIC (Nước vàng) - 500ml - 40</v>
      </c>
      <c r="E3596" s="87" t="str">
        <f>IFERROR(__xludf.DUMMYFUNCTION("""COMPUTED_VALUE"""),"Hữu Cơ PA ORGANIC")</f>
        <v>Hữu Cơ PA ORGANIC</v>
      </c>
      <c r="F3596" s="87" t="str">
        <f>IFERROR(__xludf.DUMMYFUNCTION("""COMPUTED_VALUE"""),"HH2887")</f>
        <v>HH2887</v>
      </c>
      <c r="G3596" s="87" t="str">
        <f>IFERROR(__xludf.DUMMYFUNCTION("""COMPUTED_VALUE"""),"GC - IV - 2887 - CTY HITACO - DƯỠNG ĐÒNG ORGANIC (Nước vàng) - 500ml - 40")</f>
        <v>GC - IV - 2887 - CTY HITACO - DƯỠNG ĐÒNG ORGANIC (Nước vàng) - 500ml - 40</v>
      </c>
    </row>
    <row r="3597">
      <c r="A3597" s="86">
        <f>IFERROR(__xludf.DUMMYFUNCTION("""COMPUTED_VALUE"""),3595.0)</f>
        <v>3595</v>
      </c>
      <c r="B3597" s="87" t="str">
        <f>IFERROR(__xludf.DUMMYFUNCTION("""COMPUTED_VALUE"""),"Nhãn")</f>
        <v>Nhãn</v>
      </c>
      <c r="C3597" s="87" t="str">
        <f>IFERROR(__xludf.DUMMYFUNCTION("""COMPUTED_VALUE"""),"NTN2888")</f>
        <v>NTN2888</v>
      </c>
      <c r="D3597" s="87" t="str">
        <f>IFERROR(__xludf.DUMMYFUNCTION("""COMPUTED_VALUE"""),"[Nhãn] GC - IV - 2888 - CTY OLYMPUS - CYAT 525WG (dạng cốm màu trắng ngà) - 60gr - 100")</f>
        <v>[Nhãn] GC - IV - 2888 - CTY OLYMPUS - CYAT 525WG (dạng cốm màu trắng ngà) - 60gr - 100</v>
      </c>
      <c r="E3597" s="87" t="str">
        <f>IFERROR(__xludf.DUMMYFUNCTION("""COMPUTED_VALUE"""),"CYAT 525WG")</f>
        <v>CYAT 525WG</v>
      </c>
      <c r="F3597" s="87" t="str">
        <f>IFERROR(__xludf.DUMMYFUNCTION("""COMPUTED_VALUE"""),"HH2888")</f>
        <v>HH2888</v>
      </c>
      <c r="G3597" s="87" t="str">
        <f>IFERROR(__xludf.DUMMYFUNCTION("""COMPUTED_VALUE"""),"GC - IV - 2888 - CTY OLYMPUS - CYAT 525WG (dạng cốm màu trắng ngà) - 60gr - 100")</f>
        <v>GC - IV - 2888 - CTY OLYMPUS - CYAT 525WG (dạng cốm màu trắng ngà) - 60gr - 100</v>
      </c>
    </row>
    <row r="3598">
      <c r="A3598" s="86">
        <f>IFERROR(__xludf.DUMMYFUNCTION("""COMPUTED_VALUE"""),3596.0)</f>
        <v>3596</v>
      </c>
      <c r="B3598" s="87" t="str">
        <f>IFERROR(__xludf.DUMMYFUNCTION("""COMPUTED_VALUE"""),"Nhãn thùng")</f>
        <v>Nhãn thùng</v>
      </c>
      <c r="C3598" s="87" t="str">
        <f>IFERROR(__xludf.DUMMYFUNCTION("""COMPUTED_VALUE"""),"NDT2888")</f>
        <v>NDT2888</v>
      </c>
      <c r="D3598" s="87" t="str">
        <f>IFERROR(__xludf.DUMMYFUNCTION("""COMPUTED_VALUE"""),"[Nhãn thùng] GC - IV - 2888 - CTY OLYMPUS - CYAT 525WG (dạng cốm màu trắng ngà) - 60gr - 100")</f>
        <v>[Nhãn thùng] GC - IV - 2888 - CTY OLYMPUS - CYAT 525WG (dạng cốm màu trắng ngà) - 60gr - 100</v>
      </c>
      <c r="E3598" s="87" t="str">
        <f>IFERROR(__xludf.DUMMYFUNCTION("""COMPUTED_VALUE"""),"CYAT 525WG")</f>
        <v>CYAT 525WG</v>
      </c>
      <c r="F3598" s="87" t="str">
        <f>IFERROR(__xludf.DUMMYFUNCTION("""COMPUTED_VALUE"""),"HH2888")</f>
        <v>HH2888</v>
      </c>
      <c r="G3598" s="87" t="str">
        <f>IFERROR(__xludf.DUMMYFUNCTION("""COMPUTED_VALUE"""),"GC - IV - 2888 - CTY OLYMPUS - CYAT 525WG (dạng cốm màu trắng ngà) - 60gr - 100")</f>
        <v>GC - IV - 2888 - CTY OLYMPUS - CYAT 525WG (dạng cốm màu trắng ngà) - 60gr - 100</v>
      </c>
    </row>
    <row r="3599">
      <c r="A3599" s="86">
        <f>IFERROR(__xludf.DUMMYFUNCTION("""COMPUTED_VALUE"""),3597.0)</f>
        <v>3597</v>
      </c>
      <c r="B3599" s="87" t="str">
        <f>IFERROR(__xludf.DUMMYFUNCTION("""COMPUTED_VALUE"""),"[Nhãn]")</f>
        <v>[Nhãn]</v>
      </c>
      <c r="C3599" s="87" t="str">
        <f>IFERROR(__xludf.DUMMYFUNCTION("""COMPUTED_VALUE"""),"NHG2888")</f>
        <v>NHG2888</v>
      </c>
      <c r="D3599" s="87" t="str">
        <f>IFERROR(__xludf.DUMMYFUNCTION("""COMPUTED_VALUE"""),"[Nhãn] GC - IV - 2888 - CTY OLYMPUS - CYAT 525WG (dạng cốm màu trắng ngà) - 60gr - 100")</f>
        <v>[Nhãn] GC - IV - 2888 - CTY OLYMPUS - CYAT 525WG (dạng cốm màu trắng ngà) - 60gr - 100</v>
      </c>
      <c r="E3599" s="87" t="str">
        <f>IFERROR(__xludf.DUMMYFUNCTION("""COMPUTED_VALUE"""),"CYAT 525WG")</f>
        <v>CYAT 525WG</v>
      </c>
      <c r="F3599" s="87" t="str">
        <f>IFERROR(__xludf.DUMMYFUNCTION("""COMPUTED_VALUE"""),"HH2888")</f>
        <v>HH2888</v>
      </c>
      <c r="G3599" s="87" t="str">
        <f>IFERROR(__xludf.DUMMYFUNCTION("""COMPUTED_VALUE"""),"GC - IV - 2888 - CTY OLYMPUS - CYAT 525WG (dạng cốm màu trắng ngà) - 60gr - 100")</f>
        <v>GC - IV - 2888 - CTY OLYMPUS - CYAT 525WG (dạng cốm màu trắng ngà) - 60gr - 100</v>
      </c>
    </row>
    <row r="3600">
      <c r="A3600" s="86">
        <f>IFERROR(__xludf.DUMMYFUNCTION("""COMPUTED_VALUE"""),3598.0)</f>
        <v>3598</v>
      </c>
      <c r="B3600" s="87" t="str">
        <f>IFERROR(__xludf.DUMMYFUNCTION("""COMPUTED_VALUE"""),"Nhãn")</f>
        <v>Nhãn</v>
      </c>
      <c r="C3600" s="87" t="str">
        <f>IFERROR(__xludf.DUMMYFUNCTION("""COMPUTED_VALUE"""),"NTN2889")</f>
        <v>NTN2889</v>
      </c>
      <c r="D3600" s="87" t="str">
        <f>IFERROR(__xludf.DUMMYFUNCTION("""COMPUTED_VALUE"""),"[Nhãn] GC - IV - 2889 - CTY SEIKO NHẬT BẢN - MAKEGREEN 55WG (Dạng cốm màu trắng ngà) - 50gr - 200")</f>
        <v>[Nhãn] GC - IV - 2889 - CTY SEIKO NHẬT BẢN - MAKEGREEN 55WG (Dạng cốm màu trắng ngà) - 50gr - 200</v>
      </c>
      <c r="E3600" s="87" t="str">
        <f>IFERROR(__xludf.DUMMYFUNCTION("""COMPUTED_VALUE"""),"MAKEGREEN 55WG")</f>
        <v>MAKEGREEN 55WG</v>
      </c>
      <c r="F3600" s="87" t="str">
        <f>IFERROR(__xludf.DUMMYFUNCTION("""COMPUTED_VALUE"""),"HH2889")</f>
        <v>HH2889</v>
      </c>
      <c r="G3600" s="87" t="str">
        <f>IFERROR(__xludf.DUMMYFUNCTION("""COMPUTED_VALUE"""),"GC - IV - 2889 - CTY SEIKO NHẬT BẢN - MAKEGREEN 55WG (Dạng cốm màu trắng ngà) - 50gr - 200")</f>
        <v>GC - IV - 2889 - CTY SEIKO NHẬT BẢN - MAKEGREEN 55WG (Dạng cốm màu trắng ngà) - 50gr - 200</v>
      </c>
    </row>
    <row r="3601">
      <c r="A3601" s="86">
        <f>IFERROR(__xludf.DUMMYFUNCTION("""COMPUTED_VALUE"""),3599.0)</f>
        <v>3599</v>
      </c>
      <c r="B3601" s="87" t="str">
        <f>IFERROR(__xludf.DUMMYFUNCTION("""COMPUTED_VALUE"""),"Nhãn thùng")</f>
        <v>Nhãn thùng</v>
      </c>
      <c r="C3601" s="87" t="str">
        <f>IFERROR(__xludf.DUMMYFUNCTION("""COMPUTED_VALUE"""),"NDT2889")</f>
        <v>NDT2889</v>
      </c>
      <c r="D3601" s="87" t="str">
        <f>IFERROR(__xludf.DUMMYFUNCTION("""COMPUTED_VALUE"""),"[Nhãn thùng] GC - IV - 2889 - CTY SEIKO NHẬT BẢN - MAKEGREEN 55WG (Dạng cốm màu trắng ngà) - 50gr - 200")</f>
        <v>[Nhãn thùng] GC - IV - 2889 - CTY SEIKO NHẬT BẢN - MAKEGREEN 55WG (Dạng cốm màu trắng ngà) - 50gr - 200</v>
      </c>
      <c r="E3601" s="87" t="str">
        <f>IFERROR(__xludf.DUMMYFUNCTION("""COMPUTED_VALUE"""),"MAKEGREEN 55WG")</f>
        <v>MAKEGREEN 55WG</v>
      </c>
      <c r="F3601" s="87" t="str">
        <f>IFERROR(__xludf.DUMMYFUNCTION("""COMPUTED_VALUE"""),"HH2889")</f>
        <v>HH2889</v>
      </c>
      <c r="G3601" s="87" t="str">
        <f>IFERROR(__xludf.DUMMYFUNCTION("""COMPUTED_VALUE"""),"GC - IV - 2889 - CTY SEIKO NHẬT BẢN - MAKEGREEN 55WG (Dạng cốm màu trắng ngà) - 50gr - 200")</f>
        <v>GC - IV - 2889 - CTY SEIKO NHẬT BẢN - MAKEGREEN 55WG (Dạng cốm màu trắng ngà) - 50gr - 200</v>
      </c>
    </row>
    <row r="3602">
      <c r="A3602" s="86">
        <f>IFERROR(__xludf.DUMMYFUNCTION("""COMPUTED_VALUE"""),3600.0)</f>
        <v>3600</v>
      </c>
      <c r="B3602" s="87" t="str">
        <f>IFERROR(__xludf.DUMMYFUNCTION("""COMPUTED_VALUE"""),"Nhãn")</f>
        <v>Nhãn</v>
      </c>
      <c r="C3602" s="87" t="str">
        <f>IFERROR(__xludf.DUMMYFUNCTION("""COMPUTED_VALUE"""),"NHG2890")</f>
        <v>NHG2890</v>
      </c>
      <c r="D3602" s="87" t="str">
        <f>IFERROR(__xludf.DUMMYFUNCTION("""COMPUTED_VALUE"""),"[Nhãn] GC - IV - 2890 - AGRITECH - AGRI AKA.T20 (Nước nâu đen) - 500ml - 40")</f>
        <v>[Nhãn] GC - IV - 2890 - AGRITECH - AGRI AKA.T20 (Nước nâu đen) - 500ml - 40</v>
      </c>
      <c r="E3602" s="87" t="str">
        <f>IFERROR(__xludf.DUMMYFUNCTION("""COMPUTED_VALUE"""),"Hữu cơ SH Agro Organic Fertilizer 20")</f>
        <v>Hữu cơ SH Agro Organic Fertilizer 20</v>
      </c>
      <c r="F3602" s="87" t="str">
        <f>IFERROR(__xludf.DUMMYFUNCTION("""COMPUTED_VALUE"""),"HH2890")</f>
        <v>HH2890</v>
      </c>
      <c r="G3602" s="87" t="str">
        <f>IFERROR(__xludf.DUMMYFUNCTION("""COMPUTED_VALUE"""),"GC - IV - 2890 - AGRITECH - AGRI AKA.T20 (Nước nâu đen) - 500ml - 40")</f>
        <v>GC - IV - 2890 - AGRITECH - AGRI AKA.T20 (Nước nâu đen) - 500ml - 40</v>
      </c>
    </row>
    <row r="3603">
      <c r="A3603" s="86">
        <f>IFERROR(__xludf.DUMMYFUNCTION("""COMPUTED_VALUE"""),3601.0)</f>
        <v>3601</v>
      </c>
      <c r="B3603" s="87" t="str">
        <f>IFERROR(__xludf.DUMMYFUNCTION("""COMPUTED_VALUE"""),"Nhãn")</f>
        <v>Nhãn</v>
      </c>
      <c r="C3603" s="87" t="str">
        <f>IFERROR(__xludf.DUMMYFUNCTION("""COMPUTED_VALUE"""),"NHD2893")</f>
        <v>NHD2893</v>
      </c>
      <c r="D3603" s="87" t="str">
        <f>IFERROR(__xludf.DUMMYFUNCTION("""COMPUTED_VALUE"""),"[Nhãn] GC - IV - 2893 - CTY ASAHI NHẬT BẢN - KINONE KÍCH RỄ (Nước nâu đen) - 22kg - 1")</f>
        <v>[Nhãn] GC - IV - 2893 - CTY ASAHI NHẬT BẢN - KINONE KÍCH RỄ (Nước nâu đen) - 22kg - 1</v>
      </c>
      <c r="E3603" s="87" t="str">
        <f>IFERROR(__xludf.DUMMYFUNCTION("""COMPUTED_VALUE"""),"Hữu cơ SH Agro Organic Fertilizer 20")</f>
        <v>Hữu cơ SH Agro Organic Fertilizer 20</v>
      </c>
      <c r="F3603" s="87" t="str">
        <f>IFERROR(__xludf.DUMMYFUNCTION("""COMPUTED_VALUE"""),"HH2893")</f>
        <v>HH2893</v>
      </c>
      <c r="G3603" s="87" t="str">
        <f>IFERROR(__xludf.DUMMYFUNCTION("""COMPUTED_VALUE"""),"GC - IV - 2893 - CTY ASAHI NHẬT BẢN - KINONE KÍCH RỄ (Nước nâu đen) - 22kg - 1")</f>
        <v>GC - IV - 2893 - CTY ASAHI NHẬT BẢN - KINONE KÍCH RỄ (Nước nâu đen) - 22kg - 1</v>
      </c>
    </row>
    <row r="3604">
      <c r="A3604" s="86">
        <f>IFERROR(__xludf.DUMMYFUNCTION("""COMPUTED_VALUE"""),3602.0)</f>
        <v>3602</v>
      </c>
      <c r="B3604" s="87" t="str">
        <f>IFERROR(__xludf.DUMMYFUNCTION("""COMPUTED_VALUE"""),"Nhãn")</f>
        <v>Nhãn</v>
      </c>
      <c r="C3604" s="87" t="str">
        <f>IFERROR(__xludf.DUMMYFUNCTION("""COMPUTED_VALUE"""),"NHD2894")</f>
        <v>NHD2894</v>
      </c>
      <c r="D3604" s="87" t="str">
        <f>IFERROR(__xludf.DUMMYFUNCTION("""COMPUTED_VALUE"""),"[Nhãn] GC - IV - 2894 - CTY ASAHI NHẬT BẢN - KINONE KÍCH RỄ (Nước nâu đen) - 5L - 4")</f>
        <v>[Nhãn] GC - IV - 2894 - CTY ASAHI NHẬT BẢN - KINONE KÍCH RỄ (Nước nâu đen) - 5L - 4</v>
      </c>
      <c r="E3604" s="87" t="str">
        <f>IFERROR(__xludf.DUMMYFUNCTION("""COMPUTED_VALUE"""),"Hữu cơ SH Agro Organic Fertilizer 20")</f>
        <v>Hữu cơ SH Agro Organic Fertilizer 20</v>
      </c>
      <c r="F3604" s="87" t="str">
        <f>IFERROR(__xludf.DUMMYFUNCTION("""COMPUTED_VALUE"""),"HH2894")</f>
        <v>HH2894</v>
      </c>
      <c r="G3604" s="87" t="str">
        <f>IFERROR(__xludf.DUMMYFUNCTION("""COMPUTED_VALUE"""),"GC - IV - 2894 - CTY ASAHI NHẬT BẢN - KINONE KÍCH RỄ (Nước nâu đen) - 5L - 4")</f>
        <v>GC - IV - 2894 - CTY ASAHI NHẬT BẢN - KINONE KÍCH RỄ (Nước nâu đen) - 5L - 4</v>
      </c>
    </row>
    <row r="3605">
      <c r="A3605" s="86">
        <f>IFERROR(__xludf.DUMMYFUNCTION("""COMPUTED_VALUE"""),3603.0)</f>
        <v>3603</v>
      </c>
      <c r="B3605" s="87" t="str">
        <f>IFERROR(__xludf.DUMMYFUNCTION("""COMPUTED_VALUE"""),"Nhãn thùng")</f>
        <v>Nhãn thùng</v>
      </c>
      <c r="C3605" s="87" t="str">
        <f>IFERROR(__xludf.DUMMYFUNCTION("""COMPUTED_VALUE"""),"NDT2894")</f>
        <v>NDT2894</v>
      </c>
      <c r="D3605" s="87" t="str">
        <f>IFERROR(__xludf.DUMMYFUNCTION("""COMPUTED_VALUE"""),"[Nhãn thùng] GC - IV - 2894 - CTY ASAHI NHẬT BẢN - KINONE KÍCH RỄ (Nước nâu đen) - 5L - 4")</f>
        <v>[Nhãn thùng] GC - IV - 2894 - CTY ASAHI NHẬT BẢN - KINONE KÍCH RỄ (Nước nâu đen) - 5L - 4</v>
      </c>
      <c r="E3605" s="87" t="str">
        <f>IFERROR(__xludf.DUMMYFUNCTION("""COMPUTED_VALUE"""),"Hữu cơ SH Agro Organic Fertilizer 20")</f>
        <v>Hữu cơ SH Agro Organic Fertilizer 20</v>
      </c>
      <c r="F3605" s="87" t="str">
        <f>IFERROR(__xludf.DUMMYFUNCTION("""COMPUTED_VALUE"""),"HH2894")</f>
        <v>HH2894</v>
      </c>
      <c r="G3605" s="87" t="str">
        <f>IFERROR(__xludf.DUMMYFUNCTION("""COMPUTED_VALUE"""),"GC - IV - 2894 - CTY ASAHI NHẬT BẢN - KINONE KÍCH RỄ (Nước nâu đen) - 5L - 4")</f>
        <v>GC - IV - 2894 - CTY ASAHI NHẬT BẢN - KINONE KÍCH RỄ (Nước nâu đen) - 5L - 4</v>
      </c>
    </row>
    <row r="3606">
      <c r="A3606" s="86">
        <f>IFERROR(__xludf.DUMMYFUNCTION("""COMPUTED_VALUE"""),3604.0)</f>
        <v>3604</v>
      </c>
      <c r="B3606" s="87" t="str">
        <f>IFERROR(__xludf.DUMMYFUNCTION("""COMPUTED_VALUE"""),"Nhãn")</f>
        <v>Nhãn</v>
      </c>
      <c r="C3606" s="87" t="str">
        <f>IFERROR(__xludf.DUMMYFUNCTION("""COMPUTED_VALUE"""),"NHD2895")</f>
        <v>NHD2895</v>
      </c>
      <c r="D3606" s="87" t="str">
        <f>IFERROR(__xludf.DUMMYFUNCTION("""COMPUTED_VALUE"""),"[Nhãn] GC - IV - 2895 - CTY ASAHI NHẬT BẢN - BASSAI BẬT ĐỌT (Nước nâu đen) - 22kg - 1")</f>
        <v>[Nhãn] GC - IV - 2895 - CTY ASAHI NHẬT BẢN - BASSAI BẬT ĐỌT (Nước nâu đen) - 22kg - 1</v>
      </c>
      <c r="E3606" s="87" t="str">
        <f>IFERROR(__xludf.DUMMYFUNCTION("""COMPUTED_VALUE"""),"Hữu cơ SH Agro Organic Fertilizer 20")</f>
        <v>Hữu cơ SH Agro Organic Fertilizer 20</v>
      </c>
      <c r="F3606" s="87" t="str">
        <f>IFERROR(__xludf.DUMMYFUNCTION("""COMPUTED_VALUE"""),"HH2895")</f>
        <v>HH2895</v>
      </c>
      <c r="G3606" s="87" t="str">
        <f>IFERROR(__xludf.DUMMYFUNCTION("""COMPUTED_VALUE"""),"GC - IV - 2895 - CTY ASAHI NHẬT BẢN - BASSAI BẬT ĐỌT (Nước nâu đen) - 22kg - 1")</f>
        <v>GC - IV - 2895 - CTY ASAHI NHẬT BẢN - BASSAI BẬT ĐỌT (Nước nâu đen) - 22kg - 1</v>
      </c>
    </row>
    <row r="3607">
      <c r="A3607" s="86">
        <f>IFERROR(__xludf.DUMMYFUNCTION("""COMPUTED_VALUE"""),3605.0)</f>
        <v>3605</v>
      </c>
      <c r="B3607" s="87" t="str">
        <f>IFERROR(__xludf.DUMMYFUNCTION("""COMPUTED_VALUE"""),"Nhãn")</f>
        <v>Nhãn</v>
      </c>
      <c r="C3607" s="87" t="str">
        <f>IFERROR(__xludf.DUMMYFUNCTION("""COMPUTED_VALUE"""),"NHD2896")</f>
        <v>NHD2896</v>
      </c>
      <c r="D3607" s="87" t="str">
        <f>IFERROR(__xludf.DUMMYFUNCTION("""COMPUTED_VALUE"""),"[Nhãn] GC - IV - 2896 - CTY ASAHI NHẬT BẢN - BASSAI BẬT ĐỌT (Nước nâu đen) - 5L - 4")</f>
        <v>[Nhãn] GC - IV - 2896 - CTY ASAHI NHẬT BẢN - BASSAI BẬT ĐỌT (Nước nâu đen) - 5L - 4</v>
      </c>
      <c r="E3607" s="87" t="str">
        <f>IFERROR(__xludf.DUMMYFUNCTION("""COMPUTED_VALUE"""),"Hữu cơ SH Agro Organic Fertilizer 20")</f>
        <v>Hữu cơ SH Agro Organic Fertilizer 20</v>
      </c>
      <c r="F3607" s="87" t="str">
        <f>IFERROR(__xludf.DUMMYFUNCTION("""COMPUTED_VALUE"""),"HH2896")</f>
        <v>HH2896</v>
      </c>
      <c r="G3607" s="87" t="str">
        <f>IFERROR(__xludf.DUMMYFUNCTION("""COMPUTED_VALUE"""),"GC - IV - 2896 - CTY ASAHI NHẬT BẢN - BASSAI BẬT ĐỌT (Nước nâu đen) - 5L - 4")</f>
        <v>GC - IV - 2896 - CTY ASAHI NHẬT BẢN - BASSAI BẬT ĐỌT (Nước nâu đen) - 5L - 4</v>
      </c>
    </row>
    <row r="3608">
      <c r="A3608" s="86">
        <f>IFERROR(__xludf.DUMMYFUNCTION("""COMPUTED_VALUE"""),3606.0)</f>
        <v>3606</v>
      </c>
      <c r="B3608" s="87" t="str">
        <f>IFERROR(__xludf.DUMMYFUNCTION("""COMPUTED_VALUE"""),"Nhãn thùng")</f>
        <v>Nhãn thùng</v>
      </c>
      <c r="C3608" s="87" t="str">
        <f>IFERROR(__xludf.DUMMYFUNCTION("""COMPUTED_VALUE"""),"NDT2896")</f>
        <v>NDT2896</v>
      </c>
      <c r="D3608" s="87" t="str">
        <f>IFERROR(__xludf.DUMMYFUNCTION("""COMPUTED_VALUE"""),"[Nhãn thùng] GC - IV - 2896 - CTY ASAHI NHẬT BẢN - BASSAI BẬT ĐỌT (Nước nâu đen) - 5L - 4")</f>
        <v>[Nhãn thùng] GC - IV - 2896 - CTY ASAHI NHẬT BẢN - BASSAI BẬT ĐỌT (Nước nâu đen) - 5L - 4</v>
      </c>
      <c r="E3608" s="87" t="str">
        <f>IFERROR(__xludf.DUMMYFUNCTION("""COMPUTED_VALUE"""),"Hữu cơ SH Agro Organic Fertilizer 20")</f>
        <v>Hữu cơ SH Agro Organic Fertilizer 20</v>
      </c>
      <c r="F3608" s="87" t="str">
        <f>IFERROR(__xludf.DUMMYFUNCTION("""COMPUTED_VALUE"""),"HH2896")</f>
        <v>HH2896</v>
      </c>
      <c r="G3608" s="87" t="str">
        <f>IFERROR(__xludf.DUMMYFUNCTION("""COMPUTED_VALUE"""),"GC - IV - 2896 - CTY ASAHI NHẬT BẢN - BASSAI BẬT ĐỌT (Nước nâu đen) - 5L - 4")</f>
        <v>GC - IV - 2896 - CTY ASAHI NHẬT BẢN - BASSAI BẬT ĐỌT (Nước nâu đen) - 5L - 4</v>
      </c>
    </row>
    <row r="3609">
      <c r="A3609" s="86">
        <f>IFERROR(__xludf.DUMMYFUNCTION("""COMPUTED_VALUE"""),3607.0)</f>
        <v>3607</v>
      </c>
      <c r="B3609" s="87" t="str">
        <f>IFERROR(__xludf.DUMMYFUNCTION("""COMPUTED_VALUE"""),"Nhãn")</f>
        <v>Nhãn</v>
      </c>
      <c r="C3609" s="87" t="str">
        <f>IFERROR(__xludf.DUMMYFUNCTION("""COMPUTED_VALUE"""),"NHD2897")</f>
        <v>NHD2897</v>
      </c>
      <c r="D3609" s="87" t="str">
        <f>IFERROR(__xludf.DUMMYFUNCTION("""COMPUTED_VALUE"""),"[Nhãn] GC - IV - 2897 - CTY ASAHI NHẬT BẢN - ROOT MAX (Nước nâu đen) - 22kg - 1")</f>
        <v>[Nhãn] GC - IV - 2897 - CTY ASAHI NHẬT BẢN - ROOT MAX (Nước nâu đen) - 22kg - 1</v>
      </c>
      <c r="E3609" s="87" t="str">
        <f>IFERROR(__xludf.DUMMYFUNCTION("""COMPUTED_VALUE"""),"Hữu cơ SH Agro Organic Fertilizer 20")</f>
        <v>Hữu cơ SH Agro Organic Fertilizer 20</v>
      </c>
      <c r="F3609" s="87" t="str">
        <f>IFERROR(__xludf.DUMMYFUNCTION("""COMPUTED_VALUE"""),"HH2897")</f>
        <v>HH2897</v>
      </c>
      <c r="G3609" s="87" t="str">
        <f>IFERROR(__xludf.DUMMYFUNCTION("""COMPUTED_VALUE"""),"GC - IV - 2897 - CTY ASAHI NHẬT BẢN - ROOT MAX (Nước nâu đen) - 22kg - 1")</f>
        <v>GC - IV - 2897 - CTY ASAHI NHẬT BẢN - ROOT MAX (Nước nâu đen) - 22kg - 1</v>
      </c>
    </row>
    <row r="3610">
      <c r="A3610" s="86">
        <f>IFERROR(__xludf.DUMMYFUNCTION("""COMPUTED_VALUE"""),3608.0)</f>
        <v>3608</v>
      </c>
      <c r="B3610" s="87" t="str">
        <f>IFERROR(__xludf.DUMMYFUNCTION("""COMPUTED_VALUE"""),"Nhãn")</f>
        <v>Nhãn</v>
      </c>
      <c r="C3610" s="87" t="str">
        <f>IFERROR(__xludf.DUMMYFUNCTION("""COMPUTED_VALUE"""),"NHD2898")</f>
        <v>NHD2898</v>
      </c>
      <c r="D3610" s="87" t="str">
        <f>IFERROR(__xludf.DUMMYFUNCTION("""COMPUTED_VALUE"""),"[Nhãn] GC - IV - 2898 - CTY ASAHI NHẬT BẢN - ROOT MAX (Nước nâu đen) - 5L - 4")</f>
        <v>[Nhãn] GC - IV - 2898 - CTY ASAHI NHẬT BẢN - ROOT MAX (Nước nâu đen) - 5L - 4</v>
      </c>
      <c r="E3610" s="87" t="str">
        <f>IFERROR(__xludf.DUMMYFUNCTION("""COMPUTED_VALUE"""),"Hữu cơ SH Agro Organic Fertilizer 20")</f>
        <v>Hữu cơ SH Agro Organic Fertilizer 20</v>
      </c>
      <c r="F3610" s="87" t="str">
        <f>IFERROR(__xludf.DUMMYFUNCTION("""COMPUTED_VALUE"""),"HH2898")</f>
        <v>HH2898</v>
      </c>
      <c r="G3610" s="87" t="str">
        <f>IFERROR(__xludf.DUMMYFUNCTION("""COMPUTED_VALUE"""),"GC - IV - 2898 - CTY ASAHI NHẬT BẢN - ROOT MAX (Nước nâu đen) - 5L - 4")</f>
        <v>GC - IV - 2898 - CTY ASAHI NHẬT BẢN - ROOT MAX (Nước nâu đen) - 5L - 4</v>
      </c>
    </row>
    <row r="3611">
      <c r="A3611" s="86">
        <f>IFERROR(__xludf.DUMMYFUNCTION("""COMPUTED_VALUE"""),3609.0)</f>
        <v>3609</v>
      </c>
      <c r="B3611" s="87" t="str">
        <f>IFERROR(__xludf.DUMMYFUNCTION("""COMPUTED_VALUE"""),"Nhãn thùng")</f>
        <v>Nhãn thùng</v>
      </c>
      <c r="C3611" s="87" t="str">
        <f>IFERROR(__xludf.DUMMYFUNCTION("""COMPUTED_VALUE"""),"NDT2898")</f>
        <v>NDT2898</v>
      </c>
      <c r="D3611" s="87" t="str">
        <f>IFERROR(__xludf.DUMMYFUNCTION("""COMPUTED_VALUE"""),"[Nhãn thùng] GC - IV - 2898 - CTY ASAHI NHẬT BẢN - ROOT MAX (Nước nâu đen) - 5L - 4")</f>
        <v>[Nhãn thùng] GC - IV - 2898 - CTY ASAHI NHẬT BẢN - ROOT MAX (Nước nâu đen) - 5L - 4</v>
      </c>
      <c r="E3611" s="87" t="str">
        <f>IFERROR(__xludf.DUMMYFUNCTION("""COMPUTED_VALUE"""),"Hữu cơ SH Agro Organic Fertilizer 20")</f>
        <v>Hữu cơ SH Agro Organic Fertilizer 20</v>
      </c>
      <c r="F3611" s="87" t="str">
        <f>IFERROR(__xludf.DUMMYFUNCTION("""COMPUTED_VALUE"""),"HH2898")</f>
        <v>HH2898</v>
      </c>
      <c r="G3611" s="87" t="str">
        <f>IFERROR(__xludf.DUMMYFUNCTION("""COMPUTED_VALUE"""),"GC - IV - 2898 - CTY ASAHI NHẬT BẢN - ROOT MAX (Nước nâu đen) - 5L - 4")</f>
        <v>GC - IV - 2898 - CTY ASAHI NHẬT BẢN - ROOT MAX (Nước nâu đen) - 5L - 4</v>
      </c>
    </row>
    <row r="3612">
      <c r="A3612" s="86">
        <f>IFERROR(__xludf.DUMMYFUNCTION("""COMPUTED_VALUE"""),3610.0)</f>
        <v>3610</v>
      </c>
      <c r="B3612" s="87" t="str">
        <f>IFERROR(__xludf.DUMMYFUNCTION("""COMPUTED_VALUE"""),"Nhãn")</f>
        <v>Nhãn</v>
      </c>
      <c r="C3612" s="87" t="str">
        <f>IFERROR(__xludf.DUMMYFUNCTION("""COMPUTED_VALUE"""),"NHD2899")</f>
        <v>NHD2899</v>
      </c>
      <c r="D3612" s="87" t="str">
        <f>IFERROR(__xludf.DUMMYFUNCTION("""COMPUTED_VALUE"""),"[Nhãn] GC - IV - 2899 - CTY ASAHI NHẬT BẢN - ULTRA BUD (Nước nâu đen) - 22kg - 1")</f>
        <v>[Nhãn] GC - IV - 2899 - CTY ASAHI NHẬT BẢN - ULTRA BUD (Nước nâu đen) - 22kg - 1</v>
      </c>
      <c r="E3612" s="87" t="str">
        <f>IFERROR(__xludf.DUMMYFUNCTION("""COMPUTED_VALUE"""),"Hữu cơ SH Agro Organic Fertilizer 20")</f>
        <v>Hữu cơ SH Agro Organic Fertilizer 20</v>
      </c>
      <c r="F3612" s="87" t="str">
        <f>IFERROR(__xludf.DUMMYFUNCTION("""COMPUTED_VALUE"""),"HH2899")</f>
        <v>HH2899</v>
      </c>
      <c r="G3612" s="87" t="str">
        <f>IFERROR(__xludf.DUMMYFUNCTION("""COMPUTED_VALUE"""),"GC - IV - 2899 - CTY ASAHI NHẬT BẢN - ULTRA BUD (Nước nâu đen) - 22kg - 1")</f>
        <v>GC - IV - 2899 - CTY ASAHI NHẬT BẢN - ULTRA BUD (Nước nâu đen) - 22kg - 1</v>
      </c>
    </row>
    <row r="3613">
      <c r="A3613" s="86">
        <f>IFERROR(__xludf.DUMMYFUNCTION("""COMPUTED_VALUE"""),3611.0)</f>
        <v>3611</v>
      </c>
      <c r="B3613" s="87" t="str">
        <f>IFERROR(__xludf.DUMMYFUNCTION("""COMPUTED_VALUE"""),"Nhãn")</f>
        <v>Nhãn</v>
      </c>
      <c r="C3613" s="87" t="str">
        <f>IFERROR(__xludf.DUMMYFUNCTION("""COMPUTED_VALUE"""),"NHD2900")</f>
        <v>NHD2900</v>
      </c>
      <c r="D3613" s="87" t="str">
        <f>IFERROR(__xludf.DUMMYFUNCTION("""COMPUTED_VALUE"""),"[Nhãn] GC - IV - 2900 - CTY ASAHI NHẬT BẢN - ULTRA BUD (Nước nâu đen) - 5L - 4")</f>
        <v>[Nhãn] GC - IV - 2900 - CTY ASAHI NHẬT BẢN - ULTRA BUD (Nước nâu đen) - 5L - 4</v>
      </c>
      <c r="E3613" s="87" t="str">
        <f>IFERROR(__xludf.DUMMYFUNCTION("""COMPUTED_VALUE"""),"Hữu cơ SH Agro Organic Fertilizer 20")</f>
        <v>Hữu cơ SH Agro Organic Fertilizer 20</v>
      </c>
      <c r="F3613" s="87" t="str">
        <f>IFERROR(__xludf.DUMMYFUNCTION("""COMPUTED_VALUE"""),"HH2900")</f>
        <v>HH2900</v>
      </c>
      <c r="G3613" s="87" t="str">
        <f>IFERROR(__xludf.DUMMYFUNCTION("""COMPUTED_VALUE"""),"GC - IV - 2900 - CTY ASAHI NHẬT BẢN - ULTRA BUD (Nước nâu đen) - 5L - 4")</f>
        <v>GC - IV - 2900 - CTY ASAHI NHẬT BẢN - ULTRA BUD (Nước nâu đen) - 5L - 4</v>
      </c>
    </row>
    <row r="3614">
      <c r="A3614" s="86">
        <f>IFERROR(__xludf.DUMMYFUNCTION("""COMPUTED_VALUE"""),3612.0)</f>
        <v>3612</v>
      </c>
      <c r="B3614" s="87" t="str">
        <f>IFERROR(__xludf.DUMMYFUNCTION("""COMPUTED_VALUE"""),"Nhãn thùng")</f>
        <v>Nhãn thùng</v>
      </c>
      <c r="C3614" s="87" t="str">
        <f>IFERROR(__xludf.DUMMYFUNCTION("""COMPUTED_VALUE"""),"NDT2900")</f>
        <v>NDT2900</v>
      </c>
      <c r="D3614" s="87" t="str">
        <f>IFERROR(__xludf.DUMMYFUNCTION("""COMPUTED_VALUE"""),"[Nhãn thùng] GC - IV - 2900 - CTY ASAHI NHẬT BẢN - ULTRA BUD (Nước nâu đen) - 5L - 4")</f>
        <v>[Nhãn thùng] GC - IV - 2900 - CTY ASAHI NHẬT BẢN - ULTRA BUD (Nước nâu đen) - 5L - 4</v>
      </c>
      <c r="E3614" s="87" t="str">
        <f>IFERROR(__xludf.DUMMYFUNCTION("""COMPUTED_VALUE"""),"Hữu cơ SH Agro Organic Fertilizer 20")</f>
        <v>Hữu cơ SH Agro Organic Fertilizer 20</v>
      </c>
      <c r="F3614" s="87" t="str">
        <f>IFERROR(__xludf.DUMMYFUNCTION("""COMPUTED_VALUE"""),"HH2900")</f>
        <v>HH2900</v>
      </c>
      <c r="G3614" s="87" t="str">
        <f>IFERROR(__xludf.DUMMYFUNCTION("""COMPUTED_VALUE"""),"GC - IV - 2900 - CTY ASAHI NHẬT BẢN - ULTRA BUD (Nước nâu đen) - 5L - 4")</f>
        <v>GC - IV - 2900 - CTY ASAHI NHẬT BẢN - ULTRA BUD (Nước nâu đen) - 5L - 4</v>
      </c>
    </row>
    <row r="3615">
      <c r="A3615" s="86">
        <f>IFERROR(__xludf.DUMMYFUNCTION("""COMPUTED_VALUE"""),3613.0)</f>
        <v>3613</v>
      </c>
      <c r="B3615" s="87" t="str">
        <f>IFERROR(__xludf.DUMMYFUNCTION("""COMPUTED_VALUE"""),"Nhãn")</f>
        <v>Nhãn</v>
      </c>
      <c r="C3615" s="87" t="str">
        <f>IFERROR(__xludf.DUMMYFUNCTION("""COMPUTED_VALUE"""),"NHG2901")</f>
        <v>NHG2901</v>
      </c>
      <c r="D3615" s="87" t="str">
        <f>IFERROR(__xludf.DUMMYFUNCTION("""COMPUTED_VALUE"""),"[Nhãn] NB - K - 2901 - Cty Nông nghiệp DAVI - SẠCH KHUẨN DAVI (Nước xanh rêu) - 500ml - 40")</f>
        <v>[Nhãn] NB - K - 2901 - Cty Nông nghiệp DAVI - SẠCH KHUẨN DAVI (Nước xanh rêu) - 500ml - 40</v>
      </c>
      <c r="E3615" s="87" t="str">
        <f>IFERROR(__xludf.DUMMYFUNCTION("""COMPUTED_VALUE"""),"GENOL 1.2SL")</f>
        <v>GENOL 1.2SL</v>
      </c>
      <c r="F3615" s="87" t="str">
        <f>IFERROR(__xludf.DUMMYFUNCTION("""COMPUTED_VALUE"""),"HH2901")</f>
        <v>HH2901</v>
      </c>
      <c r="G3615" s="87" t="str">
        <f>IFERROR(__xludf.DUMMYFUNCTION("""COMPUTED_VALUE"""),"NB - K - 2901 - Cty Nông nghiệp DAVI - SẠCH KHUẨN DAVI (Nước xanh rêu) - 500ml - 40")</f>
        <v>NB - K - 2901 - Cty Nông nghiệp DAVI - SẠCH KHUẨN DAVI (Nước xanh rêu) - 500ml - 40</v>
      </c>
    </row>
    <row r="3616">
      <c r="A3616" s="86">
        <f>IFERROR(__xludf.DUMMYFUNCTION("""COMPUTED_VALUE"""),3614.0)</f>
        <v>3614</v>
      </c>
      <c r="B3616" s="87" t="str">
        <f>IFERROR(__xludf.DUMMYFUNCTION("""COMPUTED_VALUE"""),"Nhãn")</f>
        <v>Nhãn</v>
      </c>
      <c r="C3616" s="87" t="str">
        <f>IFERROR(__xludf.DUMMYFUNCTION("""COMPUTED_VALUE"""),"NTN2902")</f>
        <v>NTN2902</v>
      </c>
      <c r="D3616" s="87" t="str">
        <f>IFERROR(__xludf.DUMMYFUNCTION("""COMPUTED_VALUE"""),"[Nhãn] GC - IV - 2902 - Cty NANOTECH USA - MANCOZEB (bột xanh) - 1kg - 20")</f>
        <v>[Nhãn] GC - IV - 2902 - Cty NANOTECH USA - MANCOZEB (bột xanh) - 1kg - 20</v>
      </c>
      <c r="E3616" s="87" t="str">
        <f>IFERROR(__xludf.DUMMYFUNCTION("""COMPUTED_VALUE"""),"MANCOBGO 80WP")</f>
        <v>MANCOBGO 80WP</v>
      </c>
      <c r="F3616" s="87" t="str">
        <f>IFERROR(__xludf.DUMMYFUNCTION("""COMPUTED_VALUE"""),"HH2902")</f>
        <v>HH2902</v>
      </c>
      <c r="G3616" s="87" t="str">
        <f>IFERROR(__xludf.DUMMYFUNCTION("""COMPUTED_VALUE"""),"GC - IV - 2902 - Cty NANOTECH USA - MANCOZEB (bột xanh) - 1kg - 20")</f>
        <v>GC - IV - 2902 - Cty NANOTECH USA - MANCOZEB (bột xanh) - 1kg - 20</v>
      </c>
    </row>
    <row r="3617">
      <c r="A3617" s="86">
        <f>IFERROR(__xludf.DUMMYFUNCTION("""COMPUTED_VALUE"""),3615.0)</f>
        <v>3615</v>
      </c>
      <c r="B3617" s="87" t="str">
        <f>IFERROR(__xludf.DUMMYFUNCTION("""COMPUTED_VALUE"""),"Nhãn thùng")</f>
        <v>Nhãn thùng</v>
      </c>
      <c r="C3617" s="87" t="str">
        <f>IFERROR(__xludf.DUMMYFUNCTION("""COMPUTED_VALUE"""),"NDT2902")</f>
        <v>NDT2902</v>
      </c>
      <c r="D3617" s="87" t="str">
        <f>IFERROR(__xludf.DUMMYFUNCTION("""COMPUTED_VALUE"""),"[Nhãn thùng] GC - IV - 2902 - Cty NANOTECH USA - MANCOZEB (bột xanh) - 1kg - 20")</f>
        <v>[Nhãn thùng] GC - IV - 2902 - Cty NANOTECH USA - MANCOZEB (bột xanh) - 1kg - 20</v>
      </c>
      <c r="E3617" s="87" t="str">
        <f>IFERROR(__xludf.DUMMYFUNCTION("""COMPUTED_VALUE"""),"MANCOBGO 80WP")</f>
        <v>MANCOBGO 80WP</v>
      </c>
      <c r="F3617" s="87" t="str">
        <f>IFERROR(__xludf.DUMMYFUNCTION("""COMPUTED_VALUE"""),"HH2902")</f>
        <v>HH2902</v>
      </c>
      <c r="G3617" s="87" t="str">
        <f>IFERROR(__xludf.DUMMYFUNCTION("""COMPUTED_VALUE"""),"GC - IV - 2902 - Cty NANOTECH USA - MANCOZEB (bột xanh) - 1kg - 20")</f>
        <v>GC - IV - 2902 - Cty NANOTECH USA - MANCOZEB (bột xanh) - 1kg - 20</v>
      </c>
    </row>
    <row r="3618">
      <c r="A3618" s="86">
        <f>IFERROR(__xludf.DUMMYFUNCTION("""COMPUTED_VALUE"""),3616.0)</f>
        <v>3616</v>
      </c>
      <c r="B3618" s="87" t="str">
        <f>IFERROR(__xludf.DUMMYFUNCTION("""COMPUTED_VALUE"""),"Nhãn")</f>
        <v>Nhãn</v>
      </c>
      <c r="C3618" s="87" t="str">
        <f>IFERROR(__xludf.DUMMYFUNCTION("""COMPUTED_VALUE"""),"NHG2903")</f>
        <v>NHG2903</v>
      </c>
      <c r="D3618" s="87" t="str">
        <f>IFERROR(__xludf.DUMMYFUNCTION("""COMPUTED_VALUE"""),"[Nhãn] GC - IV - 2903 - Cty Hóa Nông Shino - AMIS JAPANE (Nước xanh bơ sữa) - 250ml - 40")</f>
        <v>[Nhãn] GC - IV - 2903 - Cty Hóa Nông Shino - AMIS JAPANE (Nước xanh bơ sữa) - 250ml - 40</v>
      </c>
      <c r="E3618" s="87" t="str">
        <f>IFERROR(__xludf.DUMMYFUNCTION("""COMPUTED_VALUE"""),"MITOP ONE 390SC")</f>
        <v>MITOP ONE 390SC</v>
      </c>
      <c r="F3618" s="87" t="str">
        <f>IFERROR(__xludf.DUMMYFUNCTION("""COMPUTED_VALUE"""),"HH2903")</f>
        <v>HH2903</v>
      </c>
      <c r="G3618" s="87" t="str">
        <f>IFERROR(__xludf.DUMMYFUNCTION("""COMPUTED_VALUE"""),"GC - IV - 2903 - Cty Hóa Nông Shino - AMIS JAPANE (Nước xanh bơ sữa) - 250ml - 40")</f>
        <v>GC - IV - 2903 - Cty Hóa Nông Shino - AMIS JAPANE (Nước xanh bơ sữa) - 250ml - 40</v>
      </c>
    </row>
    <row r="3619">
      <c r="A3619" s="86">
        <f>IFERROR(__xludf.DUMMYFUNCTION("""COMPUTED_VALUE"""),3617.0)</f>
        <v>3617</v>
      </c>
      <c r="B3619" s="87" t="str">
        <f>IFERROR(__xludf.DUMMYFUNCTION("""COMPUTED_VALUE"""),"Nhãn")</f>
        <v>Nhãn</v>
      </c>
      <c r="C3619" s="87" t="str">
        <f>IFERROR(__xludf.DUMMYFUNCTION("""COMPUTED_VALUE"""),"NHD2904")</f>
        <v>NHD2904</v>
      </c>
      <c r="D3619" s="87" t="str">
        <f>IFERROR(__xludf.DUMMYFUNCTION("""COMPUTED_VALUE"""),"[Nhãn] GC - IV - 2904 - CTY DONA VINA - UNI-STOP ONE (Nước nâu đen) - 1L - 20")</f>
        <v>[Nhãn] GC - IV - 2904 - CTY DONA VINA - UNI-STOP ONE (Nước nâu đen) - 1L - 20</v>
      </c>
      <c r="E3619" s="87" t="str">
        <f>IFERROR(__xludf.DUMMYFUNCTION("""COMPUTED_VALUE"""),"Vi lượng Quantity New")</f>
        <v>Vi lượng Quantity New</v>
      </c>
      <c r="F3619" s="87" t="str">
        <f>IFERROR(__xludf.DUMMYFUNCTION("""COMPUTED_VALUE"""),"HH2904")</f>
        <v>HH2904</v>
      </c>
      <c r="G3619" s="87" t="str">
        <f>IFERROR(__xludf.DUMMYFUNCTION("""COMPUTED_VALUE"""),"GC - IV - 2904 - CTY DONA VINA - UNI-STOP ONE (Nước nâu đen) - 1L - 20")</f>
        <v>GC - IV - 2904 - CTY DONA VINA - UNI-STOP ONE (Nước nâu đen) - 1L - 20</v>
      </c>
    </row>
    <row r="3620">
      <c r="A3620" s="86">
        <f>IFERROR(__xludf.DUMMYFUNCTION("""COMPUTED_VALUE"""),3618.0)</f>
        <v>3618</v>
      </c>
      <c r="B3620" s="87" t="str">
        <f>IFERROR(__xludf.DUMMYFUNCTION("""COMPUTED_VALUE"""),"Nhãn thùng")</f>
        <v>Nhãn thùng</v>
      </c>
      <c r="C3620" s="87" t="str">
        <f>IFERROR(__xludf.DUMMYFUNCTION("""COMPUTED_VALUE"""),"NDT2904")</f>
        <v>NDT2904</v>
      </c>
      <c r="D3620" s="87" t="str">
        <f>IFERROR(__xludf.DUMMYFUNCTION("""COMPUTED_VALUE"""),"[Nhãn thùng] GC - IV - 2904 - CTY DONA VINA - UNI-STOP ONE (Nước nâu đen) - 1L - 20")</f>
        <v>[Nhãn thùng] GC - IV - 2904 - CTY DONA VINA - UNI-STOP ONE (Nước nâu đen) - 1L - 20</v>
      </c>
      <c r="E3620" s="87" t="str">
        <f>IFERROR(__xludf.DUMMYFUNCTION("""COMPUTED_VALUE"""),"Vi lượng Quantity New")</f>
        <v>Vi lượng Quantity New</v>
      </c>
      <c r="F3620" s="87" t="str">
        <f>IFERROR(__xludf.DUMMYFUNCTION("""COMPUTED_VALUE"""),"HH2904")</f>
        <v>HH2904</v>
      </c>
      <c r="G3620" s="87" t="str">
        <f>IFERROR(__xludf.DUMMYFUNCTION("""COMPUTED_VALUE"""),"GC - IV - 2904 - CTY DONA VINA - UNI-STOP ONE (Nước nâu đen) - 1L - 20")</f>
        <v>GC - IV - 2904 - CTY DONA VINA - UNI-STOP ONE (Nước nâu đen) - 1L - 20</v>
      </c>
    </row>
    <row r="3621">
      <c r="A3621" s="86">
        <f>IFERROR(__xludf.DUMMYFUNCTION("""COMPUTED_VALUE"""),3619.0)</f>
        <v>3619</v>
      </c>
      <c r="B3621" s="87" t="str">
        <f>IFERROR(__xludf.DUMMYFUNCTION("""COMPUTED_VALUE"""),"Nhãn")</f>
        <v>Nhãn</v>
      </c>
      <c r="C3621" s="87" t="str">
        <f>IFERROR(__xludf.DUMMYFUNCTION("""COMPUTED_VALUE"""),"NHG2908")</f>
        <v>NHG2908</v>
      </c>
      <c r="D3621" s="87" t="str">
        <f>IFERROR(__xludf.DUMMYFUNCTION("""COMPUTED_VALUE"""),"[Nhãn] GC - IV - 2908 - CTY ACE VN - VUA SÂU (Nước đỏ) - 100ml - 100")</f>
        <v>[Nhãn] GC - IV - 2908 - CTY ACE VN - VUA SÂU (Nước đỏ) - 100ml - 100</v>
      </c>
      <c r="E3621" s="87" t="str">
        <f>IFERROR(__xludf.DUMMYFUNCTION("""COMPUTED_VALUE"""),"Creek 2.1EC")</f>
        <v>Creek 2.1EC</v>
      </c>
      <c r="F3621" s="87" t="str">
        <f>IFERROR(__xludf.DUMMYFUNCTION("""COMPUTED_VALUE"""),"HH2908")</f>
        <v>HH2908</v>
      </c>
      <c r="G3621" s="87" t="str">
        <f>IFERROR(__xludf.DUMMYFUNCTION("""COMPUTED_VALUE"""),"GC - IV - 2908 - CTY ACE VN - VUA SÂU (Nước đỏ) - 100ml - 100")</f>
        <v>GC - IV - 2908 - CTY ACE VN - VUA SÂU (Nước đỏ) - 100ml - 100</v>
      </c>
    </row>
    <row r="3622">
      <c r="A3622" s="86">
        <f>IFERROR(__xludf.DUMMYFUNCTION("""COMPUTED_VALUE"""),3620.0)</f>
        <v>3620</v>
      </c>
      <c r="B3622" s="87" t="str">
        <f>IFERROR(__xludf.DUMMYFUNCTION("""COMPUTED_VALUE"""),"Nhãn thùng")</f>
        <v>Nhãn thùng</v>
      </c>
      <c r="C3622" s="87" t="str">
        <f>IFERROR(__xludf.DUMMYFUNCTION("""COMPUTED_VALUE"""),"NDT2908")</f>
        <v>NDT2908</v>
      </c>
      <c r="D3622" s="87" t="str">
        <f>IFERROR(__xludf.DUMMYFUNCTION("""COMPUTED_VALUE"""),"[Nhãn thùng] GC - IV - 2908 - CTY ACE VN - VUA SÂU (Nước đỏ) - 100ml - 100")</f>
        <v>[Nhãn thùng] GC - IV - 2908 - CTY ACE VN - VUA SÂU (Nước đỏ) - 100ml - 100</v>
      </c>
      <c r="E3622" s="87" t="str">
        <f>IFERROR(__xludf.DUMMYFUNCTION("""COMPUTED_VALUE"""),"Creek 2.1EC")</f>
        <v>Creek 2.1EC</v>
      </c>
      <c r="F3622" s="87" t="str">
        <f>IFERROR(__xludf.DUMMYFUNCTION("""COMPUTED_VALUE"""),"HH2908")</f>
        <v>HH2908</v>
      </c>
      <c r="G3622" s="87" t="str">
        <f>IFERROR(__xludf.DUMMYFUNCTION("""COMPUTED_VALUE"""),"GC - IV - 2908 - CTY ACE VN - VUA SÂU (Nước đỏ) - 100ml - 100")</f>
        <v>GC - IV - 2908 - CTY ACE VN - VUA SÂU (Nước đỏ) - 100ml - 100</v>
      </c>
    </row>
    <row r="3623">
      <c r="A3623" s="86">
        <f>IFERROR(__xludf.DUMMYFUNCTION("""COMPUTED_VALUE"""),3621.0)</f>
        <v>3621</v>
      </c>
      <c r="B3623" s="87" t="str">
        <f>IFERROR(__xludf.DUMMYFUNCTION("""COMPUTED_VALUE"""),"Nhãn")</f>
        <v>Nhãn</v>
      </c>
      <c r="C3623" s="87" t="str">
        <f>IFERROR(__xludf.DUMMYFUNCTION("""COMPUTED_VALUE"""),"NHG2909")</f>
        <v>NHG2909</v>
      </c>
      <c r="D3623" s="87" t="str">
        <f>IFERROR(__xludf.DUMMYFUNCTION("""COMPUTED_VALUE"""),"[Nhãn] IDA Global - I - 2909 - CA MAP 350SC - TRÂU VÀNG (Nước trắng sữa) - 240ml - 40")</f>
        <v>[Nhãn] IDA Global - I - 2909 - CA MAP 350SC - TRÂU VÀNG (Nước trắng sữa) - 240ml - 40</v>
      </c>
      <c r="E3623" s="87" t="str">
        <f>IFERROR(__xludf.DUMMYFUNCTION("""COMPUTED_VALUE"""),"CA MAP 350SC")</f>
        <v>CA MAP 350SC</v>
      </c>
      <c r="F3623" s="87" t="str">
        <f>IFERROR(__xludf.DUMMYFUNCTION("""COMPUTED_VALUE"""),"HH2909")</f>
        <v>HH2909</v>
      </c>
      <c r="G3623" s="87" t="str">
        <f>IFERROR(__xludf.DUMMYFUNCTION("""COMPUTED_VALUE"""),"IDA Global - I - 2909 - CA MAP 350SC - TRÂU VÀNG (Nước trắng sữa) - 240ml - 40")</f>
        <v>IDA Global - I - 2909 - CA MAP 350SC - TRÂU VÀNG (Nước trắng sữa) - 240ml - 40</v>
      </c>
    </row>
    <row r="3624">
      <c r="A3624" s="86">
        <f>IFERROR(__xludf.DUMMYFUNCTION("""COMPUTED_VALUE"""),3622.0)</f>
        <v>3622</v>
      </c>
      <c r="B3624" s="87" t="str">
        <f>IFERROR(__xludf.DUMMYFUNCTION("""COMPUTED_VALUE"""),"Nhãn")</f>
        <v>Nhãn</v>
      </c>
      <c r="C3624" s="87" t="str">
        <f>IFERROR(__xludf.DUMMYFUNCTION("""COMPUTED_VALUE"""),"NHD2910")</f>
        <v>NHD2910</v>
      </c>
      <c r="D3624" s="87" t="str">
        <f>IFERROR(__xludf.DUMMYFUNCTION("""COMPUTED_VALUE"""),"[Nhãn] NB - IV - 2910 - Hưng Thắng Lợi Gia Lai - Tiger five 5EC - 20L - 1")</f>
        <v>[Nhãn] NB - IV - 2910 - Hưng Thắng Lợi Gia Lai - Tiger five 5EC - 20L - 1</v>
      </c>
      <c r="E3624" s="87" t="str">
        <f>IFERROR(__xludf.DUMMYFUNCTION("""COMPUTED_VALUE"""),"Tiger five 5EC")</f>
        <v>Tiger five 5EC</v>
      </c>
      <c r="F3624" s="87" t="str">
        <f>IFERROR(__xludf.DUMMYFUNCTION("""COMPUTED_VALUE"""),"HH2910")</f>
        <v>HH2910</v>
      </c>
      <c r="G3624" s="87" t="str">
        <f>IFERROR(__xludf.DUMMYFUNCTION("""COMPUTED_VALUE"""),"NB - IV - 2910 - Hưng Thắng Lợi Gia Lai - Tiger five 5EC - 20L - 1")</f>
        <v>NB - IV - 2910 - Hưng Thắng Lợi Gia Lai - Tiger five 5EC - 20L - 1</v>
      </c>
    </row>
    <row r="3625">
      <c r="A3625" s="86">
        <f>IFERROR(__xludf.DUMMYFUNCTION("""COMPUTED_VALUE"""),3623.0)</f>
        <v>3623</v>
      </c>
      <c r="B3625" s="87" t="str">
        <f>IFERROR(__xludf.DUMMYFUNCTION("""COMPUTED_VALUE"""),"Nhãn")</f>
        <v>Nhãn</v>
      </c>
      <c r="C3625" s="87" t="str">
        <f>IFERROR(__xludf.DUMMYFUNCTION("""COMPUTED_VALUE"""),"NHG2911")</f>
        <v>NHG2911</v>
      </c>
      <c r="D3625" s="87" t="str">
        <f>IFERROR(__xludf.DUMMYFUNCTION("""COMPUTED_VALUE"""),"[Nhãn] GC - IV - 2911 - NEWTECH CROP SCIENCE - JAPA VIL 110SC (Nước trắng sữa) - 1L - 20")</f>
        <v>[Nhãn] GC - IV - 2911 - NEWTECH CROP SCIENCE - JAPA VIL 110SC (Nước trắng sữa) - 1L - 20</v>
      </c>
      <c r="E3625" s="87" t="str">
        <f>IFERROR(__xludf.DUMMYFUNCTION("""COMPUTED_VALUE"""),"JAPA VIL 110SC")</f>
        <v>JAPA VIL 110SC</v>
      </c>
      <c r="F3625" s="87" t="str">
        <f>IFERROR(__xludf.DUMMYFUNCTION("""COMPUTED_VALUE"""),"HH2911")</f>
        <v>HH2911</v>
      </c>
      <c r="G3625" s="87" t="str">
        <f>IFERROR(__xludf.DUMMYFUNCTION("""COMPUTED_VALUE"""),"GC - IV - 2911 - NEWTECH CROP SCIENCE - JAPA VIL 110SC (Nước trắng sữa) - 1L - 20")</f>
        <v>GC - IV - 2911 - NEWTECH CROP SCIENCE - JAPA VIL 110SC (Nước trắng sữa) - 1L - 20</v>
      </c>
    </row>
    <row r="3626">
      <c r="A3626" s="86">
        <f>IFERROR(__xludf.DUMMYFUNCTION("""COMPUTED_VALUE"""),3624.0)</f>
        <v>3624</v>
      </c>
      <c r="B3626" s="87" t="str">
        <f>IFERROR(__xludf.DUMMYFUNCTION("""COMPUTED_VALUE"""),"Nhãn thùng")</f>
        <v>Nhãn thùng</v>
      </c>
      <c r="C3626" s="87" t="str">
        <f>IFERROR(__xludf.DUMMYFUNCTION("""COMPUTED_VALUE"""),"NDT2911")</f>
        <v>NDT2911</v>
      </c>
      <c r="D3626" s="87" t="str">
        <f>IFERROR(__xludf.DUMMYFUNCTION("""COMPUTED_VALUE"""),"[Nhãn thùng] GC - IV - 2911 - NEWTECH CROP SCIENCE - JAPA VIL 110SC (Nước trắng sữa) - 1L - 20")</f>
        <v>[Nhãn thùng] GC - IV - 2911 - NEWTECH CROP SCIENCE - JAPA VIL 110SC (Nước trắng sữa) - 1L - 20</v>
      </c>
      <c r="E3626" s="87" t="str">
        <f>IFERROR(__xludf.DUMMYFUNCTION("""COMPUTED_VALUE"""),"JAPA VIL 110SC")</f>
        <v>JAPA VIL 110SC</v>
      </c>
      <c r="F3626" s="87" t="str">
        <f>IFERROR(__xludf.DUMMYFUNCTION("""COMPUTED_VALUE"""),"HH2911")</f>
        <v>HH2911</v>
      </c>
      <c r="G3626" s="87" t="str">
        <f>IFERROR(__xludf.DUMMYFUNCTION("""COMPUTED_VALUE"""),"GC - IV - 2911 - NEWTECH CROP SCIENCE - JAPA VIL 110SC (Nước trắng sữa) - 1L - 20")</f>
        <v>GC - IV - 2911 - NEWTECH CROP SCIENCE - JAPA VIL 110SC (Nước trắng sữa) - 1L - 20</v>
      </c>
    </row>
    <row r="3627">
      <c r="A3627" s="86">
        <f>IFERROR(__xludf.DUMMYFUNCTION("""COMPUTED_VALUE"""),3625.0)</f>
        <v>3625</v>
      </c>
      <c r="B3627" s="87" t="str">
        <f>IFERROR(__xludf.DUMMYFUNCTION("""COMPUTED_VALUE"""),"Nhãn")</f>
        <v>Nhãn</v>
      </c>
      <c r="C3627" s="87" t="str">
        <f>IFERROR(__xludf.DUMMYFUNCTION("""COMPUTED_VALUE"""),"NHG2912")</f>
        <v>NHG2912</v>
      </c>
      <c r="D3627" s="87" t="str">
        <f>IFERROR(__xludf.DUMMYFUNCTION("""COMPUTED_VALUE"""),"[Nhãn] GC - IV - 2912 - CTY VẠN TRƯỜNG THỊNH - NUTI ROOTS 04 (Nước nâu đen) - 500ml - 40​")</f>
        <v>[Nhãn] GC - IV - 2912 - CTY VẠN TRƯỜNG THỊNH - NUTI ROOTS 04 (Nước nâu đen) - 500ml - 40​</v>
      </c>
      <c r="E3627" s="87" t="str">
        <f>IFERROR(__xludf.DUMMYFUNCTION("""COMPUTED_VALUE"""),"Hữu cơ WIN STALK")</f>
        <v>Hữu cơ WIN STALK</v>
      </c>
      <c r="F3627" s="87" t="str">
        <f>IFERROR(__xludf.DUMMYFUNCTION("""COMPUTED_VALUE"""),"HH2912")</f>
        <v>HH2912</v>
      </c>
      <c r="G3627" s="87" t="str">
        <f>IFERROR(__xludf.DUMMYFUNCTION("""COMPUTED_VALUE"""),"GC - IV - 2912 - CTY VẠN TRƯỜNG THỊNH - NUTI ROOTS 04 (Nước nâu đen) - 500ml - 40​")</f>
        <v>GC - IV - 2912 - CTY VẠN TRƯỜNG THỊNH - NUTI ROOTS 04 (Nước nâu đen) - 500ml - 40​</v>
      </c>
    </row>
    <row r="3628">
      <c r="A3628" s="86">
        <f>IFERROR(__xludf.DUMMYFUNCTION("""COMPUTED_VALUE"""),3626.0)</f>
        <v>3626</v>
      </c>
      <c r="B3628" s="87" t="str">
        <f>IFERROR(__xludf.DUMMYFUNCTION("""COMPUTED_VALUE"""),"Nhãn")</f>
        <v>Nhãn</v>
      </c>
      <c r="C3628" s="87" t="str">
        <f>IFERROR(__xludf.DUMMYFUNCTION("""COMPUTED_VALUE"""),"NHG2913")</f>
        <v>NHG2913</v>
      </c>
      <c r="D3628" s="87" t="str">
        <f>IFERROR(__xludf.DUMMYFUNCTION("""COMPUTED_VALUE"""),"[Nhãn] GC - IV - 2913 - CTY VẠN TRƯỜNG THỊNH - NUTI RICE MAX 02 (Nước nâu đen) - 500ml - 40")</f>
        <v>[Nhãn] GC - IV - 2913 - CTY VẠN TRƯỜNG THỊNH - NUTI RICE MAX 02 (Nước nâu đen) - 500ml - 40</v>
      </c>
      <c r="E3628" s="87" t="str">
        <f>IFERROR(__xludf.DUMMYFUNCTION("""COMPUTED_VALUE"""),"Hữu cơ FUSEMIN COMBI+")</f>
        <v>Hữu cơ FUSEMIN COMBI+</v>
      </c>
      <c r="F3628" s="87" t="str">
        <f>IFERROR(__xludf.DUMMYFUNCTION("""COMPUTED_VALUE"""),"HH2913")</f>
        <v>HH2913</v>
      </c>
      <c r="G3628" s="87" t="str">
        <f>IFERROR(__xludf.DUMMYFUNCTION("""COMPUTED_VALUE"""),"GC - IV - 2913 - CTY VẠN TRƯỜNG THỊNH - NUTI RICE MAX 02 (Nước nâu đen) - 500ml - 40")</f>
        <v>GC - IV - 2913 - CTY VẠN TRƯỜNG THỊNH - NUTI RICE MAX 02 (Nước nâu đen) - 500ml - 40</v>
      </c>
    </row>
    <row r="3629">
      <c r="A3629" s="86">
        <f>IFERROR(__xludf.DUMMYFUNCTION("""COMPUTED_VALUE"""),3627.0)</f>
        <v>3627</v>
      </c>
      <c r="B3629" s="87" t="str">
        <f>IFERROR(__xludf.DUMMYFUNCTION("""COMPUTED_VALUE"""),"Nhãn")</f>
        <v>Nhãn</v>
      </c>
      <c r="C3629" s="87" t="str">
        <f>IFERROR(__xludf.DUMMYFUNCTION("""COMPUTED_VALUE"""),"NTN2914")</f>
        <v>NTN2914</v>
      </c>
      <c r="D3629" s="87" t="str">
        <f>IFERROR(__xludf.DUMMYFUNCTION("""COMPUTED_VALUE"""),"[Nhãn] GC - IV - 2914 - SEN HỒNG - ĐỤC THÂN NEW (Bột trắng ngà) - 100g - 100")</f>
        <v>[Nhãn] GC - IV - 2914 - SEN HỒNG - ĐỤC THÂN NEW (Bột trắng ngà) - 100g - 100</v>
      </c>
      <c r="E3629" s="87" t="str">
        <f>IFERROR(__xludf.DUMMYFUNCTION("""COMPUTED_VALUE"""),"FORVIN 85WP")</f>
        <v>FORVIN 85WP</v>
      </c>
      <c r="F3629" s="87" t="str">
        <f>IFERROR(__xludf.DUMMYFUNCTION("""COMPUTED_VALUE"""),"HH2914")</f>
        <v>HH2914</v>
      </c>
      <c r="G3629" s="87" t="str">
        <f>IFERROR(__xludf.DUMMYFUNCTION("""COMPUTED_VALUE"""),"GC - IV - 2914 - SEN HỒNG - ĐỤC THÂN NEW (Bột trắng ngà) - 100g - 100")</f>
        <v>GC - IV - 2914 - SEN HỒNG - ĐỤC THÂN NEW (Bột trắng ngà) - 100g - 100</v>
      </c>
    </row>
    <row r="3630">
      <c r="A3630" s="86">
        <f>IFERROR(__xludf.DUMMYFUNCTION("""COMPUTED_VALUE"""),3628.0)</f>
        <v>3628</v>
      </c>
      <c r="B3630" s="87" t="str">
        <f>IFERROR(__xludf.DUMMYFUNCTION("""COMPUTED_VALUE"""),"Nhãn thùng")</f>
        <v>Nhãn thùng</v>
      </c>
      <c r="C3630" s="87" t="str">
        <f>IFERROR(__xludf.DUMMYFUNCTION("""COMPUTED_VALUE"""),"NDT2914")</f>
        <v>NDT2914</v>
      </c>
      <c r="D3630" s="87" t="str">
        <f>IFERROR(__xludf.DUMMYFUNCTION("""COMPUTED_VALUE"""),"[Nhãn thùng] GC - IV - 2914 - SEN HỒNG - ĐỤC THÂN NEW (Bột trắng ngà) - 100g - 100")</f>
        <v>[Nhãn thùng] GC - IV - 2914 - SEN HỒNG - ĐỤC THÂN NEW (Bột trắng ngà) - 100g - 100</v>
      </c>
      <c r="E3630" s="87" t="str">
        <f>IFERROR(__xludf.DUMMYFUNCTION("""COMPUTED_VALUE"""),"FORVIN 85WP")</f>
        <v>FORVIN 85WP</v>
      </c>
      <c r="F3630" s="87" t="str">
        <f>IFERROR(__xludf.DUMMYFUNCTION("""COMPUTED_VALUE"""),"HH2914")</f>
        <v>HH2914</v>
      </c>
      <c r="G3630" s="87" t="str">
        <f>IFERROR(__xludf.DUMMYFUNCTION("""COMPUTED_VALUE"""),"GC - IV - 2914 - SEN HỒNG - ĐỤC THÂN NEW (Bột trắng ngà) - 100g - 100")</f>
        <v>GC - IV - 2914 - SEN HỒNG - ĐỤC THÂN NEW (Bột trắng ngà) - 100g - 100</v>
      </c>
    </row>
    <row r="3631">
      <c r="A3631" s="86">
        <f>IFERROR(__xludf.DUMMYFUNCTION("""COMPUTED_VALUE"""),3629.0)</f>
        <v>3629</v>
      </c>
      <c r="B3631" s="87" t="str">
        <f>IFERROR(__xludf.DUMMYFUNCTION("""COMPUTED_VALUE"""),"Nhãn")</f>
        <v>Nhãn</v>
      </c>
      <c r="C3631" s="87" t="str">
        <f>IFERROR(__xludf.DUMMYFUNCTION("""COMPUTED_VALUE"""),"NTN2915")</f>
        <v>NTN2915</v>
      </c>
      <c r="D3631" s="87" t="str">
        <f>IFERROR(__xludf.DUMMYFUNCTION("""COMPUTED_VALUE"""),"[Nhãn] GC - II - 2915 - CSSX AN KHANG - THALONIL 75WP (Bột màu trắng) - 100gr - 100")</f>
        <v>[Nhãn] GC - II - 2915 - CSSX AN KHANG - THALONIL 75WP (Bột màu trắng) - 100gr - 100</v>
      </c>
      <c r="E3631" s="87"/>
      <c r="F3631" s="87"/>
      <c r="G3631" s="87"/>
    </row>
    <row r="3632">
      <c r="A3632" s="86">
        <f>IFERROR(__xludf.DUMMYFUNCTION("""COMPUTED_VALUE"""),3630.0)</f>
        <v>3630</v>
      </c>
      <c r="B3632" s="87" t="str">
        <f>IFERROR(__xludf.DUMMYFUNCTION("""COMPUTED_VALUE"""),"ABA")</f>
        <v>ABA</v>
      </c>
      <c r="C3632" s="87" t="str">
        <f>IFERROR(__xludf.DUMMYFUNCTION("""COMPUTED_VALUE"""),"120ml")</f>
        <v>120ml</v>
      </c>
      <c r="D3632" s="87" t="str">
        <f>IFERROR(__xludf.DUMMYFUNCTION("""COMPUTED_VALUE"""),"100")</f>
        <v>100</v>
      </c>
      <c r="E3632" s="87" t="str">
        <f>IFERROR(__xludf.DUMMYFUNCTION("""COMPUTED_VALUE"""),"Nhãn giấy cán bóng")</f>
        <v>Nhãn giấy cán bóng</v>
      </c>
      <c r="F3632" s="87" t="str">
        <f>IFERROR(__xludf.DUMMYFUNCTION("""COMPUTED_VALUE"""),"Cái")</f>
        <v>Cái</v>
      </c>
      <c r="G3632" s="87"/>
    </row>
    <row r="3633">
      <c r="A3633" s="86">
        <f>IFERROR(__xludf.DUMMYFUNCTION("""COMPUTED_VALUE"""),3631.0)</f>
        <v>3631</v>
      </c>
      <c r="B3633" s="87" t="str">
        <f>IFERROR(__xludf.DUMMYFUNCTION("""COMPUTED_VALUE"""),"Nhãn thùng")</f>
        <v>Nhãn thùng</v>
      </c>
      <c r="C3633" s="87" t="str">
        <f>IFERROR(__xludf.DUMMYFUNCTION("""COMPUTED_VALUE"""),"NDT2915")</f>
        <v>NDT2915</v>
      </c>
      <c r="D3633" s="87" t="str">
        <f>IFERROR(__xludf.DUMMYFUNCTION("""COMPUTED_VALUE"""),"[Nhãn thùng] GC - II - 2915 - CSSX AN KHANG - THALONIL 75WP (Bột màu trắng) - 100gr - 100")</f>
        <v>[Nhãn thùng] GC - II - 2915 - CSSX AN KHANG - THALONIL 75WP (Bột màu trắng) - 100gr - 100</v>
      </c>
      <c r="E3633" s="87"/>
      <c r="F3633" s="87"/>
      <c r="G3633" s="87"/>
    </row>
    <row r="3634">
      <c r="A3634" s="86">
        <f>IFERROR(__xludf.DUMMYFUNCTION("""COMPUTED_VALUE"""),3632.0)</f>
        <v>3632</v>
      </c>
      <c r="B3634" s="87" t="str">
        <f>IFERROR(__xludf.DUMMYFUNCTION("""COMPUTED_VALUE"""),"ABA")</f>
        <v>ABA</v>
      </c>
      <c r="C3634" s="87" t="str">
        <f>IFERROR(__xludf.DUMMYFUNCTION("""COMPUTED_VALUE"""),"450ml")</f>
        <v>450ml</v>
      </c>
      <c r="D3634" s="87" t="str">
        <f>IFERROR(__xludf.DUMMYFUNCTION("""COMPUTED_VALUE"""),"40")</f>
        <v>40</v>
      </c>
      <c r="E3634" s="87" t="str">
        <f>IFERROR(__xludf.DUMMYFUNCTION("""COMPUTED_VALUE"""),"Nhãn giấy cán bóng")</f>
        <v>Nhãn giấy cán bóng</v>
      </c>
      <c r="F3634" s="87" t="str">
        <f>IFERROR(__xludf.DUMMYFUNCTION("""COMPUTED_VALUE"""),"Cái")</f>
        <v>Cái</v>
      </c>
      <c r="G3634" s="87"/>
    </row>
    <row r="3635">
      <c r="A3635" s="86">
        <f>IFERROR(__xludf.DUMMYFUNCTION("""COMPUTED_VALUE"""),3633.0)</f>
        <v>3633</v>
      </c>
      <c r="B3635" s="87" t="str">
        <f>IFERROR(__xludf.DUMMYFUNCTION("""COMPUTED_VALUE"""),"Nhãn")</f>
        <v>Nhãn</v>
      </c>
      <c r="C3635" s="87" t="str">
        <f>IFERROR(__xludf.DUMMYFUNCTION("""COMPUTED_VALUE"""),"NHD2916")</f>
        <v>NHD2916</v>
      </c>
      <c r="D3635" s="87" t="str">
        <f>IFERROR(__xludf.DUMMYFUNCTION("""COMPUTED_VALUE"""),"[Nhãn] GC - IV - 2916 - VTNN Bảy Phận - SIÊU XÔNG HƠI (Nước đỏ) - 450ml - 40")</f>
        <v>[Nhãn] GC - IV - 2916 - VTNN Bảy Phận - SIÊU XÔNG HƠI (Nước đỏ) - 450ml - 40</v>
      </c>
      <c r="E3635" s="87" t="str">
        <f>IFERROR(__xludf.DUMMYFUNCTION("""COMPUTED_VALUE"""),"PYXOATE 44EC")</f>
        <v>PYXOATE 44EC</v>
      </c>
      <c r="F3635" s="87" t="str">
        <f>IFERROR(__xludf.DUMMYFUNCTION("""COMPUTED_VALUE"""),"HH2916")</f>
        <v>HH2916</v>
      </c>
      <c r="G3635" s="87" t="str">
        <f>IFERROR(__xludf.DUMMYFUNCTION("""COMPUTED_VALUE"""),"GC - IV - 2916 - VTNN Bảy Phận - SIÊU XÔNG HƠI (Nước đỏ) - 450ml - 40")</f>
        <v>GC - IV - 2916 - VTNN Bảy Phận - SIÊU XÔNG HƠI (Nước đỏ) - 450ml - 40</v>
      </c>
    </row>
    <row r="3636">
      <c r="A3636" s="86">
        <f>IFERROR(__xludf.DUMMYFUNCTION("""COMPUTED_VALUE"""),3634.0)</f>
        <v>3634</v>
      </c>
      <c r="B3636" s="87" t="str">
        <f>IFERROR(__xludf.DUMMYFUNCTION("""COMPUTED_VALUE"""),"Nhãn thùng")</f>
        <v>Nhãn thùng</v>
      </c>
      <c r="C3636" s="87" t="str">
        <f>IFERROR(__xludf.DUMMYFUNCTION("""COMPUTED_VALUE"""),"NDT2916")</f>
        <v>NDT2916</v>
      </c>
      <c r="D3636" s="87" t="str">
        <f>IFERROR(__xludf.DUMMYFUNCTION("""COMPUTED_VALUE"""),"[Nhãn thùng] GC - IV - 2916 - VTNN Bảy Phận - SIÊU XÔNG HƠI (Nước đỏ) - 450ml - 40")</f>
        <v>[Nhãn thùng] GC - IV - 2916 - VTNN Bảy Phận - SIÊU XÔNG HƠI (Nước đỏ) - 450ml - 40</v>
      </c>
      <c r="E3636" s="87" t="str">
        <f>IFERROR(__xludf.DUMMYFUNCTION("""COMPUTED_VALUE"""),"PYXOATE 44EC")</f>
        <v>PYXOATE 44EC</v>
      </c>
      <c r="F3636" s="87" t="str">
        <f>IFERROR(__xludf.DUMMYFUNCTION("""COMPUTED_VALUE"""),"HH2916")</f>
        <v>HH2916</v>
      </c>
      <c r="G3636" s="87" t="str">
        <f>IFERROR(__xludf.DUMMYFUNCTION("""COMPUTED_VALUE"""),"GC - IV - 2916 - VTNN Bảy Phận - SIÊU XÔNG HƠI (Nước đỏ) - 450ml - 40")</f>
        <v>GC - IV - 2916 - VTNN Bảy Phận - SIÊU XÔNG HƠI (Nước đỏ) - 450ml - 40</v>
      </c>
    </row>
    <row r="3637">
      <c r="A3637" s="86">
        <f>IFERROR(__xludf.DUMMYFUNCTION("""COMPUTED_VALUE"""),3635.0)</f>
        <v>3635</v>
      </c>
      <c r="B3637" s="87" t="str">
        <f>IFERROR(__xludf.DUMMYFUNCTION("""COMPUTED_VALUE"""),"Nhãn")</f>
        <v>Nhãn</v>
      </c>
      <c r="C3637" s="87" t="str">
        <f>IFERROR(__xludf.DUMMYFUNCTION("""COMPUTED_VALUE"""),"NHD2917")</f>
        <v>NHD2917</v>
      </c>
      <c r="D3637" s="87" t="str">
        <f>IFERROR(__xludf.DUMMYFUNCTION("""COMPUTED_VALUE"""),"[Nhãn] GC - IV - 2917 - Cty Kim Ngọc - PANACEA (nước đỏ) - 250ml - 40")</f>
        <v>[Nhãn] GC - IV - 2917 - Cty Kim Ngọc - PANACEA (nước đỏ) - 250ml - 40</v>
      </c>
      <c r="E3637" s="87" t="str">
        <f>IFERROR(__xludf.DUMMYFUNCTION("""COMPUTED_VALUE"""),"GENOL 1.2SL")</f>
        <v>GENOL 1.2SL</v>
      </c>
      <c r="F3637" s="87" t="str">
        <f>IFERROR(__xludf.DUMMYFUNCTION("""COMPUTED_VALUE"""),"HH2917")</f>
        <v>HH2917</v>
      </c>
      <c r="G3637" s="87" t="str">
        <f>IFERROR(__xludf.DUMMYFUNCTION("""COMPUTED_VALUE"""),"GC - IV - 2917 - Cty Kim Ngọc - PANACEA (nước đỏ) - 250ml - 40")</f>
        <v>GC - IV - 2917 - Cty Kim Ngọc - PANACEA (nước đỏ) - 250ml - 40</v>
      </c>
    </row>
    <row r="3638">
      <c r="A3638" s="86">
        <f>IFERROR(__xludf.DUMMYFUNCTION("""COMPUTED_VALUE"""),3636.0)</f>
        <v>3636</v>
      </c>
      <c r="B3638" s="87" t="str">
        <f>IFERROR(__xludf.DUMMYFUNCTION("""COMPUTED_VALUE"""),"Nhãn thùng")</f>
        <v>Nhãn thùng</v>
      </c>
      <c r="C3638" s="87" t="str">
        <f>IFERROR(__xludf.DUMMYFUNCTION("""COMPUTED_VALUE"""),"NDT2917")</f>
        <v>NDT2917</v>
      </c>
      <c r="D3638" s="87" t="str">
        <f>IFERROR(__xludf.DUMMYFUNCTION("""COMPUTED_VALUE"""),"[Nhãn thùng] GC - IV - 2917 - Cty Kim Ngọc - PANACEA (nước đỏ) - 250ml - 40")</f>
        <v>[Nhãn thùng] GC - IV - 2917 - Cty Kim Ngọc - PANACEA (nước đỏ) - 250ml - 40</v>
      </c>
      <c r="E3638" s="87" t="str">
        <f>IFERROR(__xludf.DUMMYFUNCTION("""COMPUTED_VALUE"""),"GENOL 1.2SL")</f>
        <v>GENOL 1.2SL</v>
      </c>
      <c r="F3638" s="87" t="str">
        <f>IFERROR(__xludf.DUMMYFUNCTION("""COMPUTED_VALUE"""),"HH2917")</f>
        <v>HH2917</v>
      </c>
      <c r="G3638" s="87" t="str">
        <f>IFERROR(__xludf.DUMMYFUNCTION("""COMPUTED_VALUE"""),"GC - IV - 2917 - Cty Kim Ngọc - PANACEA (nước đỏ) - 250ml - 40")</f>
        <v>GC - IV - 2917 - Cty Kim Ngọc - PANACEA (nước đỏ) - 250ml - 40</v>
      </c>
    </row>
    <row r="3639">
      <c r="A3639" s="86">
        <f>IFERROR(__xludf.DUMMYFUNCTION("""COMPUTED_VALUE"""),3637.0)</f>
        <v>3637</v>
      </c>
      <c r="B3639" s="87" t="str">
        <f>IFERROR(__xludf.DUMMYFUNCTION("""COMPUTED_VALUE"""),"Nhãn")</f>
        <v>Nhãn</v>
      </c>
      <c r="C3639" s="87" t="str">
        <f>IFERROR(__xludf.DUMMYFUNCTION("""COMPUTED_VALUE"""),"NHD2918")</f>
        <v>NHD2918</v>
      </c>
      <c r="D3639" s="87" t="str">
        <f>IFERROR(__xludf.DUMMYFUNCTION("""COMPUTED_VALUE"""),"[Nhãn] GC - IV - 2918 - CTY DONA VINA - BIO GREEN ORGANIC (Nước nâu đen) - 5L - 4")</f>
        <v>[Nhãn] GC - IV - 2918 - CTY DONA VINA - BIO GREEN ORGANIC (Nước nâu đen) - 5L - 4</v>
      </c>
      <c r="E3639" s="87" t="str">
        <f>IFERROR(__xludf.DUMMYFUNCTION("""COMPUTED_VALUE"""),"Hữu cơ Organic BM Gold  FW")</f>
        <v>Hữu cơ Organic BM Gold  FW</v>
      </c>
      <c r="F3639" s="87" t="str">
        <f>IFERROR(__xludf.DUMMYFUNCTION("""COMPUTED_VALUE"""),"HH2918")</f>
        <v>HH2918</v>
      </c>
      <c r="G3639" s="87" t="str">
        <f>IFERROR(__xludf.DUMMYFUNCTION("""COMPUTED_VALUE"""),"GC - IV - 2918 - CTY DONA VINA - BIO GREEN ORGANIC (Nước nâu đen) - 5L - 4")</f>
        <v>GC - IV - 2918 - CTY DONA VINA - BIO GREEN ORGANIC (Nước nâu đen) - 5L - 4</v>
      </c>
    </row>
    <row r="3640">
      <c r="A3640" s="86">
        <f>IFERROR(__xludf.DUMMYFUNCTION("""COMPUTED_VALUE"""),3638.0)</f>
        <v>3638</v>
      </c>
      <c r="B3640" s="87" t="str">
        <f>IFERROR(__xludf.DUMMYFUNCTION("""COMPUTED_VALUE"""),"Nhãn thùng")</f>
        <v>Nhãn thùng</v>
      </c>
      <c r="C3640" s="87" t="str">
        <f>IFERROR(__xludf.DUMMYFUNCTION("""COMPUTED_VALUE"""),"NDT2918")</f>
        <v>NDT2918</v>
      </c>
      <c r="D3640" s="87" t="str">
        <f>IFERROR(__xludf.DUMMYFUNCTION("""COMPUTED_VALUE"""),"[Nhãn thùng] GC - IV - 2918 - CTY DONA VINA - BIO GREEN ORGANIC (Nước nâu đen) - 5L - 4")</f>
        <v>[Nhãn thùng] GC - IV - 2918 - CTY DONA VINA - BIO GREEN ORGANIC (Nước nâu đen) - 5L - 4</v>
      </c>
      <c r="E3640" s="87" t="str">
        <f>IFERROR(__xludf.DUMMYFUNCTION("""COMPUTED_VALUE"""),"Hữu cơ Organic BM Gold  FW")</f>
        <v>Hữu cơ Organic BM Gold  FW</v>
      </c>
      <c r="F3640" s="87" t="str">
        <f>IFERROR(__xludf.DUMMYFUNCTION("""COMPUTED_VALUE"""),"HH2918")</f>
        <v>HH2918</v>
      </c>
      <c r="G3640" s="87" t="str">
        <f>IFERROR(__xludf.DUMMYFUNCTION("""COMPUTED_VALUE"""),"GC - IV - 2918 - CTY DONA VINA - BIO GREEN ORGANIC (Nước nâu đen) - 5L - 4")</f>
        <v>GC - IV - 2918 - CTY DONA VINA - BIO GREEN ORGANIC (Nước nâu đen) - 5L - 4</v>
      </c>
    </row>
    <row r="3641">
      <c r="A3641" s="86">
        <f>IFERROR(__xludf.DUMMYFUNCTION("""COMPUTED_VALUE"""),3639.0)</f>
        <v>3639</v>
      </c>
      <c r="B3641" s="87" t="str">
        <f>IFERROR(__xludf.DUMMYFUNCTION("""COMPUTED_VALUE"""),"Nhãn")</f>
        <v>Nhãn</v>
      </c>
      <c r="C3641" s="87" t="str">
        <f>IFERROR(__xludf.DUMMYFUNCTION("""COMPUTED_VALUE"""),"NHD2919")</f>
        <v>NHD2919</v>
      </c>
      <c r="D3641" s="87" t="str">
        <f>IFERROR(__xludf.DUMMYFUNCTION("""COMPUTED_VALUE"""),"[Nhãn] GC - IV - 2919 - THẾ DANH - HAIHAMEC 3.6EC (Nước trong) - 450ml - 40")</f>
        <v>[Nhãn] GC - IV - 2919 - THẾ DANH - HAIHAMEC 3.6EC (Nước trong) - 450ml - 40</v>
      </c>
      <c r="E3641" s="87" t="str">
        <f>IFERROR(__xludf.DUMMYFUNCTION("""COMPUTED_VALUE"""),"HAIHAMEC 3.6EC")</f>
        <v>HAIHAMEC 3.6EC</v>
      </c>
      <c r="F3641" s="87" t="str">
        <f>IFERROR(__xludf.DUMMYFUNCTION("""COMPUTED_VALUE"""),"HH2919")</f>
        <v>HH2919</v>
      </c>
      <c r="G3641" s="87" t="str">
        <f>IFERROR(__xludf.DUMMYFUNCTION("""COMPUTED_VALUE"""),"GC - IV - 2919 - THẾ DANH - HAIHAMEC 3.6EC (Nước trong) - 450ml - 40")</f>
        <v>GC - IV - 2919 - THẾ DANH - HAIHAMEC 3.6EC (Nước trong) - 450ml - 40</v>
      </c>
    </row>
    <row r="3642">
      <c r="A3642" s="86">
        <f>IFERROR(__xludf.DUMMYFUNCTION("""COMPUTED_VALUE"""),3640.0)</f>
        <v>3640</v>
      </c>
      <c r="B3642" s="87" t="str">
        <f>IFERROR(__xludf.DUMMYFUNCTION("""COMPUTED_VALUE"""),"Nhãn thùng")</f>
        <v>Nhãn thùng</v>
      </c>
      <c r="C3642" s="87" t="str">
        <f>IFERROR(__xludf.DUMMYFUNCTION("""COMPUTED_VALUE"""),"NDT2919")</f>
        <v>NDT2919</v>
      </c>
      <c r="D3642" s="87" t="str">
        <f>IFERROR(__xludf.DUMMYFUNCTION("""COMPUTED_VALUE"""),"[Nhãn thùng] GC - IV - 2919 - THẾ DANH - HAIHAMEC 3.6EC (Nước trong) - 450ml - 40")</f>
        <v>[Nhãn thùng] GC - IV - 2919 - THẾ DANH - HAIHAMEC 3.6EC (Nước trong) - 450ml - 40</v>
      </c>
      <c r="E3642" s="87" t="str">
        <f>IFERROR(__xludf.DUMMYFUNCTION("""COMPUTED_VALUE"""),"HAIHAMEC 3.6EC")</f>
        <v>HAIHAMEC 3.6EC</v>
      </c>
      <c r="F3642" s="87" t="str">
        <f>IFERROR(__xludf.DUMMYFUNCTION("""COMPUTED_VALUE"""),"HH2919")</f>
        <v>HH2919</v>
      </c>
      <c r="G3642" s="87" t="str">
        <f>IFERROR(__xludf.DUMMYFUNCTION("""COMPUTED_VALUE"""),"GC - IV - 2919 - THẾ DANH - HAIHAMEC 3.6EC (Nước trong) - 450ml - 40")</f>
        <v>GC - IV - 2919 - THẾ DANH - HAIHAMEC 3.6EC (Nước trong) - 450ml - 40</v>
      </c>
    </row>
    <row r="3643">
      <c r="A3643" s="86">
        <f>IFERROR(__xludf.DUMMYFUNCTION("""COMPUTED_VALUE"""),3641.0)</f>
        <v>3641</v>
      </c>
      <c r="B3643" s="87" t="str">
        <f>IFERROR(__xludf.DUMMYFUNCTION("""COMPUTED_VALUE"""),"Nhãn")</f>
        <v>Nhãn</v>
      </c>
      <c r="C3643" s="87" t="str">
        <f>IFERROR(__xludf.DUMMYFUNCTION("""COMPUTED_VALUE"""),"NHG2920")</f>
        <v>NHG2920</v>
      </c>
      <c r="D3643" s="87" t="str">
        <f>IFERROR(__xludf.DUMMYFUNCTION("""COMPUTED_VALUE"""),"[Nhãn] GC - IV - 2920 - Cty Tiến Vinh - TIVI VIN-S 110 (Nước xanh dương) - 1L - 20")</f>
        <v>[Nhãn] GC - IV - 2920 - Cty Tiến Vinh - TIVI VIN-S 110 (Nước xanh dương) - 1L - 20</v>
      </c>
      <c r="E3643" s="87" t="str">
        <f>IFERROR(__xludf.DUMMYFUNCTION("""COMPUTED_VALUE"""),"JAPA VIL 110SC")</f>
        <v>JAPA VIL 110SC</v>
      </c>
      <c r="F3643" s="87" t="str">
        <f>IFERROR(__xludf.DUMMYFUNCTION("""COMPUTED_VALUE"""),"HH2920")</f>
        <v>HH2920</v>
      </c>
      <c r="G3643" s="87" t="str">
        <f>IFERROR(__xludf.DUMMYFUNCTION("""COMPUTED_VALUE"""),"GC - IV - 2920 - Cty Tiến Vinh - TIVI VIN-S 110 (Nước xanh dương) - 1L - 20")</f>
        <v>GC - IV - 2920 - Cty Tiến Vinh - TIVI VIN-S 110 (Nước xanh dương) - 1L - 20</v>
      </c>
    </row>
    <row r="3644">
      <c r="A3644" s="86">
        <f>IFERROR(__xludf.DUMMYFUNCTION("""COMPUTED_VALUE"""),3642.0)</f>
        <v>3642</v>
      </c>
      <c r="B3644" s="87" t="str">
        <f>IFERROR(__xludf.DUMMYFUNCTION("""COMPUTED_VALUE"""),"Nhãn")</f>
        <v>Nhãn</v>
      </c>
      <c r="C3644" s="87" t="str">
        <f>IFERROR(__xludf.DUMMYFUNCTION("""COMPUTED_VALUE"""),"NHG2921")</f>
        <v>NHG2921</v>
      </c>
      <c r="D3644" s="87" t="str">
        <f>IFERROR(__xludf.DUMMYFUNCTION("""COMPUTED_VALUE"""),"[Nhãn] NB - V - 2921 - CTY NAUY - NANO PROMAX (Nước nâu đen) - 500ml - 40")</f>
        <v>[Nhãn] NB - V - 2921 - CTY NAUY - NANO PROMAX (Nước nâu đen) - 500ml - 40</v>
      </c>
      <c r="E3644" s="87" t="str">
        <f>IFERROR(__xludf.DUMMYFUNCTION("""COMPUTED_VALUE"""),"Vi lượng AGAMA-SUPPORT")</f>
        <v>Vi lượng AGAMA-SUPPORT</v>
      </c>
      <c r="F3644" s="87" t="str">
        <f>IFERROR(__xludf.DUMMYFUNCTION("""COMPUTED_VALUE"""),"HH2921")</f>
        <v>HH2921</v>
      </c>
      <c r="G3644" s="87" t="str">
        <f>IFERROR(__xludf.DUMMYFUNCTION("""COMPUTED_VALUE"""),"NB - V - 2921 - CTY NAUY - NANO PROMAX (Nước nâu đen) - 500ml - 40")</f>
        <v>NB - V - 2921 - CTY NAUY - NANO PROMAX (Nước nâu đen) - 500ml - 40</v>
      </c>
    </row>
    <row r="3645">
      <c r="A3645" s="86">
        <f>IFERROR(__xludf.DUMMYFUNCTION("""COMPUTED_VALUE"""),3643.0)</f>
        <v>3643</v>
      </c>
      <c r="B3645" s="87" t="str">
        <f>IFERROR(__xludf.DUMMYFUNCTION("""COMPUTED_VALUE"""),"Nhãn")</f>
        <v>Nhãn</v>
      </c>
      <c r="C3645" s="87" t="str">
        <f>IFERROR(__xludf.DUMMYFUNCTION("""COMPUTED_VALUE"""),"NHG2922")</f>
        <v>NHG2922</v>
      </c>
      <c r="D3645" s="87" t="str">
        <f>IFERROR(__xludf.DUMMYFUNCTION("""COMPUTED_VALUE"""),"[Nhãn] NB - V - 2922 - CTY NAUY - EU PROMAX (Nước đỏ) - 500ml - 40")</f>
        <v>[Nhãn] NB - V - 2922 - CTY NAUY - EU PROMAX (Nước đỏ) - 500ml - 40</v>
      </c>
      <c r="E3645" s="87" t="str">
        <f>IFERROR(__xludf.DUMMYFUNCTION("""COMPUTED_VALUE"""),"GENOL 1.2SL")</f>
        <v>GENOL 1.2SL</v>
      </c>
      <c r="F3645" s="87" t="str">
        <f>IFERROR(__xludf.DUMMYFUNCTION("""COMPUTED_VALUE"""),"HH2922")</f>
        <v>HH2922</v>
      </c>
      <c r="G3645" s="87" t="str">
        <f>IFERROR(__xludf.DUMMYFUNCTION("""COMPUTED_VALUE"""),"NB - V - 2922 - CTY NAUY - EU PROMAX (Nước đỏ) - 500ml - 40")</f>
        <v>NB - V - 2922 - CTY NAUY - EU PROMAX (Nước đỏ) - 500ml - 40</v>
      </c>
    </row>
    <row r="3646">
      <c r="A3646" s="86">
        <f>IFERROR(__xludf.DUMMYFUNCTION("""COMPUTED_VALUE"""),3644.0)</f>
        <v>3644</v>
      </c>
      <c r="B3646" s="87" t="str">
        <f>IFERROR(__xludf.DUMMYFUNCTION("""COMPUTED_VALUE"""),"Nhãn")</f>
        <v>Nhãn</v>
      </c>
      <c r="C3646" s="87" t="str">
        <f>IFERROR(__xludf.DUMMYFUNCTION("""COMPUTED_VALUE"""),"NHG2923")</f>
        <v>NHG2923</v>
      </c>
      <c r="D3646" s="87" t="str">
        <f>IFERROR(__xludf.DUMMYFUNCTION("""COMPUTED_VALUE"""),"[Nhãn] NB - V - 2923 - CTY NAUY - GALAXY (Nước nâu đen) - 450ml - 40")</f>
        <v>[Nhãn] NB - V - 2923 - CTY NAUY - GALAXY (Nước nâu đen) - 450ml - 40</v>
      </c>
      <c r="E3646" s="87" t="str">
        <f>IFERROR(__xludf.DUMMYFUNCTION("""COMPUTED_VALUE"""),"Vi lượng Quantity New")</f>
        <v>Vi lượng Quantity New</v>
      </c>
      <c r="F3646" s="87" t="str">
        <f>IFERROR(__xludf.DUMMYFUNCTION("""COMPUTED_VALUE"""),"HH2923")</f>
        <v>HH2923</v>
      </c>
      <c r="G3646" s="87" t="str">
        <f>IFERROR(__xludf.DUMMYFUNCTION("""COMPUTED_VALUE"""),"NB - V - 2923 - CTY NAUY - GALAXY (Nước nâu đen) - 450ml - 40")</f>
        <v>NB - V - 2923 - CTY NAUY - GALAXY (Nước nâu đen) - 450ml - 40</v>
      </c>
    </row>
    <row r="3647">
      <c r="A3647" s="86">
        <f>IFERROR(__xludf.DUMMYFUNCTION("""COMPUTED_VALUE"""),3645.0)</f>
        <v>3645</v>
      </c>
      <c r="B3647" s="87" t="str">
        <f>IFERROR(__xludf.DUMMYFUNCTION("""COMPUTED_VALUE"""),"Nhãn")</f>
        <v>Nhãn</v>
      </c>
      <c r="C3647" s="87" t="str">
        <f>IFERROR(__xludf.DUMMYFUNCTION("""COMPUTED_VALUE"""),"NHG2924")</f>
        <v>NHG2924</v>
      </c>
      <c r="D3647" s="87" t="str">
        <f>IFERROR(__xludf.DUMMYFUNCTION("""COMPUTED_VALUE"""),"[Nhãn] NB - V - 2924 - CTY NAUY - SILIMAX (Nước nâu đen) - 500ml - 40")</f>
        <v>[Nhãn] NB - V - 2924 - CTY NAUY - SILIMAX (Nước nâu đen) - 500ml - 40</v>
      </c>
      <c r="E3647" s="87" t="str">
        <f>IFERROR(__xludf.DUMMYFUNCTION("""COMPUTED_VALUE"""),"Vi lượng Quantity New")</f>
        <v>Vi lượng Quantity New</v>
      </c>
      <c r="F3647" s="87" t="str">
        <f>IFERROR(__xludf.DUMMYFUNCTION("""COMPUTED_VALUE"""),"HH2924")</f>
        <v>HH2924</v>
      </c>
      <c r="G3647" s="87" t="str">
        <f>IFERROR(__xludf.DUMMYFUNCTION("""COMPUTED_VALUE"""),"NB - V - 2924 - CTY NAUY - SILIMAX (Nước nâu đen) - 500ml - 40")</f>
        <v>NB - V - 2924 - CTY NAUY - SILIMAX (Nước nâu đen) - 500ml - 40</v>
      </c>
    </row>
    <row r="3648">
      <c r="A3648" s="86">
        <f>IFERROR(__xludf.DUMMYFUNCTION("""COMPUTED_VALUE"""),3646.0)</f>
        <v>3646</v>
      </c>
      <c r="B3648" s="87" t="str">
        <f>IFERROR(__xludf.DUMMYFUNCTION("""COMPUTED_VALUE"""),"Nhãn")</f>
        <v>Nhãn</v>
      </c>
      <c r="C3648" s="87" t="str">
        <f>IFERROR(__xludf.DUMMYFUNCTION("""COMPUTED_VALUE"""),"NHG2925")</f>
        <v>NHG2925</v>
      </c>
      <c r="D3648" s="87" t="str">
        <f>IFERROR(__xludf.DUMMYFUNCTION("""COMPUTED_VALUE"""),"[Nhãn] GC - IV - 2925 - CTY HẢI SƠN USA - THIPRO 550EC (Nước tím) - 240ml - 40")</f>
        <v>[Nhãn] GC - IV - 2925 - CTY HẢI SƠN USA - THIPRO 550EC (Nước tím) - 240ml - 40</v>
      </c>
      <c r="E3648" s="87" t="str">
        <f>IFERROR(__xludf.DUMMYFUNCTION("""COMPUTED_VALUE"""),"Thipro 550EC")</f>
        <v>Thipro 550EC</v>
      </c>
      <c r="F3648" s="87" t="str">
        <f>IFERROR(__xludf.DUMMYFUNCTION("""COMPUTED_VALUE"""),"HH2925")</f>
        <v>HH2925</v>
      </c>
      <c r="G3648" s="87" t="str">
        <f>IFERROR(__xludf.DUMMYFUNCTION("""COMPUTED_VALUE"""),"GC - IV - 2925 - CTY HẢI SƠN USA - THIPRO 550EC (Nước tím) - 240ml - 40")</f>
        <v>GC - IV - 2925 - CTY HẢI SƠN USA - THIPRO 550EC (Nước tím) - 240ml - 40</v>
      </c>
    </row>
    <row r="3649">
      <c r="A3649" s="86">
        <f>IFERROR(__xludf.DUMMYFUNCTION("""COMPUTED_VALUE"""),3647.0)</f>
        <v>3647</v>
      </c>
      <c r="B3649" s="87" t="str">
        <f>IFERROR(__xludf.DUMMYFUNCTION("""COMPUTED_VALUE"""),"Nhãn")</f>
        <v>Nhãn</v>
      </c>
      <c r="C3649" s="87" t="str">
        <f>IFERROR(__xludf.DUMMYFUNCTION("""COMPUTED_VALUE"""),"NHD2927")</f>
        <v>NHD2927</v>
      </c>
      <c r="D3649" s="87" t="str">
        <f>IFERROR(__xludf.DUMMYFUNCTION("""COMPUTED_VALUE"""),"[Nhãn] IDA Global - I - 2927 - IDA ORGANIC FEED (Nước nâu đen) - 5L - 4")</f>
        <v>[Nhãn] IDA Global - I - 2927 - IDA ORGANIC FEED (Nước nâu đen) - 5L - 4</v>
      </c>
      <c r="E3649" s="87" t="str">
        <f>IFERROR(__xludf.DUMMYFUNCTION("""COMPUTED_VALUE"""),"Hữu cơ SH Agro Organic Fertilizer 20")</f>
        <v>Hữu cơ SH Agro Organic Fertilizer 20</v>
      </c>
      <c r="F3649" s="87" t="str">
        <f>IFERROR(__xludf.DUMMYFUNCTION("""COMPUTED_VALUE"""),"HH2927")</f>
        <v>HH2927</v>
      </c>
      <c r="G3649" s="87" t="str">
        <f>IFERROR(__xludf.DUMMYFUNCTION("""COMPUTED_VALUE"""),"IDA Global - I - 2927 - IDA ORGANIC FEED (Nước nâu đen) - 5L - 4")</f>
        <v>IDA Global - I - 2927 - IDA ORGANIC FEED (Nước nâu đen) - 5L - 4</v>
      </c>
    </row>
    <row r="3650">
      <c r="A3650" s="86">
        <f>IFERROR(__xludf.DUMMYFUNCTION("""COMPUTED_VALUE"""),3648.0)</f>
        <v>3648</v>
      </c>
      <c r="B3650" s="87" t="str">
        <f>IFERROR(__xludf.DUMMYFUNCTION("""COMPUTED_VALUE"""),"Nhãn thùng")</f>
        <v>Nhãn thùng</v>
      </c>
      <c r="C3650" s="87" t="str">
        <f>IFERROR(__xludf.DUMMYFUNCTION("""COMPUTED_VALUE"""),"NDT2927")</f>
        <v>NDT2927</v>
      </c>
      <c r="D3650" s="87" t="str">
        <f>IFERROR(__xludf.DUMMYFUNCTION("""COMPUTED_VALUE"""),"[Nhãn thùng] IDA Global - I - 2927 - IDA ORGANIC FEED (Nước nâu đen) - 5L - 4")</f>
        <v>[Nhãn thùng] IDA Global - I - 2927 - IDA ORGANIC FEED (Nước nâu đen) - 5L - 4</v>
      </c>
      <c r="E3650" s="87" t="str">
        <f>IFERROR(__xludf.DUMMYFUNCTION("""COMPUTED_VALUE"""),"Hữu cơ SH Agro Organic Fertilizer 20")</f>
        <v>Hữu cơ SH Agro Organic Fertilizer 20</v>
      </c>
      <c r="F3650" s="87" t="str">
        <f>IFERROR(__xludf.DUMMYFUNCTION("""COMPUTED_VALUE"""),"HH2927")</f>
        <v>HH2927</v>
      </c>
      <c r="G3650" s="87" t="str">
        <f>IFERROR(__xludf.DUMMYFUNCTION("""COMPUTED_VALUE"""),"IDA Global - I - 2927 - IDA ORGANIC FEED (Nước nâu đen) - 5L - 4")</f>
        <v>IDA Global - I - 2927 - IDA ORGANIC FEED (Nước nâu đen) - 5L - 4</v>
      </c>
    </row>
    <row r="3651">
      <c r="A3651" s="86">
        <f>IFERROR(__xludf.DUMMYFUNCTION("""COMPUTED_VALUE"""),3649.0)</f>
        <v>3649</v>
      </c>
      <c r="B3651" s="87" t="str">
        <f>IFERROR(__xludf.DUMMYFUNCTION("""COMPUTED_VALUE"""),"Nhãn")</f>
        <v>Nhãn</v>
      </c>
      <c r="C3651" s="87" t="str">
        <f>IFERROR(__xludf.DUMMYFUNCTION("""COMPUTED_VALUE"""),"NHD2928")</f>
        <v>NHD2928</v>
      </c>
      <c r="D3651" s="87" t="str">
        <f>IFERROR(__xludf.DUMMYFUNCTION("""COMPUTED_VALUE"""),"[Nhãn] IDA Global - I - 2928 - IDA ORGANIC FEED (Nước nâu đen) - 20L - 1")</f>
        <v>[Nhãn] IDA Global - I - 2928 - IDA ORGANIC FEED (Nước nâu đen) - 20L - 1</v>
      </c>
      <c r="E3651" s="87" t="str">
        <f>IFERROR(__xludf.DUMMYFUNCTION("""COMPUTED_VALUE"""),"Hữu cơ SH Agro Organic Fertilizer 20")</f>
        <v>Hữu cơ SH Agro Organic Fertilizer 20</v>
      </c>
      <c r="F3651" s="87" t="str">
        <f>IFERROR(__xludf.DUMMYFUNCTION("""COMPUTED_VALUE"""),"HH2928")</f>
        <v>HH2928</v>
      </c>
      <c r="G3651" s="87" t="str">
        <f>IFERROR(__xludf.DUMMYFUNCTION("""COMPUTED_VALUE"""),"IDA Global - I - 2928 - IDA ORGANIC FEED (Nước nâu đen) - 20L - 1")</f>
        <v>IDA Global - I - 2928 - IDA ORGANIC FEED (Nước nâu đen) - 20L - 1</v>
      </c>
    </row>
    <row r="3652">
      <c r="A3652" s="86">
        <f>IFERROR(__xludf.DUMMYFUNCTION("""COMPUTED_VALUE"""),3650.0)</f>
        <v>3650</v>
      </c>
      <c r="B3652" s="87" t="str">
        <f>IFERROR(__xludf.DUMMYFUNCTION("""COMPUTED_VALUE"""),"Nhãn")</f>
        <v>Nhãn</v>
      </c>
      <c r="C3652" s="87" t="str">
        <f>IFERROR(__xludf.DUMMYFUNCTION("""COMPUTED_VALUE"""),"NHG2929")</f>
        <v>NHG2929</v>
      </c>
      <c r="D3652" s="87" t="str">
        <f>IFERROR(__xludf.DUMMYFUNCTION("""COMPUTED_VALUE"""),"[Nhãn] IDA Global - I - 2929 - IDA ORGANIC FEED (Nước nâu đen) - 1L - 20")</f>
        <v>[Nhãn] IDA Global - I - 2929 - IDA ORGANIC FEED (Nước nâu đen) - 1L - 20</v>
      </c>
      <c r="E3652" s="87" t="str">
        <f>IFERROR(__xludf.DUMMYFUNCTION("""COMPUTED_VALUE"""),"Hữu cơ SH Agro Organic Fertilizer 20")</f>
        <v>Hữu cơ SH Agro Organic Fertilizer 20</v>
      </c>
      <c r="F3652" s="87" t="str">
        <f>IFERROR(__xludf.DUMMYFUNCTION("""COMPUTED_VALUE"""),"HH2929")</f>
        <v>HH2929</v>
      </c>
      <c r="G3652" s="87" t="str">
        <f>IFERROR(__xludf.DUMMYFUNCTION("""COMPUTED_VALUE"""),"IDA Global - I - 2929 - IDA ORGANIC FEED (Nước nâu đen) - 1L - 20")</f>
        <v>IDA Global - I - 2929 - IDA ORGANIC FEED (Nước nâu đen) - 1L - 20</v>
      </c>
    </row>
    <row r="3653">
      <c r="A3653" s="86">
        <f>IFERROR(__xludf.DUMMYFUNCTION("""COMPUTED_VALUE"""),3651.0)</f>
        <v>3651</v>
      </c>
      <c r="B3653" s="87" t="str">
        <f>IFERROR(__xludf.DUMMYFUNCTION("""COMPUTED_VALUE"""),"Nhãn")</f>
        <v>Nhãn</v>
      </c>
      <c r="C3653" s="87" t="str">
        <f>IFERROR(__xludf.DUMMYFUNCTION("""COMPUTED_VALUE"""),"NHG2930")</f>
        <v>NHG2930</v>
      </c>
      <c r="D3653" s="87" t="str">
        <f>IFERROR(__xludf.DUMMYFUNCTION("""COMPUTED_VALUE"""),"[Nhãn] GC - IV - 2930 - Cty Biotech Hà Lan - MITOP VIL 110SC (Nước trắng sữa) - 1L - 20")</f>
        <v>[Nhãn] GC - IV - 2930 - Cty Biotech Hà Lan - MITOP VIL 110SC (Nước trắng sữa) - 1L - 20</v>
      </c>
      <c r="E3653" s="87" t="str">
        <f>IFERROR(__xludf.DUMMYFUNCTION("""COMPUTED_VALUE"""),"JAPA VIL 110SC")</f>
        <v>JAPA VIL 110SC</v>
      </c>
      <c r="F3653" s="87" t="str">
        <f>IFERROR(__xludf.DUMMYFUNCTION("""COMPUTED_VALUE"""),"HH2930")</f>
        <v>HH2930</v>
      </c>
      <c r="G3653" s="87" t="str">
        <f>IFERROR(__xludf.DUMMYFUNCTION("""COMPUTED_VALUE"""),"GC - IV - 2930 - Cty Biotech Hà Lan - MITOP VIL 110SC (Nước trắng sữa) - 1L - 20")</f>
        <v>GC - IV - 2930 - Cty Biotech Hà Lan - MITOP VIL 110SC (Nước trắng sữa) - 1L - 20</v>
      </c>
    </row>
    <row r="3654">
      <c r="A3654" s="86">
        <f>IFERROR(__xludf.DUMMYFUNCTION("""COMPUTED_VALUE"""),3652.0)</f>
        <v>3652</v>
      </c>
      <c r="B3654" s="87" t="str">
        <f>IFERROR(__xludf.DUMMYFUNCTION("""COMPUTED_VALUE"""),"Nhãn")</f>
        <v>Nhãn</v>
      </c>
      <c r="C3654" s="87" t="str">
        <f>IFERROR(__xludf.DUMMYFUNCTION("""COMPUTED_VALUE"""),"NHG2931")</f>
        <v>NHG2931</v>
      </c>
      <c r="D3654" s="87" t="str">
        <f>IFERROR(__xludf.DUMMYFUNCTION("""COMPUTED_VALUE"""),"[Nhãn] NB - V - 2931 - CTY NAUY - PERFECT EXTRA (Nước hồng) - 600ml - 40")</f>
        <v>[Nhãn] NB - V - 2931 - CTY NAUY - PERFECT EXTRA (Nước hồng) - 600ml - 40</v>
      </c>
      <c r="E3654" s="87" t="str">
        <f>IFERROR(__xludf.DUMMYFUNCTION("""COMPUTED_VALUE"""),"Mekongvil 5SC")</f>
        <v>Mekongvil 5SC</v>
      </c>
      <c r="F3654" s="87" t="str">
        <f>IFERROR(__xludf.DUMMYFUNCTION("""COMPUTED_VALUE"""),"HH2931")</f>
        <v>HH2931</v>
      </c>
      <c r="G3654" s="87" t="str">
        <f>IFERROR(__xludf.DUMMYFUNCTION("""COMPUTED_VALUE"""),"NB - V - 2931 - CTY NAUY - PERFECT EXTRA (Nước hồng) - 600ml - 40")</f>
        <v>NB - V - 2931 - CTY NAUY - PERFECT EXTRA (Nước hồng) - 600ml - 40</v>
      </c>
    </row>
    <row r="3655">
      <c r="A3655" s="86">
        <f>IFERROR(__xludf.DUMMYFUNCTION("""COMPUTED_VALUE"""),3653.0)</f>
        <v>3653</v>
      </c>
      <c r="B3655" s="87" t="str">
        <f>IFERROR(__xludf.DUMMYFUNCTION("""COMPUTED_VALUE"""),"Nhãn")</f>
        <v>Nhãn</v>
      </c>
      <c r="C3655" s="87" t="str">
        <f>IFERROR(__xludf.DUMMYFUNCTION("""COMPUTED_VALUE"""),"NHG2932")</f>
        <v>NHG2932</v>
      </c>
      <c r="D3655" s="87" t="str">
        <f>IFERROR(__xludf.DUMMYFUNCTION("""COMPUTED_VALUE"""),"[Nhãn] NB - V - 2932 - CTY NAUY - NAUY NANO (Nước nâu đen) - 600ml - 40")</f>
        <v>[Nhãn] NB - V - 2932 - CTY NAUY - NAUY NANO (Nước nâu đen) - 600ml - 40</v>
      </c>
      <c r="E3655" s="87" t="str">
        <f>IFERROR(__xludf.DUMMYFUNCTION("""COMPUTED_VALUE"""),"Vi lượng AGAMA-SUPPORT")</f>
        <v>Vi lượng AGAMA-SUPPORT</v>
      </c>
      <c r="F3655" s="87" t="str">
        <f>IFERROR(__xludf.DUMMYFUNCTION("""COMPUTED_VALUE"""),"HH2932")</f>
        <v>HH2932</v>
      </c>
      <c r="G3655" s="87" t="str">
        <f>IFERROR(__xludf.DUMMYFUNCTION("""COMPUTED_VALUE"""),"NB - V - 2932 - CTY NAUY - NAUY NANO (Nước nâu đen) - 600ml - 40")</f>
        <v>NB - V - 2932 - CTY NAUY - NAUY NANO (Nước nâu đen) - 600ml - 40</v>
      </c>
    </row>
    <row r="3656">
      <c r="A3656" s="86">
        <f>IFERROR(__xludf.DUMMYFUNCTION("""COMPUTED_VALUE"""),3654.0)</f>
        <v>3654</v>
      </c>
      <c r="B3656" s="87" t="str">
        <f>IFERROR(__xludf.DUMMYFUNCTION("""COMPUTED_VALUE"""),"Nhãn")</f>
        <v>Nhãn</v>
      </c>
      <c r="C3656" s="87" t="str">
        <f>IFERROR(__xludf.DUMMYFUNCTION("""COMPUTED_VALUE"""),"NTN2933")</f>
        <v>NTN2933</v>
      </c>
      <c r="D3656" s="87" t="str">
        <f>IFERROR(__xludf.DUMMYFUNCTION("""COMPUTED_VALUE"""),"[Nhãn] GC - IV - 2933 - Cty Thiên Di (A Thành Dol) - Mancozeb xanh (bột xanh) - 100gr - 100")</f>
        <v>[Nhãn] GC - IV - 2933 - Cty Thiên Di (A Thành Dol) - Mancozeb xanh (bột xanh) - 100gr - 100</v>
      </c>
      <c r="E3656" s="87" t="str">
        <f>IFERROR(__xludf.DUMMYFUNCTION("""COMPUTED_VALUE"""),"MANCOBGO 80WP")</f>
        <v>MANCOBGO 80WP</v>
      </c>
      <c r="F3656" s="87" t="str">
        <f>IFERROR(__xludf.DUMMYFUNCTION("""COMPUTED_VALUE"""),"HH2933")</f>
        <v>HH2933</v>
      </c>
      <c r="G3656" s="87" t="str">
        <f>IFERROR(__xludf.DUMMYFUNCTION("""COMPUTED_VALUE"""),"GC - IV - 2933 - Cty Thiên Di (A Thành Dol) - Mancozeb xanh (bột xanh) - 100gr - 100")</f>
        <v>GC - IV - 2933 - Cty Thiên Di (A Thành Dol) - Mancozeb xanh (bột xanh) - 100gr - 100</v>
      </c>
    </row>
    <row r="3657">
      <c r="A3657" s="86">
        <f>IFERROR(__xludf.DUMMYFUNCTION("""COMPUTED_VALUE"""),3655.0)</f>
        <v>3655</v>
      </c>
      <c r="B3657" s="87" t="str">
        <f>IFERROR(__xludf.DUMMYFUNCTION("""COMPUTED_VALUE"""),"Nhãn thùng")</f>
        <v>Nhãn thùng</v>
      </c>
      <c r="C3657" s="87" t="str">
        <f>IFERROR(__xludf.DUMMYFUNCTION("""COMPUTED_VALUE"""),"NDT2933")</f>
        <v>NDT2933</v>
      </c>
      <c r="D3657" s="87" t="str">
        <f>IFERROR(__xludf.DUMMYFUNCTION("""COMPUTED_VALUE"""),"[Nhãn thùng] GC - IV - 2933 - Cty Thiên Di (A Thành Dol) - Mancozeb xanh (bột xanh) - 100gr - 100")</f>
        <v>[Nhãn thùng] GC - IV - 2933 - Cty Thiên Di (A Thành Dol) - Mancozeb xanh (bột xanh) - 100gr - 100</v>
      </c>
      <c r="E3657" s="87" t="str">
        <f>IFERROR(__xludf.DUMMYFUNCTION("""COMPUTED_VALUE"""),"MANCOBGO 80WP")</f>
        <v>MANCOBGO 80WP</v>
      </c>
      <c r="F3657" s="87" t="str">
        <f>IFERROR(__xludf.DUMMYFUNCTION("""COMPUTED_VALUE"""),"HH2933")</f>
        <v>HH2933</v>
      </c>
      <c r="G3657" s="87" t="str">
        <f>IFERROR(__xludf.DUMMYFUNCTION("""COMPUTED_VALUE"""),"GC - IV - 2933 - Cty Thiên Di (A Thành Dol) - Mancozeb xanh (bột xanh) - 100gr - 100")</f>
        <v>GC - IV - 2933 - Cty Thiên Di (A Thành Dol) - Mancozeb xanh (bột xanh) - 100gr - 100</v>
      </c>
    </row>
    <row r="3658">
      <c r="A3658" s="86">
        <f>IFERROR(__xludf.DUMMYFUNCTION("""COMPUTED_VALUE"""),3656.0)</f>
        <v>3656</v>
      </c>
      <c r="B3658" s="87" t="str">
        <f>IFERROR(__xludf.DUMMYFUNCTION("""COMPUTED_VALUE"""),"Nhãn")</f>
        <v>Nhãn</v>
      </c>
      <c r="C3658" s="87" t="str">
        <f>IFERROR(__xludf.DUMMYFUNCTION("""COMPUTED_VALUE"""),"NHD2935")</f>
        <v>NHD2935</v>
      </c>
      <c r="D3658" s="87" t="str">
        <f>IFERROR(__xludf.DUMMYFUNCTION("""COMPUTED_VALUE"""),"[Nhãn] GC - IV - 2935 - CTY NÔNG DƯỢC ĐÔNG DƯƠNG - HAIHAMEC 3.6EC (nước nâu đen) - 450ml - 40")</f>
        <v>[Nhãn] GC - IV - 2935 - CTY NÔNG DƯỢC ĐÔNG DƯƠNG - HAIHAMEC 3.6EC (nước nâu đen) - 450ml - 40</v>
      </c>
      <c r="E3658" s="87" t="str">
        <f>IFERROR(__xludf.DUMMYFUNCTION("""COMPUTED_VALUE"""),"HAIHAMEC 3.6EC")</f>
        <v>HAIHAMEC 3.6EC</v>
      </c>
      <c r="F3658" s="87" t="str">
        <f>IFERROR(__xludf.DUMMYFUNCTION("""COMPUTED_VALUE"""),"HH2935")</f>
        <v>HH2935</v>
      </c>
      <c r="G3658" s="87" t="str">
        <f>IFERROR(__xludf.DUMMYFUNCTION("""COMPUTED_VALUE"""),"GC - IV - 2935 - CTY NÔNG DƯỢC ĐÔNG DƯƠNG - HAIHAMEC 3.6EC (nước nâu đen) - 450ml - 40")</f>
        <v>GC - IV - 2935 - CTY NÔNG DƯỢC ĐÔNG DƯƠNG - HAIHAMEC 3.6EC (nước nâu đen) - 450ml - 40</v>
      </c>
    </row>
    <row r="3659">
      <c r="A3659" s="86">
        <f>IFERROR(__xludf.DUMMYFUNCTION("""COMPUTED_VALUE"""),3657.0)</f>
        <v>3657</v>
      </c>
      <c r="B3659" s="87" t="str">
        <f>IFERROR(__xludf.DUMMYFUNCTION("""COMPUTED_VALUE"""),"Nhãn thùng")</f>
        <v>Nhãn thùng</v>
      </c>
      <c r="C3659" s="87" t="str">
        <f>IFERROR(__xludf.DUMMYFUNCTION("""COMPUTED_VALUE"""),"NDT2935")</f>
        <v>NDT2935</v>
      </c>
      <c r="D3659" s="87" t="str">
        <f>IFERROR(__xludf.DUMMYFUNCTION("""COMPUTED_VALUE"""),"[Nhãn thùng] GC - IV - 2935 - CTY NÔNG DƯỢC ĐÔNG DƯƠNG - HAIHAMEC 3.6EC (nước nâu đen) - 450ml - 40")</f>
        <v>[Nhãn thùng] GC - IV - 2935 - CTY NÔNG DƯỢC ĐÔNG DƯƠNG - HAIHAMEC 3.6EC (nước nâu đen) - 450ml - 40</v>
      </c>
      <c r="E3659" s="87" t="str">
        <f>IFERROR(__xludf.DUMMYFUNCTION("""COMPUTED_VALUE"""),"HAIHAMEC 3.6EC")</f>
        <v>HAIHAMEC 3.6EC</v>
      </c>
      <c r="F3659" s="87" t="str">
        <f>IFERROR(__xludf.DUMMYFUNCTION("""COMPUTED_VALUE"""),"HH2935")</f>
        <v>HH2935</v>
      </c>
      <c r="G3659" s="87" t="str">
        <f>IFERROR(__xludf.DUMMYFUNCTION("""COMPUTED_VALUE"""),"GC - IV - 2935 - CTY NÔNG DƯỢC ĐÔNG DƯƠNG - HAIHAMEC 3.6EC (nước nâu đen) - 450ml - 40")</f>
        <v>GC - IV - 2935 - CTY NÔNG DƯỢC ĐÔNG DƯƠNG - HAIHAMEC 3.6EC (nước nâu đen) - 450ml - 40</v>
      </c>
    </row>
    <row r="3660">
      <c r="A3660" s="86">
        <f>IFERROR(__xludf.DUMMYFUNCTION("""COMPUTED_VALUE"""),3658.0)</f>
        <v>3658</v>
      </c>
      <c r="B3660" s="87" t="str">
        <f>IFERROR(__xludf.DUMMYFUNCTION("""COMPUTED_VALUE"""),"Nhãn")</f>
        <v>Nhãn</v>
      </c>
      <c r="C3660" s="87" t="str">
        <f>IFERROR(__xludf.DUMMYFUNCTION("""COMPUTED_VALUE"""),"NHG2936")</f>
        <v>NHG2936</v>
      </c>
      <c r="D3660" s="87" t="str">
        <f>IFERROR(__xludf.DUMMYFUNCTION("""COMPUTED_VALUE"""),"[Nhãn] GC - IV - 2936 - Sen Hồng - VUA DIỆT KHUẨN (nước tím) - 250ml - 40")</f>
        <v>[Nhãn] GC - IV - 2936 - Sen Hồng - VUA DIỆT KHUẨN (nước tím) - 250ml - 40</v>
      </c>
      <c r="E3660" s="87" t="str">
        <f>IFERROR(__xludf.DUMMYFUNCTION("""COMPUTED_VALUE"""),"GENOL 1.2SL")</f>
        <v>GENOL 1.2SL</v>
      </c>
      <c r="F3660" s="87" t="str">
        <f>IFERROR(__xludf.DUMMYFUNCTION("""COMPUTED_VALUE"""),"HH2936")</f>
        <v>HH2936</v>
      </c>
      <c r="G3660" s="87" t="str">
        <f>IFERROR(__xludf.DUMMYFUNCTION("""COMPUTED_VALUE"""),"GC - IV - 2936 - Sen Hồng - VUA DIỆT KHUẨN (nước tím) - 250ml - 40")</f>
        <v>GC - IV - 2936 - Sen Hồng - VUA DIỆT KHUẨN (nước tím) - 250ml - 40</v>
      </c>
    </row>
    <row r="3661">
      <c r="A3661" s="86">
        <f>IFERROR(__xludf.DUMMYFUNCTION("""COMPUTED_VALUE"""),3659.0)</f>
        <v>3659</v>
      </c>
      <c r="B3661" s="87" t="str">
        <f>IFERROR(__xludf.DUMMYFUNCTION("""COMPUTED_VALUE"""),"Nhãn")</f>
        <v>Nhãn</v>
      </c>
      <c r="C3661" s="87" t="str">
        <f>IFERROR(__xludf.DUMMYFUNCTION("""COMPUTED_VALUE"""),"NHG2937")</f>
        <v>NHG2937</v>
      </c>
      <c r="D3661" s="87" t="str">
        <f>IFERROR(__xludf.DUMMYFUNCTION("""COMPUTED_VALUE"""),"[Nhãn] NB - I - 2937 -  Biocom VN - Mekong Vil 5SC (nước xanh dương) - 1L - 20")</f>
        <v>[Nhãn] NB - I - 2937 -  Biocom VN - Mekong Vil 5SC (nước xanh dương) - 1L - 20</v>
      </c>
      <c r="E3661" s="87" t="str">
        <f>IFERROR(__xludf.DUMMYFUNCTION("""COMPUTED_VALUE"""),"Mekongvil 5SC")</f>
        <v>Mekongvil 5SC</v>
      </c>
      <c r="F3661" s="87" t="str">
        <f>IFERROR(__xludf.DUMMYFUNCTION("""COMPUTED_VALUE"""),"HH2937")</f>
        <v>HH2937</v>
      </c>
      <c r="G3661" s="87" t="str">
        <f>IFERROR(__xludf.DUMMYFUNCTION("""COMPUTED_VALUE"""),"NB - I - 2937 -  Biocom VN - Mekong Vil 5SC (nước xanh dương) - 1L - 20")</f>
        <v>NB - I - 2937 -  Biocom VN - Mekong Vil 5SC (nước xanh dương) - 1L - 20</v>
      </c>
    </row>
    <row r="3662">
      <c r="A3662" s="86">
        <f>IFERROR(__xludf.DUMMYFUNCTION("""COMPUTED_VALUE"""),3660.0)</f>
        <v>3660</v>
      </c>
      <c r="B3662" s="87" t="str">
        <f>IFERROR(__xludf.DUMMYFUNCTION("""COMPUTED_VALUE"""),"Nhãn")</f>
        <v>Nhãn</v>
      </c>
      <c r="C3662" s="87" t="str">
        <f>IFERROR(__xludf.DUMMYFUNCTION("""COMPUTED_VALUE"""),"NTN2938")</f>
        <v>NTN2938</v>
      </c>
      <c r="D3662" s="87" t="str">
        <f>IFERROR(__xludf.DUMMYFUNCTION("""COMPUTED_VALUE"""),"[Nhãn] GC - IV - 2938 - Agritech Hà Lan - Thần Diệt Trùng - Vua Chích Hút (Bột trắng ngà) - 100gr - 100")</f>
        <v>[Nhãn] GC - IV - 2938 - Agritech Hà Lan - Thần Diệt Trùng - Vua Chích Hút (Bột trắng ngà) - 100gr - 100</v>
      </c>
      <c r="E3662" s="87" t="str">
        <f>IFERROR(__xludf.DUMMYFUNCTION("""COMPUTED_VALUE"""),"NOMIDA 10WP")</f>
        <v>NOMIDA 10WP</v>
      </c>
      <c r="F3662" s="87" t="str">
        <f>IFERROR(__xludf.DUMMYFUNCTION("""COMPUTED_VALUE"""),"HH2938")</f>
        <v>HH2938</v>
      </c>
      <c r="G3662" s="87" t="str">
        <f>IFERROR(__xludf.DUMMYFUNCTION("""COMPUTED_VALUE"""),"GC - IV - 2938 - Agritech Hà Lan - Thần Diệt Trùng - Vua Chích Hút (Bột trắng ngà) - 100gr - 100")</f>
        <v>GC - IV - 2938 - Agritech Hà Lan - Thần Diệt Trùng - Vua Chích Hút (Bột trắng ngà) - 100gr - 100</v>
      </c>
    </row>
    <row r="3663">
      <c r="A3663" s="86">
        <f>IFERROR(__xludf.DUMMYFUNCTION("""COMPUTED_VALUE"""),3661.0)</f>
        <v>3661</v>
      </c>
      <c r="B3663" s="87" t="str">
        <f>IFERROR(__xludf.DUMMYFUNCTION("""COMPUTED_VALUE"""),"Nhãn thùng")</f>
        <v>Nhãn thùng</v>
      </c>
      <c r="C3663" s="87" t="str">
        <f>IFERROR(__xludf.DUMMYFUNCTION("""COMPUTED_VALUE"""),"NDT2938")</f>
        <v>NDT2938</v>
      </c>
      <c r="D3663" s="87" t="str">
        <f>IFERROR(__xludf.DUMMYFUNCTION("""COMPUTED_VALUE"""),"[Nhãn thùng] GC - IV - 2938 - Agritech Hà Lan - Thần Diệt Trùng - Vua Chích Hút (Bột trắng ngà) - 100gr - 100")</f>
        <v>[Nhãn thùng] GC - IV - 2938 - Agritech Hà Lan - Thần Diệt Trùng - Vua Chích Hút (Bột trắng ngà) - 100gr - 100</v>
      </c>
      <c r="E3663" s="87" t="str">
        <f>IFERROR(__xludf.DUMMYFUNCTION("""COMPUTED_VALUE"""),"NOMIDA 10WP")</f>
        <v>NOMIDA 10WP</v>
      </c>
      <c r="F3663" s="87" t="str">
        <f>IFERROR(__xludf.DUMMYFUNCTION("""COMPUTED_VALUE"""),"HH2938")</f>
        <v>HH2938</v>
      </c>
      <c r="G3663" s="87" t="str">
        <f>IFERROR(__xludf.DUMMYFUNCTION("""COMPUTED_VALUE"""),"GC - IV - 2938 - Agritech Hà Lan - Thần Diệt Trùng - Vua Chích Hút (Bột trắng ngà) - 100gr - 100")</f>
        <v>GC - IV - 2938 - Agritech Hà Lan - Thần Diệt Trùng - Vua Chích Hút (Bột trắng ngà) - 100gr - 100</v>
      </c>
    </row>
    <row r="3664">
      <c r="A3664" s="86" t="str">
        <f>IFERROR(__xludf.DUMMYFUNCTION("""COMPUTED_VALUE"""),"")</f>
        <v/>
      </c>
      <c r="B3664" s="87"/>
      <c r="C3664" s="87" t="str">
        <f>IFERROR(__xludf.DUMMYFUNCTION("""COMPUTED_VALUE"""),"TEM0005")</f>
        <v>TEM0005</v>
      </c>
      <c r="D3664" s="87" t="str">
        <f>IFERROR(__xludf.DUMMYFUNCTION("""COMPUTED_VALUE"""),"Tem chống hàng giả ASAHI 1.4x5cm - Decal 7 màu")</f>
        <v>Tem chống hàng giả ASAHI 1.4x5cm - Decal 7 màu</v>
      </c>
      <c r="E3664" s="87"/>
      <c r="F3664" s="87" t="str">
        <f>IFERROR(__xludf.DUMMYFUNCTION("""COMPUTED_VALUE"""),"HH0005")</f>
        <v>HH0005</v>
      </c>
      <c r="G3664" s="87" t="str">
        <f>IFERROR(__xludf.DUMMYFUNCTION("""COMPUTED_VALUE"""),"LOT IDA Global - I - 789 - ĐL Minh - Cháy cỏ X7 (chai PET vuông) - 900ml- 20")</f>
        <v>LOT IDA Global - I - 789 - ĐL Minh - Cháy cỏ X7 (chai PET vuông) - 900ml- 20</v>
      </c>
    </row>
    <row r="3665">
      <c r="A3665" s="86">
        <f>IFERROR(__xludf.DUMMYFUNCTION("""COMPUTED_VALUE"""),3663.0)</f>
        <v>3663</v>
      </c>
      <c r="B3665" s="87" t="str">
        <f>IFERROR(__xludf.DUMMYFUNCTION("""COMPUTED_VALUE"""),"Nhãn")</f>
        <v>Nhãn</v>
      </c>
      <c r="C3665" s="87" t="str">
        <f>IFERROR(__xludf.DUMMYFUNCTION("""COMPUTED_VALUE"""),"NHG2939")</f>
        <v>NHG2939</v>
      </c>
      <c r="D3665" s="87" t="str">
        <f>IFERROR(__xludf.DUMMYFUNCTION("""COMPUTED_VALUE"""),"[Nhãn] NB - V - 2939 - CTY NAUY - DƯỠNG ĐÒNG (Nước nâu đen) - 500ml - 40")</f>
        <v>[Nhãn] NB - V - 2939 - CTY NAUY - DƯỠNG ĐÒNG (Nước nâu đen) - 500ml - 40</v>
      </c>
      <c r="E3665" s="87" t="str">
        <f>IFERROR(__xludf.DUMMYFUNCTION("""COMPUTED_VALUE"""),"Vi lượng AGAMA-SUPPORT")</f>
        <v>Vi lượng AGAMA-SUPPORT</v>
      </c>
      <c r="F3665" s="87" t="str">
        <f>IFERROR(__xludf.DUMMYFUNCTION("""COMPUTED_VALUE"""),"HH2939")</f>
        <v>HH2939</v>
      </c>
      <c r="G3665" s="87" t="str">
        <f>IFERROR(__xludf.DUMMYFUNCTION("""COMPUTED_VALUE"""),"NB - V - 2939 - CTY NAUY - DƯỠNG ĐÒNG (Nước nâu đen) - 500ml - 40")</f>
        <v>NB - V - 2939 - CTY NAUY - DƯỠNG ĐÒNG (Nước nâu đen) - 500ml - 40</v>
      </c>
    </row>
    <row r="3666">
      <c r="A3666" s="86">
        <f>IFERROR(__xludf.DUMMYFUNCTION("""COMPUTED_VALUE"""),3664.0)</f>
        <v>3664</v>
      </c>
      <c r="B3666" s="87" t="str">
        <f>IFERROR(__xludf.DUMMYFUNCTION("""COMPUTED_VALUE"""),"Nhãn")</f>
        <v>Nhãn</v>
      </c>
      <c r="C3666" s="87" t="str">
        <f>IFERROR(__xludf.DUMMYFUNCTION("""COMPUTED_VALUE"""),"NHG2940")</f>
        <v>NHG2940</v>
      </c>
      <c r="D3666" s="87" t="str">
        <f>IFERROR(__xludf.DUMMYFUNCTION("""COMPUTED_VALUE"""),"[Nhãn] IDA Global - I - 2940 - ĐL VŨ TRANG - PICOSUPER 280SC (Nước trắng sữa) - 250ml - 40")</f>
        <v>[Nhãn] IDA Global - I - 2940 - ĐL VŨ TRANG - PICOSUPER 280SC (Nước trắng sữa) - 250ml - 40</v>
      </c>
      <c r="E3666" s="87" t="str">
        <f>IFERROR(__xludf.DUMMYFUNCTION("""COMPUTED_VALUE"""),"PICOSUPER 280SC")</f>
        <v>PICOSUPER 280SC</v>
      </c>
      <c r="F3666" s="87" t="str">
        <f>IFERROR(__xludf.DUMMYFUNCTION("""COMPUTED_VALUE"""),"HH2940")</f>
        <v>HH2940</v>
      </c>
      <c r="G3666" s="87" t="str">
        <f>IFERROR(__xludf.DUMMYFUNCTION("""COMPUTED_VALUE"""),"IDA Global - I - 2940 - ĐL VŨ TRANG - PICOSUPER 280SC (Nước trắng sữa) - 250ml - 40")</f>
        <v>IDA Global - I - 2940 - ĐL VŨ TRANG - PICOSUPER 280SC (Nước trắng sữa) - 250ml - 40</v>
      </c>
    </row>
    <row r="3667">
      <c r="A3667" s="86">
        <f>IFERROR(__xludf.DUMMYFUNCTION("""COMPUTED_VALUE"""),3665.0)</f>
        <v>3665</v>
      </c>
      <c r="B3667" s="87" t="str">
        <f>IFERROR(__xludf.DUMMYFUNCTION("""COMPUTED_VALUE"""),"Nhãn")</f>
        <v>Nhãn</v>
      </c>
      <c r="C3667" s="87" t="str">
        <f>IFERROR(__xludf.DUMMYFUNCTION("""COMPUTED_VALUE"""),"NHG2941")</f>
        <v>NHG2941</v>
      </c>
      <c r="D3667" s="87" t="str">
        <f>IFERROR(__xludf.DUMMYFUNCTION("""COMPUTED_VALUE"""),"[Nhãn] GC - II - 2941 - LOT AGC - AGRICULTURE - POWER X20 (Nước vàng) - 90ml - 50")</f>
        <v>[Nhãn] GC - II - 2941 - LOT AGC - AGRICULTURE - POWER X20 (Nước vàng) - 90ml - 50</v>
      </c>
      <c r="E3667" s="87" t="str">
        <f>IFERROR(__xludf.DUMMYFUNCTION("""COMPUTED_VALUE"""),"Vi lượng Quantity New")</f>
        <v>Vi lượng Quantity New</v>
      </c>
      <c r="F3667" s="87" t="str">
        <f>IFERROR(__xludf.DUMMYFUNCTION("""COMPUTED_VALUE"""),"HH2941")</f>
        <v>HH2941</v>
      </c>
      <c r="G3667" s="87" t="str">
        <f>IFERROR(__xludf.DUMMYFUNCTION("""COMPUTED_VALUE"""),"GC - II - 2941 - LOT AGC - AGRICULTURE - POWER X20 (Nước vàng) - 90ml - 50")</f>
        <v>GC - II - 2941 - LOT AGC - AGRICULTURE - POWER X20 (Nước vàng) - 90ml - 50</v>
      </c>
    </row>
    <row r="3668">
      <c r="A3668" s="86">
        <f>IFERROR(__xludf.DUMMYFUNCTION("""COMPUTED_VALUE"""),3666.0)</f>
        <v>3666</v>
      </c>
      <c r="B3668" s="87" t="str">
        <f>IFERROR(__xludf.DUMMYFUNCTION("""COMPUTED_VALUE"""),"Nhãn")</f>
        <v>Nhãn</v>
      </c>
      <c r="C3668" s="87" t="str">
        <f>IFERROR(__xludf.DUMMYFUNCTION("""COMPUTED_VALUE"""),"NHG2942")</f>
        <v>NHG2942</v>
      </c>
      <c r="D3668" s="87" t="str">
        <f>IFERROR(__xludf.DUMMYFUNCTION("""COMPUTED_VALUE"""),"[Nhãn] GC - IV - 2942 - Agricare Úc - Chim Ưng 3.8EC (Nước tím) - 240ml - 40")</f>
        <v>[Nhãn] GC - IV - 2942 - Agricare Úc - Chim Ưng 3.8EC (Nước tím) - 240ml - 40</v>
      </c>
      <c r="E3668" s="87" t="str">
        <f>IFERROR(__xludf.DUMMYFUNCTION("""COMPUTED_VALUE"""),"CHIM ƯNG 3.8EC")</f>
        <v>CHIM ƯNG 3.8EC</v>
      </c>
      <c r="F3668" s="87" t="str">
        <f>IFERROR(__xludf.DUMMYFUNCTION("""COMPUTED_VALUE"""),"HH2942")</f>
        <v>HH2942</v>
      </c>
      <c r="G3668" s="87" t="str">
        <f>IFERROR(__xludf.DUMMYFUNCTION("""COMPUTED_VALUE"""),"GC - IV - 2942 - Agricare Úc - Chim Ưng 3.8EC (Nước tím) - 240ml - 40")</f>
        <v>GC - IV - 2942 - Agricare Úc - Chim Ưng 3.8EC (Nước tím) - 240ml - 40</v>
      </c>
    </row>
    <row r="3669">
      <c r="A3669" s="86">
        <f>IFERROR(__xludf.DUMMYFUNCTION("""COMPUTED_VALUE"""),3667.0)</f>
        <v>3667</v>
      </c>
      <c r="B3669" s="87" t="str">
        <f>IFERROR(__xludf.DUMMYFUNCTION("""COMPUTED_VALUE"""),"Nhãn")</f>
        <v>Nhãn</v>
      </c>
      <c r="C3669" s="87" t="str">
        <f>IFERROR(__xludf.DUMMYFUNCTION("""COMPUTED_VALUE"""),"NTN2943")</f>
        <v>NTN2943</v>
      </c>
      <c r="D3669" s="87" t="str">
        <f>IFERROR(__xludf.DUMMYFUNCTION("""COMPUTED_VALUE"""),"[Nhãn] GC - IV - 2943 - THÀNH CÔNG AGRI - METALAXYL GOLD (Bột trắng) - 100gr - 100")</f>
        <v>[Nhãn] GC - IV - 2943 - THÀNH CÔNG AGRI - METALAXYL GOLD (Bột trắng) - 100gr - 100</v>
      </c>
      <c r="E3669" s="87" t="str">
        <f>IFERROR(__xludf.DUMMYFUNCTION("""COMPUTED_VALUE"""),"Acodyl 35WP")</f>
        <v>Acodyl 35WP</v>
      </c>
      <c r="F3669" s="87" t="str">
        <f>IFERROR(__xludf.DUMMYFUNCTION("""COMPUTED_VALUE"""),"HH2943")</f>
        <v>HH2943</v>
      </c>
      <c r="G3669" s="87" t="str">
        <f>IFERROR(__xludf.DUMMYFUNCTION("""COMPUTED_VALUE"""),"GC - IV - 2943 - THÀNH CÔNG AGRI - METALAXYL GOLD (Bột trắng) - 100gr - 100")</f>
        <v>GC - IV - 2943 - THÀNH CÔNG AGRI - METALAXYL GOLD (Bột trắng) - 100gr - 100</v>
      </c>
    </row>
    <row r="3670">
      <c r="A3670" s="86">
        <f>IFERROR(__xludf.DUMMYFUNCTION("""COMPUTED_VALUE"""),3668.0)</f>
        <v>3668</v>
      </c>
      <c r="B3670" s="87" t="str">
        <f>IFERROR(__xludf.DUMMYFUNCTION("""COMPUTED_VALUE"""),"Nhãn thùng")</f>
        <v>Nhãn thùng</v>
      </c>
      <c r="C3670" s="87" t="str">
        <f>IFERROR(__xludf.DUMMYFUNCTION("""COMPUTED_VALUE"""),"NDT2943")</f>
        <v>NDT2943</v>
      </c>
      <c r="D3670" s="87" t="str">
        <f>IFERROR(__xludf.DUMMYFUNCTION("""COMPUTED_VALUE"""),"[Nhãn thùng] GC - IV - 2943 - THÀNH CÔNG AGRI - METALAXYL GOLD (Bột trắng) - 100gr - 100")</f>
        <v>[Nhãn thùng] GC - IV - 2943 - THÀNH CÔNG AGRI - METALAXYL GOLD (Bột trắng) - 100gr - 100</v>
      </c>
      <c r="E3670" s="87" t="str">
        <f>IFERROR(__xludf.DUMMYFUNCTION("""COMPUTED_VALUE"""),"Acodyl 35WP")</f>
        <v>Acodyl 35WP</v>
      </c>
      <c r="F3670" s="87" t="str">
        <f>IFERROR(__xludf.DUMMYFUNCTION("""COMPUTED_VALUE"""),"HH2943")</f>
        <v>HH2943</v>
      </c>
      <c r="G3670" s="87" t="str">
        <f>IFERROR(__xludf.DUMMYFUNCTION("""COMPUTED_VALUE"""),"GC - IV - 2943 - THÀNH CÔNG AGRI - METALAXYL GOLD (Bột trắng) - 100gr - 100")</f>
        <v>GC - IV - 2943 - THÀNH CÔNG AGRI - METALAXYL GOLD (Bột trắng) - 100gr - 100</v>
      </c>
    </row>
    <row r="3671">
      <c r="A3671" s="86">
        <f>IFERROR(__xludf.DUMMYFUNCTION("""COMPUTED_VALUE"""),3669.0)</f>
        <v>3669</v>
      </c>
      <c r="B3671" s="87" t="str">
        <f>IFERROR(__xludf.DUMMYFUNCTION("""COMPUTED_VALUE"""),"Nhãn")</f>
        <v>Nhãn</v>
      </c>
      <c r="C3671" s="87" t="str">
        <f>IFERROR(__xludf.DUMMYFUNCTION("""COMPUTED_VALUE"""),"NHD2944")</f>
        <v>NHD2944</v>
      </c>
      <c r="D3671" s="87" t="str">
        <f>IFERROR(__xludf.DUMMYFUNCTION("""COMPUTED_VALUE"""),"[Nhãn] GC - IV - 2944 - CTY XNK O2L - KÉT TÍM (Nước tím) - 400ml - 40")</f>
        <v>[Nhãn] GC - IV - 2944 - CTY XNK O2L - KÉT TÍM (Nước tím) - 400ml - 40</v>
      </c>
      <c r="E3671" s="87" t="str">
        <f>IFERROR(__xludf.DUMMYFUNCTION("""COMPUTED_VALUE"""),"Thipro 550EC")</f>
        <v>Thipro 550EC</v>
      </c>
      <c r="F3671" s="87" t="str">
        <f>IFERROR(__xludf.DUMMYFUNCTION("""COMPUTED_VALUE"""),"HH2944")</f>
        <v>HH2944</v>
      </c>
      <c r="G3671" s="87" t="str">
        <f>IFERROR(__xludf.DUMMYFUNCTION("""COMPUTED_VALUE"""),"GC - IV - 2944 - CTY XNK O2L - KÉT TÍM (Nước tím) - 400ml - 40")</f>
        <v>GC - IV - 2944 - CTY XNK O2L - KÉT TÍM (Nước tím) - 400ml - 40</v>
      </c>
    </row>
    <row r="3672">
      <c r="A3672" s="86">
        <f>IFERROR(__xludf.DUMMYFUNCTION("""COMPUTED_VALUE"""),3670.0)</f>
        <v>3670</v>
      </c>
      <c r="B3672" s="87" t="str">
        <f>IFERROR(__xludf.DUMMYFUNCTION("""COMPUTED_VALUE"""),"Nhãn thùng")</f>
        <v>Nhãn thùng</v>
      </c>
      <c r="C3672" s="87" t="str">
        <f>IFERROR(__xludf.DUMMYFUNCTION("""COMPUTED_VALUE"""),"NDT2944")</f>
        <v>NDT2944</v>
      </c>
      <c r="D3672" s="87" t="str">
        <f>IFERROR(__xludf.DUMMYFUNCTION("""COMPUTED_VALUE"""),"[Nhãn thùng] GC - IV - 2944 - CTY XNK O2L - KÉT TÍM (Nước tím) - 400ml - 40")</f>
        <v>[Nhãn thùng] GC - IV - 2944 - CTY XNK O2L - KÉT TÍM (Nước tím) - 400ml - 40</v>
      </c>
      <c r="E3672" s="87" t="str">
        <f>IFERROR(__xludf.DUMMYFUNCTION("""COMPUTED_VALUE"""),"Thipro 550EC")</f>
        <v>Thipro 550EC</v>
      </c>
      <c r="F3672" s="87" t="str">
        <f>IFERROR(__xludf.DUMMYFUNCTION("""COMPUTED_VALUE"""),"HH2944")</f>
        <v>HH2944</v>
      </c>
      <c r="G3672" s="87" t="str">
        <f>IFERROR(__xludf.DUMMYFUNCTION("""COMPUTED_VALUE"""),"GC - IV - 2944 - CTY XNK O2L - KÉT TÍM (Nước tím) - 400ml - 40")</f>
        <v>GC - IV - 2944 - CTY XNK O2L - KÉT TÍM (Nước tím) - 400ml - 40</v>
      </c>
    </row>
    <row r="3673">
      <c r="A3673" s="86">
        <f>IFERROR(__xludf.DUMMYFUNCTION("""COMPUTED_VALUE"""),3671.0)</f>
        <v>3671</v>
      </c>
      <c r="B3673" s="87" t="str">
        <f>IFERROR(__xludf.DUMMYFUNCTION("""COMPUTED_VALUE"""),"Nhãn")</f>
        <v>Nhãn</v>
      </c>
      <c r="C3673" s="87" t="str">
        <f>IFERROR(__xludf.DUMMYFUNCTION("""COMPUTED_VALUE"""),"NHG2945")</f>
        <v>NHG2945</v>
      </c>
      <c r="D3673" s="87" t="str">
        <f>IFERROR(__xludf.DUMMYFUNCTION("""COMPUTED_VALUE"""),"[Nhãn] GC - IV - 2945 - CTY XNK O2L - BÁO ĐỐM (Nước nâu đen) - 450ml - 40")</f>
        <v>[Nhãn] GC - IV - 2945 - CTY XNK O2L - BÁO ĐỐM (Nước nâu đen) - 450ml - 40</v>
      </c>
      <c r="E3673" s="87" t="str">
        <f>IFERROR(__xludf.DUMMYFUNCTION("""COMPUTED_VALUE"""),"Chitin 3.6EC")</f>
        <v>Chitin 3.6EC</v>
      </c>
      <c r="F3673" s="87" t="str">
        <f>IFERROR(__xludf.DUMMYFUNCTION("""COMPUTED_VALUE"""),"HH2945")</f>
        <v>HH2945</v>
      </c>
      <c r="G3673" s="87" t="str">
        <f>IFERROR(__xludf.DUMMYFUNCTION("""COMPUTED_VALUE"""),"GC - IV - 2945 - CTY XNK O2L - BÁO ĐỐM (Nước nâu đen) - 450ml - 40")</f>
        <v>GC - IV - 2945 - CTY XNK O2L - BÁO ĐỐM (Nước nâu đen) - 450ml - 40</v>
      </c>
    </row>
    <row r="3674">
      <c r="A3674" s="86">
        <f>IFERROR(__xludf.DUMMYFUNCTION("""COMPUTED_VALUE"""),3672.0)</f>
        <v>3672</v>
      </c>
      <c r="B3674" s="87" t="str">
        <f>IFERROR(__xludf.DUMMYFUNCTION("""COMPUTED_VALUE"""),"[HỘP]")</f>
        <v>[HỘP]</v>
      </c>
      <c r="C3674" s="87" t="str">
        <f>IFERROR(__xludf.DUMMYFUNCTION("""COMPUTED_VALUE"""),"HOP2945")</f>
        <v>HOP2945</v>
      </c>
      <c r="D3674" s="87" t="str">
        <f>IFERROR(__xludf.DUMMYFUNCTION("""COMPUTED_VALUE"""),"[HỘP] GC - IV - 2945 - CTY XNK O2L - BÁO ĐỐM (Nước nâu đen) - 450ml - 40")</f>
        <v>[HỘP] GC - IV - 2945 - CTY XNK O2L - BÁO ĐỐM (Nước nâu đen) - 450ml - 40</v>
      </c>
      <c r="E3674" s="87" t="str">
        <f>IFERROR(__xludf.DUMMYFUNCTION("""COMPUTED_VALUE"""),"Chitin 3.6EC")</f>
        <v>Chitin 3.6EC</v>
      </c>
      <c r="F3674" s="87" t="str">
        <f>IFERROR(__xludf.DUMMYFUNCTION("""COMPUTED_VALUE"""),"HH2945")</f>
        <v>HH2945</v>
      </c>
      <c r="G3674" s="87" t="str">
        <f>IFERROR(__xludf.DUMMYFUNCTION("""COMPUTED_VALUE"""),"GC - IV - 2945 - CTY XNK O2L - BÁO ĐỐM (Nước nâu đen) - 450ml - 40")</f>
        <v>GC - IV - 2945 - CTY XNK O2L - BÁO ĐỐM (Nước nâu đen) - 450ml - 40</v>
      </c>
    </row>
    <row r="3675">
      <c r="A3675" s="86">
        <f>IFERROR(__xludf.DUMMYFUNCTION("""COMPUTED_VALUE"""),3673.0)</f>
        <v>3673</v>
      </c>
      <c r="B3675" s="87" t="str">
        <f>IFERROR(__xludf.DUMMYFUNCTION("""COMPUTED_VALUE"""),"Nhãn")</f>
        <v>Nhãn</v>
      </c>
      <c r="C3675" s="87" t="str">
        <f>IFERROR(__xludf.DUMMYFUNCTION("""COMPUTED_VALUE"""),"NTN2946")</f>
        <v>NTN2946</v>
      </c>
      <c r="D3675" s="87" t="str">
        <f>IFERROR(__xludf.DUMMYFUNCTION("""COMPUTED_VALUE"""),"[Nhãn] GC - IV - 2946 - Cty Tiến Vinh - MAN XANH (Bột xanh) - 1kg - 20")</f>
        <v>[Nhãn] GC - IV - 2946 - Cty Tiến Vinh - MAN XANH (Bột xanh) - 1kg - 20</v>
      </c>
      <c r="E3675" s="87" t="str">
        <f>IFERROR(__xludf.DUMMYFUNCTION("""COMPUTED_VALUE"""),"MANCOBGO 80WP")</f>
        <v>MANCOBGO 80WP</v>
      </c>
      <c r="F3675" s="87" t="str">
        <f>IFERROR(__xludf.DUMMYFUNCTION("""COMPUTED_VALUE"""),"HH2946")</f>
        <v>HH2946</v>
      </c>
      <c r="G3675" s="87" t="str">
        <f>IFERROR(__xludf.DUMMYFUNCTION("""COMPUTED_VALUE"""),"GC - IV - 2946 - Cty Tiến Vinh - MAN XANH (Bột xanh) - 1kg - 20")</f>
        <v>GC - IV - 2946 - Cty Tiến Vinh - MAN XANH (Bột xanh) - 1kg - 20</v>
      </c>
    </row>
    <row r="3676">
      <c r="A3676" s="86">
        <f>IFERROR(__xludf.DUMMYFUNCTION("""COMPUTED_VALUE"""),3674.0)</f>
        <v>3674</v>
      </c>
      <c r="B3676" s="87" t="str">
        <f>IFERROR(__xludf.DUMMYFUNCTION("""COMPUTED_VALUE"""),"Nhãn thùng")</f>
        <v>Nhãn thùng</v>
      </c>
      <c r="C3676" s="87" t="str">
        <f>IFERROR(__xludf.DUMMYFUNCTION("""COMPUTED_VALUE"""),"NDT2946")</f>
        <v>NDT2946</v>
      </c>
      <c r="D3676" s="87" t="str">
        <f>IFERROR(__xludf.DUMMYFUNCTION("""COMPUTED_VALUE"""),"[Nhãn thùng] GC - IV - 2946 - Cty Tiến Vinh - MAN XANH (Bột xanh) - 1kg - 20")</f>
        <v>[Nhãn thùng] GC - IV - 2946 - Cty Tiến Vinh - MAN XANH (Bột xanh) - 1kg - 20</v>
      </c>
      <c r="E3676" s="87" t="str">
        <f>IFERROR(__xludf.DUMMYFUNCTION("""COMPUTED_VALUE"""),"MANCOBGO 80WP")</f>
        <v>MANCOBGO 80WP</v>
      </c>
      <c r="F3676" s="87" t="str">
        <f>IFERROR(__xludf.DUMMYFUNCTION("""COMPUTED_VALUE"""),"HH2946")</f>
        <v>HH2946</v>
      </c>
      <c r="G3676" s="87" t="str">
        <f>IFERROR(__xludf.DUMMYFUNCTION("""COMPUTED_VALUE"""),"GC - IV - 2946 - Cty Tiến Vinh - MAN XANH (Bột xanh) - 1kg - 20")</f>
        <v>GC - IV - 2946 - Cty Tiến Vinh - MAN XANH (Bột xanh) - 1kg - 20</v>
      </c>
    </row>
    <row r="3677">
      <c r="A3677" s="86">
        <f>IFERROR(__xludf.DUMMYFUNCTION("""COMPUTED_VALUE"""),3675.0)</f>
        <v>3675</v>
      </c>
      <c r="B3677" s="87" t="str">
        <f>IFERROR(__xludf.DUMMYFUNCTION("""COMPUTED_VALUE"""),"Nhãn")</f>
        <v>Nhãn</v>
      </c>
      <c r="C3677" s="87" t="str">
        <f>IFERROR(__xludf.DUMMYFUNCTION("""COMPUTED_VALUE"""),"NHG2947")</f>
        <v>NHG2947</v>
      </c>
      <c r="D3677" s="87" t="str">
        <f>IFERROR(__xludf.DUMMYFUNCTION("""COMPUTED_VALUE"""),"[Nhãn] IDA Global - I - 2947 - PICOSUPER 280SC (Nước xanh dương) - 200ml - 40")</f>
        <v>[Nhãn] IDA Global - I - 2947 - PICOSUPER 280SC (Nước xanh dương) - 200ml - 40</v>
      </c>
      <c r="E3677" s="87" t="str">
        <f>IFERROR(__xludf.DUMMYFUNCTION("""COMPUTED_VALUE"""),"PICOSUPER 280SC")</f>
        <v>PICOSUPER 280SC</v>
      </c>
      <c r="F3677" s="87" t="str">
        <f>IFERROR(__xludf.DUMMYFUNCTION("""COMPUTED_VALUE"""),"HH2947")</f>
        <v>HH2947</v>
      </c>
      <c r="G3677" s="87" t="str">
        <f>IFERROR(__xludf.DUMMYFUNCTION("""COMPUTED_VALUE"""),"IDA Global - I - 2947 - PICOSUPER 280SC (Nước xanh dương) - 200ml - 40")</f>
        <v>IDA Global - I - 2947 - PICOSUPER 280SC (Nước xanh dương) - 200ml - 40</v>
      </c>
    </row>
    <row r="3678">
      <c r="A3678" s="86">
        <f>IFERROR(__xludf.DUMMYFUNCTION("""COMPUTED_VALUE"""),3676.0)</f>
        <v>3676</v>
      </c>
      <c r="B3678" s="87" t="str">
        <f>IFERROR(__xludf.DUMMYFUNCTION("""COMPUTED_VALUE"""),"Nhãn")</f>
        <v>Nhãn</v>
      </c>
      <c r="C3678" s="87" t="str">
        <f>IFERROR(__xludf.DUMMYFUNCTION("""COMPUTED_VALUE"""),"NTN2948")</f>
        <v>NTN2948</v>
      </c>
      <c r="D3678" s="87" t="str">
        <f>IFERROR(__xludf.DUMMYFUNCTION("""COMPUTED_VALUE"""),"[Nhãn] GC - II - 2948 - AGC - VUA RẦY (Bột trắng ngà) - 100gr - 100")</f>
        <v>[Nhãn] GC - II - 2948 - AGC - VUA RẦY (Bột trắng ngà) - 100gr - 100</v>
      </c>
      <c r="E3678" s="87" t="str">
        <f>IFERROR(__xludf.DUMMYFUNCTION("""COMPUTED_VALUE"""),"NOMIDA 10WP")</f>
        <v>NOMIDA 10WP</v>
      </c>
      <c r="F3678" s="87" t="str">
        <f>IFERROR(__xludf.DUMMYFUNCTION("""COMPUTED_VALUE"""),"HH2948")</f>
        <v>HH2948</v>
      </c>
      <c r="G3678" s="87" t="str">
        <f>IFERROR(__xludf.DUMMYFUNCTION("""COMPUTED_VALUE"""),"GC - II - 2948 - AGC - VUA RẦY (Bột trắng ngà) - 100gr - 100")</f>
        <v>GC - II - 2948 - AGC - VUA RẦY (Bột trắng ngà) - 100gr - 100</v>
      </c>
    </row>
    <row r="3679">
      <c r="A3679" s="86">
        <f>IFERROR(__xludf.DUMMYFUNCTION("""COMPUTED_VALUE"""),3677.0)</f>
        <v>3677</v>
      </c>
      <c r="B3679" s="87" t="str">
        <f>IFERROR(__xludf.DUMMYFUNCTION("""COMPUTED_VALUE"""),"Nhãn thùng")</f>
        <v>Nhãn thùng</v>
      </c>
      <c r="C3679" s="87" t="str">
        <f>IFERROR(__xludf.DUMMYFUNCTION("""COMPUTED_VALUE"""),"NDT2948")</f>
        <v>NDT2948</v>
      </c>
      <c r="D3679" s="87" t="str">
        <f>IFERROR(__xludf.DUMMYFUNCTION("""COMPUTED_VALUE"""),"[Nhãn thùng] GC - II - 2948 - AGC - VUA RẦY (Bột trắng ngà) - 100gr - 100")</f>
        <v>[Nhãn thùng] GC - II - 2948 - AGC - VUA RẦY (Bột trắng ngà) - 100gr - 100</v>
      </c>
      <c r="E3679" s="87" t="str">
        <f>IFERROR(__xludf.DUMMYFUNCTION("""COMPUTED_VALUE"""),"NOMIDA 10WP")</f>
        <v>NOMIDA 10WP</v>
      </c>
      <c r="F3679" s="87" t="str">
        <f>IFERROR(__xludf.DUMMYFUNCTION("""COMPUTED_VALUE"""),"HH2948")</f>
        <v>HH2948</v>
      </c>
      <c r="G3679" s="87" t="str">
        <f>IFERROR(__xludf.DUMMYFUNCTION("""COMPUTED_VALUE"""),"GC - II - 2948 - AGC - VUA RẦY (Bột trắng ngà) - 100gr - 100")</f>
        <v>GC - II - 2948 - AGC - VUA RẦY (Bột trắng ngà) - 100gr - 100</v>
      </c>
    </row>
    <row r="3680">
      <c r="A3680" s="86">
        <f>IFERROR(__xludf.DUMMYFUNCTION("""COMPUTED_VALUE"""),3678.0)</f>
        <v>3678</v>
      </c>
      <c r="B3680" s="87" t="str">
        <f>IFERROR(__xludf.DUMMYFUNCTION("""COMPUTED_VALUE"""),"Nhãn")</f>
        <v>Nhãn</v>
      </c>
      <c r="C3680" s="87" t="str">
        <f>IFERROR(__xludf.DUMMYFUNCTION("""COMPUTED_VALUE"""),"NHG2949")</f>
        <v>NHG2949</v>
      </c>
      <c r="D3680" s="87" t="str">
        <f>IFERROR(__xludf.DUMMYFUNCTION("""COMPUTED_VALUE"""),"[Nhãn] GC - II - 2949 - NHP GROUP - KODO STOP (Nước nâu đen V5) - 1L - 20")</f>
        <v>[Nhãn] GC - II - 2949 - NHP GROUP - KODO STOP (Nước nâu đen V5) - 1L - 20</v>
      </c>
      <c r="E3680" s="87" t="str">
        <f>IFERROR(__xludf.DUMMYFUNCTION("""COMPUTED_VALUE"""),"Vi lượng Quantity New")</f>
        <v>Vi lượng Quantity New</v>
      </c>
      <c r="F3680" s="87" t="str">
        <f>IFERROR(__xludf.DUMMYFUNCTION("""COMPUTED_VALUE"""),"HH2949")</f>
        <v>HH2949</v>
      </c>
      <c r="G3680" s="87" t="str">
        <f>IFERROR(__xludf.DUMMYFUNCTION("""COMPUTED_VALUE"""),"GC - II - 2949 - NHP GROUP - KODO STOP (Nước nâu đen V5) - 1L - 20")</f>
        <v>GC - II - 2949 - NHP GROUP - KODO STOP (Nước nâu đen V5) - 1L - 20</v>
      </c>
    </row>
    <row r="3681">
      <c r="A3681" s="86">
        <f>IFERROR(__xludf.DUMMYFUNCTION("""COMPUTED_VALUE"""),3679.0)</f>
        <v>3679</v>
      </c>
      <c r="B3681" s="87" t="str">
        <f>IFERROR(__xludf.DUMMYFUNCTION("""COMPUTED_VALUE"""),"Nhãn")</f>
        <v>Nhãn</v>
      </c>
      <c r="C3681" s="87" t="str">
        <f>IFERROR(__xludf.DUMMYFUNCTION("""COMPUTED_VALUE"""),"NHG2950")</f>
        <v>NHG2950</v>
      </c>
      <c r="D3681" s="87" t="str">
        <f>IFERROR(__xludf.DUMMYFUNCTION("""COMPUTED_VALUE"""),"[Nhãn] GC - II - 2950 - CHIẾN RÂU BONSAI - PERKADO 500EC (Nước vàng trà) - 100ml - 100")</f>
        <v>[Nhãn] GC - II - 2950 - CHIẾN RÂU BONSAI - PERKADO 500EC (Nước vàng trà) - 100ml - 100</v>
      </c>
      <c r="E3681" s="87" t="str">
        <f>IFERROR(__xludf.DUMMYFUNCTION("""COMPUTED_VALUE"""),"PERKADO 500EC")</f>
        <v>PERKADO 500EC</v>
      </c>
      <c r="F3681" s="87" t="str">
        <f>IFERROR(__xludf.DUMMYFUNCTION("""COMPUTED_VALUE"""),"HH2950")</f>
        <v>HH2950</v>
      </c>
      <c r="G3681" s="87" t="str">
        <f>IFERROR(__xludf.DUMMYFUNCTION("""COMPUTED_VALUE"""),"GC - II - 2950 - CHIẾN RÂU BONSAI - PERKADO 500EC (Nước vàng trà) - 100ml - 100")</f>
        <v>GC - II - 2950 - CHIẾN RÂU BONSAI - PERKADO 500EC (Nước vàng trà) - 100ml - 100</v>
      </c>
    </row>
    <row r="3682">
      <c r="A3682" s="86">
        <f>IFERROR(__xludf.DUMMYFUNCTION("""COMPUTED_VALUE"""),3680.0)</f>
        <v>3680</v>
      </c>
      <c r="B3682" s="87" t="str">
        <f>IFERROR(__xludf.DUMMYFUNCTION("""COMPUTED_VALUE"""),"Nhãn thùng")</f>
        <v>Nhãn thùng</v>
      </c>
      <c r="C3682" s="87" t="str">
        <f>IFERROR(__xludf.DUMMYFUNCTION("""COMPUTED_VALUE"""),"NDT2950")</f>
        <v>NDT2950</v>
      </c>
      <c r="D3682" s="87" t="str">
        <f>IFERROR(__xludf.DUMMYFUNCTION("""COMPUTED_VALUE"""),"[Nhãn thùng] GC - II - 2950 - CHIẾN RÂU BONSAI - PERKADO 500EC (Nước vàng trà) - 100ml - 100")</f>
        <v>[Nhãn thùng] GC - II - 2950 - CHIẾN RÂU BONSAI - PERKADO 500EC (Nước vàng trà) - 100ml - 100</v>
      </c>
      <c r="E3682" s="87" t="str">
        <f>IFERROR(__xludf.DUMMYFUNCTION("""COMPUTED_VALUE"""),"PERKADO 500EC")</f>
        <v>PERKADO 500EC</v>
      </c>
      <c r="F3682" s="87" t="str">
        <f>IFERROR(__xludf.DUMMYFUNCTION("""COMPUTED_VALUE"""),"HH2950")</f>
        <v>HH2950</v>
      </c>
      <c r="G3682" s="87" t="str">
        <f>IFERROR(__xludf.DUMMYFUNCTION("""COMPUTED_VALUE"""),"GC - II - 2950 - CHIẾN RÂU BONSAI - PERKADO 500EC (Nước vàng trà) - 100ml - 100")</f>
        <v>GC - II - 2950 - CHIẾN RÂU BONSAI - PERKADO 500EC (Nước vàng trà) - 100ml - 100</v>
      </c>
    </row>
    <row r="3683">
      <c r="A3683" s="86">
        <f>IFERROR(__xludf.DUMMYFUNCTION("""COMPUTED_VALUE"""),3681.0)</f>
        <v>3681</v>
      </c>
      <c r="B3683" s="87" t="str">
        <f>IFERROR(__xludf.DUMMYFUNCTION("""COMPUTED_VALUE"""),"Nhãn")</f>
        <v>Nhãn</v>
      </c>
      <c r="C3683" s="87" t="str">
        <f>IFERROR(__xludf.DUMMYFUNCTION("""COMPUTED_VALUE"""),"NHG2951")</f>
        <v>NHG2951</v>
      </c>
      <c r="D3683" s="87" t="str">
        <f>IFERROR(__xludf.DUMMYFUNCTION("""COMPUTED_VALUE"""),"[Nhãn] GC - IV - 2951 - CTY QUANG ĐĂNG AGRICULTURE - GENOL 1.2SL (Nước đỏ) - 450ml - 30")</f>
        <v>[Nhãn] GC - IV - 2951 - CTY QUANG ĐĂNG AGRICULTURE - GENOL 1.2SL (Nước đỏ) - 450ml - 30</v>
      </c>
      <c r="E3683" s="87" t="str">
        <f>IFERROR(__xludf.DUMMYFUNCTION("""COMPUTED_VALUE"""),"GENOL 1.2SL")</f>
        <v>GENOL 1.2SL</v>
      </c>
      <c r="F3683" s="87" t="str">
        <f>IFERROR(__xludf.DUMMYFUNCTION("""COMPUTED_VALUE"""),"HH2951")</f>
        <v>HH2951</v>
      </c>
      <c r="G3683" s="87" t="str">
        <f>IFERROR(__xludf.DUMMYFUNCTION("""COMPUTED_VALUE"""),"GC - IV - 2951 - Cty Quang Đăng Agriculture - GENOL 1.2SL (Nước đỏ) - 450ml - 30")</f>
        <v>GC - IV - 2951 - Cty Quang Đăng Agriculture - GENOL 1.2SL (Nước đỏ) - 450ml - 30</v>
      </c>
    </row>
    <row r="3684">
      <c r="A3684" s="86">
        <f>IFERROR(__xludf.DUMMYFUNCTION("""COMPUTED_VALUE"""),3682.0)</f>
        <v>3682</v>
      </c>
      <c r="B3684" s="87" t="str">
        <f>IFERROR(__xludf.DUMMYFUNCTION("""COMPUTED_VALUE"""),"Nhãn")</f>
        <v>Nhãn</v>
      </c>
      <c r="C3684" s="87" t="str">
        <f>IFERROR(__xludf.DUMMYFUNCTION("""COMPUTED_VALUE"""),"NTN2952")</f>
        <v>NTN2952</v>
      </c>
      <c r="D3684" s="87" t="str">
        <f>IFERROR(__xludf.DUMMYFUNCTION("""COMPUTED_VALUE"""),"[Nhãn] GC - II - 2952 - AGC - NOSAU 85WP (bột trắng) - 100gr - 150")</f>
        <v>[Nhãn] GC - II - 2952 - AGC - NOSAU 85WP (bột trắng) - 100gr - 150</v>
      </c>
      <c r="E3684" s="87" t="str">
        <f>IFERROR(__xludf.DUMMYFUNCTION("""COMPUTED_VALUE"""),"NOSAU 85WP")</f>
        <v>NOSAU 85WP</v>
      </c>
      <c r="F3684" s="87" t="str">
        <f>IFERROR(__xludf.DUMMYFUNCTION("""COMPUTED_VALUE"""),"HH2952")</f>
        <v>HH2952</v>
      </c>
      <c r="G3684" s="87" t="str">
        <f>IFERROR(__xludf.DUMMYFUNCTION("""COMPUTED_VALUE"""),"GC - II - 2952 - AGC - NOSAU 85WP (bột trắng) - 100gr - 150")</f>
        <v>GC - II - 2952 - AGC - NOSAU 85WP (bột trắng) - 100gr - 150</v>
      </c>
    </row>
    <row r="3685">
      <c r="A3685" s="86">
        <f>IFERROR(__xludf.DUMMYFUNCTION("""COMPUTED_VALUE"""),3683.0)</f>
        <v>3683</v>
      </c>
      <c r="B3685" s="87" t="str">
        <f>IFERROR(__xludf.DUMMYFUNCTION("""COMPUTED_VALUE"""),"Nhãn thùng")</f>
        <v>Nhãn thùng</v>
      </c>
      <c r="C3685" s="87" t="str">
        <f>IFERROR(__xludf.DUMMYFUNCTION("""COMPUTED_VALUE"""),"NDT2952")</f>
        <v>NDT2952</v>
      </c>
      <c r="D3685" s="87" t="str">
        <f>IFERROR(__xludf.DUMMYFUNCTION("""COMPUTED_VALUE"""),"[Nhãn thùng] GC - II - 2952 - AGC - NOSAU 85WP (bột trắng) - 100gr - 150")</f>
        <v>[Nhãn thùng] GC - II - 2952 - AGC - NOSAU 85WP (bột trắng) - 100gr - 150</v>
      </c>
      <c r="E3685" s="87" t="str">
        <f>IFERROR(__xludf.DUMMYFUNCTION("""COMPUTED_VALUE"""),"NOSAU 85WP")</f>
        <v>NOSAU 85WP</v>
      </c>
      <c r="F3685" s="87" t="str">
        <f>IFERROR(__xludf.DUMMYFUNCTION("""COMPUTED_VALUE"""),"HH2952")</f>
        <v>HH2952</v>
      </c>
      <c r="G3685" s="87" t="str">
        <f>IFERROR(__xludf.DUMMYFUNCTION("""COMPUTED_VALUE"""),"GC - II - 2952 - AGC - NOSAU 85WP (bột trắng) - 100gr - 150")</f>
        <v>GC - II - 2952 - AGC - NOSAU 85WP (bột trắng) - 100gr - 150</v>
      </c>
    </row>
    <row r="3686">
      <c r="A3686" s="86">
        <f>IFERROR(__xludf.DUMMYFUNCTION("""COMPUTED_VALUE"""),3684.0)</f>
        <v>3684</v>
      </c>
      <c r="B3686" s="87" t="str">
        <f>IFERROR(__xludf.DUMMYFUNCTION("""COMPUTED_VALUE"""),"Nhãn")</f>
        <v>Nhãn</v>
      </c>
      <c r="C3686" s="87" t="str">
        <f>IFERROR(__xludf.DUMMYFUNCTION("""COMPUTED_VALUE"""),"NHG2953")</f>
        <v>NHG2953</v>
      </c>
      <c r="D3686" s="87" t="str">
        <f>IFERROR(__xludf.DUMMYFUNCTION("""COMPUTED_VALUE"""),"[Nhãn] GC - IV - 2953 - Cty Hóa Nông Shino - NEWFOSINATE 150SL (Nước tím) - 900ml - 20")</f>
        <v>[Nhãn] GC - IV - 2953 - Cty Hóa Nông Shino - NEWFOSINATE 150SL (Nước tím) - 900ml - 20</v>
      </c>
      <c r="E3686" s="87" t="str">
        <f>IFERROR(__xludf.DUMMYFUNCTION("""COMPUTED_VALUE"""),"NEWFOSINATE 150SL")</f>
        <v>NEWFOSINATE 150SL</v>
      </c>
      <c r="F3686" s="87" t="str">
        <f>IFERROR(__xludf.DUMMYFUNCTION("""COMPUTED_VALUE"""),"HH2953")</f>
        <v>HH2953</v>
      </c>
      <c r="G3686" s="87" t="str">
        <f>IFERROR(__xludf.DUMMYFUNCTION("""COMPUTED_VALUE"""),"GC - IV - 2953 - Cty Hóa Nông Shino - NEWFOSINATE 150SL (Nước tím) - 900ml - 20")</f>
        <v>GC - IV - 2953 - Cty Hóa Nông Shino - NEWFOSINATE 150SL (Nước tím) - 900ml - 20</v>
      </c>
    </row>
    <row r="3687">
      <c r="A3687" s="86">
        <f>IFERROR(__xludf.DUMMYFUNCTION("""COMPUTED_VALUE"""),3685.0)</f>
        <v>3685</v>
      </c>
      <c r="B3687" s="87" t="str">
        <f>IFERROR(__xludf.DUMMYFUNCTION("""COMPUTED_VALUE"""),"Nhãn thùng")</f>
        <v>Nhãn thùng</v>
      </c>
      <c r="C3687" s="87" t="str">
        <f>IFERROR(__xludf.DUMMYFUNCTION("""COMPUTED_VALUE"""),"NDT2953")</f>
        <v>NDT2953</v>
      </c>
      <c r="D3687" s="87" t="str">
        <f>IFERROR(__xludf.DUMMYFUNCTION("""COMPUTED_VALUE"""),"[Nhãn thùng] GC - IV - 2953 - Cty Hóa Nông Shino - NEWFOSINATE 150SL (Nước tím) - 900ml - 20")</f>
        <v>[Nhãn thùng] GC - IV - 2953 - Cty Hóa Nông Shino - NEWFOSINATE 150SL (Nước tím) - 900ml - 20</v>
      </c>
      <c r="E3687" s="87" t="str">
        <f>IFERROR(__xludf.DUMMYFUNCTION("""COMPUTED_VALUE"""),"NEWFOSINATE 150SL")</f>
        <v>NEWFOSINATE 150SL</v>
      </c>
      <c r="F3687" s="87" t="str">
        <f>IFERROR(__xludf.DUMMYFUNCTION("""COMPUTED_VALUE"""),"HH2953")</f>
        <v>HH2953</v>
      </c>
      <c r="G3687" s="87" t="str">
        <f>IFERROR(__xludf.DUMMYFUNCTION("""COMPUTED_VALUE"""),"GC - IV - 2953 - Cty Hóa Nông Shino - NEWFOSINATE 150SL (Nước tím) - 900ml - 20")</f>
        <v>GC - IV - 2953 - Cty Hóa Nông Shino - NEWFOSINATE 150SL (Nước tím) - 900ml - 20</v>
      </c>
    </row>
    <row r="3688">
      <c r="A3688" s="86">
        <f>IFERROR(__xludf.DUMMYFUNCTION("""COMPUTED_VALUE"""),3686.0)</f>
        <v>3686</v>
      </c>
      <c r="B3688" s="87" t="str">
        <f>IFERROR(__xludf.DUMMYFUNCTION("""COMPUTED_VALUE"""),"Nhãn")</f>
        <v>Nhãn</v>
      </c>
      <c r="C3688" s="87" t="str">
        <f>IFERROR(__xludf.DUMMYFUNCTION("""COMPUTED_VALUE"""),"NHD2954")</f>
        <v>NHD2954</v>
      </c>
      <c r="D3688" s="87" t="str">
        <f>IFERROR(__xludf.DUMMYFUNCTION("""COMPUTED_VALUE"""),"[Nhãn] GC - IV - 2954 - CTY QUANG ĐĂNG AGRICULTURE - VỌT ĐỌT SUPER (Nước nâu đen) - 500ml - 40")</f>
        <v>[Nhãn] GC - IV - 2954 - CTY QUANG ĐĂNG AGRICULTURE - VỌT ĐỌT SUPER (Nước nâu đen) - 500ml - 40</v>
      </c>
      <c r="E3688" s="87" t="str">
        <f>IFERROR(__xludf.DUMMYFUNCTION("""COMPUTED_VALUE"""),"Hỗn Hợp NP AGAMA-AP")</f>
        <v>Hỗn Hợp NP AGAMA-AP</v>
      </c>
      <c r="F3688" s="87" t="str">
        <f>IFERROR(__xludf.DUMMYFUNCTION("""COMPUTED_VALUE"""),"HH2954")</f>
        <v>HH2954</v>
      </c>
      <c r="G3688" s="87" t="str">
        <f>IFERROR(__xludf.DUMMYFUNCTION("""COMPUTED_VALUE"""),"GC - IV - 2954 - Cty Quang Đăng Agriculture - VỌT ĐỌT SUPER (Nước nâu đen) - 500ml - 40")</f>
        <v>GC - IV - 2954 - Cty Quang Đăng Agriculture - VỌT ĐỌT SUPER (Nước nâu đen) - 500ml - 40</v>
      </c>
    </row>
    <row r="3689">
      <c r="A3689" s="86">
        <f>IFERROR(__xludf.DUMMYFUNCTION("""COMPUTED_VALUE"""),3687.0)</f>
        <v>3687</v>
      </c>
      <c r="B3689" s="87" t="str">
        <f>IFERROR(__xludf.DUMMYFUNCTION("""COMPUTED_VALUE"""),"Nhãn thùng")</f>
        <v>Nhãn thùng</v>
      </c>
      <c r="C3689" s="87" t="str">
        <f>IFERROR(__xludf.DUMMYFUNCTION("""COMPUTED_VALUE"""),"NDT2954")</f>
        <v>NDT2954</v>
      </c>
      <c r="D3689" s="87" t="str">
        <f>IFERROR(__xludf.DUMMYFUNCTION("""COMPUTED_VALUE"""),"[Nhãn thùng] GC - IV - 2954 - CTY QUANG ĐĂNG AGRICULTURE - VỌT ĐỌT SUPER (Nước nâu đen) - 500ml - 40")</f>
        <v>[Nhãn thùng] GC - IV - 2954 - CTY QUANG ĐĂNG AGRICULTURE - VỌT ĐỌT SUPER (Nước nâu đen) - 500ml - 40</v>
      </c>
      <c r="E3689" s="87" t="str">
        <f>IFERROR(__xludf.DUMMYFUNCTION("""COMPUTED_VALUE"""),"Hỗn Hợp NP AGAMA-AP")</f>
        <v>Hỗn Hợp NP AGAMA-AP</v>
      </c>
      <c r="F3689" s="87" t="str">
        <f>IFERROR(__xludf.DUMMYFUNCTION("""COMPUTED_VALUE"""),"HH2954")</f>
        <v>HH2954</v>
      </c>
      <c r="G3689" s="87" t="str">
        <f>IFERROR(__xludf.DUMMYFUNCTION("""COMPUTED_VALUE"""),"GC - IV - 2954 - Cty Quang Đăng Agriculture - VỌT ĐỌT SUPER (Nước nâu đen) - 500ml - 40")</f>
        <v>GC - IV - 2954 - Cty Quang Đăng Agriculture - VỌT ĐỌT SUPER (Nước nâu đen) - 500ml - 40</v>
      </c>
    </row>
    <row r="3690">
      <c r="A3690" s="86">
        <f>IFERROR(__xludf.DUMMYFUNCTION("""COMPUTED_VALUE"""),3688.0)</f>
        <v>3688</v>
      </c>
      <c r="B3690" s="87" t="str">
        <f>IFERROR(__xludf.DUMMYFUNCTION("""COMPUTED_VALUE"""),"Nhãn")</f>
        <v>Nhãn</v>
      </c>
      <c r="C3690" s="87" t="str">
        <f>IFERROR(__xludf.DUMMYFUNCTION("""COMPUTED_VALUE"""),"NHD2955")</f>
        <v>NHD2955</v>
      </c>
      <c r="D3690" s="87" t="str">
        <f>IFERROR(__xludf.DUMMYFUNCTION("""COMPUTED_VALUE"""),"[Nhãn] GC - IV - 2955 - CTY QUANG ĐĂNG AGRICULTURE - SIÊU XANH LÁ (Gel xanh lá) - 500ml - 40")</f>
        <v>[Nhãn] GC - IV - 2955 - CTY QUANG ĐĂNG AGRICULTURE - SIÊU XANH LÁ (Gel xanh lá) - 500ml - 40</v>
      </c>
      <c r="E3690" s="87" t="str">
        <f>IFERROR(__xludf.DUMMYFUNCTION("""COMPUTED_VALUE"""),"Vi lượng MICKEY")</f>
        <v>Vi lượng MICKEY</v>
      </c>
      <c r="F3690" s="87" t="str">
        <f>IFERROR(__xludf.DUMMYFUNCTION("""COMPUTED_VALUE"""),"HH2955")</f>
        <v>HH2955</v>
      </c>
      <c r="G3690" s="87" t="str">
        <f>IFERROR(__xludf.DUMMYFUNCTION("""COMPUTED_VALUE"""),"GC - IV - 2955 - Cty Quang Đăng Agriculture - SIÊU XANH LÁ (Gel xanh lá) - 500ml - 40")</f>
        <v>GC - IV - 2955 - Cty Quang Đăng Agriculture - SIÊU XANH LÁ (Gel xanh lá) - 500ml - 40</v>
      </c>
    </row>
    <row r="3691">
      <c r="A3691" s="86">
        <f>IFERROR(__xludf.DUMMYFUNCTION("""COMPUTED_VALUE"""),3689.0)</f>
        <v>3689</v>
      </c>
      <c r="B3691" s="87" t="str">
        <f>IFERROR(__xludf.DUMMYFUNCTION("""COMPUTED_VALUE"""),"Nhãn thùng")</f>
        <v>Nhãn thùng</v>
      </c>
      <c r="C3691" s="87" t="str">
        <f>IFERROR(__xludf.DUMMYFUNCTION("""COMPUTED_VALUE"""),"NDT2955")</f>
        <v>NDT2955</v>
      </c>
      <c r="D3691" s="87" t="str">
        <f>IFERROR(__xludf.DUMMYFUNCTION("""COMPUTED_VALUE"""),"[Nhãn thùng] GC - IV - 2955 - CTY QUANG ĐĂNG AGRICULTURE - SIÊU XANH LÁ (Gel xanh lá) - 500ml - 40")</f>
        <v>[Nhãn thùng] GC - IV - 2955 - CTY QUANG ĐĂNG AGRICULTURE - SIÊU XANH LÁ (Gel xanh lá) - 500ml - 40</v>
      </c>
      <c r="E3691" s="87" t="str">
        <f>IFERROR(__xludf.DUMMYFUNCTION("""COMPUTED_VALUE"""),"Vi lượng MICKEY")</f>
        <v>Vi lượng MICKEY</v>
      </c>
      <c r="F3691" s="87" t="str">
        <f>IFERROR(__xludf.DUMMYFUNCTION("""COMPUTED_VALUE"""),"HH2955")</f>
        <v>HH2955</v>
      </c>
      <c r="G3691" s="87" t="str">
        <f>IFERROR(__xludf.DUMMYFUNCTION("""COMPUTED_VALUE"""),"GC - IV - 2955 - Cty Quang Đăng Agriculture - SIÊU XANH LÁ (Gel xanh lá) - 500ml - 40")</f>
        <v>GC - IV - 2955 - Cty Quang Đăng Agriculture - SIÊU XANH LÁ (Gel xanh lá) - 500ml - 40</v>
      </c>
    </row>
    <row r="3692">
      <c r="A3692" s="86">
        <f>IFERROR(__xludf.DUMMYFUNCTION("""COMPUTED_VALUE"""),3690.0)</f>
        <v>3690</v>
      </c>
      <c r="B3692" s="87" t="str">
        <f>IFERROR(__xludf.DUMMYFUNCTION("""COMPUTED_VALUE"""),"Nhãn")</f>
        <v>Nhãn</v>
      </c>
      <c r="C3692" s="87" t="str">
        <f>IFERROR(__xludf.DUMMYFUNCTION("""COMPUTED_VALUE"""),"NHG2956")</f>
        <v>NHG2956</v>
      </c>
      <c r="D3692" s="87" t="str">
        <f>IFERROR(__xludf.DUMMYFUNCTION("""COMPUTED_VALUE"""),"[Nhãn] GC - IV - 2956 - AGRITECH - GREEN GALAXY (Gel xanh lá sữa) - 500ml - 40")</f>
        <v>[Nhãn] GC - IV - 2956 - AGRITECH - GREEN GALAXY (Gel xanh lá sữa) - 500ml - 40</v>
      </c>
      <c r="E3692" s="87" t="str">
        <f>IFERROR(__xludf.DUMMYFUNCTION("""COMPUTED_VALUE"""),"Vi lượng MICKEY")</f>
        <v>Vi lượng MICKEY</v>
      </c>
      <c r="F3692" s="87" t="str">
        <f>IFERROR(__xludf.DUMMYFUNCTION("""COMPUTED_VALUE"""),"HH2956")</f>
        <v>HH2956</v>
      </c>
      <c r="G3692" s="87" t="str">
        <f>IFERROR(__xludf.DUMMYFUNCTION("""COMPUTED_VALUE"""),"GC - IV - 2956 - AGRITECH - GREEN GALAXY (Gel xanh lá sữa) - 500ml - 40")</f>
        <v>GC - IV - 2956 - AGRITECH - GREEN GALAXY (Gel xanh lá sữa) - 500ml - 40</v>
      </c>
    </row>
    <row r="3693">
      <c r="A3693" s="86">
        <f>IFERROR(__xludf.DUMMYFUNCTION("""COMPUTED_VALUE"""),3691.0)</f>
        <v>3691</v>
      </c>
      <c r="B3693" s="87" t="str">
        <f>IFERROR(__xludf.DUMMYFUNCTION("""COMPUTED_VALUE"""),"Nhãn")</f>
        <v>Nhãn</v>
      </c>
      <c r="C3693" s="87" t="str">
        <f>IFERROR(__xludf.DUMMYFUNCTION("""COMPUTED_VALUE"""),"NHG2957")</f>
        <v>NHG2957</v>
      </c>
      <c r="D3693" s="87" t="str">
        <f>IFERROR(__xludf.DUMMYFUNCTION("""COMPUTED_VALUE"""),"[Nhãn] NB - V - 2957 - CTY NAUY - SUPER NANO (Nước nâu đen) - 500ml - 40")</f>
        <v>[Nhãn] NB - V - 2957 - CTY NAUY - SUPER NANO (Nước nâu đen) - 500ml - 40</v>
      </c>
      <c r="E3693" s="87" t="str">
        <f>IFERROR(__xludf.DUMMYFUNCTION("""COMPUTED_VALUE"""),"Vi lượng AGAMA-SUPPORT")</f>
        <v>Vi lượng AGAMA-SUPPORT</v>
      </c>
      <c r="F3693" s="87" t="str">
        <f>IFERROR(__xludf.DUMMYFUNCTION("""COMPUTED_VALUE"""),"HH2957")</f>
        <v>HH2957</v>
      </c>
      <c r="G3693" s="87" t="str">
        <f>IFERROR(__xludf.DUMMYFUNCTION("""COMPUTED_VALUE"""),"NB - V - 2957 - CTY NAUY - SUPER NANO (Nước nâu đen) - 500ml - 40")</f>
        <v>NB - V - 2957 - CTY NAUY - SUPER NANO (Nước nâu đen) - 500ml - 40</v>
      </c>
    </row>
    <row r="3694">
      <c r="A3694" s="86">
        <f>IFERROR(__xludf.DUMMYFUNCTION("""COMPUTED_VALUE"""),3692.0)</f>
        <v>3692</v>
      </c>
      <c r="B3694" s="87" t="str">
        <f>IFERROR(__xludf.DUMMYFUNCTION("""COMPUTED_VALUE"""),"Nhãn")</f>
        <v>Nhãn</v>
      </c>
      <c r="C3694" s="87" t="str">
        <f>IFERROR(__xludf.DUMMYFUNCTION("""COMPUTED_VALUE"""),"NHG2958")</f>
        <v>NHG2958</v>
      </c>
      <c r="D3694" s="87" t="str">
        <f>IFERROR(__xludf.DUMMYFUNCTION("""COMPUTED_VALUE"""),"[Nhãn] LOT IDA Global - I - 2958 - Abamectin 3.6 (AG1) (Nước nâu đen) - 450ml - 40")</f>
        <v>[Nhãn] LOT IDA Global - I - 2958 - Abamectin 3.6 (AG1) (Nước nâu đen) - 450ml - 40</v>
      </c>
      <c r="E3694" s="87" t="str">
        <f>IFERROR(__xludf.DUMMYFUNCTION("""COMPUTED_VALUE"""),"HAIHAMEC 3.6EC")</f>
        <v>HAIHAMEC 3.6EC</v>
      </c>
      <c r="F3694" s="87" t="str">
        <f>IFERROR(__xludf.DUMMYFUNCTION("""COMPUTED_VALUE"""),"HH2958")</f>
        <v>HH2958</v>
      </c>
      <c r="G3694" s="87" t="str">
        <f>IFERROR(__xludf.DUMMYFUNCTION("""COMPUTED_VALUE"""),"LOT IDA Global - I - 2958 - Abamectin 3.6 (AG1) (Nước nâu đen) - 450ml - 40")</f>
        <v>LOT IDA Global - I - 2958 - Abamectin 3.6 (AG1) (Nước nâu đen) - 450ml - 40</v>
      </c>
    </row>
    <row r="3695">
      <c r="A3695" s="86">
        <f>IFERROR(__xludf.DUMMYFUNCTION("""COMPUTED_VALUE"""),3693.0)</f>
        <v>3693</v>
      </c>
      <c r="B3695" s="87" t="str">
        <f>IFERROR(__xludf.DUMMYFUNCTION("""COMPUTED_VALUE"""),"Nhãn")</f>
        <v>Nhãn</v>
      </c>
      <c r="C3695" s="87" t="str">
        <f>IFERROR(__xludf.DUMMYFUNCTION("""COMPUTED_VALUE"""),"NHG2960")</f>
        <v>NHG2960</v>
      </c>
      <c r="D3695" s="87" t="str">
        <f>IFERROR(__xludf.DUMMYFUNCTION("""COMPUTED_VALUE"""),"[Nhãn] GC - II - 2960 - ÔNG DONG VLOG - HUMI DONG (Dạng viên màu đen) - 1kg - 20")</f>
        <v>[Nhãn] GC - II - 2960 - ÔNG DONG VLOG - HUMI DONG (Dạng viên màu đen) - 1kg - 20</v>
      </c>
      <c r="E3695" s="87" t="str">
        <f>IFERROR(__xludf.DUMMYFUNCTION("""COMPUTED_VALUE"""),"Hữu cơ sinh học Nam Kinh 02")</f>
        <v>Hữu cơ sinh học Nam Kinh 02</v>
      </c>
      <c r="F3695" s="87" t="str">
        <f>IFERROR(__xludf.DUMMYFUNCTION("""COMPUTED_VALUE"""),"HH2960")</f>
        <v>HH2960</v>
      </c>
      <c r="G3695" s="87" t="str">
        <f>IFERROR(__xludf.DUMMYFUNCTION("""COMPUTED_VALUE"""),"GC - II - 2960 - ÔNG DONG VLOG - HUMI DONG (Dạng viên màu đen) - 1kg - 20")</f>
        <v>GC - II - 2960 - ÔNG DONG VLOG - HUMI DONG (Dạng viên màu đen) - 1kg - 20</v>
      </c>
    </row>
    <row r="3696">
      <c r="A3696" s="86">
        <f>IFERROR(__xludf.DUMMYFUNCTION("""COMPUTED_VALUE"""),3694.0)</f>
        <v>3694</v>
      </c>
      <c r="B3696" s="87" t="str">
        <f>IFERROR(__xludf.DUMMYFUNCTION("""COMPUTED_VALUE"""),"Nhãn thùng")</f>
        <v>Nhãn thùng</v>
      </c>
      <c r="C3696" s="87" t="str">
        <f>IFERROR(__xludf.DUMMYFUNCTION("""COMPUTED_VALUE"""),"NDT2960")</f>
        <v>NDT2960</v>
      </c>
      <c r="D3696" s="87" t="str">
        <f>IFERROR(__xludf.DUMMYFUNCTION("""COMPUTED_VALUE"""),"[Nhãn thùng] GC - II - 2960 - ÔNG DONG VLOG - HUMI DONG (Dạng viên màu đen) - 1kg - 20")</f>
        <v>[Nhãn thùng] GC - II - 2960 - ÔNG DONG VLOG - HUMI DONG (Dạng viên màu đen) - 1kg - 20</v>
      </c>
      <c r="E3696" s="87" t="str">
        <f>IFERROR(__xludf.DUMMYFUNCTION("""COMPUTED_VALUE"""),"Hữu cơ sinh học Nam Kinh 02")</f>
        <v>Hữu cơ sinh học Nam Kinh 02</v>
      </c>
      <c r="F3696" s="87" t="str">
        <f>IFERROR(__xludf.DUMMYFUNCTION("""COMPUTED_VALUE"""),"HH2960")</f>
        <v>HH2960</v>
      </c>
      <c r="G3696" s="87" t="str">
        <f>IFERROR(__xludf.DUMMYFUNCTION("""COMPUTED_VALUE"""),"GC - II - 2960 - ÔNG DONG VLOG - HUMI DONG (Dạng viên màu đen) - 1kg - 20")</f>
        <v>GC - II - 2960 - ÔNG DONG VLOG - HUMI DONG (Dạng viên màu đen) - 1kg - 20</v>
      </c>
    </row>
    <row r="3697">
      <c r="A3697" s="86">
        <f>IFERROR(__xludf.DUMMYFUNCTION("""COMPUTED_VALUE"""),3695.0)</f>
        <v>3695</v>
      </c>
      <c r="B3697" s="87" t="str">
        <f>IFERROR(__xludf.DUMMYFUNCTION("""COMPUTED_VALUE"""),"Nhãn")</f>
        <v>Nhãn</v>
      </c>
      <c r="C3697" s="87" t="str">
        <f>IFERROR(__xludf.DUMMYFUNCTION("""COMPUTED_VALUE"""),"NHG2962")</f>
        <v>NHG2962</v>
      </c>
      <c r="D3697" s="87" t="str">
        <f>IFERROR(__xludf.DUMMYFUNCTION("""COMPUTED_VALUE"""),"[Nhãn] GC - IV - 2962 - CTY QUANG ĐĂNG AGRICULTURE - DOCTOR GREEN (Nước xanh bơ sữa) - 240ml - 40")</f>
        <v>[Nhãn] GC - IV - 2962 - CTY QUANG ĐĂNG AGRICULTURE - DOCTOR GREEN (Nước xanh bơ sữa) - 240ml - 40</v>
      </c>
      <c r="E3697" s="87" t="str">
        <f>IFERROR(__xludf.DUMMYFUNCTION("""COMPUTED_VALUE"""),"MITOP ONE 390SC")</f>
        <v>MITOP ONE 390SC</v>
      </c>
      <c r="F3697" s="87" t="str">
        <f>IFERROR(__xludf.DUMMYFUNCTION("""COMPUTED_VALUE"""),"HH2962")</f>
        <v>HH2962</v>
      </c>
      <c r="G3697" s="87" t="str">
        <f>IFERROR(__xludf.DUMMYFUNCTION("""COMPUTED_VALUE"""),"GC - IV - 2962 - Cty Quang Đăng Agriculture - DOCTOR GREEN (Nước xanh bơ sữa) - 240ml - 40")</f>
        <v>GC - IV - 2962 - Cty Quang Đăng Agriculture - DOCTOR GREEN (Nước xanh bơ sữa) - 240ml - 40</v>
      </c>
    </row>
    <row r="3698">
      <c r="A3698" s="86">
        <f>IFERROR(__xludf.DUMMYFUNCTION("""COMPUTED_VALUE"""),3696.0)</f>
        <v>3696</v>
      </c>
      <c r="B3698" s="87" t="str">
        <f>IFERROR(__xludf.DUMMYFUNCTION("""COMPUTED_VALUE"""),"[Nhãn]")</f>
        <v>[Nhãn]</v>
      </c>
      <c r="C3698" s="87" t="str">
        <f>IFERROR(__xludf.DUMMYFUNCTION("""COMPUTED_VALUE"""),"NHG2963")</f>
        <v>NHG2963</v>
      </c>
      <c r="D3698" s="87" t="str">
        <f>IFERROR(__xludf.DUMMYFUNCTION("""COMPUTED_VALUE"""),"[Nhãn] GC - IV - 2963 - Cty Quang Đăng Agriculture - SUPER DREAM (Nước cam sữa) - 240ml - 40")</f>
        <v>[Nhãn] GC - IV - 2963 - Cty Quang Đăng Agriculture - SUPER DREAM (Nước cam sữa) - 240ml - 40</v>
      </c>
      <c r="E3698" s="87" t="str">
        <f>IFERROR(__xludf.DUMMYFUNCTION("""COMPUTED_VALUE"""),"VATINO SUPER 525SE")</f>
        <v>VATINO SUPER 525SE</v>
      </c>
      <c r="F3698" s="87" t="str">
        <f>IFERROR(__xludf.DUMMYFUNCTION("""COMPUTED_VALUE"""),"HH2963")</f>
        <v>HH2963</v>
      </c>
      <c r="G3698" s="87" t="str">
        <f>IFERROR(__xludf.DUMMYFUNCTION("""COMPUTED_VALUE"""),"GC - IV - 2963 - Cty Quang Đăng Agriculture - SUPER DREAM (Nước cam sữa) - 240ml - 40")</f>
        <v>GC - IV - 2963 - Cty Quang Đăng Agriculture - SUPER DREAM (Nước cam sữa) - 240ml - 40</v>
      </c>
    </row>
    <row r="3699">
      <c r="A3699" s="86">
        <f>IFERROR(__xludf.DUMMYFUNCTION("""COMPUTED_VALUE"""),3697.0)</f>
        <v>3697</v>
      </c>
      <c r="B3699" s="87" t="str">
        <f>IFERROR(__xludf.DUMMYFUNCTION("""COMPUTED_VALUE"""),"Nhãn")</f>
        <v>Nhãn</v>
      </c>
      <c r="C3699" s="87" t="str">
        <f>IFERROR(__xludf.DUMMYFUNCTION("""COMPUTED_VALUE"""),"NTN2965")</f>
        <v>NTN2965</v>
      </c>
      <c r="D3699" s="87" t="str">
        <f>IFERROR(__xludf.DUMMYFUNCTION("""COMPUTED_VALUE"""),"[Nhãn] GC - IV - 2965 - BIOTECH HÀ LAN - Mancozeb Xanh (Bột xanh) - 1kg - 20")</f>
        <v>[Nhãn] GC - IV - 2965 - BIOTECH HÀ LAN - Mancozeb Xanh (Bột xanh) - 1kg - 20</v>
      </c>
      <c r="E3699" s="87" t="str">
        <f>IFERROR(__xludf.DUMMYFUNCTION("""COMPUTED_VALUE"""),"MANCOBGO 80WP")</f>
        <v>MANCOBGO 80WP</v>
      </c>
      <c r="F3699" s="87" t="str">
        <f>IFERROR(__xludf.DUMMYFUNCTION("""COMPUTED_VALUE"""),"HH2965")</f>
        <v>HH2965</v>
      </c>
      <c r="G3699" s="87" t="str">
        <f>IFERROR(__xludf.DUMMYFUNCTION("""COMPUTED_VALUE"""),"GC - IV - 2965 - BIOTECH HÀ LAN - Mancozeb Xanh (Bột xanh) - 1kg - 20")</f>
        <v>GC - IV - 2965 - BIOTECH HÀ LAN - Mancozeb Xanh (Bột xanh) - 1kg - 20</v>
      </c>
    </row>
    <row r="3700">
      <c r="A3700" s="86">
        <f>IFERROR(__xludf.DUMMYFUNCTION("""COMPUTED_VALUE"""),3698.0)</f>
        <v>3698</v>
      </c>
      <c r="B3700" s="87" t="str">
        <f>IFERROR(__xludf.DUMMYFUNCTION("""COMPUTED_VALUE"""),"Nhãn thùng")</f>
        <v>Nhãn thùng</v>
      </c>
      <c r="C3700" s="87" t="str">
        <f>IFERROR(__xludf.DUMMYFUNCTION("""COMPUTED_VALUE"""),"NDT2965")</f>
        <v>NDT2965</v>
      </c>
      <c r="D3700" s="87" t="str">
        <f>IFERROR(__xludf.DUMMYFUNCTION("""COMPUTED_VALUE"""),"[Nhãn thùng] GC - IV - 2965 - BIOTECH HÀ LAN - Mancozeb Xanh (Bột xanh) - 1kg - 20")</f>
        <v>[Nhãn thùng] GC - IV - 2965 - BIOTECH HÀ LAN - Mancozeb Xanh (Bột xanh) - 1kg - 20</v>
      </c>
      <c r="E3700" s="87" t="str">
        <f>IFERROR(__xludf.DUMMYFUNCTION("""COMPUTED_VALUE"""),"MANCOBGO 80WP")</f>
        <v>MANCOBGO 80WP</v>
      </c>
      <c r="F3700" s="87" t="str">
        <f>IFERROR(__xludf.DUMMYFUNCTION("""COMPUTED_VALUE"""),"HH2965")</f>
        <v>HH2965</v>
      </c>
      <c r="G3700" s="87" t="str">
        <f>IFERROR(__xludf.DUMMYFUNCTION("""COMPUTED_VALUE"""),"GC - IV - 2965 - BIOTECH HÀ LAN - Mancozeb Xanh (Bột xanh) - 1kg - 20")</f>
        <v>GC - IV - 2965 - BIOTECH HÀ LAN - Mancozeb Xanh (Bột xanh) - 1kg - 20</v>
      </c>
    </row>
    <row r="3701">
      <c r="A3701" s="86" t="str">
        <f>IFERROR(__xludf.DUMMYFUNCTION("""COMPUTED_VALUE"""),"")</f>
        <v/>
      </c>
      <c r="B3701" s="87"/>
      <c r="C3701" s="87" t="str">
        <f>IFERROR(__xludf.DUMMYFUNCTION("""COMPUTED_VALUE"""),"TEM0006")</f>
        <v>TEM0006</v>
      </c>
      <c r="D3701" s="87" t="str">
        <f>IFERROR(__xludf.DUMMYFUNCTION("""COMPUTED_VALUE"""),"Tem chống hàng giả ASAHI 1.8x7cm - Decal 7 màu")</f>
        <v>Tem chống hàng giả ASAHI 1.8x7cm - Decal 7 màu</v>
      </c>
      <c r="E3701" s="87" t="str">
        <f>IFERROR(__xludf.DUMMYFUNCTION("""COMPUTED_VALUE"""),"MANCOBGO 80WP")</f>
        <v>MANCOBGO 80WP</v>
      </c>
      <c r="F3701" s="87" t="str">
        <f>IFERROR(__xludf.DUMMYFUNCTION("""COMPUTED_VALUE"""),"HH0006")</f>
        <v>HH0006</v>
      </c>
      <c r="G3701" s="87" t="str">
        <f>IFERROR(__xludf.DUMMYFUNCTION("""COMPUTED_VALUE"""),"IDA Global - I - 790 - ĐL Hoàng Hoa - Picosuper 280SC (chai Pape) - 250ml - 40")</f>
        <v>IDA Global - I - 790 - ĐL Hoàng Hoa - Picosuper 280SC (chai Pape) - 250ml - 40</v>
      </c>
    </row>
    <row r="3702">
      <c r="A3702" s="86">
        <f>IFERROR(__xludf.DUMMYFUNCTION("""COMPUTED_VALUE"""),3700.0)</f>
        <v>3700</v>
      </c>
      <c r="B3702" s="87" t="str">
        <f>IFERROR(__xludf.DUMMYFUNCTION("""COMPUTED_VALUE"""),"Nhãn")</f>
        <v>Nhãn</v>
      </c>
      <c r="C3702" s="87" t="str">
        <f>IFERROR(__xludf.DUMMYFUNCTION("""COMPUTED_VALUE"""),"NHG2966")</f>
        <v>NHG2966</v>
      </c>
      <c r="D3702" s="87" t="str">
        <f>IFERROR(__xludf.DUMMYFUNCTION("""COMPUTED_VALUE"""),"[Nhãn] GC - IV - 2966 - Cty Hóa Nông Shino - SHINO MAX (Nước trắng sữa) - 500ml - 30")</f>
        <v>[Nhãn] GC - IV - 2966 - Cty Hóa Nông Shino - SHINO MAX (Nước trắng sữa) - 500ml - 30</v>
      </c>
      <c r="E3702" s="87" t="str">
        <f>IFERROR(__xludf.DUMMYFUNCTION("""COMPUTED_VALUE"""),"Vi lượng AGAMA-CANXI BO")</f>
        <v>Vi lượng AGAMA-CANXI BO</v>
      </c>
      <c r="F3702" s="87" t="str">
        <f>IFERROR(__xludf.DUMMYFUNCTION("""COMPUTED_VALUE"""),"HH2966")</f>
        <v>HH2966</v>
      </c>
      <c r="G3702" s="87" t="str">
        <f>IFERROR(__xludf.DUMMYFUNCTION("""COMPUTED_VALUE"""),"GC - IV - 2966 - Cty Hóa Nông Shino - SHINO MAX (Nước trắng sữa) - 500ml - 30")</f>
        <v>GC - IV - 2966 - Cty Hóa Nông Shino - SHINO MAX (Nước trắng sữa) - 500ml - 30</v>
      </c>
    </row>
    <row r="3703">
      <c r="A3703" s="86">
        <f>IFERROR(__xludf.DUMMYFUNCTION("""COMPUTED_VALUE"""),3701.0)</f>
        <v>3701</v>
      </c>
      <c r="B3703" s="87" t="str">
        <f>IFERROR(__xludf.DUMMYFUNCTION("""COMPUTED_VALUE"""),"Nhãn")</f>
        <v>Nhãn</v>
      </c>
      <c r="C3703" s="87" t="str">
        <f>IFERROR(__xludf.DUMMYFUNCTION("""COMPUTED_VALUE"""),"NHG2967")</f>
        <v>NHG2967</v>
      </c>
      <c r="D3703" s="87" t="str">
        <f>IFERROR(__xludf.DUMMYFUNCTION("""COMPUTED_VALUE"""),"[Nhãn] GC - IV - 2967 - CTY THIÊN DI - JAPA VIL 110SC (Nước xanh dương) - 1L - 20")</f>
        <v>[Nhãn] GC - IV - 2967 - CTY THIÊN DI - JAPA VIL 110SC (Nước xanh dương) - 1L - 20</v>
      </c>
      <c r="E3703" s="87" t="str">
        <f>IFERROR(__xludf.DUMMYFUNCTION("""COMPUTED_VALUE"""),"JAPA VIL 110SC")</f>
        <v>JAPA VIL 110SC</v>
      </c>
      <c r="F3703" s="87" t="str">
        <f>IFERROR(__xludf.DUMMYFUNCTION("""COMPUTED_VALUE"""),"HH2967")</f>
        <v>HH2967</v>
      </c>
      <c r="G3703" s="87" t="str">
        <f>IFERROR(__xludf.DUMMYFUNCTION("""COMPUTED_VALUE"""),"GC - IV - 2967 - CTY THIÊN DI - JAPA VIL 110SC (Nước xanh dương) - 1L - 20")</f>
        <v>GC - IV - 2967 - CTY THIÊN DI - JAPA VIL 110SC (Nước xanh dương) - 1L - 20</v>
      </c>
    </row>
    <row r="3704">
      <c r="A3704" s="86">
        <f>IFERROR(__xludf.DUMMYFUNCTION("""COMPUTED_VALUE"""),3702.0)</f>
        <v>3702</v>
      </c>
      <c r="B3704" s="87" t="str">
        <f>IFERROR(__xludf.DUMMYFUNCTION("""COMPUTED_VALUE"""),"Nhãn")</f>
        <v>Nhãn</v>
      </c>
      <c r="C3704" s="87" t="str">
        <f>IFERROR(__xludf.DUMMYFUNCTION("""COMPUTED_VALUE"""),"NHD2968")</f>
        <v>NHD2968</v>
      </c>
      <c r="D3704" s="87" t="str">
        <f>IFERROR(__xludf.DUMMYFUNCTION("""COMPUTED_VALUE"""),"[Nhãn] GC - IV - 2968 - CTY DONA VINA - PHOSKA FLOWER (Nước nâu đen) - 1L - 20")</f>
        <v>[Nhãn] GC - IV - 2968 - CTY DONA VINA - PHOSKA FLOWER (Nước nâu đen) - 1L - 20</v>
      </c>
      <c r="E3704" s="87" t="str">
        <f>IFERROR(__xludf.DUMMYFUNCTION("""COMPUTED_VALUE"""),"Vi lượng Quantity New")</f>
        <v>Vi lượng Quantity New</v>
      </c>
      <c r="F3704" s="87" t="str">
        <f>IFERROR(__xludf.DUMMYFUNCTION("""COMPUTED_VALUE"""),"HH2968")</f>
        <v>HH2968</v>
      </c>
      <c r="G3704" s="87" t="str">
        <f>IFERROR(__xludf.DUMMYFUNCTION("""COMPUTED_VALUE"""),"GC - IV - 2968 - CTY DONA VINA - PHOSKA FLOWER (Nước nâu đen) - 1L - 20")</f>
        <v>GC - IV - 2968 - CTY DONA VINA - PHOSKA FLOWER (Nước nâu đen) - 1L - 20</v>
      </c>
    </row>
    <row r="3705">
      <c r="A3705" s="86">
        <f>IFERROR(__xludf.DUMMYFUNCTION("""COMPUTED_VALUE"""),3703.0)</f>
        <v>3703</v>
      </c>
      <c r="B3705" s="87" t="str">
        <f>IFERROR(__xludf.DUMMYFUNCTION("""COMPUTED_VALUE"""),"Nhãn thùng")</f>
        <v>Nhãn thùng</v>
      </c>
      <c r="C3705" s="87" t="str">
        <f>IFERROR(__xludf.DUMMYFUNCTION("""COMPUTED_VALUE"""),"NDT2968")</f>
        <v>NDT2968</v>
      </c>
      <c r="D3705" s="87" t="str">
        <f>IFERROR(__xludf.DUMMYFUNCTION("""COMPUTED_VALUE"""),"[Nhãn thùng] GC - IV - 2968 - CTY DONA VINA - PHOSKA FLOWER (Nước nâu đen) - 1L - 20")</f>
        <v>[Nhãn thùng] GC - IV - 2968 - CTY DONA VINA - PHOSKA FLOWER (Nước nâu đen) - 1L - 20</v>
      </c>
      <c r="E3705" s="87" t="str">
        <f>IFERROR(__xludf.DUMMYFUNCTION("""COMPUTED_VALUE"""),"Vi lượng Quantity New")</f>
        <v>Vi lượng Quantity New</v>
      </c>
      <c r="F3705" s="87" t="str">
        <f>IFERROR(__xludf.DUMMYFUNCTION("""COMPUTED_VALUE"""),"HH2968")</f>
        <v>HH2968</v>
      </c>
      <c r="G3705" s="87" t="str">
        <f>IFERROR(__xludf.DUMMYFUNCTION("""COMPUTED_VALUE"""),"GC - IV - 2968 - CTY DONA VINA - PHOSKA FLOWER (Nước nâu đen) - 1L - 20")</f>
        <v>GC - IV - 2968 - CTY DONA VINA - PHOSKA FLOWER (Nước nâu đen) - 1L - 20</v>
      </c>
    </row>
    <row r="3706">
      <c r="A3706" s="86">
        <f>IFERROR(__xludf.DUMMYFUNCTION("""COMPUTED_VALUE"""),3704.0)</f>
        <v>3704</v>
      </c>
      <c r="B3706" s="87" t="str">
        <f>IFERROR(__xludf.DUMMYFUNCTION("""COMPUTED_VALUE"""),"[HỘP]")</f>
        <v>[HỘP]</v>
      </c>
      <c r="C3706" s="87" t="str">
        <f>IFERROR(__xludf.DUMMYFUNCTION("""COMPUTED_VALUE"""),"HOP2969")</f>
        <v>HOP2969</v>
      </c>
      <c r="D3706" s="87" t="str">
        <f>IFERROR(__xludf.DUMMYFUNCTION("""COMPUTED_VALUE"""),"[HOP] GC - IV - 2969 - CTY NÔNG DƯỢC BETA - BETA VÔ GẠO 555 (Nước hồng nhạt) - 500ml - 30")</f>
        <v>[HOP] GC - IV - 2969 - CTY NÔNG DƯỢC BETA - BETA VÔ GẠO 555 (Nước hồng nhạt) - 500ml - 30</v>
      </c>
      <c r="E3706" s="87" t="str">
        <f>IFERROR(__xludf.DUMMYFUNCTION("""COMPUTED_VALUE"""),"NPK-Vi lượng MASSIVE-BLUE")</f>
        <v>NPK-Vi lượng MASSIVE-BLUE</v>
      </c>
      <c r="F3706" s="87" t="str">
        <f>IFERROR(__xludf.DUMMYFUNCTION("""COMPUTED_VALUE"""),"HH2969")</f>
        <v>HH2969</v>
      </c>
      <c r="G3706" s="87" t="str">
        <f>IFERROR(__xludf.DUMMYFUNCTION("""COMPUTED_VALUE"""),"GC - IV - 2969 - CTY NÔNG DƯỢC BETA - BETA VÔ GẠO 555 (Nước hồng nhạt) - 500ml - 30")</f>
        <v>GC - IV - 2969 - CTY NÔNG DƯỢC BETA - BETA VÔ GẠO 555 (Nước hồng nhạt) - 500ml - 30</v>
      </c>
    </row>
    <row r="3707">
      <c r="A3707" s="86">
        <f>IFERROR(__xludf.DUMMYFUNCTION("""COMPUTED_VALUE"""),3705.0)</f>
        <v>3705</v>
      </c>
      <c r="B3707" s="87" t="str">
        <f>IFERROR(__xludf.DUMMYFUNCTION("""COMPUTED_VALUE"""),"Nhãn")</f>
        <v>Nhãn</v>
      </c>
      <c r="C3707" s="87" t="str">
        <f>IFERROR(__xludf.DUMMYFUNCTION("""COMPUTED_VALUE"""),"NHG2969")</f>
        <v>NHG2969</v>
      </c>
      <c r="D3707" s="87" t="str">
        <f>IFERROR(__xludf.DUMMYFUNCTION("""COMPUTED_VALUE"""),"[Nhãn] GC - IV - 2969 - CTY NÔNG DƯỢC BETA - BETA VÔ GẠO 555 (Nước hồng nhạt) - 500ml - 30")</f>
        <v>[Nhãn] GC - IV - 2969 - CTY NÔNG DƯỢC BETA - BETA VÔ GẠO 555 (Nước hồng nhạt) - 500ml - 30</v>
      </c>
      <c r="E3707" s="87" t="str">
        <f>IFERROR(__xludf.DUMMYFUNCTION("""COMPUTED_VALUE"""),"NPK-Vi lượng MASSIVE-BLUE")</f>
        <v>NPK-Vi lượng MASSIVE-BLUE</v>
      </c>
      <c r="F3707" s="87" t="str">
        <f>IFERROR(__xludf.DUMMYFUNCTION("""COMPUTED_VALUE"""),"HH2969")</f>
        <v>HH2969</v>
      </c>
      <c r="G3707" s="87" t="str">
        <f>IFERROR(__xludf.DUMMYFUNCTION("""COMPUTED_VALUE"""),"GC - IV - 2969 - CTY NÔNG DƯỢC BETA - BETA VÔ GẠO 555 (Nước hồng nhạt) - 500ml - 30")</f>
        <v>GC - IV - 2969 - CTY NÔNG DƯỢC BETA - BETA VÔ GẠO 555 (Nước hồng nhạt) - 500ml - 30</v>
      </c>
    </row>
    <row r="3708">
      <c r="A3708" s="86">
        <f>IFERROR(__xludf.DUMMYFUNCTION("""COMPUTED_VALUE"""),3706.0)</f>
        <v>3706</v>
      </c>
      <c r="B3708" s="87" t="str">
        <f>IFERROR(__xludf.DUMMYFUNCTION("""COMPUTED_VALUE"""),"[HỘP]")</f>
        <v>[HỘP]</v>
      </c>
      <c r="C3708" s="87" t="str">
        <f>IFERROR(__xludf.DUMMYFUNCTION("""COMPUTED_VALUE"""),"HOP2970")</f>
        <v>HOP2970</v>
      </c>
      <c r="D3708" s="87" t="str">
        <f>IFERROR(__xludf.DUMMYFUNCTION("""COMPUTED_VALUE"""),"[HOP] GC - IV - 2970 - CTY NÔNG DƯỢC BETA - BETA AMINO KẼM (Nước xanh lá sữa) - 500ml - 30")</f>
        <v>[HOP] GC - IV - 2970 - CTY NÔNG DƯỢC BETA - BETA AMINO KẼM (Nước xanh lá sữa) - 500ml - 30</v>
      </c>
      <c r="E3708" s="87" t="str">
        <f>IFERROR(__xludf.DUMMYFUNCTION("""COMPUTED_VALUE"""),"Vi lượng MICKEY")</f>
        <v>Vi lượng MICKEY</v>
      </c>
      <c r="F3708" s="87" t="str">
        <f>IFERROR(__xludf.DUMMYFUNCTION("""COMPUTED_VALUE"""),"HH2970")</f>
        <v>HH2970</v>
      </c>
      <c r="G3708" s="87" t="str">
        <f>IFERROR(__xludf.DUMMYFUNCTION("""COMPUTED_VALUE"""),"GC - IV - 2970 - CTY NÔNG DƯỢC BETA - BETA AMINO KẼM (Nước xanh lá sữa) - 500ml - 30")</f>
        <v>GC - IV - 2970 - CTY NÔNG DƯỢC BETA - BETA AMINO KẼM (Nước xanh lá sữa) - 500ml - 30</v>
      </c>
    </row>
    <row r="3709">
      <c r="A3709" s="86">
        <f>IFERROR(__xludf.DUMMYFUNCTION("""COMPUTED_VALUE"""),3707.0)</f>
        <v>3707</v>
      </c>
      <c r="B3709" s="87" t="str">
        <f>IFERROR(__xludf.DUMMYFUNCTION("""COMPUTED_VALUE"""),"Nhãn")</f>
        <v>Nhãn</v>
      </c>
      <c r="C3709" s="87" t="str">
        <f>IFERROR(__xludf.DUMMYFUNCTION("""COMPUTED_VALUE"""),"NHG2970")</f>
        <v>NHG2970</v>
      </c>
      <c r="D3709" s="87" t="str">
        <f>IFERROR(__xludf.DUMMYFUNCTION("""COMPUTED_VALUE"""),"[Nhãn] GC - IV - 2970 - CTY NÔNG DƯỢC BETA - BETA AMINO KẼM (Nước xanh lá sữa) - 500ml - 30")</f>
        <v>[Nhãn] GC - IV - 2970 - CTY NÔNG DƯỢC BETA - BETA AMINO KẼM (Nước xanh lá sữa) - 500ml - 30</v>
      </c>
      <c r="E3709" s="87" t="str">
        <f>IFERROR(__xludf.DUMMYFUNCTION("""COMPUTED_VALUE"""),"Vi lượng MICKEY")</f>
        <v>Vi lượng MICKEY</v>
      </c>
      <c r="F3709" s="87" t="str">
        <f>IFERROR(__xludf.DUMMYFUNCTION("""COMPUTED_VALUE"""),"HH2970")</f>
        <v>HH2970</v>
      </c>
      <c r="G3709" s="87" t="str">
        <f>IFERROR(__xludf.DUMMYFUNCTION("""COMPUTED_VALUE"""),"GC - IV - 2970 - CTY NÔNG DƯỢC BETA - BETA AMINO KẼM (Nước xanh lá sữa) - 500ml - 30")</f>
        <v>GC - IV - 2970 - CTY NÔNG DƯỢC BETA - BETA AMINO KẼM (Nước xanh lá sữa) - 500ml - 30</v>
      </c>
    </row>
    <row r="3710">
      <c r="A3710" s="86">
        <f>IFERROR(__xludf.DUMMYFUNCTION("""COMPUTED_VALUE"""),3708.0)</f>
        <v>3708</v>
      </c>
      <c r="B3710" s="87" t="str">
        <f>IFERROR(__xludf.DUMMYFUNCTION("""COMPUTED_VALUE"""),"Nhãn")</f>
        <v>Nhãn</v>
      </c>
      <c r="C3710" s="87" t="str">
        <f>IFERROR(__xludf.DUMMYFUNCTION("""COMPUTED_VALUE"""),"NTN2971")</f>
        <v>NTN2971</v>
      </c>
      <c r="D3710" s="87" t="str">
        <f>IFERROR(__xludf.DUMMYFUNCTION("""COMPUTED_VALUE"""),"[Nhãn] GC - IV - 2971 - Cty Thần Nông - Mancozeb Xanh (bột xanh) - 1kg - 20")</f>
        <v>[Nhãn] GC - IV - 2971 - Cty Thần Nông - Mancozeb Xanh (bột xanh) - 1kg - 20</v>
      </c>
      <c r="E3710" s="87" t="str">
        <f>IFERROR(__xludf.DUMMYFUNCTION("""COMPUTED_VALUE"""),"MANCOBGO 80WP")</f>
        <v>MANCOBGO 80WP</v>
      </c>
      <c r="F3710" s="87" t="str">
        <f>IFERROR(__xludf.DUMMYFUNCTION("""COMPUTED_VALUE"""),"HH2971")</f>
        <v>HH2971</v>
      </c>
      <c r="G3710" s="87" t="str">
        <f>IFERROR(__xludf.DUMMYFUNCTION("""COMPUTED_VALUE"""),"GC - IV - 2971 - Cty Thần Nông - Mancozeb Xanh (bột xanh) - 1kg - 20")</f>
        <v>GC - IV - 2971 - Cty Thần Nông - Mancozeb Xanh (bột xanh) - 1kg - 20</v>
      </c>
    </row>
    <row r="3711">
      <c r="A3711" s="86">
        <f>IFERROR(__xludf.DUMMYFUNCTION("""COMPUTED_VALUE"""),3709.0)</f>
        <v>3709</v>
      </c>
      <c r="B3711" s="87" t="str">
        <f>IFERROR(__xludf.DUMMYFUNCTION("""COMPUTED_VALUE"""),"Nhãn thùng")</f>
        <v>Nhãn thùng</v>
      </c>
      <c r="C3711" s="87" t="str">
        <f>IFERROR(__xludf.DUMMYFUNCTION("""COMPUTED_VALUE"""),"NDT2971")</f>
        <v>NDT2971</v>
      </c>
      <c r="D3711" s="87" t="str">
        <f>IFERROR(__xludf.DUMMYFUNCTION("""COMPUTED_VALUE"""),"[Nhãn thùng] GC - IV - 2971 - Cty Thần Nông - Mancozeb Xanh (bột xanh) - 1kg - 20")</f>
        <v>[Nhãn thùng] GC - IV - 2971 - Cty Thần Nông - Mancozeb Xanh (bột xanh) - 1kg - 20</v>
      </c>
      <c r="E3711" s="87" t="str">
        <f>IFERROR(__xludf.DUMMYFUNCTION("""COMPUTED_VALUE"""),"MANCOBGO 80WP")</f>
        <v>MANCOBGO 80WP</v>
      </c>
      <c r="F3711" s="87" t="str">
        <f>IFERROR(__xludf.DUMMYFUNCTION("""COMPUTED_VALUE"""),"HH2971")</f>
        <v>HH2971</v>
      </c>
      <c r="G3711" s="87" t="str">
        <f>IFERROR(__xludf.DUMMYFUNCTION("""COMPUTED_VALUE"""),"GC - IV - 2971 - Cty Thần Nông - Mancozeb Xanh (bột xanh) - 1kg - 20")</f>
        <v>GC - IV - 2971 - Cty Thần Nông - Mancozeb Xanh (bột xanh) - 1kg - 20</v>
      </c>
    </row>
    <row r="3712">
      <c r="A3712" s="86">
        <f>IFERROR(__xludf.DUMMYFUNCTION("""COMPUTED_VALUE"""),3710.0)</f>
        <v>3710</v>
      </c>
      <c r="B3712" s="87" t="str">
        <f>IFERROR(__xludf.DUMMYFUNCTION("""COMPUTED_VALUE"""),"Nhãn")</f>
        <v>Nhãn</v>
      </c>
      <c r="C3712" s="87" t="str">
        <f>IFERROR(__xludf.DUMMYFUNCTION("""COMPUTED_VALUE"""),"NHG2974")</f>
        <v>NHG2974</v>
      </c>
      <c r="D3712" s="87" t="str">
        <f>IFERROR(__xludf.DUMMYFUNCTION("""COMPUTED_VALUE"""),"[Nhãn] GC - IV - 2974 - NHP GROUP - ULTRA KEO GROW (Nước nâu ngã xanh rêu) - 200ml - 40")</f>
        <v>[Nhãn] GC - IV - 2974 - NHP GROUP - ULTRA KEO GROW (Nước nâu ngã xanh rêu) - 200ml - 40</v>
      </c>
      <c r="E3712" s="87" t="str">
        <f>IFERROR(__xludf.DUMMYFUNCTION("""COMPUTED_VALUE"""),"Hữu cơ SH Agro Organic Fertilizer 20")</f>
        <v>Hữu cơ SH Agro Organic Fertilizer 20</v>
      </c>
      <c r="F3712" s="87" t="str">
        <f>IFERROR(__xludf.DUMMYFUNCTION("""COMPUTED_VALUE"""),"HH2974")</f>
        <v>HH2974</v>
      </c>
      <c r="G3712" s="87" t="str">
        <f>IFERROR(__xludf.DUMMYFUNCTION("""COMPUTED_VALUE"""),"GC - IV - 2974 - NHP GROUP - ULTRA KEO GROW (Nước nâu ngã xanh rêu) - 200ml - 40")</f>
        <v>GC - IV - 2974 - NHP GROUP - ULTRA KEO GROW (Nước nâu ngã xanh rêu) - 200ml - 40</v>
      </c>
    </row>
    <row r="3713">
      <c r="A3713" s="86">
        <f>IFERROR(__xludf.DUMMYFUNCTION("""COMPUTED_VALUE"""),3711.0)</f>
        <v>3711</v>
      </c>
      <c r="B3713" s="87" t="str">
        <f>IFERROR(__xludf.DUMMYFUNCTION("""COMPUTED_VALUE"""),"Nhãn")</f>
        <v>Nhãn</v>
      </c>
      <c r="C3713" s="87" t="str">
        <f>IFERROR(__xludf.DUMMYFUNCTION("""COMPUTED_VALUE"""),"NHG2975")</f>
        <v>NHG2975</v>
      </c>
      <c r="D3713" s="87" t="str">
        <f>IFERROR(__xludf.DUMMYFUNCTION("""COMPUTED_VALUE"""),"[Nhãn] LOT IDA Global - I - 2975 - ĐL Minh Nga - 3.6 CÒ (nước nâu đen) - 450ml - 40")</f>
        <v>[Nhãn] LOT IDA Global - I - 2975 - ĐL Minh Nga - 3.6 CÒ (nước nâu đen) - 450ml - 40</v>
      </c>
      <c r="E3713" s="87" t="str">
        <f>IFERROR(__xludf.DUMMYFUNCTION("""COMPUTED_VALUE"""),"HAIHAMEC 3.6EC")</f>
        <v>HAIHAMEC 3.6EC</v>
      </c>
      <c r="F3713" s="87" t="str">
        <f>IFERROR(__xludf.DUMMYFUNCTION("""COMPUTED_VALUE"""),"HH2975")</f>
        <v>HH2975</v>
      </c>
      <c r="G3713" s="87" t="str">
        <f>IFERROR(__xludf.DUMMYFUNCTION("""COMPUTED_VALUE"""),"LOT IDA Global - I - 2975 - ĐL Minh Nga - 3.6 CÒ (nước nâu đen) - 450ml - 40")</f>
        <v>LOT IDA Global - I - 2975 - ĐL Minh Nga - 3.6 CÒ (nước nâu đen) - 450ml - 40</v>
      </c>
    </row>
    <row r="3714">
      <c r="A3714" s="86">
        <f>IFERROR(__xludf.DUMMYFUNCTION("""COMPUTED_VALUE"""),3712.0)</f>
        <v>3712</v>
      </c>
      <c r="B3714" s="87" t="str">
        <f>IFERROR(__xludf.DUMMYFUNCTION("""COMPUTED_VALUE"""),"Nhãn")</f>
        <v>Nhãn</v>
      </c>
      <c r="C3714" s="87" t="str">
        <f>IFERROR(__xludf.DUMMYFUNCTION("""COMPUTED_VALUE"""),"NHD2976")</f>
        <v>NHD2976</v>
      </c>
      <c r="D3714" s="87" t="str">
        <f>IFERROR(__xludf.DUMMYFUNCTION("""COMPUTED_VALUE"""),"[Nhãn] LOT IDA Global - I - 2976 - ĐL Minh Nga - 3.6 CÒ (nước nâu đen) - 450ml - 40")</f>
        <v>[Nhãn] LOT IDA Global - I - 2976 - ĐL Minh Nga - 3.6 CÒ (nước nâu đen) - 450ml - 40</v>
      </c>
      <c r="E3714" s="87" t="str">
        <f>IFERROR(__xludf.DUMMYFUNCTION("""COMPUTED_VALUE"""),"HAIHAMEC 3.6EC")</f>
        <v>HAIHAMEC 3.6EC</v>
      </c>
      <c r="F3714" s="87" t="str">
        <f>IFERROR(__xludf.DUMMYFUNCTION("""COMPUTED_VALUE"""),"HH2976")</f>
        <v>HH2976</v>
      </c>
      <c r="G3714" s="87" t="str">
        <f>IFERROR(__xludf.DUMMYFUNCTION("""COMPUTED_VALUE"""),"LOT IDA Global - I - 2976 - ĐL Minh Nga - 3.6 CÒ (nước nâu đen) - 450ml - 40")</f>
        <v>LOT IDA Global - I - 2976 - ĐL Minh Nga - 3.6 CÒ (nước nâu đen) - 450ml - 40</v>
      </c>
    </row>
    <row r="3715">
      <c r="A3715" s="86">
        <f>IFERROR(__xludf.DUMMYFUNCTION("""COMPUTED_VALUE"""),3713.0)</f>
        <v>3713</v>
      </c>
      <c r="B3715" s="87" t="str">
        <f>IFERROR(__xludf.DUMMYFUNCTION("""COMPUTED_VALUE"""),"Nhãn thùng")</f>
        <v>Nhãn thùng</v>
      </c>
      <c r="C3715" s="87" t="str">
        <f>IFERROR(__xludf.DUMMYFUNCTION("""COMPUTED_VALUE"""),"NDT2976")</f>
        <v>NDT2976</v>
      </c>
      <c r="D3715" s="87" t="str">
        <f>IFERROR(__xludf.DUMMYFUNCTION("""COMPUTED_VALUE"""),"[Nhãn thùng] LOT IDA Global - I - 2976 - ĐL Minh Nga - 3.6 CÒ (nước nâu đen) - 450ml - 40")</f>
        <v>[Nhãn thùng] LOT IDA Global - I - 2976 - ĐL Minh Nga - 3.6 CÒ (nước nâu đen) - 450ml - 40</v>
      </c>
      <c r="E3715" s="87" t="str">
        <f>IFERROR(__xludf.DUMMYFUNCTION("""COMPUTED_VALUE"""),"HAIHAMEC 3.6EC")</f>
        <v>HAIHAMEC 3.6EC</v>
      </c>
      <c r="F3715" s="87" t="str">
        <f>IFERROR(__xludf.DUMMYFUNCTION("""COMPUTED_VALUE"""),"HH2976")</f>
        <v>HH2976</v>
      </c>
      <c r="G3715" s="87" t="str">
        <f>IFERROR(__xludf.DUMMYFUNCTION("""COMPUTED_VALUE"""),"LOT IDA Global - I - 2976 - ĐL Minh Nga - 3.6 CÒ (nước nâu đen) - 450ml - 40")</f>
        <v>LOT IDA Global - I - 2976 - ĐL Minh Nga - 3.6 CÒ (nước nâu đen) - 450ml - 40</v>
      </c>
    </row>
    <row r="3716">
      <c r="A3716" s="86">
        <f>IFERROR(__xludf.DUMMYFUNCTION("""COMPUTED_VALUE"""),3714.0)</f>
        <v>3714</v>
      </c>
      <c r="B3716" s="87" t="str">
        <f>IFERROR(__xludf.DUMMYFUNCTION("""COMPUTED_VALUE"""),"Nhãn")</f>
        <v>Nhãn</v>
      </c>
      <c r="C3716" s="87" t="str">
        <f>IFERROR(__xludf.DUMMYFUNCTION("""COMPUTED_VALUE"""),"NHG2978")</f>
        <v>NHG2978</v>
      </c>
      <c r="D3716" s="87" t="str">
        <f>IFERROR(__xludf.DUMMYFUNCTION("""COMPUTED_VALUE"""),"[Nhãn] NB - V - 2978 - CTY NAUY - TH-TL GOLD (Nước nâu đen) - 500ml - 40")</f>
        <v>[Nhãn] NB - V - 2978 - CTY NAUY - TH-TL GOLD (Nước nâu đen) - 500ml - 40</v>
      </c>
      <c r="E3716" s="87" t="str">
        <f>IFERROR(__xludf.DUMMYFUNCTION("""COMPUTED_VALUE"""),"Vi lượng AGAMA-SUPPORT")</f>
        <v>Vi lượng AGAMA-SUPPORT</v>
      </c>
      <c r="F3716" s="87" t="str">
        <f>IFERROR(__xludf.DUMMYFUNCTION("""COMPUTED_VALUE"""),"HH2978")</f>
        <v>HH2978</v>
      </c>
      <c r="G3716" s="87" t="str">
        <f>IFERROR(__xludf.DUMMYFUNCTION("""COMPUTED_VALUE"""),"NB - V - 2978 - CTY NAUY - TH-TL GOLD (Nước nâu đen) - 500ml - 40")</f>
        <v>NB - V - 2978 - CTY NAUY - TH-TL GOLD (Nước nâu đen) - 500ml - 40</v>
      </c>
    </row>
    <row r="3717">
      <c r="A3717" s="86">
        <f>IFERROR(__xludf.DUMMYFUNCTION("""COMPUTED_VALUE"""),3715.0)</f>
        <v>3715</v>
      </c>
      <c r="B3717" s="87" t="str">
        <f>IFERROR(__xludf.DUMMYFUNCTION("""COMPUTED_VALUE"""),"Nhãn")</f>
        <v>Nhãn</v>
      </c>
      <c r="C3717" s="87" t="str">
        <f>IFERROR(__xludf.DUMMYFUNCTION("""COMPUTED_VALUE"""),"NHG2979")</f>
        <v>NHG2979</v>
      </c>
      <c r="D3717" s="87" t="str">
        <f>IFERROR(__xludf.DUMMYFUNCTION("""COMPUTED_VALUE"""),"[Nhãn] GC - II - 2979 - Anh Huỳnh - RAYXANH 200WP (nước trắng sữa) - 1L - 20")</f>
        <v>[Nhãn] GC - II - 2979 - Anh Huỳnh - RAYXANH 200WP (nước trắng sữa) - 1L - 20</v>
      </c>
      <c r="E3717" s="87" t="str">
        <f>IFERROR(__xludf.DUMMYFUNCTION("""COMPUTED_VALUE"""),"RAYXANH 200WP")</f>
        <v>RAYXANH 200WP</v>
      </c>
      <c r="F3717" s="87" t="str">
        <f>IFERROR(__xludf.DUMMYFUNCTION("""COMPUTED_VALUE"""),"HH2979")</f>
        <v>HH2979</v>
      </c>
      <c r="G3717" s="87" t="str">
        <f>IFERROR(__xludf.DUMMYFUNCTION("""COMPUTED_VALUE"""),"GC - II - 2979 - Anh Huỳnh - RAYXANH 200WP (nước trắng sữa) - 1L - 20")</f>
        <v>GC - II - 2979 - Anh Huỳnh - RAYXANH 200WP (nước trắng sữa) - 1L - 20</v>
      </c>
    </row>
    <row r="3718">
      <c r="A3718" s="86">
        <f>IFERROR(__xludf.DUMMYFUNCTION("""COMPUTED_VALUE"""),3716.0)</f>
        <v>3716</v>
      </c>
      <c r="B3718" s="87" t="str">
        <f>IFERROR(__xludf.DUMMYFUNCTION("""COMPUTED_VALUE"""),"Nhãn phụ")</f>
        <v>Nhãn phụ</v>
      </c>
      <c r="C3718" s="87" t="str">
        <f>IFERROR(__xludf.DUMMYFUNCTION("""COMPUTED_VALUE"""),"NHP2979")</f>
        <v>NHP2979</v>
      </c>
      <c r="D3718" s="87" t="str">
        <f>IFERROR(__xludf.DUMMYFUNCTION("""COMPUTED_VALUE"""),"[Nhãn Phụ] GC - II - 2979 - Anh Huỳnh - RAYXANH 200WP (nước trắng sữa) - 1L - 20")</f>
        <v>[Nhãn Phụ] GC - II - 2979 - Anh Huỳnh - RAYXANH 200WP (nước trắng sữa) - 1L - 20</v>
      </c>
      <c r="E3718" s="87" t="str">
        <f>IFERROR(__xludf.DUMMYFUNCTION("""COMPUTED_VALUE"""),"RAYXANH 200WP")</f>
        <v>RAYXANH 200WP</v>
      </c>
      <c r="F3718" s="87" t="str">
        <f>IFERROR(__xludf.DUMMYFUNCTION("""COMPUTED_VALUE"""),"HH2979")</f>
        <v>HH2979</v>
      </c>
      <c r="G3718" s="87" t="str">
        <f>IFERROR(__xludf.DUMMYFUNCTION("""COMPUTED_VALUE"""),"GC - II - 2979 - Anh Huỳnh - RAYXANH 200WP (nước trắng sữa) - 1L - 20")</f>
        <v>GC - II - 2979 - Anh Huỳnh - RAYXANH 200WP (nước trắng sữa) - 1L - 20</v>
      </c>
    </row>
    <row r="3719">
      <c r="A3719" s="86">
        <f>IFERROR(__xludf.DUMMYFUNCTION("""COMPUTED_VALUE"""),3717.0)</f>
        <v>3717</v>
      </c>
      <c r="B3719" s="87" t="str">
        <f>IFERROR(__xludf.DUMMYFUNCTION("""COMPUTED_VALUE"""),"Nhãn thùng")</f>
        <v>Nhãn thùng</v>
      </c>
      <c r="C3719" s="87" t="str">
        <f>IFERROR(__xludf.DUMMYFUNCTION("""COMPUTED_VALUE"""),"NDT2979")</f>
        <v>NDT2979</v>
      </c>
      <c r="D3719" s="87" t="str">
        <f>IFERROR(__xludf.DUMMYFUNCTION("""COMPUTED_VALUE"""),"[Nhãn thùng] GC - II - 2979 - Anh Huỳnh - RAYXANH 200WP (nước trắng sữa) - 1L - 20")</f>
        <v>[Nhãn thùng] GC - II - 2979 - Anh Huỳnh - RAYXANH 200WP (nước trắng sữa) - 1L - 20</v>
      </c>
      <c r="E3719" s="87" t="str">
        <f>IFERROR(__xludf.DUMMYFUNCTION("""COMPUTED_VALUE"""),"RAYXANH 200WP")</f>
        <v>RAYXANH 200WP</v>
      </c>
      <c r="F3719" s="87" t="str">
        <f>IFERROR(__xludf.DUMMYFUNCTION("""COMPUTED_VALUE"""),"HH2979")</f>
        <v>HH2979</v>
      </c>
      <c r="G3719" s="87" t="str">
        <f>IFERROR(__xludf.DUMMYFUNCTION("""COMPUTED_VALUE"""),"GC - II - 2979 - Anh Huỳnh - RAYXANH 200WP (nước trắng sữa) - 1L - 20")</f>
        <v>GC - II - 2979 - Anh Huỳnh - RAYXANH 200WP (nước trắng sữa) - 1L - 20</v>
      </c>
    </row>
    <row r="3720">
      <c r="A3720" s="86">
        <f>IFERROR(__xludf.DUMMYFUNCTION("""COMPUTED_VALUE"""),3718.0)</f>
        <v>3718</v>
      </c>
      <c r="B3720" s="87" t="str">
        <f>IFERROR(__xludf.DUMMYFUNCTION("""COMPUTED_VALUE"""),"Nhãn")</f>
        <v>Nhãn</v>
      </c>
      <c r="C3720" s="87" t="str">
        <f>IFERROR(__xludf.DUMMYFUNCTION("""COMPUTED_VALUE"""),"NHD2988")</f>
        <v>NHD2988</v>
      </c>
      <c r="D3720" s="87" t="str">
        <f>IFERROR(__xludf.DUMMYFUNCTION("""COMPUTED_VALUE"""),"#N/A")</f>
        <v>#N/A</v>
      </c>
      <c r="E3720" s="87"/>
      <c r="F3720" s="87" t="str">
        <f>IFERROR(__xludf.DUMMYFUNCTION("""COMPUTED_VALUE"""),"HH2988")</f>
        <v>HH2988</v>
      </c>
      <c r="G3720" s="87"/>
    </row>
    <row r="3721">
      <c r="A3721" s="86">
        <f>IFERROR(__xludf.DUMMYFUNCTION("""COMPUTED_VALUE"""),3719.0)</f>
        <v>3719</v>
      </c>
      <c r="B3721" s="87" t="str">
        <f>IFERROR(__xludf.DUMMYFUNCTION("""COMPUTED_VALUE"""),"[Nhãn thùng]")</f>
        <v>[Nhãn thùng]</v>
      </c>
      <c r="C3721" s="87" t="str">
        <f>IFERROR(__xludf.DUMMYFUNCTION("""COMPUTED_VALUE"""),"NDT2991")</f>
        <v>NDT2991</v>
      </c>
      <c r="D3721" s="87" t="str">
        <f>IFERROR(__xludf.DUMMYFUNCTION("""COMPUTED_VALUE"""),"[Nhãn thùng] BAMBOO - II - 2991 - BAMBOO ORGANIC (nước nâu đen) - 5L - 4")</f>
        <v>[Nhãn thùng] BAMBOO - II - 2991 - BAMBOO ORGANIC (nước nâu đen) - 5L - 4</v>
      </c>
      <c r="E3721" s="87" t="str">
        <f>IFERROR(__xludf.DUMMYFUNCTION("""COMPUTED_VALUE"""),"Hữu cơ SH Agro Organic Fertilizer 20")</f>
        <v>Hữu cơ SH Agro Organic Fertilizer 20</v>
      </c>
      <c r="F3721" s="87" t="str">
        <f>IFERROR(__xludf.DUMMYFUNCTION("""COMPUTED_VALUE"""),"HH2991")</f>
        <v>HH2991</v>
      </c>
      <c r="G3721" s="87" t="str">
        <f>IFERROR(__xludf.DUMMYFUNCTION("""COMPUTED_VALUE"""),"BAMBOO - II - 2991 - BAMBOO ORGANIC (nước nâu đen) - 5L - 4")</f>
        <v>BAMBOO - II - 2991 - BAMBOO ORGANIC (nước nâu đen) - 5L - 4</v>
      </c>
    </row>
    <row r="3722">
      <c r="A3722" s="86">
        <f>IFERROR(__xludf.DUMMYFUNCTION("""COMPUTED_VALUE"""),3720.0)</f>
        <v>3720</v>
      </c>
      <c r="B3722" s="87" t="str">
        <f>IFERROR(__xludf.DUMMYFUNCTION("""COMPUTED_VALUE"""),"[Nhãn]")</f>
        <v>[Nhãn]</v>
      </c>
      <c r="C3722" s="87" t="str">
        <f>IFERROR(__xludf.DUMMYFUNCTION("""COMPUTED_VALUE"""),"NHD2991")</f>
        <v>NHD2991</v>
      </c>
      <c r="D3722" s="87" t="str">
        <f>IFERROR(__xludf.DUMMYFUNCTION("""COMPUTED_VALUE"""),"[Nhãn] BAMBOO - II - 2991 - BAMBOO ORGANIC (nước nâu đen) - 5L - 4")</f>
        <v>[Nhãn] BAMBOO - II - 2991 - BAMBOO ORGANIC (nước nâu đen) - 5L - 4</v>
      </c>
      <c r="E3722" s="87" t="str">
        <f>IFERROR(__xludf.DUMMYFUNCTION("""COMPUTED_VALUE"""),"Hữu cơ SH Agro Organic Fertilizer 20")</f>
        <v>Hữu cơ SH Agro Organic Fertilizer 20</v>
      </c>
      <c r="F3722" s="87" t="str">
        <f>IFERROR(__xludf.DUMMYFUNCTION("""COMPUTED_VALUE"""),"HH2991")</f>
        <v>HH2991</v>
      </c>
      <c r="G3722" s="87" t="str">
        <f>IFERROR(__xludf.DUMMYFUNCTION("""COMPUTED_VALUE"""),"BAMBOO - II - 2991 - BAMBOO ORGANIC (nước nâu đen) - 5L - 4")</f>
        <v>BAMBOO - II - 2991 - BAMBOO ORGANIC (nước nâu đen) - 5L - 4</v>
      </c>
    </row>
    <row r="3723">
      <c r="A3723" s="86">
        <f>IFERROR(__xludf.DUMMYFUNCTION("""COMPUTED_VALUE"""),3721.0)</f>
        <v>3721</v>
      </c>
      <c r="B3723" s="87" t="str">
        <f>IFERROR(__xludf.DUMMYFUNCTION("""COMPUTED_VALUE"""),"Nhãn")</f>
        <v>Nhãn</v>
      </c>
      <c r="C3723" s="87" t="str">
        <f>IFERROR(__xludf.DUMMYFUNCTION("""COMPUTED_VALUE"""),"NTN2992")</f>
        <v>NTN2992</v>
      </c>
      <c r="D3723" s="87" t="str">
        <f>IFERROR(__xludf.DUMMYFUNCTION("""COMPUTED_VALUE"""),"[Nhãn] BAMBOO - VI - 2992 - BAMBOO XRAY (Bột trắng ngà) - 100gr - 100")</f>
        <v>[Nhãn] BAMBOO - VI - 2992 - BAMBOO XRAY (Bột trắng ngà) - 100gr - 100</v>
      </c>
      <c r="E3723" s="87" t="str">
        <f>IFERROR(__xludf.DUMMYFUNCTION("""COMPUTED_VALUE"""),"KHONGRAY 54WP")</f>
        <v>KHONGRAY 54WP</v>
      </c>
      <c r="F3723" s="87" t="str">
        <f>IFERROR(__xludf.DUMMYFUNCTION("""COMPUTED_VALUE"""),"HH2992")</f>
        <v>HH2992</v>
      </c>
      <c r="G3723" s="87" t="str">
        <f>IFERROR(__xludf.DUMMYFUNCTION("""COMPUTED_VALUE"""),"BAMBOO - VI - 2992 - BAMBOO XRAY (Bột trắng ngà) - 100gr - 100")</f>
        <v>BAMBOO - VI - 2992 - BAMBOO XRAY (Bột trắng ngà) - 100gr - 100</v>
      </c>
    </row>
    <row r="3724">
      <c r="A3724" s="86">
        <f>IFERROR(__xludf.DUMMYFUNCTION("""COMPUTED_VALUE"""),3722.0)</f>
        <v>3722</v>
      </c>
      <c r="B3724" s="87" t="str">
        <f>IFERROR(__xludf.DUMMYFUNCTION("""COMPUTED_VALUE"""),"Nhãn thùng")</f>
        <v>Nhãn thùng</v>
      </c>
      <c r="C3724" s="87" t="str">
        <f>IFERROR(__xludf.DUMMYFUNCTION("""COMPUTED_VALUE"""),"NDT2992")</f>
        <v>NDT2992</v>
      </c>
      <c r="D3724" s="87" t="str">
        <f>IFERROR(__xludf.DUMMYFUNCTION("""COMPUTED_VALUE"""),"[Nhãn thùng] BAMBOO - VI - 2992 - BAMBOO XRAY (Bột trắng ngà) - 100gr - 100")</f>
        <v>[Nhãn thùng] BAMBOO - VI - 2992 - BAMBOO XRAY (Bột trắng ngà) - 100gr - 100</v>
      </c>
      <c r="E3724" s="87" t="str">
        <f>IFERROR(__xludf.DUMMYFUNCTION("""COMPUTED_VALUE"""),"KHONGRAY 54WP")</f>
        <v>KHONGRAY 54WP</v>
      </c>
      <c r="F3724" s="87" t="str">
        <f>IFERROR(__xludf.DUMMYFUNCTION("""COMPUTED_VALUE"""),"HH2992")</f>
        <v>HH2992</v>
      </c>
      <c r="G3724" s="87" t="str">
        <f>IFERROR(__xludf.DUMMYFUNCTION("""COMPUTED_VALUE"""),"BAMBOO - VI - 2992 - BAMBOO XRAY (Bột trắng ngà) - 100gr - 100")</f>
        <v>BAMBOO - VI - 2992 - BAMBOO XRAY (Bột trắng ngà) - 100gr - 100</v>
      </c>
    </row>
    <row r="3725">
      <c r="A3725" s="86">
        <f>IFERROR(__xludf.DUMMYFUNCTION("""COMPUTED_VALUE"""),3723.0)</f>
        <v>3723</v>
      </c>
      <c r="B3725" s="87" t="str">
        <f>IFERROR(__xludf.DUMMYFUNCTION("""COMPUTED_VALUE"""),"Nhãn")</f>
        <v>Nhãn</v>
      </c>
      <c r="C3725" s="87" t="str">
        <f>IFERROR(__xludf.DUMMYFUNCTION("""COMPUTED_VALUE"""),"NHG2993")</f>
        <v>NHG2993</v>
      </c>
      <c r="D3725" s="87" t="str">
        <f>IFERROR(__xludf.DUMMYFUNCTION("""COMPUTED_VALUE"""),"[Nhãn] BAMBOO - VI - 2993 - BAMBOO CANXI-BO MASTER (Nước trắng sữa) - 1L - 20")</f>
        <v>[Nhãn] BAMBOO - VI - 2993 - BAMBOO CANXI-BO MASTER (Nước trắng sữa) - 1L - 20</v>
      </c>
      <c r="E3725" s="87" t="str">
        <f>IFERROR(__xludf.DUMMYFUNCTION("""COMPUTED_VALUE"""),"Vi lượng AGAMA-CANXI BO")</f>
        <v>Vi lượng AGAMA-CANXI BO</v>
      </c>
      <c r="F3725" s="87" t="str">
        <f>IFERROR(__xludf.DUMMYFUNCTION("""COMPUTED_VALUE"""),"HH2993")</f>
        <v>HH2993</v>
      </c>
      <c r="G3725" s="87" t="str">
        <f>IFERROR(__xludf.DUMMYFUNCTION("""COMPUTED_VALUE"""),"BAMBOO - VI - 2993 - BAMBOO CANXI-BO MASTER (Nước trắng sữa) - 1L - 20")</f>
        <v>BAMBOO - VI - 2993 - BAMBOO CANXI-BO MASTER (Nước trắng sữa) - 1L - 20</v>
      </c>
    </row>
    <row r="3726">
      <c r="A3726" s="86">
        <f>IFERROR(__xludf.DUMMYFUNCTION("""COMPUTED_VALUE"""),3724.0)</f>
        <v>3724</v>
      </c>
      <c r="B3726" s="87" t="str">
        <f>IFERROR(__xludf.DUMMYFUNCTION("""COMPUTED_VALUE"""),"Nhãn thùng")</f>
        <v>Nhãn thùng</v>
      </c>
      <c r="C3726" s="87" t="str">
        <f>IFERROR(__xludf.DUMMYFUNCTION("""COMPUTED_VALUE"""),"NDT2993")</f>
        <v>NDT2993</v>
      </c>
      <c r="D3726" s="87" t="str">
        <f>IFERROR(__xludf.DUMMYFUNCTION("""COMPUTED_VALUE"""),"[Nhãn thùng] BAMBOO - VI - 2993 - BAMBOO CANXI-BO MASTER (Nước trắng sữa) - 1L - 20")</f>
        <v>[Nhãn thùng] BAMBOO - VI - 2993 - BAMBOO CANXI-BO MASTER (Nước trắng sữa) - 1L - 20</v>
      </c>
      <c r="E3726" s="87" t="str">
        <f>IFERROR(__xludf.DUMMYFUNCTION("""COMPUTED_VALUE"""),"Vi lượng AGAMA-CANXI BO")</f>
        <v>Vi lượng AGAMA-CANXI BO</v>
      </c>
      <c r="F3726" s="87" t="str">
        <f>IFERROR(__xludf.DUMMYFUNCTION("""COMPUTED_VALUE"""),"HH2993")</f>
        <v>HH2993</v>
      </c>
      <c r="G3726" s="87" t="str">
        <f>IFERROR(__xludf.DUMMYFUNCTION("""COMPUTED_VALUE"""),"BAMBOO - VI - 2993 - BAMBOO CANXI-BO MASTER (Nước trắng sữa) - 1L - 20")</f>
        <v>BAMBOO - VI - 2993 - BAMBOO CANXI-BO MASTER (Nước trắng sữa) - 1L - 20</v>
      </c>
    </row>
    <row r="3727">
      <c r="A3727" s="86">
        <f>IFERROR(__xludf.DUMMYFUNCTION("""COMPUTED_VALUE"""),3725.0)</f>
        <v>3725</v>
      </c>
      <c r="B3727" s="87" t="str">
        <f>IFERROR(__xludf.DUMMYFUNCTION("""COMPUTED_VALUE"""),"Nhãn")</f>
        <v>Nhãn</v>
      </c>
      <c r="C3727" s="87" t="str">
        <f>IFERROR(__xludf.DUMMYFUNCTION("""COMPUTED_VALUE"""),"NHG3000")</f>
        <v>NHG3000</v>
      </c>
      <c r="D3727" s="87" t="str">
        <f>IFERROR(__xludf.DUMMYFUNCTION("""COMPUTED_VALUE"""),"[Nhãn] GC - IV - 3000 - Bellormar - EXTRA ZINC (Nước vàng) - 500ml - 40")</f>
        <v>[Nhãn] GC - IV - 3000 - Bellormar - EXTRA ZINC (Nước vàng) - 500ml - 40</v>
      </c>
      <c r="E3727" s="87" t="str">
        <f>IFERROR(__xludf.DUMMYFUNCTION("""COMPUTED_VALUE"""),"Vi lượng MICKEY")</f>
        <v>Vi lượng MICKEY</v>
      </c>
      <c r="F3727" s="87" t="str">
        <f>IFERROR(__xludf.DUMMYFUNCTION("""COMPUTED_VALUE"""),"HH3000")</f>
        <v>HH3000</v>
      </c>
      <c r="G3727" s="87" t="str">
        <f>IFERROR(__xludf.DUMMYFUNCTION("""COMPUTED_VALUE"""),"GC - IV - 3000 - Bellormar - EXTRA ZINC (Nước vàng) - 500ml - 40")</f>
        <v>GC - IV - 3000 - Bellormar - EXTRA ZINC (Nước vàng) - 500ml - 40</v>
      </c>
    </row>
    <row r="3728">
      <c r="A3728" s="86">
        <f>IFERROR(__xludf.DUMMYFUNCTION("""COMPUTED_VALUE"""),3726.0)</f>
        <v>3726</v>
      </c>
      <c r="B3728" s="87" t="str">
        <f>IFERROR(__xludf.DUMMYFUNCTION("""COMPUTED_VALUE"""),"Nhãn")</f>
        <v>Nhãn</v>
      </c>
      <c r="C3728" s="87" t="str">
        <f>IFERROR(__xludf.DUMMYFUNCTION("""COMPUTED_VALUE"""),"NHG3001")</f>
        <v>NHG3001</v>
      </c>
      <c r="D3728" s="87" t="str">
        <f>IFERROR(__xludf.DUMMYFUNCTION("""COMPUTED_VALUE"""),"[Nhãn] LOT IDA Global - I - 3001 - IDA Vil (Xanh Lá)(HD trắng)(nắp xanh)(nước trắng) - 1 Lít - 20")</f>
        <v>[Nhãn] LOT IDA Global - I - 3001 - IDA Vil (Xanh Lá)(HD trắng)(nắp xanh)(nước trắng) - 1 Lít - 20</v>
      </c>
      <c r="E3728" s="87" t="str">
        <f>IFERROR(__xludf.DUMMYFUNCTION("""COMPUTED_VALUE"""),"Mekongvil 5SC")</f>
        <v>Mekongvil 5SC</v>
      </c>
      <c r="F3728" s="87" t="str">
        <f>IFERROR(__xludf.DUMMYFUNCTION("""COMPUTED_VALUE"""),"HH3001")</f>
        <v>HH3001</v>
      </c>
      <c r="G3728" s="87" t="str">
        <f>IFERROR(__xludf.DUMMYFUNCTION("""COMPUTED_VALUE"""),"LOT IDA Global - I - 3001 - IDA Vil (Xanh Lá)(HD trắng)(nắp xanh)(nước trắng) - 1 Lít - 20
​
")</f>
        <v>LOT IDA Global - I - 3001 - IDA Vil (Xanh Lá)(HD trắng)(nắp xanh)(nước trắng) - 1 Lít - 20
​
</v>
      </c>
    </row>
    <row r="3729">
      <c r="A3729" s="86">
        <f>IFERROR(__xludf.DUMMYFUNCTION("""COMPUTED_VALUE"""),3727.0)</f>
        <v>3727</v>
      </c>
      <c r="B3729" s="87" t="str">
        <f>IFERROR(__xludf.DUMMYFUNCTION("""COMPUTED_VALUE"""),"[Nhãn]")</f>
        <v>[Nhãn]</v>
      </c>
      <c r="C3729" s="87" t="str">
        <f>IFERROR(__xludf.DUMMYFUNCTION("""COMPUTED_VALUE"""),"NHG3003")</f>
        <v>NHG3003</v>
      </c>
      <c r="D3729" s="87" t="str">
        <f>IFERROR(__xludf.DUMMYFUNCTION("""COMPUTED_VALUE"""),"[Nhãn] NB - V - 3003 - CTY NAUY - DƯỠNG ĐÒNG 9 (Nước nâu đen) - 500ml - 40")</f>
        <v>[Nhãn] NB - V - 3003 - CTY NAUY - DƯỠNG ĐÒNG 9 (Nước nâu đen) - 500ml - 40</v>
      </c>
      <c r="E3729" s="87" t="str">
        <f>IFERROR(__xludf.DUMMYFUNCTION("""COMPUTED_VALUE"""),"Vi lượng AGAMA-SUPPORT")</f>
        <v>Vi lượng AGAMA-SUPPORT</v>
      </c>
      <c r="F3729" s="87" t="str">
        <f>IFERROR(__xludf.DUMMYFUNCTION("""COMPUTED_VALUE"""),"HH3003")</f>
        <v>HH3003</v>
      </c>
      <c r="G3729" s="87" t="str">
        <f>IFERROR(__xludf.DUMMYFUNCTION("""COMPUTED_VALUE"""),"NB - V - 3003 - CTY NAUY - DƯỠNG ĐÒNG 9 (Nước nâu đen) - 500ml - 40")</f>
        <v>NB - V - 3003 - CTY NAUY - DƯỠNG ĐÒNG 9 (Nước nâu đen) - 500ml - 40</v>
      </c>
    </row>
    <row r="3730">
      <c r="A3730" s="86">
        <f>IFERROR(__xludf.DUMMYFUNCTION("""COMPUTED_VALUE"""),3728.0)</f>
        <v>3728</v>
      </c>
      <c r="B3730" s="87" t="str">
        <f>IFERROR(__xludf.DUMMYFUNCTION("""COMPUTED_VALUE"""),"Nhãn")</f>
        <v>Nhãn</v>
      </c>
      <c r="C3730" s="87" t="str">
        <f>IFERROR(__xludf.DUMMYFUNCTION("""COMPUTED_VALUE"""),"NTN3004")</f>
        <v>NTN3004</v>
      </c>
      <c r="D3730" s="87" t="str">
        <f>IFERROR(__xludf.DUMMYFUNCTION("""COMPUTED_VALUE"""),"[Nhãn] IDA Global - I - 3004 - CTY TÂN THÀNH - SẠCH ĐẠO ÔN (Bột cam) - 35gr - 300")</f>
        <v>[Nhãn] IDA Global - I - 3004 - CTY TÂN THÀNH - SẠCH ĐẠO ÔN (Bột cam) - 35gr - 300</v>
      </c>
      <c r="E3730" s="87" t="str">
        <f>IFERROR(__xludf.DUMMYFUNCTION("""COMPUTED_VALUE"""),"Pim.Pim 75WP")</f>
        <v>Pim.Pim 75WP</v>
      </c>
      <c r="F3730" s="87" t="str">
        <f>IFERROR(__xludf.DUMMYFUNCTION("""COMPUTED_VALUE"""),"HH3004")</f>
        <v>HH3004</v>
      </c>
      <c r="G3730" s="87" t="str">
        <f>IFERROR(__xludf.DUMMYFUNCTION("""COMPUTED_VALUE"""),"IDA Global - I - 3004 - CTY TÂN THÀNH - SẠCH ĐẠO ÔN (Bột cam) - 35gr - 300")</f>
        <v>IDA Global - I - 3004 - CTY TÂN THÀNH - SẠCH ĐẠO ÔN (Bột cam) - 35gr - 300</v>
      </c>
    </row>
    <row r="3731">
      <c r="A3731" s="86">
        <f>IFERROR(__xludf.DUMMYFUNCTION("""COMPUTED_VALUE"""),3729.0)</f>
        <v>3729</v>
      </c>
      <c r="B3731" s="87" t="str">
        <f>IFERROR(__xludf.DUMMYFUNCTION("""COMPUTED_VALUE"""),"Nhãn thùng")</f>
        <v>Nhãn thùng</v>
      </c>
      <c r="C3731" s="87" t="str">
        <f>IFERROR(__xludf.DUMMYFUNCTION("""COMPUTED_VALUE"""),"NDT3004")</f>
        <v>NDT3004</v>
      </c>
      <c r="D3731" s="87" t="str">
        <f>IFERROR(__xludf.DUMMYFUNCTION("""COMPUTED_VALUE"""),"[Nhãn thùng] IDA Global - I - 3004 - CTY TÂN THÀNH - SẠCH ĐẠO ÔN (Bột cam) - 35gr - 300")</f>
        <v>[Nhãn thùng] IDA Global - I - 3004 - CTY TÂN THÀNH - SẠCH ĐẠO ÔN (Bột cam) - 35gr - 300</v>
      </c>
      <c r="E3731" s="87" t="str">
        <f>IFERROR(__xludf.DUMMYFUNCTION("""COMPUTED_VALUE"""),"Pim.Pim 75WP")</f>
        <v>Pim.Pim 75WP</v>
      </c>
      <c r="F3731" s="87" t="str">
        <f>IFERROR(__xludf.DUMMYFUNCTION("""COMPUTED_VALUE"""),"HH3004")</f>
        <v>HH3004</v>
      </c>
      <c r="G3731" s="87" t="str">
        <f>IFERROR(__xludf.DUMMYFUNCTION("""COMPUTED_VALUE"""),"IDA Global - I - 3004 - CTY TÂN THÀNH - SẠCH ĐẠO ÔN (Bột cam) - 35gr - 300")</f>
        <v>IDA Global - I - 3004 - CTY TÂN THÀNH - SẠCH ĐẠO ÔN (Bột cam) - 35gr - 300</v>
      </c>
    </row>
    <row r="3732">
      <c r="A3732" s="86">
        <f>IFERROR(__xludf.DUMMYFUNCTION("""COMPUTED_VALUE"""),3730.0)</f>
        <v>3730</v>
      </c>
      <c r="B3732" s="87" t="str">
        <f>IFERROR(__xludf.DUMMYFUNCTION("""COMPUTED_VALUE"""),"Nhãn")</f>
        <v>Nhãn</v>
      </c>
      <c r="C3732" s="87" t="str">
        <f>IFERROR(__xludf.DUMMYFUNCTION("""COMPUTED_VALUE"""),"NHG3005")</f>
        <v>NHG3005</v>
      </c>
      <c r="D3732" s="87" t="str">
        <f>IFERROR(__xludf.DUMMYFUNCTION("""COMPUTED_VALUE"""),"[Nhãn] GC - IV - 3005 - CTY QUANG ĐĂNG AGRICULTURE - COMBI QĐ EXTRA (Nước xanh lá) - 250ml - 40")</f>
        <v>[Nhãn] GC - IV - 3005 - CTY QUANG ĐĂNG AGRICULTURE - COMBI QĐ EXTRA (Nước xanh lá) - 250ml - 40</v>
      </c>
      <c r="E3732" s="87" t="str">
        <f>IFERROR(__xludf.DUMMYFUNCTION("""COMPUTED_VALUE"""),"Vi lượng Quantity New")</f>
        <v>Vi lượng Quantity New</v>
      </c>
      <c r="F3732" s="87" t="str">
        <f>IFERROR(__xludf.DUMMYFUNCTION("""COMPUTED_VALUE"""),"HH3005")</f>
        <v>HH3005</v>
      </c>
      <c r="G3732" s="87" t="str">
        <f>IFERROR(__xludf.DUMMYFUNCTION("""COMPUTED_VALUE"""),"GC - IV - 3005 - Cty Quang Đăng Agriculture - COMBI QĐ EXTRA (Nước xanh lá) - 250ml - 40")</f>
        <v>GC - IV - 3005 - Cty Quang Đăng Agriculture - COMBI QĐ EXTRA (Nước xanh lá) - 250ml - 40</v>
      </c>
    </row>
    <row r="3733">
      <c r="A3733" s="86">
        <f>IFERROR(__xludf.DUMMYFUNCTION("""COMPUTED_VALUE"""),3731.0)</f>
        <v>3731</v>
      </c>
      <c r="B3733" s="87" t="str">
        <f>IFERROR(__xludf.DUMMYFUNCTION("""COMPUTED_VALUE"""),"Nhãn")</f>
        <v>Nhãn</v>
      </c>
      <c r="C3733" s="87" t="str">
        <f>IFERROR(__xludf.DUMMYFUNCTION("""COMPUTED_VALUE"""),"NHD3006")</f>
        <v>NHD3006</v>
      </c>
      <c r="D3733" s="87" t="str">
        <f>IFERROR(__xludf.DUMMYFUNCTION("""COMPUTED_VALUE"""),"[Nhãn] GC - IV - 3006 - CTY QUANG ĐĂNG AGRICULTURE - LOCK GROW QĐ DURI (Nước nâu đen) - 1L - 20")</f>
        <v>[Nhãn] GC - IV - 3006 - CTY QUANG ĐĂNG AGRICULTURE - LOCK GROW QĐ DURI (Nước nâu đen) - 1L - 20</v>
      </c>
      <c r="E3733" s="87" t="str">
        <f>IFERROR(__xludf.DUMMYFUNCTION("""COMPUTED_VALUE"""),"Hữu cơ SH Agro Organic Fertilizer 20")</f>
        <v>Hữu cơ SH Agro Organic Fertilizer 20</v>
      </c>
      <c r="F3733" s="87" t="str">
        <f>IFERROR(__xludf.DUMMYFUNCTION("""COMPUTED_VALUE"""),"HH3006")</f>
        <v>HH3006</v>
      </c>
      <c r="G3733" s="87" t="str">
        <f>IFERROR(__xludf.DUMMYFUNCTION("""COMPUTED_VALUE"""),"GC - IV - 3006 - Cty Quang Đăng Agriculture - LOCK GROW QĐ DURI (Nước nâu đen) - 1L - 20")</f>
        <v>GC - IV - 3006 - Cty Quang Đăng Agriculture - LOCK GROW QĐ DURI (Nước nâu đen) - 1L - 20</v>
      </c>
    </row>
    <row r="3734">
      <c r="A3734" s="86">
        <f>IFERROR(__xludf.DUMMYFUNCTION("""COMPUTED_VALUE"""),3732.0)</f>
        <v>3732</v>
      </c>
      <c r="B3734" s="87" t="str">
        <f>IFERROR(__xludf.DUMMYFUNCTION("""COMPUTED_VALUE"""),"Nhãn thùng")</f>
        <v>Nhãn thùng</v>
      </c>
      <c r="C3734" s="87" t="str">
        <f>IFERROR(__xludf.DUMMYFUNCTION("""COMPUTED_VALUE"""),"NDT3006")</f>
        <v>NDT3006</v>
      </c>
      <c r="D3734" s="87" t="str">
        <f>IFERROR(__xludf.DUMMYFUNCTION("""COMPUTED_VALUE"""),"[Nhãn thùng] GC - IV - 3006 - CTY QUANG ĐĂNG AGRICULTURE - LOCK GROW QĐ DURI (Nước nâu đen) - 1L - 20")</f>
        <v>[Nhãn thùng] GC - IV - 3006 - CTY QUANG ĐĂNG AGRICULTURE - LOCK GROW QĐ DURI (Nước nâu đen) - 1L - 20</v>
      </c>
      <c r="E3734" s="87" t="str">
        <f>IFERROR(__xludf.DUMMYFUNCTION("""COMPUTED_VALUE"""),"Hữu cơ SH Agro Organic Fertilizer 20")</f>
        <v>Hữu cơ SH Agro Organic Fertilizer 20</v>
      </c>
      <c r="F3734" s="87" t="str">
        <f>IFERROR(__xludf.DUMMYFUNCTION("""COMPUTED_VALUE"""),"HH3006")</f>
        <v>HH3006</v>
      </c>
      <c r="G3734" s="87" t="str">
        <f>IFERROR(__xludf.DUMMYFUNCTION("""COMPUTED_VALUE"""),"GC - IV - 3006 - Cty Quang Đăng Agriculture - LOCK GROW QĐ DURI (Nước nâu đen) - 1L - 20")</f>
        <v>GC - IV - 3006 - Cty Quang Đăng Agriculture - LOCK GROW QĐ DURI (Nước nâu đen) - 1L - 20</v>
      </c>
    </row>
    <row r="3735">
      <c r="A3735" s="86">
        <f>IFERROR(__xludf.DUMMYFUNCTION("""COMPUTED_VALUE"""),3733.0)</f>
        <v>3733</v>
      </c>
      <c r="B3735" s="87" t="str">
        <f>IFERROR(__xludf.DUMMYFUNCTION("""COMPUTED_VALUE"""),"Nhãn")</f>
        <v>Nhãn</v>
      </c>
      <c r="C3735" s="87" t="str">
        <f>IFERROR(__xludf.DUMMYFUNCTION("""COMPUTED_VALUE"""),"NHD3007")</f>
        <v>NHD3007</v>
      </c>
      <c r="D3735" s="87" t="str">
        <f>IFERROR(__xludf.DUMMYFUNCTION("""COMPUTED_VALUE"""),"[Nhãn] GC - IV - 3007 - CTY QUANG ĐĂNG AGRICULTURE - NANO ZINC+ QĐ GREEN (Nước trắng sữa) - 500ml - 40")</f>
        <v>[Nhãn] GC - IV - 3007 - CTY QUANG ĐĂNG AGRICULTURE - NANO ZINC+ QĐ GREEN (Nước trắng sữa) - 500ml - 40</v>
      </c>
      <c r="E3735" s="87" t="str">
        <f>IFERROR(__xludf.DUMMYFUNCTION("""COMPUTED_VALUE"""),"Vi lượng MICKEY")</f>
        <v>Vi lượng MICKEY</v>
      </c>
      <c r="F3735" s="87" t="str">
        <f>IFERROR(__xludf.DUMMYFUNCTION("""COMPUTED_VALUE"""),"HH3007")</f>
        <v>HH3007</v>
      </c>
      <c r="G3735" s="87" t="str">
        <f>IFERROR(__xludf.DUMMYFUNCTION("""COMPUTED_VALUE"""),"GC - IV - 3007 - Cty Quang Đăng Agriculture - NANO ZINC+ QĐ GREEN (Nước trắng sữa) - 500ml - 40")</f>
        <v>GC - IV - 3007 - Cty Quang Đăng Agriculture - NANO ZINC+ QĐ GREEN (Nước trắng sữa) - 500ml - 40</v>
      </c>
    </row>
    <row r="3736">
      <c r="A3736" s="86">
        <f>IFERROR(__xludf.DUMMYFUNCTION("""COMPUTED_VALUE"""),3734.0)</f>
        <v>3734</v>
      </c>
      <c r="B3736" s="87" t="str">
        <f>IFERROR(__xludf.DUMMYFUNCTION("""COMPUTED_VALUE"""),"Nhãn thùng")</f>
        <v>Nhãn thùng</v>
      </c>
      <c r="C3736" s="87" t="str">
        <f>IFERROR(__xludf.DUMMYFUNCTION("""COMPUTED_VALUE"""),"NDT3007")</f>
        <v>NDT3007</v>
      </c>
      <c r="D3736" s="87" t="str">
        <f>IFERROR(__xludf.DUMMYFUNCTION("""COMPUTED_VALUE"""),"[Nhãn thùng] GC - IV - 3007 - CTY QUANG ĐĂNG AGRICULTURE - NANO ZINC+ QĐ GREEN (Nước trắng sữa) - 500ml - 40")</f>
        <v>[Nhãn thùng] GC - IV - 3007 - CTY QUANG ĐĂNG AGRICULTURE - NANO ZINC+ QĐ GREEN (Nước trắng sữa) - 500ml - 40</v>
      </c>
      <c r="E3736" s="87" t="str">
        <f>IFERROR(__xludf.DUMMYFUNCTION("""COMPUTED_VALUE"""),"Vi lượng MICKEY")</f>
        <v>Vi lượng MICKEY</v>
      </c>
      <c r="F3736" s="87" t="str">
        <f>IFERROR(__xludf.DUMMYFUNCTION("""COMPUTED_VALUE"""),"HH3007")</f>
        <v>HH3007</v>
      </c>
      <c r="G3736" s="87" t="str">
        <f>IFERROR(__xludf.DUMMYFUNCTION("""COMPUTED_VALUE"""),"GC - IV - 3007 - Cty Quang Đăng Agriculture - NANO ZINC+ QĐ GREEN (Nước trắng sữa) - 500ml - 40")</f>
        <v>GC - IV - 3007 - Cty Quang Đăng Agriculture - NANO ZINC+ QĐ GREEN (Nước trắng sữa) - 500ml - 40</v>
      </c>
    </row>
    <row r="3737">
      <c r="A3737" s="86">
        <f>IFERROR(__xludf.DUMMYFUNCTION("""COMPUTED_VALUE"""),3735.0)</f>
        <v>3735</v>
      </c>
      <c r="B3737" s="87" t="str">
        <f>IFERROR(__xludf.DUMMYFUNCTION("""COMPUTED_VALUE"""),"[Nhãn]")</f>
        <v>[Nhãn]</v>
      </c>
      <c r="C3737" s="87" t="str">
        <f>IFERROR(__xludf.DUMMYFUNCTION("""COMPUTED_VALUE"""),"NHD3008")</f>
        <v>NHD3008</v>
      </c>
      <c r="D3737" s="87" t="str">
        <f>IFERROR(__xludf.DUMMYFUNCTION("""COMPUTED_VALUE"""),"[Nhãn] GC - IV - 3008 - CTY QUANG ĐĂNG AGRICULTURE - ORGA STRONG QĐ.TOTAL (Gel nâu đen) - 10L - 2")</f>
        <v>[Nhãn] GC - IV - 3008 - CTY QUANG ĐĂNG AGRICULTURE - ORGA STRONG QĐ.TOTAL (Gel nâu đen) - 10L - 2</v>
      </c>
      <c r="E3737" s="87" t="str">
        <f>IFERROR(__xludf.DUMMYFUNCTION("""COMPUTED_VALUE"""),"Hữu cơ SH Agro Organic Fertilizer 20")</f>
        <v>Hữu cơ SH Agro Organic Fertilizer 20</v>
      </c>
      <c r="F3737" s="87" t="str">
        <f>IFERROR(__xludf.DUMMYFUNCTION("""COMPUTED_VALUE"""),"HH3008")</f>
        <v>HH3008</v>
      </c>
      <c r="G3737" s="87" t="str">
        <f>IFERROR(__xludf.DUMMYFUNCTION("""COMPUTED_VALUE"""),"GC - IV - 3008 - Cty Quang Đăng Agriculture - ORGA STRONG QĐ.TOTAL (Gel nâu đen) - 10L - 2")</f>
        <v>GC - IV - 3008 - Cty Quang Đăng Agriculture - ORGA STRONG QĐ.TOTAL (Gel nâu đen) - 10L - 2</v>
      </c>
    </row>
    <row r="3738">
      <c r="A3738" s="86">
        <f>IFERROR(__xludf.DUMMYFUNCTION("""COMPUTED_VALUE"""),3736.0)</f>
        <v>3736</v>
      </c>
      <c r="B3738" s="87" t="str">
        <f>IFERROR(__xludf.DUMMYFUNCTION("""COMPUTED_VALUE"""),"[Nhãn thùng]")</f>
        <v>[Nhãn thùng]</v>
      </c>
      <c r="C3738" s="87" t="str">
        <f>IFERROR(__xludf.DUMMYFUNCTION("""COMPUTED_VALUE"""),"NDT3008")</f>
        <v>NDT3008</v>
      </c>
      <c r="D3738" s="87" t="str">
        <f>IFERROR(__xludf.DUMMYFUNCTION("""COMPUTED_VALUE"""),"[Nhãn thùng] GC - IV - 3008 - CTY QUANG ĐĂNG AGRICULTURE - ORGA STRONG QĐ.TOTAL (Gel nâu đen) - 10L - 2")</f>
        <v>[Nhãn thùng] GC - IV - 3008 - CTY QUANG ĐĂNG AGRICULTURE - ORGA STRONG QĐ.TOTAL (Gel nâu đen) - 10L - 2</v>
      </c>
      <c r="E3738" s="87" t="str">
        <f>IFERROR(__xludf.DUMMYFUNCTION("""COMPUTED_VALUE"""),"Hữu cơ SH Agro Organic Fertilizer 20")</f>
        <v>Hữu cơ SH Agro Organic Fertilizer 20</v>
      </c>
      <c r="F3738" s="87" t="str">
        <f>IFERROR(__xludf.DUMMYFUNCTION("""COMPUTED_VALUE"""),"HH3008")</f>
        <v>HH3008</v>
      </c>
      <c r="G3738" s="87" t="str">
        <f>IFERROR(__xludf.DUMMYFUNCTION("""COMPUTED_VALUE"""),"GC - IV - 3008 - Cty Quang Đăng Agriculture - ORGA STRONG QĐ.TOTAL (Gel nâu đen) - 10L - 2")</f>
        <v>GC - IV - 3008 - Cty Quang Đăng Agriculture - ORGA STRONG QĐ.TOTAL (Gel nâu đen) - 10L - 2</v>
      </c>
    </row>
    <row r="3739">
      <c r="A3739" s="86">
        <f>IFERROR(__xludf.DUMMYFUNCTION("""COMPUTED_VALUE"""),3737.0)</f>
        <v>3737</v>
      </c>
      <c r="B3739" s="87" t="str">
        <f>IFERROR(__xludf.DUMMYFUNCTION("""COMPUTED_VALUE"""),"Nhãn")</f>
        <v>Nhãn</v>
      </c>
      <c r="C3739" s="87" t="str">
        <f>IFERROR(__xludf.DUMMYFUNCTION("""COMPUTED_VALUE"""),"NHD3009")</f>
        <v>NHD3009</v>
      </c>
      <c r="D3739" s="87" t="str">
        <f>IFERROR(__xludf.DUMMYFUNCTION("""COMPUTED_VALUE"""),"[Nhãn] GC - IV - 3009 - CTY QUANG ĐĂNG AGRICULTURE - ORGA GROWING QĐ.FRUIT (Nước nâu đen) - 10L - 1")</f>
        <v>[Nhãn] GC - IV - 3009 - CTY QUANG ĐĂNG AGRICULTURE - ORGA GROWING QĐ.FRUIT (Nước nâu đen) - 10L - 1</v>
      </c>
      <c r="E3739" s="87" t="str">
        <f>IFERROR(__xludf.DUMMYFUNCTION("""COMPUTED_VALUE"""),"Hữu cơ Organic BM Gold  FW")</f>
        <v>Hữu cơ Organic BM Gold  FW</v>
      </c>
      <c r="F3739" s="87" t="str">
        <f>IFERROR(__xludf.DUMMYFUNCTION("""COMPUTED_VALUE"""),"HH3009")</f>
        <v>HH3009</v>
      </c>
      <c r="G3739" s="87" t="str">
        <f>IFERROR(__xludf.DUMMYFUNCTION("""COMPUTED_VALUE"""),"GC - IV - 3009 - Cty Quang Đăng Agriculture - ORGA GROWING QĐ.FRUIT (Nước nâu đen) - 10L - 2")</f>
        <v>GC - IV - 3009 - Cty Quang Đăng Agriculture - ORGA GROWING QĐ.FRUIT (Nước nâu đen) - 10L - 2</v>
      </c>
    </row>
    <row r="3740">
      <c r="A3740" s="86">
        <f>IFERROR(__xludf.DUMMYFUNCTION("""COMPUTED_VALUE"""),3738.0)</f>
        <v>3738</v>
      </c>
      <c r="B3740" s="87" t="str">
        <f>IFERROR(__xludf.DUMMYFUNCTION("""COMPUTED_VALUE"""),"[Nhãn thùng]")</f>
        <v>[Nhãn thùng]</v>
      </c>
      <c r="C3740" s="87" t="str">
        <f>IFERROR(__xludf.DUMMYFUNCTION("""COMPUTED_VALUE"""),"NDT3009")</f>
        <v>NDT3009</v>
      </c>
      <c r="D3740" s="87" t="str">
        <f>IFERROR(__xludf.DUMMYFUNCTION("""COMPUTED_VALUE"""),"[Nhãn thùng] GC - IV - 3009 - Cty Quang Đăng Agriculture - ORGA GROWING QĐ.FRUIT (Nước nâu đen) - 10L - 2")</f>
        <v>[Nhãn thùng] GC - IV - 3009 - Cty Quang Đăng Agriculture - ORGA GROWING QĐ.FRUIT (Nước nâu đen) - 10L - 2</v>
      </c>
      <c r="E3740" s="87" t="str">
        <f>IFERROR(__xludf.DUMMYFUNCTION("""COMPUTED_VALUE"""),"Hữu cơ Organic BM Gold  FW")</f>
        <v>Hữu cơ Organic BM Gold  FW</v>
      </c>
      <c r="F3740" s="87" t="str">
        <f>IFERROR(__xludf.DUMMYFUNCTION("""COMPUTED_VALUE"""),"HH3009")</f>
        <v>HH3009</v>
      </c>
      <c r="G3740" s="87" t="str">
        <f>IFERROR(__xludf.DUMMYFUNCTION("""COMPUTED_VALUE"""),"GC - IV - 3009 - Cty Quang Đăng Agriculture - ORGA GROWING QĐ.FRUIT (Nước nâu đen) - 10L - 2")</f>
        <v>GC - IV - 3009 - Cty Quang Đăng Agriculture - ORGA GROWING QĐ.FRUIT (Nước nâu đen) - 10L - 2</v>
      </c>
    </row>
    <row r="3741">
      <c r="A3741" s="86">
        <f>IFERROR(__xludf.DUMMYFUNCTION("""COMPUTED_VALUE"""),3739.0)</f>
        <v>3739</v>
      </c>
      <c r="B3741" s="87" t="str">
        <f>IFERROR(__xludf.DUMMYFUNCTION("""COMPUTED_VALUE"""),"Nhãn")</f>
        <v>Nhãn</v>
      </c>
      <c r="C3741" s="87" t="str">
        <f>IFERROR(__xludf.DUMMYFUNCTION("""COMPUTED_VALUE"""),"NHD3010")</f>
        <v>NHD3010</v>
      </c>
      <c r="D3741" s="87" t="str">
        <f>IFERROR(__xludf.DUMMYFUNCTION("""COMPUTED_VALUE"""),"[Nhãn] GC - IV - 3010 - CTY QUANG ĐĂNG AGRICULTURE - CANXIBO QĐ.MICRO (Nước trắng sữa) - 500ml - 40")</f>
        <v>[Nhãn] GC - IV - 3010 - CTY QUANG ĐĂNG AGRICULTURE - CANXIBO QĐ.MICRO (Nước trắng sữa) - 500ml - 40</v>
      </c>
      <c r="E3741" s="87" t="str">
        <f>IFERROR(__xludf.DUMMYFUNCTION("""COMPUTED_VALUE"""),"Vi lượng AGAMA-CANXI BO")</f>
        <v>Vi lượng AGAMA-CANXI BO</v>
      </c>
      <c r="F3741" s="87" t="str">
        <f>IFERROR(__xludf.DUMMYFUNCTION("""COMPUTED_VALUE"""),"HH3010")</f>
        <v>HH3010</v>
      </c>
      <c r="G3741" s="87" t="str">
        <f>IFERROR(__xludf.DUMMYFUNCTION("""COMPUTED_VALUE"""),"GC - IV - 3010 - Cty Quang Đăng Agriculture - CANXIBO QĐ.MICRO (Nước trắng sữa) - 500ml - 40")</f>
        <v>GC - IV - 3010 - Cty Quang Đăng Agriculture - CANXIBO QĐ.MICRO (Nước trắng sữa) - 500ml - 40</v>
      </c>
    </row>
    <row r="3742">
      <c r="A3742" s="86">
        <f>IFERROR(__xludf.DUMMYFUNCTION("""COMPUTED_VALUE"""),3740.0)</f>
        <v>3740</v>
      </c>
      <c r="B3742" s="87" t="str">
        <f>IFERROR(__xludf.DUMMYFUNCTION("""COMPUTED_VALUE"""),"Nhãn thùng")</f>
        <v>Nhãn thùng</v>
      </c>
      <c r="C3742" s="87" t="str">
        <f>IFERROR(__xludf.DUMMYFUNCTION("""COMPUTED_VALUE"""),"NDT3010")</f>
        <v>NDT3010</v>
      </c>
      <c r="D3742" s="87" t="str">
        <f>IFERROR(__xludf.DUMMYFUNCTION("""COMPUTED_VALUE"""),"[Nhãn thùng] GC - IV - 3010 - CTY QUANG ĐĂNG AGRICULTURE - CANXIBO QĐ.MICRO (Nước trắng sữa) - 500ml - 40")</f>
        <v>[Nhãn thùng] GC - IV - 3010 - CTY QUANG ĐĂNG AGRICULTURE - CANXIBO QĐ.MICRO (Nước trắng sữa) - 500ml - 40</v>
      </c>
      <c r="E3742" s="87" t="str">
        <f>IFERROR(__xludf.DUMMYFUNCTION("""COMPUTED_VALUE"""),"Vi lượng AGAMA-CANXI BO")</f>
        <v>Vi lượng AGAMA-CANXI BO</v>
      </c>
      <c r="F3742" s="87" t="str">
        <f>IFERROR(__xludf.DUMMYFUNCTION("""COMPUTED_VALUE"""),"HH3010")</f>
        <v>HH3010</v>
      </c>
      <c r="G3742" s="87" t="str">
        <f>IFERROR(__xludf.DUMMYFUNCTION("""COMPUTED_VALUE"""),"GC - IV - 3010 - Cty Quang Đăng Agriculture - CANXIBO QĐ.MICRO (Nước trắng sữa) - 500ml - 40")</f>
        <v>GC - IV - 3010 - Cty Quang Đăng Agriculture - CANXIBO QĐ.MICRO (Nước trắng sữa) - 500ml - 40</v>
      </c>
    </row>
    <row r="3743">
      <c r="A3743" s="86">
        <f>IFERROR(__xludf.DUMMYFUNCTION("""COMPUTED_VALUE"""),3741.0)</f>
        <v>3741</v>
      </c>
      <c r="B3743" s="87" t="str">
        <f>IFERROR(__xludf.DUMMYFUNCTION("""COMPUTED_VALUE"""),"Nhãn")</f>
        <v>Nhãn</v>
      </c>
      <c r="C3743" s="87" t="str">
        <f>IFERROR(__xludf.DUMMYFUNCTION("""COMPUTED_VALUE"""),"NTN3013")</f>
        <v>NTN3013</v>
      </c>
      <c r="D3743" s="87" t="str">
        <f>IFERROR(__xludf.DUMMYFUNCTION("""COMPUTED_VALUE"""),"[Nhãn] GC - IV - 3013 - THOẠI SƠN AGRI - MANCOBGO 80WP (Bột xanh) - 1kg - 20")</f>
        <v>[Nhãn] GC - IV - 3013 - THOẠI SƠN AGRI - MANCOBGO 80WP (Bột xanh) - 1kg - 20</v>
      </c>
      <c r="E3743" s="87" t="str">
        <f>IFERROR(__xludf.DUMMYFUNCTION("""COMPUTED_VALUE"""),"MANCOBGO 80WP")</f>
        <v>MANCOBGO 80WP</v>
      </c>
      <c r="F3743" s="87" t="str">
        <f>IFERROR(__xludf.DUMMYFUNCTION("""COMPUTED_VALUE"""),"HH3013")</f>
        <v>HH3013</v>
      </c>
      <c r="G3743" s="87" t="str">
        <f>IFERROR(__xludf.DUMMYFUNCTION("""COMPUTED_VALUE"""),"GC - IV - 3013 - THOẠI SƠN AGRI - MANCOBGO 80WP (Bột xanh) - 1kg - 20")</f>
        <v>GC - IV - 3013 - THOẠI SƠN AGRI - MANCOBGO 80WP (Bột xanh) - 1kg - 20</v>
      </c>
    </row>
    <row r="3744">
      <c r="A3744" s="86">
        <f>IFERROR(__xludf.DUMMYFUNCTION("""COMPUTED_VALUE"""),3742.0)</f>
        <v>3742</v>
      </c>
      <c r="B3744" s="87" t="str">
        <f>IFERROR(__xludf.DUMMYFUNCTION("""COMPUTED_VALUE"""),"Nhãn thùng")</f>
        <v>Nhãn thùng</v>
      </c>
      <c r="C3744" s="87" t="str">
        <f>IFERROR(__xludf.DUMMYFUNCTION("""COMPUTED_VALUE"""),"NDT3013")</f>
        <v>NDT3013</v>
      </c>
      <c r="D3744" s="87" t="str">
        <f>IFERROR(__xludf.DUMMYFUNCTION("""COMPUTED_VALUE"""),"[Nhãn thùng] GC - IV - 3013 - THOẠI SƠN AGRI - MANCOBGO 80WP (Bột xanh) - 1kg - 20")</f>
        <v>[Nhãn thùng] GC - IV - 3013 - THOẠI SƠN AGRI - MANCOBGO 80WP (Bột xanh) - 1kg - 20</v>
      </c>
      <c r="E3744" s="87" t="str">
        <f>IFERROR(__xludf.DUMMYFUNCTION("""COMPUTED_VALUE"""),"MANCOBGO 80WP")</f>
        <v>MANCOBGO 80WP</v>
      </c>
      <c r="F3744" s="87" t="str">
        <f>IFERROR(__xludf.DUMMYFUNCTION("""COMPUTED_VALUE"""),"HH3013")</f>
        <v>HH3013</v>
      </c>
      <c r="G3744" s="87" t="str">
        <f>IFERROR(__xludf.DUMMYFUNCTION("""COMPUTED_VALUE"""),"GC - IV - 3013 - THOẠI SƠN AGRI - MANCOBGO 80WP (Bột xanh) - 1kg - 20")</f>
        <v>GC - IV - 3013 - THOẠI SƠN AGRI - MANCOBGO 80WP (Bột xanh) - 1kg - 20</v>
      </c>
    </row>
    <row r="3745">
      <c r="A3745" s="86">
        <f>IFERROR(__xludf.DUMMYFUNCTION("""COMPUTED_VALUE"""),3743.0)</f>
        <v>3743</v>
      </c>
      <c r="B3745" s="87" t="str">
        <f>IFERROR(__xludf.DUMMYFUNCTION("""COMPUTED_VALUE"""),"Nhãn")</f>
        <v>Nhãn</v>
      </c>
      <c r="C3745" s="87" t="str">
        <f>IFERROR(__xludf.DUMMYFUNCTION("""COMPUTED_VALUE"""),"NHG3014")</f>
        <v>NHG3014</v>
      </c>
      <c r="D3745" s="87" t="str">
        <f>IFERROR(__xludf.DUMMYFUNCTION("""COMPUTED_VALUE"""),"[Nhãn] NB - V - 3014 - CTY NAUY - MEKONGVIL 5SC - EXTRA (Nước hồng)  - 600ml - 40")</f>
        <v>[Nhãn] NB - V - 3014 - CTY NAUY - MEKONGVIL 5SC - EXTRA (Nước hồng)  - 600ml - 40</v>
      </c>
      <c r="E3745" s="87" t="str">
        <f>IFERROR(__xludf.DUMMYFUNCTION("""COMPUTED_VALUE"""),"Mekongvil 5SC")</f>
        <v>Mekongvil 5SC</v>
      </c>
      <c r="F3745" s="87" t="str">
        <f>IFERROR(__xludf.DUMMYFUNCTION("""COMPUTED_VALUE"""),"HH3014")</f>
        <v>HH3014</v>
      </c>
      <c r="G3745" s="87" t="str">
        <f>IFERROR(__xludf.DUMMYFUNCTION("""COMPUTED_VALUE"""),"NB - V - 3014 - CTY NAUY - MEKONGVIL 5SC - EXTRA (Nước hồng)  - 600ml - 40")</f>
        <v>NB - V - 3014 - CTY NAUY - MEKONGVIL 5SC - EXTRA (Nước hồng)  - 600ml - 40</v>
      </c>
    </row>
    <row r="3746">
      <c r="A3746" s="86">
        <f>IFERROR(__xludf.DUMMYFUNCTION("""COMPUTED_VALUE"""),3744.0)</f>
        <v>3744</v>
      </c>
      <c r="B3746" s="87" t="str">
        <f>IFERROR(__xludf.DUMMYFUNCTION("""COMPUTED_VALUE"""),"Nhãn")</f>
        <v>Nhãn</v>
      </c>
      <c r="C3746" s="87" t="str">
        <f>IFERROR(__xludf.DUMMYFUNCTION("""COMPUTED_VALUE"""),"NHG3015")</f>
        <v>NHG3015</v>
      </c>
      <c r="D3746" s="87" t="str">
        <f>IFERROR(__xludf.DUMMYFUNCTION("""COMPUTED_VALUE"""),"[Nhãn] NB - V - 3015 - CTY NAUY - PBVL AGAMA-SUPPORT - NANO (Nước nâu đen) - 600ml - 40")</f>
        <v>[Nhãn] NB - V - 3015 - CTY NAUY - PBVL AGAMA-SUPPORT - NANO (Nước nâu đen) - 600ml - 40</v>
      </c>
      <c r="E3746" s="87" t="str">
        <f>IFERROR(__xludf.DUMMYFUNCTION("""COMPUTED_VALUE"""),"Vi lượng AGAMA-SUPPORT")</f>
        <v>Vi lượng AGAMA-SUPPORT</v>
      </c>
      <c r="F3746" s="87" t="str">
        <f>IFERROR(__xludf.DUMMYFUNCTION("""COMPUTED_VALUE"""),"HH3015")</f>
        <v>HH3015</v>
      </c>
      <c r="G3746" s="87" t="str">
        <f>IFERROR(__xludf.DUMMYFUNCTION("""COMPUTED_VALUE"""),"NB - V - 3015 - CTY NAUY - PBVL AGAMA-SUPPORT - NANO (Nước nâu đen) - 600ml - 40")</f>
        <v>NB - V - 3015 - CTY NAUY - PBVL AGAMA-SUPPORT - NANO (Nước nâu đen) - 600ml - 40</v>
      </c>
    </row>
    <row r="3747">
      <c r="A3747" s="86">
        <f>IFERROR(__xludf.DUMMYFUNCTION("""COMPUTED_VALUE"""),3745.0)</f>
        <v>3745</v>
      </c>
      <c r="B3747" s="87" t="str">
        <f>IFERROR(__xludf.DUMMYFUNCTION("""COMPUTED_VALUE"""),"Nhãn")</f>
        <v>Nhãn</v>
      </c>
      <c r="C3747" s="87" t="str">
        <f>IFERROR(__xludf.DUMMYFUNCTION("""COMPUTED_VALUE"""),"NTN3016")</f>
        <v>NTN3016</v>
      </c>
      <c r="D3747" s="87" t="str">
        <f>IFERROR(__xludf.DUMMYFUNCTION("""COMPUTED_VALUE"""),"[Nhãn] GC - IV - 3016 - Cty Tiến Vinh - EMA TIVI 55 - 30gr - 400")</f>
        <v>[Nhãn] GC - IV - 3016 - Cty Tiến Vinh - EMA TIVI 55 - 30gr - 400</v>
      </c>
      <c r="E3747" s="87" t="str">
        <f>IFERROR(__xludf.DUMMYFUNCTION("""COMPUTED_VALUE"""),"MAKEGREEN 55WG")</f>
        <v>MAKEGREEN 55WG</v>
      </c>
      <c r="F3747" s="87" t="str">
        <f>IFERROR(__xludf.DUMMYFUNCTION("""COMPUTED_VALUE"""),"HH3016")</f>
        <v>HH3016</v>
      </c>
      <c r="G3747" s="87" t="str">
        <f>IFERROR(__xludf.DUMMYFUNCTION("""COMPUTED_VALUE"""),"GC - IV - 3016 - Cty Tiến Vinh - EMA TIVI 55 - 30gr - 400")</f>
        <v>GC - IV - 3016 - Cty Tiến Vinh - EMA TIVI 55 - 30gr - 400</v>
      </c>
    </row>
    <row r="3748">
      <c r="A3748" s="86">
        <f>IFERROR(__xludf.DUMMYFUNCTION("""COMPUTED_VALUE"""),3746.0)</f>
        <v>3746</v>
      </c>
      <c r="B3748" s="87" t="str">
        <f>IFERROR(__xludf.DUMMYFUNCTION("""COMPUTED_VALUE"""),"Nhãn thùng")</f>
        <v>Nhãn thùng</v>
      </c>
      <c r="C3748" s="87" t="str">
        <f>IFERROR(__xludf.DUMMYFUNCTION("""COMPUTED_VALUE"""),"NDT3016")</f>
        <v>NDT3016</v>
      </c>
      <c r="D3748" s="87" t="str">
        <f>IFERROR(__xludf.DUMMYFUNCTION("""COMPUTED_VALUE"""),"[Nhãn thùng] GC - IV - 3016 - Cty Tiến Vinh - EMA TIVI 55 - 30gr - 400")</f>
        <v>[Nhãn thùng] GC - IV - 3016 - Cty Tiến Vinh - EMA TIVI 55 - 30gr - 400</v>
      </c>
      <c r="E3748" s="87" t="str">
        <f>IFERROR(__xludf.DUMMYFUNCTION("""COMPUTED_VALUE"""),"MAKEGREEN 55WG")</f>
        <v>MAKEGREEN 55WG</v>
      </c>
      <c r="F3748" s="87" t="str">
        <f>IFERROR(__xludf.DUMMYFUNCTION("""COMPUTED_VALUE"""),"HH3016")</f>
        <v>HH3016</v>
      </c>
      <c r="G3748" s="87" t="str">
        <f>IFERROR(__xludf.DUMMYFUNCTION("""COMPUTED_VALUE"""),"GC - IV - 3016 - Cty Tiến Vinh - EMA TIVI 55 - 30gr - 400")</f>
        <v>GC - IV - 3016 - Cty Tiến Vinh - EMA TIVI 55 - 30gr - 400</v>
      </c>
    </row>
    <row r="3749">
      <c r="A3749" s="86">
        <f>IFERROR(__xludf.DUMMYFUNCTION("""COMPUTED_VALUE"""),3747.0)</f>
        <v>3747</v>
      </c>
      <c r="B3749" s="87" t="str">
        <f>IFERROR(__xludf.DUMMYFUNCTION("""COMPUTED_VALUE"""),"Nhãn")</f>
        <v>Nhãn</v>
      </c>
      <c r="C3749" s="87" t="str">
        <f>IFERROR(__xludf.DUMMYFUNCTION("""COMPUTED_VALUE"""),"NHG3017")</f>
        <v>NHG3017</v>
      </c>
      <c r="D3749" s="87" t="str">
        <f>IFERROR(__xludf.DUMMYFUNCTION("""COMPUTED_VALUE"""),"[Nhãn] GC - IV - 3017 - NHP - Killmite (Nước tím) - 250ml - 40")</f>
        <v>[Nhãn] GC - IV - 3017 - NHP - Killmite (Nước tím) - 250ml - 40</v>
      </c>
      <c r="E3749" s="87" t="str">
        <f>IFERROR(__xludf.DUMMYFUNCTION("""COMPUTED_VALUE"""),"Chitin 3.6EC")</f>
        <v>Chitin 3.6EC</v>
      </c>
      <c r="F3749" s="87" t="str">
        <f>IFERROR(__xludf.DUMMYFUNCTION("""COMPUTED_VALUE"""),"HH3017")</f>
        <v>HH3017</v>
      </c>
      <c r="G3749" s="87" t="str">
        <f>IFERROR(__xludf.DUMMYFUNCTION("""COMPUTED_VALUE"""),"GC - IV - 3017 - NHP - Killmite (Nước tím) - 250ml - 40")</f>
        <v>GC - IV - 3017 - NHP - Killmite (Nước tím) - 250ml - 40</v>
      </c>
    </row>
    <row r="3750">
      <c r="A3750" s="86">
        <f>IFERROR(__xludf.DUMMYFUNCTION("""COMPUTED_VALUE"""),3748.0)</f>
        <v>3748</v>
      </c>
      <c r="B3750" s="87" t="str">
        <f>IFERROR(__xludf.DUMMYFUNCTION("""COMPUTED_VALUE"""),"Nhãn")</f>
        <v>Nhãn</v>
      </c>
      <c r="C3750" s="87" t="str">
        <f>IFERROR(__xludf.DUMMYFUNCTION("""COMPUTED_VALUE"""),"NHG3018")</f>
        <v>NHG3018</v>
      </c>
      <c r="D3750" s="87" t="str">
        <f>IFERROR(__xludf.DUMMYFUNCTION("""COMPUTED_VALUE"""),"[Nhãn] GC - IV - 3018 - CTY THIÊN DI - THIDI CANXIBO (Nước trắng sữa) - 500ml - 40")</f>
        <v>[Nhãn] GC - IV - 3018 - CTY THIÊN DI - THIDI CANXIBO (Nước trắng sữa) - 500ml - 40</v>
      </c>
      <c r="E3750" s="87" t="str">
        <f>IFERROR(__xludf.DUMMYFUNCTION("""COMPUTED_VALUE"""),"Vi lượng AGAMA-CANXI BO")</f>
        <v>Vi lượng AGAMA-CANXI BO</v>
      </c>
      <c r="F3750" s="87" t="str">
        <f>IFERROR(__xludf.DUMMYFUNCTION("""COMPUTED_VALUE"""),"HH3018")</f>
        <v>HH3018</v>
      </c>
      <c r="G3750" s="87" t="str">
        <f>IFERROR(__xludf.DUMMYFUNCTION("""COMPUTED_VALUE"""),"GC - IV - 3018 - CTY THIÊN DI - THIDI CANXIBO (Nước trắng sữa) - 500ml - 40")</f>
        <v>GC - IV - 3018 - CTY THIÊN DI - THIDI CANXIBO (Nước trắng sữa) - 500ml - 40</v>
      </c>
    </row>
    <row r="3751">
      <c r="A3751" s="86">
        <f>IFERROR(__xludf.DUMMYFUNCTION("""COMPUTED_VALUE"""),3749.0)</f>
        <v>3749</v>
      </c>
      <c r="B3751" s="87" t="str">
        <f>IFERROR(__xludf.DUMMYFUNCTION("""COMPUTED_VALUE"""),"Nhãn")</f>
        <v>Nhãn</v>
      </c>
      <c r="C3751" s="87" t="str">
        <f>IFERROR(__xludf.DUMMYFUNCTION("""COMPUTED_VALUE"""),"NHG3020")</f>
        <v>NHG3020</v>
      </c>
      <c r="D3751" s="87" t="str">
        <f>IFERROR(__xludf.DUMMYFUNCTION("""COMPUTED_VALUE"""),"[Nhãn] GC - IV - 3020 - CTY DONA VINA - DONA VIL 110 (Nước trắng sữa) - 1L - 20")</f>
        <v>[Nhãn] GC - IV - 3020 - CTY DONA VINA - DONA VIL 110 (Nước trắng sữa) - 1L - 20</v>
      </c>
      <c r="E3751" s="87" t="str">
        <f>IFERROR(__xludf.DUMMYFUNCTION("""COMPUTED_VALUE"""),"JAPA VIL 110SC")</f>
        <v>JAPA VIL 110SC</v>
      </c>
      <c r="F3751" s="87" t="str">
        <f>IFERROR(__xludf.DUMMYFUNCTION("""COMPUTED_VALUE"""),"HH3020")</f>
        <v>HH3020</v>
      </c>
      <c r="G3751" s="87" t="str">
        <f>IFERROR(__xludf.DUMMYFUNCTION("""COMPUTED_VALUE"""),"GC - IV - 3020 - CTY DONA VINA - DONA VIL 110 (Nước trắng sữa) - 1L - 20")</f>
        <v>GC - IV - 3020 - CTY DONA VINA - DONA VIL 110 (Nước trắng sữa) - 1L - 20</v>
      </c>
    </row>
    <row r="3752">
      <c r="A3752" s="86">
        <f>IFERROR(__xludf.DUMMYFUNCTION("""COMPUTED_VALUE"""),3750.0)</f>
        <v>3750</v>
      </c>
      <c r="B3752" s="87" t="str">
        <f>IFERROR(__xludf.DUMMYFUNCTION("""COMPUTED_VALUE"""),"Nhãn")</f>
        <v>Nhãn</v>
      </c>
      <c r="C3752" s="87" t="str">
        <f>IFERROR(__xludf.DUMMYFUNCTION("""COMPUTED_VALUE"""),"NTN3021")</f>
        <v>NTN3021</v>
      </c>
      <c r="D3752" s="87" t="str">
        <f>IFERROR(__xludf.DUMMYFUNCTION("""COMPUTED_VALUE"""),"[Nhãn] IDA Global - I - 3021 - SIÊU DIỆT VI KHUẨN (Bột trắng) - 200gr - 50")</f>
        <v>[Nhãn] IDA Global - I - 3021 - SIÊU DIỆT VI KHUẨN (Bột trắng) - 200gr - 50</v>
      </c>
      <c r="E3752" s="87" t="str">
        <f>IFERROR(__xludf.DUMMYFUNCTION("""COMPUTED_VALUE"""),"Oxycin 100WP")</f>
        <v>Oxycin 100WP</v>
      </c>
      <c r="F3752" s="87" t="str">
        <f>IFERROR(__xludf.DUMMYFUNCTION("""COMPUTED_VALUE"""),"HH3021")</f>
        <v>HH3021</v>
      </c>
      <c r="G3752" s="87" t="str">
        <f>IFERROR(__xludf.DUMMYFUNCTION("""COMPUTED_VALUE"""),"IDA Global - I - 3021 - SIÊU DIỆT VI KHUẨN (Bột trắng) - 200gr - 50")</f>
        <v>IDA Global - I - 3021 - SIÊU DIỆT VI KHUẨN (Bột trắng) - 200gr - 50</v>
      </c>
    </row>
    <row r="3753">
      <c r="A3753" s="86">
        <f>IFERROR(__xludf.DUMMYFUNCTION("""COMPUTED_VALUE"""),3751.0)</f>
        <v>3751</v>
      </c>
      <c r="B3753" s="87" t="str">
        <f>IFERROR(__xludf.DUMMYFUNCTION("""COMPUTED_VALUE"""),"Nhãn thùng")</f>
        <v>Nhãn thùng</v>
      </c>
      <c r="C3753" s="87" t="str">
        <f>IFERROR(__xludf.DUMMYFUNCTION("""COMPUTED_VALUE"""),"NDT3021")</f>
        <v>NDT3021</v>
      </c>
      <c r="D3753" s="87" t="str">
        <f>IFERROR(__xludf.DUMMYFUNCTION("""COMPUTED_VALUE"""),"[Nhãn thùng] IDA Global - I - 3021 - SIÊU DIỆT VI KHUẨN (Bột trắng) - 200gr - 50")</f>
        <v>[Nhãn thùng] IDA Global - I - 3021 - SIÊU DIỆT VI KHUẨN (Bột trắng) - 200gr - 50</v>
      </c>
      <c r="E3753" s="87" t="str">
        <f>IFERROR(__xludf.DUMMYFUNCTION("""COMPUTED_VALUE"""),"Oxycin 100WP")</f>
        <v>Oxycin 100WP</v>
      </c>
      <c r="F3753" s="87" t="str">
        <f>IFERROR(__xludf.DUMMYFUNCTION("""COMPUTED_VALUE"""),"HH3021")</f>
        <v>HH3021</v>
      </c>
      <c r="G3753" s="87" t="str">
        <f>IFERROR(__xludf.DUMMYFUNCTION("""COMPUTED_VALUE"""),"IDA Global - I - 3021 - SIÊU DIỆT VI KHUẨN (Bột trắng) - 200gr - 50")</f>
        <v>IDA Global - I - 3021 - SIÊU DIỆT VI KHUẨN (Bột trắng) - 200gr - 50</v>
      </c>
    </row>
    <row r="3754">
      <c r="A3754" s="86">
        <f>IFERROR(__xludf.DUMMYFUNCTION("""COMPUTED_VALUE"""),3752.0)</f>
        <v>3752</v>
      </c>
      <c r="B3754" s="87" t="str">
        <f>IFERROR(__xludf.DUMMYFUNCTION("""COMPUTED_VALUE"""),"Nhãn")</f>
        <v>Nhãn</v>
      </c>
      <c r="C3754" s="87" t="str">
        <f>IFERROR(__xludf.DUMMYFUNCTION("""COMPUTED_VALUE"""),"NHG3022")</f>
        <v>NHG3022</v>
      </c>
      <c r="D3754" s="87" t="str">
        <f>IFERROR(__xludf.DUMMYFUNCTION("""COMPUTED_VALUE"""),"[Nhãn] GC - IV - 3022 - CTY THẾ DANH - ALVINZ NHẬT X2 (Nước vàng) - 1L - 20")</f>
        <v>[Nhãn] GC - IV - 3022 - CTY THẾ DANH - ALVINZ NHẬT X2 (Nước vàng) - 1L - 20</v>
      </c>
      <c r="E3754" s="87" t="str">
        <f>IFERROR(__xludf.DUMMYFUNCTION("""COMPUTED_VALUE"""),"JAPA VIL 110SC")</f>
        <v>JAPA VIL 110SC</v>
      </c>
      <c r="F3754" s="87" t="str">
        <f>IFERROR(__xludf.DUMMYFUNCTION("""COMPUTED_VALUE"""),"HH3022")</f>
        <v>HH3022</v>
      </c>
      <c r="G3754" s="87" t="str">
        <f>IFERROR(__xludf.DUMMYFUNCTION("""COMPUTED_VALUE"""),"GC - IV - 3022 - CTY THẾ DANH - ALVINZ NHẬT X2 (Nước vàng) - 1L - 20")</f>
        <v>GC - IV - 3022 - CTY THẾ DANH - ALVINZ NHẬT X2 (Nước vàng) - 1L - 20</v>
      </c>
    </row>
    <row r="3755">
      <c r="A3755" s="86">
        <f>IFERROR(__xludf.DUMMYFUNCTION("""COMPUTED_VALUE"""),3753.0)</f>
        <v>3753</v>
      </c>
      <c r="B3755" s="87" t="str">
        <f>IFERROR(__xludf.DUMMYFUNCTION("""COMPUTED_VALUE"""),"Nhãn")</f>
        <v>Nhãn</v>
      </c>
      <c r="C3755" s="87" t="str">
        <f>IFERROR(__xludf.DUMMYFUNCTION("""COMPUTED_VALUE"""),"NHG3023")</f>
        <v>NHG3023</v>
      </c>
      <c r="D3755" s="87" t="str">
        <f>IFERROR(__xludf.DUMMYFUNCTION("""COMPUTED_VALUE"""),"[Nhãn] NB - V - 3023 - CTY NAUY - EU VINA PLUS (Dưỡng đòng) (Nước nâu đen) - 500ml - 40")</f>
        <v>[Nhãn] NB - V - 3023 - CTY NAUY - EU VINA PLUS (Dưỡng đòng) (Nước nâu đen) - 500ml - 40</v>
      </c>
      <c r="E3755" s="87" t="str">
        <f>IFERROR(__xludf.DUMMYFUNCTION("""COMPUTED_VALUE"""),"Vi lượng AGAMA-SUPPORT")</f>
        <v>Vi lượng AGAMA-SUPPORT</v>
      </c>
      <c r="F3755" s="87" t="str">
        <f>IFERROR(__xludf.DUMMYFUNCTION("""COMPUTED_VALUE"""),"HH3023")</f>
        <v>HH3023</v>
      </c>
      <c r="G3755" s="87" t="str">
        <f>IFERROR(__xludf.DUMMYFUNCTION("""COMPUTED_VALUE"""),"NB - V - 3023 - CTY NAUY - EU VINA PLUS (Dưỡng đòng) (Nước nâu đen) - 500ml - 40")</f>
        <v>NB - V - 3023 - CTY NAUY - EU VINA PLUS (Dưỡng đòng) (Nước nâu đen) - 500ml - 40</v>
      </c>
    </row>
    <row r="3756">
      <c r="A3756" s="86">
        <f>IFERROR(__xludf.DUMMYFUNCTION("""COMPUTED_VALUE"""),3754.0)</f>
        <v>3754</v>
      </c>
      <c r="B3756" s="87" t="str">
        <f>IFERROR(__xludf.DUMMYFUNCTION("""COMPUTED_VALUE"""),"Nhãn")</f>
        <v>Nhãn</v>
      </c>
      <c r="C3756" s="87" t="str">
        <f>IFERROR(__xludf.DUMMYFUNCTION("""COMPUTED_VALUE"""),"NHD3024")</f>
        <v>NHD3024</v>
      </c>
      <c r="D3756" s="87" t="str">
        <f>IFERROR(__xludf.DUMMYFUNCTION("""COMPUTED_VALUE"""),"[Nhãn] GC - IV - 3024 - THÀNH CÔNG AGRI - CREEK 2.1EC (Nước đỏ) - 450ml - 40")</f>
        <v>[Nhãn] GC - IV - 3024 - THÀNH CÔNG AGRI - CREEK 2.1EC (Nước đỏ) - 450ml - 40</v>
      </c>
      <c r="E3756" s="87" t="str">
        <f>IFERROR(__xludf.DUMMYFUNCTION("""COMPUTED_VALUE"""),"Creek 2.1EC")</f>
        <v>Creek 2.1EC</v>
      </c>
      <c r="F3756" s="87" t="str">
        <f>IFERROR(__xludf.DUMMYFUNCTION("""COMPUTED_VALUE"""),"HH3024")</f>
        <v>HH3024</v>
      </c>
      <c r="G3756" s="87" t="str">
        <f>IFERROR(__xludf.DUMMYFUNCTION("""COMPUTED_VALUE"""),"GC - IV - 3024 - THÀNH CÔNG AGRI - CREEK 2.1EC (Nước đỏ) - 450ml - 40")</f>
        <v>GC - IV - 3024 - THÀNH CÔNG AGRI - CREEK 2.1EC (Nước đỏ) - 450ml - 40</v>
      </c>
    </row>
    <row r="3757">
      <c r="A3757" s="86">
        <f>IFERROR(__xludf.DUMMYFUNCTION("""COMPUTED_VALUE"""),3755.0)</f>
        <v>3755</v>
      </c>
      <c r="B3757" s="87" t="str">
        <f>IFERROR(__xludf.DUMMYFUNCTION("""COMPUTED_VALUE"""),"Nhãn thùng")</f>
        <v>Nhãn thùng</v>
      </c>
      <c r="C3757" s="87" t="str">
        <f>IFERROR(__xludf.DUMMYFUNCTION("""COMPUTED_VALUE"""),"NDT3024")</f>
        <v>NDT3024</v>
      </c>
      <c r="D3757" s="87" t="str">
        <f>IFERROR(__xludf.DUMMYFUNCTION("""COMPUTED_VALUE"""),"[Nhãn thùng] GC - IV - 3024 - THÀNH CÔNG AGRI - CREEK 2.1EC (Nước đỏ) - 450ml - 40")</f>
        <v>[Nhãn thùng] GC - IV - 3024 - THÀNH CÔNG AGRI - CREEK 2.1EC (Nước đỏ) - 450ml - 40</v>
      </c>
      <c r="E3757" s="87" t="str">
        <f>IFERROR(__xludf.DUMMYFUNCTION("""COMPUTED_VALUE"""),"Creek 2.1EC")</f>
        <v>Creek 2.1EC</v>
      </c>
      <c r="F3757" s="87" t="str">
        <f>IFERROR(__xludf.DUMMYFUNCTION("""COMPUTED_VALUE"""),"HH3024")</f>
        <v>HH3024</v>
      </c>
      <c r="G3757" s="87" t="str">
        <f>IFERROR(__xludf.DUMMYFUNCTION("""COMPUTED_VALUE"""),"GC - IV - 3024 - THÀNH CÔNG AGRI - CREEK 2.1EC (Nước đỏ) - 450ml - 40")</f>
        <v>GC - IV - 3024 - THÀNH CÔNG AGRI - CREEK 2.1EC (Nước đỏ) - 450ml - 40</v>
      </c>
    </row>
    <row r="3758">
      <c r="A3758" s="86">
        <f>IFERROR(__xludf.DUMMYFUNCTION("""COMPUTED_VALUE"""),3756.0)</f>
        <v>3756</v>
      </c>
      <c r="B3758" s="87" t="str">
        <f>IFERROR(__xludf.DUMMYFUNCTION("""COMPUTED_VALUE"""),"Nhãn")</f>
        <v>Nhãn</v>
      </c>
      <c r="C3758" s="87" t="str">
        <f>IFERROR(__xludf.DUMMYFUNCTION("""COMPUTED_VALUE"""),"NHG3025")</f>
        <v>NHG3025</v>
      </c>
      <c r="D3758" s="87" t="str">
        <f>IFERROR(__xludf.DUMMYFUNCTION("""COMPUTED_VALUE"""),"[Nhãn] NB - V - 3025 - CTY HÓA TRƯỜNG GIANG - FORTIL 25SC (Nước trắng sữa) - 1L - 20")</f>
        <v>[Nhãn] NB - V - 3025 - CTY HÓA TRƯỜNG GIANG - FORTIL 25SC (Nước trắng sữa) - 1L - 20</v>
      </c>
      <c r="E3758" s="87" t="str">
        <f>IFERROR(__xludf.DUMMYFUNCTION("""COMPUTED_VALUE"""),"FORTIL 25SC")</f>
        <v>FORTIL 25SC</v>
      </c>
      <c r="F3758" s="87" t="str">
        <f>IFERROR(__xludf.DUMMYFUNCTION("""COMPUTED_VALUE"""),"HH3025")</f>
        <v>HH3025</v>
      </c>
      <c r="G3758" s="87" t="str">
        <f>IFERROR(__xludf.DUMMYFUNCTION("""COMPUTED_VALUE"""),"NB - V - 3025 - CTY HÓA TRƯỜNG GIANG - FORTIL 25SC (Nước trắng sữa) - 1L - 20")</f>
        <v>NB - V - 3025 - CTY HÓA TRƯỜNG GIANG - FORTIL 25SC (Nước trắng sữa) - 1L - 20</v>
      </c>
    </row>
    <row r="3759">
      <c r="A3759" s="86">
        <f>IFERROR(__xludf.DUMMYFUNCTION("""COMPUTED_VALUE"""),3757.0)</f>
        <v>3757</v>
      </c>
      <c r="B3759" s="87" t="str">
        <f>IFERROR(__xludf.DUMMYFUNCTION("""COMPUTED_VALUE"""),"Nhãn")</f>
        <v>Nhãn</v>
      </c>
      <c r="C3759" s="87" t="str">
        <f>IFERROR(__xludf.DUMMYFUNCTION("""COMPUTED_VALUE"""),"NTN3026")</f>
        <v>NTN3026</v>
      </c>
      <c r="D3759" s="87" t="str">
        <f>IFERROR(__xludf.DUMMYFUNCTION("""COMPUTED_VALUE"""),"[Nhãn] GC - IV - 3026 - NHP GROUP - SÁT TRÙNG TÍM (Hạt Hồng Cam) - 1kg - 20")</f>
        <v>[Nhãn] GC - IV - 3026 - NHP GROUP - SÁT TRÙNG TÍM (Hạt Hồng Cam) - 1kg - 20</v>
      </c>
      <c r="E3759" s="87" t="str">
        <f>IFERROR(__xludf.DUMMYFUNCTION("""COMPUTED_VALUE"""),"LEDAN 4GR")</f>
        <v>LEDAN 4GR</v>
      </c>
      <c r="F3759" s="87" t="str">
        <f>IFERROR(__xludf.DUMMYFUNCTION("""COMPUTED_VALUE"""),"HH3026")</f>
        <v>HH3026</v>
      </c>
      <c r="G3759" s="87" t="str">
        <f>IFERROR(__xludf.DUMMYFUNCTION("""COMPUTED_VALUE"""),"GC - IV - 3026 - NHP GROUP - SÁT TRÙNG TÍM (Hạt Hồng Cam) - 1kg - 20")</f>
        <v>GC - IV - 3026 - NHP GROUP - SÁT TRÙNG TÍM (Hạt Hồng Cam) - 1kg - 20</v>
      </c>
    </row>
    <row r="3760">
      <c r="A3760" s="86">
        <f>IFERROR(__xludf.DUMMYFUNCTION("""COMPUTED_VALUE"""),3758.0)</f>
        <v>3758</v>
      </c>
      <c r="B3760" s="87" t="str">
        <f>IFERROR(__xludf.DUMMYFUNCTION("""COMPUTED_VALUE"""),"Nhãn thùng")</f>
        <v>Nhãn thùng</v>
      </c>
      <c r="C3760" s="87" t="str">
        <f>IFERROR(__xludf.DUMMYFUNCTION("""COMPUTED_VALUE"""),"NDT3026")</f>
        <v>NDT3026</v>
      </c>
      <c r="D3760" s="87" t="str">
        <f>IFERROR(__xludf.DUMMYFUNCTION("""COMPUTED_VALUE"""),"[Nhãn thùng] GC - IV - 3026 - NHP GROUP - SÁT TRÙNG TÍM (Hạt Hồng Cam) - 1kg - 20")</f>
        <v>[Nhãn thùng] GC - IV - 3026 - NHP GROUP - SÁT TRÙNG TÍM (Hạt Hồng Cam) - 1kg - 20</v>
      </c>
      <c r="E3760" s="87" t="str">
        <f>IFERROR(__xludf.DUMMYFUNCTION("""COMPUTED_VALUE"""),"LEDAN 4GR")</f>
        <v>LEDAN 4GR</v>
      </c>
      <c r="F3760" s="87" t="str">
        <f>IFERROR(__xludf.DUMMYFUNCTION("""COMPUTED_VALUE"""),"HH3026")</f>
        <v>HH3026</v>
      </c>
      <c r="G3760" s="87" t="str">
        <f>IFERROR(__xludf.DUMMYFUNCTION("""COMPUTED_VALUE"""),"GC - IV - 3026 - NHP GROUP - SÁT TRÙNG TÍM (Hạt Hồng Cam) - 1kg - 20")</f>
        <v>GC - IV - 3026 - NHP GROUP - SÁT TRÙNG TÍM (Hạt Hồng Cam) - 1kg - 20</v>
      </c>
    </row>
    <row r="3761">
      <c r="A3761" s="86">
        <f>IFERROR(__xludf.DUMMYFUNCTION("""COMPUTED_VALUE"""),3759.0)</f>
        <v>3759</v>
      </c>
      <c r="B3761" s="87" t="str">
        <f>IFERROR(__xludf.DUMMYFUNCTION("""COMPUTED_VALUE"""),"Nhãn")</f>
        <v>Nhãn</v>
      </c>
      <c r="C3761" s="87" t="str">
        <f>IFERROR(__xludf.DUMMYFUNCTION("""COMPUTED_VALUE"""),"NHG3027")</f>
        <v>NHG3027</v>
      </c>
      <c r="D3761" s="87" t="str">
        <f>IFERROR(__xludf.DUMMYFUNCTION("""COMPUTED_VALUE"""),"[Nhãn] GC - IV - 3027 - NHP GROUP - ULTRA KEO CABOR (Nước vàng) - 200ml - 40")</f>
        <v>[Nhãn] GC - IV - 3027 - NHP GROUP - ULTRA KEO CABOR (Nước vàng) - 200ml - 40</v>
      </c>
      <c r="E3761" s="87" t="str">
        <f>IFERROR(__xludf.DUMMYFUNCTION("""COMPUTED_VALUE"""),"Vi lượng Run Fast")</f>
        <v>Vi lượng Run Fast</v>
      </c>
      <c r="F3761" s="87" t="str">
        <f>IFERROR(__xludf.DUMMYFUNCTION("""COMPUTED_VALUE"""),"HH3027")</f>
        <v>HH3027</v>
      </c>
      <c r="G3761" s="87" t="str">
        <f>IFERROR(__xludf.DUMMYFUNCTION("""COMPUTED_VALUE"""),"GC - IV - 3027 - NHP GROUP - ULTRA KEO CABOR (Nước vàng) - 200ml - 40")</f>
        <v>GC - IV - 3027 - NHP GROUP - ULTRA KEO CABOR (Nước vàng) - 200ml - 40</v>
      </c>
    </row>
    <row r="3762">
      <c r="A3762" s="86">
        <f>IFERROR(__xludf.DUMMYFUNCTION("""COMPUTED_VALUE"""),3760.0)</f>
        <v>3760</v>
      </c>
      <c r="B3762" s="87" t="str">
        <f>IFERROR(__xludf.DUMMYFUNCTION("""COMPUTED_VALUE"""),"Nhãn")</f>
        <v>Nhãn</v>
      </c>
      <c r="C3762" s="87" t="str">
        <f>IFERROR(__xludf.DUMMYFUNCTION("""COMPUTED_VALUE"""),"NHG3028")</f>
        <v>NHG3028</v>
      </c>
      <c r="D3762" s="87" t="str">
        <f>IFERROR(__xludf.DUMMYFUNCTION("""COMPUTED_VALUE"""),"[Nhãn] NB - ND THỤY SĨ - PBHC COMPLEX MIX 18 - HẠ PHÈN KÍCH RỄ - 500ml -40")</f>
        <v>[Nhãn] NB - ND THỤY SĨ - PBHC COMPLEX MIX 18 - HẠ PHÈN KÍCH RỄ - 500ml -40</v>
      </c>
      <c r="E3762" s="87" t="str">
        <f>IFERROR(__xludf.DUMMYFUNCTION("""COMPUTED_VALUE"""),"Hữu cơ COMPLEX MIX 18")</f>
        <v>Hữu cơ COMPLEX MIX 18</v>
      </c>
      <c r="F3762" s="87" t="str">
        <f>IFERROR(__xludf.DUMMYFUNCTION("""COMPUTED_VALUE"""),"HH3028")</f>
        <v>HH3028</v>
      </c>
      <c r="G3762" s="87" t="str">
        <f>IFERROR(__xludf.DUMMYFUNCTION("""COMPUTED_VALUE"""),"NB - ND THỤY SĨ - PBHC COMPLEX MIX 18 - HẠ PHÈN KÍCH RỄ - 500ml -40")</f>
        <v>NB - ND THỤY SĨ - PBHC COMPLEX MIX 18 - HẠ PHÈN KÍCH RỄ - 500ml -40</v>
      </c>
    </row>
    <row r="3763">
      <c r="A3763" s="86">
        <f>IFERROR(__xludf.DUMMYFUNCTION("""COMPUTED_VALUE"""),3761.0)</f>
        <v>3761</v>
      </c>
      <c r="B3763" s="87" t="str">
        <f>IFERROR(__xludf.DUMMYFUNCTION("""COMPUTED_VALUE"""),"Nhãn")</f>
        <v>Nhãn</v>
      </c>
      <c r="C3763" s="87" t="str">
        <f>IFERROR(__xludf.DUMMYFUNCTION("""COMPUTED_VALUE"""),"NHD3029")</f>
        <v>NHD3029</v>
      </c>
      <c r="D3763" s="87" t="str">
        <f>IFERROR(__xludf.DUMMYFUNCTION("""COMPUTED_VALUE"""),"[Nhãn] GC - II - 3029 - AN KHANG - Haihamec 3.6EC (nước nâu đen) - 450ml - 40")</f>
        <v>[Nhãn] GC - II - 3029 - AN KHANG - Haihamec 3.6EC (nước nâu đen) - 450ml - 40</v>
      </c>
      <c r="E3763" s="87" t="str">
        <f>IFERROR(__xludf.DUMMYFUNCTION("""COMPUTED_VALUE"""),"HAIHAMEC 3.6EC")</f>
        <v>HAIHAMEC 3.6EC</v>
      </c>
      <c r="F3763" s="87" t="str">
        <f>IFERROR(__xludf.DUMMYFUNCTION("""COMPUTED_VALUE"""),"HH3029")</f>
        <v>HH3029</v>
      </c>
      <c r="G3763" s="87" t="str">
        <f>IFERROR(__xludf.DUMMYFUNCTION("""COMPUTED_VALUE"""),"GC - II - 3029 - AN KHANG - Haihamec 3.6EC (nước nâu đen) - 450ml - 40")</f>
        <v>GC - II - 3029 - AN KHANG - Haihamec 3.6EC (nước nâu đen) - 450ml - 40</v>
      </c>
    </row>
    <row r="3764">
      <c r="A3764" s="86">
        <f>IFERROR(__xludf.DUMMYFUNCTION("""COMPUTED_VALUE"""),3762.0)</f>
        <v>3762</v>
      </c>
      <c r="B3764" s="87" t="str">
        <f>IFERROR(__xludf.DUMMYFUNCTION("""COMPUTED_VALUE"""),"Nhãn thùng")</f>
        <v>Nhãn thùng</v>
      </c>
      <c r="C3764" s="87" t="str">
        <f>IFERROR(__xludf.DUMMYFUNCTION("""COMPUTED_VALUE"""),"NDT3029")</f>
        <v>NDT3029</v>
      </c>
      <c r="D3764" s="87" t="str">
        <f>IFERROR(__xludf.DUMMYFUNCTION("""COMPUTED_VALUE"""),"[Nhãn thùng] GC - II - 3029 - AN KHANG - Haihamec 3.6EC (nước nâu đen) - 450ml - 40")</f>
        <v>[Nhãn thùng] GC - II - 3029 - AN KHANG - Haihamec 3.6EC (nước nâu đen) - 450ml - 40</v>
      </c>
      <c r="E3764" s="87" t="str">
        <f>IFERROR(__xludf.DUMMYFUNCTION("""COMPUTED_VALUE"""),"HAIHAMEC 3.6EC")</f>
        <v>HAIHAMEC 3.6EC</v>
      </c>
      <c r="F3764" s="87" t="str">
        <f>IFERROR(__xludf.DUMMYFUNCTION("""COMPUTED_VALUE"""),"HH3029")</f>
        <v>HH3029</v>
      </c>
      <c r="G3764" s="87" t="str">
        <f>IFERROR(__xludf.DUMMYFUNCTION("""COMPUTED_VALUE"""),"GC - II - 3029 - AN KHANG - Haihamec 3.6EC (nước nâu đen) - 450ml - 40")</f>
        <v>GC - II - 3029 - AN KHANG - Haihamec 3.6EC (nước nâu đen) - 450ml - 40</v>
      </c>
    </row>
    <row r="3765">
      <c r="A3765" s="86">
        <f>IFERROR(__xludf.DUMMYFUNCTION("""COMPUTED_VALUE"""),3763.0)</f>
        <v>3763</v>
      </c>
      <c r="B3765" s="87" t="str">
        <f>IFERROR(__xludf.DUMMYFUNCTION("""COMPUTED_VALUE"""),"Nhãn")</f>
        <v>Nhãn</v>
      </c>
      <c r="C3765" s="87" t="str">
        <f>IFERROR(__xludf.DUMMYFUNCTION("""COMPUTED_VALUE"""),"NHG3030")</f>
        <v>NHG3030</v>
      </c>
      <c r="D3765" s="87" t="str">
        <f>IFERROR(__xludf.DUMMYFUNCTION("""COMPUTED_VALUE"""),"[Nhãn] GC - II - 3030 - CTY SEK MEAS AGROCHEM - NEW FUZE 200SC (Nước xanh) - 240ml - 40")</f>
        <v>[Nhãn] GC - II - 3030 - CTY SEK MEAS AGROCHEM - NEW FUZE 200SC (Nước xanh) - 240ml - 40</v>
      </c>
      <c r="E3765" s="87" t="str">
        <f>IFERROR(__xludf.DUMMYFUNCTION("""COMPUTED_VALUE"""),"NEW FUZE 200SC")</f>
        <v>NEW FUZE 200SC</v>
      </c>
      <c r="F3765" s="87" t="str">
        <f>IFERROR(__xludf.DUMMYFUNCTION("""COMPUTED_VALUE"""),"HH3030")</f>
        <v>HH3030</v>
      </c>
      <c r="G3765" s="87" t="str">
        <f>IFERROR(__xludf.DUMMYFUNCTION("""COMPUTED_VALUE"""),"GC - II - 3030 - CTY SEK MEAS AGROCHEM - NEW FUZE 200SC (Nước xanh) - 240ml - 40")</f>
        <v>GC - II - 3030 - CTY SEK MEAS AGROCHEM - NEW FUZE 200SC (Nước xanh) - 240ml - 40</v>
      </c>
    </row>
    <row r="3766">
      <c r="A3766" s="86">
        <f>IFERROR(__xludf.DUMMYFUNCTION("""COMPUTED_VALUE"""),3764.0)</f>
        <v>3764</v>
      </c>
      <c r="B3766" s="87" t="str">
        <f>IFERROR(__xludf.DUMMYFUNCTION("""COMPUTED_VALUE"""),"Nhãn")</f>
        <v>Nhãn</v>
      </c>
      <c r="C3766" s="87" t="str">
        <f>IFERROR(__xludf.DUMMYFUNCTION("""COMPUTED_VALUE"""),"NHD3031")</f>
        <v>NHD3031</v>
      </c>
      <c r="D3766" s="87" t="str">
        <f>IFERROR(__xludf.DUMMYFUNCTION("""COMPUTED_VALUE"""),"[Nhãn] GC - IV - 3031 - AGRITECH - NUTI ROOTS 2 USA (Dạng viên màu đen) - 10kg - 1")</f>
        <v>[Nhãn] GC - IV - 3031 - AGRITECH - NUTI ROOTS 2 USA (Dạng viên màu đen) - 10kg - 1</v>
      </c>
      <c r="E3766" s="87" t="str">
        <f>IFERROR(__xludf.DUMMYFUNCTION("""COMPUTED_VALUE"""),"Hữu cơ sinh học Nam Kinh 02")</f>
        <v>Hữu cơ sinh học Nam Kinh 02</v>
      </c>
      <c r="F3766" s="87" t="str">
        <f>IFERROR(__xludf.DUMMYFUNCTION("""COMPUTED_VALUE"""),"HH3031")</f>
        <v>HH3031</v>
      </c>
      <c r="G3766" s="87" t="str">
        <f>IFERROR(__xludf.DUMMYFUNCTION("""COMPUTED_VALUE"""),"GC - IV - 3031 - AGRITECH - NUTI ROOTS 2 USA  - 10kg - 1")</f>
        <v>GC - IV - 3031 - AGRITECH - NUTI ROOTS 2 USA  - 10kg - 1</v>
      </c>
    </row>
    <row r="3767">
      <c r="A3767" s="86">
        <f>IFERROR(__xludf.DUMMYFUNCTION("""COMPUTED_VALUE"""),3765.0)</f>
        <v>3765</v>
      </c>
      <c r="B3767" s="87" t="str">
        <f>IFERROR(__xludf.DUMMYFUNCTION("""COMPUTED_VALUE"""),"Nhãn")</f>
        <v>Nhãn</v>
      </c>
      <c r="C3767" s="87" t="str">
        <f>IFERROR(__xludf.DUMMYFUNCTION("""COMPUTED_VALUE"""),"NTN3032")</f>
        <v>NTN3032</v>
      </c>
      <c r="D3767" s="87" t="str">
        <f>IFERROR(__xludf.DUMMYFUNCTION("""COMPUTED_VALUE"""),"[Nhãn] NB - V - 3032 - Nông Dược Thụy Sĩ - MANCOBGO 80WP (bột xanh) - 1kg - 20")</f>
        <v>[Nhãn] NB - V - 3032 - Nông Dược Thụy Sĩ - MANCOBGO 80WP (bột xanh) - 1kg - 20</v>
      </c>
      <c r="E3767" s="87" t="str">
        <f>IFERROR(__xludf.DUMMYFUNCTION("""COMPUTED_VALUE"""),"MANCOBGO 80WP")</f>
        <v>MANCOBGO 80WP</v>
      </c>
      <c r="F3767" s="87" t="str">
        <f>IFERROR(__xludf.DUMMYFUNCTION("""COMPUTED_VALUE"""),"HH3032")</f>
        <v>HH3032</v>
      </c>
      <c r="G3767" s="87" t="str">
        <f>IFERROR(__xludf.DUMMYFUNCTION("""COMPUTED_VALUE"""),"NB - V - 3032 - Nông Dược Thụy Sĩ - MANCOBGO 80WP (bột xanh) - 1kg - 20")</f>
        <v>NB - V - 3032 - Nông Dược Thụy Sĩ - MANCOBGO 80WP (bột xanh) - 1kg - 20</v>
      </c>
    </row>
    <row r="3768">
      <c r="A3768" s="86">
        <f>IFERROR(__xludf.DUMMYFUNCTION("""COMPUTED_VALUE"""),3766.0)</f>
        <v>3766</v>
      </c>
      <c r="B3768" s="87" t="str">
        <f>IFERROR(__xludf.DUMMYFUNCTION("""COMPUTED_VALUE"""),"[Nhãn thùng]")</f>
        <v>[Nhãn thùng]</v>
      </c>
      <c r="C3768" s="87" t="str">
        <f>IFERROR(__xludf.DUMMYFUNCTION("""COMPUTED_VALUE"""),"NDT3032")</f>
        <v>NDT3032</v>
      </c>
      <c r="D3768" s="87" t="str">
        <f>IFERROR(__xludf.DUMMYFUNCTION("""COMPUTED_VALUE"""),"[Nhãn thùng] NB - V - 3032 - Nông Dược Thụy Sĩ - MANCOBGO 80WP (bột xanh) - 1kg - 20")</f>
        <v>[Nhãn thùng] NB - V - 3032 - Nông Dược Thụy Sĩ - MANCOBGO 80WP (bột xanh) - 1kg - 20</v>
      </c>
      <c r="E3768" s="87" t="str">
        <f>IFERROR(__xludf.DUMMYFUNCTION("""COMPUTED_VALUE"""),"MANCOBGO 80WP")</f>
        <v>MANCOBGO 80WP</v>
      </c>
      <c r="F3768" s="87" t="str">
        <f>IFERROR(__xludf.DUMMYFUNCTION("""COMPUTED_VALUE"""),"HH3032")</f>
        <v>HH3032</v>
      </c>
      <c r="G3768" s="87" t="str">
        <f>IFERROR(__xludf.DUMMYFUNCTION("""COMPUTED_VALUE"""),"NB - V - 3032 - Nông Dược Thụy Sĩ - MANCOBGO 80WP (bột xanh) - 1kg - 20")</f>
        <v>NB - V - 3032 - Nông Dược Thụy Sĩ - MANCOBGO 80WP (bột xanh) - 1kg - 20</v>
      </c>
    </row>
    <row r="3769">
      <c r="A3769" s="86">
        <f>IFERROR(__xludf.DUMMYFUNCTION("""COMPUTED_VALUE"""),3767.0)</f>
        <v>3767</v>
      </c>
      <c r="B3769" s="87" t="str">
        <f>IFERROR(__xludf.DUMMYFUNCTION("""COMPUTED_VALUE"""),"Nhãn")</f>
        <v>Nhãn</v>
      </c>
      <c r="C3769" s="87" t="str">
        <f>IFERROR(__xludf.DUMMYFUNCTION("""COMPUTED_VALUE"""),"NHG3033")</f>
        <v>NHG3033</v>
      </c>
      <c r="D3769" s="87" t="str">
        <f>IFERROR(__xludf.DUMMYFUNCTION("""COMPUTED_VALUE"""),"[Nhãn] NB - V - 3033 - CTY NAUY - GALAXY (Nước nâu đen) - 450ml - 40")</f>
        <v>[Nhãn] NB - V - 3033 - CTY NAUY - GALAXY (Nước nâu đen) - 450ml - 40</v>
      </c>
      <c r="E3769" s="87" t="str">
        <f>IFERROR(__xludf.DUMMYFUNCTION("""COMPUTED_VALUE"""),"Vi lượng AGAMA-SUPPORT")</f>
        <v>Vi lượng AGAMA-SUPPORT</v>
      </c>
      <c r="F3769" s="87" t="str">
        <f>IFERROR(__xludf.DUMMYFUNCTION("""COMPUTED_VALUE"""),"HH3033")</f>
        <v>HH3033</v>
      </c>
      <c r="G3769" s="87" t="str">
        <f>IFERROR(__xludf.DUMMYFUNCTION("""COMPUTED_VALUE"""),"NB - V - 3033 - CTY NAUY - GALAXY (Nước nâu đen) - 450ml - 40")</f>
        <v>NB - V - 3033 - CTY NAUY - GALAXY (Nước nâu đen) - 450ml - 40</v>
      </c>
    </row>
    <row r="3770">
      <c r="A3770" s="86">
        <f>IFERROR(__xludf.DUMMYFUNCTION("""COMPUTED_VALUE"""),3768.0)</f>
        <v>3768</v>
      </c>
      <c r="B3770" s="87" t="str">
        <f>IFERROR(__xludf.DUMMYFUNCTION("""COMPUTED_VALUE"""),"[Nhãn]")</f>
        <v>[Nhãn]</v>
      </c>
      <c r="C3770" s="87" t="str">
        <f>IFERROR(__xludf.DUMMYFUNCTION("""COMPUTED_VALUE"""),"NHG3034")</f>
        <v>NHG3034</v>
      </c>
      <c r="D3770" s="87" t="str">
        <f>IFERROR(__xludf.DUMMYFUNCTION("""COMPUTED_VALUE"""),"[Nhãn] NB - V - 3034 - CTY NAUY - KALI VÀNG (Nước nâu đen) - 450ml - 40")</f>
        <v>[Nhãn] NB - V - 3034 - CTY NAUY - KALI VÀNG (Nước nâu đen) - 450ml - 40</v>
      </c>
      <c r="E3770" s="87" t="str">
        <f>IFERROR(__xludf.DUMMYFUNCTION("""COMPUTED_VALUE"""),"Vi lượng AGAMA-SUPPORT")</f>
        <v>Vi lượng AGAMA-SUPPORT</v>
      </c>
      <c r="F3770" s="87" t="str">
        <f>IFERROR(__xludf.DUMMYFUNCTION("""COMPUTED_VALUE"""),"HH3034")</f>
        <v>HH3034</v>
      </c>
      <c r="G3770" s="87" t="str">
        <f>IFERROR(__xludf.DUMMYFUNCTION("""COMPUTED_VALUE"""),"NB - V - 3034 - CTY NAUY - KALI VÀNG (Nước nâu đen) - 450ml - 40")</f>
        <v>NB - V - 3034 - CTY NAUY - KALI VÀNG (Nước nâu đen) - 450ml - 40</v>
      </c>
    </row>
    <row r="3771">
      <c r="A3771" s="86">
        <f>IFERROR(__xludf.DUMMYFUNCTION("""COMPUTED_VALUE"""),3769.0)</f>
        <v>3769</v>
      </c>
      <c r="B3771" s="87" t="str">
        <f>IFERROR(__xludf.DUMMYFUNCTION("""COMPUTED_VALUE"""),"Nhãn")</f>
        <v>Nhãn</v>
      </c>
      <c r="C3771" s="87" t="str">
        <f>IFERROR(__xludf.DUMMYFUNCTION("""COMPUTED_VALUE"""),"NTN3035")</f>
        <v>NTN3035</v>
      </c>
      <c r="D3771" s="87" t="str">
        <f>IFERROR(__xludf.DUMMYFUNCTION("""COMPUTED_VALUE"""),"[Nhãn] GC - IV - 3035 - CTY HIỆP PHÁT ABC - DRAW FLOWER (Dạng tinh thể màu trắng) - 1kg - 20")</f>
        <v>[Nhãn] GC - IV - 3035 - CTY HIỆP PHÁT ABC - DRAW FLOWER (Dạng tinh thể màu trắng) - 1kg - 20</v>
      </c>
      <c r="E3771" s="87" t="str">
        <f>IFERROR(__xludf.DUMMYFUNCTION("""COMPUTED_VALUE"""),"Vi lượng AGAMA-BATFUNG")</f>
        <v>Vi lượng AGAMA-BATFUNG</v>
      </c>
      <c r="F3771" s="87" t="str">
        <f>IFERROR(__xludf.DUMMYFUNCTION("""COMPUTED_VALUE"""),"HH3035")</f>
        <v>HH3035</v>
      </c>
      <c r="G3771" s="87" t="str">
        <f>IFERROR(__xludf.DUMMYFUNCTION("""COMPUTED_VALUE"""),"GC - IV - 3035 - CTY HIỆP PHÁT ABC - DRAW FLOWER (Dạng tinh thể màu trắng) - 1kg - 20")</f>
        <v>GC - IV - 3035 - CTY HIỆP PHÁT ABC - DRAW FLOWER (Dạng tinh thể màu trắng) - 1kg - 20</v>
      </c>
    </row>
    <row r="3772">
      <c r="A3772" s="86">
        <f>IFERROR(__xludf.DUMMYFUNCTION("""COMPUTED_VALUE"""),3770.0)</f>
        <v>3770</v>
      </c>
      <c r="B3772" s="87" t="str">
        <f>IFERROR(__xludf.DUMMYFUNCTION("""COMPUTED_VALUE"""),"Nhãn thùng")</f>
        <v>Nhãn thùng</v>
      </c>
      <c r="C3772" s="87" t="str">
        <f>IFERROR(__xludf.DUMMYFUNCTION("""COMPUTED_VALUE"""),"NDT3035")</f>
        <v>NDT3035</v>
      </c>
      <c r="D3772" s="87" t="str">
        <f>IFERROR(__xludf.DUMMYFUNCTION("""COMPUTED_VALUE"""),"[Nhãn thùng] GC - IV - 3035 - CTY HIỆP PHÁT ABC - DRAW FLOWER (Dạng tinh thể màu trắng) - 1kg - 20")</f>
        <v>[Nhãn thùng] GC - IV - 3035 - CTY HIỆP PHÁT ABC - DRAW FLOWER (Dạng tinh thể màu trắng) - 1kg - 20</v>
      </c>
      <c r="E3772" s="87" t="str">
        <f>IFERROR(__xludf.DUMMYFUNCTION("""COMPUTED_VALUE"""),"Vi lượng AGAMA-BATFUNG")</f>
        <v>Vi lượng AGAMA-BATFUNG</v>
      </c>
      <c r="F3772" s="87" t="str">
        <f>IFERROR(__xludf.DUMMYFUNCTION("""COMPUTED_VALUE"""),"HH3035")</f>
        <v>HH3035</v>
      </c>
      <c r="G3772" s="87" t="str">
        <f>IFERROR(__xludf.DUMMYFUNCTION("""COMPUTED_VALUE"""),"GC - IV - 3035 - CTY HIỆP PHÁT ABC - DRAW FLOWER (Dạng tinh thể màu trắng) - 1kg - 20")</f>
        <v>GC - IV - 3035 - CTY HIỆP PHÁT ABC - DRAW FLOWER (Dạng tinh thể màu trắng) - 1kg - 20</v>
      </c>
    </row>
    <row r="3773">
      <c r="A3773" s="86">
        <f>IFERROR(__xludf.DUMMYFUNCTION("""COMPUTED_VALUE"""),3771.0)</f>
        <v>3771</v>
      </c>
      <c r="B3773" s="87" t="str">
        <f>IFERROR(__xludf.DUMMYFUNCTION("""COMPUTED_VALUE"""),"Nhãn")</f>
        <v>Nhãn</v>
      </c>
      <c r="C3773" s="87" t="str">
        <f>IFERROR(__xludf.DUMMYFUNCTION("""COMPUTED_VALUE"""),"NTN3036")</f>
        <v>NTN3036</v>
      </c>
      <c r="D3773" s="87" t="str">
        <f>IFERROR(__xludf.DUMMYFUNCTION("""COMPUTED_VALUE"""),"[Nhãn] GC - IV - 3036 - CTY HIỆP PHÁT ABC - STOP 247 (Bột màu trắng) - 1kg - 20")</f>
        <v>[Nhãn] GC - IV - 3036 - CTY HIỆP PHÁT ABC - STOP 247 (Bột màu trắng) - 1kg - 20</v>
      </c>
      <c r="E3773" s="87" t="str">
        <f>IFERROR(__xludf.DUMMYFUNCTION("""COMPUTED_VALUE"""),"Vi lượng AGAMA-BATFUNG")</f>
        <v>Vi lượng AGAMA-BATFUNG</v>
      </c>
      <c r="F3773" s="87" t="str">
        <f>IFERROR(__xludf.DUMMYFUNCTION("""COMPUTED_VALUE"""),"HH3036")</f>
        <v>HH3036</v>
      </c>
      <c r="G3773" s="87" t="str">
        <f>IFERROR(__xludf.DUMMYFUNCTION("""COMPUTED_VALUE"""),"GC - IV - 3036 - CTY HIỆP PHÁT ABC - STOP 247 (Bột màu trắng) - 1kg - 20")</f>
        <v>GC - IV - 3036 - CTY HIỆP PHÁT ABC - STOP 247 (Bột màu trắng) - 1kg - 20</v>
      </c>
    </row>
    <row r="3774">
      <c r="A3774" s="86">
        <f>IFERROR(__xludf.DUMMYFUNCTION("""COMPUTED_VALUE"""),3772.0)</f>
        <v>3772</v>
      </c>
      <c r="B3774" s="87" t="str">
        <f>IFERROR(__xludf.DUMMYFUNCTION("""COMPUTED_VALUE"""),"Nhãn thùng")</f>
        <v>Nhãn thùng</v>
      </c>
      <c r="C3774" s="87" t="str">
        <f>IFERROR(__xludf.DUMMYFUNCTION("""COMPUTED_VALUE"""),"NDT3036")</f>
        <v>NDT3036</v>
      </c>
      <c r="D3774" s="87" t="str">
        <f>IFERROR(__xludf.DUMMYFUNCTION("""COMPUTED_VALUE"""),"[Nhãn thùng] GC - IV - 3036 - CTY HIỆP PHÁT ABC - STOP 247 (Bột màu trắng) - 1kg - 20")</f>
        <v>[Nhãn thùng] GC - IV - 3036 - CTY HIỆP PHÁT ABC - STOP 247 (Bột màu trắng) - 1kg - 20</v>
      </c>
      <c r="E3774" s="87" t="str">
        <f>IFERROR(__xludf.DUMMYFUNCTION("""COMPUTED_VALUE"""),"Vi lượng AGAMA-BATFUNG")</f>
        <v>Vi lượng AGAMA-BATFUNG</v>
      </c>
      <c r="F3774" s="87" t="str">
        <f>IFERROR(__xludf.DUMMYFUNCTION("""COMPUTED_VALUE"""),"HH3036")</f>
        <v>HH3036</v>
      </c>
      <c r="G3774" s="87" t="str">
        <f>IFERROR(__xludf.DUMMYFUNCTION("""COMPUTED_VALUE"""),"GC - IV - 3036 - CTY HIỆP PHÁT ABC - STOP 247 (Bột màu trắng) - 1kg - 20")</f>
        <v>GC - IV - 3036 - CTY HIỆP PHÁT ABC - STOP 247 (Bột màu trắng) - 1kg - 20</v>
      </c>
    </row>
    <row r="3775">
      <c r="A3775" s="86">
        <f>IFERROR(__xludf.DUMMYFUNCTION("""COMPUTED_VALUE"""),3773.0)</f>
        <v>3773</v>
      </c>
      <c r="B3775" s="87" t="str">
        <f>IFERROR(__xludf.DUMMYFUNCTION("""COMPUTED_VALUE"""),"Nhãn")</f>
        <v>Nhãn</v>
      </c>
      <c r="C3775" s="87" t="str">
        <f>IFERROR(__xludf.DUMMYFUNCTION("""COMPUTED_VALUE"""),"NHG3037")</f>
        <v>NHG3037</v>
      </c>
      <c r="D3775" s="87" t="str">
        <f>IFERROR(__xludf.DUMMYFUNCTION("""COMPUTED_VALUE"""),"[Nhãn] GC - IV - 3037 - CTY ITALY - SÓI BẠC (Nước vàng trà) - 240ml - 40")</f>
        <v>[Nhãn] GC - IV - 3037 - CTY ITALY - SÓI BẠC (Nước vàng trà) - 240ml - 40</v>
      </c>
      <c r="E3775" s="87" t="str">
        <f>IFERROR(__xludf.DUMMYFUNCTION("""COMPUTED_VALUE"""),"BẠCH TƯỢNG 64EC")</f>
        <v>BẠCH TƯỢNG 64EC</v>
      </c>
      <c r="F3775" s="87" t="str">
        <f>IFERROR(__xludf.DUMMYFUNCTION("""COMPUTED_VALUE"""),"HH3037")</f>
        <v>HH3037</v>
      </c>
      <c r="G3775" s="87" t="str">
        <f>IFERROR(__xludf.DUMMYFUNCTION("""COMPUTED_VALUE"""),"GC - IV - 3037 - CTY ITALY - SÓI BẠC (Nước vàng trà) - 240ml - 40")</f>
        <v>GC - IV - 3037 - CTY ITALY - SÓI BẠC (Nước vàng trà) - 240ml - 40</v>
      </c>
    </row>
    <row r="3776">
      <c r="A3776" s="86">
        <f>IFERROR(__xludf.DUMMYFUNCTION("""COMPUTED_VALUE"""),3774.0)</f>
        <v>3774</v>
      </c>
      <c r="B3776" s="87" t="str">
        <f>IFERROR(__xludf.DUMMYFUNCTION("""COMPUTED_VALUE"""),"Nhãn")</f>
        <v>Nhãn</v>
      </c>
      <c r="C3776" s="87" t="str">
        <f>IFERROR(__xludf.DUMMYFUNCTION("""COMPUTED_VALUE"""),"NHD3038")</f>
        <v>NHD3038</v>
      </c>
      <c r="D3776" s="87" t="str">
        <f>IFERROR(__xludf.DUMMYFUNCTION("""COMPUTED_VALUE"""),"[Nhãn] GC - IV - 3038 - CTY ITALY - VUA XÔNG HƠI (Nước đỏ) - 450ml - 40")</f>
        <v>[Nhãn] GC - IV - 3038 - CTY ITALY - VUA XÔNG HƠI (Nước đỏ) - 450ml - 40</v>
      </c>
      <c r="E3776" s="87" t="str">
        <f>IFERROR(__xludf.DUMMYFUNCTION("""COMPUTED_VALUE"""),"PYXOATE 44EC")</f>
        <v>PYXOATE 44EC</v>
      </c>
      <c r="F3776" s="87" t="str">
        <f>IFERROR(__xludf.DUMMYFUNCTION("""COMPUTED_VALUE"""),"HH3038")</f>
        <v>HH3038</v>
      </c>
      <c r="G3776" s="87" t="str">
        <f>IFERROR(__xludf.DUMMYFUNCTION("""COMPUTED_VALUE"""),"GC - IV - 3038 - CTY ITALY - VUA XÔNG HƠI (Nước đỏ) - 450ml - 40")</f>
        <v>GC - IV - 3038 - CTY ITALY - VUA XÔNG HƠI (Nước đỏ) - 450ml - 40</v>
      </c>
    </row>
    <row r="3777">
      <c r="A3777" s="86">
        <f>IFERROR(__xludf.DUMMYFUNCTION("""COMPUTED_VALUE"""),3775.0)</f>
        <v>3775</v>
      </c>
      <c r="B3777" s="87" t="str">
        <f>IFERROR(__xludf.DUMMYFUNCTION("""COMPUTED_VALUE"""),"Nhãn thùng")</f>
        <v>Nhãn thùng</v>
      </c>
      <c r="C3777" s="87" t="str">
        <f>IFERROR(__xludf.DUMMYFUNCTION("""COMPUTED_VALUE"""),"NDT3038")</f>
        <v>NDT3038</v>
      </c>
      <c r="D3777" s="87" t="str">
        <f>IFERROR(__xludf.DUMMYFUNCTION("""COMPUTED_VALUE"""),"[Nhãn thùng] GC - IV - 3038 - CTY ITALY - VUA XÔNG HƠI (Nước đỏ) - 450ml - 40")</f>
        <v>[Nhãn thùng] GC - IV - 3038 - CTY ITALY - VUA XÔNG HƠI (Nước đỏ) - 450ml - 40</v>
      </c>
      <c r="E3777" s="87" t="str">
        <f>IFERROR(__xludf.DUMMYFUNCTION("""COMPUTED_VALUE"""),"PYXOATE 44EC")</f>
        <v>PYXOATE 44EC</v>
      </c>
      <c r="F3777" s="87" t="str">
        <f>IFERROR(__xludf.DUMMYFUNCTION("""COMPUTED_VALUE"""),"HH3038")</f>
        <v>HH3038</v>
      </c>
      <c r="G3777" s="87" t="str">
        <f>IFERROR(__xludf.DUMMYFUNCTION("""COMPUTED_VALUE"""),"GC - IV - 3038 - CTY ITALY - VUA XÔNG HƠI (Nước đỏ) - 450ml - 40")</f>
        <v>GC - IV - 3038 - CTY ITALY - VUA XÔNG HƠI (Nước đỏ) - 450ml - 40</v>
      </c>
    </row>
    <row r="3778">
      <c r="A3778" s="86">
        <f>IFERROR(__xludf.DUMMYFUNCTION("""COMPUTED_VALUE"""),3776.0)</f>
        <v>3776</v>
      </c>
      <c r="B3778" s="87" t="str">
        <f>IFERROR(__xludf.DUMMYFUNCTION("""COMPUTED_VALUE"""),"Nhãn")</f>
        <v>Nhãn</v>
      </c>
      <c r="C3778" s="87" t="str">
        <f>IFERROR(__xludf.DUMMYFUNCTION("""COMPUTED_VALUE"""),"NHG3039")</f>
        <v>NHG3039</v>
      </c>
      <c r="D3778" s="87" t="str">
        <f>IFERROR(__xludf.DUMMYFUNCTION("""COMPUTED_VALUE"""),"[Nhãn] NB - V - 3039 - Cty Nông Dược Sunrise - XÔNG HƠI SUNRISE (Nước vàng trà) - 400ml - 40")</f>
        <v>[Nhãn] NB - V - 3039 - Cty Nông Dược Sunrise - XÔNG HƠI SUNRISE (Nước vàng trà) - 400ml - 40</v>
      </c>
      <c r="E3778" s="87" t="str">
        <f>IFERROR(__xludf.DUMMYFUNCTION("""COMPUTED_VALUE"""),"Thipro 550EC")</f>
        <v>Thipro 550EC</v>
      </c>
      <c r="F3778" s="87" t="str">
        <f>IFERROR(__xludf.DUMMYFUNCTION("""COMPUTED_VALUE"""),"HH3039")</f>
        <v>HH3039</v>
      </c>
      <c r="G3778" s="87" t="str">
        <f>IFERROR(__xludf.DUMMYFUNCTION("""COMPUTED_VALUE"""),"NB - V - 3039 - Cty Nông Dược Sunrise - XÔNG HƠI SUNRISE (Nước vàng trà) - 400ml - 40")</f>
        <v>NB - V - 3039 - Cty Nông Dược Sunrise - XÔNG HƠI SUNRISE (Nước vàng trà) - 400ml - 40</v>
      </c>
    </row>
    <row r="3779">
      <c r="A3779" s="86">
        <f>IFERROR(__xludf.DUMMYFUNCTION("""COMPUTED_VALUE"""),3777.0)</f>
        <v>3777</v>
      </c>
      <c r="B3779" s="87" t="str">
        <f>IFERROR(__xludf.DUMMYFUNCTION("""COMPUTED_VALUE"""),"Nhãn")</f>
        <v>Nhãn</v>
      </c>
      <c r="C3779" s="87" t="str">
        <f>IFERROR(__xludf.DUMMYFUNCTION("""COMPUTED_VALUE"""),"NHG3040")</f>
        <v>NHG3040</v>
      </c>
      <c r="D3779" s="87" t="str">
        <f>IFERROR(__xludf.DUMMYFUNCTION("""COMPUTED_VALUE"""),"[Nhãn] NB - V - 3040 - CTY NAUY - SUPER NANO (Nước nâu đen) - 500ml - 40")</f>
        <v>[Nhãn] NB - V - 3040 - CTY NAUY - SUPER NANO (Nước nâu đen) - 500ml - 40</v>
      </c>
      <c r="E3779" s="87" t="str">
        <f>IFERROR(__xludf.DUMMYFUNCTION("""COMPUTED_VALUE"""),"Vi lượng AGAMA-SUPPORT")</f>
        <v>Vi lượng AGAMA-SUPPORT</v>
      </c>
      <c r="F3779" s="87" t="str">
        <f>IFERROR(__xludf.DUMMYFUNCTION("""COMPUTED_VALUE"""),"HH3040")</f>
        <v>HH3040</v>
      </c>
      <c r="G3779" s="87" t="str">
        <f>IFERROR(__xludf.DUMMYFUNCTION("""COMPUTED_VALUE"""),"NB - V - 3040 - CTY NAUY - SUPER NANO (Nước nâu đen) - 500ml - 40")</f>
        <v>NB - V - 3040 - CTY NAUY - SUPER NANO (Nước nâu đen) - 500ml - 40</v>
      </c>
    </row>
    <row r="3780">
      <c r="A3780" s="86">
        <f>IFERROR(__xludf.DUMMYFUNCTION("""COMPUTED_VALUE"""),3778.0)</f>
        <v>3778</v>
      </c>
      <c r="B3780" s="87" t="str">
        <f>IFERROR(__xludf.DUMMYFUNCTION("""COMPUTED_VALUE"""),"Nhãn")</f>
        <v>Nhãn</v>
      </c>
      <c r="C3780" s="87" t="str">
        <f>IFERROR(__xludf.DUMMYFUNCTION("""COMPUTED_VALUE"""),"NTN3041")</f>
        <v>NTN3041</v>
      </c>
      <c r="D3780" s="87" t="str">
        <f>IFERROR(__xludf.DUMMYFUNCTION("""COMPUTED_VALUE"""),"[Nhãn] GC - IV - 3041 - ĐL PHONG HẢI - NOMIDA 700WG (Dạng cốm màu trắng ngà) - 100gr - 100")</f>
        <v>[Nhãn] GC - IV - 3041 - ĐL PHONG HẢI - NOMIDA 700WG (Dạng cốm màu trắng ngà) - 100gr - 100</v>
      </c>
      <c r="E3780" s="87" t="str">
        <f>IFERROR(__xludf.DUMMYFUNCTION("""COMPUTED_VALUE"""),"NOMIDA 700WG")</f>
        <v>NOMIDA 700WG</v>
      </c>
      <c r="F3780" s="87" t="str">
        <f>IFERROR(__xludf.DUMMYFUNCTION("""COMPUTED_VALUE"""),"HH3041")</f>
        <v>HH3041</v>
      </c>
      <c r="G3780" s="87" t="str">
        <f>IFERROR(__xludf.DUMMYFUNCTION("""COMPUTED_VALUE"""),"GC - IV - 3041 - ĐL PHONG HẢI - NOMIDA 700WG (Dạng cốm màu trắng ngà) - 100gr - 100")</f>
        <v>GC - IV - 3041 - ĐL PHONG HẢI - NOMIDA 700WG (Dạng cốm màu trắng ngà) - 100gr - 100</v>
      </c>
    </row>
    <row r="3781">
      <c r="A3781" s="86">
        <f>IFERROR(__xludf.DUMMYFUNCTION("""COMPUTED_VALUE"""),3779.0)</f>
        <v>3779</v>
      </c>
      <c r="B3781" s="87" t="str">
        <f>IFERROR(__xludf.DUMMYFUNCTION("""COMPUTED_VALUE"""),"Nhãn thùng")</f>
        <v>Nhãn thùng</v>
      </c>
      <c r="C3781" s="87" t="str">
        <f>IFERROR(__xludf.DUMMYFUNCTION("""COMPUTED_VALUE"""),"NDT3041")</f>
        <v>NDT3041</v>
      </c>
      <c r="D3781" s="87" t="str">
        <f>IFERROR(__xludf.DUMMYFUNCTION("""COMPUTED_VALUE"""),"[Nhãn thùng] GC - IV - 3041 - ĐL PHONG HẢI - NOMIDA 700WG (Dạng cốm màu trắng ngà) - 100gr - 100")</f>
        <v>[Nhãn thùng] GC - IV - 3041 - ĐL PHONG HẢI - NOMIDA 700WG (Dạng cốm màu trắng ngà) - 100gr - 100</v>
      </c>
      <c r="E3781" s="87" t="str">
        <f>IFERROR(__xludf.DUMMYFUNCTION("""COMPUTED_VALUE"""),"NOMIDA 700WG")</f>
        <v>NOMIDA 700WG</v>
      </c>
      <c r="F3781" s="87" t="str">
        <f>IFERROR(__xludf.DUMMYFUNCTION("""COMPUTED_VALUE"""),"HH3041")</f>
        <v>HH3041</v>
      </c>
      <c r="G3781" s="87" t="str">
        <f>IFERROR(__xludf.DUMMYFUNCTION("""COMPUTED_VALUE"""),"GC - IV - 3041 - ĐL PHONG HẢI - NOMIDA 700WG (Dạng cốm màu trắng ngà) - 100gr - 100")</f>
        <v>GC - IV - 3041 - ĐL PHONG HẢI - NOMIDA 700WG (Dạng cốm màu trắng ngà) - 100gr - 100</v>
      </c>
    </row>
    <row r="3782">
      <c r="A3782" s="86">
        <f>IFERROR(__xludf.DUMMYFUNCTION("""COMPUTED_VALUE"""),3780.0)</f>
        <v>3780</v>
      </c>
      <c r="B3782" s="87" t="str">
        <f>IFERROR(__xludf.DUMMYFUNCTION("""COMPUTED_VALUE"""),"[Nhãn]")</f>
        <v>[Nhãn]</v>
      </c>
      <c r="C3782" s="87" t="str">
        <f>IFERROR(__xludf.DUMMYFUNCTION("""COMPUTED_VALUE"""),"NTN3042")</f>
        <v>NTN3042</v>
      </c>
      <c r="D3782" s="87" t="str">
        <f>IFERROR(__xludf.DUMMYFUNCTION("""COMPUTED_VALUE"""),"[Nhãn] GC - IV - 3042 - ĐL PHONG HẢI - CHESSIN 600WP (Bột trắng ngà) - 100gr - 100")</f>
        <v>[Nhãn] GC - IV - 3042 - ĐL PHONG HẢI - CHESSIN 600WP (Bột trắng ngà) - 100gr - 100</v>
      </c>
      <c r="E3782" s="87" t="str">
        <f>IFERROR(__xludf.DUMMYFUNCTION("""COMPUTED_VALUE"""),"CHESSIN 600WP")</f>
        <v>CHESSIN 600WP</v>
      </c>
      <c r="F3782" s="87" t="str">
        <f>IFERROR(__xludf.DUMMYFUNCTION("""COMPUTED_VALUE"""),"HH3042")</f>
        <v>HH3042</v>
      </c>
      <c r="G3782" s="87" t="str">
        <f>IFERROR(__xludf.DUMMYFUNCTION("""COMPUTED_VALUE"""),"GC - IV - 3042 - ĐL PHONG HẢI - CHESSIN 600WP (Bột trắng ngà) - 100gr - 100")</f>
        <v>GC - IV - 3042 - ĐL PHONG HẢI - CHESSIN 600WP (Bột trắng ngà) - 100gr - 100</v>
      </c>
    </row>
    <row r="3783">
      <c r="A3783" s="86">
        <f>IFERROR(__xludf.DUMMYFUNCTION("""COMPUTED_VALUE"""),3781.0)</f>
        <v>3781</v>
      </c>
      <c r="B3783" s="87" t="str">
        <f>IFERROR(__xludf.DUMMYFUNCTION("""COMPUTED_VALUE"""),"Nhãn")</f>
        <v>Nhãn</v>
      </c>
      <c r="C3783" s="87" t="str">
        <f>IFERROR(__xludf.DUMMYFUNCTION("""COMPUTED_VALUE"""),"NHG3043")</f>
        <v>NHG3043</v>
      </c>
      <c r="D3783" s="87" t="str">
        <f>IFERROR(__xludf.DUMMYFUNCTION("""COMPUTED_VALUE"""),"[Nhãn] NB - V - 3043 - CTY NAUY - SILIMAX (Nước nâu đen) - 500ml - 40")</f>
        <v>[Nhãn] NB - V - 3043 - CTY NAUY - SILIMAX (Nước nâu đen) - 500ml - 40</v>
      </c>
      <c r="E3783" s="87" t="str">
        <f>IFERROR(__xludf.DUMMYFUNCTION("""COMPUTED_VALUE"""),"Vi lượng AGAMA-SUPPORT")</f>
        <v>Vi lượng AGAMA-SUPPORT</v>
      </c>
      <c r="F3783" s="87" t="str">
        <f>IFERROR(__xludf.DUMMYFUNCTION("""COMPUTED_VALUE"""),"HH3043")</f>
        <v>HH3043</v>
      </c>
      <c r="G3783" s="87" t="str">
        <f>IFERROR(__xludf.DUMMYFUNCTION("""COMPUTED_VALUE"""),"NB - V - 3043 - CTY NAUY - SILIMAX (Nước nâu đen) - 500ml - 40")</f>
        <v>NB - V - 3043 - CTY NAUY - SILIMAX (Nước nâu đen) - 500ml - 40</v>
      </c>
    </row>
    <row r="3784">
      <c r="A3784" s="86">
        <f>IFERROR(__xludf.DUMMYFUNCTION("""COMPUTED_VALUE"""),3782.0)</f>
        <v>3782</v>
      </c>
      <c r="B3784" s="87" t="str">
        <f>IFERROR(__xludf.DUMMYFUNCTION("""COMPUTED_VALUE"""),"Nhãn")</f>
        <v>Nhãn</v>
      </c>
      <c r="C3784" s="87" t="str">
        <f>IFERROR(__xludf.DUMMYFUNCTION("""COMPUTED_VALUE"""),"NTN3044")</f>
        <v>NTN3044</v>
      </c>
      <c r="D3784" s="87" t="str">
        <f>IFERROR(__xludf.DUMMYFUNCTION("""COMPUTED_VALUE"""),"[Nhãn] GC - II - 3044 - ĐL Kim Khoa - Mancozeb xanh (bột xanh) - 1kg - 20")</f>
        <v>[Nhãn] GC - II - 3044 - ĐL Kim Khoa - Mancozeb xanh (bột xanh) - 1kg - 20</v>
      </c>
      <c r="E3784" s="87" t="str">
        <f>IFERROR(__xludf.DUMMYFUNCTION("""COMPUTED_VALUE"""),"MANCOBGO 80WP")</f>
        <v>MANCOBGO 80WP</v>
      </c>
      <c r="F3784" s="87" t="str">
        <f>IFERROR(__xludf.DUMMYFUNCTION("""COMPUTED_VALUE"""),"HH3044")</f>
        <v>HH3044</v>
      </c>
      <c r="G3784" s="87" t="str">
        <f>IFERROR(__xludf.DUMMYFUNCTION("""COMPUTED_VALUE"""),"GC - II - 3044 - ĐL Kim Khoa - Mancozeb xanh (bột xanh) - 1kg - 20")</f>
        <v>GC - II - 3044 - ĐL Kim Khoa - Mancozeb xanh (bột xanh) - 1kg - 20</v>
      </c>
    </row>
    <row r="3785">
      <c r="A3785" s="86">
        <f>IFERROR(__xludf.DUMMYFUNCTION("""COMPUTED_VALUE"""),3783.0)</f>
        <v>3783</v>
      </c>
      <c r="B3785" s="87" t="str">
        <f>IFERROR(__xludf.DUMMYFUNCTION("""COMPUTED_VALUE"""),"Nhãn thùng")</f>
        <v>Nhãn thùng</v>
      </c>
      <c r="C3785" s="87" t="str">
        <f>IFERROR(__xludf.DUMMYFUNCTION("""COMPUTED_VALUE"""),"NDT3044")</f>
        <v>NDT3044</v>
      </c>
      <c r="D3785" s="87" t="str">
        <f>IFERROR(__xludf.DUMMYFUNCTION("""COMPUTED_VALUE"""),"[Nhãn thùng] GC - II - 3044 - ĐL Kim Khoa - Mancozeb xanh (bột xanh) - 1kg - 20")</f>
        <v>[Nhãn thùng] GC - II - 3044 - ĐL Kim Khoa - Mancozeb xanh (bột xanh) - 1kg - 20</v>
      </c>
      <c r="E3785" s="87" t="str">
        <f>IFERROR(__xludf.DUMMYFUNCTION("""COMPUTED_VALUE"""),"MANCOBGO 80WP")</f>
        <v>MANCOBGO 80WP</v>
      </c>
      <c r="F3785" s="87" t="str">
        <f>IFERROR(__xludf.DUMMYFUNCTION("""COMPUTED_VALUE"""),"HH3044")</f>
        <v>HH3044</v>
      </c>
      <c r="G3785" s="87" t="str">
        <f>IFERROR(__xludf.DUMMYFUNCTION("""COMPUTED_VALUE"""),"GC - II - 3044 - ĐL Kim Khoa - Mancozeb xanh (bột xanh) - 1kg - 20")</f>
        <v>GC - II - 3044 - ĐL Kim Khoa - Mancozeb xanh (bột xanh) - 1kg - 20</v>
      </c>
    </row>
    <row r="3786">
      <c r="A3786" s="86">
        <f>IFERROR(__xludf.DUMMYFUNCTION("""COMPUTED_VALUE"""),3784.0)</f>
        <v>3784</v>
      </c>
      <c r="B3786" s="87" t="str">
        <f>IFERROR(__xludf.DUMMYFUNCTION("""COMPUTED_VALUE"""),"Nhãn")</f>
        <v>Nhãn</v>
      </c>
      <c r="C3786" s="87" t="str">
        <f>IFERROR(__xludf.DUMMYFUNCTION("""COMPUTED_VALUE"""),"NHG3045")</f>
        <v>NHG3045</v>
      </c>
      <c r="D3786" s="87" t="str">
        <f>IFERROR(__xludf.DUMMYFUNCTION("""COMPUTED_VALUE"""),"[Nhãn] LOT IDA Global - I - 3045 - ĐL ÚT TÈO - IDA Vil (Xanh Lá)(HD trắng)(nắp xanh)(nước trắng) - 1 Lít - 20")</f>
        <v>[Nhãn] LOT IDA Global - I - 3045 - ĐL ÚT TÈO - IDA Vil (Xanh Lá)(HD trắng)(nắp xanh)(nước trắng) - 1 Lít - 20</v>
      </c>
      <c r="E3786" s="87" t="str">
        <f>IFERROR(__xludf.DUMMYFUNCTION("""COMPUTED_VALUE"""),"Mekongvil 5SC")</f>
        <v>Mekongvil 5SC</v>
      </c>
      <c r="F3786" s="87" t="str">
        <f>IFERROR(__xludf.DUMMYFUNCTION("""COMPUTED_VALUE"""),"HH3045")</f>
        <v>HH3045</v>
      </c>
      <c r="G3786" s="87" t="str">
        <f>IFERROR(__xludf.DUMMYFUNCTION("""COMPUTED_VALUE"""),"LOT IDA Global - I - 3045 - ĐL ÚT TÈO - IDA Vil (Xanh Lá)(HD trắng)(nắp xanh)(nước trắng) - 1 Lít - 20")</f>
        <v>LOT IDA Global - I - 3045 - ĐL ÚT TÈO - IDA Vil (Xanh Lá)(HD trắng)(nắp xanh)(nước trắng) - 1 Lít - 20</v>
      </c>
    </row>
    <row r="3787">
      <c r="A3787" s="86">
        <f>IFERROR(__xludf.DUMMYFUNCTION("""COMPUTED_VALUE"""),3785.0)</f>
        <v>3785</v>
      </c>
      <c r="B3787" s="87" t="str">
        <f>IFERROR(__xludf.DUMMYFUNCTION("""COMPUTED_VALUE"""),"Nhãn")</f>
        <v>Nhãn</v>
      </c>
      <c r="C3787" s="87" t="str">
        <f>IFERROR(__xludf.DUMMYFUNCTION("""COMPUTED_VALUE"""),"NHG3046")</f>
        <v>NHG3046</v>
      </c>
      <c r="D3787" s="87" t="str">
        <f>IFERROR(__xludf.DUMMYFUNCTION("""COMPUTED_VALUE"""),"[Nhãn] GC - IV - 3046 - Gold Field - Caci-Bo (nước vàng mật ong) - 500ml - 30")</f>
        <v>[Nhãn] GC - IV - 3046 - Gold Field - Caci-Bo (nước vàng mật ong) - 500ml - 30</v>
      </c>
      <c r="E3787" s="87" t="str">
        <f>IFERROR(__xludf.DUMMYFUNCTION("""COMPUTED_VALUE"""),"Vi lượng Basel IDA 49")</f>
        <v>Vi lượng Basel IDA 49</v>
      </c>
      <c r="F3787" s="87" t="str">
        <f>IFERROR(__xludf.DUMMYFUNCTION("""COMPUTED_VALUE"""),"HH3046")</f>
        <v>HH3046</v>
      </c>
      <c r="G3787" s="87" t="str">
        <f>IFERROR(__xludf.DUMMYFUNCTION("""COMPUTED_VALUE"""),"GC - IV - 3046 - Gold Field - Caci-Bo (nước vàng mật ong) - 500ml - 30")</f>
        <v>GC - IV - 3046 - Gold Field - Caci-Bo (nước vàng mật ong) - 500ml - 30</v>
      </c>
    </row>
    <row r="3788">
      <c r="A3788" s="86">
        <f>IFERROR(__xludf.DUMMYFUNCTION("""COMPUTED_VALUE"""),3786.0)</f>
        <v>3786</v>
      </c>
      <c r="B3788" s="87" t="str">
        <f>IFERROR(__xludf.DUMMYFUNCTION("""COMPUTED_VALUE"""),"[Nhãn thùng]")</f>
        <v>[Nhãn thùng]</v>
      </c>
      <c r="C3788" s="87" t="str">
        <f>IFERROR(__xludf.DUMMYFUNCTION("""COMPUTED_VALUE"""),"NDT3046")</f>
        <v>NDT3046</v>
      </c>
      <c r="D3788" s="87" t="str">
        <f>IFERROR(__xludf.DUMMYFUNCTION("""COMPUTED_VALUE"""),"[Nhãn thùng] GC - IV - 3046 - Gold Field - Caci-Bo (nước vàng mật ong) - 500ml - 30")</f>
        <v>[Nhãn thùng] GC - IV - 3046 - Gold Field - Caci-Bo (nước vàng mật ong) - 500ml - 30</v>
      </c>
      <c r="E3788" s="87" t="str">
        <f>IFERROR(__xludf.DUMMYFUNCTION("""COMPUTED_VALUE"""),"Vi lượng Basel IDA 49")</f>
        <v>Vi lượng Basel IDA 49</v>
      </c>
      <c r="F3788" s="87" t="str">
        <f>IFERROR(__xludf.DUMMYFUNCTION("""COMPUTED_VALUE"""),"HH3046")</f>
        <v>HH3046</v>
      </c>
      <c r="G3788" s="87" t="str">
        <f>IFERROR(__xludf.DUMMYFUNCTION("""COMPUTED_VALUE"""),"GC - IV - 3046 - Gold Field - Caci-Bo (nước vàng mật ong) - 500ml - 30")</f>
        <v>GC - IV - 3046 - Gold Field - Caci-Bo (nước vàng mật ong) - 500ml - 30</v>
      </c>
    </row>
    <row r="3789">
      <c r="A3789" s="86">
        <f>IFERROR(__xludf.DUMMYFUNCTION("""COMPUTED_VALUE"""),3787.0)</f>
        <v>3787</v>
      </c>
      <c r="B3789" s="87" t="str">
        <f>IFERROR(__xludf.DUMMYFUNCTION("""COMPUTED_VALUE"""),"Nhãn")</f>
        <v>Nhãn</v>
      </c>
      <c r="C3789" s="87" t="str">
        <f>IFERROR(__xludf.DUMMYFUNCTION("""COMPUTED_VALUE"""),"NTN3047")</f>
        <v>NTN3047</v>
      </c>
      <c r="D3789" s="87" t="str">
        <f>IFERROR(__xludf.DUMMYFUNCTION("""COMPUTED_VALUE"""),"[Nhãn] GC - IV - 3047 - NHP GROUP - VUA RẦY RỆP (Bột trắng ngà) - 100gr - 100")</f>
        <v>[Nhãn] GC - IV - 3047 - NHP GROUP - VUA RẦY RỆP (Bột trắng ngà) - 100gr - 100</v>
      </c>
      <c r="E3789" s="87" t="str">
        <f>IFERROR(__xludf.DUMMYFUNCTION("""COMPUTED_VALUE"""),"CAYMANGOLD 33WP")</f>
        <v>CAYMANGOLD 33WP</v>
      </c>
      <c r="F3789" s="87" t="str">
        <f>IFERROR(__xludf.DUMMYFUNCTION("""COMPUTED_VALUE"""),"HH3047")</f>
        <v>HH3047</v>
      </c>
      <c r="G3789" s="87" t="str">
        <f>IFERROR(__xludf.DUMMYFUNCTION("""COMPUTED_VALUE"""),"GC - IV - 3047 - NHP GROUP - VUA RẦY RỆP (Bột trắng ngà) - 100gr - 100")</f>
        <v>GC - IV - 3047 - NHP GROUP - VUA RẦY RỆP (Bột trắng ngà) - 100gr - 100</v>
      </c>
    </row>
    <row r="3790">
      <c r="A3790" s="86">
        <f>IFERROR(__xludf.DUMMYFUNCTION("""COMPUTED_VALUE"""),3788.0)</f>
        <v>3788</v>
      </c>
      <c r="B3790" s="87" t="str">
        <f>IFERROR(__xludf.DUMMYFUNCTION("""COMPUTED_VALUE"""),"Nhãn thùng")</f>
        <v>Nhãn thùng</v>
      </c>
      <c r="C3790" s="87" t="str">
        <f>IFERROR(__xludf.DUMMYFUNCTION("""COMPUTED_VALUE"""),"NDT3047")</f>
        <v>NDT3047</v>
      </c>
      <c r="D3790" s="87" t="str">
        <f>IFERROR(__xludf.DUMMYFUNCTION("""COMPUTED_VALUE"""),"[Nhãn thùng] GC - IV - 3047 - NHP GROUP - VUA RẦY RỆP (Bột trắng ngà) - 100gr - 100")</f>
        <v>[Nhãn thùng] GC - IV - 3047 - NHP GROUP - VUA RẦY RỆP (Bột trắng ngà) - 100gr - 100</v>
      </c>
      <c r="E3790" s="87" t="str">
        <f>IFERROR(__xludf.DUMMYFUNCTION("""COMPUTED_VALUE"""),"CAYMANGOLD 33WP")</f>
        <v>CAYMANGOLD 33WP</v>
      </c>
      <c r="F3790" s="87" t="str">
        <f>IFERROR(__xludf.DUMMYFUNCTION("""COMPUTED_VALUE"""),"HH3047")</f>
        <v>HH3047</v>
      </c>
      <c r="G3790" s="87" t="str">
        <f>IFERROR(__xludf.DUMMYFUNCTION("""COMPUTED_VALUE"""),"GC - IV - 3047 - NHP GROUP - VUA RẦY RỆP (Bột trắng ngà) - 100gr - 100")</f>
        <v>GC - IV - 3047 - NHP GROUP - VUA RẦY RỆP (Bột trắng ngà) - 100gr - 100</v>
      </c>
    </row>
    <row r="3791">
      <c r="A3791" s="86">
        <f>IFERROR(__xludf.DUMMYFUNCTION("""COMPUTED_VALUE"""),3789.0)</f>
        <v>3789</v>
      </c>
      <c r="B3791" s="87" t="str">
        <f>IFERROR(__xludf.DUMMYFUNCTION("""COMPUTED_VALUE"""),"Nhãn")</f>
        <v>Nhãn</v>
      </c>
      <c r="C3791" s="87" t="str">
        <f>IFERROR(__xludf.DUMMYFUNCTION("""COMPUTED_VALUE"""),"NTN3048")</f>
        <v>NTN3048</v>
      </c>
      <c r="D3791" s="87" t="str">
        <f>IFERROR(__xludf.DUMMYFUNCTION("""COMPUTED_VALUE"""),"[Nhãn] GC - IV - 3048 - NHP GROUP - SẠCH SÂU RẦY (Bột trắng ngà) - 100gr - 100")</f>
        <v>[Nhãn] GC - IV - 3048 - NHP GROUP - SẠCH SÂU RẦY (Bột trắng ngà) - 100gr - 100</v>
      </c>
      <c r="E3791" s="87" t="str">
        <f>IFERROR(__xludf.DUMMYFUNCTION("""COMPUTED_VALUE"""),"THẦN CÔNG GOLD 39WP")</f>
        <v>THẦN CÔNG GOLD 39WP</v>
      </c>
      <c r="F3791" s="87" t="str">
        <f>IFERROR(__xludf.DUMMYFUNCTION("""COMPUTED_VALUE"""),"HH3048")</f>
        <v>HH3048</v>
      </c>
      <c r="G3791" s="87" t="str">
        <f>IFERROR(__xludf.DUMMYFUNCTION("""COMPUTED_VALUE"""),"GC - IV - 3048 - NHP GROUP - SẠCH SÂU RẦY (Bột trắng ngà) - 100gr - 100")</f>
        <v>GC - IV - 3048 - NHP GROUP - SẠCH SÂU RẦY (Bột trắng ngà) - 100gr - 100</v>
      </c>
    </row>
    <row r="3792">
      <c r="A3792" s="86">
        <f>IFERROR(__xludf.DUMMYFUNCTION("""COMPUTED_VALUE"""),3790.0)</f>
        <v>3790</v>
      </c>
      <c r="B3792" s="87" t="str">
        <f>IFERROR(__xludf.DUMMYFUNCTION("""COMPUTED_VALUE"""),"Nhãn thùng")</f>
        <v>Nhãn thùng</v>
      </c>
      <c r="C3792" s="87" t="str">
        <f>IFERROR(__xludf.DUMMYFUNCTION("""COMPUTED_VALUE"""),"NDT3048")</f>
        <v>NDT3048</v>
      </c>
      <c r="D3792" s="87" t="str">
        <f>IFERROR(__xludf.DUMMYFUNCTION("""COMPUTED_VALUE"""),"[Nhãn thùng] GC - IV - 3048 - NHP GROUP - SẠCH SÂU RẦY (Bột trắng ngà) - 100gr - 100")</f>
        <v>[Nhãn thùng] GC - IV - 3048 - NHP GROUP - SẠCH SÂU RẦY (Bột trắng ngà) - 100gr - 100</v>
      </c>
      <c r="E3792" s="87" t="str">
        <f>IFERROR(__xludf.DUMMYFUNCTION("""COMPUTED_VALUE"""),"THẦN CÔNG GOLD 39WP")</f>
        <v>THẦN CÔNG GOLD 39WP</v>
      </c>
      <c r="F3792" s="87" t="str">
        <f>IFERROR(__xludf.DUMMYFUNCTION("""COMPUTED_VALUE"""),"HH3048")</f>
        <v>HH3048</v>
      </c>
      <c r="G3792" s="87" t="str">
        <f>IFERROR(__xludf.DUMMYFUNCTION("""COMPUTED_VALUE"""),"GC - IV - 3048 - NHP GROUP - SẠCH SÂU RẦY (Bột trắng ngà) - 100gr - 100")</f>
        <v>GC - IV - 3048 - NHP GROUP - SẠCH SÂU RẦY (Bột trắng ngà) - 100gr - 100</v>
      </c>
    </row>
    <row r="3793">
      <c r="A3793" s="86">
        <f>IFERROR(__xludf.DUMMYFUNCTION("""COMPUTED_VALUE"""),3791.0)</f>
        <v>3791</v>
      </c>
      <c r="B3793" s="87" t="str">
        <f>IFERROR(__xludf.DUMMYFUNCTION("""COMPUTED_VALUE"""),"[Nhãn]")</f>
        <v>[Nhãn]</v>
      </c>
      <c r="C3793" s="87" t="str">
        <f>IFERROR(__xludf.DUMMYFUNCTION("""COMPUTED_VALUE"""),"NHD3049")</f>
        <v>NHD3049</v>
      </c>
      <c r="D3793" s="87" t="str">
        <f>IFERROR(__xludf.DUMMYFUNCTION("""COMPUTED_VALUE"""),"[Nhãn] GC - IV - 3049 - NHP GROUP - SIMBA (Nước vàng trà) - 450ml - 40")</f>
        <v>[Nhãn] GC - IV - 3049 - NHP GROUP - SIMBA (Nước vàng trà) - 450ml - 40</v>
      </c>
      <c r="E3793" s="87" t="str">
        <f>IFERROR(__xludf.DUMMYFUNCTION("""COMPUTED_VALUE"""),"PYTAX-S 5EC")</f>
        <v>PYTAX-S 5EC</v>
      </c>
      <c r="F3793" s="87" t="str">
        <f>IFERROR(__xludf.DUMMYFUNCTION("""COMPUTED_VALUE"""),"HH3049")</f>
        <v>HH3049</v>
      </c>
      <c r="G3793" s="87" t="str">
        <f>IFERROR(__xludf.DUMMYFUNCTION("""COMPUTED_VALUE"""),"GC - IV - 3049 - NHP GROUP - SIMBA (Nước vàng trà) - 450ml - 40")</f>
        <v>GC - IV - 3049 - NHP GROUP - SIMBA (Nước vàng trà) - 450ml - 40</v>
      </c>
    </row>
    <row r="3794">
      <c r="A3794" s="86">
        <f>IFERROR(__xludf.DUMMYFUNCTION("""COMPUTED_VALUE"""),3792.0)</f>
        <v>3792</v>
      </c>
      <c r="B3794" s="87" t="str">
        <f>IFERROR(__xludf.DUMMYFUNCTION("""COMPUTED_VALUE"""),"[Nhãn]")</f>
        <v>[Nhãn]</v>
      </c>
      <c r="C3794" s="87" t="str">
        <f>IFERROR(__xludf.DUMMYFUNCTION("""COMPUTED_VALUE"""),"NHD3049")</f>
        <v>NHD3049</v>
      </c>
      <c r="D3794" s="87" t="str">
        <f>IFERROR(__xludf.DUMMYFUNCTION("""COMPUTED_VALUE"""),"[Nhãn] GC - IV - 3049 - NHP GROUP - SIMBA (Nước vàng trà) - 450ml - 40")</f>
        <v>[Nhãn] GC - IV - 3049 - NHP GROUP - SIMBA (Nước vàng trà) - 450ml - 40</v>
      </c>
      <c r="E3794" s="87" t="str">
        <f>IFERROR(__xludf.DUMMYFUNCTION("""COMPUTED_VALUE"""),"PYTAX-S 5EC")</f>
        <v>PYTAX-S 5EC</v>
      </c>
      <c r="F3794" s="87" t="str">
        <f>IFERROR(__xludf.DUMMYFUNCTION("""COMPUTED_VALUE"""),"HH3049")</f>
        <v>HH3049</v>
      </c>
      <c r="G3794" s="87" t="str">
        <f>IFERROR(__xludf.DUMMYFUNCTION("""COMPUTED_VALUE"""),"GC - IV - 3049 - NHP GROUP - SIMBA (Nước vàng trà) - 450ml - 40")</f>
        <v>GC - IV - 3049 - NHP GROUP - SIMBA (Nước vàng trà) - 450ml - 40</v>
      </c>
    </row>
    <row r="3795">
      <c r="A3795" s="86">
        <f>IFERROR(__xludf.DUMMYFUNCTION("""COMPUTED_VALUE"""),3793.0)</f>
        <v>3793</v>
      </c>
      <c r="B3795" s="87" t="str">
        <f>IFERROR(__xludf.DUMMYFUNCTION("""COMPUTED_VALUE"""),"Nhãn")</f>
        <v>Nhãn</v>
      </c>
      <c r="C3795" s="87" t="str">
        <f>IFERROR(__xludf.DUMMYFUNCTION("""COMPUTED_VALUE"""),"NHG3050")</f>
        <v>NHG3050</v>
      </c>
      <c r="D3795" s="87" t="str">
        <f>IFERROR(__xludf.DUMMYFUNCTION("""COMPUTED_VALUE"""),"[Nhãn] IDA Global - I - 3050 - SIÊU KẼM 247 (Nước vàng nhạt) - 250ml - 40")</f>
        <v>[Nhãn] IDA Global - I - 3050 - SIÊU KẼM 247 (Nước vàng nhạt) - 250ml - 40</v>
      </c>
      <c r="E3795" s="87" t="str">
        <f>IFERROR(__xludf.DUMMYFUNCTION("""COMPUTED_VALUE"""),"Vi lượng AGAMA-ZN")</f>
        <v>Vi lượng AGAMA-ZN</v>
      </c>
      <c r="F3795" s="87" t="str">
        <f>IFERROR(__xludf.DUMMYFUNCTION("""COMPUTED_VALUE"""),"HH3050")</f>
        <v>HH3050</v>
      </c>
      <c r="G3795" s="87" t="str">
        <f>IFERROR(__xludf.DUMMYFUNCTION("""COMPUTED_VALUE"""),"IDA Global - I - 3050 - SIÊU KẼM 247 (Nước vàng nhạt) - 250ml - 40")</f>
        <v>IDA Global - I - 3050 - SIÊU KẼM 247 (Nước vàng nhạt) - 250ml - 40</v>
      </c>
    </row>
    <row r="3796">
      <c r="A3796" s="86">
        <f>IFERROR(__xludf.DUMMYFUNCTION("""COMPUTED_VALUE"""),3794.0)</f>
        <v>3794</v>
      </c>
      <c r="B3796" s="87" t="str">
        <f>IFERROR(__xludf.DUMMYFUNCTION("""COMPUTED_VALUE"""),"[Nhãn]")</f>
        <v>[Nhãn]</v>
      </c>
      <c r="C3796" s="87" t="str">
        <f>IFERROR(__xludf.DUMMYFUNCTION("""COMPUTED_VALUE"""),"NHG3051")</f>
        <v>NHG3051</v>
      </c>
      <c r="D3796" s="87" t="str">
        <f>IFERROR(__xludf.DUMMYFUNCTION("""COMPUTED_VALUE"""),"[Nhãn] GC - IV - 3051 - CTY NEWTEX - T9 VÔ GẠO (Nước nâu đen) - 500ml - 40")</f>
        <v>[Nhãn] GC - IV - 3051 - CTY NEWTEX - T9 VÔ GẠO (Nước nâu đen) - 500ml - 40</v>
      </c>
      <c r="E3796" s="87" t="str">
        <f>IFERROR(__xludf.DUMMYFUNCTION("""COMPUTED_VALUE"""),"Vi lượng AGAMA-SUPPORT")</f>
        <v>Vi lượng AGAMA-SUPPORT</v>
      </c>
      <c r="F3796" s="87" t="str">
        <f>IFERROR(__xludf.DUMMYFUNCTION("""COMPUTED_VALUE"""),"HH3051")</f>
        <v>HH3051</v>
      </c>
      <c r="G3796" s="87" t="str">
        <f>IFERROR(__xludf.DUMMYFUNCTION("""COMPUTED_VALUE"""),"GC - IV - 3051 - CTY NEWTEX - T9 VÔ GẠO (Nước nâu đen) - 500ml - 40")</f>
        <v>GC - IV - 3051 - CTY NEWTEX - T9 VÔ GẠO (Nước nâu đen) - 500ml - 40</v>
      </c>
    </row>
    <row r="3797">
      <c r="A3797" s="86">
        <f>IFERROR(__xludf.DUMMYFUNCTION("""COMPUTED_VALUE"""),3795.0)</f>
        <v>3795</v>
      </c>
      <c r="B3797" s="87" t="str">
        <f>IFERROR(__xludf.DUMMYFUNCTION("""COMPUTED_VALUE"""),"[HỘP]")</f>
        <v>[HỘP]</v>
      </c>
      <c r="C3797" s="87" t="str">
        <f>IFERROR(__xludf.DUMMYFUNCTION("""COMPUTED_VALUE"""),"HOP3051")</f>
        <v>HOP3051</v>
      </c>
      <c r="D3797" s="87" t="str">
        <f>IFERROR(__xludf.DUMMYFUNCTION("""COMPUTED_VALUE"""),"[HOP] GC - IV - 3051 - CTY NEWTEX - T9 VÔ GẠO (Nước nâu đen) - 500ml - 1")</f>
        <v>[HOP] GC - IV - 3051 - CTY NEWTEX - T9 VÔ GẠO (Nước nâu đen) - 500ml - 1</v>
      </c>
      <c r="E3797" s="87" t="str">
        <f>IFERROR(__xludf.DUMMYFUNCTION("""COMPUTED_VALUE"""),"Vi lượng AGAMA-SUPPORT")</f>
        <v>Vi lượng AGAMA-SUPPORT</v>
      </c>
      <c r="F3797" s="87" t="str">
        <f>IFERROR(__xludf.DUMMYFUNCTION("""COMPUTED_VALUE"""),"HH3051")</f>
        <v>HH3051</v>
      </c>
      <c r="G3797" s="87" t="str">
        <f>IFERROR(__xludf.DUMMYFUNCTION("""COMPUTED_VALUE"""),"GC - IV - 3051 - CTY NEWTEX - T9 VÔ GẠO (Nước nâu đen) - 500ml - 40")</f>
        <v>GC - IV - 3051 - CTY NEWTEX - T9 VÔ GẠO (Nước nâu đen) - 500ml - 40</v>
      </c>
    </row>
    <row r="3798">
      <c r="A3798" s="86">
        <f>IFERROR(__xludf.DUMMYFUNCTION("""COMPUTED_VALUE"""),3796.0)</f>
        <v>3796</v>
      </c>
      <c r="B3798" s="87" t="str">
        <f>IFERROR(__xludf.DUMMYFUNCTION("""COMPUTED_VALUE"""),"Nhãn")</f>
        <v>Nhãn</v>
      </c>
      <c r="C3798" s="87" t="str">
        <f>IFERROR(__xludf.DUMMYFUNCTION("""COMPUTED_VALUE"""),"NHG3052")</f>
        <v>NHG3052</v>
      </c>
      <c r="D3798" s="87" t="str">
        <f>IFERROR(__xludf.DUMMYFUNCTION("""COMPUTED_VALUE"""),"[Nhãn] IDA Global - I - 3052 - THIPRO 550EC (Nước vàng trà) - 250ml - 40")</f>
        <v>[Nhãn] IDA Global - I - 3052 - THIPRO 550EC (Nước vàng trà) - 250ml - 40</v>
      </c>
      <c r="E3798" s="87" t="str">
        <f>IFERROR(__xludf.DUMMYFUNCTION("""COMPUTED_VALUE"""),"Thipro 550EC")</f>
        <v>Thipro 550EC</v>
      </c>
      <c r="F3798" s="87" t="str">
        <f>IFERROR(__xludf.DUMMYFUNCTION("""COMPUTED_VALUE"""),"HH3052")</f>
        <v>HH3052</v>
      </c>
      <c r="G3798" s="87" t="str">
        <f>IFERROR(__xludf.DUMMYFUNCTION("""COMPUTED_VALUE"""),"IDA Global - I - 3052 - THIPRO 550EC (Nước vàng trà) - 250ml - 40")</f>
        <v>IDA Global - I - 3052 - THIPRO 550EC (Nước vàng trà) - 250ml - 40</v>
      </c>
    </row>
    <row r="3799">
      <c r="A3799" s="86">
        <f>IFERROR(__xludf.DUMMYFUNCTION("""COMPUTED_VALUE"""),3797.0)</f>
        <v>3797</v>
      </c>
      <c r="B3799" s="87" t="str">
        <f>IFERROR(__xludf.DUMMYFUNCTION("""COMPUTED_VALUE"""),"Nhãn")</f>
        <v>Nhãn</v>
      </c>
      <c r="C3799" s="87" t="str">
        <f>IFERROR(__xludf.DUMMYFUNCTION("""COMPUTED_VALUE"""),"NHG3053")</f>
        <v>NHG3053</v>
      </c>
      <c r="D3799" s="87" t="str">
        <f>IFERROR(__xludf.DUMMYFUNCTION("""COMPUTED_VALUE"""),"[Nhãn] LOT IDA Global - I - 3053 - ĐL Minh Nga - Sức Mạnh Báo Đen 36 (nước nâu đen) - 450ml - 40")</f>
        <v>[Nhãn] LOT IDA Global - I - 3053 - ĐL Minh Nga - Sức Mạnh Báo Đen 36 (nước nâu đen) - 450ml - 40</v>
      </c>
      <c r="E3799" s="87" t="str">
        <f>IFERROR(__xludf.DUMMYFUNCTION("""COMPUTED_VALUE"""),"HAIHAMEC 3.6EC")</f>
        <v>HAIHAMEC 3.6EC</v>
      </c>
      <c r="F3799" s="87" t="str">
        <f>IFERROR(__xludf.DUMMYFUNCTION("""COMPUTED_VALUE"""),"HH3053")</f>
        <v>HH3053</v>
      </c>
      <c r="G3799" s="87" t="str">
        <f>IFERROR(__xludf.DUMMYFUNCTION("""COMPUTED_VALUE"""),"LOT IDA Global - I - 3053 - ĐL Minh Nga - Sức Mạnh Báo Đen 36 (nước nâu đen) - 450ml - 40")</f>
        <v>LOT IDA Global - I - 3053 - ĐL Minh Nga - Sức Mạnh Báo Đen 36 (nước nâu đen) - 450ml - 40</v>
      </c>
    </row>
    <row r="3800">
      <c r="A3800" s="86">
        <f>IFERROR(__xludf.DUMMYFUNCTION("""COMPUTED_VALUE"""),3798.0)</f>
        <v>3798</v>
      </c>
      <c r="B3800" s="87" t="str">
        <f>IFERROR(__xludf.DUMMYFUNCTION("""COMPUTED_VALUE"""),"Nhãn")</f>
        <v>Nhãn</v>
      </c>
      <c r="C3800" s="87" t="str">
        <f>IFERROR(__xludf.DUMMYFUNCTION("""COMPUTED_VALUE"""),"NHG3054")</f>
        <v>NHG3054</v>
      </c>
      <c r="D3800" s="87" t="str">
        <f>IFERROR(__xludf.DUMMYFUNCTION("""COMPUTED_VALUE"""),"[Nhãn] GC - IV - 3054 - CTY SEN HỒNG - Knock Out Sâu Đục Thân (Nước trắng sữa) - 100ml - 100")</f>
        <v>[Nhãn] GC - IV - 3054 - CTY SEN HỒNG - Knock Out Sâu Đục Thân (Nước trắng sữa) - 100ml - 100</v>
      </c>
      <c r="E3800" s="87" t="str">
        <f>IFERROR(__xludf.DUMMYFUNCTION("""COMPUTED_VALUE"""),"VOTE 34.2SC")</f>
        <v>VOTE 34.2SC</v>
      </c>
      <c r="F3800" s="87" t="str">
        <f>IFERROR(__xludf.DUMMYFUNCTION("""COMPUTED_VALUE"""),"HH3054")</f>
        <v>HH3054</v>
      </c>
      <c r="G3800" s="87" t="str">
        <f>IFERROR(__xludf.DUMMYFUNCTION("""COMPUTED_VALUE"""),"GC - IV - 3054 - CTY SEN HỒNG - Knock Out Sâu Đục Thân (Nước trắng sữa) - 100ml - 100")</f>
        <v>GC - IV - 3054 - CTY SEN HỒNG - Knock Out Sâu Đục Thân (Nước trắng sữa) - 100ml - 100</v>
      </c>
    </row>
    <row r="3801">
      <c r="A3801" s="86">
        <f>IFERROR(__xludf.DUMMYFUNCTION("""COMPUTED_VALUE"""),3799.0)</f>
        <v>3799</v>
      </c>
      <c r="B3801" s="87" t="str">
        <f>IFERROR(__xludf.DUMMYFUNCTION("""COMPUTED_VALUE"""),"Nhãn thùng")</f>
        <v>Nhãn thùng</v>
      </c>
      <c r="C3801" s="87" t="str">
        <f>IFERROR(__xludf.DUMMYFUNCTION("""COMPUTED_VALUE"""),"NDT3054")</f>
        <v>NDT3054</v>
      </c>
      <c r="D3801" s="87" t="str">
        <f>IFERROR(__xludf.DUMMYFUNCTION("""COMPUTED_VALUE"""),"[Nhãn thùng] GC - IV - 3054 - CTY SEN HỒNG - Knock Out Sâu Đục Thân (Nước trắng sữa) - 100ml - 100")</f>
        <v>[Nhãn thùng] GC - IV - 3054 - CTY SEN HỒNG - Knock Out Sâu Đục Thân (Nước trắng sữa) - 100ml - 100</v>
      </c>
      <c r="E3801" s="87" t="str">
        <f>IFERROR(__xludf.DUMMYFUNCTION("""COMPUTED_VALUE"""),"VOTE 34.2SC")</f>
        <v>VOTE 34.2SC</v>
      </c>
      <c r="F3801" s="87" t="str">
        <f>IFERROR(__xludf.DUMMYFUNCTION("""COMPUTED_VALUE"""),"HH3054")</f>
        <v>HH3054</v>
      </c>
      <c r="G3801" s="87" t="str">
        <f>IFERROR(__xludf.DUMMYFUNCTION("""COMPUTED_VALUE"""),"GC - IV - 3054 - CTY SEN HỒNG - Knock Out Sâu Đục Thân (Nước trắng sữa) - 100ml - 100")</f>
        <v>GC - IV - 3054 - CTY SEN HỒNG - Knock Out Sâu Đục Thân (Nước trắng sữa) - 100ml - 100</v>
      </c>
    </row>
    <row r="3802">
      <c r="A3802" s="86">
        <f>IFERROR(__xludf.DUMMYFUNCTION("""COMPUTED_VALUE"""),3800.0)</f>
        <v>3800</v>
      </c>
      <c r="B3802" s="87" t="str">
        <f>IFERROR(__xludf.DUMMYFUNCTION("""COMPUTED_VALUE"""),"Nhãn")</f>
        <v>Nhãn</v>
      </c>
      <c r="C3802" s="87" t="str">
        <f>IFERROR(__xludf.DUMMYFUNCTION("""COMPUTED_VALUE"""),"NHG3055")</f>
        <v>NHG3055</v>
      </c>
      <c r="D3802" s="87" t="str">
        <f>IFERROR(__xludf.DUMMYFUNCTION("""COMPUTED_VALUE"""),"[Nhãn] GC - IV - 3055 - CTY HÓA NÔNG SHINO - BOOMGOLD (Nước trắng sữa) - 500ml - 30")</f>
        <v>[Nhãn] GC - IV - 3055 - CTY HÓA NÔNG SHINO - BOOMGOLD (Nước trắng sữa) - 500ml - 30</v>
      </c>
      <c r="E3802" s="87" t="str">
        <f>IFERROR(__xludf.DUMMYFUNCTION("""COMPUTED_VALUE"""),"Vi lượng AGAMA-CANXI BO")</f>
        <v>Vi lượng AGAMA-CANXI BO</v>
      </c>
      <c r="F3802" s="87" t="str">
        <f>IFERROR(__xludf.DUMMYFUNCTION("""COMPUTED_VALUE"""),"HH3055")</f>
        <v>HH3055</v>
      </c>
      <c r="G3802" s="87" t="str">
        <f>IFERROR(__xludf.DUMMYFUNCTION("""COMPUTED_VALUE"""),"GC - IV - 3055 - Cty Hóa Nông Shino - BOOMGOLD (Nước trắng sữa) - 500ml - 30")</f>
        <v>GC - IV - 3055 - Cty Hóa Nông Shino - BOOMGOLD (Nước trắng sữa) - 500ml - 30</v>
      </c>
    </row>
    <row r="3803">
      <c r="A3803" s="86">
        <f>IFERROR(__xludf.DUMMYFUNCTION("""COMPUTED_VALUE"""),3801.0)</f>
        <v>3801</v>
      </c>
      <c r="B3803" s="87" t="str">
        <f>IFERROR(__xludf.DUMMYFUNCTION("""COMPUTED_VALUE"""),"Nhãn")</f>
        <v>Nhãn</v>
      </c>
      <c r="C3803" s="87" t="str">
        <f>IFERROR(__xludf.DUMMYFUNCTION("""COMPUTED_VALUE"""),"NHD3055")</f>
        <v>NHD3055</v>
      </c>
      <c r="D3803" s="87" t="str">
        <f>IFERROR(__xludf.DUMMYFUNCTION("""COMPUTED_VALUE"""),"[Nhãn] GC - IV - 3055 - CTY HÓA NÔNG SHINO - BOOMGOLD (Nước trắng sữa) - 500ml - 30")</f>
        <v>[Nhãn] GC - IV - 3055 - CTY HÓA NÔNG SHINO - BOOMGOLD (Nước trắng sữa) - 500ml - 30</v>
      </c>
      <c r="E3803" s="87" t="str">
        <f>IFERROR(__xludf.DUMMYFUNCTION("""COMPUTED_VALUE"""),"Vi lượng AGAMA-CANXI BO")</f>
        <v>Vi lượng AGAMA-CANXI BO</v>
      </c>
      <c r="F3803" s="87" t="str">
        <f>IFERROR(__xludf.DUMMYFUNCTION("""COMPUTED_VALUE"""),"HH3055")</f>
        <v>HH3055</v>
      </c>
      <c r="G3803" s="87" t="str">
        <f>IFERROR(__xludf.DUMMYFUNCTION("""COMPUTED_VALUE"""),"GC - IV - 3055 - Cty Hóa Nông Shino - BOOMGOLD (Nước trắng sữa) - 500ml - 30")</f>
        <v>GC - IV - 3055 - Cty Hóa Nông Shino - BOOMGOLD (Nước trắng sữa) - 500ml - 30</v>
      </c>
    </row>
    <row r="3804">
      <c r="A3804" s="86">
        <f>IFERROR(__xludf.DUMMYFUNCTION("""COMPUTED_VALUE"""),3802.0)</f>
        <v>3802</v>
      </c>
      <c r="B3804" s="87" t="str">
        <f>IFERROR(__xludf.DUMMYFUNCTION("""COMPUTED_VALUE"""),"Nhãn thùng")</f>
        <v>Nhãn thùng</v>
      </c>
      <c r="C3804" s="87" t="str">
        <f>IFERROR(__xludf.DUMMYFUNCTION("""COMPUTED_VALUE"""),"NDT3057")</f>
        <v>NDT3057</v>
      </c>
      <c r="D3804" s="87" t="str">
        <f>IFERROR(__xludf.DUMMYFUNCTION("""COMPUTED_VALUE"""),"[Nhãn thùng] GC - IV - 3057 - CTY SEN HỒNG - DIỆT CHÍCH HÚT (bột trắng) - 100gr - 100")</f>
        <v>[Nhãn thùng] GC - IV - 3057 - CTY SEN HỒNG - DIỆT CHÍCH HÚT (bột trắng) - 100gr - 100</v>
      </c>
      <c r="E3804" s="87" t="str">
        <f>IFERROR(__xludf.DUMMYFUNCTION("""COMPUTED_VALUE"""),"PHOPPAWAY 80WG")</f>
        <v>PHOPPAWAY 80WG</v>
      </c>
      <c r="F3804" s="87" t="str">
        <f>IFERROR(__xludf.DUMMYFUNCTION("""COMPUTED_VALUE"""),"HH3057")</f>
        <v>HH3057</v>
      </c>
      <c r="G3804" s="87" t="str">
        <f>IFERROR(__xludf.DUMMYFUNCTION("""COMPUTED_VALUE"""),"GC - IV - 3057 - CTY SEN HỒNG - DIỆT CHÍCH HÚT (bột trắng) - 100gr - 100")</f>
        <v>GC - IV - 3057 - CTY SEN HỒNG - DIỆT CHÍCH HÚT (bột trắng) - 100gr - 100</v>
      </c>
    </row>
    <row r="3805">
      <c r="A3805" s="86">
        <f>IFERROR(__xludf.DUMMYFUNCTION("""COMPUTED_VALUE"""),3803.0)</f>
        <v>3803</v>
      </c>
      <c r="B3805" s="87" t="str">
        <f>IFERROR(__xludf.DUMMYFUNCTION("""COMPUTED_VALUE"""),"[Nhãn]")</f>
        <v>[Nhãn]</v>
      </c>
      <c r="C3805" s="87" t="str">
        <f>IFERROR(__xludf.DUMMYFUNCTION("""COMPUTED_VALUE"""),"NTN3057")</f>
        <v>NTN3057</v>
      </c>
      <c r="D3805" s="87" t="str">
        <f>IFERROR(__xludf.DUMMYFUNCTION("""COMPUTED_VALUE"""),"[Nhãn] GC - IV - 3057 - CTY SEN HỒNG - DIỆT CHÍCH HÚT (bột trắng) - 100gr - 100")</f>
        <v>[Nhãn] GC - IV - 3057 - CTY SEN HỒNG - DIỆT CHÍCH HÚT (bột trắng) - 100gr - 100</v>
      </c>
      <c r="E3805" s="87" t="str">
        <f>IFERROR(__xludf.DUMMYFUNCTION("""COMPUTED_VALUE"""),"PHOPPAWAY 80WG")</f>
        <v>PHOPPAWAY 80WG</v>
      </c>
      <c r="F3805" s="87" t="str">
        <f>IFERROR(__xludf.DUMMYFUNCTION("""COMPUTED_VALUE"""),"HH3057")</f>
        <v>HH3057</v>
      </c>
      <c r="G3805" s="87" t="str">
        <f>IFERROR(__xludf.DUMMYFUNCTION("""COMPUTED_VALUE"""),"GC - IV - 3057 - CTY SEN HỒNG - DIỆT CHÍCH HÚT (bột trắng) - 100gr - 100")</f>
        <v>GC - IV - 3057 - CTY SEN HỒNG - DIỆT CHÍCH HÚT (bột trắng) - 100gr - 100</v>
      </c>
    </row>
    <row r="3806">
      <c r="A3806" s="86">
        <f>IFERROR(__xludf.DUMMYFUNCTION("""COMPUTED_VALUE"""),3804.0)</f>
        <v>3804</v>
      </c>
      <c r="B3806" s="87" t="str">
        <f>IFERROR(__xludf.DUMMYFUNCTION("""COMPUTED_VALUE"""),"Nhãn")</f>
        <v>Nhãn</v>
      </c>
      <c r="C3806" s="87" t="str">
        <f>IFERROR(__xludf.DUMMYFUNCTION("""COMPUTED_VALUE"""),"NHG3058")</f>
        <v>NHG3058</v>
      </c>
      <c r="D3806" s="87" t="str">
        <f>IFERROR(__xludf.DUMMYFUNCTION("""COMPUTED_VALUE"""),"[Nhãn] GC - IV - 3058 - BIOTECH HÀ LAN - MIISTOP GOLD (Nước xanh dương) - 500ml - 40")</f>
        <v>[Nhãn] GC - IV - 3058 - BIOTECH HÀ LAN - MIISTOP GOLD (Nước xanh dương) - 500ml - 40</v>
      </c>
      <c r="E3806" s="87" t="str">
        <f>IFERROR(__xludf.DUMMYFUNCTION("""COMPUTED_VALUE"""),"Mekongvil 5SC")</f>
        <v>Mekongvil 5SC</v>
      </c>
      <c r="F3806" s="87" t="str">
        <f>IFERROR(__xludf.DUMMYFUNCTION("""COMPUTED_VALUE"""),"HH3058")</f>
        <v>HH3058</v>
      </c>
      <c r="G3806" s="87" t="str">
        <f>IFERROR(__xludf.DUMMYFUNCTION("""COMPUTED_VALUE"""),"GC - IV - 3058 - BIOTECH HÀ LAN - MIISTOP GOLD (Nước xanh dương) - 500ml - 40")</f>
        <v>GC - IV - 3058 - BIOTECH HÀ LAN - MIISTOP GOLD (Nước xanh dương) - 500ml - 40</v>
      </c>
    </row>
    <row r="3807">
      <c r="A3807" s="86">
        <f>IFERROR(__xludf.DUMMYFUNCTION("""COMPUTED_VALUE"""),3805.0)</f>
        <v>3805</v>
      </c>
      <c r="B3807" s="87" t="str">
        <f>IFERROR(__xludf.DUMMYFUNCTION("""COMPUTED_VALUE"""),"Nhãn")</f>
        <v>Nhãn</v>
      </c>
      <c r="C3807" s="87" t="str">
        <f>IFERROR(__xludf.DUMMYFUNCTION("""COMPUTED_VALUE"""),"NHG3059")</f>
        <v>NHG3059</v>
      </c>
      <c r="D3807" s="87" t="str">
        <f>IFERROR(__xludf.DUMMYFUNCTION("""COMPUTED_VALUE"""),"[Nhãn] GC - IV - 3059 - CTY HAT GROUP - AIIVIL GOLD 110 (Nước trắng sữa) - 1L - 20")</f>
        <v>[Nhãn] GC - IV - 3059 - CTY HAT GROUP - AIIVIL GOLD 110 (Nước trắng sữa) - 1L - 20</v>
      </c>
      <c r="E3807" s="87" t="str">
        <f>IFERROR(__xludf.DUMMYFUNCTION("""COMPUTED_VALUE"""),"JAPA VIL 110SC")</f>
        <v>JAPA VIL 110SC</v>
      </c>
      <c r="F3807" s="87" t="str">
        <f>IFERROR(__xludf.DUMMYFUNCTION("""COMPUTED_VALUE"""),"HH3059")</f>
        <v>HH3059</v>
      </c>
      <c r="G3807" s="87" t="str">
        <f>IFERROR(__xludf.DUMMYFUNCTION("""COMPUTED_VALUE"""),"GC - IV - 3059 - CTY HAT GROUP - AIIVIL GOLD 110 (Nước trắng sữa) - 1L - 20")</f>
        <v>GC - IV - 3059 - CTY HAT GROUP - AIIVIL GOLD 110 (Nước trắng sữa) - 1L - 20</v>
      </c>
    </row>
    <row r="3808">
      <c r="A3808" s="86">
        <f>IFERROR(__xludf.DUMMYFUNCTION("""COMPUTED_VALUE"""),3806.0)</f>
        <v>3806</v>
      </c>
      <c r="B3808" s="87" t="str">
        <f>IFERROR(__xludf.DUMMYFUNCTION("""COMPUTED_VALUE"""),"Nhãn")</f>
        <v>Nhãn</v>
      </c>
      <c r="C3808" s="87" t="str">
        <f>IFERROR(__xludf.DUMMYFUNCTION("""COMPUTED_VALUE"""),"NHG3060")</f>
        <v>NHG3060</v>
      </c>
      <c r="D3808" s="87" t="str">
        <f>IFERROR(__xludf.DUMMYFUNCTION("""COMPUTED_VALUE"""),"[Nhãn] NB - V - 3060 - CTY NAUY - NAUY DƯỠNG ĐÒNG (Dưỡng đòng) (Nước nâu đen) - 500ml - 40")</f>
        <v>[Nhãn] NB - V - 3060 - CTY NAUY - NAUY DƯỠNG ĐÒNG (Dưỡng đòng) (Nước nâu đen) - 500ml - 40</v>
      </c>
      <c r="E3808" s="87" t="str">
        <f>IFERROR(__xludf.DUMMYFUNCTION("""COMPUTED_VALUE"""),"Vi lượng AGAMA-SUPPORT")</f>
        <v>Vi lượng AGAMA-SUPPORT</v>
      </c>
      <c r="F3808" s="87" t="str">
        <f>IFERROR(__xludf.DUMMYFUNCTION("""COMPUTED_VALUE"""),"HH3060")</f>
        <v>HH3060</v>
      </c>
      <c r="G3808" s="87" t="str">
        <f>IFERROR(__xludf.DUMMYFUNCTION("""COMPUTED_VALUE"""),"NB - V - 3060 - CTY NAUY - NAUY DƯỠNG ĐÒNG (Dưỡng đòng) (Nước nâu đen) - 500ml - 40")</f>
        <v>NB - V - 3060 - CTY NAUY - NAUY DƯỠNG ĐÒNG (Dưỡng đòng) (Nước nâu đen) - 500ml - 40</v>
      </c>
    </row>
    <row r="3809">
      <c r="A3809" s="86">
        <f>IFERROR(__xludf.DUMMYFUNCTION("""COMPUTED_VALUE"""),3807.0)</f>
        <v>3807</v>
      </c>
      <c r="B3809" s="87" t="str">
        <f>IFERROR(__xludf.DUMMYFUNCTION("""COMPUTED_VALUE"""),"Nhãn")</f>
        <v>Nhãn</v>
      </c>
      <c r="C3809" s="87" t="str">
        <f>IFERROR(__xludf.DUMMYFUNCTION("""COMPUTED_VALUE"""),"NHG3061")</f>
        <v>NHG3061</v>
      </c>
      <c r="D3809" s="87" t="str">
        <f>IFERROR(__xludf.DUMMYFUNCTION("""COMPUTED_VALUE"""),"[Nhãn] GC - IV - 3061 - Cty Agrochem Korea - BA SIÊU (Gel đỏ cam) - 500ml - 40")</f>
        <v>[Nhãn] GC - IV - 3061 - Cty Agrochem Korea - BA SIÊU (Gel đỏ cam) - 500ml - 40</v>
      </c>
      <c r="E3809" s="87" t="str">
        <f>IFERROR(__xludf.DUMMYFUNCTION("""COMPUTED_VALUE"""),"Vi lượng AGAMA-SUPPORT")</f>
        <v>Vi lượng AGAMA-SUPPORT</v>
      </c>
      <c r="F3809" s="87" t="str">
        <f>IFERROR(__xludf.DUMMYFUNCTION("""COMPUTED_VALUE"""),"HH3061")</f>
        <v>HH3061</v>
      </c>
      <c r="G3809" s="87" t="str">
        <f>IFERROR(__xludf.DUMMYFUNCTION("""COMPUTED_VALUE"""),"GC - IV - 3061 - Cty Agrochem Korea - BA SIÊU (Gel đỏ cam) - 500ml - 40")</f>
        <v>GC - IV - 3061 - Cty Agrochem Korea - BA SIÊU (Gel đỏ cam) - 500ml - 40</v>
      </c>
    </row>
    <row r="3810">
      <c r="A3810" s="86">
        <f>IFERROR(__xludf.DUMMYFUNCTION("""COMPUTED_VALUE"""),3808.0)</f>
        <v>3808</v>
      </c>
      <c r="B3810" s="87" t="str">
        <f>IFERROR(__xludf.DUMMYFUNCTION("""COMPUTED_VALUE"""),"Nhãn")</f>
        <v>Nhãn</v>
      </c>
      <c r="C3810" s="87" t="str">
        <f>IFERROR(__xludf.DUMMYFUNCTION("""COMPUTED_VALUE"""),"NHG3062")</f>
        <v>NHG3062</v>
      </c>
      <c r="D3810" s="87" t="str">
        <f>IFERROR(__xludf.DUMMYFUNCTION("""COMPUTED_VALUE"""),"[Nhãn] NB - V - 3062 - CTY NAUY - NANO PROMAX (Vô gạo) (Nước nâu đen) - 500ml - 40")</f>
        <v>[Nhãn] NB - V - 3062 - CTY NAUY - NANO PROMAX (Vô gạo) (Nước nâu đen) - 500ml - 40</v>
      </c>
      <c r="E3810" s="87" t="str">
        <f>IFERROR(__xludf.DUMMYFUNCTION("""COMPUTED_VALUE"""),"Vi lượng AGAMA-SUPPORT")</f>
        <v>Vi lượng AGAMA-SUPPORT</v>
      </c>
      <c r="F3810" s="87" t="str">
        <f>IFERROR(__xludf.DUMMYFUNCTION("""COMPUTED_VALUE"""),"HH3062")</f>
        <v>HH3062</v>
      </c>
      <c r="G3810" s="87" t="str">
        <f>IFERROR(__xludf.DUMMYFUNCTION("""COMPUTED_VALUE"""),"NB - V - 3062 - CTY NAUY - NANO PROMAX (Vô gạo) (Nước nâu đen) - 500ml - 40")</f>
        <v>NB - V - 3062 - CTY NAUY - NANO PROMAX (Vô gạo) (Nước nâu đen) - 500ml - 40</v>
      </c>
    </row>
    <row r="3811">
      <c r="A3811" s="86">
        <f>IFERROR(__xludf.DUMMYFUNCTION("""COMPUTED_VALUE"""),3809.0)</f>
        <v>3809</v>
      </c>
      <c r="B3811" s="87" t="str">
        <f>IFERROR(__xludf.DUMMYFUNCTION("""COMPUTED_VALUE"""),"Nhãn")</f>
        <v>Nhãn</v>
      </c>
      <c r="C3811" s="87" t="str">
        <f>IFERROR(__xludf.DUMMYFUNCTION("""COMPUTED_VALUE"""),"NHD3064")</f>
        <v>NHD3064</v>
      </c>
      <c r="D3811" s="87" t="str">
        <f>IFERROR(__xludf.DUMMYFUNCTION("""COMPUTED_VALUE"""),"[Nhãn] GC - IV - 3064 - KIM NGỌC - ORGANIC ĐẠM CÁ ITALY (Nước nâu đen) - 1L - 20")</f>
        <v>[Nhãn] GC - IV - 3064 - KIM NGỌC - ORGANIC ĐẠM CÁ ITALY (Nước nâu đen) - 1L - 20</v>
      </c>
      <c r="E3811" s="87" t="str">
        <f>IFERROR(__xludf.DUMMYFUNCTION("""COMPUTED_VALUE"""),"Hữu cơ SH Agro Organic Fertilizer 20")</f>
        <v>Hữu cơ SH Agro Organic Fertilizer 20</v>
      </c>
      <c r="F3811" s="87" t="str">
        <f>IFERROR(__xludf.DUMMYFUNCTION("""COMPUTED_VALUE"""),"HH3064")</f>
        <v>HH3064</v>
      </c>
      <c r="G3811" s="87" t="str">
        <f>IFERROR(__xludf.DUMMYFUNCTION("""COMPUTED_VALUE"""),"GC - IV - 3064 - KIM NGỌC - ORGANIC ĐẠM CÁ ITALY (Nước nâu đen) - 1L - 20")</f>
        <v>GC - IV - 3064 - KIM NGỌC - ORGANIC ĐẠM CÁ ITALY (Nước nâu đen) - 1L - 20</v>
      </c>
    </row>
    <row r="3812">
      <c r="A3812" s="86">
        <f>IFERROR(__xludf.DUMMYFUNCTION("""COMPUTED_VALUE"""),3810.0)</f>
        <v>3810</v>
      </c>
      <c r="B3812" s="87" t="str">
        <f>IFERROR(__xludf.DUMMYFUNCTION("""COMPUTED_VALUE"""),"Nhãn thùng")</f>
        <v>Nhãn thùng</v>
      </c>
      <c r="C3812" s="87" t="str">
        <f>IFERROR(__xludf.DUMMYFUNCTION("""COMPUTED_VALUE"""),"NDT3064")</f>
        <v>NDT3064</v>
      </c>
      <c r="D3812" s="87" t="str">
        <f>IFERROR(__xludf.DUMMYFUNCTION("""COMPUTED_VALUE"""),"[Nhãn thùng] GC - IV - 3064 - KIM NGỌC - ORGANIC ĐẠM CÁ ITALY (Nước nâu đen) - 1L - 20")</f>
        <v>[Nhãn thùng] GC - IV - 3064 - KIM NGỌC - ORGANIC ĐẠM CÁ ITALY (Nước nâu đen) - 1L - 20</v>
      </c>
      <c r="E3812" s="87" t="str">
        <f>IFERROR(__xludf.DUMMYFUNCTION("""COMPUTED_VALUE"""),"Hữu cơ SH Agro Organic Fertilizer 20")</f>
        <v>Hữu cơ SH Agro Organic Fertilizer 20</v>
      </c>
      <c r="F3812" s="87" t="str">
        <f>IFERROR(__xludf.DUMMYFUNCTION("""COMPUTED_VALUE"""),"HH3064")</f>
        <v>HH3064</v>
      </c>
      <c r="G3812" s="87" t="str">
        <f>IFERROR(__xludf.DUMMYFUNCTION("""COMPUTED_VALUE"""),"GC - IV - 3064 - KIM NGỌC - ORGANIC ĐẠM CÁ ITALY (Nước nâu đen) - 1L - 20")</f>
        <v>GC - IV - 3064 - KIM NGỌC - ORGANIC ĐẠM CÁ ITALY (Nước nâu đen) - 1L - 20</v>
      </c>
    </row>
    <row r="3813">
      <c r="A3813" s="86">
        <f>IFERROR(__xludf.DUMMYFUNCTION("""COMPUTED_VALUE"""),3811.0)</f>
        <v>3811</v>
      </c>
      <c r="B3813" s="87" t="str">
        <f>IFERROR(__xludf.DUMMYFUNCTION("""COMPUTED_VALUE"""),"Nhãn")</f>
        <v>Nhãn</v>
      </c>
      <c r="C3813" s="87" t="str">
        <f>IFERROR(__xludf.DUMMYFUNCTION("""COMPUTED_VALUE"""),"NHD3065")</f>
        <v>NHD3065</v>
      </c>
      <c r="D3813" s="87" t="str">
        <f>IFERROR(__xludf.DUMMYFUNCTION("""COMPUTED_VALUE"""),"[Nhãn] GC - IV - 3065 - KIM NGỌC - ORGANIC ĐẠM CÁ ITALY (Nước nâu đen) - 5L - 4")</f>
        <v>[Nhãn] GC - IV - 3065 - KIM NGỌC - ORGANIC ĐẠM CÁ ITALY (Nước nâu đen) - 5L - 4</v>
      </c>
      <c r="E3813" s="87" t="str">
        <f>IFERROR(__xludf.DUMMYFUNCTION("""COMPUTED_VALUE"""),"Hữu cơ SH Agro Organic Fertilizer 20")</f>
        <v>Hữu cơ SH Agro Organic Fertilizer 20</v>
      </c>
      <c r="F3813" s="87" t="str">
        <f>IFERROR(__xludf.DUMMYFUNCTION("""COMPUTED_VALUE"""),"HH3065")</f>
        <v>HH3065</v>
      </c>
      <c r="G3813" s="87" t="str">
        <f>IFERROR(__xludf.DUMMYFUNCTION("""COMPUTED_VALUE"""),"GC - IV - 3065 - KIM NGỌC - ORGANIC ĐẠM CÁ ITALY (Nước nâu đen) - 5L - 4")</f>
        <v>GC - IV - 3065 - KIM NGỌC - ORGANIC ĐẠM CÁ ITALY (Nước nâu đen) - 5L - 4</v>
      </c>
    </row>
    <row r="3814">
      <c r="A3814" s="86">
        <f>IFERROR(__xludf.DUMMYFUNCTION("""COMPUTED_VALUE"""),3812.0)</f>
        <v>3812</v>
      </c>
      <c r="B3814" s="87" t="str">
        <f>IFERROR(__xludf.DUMMYFUNCTION("""COMPUTED_VALUE"""),"Nhãn thùng")</f>
        <v>Nhãn thùng</v>
      </c>
      <c r="C3814" s="87" t="str">
        <f>IFERROR(__xludf.DUMMYFUNCTION("""COMPUTED_VALUE"""),"NDT3065")</f>
        <v>NDT3065</v>
      </c>
      <c r="D3814" s="87" t="str">
        <f>IFERROR(__xludf.DUMMYFUNCTION("""COMPUTED_VALUE"""),"[Nhãn thùng] GC - IV - 3065 - KIM NGỌC - ORGANIC ĐẠM CÁ ITALY (Nước nâu đen) - 5L - 4")</f>
        <v>[Nhãn thùng] GC - IV - 3065 - KIM NGỌC - ORGANIC ĐẠM CÁ ITALY (Nước nâu đen) - 5L - 4</v>
      </c>
      <c r="E3814" s="87" t="str">
        <f>IFERROR(__xludf.DUMMYFUNCTION("""COMPUTED_VALUE"""),"Hữu cơ SH Agro Organic Fertilizer 20")</f>
        <v>Hữu cơ SH Agro Organic Fertilizer 20</v>
      </c>
      <c r="F3814" s="87" t="str">
        <f>IFERROR(__xludf.DUMMYFUNCTION("""COMPUTED_VALUE"""),"HH3065")</f>
        <v>HH3065</v>
      </c>
      <c r="G3814" s="87" t="str">
        <f>IFERROR(__xludf.DUMMYFUNCTION("""COMPUTED_VALUE"""),"GC - IV - 3065 - KIM NGỌC - ORGANIC ĐẠM CÁ ITALY (Nước nâu đen) - 5L - 4")</f>
        <v>GC - IV - 3065 - KIM NGỌC - ORGANIC ĐẠM CÁ ITALY (Nước nâu đen) - 5L - 4</v>
      </c>
    </row>
    <row r="3815">
      <c r="A3815" s="86">
        <f>IFERROR(__xludf.DUMMYFUNCTION("""COMPUTED_VALUE"""),3813.0)</f>
        <v>3813</v>
      </c>
      <c r="B3815" s="87" t="str">
        <f>IFERROR(__xludf.DUMMYFUNCTION("""COMPUTED_VALUE"""),"[Nhãn]")</f>
        <v>[Nhãn]</v>
      </c>
      <c r="C3815" s="87" t="str">
        <f>IFERROR(__xludf.DUMMYFUNCTION("""COMPUTED_VALUE"""),"NHG3066")</f>
        <v>NHG3066</v>
      </c>
      <c r="D3815" s="87" t="str">
        <f>IFERROR(__xludf.DUMMYFUNCTION("""COMPUTED_VALUE"""),"[Nhãn] NB - V - 3066 - NÔNG DƯỢC THỤY SĨ - LASH THUYSI (Nước cam sữa) - 1L - 20")</f>
        <v>[Nhãn] NB - V - 3066 - NÔNG DƯỢC THỤY SĨ - LASH THUYSI (Nước cam sữa) - 1L - 20</v>
      </c>
      <c r="E3815" s="87" t="str">
        <f>IFERROR(__xludf.DUMMYFUNCTION("""COMPUTED_VALUE"""),"AMILAN 300SC")</f>
        <v>AMILAN 300SC</v>
      </c>
      <c r="F3815" s="87" t="str">
        <f>IFERROR(__xludf.DUMMYFUNCTION("""COMPUTED_VALUE"""),"HH3066")</f>
        <v>HH3066</v>
      </c>
      <c r="G3815" s="87" t="str">
        <f>IFERROR(__xludf.DUMMYFUNCTION("""COMPUTED_VALUE"""),"NB - V - 3066 - NÔNG DƯỢC THỤY SĨ - LASH THUYSI (Nước cam sữa) - 1L - 20")</f>
        <v>NB - V - 3066 - NÔNG DƯỢC THỤY SĨ - LASH THUYSI (Nước cam sữa) - 1L - 20</v>
      </c>
    </row>
    <row r="3816">
      <c r="A3816" s="86">
        <f>IFERROR(__xludf.DUMMYFUNCTION("""COMPUTED_VALUE"""),3814.0)</f>
        <v>3814</v>
      </c>
      <c r="B3816" s="87" t="str">
        <f>IFERROR(__xludf.DUMMYFUNCTION("""COMPUTED_VALUE"""),"Nhãn")</f>
        <v>Nhãn</v>
      </c>
      <c r="C3816" s="87" t="str">
        <f>IFERROR(__xludf.DUMMYFUNCTION("""COMPUTED_VALUE"""),"NHG3067")</f>
        <v>NHG3067</v>
      </c>
      <c r="D3816" s="87" t="str">
        <f>IFERROR(__xludf.DUMMYFUNCTION("""COMPUTED_VALUE"""),"[Nhãn] GC - IV - 3067 - CTY TÂN LỘC PHÁT - CHẶN ĐỌT SẦU RIÊNG (Nước nâu đen) - 1L - 20")</f>
        <v>[Nhãn] GC - IV - 3067 - CTY TÂN LỘC PHÁT - CHẶN ĐỌT SẦU RIÊNG (Nước nâu đen) - 1L - 20</v>
      </c>
      <c r="E3816" s="87" t="str">
        <f>IFERROR(__xludf.DUMMYFUNCTION("""COMPUTED_VALUE"""),"Hữu cơ SH Agro Organic Fertilizer 20")</f>
        <v>Hữu cơ SH Agro Organic Fertilizer 20</v>
      </c>
      <c r="F3816" s="87" t="str">
        <f>IFERROR(__xludf.DUMMYFUNCTION("""COMPUTED_VALUE"""),"HH3067")</f>
        <v>HH3067</v>
      </c>
      <c r="G3816" s="87" t="str">
        <f>IFERROR(__xludf.DUMMYFUNCTION("""COMPUTED_VALUE"""),"GC - IV - 3067 - CTY TÂN LỘC PHÁT - CHẶN ĐỌT SẦU RIÊNG (Nước nâu đen) - 1L - 20")</f>
        <v>GC - IV - 3067 - CTY TÂN LỘC PHÁT - CHẶN ĐỌT SẦU RIÊNG (Nước nâu đen) - 1L - 20</v>
      </c>
    </row>
    <row r="3817">
      <c r="A3817" s="86">
        <f>IFERROR(__xludf.DUMMYFUNCTION("""COMPUTED_VALUE"""),3815.0)</f>
        <v>3815</v>
      </c>
      <c r="B3817" s="87" t="str">
        <f>IFERROR(__xludf.DUMMYFUNCTION("""COMPUTED_VALUE"""),"Nhãn")</f>
        <v>Nhãn</v>
      </c>
      <c r="C3817" s="87" t="str">
        <f>IFERROR(__xludf.DUMMYFUNCTION("""COMPUTED_VALUE"""),"NHG3069")</f>
        <v>NHG3069</v>
      </c>
      <c r="D3817" s="87" t="str">
        <f>IFERROR(__xludf.DUMMYFUNCTION("""COMPUTED_VALUE"""),"[Nhãn] GC - IV - 3069 - CTY USAFARM - FUSEMIN (Nước nâu đen) - 500ml - 40")</f>
        <v>[Nhãn] GC - IV - 3069 - CTY USAFARM - FUSEMIN (Nước nâu đen) - 500ml - 40</v>
      </c>
      <c r="E3817" s="87" t="str">
        <f>IFERROR(__xludf.DUMMYFUNCTION("""COMPUTED_VALUE"""),"Hữu cơ FUSEMIN COMBI+")</f>
        <v>Hữu cơ FUSEMIN COMBI+</v>
      </c>
      <c r="F3817" s="87" t="str">
        <f>IFERROR(__xludf.DUMMYFUNCTION("""COMPUTED_VALUE"""),"HH3069")</f>
        <v>HH3069</v>
      </c>
      <c r="G3817" s="87" t="str">
        <f>IFERROR(__xludf.DUMMYFUNCTION("""COMPUTED_VALUE"""),"GC - IV - 3069 - CTY USAFARM - FUSEMIN (Nước nâu đen) - 500ml - 40")</f>
        <v>GC - IV - 3069 - CTY USAFARM - FUSEMIN (Nước nâu đen) - 500ml - 40</v>
      </c>
    </row>
    <row r="3818">
      <c r="A3818" s="86">
        <f>IFERROR(__xludf.DUMMYFUNCTION("""COMPUTED_VALUE"""),3816.0)</f>
        <v>3816</v>
      </c>
      <c r="B3818" s="87" t="str">
        <f>IFERROR(__xludf.DUMMYFUNCTION("""COMPUTED_VALUE"""),"Nhãn")</f>
        <v>Nhãn</v>
      </c>
      <c r="C3818" s="87" t="str">
        <f>IFERROR(__xludf.DUMMYFUNCTION("""COMPUTED_VALUE"""),"NHD3071")</f>
        <v>NHD3071</v>
      </c>
      <c r="D3818" s="87" t="str">
        <f>IFERROR(__xludf.DUMMYFUNCTION("""COMPUTED_VALUE"""),"[Nhãn] GC - IV - 3071 - Kim Ngọc - ĐẠM CÁ ITALY (Nước nâu đen) - 5L - 4")</f>
        <v>[Nhãn] GC - IV - 3071 - Kim Ngọc - ĐẠM CÁ ITALY (Nước nâu đen) - 5L - 4</v>
      </c>
      <c r="E3818" s="87" t="str">
        <f>IFERROR(__xludf.DUMMYFUNCTION("""COMPUTED_VALUE"""),"Hữu cơ SH Agro Organic Fertilizer 20")</f>
        <v>Hữu cơ SH Agro Organic Fertilizer 20</v>
      </c>
      <c r="F3818" s="87" t="str">
        <f>IFERROR(__xludf.DUMMYFUNCTION("""COMPUTED_VALUE"""),"HH3071")</f>
        <v>HH3071</v>
      </c>
      <c r="G3818" s="87" t="str">
        <f>IFERROR(__xludf.DUMMYFUNCTION("""COMPUTED_VALUE"""),"GC - IV - 3071 - Kim Ngọc - ĐẠM CÁ ITALY (Nước nâu đen) - 5L - 4")</f>
        <v>GC - IV - 3071 - Kim Ngọc - ĐẠM CÁ ITALY (Nước nâu đen) - 5L - 4</v>
      </c>
    </row>
    <row r="3819">
      <c r="A3819" s="86">
        <f>IFERROR(__xludf.DUMMYFUNCTION("""COMPUTED_VALUE"""),3817.0)</f>
        <v>3817</v>
      </c>
      <c r="B3819" s="87" t="str">
        <f>IFERROR(__xludf.DUMMYFUNCTION("""COMPUTED_VALUE"""),"Nhãn thùng")</f>
        <v>Nhãn thùng</v>
      </c>
      <c r="C3819" s="87" t="str">
        <f>IFERROR(__xludf.DUMMYFUNCTION("""COMPUTED_VALUE"""),"NDT3071")</f>
        <v>NDT3071</v>
      </c>
      <c r="D3819" s="87" t="str">
        <f>IFERROR(__xludf.DUMMYFUNCTION("""COMPUTED_VALUE"""),"[Nhãn thùng] GC - IV - 3071 - Kim Ngọc - ĐẠM CÁ ITALY (Nước nâu đen) - 5L - 4")</f>
        <v>[Nhãn thùng] GC - IV - 3071 - Kim Ngọc - ĐẠM CÁ ITALY (Nước nâu đen) - 5L - 4</v>
      </c>
      <c r="E3819" s="87" t="str">
        <f>IFERROR(__xludf.DUMMYFUNCTION("""COMPUTED_VALUE"""),"Hữu cơ SH Agro Organic Fertilizer 20")</f>
        <v>Hữu cơ SH Agro Organic Fertilizer 20</v>
      </c>
      <c r="F3819" s="87" t="str">
        <f>IFERROR(__xludf.DUMMYFUNCTION("""COMPUTED_VALUE"""),"HH3071")</f>
        <v>HH3071</v>
      </c>
      <c r="G3819" s="87" t="str">
        <f>IFERROR(__xludf.DUMMYFUNCTION("""COMPUTED_VALUE"""),"GC - IV - 3071 - Kim Ngọc - ĐẠM CÁ ITALY (Nước nâu đen) - 5L - 4")</f>
        <v>GC - IV - 3071 - Kim Ngọc - ĐẠM CÁ ITALY (Nước nâu đen) - 5L - 4</v>
      </c>
    </row>
    <row r="3820">
      <c r="A3820" s="86">
        <f>IFERROR(__xludf.DUMMYFUNCTION("""COMPUTED_VALUE"""),3818.0)</f>
        <v>3818</v>
      </c>
      <c r="B3820" s="87" t="str">
        <f>IFERROR(__xludf.DUMMYFUNCTION("""COMPUTED_VALUE"""),"Nhãn")</f>
        <v>Nhãn</v>
      </c>
      <c r="C3820" s="87" t="str">
        <f>IFERROR(__xludf.DUMMYFUNCTION("""COMPUTED_VALUE"""),"NTN3072")</f>
        <v>NTN3072</v>
      </c>
      <c r="D3820" s="87" t="str">
        <f>IFERROR(__xludf.DUMMYFUNCTION("""COMPUTED_VALUE"""),"[Nhãn] GC - IV - 3072 - Agritech - RẦY MAX (Dạng cốm màu trắng ngà) - 100gr - 100")</f>
        <v>[Nhãn] GC - IV - 3072 - Agritech - RẦY MAX (Dạng cốm màu trắng ngà) - 100gr - 100</v>
      </c>
      <c r="E3820" s="87" t="str">
        <f>IFERROR(__xludf.DUMMYFUNCTION("""COMPUTED_VALUE"""),"NOFARA 35WG")</f>
        <v>NOFARA 35WG</v>
      </c>
      <c r="F3820" s="87" t="str">
        <f>IFERROR(__xludf.DUMMYFUNCTION("""COMPUTED_VALUE"""),"HH3072")</f>
        <v>HH3072</v>
      </c>
      <c r="G3820" s="87" t="str">
        <f>IFERROR(__xludf.DUMMYFUNCTION("""COMPUTED_VALUE"""),"GC - IV - 3072 - Agritech - RẦY MAX (Dạng cốm màu trắng ngà) - 100gr - 100")</f>
        <v>GC - IV - 3072 - Agritech - RẦY MAX (Dạng cốm màu trắng ngà) - 100gr - 100</v>
      </c>
    </row>
    <row r="3821">
      <c r="A3821" s="86">
        <f>IFERROR(__xludf.DUMMYFUNCTION("""COMPUTED_VALUE"""),3819.0)</f>
        <v>3819</v>
      </c>
      <c r="B3821" s="87" t="str">
        <f>IFERROR(__xludf.DUMMYFUNCTION("""COMPUTED_VALUE"""),"Nhãn thùng")</f>
        <v>Nhãn thùng</v>
      </c>
      <c r="C3821" s="87" t="str">
        <f>IFERROR(__xludf.DUMMYFUNCTION("""COMPUTED_VALUE"""),"NDT3072")</f>
        <v>NDT3072</v>
      </c>
      <c r="D3821" s="87" t="str">
        <f>IFERROR(__xludf.DUMMYFUNCTION("""COMPUTED_VALUE"""),"[Nhãn thùng] GC - IV - 3072 - Agritech - RẦY MAX (Dạng cốm màu trắng ngà) - 100gr - 100")</f>
        <v>[Nhãn thùng] GC - IV - 3072 - Agritech - RẦY MAX (Dạng cốm màu trắng ngà) - 100gr - 100</v>
      </c>
      <c r="E3821" s="87" t="str">
        <f>IFERROR(__xludf.DUMMYFUNCTION("""COMPUTED_VALUE"""),"NOFARA 35WG")</f>
        <v>NOFARA 35WG</v>
      </c>
      <c r="F3821" s="87" t="str">
        <f>IFERROR(__xludf.DUMMYFUNCTION("""COMPUTED_VALUE"""),"HH3072")</f>
        <v>HH3072</v>
      </c>
      <c r="G3821" s="87" t="str">
        <f>IFERROR(__xludf.DUMMYFUNCTION("""COMPUTED_VALUE"""),"GC - IV - 3072 - Agritech - RẦY MAX (Dạng cốm màu trắng ngà) - 100gr - 100")</f>
        <v>GC - IV - 3072 - Agritech - RẦY MAX (Dạng cốm màu trắng ngà) - 100gr - 100</v>
      </c>
    </row>
    <row r="3822">
      <c r="A3822" s="86">
        <f>IFERROR(__xludf.DUMMYFUNCTION("""COMPUTED_VALUE"""),3820.0)</f>
        <v>3820</v>
      </c>
      <c r="B3822" s="87" t="str">
        <f>IFERROR(__xludf.DUMMYFUNCTION("""COMPUTED_VALUE"""),"Nhãn")</f>
        <v>Nhãn</v>
      </c>
      <c r="C3822" s="87" t="str">
        <f>IFERROR(__xludf.DUMMYFUNCTION("""COMPUTED_VALUE"""),"NTN3073")</f>
        <v>NTN3073</v>
      </c>
      <c r="D3822" s="87" t="str">
        <f>IFERROR(__xludf.DUMMYFUNCTION("""COMPUTED_VALUE"""),"[Nhãn] GC - IV - 3073 - GNH - Sạch khuẩn 100X (bột trắng) - 25gr - 200")</f>
        <v>[Nhãn] GC - IV - 3073 - GNH - Sạch khuẩn 100X (bột trắng) - 25gr - 200</v>
      </c>
      <c r="E3822" s="87" t="str">
        <f>IFERROR(__xludf.DUMMYFUNCTION("""COMPUTED_VALUE"""),"Oxycin 100WP")</f>
        <v>Oxycin 100WP</v>
      </c>
      <c r="F3822" s="87" t="str">
        <f>IFERROR(__xludf.DUMMYFUNCTION("""COMPUTED_VALUE"""),"HH3073")</f>
        <v>HH3073</v>
      </c>
      <c r="G3822" s="87" t="str">
        <f>IFERROR(__xludf.DUMMYFUNCTION("""COMPUTED_VALUE"""),"GC - IV - 3073 - GNH - Sạch khuẩn 100X (bột trắng) - 25gr - 200")</f>
        <v>GC - IV - 3073 - GNH - Sạch khuẩn 100X (bột trắng) - 25gr - 200</v>
      </c>
    </row>
    <row r="3823">
      <c r="A3823" s="86">
        <f>IFERROR(__xludf.DUMMYFUNCTION("""COMPUTED_VALUE"""),3821.0)</f>
        <v>3821</v>
      </c>
      <c r="B3823" s="87" t="str">
        <f>IFERROR(__xludf.DUMMYFUNCTION("""COMPUTED_VALUE"""),"Nhãn thùng")</f>
        <v>Nhãn thùng</v>
      </c>
      <c r="C3823" s="87" t="str">
        <f>IFERROR(__xludf.DUMMYFUNCTION("""COMPUTED_VALUE"""),"NDT3073")</f>
        <v>NDT3073</v>
      </c>
      <c r="D3823" s="87" t="str">
        <f>IFERROR(__xludf.DUMMYFUNCTION("""COMPUTED_VALUE"""),"[Nhãn thùng] GC - IV - 3073 - GNH - Sạch khuẩn 100X (bột trắng) - 25gr - 200")</f>
        <v>[Nhãn thùng] GC - IV - 3073 - GNH - Sạch khuẩn 100X (bột trắng) - 25gr - 200</v>
      </c>
      <c r="E3823" s="87" t="str">
        <f>IFERROR(__xludf.DUMMYFUNCTION("""COMPUTED_VALUE"""),"Oxycin 100WP")</f>
        <v>Oxycin 100WP</v>
      </c>
      <c r="F3823" s="87" t="str">
        <f>IFERROR(__xludf.DUMMYFUNCTION("""COMPUTED_VALUE"""),"HH3073")</f>
        <v>HH3073</v>
      </c>
      <c r="G3823" s="87" t="str">
        <f>IFERROR(__xludf.DUMMYFUNCTION("""COMPUTED_VALUE"""),"GC - IV - 3073 - GNH - Sạch khuẩn 100X (bột trắng) - 25gr - 200")</f>
        <v>GC - IV - 3073 - GNH - Sạch khuẩn 100X (bột trắng) - 25gr - 200</v>
      </c>
    </row>
    <row r="3824">
      <c r="A3824" s="86">
        <f>IFERROR(__xludf.DUMMYFUNCTION("""COMPUTED_VALUE"""),3822.0)</f>
        <v>3822</v>
      </c>
      <c r="B3824" s="87" t="str">
        <f>IFERROR(__xludf.DUMMYFUNCTION("""COMPUTED_VALUE"""),"Nhãn")</f>
        <v>Nhãn</v>
      </c>
      <c r="C3824" s="87" t="str">
        <f>IFERROR(__xludf.DUMMYFUNCTION("""COMPUTED_VALUE"""),"NTN3074")</f>
        <v>NTN3074</v>
      </c>
      <c r="D3824" s="87" t="str">
        <f>IFERROR(__xludf.DUMMYFUNCTION("""COMPUTED_VALUE"""),"[Nhãn] GC - IV - 3074 - CTY BAVINA - FORTAZEB 72WP (Bột vàng) - 100gr - 100")</f>
        <v>[Nhãn] GC - IV - 3074 - CTY BAVINA - FORTAZEB 72WP (Bột vàng) - 100gr - 100</v>
      </c>
      <c r="E3824" s="87" t="str">
        <f>IFERROR(__xludf.DUMMYFUNCTION("""COMPUTED_VALUE"""),"FORTAZEB 72WP")</f>
        <v>FORTAZEB 72WP</v>
      </c>
      <c r="F3824" s="87" t="str">
        <f>IFERROR(__xludf.DUMMYFUNCTION("""COMPUTED_VALUE"""),"HH3074")</f>
        <v>HH3074</v>
      </c>
      <c r="G3824" s="87" t="str">
        <f>IFERROR(__xludf.DUMMYFUNCTION("""COMPUTED_VALUE"""),"GC - IV - 3074 - CTY BAVINA - FORTAZEB 72WP (Bột vàng) - 100gr - 100")</f>
        <v>GC - IV - 3074 - CTY BAVINA - FORTAZEB 72WP (Bột vàng) - 100gr - 100</v>
      </c>
    </row>
    <row r="3825">
      <c r="A3825" s="86">
        <f>IFERROR(__xludf.DUMMYFUNCTION("""COMPUTED_VALUE"""),3823.0)</f>
        <v>3823</v>
      </c>
      <c r="B3825" s="87" t="str">
        <f>IFERROR(__xludf.DUMMYFUNCTION("""COMPUTED_VALUE"""),"Nhãn thùng")</f>
        <v>Nhãn thùng</v>
      </c>
      <c r="C3825" s="87" t="str">
        <f>IFERROR(__xludf.DUMMYFUNCTION("""COMPUTED_VALUE"""),"NDT3074")</f>
        <v>NDT3074</v>
      </c>
      <c r="D3825" s="87" t="str">
        <f>IFERROR(__xludf.DUMMYFUNCTION("""COMPUTED_VALUE"""),"[Nhãn thùng] GC - IV - 3074 - CTY BAVINA - FORTAZEB 72WP (Bột vàng) - 100gr - 100")</f>
        <v>[Nhãn thùng] GC - IV - 3074 - CTY BAVINA - FORTAZEB 72WP (Bột vàng) - 100gr - 100</v>
      </c>
      <c r="E3825" s="87" t="str">
        <f>IFERROR(__xludf.DUMMYFUNCTION("""COMPUTED_VALUE"""),"FORTAZEB 72WP")</f>
        <v>FORTAZEB 72WP</v>
      </c>
      <c r="F3825" s="87" t="str">
        <f>IFERROR(__xludf.DUMMYFUNCTION("""COMPUTED_VALUE"""),"HH3074")</f>
        <v>HH3074</v>
      </c>
      <c r="G3825" s="87" t="str">
        <f>IFERROR(__xludf.DUMMYFUNCTION("""COMPUTED_VALUE"""),"GC - IV - 3074 - CTY BAVINA - FORTAZEB 72WP (Bột vàng) - 100gr - 100")</f>
        <v>GC - IV - 3074 - CTY BAVINA - FORTAZEB 72WP (Bột vàng) - 100gr - 100</v>
      </c>
    </row>
    <row r="3826">
      <c r="A3826" s="86">
        <f>IFERROR(__xludf.DUMMYFUNCTION("""COMPUTED_VALUE"""),3824.0)</f>
        <v>3824</v>
      </c>
      <c r="B3826" s="87" t="str">
        <f>IFERROR(__xludf.DUMMYFUNCTION("""COMPUTED_VALUE"""),"Nhãn")</f>
        <v>Nhãn</v>
      </c>
      <c r="C3826" s="87" t="str">
        <f>IFERROR(__xludf.DUMMYFUNCTION("""COMPUTED_VALUE"""),"NHG3075")</f>
        <v>NHG3075</v>
      </c>
      <c r="D3826" s="87" t="str">
        <f>IFERROR(__xludf.DUMMYFUNCTION("""COMPUTED_VALUE"""),"[Nhãn] DR.XANH - VIII - 3075 - DR.STOPLA (Nước nâu đen) - 1L - 20")</f>
        <v>[Nhãn] DR.XANH - VIII - 3075 - DR.STOPLA (Nước nâu đen) - 1L - 20</v>
      </c>
      <c r="E3826" s="87" t="str">
        <f>IFERROR(__xludf.DUMMYFUNCTION("""COMPUTED_VALUE"""),"Hữu cơ SH Agro Organic Fertilizer 20")</f>
        <v>Hữu cơ SH Agro Organic Fertilizer 20</v>
      </c>
      <c r="F3826" s="87" t="str">
        <f>IFERROR(__xludf.DUMMYFUNCTION("""COMPUTED_VALUE"""),"HH3075")</f>
        <v>HH3075</v>
      </c>
      <c r="G3826" s="87" t="str">
        <f>IFERROR(__xludf.DUMMYFUNCTION("""COMPUTED_VALUE"""),"DR.XANH - VIII - 3075 - DR.STOPLA (Nước nâu đen) - 1L - 20")</f>
        <v>DR.XANH - VIII - 3075 - DR.STOPLA (Nước nâu đen) - 1L - 20</v>
      </c>
    </row>
    <row r="3827">
      <c r="A3827" s="86">
        <f>IFERROR(__xludf.DUMMYFUNCTION("""COMPUTED_VALUE"""),3825.0)</f>
        <v>3825</v>
      </c>
      <c r="B3827" s="87" t="str">
        <f>IFERROR(__xludf.DUMMYFUNCTION("""COMPUTED_VALUE"""),"Nhãn")</f>
        <v>Nhãn</v>
      </c>
      <c r="C3827" s="87" t="str">
        <f>IFERROR(__xludf.DUMMYFUNCTION("""COMPUTED_VALUE"""),"NHD3075")</f>
        <v>NHD3075</v>
      </c>
      <c r="D3827" s="87" t="str">
        <f>IFERROR(__xludf.DUMMYFUNCTION("""COMPUTED_VALUE"""),"[Nhãn] DR.XANH - VIII - 3075 - DR.STOPLA (Nước nâu đen) - 1L - 20")</f>
        <v>[Nhãn] DR.XANH - VIII - 3075 - DR.STOPLA (Nước nâu đen) - 1L - 20</v>
      </c>
      <c r="E3827" s="87" t="str">
        <f>IFERROR(__xludf.DUMMYFUNCTION("""COMPUTED_VALUE"""),"Hữu cơ SH Agro Organic Fertilizer 20")</f>
        <v>Hữu cơ SH Agro Organic Fertilizer 20</v>
      </c>
      <c r="F3827" s="87" t="str">
        <f>IFERROR(__xludf.DUMMYFUNCTION("""COMPUTED_VALUE"""),"HH3075")</f>
        <v>HH3075</v>
      </c>
      <c r="G3827" s="87" t="str">
        <f>IFERROR(__xludf.DUMMYFUNCTION("""COMPUTED_VALUE"""),"DR.XANH - VIII - 3075 - DR.STOPLA (Nước nâu đen) - 1L - 20")</f>
        <v>DR.XANH - VIII - 3075 - DR.STOPLA (Nước nâu đen) - 1L - 20</v>
      </c>
    </row>
    <row r="3828">
      <c r="A3828" s="86">
        <f>IFERROR(__xludf.DUMMYFUNCTION("""COMPUTED_VALUE"""),3826.0)</f>
        <v>3826</v>
      </c>
      <c r="B3828" s="87" t="str">
        <f>IFERROR(__xludf.DUMMYFUNCTION("""COMPUTED_VALUE"""),"Nhãn")</f>
        <v>Nhãn</v>
      </c>
      <c r="C3828" s="87" t="str">
        <f>IFERROR(__xludf.DUMMYFUNCTION("""COMPUTED_VALUE"""),"NHG3076")</f>
        <v>NHG3076</v>
      </c>
      <c r="D3828" s="87" t="str">
        <f>IFERROR(__xludf.DUMMYFUNCTION("""COMPUTED_VALUE"""),"[Nhãn] DR.XANH - VIII - 3076 - DR.CALBOR (Nước trắng ngà) - 500ml - 40")</f>
        <v>[Nhãn] DR.XANH - VIII - 3076 - DR.CALBOR (Nước trắng ngà) - 500ml - 40</v>
      </c>
      <c r="E3828" s="87" t="str">
        <f>IFERROR(__xludf.DUMMYFUNCTION("""COMPUTED_VALUE"""),"Vi lượng AGAMA-CANXI BO")</f>
        <v>Vi lượng AGAMA-CANXI BO</v>
      </c>
      <c r="F3828" s="87" t="str">
        <f>IFERROR(__xludf.DUMMYFUNCTION("""COMPUTED_VALUE"""),"HH3076")</f>
        <v>HH3076</v>
      </c>
      <c r="G3828" s="87" t="str">
        <f>IFERROR(__xludf.DUMMYFUNCTION("""COMPUTED_VALUE"""),"DR.XANH - VIII - 3076 - DR.CALBOR (Nước trắng ngà) - 500ml - 40")</f>
        <v>DR.XANH - VIII - 3076 - DR.CALBOR (Nước trắng ngà) - 500ml - 40</v>
      </c>
    </row>
    <row r="3829">
      <c r="A3829" s="86">
        <f>IFERROR(__xludf.DUMMYFUNCTION("""COMPUTED_VALUE"""),3827.0)</f>
        <v>3827</v>
      </c>
      <c r="B3829" s="87" t="str">
        <f>IFERROR(__xludf.DUMMYFUNCTION("""COMPUTED_VALUE"""),"Nhãn")</f>
        <v>Nhãn</v>
      </c>
      <c r="C3829" s="87" t="str">
        <f>IFERROR(__xludf.DUMMYFUNCTION("""COMPUTED_VALUE"""),"NHD3076")</f>
        <v>NHD3076</v>
      </c>
      <c r="D3829" s="87" t="str">
        <f>IFERROR(__xludf.DUMMYFUNCTION("""COMPUTED_VALUE"""),"[Nhãn] DR.XANH - VIII - 3076 - DR.CALBOR (Nước trắng ngà) - 500ml - 40")</f>
        <v>[Nhãn] DR.XANH - VIII - 3076 - DR.CALBOR (Nước trắng ngà) - 500ml - 40</v>
      </c>
      <c r="E3829" s="87" t="str">
        <f>IFERROR(__xludf.DUMMYFUNCTION("""COMPUTED_VALUE"""),"Vi lượng AGAMA-CANXI BO")</f>
        <v>Vi lượng AGAMA-CANXI BO</v>
      </c>
      <c r="F3829" s="87" t="str">
        <f>IFERROR(__xludf.DUMMYFUNCTION("""COMPUTED_VALUE"""),"HH3076")</f>
        <v>HH3076</v>
      </c>
      <c r="G3829" s="87" t="str">
        <f>IFERROR(__xludf.DUMMYFUNCTION("""COMPUTED_VALUE"""),"DR.XANH - VIII - 3076 - DR.CALBOR (Nước trắng ngà) - 500ml - 40")</f>
        <v>DR.XANH - VIII - 3076 - DR.CALBOR (Nước trắng ngà) - 500ml - 40</v>
      </c>
    </row>
    <row r="3830">
      <c r="A3830" s="86">
        <f>IFERROR(__xludf.DUMMYFUNCTION("""COMPUTED_VALUE"""),3828.0)</f>
        <v>3828</v>
      </c>
      <c r="B3830" s="87" t="str">
        <f>IFERROR(__xludf.DUMMYFUNCTION("""COMPUTED_VALUE"""),"Nhãn")</f>
        <v>Nhãn</v>
      </c>
      <c r="C3830" s="87" t="str">
        <f>IFERROR(__xludf.DUMMYFUNCTION("""COMPUTED_VALUE"""),"NHG3077")</f>
        <v>NHG3077</v>
      </c>
      <c r="D3830" s="87" t="str">
        <f>IFERROR(__xludf.DUMMYFUNCTION("""COMPUTED_VALUE"""),"[Nhãn] DR.XANH - VIII - 3077 - DR.XTRESS  (Nước nâu đen)  - 500ml - 40")</f>
        <v>[Nhãn] DR.XANH - VIII - 3077 - DR.XTRESS  (Nước nâu đen)  - 500ml - 40</v>
      </c>
      <c r="E3830" s="87" t="str">
        <f>IFERROR(__xludf.DUMMYFUNCTION("""COMPUTED_VALUE"""),"Hữu cơ Organic BM Gold  FW")</f>
        <v>Hữu cơ Organic BM Gold  FW</v>
      </c>
      <c r="F3830" s="87" t="str">
        <f>IFERROR(__xludf.DUMMYFUNCTION("""COMPUTED_VALUE"""),"HH3077")</f>
        <v>HH3077</v>
      </c>
      <c r="G3830" s="87" t="str">
        <f>IFERROR(__xludf.DUMMYFUNCTION("""COMPUTED_VALUE"""),"DR.XANH - VIII - 3077 - DR.XTRESS  (Nước nâu đen)  - 500ml - 40")</f>
        <v>DR.XANH - VIII - 3077 - DR.XTRESS  (Nước nâu đen)  - 500ml - 40</v>
      </c>
    </row>
    <row r="3831">
      <c r="A3831" s="86">
        <f>IFERROR(__xludf.DUMMYFUNCTION("""COMPUTED_VALUE"""),3829.0)</f>
        <v>3829</v>
      </c>
      <c r="B3831" s="87" t="str">
        <f>IFERROR(__xludf.DUMMYFUNCTION("""COMPUTED_VALUE"""),"Nhãn")</f>
        <v>Nhãn</v>
      </c>
      <c r="C3831" s="87" t="str">
        <f>IFERROR(__xludf.DUMMYFUNCTION("""COMPUTED_VALUE"""),"NHD3077")</f>
        <v>NHD3077</v>
      </c>
      <c r="D3831" s="87" t="str">
        <f>IFERROR(__xludf.DUMMYFUNCTION("""COMPUTED_VALUE"""),"[Nhãn] DR.XANH - VIII - 3077 - DR.XTRESS  (Nước nâu đen)  - 500ml - 40")</f>
        <v>[Nhãn] DR.XANH - VIII - 3077 - DR.XTRESS  (Nước nâu đen)  - 500ml - 40</v>
      </c>
      <c r="E3831" s="87" t="str">
        <f>IFERROR(__xludf.DUMMYFUNCTION("""COMPUTED_VALUE"""),"Hữu cơ Organic BM Gold  FW")</f>
        <v>Hữu cơ Organic BM Gold  FW</v>
      </c>
      <c r="F3831" s="87" t="str">
        <f>IFERROR(__xludf.DUMMYFUNCTION("""COMPUTED_VALUE"""),"HH3077")</f>
        <v>HH3077</v>
      </c>
      <c r="G3831" s="87" t="str">
        <f>IFERROR(__xludf.DUMMYFUNCTION("""COMPUTED_VALUE"""),"DR.XANH - VIII - 3077 - DR.XTRESS  (Nước nâu đen)  - 500ml - 40")</f>
        <v>DR.XANH - VIII - 3077 - DR.XTRESS  (Nước nâu đen)  - 500ml - 40</v>
      </c>
    </row>
    <row r="3832">
      <c r="A3832" s="86">
        <f>IFERROR(__xludf.DUMMYFUNCTION("""COMPUTED_VALUE"""),3830.0)</f>
        <v>3830</v>
      </c>
      <c r="B3832" s="87" t="str">
        <f>IFERROR(__xludf.DUMMYFUNCTION("""COMPUTED_VALUE"""),"Nhãn")</f>
        <v>Nhãn</v>
      </c>
      <c r="C3832" s="87" t="str">
        <f>IFERROR(__xludf.DUMMYFUNCTION("""COMPUTED_VALUE"""),"NHG3078")</f>
        <v>NHG3078</v>
      </c>
      <c r="D3832" s="87" t="str">
        <f>IFERROR(__xludf.DUMMYFUNCTION("""COMPUTED_VALUE"""),"[Nhãn] DR.XANH - VIII - 3078 - DR.AB MAGSI  (Nước nâu đen)  - 500ml - 40")</f>
        <v>[Nhãn] DR.XANH - VIII - 3078 - DR.AB MAGSI  (Nước nâu đen)  - 500ml - 40</v>
      </c>
      <c r="E3832" s="87" t="str">
        <f>IFERROR(__xludf.DUMMYFUNCTION("""COMPUTED_VALUE"""),"Hữu cơ SH Agro Organic Fertilizer 20")</f>
        <v>Hữu cơ SH Agro Organic Fertilizer 20</v>
      </c>
      <c r="F3832" s="87" t="str">
        <f>IFERROR(__xludf.DUMMYFUNCTION("""COMPUTED_VALUE"""),"HH3078")</f>
        <v>HH3078</v>
      </c>
      <c r="G3832" s="87" t="str">
        <f>IFERROR(__xludf.DUMMYFUNCTION("""COMPUTED_VALUE"""),"DR.XANH - VIII - 3078 - DR.AB MAGSI  (Nước nâu đen)  - 500ml - 40")</f>
        <v>DR.XANH - VIII - 3078 - DR.AB MAGSI  (Nước nâu đen)  - 500ml - 40</v>
      </c>
    </row>
    <row r="3833">
      <c r="A3833" s="86">
        <f>IFERROR(__xludf.DUMMYFUNCTION("""COMPUTED_VALUE"""),3831.0)</f>
        <v>3831</v>
      </c>
      <c r="B3833" s="87" t="str">
        <f>IFERROR(__xludf.DUMMYFUNCTION("""COMPUTED_VALUE"""),"Nhãn")</f>
        <v>Nhãn</v>
      </c>
      <c r="C3833" s="87" t="str">
        <f>IFERROR(__xludf.DUMMYFUNCTION("""COMPUTED_VALUE"""),"NHD3078")</f>
        <v>NHD3078</v>
      </c>
      <c r="D3833" s="87" t="str">
        <f>IFERROR(__xludf.DUMMYFUNCTION("""COMPUTED_VALUE"""),"[Nhãn] DR.XANH - VIII - 3078 - DR.AB MAGSI  (Nước nâu đen)  - 500ml - 40")</f>
        <v>[Nhãn] DR.XANH - VIII - 3078 - DR.AB MAGSI  (Nước nâu đen)  - 500ml - 40</v>
      </c>
      <c r="E3833" s="87" t="str">
        <f>IFERROR(__xludf.DUMMYFUNCTION("""COMPUTED_VALUE"""),"Hữu cơ SH Agro Organic Fertilizer 20")</f>
        <v>Hữu cơ SH Agro Organic Fertilizer 20</v>
      </c>
      <c r="F3833" s="87" t="str">
        <f>IFERROR(__xludf.DUMMYFUNCTION("""COMPUTED_VALUE"""),"HH3078")</f>
        <v>HH3078</v>
      </c>
      <c r="G3833" s="87" t="str">
        <f>IFERROR(__xludf.DUMMYFUNCTION("""COMPUTED_VALUE"""),"DR.XANH - VIII - 3078 - DR.AB MAGSI  (Nước nâu đen)  - 500ml - 40")</f>
        <v>DR.XANH - VIII - 3078 - DR.AB MAGSI  (Nước nâu đen)  - 500ml - 40</v>
      </c>
    </row>
    <row r="3834">
      <c r="A3834" s="86">
        <f>IFERROR(__xludf.DUMMYFUNCTION("""COMPUTED_VALUE"""),3832.0)</f>
        <v>3832</v>
      </c>
      <c r="B3834" s="87" t="str">
        <f>IFERROR(__xludf.DUMMYFUNCTION("""COMPUTED_VALUE"""),"Nhãn")</f>
        <v>Nhãn</v>
      </c>
      <c r="C3834" s="87" t="str">
        <f>IFERROR(__xludf.DUMMYFUNCTION("""COMPUTED_VALUE"""),"NHD3080")</f>
        <v>NHD3080</v>
      </c>
      <c r="D3834" s="87" t="str">
        <f>IFERROR(__xludf.DUMMYFUNCTION("""COMPUTED_VALUE"""),"[Nhãn] DR.XANH - VIII - 3080 - DR.HUCO (Nước nâu đen)  - 5L - 4")</f>
        <v>[Nhãn] DR.XANH - VIII - 3080 - DR.HUCO (Nước nâu đen)  - 5L - 4</v>
      </c>
      <c r="E3834" s="87" t="str">
        <f>IFERROR(__xludf.DUMMYFUNCTION("""COMPUTED_VALUE"""),"Hữu cơ Organic BM Gold  FW")</f>
        <v>Hữu cơ Organic BM Gold  FW</v>
      </c>
      <c r="F3834" s="87" t="str">
        <f>IFERROR(__xludf.DUMMYFUNCTION("""COMPUTED_VALUE"""),"HH3080")</f>
        <v>HH3080</v>
      </c>
      <c r="G3834" s="87" t="str">
        <f>IFERROR(__xludf.DUMMYFUNCTION("""COMPUTED_VALUE"""),"DR.XANH - VIII - 3080 - DR.HUCO (Nước nâu đen)  - 5L - 4")</f>
        <v>DR.XANH - VIII - 3080 - DR.HUCO (Nước nâu đen)  - 5L - 4</v>
      </c>
    </row>
    <row r="3835">
      <c r="A3835" s="86">
        <f>IFERROR(__xludf.DUMMYFUNCTION("""COMPUTED_VALUE"""),3833.0)</f>
        <v>3833</v>
      </c>
      <c r="B3835" s="87" t="str">
        <f>IFERROR(__xludf.DUMMYFUNCTION("""COMPUTED_VALUE"""),"[Nhãn thùng]")</f>
        <v>[Nhãn thùng]</v>
      </c>
      <c r="C3835" s="87" t="str">
        <f>IFERROR(__xludf.DUMMYFUNCTION("""COMPUTED_VALUE"""),"NDT3080")</f>
        <v>NDT3080</v>
      </c>
      <c r="D3835" s="87" t="str">
        <f>IFERROR(__xludf.DUMMYFUNCTION("""COMPUTED_VALUE"""),"[Nhãn thùng] DR.XANH - VIII - 3080 - DR.HUCO (Nước nâu đen)  - 5L - 4")</f>
        <v>[Nhãn thùng] DR.XANH - VIII - 3080 - DR.HUCO (Nước nâu đen)  - 5L - 4</v>
      </c>
      <c r="E3835" s="87" t="str">
        <f>IFERROR(__xludf.DUMMYFUNCTION("""COMPUTED_VALUE"""),"Hữu cơ Organic BM Gold  FW")</f>
        <v>Hữu cơ Organic BM Gold  FW</v>
      </c>
      <c r="F3835" s="87" t="str">
        <f>IFERROR(__xludf.DUMMYFUNCTION("""COMPUTED_VALUE"""),"HH3080")</f>
        <v>HH3080</v>
      </c>
      <c r="G3835" s="87" t="str">
        <f>IFERROR(__xludf.DUMMYFUNCTION("""COMPUTED_VALUE"""),"DR.XANH - VIII - 3080 - DR.HUCO (Nước nâu đen)  - 5L - 4")</f>
        <v>DR.XANH - VIII - 3080 - DR.HUCO (Nước nâu đen)  - 5L - 4</v>
      </c>
    </row>
    <row r="3836">
      <c r="A3836" s="86">
        <f>IFERROR(__xludf.DUMMYFUNCTION("""COMPUTED_VALUE"""),3834.0)</f>
        <v>3834</v>
      </c>
      <c r="B3836" s="87" t="str">
        <f>IFERROR(__xludf.DUMMYFUNCTION("""COMPUTED_VALUE"""),"Nhãn")</f>
        <v>Nhãn</v>
      </c>
      <c r="C3836" s="87" t="str">
        <f>IFERROR(__xludf.DUMMYFUNCTION("""COMPUTED_VALUE"""),"NHG3082")</f>
        <v>NHG3082</v>
      </c>
      <c r="D3836" s="87" t="str">
        <f>IFERROR(__xludf.DUMMYFUNCTION("""COMPUTED_VALUE"""),"[Nhãn] GC - IV - 3082 - SEN HỒNG - HAIHAMEC 3.6EC (nước trong) - 450ml - 40")</f>
        <v>[Nhãn] GC - IV - 3082 - SEN HỒNG - HAIHAMEC 3.6EC (nước trong) - 450ml - 40</v>
      </c>
      <c r="E3836" s="87" t="str">
        <f>IFERROR(__xludf.DUMMYFUNCTION("""COMPUTED_VALUE"""),"HAIHAMEC 3.6EC")</f>
        <v>HAIHAMEC 3.6EC</v>
      </c>
      <c r="F3836" s="87" t="str">
        <f>IFERROR(__xludf.DUMMYFUNCTION("""COMPUTED_VALUE"""),"HH3082")</f>
        <v>HH3082</v>
      </c>
      <c r="G3836" s="87" t="str">
        <f>IFERROR(__xludf.DUMMYFUNCTION("""COMPUTED_VALUE"""),"GC - IV - 3082 - SEN HỒNG - HAIHAMEC 3.6EC (nước trong) - 450ml - 40")</f>
        <v>GC - IV - 3082 - SEN HỒNG - HAIHAMEC 3.6EC (nước trong) - 450ml - 40</v>
      </c>
    </row>
    <row r="3837">
      <c r="A3837" s="86">
        <f>IFERROR(__xludf.DUMMYFUNCTION("""COMPUTED_VALUE"""),3835.0)</f>
        <v>3835</v>
      </c>
      <c r="B3837" s="87" t="str">
        <f>IFERROR(__xludf.DUMMYFUNCTION("""COMPUTED_VALUE"""),"Nhãn")</f>
        <v>Nhãn</v>
      </c>
      <c r="C3837" s="87" t="str">
        <f>IFERROR(__xludf.DUMMYFUNCTION("""COMPUTED_VALUE"""),"NHG3083")</f>
        <v>NHG3083</v>
      </c>
      <c r="D3837" s="87" t="str">
        <f>IFERROR(__xludf.DUMMYFUNCTION("""COMPUTED_VALUE"""),"[Nhãn] IDA Global - I - 3083 - ĐL PHƯỚC THẠNH - CITTIZEN 333SC (Nước cam sữa) - 350ml - 40")</f>
        <v>[Nhãn] IDA Global - I - 3083 - ĐL PHƯỚC THẠNH - CITTIZEN 333SC (Nước cam sữa) - 350ml - 40</v>
      </c>
      <c r="E3837" s="87" t="str">
        <f>IFERROR(__xludf.DUMMYFUNCTION("""COMPUTED_VALUE"""),"CITTIZEN 333SC")</f>
        <v>CITTIZEN 333SC</v>
      </c>
      <c r="F3837" s="87" t="str">
        <f>IFERROR(__xludf.DUMMYFUNCTION("""COMPUTED_VALUE"""),"HH3083")</f>
        <v>HH3083</v>
      </c>
      <c r="G3837" s="87" t="str">
        <f>IFERROR(__xludf.DUMMYFUNCTION("""COMPUTED_VALUE"""),"IDA Global - I - 3083 - ĐL PHƯỚC THẠNH - CITTIZEN 333SC (Nước cam sữa) - 350ml - 40")</f>
        <v>IDA Global - I - 3083 - ĐL PHƯỚC THẠNH - CITTIZEN 333SC (Nước cam sữa) - 350ml - 40</v>
      </c>
    </row>
    <row r="3838">
      <c r="A3838" s="86">
        <f>IFERROR(__xludf.DUMMYFUNCTION("""COMPUTED_VALUE"""),3836.0)</f>
        <v>3836</v>
      </c>
      <c r="B3838" s="87" t="str">
        <f>IFERROR(__xludf.DUMMYFUNCTION("""COMPUTED_VALUE"""),"Nhãn")</f>
        <v>Nhãn</v>
      </c>
      <c r="C3838" s="87" t="str">
        <f>IFERROR(__xludf.DUMMYFUNCTION("""COMPUTED_VALUE"""),"NHG3085")</f>
        <v>NHG3085</v>
      </c>
      <c r="D3838" s="87" t="str">
        <f>IFERROR(__xludf.DUMMYFUNCTION("""COMPUTED_VALUE"""),"[Nhãn] NB - I - 3085- NÔNG DƯỢC THỤY SĨ- JAPA VIL 110SC - THUYSIVIN - CHAI 1L- 20")</f>
        <v>[Nhãn] NB - I - 3085- NÔNG DƯỢC THỤY SĨ- JAPA VIL 110SC - THUYSIVIN - CHAI 1L- 20</v>
      </c>
      <c r="E3838" s="87" t="str">
        <f>IFERROR(__xludf.DUMMYFUNCTION("""COMPUTED_VALUE"""),"JAPA VIL 110SC")</f>
        <v>JAPA VIL 110SC</v>
      </c>
      <c r="F3838" s="87" t="str">
        <f>IFERROR(__xludf.DUMMYFUNCTION("""COMPUTED_VALUE"""),"HH3085")</f>
        <v>HH3085</v>
      </c>
      <c r="G3838" s="87" t="str">
        <f>IFERROR(__xludf.DUMMYFUNCTION("""COMPUTED_VALUE"""),"NB - I - 3085- NÔNG DƯỢC THỤY SĨ- JAPA VIL 110SC - THUYSIVIN - CHAI 1L- 20")</f>
        <v>NB - I - 3085- NÔNG DƯỢC THỤY SĨ- JAPA VIL 110SC - THUYSIVIN - CHAI 1L- 20</v>
      </c>
    </row>
    <row r="3839">
      <c r="A3839" s="86">
        <f>IFERROR(__xludf.DUMMYFUNCTION("""COMPUTED_VALUE"""),3837.0)</f>
        <v>3837</v>
      </c>
      <c r="B3839" s="87" t="str">
        <f>IFERROR(__xludf.DUMMYFUNCTION("""COMPUTED_VALUE"""),"Nhãn")</f>
        <v>Nhãn</v>
      </c>
      <c r="C3839" s="87" t="str">
        <f>IFERROR(__xludf.DUMMYFUNCTION("""COMPUTED_VALUE"""),"NTN3086")</f>
        <v>NTN3086</v>
      </c>
      <c r="D3839" s="87" t="str">
        <f>IFERROR(__xludf.DUMMYFUNCTION("""COMPUTED_VALUE"""),"[Nhãn] GC - IV - 3086 - VTNN ĐOÀN TIẾN LỘC - VUA SÂU (Dạng cốm màu trắng ngà) - 10gr - 300")</f>
        <v>[Nhãn] GC - IV - 3086 - VTNN ĐOÀN TIẾN LỘC - VUA SÂU (Dạng cốm màu trắng ngà) - 10gr - 300</v>
      </c>
      <c r="E3839" s="87" t="str">
        <f>IFERROR(__xludf.DUMMYFUNCTION("""COMPUTED_VALUE"""),"MAKEGREEN 55WG")</f>
        <v>MAKEGREEN 55WG</v>
      </c>
      <c r="F3839" s="87" t="str">
        <f>IFERROR(__xludf.DUMMYFUNCTION("""COMPUTED_VALUE"""),"HH3086")</f>
        <v>HH3086</v>
      </c>
      <c r="G3839" s="87" t="str">
        <f>IFERROR(__xludf.DUMMYFUNCTION("""COMPUTED_VALUE"""),"GC - IV - 3086 - VTNN ĐOÀN TIẾN LỘC - VUA SÂU (Dạng cốm màu trắng ngà) - 10gr - 300")</f>
        <v>GC - IV - 3086 - VTNN ĐOÀN TIẾN LỘC - VUA SÂU (Dạng cốm màu trắng ngà) - 10gr - 300</v>
      </c>
    </row>
    <row r="3840">
      <c r="A3840" s="86">
        <f>IFERROR(__xludf.DUMMYFUNCTION("""COMPUTED_VALUE"""),3838.0)</f>
        <v>3838</v>
      </c>
      <c r="B3840" s="87" t="str">
        <f>IFERROR(__xludf.DUMMYFUNCTION("""COMPUTED_VALUE"""),"Nhãn thùng")</f>
        <v>Nhãn thùng</v>
      </c>
      <c r="C3840" s="87" t="str">
        <f>IFERROR(__xludf.DUMMYFUNCTION("""COMPUTED_VALUE"""),"NDT3086")</f>
        <v>NDT3086</v>
      </c>
      <c r="D3840" s="87" t="str">
        <f>IFERROR(__xludf.DUMMYFUNCTION("""COMPUTED_VALUE"""),"[Nhãn thùng] GC - IV - 3086 - VTNN ĐOÀN TIẾN LỘC - VUA SÂU (Dạng cốm màu trắng ngà) - 10gr - 300")</f>
        <v>[Nhãn thùng] GC - IV - 3086 - VTNN ĐOÀN TIẾN LỘC - VUA SÂU (Dạng cốm màu trắng ngà) - 10gr - 300</v>
      </c>
      <c r="E3840" s="87" t="str">
        <f>IFERROR(__xludf.DUMMYFUNCTION("""COMPUTED_VALUE"""),"MAKEGREEN 55WG")</f>
        <v>MAKEGREEN 55WG</v>
      </c>
      <c r="F3840" s="87" t="str">
        <f>IFERROR(__xludf.DUMMYFUNCTION("""COMPUTED_VALUE"""),"HH3086")</f>
        <v>HH3086</v>
      </c>
      <c r="G3840" s="87" t="str">
        <f>IFERROR(__xludf.DUMMYFUNCTION("""COMPUTED_VALUE"""),"GC - IV - 3086 - VTNN ĐOÀN TIẾN LỘC - VUA SÂU (Dạng cốm màu trắng ngà) - 10gr - 300")</f>
        <v>GC - IV - 3086 - VTNN ĐOÀN TIẾN LỘC - VUA SÂU (Dạng cốm màu trắng ngà) - 10gr - 300</v>
      </c>
    </row>
    <row r="3841">
      <c r="A3841" s="86">
        <f>IFERROR(__xludf.DUMMYFUNCTION("""COMPUTED_VALUE"""),3839.0)</f>
        <v>3839</v>
      </c>
      <c r="B3841" s="87" t="str">
        <f>IFERROR(__xludf.DUMMYFUNCTION("""COMPUTED_VALUE"""),"Nhãn")</f>
        <v>Nhãn</v>
      </c>
      <c r="C3841" s="87" t="str">
        <f>IFERROR(__xludf.DUMMYFUNCTION("""COMPUTED_VALUE"""),"NHG3087")</f>
        <v>NHG3087</v>
      </c>
      <c r="D3841" s="87" t="str">
        <f>IFERROR(__xludf.DUMMYFUNCTION("""COMPUTED_VALUE"""),"[Nhãn] GC - IV - 3087 - NEWTECH CROP SCIENCE - NEW RICE (Nước đỏ cam) - 500ml - 30")</f>
        <v>[Nhãn] GC - IV - 3087 - NEWTECH CROP SCIENCE - NEW RICE (Nước đỏ cam) - 500ml - 30</v>
      </c>
      <c r="E3841" s="87" t="str">
        <f>IFERROR(__xludf.DUMMYFUNCTION("""COMPUTED_VALUE"""),"NPK-Vi lượng MASSIVE-BLUE")</f>
        <v>NPK-Vi lượng MASSIVE-BLUE</v>
      </c>
      <c r="F3841" s="87" t="str">
        <f>IFERROR(__xludf.DUMMYFUNCTION("""COMPUTED_VALUE"""),"HH3087")</f>
        <v>HH3087</v>
      </c>
      <c r="G3841" s="87" t="str">
        <f>IFERROR(__xludf.DUMMYFUNCTION("""COMPUTED_VALUE"""),"GC - IV - 3087 - NEWTECH CROP SCIENCE - NEW RICE (Nước đỏ cam) - 500ml - 30")</f>
        <v>GC - IV - 3087 - NEWTECH CROP SCIENCE - NEW RICE (Nước đỏ cam) - 500ml - 30</v>
      </c>
    </row>
    <row r="3842">
      <c r="A3842" s="86">
        <f>IFERROR(__xludf.DUMMYFUNCTION("""COMPUTED_VALUE"""),3840.0)</f>
        <v>3840</v>
      </c>
      <c r="B3842" s="87" t="str">
        <f>IFERROR(__xludf.DUMMYFUNCTION("""COMPUTED_VALUE"""),"Nhãn")</f>
        <v>Nhãn</v>
      </c>
      <c r="C3842" s="87" t="str">
        <f>IFERROR(__xludf.DUMMYFUNCTION("""COMPUTED_VALUE"""),"NHG3088")</f>
        <v>NHG3088</v>
      </c>
      <c r="D3842" s="87" t="str">
        <f>IFERROR(__xludf.DUMMYFUNCTION("""COMPUTED_VALUE"""),"[Nhãn] GC - IV - 3088 - SEN HỒNG - THẦN KÊ (Nước hồng) - 200ml - 40")</f>
        <v>[Nhãn] GC - IV - 3088 - SEN HỒNG - THẦN KÊ (Nước hồng) - 200ml - 40</v>
      </c>
      <c r="E3842" s="87" t="str">
        <f>IFERROR(__xludf.DUMMYFUNCTION("""COMPUTED_VALUE"""),"NEW FUZE 200SC")</f>
        <v>NEW FUZE 200SC</v>
      </c>
      <c r="F3842" s="87" t="str">
        <f>IFERROR(__xludf.DUMMYFUNCTION("""COMPUTED_VALUE"""),"HH3088")</f>
        <v>HH3088</v>
      </c>
      <c r="G3842" s="87" t="str">
        <f>IFERROR(__xludf.DUMMYFUNCTION("""COMPUTED_VALUE"""),"GC - IV - 3088 - SEN HỒNG - THẦN KÊ (Nước hồng) - 200ml - 40")</f>
        <v>GC - IV - 3088 - SEN HỒNG - THẦN KÊ (Nước hồng) - 200ml - 40</v>
      </c>
    </row>
    <row r="3843">
      <c r="A3843" s="86">
        <f>IFERROR(__xludf.DUMMYFUNCTION("""COMPUTED_VALUE"""),3841.0)</f>
        <v>3841</v>
      </c>
      <c r="B3843" s="87" t="str">
        <f>IFERROR(__xludf.DUMMYFUNCTION("""COMPUTED_VALUE"""),"Nhãn")</f>
        <v>Nhãn</v>
      </c>
      <c r="C3843" s="87" t="str">
        <f>IFERROR(__xludf.DUMMYFUNCTION("""COMPUTED_VALUE"""),"NHG3089")</f>
        <v>NHG3089</v>
      </c>
      <c r="D3843" s="87" t="str">
        <f>IFERROR(__xludf.DUMMYFUNCTION("""COMPUTED_VALUE"""),"[Nhãn] GC - IV - 3089 - NEWTECH CROP SCIENCE - NEW ZINC (Nước vàng sữa) - 500ml - 30")</f>
        <v>[Nhãn] GC - IV - 3089 - NEWTECH CROP SCIENCE - NEW ZINC (Nước vàng sữa) - 500ml - 30</v>
      </c>
      <c r="E3843" s="87" t="str">
        <f>IFERROR(__xludf.DUMMYFUNCTION("""COMPUTED_VALUE"""),"Vi lượng MICKEY")</f>
        <v>Vi lượng MICKEY</v>
      </c>
      <c r="F3843" s="87" t="str">
        <f>IFERROR(__xludf.DUMMYFUNCTION("""COMPUTED_VALUE"""),"HH3089")</f>
        <v>HH3089</v>
      </c>
      <c r="G3843" s="87" t="str">
        <f>IFERROR(__xludf.DUMMYFUNCTION("""COMPUTED_VALUE"""),"GC - IV - 3089 - NEWTECH CROP SCIENCE - NEW ZINC (Nước vàng sữa) - 500ml - 30")</f>
        <v>GC - IV - 3089 - NEWTECH CROP SCIENCE - NEW ZINC (Nước vàng sữa) - 500ml - 30</v>
      </c>
    </row>
    <row r="3844">
      <c r="A3844" s="86">
        <f>IFERROR(__xludf.DUMMYFUNCTION("""COMPUTED_VALUE"""),3842.0)</f>
        <v>3842</v>
      </c>
      <c r="B3844" s="87" t="str">
        <f>IFERROR(__xludf.DUMMYFUNCTION("""COMPUTED_VALUE"""),"Nhãn")</f>
        <v>Nhãn</v>
      </c>
      <c r="C3844" s="87" t="str">
        <f>IFERROR(__xludf.DUMMYFUNCTION("""COMPUTED_VALUE"""),"NHD3090")</f>
        <v>NHD3090</v>
      </c>
      <c r="D3844" s="87" t="str">
        <f>IFERROR(__xludf.DUMMYFUNCTION("""COMPUTED_VALUE"""),"[Nhãn] GC - IV - 3090 - CTY MASTER WIN - ABA WIN (nước xanh lá) - 450ml - 40")</f>
        <v>[Nhãn] GC - IV - 3090 - CTY MASTER WIN - ABA WIN (nước xanh lá) - 450ml - 40</v>
      </c>
      <c r="E3844" s="87" t="str">
        <f>IFERROR(__xludf.DUMMYFUNCTION("""COMPUTED_VALUE"""),"Chitin 3.6EC")</f>
        <v>Chitin 3.6EC</v>
      </c>
      <c r="F3844" s="87" t="str">
        <f>IFERROR(__xludf.DUMMYFUNCTION("""COMPUTED_VALUE"""),"HH3090")</f>
        <v>HH3090</v>
      </c>
      <c r="G3844" s="87" t="str">
        <f>IFERROR(__xludf.DUMMYFUNCTION("""COMPUTED_VALUE"""),"GC - IV - 3090 - CTY MASTER WIN - ABA WIN (nước xanh lá) - 450ml - 40")</f>
        <v>GC - IV - 3090 - CTY MASTER WIN - ABA WIN (nước xanh lá) - 450ml - 40</v>
      </c>
    </row>
    <row r="3845">
      <c r="A3845" s="86">
        <f>IFERROR(__xludf.DUMMYFUNCTION("""COMPUTED_VALUE"""),3843.0)</f>
        <v>3843</v>
      </c>
      <c r="B3845" s="87" t="str">
        <f>IFERROR(__xludf.DUMMYFUNCTION("""COMPUTED_VALUE"""),"Nhãn thùng")</f>
        <v>Nhãn thùng</v>
      </c>
      <c r="C3845" s="87" t="str">
        <f>IFERROR(__xludf.DUMMYFUNCTION("""COMPUTED_VALUE"""),"NDT3090")</f>
        <v>NDT3090</v>
      </c>
      <c r="D3845" s="87" t="str">
        <f>IFERROR(__xludf.DUMMYFUNCTION("""COMPUTED_VALUE"""),"[Nhãn thùng] GC - IV - 3090 - CTY MASTER WIN - ABA WIN (nước xanh lá) - 450ml - 40")</f>
        <v>[Nhãn thùng] GC - IV - 3090 - CTY MASTER WIN - ABA WIN (nước xanh lá) - 450ml - 40</v>
      </c>
      <c r="E3845" s="87" t="str">
        <f>IFERROR(__xludf.DUMMYFUNCTION("""COMPUTED_VALUE"""),"Chitin 3.6EC")</f>
        <v>Chitin 3.6EC</v>
      </c>
      <c r="F3845" s="87" t="str">
        <f>IFERROR(__xludf.DUMMYFUNCTION("""COMPUTED_VALUE"""),"HH3090")</f>
        <v>HH3090</v>
      </c>
      <c r="G3845" s="87" t="str">
        <f>IFERROR(__xludf.DUMMYFUNCTION("""COMPUTED_VALUE"""),"GC - IV - 3090 - CTY MASTER WIN - ABA WIN (nước xanh lá) - 450ml - 40")</f>
        <v>GC - IV - 3090 - CTY MASTER WIN - ABA WIN (nước xanh lá) - 450ml - 40</v>
      </c>
    </row>
    <row r="3846">
      <c r="A3846" s="86">
        <f>IFERROR(__xludf.DUMMYFUNCTION("""COMPUTED_VALUE"""),3844.0)</f>
        <v>3844</v>
      </c>
      <c r="B3846" s="87" t="str">
        <f>IFERROR(__xludf.DUMMYFUNCTION("""COMPUTED_VALUE"""),"Nhãn")</f>
        <v>Nhãn</v>
      </c>
      <c r="C3846" s="87" t="str">
        <f>IFERROR(__xludf.DUMMYFUNCTION("""COMPUTED_VALUE"""),"NHD3091")</f>
        <v>NHD3091</v>
      </c>
      <c r="D3846" s="87" t="str">
        <f>IFERROR(__xludf.DUMMYFUNCTION("""COMPUTED_VALUE"""),"[Nhãn] GC - II - 3091 - THÀNH CÔNG AGRI - ULTRA FRUIT (Gel nâu đen) - 20L - 1")</f>
        <v>[Nhãn] GC - II - 3091 - THÀNH CÔNG AGRI - ULTRA FRUIT (Gel nâu đen) - 20L - 1</v>
      </c>
      <c r="E3846" s="87" t="str">
        <f>IFERROR(__xludf.DUMMYFUNCTION("""COMPUTED_VALUE"""),"Vi lượng Quantity New")</f>
        <v>Vi lượng Quantity New</v>
      </c>
      <c r="F3846" s="87" t="str">
        <f>IFERROR(__xludf.DUMMYFUNCTION("""COMPUTED_VALUE"""),"HH3091")</f>
        <v>HH3091</v>
      </c>
      <c r="G3846" s="87" t="str">
        <f>IFERROR(__xludf.DUMMYFUNCTION("""COMPUTED_VALUE"""),"GC - II - 3091 - THÀNH CÔNG AGRI - ULTRA FRUIT (Gel nâu đen) - 20L - 1")</f>
        <v>GC - II - 3091 - THÀNH CÔNG AGRI - ULTRA FRUIT (Gel nâu đen) - 20L - 1</v>
      </c>
    </row>
    <row r="3847">
      <c r="A3847" s="86">
        <f>IFERROR(__xludf.DUMMYFUNCTION("""COMPUTED_VALUE"""),3845.0)</f>
        <v>3845</v>
      </c>
      <c r="B3847" s="87" t="str">
        <f>IFERROR(__xludf.DUMMYFUNCTION("""COMPUTED_VALUE"""),"Nhãn")</f>
        <v>Nhãn</v>
      </c>
      <c r="C3847" s="87" t="str">
        <f>IFERROR(__xludf.DUMMYFUNCTION("""COMPUTED_VALUE"""),"NHG3093")</f>
        <v>NHG3093</v>
      </c>
      <c r="D3847" s="87" t="str">
        <f>IFERROR(__xludf.DUMMYFUNCTION("""COMPUTED_VALUE"""),"[Nhãn] GC - IV - 3093 - CTY NÔNG DƯỢC ĐÔNG DƯƠNG - Genol 1.2SL (nước tím) - 500ml - 30")</f>
        <v>[Nhãn] GC - IV - 3093 - CTY NÔNG DƯỢC ĐÔNG DƯƠNG - Genol 1.2SL (nước tím) - 500ml - 30</v>
      </c>
      <c r="E3847" s="87" t="str">
        <f>IFERROR(__xludf.DUMMYFUNCTION("""COMPUTED_VALUE"""),"GENOL 1.2SL")</f>
        <v>GENOL 1.2SL</v>
      </c>
      <c r="F3847" s="87" t="str">
        <f>IFERROR(__xludf.DUMMYFUNCTION("""COMPUTED_VALUE"""),"HH3093")</f>
        <v>HH3093</v>
      </c>
      <c r="G3847" s="87" t="str">
        <f>IFERROR(__xludf.DUMMYFUNCTION("""COMPUTED_VALUE"""),"GC - IV - 3093 - CTY NÔNG DƯỢC ĐÔNG DƯƠNG - Genol 1.2SL (nước tím) - 500ml - 30")</f>
        <v>GC - IV - 3093 - CTY NÔNG DƯỢC ĐÔNG DƯƠNG - Genol 1.2SL (nước tím) - 500ml - 30</v>
      </c>
    </row>
    <row r="3848">
      <c r="A3848" s="86">
        <f>IFERROR(__xludf.DUMMYFUNCTION("""COMPUTED_VALUE"""),3846.0)</f>
        <v>3846</v>
      </c>
      <c r="B3848" s="87" t="str">
        <f>IFERROR(__xludf.DUMMYFUNCTION("""COMPUTED_VALUE"""),"Nhãn thùng")</f>
        <v>Nhãn thùng</v>
      </c>
      <c r="C3848" s="87" t="str">
        <f>IFERROR(__xludf.DUMMYFUNCTION("""COMPUTED_VALUE"""),"NDT3093")</f>
        <v>NDT3093</v>
      </c>
      <c r="D3848" s="87" t="str">
        <f>IFERROR(__xludf.DUMMYFUNCTION("""COMPUTED_VALUE"""),"[Nhãn thùng] GC - IV - 3093 - CTY NÔNG DƯỢC ĐÔNG DƯƠNG - Genol 1.2SL (nước tím) - 500ml - 30")</f>
        <v>[Nhãn thùng] GC - IV - 3093 - CTY NÔNG DƯỢC ĐÔNG DƯƠNG - Genol 1.2SL (nước tím) - 500ml - 30</v>
      </c>
      <c r="E3848" s="87" t="str">
        <f>IFERROR(__xludf.DUMMYFUNCTION("""COMPUTED_VALUE"""),"GENOL 1.2SL")</f>
        <v>GENOL 1.2SL</v>
      </c>
      <c r="F3848" s="87" t="str">
        <f>IFERROR(__xludf.DUMMYFUNCTION("""COMPUTED_VALUE"""),"HH3093")</f>
        <v>HH3093</v>
      </c>
      <c r="G3848" s="87" t="str">
        <f>IFERROR(__xludf.DUMMYFUNCTION("""COMPUTED_VALUE"""),"GC - IV - 3093 - CTY NÔNG DƯỢC ĐÔNG DƯƠNG - Genol 1.2SL (nước tím) - 500ml - 30")</f>
        <v>GC - IV - 3093 - CTY NÔNG DƯỢC ĐÔNG DƯƠNG - Genol 1.2SL (nước tím) - 500ml - 30</v>
      </c>
    </row>
    <row r="3849">
      <c r="A3849" s="86">
        <f>IFERROR(__xludf.DUMMYFUNCTION("""COMPUTED_VALUE"""),3847.0)</f>
        <v>3847</v>
      </c>
      <c r="B3849" s="87" t="str">
        <f>IFERROR(__xludf.DUMMYFUNCTION("""COMPUTED_VALUE"""),"Nhãn")</f>
        <v>Nhãn</v>
      </c>
      <c r="C3849" s="87" t="str">
        <f>IFERROR(__xludf.DUMMYFUNCTION("""COMPUTED_VALUE"""),"NHG3094")</f>
        <v>NHG3094</v>
      </c>
      <c r="D3849" s="87" t="str">
        <f>IFERROR(__xludf.DUMMYFUNCTION("""COMPUTED_VALUE"""),"[Nhãn] NB - V - 3094 - CTY NAUY - SUPER NANO (Nước nâu đen) - 500ml - 40")</f>
        <v>[Nhãn] NB - V - 3094 - CTY NAUY - SUPER NANO (Nước nâu đen) - 500ml - 40</v>
      </c>
      <c r="E3849" s="87" t="str">
        <f>IFERROR(__xludf.DUMMYFUNCTION("""COMPUTED_VALUE"""),"Vi lượng AGAMA-SUPPORT")</f>
        <v>Vi lượng AGAMA-SUPPORT</v>
      </c>
      <c r="F3849" s="87" t="str">
        <f>IFERROR(__xludf.DUMMYFUNCTION("""COMPUTED_VALUE"""),"HH3094")</f>
        <v>HH3094</v>
      </c>
      <c r="G3849" s="87" t="str">
        <f>IFERROR(__xludf.DUMMYFUNCTION("""COMPUTED_VALUE"""),"NB - V - 3094 - CTY NAUY - SUPER NANO (Nước nâu đen) - 500ml - 40")</f>
        <v>NB - V - 3094 - CTY NAUY - SUPER NANO (Nước nâu đen) - 500ml - 40</v>
      </c>
    </row>
    <row r="3850">
      <c r="A3850" s="86">
        <f>IFERROR(__xludf.DUMMYFUNCTION("""COMPUTED_VALUE"""),3848.0)</f>
        <v>3848</v>
      </c>
      <c r="B3850" s="87" t="str">
        <f>IFERROR(__xludf.DUMMYFUNCTION("""COMPUTED_VALUE"""),"Nhãn")</f>
        <v>Nhãn</v>
      </c>
      <c r="C3850" s="87" t="str">
        <f>IFERROR(__xludf.DUMMYFUNCTION("""COMPUTED_VALUE"""),"NHG3095")</f>
        <v>NHG3095</v>
      </c>
      <c r="D3850" s="87" t="str">
        <f>IFERROR(__xludf.DUMMYFUNCTION("""COMPUTED_VALUE"""),"[Nhãn] GC - IV - 3095 - AGRIPLANT - DƯỠNG CÂY MẬP CHỒI (Gel nâu đen) - 500ml - 40")</f>
        <v>[Nhãn] GC - IV - 3095 - AGRIPLANT - DƯỠNG CÂY MẬP CHỒI (Gel nâu đen) - 500ml - 40</v>
      </c>
      <c r="E3850" s="87" t="str">
        <f>IFERROR(__xludf.DUMMYFUNCTION("""COMPUTED_VALUE"""),"Vi lượng AGAMA-SUPPORT")</f>
        <v>Vi lượng AGAMA-SUPPORT</v>
      </c>
      <c r="F3850" s="87" t="str">
        <f>IFERROR(__xludf.DUMMYFUNCTION("""COMPUTED_VALUE"""),"HH3095")</f>
        <v>HH3095</v>
      </c>
      <c r="G3850" s="87" t="str">
        <f>IFERROR(__xludf.DUMMYFUNCTION("""COMPUTED_VALUE"""),"GC - IV - 3095 - AGRIPLANT - DƯỠNG CÂY MẬP CHỒI (Gel nâu đen) - 500ml - 40")</f>
        <v>GC - IV - 3095 - AGRIPLANT - DƯỠNG CÂY MẬP CHỒI (Gel nâu đen) - 500ml - 40</v>
      </c>
    </row>
    <row r="3851">
      <c r="A3851" s="86">
        <f>IFERROR(__xludf.DUMMYFUNCTION("""COMPUTED_VALUE"""),3849.0)</f>
        <v>3849</v>
      </c>
      <c r="B3851" s="87" t="str">
        <f>IFERROR(__xludf.DUMMYFUNCTION("""COMPUTED_VALUE"""),"Nhãn")</f>
        <v>Nhãn</v>
      </c>
      <c r="C3851" s="87" t="str">
        <f>IFERROR(__xludf.DUMMYFUNCTION("""COMPUTED_VALUE"""),"NTN3096")</f>
        <v>NTN3096</v>
      </c>
      <c r="D3851" s="87" t="str">
        <f>IFERROR(__xludf.DUMMYFUNCTION("""COMPUTED_VALUE"""),"[Nhãn] GC - IV - 3096 - AGRIPLANT - SIÊU RA HOA SẦU RIÊNG (Bột trắng xanh) - 250gr - 100")</f>
        <v>[Nhãn] GC - IV - 3096 - AGRIPLANT - SIÊU RA HOA SẦU RIÊNG (Bột trắng xanh) - 250gr - 100</v>
      </c>
      <c r="E3851" s="87" t="str">
        <f>IFERROR(__xludf.DUMMYFUNCTION("""COMPUTED_VALUE"""),"Vi lượng AGAMA-BATFUNG")</f>
        <v>Vi lượng AGAMA-BATFUNG</v>
      </c>
      <c r="F3851" s="87" t="str">
        <f>IFERROR(__xludf.DUMMYFUNCTION("""COMPUTED_VALUE"""),"HH3096")</f>
        <v>HH3096</v>
      </c>
      <c r="G3851" s="87" t="str">
        <f>IFERROR(__xludf.DUMMYFUNCTION("""COMPUTED_VALUE"""),"GC - IV - 3096 - AGRIPLANT - SIÊU RA HOA SẦU RIÊNG (Bột trắng xanh) - 250gr - 100")</f>
        <v>GC - IV - 3096 - AGRIPLANT - SIÊU RA HOA SẦU RIÊNG (Bột trắng xanh) - 250gr - 100</v>
      </c>
    </row>
    <row r="3852">
      <c r="A3852" s="86">
        <f>IFERROR(__xludf.DUMMYFUNCTION("""COMPUTED_VALUE"""),3850.0)</f>
        <v>3850</v>
      </c>
      <c r="B3852" s="87" t="str">
        <f>IFERROR(__xludf.DUMMYFUNCTION("""COMPUTED_VALUE"""),"Nhãn thùng")</f>
        <v>Nhãn thùng</v>
      </c>
      <c r="C3852" s="87" t="str">
        <f>IFERROR(__xludf.DUMMYFUNCTION("""COMPUTED_VALUE"""),"NDT3096")</f>
        <v>NDT3096</v>
      </c>
      <c r="D3852" s="87" t="str">
        <f>IFERROR(__xludf.DUMMYFUNCTION("""COMPUTED_VALUE"""),"[Nhãn thùng] GC - IV - 3096 - AGRIPLANT - SIÊU RA HOA SẦU RIÊNG (Bột trắng xanh) - 250gr - 100")</f>
        <v>[Nhãn thùng] GC - IV - 3096 - AGRIPLANT - SIÊU RA HOA SẦU RIÊNG (Bột trắng xanh) - 250gr - 100</v>
      </c>
      <c r="E3852" s="87" t="str">
        <f>IFERROR(__xludf.DUMMYFUNCTION("""COMPUTED_VALUE"""),"Vi lượng AGAMA-BATFUNG")</f>
        <v>Vi lượng AGAMA-BATFUNG</v>
      </c>
      <c r="F3852" s="87" t="str">
        <f>IFERROR(__xludf.DUMMYFUNCTION("""COMPUTED_VALUE"""),"HH3096")</f>
        <v>HH3096</v>
      </c>
      <c r="G3852" s="87" t="str">
        <f>IFERROR(__xludf.DUMMYFUNCTION("""COMPUTED_VALUE"""),"GC - IV - 3096 - AGRIPLANT - SIÊU RA HOA SẦU RIÊNG (Bột trắng xanh) - 250gr - 100")</f>
        <v>GC - IV - 3096 - AGRIPLANT - SIÊU RA HOA SẦU RIÊNG (Bột trắng xanh) - 250gr - 100</v>
      </c>
    </row>
    <row r="3853">
      <c r="A3853" s="86">
        <f>IFERROR(__xludf.DUMMYFUNCTION("""COMPUTED_VALUE"""),3851.0)</f>
        <v>3851</v>
      </c>
      <c r="B3853" s="87" t="str">
        <f>IFERROR(__xludf.DUMMYFUNCTION("""COMPUTED_VALUE"""),"Nhãn")</f>
        <v>Nhãn</v>
      </c>
      <c r="C3853" s="87" t="str">
        <f>IFERROR(__xludf.DUMMYFUNCTION("""COMPUTED_VALUE"""),"NTN3099")</f>
        <v>NTN3099</v>
      </c>
      <c r="D3853" s="87" t="str">
        <f>IFERROR(__xludf.DUMMYFUNCTION("""COMPUTED_VALUE"""),"[Nhãn] GC - IV - 3099 - CTY SEN HỒNG - DIỆT CHÍCH HÚT (bột trắng) - 50gr - 200")</f>
        <v>[Nhãn] GC - IV - 3099 - CTY SEN HỒNG - DIỆT CHÍCH HÚT (bột trắng) - 50gr - 200</v>
      </c>
      <c r="E3853" s="87" t="str">
        <f>IFERROR(__xludf.DUMMYFUNCTION("""COMPUTED_VALUE"""),"PHOPPAWAY 80WG")</f>
        <v>PHOPPAWAY 80WG</v>
      </c>
      <c r="F3853" s="87" t="str">
        <f>IFERROR(__xludf.DUMMYFUNCTION("""COMPUTED_VALUE"""),"HH3099")</f>
        <v>HH3099</v>
      </c>
      <c r="G3853" s="87" t="str">
        <f>IFERROR(__xludf.DUMMYFUNCTION("""COMPUTED_VALUE"""),"GC - IV - 3099 - CTY SEN HỒNG - DIỆT CHÍCH HÚT (bột trắng) - 50gr - 200")</f>
        <v>GC - IV - 3099 - CTY SEN HỒNG - DIỆT CHÍCH HÚT (bột trắng) - 50gr - 200</v>
      </c>
    </row>
    <row r="3854">
      <c r="A3854" s="86">
        <f>IFERROR(__xludf.DUMMYFUNCTION("""COMPUTED_VALUE"""),3852.0)</f>
        <v>3852</v>
      </c>
      <c r="B3854" s="87" t="str">
        <f>IFERROR(__xludf.DUMMYFUNCTION("""COMPUTED_VALUE"""),"Nhãn thùng")</f>
        <v>Nhãn thùng</v>
      </c>
      <c r="C3854" s="87" t="str">
        <f>IFERROR(__xludf.DUMMYFUNCTION("""COMPUTED_VALUE"""),"NDT3099")</f>
        <v>NDT3099</v>
      </c>
      <c r="D3854" s="87" t="str">
        <f>IFERROR(__xludf.DUMMYFUNCTION("""COMPUTED_VALUE"""),"[Nhãn thùng] GC - IV - 3099 - CTY SEN HỒNG - DIỆT CHÍCH HÚT (bột trắng) - 50gr - 200")</f>
        <v>[Nhãn thùng] GC - IV - 3099 - CTY SEN HỒNG - DIỆT CHÍCH HÚT (bột trắng) - 50gr - 200</v>
      </c>
      <c r="E3854" s="87" t="str">
        <f>IFERROR(__xludf.DUMMYFUNCTION("""COMPUTED_VALUE"""),"PHOPPAWAY 80WG")</f>
        <v>PHOPPAWAY 80WG</v>
      </c>
      <c r="F3854" s="87" t="str">
        <f>IFERROR(__xludf.DUMMYFUNCTION("""COMPUTED_VALUE"""),"HH3099")</f>
        <v>HH3099</v>
      </c>
      <c r="G3854" s="87" t="str">
        <f>IFERROR(__xludf.DUMMYFUNCTION("""COMPUTED_VALUE"""),"GC - IV - 3099 - CTY SEN HỒNG - DIỆT CHÍCH HÚT (bột trắng) - 50gr - 200")</f>
        <v>GC - IV - 3099 - CTY SEN HỒNG - DIỆT CHÍCH HÚT (bột trắng) - 50gr - 200</v>
      </c>
    </row>
    <row r="3855">
      <c r="A3855" s="86">
        <f>IFERROR(__xludf.DUMMYFUNCTION("""COMPUTED_VALUE"""),3853.0)</f>
        <v>3853</v>
      </c>
      <c r="B3855" s="87" t="str">
        <f>IFERROR(__xludf.DUMMYFUNCTION("""COMPUTED_VALUE"""),"Nhãn")</f>
        <v>Nhãn</v>
      </c>
      <c r="C3855" s="87" t="str">
        <f>IFERROR(__xludf.DUMMYFUNCTION("""COMPUTED_VALUE"""),"NTN3100")</f>
        <v>NTN3100</v>
      </c>
      <c r="D3855" s="87" t="str">
        <f>IFERROR(__xludf.DUMMYFUNCTION("""COMPUTED_VALUE"""),"[Nhãn] GC - IV - 3100 - GNH - DIỆT ĐẠO ÔN (bột cam) - 25gr - 200")</f>
        <v>[Nhãn] GC - IV - 3100 - GNH - DIỆT ĐẠO ÔN (bột cam) - 25gr - 200</v>
      </c>
      <c r="E3855" s="87" t="str">
        <f>IFERROR(__xludf.DUMMYFUNCTION("""COMPUTED_VALUE"""),"Pim.Pim 75WP")</f>
        <v>Pim.Pim 75WP</v>
      </c>
      <c r="F3855" s="87" t="str">
        <f>IFERROR(__xludf.DUMMYFUNCTION("""COMPUTED_VALUE"""),"HH3100")</f>
        <v>HH3100</v>
      </c>
      <c r="G3855" s="87" t="str">
        <f>IFERROR(__xludf.DUMMYFUNCTION("""COMPUTED_VALUE"""),"GC - IV - 3100 - GNH - DIỆT ĐẠO ÔN (bột cam) - 25gr - 200")</f>
        <v>GC - IV - 3100 - GNH - DIỆT ĐẠO ÔN (bột cam) - 25gr - 200</v>
      </c>
    </row>
    <row r="3856">
      <c r="A3856" s="86">
        <f>IFERROR(__xludf.DUMMYFUNCTION("""COMPUTED_VALUE"""),3854.0)</f>
        <v>3854</v>
      </c>
      <c r="B3856" s="87" t="str">
        <f>IFERROR(__xludf.DUMMYFUNCTION("""COMPUTED_VALUE"""),"Nhãn thùng")</f>
        <v>Nhãn thùng</v>
      </c>
      <c r="C3856" s="87" t="str">
        <f>IFERROR(__xludf.DUMMYFUNCTION("""COMPUTED_VALUE"""),"NDT3100")</f>
        <v>NDT3100</v>
      </c>
      <c r="D3856" s="87" t="str">
        <f>IFERROR(__xludf.DUMMYFUNCTION("""COMPUTED_VALUE"""),"[Nhãn thùng] GC - IV - 3100 - GNH - DIỆT ĐẠO ÔN (bột cam) - 25gr - 200")</f>
        <v>[Nhãn thùng] GC - IV - 3100 - GNH - DIỆT ĐẠO ÔN (bột cam) - 25gr - 200</v>
      </c>
      <c r="E3856" s="87" t="str">
        <f>IFERROR(__xludf.DUMMYFUNCTION("""COMPUTED_VALUE"""),"Pim.Pim 75WP")</f>
        <v>Pim.Pim 75WP</v>
      </c>
      <c r="F3856" s="87" t="str">
        <f>IFERROR(__xludf.DUMMYFUNCTION("""COMPUTED_VALUE"""),"HH3100")</f>
        <v>HH3100</v>
      </c>
      <c r="G3856" s="87" t="str">
        <f>IFERROR(__xludf.DUMMYFUNCTION("""COMPUTED_VALUE"""),"GC - IV - 3100 - GNH - DIỆT ĐẠO ÔN (bột cam) - 25gr - 200")</f>
        <v>GC - IV - 3100 - GNH - DIỆT ĐẠO ÔN (bột cam) - 25gr - 200</v>
      </c>
    </row>
    <row r="3857">
      <c r="A3857" s="86">
        <f>IFERROR(__xludf.DUMMYFUNCTION("""COMPUTED_VALUE"""),3855.0)</f>
        <v>3855</v>
      </c>
      <c r="B3857" s="87" t="str">
        <f>IFERROR(__xludf.DUMMYFUNCTION("""COMPUTED_VALUE"""),"Nhãn")</f>
        <v>Nhãn</v>
      </c>
      <c r="C3857" s="87" t="str">
        <f>IFERROR(__xludf.DUMMYFUNCTION("""COMPUTED_VALUE"""),"NHG3102")</f>
        <v>NHG3102</v>
      </c>
      <c r="D3857" s="87" t="str">
        <f>IFERROR(__xludf.DUMMYFUNCTION("""COMPUTED_VALUE"""),"[Nhãn] GC - IV - 3102 - NHP GROUP - NEWMITE (nước trong) - 450ml - 40")</f>
        <v>[Nhãn] GC - IV - 3102 - NHP GROUP - NEWMITE (nước trong) - 450ml - 40</v>
      </c>
      <c r="E3857" s="87" t="str">
        <f>IFERROR(__xludf.DUMMYFUNCTION("""COMPUTED_VALUE"""),"HAIHAMEC 3.6EC")</f>
        <v>HAIHAMEC 3.6EC</v>
      </c>
      <c r="F3857" s="87" t="str">
        <f>IFERROR(__xludf.DUMMYFUNCTION("""COMPUTED_VALUE"""),"HH3102")</f>
        <v>HH3102</v>
      </c>
      <c r="G3857" s="87" t="str">
        <f>IFERROR(__xludf.DUMMYFUNCTION("""COMPUTED_VALUE"""),"GC - IV - 3102 - NHP GROUP - NEWMITE (nước trong) - 450ml - 40")</f>
        <v>GC - IV - 3102 - NHP GROUP - NEWMITE (nước trong) - 450ml - 40</v>
      </c>
    </row>
    <row r="3858">
      <c r="A3858" s="86">
        <f>IFERROR(__xludf.DUMMYFUNCTION("""COMPUTED_VALUE"""),3856.0)</f>
        <v>3856</v>
      </c>
      <c r="B3858" s="87" t="str">
        <f>IFERROR(__xludf.DUMMYFUNCTION("""COMPUTED_VALUE"""),"Nhãn")</f>
        <v>Nhãn</v>
      </c>
      <c r="C3858" s="87" t="str">
        <f>IFERROR(__xludf.DUMMYFUNCTION("""COMPUTED_VALUE"""),"NTN3103")</f>
        <v>NTN3103</v>
      </c>
      <c r="D3858" s="87" t="str">
        <f>IFERROR(__xludf.DUMMYFUNCTION("""COMPUTED_VALUE"""),"[Nhãn] LOT IDA Global - I - 3103 - ĐL NHẬT LINH - SẠCH ĐẠO ÔN (Bột cam) - 100gr - 100")</f>
        <v>[Nhãn] LOT IDA Global - I - 3103 - ĐL NHẬT LINH - SẠCH ĐẠO ÔN (Bột cam) - 100gr - 100</v>
      </c>
      <c r="E3858" s="87" t="str">
        <f>IFERROR(__xludf.DUMMYFUNCTION("""COMPUTED_VALUE"""),"Pim.Pim 75WP")</f>
        <v>Pim.Pim 75WP</v>
      </c>
      <c r="F3858" s="87" t="str">
        <f>IFERROR(__xludf.DUMMYFUNCTION("""COMPUTED_VALUE"""),"HH3103")</f>
        <v>HH3103</v>
      </c>
      <c r="G3858" s="87" t="str">
        <f>IFERROR(__xludf.DUMMYFUNCTION("""COMPUTED_VALUE"""),"LOT IDA Global - I - 3103 - ĐL NHẬT LINH - SẠCH ĐẠO ÔN (Bột cam) - 100gr - 100")</f>
        <v>LOT IDA Global - I - 3103 - ĐL NHẬT LINH - SẠCH ĐẠO ÔN (Bột cam) - 100gr - 100</v>
      </c>
    </row>
    <row r="3859">
      <c r="A3859" s="86">
        <f>IFERROR(__xludf.DUMMYFUNCTION("""COMPUTED_VALUE"""),3857.0)</f>
        <v>3857</v>
      </c>
      <c r="B3859" s="87" t="str">
        <f>IFERROR(__xludf.DUMMYFUNCTION("""COMPUTED_VALUE"""),"Nhãn thùng")</f>
        <v>Nhãn thùng</v>
      </c>
      <c r="C3859" s="87" t="str">
        <f>IFERROR(__xludf.DUMMYFUNCTION("""COMPUTED_VALUE"""),"NDT3103")</f>
        <v>NDT3103</v>
      </c>
      <c r="D3859" s="87" t="str">
        <f>IFERROR(__xludf.DUMMYFUNCTION("""COMPUTED_VALUE"""),"[Nhãn thùng] LOT IDA Global - I - 3103 - ĐL NHẬT LINH - SẠCH ĐẠO ÔN (Bột cam) - 100gr - 100")</f>
        <v>[Nhãn thùng] LOT IDA Global - I - 3103 - ĐL NHẬT LINH - SẠCH ĐẠO ÔN (Bột cam) - 100gr - 100</v>
      </c>
      <c r="E3859" s="87" t="str">
        <f>IFERROR(__xludf.DUMMYFUNCTION("""COMPUTED_VALUE"""),"Pim.Pim 75WP")</f>
        <v>Pim.Pim 75WP</v>
      </c>
      <c r="F3859" s="87" t="str">
        <f>IFERROR(__xludf.DUMMYFUNCTION("""COMPUTED_VALUE"""),"HH3103")</f>
        <v>HH3103</v>
      </c>
      <c r="G3859" s="87" t="str">
        <f>IFERROR(__xludf.DUMMYFUNCTION("""COMPUTED_VALUE"""),"LOT IDA Global - I - 3103 - ĐL NHẬT LINH - SẠCH ĐẠO ÔN (Bột cam) - 100gr - 100")</f>
        <v>LOT IDA Global - I - 3103 - ĐL NHẬT LINH - SẠCH ĐẠO ÔN (Bột cam) - 100gr - 100</v>
      </c>
    </row>
    <row r="3860">
      <c r="A3860" s="86">
        <f>IFERROR(__xludf.DUMMYFUNCTION("""COMPUTED_VALUE"""),3858.0)</f>
        <v>3858</v>
      </c>
      <c r="B3860" s="87" t="str">
        <f>IFERROR(__xludf.DUMMYFUNCTION("""COMPUTED_VALUE"""),"Nhãn")</f>
        <v>Nhãn</v>
      </c>
      <c r="C3860" s="87" t="str">
        <f>IFERROR(__xludf.DUMMYFUNCTION("""COMPUTED_VALUE"""),"NHG3104")</f>
        <v>NHG3104</v>
      </c>
      <c r="D3860" s="87" t="str">
        <f>IFERROR(__xludf.DUMMYFUNCTION("""COMPUTED_VALUE"""),"[Nhãn] GC - IV - 3104 - THÀNH CÔNG AGRI - BIOCRESCO (Nước nâu đen) - 500ml - 30")</f>
        <v>[Nhãn] GC - IV - 3104 - THÀNH CÔNG AGRI - BIOCRESCO (Nước nâu đen) - 500ml - 30</v>
      </c>
      <c r="E3860" s="87" t="str">
        <f>IFERROR(__xludf.DUMMYFUNCTION("""COMPUTED_VALUE"""),"Hữu cơ Organic BM Gold  FW")</f>
        <v>Hữu cơ Organic BM Gold  FW</v>
      </c>
      <c r="F3860" s="87" t="str">
        <f>IFERROR(__xludf.DUMMYFUNCTION("""COMPUTED_VALUE"""),"HH3104")</f>
        <v>HH3104</v>
      </c>
      <c r="G3860" s="87" t="str">
        <f>IFERROR(__xludf.DUMMYFUNCTION("""COMPUTED_VALUE"""),"GC - IV - 3104 - THÀNH CÔNG AGRI - BIOCRESCO (Nước nâu đen) - 500ml - 30")</f>
        <v>GC - IV - 3104 - THÀNH CÔNG AGRI - BIOCRESCO (Nước nâu đen) - 500ml - 30</v>
      </c>
    </row>
    <row r="3861">
      <c r="A3861" s="86">
        <f>IFERROR(__xludf.DUMMYFUNCTION("""COMPUTED_VALUE"""),3859.0)</f>
        <v>3859</v>
      </c>
      <c r="B3861" s="87" t="str">
        <f>IFERROR(__xludf.DUMMYFUNCTION("""COMPUTED_VALUE"""),"Nhãn")</f>
        <v>Nhãn</v>
      </c>
      <c r="C3861" s="87" t="str">
        <f>IFERROR(__xludf.DUMMYFUNCTION("""COMPUTED_VALUE"""),"NHP3104")</f>
        <v>NHP3104</v>
      </c>
      <c r="D3861" s="87" t="str">
        <f>IFERROR(__xludf.DUMMYFUNCTION("""COMPUTED_VALUE"""),"[Nhãn] GC - IV - 3104 - THÀNH CÔNG AGRI - BIOCRESCO (Nước nâu đen) - 500ml - 30")</f>
        <v>[Nhãn] GC - IV - 3104 - THÀNH CÔNG AGRI - BIOCRESCO (Nước nâu đen) - 500ml - 30</v>
      </c>
      <c r="E3861" s="87" t="str">
        <f>IFERROR(__xludf.DUMMYFUNCTION("""COMPUTED_VALUE"""),"Hữu cơ Organic BM Gold  FW")</f>
        <v>Hữu cơ Organic BM Gold  FW</v>
      </c>
      <c r="F3861" s="87" t="str">
        <f>IFERROR(__xludf.DUMMYFUNCTION("""COMPUTED_VALUE"""),"HH3104")</f>
        <v>HH3104</v>
      </c>
      <c r="G3861" s="87" t="str">
        <f>IFERROR(__xludf.DUMMYFUNCTION("""COMPUTED_VALUE"""),"GC - IV - 3104 - THÀNH CÔNG AGRI - BIOCRESCO (Nước nâu đen) - 500ml - 30")</f>
        <v>GC - IV - 3104 - THÀNH CÔNG AGRI - BIOCRESCO (Nước nâu đen) - 500ml - 30</v>
      </c>
    </row>
    <row r="3862">
      <c r="A3862" s="86">
        <f>IFERROR(__xludf.DUMMYFUNCTION("""COMPUTED_VALUE"""),3860.0)</f>
        <v>3860</v>
      </c>
      <c r="B3862" s="87" t="str">
        <f>IFERROR(__xludf.DUMMYFUNCTION("""COMPUTED_VALUE"""),"Nhãn")</f>
        <v>Nhãn</v>
      </c>
      <c r="C3862" s="87" t="str">
        <f>IFERROR(__xludf.DUMMYFUNCTION("""COMPUTED_VALUE"""),"NHD3104")</f>
        <v>NHD3104</v>
      </c>
      <c r="D3862" s="87" t="str">
        <f>IFERROR(__xludf.DUMMYFUNCTION("""COMPUTED_VALUE"""),"[Nhãn] GC - IV - 3104 - THÀNH CÔNG AGRI - BIOCRESCO (Nước nâu đen) - 500ml - 30")</f>
        <v>[Nhãn] GC - IV - 3104 - THÀNH CÔNG AGRI - BIOCRESCO (Nước nâu đen) - 500ml - 30</v>
      </c>
      <c r="E3862" s="87" t="str">
        <f>IFERROR(__xludf.DUMMYFUNCTION("""COMPUTED_VALUE"""),"Hữu cơ Organic BM Gold  FW")</f>
        <v>Hữu cơ Organic BM Gold  FW</v>
      </c>
      <c r="F3862" s="87" t="str">
        <f>IFERROR(__xludf.DUMMYFUNCTION("""COMPUTED_VALUE"""),"HH3104")</f>
        <v>HH3104</v>
      </c>
      <c r="G3862" s="87" t="str">
        <f>IFERROR(__xludf.DUMMYFUNCTION("""COMPUTED_VALUE"""),"GC - IV - 3104 - THÀNH CÔNG AGRI - BIOCRESCO (Nước nâu đen) - 500ml - 30")</f>
        <v>GC - IV - 3104 - THÀNH CÔNG AGRI - BIOCRESCO (Nước nâu đen) - 500ml - 30</v>
      </c>
    </row>
    <row r="3863">
      <c r="A3863" s="86">
        <f>IFERROR(__xludf.DUMMYFUNCTION("""COMPUTED_VALUE"""),3861.0)</f>
        <v>3861</v>
      </c>
      <c r="B3863" s="87" t="str">
        <f>IFERROR(__xludf.DUMMYFUNCTION("""COMPUTED_VALUE"""),"Nhãn")</f>
        <v>Nhãn</v>
      </c>
      <c r="C3863" s="87" t="str">
        <f>IFERROR(__xludf.DUMMYFUNCTION("""COMPUTED_VALUE"""),"NTN3105")</f>
        <v>NTN3105</v>
      </c>
      <c r="D3863" s="87" t="str">
        <f>IFERROR(__xludf.DUMMYFUNCTION("""COMPUTED_VALUE"""),"[Nhãn] GC - IV - 3105 - Lâm Thành - Thần Diệt Trùng - Thái (bột trắng) - 100gr - 150")</f>
        <v>[Nhãn] GC - IV - 3105 - Lâm Thành - Thần Diệt Trùng - Thái (bột trắng) - 100gr - 150</v>
      </c>
      <c r="E3863" s="87" t="str">
        <f>IFERROR(__xludf.DUMMYFUNCTION("""COMPUTED_VALUE"""),"NOMIDA 10WP")</f>
        <v>NOMIDA 10WP</v>
      </c>
      <c r="F3863" s="87" t="str">
        <f>IFERROR(__xludf.DUMMYFUNCTION("""COMPUTED_VALUE"""),"HH3105")</f>
        <v>HH3105</v>
      </c>
      <c r="G3863" s="87" t="str">
        <f>IFERROR(__xludf.DUMMYFUNCTION("""COMPUTED_VALUE"""),"GC - IV - 3105 - Lâm Thành - Thần Diệt Trùng - Thái (bột trắng) - 100gr - 150")</f>
        <v>GC - IV - 3105 - Lâm Thành - Thần Diệt Trùng - Thái (bột trắng) - 100gr - 150</v>
      </c>
    </row>
    <row r="3864">
      <c r="A3864" s="86">
        <f>IFERROR(__xludf.DUMMYFUNCTION("""COMPUTED_VALUE"""),3862.0)</f>
        <v>3862</v>
      </c>
      <c r="B3864" s="87" t="str">
        <f>IFERROR(__xludf.DUMMYFUNCTION("""COMPUTED_VALUE"""),"Nhãn thùng")</f>
        <v>Nhãn thùng</v>
      </c>
      <c r="C3864" s="87" t="str">
        <f>IFERROR(__xludf.DUMMYFUNCTION("""COMPUTED_VALUE"""),"NDT3105")</f>
        <v>NDT3105</v>
      </c>
      <c r="D3864" s="87" t="str">
        <f>IFERROR(__xludf.DUMMYFUNCTION("""COMPUTED_VALUE"""),"[Nhãn thùng] GC - IV - 3105 - Lâm Thành - Thần Diệt Trùng - Thái (bột trắng) - 100gr - 150")</f>
        <v>[Nhãn thùng] GC - IV - 3105 - Lâm Thành - Thần Diệt Trùng - Thái (bột trắng) - 100gr - 150</v>
      </c>
      <c r="E3864" s="87" t="str">
        <f>IFERROR(__xludf.DUMMYFUNCTION("""COMPUTED_VALUE"""),"NOMIDA 10WP")</f>
        <v>NOMIDA 10WP</v>
      </c>
      <c r="F3864" s="87" t="str">
        <f>IFERROR(__xludf.DUMMYFUNCTION("""COMPUTED_VALUE"""),"HH3105")</f>
        <v>HH3105</v>
      </c>
      <c r="G3864" s="87" t="str">
        <f>IFERROR(__xludf.DUMMYFUNCTION("""COMPUTED_VALUE"""),"GC - IV - 3105 - Lâm Thành - Thần Diệt Trùng - Thái (bột trắng) - 100gr - 150")</f>
        <v>GC - IV - 3105 - Lâm Thành - Thần Diệt Trùng - Thái (bột trắng) - 100gr - 150</v>
      </c>
    </row>
    <row r="3865">
      <c r="A3865" s="86">
        <f>IFERROR(__xludf.DUMMYFUNCTION("""COMPUTED_VALUE"""),3863.0)</f>
        <v>3863</v>
      </c>
      <c r="B3865" s="87" t="str">
        <f>IFERROR(__xludf.DUMMYFUNCTION("""COMPUTED_VALUE"""),"Nhãn")</f>
        <v>Nhãn</v>
      </c>
      <c r="C3865" s="87" t="str">
        <f>IFERROR(__xludf.DUMMYFUNCTION("""COMPUTED_VALUE"""),"NHG3106")</f>
        <v>NHG3106</v>
      </c>
      <c r="D3865" s="87" t="str">
        <f>IFERROR(__xludf.DUMMYFUNCTION("""COMPUTED_VALUE"""),"[Nhãn] DA Global - I - 3106 - ĐL PHONG CHI - MAX FUNGICIDE (Nước cam sữa) - 480ml - 40")</f>
        <v>[Nhãn] DA Global - I - 3106 - ĐL PHONG CHI - MAX FUNGICIDE (Nước cam sữa) - 480ml - 40</v>
      </c>
      <c r="E3865" s="87" t="str">
        <f>IFERROR(__xludf.DUMMYFUNCTION("""COMPUTED_VALUE"""),"CITTIZEN 333SC")</f>
        <v>CITTIZEN 333SC</v>
      </c>
      <c r="F3865" s="87" t="str">
        <f>IFERROR(__xludf.DUMMYFUNCTION("""COMPUTED_VALUE"""),"HH3106")</f>
        <v>HH3106</v>
      </c>
      <c r="G3865" s="87" t="str">
        <f>IFERROR(__xludf.DUMMYFUNCTION("""COMPUTED_VALUE"""),"DA Global - I - 3106 - ĐL PHONG CHI - MAX FUNGICIDE (Nước cam sữa) - 480ml - 40")</f>
        <v>DA Global - I - 3106 - ĐL PHONG CHI - MAX FUNGICIDE (Nước cam sữa) - 480ml - 40</v>
      </c>
    </row>
    <row r="3866">
      <c r="A3866" s="86">
        <f>IFERROR(__xludf.DUMMYFUNCTION("""COMPUTED_VALUE"""),3864.0)</f>
        <v>3864</v>
      </c>
      <c r="B3866" s="87" t="str">
        <f>IFERROR(__xludf.DUMMYFUNCTION("""COMPUTED_VALUE"""),"Nhãn")</f>
        <v>Nhãn</v>
      </c>
      <c r="C3866" s="87" t="str">
        <f>IFERROR(__xludf.DUMMYFUNCTION("""COMPUTED_VALUE"""),"NHD3107")</f>
        <v>NHD3107</v>
      </c>
      <c r="D3866" s="87" t="str">
        <f>IFERROR(__xludf.DUMMYFUNCTION("""COMPUTED_VALUE"""),"[Nhãn] IDA Global - I - 3107 - ĐL PHÚC NÔNG - CÚ MÈO (Nước đỏ) - 450ml - 40")</f>
        <v>[Nhãn] IDA Global - I - 3107 - ĐL PHÚC NÔNG - CÚ MÈO (Nước đỏ) - 450ml - 40</v>
      </c>
      <c r="E3866" s="87" t="str">
        <f>IFERROR(__xludf.DUMMYFUNCTION("""COMPUTED_VALUE"""),"Creek 2.1EC")</f>
        <v>Creek 2.1EC</v>
      </c>
      <c r="F3866" s="87" t="str">
        <f>IFERROR(__xludf.DUMMYFUNCTION("""COMPUTED_VALUE"""),"HH3107")</f>
        <v>HH3107</v>
      </c>
      <c r="G3866" s="87" t="str">
        <f>IFERROR(__xludf.DUMMYFUNCTION("""COMPUTED_VALUE"""),"IDA Global - I - 3107 - ĐL PHÚC NÔNG - CÚ MÈO (Nước đỏ) - 450ml - 40")</f>
        <v>IDA Global - I - 3107 - ĐL PHÚC NÔNG - CÚ MÈO (Nước đỏ) - 450ml - 40</v>
      </c>
    </row>
    <row r="3867">
      <c r="A3867" s="86">
        <f>IFERROR(__xludf.DUMMYFUNCTION("""COMPUTED_VALUE"""),3865.0)</f>
        <v>3865</v>
      </c>
      <c r="B3867" s="87" t="str">
        <f>IFERROR(__xludf.DUMMYFUNCTION("""COMPUTED_VALUE"""),"Nhãn thùng")</f>
        <v>Nhãn thùng</v>
      </c>
      <c r="C3867" s="87" t="str">
        <f>IFERROR(__xludf.DUMMYFUNCTION("""COMPUTED_VALUE"""),"NDT3107")</f>
        <v>NDT3107</v>
      </c>
      <c r="D3867" s="87" t="str">
        <f>IFERROR(__xludf.DUMMYFUNCTION("""COMPUTED_VALUE"""),"[Nhãn thùng] IDA Global - I - 3107 - ĐL PHÚC NÔNG - CÚ MÈO (Nước đỏ) - 450ml - 40")</f>
        <v>[Nhãn thùng] IDA Global - I - 3107 - ĐL PHÚC NÔNG - CÚ MÈO (Nước đỏ) - 450ml - 40</v>
      </c>
      <c r="E3867" s="87" t="str">
        <f>IFERROR(__xludf.DUMMYFUNCTION("""COMPUTED_VALUE"""),"Creek 2.1EC")</f>
        <v>Creek 2.1EC</v>
      </c>
      <c r="F3867" s="87" t="str">
        <f>IFERROR(__xludf.DUMMYFUNCTION("""COMPUTED_VALUE"""),"HH3107")</f>
        <v>HH3107</v>
      </c>
      <c r="G3867" s="87" t="str">
        <f>IFERROR(__xludf.DUMMYFUNCTION("""COMPUTED_VALUE"""),"IDA Global - I - 3107 - ĐL PHÚC NÔNG - CÚ MÈO (Nước đỏ) - 450ml - 40")</f>
        <v>IDA Global - I - 3107 - ĐL PHÚC NÔNG - CÚ MÈO (Nước đỏ) - 450ml - 40</v>
      </c>
    </row>
    <row r="3868">
      <c r="A3868" s="86">
        <f>IFERROR(__xludf.DUMMYFUNCTION("""COMPUTED_VALUE"""),3866.0)</f>
        <v>3866</v>
      </c>
      <c r="B3868" s="87" t="str">
        <f>IFERROR(__xludf.DUMMYFUNCTION("""COMPUTED_VALUE"""),"Nhãn")</f>
        <v>Nhãn</v>
      </c>
      <c r="C3868" s="87" t="str">
        <f>IFERROR(__xludf.DUMMYFUNCTION("""COMPUTED_VALUE"""),"NHG3108")</f>
        <v>NHG3108</v>
      </c>
      <c r="D3868" s="87" t="str">
        <f>IFERROR(__xludf.DUMMYFUNCTION("""COMPUTED_VALUE"""),"[Nhãn] GC - IV - 3108 - CTY NEWTEX - KẼM XANH (Nước xanh dương) - 500ml - 40")</f>
        <v>[Nhãn] GC - IV - 3108 - CTY NEWTEX - KẼM XANH (Nước xanh dương) - 500ml - 40</v>
      </c>
      <c r="E3868" s="87"/>
      <c r="F3868" s="87"/>
      <c r="G3868" s="87"/>
    </row>
    <row r="3869">
      <c r="A3869" s="86">
        <f>IFERROR(__xludf.DUMMYFUNCTION("""COMPUTED_VALUE"""),3867.0)</f>
        <v>3867</v>
      </c>
      <c r="B3869" s="87" t="str">
        <f>IFERROR(__xludf.DUMMYFUNCTION("""COMPUTED_VALUE"""),"ABA")</f>
        <v>ABA</v>
      </c>
      <c r="C3869" s="87" t="str">
        <f>IFERROR(__xludf.DUMMYFUNCTION("""COMPUTED_VALUE"""),"900ml")</f>
        <v>900ml</v>
      </c>
      <c r="D3869" s="87" t="str">
        <f>IFERROR(__xludf.DUMMYFUNCTION("""COMPUTED_VALUE"""),"20")</f>
        <v>20</v>
      </c>
      <c r="E3869" s="87" t="str">
        <f>IFERROR(__xludf.DUMMYFUNCTION("""COMPUTED_VALUE"""),"Nhãn giấy cán bóng")</f>
        <v>Nhãn giấy cán bóng</v>
      </c>
      <c r="F3869" s="87" t="str">
        <f>IFERROR(__xludf.DUMMYFUNCTION("""COMPUTED_VALUE"""),"Cái")</f>
        <v>Cái</v>
      </c>
      <c r="G3869" s="87"/>
    </row>
    <row r="3870">
      <c r="A3870" s="86">
        <f>IFERROR(__xludf.DUMMYFUNCTION("""COMPUTED_VALUE"""),3868.0)</f>
        <v>3868</v>
      </c>
      <c r="B3870" s="87" t="str">
        <f>IFERROR(__xludf.DUMMYFUNCTION("""COMPUTED_VALUE"""),"Nhãn")</f>
        <v>Nhãn</v>
      </c>
      <c r="C3870" s="87" t="str">
        <f>IFERROR(__xludf.DUMMYFUNCTION("""COMPUTED_VALUE"""),"NHD3109")</f>
        <v>NHD3109</v>
      </c>
      <c r="D3870" s="87" t="str">
        <f>IFERROR(__xludf.DUMMYFUNCTION("""COMPUTED_VALUE"""),"[Nhãn] GC - IV - 3109 - LÂM THÀNH - EMA 19 (Nước xanh dương) - 450ml - 40")</f>
        <v>[Nhãn] GC - IV - 3109 - LÂM THÀNH - EMA 19 (Nước xanh dương) - 450ml - 40</v>
      </c>
      <c r="E3870" s="87" t="str">
        <f>IFERROR(__xludf.DUMMYFUNCTION("""COMPUTED_VALUE"""),"Creek 2.1EC")</f>
        <v>Creek 2.1EC</v>
      </c>
      <c r="F3870" s="87" t="str">
        <f>IFERROR(__xludf.DUMMYFUNCTION("""COMPUTED_VALUE"""),"HH3109")</f>
        <v>HH3109</v>
      </c>
      <c r="G3870" s="87" t="str">
        <f>IFERROR(__xludf.DUMMYFUNCTION("""COMPUTED_VALUE"""),"GC - IV - 3109 - LÂM THÀNH - EMA 19 (Nước xanh dương) - 450ml - 40")</f>
        <v>GC - IV - 3109 - LÂM THÀNH - EMA 19 (Nước xanh dương) - 450ml - 40</v>
      </c>
    </row>
    <row r="3871">
      <c r="A3871" s="86">
        <f>IFERROR(__xludf.DUMMYFUNCTION("""COMPUTED_VALUE"""),3869.0)</f>
        <v>3869</v>
      </c>
      <c r="B3871" s="87" t="str">
        <f>IFERROR(__xludf.DUMMYFUNCTION("""COMPUTED_VALUE"""),"Nhãn thùng")</f>
        <v>Nhãn thùng</v>
      </c>
      <c r="C3871" s="87" t="str">
        <f>IFERROR(__xludf.DUMMYFUNCTION("""COMPUTED_VALUE"""),"NDT3109")</f>
        <v>NDT3109</v>
      </c>
      <c r="D3871" s="87" t="str">
        <f>IFERROR(__xludf.DUMMYFUNCTION("""COMPUTED_VALUE"""),"[Nhãn thùng] GC - IV - 3109 - LÂM THÀNH - EMA 19 (Nước xanh dương) - 450ml - 40")</f>
        <v>[Nhãn thùng] GC - IV - 3109 - LÂM THÀNH - EMA 19 (Nước xanh dương) - 450ml - 40</v>
      </c>
      <c r="E3871" s="87" t="str">
        <f>IFERROR(__xludf.DUMMYFUNCTION("""COMPUTED_VALUE"""),"Creek 2.1EC")</f>
        <v>Creek 2.1EC</v>
      </c>
      <c r="F3871" s="87" t="str">
        <f>IFERROR(__xludf.DUMMYFUNCTION("""COMPUTED_VALUE"""),"HH3109")</f>
        <v>HH3109</v>
      </c>
      <c r="G3871" s="87" t="str">
        <f>IFERROR(__xludf.DUMMYFUNCTION("""COMPUTED_VALUE"""),"GC - IV - 3109 - LÂM THÀNH - EMA 19 (Nước xanh dương) - 450ml - 40")</f>
        <v>GC - IV - 3109 - LÂM THÀNH - EMA 19 (Nước xanh dương) - 450ml - 40</v>
      </c>
    </row>
    <row r="3872">
      <c r="A3872" s="86">
        <f>IFERROR(__xludf.DUMMYFUNCTION("""COMPUTED_VALUE"""),3870.0)</f>
        <v>3870</v>
      </c>
      <c r="B3872" s="87" t="str">
        <f>IFERROR(__xludf.DUMMYFUNCTION("""COMPUTED_VALUE"""),"Nhãn")</f>
        <v>Nhãn</v>
      </c>
      <c r="C3872" s="87" t="str">
        <f>IFERROR(__xludf.DUMMYFUNCTION("""COMPUTED_VALUE"""),"NHD3111")</f>
        <v>NHD3111</v>
      </c>
      <c r="D3872" s="87" t="str">
        <f>IFERROR(__xludf.DUMMYFUNCTION("""COMPUTED_VALUE"""),"[Nhãn] GC - IV - 3111 - NEWTECH CROP SCIENCE - THIPRO 550EC (Nước vàng trà) - 400ml - 30")</f>
        <v>[Nhãn] GC - IV - 3111 - NEWTECH CROP SCIENCE - THIPRO 550EC (Nước vàng trà) - 400ml - 30</v>
      </c>
      <c r="E3872" s="87" t="str">
        <f>IFERROR(__xludf.DUMMYFUNCTION("""COMPUTED_VALUE"""),"Thipro 550EC")</f>
        <v>Thipro 550EC</v>
      </c>
      <c r="F3872" s="87" t="str">
        <f>IFERROR(__xludf.DUMMYFUNCTION("""COMPUTED_VALUE"""),"HH3111")</f>
        <v>HH3111</v>
      </c>
      <c r="G3872" s="87" t="str">
        <f>IFERROR(__xludf.DUMMYFUNCTION("""COMPUTED_VALUE"""),"GC - IV - 3111 - NEWTECH CROP SCIENCE - THIPRO 550EC (Nước vàng trà) - 400ml - 30")</f>
        <v>GC - IV - 3111 - NEWTECH CROP SCIENCE - THIPRO 550EC (Nước vàng trà) - 400ml - 30</v>
      </c>
    </row>
    <row r="3873">
      <c r="A3873" s="86">
        <f>IFERROR(__xludf.DUMMYFUNCTION("""COMPUTED_VALUE"""),3871.0)</f>
        <v>3871</v>
      </c>
      <c r="B3873" s="87" t="str">
        <f>IFERROR(__xludf.DUMMYFUNCTION("""COMPUTED_VALUE"""),"Nhãn thùng")</f>
        <v>Nhãn thùng</v>
      </c>
      <c r="C3873" s="87" t="str">
        <f>IFERROR(__xludf.DUMMYFUNCTION("""COMPUTED_VALUE"""),"NDT3111")</f>
        <v>NDT3111</v>
      </c>
      <c r="D3873" s="87" t="str">
        <f>IFERROR(__xludf.DUMMYFUNCTION("""COMPUTED_VALUE"""),"[Nhãn thùng] GC - IV - 3111 - NEWTECH CROP SCIENCE - THIPRO 550EC (Nước vàng trà) - 400ml - 30")</f>
        <v>[Nhãn thùng] GC - IV - 3111 - NEWTECH CROP SCIENCE - THIPRO 550EC (Nước vàng trà) - 400ml - 30</v>
      </c>
      <c r="E3873" s="87" t="str">
        <f>IFERROR(__xludf.DUMMYFUNCTION("""COMPUTED_VALUE"""),"Thipro 550EC")</f>
        <v>Thipro 550EC</v>
      </c>
      <c r="F3873" s="87" t="str">
        <f>IFERROR(__xludf.DUMMYFUNCTION("""COMPUTED_VALUE"""),"HH3111")</f>
        <v>HH3111</v>
      </c>
      <c r="G3873" s="87" t="str">
        <f>IFERROR(__xludf.DUMMYFUNCTION("""COMPUTED_VALUE"""),"GC - IV - 3111 - NEWTECH CROP SCIENCE - THIPRO 550EC (Nước vàng trà) - 400ml - 30")</f>
        <v>GC - IV - 3111 - NEWTECH CROP SCIENCE - THIPRO 550EC (Nước vàng trà) - 400ml - 30</v>
      </c>
    </row>
    <row r="3874">
      <c r="A3874" s="86">
        <f>IFERROR(__xludf.DUMMYFUNCTION("""COMPUTED_VALUE"""),3872.0)</f>
        <v>3872</v>
      </c>
      <c r="B3874" s="87" t="str">
        <f>IFERROR(__xludf.DUMMYFUNCTION("""COMPUTED_VALUE"""),"Nhãn")</f>
        <v>Nhãn</v>
      </c>
      <c r="C3874" s="87" t="str">
        <f>IFERROR(__xludf.DUMMYFUNCTION("""COMPUTED_VALUE"""),"NHG3112")</f>
        <v>NHG3112</v>
      </c>
      <c r="D3874" s="87" t="str">
        <f>IFERROR(__xludf.DUMMYFUNCTION("""COMPUTED_VALUE"""),"[Nhãn] GC - IV - 3112 - CTY THIÊN DI - THIDI PLUM MAX+ (Nước nâu đen) - 500ml - 40")</f>
        <v>[Nhãn] GC - IV - 3112 - CTY THIÊN DI - THIDI PLUM MAX+ (Nước nâu đen) - 500ml - 40</v>
      </c>
      <c r="E3874" s="87" t="str">
        <f>IFERROR(__xludf.DUMMYFUNCTION("""COMPUTED_VALUE"""),"Vi lượng Quantity New")</f>
        <v>Vi lượng Quantity New</v>
      </c>
      <c r="F3874" s="87" t="str">
        <f>IFERROR(__xludf.DUMMYFUNCTION("""COMPUTED_VALUE"""),"HH3112")</f>
        <v>HH3112</v>
      </c>
      <c r="G3874" s="87" t="str">
        <f>IFERROR(__xludf.DUMMYFUNCTION("""COMPUTED_VALUE"""),"GC - IV - 3112 - CTY THIÊN DI - THIDI PLUM MAX+ (Nước nâu đen) - 500ml - 40")</f>
        <v>GC - IV - 3112 - CTY THIÊN DI - THIDI PLUM MAX+ (Nước nâu đen) - 500ml - 40</v>
      </c>
    </row>
    <row r="3875">
      <c r="A3875" s="86">
        <f>IFERROR(__xludf.DUMMYFUNCTION("""COMPUTED_VALUE"""),3873.0)</f>
        <v>3873</v>
      </c>
      <c r="B3875" s="87" t="str">
        <f>IFERROR(__xludf.DUMMYFUNCTION("""COMPUTED_VALUE"""),"Nhãn")</f>
        <v>Nhãn</v>
      </c>
      <c r="C3875" s="87" t="str">
        <f>IFERROR(__xludf.DUMMYFUNCTION("""COMPUTED_VALUE"""),"NHD3113")</f>
        <v>NHD3113</v>
      </c>
      <c r="D3875" s="87" t="str">
        <f>IFERROR(__xludf.DUMMYFUNCTION("""COMPUTED_VALUE"""),"[Nhãn] GC - IV - 3113 - CTY QUANG ĐĂNG AGRICULTURE - ORGA AMINO - QĐ.MAX (Nước nâu đen) - 500ml - 40")</f>
        <v>[Nhãn] GC - IV - 3113 - CTY QUANG ĐĂNG AGRICULTURE - ORGA AMINO - QĐ.MAX (Nước nâu đen) - 500ml - 40</v>
      </c>
      <c r="E3875" s="87" t="str">
        <f>IFERROR(__xludf.DUMMYFUNCTION("""COMPUTED_VALUE"""),"Hữu cơ Organic BM Gold  FW")</f>
        <v>Hữu cơ Organic BM Gold  FW</v>
      </c>
      <c r="F3875" s="87" t="str">
        <f>IFERROR(__xludf.DUMMYFUNCTION("""COMPUTED_VALUE"""),"HH3113")</f>
        <v>HH3113</v>
      </c>
      <c r="G3875" s="87" t="str">
        <f>IFERROR(__xludf.DUMMYFUNCTION("""COMPUTED_VALUE"""),"GC - IV - 3113 - Cty Quang Đăng Agriculture - ORGA AMINO - QĐ.MAX (Nước nâu đen) - 500ml - 40")</f>
        <v>GC - IV - 3113 - Cty Quang Đăng Agriculture - ORGA AMINO - QĐ.MAX (Nước nâu đen) - 500ml - 40</v>
      </c>
    </row>
    <row r="3876">
      <c r="A3876" s="86">
        <f>IFERROR(__xludf.DUMMYFUNCTION("""COMPUTED_VALUE"""),3874.0)</f>
        <v>3874</v>
      </c>
      <c r="B3876" s="87" t="str">
        <f>IFERROR(__xludf.DUMMYFUNCTION("""COMPUTED_VALUE"""),"Nhãn thùng")</f>
        <v>Nhãn thùng</v>
      </c>
      <c r="C3876" s="87" t="str">
        <f>IFERROR(__xludf.DUMMYFUNCTION("""COMPUTED_VALUE"""),"NDT3113")</f>
        <v>NDT3113</v>
      </c>
      <c r="D3876" s="87" t="str">
        <f>IFERROR(__xludf.DUMMYFUNCTION("""COMPUTED_VALUE"""),"[Nhãn thùng] GC - IV - 3113 - CTY QUANG ĐĂNG AGRICULTURE - ORGA AMINO - QĐ.MAX (Nước nâu đen) - 500ml - 40")</f>
        <v>[Nhãn thùng] GC - IV - 3113 - CTY QUANG ĐĂNG AGRICULTURE - ORGA AMINO - QĐ.MAX (Nước nâu đen) - 500ml - 40</v>
      </c>
      <c r="E3876" s="87" t="str">
        <f>IFERROR(__xludf.DUMMYFUNCTION("""COMPUTED_VALUE"""),"Hữu cơ Organic BM Gold  FW")</f>
        <v>Hữu cơ Organic BM Gold  FW</v>
      </c>
      <c r="F3876" s="87" t="str">
        <f>IFERROR(__xludf.DUMMYFUNCTION("""COMPUTED_VALUE"""),"HH3113")</f>
        <v>HH3113</v>
      </c>
      <c r="G3876" s="87" t="str">
        <f>IFERROR(__xludf.DUMMYFUNCTION("""COMPUTED_VALUE"""),"GC - IV - 3113 - Cty Quang Đăng Agriculture - ORGA AMINO - QĐ.MAX (Nước nâu đen) - 500ml - 40")</f>
        <v>GC - IV - 3113 - Cty Quang Đăng Agriculture - ORGA AMINO - QĐ.MAX (Nước nâu đen) - 500ml - 40</v>
      </c>
    </row>
    <row r="3877">
      <c r="A3877" s="86">
        <f>IFERROR(__xludf.DUMMYFUNCTION("""COMPUTED_VALUE"""),3875.0)</f>
        <v>3875</v>
      </c>
      <c r="B3877" s="87" t="str">
        <f>IFERROR(__xludf.DUMMYFUNCTION("""COMPUTED_VALUE"""),"Nhãn")</f>
        <v>Nhãn</v>
      </c>
      <c r="C3877" s="87" t="str">
        <f>IFERROR(__xludf.DUMMYFUNCTION("""COMPUTED_VALUE"""),"NHG3114")</f>
        <v>NHG3114</v>
      </c>
      <c r="D3877" s="87" t="str">
        <f>IFERROR(__xludf.DUMMYFUNCTION("""COMPUTED_VALUE"""),"[Nhãn] GC - V - 3114 - N2SBIO - N2 HYPER LOCK (Nước nâu đen) - 1L - 20")</f>
        <v>[Nhãn] GC - V - 3114 - N2SBIO - N2 HYPER LOCK (Nước nâu đen) - 1L - 20</v>
      </c>
      <c r="E3877" s="87" t="str">
        <f>IFERROR(__xludf.DUMMYFUNCTION("""COMPUTED_VALUE"""),"Hữu cơ SH Agro Organic Fertilizer 20")</f>
        <v>Hữu cơ SH Agro Organic Fertilizer 20</v>
      </c>
      <c r="F3877" s="87" t="str">
        <f>IFERROR(__xludf.DUMMYFUNCTION("""COMPUTED_VALUE"""),"HH3114")</f>
        <v>HH3114</v>
      </c>
      <c r="G3877" s="87" t="str">
        <f>IFERROR(__xludf.DUMMYFUNCTION("""COMPUTED_VALUE"""),"GC - V - 3114 - N2SBIO - N2 HYPER LOCK (Nước nâu đen) - 1L - 20")</f>
        <v>GC - V - 3114 - N2SBIO - N2 HYPER LOCK (Nước nâu đen) - 1L - 20</v>
      </c>
    </row>
    <row r="3878">
      <c r="A3878" s="86">
        <f>IFERROR(__xludf.DUMMYFUNCTION("""COMPUTED_VALUE"""),3876.0)</f>
        <v>3876</v>
      </c>
      <c r="B3878" s="87" t="str">
        <f>IFERROR(__xludf.DUMMYFUNCTION("""COMPUTED_VALUE"""),"Nhãn")</f>
        <v>Nhãn</v>
      </c>
      <c r="C3878" s="87" t="str">
        <f>IFERROR(__xludf.DUMMYFUNCTION("""COMPUTED_VALUE"""),"NHD3114")</f>
        <v>NHD3114</v>
      </c>
      <c r="D3878" s="87" t="str">
        <f>IFERROR(__xludf.DUMMYFUNCTION("""COMPUTED_VALUE"""),"[Nhãn] GC - V - 3114 - N2SBIO - N2 HYPER LOCK (Nước nâu đen) - 1L - 20")</f>
        <v>[Nhãn] GC - V - 3114 - N2SBIO - N2 HYPER LOCK (Nước nâu đen) - 1L - 20</v>
      </c>
      <c r="E3878" s="87" t="str">
        <f>IFERROR(__xludf.DUMMYFUNCTION("""COMPUTED_VALUE"""),"Hữu cơ SH Agro Organic Fertilizer 20")</f>
        <v>Hữu cơ SH Agro Organic Fertilizer 20</v>
      </c>
      <c r="F3878" s="87" t="str">
        <f>IFERROR(__xludf.DUMMYFUNCTION("""COMPUTED_VALUE"""),"HH3114")</f>
        <v>HH3114</v>
      </c>
      <c r="G3878" s="87" t="str">
        <f>IFERROR(__xludf.DUMMYFUNCTION("""COMPUTED_VALUE"""),"GC - V - 3114 - N2SBIO - N2 HYPER LOCK (Nước nâu đen) - 1L - 20")</f>
        <v>GC - V - 3114 - N2SBIO - N2 HYPER LOCK (Nước nâu đen) - 1L - 20</v>
      </c>
    </row>
    <row r="3879">
      <c r="A3879" s="86">
        <f>IFERROR(__xludf.DUMMYFUNCTION("""COMPUTED_VALUE"""),3877.0)</f>
        <v>3877</v>
      </c>
      <c r="B3879" s="87" t="str">
        <f>IFERROR(__xludf.DUMMYFUNCTION("""COMPUTED_VALUE"""),"Nhãn")</f>
        <v>Nhãn</v>
      </c>
      <c r="C3879" s="87" t="str">
        <f>IFERROR(__xludf.DUMMYFUNCTION("""COMPUTED_VALUE"""),"NHG3115")</f>
        <v>NHG3115</v>
      </c>
      <c r="D3879" s="87" t="str">
        <f>IFERROR(__xludf.DUMMYFUNCTION("""COMPUTED_VALUE"""),"[Nhãn] GC - V - 3115 - N2SBIO - N2 HYPER CALBOR (Nước trắng ngà) - 500ml - 40")</f>
        <v>[Nhãn] GC - V - 3115 - N2SBIO - N2 HYPER CALBOR (Nước trắng ngà) - 500ml - 40</v>
      </c>
      <c r="E3879" s="87" t="str">
        <f>IFERROR(__xludf.DUMMYFUNCTION("""COMPUTED_VALUE"""),"Vi lượng AGAMA-CANXI BO")</f>
        <v>Vi lượng AGAMA-CANXI BO</v>
      </c>
      <c r="F3879" s="87" t="str">
        <f>IFERROR(__xludf.DUMMYFUNCTION("""COMPUTED_VALUE"""),"HH3115")</f>
        <v>HH3115</v>
      </c>
      <c r="G3879" s="87" t="str">
        <f>IFERROR(__xludf.DUMMYFUNCTION("""COMPUTED_VALUE"""),"GC - V - 3115 - N2SBIO - N2 HYPER CALBOR (Nước trắng ngà) - 500ml - 40")</f>
        <v>GC - V - 3115 - N2SBIO - N2 HYPER CALBOR (Nước trắng ngà) - 500ml - 40</v>
      </c>
    </row>
    <row r="3880">
      <c r="A3880" s="86">
        <f>IFERROR(__xludf.DUMMYFUNCTION("""COMPUTED_VALUE"""),3878.0)</f>
        <v>3878</v>
      </c>
      <c r="B3880" s="87" t="str">
        <f>IFERROR(__xludf.DUMMYFUNCTION("""COMPUTED_VALUE"""),"Nhãn")</f>
        <v>Nhãn</v>
      </c>
      <c r="C3880" s="87" t="str">
        <f>IFERROR(__xludf.DUMMYFUNCTION("""COMPUTED_VALUE"""),"NHD3115")</f>
        <v>NHD3115</v>
      </c>
      <c r="D3880" s="87" t="str">
        <f>IFERROR(__xludf.DUMMYFUNCTION("""COMPUTED_VALUE"""),"[Nhãn] GC - V - 3115 - N2SBIO - N2 HYPER CALBOR (Nước trắng ngà) - 500ml - 40")</f>
        <v>[Nhãn] GC - V - 3115 - N2SBIO - N2 HYPER CALBOR (Nước trắng ngà) - 500ml - 40</v>
      </c>
      <c r="E3880" s="87" t="str">
        <f>IFERROR(__xludf.DUMMYFUNCTION("""COMPUTED_VALUE"""),"Vi lượng AGAMA-CANXI BO")</f>
        <v>Vi lượng AGAMA-CANXI BO</v>
      </c>
      <c r="F3880" s="87" t="str">
        <f>IFERROR(__xludf.DUMMYFUNCTION("""COMPUTED_VALUE"""),"HH3115")</f>
        <v>HH3115</v>
      </c>
      <c r="G3880" s="87" t="str">
        <f>IFERROR(__xludf.DUMMYFUNCTION("""COMPUTED_VALUE"""),"GC - V - 3115 - N2SBIO - N2 HYPER CALBOR (Nước trắng ngà) - 500ml - 40")</f>
        <v>GC - V - 3115 - N2SBIO - N2 HYPER CALBOR (Nước trắng ngà) - 500ml - 40</v>
      </c>
    </row>
    <row r="3881">
      <c r="A3881" s="86">
        <f>IFERROR(__xludf.DUMMYFUNCTION("""COMPUTED_VALUE"""),3879.0)</f>
        <v>3879</v>
      </c>
      <c r="B3881" s="87" t="str">
        <f>IFERROR(__xludf.DUMMYFUNCTION("""COMPUTED_VALUE"""),"Nhãn")</f>
        <v>Nhãn</v>
      </c>
      <c r="C3881" s="87" t="str">
        <f>IFERROR(__xludf.DUMMYFUNCTION("""COMPUTED_VALUE"""),"NHG3116")</f>
        <v>NHG3116</v>
      </c>
      <c r="D3881" s="87" t="str">
        <f>IFERROR(__xludf.DUMMYFUNCTION("""COMPUTED_VALUE"""),"[Nhãn] GC - V - 3116 - N2SBIO - N2 ANTI STRESS (Nước nâu đen) - 500ml - 40")</f>
        <v>[Nhãn] GC - V - 3116 - N2SBIO - N2 ANTI STRESS (Nước nâu đen) - 500ml - 40</v>
      </c>
      <c r="E3881" s="87" t="str">
        <f>IFERROR(__xludf.DUMMYFUNCTION("""COMPUTED_VALUE"""),"Hữu cơ Organic BM Gold  FW")</f>
        <v>Hữu cơ Organic BM Gold  FW</v>
      </c>
      <c r="F3881" s="87" t="str">
        <f>IFERROR(__xludf.DUMMYFUNCTION("""COMPUTED_VALUE"""),"HH3116")</f>
        <v>HH3116</v>
      </c>
      <c r="G3881" s="87" t="str">
        <f>IFERROR(__xludf.DUMMYFUNCTION("""COMPUTED_VALUE"""),"GC - V - 3116 - N2SBIO - N2 ANTI STRESS (Nước nâu đen) - 500ml - 40")</f>
        <v>GC - V - 3116 - N2SBIO - N2 ANTI STRESS (Nước nâu đen) - 500ml - 40</v>
      </c>
    </row>
    <row r="3882">
      <c r="A3882" s="86">
        <f>IFERROR(__xludf.DUMMYFUNCTION("""COMPUTED_VALUE"""),3880.0)</f>
        <v>3880</v>
      </c>
      <c r="B3882" s="87" t="str">
        <f>IFERROR(__xludf.DUMMYFUNCTION("""COMPUTED_VALUE"""),"Nhãn")</f>
        <v>Nhãn</v>
      </c>
      <c r="C3882" s="87" t="str">
        <f>IFERROR(__xludf.DUMMYFUNCTION("""COMPUTED_VALUE"""),"NHD3116")</f>
        <v>NHD3116</v>
      </c>
      <c r="D3882" s="87" t="str">
        <f>IFERROR(__xludf.DUMMYFUNCTION("""COMPUTED_VALUE"""),"[Nhãn] GC - V - 3116 - N2SBIO - N2 ANTI STRESS (Nước nâu đen) - 500ml - 40")</f>
        <v>[Nhãn] GC - V - 3116 - N2SBIO - N2 ANTI STRESS (Nước nâu đen) - 500ml - 40</v>
      </c>
      <c r="E3882" s="87" t="str">
        <f>IFERROR(__xludf.DUMMYFUNCTION("""COMPUTED_VALUE"""),"Hữu cơ Organic BM Gold  FW")</f>
        <v>Hữu cơ Organic BM Gold  FW</v>
      </c>
      <c r="F3882" s="87" t="str">
        <f>IFERROR(__xludf.DUMMYFUNCTION("""COMPUTED_VALUE"""),"HH3116")</f>
        <v>HH3116</v>
      </c>
      <c r="G3882" s="87" t="str">
        <f>IFERROR(__xludf.DUMMYFUNCTION("""COMPUTED_VALUE"""),"GC - V - 3116 - N2SBIO - N2 ANTI STRESS (Nước nâu đen) - 500ml - 40")</f>
        <v>GC - V - 3116 - N2SBIO - N2 ANTI STRESS (Nước nâu đen) - 500ml - 40</v>
      </c>
    </row>
    <row r="3883">
      <c r="A3883" s="86">
        <f>IFERROR(__xludf.DUMMYFUNCTION("""COMPUTED_VALUE"""),3881.0)</f>
        <v>3881</v>
      </c>
      <c r="B3883" s="87" t="str">
        <f>IFERROR(__xludf.DUMMYFUNCTION("""COMPUTED_VALUE"""),"Nhãn")</f>
        <v>Nhãn</v>
      </c>
      <c r="C3883" s="87" t="str">
        <f>IFERROR(__xludf.DUMMYFUNCTION("""COMPUTED_VALUE"""),"NHG3117")</f>
        <v>NHG3117</v>
      </c>
      <c r="D3883" s="87" t="str">
        <f>IFERROR(__xludf.DUMMYFUNCTION("""COMPUTED_VALUE"""),"[Nhãn] GC - V - 3117 - N2SBIO - N2 PHYTO PLUS (Nước nâu đen) - 500ml - 40")</f>
        <v>[Nhãn] GC - V - 3117 - N2SBIO - N2 PHYTO PLUS (Nước nâu đen) - 500ml - 40</v>
      </c>
      <c r="E3883" s="87" t="str">
        <f>IFERROR(__xludf.DUMMYFUNCTION("""COMPUTED_VALUE"""),"Hữu cơ SH Agro Organic Fertilizer 20")</f>
        <v>Hữu cơ SH Agro Organic Fertilizer 20</v>
      </c>
      <c r="F3883" s="87" t="str">
        <f>IFERROR(__xludf.DUMMYFUNCTION("""COMPUTED_VALUE"""),"HH3117")</f>
        <v>HH3117</v>
      </c>
      <c r="G3883" s="87" t="str">
        <f>IFERROR(__xludf.DUMMYFUNCTION("""COMPUTED_VALUE"""),"GC - V - 3117 - N2SBIO - N2 PHYTO PLUS (Nước nâu đen) - 500ml - 40")</f>
        <v>GC - V - 3117 - N2SBIO - N2 PHYTO PLUS (Nước nâu đen) - 500ml - 40</v>
      </c>
    </row>
    <row r="3884">
      <c r="A3884" s="86">
        <f>IFERROR(__xludf.DUMMYFUNCTION("""COMPUTED_VALUE"""),3882.0)</f>
        <v>3882</v>
      </c>
      <c r="B3884" s="87" t="str">
        <f>IFERROR(__xludf.DUMMYFUNCTION("""COMPUTED_VALUE"""),"Nhãn")</f>
        <v>Nhãn</v>
      </c>
      <c r="C3884" s="87" t="str">
        <f>IFERROR(__xludf.DUMMYFUNCTION("""COMPUTED_VALUE"""),"NHD3117")</f>
        <v>NHD3117</v>
      </c>
      <c r="D3884" s="87" t="str">
        <f>IFERROR(__xludf.DUMMYFUNCTION("""COMPUTED_VALUE"""),"[Nhãn] GC - V - 3117 - N2SBIO - N2 PHYTO PLUS (Nước nâu đen) - 500ml - 40")</f>
        <v>[Nhãn] GC - V - 3117 - N2SBIO - N2 PHYTO PLUS (Nước nâu đen) - 500ml - 40</v>
      </c>
      <c r="E3884" s="87" t="str">
        <f>IFERROR(__xludf.DUMMYFUNCTION("""COMPUTED_VALUE"""),"Hữu cơ SH Agro Organic Fertilizer 20")</f>
        <v>Hữu cơ SH Agro Organic Fertilizer 20</v>
      </c>
      <c r="F3884" s="87" t="str">
        <f>IFERROR(__xludf.DUMMYFUNCTION("""COMPUTED_VALUE"""),"HH3117")</f>
        <v>HH3117</v>
      </c>
      <c r="G3884" s="87" t="str">
        <f>IFERROR(__xludf.DUMMYFUNCTION("""COMPUTED_VALUE"""),"GC - V - 3117 - N2SBIO - N2 PHYTO PLUS (Nước nâu đen) - 500ml - 40")</f>
        <v>GC - V - 3117 - N2SBIO - N2 PHYTO PLUS (Nước nâu đen) - 500ml - 40</v>
      </c>
    </row>
    <row r="3885">
      <c r="A3885" s="86">
        <f>IFERROR(__xludf.DUMMYFUNCTION("""COMPUTED_VALUE"""),3883.0)</f>
        <v>3883</v>
      </c>
      <c r="B3885" s="87" t="str">
        <f>IFERROR(__xludf.DUMMYFUNCTION("""COMPUTED_VALUE"""),"Nhãn")</f>
        <v>Nhãn</v>
      </c>
      <c r="C3885" s="87" t="str">
        <f>IFERROR(__xludf.DUMMYFUNCTION("""COMPUTED_VALUE"""),"NHD3118")</f>
        <v>NHD3118</v>
      </c>
      <c r="D3885" s="87" t="str">
        <f>IFERROR(__xludf.DUMMYFUNCTION("""COMPUTED_VALUE"""),"[Nhãn] GC - V - 3118 - N2SBIO - N2 BOOSTER (Nước nâu đen) - 5L - 4")</f>
        <v>[Nhãn] GC - V - 3118 - N2SBIO - N2 BOOSTER (Nước nâu đen) - 5L - 4</v>
      </c>
      <c r="E3885" s="87" t="str">
        <f>IFERROR(__xludf.DUMMYFUNCTION("""COMPUTED_VALUE"""),"Hữu cơ Organic BM Gold  FW")</f>
        <v>Hữu cơ Organic BM Gold  FW</v>
      </c>
      <c r="F3885" s="87" t="str">
        <f>IFERROR(__xludf.DUMMYFUNCTION("""COMPUTED_VALUE"""),"HH3118")</f>
        <v>HH3118</v>
      </c>
      <c r="G3885" s="87" t="str">
        <f>IFERROR(__xludf.DUMMYFUNCTION("""COMPUTED_VALUE"""),"GC - V - 3118 - N2SBIO - N2 BOOSTER (Nước nâu đen) - 5L - 4")</f>
        <v>GC - V - 3118 - N2SBIO - N2 BOOSTER (Nước nâu đen) - 5L - 4</v>
      </c>
    </row>
    <row r="3886">
      <c r="A3886" s="86">
        <f>IFERROR(__xludf.DUMMYFUNCTION("""COMPUTED_VALUE"""),3884.0)</f>
        <v>3884</v>
      </c>
      <c r="B3886" s="87" t="str">
        <f>IFERROR(__xludf.DUMMYFUNCTION("""COMPUTED_VALUE"""),"Nhãn thùng")</f>
        <v>Nhãn thùng</v>
      </c>
      <c r="C3886" s="87" t="str">
        <f>IFERROR(__xludf.DUMMYFUNCTION("""COMPUTED_VALUE"""),"NDT3118")</f>
        <v>NDT3118</v>
      </c>
      <c r="D3886" s="87" t="str">
        <f>IFERROR(__xludf.DUMMYFUNCTION("""COMPUTED_VALUE"""),"[Nhãn thùng] GC - V - 3118 - N2SBIO - N2 BOOSTER (Nước nâu đen) - 5L - 4")</f>
        <v>[Nhãn thùng] GC - V - 3118 - N2SBIO - N2 BOOSTER (Nước nâu đen) - 5L - 4</v>
      </c>
      <c r="E3886" s="87" t="str">
        <f>IFERROR(__xludf.DUMMYFUNCTION("""COMPUTED_VALUE"""),"Hữu cơ Organic BM Gold  FW")</f>
        <v>Hữu cơ Organic BM Gold  FW</v>
      </c>
      <c r="F3886" s="87" t="str">
        <f>IFERROR(__xludf.DUMMYFUNCTION("""COMPUTED_VALUE"""),"HH3118")</f>
        <v>HH3118</v>
      </c>
      <c r="G3886" s="87" t="str">
        <f>IFERROR(__xludf.DUMMYFUNCTION("""COMPUTED_VALUE"""),"GC - V - 3118 - N2SBIO - N2 BOOSTER (Nước nâu đen) - 5L - 4")</f>
        <v>GC - V - 3118 - N2SBIO - N2 BOOSTER (Nước nâu đen) - 5L - 4</v>
      </c>
    </row>
    <row r="3887">
      <c r="A3887" s="86">
        <f>IFERROR(__xludf.DUMMYFUNCTION("""COMPUTED_VALUE"""),3885.0)</f>
        <v>3885</v>
      </c>
      <c r="B3887" s="87" t="str">
        <f>IFERROR(__xludf.DUMMYFUNCTION("""COMPUTED_VALUE"""),"Nhãn")</f>
        <v>Nhãn</v>
      </c>
      <c r="C3887" s="87" t="str">
        <f>IFERROR(__xludf.DUMMYFUNCTION("""COMPUTED_VALUE"""),"NHG3119")</f>
        <v>NHG3119</v>
      </c>
      <c r="D3887" s="87" t="str">
        <f>IFERROR(__xludf.DUMMYFUNCTION("""COMPUTED_VALUE"""),"[Nhãn] GC - IV - 3119 - Cty PGT - DIỆT CỎ A-Z (Nước đỏ) - 900ml - 20")</f>
        <v>[Nhãn] GC - IV - 3119 - Cty PGT - DIỆT CỎ A-Z (Nước đỏ) - 900ml - 20</v>
      </c>
      <c r="E3887" s="87" t="str">
        <f>IFERROR(__xludf.DUMMYFUNCTION("""COMPUTED_VALUE"""),"Asupergras 200SL")</f>
        <v>Asupergras 200SL</v>
      </c>
      <c r="F3887" s="87" t="str">
        <f>IFERROR(__xludf.DUMMYFUNCTION("""COMPUTED_VALUE"""),"HH3119")</f>
        <v>HH3119</v>
      </c>
      <c r="G3887" s="87" t="str">
        <f>IFERROR(__xludf.DUMMYFUNCTION("""COMPUTED_VALUE"""),"GC - IV - 3119 - Cty PGT - DIỆT CỎ A-Z (Nước đỏ) - 900ml - 20")</f>
        <v>GC - IV - 3119 - Cty PGT - DIỆT CỎ A-Z (Nước đỏ) - 900ml - 20</v>
      </c>
    </row>
    <row r="3888">
      <c r="A3888" s="86">
        <f>IFERROR(__xludf.DUMMYFUNCTION("""COMPUTED_VALUE"""),3886.0)</f>
        <v>3886</v>
      </c>
      <c r="B3888" s="87" t="str">
        <f>IFERROR(__xludf.DUMMYFUNCTION("""COMPUTED_VALUE"""),"Nhãn")</f>
        <v>Nhãn</v>
      </c>
      <c r="C3888" s="87" t="str">
        <f>IFERROR(__xludf.DUMMYFUNCTION("""COMPUTED_VALUE"""),"NHG3121")</f>
        <v>NHG3121</v>
      </c>
      <c r="D3888" s="87" t="str">
        <f>IFERROR(__xludf.DUMMYFUNCTION("""COMPUTED_VALUE"""),"[Nhãn] GC - IV - 3121 - NHP GROUP - ULTRAKEO ZN+ (Nước trắng sữa) - 200ml - 40")</f>
        <v>[Nhãn] GC - IV - 3121 - NHP GROUP - ULTRAKEO ZN+ (Nước trắng sữa) - 200ml - 40</v>
      </c>
      <c r="E3888" s="87" t="str">
        <f>IFERROR(__xludf.DUMMYFUNCTION("""COMPUTED_VALUE"""),"Vi lượng MICKEY")</f>
        <v>Vi lượng MICKEY</v>
      </c>
      <c r="F3888" s="87" t="str">
        <f>IFERROR(__xludf.DUMMYFUNCTION("""COMPUTED_VALUE"""),"HH3121")</f>
        <v>HH3121</v>
      </c>
      <c r="G3888" s="87" t="str">
        <f>IFERROR(__xludf.DUMMYFUNCTION("""COMPUTED_VALUE"""),"GC - IV - 3121 - NHP GROUP - ULTRAKEO ZN+ (Nước trắng sữa) - 200ml - 40
")</f>
        <v>GC - IV - 3121 - NHP GROUP - ULTRAKEO ZN+ (Nước trắng sữa) - 200ml - 40
</v>
      </c>
    </row>
    <row r="3889">
      <c r="A3889" s="86">
        <f>IFERROR(__xludf.DUMMYFUNCTION("""COMPUTED_VALUE"""),3887.0)</f>
        <v>3887</v>
      </c>
      <c r="B3889" s="87" t="str">
        <f>IFERROR(__xludf.DUMMYFUNCTION("""COMPUTED_VALUE"""),"Nhãn")</f>
        <v>Nhãn</v>
      </c>
      <c r="C3889" s="87" t="str">
        <f>IFERROR(__xludf.DUMMYFUNCTION("""COMPUTED_VALUE"""),"NHG3125")</f>
        <v>NHG3125</v>
      </c>
      <c r="D3889" s="87" t="str">
        <f>IFERROR(__xludf.DUMMYFUNCTION("""COMPUTED_VALUE"""),"[Nhãn] GC - II - 3125 - AGC NEW - AMEC 3.6EC (Nước trong) - 450ml - 40")</f>
        <v>[Nhãn] GC - II - 3125 - AGC NEW - AMEC 3.6EC (Nước trong) - 450ml - 40</v>
      </c>
      <c r="E3889" s="87" t="str">
        <f>IFERROR(__xludf.DUMMYFUNCTION("""COMPUTED_VALUE"""),"HAIHAMEC 3.6EC")</f>
        <v>HAIHAMEC 3.6EC</v>
      </c>
      <c r="F3889" s="87" t="str">
        <f>IFERROR(__xludf.DUMMYFUNCTION("""COMPUTED_VALUE"""),"HH3125")</f>
        <v>HH3125</v>
      </c>
      <c r="G3889" s="87" t="str">
        <f>IFERROR(__xludf.DUMMYFUNCTION("""COMPUTED_VALUE"""),"GC - II - 3125 - AGC NEW - AMEC 3.6EC (Nước trong) - 450ml - 40")</f>
        <v>GC - II - 3125 - AGC NEW - AMEC 3.6EC (Nước trong) - 450ml - 40</v>
      </c>
    </row>
    <row r="3890">
      <c r="A3890" s="86">
        <f>IFERROR(__xludf.DUMMYFUNCTION("""COMPUTED_VALUE"""),3888.0)</f>
        <v>3888</v>
      </c>
      <c r="B3890" s="87" t="str">
        <f>IFERROR(__xludf.DUMMYFUNCTION("""COMPUTED_VALUE"""),"Nhãn")</f>
        <v>Nhãn</v>
      </c>
      <c r="C3890" s="87" t="str">
        <f>IFERROR(__xludf.DUMMYFUNCTION("""COMPUTED_VALUE"""),"NTN3126")</f>
        <v>NTN3126</v>
      </c>
      <c r="D3890" s="87" t="str">
        <f>IFERROR(__xludf.DUMMYFUNCTION("""COMPUTED_VALUE"""),"[Nhãn] GC - IV - 3126 - Cty Hóa Nông Đất Vàng - FORVIN 85WP (Bột trắng ngà) - 50gr - 200")</f>
        <v>[Nhãn] GC - IV - 3126 - Cty Hóa Nông Đất Vàng - FORVIN 85WP (Bột trắng ngà) - 50gr - 200</v>
      </c>
      <c r="E3890" s="87" t="str">
        <f>IFERROR(__xludf.DUMMYFUNCTION("""COMPUTED_VALUE"""),"FORVIN 85WP")</f>
        <v>FORVIN 85WP</v>
      </c>
      <c r="F3890" s="87" t="str">
        <f>IFERROR(__xludf.DUMMYFUNCTION("""COMPUTED_VALUE"""),"HH3126")</f>
        <v>HH3126</v>
      </c>
      <c r="G3890" s="87" t="str">
        <f>IFERROR(__xludf.DUMMYFUNCTION("""COMPUTED_VALUE"""),"GC - IV - 3126 - Cty Hóa Nông Đất Vàng - FORVIN 85WP (Bột trắng ngà) - 50gr - 200")</f>
        <v>GC - IV - 3126 - Cty Hóa Nông Đất Vàng - FORVIN 85WP (Bột trắng ngà) - 50gr - 200</v>
      </c>
    </row>
    <row r="3891">
      <c r="A3891" s="86">
        <f>IFERROR(__xludf.DUMMYFUNCTION("""COMPUTED_VALUE"""),3889.0)</f>
        <v>3889</v>
      </c>
      <c r="B3891" s="87" t="str">
        <f>IFERROR(__xludf.DUMMYFUNCTION("""COMPUTED_VALUE"""),"Nhãn thùng")</f>
        <v>Nhãn thùng</v>
      </c>
      <c r="C3891" s="87" t="str">
        <f>IFERROR(__xludf.DUMMYFUNCTION("""COMPUTED_VALUE"""),"NDT3126")</f>
        <v>NDT3126</v>
      </c>
      <c r="D3891" s="87" t="str">
        <f>IFERROR(__xludf.DUMMYFUNCTION("""COMPUTED_VALUE"""),"[Nhãn thùng] GC - IV - 3126 - Cty Hóa Nông Đất Vàng - FORVIN 85WP (Bột trắng ngà) - 50gr - 200")</f>
        <v>[Nhãn thùng] GC - IV - 3126 - Cty Hóa Nông Đất Vàng - FORVIN 85WP (Bột trắng ngà) - 50gr - 200</v>
      </c>
      <c r="E3891" s="87" t="str">
        <f>IFERROR(__xludf.DUMMYFUNCTION("""COMPUTED_VALUE"""),"FORVIN 85WP")</f>
        <v>FORVIN 85WP</v>
      </c>
      <c r="F3891" s="87" t="str">
        <f>IFERROR(__xludf.DUMMYFUNCTION("""COMPUTED_VALUE"""),"HH3126")</f>
        <v>HH3126</v>
      </c>
      <c r="G3891" s="87" t="str">
        <f>IFERROR(__xludf.DUMMYFUNCTION("""COMPUTED_VALUE"""),"GC - IV - 3126 - Cty Hóa Nông Đất Vàng - FORVIN 85WP (Bột trắng ngà) - 50gr - 200")</f>
        <v>GC - IV - 3126 - Cty Hóa Nông Đất Vàng - FORVIN 85WP (Bột trắng ngà) - 50gr - 200</v>
      </c>
    </row>
    <row r="3892">
      <c r="A3892" s="86">
        <f>IFERROR(__xludf.DUMMYFUNCTION("""COMPUTED_VALUE"""),3890.0)</f>
        <v>3890</v>
      </c>
      <c r="B3892" s="87" t="str">
        <f>IFERROR(__xludf.DUMMYFUNCTION("""COMPUTED_VALUE"""),"Nhãn")</f>
        <v>Nhãn</v>
      </c>
      <c r="C3892" s="87" t="str">
        <f>IFERROR(__xludf.DUMMYFUNCTION("""COMPUTED_VALUE"""),"NHG3127")</f>
        <v>NHG3127</v>
      </c>
      <c r="D3892" s="87" t="str">
        <f>IFERROR(__xludf.DUMMYFUNCTION("""COMPUTED_VALUE"""),"[Nhãn] IDA Global - I - 3127 - CA MAP 350SC - TRÂU VÀNG (Nước trắng sữa) - 240ml - 40")</f>
        <v>[Nhãn] IDA Global - I - 3127 - CA MAP 350SC - TRÂU VÀNG (Nước trắng sữa) - 240ml - 40</v>
      </c>
      <c r="E3892" s="87" t="str">
        <f>IFERROR(__xludf.DUMMYFUNCTION("""COMPUTED_VALUE"""),"CA MAP 350SC")</f>
        <v>CA MAP 350SC</v>
      </c>
      <c r="F3892" s="87" t="str">
        <f>IFERROR(__xludf.DUMMYFUNCTION("""COMPUTED_VALUE"""),"HH3127")</f>
        <v>HH3127</v>
      </c>
      <c r="G3892" s="87" t="str">
        <f>IFERROR(__xludf.DUMMYFUNCTION("""COMPUTED_VALUE"""),"IDA Global - I - 3127 - CA MAP 350SC - TRÂU VÀNG (Nước trắng sữa) - 240ml - 40")</f>
        <v>IDA Global - I - 3127 - CA MAP 350SC - TRÂU VÀNG (Nước trắng sữa) - 240ml - 40</v>
      </c>
    </row>
    <row r="3893">
      <c r="A3893" s="86">
        <f>IFERROR(__xludf.DUMMYFUNCTION("""COMPUTED_VALUE"""),3891.0)</f>
        <v>3891</v>
      </c>
      <c r="B3893" s="87" t="str">
        <f>IFERROR(__xludf.DUMMYFUNCTION("""COMPUTED_VALUE"""),"[Nhãn]")</f>
        <v>[Nhãn]</v>
      </c>
      <c r="C3893" s="87" t="str">
        <f>IFERROR(__xludf.DUMMYFUNCTION("""COMPUTED_VALUE"""),"NHG3128")</f>
        <v>NHG3128</v>
      </c>
      <c r="D3893" s="87" t="str">
        <f>IFERROR(__xludf.DUMMYFUNCTION("""COMPUTED_VALUE"""),"[Nhãn] GC - IV - 3128 - Cty Tiến Vinh - TIVIDAN 85 (Bột trắng) - 100gr - 84")</f>
        <v>[Nhãn] GC - IV - 3128 - Cty Tiến Vinh - TIVIDAN 85 (Bột trắng) - 100gr - 84</v>
      </c>
      <c r="E3893" s="87" t="str">
        <f>IFERROR(__xludf.DUMMYFUNCTION("""COMPUTED_VALUE"""),"NOSAU 85WP")</f>
        <v>NOSAU 85WP</v>
      </c>
      <c r="F3893" s="87" t="str">
        <f>IFERROR(__xludf.DUMMYFUNCTION("""COMPUTED_VALUE"""),"HH3128")</f>
        <v>HH3128</v>
      </c>
      <c r="G3893" s="87" t="str">
        <f>IFERROR(__xludf.DUMMYFUNCTION("""COMPUTED_VALUE"""),"GC - IV - 3128 - Cty Tiến Vinh - TIVIDAN 85 (Bột trắng) - 100gr - 84")</f>
        <v>GC - IV - 3128 - Cty Tiến Vinh - TIVIDAN 85 (Bột trắng) - 100gr - 84</v>
      </c>
    </row>
    <row r="3894">
      <c r="A3894" s="86">
        <f>IFERROR(__xludf.DUMMYFUNCTION("""COMPUTED_VALUE"""),3892.0)</f>
        <v>3892</v>
      </c>
      <c r="B3894" s="87" t="str">
        <f>IFERROR(__xludf.DUMMYFUNCTION("""COMPUTED_VALUE"""),"Nhãn")</f>
        <v>Nhãn</v>
      </c>
      <c r="C3894" s="87" t="str">
        <f>IFERROR(__xludf.DUMMYFUNCTION("""COMPUTED_VALUE"""),"NHG3129")</f>
        <v>NHG3129</v>
      </c>
      <c r="D3894" s="87" t="str">
        <f>IFERROR(__xludf.DUMMYFUNCTION("""COMPUTED_VALUE"""),"[Nhãn] GC - IV - 3129 - CTY ASAHI NHẬT BẢN - LÂN HỮU CƠ (Gel nâu đen) - 500ml - 40")</f>
        <v>[Nhãn] GC - IV - 3129 - CTY ASAHI NHẬT BẢN - LÂN HỮU CƠ (Gel nâu đen) - 500ml - 40</v>
      </c>
      <c r="E3894" s="87" t="str">
        <f>IFERROR(__xludf.DUMMYFUNCTION("""COMPUTED_VALUE"""),"Vi lượng Quantity New")</f>
        <v>Vi lượng Quantity New</v>
      </c>
      <c r="F3894" s="87" t="str">
        <f>IFERROR(__xludf.DUMMYFUNCTION("""COMPUTED_VALUE"""),"HH3129")</f>
        <v>HH3129</v>
      </c>
      <c r="G3894" s="87" t="str">
        <f>IFERROR(__xludf.DUMMYFUNCTION("""COMPUTED_VALUE"""),"GC - IV - 3129 - CTY ASAHI NHẬT BẢN - LÂN HỮU CƠ (Gel nâu đen) - 500ml - 40")</f>
        <v>GC - IV - 3129 - CTY ASAHI NHẬT BẢN - LÂN HỮU CƠ (Gel nâu đen) - 500ml - 40</v>
      </c>
    </row>
    <row r="3895">
      <c r="A3895" s="86">
        <f>IFERROR(__xludf.DUMMYFUNCTION("""COMPUTED_VALUE"""),3893.0)</f>
        <v>3893</v>
      </c>
      <c r="B3895" s="87" t="str">
        <f>IFERROR(__xludf.DUMMYFUNCTION("""COMPUTED_VALUE"""),"Nhãn")</f>
        <v>Nhãn</v>
      </c>
      <c r="C3895" s="87" t="str">
        <f>IFERROR(__xludf.DUMMYFUNCTION("""COMPUTED_VALUE"""),"NHG3130")</f>
        <v>NHG3130</v>
      </c>
      <c r="D3895" s="87" t="str">
        <f>IFERROR(__xludf.DUMMYFUNCTION("""COMPUTED_VALUE"""),"[Nhãn] GC - IV - 3130 - CTY ASAHI NHẬT BẢN - SIÊU BO HỮU CƠ (Gel vàng cam) - 500ml - 40")</f>
        <v>[Nhãn] GC - IV - 3130 - CTY ASAHI NHẬT BẢN - SIÊU BO HỮU CƠ (Gel vàng cam) - 500ml - 40</v>
      </c>
      <c r="E3895" s="87" t="str">
        <f>IFERROR(__xludf.DUMMYFUNCTION("""COMPUTED_VALUE"""),"Vi lượng Run Fast")</f>
        <v>Vi lượng Run Fast</v>
      </c>
      <c r="F3895" s="87" t="str">
        <f>IFERROR(__xludf.DUMMYFUNCTION("""COMPUTED_VALUE"""),"HH3130")</f>
        <v>HH3130</v>
      </c>
      <c r="G3895" s="87" t="str">
        <f>IFERROR(__xludf.DUMMYFUNCTION("""COMPUTED_VALUE"""),"GC - IV - 3130 - CTY ASAHI NHẬT BẢN - SIÊU BO HỮU CƠ (Gel vàng cam) - 500ml - 40")</f>
        <v>GC - IV - 3130 - CTY ASAHI NHẬT BẢN - SIÊU BO HỮU CƠ (Gel vàng cam) - 500ml - 40</v>
      </c>
    </row>
    <row r="3896">
      <c r="A3896" s="86">
        <f>IFERROR(__xludf.DUMMYFUNCTION("""COMPUTED_VALUE"""),3894.0)</f>
        <v>3894</v>
      </c>
      <c r="B3896" s="87" t="str">
        <f>IFERROR(__xludf.DUMMYFUNCTION("""COMPUTED_VALUE"""),"Nhãn")</f>
        <v>Nhãn</v>
      </c>
      <c r="C3896" s="87" t="str">
        <f>IFERROR(__xludf.DUMMYFUNCTION("""COMPUTED_VALUE"""),"NHG3131")</f>
        <v>NHG3131</v>
      </c>
      <c r="D3896" s="87" t="str">
        <f>IFERROR(__xludf.DUMMYFUNCTION("""COMPUTED_VALUE"""),"[Nhãn] GC - IV - 3131 - HÓA NÔNG SHINO - CỨNG CÂY D345 (Nước nâu đen) - 500ml - 30")</f>
        <v>[Nhãn] GC - IV - 3131 - HÓA NÔNG SHINO - CỨNG CÂY D345 (Nước nâu đen) - 500ml - 30</v>
      </c>
      <c r="E3896" s="87" t="str">
        <f>IFERROR(__xludf.DUMMYFUNCTION("""COMPUTED_VALUE"""),"Hữu cơ SH Agro Organic Fertilizer 20")</f>
        <v>Hữu cơ SH Agro Organic Fertilizer 20</v>
      </c>
      <c r="F3896" s="87" t="str">
        <f>IFERROR(__xludf.DUMMYFUNCTION("""COMPUTED_VALUE"""),"HH3131")</f>
        <v>HH3131</v>
      </c>
      <c r="G3896" s="87" t="str">
        <f>IFERROR(__xludf.DUMMYFUNCTION("""COMPUTED_VALUE"""),"GC - IV - 3131 - Cty Hóa Nông Shino - CỨNG CÂY D345 (Nước nâu đen) - 500ml - 30")</f>
        <v>GC - IV - 3131 - Cty Hóa Nông Shino - CỨNG CÂY D345 (Nước nâu đen) - 500ml - 30</v>
      </c>
    </row>
    <row r="3897">
      <c r="A3897" s="86">
        <f>IFERROR(__xludf.DUMMYFUNCTION("""COMPUTED_VALUE"""),3895.0)</f>
        <v>3895</v>
      </c>
      <c r="B3897" s="87" t="str">
        <f>IFERROR(__xludf.DUMMYFUNCTION("""COMPUTED_VALUE"""),"[Nhãn]")</f>
        <v>[Nhãn]</v>
      </c>
      <c r="C3897" s="87" t="str">
        <f>IFERROR(__xludf.DUMMYFUNCTION("""COMPUTED_VALUE"""),"NHD3132")</f>
        <v>NHD3132</v>
      </c>
      <c r="D3897" s="87" t="str">
        <f>IFERROR(__xludf.DUMMYFUNCTION("""COMPUTED_VALUE"""),"[Nhãn] GC - II - 3132 - CTY THIÊN AN (Anh Hiển) - THIPRO 550EC (Nước vàng trà V1) - 450ml - 40")</f>
        <v>[Nhãn] GC - II - 3132 - CTY THIÊN AN (Anh Hiển) - THIPRO 550EC (Nước vàng trà V1) - 450ml - 40</v>
      </c>
      <c r="E3897" s="87" t="str">
        <f>IFERROR(__xludf.DUMMYFUNCTION("""COMPUTED_VALUE"""),"Thipro 550EC")</f>
        <v>Thipro 550EC</v>
      </c>
      <c r="F3897" s="87" t="str">
        <f>IFERROR(__xludf.DUMMYFUNCTION("""COMPUTED_VALUE"""),"HH3132")</f>
        <v>HH3132</v>
      </c>
      <c r="G3897" s="87" t="str">
        <f>IFERROR(__xludf.DUMMYFUNCTION("""COMPUTED_VALUE"""),"GC - II - 3132 - CTY THIÊN AN (Anh Hiển) - THIPRO 550EC (Nước vàng trà V1) - 450ml - 40")</f>
        <v>GC - II - 3132 - CTY THIÊN AN (Anh Hiển) - THIPRO 550EC (Nước vàng trà V1) - 450ml - 40</v>
      </c>
    </row>
    <row r="3898">
      <c r="A3898" s="86">
        <f>IFERROR(__xludf.DUMMYFUNCTION("""COMPUTED_VALUE"""),3896.0)</f>
        <v>3896</v>
      </c>
      <c r="B3898" s="87" t="str">
        <f>IFERROR(__xludf.DUMMYFUNCTION("""COMPUTED_VALUE"""),"[Nhãn thùng]")</f>
        <v>[Nhãn thùng]</v>
      </c>
      <c r="C3898" s="87" t="str">
        <f>IFERROR(__xludf.DUMMYFUNCTION("""COMPUTED_VALUE"""),"NDT3132")</f>
        <v>NDT3132</v>
      </c>
      <c r="D3898" s="87" t="str">
        <f>IFERROR(__xludf.DUMMYFUNCTION("""COMPUTED_VALUE"""),"[Nhãn thùng] GC - II - 3132 - CTY THIÊN AN (Anh Hiển) - THIPRO 550EC (Nước vàng trà V1) - 450ml - 40")</f>
        <v>[Nhãn thùng] GC - II - 3132 - CTY THIÊN AN (Anh Hiển) - THIPRO 550EC (Nước vàng trà V1) - 450ml - 40</v>
      </c>
      <c r="E3898" s="87" t="str">
        <f>IFERROR(__xludf.DUMMYFUNCTION("""COMPUTED_VALUE"""),"Thipro 550EC")</f>
        <v>Thipro 550EC</v>
      </c>
      <c r="F3898" s="87" t="str">
        <f>IFERROR(__xludf.DUMMYFUNCTION("""COMPUTED_VALUE"""),"HH3132")</f>
        <v>HH3132</v>
      </c>
      <c r="G3898" s="87" t="str">
        <f>IFERROR(__xludf.DUMMYFUNCTION("""COMPUTED_VALUE"""),"GC - II - 3132 - CTY THIÊN AN (Anh Hiển) - THIPRO 550EC (Nước vàng trà V1) - 450ml - 40")</f>
        <v>GC - II - 3132 - CTY THIÊN AN (Anh Hiển) - THIPRO 550EC (Nước vàng trà V1) - 450ml - 40</v>
      </c>
    </row>
    <row r="3899">
      <c r="A3899" s="86">
        <f>IFERROR(__xludf.DUMMYFUNCTION("""COMPUTED_VALUE"""),3897.0)</f>
        <v>3897</v>
      </c>
      <c r="B3899" s="87" t="str">
        <f>IFERROR(__xludf.DUMMYFUNCTION("""COMPUTED_VALUE"""),"Nhãn")</f>
        <v>Nhãn</v>
      </c>
      <c r="C3899" s="87" t="str">
        <f>IFERROR(__xludf.DUMMYFUNCTION("""COMPUTED_VALUE"""),"NHG3133")</f>
        <v>NHG3133</v>
      </c>
      <c r="D3899" s="87" t="str">
        <f>IFERROR(__xludf.DUMMYFUNCTION("""COMPUTED_VALUE"""),"[Nhãn] GC - IV - 3133 - CTY ASAHI NHẬT BẢN - KÍCH PHÁT TỐ RA HOA SAMURAI (Gel xanh lá) - 500ml - 40")</f>
        <v>[Nhãn] GC - IV - 3133 - CTY ASAHI NHẬT BẢN - KÍCH PHÁT TỐ RA HOA SAMURAI (Gel xanh lá) - 500ml - 40</v>
      </c>
      <c r="E3899" s="87" t="str">
        <f>IFERROR(__xludf.DUMMYFUNCTION("""COMPUTED_VALUE"""),"Vi lượng AGAMA-SUPPORT")</f>
        <v>Vi lượng AGAMA-SUPPORT</v>
      </c>
      <c r="F3899" s="87" t="str">
        <f>IFERROR(__xludf.DUMMYFUNCTION("""COMPUTED_VALUE"""),"HH3133")</f>
        <v>HH3133</v>
      </c>
      <c r="G3899" s="87" t="str">
        <f>IFERROR(__xludf.DUMMYFUNCTION("""COMPUTED_VALUE"""),"GC - IV - 3133 - CTY ASAHI NHẬT BẢN - KÍCH PHÁT TỐ RA HOA SAMURAI (Gel xanh lá) - 500ml - 40")</f>
        <v>GC - IV - 3133 - CTY ASAHI NHẬT BẢN - KÍCH PHÁT TỐ RA HOA SAMURAI (Gel xanh lá) - 500ml - 40</v>
      </c>
    </row>
    <row r="3900">
      <c r="A3900" s="86">
        <f>IFERROR(__xludf.DUMMYFUNCTION("""COMPUTED_VALUE"""),3898.0)</f>
        <v>3898</v>
      </c>
      <c r="B3900" s="87" t="str">
        <f>IFERROR(__xludf.DUMMYFUNCTION("""COMPUTED_VALUE"""),"Nhãn")</f>
        <v>Nhãn</v>
      </c>
      <c r="C3900" s="87" t="str">
        <f>IFERROR(__xludf.DUMMYFUNCTION("""COMPUTED_VALUE"""),"NHG3134")</f>
        <v>NHG3134</v>
      </c>
      <c r="D3900" s="87" t="str">
        <f>IFERROR(__xludf.DUMMYFUNCTION("""COMPUTED_VALUE"""),"[Nhãn] GC - IV - 3134 - CTY ASAHI NHẬT BẢN - MAGIE KẼM SAMURAI (Gel xanh lá) - 500ml - 40")</f>
        <v>[Nhãn] GC - IV - 3134 - CTY ASAHI NHẬT BẢN - MAGIE KẼM SAMURAI (Gel xanh lá) - 500ml - 40</v>
      </c>
      <c r="E3900" s="87" t="str">
        <f>IFERROR(__xludf.DUMMYFUNCTION("""COMPUTED_VALUE"""),"Vi lượng AGAMA-SUPPORT")</f>
        <v>Vi lượng AGAMA-SUPPORT</v>
      </c>
      <c r="F3900" s="87" t="str">
        <f>IFERROR(__xludf.DUMMYFUNCTION("""COMPUTED_VALUE"""),"HH3134")</f>
        <v>HH3134</v>
      </c>
      <c r="G3900" s="87" t="str">
        <f>IFERROR(__xludf.DUMMYFUNCTION("""COMPUTED_VALUE"""),"GC - IV - 3134 - CTY ASAHI NHẬT BẢN - MAGIE KẼM SAMURAI (Gel xanh lá) - 500ml - 40")</f>
        <v>GC - IV - 3134 - CTY ASAHI NHẬT BẢN - MAGIE KẼM SAMURAI (Gel xanh lá) - 500ml - 40</v>
      </c>
    </row>
    <row r="3901">
      <c r="A3901" s="86">
        <f>IFERROR(__xludf.DUMMYFUNCTION("""COMPUTED_VALUE"""),3899.0)</f>
        <v>3899</v>
      </c>
      <c r="B3901" s="87" t="str">
        <f>IFERROR(__xludf.DUMMYFUNCTION("""COMPUTED_VALUE"""),"Nhãn")</f>
        <v>Nhãn</v>
      </c>
      <c r="C3901" s="87" t="str">
        <f>IFERROR(__xludf.DUMMYFUNCTION("""COMPUTED_VALUE"""),"NHG3135")</f>
        <v>NHG3135</v>
      </c>
      <c r="D3901" s="87" t="str">
        <f>IFERROR(__xludf.DUMMYFUNCTION("""COMPUTED_VALUE"""),"[Nhãn] GC - IV - 3135 - CTY ASAHI NHẬT BẢN - PHỤC HỒI SAMURAI (Gel xanh lá) - 500ml - 40")</f>
        <v>[Nhãn] GC - IV - 3135 - CTY ASAHI NHẬT BẢN - PHỤC HỒI SAMURAI (Gel xanh lá) - 500ml - 40</v>
      </c>
      <c r="E3901" s="87"/>
      <c r="F3901" s="87"/>
      <c r="G3901" s="87"/>
    </row>
    <row r="3902">
      <c r="A3902" s="86">
        <f>IFERROR(__xludf.DUMMYFUNCTION("""COMPUTED_VALUE"""),3900.0)</f>
        <v>3900</v>
      </c>
      <c r="B3902" s="87" t="str">
        <f>IFERROR(__xludf.DUMMYFUNCTION("""COMPUTED_VALUE"""),"IDA")</f>
        <v>IDA</v>
      </c>
      <c r="C3902" s="87" t="str">
        <f>IFERROR(__xludf.DUMMYFUNCTION("""COMPUTED_VALUE"""),"450ml")</f>
        <v>450ml</v>
      </c>
      <c r="D3902" s="87" t="str">
        <f>IFERROR(__xludf.DUMMYFUNCTION("""COMPUTED_VALUE"""),"40")</f>
        <v>40</v>
      </c>
      <c r="E3902" s="87" t="str">
        <f>IFERROR(__xludf.DUMMYFUNCTION("""COMPUTED_VALUE"""),"Nhãn giấy cán bóng")</f>
        <v>Nhãn giấy cán bóng</v>
      </c>
      <c r="F3902" s="87" t="str">
        <f>IFERROR(__xludf.DUMMYFUNCTION("""COMPUTED_VALUE"""),"Cái")</f>
        <v>Cái</v>
      </c>
      <c r="G3902" s="87"/>
    </row>
    <row r="3903">
      <c r="A3903" s="86">
        <f>IFERROR(__xludf.DUMMYFUNCTION("""COMPUTED_VALUE"""),3901.0)</f>
        <v>3901</v>
      </c>
      <c r="B3903" s="87" t="str">
        <f>IFERROR(__xludf.DUMMYFUNCTION("""COMPUTED_VALUE"""),"Nhãn")</f>
        <v>Nhãn</v>
      </c>
      <c r="C3903" s="87" t="str">
        <f>IFERROR(__xludf.DUMMYFUNCTION("""COMPUTED_VALUE"""),"NHG3136")</f>
        <v>NHG3136</v>
      </c>
      <c r="D3903" s="87" t="str">
        <f>IFERROR(__xludf.DUMMYFUNCTION("""COMPUTED_VALUE"""),"[Nhãn] GC - IV - 3136 - CTY ASAHI NHẬT BẢN - LÂN KẼM SAMURAI (Gel xanh lá) - 500ml - 40")</f>
        <v>[Nhãn] GC - IV - 3136 - CTY ASAHI NHẬT BẢN - LÂN KẼM SAMURAI (Gel xanh lá) - 500ml - 40</v>
      </c>
      <c r="E3903" s="87" t="str">
        <f>IFERROR(__xludf.DUMMYFUNCTION("""COMPUTED_VALUE"""),"Vi lượng AGAMA-SUPPORT")</f>
        <v>Vi lượng AGAMA-SUPPORT</v>
      </c>
      <c r="F3903" s="87" t="str">
        <f>IFERROR(__xludf.DUMMYFUNCTION("""COMPUTED_VALUE"""),"HH3136")</f>
        <v>HH3136</v>
      </c>
      <c r="G3903" s="87" t="str">
        <f>IFERROR(__xludf.DUMMYFUNCTION("""COMPUTED_VALUE"""),"GC - IV - 3136 - CTY ASAHI NHẬT BẢN - LÂN KẼM SAMURAI (Gel xanh lá) - 500ml - 40")</f>
        <v>GC - IV - 3136 - CTY ASAHI NHẬT BẢN - LÂN KẼM SAMURAI (Gel xanh lá) - 500ml - 40</v>
      </c>
    </row>
    <row r="3904">
      <c r="A3904" s="86">
        <f>IFERROR(__xludf.DUMMYFUNCTION("""COMPUTED_VALUE"""),3902.0)</f>
        <v>3902</v>
      </c>
      <c r="B3904" s="87" t="str">
        <f>IFERROR(__xludf.DUMMYFUNCTION("""COMPUTED_VALUE"""),"Nhãn")</f>
        <v>Nhãn</v>
      </c>
      <c r="C3904" s="87" t="str">
        <f>IFERROR(__xludf.DUMMYFUNCTION("""COMPUTED_VALUE"""),"NHG3137")</f>
        <v>NHG3137</v>
      </c>
      <c r="D3904" s="87" t="str">
        <f>IFERROR(__xludf.DUMMYFUNCTION("""COMPUTED_VALUE"""),"[Nhãn] GC - IV - 3137 - CTY ASAHI NHẬT BẢN - ĐẠM CÁ SAMURAI (Gel nâu đen) - 500ml - 40")</f>
        <v>[Nhãn] GC - IV - 3137 - CTY ASAHI NHẬT BẢN - ĐẠM CÁ SAMURAI (Gel nâu đen) - 500ml - 40</v>
      </c>
      <c r="E3904" s="87" t="str">
        <f>IFERROR(__xludf.DUMMYFUNCTION("""COMPUTED_VALUE"""),"Vi lượng Quantity New")</f>
        <v>Vi lượng Quantity New</v>
      </c>
      <c r="F3904" s="87" t="str">
        <f>IFERROR(__xludf.DUMMYFUNCTION("""COMPUTED_VALUE"""),"HH3137")</f>
        <v>HH3137</v>
      </c>
      <c r="G3904" s="87" t="str">
        <f>IFERROR(__xludf.DUMMYFUNCTION("""COMPUTED_VALUE"""),"GC - IV - 3137 - CTY ASAHI NHẬT BẢN - ĐẠM CÁ SAMURAI (Gel nâu đen) - 500ml - 40")</f>
        <v>GC - IV - 3137 - CTY ASAHI NHẬT BẢN - ĐẠM CÁ SAMURAI (Gel nâu đen) - 500ml - 40</v>
      </c>
    </row>
    <row r="3905">
      <c r="A3905" s="86">
        <f>IFERROR(__xludf.DUMMYFUNCTION("""COMPUTED_VALUE"""),3903.0)</f>
        <v>3903</v>
      </c>
      <c r="B3905" s="87" t="str">
        <f>IFERROR(__xludf.DUMMYFUNCTION("""COMPUTED_VALUE"""),"Nhãn")</f>
        <v>Nhãn</v>
      </c>
      <c r="C3905" s="87" t="str">
        <f>IFERROR(__xludf.DUMMYFUNCTION("""COMPUTED_VALUE"""),"NHG3138")</f>
        <v>NHG3138</v>
      </c>
      <c r="D3905" s="87" t="str">
        <f>IFERROR(__xludf.DUMMYFUNCTION("""COMPUTED_VALUE"""),"[Nhãn] GC - IV - 3138 - CTY ASAHI NHẬT BẢN - HUMIC SAMURAI (Gel nâu đen) - 500ml - 40")</f>
        <v>[Nhãn] GC - IV - 3138 - CTY ASAHI NHẬT BẢN - HUMIC SAMURAI (Gel nâu đen) - 500ml - 40</v>
      </c>
      <c r="E3905" s="87" t="str">
        <f>IFERROR(__xludf.DUMMYFUNCTION("""COMPUTED_VALUE"""),"Vi lượng Quantity New")</f>
        <v>Vi lượng Quantity New</v>
      </c>
      <c r="F3905" s="87" t="str">
        <f>IFERROR(__xludf.DUMMYFUNCTION("""COMPUTED_VALUE"""),"HH3138")</f>
        <v>HH3138</v>
      </c>
      <c r="G3905" s="87" t="str">
        <f>IFERROR(__xludf.DUMMYFUNCTION("""COMPUTED_VALUE"""),"GC - IV - 3138 - CTY ASAHI NHẬT BẢN - HUMIC SAMURAI (Gel nâu đen) - 500ml - 40")</f>
        <v>GC - IV - 3138 - CTY ASAHI NHẬT BẢN - HUMIC SAMURAI (Gel nâu đen) - 500ml - 40</v>
      </c>
    </row>
    <row r="3906">
      <c r="A3906" s="86">
        <f>IFERROR(__xludf.DUMMYFUNCTION("""COMPUTED_VALUE"""),3904.0)</f>
        <v>3904</v>
      </c>
      <c r="B3906" s="87" t="str">
        <f>IFERROR(__xludf.DUMMYFUNCTION("""COMPUTED_VALUE"""),"Nhãn")</f>
        <v>Nhãn</v>
      </c>
      <c r="C3906" s="87" t="str">
        <f>IFERROR(__xludf.DUMMYFUNCTION("""COMPUTED_VALUE"""),"NHG3139")</f>
        <v>NHG3139</v>
      </c>
      <c r="D3906" s="87" t="str">
        <f>IFERROR(__xludf.DUMMYFUNCTION("""COMPUTED_VALUE"""),"[Nhãn] GC - IV - 3139 - CTY ASAHI NHẬT BẢN - RONG BIỂN SAMURAI (Gel nâu đen) - 500ml - 40")</f>
        <v>[Nhãn] GC - IV - 3139 - CTY ASAHI NHẬT BẢN - RONG BIỂN SAMURAI (Gel nâu đen) - 500ml - 40</v>
      </c>
      <c r="E3906" s="87" t="str">
        <f>IFERROR(__xludf.DUMMYFUNCTION("""COMPUTED_VALUE"""),"Vi lượng Quantity New")</f>
        <v>Vi lượng Quantity New</v>
      </c>
      <c r="F3906" s="87" t="str">
        <f>IFERROR(__xludf.DUMMYFUNCTION("""COMPUTED_VALUE"""),"HH3139")</f>
        <v>HH3139</v>
      </c>
      <c r="G3906" s="87" t="str">
        <f>IFERROR(__xludf.DUMMYFUNCTION("""COMPUTED_VALUE"""),"GC - IV - 3139 - CTY ASAHI NHẬT BẢN - RONG BIỂN SAMURAI (Gel nâu đen) - 500ml - 40")</f>
        <v>GC - IV - 3139 - CTY ASAHI NHẬT BẢN - RONG BIỂN SAMURAI (Gel nâu đen) - 500ml - 40</v>
      </c>
    </row>
    <row r="3907">
      <c r="A3907" s="86">
        <f>IFERROR(__xludf.DUMMYFUNCTION("""COMPUTED_VALUE"""),3905.0)</f>
        <v>3905</v>
      </c>
      <c r="B3907" s="87" t="str">
        <f>IFERROR(__xludf.DUMMYFUNCTION("""COMPUTED_VALUE"""),"Nhãn")</f>
        <v>Nhãn</v>
      </c>
      <c r="C3907" s="87" t="str">
        <f>IFERROR(__xludf.DUMMYFUNCTION("""COMPUTED_VALUE"""),"NHG3140")</f>
        <v>NHG3140</v>
      </c>
      <c r="D3907" s="87" t="str">
        <f>IFERROR(__xludf.DUMMYFUNCTION("""COMPUTED_VALUE"""),"[Nhãn] GC - IV - 3140 - CTY ASAHI NHẬT BẢN - ROOTS SAMURAI (Gel nâu đen) - 500ml - 40")</f>
        <v>[Nhãn] GC - IV - 3140 - CTY ASAHI NHẬT BẢN - ROOTS SAMURAI (Gel nâu đen) - 500ml - 40</v>
      </c>
      <c r="E3907" s="87" t="str">
        <f>IFERROR(__xludf.DUMMYFUNCTION("""COMPUTED_VALUE"""),"Vi lượng Quantity New")</f>
        <v>Vi lượng Quantity New</v>
      </c>
      <c r="F3907" s="87" t="str">
        <f>IFERROR(__xludf.DUMMYFUNCTION("""COMPUTED_VALUE"""),"HH3140")</f>
        <v>HH3140</v>
      </c>
      <c r="G3907" s="87" t="str">
        <f>IFERROR(__xludf.DUMMYFUNCTION("""COMPUTED_VALUE"""),"GC - IV - 3140 - CTY ASAHI NHẬT BẢN - ROOTS SAMURAI (Gel nâu đen) - 500ml - 40")</f>
        <v>GC - IV - 3140 - CTY ASAHI NHẬT BẢN - ROOTS SAMURAI (Gel nâu đen) - 500ml - 40</v>
      </c>
    </row>
    <row r="3908">
      <c r="A3908" s="86">
        <f>IFERROR(__xludf.DUMMYFUNCTION("""COMPUTED_VALUE"""),3906.0)</f>
        <v>3906</v>
      </c>
      <c r="B3908" s="87" t="str">
        <f>IFERROR(__xludf.DUMMYFUNCTION("""COMPUTED_VALUE"""),"Nhãn")</f>
        <v>Nhãn</v>
      </c>
      <c r="C3908" s="87" t="str">
        <f>IFERROR(__xludf.DUMMYFUNCTION("""COMPUTED_VALUE"""),"NHG3141")</f>
        <v>NHG3141</v>
      </c>
      <c r="D3908" s="87" t="str">
        <f>IFERROR(__xludf.DUMMYFUNCTION("""COMPUTED_VALUE"""),"[Nhãn] GC - IV - 3141 - CTY ASAHI NHẬT BẢN - SIÊU LÂN SAMURAI (Gel nâu đen) - 500ml - 40")</f>
        <v>[Nhãn] GC - IV - 3141 - CTY ASAHI NHẬT BẢN - SIÊU LÂN SAMURAI (Gel nâu đen) - 500ml - 40</v>
      </c>
      <c r="E3908" s="87" t="str">
        <f>IFERROR(__xludf.DUMMYFUNCTION("""COMPUTED_VALUE"""),"Vi lượng Quantity New")</f>
        <v>Vi lượng Quantity New</v>
      </c>
      <c r="F3908" s="87" t="str">
        <f>IFERROR(__xludf.DUMMYFUNCTION("""COMPUTED_VALUE"""),"HH3141")</f>
        <v>HH3141</v>
      </c>
      <c r="G3908" s="87" t="str">
        <f>IFERROR(__xludf.DUMMYFUNCTION("""COMPUTED_VALUE"""),"GC - IV - 3141 - CTY ASAHI NHẬT BẢN - SIÊU LÂN SAMURAI (Gel nâu đen) - 500ml - 40")</f>
        <v>GC - IV - 3141 - CTY ASAHI NHẬT BẢN - SIÊU LÂN SAMURAI (Gel nâu đen) - 500ml - 40</v>
      </c>
    </row>
    <row r="3909">
      <c r="A3909" s="86">
        <f>IFERROR(__xludf.DUMMYFUNCTION("""COMPUTED_VALUE"""),3907.0)</f>
        <v>3907</v>
      </c>
      <c r="B3909" s="87" t="str">
        <f>IFERROR(__xludf.DUMMYFUNCTION("""COMPUTED_VALUE"""),"Nhãn")</f>
        <v>Nhãn</v>
      </c>
      <c r="C3909" s="87" t="str">
        <f>IFERROR(__xludf.DUMMYFUNCTION("""COMPUTED_VALUE"""),"NHG3142")</f>
        <v>NHG3142</v>
      </c>
      <c r="D3909" s="87" t="str">
        <f>IFERROR(__xludf.DUMMYFUNCTION("""COMPUTED_VALUE"""),"[Nhãn] GC - IV - 3142 - CTY ASAHI NHẬT BẢN - CANXIBO SAMURAI (Gel đỏ cam) - 500ml - 40")</f>
        <v>[Nhãn] GC - IV - 3142 - CTY ASAHI NHẬT BẢN - CANXIBO SAMURAI (Gel đỏ cam) - 500ml - 40</v>
      </c>
      <c r="E3909" s="87" t="str">
        <f>IFERROR(__xludf.DUMMYFUNCTION("""COMPUTED_VALUE"""),"Vi lượng Run Fast")</f>
        <v>Vi lượng Run Fast</v>
      </c>
      <c r="F3909" s="87" t="str">
        <f>IFERROR(__xludf.DUMMYFUNCTION("""COMPUTED_VALUE"""),"HH3142")</f>
        <v>HH3142</v>
      </c>
      <c r="G3909" s="87" t="str">
        <f>IFERROR(__xludf.DUMMYFUNCTION("""COMPUTED_VALUE"""),"GC - IV - 3142 - CTY ASAHI NHẬT BẢN - CANXIBO SAMURAI (Gel đỏ cam) - 500ml - 40")</f>
        <v>GC - IV - 3142 - CTY ASAHI NHẬT BẢN - CANXIBO SAMURAI (Gel đỏ cam) - 500ml - 40</v>
      </c>
    </row>
    <row r="3910">
      <c r="A3910" s="86">
        <f>IFERROR(__xludf.DUMMYFUNCTION("""COMPUTED_VALUE"""),3908.0)</f>
        <v>3908</v>
      </c>
      <c r="B3910" s="87" t="str">
        <f>IFERROR(__xludf.DUMMYFUNCTION("""COMPUTED_VALUE"""),"Nhãn")</f>
        <v>Nhãn</v>
      </c>
      <c r="C3910" s="87" t="str">
        <f>IFERROR(__xludf.DUMMYFUNCTION("""COMPUTED_VALUE"""),"NHG3143")</f>
        <v>NHG3143</v>
      </c>
      <c r="D3910" s="87" t="str">
        <f>IFERROR(__xludf.DUMMYFUNCTION("""COMPUTED_VALUE"""),"[Nhãn] GC - IV - 3143 - CTY ASAHI NHẬT BẢN - SIÊU BO SAMURAI (Gel đỏ cam) - 500ml - 40")</f>
        <v>[Nhãn] GC - IV - 3143 - CTY ASAHI NHẬT BẢN - SIÊU BO SAMURAI (Gel đỏ cam) - 500ml - 40</v>
      </c>
      <c r="E3910" s="87" t="str">
        <f>IFERROR(__xludf.DUMMYFUNCTION("""COMPUTED_VALUE"""),"Vi lượng Run Fast")</f>
        <v>Vi lượng Run Fast</v>
      </c>
      <c r="F3910" s="87" t="str">
        <f>IFERROR(__xludf.DUMMYFUNCTION("""COMPUTED_VALUE"""),"HH3143")</f>
        <v>HH3143</v>
      </c>
      <c r="G3910" s="87" t="str">
        <f>IFERROR(__xludf.DUMMYFUNCTION("""COMPUTED_VALUE"""),"GC - IV - 3143 - CTY ASAHI NHẬT BẢN - SIÊU BO SAMURAI (Gel đỏ cam) - 500ml - 40")</f>
        <v>GC - IV - 3143 - CTY ASAHI NHẬT BẢN - SIÊU BO SAMURAI (Gel đỏ cam) - 500ml - 40</v>
      </c>
    </row>
    <row r="3911">
      <c r="A3911" s="86">
        <f>IFERROR(__xludf.DUMMYFUNCTION("""COMPUTED_VALUE"""),3909.0)</f>
        <v>3909</v>
      </c>
      <c r="B3911" s="87" t="str">
        <f>IFERROR(__xludf.DUMMYFUNCTION("""COMPUTED_VALUE"""),"Nhãn")</f>
        <v>Nhãn</v>
      </c>
      <c r="C3911" s="87" t="str">
        <f>IFERROR(__xludf.DUMMYFUNCTION("""COMPUTED_VALUE"""),"NHG3144")</f>
        <v>NHG3144</v>
      </c>
      <c r="D3911" s="87" t="str">
        <f>IFERROR(__xludf.DUMMYFUNCTION("""COMPUTED_VALUE"""),"[Nhãn] GC - IV - 3144 - CTY ASAHI NHẬT BẢN - KALIBO SAMURAI (Gel đỏ cam) - 500ml - 40")</f>
        <v>[Nhãn] GC - IV - 3144 - CTY ASAHI NHẬT BẢN - KALIBO SAMURAI (Gel đỏ cam) - 500ml - 40</v>
      </c>
      <c r="E3911" s="87" t="str">
        <f>IFERROR(__xludf.DUMMYFUNCTION("""COMPUTED_VALUE"""),"Vi lượng Run Fast")</f>
        <v>Vi lượng Run Fast</v>
      </c>
      <c r="F3911" s="87" t="str">
        <f>IFERROR(__xludf.DUMMYFUNCTION("""COMPUTED_VALUE"""),"HH3144")</f>
        <v>HH3144</v>
      </c>
      <c r="G3911" s="87" t="str">
        <f>IFERROR(__xludf.DUMMYFUNCTION("""COMPUTED_VALUE"""),"GC - IV - 3144 - CTY ASAHI NHẬT BẢN - KALIBO SAMURAI (Gel đỏ cam) - 500ml - 40")</f>
        <v>GC - IV - 3144 - CTY ASAHI NHẬT BẢN - KALIBO SAMURAI (Gel đỏ cam) - 500ml - 40</v>
      </c>
    </row>
    <row r="3912">
      <c r="A3912" s="86">
        <f>IFERROR(__xludf.DUMMYFUNCTION("""COMPUTED_VALUE"""),3910.0)</f>
        <v>3910</v>
      </c>
      <c r="B3912" s="87" t="str">
        <f>IFERROR(__xludf.DUMMYFUNCTION("""COMPUTED_VALUE"""),"[HỘP]")</f>
        <v>[HỘP]</v>
      </c>
      <c r="C3912" s="87" t="str">
        <f>IFERROR(__xludf.DUMMYFUNCTION("""COMPUTED_VALUE"""),"HOP3145")</f>
        <v>HOP3145</v>
      </c>
      <c r="D3912" s="87" t="str">
        <f>IFERROR(__xludf.DUMMYFUNCTION("""COMPUTED_VALUE"""),"[HOP] GC - IV - 3145 - CTY HÓA NÔNG ĐỨC PHÁT - VUA RẦY 700 (Dạng cốm màu trắng ngà) - 10gr - 400")</f>
        <v>[HOP] GC - IV - 3145 - CTY HÓA NÔNG ĐỨC PHÁT - VUA RẦY 700 (Dạng cốm màu trắng ngà) - 10gr - 400</v>
      </c>
      <c r="E3912" s="87" t="str">
        <f>IFERROR(__xludf.DUMMYFUNCTION("""COMPUTED_VALUE"""),"NOMIDA 700WG")</f>
        <v>NOMIDA 700WG</v>
      </c>
      <c r="F3912" s="87" t="str">
        <f>IFERROR(__xludf.DUMMYFUNCTION("""COMPUTED_VALUE"""),"HH3145")</f>
        <v>HH3145</v>
      </c>
      <c r="G3912" s="87" t="str">
        <f>IFERROR(__xludf.DUMMYFUNCTION("""COMPUTED_VALUE"""),"GC - IV - 3145 - CTY HÓA NÔNG ĐỨC PHÁT - VUA RẦY 700 (Dạng cốm màu trắng ngà) - 10gr - 400")</f>
        <v>GC - IV - 3145 - CTY HÓA NÔNG ĐỨC PHÁT - VUA RẦY 700 (Dạng cốm màu trắng ngà) - 10gr - 400</v>
      </c>
    </row>
    <row r="3913">
      <c r="A3913" s="86">
        <f>IFERROR(__xludf.DUMMYFUNCTION("""COMPUTED_VALUE"""),3911.0)</f>
        <v>3911</v>
      </c>
      <c r="B3913" s="87" t="str">
        <f>IFERROR(__xludf.DUMMYFUNCTION("""COMPUTED_VALUE"""),"Nhãn")</f>
        <v>Nhãn</v>
      </c>
      <c r="C3913" s="87" t="str">
        <f>IFERROR(__xludf.DUMMYFUNCTION("""COMPUTED_VALUE"""),"NTN3145")</f>
        <v>NTN3145</v>
      </c>
      <c r="D3913" s="87" t="str">
        <f>IFERROR(__xludf.DUMMYFUNCTION("""COMPUTED_VALUE"""),"[Nhãn] GC - IV - 3145 - CTY HÓA NÔNG ĐỨC PHÁT - VUA RẦY 700 (Dạng cốm màu trắng ngà) - 10gr - 400")</f>
        <v>[Nhãn] GC - IV - 3145 - CTY HÓA NÔNG ĐỨC PHÁT - VUA RẦY 700 (Dạng cốm màu trắng ngà) - 10gr - 400</v>
      </c>
      <c r="E3913" s="87" t="str">
        <f>IFERROR(__xludf.DUMMYFUNCTION("""COMPUTED_VALUE"""),"NOMIDA 700WG")</f>
        <v>NOMIDA 700WG</v>
      </c>
      <c r="F3913" s="87" t="str">
        <f>IFERROR(__xludf.DUMMYFUNCTION("""COMPUTED_VALUE"""),"HH3145")</f>
        <v>HH3145</v>
      </c>
      <c r="G3913" s="87" t="str">
        <f>IFERROR(__xludf.DUMMYFUNCTION("""COMPUTED_VALUE"""),"GC - IV - 3145 - CTY HÓA NÔNG ĐỨC PHÁT - VUA RẦY 700 (Dạng cốm màu trắng ngà) - 10gr - 400")</f>
        <v>GC - IV - 3145 - CTY HÓA NÔNG ĐỨC PHÁT - VUA RẦY 700 (Dạng cốm màu trắng ngà) - 10gr - 400</v>
      </c>
    </row>
    <row r="3914">
      <c r="A3914" s="86">
        <f>IFERROR(__xludf.DUMMYFUNCTION("""COMPUTED_VALUE"""),3912.0)</f>
        <v>3912</v>
      </c>
      <c r="B3914" s="87" t="str">
        <f>IFERROR(__xludf.DUMMYFUNCTION("""COMPUTED_VALUE"""),"Nhãn thùng")</f>
        <v>Nhãn thùng</v>
      </c>
      <c r="C3914" s="87" t="str">
        <f>IFERROR(__xludf.DUMMYFUNCTION("""COMPUTED_VALUE"""),"NDT3145")</f>
        <v>NDT3145</v>
      </c>
      <c r="D3914" s="87" t="str">
        <f>IFERROR(__xludf.DUMMYFUNCTION("""COMPUTED_VALUE"""),"[Nhãn thùng] GC - IV - 3145 - CTY HÓA NÔNG ĐỨC PHÁT - VUA RẦY 700 (Dạng cốm màu trắng ngà) - 10gr - 400")</f>
        <v>[Nhãn thùng] GC - IV - 3145 - CTY HÓA NÔNG ĐỨC PHÁT - VUA RẦY 700 (Dạng cốm màu trắng ngà) - 10gr - 400</v>
      </c>
      <c r="E3914" s="87" t="str">
        <f>IFERROR(__xludf.DUMMYFUNCTION("""COMPUTED_VALUE"""),"NOMIDA 700WG")</f>
        <v>NOMIDA 700WG</v>
      </c>
      <c r="F3914" s="87" t="str">
        <f>IFERROR(__xludf.DUMMYFUNCTION("""COMPUTED_VALUE"""),"HH3145")</f>
        <v>HH3145</v>
      </c>
      <c r="G3914" s="87" t="str">
        <f>IFERROR(__xludf.DUMMYFUNCTION("""COMPUTED_VALUE"""),"GC - IV - 3145 - CTY HÓA NÔNG ĐỨC PHÁT - VUA RẦY 700 (Dạng cốm màu trắng ngà) - 10gr - 400")</f>
        <v>GC - IV - 3145 - CTY HÓA NÔNG ĐỨC PHÁT - VUA RẦY 700 (Dạng cốm màu trắng ngà) - 10gr - 400</v>
      </c>
    </row>
    <row r="3915">
      <c r="A3915" s="86">
        <f>IFERROR(__xludf.DUMMYFUNCTION("""COMPUTED_VALUE"""),3913.0)</f>
        <v>3913</v>
      </c>
      <c r="B3915" s="87" t="str">
        <f>IFERROR(__xludf.DUMMYFUNCTION("""COMPUTED_VALUE"""),"Nhãn")</f>
        <v>Nhãn</v>
      </c>
      <c r="C3915" s="87" t="str">
        <f>IFERROR(__xludf.DUMMYFUNCTION("""COMPUTED_VALUE"""),"NHG3146")</f>
        <v>NHG3146</v>
      </c>
      <c r="D3915" s="87" t="str">
        <f>IFERROR(__xludf.DUMMYFUNCTION("""COMPUTED_VALUE"""),"[Nhãn] GC - IV - 3146 - CTY ASAHI NHẬT BẢN - KÍCH PHÁT TỐ RA HOA SAKURA (Gel xanh lá) - 500ml - 40")</f>
        <v>[Nhãn] GC - IV - 3146 - CTY ASAHI NHẬT BẢN - KÍCH PHÁT TỐ RA HOA SAKURA (Gel xanh lá) - 500ml - 40</v>
      </c>
      <c r="E3915" s="87" t="str">
        <f>IFERROR(__xludf.DUMMYFUNCTION("""COMPUTED_VALUE"""),"Vi lượng AGAMA-SUPPORT")</f>
        <v>Vi lượng AGAMA-SUPPORT</v>
      </c>
      <c r="F3915" s="87" t="str">
        <f>IFERROR(__xludf.DUMMYFUNCTION("""COMPUTED_VALUE"""),"HH3146")</f>
        <v>HH3146</v>
      </c>
      <c r="G3915" s="87" t="str">
        <f>IFERROR(__xludf.DUMMYFUNCTION("""COMPUTED_VALUE"""),"GC - IV - 3146 - CTY ASAHI NHẬT BẢN - KÍCH PHÁT TỐ RA HOA SAKURA (Gel xanh lá) - 500ml - 40")</f>
        <v>GC - IV - 3146 - CTY ASAHI NHẬT BẢN - KÍCH PHÁT TỐ RA HOA SAKURA (Gel xanh lá) - 500ml - 40</v>
      </c>
    </row>
    <row r="3916">
      <c r="A3916" s="86">
        <f>IFERROR(__xludf.DUMMYFUNCTION("""COMPUTED_VALUE"""),3914.0)</f>
        <v>3914</v>
      </c>
      <c r="B3916" s="87" t="str">
        <f>IFERROR(__xludf.DUMMYFUNCTION("""COMPUTED_VALUE"""),"Nhãn")</f>
        <v>Nhãn</v>
      </c>
      <c r="C3916" s="87" t="str">
        <f>IFERROR(__xludf.DUMMYFUNCTION("""COMPUTED_VALUE"""),"NHG3147")</f>
        <v>NHG3147</v>
      </c>
      <c r="D3916" s="87" t="str">
        <f>IFERROR(__xludf.DUMMYFUNCTION("""COMPUTED_VALUE"""),"[Nhãn] GC - IV - 3147 - CTY ASAHI NHẬT BẢN - MAGIE KẼM SAKURA (Gel xanh lá) - 500ml - 40")</f>
        <v>[Nhãn] GC - IV - 3147 - CTY ASAHI NHẬT BẢN - MAGIE KẼM SAKURA (Gel xanh lá) - 500ml - 40</v>
      </c>
      <c r="E3916" s="87" t="str">
        <f>IFERROR(__xludf.DUMMYFUNCTION("""COMPUTED_VALUE"""),"Vi lượng AGAMA-SUPPORT")</f>
        <v>Vi lượng AGAMA-SUPPORT</v>
      </c>
      <c r="F3916" s="87" t="str">
        <f>IFERROR(__xludf.DUMMYFUNCTION("""COMPUTED_VALUE"""),"HH3147")</f>
        <v>HH3147</v>
      </c>
      <c r="G3916" s="87" t="str">
        <f>IFERROR(__xludf.DUMMYFUNCTION("""COMPUTED_VALUE"""),"GC - IV - 3147 - CTY ASAHI NHẬT BẢN - MAGIE KẼM SAKURA (Gel xanh lá) - 500ml - 40")</f>
        <v>GC - IV - 3147 - CTY ASAHI NHẬT BẢN - MAGIE KẼM SAKURA (Gel xanh lá) - 500ml - 40</v>
      </c>
    </row>
    <row r="3917">
      <c r="A3917" s="86">
        <f>IFERROR(__xludf.DUMMYFUNCTION("""COMPUTED_VALUE"""),3915.0)</f>
        <v>3915</v>
      </c>
      <c r="B3917" s="87" t="str">
        <f>IFERROR(__xludf.DUMMYFUNCTION("""COMPUTED_VALUE"""),"Nhãn")</f>
        <v>Nhãn</v>
      </c>
      <c r="C3917" s="87" t="str">
        <f>IFERROR(__xludf.DUMMYFUNCTION("""COMPUTED_VALUE"""),"NHG3148")</f>
        <v>NHG3148</v>
      </c>
      <c r="D3917" s="87" t="str">
        <f>IFERROR(__xludf.DUMMYFUNCTION("""COMPUTED_VALUE"""),"[Nhãn] GC - IV - 3148 - CTY ASAHI NHẬT BẢN - PHỤC HỒI SAKURA (Gel xanh lá) - 500ml - 40")</f>
        <v>[Nhãn] GC - IV - 3148 - CTY ASAHI NHẬT BẢN - PHỤC HỒI SAKURA (Gel xanh lá) - 500ml - 40</v>
      </c>
      <c r="E3917" s="87" t="str">
        <f>IFERROR(__xludf.DUMMYFUNCTION("""COMPUTED_VALUE"""),"Vi lượng AGAMA-SUPPORT")</f>
        <v>Vi lượng AGAMA-SUPPORT</v>
      </c>
      <c r="F3917" s="87" t="str">
        <f>IFERROR(__xludf.DUMMYFUNCTION("""COMPUTED_VALUE"""),"HH3148")</f>
        <v>HH3148</v>
      </c>
      <c r="G3917" s="87" t="str">
        <f>IFERROR(__xludf.DUMMYFUNCTION("""COMPUTED_VALUE"""),"GC - IV - 3148 - CTY ASAHI NHẬT BẢN - PHỤC HỒI SAKURA (Gel xanh lá) - 500ml - 40")</f>
        <v>GC - IV - 3148 - CTY ASAHI NHẬT BẢN - PHỤC HỒI SAKURA (Gel xanh lá) - 500ml - 40</v>
      </c>
    </row>
    <row r="3918">
      <c r="A3918" s="86">
        <f>IFERROR(__xludf.DUMMYFUNCTION("""COMPUTED_VALUE"""),3916.0)</f>
        <v>3916</v>
      </c>
      <c r="B3918" s="87" t="str">
        <f>IFERROR(__xludf.DUMMYFUNCTION("""COMPUTED_VALUE"""),"Nhãn")</f>
        <v>Nhãn</v>
      </c>
      <c r="C3918" s="87" t="str">
        <f>IFERROR(__xludf.DUMMYFUNCTION("""COMPUTED_VALUE"""),"NHG3149")</f>
        <v>NHG3149</v>
      </c>
      <c r="D3918" s="87" t="str">
        <f>IFERROR(__xludf.DUMMYFUNCTION("""COMPUTED_VALUE"""),"[Nhãn] GC - IV - 3149 - CTY ASAHI NHẬT BẢN - LÂN KẼM SAKURA (Gel xanh lá) - 500ml - 40")</f>
        <v>[Nhãn] GC - IV - 3149 - CTY ASAHI NHẬT BẢN - LÂN KẼM SAKURA (Gel xanh lá) - 500ml - 40</v>
      </c>
      <c r="E3918" s="87" t="str">
        <f>IFERROR(__xludf.DUMMYFUNCTION("""COMPUTED_VALUE"""),"Vi lượng AGAMA-SUPPORT")</f>
        <v>Vi lượng AGAMA-SUPPORT</v>
      </c>
      <c r="F3918" s="87" t="str">
        <f>IFERROR(__xludf.DUMMYFUNCTION("""COMPUTED_VALUE"""),"HH3149")</f>
        <v>HH3149</v>
      </c>
      <c r="G3918" s="87" t="str">
        <f>IFERROR(__xludf.DUMMYFUNCTION("""COMPUTED_VALUE"""),"GC - IV - 3149 - CTY ASAHI NHẬT BẢN - LÂN KẼM SAKURA (Gel xanh lá) - 500ml - 40")</f>
        <v>GC - IV - 3149 - CTY ASAHI NHẬT BẢN - LÂN KẼM SAKURA (Gel xanh lá) - 500ml - 40</v>
      </c>
    </row>
    <row r="3919">
      <c r="A3919" s="86">
        <f>IFERROR(__xludf.DUMMYFUNCTION("""COMPUTED_VALUE"""),3917.0)</f>
        <v>3917</v>
      </c>
      <c r="B3919" s="87" t="str">
        <f>IFERROR(__xludf.DUMMYFUNCTION("""COMPUTED_VALUE"""),"Nhãn")</f>
        <v>Nhãn</v>
      </c>
      <c r="C3919" s="87" t="str">
        <f>IFERROR(__xludf.DUMMYFUNCTION("""COMPUTED_VALUE"""),"NHG3150")</f>
        <v>NHG3150</v>
      </c>
      <c r="D3919" s="87" t="str">
        <f>IFERROR(__xludf.DUMMYFUNCTION("""COMPUTED_VALUE"""),"[Nhãn] GC - IV - 3150 - CTY ASAHI NHẬT BẢN - ĐẠM CÁ SAKURA (Gel nâu đen) - 500ml - 40")</f>
        <v>[Nhãn] GC - IV - 3150 - CTY ASAHI NHẬT BẢN - ĐẠM CÁ SAKURA (Gel nâu đen) - 500ml - 40</v>
      </c>
      <c r="E3919" s="87" t="str">
        <f>IFERROR(__xludf.DUMMYFUNCTION("""COMPUTED_VALUE"""),"Vi lượng Quantity New")</f>
        <v>Vi lượng Quantity New</v>
      </c>
      <c r="F3919" s="87" t="str">
        <f>IFERROR(__xludf.DUMMYFUNCTION("""COMPUTED_VALUE"""),"HH3150")</f>
        <v>HH3150</v>
      </c>
      <c r="G3919" s="87" t="str">
        <f>IFERROR(__xludf.DUMMYFUNCTION("""COMPUTED_VALUE"""),"GC - IV - 3150 - CTY ASAHI NHẬT BẢN - ĐẠM CÁ SAKURA (Gel nâu đen) - 500ml - 40")</f>
        <v>GC - IV - 3150 - CTY ASAHI NHẬT BẢN - ĐẠM CÁ SAKURA (Gel nâu đen) - 500ml - 40</v>
      </c>
    </row>
    <row r="3920">
      <c r="A3920" s="86">
        <f>IFERROR(__xludf.DUMMYFUNCTION("""COMPUTED_VALUE"""),3918.0)</f>
        <v>3918</v>
      </c>
      <c r="B3920" s="87" t="str">
        <f>IFERROR(__xludf.DUMMYFUNCTION("""COMPUTED_VALUE"""),"Nhãn")</f>
        <v>Nhãn</v>
      </c>
      <c r="C3920" s="87" t="str">
        <f>IFERROR(__xludf.DUMMYFUNCTION("""COMPUTED_VALUE"""),"NHG3151")</f>
        <v>NHG3151</v>
      </c>
      <c r="D3920" s="87" t="str">
        <f>IFERROR(__xludf.DUMMYFUNCTION("""COMPUTED_VALUE"""),"[Nhãn] GC - IV - 3151 - CTY ASAHI NHẬT BẢN - HUMIC SAKURA (Gel nâu đen) - 500ml - 40")</f>
        <v>[Nhãn] GC - IV - 3151 - CTY ASAHI NHẬT BẢN - HUMIC SAKURA (Gel nâu đen) - 500ml - 40</v>
      </c>
      <c r="E3920" s="87" t="str">
        <f>IFERROR(__xludf.DUMMYFUNCTION("""COMPUTED_VALUE"""),"Vi lượng Quantity New")</f>
        <v>Vi lượng Quantity New</v>
      </c>
      <c r="F3920" s="87" t="str">
        <f>IFERROR(__xludf.DUMMYFUNCTION("""COMPUTED_VALUE"""),"HH3151")</f>
        <v>HH3151</v>
      </c>
      <c r="G3920" s="87" t="str">
        <f>IFERROR(__xludf.DUMMYFUNCTION("""COMPUTED_VALUE"""),"GC - IV - 3151 - CTY ASAHI NHẬT BẢN - HUMIC SAKURA (Gel nâu đen) - 500ml - 40")</f>
        <v>GC - IV - 3151 - CTY ASAHI NHẬT BẢN - HUMIC SAKURA (Gel nâu đen) - 500ml - 40</v>
      </c>
    </row>
    <row r="3921">
      <c r="A3921" s="86">
        <f>IFERROR(__xludf.DUMMYFUNCTION("""COMPUTED_VALUE"""),3919.0)</f>
        <v>3919</v>
      </c>
      <c r="B3921" s="87" t="str">
        <f>IFERROR(__xludf.DUMMYFUNCTION("""COMPUTED_VALUE"""),"Nhãn")</f>
        <v>Nhãn</v>
      </c>
      <c r="C3921" s="87" t="str">
        <f>IFERROR(__xludf.DUMMYFUNCTION("""COMPUTED_VALUE"""),"NHG3152")</f>
        <v>NHG3152</v>
      </c>
      <c r="D3921" s="87" t="str">
        <f>IFERROR(__xludf.DUMMYFUNCTION("""COMPUTED_VALUE"""),"[Nhãn] GC - IV - 3152 - CTY ASAHI NHẬT BẢN - RONG BIỂN SAKURA (Gel nâu đen) - 500ml - 40")</f>
        <v>[Nhãn] GC - IV - 3152 - CTY ASAHI NHẬT BẢN - RONG BIỂN SAKURA (Gel nâu đen) - 500ml - 40</v>
      </c>
      <c r="E3921" s="87" t="str">
        <f>IFERROR(__xludf.DUMMYFUNCTION("""COMPUTED_VALUE"""),"Vi lượng Quantity New")</f>
        <v>Vi lượng Quantity New</v>
      </c>
      <c r="F3921" s="87" t="str">
        <f>IFERROR(__xludf.DUMMYFUNCTION("""COMPUTED_VALUE"""),"HH3152")</f>
        <v>HH3152</v>
      </c>
      <c r="G3921" s="87" t="str">
        <f>IFERROR(__xludf.DUMMYFUNCTION("""COMPUTED_VALUE"""),"GC - IV - 3152 - CTY ASAHI NHẬT BẢN - RONG BIỂN SAKURA (Gel nâu đen) - 500ml - 40")</f>
        <v>GC - IV - 3152 - CTY ASAHI NHẬT BẢN - RONG BIỂN SAKURA (Gel nâu đen) - 500ml - 40</v>
      </c>
    </row>
    <row r="3922">
      <c r="A3922" s="86">
        <f>IFERROR(__xludf.DUMMYFUNCTION("""COMPUTED_VALUE"""),3920.0)</f>
        <v>3920</v>
      </c>
      <c r="B3922" s="87" t="str">
        <f>IFERROR(__xludf.DUMMYFUNCTION("""COMPUTED_VALUE"""),"Nhãn")</f>
        <v>Nhãn</v>
      </c>
      <c r="C3922" s="87" t="str">
        <f>IFERROR(__xludf.DUMMYFUNCTION("""COMPUTED_VALUE"""),"NHG3153")</f>
        <v>NHG3153</v>
      </c>
      <c r="D3922" s="87" t="str">
        <f>IFERROR(__xludf.DUMMYFUNCTION("""COMPUTED_VALUE"""),"[Nhãn] GC - IV - 3153 - CTY ASAHI NHẬT BẢN - ROOTS SAKURA (Gel nâu đen) - 500ml - 40")</f>
        <v>[Nhãn] GC - IV - 3153 - CTY ASAHI NHẬT BẢN - ROOTS SAKURA (Gel nâu đen) - 500ml - 40</v>
      </c>
      <c r="E3922" s="87" t="str">
        <f>IFERROR(__xludf.DUMMYFUNCTION("""COMPUTED_VALUE"""),"Vi lượng Quantity New")</f>
        <v>Vi lượng Quantity New</v>
      </c>
      <c r="F3922" s="87" t="str">
        <f>IFERROR(__xludf.DUMMYFUNCTION("""COMPUTED_VALUE"""),"HH3153")</f>
        <v>HH3153</v>
      </c>
      <c r="G3922" s="87" t="str">
        <f>IFERROR(__xludf.DUMMYFUNCTION("""COMPUTED_VALUE"""),"GC - IV - 3153 - CTY ASAHI NHẬT BẢN - ROOTS SAKURA (Gel nâu đen) - 500ml - 40")</f>
        <v>GC - IV - 3153 - CTY ASAHI NHẬT BẢN - ROOTS SAKURA (Gel nâu đen) - 500ml - 40</v>
      </c>
    </row>
    <row r="3923">
      <c r="A3923" s="86">
        <f>IFERROR(__xludf.DUMMYFUNCTION("""COMPUTED_VALUE"""),3921.0)</f>
        <v>3921</v>
      </c>
      <c r="B3923" s="87" t="str">
        <f>IFERROR(__xludf.DUMMYFUNCTION("""COMPUTED_VALUE"""),"Nhãn")</f>
        <v>Nhãn</v>
      </c>
      <c r="C3923" s="87" t="str">
        <f>IFERROR(__xludf.DUMMYFUNCTION("""COMPUTED_VALUE"""),"NHG3154")</f>
        <v>NHG3154</v>
      </c>
      <c r="D3923" s="87" t="str">
        <f>IFERROR(__xludf.DUMMYFUNCTION("""COMPUTED_VALUE"""),"[Nhãn] GC - IV - 3154 - CTY ASAHI NHẬT BẢN - SIÊU LÂN SAKURA (Gel nâu đen) - 500ml - 40")</f>
        <v>[Nhãn] GC - IV - 3154 - CTY ASAHI NHẬT BẢN - SIÊU LÂN SAKURA (Gel nâu đen) - 500ml - 40</v>
      </c>
      <c r="E3923" s="87" t="str">
        <f>IFERROR(__xludf.DUMMYFUNCTION("""COMPUTED_VALUE"""),"Vi lượng Quantity New")</f>
        <v>Vi lượng Quantity New</v>
      </c>
      <c r="F3923" s="87" t="str">
        <f>IFERROR(__xludf.DUMMYFUNCTION("""COMPUTED_VALUE"""),"HH3154")</f>
        <v>HH3154</v>
      </c>
      <c r="G3923" s="87" t="str">
        <f>IFERROR(__xludf.DUMMYFUNCTION("""COMPUTED_VALUE"""),"GC - IV - 3154 - CTY ASAHI NHẬT BẢN - SIÊU LÂN SAKURA (Gel nâu đen) - 500ml - 40")</f>
        <v>GC - IV - 3154 - CTY ASAHI NHẬT BẢN - SIÊU LÂN SAKURA (Gel nâu đen) - 500ml - 40</v>
      </c>
    </row>
    <row r="3924">
      <c r="A3924" s="86">
        <f>IFERROR(__xludf.DUMMYFUNCTION("""COMPUTED_VALUE"""),3922.0)</f>
        <v>3922</v>
      </c>
      <c r="B3924" s="87" t="str">
        <f>IFERROR(__xludf.DUMMYFUNCTION("""COMPUTED_VALUE"""),"Nhãn")</f>
        <v>Nhãn</v>
      </c>
      <c r="C3924" s="87" t="str">
        <f>IFERROR(__xludf.DUMMYFUNCTION("""COMPUTED_VALUE"""),"NHG3155")</f>
        <v>NHG3155</v>
      </c>
      <c r="D3924" s="87" t="str">
        <f>IFERROR(__xludf.DUMMYFUNCTION("""COMPUTED_VALUE"""),"[Nhãn] GC - IV - 3155 - CTY ASAHI NHẬT BẢN - CANXI BO SAKURA (Gel đỏ cam) - 500ml - 40")</f>
        <v>[Nhãn] GC - IV - 3155 - CTY ASAHI NHẬT BẢN - CANXI BO SAKURA (Gel đỏ cam) - 500ml - 40</v>
      </c>
      <c r="E3924" s="87" t="str">
        <f>IFERROR(__xludf.DUMMYFUNCTION("""COMPUTED_VALUE"""),"Vi lượng Run Fast")</f>
        <v>Vi lượng Run Fast</v>
      </c>
      <c r="F3924" s="87" t="str">
        <f>IFERROR(__xludf.DUMMYFUNCTION("""COMPUTED_VALUE"""),"HH3155")</f>
        <v>HH3155</v>
      </c>
      <c r="G3924" s="87" t="str">
        <f>IFERROR(__xludf.DUMMYFUNCTION("""COMPUTED_VALUE"""),"GC - IV - 3155 - CTY ASAHI NHẬT BẢN - CANXI BO SAKURA (Gel đỏ cam) - 500ml - 40")</f>
        <v>GC - IV - 3155 - CTY ASAHI NHẬT BẢN - CANXI BO SAKURA (Gel đỏ cam) - 500ml - 40</v>
      </c>
    </row>
    <row r="3925">
      <c r="A3925" s="86">
        <f>IFERROR(__xludf.DUMMYFUNCTION("""COMPUTED_VALUE"""),3923.0)</f>
        <v>3923</v>
      </c>
      <c r="B3925" s="87" t="str">
        <f>IFERROR(__xludf.DUMMYFUNCTION("""COMPUTED_VALUE"""),"Nhãn")</f>
        <v>Nhãn</v>
      </c>
      <c r="C3925" s="87" t="str">
        <f>IFERROR(__xludf.DUMMYFUNCTION("""COMPUTED_VALUE"""),"NHG3156")</f>
        <v>NHG3156</v>
      </c>
      <c r="D3925" s="87" t="str">
        <f>IFERROR(__xludf.DUMMYFUNCTION("""COMPUTED_VALUE"""),"[Nhãn] GC - IV - 3156 - CTY ASAHI NHẬT BẢN - SIÊU BO SAKURA (Gel đỏ cam) - 500ml - 40")</f>
        <v>[Nhãn] GC - IV - 3156 - CTY ASAHI NHẬT BẢN - SIÊU BO SAKURA (Gel đỏ cam) - 500ml - 40</v>
      </c>
      <c r="E3925" s="87" t="str">
        <f>IFERROR(__xludf.DUMMYFUNCTION("""COMPUTED_VALUE"""),"Vi lượng Run Fast")</f>
        <v>Vi lượng Run Fast</v>
      </c>
      <c r="F3925" s="87" t="str">
        <f>IFERROR(__xludf.DUMMYFUNCTION("""COMPUTED_VALUE"""),"HH3156")</f>
        <v>HH3156</v>
      </c>
      <c r="G3925" s="87" t="str">
        <f>IFERROR(__xludf.DUMMYFUNCTION("""COMPUTED_VALUE"""),"GC - IV - 3156 - CTY ASAHI NHẬT BẢN - SIÊU BO SAKURA (Gel đỏ cam) - 500ml - 40")</f>
        <v>GC - IV - 3156 - CTY ASAHI NHẬT BẢN - SIÊU BO SAKURA (Gel đỏ cam) - 500ml - 40</v>
      </c>
    </row>
    <row r="3926">
      <c r="A3926" s="86">
        <f>IFERROR(__xludf.DUMMYFUNCTION("""COMPUTED_VALUE"""),3924.0)</f>
        <v>3924</v>
      </c>
      <c r="B3926" s="87" t="str">
        <f>IFERROR(__xludf.DUMMYFUNCTION("""COMPUTED_VALUE"""),"Nhãn")</f>
        <v>Nhãn</v>
      </c>
      <c r="C3926" s="87" t="str">
        <f>IFERROR(__xludf.DUMMYFUNCTION("""COMPUTED_VALUE"""),"NHG3157")</f>
        <v>NHG3157</v>
      </c>
      <c r="D3926" s="87" t="str">
        <f>IFERROR(__xludf.DUMMYFUNCTION("""COMPUTED_VALUE"""),"[Nhãn] GC - IV - 3157 - CTY ASAHI NHẬT BẢN - KALI BO SAKURA (Gel đỏ cam) - 500ml - 40")</f>
        <v>[Nhãn] GC - IV - 3157 - CTY ASAHI NHẬT BẢN - KALI BO SAKURA (Gel đỏ cam) - 500ml - 40</v>
      </c>
      <c r="E3926" s="87" t="str">
        <f>IFERROR(__xludf.DUMMYFUNCTION("""COMPUTED_VALUE"""),"Vi lượng Run Fast")</f>
        <v>Vi lượng Run Fast</v>
      </c>
      <c r="F3926" s="87" t="str">
        <f>IFERROR(__xludf.DUMMYFUNCTION("""COMPUTED_VALUE"""),"HH3157")</f>
        <v>HH3157</v>
      </c>
      <c r="G3926" s="87" t="str">
        <f>IFERROR(__xludf.DUMMYFUNCTION("""COMPUTED_VALUE"""),"GC - IV - 3157 - CTY ASAHI NHẬT BẢN - KALI BO SAKURA (Gel đỏ cam) - 500ml - 40")</f>
        <v>GC - IV - 3157 - CTY ASAHI NHẬT BẢN - KALI BO SAKURA (Gel đỏ cam) - 500ml - 40</v>
      </c>
    </row>
    <row r="3927">
      <c r="A3927" s="86">
        <f>IFERROR(__xludf.DUMMYFUNCTION("""COMPUTED_VALUE"""),3925.0)</f>
        <v>3925</v>
      </c>
      <c r="B3927" s="87" t="str">
        <f>IFERROR(__xludf.DUMMYFUNCTION("""COMPUTED_VALUE"""),"Nhãn")</f>
        <v>Nhãn</v>
      </c>
      <c r="C3927" s="87" t="str">
        <f>IFERROR(__xludf.DUMMYFUNCTION("""COMPUTED_VALUE"""),"NHG3158")</f>
        <v>NHG3158</v>
      </c>
      <c r="D3927" s="87" t="str">
        <f>IFERROR(__xludf.DUMMYFUNCTION("""COMPUTED_VALUE"""),"[Nhãn] IDA Global - I - 3158 - ĐL NĂM VUÔNG - VIL THÁI (Nước xanh dương) - 1L - 20")</f>
        <v>[Nhãn] IDA Global - I - 3158 - ĐL NĂM VUÔNG - VIL THÁI (Nước xanh dương) - 1L - 20</v>
      </c>
      <c r="E3927" s="87" t="str">
        <f>IFERROR(__xludf.DUMMYFUNCTION("""COMPUTED_VALUE"""),"Mekongvil 5SC")</f>
        <v>Mekongvil 5SC</v>
      </c>
      <c r="F3927" s="87" t="str">
        <f>IFERROR(__xludf.DUMMYFUNCTION("""COMPUTED_VALUE"""),"HH3158")</f>
        <v>HH3158</v>
      </c>
      <c r="G3927" s="87" t="str">
        <f>IFERROR(__xludf.DUMMYFUNCTION("""COMPUTED_VALUE"""),"IDA Global - I - 3158 - ĐL NĂM VUÔNG - VIL THÁI (Nước xanh dương) - 1L - 20")</f>
        <v>IDA Global - I - 3158 - ĐL NĂM VUÔNG - VIL THÁI (Nước xanh dương) - 1L - 20</v>
      </c>
    </row>
    <row r="3928">
      <c r="A3928" s="86">
        <f>IFERROR(__xludf.DUMMYFUNCTION("""COMPUTED_VALUE"""),3926.0)</f>
        <v>3926</v>
      </c>
      <c r="B3928" s="87" t="str">
        <f>IFERROR(__xludf.DUMMYFUNCTION("""COMPUTED_VALUE"""),"Nhãn")</f>
        <v>Nhãn</v>
      </c>
      <c r="C3928" s="87" t="str">
        <f>IFERROR(__xludf.DUMMYFUNCTION("""COMPUTED_VALUE"""),"NHG3159")</f>
        <v>NHG3159</v>
      </c>
      <c r="D3928" s="87" t="str">
        <f>IFERROR(__xludf.DUMMYFUNCTION("""COMPUTED_VALUE"""),"[Nhãn] GC - IV - 3159 - Cty Agritech (Anh Trương) - MITE KILLER (nước đỏ) - 240ml - 40")</f>
        <v>[Nhãn] GC - IV - 3159 - Cty Agritech (Anh Trương) - MITE KILLER (nước đỏ) - 240ml - 40</v>
      </c>
      <c r="E3928" s="87" t="str">
        <f>IFERROR(__xludf.DUMMYFUNCTION("""COMPUTED_VALUE"""),"CHIM ƯNG 3.8EC")</f>
        <v>CHIM ƯNG 3.8EC</v>
      </c>
      <c r="F3928" s="87" t="str">
        <f>IFERROR(__xludf.DUMMYFUNCTION("""COMPUTED_VALUE"""),"HH3159")</f>
        <v>HH3159</v>
      </c>
      <c r="G3928" s="87" t="str">
        <f>IFERROR(__xludf.DUMMYFUNCTION("""COMPUTED_VALUE"""),"GC - IV - 3159 - Cty Agritech (Anh Trương) - MITE KILLER (nước đỏ) - 240ml - 40")</f>
        <v>GC - IV - 3159 - Cty Agritech (Anh Trương) - MITE KILLER (nước đỏ) - 240ml - 40</v>
      </c>
    </row>
    <row r="3929">
      <c r="A3929" s="86">
        <f>IFERROR(__xludf.DUMMYFUNCTION("""COMPUTED_VALUE"""),3927.0)</f>
        <v>3927</v>
      </c>
      <c r="B3929" s="87" t="str">
        <f>IFERROR(__xludf.DUMMYFUNCTION("""COMPUTED_VALUE"""),"Nhãn")</f>
        <v>Nhãn</v>
      </c>
      <c r="C3929" s="87" t="str">
        <f>IFERROR(__xludf.DUMMYFUNCTION("""COMPUTED_VALUE"""),"NHG3160")</f>
        <v>NHG3160</v>
      </c>
      <c r="D3929" s="87" t="str">
        <f>IFERROR(__xludf.DUMMYFUNCTION("""COMPUTED_VALUE"""),"[Nhãn] GC - IV - 3160 - Cty Thiên Di (A Thành Dol) - Dưỡng chất vô cơ chuyên sầu riêng (Nước tím đỏ) - 500ml - 40")</f>
        <v>[Nhãn] GC - IV - 3160 - Cty Thiên Di (A Thành Dol) - Dưỡng chất vô cơ chuyên sầu riêng (Nước tím đỏ) - 500ml - 40</v>
      </c>
      <c r="E3929" s="87" t="str">
        <f>IFERROR(__xludf.DUMMYFUNCTION("""COMPUTED_VALUE"""),"Hỗn Hợp NP AGAMA-AP")</f>
        <v>Hỗn Hợp NP AGAMA-AP</v>
      </c>
      <c r="F3929" s="87" t="str">
        <f>IFERROR(__xludf.DUMMYFUNCTION("""COMPUTED_VALUE"""),"HH3160")</f>
        <v>HH3160</v>
      </c>
      <c r="G3929" s="87" t="str">
        <f>IFERROR(__xludf.DUMMYFUNCTION("""COMPUTED_VALUE"""),"GC - IV - 3160 - Cty Thiên Di (A Thành Dol) - Dưỡng chất vô cơ chuyên sầu riêng (Nước tím đỏ) - 500ml - 40")</f>
        <v>GC - IV - 3160 - Cty Thiên Di (A Thành Dol) - Dưỡng chất vô cơ chuyên sầu riêng (Nước tím đỏ) - 500ml - 40</v>
      </c>
    </row>
    <row r="3930">
      <c r="A3930" s="86">
        <f>IFERROR(__xludf.DUMMYFUNCTION("""COMPUTED_VALUE"""),3928.0)</f>
        <v>3928</v>
      </c>
      <c r="B3930" s="87" t="str">
        <f>IFERROR(__xludf.DUMMYFUNCTION("""COMPUTED_VALUE"""),"Nhãn")</f>
        <v>Nhãn</v>
      </c>
      <c r="C3930" s="87" t="str">
        <f>IFERROR(__xludf.DUMMYFUNCTION("""COMPUTED_VALUE"""),"NTN3161")</f>
        <v>NTN3161</v>
      </c>
      <c r="D3930" s="87" t="str">
        <f>IFERROR(__xludf.DUMMYFUNCTION("""COMPUTED_VALUE"""),"[Nhãn] GC - IV - 3161 - CTY AN VUI - FORVIN 85WP (Bột màu trắng) - 100g - 100")</f>
        <v>[Nhãn] GC - IV - 3161 - CTY AN VUI - FORVIN 85WP (Bột màu trắng) - 100g - 100</v>
      </c>
      <c r="E3930" s="87" t="str">
        <f>IFERROR(__xludf.DUMMYFUNCTION("""COMPUTED_VALUE"""),"FORVIN 85WP")</f>
        <v>FORVIN 85WP</v>
      </c>
      <c r="F3930" s="87" t="str">
        <f>IFERROR(__xludf.DUMMYFUNCTION("""COMPUTED_VALUE"""),"HH3161")</f>
        <v>HH3161</v>
      </c>
      <c r="G3930" s="87" t="str">
        <f>IFERROR(__xludf.DUMMYFUNCTION("""COMPUTED_VALUE"""),"GC - IV - 3161 - CTY AN VUI - FORVIN 85WP (Bột màu trắng) - 100g - 100")</f>
        <v>GC - IV - 3161 - CTY AN VUI - FORVIN 85WP (Bột màu trắng) - 100g - 100</v>
      </c>
    </row>
    <row r="3931">
      <c r="A3931" s="86">
        <f>IFERROR(__xludf.DUMMYFUNCTION("""COMPUTED_VALUE"""),3929.0)</f>
        <v>3929</v>
      </c>
      <c r="B3931" s="87" t="str">
        <f>IFERROR(__xludf.DUMMYFUNCTION("""COMPUTED_VALUE"""),"Nhãn thùng")</f>
        <v>Nhãn thùng</v>
      </c>
      <c r="C3931" s="87" t="str">
        <f>IFERROR(__xludf.DUMMYFUNCTION("""COMPUTED_VALUE"""),"NDT3161")</f>
        <v>NDT3161</v>
      </c>
      <c r="D3931" s="87" t="str">
        <f>IFERROR(__xludf.DUMMYFUNCTION("""COMPUTED_VALUE"""),"[Nhãn thùng] GC - IV - 3161 - CTY AN VUI - FORVIN 85WP (Bột màu trắng) - 100g - 100")</f>
        <v>[Nhãn thùng] GC - IV - 3161 - CTY AN VUI - FORVIN 85WP (Bột màu trắng) - 100g - 100</v>
      </c>
      <c r="E3931" s="87" t="str">
        <f>IFERROR(__xludf.DUMMYFUNCTION("""COMPUTED_VALUE"""),"FORVIN 85WP")</f>
        <v>FORVIN 85WP</v>
      </c>
      <c r="F3931" s="87" t="str">
        <f>IFERROR(__xludf.DUMMYFUNCTION("""COMPUTED_VALUE"""),"HH3161")</f>
        <v>HH3161</v>
      </c>
      <c r="G3931" s="87" t="str">
        <f>IFERROR(__xludf.DUMMYFUNCTION("""COMPUTED_VALUE"""),"GC - IV - 3161 - CTY AN VUI - FORVIN 85WP (Bột màu trắng) - 100g - 100")</f>
        <v>GC - IV - 3161 - CTY AN VUI - FORVIN 85WP (Bột màu trắng) - 100g - 100</v>
      </c>
    </row>
    <row r="3932">
      <c r="A3932" s="86">
        <f>IFERROR(__xludf.DUMMYFUNCTION("""COMPUTED_VALUE"""),3930.0)</f>
        <v>3930</v>
      </c>
      <c r="B3932" s="87" t="str">
        <f>IFERROR(__xludf.DUMMYFUNCTION("""COMPUTED_VALUE"""),"Nhãn")</f>
        <v>Nhãn</v>
      </c>
      <c r="C3932" s="87" t="str">
        <f>IFERROR(__xludf.DUMMYFUNCTION("""COMPUTED_VALUE"""),"NHG3162")</f>
        <v>NHG3162</v>
      </c>
      <c r="D3932" s="87" t="str">
        <f>IFERROR(__xludf.DUMMYFUNCTION("""COMPUTED_VALUE"""),"[Nhãn] GC - IV - 3162 - CTY NÔNG HÓA XANH - XANHVIL (Nước trắng sữa) - 1L - 20")</f>
        <v>[Nhãn] GC - IV - 3162 - CTY NÔNG HÓA XANH - XANHVIL (Nước trắng sữa) - 1L - 20</v>
      </c>
      <c r="E3932" s="87" t="str">
        <f>IFERROR(__xludf.DUMMYFUNCTION("""COMPUTED_VALUE"""),"Mekongvil 5SC")</f>
        <v>Mekongvil 5SC</v>
      </c>
      <c r="F3932" s="87" t="str">
        <f>IFERROR(__xludf.DUMMYFUNCTION("""COMPUTED_VALUE"""),"HH3162")</f>
        <v>HH3162</v>
      </c>
      <c r="G3932" s="87" t="str">
        <f>IFERROR(__xludf.DUMMYFUNCTION("""COMPUTED_VALUE"""),"GC - IV - 3162 - CTY NÔNG HÓA XANH - XANHVIL (Nước trắng sữa) - 1L - 20")</f>
        <v>GC - IV - 3162 - CTY NÔNG HÓA XANH - XANHVIL (Nước trắng sữa) - 1L - 20</v>
      </c>
    </row>
    <row r="3933">
      <c r="A3933" s="86">
        <f>IFERROR(__xludf.DUMMYFUNCTION("""COMPUTED_VALUE"""),3931.0)</f>
        <v>3931</v>
      </c>
      <c r="B3933" s="87" t="str">
        <f>IFERROR(__xludf.DUMMYFUNCTION("""COMPUTED_VALUE"""),"Nhãn")</f>
        <v>Nhãn</v>
      </c>
      <c r="C3933" s="87" t="str">
        <f>IFERROR(__xludf.DUMMYFUNCTION("""COMPUTED_VALUE"""),"NHG3163")</f>
        <v>NHG3163</v>
      </c>
      <c r="D3933" s="87" t="str">
        <f>IFERROR(__xludf.DUMMYFUNCTION("""COMPUTED_VALUE"""),"[Nhãn] GC - IV - 3163 - Cty Agrochem Korea - SIÊU VÔ GẠO (Nước trắng sữa) - 1L - 20")</f>
        <v>[Nhãn] GC - IV - 3163 - Cty Agrochem Korea - SIÊU VÔ GẠO (Nước trắng sữa) - 1L - 20</v>
      </c>
      <c r="E3933" s="87" t="str">
        <f>IFERROR(__xludf.DUMMYFUNCTION("""COMPUTED_VALUE"""),"Vi lượng AGAMA-SUPPORT")</f>
        <v>Vi lượng AGAMA-SUPPORT</v>
      </c>
      <c r="F3933" s="87" t="str">
        <f>IFERROR(__xludf.DUMMYFUNCTION("""COMPUTED_VALUE"""),"HH3163")</f>
        <v>HH3163</v>
      </c>
      <c r="G3933" s="87" t="str">
        <f>IFERROR(__xludf.DUMMYFUNCTION("""COMPUTED_VALUE"""),"GC - IV - 3163 - Cty Agrochem Korea - SIÊU VÔ GẠO (Nước trắng sữa) - 1L - 20")</f>
        <v>GC - IV - 3163 - Cty Agrochem Korea - SIÊU VÔ GẠO (Nước trắng sữa) - 1L - 20</v>
      </c>
    </row>
    <row r="3934">
      <c r="A3934" s="86">
        <f>IFERROR(__xludf.DUMMYFUNCTION("""COMPUTED_VALUE"""),3932.0)</f>
        <v>3932</v>
      </c>
      <c r="B3934" s="87" t="str">
        <f>IFERROR(__xludf.DUMMYFUNCTION("""COMPUTED_VALUE"""),"Nhãn")</f>
        <v>Nhãn</v>
      </c>
      <c r="C3934" s="87" t="str">
        <f>IFERROR(__xludf.DUMMYFUNCTION("""COMPUTED_VALUE"""),"NHD3164")</f>
        <v>NHD3164</v>
      </c>
      <c r="D3934" s="87" t="str">
        <f>IFERROR(__xludf.DUMMYFUNCTION("""COMPUTED_VALUE"""),"[Nhãn] GC - IV - 3164 - CTY VISANTO - VISANTO MONICA 460 (Nước gạch cam) - 300ml - 40")</f>
        <v>[Nhãn] GC - IV - 3164 - CTY VISANTO - VISANTO MONICA 460 (Nước gạch cam) - 300ml - 40</v>
      </c>
      <c r="E3934" s="87" t="str">
        <f>IFERROR(__xludf.DUMMYFUNCTION("""COMPUTED_VALUE"""),"KING-CIDE JAPAN 460SC")</f>
        <v>KING-CIDE JAPAN 460SC</v>
      </c>
      <c r="F3934" s="87" t="str">
        <f>IFERROR(__xludf.DUMMYFUNCTION("""COMPUTED_VALUE"""),"HH3164")</f>
        <v>HH3164</v>
      </c>
      <c r="G3934" s="87" t="str">
        <f>IFERROR(__xludf.DUMMYFUNCTION("""COMPUTED_VALUE"""),"GC - IV - 3164 - CTY VISANTO - VISANTO MONICA 460 (Nước gạch cam) - 300ml - 40")</f>
        <v>GC - IV - 3164 - CTY VISANTO - VISANTO MONICA 460 (Nước gạch cam) - 300ml - 40</v>
      </c>
    </row>
    <row r="3935">
      <c r="A3935" s="86">
        <f>IFERROR(__xludf.DUMMYFUNCTION("""COMPUTED_VALUE"""),3933.0)</f>
        <v>3933</v>
      </c>
      <c r="B3935" s="87" t="str">
        <f>IFERROR(__xludf.DUMMYFUNCTION("""COMPUTED_VALUE"""),"Nhãn thùng")</f>
        <v>Nhãn thùng</v>
      </c>
      <c r="C3935" s="87" t="str">
        <f>IFERROR(__xludf.DUMMYFUNCTION("""COMPUTED_VALUE"""),"NDT3164")</f>
        <v>NDT3164</v>
      </c>
      <c r="D3935" s="87" t="str">
        <f>IFERROR(__xludf.DUMMYFUNCTION("""COMPUTED_VALUE"""),"[Nhãn thùng] GC - IV - 3164 - CTY VISANTO - VISANTO MONICA 460 (Nước gạch cam) - 300ml - 40")</f>
        <v>[Nhãn thùng] GC - IV - 3164 - CTY VISANTO - VISANTO MONICA 460 (Nước gạch cam) - 300ml - 40</v>
      </c>
      <c r="E3935" s="87" t="str">
        <f>IFERROR(__xludf.DUMMYFUNCTION("""COMPUTED_VALUE"""),"KING-CIDE JAPAN 460SC")</f>
        <v>KING-CIDE JAPAN 460SC</v>
      </c>
      <c r="F3935" s="87" t="str">
        <f>IFERROR(__xludf.DUMMYFUNCTION("""COMPUTED_VALUE"""),"HH3164")</f>
        <v>HH3164</v>
      </c>
      <c r="G3935" s="87" t="str">
        <f>IFERROR(__xludf.DUMMYFUNCTION("""COMPUTED_VALUE"""),"GC - IV - 3164 - CTY VISANTO - VISANTO MONICA 460 (Nước gạch cam) - 300ml - 40")</f>
        <v>GC - IV - 3164 - CTY VISANTO - VISANTO MONICA 460 (Nước gạch cam) - 300ml - 40</v>
      </c>
    </row>
    <row r="3936">
      <c r="A3936" s="86">
        <f>IFERROR(__xludf.DUMMYFUNCTION("""COMPUTED_VALUE"""),3934.0)</f>
        <v>3934</v>
      </c>
      <c r="B3936" s="87" t="str">
        <f>IFERROR(__xludf.DUMMYFUNCTION("""COMPUTED_VALUE"""),"Nhãn")</f>
        <v>Nhãn</v>
      </c>
      <c r="C3936" s="87" t="str">
        <f>IFERROR(__xludf.DUMMYFUNCTION("""COMPUTED_VALUE"""),"NTN3165")</f>
        <v>NTN3165</v>
      </c>
      <c r="D3936" s="87" t="str">
        <f>IFERROR(__xludf.DUMMYFUNCTION("""COMPUTED_VALUE"""),"[Nhãn] GC - IV - 3165 - CTY USAFARM - BIO ROOTS - 1KG - 25")</f>
        <v>[Nhãn] GC - IV - 3165 - CTY USAFARM - BIO ROOTS - 1KG - 25</v>
      </c>
      <c r="E3936" s="87" t="str">
        <f>IFERROR(__xludf.DUMMYFUNCTION("""COMPUTED_VALUE"""),"Hữu cơ ROOTS US90")</f>
        <v>Hữu cơ ROOTS US90</v>
      </c>
      <c r="F3936" s="87" t="str">
        <f>IFERROR(__xludf.DUMMYFUNCTION("""COMPUTED_VALUE"""),"HH3165")</f>
        <v>HH3165</v>
      </c>
      <c r="G3936" s="87" t="str">
        <f>IFERROR(__xludf.DUMMYFUNCTION("""COMPUTED_VALUE"""),"GC - IV - 3165 - CTY USAFARM - BIO ROOTS - 1KG - 25")</f>
        <v>GC - IV - 3165 - CTY USAFARM - BIO ROOTS - 1KG - 25</v>
      </c>
    </row>
    <row r="3937">
      <c r="A3937" s="86">
        <f>IFERROR(__xludf.DUMMYFUNCTION("""COMPUTED_VALUE"""),3935.0)</f>
        <v>3935</v>
      </c>
      <c r="B3937" s="87" t="str">
        <f>IFERROR(__xludf.DUMMYFUNCTION("""COMPUTED_VALUE"""),"Nhãn thùng")</f>
        <v>Nhãn thùng</v>
      </c>
      <c r="C3937" s="87" t="str">
        <f>IFERROR(__xludf.DUMMYFUNCTION("""COMPUTED_VALUE"""),"NDT3165")</f>
        <v>NDT3165</v>
      </c>
      <c r="D3937" s="87" t="str">
        <f>IFERROR(__xludf.DUMMYFUNCTION("""COMPUTED_VALUE"""),"[Nhãn thùng] GC - IV - 3165 - CTY USAFARM - BIO ROOTS - 1KG - 25")</f>
        <v>[Nhãn thùng] GC - IV - 3165 - CTY USAFARM - BIO ROOTS - 1KG - 25</v>
      </c>
      <c r="E3937" s="87" t="str">
        <f>IFERROR(__xludf.DUMMYFUNCTION("""COMPUTED_VALUE"""),"Hữu cơ ROOTS US90")</f>
        <v>Hữu cơ ROOTS US90</v>
      </c>
      <c r="F3937" s="87" t="str">
        <f>IFERROR(__xludf.DUMMYFUNCTION("""COMPUTED_VALUE"""),"HH3165")</f>
        <v>HH3165</v>
      </c>
      <c r="G3937" s="87" t="str">
        <f>IFERROR(__xludf.DUMMYFUNCTION("""COMPUTED_VALUE"""),"GC - IV - 3165 - CTY USAFARM - BIO ROOTS - 1KG - 25")</f>
        <v>GC - IV - 3165 - CTY USAFARM - BIO ROOTS - 1KG - 25</v>
      </c>
    </row>
    <row r="3938">
      <c r="A3938" s="86">
        <f>IFERROR(__xludf.DUMMYFUNCTION("""COMPUTED_VALUE"""),3936.0)</f>
        <v>3936</v>
      </c>
      <c r="B3938" s="87" t="str">
        <f>IFERROR(__xludf.DUMMYFUNCTION("""COMPUTED_VALUE"""),"Nhãn")</f>
        <v>Nhãn</v>
      </c>
      <c r="C3938" s="87" t="str">
        <f>IFERROR(__xludf.DUMMYFUNCTION("""COMPUTED_VALUE"""),"NTN3166")</f>
        <v>NTN3166</v>
      </c>
      <c r="D3938" s="87" t="str">
        <f>IFERROR(__xludf.DUMMYFUNCTION("""COMPUTED_VALUE"""),"[Nhãn] GC - IV - 3166 - CTY USAFARM - ROOTS US90 - 1KG - 25")</f>
        <v>[Nhãn] GC - IV - 3166 - CTY USAFARM - ROOTS US90 - 1KG - 25</v>
      </c>
      <c r="E3938" s="87" t="str">
        <f>IFERROR(__xludf.DUMMYFUNCTION("""COMPUTED_VALUE"""),"Hữu cơ ROOTS US90")</f>
        <v>Hữu cơ ROOTS US90</v>
      </c>
      <c r="F3938" s="87" t="str">
        <f>IFERROR(__xludf.DUMMYFUNCTION("""COMPUTED_VALUE"""),"HH3166")</f>
        <v>HH3166</v>
      </c>
      <c r="G3938" s="87" t="str">
        <f>IFERROR(__xludf.DUMMYFUNCTION("""COMPUTED_VALUE"""),"GC - IV - 3166 - CTY USAFARM - ROOTS US90 - 1KG - 25")</f>
        <v>GC - IV - 3166 - CTY USAFARM - ROOTS US90 - 1KG - 25</v>
      </c>
    </row>
    <row r="3939">
      <c r="A3939" s="86">
        <f>IFERROR(__xludf.DUMMYFUNCTION("""COMPUTED_VALUE"""),3937.0)</f>
        <v>3937</v>
      </c>
      <c r="B3939" s="87" t="str">
        <f>IFERROR(__xludf.DUMMYFUNCTION("""COMPUTED_VALUE"""),"Nhãn thùng")</f>
        <v>Nhãn thùng</v>
      </c>
      <c r="C3939" s="87" t="str">
        <f>IFERROR(__xludf.DUMMYFUNCTION("""COMPUTED_VALUE"""),"NDT3166")</f>
        <v>NDT3166</v>
      </c>
      <c r="D3939" s="87" t="str">
        <f>IFERROR(__xludf.DUMMYFUNCTION("""COMPUTED_VALUE"""),"[Nhãn thùng] GC - IV - 3166 - CTY USAFARM - ROOTS US90 - 1KG - 25")</f>
        <v>[Nhãn thùng] GC - IV - 3166 - CTY USAFARM - ROOTS US90 - 1KG - 25</v>
      </c>
      <c r="E3939" s="87" t="str">
        <f>IFERROR(__xludf.DUMMYFUNCTION("""COMPUTED_VALUE"""),"Hữu cơ ROOTS US90")</f>
        <v>Hữu cơ ROOTS US90</v>
      </c>
      <c r="F3939" s="87" t="str">
        <f>IFERROR(__xludf.DUMMYFUNCTION("""COMPUTED_VALUE"""),"HH3166")</f>
        <v>HH3166</v>
      </c>
      <c r="G3939" s="87" t="str">
        <f>IFERROR(__xludf.DUMMYFUNCTION("""COMPUTED_VALUE"""),"GC - IV - 3166 - CTY USAFARM - ROOTS US90 - 1KG - 25")</f>
        <v>GC - IV - 3166 - CTY USAFARM - ROOTS US90 - 1KG - 25</v>
      </c>
    </row>
    <row r="3940">
      <c r="A3940" s="86">
        <f>IFERROR(__xludf.DUMMYFUNCTION("""COMPUTED_VALUE"""),3938.0)</f>
        <v>3938</v>
      </c>
      <c r="B3940" s="87" t="str">
        <f>IFERROR(__xludf.DUMMYFUNCTION("""COMPUTED_VALUE"""),"Nhãn")</f>
        <v>Nhãn</v>
      </c>
      <c r="C3940" s="87" t="str">
        <f>IFERROR(__xludf.DUMMYFUNCTION("""COMPUTED_VALUE"""),"NHD3167")</f>
        <v>NHD3167</v>
      </c>
      <c r="D3940" s="87" t="str">
        <f>IFERROR(__xludf.DUMMYFUNCTION("""COMPUTED_VALUE"""),"[Nhãn] GC - IV - 3167 - CTY USAFARM - ROOTS US90 - 10KG - 1")</f>
        <v>[Nhãn] GC - IV - 3167 - CTY USAFARM - ROOTS US90 - 10KG - 1</v>
      </c>
      <c r="E3940" s="87" t="str">
        <f>IFERROR(__xludf.DUMMYFUNCTION("""COMPUTED_VALUE"""),"Hữu cơ ROOTS US90")</f>
        <v>Hữu cơ ROOTS US90</v>
      </c>
      <c r="F3940" s="87" t="str">
        <f>IFERROR(__xludf.DUMMYFUNCTION("""COMPUTED_VALUE"""),"HH3167")</f>
        <v>HH3167</v>
      </c>
      <c r="G3940" s="87" t="str">
        <f>IFERROR(__xludf.DUMMYFUNCTION("""COMPUTED_VALUE"""),"GC - IV - 3167 - CTY USAFARM - ROOTS US90 - 10KG - 1")</f>
        <v>GC - IV - 3167 - CTY USAFARM - ROOTS US90 - 10KG - 1</v>
      </c>
    </row>
    <row r="3941">
      <c r="A3941" s="86">
        <f>IFERROR(__xludf.DUMMYFUNCTION("""COMPUTED_VALUE"""),3939.0)</f>
        <v>3939</v>
      </c>
      <c r="B3941" s="87" t="str">
        <f>IFERROR(__xludf.DUMMYFUNCTION("""COMPUTED_VALUE"""),"Nhãn")</f>
        <v>Nhãn</v>
      </c>
      <c r="C3941" s="87" t="str">
        <f>IFERROR(__xludf.DUMMYFUNCTION("""COMPUTED_VALUE"""),"NTN3167")</f>
        <v>NTN3167</v>
      </c>
      <c r="D3941" s="87" t="str">
        <f>IFERROR(__xludf.DUMMYFUNCTION("""COMPUTED_VALUE"""),"[Nhãn] GC - IV - 3167 - CTY USAFARM - ROOTS US90 - 1KG-10")</f>
        <v>[Nhãn] GC - IV - 3167 - CTY USAFARM - ROOTS US90 - 1KG-10</v>
      </c>
      <c r="E3941" s="87" t="str">
        <f>IFERROR(__xludf.DUMMYFUNCTION("""COMPUTED_VALUE"""),"Hữu cơ ROOTS US90")</f>
        <v>Hữu cơ ROOTS US90</v>
      </c>
      <c r="F3941" s="87" t="str">
        <f>IFERROR(__xludf.DUMMYFUNCTION("""COMPUTED_VALUE"""),"HH3167")</f>
        <v>HH3167</v>
      </c>
      <c r="G3941" s="87" t="str">
        <f>IFERROR(__xludf.DUMMYFUNCTION("""COMPUTED_VALUE"""),"GC - IV - 3167 - CTY USAFARM - ROOTS US90 - 10KG - 1")</f>
        <v>GC - IV - 3167 - CTY USAFARM - ROOTS US90 - 10KG - 1</v>
      </c>
    </row>
    <row r="3942">
      <c r="A3942" s="86">
        <f>IFERROR(__xludf.DUMMYFUNCTION("""COMPUTED_VALUE"""),3940.0)</f>
        <v>3940</v>
      </c>
      <c r="B3942" s="87" t="str">
        <f>IFERROR(__xludf.DUMMYFUNCTION("""COMPUTED_VALUE"""),"Nhãn")</f>
        <v>Nhãn</v>
      </c>
      <c r="C3942" s="87" t="str">
        <f>IFERROR(__xludf.DUMMYFUNCTION("""COMPUTED_VALUE"""),"NHD3168")</f>
        <v>NHD3168</v>
      </c>
      <c r="D3942" s="87" t="str">
        <f>IFERROR(__xludf.DUMMYFUNCTION("""COMPUTED_VALUE"""),"[Nhãn] IDA Global - I - 3168 - IDA ORGANIC X2 (Nước nâu đen) - 5L - 4
")</f>
        <v>[Nhãn] IDA Global - I - 3168 - IDA ORGANIC X2 (Nước nâu đen) - 5L - 4
</v>
      </c>
      <c r="E3942" s="87" t="str">
        <f>IFERROR(__xludf.DUMMYFUNCTION("""COMPUTED_VALUE"""),"Hữu cơ SH Agro Organic Fertilizer 20")</f>
        <v>Hữu cơ SH Agro Organic Fertilizer 20</v>
      </c>
      <c r="F3942" s="87" t="str">
        <f>IFERROR(__xludf.DUMMYFUNCTION("""COMPUTED_VALUE"""),"HH3168")</f>
        <v>HH3168</v>
      </c>
      <c r="G3942" s="87" t="str">
        <f>IFERROR(__xludf.DUMMYFUNCTION("""COMPUTED_VALUE"""),"IDA Global - I - 3168 - IDA ORGANIC X2 (Nước nâu đen) - 5L - 4
")</f>
        <v>IDA Global - I - 3168 - IDA ORGANIC X2 (Nước nâu đen) - 5L - 4
</v>
      </c>
    </row>
    <row r="3943">
      <c r="A3943" s="86">
        <f>IFERROR(__xludf.DUMMYFUNCTION("""COMPUTED_VALUE"""),3941.0)</f>
        <v>3941</v>
      </c>
      <c r="B3943" s="87" t="str">
        <f>IFERROR(__xludf.DUMMYFUNCTION("""COMPUTED_VALUE"""),"Nhãn thùng")</f>
        <v>Nhãn thùng</v>
      </c>
      <c r="C3943" s="87" t="str">
        <f>IFERROR(__xludf.DUMMYFUNCTION("""COMPUTED_VALUE"""),"NDT3168")</f>
        <v>NDT3168</v>
      </c>
      <c r="D3943" s="87" t="str">
        <f>IFERROR(__xludf.DUMMYFUNCTION("""COMPUTED_VALUE"""),"[Nhãn thùng] IDA Global - I - 3168 - IDA ORGANIC X2 (Nước nâu đen) - 5L - 4")</f>
        <v>[Nhãn thùng] IDA Global - I - 3168 - IDA ORGANIC X2 (Nước nâu đen) - 5L - 4</v>
      </c>
      <c r="E3943" s="87" t="str">
        <f>IFERROR(__xludf.DUMMYFUNCTION("""COMPUTED_VALUE"""),"Hữu cơ SH Agro Organic Fertilizer 20")</f>
        <v>Hữu cơ SH Agro Organic Fertilizer 20</v>
      </c>
      <c r="F3943" s="87" t="str">
        <f>IFERROR(__xludf.DUMMYFUNCTION("""COMPUTED_VALUE"""),"HH3168")</f>
        <v>HH3168</v>
      </c>
      <c r="G3943" s="87" t="str">
        <f>IFERROR(__xludf.DUMMYFUNCTION("""COMPUTED_VALUE"""),"IDA Global - I - 3168 - IDA ORGANIC X2 (Nước nâu đen) - 5L - 4
")</f>
        <v>IDA Global - I - 3168 - IDA ORGANIC X2 (Nước nâu đen) - 5L - 4
</v>
      </c>
    </row>
    <row r="3944">
      <c r="A3944" s="86">
        <f>IFERROR(__xludf.DUMMYFUNCTION("""COMPUTED_VALUE"""),3942.0)</f>
        <v>3942</v>
      </c>
      <c r="B3944" s="87" t="str">
        <f>IFERROR(__xludf.DUMMYFUNCTION("""COMPUTED_VALUE"""),"Nhãn")</f>
        <v>Nhãn</v>
      </c>
      <c r="C3944" s="87" t="str">
        <f>IFERROR(__xludf.DUMMYFUNCTION("""COMPUTED_VALUE"""),"NHD3169")</f>
        <v>NHD3169</v>
      </c>
      <c r="D3944" s="87" t="str">
        <f>IFERROR(__xludf.DUMMYFUNCTION("""COMPUTED_VALUE"""),"[Nhãn] IDA Global - I - 3169 - IDA ORGANIC X2 (Nước nâu đen) - 20L - 1")</f>
        <v>[Nhãn] IDA Global - I - 3169 - IDA ORGANIC X2 (Nước nâu đen) - 20L - 1</v>
      </c>
      <c r="E3944" s="87" t="str">
        <f>IFERROR(__xludf.DUMMYFUNCTION("""COMPUTED_VALUE"""),"Hữu cơ SH Agro Organic Fertilizer 20")</f>
        <v>Hữu cơ SH Agro Organic Fertilizer 20</v>
      </c>
      <c r="F3944" s="87" t="str">
        <f>IFERROR(__xludf.DUMMYFUNCTION("""COMPUTED_VALUE"""),"HH3169")</f>
        <v>HH3169</v>
      </c>
      <c r="G3944" s="87" t="str">
        <f>IFERROR(__xludf.DUMMYFUNCTION("""COMPUTED_VALUE"""),"IDA Global - I - 3169 - IDA ORGANIC X2 (Nước nâu đen) - 20L - 1")</f>
        <v>IDA Global - I - 3169 - IDA ORGANIC X2 (Nước nâu đen) - 20L - 1</v>
      </c>
    </row>
    <row r="3945">
      <c r="A3945" s="86">
        <f>IFERROR(__xludf.DUMMYFUNCTION("""COMPUTED_VALUE"""),3943.0)</f>
        <v>3943</v>
      </c>
      <c r="B3945" s="87" t="str">
        <f>IFERROR(__xludf.DUMMYFUNCTION("""COMPUTED_VALUE"""),"Nhãn")</f>
        <v>Nhãn</v>
      </c>
      <c r="C3945" s="87" t="str">
        <f>IFERROR(__xludf.DUMMYFUNCTION("""COMPUTED_VALUE"""),"NHG3170")</f>
        <v>NHG3170</v>
      </c>
      <c r="D3945" s="87" t="str">
        <f>IFERROR(__xludf.DUMMYFUNCTION("""COMPUTED_VALUE"""),"[Nhãn] IDA Global - I - 3170 - IDA ORGANIC X2 (Nước nâu đen) - 1L - 20")</f>
        <v>[Nhãn] IDA Global - I - 3170 - IDA ORGANIC X2 (Nước nâu đen) - 1L - 20</v>
      </c>
      <c r="E3945" s="87" t="str">
        <f>IFERROR(__xludf.DUMMYFUNCTION("""COMPUTED_VALUE"""),"Hữu cơ SH Agro Organic Fertilizer 20")</f>
        <v>Hữu cơ SH Agro Organic Fertilizer 20</v>
      </c>
      <c r="F3945" s="87" t="str">
        <f>IFERROR(__xludf.DUMMYFUNCTION("""COMPUTED_VALUE"""),"HH3170")</f>
        <v>HH3170</v>
      </c>
      <c r="G3945" s="87" t="str">
        <f>IFERROR(__xludf.DUMMYFUNCTION("""COMPUTED_VALUE"""),"IDA Global - I - 3170 - IDA ORGANIC X2 (Nước nâu đen) - 1L - 20")</f>
        <v>IDA Global - I - 3170 - IDA ORGANIC X2 (Nước nâu đen) - 1L - 20</v>
      </c>
    </row>
    <row r="3946">
      <c r="A3946" s="86">
        <f>IFERROR(__xludf.DUMMYFUNCTION("""COMPUTED_VALUE"""),3944.0)</f>
        <v>3944</v>
      </c>
      <c r="B3946" s="87" t="str">
        <f>IFERROR(__xludf.DUMMYFUNCTION("""COMPUTED_VALUE"""),"Nhãn")</f>
        <v>Nhãn</v>
      </c>
      <c r="C3946" s="87" t="str">
        <f>IFERROR(__xludf.DUMMYFUNCTION("""COMPUTED_VALUE"""),"NTN3171")</f>
        <v>NTN3171</v>
      </c>
      <c r="D3946" s="87" t="str">
        <f>IFERROR(__xludf.DUMMYFUNCTION("""COMPUTED_VALUE"""),"[Nhãn] GC - IV - 3171 - MANCO YELLOW (Bột vàng) - 1kg - 20")</f>
        <v>[Nhãn] GC - IV - 3171 - MANCO YELLOW (Bột vàng) - 1kg - 20</v>
      </c>
      <c r="E3946" s="87" t="str">
        <f>IFERROR(__xludf.DUMMYFUNCTION("""COMPUTED_VALUE"""),"MANCOBGO 80WP")</f>
        <v>MANCOBGO 80WP</v>
      </c>
      <c r="F3946" s="87" t="str">
        <f>IFERROR(__xludf.DUMMYFUNCTION("""COMPUTED_VALUE"""),"HH3171")</f>
        <v>HH3171</v>
      </c>
      <c r="G3946" s="87" t="str">
        <f>IFERROR(__xludf.DUMMYFUNCTION("""COMPUTED_VALUE"""),"GC - IV - 3171 - MANCO YELLOW (Bột vàng) - 1kg - 20")</f>
        <v>GC - IV - 3171 - MANCO YELLOW (Bột vàng) - 1kg - 20</v>
      </c>
    </row>
    <row r="3947">
      <c r="A3947" s="86">
        <f>IFERROR(__xludf.DUMMYFUNCTION("""COMPUTED_VALUE"""),3945.0)</f>
        <v>3945</v>
      </c>
      <c r="B3947" s="87" t="str">
        <f>IFERROR(__xludf.DUMMYFUNCTION("""COMPUTED_VALUE"""),"Nhãn thùng")</f>
        <v>Nhãn thùng</v>
      </c>
      <c r="C3947" s="87" t="str">
        <f>IFERROR(__xludf.DUMMYFUNCTION("""COMPUTED_VALUE"""),"NDT3171")</f>
        <v>NDT3171</v>
      </c>
      <c r="D3947" s="87" t="str">
        <f>IFERROR(__xludf.DUMMYFUNCTION("""COMPUTED_VALUE"""),"[Nhãn thùng] GC - IV - 3171 - MANCO YELLOW (Bột vàng) - 1kg - 20")</f>
        <v>[Nhãn thùng] GC - IV - 3171 - MANCO YELLOW (Bột vàng) - 1kg - 20</v>
      </c>
      <c r="E3947" s="87" t="str">
        <f>IFERROR(__xludf.DUMMYFUNCTION("""COMPUTED_VALUE"""),"MANCOBGO 80WP")</f>
        <v>MANCOBGO 80WP</v>
      </c>
      <c r="F3947" s="87" t="str">
        <f>IFERROR(__xludf.DUMMYFUNCTION("""COMPUTED_VALUE"""),"HH3171")</f>
        <v>HH3171</v>
      </c>
      <c r="G3947" s="87" t="str">
        <f>IFERROR(__xludf.DUMMYFUNCTION("""COMPUTED_VALUE"""),"GC - IV - 3171 - MANCO YELLOW (Bột vàng) - 1kg - 20")</f>
        <v>GC - IV - 3171 - MANCO YELLOW (Bột vàng) - 1kg - 20</v>
      </c>
    </row>
    <row r="3948">
      <c r="A3948" s="86">
        <f>IFERROR(__xludf.DUMMYFUNCTION("""COMPUTED_VALUE"""),3946.0)</f>
        <v>3946</v>
      </c>
      <c r="B3948" s="87" t="str">
        <f>IFERROR(__xludf.DUMMYFUNCTION("""COMPUTED_VALUE"""),"Nhãn")</f>
        <v>Nhãn</v>
      </c>
      <c r="C3948" s="87" t="str">
        <f>IFERROR(__xludf.DUMMYFUNCTION("""COMPUTED_VALUE"""),"NTN3172")</f>
        <v>NTN3172</v>
      </c>
      <c r="D3948" s="87" t="str">
        <f>IFERROR(__xludf.DUMMYFUNCTION("""COMPUTED_VALUE"""),"[Nhãn] GC - II - 3172 - Ngọc Bảo Long Agri - Pim.Pim 75WP(bột cam) - 100gr - 100")</f>
        <v>[Nhãn] GC - II - 3172 - Ngọc Bảo Long Agri - Pim.Pim 75WP(bột cam) - 100gr - 100</v>
      </c>
      <c r="E3948" s="87" t="str">
        <f>IFERROR(__xludf.DUMMYFUNCTION("""COMPUTED_VALUE"""),"Pim.Pim 75WP")</f>
        <v>Pim.Pim 75WP</v>
      </c>
      <c r="F3948" s="87" t="str">
        <f>IFERROR(__xludf.DUMMYFUNCTION("""COMPUTED_VALUE"""),"HH3172")</f>
        <v>HH3172</v>
      </c>
      <c r="G3948" s="87" t="str">
        <f>IFERROR(__xludf.DUMMYFUNCTION("""COMPUTED_VALUE"""),"GC - II - 3172 - Ngọc Bảo Long Agri - Pim.Pim 75WP(bột cam) - 100gr - 100")</f>
        <v>GC - II - 3172 - Ngọc Bảo Long Agri - Pim.Pim 75WP(bột cam) - 100gr - 100</v>
      </c>
    </row>
    <row r="3949">
      <c r="A3949" s="86">
        <f>IFERROR(__xludf.DUMMYFUNCTION("""COMPUTED_VALUE"""),3947.0)</f>
        <v>3947</v>
      </c>
      <c r="B3949" s="87" t="str">
        <f>IFERROR(__xludf.DUMMYFUNCTION("""COMPUTED_VALUE"""),"Nhãn thùng")</f>
        <v>Nhãn thùng</v>
      </c>
      <c r="C3949" s="87" t="str">
        <f>IFERROR(__xludf.DUMMYFUNCTION("""COMPUTED_VALUE"""),"NDT3172")</f>
        <v>NDT3172</v>
      </c>
      <c r="D3949" s="87" t="str">
        <f>IFERROR(__xludf.DUMMYFUNCTION("""COMPUTED_VALUE"""),"[Nhãn thùng] GC - II - 3172 - Ngọc Bảo Long Agri - Pim.Pim 75WP(bột cam) - 100gr - 100")</f>
        <v>[Nhãn thùng] GC - II - 3172 - Ngọc Bảo Long Agri - Pim.Pim 75WP(bột cam) - 100gr - 100</v>
      </c>
      <c r="E3949" s="87" t="str">
        <f>IFERROR(__xludf.DUMMYFUNCTION("""COMPUTED_VALUE"""),"Pim.Pim 75WP")</f>
        <v>Pim.Pim 75WP</v>
      </c>
      <c r="F3949" s="87" t="str">
        <f>IFERROR(__xludf.DUMMYFUNCTION("""COMPUTED_VALUE"""),"HH3172")</f>
        <v>HH3172</v>
      </c>
      <c r="G3949" s="87" t="str">
        <f>IFERROR(__xludf.DUMMYFUNCTION("""COMPUTED_VALUE"""),"GC - II - 3172 - Ngọc Bảo Long Agri - Pim.Pim 75WP(bột cam) - 100gr - 100")</f>
        <v>GC - II - 3172 - Ngọc Bảo Long Agri - Pim.Pim 75WP(bột cam) - 100gr - 100</v>
      </c>
    </row>
    <row r="3950">
      <c r="A3950" s="86">
        <f>IFERROR(__xludf.DUMMYFUNCTION("""COMPUTED_VALUE"""),3948.0)</f>
        <v>3948</v>
      </c>
      <c r="B3950" s="87" t="str">
        <f>IFERROR(__xludf.DUMMYFUNCTION("""COMPUTED_VALUE"""),"Nhãn")</f>
        <v>Nhãn</v>
      </c>
      <c r="C3950" s="87" t="str">
        <f>IFERROR(__xludf.DUMMYFUNCTION("""COMPUTED_VALUE"""),"NHD3174")</f>
        <v>NHD3174</v>
      </c>
      <c r="D3950" s="87" t="str">
        <f>IFERROR(__xludf.DUMMYFUNCTION("""COMPUTED_VALUE"""),"[Nhãn] GC - IV - 3174 - NHP GROUP - MÃNG XÀ (Nước Tím) - 450ml - 40")</f>
        <v>[Nhãn] GC - IV - 3174 - NHP GROUP - MÃNG XÀ (Nước Tím) - 450ml - 40</v>
      </c>
      <c r="E3950" s="87" t="str">
        <f>IFERROR(__xludf.DUMMYFUNCTION("""COMPUTED_VALUE"""),"ABASBA 50EC")</f>
        <v>ABASBA 50EC</v>
      </c>
      <c r="F3950" s="87" t="str">
        <f>IFERROR(__xludf.DUMMYFUNCTION("""COMPUTED_VALUE"""),"HH3174")</f>
        <v>HH3174</v>
      </c>
      <c r="G3950" s="87" t="str">
        <f>IFERROR(__xludf.DUMMYFUNCTION("""COMPUTED_VALUE"""),"GC - IV - 3174 - NHP GROUP - MÃNG XÀ (Nước Tím) - 450ml - 40")</f>
        <v>GC - IV - 3174 - NHP GROUP - MÃNG XÀ (Nước Tím) - 450ml - 40</v>
      </c>
    </row>
    <row r="3951">
      <c r="A3951" s="86">
        <f>IFERROR(__xludf.DUMMYFUNCTION("""COMPUTED_VALUE"""),3949.0)</f>
        <v>3949</v>
      </c>
      <c r="B3951" s="87" t="str">
        <f>IFERROR(__xludf.DUMMYFUNCTION("""COMPUTED_VALUE"""),"Nhãn thùng")</f>
        <v>Nhãn thùng</v>
      </c>
      <c r="C3951" s="87" t="str">
        <f>IFERROR(__xludf.DUMMYFUNCTION("""COMPUTED_VALUE"""),"NDT3174")</f>
        <v>NDT3174</v>
      </c>
      <c r="D3951" s="87" t="str">
        <f>IFERROR(__xludf.DUMMYFUNCTION("""COMPUTED_VALUE"""),"[Nhãn thùng] GC - IV - 3174 - NHP GROUP - MÃNG XÀ (Nước Tím) - 450ml - 40")</f>
        <v>[Nhãn thùng] GC - IV - 3174 - NHP GROUP - MÃNG XÀ (Nước Tím) - 450ml - 40</v>
      </c>
      <c r="E3951" s="87" t="str">
        <f>IFERROR(__xludf.DUMMYFUNCTION("""COMPUTED_VALUE"""),"ABASBA 50EC")</f>
        <v>ABASBA 50EC</v>
      </c>
      <c r="F3951" s="87" t="str">
        <f>IFERROR(__xludf.DUMMYFUNCTION("""COMPUTED_VALUE"""),"HH3174")</f>
        <v>HH3174</v>
      </c>
      <c r="G3951" s="87" t="str">
        <f>IFERROR(__xludf.DUMMYFUNCTION("""COMPUTED_VALUE"""),"GC - IV - 3174 - NHP GROUP - MÃNG XÀ (Nước Tím) - 450ml - 40")</f>
        <v>GC - IV - 3174 - NHP GROUP - MÃNG XÀ (Nước Tím) - 450ml - 40</v>
      </c>
    </row>
    <row r="3952">
      <c r="A3952" s="86">
        <f>IFERROR(__xludf.DUMMYFUNCTION("""COMPUTED_VALUE"""),3950.0)</f>
        <v>3950</v>
      </c>
      <c r="B3952" s="87" t="str">
        <f>IFERROR(__xludf.DUMMYFUNCTION("""COMPUTED_VALUE"""),"Nhãn")</f>
        <v>Nhãn</v>
      </c>
      <c r="C3952" s="87" t="str">
        <f>IFERROR(__xludf.DUMMYFUNCTION("""COMPUTED_VALUE"""),"NTN3175")</f>
        <v>NTN3175</v>
      </c>
      <c r="D3952" s="87" t="str">
        <f>IFERROR(__xludf.DUMMYFUNCTION("""COMPUTED_VALUE"""),"[Nhãn] GC - IV - 3175 - CTY DONA VINA - THẦN SẤM (Bột màu trắng) - 100gr - 100")</f>
        <v>[Nhãn] GC - IV - 3175 - CTY DONA VINA - THẦN SẤM (Bột màu trắng) - 100gr - 100</v>
      </c>
      <c r="E3952" s="87" t="str">
        <f>IFERROR(__xludf.DUMMYFUNCTION("""COMPUTED_VALUE"""),"KHONGRAY 54WP")</f>
        <v>KHONGRAY 54WP</v>
      </c>
      <c r="F3952" s="87" t="str">
        <f>IFERROR(__xludf.DUMMYFUNCTION("""COMPUTED_VALUE"""),"HH3175")</f>
        <v>HH3175</v>
      </c>
      <c r="G3952" s="87" t="str">
        <f>IFERROR(__xludf.DUMMYFUNCTION("""COMPUTED_VALUE"""),"GC - IV - 3175 - CTY DONA VINA - THẦN SẤM (Bột màu trắng) - 100gr - 100")</f>
        <v>GC - IV - 3175 - CTY DONA VINA - THẦN SẤM (Bột màu trắng) - 100gr - 100</v>
      </c>
    </row>
    <row r="3953">
      <c r="A3953" s="86">
        <f>IFERROR(__xludf.DUMMYFUNCTION("""COMPUTED_VALUE"""),3951.0)</f>
        <v>3951</v>
      </c>
      <c r="B3953" s="87" t="str">
        <f>IFERROR(__xludf.DUMMYFUNCTION("""COMPUTED_VALUE"""),"Nhãn thùng")</f>
        <v>Nhãn thùng</v>
      </c>
      <c r="C3953" s="87" t="str">
        <f>IFERROR(__xludf.DUMMYFUNCTION("""COMPUTED_VALUE"""),"NDT3175")</f>
        <v>NDT3175</v>
      </c>
      <c r="D3953" s="87" t="str">
        <f>IFERROR(__xludf.DUMMYFUNCTION("""COMPUTED_VALUE"""),"[Nhãn thùng] GC - IV - 3175 - CTY DONA VINA - THẦN SẤM (Bột màu trắng) - 100gr - 100")</f>
        <v>[Nhãn thùng] GC - IV - 3175 - CTY DONA VINA - THẦN SẤM (Bột màu trắng) - 100gr - 100</v>
      </c>
      <c r="E3953" s="87" t="str">
        <f>IFERROR(__xludf.DUMMYFUNCTION("""COMPUTED_VALUE"""),"KHONGRAY 54WP")</f>
        <v>KHONGRAY 54WP</v>
      </c>
      <c r="F3953" s="87" t="str">
        <f>IFERROR(__xludf.DUMMYFUNCTION("""COMPUTED_VALUE"""),"HH3175")</f>
        <v>HH3175</v>
      </c>
      <c r="G3953" s="87" t="str">
        <f>IFERROR(__xludf.DUMMYFUNCTION("""COMPUTED_VALUE"""),"GC - IV - 3175 - CTY DONA VINA - THẦN SẤM (Bột màu trắng) - 100gr - 100")</f>
        <v>GC - IV - 3175 - CTY DONA VINA - THẦN SẤM (Bột màu trắng) - 100gr - 100</v>
      </c>
    </row>
    <row r="3954">
      <c r="A3954" s="86">
        <f>IFERROR(__xludf.DUMMYFUNCTION("""COMPUTED_VALUE"""),3952.0)</f>
        <v>3952</v>
      </c>
      <c r="B3954" s="87" t="str">
        <f>IFERROR(__xludf.DUMMYFUNCTION("""COMPUTED_VALUE"""),"Nhãn")</f>
        <v>Nhãn</v>
      </c>
      <c r="C3954" s="87" t="str">
        <f>IFERROR(__xludf.DUMMYFUNCTION("""COMPUTED_VALUE"""),"NHG3176")</f>
        <v>NHG3176</v>
      </c>
      <c r="D3954" s="87" t="str">
        <f>IFERROR(__xludf.DUMMYFUNCTION("""COMPUTED_VALUE"""),"[Nhãn] GC - IV - 3176 - Cty Newtex - KNOCK OUT (nước vàng) - 200ml - 40")</f>
        <v>[Nhãn] GC - IV - 3176 - Cty Newtex - KNOCK OUT (nước vàng) - 200ml - 40</v>
      </c>
      <c r="E3954" s="87" t="str">
        <f>IFERROR(__xludf.DUMMYFUNCTION("""COMPUTED_VALUE"""),"NEW FUZE 200SC")</f>
        <v>NEW FUZE 200SC</v>
      </c>
      <c r="F3954" s="87" t="str">
        <f>IFERROR(__xludf.DUMMYFUNCTION("""COMPUTED_VALUE"""),"HH3176")</f>
        <v>HH3176</v>
      </c>
      <c r="G3954" s="87" t="str">
        <f>IFERROR(__xludf.DUMMYFUNCTION("""COMPUTED_VALUE"""),"GC - IV - 3176 - Cty Newtex - KNOCK OUT (nước vàng) - 200ml - 40")</f>
        <v>GC - IV - 3176 - Cty Newtex - KNOCK OUT (nước vàng) - 200ml - 40</v>
      </c>
    </row>
    <row r="3955">
      <c r="A3955" s="86">
        <f>IFERROR(__xludf.DUMMYFUNCTION("""COMPUTED_VALUE"""),3953.0)</f>
        <v>3953</v>
      </c>
      <c r="B3955" s="87" t="str">
        <f>IFERROR(__xludf.DUMMYFUNCTION("""COMPUTED_VALUE"""),"Nhãn")</f>
        <v>Nhãn</v>
      </c>
      <c r="C3955" s="87" t="str">
        <f>IFERROR(__xludf.DUMMYFUNCTION("""COMPUTED_VALUE"""),"NHD3176")</f>
        <v>NHD3176</v>
      </c>
      <c r="D3955" s="87" t="str">
        <f>IFERROR(__xludf.DUMMYFUNCTION("""COMPUTED_VALUE"""),"[Nhãn] GC - IV - 3176 - Cty Newtex - KNOCK OUT (nước vàng) - 200ml - 40")</f>
        <v>[Nhãn] GC - IV - 3176 - Cty Newtex - KNOCK OUT (nước vàng) - 200ml - 40</v>
      </c>
      <c r="E3955" s="87" t="str">
        <f>IFERROR(__xludf.DUMMYFUNCTION("""COMPUTED_VALUE"""),"NEW FUZE 200SC")</f>
        <v>NEW FUZE 200SC</v>
      </c>
      <c r="F3955" s="87" t="str">
        <f>IFERROR(__xludf.DUMMYFUNCTION("""COMPUTED_VALUE"""),"HH3176")</f>
        <v>HH3176</v>
      </c>
      <c r="G3955" s="87" t="str">
        <f>IFERROR(__xludf.DUMMYFUNCTION("""COMPUTED_VALUE"""),"GC - IV - 3176 - Cty Newtex - KNOCK OUT (nước vàng) - 200ml - 40")</f>
        <v>GC - IV - 3176 - Cty Newtex - KNOCK OUT (nước vàng) - 200ml - 40</v>
      </c>
    </row>
    <row r="3956">
      <c r="A3956" s="86">
        <f>IFERROR(__xludf.DUMMYFUNCTION("""COMPUTED_VALUE"""),3954.0)</f>
        <v>3954</v>
      </c>
      <c r="B3956" s="87" t="str">
        <f>IFERROR(__xludf.DUMMYFUNCTION("""COMPUTED_VALUE"""),"Nhãn")</f>
        <v>Nhãn</v>
      </c>
      <c r="C3956" s="87" t="str">
        <f>IFERROR(__xludf.DUMMYFUNCTION("""COMPUTED_VALUE"""),"NHG3177")</f>
        <v>NHG3177</v>
      </c>
      <c r="D3956" s="87" t="str">
        <f>IFERROR(__xludf.DUMMYFUNCTION("""COMPUTED_VALUE"""),"[Nhãn] GC - IV - 3177 - CTY ACE VN - AMILAN 300SC (Nước cam sữa) - 100ml - 100")</f>
        <v>[Nhãn] GC - IV - 3177 - CTY ACE VN - AMILAN 300SC (Nước cam sữa) - 100ml - 100</v>
      </c>
      <c r="E3956" s="87" t="str">
        <f>IFERROR(__xludf.DUMMYFUNCTION("""COMPUTED_VALUE"""),"AMILAN 300SC")</f>
        <v>AMILAN 300SC</v>
      </c>
      <c r="F3956" s="87" t="str">
        <f>IFERROR(__xludf.DUMMYFUNCTION("""COMPUTED_VALUE"""),"HH3177")</f>
        <v>HH3177</v>
      </c>
      <c r="G3956" s="87" t="str">
        <f>IFERROR(__xludf.DUMMYFUNCTION("""COMPUTED_VALUE"""),"GC - IV - 3177 - CTY ACE VN - AMILAN 300SC (Nước cam sữa) - 100ml - 100")</f>
        <v>GC - IV - 3177 - CTY ACE VN - AMILAN 300SC (Nước cam sữa) - 100ml - 100</v>
      </c>
    </row>
    <row r="3957">
      <c r="A3957" s="86">
        <f>IFERROR(__xludf.DUMMYFUNCTION("""COMPUTED_VALUE"""),3955.0)</f>
        <v>3955</v>
      </c>
      <c r="B3957" s="87" t="str">
        <f>IFERROR(__xludf.DUMMYFUNCTION("""COMPUTED_VALUE"""),"Nhãn")</f>
        <v>Nhãn</v>
      </c>
      <c r="C3957" s="87" t="str">
        <f>IFERROR(__xludf.DUMMYFUNCTION("""COMPUTED_VALUE"""),"NHG3178")</f>
        <v>NHG3178</v>
      </c>
      <c r="D3957" s="87" t="str">
        <f>IFERROR(__xludf.DUMMYFUNCTION("""COMPUTED_VALUE"""),"[Nhãn] GC - II - 3178 - CTY NGỌC BẢO LONG AGRI - SIÊU RA RỄ (nước nâu đen) - 500ml - 30")</f>
        <v>[Nhãn] GC - II - 3178 - CTY NGỌC BẢO LONG AGRI - SIÊU RA RỄ (nước nâu đen) - 500ml - 30</v>
      </c>
      <c r="E3957" s="87" t="str">
        <f>IFERROR(__xludf.DUMMYFUNCTION("""COMPUTED_VALUE"""),"Vi lượng Quantity New")</f>
        <v>Vi lượng Quantity New</v>
      </c>
      <c r="F3957" s="87" t="str">
        <f>IFERROR(__xludf.DUMMYFUNCTION("""COMPUTED_VALUE"""),"HH3178")</f>
        <v>HH3178</v>
      </c>
      <c r="G3957" s="87" t="str">
        <f>IFERROR(__xludf.DUMMYFUNCTION("""COMPUTED_VALUE"""),"GC - II - 3178 - CTY NGỌC BẢO LONG AGRI - SIÊU RA RỄ (nước nâu đen) - 500ml - 30")</f>
        <v>GC - II - 3178 - CTY NGỌC BẢO LONG AGRI - SIÊU RA RỄ (nước nâu đen) - 500ml - 30</v>
      </c>
    </row>
    <row r="3958">
      <c r="A3958" s="86">
        <f>IFERROR(__xludf.DUMMYFUNCTION("""COMPUTED_VALUE"""),3956.0)</f>
        <v>3956</v>
      </c>
      <c r="B3958" s="87" t="str">
        <f>IFERROR(__xludf.DUMMYFUNCTION("""COMPUTED_VALUE"""),"Nhãn")</f>
        <v>Nhãn</v>
      </c>
      <c r="C3958" s="87" t="str">
        <f>IFERROR(__xludf.DUMMYFUNCTION("""COMPUTED_VALUE"""),"NHG3179")</f>
        <v>NHG3179</v>
      </c>
      <c r="D3958" s="87" t="str">
        <f>IFERROR(__xludf.DUMMYFUNCTION("""COMPUTED_VALUE"""),"[Nhãn] GC - IV - 3179 - Cty SC Chemical - NOFARA 350SC (nước trắng sữa) - 240ml - 40")</f>
        <v>[Nhãn] GC - IV - 3179 - Cty SC Chemical - NOFARA 350SC (nước trắng sữa) - 240ml - 40</v>
      </c>
      <c r="E3958" s="87" t="str">
        <f>IFERROR(__xludf.DUMMYFUNCTION("""COMPUTED_VALUE"""),"NOFARA 350SC")</f>
        <v>NOFARA 350SC</v>
      </c>
      <c r="F3958" s="87" t="str">
        <f>IFERROR(__xludf.DUMMYFUNCTION("""COMPUTED_VALUE"""),"HH3179")</f>
        <v>HH3179</v>
      </c>
      <c r="G3958" s="87" t="str">
        <f>IFERROR(__xludf.DUMMYFUNCTION("""COMPUTED_VALUE"""),"GC - IV - 3179 - Cty SC Chemical - NOFARA 350SC (nước trắng sữa) - 240ml - 40")</f>
        <v>GC - IV - 3179 - Cty SC Chemical - NOFARA 350SC (nước trắng sữa) - 240ml - 40</v>
      </c>
    </row>
    <row r="3959">
      <c r="A3959" s="86">
        <f>IFERROR(__xludf.DUMMYFUNCTION("""COMPUTED_VALUE"""),3957.0)</f>
        <v>3957</v>
      </c>
      <c r="B3959" s="87" t="str">
        <f>IFERROR(__xludf.DUMMYFUNCTION("""COMPUTED_VALUE"""),"Nhãn")</f>
        <v>Nhãn</v>
      </c>
      <c r="C3959" s="87" t="str">
        <f>IFERROR(__xludf.DUMMYFUNCTION("""COMPUTED_VALUE"""),"NTN3180")</f>
        <v>NTN3180</v>
      </c>
      <c r="D3959" s="87" t="str">
        <f>IFERROR(__xludf.DUMMYFUNCTION("""COMPUTED_VALUE"""),"[Nhãn] GC - IV - 3180 - VTNN Bảy Phận - MANCOBGO 80WP (Bột vàng) - 1KG - 20")</f>
        <v>[Nhãn] GC - IV - 3180 - VTNN Bảy Phận - MANCOBGO 80WP (Bột vàng) - 1KG - 20</v>
      </c>
      <c r="E3959" s="87" t="str">
        <f>IFERROR(__xludf.DUMMYFUNCTION("""COMPUTED_VALUE"""),"MANCOBGO 80WP")</f>
        <v>MANCOBGO 80WP</v>
      </c>
      <c r="F3959" s="87" t="str">
        <f>IFERROR(__xludf.DUMMYFUNCTION("""COMPUTED_VALUE"""),"HH3180")</f>
        <v>HH3180</v>
      </c>
      <c r="G3959" s="87" t="str">
        <f>IFERROR(__xludf.DUMMYFUNCTION("""COMPUTED_VALUE"""),"GC - IV - 3180 - VTNN Bảy Phận - MANCOBGO 80WP (Bột vàng) - 1KG - 20")</f>
        <v>GC - IV - 3180 - VTNN Bảy Phận - MANCOBGO 80WP (Bột vàng) - 1KG - 20</v>
      </c>
    </row>
    <row r="3960">
      <c r="A3960" s="86">
        <f>IFERROR(__xludf.DUMMYFUNCTION("""COMPUTED_VALUE"""),3958.0)</f>
        <v>3958</v>
      </c>
      <c r="B3960" s="87" t="str">
        <f>IFERROR(__xludf.DUMMYFUNCTION("""COMPUTED_VALUE"""),"Nhãn thùng")</f>
        <v>Nhãn thùng</v>
      </c>
      <c r="C3960" s="87" t="str">
        <f>IFERROR(__xludf.DUMMYFUNCTION("""COMPUTED_VALUE"""),"NDT3180")</f>
        <v>NDT3180</v>
      </c>
      <c r="D3960" s="87" t="str">
        <f>IFERROR(__xludf.DUMMYFUNCTION("""COMPUTED_VALUE"""),"[Nhãn thùng] GC - IV - 3180 - VTNN Bảy Phận - MANCOBGO 80WP (Bột vàng) - 1KG - 20")</f>
        <v>[Nhãn thùng] GC - IV - 3180 - VTNN Bảy Phận - MANCOBGO 80WP (Bột vàng) - 1KG - 20</v>
      </c>
      <c r="E3960" s="87" t="str">
        <f>IFERROR(__xludf.DUMMYFUNCTION("""COMPUTED_VALUE"""),"MANCOBGO 80WP")</f>
        <v>MANCOBGO 80WP</v>
      </c>
      <c r="F3960" s="87" t="str">
        <f>IFERROR(__xludf.DUMMYFUNCTION("""COMPUTED_VALUE"""),"HH3180")</f>
        <v>HH3180</v>
      </c>
      <c r="G3960" s="87" t="str">
        <f>IFERROR(__xludf.DUMMYFUNCTION("""COMPUTED_VALUE"""),"GC - IV - 3180 - VTNN Bảy Phận - MANCOBGO 80WP (Bột vàng) - 1KG - 20")</f>
        <v>GC - IV - 3180 - VTNN Bảy Phận - MANCOBGO 80WP (Bột vàng) - 1KG - 20</v>
      </c>
    </row>
    <row r="3961">
      <c r="A3961" s="86">
        <f>IFERROR(__xludf.DUMMYFUNCTION("""COMPUTED_VALUE"""),3959.0)</f>
        <v>3959</v>
      </c>
      <c r="B3961" s="87" t="str">
        <f>IFERROR(__xludf.DUMMYFUNCTION("""COMPUTED_VALUE"""),"Nhãn")</f>
        <v>Nhãn</v>
      </c>
      <c r="C3961" s="87" t="str">
        <f>IFERROR(__xludf.DUMMYFUNCTION("""COMPUTED_VALUE"""),"NHD3182")</f>
        <v>NHD3182</v>
      </c>
      <c r="D3961" s="87" t="str">
        <f>IFERROR(__xludf.DUMMYFUNCTION("""COMPUTED_VALUE"""),"[Nhãn] GC - IV - 3182 - CTY DONA VINA - DIỆT RỆP THẦN TỐC (Nước vàng trà) - 400ml - 40")</f>
        <v>[Nhãn] GC - IV - 3182 - CTY DONA VINA - DIỆT RỆP THẦN TỐC (Nước vàng trà) - 400ml - 40</v>
      </c>
      <c r="E3961" s="87" t="str">
        <f>IFERROR(__xludf.DUMMYFUNCTION("""COMPUTED_VALUE"""),"Thipro 550EC")</f>
        <v>Thipro 550EC</v>
      </c>
      <c r="F3961" s="87" t="str">
        <f>IFERROR(__xludf.DUMMYFUNCTION("""COMPUTED_VALUE"""),"HH3182")</f>
        <v>HH3182</v>
      </c>
      <c r="G3961" s="87" t="str">
        <f>IFERROR(__xludf.DUMMYFUNCTION("""COMPUTED_VALUE"""),"GC - IV - 3182 - CTY DONA VINA - DIỆT RỆP THẦN TỐC (Nước vàng trà) - 400ml - 40")</f>
        <v>GC - IV - 3182 - CTY DONA VINA - DIỆT RỆP THẦN TỐC (Nước vàng trà) - 400ml - 40</v>
      </c>
    </row>
    <row r="3962">
      <c r="A3962" s="86">
        <f>IFERROR(__xludf.DUMMYFUNCTION("""COMPUTED_VALUE"""),3960.0)</f>
        <v>3960</v>
      </c>
      <c r="B3962" s="87" t="str">
        <f>IFERROR(__xludf.DUMMYFUNCTION("""COMPUTED_VALUE"""),"Nhãn thùng")</f>
        <v>Nhãn thùng</v>
      </c>
      <c r="C3962" s="87" t="str">
        <f>IFERROR(__xludf.DUMMYFUNCTION("""COMPUTED_VALUE"""),"NDT3182")</f>
        <v>NDT3182</v>
      </c>
      <c r="D3962" s="87" t="str">
        <f>IFERROR(__xludf.DUMMYFUNCTION("""COMPUTED_VALUE"""),"[Nhãn thùng] GC - IV - 3182 - CTY DONA VINA - DIỆT RỆP THẦN TỐC (Nước vàng trà) - 400ml - 40")</f>
        <v>[Nhãn thùng] GC - IV - 3182 - CTY DONA VINA - DIỆT RỆP THẦN TỐC (Nước vàng trà) - 400ml - 40</v>
      </c>
      <c r="E3962" s="87" t="str">
        <f>IFERROR(__xludf.DUMMYFUNCTION("""COMPUTED_VALUE"""),"Thipro 550EC")</f>
        <v>Thipro 550EC</v>
      </c>
      <c r="F3962" s="87" t="str">
        <f>IFERROR(__xludf.DUMMYFUNCTION("""COMPUTED_VALUE"""),"HH3182")</f>
        <v>HH3182</v>
      </c>
      <c r="G3962" s="87" t="str">
        <f>IFERROR(__xludf.DUMMYFUNCTION("""COMPUTED_VALUE"""),"GC - IV - 3182 - CTY DONA VINA - DIỆT RỆP THẦN TỐC (Nước vàng trà) - 400ml - 40")</f>
        <v>GC - IV - 3182 - CTY DONA VINA - DIỆT RỆP THẦN TỐC (Nước vàng trà) - 400ml - 40</v>
      </c>
    </row>
    <row r="3963">
      <c r="A3963" s="86">
        <f>IFERROR(__xludf.DUMMYFUNCTION("""COMPUTED_VALUE"""),3961.0)</f>
        <v>3961</v>
      </c>
      <c r="B3963" s="87" t="str">
        <f>IFERROR(__xludf.DUMMYFUNCTION("""COMPUTED_VALUE"""),"Nhãn")</f>
        <v>Nhãn</v>
      </c>
      <c r="C3963" s="87" t="str">
        <f>IFERROR(__xludf.DUMMYFUNCTION("""COMPUTED_VALUE"""),"NTN3183")</f>
        <v>NTN3183</v>
      </c>
      <c r="D3963" s="87" t="str">
        <f>IFERROR(__xludf.DUMMYFUNCTION("""COMPUTED_VALUE"""),"[Nhãn] GC - IV - 3183 - FUTURE FARM - LEDAN 4GR (Hạt Hồng Cam) - 1kg - 20")</f>
        <v>[Nhãn] GC - IV - 3183 - FUTURE FARM - LEDAN 4GR (Hạt Hồng Cam) - 1kg - 20</v>
      </c>
      <c r="E3963" s="87" t="str">
        <f>IFERROR(__xludf.DUMMYFUNCTION("""COMPUTED_VALUE"""),"LEDAN 4GR")</f>
        <v>LEDAN 4GR</v>
      </c>
      <c r="F3963" s="87" t="str">
        <f>IFERROR(__xludf.DUMMYFUNCTION("""COMPUTED_VALUE"""),"HH3183")</f>
        <v>HH3183</v>
      </c>
      <c r="G3963" s="87" t="str">
        <f>IFERROR(__xludf.DUMMYFUNCTION("""COMPUTED_VALUE"""),"GC - IV - 3183 - FUTURE FARM - LEDAN 4GR (Hạt Hồng Cam) - 1kg - 20")</f>
        <v>GC - IV - 3183 - FUTURE FARM - LEDAN 4GR (Hạt Hồng Cam) - 1kg - 20</v>
      </c>
    </row>
    <row r="3964">
      <c r="A3964" s="86">
        <f>IFERROR(__xludf.DUMMYFUNCTION("""COMPUTED_VALUE"""),3962.0)</f>
        <v>3962</v>
      </c>
      <c r="B3964" s="87" t="str">
        <f>IFERROR(__xludf.DUMMYFUNCTION("""COMPUTED_VALUE"""),"Nhãn thùng")</f>
        <v>Nhãn thùng</v>
      </c>
      <c r="C3964" s="87" t="str">
        <f>IFERROR(__xludf.DUMMYFUNCTION("""COMPUTED_VALUE"""),"NDT3183")</f>
        <v>NDT3183</v>
      </c>
      <c r="D3964" s="87" t="str">
        <f>IFERROR(__xludf.DUMMYFUNCTION("""COMPUTED_VALUE"""),"[Nhãn thùng] GC - IV - 3183 - FUTURE FARM - LEDAN 4GR (Hạt Hồng Cam) - 1kg - 20")</f>
        <v>[Nhãn thùng] GC - IV - 3183 - FUTURE FARM - LEDAN 4GR (Hạt Hồng Cam) - 1kg - 20</v>
      </c>
      <c r="E3964" s="87" t="str">
        <f>IFERROR(__xludf.DUMMYFUNCTION("""COMPUTED_VALUE"""),"LEDAN 4GR")</f>
        <v>LEDAN 4GR</v>
      </c>
      <c r="F3964" s="87" t="str">
        <f>IFERROR(__xludf.DUMMYFUNCTION("""COMPUTED_VALUE"""),"HH3183")</f>
        <v>HH3183</v>
      </c>
      <c r="G3964" s="87" t="str">
        <f>IFERROR(__xludf.DUMMYFUNCTION("""COMPUTED_VALUE"""),"GC - IV - 3183 - FUTURE FARM - LEDAN 4GR (Hạt Hồng Cam) - 1kg - 20")</f>
        <v>GC - IV - 3183 - FUTURE FARM - LEDAN 4GR (Hạt Hồng Cam) - 1kg - 20</v>
      </c>
    </row>
    <row r="3965">
      <c r="A3965" s="86">
        <f>IFERROR(__xludf.DUMMYFUNCTION("""COMPUTED_VALUE"""),3963.0)</f>
        <v>3963</v>
      </c>
      <c r="B3965" s="87" t="str">
        <f>IFERROR(__xludf.DUMMYFUNCTION("""COMPUTED_VALUE"""),"Nhãn")</f>
        <v>Nhãn</v>
      </c>
      <c r="C3965" s="87" t="str">
        <f>IFERROR(__xludf.DUMMYFUNCTION("""COMPUTED_VALUE"""),"NHD3184")</f>
        <v>NHD3184</v>
      </c>
      <c r="D3965" s="87" t="str">
        <f>IFERROR(__xludf.DUMMYFUNCTION("""COMPUTED_VALUE"""),"[Nhãn] GC - IV - 3184 - CTY VISANTO - VISANTO MONICA 460 (Nước gạch cam) - 250ml - 40")</f>
        <v>[Nhãn] GC - IV - 3184 - CTY VISANTO - VISANTO MONICA 460 (Nước gạch cam) - 250ml - 40</v>
      </c>
      <c r="E3965" s="87" t="str">
        <f>IFERROR(__xludf.DUMMYFUNCTION("""COMPUTED_VALUE"""),"KING-CIDE JAPAN 460SC")</f>
        <v>KING-CIDE JAPAN 460SC</v>
      </c>
      <c r="F3965" s="87" t="str">
        <f>IFERROR(__xludf.DUMMYFUNCTION("""COMPUTED_VALUE"""),"HH3184")</f>
        <v>HH3184</v>
      </c>
      <c r="G3965" s="87" t="str">
        <f>IFERROR(__xludf.DUMMYFUNCTION("""COMPUTED_VALUE"""),"GC - IV - 3184 - CTY VISANTO - VISANTO MONICA 460 (Nước gạch cam) - 250ml - 40")</f>
        <v>GC - IV - 3184 - CTY VISANTO - VISANTO MONICA 460 (Nước gạch cam) - 250ml - 40</v>
      </c>
    </row>
    <row r="3966">
      <c r="A3966" s="86">
        <f>IFERROR(__xludf.DUMMYFUNCTION("""COMPUTED_VALUE"""),3964.0)</f>
        <v>3964</v>
      </c>
      <c r="B3966" s="87" t="str">
        <f>IFERROR(__xludf.DUMMYFUNCTION("""COMPUTED_VALUE"""),"Nhãn thùng")</f>
        <v>Nhãn thùng</v>
      </c>
      <c r="C3966" s="87" t="str">
        <f>IFERROR(__xludf.DUMMYFUNCTION("""COMPUTED_VALUE"""),"NDT3184")</f>
        <v>NDT3184</v>
      </c>
      <c r="D3966" s="87" t="str">
        <f>IFERROR(__xludf.DUMMYFUNCTION("""COMPUTED_VALUE"""),"[Nhãn thùng] GC - IV - 3184 - CTY VISANTO - VISANTO MONICA 460 (Nước gạch cam) - 250ml - 40")</f>
        <v>[Nhãn thùng] GC - IV - 3184 - CTY VISANTO - VISANTO MONICA 460 (Nước gạch cam) - 250ml - 40</v>
      </c>
      <c r="E3966" s="87" t="str">
        <f>IFERROR(__xludf.DUMMYFUNCTION("""COMPUTED_VALUE"""),"KING-CIDE JAPAN 460SC")</f>
        <v>KING-CIDE JAPAN 460SC</v>
      </c>
      <c r="F3966" s="87" t="str">
        <f>IFERROR(__xludf.DUMMYFUNCTION("""COMPUTED_VALUE"""),"HH3184")</f>
        <v>HH3184</v>
      </c>
      <c r="G3966" s="87" t="str">
        <f>IFERROR(__xludf.DUMMYFUNCTION("""COMPUTED_VALUE"""),"GC - IV - 3184 - CTY VISANTO - VISANTO MONICA 460 (Nước gạch cam) - 250ml - 40")</f>
        <v>GC - IV - 3184 - CTY VISANTO - VISANTO MONICA 460 (Nước gạch cam) - 250ml - 40</v>
      </c>
    </row>
    <row r="3967">
      <c r="A3967" s="86">
        <f>IFERROR(__xludf.DUMMYFUNCTION("""COMPUTED_VALUE"""),3965.0)</f>
        <v>3965</v>
      </c>
      <c r="B3967" s="87" t="str">
        <f>IFERROR(__xludf.DUMMYFUNCTION("""COMPUTED_VALUE"""),"Nhãn")</f>
        <v>Nhãn</v>
      </c>
      <c r="C3967" s="87" t="str">
        <f>IFERROR(__xludf.DUMMYFUNCTION("""COMPUTED_VALUE"""),"NHG3185")</f>
        <v>NHG3185</v>
      </c>
      <c r="D3967" s="87" t="str">
        <f>IFERROR(__xludf.DUMMYFUNCTION("""COMPUTED_VALUE"""),"[Nhãn] IDA Global - I - 3185 - Hai Nhóm - Siêu Diệt Nấm Khuẩn (nước đỏ) - 480ml - 40")</f>
        <v>[Nhãn] IDA Global - I - 3185 - Hai Nhóm - Siêu Diệt Nấm Khuẩn (nước đỏ) - 480ml - 40</v>
      </c>
      <c r="E3967" s="87" t="str">
        <f>IFERROR(__xludf.DUMMYFUNCTION("""COMPUTED_VALUE"""),"GENOL 1.2SL")</f>
        <v>GENOL 1.2SL</v>
      </c>
      <c r="F3967" s="87" t="str">
        <f>IFERROR(__xludf.DUMMYFUNCTION("""COMPUTED_VALUE"""),"HH3185")</f>
        <v>HH3185</v>
      </c>
      <c r="G3967" s="87" t="str">
        <f>IFERROR(__xludf.DUMMYFUNCTION("""COMPUTED_VALUE"""),"IDA Global - I - 3185 - Hai Nhóm - Siêu Diệt Nấm Khuẩn (nước đỏ) - 480ml - 40")</f>
        <v>IDA Global - I - 3185 - Hai Nhóm - Siêu Diệt Nấm Khuẩn (nước đỏ) - 480ml - 40</v>
      </c>
    </row>
    <row r="3968">
      <c r="A3968" s="86">
        <f>IFERROR(__xludf.DUMMYFUNCTION("""COMPUTED_VALUE"""),3966.0)</f>
        <v>3966</v>
      </c>
      <c r="B3968" s="87" t="str">
        <f>IFERROR(__xludf.DUMMYFUNCTION("""COMPUTED_VALUE"""),"Nhãn")</f>
        <v>Nhãn</v>
      </c>
      <c r="C3968" s="87" t="str">
        <f>IFERROR(__xludf.DUMMYFUNCTION("""COMPUTED_VALUE"""),"NTN3186")</f>
        <v>NTN3186</v>
      </c>
      <c r="D3968" s="87" t="str">
        <f>IFERROR(__xludf.DUMMYFUNCTION("""COMPUTED_VALUE"""),"[Nhãn]  GC - IV - 3186 - CTY BAVINA - HOPPER KILLER (Bột trắng ngà) - 100gr - 100")</f>
        <v>[Nhãn]  GC - IV - 3186 - CTY BAVINA - HOPPER KILLER (Bột trắng ngà) - 100gr - 100</v>
      </c>
      <c r="E3968" s="87" t="str">
        <f>IFERROR(__xludf.DUMMYFUNCTION("""COMPUTED_VALUE"""),"KHONGRAY 54WP")</f>
        <v>KHONGRAY 54WP</v>
      </c>
      <c r="F3968" s="87" t="str">
        <f>IFERROR(__xludf.DUMMYFUNCTION("""COMPUTED_VALUE"""),"HH3186")</f>
        <v>HH3186</v>
      </c>
      <c r="G3968" s="87" t="str">
        <f>IFERROR(__xludf.DUMMYFUNCTION("""COMPUTED_VALUE"""),"GC - IV - 3186 - CTY BAVINA - HOPPER KILLER (Bột trắng ngà) - 100gr - 100")</f>
        <v>GC - IV - 3186 - CTY BAVINA - HOPPER KILLER (Bột trắng ngà) - 100gr - 100</v>
      </c>
    </row>
    <row r="3969">
      <c r="A3969" s="86">
        <f>IFERROR(__xludf.DUMMYFUNCTION("""COMPUTED_VALUE"""),3967.0)</f>
        <v>3967</v>
      </c>
      <c r="B3969" s="87" t="str">
        <f>IFERROR(__xludf.DUMMYFUNCTION("""COMPUTED_VALUE"""),"Nhãn thùng")</f>
        <v>Nhãn thùng</v>
      </c>
      <c r="C3969" s="87" t="str">
        <f>IFERROR(__xludf.DUMMYFUNCTION("""COMPUTED_VALUE"""),"NDT3186")</f>
        <v>NDT3186</v>
      </c>
      <c r="D3969" s="87" t="str">
        <f>IFERROR(__xludf.DUMMYFUNCTION("""COMPUTED_VALUE"""),"[Nhãn thùng]  GC - IV - 3186 - CTY BAVINA - HOPPER KILLER (Bột trắng ngà) - 100gr - 100")</f>
        <v>[Nhãn thùng]  GC - IV - 3186 - CTY BAVINA - HOPPER KILLER (Bột trắng ngà) - 100gr - 100</v>
      </c>
      <c r="E3969" s="87" t="str">
        <f>IFERROR(__xludf.DUMMYFUNCTION("""COMPUTED_VALUE"""),"KHONGRAY 54WP")</f>
        <v>KHONGRAY 54WP</v>
      </c>
      <c r="F3969" s="87" t="str">
        <f>IFERROR(__xludf.DUMMYFUNCTION("""COMPUTED_VALUE"""),"HH3186")</f>
        <v>HH3186</v>
      </c>
      <c r="G3969" s="87" t="str">
        <f>IFERROR(__xludf.DUMMYFUNCTION("""COMPUTED_VALUE"""),"GC - IV - 3186 - CTY BAVINA - HOPPER KILLER (Bột trắng ngà) - 100gr - 100")</f>
        <v>GC - IV - 3186 - CTY BAVINA - HOPPER KILLER (Bột trắng ngà) - 100gr - 100</v>
      </c>
    </row>
    <row r="3970">
      <c r="A3970" s="86">
        <f>IFERROR(__xludf.DUMMYFUNCTION("""COMPUTED_VALUE"""),3968.0)</f>
        <v>3968</v>
      </c>
      <c r="B3970" s="87" t="str">
        <f>IFERROR(__xludf.DUMMYFUNCTION("""COMPUTED_VALUE"""),"Nhãn")</f>
        <v>Nhãn</v>
      </c>
      <c r="C3970" s="87" t="str">
        <f>IFERROR(__xludf.DUMMYFUNCTION("""COMPUTED_VALUE"""),"NTN3187")</f>
        <v>NTN3187</v>
      </c>
      <c r="D3970" s="87" t="str">
        <f>IFERROR(__xludf.DUMMYFUNCTION("""COMPUTED_VALUE"""),"[Nhãn] GC - IV - 3187 - CTY BAVINA - HOPPER KILLER (Bột trắng ngà) - 18gr - 300")</f>
        <v>[Nhãn] GC - IV - 3187 - CTY BAVINA - HOPPER KILLER (Bột trắng ngà) - 18gr - 300</v>
      </c>
      <c r="E3970" s="87" t="str">
        <f>IFERROR(__xludf.DUMMYFUNCTION("""COMPUTED_VALUE"""),"KHONGRAY 54WP")</f>
        <v>KHONGRAY 54WP</v>
      </c>
      <c r="F3970" s="87" t="str">
        <f>IFERROR(__xludf.DUMMYFUNCTION("""COMPUTED_VALUE"""),"HH3187")</f>
        <v>HH3187</v>
      </c>
      <c r="G3970" s="87" t="str">
        <f>IFERROR(__xludf.DUMMYFUNCTION("""COMPUTED_VALUE"""),"GC - IV - 3187 - CTY BAVINA - HOPPER KILLER (Bột trắng ngà) - 18gr - 300")</f>
        <v>GC - IV - 3187 - CTY BAVINA - HOPPER KILLER (Bột trắng ngà) - 18gr - 300</v>
      </c>
    </row>
    <row r="3971">
      <c r="A3971" s="86">
        <f>IFERROR(__xludf.DUMMYFUNCTION("""COMPUTED_VALUE"""),3969.0)</f>
        <v>3969</v>
      </c>
      <c r="B3971" s="87" t="str">
        <f>IFERROR(__xludf.DUMMYFUNCTION("""COMPUTED_VALUE"""),"Nhãn thùng")</f>
        <v>Nhãn thùng</v>
      </c>
      <c r="C3971" s="87" t="str">
        <f>IFERROR(__xludf.DUMMYFUNCTION("""COMPUTED_VALUE"""),"NDT3187")</f>
        <v>NDT3187</v>
      </c>
      <c r="D3971" s="87" t="str">
        <f>IFERROR(__xludf.DUMMYFUNCTION("""COMPUTED_VALUE"""),"[Nhãn thùng] GC - IV - 3187 - CTY BAVINA - HOPPER KILLER (Bột trắng ngà) - 18gr - 300")</f>
        <v>[Nhãn thùng] GC - IV - 3187 - CTY BAVINA - HOPPER KILLER (Bột trắng ngà) - 18gr - 300</v>
      </c>
      <c r="E3971" s="87" t="str">
        <f>IFERROR(__xludf.DUMMYFUNCTION("""COMPUTED_VALUE"""),"KHONGRAY 54WP")</f>
        <v>KHONGRAY 54WP</v>
      </c>
      <c r="F3971" s="87" t="str">
        <f>IFERROR(__xludf.DUMMYFUNCTION("""COMPUTED_VALUE"""),"HH3187")</f>
        <v>HH3187</v>
      </c>
      <c r="G3971" s="87" t="str">
        <f>IFERROR(__xludf.DUMMYFUNCTION("""COMPUTED_VALUE"""),"GC - IV - 3187 - CTY BAVINA - HOPPER KILLER (Bột trắng ngà) - 18gr - 300")</f>
        <v>GC - IV - 3187 - CTY BAVINA - HOPPER KILLER (Bột trắng ngà) - 18gr - 300</v>
      </c>
    </row>
    <row r="3972">
      <c r="A3972" s="86">
        <f>IFERROR(__xludf.DUMMYFUNCTION("""COMPUTED_VALUE"""),3970.0)</f>
        <v>3970</v>
      </c>
      <c r="B3972" s="87" t="str">
        <f>IFERROR(__xludf.DUMMYFUNCTION("""COMPUTED_VALUE"""),"Nhãn")</f>
        <v>Nhãn</v>
      </c>
      <c r="C3972" s="87" t="str">
        <f>IFERROR(__xludf.DUMMYFUNCTION("""COMPUTED_VALUE"""),"NHG3188")</f>
        <v>NHG3188</v>
      </c>
      <c r="D3972" s="87" t="str">
        <f>IFERROR(__xludf.DUMMYFUNCTION("""COMPUTED_VALUE"""),"[Nhãn] GC - IV - 3188 - RICH FARMER - SIÊU KẼM (Gel xanh lá) - 500ml - 40")</f>
        <v>[Nhãn] GC - IV - 3188 - RICH FARMER - SIÊU KẼM (Gel xanh lá) - 500ml - 40</v>
      </c>
      <c r="E3972" s="87" t="str">
        <f>IFERROR(__xludf.DUMMYFUNCTION("""COMPUTED_VALUE"""),"Vi lượng AGAMA-SUPPORT")</f>
        <v>Vi lượng AGAMA-SUPPORT</v>
      </c>
      <c r="F3972" s="87" t="str">
        <f>IFERROR(__xludf.DUMMYFUNCTION("""COMPUTED_VALUE"""),"HH3188")</f>
        <v>HH3188</v>
      </c>
      <c r="G3972" s="87" t="str">
        <f>IFERROR(__xludf.DUMMYFUNCTION("""COMPUTED_VALUE"""),"GC - IV - 3188 - RICH FARMER - SIÊU KẼM (Gel xanh lá) - 500ml - 40")</f>
        <v>GC - IV - 3188 - RICH FARMER - SIÊU KẼM (Gel xanh lá) - 500ml - 40</v>
      </c>
    </row>
    <row r="3973">
      <c r="A3973" s="86">
        <f>IFERROR(__xludf.DUMMYFUNCTION("""COMPUTED_VALUE"""),3971.0)</f>
        <v>3971</v>
      </c>
      <c r="B3973" s="87" t="str">
        <f>IFERROR(__xludf.DUMMYFUNCTION("""COMPUTED_VALUE"""),"Nhãn")</f>
        <v>Nhãn</v>
      </c>
      <c r="C3973" s="87" t="str">
        <f>IFERROR(__xludf.DUMMYFUNCTION("""COMPUTED_VALUE"""),"NHG3189")</f>
        <v>NHG3189</v>
      </c>
      <c r="D3973" s="87" t="str">
        <f>IFERROR(__xludf.DUMMYFUNCTION("""COMPUTED_VALUE"""),"[Nhãn] GC - IV - 3189 - RICH FARMER - DIỆP LỤC TỐ (Gel xanh lá) - 500ml - 40")</f>
        <v>[Nhãn] GC - IV - 3189 - RICH FARMER - DIỆP LỤC TỐ (Gel xanh lá) - 500ml - 40</v>
      </c>
      <c r="E3973" s="87" t="str">
        <f>IFERROR(__xludf.DUMMYFUNCTION("""COMPUTED_VALUE"""),"Vi lượng AGAMA-SUPPORT")</f>
        <v>Vi lượng AGAMA-SUPPORT</v>
      </c>
      <c r="F3973" s="87" t="str">
        <f>IFERROR(__xludf.DUMMYFUNCTION("""COMPUTED_VALUE"""),"HH3189")</f>
        <v>HH3189</v>
      </c>
      <c r="G3973" s="87" t="str">
        <f>IFERROR(__xludf.DUMMYFUNCTION("""COMPUTED_VALUE"""),"GC - IV - 3189 - RICH FARMER - DIỆP LỤC TỐ (Gel xanh lá) - 500ml - 40")</f>
        <v>GC - IV - 3189 - RICH FARMER - DIỆP LỤC TỐ (Gel xanh lá) - 500ml - 40</v>
      </c>
    </row>
    <row r="3974">
      <c r="A3974" s="86">
        <f>IFERROR(__xludf.DUMMYFUNCTION("""COMPUTED_VALUE"""),3972.0)</f>
        <v>3972</v>
      </c>
      <c r="B3974" s="87" t="str">
        <f>IFERROR(__xludf.DUMMYFUNCTION("""COMPUTED_VALUE"""),"Nhãn")</f>
        <v>Nhãn</v>
      </c>
      <c r="C3974" s="87" t="str">
        <f>IFERROR(__xludf.DUMMYFUNCTION("""COMPUTED_VALUE"""),"NHG3190")</f>
        <v>NHG3190</v>
      </c>
      <c r="D3974" s="87" t="str">
        <f>IFERROR(__xludf.DUMMYFUNCTION("""COMPUTED_VALUE"""),"[Nhãn] GC - IV - 3190 - RICH FARMER - KÍCH PHÁT TỐ HOA TRÁI (Gel xanh lá) - 500ml - 40")</f>
        <v>[Nhãn] GC - IV - 3190 - RICH FARMER - KÍCH PHÁT TỐ HOA TRÁI (Gel xanh lá) - 500ml - 40</v>
      </c>
      <c r="E3974" s="87" t="str">
        <f>IFERROR(__xludf.DUMMYFUNCTION("""COMPUTED_VALUE"""),"Vi lượng AGAMA-SUPPORT")</f>
        <v>Vi lượng AGAMA-SUPPORT</v>
      </c>
      <c r="F3974" s="87" t="str">
        <f>IFERROR(__xludf.DUMMYFUNCTION("""COMPUTED_VALUE"""),"HH3190")</f>
        <v>HH3190</v>
      </c>
      <c r="G3974" s="87" t="str">
        <f>IFERROR(__xludf.DUMMYFUNCTION("""COMPUTED_VALUE"""),"GC - IV - 3190 - RICH FARMER - KÍCH PHÁT TỐ HOA TRÁI (Gel xanh lá) - 500ml - 40")</f>
        <v>GC - IV - 3190 - RICH FARMER - KÍCH PHÁT TỐ HOA TRÁI (Gel xanh lá) - 500ml - 40</v>
      </c>
    </row>
    <row r="3975">
      <c r="A3975" s="86">
        <f>IFERROR(__xludf.DUMMYFUNCTION("""COMPUTED_VALUE"""),3973.0)</f>
        <v>3973</v>
      </c>
      <c r="B3975" s="87" t="str">
        <f>IFERROR(__xludf.DUMMYFUNCTION("""COMPUTED_VALUE"""),"Nhãn")</f>
        <v>Nhãn</v>
      </c>
      <c r="C3975" s="87" t="str">
        <f>IFERROR(__xludf.DUMMYFUNCTION("""COMPUTED_VALUE"""),"NHG3191")</f>
        <v>NHG3191</v>
      </c>
      <c r="D3975" s="87" t="str">
        <f>IFERROR(__xludf.DUMMYFUNCTION("""COMPUTED_VALUE"""),"[Nhãn] GC - IV - 3191 - RICH FARMER - SUPER PHOS-ZINC (Gel xanh lá) - 500ml - 40")</f>
        <v>[Nhãn] GC - IV - 3191 - RICH FARMER - SUPER PHOS-ZINC (Gel xanh lá) - 500ml - 40</v>
      </c>
      <c r="E3975" s="87" t="str">
        <f>IFERROR(__xludf.DUMMYFUNCTION("""COMPUTED_VALUE"""),"Vi lượng AGAMA-SUPPORT")</f>
        <v>Vi lượng AGAMA-SUPPORT</v>
      </c>
      <c r="F3975" s="87" t="str">
        <f>IFERROR(__xludf.DUMMYFUNCTION("""COMPUTED_VALUE"""),"HH3191")</f>
        <v>HH3191</v>
      </c>
      <c r="G3975" s="87" t="str">
        <f>IFERROR(__xludf.DUMMYFUNCTION("""COMPUTED_VALUE"""),"GC - IV - 3191 - RICH FARMER - SUPER PHOS-ZINC (Gel xanh lá) - 500ml - 40")</f>
        <v>GC - IV - 3191 - RICH FARMER - SUPER PHOS-ZINC (Gel xanh lá) - 500ml - 40</v>
      </c>
    </row>
    <row r="3976">
      <c r="A3976" s="86">
        <f>IFERROR(__xludf.DUMMYFUNCTION("""COMPUTED_VALUE"""),3974.0)</f>
        <v>3974</v>
      </c>
      <c r="B3976" s="87" t="str">
        <f>IFERROR(__xludf.DUMMYFUNCTION("""COMPUTED_VALUE"""),"Nhãn")</f>
        <v>Nhãn</v>
      </c>
      <c r="C3976" s="87" t="str">
        <f>IFERROR(__xludf.DUMMYFUNCTION("""COMPUTED_VALUE"""),"NHG3192")</f>
        <v>NHG3192</v>
      </c>
      <c r="D3976" s="87" t="str">
        <f>IFERROR(__xludf.DUMMYFUNCTION("""COMPUTED_VALUE"""),"[Nhãn] GC - IV - 3192 - RICH FARMER - AMINOMIX CÁ MẬP XANH (Gel nâu đen) - 500ml - 40")</f>
        <v>[Nhãn] GC - IV - 3192 - RICH FARMER - AMINOMIX CÁ MẬP XANH (Gel nâu đen) - 500ml - 40</v>
      </c>
      <c r="E3976" s="87" t="str">
        <f>IFERROR(__xludf.DUMMYFUNCTION("""COMPUTED_VALUE"""),"Vi lượng Quantity New")</f>
        <v>Vi lượng Quantity New</v>
      </c>
      <c r="F3976" s="87" t="str">
        <f>IFERROR(__xludf.DUMMYFUNCTION("""COMPUTED_VALUE"""),"HH3192")</f>
        <v>HH3192</v>
      </c>
      <c r="G3976" s="87" t="str">
        <f>IFERROR(__xludf.DUMMYFUNCTION("""COMPUTED_VALUE"""),"GC - IV - 3192 - RICH FARMER - AMINOMIX CÁ MẬP XANH (Gel nâu đen) - 500ml - 40")</f>
        <v>GC - IV - 3192 - RICH FARMER - AMINOMIX CÁ MẬP XANH (Gel nâu đen) - 500ml - 40</v>
      </c>
    </row>
    <row r="3977">
      <c r="A3977" s="86">
        <f>IFERROR(__xludf.DUMMYFUNCTION("""COMPUTED_VALUE"""),3975.0)</f>
        <v>3975</v>
      </c>
      <c r="B3977" s="87" t="str">
        <f>IFERROR(__xludf.DUMMYFUNCTION("""COMPUTED_VALUE"""),"Nhãn")</f>
        <v>Nhãn</v>
      </c>
      <c r="C3977" s="87" t="str">
        <f>IFERROR(__xludf.DUMMYFUNCTION("""COMPUTED_VALUE"""),"NHG3193")</f>
        <v>NHG3193</v>
      </c>
      <c r="D3977" s="87" t="str">
        <f>IFERROR(__xludf.DUMMYFUNCTION("""COMPUTED_VALUE"""),"[Nhãn] GC - IV - 3193 - RICH FARMER - AMINOMAX HUMIX SIÊU ĐẬM ĐẶC (Gel nâu đen) - 500ml - 40")</f>
        <v>[Nhãn] GC - IV - 3193 - RICH FARMER - AMINOMAX HUMIX SIÊU ĐẬM ĐẶC (Gel nâu đen) - 500ml - 40</v>
      </c>
      <c r="E3977" s="87" t="str">
        <f>IFERROR(__xludf.DUMMYFUNCTION("""COMPUTED_VALUE"""),"Vi lượng Quantity New")</f>
        <v>Vi lượng Quantity New</v>
      </c>
      <c r="F3977" s="87" t="str">
        <f>IFERROR(__xludf.DUMMYFUNCTION("""COMPUTED_VALUE"""),"HH3193")</f>
        <v>HH3193</v>
      </c>
      <c r="G3977" s="87" t="str">
        <f>IFERROR(__xludf.DUMMYFUNCTION("""COMPUTED_VALUE"""),"GC - IV - 3193 - RICH FARMER - AMINOMAX HUMIX SIÊU ĐẬM ĐẶC (Gel nâu đen) - 500ml - 40")</f>
        <v>GC - IV - 3193 - RICH FARMER - AMINOMAX HUMIX SIÊU ĐẬM ĐẶC (Gel nâu đen) - 500ml - 40</v>
      </c>
    </row>
    <row r="3978">
      <c r="A3978" s="86">
        <f>IFERROR(__xludf.DUMMYFUNCTION("""COMPUTED_VALUE"""),3976.0)</f>
        <v>3976</v>
      </c>
      <c r="B3978" s="87" t="str">
        <f>IFERROR(__xludf.DUMMYFUNCTION("""COMPUTED_VALUE"""),"Nhãn")</f>
        <v>Nhãn</v>
      </c>
      <c r="C3978" s="87" t="str">
        <f>IFERROR(__xludf.DUMMYFUNCTION("""COMPUTED_VALUE"""),"NHG3194")</f>
        <v>NHG3194</v>
      </c>
      <c r="D3978" s="87" t="str">
        <f>IFERROR(__xludf.DUMMYFUNCTION("""COMPUTED_VALUE"""),"[Nhãn] GC - IV - 3194 - RICH FARMER - AMINOFRESH (Gel nâu đen) - 500ml - 40")</f>
        <v>[Nhãn] GC - IV - 3194 - RICH FARMER - AMINOFRESH (Gel nâu đen) - 500ml - 40</v>
      </c>
      <c r="E3978" s="87" t="str">
        <f>IFERROR(__xludf.DUMMYFUNCTION("""COMPUTED_VALUE"""),"Vi lượng Quantity New")</f>
        <v>Vi lượng Quantity New</v>
      </c>
      <c r="F3978" s="87" t="str">
        <f>IFERROR(__xludf.DUMMYFUNCTION("""COMPUTED_VALUE"""),"HH3194")</f>
        <v>HH3194</v>
      </c>
      <c r="G3978" s="87" t="str">
        <f>IFERROR(__xludf.DUMMYFUNCTION("""COMPUTED_VALUE"""),"GC - IV - 3194 - RICH FARMER - AMINOFRESH (Gel nâu đen) - 500ml - 40")</f>
        <v>GC - IV - 3194 - RICH FARMER - AMINOFRESH (Gel nâu đen) - 500ml - 40</v>
      </c>
    </row>
    <row r="3979">
      <c r="A3979" s="86">
        <f>IFERROR(__xludf.DUMMYFUNCTION("""COMPUTED_VALUE"""),3977.0)</f>
        <v>3977</v>
      </c>
      <c r="B3979" s="87" t="str">
        <f>IFERROR(__xludf.DUMMYFUNCTION("""COMPUTED_VALUE"""),"Nhãn")</f>
        <v>Nhãn</v>
      </c>
      <c r="C3979" s="87" t="str">
        <f>IFERROR(__xludf.DUMMYFUNCTION("""COMPUTED_VALUE"""),"NHG3195")</f>
        <v>NHG3195</v>
      </c>
      <c r="D3979" s="87" t="str">
        <f>IFERROR(__xludf.DUMMYFUNCTION("""COMPUTED_VALUE"""),"[Nhãn] GC - IV - 3195 - RICH FARMER - SUPER PHOSKA (Gel nâu đen) - 500ml - 40
")</f>
        <v>[Nhãn] GC - IV - 3195 - RICH FARMER - SUPER PHOSKA (Gel nâu đen) - 500ml - 40
</v>
      </c>
      <c r="E3979" s="87" t="str">
        <f>IFERROR(__xludf.DUMMYFUNCTION("""COMPUTED_VALUE"""),"Vi lượng Quantity New")</f>
        <v>Vi lượng Quantity New</v>
      </c>
      <c r="F3979" s="87" t="str">
        <f>IFERROR(__xludf.DUMMYFUNCTION("""COMPUTED_VALUE"""),"HH3195")</f>
        <v>HH3195</v>
      </c>
      <c r="G3979" s="87" t="str">
        <f>IFERROR(__xludf.DUMMYFUNCTION("""COMPUTED_VALUE"""),"GC - IV - 3195 - RICH FARMER - SUPER PHOSKA (Gel nâu đen) - 500ml - 40
")</f>
        <v>GC - IV - 3195 - RICH FARMER - SUPER PHOSKA (Gel nâu đen) - 500ml - 40
</v>
      </c>
    </row>
    <row r="3980">
      <c r="A3980" s="86">
        <f>IFERROR(__xludf.DUMMYFUNCTION("""COMPUTED_VALUE"""),3978.0)</f>
        <v>3978</v>
      </c>
      <c r="B3980" s="87" t="str">
        <f>IFERROR(__xludf.DUMMYFUNCTION("""COMPUTED_VALUE"""),"Nhãn")</f>
        <v>Nhãn</v>
      </c>
      <c r="C3980" s="87" t="str">
        <f>IFERROR(__xludf.DUMMYFUNCTION("""COMPUTED_VALUE"""),"NHG3196")</f>
        <v>NHG3196</v>
      </c>
      <c r="D3980" s="87" t="str">
        <f>IFERROR(__xludf.DUMMYFUNCTION("""COMPUTED_VALUE"""),"[Nhãn] GC - IV - 3196 - RICH FARMER - SUPER ROOTS SIÊU KÍCH RỄ (Gel nâu đen) - 500ml - 40")</f>
        <v>[Nhãn] GC - IV - 3196 - RICH FARMER - SUPER ROOTS SIÊU KÍCH RỄ (Gel nâu đen) - 500ml - 40</v>
      </c>
      <c r="E3980" s="87" t="str">
        <f>IFERROR(__xludf.DUMMYFUNCTION("""COMPUTED_VALUE"""),"Vi lượng Quantity New")</f>
        <v>Vi lượng Quantity New</v>
      </c>
      <c r="F3980" s="87" t="str">
        <f>IFERROR(__xludf.DUMMYFUNCTION("""COMPUTED_VALUE"""),"HH3196")</f>
        <v>HH3196</v>
      </c>
      <c r="G3980" s="87" t="str">
        <f>IFERROR(__xludf.DUMMYFUNCTION("""COMPUTED_VALUE"""),"GC - IV - 3196 - RICH FARMER - SUPER ROOTS SIÊU KÍCH RỄ (Gel nâu đen) - 500ml - 40")</f>
        <v>GC - IV - 3196 - RICH FARMER - SUPER ROOTS SIÊU KÍCH RỄ (Gel nâu đen) - 500ml - 40</v>
      </c>
    </row>
    <row r="3981">
      <c r="A3981" s="86">
        <f>IFERROR(__xludf.DUMMYFUNCTION("""COMPUTED_VALUE"""),3979.0)</f>
        <v>3979</v>
      </c>
      <c r="B3981" s="87" t="str">
        <f>IFERROR(__xludf.DUMMYFUNCTION("""COMPUTED_VALUE"""),"Nhãn")</f>
        <v>Nhãn</v>
      </c>
      <c r="C3981" s="87" t="str">
        <f>IFERROR(__xludf.DUMMYFUNCTION("""COMPUTED_VALUE"""),"NHG3197")</f>
        <v>NHG3197</v>
      </c>
      <c r="D3981" s="87" t="str">
        <f>IFERROR(__xludf.DUMMYFUNCTION("""COMPUTED_VALUE"""),"[Nhãn] GC - IV - 3197 - RICH FARMER - SUPER BO-CAXX (Gel vàng cam) - 500ml - 40")</f>
        <v>[Nhãn] GC - IV - 3197 - RICH FARMER - SUPER BO-CAXX (Gel vàng cam) - 500ml - 40</v>
      </c>
      <c r="E3981" s="87" t="str">
        <f>IFERROR(__xludf.DUMMYFUNCTION("""COMPUTED_VALUE"""),"Vi lượng Run Fast")</f>
        <v>Vi lượng Run Fast</v>
      </c>
      <c r="F3981" s="87" t="str">
        <f>IFERROR(__xludf.DUMMYFUNCTION("""COMPUTED_VALUE"""),"HH3197")</f>
        <v>HH3197</v>
      </c>
      <c r="G3981" s="87" t="str">
        <f>IFERROR(__xludf.DUMMYFUNCTION("""COMPUTED_VALUE"""),"GC - IV - 3197 - RICH FARMER - SUPER BO-CAXX (Gel vàng cam) - 500ml - 40")</f>
        <v>GC - IV - 3197 - RICH FARMER - SUPER BO-CAXX (Gel vàng cam) - 500ml - 40</v>
      </c>
    </row>
    <row r="3982">
      <c r="A3982" s="86">
        <f>IFERROR(__xludf.DUMMYFUNCTION("""COMPUTED_VALUE"""),3980.0)</f>
        <v>3980</v>
      </c>
      <c r="B3982" s="87" t="str">
        <f>IFERROR(__xludf.DUMMYFUNCTION("""COMPUTED_VALUE"""),"Nhãn")</f>
        <v>Nhãn</v>
      </c>
      <c r="C3982" s="87" t="str">
        <f>IFERROR(__xludf.DUMMYFUNCTION("""COMPUTED_VALUE"""),"NHG3198")</f>
        <v>NHG3198</v>
      </c>
      <c r="D3982" s="87" t="str">
        <f>IFERROR(__xludf.DUMMYFUNCTION("""COMPUTED_VALUE"""),"[Nhãn] GC - IV - 3198 - RICH FARMER - SUPER KABOLI (Gel vàng cam) - 500ml - 40")</f>
        <v>[Nhãn] GC - IV - 3198 - RICH FARMER - SUPER KABOLI (Gel vàng cam) - 500ml - 40</v>
      </c>
      <c r="E3982" s="87" t="str">
        <f>IFERROR(__xludf.DUMMYFUNCTION("""COMPUTED_VALUE"""),"Vi lượng Run Fast")</f>
        <v>Vi lượng Run Fast</v>
      </c>
      <c r="F3982" s="87" t="str">
        <f>IFERROR(__xludf.DUMMYFUNCTION("""COMPUTED_VALUE"""),"HH3198")</f>
        <v>HH3198</v>
      </c>
      <c r="G3982" s="87" t="str">
        <f>IFERROR(__xludf.DUMMYFUNCTION("""COMPUTED_VALUE"""),"GC - IV - 3198 - RICH FARMER - SUPER KABOLI (Gel vàng cam) - 500ml - 40")</f>
        <v>GC - IV - 3198 - RICH FARMER - SUPER KABOLI (Gel vàng cam) - 500ml - 40</v>
      </c>
    </row>
    <row r="3983">
      <c r="A3983" s="86">
        <f>IFERROR(__xludf.DUMMYFUNCTION("""COMPUTED_VALUE"""),3981.0)</f>
        <v>3981</v>
      </c>
      <c r="B3983" s="87" t="str">
        <f>IFERROR(__xludf.DUMMYFUNCTION("""COMPUTED_VALUE"""),"Nhãn")</f>
        <v>Nhãn</v>
      </c>
      <c r="C3983" s="87" t="str">
        <f>IFERROR(__xludf.DUMMYFUNCTION("""COMPUTED_VALUE"""),"NHG3199")</f>
        <v>NHG3199</v>
      </c>
      <c r="D3983" s="87" t="str">
        <f>IFERROR(__xludf.DUMMYFUNCTION("""COMPUTED_VALUE"""),"[Nhãn] GC - IV - 3199 - RICH FARMER - SUPER BO-MIX (Gel vàng cam) - 500ml - 40")</f>
        <v>[Nhãn] GC - IV - 3199 - RICH FARMER - SUPER BO-MIX (Gel vàng cam) - 500ml - 40</v>
      </c>
      <c r="E3983" s="87" t="str">
        <f>IFERROR(__xludf.DUMMYFUNCTION("""COMPUTED_VALUE"""),"Vi lượng Run Fast")</f>
        <v>Vi lượng Run Fast</v>
      </c>
      <c r="F3983" s="87" t="str">
        <f>IFERROR(__xludf.DUMMYFUNCTION("""COMPUTED_VALUE"""),"HH3199")</f>
        <v>HH3199</v>
      </c>
      <c r="G3983" s="87" t="str">
        <f>IFERROR(__xludf.DUMMYFUNCTION("""COMPUTED_VALUE"""),"GC - IV - 3199 - RICH FARMER - SUPER BO-MIX (Gel vàng cam) - 500ml - 40")</f>
        <v>GC - IV - 3199 - RICH FARMER - SUPER BO-MIX (Gel vàng cam) - 500ml - 40</v>
      </c>
    </row>
    <row r="3984">
      <c r="A3984" s="86">
        <f>IFERROR(__xludf.DUMMYFUNCTION("""COMPUTED_VALUE"""),3982.0)</f>
        <v>3982</v>
      </c>
      <c r="B3984" s="87" t="str">
        <f>IFERROR(__xludf.DUMMYFUNCTION("""COMPUTED_VALUE"""),"Nhãn")</f>
        <v>Nhãn</v>
      </c>
      <c r="C3984" s="87" t="str">
        <f>IFERROR(__xludf.DUMMYFUNCTION("""COMPUTED_VALUE"""),"NHG3200")</f>
        <v>NHG3200</v>
      </c>
      <c r="D3984" s="87" t="str">
        <f>IFERROR(__xludf.DUMMYFUNCTION("""COMPUTED_VALUE"""),"[Nhãn] GC - IV - 3200 - PHÚC THÀNH AGRI - MEKONGVIL 5SC (Nước trắng sữa) - 1L - 20")</f>
        <v>[Nhãn] GC - IV - 3200 - PHÚC THÀNH AGRI - MEKONGVIL 5SC (Nước trắng sữa) - 1L - 20</v>
      </c>
      <c r="E3984" s="87" t="str">
        <f>IFERROR(__xludf.DUMMYFUNCTION("""COMPUTED_VALUE"""),"Mekongvil 5SC")</f>
        <v>Mekongvil 5SC</v>
      </c>
      <c r="F3984" s="87" t="str">
        <f>IFERROR(__xludf.DUMMYFUNCTION("""COMPUTED_VALUE"""),"HH3200")</f>
        <v>HH3200</v>
      </c>
      <c r="G3984" s="87" t="str">
        <f>IFERROR(__xludf.DUMMYFUNCTION("""COMPUTED_VALUE"""),"GC - IV - 3200 - PHÚC THÀNH AGRI - MEKONGVIL 5SC (Nước trắng sữa) - 1L - 20")</f>
        <v>GC - IV - 3200 - PHÚC THÀNH AGRI - MEKONGVIL 5SC (Nước trắng sữa) - 1L - 20</v>
      </c>
    </row>
    <row r="3985">
      <c r="A3985" s="86">
        <f>IFERROR(__xludf.DUMMYFUNCTION("""COMPUTED_VALUE"""),3983.0)</f>
        <v>3983</v>
      </c>
      <c r="B3985" s="87" t="str">
        <f>IFERROR(__xludf.DUMMYFUNCTION("""COMPUTED_VALUE"""),"Nhãn")</f>
        <v>Nhãn</v>
      </c>
      <c r="C3985" s="87" t="str">
        <f>IFERROR(__xludf.DUMMYFUNCTION("""COMPUTED_VALUE"""),"NHG3203")</f>
        <v>NHG3203</v>
      </c>
      <c r="D3985" s="87" t="str">
        <f>IFERROR(__xludf.DUMMYFUNCTION("""COMPUTED_VALUE"""),"[Nhãn] GC - IV - 3203 - CTY ASAHI NHẬT BẢN - KẼM HỮU CƠ (Gel xanh lá) - 500ml - 40")</f>
        <v>[Nhãn] GC - IV - 3203 - CTY ASAHI NHẬT BẢN - KẼM HỮU CƠ (Gel xanh lá) - 500ml - 40</v>
      </c>
      <c r="E3985" s="87" t="str">
        <f>IFERROR(__xludf.DUMMYFUNCTION("""COMPUTED_VALUE"""),"Vi lượng AGAMA-SUPPORT")</f>
        <v>Vi lượng AGAMA-SUPPORT</v>
      </c>
      <c r="F3985" s="87" t="str">
        <f>IFERROR(__xludf.DUMMYFUNCTION("""COMPUTED_VALUE"""),"HH3203")</f>
        <v>HH3203</v>
      </c>
      <c r="G3985" s="87" t="str">
        <f>IFERROR(__xludf.DUMMYFUNCTION("""COMPUTED_VALUE"""),"GC - IV - 3203 - CTY ASAHI NHẬT BẢN - KẼM HỮU CƠ (Gel xanh lá) - 500ml - 40")</f>
        <v>GC - IV - 3203 - CTY ASAHI NHẬT BẢN - KẼM HỮU CƠ (Gel xanh lá) - 500ml - 40</v>
      </c>
    </row>
    <row r="3986">
      <c r="A3986" s="86">
        <f>IFERROR(__xludf.DUMMYFUNCTION("""COMPUTED_VALUE"""),3984.0)</f>
        <v>3984</v>
      </c>
      <c r="B3986" s="87" t="str">
        <f>IFERROR(__xludf.DUMMYFUNCTION("""COMPUTED_VALUE"""),"Nhãn")</f>
        <v>Nhãn</v>
      </c>
      <c r="C3986" s="87" t="str">
        <f>IFERROR(__xludf.DUMMYFUNCTION("""COMPUTED_VALUE"""),"NHG3204")</f>
        <v>NHG3204</v>
      </c>
      <c r="D3986" s="87" t="str">
        <f>IFERROR(__xludf.DUMMYFUNCTION("""COMPUTED_VALUE"""),"[Nhãn] GC - IV - 3204 - CTY ASAHI NHẬT BẢN - DIỆP LỤC TỐ (Gel xanh lá) - 500ml - 40")</f>
        <v>[Nhãn] GC - IV - 3204 - CTY ASAHI NHẬT BẢN - DIỆP LỤC TỐ (Gel xanh lá) - 500ml - 40</v>
      </c>
      <c r="E3986" s="87" t="str">
        <f>IFERROR(__xludf.DUMMYFUNCTION("""COMPUTED_VALUE"""),"Vi lượng AGAMA-SUPPORT")</f>
        <v>Vi lượng AGAMA-SUPPORT</v>
      </c>
      <c r="F3986" s="87" t="str">
        <f>IFERROR(__xludf.DUMMYFUNCTION("""COMPUTED_VALUE"""),"HH3204")</f>
        <v>HH3204</v>
      </c>
      <c r="G3986" s="87" t="str">
        <f>IFERROR(__xludf.DUMMYFUNCTION("""COMPUTED_VALUE"""),"GC - IV - 3204 - CTY ASAHI NHẬT BẢN - DIỆP LỤC TỐ (Gel xanh lá) - 500ml - 40")</f>
        <v>GC - IV - 3204 - CTY ASAHI NHẬT BẢN - DIỆP LỤC TỐ (Gel xanh lá) - 500ml - 40</v>
      </c>
    </row>
    <row r="3987">
      <c r="A3987" s="86">
        <f>IFERROR(__xludf.DUMMYFUNCTION("""COMPUTED_VALUE"""),3985.0)</f>
        <v>3985</v>
      </c>
      <c r="B3987" s="87" t="str">
        <f>IFERROR(__xludf.DUMMYFUNCTION("""COMPUTED_VALUE"""),"Nhãn")</f>
        <v>Nhãn</v>
      </c>
      <c r="C3987" s="87" t="str">
        <f>IFERROR(__xludf.DUMMYFUNCTION("""COMPUTED_VALUE"""),"NHG3205")</f>
        <v>NHG3205</v>
      </c>
      <c r="D3987" s="87" t="str">
        <f>IFERROR(__xludf.DUMMYFUNCTION("""COMPUTED_VALUE"""),"[Nhãn] GC - IV - 3205 - CTY ASAHI NHẬT BẢN - KÍCH PHÁT TỐ HOA TRÁI (Gel xanh lá) - 500ml - 40")</f>
        <v>[Nhãn] GC - IV - 3205 - CTY ASAHI NHẬT BẢN - KÍCH PHÁT TỐ HOA TRÁI (Gel xanh lá) - 500ml - 40</v>
      </c>
      <c r="E3987" s="87" t="str">
        <f>IFERROR(__xludf.DUMMYFUNCTION("""COMPUTED_VALUE"""),"Vi lượng AGAMA-SUPPORT")</f>
        <v>Vi lượng AGAMA-SUPPORT</v>
      </c>
      <c r="F3987" s="87" t="str">
        <f>IFERROR(__xludf.DUMMYFUNCTION("""COMPUTED_VALUE"""),"HH3205")</f>
        <v>HH3205</v>
      </c>
      <c r="G3987" s="87" t="str">
        <f>IFERROR(__xludf.DUMMYFUNCTION("""COMPUTED_VALUE"""),"GC - IV - 3205 - CTY ASAHI NHẬT BẢN - KÍCH PHÁT TỐ HOA TRÁI (Gel xanh lá) - 500ml - 40")</f>
        <v>GC - IV - 3205 - CTY ASAHI NHẬT BẢN - KÍCH PHÁT TỐ HOA TRÁI (Gel xanh lá) - 500ml - 40</v>
      </c>
    </row>
    <row r="3988">
      <c r="A3988" s="86">
        <f>IFERROR(__xludf.DUMMYFUNCTION("""COMPUTED_VALUE"""),3986.0)</f>
        <v>3986</v>
      </c>
      <c r="B3988" s="87" t="str">
        <f>IFERROR(__xludf.DUMMYFUNCTION("""COMPUTED_VALUE"""),"Nhãn")</f>
        <v>Nhãn</v>
      </c>
      <c r="C3988" s="87" t="str">
        <f>IFERROR(__xludf.DUMMYFUNCTION("""COMPUTED_VALUE"""),"NHG3206")</f>
        <v>NHG3206</v>
      </c>
      <c r="D3988" s="87" t="str">
        <f>IFERROR(__xludf.DUMMYFUNCTION("""COMPUTED_VALUE"""),"[Nhãn] GC - IV - 3206 - CTY ASAHI NHẬT BẢN - LÂN KẼM HỮU CƠ (Gel xanh lá) - 500ml - 40")</f>
        <v>[Nhãn] GC - IV - 3206 - CTY ASAHI NHẬT BẢN - LÂN KẼM HỮU CƠ (Gel xanh lá) - 500ml - 40</v>
      </c>
      <c r="E3988" s="87" t="str">
        <f>IFERROR(__xludf.DUMMYFUNCTION("""COMPUTED_VALUE"""),"Vi lượng AGAMA-SUPPORT")</f>
        <v>Vi lượng AGAMA-SUPPORT</v>
      </c>
      <c r="F3988" s="87" t="str">
        <f>IFERROR(__xludf.DUMMYFUNCTION("""COMPUTED_VALUE"""),"HH3206")</f>
        <v>HH3206</v>
      </c>
      <c r="G3988" s="87" t="str">
        <f>IFERROR(__xludf.DUMMYFUNCTION("""COMPUTED_VALUE"""),"GC - IV - 3206 - CTY ASAHI NHẬT BẢN - LÂN KẼM HỮU CƠ (Gel xanh lá) - 500ml - 40")</f>
        <v>GC - IV - 3206 - CTY ASAHI NHẬT BẢN - LÂN KẼM HỮU CƠ (Gel xanh lá) - 500ml - 40</v>
      </c>
    </row>
    <row r="3989">
      <c r="A3989" s="86">
        <f>IFERROR(__xludf.DUMMYFUNCTION("""COMPUTED_VALUE"""),3987.0)</f>
        <v>3987</v>
      </c>
      <c r="B3989" s="87" t="str">
        <f>IFERROR(__xludf.DUMMYFUNCTION("""COMPUTED_VALUE"""),"Nhãn")</f>
        <v>Nhãn</v>
      </c>
      <c r="C3989" s="87" t="str">
        <f>IFERROR(__xludf.DUMMYFUNCTION("""COMPUTED_VALUE"""),"NHG3207")</f>
        <v>NHG3207</v>
      </c>
      <c r="D3989" s="87" t="str">
        <f>IFERROR(__xludf.DUMMYFUNCTION("""COMPUTED_VALUE"""),"[Nhãn] GC - IV - 3207 - CTY ASAHI NHẬT BẢN - AMINO ĐẠM CÁ (Gel nâu đen) - 500ml - 40")</f>
        <v>[Nhãn] GC - IV - 3207 - CTY ASAHI NHẬT BẢN - AMINO ĐẠM CÁ (Gel nâu đen) - 500ml - 40</v>
      </c>
      <c r="E3989" s="87" t="str">
        <f>IFERROR(__xludf.DUMMYFUNCTION("""COMPUTED_VALUE"""),"Vi lượng Quantity New")</f>
        <v>Vi lượng Quantity New</v>
      </c>
      <c r="F3989" s="87" t="str">
        <f>IFERROR(__xludf.DUMMYFUNCTION("""COMPUTED_VALUE"""),"HH3207")</f>
        <v>HH3207</v>
      </c>
      <c r="G3989" s="87" t="str">
        <f>IFERROR(__xludf.DUMMYFUNCTION("""COMPUTED_VALUE"""),"GC - IV - 3207 - CTY ASAHI NHẬT BẢN - AMINO ĐẠM CÁ (Gel nâu đen) - 500ml - 40")</f>
        <v>GC - IV - 3207 - CTY ASAHI NHẬT BẢN - AMINO ĐẠM CÁ (Gel nâu đen) - 500ml - 40</v>
      </c>
    </row>
    <row r="3990">
      <c r="A3990" s="86">
        <f>IFERROR(__xludf.DUMMYFUNCTION("""COMPUTED_VALUE"""),3988.0)</f>
        <v>3988</v>
      </c>
      <c r="B3990" s="87" t="str">
        <f>IFERROR(__xludf.DUMMYFUNCTION("""COMPUTED_VALUE"""),"Nhãn")</f>
        <v>Nhãn</v>
      </c>
      <c r="C3990" s="87" t="str">
        <f>IFERROR(__xludf.DUMMYFUNCTION("""COMPUTED_VALUE"""),"NHG3208")</f>
        <v>NHG3208</v>
      </c>
      <c r="D3990" s="87" t="str">
        <f>IFERROR(__xludf.DUMMYFUNCTION("""COMPUTED_VALUE"""),"[Nhãn] GC - IV - 3208 - CTY ASAHI NHẬT BẢN - AMINO HUMIC (Gel nâu đen) - 500ml - 40")</f>
        <v>[Nhãn] GC - IV - 3208 - CTY ASAHI NHẬT BẢN - AMINO HUMIC (Gel nâu đen) - 500ml - 40</v>
      </c>
      <c r="E3990" s="87" t="str">
        <f>IFERROR(__xludf.DUMMYFUNCTION("""COMPUTED_VALUE"""),"Vi lượng Quantity New")</f>
        <v>Vi lượng Quantity New</v>
      </c>
      <c r="F3990" s="87" t="str">
        <f>IFERROR(__xludf.DUMMYFUNCTION("""COMPUTED_VALUE"""),"HH3208")</f>
        <v>HH3208</v>
      </c>
      <c r="G3990" s="87" t="str">
        <f>IFERROR(__xludf.DUMMYFUNCTION("""COMPUTED_VALUE"""),"GC - IV - 3208 - CTY ASAHI NHẬT BẢN - AMINO HUMIC (Gel nâu đen) - 500ml - 40")</f>
        <v>GC - IV - 3208 - CTY ASAHI NHẬT BẢN - AMINO HUMIC (Gel nâu đen) - 500ml - 40</v>
      </c>
    </row>
    <row r="3991">
      <c r="A3991" s="86">
        <f>IFERROR(__xludf.DUMMYFUNCTION("""COMPUTED_VALUE"""),3989.0)</f>
        <v>3989</v>
      </c>
      <c r="B3991" s="87" t="str">
        <f>IFERROR(__xludf.DUMMYFUNCTION("""COMPUTED_VALUE"""),"Nhãn")</f>
        <v>Nhãn</v>
      </c>
      <c r="C3991" s="87" t="str">
        <f>IFERROR(__xludf.DUMMYFUNCTION("""COMPUTED_VALUE"""),"NHG3209")</f>
        <v>NHG3209</v>
      </c>
      <c r="D3991" s="87" t="str">
        <f>IFERROR(__xludf.DUMMYFUNCTION("""COMPUTED_VALUE"""),"[Nhãn] GC - IV - 3209 - CTY ASAHI NHẬT BẢN - AMINO RONG BIỂN (Gel nâu đen) - 500ml - 40")</f>
        <v>[Nhãn] GC - IV - 3209 - CTY ASAHI NHẬT BẢN - AMINO RONG BIỂN (Gel nâu đen) - 500ml - 40</v>
      </c>
      <c r="E3991" s="87" t="str">
        <f>IFERROR(__xludf.DUMMYFUNCTION("""COMPUTED_VALUE"""),"Vi lượng Quantity New")</f>
        <v>Vi lượng Quantity New</v>
      </c>
      <c r="F3991" s="87" t="str">
        <f>IFERROR(__xludf.DUMMYFUNCTION("""COMPUTED_VALUE"""),"HH3209")</f>
        <v>HH3209</v>
      </c>
      <c r="G3991" s="87" t="str">
        <f>IFERROR(__xludf.DUMMYFUNCTION("""COMPUTED_VALUE"""),"GC - IV - 3209 - CTY ASAHI NHẬT BẢN - AMINO RONG BIỂN (Gel nâu đen) - 500ml - 40")</f>
        <v>GC - IV - 3209 - CTY ASAHI NHẬT BẢN - AMINO RONG BIỂN (Gel nâu đen) - 500ml - 40</v>
      </c>
    </row>
    <row r="3992">
      <c r="A3992" s="86">
        <f>IFERROR(__xludf.DUMMYFUNCTION("""COMPUTED_VALUE"""),3990.0)</f>
        <v>3990</v>
      </c>
      <c r="B3992" s="87" t="str">
        <f>IFERROR(__xludf.DUMMYFUNCTION("""COMPUTED_VALUE"""),"Nhãn")</f>
        <v>Nhãn</v>
      </c>
      <c r="C3992" s="87" t="str">
        <f>IFERROR(__xludf.DUMMYFUNCTION("""COMPUTED_VALUE"""),"NHG3210")</f>
        <v>NHG3210</v>
      </c>
      <c r="D3992" s="87" t="str">
        <f>IFERROR(__xludf.DUMMYFUNCTION("""COMPUTED_VALUE"""),"[Nhãn] GC - IV - 3210 - CTY ASAHI NHẬT BẢN - ROOTS SIÊU KÍCH RỄ (Gel nâu đen) - 500ml - 40")</f>
        <v>[Nhãn] GC - IV - 3210 - CTY ASAHI NHẬT BẢN - ROOTS SIÊU KÍCH RỄ (Gel nâu đen) - 500ml - 40</v>
      </c>
      <c r="E3992" s="87" t="str">
        <f>IFERROR(__xludf.DUMMYFUNCTION("""COMPUTED_VALUE"""),"Vi lượng Quantity New")</f>
        <v>Vi lượng Quantity New</v>
      </c>
      <c r="F3992" s="87" t="str">
        <f>IFERROR(__xludf.DUMMYFUNCTION("""COMPUTED_VALUE"""),"HH3210")</f>
        <v>HH3210</v>
      </c>
      <c r="G3992" s="87" t="str">
        <f>IFERROR(__xludf.DUMMYFUNCTION("""COMPUTED_VALUE"""),"GC - IV - 3210 - CTY ASAHI NHẬT BẢN - ROOTS SIÊU KÍCH RỄ (Gel nâu đen) - 500ml - 40")</f>
        <v>GC - IV - 3210 - CTY ASAHI NHẬT BẢN - ROOTS SIÊU KÍCH RỄ (Gel nâu đen) - 500ml - 40</v>
      </c>
    </row>
    <row r="3993">
      <c r="A3993" s="86">
        <f>IFERROR(__xludf.DUMMYFUNCTION("""COMPUTED_VALUE"""),3991.0)</f>
        <v>3991</v>
      </c>
      <c r="B3993" s="87" t="str">
        <f>IFERROR(__xludf.DUMMYFUNCTION("""COMPUTED_VALUE"""),"Nhãn")</f>
        <v>Nhãn</v>
      </c>
      <c r="C3993" s="87" t="str">
        <f>IFERROR(__xludf.DUMMYFUNCTION("""COMPUTED_VALUE"""),"NHG3211")</f>
        <v>NHG3211</v>
      </c>
      <c r="D3993" s="87" t="str">
        <f>IFERROR(__xludf.DUMMYFUNCTION("""COMPUTED_VALUE"""),"[Nhãn] GC - IV - 3211 - CTY ASAHI NHẬT BẢN - LÂN HỮU CƠ (Gel nâu đen) - 500ml - 40")</f>
        <v>[Nhãn] GC - IV - 3211 - CTY ASAHI NHẬT BẢN - LÂN HỮU CƠ (Gel nâu đen) - 500ml - 40</v>
      </c>
      <c r="E3993" s="87" t="str">
        <f>IFERROR(__xludf.DUMMYFUNCTION("""COMPUTED_VALUE"""),"Vi lượng Quantity New")</f>
        <v>Vi lượng Quantity New</v>
      </c>
      <c r="F3993" s="87" t="str">
        <f>IFERROR(__xludf.DUMMYFUNCTION("""COMPUTED_VALUE"""),"HH3211")</f>
        <v>HH3211</v>
      </c>
      <c r="G3993" s="87" t="str">
        <f>IFERROR(__xludf.DUMMYFUNCTION("""COMPUTED_VALUE"""),"GC - IV - 3211 - CTY ASAHI NHẬT BẢN - LÂN HỮU CƠ (Gel nâu đen) - 500ml - 40")</f>
        <v>GC - IV - 3211 - CTY ASAHI NHẬT BẢN - LÂN HỮU CƠ (Gel nâu đen) - 500ml - 40</v>
      </c>
    </row>
    <row r="3994">
      <c r="A3994" s="86">
        <f>IFERROR(__xludf.DUMMYFUNCTION("""COMPUTED_VALUE"""),3992.0)</f>
        <v>3992</v>
      </c>
      <c r="B3994" s="87" t="str">
        <f>IFERROR(__xludf.DUMMYFUNCTION("""COMPUTED_VALUE"""),"Nhãn")</f>
        <v>Nhãn</v>
      </c>
      <c r="C3994" s="87" t="str">
        <f>IFERROR(__xludf.DUMMYFUNCTION("""COMPUTED_VALUE"""),"NHG3212")</f>
        <v>NHG3212</v>
      </c>
      <c r="D3994" s="87" t="str">
        <f>IFERROR(__xludf.DUMMYFUNCTION("""COMPUTED_VALUE"""),"[Nhãn] GC - IV - 3212 - CTY ASAHI NHẬT BẢN - SIÊU BO HỮU CƠ (Gel vàng cam) - 500ml - 40")</f>
        <v>[Nhãn] GC - IV - 3212 - CTY ASAHI NHẬT BẢN - SIÊU BO HỮU CƠ (Gel vàng cam) - 500ml - 40</v>
      </c>
      <c r="E3994" s="87" t="str">
        <f>IFERROR(__xludf.DUMMYFUNCTION("""COMPUTED_VALUE"""),"Vi lượng Run Fast")</f>
        <v>Vi lượng Run Fast</v>
      </c>
      <c r="F3994" s="87" t="str">
        <f>IFERROR(__xludf.DUMMYFUNCTION("""COMPUTED_VALUE"""),"HH3212")</f>
        <v>HH3212</v>
      </c>
      <c r="G3994" s="87" t="str">
        <f>IFERROR(__xludf.DUMMYFUNCTION("""COMPUTED_VALUE"""),"GC - IV - 3212 - CTY ASAHI NHẬT BẢN - SIÊU BO HỮU CƠ (Gel vàng cam) - 500ml - 40")</f>
        <v>GC - IV - 3212 - CTY ASAHI NHẬT BẢN - SIÊU BO HỮU CƠ (Gel vàng cam) - 500ml - 40</v>
      </c>
    </row>
    <row r="3995">
      <c r="A3995" s="86">
        <f>IFERROR(__xludf.DUMMYFUNCTION("""COMPUTED_VALUE"""),3993.0)</f>
        <v>3993</v>
      </c>
      <c r="B3995" s="87" t="str">
        <f>IFERROR(__xludf.DUMMYFUNCTION("""COMPUTED_VALUE"""),"Nhãn")</f>
        <v>Nhãn</v>
      </c>
      <c r="C3995" s="87" t="str">
        <f>IFERROR(__xludf.DUMMYFUNCTION("""COMPUTED_VALUE"""),"NHG3213")</f>
        <v>NHG3213</v>
      </c>
      <c r="D3995" s="87" t="str">
        <f>IFERROR(__xludf.DUMMYFUNCTION("""COMPUTED_VALUE"""),"[Nhãn] GC - IV - 3213 - CTY ASAHI NHẬT BẢN - CANXIBO HỮU CƠ (Gel vàng cam) - 500ml - 40")</f>
        <v>[Nhãn] GC - IV - 3213 - CTY ASAHI NHẬT BẢN - CANXIBO HỮU CƠ (Gel vàng cam) - 500ml - 40</v>
      </c>
      <c r="E3995" s="87" t="str">
        <f>IFERROR(__xludf.DUMMYFUNCTION("""COMPUTED_VALUE"""),"Vi lượng Run Fast")</f>
        <v>Vi lượng Run Fast</v>
      </c>
      <c r="F3995" s="87" t="str">
        <f>IFERROR(__xludf.DUMMYFUNCTION("""COMPUTED_VALUE"""),"HH3213")</f>
        <v>HH3213</v>
      </c>
      <c r="G3995" s="87" t="str">
        <f>IFERROR(__xludf.DUMMYFUNCTION("""COMPUTED_VALUE"""),"GC - IV - 3213 - CTY ASAHI NHẬT BẢN - CANXIBO HỮU CƠ (Gel vàng cam) - 500ml - 40")</f>
        <v>GC - IV - 3213 - CTY ASAHI NHẬT BẢN - CANXIBO HỮU CƠ (Gel vàng cam) - 500ml - 40</v>
      </c>
    </row>
    <row r="3996">
      <c r="A3996" s="86">
        <f>IFERROR(__xludf.DUMMYFUNCTION("""COMPUTED_VALUE"""),3994.0)</f>
        <v>3994</v>
      </c>
      <c r="B3996" s="87" t="str">
        <f>IFERROR(__xludf.DUMMYFUNCTION("""COMPUTED_VALUE"""),"Nhãn")</f>
        <v>Nhãn</v>
      </c>
      <c r="C3996" s="87" t="str">
        <f>IFERROR(__xludf.DUMMYFUNCTION("""COMPUTED_VALUE"""),"NHG3214")</f>
        <v>NHG3214</v>
      </c>
      <c r="D3996" s="87" t="str">
        <f>IFERROR(__xludf.DUMMYFUNCTION("""COMPUTED_VALUE"""),"[Nhãn] GC - IV - 3214 - CTY ASAHI NHẬT BẢN - KALIBO HỮU CƠ (Gel vàng cam) - 500ml - 40")</f>
        <v>[Nhãn] GC - IV - 3214 - CTY ASAHI NHẬT BẢN - KALIBO HỮU CƠ (Gel vàng cam) - 500ml - 40</v>
      </c>
      <c r="E3996" s="87" t="str">
        <f>IFERROR(__xludf.DUMMYFUNCTION("""COMPUTED_VALUE"""),"Vi lượng Run Fast")</f>
        <v>Vi lượng Run Fast</v>
      </c>
      <c r="F3996" s="87" t="str">
        <f>IFERROR(__xludf.DUMMYFUNCTION("""COMPUTED_VALUE"""),"HH3214")</f>
        <v>HH3214</v>
      </c>
      <c r="G3996" s="87" t="str">
        <f>IFERROR(__xludf.DUMMYFUNCTION("""COMPUTED_VALUE"""),"GC - IV - 3214 - CTY ASAHI NHẬT BẢN - KALIBO HỮU CƠ (Gel vàng cam) - 500ml - 40")</f>
        <v>GC - IV - 3214 - CTY ASAHI NHẬT BẢN - KALIBO HỮU CƠ (Gel vàng cam) - 500ml - 40</v>
      </c>
    </row>
    <row r="3997">
      <c r="A3997" s="86">
        <f>IFERROR(__xludf.DUMMYFUNCTION("""COMPUTED_VALUE"""),3995.0)</f>
        <v>3995</v>
      </c>
      <c r="B3997" s="87" t="str">
        <f>IFERROR(__xludf.DUMMYFUNCTION("""COMPUTED_VALUE"""),"Nhãn")</f>
        <v>Nhãn</v>
      </c>
      <c r="C3997" s="87" t="str">
        <f>IFERROR(__xludf.DUMMYFUNCTION("""COMPUTED_VALUE"""),"NHG3215")</f>
        <v>NHG3215</v>
      </c>
      <c r="D3997" s="87" t="str">
        <f>IFERROR(__xludf.DUMMYFUNCTION("""COMPUTED_VALUE"""),"[Nhãn] GC - IV - 3215 - THÀNH CÔNG AGRI - BIG MAX (Nước nâu đen) - 500ml - 30")</f>
        <v>[Nhãn] GC - IV - 3215 - THÀNH CÔNG AGRI - BIG MAX (Nước nâu đen) - 500ml - 30</v>
      </c>
      <c r="E3997" s="87" t="str">
        <f>IFERROR(__xludf.DUMMYFUNCTION("""COMPUTED_VALUE"""),"Hữu cơ KATO NUTRIMAX")</f>
        <v>Hữu cơ KATO NUTRIMAX</v>
      </c>
      <c r="F3997" s="87" t="str">
        <f>IFERROR(__xludf.DUMMYFUNCTION("""COMPUTED_VALUE"""),"HH3215")</f>
        <v>HH3215</v>
      </c>
      <c r="G3997" s="87" t="str">
        <f>IFERROR(__xludf.DUMMYFUNCTION("""COMPUTED_VALUE"""),"GC - IV - 3215 - THÀNH CÔNG AGRI - BIG MAX (Nước nâu đen) - 500ml - 30")</f>
        <v>GC - IV - 3215 - THÀNH CÔNG AGRI - BIG MAX (Nước nâu đen) - 500ml - 30</v>
      </c>
    </row>
    <row r="3998">
      <c r="A3998" s="86">
        <f>IFERROR(__xludf.DUMMYFUNCTION("""COMPUTED_VALUE"""),3996.0)</f>
        <v>3996</v>
      </c>
      <c r="B3998" s="87" t="str">
        <f>IFERROR(__xludf.DUMMYFUNCTION("""COMPUTED_VALUE"""),"Nhãn")</f>
        <v>Nhãn</v>
      </c>
      <c r="C3998" s="87" t="str">
        <f>IFERROR(__xludf.DUMMYFUNCTION("""COMPUTED_VALUE"""),"NHD3216")</f>
        <v>NHD3216</v>
      </c>
      <c r="D3998" s="87" t="str">
        <f>IFERROR(__xludf.DUMMYFUNCTION("""COMPUTED_VALUE"""),"[Nhãn] GC - IV - 3216 - CTY NGỌC BẢO LONG AGRI - DIỆT SÂU (nước nâu đen) - 450ml - 40")</f>
        <v>[Nhãn] GC - IV - 3216 - CTY NGỌC BẢO LONG AGRI - DIỆT SÂU (nước nâu đen) - 450ml - 40</v>
      </c>
      <c r="E3998" s="87" t="str">
        <f>IFERROR(__xludf.DUMMYFUNCTION("""COMPUTED_VALUE"""),"HAIHAMEC 3.6EC")</f>
        <v>HAIHAMEC 3.6EC</v>
      </c>
      <c r="F3998" s="87" t="str">
        <f>IFERROR(__xludf.DUMMYFUNCTION("""COMPUTED_VALUE"""),"HH3216")</f>
        <v>HH3216</v>
      </c>
      <c r="G3998" s="87" t="str">
        <f>IFERROR(__xludf.DUMMYFUNCTION("""COMPUTED_VALUE"""),"GC - IV - 3216 - CTY NGỌC BẢO LONG AGRI - DIỆT SÂU (nước nâu đen) - 450ml - 40")</f>
        <v>GC - IV - 3216 - CTY NGỌC BẢO LONG AGRI - DIỆT SÂU (nước nâu đen) - 450ml - 40</v>
      </c>
    </row>
    <row r="3999">
      <c r="A3999" s="86">
        <f>IFERROR(__xludf.DUMMYFUNCTION("""COMPUTED_VALUE"""),3997.0)</f>
        <v>3997</v>
      </c>
      <c r="B3999" s="87" t="str">
        <f>IFERROR(__xludf.DUMMYFUNCTION("""COMPUTED_VALUE"""),"Nhãn")</f>
        <v>Nhãn</v>
      </c>
      <c r="C3999" s="87" t="str">
        <f>IFERROR(__xludf.DUMMYFUNCTION("""COMPUTED_VALUE"""),"NHD3216")</f>
        <v>NHD3216</v>
      </c>
      <c r="D3999" s="87" t="str">
        <f>IFERROR(__xludf.DUMMYFUNCTION("""COMPUTED_VALUE"""),"[Nhãn] GC - IV - 3216 - CTY NGỌC BẢO LONG AGRI - DIỆT SÂU (nước nâu đen) - 450ml - 40")</f>
        <v>[Nhãn] GC - IV - 3216 - CTY NGỌC BẢO LONG AGRI - DIỆT SÂU (nước nâu đen) - 450ml - 40</v>
      </c>
      <c r="E3999" s="87" t="str">
        <f>IFERROR(__xludf.DUMMYFUNCTION("""COMPUTED_VALUE"""),"HAIHAMEC 3.6EC")</f>
        <v>HAIHAMEC 3.6EC</v>
      </c>
      <c r="F3999" s="87" t="str">
        <f>IFERROR(__xludf.DUMMYFUNCTION("""COMPUTED_VALUE"""),"HH3216")</f>
        <v>HH3216</v>
      </c>
      <c r="G3999" s="87" t="str">
        <f>IFERROR(__xludf.DUMMYFUNCTION("""COMPUTED_VALUE"""),"GC - IV - 3216 - CTY NGỌC BẢO LONG AGRI - DIỆT SÂU (nước nâu đen) - 450ml - 40")</f>
        <v>GC - IV - 3216 - CTY NGỌC BẢO LONG AGRI - DIỆT SÂU (nước nâu đen) - 450ml - 40</v>
      </c>
    </row>
    <row r="4000">
      <c r="A4000" s="86">
        <f>IFERROR(__xludf.DUMMYFUNCTION("""COMPUTED_VALUE"""),3998.0)</f>
        <v>3998</v>
      </c>
      <c r="B4000" s="87" t="str">
        <f>IFERROR(__xludf.DUMMYFUNCTION("""COMPUTED_VALUE"""),"Nhãn thùng")</f>
        <v>Nhãn thùng</v>
      </c>
      <c r="C4000" s="87" t="str">
        <f>IFERROR(__xludf.DUMMYFUNCTION("""COMPUTED_VALUE"""),"NDT3216")</f>
        <v>NDT3216</v>
      </c>
      <c r="D4000" s="87" t="str">
        <f>IFERROR(__xludf.DUMMYFUNCTION("""COMPUTED_VALUE"""),"[Nhãn thùng] GC - IV - 3216 - CTY NGỌC BẢO LONG AGRI - DIỆT SÂU (nước nâu đen) - 450ml - 40")</f>
        <v>[Nhãn thùng] GC - IV - 3216 - CTY NGỌC BẢO LONG AGRI - DIỆT SÂU (nước nâu đen) - 450ml - 40</v>
      </c>
      <c r="E4000" s="87" t="str">
        <f>IFERROR(__xludf.DUMMYFUNCTION("""COMPUTED_VALUE"""),"HAIHAMEC 3.6EC")</f>
        <v>HAIHAMEC 3.6EC</v>
      </c>
      <c r="F4000" s="87" t="str">
        <f>IFERROR(__xludf.DUMMYFUNCTION("""COMPUTED_VALUE"""),"HH3216")</f>
        <v>HH3216</v>
      </c>
      <c r="G4000" s="87" t="str">
        <f>IFERROR(__xludf.DUMMYFUNCTION("""COMPUTED_VALUE"""),"GC - IV - 3216 - CTY NGỌC BẢO LONG AGRI - DIỆT SÂU (nước nâu đen) - 450ml - 40")</f>
        <v>GC - IV - 3216 - CTY NGỌC BẢO LONG AGRI - DIỆT SÂU (nước nâu đen) - 450ml - 40</v>
      </c>
    </row>
    <row r="4001">
      <c r="A4001" s="86">
        <f>IFERROR(__xludf.DUMMYFUNCTION("""COMPUTED_VALUE"""),3999.0)</f>
        <v>3999</v>
      </c>
      <c r="B4001" s="87" t="str">
        <f>IFERROR(__xludf.DUMMYFUNCTION("""COMPUTED_VALUE"""),"Nhãn")</f>
        <v>Nhãn</v>
      </c>
      <c r="C4001" s="87" t="str">
        <f>IFERROR(__xludf.DUMMYFUNCTION("""COMPUTED_VALUE"""),"NHG3217")</f>
        <v>NHG3217</v>
      </c>
      <c r="D4001" s="87" t="str">
        <f>IFERROR(__xludf.DUMMYFUNCTION("""COMPUTED_VALUE"""),"[Nhãn] IDA Global - I - 3217 - CANXI BO LIQUID (LÚA) (Nước trắng sữa) - 500ml - 40")</f>
        <v>[Nhãn] IDA Global - I - 3217 - CANXI BO LIQUID (LÚA) (Nước trắng sữa) - 500ml - 40</v>
      </c>
      <c r="E4001" s="87" t="str">
        <f>IFERROR(__xludf.DUMMYFUNCTION("""COMPUTED_VALUE"""),"Vi lượng AGAMA-CANXI BO")</f>
        <v>Vi lượng AGAMA-CANXI BO</v>
      </c>
      <c r="F4001" s="87" t="str">
        <f>IFERROR(__xludf.DUMMYFUNCTION("""COMPUTED_VALUE"""),"HH3217")</f>
        <v>HH3217</v>
      </c>
      <c r="G4001" s="87" t="str">
        <f>IFERROR(__xludf.DUMMYFUNCTION("""COMPUTED_VALUE"""),"IDA Global - I - 3217 - CANXI BO LIQUID (LÚA) (Nước trắng sữa) - 500ml - 40")</f>
        <v>IDA Global - I - 3217 - CANXI BO LIQUID (LÚA) (Nước trắng sữa) - 500ml - 40</v>
      </c>
    </row>
    <row r="4002">
      <c r="A4002" s="86">
        <f>IFERROR(__xludf.DUMMYFUNCTION("""COMPUTED_VALUE"""),4000.0)</f>
        <v>4000</v>
      </c>
      <c r="B4002" s="87" t="str">
        <f>IFERROR(__xludf.DUMMYFUNCTION("""COMPUTED_VALUE"""),"Nhãn")</f>
        <v>Nhãn</v>
      </c>
      <c r="C4002" s="87" t="str">
        <f>IFERROR(__xludf.DUMMYFUNCTION("""COMPUTED_VALUE"""),"NHG3218")</f>
        <v>NHG3218</v>
      </c>
      <c r="D4002" s="87" t="str">
        <f>IFERROR(__xludf.DUMMYFUNCTION("""COMPUTED_VALUE"""),"[Nhãn] GC - IV - 3218 - KIM NGỌC - AGAMA-CANXI BO (Nước trắng sữa) - 500ml - 40")</f>
        <v>[Nhãn] GC - IV - 3218 - KIM NGỌC - AGAMA-CANXI BO (Nước trắng sữa) - 500ml - 40</v>
      </c>
      <c r="E4002" s="87" t="str">
        <f>IFERROR(__xludf.DUMMYFUNCTION("""COMPUTED_VALUE"""),"Vi lượng AGAMA-CANXI BO")</f>
        <v>Vi lượng AGAMA-CANXI BO</v>
      </c>
      <c r="F4002" s="87" t="str">
        <f>IFERROR(__xludf.DUMMYFUNCTION("""COMPUTED_VALUE"""),"HH3218")</f>
        <v>HH3218</v>
      </c>
      <c r="G4002" s="87" t="str">
        <f>IFERROR(__xludf.DUMMYFUNCTION("""COMPUTED_VALUE"""),"GC - IV - 3218 - KIM NGỌC - AGAMA-CANXI BO (Nước trắng sữa) - 500ml - 40")</f>
        <v>GC - IV - 3218 - KIM NGỌC - AGAMA-CANXI BO (Nước trắng sữa) - 500ml - 40</v>
      </c>
    </row>
    <row r="4003">
      <c r="A4003" s="86">
        <f>IFERROR(__xludf.DUMMYFUNCTION("""COMPUTED_VALUE"""),4001.0)</f>
        <v>4001</v>
      </c>
      <c r="B4003" s="87" t="str">
        <f>IFERROR(__xludf.DUMMYFUNCTION("""COMPUTED_VALUE"""),"Nhãn")</f>
        <v>Nhãn</v>
      </c>
      <c r="C4003" s="87" t="str">
        <f>IFERROR(__xludf.DUMMYFUNCTION("""COMPUTED_VALUE"""),"NHG3219")</f>
        <v>NHG3219</v>
      </c>
      <c r="D4003" s="87" t="str">
        <f>IFERROR(__xludf.DUMMYFUNCTION("""COMPUTED_VALUE"""),"[Nhãn] GC - IV - 3219 - KIM NGỌC - AGAMA-CANXI BO (Nước trắng sữa) - 1L - 20")</f>
        <v>[Nhãn] GC - IV - 3219 - KIM NGỌC - AGAMA-CANXI BO (Nước trắng sữa) - 1L - 20</v>
      </c>
      <c r="E4003" s="87" t="str">
        <f>IFERROR(__xludf.DUMMYFUNCTION("""COMPUTED_VALUE"""),"Vi lượng AGAMA-CANXI BO")</f>
        <v>Vi lượng AGAMA-CANXI BO</v>
      </c>
      <c r="F4003" s="87" t="str">
        <f>IFERROR(__xludf.DUMMYFUNCTION("""COMPUTED_VALUE"""),"HH3219")</f>
        <v>HH3219</v>
      </c>
      <c r="G4003" s="87" t="str">
        <f>IFERROR(__xludf.DUMMYFUNCTION("""COMPUTED_VALUE"""),"GC - IV - 3219 - KIM NGỌC - AGAMA-CANXI BO (Nước trắng sữa) - 1L - 20")</f>
        <v>GC - IV - 3219 - KIM NGỌC - AGAMA-CANXI BO (Nước trắng sữa) - 1L - 20</v>
      </c>
    </row>
    <row r="4004">
      <c r="A4004" s="86">
        <f>IFERROR(__xludf.DUMMYFUNCTION("""COMPUTED_VALUE"""),4002.0)</f>
        <v>4002</v>
      </c>
      <c r="B4004" s="87" t="str">
        <f>IFERROR(__xludf.DUMMYFUNCTION("""COMPUTED_VALUE"""),"Nhãn")</f>
        <v>Nhãn</v>
      </c>
      <c r="C4004" s="87" t="str">
        <f>IFERROR(__xludf.DUMMYFUNCTION("""COMPUTED_VALUE"""),"NHG3220")</f>
        <v>NHG3220</v>
      </c>
      <c r="D4004" s="87" t="str">
        <f>IFERROR(__xludf.DUMMYFUNCTION("""COMPUTED_VALUE"""),"[Nhãn] GC - IV - 3220 - NHP GROUP - NHỆN ĐỎ (Nước tím) - 240ml - 40")</f>
        <v>[Nhãn] GC - IV - 3220 - NHP GROUP - NHỆN ĐỎ (Nước tím) - 240ml - 40</v>
      </c>
      <c r="E4004" s="87" t="str">
        <f>IFERROR(__xludf.DUMMYFUNCTION("""COMPUTED_VALUE"""),"Chitin 3.6EC")</f>
        <v>Chitin 3.6EC</v>
      </c>
      <c r="F4004" s="87" t="str">
        <f>IFERROR(__xludf.DUMMYFUNCTION("""COMPUTED_VALUE"""),"HH3220")</f>
        <v>HH3220</v>
      </c>
      <c r="G4004" s="87" t="str">
        <f>IFERROR(__xludf.DUMMYFUNCTION("""COMPUTED_VALUE"""),"GC - IV - 3220 - NHP GROUP - NHỆN ĐỎ (Nước tím) - 240ml - 40")</f>
        <v>GC - IV - 3220 - NHP GROUP - NHỆN ĐỎ (Nước tím) - 240ml - 40</v>
      </c>
    </row>
    <row r="4005">
      <c r="A4005" s="86">
        <f>IFERROR(__xludf.DUMMYFUNCTION("""COMPUTED_VALUE"""),4003.0)</f>
        <v>4003</v>
      </c>
      <c r="B4005" s="87" t="str">
        <f>IFERROR(__xludf.DUMMYFUNCTION("""COMPUTED_VALUE"""),"Nhãn")</f>
        <v>Nhãn</v>
      </c>
      <c r="C4005" s="87" t="str">
        <f>IFERROR(__xludf.DUMMYFUNCTION("""COMPUTED_VALUE"""),"NHG3221")</f>
        <v>NHG3221</v>
      </c>
      <c r="D4005" s="87" t="str">
        <f>IFERROR(__xludf.DUMMYFUNCTION("""COMPUTED_VALUE"""),"[Nhãn] GC - IV - 3221 - CTY THIÊN DI - THIDI GREEN (Nước trắng sữa) - 500ml - 40")</f>
        <v>[Nhãn] GC - IV - 3221 - CTY THIÊN DI - THIDI GREEN (Nước trắng sữa) - 500ml - 40</v>
      </c>
      <c r="E4005" s="87" t="str">
        <f>IFERROR(__xludf.DUMMYFUNCTION("""COMPUTED_VALUE"""),"Vi lượng MICKEY")</f>
        <v>Vi lượng MICKEY</v>
      </c>
      <c r="F4005" s="87" t="str">
        <f>IFERROR(__xludf.DUMMYFUNCTION("""COMPUTED_VALUE"""),"HH3221")</f>
        <v>HH3221</v>
      </c>
      <c r="G4005" s="87" t="str">
        <f>IFERROR(__xludf.DUMMYFUNCTION("""COMPUTED_VALUE"""),"GC - IV - 3221 - CTY THIÊN DI - THIDI GREEN (Nước trắng sữa) - 500ml - 40")</f>
        <v>GC - IV - 3221 - CTY THIÊN DI - THIDI GREEN (Nước trắng sữa) - 500ml - 40</v>
      </c>
    </row>
    <row r="4006">
      <c r="A4006" s="86">
        <f>IFERROR(__xludf.DUMMYFUNCTION("""COMPUTED_VALUE"""),4004.0)</f>
        <v>4004</v>
      </c>
      <c r="B4006" s="87" t="str">
        <f>IFERROR(__xludf.DUMMYFUNCTION("""COMPUTED_VALUE"""),"Nhãn")</f>
        <v>Nhãn</v>
      </c>
      <c r="C4006" s="87" t="str">
        <f>IFERROR(__xludf.DUMMYFUNCTION("""COMPUTED_VALUE"""),"NHD3222")</f>
        <v>NHD3222</v>
      </c>
      <c r="D4006" s="87" t="str">
        <f>IFERROR(__xludf.DUMMYFUNCTION("""COMPUTED_VALUE"""),"[Nhãn] GC - IV - 3222 - CTY DONA VINA - MENTUS PLUS+ (Gel xanh dương) - 500ml - 40")</f>
        <v>[Nhãn] GC - IV - 3222 - CTY DONA VINA - MENTUS PLUS+ (Gel xanh dương) - 500ml - 40</v>
      </c>
      <c r="E4006" s="87" t="str">
        <f>IFERROR(__xludf.DUMMYFUNCTION("""COMPUTED_VALUE"""),"Vi lượng Agama - Cu")</f>
        <v>Vi lượng Agama - Cu</v>
      </c>
      <c r="F4006" s="87" t="str">
        <f>IFERROR(__xludf.DUMMYFUNCTION("""COMPUTED_VALUE"""),"HH3222")</f>
        <v>HH3222</v>
      </c>
      <c r="G4006" s="87" t="str">
        <f>IFERROR(__xludf.DUMMYFUNCTION("""COMPUTED_VALUE"""),"GC - IV - 3222 - CTY DONA VINA - MENTUS PLUS+ (Gel xanh dương) - 500ml - 40")</f>
        <v>GC - IV - 3222 - CTY DONA VINA - MENTUS PLUS+ (Gel xanh dương) - 500ml - 40</v>
      </c>
    </row>
    <row r="4007">
      <c r="A4007" s="86">
        <f>IFERROR(__xludf.DUMMYFUNCTION("""COMPUTED_VALUE"""),4005.0)</f>
        <v>4005</v>
      </c>
      <c r="B4007" s="87" t="str">
        <f>IFERROR(__xludf.DUMMYFUNCTION("""COMPUTED_VALUE"""),"Nhãn thùng")</f>
        <v>Nhãn thùng</v>
      </c>
      <c r="C4007" s="87" t="str">
        <f>IFERROR(__xludf.DUMMYFUNCTION("""COMPUTED_VALUE"""),"NDT3222")</f>
        <v>NDT3222</v>
      </c>
      <c r="D4007" s="87" t="str">
        <f>IFERROR(__xludf.DUMMYFUNCTION("""COMPUTED_VALUE"""),"[Nhãn thùng] GC - IV - 3222 - CTY DONA VINA - MENTUS PLUS+ (Gel xanh dương) - 500ml - 40")</f>
        <v>[Nhãn thùng] GC - IV - 3222 - CTY DONA VINA - MENTUS PLUS+ (Gel xanh dương) - 500ml - 40</v>
      </c>
      <c r="E4007" s="87" t="str">
        <f>IFERROR(__xludf.DUMMYFUNCTION("""COMPUTED_VALUE"""),"Vi lượng Agama - Cu")</f>
        <v>Vi lượng Agama - Cu</v>
      </c>
      <c r="F4007" s="87" t="str">
        <f>IFERROR(__xludf.DUMMYFUNCTION("""COMPUTED_VALUE"""),"HH3222")</f>
        <v>HH3222</v>
      </c>
      <c r="G4007" s="87" t="str">
        <f>IFERROR(__xludf.DUMMYFUNCTION("""COMPUTED_VALUE"""),"GC - IV - 3222 - CTY DONA VINA - MENTUS PLUS+ (Gel xanh dương) - 500ml - 40")</f>
        <v>GC - IV - 3222 - CTY DONA VINA - MENTUS PLUS+ (Gel xanh dương) - 500ml - 40</v>
      </c>
    </row>
    <row r="4008">
      <c r="A4008" s="86">
        <f>IFERROR(__xludf.DUMMYFUNCTION("""COMPUTED_VALUE"""),4006.0)</f>
        <v>4006</v>
      </c>
      <c r="B4008" s="87" t="str">
        <f>IFERROR(__xludf.DUMMYFUNCTION("""COMPUTED_VALUE"""),"Nhãn")</f>
        <v>Nhãn</v>
      </c>
      <c r="C4008" s="87" t="str">
        <f>IFERROR(__xludf.DUMMYFUNCTION("""COMPUTED_VALUE"""),"NHG3223")</f>
        <v>NHG3223</v>
      </c>
      <c r="D4008" s="87" t="str">
        <f>IFERROR(__xludf.DUMMYFUNCTION("""COMPUTED_VALUE"""),"[Nhãn]  GC - IV - 3223 - Cty Hóa Nông Shino - KALI SỮA (Nước trắng sữa) - 500ml - 30")</f>
        <v>[Nhãn]  GC - IV - 3223 - Cty Hóa Nông Shino - KALI SỮA (Nước trắng sữa) - 500ml - 30</v>
      </c>
      <c r="E4008" s="87" t="str">
        <f>IFERROR(__xludf.DUMMYFUNCTION("""COMPUTED_VALUE"""),"Hữu cơ SH Agro Organic Fertilizer 20")</f>
        <v>Hữu cơ SH Agro Organic Fertilizer 20</v>
      </c>
      <c r="F4008" s="87" t="str">
        <f>IFERROR(__xludf.DUMMYFUNCTION("""COMPUTED_VALUE"""),"HH3223")</f>
        <v>HH3223</v>
      </c>
      <c r="G4008" s="87" t="str">
        <f>IFERROR(__xludf.DUMMYFUNCTION("""COMPUTED_VALUE"""),"GC - IV - 3223 - Cty Hóa Nông Shino - KALI SỮA (Nước trắng sữa) - 500ml - 30")</f>
        <v>GC - IV - 3223 - Cty Hóa Nông Shino - KALI SỮA (Nước trắng sữa) - 500ml - 30</v>
      </c>
    </row>
    <row r="4009">
      <c r="A4009" s="86">
        <f>IFERROR(__xludf.DUMMYFUNCTION("""COMPUTED_VALUE"""),4007.0)</f>
        <v>4007</v>
      </c>
      <c r="B4009" s="87" t="str">
        <f>IFERROR(__xludf.DUMMYFUNCTION("""COMPUTED_VALUE"""),"Nhãn")</f>
        <v>Nhãn</v>
      </c>
      <c r="C4009" s="87" t="str">
        <f>IFERROR(__xludf.DUMMYFUNCTION("""COMPUTED_VALUE"""),"NHG3224")</f>
        <v>NHG3224</v>
      </c>
      <c r="D4009" s="87" t="str">
        <f>IFERROR(__xludf.DUMMYFUNCTION("""COMPUTED_VALUE"""),"[Nhãn] IDA Global - I - 3224 - ĐL PHÚC NÔNG - X-SPIDER (Nước đỏ) - 100ml - 100")</f>
        <v>[Nhãn] IDA Global - I - 3224 - ĐL PHÚC NÔNG - X-SPIDER (Nước đỏ) - 100ml - 100</v>
      </c>
      <c r="E4009" s="87" t="str">
        <f>IFERROR(__xludf.DUMMYFUNCTION("""COMPUTED_VALUE"""),"CHIM ƯNG 3.8EC")</f>
        <v>CHIM ƯNG 3.8EC</v>
      </c>
      <c r="F4009" s="87" t="str">
        <f>IFERROR(__xludf.DUMMYFUNCTION("""COMPUTED_VALUE"""),"HH3224")</f>
        <v>HH3224</v>
      </c>
      <c r="G4009" s="87" t="str">
        <f>IFERROR(__xludf.DUMMYFUNCTION("""COMPUTED_VALUE"""),"IDA Global - I - 3224 - ĐL PHÚC NÔNG - X-SPIDER (Nước đỏ) - 100ml - 100")</f>
        <v>IDA Global - I - 3224 - ĐL PHÚC NÔNG - X-SPIDER (Nước đỏ) - 100ml - 100</v>
      </c>
    </row>
    <row r="4010">
      <c r="A4010" s="86">
        <f>IFERROR(__xludf.DUMMYFUNCTION("""COMPUTED_VALUE"""),4008.0)</f>
        <v>4008</v>
      </c>
      <c r="B4010" s="87" t="str">
        <f>IFERROR(__xludf.DUMMYFUNCTION("""COMPUTED_VALUE"""),"Nhãn")</f>
        <v>Nhãn</v>
      </c>
      <c r="C4010" s="87" t="str">
        <f>IFERROR(__xludf.DUMMYFUNCTION("""COMPUTED_VALUE"""),"NHD3225")</f>
        <v>NHD3225</v>
      </c>
      <c r="D4010" s="87" t="str">
        <f>IFERROR(__xludf.DUMMYFUNCTION("""COMPUTED_VALUE"""),"[Nhãn] GC - IV - 3225 - Cty Kim Ngọc - Nhện Đỏ (nước xanh lá) - 400ml - 40")</f>
        <v>[Nhãn] GC - IV - 3225 - Cty Kim Ngọc - Nhện Đỏ (nước xanh lá) - 400ml - 40</v>
      </c>
      <c r="E4010" s="87" t="str">
        <f>IFERROR(__xludf.DUMMYFUNCTION("""COMPUTED_VALUE"""),"Chitin 3.6EC")</f>
        <v>Chitin 3.6EC</v>
      </c>
      <c r="F4010" s="87" t="str">
        <f>IFERROR(__xludf.DUMMYFUNCTION("""COMPUTED_VALUE"""),"HH3225")</f>
        <v>HH3225</v>
      </c>
      <c r="G4010" s="87" t="str">
        <f>IFERROR(__xludf.DUMMYFUNCTION("""COMPUTED_VALUE"""),"GC - IV - 3225 - Cty Kim Ngọc - Nhện Đỏ (nước xanh lá) - 400ml - 40")</f>
        <v>GC - IV - 3225 - Cty Kim Ngọc - Nhện Đỏ (nước xanh lá) - 400ml - 40</v>
      </c>
    </row>
    <row r="4011">
      <c r="A4011" s="86">
        <f>IFERROR(__xludf.DUMMYFUNCTION("""COMPUTED_VALUE"""),4009.0)</f>
        <v>4009</v>
      </c>
      <c r="B4011" s="87" t="str">
        <f>IFERROR(__xludf.DUMMYFUNCTION("""COMPUTED_VALUE"""),"Nhãn thùng")</f>
        <v>Nhãn thùng</v>
      </c>
      <c r="C4011" s="87" t="str">
        <f>IFERROR(__xludf.DUMMYFUNCTION("""COMPUTED_VALUE"""),"NDT3225")</f>
        <v>NDT3225</v>
      </c>
      <c r="D4011" s="87" t="str">
        <f>IFERROR(__xludf.DUMMYFUNCTION("""COMPUTED_VALUE"""),"[Nhãn thùng] GC - IV - 3225 - Cty Kim Ngọc - Nhện Đỏ (nước xanh lá) - 400ml - 40")</f>
        <v>[Nhãn thùng] GC - IV - 3225 - Cty Kim Ngọc - Nhện Đỏ (nước xanh lá) - 400ml - 40</v>
      </c>
      <c r="E4011" s="87" t="str">
        <f>IFERROR(__xludf.DUMMYFUNCTION("""COMPUTED_VALUE"""),"Chitin 3.6EC")</f>
        <v>Chitin 3.6EC</v>
      </c>
      <c r="F4011" s="87" t="str">
        <f>IFERROR(__xludf.DUMMYFUNCTION("""COMPUTED_VALUE"""),"HH3225")</f>
        <v>HH3225</v>
      </c>
      <c r="G4011" s="87" t="str">
        <f>IFERROR(__xludf.DUMMYFUNCTION("""COMPUTED_VALUE"""),"GC - IV - 3225 - Cty Kim Ngọc - Nhện Đỏ (nước xanh lá) - 400ml - 40")</f>
        <v>GC - IV - 3225 - Cty Kim Ngọc - Nhện Đỏ (nước xanh lá) - 400ml - 40</v>
      </c>
    </row>
    <row r="4012">
      <c r="A4012" s="86">
        <f>IFERROR(__xludf.DUMMYFUNCTION("""COMPUTED_VALUE"""),4010.0)</f>
        <v>4010</v>
      </c>
      <c r="B4012" s="87" t="str">
        <f>IFERROR(__xludf.DUMMYFUNCTION("""COMPUTED_VALUE"""),"[Nhãn]")</f>
        <v>[Nhãn]</v>
      </c>
      <c r="C4012" s="87" t="str">
        <f>IFERROR(__xludf.DUMMYFUNCTION("""COMPUTED_VALUE"""),"NHD3226")</f>
        <v>NHD3226</v>
      </c>
      <c r="D4012" s="87" t="str">
        <f>IFERROR(__xludf.DUMMYFUNCTION("""COMPUTED_VALUE"""),"[Nhãn] LOT IDA Global - I - 3226 - ĐL Tập Hưng - Con Cọp 36 (Nước nâu đen) - 450ml - 40")</f>
        <v>[Nhãn] LOT IDA Global - I - 3226 - ĐL Tập Hưng - Con Cọp 36 (Nước nâu đen) - 450ml - 40</v>
      </c>
      <c r="E4012" s="87" t="str">
        <f>IFERROR(__xludf.DUMMYFUNCTION("""COMPUTED_VALUE"""),"Chitin 3.6EC")</f>
        <v>Chitin 3.6EC</v>
      </c>
      <c r="F4012" s="87" t="str">
        <f>IFERROR(__xludf.DUMMYFUNCTION("""COMPUTED_VALUE"""),"HH3226")</f>
        <v>HH3226</v>
      </c>
      <c r="G4012" s="87" t="str">
        <f>IFERROR(__xludf.DUMMYFUNCTION("""COMPUTED_VALUE"""),"LOT IDA Global - I - 3226 - ĐL Tập Hưng - Con Cọp 36 (Nước nâu đen) - 450ml - 40")</f>
        <v>LOT IDA Global - I - 3226 - ĐL Tập Hưng - Con Cọp 36 (Nước nâu đen) - 450ml - 40</v>
      </c>
    </row>
    <row r="4013">
      <c r="A4013" s="86">
        <f>IFERROR(__xludf.DUMMYFUNCTION("""COMPUTED_VALUE"""),4011.0)</f>
        <v>4011</v>
      </c>
      <c r="B4013" s="87" t="str">
        <f>IFERROR(__xludf.DUMMYFUNCTION("""COMPUTED_VALUE"""),"[Nhãn thùng]")</f>
        <v>[Nhãn thùng]</v>
      </c>
      <c r="C4013" s="87" t="str">
        <f>IFERROR(__xludf.DUMMYFUNCTION("""COMPUTED_VALUE"""),"NDT3226")</f>
        <v>NDT3226</v>
      </c>
      <c r="D4013" s="87" t="str">
        <f>IFERROR(__xludf.DUMMYFUNCTION("""COMPUTED_VALUE"""),"[Nhãn thùng] LOT IDA Global - I - 3226 - ĐL Tập Hưng - Con Cọp 36 (Nước nâu đen) - 450ml - 40")</f>
        <v>[Nhãn thùng] LOT IDA Global - I - 3226 - ĐL Tập Hưng - Con Cọp 36 (Nước nâu đen) - 450ml - 40</v>
      </c>
      <c r="E4013" s="87" t="str">
        <f>IFERROR(__xludf.DUMMYFUNCTION("""COMPUTED_VALUE"""),"Chitin 3.6EC")</f>
        <v>Chitin 3.6EC</v>
      </c>
      <c r="F4013" s="87" t="str">
        <f>IFERROR(__xludf.DUMMYFUNCTION("""COMPUTED_VALUE"""),"HH3226")</f>
        <v>HH3226</v>
      </c>
      <c r="G4013" s="87" t="str">
        <f>IFERROR(__xludf.DUMMYFUNCTION("""COMPUTED_VALUE"""),"LOT IDA Global - I - 3226 - ĐL Tập Hưng - Con Cọp 36 (Nước nâu đen) - 450ml - 40")</f>
        <v>LOT IDA Global - I - 3226 - ĐL Tập Hưng - Con Cọp 36 (Nước nâu đen) - 450ml - 40</v>
      </c>
    </row>
    <row r="4014">
      <c r="A4014" s="86">
        <f>IFERROR(__xludf.DUMMYFUNCTION("""COMPUTED_VALUE"""),4012.0)</f>
        <v>4012</v>
      </c>
      <c r="B4014" s="87" t="str">
        <f>IFERROR(__xludf.DUMMYFUNCTION("""COMPUTED_VALUE"""),"Nhãn")</f>
        <v>Nhãn</v>
      </c>
      <c r="C4014" s="87" t="str">
        <f>IFERROR(__xludf.DUMMYFUNCTION("""COMPUTED_VALUE"""),"NHD3227")</f>
        <v>NHD3227</v>
      </c>
      <c r="D4014" s="87" t="str">
        <f>IFERROR(__xludf.DUMMYFUNCTION("""COMPUTED_VALUE"""),"[Nhãn] GC - IV - 3227 - CTY VISANTO - SIÊU DIỆT ỐC (Nước nâu đen) - 450ml - 40")</f>
        <v>[Nhãn] GC - IV - 3227 - CTY VISANTO - SIÊU DIỆT ỐC (Nước nâu đen) - 450ml - 40</v>
      </c>
      <c r="E4014" s="87" t="str">
        <f>IFERROR(__xludf.DUMMYFUNCTION("""COMPUTED_VALUE"""),"Chitin 3.6EC")</f>
        <v>Chitin 3.6EC</v>
      </c>
      <c r="F4014" s="87" t="str">
        <f>IFERROR(__xludf.DUMMYFUNCTION("""COMPUTED_VALUE"""),"HH3227")</f>
        <v>HH3227</v>
      </c>
      <c r="G4014" s="87" t="str">
        <f>IFERROR(__xludf.DUMMYFUNCTION("""COMPUTED_VALUE"""),"GC - IV - 3227 - CTY VISANTO - SIÊU DIỆT ỐC (Nước nâu đen) - 450ml - 40")</f>
        <v>GC - IV - 3227 - CTY VISANTO - SIÊU DIỆT ỐC (Nước nâu đen) - 450ml - 40</v>
      </c>
    </row>
    <row r="4015">
      <c r="A4015" s="86">
        <f>IFERROR(__xludf.DUMMYFUNCTION("""COMPUTED_VALUE"""),4013.0)</f>
        <v>4013</v>
      </c>
      <c r="B4015" s="87" t="str">
        <f>IFERROR(__xludf.DUMMYFUNCTION("""COMPUTED_VALUE"""),"Nhãn thùng")</f>
        <v>Nhãn thùng</v>
      </c>
      <c r="C4015" s="87" t="str">
        <f>IFERROR(__xludf.DUMMYFUNCTION("""COMPUTED_VALUE"""),"NDT3227")</f>
        <v>NDT3227</v>
      </c>
      <c r="D4015" s="87" t="str">
        <f>IFERROR(__xludf.DUMMYFUNCTION("""COMPUTED_VALUE"""),"[Nhãn thùng] GC - IV - 3227 - CTY VISANTO - SIÊU DIỆT ỐC (Nước nâu đen) - 450ml - 40")</f>
        <v>[Nhãn thùng] GC - IV - 3227 - CTY VISANTO - SIÊU DIỆT ỐC (Nước nâu đen) - 450ml - 40</v>
      </c>
      <c r="E4015" s="87" t="str">
        <f>IFERROR(__xludf.DUMMYFUNCTION("""COMPUTED_VALUE"""),"Chitin 3.6EC")</f>
        <v>Chitin 3.6EC</v>
      </c>
      <c r="F4015" s="87" t="str">
        <f>IFERROR(__xludf.DUMMYFUNCTION("""COMPUTED_VALUE"""),"HH3227")</f>
        <v>HH3227</v>
      </c>
      <c r="G4015" s="87" t="str">
        <f>IFERROR(__xludf.DUMMYFUNCTION("""COMPUTED_VALUE"""),"GC - IV - 3227 - CTY VISANTO - SIÊU DIỆT ỐC (Nước nâu đen) - 450ml - 40")</f>
        <v>GC - IV - 3227 - CTY VISANTO - SIÊU DIỆT ỐC (Nước nâu đen) - 450ml - 40</v>
      </c>
    </row>
    <row r="4016">
      <c r="A4016" s="86">
        <f>IFERROR(__xludf.DUMMYFUNCTION("""COMPUTED_VALUE"""),4014.0)</f>
        <v>4014</v>
      </c>
      <c r="B4016" s="87" t="str">
        <f>IFERROR(__xludf.DUMMYFUNCTION("""COMPUTED_VALUE"""),"Nhãn")</f>
        <v>Nhãn</v>
      </c>
      <c r="C4016" s="87" t="str">
        <f>IFERROR(__xludf.DUMMYFUNCTION("""COMPUTED_VALUE"""),"NHD3228")</f>
        <v>NHD3228</v>
      </c>
      <c r="D4016" s="87" t="str">
        <f>IFERROR(__xludf.DUMMYFUNCTION("""COMPUTED_VALUE"""),"[Nhãn] GC - IV - 3228 - CTY VISANTO - VUA ỐC (Nước nâu đen) - 450ml - 40")</f>
        <v>[Nhãn] GC - IV - 3228 - CTY VISANTO - VUA ỐC (Nước nâu đen) - 450ml - 40</v>
      </c>
      <c r="E4016" s="87" t="str">
        <f>IFERROR(__xludf.DUMMYFUNCTION("""COMPUTED_VALUE"""),"Chitin 3.6EC")</f>
        <v>Chitin 3.6EC</v>
      </c>
      <c r="F4016" s="87" t="str">
        <f>IFERROR(__xludf.DUMMYFUNCTION("""COMPUTED_VALUE"""),"HH3228")</f>
        <v>HH3228</v>
      </c>
      <c r="G4016" s="87" t="str">
        <f>IFERROR(__xludf.DUMMYFUNCTION("""COMPUTED_VALUE"""),"GC - IV - 3228 - CTY VISANTO - VUA ỐC (Nước nâu đen) - 450ml - 40")</f>
        <v>GC - IV - 3228 - CTY VISANTO - VUA ỐC (Nước nâu đen) - 450ml - 40</v>
      </c>
    </row>
    <row r="4017">
      <c r="A4017" s="86">
        <f>IFERROR(__xludf.DUMMYFUNCTION("""COMPUTED_VALUE"""),4015.0)</f>
        <v>4015</v>
      </c>
      <c r="B4017" s="87" t="str">
        <f>IFERROR(__xludf.DUMMYFUNCTION("""COMPUTED_VALUE"""),"Nhãn thùng")</f>
        <v>Nhãn thùng</v>
      </c>
      <c r="C4017" s="87" t="str">
        <f>IFERROR(__xludf.DUMMYFUNCTION("""COMPUTED_VALUE"""),"NDT3228")</f>
        <v>NDT3228</v>
      </c>
      <c r="D4017" s="87" t="str">
        <f>IFERROR(__xludf.DUMMYFUNCTION("""COMPUTED_VALUE"""),"[Nhãn thùng] GC - IV - 3228 - CTY VISANTO - VUA ỐC (Nước nâu đen) - 450ml - 40")</f>
        <v>[Nhãn thùng] GC - IV - 3228 - CTY VISANTO - VUA ỐC (Nước nâu đen) - 450ml - 40</v>
      </c>
      <c r="E4017" s="87" t="str">
        <f>IFERROR(__xludf.DUMMYFUNCTION("""COMPUTED_VALUE"""),"Chitin 3.6EC")</f>
        <v>Chitin 3.6EC</v>
      </c>
      <c r="F4017" s="87" t="str">
        <f>IFERROR(__xludf.DUMMYFUNCTION("""COMPUTED_VALUE"""),"HH3228")</f>
        <v>HH3228</v>
      </c>
      <c r="G4017" s="87" t="str">
        <f>IFERROR(__xludf.DUMMYFUNCTION("""COMPUTED_VALUE"""),"GC - IV - 3228 - CTY VISANTO - VUA ỐC (Nước nâu đen) - 450ml - 40")</f>
        <v>GC - IV - 3228 - CTY VISANTO - VUA ỐC (Nước nâu đen) - 450ml - 40</v>
      </c>
    </row>
    <row r="4018">
      <c r="A4018" s="86">
        <f>IFERROR(__xludf.DUMMYFUNCTION("""COMPUTED_VALUE"""),4016.0)</f>
        <v>4016</v>
      </c>
      <c r="B4018" s="87" t="str">
        <f>IFERROR(__xludf.DUMMYFUNCTION("""COMPUTED_VALUE"""),"Nhãn")</f>
        <v>Nhãn</v>
      </c>
      <c r="C4018" s="87" t="str">
        <f>IFERROR(__xludf.DUMMYFUNCTION("""COMPUTED_VALUE"""),"NHG3229")</f>
        <v>NHG3229</v>
      </c>
      <c r="D4018" s="87" t="str">
        <f>IFERROR(__xludf.DUMMYFUNCTION("""COMPUTED_VALUE"""),"[Nhãn] GC - IV - 3229 - Cty Newtex - NEWTEX 6.4 (Nước vàng trà) - 400ml - 40")</f>
        <v>[Nhãn] GC - IV - 3229 - Cty Newtex - NEWTEX 6.4 (Nước vàng trà) - 400ml - 40</v>
      </c>
      <c r="E4018" s="87" t="str">
        <f>IFERROR(__xludf.DUMMYFUNCTION("""COMPUTED_VALUE"""),"BẠCH TƯỢNG 64EC")</f>
        <v>BẠCH TƯỢNG 64EC</v>
      </c>
      <c r="F4018" s="87" t="str">
        <f>IFERROR(__xludf.DUMMYFUNCTION("""COMPUTED_VALUE"""),"HH3229")</f>
        <v>HH3229</v>
      </c>
      <c r="G4018" s="87" t="str">
        <f>IFERROR(__xludf.DUMMYFUNCTION("""COMPUTED_VALUE"""),"GC - IV - 3229 - Cty Newtex - NEWTEX 6.4 (Nước vàng trà) - 400ml - 40")</f>
        <v>GC - IV - 3229 - Cty Newtex - NEWTEX 6.4 (Nước vàng trà) - 400ml - 40</v>
      </c>
    </row>
    <row r="4019">
      <c r="A4019" s="86">
        <f>IFERROR(__xludf.DUMMYFUNCTION("""COMPUTED_VALUE"""),4017.0)</f>
        <v>4017</v>
      </c>
      <c r="B4019" s="87" t="str">
        <f>IFERROR(__xludf.DUMMYFUNCTION("""COMPUTED_VALUE"""),"Nhãn")</f>
        <v>Nhãn</v>
      </c>
      <c r="C4019" s="87" t="str">
        <f>IFERROR(__xludf.DUMMYFUNCTION("""COMPUTED_VALUE"""),"NHG3230")</f>
        <v>NHG3230</v>
      </c>
      <c r="D4019" s="87" t="str">
        <f>IFERROR(__xludf.DUMMYFUNCTION("""COMPUTED_VALUE"""),"[Nhãn] GC - II - 3230 - ĐL PHONG HẢI - NUÔI ĐỒNG TRỔ THOÁT (Nước nâu đen) - 1L - 20")</f>
        <v>[Nhãn] GC - II - 3230 - ĐL PHONG HẢI - NUÔI ĐỒNG TRỔ THOÁT (Nước nâu đen) - 1L - 20</v>
      </c>
      <c r="E4019" s="87" t="str">
        <f>IFERROR(__xludf.DUMMYFUNCTION("""COMPUTED_VALUE"""),"vi lượng HELP FARMER_3")</f>
        <v>vi lượng HELP FARMER_3</v>
      </c>
      <c r="F4019" s="87" t="str">
        <f>IFERROR(__xludf.DUMMYFUNCTION("""COMPUTED_VALUE"""),"HH3230")</f>
        <v>HH3230</v>
      </c>
      <c r="G4019" s="87" t="str">
        <f>IFERROR(__xludf.DUMMYFUNCTION("""COMPUTED_VALUE"""),"GC - II - 3230 - ĐL PHONG HẢI - NUÔI ĐỒNG TRỔ THOÁT (Nước nâu đen) - 1L - 20")</f>
        <v>GC - II - 3230 - ĐL PHONG HẢI - NUÔI ĐỒNG TRỔ THOÁT (Nước nâu đen) - 1L - 20</v>
      </c>
    </row>
    <row r="4020">
      <c r="A4020" s="86">
        <f>IFERROR(__xludf.DUMMYFUNCTION("""COMPUTED_VALUE"""),4018.0)</f>
        <v>4018</v>
      </c>
      <c r="B4020" s="87" t="str">
        <f>IFERROR(__xludf.DUMMYFUNCTION("""COMPUTED_VALUE"""),"Nhãn")</f>
        <v>Nhãn</v>
      </c>
      <c r="C4020" s="87" t="str">
        <f>IFERROR(__xludf.DUMMYFUNCTION("""COMPUTED_VALUE"""),"NHD3232")</f>
        <v>NHD3232</v>
      </c>
      <c r="D4020" s="87" t="str">
        <f>IFERROR(__xludf.DUMMYFUNCTION("""COMPUTED_VALUE"""),"[Nhãn] GC - II - 3232 - AGC - Big C (Gel nâu đen) (chai HD) - 500ml - 36")</f>
        <v>[Nhãn] GC - II - 3232 - AGC - Big C (Gel nâu đen) (chai HD) - 500ml - 36</v>
      </c>
      <c r="E4020" s="87" t="str">
        <f>IFERROR(__xludf.DUMMYFUNCTION("""COMPUTED_VALUE"""),"Vi lượng Quantity New")</f>
        <v>Vi lượng Quantity New</v>
      </c>
      <c r="F4020" s="87" t="str">
        <f>IFERROR(__xludf.DUMMYFUNCTION("""COMPUTED_VALUE"""),"HH3232")</f>
        <v>HH3232</v>
      </c>
      <c r="G4020" s="87" t="str">
        <f>IFERROR(__xludf.DUMMYFUNCTION("""COMPUTED_VALUE"""),"GC - II - 3232 - AGC - Big C (Gel nâu đen) (chai HD) - 500ml - 36")</f>
        <v>GC - II - 3232 - AGC - Big C (Gel nâu đen) (chai HD) - 500ml - 36</v>
      </c>
    </row>
    <row r="4021">
      <c r="A4021" s="86">
        <f>IFERROR(__xludf.DUMMYFUNCTION("""COMPUTED_VALUE"""),4019.0)</f>
        <v>4019</v>
      </c>
      <c r="B4021" s="87" t="str">
        <f>IFERROR(__xludf.DUMMYFUNCTION("""COMPUTED_VALUE"""),"Nhãn thùng")</f>
        <v>Nhãn thùng</v>
      </c>
      <c r="C4021" s="87" t="str">
        <f>IFERROR(__xludf.DUMMYFUNCTION("""COMPUTED_VALUE"""),"NDT3232")</f>
        <v>NDT3232</v>
      </c>
      <c r="D4021" s="87" t="str">
        <f>IFERROR(__xludf.DUMMYFUNCTION("""COMPUTED_VALUE"""),"[Nhãn thùng] GC - II - 3232 - AGC - Big C (Gel nâu đen) (chai HD) - 500ml - 36")</f>
        <v>[Nhãn thùng] GC - II - 3232 - AGC - Big C (Gel nâu đen) (chai HD) - 500ml - 36</v>
      </c>
      <c r="E4021" s="87" t="str">
        <f>IFERROR(__xludf.DUMMYFUNCTION("""COMPUTED_VALUE"""),"Vi lượng Quantity New")</f>
        <v>Vi lượng Quantity New</v>
      </c>
      <c r="F4021" s="87" t="str">
        <f>IFERROR(__xludf.DUMMYFUNCTION("""COMPUTED_VALUE"""),"HH3232")</f>
        <v>HH3232</v>
      </c>
      <c r="G4021" s="87" t="str">
        <f>IFERROR(__xludf.DUMMYFUNCTION("""COMPUTED_VALUE"""),"GC - II - 3232 - AGC - Big C (Gel nâu đen) (chai HD) - 500ml - 36")</f>
        <v>GC - II - 3232 - AGC - Big C (Gel nâu đen) (chai HD) - 500ml - 36</v>
      </c>
    </row>
    <row r="4022">
      <c r="A4022" s="86">
        <f>IFERROR(__xludf.DUMMYFUNCTION("""COMPUTED_VALUE"""),4020.0)</f>
        <v>4020</v>
      </c>
      <c r="B4022" s="87" t="str">
        <f>IFERROR(__xludf.DUMMYFUNCTION("""COMPUTED_VALUE"""),"Nhãn")</f>
        <v>Nhãn</v>
      </c>
      <c r="C4022" s="87" t="str">
        <f>IFERROR(__xludf.DUMMYFUNCTION("""COMPUTED_VALUE"""),"NTN3233")</f>
        <v>NTN3233</v>
      </c>
      <c r="D4022" s="87" t="str">
        <f>IFERROR(__xludf.DUMMYFUNCTION("""COMPUTED_VALUE"""),"[Nhãn] IDA Global - I - 3233 - SẠCH SÂU RẦY (Bột màu trắng) - 100gr - 100")</f>
        <v>[Nhãn] IDA Global - I - 3233 - SẠCH SÂU RẦY (Bột màu trắng) - 100gr - 100</v>
      </c>
      <c r="E4022" s="87" t="str">
        <f>IFERROR(__xludf.DUMMYFUNCTION("""COMPUTED_VALUE"""),"REP PLAY 75WP")</f>
        <v>REP PLAY 75WP</v>
      </c>
      <c r="F4022" s="87" t="str">
        <f>IFERROR(__xludf.DUMMYFUNCTION("""COMPUTED_VALUE"""),"HH3233")</f>
        <v>HH3233</v>
      </c>
      <c r="G4022" s="87" t="str">
        <f>IFERROR(__xludf.DUMMYFUNCTION("""COMPUTED_VALUE"""),"IDA Global - I - 3233 - SẠCH SÂU RẦY (Bột màu trắng) - 100gr - 100")</f>
        <v>IDA Global - I - 3233 - SẠCH SÂU RẦY (Bột màu trắng) - 100gr - 100</v>
      </c>
    </row>
    <row r="4023">
      <c r="A4023" s="86">
        <f>IFERROR(__xludf.DUMMYFUNCTION("""COMPUTED_VALUE"""),4021.0)</f>
        <v>4021</v>
      </c>
      <c r="B4023" s="87" t="str">
        <f>IFERROR(__xludf.DUMMYFUNCTION("""COMPUTED_VALUE"""),"Nhãn thùng")</f>
        <v>Nhãn thùng</v>
      </c>
      <c r="C4023" s="87" t="str">
        <f>IFERROR(__xludf.DUMMYFUNCTION("""COMPUTED_VALUE"""),"NDT3233")</f>
        <v>NDT3233</v>
      </c>
      <c r="D4023" s="87" t="str">
        <f>IFERROR(__xludf.DUMMYFUNCTION("""COMPUTED_VALUE"""),"[Nhãn thùng] IDA Global - I - 3233 - SẠCH SÂU RẦY (Bột màu trắng) - 100gr - 100")</f>
        <v>[Nhãn thùng] IDA Global - I - 3233 - SẠCH SÂU RẦY (Bột màu trắng) - 100gr - 100</v>
      </c>
      <c r="E4023" s="87" t="str">
        <f>IFERROR(__xludf.DUMMYFUNCTION("""COMPUTED_VALUE"""),"REP PLAY 75WP")</f>
        <v>REP PLAY 75WP</v>
      </c>
      <c r="F4023" s="87" t="str">
        <f>IFERROR(__xludf.DUMMYFUNCTION("""COMPUTED_VALUE"""),"HH3233")</f>
        <v>HH3233</v>
      </c>
      <c r="G4023" s="87" t="str">
        <f>IFERROR(__xludf.DUMMYFUNCTION("""COMPUTED_VALUE"""),"IDA Global - I - 3233 - SẠCH SÂU RẦY (Bột màu trắng) - 100gr - 100")</f>
        <v>IDA Global - I - 3233 - SẠCH SÂU RẦY (Bột màu trắng) - 100gr - 100</v>
      </c>
    </row>
    <row r="4024">
      <c r="A4024" s="86">
        <f>IFERROR(__xludf.DUMMYFUNCTION("""COMPUTED_VALUE"""),4022.0)</f>
        <v>4022</v>
      </c>
      <c r="B4024" s="87" t="str">
        <f>IFERROR(__xludf.DUMMYFUNCTION("""COMPUTED_VALUE"""),"Nhãn")</f>
        <v>Nhãn</v>
      </c>
      <c r="C4024" s="87" t="str">
        <f>IFERROR(__xludf.DUMMYFUNCTION("""COMPUTED_VALUE"""),"NTN3234")</f>
        <v>NTN3234</v>
      </c>
      <c r="D4024" s="87" t="str">
        <f>IFERROR(__xludf.DUMMYFUNCTION("""COMPUTED_VALUE"""),"[Nhãn] GC - IV - 3234 - WINDY ALS - WINDY TOP - SẠCH BỆNH (dạng cốm màu trắng ngà) - 100gr - 100")</f>
        <v>[Nhãn] GC - IV - 3234 - WINDY ALS - WINDY TOP - SẠCH BỆNH (dạng cốm màu trắng ngà) - 100gr - 100</v>
      </c>
      <c r="E4024" s="87" t="str">
        <f>IFERROR(__xludf.DUMMYFUNCTION("""COMPUTED_VALUE"""),"CYAT 525WG")</f>
        <v>CYAT 525WG</v>
      </c>
      <c r="F4024" s="87" t="str">
        <f>IFERROR(__xludf.DUMMYFUNCTION("""COMPUTED_VALUE"""),"HH3234")</f>
        <v>HH3234</v>
      </c>
      <c r="G4024" s="87" t="str">
        <f>IFERROR(__xludf.DUMMYFUNCTION("""COMPUTED_VALUE"""),"GC - IV - 3234 - WINDY ALS - WINDY TOP - SẠCH BỆNH (dạng cốm màu trắng ngà) - 100gr - 100")</f>
        <v>GC - IV - 3234 - WINDY ALS - WINDY TOP - SẠCH BỆNH (dạng cốm màu trắng ngà) - 100gr - 100</v>
      </c>
    </row>
    <row r="4025">
      <c r="A4025" s="86">
        <f>IFERROR(__xludf.DUMMYFUNCTION("""COMPUTED_VALUE"""),4023.0)</f>
        <v>4023</v>
      </c>
      <c r="B4025" s="87" t="str">
        <f>IFERROR(__xludf.DUMMYFUNCTION("""COMPUTED_VALUE"""),"Nhãn thùng")</f>
        <v>Nhãn thùng</v>
      </c>
      <c r="C4025" s="87" t="str">
        <f>IFERROR(__xludf.DUMMYFUNCTION("""COMPUTED_VALUE"""),"NDT3234")</f>
        <v>NDT3234</v>
      </c>
      <c r="D4025" s="87" t="str">
        <f>IFERROR(__xludf.DUMMYFUNCTION("""COMPUTED_VALUE"""),"[Nhãn thùng] GC - IV - 3234 - WINDY ALS - WINDY TOP - SẠCH BỆNH (dạng cốm màu trắng ngà) - 100gr - 100")</f>
        <v>[Nhãn thùng] GC - IV - 3234 - WINDY ALS - WINDY TOP - SẠCH BỆNH (dạng cốm màu trắng ngà) - 100gr - 100</v>
      </c>
      <c r="E4025" s="87" t="str">
        <f>IFERROR(__xludf.DUMMYFUNCTION("""COMPUTED_VALUE"""),"CYAT 525WG")</f>
        <v>CYAT 525WG</v>
      </c>
      <c r="F4025" s="87" t="str">
        <f>IFERROR(__xludf.DUMMYFUNCTION("""COMPUTED_VALUE"""),"HH3234")</f>
        <v>HH3234</v>
      </c>
      <c r="G4025" s="87" t="str">
        <f>IFERROR(__xludf.DUMMYFUNCTION("""COMPUTED_VALUE"""),"GC - IV - 3234 - WINDY ALS - WINDY TOP - SẠCH BỆNH (dạng cốm màu trắng ngà) - 100gr - 100")</f>
        <v>GC - IV - 3234 - WINDY ALS - WINDY TOP - SẠCH BỆNH (dạng cốm màu trắng ngà) - 100gr - 100</v>
      </c>
    </row>
    <row r="4026">
      <c r="A4026" s="86">
        <f>IFERROR(__xludf.DUMMYFUNCTION("""COMPUTED_VALUE"""),4024.0)</f>
        <v>4024</v>
      </c>
      <c r="B4026" s="87" t="str">
        <f>IFERROR(__xludf.DUMMYFUNCTION("""COMPUTED_VALUE"""),"Nhãn")</f>
        <v>Nhãn</v>
      </c>
      <c r="C4026" s="87" t="str">
        <f>IFERROR(__xludf.DUMMYFUNCTION("""COMPUTED_VALUE"""),"NTN3235")</f>
        <v>NTN3235</v>
      </c>
      <c r="D4026" s="87" t="str">
        <f>IFERROR(__xludf.DUMMYFUNCTION("""COMPUTED_VALUE"""),"[Nhãn] GC - IV - 3235 - WINDY ALS - WINDY KILL - SÓI XÁM (Bột trắng ngà) - 100gr - 100")</f>
        <v>[Nhãn] GC - IV - 3235 - WINDY ALS - WINDY KILL - SÓI XÁM (Bột trắng ngà) - 100gr - 100</v>
      </c>
      <c r="E4026" s="87" t="str">
        <f>IFERROR(__xludf.DUMMYFUNCTION("""COMPUTED_VALUE"""),"THẦN CÔNG GOLD 39WP")</f>
        <v>THẦN CÔNG GOLD 39WP</v>
      </c>
      <c r="F4026" s="87" t="str">
        <f>IFERROR(__xludf.DUMMYFUNCTION("""COMPUTED_VALUE"""),"HH3235")</f>
        <v>HH3235</v>
      </c>
      <c r="G4026" s="87" t="str">
        <f>IFERROR(__xludf.DUMMYFUNCTION("""COMPUTED_VALUE"""),"GC - IV - 3235 - WINDY ALS - WINDY KILL - SÓI XÁM (Bột trắng ngà) - 100gr - 100")</f>
        <v>GC - IV - 3235 - WINDY ALS - WINDY KILL - SÓI XÁM (Bột trắng ngà) - 100gr - 100</v>
      </c>
    </row>
    <row r="4027">
      <c r="A4027" s="86">
        <f>IFERROR(__xludf.DUMMYFUNCTION("""COMPUTED_VALUE"""),4025.0)</f>
        <v>4025</v>
      </c>
      <c r="B4027" s="87" t="str">
        <f>IFERROR(__xludf.DUMMYFUNCTION("""COMPUTED_VALUE"""),"Nhãn thùng")</f>
        <v>Nhãn thùng</v>
      </c>
      <c r="C4027" s="87" t="str">
        <f>IFERROR(__xludf.DUMMYFUNCTION("""COMPUTED_VALUE"""),"NDT3235")</f>
        <v>NDT3235</v>
      </c>
      <c r="D4027" s="87" t="str">
        <f>IFERROR(__xludf.DUMMYFUNCTION("""COMPUTED_VALUE"""),"[Nhãn thùng] GC - IV - 3235 - WINDY ALS - WINDY KILL - SÓI XÁM (Bột trắng ngà) - 100gr - 100")</f>
        <v>[Nhãn thùng] GC - IV - 3235 - WINDY ALS - WINDY KILL - SÓI XÁM (Bột trắng ngà) - 100gr - 100</v>
      </c>
      <c r="E4027" s="87" t="str">
        <f>IFERROR(__xludf.DUMMYFUNCTION("""COMPUTED_VALUE"""),"THẦN CÔNG GOLD 39WP")</f>
        <v>THẦN CÔNG GOLD 39WP</v>
      </c>
      <c r="F4027" s="87" t="str">
        <f>IFERROR(__xludf.DUMMYFUNCTION("""COMPUTED_VALUE"""),"HH3235")</f>
        <v>HH3235</v>
      </c>
      <c r="G4027" s="87" t="str">
        <f>IFERROR(__xludf.DUMMYFUNCTION("""COMPUTED_VALUE"""),"GC - IV - 3235 - WINDY ALS - WINDY KILL - SÓI XÁM (Bột trắng ngà) - 100gr - 100")</f>
        <v>GC - IV - 3235 - WINDY ALS - WINDY KILL - SÓI XÁM (Bột trắng ngà) - 100gr - 100</v>
      </c>
    </row>
    <row r="4028">
      <c r="A4028" s="86">
        <f>IFERROR(__xludf.DUMMYFUNCTION("""COMPUTED_VALUE"""),4026.0)</f>
        <v>4026</v>
      </c>
      <c r="B4028" s="87" t="str">
        <f>IFERROR(__xludf.DUMMYFUNCTION("""COMPUTED_VALUE"""),"Nhãn")</f>
        <v>Nhãn</v>
      </c>
      <c r="C4028" s="87" t="str">
        <f>IFERROR(__xludf.DUMMYFUNCTION("""COMPUTED_VALUE"""),"NHG3237")</f>
        <v>NHG3237</v>
      </c>
      <c r="D4028" s="87" t="str">
        <f>IFERROR(__xludf.DUMMYFUNCTION("""COMPUTED_VALUE"""),"[Nhãn] GC - II - 3237 - Kim Ngọc - Trợ Lực Thấm (nước vàng) (chai HD tròn) - 100ml - 50")</f>
        <v>[Nhãn] GC - II - 3237 - Kim Ngọc - Trợ Lực Thấm (nước vàng) (chai HD tròn) - 100ml - 50</v>
      </c>
      <c r="E4028" s="87" t="str">
        <f>IFERROR(__xludf.DUMMYFUNCTION("""COMPUTED_VALUE"""),"Vi lượng Quantity New")</f>
        <v>Vi lượng Quantity New</v>
      </c>
      <c r="F4028" s="87" t="str">
        <f>IFERROR(__xludf.DUMMYFUNCTION("""COMPUTED_VALUE"""),"HH3237")</f>
        <v>HH3237</v>
      </c>
      <c r="G4028" s="87" t="str">
        <f>IFERROR(__xludf.DUMMYFUNCTION("""COMPUTED_VALUE"""),"GC - II - 3237 - Kim Ngọc - Trợ Lực Thấm (nước vàng) (chai HD tròn) - 100ml - 50")</f>
        <v>GC - II - 3237 - Kim Ngọc - Trợ Lực Thấm (nước vàng) (chai HD tròn) - 100ml - 50</v>
      </c>
    </row>
    <row r="4029">
      <c r="A4029" s="86">
        <f>IFERROR(__xludf.DUMMYFUNCTION("""COMPUTED_VALUE"""),4027.0)</f>
        <v>4027</v>
      </c>
      <c r="B4029" s="87" t="str">
        <f>IFERROR(__xludf.DUMMYFUNCTION("""COMPUTED_VALUE"""),"Nhãn")</f>
        <v>Nhãn</v>
      </c>
      <c r="C4029" s="87" t="str">
        <f>IFERROR(__xludf.DUMMYFUNCTION("""COMPUTED_VALUE"""),"NTN3238")</f>
        <v>NTN3238</v>
      </c>
      <c r="D4029" s="87" t="str">
        <f>IFERROR(__xludf.DUMMYFUNCTION("""COMPUTED_VALUE"""),"[Nhãn] GC - IV - 3238 - CTY DONA VINA - SIÊU NẤM KHUẨN (Bột trắng ngà) - 250gr - 60")</f>
        <v>[Nhãn] GC - IV - 3238 - CTY DONA VINA - SIÊU NẤM KHUẨN (Bột trắng ngà) - 250gr - 60</v>
      </c>
      <c r="E4029" s="87" t="str">
        <f>IFERROR(__xludf.DUMMYFUNCTION("""COMPUTED_VALUE"""),"THALONIL 75WP")</f>
        <v>THALONIL 75WP</v>
      </c>
      <c r="F4029" s="87" t="str">
        <f>IFERROR(__xludf.DUMMYFUNCTION("""COMPUTED_VALUE"""),"HH3238")</f>
        <v>HH3238</v>
      </c>
      <c r="G4029" s="87" t="str">
        <f>IFERROR(__xludf.DUMMYFUNCTION("""COMPUTED_VALUE"""),"GC - IV - 3238 - CTY DONA VINA - SIÊU NẤM KHUẨN (Bột trắng ngà) - 250gr - 60")</f>
        <v>GC - IV - 3238 - CTY DONA VINA - SIÊU NẤM KHUẨN (Bột trắng ngà) - 250gr - 60</v>
      </c>
    </row>
    <row r="4030">
      <c r="A4030" s="86">
        <f>IFERROR(__xludf.DUMMYFUNCTION("""COMPUTED_VALUE"""),4028.0)</f>
        <v>4028</v>
      </c>
      <c r="B4030" s="87" t="str">
        <f>IFERROR(__xludf.DUMMYFUNCTION("""COMPUTED_VALUE"""),"Nhãn thùng")</f>
        <v>Nhãn thùng</v>
      </c>
      <c r="C4030" s="87" t="str">
        <f>IFERROR(__xludf.DUMMYFUNCTION("""COMPUTED_VALUE"""),"NDT3238")</f>
        <v>NDT3238</v>
      </c>
      <c r="D4030" s="87" t="str">
        <f>IFERROR(__xludf.DUMMYFUNCTION("""COMPUTED_VALUE"""),"[Nhãn thùng] GC - IV - 3238 - CTY DONA VINA - SIÊU NẤM KHUẨN (Bột trắng ngà) - 250gr - 60")</f>
        <v>[Nhãn thùng] GC - IV - 3238 - CTY DONA VINA - SIÊU NẤM KHUẨN (Bột trắng ngà) - 250gr - 60</v>
      </c>
      <c r="E4030" s="87" t="str">
        <f>IFERROR(__xludf.DUMMYFUNCTION("""COMPUTED_VALUE"""),"THALONIL 75WP")</f>
        <v>THALONIL 75WP</v>
      </c>
      <c r="F4030" s="87" t="str">
        <f>IFERROR(__xludf.DUMMYFUNCTION("""COMPUTED_VALUE"""),"HH3238")</f>
        <v>HH3238</v>
      </c>
      <c r="G4030" s="87" t="str">
        <f>IFERROR(__xludf.DUMMYFUNCTION("""COMPUTED_VALUE"""),"GC - IV - 3238 - CTY DONA VINA - SIÊU NẤM KHUẨN (Bột trắng ngà) - 250gr - 60")</f>
        <v>GC - IV - 3238 - CTY DONA VINA - SIÊU NẤM KHUẨN (Bột trắng ngà) - 250gr - 60</v>
      </c>
    </row>
    <row r="4031">
      <c r="A4031" s="86">
        <f>IFERROR(__xludf.DUMMYFUNCTION("""COMPUTED_VALUE"""),4029.0)</f>
        <v>4029</v>
      </c>
      <c r="B4031" s="87" t="str">
        <f>IFERROR(__xludf.DUMMYFUNCTION("""COMPUTED_VALUE"""),"Nhãn")</f>
        <v>Nhãn</v>
      </c>
      <c r="C4031" s="87" t="str">
        <f>IFERROR(__xludf.DUMMYFUNCTION("""COMPUTED_VALUE"""),"NHG3239")</f>
        <v>NHG3239</v>
      </c>
      <c r="D4031" s="87" t="str">
        <f>IFERROR(__xludf.DUMMYFUNCTION("""COMPUTED_VALUE"""),"[Nhãn] IDA Global - I - 3239 - ĐL THÀNH NHÂN - IDA GENOL 1.2SL (nước đỏ) - 480ml - 40")</f>
        <v>[Nhãn] IDA Global - I - 3239 - ĐL THÀNH NHÂN - IDA GENOL 1.2SL (nước đỏ) - 480ml - 40</v>
      </c>
      <c r="E4031" s="87" t="str">
        <f>IFERROR(__xludf.DUMMYFUNCTION("""COMPUTED_VALUE"""),"GENOL 1.2SL")</f>
        <v>GENOL 1.2SL</v>
      </c>
      <c r="F4031" s="87" t="str">
        <f>IFERROR(__xludf.DUMMYFUNCTION("""COMPUTED_VALUE"""),"HH3239")</f>
        <v>HH3239</v>
      </c>
      <c r="G4031" s="87" t="str">
        <f>IFERROR(__xludf.DUMMYFUNCTION("""COMPUTED_VALUE"""),"IDA Global - I - 3239 - ĐL THÀNH NHÂN - IDA GENOL 1.2SL (nước đỏ) - 480ml - 40")</f>
        <v>IDA Global - I - 3239 - ĐL THÀNH NHÂN - IDA GENOL 1.2SL (nước đỏ) - 480ml - 40</v>
      </c>
    </row>
    <row r="4032">
      <c r="A4032" s="86">
        <f>IFERROR(__xludf.DUMMYFUNCTION("""COMPUTED_VALUE"""),4030.0)</f>
        <v>4030</v>
      </c>
      <c r="B4032" s="87" t="str">
        <f>IFERROR(__xludf.DUMMYFUNCTION("""COMPUTED_VALUE"""),"[Nhãn]")</f>
        <v>[Nhãn]</v>
      </c>
      <c r="C4032" s="87" t="str">
        <f>IFERROR(__xludf.DUMMYFUNCTION("""COMPUTED_VALUE"""),"NHG3240")</f>
        <v>NHG3240</v>
      </c>
      <c r="D4032" s="87" t="str">
        <f>IFERROR(__xludf.DUMMYFUNCTION("""COMPUTED_VALUE"""),"[Nhãn] GC - IV - 3240 - CTY QUANG ĐĂNG AGRICULTURE - PROTEIN QĐ PLUS (Nước nâu đen) - 500ml - 30")</f>
        <v>[Nhãn] GC - IV - 3240 - CTY QUANG ĐĂNG AGRICULTURE - PROTEIN QĐ PLUS (Nước nâu đen) - 500ml - 30</v>
      </c>
      <c r="E4032" s="87" t="str">
        <f>IFERROR(__xludf.DUMMYFUNCTION("""COMPUTED_VALUE"""),"Hỗn Hợp NP AGAMA-AP")</f>
        <v>Hỗn Hợp NP AGAMA-AP</v>
      </c>
      <c r="F4032" s="87" t="str">
        <f>IFERROR(__xludf.DUMMYFUNCTION("""COMPUTED_VALUE"""),"HH3240")</f>
        <v>HH3240</v>
      </c>
      <c r="G4032" s="87" t="str">
        <f>IFERROR(__xludf.DUMMYFUNCTION("""COMPUTED_VALUE"""),"GC - IV - 3240 - Cty Quang Đăng Agriculture - PROTEIN QĐ PLUS (Nước nâu đen) - 500ml - 30")</f>
        <v>GC - IV - 3240 - Cty Quang Đăng Agriculture - PROTEIN QĐ PLUS (Nước nâu đen) - 500ml - 30</v>
      </c>
    </row>
    <row r="4033">
      <c r="A4033" s="86">
        <f>IFERROR(__xludf.DUMMYFUNCTION("""COMPUTED_VALUE"""),4031.0)</f>
        <v>4031</v>
      </c>
      <c r="B4033" s="87" t="str">
        <f>IFERROR(__xludf.DUMMYFUNCTION("""COMPUTED_VALUE"""),"Nhãn")</f>
        <v>Nhãn</v>
      </c>
      <c r="C4033" s="87" t="str">
        <f>IFERROR(__xludf.DUMMYFUNCTION("""COMPUTED_VALUE"""),"NHD3241")</f>
        <v>NHD3241</v>
      </c>
      <c r="D4033" s="87" t="str">
        <f>IFERROR(__xludf.DUMMYFUNCTION("""COMPUTED_VALUE"""),"[Nhãn] GC - IV - 3241 - CTY DONA VINA - CANXIBO MAXI (Nước trắng sữa) - 500ml - 40")</f>
        <v>[Nhãn] GC - IV - 3241 - CTY DONA VINA - CANXIBO MAXI (Nước trắng sữa) - 500ml - 40</v>
      </c>
      <c r="E4033" s="87" t="str">
        <f>IFERROR(__xludf.DUMMYFUNCTION("""COMPUTED_VALUE"""),"Vi lượng AGAMA-CANXI BO")</f>
        <v>Vi lượng AGAMA-CANXI BO</v>
      </c>
      <c r="F4033" s="87" t="str">
        <f>IFERROR(__xludf.DUMMYFUNCTION("""COMPUTED_VALUE"""),"HH3241")</f>
        <v>HH3241</v>
      </c>
      <c r="G4033" s="87" t="str">
        <f>IFERROR(__xludf.DUMMYFUNCTION("""COMPUTED_VALUE"""),"GC - IV - 3241 - CTY DONA VINA - CANXIBO MAXI (Nước trắng sữa) - 500ml - 40")</f>
        <v>GC - IV - 3241 - CTY DONA VINA - CANXIBO MAXI (Nước trắng sữa) - 500ml - 40</v>
      </c>
    </row>
    <row r="4034">
      <c r="A4034" s="86">
        <f>IFERROR(__xludf.DUMMYFUNCTION("""COMPUTED_VALUE"""),4032.0)</f>
        <v>4032</v>
      </c>
      <c r="B4034" s="87" t="str">
        <f>IFERROR(__xludf.DUMMYFUNCTION("""COMPUTED_VALUE"""),"Nhãn thùng")</f>
        <v>Nhãn thùng</v>
      </c>
      <c r="C4034" s="87" t="str">
        <f>IFERROR(__xludf.DUMMYFUNCTION("""COMPUTED_VALUE"""),"NDT3241")</f>
        <v>NDT3241</v>
      </c>
      <c r="D4034" s="87" t="str">
        <f>IFERROR(__xludf.DUMMYFUNCTION("""COMPUTED_VALUE"""),"[Nhãn thùng] GC - IV - 3241 - CTY DONA VINA - CANXIBO MAXI (Nước trắng sữa) - 500ml - 40")</f>
        <v>[Nhãn thùng] GC - IV - 3241 - CTY DONA VINA - CANXIBO MAXI (Nước trắng sữa) - 500ml - 40</v>
      </c>
      <c r="E4034" s="87" t="str">
        <f>IFERROR(__xludf.DUMMYFUNCTION("""COMPUTED_VALUE"""),"Vi lượng AGAMA-CANXI BO")</f>
        <v>Vi lượng AGAMA-CANXI BO</v>
      </c>
      <c r="F4034" s="87" t="str">
        <f>IFERROR(__xludf.DUMMYFUNCTION("""COMPUTED_VALUE"""),"HH3241")</f>
        <v>HH3241</v>
      </c>
      <c r="G4034" s="87" t="str">
        <f>IFERROR(__xludf.DUMMYFUNCTION("""COMPUTED_VALUE"""),"GC - IV - 3241 - CTY DONA VINA - CANXIBO MAXI (Nước trắng sữa) - 500ml - 40")</f>
        <v>GC - IV - 3241 - CTY DONA VINA - CANXIBO MAXI (Nước trắng sữa) - 500ml - 40</v>
      </c>
    </row>
    <row r="4035">
      <c r="A4035" s="86">
        <f>IFERROR(__xludf.DUMMYFUNCTION("""COMPUTED_VALUE"""),4033.0)</f>
        <v>4033</v>
      </c>
      <c r="B4035" s="87" t="str">
        <f>IFERROR(__xludf.DUMMYFUNCTION("""COMPUTED_VALUE"""),"Nhãn")</f>
        <v>Nhãn</v>
      </c>
      <c r="C4035" s="87" t="str">
        <f>IFERROR(__xludf.DUMMYFUNCTION("""COMPUTED_VALUE"""),"NHG3242")</f>
        <v>NHG3242</v>
      </c>
      <c r="D4035" s="87" t="str">
        <f>IFERROR(__xludf.DUMMYFUNCTION("""COMPUTED_VALUE"""),"[Nhãn] NB - V - 3242 - CTY NAUY - GALAXY (Ra rễ) (Nước nâu đen) - 500ml - 40")</f>
        <v>[Nhãn] NB - V - 3242 - CTY NAUY - GALAXY (Ra rễ) (Nước nâu đen) - 500ml - 40</v>
      </c>
      <c r="E4035" s="87" t="str">
        <f>IFERROR(__xludf.DUMMYFUNCTION("""COMPUTED_VALUE"""),"Vi lượng AGAMA-SUPPORT")</f>
        <v>Vi lượng AGAMA-SUPPORT</v>
      </c>
      <c r="F4035" s="87" t="str">
        <f>IFERROR(__xludf.DUMMYFUNCTION("""COMPUTED_VALUE"""),"HH3242")</f>
        <v>HH3242</v>
      </c>
      <c r="G4035" s="87" t="str">
        <f>IFERROR(__xludf.DUMMYFUNCTION("""COMPUTED_VALUE"""),"NB - V - 3242 - CTY NAUY - GALAXY (Ra rễ) (Nước nâu đen) - 500ml - 40")</f>
        <v>NB - V - 3242 - CTY NAUY - GALAXY (Ra rễ) (Nước nâu đen) - 500ml - 40</v>
      </c>
    </row>
    <row r="4036">
      <c r="A4036" s="86">
        <f>IFERROR(__xludf.DUMMYFUNCTION("""COMPUTED_VALUE"""),4034.0)</f>
        <v>4034</v>
      </c>
      <c r="B4036" s="87" t="str">
        <f>IFERROR(__xludf.DUMMYFUNCTION("""COMPUTED_VALUE"""),"Nhãn")</f>
        <v>Nhãn</v>
      </c>
      <c r="C4036" s="87" t="str">
        <f>IFERROR(__xludf.DUMMYFUNCTION("""COMPUTED_VALUE"""),"NHG3244")</f>
        <v>NHG3244</v>
      </c>
      <c r="D4036" s="87" t="str">
        <f>IFERROR(__xludf.DUMMYFUNCTION("""COMPUTED_VALUE"""),"[Nhãn] GC - IV - 3244 - GNH - Ra Rễ Nở Bụi (nước nâu đen) - 1L - 20")</f>
        <v>[Nhãn] GC - IV - 3244 - GNH - Ra Rễ Nở Bụi (nước nâu đen) - 1L - 20</v>
      </c>
      <c r="E4036" s="87" t="str">
        <f>IFERROR(__xludf.DUMMYFUNCTION("""COMPUTED_VALUE"""),"Vi lượng Quantity New")</f>
        <v>Vi lượng Quantity New</v>
      </c>
      <c r="F4036" s="87" t="str">
        <f>IFERROR(__xludf.DUMMYFUNCTION("""COMPUTED_VALUE"""),"HH3244")</f>
        <v>HH3244</v>
      </c>
      <c r="G4036" s="87" t="str">
        <f>IFERROR(__xludf.DUMMYFUNCTION("""COMPUTED_VALUE"""),"GC - IV - 3244 - GNH - Ra Rễ Nở Bụi (nước nâu đen) - 1L - 20")</f>
        <v>GC - IV - 3244 - GNH - Ra Rễ Nở Bụi (nước nâu đen) - 1L - 20</v>
      </c>
    </row>
    <row r="4037">
      <c r="A4037" s="86">
        <f>IFERROR(__xludf.DUMMYFUNCTION("""COMPUTED_VALUE"""),4035.0)</f>
        <v>4035</v>
      </c>
      <c r="B4037" s="87" t="str">
        <f>IFERROR(__xludf.DUMMYFUNCTION("""COMPUTED_VALUE"""),"Nhãn")</f>
        <v>Nhãn</v>
      </c>
      <c r="C4037" s="87" t="str">
        <f>IFERROR(__xludf.DUMMYFUNCTION("""COMPUTED_VALUE"""),"NHG3246")</f>
        <v>NHG3246</v>
      </c>
      <c r="D4037" s="87" t="str">
        <f>IFERROR(__xludf.DUMMYFUNCTION("""COMPUTED_VALUE"""),"[Nhãn]  IDA Global - I - 3246 - ĐL ÚT TÈO - ORGANIC X2 (Nước nâu đen) - 1L - 20")</f>
        <v>[Nhãn]  IDA Global - I - 3246 - ĐL ÚT TÈO - ORGANIC X2 (Nước nâu đen) - 1L - 20</v>
      </c>
      <c r="E4037" s="87" t="str">
        <f>IFERROR(__xludf.DUMMYFUNCTION("""COMPUTED_VALUE"""),"Hữu cơ SH Agro Organic Fertilizer 20")</f>
        <v>Hữu cơ SH Agro Organic Fertilizer 20</v>
      </c>
      <c r="F4037" s="87" t="str">
        <f>IFERROR(__xludf.DUMMYFUNCTION("""COMPUTED_VALUE"""),"HH3246")</f>
        <v>HH3246</v>
      </c>
      <c r="G4037" s="87" t="str">
        <f>IFERROR(__xludf.DUMMYFUNCTION("""COMPUTED_VALUE"""),"IDA Global - I - 3246 - ĐL ÚT TÈO - ORGANIC X2 (Nước nâu đen) - 1L - 20")</f>
        <v>IDA Global - I - 3246 - ĐL ÚT TÈO - ORGANIC X2 (Nước nâu đen) - 1L - 20</v>
      </c>
    </row>
    <row r="4038">
      <c r="A4038" s="86">
        <f>IFERROR(__xludf.DUMMYFUNCTION("""COMPUTED_VALUE"""),4036.0)</f>
        <v>4036</v>
      </c>
      <c r="B4038" s="87" t="str">
        <f>IFERROR(__xludf.DUMMYFUNCTION("""COMPUTED_VALUE"""),"Nhãn")</f>
        <v>Nhãn</v>
      </c>
      <c r="C4038" s="87" t="str">
        <f>IFERROR(__xludf.DUMMYFUNCTION("""COMPUTED_VALUE"""),"NHG3247")</f>
        <v>NHG3247</v>
      </c>
      <c r="D4038" s="87" t="str">
        <f>IFERROR(__xludf.DUMMYFUNCTION("""COMPUTED_VALUE"""),"[Nhãn] GC - IV - 3247 - CTY ASAHI NHẬT BẢN - KÍCH PHÁT TỐ RA HOA SAMURAI (Gel xanh lá) - 500ml - 40")</f>
        <v>[Nhãn] GC - IV - 3247 - CTY ASAHI NHẬT BẢN - KÍCH PHÁT TỐ RA HOA SAMURAI (Gel xanh lá) - 500ml - 40</v>
      </c>
      <c r="E4038" s="87" t="str">
        <f>IFERROR(__xludf.DUMMYFUNCTION("""COMPUTED_VALUE"""),"Vi lượng AGAMA-SUPPORT")</f>
        <v>Vi lượng AGAMA-SUPPORT</v>
      </c>
      <c r="F4038" s="87" t="str">
        <f>IFERROR(__xludf.DUMMYFUNCTION("""COMPUTED_VALUE"""),"HH3247")</f>
        <v>HH3247</v>
      </c>
      <c r="G4038" s="87" t="str">
        <f>IFERROR(__xludf.DUMMYFUNCTION("""COMPUTED_VALUE"""),"GC - IV - 3247 - CTY ASAHI NHẬT BẢN - KÍCH PHÁT TỐ RA HOA SAMURAI (Gel xanh lá) - 500ml - 40")</f>
        <v>GC - IV - 3247 - CTY ASAHI NHẬT BẢN - KÍCH PHÁT TỐ RA HOA SAMURAI (Gel xanh lá) - 500ml - 40</v>
      </c>
    </row>
    <row r="4039">
      <c r="A4039" s="86">
        <f>IFERROR(__xludf.DUMMYFUNCTION("""COMPUTED_VALUE"""),4037.0)</f>
        <v>4037</v>
      </c>
      <c r="B4039" s="87" t="str">
        <f>IFERROR(__xludf.DUMMYFUNCTION("""COMPUTED_VALUE"""),"Nhãn")</f>
        <v>Nhãn</v>
      </c>
      <c r="C4039" s="87" t="str">
        <f>IFERROR(__xludf.DUMMYFUNCTION("""COMPUTED_VALUE"""),"NHG3248")</f>
        <v>NHG3248</v>
      </c>
      <c r="D4039" s="87" t="str">
        <f>IFERROR(__xludf.DUMMYFUNCTION("""COMPUTED_VALUE"""),"[Nhãn] GC - IV - 3248 - CTY ASAHI NHẬT BẢN - KÍCH PHÁT TỐ RA HOA SAKURA (Gel xanh lá) - 500ml - 40")</f>
        <v>[Nhãn] GC - IV - 3248 - CTY ASAHI NHẬT BẢN - KÍCH PHÁT TỐ RA HOA SAKURA (Gel xanh lá) - 500ml - 40</v>
      </c>
      <c r="E4039" s="87" t="str">
        <f>IFERROR(__xludf.DUMMYFUNCTION("""COMPUTED_VALUE"""),"Vi lượng AGAMA-SUPPORT")</f>
        <v>Vi lượng AGAMA-SUPPORT</v>
      </c>
      <c r="F4039" s="87" t="str">
        <f>IFERROR(__xludf.DUMMYFUNCTION("""COMPUTED_VALUE"""),"HH3248")</f>
        <v>HH3248</v>
      </c>
      <c r="G4039" s="87" t="str">
        <f>IFERROR(__xludf.DUMMYFUNCTION("""COMPUTED_VALUE"""),"GC - IV - 3248 - CTY ASAHI NHẬT BẢN - KÍCH PHÁT TỐ RA HOA SAKURA (Gel xanh lá) - 500ml - 40")</f>
        <v>GC - IV - 3248 - CTY ASAHI NHẬT BẢN - KÍCH PHÁT TỐ RA HOA SAKURA (Gel xanh lá) - 500ml - 40</v>
      </c>
    </row>
    <row r="4040">
      <c r="A4040" s="86">
        <f>IFERROR(__xludf.DUMMYFUNCTION("""COMPUTED_VALUE"""),4038.0)</f>
        <v>4038</v>
      </c>
      <c r="B4040" s="87" t="str">
        <f>IFERROR(__xludf.DUMMYFUNCTION("""COMPUTED_VALUE"""),"Nhãn")</f>
        <v>Nhãn</v>
      </c>
      <c r="C4040" s="87" t="str">
        <f>IFERROR(__xludf.DUMMYFUNCTION("""COMPUTED_VALUE"""),"NHG3249")</f>
        <v>NHG3249</v>
      </c>
      <c r="D4040" s="87" t="str">
        <f>IFERROR(__xludf.DUMMYFUNCTION("""COMPUTED_VALUE"""),"[Nhãn] IDA Global - I - 3249 - KG - ORGANIC X2 (Nước nâu đen) - 1L - 20")</f>
        <v>[Nhãn] IDA Global - I - 3249 - KG - ORGANIC X2 (Nước nâu đen) - 1L - 20</v>
      </c>
      <c r="E4040" s="87" t="str">
        <f>IFERROR(__xludf.DUMMYFUNCTION("""COMPUTED_VALUE"""),"Hữu cơ SH Agro Organic Fertilizer 20")</f>
        <v>Hữu cơ SH Agro Organic Fertilizer 20</v>
      </c>
      <c r="F4040" s="87" t="str">
        <f>IFERROR(__xludf.DUMMYFUNCTION("""COMPUTED_VALUE"""),"HH3249")</f>
        <v>HH3249</v>
      </c>
      <c r="G4040" s="87" t="str">
        <f>IFERROR(__xludf.DUMMYFUNCTION("""COMPUTED_VALUE"""),"IDA Global - I - 3249 - KG - ORGANIC X2 (Nước nâu đen) - 1L - 20")</f>
        <v>IDA Global - I - 3249 - KG - ORGANIC X2 (Nước nâu đen) - 1L - 20</v>
      </c>
    </row>
    <row r="4041">
      <c r="A4041" s="86">
        <f>IFERROR(__xludf.DUMMYFUNCTION("""COMPUTED_VALUE"""),4039.0)</f>
        <v>4039</v>
      </c>
      <c r="B4041" s="87" t="str">
        <f>IFERROR(__xludf.DUMMYFUNCTION("""COMPUTED_VALUE"""),"Nhãn")</f>
        <v>Nhãn</v>
      </c>
      <c r="C4041" s="87" t="str">
        <f>IFERROR(__xludf.DUMMYFUNCTION("""COMPUTED_VALUE"""),"NTN3250")</f>
        <v>NTN3250</v>
      </c>
      <c r="D4041" s="87" t="str">
        <f>IFERROR(__xludf.DUMMYFUNCTION("""COMPUTED_VALUE"""),"[Nhãn] GC - IV - 3250 - CTY VISANTO - OGAMI (Dạng cốm màu trắng ngà) - 50gr - 100")</f>
        <v>[Nhãn] GC - IV - 3250 - CTY VISANTO - OGAMI (Dạng cốm màu trắng ngà) - 50gr - 100</v>
      </c>
      <c r="E4041" s="87" t="str">
        <f>IFERROR(__xludf.DUMMYFUNCTION("""COMPUTED_VALUE"""),"CYAT 525WG")</f>
        <v>CYAT 525WG</v>
      </c>
      <c r="F4041" s="87" t="str">
        <f>IFERROR(__xludf.DUMMYFUNCTION("""COMPUTED_VALUE"""),"HH3250")</f>
        <v>HH3250</v>
      </c>
      <c r="G4041" s="87" t="str">
        <f>IFERROR(__xludf.DUMMYFUNCTION("""COMPUTED_VALUE"""),"GC - IV - 3250 - CTY VISANTO - OGAMI (Dạng cốm màu trắng ngà) - 50gr - 100")</f>
        <v>GC - IV - 3250 - CTY VISANTO - OGAMI (Dạng cốm màu trắng ngà) - 50gr - 100</v>
      </c>
    </row>
    <row r="4042">
      <c r="A4042" s="86">
        <f>IFERROR(__xludf.DUMMYFUNCTION("""COMPUTED_VALUE"""),4040.0)</f>
        <v>4040</v>
      </c>
      <c r="B4042" s="87" t="str">
        <f>IFERROR(__xludf.DUMMYFUNCTION("""COMPUTED_VALUE"""),"Nhãn thùng")</f>
        <v>Nhãn thùng</v>
      </c>
      <c r="C4042" s="87" t="str">
        <f>IFERROR(__xludf.DUMMYFUNCTION("""COMPUTED_VALUE"""),"NDT3250")</f>
        <v>NDT3250</v>
      </c>
      <c r="D4042" s="87" t="str">
        <f>IFERROR(__xludf.DUMMYFUNCTION("""COMPUTED_VALUE"""),"[Nhãn thùng] GC - IV - 3250 - CTY VISANTO - OGAMI (Dạng cốm màu trắng ngà) - 50gr - 100")</f>
        <v>[Nhãn thùng] GC - IV - 3250 - CTY VISANTO - OGAMI (Dạng cốm màu trắng ngà) - 50gr - 100</v>
      </c>
      <c r="E4042" s="87" t="str">
        <f>IFERROR(__xludf.DUMMYFUNCTION("""COMPUTED_VALUE"""),"CYAT 525WG")</f>
        <v>CYAT 525WG</v>
      </c>
      <c r="F4042" s="87" t="str">
        <f>IFERROR(__xludf.DUMMYFUNCTION("""COMPUTED_VALUE"""),"HH3250")</f>
        <v>HH3250</v>
      </c>
      <c r="G4042" s="87" t="str">
        <f>IFERROR(__xludf.DUMMYFUNCTION("""COMPUTED_VALUE"""),"GC - IV - 3250 - CTY VISANTO - OGAMI (Dạng cốm màu trắng ngà) - 50gr - 100")</f>
        <v>GC - IV - 3250 - CTY VISANTO - OGAMI (Dạng cốm màu trắng ngà) - 50gr - 100</v>
      </c>
    </row>
    <row r="4043">
      <c r="A4043" s="86">
        <f>IFERROR(__xludf.DUMMYFUNCTION("""COMPUTED_VALUE"""),4041.0)</f>
        <v>4041</v>
      </c>
      <c r="B4043" s="87" t="str">
        <f>IFERROR(__xludf.DUMMYFUNCTION("""COMPUTED_VALUE"""),"Nhãn")</f>
        <v>Nhãn</v>
      </c>
      <c r="C4043" s="87" t="str">
        <f>IFERROR(__xludf.DUMMYFUNCTION("""COMPUTED_VALUE"""),"NHG3253")</f>
        <v>NHG3253</v>
      </c>
      <c r="D4043" s="87" t="str">
        <f>IFERROR(__xludf.DUMMYFUNCTION("""COMPUTED_VALUE"""),"[Nhãn] GC - IV - 3253 - NHP - Killmite (Nước tím) - 250ml - 40")</f>
        <v>[Nhãn] GC - IV - 3253 - NHP - Killmite (Nước tím) - 250ml - 40</v>
      </c>
      <c r="E4043" s="87" t="str">
        <f>IFERROR(__xludf.DUMMYFUNCTION("""COMPUTED_VALUE"""),"Chitin 3.6EC")</f>
        <v>Chitin 3.6EC</v>
      </c>
      <c r="F4043" s="87" t="str">
        <f>IFERROR(__xludf.DUMMYFUNCTION("""COMPUTED_VALUE"""),"HH3253")</f>
        <v>HH3253</v>
      </c>
      <c r="G4043" s="87" t="str">
        <f>IFERROR(__xludf.DUMMYFUNCTION("""COMPUTED_VALUE"""),"GC - IV - 3253 - NHP - Killmite (Nước tím) - 250ml - 40")</f>
        <v>GC - IV - 3253 - NHP - Killmite (Nước tím) - 250ml - 40</v>
      </c>
    </row>
    <row r="4044">
      <c r="A4044" s="86">
        <f>IFERROR(__xludf.DUMMYFUNCTION("""COMPUTED_VALUE"""),4042.0)</f>
        <v>4042</v>
      </c>
      <c r="B4044" s="87" t="str">
        <f>IFERROR(__xludf.DUMMYFUNCTION("""COMPUTED_VALUE"""),"Nhãn")</f>
        <v>Nhãn</v>
      </c>
      <c r="C4044" s="87" t="str">
        <f>IFERROR(__xludf.DUMMYFUNCTION("""COMPUTED_VALUE"""),"NHD3254")</f>
        <v>NHD3254</v>
      </c>
      <c r="D4044" s="87" t="str">
        <f>IFERROR(__xludf.DUMMYFUNCTION("""COMPUTED_VALUE"""),"[Nhãn] GC - IV - 3254 - CTY ASAHI NHẬT BẢN - SAMURAI 33-11-11 +TE (Nước nâu đen) - 5L - 4")</f>
        <v>[Nhãn] GC - IV - 3254 - CTY ASAHI NHẬT BẢN - SAMURAI 33-11-11 +TE (Nước nâu đen) - 5L - 4</v>
      </c>
      <c r="E4044" s="87" t="str">
        <f>IFERROR(__xludf.DUMMYFUNCTION("""COMPUTED_VALUE"""),"Hữu cơ SH Agro Organic Fertilizer 20")</f>
        <v>Hữu cơ SH Agro Organic Fertilizer 20</v>
      </c>
      <c r="F4044" s="87" t="str">
        <f>IFERROR(__xludf.DUMMYFUNCTION("""COMPUTED_VALUE"""),"HH3254")</f>
        <v>HH3254</v>
      </c>
      <c r="G4044" s="87" t="str">
        <f>IFERROR(__xludf.DUMMYFUNCTION("""COMPUTED_VALUE"""),"GC - IV - 3254 - CTY ASAHI NHẬT BẢN - SAMURAI 33-11-11 +TE (Nước nâu đen) - 5L - 4")</f>
        <v>GC - IV - 3254 - CTY ASAHI NHẬT BẢN - SAMURAI 33-11-11 +TE (Nước nâu đen) - 5L - 4</v>
      </c>
    </row>
    <row r="4045">
      <c r="A4045" s="86">
        <f>IFERROR(__xludf.DUMMYFUNCTION("""COMPUTED_VALUE"""),4043.0)</f>
        <v>4043</v>
      </c>
      <c r="B4045" s="87" t="str">
        <f>IFERROR(__xludf.DUMMYFUNCTION("""COMPUTED_VALUE"""),"Nhãn")</f>
        <v>Nhãn</v>
      </c>
      <c r="C4045" s="87" t="str">
        <f>IFERROR(__xludf.DUMMYFUNCTION("""COMPUTED_VALUE"""),"NHG3254")</f>
        <v>NHG3254</v>
      </c>
      <c r="D4045" s="87" t="str">
        <f>IFERROR(__xludf.DUMMYFUNCTION("""COMPUTED_VALUE"""),"[Nhãn] GC - IV - 3254 - CTY ASAHI NHẬT BẢN - SAMURAI 33-11-11 +TE (Nước nâu đen) - 5L - 4")</f>
        <v>[Nhãn] GC - IV - 3254 - CTY ASAHI NHẬT BẢN - SAMURAI 33-11-11 +TE (Nước nâu đen) - 5L - 4</v>
      </c>
      <c r="E4045" s="87" t="str">
        <f>IFERROR(__xludf.DUMMYFUNCTION("""COMPUTED_VALUE"""),"Hữu cơ SH Agro Organic Fertilizer 20")</f>
        <v>Hữu cơ SH Agro Organic Fertilizer 20</v>
      </c>
      <c r="F4045" s="87" t="str">
        <f>IFERROR(__xludf.DUMMYFUNCTION("""COMPUTED_VALUE"""),"HH3254")</f>
        <v>HH3254</v>
      </c>
      <c r="G4045" s="87" t="str">
        <f>IFERROR(__xludf.DUMMYFUNCTION("""COMPUTED_VALUE"""),"GC - IV - 3254 - CTY ASAHI NHẬT BẢN - SAMURAI 33-11-11 +TE (Nước nâu đen) - 5L - 4")</f>
        <v>GC - IV - 3254 - CTY ASAHI NHẬT BẢN - SAMURAI 33-11-11 +TE (Nước nâu đen) - 5L - 4</v>
      </c>
    </row>
    <row r="4046">
      <c r="A4046" s="86">
        <f>IFERROR(__xludf.DUMMYFUNCTION("""COMPUTED_VALUE"""),4044.0)</f>
        <v>4044</v>
      </c>
      <c r="B4046" s="87" t="str">
        <f>IFERROR(__xludf.DUMMYFUNCTION("""COMPUTED_VALUE"""),"Nhãn thùng")</f>
        <v>Nhãn thùng</v>
      </c>
      <c r="C4046" s="87" t="str">
        <f>IFERROR(__xludf.DUMMYFUNCTION("""COMPUTED_VALUE"""),"NDT3254")</f>
        <v>NDT3254</v>
      </c>
      <c r="D4046" s="87" t="str">
        <f>IFERROR(__xludf.DUMMYFUNCTION("""COMPUTED_VALUE"""),"[Nhãn thùng] GC - IV - 3254 - CTY ASAHI NHẬT BẢN - SAMURAI 33-11-11 +TE (Nước nâu đen) - 5L - 4")</f>
        <v>[Nhãn thùng] GC - IV - 3254 - CTY ASAHI NHẬT BẢN - SAMURAI 33-11-11 +TE (Nước nâu đen) - 5L - 4</v>
      </c>
      <c r="E4046" s="87" t="str">
        <f>IFERROR(__xludf.DUMMYFUNCTION("""COMPUTED_VALUE"""),"Hữu cơ SH Agro Organic Fertilizer 20")</f>
        <v>Hữu cơ SH Agro Organic Fertilizer 20</v>
      </c>
      <c r="F4046" s="87" t="str">
        <f>IFERROR(__xludf.DUMMYFUNCTION("""COMPUTED_VALUE"""),"HH3254")</f>
        <v>HH3254</v>
      </c>
      <c r="G4046" s="87" t="str">
        <f>IFERROR(__xludf.DUMMYFUNCTION("""COMPUTED_VALUE"""),"GC - IV - 3254 - CTY ASAHI NHẬT BẢN - SAMURAI 33-11-11 +TE (Nước nâu đen) - 5L - 4")</f>
        <v>GC - IV - 3254 - CTY ASAHI NHẬT BẢN - SAMURAI 33-11-11 +TE (Nước nâu đen) - 5L - 4</v>
      </c>
    </row>
    <row r="4047">
      <c r="A4047" s="86">
        <f>IFERROR(__xludf.DUMMYFUNCTION("""COMPUTED_VALUE"""),4045.0)</f>
        <v>4045</v>
      </c>
      <c r="B4047" s="87" t="str">
        <f>IFERROR(__xludf.DUMMYFUNCTION("""COMPUTED_VALUE"""),"Nhãn")</f>
        <v>Nhãn</v>
      </c>
      <c r="C4047" s="87" t="str">
        <f>IFERROR(__xludf.DUMMYFUNCTION("""COMPUTED_VALUE"""),"NHD3255")</f>
        <v>NHD3255</v>
      </c>
      <c r="D4047" s="87" t="str">
        <f>IFERROR(__xludf.DUMMYFUNCTION("""COMPUTED_VALUE"""),"[Nhãn] GC - IV - 3255 - CTY ASAHI NHẬT BẢN -  SAMURAI MASTER FRUIT (Nước nâu đen) - 5L - 4")</f>
        <v>[Nhãn] GC - IV - 3255 - CTY ASAHI NHẬT BẢN -  SAMURAI MASTER FRUIT (Nước nâu đen) - 5L - 4</v>
      </c>
      <c r="E4047" s="87" t="str">
        <f>IFERROR(__xludf.DUMMYFUNCTION("""COMPUTED_VALUE"""),"Hữu cơ SH Agro Organic Fertilizer 20")</f>
        <v>Hữu cơ SH Agro Organic Fertilizer 20</v>
      </c>
      <c r="F4047" s="87" t="str">
        <f>IFERROR(__xludf.DUMMYFUNCTION("""COMPUTED_VALUE"""),"HH3255")</f>
        <v>HH3255</v>
      </c>
      <c r="G4047" s="87" t="str">
        <f>IFERROR(__xludf.DUMMYFUNCTION("""COMPUTED_VALUE"""),"GC - IV - 3255 - CTY ASAHI NHẬT BẢN -  SAMURAI MASTER FRUIT (Nước nâu đen) - 5L - 4")</f>
        <v>GC - IV - 3255 - CTY ASAHI NHẬT BẢN -  SAMURAI MASTER FRUIT (Nước nâu đen) - 5L - 4</v>
      </c>
    </row>
    <row r="4048">
      <c r="A4048" s="86">
        <f>IFERROR(__xludf.DUMMYFUNCTION("""COMPUTED_VALUE"""),4046.0)</f>
        <v>4046</v>
      </c>
      <c r="B4048" s="87" t="str">
        <f>IFERROR(__xludf.DUMMYFUNCTION("""COMPUTED_VALUE"""),"Nhãn")</f>
        <v>Nhãn</v>
      </c>
      <c r="C4048" s="87" t="str">
        <f>IFERROR(__xludf.DUMMYFUNCTION("""COMPUTED_VALUE"""),"NHG3255")</f>
        <v>NHG3255</v>
      </c>
      <c r="D4048" s="87" t="str">
        <f>IFERROR(__xludf.DUMMYFUNCTION("""COMPUTED_VALUE"""),"[Nhãn] GC - IV - 3255 - CTY ASAHI NHẬT BẢN -  SAMURAI MASTER FRUIT (Nước nâu đen) - 5L - 4")</f>
        <v>[Nhãn] GC - IV - 3255 - CTY ASAHI NHẬT BẢN -  SAMURAI MASTER FRUIT (Nước nâu đen) - 5L - 4</v>
      </c>
      <c r="E4048" s="87" t="str">
        <f>IFERROR(__xludf.DUMMYFUNCTION("""COMPUTED_VALUE"""),"Hữu cơ SH Agro Organic Fertilizer 20")</f>
        <v>Hữu cơ SH Agro Organic Fertilizer 20</v>
      </c>
      <c r="F4048" s="87" t="str">
        <f>IFERROR(__xludf.DUMMYFUNCTION("""COMPUTED_VALUE"""),"HH3255")</f>
        <v>HH3255</v>
      </c>
      <c r="G4048" s="87" t="str">
        <f>IFERROR(__xludf.DUMMYFUNCTION("""COMPUTED_VALUE"""),"GC - IV - 3255 - CTY ASAHI NHẬT BẢN -  SAMURAI MASTER FRUIT (Nước nâu đen) - 5L - 4")</f>
        <v>GC - IV - 3255 - CTY ASAHI NHẬT BẢN -  SAMURAI MASTER FRUIT (Nước nâu đen) - 5L - 4</v>
      </c>
    </row>
    <row r="4049">
      <c r="A4049" s="86">
        <f>IFERROR(__xludf.DUMMYFUNCTION("""COMPUTED_VALUE"""),4047.0)</f>
        <v>4047</v>
      </c>
      <c r="B4049" s="87" t="str">
        <f>IFERROR(__xludf.DUMMYFUNCTION("""COMPUTED_VALUE"""),"Nhãn thùng")</f>
        <v>Nhãn thùng</v>
      </c>
      <c r="C4049" s="87" t="str">
        <f>IFERROR(__xludf.DUMMYFUNCTION("""COMPUTED_VALUE"""),"NDT3255")</f>
        <v>NDT3255</v>
      </c>
      <c r="D4049" s="87" t="str">
        <f>IFERROR(__xludf.DUMMYFUNCTION("""COMPUTED_VALUE"""),"[Nhãn thùng] GC - IV - 3255 - CTY ASAHI NHẬT BẢN -  SAMURAI MASTER FRUIT (Nước nâu đen) - 5L - 4")</f>
        <v>[Nhãn thùng] GC - IV - 3255 - CTY ASAHI NHẬT BẢN -  SAMURAI MASTER FRUIT (Nước nâu đen) - 5L - 4</v>
      </c>
      <c r="E4049" s="87" t="str">
        <f>IFERROR(__xludf.DUMMYFUNCTION("""COMPUTED_VALUE"""),"Hữu cơ SH Agro Organic Fertilizer 20")</f>
        <v>Hữu cơ SH Agro Organic Fertilizer 20</v>
      </c>
      <c r="F4049" s="87" t="str">
        <f>IFERROR(__xludf.DUMMYFUNCTION("""COMPUTED_VALUE"""),"HH3255")</f>
        <v>HH3255</v>
      </c>
      <c r="G4049" s="87" t="str">
        <f>IFERROR(__xludf.DUMMYFUNCTION("""COMPUTED_VALUE"""),"GC - IV - 3255 - CTY ASAHI NHẬT BẢN -  SAMURAI MASTER FRUIT (Nước nâu đen) - 5L - 4")</f>
        <v>GC - IV - 3255 - CTY ASAHI NHẬT BẢN -  SAMURAI MASTER FRUIT (Nước nâu đen) - 5L - 4</v>
      </c>
    </row>
    <row r="4050">
      <c r="A4050" s="86">
        <f>IFERROR(__xludf.DUMMYFUNCTION("""COMPUTED_VALUE"""),4048.0)</f>
        <v>4048</v>
      </c>
      <c r="B4050" s="87" t="str">
        <f>IFERROR(__xludf.DUMMYFUNCTION("""COMPUTED_VALUE"""),"Nhãn")</f>
        <v>Nhãn</v>
      </c>
      <c r="C4050" s="87" t="str">
        <f>IFERROR(__xludf.DUMMYFUNCTION("""COMPUTED_VALUE"""),"NHD3256")</f>
        <v>NHD3256</v>
      </c>
      <c r="D4050" s="87" t="str">
        <f>IFERROR(__xludf.DUMMYFUNCTION("""COMPUTED_VALUE"""),"[Nhãn] GC - IV - 3256 - CTY ASAHI NHẬT BẢN - SAKURA MASTER BUD (Nước nâu đen) - 5L - 4")</f>
        <v>[Nhãn] GC - IV - 3256 - CTY ASAHI NHẬT BẢN - SAKURA MASTER BUD (Nước nâu đen) - 5L - 4</v>
      </c>
      <c r="E4050" s="87" t="str">
        <f>IFERROR(__xludf.DUMMYFUNCTION("""COMPUTED_VALUE"""),"Hữu cơ SH Agro Organic Fertilizer 20")</f>
        <v>Hữu cơ SH Agro Organic Fertilizer 20</v>
      </c>
      <c r="F4050" s="87" t="str">
        <f>IFERROR(__xludf.DUMMYFUNCTION("""COMPUTED_VALUE"""),"HH3256")</f>
        <v>HH3256</v>
      </c>
      <c r="G4050" s="87" t="str">
        <f>IFERROR(__xludf.DUMMYFUNCTION("""COMPUTED_VALUE"""),"GC - IV - 3256 - CTY ASAHI NHẬT BẢN - SAKURA MASTER BUD (Nước nâu đen) - 5L - 4")</f>
        <v>GC - IV - 3256 - CTY ASAHI NHẬT BẢN - SAKURA MASTER BUD (Nước nâu đen) - 5L - 4</v>
      </c>
    </row>
    <row r="4051">
      <c r="A4051" s="86">
        <f>IFERROR(__xludf.DUMMYFUNCTION("""COMPUTED_VALUE"""),4049.0)</f>
        <v>4049</v>
      </c>
      <c r="B4051" s="87" t="str">
        <f>IFERROR(__xludf.DUMMYFUNCTION("""COMPUTED_VALUE"""),"Nhãn")</f>
        <v>Nhãn</v>
      </c>
      <c r="C4051" s="87" t="str">
        <f>IFERROR(__xludf.DUMMYFUNCTION("""COMPUTED_VALUE"""),"NHG3256")</f>
        <v>NHG3256</v>
      </c>
      <c r="D4051" s="87" t="str">
        <f>IFERROR(__xludf.DUMMYFUNCTION("""COMPUTED_VALUE"""),"[Nhãn] GC - IV - 3256 - CTY ASAHI NHẬT BẢN - SAKURA MASTER BUD (Nước nâu đen) - 5L - 4")</f>
        <v>[Nhãn] GC - IV - 3256 - CTY ASAHI NHẬT BẢN - SAKURA MASTER BUD (Nước nâu đen) - 5L - 4</v>
      </c>
      <c r="E4051" s="87" t="str">
        <f>IFERROR(__xludf.DUMMYFUNCTION("""COMPUTED_VALUE"""),"Hữu cơ SH Agro Organic Fertilizer 20")</f>
        <v>Hữu cơ SH Agro Organic Fertilizer 20</v>
      </c>
      <c r="F4051" s="87" t="str">
        <f>IFERROR(__xludf.DUMMYFUNCTION("""COMPUTED_VALUE"""),"HH3256")</f>
        <v>HH3256</v>
      </c>
      <c r="G4051" s="87" t="str">
        <f>IFERROR(__xludf.DUMMYFUNCTION("""COMPUTED_VALUE"""),"GC - IV - 3256 - CTY ASAHI NHẬT BẢN - SAKURA MASTER BUD (Nước nâu đen) - 5L - 4")</f>
        <v>GC - IV - 3256 - CTY ASAHI NHẬT BẢN - SAKURA MASTER BUD (Nước nâu đen) - 5L - 4</v>
      </c>
    </row>
    <row r="4052">
      <c r="A4052" s="86">
        <f>IFERROR(__xludf.DUMMYFUNCTION("""COMPUTED_VALUE"""),4050.0)</f>
        <v>4050</v>
      </c>
      <c r="B4052" s="87" t="str">
        <f>IFERROR(__xludf.DUMMYFUNCTION("""COMPUTED_VALUE"""),"Nhãn thùng")</f>
        <v>Nhãn thùng</v>
      </c>
      <c r="C4052" s="87" t="str">
        <f>IFERROR(__xludf.DUMMYFUNCTION("""COMPUTED_VALUE"""),"NDT3256")</f>
        <v>NDT3256</v>
      </c>
      <c r="D4052" s="87" t="str">
        <f>IFERROR(__xludf.DUMMYFUNCTION("""COMPUTED_VALUE"""),"[Nhãn thùng] GC - IV - 3256 - CTY ASAHI NHẬT BẢN - SAKURA MASTER BUD (Nước nâu đen) - 5L - 4")</f>
        <v>[Nhãn thùng] GC - IV - 3256 - CTY ASAHI NHẬT BẢN - SAKURA MASTER BUD (Nước nâu đen) - 5L - 4</v>
      </c>
      <c r="E4052" s="87" t="str">
        <f>IFERROR(__xludf.DUMMYFUNCTION("""COMPUTED_VALUE"""),"Hữu cơ SH Agro Organic Fertilizer 20")</f>
        <v>Hữu cơ SH Agro Organic Fertilizer 20</v>
      </c>
      <c r="F4052" s="87" t="str">
        <f>IFERROR(__xludf.DUMMYFUNCTION("""COMPUTED_VALUE"""),"HH3256")</f>
        <v>HH3256</v>
      </c>
      <c r="G4052" s="87" t="str">
        <f>IFERROR(__xludf.DUMMYFUNCTION("""COMPUTED_VALUE"""),"GC - IV - 3256 - CTY ASAHI NHẬT BẢN - SAKURA MASTER BUD (Nước nâu đen) - 5L - 4")</f>
        <v>GC - IV - 3256 - CTY ASAHI NHẬT BẢN - SAKURA MASTER BUD (Nước nâu đen) - 5L - 4</v>
      </c>
    </row>
    <row r="4053">
      <c r="A4053" s="86">
        <f>IFERROR(__xludf.DUMMYFUNCTION("""COMPUTED_VALUE"""),4051.0)</f>
        <v>4051</v>
      </c>
      <c r="B4053" s="87" t="str">
        <f>IFERROR(__xludf.DUMMYFUNCTION("""COMPUTED_VALUE"""),"Nhãn")</f>
        <v>Nhãn</v>
      </c>
      <c r="C4053" s="87" t="str">
        <f>IFERROR(__xludf.DUMMYFUNCTION("""COMPUTED_VALUE"""),"NHD3257")</f>
        <v>NHD3257</v>
      </c>
      <c r="D4053" s="87" t="str">
        <f>IFERROR(__xludf.DUMMYFUNCTION("""COMPUTED_VALUE"""),"[Nhãn] GC - IV - 3257 - CTY ASAHI NHẬT BẢN - SAKURA BIG FRUIT (Nước nâu đen) - 5L - 4")</f>
        <v>[Nhãn] GC - IV - 3257 - CTY ASAHI NHẬT BẢN - SAKURA BIG FRUIT (Nước nâu đen) - 5L - 4</v>
      </c>
      <c r="E4053" s="87" t="str">
        <f>IFERROR(__xludf.DUMMYFUNCTION("""COMPUTED_VALUE"""),"Hữu cơ SH Agro Organic Fertilizer 20")</f>
        <v>Hữu cơ SH Agro Organic Fertilizer 20</v>
      </c>
      <c r="F4053" s="87" t="str">
        <f>IFERROR(__xludf.DUMMYFUNCTION("""COMPUTED_VALUE"""),"HH3257")</f>
        <v>HH3257</v>
      </c>
      <c r="G4053" s="87" t="str">
        <f>IFERROR(__xludf.DUMMYFUNCTION("""COMPUTED_VALUE"""),"GC - IV - 3257 - CTY ASAHI NHẬT BẢN - SAKURA BIG FRUIT (Nước nâu đen) - 5L - 4")</f>
        <v>GC - IV - 3257 - CTY ASAHI NHẬT BẢN - SAKURA BIG FRUIT (Nước nâu đen) - 5L - 4</v>
      </c>
    </row>
    <row r="4054">
      <c r="A4054" s="86">
        <f>IFERROR(__xludf.DUMMYFUNCTION("""COMPUTED_VALUE"""),4052.0)</f>
        <v>4052</v>
      </c>
      <c r="B4054" s="87" t="str">
        <f>IFERROR(__xludf.DUMMYFUNCTION("""COMPUTED_VALUE"""),"Nhãn")</f>
        <v>Nhãn</v>
      </c>
      <c r="C4054" s="87" t="str">
        <f>IFERROR(__xludf.DUMMYFUNCTION("""COMPUTED_VALUE"""),"NHG3257")</f>
        <v>NHG3257</v>
      </c>
      <c r="D4054" s="87" t="str">
        <f>IFERROR(__xludf.DUMMYFUNCTION("""COMPUTED_VALUE"""),"[Nhãn] GC - IV - 3257 - CTY ASAHI NHẬT BẢN - SAKURA BIG FRUIT (Nước nâu đen) - 5L - 4")</f>
        <v>[Nhãn] GC - IV - 3257 - CTY ASAHI NHẬT BẢN - SAKURA BIG FRUIT (Nước nâu đen) - 5L - 4</v>
      </c>
      <c r="E4054" s="87" t="str">
        <f>IFERROR(__xludf.DUMMYFUNCTION("""COMPUTED_VALUE"""),"Hữu cơ SH Agro Organic Fertilizer 20")</f>
        <v>Hữu cơ SH Agro Organic Fertilizer 20</v>
      </c>
      <c r="F4054" s="87" t="str">
        <f>IFERROR(__xludf.DUMMYFUNCTION("""COMPUTED_VALUE"""),"HH3257")</f>
        <v>HH3257</v>
      </c>
      <c r="G4054" s="87" t="str">
        <f>IFERROR(__xludf.DUMMYFUNCTION("""COMPUTED_VALUE"""),"GC - IV - 3257 - CTY ASAHI NHẬT BẢN - SAKURA BIG FRUIT (Nước nâu đen) - 5L - 4")</f>
        <v>GC - IV - 3257 - CTY ASAHI NHẬT BẢN - SAKURA BIG FRUIT (Nước nâu đen) - 5L - 4</v>
      </c>
    </row>
    <row r="4055">
      <c r="A4055" s="86">
        <f>IFERROR(__xludf.DUMMYFUNCTION("""COMPUTED_VALUE"""),4053.0)</f>
        <v>4053</v>
      </c>
      <c r="B4055" s="87" t="str">
        <f>IFERROR(__xludf.DUMMYFUNCTION("""COMPUTED_VALUE"""),"Nhãn thùng")</f>
        <v>Nhãn thùng</v>
      </c>
      <c r="C4055" s="87" t="str">
        <f>IFERROR(__xludf.DUMMYFUNCTION("""COMPUTED_VALUE"""),"NDT3257")</f>
        <v>NDT3257</v>
      </c>
      <c r="D4055" s="87" t="str">
        <f>IFERROR(__xludf.DUMMYFUNCTION("""COMPUTED_VALUE"""),"[Nhãn thùng] GC - IV - 3257 - CTY ASAHI NHẬT BẢN - SAKURA BIG FRUIT (Nước nâu đen) - 5L - 4")</f>
        <v>[Nhãn thùng] GC - IV - 3257 - CTY ASAHI NHẬT BẢN - SAKURA BIG FRUIT (Nước nâu đen) - 5L - 4</v>
      </c>
      <c r="E4055" s="87" t="str">
        <f>IFERROR(__xludf.DUMMYFUNCTION("""COMPUTED_VALUE"""),"Hữu cơ SH Agro Organic Fertilizer 20")</f>
        <v>Hữu cơ SH Agro Organic Fertilizer 20</v>
      </c>
      <c r="F4055" s="87" t="str">
        <f>IFERROR(__xludf.DUMMYFUNCTION("""COMPUTED_VALUE"""),"HH3257")</f>
        <v>HH3257</v>
      </c>
      <c r="G4055" s="87" t="str">
        <f>IFERROR(__xludf.DUMMYFUNCTION("""COMPUTED_VALUE"""),"GC - IV - 3257 - CTY ASAHI NHẬT BẢN - SAKURA BIG FRUIT (Nước nâu đen) - 5L - 4")</f>
        <v>GC - IV - 3257 - CTY ASAHI NHẬT BẢN - SAKURA BIG FRUIT (Nước nâu đen) - 5L - 4</v>
      </c>
    </row>
    <row r="4056">
      <c r="A4056" s="86">
        <f>IFERROR(__xludf.DUMMYFUNCTION("""COMPUTED_VALUE"""),4054.0)</f>
        <v>4054</v>
      </c>
      <c r="B4056" s="87" t="str">
        <f>IFERROR(__xludf.DUMMYFUNCTION("""COMPUTED_VALUE"""),"Nhãn")</f>
        <v>Nhãn</v>
      </c>
      <c r="C4056" s="87" t="str">
        <f>IFERROR(__xludf.DUMMYFUNCTION("""COMPUTED_VALUE"""),"NHG3258")</f>
        <v>NHG3258</v>
      </c>
      <c r="D4056" s="87" t="str">
        <f>IFERROR(__xludf.DUMMYFUNCTION("""COMPUTED_VALUE"""),"[Nhãn] GC - II - 3258 - AGRITECH - AGRI EXTRA - (nước vàng) - 120ml - 50")</f>
        <v>[Nhãn] GC - II - 3258 - AGRITECH - AGRI EXTRA - (nước vàng) - 120ml - 50</v>
      </c>
      <c r="E4056" s="87" t="str">
        <f>IFERROR(__xludf.DUMMYFUNCTION("""COMPUTED_VALUE"""),"Vi lượng Quantity New")</f>
        <v>Vi lượng Quantity New</v>
      </c>
      <c r="F4056" s="87" t="str">
        <f>IFERROR(__xludf.DUMMYFUNCTION("""COMPUTED_VALUE"""),"HH3258")</f>
        <v>HH3258</v>
      </c>
      <c r="G4056" s="87" t="str">
        <f>IFERROR(__xludf.DUMMYFUNCTION("""COMPUTED_VALUE"""),"GC - II - 3258 - AGRITECH - AGRI EXTRA - (nước vàng) - 120ml - 50")</f>
        <v>GC - II - 3258 - AGRITECH - AGRI EXTRA - (nước vàng) - 120ml - 50</v>
      </c>
    </row>
    <row r="4057">
      <c r="A4057" s="86">
        <f>IFERROR(__xludf.DUMMYFUNCTION("""COMPUTED_VALUE"""),4055.0)</f>
        <v>4055</v>
      </c>
      <c r="B4057" s="87" t="str">
        <f>IFERROR(__xludf.DUMMYFUNCTION("""COMPUTED_VALUE"""),"Nhãn")</f>
        <v>Nhãn</v>
      </c>
      <c r="C4057" s="87" t="str">
        <f>IFERROR(__xludf.DUMMYFUNCTION("""COMPUTED_VALUE"""),"NHG3259")</f>
        <v>NHG3259</v>
      </c>
      <c r="D4057" s="87" t="str">
        <f>IFERROR(__xludf.DUMMYFUNCTION("""COMPUTED_VALUE"""),"[Nhãn] GC - IV - 3259 - Cty Hóa Nông Shino - ỐC 666 (Nước nâu đen) - 450ml - 40")</f>
        <v>[Nhãn] GC - IV - 3259 - Cty Hóa Nông Shino - ỐC 666 (Nước nâu đen) - 450ml - 40</v>
      </c>
      <c r="E4057" s="87" t="str">
        <f>IFERROR(__xludf.DUMMYFUNCTION("""COMPUTED_VALUE"""),"HAIHAMEC 3.6EC")</f>
        <v>HAIHAMEC 3.6EC</v>
      </c>
      <c r="F4057" s="87" t="str">
        <f>IFERROR(__xludf.DUMMYFUNCTION("""COMPUTED_VALUE"""),"HH3259")</f>
        <v>HH3259</v>
      </c>
      <c r="G4057" s="87" t="str">
        <f>IFERROR(__xludf.DUMMYFUNCTION("""COMPUTED_VALUE"""),"GC - IV - 3259 - Cty Hóa Nông Shino - ỐC 666 (Nước nâu đen) - 450ml - 40")</f>
        <v>GC - IV - 3259 - Cty Hóa Nông Shino - ỐC 666 (Nước nâu đen) - 450ml - 40</v>
      </c>
    </row>
    <row r="4058">
      <c r="A4058" s="86">
        <f>IFERROR(__xludf.DUMMYFUNCTION("""COMPUTED_VALUE"""),4056.0)</f>
        <v>4056</v>
      </c>
      <c r="B4058" s="87" t="str">
        <f>IFERROR(__xludf.DUMMYFUNCTION("""COMPUTED_VALUE"""),"[Nhãn]")</f>
        <v>[Nhãn]</v>
      </c>
      <c r="C4058" s="87" t="str">
        <f>IFERROR(__xludf.DUMMYFUNCTION("""COMPUTED_VALUE"""),"NHG3260")</f>
        <v>NHG3260</v>
      </c>
      <c r="D4058" s="87" t="str">
        <f>IFERROR(__xludf.DUMMYFUNCTION("""COMPUTED_VALUE"""),"[Nhãn] GC - IV - 3260 - CTY QUANG ĐĂNG AGRICULTURE - GENOL 1.2SL (Nước đỏ) - 450ml - 30")</f>
        <v>[Nhãn] GC - IV - 3260 - CTY QUANG ĐĂNG AGRICULTURE - GENOL 1.2SL (Nước đỏ) - 450ml - 30</v>
      </c>
      <c r="E4058" s="87" t="str">
        <f>IFERROR(__xludf.DUMMYFUNCTION("""COMPUTED_VALUE"""),"GENOL 1.2SL")</f>
        <v>GENOL 1.2SL</v>
      </c>
      <c r="F4058" s="87" t="str">
        <f>IFERROR(__xludf.DUMMYFUNCTION("""COMPUTED_VALUE"""),"HH3260")</f>
        <v>HH3260</v>
      </c>
      <c r="G4058" s="87" t="str">
        <f>IFERROR(__xludf.DUMMYFUNCTION("""COMPUTED_VALUE"""),"GC - IV - 3260 - Cty Quang Đăng Agriculture - GENOL 1.2SL (Nước đỏ) - 450ml - 30")</f>
        <v>GC - IV - 3260 - Cty Quang Đăng Agriculture - GENOL 1.2SL (Nước đỏ) - 450ml - 30</v>
      </c>
    </row>
    <row r="4059">
      <c r="A4059" s="86">
        <f>IFERROR(__xludf.DUMMYFUNCTION("""COMPUTED_VALUE"""),4057.0)</f>
        <v>4057</v>
      </c>
      <c r="B4059" s="87" t="str">
        <f>IFERROR(__xludf.DUMMYFUNCTION("""COMPUTED_VALUE"""),"[Nhãn]")</f>
        <v>[Nhãn]</v>
      </c>
      <c r="C4059" s="87" t="str">
        <f>IFERROR(__xludf.DUMMYFUNCTION("""COMPUTED_VALUE"""),"NHD3261")</f>
        <v>NHD3261</v>
      </c>
      <c r="D4059" s="87" t="str">
        <f>IFERROR(__xludf.DUMMYFUNCTION("""COMPUTED_VALUE"""),"[Nhãn] GC - IV - 3261 - CTY QUANG ĐĂNG AGRICULTURE - BIG FRUIT QĐ.KATO (Nước nâu đen) - 500ml - 40")</f>
        <v>[Nhãn] GC - IV - 3261 - CTY QUANG ĐĂNG AGRICULTURE - BIG FRUIT QĐ.KATO (Nước nâu đen) - 500ml - 40</v>
      </c>
      <c r="E4059" s="87" t="str">
        <f>IFERROR(__xludf.DUMMYFUNCTION("""COMPUTED_VALUE"""),"Vi lượng Quantity New")</f>
        <v>Vi lượng Quantity New</v>
      </c>
      <c r="F4059" s="87" t="str">
        <f>IFERROR(__xludf.DUMMYFUNCTION("""COMPUTED_VALUE"""),"HH3261")</f>
        <v>HH3261</v>
      </c>
      <c r="G4059" s="87" t="str">
        <f>IFERROR(__xludf.DUMMYFUNCTION("""COMPUTED_VALUE"""),"GC - IV - 3261 - Cty Quang Đăng Agriculture - BIG FRUIT QĐ.KATO (Nước nâu đen) - 500ml - 40")</f>
        <v>GC - IV - 3261 - Cty Quang Đăng Agriculture - BIG FRUIT QĐ.KATO (Nước nâu đen) - 500ml - 40</v>
      </c>
    </row>
    <row r="4060">
      <c r="A4060" s="86">
        <f>IFERROR(__xludf.DUMMYFUNCTION("""COMPUTED_VALUE"""),4058.0)</f>
        <v>4058</v>
      </c>
      <c r="B4060" s="87" t="str">
        <f>IFERROR(__xludf.DUMMYFUNCTION("""COMPUTED_VALUE"""),"Nhãn")</f>
        <v>Nhãn</v>
      </c>
      <c r="C4060" s="87" t="str">
        <f>IFERROR(__xludf.DUMMYFUNCTION("""COMPUTED_VALUE"""),"NHG3262")</f>
        <v>NHG3262</v>
      </c>
      <c r="D4060" s="87" t="str">
        <f>IFERROR(__xludf.DUMMYFUNCTION("""COMPUTED_VALUE"""),"[Nhãn] GC - IV - 3262 - CTY TÂY NAM - SPIDER REX (Nước xanh lá) - 240ml - 40")</f>
        <v>[Nhãn] GC - IV - 3262 - CTY TÂY NAM - SPIDER REX (Nước xanh lá) - 240ml - 40</v>
      </c>
      <c r="E4060" s="87" t="str">
        <f>IFERROR(__xludf.DUMMYFUNCTION("""COMPUTED_VALUE"""),"Chitin 3.6EC")</f>
        <v>Chitin 3.6EC</v>
      </c>
      <c r="F4060" s="87" t="str">
        <f>IFERROR(__xludf.DUMMYFUNCTION("""COMPUTED_VALUE"""),"HH3262")</f>
        <v>HH3262</v>
      </c>
      <c r="G4060" s="87" t="str">
        <f>IFERROR(__xludf.DUMMYFUNCTION("""COMPUTED_VALUE"""),"GC - IV - 3262 - CTY TÂY NAM - SPIDER REX (Nước xanh lá) - 240ml - 40")</f>
        <v>GC - IV - 3262 - CTY TÂY NAM - SPIDER REX (Nước xanh lá) - 240ml - 40</v>
      </c>
    </row>
    <row r="4061">
      <c r="A4061" s="86">
        <f>IFERROR(__xludf.DUMMYFUNCTION("""COMPUTED_VALUE"""),4059.0)</f>
        <v>4059</v>
      </c>
      <c r="B4061" s="87" t="str">
        <f>IFERROR(__xludf.DUMMYFUNCTION("""COMPUTED_VALUE"""),"Nhãn thùng")</f>
        <v>Nhãn thùng</v>
      </c>
      <c r="C4061" s="87" t="str">
        <f>IFERROR(__xludf.DUMMYFUNCTION("""COMPUTED_VALUE"""),"NDT3262")</f>
        <v>NDT3262</v>
      </c>
      <c r="D4061" s="87" t="str">
        <f>IFERROR(__xludf.DUMMYFUNCTION("""COMPUTED_VALUE"""),"[Nhãn thùng] GC - IV - 3262 - CTY TÂY NAM - SPIDER REX (Nước xanh lá) - 240ml - 40")</f>
        <v>[Nhãn thùng] GC - IV - 3262 - CTY TÂY NAM - SPIDER REX (Nước xanh lá) - 240ml - 40</v>
      </c>
      <c r="E4061" s="87" t="str">
        <f>IFERROR(__xludf.DUMMYFUNCTION("""COMPUTED_VALUE"""),"Chitin 3.6EC")</f>
        <v>Chitin 3.6EC</v>
      </c>
      <c r="F4061" s="87" t="str">
        <f>IFERROR(__xludf.DUMMYFUNCTION("""COMPUTED_VALUE"""),"HH3262")</f>
        <v>HH3262</v>
      </c>
      <c r="G4061" s="87" t="str">
        <f>IFERROR(__xludf.DUMMYFUNCTION("""COMPUTED_VALUE"""),"GC - IV - 3262 - CTY TÂY NAM - SPIDER REX (Nước xanh lá) - 240ml - 40")</f>
        <v>GC - IV - 3262 - CTY TÂY NAM - SPIDER REX (Nước xanh lá) - 240ml - 40</v>
      </c>
    </row>
    <row r="4062">
      <c r="A4062" s="86">
        <f>IFERROR(__xludf.DUMMYFUNCTION("""COMPUTED_VALUE"""),4060.0)</f>
        <v>4060</v>
      </c>
      <c r="B4062" s="87" t="str">
        <f>IFERROR(__xludf.DUMMYFUNCTION("""COMPUTED_VALUE"""),"Nhãn")</f>
        <v>Nhãn</v>
      </c>
      <c r="C4062" s="87" t="str">
        <f>IFERROR(__xludf.DUMMYFUNCTION("""COMPUTED_VALUE"""),"NTN3263")</f>
        <v>NTN3263</v>
      </c>
      <c r="D4062" s="87" t="str">
        <f>IFERROR(__xludf.DUMMYFUNCTION("""COMPUTED_VALUE"""),"[Nhãn] IDA Global - I - 3263 - ĐL Phúc Nông - KHONGRAY 54WP - 25gr - 300")</f>
        <v>[Nhãn] IDA Global - I - 3263 - ĐL Phúc Nông - KHONGRAY 54WP - 25gr - 300</v>
      </c>
      <c r="E4062" s="87" t="str">
        <f>IFERROR(__xludf.DUMMYFUNCTION("""COMPUTED_VALUE"""),"KHONGRAY 54WP")</f>
        <v>KHONGRAY 54WP</v>
      </c>
      <c r="F4062" s="87" t="str">
        <f>IFERROR(__xludf.DUMMYFUNCTION("""COMPUTED_VALUE"""),"HH3263")</f>
        <v>HH3263</v>
      </c>
      <c r="G4062" s="87" t="str">
        <f>IFERROR(__xludf.DUMMYFUNCTION("""COMPUTED_VALUE"""),"IDA Global - I - 3263 - ĐL Phúc Nông - KHONGRAY 54WP - 25gr - 300")</f>
        <v>IDA Global - I - 3263 - ĐL Phúc Nông - KHONGRAY 54WP - 25gr - 300</v>
      </c>
    </row>
    <row r="4063">
      <c r="A4063" s="86">
        <f>IFERROR(__xludf.DUMMYFUNCTION("""COMPUTED_VALUE"""),4061.0)</f>
        <v>4061</v>
      </c>
      <c r="B4063" s="87" t="str">
        <f>IFERROR(__xludf.DUMMYFUNCTION("""COMPUTED_VALUE"""),"Nhãn thùng")</f>
        <v>Nhãn thùng</v>
      </c>
      <c r="C4063" s="87" t="str">
        <f>IFERROR(__xludf.DUMMYFUNCTION("""COMPUTED_VALUE"""),"NDT3263")</f>
        <v>NDT3263</v>
      </c>
      <c r="D4063" s="87" t="str">
        <f>IFERROR(__xludf.DUMMYFUNCTION("""COMPUTED_VALUE"""),"[Nhãn thùng] IDA Global - I - 3263 - ĐL Phúc Nông - KHONGRAY 54WP - 25gr - 300")</f>
        <v>[Nhãn thùng] IDA Global - I - 3263 - ĐL Phúc Nông - KHONGRAY 54WP - 25gr - 300</v>
      </c>
      <c r="E4063" s="87" t="str">
        <f>IFERROR(__xludf.DUMMYFUNCTION("""COMPUTED_VALUE"""),"KHONGRAY 54WP")</f>
        <v>KHONGRAY 54WP</v>
      </c>
      <c r="F4063" s="87" t="str">
        <f>IFERROR(__xludf.DUMMYFUNCTION("""COMPUTED_VALUE"""),"HH3263")</f>
        <v>HH3263</v>
      </c>
      <c r="G4063" s="87" t="str">
        <f>IFERROR(__xludf.DUMMYFUNCTION("""COMPUTED_VALUE"""),"IDA Global - I - 3263 - ĐL Phúc Nông - KHONGRAY 54WP - 25gr - 300")</f>
        <v>IDA Global - I - 3263 - ĐL Phúc Nông - KHONGRAY 54WP - 25gr - 300</v>
      </c>
    </row>
    <row r="4064">
      <c r="A4064" s="86">
        <f>IFERROR(__xludf.DUMMYFUNCTION("""COMPUTED_VALUE"""),4062.0)</f>
        <v>4062</v>
      </c>
      <c r="B4064" s="87" t="str">
        <f>IFERROR(__xludf.DUMMYFUNCTION("""COMPUTED_VALUE"""),"Nhãn")</f>
        <v>Nhãn</v>
      </c>
      <c r="C4064" s="87" t="str">
        <f>IFERROR(__xludf.DUMMYFUNCTION("""COMPUTED_VALUE"""),"NHD3264")</f>
        <v>NHD3264</v>
      </c>
      <c r="D4064" s="87" t="str">
        <f>IFERROR(__xludf.DUMMYFUNCTION("""COMPUTED_VALUE"""),"[Nhãn] GC - IV - 3264 - CTY ASAHI NHẬT BẢN - SAMURAI MASTER ROOT (Nước nâu đen) - 22kg - 1")</f>
        <v>[Nhãn] GC - IV - 3264 - CTY ASAHI NHẬT BẢN - SAMURAI MASTER ROOT (Nước nâu đen) - 22kg - 1</v>
      </c>
      <c r="E4064" s="87" t="str">
        <f>IFERROR(__xludf.DUMMYFUNCTION("""COMPUTED_VALUE"""),"Hữu cơ SH Agro Organic Fertilizer 20")</f>
        <v>Hữu cơ SH Agro Organic Fertilizer 20</v>
      </c>
      <c r="F4064" s="87" t="str">
        <f>IFERROR(__xludf.DUMMYFUNCTION("""COMPUTED_VALUE"""),"HH3264")</f>
        <v>HH3264</v>
      </c>
      <c r="G4064" s="87" t="str">
        <f>IFERROR(__xludf.DUMMYFUNCTION("""COMPUTED_VALUE"""),"GC - IV - 3264 - CTY ASAHI NHẬT BẢN - SAMURAI MASTER ROOT (Nước nâu đen) - 22kg - 1")</f>
        <v>GC - IV - 3264 - CTY ASAHI NHẬT BẢN - SAMURAI MASTER ROOT (Nước nâu đen) - 22kg - 1</v>
      </c>
    </row>
    <row r="4065">
      <c r="A4065" s="86">
        <f>IFERROR(__xludf.DUMMYFUNCTION("""COMPUTED_VALUE"""),4063.0)</f>
        <v>4063</v>
      </c>
      <c r="B4065" s="87" t="str">
        <f>IFERROR(__xludf.DUMMYFUNCTION("""COMPUTED_VALUE"""),"Nhãn thùng")</f>
        <v>Nhãn thùng</v>
      </c>
      <c r="C4065" s="87" t="str">
        <f>IFERROR(__xludf.DUMMYFUNCTION("""COMPUTED_VALUE"""),"NDT3264")</f>
        <v>NDT3264</v>
      </c>
      <c r="D4065" s="87" t="str">
        <f>IFERROR(__xludf.DUMMYFUNCTION("""COMPUTED_VALUE"""),"[Nhãn thùng] GC - IV - 3264 - CTY ASAHI NHẬT BẢN - SAMURAI MASTER ROOT (Nước nâu đen) - 22kg - 1")</f>
        <v>[Nhãn thùng] GC - IV - 3264 - CTY ASAHI NHẬT BẢN - SAMURAI MASTER ROOT (Nước nâu đen) - 22kg - 1</v>
      </c>
      <c r="E4065" s="87" t="str">
        <f>IFERROR(__xludf.DUMMYFUNCTION("""COMPUTED_VALUE"""),"Hữu cơ SH Agro Organic Fertilizer 20")</f>
        <v>Hữu cơ SH Agro Organic Fertilizer 20</v>
      </c>
      <c r="F4065" s="87" t="str">
        <f>IFERROR(__xludf.DUMMYFUNCTION("""COMPUTED_VALUE"""),"HH3264")</f>
        <v>HH3264</v>
      </c>
      <c r="G4065" s="87" t="str">
        <f>IFERROR(__xludf.DUMMYFUNCTION("""COMPUTED_VALUE"""),"GC - IV - 3264 - CTY ASAHI NHẬT BẢN - SAMURAI MASTER ROOT (Nước nâu đen) - 22kg - 1")</f>
        <v>GC - IV - 3264 - CTY ASAHI NHẬT BẢN - SAMURAI MASTER ROOT (Nước nâu đen) - 22kg - 1</v>
      </c>
    </row>
    <row r="4066">
      <c r="A4066" s="86">
        <f>IFERROR(__xludf.DUMMYFUNCTION("""COMPUTED_VALUE"""),4064.0)</f>
        <v>4064</v>
      </c>
      <c r="B4066" s="87" t="str">
        <f>IFERROR(__xludf.DUMMYFUNCTION("""COMPUTED_VALUE"""),"Nhãn")</f>
        <v>Nhãn</v>
      </c>
      <c r="C4066" s="87" t="str">
        <f>IFERROR(__xludf.DUMMYFUNCTION("""COMPUTED_VALUE"""),"NHD3265")</f>
        <v>NHD3265</v>
      </c>
      <c r="D4066" s="87" t="str">
        <f>IFERROR(__xludf.DUMMYFUNCTION("""COMPUTED_VALUE"""),"[Nhãn] GC - IV - 3265 - CTY ASAHI NHẬT BẢN -  SAMURAI MASTER FRUIT (Nước nâu đen) - 22kg - 1")</f>
        <v>[Nhãn] GC - IV - 3265 - CTY ASAHI NHẬT BẢN -  SAMURAI MASTER FRUIT (Nước nâu đen) - 22kg - 1</v>
      </c>
      <c r="E4066" s="87" t="str">
        <f>IFERROR(__xludf.DUMMYFUNCTION("""COMPUTED_VALUE"""),"Hữu cơ SH Agro Organic Fertilizer 20")</f>
        <v>Hữu cơ SH Agro Organic Fertilizer 20</v>
      </c>
      <c r="F4066" s="87" t="str">
        <f>IFERROR(__xludf.DUMMYFUNCTION("""COMPUTED_VALUE"""),"HH3265")</f>
        <v>HH3265</v>
      </c>
      <c r="G4066" s="87" t="str">
        <f>IFERROR(__xludf.DUMMYFUNCTION("""COMPUTED_VALUE"""),"GC - IV - 3265 - CTY ASAHI NHẬT BẢN -  SAMURAI MASTER FRUIT (Nước nâu đen) - 22kg - 1")</f>
        <v>GC - IV - 3265 - CTY ASAHI NHẬT BẢN -  SAMURAI MASTER FRUIT (Nước nâu đen) - 22kg - 1</v>
      </c>
    </row>
    <row r="4067">
      <c r="A4067" s="86">
        <f>IFERROR(__xludf.DUMMYFUNCTION("""COMPUTED_VALUE"""),4065.0)</f>
        <v>4065</v>
      </c>
      <c r="B4067" s="87" t="str">
        <f>IFERROR(__xludf.DUMMYFUNCTION("""COMPUTED_VALUE"""),"Nhãn thùng")</f>
        <v>Nhãn thùng</v>
      </c>
      <c r="C4067" s="87" t="str">
        <f>IFERROR(__xludf.DUMMYFUNCTION("""COMPUTED_VALUE"""),"NDT3265")</f>
        <v>NDT3265</v>
      </c>
      <c r="D4067" s="87" t="str">
        <f>IFERROR(__xludf.DUMMYFUNCTION("""COMPUTED_VALUE"""),"[Nhãn thùng] GC - IV - 3265 - CTY ASAHI NHẬT BẢN -  SAMURAI MASTER FRUIT (Nước nâu đen) - 22kg - 1")</f>
        <v>[Nhãn thùng] GC - IV - 3265 - CTY ASAHI NHẬT BẢN -  SAMURAI MASTER FRUIT (Nước nâu đen) - 22kg - 1</v>
      </c>
      <c r="E4067" s="87" t="str">
        <f>IFERROR(__xludf.DUMMYFUNCTION("""COMPUTED_VALUE"""),"Hữu cơ SH Agro Organic Fertilizer 20")</f>
        <v>Hữu cơ SH Agro Organic Fertilizer 20</v>
      </c>
      <c r="F4067" s="87" t="str">
        <f>IFERROR(__xludf.DUMMYFUNCTION("""COMPUTED_VALUE"""),"HH3265")</f>
        <v>HH3265</v>
      </c>
      <c r="G4067" s="87" t="str">
        <f>IFERROR(__xludf.DUMMYFUNCTION("""COMPUTED_VALUE"""),"GC - IV - 3265 - CTY ASAHI NHẬT BẢN -  SAMURAI MASTER FRUIT (Nước nâu đen) - 22kg - 1")</f>
        <v>GC - IV - 3265 - CTY ASAHI NHẬT BẢN -  SAMURAI MASTER FRUIT (Nước nâu đen) - 22kg - 1</v>
      </c>
    </row>
    <row r="4068">
      <c r="A4068" s="86">
        <f>IFERROR(__xludf.DUMMYFUNCTION("""COMPUTED_VALUE"""),4066.0)</f>
        <v>4066</v>
      </c>
      <c r="B4068" s="87" t="str">
        <f>IFERROR(__xludf.DUMMYFUNCTION("""COMPUTED_VALUE"""),"Nhãn")</f>
        <v>Nhãn</v>
      </c>
      <c r="C4068" s="87" t="str">
        <f>IFERROR(__xludf.DUMMYFUNCTION("""COMPUTED_VALUE"""),"NHD3266")</f>
        <v>NHD3266</v>
      </c>
      <c r="D4068" s="87" t="str">
        <f>IFERROR(__xludf.DUMMYFUNCTION("""COMPUTED_VALUE"""),"[Nhãn] GC - IV - 3266 - CTY ASAHI NHẬT BẢN - SAKURA HUMAT GOLD (Nước nâu đen) - 22kg - 1")</f>
        <v>[Nhãn] GC - IV - 3266 - CTY ASAHI NHẬT BẢN - SAKURA HUMAT GOLD (Nước nâu đen) - 22kg - 1</v>
      </c>
      <c r="E4068" s="87" t="str">
        <f>IFERROR(__xludf.DUMMYFUNCTION("""COMPUTED_VALUE"""),"Hữu cơ SH Agro Organic Fertilizer 20")</f>
        <v>Hữu cơ SH Agro Organic Fertilizer 20</v>
      </c>
      <c r="F4068" s="87" t="str">
        <f>IFERROR(__xludf.DUMMYFUNCTION("""COMPUTED_VALUE"""),"HH3266")</f>
        <v>HH3266</v>
      </c>
      <c r="G4068" s="87" t="str">
        <f>IFERROR(__xludf.DUMMYFUNCTION("""COMPUTED_VALUE"""),"GC - IV - 3266 - CTY ASAHI NHẬT BẢN - SAKURA HUMAT GOLD (Nước nâu đen) - 22kg - 1")</f>
        <v>GC - IV - 3266 - CTY ASAHI NHẬT BẢN - SAKURA HUMAT GOLD (Nước nâu đen) - 22kg - 1</v>
      </c>
    </row>
    <row r="4069">
      <c r="A4069" s="86">
        <f>IFERROR(__xludf.DUMMYFUNCTION("""COMPUTED_VALUE"""),4067.0)</f>
        <v>4067</v>
      </c>
      <c r="B4069" s="87" t="str">
        <f>IFERROR(__xludf.DUMMYFUNCTION("""COMPUTED_VALUE"""),"Nhãn thùng")</f>
        <v>Nhãn thùng</v>
      </c>
      <c r="C4069" s="87" t="str">
        <f>IFERROR(__xludf.DUMMYFUNCTION("""COMPUTED_VALUE"""),"NDT3266")</f>
        <v>NDT3266</v>
      </c>
      <c r="D4069" s="87" t="str">
        <f>IFERROR(__xludf.DUMMYFUNCTION("""COMPUTED_VALUE"""),"[Nhãn thùng] GC - IV - 3266 - CTY ASAHI NHẬT BẢN - SAKURA HUMAT GOLD (Nước nâu đen) - 22kg - 1")</f>
        <v>[Nhãn thùng] GC - IV - 3266 - CTY ASAHI NHẬT BẢN - SAKURA HUMAT GOLD (Nước nâu đen) - 22kg - 1</v>
      </c>
      <c r="E4069" s="87" t="str">
        <f>IFERROR(__xludf.DUMMYFUNCTION("""COMPUTED_VALUE"""),"Hữu cơ SH Agro Organic Fertilizer 20")</f>
        <v>Hữu cơ SH Agro Organic Fertilizer 20</v>
      </c>
      <c r="F4069" s="87" t="str">
        <f>IFERROR(__xludf.DUMMYFUNCTION("""COMPUTED_VALUE"""),"HH3266")</f>
        <v>HH3266</v>
      </c>
      <c r="G4069" s="87" t="str">
        <f>IFERROR(__xludf.DUMMYFUNCTION("""COMPUTED_VALUE"""),"GC - IV - 3266 - CTY ASAHI NHẬT BẢN - SAKURA HUMAT GOLD (Nước nâu đen) - 22kg - 1")</f>
        <v>GC - IV - 3266 - CTY ASAHI NHẬT BẢN - SAKURA HUMAT GOLD (Nước nâu đen) - 22kg - 1</v>
      </c>
    </row>
    <row r="4070">
      <c r="A4070" s="86">
        <f>IFERROR(__xludf.DUMMYFUNCTION("""COMPUTED_VALUE"""),4068.0)</f>
        <v>4068</v>
      </c>
      <c r="B4070" s="87" t="str">
        <f>IFERROR(__xludf.DUMMYFUNCTION("""COMPUTED_VALUE"""),"Nhãn")</f>
        <v>Nhãn</v>
      </c>
      <c r="C4070" s="87" t="str">
        <f>IFERROR(__xludf.DUMMYFUNCTION("""COMPUTED_VALUE"""),"NHD3267")</f>
        <v>NHD3267</v>
      </c>
      <c r="D4070" s="87" t="str">
        <f>IFERROR(__xludf.DUMMYFUNCTION("""COMPUTED_VALUE"""),"[Nhãn] GC - IV - 3267 - CTY ASAHI NHẬT BẢN - SAKURA 22-22-22 +TE (Nước nâu đen) - 22kg - 1")</f>
        <v>[Nhãn] GC - IV - 3267 - CTY ASAHI NHẬT BẢN - SAKURA 22-22-22 +TE (Nước nâu đen) - 22kg - 1</v>
      </c>
      <c r="E4070" s="87" t="str">
        <f>IFERROR(__xludf.DUMMYFUNCTION("""COMPUTED_VALUE"""),"Hữu cơ SH Agro Organic Fertilizer 20")</f>
        <v>Hữu cơ SH Agro Organic Fertilizer 20</v>
      </c>
      <c r="F4070" s="87" t="str">
        <f>IFERROR(__xludf.DUMMYFUNCTION("""COMPUTED_VALUE"""),"HH3267")</f>
        <v>HH3267</v>
      </c>
      <c r="G4070" s="87" t="str">
        <f>IFERROR(__xludf.DUMMYFUNCTION("""COMPUTED_VALUE"""),"GC - IV - 3267 - CTY ASAHI NHẬT BẢN - SAKURA 22-22-22 +TE (Nước nâu đen) - 22kg - 1")</f>
        <v>GC - IV - 3267 - CTY ASAHI NHẬT BẢN - SAKURA 22-22-22 +TE (Nước nâu đen) - 22kg - 1</v>
      </c>
    </row>
    <row r="4071">
      <c r="A4071" s="86">
        <f>IFERROR(__xludf.DUMMYFUNCTION("""COMPUTED_VALUE"""),4069.0)</f>
        <v>4069</v>
      </c>
      <c r="B4071" s="87" t="str">
        <f>IFERROR(__xludf.DUMMYFUNCTION("""COMPUTED_VALUE"""),"Nhãn thùng")</f>
        <v>Nhãn thùng</v>
      </c>
      <c r="C4071" s="87" t="str">
        <f>IFERROR(__xludf.DUMMYFUNCTION("""COMPUTED_VALUE"""),"NDT3267")</f>
        <v>NDT3267</v>
      </c>
      <c r="D4071" s="87" t="str">
        <f>IFERROR(__xludf.DUMMYFUNCTION("""COMPUTED_VALUE"""),"[Nhãn thùng] GC - IV - 3267 - CTY ASAHI NHẬT BẢN - SAKURA 22-22-22 +TE (Nước nâu đen) - 22kg - 1")</f>
        <v>[Nhãn thùng] GC - IV - 3267 - CTY ASAHI NHẬT BẢN - SAKURA 22-22-22 +TE (Nước nâu đen) - 22kg - 1</v>
      </c>
      <c r="E4071" s="87" t="str">
        <f>IFERROR(__xludf.DUMMYFUNCTION("""COMPUTED_VALUE"""),"Hữu cơ SH Agro Organic Fertilizer 20")</f>
        <v>Hữu cơ SH Agro Organic Fertilizer 20</v>
      </c>
      <c r="F4071" s="87" t="str">
        <f>IFERROR(__xludf.DUMMYFUNCTION("""COMPUTED_VALUE"""),"HH3267")</f>
        <v>HH3267</v>
      </c>
      <c r="G4071" s="87" t="str">
        <f>IFERROR(__xludf.DUMMYFUNCTION("""COMPUTED_VALUE"""),"GC - IV - 3267 - CTY ASAHI NHẬT BẢN - SAKURA 22-22-22 +TE (Nước nâu đen) - 22kg - 1")</f>
        <v>GC - IV - 3267 - CTY ASAHI NHẬT BẢN - SAKURA 22-22-22 +TE (Nước nâu đen) - 22kg - 1</v>
      </c>
    </row>
    <row r="4072">
      <c r="A4072" s="86">
        <f>IFERROR(__xludf.DUMMYFUNCTION("""COMPUTED_VALUE"""),4070.0)</f>
        <v>4070</v>
      </c>
      <c r="B4072" s="87" t="str">
        <f>IFERROR(__xludf.DUMMYFUNCTION("""COMPUTED_VALUE"""),"[HỘP]")</f>
        <v>[HỘP]</v>
      </c>
      <c r="C4072" s="87" t="str">
        <f>IFERROR(__xludf.DUMMYFUNCTION("""COMPUTED_VALUE"""),"HOP3268")</f>
        <v>HOP3268</v>
      </c>
      <c r="D4072" s="87" t="str">
        <f>IFERROR(__xludf.DUMMYFUNCTION("""COMPUTED_VALUE"""),"[HOP] GC - IV - 3268 - HKD HUYỀN NHỰT - SIÊU DIỆT BỌ TRĨ - 15gr - 400")</f>
        <v>[HOP] GC - IV - 3268 - HKD HUYỀN NHỰT - SIÊU DIỆT BỌ TRĨ - 15gr - 400</v>
      </c>
      <c r="E4072" s="87" t="str">
        <f>IFERROR(__xludf.DUMMYFUNCTION("""COMPUTED_VALUE"""),"NOMIDA 700WG")</f>
        <v>NOMIDA 700WG</v>
      </c>
      <c r="F4072" s="87" t="str">
        <f>IFERROR(__xludf.DUMMYFUNCTION("""COMPUTED_VALUE"""),"HH3268")</f>
        <v>HH3268</v>
      </c>
      <c r="G4072" s="87" t="str">
        <f>IFERROR(__xludf.DUMMYFUNCTION("""COMPUTED_VALUE"""),"GC - IV - 3268 - HKD HUYỀN NHỰT - SIÊU DIỆT BỌ TRĨ - 15gr - 400")</f>
        <v>GC - IV - 3268 - HKD HUYỀN NHỰT - SIÊU DIỆT BỌ TRĨ - 15gr - 400</v>
      </c>
    </row>
    <row r="4073">
      <c r="A4073" s="86">
        <f>IFERROR(__xludf.DUMMYFUNCTION("""COMPUTED_VALUE"""),4071.0)</f>
        <v>4071</v>
      </c>
      <c r="B4073" s="87" t="str">
        <f>IFERROR(__xludf.DUMMYFUNCTION("""COMPUTED_VALUE"""),"Nhãn")</f>
        <v>Nhãn</v>
      </c>
      <c r="C4073" s="87" t="str">
        <f>IFERROR(__xludf.DUMMYFUNCTION("""COMPUTED_VALUE"""),"NTN3268")</f>
        <v>NTN3268</v>
      </c>
      <c r="D4073" s="87" t="str">
        <f>IFERROR(__xludf.DUMMYFUNCTION("""COMPUTED_VALUE"""),"[Nhãn] GC - IV - 3268 - HKD HUYỀN NHỰT - SIÊU DIỆT BỌ TRĨ - 15gr - 400")</f>
        <v>[Nhãn] GC - IV - 3268 - HKD HUYỀN NHỰT - SIÊU DIỆT BỌ TRĨ - 15gr - 400</v>
      </c>
      <c r="E4073" s="87" t="str">
        <f>IFERROR(__xludf.DUMMYFUNCTION("""COMPUTED_VALUE"""),"NOMIDA 700WG")</f>
        <v>NOMIDA 700WG</v>
      </c>
      <c r="F4073" s="87" t="str">
        <f>IFERROR(__xludf.DUMMYFUNCTION("""COMPUTED_VALUE"""),"HH3268")</f>
        <v>HH3268</v>
      </c>
      <c r="G4073" s="87" t="str">
        <f>IFERROR(__xludf.DUMMYFUNCTION("""COMPUTED_VALUE"""),"GC - IV - 3268 - HKD HUYỀN NHỰT - SIÊU DIỆT BỌ TRĨ - 15gr - 400")</f>
        <v>GC - IV - 3268 - HKD HUYỀN NHỰT - SIÊU DIỆT BỌ TRĨ - 15gr - 400</v>
      </c>
    </row>
    <row r="4074">
      <c r="A4074" s="86">
        <f>IFERROR(__xludf.DUMMYFUNCTION("""COMPUTED_VALUE"""),4072.0)</f>
        <v>4072</v>
      </c>
      <c r="B4074" s="87" t="str">
        <f>IFERROR(__xludf.DUMMYFUNCTION("""COMPUTED_VALUE"""),"Nhãn thùng")</f>
        <v>Nhãn thùng</v>
      </c>
      <c r="C4074" s="87" t="str">
        <f>IFERROR(__xludf.DUMMYFUNCTION("""COMPUTED_VALUE"""),"NDT3268")</f>
        <v>NDT3268</v>
      </c>
      <c r="D4074" s="87" t="str">
        <f>IFERROR(__xludf.DUMMYFUNCTION("""COMPUTED_VALUE"""),"[Nhãn thùng] GC - IV - 3268 - HKD HUYỀN NHỰT - SIÊU DIỆT BỌ TRĨ - 15gr - 400")</f>
        <v>[Nhãn thùng] GC - IV - 3268 - HKD HUYỀN NHỰT - SIÊU DIỆT BỌ TRĨ - 15gr - 400</v>
      </c>
      <c r="E4074" s="87" t="str">
        <f>IFERROR(__xludf.DUMMYFUNCTION("""COMPUTED_VALUE"""),"NOMIDA 700WG")</f>
        <v>NOMIDA 700WG</v>
      </c>
      <c r="F4074" s="87" t="str">
        <f>IFERROR(__xludf.DUMMYFUNCTION("""COMPUTED_VALUE"""),"HH3268")</f>
        <v>HH3268</v>
      </c>
      <c r="G4074" s="87" t="str">
        <f>IFERROR(__xludf.DUMMYFUNCTION("""COMPUTED_VALUE"""),"GC - IV - 3268 - HKD HUYỀN NHỰT - SIÊU DIỆT BỌ TRĨ - 15gr - 400")</f>
        <v>GC - IV - 3268 - HKD HUYỀN NHỰT - SIÊU DIỆT BỌ TRĨ - 15gr - 400</v>
      </c>
    </row>
    <row r="4075">
      <c r="A4075" s="86">
        <f>IFERROR(__xludf.DUMMYFUNCTION("""COMPUTED_VALUE"""),4073.0)</f>
        <v>4073</v>
      </c>
      <c r="B4075" s="87" t="str">
        <f>IFERROR(__xludf.DUMMYFUNCTION("""COMPUTED_VALUE"""),"Nhãn")</f>
        <v>Nhãn</v>
      </c>
      <c r="C4075" s="87" t="str">
        <f>IFERROR(__xludf.DUMMYFUNCTION("""COMPUTED_VALUE"""),"NHD3269")</f>
        <v>NHD3269</v>
      </c>
      <c r="D4075" s="87" t="str">
        <f>IFERROR(__xludf.DUMMYFUNCTION("""COMPUTED_VALUE"""),"[Nhãn] GC - IV - 3269 - CTY TÂN LỘC PHÁT - LỚN TRÁI SẦU RIÊNG TLP03 (Nước nâu vàng) - 10kg - 1")</f>
        <v>[Nhãn] GC - IV - 3269 - CTY TÂN LỘC PHÁT - LỚN TRÁI SẦU RIÊNG TLP03 (Nước nâu vàng) - 10kg - 1</v>
      </c>
      <c r="E4075" s="87" t="str">
        <f>IFERROR(__xludf.DUMMYFUNCTION("""COMPUTED_VALUE"""),"NPK-Vi lượng MASSIVE-BLUE")</f>
        <v>NPK-Vi lượng MASSIVE-BLUE</v>
      </c>
      <c r="F4075" s="87" t="str">
        <f>IFERROR(__xludf.DUMMYFUNCTION("""COMPUTED_VALUE"""),"HH3269")</f>
        <v>HH3269</v>
      </c>
      <c r="G4075" s="87" t="str">
        <f>IFERROR(__xludf.DUMMYFUNCTION("""COMPUTED_VALUE"""),"GC - IV - 3269 - CTY TÂN LỘC PHÁT - LỚN TRÁI SẦU RIÊNG TLP03 (Nước nâu vàng) - 10kg - 1")</f>
        <v>GC - IV - 3269 - CTY TÂN LỘC PHÁT - LỚN TRÁI SẦU RIÊNG TLP03 (Nước nâu vàng) - 10kg - 1</v>
      </c>
    </row>
    <row r="4076">
      <c r="A4076" s="86">
        <f>IFERROR(__xludf.DUMMYFUNCTION("""COMPUTED_VALUE"""),4074.0)</f>
        <v>4074</v>
      </c>
      <c r="B4076" s="87" t="str">
        <f>IFERROR(__xludf.DUMMYFUNCTION("""COMPUTED_VALUE"""),"Nhãn phụ")</f>
        <v>Nhãn phụ</v>
      </c>
      <c r="C4076" s="87" t="str">
        <f>IFERROR(__xludf.DUMMYFUNCTION("""COMPUTED_VALUE"""),"NHP3269")</f>
        <v>NHP3269</v>
      </c>
      <c r="D4076" s="87" t="str">
        <f>IFERROR(__xludf.DUMMYFUNCTION("""COMPUTED_VALUE"""),"[Nhãn phụ] GC - IV - 3269 - CTY TÂN LỘC PHÁT - LỚN TRÁI SẦU RIÊNG TLP03 (Nước nâu vàng) - 10kg - 5")</f>
        <v>[Nhãn phụ] GC - IV - 3269 - CTY TÂN LỘC PHÁT - LỚN TRÁI SẦU RIÊNG TLP03 (Nước nâu vàng) - 10kg - 5</v>
      </c>
      <c r="E4076" s="87" t="str">
        <f>IFERROR(__xludf.DUMMYFUNCTION("""COMPUTED_VALUE"""),"NPK-Vi lượng MASSIVE-BLUE")</f>
        <v>NPK-Vi lượng MASSIVE-BLUE</v>
      </c>
      <c r="F4076" s="87" t="str">
        <f>IFERROR(__xludf.DUMMYFUNCTION("""COMPUTED_VALUE"""),"HH3269")</f>
        <v>HH3269</v>
      </c>
      <c r="G4076" s="87" t="str">
        <f>IFERROR(__xludf.DUMMYFUNCTION("""COMPUTED_VALUE"""),"GC - IV - 3269 - CTY TÂN LỘC PHÁT - LỚN TRÁI SẦU RIÊNG TLP03 (Nước nâu vàng) - 10kg - 1")</f>
        <v>GC - IV - 3269 - CTY TÂN LỘC PHÁT - LỚN TRÁI SẦU RIÊNG TLP03 (Nước nâu vàng) - 10kg - 1</v>
      </c>
    </row>
    <row r="4077">
      <c r="A4077" s="86">
        <f>IFERROR(__xludf.DUMMYFUNCTION("""COMPUTED_VALUE"""),4075.0)</f>
        <v>4075</v>
      </c>
      <c r="B4077" s="87" t="str">
        <f>IFERROR(__xludf.DUMMYFUNCTION("""COMPUTED_VALUE"""),"Nhãn")</f>
        <v>Nhãn</v>
      </c>
      <c r="C4077" s="87" t="str">
        <f>IFERROR(__xludf.DUMMYFUNCTION("""COMPUTED_VALUE"""),"NHD3270")</f>
        <v>NHD3270</v>
      </c>
      <c r="D4077" s="87" t="str">
        <f>IFERROR(__xludf.DUMMYFUNCTION("""COMPUTED_VALUE"""),"[Nhãn] GC - IV - 3270 - CTY TÂN LỘC PHÁT - LỚN TRÁI SẦU RIÊNG TLP01 (Nước nâu vàng) - 10kg - 1")</f>
        <v>[Nhãn] GC - IV - 3270 - CTY TÂN LỘC PHÁT - LỚN TRÁI SẦU RIÊNG TLP01 (Nước nâu vàng) - 10kg - 1</v>
      </c>
      <c r="E4077" s="87" t="str">
        <f>IFERROR(__xludf.DUMMYFUNCTION("""COMPUTED_VALUE"""),"Hỗn hợp PK AGAMA - OMKP")</f>
        <v>Hỗn hợp PK AGAMA - OMKP</v>
      </c>
      <c r="F4077" s="87" t="str">
        <f>IFERROR(__xludf.DUMMYFUNCTION("""COMPUTED_VALUE"""),"HH3270")</f>
        <v>HH3270</v>
      </c>
      <c r="G4077" s="87" t="str">
        <f>IFERROR(__xludf.DUMMYFUNCTION("""COMPUTED_VALUE"""),"GC - IV - 3270 - CTY TÂN LỘC PHÁT - LỚN TRÁI SẦU RIÊNG TLP01 (Nước nâu vàng) - 10kg - 1")</f>
        <v>GC - IV - 3270 - CTY TÂN LỘC PHÁT - LỚN TRÁI SẦU RIÊNG TLP01 (Nước nâu vàng) - 10kg - 1</v>
      </c>
    </row>
    <row r="4078">
      <c r="A4078" s="86">
        <f>IFERROR(__xludf.DUMMYFUNCTION("""COMPUTED_VALUE"""),4076.0)</f>
        <v>4076</v>
      </c>
      <c r="B4078" s="87" t="str">
        <f>IFERROR(__xludf.DUMMYFUNCTION("""COMPUTED_VALUE"""),"Nhãn phụ")</f>
        <v>Nhãn phụ</v>
      </c>
      <c r="C4078" s="87" t="str">
        <f>IFERROR(__xludf.DUMMYFUNCTION("""COMPUTED_VALUE"""),"NHP3270")</f>
        <v>NHP3270</v>
      </c>
      <c r="D4078" s="87" t="str">
        <f>IFERROR(__xludf.DUMMYFUNCTION("""COMPUTED_VALUE"""),"[Nhãn phụ] GC - IV - 3270 - CTY TÂN LỘC PHÁT - LỚN TRÁI SẦU RIÊNG TLP01 (Nước nâu vàng) - 10kg - 5")</f>
        <v>[Nhãn phụ] GC - IV - 3270 - CTY TÂN LỘC PHÁT - LỚN TRÁI SẦU RIÊNG TLP01 (Nước nâu vàng) - 10kg - 5</v>
      </c>
      <c r="E4078" s="87" t="str">
        <f>IFERROR(__xludf.DUMMYFUNCTION("""COMPUTED_VALUE"""),"Hỗn hợp PK AGAMA - OMKP")</f>
        <v>Hỗn hợp PK AGAMA - OMKP</v>
      </c>
      <c r="F4078" s="87" t="str">
        <f>IFERROR(__xludf.DUMMYFUNCTION("""COMPUTED_VALUE"""),"HH3270")</f>
        <v>HH3270</v>
      </c>
      <c r="G4078" s="87" t="str">
        <f>IFERROR(__xludf.DUMMYFUNCTION("""COMPUTED_VALUE"""),"GC - IV - 3270 - CTY TÂN LỘC PHÁT - LỚN TRÁI SẦU RIÊNG TLP01 (Nước nâu vàng) - 10kg - 1")</f>
        <v>GC - IV - 3270 - CTY TÂN LỘC PHÁT - LỚN TRÁI SẦU RIÊNG TLP01 (Nước nâu vàng) - 10kg - 1</v>
      </c>
    </row>
    <row r="4079">
      <c r="A4079" s="86">
        <f>IFERROR(__xludf.DUMMYFUNCTION("""COMPUTED_VALUE"""),4077.0)</f>
        <v>4077</v>
      </c>
      <c r="B4079" s="87" t="str">
        <f>IFERROR(__xludf.DUMMYFUNCTION("""COMPUTED_VALUE"""),"Nhãn")</f>
        <v>Nhãn</v>
      </c>
      <c r="C4079" s="87" t="str">
        <f>IFERROR(__xludf.DUMMYFUNCTION("""COMPUTED_VALUE"""),"NHG3271")</f>
        <v>NHG3271</v>
      </c>
      <c r="D4079" s="87" t="str">
        <f>IFERROR(__xludf.DUMMYFUNCTION("""COMPUTED_VALUE"""),"[Nhãn] GC - IV - 3271 - Cty Newtex - DOXITOC GOLD (Nước đỏ) - 400ml - 40")</f>
        <v>[Nhãn] GC - IV - 3271 - Cty Newtex - DOXITOC GOLD (Nước đỏ) - 400ml - 40</v>
      </c>
      <c r="E4079" s="87" t="str">
        <f>IFERROR(__xludf.DUMMYFUNCTION("""COMPUTED_VALUE"""),"PYXOATE 44EC")</f>
        <v>PYXOATE 44EC</v>
      </c>
      <c r="F4079" s="87" t="str">
        <f>IFERROR(__xludf.DUMMYFUNCTION("""COMPUTED_VALUE"""),"HH3271")</f>
        <v>HH3271</v>
      </c>
      <c r="G4079" s="87" t="str">
        <f>IFERROR(__xludf.DUMMYFUNCTION("""COMPUTED_VALUE"""),"GC - IV - 3271 - Cty Newtex - DOXITOC GOLD (Nước đỏ) - 400ml - 40")</f>
        <v>GC - IV - 3271 - Cty Newtex - DOXITOC GOLD (Nước đỏ) - 400ml - 40</v>
      </c>
    </row>
    <row r="4080">
      <c r="A4080" s="86">
        <f>IFERROR(__xludf.DUMMYFUNCTION("""COMPUTED_VALUE"""),4078.0)</f>
        <v>4078</v>
      </c>
      <c r="B4080" s="87" t="str">
        <f>IFERROR(__xludf.DUMMYFUNCTION("""COMPUTED_VALUE"""),"Nhãn")</f>
        <v>Nhãn</v>
      </c>
      <c r="C4080" s="87" t="str">
        <f>IFERROR(__xludf.DUMMYFUNCTION("""COMPUTED_VALUE"""),"NHG3272")</f>
        <v>NHG3272</v>
      </c>
      <c r="D4080" s="87" t="str">
        <f>IFERROR(__xludf.DUMMYFUNCTION("""COMPUTED_VALUE"""),"[Nhãn] NB - V - 3272 - CTY THỊNH VƯỢNG - VỮNG CÂY TV (Nước nâu đen) - 500ml - 40")</f>
        <v>[Nhãn] NB - V - 3272 - CTY THỊNH VƯỢNG - VỮNG CÂY TV (Nước nâu đen) - 500ml - 40</v>
      </c>
      <c r="E4080" s="87" t="str">
        <f>IFERROR(__xludf.DUMMYFUNCTION("""COMPUTED_VALUE"""),"Vi lượng AGAMA-SUPPORT")</f>
        <v>Vi lượng AGAMA-SUPPORT</v>
      </c>
      <c r="F4080" s="87" t="str">
        <f>IFERROR(__xludf.DUMMYFUNCTION("""COMPUTED_VALUE"""),"HH3272")</f>
        <v>HH3272</v>
      </c>
      <c r="G4080" s="87" t="str">
        <f>IFERROR(__xludf.DUMMYFUNCTION("""COMPUTED_VALUE"""),"NB - V - 3272 - CTY THỊNH VƯỢNG - VỮNG CÂY TV (Nước nâu đen) - 500ml - 40")</f>
        <v>NB - V - 3272 - CTY THỊNH VƯỢNG - VỮNG CÂY TV (Nước nâu đen) - 500ml - 40</v>
      </c>
    </row>
    <row r="4081">
      <c r="A4081" s="86">
        <f>IFERROR(__xludf.DUMMYFUNCTION("""COMPUTED_VALUE"""),4079.0)</f>
        <v>4079</v>
      </c>
      <c r="B4081" s="87" t="str">
        <f>IFERROR(__xludf.DUMMYFUNCTION("""COMPUTED_VALUE"""),"Nhãn")</f>
        <v>Nhãn</v>
      </c>
      <c r="C4081" s="87" t="str">
        <f>IFERROR(__xludf.DUMMYFUNCTION("""COMPUTED_VALUE"""),"NHG3273")</f>
        <v>NHG3273</v>
      </c>
      <c r="D4081" s="87" t="str">
        <f>IFERROR(__xludf.DUMMYFUNCTION("""COMPUTED_VALUE"""),"[Nhãn] NB - V - 3273 - CTY THỊNH VƯỢNG -  MÙA VÀNG TV (Nước nâu đen) - 500ml - 40")</f>
        <v>[Nhãn] NB - V - 3273 - CTY THỊNH VƯỢNG -  MÙA VÀNG TV (Nước nâu đen) - 500ml - 40</v>
      </c>
      <c r="E4081" s="87" t="str">
        <f>IFERROR(__xludf.DUMMYFUNCTION("""COMPUTED_VALUE"""),"Vi lượng AGAMA-SUPPORT")</f>
        <v>Vi lượng AGAMA-SUPPORT</v>
      </c>
      <c r="F4081" s="87" t="str">
        <f>IFERROR(__xludf.DUMMYFUNCTION("""COMPUTED_VALUE"""),"HH3273")</f>
        <v>HH3273</v>
      </c>
      <c r="G4081" s="87" t="str">
        <f>IFERROR(__xludf.DUMMYFUNCTION("""COMPUTED_VALUE"""),"NB - V - 3273 - CTY THỊNH VƯỢNG -  MÙA VÀNG TV (Nước nâu đen) - 500ml - 40")</f>
        <v>NB - V - 3273 - CTY THỊNH VƯỢNG -  MÙA VÀNG TV (Nước nâu đen) - 500ml - 40</v>
      </c>
    </row>
    <row r="4082">
      <c r="A4082" s="86">
        <f>IFERROR(__xludf.DUMMYFUNCTION("""COMPUTED_VALUE"""),4080.0)</f>
        <v>4080</v>
      </c>
      <c r="B4082" s="87" t="str">
        <f>IFERROR(__xludf.DUMMYFUNCTION("""COMPUTED_VALUE"""),"Nhãn")</f>
        <v>Nhãn</v>
      </c>
      <c r="C4082" s="87" t="str">
        <f>IFERROR(__xludf.DUMMYFUNCTION("""COMPUTED_VALUE"""),"NHG3274")</f>
        <v>NHG3274</v>
      </c>
      <c r="D4082" s="87" t="str">
        <f>IFERROR(__xludf.DUMMYFUNCTION("""COMPUTED_VALUE"""),"[Nhãn] NB - V - 3274 - CTY THỊNH VƯỢNG - PHÁT ĐÒNG TV (Nước nâu đen) - 500ml - 40")</f>
        <v>[Nhãn] NB - V - 3274 - CTY THỊNH VƯỢNG - PHÁT ĐÒNG TV (Nước nâu đen) - 500ml - 40</v>
      </c>
      <c r="E4082" s="87" t="str">
        <f>IFERROR(__xludf.DUMMYFUNCTION("""COMPUTED_VALUE"""),"Vi lượng AGAMA-SUPPORT")</f>
        <v>Vi lượng AGAMA-SUPPORT</v>
      </c>
      <c r="F4082" s="87" t="str">
        <f>IFERROR(__xludf.DUMMYFUNCTION("""COMPUTED_VALUE"""),"HH3274")</f>
        <v>HH3274</v>
      </c>
      <c r="G4082" s="87" t="str">
        <f>IFERROR(__xludf.DUMMYFUNCTION("""COMPUTED_VALUE"""),"NB - V - 3274 - CTY THỊNH VƯỢNG - PHÁT ĐÒNG TV (Nước nâu đen) - 500ml - 40")</f>
        <v>NB - V - 3274 - CTY THỊNH VƯỢNG - PHÁT ĐÒNG TV (Nước nâu đen) - 500ml - 40</v>
      </c>
    </row>
    <row r="4083">
      <c r="A4083" s="86">
        <f>IFERROR(__xludf.DUMMYFUNCTION("""COMPUTED_VALUE"""),4081.0)</f>
        <v>4081</v>
      </c>
      <c r="B4083" s="87" t="str">
        <f>IFERROR(__xludf.DUMMYFUNCTION("""COMPUTED_VALUE"""),"Nhãn")</f>
        <v>Nhãn</v>
      </c>
      <c r="C4083" s="87" t="str">
        <f>IFERROR(__xludf.DUMMYFUNCTION("""COMPUTED_VALUE"""),"NHG3275")</f>
        <v>NHG3275</v>
      </c>
      <c r="D4083" s="87" t="str">
        <f>IFERROR(__xludf.DUMMYFUNCTION("""COMPUTED_VALUE"""),"[Nhãn] NB - V - 3275 - CTY THỊNH VƯỢNG - LỘC XANH TV (Nước nâu đen) - 500ml - 40")</f>
        <v>[Nhãn] NB - V - 3275 - CTY THỊNH VƯỢNG - LỘC XANH TV (Nước nâu đen) - 500ml - 40</v>
      </c>
      <c r="E4083" s="87" t="str">
        <f>IFERROR(__xludf.DUMMYFUNCTION("""COMPUTED_VALUE"""),"Vi lượng AGAMA-SUPPORT")</f>
        <v>Vi lượng AGAMA-SUPPORT</v>
      </c>
      <c r="F4083" s="87" t="str">
        <f>IFERROR(__xludf.DUMMYFUNCTION("""COMPUTED_VALUE"""),"HH3275")</f>
        <v>HH3275</v>
      </c>
      <c r="G4083" s="87" t="str">
        <f>IFERROR(__xludf.DUMMYFUNCTION("""COMPUTED_VALUE"""),"NB - V - 3275 - CTY THỊNH VƯỢNG - LỘC XANH TV (Nước nâu đen) - 500ml - 40")</f>
        <v>NB - V - 3275 - CTY THỊNH VƯỢNG - LỘC XANH TV (Nước nâu đen) - 500ml - 40</v>
      </c>
    </row>
    <row r="4084">
      <c r="A4084" s="86">
        <f>IFERROR(__xludf.DUMMYFUNCTION("""COMPUTED_VALUE"""),4082.0)</f>
        <v>4082</v>
      </c>
      <c r="B4084" s="87" t="str">
        <f>IFERROR(__xludf.DUMMYFUNCTION("""COMPUTED_VALUE"""),"Nhãn")</f>
        <v>Nhãn</v>
      </c>
      <c r="C4084" s="87" t="str">
        <f>IFERROR(__xludf.DUMMYFUNCTION("""COMPUTED_VALUE"""),"NHG3276")</f>
        <v>NHG3276</v>
      </c>
      <c r="D4084" s="87" t="str">
        <f>IFERROR(__xludf.DUMMYFUNCTION("""COMPUTED_VALUE"""),"[Nhãn] NB - V - 3276 - CTY THỊNH VƯỢNG - GOLD MAX (Nước nâu đen) - 500ml - 40")</f>
        <v>[Nhãn] NB - V - 3276 - CTY THỊNH VƯỢNG - GOLD MAX (Nước nâu đen) - 500ml - 40</v>
      </c>
      <c r="E4084" s="87" t="str">
        <f>IFERROR(__xludf.DUMMYFUNCTION("""COMPUTED_VALUE"""),"Vi lượng AGAMA-SUPPORT")</f>
        <v>Vi lượng AGAMA-SUPPORT</v>
      </c>
      <c r="F4084" s="87" t="str">
        <f>IFERROR(__xludf.DUMMYFUNCTION("""COMPUTED_VALUE"""),"HH3276")</f>
        <v>HH3276</v>
      </c>
      <c r="G4084" s="87" t="str">
        <f>IFERROR(__xludf.DUMMYFUNCTION("""COMPUTED_VALUE"""),"NB - V - 3276 - CTY THỊNH VƯỢNG - GOLD MAX (Nước nâu đen) - 500ml - 40")</f>
        <v>NB - V - 3276 - CTY THỊNH VƯỢNG - GOLD MAX (Nước nâu đen) - 500ml - 40</v>
      </c>
    </row>
    <row r="4085">
      <c r="A4085" s="86">
        <f>IFERROR(__xludf.DUMMYFUNCTION("""COMPUTED_VALUE"""),4083.0)</f>
        <v>4083</v>
      </c>
      <c r="B4085" s="87" t="str">
        <f>IFERROR(__xludf.DUMMYFUNCTION("""COMPUTED_VALUE"""),"Nhãn")</f>
        <v>Nhãn</v>
      </c>
      <c r="C4085" s="87" t="str">
        <f>IFERROR(__xludf.DUMMYFUNCTION("""COMPUTED_VALUE"""),"NHG3277")</f>
        <v>NHG3277</v>
      </c>
      <c r="D4085" s="87" t="str">
        <f>IFERROR(__xludf.DUMMYFUNCTION("""COMPUTED_VALUE"""),"[Nhãn] NB - V - 3277 - CTY THỊNH VƯỢNG - POWER (Nước đỏ) - 500ml - 40")</f>
        <v>[Nhãn] NB - V - 3277 - CTY THỊNH VƯỢNG - POWER (Nước đỏ) - 500ml - 40</v>
      </c>
      <c r="E4085" s="87" t="str">
        <f>IFERROR(__xludf.DUMMYFUNCTION("""COMPUTED_VALUE"""),"GENOL 1.2SL")</f>
        <v>GENOL 1.2SL</v>
      </c>
      <c r="F4085" s="87" t="str">
        <f>IFERROR(__xludf.DUMMYFUNCTION("""COMPUTED_VALUE"""),"HH3277")</f>
        <v>HH3277</v>
      </c>
      <c r="G4085" s="87" t="str">
        <f>IFERROR(__xludf.DUMMYFUNCTION("""COMPUTED_VALUE"""),"NB - V - 3277 - CTY THỊNH VƯỢNG - POWER (Nước đỏ) - 500ml - 40")</f>
        <v>NB - V - 3277 - CTY THỊNH VƯỢNG - POWER (Nước đỏ) - 500ml - 40</v>
      </c>
    </row>
    <row r="4086">
      <c r="A4086" s="86">
        <f>IFERROR(__xludf.DUMMYFUNCTION("""COMPUTED_VALUE"""),4084.0)</f>
        <v>4084</v>
      </c>
      <c r="B4086" s="87" t="str">
        <f>IFERROR(__xludf.DUMMYFUNCTION("""COMPUTED_VALUE"""),"Nhãn")</f>
        <v>Nhãn</v>
      </c>
      <c r="C4086" s="87" t="str">
        <f>IFERROR(__xludf.DUMMYFUNCTION("""COMPUTED_VALUE"""),"NTN3279")</f>
        <v>NTN3279</v>
      </c>
      <c r="D4086" s="87" t="str">
        <f>IFERROR(__xludf.DUMMYFUNCTION("""COMPUTED_VALUE"""),"[Nhãn] GC - IV - 3279 - CTY BẢO HÂN - MANCOBGO 80WP (Bột xanh) - 1kg - 20")</f>
        <v>[Nhãn] GC - IV - 3279 - CTY BẢO HÂN - MANCOBGO 80WP (Bột xanh) - 1kg - 20</v>
      </c>
      <c r="E4086" s="87" t="str">
        <f>IFERROR(__xludf.DUMMYFUNCTION("""COMPUTED_VALUE"""),"MANCOBGO 80WP")</f>
        <v>MANCOBGO 80WP</v>
      </c>
      <c r="F4086" s="87" t="str">
        <f>IFERROR(__xludf.DUMMYFUNCTION("""COMPUTED_VALUE"""),"HH3279")</f>
        <v>HH3279</v>
      </c>
      <c r="G4086" s="87" t="str">
        <f>IFERROR(__xludf.DUMMYFUNCTION("""COMPUTED_VALUE"""),"GC - IV - 3279 - CTY BẢO HÂN - MANCOBGO 80WP (Bột xanh) - 1kg - 20")</f>
        <v>GC - IV - 3279 - CTY BẢO HÂN - MANCOBGO 80WP (Bột xanh) - 1kg - 20</v>
      </c>
    </row>
    <row r="4087">
      <c r="A4087" s="86">
        <f>IFERROR(__xludf.DUMMYFUNCTION("""COMPUTED_VALUE"""),4085.0)</f>
        <v>4085</v>
      </c>
      <c r="B4087" s="87" t="str">
        <f>IFERROR(__xludf.DUMMYFUNCTION("""COMPUTED_VALUE"""),"Nhãn thùng")</f>
        <v>Nhãn thùng</v>
      </c>
      <c r="C4087" s="87" t="str">
        <f>IFERROR(__xludf.DUMMYFUNCTION("""COMPUTED_VALUE"""),"NDT3279")</f>
        <v>NDT3279</v>
      </c>
      <c r="D4087" s="87" t="str">
        <f>IFERROR(__xludf.DUMMYFUNCTION("""COMPUTED_VALUE"""),"[Nhãn thùng] GC - IV - 3279 - CTY BẢO HÂN - MANCOBGO 80WP (Bột xanh) - 1kg - 20")</f>
        <v>[Nhãn thùng] GC - IV - 3279 - CTY BẢO HÂN - MANCOBGO 80WP (Bột xanh) - 1kg - 20</v>
      </c>
      <c r="E4087" s="87" t="str">
        <f>IFERROR(__xludf.DUMMYFUNCTION("""COMPUTED_VALUE"""),"MANCOBGO 80WP")</f>
        <v>MANCOBGO 80WP</v>
      </c>
      <c r="F4087" s="87" t="str">
        <f>IFERROR(__xludf.DUMMYFUNCTION("""COMPUTED_VALUE"""),"HH3279")</f>
        <v>HH3279</v>
      </c>
      <c r="G4087" s="87" t="str">
        <f>IFERROR(__xludf.DUMMYFUNCTION("""COMPUTED_VALUE"""),"GC - IV - 3279 - CTY BẢO HÂN - MANCOBGO 80WP (Bột xanh) - 1kg - 20")</f>
        <v>GC - IV - 3279 - CTY BẢO HÂN - MANCOBGO 80WP (Bột xanh) - 1kg - 20</v>
      </c>
    </row>
    <row r="4088">
      <c r="A4088" s="86">
        <f>IFERROR(__xludf.DUMMYFUNCTION("""COMPUTED_VALUE"""),4086.0)</f>
        <v>4086</v>
      </c>
      <c r="B4088" s="87" t="str">
        <f>IFERROR(__xludf.DUMMYFUNCTION("""COMPUTED_VALUE"""),"Nhãn")</f>
        <v>Nhãn</v>
      </c>
      <c r="C4088" s="87" t="str">
        <f>IFERROR(__xludf.DUMMYFUNCTION("""COMPUTED_VALUE"""),"NTN3280")</f>
        <v>NTN3280</v>
      </c>
      <c r="D4088" s="87" t="str">
        <f>IFERROR(__xludf.DUMMYFUNCTION("""COMPUTED_VALUE"""),"[Nhãn] GC - IV - 3280 - Agritech - AGRI KILL (Dạng cốm màu trắng ngà) - 100gr - 100")</f>
        <v>[Nhãn] GC - IV - 3280 - Agritech - AGRI KILL (Dạng cốm màu trắng ngà) - 100gr - 100</v>
      </c>
      <c r="E4088" s="87" t="str">
        <f>IFERROR(__xludf.DUMMYFUNCTION("""COMPUTED_VALUE"""),"NOMIDA 700WG")</f>
        <v>NOMIDA 700WG</v>
      </c>
      <c r="F4088" s="87" t="str">
        <f>IFERROR(__xludf.DUMMYFUNCTION("""COMPUTED_VALUE"""),"HH3280")</f>
        <v>HH3280</v>
      </c>
      <c r="G4088" s="87" t="str">
        <f>IFERROR(__xludf.DUMMYFUNCTION("""COMPUTED_VALUE"""),"GC - IV - 3280 - Agritech - AGRI KILL (Dạng cốm màu trắng ngà) - 100gr - 100")</f>
        <v>GC - IV - 3280 - Agritech - AGRI KILL (Dạng cốm màu trắng ngà) - 100gr - 100</v>
      </c>
    </row>
    <row r="4089">
      <c r="A4089" s="86">
        <f>IFERROR(__xludf.DUMMYFUNCTION("""COMPUTED_VALUE"""),4087.0)</f>
        <v>4087</v>
      </c>
      <c r="B4089" s="87" t="str">
        <f>IFERROR(__xludf.DUMMYFUNCTION("""COMPUTED_VALUE"""),"Nhãn thùng")</f>
        <v>Nhãn thùng</v>
      </c>
      <c r="C4089" s="87" t="str">
        <f>IFERROR(__xludf.DUMMYFUNCTION("""COMPUTED_VALUE"""),"NDT3280")</f>
        <v>NDT3280</v>
      </c>
      <c r="D4089" s="87" t="str">
        <f>IFERROR(__xludf.DUMMYFUNCTION("""COMPUTED_VALUE"""),"[Nhãn thùng] GC - IV - 3280 - Agritech - AGRI KILL (Dạng cốm màu trắng ngà) - 100gr - 100")</f>
        <v>[Nhãn thùng] GC - IV - 3280 - Agritech - AGRI KILL (Dạng cốm màu trắng ngà) - 100gr - 100</v>
      </c>
      <c r="E4089" s="87" t="str">
        <f>IFERROR(__xludf.DUMMYFUNCTION("""COMPUTED_VALUE"""),"NOMIDA 700WG")</f>
        <v>NOMIDA 700WG</v>
      </c>
      <c r="F4089" s="87" t="str">
        <f>IFERROR(__xludf.DUMMYFUNCTION("""COMPUTED_VALUE"""),"HH3280")</f>
        <v>HH3280</v>
      </c>
      <c r="G4089" s="87" t="str">
        <f>IFERROR(__xludf.DUMMYFUNCTION("""COMPUTED_VALUE"""),"GC - IV - 3280 - Agritech - AGRI KILL (Dạng cốm màu trắng ngà) - 100gr - 100")</f>
        <v>GC - IV - 3280 - Agritech - AGRI KILL (Dạng cốm màu trắng ngà) - 100gr - 100</v>
      </c>
    </row>
    <row r="4090">
      <c r="A4090" s="86">
        <f>IFERROR(__xludf.DUMMYFUNCTION("""COMPUTED_VALUE"""),4088.0)</f>
        <v>4088</v>
      </c>
      <c r="B4090" s="87" t="str">
        <f>IFERROR(__xludf.DUMMYFUNCTION("""COMPUTED_VALUE"""),"Nhãn")</f>
        <v>Nhãn</v>
      </c>
      <c r="C4090" s="87" t="str">
        <f>IFERROR(__xludf.DUMMYFUNCTION("""COMPUTED_VALUE"""),"NTN3281")</f>
        <v>NTN3281</v>
      </c>
      <c r="D4090" s="87" t="str">
        <f>IFERROR(__xludf.DUMMYFUNCTION("""COMPUTED_VALUE"""),"[Nhãn] GC - IV - 3281 - NHP GROUP - DIỆT CHÍCH HÚT (Bột màu trắng) - 100gr - 100")</f>
        <v>[Nhãn] GC - IV - 3281 - NHP GROUP - DIỆT CHÍCH HÚT (Bột màu trắng) - 100gr - 100</v>
      </c>
      <c r="E4090" s="87" t="str">
        <f>IFERROR(__xludf.DUMMYFUNCTION("""COMPUTED_VALUE"""),"NOMIDA 10WP")</f>
        <v>NOMIDA 10WP</v>
      </c>
      <c r="F4090" s="87" t="str">
        <f>IFERROR(__xludf.DUMMYFUNCTION("""COMPUTED_VALUE"""),"HH3281")</f>
        <v>HH3281</v>
      </c>
      <c r="G4090" s="87" t="str">
        <f>IFERROR(__xludf.DUMMYFUNCTION("""COMPUTED_VALUE"""),"GC - IV - 3281 - NHP GROUP - DIỆT CHÍCH HÚT (Bột màu trắng) - 100gr - 100")</f>
        <v>GC - IV - 3281 - NHP GROUP - DIỆT CHÍCH HÚT (Bột màu trắng) - 100gr - 100</v>
      </c>
    </row>
    <row r="4091">
      <c r="A4091" s="86">
        <f>IFERROR(__xludf.DUMMYFUNCTION("""COMPUTED_VALUE"""),4089.0)</f>
        <v>4089</v>
      </c>
      <c r="B4091" s="87" t="str">
        <f>IFERROR(__xludf.DUMMYFUNCTION("""COMPUTED_VALUE"""),"Nhãn thùng")</f>
        <v>Nhãn thùng</v>
      </c>
      <c r="C4091" s="87" t="str">
        <f>IFERROR(__xludf.DUMMYFUNCTION("""COMPUTED_VALUE"""),"NDT3281")</f>
        <v>NDT3281</v>
      </c>
      <c r="D4091" s="87" t="str">
        <f>IFERROR(__xludf.DUMMYFUNCTION("""COMPUTED_VALUE"""),"[Nhãn thùng] GC - IV - 3281 - NHP GROUP - DIỆT CHÍCH HÚT (Bột màu trắng) - 100gr - 100")</f>
        <v>[Nhãn thùng] GC - IV - 3281 - NHP GROUP - DIỆT CHÍCH HÚT (Bột màu trắng) - 100gr - 100</v>
      </c>
      <c r="E4091" s="87" t="str">
        <f>IFERROR(__xludf.DUMMYFUNCTION("""COMPUTED_VALUE"""),"NOMIDA 10WP")</f>
        <v>NOMIDA 10WP</v>
      </c>
      <c r="F4091" s="87" t="str">
        <f>IFERROR(__xludf.DUMMYFUNCTION("""COMPUTED_VALUE"""),"HH3281")</f>
        <v>HH3281</v>
      </c>
      <c r="G4091" s="87" t="str">
        <f>IFERROR(__xludf.DUMMYFUNCTION("""COMPUTED_VALUE"""),"GC - IV - 3281 - NHP GROUP - DIỆT CHÍCH HÚT (Bột màu trắng) - 100gr - 100")</f>
        <v>GC - IV - 3281 - NHP GROUP - DIỆT CHÍCH HÚT (Bột màu trắng) - 100gr - 100</v>
      </c>
    </row>
    <row r="4092">
      <c r="A4092" s="86">
        <f>IFERROR(__xludf.DUMMYFUNCTION("""COMPUTED_VALUE"""),4090.0)</f>
        <v>4090</v>
      </c>
      <c r="B4092" s="87" t="str">
        <f>IFERROR(__xludf.DUMMYFUNCTION("""COMPUTED_VALUE"""),"Nhãn")</f>
        <v>Nhãn</v>
      </c>
      <c r="C4092" s="87" t="str">
        <f>IFERROR(__xludf.DUMMYFUNCTION("""COMPUTED_VALUE"""),"NHG3282")</f>
        <v>NHG3282</v>
      </c>
      <c r="D4092" s="87" t="str">
        <f>IFERROR(__xludf.DUMMYFUNCTION("""COMPUTED_VALUE"""),"[Nhãn] GC - IV - 3282 - THACO FARM - PYXOATE 44EC (Nước đỏ) - 450ml - 40")</f>
        <v>[Nhãn] GC - IV - 3282 - THACO FARM - PYXOATE 44EC (Nước đỏ) - 450ml - 40</v>
      </c>
      <c r="E4092" s="87" t="str">
        <f>IFERROR(__xludf.DUMMYFUNCTION("""COMPUTED_VALUE"""),"PYXOATE 44EC")</f>
        <v>PYXOATE 44EC</v>
      </c>
      <c r="F4092" s="87" t="str">
        <f>IFERROR(__xludf.DUMMYFUNCTION("""COMPUTED_VALUE"""),"HH3282")</f>
        <v>HH3282</v>
      </c>
      <c r="G4092" s="87" t="str">
        <f>IFERROR(__xludf.DUMMYFUNCTION("""COMPUTED_VALUE"""),"GC - IV - 3282 - THACO FARM - PYXOATE 44EC (Nước đỏ) - 450ml - 40")</f>
        <v>GC - IV - 3282 - THACO FARM - PYXOATE 44EC (Nước đỏ) - 450ml - 40</v>
      </c>
    </row>
    <row r="4093">
      <c r="A4093" s="86">
        <f>IFERROR(__xludf.DUMMYFUNCTION("""COMPUTED_VALUE"""),4091.0)</f>
        <v>4091</v>
      </c>
      <c r="B4093" s="87" t="str">
        <f>IFERROR(__xludf.DUMMYFUNCTION("""COMPUTED_VALUE"""),"Nhãn")</f>
        <v>Nhãn</v>
      </c>
      <c r="C4093" s="87" t="str">
        <f>IFERROR(__xludf.DUMMYFUNCTION("""COMPUTED_VALUE"""),"NTN3283")</f>
        <v>NTN3283</v>
      </c>
      <c r="D4093" s="87" t="str">
        <f>IFERROR(__xludf.DUMMYFUNCTION("""COMPUTED_VALUE"""),"[Nhãn] GC - IV - 3283 - THACO FARM - THẦN CÔNG GOLD 39WP (Bột trắng ngà) - 100gr - 100")</f>
        <v>[Nhãn] GC - IV - 3283 - THACO FARM - THẦN CÔNG GOLD 39WP (Bột trắng ngà) - 100gr - 100</v>
      </c>
      <c r="E4093" s="87" t="str">
        <f>IFERROR(__xludf.DUMMYFUNCTION("""COMPUTED_VALUE"""),"THẦN CÔNG GOLD 39WP")</f>
        <v>THẦN CÔNG GOLD 39WP</v>
      </c>
      <c r="F4093" s="87" t="str">
        <f>IFERROR(__xludf.DUMMYFUNCTION("""COMPUTED_VALUE"""),"HH3283")</f>
        <v>HH3283</v>
      </c>
      <c r="G4093" s="87" t="str">
        <f>IFERROR(__xludf.DUMMYFUNCTION("""COMPUTED_VALUE"""),"GC - IV - 3283 - THACO FARM - THẦN CÔNG GOLD 39WP (Bột trắng ngà) - 100gr - 100")</f>
        <v>GC - IV - 3283 - THACO FARM - THẦN CÔNG GOLD 39WP (Bột trắng ngà) - 100gr - 100</v>
      </c>
    </row>
    <row r="4094">
      <c r="A4094" s="86">
        <f>IFERROR(__xludf.DUMMYFUNCTION("""COMPUTED_VALUE"""),4092.0)</f>
        <v>4092</v>
      </c>
      <c r="B4094" s="87" t="str">
        <f>IFERROR(__xludf.DUMMYFUNCTION("""COMPUTED_VALUE"""),"Nhãn thùng")</f>
        <v>Nhãn thùng</v>
      </c>
      <c r="C4094" s="87" t="str">
        <f>IFERROR(__xludf.DUMMYFUNCTION("""COMPUTED_VALUE"""),"NDT3283")</f>
        <v>NDT3283</v>
      </c>
      <c r="D4094" s="87" t="str">
        <f>IFERROR(__xludf.DUMMYFUNCTION("""COMPUTED_VALUE"""),"[Nhãn thùng] GC - IV - 3283 - THACO FARM - THẦN CÔNG GOLD 39WP (Bột trắng ngà) - 100gr - 100")</f>
        <v>[Nhãn thùng] GC - IV - 3283 - THACO FARM - THẦN CÔNG GOLD 39WP (Bột trắng ngà) - 100gr - 100</v>
      </c>
      <c r="E4094" s="87" t="str">
        <f>IFERROR(__xludf.DUMMYFUNCTION("""COMPUTED_VALUE"""),"THẦN CÔNG GOLD 39WP")</f>
        <v>THẦN CÔNG GOLD 39WP</v>
      </c>
      <c r="F4094" s="87" t="str">
        <f>IFERROR(__xludf.DUMMYFUNCTION("""COMPUTED_VALUE"""),"HH3283")</f>
        <v>HH3283</v>
      </c>
      <c r="G4094" s="87" t="str">
        <f>IFERROR(__xludf.DUMMYFUNCTION("""COMPUTED_VALUE"""),"GC - IV - 3283 - THACO FARM - THẦN CÔNG GOLD 39WP (Bột trắng ngà) - 100gr - 100")</f>
        <v>GC - IV - 3283 - THACO FARM - THẦN CÔNG GOLD 39WP (Bột trắng ngà) - 100gr - 100</v>
      </c>
    </row>
    <row r="4095">
      <c r="A4095" s="86">
        <f>IFERROR(__xludf.DUMMYFUNCTION("""COMPUTED_VALUE"""),4093.0)</f>
        <v>4093</v>
      </c>
      <c r="B4095" s="87" t="str">
        <f>IFERROR(__xludf.DUMMYFUNCTION("""COMPUTED_VALUE"""),"Nhãn")</f>
        <v>Nhãn</v>
      </c>
      <c r="C4095" s="87" t="str">
        <f>IFERROR(__xludf.DUMMYFUNCTION("""COMPUTED_VALUE"""),"NTN3284")</f>
        <v>NTN3284</v>
      </c>
      <c r="D4095" s="87" t="str">
        <f>IFERROR(__xludf.DUMMYFUNCTION("""COMPUTED_VALUE"""),"[Nhãn] GC - IV - 3284 - THACO FARM - PROBICOL 200WP (Bột trắng ngà) - 100gr - 100")</f>
        <v>[Nhãn] GC - IV - 3284 - THACO FARM - PROBICOL 200WP (Bột trắng ngà) - 100gr - 100</v>
      </c>
      <c r="E4095" s="87" t="str">
        <f>IFERROR(__xludf.DUMMYFUNCTION("""COMPUTED_VALUE"""),"PROBICOL 200WP")</f>
        <v>PROBICOL 200WP</v>
      </c>
      <c r="F4095" s="87" t="str">
        <f>IFERROR(__xludf.DUMMYFUNCTION("""COMPUTED_VALUE"""),"HH3284")</f>
        <v>HH3284</v>
      </c>
      <c r="G4095" s="87" t="str">
        <f>IFERROR(__xludf.DUMMYFUNCTION("""COMPUTED_VALUE"""),"GC - IV - 3284 - THACO FARM - PROBICOL 200WP (Bột trắng ngà) - 100gr - 100")</f>
        <v>GC - IV - 3284 - THACO FARM - PROBICOL 200WP (Bột trắng ngà) - 100gr - 100</v>
      </c>
    </row>
    <row r="4096">
      <c r="A4096" s="86">
        <f>IFERROR(__xludf.DUMMYFUNCTION("""COMPUTED_VALUE"""),4094.0)</f>
        <v>4094</v>
      </c>
      <c r="B4096" s="87" t="str">
        <f>IFERROR(__xludf.DUMMYFUNCTION("""COMPUTED_VALUE"""),"Nhãn thùng")</f>
        <v>Nhãn thùng</v>
      </c>
      <c r="C4096" s="87" t="str">
        <f>IFERROR(__xludf.DUMMYFUNCTION("""COMPUTED_VALUE"""),"NDT3284")</f>
        <v>NDT3284</v>
      </c>
      <c r="D4096" s="87" t="str">
        <f>IFERROR(__xludf.DUMMYFUNCTION("""COMPUTED_VALUE"""),"[Nhãn thùng] GC - IV - 3284 - THACO FARM - PROBICOL 200WP (Bột trắng ngà) - 100gr - 100")</f>
        <v>[Nhãn thùng] GC - IV - 3284 - THACO FARM - PROBICOL 200WP (Bột trắng ngà) - 100gr - 100</v>
      </c>
      <c r="E4096" s="87" t="str">
        <f>IFERROR(__xludf.DUMMYFUNCTION("""COMPUTED_VALUE"""),"PROBICOL 200WP")</f>
        <v>PROBICOL 200WP</v>
      </c>
      <c r="F4096" s="87" t="str">
        <f>IFERROR(__xludf.DUMMYFUNCTION("""COMPUTED_VALUE"""),"HH3284")</f>
        <v>HH3284</v>
      </c>
      <c r="G4096" s="87" t="str">
        <f>IFERROR(__xludf.DUMMYFUNCTION("""COMPUTED_VALUE"""),"GC - IV - 3284 - THACO FARM - PROBICOL 200WP (Bột trắng ngà) - 100gr - 100")</f>
        <v>GC - IV - 3284 - THACO FARM - PROBICOL 200WP (Bột trắng ngà) - 100gr - 100</v>
      </c>
    </row>
    <row r="4097">
      <c r="A4097" s="86">
        <f>IFERROR(__xludf.DUMMYFUNCTION("""COMPUTED_VALUE"""),4095.0)</f>
        <v>4095</v>
      </c>
      <c r="B4097" s="87" t="str">
        <f>IFERROR(__xludf.DUMMYFUNCTION("""COMPUTED_VALUE"""),"Nhãn")</f>
        <v>Nhãn</v>
      </c>
      <c r="C4097" s="87" t="str">
        <f>IFERROR(__xludf.DUMMYFUNCTION("""COMPUTED_VALUE"""),"NTN3285")</f>
        <v>NTN3285</v>
      </c>
      <c r="D4097" s="87" t="str">
        <f>IFERROR(__xludf.DUMMYFUNCTION("""COMPUTED_VALUE"""),"[Nhãn] GC - IV - 3285 - THACO FARM - FORTAZEB 72WP (Bột vàng) - 500gr - 40")</f>
        <v>[Nhãn] GC - IV - 3285 - THACO FARM - FORTAZEB 72WP (Bột vàng) - 500gr - 40</v>
      </c>
      <c r="E4097" s="87" t="str">
        <f>IFERROR(__xludf.DUMMYFUNCTION("""COMPUTED_VALUE"""),"FORTAZEB 72WP")</f>
        <v>FORTAZEB 72WP</v>
      </c>
      <c r="F4097" s="87" t="str">
        <f>IFERROR(__xludf.DUMMYFUNCTION("""COMPUTED_VALUE"""),"HH3285")</f>
        <v>HH3285</v>
      </c>
      <c r="G4097" s="87" t="str">
        <f>IFERROR(__xludf.DUMMYFUNCTION("""COMPUTED_VALUE"""),"GC - IV - 3285 - THACO FARM - FORTAZEB 72WP (Bột vàng) - 500gr - 40")</f>
        <v>GC - IV - 3285 - THACO FARM - FORTAZEB 72WP (Bột vàng) - 500gr - 40</v>
      </c>
    </row>
    <row r="4098">
      <c r="A4098" s="86">
        <f>IFERROR(__xludf.DUMMYFUNCTION("""COMPUTED_VALUE"""),4096.0)</f>
        <v>4096</v>
      </c>
      <c r="B4098" s="87" t="str">
        <f>IFERROR(__xludf.DUMMYFUNCTION("""COMPUTED_VALUE"""),"Nhãn thùng")</f>
        <v>Nhãn thùng</v>
      </c>
      <c r="C4098" s="87" t="str">
        <f>IFERROR(__xludf.DUMMYFUNCTION("""COMPUTED_VALUE"""),"NDT3285")</f>
        <v>NDT3285</v>
      </c>
      <c r="D4098" s="87" t="str">
        <f>IFERROR(__xludf.DUMMYFUNCTION("""COMPUTED_VALUE"""),"[Nhãn thùng] GC - IV - 3285 - THACO FARM - FORTAZEB 72WP (Bột vàng) - 500gr - 40")</f>
        <v>[Nhãn thùng] GC - IV - 3285 - THACO FARM - FORTAZEB 72WP (Bột vàng) - 500gr - 40</v>
      </c>
      <c r="E4098" s="87" t="str">
        <f>IFERROR(__xludf.DUMMYFUNCTION("""COMPUTED_VALUE"""),"FORTAZEB 72WP")</f>
        <v>FORTAZEB 72WP</v>
      </c>
      <c r="F4098" s="87" t="str">
        <f>IFERROR(__xludf.DUMMYFUNCTION("""COMPUTED_VALUE"""),"HH3285")</f>
        <v>HH3285</v>
      </c>
      <c r="G4098" s="87" t="str">
        <f>IFERROR(__xludf.DUMMYFUNCTION("""COMPUTED_VALUE"""),"GC - IV - 3285 - THACO FARM - FORTAZEB 72WP (Bột vàng) - 500gr - 40")</f>
        <v>GC - IV - 3285 - THACO FARM - FORTAZEB 72WP (Bột vàng) - 500gr - 40</v>
      </c>
    </row>
    <row r="4099">
      <c r="A4099" s="86">
        <f>IFERROR(__xludf.DUMMYFUNCTION("""COMPUTED_VALUE"""),4097.0)</f>
        <v>4097</v>
      </c>
      <c r="B4099" s="87" t="str">
        <f>IFERROR(__xludf.DUMMYFUNCTION("""COMPUTED_VALUE"""),"Nhãn")</f>
        <v>Nhãn</v>
      </c>
      <c r="C4099" s="87" t="str">
        <f>IFERROR(__xludf.DUMMYFUNCTION("""COMPUTED_VALUE"""),"NHG3286")</f>
        <v>NHG3286</v>
      </c>
      <c r="D4099" s="87" t="str">
        <f>IFERROR(__xludf.DUMMYFUNCTION("""COMPUTED_VALUE"""),"[Nhãn] GC - IV - 3286 - Cty Thiên Di (A Thành Dol) - KÍCH RỄ MAI VÀNG - 100ml - 100")</f>
        <v>[Nhãn] GC - IV - 3286 - Cty Thiên Di (A Thành Dol) - KÍCH RỄ MAI VÀNG - 100ml - 100</v>
      </c>
      <c r="E4099" s="87" t="str">
        <f>IFERROR(__xludf.DUMMYFUNCTION("""COMPUTED_VALUE"""),"Hữu cơ SH Agro Organic Fertilizer 20")</f>
        <v>Hữu cơ SH Agro Organic Fertilizer 20</v>
      </c>
      <c r="F4099" s="87" t="str">
        <f>IFERROR(__xludf.DUMMYFUNCTION("""COMPUTED_VALUE"""),"HH3286")</f>
        <v>HH3286</v>
      </c>
      <c r="G4099" s="87" t="str">
        <f>IFERROR(__xludf.DUMMYFUNCTION("""COMPUTED_VALUE"""),"GC - IV - 3286 - Cty Thiên Di (A Thành Dol) - KÍCH RỄ MAI VÀNG - 100ml - 100")</f>
        <v>GC - IV - 3286 - Cty Thiên Di (A Thành Dol) - KÍCH RỄ MAI VÀNG - 100ml - 100</v>
      </c>
    </row>
    <row r="4100">
      <c r="A4100" s="86">
        <f>IFERROR(__xludf.DUMMYFUNCTION("""COMPUTED_VALUE"""),4098.0)</f>
        <v>4098</v>
      </c>
      <c r="B4100" s="87" t="str">
        <f>IFERROR(__xludf.DUMMYFUNCTION("""COMPUTED_VALUE"""),"Nhãn")</f>
        <v>Nhãn</v>
      </c>
      <c r="C4100" s="87" t="str">
        <f>IFERROR(__xludf.DUMMYFUNCTION("""COMPUTED_VALUE"""),"NHG3287")</f>
        <v>NHG3287</v>
      </c>
      <c r="D4100" s="87" t="str">
        <f>IFERROR(__xludf.DUMMYFUNCTION("""COMPUTED_VALUE"""),"[Nhãn] IDA Global - I - 3287 - ĐL Ba Toàn - Thần Tài Gold (nước trắng sữa) - 250ml - 40")</f>
        <v>[Nhãn] IDA Global - I - 3287 - ĐL Ba Toàn - Thần Tài Gold (nước trắng sữa) - 250ml - 40</v>
      </c>
      <c r="E4100" s="87"/>
      <c r="F4100" s="87"/>
      <c r="G4100" s="87"/>
    </row>
    <row r="4101">
      <c r="A4101" s="86">
        <f>IFERROR(__xludf.DUMMYFUNCTION("""COMPUTED_VALUE"""),4099.0)</f>
        <v>4099</v>
      </c>
      <c r="B4101" s="87" t="str">
        <f>IFERROR(__xludf.DUMMYFUNCTION("""COMPUTED_VALUE"""),"ABA")</f>
        <v>ABA</v>
      </c>
      <c r="C4101" s="87" t="str">
        <f>IFERROR(__xludf.DUMMYFUNCTION("""COMPUTED_VALUE"""),"1L")</f>
        <v>1L</v>
      </c>
      <c r="D4101" s="87" t="str">
        <f>IFERROR(__xludf.DUMMYFUNCTION("""COMPUTED_VALUE"""),"20")</f>
        <v>20</v>
      </c>
      <c r="E4101" s="87" t="str">
        <f>IFERROR(__xludf.DUMMYFUNCTION("""COMPUTED_VALUE"""),"Nhãn giấy cán bóng")</f>
        <v>Nhãn giấy cán bóng</v>
      </c>
      <c r="F4101" s="87" t="str">
        <f>IFERROR(__xludf.DUMMYFUNCTION("""COMPUTED_VALUE"""),"Cái")</f>
        <v>Cái</v>
      </c>
      <c r="G4101" s="87"/>
    </row>
    <row r="4102">
      <c r="A4102" s="86">
        <f>IFERROR(__xludf.DUMMYFUNCTION("""COMPUTED_VALUE"""),4100.0)</f>
        <v>4100</v>
      </c>
      <c r="B4102" s="87" t="str">
        <f>IFERROR(__xludf.DUMMYFUNCTION("""COMPUTED_VALUE"""),"Nhãn")</f>
        <v>Nhãn</v>
      </c>
      <c r="C4102" s="87" t="str">
        <f>IFERROR(__xludf.DUMMYFUNCTION("""COMPUTED_VALUE"""),"NHD3288")</f>
        <v>NHD3288</v>
      </c>
      <c r="D4102" s="87" t="str">
        <f>IFERROR(__xludf.DUMMYFUNCTION("""COMPUTED_VALUE"""),"[Nhãn] GC - IV - 3288 - CTY MASTER WIN - SUPER F1 (Nước xanh nõn chuối) - 500ml - 40")</f>
        <v>[Nhãn] GC - IV - 3288 - CTY MASTER WIN - SUPER F1 (Nước xanh nõn chuối) - 500ml - 40</v>
      </c>
      <c r="E4102" s="87" t="str">
        <f>IFERROR(__xludf.DUMMYFUNCTION("""COMPUTED_VALUE"""),"Hữu cơ WIN STALK")</f>
        <v>Hữu cơ WIN STALK</v>
      </c>
      <c r="F4102" s="87" t="str">
        <f>IFERROR(__xludf.DUMMYFUNCTION("""COMPUTED_VALUE"""),"HH3288")</f>
        <v>HH3288</v>
      </c>
      <c r="G4102" s="87" t="str">
        <f>IFERROR(__xludf.DUMMYFUNCTION("""COMPUTED_VALUE"""),"GC - IV - 3288 - CTY MASTER WIN - SUPER F1 (Nước xanh nõn chuối) - 500ml - 40")</f>
        <v>GC - IV - 3288 - CTY MASTER WIN - SUPER F1 (Nước xanh nõn chuối) - 500ml - 40</v>
      </c>
    </row>
    <row r="4103">
      <c r="A4103" s="86">
        <f>IFERROR(__xludf.DUMMYFUNCTION("""COMPUTED_VALUE"""),4101.0)</f>
        <v>4101</v>
      </c>
      <c r="B4103" s="87" t="str">
        <f>IFERROR(__xludf.DUMMYFUNCTION("""COMPUTED_VALUE"""),"Nhãn thùng")</f>
        <v>Nhãn thùng</v>
      </c>
      <c r="C4103" s="87" t="str">
        <f>IFERROR(__xludf.DUMMYFUNCTION("""COMPUTED_VALUE"""),"NDT3288")</f>
        <v>NDT3288</v>
      </c>
      <c r="D4103" s="87" t="str">
        <f>IFERROR(__xludf.DUMMYFUNCTION("""COMPUTED_VALUE"""),"[Nhãn thùng] GC - IV - 3288 - CTY MASTER WIN - SUPER F1 (Nước xanh nõn chuối) - 500ml - 40")</f>
        <v>[Nhãn thùng] GC - IV - 3288 - CTY MASTER WIN - SUPER F1 (Nước xanh nõn chuối) - 500ml - 40</v>
      </c>
      <c r="E4103" s="87" t="str">
        <f>IFERROR(__xludf.DUMMYFUNCTION("""COMPUTED_VALUE"""),"Hữu cơ WIN STALK")</f>
        <v>Hữu cơ WIN STALK</v>
      </c>
      <c r="F4103" s="87" t="str">
        <f>IFERROR(__xludf.DUMMYFUNCTION("""COMPUTED_VALUE"""),"HH3288")</f>
        <v>HH3288</v>
      </c>
      <c r="G4103" s="87" t="str">
        <f>IFERROR(__xludf.DUMMYFUNCTION("""COMPUTED_VALUE"""),"GC - IV - 3288 - CTY MASTER WIN - SUPER F1 (Nước xanh nõn chuối) - 500ml - 40")</f>
        <v>GC - IV - 3288 - CTY MASTER WIN - SUPER F1 (Nước xanh nõn chuối) - 500ml - 40</v>
      </c>
    </row>
    <row r="4104">
      <c r="A4104" s="86">
        <f>IFERROR(__xludf.DUMMYFUNCTION("""COMPUTED_VALUE"""),4102.0)</f>
        <v>4102</v>
      </c>
      <c r="B4104" s="87" t="str">
        <f>IFERROR(__xludf.DUMMYFUNCTION("""COMPUTED_VALUE"""),"Nhãn")</f>
        <v>Nhãn</v>
      </c>
      <c r="C4104" s="87" t="str">
        <f>IFERROR(__xludf.DUMMYFUNCTION("""COMPUTED_VALUE"""),"NHG3289")</f>
        <v>NHG3289</v>
      </c>
      <c r="D4104" s="87" t="str">
        <f>IFERROR(__xludf.DUMMYFUNCTION("""COMPUTED_VALUE"""),"[Nhãn] GC - IV - 3289 - CTY USAFARM - LEAF GROW (Nước xanh lá) - 500ml - 40")</f>
        <v>[Nhãn] GC - IV - 3289 - CTY USAFARM - LEAF GROW (Nước xanh lá) - 500ml - 40</v>
      </c>
      <c r="E4104" s="87" t="str">
        <f>IFERROR(__xludf.DUMMYFUNCTION("""COMPUTED_VALUE"""),"Hữu cơ SH Agro Organic Fertilizer 20")</f>
        <v>Hữu cơ SH Agro Organic Fertilizer 20</v>
      </c>
      <c r="F4104" s="87" t="str">
        <f>IFERROR(__xludf.DUMMYFUNCTION("""COMPUTED_VALUE"""),"HH3289")</f>
        <v>HH3289</v>
      </c>
      <c r="G4104" s="87" t="str">
        <f>IFERROR(__xludf.DUMMYFUNCTION("""COMPUTED_VALUE"""),"GC - IV - 3289 - CTY USAFARM - LEAF GROW (Nước xanh lá) - 500ml - 40")</f>
        <v>GC - IV - 3289 - CTY USAFARM - LEAF GROW (Nước xanh lá) - 500ml - 40</v>
      </c>
    </row>
    <row r="4105">
      <c r="A4105" s="86">
        <f>IFERROR(__xludf.DUMMYFUNCTION("""COMPUTED_VALUE"""),4103.0)</f>
        <v>4103</v>
      </c>
      <c r="B4105" s="87" t="str">
        <f>IFERROR(__xludf.DUMMYFUNCTION("""COMPUTED_VALUE"""),"Nhãn")</f>
        <v>Nhãn</v>
      </c>
      <c r="C4105" s="87" t="str">
        <f>IFERROR(__xludf.DUMMYFUNCTION("""COMPUTED_VALUE"""),"NTN3291")</f>
        <v>NTN3291</v>
      </c>
      <c r="D4105" s="87" t="str">
        <f>IFERROR(__xludf.DUMMYFUNCTION("""COMPUTED_VALUE"""),"[Nhãn] GC - IV - 3291 - HKD HUYỀN NHỰT - SIÊU BỆNH NẤM KHUẨN - 15gr - 400")</f>
        <v>[Nhãn] GC - IV - 3291 - HKD HUYỀN NHỰT - SIÊU BỆNH NẤM KHUẨN - 15gr - 400</v>
      </c>
      <c r="E4105" s="87" t="str">
        <f>IFERROR(__xludf.DUMMYFUNCTION("""COMPUTED_VALUE"""),"CYAT 525WG")</f>
        <v>CYAT 525WG</v>
      </c>
      <c r="F4105" s="87" t="str">
        <f>IFERROR(__xludf.DUMMYFUNCTION("""COMPUTED_VALUE"""),"HH3291")</f>
        <v>HH3291</v>
      </c>
      <c r="G4105" s="87" t="str">
        <f>IFERROR(__xludf.DUMMYFUNCTION("""COMPUTED_VALUE"""),"GC - IV - 3291 - HKD HUYỀN NHỰT - SIÊU BỆNH NẤM KHUẨN - 15gr - 400")</f>
        <v>GC - IV - 3291 - HKD HUYỀN NHỰT - SIÊU BỆNH NẤM KHUẨN - 15gr - 400</v>
      </c>
    </row>
    <row r="4106">
      <c r="A4106" s="86">
        <f>IFERROR(__xludf.DUMMYFUNCTION("""COMPUTED_VALUE"""),4104.0)</f>
        <v>4104</v>
      </c>
      <c r="B4106" s="87" t="str">
        <f>IFERROR(__xludf.DUMMYFUNCTION("""COMPUTED_VALUE"""),"Nhãn thùng")</f>
        <v>Nhãn thùng</v>
      </c>
      <c r="C4106" s="87" t="str">
        <f>IFERROR(__xludf.DUMMYFUNCTION("""COMPUTED_VALUE"""),"NDT3291")</f>
        <v>NDT3291</v>
      </c>
      <c r="D4106" s="87" t="str">
        <f>IFERROR(__xludf.DUMMYFUNCTION("""COMPUTED_VALUE"""),"[Nhãn thùng] GC - IV - 3291 - HKD HUYỀN NHỰT - SIÊU BỆNH NẤM KHUẨN - 15gr - 400")</f>
        <v>[Nhãn thùng] GC - IV - 3291 - HKD HUYỀN NHỰT - SIÊU BỆNH NẤM KHUẨN - 15gr - 400</v>
      </c>
      <c r="E4106" s="87" t="str">
        <f>IFERROR(__xludf.DUMMYFUNCTION("""COMPUTED_VALUE"""),"CYAT 525WG")</f>
        <v>CYAT 525WG</v>
      </c>
      <c r="F4106" s="87" t="str">
        <f>IFERROR(__xludf.DUMMYFUNCTION("""COMPUTED_VALUE"""),"HH3291")</f>
        <v>HH3291</v>
      </c>
      <c r="G4106" s="87" t="str">
        <f>IFERROR(__xludf.DUMMYFUNCTION("""COMPUTED_VALUE"""),"GC - IV - 3291 - HKD HUYỀN NHỰT - SIÊU BỆNH NẤM KHUẨN - 15gr - 400")</f>
        <v>GC - IV - 3291 - HKD HUYỀN NHỰT - SIÊU BỆNH NẤM KHUẨN - 15gr - 400</v>
      </c>
    </row>
    <row r="4107">
      <c r="A4107" s="86">
        <f>IFERROR(__xludf.DUMMYFUNCTION("""COMPUTED_VALUE"""),4105.0)</f>
        <v>4105</v>
      </c>
      <c r="B4107" s="87" t="str">
        <f>IFERROR(__xludf.DUMMYFUNCTION("""COMPUTED_VALUE"""),"Nhãn")</f>
        <v>Nhãn</v>
      </c>
      <c r="C4107" s="87" t="str">
        <f>IFERROR(__xludf.DUMMYFUNCTION("""COMPUTED_VALUE"""),"NHG3292")</f>
        <v>NHG3292</v>
      </c>
      <c r="D4107" s="87" t="str">
        <f>IFERROR(__xludf.DUMMYFUNCTION("""COMPUTED_VALUE"""),"[Nhãn] GC - IV - 3292 - Cty NTT - TOP ONE (Nước trắng sữa) - 1L - 20")</f>
        <v>[Nhãn] GC - IV - 3292 - Cty NTT - TOP ONE (Nước trắng sữa) - 1L - 20</v>
      </c>
      <c r="E4107" s="87" t="str">
        <f>IFERROR(__xludf.DUMMYFUNCTION("""COMPUTED_VALUE"""),"JAPA VIL 110SC")</f>
        <v>JAPA VIL 110SC</v>
      </c>
      <c r="F4107" s="87" t="str">
        <f>IFERROR(__xludf.DUMMYFUNCTION("""COMPUTED_VALUE"""),"HH3292")</f>
        <v>HH3292</v>
      </c>
      <c r="G4107" s="87" t="str">
        <f>IFERROR(__xludf.DUMMYFUNCTION("""COMPUTED_VALUE"""),"GC - IV - 3292 - Cty NTT - TOP ONE (Nước trắng sữa) - 1L - 20")</f>
        <v>GC - IV - 3292 - Cty NTT - TOP ONE (Nước trắng sữa) - 1L - 20</v>
      </c>
    </row>
    <row r="4108">
      <c r="A4108" s="86">
        <f>IFERROR(__xludf.DUMMYFUNCTION("""COMPUTED_VALUE"""),4106.0)</f>
        <v>4106</v>
      </c>
      <c r="B4108" s="87" t="str">
        <f>IFERROR(__xludf.DUMMYFUNCTION("""COMPUTED_VALUE"""),"Nhãn")</f>
        <v>Nhãn</v>
      </c>
      <c r="C4108" s="87" t="str">
        <f>IFERROR(__xludf.DUMMYFUNCTION("""COMPUTED_VALUE"""),"NTN3293")</f>
        <v>NTN3293</v>
      </c>
      <c r="D4108" s="87" t="str">
        <f>IFERROR(__xludf.DUMMYFUNCTION("""COMPUTED_VALUE"""),"[Nhãn] GC - IV - 3293 - CTY ACE VN - CHESS ACE (Dạng cốm màu trắng ngà) - 15gr - 400")</f>
        <v>[Nhãn] GC - IV - 3293 - CTY ACE VN - CHESS ACE (Dạng cốm màu trắng ngà) - 15gr - 400</v>
      </c>
      <c r="E4108" s="87" t="str">
        <f>IFERROR(__xludf.DUMMYFUNCTION("""COMPUTED_VALUE"""),"NOMIDA 700WG")</f>
        <v>NOMIDA 700WG</v>
      </c>
      <c r="F4108" s="87" t="str">
        <f>IFERROR(__xludf.DUMMYFUNCTION("""COMPUTED_VALUE"""),"HH3293")</f>
        <v>HH3293</v>
      </c>
      <c r="G4108" s="87" t="str">
        <f>IFERROR(__xludf.DUMMYFUNCTION("""COMPUTED_VALUE"""),"GC - IV - 3293 - CTY ACE VN - CHESS ACE (Dạng cốm màu trắng ngà) - 15gr - 400")</f>
        <v>GC - IV - 3293 - CTY ACE VN - CHESS ACE (Dạng cốm màu trắng ngà) - 15gr - 400</v>
      </c>
    </row>
    <row r="4109">
      <c r="A4109" s="86">
        <f>IFERROR(__xludf.DUMMYFUNCTION("""COMPUTED_VALUE"""),4107.0)</f>
        <v>4107</v>
      </c>
      <c r="B4109" s="87" t="str">
        <f>IFERROR(__xludf.DUMMYFUNCTION("""COMPUTED_VALUE"""),"Nhãn thùng")</f>
        <v>Nhãn thùng</v>
      </c>
      <c r="C4109" s="87" t="str">
        <f>IFERROR(__xludf.DUMMYFUNCTION("""COMPUTED_VALUE"""),"NDT3293")</f>
        <v>NDT3293</v>
      </c>
      <c r="D4109" s="87" t="str">
        <f>IFERROR(__xludf.DUMMYFUNCTION("""COMPUTED_VALUE"""),"[Nhãn thùng] GC - IV - 3293 - CTY ACE VN - CHESS ACE (Dạng cốm màu trắng ngà) - 15gr - 400")</f>
        <v>[Nhãn thùng] GC - IV - 3293 - CTY ACE VN - CHESS ACE (Dạng cốm màu trắng ngà) - 15gr - 400</v>
      </c>
      <c r="E4109" s="87" t="str">
        <f>IFERROR(__xludf.DUMMYFUNCTION("""COMPUTED_VALUE"""),"NOMIDA 700WG")</f>
        <v>NOMIDA 700WG</v>
      </c>
      <c r="F4109" s="87" t="str">
        <f>IFERROR(__xludf.DUMMYFUNCTION("""COMPUTED_VALUE"""),"HH3293")</f>
        <v>HH3293</v>
      </c>
      <c r="G4109" s="87" t="str">
        <f>IFERROR(__xludf.DUMMYFUNCTION("""COMPUTED_VALUE"""),"GC - IV - 3293 - CTY ACE VN - CHESS ACE (Dạng cốm màu trắng ngà) - 15gr - 400")</f>
        <v>GC - IV - 3293 - CTY ACE VN - CHESS ACE (Dạng cốm màu trắng ngà) - 15gr - 400</v>
      </c>
    </row>
    <row r="4110">
      <c r="A4110" s="86">
        <f>IFERROR(__xludf.DUMMYFUNCTION("""COMPUTED_VALUE"""),4108.0)</f>
        <v>4108</v>
      </c>
      <c r="B4110" s="87" t="str">
        <f>IFERROR(__xludf.DUMMYFUNCTION("""COMPUTED_VALUE"""),"Nhãn")</f>
        <v>Nhãn</v>
      </c>
      <c r="C4110" s="87" t="str">
        <f>IFERROR(__xludf.DUMMYFUNCTION("""COMPUTED_VALUE"""),"NHG3294")</f>
        <v>NHG3294</v>
      </c>
      <c r="D4110" s="87" t="str">
        <f>IFERROR(__xludf.DUMMYFUNCTION("""COMPUTED_VALUE"""),"[Nhãn] GC - IV - 3294 - CTY ACE VN - PRO MAXX (Nước đỏ) - 50ml - 100")</f>
        <v>[Nhãn] GC - IV - 3294 - CTY ACE VN - PRO MAXX (Nước đỏ) - 50ml - 100</v>
      </c>
      <c r="E4110" s="87" t="str">
        <f>IFERROR(__xludf.DUMMYFUNCTION("""COMPUTED_VALUE"""),"X-SPIDER 25EC")</f>
        <v>X-SPIDER 25EC</v>
      </c>
      <c r="F4110" s="87" t="str">
        <f>IFERROR(__xludf.DUMMYFUNCTION("""COMPUTED_VALUE"""),"HH3294")</f>
        <v>HH3294</v>
      </c>
      <c r="G4110" s="87" t="str">
        <f>IFERROR(__xludf.DUMMYFUNCTION("""COMPUTED_VALUE"""),"GC - IV - 3294 - CTY ACE VN - PRO MAXX (Nước đỏ) - 50ml - 100")</f>
        <v>GC - IV - 3294 - CTY ACE VN - PRO MAXX (Nước đỏ) - 50ml - 100</v>
      </c>
    </row>
    <row r="4111">
      <c r="A4111" s="86">
        <f>IFERROR(__xludf.DUMMYFUNCTION("""COMPUTED_VALUE"""),4109.0)</f>
        <v>4109</v>
      </c>
      <c r="B4111" s="87" t="str">
        <f>IFERROR(__xludf.DUMMYFUNCTION("""COMPUTED_VALUE"""),"Nhãn")</f>
        <v>Nhãn</v>
      </c>
      <c r="C4111" s="87" t="str">
        <f>IFERROR(__xludf.DUMMYFUNCTION("""COMPUTED_VALUE"""),"NHG3296")</f>
        <v>NHG3296</v>
      </c>
      <c r="D4111" s="87" t="str">
        <f>IFERROR(__xludf.DUMMYFUNCTION("""COMPUTED_VALUE"""),"[Nhãn] IDA Global - I - 3296 - CTY TÂN THÀNH - FLOWER TOP SC (Nước trắng sữa) - 500ml - 40")</f>
        <v>[Nhãn] IDA Global - I - 3296 - CTY TÂN THÀNH - FLOWER TOP SC (Nước trắng sữa) - 500ml - 40</v>
      </c>
      <c r="E4111" s="87" t="str">
        <f>IFERROR(__xludf.DUMMYFUNCTION("""COMPUTED_VALUE"""),"Vi lượng Basel IDA 47")</f>
        <v>Vi lượng Basel IDA 47</v>
      </c>
      <c r="F4111" s="87" t="str">
        <f>IFERROR(__xludf.DUMMYFUNCTION("""COMPUTED_VALUE"""),"HH3296")</f>
        <v>HH3296</v>
      </c>
      <c r="G4111" s="87" t="str">
        <f>IFERROR(__xludf.DUMMYFUNCTION("""COMPUTED_VALUE"""),"IDA Global - I - 3296 - CTY TÂN THÀNH - FLOWER TOP SC (Nước trắng sữa) - 500ml - 40")</f>
        <v>IDA Global - I - 3296 - CTY TÂN THÀNH - FLOWER TOP SC (Nước trắng sữa) - 500ml - 40</v>
      </c>
    </row>
    <row r="4112">
      <c r="A4112" s="86">
        <f>IFERROR(__xludf.DUMMYFUNCTION("""COMPUTED_VALUE"""),4110.0)</f>
        <v>4110</v>
      </c>
      <c r="B4112" s="87" t="str">
        <f>IFERROR(__xludf.DUMMYFUNCTION("""COMPUTED_VALUE"""),"Nhãn")</f>
        <v>Nhãn</v>
      </c>
      <c r="C4112" s="87" t="str">
        <f>IFERROR(__xludf.DUMMYFUNCTION("""COMPUTED_VALUE"""),"NHG3297")</f>
        <v>NHG3297</v>
      </c>
      <c r="D4112" s="87" t="str">
        <f>IFERROR(__xludf.DUMMYFUNCTION("""COMPUTED_VALUE"""),"[Nhãn] IDA Global - I - 3297 - CTY TÂN THÀNH - POWER (Nước trắng sữa) - 500ml - 40")</f>
        <v>[Nhãn] IDA Global - I - 3297 - CTY TÂN THÀNH - POWER (Nước trắng sữa) - 500ml - 40</v>
      </c>
      <c r="E4112" s="87" t="str">
        <f>IFERROR(__xludf.DUMMYFUNCTION("""COMPUTED_VALUE"""),"Vi lượng Basel IDA 50")</f>
        <v>Vi lượng Basel IDA 50</v>
      </c>
      <c r="F4112" s="87" t="str">
        <f>IFERROR(__xludf.DUMMYFUNCTION("""COMPUTED_VALUE"""),"HH3297")</f>
        <v>HH3297</v>
      </c>
      <c r="G4112" s="87" t="str">
        <f>IFERROR(__xludf.DUMMYFUNCTION("""COMPUTED_VALUE"""),"IDA Global - I - 3297 - CTY TÂN THÀNH - POWER (Nước trắng sữa) - 500ml - 40")</f>
        <v>IDA Global - I - 3297 - CTY TÂN THÀNH - POWER (Nước trắng sữa) - 500ml - 40</v>
      </c>
    </row>
    <row r="4113">
      <c r="A4113" s="86">
        <f>IFERROR(__xludf.DUMMYFUNCTION("""COMPUTED_VALUE"""),4111.0)</f>
        <v>4111</v>
      </c>
      <c r="B4113" s="87" t="str">
        <f>IFERROR(__xludf.DUMMYFUNCTION("""COMPUTED_VALUE"""),"Nhãn")</f>
        <v>Nhãn</v>
      </c>
      <c r="C4113" s="87" t="str">
        <f>IFERROR(__xludf.DUMMYFUNCTION("""COMPUTED_VALUE"""),"NHG3298")</f>
        <v>NHG3298</v>
      </c>
      <c r="D4113" s="87" t="str">
        <f>IFERROR(__xludf.DUMMYFUNCTION("""COMPUTED_VALUE"""),"[Nhãn] LOT IDA Global - I - 3298 - HE -  CHIM ƯNG (nước nâu đen) - 450ml - 40")</f>
        <v>[Nhãn] LOT IDA Global - I - 3298 - HE -  CHIM ƯNG (nước nâu đen) - 450ml - 40</v>
      </c>
      <c r="E4113" s="87" t="str">
        <f>IFERROR(__xludf.DUMMYFUNCTION("""COMPUTED_VALUE"""),"HAIHAMEC 3.6EC")</f>
        <v>HAIHAMEC 3.6EC</v>
      </c>
      <c r="F4113" s="87" t="str">
        <f>IFERROR(__xludf.DUMMYFUNCTION("""COMPUTED_VALUE"""),"HH3298")</f>
        <v>HH3298</v>
      </c>
      <c r="G4113" s="87" t="str">
        <f>IFERROR(__xludf.DUMMYFUNCTION("""COMPUTED_VALUE"""),"LOT IDA Global - I - 3298 - HE -  CHIM ƯNG (nước nâu đen) - 450ml - 40")</f>
        <v>LOT IDA Global - I - 3298 - HE -  CHIM ƯNG (nước nâu đen) - 450ml - 40</v>
      </c>
    </row>
    <row r="4114">
      <c r="A4114" s="86">
        <f>IFERROR(__xludf.DUMMYFUNCTION("""COMPUTED_VALUE"""),4112.0)</f>
        <v>4112</v>
      </c>
      <c r="B4114" s="87" t="str">
        <f>IFERROR(__xludf.DUMMYFUNCTION("""COMPUTED_VALUE"""),"Nhãn")</f>
        <v>Nhãn</v>
      </c>
      <c r="C4114" s="87" t="str">
        <f>IFERROR(__xludf.DUMMYFUNCTION("""COMPUTED_VALUE"""),"NHD3299")</f>
        <v>NHD3299</v>
      </c>
      <c r="D4114" s="87" t="str">
        <f>IFERROR(__xludf.DUMMYFUNCTION("""COMPUTED_VALUE"""),"[Nhãn] LOT IDA Global - I - 3299 - HE - Avermectin 36 (nước nâu đen) - 450ml - 40")</f>
        <v>[Nhãn] LOT IDA Global - I - 3299 - HE - Avermectin 36 (nước nâu đen) - 450ml - 40</v>
      </c>
      <c r="E4114" s="87" t="str">
        <f>IFERROR(__xludf.DUMMYFUNCTION("""COMPUTED_VALUE"""),"Chitin 3.6EC")</f>
        <v>Chitin 3.6EC</v>
      </c>
      <c r="F4114" s="87" t="str">
        <f>IFERROR(__xludf.DUMMYFUNCTION("""COMPUTED_VALUE"""),"HH3299")</f>
        <v>HH3299</v>
      </c>
      <c r="G4114" s="87" t="str">
        <f>IFERROR(__xludf.DUMMYFUNCTION("""COMPUTED_VALUE"""),"LOT IDA Global - I - 3299 - HE - Avermectin 36 (nước nâu đen) - 450ml - 40")</f>
        <v>LOT IDA Global - I - 3299 - HE - Avermectin 36 (nước nâu đen) - 450ml - 40</v>
      </c>
    </row>
    <row r="4115">
      <c r="A4115" s="86">
        <f>IFERROR(__xludf.DUMMYFUNCTION("""COMPUTED_VALUE"""),4113.0)</f>
        <v>4113</v>
      </c>
      <c r="B4115" s="87" t="str">
        <f>IFERROR(__xludf.DUMMYFUNCTION("""COMPUTED_VALUE"""),"Nhãn thùng")</f>
        <v>Nhãn thùng</v>
      </c>
      <c r="C4115" s="87" t="str">
        <f>IFERROR(__xludf.DUMMYFUNCTION("""COMPUTED_VALUE"""),"NDT3299")</f>
        <v>NDT3299</v>
      </c>
      <c r="D4115" s="87" t="str">
        <f>IFERROR(__xludf.DUMMYFUNCTION("""COMPUTED_VALUE"""),"[Nhãn thùng] LOT IDA Global - I - 3299 - HE - Avermectin 36 (nước nâu đen) - 450ml - 40")</f>
        <v>[Nhãn thùng] LOT IDA Global - I - 3299 - HE - Avermectin 36 (nước nâu đen) - 450ml - 40</v>
      </c>
      <c r="E4115" s="87" t="str">
        <f>IFERROR(__xludf.DUMMYFUNCTION("""COMPUTED_VALUE"""),"Chitin 3.6EC")</f>
        <v>Chitin 3.6EC</v>
      </c>
      <c r="F4115" s="87" t="str">
        <f>IFERROR(__xludf.DUMMYFUNCTION("""COMPUTED_VALUE"""),"HH3299")</f>
        <v>HH3299</v>
      </c>
      <c r="G4115" s="87" t="str">
        <f>IFERROR(__xludf.DUMMYFUNCTION("""COMPUTED_VALUE"""),"LOT IDA Global - I - 3299 - HE - Avermectin 36 (nước nâu đen) - 450ml - 40")</f>
        <v>LOT IDA Global - I - 3299 - HE - Avermectin 36 (nước nâu đen) - 450ml - 40</v>
      </c>
    </row>
    <row r="4116">
      <c r="A4116" s="86">
        <f>IFERROR(__xludf.DUMMYFUNCTION("""COMPUTED_VALUE"""),4114.0)</f>
        <v>4114</v>
      </c>
      <c r="B4116" s="87" t="str">
        <f>IFERROR(__xludf.DUMMYFUNCTION("""COMPUTED_VALUE"""),"Nhãn")</f>
        <v>Nhãn</v>
      </c>
      <c r="C4116" s="87" t="str">
        <f>IFERROR(__xludf.DUMMYFUNCTION("""COMPUTED_VALUE"""),"NHG3300")</f>
        <v>NHG3300</v>
      </c>
      <c r="D4116" s="87" t="str">
        <f>IFERROR(__xludf.DUMMYFUNCTION("""COMPUTED_VALUE"""),"[Nhãn] GC - IV - 3300 - CTY NÔNG DƯỢC BETA - BETA VUA RỄ (Nước nâu đen) - 500ml - 30")</f>
        <v>[Nhãn] GC - IV - 3300 - CTY NÔNG DƯỢC BETA - BETA VUA RỄ (Nước nâu đen) - 500ml - 30</v>
      </c>
      <c r="E4116" s="87" t="str">
        <f>IFERROR(__xludf.DUMMYFUNCTION("""COMPUTED_VALUE"""),"Hỗn Hợp NP AGAMA-AP")</f>
        <v>Hỗn Hợp NP AGAMA-AP</v>
      </c>
      <c r="F4116" s="87" t="str">
        <f>IFERROR(__xludf.DUMMYFUNCTION("""COMPUTED_VALUE"""),"HH3300")</f>
        <v>HH3300</v>
      </c>
      <c r="G4116" s="87" t="str">
        <f>IFERROR(__xludf.DUMMYFUNCTION("""COMPUTED_VALUE"""),"GC - IV - 3300 - CTY NÔNG DƯỢC BETA - BETA VUA RỄ (Nước nâu đen) - 500ml - 30")</f>
        <v>GC - IV - 3300 - CTY NÔNG DƯỢC BETA - BETA VUA RỄ (Nước nâu đen) - 500ml - 30</v>
      </c>
    </row>
    <row r="4117">
      <c r="A4117" s="86">
        <f>IFERROR(__xludf.DUMMYFUNCTION("""COMPUTED_VALUE"""),4115.0)</f>
        <v>4115</v>
      </c>
      <c r="B4117" s="87" t="str">
        <f>IFERROR(__xludf.DUMMYFUNCTION("""COMPUTED_VALUE"""),"Nhãn")</f>
        <v>Nhãn</v>
      </c>
      <c r="C4117" s="87" t="str">
        <f>IFERROR(__xludf.DUMMYFUNCTION("""COMPUTED_VALUE"""),"NHG3301")</f>
        <v>NHG3301</v>
      </c>
      <c r="D4117" s="87" t="str">
        <f>IFERROR(__xludf.DUMMYFUNCTION("""COMPUTED_VALUE"""),"[Nhãn] IDA Global - I - 3301 - ĐL HOÀNG HOA - CỨNG CÂY GOLD (Nước nâu đen) - 500ml - 40")</f>
        <v>[Nhãn] IDA Global - I - 3301 - ĐL HOÀNG HOA - CỨNG CÂY GOLD (Nước nâu đen) - 500ml - 40</v>
      </c>
      <c r="E4117" s="87" t="str">
        <f>IFERROR(__xludf.DUMMYFUNCTION("""COMPUTED_VALUE"""),"Hữu cơ SH Agro Organic Fertilizer 20")</f>
        <v>Hữu cơ SH Agro Organic Fertilizer 20</v>
      </c>
      <c r="F4117" s="87" t="str">
        <f>IFERROR(__xludf.DUMMYFUNCTION("""COMPUTED_VALUE"""),"HH3301")</f>
        <v>HH3301</v>
      </c>
      <c r="G4117" s="87" t="str">
        <f>IFERROR(__xludf.DUMMYFUNCTION("""COMPUTED_VALUE"""),"IDA Global - I - 3301 - ĐL HOÀNG HOA - CỨNG CÂY GOLD (Nước nâu đen) - 500ml - 40")</f>
        <v>IDA Global - I - 3301 - ĐL HOÀNG HOA - CỨNG CÂY GOLD (Nước nâu đen) - 500ml - 40</v>
      </c>
    </row>
    <row r="4118">
      <c r="A4118" s="86">
        <f>IFERROR(__xludf.DUMMYFUNCTION("""COMPUTED_VALUE"""),4116.0)</f>
        <v>4116</v>
      </c>
      <c r="B4118" s="87" t="str">
        <f>IFERROR(__xludf.DUMMYFUNCTION("""COMPUTED_VALUE"""),"Nhãn")</f>
        <v>Nhãn</v>
      </c>
      <c r="C4118" s="87" t="str">
        <f>IFERROR(__xludf.DUMMYFUNCTION("""COMPUTED_VALUE"""),"NHG3302")</f>
        <v>NHG3302</v>
      </c>
      <c r="D4118" s="87" t="str">
        <f>IFERROR(__xludf.DUMMYFUNCTION("""COMPUTED_VALUE"""),"[Nhãn] GC - IV - 3302 - Cty Newtex - Vua Cỏ Mần Trầu (nước tím) - 900ml - 20")</f>
        <v>[Nhãn] GC - IV - 3302 - Cty Newtex - Vua Cỏ Mần Trầu (nước tím) - 900ml - 20</v>
      </c>
      <c r="E4118" s="87" t="str">
        <f>IFERROR(__xludf.DUMMYFUNCTION("""COMPUTED_VALUE"""),"Asupergras 200SL")</f>
        <v>Asupergras 200SL</v>
      </c>
      <c r="F4118" s="87" t="str">
        <f>IFERROR(__xludf.DUMMYFUNCTION("""COMPUTED_VALUE"""),"HH3302")</f>
        <v>HH3302</v>
      </c>
      <c r="G4118" s="87" t="str">
        <f>IFERROR(__xludf.DUMMYFUNCTION("""COMPUTED_VALUE"""),"GC - IV - 3302 - Cty Newtex - Vua Cỏ Mần Trầu (nước tím) - 900ml - 20")</f>
        <v>GC - IV - 3302 - Cty Newtex - Vua Cỏ Mần Trầu (nước tím) - 900ml - 20</v>
      </c>
    </row>
    <row r="4119">
      <c r="A4119" s="86">
        <f>IFERROR(__xludf.DUMMYFUNCTION("""COMPUTED_VALUE"""),4117.0)</f>
        <v>4117</v>
      </c>
      <c r="B4119" s="87" t="str">
        <f>IFERROR(__xludf.DUMMYFUNCTION("""COMPUTED_VALUE"""),"[Nhãn thùng]")</f>
        <v>[Nhãn thùng]</v>
      </c>
      <c r="C4119" s="87" t="str">
        <f>IFERROR(__xludf.DUMMYFUNCTION("""COMPUTED_VALUE"""),"NDT3302")</f>
        <v>NDT3302</v>
      </c>
      <c r="D4119" s="87" t="str">
        <f>IFERROR(__xludf.DUMMYFUNCTION("""COMPUTED_VALUE"""),"[Nhãn thùng] GC - IV - 3302 - Cty Newtex - Vua Cỏ Mần Trầu (nước tím) - 900ml - 20")</f>
        <v>[Nhãn thùng] GC - IV - 3302 - Cty Newtex - Vua Cỏ Mần Trầu (nước tím) - 900ml - 20</v>
      </c>
      <c r="E4119" s="87" t="str">
        <f>IFERROR(__xludf.DUMMYFUNCTION("""COMPUTED_VALUE"""),"Asupergras 200SL")</f>
        <v>Asupergras 200SL</v>
      </c>
      <c r="F4119" s="87" t="str">
        <f>IFERROR(__xludf.DUMMYFUNCTION("""COMPUTED_VALUE"""),"HH3302")</f>
        <v>HH3302</v>
      </c>
      <c r="G4119" s="87" t="str">
        <f>IFERROR(__xludf.DUMMYFUNCTION("""COMPUTED_VALUE"""),"GC - IV - 3302 - Cty Newtex - Vua Cỏ Mần Trầu (nước tím) - 900ml - 20")</f>
        <v>GC - IV - 3302 - Cty Newtex - Vua Cỏ Mần Trầu (nước tím) - 900ml - 20</v>
      </c>
    </row>
    <row r="4120">
      <c r="A4120" s="86">
        <f>IFERROR(__xludf.DUMMYFUNCTION("""COMPUTED_VALUE"""),4118.0)</f>
        <v>4118</v>
      </c>
      <c r="B4120" s="87" t="str">
        <f>IFERROR(__xludf.DUMMYFUNCTION("""COMPUTED_VALUE"""),"Nhãn")</f>
        <v>Nhãn</v>
      </c>
      <c r="C4120" s="87" t="str">
        <f>IFERROR(__xludf.DUMMYFUNCTION("""COMPUTED_VALUE"""),"NTN3303")</f>
        <v>NTN3303</v>
      </c>
      <c r="D4120" s="87" t="str">
        <f>IFERROR(__xludf.DUMMYFUNCTION("""COMPUTED_VALUE"""),"[Nhãn] GC - IV - 3303 - HKD HUYỀN NHỰT - DIỆT SÂU HATRI - 15gr - 400")</f>
        <v>[Nhãn] GC - IV - 3303 - HKD HUYỀN NHỰT - DIỆT SÂU HATRI - 15gr - 400</v>
      </c>
      <c r="E4120" s="87" t="str">
        <f>IFERROR(__xludf.DUMMYFUNCTION("""COMPUTED_VALUE"""),"PRODIFE'S 8WG")</f>
        <v>PRODIFE'S 8WG</v>
      </c>
      <c r="F4120" s="87" t="str">
        <f>IFERROR(__xludf.DUMMYFUNCTION("""COMPUTED_VALUE"""),"HH3303")</f>
        <v>HH3303</v>
      </c>
      <c r="G4120" s="87" t="str">
        <f>IFERROR(__xludf.DUMMYFUNCTION("""COMPUTED_VALUE"""),"GC - IV - 3303 - HKD HUYỀN NHỰT - DIỆT SÂU HATRI - 15gr - 400")</f>
        <v>GC - IV - 3303 - HKD HUYỀN NHỰT - DIỆT SÂU HATRI - 15gr - 400</v>
      </c>
    </row>
    <row r="4121">
      <c r="A4121" s="86">
        <f>IFERROR(__xludf.DUMMYFUNCTION("""COMPUTED_VALUE"""),4119.0)</f>
        <v>4119</v>
      </c>
      <c r="B4121" s="87" t="str">
        <f>IFERROR(__xludf.DUMMYFUNCTION("""COMPUTED_VALUE"""),"Nhãn thùng")</f>
        <v>Nhãn thùng</v>
      </c>
      <c r="C4121" s="87" t="str">
        <f>IFERROR(__xludf.DUMMYFUNCTION("""COMPUTED_VALUE"""),"NDT3303")</f>
        <v>NDT3303</v>
      </c>
      <c r="D4121" s="87" t="str">
        <f>IFERROR(__xludf.DUMMYFUNCTION("""COMPUTED_VALUE"""),"[Nhãn thùng] GC - IV - 3303 - HKD HUYỀN NHỰT - DIỆT SÂU HATRI - 15gr - 400")</f>
        <v>[Nhãn thùng] GC - IV - 3303 - HKD HUYỀN NHỰT - DIỆT SÂU HATRI - 15gr - 400</v>
      </c>
      <c r="E4121" s="87" t="str">
        <f>IFERROR(__xludf.DUMMYFUNCTION("""COMPUTED_VALUE"""),"PRODIFE'S 8WG")</f>
        <v>PRODIFE'S 8WG</v>
      </c>
      <c r="F4121" s="87" t="str">
        <f>IFERROR(__xludf.DUMMYFUNCTION("""COMPUTED_VALUE"""),"HH3303")</f>
        <v>HH3303</v>
      </c>
      <c r="G4121" s="87" t="str">
        <f>IFERROR(__xludf.DUMMYFUNCTION("""COMPUTED_VALUE"""),"GC - IV - 3303 - HKD HUYỀN NHỰT - DIỆT SÂU HATRI - 15gr - 400")</f>
        <v>GC - IV - 3303 - HKD HUYỀN NHỰT - DIỆT SÂU HATRI - 15gr - 400</v>
      </c>
    </row>
    <row r="4122">
      <c r="A4122" s="86">
        <f>IFERROR(__xludf.DUMMYFUNCTION("""COMPUTED_VALUE"""),4120.0)</f>
        <v>4120</v>
      </c>
      <c r="B4122" s="87" t="str">
        <f>IFERROR(__xludf.DUMMYFUNCTION("""COMPUTED_VALUE"""),"Nhãn")</f>
        <v>Nhãn</v>
      </c>
      <c r="C4122" s="87" t="str">
        <f>IFERROR(__xludf.DUMMYFUNCTION("""COMPUTED_VALUE"""),"NHD3305")</f>
        <v>NHD3305</v>
      </c>
      <c r="D4122" s="87" t="str">
        <f>IFERROR(__xludf.DUMMYFUNCTION("""COMPUTED_VALUE"""),"[Nhãn] GC - IV - 3305 - GOLDEN CHAMOIS - XÔ 22-22-22 USA (Nước nâu đen) - 20kg - 1")</f>
        <v>[Nhãn] GC - IV - 3305 - GOLDEN CHAMOIS - XÔ 22-22-22 USA (Nước nâu đen) - 20kg - 1</v>
      </c>
      <c r="E4122" s="87" t="str">
        <f>IFERROR(__xludf.DUMMYFUNCTION("""COMPUTED_VALUE"""),"Vi lượng Run Fast")</f>
        <v>Vi lượng Run Fast</v>
      </c>
      <c r="F4122" s="87" t="str">
        <f>IFERROR(__xludf.DUMMYFUNCTION("""COMPUTED_VALUE"""),"HH3305")</f>
        <v>HH3305</v>
      </c>
      <c r="G4122" s="87" t="str">
        <f>IFERROR(__xludf.DUMMYFUNCTION("""COMPUTED_VALUE"""),"GC - IV - 3305 - GOLDEN CHAMOIS - XÔ 22-22-22 USA (Nước nâu đen) - 20kg - 1")</f>
        <v>GC - IV - 3305 - GOLDEN CHAMOIS - XÔ 22-22-22 USA (Nước nâu đen) - 20kg - 1</v>
      </c>
    </row>
    <row r="4123">
      <c r="A4123" s="86">
        <f>IFERROR(__xludf.DUMMYFUNCTION("""COMPUTED_VALUE"""),4121.0)</f>
        <v>4121</v>
      </c>
      <c r="B4123" s="87" t="str">
        <f>IFERROR(__xludf.DUMMYFUNCTION("""COMPUTED_VALUE"""),"Nhãn")</f>
        <v>Nhãn</v>
      </c>
      <c r="C4123" s="87" t="str">
        <f>IFERROR(__xludf.DUMMYFUNCTION("""COMPUTED_VALUE"""),"NTN3305")</f>
        <v>NTN3305</v>
      </c>
      <c r="D4123" s="87" t="str">
        <f>IFERROR(__xludf.DUMMYFUNCTION("""COMPUTED_VALUE"""),"[Nhãn] GC - IV - 3305 - GOLDEN CHAMOIS - XÔ 22-22-22 USA (Nước nâu đen) - 2kg- 10")</f>
        <v>[Nhãn] GC - IV - 3305 - GOLDEN CHAMOIS - XÔ 22-22-22 USA (Nước nâu đen) - 2kg- 10</v>
      </c>
      <c r="E4123" s="87" t="str">
        <f>IFERROR(__xludf.DUMMYFUNCTION("""COMPUTED_VALUE"""),"Vi lượng Run Fast")</f>
        <v>Vi lượng Run Fast</v>
      </c>
      <c r="F4123" s="87" t="str">
        <f>IFERROR(__xludf.DUMMYFUNCTION("""COMPUTED_VALUE"""),"HH3305")</f>
        <v>HH3305</v>
      </c>
      <c r="G4123" s="87" t="str">
        <f>IFERROR(__xludf.DUMMYFUNCTION("""COMPUTED_VALUE"""),"GC - IV - 3305 - GOLDEN CHAMOIS - XÔ 22-22-22 USA (Nước nâu đen) - 20kg - 1")</f>
        <v>GC - IV - 3305 - GOLDEN CHAMOIS - XÔ 22-22-22 USA (Nước nâu đen) - 20kg - 1</v>
      </c>
    </row>
    <row r="4124">
      <c r="A4124" s="86">
        <f>IFERROR(__xludf.DUMMYFUNCTION("""COMPUTED_VALUE"""),4122.0)</f>
        <v>4122</v>
      </c>
      <c r="B4124" s="87" t="str">
        <f>IFERROR(__xludf.DUMMYFUNCTION("""COMPUTED_VALUE"""),"Nhãn")</f>
        <v>Nhãn</v>
      </c>
      <c r="C4124" s="87" t="str">
        <f>IFERROR(__xludf.DUMMYFUNCTION("""COMPUTED_VALUE"""),"NHD3306")</f>
        <v>NHD3306</v>
      </c>
      <c r="D4124" s="87" t="str">
        <f>IFERROR(__xludf.DUMMYFUNCTION("""COMPUTED_VALUE"""),"[Nhãn] GC - IV - 3306 - GOLDEN CHAMOIS - XÔ 35-10-10 USA (Nước nâu đen) - 20kg - 1")</f>
        <v>[Nhãn] GC - IV - 3306 - GOLDEN CHAMOIS - XÔ 35-10-10 USA (Nước nâu đen) - 20kg - 1</v>
      </c>
      <c r="E4124" s="87" t="str">
        <f>IFERROR(__xludf.DUMMYFUNCTION("""COMPUTED_VALUE"""),"Vi lượng Quantity New")</f>
        <v>Vi lượng Quantity New</v>
      </c>
      <c r="F4124" s="87" t="str">
        <f>IFERROR(__xludf.DUMMYFUNCTION("""COMPUTED_VALUE"""),"HH3306")</f>
        <v>HH3306</v>
      </c>
      <c r="G4124" s="87" t="str">
        <f>IFERROR(__xludf.DUMMYFUNCTION("""COMPUTED_VALUE"""),"GC - IV - 3306 - GOLDEN CHAMOIS - XÔ 35-10-10 USA (Nước nâu đen) - 20kg - 1")</f>
        <v>GC - IV - 3306 - GOLDEN CHAMOIS - XÔ 35-10-10 USA (Nước nâu đen) - 20kg - 1</v>
      </c>
    </row>
    <row r="4125">
      <c r="A4125" s="86">
        <f>IFERROR(__xludf.DUMMYFUNCTION("""COMPUTED_VALUE"""),4123.0)</f>
        <v>4123</v>
      </c>
      <c r="B4125" s="87" t="str">
        <f>IFERROR(__xludf.DUMMYFUNCTION("""COMPUTED_VALUE"""),"Nhãn")</f>
        <v>Nhãn</v>
      </c>
      <c r="C4125" s="87" t="str">
        <f>IFERROR(__xludf.DUMMYFUNCTION("""COMPUTED_VALUE"""),"NTN3306")</f>
        <v>NTN3306</v>
      </c>
      <c r="D4125" s="87" t="str">
        <f>IFERROR(__xludf.DUMMYFUNCTION("""COMPUTED_VALUE"""),"[Nhãn] GC - IV - 3306 - GOLDEN CHAMOIS - XÔ 35-10-10 USA (Nước nâu đen) - 2kg- 10")</f>
        <v>[Nhãn] GC - IV - 3306 - GOLDEN CHAMOIS - XÔ 35-10-10 USA (Nước nâu đen) - 2kg- 10</v>
      </c>
      <c r="E4125" s="87" t="str">
        <f>IFERROR(__xludf.DUMMYFUNCTION("""COMPUTED_VALUE"""),"Vi lượng Quantity New")</f>
        <v>Vi lượng Quantity New</v>
      </c>
      <c r="F4125" s="87" t="str">
        <f>IFERROR(__xludf.DUMMYFUNCTION("""COMPUTED_VALUE"""),"HH3306")</f>
        <v>HH3306</v>
      </c>
      <c r="G4125" s="87" t="str">
        <f>IFERROR(__xludf.DUMMYFUNCTION("""COMPUTED_VALUE"""),"GC - IV - 3306 - GOLDEN CHAMOIS - XÔ 35-10-10 USA (Nước nâu đen) - 20kg - 1")</f>
        <v>GC - IV - 3306 - GOLDEN CHAMOIS - XÔ 35-10-10 USA (Nước nâu đen) - 20kg - 1</v>
      </c>
    </row>
    <row r="4126">
      <c r="A4126" s="86">
        <f>IFERROR(__xludf.DUMMYFUNCTION("""COMPUTED_VALUE"""),4124.0)</f>
        <v>4124</v>
      </c>
      <c r="B4126" s="87" t="str">
        <f>IFERROR(__xludf.DUMMYFUNCTION("""COMPUTED_VALUE"""),"[Nhãn]")</f>
        <v>[Nhãn]</v>
      </c>
      <c r="C4126" s="87" t="str">
        <f>IFERROR(__xludf.DUMMYFUNCTION("""COMPUTED_VALUE"""),"NHG3309")</f>
        <v>NHG3309</v>
      </c>
      <c r="D4126" s="87" t="str">
        <f>IFERROR(__xludf.DUMMYFUNCTION("""COMPUTED_VALUE"""),"[Nhãn] GC - IV - 3309 - Agritech (Anh Trương) - AGRIFORT (Nước trắng) - 450ml - 30")</f>
        <v>[Nhãn] GC - IV - 3309 - Agritech (Anh Trương) - AGRIFORT (Nước trắng) - 450ml - 30</v>
      </c>
      <c r="E4126" s="87" t="str">
        <f>IFERROR(__xludf.DUMMYFUNCTION("""COMPUTED_VALUE"""),"FORTIL 25SC")</f>
        <v>FORTIL 25SC</v>
      </c>
      <c r="F4126" s="87" t="str">
        <f>IFERROR(__xludf.DUMMYFUNCTION("""COMPUTED_VALUE"""),"HH3309")</f>
        <v>HH3309</v>
      </c>
      <c r="G4126" s="87" t="str">
        <f>IFERROR(__xludf.DUMMYFUNCTION("""COMPUTED_VALUE"""),"GC - IV - 3309 - Agritech (Anh Trương) - AGRIFORT (Nước trắng) - 450ml - 30")</f>
        <v>GC - IV - 3309 - Agritech (Anh Trương) - AGRIFORT (Nước trắng) - 450ml - 30</v>
      </c>
    </row>
    <row r="4127">
      <c r="A4127" s="86">
        <f>IFERROR(__xludf.DUMMYFUNCTION("""COMPUTED_VALUE"""),4125.0)</f>
        <v>4125</v>
      </c>
      <c r="B4127" s="87" t="str">
        <f>IFERROR(__xludf.DUMMYFUNCTION("""COMPUTED_VALUE"""),"Nhãn")</f>
        <v>Nhãn</v>
      </c>
      <c r="C4127" s="87" t="str">
        <f>IFERROR(__xludf.DUMMYFUNCTION("""COMPUTED_VALUE"""),"NHG3311")</f>
        <v>NHG3311</v>
      </c>
      <c r="D4127" s="87" t="str">
        <f>IFERROR(__xludf.DUMMYFUNCTION("""COMPUTED_VALUE"""),"[Nhãn] GC - IV - 3311 - Cty Newtex - SẠCH LEM LÉP (Nước xanh bơ sữa) - 400ml - 30")</f>
        <v>[Nhãn] GC - IV - 3311 - Cty Newtex - SẠCH LEM LÉP (Nước xanh bơ sữa) - 400ml - 30</v>
      </c>
      <c r="E4127" s="87" t="str">
        <f>IFERROR(__xludf.DUMMYFUNCTION("""COMPUTED_VALUE"""),"MITOP ONE 390SC")</f>
        <v>MITOP ONE 390SC</v>
      </c>
      <c r="F4127" s="87" t="str">
        <f>IFERROR(__xludf.DUMMYFUNCTION("""COMPUTED_VALUE"""),"HH3311")</f>
        <v>HH3311</v>
      </c>
      <c r="G4127" s="87" t="str">
        <f>IFERROR(__xludf.DUMMYFUNCTION("""COMPUTED_VALUE"""),"GC - IV - 3311 - Cty Newtex - SẠCH LEM LÉP (Nước xanh bơ sữa) - 450ml - 30")</f>
        <v>GC - IV - 3311 - Cty Newtex - SẠCH LEM LÉP (Nước xanh bơ sữa) - 450ml - 30</v>
      </c>
    </row>
    <row r="4128">
      <c r="A4128" s="86">
        <f>IFERROR(__xludf.DUMMYFUNCTION("""COMPUTED_VALUE"""),4126.0)</f>
        <v>4126</v>
      </c>
      <c r="B4128" s="87" t="str">
        <f>IFERROR(__xludf.DUMMYFUNCTION("""COMPUTED_VALUE"""),"[HỘP]")</f>
        <v>[HỘP]</v>
      </c>
      <c r="C4128" s="87" t="str">
        <f>IFERROR(__xludf.DUMMYFUNCTION("""COMPUTED_VALUE"""),"HOP3311")</f>
        <v>HOP3311</v>
      </c>
      <c r="D4128" s="87" t="str">
        <f>IFERROR(__xludf.DUMMYFUNCTION("""COMPUTED_VALUE"""),"[HOP] GC - IV - 3311 - Cty Newtex - SẠCH LEM LÉP (Nước xanh bơ sữa) - 450ml - 30")</f>
        <v>[HOP] GC - IV - 3311 - Cty Newtex - SẠCH LEM LÉP (Nước xanh bơ sữa) - 450ml - 30</v>
      </c>
      <c r="E4128" s="87" t="str">
        <f>IFERROR(__xludf.DUMMYFUNCTION("""COMPUTED_VALUE"""),"MITOP ONE 390SC")</f>
        <v>MITOP ONE 390SC</v>
      </c>
      <c r="F4128" s="87" t="str">
        <f>IFERROR(__xludf.DUMMYFUNCTION("""COMPUTED_VALUE"""),"HH3311")</f>
        <v>HH3311</v>
      </c>
      <c r="G4128" s="87" t="str">
        <f>IFERROR(__xludf.DUMMYFUNCTION("""COMPUTED_VALUE"""),"GC - IV - 3311 - Cty Newtex - SẠCH LEM LÉP (Nước xanh bơ sữa) - 450ml - 30")</f>
        <v>GC - IV - 3311 - Cty Newtex - SẠCH LEM LÉP (Nước xanh bơ sữa) - 450ml - 30</v>
      </c>
    </row>
    <row r="4129">
      <c r="A4129" s="86">
        <f>IFERROR(__xludf.DUMMYFUNCTION("""COMPUTED_VALUE"""),4127.0)</f>
        <v>4127</v>
      </c>
      <c r="B4129" s="87" t="str">
        <f>IFERROR(__xludf.DUMMYFUNCTION("""COMPUTED_VALUE"""),"Nhãn")</f>
        <v>Nhãn</v>
      </c>
      <c r="C4129" s="87" t="str">
        <f>IFERROR(__xludf.DUMMYFUNCTION("""COMPUTED_VALUE"""),"NHG3312")</f>
        <v>NHG3312</v>
      </c>
      <c r="D4129" s="87" t="str">
        <f>IFERROR(__xludf.DUMMYFUNCTION("""COMPUTED_VALUE"""),"[Nhãn] GC - IV - 3312 - CTY BẢO HÂN - LỚN TRÁI TẮC - HẠNH (Nước nâu vàng) - 500ml - 30")</f>
        <v>[Nhãn] GC - IV - 3312 - CTY BẢO HÂN - LỚN TRÁI TẮC - HẠNH (Nước nâu vàng) - 500ml - 30</v>
      </c>
      <c r="E4129" s="87" t="str">
        <f>IFERROR(__xludf.DUMMYFUNCTION("""COMPUTED_VALUE"""),"Vi lượng Quantity New")</f>
        <v>Vi lượng Quantity New</v>
      </c>
      <c r="F4129" s="87" t="str">
        <f>IFERROR(__xludf.DUMMYFUNCTION("""COMPUTED_VALUE"""),"HH3312")</f>
        <v>HH3312</v>
      </c>
      <c r="G4129" s="87" t="str">
        <f>IFERROR(__xludf.DUMMYFUNCTION("""COMPUTED_VALUE"""),"GC - IV - 3312 - CTY BẢO HÂN - LỚN TRÁI TẮC - HẠNH (Nước nâu vàng) - 500ml - 30")</f>
        <v>GC - IV - 3312 - CTY BẢO HÂN - LỚN TRÁI TẮC - HẠNH (Nước nâu vàng) - 500ml - 30</v>
      </c>
    </row>
    <row r="4130">
      <c r="A4130" s="86">
        <f>IFERROR(__xludf.DUMMYFUNCTION("""COMPUTED_VALUE"""),4128.0)</f>
        <v>4128</v>
      </c>
      <c r="B4130" s="87" t="str">
        <f>IFERROR(__xludf.DUMMYFUNCTION("""COMPUTED_VALUE"""),"Nhãn")</f>
        <v>Nhãn</v>
      </c>
      <c r="C4130" s="87" t="str">
        <f>IFERROR(__xludf.DUMMYFUNCTION("""COMPUTED_VALUE"""),"NHG3314")</f>
        <v>NHG3314</v>
      </c>
      <c r="D4130" s="87" t="str">
        <f>IFERROR(__xludf.DUMMYFUNCTION("""COMPUTED_VALUE"""),"[Nhãn] GC - IV - 3314 - Huy Phát - NHỆN CHÚA (Nước xanh lá) - 450ml - 40")</f>
        <v>[Nhãn] GC - IV - 3314 - Huy Phát - NHỆN CHÚA (Nước xanh lá) - 450ml - 40</v>
      </c>
      <c r="E4130" s="87" t="str">
        <f>IFERROR(__xludf.DUMMYFUNCTION("""COMPUTED_VALUE"""),"Chitin 3.6EC")</f>
        <v>Chitin 3.6EC</v>
      </c>
      <c r="F4130" s="87" t="str">
        <f>IFERROR(__xludf.DUMMYFUNCTION("""COMPUTED_VALUE"""),"HH3314")</f>
        <v>HH3314</v>
      </c>
      <c r="G4130" s="87" t="str">
        <f>IFERROR(__xludf.DUMMYFUNCTION("""COMPUTED_VALUE"""),"GC - IV - 3314 - Huy Phát - NHỆN CHÚA (Nước xanh lá) - 450ml - 40")</f>
        <v>GC - IV - 3314 - Huy Phát - NHỆN CHÚA (Nước xanh lá) - 450ml - 40</v>
      </c>
    </row>
    <row r="4131">
      <c r="A4131" s="86">
        <f>IFERROR(__xludf.DUMMYFUNCTION("""COMPUTED_VALUE"""),4129.0)</f>
        <v>4129</v>
      </c>
      <c r="B4131" s="87" t="str">
        <f>IFERROR(__xludf.DUMMYFUNCTION("""COMPUTED_VALUE"""),"Nhãn")</f>
        <v>Nhãn</v>
      </c>
      <c r="C4131" s="87" t="str">
        <f>IFERROR(__xludf.DUMMYFUNCTION("""COMPUTED_VALUE"""),"NHG3315")</f>
        <v>NHG3315</v>
      </c>
      <c r="D4131" s="87" t="str">
        <f>IFERROR(__xludf.DUMMYFUNCTION("""COMPUTED_VALUE"""),"[Nhãn] GC - IV - 3315 - Huy Phát - DR NHỆN (Nước trắng sữa) - 240ml - 40")</f>
        <v>[Nhãn] GC - IV - 3315 - Huy Phát - DR NHỆN (Nước trắng sữa) - 240ml - 40</v>
      </c>
      <c r="E4131" s="87" t="str">
        <f>IFERROR(__xludf.DUMMYFUNCTION("""COMPUTED_VALUE"""),"SPIRO 240SC")</f>
        <v>SPIRO 240SC</v>
      </c>
      <c r="F4131" s="87" t="str">
        <f>IFERROR(__xludf.DUMMYFUNCTION("""COMPUTED_VALUE"""),"HH3315")</f>
        <v>HH3315</v>
      </c>
      <c r="G4131" s="87" t="str">
        <f>IFERROR(__xludf.DUMMYFUNCTION("""COMPUTED_VALUE"""),"GC - IV - 3315 - Huy Phát - DR NHỆN (Nước trắng sữa) - 240ml - 40")</f>
        <v>GC - IV - 3315 - Huy Phát - DR NHỆN (Nước trắng sữa) - 240ml - 40</v>
      </c>
    </row>
    <row r="4132">
      <c r="A4132" s="86">
        <f>IFERROR(__xludf.DUMMYFUNCTION("""COMPUTED_VALUE"""),4130.0)</f>
        <v>4130</v>
      </c>
      <c r="B4132" s="87" t="str">
        <f>IFERROR(__xludf.DUMMYFUNCTION("""COMPUTED_VALUE"""),"Nhãn")</f>
        <v>Nhãn</v>
      </c>
      <c r="C4132" s="87" t="str">
        <f>IFERROR(__xludf.DUMMYFUNCTION("""COMPUTED_VALUE"""),"NHG3316")</f>
        <v>NHG3316</v>
      </c>
      <c r="D4132" s="87" t="str">
        <f>IFERROR(__xludf.DUMMYFUNCTION("""COMPUTED_VALUE"""),"[Nhãn] DR.XANH - VIII - 3316 - DR.RICE (Nước đỏ cam) - 500ml - 40")</f>
        <v>[Nhãn] DR.XANH - VIII - 3316 - DR.RICE (Nước đỏ cam) - 500ml - 40</v>
      </c>
      <c r="E4132" s="87" t="str">
        <f>IFERROR(__xludf.DUMMYFUNCTION("""COMPUTED_VALUE"""),"NPK-Vi lượng MASSIVE-BLUE")</f>
        <v>NPK-Vi lượng MASSIVE-BLUE</v>
      </c>
      <c r="F4132" s="87" t="str">
        <f>IFERROR(__xludf.DUMMYFUNCTION("""COMPUTED_VALUE"""),"HH3316")</f>
        <v>HH3316</v>
      </c>
      <c r="G4132" s="87" t="str">
        <f>IFERROR(__xludf.DUMMYFUNCTION("""COMPUTED_VALUE"""),"DR.XANH - VIII - 3316 - DR.RICE (Nước đỏ cam) - 500ml - 40")</f>
        <v>DR.XANH - VIII - 3316 - DR.RICE (Nước đỏ cam) - 500ml - 40</v>
      </c>
    </row>
    <row r="4133">
      <c r="A4133" s="86">
        <f>IFERROR(__xludf.DUMMYFUNCTION("""COMPUTED_VALUE"""),4131.0)</f>
        <v>4131</v>
      </c>
      <c r="B4133" s="87" t="str">
        <f>IFERROR(__xludf.DUMMYFUNCTION("""COMPUTED_VALUE"""),"Nhãn")</f>
        <v>Nhãn</v>
      </c>
      <c r="C4133" s="87" t="str">
        <f>IFERROR(__xludf.DUMMYFUNCTION("""COMPUTED_VALUE"""),"NHG3317")</f>
        <v>NHG3317</v>
      </c>
      <c r="D4133" s="87" t="str">
        <f>IFERROR(__xludf.DUMMYFUNCTION("""COMPUTED_VALUE"""),"[Nhãn] DR.XANH - VIII - 3317 - DR.SHIELD (Nước đỏ) - 250ml - 40")</f>
        <v>[Nhãn] DR.XANH - VIII - 3317 - DR.SHIELD (Nước đỏ) - 250ml - 40</v>
      </c>
      <c r="E4133" s="87" t="str">
        <f>IFERROR(__xludf.DUMMYFUNCTION("""COMPUTED_VALUE"""),"GENOL 1.2SL")</f>
        <v>GENOL 1.2SL</v>
      </c>
      <c r="F4133" s="87" t="str">
        <f>IFERROR(__xludf.DUMMYFUNCTION("""COMPUTED_VALUE"""),"HH3317")</f>
        <v>HH3317</v>
      </c>
      <c r="G4133" s="87" t="str">
        <f>IFERROR(__xludf.DUMMYFUNCTION("""COMPUTED_VALUE"""),"DR.XANH - VIII - 3317 - DR.SHIELD (Nước đỏ) - 250ml - 40")</f>
        <v>DR.XANH - VIII - 3317 - DR.SHIELD (Nước đỏ) - 250ml - 40</v>
      </c>
    </row>
    <row r="4134">
      <c r="A4134" s="86">
        <f>IFERROR(__xludf.DUMMYFUNCTION("""COMPUTED_VALUE"""),4132.0)</f>
        <v>4132</v>
      </c>
      <c r="B4134" s="87" t="str">
        <f>IFERROR(__xludf.DUMMYFUNCTION("""COMPUTED_VALUE"""),"Nhãn")</f>
        <v>Nhãn</v>
      </c>
      <c r="C4134" s="87" t="str">
        <f>IFERROR(__xludf.DUMMYFUNCTION("""COMPUTED_VALUE"""),"NHG3318")</f>
        <v>NHG3318</v>
      </c>
      <c r="D4134" s="87" t="str">
        <f>IFERROR(__xludf.DUMMYFUNCTION("""COMPUTED_VALUE"""),"[Nhãn] GC - IV - 3318 - CTY Thiên Di (A.Thành Dol) - Hexa Vil Thai 500 (nước trắng sữa) - 1L - 20")</f>
        <v>[Nhãn] GC - IV - 3318 - CTY Thiên Di (A.Thành Dol) - Hexa Vil Thai 500 (nước trắng sữa) - 1L - 20</v>
      </c>
      <c r="E4134" s="87" t="str">
        <f>IFERROR(__xludf.DUMMYFUNCTION("""COMPUTED_VALUE"""),"Mekongvil 5SC")</f>
        <v>Mekongvil 5SC</v>
      </c>
      <c r="F4134" s="87" t="str">
        <f>IFERROR(__xludf.DUMMYFUNCTION("""COMPUTED_VALUE"""),"HH3318")</f>
        <v>HH3318</v>
      </c>
      <c r="G4134" s="87" t="str">
        <f>IFERROR(__xludf.DUMMYFUNCTION("""COMPUTED_VALUE"""),"GC - IV - 3318 - CTY Thiên Di (A.Thành Dol) - Hexa Vil Thai 500 (nước trắng sữa) - 1L - 20")</f>
        <v>GC - IV - 3318 - CTY Thiên Di (A.Thành Dol) - Hexa Vil Thai 500 (nước trắng sữa) - 1L - 20</v>
      </c>
    </row>
    <row r="4135">
      <c r="A4135" s="86">
        <f>IFERROR(__xludf.DUMMYFUNCTION("""COMPUTED_VALUE"""),4133.0)</f>
        <v>4133</v>
      </c>
      <c r="B4135" s="87" t="str">
        <f>IFERROR(__xludf.DUMMYFUNCTION("""COMPUTED_VALUE"""),"Nhãn")</f>
        <v>Nhãn</v>
      </c>
      <c r="C4135" s="87" t="str">
        <f>IFERROR(__xludf.DUMMYFUNCTION("""COMPUTED_VALUE"""),"NHG3319")</f>
        <v>NHG3319</v>
      </c>
      <c r="D4135" s="87" t="str">
        <f>IFERROR(__xludf.DUMMYFUNCTION("""COMPUTED_VALUE"""),"[Nhãn] NB - I - 3319 - Pesticidex - Newfosinate 150SL - 900ml - 20")</f>
        <v>[Nhãn] NB - I - 3319 - Pesticidex - Newfosinate 150SL - 900ml - 20</v>
      </c>
      <c r="E4135" s="87" t="str">
        <f>IFERROR(__xludf.DUMMYFUNCTION("""COMPUTED_VALUE"""),"NEWFOSINATE 150SL")</f>
        <v>NEWFOSINATE 150SL</v>
      </c>
      <c r="F4135" s="87" t="str">
        <f>IFERROR(__xludf.DUMMYFUNCTION("""COMPUTED_VALUE"""),"HH3319")</f>
        <v>HH3319</v>
      </c>
      <c r="G4135" s="87" t="str">
        <f>IFERROR(__xludf.DUMMYFUNCTION("""COMPUTED_VALUE"""),"NB - I - 3319 - Pesticidex - Newfosinate 150SL - 900ml - 20")</f>
        <v>NB - I - 3319 - Pesticidex - Newfosinate 150SL - 900ml - 20</v>
      </c>
    </row>
    <row r="4136">
      <c r="A4136" s="86">
        <f>IFERROR(__xludf.DUMMYFUNCTION("""COMPUTED_VALUE"""),4134.0)</f>
        <v>4134</v>
      </c>
      <c r="B4136" s="87" t="str">
        <f>IFERROR(__xludf.DUMMYFUNCTION("""COMPUTED_VALUE"""),"Nhãn")</f>
        <v>Nhãn</v>
      </c>
      <c r="C4136" s="87" t="str">
        <f>IFERROR(__xludf.DUMMYFUNCTION("""COMPUTED_VALUE"""),"NHG3320")</f>
        <v>NHG3320</v>
      </c>
      <c r="D4136" s="87" t="str">
        <f>IFERROR(__xludf.DUMMYFUNCTION("""COMPUTED_VALUE"""),"[Nhãn] GC - IV - 3320 - Cty Hóa Nông Shino - BA SỐ 666 (Nước trắng sữa) - 450ml - 30")</f>
        <v>[Nhãn] GC - IV - 3320 - Cty Hóa Nông Shino - BA SỐ 666 (Nước trắng sữa) - 450ml - 30</v>
      </c>
      <c r="E4136" s="87" t="str">
        <f>IFERROR(__xludf.DUMMYFUNCTION("""COMPUTED_VALUE"""),"YAPOKO 250SC")</f>
        <v>YAPOKO 250SC</v>
      </c>
      <c r="F4136" s="87" t="str">
        <f>IFERROR(__xludf.DUMMYFUNCTION("""COMPUTED_VALUE"""),"HH3320")</f>
        <v>HH3320</v>
      </c>
      <c r="G4136" s="87" t="str">
        <f>IFERROR(__xludf.DUMMYFUNCTION("""COMPUTED_VALUE"""),"GC - IV - 3320 - Cty Hóa Nông Shino - BA SỐ 666 (Nước trắng sữa) - 450ml - 30")</f>
        <v>GC - IV - 3320 - Cty Hóa Nông Shino - BA SỐ 666 (Nước trắng sữa) - 450ml - 30</v>
      </c>
    </row>
    <row r="4137">
      <c r="A4137" s="86">
        <f>IFERROR(__xludf.DUMMYFUNCTION("""COMPUTED_VALUE"""),4135.0)</f>
        <v>4135</v>
      </c>
      <c r="B4137" s="87" t="str">
        <f>IFERROR(__xludf.DUMMYFUNCTION("""COMPUTED_VALUE"""),"Nhãn")</f>
        <v>Nhãn</v>
      </c>
      <c r="C4137" s="87" t="str">
        <f>IFERROR(__xludf.DUMMYFUNCTION("""COMPUTED_VALUE"""),"NTN3321")</f>
        <v>NTN3321</v>
      </c>
      <c r="D4137" s="87" t="str">
        <f>IFERROR(__xludf.DUMMYFUNCTION("""COMPUTED_VALUE"""),"[Nhãn] GC - IV - 3321 - CTY DRAGON AGROCHEM - CHESSIN 600WP (Bột trắng ngà) - 80gr - 100")</f>
        <v>[Nhãn] GC - IV - 3321 - CTY DRAGON AGROCHEM - CHESSIN 600WP (Bột trắng ngà) - 80gr - 100</v>
      </c>
      <c r="E4137" s="87" t="str">
        <f>IFERROR(__xludf.DUMMYFUNCTION("""COMPUTED_VALUE"""),"CHESSIN 600WP")</f>
        <v>CHESSIN 600WP</v>
      </c>
      <c r="F4137" s="87" t="str">
        <f>IFERROR(__xludf.DUMMYFUNCTION("""COMPUTED_VALUE"""),"HH3321")</f>
        <v>HH3321</v>
      </c>
      <c r="G4137" s="87" t="str">
        <f>IFERROR(__xludf.DUMMYFUNCTION("""COMPUTED_VALUE"""),"GC - IV - 3321 - CTY DRAGON AGROCHEM - CHESSIN 600WP (Bột trắng ngà) - 80gr - 100")</f>
        <v>GC - IV - 3321 - CTY DRAGON AGROCHEM - CHESSIN 600WP (Bột trắng ngà) - 80gr - 100</v>
      </c>
    </row>
    <row r="4138">
      <c r="A4138" s="86">
        <f>IFERROR(__xludf.DUMMYFUNCTION("""COMPUTED_VALUE"""),4136.0)</f>
        <v>4136</v>
      </c>
      <c r="B4138" s="87" t="str">
        <f>IFERROR(__xludf.DUMMYFUNCTION("""COMPUTED_VALUE"""),"Nhãn thùng")</f>
        <v>Nhãn thùng</v>
      </c>
      <c r="C4138" s="87" t="str">
        <f>IFERROR(__xludf.DUMMYFUNCTION("""COMPUTED_VALUE"""),"NDT3321")</f>
        <v>NDT3321</v>
      </c>
      <c r="D4138" s="87" t="str">
        <f>IFERROR(__xludf.DUMMYFUNCTION("""COMPUTED_VALUE"""),"[Nhãn thùng] GC - IV - 3321 - CTY DRAGON AGROCHEM - CHESSIN 600WP (Bột trắng ngà) - 80gr - 100")</f>
        <v>[Nhãn thùng] GC - IV - 3321 - CTY DRAGON AGROCHEM - CHESSIN 600WP (Bột trắng ngà) - 80gr - 100</v>
      </c>
      <c r="E4138" s="87" t="str">
        <f>IFERROR(__xludf.DUMMYFUNCTION("""COMPUTED_VALUE"""),"CHESSIN 600WP")</f>
        <v>CHESSIN 600WP</v>
      </c>
      <c r="F4138" s="87" t="str">
        <f>IFERROR(__xludf.DUMMYFUNCTION("""COMPUTED_VALUE"""),"HH3321")</f>
        <v>HH3321</v>
      </c>
      <c r="G4138" s="87" t="str">
        <f>IFERROR(__xludf.DUMMYFUNCTION("""COMPUTED_VALUE"""),"GC - IV - 3321 - CTY DRAGON AGROCHEM - CHESSIN 600WP (Bột trắng ngà) - 80gr - 100")</f>
        <v>GC - IV - 3321 - CTY DRAGON AGROCHEM - CHESSIN 600WP (Bột trắng ngà) - 80gr - 100</v>
      </c>
    </row>
    <row r="4139">
      <c r="A4139" s="86">
        <f>IFERROR(__xludf.DUMMYFUNCTION("""COMPUTED_VALUE"""),4137.0)</f>
        <v>4137</v>
      </c>
      <c r="B4139" s="87" t="str">
        <f>IFERROR(__xludf.DUMMYFUNCTION("""COMPUTED_VALUE"""),"Nhãn")</f>
        <v>Nhãn</v>
      </c>
      <c r="C4139" s="87" t="str">
        <f>IFERROR(__xludf.DUMMYFUNCTION("""COMPUTED_VALUE"""),"NHG3322")</f>
        <v>NHG3322</v>
      </c>
      <c r="D4139" s="87" t="str">
        <f>IFERROR(__xludf.DUMMYFUNCTION("""COMPUTED_VALUE"""),"[Nhãn] GC - IV - 3322 - CTY NGỌC BẢO LONG AGRI - CỨNG CÂY ĐỨNG LÁ (nước trắng xám) - 500ml - 30")</f>
        <v>[Nhãn] GC - IV - 3322 - CTY NGỌC BẢO LONG AGRI - CỨNG CÂY ĐỨNG LÁ (nước trắng xám) - 500ml - 30</v>
      </c>
      <c r="E4139" s="87" t="str">
        <f>IFERROR(__xludf.DUMMYFUNCTION("""COMPUTED_VALUE"""),"Vi lượng AGAMA-CANXI BO")</f>
        <v>Vi lượng AGAMA-CANXI BO</v>
      </c>
      <c r="F4139" s="87" t="str">
        <f>IFERROR(__xludf.DUMMYFUNCTION("""COMPUTED_VALUE"""),"HH3322")</f>
        <v>HH3322</v>
      </c>
      <c r="G4139" s="87" t="str">
        <f>IFERROR(__xludf.DUMMYFUNCTION("""COMPUTED_VALUE"""),"GC - IV - 3322 - CTY NGỌC BẢO LONG AGRI - CỨNG CÂY ĐỨNG LÁ (nước trắng xám) - 500ml - 30")</f>
        <v>GC - IV - 3322 - CTY NGỌC BẢO LONG AGRI - CỨNG CÂY ĐỨNG LÁ (nước trắng xám) - 500ml - 30</v>
      </c>
    </row>
    <row r="4140">
      <c r="A4140" s="86">
        <f>IFERROR(__xludf.DUMMYFUNCTION("""COMPUTED_VALUE"""),4138.0)</f>
        <v>4138</v>
      </c>
      <c r="B4140" s="87" t="str">
        <f>IFERROR(__xludf.DUMMYFUNCTION("""COMPUTED_VALUE"""),"Nhãn")</f>
        <v>Nhãn</v>
      </c>
      <c r="C4140" s="87" t="str">
        <f>IFERROR(__xludf.DUMMYFUNCTION("""COMPUTED_VALUE"""),"NHG3323")</f>
        <v>NHG3323</v>
      </c>
      <c r="D4140" s="87" t="str">
        <f>IFERROR(__xludf.DUMMYFUNCTION("""COMPUTED_VALUE"""),"[Nhãn] BAMBOO - VI - 3323 - BAMBOO ORGANIC (nước nâu đen) - 1L - 20")</f>
        <v>[Nhãn] BAMBOO - VI - 3323 - BAMBOO ORGANIC (nước nâu đen) - 1L - 20</v>
      </c>
      <c r="E4140" s="87" t="str">
        <f>IFERROR(__xludf.DUMMYFUNCTION("""COMPUTED_VALUE"""),"Hữu cơ SH Agro Organic Fertilizer 20")</f>
        <v>Hữu cơ SH Agro Organic Fertilizer 20</v>
      </c>
      <c r="F4140" s="87" t="str">
        <f>IFERROR(__xludf.DUMMYFUNCTION("""COMPUTED_VALUE"""),"HH3323")</f>
        <v>HH3323</v>
      </c>
      <c r="G4140" s="87" t="str">
        <f>IFERROR(__xludf.DUMMYFUNCTION("""COMPUTED_VALUE"""),"BAMBOO - VI - 3323 - BAMBOO ORGANIC (nước nâu đen) - 1L - 20")</f>
        <v>BAMBOO - VI - 3323 - BAMBOO ORGANIC (nước nâu đen) - 1L - 20</v>
      </c>
    </row>
    <row r="4141">
      <c r="A4141" s="86">
        <f>IFERROR(__xludf.DUMMYFUNCTION("""COMPUTED_VALUE"""),4139.0)</f>
        <v>4139</v>
      </c>
      <c r="B4141" s="87" t="str">
        <f>IFERROR(__xludf.DUMMYFUNCTION("""COMPUTED_VALUE"""),"Nhãn")</f>
        <v>Nhãn</v>
      </c>
      <c r="C4141" s="87" t="str">
        <f>IFERROR(__xludf.DUMMYFUNCTION("""COMPUTED_VALUE"""),"NHG3324")</f>
        <v>NHG3324</v>
      </c>
      <c r="D4141" s="87" t="str">
        <f>IFERROR(__xludf.DUMMYFUNCTION("""COMPUTED_VALUE"""),"[Nhãn] IDA Global - I - 3324 - ĐL SA ĐÉC XANH - PICO PRO + (Nước xanh dương) - 200ml - 40")</f>
        <v>[Nhãn] IDA Global - I - 3324 - ĐL SA ĐÉC XANH - PICO PRO + (Nước xanh dương) - 200ml - 40</v>
      </c>
      <c r="E4141" s="87" t="str">
        <f>IFERROR(__xludf.DUMMYFUNCTION("""COMPUTED_VALUE"""),"PICOSUPER 280SC")</f>
        <v>PICOSUPER 280SC</v>
      </c>
      <c r="F4141" s="87" t="str">
        <f>IFERROR(__xludf.DUMMYFUNCTION("""COMPUTED_VALUE"""),"HH3324")</f>
        <v>HH3324</v>
      </c>
      <c r="G4141" s="87" t="str">
        <f>IFERROR(__xludf.DUMMYFUNCTION("""COMPUTED_VALUE"""),"IDA Global - I - 3324 - ĐL SA ĐÉC XANH - PICO PRO + (Nước xanh dương) - 200ml - 40")</f>
        <v>IDA Global - I - 3324 - ĐL SA ĐÉC XANH - PICO PRO + (Nước xanh dương) - 200ml - 40</v>
      </c>
    </row>
    <row r="4142">
      <c r="A4142" s="86">
        <f>IFERROR(__xludf.DUMMYFUNCTION("""COMPUTED_VALUE"""),4140.0)</f>
        <v>4140</v>
      </c>
      <c r="B4142" s="87" t="str">
        <f>IFERROR(__xludf.DUMMYFUNCTION("""COMPUTED_VALUE"""),"Nhãn")</f>
        <v>Nhãn</v>
      </c>
      <c r="C4142" s="87" t="str">
        <f>IFERROR(__xludf.DUMMYFUNCTION("""COMPUTED_VALUE"""),"NHG3325")</f>
        <v>NHG3325</v>
      </c>
      <c r="D4142" s="87" t="str">
        <f>IFERROR(__xludf.DUMMYFUNCTION("""COMPUTED_VALUE"""),"[Nhãn] GC - IV - 3325 - Cty Hóa Nông Shino - BÒ CẠP THÁI (Nước nâu đen) - 450ml - 30")</f>
        <v>[Nhãn] GC - IV - 3325 - Cty Hóa Nông Shino - BÒ CẠP THÁI (Nước nâu đen) - 450ml - 30</v>
      </c>
      <c r="E4142" s="87" t="str">
        <f>IFERROR(__xludf.DUMMYFUNCTION("""COMPUTED_VALUE"""),"HAIHAMEC 3.6EC")</f>
        <v>HAIHAMEC 3.6EC</v>
      </c>
      <c r="F4142" s="87" t="str">
        <f>IFERROR(__xludf.DUMMYFUNCTION("""COMPUTED_VALUE"""),"HH3325")</f>
        <v>HH3325</v>
      </c>
      <c r="G4142" s="87" t="str">
        <f>IFERROR(__xludf.DUMMYFUNCTION("""COMPUTED_VALUE"""),"GC - IV - 3325 - Cty Hóa Nông Shino - BÒ CẠP THÁI (Nước nâu đen) - 450ml - 30")</f>
        <v>GC - IV - 3325 - Cty Hóa Nông Shino - BÒ CẠP THÁI (Nước nâu đen) - 450ml - 30</v>
      </c>
    </row>
    <row r="4143">
      <c r="A4143" s="86">
        <f>IFERROR(__xludf.DUMMYFUNCTION("""COMPUTED_VALUE"""),4141.0)</f>
        <v>4141</v>
      </c>
      <c r="B4143" s="87" t="str">
        <f>IFERROR(__xludf.DUMMYFUNCTION("""COMPUTED_VALUE"""),"[Nhãn]")</f>
        <v>[Nhãn]</v>
      </c>
      <c r="C4143" s="87" t="str">
        <f>IFERROR(__xludf.DUMMYFUNCTION("""COMPUTED_VALUE"""),"NHG3326")</f>
        <v>NHG3326</v>
      </c>
      <c r="D4143" s="87" t="str">
        <f>IFERROR(__xludf.DUMMYFUNCTION("""COMPUTED_VALUE"""),"[Nhãn] GC - IV - 3326 - Cty Thành Công Agri - HEVIL 110 (Nước trắng sữa) - 1L - 20")</f>
        <v>[Nhãn] GC - IV - 3326 - Cty Thành Công Agri - HEVIL 110 (Nước trắng sữa) - 1L - 20</v>
      </c>
      <c r="E4143" s="87" t="str">
        <f>IFERROR(__xludf.DUMMYFUNCTION("""COMPUTED_VALUE"""),"JAPA VIL 110SC")</f>
        <v>JAPA VIL 110SC</v>
      </c>
      <c r="F4143" s="87" t="str">
        <f>IFERROR(__xludf.DUMMYFUNCTION("""COMPUTED_VALUE"""),"HH3326")</f>
        <v>HH3326</v>
      </c>
      <c r="G4143" s="87" t="str">
        <f>IFERROR(__xludf.DUMMYFUNCTION("""COMPUTED_VALUE"""),"GC - IV - 3326 - Cty Thành Công Agri - HEVIL 110 (Nước trắng sữa) - 1L - 20")</f>
        <v>GC - IV - 3326 - Cty Thành Công Agri - HEVIL 110 (Nước trắng sữa) - 1L - 20</v>
      </c>
    </row>
    <row r="4144">
      <c r="A4144" s="86">
        <f>IFERROR(__xludf.DUMMYFUNCTION("""COMPUTED_VALUE"""),4142.0)</f>
        <v>4142</v>
      </c>
      <c r="B4144" s="87" t="str">
        <f>IFERROR(__xludf.DUMMYFUNCTION("""COMPUTED_VALUE"""),"Nhãn")</f>
        <v>Nhãn</v>
      </c>
      <c r="C4144" s="87" t="str">
        <f>IFERROR(__xludf.DUMMYFUNCTION("""COMPUTED_VALUE"""),"NHG3328")</f>
        <v>NHG3328</v>
      </c>
      <c r="D4144" s="87" t="str">
        <f>IFERROR(__xludf.DUMMYFUNCTION("""COMPUTED_VALUE"""),"[Nhãn] GC - IV - 3328 - CTY NÔNG HÓA XANH - Ninja Pro (Nước tím) - 240ml - 60")</f>
        <v>[Nhãn] GC - IV - 3328 - CTY NÔNG HÓA XANH - Ninja Pro (Nước tím) - 240ml - 60</v>
      </c>
      <c r="E4144" s="87" t="str">
        <f>IFERROR(__xludf.DUMMYFUNCTION("""COMPUTED_VALUE"""),"Thipro 550EC")</f>
        <v>Thipro 550EC</v>
      </c>
      <c r="F4144" s="87" t="str">
        <f>IFERROR(__xludf.DUMMYFUNCTION("""COMPUTED_VALUE"""),"HH3328")</f>
        <v>HH3328</v>
      </c>
      <c r="G4144" s="87" t="str">
        <f>IFERROR(__xludf.DUMMYFUNCTION("""COMPUTED_VALUE"""),"GC - IV - 3328 - CTY NÔNG HÓA XANH - Ninja Pro (Nước tím) - 240ml - 60")</f>
        <v>GC - IV - 3328 - CTY NÔNG HÓA XANH - Ninja Pro (Nước tím) - 240ml - 60</v>
      </c>
    </row>
    <row r="4145">
      <c r="A4145" s="86">
        <f>IFERROR(__xludf.DUMMYFUNCTION("""COMPUTED_VALUE"""),4143.0)</f>
        <v>4143</v>
      </c>
      <c r="B4145" s="87" t="str">
        <f>IFERROR(__xludf.DUMMYFUNCTION("""COMPUTED_VALUE"""),"Nhãn")</f>
        <v>Nhãn</v>
      </c>
      <c r="C4145" s="87" t="str">
        <f>IFERROR(__xludf.DUMMYFUNCTION("""COMPUTED_VALUE"""),"NTN3329")</f>
        <v>NTN3329</v>
      </c>
      <c r="D4145" s="87" t="str">
        <f>IFERROR(__xludf.DUMMYFUNCTION("""COMPUTED_VALUE"""),"[Nhãn] BAMBOO - VI - 3329 - BAMBOO OXYCIN (Bột trắng) - 100gr - 100")</f>
        <v>[Nhãn] BAMBOO - VI - 3329 - BAMBOO OXYCIN (Bột trắng) - 100gr - 100</v>
      </c>
      <c r="E4145" s="87" t="str">
        <f>IFERROR(__xludf.DUMMYFUNCTION("""COMPUTED_VALUE"""),"Oxycin 100WP")</f>
        <v>Oxycin 100WP</v>
      </c>
      <c r="F4145" s="87" t="str">
        <f>IFERROR(__xludf.DUMMYFUNCTION("""COMPUTED_VALUE"""),"HH3329")</f>
        <v>HH3329</v>
      </c>
      <c r="G4145" s="87" t="str">
        <f>IFERROR(__xludf.DUMMYFUNCTION("""COMPUTED_VALUE"""),"BAMBOO - VI - 3329 - BAMBOO OXYCIN (Bột trắng) - 100gr - 100")</f>
        <v>BAMBOO - VI - 3329 - BAMBOO OXYCIN (Bột trắng) - 100gr - 100</v>
      </c>
    </row>
    <row r="4146">
      <c r="A4146" s="86">
        <f>IFERROR(__xludf.DUMMYFUNCTION("""COMPUTED_VALUE"""),4144.0)</f>
        <v>4144</v>
      </c>
      <c r="B4146" s="87" t="str">
        <f>IFERROR(__xludf.DUMMYFUNCTION("""COMPUTED_VALUE"""),"Nhãn thùng")</f>
        <v>Nhãn thùng</v>
      </c>
      <c r="C4146" s="87" t="str">
        <f>IFERROR(__xludf.DUMMYFUNCTION("""COMPUTED_VALUE"""),"NDT3329")</f>
        <v>NDT3329</v>
      </c>
      <c r="D4146" s="87" t="str">
        <f>IFERROR(__xludf.DUMMYFUNCTION("""COMPUTED_VALUE"""),"[Nhãn thùng] BAMBOO - VI - 3329 - BAMBOO OXYCIN (Bột trắng) - 100gr - 100")</f>
        <v>[Nhãn thùng] BAMBOO - VI - 3329 - BAMBOO OXYCIN (Bột trắng) - 100gr - 100</v>
      </c>
      <c r="E4146" s="87" t="str">
        <f>IFERROR(__xludf.DUMMYFUNCTION("""COMPUTED_VALUE"""),"Oxycin 100WP")</f>
        <v>Oxycin 100WP</v>
      </c>
      <c r="F4146" s="87" t="str">
        <f>IFERROR(__xludf.DUMMYFUNCTION("""COMPUTED_VALUE"""),"HH3329")</f>
        <v>HH3329</v>
      </c>
      <c r="G4146" s="87" t="str">
        <f>IFERROR(__xludf.DUMMYFUNCTION("""COMPUTED_VALUE"""),"BAMBOO - VI - 3329 - BAMBOO OXYCIN (Bột trắng) - 100gr - 100")</f>
        <v>BAMBOO - VI - 3329 - BAMBOO OXYCIN (Bột trắng) - 100gr - 100</v>
      </c>
    </row>
    <row r="4147">
      <c r="A4147" s="86">
        <f>IFERROR(__xludf.DUMMYFUNCTION("""COMPUTED_VALUE"""),4145.0)</f>
        <v>4145</v>
      </c>
      <c r="B4147" s="87" t="str">
        <f>IFERROR(__xludf.DUMMYFUNCTION("""COMPUTED_VALUE"""),"Nhãn")</f>
        <v>Nhãn</v>
      </c>
      <c r="C4147" s="87" t="str">
        <f>IFERROR(__xludf.DUMMYFUNCTION("""COMPUTED_VALUE"""),"NTN3330")</f>
        <v>NTN3330</v>
      </c>
      <c r="D4147" s="87" t="str">
        <f>IFERROR(__xludf.DUMMYFUNCTION("""COMPUTED_VALUE"""),"[Nhãn] IDA Global - I - 3330 - CTY TÂN THÀNH - SẠCH KHUẨN (Bột trắng) - 25gr - 300")</f>
        <v>[Nhãn] IDA Global - I - 3330 - CTY TÂN THÀNH - SẠCH KHUẨN (Bột trắng) - 25gr - 300</v>
      </c>
      <c r="E4147" s="87" t="str">
        <f>IFERROR(__xludf.DUMMYFUNCTION("""COMPUTED_VALUE"""),"Oxycin 100WP")</f>
        <v>Oxycin 100WP</v>
      </c>
      <c r="F4147" s="87" t="str">
        <f>IFERROR(__xludf.DUMMYFUNCTION("""COMPUTED_VALUE"""),"HH3330")</f>
        <v>HH3330</v>
      </c>
      <c r="G4147" s="87" t="str">
        <f>IFERROR(__xludf.DUMMYFUNCTION("""COMPUTED_VALUE"""),"IDA Global - I - 3330 - CTY TÂN THÀNH - SẠCH KHUẨN (Bột trắng) - 25gr - 300")</f>
        <v>IDA Global - I - 3330 - CTY TÂN THÀNH - SẠCH KHUẨN (Bột trắng) - 25gr - 300</v>
      </c>
    </row>
    <row r="4148">
      <c r="A4148" s="86">
        <f>IFERROR(__xludf.DUMMYFUNCTION("""COMPUTED_VALUE"""),4146.0)</f>
        <v>4146</v>
      </c>
      <c r="B4148" s="87" t="str">
        <f>IFERROR(__xludf.DUMMYFUNCTION("""COMPUTED_VALUE"""),"Nhãn thùng")</f>
        <v>Nhãn thùng</v>
      </c>
      <c r="C4148" s="87" t="str">
        <f>IFERROR(__xludf.DUMMYFUNCTION("""COMPUTED_VALUE"""),"NDT3330")</f>
        <v>NDT3330</v>
      </c>
      <c r="D4148" s="87" t="str">
        <f>IFERROR(__xludf.DUMMYFUNCTION("""COMPUTED_VALUE"""),"[Nhãn thùng] IDA Global - I - 3330 - CTY TÂN THÀNH - SẠCH KHUẨN (Bột trắng) - 25gr - 300")</f>
        <v>[Nhãn thùng] IDA Global - I - 3330 - CTY TÂN THÀNH - SẠCH KHUẨN (Bột trắng) - 25gr - 300</v>
      </c>
      <c r="E4148" s="87" t="str">
        <f>IFERROR(__xludf.DUMMYFUNCTION("""COMPUTED_VALUE"""),"Oxycin 100WP")</f>
        <v>Oxycin 100WP</v>
      </c>
      <c r="F4148" s="87" t="str">
        <f>IFERROR(__xludf.DUMMYFUNCTION("""COMPUTED_VALUE"""),"HH3330")</f>
        <v>HH3330</v>
      </c>
      <c r="G4148" s="87" t="str">
        <f>IFERROR(__xludf.DUMMYFUNCTION("""COMPUTED_VALUE"""),"IDA Global - I - 3330 - CTY TÂN THÀNH - SẠCH KHUẨN (Bột trắng) - 25gr - 300")</f>
        <v>IDA Global - I - 3330 - CTY TÂN THÀNH - SẠCH KHUẨN (Bột trắng) - 25gr - 300</v>
      </c>
    </row>
    <row r="4149">
      <c r="A4149" s="86">
        <f>IFERROR(__xludf.DUMMYFUNCTION("""COMPUTED_VALUE"""),4147.0)</f>
        <v>4147</v>
      </c>
      <c r="B4149" s="87" t="str">
        <f>IFERROR(__xludf.DUMMYFUNCTION("""COMPUTED_VALUE"""),"Nhãn")</f>
        <v>Nhãn</v>
      </c>
      <c r="C4149" s="87" t="str">
        <f>IFERROR(__xludf.DUMMYFUNCTION("""COMPUTED_VALUE"""),"NHG3331")</f>
        <v>NHG3331</v>
      </c>
      <c r="D4149" s="87" t="str">
        <f>IFERROR(__xludf.DUMMYFUNCTION("""COMPUTED_VALUE"""),"[Nhãn] GC - IV - 3331 - TAGO - Cạp Lửa (Nước nâu đen) - 450ml - 40")</f>
        <v>[Nhãn] GC - IV - 3331 - TAGO - Cạp Lửa (Nước nâu đen) - 450ml - 40</v>
      </c>
      <c r="E4149" s="87" t="str">
        <f>IFERROR(__xludf.DUMMYFUNCTION("""COMPUTED_VALUE"""),"HAIHAMEC 3.6EC")</f>
        <v>HAIHAMEC 3.6EC</v>
      </c>
      <c r="F4149" s="87" t="str">
        <f>IFERROR(__xludf.DUMMYFUNCTION("""COMPUTED_VALUE"""),"HH3331")</f>
        <v>HH3331</v>
      </c>
      <c r="G4149" s="87" t="str">
        <f>IFERROR(__xludf.DUMMYFUNCTION("""COMPUTED_VALUE"""),"GC - IV - 3331 - TAGO - Cạp Lửa (Nước nâu đen) - 450ml - 40")</f>
        <v>GC - IV - 3331 - TAGO - Cạp Lửa (Nước nâu đen) - 450ml - 40</v>
      </c>
    </row>
    <row r="4150">
      <c r="A4150" s="86">
        <f>IFERROR(__xludf.DUMMYFUNCTION("""COMPUTED_VALUE"""),4148.0)</f>
        <v>4148</v>
      </c>
      <c r="B4150" s="87" t="str">
        <f>IFERROR(__xludf.DUMMYFUNCTION("""COMPUTED_VALUE"""),"Nhãn")</f>
        <v>Nhãn</v>
      </c>
      <c r="C4150" s="87" t="str">
        <f>IFERROR(__xludf.DUMMYFUNCTION("""COMPUTED_VALUE"""),"NHG3332")</f>
        <v>NHG3332</v>
      </c>
      <c r="D4150" s="87" t="str">
        <f>IFERROR(__xludf.DUMMYFUNCTION("""COMPUTED_VALUE"""),"[Nhãn] GC - IV - 3332 - CTY NÔNG DƯỢC BETA - ĐỔ ỐC (Nước nâu đen) - 450ml - 40")</f>
        <v>[Nhãn] GC - IV - 3332 - CTY NÔNG DƯỢC BETA - ĐỔ ỐC (Nước nâu đen) - 450ml - 40</v>
      </c>
      <c r="E4150" s="87" t="str">
        <f>IFERROR(__xludf.DUMMYFUNCTION("""COMPUTED_VALUE"""),"HAIHAMEC 3.6EC")</f>
        <v>HAIHAMEC 3.6EC</v>
      </c>
      <c r="F4150" s="87" t="str">
        <f>IFERROR(__xludf.DUMMYFUNCTION("""COMPUTED_VALUE"""),"HH3332")</f>
        <v>HH3332</v>
      </c>
      <c r="G4150" s="87" t="str">
        <f>IFERROR(__xludf.DUMMYFUNCTION("""COMPUTED_VALUE"""),"GC - IV - 3332 - CTY NÔNG DƯỢC BETA - ĐỔ ỐC (Nước nâu đen) - 450ml - 40")</f>
        <v>GC - IV - 3332 - CTY NÔNG DƯỢC BETA - ĐỔ ỐC (Nước nâu đen) - 450ml - 40</v>
      </c>
    </row>
    <row r="4151">
      <c r="A4151" s="86">
        <f>IFERROR(__xludf.DUMMYFUNCTION("""COMPUTED_VALUE"""),4149.0)</f>
        <v>4149</v>
      </c>
      <c r="B4151" s="87" t="str">
        <f>IFERROR(__xludf.DUMMYFUNCTION("""COMPUTED_VALUE"""),"[Nhãn]")</f>
        <v>[Nhãn]</v>
      </c>
      <c r="C4151" s="87" t="str">
        <f>IFERROR(__xludf.DUMMYFUNCTION("""COMPUTED_VALUE"""),"NHD3333")</f>
        <v>NHD3333</v>
      </c>
      <c r="D4151" s="87" t="str">
        <f>IFERROR(__xludf.DUMMYFUNCTION("""COMPUTED_VALUE"""),"[Nhãn] GC - IV - 3333 - CTY DONA VINA - CANXIBO USA (Nước trắng sữa) - 500ml - 40")</f>
        <v>[Nhãn] GC - IV - 3333 - CTY DONA VINA - CANXIBO USA (Nước trắng sữa) - 500ml - 40</v>
      </c>
      <c r="E4151" s="87" t="str">
        <f>IFERROR(__xludf.DUMMYFUNCTION("""COMPUTED_VALUE"""),"Vi lượng AGAMA-CANXI BO")</f>
        <v>Vi lượng AGAMA-CANXI BO</v>
      </c>
      <c r="F4151" s="87" t="str">
        <f>IFERROR(__xludf.DUMMYFUNCTION("""COMPUTED_VALUE"""),"HH3333")</f>
        <v>HH3333</v>
      </c>
      <c r="G4151" s="87" t="str">
        <f>IFERROR(__xludf.DUMMYFUNCTION("""COMPUTED_VALUE"""),"GC - IV - 3333 - CTY DONA VINA - CANXIBO USA (Nước trắng sữa) - 500ml - 40")</f>
        <v>GC - IV - 3333 - CTY DONA VINA - CANXIBO USA (Nước trắng sữa) - 500ml - 40</v>
      </c>
    </row>
    <row r="4152">
      <c r="A4152" s="86">
        <f>IFERROR(__xludf.DUMMYFUNCTION("""COMPUTED_VALUE"""),4150.0)</f>
        <v>4150</v>
      </c>
      <c r="B4152" s="87" t="str">
        <f>IFERROR(__xludf.DUMMYFUNCTION("""COMPUTED_VALUE"""),"[Nhãn]")</f>
        <v>[Nhãn]</v>
      </c>
      <c r="C4152" s="87" t="str">
        <f>IFERROR(__xludf.DUMMYFUNCTION("""COMPUTED_VALUE"""),"NHD3333")</f>
        <v>NHD3333</v>
      </c>
      <c r="D4152" s="87" t="str">
        <f>IFERROR(__xludf.DUMMYFUNCTION("""COMPUTED_VALUE"""),"[Nhãn] GC - IV - 3333 - CTY DONA VINA - CANXIBO USA (Nước trắng sữa) - 500ml - 40")</f>
        <v>[Nhãn] GC - IV - 3333 - CTY DONA VINA - CANXIBO USA (Nước trắng sữa) - 500ml - 40</v>
      </c>
      <c r="E4152" s="87" t="str">
        <f>IFERROR(__xludf.DUMMYFUNCTION("""COMPUTED_VALUE"""),"Vi lượng AGAMA-CANXI BO")</f>
        <v>Vi lượng AGAMA-CANXI BO</v>
      </c>
      <c r="F4152" s="87" t="str">
        <f>IFERROR(__xludf.DUMMYFUNCTION("""COMPUTED_VALUE"""),"HH3333")</f>
        <v>HH3333</v>
      </c>
      <c r="G4152" s="87" t="str">
        <f>IFERROR(__xludf.DUMMYFUNCTION("""COMPUTED_VALUE"""),"GC - IV - 3333 - CTY DONA VINA - CANXIBO USA (Nước trắng sữa) - 500ml - 40")</f>
        <v>GC - IV - 3333 - CTY DONA VINA - CANXIBO USA (Nước trắng sữa) - 500ml - 40</v>
      </c>
    </row>
    <row r="4153">
      <c r="A4153" s="86">
        <f>IFERROR(__xludf.DUMMYFUNCTION("""COMPUTED_VALUE"""),4151.0)</f>
        <v>4151</v>
      </c>
      <c r="B4153" s="87" t="str">
        <f>IFERROR(__xludf.DUMMYFUNCTION("""COMPUTED_VALUE"""),"Nhãn")</f>
        <v>Nhãn</v>
      </c>
      <c r="C4153" s="87" t="str">
        <f>IFERROR(__xludf.DUMMYFUNCTION("""COMPUTED_VALUE"""),"NTN3334")</f>
        <v>NTN3334</v>
      </c>
      <c r="D4153" s="87" t="str">
        <f>IFERROR(__xludf.DUMMYFUNCTION("""COMPUTED_VALUE"""),"[Nhãn] GC - IV - 3334 - CTY DONA VINA - VUA BỌ TRĨ (Dạng cốm màu trắng ngà) - 10gr - 300")</f>
        <v>[Nhãn] GC - IV - 3334 - CTY DONA VINA - VUA BỌ TRĨ (Dạng cốm màu trắng ngà) - 10gr - 300</v>
      </c>
      <c r="E4153" s="87" t="str">
        <f>IFERROR(__xludf.DUMMYFUNCTION("""COMPUTED_VALUE"""),"NOFARA 35WG")</f>
        <v>NOFARA 35WG</v>
      </c>
      <c r="F4153" s="87" t="str">
        <f>IFERROR(__xludf.DUMMYFUNCTION("""COMPUTED_VALUE"""),"HH3334")</f>
        <v>HH3334</v>
      </c>
      <c r="G4153" s="87" t="str">
        <f>IFERROR(__xludf.DUMMYFUNCTION("""COMPUTED_VALUE"""),"GC - IV - 3334 - CTY DONA VINA - VUA BỌ TRĨ (Dạng cốm màu trắng ngà) - 10gr - 300")</f>
        <v>GC - IV - 3334 - CTY DONA VINA - VUA BỌ TRĨ (Dạng cốm màu trắng ngà) - 10gr - 300</v>
      </c>
    </row>
    <row r="4154">
      <c r="A4154" s="86">
        <f>IFERROR(__xludf.DUMMYFUNCTION("""COMPUTED_VALUE"""),4152.0)</f>
        <v>4152</v>
      </c>
      <c r="B4154" s="87" t="str">
        <f>IFERROR(__xludf.DUMMYFUNCTION("""COMPUTED_VALUE"""),"Nhãn thùng")</f>
        <v>Nhãn thùng</v>
      </c>
      <c r="C4154" s="87" t="str">
        <f>IFERROR(__xludf.DUMMYFUNCTION("""COMPUTED_VALUE"""),"NDT3334")</f>
        <v>NDT3334</v>
      </c>
      <c r="D4154" s="87" t="str">
        <f>IFERROR(__xludf.DUMMYFUNCTION("""COMPUTED_VALUE"""),"[Nhãn thùng] GC - IV - 3334 - CTY DONA VINA - VUA BỌ TRĨ (Dạng cốm màu trắng ngà) - 10gr - 300")</f>
        <v>[Nhãn thùng] GC - IV - 3334 - CTY DONA VINA - VUA BỌ TRĨ (Dạng cốm màu trắng ngà) - 10gr - 300</v>
      </c>
      <c r="E4154" s="87" t="str">
        <f>IFERROR(__xludf.DUMMYFUNCTION("""COMPUTED_VALUE"""),"NOFARA 35WG")</f>
        <v>NOFARA 35WG</v>
      </c>
      <c r="F4154" s="87" t="str">
        <f>IFERROR(__xludf.DUMMYFUNCTION("""COMPUTED_VALUE"""),"HH3334")</f>
        <v>HH3334</v>
      </c>
      <c r="G4154" s="87" t="str">
        <f>IFERROR(__xludf.DUMMYFUNCTION("""COMPUTED_VALUE"""),"GC - IV - 3334 - CTY DONA VINA - VUA BỌ TRĨ (Dạng cốm màu trắng ngà) - 10gr - 300")</f>
        <v>GC - IV - 3334 - CTY DONA VINA - VUA BỌ TRĨ (Dạng cốm màu trắng ngà) - 10gr - 300</v>
      </c>
    </row>
    <row r="4155">
      <c r="A4155" s="86">
        <f>IFERROR(__xludf.DUMMYFUNCTION("""COMPUTED_VALUE"""),4153.0)</f>
        <v>4153</v>
      </c>
      <c r="B4155" s="87" t="str">
        <f>IFERROR(__xludf.DUMMYFUNCTION("""COMPUTED_VALUE"""),"Nhãn")</f>
        <v>Nhãn</v>
      </c>
      <c r="C4155" s="87" t="str">
        <f>IFERROR(__xludf.DUMMYFUNCTION("""COMPUTED_VALUE"""),"NHG3335")</f>
        <v>NHG3335</v>
      </c>
      <c r="D4155" s="87" t="str">
        <f>IFERROR(__xludf.DUMMYFUNCTION("""COMPUTED_VALUE"""),"[Nhãn] IDA Global - I - 3335 - VG RICE 01 - 500ml - 40")</f>
        <v>[Nhãn] IDA Global - I - 3335 - VG RICE 01 - 500ml - 40</v>
      </c>
      <c r="E4155" s="87" t="str">
        <f>IFERROR(__xludf.DUMMYFUNCTION("""COMPUTED_VALUE"""),"Vi lượng AGAMA-SUPPORT")</f>
        <v>Vi lượng AGAMA-SUPPORT</v>
      </c>
      <c r="F4155" s="87" t="str">
        <f>IFERROR(__xludf.DUMMYFUNCTION("""COMPUTED_VALUE"""),"HH3335")</f>
        <v>HH3335</v>
      </c>
      <c r="G4155" s="87" t="str">
        <f>IFERROR(__xludf.DUMMYFUNCTION("""COMPUTED_VALUE"""),"IDA Global - I - 3335 - VG RICE 01 - 500ml - 40")</f>
        <v>IDA Global - I - 3335 - VG RICE 01 - 500ml - 40</v>
      </c>
    </row>
    <row r="4156">
      <c r="A4156" s="86">
        <f>IFERROR(__xludf.DUMMYFUNCTION("""COMPUTED_VALUE"""),4154.0)</f>
        <v>4154</v>
      </c>
      <c r="B4156" s="87" t="str">
        <f>IFERROR(__xludf.DUMMYFUNCTION("""COMPUTED_VALUE"""),"[HỘP]")</f>
        <v>[HỘP]</v>
      </c>
      <c r="C4156" s="87" t="str">
        <f>IFERROR(__xludf.DUMMYFUNCTION("""COMPUTED_VALUE"""),"HOP3335")</f>
        <v>HOP3335</v>
      </c>
      <c r="D4156" s="87" t="str">
        <f>IFERROR(__xludf.DUMMYFUNCTION("""COMPUTED_VALUE"""),"[HOP] IDA Global - I - 3335 - BÔNG TO CHẮC HẠT - 500ml - 1")</f>
        <v>[HOP] IDA Global - I - 3335 - BÔNG TO CHẮC HẠT - 500ml - 1</v>
      </c>
      <c r="E4156" s="87" t="str">
        <f>IFERROR(__xludf.DUMMYFUNCTION("""COMPUTED_VALUE"""),"Vi lượng AGAMA-SUPPORT")</f>
        <v>Vi lượng AGAMA-SUPPORT</v>
      </c>
      <c r="F4156" s="87" t="str">
        <f>IFERROR(__xludf.DUMMYFUNCTION("""COMPUTED_VALUE"""),"HH3335")</f>
        <v>HH3335</v>
      </c>
      <c r="G4156" s="87" t="str">
        <f>IFERROR(__xludf.DUMMYFUNCTION("""COMPUTED_VALUE"""),"IDA Global - I - 3335 - VG RICE 01 - 500ml - 40")</f>
        <v>IDA Global - I - 3335 - VG RICE 01 - 500ml - 40</v>
      </c>
    </row>
    <row r="4157">
      <c r="A4157" s="86">
        <f>IFERROR(__xludf.DUMMYFUNCTION("""COMPUTED_VALUE"""),4155.0)</f>
        <v>4155</v>
      </c>
      <c r="B4157" s="87" t="str">
        <f>IFERROR(__xludf.DUMMYFUNCTION("""COMPUTED_VALUE"""),"Nhãn")</f>
        <v>Nhãn</v>
      </c>
      <c r="C4157" s="87" t="str">
        <f>IFERROR(__xludf.DUMMYFUNCTION("""COMPUTED_VALUE"""),"NHG3336")</f>
        <v>NHG3336</v>
      </c>
      <c r="D4157" s="87" t="str">
        <f>IFERROR(__xludf.DUMMYFUNCTION("""COMPUTED_VALUE"""),"[Nhãn] IDA Global - I - 3336 - VG RICE 02 - 500ml - 40")</f>
        <v>[Nhãn] IDA Global - I - 3336 - VG RICE 02 - 500ml - 40</v>
      </c>
      <c r="E4157" s="87" t="str">
        <f>IFERROR(__xludf.DUMMYFUNCTION("""COMPUTED_VALUE"""),"NPK-vi lượng HC CAN")</f>
        <v>NPK-vi lượng HC CAN</v>
      </c>
      <c r="F4157" s="87" t="str">
        <f>IFERROR(__xludf.DUMMYFUNCTION("""COMPUTED_VALUE"""),"HH3336")</f>
        <v>HH3336</v>
      </c>
      <c r="G4157" s="87" t="str">
        <f>IFERROR(__xludf.DUMMYFUNCTION("""COMPUTED_VALUE"""),"IDA Global - I - 3336 - VG RICE 02 - 500ml - 40")</f>
        <v>IDA Global - I - 3336 - VG RICE 02 - 500ml - 40</v>
      </c>
    </row>
    <row r="4158">
      <c r="A4158" s="86">
        <f>IFERROR(__xludf.DUMMYFUNCTION("""COMPUTED_VALUE"""),4156.0)</f>
        <v>4156</v>
      </c>
      <c r="B4158" s="87" t="str">
        <f>IFERROR(__xludf.DUMMYFUNCTION("""COMPUTED_VALUE"""),"Nhãn")</f>
        <v>Nhãn</v>
      </c>
      <c r="C4158" s="87" t="str">
        <f>IFERROR(__xludf.DUMMYFUNCTION("""COMPUTED_VALUE"""),"NHG3337")</f>
        <v>NHG3337</v>
      </c>
      <c r="D4158" s="87" t="str">
        <f>IFERROR(__xludf.DUMMYFUNCTION("""COMPUTED_VALUE"""),"[Nhãn] GC - IV - 3337 - NHP Group - CALIMIX (Nước nâu đen) - 500ml - 40")</f>
        <v>[Nhãn] GC - IV - 3337 - NHP Group - CALIMIX (Nước nâu đen) - 500ml - 40</v>
      </c>
      <c r="E4158" s="87" t="str">
        <f>IFERROR(__xludf.DUMMYFUNCTION("""COMPUTED_VALUE"""),"Hữu cơ SH Agro Organic Fertilizer 20")</f>
        <v>Hữu cơ SH Agro Organic Fertilizer 20</v>
      </c>
      <c r="F4158" s="87" t="str">
        <f>IFERROR(__xludf.DUMMYFUNCTION("""COMPUTED_VALUE"""),"HH3337")</f>
        <v>HH3337</v>
      </c>
      <c r="G4158" s="87" t="str">
        <f>IFERROR(__xludf.DUMMYFUNCTION("""COMPUTED_VALUE"""),"GC - IV - 3337 - NHP Group - CALIMIX (Nước nâu đen) - 500ml - 40")</f>
        <v>GC - IV - 3337 - NHP Group - CALIMIX (Nước nâu đen) - 500ml - 40</v>
      </c>
    </row>
    <row r="4159">
      <c r="A4159" s="86">
        <f>IFERROR(__xludf.DUMMYFUNCTION("""COMPUTED_VALUE"""),4157.0)</f>
        <v>4157</v>
      </c>
      <c r="B4159" s="87" t="str">
        <f>IFERROR(__xludf.DUMMYFUNCTION("""COMPUTED_VALUE"""),"Nhãn")</f>
        <v>Nhãn</v>
      </c>
      <c r="C4159" s="87" t="str">
        <f>IFERROR(__xludf.DUMMYFUNCTION("""COMPUTED_VALUE"""),"NHG3338")</f>
        <v>NHG3338</v>
      </c>
      <c r="D4159" s="87" t="str">
        <f>IFERROR(__xludf.DUMMYFUNCTION("""COMPUTED_VALUE"""),"[Nhãn] GC - IV - 3338 - Cty Hóa Nông Shino - ABA 3.6 PLUS (Nước nâu đen) - 450ml - 30")</f>
        <v>[Nhãn] GC - IV - 3338 - Cty Hóa Nông Shino - ABA 3.6 PLUS (Nước nâu đen) - 450ml - 30</v>
      </c>
      <c r="E4159" s="87" t="str">
        <f>IFERROR(__xludf.DUMMYFUNCTION("""COMPUTED_VALUE"""),"HAIHAMEC 3.6EC")</f>
        <v>HAIHAMEC 3.6EC</v>
      </c>
      <c r="F4159" s="87" t="str">
        <f>IFERROR(__xludf.DUMMYFUNCTION("""COMPUTED_VALUE"""),"HH3338")</f>
        <v>HH3338</v>
      </c>
      <c r="G4159" s="87" t="str">
        <f>IFERROR(__xludf.DUMMYFUNCTION("""COMPUTED_VALUE"""),"GC - IV - 3338 - Cty Hóa Nông Shino - ABA 3.6 PLUS (Nước nâu đen) - 450ml - 30")</f>
        <v>GC - IV - 3338 - Cty Hóa Nông Shino - ABA 3.6 PLUS (Nước nâu đen) - 450ml - 30</v>
      </c>
    </row>
    <row r="4160">
      <c r="A4160" s="86">
        <f>IFERROR(__xludf.DUMMYFUNCTION("""COMPUTED_VALUE"""),4158.0)</f>
        <v>4158</v>
      </c>
      <c r="B4160" s="87" t="str">
        <f>IFERROR(__xludf.DUMMYFUNCTION("""COMPUTED_VALUE"""),"Nhãn")</f>
        <v>Nhãn</v>
      </c>
      <c r="C4160" s="87" t="str">
        <f>IFERROR(__xludf.DUMMYFUNCTION("""COMPUTED_VALUE"""),"NTN3339")</f>
        <v>NTN3339</v>
      </c>
      <c r="D4160" s="87" t="str">
        <f>IFERROR(__xludf.DUMMYFUNCTION("""COMPUTED_VALUE"""),"[Nhãn] GC - IV - 3339 - Cty GNH (A.Thời) - Sâu Đục Thân (bột màu trắng ngà) - 50gr - 200")</f>
        <v>[Nhãn] GC - IV - 3339 - Cty GNH (A.Thời) - Sâu Đục Thân (bột màu trắng ngà) - 50gr - 200</v>
      </c>
      <c r="E4160" s="87" t="str">
        <f>IFERROR(__xludf.DUMMYFUNCTION("""COMPUTED_VALUE"""),"FORVIN 85WP")</f>
        <v>FORVIN 85WP</v>
      </c>
      <c r="F4160" s="87" t="str">
        <f>IFERROR(__xludf.DUMMYFUNCTION("""COMPUTED_VALUE"""),"HH3339")</f>
        <v>HH3339</v>
      </c>
      <c r="G4160" s="87" t="str">
        <f>IFERROR(__xludf.DUMMYFUNCTION("""COMPUTED_VALUE"""),"GC - IV - 3339 - Cty GNH (A.Thời) - Sâu Đục Thân (bột màu trắng ngà) - 50gr - 200")</f>
        <v>GC - IV - 3339 - Cty GNH (A.Thời) - Sâu Đục Thân (bột màu trắng ngà) - 50gr - 200</v>
      </c>
    </row>
    <row r="4161">
      <c r="A4161" s="86">
        <f>IFERROR(__xludf.DUMMYFUNCTION("""COMPUTED_VALUE"""),4159.0)</f>
        <v>4159</v>
      </c>
      <c r="B4161" s="87" t="str">
        <f>IFERROR(__xludf.DUMMYFUNCTION("""COMPUTED_VALUE"""),"Nhãn thùng")</f>
        <v>Nhãn thùng</v>
      </c>
      <c r="C4161" s="87" t="str">
        <f>IFERROR(__xludf.DUMMYFUNCTION("""COMPUTED_VALUE"""),"NDT3339")</f>
        <v>NDT3339</v>
      </c>
      <c r="D4161" s="87" t="str">
        <f>IFERROR(__xludf.DUMMYFUNCTION("""COMPUTED_VALUE"""),"[Nhãn thùng] GC - IV - 3339 - Cty GNH (A.Thời) - Sâu Đục Thân (bột màu trắng ngà) - 50gr - 200")</f>
        <v>[Nhãn thùng] GC - IV - 3339 - Cty GNH (A.Thời) - Sâu Đục Thân (bột màu trắng ngà) - 50gr - 200</v>
      </c>
      <c r="E4161" s="87" t="str">
        <f>IFERROR(__xludf.DUMMYFUNCTION("""COMPUTED_VALUE"""),"FORVIN 85WP")</f>
        <v>FORVIN 85WP</v>
      </c>
      <c r="F4161" s="87" t="str">
        <f>IFERROR(__xludf.DUMMYFUNCTION("""COMPUTED_VALUE"""),"HH3339")</f>
        <v>HH3339</v>
      </c>
      <c r="G4161" s="87" t="str">
        <f>IFERROR(__xludf.DUMMYFUNCTION("""COMPUTED_VALUE"""),"GC - IV - 3339 - Cty GNH (A.Thời) - Sâu Đục Thân (bột màu trắng ngà) - 50gr - 200")</f>
        <v>GC - IV - 3339 - Cty GNH (A.Thời) - Sâu Đục Thân (bột màu trắng ngà) - 50gr - 200</v>
      </c>
    </row>
    <row r="4162">
      <c r="A4162" s="86">
        <f>IFERROR(__xludf.DUMMYFUNCTION("""COMPUTED_VALUE"""),4160.0)</f>
        <v>4160</v>
      </c>
      <c r="B4162" s="87" t="str">
        <f>IFERROR(__xludf.DUMMYFUNCTION("""COMPUTED_VALUE"""),"Nhãn")</f>
        <v>Nhãn</v>
      </c>
      <c r="C4162" s="87" t="str">
        <f>IFERROR(__xludf.DUMMYFUNCTION("""COMPUTED_VALUE"""),"NTN3340")</f>
        <v>NTN3340</v>
      </c>
      <c r="D4162" s="87" t="str">
        <f>IFERROR(__xludf.DUMMYFUNCTION("""COMPUTED_VALUE"""),"[Nhãn] GC - IV - 3340 - CTY HÓA NÔNG SHINO - CHESSIN 600WP (Bột trắng ngà) - 25gr - 200")</f>
        <v>[Nhãn] GC - IV - 3340 - CTY HÓA NÔNG SHINO - CHESSIN 600WP (Bột trắng ngà) - 25gr - 200</v>
      </c>
      <c r="E4162" s="87" t="str">
        <f>IFERROR(__xludf.DUMMYFUNCTION("""COMPUTED_VALUE"""),"CHESSIN 600WP")</f>
        <v>CHESSIN 600WP</v>
      </c>
      <c r="F4162" s="87" t="str">
        <f>IFERROR(__xludf.DUMMYFUNCTION("""COMPUTED_VALUE"""),"HH3340")</f>
        <v>HH3340</v>
      </c>
      <c r="G4162" s="87" t="str">
        <f>IFERROR(__xludf.DUMMYFUNCTION("""COMPUTED_VALUE"""),"GC - IV - 3340 - CTY HÓA NÔNG SHINO - CHESSIN 600WP (Bột trắng ngà) - 25gr - 200")</f>
        <v>GC - IV - 3340 - CTY HÓA NÔNG SHINO - CHESSIN 600WP (Bột trắng ngà) - 25gr - 200</v>
      </c>
    </row>
    <row r="4163">
      <c r="A4163" s="86">
        <f>IFERROR(__xludf.DUMMYFUNCTION("""COMPUTED_VALUE"""),4161.0)</f>
        <v>4161</v>
      </c>
      <c r="B4163" s="87" t="str">
        <f>IFERROR(__xludf.DUMMYFUNCTION("""COMPUTED_VALUE"""),"Nhãn thùng")</f>
        <v>Nhãn thùng</v>
      </c>
      <c r="C4163" s="87" t="str">
        <f>IFERROR(__xludf.DUMMYFUNCTION("""COMPUTED_VALUE"""),"NDT3340")</f>
        <v>NDT3340</v>
      </c>
      <c r="D4163" s="87" t="str">
        <f>IFERROR(__xludf.DUMMYFUNCTION("""COMPUTED_VALUE"""),"[Nhãn thùng] GC - IV - 3340 - CTY HÓA NÔNG SHINO - CHESSIN 600WP (Bột trắng ngà) - 25gr - 200")</f>
        <v>[Nhãn thùng] GC - IV - 3340 - CTY HÓA NÔNG SHINO - CHESSIN 600WP (Bột trắng ngà) - 25gr - 200</v>
      </c>
      <c r="E4163" s="87" t="str">
        <f>IFERROR(__xludf.DUMMYFUNCTION("""COMPUTED_VALUE"""),"CHESSIN 600WP")</f>
        <v>CHESSIN 600WP</v>
      </c>
      <c r="F4163" s="87" t="str">
        <f>IFERROR(__xludf.DUMMYFUNCTION("""COMPUTED_VALUE"""),"HH3340")</f>
        <v>HH3340</v>
      </c>
      <c r="G4163" s="87" t="str">
        <f>IFERROR(__xludf.DUMMYFUNCTION("""COMPUTED_VALUE"""),"GC - IV - 3340 - CTY HÓA NÔNG SHINO - CHESSIN 600WP (Bột trắng ngà) - 25gr - 200")</f>
        <v>GC - IV - 3340 - CTY HÓA NÔNG SHINO - CHESSIN 600WP (Bột trắng ngà) - 25gr - 200</v>
      </c>
    </row>
    <row r="4164">
      <c r="A4164" s="86">
        <f>IFERROR(__xludf.DUMMYFUNCTION("""COMPUTED_VALUE"""),4162.0)</f>
        <v>4162</v>
      </c>
      <c r="B4164" s="87" t="str">
        <f>IFERROR(__xludf.DUMMYFUNCTION("""COMPUTED_VALUE"""),"Nhãn")</f>
        <v>Nhãn</v>
      </c>
      <c r="C4164" s="87" t="str">
        <f>IFERROR(__xludf.DUMMYFUNCTION("""COMPUTED_VALUE"""),"NHG3342")</f>
        <v>NHG3342</v>
      </c>
      <c r="D4164" s="87" t="str">
        <f>IFERROR(__xludf.DUMMYFUNCTION("""COMPUTED_VALUE"""),"[Nhãn] GC - IV - 3342 - Cty VNT Mekong - Trâu Đỏ (nước đỏ) - 900ml - 20")</f>
        <v>[Nhãn] GC - IV - 3342 - Cty VNT Mekong - Trâu Đỏ (nước đỏ) - 900ml - 20</v>
      </c>
      <c r="E4164" s="87" t="str">
        <f>IFERROR(__xludf.DUMMYFUNCTION("""COMPUTED_VALUE"""),"Asupergras 200SL")</f>
        <v>Asupergras 200SL</v>
      </c>
      <c r="F4164" s="87" t="str">
        <f>IFERROR(__xludf.DUMMYFUNCTION("""COMPUTED_VALUE"""),"HH3342")</f>
        <v>HH3342</v>
      </c>
      <c r="G4164" s="87" t="str">
        <f>IFERROR(__xludf.DUMMYFUNCTION("""COMPUTED_VALUE"""),"GC - IV - 3342 - Cty VNT Mekong - Trâu Đỏ (nước đỏ) - 900ml - 20")</f>
        <v>GC - IV - 3342 - Cty VNT Mekong - Trâu Đỏ (nước đỏ) - 900ml - 20</v>
      </c>
    </row>
    <row r="4165">
      <c r="A4165" s="86">
        <f>IFERROR(__xludf.DUMMYFUNCTION("""COMPUTED_VALUE"""),4163.0)</f>
        <v>4163</v>
      </c>
      <c r="B4165" s="87" t="str">
        <f>IFERROR(__xludf.DUMMYFUNCTION("""COMPUTED_VALUE"""),"Nhãn")</f>
        <v>Nhãn</v>
      </c>
      <c r="C4165" s="87" t="str">
        <f>IFERROR(__xludf.DUMMYFUNCTION("""COMPUTED_VALUE"""),"NHG3344")</f>
        <v>NHG3344</v>
      </c>
      <c r="D4165" s="87" t="str">
        <f>IFERROR(__xludf.DUMMYFUNCTION("""COMPUTED_VALUE"""),"[Nhãn] GC - IV - 3344 - FUTURE FARM - DRAGON (Nước đỏ) - 450ml - 40")</f>
        <v>[Nhãn] GC - IV - 3344 - FUTURE FARM - DRAGON (Nước đỏ) - 450ml - 40</v>
      </c>
      <c r="E4165" s="87" t="str">
        <f>IFERROR(__xludf.DUMMYFUNCTION("""COMPUTED_VALUE"""),"PYXOATE 44EC")</f>
        <v>PYXOATE 44EC</v>
      </c>
      <c r="F4165" s="87" t="str">
        <f>IFERROR(__xludf.DUMMYFUNCTION("""COMPUTED_VALUE"""),"HH3344")</f>
        <v>HH3344</v>
      </c>
      <c r="G4165" s="87" t="str">
        <f>IFERROR(__xludf.DUMMYFUNCTION("""COMPUTED_VALUE"""),"GC - IV - 3344 - FUTURE FARM - DRAGON (Nước đỏ) - 450ml - 40")</f>
        <v>GC - IV - 3344 - FUTURE FARM - DRAGON (Nước đỏ) - 450ml - 40</v>
      </c>
    </row>
    <row r="4166">
      <c r="A4166" s="86">
        <f>IFERROR(__xludf.DUMMYFUNCTION("""COMPUTED_VALUE"""),4164.0)</f>
        <v>4164</v>
      </c>
      <c r="B4166" s="87" t="str">
        <f>IFERROR(__xludf.DUMMYFUNCTION("""COMPUTED_VALUE"""),"Nhãn")</f>
        <v>Nhãn</v>
      </c>
      <c r="C4166" s="87" t="str">
        <f>IFERROR(__xludf.DUMMYFUNCTION("""COMPUTED_VALUE"""),"NTN3345")</f>
        <v>NTN3345</v>
      </c>
      <c r="D4166" s="87" t="str">
        <f>IFERROR(__xludf.DUMMYFUNCTION("""COMPUTED_VALUE"""),"[Nhãn] GC - IV - 3345 - CTY NÔNG DƯỢC VIỆT AN - RIDOXYL (Bột xanh) - 100gr - 100")</f>
        <v>[Nhãn] GC - IV - 3345 - CTY NÔNG DƯỢC VIỆT AN - RIDOXYL (Bột xanh) - 100gr - 100</v>
      </c>
      <c r="E4166" s="87" t="str">
        <f>IFERROR(__xludf.DUMMYFUNCTION("""COMPUTED_VALUE"""),"FORTAZEB 72WP")</f>
        <v>FORTAZEB 72WP</v>
      </c>
      <c r="F4166" s="87" t="str">
        <f>IFERROR(__xludf.DUMMYFUNCTION("""COMPUTED_VALUE"""),"HH3345")</f>
        <v>HH3345</v>
      </c>
      <c r="G4166" s="87" t="str">
        <f>IFERROR(__xludf.DUMMYFUNCTION("""COMPUTED_VALUE"""),"GC - IV - 3345 - CTY NÔNG DƯỢC VIỆT AN - RIDOXYL (Bột xanh) - 100gr - 100")</f>
        <v>GC - IV - 3345 - CTY NÔNG DƯỢC VIỆT AN - RIDOXYL (Bột xanh) - 100gr - 100</v>
      </c>
    </row>
    <row r="4167">
      <c r="A4167" s="86">
        <f>IFERROR(__xludf.DUMMYFUNCTION("""COMPUTED_VALUE"""),4165.0)</f>
        <v>4165</v>
      </c>
      <c r="B4167" s="87" t="str">
        <f>IFERROR(__xludf.DUMMYFUNCTION("""COMPUTED_VALUE"""),"Nhãn thùng")</f>
        <v>Nhãn thùng</v>
      </c>
      <c r="C4167" s="87" t="str">
        <f>IFERROR(__xludf.DUMMYFUNCTION("""COMPUTED_VALUE"""),"NDT3345")</f>
        <v>NDT3345</v>
      </c>
      <c r="D4167" s="87" t="str">
        <f>IFERROR(__xludf.DUMMYFUNCTION("""COMPUTED_VALUE"""),"[Nhãn thùng] GC - IV - 3345 - CTY NÔNG DƯỢC VIỆT AN - RIDOXYL (Bột xanh) - 100gr - 100")</f>
        <v>[Nhãn thùng] GC - IV - 3345 - CTY NÔNG DƯỢC VIỆT AN - RIDOXYL (Bột xanh) - 100gr - 100</v>
      </c>
      <c r="E4167" s="87" t="str">
        <f>IFERROR(__xludf.DUMMYFUNCTION("""COMPUTED_VALUE"""),"FORTAZEB 72WP")</f>
        <v>FORTAZEB 72WP</v>
      </c>
      <c r="F4167" s="87" t="str">
        <f>IFERROR(__xludf.DUMMYFUNCTION("""COMPUTED_VALUE"""),"HH3345")</f>
        <v>HH3345</v>
      </c>
      <c r="G4167" s="87" t="str">
        <f>IFERROR(__xludf.DUMMYFUNCTION("""COMPUTED_VALUE"""),"GC - IV - 3345 - CTY NÔNG DƯỢC VIỆT AN - RIDOXYL (Bột xanh) - 100gr - 100")</f>
        <v>GC - IV - 3345 - CTY NÔNG DƯỢC VIỆT AN - RIDOXYL (Bột xanh) - 100gr - 100</v>
      </c>
    </row>
    <row r="4168">
      <c r="A4168" s="86">
        <f>IFERROR(__xludf.DUMMYFUNCTION("""COMPUTED_VALUE"""),4166.0)</f>
        <v>4166</v>
      </c>
      <c r="B4168" s="87" t="str">
        <f>IFERROR(__xludf.DUMMYFUNCTION("""COMPUTED_VALUE"""),"Nhãn")</f>
        <v>Nhãn</v>
      </c>
      <c r="C4168" s="87" t="str">
        <f>IFERROR(__xludf.DUMMYFUNCTION("""COMPUTED_VALUE"""),"NHG3346")</f>
        <v>NHG3346</v>
      </c>
      <c r="D4168" s="87" t="str">
        <f>IFERROR(__xludf.DUMMYFUNCTION("""COMPUTED_VALUE"""),"[Nhãn] DR.XANH - VIII - 3346 - DR.CALBOR (Nước trắng ngà) - 500ml - 40")</f>
        <v>[Nhãn] DR.XANH - VIII - 3346 - DR.CALBOR (Nước trắng ngà) - 500ml - 40</v>
      </c>
      <c r="E4168" s="87" t="str">
        <f>IFERROR(__xludf.DUMMYFUNCTION("""COMPUTED_VALUE"""),"Vi lượng AGAMA-CANXI BO")</f>
        <v>Vi lượng AGAMA-CANXI BO</v>
      </c>
      <c r="F4168" s="87" t="str">
        <f>IFERROR(__xludf.DUMMYFUNCTION("""COMPUTED_VALUE"""),"HH3346")</f>
        <v>HH3346</v>
      </c>
      <c r="G4168" s="87" t="str">
        <f>IFERROR(__xludf.DUMMYFUNCTION("""COMPUTED_VALUE"""),"DR.XANH - VIII - 3346 - DR.CALBOR (Nước trắng ngà) - 500ml - 40")</f>
        <v>DR.XANH - VIII - 3346 - DR.CALBOR (Nước trắng ngà) - 500ml - 40</v>
      </c>
    </row>
    <row r="4169">
      <c r="A4169" s="86">
        <f>IFERROR(__xludf.DUMMYFUNCTION("""COMPUTED_VALUE"""),4167.0)</f>
        <v>4167</v>
      </c>
      <c r="B4169" s="87" t="str">
        <f>IFERROR(__xludf.DUMMYFUNCTION("""COMPUTED_VALUE"""),"[Nhãn]")</f>
        <v>[Nhãn]</v>
      </c>
      <c r="C4169" s="87" t="str">
        <f>IFERROR(__xludf.DUMMYFUNCTION("""COMPUTED_VALUE"""),"NHG3348")</f>
        <v>NHG3348</v>
      </c>
      <c r="D4169" s="87" t="str">
        <f>IFERROR(__xludf.DUMMYFUNCTION("""COMPUTED_VALUE"""),"[Nhãn] BAMBOO - VI - 3348 - BAMBOO PK - MASTER (Nước trắng trong) - 500ml - 40")</f>
        <v>[Nhãn] BAMBOO - VI - 3348 - BAMBOO PK - MASTER (Nước trắng trong) - 500ml - 40</v>
      </c>
      <c r="E4169" s="87" t="str">
        <f>IFERROR(__xludf.DUMMYFUNCTION("""COMPUTED_VALUE"""),"Hỗn hợp PK AGAMA - OMKP")</f>
        <v>Hỗn hợp PK AGAMA - OMKP</v>
      </c>
      <c r="F4169" s="87" t="str">
        <f>IFERROR(__xludf.DUMMYFUNCTION("""COMPUTED_VALUE"""),"HH3348")</f>
        <v>HH3348</v>
      </c>
      <c r="G4169" s="87" t="str">
        <f>IFERROR(__xludf.DUMMYFUNCTION("""COMPUTED_VALUE"""),"BAMBOO - VI - 3348 - BAMBOO PK - MASTER (Nước trắng trong) - 500ml - 40")</f>
        <v>BAMBOO - VI - 3348 - BAMBOO PK - MASTER (Nước trắng trong) - 500ml - 40</v>
      </c>
    </row>
    <row r="4170">
      <c r="A4170" s="86">
        <f>IFERROR(__xludf.DUMMYFUNCTION("""COMPUTED_VALUE"""),4168.0)</f>
        <v>4168</v>
      </c>
      <c r="B4170" s="87" t="str">
        <f>IFERROR(__xludf.DUMMYFUNCTION("""COMPUTED_VALUE"""),"[Nhãn]")</f>
        <v>[Nhãn]</v>
      </c>
      <c r="C4170" s="87" t="str">
        <f>IFERROR(__xludf.DUMMYFUNCTION("""COMPUTED_VALUE"""),"NHG3349")</f>
        <v>NHG3349</v>
      </c>
      <c r="D4170" s="87" t="str">
        <f>IFERROR(__xludf.DUMMYFUNCTION("""COMPUTED_VALUE"""),"[Nhãn] BAMBOO - VI - 3349 - BAMBOO PHOSKA (Nước xanh dương nhạt) - 500ml - 40")</f>
        <v>[Nhãn] BAMBOO - VI - 3349 - BAMBOO PHOSKA (Nước xanh dương nhạt) - 500ml - 40</v>
      </c>
      <c r="E4170" s="87" t="str">
        <f>IFERROR(__xludf.DUMMYFUNCTION("""COMPUTED_VALUE"""),"Hỗn hợp PK AGAMA - PHOS")</f>
        <v>Hỗn hợp PK AGAMA - PHOS</v>
      </c>
      <c r="F4170" s="87" t="str">
        <f>IFERROR(__xludf.DUMMYFUNCTION("""COMPUTED_VALUE"""),"HH3349")</f>
        <v>HH3349</v>
      </c>
      <c r="G4170" s="87" t="str">
        <f>IFERROR(__xludf.DUMMYFUNCTION("""COMPUTED_VALUE"""),"BAMBOO - VI - 3349 - BAMBOO PHOSKA (Nước xanh dương nhạt) - 500ml - 40")</f>
        <v>BAMBOO - VI - 3349 - BAMBOO PHOSKA (Nước xanh dương nhạt) - 500ml - 40</v>
      </c>
    </row>
    <row r="4171">
      <c r="A4171" s="86">
        <f>IFERROR(__xludf.DUMMYFUNCTION("""COMPUTED_VALUE"""),4169.0)</f>
        <v>4169</v>
      </c>
      <c r="B4171" s="87" t="str">
        <f>IFERROR(__xludf.DUMMYFUNCTION("""COMPUTED_VALUE"""),"Nhãn thùng")</f>
        <v>Nhãn thùng</v>
      </c>
      <c r="C4171" s="87" t="str">
        <f>IFERROR(__xludf.DUMMYFUNCTION("""COMPUTED_VALUE"""),"NDT3352")</f>
        <v>NDT3352</v>
      </c>
      <c r="D4171" s="87" t="str">
        <f>IFERROR(__xludf.DUMMYFUNCTION("""COMPUTED_VALUE"""),"[Nhãn thùng] GC - IV - 3352 - Agritech - Diệt nhện số 1 (Nước xanh lá) - 450ml - 40")</f>
        <v>[Nhãn thùng] GC - IV - 3352 - Agritech - Diệt nhện số 1 (Nước xanh lá) - 450ml - 40</v>
      </c>
      <c r="E4171" s="87" t="str">
        <f>IFERROR(__xludf.DUMMYFUNCTION("""COMPUTED_VALUE"""),"Chitin 3.6EC")</f>
        <v>Chitin 3.6EC</v>
      </c>
      <c r="F4171" s="87" t="str">
        <f>IFERROR(__xludf.DUMMYFUNCTION("""COMPUTED_VALUE"""),"HH3352")</f>
        <v>HH3352</v>
      </c>
      <c r="G4171" s="87" t="str">
        <f>IFERROR(__xludf.DUMMYFUNCTION("""COMPUTED_VALUE"""),"GC - IV - 3352 - Agritech - Diệt nhện số 1 (Nước xanh lá) - 450ml - 40")</f>
        <v>GC - IV - 3352 - Agritech - Diệt nhện số 1 (Nước xanh lá) - 450ml - 40</v>
      </c>
    </row>
    <row r="4172">
      <c r="A4172" s="86">
        <f>IFERROR(__xludf.DUMMYFUNCTION("""COMPUTED_VALUE"""),4170.0)</f>
        <v>4170</v>
      </c>
      <c r="B4172" s="87" t="str">
        <f>IFERROR(__xludf.DUMMYFUNCTION("""COMPUTED_VALUE"""),"[Nhãn]")</f>
        <v>[Nhãn]</v>
      </c>
      <c r="C4172" s="87" t="str">
        <f>IFERROR(__xludf.DUMMYFUNCTION("""COMPUTED_VALUE"""),"NHD3352")</f>
        <v>NHD3352</v>
      </c>
      <c r="D4172" s="87" t="str">
        <f>IFERROR(__xludf.DUMMYFUNCTION("""COMPUTED_VALUE"""),"[Nhãn] GC - IV - 3352 - Agritech - Diệt nhện số 1 (Nước xanh lá) - 450ml - 40")</f>
        <v>[Nhãn] GC - IV - 3352 - Agritech - Diệt nhện số 1 (Nước xanh lá) - 450ml - 40</v>
      </c>
      <c r="E4172" s="87" t="str">
        <f>IFERROR(__xludf.DUMMYFUNCTION("""COMPUTED_VALUE"""),"Chitin 3.6EC")</f>
        <v>Chitin 3.6EC</v>
      </c>
      <c r="F4172" s="87" t="str">
        <f>IFERROR(__xludf.DUMMYFUNCTION("""COMPUTED_VALUE"""),"HH3352")</f>
        <v>HH3352</v>
      </c>
      <c r="G4172" s="87" t="str">
        <f>IFERROR(__xludf.DUMMYFUNCTION("""COMPUTED_VALUE"""),"GC - IV - 3352 - Agritech - Diệt nhện số 1 (Nước xanh lá) - 450ml - 40")</f>
        <v>GC - IV - 3352 - Agritech - Diệt nhện số 1 (Nước xanh lá) - 450ml - 40</v>
      </c>
    </row>
    <row r="4173">
      <c r="A4173" s="86">
        <f>IFERROR(__xludf.DUMMYFUNCTION("""COMPUTED_VALUE"""),4171.0)</f>
        <v>4171</v>
      </c>
      <c r="B4173" s="87" t="str">
        <f>IFERROR(__xludf.DUMMYFUNCTION("""COMPUTED_VALUE"""),"[Nhãn]")</f>
        <v>[Nhãn]</v>
      </c>
      <c r="C4173" s="87" t="str">
        <f>IFERROR(__xludf.DUMMYFUNCTION("""COMPUTED_VALUE"""),"NHG3353")</f>
        <v>NHG3353</v>
      </c>
      <c r="D4173" s="87" t="str">
        <f>IFERROR(__xludf.DUMMYFUNCTION("""COMPUTED_VALUE"""),"[Nhãn] GC - IV - 3353 - Cty Agritech (Anh Trương) - MITE KILLER (nước đỏ) - 240ml - 40")</f>
        <v>[Nhãn] GC - IV - 3353 - Cty Agritech (Anh Trương) - MITE KILLER (nước đỏ) - 240ml - 40</v>
      </c>
      <c r="E4173" s="87" t="str">
        <f>IFERROR(__xludf.DUMMYFUNCTION("""COMPUTED_VALUE"""),"CHIM ƯNG 3.8EC")</f>
        <v>CHIM ƯNG 3.8EC</v>
      </c>
      <c r="F4173" s="87" t="str">
        <f>IFERROR(__xludf.DUMMYFUNCTION("""COMPUTED_VALUE"""),"HH3353")</f>
        <v>HH3353</v>
      </c>
      <c r="G4173" s="87" t="str">
        <f>IFERROR(__xludf.DUMMYFUNCTION("""COMPUTED_VALUE"""),"GC - IV - 3353 - Cty Agritech (Anh Trương) - MITE KILLER (nước đỏ) - 240ml - 40")</f>
        <v>GC - IV - 3353 - Cty Agritech (Anh Trương) - MITE KILLER (nước đỏ) - 240ml - 40</v>
      </c>
    </row>
    <row r="4174">
      <c r="A4174" s="86">
        <f>IFERROR(__xludf.DUMMYFUNCTION("""COMPUTED_VALUE"""),4172.0)</f>
        <v>4172</v>
      </c>
      <c r="B4174" s="87" t="str">
        <f>IFERROR(__xludf.DUMMYFUNCTION("""COMPUTED_VALUE"""),"[Nhãn]")</f>
        <v>[Nhãn]</v>
      </c>
      <c r="C4174" s="87" t="str">
        <f>IFERROR(__xludf.DUMMYFUNCTION("""COMPUTED_VALUE"""),"NTN3354")</f>
        <v>NTN3354</v>
      </c>
      <c r="D4174" s="87" t="str">
        <f>IFERROR(__xludf.DUMMYFUNCTION("""COMPUTED_VALUE"""),"[Nhãn] GC - IV - 3354 - CTY NHC - VÀNG LÁ (Bột xanh) - 1kg - 20")</f>
        <v>[Nhãn] GC - IV - 3354 - CTY NHC - VÀNG LÁ (Bột xanh) - 1kg - 20</v>
      </c>
      <c r="E4174" s="87" t="str">
        <f>IFERROR(__xludf.DUMMYFUNCTION("""COMPUTED_VALUE"""),"FORTAZEB 72WP")</f>
        <v>FORTAZEB 72WP</v>
      </c>
      <c r="F4174" s="87" t="str">
        <f>IFERROR(__xludf.DUMMYFUNCTION("""COMPUTED_VALUE"""),"HH3354")</f>
        <v>HH3354</v>
      </c>
      <c r="G4174" s="87" t="str">
        <f>IFERROR(__xludf.DUMMYFUNCTION("""COMPUTED_VALUE"""),"GC - IV - 3354 - CTY NHC - VÀNG LÁ (Bột xanh) - 1kg - 20")</f>
        <v>GC - IV - 3354 - CTY NHC - VÀNG LÁ (Bột xanh) - 1kg - 20</v>
      </c>
    </row>
    <row r="4175">
      <c r="A4175" s="86">
        <f>IFERROR(__xludf.DUMMYFUNCTION("""COMPUTED_VALUE"""),4173.0)</f>
        <v>4173</v>
      </c>
      <c r="B4175" s="87" t="str">
        <f>IFERROR(__xludf.DUMMYFUNCTION("""COMPUTED_VALUE"""),"[Nhãn thùng]")</f>
        <v>[Nhãn thùng]</v>
      </c>
      <c r="C4175" s="87" t="str">
        <f>IFERROR(__xludf.DUMMYFUNCTION("""COMPUTED_VALUE"""),"NDT3354")</f>
        <v>NDT3354</v>
      </c>
      <c r="D4175" s="87" t="str">
        <f>IFERROR(__xludf.DUMMYFUNCTION("""COMPUTED_VALUE"""),"[Nhãn thùng] GC - IV - 3354 - CTY NHC - VÀNG LÁ (Bột xanh) - 1kg - 20")</f>
        <v>[Nhãn thùng] GC - IV - 3354 - CTY NHC - VÀNG LÁ (Bột xanh) - 1kg - 20</v>
      </c>
      <c r="E4175" s="87" t="str">
        <f>IFERROR(__xludf.DUMMYFUNCTION("""COMPUTED_VALUE"""),"FORTAZEB 72WP")</f>
        <v>FORTAZEB 72WP</v>
      </c>
      <c r="F4175" s="87" t="str">
        <f>IFERROR(__xludf.DUMMYFUNCTION("""COMPUTED_VALUE"""),"HH3354")</f>
        <v>HH3354</v>
      </c>
      <c r="G4175" s="87" t="str">
        <f>IFERROR(__xludf.DUMMYFUNCTION("""COMPUTED_VALUE"""),"GC - IV - 3354 - CTY NHC - VÀNG LÁ (Bột xanh) - 1kg - 20")</f>
        <v>GC - IV - 3354 - CTY NHC - VÀNG LÁ (Bột xanh) - 1kg - 20</v>
      </c>
    </row>
    <row r="4176">
      <c r="A4176" s="86">
        <f>IFERROR(__xludf.DUMMYFUNCTION("""COMPUTED_VALUE"""),4174.0)</f>
        <v>4174</v>
      </c>
      <c r="B4176" s="87" t="str">
        <f>IFERROR(__xludf.DUMMYFUNCTION("""COMPUTED_VALUE"""),"Nhãn")</f>
        <v>Nhãn</v>
      </c>
      <c r="C4176" s="87" t="str">
        <f>IFERROR(__xludf.DUMMYFUNCTION("""COMPUTED_VALUE"""),"NHG3355")</f>
        <v>NHG3355</v>
      </c>
      <c r="D4176" s="87" t="str">
        <f>IFERROR(__xludf.DUMMYFUNCTION("""COMPUTED_VALUE"""),"[Nhãn] GC - IV - 3355 - NEWTECH CROP SCIENCE - CITTIZEN 333SC MỚI (Nước cam sữa) - 450ml - 40")</f>
        <v>[Nhãn] GC - IV - 3355 - NEWTECH CROP SCIENCE - CITTIZEN 333SC MỚI (Nước cam sữa) - 450ml - 40</v>
      </c>
      <c r="E4176" s="87" t="str">
        <f>IFERROR(__xludf.DUMMYFUNCTION("""COMPUTED_VALUE"""),"CITTIZEN 333SC")</f>
        <v>CITTIZEN 333SC</v>
      </c>
      <c r="F4176" s="87" t="str">
        <f>IFERROR(__xludf.DUMMYFUNCTION("""COMPUTED_VALUE"""),"HH3355")</f>
        <v>HH3355</v>
      </c>
      <c r="G4176" s="87" t="str">
        <f>IFERROR(__xludf.DUMMYFUNCTION("""COMPUTED_VALUE"""),"GC - IV - 3355 - NEWTECH CROP SCIENCE - CITTIZEN 333SC MỚI (Nước cam sữa) - 450ml - 40")</f>
        <v>GC - IV - 3355 - NEWTECH CROP SCIENCE - CITTIZEN 333SC MỚI (Nước cam sữa) - 450ml - 40</v>
      </c>
    </row>
    <row r="4177">
      <c r="A4177" s="86">
        <f>IFERROR(__xludf.DUMMYFUNCTION("""COMPUTED_VALUE"""),4175.0)</f>
        <v>4175</v>
      </c>
      <c r="B4177" s="87" t="str">
        <f>IFERROR(__xludf.DUMMYFUNCTION("""COMPUTED_VALUE"""),"[Nhãn thùng]")</f>
        <v>[Nhãn thùng]</v>
      </c>
      <c r="C4177" s="87" t="str">
        <f>IFERROR(__xludf.DUMMYFUNCTION("""COMPUTED_VALUE"""),"NDT3355")</f>
        <v>NDT3355</v>
      </c>
      <c r="D4177" s="87" t="str">
        <f>IFERROR(__xludf.DUMMYFUNCTION("""COMPUTED_VALUE"""),"[Nhãn thùng] GC - IV - 3355 - NEWTECH CROP SCIENCE - CITTIZEN 333SC MỚI (Nước cam sữa) - 450ml - 40")</f>
        <v>[Nhãn thùng] GC - IV - 3355 - NEWTECH CROP SCIENCE - CITTIZEN 333SC MỚI (Nước cam sữa) - 450ml - 40</v>
      </c>
      <c r="E4177" s="87" t="str">
        <f>IFERROR(__xludf.DUMMYFUNCTION("""COMPUTED_VALUE"""),"CITTIZEN 333SC")</f>
        <v>CITTIZEN 333SC</v>
      </c>
      <c r="F4177" s="87" t="str">
        <f>IFERROR(__xludf.DUMMYFUNCTION("""COMPUTED_VALUE"""),"HH3355")</f>
        <v>HH3355</v>
      </c>
      <c r="G4177" s="87" t="str">
        <f>IFERROR(__xludf.DUMMYFUNCTION("""COMPUTED_VALUE"""),"GC - IV - 3355 - NEWTECH CROP SCIENCE - CITTIZEN 333SC MỚI (Nước cam sữa) - 450ml - 40")</f>
        <v>GC - IV - 3355 - NEWTECH CROP SCIENCE - CITTIZEN 333SC MỚI (Nước cam sữa) - 450ml - 40</v>
      </c>
    </row>
    <row r="4178">
      <c r="A4178" s="86">
        <f>IFERROR(__xludf.DUMMYFUNCTION("""COMPUTED_VALUE"""),4176.0)</f>
        <v>4176</v>
      </c>
      <c r="B4178" s="87" t="str">
        <f>IFERROR(__xludf.DUMMYFUNCTION("""COMPUTED_VALUE"""),"[Nhãn thùng]")</f>
        <v>[Nhãn thùng]</v>
      </c>
      <c r="C4178" s="87" t="str">
        <f>IFERROR(__xludf.DUMMYFUNCTION("""COMPUTED_VALUE"""),"NDT3356")</f>
        <v>NDT3356</v>
      </c>
      <c r="D4178" s="87" t="str">
        <f>IFERROR(__xludf.DUMMYFUNCTION("""COMPUTED_VALUE"""),"[Nhãn thùng] GC - IV - 3356 - NEWTECH CROP SCIENCE - GENOL 1.2SL MỚI (Nước đỏ) - 450ml - 40")</f>
        <v>[Nhãn thùng] GC - IV - 3356 - NEWTECH CROP SCIENCE - GENOL 1.2SL MỚI (Nước đỏ) - 450ml - 40</v>
      </c>
      <c r="E4178" s="87" t="str">
        <f>IFERROR(__xludf.DUMMYFUNCTION("""COMPUTED_VALUE"""),"GENOL 1.2SL")</f>
        <v>GENOL 1.2SL</v>
      </c>
      <c r="F4178" s="87" t="str">
        <f>IFERROR(__xludf.DUMMYFUNCTION("""COMPUTED_VALUE"""),"HH3356")</f>
        <v>HH3356</v>
      </c>
      <c r="G4178" s="87" t="str">
        <f>IFERROR(__xludf.DUMMYFUNCTION("""COMPUTED_VALUE"""),"GC - IV - 3356 - NEWTECH CROP SCIENCE - GENOL 1.2SL MỚI (Nước đỏ) - 450ml - 40")</f>
        <v>GC - IV - 3356 - NEWTECH CROP SCIENCE - GENOL 1.2SL MỚI (Nước đỏ) - 450ml - 40</v>
      </c>
    </row>
    <row r="4179">
      <c r="A4179" s="86">
        <f>IFERROR(__xludf.DUMMYFUNCTION("""COMPUTED_VALUE"""),4177.0)</f>
        <v>4177</v>
      </c>
      <c r="B4179" s="87" t="str">
        <f>IFERROR(__xludf.DUMMYFUNCTION("""COMPUTED_VALUE"""),"[Nhãn]")</f>
        <v>[Nhãn]</v>
      </c>
      <c r="C4179" s="87" t="str">
        <f>IFERROR(__xludf.DUMMYFUNCTION("""COMPUTED_VALUE"""),"NHG3356")</f>
        <v>NHG3356</v>
      </c>
      <c r="D4179" s="87" t="str">
        <f>IFERROR(__xludf.DUMMYFUNCTION("""COMPUTED_VALUE"""),"[Nhãn] GC - IV - 3356 - NEWTECH CROP SCIENCE - GENOL 1.2SL MỚI (Nước đỏ) - 450ml - 40")</f>
        <v>[Nhãn] GC - IV - 3356 - NEWTECH CROP SCIENCE - GENOL 1.2SL MỚI (Nước đỏ) - 450ml - 40</v>
      </c>
      <c r="E4179" s="87" t="str">
        <f>IFERROR(__xludf.DUMMYFUNCTION("""COMPUTED_VALUE"""),"GENOL 1.2SL")</f>
        <v>GENOL 1.2SL</v>
      </c>
      <c r="F4179" s="87" t="str">
        <f>IFERROR(__xludf.DUMMYFUNCTION("""COMPUTED_VALUE"""),"HH3356")</f>
        <v>HH3356</v>
      </c>
      <c r="G4179" s="87" t="str">
        <f>IFERROR(__xludf.DUMMYFUNCTION("""COMPUTED_VALUE"""),"GC - IV - 3356 - NEWTECH CROP SCIENCE - GENOL 1.2SL MỚI (Nước đỏ) - 450ml - 40")</f>
        <v>GC - IV - 3356 - NEWTECH CROP SCIENCE - GENOL 1.2SL MỚI (Nước đỏ) - 450ml - 40</v>
      </c>
    </row>
    <row r="4180">
      <c r="A4180" s="86">
        <f>IFERROR(__xludf.DUMMYFUNCTION("""COMPUTED_VALUE"""),4178.0)</f>
        <v>4178</v>
      </c>
      <c r="B4180" s="87" t="str">
        <f>IFERROR(__xludf.DUMMYFUNCTION("""COMPUTED_VALUE"""),"Nhãn")</f>
        <v>Nhãn</v>
      </c>
      <c r="C4180" s="87" t="str">
        <f>IFERROR(__xludf.DUMMYFUNCTION("""COMPUTED_VALUE"""),"NHG3357")</f>
        <v>NHG3357</v>
      </c>
      <c r="D4180" s="87" t="str">
        <f>IFERROR(__xludf.DUMMYFUNCTION("""COMPUTED_VALUE"""),"[Nhãn] NB - V - 3357 - NÔNG DƯỢC THUỴ SĨ - SIÊU VIN - 1L - 20")</f>
        <v>[Nhãn] NB - V - 3357 - NÔNG DƯỢC THUỴ SĨ - SIÊU VIN - 1L - 20</v>
      </c>
      <c r="E4180" s="87" t="str">
        <f>IFERROR(__xludf.DUMMYFUNCTION("""COMPUTED_VALUE"""),"Mekongvil 5SC")</f>
        <v>Mekongvil 5SC</v>
      </c>
      <c r="F4180" s="87" t="str">
        <f>IFERROR(__xludf.DUMMYFUNCTION("""COMPUTED_VALUE"""),"HH3357")</f>
        <v>HH3357</v>
      </c>
      <c r="G4180" s="87" t="str">
        <f>IFERROR(__xludf.DUMMYFUNCTION("""COMPUTED_VALUE"""),"NB - V - 3357 - NÔNG DƯỢC THUỴ SĨ - SIÊU VIN - 1L - 20")</f>
        <v>NB - V - 3357 - NÔNG DƯỢC THUỴ SĨ - SIÊU VIN - 1L - 20</v>
      </c>
    </row>
    <row r="4181">
      <c r="A4181" s="86">
        <f>IFERROR(__xludf.DUMMYFUNCTION("""COMPUTED_VALUE"""),4179.0)</f>
        <v>4179</v>
      </c>
      <c r="B4181" s="87" t="str">
        <f>IFERROR(__xludf.DUMMYFUNCTION("""COMPUTED_VALUE"""),"Nhãn")</f>
        <v>Nhãn</v>
      </c>
      <c r="C4181" s="87" t="str">
        <f>IFERROR(__xludf.DUMMYFUNCTION("""COMPUTED_VALUE"""),"NHG3358")</f>
        <v>NHG3358</v>
      </c>
      <c r="D4181" s="87" t="str">
        <f>IFERROR(__xludf.DUMMYFUNCTION("""COMPUTED_VALUE"""),"[Nhãn] IDA Global - I - 3358 - CTY HẠT LÚA VÀNG - ZOLE PRO 333 (Nước cam sữa) - 350ml - 40")</f>
        <v>[Nhãn] IDA Global - I - 3358 - CTY HẠT LÚA VÀNG - ZOLE PRO 333 (Nước cam sữa) - 350ml - 40</v>
      </c>
      <c r="E4181" s="87" t="str">
        <f>IFERROR(__xludf.DUMMYFUNCTION("""COMPUTED_VALUE"""),"CITTIZEN 333SC")</f>
        <v>CITTIZEN 333SC</v>
      </c>
      <c r="F4181" s="87" t="str">
        <f>IFERROR(__xludf.DUMMYFUNCTION("""COMPUTED_VALUE"""),"HH3358")</f>
        <v>HH3358</v>
      </c>
      <c r="G4181" s="87" t="str">
        <f>IFERROR(__xludf.DUMMYFUNCTION("""COMPUTED_VALUE"""),"IDA Global - I - 3358 - CTY HẠT LÚA VÀNG - ZOLE PRO 333 (Nước cam sữa) - 350ml - 40")</f>
        <v>IDA Global - I - 3358 - CTY HẠT LÚA VÀNG - ZOLE PRO 333 (Nước cam sữa) - 350ml - 40</v>
      </c>
    </row>
    <row r="4182">
      <c r="A4182" s="86">
        <f>IFERROR(__xludf.DUMMYFUNCTION("""COMPUTED_VALUE"""),4180.0)</f>
        <v>4180</v>
      </c>
      <c r="B4182" s="87" t="str">
        <f>IFERROR(__xludf.DUMMYFUNCTION("""COMPUTED_VALUE"""),"Nhãn")</f>
        <v>Nhãn</v>
      </c>
      <c r="C4182" s="87" t="str">
        <f>IFERROR(__xludf.DUMMYFUNCTION("""COMPUTED_VALUE"""),"NHG3359")</f>
        <v>NHG3359</v>
      </c>
      <c r="D4182" s="87" t="str">
        <f>IFERROR(__xludf.DUMMYFUNCTION("""COMPUTED_VALUE"""),"[Nhãn] IDA Global - I - 3359 - ĐL NGỌC TỶ - TRICY DEL (Nước cam sữa) - 450ml - 40")</f>
        <v>[Nhãn] IDA Global - I - 3359 - ĐL NGỌC TỶ - TRICY DEL (Nước cam sữa) - 450ml - 40</v>
      </c>
      <c r="E4182" s="87" t="str">
        <f>IFERROR(__xludf.DUMMYFUNCTION("""COMPUTED_VALUE"""),"CITTIZEN 333SC")</f>
        <v>CITTIZEN 333SC</v>
      </c>
      <c r="F4182" s="87" t="str">
        <f>IFERROR(__xludf.DUMMYFUNCTION("""COMPUTED_VALUE"""),"HH3359")</f>
        <v>HH3359</v>
      </c>
      <c r="G4182" s="87" t="str">
        <f>IFERROR(__xludf.DUMMYFUNCTION("""COMPUTED_VALUE"""),"IDA Global - I - 3359 - ĐL NGỌC TỶ - TRICY DEL (Nước cam sữa) - 450ml - 40")</f>
        <v>IDA Global - I - 3359 - ĐL NGỌC TỶ - TRICY DEL (Nước cam sữa) - 450ml - 40</v>
      </c>
    </row>
    <row r="4183">
      <c r="A4183" s="86">
        <f>IFERROR(__xludf.DUMMYFUNCTION("""COMPUTED_VALUE"""),4181.0)</f>
        <v>4181</v>
      </c>
      <c r="B4183" s="87" t="str">
        <f>IFERROR(__xludf.DUMMYFUNCTION("""COMPUTED_VALUE"""),"[Nhãn]")</f>
        <v>[Nhãn]</v>
      </c>
      <c r="C4183" s="87" t="str">
        <f>IFERROR(__xludf.DUMMYFUNCTION("""COMPUTED_VALUE"""),"NHG3360")</f>
        <v>NHG3360</v>
      </c>
      <c r="D4183" s="87" t="str">
        <f>IFERROR(__xludf.DUMMYFUNCTION("""COMPUTED_VALUE"""),"[Nhãn] GC - IV - 3360 - Cty Biotech Hà Lan - SIÊU CHẶN ĐỌT (Nước trắng sữa) - 1L - 20")</f>
        <v>[Nhãn] GC - IV - 3360 - Cty Biotech Hà Lan - SIÊU CHẶN ĐỌT (Nước trắng sữa) - 1L - 20</v>
      </c>
      <c r="E4183" s="87" t="str">
        <f>IFERROR(__xludf.DUMMYFUNCTION("""COMPUTED_VALUE"""),"JAPA VIL 110SC")</f>
        <v>JAPA VIL 110SC</v>
      </c>
      <c r="F4183" s="87" t="str">
        <f>IFERROR(__xludf.DUMMYFUNCTION("""COMPUTED_VALUE"""),"HH3360")</f>
        <v>HH3360</v>
      </c>
      <c r="G4183" s="87" t="str">
        <f>IFERROR(__xludf.DUMMYFUNCTION("""COMPUTED_VALUE"""),"GC - IV - 3360 - Cty Biotech Hà Lan - SIÊU CHẶN ĐỌT (Nước trắng sữa) - 1L - 20")</f>
        <v>GC - IV - 3360 - Cty Biotech Hà Lan - SIÊU CHẶN ĐỌT (Nước trắng sữa) - 1L - 20</v>
      </c>
    </row>
    <row r="4184">
      <c r="A4184" s="86">
        <f>IFERROR(__xludf.DUMMYFUNCTION("""COMPUTED_VALUE"""),4182.0)</f>
        <v>4182</v>
      </c>
      <c r="B4184" s="87" t="str">
        <f>IFERROR(__xludf.DUMMYFUNCTION("""COMPUTED_VALUE"""),"[Nhãn]")</f>
        <v>[Nhãn]</v>
      </c>
      <c r="C4184" s="87" t="str">
        <f>IFERROR(__xludf.DUMMYFUNCTION("""COMPUTED_VALUE"""),"NTN3361")</f>
        <v>NTN3361</v>
      </c>
      <c r="D4184" s="87" t="str">
        <f>IFERROR(__xludf.DUMMYFUNCTION("""COMPUTED_VALUE"""),"[Nhãn] NB - V - 3361 - CTY NAUY - KASU NAUY (Bột màu trắng ngà) - 30gr - 300")</f>
        <v>[Nhãn] NB - V - 3361 - CTY NAUY - KASU NAUY (Bột màu trắng ngà) - 30gr - 300</v>
      </c>
      <c r="E4184" s="87" t="str">
        <f>IFERROR(__xludf.DUMMYFUNCTION("""COMPUTED_VALUE"""),"PROBICOL 200WP")</f>
        <v>PROBICOL 200WP</v>
      </c>
      <c r="F4184" s="87" t="str">
        <f>IFERROR(__xludf.DUMMYFUNCTION("""COMPUTED_VALUE"""),"HH3361")</f>
        <v>HH3361</v>
      </c>
      <c r="G4184" s="87" t="str">
        <f>IFERROR(__xludf.DUMMYFUNCTION("""COMPUTED_VALUE"""),"NB - V - 3361 - CTY NAUY - KASU NAUY (Bột màu trắng ngà) - 30gr - 300")</f>
        <v>NB - V - 3361 - CTY NAUY - KASU NAUY (Bột màu trắng ngà) - 30gr - 300</v>
      </c>
    </row>
    <row r="4185">
      <c r="A4185" s="86">
        <f>IFERROR(__xludf.DUMMYFUNCTION("""COMPUTED_VALUE"""),4183.0)</f>
        <v>4183</v>
      </c>
      <c r="B4185" s="87" t="str">
        <f>IFERROR(__xludf.DUMMYFUNCTION("""COMPUTED_VALUE"""),"[Nhãn thùng]")</f>
        <v>[Nhãn thùng]</v>
      </c>
      <c r="C4185" s="87" t="str">
        <f>IFERROR(__xludf.DUMMYFUNCTION("""COMPUTED_VALUE"""),"NDT3361")</f>
        <v>NDT3361</v>
      </c>
      <c r="D4185" s="87" t="str">
        <f>IFERROR(__xludf.DUMMYFUNCTION("""COMPUTED_VALUE"""),"[Nhãn thùng] NB - V - 3361 - CTY NAUY - KASU NAUY (Bột màu trắng ngà) - 30gr - 300")</f>
        <v>[Nhãn thùng] NB - V - 3361 - CTY NAUY - KASU NAUY (Bột màu trắng ngà) - 30gr - 300</v>
      </c>
      <c r="E4185" s="87" t="str">
        <f>IFERROR(__xludf.DUMMYFUNCTION("""COMPUTED_VALUE"""),"PROBICOL 200WP")</f>
        <v>PROBICOL 200WP</v>
      </c>
      <c r="F4185" s="87" t="str">
        <f>IFERROR(__xludf.DUMMYFUNCTION("""COMPUTED_VALUE"""),"HH3361")</f>
        <v>HH3361</v>
      </c>
      <c r="G4185" s="87" t="str">
        <f>IFERROR(__xludf.DUMMYFUNCTION("""COMPUTED_VALUE"""),"NB - V - 3361 - CTY NAUY - KASU NAUY (Bột màu trắng ngà) - 30gr - 300")</f>
        <v>NB - V - 3361 - CTY NAUY - KASU NAUY (Bột màu trắng ngà) - 30gr - 300</v>
      </c>
    </row>
    <row r="4186">
      <c r="A4186" s="86">
        <f>IFERROR(__xludf.DUMMYFUNCTION("""COMPUTED_VALUE"""),4184.0)</f>
        <v>4184</v>
      </c>
      <c r="B4186" s="87" t="str">
        <f>IFERROR(__xludf.DUMMYFUNCTION("""COMPUTED_VALUE"""),"[Nhãn]")</f>
        <v>[Nhãn]</v>
      </c>
      <c r="C4186" s="87" t="str">
        <f>IFERROR(__xludf.DUMMYFUNCTION("""COMPUTED_VALUE"""),"NTN3362")</f>
        <v>NTN3362</v>
      </c>
      <c r="D4186" s="87" t="str">
        <f>IFERROR(__xludf.DUMMYFUNCTION("""COMPUTED_VALUE"""),"[Nhãn] NB - V - 3362 - CTY NAUY - BIM NAUY (Bột cam) - 30gr - 300")</f>
        <v>[Nhãn] NB - V - 3362 - CTY NAUY - BIM NAUY (Bột cam) - 30gr - 300</v>
      </c>
      <c r="E4186" s="87" t="str">
        <f>IFERROR(__xludf.DUMMYFUNCTION("""COMPUTED_VALUE"""),"Pim.Pim 75WP")</f>
        <v>Pim.Pim 75WP</v>
      </c>
      <c r="F4186" s="87" t="str">
        <f>IFERROR(__xludf.DUMMYFUNCTION("""COMPUTED_VALUE"""),"HH3362")</f>
        <v>HH3362</v>
      </c>
      <c r="G4186" s="87" t="str">
        <f>IFERROR(__xludf.DUMMYFUNCTION("""COMPUTED_VALUE"""),"NB - V - 3362 - CTY NAUY - BIM NAUY (Bột cam) - 30gr - 300")</f>
        <v>NB - V - 3362 - CTY NAUY - BIM NAUY (Bột cam) - 30gr - 300</v>
      </c>
    </row>
    <row r="4187">
      <c r="A4187" s="86">
        <f>IFERROR(__xludf.DUMMYFUNCTION("""COMPUTED_VALUE"""),4185.0)</f>
        <v>4185</v>
      </c>
      <c r="B4187" s="87" t="str">
        <f>IFERROR(__xludf.DUMMYFUNCTION("""COMPUTED_VALUE"""),"[Nhãn]")</f>
        <v>[Nhãn]</v>
      </c>
      <c r="C4187" s="87" t="str">
        <f>IFERROR(__xludf.DUMMYFUNCTION("""COMPUTED_VALUE"""),"NTN3363")</f>
        <v>NTN3363</v>
      </c>
      <c r="D4187" s="87" t="str">
        <f>IFERROR(__xludf.DUMMYFUNCTION("""COMPUTED_VALUE"""),"[Nhãn] NB - V - 3363 - CTY NAUY - ANTACON (Bột vàng nhạt) - 1kg - 20")</f>
        <v>[Nhãn] NB - V - 3363 - CTY NAUY - ANTACON (Bột vàng nhạt) - 1kg - 20</v>
      </c>
      <c r="E4187" s="87" t="str">
        <f>IFERROR(__xludf.DUMMYFUNCTION("""COMPUTED_VALUE"""),"NOFACOL 70WP")</f>
        <v>NOFACOL 70WP</v>
      </c>
      <c r="F4187" s="87" t="str">
        <f>IFERROR(__xludf.DUMMYFUNCTION("""COMPUTED_VALUE"""),"HH3363")</f>
        <v>HH3363</v>
      </c>
      <c r="G4187" s="87" t="str">
        <f>IFERROR(__xludf.DUMMYFUNCTION("""COMPUTED_VALUE"""),"NB - V - 3363 - CTY NAUY - ANTACON (Bột vàng nhạt) - 1kg - 20")</f>
        <v>NB - V - 3363 - CTY NAUY - ANTACON (Bột vàng nhạt) - 1kg - 20</v>
      </c>
    </row>
    <row r="4188">
      <c r="A4188" s="86">
        <f>IFERROR(__xludf.DUMMYFUNCTION("""COMPUTED_VALUE"""),4186.0)</f>
        <v>4186</v>
      </c>
      <c r="B4188" s="87" t="str">
        <f>IFERROR(__xludf.DUMMYFUNCTION("""COMPUTED_VALUE"""),"[Nhãn thùng]")</f>
        <v>[Nhãn thùng]</v>
      </c>
      <c r="C4188" s="87" t="str">
        <f>IFERROR(__xludf.DUMMYFUNCTION("""COMPUTED_VALUE"""),"NDT3363")</f>
        <v>NDT3363</v>
      </c>
      <c r="D4188" s="87" t="str">
        <f>IFERROR(__xludf.DUMMYFUNCTION("""COMPUTED_VALUE"""),"[Nhãn thùng] NB - V - 3363 - CTY NAUY - ANTACON (Bột vàng nhạt) - 1kg - 20")</f>
        <v>[Nhãn thùng] NB - V - 3363 - CTY NAUY - ANTACON (Bột vàng nhạt) - 1kg - 20</v>
      </c>
      <c r="E4188" s="87" t="str">
        <f>IFERROR(__xludf.DUMMYFUNCTION("""COMPUTED_VALUE"""),"NOFACOL 70WP")</f>
        <v>NOFACOL 70WP</v>
      </c>
      <c r="F4188" s="87" t="str">
        <f>IFERROR(__xludf.DUMMYFUNCTION("""COMPUTED_VALUE"""),"HH3363")</f>
        <v>HH3363</v>
      </c>
      <c r="G4188" s="87" t="str">
        <f>IFERROR(__xludf.DUMMYFUNCTION("""COMPUTED_VALUE"""),"NB - V - 3363 - CTY NAUY - ANTACON (Bột vàng nhạt) - 1kg - 20")</f>
        <v>NB - V - 3363 - CTY NAUY - ANTACON (Bột vàng nhạt) - 1kg - 20</v>
      </c>
    </row>
    <row r="4189">
      <c r="A4189" s="86">
        <f>IFERROR(__xludf.DUMMYFUNCTION("""COMPUTED_VALUE"""),4187.0)</f>
        <v>4187</v>
      </c>
      <c r="B4189" s="87" t="str">
        <f>IFERROR(__xludf.DUMMYFUNCTION("""COMPUTED_VALUE"""),"[Nhãn]")</f>
        <v>[Nhãn]</v>
      </c>
      <c r="C4189" s="87" t="str">
        <f>IFERROR(__xludf.DUMMYFUNCTION("""COMPUTED_VALUE"""),"NHG3364")</f>
        <v>NHG3364</v>
      </c>
      <c r="D4189" s="87" t="str">
        <f>IFERROR(__xludf.DUMMYFUNCTION("""COMPUTED_VALUE"""),"[Nhãn] GC - IV - 3364 - Cty Thành Công Agri - KING-CIDE JAPAN 460SC - HERO MAX - 240ml - 40")</f>
        <v>[Nhãn] GC - IV - 3364 - Cty Thành Công Agri - KING-CIDE JAPAN 460SC - HERO MAX - 240ml - 40</v>
      </c>
      <c r="E4189" s="87" t="str">
        <f>IFERROR(__xludf.DUMMYFUNCTION("""COMPUTED_VALUE"""),"KING-CIDE JAPAN 460SC")</f>
        <v>KING-CIDE JAPAN 460SC</v>
      </c>
      <c r="F4189" s="87" t="str">
        <f>IFERROR(__xludf.DUMMYFUNCTION("""COMPUTED_VALUE"""),"HH3364")</f>
        <v>HH3364</v>
      </c>
      <c r="G4189" s="87" t="str">
        <f>IFERROR(__xludf.DUMMYFUNCTION("""COMPUTED_VALUE"""),"GC - IV - 3364 - Cty Thành Công Agri - KING-CIDE JAPAN 460SC - HERO MAX - 240ml - 40")</f>
        <v>GC - IV - 3364 - Cty Thành Công Agri - KING-CIDE JAPAN 460SC - HERO MAX - 240ml - 40</v>
      </c>
    </row>
    <row r="4190">
      <c r="A4190" s="86">
        <f>IFERROR(__xludf.DUMMYFUNCTION("""COMPUTED_VALUE"""),4188.0)</f>
        <v>4188</v>
      </c>
      <c r="B4190" s="87" t="str">
        <f>IFERROR(__xludf.DUMMYFUNCTION("""COMPUTED_VALUE"""),"[Nhãn]")</f>
        <v>[Nhãn]</v>
      </c>
      <c r="C4190" s="87" t="str">
        <f>IFERROR(__xludf.DUMMYFUNCTION("""COMPUTED_VALUE"""),"NTN3365")</f>
        <v>NTN3365</v>
      </c>
      <c r="D4190" s="87" t="str">
        <f>IFERROR(__xludf.DUMMYFUNCTION("""COMPUTED_VALUE"""),"[Nhãn] GC - IV - 3365 - CTY HÓA NÔNG SHINO - BIM ẤN (Bột cam) - 100gr - 100")</f>
        <v>[Nhãn] GC - IV - 3365 - CTY HÓA NÔNG SHINO - BIM ẤN (Bột cam) - 100gr - 100</v>
      </c>
      <c r="E4190" s="87" t="str">
        <f>IFERROR(__xludf.DUMMYFUNCTION("""COMPUTED_VALUE"""),"Pim.Pim 75WP")</f>
        <v>Pim.Pim 75WP</v>
      </c>
      <c r="F4190" s="87" t="str">
        <f>IFERROR(__xludf.DUMMYFUNCTION("""COMPUTED_VALUE"""),"HH3365")</f>
        <v>HH3365</v>
      </c>
      <c r="G4190" s="87" t="str">
        <f>IFERROR(__xludf.DUMMYFUNCTION("""COMPUTED_VALUE"""),"GC - IV - 3365 - CTY HÓA NÔNG SHINO - BIM ẤN (Bột cam) - 100gr - 100")</f>
        <v>GC - IV - 3365 - CTY HÓA NÔNG SHINO - BIM ẤN (Bột cam) - 100gr - 100</v>
      </c>
    </row>
    <row r="4191">
      <c r="A4191" s="86">
        <f>IFERROR(__xludf.DUMMYFUNCTION("""COMPUTED_VALUE"""),4189.0)</f>
        <v>4189</v>
      </c>
      <c r="B4191" s="87" t="str">
        <f>IFERROR(__xludf.DUMMYFUNCTION("""COMPUTED_VALUE"""),"[Nhãn thùng]")</f>
        <v>[Nhãn thùng]</v>
      </c>
      <c r="C4191" s="87" t="str">
        <f>IFERROR(__xludf.DUMMYFUNCTION("""COMPUTED_VALUE"""),"NDT3365")</f>
        <v>NDT3365</v>
      </c>
      <c r="D4191" s="87" t="str">
        <f>IFERROR(__xludf.DUMMYFUNCTION("""COMPUTED_VALUE"""),"[Nhãn thùng] GC - IV - 3365 - CTY HÓA NÔNG SHINO - BIM ẤN (Bột cam) - 100gr - 100")</f>
        <v>[Nhãn thùng] GC - IV - 3365 - CTY HÓA NÔNG SHINO - BIM ẤN (Bột cam) - 100gr - 100</v>
      </c>
      <c r="E4191" s="87" t="str">
        <f>IFERROR(__xludf.DUMMYFUNCTION("""COMPUTED_VALUE"""),"Pim.Pim 75WP")</f>
        <v>Pim.Pim 75WP</v>
      </c>
      <c r="F4191" s="87" t="str">
        <f>IFERROR(__xludf.DUMMYFUNCTION("""COMPUTED_VALUE"""),"HH3365")</f>
        <v>HH3365</v>
      </c>
      <c r="G4191" s="87" t="str">
        <f>IFERROR(__xludf.DUMMYFUNCTION("""COMPUTED_VALUE"""),"GC - IV - 3365 - CTY HÓA NÔNG SHINO - BIM ẤN (Bột cam) - 100gr - 100")</f>
        <v>GC - IV - 3365 - CTY HÓA NÔNG SHINO - BIM ẤN (Bột cam) - 100gr - 100</v>
      </c>
    </row>
    <row r="4192">
      <c r="A4192" s="86">
        <f>IFERROR(__xludf.DUMMYFUNCTION("""COMPUTED_VALUE"""),4190.0)</f>
        <v>4190</v>
      </c>
      <c r="B4192" s="87" t="str">
        <f>IFERROR(__xludf.DUMMYFUNCTION("""COMPUTED_VALUE"""),"[Nhãn thùng]")</f>
        <v>[Nhãn thùng]</v>
      </c>
      <c r="C4192" s="87" t="str">
        <f>IFERROR(__xludf.DUMMYFUNCTION("""COMPUTED_VALUE"""),"NDT3366")</f>
        <v>NDT3366</v>
      </c>
      <c r="D4192" s="87" t="str">
        <f>IFERROR(__xludf.DUMMYFUNCTION("""COMPUTED_VALUE"""),"[Nhãn thùng] GC - IV - 3366 - CTY BIOCHEM TẤN PHÁT - AGAMA CANXI-BO (Nước trắng sữa) - 500ml - 40")</f>
        <v>[Nhãn thùng] GC - IV - 3366 - CTY BIOCHEM TẤN PHÁT - AGAMA CANXI-BO (Nước trắng sữa) - 500ml - 40</v>
      </c>
      <c r="E4192" s="87" t="str">
        <f>IFERROR(__xludf.DUMMYFUNCTION("""COMPUTED_VALUE"""),"Vi lượng AGAMA-CANXI BO")</f>
        <v>Vi lượng AGAMA-CANXI BO</v>
      </c>
      <c r="F4192" s="87" t="str">
        <f>IFERROR(__xludf.DUMMYFUNCTION("""COMPUTED_VALUE"""),"HH3366")</f>
        <v>HH3366</v>
      </c>
      <c r="G4192" s="87" t="str">
        <f>IFERROR(__xludf.DUMMYFUNCTION("""COMPUTED_VALUE"""),"GC - IV - 3366 - CTY BIOCHEM TẤN PHÁT - AGAMA CANXI-BO (Nước trắng sữa) - 500ml - 40")</f>
        <v>GC - IV - 3366 - CTY BIOCHEM TẤN PHÁT - AGAMA CANXI-BO (Nước trắng sữa) - 500ml - 40</v>
      </c>
    </row>
    <row r="4193">
      <c r="A4193" s="86">
        <f>IFERROR(__xludf.DUMMYFUNCTION("""COMPUTED_VALUE"""),4191.0)</f>
        <v>4191</v>
      </c>
      <c r="B4193" s="87" t="str">
        <f>IFERROR(__xludf.DUMMYFUNCTION("""COMPUTED_VALUE"""),"[Nhãn]")</f>
        <v>[Nhãn]</v>
      </c>
      <c r="C4193" s="87" t="str">
        <f>IFERROR(__xludf.DUMMYFUNCTION("""COMPUTED_VALUE"""),"NHG3366")</f>
        <v>NHG3366</v>
      </c>
      <c r="D4193" s="87" t="str">
        <f>IFERROR(__xludf.DUMMYFUNCTION("""COMPUTED_VALUE"""),"[Nhãn] GC - IV - 3366 - CTY BIOCHEM TẤN PHÁT - AGAMA CANXI-BO (Nước trắng sữa) - 500ml - 40")</f>
        <v>[Nhãn] GC - IV - 3366 - CTY BIOCHEM TẤN PHÁT - AGAMA CANXI-BO (Nước trắng sữa) - 500ml - 40</v>
      </c>
      <c r="E4193" s="87" t="str">
        <f>IFERROR(__xludf.DUMMYFUNCTION("""COMPUTED_VALUE"""),"Vi lượng AGAMA-CANXI BO")</f>
        <v>Vi lượng AGAMA-CANXI BO</v>
      </c>
      <c r="F4193" s="87" t="str">
        <f>IFERROR(__xludf.DUMMYFUNCTION("""COMPUTED_VALUE"""),"HH3366")</f>
        <v>HH3366</v>
      </c>
      <c r="G4193" s="87" t="str">
        <f>IFERROR(__xludf.DUMMYFUNCTION("""COMPUTED_VALUE"""),"GC - IV - 3366 - CTY BIOCHEM TẤN PHÁT - AGAMA CANXI-BO (Nước trắng sữa) - 500ml - 40")</f>
        <v>GC - IV - 3366 - CTY BIOCHEM TẤN PHÁT - AGAMA CANXI-BO (Nước trắng sữa) - 500ml - 40</v>
      </c>
    </row>
    <row r="4194">
      <c r="A4194" s="86">
        <f>IFERROR(__xludf.DUMMYFUNCTION("""COMPUTED_VALUE"""),4192.0)</f>
        <v>4192</v>
      </c>
      <c r="B4194" s="87" t="str">
        <f>IFERROR(__xludf.DUMMYFUNCTION("""COMPUTED_VALUE"""),"[Nhãn]")</f>
        <v>[Nhãn]</v>
      </c>
      <c r="C4194" s="87" t="str">
        <f>IFERROR(__xludf.DUMMYFUNCTION("""COMPUTED_VALUE"""),"NHG3367")</f>
        <v>NHG3367</v>
      </c>
      <c r="D4194" s="87" t="str">
        <f>IFERROR(__xludf.DUMMYFUNCTION("""COMPUTED_VALUE"""),"[Nhãn] GC - IV - 3367 - CTY ASAHI NHẬT BẢN - RONGBIEN SAMURAI (Gel nâu đen) - 500ml - 40")</f>
        <v>[Nhãn] GC - IV - 3367 - CTY ASAHI NHẬT BẢN - RONGBIEN SAMURAI (Gel nâu đen) - 500ml - 40</v>
      </c>
      <c r="E4194" s="87" t="str">
        <f>IFERROR(__xludf.DUMMYFUNCTION("""COMPUTED_VALUE"""),"Vi lượng Quantity New")</f>
        <v>Vi lượng Quantity New</v>
      </c>
      <c r="F4194" s="87" t="str">
        <f>IFERROR(__xludf.DUMMYFUNCTION("""COMPUTED_VALUE"""),"HH3367")</f>
        <v>HH3367</v>
      </c>
      <c r="G4194" s="87" t="str">
        <f>IFERROR(__xludf.DUMMYFUNCTION("""COMPUTED_VALUE"""),"GC - IV - 3367 - CTY ASAHI NHẬT BẢN - RONGBIEN SAMURAI (Gel nâu đen) - 500ml - 40")</f>
        <v>GC - IV - 3367 - CTY ASAHI NHẬT BẢN - RONGBIEN SAMURAI (Gel nâu đen) - 500ml - 40</v>
      </c>
    </row>
    <row r="4195">
      <c r="A4195" s="86">
        <f>IFERROR(__xludf.DUMMYFUNCTION("""COMPUTED_VALUE"""),4193.0)</f>
        <v>4193</v>
      </c>
      <c r="B4195" s="87" t="str">
        <f>IFERROR(__xludf.DUMMYFUNCTION("""COMPUTED_VALUE"""),"[Nhãn]")</f>
        <v>[Nhãn]</v>
      </c>
      <c r="C4195" s="87" t="str">
        <f>IFERROR(__xludf.DUMMYFUNCTION("""COMPUTED_VALUE"""),"NHG3368")</f>
        <v>NHG3368</v>
      </c>
      <c r="D4195" s="87" t="str">
        <f>IFERROR(__xludf.DUMMYFUNCTION("""COMPUTED_VALUE"""),"[Nhãn] GC - IV - 3368 - DASACO HẬU GIANG - AMI SAKURA 01 (Nước nâu đen) - 800ml - 24")</f>
        <v>[Nhãn] GC - IV - 3368 - DASACO HẬU GIANG - AMI SAKURA 01 (Nước nâu đen) - 800ml - 24</v>
      </c>
      <c r="E4195" s="87" t="str">
        <f>IFERROR(__xludf.DUMMYFUNCTION("""COMPUTED_VALUE"""),"Hữu cơ Enriched Organic Fresh Flora")</f>
        <v>Hữu cơ Enriched Organic Fresh Flora</v>
      </c>
      <c r="F4195" s="87" t="str">
        <f>IFERROR(__xludf.DUMMYFUNCTION("""COMPUTED_VALUE"""),"HH3368")</f>
        <v>HH3368</v>
      </c>
      <c r="G4195" s="87" t="str">
        <f>IFERROR(__xludf.DUMMYFUNCTION("""COMPUTED_VALUE"""),"GC - IV - 3368 - DASACO HẬU GIANG - AMI SAKURA 01 (Nước nâu đen) - 800ml - 24")</f>
        <v>GC - IV - 3368 - DASACO HẬU GIANG - AMI SAKURA 01 (Nước nâu đen) - 800ml - 24</v>
      </c>
    </row>
    <row r="4196">
      <c r="A4196" s="86">
        <f>IFERROR(__xludf.DUMMYFUNCTION("""COMPUTED_VALUE"""),4194.0)</f>
        <v>4194</v>
      </c>
      <c r="B4196" s="87" t="str">
        <f>IFERROR(__xludf.DUMMYFUNCTION("""COMPUTED_VALUE"""),"[Nhãn]")</f>
        <v>[Nhãn]</v>
      </c>
      <c r="C4196" s="87" t="str">
        <f>IFERROR(__xludf.DUMMYFUNCTION("""COMPUTED_VALUE"""),"NHG3369")</f>
        <v>NHG3369</v>
      </c>
      <c r="D4196" s="87" t="str">
        <f>IFERROR(__xludf.DUMMYFUNCTION("""COMPUTED_VALUE"""),"[Nhãn] GC - IV - 3369 - CTY ASAHI NHẬT BẢN - CABO SAKURA (Gel đỏ cam) - 500ml - 40")</f>
        <v>[Nhãn] GC - IV - 3369 - CTY ASAHI NHẬT BẢN - CABO SAKURA (Gel đỏ cam) - 500ml - 40</v>
      </c>
      <c r="E4196" s="87" t="str">
        <f>IFERROR(__xludf.DUMMYFUNCTION("""COMPUTED_VALUE"""),"Vi lượng Run Fast")</f>
        <v>Vi lượng Run Fast</v>
      </c>
      <c r="F4196" s="87" t="str">
        <f>IFERROR(__xludf.DUMMYFUNCTION("""COMPUTED_VALUE"""),"HH3369")</f>
        <v>HH3369</v>
      </c>
      <c r="G4196" s="87" t="str">
        <f>IFERROR(__xludf.DUMMYFUNCTION("""COMPUTED_VALUE"""),"GC - IV - 3369 - CTY ASAHI NHẬT BẢN - CABO SAKURA (Gel đỏ cam) - 500ml - 40")</f>
        <v>GC - IV - 3369 - CTY ASAHI NHẬT BẢN - CABO SAKURA (Gel đỏ cam) - 500ml - 40</v>
      </c>
    </row>
    <row r="4197">
      <c r="A4197" s="86">
        <f>IFERROR(__xludf.DUMMYFUNCTION("""COMPUTED_VALUE"""),4195.0)</f>
        <v>4195</v>
      </c>
      <c r="B4197" s="87" t="str">
        <f>IFERROR(__xludf.DUMMYFUNCTION("""COMPUTED_VALUE"""),"[Nhãn]")</f>
        <v>[Nhãn]</v>
      </c>
      <c r="C4197" s="87" t="str">
        <f>IFERROR(__xludf.DUMMYFUNCTION("""COMPUTED_VALUE"""),"NHG3370")</f>
        <v>NHG3370</v>
      </c>
      <c r="D4197" s="87" t="str">
        <f>IFERROR(__xludf.DUMMYFUNCTION("""COMPUTED_VALUE"""),"[Nhãn] GC - IV - 3370 - CTY ASAHI NHẬT BẢN - KABOLI SAKURA (Gel đỏ cam) - 500ml - 40")</f>
        <v>[Nhãn] GC - IV - 3370 - CTY ASAHI NHẬT BẢN - KABOLI SAKURA (Gel đỏ cam) - 500ml - 40</v>
      </c>
      <c r="E4197" s="87" t="str">
        <f>IFERROR(__xludf.DUMMYFUNCTION("""COMPUTED_VALUE"""),"Vi lượng Run Fast")</f>
        <v>Vi lượng Run Fast</v>
      </c>
      <c r="F4197" s="87" t="str">
        <f>IFERROR(__xludf.DUMMYFUNCTION("""COMPUTED_VALUE"""),"HH3370")</f>
        <v>HH3370</v>
      </c>
      <c r="G4197" s="87" t="str">
        <f>IFERROR(__xludf.DUMMYFUNCTION("""COMPUTED_VALUE"""),"GC - IV - 3370 - CTY ASAHI NHẬT BẢN - KABOLI SAKURA (Gel đỏ cam) - 500ml - 40")</f>
        <v>GC - IV - 3370 - CTY ASAHI NHẬT BẢN - KABOLI SAKURA (Gel đỏ cam) - 500ml - 40</v>
      </c>
    </row>
    <row r="4198">
      <c r="A4198" s="86">
        <f>IFERROR(__xludf.DUMMYFUNCTION("""COMPUTED_VALUE"""),4196.0)</f>
        <v>4196</v>
      </c>
      <c r="B4198" s="87" t="str">
        <f>IFERROR(__xludf.DUMMYFUNCTION("""COMPUTED_VALUE"""),"[Nhãn]")</f>
        <v>[Nhãn]</v>
      </c>
      <c r="C4198" s="87" t="str">
        <f>IFERROR(__xludf.DUMMYFUNCTION("""COMPUTED_VALUE"""),"NHG3371")</f>
        <v>NHG3371</v>
      </c>
      <c r="D4198" s="87" t="str">
        <f>IFERROR(__xludf.DUMMYFUNCTION("""COMPUTED_VALUE"""),"[Nhãn] GC - IV - 3371 - RICH FARMER - SIÊU KẼM (Gel xanh lá) - 500ml - 40")</f>
        <v>[Nhãn] GC - IV - 3371 - RICH FARMER - SIÊU KẼM (Gel xanh lá) - 500ml - 40</v>
      </c>
      <c r="E4198" s="87" t="str">
        <f>IFERROR(__xludf.DUMMYFUNCTION("""COMPUTED_VALUE"""),"Vi lượng AGAMA-SUPPORT")</f>
        <v>Vi lượng AGAMA-SUPPORT</v>
      </c>
      <c r="F4198" s="87" t="str">
        <f>IFERROR(__xludf.DUMMYFUNCTION("""COMPUTED_VALUE"""),"HH3371")</f>
        <v>HH3371</v>
      </c>
      <c r="G4198" s="87" t="str">
        <f>IFERROR(__xludf.DUMMYFUNCTION("""COMPUTED_VALUE"""),"GC - IV - 3371 - RICH FARMER - SIÊU KẼM (Gel xanh lá) - 500ml - 40")</f>
        <v>GC - IV - 3371 - RICH FARMER - SIÊU KẼM (Gel xanh lá) - 500ml - 40</v>
      </c>
    </row>
    <row r="4199">
      <c r="A4199" s="86">
        <f>IFERROR(__xludf.DUMMYFUNCTION("""COMPUTED_VALUE"""),4197.0)</f>
        <v>4197</v>
      </c>
      <c r="B4199" s="87" t="str">
        <f>IFERROR(__xludf.DUMMYFUNCTION("""COMPUTED_VALUE"""),"[Nhãn thùng]")</f>
        <v>[Nhãn thùng]</v>
      </c>
      <c r="C4199" s="87" t="str">
        <f>IFERROR(__xludf.DUMMYFUNCTION("""COMPUTED_VALUE"""),"NDT3371")</f>
        <v>NDT3371</v>
      </c>
      <c r="D4199" s="87" t="str">
        <f>IFERROR(__xludf.DUMMYFUNCTION("""COMPUTED_VALUE"""),"[Nhãn thùng] GC - IV - 3371 - RICH FARMER - SIÊU KẼM (Gel xanh lá) - 500ml - 40")</f>
        <v>[Nhãn thùng] GC - IV - 3371 - RICH FARMER - SIÊU KẼM (Gel xanh lá) - 500ml - 40</v>
      </c>
      <c r="E4199" s="87" t="str">
        <f>IFERROR(__xludf.DUMMYFUNCTION("""COMPUTED_VALUE"""),"Vi lượng AGAMA-SUPPORT")</f>
        <v>Vi lượng AGAMA-SUPPORT</v>
      </c>
      <c r="F4199" s="87" t="str">
        <f>IFERROR(__xludf.DUMMYFUNCTION("""COMPUTED_VALUE"""),"HH3371")</f>
        <v>HH3371</v>
      </c>
      <c r="G4199" s="87" t="str">
        <f>IFERROR(__xludf.DUMMYFUNCTION("""COMPUTED_VALUE"""),"GC - IV - 3371 - RICH FARMER - SIÊU KẼM (Gel xanh lá) - 500ml - 40")</f>
        <v>GC - IV - 3371 - RICH FARMER - SIÊU KẼM (Gel xanh lá) - 500ml - 40</v>
      </c>
    </row>
    <row r="4200">
      <c r="A4200" s="86">
        <f>IFERROR(__xludf.DUMMYFUNCTION("""COMPUTED_VALUE"""),4198.0)</f>
        <v>4198</v>
      </c>
      <c r="B4200" s="87" t="str">
        <f>IFERROR(__xludf.DUMMYFUNCTION("""COMPUTED_VALUE"""),"[Nhãn]")</f>
        <v>[Nhãn]</v>
      </c>
      <c r="C4200" s="87" t="str">
        <f>IFERROR(__xludf.DUMMYFUNCTION("""COMPUTED_VALUE"""),"NHG3372")</f>
        <v>NHG3372</v>
      </c>
      <c r="D4200" s="87" t="str">
        <f>IFERROR(__xludf.DUMMYFUNCTION("""COMPUTED_VALUE"""),"[Nhãn] GC - IV - 3372 - CTY ASAHI NHẬT BẢN - AMIN RONG BIEN (Gel nâu đen) - 500ml - 40")</f>
        <v>[Nhãn] GC - IV - 3372 - CTY ASAHI NHẬT BẢN - AMIN RONG BIEN (Gel nâu đen) - 500ml - 40</v>
      </c>
      <c r="E4200" s="87" t="str">
        <f>IFERROR(__xludf.DUMMYFUNCTION("""COMPUTED_VALUE"""),"Vi lượng Quantity New")</f>
        <v>Vi lượng Quantity New</v>
      </c>
      <c r="F4200" s="87" t="str">
        <f>IFERROR(__xludf.DUMMYFUNCTION("""COMPUTED_VALUE"""),"HH3372")</f>
        <v>HH3372</v>
      </c>
      <c r="G4200" s="87" t="str">
        <f>IFERROR(__xludf.DUMMYFUNCTION("""COMPUTED_VALUE"""),"GC - IV - 3372 - CTY ASAHI NHẬT BẢN - AMIN RONG BIEN (Gel nâu đen) - 500ml - 40")</f>
        <v>GC - IV - 3372 - CTY ASAHI NHẬT BẢN - AMIN RONG BIEN (Gel nâu đen) - 500ml - 40</v>
      </c>
    </row>
    <row r="4201">
      <c r="A4201" s="86">
        <f>IFERROR(__xludf.DUMMYFUNCTION("""COMPUTED_VALUE"""),4199.0)</f>
        <v>4199</v>
      </c>
      <c r="B4201" s="87" t="str">
        <f>IFERROR(__xludf.DUMMYFUNCTION("""COMPUTED_VALUE"""),"[Nhãn]")</f>
        <v>[Nhãn]</v>
      </c>
      <c r="C4201" s="87" t="str">
        <f>IFERROR(__xludf.DUMMYFUNCTION("""COMPUTED_VALUE"""),"NHG3373")</f>
        <v>NHG3373</v>
      </c>
      <c r="D4201" s="87" t="str">
        <f>IFERROR(__xludf.DUMMYFUNCTION("""COMPUTED_VALUE"""),"[Nhãn] GC - VI - 3373 - Chín Thông - BAMBOO DOUBLE STOP MỚI (Nước nâu đen) - 1L - 20")</f>
        <v>[Nhãn] GC - VI - 3373 - Chín Thông - BAMBOO DOUBLE STOP MỚI (Nước nâu đen) - 1L - 20</v>
      </c>
      <c r="E4201" s="87" t="str">
        <f>IFERROR(__xludf.DUMMYFUNCTION("""COMPUTED_VALUE"""),"Vi lượng Quantity New")</f>
        <v>Vi lượng Quantity New</v>
      </c>
      <c r="F4201" s="87" t="str">
        <f>IFERROR(__xludf.DUMMYFUNCTION("""COMPUTED_VALUE"""),"HH3373")</f>
        <v>HH3373</v>
      </c>
      <c r="G4201" s="87" t="str">
        <f>IFERROR(__xludf.DUMMYFUNCTION("""COMPUTED_VALUE"""),"GC - VI - 3373 - Chín Thông - BAMBOO DOUBLE STOP MỚI (Nước nâu đen) - 1L - 20")</f>
        <v>GC - VI - 3373 - Chín Thông - BAMBOO DOUBLE STOP MỚI (Nước nâu đen) - 1L - 20</v>
      </c>
    </row>
    <row r="4202">
      <c r="A4202" s="86">
        <f>IFERROR(__xludf.DUMMYFUNCTION("""COMPUTED_VALUE"""),4200.0)</f>
        <v>4200</v>
      </c>
      <c r="B4202" s="87" t="str">
        <f>IFERROR(__xludf.DUMMYFUNCTION("""COMPUTED_VALUE"""),"[Nhãn]")</f>
        <v>[Nhãn]</v>
      </c>
      <c r="C4202" s="87" t="str">
        <f>IFERROR(__xludf.DUMMYFUNCTION("""COMPUTED_VALUE"""),"NHD3375")</f>
        <v>NHD3375</v>
      </c>
      <c r="D4202" s="87" t="str">
        <f>IFERROR(__xludf.DUMMYFUNCTION("""COMPUTED_VALUE"""),"[Nhãn] GC - IV - 3375 - CTY QUANG ĐĂNG AGRICULTURE -  VỌT ĐỌT - MẬP CHỒI (Nước nâu đen) - 500ml - 40")</f>
        <v>[Nhãn] GC - IV - 3375 - CTY QUANG ĐĂNG AGRICULTURE -  VỌT ĐỌT - MẬP CHỒI (Nước nâu đen) - 500ml - 40</v>
      </c>
      <c r="E4202" s="87" t="str">
        <f>IFERROR(__xludf.DUMMYFUNCTION("""COMPUTED_VALUE"""),"Vi lượng AGAMA-SUPPORT")</f>
        <v>Vi lượng AGAMA-SUPPORT</v>
      </c>
      <c r="F4202" s="87" t="str">
        <f>IFERROR(__xludf.DUMMYFUNCTION("""COMPUTED_VALUE"""),"HH3375")</f>
        <v>HH3375</v>
      </c>
      <c r="G4202" s="87" t="str">
        <f>IFERROR(__xludf.DUMMYFUNCTION("""COMPUTED_VALUE"""),"GC - IV - 3375 - Cty Quang Đăng Agriculture -  VỌT ĐỌT - MẬP CHỒI (Nước nâu đen) - 500ml - 40")</f>
        <v>GC - IV - 3375 - Cty Quang Đăng Agriculture -  VỌT ĐỌT - MẬP CHỒI (Nước nâu đen) - 500ml - 40</v>
      </c>
    </row>
    <row r="4203">
      <c r="A4203" s="86">
        <f>IFERROR(__xludf.DUMMYFUNCTION("""COMPUTED_VALUE"""),4201.0)</f>
        <v>4201</v>
      </c>
      <c r="B4203" s="87" t="str">
        <f>IFERROR(__xludf.DUMMYFUNCTION("""COMPUTED_VALUE"""),"[Nhãn thùng]")</f>
        <v>[Nhãn thùng]</v>
      </c>
      <c r="C4203" s="87" t="str">
        <f>IFERROR(__xludf.DUMMYFUNCTION("""COMPUTED_VALUE"""),"NDT3375")</f>
        <v>NDT3375</v>
      </c>
      <c r="D4203" s="87" t="str">
        <f>IFERROR(__xludf.DUMMYFUNCTION("""COMPUTED_VALUE"""),"[Nhãn thùng] GC - IV - 3375 - Cty Quang Đăng Agriculture -  VỌT ĐỌT - MẬP CHỒI (Nước nâu đen) - 500ml - 40")</f>
        <v>[Nhãn thùng] GC - IV - 3375 - Cty Quang Đăng Agriculture -  VỌT ĐỌT - MẬP CHỒI (Nước nâu đen) - 500ml - 40</v>
      </c>
      <c r="E4203" s="87" t="str">
        <f>IFERROR(__xludf.DUMMYFUNCTION("""COMPUTED_VALUE"""),"Vi lượng AGAMA-SUPPORT")</f>
        <v>Vi lượng AGAMA-SUPPORT</v>
      </c>
      <c r="F4203" s="87" t="str">
        <f>IFERROR(__xludf.DUMMYFUNCTION("""COMPUTED_VALUE"""),"HH3375")</f>
        <v>HH3375</v>
      </c>
      <c r="G4203" s="87" t="str">
        <f>IFERROR(__xludf.DUMMYFUNCTION("""COMPUTED_VALUE"""),"GC - IV - 3375 - Cty Quang Đăng Agriculture -  VỌT ĐỌT - MẬP CHỒI (Nước nâu đen) - 500ml - 40")</f>
        <v>GC - IV - 3375 - Cty Quang Đăng Agriculture -  VỌT ĐỌT - MẬP CHỒI (Nước nâu đen) - 500ml - 40</v>
      </c>
    </row>
    <row r="4204">
      <c r="A4204" s="86">
        <f>IFERROR(__xludf.DUMMYFUNCTION("""COMPUTED_VALUE"""),4202.0)</f>
        <v>4202</v>
      </c>
      <c r="B4204" s="87" t="str">
        <f>IFERROR(__xludf.DUMMYFUNCTION("""COMPUTED_VALUE"""),"[Nhãn]")</f>
        <v>[Nhãn]</v>
      </c>
      <c r="C4204" s="87" t="str">
        <f>IFERROR(__xludf.DUMMYFUNCTION("""COMPUTED_VALUE"""),"NHG3379")</f>
        <v>NHG3379</v>
      </c>
      <c r="D4204" s="87" t="str">
        <f>IFERROR(__xludf.DUMMYFUNCTION("""COMPUTED_VALUE"""),"[Nhãn] GC - IV - 3379 - CTY QUANG ĐĂNG AGRICULTURE - ĐL BẢY ĐÉM 1 - KIẾN VÀNG (Nước trắng sữa) - 200ml - 40")</f>
        <v>[Nhãn] GC - IV - 3379 - CTY QUANG ĐĂNG AGRICULTURE - ĐL BẢY ĐÉM 1 - KIẾN VÀNG (Nước trắng sữa) - 200ml - 40</v>
      </c>
      <c r="E4204" s="87" t="str">
        <f>IFERROR(__xludf.DUMMYFUNCTION("""COMPUTED_VALUE"""),"YAPOKO 250SC")</f>
        <v>YAPOKO 250SC</v>
      </c>
      <c r="F4204" s="87" t="str">
        <f>IFERROR(__xludf.DUMMYFUNCTION("""COMPUTED_VALUE"""),"HH3379")</f>
        <v>HH3379</v>
      </c>
      <c r="G4204" s="87" t="str">
        <f>IFERROR(__xludf.DUMMYFUNCTION("""COMPUTED_VALUE"""),"GC - IV - 3379 - Cty Quang Đăng Agriculture - ĐL BẢY ĐÉM 1 - KIẾN VÀNG (Nước trắng sữa) - 200ml - 40")</f>
        <v>GC - IV - 3379 - Cty Quang Đăng Agriculture - ĐL BẢY ĐÉM 1 - KIẾN VÀNG (Nước trắng sữa) - 200ml - 40</v>
      </c>
    </row>
    <row r="4205">
      <c r="A4205" s="86">
        <f>IFERROR(__xludf.DUMMYFUNCTION("""COMPUTED_VALUE"""),4203.0)</f>
        <v>4203</v>
      </c>
      <c r="B4205" s="87" t="str">
        <f>IFERROR(__xludf.DUMMYFUNCTION("""COMPUTED_VALUE"""),"[Nhãn]")</f>
        <v>[Nhãn]</v>
      </c>
      <c r="C4205" s="87" t="str">
        <f>IFERROR(__xludf.DUMMYFUNCTION("""COMPUTED_VALUE"""),"NHG3380")</f>
        <v>NHG3380</v>
      </c>
      <c r="D4205" s="87" t="str">
        <f>IFERROR(__xludf.DUMMYFUNCTION("""COMPUTED_VALUE"""),"[Nhãn] GC - IV - 3380 - CTY ASAHI NHẬT BẢN - BOCA SAMURAI (Gel đỏ cam) - 500ml - 40")</f>
        <v>[Nhãn] GC - IV - 3380 - CTY ASAHI NHẬT BẢN - BOCA SAMURAI (Gel đỏ cam) - 500ml - 40</v>
      </c>
      <c r="E4205" s="87" t="str">
        <f>IFERROR(__xludf.DUMMYFUNCTION("""COMPUTED_VALUE"""),"Vi lượng Run Fast")</f>
        <v>Vi lượng Run Fast</v>
      </c>
      <c r="F4205" s="87" t="str">
        <f>IFERROR(__xludf.DUMMYFUNCTION("""COMPUTED_VALUE"""),"HH3380")</f>
        <v>HH3380</v>
      </c>
      <c r="G4205" s="87" t="str">
        <f>IFERROR(__xludf.DUMMYFUNCTION("""COMPUTED_VALUE"""),"GC - IV - 3380 - CTY ASAHI NHẬT BẢN - BOCA SAMURAI (Gel đỏ cam) - 500ml - 40")</f>
        <v>GC - IV - 3380 - CTY ASAHI NHẬT BẢN - BOCA SAMURAI (Gel đỏ cam) - 500ml - 40</v>
      </c>
    </row>
    <row r="4206">
      <c r="A4206" s="86">
        <f>IFERROR(__xludf.DUMMYFUNCTION("""COMPUTED_VALUE"""),4204.0)</f>
        <v>4204</v>
      </c>
      <c r="B4206" s="87" t="str">
        <f>IFERROR(__xludf.DUMMYFUNCTION("""COMPUTED_VALUE"""),"[Nhãn]")</f>
        <v>[Nhãn]</v>
      </c>
      <c r="C4206" s="87" t="str">
        <f>IFERROR(__xludf.DUMMYFUNCTION("""COMPUTED_VALUE"""),"NHD3381")</f>
        <v>NHD3381</v>
      </c>
      <c r="D4206" s="87" t="str">
        <f>IFERROR(__xludf.DUMMYFUNCTION("""COMPUTED_VALUE"""),"[Nhãn] GC - IV - 3381 - THẾ DANH - HAIHAMEC 3.6EC (Nước nâu đen) - 450ml - 40")</f>
        <v>[Nhãn] GC - IV - 3381 - THẾ DANH - HAIHAMEC 3.6EC (Nước nâu đen) - 450ml - 40</v>
      </c>
      <c r="E4206" s="87" t="str">
        <f>IFERROR(__xludf.DUMMYFUNCTION("""COMPUTED_VALUE"""),"HAIHAMEC 3.6EC")</f>
        <v>HAIHAMEC 3.6EC</v>
      </c>
      <c r="F4206" s="87" t="str">
        <f>IFERROR(__xludf.DUMMYFUNCTION("""COMPUTED_VALUE"""),"HH3381")</f>
        <v>HH3381</v>
      </c>
      <c r="G4206" s="87" t="str">
        <f>IFERROR(__xludf.DUMMYFUNCTION("""COMPUTED_VALUE"""),"GC - IV - 3381 - THẾ DANH - HAIHAMEC 3.6EC (Nước nâu đen) - 450ml - 40")</f>
        <v>GC - IV - 3381 - THẾ DANH - HAIHAMEC 3.6EC (Nước nâu đen) - 450ml - 40</v>
      </c>
    </row>
    <row r="4207">
      <c r="A4207" s="86">
        <f>IFERROR(__xludf.DUMMYFUNCTION("""COMPUTED_VALUE"""),4205.0)</f>
        <v>4205</v>
      </c>
      <c r="B4207" s="87" t="str">
        <f>IFERROR(__xludf.DUMMYFUNCTION("""COMPUTED_VALUE"""),"[Nhãn thùng]")</f>
        <v>[Nhãn thùng]</v>
      </c>
      <c r="C4207" s="87" t="str">
        <f>IFERROR(__xludf.DUMMYFUNCTION("""COMPUTED_VALUE"""),"NDT3381")</f>
        <v>NDT3381</v>
      </c>
      <c r="D4207" s="87" t="str">
        <f>IFERROR(__xludf.DUMMYFUNCTION("""COMPUTED_VALUE"""),"[Nhãn thùng] GC - IV - 3381 - THẾ DANH - HAIHAMEC 3.6EC (Nước nâu đen) - 450ml - 40")</f>
        <v>[Nhãn thùng] GC - IV - 3381 - THẾ DANH - HAIHAMEC 3.6EC (Nước nâu đen) - 450ml - 40</v>
      </c>
      <c r="E4207" s="87" t="str">
        <f>IFERROR(__xludf.DUMMYFUNCTION("""COMPUTED_VALUE"""),"HAIHAMEC 3.6EC")</f>
        <v>HAIHAMEC 3.6EC</v>
      </c>
      <c r="F4207" s="87" t="str">
        <f>IFERROR(__xludf.DUMMYFUNCTION("""COMPUTED_VALUE"""),"HH3381")</f>
        <v>HH3381</v>
      </c>
      <c r="G4207" s="87" t="str">
        <f>IFERROR(__xludf.DUMMYFUNCTION("""COMPUTED_VALUE"""),"GC - IV - 3381 - THẾ DANH - HAIHAMEC 3.6EC (Nước nâu đen) - 450ml - 40")</f>
        <v>GC - IV - 3381 - THẾ DANH - HAIHAMEC 3.6EC (Nước nâu đen) - 450ml - 40</v>
      </c>
    </row>
    <row r="4208">
      <c r="A4208" s="86">
        <f>IFERROR(__xludf.DUMMYFUNCTION("""COMPUTED_VALUE"""),4206.0)</f>
        <v>4206</v>
      </c>
      <c r="B4208" s="87" t="str">
        <f>IFERROR(__xludf.DUMMYFUNCTION("""COMPUTED_VALUE"""),"[Nhãn]")</f>
        <v>[Nhãn]</v>
      </c>
      <c r="C4208" s="87" t="str">
        <f>IFERROR(__xludf.DUMMYFUNCTION("""COMPUTED_VALUE"""),"NHG3382")</f>
        <v>NHG3382</v>
      </c>
      <c r="D4208" s="87" t="str">
        <f>IFERROR(__xludf.DUMMYFUNCTION("""COMPUTED_VALUE"""),"[Nhãn] GC - IV - 3382 - Cty Kim Ngọc - CANXI BO KẼM (Nước trắng sữa) - 500ml - 40")</f>
        <v>[Nhãn] GC - IV - 3382 - Cty Kim Ngọc - CANXI BO KẼM (Nước trắng sữa) - 500ml - 40</v>
      </c>
      <c r="E4208" s="87" t="str">
        <f>IFERROR(__xludf.DUMMYFUNCTION("""COMPUTED_VALUE"""),"Vi lượng AGAMA-CANXI BO")</f>
        <v>Vi lượng AGAMA-CANXI BO</v>
      </c>
      <c r="F4208" s="87" t="str">
        <f>IFERROR(__xludf.DUMMYFUNCTION("""COMPUTED_VALUE"""),"HH3382")</f>
        <v>HH3382</v>
      </c>
      <c r="G4208" s="87" t="str">
        <f>IFERROR(__xludf.DUMMYFUNCTION("""COMPUTED_VALUE"""),"GC - IV - 3382 - Cty Kim Ngọc - CANXI BO KẼM (Nước trắng sữa) - 500ml - 40")</f>
        <v>GC - IV - 3382 - Cty Kim Ngọc - CANXI BO KẼM (Nước trắng sữa) - 500ml - 40</v>
      </c>
    </row>
    <row r="4209">
      <c r="A4209" s="86">
        <f>IFERROR(__xludf.DUMMYFUNCTION("""COMPUTED_VALUE"""),4207.0)</f>
        <v>4207</v>
      </c>
      <c r="B4209" s="87" t="str">
        <f>IFERROR(__xludf.DUMMYFUNCTION("""COMPUTED_VALUE"""),"[Nhãn]")</f>
        <v>[Nhãn]</v>
      </c>
      <c r="C4209" s="87" t="str">
        <f>IFERROR(__xludf.DUMMYFUNCTION("""COMPUTED_VALUE"""),"NHG3383")</f>
        <v>NHG3383</v>
      </c>
      <c r="D4209" s="87" t="str">
        <f>IFERROR(__xludf.DUMMYFUNCTION("""COMPUTED_VALUE"""),"[Nhãn] GC - II - 3383 - AGC (ANH QUÂN) - VUỐT TAI THANH LONG (Nước xanh lá) - 500ml - 40")</f>
        <v>[Nhãn] GC - II - 3383 - AGC (ANH QUÂN) - VUỐT TAI THANH LONG (Nước xanh lá) - 500ml - 40</v>
      </c>
      <c r="E4209" s="87" t="str">
        <f>IFERROR(__xludf.DUMMYFUNCTION("""COMPUTED_VALUE"""),"Vi lượng AGAMA-SUPPORT")</f>
        <v>Vi lượng AGAMA-SUPPORT</v>
      </c>
      <c r="F4209" s="87" t="str">
        <f>IFERROR(__xludf.DUMMYFUNCTION("""COMPUTED_VALUE"""),"HH3383")</f>
        <v>HH3383</v>
      </c>
      <c r="G4209" s="87" t="str">
        <f>IFERROR(__xludf.DUMMYFUNCTION("""COMPUTED_VALUE"""),"GC - II - 3383 - AGC (ANH QUÂN) - VUỐT TAI THANH LONG (Nước xanh lá) - 500ml - 40")</f>
        <v>GC - II - 3383 - AGC (ANH QUÂN) - VUỐT TAI THANH LONG (Nước xanh lá) - 500ml - 40</v>
      </c>
    </row>
    <row r="4210">
      <c r="A4210" s="86">
        <f>IFERROR(__xludf.DUMMYFUNCTION("""COMPUTED_VALUE"""),4208.0)</f>
        <v>4208</v>
      </c>
      <c r="B4210" s="87" t="str">
        <f>IFERROR(__xludf.DUMMYFUNCTION("""COMPUTED_VALUE"""),"[Nhãn]")</f>
        <v>[Nhãn]</v>
      </c>
      <c r="C4210" s="87" t="str">
        <f>IFERROR(__xludf.DUMMYFUNCTION("""COMPUTED_VALUE"""),"NHG3384")</f>
        <v>NHG3384</v>
      </c>
      <c r="D4210" s="87" t="str">
        <f>IFERROR(__xludf.DUMMYFUNCTION("""COMPUTED_VALUE"""),"[Nhãn] GC - IV - 3384 - LOT ASAHI NHẬT BẢN - AS24 (Gel đỏ cam) - 500ml - 40")</f>
        <v>[Nhãn] GC - IV - 3384 - LOT ASAHI NHẬT BẢN - AS24 (Gel đỏ cam) - 500ml - 40</v>
      </c>
      <c r="E4210" s="87" t="str">
        <f>IFERROR(__xludf.DUMMYFUNCTION("""COMPUTED_VALUE"""),"Vi lượng Run Fast")</f>
        <v>Vi lượng Run Fast</v>
      </c>
      <c r="F4210" s="87" t="str">
        <f>IFERROR(__xludf.DUMMYFUNCTION("""COMPUTED_VALUE"""),"HH3384")</f>
        <v>HH3384</v>
      </c>
      <c r="G4210" s="87" t="str">
        <f>IFERROR(__xludf.DUMMYFUNCTION("""COMPUTED_VALUE"""),"GC - IV - 3384 - LOT ASAHI NHẬT BẢN - AS24 (Gel đỏ cam) - 500ml - 40")</f>
        <v>GC - IV - 3384 - LOT ASAHI NHẬT BẢN - AS24 (Gel đỏ cam) - 500ml - 40</v>
      </c>
    </row>
    <row r="4211">
      <c r="A4211" s="86">
        <f>IFERROR(__xludf.DUMMYFUNCTION("""COMPUTED_VALUE"""),4209.0)</f>
        <v>4209</v>
      </c>
      <c r="B4211" s="87" t="str">
        <f>IFERROR(__xludf.DUMMYFUNCTION("""COMPUTED_VALUE"""),"[Nhãn]")</f>
        <v>[Nhãn]</v>
      </c>
      <c r="C4211" s="87" t="str">
        <f>IFERROR(__xludf.DUMMYFUNCTION("""COMPUTED_VALUE"""),"NHG3385")</f>
        <v>NHG3385</v>
      </c>
      <c r="D4211" s="87" t="str">
        <f>IFERROR(__xludf.DUMMYFUNCTION("""COMPUTED_VALUE"""),"[Nhãn] GC - IV - 3385 - LOT ASAHI NHẬT BẢN - BOCAXI (Gel đỏ cam) - 500ml - 40")</f>
        <v>[Nhãn] GC - IV - 3385 - LOT ASAHI NHẬT BẢN - BOCAXI (Gel đỏ cam) - 500ml - 40</v>
      </c>
      <c r="E4211" s="87" t="str">
        <f>IFERROR(__xludf.DUMMYFUNCTION("""COMPUTED_VALUE"""),"Vi lượng Run Fast")</f>
        <v>Vi lượng Run Fast</v>
      </c>
      <c r="F4211" s="87" t="str">
        <f>IFERROR(__xludf.DUMMYFUNCTION("""COMPUTED_VALUE"""),"HH3385")</f>
        <v>HH3385</v>
      </c>
      <c r="G4211" s="87" t="str">
        <f>IFERROR(__xludf.DUMMYFUNCTION("""COMPUTED_VALUE"""),"GC - IV - 3385 - LOT ASAHI NHẬT BẢN - BOCAXI (Gel đỏ cam) - 500ml - 40")</f>
        <v>GC - IV - 3385 - LOT ASAHI NHẬT BẢN - BOCAXI (Gel đỏ cam) - 500ml - 40</v>
      </c>
    </row>
    <row r="4212">
      <c r="A4212" s="86">
        <f>IFERROR(__xludf.DUMMYFUNCTION("""COMPUTED_VALUE"""),4210.0)</f>
        <v>4210</v>
      </c>
      <c r="B4212" s="87" t="str">
        <f>IFERROR(__xludf.DUMMYFUNCTION("""COMPUTED_VALUE"""),"[Nhãn]")</f>
        <v>[Nhãn]</v>
      </c>
      <c r="C4212" s="87" t="str">
        <f>IFERROR(__xludf.DUMMYFUNCTION("""COMPUTED_VALUE"""),"NHG3386")</f>
        <v>NHG3386</v>
      </c>
      <c r="D4212" s="87" t="str">
        <f>IFERROR(__xludf.DUMMYFUNCTION("""COMPUTED_VALUE"""),"[Nhãn] GC - IV - 3386 - LOT ASAHI NHẬT BẢN - BOMIX (Gel đỏ cam) - 500ml - 40")</f>
        <v>[Nhãn] GC - IV - 3386 - LOT ASAHI NHẬT BẢN - BOMIX (Gel đỏ cam) - 500ml - 40</v>
      </c>
      <c r="E4212" s="87" t="str">
        <f>IFERROR(__xludf.DUMMYFUNCTION("""COMPUTED_VALUE"""),"Vi lượng Run Fast")</f>
        <v>Vi lượng Run Fast</v>
      </c>
      <c r="F4212" s="87" t="str">
        <f>IFERROR(__xludf.DUMMYFUNCTION("""COMPUTED_VALUE"""),"HH3386")</f>
        <v>HH3386</v>
      </c>
      <c r="G4212" s="87" t="str">
        <f>IFERROR(__xludf.DUMMYFUNCTION("""COMPUTED_VALUE"""),"GC - IV - 3386 - LOT ASAHI NHẬT BẢN - BOMIX (Gel đỏ cam) - 500ml - 40")</f>
        <v>GC - IV - 3386 - LOT ASAHI NHẬT BẢN - BOMIX (Gel đỏ cam) - 500ml - 40</v>
      </c>
    </row>
    <row r="4213">
      <c r="A4213" s="86">
        <f>IFERROR(__xludf.DUMMYFUNCTION("""COMPUTED_VALUE"""),4211.0)</f>
        <v>4211</v>
      </c>
      <c r="B4213" s="87" t="str">
        <f>IFERROR(__xludf.DUMMYFUNCTION("""COMPUTED_VALUE"""),"[Nhãn]")</f>
        <v>[Nhãn]</v>
      </c>
      <c r="C4213" s="87" t="str">
        <f>IFERROR(__xludf.DUMMYFUNCTION("""COMPUTED_VALUE"""),"NHG3387")</f>
        <v>NHG3387</v>
      </c>
      <c r="D4213" s="87" t="str">
        <f>IFERROR(__xludf.DUMMYFUNCTION("""COMPUTED_VALUE"""),"[Nhãn] GC - IV - 3387 - LOT ASAHI NHẬT BẢN - KABOLI EXTRA (Gel đỏ cam) - 500ml - 40")</f>
        <v>[Nhãn] GC - IV - 3387 - LOT ASAHI NHẬT BẢN - KABOLI EXTRA (Gel đỏ cam) - 500ml - 40</v>
      </c>
      <c r="E4213" s="87" t="str">
        <f>IFERROR(__xludf.DUMMYFUNCTION("""COMPUTED_VALUE"""),"Vi lượng Run Fast")</f>
        <v>Vi lượng Run Fast</v>
      </c>
      <c r="F4213" s="87" t="str">
        <f>IFERROR(__xludf.DUMMYFUNCTION("""COMPUTED_VALUE"""),"HH3387")</f>
        <v>HH3387</v>
      </c>
      <c r="G4213" s="87" t="str">
        <f>IFERROR(__xludf.DUMMYFUNCTION("""COMPUTED_VALUE"""),"GC - IV - 3387 - LOT ASAHI NHẬT BẢN - KABOLI EXTRA (Gel đỏ cam) - 500ml - 40")</f>
        <v>GC - IV - 3387 - LOT ASAHI NHẬT BẢN - KABOLI EXTRA (Gel đỏ cam) - 500ml - 40</v>
      </c>
    </row>
    <row r="4214">
      <c r="A4214" s="86">
        <f>IFERROR(__xludf.DUMMYFUNCTION("""COMPUTED_VALUE"""),4212.0)</f>
        <v>4212</v>
      </c>
      <c r="B4214" s="87" t="str">
        <f>IFERROR(__xludf.DUMMYFUNCTION("""COMPUTED_VALUE"""),"[Nhãn]")</f>
        <v>[Nhãn]</v>
      </c>
      <c r="C4214" s="87" t="str">
        <f>IFERROR(__xludf.DUMMYFUNCTION("""COMPUTED_VALUE"""),"NHG3388")</f>
        <v>NHG3388</v>
      </c>
      <c r="D4214" s="87" t="str">
        <f>IFERROR(__xludf.DUMMYFUNCTION("""COMPUTED_VALUE"""),"[Nhãn] GC - IV - 3388 - LOT ASAHI NHẬT BẢN - MILANUS (Gel đỏ cam) - 500ml - 40")</f>
        <v>[Nhãn] GC - IV - 3388 - LOT ASAHI NHẬT BẢN - MILANUS (Gel đỏ cam) - 500ml - 40</v>
      </c>
      <c r="E4214" s="87" t="str">
        <f>IFERROR(__xludf.DUMMYFUNCTION("""COMPUTED_VALUE"""),"Vi lượng Run Fast")</f>
        <v>Vi lượng Run Fast</v>
      </c>
      <c r="F4214" s="87" t="str">
        <f>IFERROR(__xludf.DUMMYFUNCTION("""COMPUTED_VALUE"""),"HH3388")</f>
        <v>HH3388</v>
      </c>
      <c r="G4214" s="87" t="str">
        <f>IFERROR(__xludf.DUMMYFUNCTION("""COMPUTED_VALUE"""),"GC - IV - 3388 - LOT ASAHI NHẬT BẢN - MILANUS (Gel đỏ cam) - 500ml - 40")</f>
        <v>GC - IV - 3388 - LOT ASAHI NHẬT BẢN - MILANUS (Gel đỏ cam) - 500ml - 40</v>
      </c>
    </row>
    <row r="4215">
      <c r="A4215" s="86">
        <f>IFERROR(__xludf.DUMMYFUNCTION("""COMPUTED_VALUE"""),4213.0)</f>
        <v>4213</v>
      </c>
      <c r="B4215" s="87" t="str">
        <f>IFERROR(__xludf.DUMMYFUNCTION("""COMPUTED_VALUE"""),"[Nhãn]")</f>
        <v>[Nhãn]</v>
      </c>
      <c r="C4215" s="87" t="str">
        <f>IFERROR(__xludf.DUMMYFUNCTION("""COMPUTED_VALUE"""),"NHG3389")</f>
        <v>NHG3389</v>
      </c>
      <c r="D4215" s="87" t="str">
        <f>IFERROR(__xludf.DUMMYFUNCTION("""COMPUTED_VALUE"""),"[Nhãn] GC - IV - 3389 - LOT ASAHI NHẬT BẢN - 33-11-11 (Gel nâu đen) - 500ml - 40")</f>
        <v>[Nhãn] GC - IV - 3389 - LOT ASAHI NHẬT BẢN - 33-11-11 (Gel nâu đen) - 500ml - 40</v>
      </c>
      <c r="E4215" s="87" t="str">
        <f>IFERROR(__xludf.DUMMYFUNCTION("""COMPUTED_VALUE"""),"Vi lượng Quantity New")</f>
        <v>Vi lượng Quantity New</v>
      </c>
      <c r="F4215" s="87" t="str">
        <f>IFERROR(__xludf.DUMMYFUNCTION("""COMPUTED_VALUE"""),"HH3389")</f>
        <v>HH3389</v>
      </c>
      <c r="G4215" s="87" t="str">
        <f>IFERROR(__xludf.DUMMYFUNCTION("""COMPUTED_VALUE"""),"GC - IV - 3389 - LOT ASAHI NHẬT BẢN - 33-11-11 (Gel nâu đen) - 500ml - 40")</f>
        <v>GC - IV - 3389 - LOT ASAHI NHẬT BẢN - 33-11-11 (Gel nâu đen) - 500ml - 40</v>
      </c>
    </row>
    <row r="4216">
      <c r="A4216" s="86">
        <f>IFERROR(__xludf.DUMMYFUNCTION("""COMPUTED_VALUE"""),4214.0)</f>
        <v>4214</v>
      </c>
      <c r="B4216" s="87" t="str">
        <f>IFERROR(__xludf.DUMMYFUNCTION("""COMPUTED_VALUE"""),"[Nhãn]")</f>
        <v>[Nhãn]</v>
      </c>
      <c r="C4216" s="87" t="str">
        <f>IFERROR(__xludf.DUMMYFUNCTION("""COMPUTED_VALUE"""),"NHG3390")</f>
        <v>NHG3390</v>
      </c>
      <c r="D4216" s="87" t="str">
        <f>IFERROR(__xludf.DUMMYFUNCTION("""COMPUTED_VALUE"""),"[Nhãn] GC - IV - 3390 - LOT ASAHI NHẬT BẢN - AMIN GOLD (Gel nâu đen) - 500ml - 40")</f>
        <v>[Nhãn] GC - IV - 3390 - LOT ASAHI NHẬT BẢN - AMIN GOLD (Gel nâu đen) - 500ml - 40</v>
      </c>
      <c r="E4216" s="87" t="str">
        <f>IFERROR(__xludf.DUMMYFUNCTION("""COMPUTED_VALUE"""),"Vi lượng Quantity New")</f>
        <v>Vi lượng Quantity New</v>
      </c>
      <c r="F4216" s="87" t="str">
        <f>IFERROR(__xludf.DUMMYFUNCTION("""COMPUTED_VALUE"""),"HH3390")</f>
        <v>HH3390</v>
      </c>
      <c r="G4216" s="87" t="str">
        <f>IFERROR(__xludf.DUMMYFUNCTION("""COMPUTED_VALUE"""),"GC - IV - 3390 - LOT ASAHI NHẬT BẢN - AMIN GOLD (Gel nâu đen) - 500ml - 40")</f>
        <v>GC - IV - 3390 - LOT ASAHI NHẬT BẢN - AMIN GOLD (Gel nâu đen) - 500ml - 40</v>
      </c>
    </row>
    <row r="4217">
      <c r="A4217" s="86">
        <f>IFERROR(__xludf.DUMMYFUNCTION("""COMPUTED_VALUE"""),4215.0)</f>
        <v>4215</v>
      </c>
      <c r="B4217" s="87" t="str">
        <f>IFERROR(__xludf.DUMMYFUNCTION("""COMPUTED_VALUE"""),"[Nhãn]")</f>
        <v>[Nhãn]</v>
      </c>
      <c r="C4217" s="87" t="str">
        <f>IFERROR(__xludf.DUMMYFUNCTION("""COMPUTED_VALUE"""),"NHG3391")</f>
        <v>NHG3391</v>
      </c>
      <c r="D4217" s="87" t="str">
        <f>IFERROR(__xludf.DUMMYFUNCTION("""COMPUTED_VALUE"""),"[Nhãn] GC - IV - 3391 - LOT ASAHI NHẬT BẢN - AMIN MASTER (Gel nâu đen) - 500ml - 40")</f>
        <v>[Nhãn] GC - IV - 3391 - LOT ASAHI NHẬT BẢN - AMIN MASTER (Gel nâu đen) - 500ml - 40</v>
      </c>
      <c r="E4217" s="87" t="str">
        <f>IFERROR(__xludf.DUMMYFUNCTION("""COMPUTED_VALUE"""),"Vi lượng Quantity New")</f>
        <v>Vi lượng Quantity New</v>
      </c>
      <c r="F4217" s="87" t="str">
        <f>IFERROR(__xludf.DUMMYFUNCTION("""COMPUTED_VALUE"""),"HH3391")</f>
        <v>HH3391</v>
      </c>
      <c r="G4217" s="87" t="str">
        <f>IFERROR(__xludf.DUMMYFUNCTION("""COMPUTED_VALUE"""),"GC - IV - 3391 - LOT ASAHI NHẬT BẢN - AMIN MASTER (Gel nâu đen) - 500ml - 40")</f>
        <v>GC - IV - 3391 - LOT ASAHI NHẬT BẢN - AMIN MASTER (Gel nâu đen) - 500ml - 40</v>
      </c>
    </row>
    <row r="4218">
      <c r="A4218" s="86">
        <f>IFERROR(__xludf.DUMMYFUNCTION("""COMPUTED_VALUE"""),4216.0)</f>
        <v>4216</v>
      </c>
      <c r="B4218" s="87" t="str">
        <f>IFERROR(__xludf.DUMMYFUNCTION("""COMPUTED_VALUE"""),"[Nhãn]")</f>
        <v>[Nhãn]</v>
      </c>
      <c r="C4218" s="87" t="str">
        <f>IFERROR(__xludf.DUMMYFUNCTION("""COMPUTED_VALUE"""),"NHG3392")</f>
        <v>NHG3392</v>
      </c>
      <c r="D4218" s="87" t="str">
        <f>IFERROR(__xludf.DUMMYFUNCTION("""COMPUTED_VALUE"""),"[Nhãn] GC - IV - 3392 - LOT ASAHI NHẬT BẢN - 30-10-10 (Gel xanh lá) - 500ml - 40")</f>
        <v>[Nhãn] GC - IV - 3392 - LOT ASAHI NHẬT BẢN - 30-10-10 (Gel xanh lá) - 500ml - 40</v>
      </c>
      <c r="E4218" s="87" t="str">
        <f>IFERROR(__xludf.DUMMYFUNCTION("""COMPUTED_VALUE"""),"Vi lượng AGAMA-SUPPORT")</f>
        <v>Vi lượng AGAMA-SUPPORT</v>
      </c>
      <c r="F4218" s="87" t="str">
        <f>IFERROR(__xludf.DUMMYFUNCTION("""COMPUTED_VALUE"""),"HH3392")</f>
        <v>HH3392</v>
      </c>
      <c r="G4218" s="87" t="str">
        <f>IFERROR(__xludf.DUMMYFUNCTION("""COMPUTED_VALUE"""),"GC - IV - 3392 - LOT ASAHI NHẬT BẢN - 30-10-10 (Gel xanh lá) - 500ml - 40")</f>
        <v>GC - IV - 3392 - LOT ASAHI NHẬT BẢN - 30-10-10 (Gel xanh lá) - 500ml - 40</v>
      </c>
    </row>
    <row r="4219">
      <c r="A4219" s="86">
        <f>IFERROR(__xludf.DUMMYFUNCTION("""COMPUTED_VALUE"""),4217.0)</f>
        <v>4217</v>
      </c>
      <c r="B4219" s="87" t="str">
        <f>IFERROR(__xludf.DUMMYFUNCTION("""COMPUTED_VALUE"""),"[Nhãn]")</f>
        <v>[Nhãn]</v>
      </c>
      <c r="C4219" s="87" t="str">
        <f>IFERROR(__xludf.DUMMYFUNCTION("""COMPUTED_VALUE"""),"NHG3393")</f>
        <v>NHG3393</v>
      </c>
      <c r="D4219" s="87" t="str">
        <f>IFERROR(__xludf.DUMMYFUNCTION("""COMPUTED_VALUE"""),"[Nhãn] GC - IV - 3393 - LOT ASAHI NHẬT BẢN - BRASI 24 (Gel đỏ cam) - 500ml - 40")</f>
        <v>[Nhãn] GC - IV - 3393 - LOT ASAHI NHẬT BẢN - BRASI 24 (Gel đỏ cam) - 500ml - 40</v>
      </c>
      <c r="E4219" s="87" t="str">
        <f>IFERROR(__xludf.DUMMYFUNCTION("""COMPUTED_VALUE"""),"Vi lượng Run Fast")</f>
        <v>Vi lượng Run Fast</v>
      </c>
      <c r="F4219" s="87" t="str">
        <f>IFERROR(__xludf.DUMMYFUNCTION("""COMPUTED_VALUE"""),"HH3393")</f>
        <v>HH3393</v>
      </c>
      <c r="G4219" s="87" t="str">
        <f>IFERROR(__xludf.DUMMYFUNCTION("""COMPUTED_VALUE"""),"GC - IV - 3393 - LOT ASAHI NHẬT BẢN - BRASI 24 (Gel đỏ cam) - 500ml - 40")</f>
        <v>GC - IV - 3393 - LOT ASAHI NHẬT BẢN - BRASI 24 (Gel đỏ cam) - 500ml - 40</v>
      </c>
    </row>
    <row r="4220">
      <c r="A4220" s="86">
        <f>IFERROR(__xludf.DUMMYFUNCTION("""COMPUTED_VALUE"""),4218.0)</f>
        <v>4218</v>
      </c>
      <c r="B4220" s="87" t="str">
        <f>IFERROR(__xludf.DUMMYFUNCTION("""COMPUTED_VALUE"""),"[Nhãn]")</f>
        <v>[Nhãn]</v>
      </c>
      <c r="C4220" s="87" t="str">
        <f>IFERROR(__xludf.DUMMYFUNCTION("""COMPUTED_VALUE"""),"NHG3394")</f>
        <v>NHG3394</v>
      </c>
      <c r="D4220" s="87" t="str">
        <f>IFERROR(__xludf.DUMMYFUNCTION("""COMPUTED_VALUE"""),"[Nhãn] GC - IV - 3394 - LOT ASAHI NHẬT BẢN - BORAMIX (Gel đỏ cam) - 500ml - 40")</f>
        <v>[Nhãn] GC - IV - 3394 - LOT ASAHI NHẬT BẢN - BORAMIX (Gel đỏ cam) - 500ml - 40</v>
      </c>
      <c r="E4220" s="87" t="str">
        <f>IFERROR(__xludf.DUMMYFUNCTION("""COMPUTED_VALUE"""),"Vi lượng Run Fast")</f>
        <v>Vi lượng Run Fast</v>
      </c>
      <c r="F4220" s="87" t="str">
        <f>IFERROR(__xludf.DUMMYFUNCTION("""COMPUTED_VALUE"""),"HH3394")</f>
        <v>HH3394</v>
      </c>
      <c r="G4220" s="87" t="str">
        <f>IFERROR(__xludf.DUMMYFUNCTION("""COMPUTED_VALUE"""),"GC - IV - 3394 - LOT ASAHI NHẬT BẢN - BORAMIX (Gel đỏ cam) - 500ml - 40")</f>
        <v>GC - IV - 3394 - LOT ASAHI NHẬT BẢN - BORAMIX (Gel đỏ cam) - 500ml - 40</v>
      </c>
    </row>
    <row r="4221">
      <c r="A4221" s="86">
        <f>IFERROR(__xludf.DUMMYFUNCTION("""COMPUTED_VALUE"""),4219.0)</f>
        <v>4219</v>
      </c>
      <c r="B4221" s="87" t="str">
        <f>IFERROR(__xludf.DUMMYFUNCTION("""COMPUTED_VALUE"""),"[Nhãn]")</f>
        <v>[Nhãn]</v>
      </c>
      <c r="C4221" s="87" t="str">
        <f>IFERROR(__xludf.DUMMYFUNCTION("""COMPUTED_VALUE"""),"NHG3395")</f>
        <v>NHG3395</v>
      </c>
      <c r="D4221" s="87" t="str">
        <f>IFERROR(__xludf.DUMMYFUNCTION("""COMPUTED_VALUE"""),"[Nhãn] GC - IV - 3395 - LOT ASAHI NHẬT BẢN - BO MASTER (Gel đỏ cam) - 500ml - 40")</f>
        <v>[Nhãn] GC - IV - 3395 - LOT ASAHI NHẬT BẢN - BO MASTER (Gel đỏ cam) - 500ml - 40</v>
      </c>
      <c r="E4221" s="87" t="str">
        <f>IFERROR(__xludf.DUMMYFUNCTION("""COMPUTED_VALUE"""),"Vi lượng Run Fast")</f>
        <v>Vi lượng Run Fast</v>
      </c>
      <c r="F4221" s="87" t="str">
        <f>IFERROR(__xludf.DUMMYFUNCTION("""COMPUTED_VALUE"""),"HH3395")</f>
        <v>HH3395</v>
      </c>
      <c r="G4221" s="87" t="str">
        <f>IFERROR(__xludf.DUMMYFUNCTION("""COMPUTED_VALUE"""),"GC - IV - 3395 - LOT ASAHI NHẬT BẢN - BO MASTER (Gel đỏ cam) - 500ml - 40")</f>
        <v>GC - IV - 3395 - LOT ASAHI NHẬT BẢN - BO MASTER (Gel đỏ cam) - 500ml - 40</v>
      </c>
    </row>
    <row r="4222">
      <c r="A4222" s="86">
        <f>IFERROR(__xludf.DUMMYFUNCTION("""COMPUTED_VALUE"""),4220.0)</f>
        <v>4220</v>
      </c>
      <c r="B4222" s="87" t="str">
        <f>IFERROR(__xludf.DUMMYFUNCTION("""COMPUTED_VALUE"""),"[Nhãn]")</f>
        <v>[Nhãn]</v>
      </c>
      <c r="C4222" s="87" t="str">
        <f>IFERROR(__xludf.DUMMYFUNCTION("""COMPUTED_VALUE"""),"NHG3396")</f>
        <v>NHG3396</v>
      </c>
      <c r="D4222" s="87" t="str">
        <f>IFERROR(__xludf.DUMMYFUNCTION("""COMPUTED_VALUE"""),"[Nhãn] GC - IV - 3396 - LOT ASAHI NHẬT BẢN - KALIBO +++ (Gel đỏ cam) - 500ml - 40")</f>
        <v>[Nhãn] GC - IV - 3396 - LOT ASAHI NHẬT BẢN - KALIBO +++ (Gel đỏ cam) - 500ml - 40</v>
      </c>
      <c r="E4222" s="87" t="str">
        <f>IFERROR(__xludf.DUMMYFUNCTION("""COMPUTED_VALUE"""),"Vi lượng Run Fast")</f>
        <v>Vi lượng Run Fast</v>
      </c>
      <c r="F4222" s="87" t="str">
        <f>IFERROR(__xludf.DUMMYFUNCTION("""COMPUTED_VALUE"""),"HH3396")</f>
        <v>HH3396</v>
      </c>
      <c r="G4222" s="87" t="str">
        <f>IFERROR(__xludf.DUMMYFUNCTION("""COMPUTED_VALUE"""),"GC - IV - 3396 - LOT ASAHI NHẬT BẢN - KALIBO +++ (Gel đỏ cam) - 500ml - 40")</f>
        <v>GC - IV - 3396 - LOT ASAHI NHẬT BẢN - KALIBO +++ (Gel đỏ cam) - 500ml - 40</v>
      </c>
    </row>
    <row r="4223">
      <c r="A4223" s="86">
        <f>IFERROR(__xludf.DUMMYFUNCTION("""COMPUTED_VALUE"""),4221.0)</f>
        <v>4221</v>
      </c>
      <c r="B4223" s="87" t="str">
        <f>IFERROR(__xludf.DUMMYFUNCTION("""COMPUTED_VALUE"""),"[Nhãn]")</f>
        <v>[Nhãn]</v>
      </c>
      <c r="C4223" s="87" t="str">
        <f>IFERROR(__xludf.DUMMYFUNCTION("""COMPUTED_VALUE"""),"NHG3397")</f>
        <v>NHG3397</v>
      </c>
      <c r="D4223" s="87" t="str">
        <f>IFERROR(__xludf.DUMMYFUNCTION("""COMPUTED_VALUE"""),"[Nhãn] GC - IV - 3397 - LOT ASAHI NHẬT BẢN - MIRAC AS15 (Gel đỏ cam) - 500ml - 40")</f>
        <v>[Nhãn] GC - IV - 3397 - LOT ASAHI NHẬT BẢN - MIRAC AS15 (Gel đỏ cam) - 500ml - 40</v>
      </c>
      <c r="E4223" s="87" t="str">
        <f>IFERROR(__xludf.DUMMYFUNCTION("""COMPUTED_VALUE"""),"Vi lượng Run Fast")</f>
        <v>Vi lượng Run Fast</v>
      </c>
      <c r="F4223" s="87" t="str">
        <f>IFERROR(__xludf.DUMMYFUNCTION("""COMPUTED_VALUE"""),"HH3397")</f>
        <v>HH3397</v>
      </c>
      <c r="G4223" s="87" t="str">
        <f>IFERROR(__xludf.DUMMYFUNCTION("""COMPUTED_VALUE"""),"GC - IV - 3397 - LOT ASAHI NHẬT BẢN - MIRAC AS15 (Gel đỏ cam) - 500ml - 40")</f>
        <v>GC - IV - 3397 - LOT ASAHI NHẬT BẢN - MIRAC AS15 (Gel đỏ cam) - 500ml - 40</v>
      </c>
    </row>
    <row r="4224">
      <c r="A4224" s="86">
        <f>IFERROR(__xludf.DUMMYFUNCTION("""COMPUTED_VALUE"""),4222.0)</f>
        <v>4222</v>
      </c>
      <c r="B4224" s="87" t="str">
        <f>IFERROR(__xludf.DUMMYFUNCTION("""COMPUTED_VALUE"""),"[Nhãn]")</f>
        <v>[Nhãn]</v>
      </c>
      <c r="C4224" s="87" t="str">
        <f>IFERROR(__xludf.DUMMYFUNCTION("""COMPUTED_VALUE"""),"NHG3398")</f>
        <v>NHG3398</v>
      </c>
      <c r="D4224" s="87" t="str">
        <f>IFERROR(__xludf.DUMMYFUNCTION("""COMPUTED_VALUE"""),"[Nhãn] GC - IV - 3398 - LOT ASAHI NHẬT BẢN - RƯỚC ĐỌT (Gel nâu đen) - 500ml - 40")</f>
        <v>[Nhãn] GC - IV - 3398 - LOT ASAHI NHẬT BẢN - RƯỚC ĐỌT (Gel nâu đen) - 500ml - 40</v>
      </c>
      <c r="E4224" s="87" t="str">
        <f>IFERROR(__xludf.DUMMYFUNCTION("""COMPUTED_VALUE"""),"Vi lượng Quantity New")</f>
        <v>Vi lượng Quantity New</v>
      </c>
      <c r="F4224" s="87" t="str">
        <f>IFERROR(__xludf.DUMMYFUNCTION("""COMPUTED_VALUE"""),"HH3398")</f>
        <v>HH3398</v>
      </c>
      <c r="G4224" s="87" t="str">
        <f>IFERROR(__xludf.DUMMYFUNCTION("""COMPUTED_VALUE"""),"GC - IV - 3398 - LOT ASAHI NHẬT BẢN - RƯỚC ĐỌT (Gel nâu đen) - 500ml - 40")</f>
        <v>GC - IV - 3398 - LOT ASAHI NHẬT BẢN - RƯỚC ĐỌT (Gel nâu đen) - 500ml - 40</v>
      </c>
    </row>
    <row r="4225">
      <c r="A4225" s="86">
        <f>IFERROR(__xludf.DUMMYFUNCTION("""COMPUTED_VALUE"""),4223.0)</f>
        <v>4223</v>
      </c>
      <c r="B4225" s="87" t="str">
        <f>IFERROR(__xludf.DUMMYFUNCTION("""COMPUTED_VALUE"""),"[Nhãn]")</f>
        <v>[Nhãn]</v>
      </c>
      <c r="C4225" s="87" t="str">
        <f>IFERROR(__xludf.DUMMYFUNCTION("""COMPUTED_VALUE"""),"NHG3399")</f>
        <v>NHG3399</v>
      </c>
      <c r="D4225" s="87" t="str">
        <f>IFERROR(__xludf.DUMMYFUNCTION("""COMPUTED_VALUE"""),"[Nhãn] GC - IV - 3399 - LOT ASAHI NHẬT BẢN - AMIN MAX (Gel nâu đen) - 500ml - 40")</f>
        <v>[Nhãn] GC - IV - 3399 - LOT ASAHI NHẬT BẢN - AMIN MAX (Gel nâu đen) - 500ml - 40</v>
      </c>
      <c r="E4225" s="87" t="str">
        <f>IFERROR(__xludf.DUMMYFUNCTION("""COMPUTED_VALUE"""),"Vi lượng Quantity New")</f>
        <v>Vi lượng Quantity New</v>
      </c>
      <c r="F4225" s="87" t="str">
        <f>IFERROR(__xludf.DUMMYFUNCTION("""COMPUTED_VALUE"""),"HH3399")</f>
        <v>HH3399</v>
      </c>
      <c r="G4225" s="87" t="str">
        <f>IFERROR(__xludf.DUMMYFUNCTION("""COMPUTED_VALUE"""),"GC - IV - 3399 - LOT ASAHI NHẬT BẢN - AMIN MAX (Gel nâu đen) - 500ml - 40")</f>
        <v>GC - IV - 3399 - LOT ASAHI NHẬT BẢN - AMIN MAX (Gel nâu đen) - 500ml - 40</v>
      </c>
    </row>
    <row r="4226">
      <c r="A4226" s="86">
        <f>IFERROR(__xludf.DUMMYFUNCTION("""COMPUTED_VALUE"""),4224.0)</f>
        <v>4224</v>
      </c>
      <c r="B4226" s="87" t="str">
        <f>IFERROR(__xludf.DUMMYFUNCTION("""COMPUTED_VALUE"""),"[Nhãn]")</f>
        <v>[Nhãn]</v>
      </c>
      <c r="C4226" s="87" t="str">
        <f>IFERROR(__xludf.DUMMYFUNCTION("""COMPUTED_VALUE"""),"NHG3400")</f>
        <v>NHG3400</v>
      </c>
      <c r="D4226" s="87" t="str">
        <f>IFERROR(__xludf.DUMMYFUNCTION("""COMPUTED_VALUE"""),"[Nhãn] GC - IV - 3400 - LOT ASAHI NHẬT BẢN - RONGBIEN (Gel nâu đen) - 500ml - 40")</f>
        <v>[Nhãn] GC - IV - 3400 - LOT ASAHI NHẬT BẢN - RONGBIEN (Gel nâu đen) - 500ml - 40</v>
      </c>
      <c r="E4226" s="87" t="str">
        <f>IFERROR(__xludf.DUMMYFUNCTION("""COMPUTED_VALUE"""),"Vi lượng Quantity New")</f>
        <v>Vi lượng Quantity New</v>
      </c>
      <c r="F4226" s="87" t="str">
        <f>IFERROR(__xludf.DUMMYFUNCTION("""COMPUTED_VALUE"""),"HH3400")</f>
        <v>HH3400</v>
      </c>
      <c r="G4226" s="87" t="str">
        <f>IFERROR(__xludf.DUMMYFUNCTION("""COMPUTED_VALUE"""),"GC - IV - 3400 - LOT ASAHI NHẬT BẢN - RONGBIEN (Gel nâu đen) - 500ml - 40")</f>
        <v>GC - IV - 3400 - LOT ASAHI NHẬT BẢN - RONGBIEN (Gel nâu đen) - 500ml - 40</v>
      </c>
    </row>
    <row r="4227">
      <c r="A4227" s="86">
        <f>IFERROR(__xludf.DUMMYFUNCTION("""COMPUTED_VALUE"""),4225.0)</f>
        <v>4225</v>
      </c>
      <c r="B4227" s="87" t="str">
        <f>IFERROR(__xludf.DUMMYFUNCTION("""COMPUTED_VALUE"""),"[Nhãn]")</f>
        <v>[Nhãn]</v>
      </c>
      <c r="C4227" s="87" t="str">
        <f>IFERROR(__xludf.DUMMYFUNCTION("""COMPUTED_VALUE"""),"NHG3401")</f>
        <v>NHG3401</v>
      </c>
      <c r="D4227" s="87" t="str">
        <f>IFERROR(__xludf.DUMMYFUNCTION("""COMPUTED_VALUE"""),"[Nhãn] GC - IV - 3401 - LOT ASAHI NHẬT BẢN - SIÊU XANH (Gel xanh lá) - 500ml - 40")</f>
        <v>[Nhãn] GC - IV - 3401 - LOT ASAHI NHẬT BẢN - SIÊU XANH (Gel xanh lá) - 500ml - 40</v>
      </c>
      <c r="E4227" s="87" t="str">
        <f>IFERROR(__xludf.DUMMYFUNCTION("""COMPUTED_VALUE"""),"Vi lượng AGAMA-SUPPORT")</f>
        <v>Vi lượng AGAMA-SUPPORT</v>
      </c>
      <c r="F4227" s="87" t="str">
        <f>IFERROR(__xludf.DUMMYFUNCTION("""COMPUTED_VALUE"""),"HH3401")</f>
        <v>HH3401</v>
      </c>
      <c r="G4227" s="87" t="str">
        <f>IFERROR(__xludf.DUMMYFUNCTION("""COMPUTED_VALUE"""),"GC - IV - 3401 - LOT ASAHI NHẬT BẢN - SIÊU XANH (Gel xanh lá) - 500ml - 40")</f>
        <v>GC - IV - 3401 - LOT ASAHI NHẬT BẢN - SIÊU XANH (Gel xanh lá) - 500ml - 40</v>
      </c>
    </row>
    <row r="4228">
      <c r="A4228" s="86">
        <f>IFERROR(__xludf.DUMMYFUNCTION("""COMPUTED_VALUE"""),4226.0)</f>
        <v>4226</v>
      </c>
      <c r="B4228" s="87" t="str">
        <f>IFERROR(__xludf.DUMMYFUNCTION("""COMPUTED_VALUE"""),"[Nhãn]")</f>
        <v>[Nhãn]</v>
      </c>
      <c r="C4228" s="87" t="str">
        <f>IFERROR(__xludf.DUMMYFUNCTION("""COMPUTED_VALUE"""),"NHD3402")</f>
        <v>NHD3402</v>
      </c>
      <c r="D4228" s="87" t="str">
        <f>IFERROR(__xludf.DUMMYFUNCTION("""COMPUTED_VALUE"""),"[Nhãn] GC - IV - 3402 - Cty NTT - VOI THAI (Nước nâu đen) - 900ml - 20")</f>
        <v>[Nhãn] GC - IV - 3402 - Cty NTT - VOI THAI (Nước nâu đen) - 900ml - 20</v>
      </c>
      <c r="E4228" s="87" t="str">
        <f>IFERROR(__xludf.DUMMYFUNCTION("""COMPUTED_VALUE"""),"HAIHAMEC 3.6EC")</f>
        <v>HAIHAMEC 3.6EC</v>
      </c>
      <c r="F4228" s="87" t="str">
        <f>IFERROR(__xludf.DUMMYFUNCTION("""COMPUTED_VALUE"""),"HH3402")</f>
        <v>HH3402</v>
      </c>
      <c r="G4228" s="87" t="str">
        <f>IFERROR(__xludf.DUMMYFUNCTION("""COMPUTED_VALUE"""),"GC - IV - 3402 - Cty NTT - VOI THAI (Nước nâu đen) - 900ml - 20")</f>
        <v>GC - IV - 3402 - Cty NTT - VOI THAI (Nước nâu đen) - 900ml - 20</v>
      </c>
    </row>
    <row r="4229">
      <c r="A4229" s="86">
        <f>IFERROR(__xludf.DUMMYFUNCTION("""COMPUTED_VALUE"""),4227.0)</f>
        <v>4227</v>
      </c>
      <c r="B4229" s="87" t="str">
        <f>IFERROR(__xludf.DUMMYFUNCTION("""COMPUTED_VALUE"""),"[Nhãn thùng]")</f>
        <v>[Nhãn thùng]</v>
      </c>
      <c r="C4229" s="87" t="str">
        <f>IFERROR(__xludf.DUMMYFUNCTION("""COMPUTED_VALUE"""),"NDT3402")</f>
        <v>NDT3402</v>
      </c>
      <c r="D4229" s="87" t="str">
        <f>IFERROR(__xludf.DUMMYFUNCTION("""COMPUTED_VALUE"""),"[Nhãn thùng] GC - IV - 3402 - Cty NTT - VOI THAI (Nước nâu đen) - 900ml - 20")</f>
        <v>[Nhãn thùng] GC - IV - 3402 - Cty NTT - VOI THAI (Nước nâu đen) - 900ml - 20</v>
      </c>
      <c r="E4229" s="87" t="str">
        <f>IFERROR(__xludf.DUMMYFUNCTION("""COMPUTED_VALUE"""),"HAIHAMEC 3.6EC")</f>
        <v>HAIHAMEC 3.6EC</v>
      </c>
      <c r="F4229" s="87" t="str">
        <f>IFERROR(__xludf.DUMMYFUNCTION("""COMPUTED_VALUE"""),"HH3402")</f>
        <v>HH3402</v>
      </c>
      <c r="G4229" s="87" t="str">
        <f>IFERROR(__xludf.DUMMYFUNCTION("""COMPUTED_VALUE"""),"GC - IV - 3402 - Cty NTT - VOI THAI (Nước nâu đen) - 900ml - 20")</f>
        <v>GC - IV - 3402 - Cty NTT - VOI THAI (Nước nâu đen) - 900ml - 20</v>
      </c>
    </row>
    <row r="4230">
      <c r="A4230" s="86">
        <f>IFERROR(__xludf.DUMMYFUNCTION("""COMPUTED_VALUE"""),4228.0)</f>
        <v>4228</v>
      </c>
      <c r="B4230" s="87" t="str">
        <f>IFERROR(__xludf.DUMMYFUNCTION("""COMPUTED_VALUE"""),"[Nhãn thùng]")</f>
        <v>[Nhãn thùng]</v>
      </c>
      <c r="C4230" s="87" t="str">
        <f>IFERROR(__xludf.DUMMYFUNCTION("""COMPUTED_VALUE"""),"NDT3403")</f>
        <v>NDT3403</v>
      </c>
      <c r="D4230" s="87" t="str">
        <f>IFERROR(__xludf.DUMMYFUNCTION("""COMPUTED_VALUE"""),"[Nhãn thùng] GC - IV - 3403 - CTY DONA VINA - VUA RẦY REB (Nước vàng trà) - 10ml - 300")</f>
        <v>[Nhãn thùng] GC - IV - 3403 - CTY DONA VINA - VUA RẦY REB (Nước vàng trà) - 10ml - 300</v>
      </c>
      <c r="E4230" s="87" t="str">
        <f>IFERROR(__xludf.DUMMYFUNCTION("""COMPUTED_VALUE"""),"Thipro 550EC")</f>
        <v>Thipro 550EC</v>
      </c>
      <c r="F4230" s="87" t="str">
        <f>IFERROR(__xludf.DUMMYFUNCTION("""COMPUTED_VALUE"""),"HH3403")</f>
        <v>HH3403</v>
      </c>
      <c r="G4230" s="87" t="str">
        <f>IFERROR(__xludf.DUMMYFUNCTION("""COMPUTED_VALUE"""),"GC - IV - 3403 - CTY DONA VINA - VUA RẦY REB (Nước vàng trà) - 10ml - 300")</f>
        <v>GC - IV - 3403 - CTY DONA VINA - VUA RẦY REB (Nước vàng trà) - 10ml - 300</v>
      </c>
    </row>
    <row r="4231">
      <c r="A4231" s="86">
        <f>IFERROR(__xludf.DUMMYFUNCTION("""COMPUTED_VALUE"""),4229.0)</f>
        <v>4229</v>
      </c>
      <c r="B4231" s="87" t="str">
        <f>IFERROR(__xludf.DUMMYFUNCTION("""COMPUTED_VALUE"""),"[Nhãn]")</f>
        <v>[Nhãn]</v>
      </c>
      <c r="C4231" s="87" t="str">
        <f>IFERROR(__xludf.DUMMYFUNCTION("""COMPUTED_VALUE"""),"NTN3403")</f>
        <v>NTN3403</v>
      </c>
      <c r="D4231" s="87" t="str">
        <f>IFERROR(__xludf.DUMMYFUNCTION("""COMPUTED_VALUE"""),"[Nhãn] GC - IV - 3403 - CTY DONA VINA - VUA RẦY REB (Nước vàng trà) - 10ml - 300")</f>
        <v>[Nhãn] GC - IV - 3403 - CTY DONA VINA - VUA RẦY REB (Nước vàng trà) - 10ml - 300</v>
      </c>
      <c r="E4231" s="87" t="str">
        <f>IFERROR(__xludf.DUMMYFUNCTION("""COMPUTED_VALUE"""),"Thipro 550EC")</f>
        <v>Thipro 550EC</v>
      </c>
      <c r="F4231" s="87" t="str">
        <f>IFERROR(__xludf.DUMMYFUNCTION("""COMPUTED_VALUE"""),"HH3403")</f>
        <v>HH3403</v>
      </c>
      <c r="G4231" s="87" t="str">
        <f>IFERROR(__xludf.DUMMYFUNCTION("""COMPUTED_VALUE"""),"GC - IV - 3403 - CTY DONA VINA - VUA RẦY REB (Nước vàng trà) - 10ml - 300")</f>
        <v>GC - IV - 3403 - CTY DONA VINA - VUA RẦY REB (Nước vàng trà) - 10ml - 300</v>
      </c>
    </row>
    <row r="4232">
      <c r="A4232" s="86">
        <f>IFERROR(__xludf.DUMMYFUNCTION("""COMPUTED_VALUE"""),4230.0)</f>
        <v>4230</v>
      </c>
      <c r="B4232" s="87" t="str">
        <f>IFERROR(__xludf.DUMMYFUNCTION("""COMPUTED_VALUE"""),"[Nhãn]")</f>
        <v>[Nhãn]</v>
      </c>
      <c r="C4232" s="87" t="str">
        <f>IFERROR(__xludf.DUMMYFUNCTION("""COMPUTED_VALUE"""),"NHG3404")</f>
        <v>NHG3404</v>
      </c>
      <c r="D4232" s="87" t="str">
        <f>IFERROR(__xludf.DUMMYFUNCTION("""COMPUTED_VALUE"""),"[Nhãn] GC - IV - 3404 - CTY HÓA NÔNG SHINO - PERIN ẤN - 100gr - 100")</f>
        <v>[Nhãn] GC - IV - 3404 - CTY HÓA NÔNG SHINO - PERIN ẤN - 100gr - 100</v>
      </c>
      <c r="E4232" s="87" t="str">
        <f>IFERROR(__xludf.DUMMYFUNCTION("""COMPUTED_VALUE"""),"FULLKILL 50EC")</f>
        <v>FULLKILL 50EC</v>
      </c>
      <c r="F4232" s="87" t="str">
        <f>IFERROR(__xludf.DUMMYFUNCTION("""COMPUTED_VALUE"""),"HH3404")</f>
        <v>HH3404</v>
      </c>
      <c r="G4232" s="87" t="str">
        <f>IFERROR(__xludf.DUMMYFUNCTION("""COMPUTED_VALUE"""),"GC - IV - 3404 - Cty Hóa Nông Shino- PERIN ẤN - 100gr - 100")</f>
        <v>GC - IV - 3404 - Cty Hóa Nông Shino- PERIN ẤN - 100gr - 100</v>
      </c>
    </row>
    <row r="4233">
      <c r="A4233" s="86">
        <f>IFERROR(__xludf.DUMMYFUNCTION("""COMPUTED_VALUE"""),4231.0)</f>
        <v>4231</v>
      </c>
      <c r="B4233" s="87" t="str">
        <f>IFERROR(__xludf.DUMMYFUNCTION("""COMPUTED_VALUE"""),"[Nhãn]")</f>
        <v>[Nhãn]</v>
      </c>
      <c r="C4233" s="87" t="str">
        <f>IFERROR(__xludf.DUMMYFUNCTION("""COMPUTED_VALUE"""),"NTN3405")</f>
        <v>NTN3405</v>
      </c>
      <c r="D4233" s="87" t="str">
        <f>IFERROR(__xludf.DUMMYFUNCTION("""COMPUTED_VALUE"""),"[Nhãn] GC - IV - 3405 - CTY NANOTECH USA - MANCOBGO 80WP (Bột xanh) - 1kg - 20")</f>
        <v>[Nhãn] GC - IV - 3405 - CTY NANOTECH USA - MANCOBGO 80WP (Bột xanh) - 1kg - 20</v>
      </c>
      <c r="E4233" s="87" t="str">
        <f>IFERROR(__xludf.DUMMYFUNCTION("""COMPUTED_VALUE"""),"MANCOBGO 80WP")</f>
        <v>MANCOBGO 80WP</v>
      </c>
      <c r="F4233" s="87" t="str">
        <f>IFERROR(__xludf.DUMMYFUNCTION("""COMPUTED_VALUE"""),"HH3405")</f>
        <v>HH3405</v>
      </c>
      <c r="G4233" s="87" t="str">
        <f>IFERROR(__xludf.DUMMYFUNCTION("""COMPUTED_VALUE"""),"GC - IV - 3405 - CTY NANOTECH USA - MANCOBGO 80WP (Bột xanh) - 1kg - 20")</f>
        <v>GC - IV - 3405 - CTY NANOTECH USA - MANCOBGO 80WP (Bột xanh) - 1kg - 20</v>
      </c>
    </row>
    <row r="4234">
      <c r="A4234" s="86">
        <f>IFERROR(__xludf.DUMMYFUNCTION("""COMPUTED_VALUE"""),4232.0)</f>
        <v>4232</v>
      </c>
      <c r="B4234" s="87" t="str">
        <f>IFERROR(__xludf.DUMMYFUNCTION("""COMPUTED_VALUE"""),"[Nhãn thùng]")</f>
        <v>[Nhãn thùng]</v>
      </c>
      <c r="C4234" s="87" t="str">
        <f>IFERROR(__xludf.DUMMYFUNCTION("""COMPUTED_VALUE"""),"NDT3405")</f>
        <v>NDT3405</v>
      </c>
      <c r="D4234" s="87" t="str">
        <f>IFERROR(__xludf.DUMMYFUNCTION("""COMPUTED_VALUE"""),"[Nhãn thùng] GC - IV - 3405 - CTY NANOTECH USA - MANCOBGO 80WP (Bột xanh) - 1kg - 20")</f>
        <v>[Nhãn thùng] GC - IV - 3405 - CTY NANOTECH USA - MANCOBGO 80WP (Bột xanh) - 1kg - 20</v>
      </c>
      <c r="E4234" s="87" t="str">
        <f>IFERROR(__xludf.DUMMYFUNCTION("""COMPUTED_VALUE"""),"MANCOBGO 80WP")</f>
        <v>MANCOBGO 80WP</v>
      </c>
      <c r="F4234" s="87" t="str">
        <f>IFERROR(__xludf.DUMMYFUNCTION("""COMPUTED_VALUE"""),"HH3405")</f>
        <v>HH3405</v>
      </c>
      <c r="G4234" s="87" t="str">
        <f>IFERROR(__xludf.DUMMYFUNCTION("""COMPUTED_VALUE"""),"GC - IV - 3405 - CTY NANOTECH USA - MANCOBGO 80WP (Bột xanh) - 1kg - 20")</f>
        <v>GC - IV - 3405 - CTY NANOTECH USA - MANCOBGO 80WP (Bột xanh) - 1kg - 20</v>
      </c>
    </row>
    <row r="4235">
      <c r="A4235" s="86">
        <f>IFERROR(__xludf.DUMMYFUNCTION("""COMPUTED_VALUE"""),4233.0)</f>
        <v>4233</v>
      </c>
      <c r="B4235" s="87" t="str">
        <f>IFERROR(__xludf.DUMMYFUNCTION("""COMPUTED_VALUE"""),"[Nhãn]")</f>
        <v>[Nhãn]</v>
      </c>
      <c r="C4235" s="87" t="str">
        <f>IFERROR(__xludf.DUMMYFUNCTION("""COMPUTED_VALUE"""),"NHG3406")</f>
        <v>NHG3406</v>
      </c>
      <c r="D4235" s="87" t="str">
        <f>IFERROR(__xludf.DUMMYFUNCTION("""COMPUTED_VALUE"""),"[Nhãn] GC - IV - 3406 - BIOCHEM TẤN PHÁT - AMICOL 360EC (Nước vàng trà) - 240ml - 40")</f>
        <v>[Nhãn] GC - IV - 3406 - BIOCHEM TẤN PHÁT - AMICOL 360EC (Nước vàng trà) - 240ml - 40</v>
      </c>
      <c r="E4235" s="87" t="str">
        <f>IFERROR(__xludf.DUMMYFUNCTION("""COMPUTED_VALUE"""),"AMICOL 360EC")</f>
        <v>AMICOL 360EC</v>
      </c>
      <c r="F4235" s="87" t="str">
        <f>IFERROR(__xludf.DUMMYFUNCTION("""COMPUTED_VALUE"""),"HH3406")</f>
        <v>HH3406</v>
      </c>
      <c r="G4235" s="87" t="str">
        <f>IFERROR(__xludf.DUMMYFUNCTION("""COMPUTED_VALUE"""),"GC - IV - 3406 - BIOCHEM TẤN PHÁT - AMICOL 360EC (Nước vàng trà) - 240ml - 40")</f>
        <v>GC - IV - 3406 - BIOCHEM TẤN PHÁT - AMICOL 360EC (Nước vàng trà) - 240ml - 40</v>
      </c>
    </row>
    <row r="4236">
      <c r="A4236" s="86">
        <f>IFERROR(__xludf.DUMMYFUNCTION("""COMPUTED_VALUE"""),4234.0)</f>
        <v>4234</v>
      </c>
      <c r="B4236" s="87" t="str">
        <f>IFERROR(__xludf.DUMMYFUNCTION("""COMPUTED_VALUE"""),"[Nhãn]")</f>
        <v>[Nhãn]</v>
      </c>
      <c r="C4236" s="87" t="str">
        <f>IFERROR(__xludf.DUMMYFUNCTION("""COMPUTED_VALUE"""),"NHG3407")</f>
        <v>NHG3407</v>
      </c>
      <c r="D4236" s="87" t="str">
        <f>IFERROR(__xludf.DUMMYFUNCTION("""COMPUTED_VALUE"""),"[Nhãn] GC - IV - 3407 - Kim Ngọc - Kino Root (nước nâu đen) - 500ml - 40")</f>
        <v>[Nhãn] GC - IV - 3407 - Kim Ngọc - Kino Root (nước nâu đen) - 500ml - 40</v>
      </c>
      <c r="E4236" s="87" t="str">
        <f>IFERROR(__xludf.DUMMYFUNCTION("""COMPUTED_VALUE"""),"Hỗn Hợp NP AGAMA-AP")</f>
        <v>Hỗn Hợp NP AGAMA-AP</v>
      </c>
      <c r="F4236" s="87" t="str">
        <f>IFERROR(__xludf.DUMMYFUNCTION("""COMPUTED_VALUE"""),"HH3407")</f>
        <v>HH3407</v>
      </c>
      <c r="G4236" s="87" t="str">
        <f>IFERROR(__xludf.DUMMYFUNCTION("""COMPUTED_VALUE"""),"GC - IV - 3407 - Kim Ngọc - Kino Root (nước nâu đen) - 500ml - 40")</f>
        <v>GC - IV - 3407 - Kim Ngọc - Kino Root (nước nâu đen) - 500ml - 40</v>
      </c>
    </row>
    <row r="4237">
      <c r="A4237" s="86">
        <f>IFERROR(__xludf.DUMMYFUNCTION("""COMPUTED_VALUE"""),4235.0)</f>
        <v>4235</v>
      </c>
      <c r="B4237" s="87" t="str">
        <f>IFERROR(__xludf.DUMMYFUNCTION("""COMPUTED_VALUE"""),"[Nhãn]")</f>
        <v>[Nhãn]</v>
      </c>
      <c r="C4237" s="87" t="str">
        <f>IFERROR(__xludf.DUMMYFUNCTION("""COMPUTED_VALUE"""),"NTN3408")</f>
        <v>NTN3408</v>
      </c>
      <c r="D4237" s="87" t="str">
        <f>IFERROR(__xludf.DUMMYFUNCTION("""COMPUTED_VALUE"""),"[Nhãn] GC - IV - 3408 - Cty TNC - TAR TAR NEW (Dạng cốm màu trắng ngà) - 100gr - 100")</f>
        <v>[Nhãn] GC - IV - 3408 - Cty TNC - TAR TAR NEW (Dạng cốm màu trắng ngà) - 100gr - 100</v>
      </c>
      <c r="E4237" s="87" t="str">
        <f>IFERROR(__xludf.DUMMYFUNCTION("""COMPUTED_VALUE"""),"NOFARA 35WG")</f>
        <v>NOFARA 35WG</v>
      </c>
      <c r="F4237" s="87" t="str">
        <f>IFERROR(__xludf.DUMMYFUNCTION("""COMPUTED_VALUE"""),"HH3408")</f>
        <v>HH3408</v>
      </c>
      <c r="G4237" s="87" t="str">
        <f>IFERROR(__xludf.DUMMYFUNCTION("""COMPUTED_VALUE"""),"GC - IV - 3408 - Cty TNC - TAR TAR NEW (Dạng cốm màu trắng ngà) - 100gr - 100")</f>
        <v>GC - IV - 3408 - Cty TNC - TAR TAR NEW (Dạng cốm màu trắng ngà) - 100gr - 100</v>
      </c>
    </row>
    <row r="4238">
      <c r="A4238" s="86">
        <f>IFERROR(__xludf.DUMMYFUNCTION("""COMPUTED_VALUE"""),4236.0)</f>
        <v>4236</v>
      </c>
      <c r="B4238" s="87" t="str">
        <f>IFERROR(__xludf.DUMMYFUNCTION("""COMPUTED_VALUE"""),"[Nhãn thùng]")</f>
        <v>[Nhãn thùng]</v>
      </c>
      <c r="C4238" s="87" t="str">
        <f>IFERROR(__xludf.DUMMYFUNCTION("""COMPUTED_VALUE"""),"NDT3408")</f>
        <v>NDT3408</v>
      </c>
      <c r="D4238" s="87" t="str">
        <f>IFERROR(__xludf.DUMMYFUNCTION("""COMPUTED_VALUE"""),"[Nhãn thùng] GC - IV - 3408 - Cty TNC - TAR TAR NEW (Dạng cốm màu trắng ngà) - 100gr - 100")</f>
        <v>[Nhãn thùng] GC - IV - 3408 - Cty TNC - TAR TAR NEW (Dạng cốm màu trắng ngà) - 100gr - 100</v>
      </c>
      <c r="E4238" s="87" t="str">
        <f>IFERROR(__xludf.DUMMYFUNCTION("""COMPUTED_VALUE"""),"NOFARA 35WG")</f>
        <v>NOFARA 35WG</v>
      </c>
      <c r="F4238" s="87" t="str">
        <f>IFERROR(__xludf.DUMMYFUNCTION("""COMPUTED_VALUE"""),"HH3408")</f>
        <v>HH3408</v>
      </c>
      <c r="G4238" s="87" t="str">
        <f>IFERROR(__xludf.DUMMYFUNCTION("""COMPUTED_VALUE"""),"GC - IV - 3408 - Cty TNC - TAR TAR NEW (Dạng cốm màu trắng ngà) - 100gr - 100")</f>
        <v>GC - IV - 3408 - Cty TNC - TAR TAR NEW (Dạng cốm màu trắng ngà) - 100gr - 100</v>
      </c>
    </row>
    <row r="4239">
      <c r="A4239" s="86">
        <f>IFERROR(__xludf.DUMMYFUNCTION("""COMPUTED_VALUE"""),4237.0)</f>
        <v>4237</v>
      </c>
      <c r="B4239" s="87" t="str">
        <f>IFERROR(__xludf.DUMMYFUNCTION("""COMPUTED_VALUE"""),"[Nhãn]")</f>
        <v>[Nhãn]</v>
      </c>
      <c r="C4239" s="87" t="str">
        <f>IFERROR(__xludf.DUMMYFUNCTION("""COMPUTED_VALUE"""),"NHG3409")</f>
        <v>NHG3409</v>
      </c>
      <c r="D4239" s="87" t="str">
        <f>IFERROR(__xludf.DUMMYFUNCTION("""COMPUTED_VALUE"""),"[Nhãn] IDA Global - I - 3409 - ĐL LỆ HỒNG - IDA VIL 5 (Nước trắng sữa) - 1L - 20")</f>
        <v>[Nhãn] IDA Global - I - 3409 - ĐL LỆ HỒNG - IDA VIL 5 (Nước trắng sữa) - 1L - 20</v>
      </c>
      <c r="E4239" s="87" t="str">
        <f>IFERROR(__xludf.DUMMYFUNCTION("""COMPUTED_VALUE"""),"Mekongvil 5SC")</f>
        <v>Mekongvil 5SC</v>
      </c>
      <c r="F4239" s="87" t="str">
        <f>IFERROR(__xludf.DUMMYFUNCTION("""COMPUTED_VALUE"""),"HH3409")</f>
        <v>HH3409</v>
      </c>
      <c r="G4239" s="87" t="str">
        <f>IFERROR(__xludf.DUMMYFUNCTION("""COMPUTED_VALUE"""),"IDA Global - I - 3409 - ĐL LỆ HỒNG - IDA VIL 5 (Nước trắng sữa) - 1L - 20")</f>
        <v>IDA Global - I - 3409 - ĐL LỆ HỒNG - IDA VIL 5 (Nước trắng sữa) - 1L - 20</v>
      </c>
    </row>
    <row r="4240">
      <c r="A4240" s="86">
        <f>IFERROR(__xludf.DUMMYFUNCTION("""COMPUTED_VALUE"""),4238.0)</f>
        <v>4238</v>
      </c>
      <c r="B4240" s="87" t="str">
        <f>IFERROR(__xludf.DUMMYFUNCTION("""COMPUTED_VALUE"""),"[Nhãn]")</f>
        <v>[Nhãn]</v>
      </c>
      <c r="C4240" s="87" t="str">
        <f>IFERROR(__xludf.DUMMYFUNCTION("""COMPUTED_VALUE"""),"NHG3410")</f>
        <v>NHG3410</v>
      </c>
      <c r="D4240" s="87" t="str">
        <f>IFERROR(__xludf.DUMMYFUNCTION("""COMPUTED_VALUE"""),"[Nhãn] GC - IV - 3410 - Hóa Nông Shino - Pyxoate  44EC (nước đỏ) - 450ml - 30")</f>
        <v>[Nhãn] GC - IV - 3410 - Hóa Nông Shino - Pyxoate  44EC (nước đỏ) - 450ml - 30</v>
      </c>
      <c r="E4240" s="87" t="str">
        <f>IFERROR(__xludf.DUMMYFUNCTION("""COMPUTED_VALUE"""),"PYXOATE 44EC")</f>
        <v>PYXOATE 44EC</v>
      </c>
      <c r="F4240" s="87" t="str">
        <f>IFERROR(__xludf.DUMMYFUNCTION("""COMPUTED_VALUE"""),"HH3410")</f>
        <v>HH3410</v>
      </c>
      <c r="G4240" s="87" t="str">
        <f>IFERROR(__xludf.DUMMYFUNCTION("""COMPUTED_VALUE"""),"GC - IV - 3410 - Cty Hóa Nông Shino - Pyxoate  44EC (nước đỏ) - 450ml - 30")</f>
        <v>GC - IV - 3410 - Cty Hóa Nông Shino - Pyxoate  44EC (nước đỏ) - 450ml - 30</v>
      </c>
    </row>
    <row r="4241">
      <c r="A4241" s="86">
        <f>IFERROR(__xludf.DUMMYFUNCTION("""COMPUTED_VALUE"""),4239.0)</f>
        <v>4239</v>
      </c>
      <c r="B4241" s="87" t="str">
        <f>IFERROR(__xludf.DUMMYFUNCTION("""COMPUTED_VALUE"""),"[Nhãn]")</f>
        <v>[Nhãn]</v>
      </c>
      <c r="C4241" s="87" t="str">
        <f>IFERROR(__xludf.DUMMYFUNCTION("""COMPUTED_VALUE"""),"NTN3411")</f>
        <v>NTN3411</v>
      </c>
      <c r="D4241" s="87" t="str">
        <f>IFERROR(__xludf.DUMMYFUNCTION("""COMPUTED_VALUE"""),"[Nhãn] GC - IV - 3411 - CTY NANOTECH USA - MANCOBGO 80WP (Bột xanh) - 1kg - 20")</f>
        <v>[Nhãn] GC - IV - 3411 - CTY NANOTECH USA - MANCOBGO 80WP (Bột xanh) - 1kg - 20</v>
      </c>
      <c r="E4241" s="87" t="str">
        <f>IFERROR(__xludf.DUMMYFUNCTION("""COMPUTED_VALUE"""),"MANCOBGO 80WP")</f>
        <v>MANCOBGO 80WP</v>
      </c>
      <c r="F4241" s="87" t="str">
        <f>IFERROR(__xludf.DUMMYFUNCTION("""COMPUTED_VALUE"""),"HH3411")</f>
        <v>HH3411</v>
      </c>
      <c r="G4241" s="87" t="str">
        <f>IFERROR(__xludf.DUMMYFUNCTION("""COMPUTED_VALUE"""),"GC - IV - 3411 - CTY NANOTECH USA - MANCOBGO 80WP (Bột xanh) - 1kg - 20")</f>
        <v>GC - IV - 3411 - CTY NANOTECH USA - MANCOBGO 80WP (Bột xanh) - 1kg - 20</v>
      </c>
    </row>
    <row r="4242">
      <c r="A4242" s="86">
        <f>IFERROR(__xludf.DUMMYFUNCTION("""COMPUTED_VALUE"""),4240.0)</f>
        <v>4240</v>
      </c>
      <c r="B4242" s="87" t="str">
        <f>IFERROR(__xludf.DUMMYFUNCTION("""COMPUTED_VALUE"""),"[Nhãn thùng]")</f>
        <v>[Nhãn thùng]</v>
      </c>
      <c r="C4242" s="87" t="str">
        <f>IFERROR(__xludf.DUMMYFUNCTION("""COMPUTED_VALUE"""),"NDT3411")</f>
        <v>NDT3411</v>
      </c>
      <c r="D4242" s="87" t="str">
        <f>IFERROR(__xludf.DUMMYFUNCTION("""COMPUTED_VALUE"""),"[Nhãn thùng] GC - IV - 3411 - CTY NANOTECH USA - MANCOBGO 80WP (Bột xanh) - 1kg - 20")</f>
        <v>[Nhãn thùng] GC - IV - 3411 - CTY NANOTECH USA - MANCOBGO 80WP (Bột xanh) - 1kg - 20</v>
      </c>
      <c r="E4242" s="87" t="str">
        <f>IFERROR(__xludf.DUMMYFUNCTION("""COMPUTED_VALUE"""),"MANCOBGO 80WP")</f>
        <v>MANCOBGO 80WP</v>
      </c>
      <c r="F4242" s="87" t="str">
        <f>IFERROR(__xludf.DUMMYFUNCTION("""COMPUTED_VALUE"""),"HH3411")</f>
        <v>HH3411</v>
      </c>
      <c r="G4242" s="87" t="str">
        <f>IFERROR(__xludf.DUMMYFUNCTION("""COMPUTED_VALUE"""),"GC - IV - 3411 - CTY NANOTECH USA - MANCOBGO 80WP (Bột xanh) - 1kg - 20")</f>
        <v>GC - IV - 3411 - CTY NANOTECH USA - MANCOBGO 80WP (Bột xanh) - 1kg - 20</v>
      </c>
    </row>
    <row r="4243">
      <c r="A4243" s="86">
        <f>IFERROR(__xludf.DUMMYFUNCTION("""COMPUTED_VALUE"""),4241.0)</f>
        <v>4241</v>
      </c>
      <c r="B4243" s="87" t="str">
        <f>IFERROR(__xludf.DUMMYFUNCTION("""COMPUTED_VALUE"""),"[Nhãn]")</f>
        <v>[Nhãn]</v>
      </c>
      <c r="C4243" s="87" t="str">
        <f>IFERROR(__xludf.DUMMYFUNCTION("""COMPUTED_VALUE"""),"NHG3412")</f>
        <v>NHG3412</v>
      </c>
      <c r="D4243" s="87" t="str">
        <f>IFERROR(__xludf.DUMMYFUNCTION("""COMPUTED_VALUE"""),"[Nhãn] GC - IV - 3412 - GNH - BOCA (Gel đỏ cam) - 500ml - 40")</f>
        <v>[Nhãn] GC - IV - 3412 - GNH - BOCA (Gel đỏ cam) - 500ml - 40</v>
      </c>
      <c r="E4243" s="87" t="str">
        <f>IFERROR(__xludf.DUMMYFUNCTION("""COMPUTED_VALUE"""),"Vi lượng Run Fast")</f>
        <v>Vi lượng Run Fast</v>
      </c>
      <c r="F4243" s="87" t="str">
        <f>IFERROR(__xludf.DUMMYFUNCTION("""COMPUTED_VALUE"""),"HH3412")</f>
        <v>HH3412</v>
      </c>
      <c r="G4243" s="87" t="str">
        <f>IFERROR(__xludf.DUMMYFUNCTION("""COMPUTED_VALUE"""),"GC - IV - 3412 - GNH - BOCA (Gel đỏ cam) - 500ml - 40")</f>
        <v>GC - IV - 3412 - GNH - BOCA (Gel đỏ cam) - 500ml - 40</v>
      </c>
    </row>
    <row r="4244">
      <c r="A4244" s="86">
        <f>IFERROR(__xludf.DUMMYFUNCTION("""COMPUTED_VALUE"""),4242.0)</f>
        <v>4242</v>
      </c>
      <c r="B4244" s="87" t="str">
        <f>IFERROR(__xludf.DUMMYFUNCTION("""COMPUTED_VALUE"""),"[Nhãn]")</f>
        <v>[Nhãn]</v>
      </c>
      <c r="C4244" s="87" t="str">
        <f>IFERROR(__xludf.DUMMYFUNCTION("""COMPUTED_VALUE"""),"NHG3413")</f>
        <v>NHG3413</v>
      </c>
      <c r="D4244" s="87" t="str">
        <f>IFERROR(__xludf.DUMMYFUNCTION("""COMPUTED_VALUE"""),"[Nhãn] GC - IV - 3413 - RICH FARMER - DIỆP LỤC TỐ (Gel xanh lá) - 500ml - 40")</f>
        <v>[Nhãn] GC - IV - 3413 - RICH FARMER - DIỆP LỤC TỐ (Gel xanh lá) - 500ml - 40</v>
      </c>
      <c r="E4244" s="87" t="str">
        <f>IFERROR(__xludf.DUMMYFUNCTION("""COMPUTED_VALUE"""),"Vi lượng AGAMA-SUPPORT")</f>
        <v>Vi lượng AGAMA-SUPPORT</v>
      </c>
      <c r="F4244" s="87" t="str">
        <f>IFERROR(__xludf.DUMMYFUNCTION("""COMPUTED_VALUE"""),"HH3413")</f>
        <v>HH3413</v>
      </c>
      <c r="G4244" s="87" t="str">
        <f>IFERROR(__xludf.DUMMYFUNCTION("""COMPUTED_VALUE"""),"GC - IV - 3413 - RICH FARMER - DIỆP LỤC TỐ (Gel xanh lá) - 500ml - 40")</f>
        <v>GC - IV - 3413 - RICH FARMER - DIỆP LỤC TỐ (Gel xanh lá) - 500ml - 40</v>
      </c>
    </row>
    <row r="4245">
      <c r="A4245" s="86">
        <f>IFERROR(__xludf.DUMMYFUNCTION("""COMPUTED_VALUE"""),4243.0)</f>
        <v>4243</v>
      </c>
      <c r="B4245" s="87" t="str">
        <f>IFERROR(__xludf.DUMMYFUNCTION("""COMPUTED_VALUE"""),"[Nhãn]")</f>
        <v>[Nhãn]</v>
      </c>
      <c r="C4245" s="87" t="str">
        <f>IFERROR(__xludf.DUMMYFUNCTION("""COMPUTED_VALUE"""),"NHG3414")</f>
        <v>NHG3414</v>
      </c>
      <c r="D4245" s="87" t="str">
        <f>IFERROR(__xludf.DUMMYFUNCTION("""COMPUTED_VALUE"""),"[Nhãn] GC - IV - 3414 - RICH FARMER - KÍCH PHÁT TỐ HOA TRÁI (Gel xanh lá) - 500ml - 40")</f>
        <v>[Nhãn] GC - IV - 3414 - RICH FARMER - KÍCH PHÁT TỐ HOA TRÁI (Gel xanh lá) - 500ml - 40</v>
      </c>
      <c r="E4245" s="87" t="str">
        <f>IFERROR(__xludf.DUMMYFUNCTION("""COMPUTED_VALUE"""),"Vi lượng AGAMA-SUPPORT")</f>
        <v>Vi lượng AGAMA-SUPPORT</v>
      </c>
      <c r="F4245" s="87" t="str">
        <f>IFERROR(__xludf.DUMMYFUNCTION("""COMPUTED_VALUE"""),"HH3414")</f>
        <v>HH3414</v>
      </c>
      <c r="G4245" s="87" t="str">
        <f>IFERROR(__xludf.DUMMYFUNCTION("""COMPUTED_VALUE"""),"GC - IV - 3414 - RICH FARMER - KÍCH PHÁT TỐ HOA TRÁI (Gel xanh lá) - 500ml - 40")</f>
        <v>GC - IV - 3414 - RICH FARMER - KÍCH PHÁT TỐ HOA TRÁI (Gel xanh lá) - 500ml - 40</v>
      </c>
    </row>
    <row r="4246">
      <c r="A4246" s="86">
        <f>IFERROR(__xludf.DUMMYFUNCTION("""COMPUTED_VALUE"""),4244.0)</f>
        <v>4244</v>
      </c>
      <c r="B4246" s="87" t="str">
        <f>IFERROR(__xludf.DUMMYFUNCTION("""COMPUTED_VALUE"""),"[Nhãn]")</f>
        <v>[Nhãn]</v>
      </c>
      <c r="C4246" s="87" t="str">
        <f>IFERROR(__xludf.DUMMYFUNCTION("""COMPUTED_VALUE"""),"NHG3419")</f>
        <v>NHG3419</v>
      </c>
      <c r="D4246" s="87" t="str">
        <f>IFERROR(__xludf.DUMMYFUNCTION("""COMPUTED_VALUE"""),"[Nhãn] GC - IV - 3419 - RICH FARMER - SUPER PHOSKA (Gel nâu đen) - 500ml - 40")</f>
        <v>[Nhãn] GC - IV - 3419 - RICH FARMER - SUPER PHOSKA (Gel nâu đen) - 500ml - 40</v>
      </c>
      <c r="E4246" s="87" t="str">
        <f>IFERROR(__xludf.DUMMYFUNCTION("""COMPUTED_VALUE"""),"Vi lượng Quantity New")</f>
        <v>Vi lượng Quantity New</v>
      </c>
      <c r="F4246" s="87" t="str">
        <f>IFERROR(__xludf.DUMMYFUNCTION("""COMPUTED_VALUE"""),"HH3419")</f>
        <v>HH3419</v>
      </c>
      <c r="G4246" s="87" t="str">
        <f>IFERROR(__xludf.DUMMYFUNCTION("""COMPUTED_VALUE"""),"GC - IV - 3419 - RICH FARMER - SUPER PHOSKA (Gel nâu đen) - 500ml - 40")</f>
        <v>GC - IV - 3419 - RICH FARMER - SUPER PHOSKA (Gel nâu đen) - 500ml - 40</v>
      </c>
    </row>
    <row r="4247">
      <c r="A4247" s="86">
        <f>IFERROR(__xludf.DUMMYFUNCTION("""COMPUTED_VALUE"""),4245.0)</f>
        <v>4245</v>
      </c>
      <c r="B4247" s="87" t="str">
        <f>IFERROR(__xludf.DUMMYFUNCTION("""COMPUTED_VALUE"""),"[Nhãn]")</f>
        <v>[Nhãn]</v>
      </c>
      <c r="C4247" s="87" t="str">
        <f>IFERROR(__xludf.DUMMYFUNCTION("""COMPUTED_VALUE"""),"NHG3420")</f>
        <v>NHG3420</v>
      </c>
      <c r="D4247" s="87" t="str">
        <f>IFERROR(__xludf.DUMMYFUNCTION("""COMPUTED_VALUE"""),"[Nhãn] GC - IV - 3420 - RICH FARMER - SUPER ROOTS SIÊU KÍCH RỄ (Gel nâu đen) - 500ml - 40")</f>
        <v>[Nhãn] GC - IV - 3420 - RICH FARMER - SUPER ROOTS SIÊU KÍCH RỄ (Gel nâu đen) - 500ml - 40</v>
      </c>
      <c r="E4247" s="87" t="str">
        <f>IFERROR(__xludf.DUMMYFUNCTION("""COMPUTED_VALUE"""),"Vi lượng Quantity New")</f>
        <v>Vi lượng Quantity New</v>
      </c>
      <c r="F4247" s="87" t="str">
        <f>IFERROR(__xludf.DUMMYFUNCTION("""COMPUTED_VALUE"""),"HH3420")</f>
        <v>HH3420</v>
      </c>
      <c r="G4247" s="87" t="str">
        <f>IFERROR(__xludf.DUMMYFUNCTION("""COMPUTED_VALUE"""),"GC - IV - 3420 - RICH FARMER - SUPER ROOTS SIÊU KÍCH RỄ (Gel nâu đen) - 500ml - 40")</f>
        <v>GC - IV - 3420 - RICH FARMER - SUPER ROOTS SIÊU KÍCH RỄ (Gel nâu đen) - 500ml - 40</v>
      </c>
    </row>
    <row r="4248">
      <c r="A4248" s="86">
        <f>IFERROR(__xludf.DUMMYFUNCTION("""COMPUTED_VALUE"""),4246.0)</f>
        <v>4246</v>
      </c>
      <c r="B4248" s="87" t="str">
        <f>IFERROR(__xludf.DUMMYFUNCTION("""COMPUTED_VALUE"""),"[Nhãn]")</f>
        <v>[Nhãn]</v>
      </c>
      <c r="C4248" s="87" t="str">
        <f>IFERROR(__xludf.DUMMYFUNCTION("""COMPUTED_VALUE"""),"NHG3422")</f>
        <v>NHG3422</v>
      </c>
      <c r="D4248" s="87" t="str">
        <f>IFERROR(__xludf.DUMMYFUNCTION("""COMPUTED_VALUE"""),"[Nhãn] GC - IV - 3422 - RICH FARMER - SUPER BO-CAXX (Gel vàng cam) - 500ml - 40")</f>
        <v>[Nhãn] GC - IV - 3422 - RICH FARMER - SUPER BO-CAXX (Gel vàng cam) - 500ml - 40</v>
      </c>
      <c r="E4248" s="87" t="str">
        <f>IFERROR(__xludf.DUMMYFUNCTION("""COMPUTED_VALUE"""),"Vi lượng Run Fast")</f>
        <v>Vi lượng Run Fast</v>
      </c>
      <c r="F4248" s="87" t="str">
        <f>IFERROR(__xludf.DUMMYFUNCTION("""COMPUTED_VALUE"""),"HH3422")</f>
        <v>HH3422</v>
      </c>
      <c r="G4248" s="87" t="str">
        <f>IFERROR(__xludf.DUMMYFUNCTION("""COMPUTED_VALUE"""),"GC - IV - 3422 - RICH FARMER - SUPER BO-CAXX (Gel vàng cam) - 500ml - 40")</f>
        <v>GC - IV - 3422 - RICH FARMER - SUPER BO-CAXX (Gel vàng cam) - 500ml - 40</v>
      </c>
    </row>
    <row r="4249">
      <c r="A4249" s="86">
        <f>IFERROR(__xludf.DUMMYFUNCTION("""COMPUTED_VALUE"""),4247.0)</f>
        <v>4247</v>
      </c>
      <c r="B4249" s="87" t="str">
        <f>IFERROR(__xludf.DUMMYFUNCTION("""COMPUTED_VALUE"""),"[Nhãn]")</f>
        <v>[Nhãn]</v>
      </c>
      <c r="C4249" s="87" t="str">
        <f>IFERROR(__xludf.DUMMYFUNCTION("""COMPUTED_VALUE"""),"NHG3426")</f>
        <v>NHG3426</v>
      </c>
      <c r="D4249" s="87" t="str">
        <f>IFERROR(__xludf.DUMMYFUNCTION("""COMPUTED_VALUE"""),"[Nhãn] GC - IV - 3426 - CTY ASAHI NHẬT BẢN - KÍCH PHÁT TỐ HOA TRÁI (Gel xanh lá) - 500ml - 40")</f>
        <v>[Nhãn] GC - IV - 3426 - CTY ASAHI NHẬT BẢN - KÍCH PHÁT TỐ HOA TRÁI (Gel xanh lá) - 500ml - 40</v>
      </c>
      <c r="E4249" s="87" t="str">
        <f>IFERROR(__xludf.DUMMYFUNCTION("""COMPUTED_VALUE"""),"Vi lượng AGAMA-SUPPORT")</f>
        <v>Vi lượng AGAMA-SUPPORT</v>
      </c>
      <c r="F4249" s="87" t="str">
        <f>IFERROR(__xludf.DUMMYFUNCTION("""COMPUTED_VALUE"""),"HH3426")</f>
        <v>HH3426</v>
      </c>
      <c r="G4249" s="87" t="str">
        <f>IFERROR(__xludf.DUMMYFUNCTION("""COMPUTED_VALUE"""),"GC - IV - 3426 - CTY ASAHI NHẬT BẢN - KÍCH PHÁT TỐ HOA TRÁI (Gel xanh lá) - 500ml - 40")</f>
        <v>GC - IV - 3426 - CTY ASAHI NHẬT BẢN - KÍCH PHÁT TỐ HOA TRÁI (Gel xanh lá) - 500ml - 40</v>
      </c>
    </row>
    <row r="4250">
      <c r="A4250" s="86">
        <f>IFERROR(__xludf.DUMMYFUNCTION("""COMPUTED_VALUE"""),4248.0)</f>
        <v>4248</v>
      </c>
      <c r="B4250" s="87" t="str">
        <f>IFERROR(__xludf.DUMMYFUNCTION("""COMPUTED_VALUE"""),"[Nhãn]")</f>
        <v>[Nhãn]</v>
      </c>
      <c r="C4250" s="87" t="str">
        <f>IFERROR(__xludf.DUMMYFUNCTION("""COMPUTED_VALUE"""),"NHG3427")</f>
        <v>NHG3427</v>
      </c>
      <c r="D4250" s="87" t="str">
        <f>IFERROR(__xludf.DUMMYFUNCTION("""COMPUTED_VALUE"""),"[Nhãn] GC - IV - 3427 - CTY ASAHI NHẬT BẢN - ORGANO PHOS ZINC (Gel xanh lá) - 500ml - 40")</f>
        <v>[Nhãn] GC - IV - 3427 - CTY ASAHI NHẬT BẢN - ORGANO PHOS ZINC (Gel xanh lá) - 500ml - 40</v>
      </c>
      <c r="E4250" s="87" t="str">
        <f>IFERROR(__xludf.DUMMYFUNCTION("""COMPUTED_VALUE"""),"Vi lượng AGAMA-SUPPORT")</f>
        <v>Vi lượng AGAMA-SUPPORT</v>
      </c>
      <c r="F4250" s="87" t="str">
        <f>IFERROR(__xludf.DUMMYFUNCTION("""COMPUTED_VALUE"""),"HH3427")</f>
        <v>HH3427</v>
      </c>
      <c r="G4250" s="87" t="str">
        <f>IFERROR(__xludf.DUMMYFUNCTION("""COMPUTED_VALUE"""),"GC - IV - 3427 - CTY ASAHI NHẬT BẢN - ORGANO PHOS ZINC (Gel xanh lá) - 500ml - 40")</f>
        <v>GC - IV - 3427 - CTY ASAHI NHẬT BẢN - ORGANO PHOS ZINC (Gel xanh lá) - 500ml - 40</v>
      </c>
    </row>
    <row r="4251">
      <c r="A4251" s="86">
        <f>IFERROR(__xludf.DUMMYFUNCTION("""COMPUTED_VALUE"""),4249.0)</f>
        <v>4249</v>
      </c>
      <c r="B4251" s="87" t="str">
        <f>IFERROR(__xludf.DUMMYFUNCTION("""COMPUTED_VALUE"""),"[Nhãn]")</f>
        <v>[Nhãn]</v>
      </c>
      <c r="C4251" s="87" t="str">
        <f>IFERROR(__xludf.DUMMYFUNCTION("""COMPUTED_VALUE"""),"NHG3428")</f>
        <v>NHG3428</v>
      </c>
      <c r="D4251" s="87" t="str">
        <f>IFERROR(__xludf.DUMMYFUNCTION("""COMPUTED_VALUE"""),"[Nhãn] GC - IV - 3428 - CTY ASAHI NHẬT BẢN - AMIN DAMCA (Gel nâu đen) - 500ml - 40")</f>
        <v>[Nhãn] GC - IV - 3428 - CTY ASAHI NHẬT BẢN - AMIN DAMCA (Gel nâu đen) - 500ml - 40</v>
      </c>
      <c r="E4251" s="87" t="str">
        <f>IFERROR(__xludf.DUMMYFUNCTION("""COMPUTED_VALUE"""),"Vi lượng Quantity New")</f>
        <v>Vi lượng Quantity New</v>
      </c>
      <c r="F4251" s="87" t="str">
        <f>IFERROR(__xludf.DUMMYFUNCTION("""COMPUTED_VALUE"""),"HH3428")</f>
        <v>HH3428</v>
      </c>
      <c r="G4251" s="87" t="str">
        <f>IFERROR(__xludf.DUMMYFUNCTION("""COMPUTED_VALUE"""),"GC - IV - 3428 - CTY ASAHI NHẬT BẢN - AMIN DAMCA (Gel nâu đen) - 500ml - 40")</f>
        <v>GC - IV - 3428 - CTY ASAHI NHẬT BẢN - AMIN DAMCA (Gel nâu đen) - 500ml - 40</v>
      </c>
    </row>
    <row r="4252">
      <c r="A4252" s="86">
        <f>IFERROR(__xludf.DUMMYFUNCTION("""COMPUTED_VALUE"""),4250.0)</f>
        <v>4250</v>
      </c>
      <c r="B4252" s="87" t="str">
        <f>IFERROR(__xludf.DUMMYFUNCTION("""COMPUTED_VALUE"""),"[Nhãn]")</f>
        <v>[Nhãn]</v>
      </c>
      <c r="C4252" s="87" t="str">
        <f>IFERROR(__xludf.DUMMYFUNCTION("""COMPUTED_VALUE"""),"NHG3429")</f>
        <v>NHG3429</v>
      </c>
      <c r="D4252" s="87" t="str">
        <f>IFERROR(__xludf.DUMMYFUNCTION("""COMPUTED_VALUE"""),"[Nhãn]  GC - IV - 3429 - CTY ASAHI NHẬT BẢN - AMIN HUMICA (Gel nâu đen) - 500ml - 40")</f>
        <v>[Nhãn]  GC - IV - 3429 - CTY ASAHI NHẬT BẢN - AMIN HUMICA (Gel nâu đen) - 500ml - 40</v>
      </c>
      <c r="E4252" s="87" t="str">
        <f>IFERROR(__xludf.DUMMYFUNCTION("""COMPUTED_VALUE"""),"Vi lượng Quantity New")</f>
        <v>Vi lượng Quantity New</v>
      </c>
      <c r="F4252" s="87" t="str">
        <f>IFERROR(__xludf.DUMMYFUNCTION("""COMPUTED_VALUE"""),"HH3429")</f>
        <v>HH3429</v>
      </c>
      <c r="G4252" s="87" t="str">
        <f>IFERROR(__xludf.DUMMYFUNCTION("""COMPUTED_VALUE"""),"GC - IV - 3429 - CTY ASAHI NHẬT BẢN - AMIN HUMICA (Gel nâu đen) - 500ml - 40")</f>
        <v>GC - IV - 3429 - CTY ASAHI NHẬT BẢN - AMIN HUMICA (Gel nâu đen) - 500ml - 40</v>
      </c>
    </row>
    <row r="4253">
      <c r="A4253" s="86">
        <f>IFERROR(__xludf.DUMMYFUNCTION("""COMPUTED_VALUE"""),4251.0)</f>
        <v>4251</v>
      </c>
      <c r="B4253" s="87" t="str">
        <f>IFERROR(__xludf.DUMMYFUNCTION("""COMPUTED_VALUE"""),"[Nhãn]")</f>
        <v>[Nhãn]</v>
      </c>
      <c r="C4253" s="87" t="str">
        <f>IFERROR(__xludf.DUMMYFUNCTION("""COMPUTED_VALUE"""),"NHG3430")</f>
        <v>NHG3430</v>
      </c>
      <c r="D4253" s="87" t="str">
        <f>IFERROR(__xludf.DUMMYFUNCTION("""COMPUTED_VALUE"""),"[Nhãn] GC - IV - 3430 - CTY ASAHI NHẬT BẢN - ROOTS SIÊU KÍCH RỄ (Gel nâu đen) - 500ml - 40")</f>
        <v>[Nhãn] GC - IV - 3430 - CTY ASAHI NHẬT BẢN - ROOTS SIÊU KÍCH RỄ (Gel nâu đen) - 500ml - 40</v>
      </c>
      <c r="E4253" s="87" t="str">
        <f>IFERROR(__xludf.DUMMYFUNCTION("""COMPUTED_VALUE"""),"Vi lượng Quantity New")</f>
        <v>Vi lượng Quantity New</v>
      </c>
      <c r="F4253" s="87" t="str">
        <f>IFERROR(__xludf.DUMMYFUNCTION("""COMPUTED_VALUE"""),"HH3430")</f>
        <v>HH3430</v>
      </c>
      <c r="G4253" s="87" t="str">
        <f>IFERROR(__xludf.DUMMYFUNCTION("""COMPUTED_VALUE"""),"GC - IV - 3430 - CTY ASAHI NHẬT BẢN - ROOTS SIÊU KÍCH RỄ (Gel nâu đen) - 500ml - 40")</f>
        <v>GC - IV - 3430 - CTY ASAHI NHẬT BẢN - ROOTS SIÊU KÍCH RỄ (Gel nâu đen) - 500ml - 40</v>
      </c>
    </row>
    <row r="4254">
      <c r="A4254" s="86">
        <f>IFERROR(__xludf.DUMMYFUNCTION("""COMPUTED_VALUE"""),4252.0)</f>
        <v>4252</v>
      </c>
      <c r="B4254" s="87" t="str">
        <f>IFERROR(__xludf.DUMMYFUNCTION("""COMPUTED_VALUE"""),"[Nhãn]")</f>
        <v>[Nhãn]</v>
      </c>
      <c r="C4254" s="87" t="str">
        <f>IFERROR(__xludf.DUMMYFUNCTION("""COMPUTED_VALUE"""),"NHG3432")</f>
        <v>NHG3432</v>
      </c>
      <c r="D4254" s="87" t="str">
        <f>IFERROR(__xludf.DUMMYFUNCTION("""COMPUTED_VALUE"""),"[Nhãn] GC - IV - 3432 - CTY ASAHI NHẬT BẢN - ORGANO BORON (Gel vàng cam) - 500ml - 40")</f>
        <v>[Nhãn] GC - IV - 3432 - CTY ASAHI NHẬT BẢN - ORGANO BORON (Gel vàng cam) - 500ml - 40</v>
      </c>
      <c r="E4254" s="87" t="str">
        <f>IFERROR(__xludf.DUMMYFUNCTION("""COMPUTED_VALUE"""),"Vi lượng Run Fast")</f>
        <v>Vi lượng Run Fast</v>
      </c>
      <c r="F4254" s="87" t="str">
        <f>IFERROR(__xludf.DUMMYFUNCTION("""COMPUTED_VALUE"""),"HH3432")</f>
        <v>HH3432</v>
      </c>
      <c r="G4254" s="87" t="str">
        <f>IFERROR(__xludf.DUMMYFUNCTION("""COMPUTED_VALUE"""),"GC - IV - 3432 - CTY ASAHI NHẬT BẢN - ORGANO BORON (Gel vàng cam) - 500ml - 40")</f>
        <v>GC - IV - 3432 - CTY ASAHI NHẬT BẢN - ORGANO BORON (Gel vàng cam) - 500ml - 40</v>
      </c>
    </row>
    <row r="4255">
      <c r="A4255" s="86">
        <f>IFERROR(__xludf.DUMMYFUNCTION("""COMPUTED_VALUE"""),4253.0)</f>
        <v>4253</v>
      </c>
      <c r="B4255" s="87" t="str">
        <f>IFERROR(__xludf.DUMMYFUNCTION("""COMPUTED_VALUE"""),"[Nhãn]")</f>
        <v>[Nhãn]</v>
      </c>
      <c r="C4255" s="87" t="str">
        <f>IFERROR(__xludf.DUMMYFUNCTION("""COMPUTED_VALUE"""),"NHG3433")</f>
        <v>NHG3433</v>
      </c>
      <c r="D4255" s="87" t="str">
        <f>IFERROR(__xludf.DUMMYFUNCTION("""COMPUTED_VALUE"""),"[Nhãn] GC - IV - 3433 - CTY ASAHI NHẬT BẢN - ORGANO CABO (Gel vàng cam) - 500ml - 40")</f>
        <v>[Nhãn] GC - IV - 3433 - CTY ASAHI NHẬT BẢN - ORGANO CABO (Gel vàng cam) - 500ml - 40</v>
      </c>
      <c r="E4255" s="87" t="str">
        <f>IFERROR(__xludf.DUMMYFUNCTION("""COMPUTED_VALUE"""),"Vi lượng Run Fast")</f>
        <v>Vi lượng Run Fast</v>
      </c>
      <c r="F4255" s="87" t="str">
        <f>IFERROR(__xludf.DUMMYFUNCTION("""COMPUTED_VALUE"""),"HH3433")</f>
        <v>HH3433</v>
      </c>
      <c r="G4255" s="87" t="str">
        <f>IFERROR(__xludf.DUMMYFUNCTION("""COMPUTED_VALUE"""),"GC - IV - 3433 - CTY ASAHI NHẬT BẢN - ORGANO CABO (Gel vàng cam) - 500ml - 40")</f>
        <v>GC - IV - 3433 - CTY ASAHI NHẬT BẢN - ORGANO CABO (Gel vàng cam) - 500ml - 40</v>
      </c>
    </row>
    <row r="4256">
      <c r="A4256" s="86">
        <f>IFERROR(__xludf.DUMMYFUNCTION("""COMPUTED_VALUE"""),4254.0)</f>
        <v>4254</v>
      </c>
      <c r="B4256" s="87" t="str">
        <f>IFERROR(__xludf.DUMMYFUNCTION("""COMPUTED_VALUE"""),"[Nhãn]")</f>
        <v>[Nhãn]</v>
      </c>
      <c r="C4256" s="87" t="str">
        <f>IFERROR(__xludf.DUMMYFUNCTION("""COMPUTED_VALUE"""),"NHG3434")</f>
        <v>NHG3434</v>
      </c>
      <c r="D4256" s="87" t="str">
        <f>IFERROR(__xludf.DUMMYFUNCTION("""COMPUTED_VALUE"""),"[Nhãn] GC - IV - 3434 - CTY ASAHI NHẬT BẢN - ORGANO KABOLI (Gel vàng cam) - 500ml - 40")</f>
        <v>[Nhãn] GC - IV - 3434 - CTY ASAHI NHẬT BẢN - ORGANO KABOLI (Gel vàng cam) - 500ml - 40</v>
      </c>
      <c r="E4256" s="87" t="str">
        <f>IFERROR(__xludf.DUMMYFUNCTION("""COMPUTED_VALUE"""),"Vi lượng Run Fast")</f>
        <v>Vi lượng Run Fast</v>
      </c>
      <c r="F4256" s="87" t="str">
        <f>IFERROR(__xludf.DUMMYFUNCTION("""COMPUTED_VALUE"""),"HH3434")</f>
        <v>HH3434</v>
      </c>
      <c r="G4256" s="87" t="str">
        <f>IFERROR(__xludf.DUMMYFUNCTION("""COMPUTED_VALUE"""),"GC - IV - 3434 - CTY ASAHI NHẬT BẢN - ORGANO KABOLI (Gel vàng cam) - 500ml - 40")</f>
        <v>GC - IV - 3434 - CTY ASAHI NHẬT BẢN - ORGANO KABOLI (Gel vàng cam) - 500ml - 40</v>
      </c>
    </row>
    <row r="4257">
      <c r="A4257" s="86">
        <f>IFERROR(__xludf.DUMMYFUNCTION("""COMPUTED_VALUE"""),4255.0)</f>
        <v>4255</v>
      </c>
      <c r="B4257" s="87" t="str">
        <f>IFERROR(__xludf.DUMMYFUNCTION("""COMPUTED_VALUE"""),"[Nhãn]")</f>
        <v>[Nhãn]</v>
      </c>
      <c r="C4257" s="87" t="str">
        <f>IFERROR(__xludf.DUMMYFUNCTION("""COMPUTED_VALUE"""),"NHG3445")</f>
        <v>NHG3445</v>
      </c>
      <c r="D4257" s="87" t="str">
        <f>IFERROR(__xludf.DUMMYFUNCTION("""COMPUTED_VALUE"""),"[Nhãn] GC - IV - 3445 - HÓA NÔNG ĐẤT VIỆT - VATINO SUPER 525SE (Nước cam sữa) - 240ml - 40")</f>
        <v>[Nhãn] GC - IV - 3445 - HÓA NÔNG ĐẤT VIỆT - VATINO SUPER 525SE (Nước cam sữa) - 240ml - 40</v>
      </c>
      <c r="E4257" s="87" t="str">
        <f>IFERROR(__xludf.DUMMYFUNCTION("""COMPUTED_VALUE"""),"VATINO SUPER 525SE")</f>
        <v>VATINO SUPER 525SE</v>
      </c>
      <c r="F4257" s="87" t="str">
        <f>IFERROR(__xludf.DUMMYFUNCTION("""COMPUTED_VALUE"""),"HH3445")</f>
        <v>HH3445</v>
      </c>
      <c r="G4257" s="87" t="str">
        <f>IFERROR(__xludf.DUMMYFUNCTION("""COMPUTED_VALUE"""),"GC - IV - 3445 - HÓA NÔNG ĐẤT VIỆT - VATINO SUPER 525SE (Nước cam sữa) - 240ml - 40")</f>
        <v>GC - IV - 3445 - HÓA NÔNG ĐẤT VIỆT - VATINO SUPER 525SE (Nước cam sữa) - 240ml - 40</v>
      </c>
    </row>
    <row r="4258">
      <c r="A4258" s="86">
        <f>IFERROR(__xludf.DUMMYFUNCTION("""COMPUTED_VALUE"""),4256.0)</f>
        <v>4256</v>
      </c>
      <c r="B4258" s="87" t="str">
        <f>IFERROR(__xludf.DUMMYFUNCTION("""COMPUTED_VALUE"""),"[Nhãn]")</f>
        <v>[Nhãn]</v>
      </c>
      <c r="C4258" s="87" t="str">
        <f>IFERROR(__xludf.DUMMYFUNCTION("""COMPUTED_VALUE"""),"NHG3446")</f>
        <v>NHG3446</v>
      </c>
      <c r="D4258" s="87" t="str">
        <f>IFERROR(__xludf.DUMMYFUNCTION("""COMPUTED_VALUE"""),"[Nhãn] GC - IV - 3446 - HÓA NÔNG ĐẤT VIỆT - YAPOKO 250SC (Nước trắng sữa) - 450ml - 40")</f>
        <v>[Nhãn] GC - IV - 3446 - HÓA NÔNG ĐẤT VIỆT - YAPOKO 250SC (Nước trắng sữa) - 450ml - 40</v>
      </c>
      <c r="E4258" s="87" t="str">
        <f>IFERROR(__xludf.DUMMYFUNCTION("""COMPUTED_VALUE"""),"YAPOKO 250SC")</f>
        <v>YAPOKO 250SC</v>
      </c>
      <c r="F4258" s="87" t="str">
        <f>IFERROR(__xludf.DUMMYFUNCTION("""COMPUTED_VALUE"""),"HH3446")</f>
        <v>HH3446</v>
      </c>
      <c r="G4258" s="87" t="str">
        <f>IFERROR(__xludf.DUMMYFUNCTION("""COMPUTED_VALUE"""),"GC - IV - 3446 - HÓA NÔNG ĐẤT VIỆT - YAPOKO 250SC (Nước trắng sữa) - 450ml - 40")</f>
        <v>GC - IV - 3446 - HÓA NÔNG ĐẤT VIỆT - YAPOKO 250SC (Nước trắng sữa) - 450ml - 40</v>
      </c>
    </row>
    <row r="4259">
      <c r="A4259" s="86">
        <f>IFERROR(__xludf.DUMMYFUNCTION("""COMPUTED_VALUE"""),4257.0)</f>
        <v>4257</v>
      </c>
      <c r="B4259" s="87" t="str">
        <f>IFERROR(__xludf.DUMMYFUNCTION("""COMPUTED_VALUE"""),"[Nhãn]")</f>
        <v>[Nhãn]</v>
      </c>
      <c r="C4259" s="87" t="str">
        <f>IFERROR(__xludf.DUMMYFUNCTION("""COMPUTED_VALUE"""),"NHG3447")</f>
        <v>NHG3447</v>
      </c>
      <c r="D4259" s="87" t="str">
        <f>IFERROR(__xludf.DUMMYFUNCTION("""COMPUTED_VALUE"""),"[Nhãn] GC - IV - 3447 - HÓA NÔNG ĐẤT VIỆT - AMINO KẼM (Gel xanh lá) - 500ml - 40")</f>
        <v>[Nhãn] GC - IV - 3447 - HÓA NÔNG ĐẤT VIỆT - AMINO KẼM (Gel xanh lá) - 500ml - 40</v>
      </c>
      <c r="E4259" s="87" t="str">
        <f>IFERROR(__xludf.DUMMYFUNCTION("""COMPUTED_VALUE"""),"Vi lượng MICKEY")</f>
        <v>Vi lượng MICKEY</v>
      </c>
      <c r="F4259" s="87" t="str">
        <f>IFERROR(__xludf.DUMMYFUNCTION("""COMPUTED_VALUE"""),"HH3447")</f>
        <v>HH3447</v>
      </c>
      <c r="G4259" s="87" t="str">
        <f>IFERROR(__xludf.DUMMYFUNCTION("""COMPUTED_VALUE"""),"GC - IV - 3447 - HÓA NÔNG ĐẤT VIỆT - AMINO KẼM (Gel xanh lá) - 500ml - 40")</f>
        <v>GC - IV - 3447 - HÓA NÔNG ĐẤT VIỆT - AMINO KẼM (Gel xanh lá) - 500ml - 40</v>
      </c>
    </row>
    <row r="4260">
      <c r="A4260" s="86">
        <f>IFERROR(__xludf.DUMMYFUNCTION("""COMPUTED_VALUE"""),4258.0)</f>
        <v>4258</v>
      </c>
      <c r="B4260" s="87" t="str">
        <f>IFERROR(__xludf.DUMMYFUNCTION("""COMPUTED_VALUE"""),"[Nhãn]")</f>
        <v>[Nhãn]</v>
      </c>
      <c r="C4260" s="87" t="str">
        <f>IFERROR(__xludf.DUMMYFUNCTION("""COMPUTED_VALUE"""),"NTN3458")</f>
        <v>NTN3458</v>
      </c>
      <c r="D4260" s="87" t="str">
        <f>IFERROR(__xludf.DUMMYFUNCTION("""COMPUTED_VALUE"""),"[Nhãn] GC - IV - 3458 - TRẦN GIA - THỎI VÀNG (Dạng cốm màu trắng ngà) - 90gr - 100")</f>
        <v>[Nhãn] GC - IV - 3458 - TRẦN GIA - THỎI VÀNG (Dạng cốm màu trắng ngà) - 90gr - 100</v>
      </c>
      <c r="E4260" s="87" t="str">
        <f>IFERROR(__xludf.DUMMYFUNCTION("""COMPUTED_VALUE"""),"MAKEGREEN 55WG")</f>
        <v>MAKEGREEN 55WG</v>
      </c>
      <c r="F4260" s="87" t="str">
        <f>IFERROR(__xludf.DUMMYFUNCTION("""COMPUTED_VALUE"""),"HH3458")</f>
        <v>HH3458</v>
      </c>
      <c r="G4260" s="87" t="str">
        <f>IFERROR(__xludf.DUMMYFUNCTION("""COMPUTED_VALUE"""),"GC - IV - 3458 - TRẦN GIA - THỎI VÀNG (Dạng cốm màu trắng ngà) - 90gr - 100")</f>
        <v>GC - IV - 3458 - TRẦN GIA - THỎI VÀNG (Dạng cốm màu trắng ngà) - 90gr - 100</v>
      </c>
    </row>
    <row r="4261">
      <c r="A4261" s="86">
        <f>IFERROR(__xludf.DUMMYFUNCTION("""COMPUTED_VALUE"""),4259.0)</f>
        <v>4259</v>
      </c>
      <c r="B4261" s="87" t="str">
        <f>IFERROR(__xludf.DUMMYFUNCTION("""COMPUTED_VALUE"""),"[Nhãn thùng]")</f>
        <v>[Nhãn thùng]</v>
      </c>
      <c r="C4261" s="87" t="str">
        <f>IFERROR(__xludf.DUMMYFUNCTION("""COMPUTED_VALUE"""),"NDT3458")</f>
        <v>NDT3458</v>
      </c>
      <c r="D4261" s="87" t="str">
        <f>IFERROR(__xludf.DUMMYFUNCTION("""COMPUTED_VALUE"""),"[Nhãn thùng] GC - IV - 3458 - TRẦN GIA - THỎI VÀNG (Dạng cốm màu trắng ngà) - 90gr - 100")</f>
        <v>[Nhãn thùng] GC - IV - 3458 - TRẦN GIA - THỎI VÀNG (Dạng cốm màu trắng ngà) - 90gr - 100</v>
      </c>
      <c r="E4261" s="87" t="str">
        <f>IFERROR(__xludf.DUMMYFUNCTION("""COMPUTED_VALUE"""),"MAKEGREEN 55WG")</f>
        <v>MAKEGREEN 55WG</v>
      </c>
      <c r="F4261" s="87" t="str">
        <f>IFERROR(__xludf.DUMMYFUNCTION("""COMPUTED_VALUE"""),"HH3458")</f>
        <v>HH3458</v>
      </c>
      <c r="G4261" s="87" t="str">
        <f>IFERROR(__xludf.DUMMYFUNCTION("""COMPUTED_VALUE"""),"GC - IV - 3458 - TRẦN GIA - THỎI VÀNG (Dạng cốm màu trắng ngà) - 90gr - 100")</f>
        <v>GC - IV - 3458 - TRẦN GIA - THỎI VÀNG (Dạng cốm màu trắng ngà) - 90gr - 100</v>
      </c>
    </row>
    <row r="4262">
      <c r="A4262" s="86">
        <f>IFERROR(__xludf.DUMMYFUNCTION("""COMPUTED_VALUE"""),4260.0)</f>
        <v>4260</v>
      </c>
      <c r="B4262" s="87" t="str">
        <f>IFERROR(__xludf.DUMMYFUNCTION("""COMPUTED_VALUE"""),"[Nhãn]")</f>
        <v>[Nhãn]</v>
      </c>
      <c r="C4262" s="87" t="str">
        <f>IFERROR(__xludf.DUMMYFUNCTION("""COMPUTED_VALUE"""),"NHG3459")</f>
        <v>NHG3459</v>
      </c>
      <c r="D4262" s="87" t="str">
        <f>IFERROR(__xludf.DUMMYFUNCTION("""COMPUTED_VALUE"""),"[Nhãn] NB - V - 3459 - PESTICIDEX - NEWFOSINATE 150SL - 900ml - 20")</f>
        <v>[Nhãn] NB - V - 3459 - PESTICIDEX - NEWFOSINATE 150SL - 900ml - 20</v>
      </c>
      <c r="E4262" s="87" t="str">
        <f>IFERROR(__xludf.DUMMYFUNCTION("""COMPUTED_VALUE"""),"NEWFOSINATE 150SL")</f>
        <v>NEWFOSINATE 150SL</v>
      </c>
      <c r="F4262" s="87" t="str">
        <f>IFERROR(__xludf.DUMMYFUNCTION("""COMPUTED_VALUE"""),"HH3459")</f>
        <v>HH3459</v>
      </c>
      <c r="G4262" s="87" t="str">
        <f>IFERROR(__xludf.DUMMYFUNCTION("""COMPUTED_VALUE"""),"NB - V - 3459 - PESTICIDEX - NEWFOSINATE 150SL - 900ml - 20")</f>
        <v>NB - V - 3459 - PESTICIDEX - NEWFOSINATE 150SL - 900ml - 20</v>
      </c>
    </row>
    <row r="4263">
      <c r="A4263" s="86">
        <f>IFERROR(__xludf.DUMMYFUNCTION("""COMPUTED_VALUE"""),4261.0)</f>
        <v>4261</v>
      </c>
      <c r="B4263" s="87" t="str">
        <f>IFERROR(__xludf.DUMMYFUNCTION("""COMPUTED_VALUE"""),"[Nhãn]")</f>
        <v>[Nhãn]</v>
      </c>
      <c r="C4263" s="87" t="str">
        <f>IFERROR(__xludf.DUMMYFUNCTION("""COMPUTED_VALUE"""),"NHD3460")</f>
        <v>NHD3460</v>
      </c>
      <c r="D4263" s="87" t="str">
        <f>IFERROR(__xludf.DUMMYFUNCTION("""COMPUTED_VALUE"""),"[Nhãn] GC - IV - 3460 - CTY QUANG ĐĂNG AGRICULTURE - PROTEIN (Nước nâu đen) - 500ml - 40")</f>
        <v>[Nhãn] GC - IV - 3460 - CTY QUANG ĐĂNG AGRICULTURE - PROTEIN (Nước nâu đen) - 500ml - 40</v>
      </c>
      <c r="E4263" s="87" t="str">
        <f>IFERROR(__xludf.DUMMYFUNCTION("""COMPUTED_VALUE"""),"Hỗn Hợp NP AGAMA-AP")</f>
        <v>Hỗn Hợp NP AGAMA-AP</v>
      </c>
      <c r="F4263" s="87" t="str">
        <f>IFERROR(__xludf.DUMMYFUNCTION("""COMPUTED_VALUE"""),"HH3460")</f>
        <v>HH3460</v>
      </c>
      <c r="G4263" s="87" t="str">
        <f>IFERROR(__xludf.DUMMYFUNCTION("""COMPUTED_VALUE"""),"GC - IV - 3460 - Cty Quang Đăng Agriculture - PROTEIN (Nước nâu đen) - 500ml - 40")</f>
        <v>GC - IV - 3460 - Cty Quang Đăng Agriculture - PROTEIN (Nước nâu đen) - 500ml - 40</v>
      </c>
    </row>
    <row r="4264">
      <c r="A4264" s="86">
        <f>IFERROR(__xludf.DUMMYFUNCTION("""COMPUTED_VALUE"""),4262.0)</f>
        <v>4262</v>
      </c>
      <c r="B4264" s="87" t="str">
        <f>IFERROR(__xludf.DUMMYFUNCTION("""COMPUTED_VALUE"""),"[Nhãn thùng]")</f>
        <v>[Nhãn thùng]</v>
      </c>
      <c r="C4264" s="87" t="str">
        <f>IFERROR(__xludf.DUMMYFUNCTION("""COMPUTED_VALUE"""),"NDT3460")</f>
        <v>NDT3460</v>
      </c>
      <c r="D4264" s="87" t="str">
        <f>IFERROR(__xludf.DUMMYFUNCTION("""COMPUTED_VALUE"""),"[Nhãn thùng] GC - IV - 3460 - CTY QUANG ĐĂNG AGRICULTURE - PROTEIN (Nước nâu đen) - 500ml - 40")</f>
        <v>[Nhãn thùng] GC - IV - 3460 - CTY QUANG ĐĂNG AGRICULTURE - PROTEIN (Nước nâu đen) - 500ml - 40</v>
      </c>
      <c r="E4264" s="87" t="str">
        <f>IFERROR(__xludf.DUMMYFUNCTION("""COMPUTED_VALUE"""),"Hỗn Hợp NP AGAMA-AP")</f>
        <v>Hỗn Hợp NP AGAMA-AP</v>
      </c>
      <c r="F4264" s="87" t="str">
        <f>IFERROR(__xludf.DUMMYFUNCTION("""COMPUTED_VALUE"""),"HH3460")</f>
        <v>HH3460</v>
      </c>
      <c r="G4264" s="87" t="str">
        <f>IFERROR(__xludf.DUMMYFUNCTION("""COMPUTED_VALUE"""),"GC - IV - 3460 - Cty Quang Đăng Agriculture - PROTEIN (Nước nâu đen) - 500ml - 40")</f>
        <v>GC - IV - 3460 - Cty Quang Đăng Agriculture - PROTEIN (Nước nâu đen) - 500ml - 40</v>
      </c>
    </row>
    <row r="4265">
      <c r="A4265" s="86">
        <f>IFERROR(__xludf.DUMMYFUNCTION("""COMPUTED_VALUE"""),4263.0)</f>
        <v>4263</v>
      </c>
      <c r="B4265" s="87" t="str">
        <f>IFERROR(__xludf.DUMMYFUNCTION("""COMPUTED_VALUE"""),"[Nhãn]")</f>
        <v>[Nhãn]</v>
      </c>
      <c r="C4265" s="87" t="str">
        <f>IFERROR(__xludf.DUMMYFUNCTION("""COMPUTED_VALUE"""),"NHG3461")</f>
        <v>NHG3461</v>
      </c>
      <c r="D4265" s="87" t="str">
        <f>IFERROR(__xludf.DUMMYFUNCTION("""COMPUTED_VALUE"""),"[Nhãn] NB - V - 3461 - CTY NAUY - NAUY DƯỠNG ĐÒNG (Nước nâu đen) - 500ml - 40")</f>
        <v>[Nhãn] NB - V - 3461 - CTY NAUY - NAUY DƯỠNG ĐÒNG (Nước nâu đen) - 500ml - 40</v>
      </c>
      <c r="E4265" s="87" t="str">
        <f>IFERROR(__xludf.DUMMYFUNCTION("""COMPUTED_VALUE"""),"Vi lượng AGAMA-SUPPORT")</f>
        <v>Vi lượng AGAMA-SUPPORT</v>
      </c>
      <c r="F4265" s="87" t="str">
        <f>IFERROR(__xludf.DUMMYFUNCTION("""COMPUTED_VALUE"""),"HH3461")</f>
        <v>HH3461</v>
      </c>
      <c r="G4265" s="87" t="str">
        <f>IFERROR(__xludf.DUMMYFUNCTION("""COMPUTED_VALUE"""),"NB - V - 3461 - CTY NAUY - NAUY DƯỠNG ĐÒNG (Nước nâu đen) - 500ml - 40")</f>
        <v>NB - V - 3461 - CTY NAUY - NAUY DƯỠNG ĐÒNG (Nước nâu đen) - 500ml - 40</v>
      </c>
    </row>
    <row r="4266">
      <c r="A4266" s="86">
        <f>IFERROR(__xludf.DUMMYFUNCTION("""COMPUTED_VALUE"""),4264.0)</f>
        <v>4264</v>
      </c>
      <c r="B4266" s="87" t="str">
        <f>IFERROR(__xludf.DUMMYFUNCTION("""COMPUTED_VALUE"""),"[Nhãn]")</f>
        <v>[Nhãn]</v>
      </c>
      <c r="C4266" s="87" t="str">
        <f>IFERROR(__xludf.DUMMYFUNCTION("""COMPUTED_VALUE"""),"NHG3462")</f>
        <v>NHG3462</v>
      </c>
      <c r="D4266" s="87" t="str">
        <f>IFERROR(__xludf.DUMMYFUNCTION("""COMPUTED_VALUE"""),"[Nhãn] NB - V - 3462 - CTY NAUY - SUPER NANO (Nước nâu đen) - 500ml - 40")</f>
        <v>[Nhãn] NB - V - 3462 - CTY NAUY - SUPER NANO (Nước nâu đen) - 500ml - 40</v>
      </c>
      <c r="E4266" s="87" t="str">
        <f>IFERROR(__xludf.DUMMYFUNCTION("""COMPUTED_VALUE"""),"Vi lượng AGAMA-SUPPORT")</f>
        <v>Vi lượng AGAMA-SUPPORT</v>
      </c>
      <c r="F4266" s="87" t="str">
        <f>IFERROR(__xludf.DUMMYFUNCTION("""COMPUTED_VALUE"""),"HH3462")</f>
        <v>HH3462</v>
      </c>
      <c r="G4266" s="87" t="str">
        <f>IFERROR(__xludf.DUMMYFUNCTION("""COMPUTED_VALUE"""),"NB - V - 3462 - CTY NAUY - SUPER NANO (Nước nâu đen) - 500ml - 40")</f>
        <v>NB - V - 3462 - CTY NAUY - SUPER NANO (Nước nâu đen) - 500ml - 40</v>
      </c>
    </row>
    <row r="4267">
      <c r="A4267" s="86">
        <f>IFERROR(__xludf.DUMMYFUNCTION("""COMPUTED_VALUE"""),4265.0)</f>
        <v>4265</v>
      </c>
      <c r="B4267" s="87" t="str">
        <f>IFERROR(__xludf.DUMMYFUNCTION("""COMPUTED_VALUE"""),"[Nhãn]")</f>
        <v>[Nhãn]</v>
      </c>
      <c r="C4267" s="87" t="str">
        <f>IFERROR(__xludf.DUMMYFUNCTION("""COMPUTED_VALUE"""),"NHG3463")</f>
        <v>NHG3463</v>
      </c>
      <c r="D4267" s="87" t="str">
        <f>IFERROR(__xludf.DUMMYFUNCTION("""COMPUTED_VALUE"""),"[Nhãn] NB - V - 3463 - CTY NAUY - GALAXY (Ra rễ) (Nước nâu đen) - 500ml - 40")</f>
        <v>[Nhãn] NB - V - 3463 - CTY NAUY - GALAXY (Ra rễ) (Nước nâu đen) - 500ml - 40</v>
      </c>
      <c r="E4267" s="87" t="str">
        <f>IFERROR(__xludf.DUMMYFUNCTION("""COMPUTED_VALUE"""),"Vi lượng AGAMA-SUPPORT")</f>
        <v>Vi lượng AGAMA-SUPPORT</v>
      </c>
      <c r="F4267" s="87" t="str">
        <f>IFERROR(__xludf.DUMMYFUNCTION("""COMPUTED_VALUE"""),"HH3463")</f>
        <v>HH3463</v>
      </c>
      <c r="G4267" s="87" t="str">
        <f>IFERROR(__xludf.DUMMYFUNCTION("""COMPUTED_VALUE"""),"NB - V - 3463 - CTY NAUY - GALAXY (Ra rễ) (Nước nâu đen) - 500ml - 40")</f>
        <v>NB - V - 3463 - CTY NAUY - GALAXY (Ra rễ) (Nước nâu đen) - 500ml - 40</v>
      </c>
    </row>
    <row r="4268">
      <c r="A4268" s="86">
        <f>IFERROR(__xludf.DUMMYFUNCTION("""COMPUTED_VALUE"""),4266.0)</f>
        <v>4266</v>
      </c>
      <c r="B4268" s="87" t="str">
        <f>IFERROR(__xludf.DUMMYFUNCTION("""COMPUTED_VALUE"""),"[Nhãn]")</f>
        <v>[Nhãn]</v>
      </c>
      <c r="C4268" s="87" t="str">
        <f>IFERROR(__xludf.DUMMYFUNCTION("""COMPUTED_VALUE"""),"NHG3465")</f>
        <v>NHG3465</v>
      </c>
      <c r="D4268" s="87" t="str">
        <f>IFERROR(__xludf.DUMMYFUNCTION("""COMPUTED_VALUE"""),"[Nhãn] GC - IV - 3465 - NHP GROUP - BRETIL SUPER 300EC (Nước vàng trà) - 200ml - 40")</f>
        <v>[Nhãn] GC - IV - 3465 - NHP GROUP - BRETIL SUPER 300EC (Nước vàng trà) - 200ml - 40</v>
      </c>
      <c r="E4268" s="87" t="str">
        <f>IFERROR(__xludf.DUMMYFUNCTION("""COMPUTED_VALUE"""),"BRETIL SUPER 300EC")</f>
        <v>BRETIL SUPER 300EC</v>
      </c>
      <c r="F4268" s="87" t="str">
        <f>IFERROR(__xludf.DUMMYFUNCTION("""COMPUTED_VALUE"""),"HH3465")</f>
        <v>HH3465</v>
      </c>
      <c r="G4268" s="87" t="str">
        <f>IFERROR(__xludf.DUMMYFUNCTION("""COMPUTED_VALUE"""),"GC - IV - 3465 - NHP GROUP - BRETIL SUPER 300EC (Nước vàng trà) - 200ml - 40")</f>
        <v>GC - IV - 3465 - NHP GROUP - BRETIL SUPER 300EC (Nước vàng trà) - 200ml - 40</v>
      </c>
    </row>
    <row r="4269">
      <c r="A4269" s="86">
        <f>IFERROR(__xludf.DUMMYFUNCTION("""COMPUTED_VALUE"""),4267.0)</f>
        <v>4267</v>
      </c>
      <c r="B4269" s="87" t="str">
        <f>IFERROR(__xludf.DUMMYFUNCTION("""COMPUTED_VALUE"""),"[Nhãn]")</f>
        <v>[Nhãn]</v>
      </c>
      <c r="C4269" s="87" t="str">
        <f>IFERROR(__xludf.DUMMYFUNCTION("""COMPUTED_VALUE"""),"NHG3466")</f>
        <v>NHG3466</v>
      </c>
      <c r="D4269" s="87" t="str">
        <f>IFERROR(__xludf.DUMMYFUNCTION("""COMPUTED_VALUE"""),"[Nhãn] GC - IV - 3466 - NHP GROUP - VATINO SUPER 525SE (Nước cam sữa) - 200ml - 40")</f>
        <v>[Nhãn] GC - IV - 3466 - NHP GROUP - VATINO SUPER 525SE (Nước cam sữa) - 200ml - 40</v>
      </c>
      <c r="E4269" s="87" t="str">
        <f>IFERROR(__xludf.DUMMYFUNCTION("""COMPUTED_VALUE"""),"VATINO SUPER 525SE")</f>
        <v>VATINO SUPER 525SE</v>
      </c>
      <c r="F4269" s="87" t="str">
        <f>IFERROR(__xludf.DUMMYFUNCTION("""COMPUTED_VALUE"""),"HH3466")</f>
        <v>HH3466</v>
      </c>
      <c r="G4269" s="87" t="str">
        <f>IFERROR(__xludf.DUMMYFUNCTION("""COMPUTED_VALUE"""),"GC - IV - 3466 - NHP GROUP - VATINO SUPER 525SE (Nước cam sữa) - 200ml - 40")</f>
        <v>GC - IV - 3466 - NHP GROUP - VATINO SUPER 525SE (Nước cam sữa) - 200ml - 40</v>
      </c>
    </row>
    <row r="4270">
      <c r="A4270" s="86">
        <f>IFERROR(__xludf.DUMMYFUNCTION("""COMPUTED_VALUE"""),4268.0)</f>
        <v>4268</v>
      </c>
      <c r="B4270" s="87" t="str">
        <f>IFERROR(__xludf.DUMMYFUNCTION("""COMPUTED_VALUE"""),"[Nhãn]")</f>
        <v>[Nhãn]</v>
      </c>
      <c r="C4270" s="87" t="str">
        <f>IFERROR(__xludf.DUMMYFUNCTION("""COMPUTED_VALUE"""),"NTN3467")</f>
        <v>NTN3467</v>
      </c>
      <c r="D4270" s="87" t="str">
        <f>IFERROR(__xludf.DUMMYFUNCTION("""COMPUTED_VALUE"""),"[Nhãn] GC - IV - 3467 - Cty NHP Group - OXYCIN 100WP (Bột màu trắng) - 100gr - 100")</f>
        <v>[Nhãn] GC - IV - 3467 - Cty NHP Group - OXYCIN 100WP (Bột màu trắng) - 100gr - 100</v>
      </c>
      <c r="E4270" s="87" t="str">
        <f>IFERROR(__xludf.DUMMYFUNCTION("""COMPUTED_VALUE"""),"Oxycin 100WP")</f>
        <v>Oxycin 100WP</v>
      </c>
      <c r="F4270" s="87" t="str">
        <f>IFERROR(__xludf.DUMMYFUNCTION("""COMPUTED_VALUE"""),"HH3467")</f>
        <v>HH3467</v>
      </c>
      <c r="G4270" s="87" t="str">
        <f>IFERROR(__xludf.DUMMYFUNCTION("""COMPUTED_VALUE"""),"GC - IV - 3467 - Cty NHP Group - OXYCIN 100WP (Bột màu trắng) - 100gr - 100")</f>
        <v>GC - IV - 3467 - Cty NHP Group - OXYCIN 100WP (Bột màu trắng) - 100gr - 100</v>
      </c>
    </row>
    <row r="4271">
      <c r="A4271" s="86">
        <f>IFERROR(__xludf.DUMMYFUNCTION("""COMPUTED_VALUE"""),4269.0)</f>
        <v>4269</v>
      </c>
      <c r="B4271" s="87" t="str">
        <f>IFERROR(__xludf.DUMMYFUNCTION("""COMPUTED_VALUE"""),"[Nhãn thùng]")</f>
        <v>[Nhãn thùng]</v>
      </c>
      <c r="C4271" s="87" t="str">
        <f>IFERROR(__xludf.DUMMYFUNCTION("""COMPUTED_VALUE"""),"NDT3467")</f>
        <v>NDT3467</v>
      </c>
      <c r="D4271" s="87" t="str">
        <f>IFERROR(__xludf.DUMMYFUNCTION("""COMPUTED_VALUE"""),"[Nhãn thùng] GC - IV - 3467 - Cty NHP Group - OXYCIN 100WP (Bột màu trắng) - 100gr - 100")</f>
        <v>[Nhãn thùng] GC - IV - 3467 - Cty NHP Group - OXYCIN 100WP (Bột màu trắng) - 100gr - 100</v>
      </c>
      <c r="E4271" s="87" t="str">
        <f>IFERROR(__xludf.DUMMYFUNCTION("""COMPUTED_VALUE"""),"Oxycin 100WP")</f>
        <v>Oxycin 100WP</v>
      </c>
      <c r="F4271" s="87" t="str">
        <f>IFERROR(__xludf.DUMMYFUNCTION("""COMPUTED_VALUE"""),"HH3467")</f>
        <v>HH3467</v>
      </c>
      <c r="G4271" s="87" t="str">
        <f>IFERROR(__xludf.DUMMYFUNCTION("""COMPUTED_VALUE"""),"GC - IV - 3467 - Cty NHP Group - OXYCIN 100WP (Bột màu trắng) - 100gr - 100")</f>
        <v>GC - IV - 3467 - Cty NHP Group - OXYCIN 100WP (Bột màu trắng) - 100gr - 100</v>
      </c>
    </row>
    <row r="4272">
      <c r="A4272" s="86">
        <f>IFERROR(__xludf.DUMMYFUNCTION("""COMPUTED_VALUE"""),4270.0)</f>
        <v>4270</v>
      </c>
      <c r="B4272" s="87" t="str">
        <f>IFERROR(__xludf.DUMMYFUNCTION("""COMPUTED_VALUE"""),"[Nhãn]")</f>
        <v>[Nhãn]</v>
      </c>
      <c r="C4272" s="87" t="str">
        <f>IFERROR(__xludf.DUMMYFUNCTION("""COMPUTED_VALUE"""),"NHG3468")</f>
        <v>NHG3468</v>
      </c>
      <c r="D4272" s="87" t="str">
        <f>IFERROR(__xludf.DUMMYFUNCTION("""COMPUTED_VALUE"""),"[Nhãn] GC - IV - 3468 - NHP GROUP - ULTRA KEO BLOOM (Nước nâu đen) - 200ml - 40")</f>
        <v>[Nhãn] GC - IV - 3468 - NHP GROUP - ULTRA KEO BLOOM (Nước nâu đen) - 200ml - 40</v>
      </c>
      <c r="E4272" s="87" t="str">
        <f>IFERROR(__xludf.DUMMYFUNCTION("""COMPUTED_VALUE"""),"Hữu cơ SH Agro Organic Fertilizer 20")</f>
        <v>Hữu cơ SH Agro Organic Fertilizer 20</v>
      </c>
      <c r="F4272" s="87" t="str">
        <f>IFERROR(__xludf.DUMMYFUNCTION("""COMPUTED_VALUE"""),"HH3468")</f>
        <v>HH3468</v>
      </c>
      <c r="G4272" s="87" t="str">
        <f>IFERROR(__xludf.DUMMYFUNCTION("""COMPUTED_VALUE"""),"GC - IV - 3468 - NHP GROUP - ULTRA KEO BLOOM (Nước nâu đen) - 200ml - 40")</f>
        <v>GC - IV - 3468 - NHP GROUP - ULTRA KEO BLOOM (Nước nâu đen) - 200ml - 40</v>
      </c>
    </row>
    <row r="4273">
      <c r="A4273" s="86">
        <f>IFERROR(__xludf.DUMMYFUNCTION("""COMPUTED_VALUE"""),4271.0)</f>
        <v>4271</v>
      </c>
      <c r="B4273" s="87" t="str">
        <f>IFERROR(__xludf.DUMMYFUNCTION("""COMPUTED_VALUE"""),"[Nhãn]")</f>
        <v>[Nhãn]</v>
      </c>
      <c r="C4273" s="87" t="str">
        <f>IFERROR(__xludf.DUMMYFUNCTION("""COMPUTED_VALUE"""),"NTN3469")</f>
        <v>NTN3469</v>
      </c>
      <c r="D4273" s="87" t="str">
        <f>IFERROR(__xludf.DUMMYFUNCTION("""COMPUTED_VALUE"""),"[Nhãn]  GC - IV - 3469 - NHP GROUP - ACETA EXTRA (Bột trắng ngà) - 100gr - 100")</f>
        <v>[Nhãn]  GC - IV - 3469 - NHP GROUP - ACETA EXTRA (Bột trắng ngà) - 100gr - 100</v>
      </c>
      <c r="E4273" s="87" t="str">
        <f>IFERROR(__xludf.DUMMYFUNCTION("""COMPUTED_VALUE"""),"CAYMANGOLD 33WP")</f>
        <v>CAYMANGOLD 33WP</v>
      </c>
      <c r="F4273" s="87" t="str">
        <f>IFERROR(__xludf.DUMMYFUNCTION("""COMPUTED_VALUE"""),"HH3469")</f>
        <v>HH3469</v>
      </c>
      <c r="G4273" s="87" t="str">
        <f>IFERROR(__xludf.DUMMYFUNCTION("""COMPUTED_VALUE"""),"GC - IV - 3469 - NHP GROUP - ACETA EXTRA (Bột trắng ngà) - 100gr - 100")</f>
        <v>GC - IV - 3469 - NHP GROUP - ACETA EXTRA (Bột trắng ngà) - 100gr - 100</v>
      </c>
    </row>
    <row r="4274">
      <c r="A4274" s="86">
        <f>IFERROR(__xludf.DUMMYFUNCTION("""COMPUTED_VALUE"""),4272.0)</f>
        <v>4272</v>
      </c>
      <c r="B4274" s="87" t="str">
        <f>IFERROR(__xludf.DUMMYFUNCTION("""COMPUTED_VALUE"""),"[Nhãn thùng]")</f>
        <v>[Nhãn thùng]</v>
      </c>
      <c r="C4274" s="87" t="str">
        <f>IFERROR(__xludf.DUMMYFUNCTION("""COMPUTED_VALUE"""),"NDT3469")</f>
        <v>NDT3469</v>
      </c>
      <c r="D4274" s="87" t="str">
        <f>IFERROR(__xludf.DUMMYFUNCTION("""COMPUTED_VALUE"""),"[Nhãn thùng]  GC - IV - 3469 - NHP GROUP - ACETA EXTRA (Bột trắng ngà) - 100gr - 100")</f>
        <v>[Nhãn thùng]  GC - IV - 3469 - NHP GROUP - ACETA EXTRA (Bột trắng ngà) - 100gr - 100</v>
      </c>
      <c r="E4274" s="87" t="str">
        <f>IFERROR(__xludf.DUMMYFUNCTION("""COMPUTED_VALUE"""),"CAYMANGOLD 33WP")</f>
        <v>CAYMANGOLD 33WP</v>
      </c>
      <c r="F4274" s="87" t="str">
        <f>IFERROR(__xludf.DUMMYFUNCTION("""COMPUTED_VALUE"""),"HH3469")</f>
        <v>HH3469</v>
      </c>
      <c r="G4274" s="87" t="str">
        <f>IFERROR(__xludf.DUMMYFUNCTION("""COMPUTED_VALUE"""),"GC - IV - 3469 - NHP GROUP - ACETA EXTRA (Bột trắng ngà) - 100gr - 100")</f>
        <v>GC - IV - 3469 - NHP GROUP - ACETA EXTRA (Bột trắng ngà) - 100gr - 100</v>
      </c>
    </row>
    <row r="4275">
      <c r="A4275" s="86">
        <f>IFERROR(__xludf.DUMMYFUNCTION("""COMPUTED_VALUE"""),4273.0)</f>
        <v>4273</v>
      </c>
      <c r="B4275" s="87" t="str">
        <f>IFERROR(__xludf.DUMMYFUNCTION("""COMPUTED_VALUE"""),"[Nhãn]")</f>
        <v>[Nhãn]</v>
      </c>
      <c r="C4275" s="87" t="str">
        <f>IFERROR(__xludf.DUMMYFUNCTION("""COMPUTED_VALUE"""),"NHD3470")</f>
        <v>NHD3470</v>
      </c>
      <c r="D4275" s="87" t="str">
        <f>IFERROR(__xludf.DUMMYFUNCTION("""COMPUTED_VALUE"""),"[Nhãn] GC - IV - 3470 - NHP GROUP - BÒ CẠP (Nước đỏ) - 400ml - 40")</f>
        <v>[Nhãn] GC - IV - 3470 - NHP GROUP - BÒ CẠP (Nước đỏ) - 400ml - 40</v>
      </c>
      <c r="E4275" s="87" t="str">
        <f>IFERROR(__xludf.DUMMYFUNCTION("""COMPUTED_VALUE"""),"Creek 2.1EC")</f>
        <v>Creek 2.1EC</v>
      </c>
      <c r="F4275" s="87" t="str">
        <f>IFERROR(__xludf.DUMMYFUNCTION("""COMPUTED_VALUE"""),"HH3470")</f>
        <v>HH3470</v>
      </c>
      <c r="G4275" s="87" t="str">
        <f>IFERROR(__xludf.DUMMYFUNCTION("""COMPUTED_VALUE"""),"GC - IV - 3470 - NHP GROUP - BÒ CẠP (Nước đỏ) - 400ml - 40")</f>
        <v>GC - IV - 3470 - NHP GROUP - BÒ CẠP (Nước đỏ) - 400ml - 40</v>
      </c>
    </row>
    <row r="4276">
      <c r="A4276" s="86">
        <f>IFERROR(__xludf.DUMMYFUNCTION("""COMPUTED_VALUE"""),4274.0)</f>
        <v>4274</v>
      </c>
      <c r="B4276" s="87" t="str">
        <f>IFERROR(__xludf.DUMMYFUNCTION("""COMPUTED_VALUE"""),"[Nhãn thùng]")</f>
        <v>[Nhãn thùng]</v>
      </c>
      <c r="C4276" s="87" t="str">
        <f>IFERROR(__xludf.DUMMYFUNCTION("""COMPUTED_VALUE"""),"NDT3470")</f>
        <v>NDT3470</v>
      </c>
      <c r="D4276" s="87" t="str">
        <f>IFERROR(__xludf.DUMMYFUNCTION("""COMPUTED_VALUE"""),"[Nhãn thùng] GC - IV - 3470 - NHP GROUP - BÒ CẠP (Nước đỏ) - 400ml - 40")</f>
        <v>[Nhãn thùng] GC - IV - 3470 - NHP GROUP - BÒ CẠP (Nước đỏ) - 400ml - 40</v>
      </c>
      <c r="E4276" s="87" t="str">
        <f>IFERROR(__xludf.DUMMYFUNCTION("""COMPUTED_VALUE"""),"Creek 2.1EC")</f>
        <v>Creek 2.1EC</v>
      </c>
      <c r="F4276" s="87" t="str">
        <f>IFERROR(__xludf.DUMMYFUNCTION("""COMPUTED_VALUE"""),"HH3470")</f>
        <v>HH3470</v>
      </c>
      <c r="G4276" s="87" t="str">
        <f>IFERROR(__xludf.DUMMYFUNCTION("""COMPUTED_VALUE"""),"GC - IV - 3470 - NHP GROUP - BÒ CẠP (Nước đỏ) - 400ml - 40")</f>
        <v>GC - IV - 3470 - NHP GROUP - BÒ CẠP (Nước đỏ) - 400ml - 40</v>
      </c>
    </row>
    <row r="4277">
      <c r="A4277" s="86">
        <f>IFERROR(__xludf.DUMMYFUNCTION("""COMPUTED_VALUE"""),4275.0)</f>
        <v>4275</v>
      </c>
      <c r="B4277" s="87" t="str">
        <f>IFERROR(__xludf.DUMMYFUNCTION("""COMPUTED_VALUE"""),"[Nhãn]")</f>
        <v>[Nhãn]</v>
      </c>
      <c r="C4277" s="87" t="str">
        <f>IFERROR(__xludf.DUMMYFUNCTION("""COMPUTED_VALUE"""),"NTN3471")</f>
        <v>NTN3471</v>
      </c>
      <c r="D4277" s="87" t="str">
        <f>IFERROR(__xludf.DUMMYFUNCTION("""COMPUTED_VALUE"""),"[Nhãn] GC - IV - 3471 - NHP GROUP - THẦN ƯNG (Bột màu trắng) - 60gr - 100")</f>
        <v>[Nhãn] GC - IV - 3471 - NHP GROUP - THẦN ƯNG (Bột màu trắng) - 60gr - 100</v>
      </c>
      <c r="E4277" s="87" t="str">
        <f>IFERROR(__xludf.DUMMYFUNCTION("""COMPUTED_VALUE"""),"NOSAU 85WP")</f>
        <v>NOSAU 85WP</v>
      </c>
      <c r="F4277" s="87" t="str">
        <f>IFERROR(__xludf.DUMMYFUNCTION("""COMPUTED_VALUE"""),"HH3471")</f>
        <v>HH3471</v>
      </c>
      <c r="G4277" s="87" t="str">
        <f>IFERROR(__xludf.DUMMYFUNCTION("""COMPUTED_VALUE"""),"GC - IV - 3471 - NHP GROUP - THẦN ƯNG (Bột màu trắng) - 60gr - 100")</f>
        <v>GC - IV - 3471 - NHP GROUP - THẦN ƯNG (Bột màu trắng) - 60gr - 100</v>
      </c>
    </row>
    <row r="4278">
      <c r="A4278" s="86">
        <f>IFERROR(__xludf.DUMMYFUNCTION("""COMPUTED_VALUE"""),4276.0)</f>
        <v>4276</v>
      </c>
      <c r="B4278" s="87" t="str">
        <f>IFERROR(__xludf.DUMMYFUNCTION("""COMPUTED_VALUE"""),"[Nhãn thùng]")</f>
        <v>[Nhãn thùng]</v>
      </c>
      <c r="C4278" s="87" t="str">
        <f>IFERROR(__xludf.DUMMYFUNCTION("""COMPUTED_VALUE"""),"NDT3471")</f>
        <v>NDT3471</v>
      </c>
      <c r="D4278" s="87" t="str">
        <f>IFERROR(__xludf.DUMMYFUNCTION("""COMPUTED_VALUE"""),"[Nhãn thùng] GC - IV - 3471 - NHP GROUP - THẦN ƯNG (Bột màu trắng) - 60gr - 100")</f>
        <v>[Nhãn thùng] GC - IV - 3471 - NHP GROUP - THẦN ƯNG (Bột màu trắng) - 60gr - 100</v>
      </c>
      <c r="E4278" s="87" t="str">
        <f>IFERROR(__xludf.DUMMYFUNCTION("""COMPUTED_VALUE"""),"NOSAU 85WP")</f>
        <v>NOSAU 85WP</v>
      </c>
      <c r="F4278" s="87" t="str">
        <f>IFERROR(__xludf.DUMMYFUNCTION("""COMPUTED_VALUE"""),"HH3471")</f>
        <v>HH3471</v>
      </c>
      <c r="G4278" s="87" t="str">
        <f>IFERROR(__xludf.DUMMYFUNCTION("""COMPUTED_VALUE"""),"GC - IV - 3471 - NHP GROUP - THẦN ƯNG (Bột màu trắng) - 60gr - 100")</f>
        <v>GC - IV - 3471 - NHP GROUP - THẦN ƯNG (Bột màu trắng) - 60gr - 100</v>
      </c>
    </row>
    <row r="4279">
      <c r="A4279" s="86">
        <f>IFERROR(__xludf.DUMMYFUNCTION("""COMPUTED_VALUE"""),4277.0)</f>
        <v>4277</v>
      </c>
      <c r="B4279" s="87" t="str">
        <f>IFERROR(__xludf.DUMMYFUNCTION("""COMPUTED_VALUE"""),"[Nhãn]")</f>
        <v>[Nhãn]</v>
      </c>
      <c r="C4279" s="87" t="str">
        <f>IFERROR(__xludf.DUMMYFUNCTION("""COMPUTED_VALUE"""),"NHG3472")</f>
        <v>NHG3472</v>
      </c>
      <c r="D4279" s="87" t="str">
        <f>IFERROR(__xludf.DUMMYFUNCTION("""COMPUTED_VALUE"""),"[Nhãn] GC - IV - 3472 - Cty Agritech - Agri Amino (Chuyên cây ăn trái) (Nước nâu đen) - 500ml - 40")</f>
        <v>[Nhãn] GC - IV - 3472 - Cty Agritech - Agri Amino (Chuyên cây ăn trái) (Nước nâu đen) - 500ml - 40</v>
      </c>
      <c r="E4279" s="87" t="str">
        <f>IFERROR(__xludf.DUMMYFUNCTION("""COMPUTED_VALUE"""),"Vi lượng Quantity New")</f>
        <v>Vi lượng Quantity New</v>
      </c>
      <c r="F4279" s="87" t="str">
        <f>IFERROR(__xludf.DUMMYFUNCTION("""COMPUTED_VALUE"""),"HH3472")</f>
        <v>HH3472</v>
      </c>
      <c r="G4279" s="87" t="str">
        <f>IFERROR(__xludf.DUMMYFUNCTION("""COMPUTED_VALUE"""),"GC - IV - 3472 - Cty Agritech - Agri Amino (Chuyên cây ăn trái) (Nước nâu đen) - 500ml - 40")</f>
        <v>GC - IV - 3472 - Cty Agritech - Agri Amino (Chuyên cây ăn trái) (Nước nâu đen) - 500ml - 40</v>
      </c>
    </row>
    <row r="4280">
      <c r="A4280" s="86">
        <f>IFERROR(__xludf.DUMMYFUNCTION("""COMPUTED_VALUE"""),4278.0)</f>
        <v>4278</v>
      </c>
      <c r="B4280" s="87" t="str">
        <f>IFERROR(__xludf.DUMMYFUNCTION("""COMPUTED_VALUE"""),"[Nhãn]")</f>
        <v>[Nhãn]</v>
      </c>
      <c r="C4280" s="87" t="str">
        <f>IFERROR(__xludf.DUMMYFUNCTION("""COMPUTED_VALUE"""),"NHG3473")</f>
        <v>NHG3473</v>
      </c>
      <c r="D4280" s="87" t="str">
        <f>IFERROR(__xludf.DUMMYFUNCTION("""COMPUTED_VALUE"""),"[Nhãn] NB - V - 3473 - CTY NAUY - NANO SIÊU VÔ GẠO (Nước nâu đen) - 500ml - 40")</f>
        <v>[Nhãn] NB - V - 3473 - CTY NAUY - NANO SIÊU VÔ GẠO (Nước nâu đen) - 500ml - 40</v>
      </c>
      <c r="E4280" s="87" t="str">
        <f>IFERROR(__xludf.DUMMYFUNCTION("""COMPUTED_VALUE"""),"Vi lượng AGAMA-SUPPORT")</f>
        <v>Vi lượng AGAMA-SUPPORT</v>
      </c>
      <c r="F4280" s="87" t="str">
        <f>IFERROR(__xludf.DUMMYFUNCTION("""COMPUTED_VALUE"""),"HH3473")</f>
        <v>HH3473</v>
      </c>
      <c r="G4280" s="87" t="str">
        <f>IFERROR(__xludf.DUMMYFUNCTION("""COMPUTED_VALUE"""),"NB - V - 3473 - CTY NAUY - NANO SIÊU VÔ GẠO (Nước nâu đen) - 500ml - 40")</f>
        <v>NB - V - 3473 - CTY NAUY - NANO SIÊU VÔ GẠO (Nước nâu đen) - 500ml - 40</v>
      </c>
    </row>
    <row r="4281">
      <c r="A4281" s="86">
        <f>IFERROR(__xludf.DUMMYFUNCTION("""COMPUTED_VALUE"""),4279.0)</f>
        <v>4279</v>
      </c>
      <c r="B4281" s="87" t="str">
        <f>IFERROR(__xludf.DUMMYFUNCTION("""COMPUTED_VALUE"""),"[Nhãn]")</f>
        <v>[Nhãn]</v>
      </c>
      <c r="C4281" s="87" t="str">
        <f>IFERROR(__xludf.DUMMYFUNCTION("""COMPUTED_VALUE"""),"NHG3474")</f>
        <v>NHG3474</v>
      </c>
      <c r="D4281" s="87" t="str">
        <f>IFERROR(__xludf.DUMMYFUNCTION("""COMPUTED_VALUE"""),"[Nhãn] NB - V - 3474 - CTY NAUY - NANO DƯỠNG ĐÒNG (Nước nâu đen) - 500ml - 40")</f>
        <v>[Nhãn] NB - V - 3474 - CTY NAUY - NANO DƯỠNG ĐÒNG (Nước nâu đen) - 500ml - 40</v>
      </c>
      <c r="E4281" s="87" t="str">
        <f>IFERROR(__xludf.DUMMYFUNCTION("""COMPUTED_VALUE"""),"Vi lượng AGAMA-SUPPORT")</f>
        <v>Vi lượng AGAMA-SUPPORT</v>
      </c>
      <c r="F4281" s="87" t="str">
        <f>IFERROR(__xludf.DUMMYFUNCTION("""COMPUTED_VALUE"""),"HH3474")</f>
        <v>HH3474</v>
      </c>
      <c r="G4281" s="87" t="str">
        <f>IFERROR(__xludf.DUMMYFUNCTION("""COMPUTED_VALUE"""),"NB - V - 3474 - CTY NAUY - NANO DƯỠNG ĐÒNG (Nước nâu đen) - 500ml - 40")</f>
        <v>NB - V - 3474 - CTY NAUY - NANO DƯỠNG ĐÒNG (Nước nâu đen) - 500ml - 40</v>
      </c>
    </row>
    <row r="4282">
      <c r="A4282" s="86">
        <f>IFERROR(__xludf.DUMMYFUNCTION("""COMPUTED_VALUE"""),4280.0)</f>
        <v>4280</v>
      </c>
      <c r="B4282" s="87" t="str">
        <f>IFERROR(__xludf.DUMMYFUNCTION("""COMPUTED_VALUE"""),"[Nhãn]")</f>
        <v>[Nhãn]</v>
      </c>
      <c r="C4282" s="87" t="str">
        <f>IFERROR(__xludf.DUMMYFUNCTION("""COMPUTED_VALUE"""),"NHG3475")</f>
        <v>NHG3475</v>
      </c>
      <c r="D4282" s="87" t="str">
        <f>IFERROR(__xludf.DUMMYFUNCTION("""COMPUTED_VALUE"""),"[Nhãn] FARMICO - VII - 3475 - CITTIZEN 333SC (Nước cam sữa) - 350ml - 40")</f>
        <v>[Nhãn] FARMICO - VII - 3475 - CITTIZEN 333SC (Nước cam sữa) - 350ml - 40</v>
      </c>
      <c r="E4282" s="87" t="str">
        <f>IFERROR(__xludf.DUMMYFUNCTION("""COMPUTED_VALUE"""),"CITTIZEN 333SC")</f>
        <v>CITTIZEN 333SC</v>
      </c>
      <c r="F4282" s="87" t="str">
        <f>IFERROR(__xludf.DUMMYFUNCTION("""COMPUTED_VALUE"""),"HH3475")</f>
        <v>HH3475</v>
      </c>
      <c r="G4282" s="87" t="str">
        <f>IFERROR(__xludf.DUMMYFUNCTION("""COMPUTED_VALUE"""),"FARMICO - VII - 3475 - CITTIZEN 333SC (Nước cam sữa) - 350ml - 40")</f>
        <v>FARMICO - VII - 3475 - CITTIZEN 333SC (Nước cam sữa) - 350ml - 40</v>
      </c>
    </row>
    <row r="4283">
      <c r="A4283" s="86">
        <f>IFERROR(__xludf.DUMMYFUNCTION("""COMPUTED_VALUE"""),4281.0)</f>
        <v>4281</v>
      </c>
      <c r="B4283" s="87" t="str">
        <f>IFERROR(__xludf.DUMMYFUNCTION("""COMPUTED_VALUE"""),"[HỘP]")</f>
        <v>[HỘP]</v>
      </c>
      <c r="C4283" s="87" t="str">
        <f>IFERROR(__xludf.DUMMYFUNCTION("""COMPUTED_VALUE"""),"HOP3475")</f>
        <v>HOP3475</v>
      </c>
      <c r="D4283" s="87" t="str">
        <f>IFERROR(__xludf.DUMMYFUNCTION("""COMPUTED_VALUE"""),"[HỘP] FARMICO - VII - 3475 - CITTIZEN 333SC (Nước cam sữa) - 350ml - 2")</f>
        <v>[HỘP] FARMICO - VII - 3475 - CITTIZEN 333SC (Nước cam sữa) - 350ml - 2</v>
      </c>
      <c r="E4283" s="87" t="str">
        <f>IFERROR(__xludf.DUMMYFUNCTION("""COMPUTED_VALUE"""),"CITTIZEN 333SC")</f>
        <v>CITTIZEN 333SC</v>
      </c>
      <c r="F4283" s="87" t="str">
        <f>IFERROR(__xludf.DUMMYFUNCTION("""COMPUTED_VALUE"""),"HH3475")</f>
        <v>HH3475</v>
      </c>
      <c r="G4283" s="87" t="str">
        <f>IFERROR(__xludf.DUMMYFUNCTION("""COMPUTED_VALUE"""),"FARMICO - VII - 3475 - CITTIZEN 333SC (Nước cam sữa) - 350ml - 40")</f>
        <v>FARMICO - VII - 3475 - CITTIZEN 333SC (Nước cam sữa) - 350ml - 40</v>
      </c>
    </row>
    <row r="4284">
      <c r="A4284" s="86">
        <f>IFERROR(__xludf.DUMMYFUNCTION("""COMPUTED_VALUE"""),4282.0)</f>
        <v>4282</v>
      </c>
      <c r="B4284" s="87" t="str">
        <f>IFERROR(__xludf.DUMMYFUNCTION("""COMPUTED_VALUE"""),"[Nhãn]")</f>
        <v>[Nhãn]</v>
      </c>
      <c r="C4284" s="87" t="str">
        <f>IFERROR(__xludf.DUMMYFUNCTION("""COMPUTED_VALUE"""),"NHG3476")</f>
        <v>NHG3476</v>
      </c>
      <c r="D4284" s="87" t="str">
        <f>IFERROR(__xludf.DUMMYFUNCTION("""COMPUTED_VALUE"""),"[Nhãn] FARMICO - VII - 3476 - GENOL 1.2SL (Nước đỏ) - 350ml - 40")</f>
        <v>[Nhãn] FARMICO - VII - 3476 - GENOL 1.2SL (Nước đỏ) - 350ml - 40</v>
      </c>
      <c r="E4284" s="87" t="str">
        <f>IFERROR(__xludf.DUMMYFUNCTION("""COMPUTED_VALUE"""),"GENOL 1.2SL")</f>
        <v>GENOL 1.2SL</v>
      </c>
      <c r="F4284" s="87" t="str">
        <f>IFERROR(__xludf.DUMMYFUNCTION("""COMPUTED_VALUE"""),"HH3476")</f>
        <v>HH3476</v>
      </c>
      <c r="G4284" s="87" t="str">
        <f>IFERROR(__xludf.DUMMYFUNCTION("""COMPUTED_VALUE"""),"FARMICO - VII - 3476 - GENOL 1.2SL (Nước đỏ) - 350ml - 40")</f>
        <v>FARMICO - VII - 3476 - GENOL 1.2SL (Nước đỏ) - 350ml - 40</v>
      </c>
    </row>
    <row r="4285">
      <c r="A4285" s="86">
        <f>IFERROR(__xludf.DUMMYFUNCTION("""COMPUTED_VALUE"""),4283.0)</f>
        <v>4283</v>
      </c>
      <c r="B4285" s="87" t="str">
        <f>IFERROR(__xludf.DUMMYFUNCTION("""COMPUTED_VALUE"""),"[Nhãn]")</f>
        <v>[Nhãn]</v>
      </c>
      <c r="C4285" s="87" t="str">
        <f>IFERROR(__xludf.DUMMYFUNCTION("""COMPUTED_VALUE"""),"NHG3477")</f>
        <v>NHG3477</v>
      </c>
      <c r="D4285" s="87" t="str">
        <f>IFERROR(__xludf.DUMMYFUNCTION("""COMPUTED_VALUE"""),"[Nhãn] GC - II - 3477 - ĐINH THẮNG ĐỒNG - GENOL 1.2SL (Nước đỏ) - 450ml - 30")</f>
        <v>[Nhãn] GC - II - 3477 - ĐINH THẮNG ĐỒNG - GENOL 1.2SL (Nước đỏ) - 450ml - 30</v>
      </c>
      <c r="E4285" s="87" t="str">
        <f>IFERROR(__xludf.DUMMYFUNCTION("""COMPUTED_VALUE"""),"GENOL 1.2SL")</f>
        <v>GENOL 1.2SL</v>
      </c>
      <c r="F4285" s="87" t="str">
        <f>IFERROR(__xludf.DUMMYFUNCTION("""COMPUTED_VALUE"""),"HH3477")</f>
        <v>HH3477</v>
      </c>
      <c r="G4285" s="87" t="str">
        <f>IFERROR(__xludf.DUMMYFUNCTION("""COMPUTED_VALUE"""),"GC - II - 3477 - ĐINH THẮNG ĐỒNG - GENOL 1.2SL (Nước đỏ) - 450ml - 30")</f>
        <v>GC - II - 3477 - ĐINH THẮNG ĐỒNG - GENOL 1.2SL (Nước đỏ) - 450ml - 30</v>
      </c>
    </row>
    <row r="4286">
      <c r="A4286" s="86">
        <f>IFERROR(__xludf.DUMMYFUNCTION("""COMPUTED_VALUE"""),4284.0)</f>
        <v>4284</v>
      </c>
      <c r="B4286" s="87" t="str">
        <f>IFERROR(__xludf.DUMMYFUNCTION("""COMPUTED_VALUE"""),"[Nhãn]")</f>
        <v>[Nhãn]</v>
      </c>
      <c r="C4286" s="87" t="str">
        <f>IFERROR(__xludf.DUMMYFUNCTION("""COMPUTED_VALUE"""),"NHG3478")</f>
        <v>NHG3478</v>
      </c>
      <c r="D4286" s="87" t="str">
        <f>IFERROR(__xludf.DUMMYFUNCTION("""COMPUTED_VALUE"""),"[Nhãn] GC - II - 3478 - ĐINH THẮNG ĐỒNG - MITOP ONE 390SC (Nước xanh bơ sữa) - 450ml - 30")</f>
        <v>[Nhãn] GC - II - 3478 - ĐINH THẮNG ĐỒNG - MITOP ONE 390SC (Nước xanh bơ sữa) - 450ml - 30</v>
      </c>
      <c r="E4286" s="87" t="str">
        <f>IFERROR(__xludf.DUMMYFUNCTION("""COMPUTED_VALUE"""),"MITOP ONE 390SC")</f>
        <v>MITOP ONE 390SC</v>
      </c>
      <c r="F4286" s="87" t="str">
        <f>IFERROR(__xludf.DUMMYFUNCTION("""COMPUTED_VALUE"""),"HH3478")</f>
        <v>HH3478</v>
      </c>
      <c r="G4286" s="87" t="str">
        <f>IFERROR(__xludf.DUMMYFUNCTION("""COMPUTED_VALUE"""),"GC - II - 3478 - ĐINH THẮNG ĐỒNG - MITOP ONE 390SC (Nước xanh bơ sữa) - 450ml - 30")</f>
        <v>GC - II - 3478 - ĐINH THẮNG ĐỒNG - MITOP ONE 390SC (Nước xanh bơ sữa) - 450ml - 30</v>
      </c>
    </row>
    <row r="4287">
      <c r="A4287" s="86">
        <f>IFERROR(__xludf.DUMMYFUNCTION("""COMPUTED_VALUE"""),4285.0)</f>
        <v>4285</v>
      </c>
      <c r="B4287" s="87" t="str">
        <f>IFERROR(__xludf.DUMMYFUNCTION("""COMPUTED_VALUE"""),"[Nhãn]")</f>
        <v>[Nhãn]</v>
      </c>
      <c r="C4287" s="87" t="str">
        <f>IFERROR(__xludf.DUMMYFUNCTION("""COMPUTED_VALUE"""),"NTN3479")</f>
        <v>NTN3479</v>
      </c>
      <c r="D4287" s="87" t="str">
        <f>IFERROR(__xludf.DUMMYFUNCTION("""COMPUTED_VALUE"""),"[Nhãn] GC - II - 3479 - ĐINH THẮNG ĐỒNG - NOFADA 822WP (Bột cam) - 100gr - 100")</f>
        <v>[Nhãn] GC - II - 3479 - ĐINH THẮNG ĐỒNG - NOFADA 822WP (Bột cam) - 100gr - 100</v>
      </c>
      <c r="E4287" s="87" t="str">
        <f>IFERROR(__xludf.DUMMYFUNCTION("""COMPUTED_VALUE"""),"NOFADA 822WP")</f>
        <v>NOFADA 822WP</v>
      </c>
      <c r="F4287" s="87" t="str">
        <f>IFERROR(__xludf.DUMMYFUNCTION("""COMPUTED_VALUE"""),"HH3479")</f>
        <v>HH3479</v>
      </c>
      <c r="G4287" s="87" t="str">
        <f>IFERROR(__xludf.DUMMYFUNCTION("""COMPUTED_VALUE"""),"GC - II - 3479 - ĐINH THẮNG ĐỒNG - NOFADA 822WP (Bột cam) - 100gr - 100")</f>
        <v>GC - II - 3479 - ĐINH THẮNG ĐỒNG - NOFADA 822WP (Bột cam) - 100gr - 100</v>
      </c>
    </row>
    <row r="4288">
      <c r="A4288" s="86">
        <f>IFERROR(__xludf.DUMMYFUNCTION("""COMPUTED_VALUE"""),4286.0)</f>
        <v>4286</v>
      </c>
      <c r="B4288" s="87" t="str">
        <f>IFERROR(__xludf.DUMMYFUNCTION("""COMPUTED_VALUE"""),"[Nhãn thùng]")</f>
        <v>[Nhãn thùng]</v>
      </c>
      <c r="C4288" s="87" t="str">
        <f>IFERROR(__xludf.DUMMYFUNCTION("""COMPUTED_VALUE"""),"NDT3479")</f>
        <v>NDT3479</v>
      </c>
      <c r="D4288" s="87" t="str">
        <f>IFERROR(__xludf.DUMMYFUNCTION("""COMPUTED_VALUE"""),"[Nhãn thùng] GC - II - 3479 - ĐINH THẮNG ĐỒNG - NOFADA 822WP (Bột cam) - 100gr - 100")</f>
        <v>[Nhãn thùng] GC - II - 3479 - ĐINH THẮNG ĐỒNG - NOFADA 822WP (Bột cam) - 100gr - 100</v>
      </c>
      <c r="E4288" s="87" t="str">
        <f>IFERROR(__xludf.DUMMYFUNCTION("""COMPUTED_VALUE"""),"NOFADA 822WP")</f>
        <v>NOFADA 822WP</v>
      </c>
      <c r="F4288" s="87" t="str">
        <f>IFERROR(__xludf.DUMMYFUNCTION("""COMPUTED_VALUE"""),"HH3479")</f>
        <v>HH3479</v>
      </c>
      <c r="G4288" s="87" t="str">
        <f>IFERROR(__xludf.DUMMYFUNCTION("""COMPUTED_VALUE"""),"GC - II - 3479 - ĐINH THẮNG ĐỒNG - NOFADA 822WP (Bột cam) - 100gr - 100")</f>
        <v>GC - II - 3479 - ĐINH THẮNG ĐỒNG - NOFADA 822WP (Bột cam) - 100gr - 100</v>
      </c>
    </row>
    <row r="4289">
      <c r="A4289" s="86">
        <f>IFERROR(__xludf.DUMMYFUNCTION("""COMPUTED_VALUE"""),4287.0)</f>
        <v>4287</v>
      </c>
      <c r="B4289" s="87" t="str">
        <f>IFERROR(__xludf.DUMMYFUNCTION("""COMPUTED_VALUE"""),"[Nhãn]")</f>
        <v>[Nhãn]</v>
      </c>
      <c r="C4289" s="87" t="str">
        <f>IFERROR(__xludf.DUMMYFUNCTION("""COMPUTED_VALUE"""),"NHG3480")</f>
        <v>NHG3480</v>
      </c>
      <c r="D4289" s="87" t="str">
        <f>IFERROR(__xludf.DUMMYFUNCTION("""COMPUTED_VALUE"""),"[Nhãn]  GC - IV - 3480 - Cty TNC - THẦN CÔNG (Nước vàng trà) - 450ml - 40")</f>
        <v>[Nhãn]  GC - IV - 3480 - Cty TNC - THẦN CÔNG (Nước vàng trà) - 450ml - 40</v>
      </c>
      <c r="E4289" s="87" t="str">
        <f>IFERROR(__xludf.DUMMYFUNCTION("""COMPUTED_VALUE"""),"Thipro 550EC")</f>
        <v>Thipro 550EC</v>
      </c>
      <c r="F4289" s="87" t="str">
        <f>IFERROR(__xludf.DUMMYFUNCTION("""COMPUTED_VALUE"""),"HH3480")</f>
        <v>HH3480</v>
      </c>
      <c r="G4289" s="87" t="str">
        <f>IFERROR(__xludf.DUMMYFUNCTION("""COMPUTED_VALUE"""),"GC - IV - 3480 - Cty TNC - THẦN CÔNG (Nước vàng trà) - 450ml - 40")</f>
        <v>GC - IV - 3480 - Cty TNC - THẦN CÔNG (Nước vàng trà) - 450ml - 40</v>
      </c>
    </row>
    <row r="4290">
      <c r="A4290" s="86">
        <f>IFERROR(__xludf.DUMMYFUNCTION("""COMPUTED_VALUE"""),4288.0)</f>
        <v>4288</v>
      </c>
      <c r="B4290" s="87" t="str">
        <f>IFERROR(__xludf.DUMMYFUNCTION("""COMPUTED_VALUE"""),"[Nhãn]")</f>
        <v>[Nhãn]</v>
      </c>
      <c r="C4290" s="87" t="str">
        <f>IFERROR(__xludf.DUMMYFUNCTION("""COMPUTED_VALUE"""),"NHG3481")</f>
        <v>NHG3481</v>
      </c>
      <c r="D4290" s="87" t="str">
        <f>IFERROR(__xludf.DUMMYFUNCTION("""COMPUTED_VALUE"""),"[Nhãn] IDA Global - I - 3481 - ĐL MƯỜI GIANG - GENOL 1.2SL (Nước đỏ) - 350ml - 40")</f>
        <v>[Nhãn] IDA Global - I - 3481 - ĐL MƯỜI GIANG - GENOL 1.2SL (Nước đỏ) - 350ml - 40</v>
      </c>
      <c r="E4290" s="87" t="str">
        <f>IFERROR(__xludf.DUMMYFUNCTION("""COMPUTED_VALUE"""),"GENOL 1.2SL")</f>
        <v>GENOL 1.2SL</v>
      </c>
      <c r="F4290" s="87" t="str">
        <f>IFERROR(__xludf.DUMMYFUNCTION("""COMPUTED_VALUE"""),"HH3481")</f>
        <v>HH3481</v>
      </c>
      <c r="G4290" s="87" t="str">
        <f>IFERROR(__xludf.DUMMYFUNCTION("""COMPUTED_VALUE"""),"IDA Global - I - 3481 - ĐL MƯỜI GIANG - GENOL 1.2SL (Nước đỏ) - 350ml - 40")</f>
        <v>IDA Global - I - 3481 - ĐL MƯỜI GIANG - GENOL 1.2SL (Nước đỏ) - 350ml - 40</v>
      </c>
    </row>
    <row r="4291">
      <c r="A4291" s="86">
        <f>IFERROR(__xludf.DUMMYFUNCTION("""COMPUTED_VALUE"""),4289.0)</f>
        <v>4289</v>
      </c>
      <c r="B4291" s="87" t="str">
        <f>IFERROR(__xludf.DUMMYFUNCTION("""COMPUTED_VALUE"""),"[HỘP]")</f>
        <v>[HỘP]</v>
      </c>
      <c r="C4291" s="87" t="str">
        <f>IFERROR(__xludf.DUMMYFUNCTION("""COMPUTED_VALUE"""),"HOP3481")</f>
        <v>HOP3481</v>
      </c>
      <c r="D4291" s="87" t="str">
        <f>IFERROR(__xludf.DUMMYFUNCTION("""COMPUTED_VALUE"""),"[Hộp] IDA Global - I - ĐL MƯỜI GIANG- ĐẠO ÔN VI KHUẨN - 350ml - 2")</f>
        <v>[Hộp] IDA Global - I - ĐL MƯỜI GIANG- ĐẠO ÔN VI KHUẨN - 350ml - 2</v>
      </c>
      <c r="E4291" s="87" t="str">
        <f>IFERROR(__xludf.DUMMYFUNCTION("""COMPUTED_VALUE"""),"GENOL 1.2SL")</f>
        <v>GENOL 1.2SL</v>
      </c>
      <c r="F4291" s="87" t="str">
        <f>IFERROR(__xludf.DUMMYFUNCTION("""COMPUTED_VALUE"""),"HH3481")</f>
        <v>HH3481</v>
      </c>
      <c r="G4291" s="87" t="str">
        <f>IFERROR(__xludf.DUMMYFUNCTION("""COMPUTED_VALUE"""),"IDA Global - I - 3481 - ĐL MƯỜI GIANG - GENOL 1.2SL (Nước đỏ) - 350ml - 40")</f>
        <v>IDA Global - I - 3481 - ĐL MƯỜI GIANG - GENOL 1.2SL (Nước đỏ) - 350ml - 40</v>
      </c>
    </row>
    <row r="4292">
      <c r="A4292" s="86">
        <f>IFERROR(__xludf.DUMMYFUNCTION("""COMPUTED_VALUE"""),4290.0)</f>
        <v>4290</v>
      </c>
      <c r="B4292" s="87" t="str">
        <f>IFERROR(__xludf.DUMMYFUNCTION("""COMPUTED_VALUE"""),"[Nhãn]")</f>
        <v>[Nhãn]</v>
      </c>
      <c r="C4292" s="87" t="str">
        <f>IFERROR(__xludf.DUMMYFUNCTION("""COMPUTED_VALUE"""),"NHG3482")</f>
        <v>NHG3482</v>
      </c>
      <c r="D4292" s="87" t="str">
        <f>IFERROR(__xludf.DUMMYFUNCTION("""COMPUTED_VALUE"""),"[Nhãn] IDA Global - I - 3482 - ĐL MƯỜI GIANG - CITTIZEN 333SC (Nước cam sữa) - 350ml - 40")</f>
        <v>[Nhãn] IDA Global - I - 3482 - ĐL MƯỜI GIANG - CITTIZEN 333SC (Nước cam sữa) - 350ml - 40</v>
      </c>
      <c r="E4292" s="87" t="str">
        <f>IFERROR(__xludf.DUMMYFUNCTION("""COMPUTED_VALUE"""),"CITTIZEN 333SC")</f>
        <v>CITTIZEN 333SC</v>
      </c>
      <c r="F4292" s="87" t="str">
        <f>IFERROR(__xludf.DUMMYFUNCTION("""COMPUTED_VALUE"""),"HH3482")</f>
        <v>HH3482</v>
      </c>
      <c r="G4292" s="87" t="str">
        <f>IFERROR(__xludf.DUMMYFUNCTION("""COMPUTED_VALUE"""),"IDA Global - I - 3482 - ĐL MƯỜI GIANG - CITTIZEN 333SC (Nước cam sữa) - 350ml - 40")</f>
        <v>IDA Global - I - 3482 - ĐL MƯỜI GIANG - CITTIZEN 333SC (Nước cam sữa) - 350ml - 40</v>
      </c>
    </row>
    <row r="4293">
      <c r="A4293" s="86">
        <f>IFERROR(__xludf.DUMMYFUNCTION("""COMPUTED_VALUE"""),4291.0)</f>
        <v>4291</v>
      </c>
      <c r="B4293" s="87" t="str">
        <f>IFERROR(__xludf.DUMMYFUNCTION("""COMPUTED_VALUE"""),"[Nhãn]")</f>
        <v>[Nhãn]</v>
      </c>
      <c r="C4293" s="87" t="str">
        <f>IFERROR(__xludf.DUMMYFUNCTION("""COMPUTED_VALUE"""),"NHG3483")</f>
        <v>NHG3483</v>
      </c>
      <c r="D4293" s="87" t="str">
        <f>IFERROR(__xludf.DUMMYFUNCTION("""COMPUTED_VALUE"""),"[Nhãn] GC - IV - 3483 - NHP GROUP - KODO STOP (Nước nâu đen) - 1L - 20")</f>
        <v>[Nhãn] GC - IV - 3483 - NHP GROUP - KODO STOP (Nước nâu đen) - 1L - 20</v>
      </c>
      <c r="E4293" s="87" t="str">
        <f>IFERROR(__xludf.DUMMYFUNCTION("""COMPUTED_VALUE"""),"Vi lượng Quantity New")</f>
        <v>Vi lượng Quantity New</v>
      </c>
      <c r="F4293" s="87" t="str">
        <f>IFERROR(__xludf.DUMMYFUNCTION("""COMPUTED_VALUE"""),"HH3483")</f>
        <v>HH3483</v>
      </c>
      <c r="G4293" s="87" t="str">
        <f>IFERROR(__xludf.DUMMYFUNCTION("""COMPUTED_VALUE"""),"GC - IV - 3483 - NHP GROUP - KODO STOP (Nước nâu đen) - 1L - 20")</f>
        <v>GC - IV - 3483 - NHP GROUP - KODO STOP (Nước nâu đen) - 1L - 20</v>
      </c>
    </row>
    <row r="4294">
      <c r="A4294" s="86">
        <f>IFERROR(__xludf.DUMMYFUNCTION("""COMPUTED_VALUE"""),4292.0)</f>
        <v>4292</v>
      </c>
      <c r="B4294" s="87" t="str">
        <f>IFERROR(__xludf.DUMMYFUNCTION("""COMPUTED_VALUE"""),"[Nhãn]")</f>
        <v>[Nhãn]</v>
      </c>
      <c r="C4294" s="87" t="str">
        <f>IFERROR(__xludf.DUMMYFUNCTION("""COMPUTED_VALUE"""),"NHG3484")</f>
        <v>NHG3484</v>
      </c>
      <c r="D4294" s="87" t="str">
        <f>IFERROR(__xludf.DUMMYFUNCTION("""COMPUTED_VALUE"""),"[Nhãn] GC - IV - 3484 - Hóa Nông Shino - KALI SỮA (Nước hồng sữa) - 500ml - 30")</f>
        <v>[Nhãn] GC - IV - 3484 - Hóa Nông Shino - KALI SỮA (Nước hồng sữa) - 500ml - 30</v>
      </c>
      <c r="E4294" s="87" t="str">
        <f>IFERROR(__xludf.DUMMYFUNCTION("""COMPUTED_VALUE"""),"HỖN HỢP NPK AGAMA-SRH")</f>
        <v>HỖN HỢP NPK AGAMA-SRH</v>
      </c>
      <c r="F4294" s="87" t="str">
        <f>IFERROR(__xludf.DUMMYFUNCTION("""COMPUTED_VALUE"""),"HH3484")</f>
        <v>HH3484</v>
      </c>
      <c r="G4294" s="87" t="str">
        <f>IFERROR(__xludf.DUMMYFUNCTION("""COMPUTED_VALUE"""),"GC - IV - 3484 - Cty Hóa Nông Shino - KALI SỮA (Nước hồng sữa) - 500ml - 30")</f>
        <v>GC - IV - 3484 - Cty Hóa Nông Shino - KALI SỮA (Nước hồng sữa) - 500ml - 30</v>
      </c>
    </row>
    <row r="4295">
      <c r="A4295" s="86">
        <f>IFERROR(__xludf.DUMMYFUNCTION("""COMPUTED_VALUE"""),4293.0)</f>
        <v>4293</v>
      </c>
      <c r="B4295" s="87" t="str">
        <f>IFERROR(__xludf.DUMMYFUNCTION("""COMPUTED_VALUE"""),"[Nhãn]")</f>
        <v>[Nhãn]</v>
      </c>
      <c r="C4295" s="87" t="str">
        <f>IFERROR(__xludf.DUMMYFUNCTION("""COMPUTED_VALUE"""),"NHG3485")</f>
        <v>NHG3485</v>
      </c>
      <c r="D4295" s="87" t="str">
        <f>IFERROR(__xludf.DUMMYFUNCTION("""COMPUTED_VALUE"""),"[Nhãn] GC - IV - 3485 - Hóa Nông Shino - CANXI BO (Nước trắng sữa) - 500ml - 30")</f>
        <v>[Nhãn] GC - IV - 3485 - Hóa Nông Shino - CANXI BO (Nước trắng sữa) - 500ml - 30</v>
      </c>
      <c r="E4295" s="87" t="str">
        <f>IFERROR(__xludf.DUMMYFUNCTION("""COMPUTED_VALUE"""),"Vi lượng AGAMA-CANXI BO")</f>
        <v>Vi lượng AGAMA-CANXI BO</v>
      </c>
      <c r="F4295" s="87" t="str">
        <f>IFERROR(__xludf.DUMMYFUNCTION("""COMPUTED_VALUE"""),"HH3485")</f>
        <v>HH3485</v>
      </c>
      <c r="G4295" s="87" t="str">
        <f>IFERROR(__xludf.DUMMYFUNCTION("""COMPUTED_VALUE"""),"GC - IV - 3485 - Cty Hóa Nông Shino - CANXI BO (Nước trắng sữa) - 500ml - 30")</f>
        <v>GC - IV - 3485 - Cty Hóa Nông Shino - CANXI BO (Nước trắng sữa) - 500ml - 30</v>
      </c>
    </row>
    <row r="4296">
      <c r="A4296" s="86">
        <f>IFERROR(__xludf.DUMMYFUNCTION("""COMPUTED_VALUE"""),4294.0)</f>
        <v>4294</v>
      </c>
      <c r="B4296" s="87" t="str">
        <f>IFERROR(__xludf.DUMMYFUNCTION("""COMPUTED_VALUE"""),"[Nhãn]")</f>
        <v>[Nhãn]</v>
      </c>
      <c r="C4296" s="87" t="str">
        <f>IFERROR(__xludf.DUMMYFUNCTION("""COMPUTED_VALUE"""),"NHG3486")</f>
        <v>NHG3486</v>
      </c>
      <c r="D4296" s="87" t="str">
        <f>IFERROR(__xludf.DUMMYFUNCTION("""COMPUTED_VALUE"""),"[Nhãn] GC - IV - 3486 - A.LUÂN LUTA - CANXI BO (Gel vàng cam) - 500ml - 40")</f>
        <v>[Nhãn] GC - IV - 3486 - A.LUÂN LUTA - CANXI BO (Gel vàng cam) - 500ml - 40</v>
      </c>
      <c r="E4296" s="87" t="str">
        <f>IFERROR(__xludf.DUMMYFUNCTION("""COMPUTED_VALUE"""),"Vi lượng Run Fast")</f>
        <v>Vi lượng Run Fast</v>
      </c>
      <c r="F4296" s="87" t="str">
        <f>IFERROR(__xludf.DUMMYFUNCTION("""COMPUTED_VALUE"""),"HH3486")</f>
        <v>HH3486</v>
      </c>
      <c r="G4296" s="87" t="str">
        <f>IFERROR(__xludf.DUMMYFUNCTION("""COMPUTED_VALUE"""),"GC - IV - 3486 - A.LUÂN LUTA - CANXI BO (Gel vàng cam) - 500ml - 40")</f>
        <v>GC - IV - 3486 - A.LUÂN LUTA - CANXI BO (Gel vàng cam) - 500ml - 40</v>
      </c>
    </row>
    <row r="4297">
      <c r="A4297" s="86">
        <f>IFERROR(__xludf.DUMMYFUNCTION("""COMPUTED_VALUE"""),4295.0)</f>
        <v>4295</v>
      </c>
      <c r="B4297" s="87" t="str">
        <f>IFERROR(__xludf.DUMMYFUNCTION("""COMPUTED_VALUE"""),"[Nhãn]")</f>
        <v>[Nhãn]</v>
      </c>
      <c r="C4297" s="87" t="str">
        <f>IFERROR(__xludf.DUMMYFUNCTION("""COMPUTED_VALUE"""),"NHG3487")</f>
        <v>NHG3487</v>
      </c>
      <c r="D4297" s="87" t="str">
        <f>IFERROR(__xludf.DUMMYFUNCTION("""COMPUTED_VALUE"""),"[Nhãn] GC - IV - 3487 - A.LUÂN LUTA - CANXI BO (Nước trắng sữa) - 200ml - 40")</f>
        <v>[Nhãn] GC - IV - 3487 - A.LUÂN LUTA - CANXI BO (Nước trắng sữa) - 200ml - 40</v>
      </c>
      <c r="E4297" s="87" t="str">
        <f>IFERROR(__xludf.DUMMYFUNCTION("""COMPUTED_VALUE"""),"Vi lượng AGAMA-CANXI BO")</f>
        <v>Vi lượng AGAMA-CANXI BO</v>
      </c>
      <c r="F4297" s="87" t="str">
        <f>IFERROR(__xludf.DUMMYFUNCTION("""COMPUTED_VALUE"""),"HH3487")</f>
        <v>HH3487</v>
      </c>
      <c r="G4297" s="87" t="str">
        <f>IFERROR(__xludf.DUMMYFUNCTION("""COMPUTED_VALUE"""),"GC - IV - 3487 - A.LUÂN LUTA - CANXI BO (Nước trắng sữa) - 200ml - 40")</f>
        <v>GC - IV - 3487 - A.LUÂN LUTA - CANXI BO (Nước trắng sữa) - 200ml - 40</v>
      </c>
    </row>
    <row r="4298">
      <c r="A4298" s="86">
        <f>IFERROR(__xludf.DUMMYFUNCTION("""COMPUTED_VALUE"""),4296.0)</f>
        <v>4296</v>
      </c>
      <c r="B4298" s="87" t="str">
        <f>IFERROR(__xludf.DUMMYFUNCTION("""COMPUTED_VALUE"""),"[Nhãn]")</f>
        <v>[Nhãn]</v>
      </c>
      <c r="C4298" s="87" t="str">
        <f>IFERROR(__xludf.DUMMYFUNCTION("""COMPUTED_VALUE"""),"NTN3488")</f>
        <v>NTN3488</v>
      </c>
      <c r="D4298" s="87" t="str">
        <f>IFERROR(__xludf.DUMMYFUNCTION("""COMPUTED_VALUE"""),"[Nhãn] IDA Global - I - 3488 - LA - FORTAZEB 72WP (Bột xanh) - 1kg - 20")</f>
        <v>[Nhãn] IDA Global - I - 3488 - LA - FORTAZEB 72WP (Bột xanh) - 1kg - 20</v>
      </c>
      <c r="E4298" s="87" t="str">
        <f>IFERROR(__xludf.DUMMYFUNCTION("""COMPUTED_VALUE"""),"FORTAZEB 72WP")</f>
        <v>FORTAZEB 72WP</v>
      </c>
      <c r="F4298" s="87" t="str">
        <f>IFERROR(__xludf.DUMMYFUNCTION("""COMPUTED_VALUE"""),"HH3488")</f>
        <v>HH3488</v>
      </c>
      <c r="G4298" s="87" t="str">
        <f>IFERROR(__xludf.DUMMYFUNCTION("""COMPUTED_VALUE"""),"IDA Global - I - 3488 - LA - FORTAZEB 72WP (Bột xanh) - 1kg - 20")</f>
        <v>IDA Global - I - 3488 - LA - FORTAZEB 72WP (Bột xanh) - 1kg - 20</v>
      </c>
    </row>
    <row r="4299">
      <c r="A4299" s="86">
        <f>IFERROR(__xludf.DUMMYFUNCTION("""COMPUTED_VALUE"""),4297.0)</f>
        <v>4297</v>
      </c>
      <c r="B4299" s="87" t="str">
        <f>IFERROR(__xludf.DUMMYFUNCTION("""COMPUTED_VALUE"""),"[Nhãn thùng]")</f>
        <v>[Nhãn thùng]</v>
      </c>
      <c r="C4299" s="87" t="str">
        <f>IFERROR(__xludf.DUMMYFUNCTION("""COMPUTED_VALUE"""),"NDT3488")</f>
        <v>NDT3488</v>
      </c>
      <c r="D4299" s="87" t="str">
        <f>IFERROR(__xludf.DUMMYFUNCTION("""COMPUTED_VALUE"""),"[Nhãn thùng] IDA Global - I - 3488 - LA - FORTAZEB 72WP (Bột xanh) - 1kg - 20")</f>
        <v>[Nhãn thùng] IDA Global - I - 3488 - LA - FORTAZEB 72WP (Bột xanh) - 1kg - 20</v>
      </c>
      <c r="E4299" s="87" t="str">
        <f>IFERROR(__xludf.DUMMYFUNCTION("""COMPUTED_VALUE"""),"FORTAZEB 72WP")</f>
        <v>FORTAZEB 72WP</v>
      </c>
      <c r="F4299" s="87" t="str">
        <f>IFERROR(__xludf.DUMMYFUNCTION("""COMPUTED_VALUE"""),"HH3488")</f>
        <v>HH3488</v>
      </c>
      <c r="G4299" s="87" t="str">
        <f>IFERROR(__xludf.DUMMYFUNCTION("""COMPUTED_VALUE"""),"IDA Global - I - 3488 - LA - FORTAZEB 72WP (Bột xanh) - 1kg - 20")</f>
        <v>IDA Global - I - 3488 - LA - FORTAZEB 72WP (Bột xanh) - 1kg - 20</v>
      </c>
    </row>
    <row r="4300">
      <c r="A4300" s="86">
        <f>IFERROR(__xludf.DUMMYFUNCTION("""COMPUTED_VALUE"""),4298.0)</f>
        <v>4298</v>
      </c>
      <c r="B4300" s="87" t="str">
        <f>IFERROR(__xludf.DUMMYFUNCTION("""COMPUTED_VALUE"""),"[Nhãn]")</f>
        <v>[Nhãn]</v>
      </c>
      <c r="C4300" s="87" t="str">
        <f>IFERROR(__xludf.DUMMYFUNCTION("""COMPUTED_VALUE"""),"NTN3491")</f>
        <v>NTN3491</v>
      </c>
      <c r="D4300" s="87" t="str">
        <f>IFERROR(__xludf.DUMMYFUNCTION("""COMPUTED_VALUE"""),"[Nhãn] GC - IV - 3491 - BETA AGRICULTURE - BETA - COLA (Dạng cốm màu trắng ngà) - 50gr - 300")</f>
        <v>[Nhãn] GC - IV - 3491 - BETA AGRICULTURE - BETA - COLA (Dạng cốm màu trắng ngà) - 50gr - 300</v>
      </c>
      <c r="E4300" s="87" t="str">
        <f>IFERROR(__xludf.DUMMYFUNCTION("""COMPUTED_VALUE"""),"NOMIDA 700WG")</f>
        <v>NOMIDA 700WG</v>
      </c>
      <c r="F4300" s="87" t="str">
        <f>IFERROR(__xludf.DUMMYFUNCTION("""COMPUTED_VALUE"""),"HH3491")</f>
        <v>HH3491</v>
      </c>
      <c r="G4300" s="87" t="str">
        <f>IFERROR(__xludf.DUMMYFUNCTION("""COMPUTED_VALUE"""),"GC - IV - 3491 - BETA AGRICULTURE - BETA - COLA (Dạng cốm màu trắng ngà) - 50gr - 300")</f>
        <v>GC - IV - 3491 - BETA AGRICULTURE - BETA - COLA (Dạng cốm màu trắng ngà) - 50gr - 300</v>
      </c>
    </row>
    <row r="4301">
      <c r="A4301" s="86">
        <f>IFERROR(__xludf.DUMMYFUNCTION("""COMPUTED_VALUE"""),4299.0)</f>
        <v>4299</v>
      </c>
      <c r="B4301" s="87" t="str">
        <f>IFERROR(__xludf.DUMMYFUNCTION("""COMPUTED_VALUE"""),"[Nhãn thùng]")</f>
        <v>[Nhãn thùng]</v>
      </c>
      <c r="C4301" s="87" t="str">
        <f>IFERROR(__xludf.DUMMYFUNCTION("""COMPUTED_VALUE"""),"NDT3491")</f>
        <v>NDT3491</v>
      </c>
      <c r="D4301" s="87" t="str">
        <f>IFERROR(__xludf.DUMMYFUNCTION("""COMPUTED_VALUE"""),"[Nhãn thùng] GC - IV - 3491 - BETA AGRICULTURE - BETA - COLA (Dạng cốm màu trắng ngà) - 50gr - 300")</f>
        <v>[Nhãn thùng] GC - IV - 3491 - BETA AGRICULTURE - BETA - COLA (Dạng cốm màu trắng ngà) - 50gr - 300</v>
      </c>
      <c r="E4301" s="87" t="str">
        <f>IFERROR(__xludf.DUMMYFUNCTION("""COMPUTED_VALUE"""),"NOMIDA 700WG")</f>
        <v>NOMIDA 700WG</v>
      </c>
      <c r="F4301" s="87" t="str">
        <f>IFERROR(__xludf.DUMMYFUNCTION("""COMPUTED_VALUE"""),"HH3491")</f>
        <v>HH3491</v>
      </c>
      <c r="G4301" s="87" t="str">
        <f>IFERROR(__xludf.DUMMYFUNCTION("""COMPUTED_VALUE"""),"GC - IV - 3491 - BETA AGRICULTURE - BETA - COLA (Dạng cốm màu trắng ngà) - 50gr - 300")</f>
        <v>GC - IV - 3491 - BETA AGRICULTURE - BETA - COLA (Dạng cốm màu trắng ngà) - 50gr - 300</v>
      </c>
    </row>
    <row r="4302">
      <c r="A4302" s="86">
        <f>IFERROR(__xludf.DUMMYFUNCTION("""COMPUTED_VALUE"""),4300.0)</f>
        <v>4300</v>
      </c>
      <c r="B4302" s="87" t="str">
        <f>IFERROR(__xludf.DUMMYFUNCTION("""COMPUTED_VALUE"""),"[Nhãn]")</f>
        <v>[Nhãn]</v>
      </c>
      <c r="C4302" s="87" t="str">
        <f>IFERROR(__xludf.DUMMYFUNCTION("""COMPUTED_VALUE"""),"NHG3492")</f>
        <v>NHG3492</v>
      </c>
      <c r="D4302" s="87" t="str">
        <f>IFERROR(__xludf.DUMMYFUNCTION("""COMPUTED_VALUE"""),"[Nhãn]  LOT IDA Global - I - 3492 - ĐL Quốc Dũng - Thần Hổ (Pet tròn)(nắp đỏ)(nước nâu đen) - 450ml - 40")</f>
        <v>[Nhãn]  LOT IDA Global - I - 3492 - ĐL Quốc Dũng - Thần Hổ (Pet tròn)(nắp đỏ)(nước nâu đen) - 450ml - 40</v>
      </c>
      <c r="E4302" s="87" t="str">
        <f>IFERROR(__xludf.DUMMYFUNCTION("""COMPUTED_VALUE"""),"Chitin 3.6EC")</f>
        <v>Chitin 3.6EC</v>
      </c>
      <c r="F4302" s="87" t="str">
        <f>IFERROR(__xludf.DUMMYFUNCTION("""COMPUTED_VALUE"""),"HH3492")</f>
        <v>HH3492</v>
      </c>
      <c r="G4302" s="87" t="str">
        <f>IFERROR(__xludf.DUMMYFUNCTION("""COMPUTED_VALUE"""),"LOT IDA Global - I - 3492 - ĐL Quốc Dũng - Thần Hổ (Pet tròn)(nắp đỏ)(nước nâu đen) - 450ml - 40")</f>
        <v>LOT IDA Global - I - 3492 - ĐL Quốc Dũng - Thần Hổ (Pet tròn)(nắp đỏ)(nước nâu đen) - 450ml - 40</v>
      </c>
    </row>
    <row r="4303">
      <c r="A4303" s="86">
        <f>IFERROR(__xludf.DUMMYFUNCTION("""COMPUTED_VALUE"""),4301.0)</f>
        <v>4301</v>
      </c>
      <c r="B4303" s="87" t="str">
        <f>IFERROR(__xludf.DUMMYFUNCTION("""COMPUTED_VALUE"""),"[Nhãn]")</f>
        <v>[Nhãn]</v>
      </c>
      <c r="C4303" s="87" t="str">
        <f>IFERROR(__xludf.DUMMYFUNCTION("""COMPUTED_VALUE"""),"NHD3492")</f>
        <v>NHD3492</v>
      </c>
      <c r="D4303" s="87" t="str">
        <f>IFERROR(__xludf.DUMMYFUNCTION("""COMPUTED_VALUE"""),"[Nhãn]  LOT IDA Global - I - 3492 - ĐL Quốc Dũng - Thần Hổ (Pet tròn)(nắp đỏ)(nước nâu đen) - 450ml - 40")</f>
        <v>[Nhãn]  LOT IDA Global - I - 3492 - ĐL Quốc Dũng - Thần Hổ (Pet tròn)(nắp đỏ)(nước nâu đen) - 450ml - 40</v>
      </c>
      <c r="E4303" s="87" t="str">
        <f>IFERROR(__xludf.DUMMYFUNCTION("""COMPUTED_VALUE"""),"Chitin 3.6EC")</f>
        <v>Chitin 3.6EC</v>
      </c>
      <c r="F4303" s="87" t="str">
        <f>IFERROR(__xludf.DUMMYFUNCTION("""COMPUTED_VALUE"""),"HH3492")</f>
        <v>HH3492</v>
      </c>
      <c r="G4303" s="87" t="str">
        <f>IFERROR(__xludf.DUMMYFUNCTION("""COMPUTED_VALUE"""),"LOT IDA Global - I - 3492 - ĐL Quốc Dũng - Thần Hổ (Pet tròn)(nắp đỏ)(nước nâu đen) - 450ml - 40")</f>
        <v>LOT IDA Global - I - 3492 - ĐL Quốc Dũng - Thần Hổ (Pet tròn)(nắp đỏ)(nước nâu đen) - 450ml - 40</v>
      </c>
    </row>
    <row r="4304">
      <c r="A4304" s="86">
        <f>IFERROR(__xludf.DUMMYFUNCTION("""COMPUTED_VALUE"""),4302.0)</f>
        <v>4302</v>
      </c>
      <c r="B4304" s="87" t="str">
        <f>IFERROR(__xludf.DUMMYFUNCTION("""COMPUTED_VALUE"""),"[Nhãn]")</f>
        <v>[Nhãn]</v>
      </c>
      <c r="C4304" s="87" t="str">
        <f>IFERROR(__xludf.DUMMYFUNCTION("""COMPUTED_VALUE"""),"NTN3493")</f>
        <v>NTN3493</v>
      </c>
      <c r="D4304" s="87" t="str">
        <f>IFERROR(__xludf.DUMMYFUNCTION("""COMPUTED_VALUE"""),"[Nhãn] GC - IV - 3493 - Cty Newtex - MANCOZEB XANH (Bột xanh) - 1kg - 20")</f>
        <v>[Nhãn] GC - IV - 3493 - Cty Newtex - MANCOZEB XANH (Bột xanh) - 1kg - 20</v>
      </c>
      <c r="E4304" s="87" t="str">
        <f>IFERROR(__xludf.DUMMYFUNCTION("""COMPUTED_VALUE"""),"MANCOBGO 80WP")</f>
        <v>MANCOBGO 80WP</v>
      </c>
      <c r="F4304" s="87" t="str">
        <f>IFERROR(__xludf.DUMMYFUNCTION("""COMPUTED_VALUE"""),"HH3493")</f>
        <v>HH3493</v>
      </c>
      <c r="G4304" s="87" t="str">
        <f>IFERROR(__xludf.DUMMYFUNCTION("""COMPUTED_VALUE"""),"GC - IV - 3493 - Cty Newtex - MANCOZEB XANH (Bột xanh) - 1kg - 20")</f>
        <v>GC - IV - 3493 - Cty Newtex - MANCOZEB XANH (Bột xanh) - 1kg - 20</v>
      </c>
    </row>
    <row r="4305">
      <c r="A4305" s="86">
        <f>IFERROR(__xludf.DUMMYFUNCTION("""COMPUTED_VALUE"""),4303.0)</f>
        <v>4303</v>
      </c>
      <c r="B4305" s="87" t="str">
        <f>IFERROR(__xludf.DUMMYFUNCTION("""COMPUTED_VALUE"""),"[Nhãn thùng]")</f>
        <v>[Nhãn thùng]</v>
      </c>
      <c r="C4305" s="87" t="str">
        <f>IFERROR(__xludf.DUMMYFUNCTION("""COMPUTED_VALUE"""),"NDT3493")</f>
        <v>NDT3493</v>
      </c>
      <c r="D4305" s="87" t="str">
        <f>IFERROR(__xludf.DUMMYFUNCTION("""COMPUTED_VALUE"""),"[Nhãn thùng] GC - IV - 3493 - Cty Newtex - MANCOZEB XANH (Bột xanh) - 1kg - 20")</f>
        <v>[Nhãn thùng] GC - IV - 3493 - Cty Newtex - MANCOZEB XANH (Bột xanh) - 1kg - 20</v>
      </c>
      <c r="E4305" s="87" t="str">
        <f>IFERROR(__xludf.DUMMYFUNCTION("""COMPUTED_VALUE"""),"MANCOBGO 80WP")</f>
        <v>MANCOBGO 80WP</v>
      </c>
      <c r="F4305" s="87" t="str">
        <f>IFERROR(__xludf.DUMMYFUNCTION("""COMPUTED_VALUE"""),"HH3493")</f>
        <v>HH3493</v>
      </c>
      <c r="G4305" s="87" t="str">
        <f>IFERROR(__xludf.DUMMYFUNCTION("""COMPUTED_VALUE"""),"GC - IV - 3493 - Cty Newtex - MANCOZEB XANH (Bột xanh) - 1kg - 20")</f>
        <v>GC - IV - 3493 - Cty Newtex - MANCOZEB XANH (Bột xanh) - 1kg - 20</v>
      </c>
    </row>
    <row r="4306">
      <c r="A4306" s="86">
        <f>IFERROR(__xludf.DUMMYFUNCTION("""COMPUTED_VALUE"""),4304.0)</f>
        <v>4304</v>
      </c>
      <c r="B4306" s="87" t="str">
        <f>IFERROR(__xludf.DUMMYFUNCTION("""COMPUTED_VALUE"""),"[Nhãn]")</f>
        <v>[Nhãn]</v>
      </c>
      <c r="C4306" s="87" t="str">
        <f>IFERROR(__xludf.DUMMYFUNCTION("""COMPUTED_VALUE"""),"NHD3495")</f>
        <v>NHD3495</v>
      </c>
      <c r="D4306" s="87" t="str">
        <f>IFERROR(__xludf.DUMMYFUNCTION("""COMPUTED_VALUE"""),"[Nhãn] GC - IV - 3495 - CTY VOLVO EARTHQI - RONG RÊU (Nước xanh dương) - 250ml - 40")</f>
        <v>[Nhãn] GC - IV - 3495 - CTY VOLVO EARTHQI - RONG RÊU (Nước xanh dương) - 250ml - 40</v>
      </c>
      <c r="E4306" s="87" t="str">
        <f>IFERROR(__xludf.DUMMYFUNCTION("""COMPUTED_VALUE"""),"Vi lượng Agama - Cu")</f>
        <v>Vi lượng Agama - Cu</v>
      </c>
      <c r="F4306" s="87" t="str">
        <f>IFERROR(__xludf.DUMMYFUNCTION("""COMPUTED_VALUE"""),"HH3495")</f>
        <v>HH3495</v>
      </c>
      <c r="G4306" s="87" t="str">
        <f>IFERROR(__xludf.DUMMYFUNCTION("""COMPUTED_VALUE"""),"GC - IV - 3495 - CTY VOLVO EARTHQI - RONG RÊU (Nước xanh dương) - 250ml - 40")</f>
        <v>GC - IV - 3495 - CTY VOLVO EARTHQI - RONG RÊU (Nước xanh dương) - 250ml - 40</v>
      </c>
    </row>
    <row r="4307">
      <c r="A4307" s="86">
        <f>IFERROR(__xludf.DUMMYFUNCTION("""COMPUTED_VALUE"""),4305.0)</f>
        <v>4305</v>
      </c>
      <c r="B4307" s="87" t="str">
        <f>IFERROR(__xludf.DUMMYFUNCTION("""COMPUTED_VALUE"""),"[Nhãn thùng]")</f>
        <v>[Nhãn thùng]</v>
      </c>
      <c r="C4307" s="87" t="str">
        <f>IFERROR(__xludf.DUMMYFUNCTION("""COMPUTED_VALUE"""),"NDT3495")</f>
        <v>NDT3495</v>
      </c>
      <c r="D4307" s="87" t="str">
        <f>IFERROR(__xludf.DUMMYFUNCTION("""COMPUTED_VALUE"""),"[Nhãn thùng] GC - IV - 3495 - CTY VOLVO EARTHQI - RONG RÊU (Nước xanh dương) - 250ml - 40")</f>
        <v>[Nhãn thùng] GC - IV - 3495 - CTY VOLVO EARTHQI - RONG RÊU (Nước xanh dương) - 250ml - 40</v>
      </c>
      <c r="E4307" s="87" t="str">
        <f>IFERROR(__xludf.DUMMYFUNCTION("""COMPUTED_VALUE"""),"Vi lượng Agama - Cu")</f>
        <v>Vi lượng Agama - Cu</v>
      </c>
      <c r="F4307" s="87" t="str">
        <f>IFERROR(__xludf.DUMMYFUNCTION("""COMPUTED_VALUE"""),"HH3495")</f>
        <v>HH3495</v>
      </c>
      <c r="G4307" s="87" t="str">
        <f>IFERROR(__xludf.DUMMYFUNCTION("""COMPUTED_VALUE"""),"GC - IV - 3495 - CTY VOLVO EARTHQI - RONG RÊU (Nước xanh dương) - 250ml - 40")</f>
        <v>GC - IV - 3495 - CTY VOLVO EARTHQI - RONG RÊU (Nước xanh dương) - 250ml - 40</v>
      </c>
    </row>
    <row r="4308">
      <c r="A4308" s="86">
        <f>IFERROR(__xludf.DUMMYFUNCTION("""COMPUTED_VALUE"""),4306.0)</f>
        <v>4306</v>
      </c>
      <c r="B4308" s="87" t="str">
        <f>IFERROR(__xludf.DUMMYFUNCTION("""COMPUTED_VALUE"""),"[Nhãn]")</f>
        <v>[Nhãn]</v>
      </c>
      <c r="C4308" s="87" t="str">
        <f>IFERROR(__xludf.DUMMYFUNCTION("""COMPUTED_VALUE"""),"NHG3496")</f>
        <v>NHG3496</v>
      </c>
      <c r="D4308" s="87" t="str">
        <f>IFERROR(__xludf.DUMMYFUNCTION("""COMPUTED_VALUE"""),"[Nhãn] GC - IV - 3496 - GNH - Canbo sữa (Nước trắng ngà) - 500ml - 40")</f>
        <v>[Nhãn] GC - IV - 3496 - GNH - Canbo sữa (Nước trắng ngà) - 500ml - 40</v>
      </c>
      <c r="E4308" s="87" t="str">
        <f>IFERROR(__xludf.DUMMYFUNCTION("""COMPUTED_VALUE"""),"Vi lượng Basel IDA 49")</f>
        <v>Vi lượng Basel IDA 49</v>
      </c>
      <c r="F4308" s="87" t="str">
        <f>IFERROR(__xludf.DUMMYFUNCTION("""COMPUTED_VALUE"""),"HH3496")</f>
        <v>HH3496</v>
      </c>
      <c r="G4308" s="87" t="str">
        <f>IFERROR(__xludf.DUMMYFUNCTION("""COMPUTED_VALUE"""),"GC - IV - 3496 - GNH - Canbo sữa (Nước trắng ngà) - 500ml - 40")</f>
        <v>GC - IV - 3496 - GNH - Canbo sữa (Nước trắng ngà) - 500ml - 40</v>
      </c>
    </row>
    <row r="4309">
      <c r="A4309" s="86">
        <f>IFERROR(__xludf.DUMMYFUNCTION("""COMPUTED_VALUE"""),4307.0)</f>
        <v>4307</v>
      </c>
      <c r="B4309" s="87" t="str">
        <f>IFERROR(__xludf.DUMMYFUNCTION("""COMPUTED_VALUE"""),"[Nhãn]")</f>
        <v>[Nhãn]</v>
      </c>
      <c r="C4309" s="87" t="str">
        <f>IFERROR(__xludf.DUMMYFUNCTION("""COMPUTED_VALUE"""),"NHG3497")</f>
        <v>NHG3497</v>
      </c>
      <c r="D4309" s="87" t="str">
        <f>IFERROR(__xludf.DUMMYFUNCTION("""COMPUTED_VALUE"""),"[Nhãn] GC - IV - 3497 - CTY DONA VINA - DONA SOIL PH (Nước nâu đen) - 5L - 4")</f>
        <v>[Nhãn] GC - IV - 3497 - CTY DONA VINA - DONA SOIL PH (Nước nâu đen) - 5L - 4</v>
      </c>
      <c r="E4309" s="87" t="str">
        <f>IFERROR(__xludf.DUMMYFUNCTION("""COMPUTED_VALUE"""),"Hữu cơ SH Agro Organic Fertilizer 20")</f>
        <v>Hữu cơ SH Agro Organic Fertilizer 20</v>
      </c>
      <c r="F4309" s="87" t="str">
        <f>IFERROR(__xludf.DUMMYFUNCTION("""COMPUTED_VALUE"""),"HH3497")</f>
        <v>HH3497</v>
      </c>
      <c r="G4309" s="87" t="str">
        <f>IFERROR(__xludf.DUMMYFUNCTION("""COMPUTED_VALUE"""),"GC - IV - 3497 - CTY DONA VINA - DONA SOIL PH (Nước nâu đen) - 5L - 4")</f>
        <v>GC - IV - 3497 - CTY DONA VINA - DONA SOIL PH (Nước nâu đen) - 5L - 4</v>
      </c>
    </row>
    <row r="4310">
      <c r="A4310" s="86">
        <f>IFERROR(__xludf.DUMMYFUNCTION("""COMPUTED_VALUE"""),4308.0)</f>
        <v>4308</v>
      </c>
      <c r="B4310" s="87" t="str">
        <f>IFERROR(__xludf.DUMMYFUNCTION("""COMPUTED_VALUE"""),"[Nhãn]")</f>
        <v>[Nhãn]</v>
      </c>
      <c r="C4310" s="87" t="str">
        <f>IFERROR(__xludf.DUMMYFUNCTION("""COMPUTED_VALUE"""),"NHG3498")</f>
        <v>NHG3498</v>
      </c>
      <c r="D4310" s="87" t="str">
        <f>IFERROR(__xludf.DUMMYFUNCTION("""COMPUTED_VALUE"""),"[Nhãn] GC - IV - 3498 - Cty Sen Hồng (A.Diễn) - Siêu Vô Gạo (nước trắng ngà) - 500ml - 40")</f>
        <v>[Nhãn] GC - IV - 3498 - Cty Sen Hồng (A.Diễn) - Siêu Vô Gạo (nước trắng ngà) - 500ml - 40</v>
      </c>
      <c r="E4310" s="87" t="str">
        <f>IFERROR(__xludf.DUMMYFUNCTION("""COMPUTED_VALUE"""),"Vi lượng Run Fast")</f>
        <v>Vi lượng Run Fast</v>
      </c>
      <c r="F4310" s="87" t="str">
        <f>IFERROR(__xludf.DUMMYFUNCTION("""COMPUTED_VALUE"""),"HH3498")</f>
        <v>HH3498</v>
      </c>
      <c r="G4310" s="87" t="str">
        <f>IFERROR(__xludf.DUMMYFUNCTION("""COMPUTED_VALUE"""),"GC - IV - 3498 - Cty Sen Hồng (A.Diễn) - Siêu Vô Gạo (nước trắng ngà) - 500ml - 40")</f>
        <v>GC - IV - 3498 - Cty Sen Hồng (A.Diễn) - Siêu Vô Gạo (nước trắng ngà) - 500ml - 40</v>
      </c>
    </row>
    <row r="4311">
      <c r="A4311" s="86">
        <f>IFERROR(__xludf.DUMMYFUNCTION("""COMPUTED_VALUE"""),4309.0)</f>
        <v>4309</v>
      </c>
      <c r="B4311" s="87" t="str">
        <f>IFERROR(__xludf.DUMMYFUNCTION("""COMPUTED_VALUE"""),"[Nhãn]")</f>
        <v>[Nhãn]</v>
      </c>
      <c r="C4311" s="87" t="str">
        <f>IFERROR(__xludf.DUMMYFUNCTION("""COMPUTED_VALUE"""),"NHG3499")</f>
        <v>NHG3499</v>
      </c>
      <c r="D4311" s="87" t="str">
        <f>IFERROR(__xludf.DUMMYFUNCTION("""COMPUTED_VALUE"""),"[Nhãn] IDA Global - I - 3499 - Cty Thịnh Vượng - Bò Cạp Vàng (nước nâu đen) - 450ml - 40")</f>
        <v>[Nhãn] IDA Global - I - 3499 - Cty Thịnh Vượng - Bò Cạp Vàng (nước nâu đen) - 450ml - 40</v>
      </c>
      <c r="E4311" s="87" t="str">
        <f>IFERROR(__xludf.DUMMYFUNCTION("""COMPUTED_VALUE"""),"HAIHAMEC 3.6EC")</f>
        <v>HAIHAMEC 3.6EC</v>
      </c>
      <c r="F4311" s="87" t="str">
        <f>IFERROR(__xludf.DUMMYFUNCTION("""COMPUTED_VALUE"""),"HH3499")</f>
        <v>HH3499</v>
      </c>
      <c r="G4311" s="87" t="str">
        <f>IFERROR(__xludf.DUMMYFUNCTION("""COMPUTED_VALUE"""),"IDA Global - I - 3499 - Cty Thịnh Vượng - Bò Cạp Vàng (nước nâu đen) - 450ml - 40")</f>
        <v>IDA Global - I - 3499 - Cty Thịnh Vượng - Bò Cạp Vàng (nước nâu đen) - 450ml - 40</v>
      </c>
    </row>
    <row r="4312">
      <c r="A4312" s="86">
        <f>IFERROR(__xludf.DUMMYFUNCTION("""COMPUTED_VALUE"""),4310.0)</f>
        <v>4310</v>
      </c>
      <c r="B4312" s="87" t="str">
        <f>IFERROR(__xludf.DUMMYFUNCTION("""COMPUTED_VALUE"""),"[Nhãn]")</f>
        <v>[Nhãn]</v>
      </c>
      <c r="C4312" s="87" t="str">
        <f>IFERROR(__xludf.DUMMYFUNCTION("""COMPUTED_VALUE"""),"NHG3500")</f>
        <v>NHG3500</v>
      </c>
      <c r="D4312" s="87" t="str">
        <f>IFERROR(__xludf.DUMMYFUNCTION("""COMPUTED_VALUE"""),"[Nhãn] GC - IV - 3500 - AGRITECH - NUTI FLOWER (Gel nâu đen) - 500ml - 40")</f>
        <v>[Nhãn] GC - IV - 3500 - AGRITECH - NUTI FLOWER (Gel nâu đen) - 500ml - 40</v>
      </c>
      <c r="E4312" s="87" t="str">
        <f>IFERROR(__xludf.DUMMYFUNCTION("""COMPUTED_VALUE"""),"Vi lượng AGAMA-SUPPORT")</f>
        <v>Vi lượng AGAMA-SUPPORT</v>
      </c>
      <c r="F4312" s="87" t="str">
        <f>IFERROR(__xludf.DUMMYFUNCTION("""COMPUTED_VALUE"""),"HH3500")</f>
        <v>HH3500</v>
      </c>
      <c r="G4312" s="87" t="str">
        <f>IFERROR(__xludf.DUMMYFUNCTION("""COMPUTED_VALUE"""),"GC - IV - 3500 - AGRITECH - NUTI FLOWER (Gel nâu đen) - 500ml - 40")</f>
        <v>GC - IV - 3500 - AGRITECH - NUTI FLOWER (Gel nâu đen) - 500ml - 40</v>
      </c>
    </row>
    <row r="4313">
      <c r="A4313" s="86">
        <f>IFERROR(__xludf.DUMMYFUNCTION("""COMPUTED_VALUE"""),4311.0)</f>
        <v>4311</v>
      </c>
      <c r="B4313" s="87" t="str">
        <f>IFERROR(__xludf.DUMMYFUNCTION("""COMPUTED_VALUE"""),"[Nhãn]")</f>
        <v>[Nhãn]</v>
      </c>
      <c r="C4313" s="87" t="str">
        <f>IFERROR(__xludf.DUMMYFUNCTION("""COMPUTED_VALUE"""),"NHG3501")</f>
        <v>NHG3501</v>
      </c>
      <c r="D4313" s="87" t="str">
        <f>IFERROR(__xludf.DUMMYFUNCTION("""COMPUTED_VALUE"""),"[Nhãn] GC - IV - 3501 - AGRITECH - NUTI ROOTS 02 (Gel nâu đen) - 1L - 20")</f>
        <v>[Nhãn] GC - IV - 3501 - AGRITECH - NUTI ROOTS 02 (Gel nâu đen) - 1L - 20</v>
      </c>
      <c r="E4313" s="87" t="str">
        <f>IFERROR(__xludf.DUMMYFUNCTION("""COMPUTED_VALUE"""),"vi lượng HELP FARMER_3")</f>
        <v>vi lượng HELP FARMER_3</v>
      </c>
      <c r="F4313" s="87" t="str">
        <f>IFERROR(__xludf.DUMMYFUNCTION("""COMPUTED_VALUE"""),"HH3501")</f>
        <v>HH3501</v>
      </c>
      <c r="G4313" s="87" t="str">
        <f>IFERROR(__xludf.DUMMYFUNCTION("""COMPUTED_VALUE"""),"GC - IV - 3501 - AGRITECH - NUTI ROOTS 02 (Gel nâu đen) - 1L - 20")</f>
        <v>GC - IV - 3501 - AGRITECH - NUTI ROOTS 02 (Gel nâu đen) - 1L - 20</v>
      </c>
    </row>
    <row r="4314">
      <c r="A4314" s="86">
        <f>IFERROR(__xludf.DUMMYFUNCTION("""COMPUTED_VALUE"""),4312.0)</f>
        <v>4312</v>
      </c>
      <c r="B4314" s="87" t="str">
        <f>IFERROR(__xludf.DUMMYFUNCTION("""COMPUTED_VALUE"""),"[Nhãn]")</f>
        <v>[Nhãn]</v>
      </c>
      <c r="C4314" s="87" t="str">
        <f>IFERROR(__xludf.DUMMYFUNCTION("""COMPUTED_VALUE"""),"NHG3506")</f>
        <v>NHG3506</v>
      </c>
      <c r="D4314" s="87" t="str">
        <f>IFERROR(__xludf.DUMMYFUNCTION("""COMPUTED_VALUE"""),"[Nhãn] GC - IV - 3506 - Bellormar - EXTRA STEEL (Nước xanh bơ sữa) - 500ml - 40")</f>
        <v>[Nhãn] GC - IV - 3506 - Bellormar - EXTRA STEEL (Nước xanh bơ sữa) - 500ml - 40</v>
      </c>
      <c r="E4314" s="87" t="str">
        <f>IFERROR(__xludf.DUMMYFUNCTION("""COMPUTED_VALUE"""),"Vi lượng Run Fast")</f>
        <v>Vi lượng Run Fast</v>
      </c>
      <c r="F4314" s="87" t="str">
        <f>IFERROR(__xludf.DUMMYFUNCTION("""COMPUTED_VALUE"""),"HH3506")</f>
        <v>HH3506</v>
      </c>
      <c r="G4314" s="87" t="str">
        <f>IFERROR(__xludf.DUMMYFUNCTION("""COMPUTED_VALUE"""),"GC - IV - 3506 - Bellormar - EXTRA STEEL (Nước xanh bơ sữa) - 500ml - 40")</f>
        <v>GC - IV - 3506 - Bellormar - EXTRA STEEL (Nước xanh bơ sữa) - 500ml - 40</v>
      </c>
    </row>
    <row r="4315">
      <c r="A4315" s="86">
        <f>IFERROR(__xludf.DUMMYFUNCTION("""COMPUTED_VALUE"""),4313.0)</f>
        <v>4313</v>
      </c>
      <c r="B4315" s="87" t="str">
        <f>IFERROR(__xludf.DUMMYFUNCTION("""COMPUTED_VALUE"""),"[Nhãn]")</f>
        <v>[Nhãn]</v>
      </c>
      <c r="C4315" s="87" t="str">
        <f>IFERROR(__xludf.DUMMYFUNCTION("""COMPUTED_VALUE"""),"NHG3507")</f>
        <v>NHG3507</v>
      </c>
      <c r="D4315" s="87" t="str">
        <f>IFERROR(__xludf.DUMMYFUNCTION("""COMPUTED_VALUE"""),"[Nhãn] GC - IV - 3507 - Bellormar - EXTRA GARIO (Nước xanh lá) - 500ml - 40")</f>
        <v>[Nhãn] GC - IV - 3507 - Bellormar - EXTRA GARIO (Nước xanh lá) - 500ml - 40</v>
      </c>
      <c r="E4315" s="87" t="str">
        <f>IFERROR(__xludf.DUMMYFUNCTION("""COMPUTED_VALUE"""),"NPK-Vi lượng MASSIVE-BLUE")</f>
        <v>NPK-Vi lượng MASSIVE-BLUE</v>
      </c>
      <c r="F4315" s="87" t="str">
        <f>IFERROR(__xludf.DUMMYFUNCTION("""COMPUTED_VALUE"""),"HH3507")</f>
        <v>HH3507</v>
      </c>
      <c r="G4315" s="87" t="str">
        <f>IFERROR(__xludf.DUMMYFUNCTION("""COMPUTED_VALUE"""),"GC - IV - 3507 - Bellormar - EXTRA GARIO (Nước xanh lá) - 500ml - 40")</f>
        <v>GC - IV - 3507 - Bellormar - EXTRA GARIO (Nước xanh lá) - 500ml - 40</v>
      </c>
    </row>
    <row r="4316">
      <c r="A4316" s="86">
        <f>IFERROR(__xludf.DUMMYFUNCTION("""COMPUTED_VALUE"""),4314.0)</f>
        <v>4314</v>
      </c>
      <c r="B4316" s="87" t="str">
        <f>IFERROR(__xludf.DUMMYFUNCTION("""COMPUTED_VALUE"""),"[Nhãn]")</f>
        <v>[Nhãn]</v>
      </c>
      <c r="C4316" s="87" t="str">
        <f>IFERROR(__xludf.DUMMYFUNCTION("""COMPUTED_VALUE"""),"NHG3509")</f>
        <v>NHG3509</v>
      </c>
      <c r="D4316" s="87" t="str">
        <f>IFERROR(__xludf.DUMMYFUNCTION("""COMPUTED_VALUE"""),"[Nhãn] GC - IV - 3509 - CTY QUANG ĐĂNG AGRICULTURE - PROTEIN QĐ PLUS (Nước nâu đen) - 500ml - 30")</f>
        <v>[Nhãn] GC - IV - 3509 - CTY QUANG ĐĂNG AGRICULTURE - PROTEIN QĐ PLUS (Nước nâu đen) - 500ml - 30</v>
      </c>
      <c r="E4316" s="87" t="str">
        <f>IFERROR(__xludf.DUMMYFUNCTION("""COMPUTED_VALUE"""),"Hỗn Hợp NP AGAMA-AP")</f>
        <v>Hỗn Hợp NP AGAMA-AP</v>
      </c>
      <c r="F4316" s="87" t="str">
        <f>IFERROR(__xludf.DUMMYFUNCTION("""COMPUTED_VALUE"""),"HH3509")</f>
        <v>HH3509</v>
      </c>
      <c r="G4316" s="87" t="str">
        <f>IFERROR(__xludf.DUMMYFUNCTION("""COMPUTED_VALUE"""),"GC - IV - 3509 - Cty Quang Đăng Agriculture - PROTEIN QĐ PLUS (Nước nâu đen) - 500ml - 30")</f>
        <v>GC - IV - 3509 - Cty Quang Đăng Agriculture - PROTEIN QĐ PLUS (Nước nâu đen) - 500ml - 30</v>
      </c>
    </row>
    <row r="4317">
      <c r="A4317" s="86">
        <f>IFERROR(__xludf.DUMMYFUNCTION("""COMPUTED_VALUE"""),4315.0)</f>
        <v>4315</v>
      </c>
      <c r="B4317" s="87" t="str">
        <f>IFERROR(__xludf.DUMMYFUNCTION("""COMPUTED_VALUE"""),"[Nhãn]")</f>
        <v>[Nhãn]</v>
      </c>
      <c r="C4317" s="87" t="str">
        <f>IFERROR(__xludf.DUMMYFUNCTION("""COMPUTED_VALUE"""),"NHG3510")</f>
        <v>NHG3510</v>
      </c>
      <c r="D4317" s="87" t="str">
        <f>IFERROR(__xludf.DUMMYFUNCTION("""COMPUTED_VALUE"""),"[Nhãn] GC - IV - 3510 - CTY QUANG ĐĂNG AGRICULTURE - NUÔI ĐÒNG TRỔ THOÁT + (Nước nâu đen) - 1L - 20")</f>
        <v>[Nhãn] GC - IV - 3510 - CTY QUANG ĐĂNG AGRICULTURE - NUÔI ĐÒNG TRỔ THOÁT + (Nước nâu đen) - 1L - 20</v>
      </c>
      <c r="E4317" s="87" t="str">
        <f>IFERROR(__xludf.DUMMYFUNCTION("""COMPUTED_VALUE"""),"vi lượng HELP FARMER_3")</f>
        <v>vi lượng HELP FARMER_3</v>
      </c>
      <c r="F4317" s="87" t="str">
        <f>IFERROR(__xludf.DUMMYFUNCTION("""COMPUTED_VALUE"""),"HH3510")</f>
        <v>HH3510</v>
      </c>
      <c r="G4317" s="87" t="str">
        <f>IFERROR(__xludf.DUMMYFUNCTION("""COMPUTED_VALUE"""),"GC - IV - 3510 - Cty Quang Đăng Agriculture - NUÔI ĐÒNG TRỔ THOÁT + (Nước nâu đen) - 1L - 20")</f>
        <v>GC - IV - 3510 - Cty Quang Đăng Agriculture - NUÔI ĐÒNG TRỔ THOÁT + (Nước nâu đen) - 1L - 20</v>
      </c>
    </row>
    <row r="4318">
      <c r="A4318" s="86">
        <f>IFERROR(__xludf.DUMMYFUNCTION("""COMPUTED_VALUE"""),4316.0)</f>
        <v>4316</v>
      </c>
      <c r="B4318" s="87" t="str">
        <f>IFERROR(__xludf.DUMMYFUNCTION("""COMPUTED_VALUE"""),"[Nhãn]")</f>
        <v>[Nhãn]</v>
      </c>
      <c r="C4318" s="87" t="str">
        <f>IFERROR(__xludf.DUMMYFUNCTION("""COMPUTED_VALUE"""),"NHG3511")</f>
        <v>NHG3511</v>
      </c>
      <c r="D4318" s="87" t="str">
        <f>IFERROR(__xludf.DUMMYFUNCTION("""COMPUTED_VALUE"""),"[Nhãn] GC - IV - 3511 - CTY QUANG ĐĂNG AGRICULTURE - SUPER VÔ GẠO + (Nước vàng cam) - 1L - 20")</f>
        <v>[Nhãn] GC - IV - 3511 - CTY QUANG ĐĂNG AGRICULTURE - SUPER VÔ GẠO + (Nước vàng cam) - 1L - 20</v>
      </c>
      <c r="E4318" s="87" t="str">
        <f>IFERROR(__xludf.DUMMYFUNCTION("""COMPUTED_VALUE"""),"NPK-Vi lượng MASSIVE-BLUE")</f>
        <v>NPK-Vi lượng MASSIVE-BLUE</v>
      </c>
      <c r="F4318" s="87" t="str">
        <f>IFERROR(__xludf.DUMMYFUNCTION("""COMPUTED_VALUE"""),"HH3511")</f>
        <v>HH3511</v>
      </c>
      <c r="G4318" s="87" t="str">
        <f>IFERROR(__xludf.DUMMYFUNCTION("""COMPUTED_VALUE"""),"GC - IV - 3511 - Cty Quang Đăng Agriculture - SUPER VÔ GẠO + (Nước vàng cam) - 1L - 20")</f>
        <v>GC - IV - 3511 - Cty Quang Đăng Agriculture - SUPER VÔ GẠO + (Nước vàng cam) - 1L - 20</v>
      </c>
    </row>
    <row r="4319">
      <c r="A4319" s="86">
        <f>IFERROR(__xludf.DUMMYFUNCTION("""COMPUTED_VALUE"""),4317.0)</f>
        <v>4317</v>
      </c>
      <c r="B4319" s="87" t="str">
        <f>IFERROR(__xludf.DUMMYFUNCTION("""COMPUTED_VALUE"""),"[Nhãn]")</f>
        <v>[Nhãn]</v>
      </c>
      <c r="C4319" s="87" t="str">
        <f>IFERROR(__xludf.DUMMYFUNCTION("""COMPUTED_VALUE"""),"NHD3512")</f>
        <v>NHD3512</v>
      </c>
      <c r="D4319" s="87" t="str">
        <f>IFERROR(__xludf.DUMMYFUNCTION("""COMPUTED_VALUE"""),"[Nhãn] GC - IV - 3512 - CTY QUANG ĐĂNG AGRICULTURE - VỌT ĐỌT SUPER (Nước nâu đen) - 500ml - 40")</f>
        <v>[Nhãn] GC - IV - 3512 - CTY QUANG ĐĂNG AGRICULTURE - VỌT ĐỌT SUPER (Nước nâu đen) - 500ml - 40</v>
      </c>
      <c r="E4319" s="87" t="str">
        <f>IFERROR(__xludf.DUMMYFUNCTION("""COMPUTED_VALUE"""),"Vi lượng AGAMA-SUPPORT")</f>
        <v>Vi lượng AGAMA-SUPPORT</v>
      </c>
      <c r="F4319" s="87" t="str">
        <f>IFERROR(__xludf.DUMMYFUNCTION("""COMPUTED_VALUE"""),"HH3512")</f>
        <v>HH3512</v>
      </c>
      <c r="G4319" s="87" t="str">
        <f>IFERROR(__xludf.DUMMYFUNCTION("""COMPUTED_VALUE"""),"GC - IV - 3512 - Cty Quang Đăng Agriculture - VỌT ĐỌT SUPER (Nước nâu đen) - 500ml - 40")</f>
        <v>GC - IV - 3512 - Cty Quang Đăng Agriculture - VỌT ĐỌT SUPER (Nước nâu đen) - 500ml - 40</v>
      </c>
    </row>
    <row r="4320">
      <c r="A4320" s="86">
        <f>IFERROR(__xludf.DUMMYFUNCTION("""COMPUTED_VALUE"""),4318.0)</f>
        <v>4318</v>
      </c>
      <c r="B4320" s="87" t="str">
        <f>IFERROR(__xludf.DUMMYFUNCTION("""COMPUTED_VALUE"""),"[Nhãn]")</f>
        <v>[Nhãn]</v>
      </c>
      <c r="C4320" s="87" t="str">
        <f>IFERROR(__xludf.DUMMYFUNCTION("""COMPUTED_VALUE"""),"NHD3513")</f>
        <v>NHD3513</v>
      </c>
      <c r="D4320" s="87" t="str">
        <f>IFERROR(__xludf.DUMMYFUNCTION("""COMPUTED_VALUE"""),"[Nhãn] GC - IV - 3513 - CTY QUANG ĐĂNG AGRICULTURE - SIÊU XANH LÁ (Gel xanh lá) - 500ml - 40")</f>
        <v>[Nhãn] GC - IV - 3513 - CTY QUANG ĐĂNG AGRICULTURE - SIÊU XANH LÁ (Gel xanh lá) - 500ml - 40</v>
      </c>
      <c r="E4320" s="87" t="str">
        <f>IFERROR(__xludf.DUMMYFUNCTION("""COMPUTED_VALUE"""),"Vi lượng MICKEY")</f>
        <v>Vi lượng MICKEY</v>
      </c>
      <c r="F4320" s="87" t="str">
        <f>IFERROR(__xludf.DUMMYFUNCTION("""COMPUTED_VALUE"""),"HH3513")</f>
        <v>HH3513</v>
      </c>
      <c r="G4320" s="87" t="str">
        <f>IFERROR(__xludf.DUMMYFUNCTION("""COMPUTED_VALUE"""),"GC - IV - 3513 - Cty Quang Đăng Agriculture - SIÊU XANH LÁ (Gel xanh lá) - 500ml - 40")</f>
        <v>GC - IV - 3513 - Cty Quang Đăng Agriculture - SIÊU XANH LÁ (Gel xanh lá) - 500ml - 40</v>
      </c>
    </row>
    <row r="4321">
      <c r="A4321" s="86">
        <f>IFERROR(__xludf.DUMMYFUNCTION("""COMPUTED_VALUE"""),4319.0)</f>
        <v>4319</v>
      </c>
      <c r="B4321" s="87" t="str">
        <f>IFERROR(__xludf.DUMMYFUNCTION("""COMPUTED_VALUE"""),"[Nhãn]")</f>
        <v>[Nhãn]</v>
      </c>
      <c r="C4321" s="87" t="str">
        <f>IFERROR(__xludf.DUMMYFUNCTION("""COMPUTED_VALUE"""),"NHD3514")</f>
        <v>NHD3514</v>
      </c>
      <c r="D4321" s="87" t="str">
        <f>IFERROR(__xludf.DUMMYFUNCTION("""COMPUTED_VALUE"""),"[Nhãn] GC - IV - 3514 - CTY QUANG ĐĂNG AGRICULTURE - NANO ZINC+ QĐ GREEN (Nước trắng sữa) - 500ml - 40")</f>
        <v>[Nhãn] GC - IV - 3514 - CTY QUANG ĐĂNG AGRICULTURE - NANO ZINC+ QĐ GREEN (Nước trắng sữa) - 500ml - 40</v>
      </c>
      <c r="E4321" s="87" t="str">
        <f>IFERROR(__xludf.DUMMYFUNCTION("""COMPUTED_VALUE"""),"Vi lượng MICKEY")</f>
        <v>Vi lượng MICKEY</v>
      </c>
      <c r="F4321" s="87" t="str">
        <f>IFERROR(__xludf.DUMMYFUNCTION("""COMPUTED_VALUE"""),"HH3514")</f>
        <v>HH3514</v>
      </c>
      <c r="G4321" s="87" t="str">
        <f>IFERROR(__xludf.DUMMYFUNCTION("""COMPUTED_VALUE"""),"GC - IV - 3514 - Cty Quang Đăng Agriculture - NANO ZINC+ QĐ GREEN (Nước trắng sữa) - 500ml - 40")</f>
        <v>GC - IV - 3514 - Cty Quang Đăng Agriculture - NANO ZINC+ QĐ GREEN (Nước trắng sữa) - 500ml - 40</v>
      </c>
    </row>
    <row r="4322">
      <c r="A4322" s="86">
        <f>IFERROR(__xludf.DUMMYFUNCTION("""COMPUTED_VALUE"""),4320.0)</f>
        <v>4320</v>
      </c>
      <c r="B4322" s="87" t="str">
        <f>IFERROR(__xludf.DUMMYFUNCTION("""COMPUTED_VALUE"""),"[Nhãn]")</f>
        <v>[Nhãn]</v>
      </c>
      <c r="C4322" s="87" t="str">
        <f>IFERROR(__xludf.DUMMYFUNCTION("""COMPUTED_VALUE"""),"NHD3515")</f>
        <v>NHD3515</v>
      </c>
      <c r="D4322" s="87" t="str">
        <f>IFERROR(__xludf.DUMMYFUNCTION("""COMPUTED_VALUE"""),"[Nhãn] GC - IV - 3515 - CTY QUANG ĐĂNG AGRICULTURE - CANXIBO QĐ.MICRO (Nước trắng sữa) - 500ml - 40")</f>
        <v>[Nhãn] GC - IV - 3515 - CTY QUANG ĐĂNG AGRICULTURE - CANXIBO QĐ.MICRO (Nước trắng sữa) - 500ml - 40</v>
      </c>
      <c r="E4322" s="87" t="str">
        <f>IFERROR(__xludf.DUMMYFUNCTION("""COMPUTED_VALUE"""),"Vi lượng AGAMA-CANXI BO")</f>
        <v>Vi lượng AGAMA-CANXI BO</v>
      </c>
      <c r="F4322" s="87" t="str">
        <f>IFERROR(__xludf.DUMMYFUNCTION("""COMPUTED_VALUE"""),"HH3515")</f>
        <v>HH3515</v>
      </c>
      <c r="G4322" s="87" t="str">
        <f>IFERROR(__xludf.DUMMYFUNCTION("""COMPUTED_VALUE"""),"GC - IV - 3515 - Cty Quang Đăng Agriculture - CANXIBO QĐ.MICRO (Nước trắng sữa) - 500ml - 40")</f>
        <v>GC - IV - 3515 - Cty Quang Đăng Agriculture - CANXIBO QĐ.MICRO (Nước trắng sữa) - 500ml - 40</v>
      </c>
    </row>
    <row r="4323">
      <c r="A4323" s="86">
        <f>IFERROR(__xludf.DUMMYFUNCTION("""COMPUTED_VALUE"""),4321.0)</f>
        <v>4321</v>
      </c>
      <c r="B4323" s="87" t="str">
        <f>IFERROR(__xludf.DUMMYFUNCTION("""COMPUTED_VALUE"""),"[Nhãn]")</f>
        <v>[Nhãn]</v>
      </c>
      <c r="C4323" s="87" t="str">
        <f>IFERROR(__xludf.DUMMYFUNCTION("""COMPUTED_VALUE"""),"NHG3516")</f>
        <v>NHG3516</v>
      </c>
      <c r="D4323" s="87" t="str">
        <f>IFERROR(__xludf.DUMMYFUNCTION("""COMPUTED_VALUE"""),"[Nhãn] GC - IV - 3516 - CTY QUANG ĐĂNG AGRICULTURE - PROTEIN QĐ PLUS (Nước nâu đen) - 500ml - 30")</f>
        <v>[Nhãn] GC - IV - 3516 - CTY QUANG ĐĂNG AGRICULTURE - PROTEIN QĐ PLUS (Nước nâu đen) - 500ml - 30</v>
      </c>
      <c r="E4323" s="87" t="str">
        <f>IFERROR(__xludf.DUMMYFUNCTION("""COMPUTED_VALUE"""),"Hỗn Hợp NP AGAMA-AP")</f>
        <v>Hỗn Hợp NP AGAMA-AP</v>
      </c>
      <c r="F4323" s="87" t="str">
        <f>IFERROR(__xludf.DUMMYFUNCTION("""COMPUTED_VALUE"""),"HH3516")</f>
        <v>HH3516</v>
      </c>
      <c r="G4323" s="87" t="str">
        <f>IFERROR(__xludf.DUMMYFUNCTION("""COMPUTED_VALUE"""),"GC - IV - 3516 - Cty Quang Đăng Agriculture - PROTEIN QĐ PLUS (Nước nâu đen) - 500ml - 30")</f>
        <v>GC - IV - 3516 - Cty Quang Đăng Agriculture - PROTEIN QĐ PLUS (Nước nâu đen) - 500ml - 30</v>
      </c>
    </row>
    <row r="4324">
      <c r="A4324" s="86">
        <f>IFERROR(__xludf.DUMMYFUNCTION("""COMPUTED_VALUE"""),4322.0)</f>
        <v>4322</v>
      </c>
      <c r="B4324" s="87" t="str">
        <f>IFERROR(__xludf.DUMMYFUNCTION("""COMPUTED_VALUE"""),"[Nhãn]")</f>
        <v>[Nhãn]</v>
      </c>
      <c r="C4324" s="87" t="str">
        <f>IFERROR(__xludf.DUMMYFUNCTION("""COMPUTED_VALUE"""),"NHG3524")</f>
        <v>NHG3524</v>
      </c>
      <c r="D4324" s="87" t="str">
        <f>IFERROR(__xludf.DUMMYFUNCTION("""COMPUTED_VALUE"""),"[Nhãn] GC - IV - 3524 - DONA VINA - CANXI BO MASTER (Nước trắng sữa) - 500ml - 40")</f>
        <v>[Nhãn] GC - IV - 3524 - DONA VINA - CANXI BO MASTER (Nước trắng sữa) - 500ml - 40</v>
      </c>
      <c r="E4324" s="87" t="str">
        <f>IFERROR(__xludf.DUMMYFUNCTION("""COMPUTED_VALUE"""),"Vi lượng AGAMA-CANXI BO")</f>
        <v>Vi lượng AGAMA-CANXI BO</v>
      </c>
      <c r="F4324" s="87" t="str">
        <f>IFERROR(__xludf.DUMMYFUNCTION("""COMPUTED_VALUE"""),"HH3524")</f>
        <v>HH3524</v>
      </c>
      <c r="G4324" s="87" t="str">
        <f>IFERROR(__xludf.DUMMYFUNCTION("""COMPUTED_VALUE"""),"GC - IV - 3524 - DONA VINA - CANXI BO MASTER (Nước trắng sữa) - 500ml - 40")</f>
        <v>GC - IV - 3524 - DONA VINA - CANXI BO MASTER (Nước trắng sữa) - 500ml - 40</v>
      </c>
    </row>
    <row r="4325">
      <c r="A4325" s="86">
        <f>IFERROR(__xludf.DUMMYFUNCTION("""COMPUTED_VALUE"""),4323.0)</f>
        <v>4323</v>
      </c>
      <c r="B4325" s="87" t="str">
        <f>IFERROR(__xludf.DUMMYFUNCTION("""COMPUTED_VALUE"""),"[Nhãn]")</f>
        <v>[Nhãn]</v>
      </c>
      <c r="C4325" s="87" t="str">
        <f>IFERROR(__xludf.DUMMYFUNCTION("""COMPUTED_VALUE"""),"NHD3525")</f>
        <v>NHD3525</v>
      </c>
      <c r="D4325" s="87" t="str">
        <f>IFERROR(__xludf.DUMMYFUNCTION("""COMPUTED_VALUE"""),"[Nhãn] GC - IV - 3525 - Cty Sen Hồng (A.Diễn) - SIÊU VÔ GẠO TE+ (Gel đỏ cam) - 500ml - 40")</f>
        <v>[Nhãn] GC - IV - 3525 - Cty Sen Hồng (A.Diễn) - SIÊU VÔ GẠO TE+ (Gel đỏ cam) - 500ml - 40</v>
      </c>
      <c r="E4325" s="87" t="str">
        <f>IFERROR(__xludf.DUMMYFUNCTION("""COMPUTED_VALUE"""),"NPK-Vi lượng MASSIVE-BLUE")</f>
        <v>NPK-Vi lượng MASSIVE-BLUE</v>
      </c>
      <c r="F4325" s="87" t="str">
        <f>IFERROR(__xludf.DUMMYFUNCTION("""COMPUTED_VALUE"""),"HH3525")</f>
        <v>HH3525</v>
      </c>
      <c r="G4325" s="87" t="str">
        <f>IFERROR(__xludf.DUMMYFUNCTION("""COMPUTED_VALUE"""),"GC - IV - 3525 - Cty Sen Hồng (A.Diễn) - SIÊU VÔ GẠO TE+ (Gel đỏ cam) - 500ml - 40")</f>
        <v>GC - IV - 3525 - Cty Sen Hồng (A.Diễn) - SIÊU VÔ GẠO TE+ (Gel đỏ cam) - 500ml - 40</v>
      </c>
    </row>
    <row r="4326">
      <c r="A4326" s="86">
        <f>IFERROR(__xludf.DUMMYFUNCTION("""COMPUTED_VALUE"""),4324.0)</f>
        <v>4324</v>
      </c>
      <c r="B4326" s="87" t="str">
        <f>IFERROR(__xludf.DUMMYFUNCTION("""COMPUTED_VALUE"""),"[Nhãn thùng]")</f>
        <v>[Nhãn thùng]</v>
      </c>
      <c r="C4326" s="87" t="str">
        <f>IFERROR(__xludf.DUMMYFUNCTION("""COMPUTED_VALUE"""),"NDT3525")</f>
        <v>NDT3525</v>
      </c>
      <c r="D4326" s="87" t="str">
        <f>IFERROR(__xludf.DUMMYFUNCTION("""COMPUTED_VALUE"""),"[Nhãn thùng] GC - IV - 3525 - Cty Sen Hồng (A.Diễn) - SIÊU VÔ GẠO TE+ (Gel đỏ cam) - 500ml - 40")</f>
        <v>[Nhãn thùng] GC - IV - 3525 - Cty Sen Hồng (A.Diễn) - SIÊU VÔ GẠO TE+ (Gel đỏ cam) - 500ml - 40</v>
      </c>
      <c r="E4326" s="87" t="str">
        <f>IFERROR(__xludf.DUMMYFUNCTION("""COMPUTED_VALUE"""),"NPK-Vi lượng MASSIVE-BLUE")</f>
        <v>NPK-Vi lượng MASSIVE-BLUE</v>
      </c>
      <c r="F4326" s="87" t="str">
        <f>IFERROR(__xludf.DUMMYFUNCTION("""COMPUTED_VALUE"""),"HH3525")</f>
        <v>HH3525</v>
      </c>
      <c r="G4326" s="87" t="str">
        <f>IFERROR(__xludf.DUMMYFUNCTION("""COMPUTED_VALUE"""),"GC - IV - 3525 - Cty Sen Hồng (A.Diễn) - SIÊU VÔ GẠO TE+ (Gel đỏ cam) - 500ml - 40")</f>
        <v>GC - IV - 3525 - Cty Sen Hồng (A.Diễn) - SIÊU VÔ GẠO TE+ (Gel đỏ cam) - 500ml - 40</v>
      </c>
    </row>
    <row r="4327">
      <c r="A4327" s="86">
        <f>IFERROR(__xludf.DUMMYFUNCTION("""COMPUTED_VALUE"""),4325.0)</f>
        <v>4325</v>
      </c>
      <c r="B4327" s="87" t="str">
        <f>IFERROR(__xludf.DUMMYFUNCTION("""COMPUTED_VALUE"""),"[Nhãn]")</f>
        <v>[Nhãn]</v>
      </c>
      <c r="C4327" s="87" t="str">
        <f>IFERROR(__xludf.DUMMYFUNCTION("""COMPUTED_VALUE"""),"NHG3526")</f>
        <v>NHG3526</v>
      </c>
      <c r="D4327" s="87" t="str">
        <f>IFERROR(__xludf.DUMMYFUNCTION("""COMPUTED_VALUE"""),"[Nhãn] GC - IV - 3526 - NEWTECH CROP SCIENCE - CITTIZEN 333SC MỚI (Nước cam sữa) - 450ml - 40")</f>
        <v>[Nhãn] GC - IV - 3526 - NEWTECH CROP SCIENCE - CITTIZEN 333SC MỚI (Nước cam sữa) - 450ml - 40</v>
      </c>
      <c r="E4327" s="87" t="str">
        <f>IFERROR(__xludf.DUMMYFUNCTION("""COMPUTED_VALUE"""),"CITTIZEN 333SC")</f>
        <v>CITTIZEN 333SC</v>
      </c>
      <c r="F4327" s="87" t="str">
        <f>IFERROR(__xludf.DUMMYFUNCTION("""COMPUTED_VALUE"""),"HH3526")</f>
        <v>HH3526</v>
      </c>
      <c r="G4327" s="87" t="str">
        <f>IFERROR(__xludf.DUMMYFUNCTION("""COMPUTED_VALUE"""),"GC - IV - 3526 - NEWTECH CROP SCIENCE - CITTIZEN 333SC MỚI (Nước cam sữa) - 450ml - 40")</f>
        <v>GC - IV - 3526 - NEWTECH CROP SCIENCE - CITTIZEN 333SC MỚI (Nước cam sữa) - 450ml - 40</v>
      </c>
    </row>
    <row r="4328">
      <c r="A4328" s="86">
        <f>IFERROR(__xludf.DUMMYFUNCTION("""COMPUTED_VALUE"""),4326.0)</f>
        <v>4326</v>
      </c>
      <c r="B4328" s="87" t="str">
        <f>IFERROR(__xludf.DUMMYFUNCTION("""COMPUTED_VALUE"""),"[Nhãn]")</f>
        <v>[Nhãn]</v>
      </c>
      <c r="C4328" s="87" t="str">
        <f>IFERROR(__xludf.DUMMYFUNCTION("""COMPUTED_VALUE"""),"NHG3527")</f>
        <v>NHG3527</v>
      </c>
      <c r="D4328" s="87" t="str">
        <f>IFERROR(__xludf.DUMMYFUNCTION("""COMPUTED_VALUE"""),"[Nhãn] GC - IV - 3527 - NEWTECH CROP SCIENCE - GENOL 1.2SL MỚI (Nước đỏ) - 450ml - 40")</f>
        <v>[Nhãn] GC - IV - 3527 - NEWTECH CROP SCIENCE - GENOL 1.2SL MỚI (Nước đỏ) - 450ml - 40</v>
      </c>
      <c r="E4328" s="87" t="str">
        <f>IFERROR(__xludf.DUMMYFUNCTION("""COMPUTED_VALUE"""),"GENOL 1.2SL")</f>
        <v>GENOL 1.2SL</v>
      </c>
      <c r="F4328" s="87" t="str">
        <f>IFERROR(__xludf.DUMMYFUNCTION("""COMPUTED_VALUE"""),"HH3527")</f>
        <v>HH3527</v>
      </c>
      <c r="G4328" s="87" t="str">
        <f>IFERROR(__xludf.DUMMYFUNCTION("""COMPUTED_VALUE"""),"GC - IV - 3527 - NEWTECH CROP SCIENCE - GENOL 1.2SL MỚI (Nước đỏ) - 450ml - 40")</f>
        <v>GC - IV - 3527 - NEWTECH CROP SCIENCE - GENOL 1.2SL MỚI (Nước đỏ) - 450ml - 40</v>
      </c>
    </row>
    <row r="4329">
      <c r="A4329" s="86">
        <f>IFERROR(__xludf.DUMMYFUNCTION("""COMPUTED_VALUE"""),4327.0)</f>
        <v>4327</v>
      </c>
      <c r="B4329" s="87" t="str">
        <f>IFERROR(__xludf.DUMMYFUNCTION("""COMPUTED_VALUE"""),"[Nhãn thùng]")</f>
        <v>[Nhãn thùng]</v>
      </c>
      <c r="C4329" s="87" t="str">
        <f>IFERROR(__xludf.DUMMYFUNCTION("""COMPUTED_VALUE"""),"NDT3528")</f>
        <v>NDT3528</v>
      </c>
      <c r="D4329" s="87" t="str">
        <f>IFERROR(__xludf.DUMMYFUNCTION("""COMPUTED_VALUE"""),"[Nhãn thùng] GC - IV - 3528 - QUANG ĐĂNG AGRICULTURE - RAYNHAT (Bột trắng ngà) - 100gr - 100")</f>
        <v>[Nhãn thùng] GC - IV - 3528 - QUANG ĐĂNG AGRICULTURE - RAYNHAT (Bột trắng ngà) - 100gr - 100</v>
      </c>
      <c r="E4329" s="87" t="str">
        <f>IFERROR(__xludf.DUMMYFUNCTION("""COMPUTED_VALUE"""),"NOSAU 85WP")</f>
        <v>NOSAU 85WP</v>
      </c>
      <c r="F4329" s="87" t="str">
        <f>IFERROR(__xludf.DUMMYFUNCTION("""COMPUTED_VALUE"""),"HH3528")</f>
        <v>HH3528</v>
      </c>
      <c r="G4329" s="87" t="str">
        <f>IFERROR(__xludf.DUMMYFUNCTION("""COMPUTED_VALUE"""),"GC - IV - 3528 - Cty Quang Đăng Agriculture - RAYNHAT (Bột trắng ngà) - 100gr - 100")</f>
        <v>GC - IV - 3528 - Cty Quang Đăng Agriculture - RAYNHAT (Bột trắng ngà) - 100gr - 100</v>
      </c>
    </row>
    <row r="4330">
      <c r="A4330" s="86">
        <f>IFERROR(__xludf.DUMMYFUNCTION("""COMPUTED_VALUE"""),4328.0)</f>
        <v>4328</v>
      </c>
      <c r="B4330" s="87" t="str">
        <f>IFERROR(__xludf.DUMMYFUNCTION("""COMPUTED_VALUE"""),"[Nhãn]")</f>
        <v>[Nhãn]</v>
      </c>
      <c r="C4330" s="87" t="str">
        <f>IFERROR(__xludf.DUMMYFUNCTION("""COMPUTED_VALUE"""),"NTN3528")</f>
        <v>NTN3528</v>
      </c>
      <c r="D4330" s="87" t="str">
        <f>IFERROR(__xludf.DUMMYFUNCTION("""COMPUTED_VALUE"""),"[Nhãn] GC - IV - 3528 - QUANG ĐĂNG AGRICULTURE - RAYNHAT (Bột trắng ngà) - 100gr - 100")</f>
        <v>[Nhãn] GC - IV - 3528 - QUANG ĐĂNG AGRICULTURE - RAYNHAT (Bột trắng ngà) - 100gr - 100</v>
      </c>
      <c r="E4330" s="87" t="str">
        <f>IFERROR(__xludf.DUMMYFUNCTION("""COMPUTED_VALUE"""),"NOSAU 85WP")</f>
        <v>NOSAU 85WP</v>
      </c>
      <c r="F4330" s="87" t="str">
        <f>IFERROR(__xludf.DUMMYFUNCTION("""COMPUTED_VALUE"""),"HH3528")</f>
        <v>HH3528</v>
      </c>
      <c r="G4330" s="87" t="str">
        <f>IFERROR(__xludf.DUMMYFUNCTION("""COMPUTED_VALUE"""),"GC - IV - 3528 - Cty Quang Đăng Agriculture - RAYNHAT (Bột trắng ngà) - 100gr - 100")</f>
        <v>GC - IV - 3528 - Cty Quang Đăng Agriculture - RAYNHAT (Bột trắng ngà) - 100gr - 100</v>
      </c>
    </row>
    <row r="4331">
      <c r="A4331" s="86">
        <f>IFERROR(__xludf.DUMMYFUNCTION("""COMPUTED_VALUE"""),4329.0)</f>
        <v>4329</v>
      </c>
      <c r="B4331" s="87" t="str">
        <f>IFERROR(__xludf.DUMMYFUNCTION("""COMPUTED_VALUE"""),"[Nhãn]")</f>
        <v>[Nhãn]</v>
      </c>
      <c r="C4331" s="87" t="str">
        <f>IFERROR(__xludf.DUMMYFUNCTION("""COMPUTED_VALUE"""),"NHG3529")</f>
        <v>NHG3529</v>
      </c>
      <c r="D4331" s="87" t="str">
        <f>IFERROR(__xludf.DUMMYFUNCTION("""COMPUTED_VALUE"""),"[Nhãn] GC - IV - 3529 - CTY QUANG ĐĂNG AGRICULTURE - YAPOKO 250SC (Nước trắng sữa) - 200ml - 40")</f>
        <v>[Nhãn] GC - IV - 3529 - CTY QUANG ĐĂNG AGRICULTURE - YAPOKO 250SC (Nước trắng sữa) - 200ml - 40</v>
      </c>
      <c r="E4331" s="87" t="str">
        <f>IFERROR(__xludf.DUMMYFUNCTION("""COMPUTED_VALUE"""),"YAPOKO 250SC")</f>
        <v>YAPOKO 250SC</v>
      </c>
      <c r="F4331" s="87" t="str">
        <f>IFERROR(__xludf.DUMMYFUNCTION("""COMPUTED_VALUE"""),"HH3529")</f>
        <v>HH3529</v>
      </c>
      <c r="G4331" s="87" t="str">
        <f>IFERROR(__xludf.DUMMYFUNCTION("""COMPUTED_VALUE"""),"GC - IV - 3529 - Cty Quang Đăng Agriculture - YAPOKO 250SC (Nước trắng sữa) - 200ml - 40")</f>
        <v>GC - IV - 3529 - Cty Quang Đăng Agriculture - YAPOKO 250SC (Nước trắng sữa) - 200ml - 40</v>
      </c>
    </row>
    <row r="4332">
      <c r="A4332" s="86">
        <f>IFERROR(__xludf.DUMMYFUNCTION("""COMPUTED_VALUE"""),4330.0)</f>
        <v>4330</v>
      </c>
      <c r="B4332" s="87" t="str">
        <f>IFERROR(__xludf.DUMMYFUNCTION("""COMPUTED_VALUE"""),"[Nhãn]")</f>
        <v>[Nhãn]</v>
      </c>
      <c r="C4332" s="87" t="str">
        <f>IFERROR(__xludf.DUMMYFUNCTION("""COMPUTED_VALUE"""),"NHD3543")</f>
        <v>NHD3543</v>
      </c>
      <c r="D4332" s="87" t="str">
        <f>IFERROR(__xludf.DUMMYFUNCTION("""COMPUTED_VALUE"""),"[Nhãn] GC - IV - 3543 - AGRITECH - CALBO TECH USA (Nước trắng sữa) - 500ml - 40")</f>
        <v>[Nhãn] GC - IV - 3543 - AGRITECH - CALBO TECH USA (Nước trắng sữa) - 500ml - 40</v>
      </c>
      <c r="E4332" s="87" t="str">
        <f>IFERROR(__xludf.DUMMYFUNCTION("""COMPUTED_VALUE"""),"Vi lượng AGAMA-CANXI BO")</f>
        <v>Vi lượng AGAMA-CANXI BO</v>
      </c>
      <c r="F4332" s="87" t="str">
        <f>IFERROR(__xludf.DUMMYFUNCTION("""COMPUTED_VALUE"""),"HH3543")</f>
        <v>HH3543</v>
      </c>
      <c r="G4332" s="87" t="str">
        <f>IFERROR(__xludf.DUMMYFUNCTION("""COMPUTED_VALUE"""),"GC - IV - 3543 - AGRITECH - CALBO TECH USA (Nước trắng sữa) - 500ml - 40")</f>
        <v>GC - IV - 3543 - AGRITECH - CALBO TECH USA (Nước trắng sữa) - 500ml - 40</v>
      </c>
    </row>
    <row r="4333">
      <c r="A4333" s="86">
        <f>IFERROR(__xludf.DUMMYFUNCTION("""COMPUTED_VALUE"""),4331.0)</f>
        <v>4331</v>
      </c>
      <c r="B4333" s="87" t="str">
        <f>IFERROR(__xludf.DUMMYFUNCTION("""COMPUTED_VALUE"""),"[Nhãn thùng]")</f>
        <v>[Nhãn thùng]</v>
      </c>
      <c r="C4333" s="87" t="str">
        <f>IFERROR(__xludf.DUMMYFUNCTION("""COMPUTED_VALUE"""),"NDT3543")</f>
        <v>NDT3543</v>
      </c>
      <c r="D4333" s="87" t="str">
        <f>IFERROR(__xludf.DUMMYFUNCTION("""COMPUTED_VALUE"""),"[Nhãn thùng] GC - IV - 3543 - AGRITECH - CALBO TECH USA (Nước trắng sữa) - 500ml - 40")</f>
        <v>[Nhãn thùng] GC - IV - 3543 - AGRITECH - CALBO TECH USA (Nước trắng sữa) - 500ml - 40</v>
      </c>
      <c r="E4333" s="87" t="str">
        <f>IFERROR(__xludf.DUMMYFUNCTION("""COMPUTED_VALUE"""),"Vi lượng AGAMA-CANXI BO")</f>
        <v>Vi lượng AGAMA-CANXI BO</v>
      </c>
      <c r="F4333" s="87" t="str">
        <f>IFERROR(__xludf.DUMMYFUNCTION("""COMPUTED_VALUE"""),"HH3543")</f>
        <v>HH3543</v>
      </c>
      <c r="G4333" s="87" t="str">
        <f>IFERROR(__xludf.DUMMYFUNCTION("""COMPUTED_VALUE"""),"GC - IV - 3543 - AGRITECH - CALBO TECH USA (Nước trắng sữa) - 500ml - 40")</f>
        <v>GC - IV - 3543 - AGRITECH - CALBO TECH USA (Nước trắng sữa) - 500ml - 40</v>
      </c>
    </row>
    <row r="4334">
      <c r="A4334" s="86">
        <f>IFERROR(__xludf.DUMMYFUNCTION("""COMPUTED_VALUE"""),4332.0)</f>
        <v>4332</v>
      </c>
      <c r="B4334" s="87" t="str">
        <f>IFERROR(__xludf.DUMMYFUNCTION("""COMPUTED_VALUE"""),"[Nhãn]")</f>
        <v>[Nhãn]</v>
      </c>
      <c r="C4334" s="87" t="str">
        <f>IFERROR(__xludf.DUMMYFUNCTION("""COMPUTED_VALUE"""),"NHD3544")</f>
        <v>NHD3544</v>
      </c>
      <c r="D4334" s="87" t="str">
        <f>IFERROR(__xludf.DUMMYFUNCTION("""COMPUTED_VALUE"""),"[Nhãn] GC - IV - 3544 - AGRITECH -AMINOPRO ITALIA (Nước nâu đen) - 500ml - 40")</f>
        <v>[Nhãn] GC - IV - 3544 - AGRITECH -AMINOPRO ITALIA (Nước nâu đen) - 500ml - 40</v>
      </c>
      <c r="E4334" s="87" t="str">
        <f>IFERROR(__xludf.DUMMYFUNCTION("""COMPUTED_VALUE"""),"Hữu cơ Organic BM Gold  FW")</f>
        <v>Hữu cơ Organic BM Gold  FW</v>
      </c>
      <c r="F4334" s="87" t="str">
        <f>IFERROR(__xludf.DUMMYFUNCTION("""COMPUTED_VALUE"""),"HH3544")</f>
        <v>HH3544</v>
      </c>
      <c r="G4334" s="87" t="str">
        <f>IFERROR(__xludf.DUMMYFUNCTION("""COMPUTED_VALUE"""),"GC - IV - 3544 - AGRITECH -AMINOPRO ITALIA (Nước nâu đen) - 500ml - 40")</f>
        <v>GC - IV - 3544 - AGRITECH -AMINOPRO ITALIA (Nước nâu đen) - 500ml - 40</v>
      </c>
    </row>
    <row r="4335">
      <c r="A4335" s="86">
        <f>IFERROR(__xludf.DUMMYFUNCTION("""COMPUTED_VALUE"""),4333.0)</f>
        <v>4333</v>
      </c>
      <c r="B4335" s="87" t="str">
        <f>IFERROR(__xludf.DUMMYFUNCTION("""COMPUTED_VALUE"""),"[Nhãn thùng]")</f>
        <v>[Nhãn thùng]</v>
      </c>
      <c r="C4335" s="87" t="str">
        <f>IFERROR(__xludf.DUMMYFUNCTION("""COMPUTED_VALUE"""),"NDT3544")</f>
        <v>NDT3544</v>
      </c>
      <c r="D4335" s="87" t="str">
        <f>IFERROR(__xludf.DUMMYFUNCTION("""COMPUTED_VALUE"""),"[Nhãn thùng] GC - IV - 3544 - AGRITECH -AMINOPRO ITALIA (Nước nâu đen) - 500ml - 40")</f>
        <v>[Nhãn thùng] GC - IV - 3544 - AGRITECH -AMINOPRO ITALIA (Nước nâu đen) - 500ml - 40</v>
      </c>
      <c r="E4335" s="87" t="str">
        <f>IFERROR(__xludf.DUMMYFUNCTION("""COMPUTED_VALUE"""),"Hữu cơ Organic BM Gold  FW")</f>
        <v>Hữu cơ Organic BM Gold  FW</v>
      </c>
      <c r="F4335" s="87" t="str">
        <f>IFERROR(__xludf.DUMMYFUNCTION("""COMPUTED_VALUE"""),"HH3544")</f>
        <v>HH3544</v>
      </c>
      <c r="G4335" s="87" t="str">
        <f>IFERROR(__xludf.DUMMYFUNCTION("""COMPUTED_VALUE"""),"GC - IV - 3544 - AGRITECH -AMINOPRO ITALIA (Nước nâu đen) - 500ml - 40")</f>
        <v>GC - IV - 3544 - AGRITECH -AMINOPRO ITALIA (Nước nâu đen) - 500ml - 40</v>
      </c>
    </row>
    <row r="4336">
      <c r="A4336" s="86">
        <f>IFERROR(__xludf.DUMMYFUNCTION("""COMPUTED_VALUE"""),4334.0)</f>
        <v>4334</v>
      </c>
      <c r="B4336" s="87" t="str">
        <f>IFERROR(__xludf.DUMMYFUNCTION("""COMPUTED_VALUE"""),"[Nhãn]")</f>
        <v>[Nhãn]</v>
      </c>
      <c r="C4336" s="87" t="str">
        <f>IFERROR(__xludf.DUMMYFUNCTION("""COMPUTED_VALUE"""),"NHD3545")</f>
        <v>NHD3545</v>
      </c>
      <c r="D4336" s="87" t="str">
        <f>IFERROR(__xludf.DUMMYFUNCTION("""COMPUTED_VALUE"""),"[Nhãn] DR.XANH - VIII - 3545 - DR.HUCO (Nước nâu đen) - 5L - 4")</f>
        <v>[Nhãn] DR.XANH - VIII - 3545 - DR.HUCO (Nước nâu đen) - 5L - 4</v>
      </c>
      <c r="E4336" s="87" t="str">
        <f>IFERROR(__xludf.DUMMYFUNCTION("""COMPUTED_VALUE"""),"Hữu cơ Organic BM Gold  FW")</f>
        <v>Hữu cơ Organic BM Gold  FW</v>
      </c>
      <c r="F4336" s="87" t="str">
        <f>IFERROR(__xludf.DUMMYFUNCTION("""COMPUTED_VALUE"""),"HH3545")</f>
        <v>HH3545</v>
      </c>
      <c r="G4336" s="87" t="str">
        <f>IFERROR(__xludf.DUMMYFUNCTION("""COMPUTED_VALUE"""),"DR.XANH - VIII - 3545 - DR.HUCO (Nước nâu đen) - 5L - 4")</f>
        <v>DR.XANH - VIII - 3545 - DR.HUCO (Nước nâu đen) - 5L - 4</v>
      </c>
    </row>
    <row r="4337">
      <c r="A4337" s="86">
        <f>IFERROR(__xludf.DUMMYFUNCTION("""COMPUTED_VALUE"""),4335.0)</f>
        <v>4335</v>
      </c>
      <c r="B4337" s="87" t="str">
        <f>IFERROR(__xludf.DUMMYFUNCTION("""COMPUTED_VALUE"""),"[Nhãn thùng]")</f>
        <v>[Nhãn thùng]</v>
      </c>
      <c r="C4337" s="87" t="str">
        <f>IFERROR(__xludf.DUMMYFUNCTION("""COMPUTED_VALUE"""),"NDT3545")</f>
        <v>NDT3545</v>
      </c>
      <c r="D4337" s="87" t="str">
        <f>IFERROR(__xludf.DUMMYFUNCTION("""COMPUTED_VALUE"""),"[Nhãn thùng] DR.XANH - VIII - 3545 - DR.HUCO (Nước nâu đen) - 5L - 4")</f>
        <v>[Nhãn thùng] DR.XANH - VIII - 3545 - DR.HUCO (Nước nâu đen) - 5L - 4</v>
      </c>
      <c r="E4337" s="87" t="str">
        <f>IFERROR(__xludf.DUMMYFUNCTION("""COMPUTED_VALUE"""),"Hữu cơ Organic BM Gold  FW")</f>
        <v>Hữu cơ Organic BM Gold  FW</v>
      </c>
      <c r="F4337" s="87" t="str">
        <f>IFERROR(__xludf.DUMMYFUNCTION("""COMPUTED_VALUE"""),"HH3545")</f>
        <v>HH3545</v>
      </c>
      <c r="G4337" s="87" t="str">
        <f>IFERROR(__xludf.DUMMYFUNCTION("""COMPUTED_VALUE"""),"DR.XANH - VIII - 3545 - DR.HUCO (Nước nâu đen) - 5L - 4")</f>
        <v>DR.XANH - VIII - 3545 - DR.HUCO (Nước nâu đen) - 5L - 4</v>
      </c>
    </row>
    <row r="4338">
      <c r="A4338" s="86">
        <f>IFERROR(__xludf.DUMMYFUNCTION("""COMPUTED_VALUE"""),4336.0)</f>
        <v>4336</v>
      </c>
      <c r="B4338" s="87" t="str">
        <f>IFERROR(__xludf.DUMMYFUNCTION("""COMPUTED_VALUE"""),"[Nhãn]")</f>
        <v>[Nhãn]</v>
      </c>
      <c r="C4338" s="87" t="str">
        <f>IFERROR(__xludf.DUMMYFUNCTION("""COMPUTED_VALUE"""),"NHG3546")</f>
        <v>NHG3546</v>
      </c>
      <c r="D4338" s="87" t="str">
        <f>IFERROR(__xludf.DUMMYFUNCTION("""COMPUTED_VALUE"""),"[Nhãn] DR.XANH - VIII - 3546 - DR.AB MAGSI (Nước nâu đen) - 500ml - 40")</f>
        <v>[Nhãn] DR.XANH - VIII - 3546 - DR.AB MAGSI (Nước nâu đen) - 500ml - 40</v>
      </c>
      <c r="E4338" s="87" t="str">
        <f>IFERROR(__xludf.DUMMYFUNCTION("""COMPUTED_VALUE"""),"Hữu cơ SH Agro Organic Fertilizer 20")</f>
        <v>Hữu cơ SH Agro Organic Fertilizer 20</v>
      </c>
      <c r="F4338" s="87" t="str">
        <f>IFERROR(__xludf.DUMMYFUNCTION("""COMPUTED_VALUE"""),"HH3546")</f>
        <v>HH3546</v>
      </c>
      <c r="G4338" s="87" t="str">
        <f>IFERROR(__xludf.DUMMYFUNCTION("""COMPUTED_VALUE"""),"DR.XANH - VIII - 3546 - DR.AB MAGSI (Nước nâu đen) - 500ml - 40")</f>
        <v>DR.XANH - VIII - 3546 - DR.AB MAGSI (Nước nâu đen) - 500ml - 40</v>
      </c>
    </row>
    <row r="4339">
      <c r="A4339" s="86">
        <f>IFERROR(__xludf.DUMMYFUNCTION("""COMPUTED_VALUE"""),4337.0)</f>
        <v>4337</v>
      </c>
      <c r="B4339" s="87" t="str">
        <f>IFERROR(__xludf.DUMMYFUNCTION("""COMPUTED_VALUE"""),"[Nhãn]")</f>
        <v>[Nhãn]</v>
      </c>
      <c r="C4339" s="87" t="str">
        <f>IFERROR(__xludf.DUMMYFUNCTION("""COMPUTED_VALUE"""),"NHG3547")</f>
        <v>NHG3547</v>
      </c>
      <c r="D4339" s="87" t="str">
        <f>IFERROR(__xludf.DUMMYFUNCTION("""COMPUTED_VALUE"""),"[Nhãn] DR.XANH - VIII - 3547 - DR.CALBOR (Nước vàng xanh) - 500ml - 40")</f>
        <v>[Nhãn] DR.XANH - VIII - 3547 - DR.CALBOR (Nước vàng xanh) - 500ml - 40</v>
      </c>
      <c r="E4339" s="87" t="str">
        <f>IFERROR(__xludf.DUMMYFUNCTION("""COMPUTED_VALUE"""),"Vi lượng AGAMA-CANXI BO")</f>
        <v>Vi lượng AGAMA-CANXI BO</v>
      </c>
      <c r="F4339" s="87" t="str">
        <f>IFERROR(__xludf.DUMMYFUNCTION("""COMPUTED_VALUE"""),"HH3547")</f>
        <v>HH3547</v>
      </c>
      <c r="G4339" s="87" t="str">
        <f>IFERROR(__xludf.DUMMYFUNCTION("""COMPUTED_VALUE"""),"DR.XANH - VIII - 3547 - DR.CALBOR (Nước vàng xanh) - 500ml - 40")</f>
        <v>DR.XANH - VIII - 3547 - DR.CALBOR (Nước vàng xanh) - 500ml - 40</v>
      </c>
    </row>
    <row r="4340">
      <c r="A4340" s="86">
        <f>IFERROR(__xludf.DUMMYFUNCTION("""COMPUTED_VALUE"""),4338.0)</f>
        <v>4338</v>
      </c>
      <c r="B4340" s="87" t="str">
        <f>IFERROR(__xludf.DUMMYFUNCTION("""COMPUTED_VALUE"""),"[Nhãn]")</f>
        <v>[Nhãn]</v>
      </c>
      <c r="C4340" s="87" t="str">
        <f>IFERROR(__xludf.DUMMYFUNCTION("""COMPUTED_VALUE"""),"NHG3548")</f>
        <v>NHG3548</v>
      </c>
      <c r="D4340" s="87" t="str">
        <f>IFERROR(__xludf.DUMMYFUNCTION("""COMPUTED_VALUE"""),"[Nhãn] DR.XANH - VIII - 3548 - DR.XTRESS (Nước nâu đen) - 500ml - 40")</f>
        <v>[Nhãn] DR.XANH - VIII - 3548 - DR.XTRESS (Nước nâu đen) - 500ml - 40</v>
      </c>
      <c r="E4340" s="87" t="str">
        <f>IFERROR(__xludf.DUMMYFUNCTION("""COMPUTED_VALUE"""),"Hữu cơ Organic BM Gold  FW")</f>
        <v>Hữu cơ Organic BM Gold  FW</v>
      </c>
      <c r="F4340" s="87" t="str">
        <f>IFERROR(__xludf.DUMMYFUNCTION("""COMPUTED_VALUE"""),"HH3548")</f>
        <v>HH3548</v>
      </c>
      <c r="G4340" s="87" t="str">
        <f>IFERROR(__xludf.DUMMYFUNCTION("""COMPUTED_VALUE"""),"DR.XANH - VIII - 3548 - DR.XTRESS (Nước nâu đen) - 500ml - 40")</f>
        <v>DR.XANH - VIII - 3548 - DR.XTRESS (Nước nâu đen) - 500ml - 40</v>
      </c>
    </row>
    <row r="4341">
      <c r="A4341" s="86">
        <f>IFERROR(__xludf.DUMMYFUNCTION("""COMPUTED_VALUE"""),4339.0)</f>
        <v>4339</v>
      </c>
      <c r="B4341" s="87" t="str">
        <f>IFERROR(__xludf.DUMMYFUNCTION("""COMPUTED_VALUE"""),"[Nhãn]")</f>
        <v>[Nhãn]</v>
      </c>
      <c r="C4341" s="87" t="str">
        <f>IFERROR(__xludf.DUMMYFUNCTION("""COMPUTED_VALUE"""),"NHG3549")</f>
        <v>NHG3549</v>
      </c>
      <c r="D4341" s="87" t="str">
        <f>IFERROR(__xludf.DUMMYFUNCTION("""COMPUTED_VALUE"""),"[Nhãn] DR.XANH - VIII - 3549 - DR.STOPLA (Nước nâu đen) - 1L - 20")</f>
        <v>[Nhãn] DR.XANH - VIII - 3549 - DR.STOPLA (Nước nâu đen) - 1L - 20</v>
      </c>
      <c r="E4341" s="87" t="str">
        <f>IFERROR(__xludf.DUMMYFUNCTION("""COMPUTED_VALUE"""),"Hữu cơ SH Agro Organic Fertilizer 20")</f>
        <v>Hữu cơ SH Agro Organic Fertilizer 20</v>
      </c>
      <c r="F4341" s="87" t="str">
        <f>IFERROR(__xludf.DUMMYFUNCTION("""COMPUTED_VALUE"""),"HH3549")</f>
        <v>HH3549</v>
      </c>
      <c r="G4341" s="87" t="str">
        <f>IFERROR(__xludf.DUMMYFUNCTION("""COMPUTED_VALUE"""),"DR.XANH - VIII - 3549 - DR.STOPLA (Nước nâu đen) - 1L - 20")</f>
        <v>DR.XANH - VIII - 3549 - DR.STOPLA (Nước nâu đen) - 1L - 20</v>
      </c>
    </row>
    <row r="4342">
      <c r="A4342" s="86">
        <f>IFERROR(__xludf.DUMMYFUNCTION("""COMPUTED_VALUE"""),4340.0)</f>
        <v>4340</v>
      </c>
      <c r="B4342" s="87" t="str">
        <f>IFERROR(__xludf.DUMMYFUNCTION("""COMPUTED_VALUE"""),"[Nhãn]")</f>
        <v>[Nhãn]</v>
      </c>
      <c r="C4342" s="87" t="str">
        <f>IFERROR(__xludf.DUMMYFUNCTION("""COMPUTED_VALUE"""),"NHG3550")</f>
        <v>NHG3550</v>
      </c>
      <c r="D4342" s="87" t="str">
        <f>IFERROR(__xludf.DUMMYFUNCTION("""COMPUTED_VALUE"""),"[Nhãn] GC - V - 3550 - N2SBIO - N2 PHYTO PLUS (Nước nâu đen) - 500ml - 40")</f>
        <v>[Nhãn] GC - V - 3550 - N2SBIO - N2 PHYTO PLUS (Nước nâu đen) - 500ml - 40</v>
      </c>
      <c r="E4342" s="87" t="str">
        <f>IFERROR(__xludf.DUMMYFUNCTION("""COMPUTED_VALUE"""),"Hữu cơ SH Agro Organic Fertilizer 20")</f>
        <v>Hữu cơ SH Agro Organic Fertilizer 20</v>
      </c>
      <c r="F4342" s="87" t="str">
        <f>IFERROR(__xludf.DUMMYFUNCTION("""COMPUTED_VALUE"""),"HH3550")</f>
        <v>HH3550</v>
      </c>
      <c r="G4342" s="87" t="str">
        <f>IFERROR(__xludf.DUMMYFUNCTION("""COMPUTED_VALUE"""),"GC - V - 3550 - N2SBIO - N2 PHYTO PLUS (Nước nâu đen) - 500ml - 40")</f>
        <v>GC - V - 3550 - N2SBIO - N2 PHYTO PLUS (Nước nâu đen) - 500ml - 40</v>
      </c>
    </row>
    <row r="4343">
      <c r="A4343" s="86">
        <f>IFERROR(__xludf.DUMMYFUNCTION("""COMPUTED_VALUE"""),4341.0)</f>
        <v>4341</v>
      </c>
      <c r="B4343" s="87" t="str">
        <f>IFERROR(__xludf.DUMMYFUNCTION("""COMPUTED_VALUE"""),"[Nhãn thùng]")</f>
        <v>[Nhãn thùng]</v>
      </c>
      <c r="C4343" s="87" t="str">
        <f>IFERROR(__xludf.DUMMYFUNCTION("""COMPUTED_VALUE"""),"NDT3550")</f>
        <v>NDT3550</v>
      </c>
      <c r="D4343" s="87" t="str">
        <f>IFERROR(__xludf.DUMMYFUNCTION("""COMPUTED_VALUE"""),"[Nhãn thùng] GC - V - 3550 - N2SBIO - N2 PHYTO PLUS (Nước nâu đen) - 500ml - 40")</f>
        <v>[Nhãn thùng] GC - V - 3550 - N2SBIO - N2 PHYTO PLUS (Nước nâu đen) - 500ml - 40</v>
      </c>
      <c r="E4343" s="87" t="str">
        <f>IFERROR(__xludf.DUMMYFUNCTION("""COMPUTED_VALUE"""),"Hữu cơ SH Agro Organic Fertilizer 20")</f>
        <v>Hữu cơ SH Agro Organic Fertilizer 20</v>
      </c>
      <c r="F4343" s="87" t="str">
        <f>IFERROR(__xludf.DUMMYFUNCTION("""COMPUTED_VALUE"""),"HH3550")</f>
        <v>HH3550</v>
      </c>
      <c r="G4343" s="87" t="str">
        <f>IFERROR(__xludf.DUMMYFUNCTION("""COMPUTED_VALUE"""),"GC - V - 3550 - N2SBIO - N2 PHYTO PLUS (Nước nâu đen) - 500ml - 40")</f>
        <v>GC - V - 3550 - N2SBIO - N2 PHYTO PLUS (Nước nâu đen) - 500ml - 40</v>
      </c>
    </row>
    <row r="4344">
      <c r="A4344" s="86">
        <f>IFERROR(__xludf.DUMMYFUNCTION("""COMPUTED_VALUE"""),4342.0)</f>
        <v>4342</v>
      </c>
      <c r="B4344" s="87" t="str">
        <f>IFERROR(__xludf.DUMMYFUNCTION("""COMPUTED_VALUE"""),"[Nhãn]")</f>
        <v>[Nhãn]</v>
      </c>
      <c r="C4344" s="87" t="str">
        <f>IFERROR(__xludf.DUMMYFUNCTION("""COMPUTED_VALUE"""),"NHD3550")</f>
        <v>NHD3550</v>
      </c>
      <c r="D4344" s="87" t="str">
        <f>IFERROR(__xludf.DUMMYFUNCTION("""COMPUTED_VALUE"""),"[Nhãn] GC - V - 3550 - N2SBIO - N2 PHYTO PLUS (Nước nâu đen) - 500ml - 40")</f>
        <v>[Nhãn] GC - V - 3550 - N2SBIO - N2 PHYTO PLUS (Nước nâu đen) - 500ml - 40</v>
      </c>
      <c r="E4344" s="87" t="str">
        <f>IFERROR(__xludf.DUMMYFUNCTION("""COMPUTED_VALUE"""),"Hữu cơ SH Agro Organic Fertilizer 20")</f>
        <v>Hữu cơ SH Agro Organic Fertilizer 20</v>
      </c>
      <c r="F4344" s="87" t="str">
        <f>IFERROR(__xludf.DUMMYFUNCTION("""COMPUTED_VALUE"""),"HH3550")</f>
        <v>HH3550</v>
      </c>
      <c r="G4344" s="87" t="str">
        <f>IFERROR(__xludf.DUMMYFUNCTION("""COMPUTED_VALUE"""),"GC - V - 3550 - N2SBIO - N2 PHYTO PLUS (Nước nâu đen) - 500ml - 40")</f>
        <v>GC - V - 3550 - N2SBIO - N2 PHYTO PLUS (Nước nâu đen) - 500ml - 40</v>
      </c>
    </row>
    <row r="4345">
      <c r="A4345" s="86">
        <f>IFERROR(__xludf.DUMMYFUNCTION("""COMPUTED_VALUE"""),4343.0)</f>
        <v>4343</v>
      </c>
      <c r="B4345" s="87" t="str">
        <f>IFERROR(__xludf.DUMMYFUNCTION("""COMPUTED_VALUE"""),"[Nhãn]")</f>
        <v>[Nhãn]</v>
      </c>
      <c r="C4345" s="87" t="str">
        <f>IFERROR(__xludf.DUMMYFUNCTION("""COMPUTED_VALUE"""),"NHG3551")</f>
        <v>NHG3551</v>
      </c>
      <c r="D4345" s="87" t="str">
        <f>IFERROR(__xludf.DUMMYFUNCTION("""COMPUTED_VALUE"""),"[Nhãn] GC - V - 3551 - N2SBIO - N2 ANTI STRESS (Nước nâu đen) - 500ml - 40")</f>
        <v>[Nhãn] GC - V - 3551 - N2SBIO - N2 ANTI STRESS (Nước nâu đen) - 500ml - 40</v>
      </c>
      <c r="E4345" s="87" t="str">
        <f>IFERROR(__xludf.DUMMYFUNCTION("""COMPUTED_VALUE"""),"Hữu cơ Organic BM Gold  FW")</f>
        <v>Hữu cơ Organic BM Gold  FW</v>
      </c>
      <c r="F4345" s="87" t="str">
        <f>IFERROR(__xludf.DUMMYFUNCTION("""COMPUTED_VALUE"""),"HH3551")</f>
        <v>HH3551</v>
      </c>
      <c r="G4345" s="87" t="str">
        <f>IFERROR(__xludf.DUMMYFUNCTION("""COMPUTED_VALUE"""),"GC - V - 3551 - N2SBIO - N2 ANTI STRESS (Nước nâu đen) - 500ml - 40")</f>
        <v>GC - V - 3551 - N2SBIO - N2 ANTI STRESS (Nước nâu đen) - 500ml - 40</v>
      </c>
    </row>
    <row r="4346">
      <c r="A4346" s="86">
        <f>IFERROR(__xludf.DUMMYFUNCTION("""COMPUTED_VALUE"""),4344.0)</f>
        <v>4344</v>
      </c>
      <c r="B4346" s="87" t="str">
        <f>IFERROR(__xludf.DUMMYFUNCTION("""COMPUTED_VALUE"""),"[Nhãn]")</f>
        <v>[Nhãn]</v>
      </c>
      <c r="C4346" s="87" t="str">
        <f>IFERROR(__xludf.DUMMYFUNCTION("""COMPUTED_VALUE"""),"NHD3551")</f>
        <v>NHD3551</v>
      </c>
      <c r="D4346" s="87" t="str">
        <f>IFERROR(__xludf.DUMMYFUNCTION("""COMPUTED_VALUE"""),"[Nhãn] GC - V - 3551 - N2SBIO - N2 ANTI STRESS (Nước nâu đen) - 500ml - 40")</f>
        <v>[Nhãn] GC - V - 3551 - N2SBIO - N2 ANTI STRESS (Nước nâu đen) - 500ml - 40</v>
      </c>
      <c r="E4346" s="87" t="str">
        <f>IFERROR(__xludf.DUMMYFUNCTION("""COMPUTED_VALUE"""),"Hữu cơ Organic BM Gold  FW")</f>
        <v>Hữu cơ Organic BM Gold  FW</v>
      </c>
      <c r="F4346" s="87" t="str">
        <f>IFERROR(__xludf.DUMMYFUNCTION("""COMPUTED_VALUE"""),"HH3551")</f>
        <v>HH3551</v>
      </c>
      <c r="G4346" s="87" t="str">
        <f>IFERROR(__xludf.DUMMYFUNCTION("""COMPUTED_VALUE"""),"GC - V - 3551 - N2SBIO - N2 ANTI STRESS (Nước nâu đen) - 500ml - 40")</f>
        <v>GC - V - 3551 - N2SBIO - N2 ANTI STRESS (Nước nâu đen) - 500ml - 40</v>
      </c>
    </row>
    <row r="4347">
      <c r="A4347" s="86">
        <f>IFERROR(__xludf.DUMMYFUNCTION("""COMPUTED_VALUE"""),4345.0)</f>
        <v>4345</v>
      </c>
      <c r="B4347" s="87" t="str">
        <f>IFERROR(__xludf.DUMMYFUNCTION("""COMPUTED_VALUE"""),"[Nhãn]")</f>
        <v>[Nhãn]</v>
      </c>
      <c r="C4347" s="87" t="str">
        <f>IFERROR(__xludf.DUMMYFUNCTION("""COMPUTED_VALUE"""),"NHG3552")</f>
        <v>NHG3552</v>
      </c>
      <c r="D4347" s="87" t="str">
        <f>IFERROR(__xludf.DUMMYFUNCTION("""COMPUTED_VALUE"""),"[Nhãn] GC - V - 3552 - N2SBIO - N2 HYPER LOCK (Nước nâu đen) - 1L - 20")</f>
        <v>[Nhãn] GC - V - 3552 - N2SBIO - N2 HYPER LOCK (Nước nâu đen) - 1L - 20</v>
      </c>
      <c r="E4347" s="87" t="str">
        <f>IFERROR(__xludf.DUMMYFUNCTION("""COMPUTED_VALUE"""),"Hữu cơ SH Agro Organic Fertilizer 20")</f>
        <v>Hữu cơ SH Agro Organic Fertilizer 20</v>
      </c>
      <c r="F4347" s="87" t="str">
        <f>IFERROR(__xludf.DUMMYFUNCTION("""COMPUTED_VALUE"""),"HH3552")</f>
        <v>HH3552</v>
      </c>
      <c r="G4347" s="87" t="str">
        <f>IFERROR(__xludf.DUMMYFUNCTION("""COMPUTED_VALUE"""),"GC - V - 3552 - N2SBIO - N2 HYPER LOCK (Nước nâu đen) - 1L - 20")</f>
        <v>GC - V - 3552 - N2SBIO - N2 HYPER LOCK (Nước nâu đen) - 1L - 20</v>
      </c>
    </row>
    <row r="4348">
      <c r="A4348" s="86">
        <f>IFERROR(__xludf.DUMMYFUNCTION("""COMPUTED_VALUE"""),4346.0)</f>
        <v>4346</v>
      </c>
      <c r="B4348" s="87" t="str">
        <f>IFERROR(__xludf.DUMMYFUNCTION("""COMPUTED_VALUE"""),"[Nhãn]")</f>
        <v>[Nhãn]</v>
      </c>
      <c r="C4348" s="87" t="str">
        <f>IFERROR(__xludf.DUMMYFUNCTION("""COMPUTED_VALUE"""),"NHD3552")</f>
        <v>NHD3552</v>
      </c>
      <c r="D4348" s="87" t="str">
        <f>IFERROR(__xludf.DUMMYFUNCTION("""COMPUTED_VALUE"""),"[Nhãn] GC - V - 3552 - N2SBIO - N2 HYPER LOCK (Nước nâu đen) - 1L - 20")</f>
        <v>[Nhãn] GC - V - 3552 - N2SBIO - N2 HYPER LOCK (Nước nâu đen) - 1L - 20</v>
      </c>
      <c r="E4348" s="87" t="str">
        <f>IFERROR(__xludf.DUMMYFUNCTION("""COMPUTED_VALUE"""),"Hữu cơ SH Agro Organic Fertilizer 20")</f>
        <v>Hữu cơ SH Agro Organic Fertilizer 20</v>
      </c>
      <c r="F4348" s="87" t="str">
        <f>IFERROR(__xludf.DUMMYFUNCTION("""COMPUTED_VALUE"""),"HH3552")</f>
        <v>HH3552</v>
      </c>
      <c r="G4348" s="87" t="str">
        <f>IFERROR(__xludf.DUMMYFUNCTION("""COMPUTED_VALUE"""),"GC - V - 3552 - N2SBIO - N2 HYPER LOCK (Nước nâu đen) - 1L - 20")</f>
        <v>GC - V - 3552 - N2SBIO - N2 HYPER LOCK (Nước nâu đen) - 1L - 20</v>
      </c>
    </row>
    <row r="4349">
      <c r="A4349" s="86">
        <f>IFERROR(__xludf.DUMMYFUNCTION("""COMPUTED_VALUE"""),4347.0)</f>
        <v>4347</v>
      </c>
      <c r="B4349" s="87" t="str">
        <f>IFERROR(__xludf.DUMMYFUNCTION("""COMPUTED_VALUE"""),"[Nhãn]")</f>
        <v>[Nhãn]</v>
      </c>
      <c r="C4349" s="87" t="str">
        <f>IFERROR(__xludf.DUMMYFUNCTION("""COMPUTED_VALUE"""),"NHG3553")</f>
        <v>NHG3553</v>
      </c>
      <c r="D4349" s="87" t="str">
        <f>IFERROR(__xludf.DUMMYFUNCTION("""COMPUTED_VALUE"""),"[Nhãn] GC - V - 3553 - N2SBIO - N2 HYPER CALBOR (Nước trắng ngà) - 500ml - 40")</f>
        <v>[Nhãn] GC - V - 3553 - N2SBIO - N2 HYPER CALBOR (Nước trắng ngà) - 500ml - 40</v>
      </c>
      <c r="E4349" s="87" t="str">
        <f>IFERROR(__xludf.DUMMYFUNCTION("""COMPUTED_VALUE"""),"Vi lượng AGAMA-CANXI BO")</f>
        <v>Vi lượng AGAMA-CANXI BO</v>
      </c>
      <c r="F4349" s="87" t="str">
        <f>IFERROR(__xludf.DUMMYFUNCTION("""COMPUTED_VALUE"""),"HH3553")</f>
        <v>HH3553</v>
      </c>
      <c r="G4349" s="87" t="str">
        <f>IFERROR(__xludf.DUMMYFUNCTION("""COMPUTED_VALUE"""),"GC - V - 3553 - N2SBIO - N2 HYPER CALBOR (Nước trắng ngà) - 500ml - 40")</f>
        <v>GC - V - 3553 - N2SBIO - N2 HYPER CALBOR (Nước trắng ngà) - 500ml - 40</v>
      </c>
    </row>
    <row r="4350">
      <c r="A4350" s="86">
        <f>IFERROR(__xludf.DUMMYFUNCTION("""COMPUTED_VALUE"""),4348.0)</f>
        <v>4348</v>
      </c>
      <c r="B4350" s="87" t="str">
        <f>IFERROR(__xludf.DUMMYFUNCTION("""COMPUTED_VALUE"""),"[Nhãn]")</f>
        <v>[Nhãn]</v>
      </c>
      <c r="C4350" s="87" t="str">
        <f>IFERROR(__xludf.DUMMYFUNCTION("""COMPUTED_VALUE"""),"NHD3553")</f>
        <v>NHD3553</v>
      </c>
      <c r="D4350" s="87" t="str">
        <f>IFERROR(__xludf.DUMMYFUNCTION("""COMPUTED_VALUE"""),"[Nhãn] GC - V - 3553 - N2SBIO - N2 HYPER CALBOR (Nước trắng ngà) - 500ml - 40")</f>
        <v>[Nhãn] GC - V - 3553 - N2SBIO - N2 HYPER CALBOR (Nước trắng ngà) - 500ml - 40</v>
      </c>
      <c r="E4350" s="87" t="str">
        <f>IFERROR(__xludf.DUMMYFUNCTION("""COMPUTED_VALUE"""),"Vi lượng AGAMA-CANXI BO")</f>
        <v>Vi lượng AGAMA-CANXI BO</v>
      </c>
      <c r="F4350" s="87" t="str">
        <f>IFERROR(__xludf.DUMMYFUNCTION("""COMPUTED_VALUE"""),"HH3553")</f>
        <v>HH3553</v>
      </c>
      <c r="G4350" s="87" t="str">
        <f>IFERROR(__xludf.DUMMYFUNCTION("""COMPUTED_VALUE"""),"GC - V - 3553 - N2SBIO - N2 HYPER CALBOR (Nước trắng ngà) - 500ml - 40")</f>
        <v>GC - V - 3553 - N2SBIO - N2 HYPER CALBOR (Nước trắng ngà) - 500ml - 40</v>
      </c>
    </row>
    <row r="4351">
      <c r="A4351" s="86">
        <f>IFERROR(__xludf.DUMMYFUNCTION("""COMPUTED_VALUE"""),4349.0)</f>
        <v>4349</v>
      </c>
      <c r="B4351" s="87" t="str">
        <f>IFERROR(__xludf.DUMMYFUNCTION("""COMPUTED_VALUE"""),"[Nhãn]")</f>
        <v>[Nhãn]</v>
      </c>
      <c r="C4351" s="87" t="str">
        <f>IFERROR(__xludf.DUMMYFUNCTION("""COMPUTED_VALUE"""),"NHD3554")</f>
        <v>NHD3554</v>
      </c>
      <c r="D4351" s="87" t="str">
        <f>IFERROR(__xludf.DUMMYFUNCTION("""COMPUTED_VALUE"""),"[Nhãn] GC - V - 3554 - N2SBIO - N2 BOOSTER (Nước nâu đen) - 5L - 4")</f>
        <v>[Nhãn] GC - V - 3554 - N2SBIO - N2 BOOSTER (Nước nâu đen) - 5L - 4</v>
      </c>
      <c r="E4351" s="87" t="str">
        <f>IFERROR(__xludf.DUMMYFUNCTION("""COMPUTED_VALUE"""),"Hữu cơ Organic BM Gold  FW")</f>
        <v>Hữu cơ Organic BM Gold  FW</v>
      </c>
      <c r="F4351" s="87" t="str">
        <f>IFERROR(__xludf.DUMMYFUNCTION("""COMPUTED_VALUE"""),"HH3554")</f>
        <v>HH3554</v>
      </c>
      <c r="G4351" s="87" t="str">
        <f>IFERROR(__xludf.DUMMYFUNCTION("""COMPUTED_VALUE"""),"GC - V - 3554 - N2SBIO - N2 BOOSTER (Nước nâu đen) - 5L - 4")</f>
        <v>GC - V - 3554 - N2SBIO - N2 BOOSTER (Nước nâu đen) - 5L - 4</v>
      </c>
    </row>
    <row r="4352">
      <c r="A4352" s="86">
        <f>IFERROR(__xludf.DUMMYFUNCTION("""COMPUTED_VALUE"""),4350.0)</f>
        <v>4350</v>
      </c>
      <c r="B4352" s="87" t="str">
        <f>IFERROR(__xludf.DUMMYFUNCTION("""COMPUTED_VALUE"""),"[Nhãn thùng]")</f>
        <v>[Nhãn thùng]</v>
      </c>
      <c r="C4352" s="87" t="str">
        <f>IFERROR(__xludf.DUMMYFUNCTION("""COMPUTED_VALUE"""),"NDT3554")</f>
        <v>NDT3554</v>
      </c>
      <c r="D4352" s="87" t="str">
        <f>IFERROR(__xludf.DUMMYFUNCTION("""COMPUTED_VALUE"""),"[Nhãn thùng] GC - V - 3554 - N2SBIO - N2 BOOSTER (Nước nâu đen) - 5L - 4")</f>
        <v>[Nhãn thùng] GC - V - 3554 - N2SBIO - N2 BOOSTER (Nước nâu đen) - 5L - 4</v>
      </c>
      <c r="E4352" s="87" t="str">
        <f>IFERROR(__xludf.DUMMYFUNCTION("""COMPUTED_VALUE"""),"Hữu cơ Organic BM Gold  FW")</f>
        <v>Hữu cơ Organic BM Gold  FW</v>
      </c>
      <c r="F4352" s="87" t="str">
        <f>IFERROR(__xludf.DUMMYFUNCTION("""COMPUTED_VALUE"""),"HH3554")</f>
        <v>HH3554</v>
      </c>
      <c r="G4352" s="87" t="str">
        <f>IFERROR(__xludf.DUMMYFUNCTION("""COMPUTED_VALUE"""),"GC - V - 3554 - N2SBIO - N2 BOOSTER (Nước nâu đen) - 5L - 4")</f>
        <v>GC - V - 3554 - N2SBIO - N2 BOOSTER (Nước nâu đen) - 5L - 4</v>
      </c>
    </row>
    <row r="4353">
      <c r="A4353" s="86">
        <f>IFERROR(__xludf.DUMMYFUNCTION("""COMPUTED_VALUE"""),4351.0)</f>
        <v>4351</v>
      </c>
      <c r="B4353" s="87" t="str">
        <f>IFERROR(__xludf.DUMMYFUNCTION("""COMPUTED_VALUE"""),"[Nhãn]")</f>
        <v>[Nhãn]</v>
      </c>
      <c r="C4353" s="87" t="str">
        <f>IFERROR(__xludf.DUMMYFUNCTION("""COMPUTED_VALUE"""),"NTN3556")</f>
        <v>NTN3556</v>
      </c>
      <c r="D4353" s="87" t="str">
        <f>IFERROR(__xludf.DUMMYFUNCTION("""COMPUTED_VALUE"""),"[Nhãn] GC - IV - 3556 - THIÊN AN - FORTAZEB 72WP (Bột vàng) - 500gr - 30")</f>
        <v>[Nhãn] GC - IV - 3556 - THIÊN AN - FORTAZEB 72WP (Bột vàng) - 500gr - 30</v>
      </c>
      <c r="E4353" s="87" t="str">
        <f>IFERROR(__xludf.DUMMYFUNCTION("""COMPUTED_VALUE"""),"FORTAZEB 72WP")</f>
        <v>FORTAZEB 72WP</v>
      </c>
      <c r="F4353" s="87" t="str">
        <f>IFERROR(__xludf.DUMMYFUNCTION("""COMPUTED_VALUE"""),"HH3556")</f>
        <v>HH3556</v>
      </c>
      <c r="G4353" s="87" t="str">
        <f>IFERROR(__xludf.DUMMYFUNCTION("""COMPUTED_VALUE"""),"GC - IV - 3556 - THIÊN AN - FORTAZEB 72WP (Bột vàng) - 500gr - 30")</f>
        <v>GC - IV - 3556 - THIÊN AN - FORTAZEB 72WP (Bột vàng) - 500gr - 30</v>
      </c>
    </row>
    <row r="4354">
      <c r="A4354" s="86">
        <f>IFERROR(__xludf.DUMMYFUNCTION("""COMPUTED_VALUE"""),4352.0)</f>
        <v>4352</v>
      </c>
      <c r="B4354" s="87" t="str">
        <f>IFERROR(__xludf.DUMMYFUNCTION("""COMPUTED_VALUE"""),"[Nhãn]")</f>
        <v>[Nhãn]</v>
      </c>
      <c r="C4354" s="87" t="str">
        <f>IFERROR(__xludf.DUMMYFUNCTION("""COMPUTED_VALUE"""),"NHG3557")</f>
        <v>NHG3557</v>
      </c>
      <c r="D4354" s="87" t="str">
        <f>IFERROR(__xludf.DUMMYFUNCTION("""COMPUTED_VALUE"""),"[Nhãn] DR.XANH - VIII - 3557 - DR.RICE (Nước đỏ cam) - 500ml - 40")</f>
        <v>[Nhãn] DR.XANH - VIII - 3557 - DR.RICE (Nước đỏ cam) - 500ml - 40</v>
      </c>
      <c r="E4354" s="87" t="str">
        <f>IFERROR(__xludf.DUMMYFUNCTION("""COMPUTED_VALUE"""),"NPK-Vi lượng MASSIVE-BLUE")</f>
        <v>NPK-Vi lượng MASSIVE-BLUE</v>
      </c>
      <c r="F4354" s="87" t="str">
        <f>IFERROR(__xludf.DUMMYFUNCTION("""COMPUTED_VALUE"""),"HH3557")</f>
        <v>HH3557</v>
      </c>
      <c r="G4354" s="87" t="str">
        <f>IFERROR(__xludf.DUMMYFUNCTION("""COMPUTED_VALUE"""),"DR.XANH - VIII - 3557 - DR.RICE (Nước đỏ cam) - 500ml - 40")</f>
        <v>DR.XANH - VIII - 3557 - DR.RICE (Nước đỏ cam) - 500ml - 40</v>
      </c>
    </row>
    <row r="4355">
      <c r="A4355" s="86">
        <f>IFERROR(__xludf.DUMMYFUNCTION("""COMPUTED_VALUE"""),4353.0)</f>
        <v>4353</v>
      </c>
      <c r="B4355" s="87" t="str">
        <f>IFERROR(__xludf.DUMMYFUNCTION("""COMPUTED_VALUE"""),"[Nhãn]")</f>
        <v>[Nhãn]</v>
      </c>
      <c r="C4355" s="87" t="str">
        <f>IFERROR(__xludf.DUMMYFUNCTION("""COMPUTED_VALUE"""),"NHG3558")</f>
        <v>NHG3558</v>
      </c>
      <c r="D4355" s="87" t="str">
        <f>IFERROR(__xludf.DUMMYFUNCTION("""COMPUTED_VALUE"""),"[Nhãn] BAMBOO - VI - 3558 - BAMBOO CANXI-BO MASTER (Nước trắng sữa) - 1L - 20")</f>
        <v>[Nhãn] BAMBOO - VI - 3558 - BAMBOO CANXI-BO MASTER (Nước trắng sữa) - 1L - 20</v>
      </c>
      <c r="E4355" s="87" t="str">
        <f>IFERROR(__xludf.DUMMYFUNCTION("""COMPUTED_VALUE"""),"Vi lượng AGAMA-CANXI BO")</f>
        <v>Vi lượng AGAMA-CANXI BO</v>
      </c>
      <c r="F4355" s="87" t="str">
        <f>IFERROR(__xludf.DUMMYFUNCTION("""COMPUTED_VALUE"""),"HH3558")</f>
        <v>HH3558</v>
      </c>
      <c r="G4355" s="87" t="str">
        <f>IFERROR(__xludf.DUMMYFUNCTION("""COMPUTED_VALUE"""),"BAMBOO - VI - 3558 - BAMBOO CANXI-BO MASTER (Nước trắng sữa) - 1L - 20")</f>
        <v>BAMBOO - VI - 3558 - BAMBOO CANXI-BO MASTER (Nước trắng sữa) - 1L - 20</v>
      </c>
    </row>
    <row r="4356">
      <c r="A4356" s="86">
        <f>IFERROR(__xludf.DUMMYFUNCTION("""COMPUTED_VALUE"""),4354.0)</f>
        <v>4354</v>
      </c>
      <c r="B4356" s="87" t="str">
        <f>IFERROR(__xludf.DUMMYFUNCTION("""COMPUTED_VALUE"""),"[Nhãn thùng]")</f>
        <v>[Nhãn thùng]</v>
      </c>
      <c r="C4356" s="87" t="str">
        <f>IFERROR(__xludf.DUMMYFUNCTION("""COMPUTED_VALUE"""),"NDT3558")</f>
        <v>NDT3558</v>
      </c>
      <c r="D4356" s="87" t="str">
        <f>IFERROR(__xludf.DUMMYFUNCTION("""COMPUTED_VALUE"""),"[Nhãn thùng] BAMBOO - VI - 3558 - BAMBOO CANXI-BO MASTER (Nước trắng sữa) - 1L - 20")</f>
        <v>[Nhãn thùng] BAMBOO - VI - 3558 - BAMBOO CANXI-BO MASTER (Nước trắng sữa) - 1L - 20</v>
      </c>
      <c r="E4356" s="87" t="str">
        <f>IFERROR(__xludf.DUMMYFUNCTION("""COMPUTED_VALUE"""),"Vi lượng AGAMA-CANXI BO")</f>
        <v>Vi lượng AGAMA-CANXI BO</v>
      </c>
      <c r="F4356" s="87" t="str">
        <f>IFERROR(__xludf.DUMMYFUNCTION("""COMPUTED_VALUE"""),"HH3558")</f>
        <v>HH3558</v>
      </c>
      <c r="G4356" s="87" t="str">
        <f>IFERROR(__xludf.DUMMYFUNCTION("""COMPUTED_VALUE"""),"BAMBOO - VI - 3558 - BAMBOO CANXI-BO MASTER (Nước trắng sữa) - 1L - 20")</f>
        <v>BAMBOO - VI - 3558 - BAMBOO CANXI-BO MASTER (Nước trắng sữa) - 1L - 20</v>
      </c>
    </row>
    <row r="4357">
      <c r="A4357" s="86">
        <f>IFERROR(__xludf.DUMMYFUNCTION("""COMPUTED_VALUE"""),4355.0)</f>
        <v>4355</v>
      </c>
      <c r="B4357" s="87" t="str">
        <f>IFERROR(__xludf.DUMMYFUNCTION("""COMPUTED_VALUE"""),"[Nhãn]")</f>
        <v>[Nhãn]</v>
      </c>
      <c r="C4357" s="87" t="str">
        <f>IFERROR(__xludf.DUMMYFUNCTION("""COMPUTED_VALUE"""),"NHG3559")</f>
        <v>NHG3559</v>
      </c>
      <c r="D4357" s="87" t="str">
        <f>IFERROR(__xludf.DUMMYFUNCTION("""COMPUTED_VALUE"""),"[Nhãn] NB - I - 3559 - Pesticidex - Newfosinate 150SL - 900ml - 20")</f>
        <v>[Nhãn] NB - I - 3559 - Pesticidex - Newfosinate 150SL - 900ml - 20</v>
      </c>
      <c r="E4357" s="87" t="str">
        <f>IFERROR(__xludf.DUMMYFUNCTION("""COMPUTED_VALUE"""),"NEWFOSINATE 150SL")</f>
        <v>NEWFOSINATE 150SL</v>
      </c>
      <c r="F4357" s="87" t="str">
        <f>IFERROR(__xludf.DUMMYFUNCTION("""COMPUTED_VALUE"""),"HH3559")</f>
        <v>HH3559</v>
      </c>
      <c r="G4357" s="87" t="str">
        <f>IFERROR(__xludf.DUMMYFUNCTION("""COMPUTED_VALUE"""),"NB - I - 3559 - Pesticidex - Newfosinate 150SL - 900ml - 20")</f>
        <v>NB - I - 3559 - Pesticidex - Newfosinate 150SL - 900ml - 20</v>
      </c>
    </row>
    <row r="4358">
      <c r="A4358" s="86">
        <f>IFERROR(__xludf.DUMMYFUNCTION("""COMPUTED_VALUE"""),4356.0)</f>
        <v>4356</v>
      </c>
      <c r="B4358" s="87" t="str">
        <f>IFERROR(__xludf.DUMMYFUNCTION("""COMPUTED_VALUE"""),"[Nhãn]")</f>
        <v>[Nhãn]</v>
      </c>
      <c r="C4358" s="87" t="str">
        <f>IFERROR(__xludf.DUMMYFUNCTION("""COMPUTED_VALUE"""),"NHG3560")</f>
        <v>NHG3560</v>
      </c>
      <c r="D4358" s="87" t="str">
        <f>IFERROR(__xludf.DUMMYFUNCTION("""COMPUTED_VALUE"""),"[Nhãn] NB - I - 3560 - Pesticidex - Newfosinate 150SL - 800ml - 20")</f>
        <v>[Nhãn] NB - I - 3560 - Pesticidex - Newfosinate 150SL - 800ml - 20</v>
      </c>
      <c r="E4358" s="87" t="str">
        <f>IFERROR(__xludf.DUMMYFUNCTION("""COMPUTED_VALUE"""),"NEWFOSINATE 150SL")</f>
        <v>NEWFOSINATE 150SL</v>
      </c>
      <c r="F4358" s="87" t="str">
        <f>IFERROR(__xludf.DUMMYFUNCTION("""COMPUTED_VALUE"""),"HH3560")</f>
        <v>HH3560</v>
      </c>
      <c r="G4358" s="87" t="str">
        <f>IFERROR(__xludf.DUMMYFUNCTION("""COMPUTED_VALUE"""),"NB - I - 3560 - Pesticidex - Newfosinate 150SL - 800ml - 20")</f>
        <v>NB - I - 3560 - Pesticidex - Newfosinate 150SL - 800ml - 20</v>
      </c>
    </row>
    <row r="4359">
      <c r="A4359" s="86">
        <f>IFERROR(__xludf.DUMMYFUNCTION("""COMPUTED_VALUE"""),4357.0)</f>
        <v>4357</v>
      </c>
      <c r="B4359" s="87" t="str">
        <f>IFERROR(__xludf.DUMMYFUNCTION("""COMPUTED_VALUE"""),"[Nhãn]")</f>
        <v>[Nhãn]</v>
      </c>
      <c r="C4359" s="87" t="str">
        <f>IFERROR(__xludf.DUMMYFUNCTION("""COMPUTED_VALUE"""),"NHG3561")</f>
        <v>NHG3561</v>
      </c>
      <c r="D4359" s="87" t="str">
        <f>IFERROR(__xludf.DUMMYFUNCTION("""COMPUTED_VALUE"""),"[Nhãn] GC - IV - 3561 - Cty Tiến Vinh - HEXA TIVI (nước trắng sữa) - 1L - 20")</f>
        <v>[Nhãn] GC - IV - 3561 - Cty Tiến Vinh - HEXA TIVI (nước trắng sữa) - 1L - 20</v>
      </c>
      <c r="E4359" s="87" t="str">
        <f>IFERROR(__xludf.DUMMYFUNCTION("""COMPUTED_VALUE"""),"Mekongvil 5SC")</f>
        <v>Mekongvil 5SC</v>
      </c>
      <c r="F4359" s="87" t="str">
        <f>IFERROR(__xludf.DUMMYFUNCTION("""COMPUTED_VALUE"""),"HH3561")</f>
        <v>HH3561</v>
      </c>
      <c r="G4359" s="87" t="str">
        <f>IFERROR(__xludf.DUMMYFUNCTION("""COMPUTED_VALUE"""),"GC - IV - 3561 - Cty Tiến Vinh - HEXA TIVI (nước trắng sữa) - 1L - 20")</f>
        <v>GC - IV - 3561 - Cty Tiến Vinh - HEXA TIVI (nước trắng sữa) - 1L - 20</v>
      </c>
    </row>
    <row r="4360">
      <c r="A4360" s="86">
        <f>IFERROR(__xludf.DUMMYFUNCTION("""COMPUTED_VALUE"""),4358.0)</f>
        <v>4358</v>
      </c>
      <c r="B4360" s="87" t="str">
        <f>IFERROR(__xludf.DUMMYFUNCTION("""COMPUTED_VALUE"""),"[Nhãn]")</f>
        <v>[Nhãn]</v>
      </c>
      <c r="C4360" s="87" t="str">
        <f>IFERROR(__xludf.DUMMYFUNCTION("""COMPUTED_VALUE"""),"NHD3562")</f>
        <v>NHD3562</v>
      </c>
      <c r="D4360" s="87" t="str">
        <f>IFERROR(__xludf.DUMMYFUNCTION("""COMPUTED_VALUE"""),"[Nhãn] GC - II - 3562 - CTY THIÊN AN (Anh Hiển) - THIPRO 550EC (Nước vàng trà V1) - 450ml - 40")</f>
        <v>[Nhãn] GC - II - 3562 - CTY THIÊN AN (Anh Hiển) - THIPRO 550EC (Nước vàng trà V1) - 450ml - 40</v>
      </c>
      <c r="E4360" s="87" t="str">
        <f>IFERROR(__xludf.DUMMYFUNCTION("""COMPUTED_VALUE"""),"Thipro 550EC")</f>
        <v>Thipro 550EC</v>
      </c>
      <c r="F4360" s="87" t="str">
        <f>IFERROR(__xludf.DUMMYFUNCTION("""COMPUTED_VALUE"""),"HH3562")</f>
        <v>HH3562</v>
      </c>
      <c r="G4360" s="87" t="str">
        <f>IFERROR(__xludf.DUMMYFUNCTION("""COMPUTED_VALUE"""),"GC - II - 3562 - CTY THIÊN AN (Anh Hiển) - THIPRO 550EC (Nước vàng trà V1) - 450ml - 40")</f>
        <v>GC - II - 3562 - CTY THIÊN AN (Anh Hiển) - THIPRO 550EC (Nước vàng trà V1) - 450ml - 40</v>
      </c>
    </row>
    <row r="4361">
      <c r="A4361" s="86">
        <f>IFERROR(__xludf.DUMMYFUNCTION("""COMPUTED_VALUE"""),4359.0)</f>
        <v>4359</v>
      </c>
      <c r="B4361" s="87" t="str">
        <f>IFERROR(__xludf.DUMMYFUNCTION("""COMPUTED_VALUE"""),"[Nhãn thùng]")</f>
        <v>[Nhãn thùng]</v>
      </c>
      <c r="C4361" s="87" t="str">
        <f>IFERROR(__xludf.DUMMYFUNCTION("""COMPUTED_VALUE"""),"NDT3562")</f>
        <v>NDT3562</v>
      </c>
      <c r="D4361" s="87" t="str">
        <f>IFERROR(__xludf.DUMMYFUNCTION("""COMPUTED_VALUE"""),"[Nhãn thùng] GC - II - 3562 - CTY THIÊN AN (Anh Hiển) - THIPRO 550EC (Nước vàng trà V1) - 450ml - 40")</f>
        <v>[Nhãn thùng] GC - II - 3562 - CTY THIÊN AN (Anh Hiển) - THIPRO 550EC (Nước vàng trà V1) - 450ml - 40</v>
      </c>
      <c r="E4361" s="87" t="str">
        <f>IFERROR(__xludf.DUMMYFUNCTION("""COMPUTED_VALUE"""),"Thipro 550EC")</f>
        <v>Thipro 550EC</v>
      </c>
      <c r="F4361" s="87" t="str">
        <f>IFERROR(__xludf.DUMMYFUNCTION("""COMPUTED_VALUE"""),"HH3562")</f>
        <v>HH3562</v>
      </c>
      <c r="G4361" s="87" t="str">
        <f>IFERROR(__xludf.DUMMYFUNCTION("""COMPUTED_VALUE"""),"GC - II - 3562 - CTY THIÊN AN (Anh Hiển) - THIPRO 550EC (Nước vàng trà V1) - 450ml - 40")</f>
        <v>GC - II - 3562 - CTY THIÊN AN (Anh Hiển) - THIPRO 550EC (Nước vàng trà V1) - 450ml - 40</v>
      </c>
    </row>
    <row r="4362">
      <c r="A4362" s="86">
        <f>IFERROR(__xludf.DUMMYFUNCTION("""COMPUTED_VALUE"""),4360.0)</f>
        <v>4360</v>
      </c>
      <c r="B4362" s="87" t="str">
        <f>IFERROR(__xludf.DUMMYFUNCTION("""COMPUTED_VALUE"""),"[Nhãn]")</f>
        <v>[Nhãn]</v>
      </c>
      <c r="C4362" s="87" t="str">
        <f>IFERROR(__xludf.DUMMYFUNCTION("""COMPUTED_VALUE"""),"NHG3563")</f>
        <v>NHG3563</v>
      </c>
      <c r="D4362" s="87" t="str">
        <f>IFERROR(__xludf.DUMMYFUNCTION("""COMPUTED_VALUE"""),"[Nhãn] NB - V - 3563 - CTY NAUY - DƯỠNG ĐÒNG SUPER (Nước nâu đen) - 500ml - 40")</f>
        <v>[Nhãn] NB - V - 3563 - CTY NAUY - DƯỠNG ĐÒNG SUPER (Nước nâu đen) - 500ml - 40</v>
      </c>
      <c r="E4362" s="87" t="str">
        <f>IFERROR(__xludf.DUMMYFUNCTION("""COMPUTED_VALUE"""),"Vi lượng AGAMA-SUPPORT")</f>
        <v>Vi lượng AGAMA-SUPPORT</v>
      </c>
      <c r="F4362" s="87" t="str">
        <f>IFERROR(__xludf.DUMMYFUNCTION("""COMPUTED_VALUE"""),"HH3563")</f>
        <v>HH3563</v>
      </c>
      <c r="G4362" s="87" t="str">
        <f>IFERROR(__xludf.DUMMYFUNCTION("""COMPUTED_VALUE"""),"NB - V - 3563 - CTY NAUY - DƯỠNG ĐÒNG SUPER (Nước nâu đen) - 500ml - 40")</f>
        <v>NB - V - 3563 - CTY NAUY - DƯỠNG ĐÒNG SUPER (Nước nâu đen) - 500ml - 40</v>
      </c>
    </row>
    <row r="4363">
      <c r="A4363" s="86">
        <f>IFERROR(__xludf.DUMMYFUNCTION("""COMPUTED_VALUE"""),4361.0)</f>
        <v>4361</v>
      </c>
      <c r="B4363" s="87" t="str">
        <f>IFERROR(__xludf.DUMMYFUNCTION("""COMPUTED_VALUE"""),"[Nhãn]")</f>
        <v>[Nhãn]</v>
      </c>
      <c r="C4363" s="87" t="str">
        <f>IFERROR(__xludf.DUMMYFUNCTION("""COMPUTED_VALUE"""),"NHG3564")</f>
        <v>NHG3564</v>
      </c>
      <c r="D4363" s="87" t="str">
        <f>IFERROR(__xludf.DUMMYFUNCTION("""COMPUTED_VALUE"""),"[Nhãn] GC - V - 3564 - CTY NAUY - SUPER NANO (Nước nâu đen) - 500ml - 40")</f>
        <v>[Nhãn] GC - V - 3564 - CTY NAUY - SUPER NANO (Nước nâu đen) - 500ml - 40</v>
      </c>
      <c r="E4363" s="87" t="str">
        <f>IFERROR(__xludf.DUMMYFUNCTION("""COMPUTED_VALUE"""),"Vi lượng AGAMA-SUPPORT")</f>
        <v>Vi lượng AGAMA-SUPPORT</v>
      </c>
      <c r="F4363" s="87" t="str">
        <f>IFERROR(__xludf.DUMMYFUNCTION("""COMPUTED_VALUE"""),"HH3564")</f>
        <v>HH3564</v>
      </c>
      <c r="G4363" s="87" t="str">
        <f>IFERROR(__xludf.DUMMYFUNCTION("""COMPUTED_VALUE"""),"GC - V - 3564 - CTY NAUY - SUPER NANO (Nước nâu đen) - 500ml - 40")</f>
        <v>GC - V - 3564 - CTY NAUY - SUPER NANO (Nước nâu đen) - 500ml - 40</v>
      </c>
    </row>
    <row r="4364">
      <c r="A4364" s="86">
        <f>IFERROR(__xludf.DUMMYFUNCTION("""COMPUTED_VALUE"""),4362.0)</f>
        <v>4362</v>
      </c>
      <c r="B4364" s="87" t="str">
        <f>IFERROR(__xludf.DUMMYFUNCTION("""COMPUTED_VALUE"""),"[Nhãn]")</f>
        <v>[Nhãn]</v>
      </c>
      <c r="C4364" s="87" t="str">
        <f>IFERROR(__xludf.DUMMYFUNCTION("""COMPUTED_VALUE"""),"NHG3565")</f>
        <v>NHG3565</v>
      </c>
      <c r="D4364" s="87" t="str">
        <f>IFERROR(__xludf.DUMMYFUNCTION("""COMPUTED_VALUE"""),"[Nhãn] GC - V - 3565 - CTY NAUY - NANO PROMAX (Vô gạo) (Nước nâu đen) - 500ml - 40")</f>
        <v>[Nhãn] GC - V - 3565 - CTY NAUY - NANO PROMAX (Vô gạo) (Nước nâu đen) - 500ml - 40</v>
      </c>
      <c r="E4364" s="87" t="str">
        <f>IFERROR(__xludf.DUMMYFUNCTION("""COMPUTED_VALUE"""),"Vi lượng AGAMA-SUPPORT")</f>
        <v>Vi lượng AGAMA-SUPPORT</v>
      </c>
      <c r="F4364" s="87" t="str">
        <f>IFERROR(__xludf.DUMMYFUNCTION("""COMPUTED_VALUE"""),"HH3565")</f>
        <v>HH3565</v>
      </c>
      <c r="G4364" s="87" t="str">
        <f>IFERROR(__xludf.DUMMYFUNCTION("""COMPUTED_VALUE"""),"GC - V - 3565 - CTY NAUY - NANO PROMAX (Vô gạo) (Nước nâu đen) - 500ml - 40")</f>
        <v>GC - V - 3565 - CTY NAUY - NANO PROMAX (Vô gạo) (Nước nâu đen) - 500ml - 40</v>
      </c>
    </row>
    <row r="4365">
      <c r="A4365" s="86">
        <f>IFERROR(__xludf.DUMMYFUNCTION("""COMPUTED_VALUE"""),4363.0)</f>
        <v>4363</v>
      </c>
      <c r="B4365" s="87" t="str">
        <f>IFERROR(__xludf.DUMMYFUNCTION("""COMPUTED_VALUE"""),"[Nhãn]")</f>
        <v>[Nhãn]</v>
      </c>
      <c r="C4365" s="87" t="str">
        <f>IFERROR(__xludf.DUMMYFUNCTION("""COMPUTED_VALUE"""),"NHG3566")</f>
        <v>NHG3566</v>
      </c>
      <c r="D4365" s="87" t="str">
        <f>IFERROR(__xludf.DUMMYFUNCTION("""COMPUTED_VALUE"""),"[Nhãn] GC - V - 3566 - CTY NAUY - EU PROMAX (Nước đỏ) - 500ml - 40")</f>
        <v>[Nhãn] GC - V - 3566 - CTY NAUY - EU PROMAX (Nước đỏ) - 500ml - 40</v>
      </c>
      <c r="E4365" s="87" t="str">
        <f>IFERROR(__xludf.DUMMYFUNCTION("""COMPUTED_VALUE"""),"GENOL 1.2SL")</f>
        <v>GENOL 1.2SL</v>
      </c>
      <c r="F4365" s="87" t="str">
        <f>IFERROR(__xludf.DUMMYFUNCTION("""COMPUTED_VALUE"""),"HH3566")</f>
        <v>HH3566</v>
      </c>
      <c r="G4365" s="87" t="str">
        <f>IFERROR(__xludf.DUMMYFUNCTION("""COMPUTED_VALUE"""),"GC - V - 3566 - CTY NAUY - EU PROMAX (Nước đỏ) - 500ml - 40")</f>
        <v>GC - V - 3566 - CTY NAUY - EU PROMAX (Nước đỏ) - 500ml - 40</v>
      </c>
    </row>
    <row r="4366">
      <c r="A4366" s="86">
        <f>IFERROR(__xludf.DUMMYFUNCTION("""COMPUTED_VALUE"""),4364.0)</f>
        <v>4364</v>
      </c>
      <c r="B4366" s="87" t="str">
        <f>IFERROR(__xludf.DUMMYFUNCTION("""COMPUTED_VALUE"""),"[Nhãn]")</f>
        <v>[Nhãn]</v>
      </c>
      <c r="C4366" s="87" t="str">
        <f>IFERROR(__xludf.DUMMYFUNCTION("""COMPUTED_VALUE"""),"NHG3567")</f>
        <v>NHG3567</v>
      </c>
      <c r="D4366" s="87" t="str">
        <f>IFERROR(__xludf.DUMMYFUNCTION("""COMPUTED_VALUE"""),"[Nhãn] GC - V - 3567 - CTY NAUY - NANO DƯỠNG ĐÒNG (Nước nâu đen) - 500ml - 40")</f>
        <v>[Nhãn] GC - V - 3567 - CTY NAUY - NANO DƯỠNG ĐÒNG (Nước nâu đen) - 500ml - 40</v>
      </c>
      <c r="E4366" s="87" t="str">
        <f>IFERROR(__xludf.DUMMYFUNCTION("""COMPUTED_VALUE"""),"Vi lượng AGAMA-SUPPORT")</f>
        <v>Vi lượng AGAMA-SUPPORT</v>
      </c>
      <c r="F4366" s="87" t="str">
        <f>IFERROR(__xludf.DUMMYFUNCTION("""COMPUTED_VALUE"""),"HH3567")</f>
        <v>HH3567</v>
      </c>
      <c r="G4366" s="87" t="str">
        <f>IFERROR(__xludf.DUMMYFUNCTION("""COMPUTED_VALUE"""),"GC - V - 3567 - CTY NAUY - NANO DƯỠNG ĐÒNG (Nước nâu đen) - 500ml - 40")</f>
        <v>GC - V - 3567 - CTY NAUY - NANO DƯỠNG ĐÒNG (Nước nâu đen) - 500ml - 40</v>
      </c>
    </row>
    <row r="4367">
      <c r="A4367" s="86">
        <f>IFERROR(__xludf.DUMMYFUNCTION("""COMPUTED_VALUE"""),4365.0)</f>
        <v>4365</v>
      </c>
      <c r="B4367" s="87" t="str">
        <f>IFERROR(__xludf.DUMMYFUNCTION("""COMPUTED_VALUE"""),"[Nhãn]")</f>
        <v>[Nhãn]</v>
      </c>
      <c r="C4367" s="87" t="str">
        <f>IFERROR(__xludf.DUMMYFUNCTION("""COMPUTED_VALUE"""),"NHG3572")</f>
        <v>NHG3572</v>
      </c>
      <c r="D4367" s="87" t="str">
        <f>IFERROR(__xludf.DUMMYFUNCTION("""COMPUTED_VALUE"""),"[Nhãn] GC - IV - 3572 - CTY NAUY - VÔ GẠO (Nước nâu đen) - 500ml - 40")</f>
        <v>[Nhãn] GC - IV - 3572 - CTY NAUY - VÔ GẠO (Nước nâu đen) - 500ml - 40</v>
      </c>
      <c r="E4367" s="87" t="str">
        <f>IFERROR(__xludf.DUMMYFUNCTION("""COMPUTED_VALUE"""),"Vi lượng AGAMA-SUPPORT")</f>
        <v>Vi lượng AGAMA-SUPPORT</v>
      </c>
      <c r="F4367" s="87" t="str">
        <f>IFERROR(__xludf.DUMMYFUNCTION("""COMPUTED_VALUE"""),"HH3572")</f>
        <v>HH3572</v>
      </c>
      <c r="G4367" s="87" t="str">
        <f>IFERROR(__xludf.DUMMYFUNCTION("""COMPUTED_VALUE"""),"GC - IV - 3572 - CTY NAUY - VÔ GẠO (Nước nâu đen) - 500ml - 40")</f>
        <v>GC - IV - 3572 - CTY NAUY - VÔ GẠO (Nước nâu đen) - 500ml - 40</v>
      </c>
    </row>
    <row r="4368">
      <c r="A4368" s="86">
        <f>IFERROR(__xludf.DUMMYFUNCTION("""COMPUTED_VALUE"""),4366.0)</f>
        <v>4366</v>
      </c>
      <c r="B4368" s="87" t="str">
        <f>IFERROR(__xludf.DUMMYFUNCTION("""COMPUTED_VALUE"""),"[Nhãn]")</f>
        <v>[Nhãn]</v>
      </c>
      <c r="C4368" s="87" t="str">
        <f>IFERROR(__xludf.DUMMYFUNCTION("""COMPUTED_VALUE"""),"NHD3573")</f>
        <v>NHD3573</v>
      </c>
      <c r="D4368" s="87" t="str">
        <f>IFERROR(__xludf.DUMMYFUNCTION("""COMPUTED_VALUE"""),"[Nhãn] GC - II - 3573 - AN KHANG - Haihamec 3.6EC (nước nâu đen) - 450ml - 40")</f>
        <v>[Nhãn] GC - II - 3573 - AN KHANG - Haihamec 3.6EC (nước nâu đen) - 450ml - 40</v>
      </c>
      <c r="E4368" s="87" t="str">
        <f>IFERROR(__xludf.DUMMYFUNCTION("""COMPUTED_VALUE"""),"HAIHAMEC 3.6EC")</f>
        <v>HAIHAMEC 3.6EC</v>
      </c>
      <c r="F4368" s="87" t="str">
        <f>IFERROR(__xludf.DUMMYFUNCTION("""COMPUTED_VALUE"""),"HH3573")</f>
        <v>HH3573</v>
      </c>
      <c r="G4368" s="87" t="str">
        <f>IFERROR(__xludf.DUMMYFUNCTION("""COMPUTED_VALUE"""),"GC - II - 3573 - AN KHANG - Haihamec 3.6EC (nước nâu đen) - 450ml - 40")</f>
        <v>GC - II - 3573 - AN KHANG - Haihamec 3.6EC (nước nâu đen) - 450ml - 40</v>
      </c>
    </row>
    <row r="4369">
      <c r="A4369" s="86">
        <f>IFERROR(__xludf.DUMMYFUNCTION("""COMPUTED_VALUE"""),4367.0)</f>
        <v>4367</v>
      </c>
      <c r="B4369" s="87" t="str">
        <f>IFERROR(__xludf.DUMMYFUNCTION("""COMPUTED_VALUE"""),"[Nhãn thùng]")</f>
        <v>[Nhãn thùng]</v>
      </c>
      <c r="C4369" s="87" t="str">
        <f>IFERROR(__xludf.DUMMYFUNCTION("""COMPUTED_VALUE"""),"NDT3573")</f>
        <v>NDT3573</v>
      </c>
      <c r="D4369" s="87" t="str">
        <f>IFERROR(__xludf.DUMMYFUNCTION("""COMPUTED_VALUE"""),"[Nhãn thùng] GC - II - 3573 - AN KHANG - Haihamec 3.6EC (nước nâu đen) - 450ml - 40")</f>
        <v>[Nhãn thùng] GC - II - 3573 - AN KHANG - Haihamec 3.6EC (nước nâu đen) - 450ml - 40</v>
      </c>
      <c r="E4369" s="87" t="str">
        <f>IFERROR(__xludf.DUMMYFUNCTION("""COMPUTED_VALUE"""),"HAIHAMEC 3.6EC")</f>
        <v>HAIHAMEC 3.6EC</v>
      </c>
      <c r="F4369" s="87" t="str">
        <f>IFERROR(__xludf.DUMMYFUNCTION("""COMPUTED_VALUE"""),"HH3573")</f>
        <v>HH3573</v>
      </c>
      <c r="G4369" s="87" t="str">
        <f>IFERROR(__xludf.DUMMYFUNCTION("""COMPUTED_VALUE"""),"GC - II - 3573 - AN KHANG - Haihamec 3.6EC (nước nâu đen) - 450ml - 40")</f>
        <v>GC - II - 3573 - AN KHANG - Haihamec 3.6EC (nước nâu đen) - 450ml - 40</v>
      </c>
    </row>
    <row r="4370">
      <c r="A4370" s="86">
        <f>IFERROR(__xludf.DUMMYFUNCTION("""COMPUTED_VALUE"""),4368.0)</f>
        <v>4368</v>
      </c>
      <c r="B4370" s="87" t="str">
        <f>IFERROR(__xludf.DUMMYFUNCTION("""COMPUTED_VALUE"""),"[Nhãn]")</f>
        <v>[Nhãn]</v>
      </c>
      <c r="C4370" s="87" t="str">
        <f>IFERROR(__xludf.DUMMYFUNCTION("""COMPUTED_VALUE"""),"NHG3574")</f>
        <v>NHG3574</v>
      </c>
      <c r="D4370" s="87" t="str">
        <f>IFERROR(__xludf.DUMMYFUNCTION("""COMPUTED_VALUE"""),"[Nhãn] GC - IV - 3574 - Cty Hóa Nông Shino - SHINO RICE (nước đỏ cam) - 500ml - 30")</f>
        <v>[Nhãn] GC - IV - 3574 - Cty Hóa Nông Shino - SHINO RICE (nước đỏ cam) - 500ml - 30</v>
      </c>
      <c r="E4370" s="87" t="str">
        <f>IFERROR(__xludf.DUMMYFUNCTION("""COMPUTED_VALUE"""),"NPK-Vi lượng MASSIVE-BLUE")</f>
        <v>NPK-Vi lượng MASSIVE-BLUE</v>
      </c>
      <c r="F4370" s="87" t="str">
        <f>IFERROR(__xludf.DUMMYFUNCTION("""COMPUTED_VALUE"""),"HH3574")</f>
        <v>HH3574</v>
      </c>
      <c r="G4370" s="87" t="str">
        <f>IFERROR(__xludf.DUMMYFUNCTION("""COMPUTED_VALUE"""),"GC - IV - 3574 - Cty Hóa Nông Shino - SHINO RICE (nước đỏ cam) - 500ml - 30")</f>
        <v>GC - IV - 3574 - Cty Hóa Nông Shino - SHINO RICE (nước đỏ cam) - 500ml - 30</v>
      </c>
    </row>
    <row r="4371">
      <c r="A4371" s="86">
        <f>IFERROR(__xludf.DUMMYFUNCTION("""COMPUTED_VALUE"""),4369.0)</f>
        <v>4369</v>
      </c>
      <c r="B4371" s="87" t="str">
        <f>IFERROR(__xludf.DUMMYFUNCTION("""COMPUTED_VALUE"""),"[Nhãn]")</f>
        <v>[Nhãn]</v>
      </c>
      <c r="C4371" s="87" t="str">
        <f>IFERROR(__xludf.DUMMYFUNCTION("""COMPUTED_VALUE"""),"NHG3575")</f>
        <v>NHG3575</v>
      </c>
      <c r="D4371" s="87" t="str">
        <f>IFERROR(__xludf.DUMMYFUNCTION("""COMPUTED_VALUE"""),"[Nhãn] GC - IV - 3575 - CTY ACE VN - VUA SÂU (Nước đỏ) - 100ml - 100")</f>
        <v>[Nhãn] GC - IV - 3575 - CTY ACE VN - VUA SÂU (Nước đỏ) - 100ml - 100</v>
      </c>
      <c r="E4371" s="87" t="str">
        <f>IFERROR(__xludf.DUMMYFUNCTION("""COMPUTED_VALUE"""),"Creek 2.1EC")</f>
        <v>Creek 2.1EC</v>
      </c>
      <c r="F4371" s="87" t="str">
        <f>IFERROR(__xludf.DUMMYFUNCTION("""COMPUTED_VALUE"""),"HH3575")</f>
        <v>HH3575</v>
      </c>
      <c r="G4371" s="87" t="str">
        <f>IFERROR(__xludf.DUMMYFUNCTION("""COMPUTED_VALUE"""),"GC - IV - 3575 - CTY ACE VN - VUA SÂU (Nước đỏ) - 100ml - 100")</f>
        <v>GC - IV - 3575 - CTY ACE VN - VUA SÂU (Nước đỏ) - 100ml - 100</v>
      </c>
    </row>
    <row r="4372">
      <c r="A4372" s="86">
        <f>IFERROR(__xludf.DUMMYFUNCTION("""COMPUTED_VALUE"""),4370.0)</f>
        <v>4370</v>
      </c>
      <c r="B4372" s="87" t="str">
        <f>IFERROR(__xludf.DUMMYFUNCTION("""COMPUTED_VALUE"""),"[Nhãn]")</f>
        <v>[Nhãn]</v>
      </c>
      <c r="C4372" s="87" t="str">
        <f>IFERROR(__xludf.DUMMYFUNCTION("""COMPUTED_VALUE"""),"NHG3576")</f>
        <v>NHG3576</v>
      </c>
      <c r="D4372" s="87" t="str">
        <f>IFERROR(__xludf.DUMMYFUNCTION("""COMPUTED_VALUE"""),"[Nhãn] IDA GLOBAL - VOTE 34.2SC - VUA CHIM TRĨ - 240ml - 40")</f>
        <v>[Nhãn] IDA GLOBAL - VOTE 34.2SC - VUA CHIM TRĨ - 240ml - 40</v>
      </c>
      <c r="E4372" s="87" t="str">
        <f>IFERROR(__xludf.DUMMYFUNCTION("""COMPUTED_VALUE"""),"VOTE 34.2SC")</f>
        <v>VOTE 34.2SC</v>
      </c>
      <c r="F4372" s="87" t="str">
        <f>IFERROR(__xludf.DUMMYFUNCTION("""COMPUTED_VALUE"""),"HH3576")</f>
        <v>HH3576</v>
      </c>
      <c r="G4372" s="87" t="str">
        <f>IFERROR(__xludf.DUMMYFUNCTION("""COMPUTED_VALUE"""),"IDA GLOBAL - I- 3576- VOTE 34.2SC - VUA CHIM TRĨ - 240ml - 40")</f>
        <v>IDA GLOBAL - I- 3576- VOTE 34.2SC - VUA CHIM TRĨ - 240ml - 40</v>
      </c>
    </row>
    <row r="4373">
      <c r="A4373" s="86">
        <f>IFERROR(__xludf.DUMMYFUNCTION("""COMPUTED_VALUE"""),4371.0)</f>
        <v>4371</v>
      </c>
      <c r="B4373" s="87" t="str">
        <f>IFERROR(__xludf.DUMMYFUNCTION("""COMPUTED_VALUE"""),"[Nhãn thùng]")</f>
        <v>[Nhãn thùng]</v>
      </c>
      <c r="C4373" s="87" t="str">
        <f>IFERROR(__xludf.DUMMYFUNCTION("""COMPUTED_VALUE"""),"NDT3577")</f>
        <v>NDT3577</v>
      </c>
      <c r="D4373" s="87" t="str">
        <f>IFERROR(__xludf.DUMMYFUNCTION("""COMPUTED_VALUE"""),"[Nhãn thùng] GC - IV - 3577 - NEWTECH CROP SCIENCE - THIPRO 550EC (Nước vàng trà) - 400ml - 30")</f>
        <v>[Nhãn thùng] GC - IV - 3577 - NEWTECH CROP SCIENCE - THIPRO 550EC (Nước vàng trà) - 400ml - 30</v>
      </c>
      <c r="E4373" s="87" t="str">
        <f>IFERROR(__xludf.DUMMYFUNCTION("""COMPUTED_VALUE"""),"Thipro 550EC")</f>
        <v>Thipro 550EC</v>
      </c>
      <c r="F4373" s="87" t="str">
        <f>IFERROR(__xludf.DUMMYFUNCTION("""COMPUTED_VALUE"""),"HH3577")</f>
        <v>HH3577</v>
      </c>
      <c r="G4373" s="87" t="str">
        <f>IFERROR(__xludf.DUMMYFUNCTION("""COMPUTED_VALUE"""),"GC - IV - 3577 - NEWTECH CROP SCIENCE - THIPRO 550EC (Nước vàng trà) - 400ml - 30")</f>
        <v>GC - IV - 3577 - NEWTECH CROP SCIENCE - THIPRO 550EC (Nước vàng trà) - 400ml - 30</v>
      </c>
    </row>
    <row r="4374">
      <c r="A4374" s="86">
        <f>IFERROR(__xludf.DUMMYFUNCTION("""COMPUTED_VALUE"""),4372.0)</f>
        <v>4372</v>
      </c>
      <c r="B4374" s="87" t="str">
        <f>IFERROR(__xludf.DUMMYFUNCTION("""COMPUTED_VALUE"""),"[Nhãn]")</f>
        <v>[Nhãn]</v>
      </c>
      <c r="C4374" s="87" t="str">
        <f>IFERROR(__xludf.DUMMYFUNCTION("""COMPUTED_VALUE"""),"NHD3577")</f>
        <v>NHD3577</v>
      </c>
      <c r="D4374" s="87" t="str">
        <f>IFERROR(__xludf.DUMMYFUNCTION("""COMPUTED_VALUE"""),"[Nhãn] GC - IV - 3577 - NEWTECH CROP SCIENCE - THIPRO 550EC (Nước vàng trà) - 400ml - 30")</f>
        <v>[Nhãn] GC - IV - 3577 - NEWTECH CROP SCIENCE - THIPRO 550EC (Nước vàng trà) - 400ml - 30</v>
      </c>
      <c r="E4374" s="87" t="str">
        <f>IFERROR(__xludf.DUMMYFUNCTION("""COMPUTED_VALUE"""),"Thipro 550EC")</f>
        <v>Thipro 550EC</v>
      </c>
      <c r="F4374" s="87" t="str">
        <f>IFERROR(__xludf.DUMMYFUNCTION("""COMPUTED_VALUE"""),"HH3577")</f>
        <v>HH3577</v>
      </c>
      <c r="G4374" s="87" t="str">
        <f>IFERROR(__xludf.DUMMYFUNCTION("""COMPUTED_VALUE"""),"GC - IV - 3577 - NEWTECH CROP SCIENCE - THIPRO 550EC (Nước vàng trà) - 400ml - 30")</f>
        <v>GC - IV - 3577 - NEWTECH CROP SCIENCE - THIPRO 550EC (Nước vàng trà) - 400ml - 30</v>
      </c>
    </row>
    <row r="4375">
      <c r="A4375" s="86">
        <f>IFERROR(__xludf.DUMMYFUNCTION("""COMPUTED_VALUE"""),4373.0)</f>
        <v>4373</v>
      </c>
      <c r="B4375" s="87" t="str">
        <f>IFERROR(__xludf.DUMMYFUNCTION("""COMPUTED_VALUE"""),"[Nhãn]")</f>
        <v>[Nhãn]</v>
      </c>
      <c r="C4375" s="87" t="str">
        <f>IFERROR(__xludf.DUMMYFUNCTION("""COMPUTED_VALUE"""),"NHG3578")</f>
        <v>NHG3578</v>
      </c>
      <c r="D4375" s="87" t="str">
        <f>IFERROR(__xludf.DUMMYFUNCTION("""COMPUTED_VALUE"""),"[Nhãn] GC - IV - 3578 - Cty Hóa Nông Shino - NEW FUZE 200SC (Nước hồng) - 200ml - 40")</f>
        <v>[Nhãn] GC - IV - 3578 - Cty Hóa Nông Shino - NEW FUZE 200SC (Nước hồng) - 200ml - 40</v>
      </c>
      <c r="E4375" s="87" t="str">
        <f>IFERROR(__xludf.DUMMYFUNCTION("""COMPUTED_VALUE"""),"NEW FUZE 200SC")</f>
        <v>NEW FUZE 200SC</v>
      </c>
      <c r="F4375" s="87" t="str">
        <f>IFERROR(__xludf.DUMMYFUNCTION("""COMPUTED_VALUE"""),"HH3578")</f>
        <v>HH3578</v>
      </c>
      <c r="G4375" s="87" t="str">
        <f>IFERROR(__xludf.DUMMYFUNCTION("""COMPUTED_VALUE"""),"GC - IV - 3578 - Cty Hóa Nông Shino - NEW FUZE 200SC (Nước hồng) - 200ml - 40")</f>
        <v>GC - IV - 3578 - Cty Hóa Nông Shino - NEW FUZE 200SC (Nước hồng) - 200ml - 40</v>
      </c>
    </row>
    <row r="4376">
      <c r="A4376" s="86">
        <f>IFERROR(__xludf.DUMMYFUNCTION("""COMPUTED_VALUE"""),4374.0)</f>
        <v>4374</v>
      </c>
      <c r="B4376" s="87" t="str">
        <f>IFERROR(__xludf.DUMMYFUNCTION("""COMPUTED_VALUE"""),"[Nhãn thùng]")</f>
        <v>[Nhãn thùng]</v>
      </c>
      <c r="C4376" s="87" t="str">
        <f>IFERROR(__xludf.DUMMYFUNCTION("""COMPUTED_VALUE"""),"NDT3579")</f>
        <v>NDT3579</v>
      </c>
      <c r="D4376" s="87" t="str">
        <f>IFERROR(__xludf.DUMMYFUNCTION("""COMPUTED_VALUE"""),"[Nhãn] GC - IV - 3579 - CTY QUANG ĐĂNG AGRICULTURE - RAYNHAT (Bột trắng ngà) - 100gr - 100")</f>
        <v>[Nhãn] GC - IV - 3579 - CTY QUANG ĐĂNG AGRICULTURE - RAYNHAT (Bột trắng ngà) - 100gr - 100</v>
      </c>
      <c r="E4376" s="87" t="str">
        <f>IFERROR(__xludf.DUMMYFUNCTION("""COMPUTED_VALUE"""),"NOSAU 85WP")</f>
        <v>NOSAU 85WP</v>
      </c>
      <c r="F4376" s="87" t="str">
        <f>IFERROR(__xludf.DUMMYFUNCTION("""COMPUTED_VALUE"""),"HH3579")</f>
        <v>HH3579</v>
      </c>
      <c r="G4376" s="87" t="str">
        <f>IFERROR(__xludf.DUMMYFUNCTION("""COMPUTED_VALUE"""),"GC - IV - 3579 - Cty Quang Đăng Agriculture - RAYNHAT (Bột trắng ngà) - 100gr - 100")</f>
        <v>GC - IV - 3579 - Cty Quang Đăng Agriculture - RAYNHAT (Bột trắng ngà) - 100gr - 100</v>
      </c>
    </row>
    <row r="4377">
      <c r="A4377" s="86">
        <f>IFERROR(__xludf.DUMMYFUNCTION("""COMPUTED_VALUE"""),4375.0)</f>
        <v>4375</v>
      </c>
      <c r="B4377" s="87" t="str">
        <f>IFERROR(__xludf.DUMMYFUNCTION("""COMPUTED_VALUE"""),"[Nhãn]")</f>
        <v>[Nhãn]</v>
      </c>
      <c r="C4377" s="87" t="str">
        <f>IFERROR(__xludf.DUMMYFUNCTION("""COMPUTED_VALUE"""),"NTN3579")</f>
        <v>NTN3579</v>
      </c>
      <c r="D4377" s="87" t="str">
        <f>IFERROR(__xludf.DUMMYFUNCTION("""COMPUTED_VALUE"""),"[Nhãn] GC - IV - 3579 - CTY QUANG ĐĂNG AGRICULTURE - RAYNHAT (Bột trắng ngà) - 100gr - 100")</f>
        <v>[Nhãn] GC - IV - 3579 - CTY QUANG ĐĂNG AGRICULTURE - RAYNHAT (Bột trắng ngà) - 100gr - 100</v>
      </c>
      <c r="E4377" s="87" t="str">
        <f>IFERROR(__xludf.DUMMYFUNCTION("""COMPUTED_VALUE"""),"NOSAU 85WP")</f>
        <v>NOSAU 85WP</v>
      </c>
      <c r="F4377" s="87" t="str">
        <f>IFERROR(__xludf.DUMMYFUNCTION("""COMPUTED_VALUE"""),"HH3579")</f>
        <v>HH3579</v>
      </c>
      <c r="G4377" s="87" t="str">
        <f>IFERROR(__xludf.DUMMYFUNCTION("""COMPUTED_VALUE"""),"GC - IV - 3579 - Cty Quang Đăng Agriculture - RAYNHAT (Bột trắng ngà) - 100gr - 100")</f>
        <v>GC - IV - 3579 - Cty Quang Đăng Agriculture - RAYNHAT (Bột trắng ngà) - 100gr - 100</v>
      </c>
    </row>
    <row r="4378">
      <c r="A4378" s="86">
        <f>IFERROR(__xludf.DUMMYFUNCTION("""COMPUTED_VALUE"""),4376.0)</f>
        <v>4376</v>
      </c>
      <c r="B4378" s="87" t="str">
        <f>IFERROR(__xludf.DUMMYFUNCTION("""COMPUTED_VALUE"""),"[Nhãn]")</f>
        <v>[Nhãn]</v>
      </c>
      <c r="C4378" s="87" t="str">
        <f>IFERROR(__xludf.DUMMYFUNCTION("""COMPUTED_VALUE"""),"NHD3580")</f>
        <v>NHD3580</v>
      </c>
      <c r="D4378" s="87" t="str">
        <f>IFERROR(__xludf.DUMMYFUNCTION("""COMPUTED_VALUE"""),"[Nhãn] GC - IV - 3580 - KIM NGỌC - CÁ HỒI ĐẠI DƯƠNG (Nước nâu đen) - 5L - 4")</f>
        <v>[Nhãn] GC - IV - 3580 - KIM NGỌC - CÁ HỒI ĐẠI DƯƠNG (Nước nâu đen) - 5L - 4</v>
      </c>
      <c r="E4378" s="87" t="str">
        <f>IFERROR(__xludf.DUMMYFUNCTION("""COMPUTED_VALUE"""),"Hữu cơ SH Agro Organic Fertilizer 20")</f>
        <v>Hữu cơ SH Agro Organic Fertilizer 20</v>
      </c>
      <c r="F4378" s="87" t="str">
        <f>IFERROR(__xludf.DUMMYFUNCTION("""COMPUTED_VALUE"""),"HH3580")</f>
        <v>HH3580</v>
      </c>
      <c r="G4378" s="87" t="str">
        <f>IFERROR(__xludf.DUMMYFUNCTION("""COMPUTED_VALUE"""),"GC - IV - 3580 - KIM NGỌC - CÁ HỒI ĐẠI DƯƠNG (Nước nâu đen) - 5L - 4")</f>
        <v>GC - IV - 3580 - KIM NGỌC - CÁ HỒI ĐẠI DƯƠNG (Nước nâu đen) - 5L - 4</v>
      </c>
    </row>
    <row r="4379">
      <c r="A4379" s="86">
        <f>IFERROR(__xludf.DUMMYFUNCTION("""COMPUTED_VALUE"""),4377.0)</f>
        <v>4377</v>
      </c>
      <c r="B4379" s="87" t="str">
        <f>IFERROR(__xludf.DUMMYFUNCTION("""COMPUTED_VALUE"""),"[Nhãn thùng]")</f>
        <v>[Nhãn thùng]</v>
      </c>
      <c r="C4379" s="87" t="str">
        <f>IFERROR(__xludf.DUMMYFUNCTION("""COMPUTED_VALUE"""),"NDT3580")</f>
        <v>NDT3580</v>
      </c>
      <c r="D4379" s="87" t="str">
        <f>IFERROR(__xludf.DUMMYFUNCTION("""COMPUTED_VALUE"""),"[Nhãn thùng] GC - IV - 3580 - KIM NGỌC - CÁ HỒI ĐẠI DƯƠNG (Nước nâu đen) - 5L - 4")</f>
        <v>[Nhãn thùng] GC - IV - 3580 - KIM NGỌC - CÁ HỒI ĐẠI DƯƠNG (Nước nâu đen) - 5L - 4</v>
      </c>
      <c r="E4379" s="87" t="str">
        <f>IFERROR(__xludf.DUMMYFUNCTION("""COMPUTED_VALUE"""),"Hữu cơ SH Agro Organic Fertilizer 20")</f>
        <v>Hữu cơ SH Agro Organic Fertilizer 20</v>
      </c>
      <c r="F4379" s="87" t="str">
        <f>IFERROR(__xludf.DUMMYFUNCTION("""COMPUTED_VALUE"""),"HH3580")</f>
        <v>HH3580</v>
      </c>
      <c r="G4379" s="87" t="str">
        <f>IFERROR(__xludf.DUMMYFUNCTION("""COMPUTED_VALUE"""),"GC - IV - 3580 - KIM NGỌC - CÁ HỒI ĐẠI DƯƠNG (Nước nâu đen) - 5L - 4")</f>
        <v>GC - IV - 3580 - KIM NGỌC - CÁ HỒI ĐẠI DƯƠNG (Nước nâu đen) - 5L - 4</v>
      </c>
    </row>
    <row r="4380">
      <c r="A4380" s="86">
        <f>IFERROR(__xludf.DUMMYFUNCTION("""COMPUTED_VALUE"""),4378.0)</f>
        <v>4378</v>
      </c>
      <c r="B4380" s="87" t="str">
        <f>IFERROR(__xludf.DUMMYFUNCTION("""COMPUTED_VALUE"""),"[Nhãn]")</f>
        <v>[Nhãn]</v>
      </c>
      <c r="C4380" s="87" t="str">
        <f>IFERROR(__xludf.DUMMYFUNCTION("""COMPUTED_VALUE"""),"NHG3581")</f>
        <v>NHG3581</v>
      </c>
      <c r="D4380" s="87" t="str">
        <f>IFERROR(__xludf.DUMMYFUNCTION("""COMPUTED_VALUE"""),"[Nhãn] GC - IV - 3581 - Cty Hóa Nông Shino - SHINO RICE (nước đỏ cam) - 500ml - 30")</f>
        <v>[Nhãn] GC - IV - 3581 - Cty Hóa Nông Shino - SHINO RICE (nước đỏ cam) - 500ml - 30</v>
      </c>
      <c r="E4380" s="87" t="str">
        <f>IFERROR(__xludf.DUMMYFUNCTION("""COMPUTED_VALUE"""),"NPK-Vi lượng MASSIVE-BLUE")</f>
        <v>NPK-Vi lượng MASSIVE-BLUE</v>
      </c>
      <c r="F4380" s="87" t="str">
        <f>IFERROR(__xludf.DUMMYFUNCTION("""COMPUTED_VALUE"""),"HH3581")</f>
        <v>HH3581</v>
      </c>
      <c r="G4380" s="87" t="str">
        <f>IFERROR(__xludf.DUMMYFUNCTION("""COMPUTED_VALUE"""),"GC - IV - 3581 - Cty Hóa Nông Shino - SHINO RICE (nước đỏ cam) - 500ml - 30")</f>
        <v>GC - IV - 3581 - Cty Hóa Nông Shino - SHINO RICE (nước đỏ cam) - 500ml - 30</v>
      </c>
    </row>
    <row r="4381">
      <c r="A4381" s="86">
        <f>IFERROR(__xludf.DUMMYFUNCTION("""COMPUTED_VALUE"""),4379.0)</f>
        <v>4379</v>
      </c>
      <c r="B4381" s="87" t="str">
        <f>IFERROR(__xludf.DUMMYFUNCTION("""COMPUTED_VALUE"""),"[Nhãn]")</f>
        <v>[Nhãn]</v>
      </c>
      <c r="C4381" s="87" t="str">
        <f>IFERROR(__xludf.DUMMYFUNCTION("""COMPUTED_VALUE"""),"NHG3582")</f>
        <v>NHG3582</v>
      </c>
      <c r="D4381" s="87" t="str">
        <f>IFERROR(__xludf.DUMMYFUNCTION("""COMPUTED_VALUE"""),"[Nhãn] GC - IV - 3582 - Cty Tago - KING-CIDE JAPAN 460 (Nước gạch cam) - 250ml - 40")</f>
        <v>[Nhãn] GC - IV - 3582 - Cty Tago - KING-CIDE JAPAN 460 (Nước gạch cam) - 250ml - 40</v>
      </c>
      <c r="E4381" s="87" t="str">
        <f>IFERROR(__xludf.DUMMYFUNCTION("""COMPUTED_VALUE"""),"KING-CIDE JAPAN 460SC")</f>
        <v>KING-CIDE JAPAN 460SC</v>
      </c>
      <c r="F4381" s="87" t="str">
        <f>IFERROR(__xludf.DUMMYFUNCTION("""COMPUTED_VALUE"""),"HH3582")</f>
        <v>HH3582</v>
      </c>
      <c r="G4381" s="87" t="str">
        <f>IFERROR(__xludf.DUMMYFUNCTION("""COMPUTED_VALUE"""),"GC - IV - 3582 - Cty Tago - KING-CIDE JAPAN 460 (Nước gạch cam) - 250ml - 40")</f>
        <v>GC - IV - 3582 - Cty Tago - KING-CIDE JAPAN 460 (Nước gạch cam) - 250ml - 40</v>
      </c>
    </row>
    <row r="4382">
      <c r="A4382" s="86">
        <f>IFERROR(__xludf.DUMMYFUNCTION("""COMPUTED_VALUE"""),4380.0)</f>
        <v>4380</v>
      </c>
      <c r="B4382" s="87" t="str">
        <f>IFERROR(__xludf.DUMMYFUNCTION("""COMPUTED_VALUE"""),"[Nhãn thùng]")</f>
        <v>[Nhãn thùng]</v>
      </c>
      <c r="C4382" s="87" t="str">
        <f>IFERROR(__xludf.DUMMYFUNCTION("""COMPUTED_VALUE"""),"NDT3582")</f>
        <v>NDT3582</v>
      </c>
      <c r="D4382" s="87" t="str">
        <f>IFERROR(__xludf.DUMMYFUNCTION("""COMPUTED_VALUE"""),"[Nhãn thùng] GC - IV - 3582 - Cty Tago - KING-CIDE JAPAN 460 (Nước gạch cam) - 250ml - 40")</f>
        <v>[Nhãn thùng] GC - IV - 3582 - Cty Tago - KING-CIDE JAPAN 460 (Nước gạch cam) - 250ml - 40</v>
      </c>
      <c r="E4382" s="87" t="str">
        <f>IFERROR(__xludf.DUMMYFUNCTION("""COMPUTED_VALUE"""),"KING-CIDE JAPAN 460SC")</f>
        <v>KING-CIDE JAPAN 460SC</v>
      </c>
      <c r="F4382" s="87" t="str">
        <f>IFERROR(__xludf.DUMMYFUNCTION("""COMPUTED_VALUE"""),"HH3582")</f>
        <v>HH3582</v>
      </c>
      <c r="G4382" s="87" t="str">
        <f>IFERROR(__xludf.DUMMYFUNCTION("""COMPUTED_VALUE"""),"GC - IV - 3582 - Cty Tago - KING-CIDE JAPAN 460 (Nước gạch cam) - 250ml - 40")</f>
        <v>GC - IV - 3582 - Cty Tago - KING-CIDE JAPAN 460 (Nước gạch cam) - 250ml - 40</v>
      </c>
    </row>
    <row r="4383">
      <c r="A4383" s="86">
        <f>IFERROR(__xludf.DUMMYFUNCTION("""COMPUTED_VALUE"""),4381.0)</f>
        <v>4381</v>
      </c>
      <c r="B4383" s="87" t="str">
        <f>IFERROR(__xludf.DUMMYFUNCTION("""COMPUTED_VALUE"""),"[Nhãn]")</f>
        <v>[Nhãn]</v>
      </c>
      <c r="C4383" s="87" t="str">
        <f>IFERROR(__xludf.DUMMYFUNCTION("""COMPUTED_VALUE"""),"NHG3583")</f>
        <v>NHG3583</v>
      </c>
      <c r="D4383" s="87" t="str">
        <f>IFERROR(__xludf.DUMMYFUNCTION("""COMPUTED_VALUE"""),"[Nhãn] GC - IV - 3583 - CTY QUANG ĐĂNG AGRICULTURE - SIÊU KÍCH RỄ NỞ BỤI + (Nước nâu đen) - 1L - 20")</f>
        <v>[Nhãn] GC - IV - 3583 - CTY QUANG ĐĂNG AGRICULTURE - SIÊU KÍCH RỄ NỞ BỤI + (Nước nâu đen) - 1L - 20</v>
      </c>
      <c r="E4383" s="87" t="str">
        <f>IFERROR(__xludf.DUMMYFUNCTION("""COMPUTED_VALUE"""),"Vi lượng Quantity New")</f>
        <v>Vi lượng Quantity New</v>
      </c>
      <c r="F4383" s="87" t="str">
        <f>IFERROR(__xludf.DUMMYFUNCTION("""COMPUTED_VALUE"""),"HH3583")</f>
        <v>HH3583</v>
      </c>
      <c r="G4383" s="87" t="str">
        <f>IFERROR(__xludf.DUMMYFUNCTION("""COMPUTED_VALUE"""),"GC - IV - 3583 - Cty Quang Đăng Agriculture - SIÊU KÍCH RỄ NỞ BỤI + (Nước nâu đen) - 1L - 20")</f>
        <v>GC - IV - 3583 - Cty Quang Đăng Agriculture - SIÊU KÍCH RỄ NỞ BỤI + (Nước nâu đen) - 1L - 20</v>
      </c>
    </row>
    <row r="4384">
      <c r="A4384" s="86">
        <f>IFERROR(__xludf.DUMMYFUNCTION("""COMPUTED_VALUE"""),4382.0)</f>
        <v>4382</v>
      </c>
      <c r="B4384" s="87" t="str">
        <f>IFERROR(__xludf.DUMMYFUNCTION("""COMPUTED_VALUE"""),"[Nhãn]")</f>
        <v>[Nhãn]</v>
      </c>
      <c r="C4384" s="87" t="str">
        <f>IFERROR(__xludf.DUMMYFUNCTION("""COMPUTED_VALUE"""),"NHG3584")</f>
        <v>NHG3584</v>
      </c>
      <c r="D4384" s="87" t="str">
        <f>IFERROR(__xludf.DUMMYFUNCTION("""COMPUTED_VALUE"""),"[Nhãn] GC - IV - 3584 - Cty Agrictech - Emamex 19 (Nước vàng trà) - 450ml - 40")</f>
        <v>[Nhãn] GC - IV - 3584 - Cty Agrictech - Emamex 19 (Nước vàng trà) - 450ml - 40</v>
      </c>
      <c r="E4384" s="87" t="str">
        <f>IFERROR(__xludf.DUMMYFUNCTION("""COMPUTED_VALUE"""),"Creek 2.1EC")</f>
        <v>Creek 2.1EC</v>
      </c>
      <c r="F4384" s="87" t="str">
        <f>IFERROR(__xludf.DUMMYFUNCTION("""COMPUTED_VALUE"""),"HH3584")</f>
        <v>HH3584</v>
      </c>
      <c r="G4384" s="87" t="str">
        <f>IFERROR(__xludf.DUMMYFUNCTION("""COMPUTED_VALUE"""),"GC - IV - 3584 - Cty Agrictech - Emamex 19 (Nước vàng trà) - 450ml - 40")</f>
        <v>GC - IV - 3584 - Cty Agrictech - Emamex 19 (Nước vàng trà) - 450ml - 40</v>
      </c>
    </row>
    <row r="4385">
      <c r="A4385" s="86">
        <f>IFERROR(__xludf.DUMMYFUNCTION("""COMPUTED_VALUE"""),4383.0)</f>
        <v>4383</v>
      </c>
      <c r="B4385" s="87" t="str">
        <f>IFERROR(__xludf.DUMMYFUNCTION("""COMPUTED_VALUE"""),"[Nhãn]")</f>
        <v>[Nhãn]</v>
      </c>
      <c r="C4385" s="87" t="str">
        <f>IFERROR(__xludf.DUMMYFUNCTION("""COMPUTED_VALUE"""),"NHG3585")</f>
        <v>NHG3585</v>
      </c>
      <c r="D4385" s="87" t="str">
        <f>IFERROR(__xludf.DUMMYFUNCTION("""COMPUTED_VALUE"""),"[Nhãn] GC - IV - 3585 - CTY HOÀNG THẮNG - SUPER COMBI (Nước xanh nõn chuối) - 250ml - 40")</f>
        <v>[Nhãn] GC - IV - 3585 - CTY HOÀNG THẮNG - SUPER COMBI (Nước xanh nõn chuối) - 250ml - 40</v>
      </c>
      <c r="E4385" s="87" t="str">
        <f>IFERROR(__xludf.DUMMYFUNCTION("""COMPUTED_VALUE"""),"Vi lượng Quantity New")</f>
        <v>Vi lượng Quantity New</v>
      </c>
      <c r="F4385" s="87" t="str">
        <f>IFERROR(__xludf.DUMMYFUNCTION("""COMPUTED_VALUE"""),"HH3585")</f>
        <v>HH3585</v>
      </c>
      <c r="G4385" s="87" t="str">
        <f>IFERROR(__xludf.DUMMYFUNCTION("""COMPUTED_VALUE"""),"GC - IV - 3585 - CTY HOÀNG THẮNG - SUPER COMBI (Nước xanh nõn chuối) - 250ml - 40")</f>
        <v>GC - IV - 3585 - CTY HOÀNG THẮNG - SUPER COMBI (Nước xanh nõn chuối) - 250ml - 40</v>
      </c>
    </row>
    <row r="4386">
      <c r="A4386" s="86">
        <f>IFERROR(__xludf.DUMMYFUNCTION("""COMPUTED_VALUE"""),4384.0)</f>
        <v>4384</v>
      </c>
      <c r="B4386" s="87" t="str">
        <f>IFERROR(__xludf.DUMMYFUNCTION("""COMPUTED_VALUE"""),"[Nhãn]")</f>
        <v>[Nhãn]</v>
      </c>
      <c r="C4386" s="87" t="str">
        <f>IFERROR(__xludf.DUMMYFUNCTION("""COMPUTED_VALUE"""),"NHG3586")</f>
        <v>NHG3586</v>
      </c>
      <c r="D4386" s="87" t="str">
        <f>IFERROR(__xludf.DUMMYFUNCTION("""COMPUTED_VALUE"""),"[Nhãn] GC - IV - 3586 - CTY HOÀNG THẮNG - ULTRA STEEL (Nước nâu đen) - 500ml - 40")</f>
        <v>[Nhãn] GC - IV - 3586 - CTY HOÀNG THẮNG - ULTRA STEEL (Nước nâu đen) - 500ml - 40</v>
      </c>
      <c r="E4386" s="87" t="str">
        <f>IFERROR(__xludf.DUMMYFUNCTION("""COMPUTED_VALUE"""),"Vi lượng Quantity New")</f>
        <v>Vi lượng Quantity New</v>
      </c>
      <c r="F4386" s="87" t="str">
        <f>IFERROR(__xludf.DUMMYFUNCTION("""COMPUTED_VALUE"""),"HH3586")</f>
        <v>HH3586</v>
      </c>
      <c r="G4386" s="87" t="str">
        <f>IFERROR(__xludf.DUMMYFUNCTION("""COMPUTED_VALUE"""),"GC - IV - 3586 - CTY HOÀNG THẮNG - ULTRA STEEL (Nước nâu đen) - 500ml - 40")</f>
        <v>GC - IV - 3586 - CTY HOÀNG THẮNG - ULTRA STEEL (Nước nâu đen) - 500ml - 40</v>
      </c>
    </row>
    <row r="4387">
      <c r="A4387" s="86">
        <f>IFERROR(__xludf.DUMMYFUNCTION("""COMPUTED_VALUE"""),4385.0)</f>
        <v>4385</v>
      </c>
      <c r="B4387" s="87" t="str">
        <f>IFERROR(__xludf.DUMMYFUNCTION("""COMPUTED_VALUE"""),"[Nhãn]")</f>
        <v>[Nhãn]</v>
      </c>
      <c r="C4387" s="87" t="str">
        <f>IFERROR(__xludf.DUMMYFUNCTION("""COMPUTED_VALUE"""),"NHG3587")</f>
        <v>NHG3587</v>
      </c>
      <c r="D4387" s="87" t="str">
        <f>IFERROR(__xludf.DUMMYFUNCTION("""COMPUTED_VALUE"""),"[Nhãn] IDA Global - I - 3587 - VG RICE 01 - 500ml - 40")</f>
        <v>[Nhãn] IDA Global - I - 3587 - VG RICE 01 - 500ml - 40</v>
      </c>
      <c r="E4387" s="87" t="str">
        <f>IFERROR(__xludf.DUMMYFUNCTION("""COMPUTED_VALUE"""),"Vi lượng AGAMA-SUPPORT")</f>
        <v>Vi lượng AGAMA-SUPPORT</v>
      </c>
      <c r="F4387" s="87" t="str">
        <f>IFERROR(__xludf.DUMMYFUNCTION("""COMPUTED_VALUE"""),"HH3587")</f>
        <v>HH3587</v>
      </c>
      <c r="G4387" s="87" t="str">
        <f>IFERROR(__xludf.DUMMYFUNCTION("""COMPUTED_VALUE"""),"IDA Global - I - 3587 - VG RICE 01 - 500ml - 40")</f>
        <v>IDA Global - I - 3587 - VG RICE 01 - 500ml - 40</v>
      </c>
    </row>
    <row r="4388">
      <c r="A4388" s="86">
        <f>IFERROR(__xludf.DUMMYFUNCTION("""COMPUTED_VALUE"""),4386.0)</f>
        <v>4386</v>
      </c>
      <c r="B4388" s="87" t="str">
        <f>IFERROR(__xludf.DUMMYFUNCTION("""COMPUTED_VALUE"""),"[Nhãn]")</f>
        <v>[Nhãn]</v>
      </c>
      <c r="C4388" s="87" t="str">
        <f>IFERROR(__xludf.DUMMYFUNCTION("""COMPUTED_VALUE"""),"NHG3588")</f>
        <v>NHG3588</v>
      </c>
      <c r="D4388" s="87" t="str">
        <f>IFERROR(__xludf.DUMMYFUNCTION("""COMPUTED_VALUE"""),"[Nhãn] IDA Global - I - 3588 - VG RICE 02 - 500ml - 40")</f>
        <v>[Nhãn] IDA Global - I - 3588 - VG RICE 02 - 500ml - 40</v>
      </c>
      <c r="E4388" s="87" t="str">
        <f>IFERROR(__xludf.DUMMYFUNCTION("""COMPUTED_VALUE"""),"NPK-vi lượng HC CAN")</f>
        <v>NPK-vi lượng HC CAN</v>
      </c>
      <c r="F4388" s="87" t="str">
        <f>IFERROR(__xludf.DUMMYFUNCTION("""COMPUTED_VALUE"""),"HH3588")</f>
        <v>HH3588</v>
      </c>
      <c r="G4388" s="87" t="str">
        <f>IFERROR(__xludf.DUMMYFUNCTION("""COMPUTED_VALUE"""),"IDA Global - I - 3588 - VG RICE 02 - 500ml - 40")</f>
        <v>IDA Global - I - 3588 - VG RICE 02 - 500ml - 40</v>
      </c>
    </row>
    <row r="4389">
      <c r="A4389" s="86">
        <f>IFERROR(__xludf.DUMMYFUNCTION("""COMPUTED_VALUE"""),4387.0)</f>
        <v>4387</v>
      </c>
      <c r="B4389" s="87" t="str">
        <f>IFERROR(__xludf.DUMMYFUNCTION("""COMPUTED_VALUE"""),"[Nhãn]")</f>
        <v>[Nhãn]</v>
      </c>
      <c r="C4389" s="87" t="str">
        <f>IFERROR(__xludf.DUMMYFUNCTION("""COMPUTED_VALUE"""),"NHD3589")</f>
        <v>NHD3589</v>
      </c>
      <c r="D4389" s="87" t="str">
        <f>IFERROR(__xludf.DUMMYFUNCTION("""COMPUTED_VALUE"""),"[Nhãn] GC - IV - 3589 - NHP GROUP - BÒ CẠP (Nước đỏ) - 400ml - 40")</f>
        <v>[Nhãn] GC - IV - 3589 - NHP GROUP - BÒ CẠP (Nước đỏ) - 400ml - 40</v>
      </c>
      <c r="E4389" s="87" t="str">
        <f>IFERROR(__xludf.DUMMYFUNCTION("""COMPUTED_VALUE"""),"Creek 2.1EC")</f>
        <v>Creek 2.1EC</v>
      </c>
      <c r="F4389" s="87" t="str">
        <f>IFERROR(__xludf.DUMMYFUNCTION("""COMPUTED_VALUE"""),"HH3589")</f>
        <v>HH3589</v>
      </c>
      <c r="G4389" s="87" t="str">
        <f>IFERROR(__xludf.DUMMYFUNCTION("""COMPUTED_VALUE"""),"GC - IV - 3589 - NHP GROUP - BÒ CẠP (Nước đỏ) - 400ml - 40")</f>
        <v>GC - IV - 3589 - NHP GROUP - BÒ CẠP (Nước đỏ) - 400ml - 40</v>
      </c>
    </row>
    <row r="4390">
      <c r="A4390" s="86">
        <f>IFERROR(__xludf.DUMMYFUNCTION("""COMPUTED_VALUE"""),4388.0)</f>
        <v>4388</v>
      </c>
      <c r="B4390" s="87" t="str">
        <f>IFERROR(__xludf.DUMMYFUNCTION("""COMPUTED_VALUE"""),"[Nhãn thùng]")</f>
        <v>[Nhãn thùng]</v>
      </c>
      <c r="C4390" s="87" t="str">
        <f>IFERROR(__xludf.DUMMYFUNCTION("""COMPUTED_VALUE"""),"NDT3589")</f>
        <v>NDT3589</v>
      </c>
      <c r="D4390" s="87" t="str">
        <f>IFERROR(__xludf.DUMMYFUNCTION("""COMPUTED_VALUE"""),"[Nhãn thùng] GC - IV - 3589 - NHP GROUP - BÒ CẠP (Nước đỏ) - 400ml - 40")</f>
        <v>[Nhãn thùng] GC - IV - 3589 - NHP GROUP - BÒ CẠP (Nước đỏ) - 400ml - 40</v>
      </c>
      <c r="E4390" s="87" t="str">
        <f>IFERROR(__xludf.DUMMYFUNCTION("""COMPUTED_VALUE"""),"Creek 2.1EC")</f>
        <v>Creek 2.1EC</v>
      </c>
      <c r="F4390" s="87" t="str">
        <f>IFERROR(__xludf.DUMMYFUNCTION("""COMPUTED_VALUE"""),"HH3589")</f>
        <v>HH3589</v>
      </c>
      <c r="G4390" s="87" t="str">
        <f>IFERROR(__xludf.DUMMYFUNCTION("""COMPUTED_VALUE"""),"GC - IV - 3589 - NHP GROUP - BÒ CẠP (Nước đỏ) - 400ml - 40")</f>
        <v>GC - IV - 3589 - NHP GROUP - BÒ CẠP (Nước đỏ) - 400ml - 40</v>
      </c>
    </row>
    <row r="4391">
      <c r="A4391" s="86">
        <f>IFERROR(__xludf.DUMMYFUNCTION("""COMPUTED_VALUE"""),4389.0)</f>
        <v>4389</v>
      </c>
      <c r="B4391" s="87" t="str">
        <f>IFERROR(__xludf.DUMMYFUNCTION("""COMPUTED_VALUE"""),"[Nhãn]")</f>
        <v>[Nhãn]</v>
      </c>
      <c r="C4391" s="87" t="str">
        <f>IFERROR(__xludf.DUMMYFUNCTION("""COMPUTED_VALUE"""),"NTN3590")</f>
        <v>NTN3590</v>
      </c>
      <c r="D4391" s="87" t="str">
        <f>IFERROR(__xludf.DUMMYFUNCTION("""COMPUTED_VALUE"""),"[Nhãn] GC - IV - 3590 - NHP GROUP - THẦN ƯNG (Bột màu trắng) - 60gr - 100")</f>
        <v>[Nhãn] GC - IV - 3590 - NHP GROUP - THẦN ƯNG (Bột màu trắng) - 60gr - 100</v>
      </c>
      <c r="E4391" s="87" t="str">
        <f>IFERROR(__xludf.DUMMYFUNCTION("""COMPUTED_VALUE"""),"NOSAU 85WP")</f>
        <v>NOSAU 85WP</v>
      </c>
      <c r="F4391" s="87" t="str">
        <f>IFERROR(__xludf.DUMMYFUNCTION("""COMPUTED_VALUE"""),"HH3590")</f>
        <v>HH3590</v>
      </c>
      <c r="G4391" s="87" t="str">
        <f>IFERROR(__xludf.DUMMYFUNCTION("""COMPUTED_VALUE"""),"GC - IV - 3590 - NHP GROUP - THẦN ƯNG (Bột màu trắng) - 60gr - 100")</f>
        <v>GC - IV - 3590 - NHP GROUP - THẦN ƯNG (Bột màu trắng) - 60gr - 100</v>
      </c>
    </row>
    <row r="4392">
      <c r="A4392" s="86">
        <f>IFERROR(__xludf.DUMMYFUNCTION("""COMPUTED_VALUE"""),4390.0)</f>
        <v>4390</v>
      </c>
      <c r="B4392" s="87" t="str">
        <f>IFERROR(__xludf.DUMMYFUNCTION("""COMPUTED_VALUE"""),"[Nhãn thùng]")</f>
        <v>[Nhãn thùng]</v>
      </c>
      <c r="C4392" s="87" t="str">
        <f>IFERROR(__xludf.DUMMYFUNCTION("""COMPUTED_VALUE"""),"NDT3590")</f>
        <v>NDT3590</v>
      </c>
      <c r="D4392" s="87" t="str">
        <f>IFERROR(__xludf.DUMMYFUNCTION("""COMPUTED_VALUE"""),"[Nhãn thùng] GC - IV - 3590 - NHP GROUP - THẦN ƯNG (Bột màu trắng) - 60gr - 100")</f>
        <v>[Nhãn thùng] GC - IV - 3590 - NHP GROUP - THẦN ƯNG (Bột màu trắng) - 60gr - 100</v>
      </c>
      <c r="E4392" s="87" t="str">
        <f>IFERROR(__xludf.DUMMYFUNCTION("""COMPUTED_VALUE"""),"NOSAU 85WP")</f>
        <v>NOSAU 85WP</v>
      </c>
      <c r="F4392" s="87" t="str">
        <f>IFERROR(__xludf.DUMMYFUNCTION("""COMPUTED_VALUE"""),"HH3590")</f>
        <v>HH3590</v>
      </c>
      <c r="G4392" s="87" t="str">
        <f>IFERROR(__xludf.DUMMYFUNCTION("""COMPUTED_VALUE"""),"GC - IV - 3590 - NHP GROUP - THẦN ƯNG (Bột màu trắng) - 60gr - 100")</f>
        <v>GC - IV - 3590 - NHP GROUP - THẦN ƯNG (Bột màu trắng) - 60gr - 100</v>
      </c>
    </row>
    <row r="4393">
      <c r="A4393" s="86">
        <f>IFERROR(__xludf.DUMMYFUNCTION("""COMPUTED_VALUE"""),4391.0)</f>
        <v>4391</v>
      </c>
      <c r="B4393" s="87" t="str">
        <f>IFERROR(__xludf.DUMMYFUNCTION("""COMPUTED_VALUE"""),"[Nhãn]")</f>
        <v>[Nhãn]</v>
      </c>
      <c r="C4393" s="87" t="str">
        <f>IFERROR(__xludf.DUMMYFUNCTION("""COMPUTED_VALUE"""),"NTN3591")</f>
        <v>NTN3591</v>
      </c>
      <c r="D4393" s="87" t="str">
        <f>IFERROR(__xludf.DUMMYFUNCTION("""COMPUTED_VALUE"""),"[Nhãn] GC - IV - 3591 - NHP GROUP - ACETA EXTRA (Bột trắng ngà) - 100gr - 100")</f>
        <v>[Nhãn] GC - IV - 3591 - NHP GROUP - ACETA EXTRA (Bột trắng ngà) - 100gr - 100</v>
      </c>
      <c r="E4393" s="87" t="str">
        <f>IFERROR(__xludf.DUMMYFUNCTION("""COMPUTED_VALUE"""),"CAYMANGOLD 33WP")</f>
        <v>CAYMANGOLD 33WP</v>
      </c>
      <c r="F4393" s="87" t="str">
        <f>IFERROR(__xludf.DUMMYFUNCTION("""COMPUTED_VALUE"""),"HH3591")</f>
        <v>HH3591</v>
      </c>
      <c r="G4393" s="87" t="str">
        <f>IFERROR(__xludf.DUMMYFUNCTION("""COMPUTED_VALUE"""),"GC - IV - 3591 - NHP GROUP - ACETA EXTRA (Bột trắng ngà) - 100gr - 100")</f>
        <v>GC - IV - 3591 - NHP GROUP - ACETA EXTRA (Bột trắng ngà) - 100gr - 100</v>
      </c>
    </row>
    <row r="4394">
      <c r="A4394" s="86">
        <f>IFERROR(__xludf.DUMMYFUNCTION("""COMPUTED_VALUE"""),4392.0)</f>
        <v>4392</v>
      </c>
      <c r="B4394" s="87" t="str">
        <f>IFERROR(__xludf.DUMMYFUNCTION("""COMPUTED_VALUE"""),"[Nhãn thùng]")</f>
        <v>[Nhãn thùng]</v>
      </c>
      <c r="C4394" s="87" t="str">
        <f>IFERROR(__xludf.DUMMYFUNCTION("""COMPUTED_VALUE"""),"NDT3591")</f>
        <v>NDT3591</v>
      </c>
      <c r="D4394" s="87" t="str">
        <f>IFERROR(__xludf.DUMMYFUNCTION("""COMPUTED_VALUE"""),"[Nhãn thùng] GC - IV - 3591 - NHP GROUP - ACETA EXTRA (Bột trắng ngà) - 100gr - 100")</f>
        <v>[Nhãn thùng] GC - IV - 3591 - NHP GROUP - ACETA EXTRA (Bột trắng ngà) - 100gr - 100</v>
      </c>
      <c r="E4394" s="87" t="str">
        <f>IFERROR(__xludf.DUMMYFUNCTION("""COMPUTED_VALUE"""),"CAYMANGOLD 33WP")</f>
        <v>CAYMANGOLD 33WP</v>
      </c>
      <c r="F4394" s="87" t="str">
        <f>IFERROR(__xludf.DUMMYFUNCTION("""COMPUTED_VALUE"""),"HH3591")</f>
        <v>HH3591</v>
      </c>
      <c r="G4394" s="87" t="str">
        <f>IFERROR(__xludf.DUMMYFUNCTION("""COMPUTED_VALUE"""),"GC - IV - 3591 - NHP GROUP - ACETA EXTRA (Bột trắng ngà) - 100gr - 100")</f>
        <v>GC - IV - 3591 - NHP GROUP - ACETA EXTRA (Bột trắng ngà) - 100gr - 100</v>
      </c>
    </row>
    <row r="4395">
      <c r="A4395" s="86">
        <f>IFERROR(__xludf.DUMMYFUNCTION("""COMPUTED_VALUE"""),4393.0)</f>
        <v>4393</v>
      </c>
      <c r="B4395" s="87" t="str">
        <f>IFERROR(__xludf.DUMMYFUNCTION("""COMPUTED_VALUE"""),"[Nhãn]")</f>
        <v>[Nhãn]</v>
      </c>
      <c r="C4395" s="87" t="str">
        <f>IFERROR(__xludf.DUMMYFUNCTION("""COMPUTED_VALUE"""),"NTN3593")</f>
        <v>NTN3593</v>
      </c>
      <c r="D4395" s="87" t="str">
        <f>IFERROR(__xludf.DUMMYFUNCTION("""COMPUTED_VALUE"""),"[Nhãn] IDA Global - I - 3593 - KHONGRAY 54WP (Bột trắng ngà) - 100gr - 100")</f>
        <v>[Nhãn] IDA Global - I - 3593 - KHONGRAY 54WP (Bột trắng ngà) - 100gr - 100</v>
      </c>
      <c r="E4395" s="87" t="str">
        <f>IFERROR(__xludf.DUMMYFUNCTION("""COMPUTED_VALUE"""),"KHONGRAY 54WP")</f>
        <v>KHONGRAY 54WP</v>
      </c>
      <c r="F4395" s="87" t="str">
        <f>IFERROR(__xludf.DUMMYFUNCTION("""COMPUTED_VALUE"""),"HH3593")</f>
        <v>HH3593</v>
      </c>
      <c r="G4395" s="87" t="str">
        <f>IFERROR(__xludf.DUMMYFUNCTION("""COMPUTED_VALUE"""),"IDA Global - I - 3593 - KHONGRAY 54WP (Bột trắng ngà) - 100gr - 100")</f>
        <v>IDA Global - I - 3593 - KHONGRAY 54WP (Bột trắng ngà) - 100gr - 100</v>
      </c>
    </row>
    <row r="4396">
      <c r="A4396" s="86">
        <f>IFERROR(__xludf.DUMMYFUNCTION("""COMPUTED_VALUE"""),4394.0)</f>
        <v>4394</v>
      </c>
      <c r="B4396" s="87" t="str">
        <f>IFERROR(__xludf.DUMMYFUNCTION("""COMPUTED_VALUE"""),"[Nhãn thùng]")</f>
        <v>[Nhãn thùng]</v>
      </c>
      <c r="C4396" s="87" t="str">
        <f>IFERROR(__xludf.DUMMYFUNCTION("""COMPUTED_VALUE"""),"NDT3593")</f>
        <v>NDT3593</v>
      </c>
      <c r="D4396" s="87" t="str">
        <f>IFERROR(__xludf.DUMMYFUNCTION("""COMPUTED_VALUE"""),"[Nhãn thùng] IDA Global - I - 3593 - KHONGRAY 54WP (Bột trắng ngà) - 100gr - 100")</f>
        <v>[Nhãn thùng] IDA Global - I - 3593 - KHONGRAY 54WP (Bột trắng ngà) - 100gr - 100</v>
      </c>
      <c r="E4396" s="87" t="str">
        <f>IFERROR(__xludf.DUMMYFUNCTION("""COMPUTED_VALUE"""),"KHONGRAY 54WP")</f>
        <v>KHONGRAY 54WP</v>
      </c>
      <c r="F4396" s="87" t="str">
        <f>IFERROR(__xludf.DUMMYFUNCTION("""COMPUTED_VALUE"""),"HH3593")</f>
        <v>HH3593</v>
      </c>
      <c r="G4396" s="87" t="str">
        <f>IFERROR(__xludf.DUMMYFUNCTION("""COMPUTED_VALUE"""),"IDA Global - I - 3593 - KHONGRAY 54WP (Bột trắng ngà) - 100gr - 100")</f>
        <v>IDA Global - I - 3593 - KHONGRAY 54WP (Bột trắng ngà) - 100gr - 100</v>
      </c>
    </row>
    <row r="4397">
      <c r="A4397" s="86">
        <f>IFERROR(__xludf.DUMMYFUNCTION("""COMPUTED_VALUE"""),4395.0)</f>
        <v>4395</v>
      </c>
      <c r="B4397" s="87" t="str">
        <f>IFERROR(__xludf.DUMMYFUNCTION("""COMPUTED_VALUE"""),"[Nhãn]")</f>
        <v>[Nhãn]</v>
      </c>
      <c r="C4397" s="87" t="str">
        <f>IFERROR(__xludf.DUMMYFUNCTION("""COMPUTED_VALUE"""),"NHG3594")</f>
        <v>NHG3594</v>
      </c>
      <c r="D4397" s="87" t="str">
        <f>IFERROR(__xludf.DUMMYFUNCTION("""COMPUTED_VALUE"""),"[Nhãn] GC - IV - 3594 - LOT ASAHI NHẬT BẢN - AS24 (Gel đỏ cam) - 500ml - 40")</f>
        <v>[Nhãn] GC - IV - 3594 - LOT ASAHI NHẬT BẢN - AS24 (Gel đỏ cam) - 500ml - 40</v>
      </c>
      <c r="E4397" s="87" t="str">
        <f>IFERROR(__xludf.DUMMYFUNCTION("""COMPUTED_VALUE"""),"Vi lượng Run Fast")</f>
        <v>Vi lượng Run Fast</v>
      </c>
      <c r="F4397" s="87" t="str">
        <f>IFERROR(__xludf.DUMMYFUNCTION("""COMPUTED_VALUE"""),"HH3594")</f>
        <v>HH3594</v>
      </c>
      <c r="G4397" s="87" t="str">
        <f>IFERROR(__xludf.DUMMYFUNCTION("""COMPUTED_VALUE"""),"GC - IV - 3594 - LOT ASAHI NHẬT BẢN - AS24 (Gel đỏ cam) - 500ml - 40")</f>
        <v>GC - IV - 3594 - LOT ASAHI NHẬT BẢN - AS24 (Gel đỏ cam) - 500ml - 40</v>
      </c>
    </row>
    <row r="4398">
      <c r="A4398" s="86">
        <f>IFERROR(__xludf.DUMMYFUNCTION("""COMPUTED_VALUE"""),4396.0)</f>
        <v>4396</v>
      </c>
      <c r="B4398" s="87" t="str">
        <f>IFERROR(__xludf.DUMMYFUNCTION("""COMPUTED_VALUE"""),"[Nhãn]")</f>
        <v>[Nhãn]</v>
      </c>
      <c r="C4398" s="87" t="str">
        <f>IFERROR(__xludf.DUMMYFUNCTION("""COMPUTED_VALUE"""),"NHG3595")</f>
        <v>NHG3595</v>
      </c>
      <c r="D4398" s="87" t="str">
        <f>IFERROR(__xludf.DUMMYFUNCTION("""COMPUTED_VALUE"""),"[Nhãn] GC - IV - 3595 - LOT ASAHI NHẬT BẢN - K-BOLI EXTRA (Gel đỏ cam) - 500ml - 40")</f>
        <v>[Nhãn] GC - IV - 3595 - LOT ASAHI NHẬT BẢN - K-BOLI EXTRA (Gel đỏ cam) - 500ml - 40</v>
      </c>
      <c r="E4398" s="87" t="str">
        <f>IFERROR(__xludf.DUMMYFUNCTION("""COMPUTED_VALUE"""),"Vi lượng Run Fast")</f>
        <v>Vi lượng Run Fast</v>
      </c>
      <c r="F4398" s="87" t="str">
        <f>IFERROR(__xludf.DUMMYFUNCTION("""COMPUTED_VALUE"""),"HH3595")</f>
        <v>HH3595</v>
      </c>
      <c r="G4398" s="87" t="str">
        <f>IFERROR(__xludf.DUMMYFUNCTION("""COMPUTED_VALUE"""),"GC - IV - 3595 - LOT ASAHI NHẬT BẢN - K-BOLI EXTRA (Gel đỏ cam) - 500ml - 40")</f>
        <v>GC - IV - 3595 - LOT ASAHI NHẬT BẢN - K-BOLI EXTRA (Gel đỏ cam) - 500ml - 40</v>
      </c>
    </row>
    <row r="4399">
      <c r="A4399" s="86">
        <f>IFERROR(__xludf.DUMMYFUNCTION("""COMPUTED_VALUE"""),4397.0)</f>
        <v>4397</v>
      </c>
      <c r="B4399" s="87" t="str">
        <f>IFERROR(__xludf.DUMMYFUNCTION("""COMPUTED_VALUE"""),"[Nhãn]")</f>
        <v>[Nhãn]</v>
      </c>
      <c r="C4399" s="87" t="str">
        <f>IFERROR(__xludf.DUMMYFUNCTION("""COMPUTED_VALUE"""),"NHG3596")</f>
        <v>NHG3596</v>
      </c>
      <c r="D4399" s="87" t="str">
        <f>IFERROR(__xludf.DUMMYFUNCTION("""COMPUTED_VALUE"""),"[Nhãn] GC - IV - 3596 - LOT ASAHI NHẬT BẢN - BRASI 24 (Gel đỏ cam) - 500ml - 40")</f>
        <v>[Nhãn] GC - IV - 3596 - LOT ASAHI NHẬT BẢN - BRASI 24 (Gel đỏ cam) - 500ml - 40</v>
      </c>
      <c r="E4399" s="87" t="str">
        <f>IFERROR(__xludf.DUMMYFUNCTION("""COMPUTED_VALUE"""),"Vi lượng Run Fast")</f>
        <v>Vi lượng Run Fast</v>
      </c>
      <c r="F4399" s="87" t="str">
        <f>IFERROR(__xludf.DUMMYFUNCTION("""COMPUTED_VALUE"""),"HH3596")</f>
        <v>HH3596</v>
      </c>
      <c r="G4399" s="87" t="str">
        <f>IFERROR(__xludf.DUMMYFUNCTION("""COMPUTED_VALUE"""),"GC - IV - 3596 - LOT ASAHI NHẬT BẢN - BRASI 24 (Gel đỏ cam) - 500ml - 40")</f>
        <v>GC - IV - 3596 - LOT ASAHI NHẬT BẢN - BRASI 24 (Gel đỏ cam) - 500ml - 40</v>
      </c>
    </row>
    <row r="4400">
      <c r="A4400" s="86">
        <f>IFERROR(__xludf.DUMMYFUNCTION("""COMPUTED_VALUE"""),4398.0)</f>
        <v>4398</v>
      </c>
      <c r="B4400" s="87" t="str">
        <f>IFERROR(__xludf.DUMMYFUNCTION("""COMPUTED_VALUE"""),"[Nhãn]")</f>
        <v>[Nhãn]</v>
      </c>
      <c r="C4400" s="87" t="str">
        <f>IFERROR(__xludf.DUMMYFUNCTION("""COMPUTED_VALUE"""),"NHG3597")</f>
        <v>NHG3597</v>
      </c>
      <c r="D4400" s="87" t="str">
        <f>IFERROR(__xludf.DUMMYFUNCTION("""COMPUTED_VALUE"""),"[Nhãn] GC - IV - 3597 - LOT ASAHI NHẬT BẢN - BORAMIX (Gel đỏ cam) - 500ml - 40")</f>
        <v>[Nhãn] GC - IV - 3597 - LOT ASAHI NHẬT BẢN - BORAMIX (Gel đỏ cam) - 500ml - 40</v>
      </c>
      <c r="E4400" s="87" t="str">
        <f>IFERROR(__xludf.DUMMYFUNCTION("""COMPUTED_VALUE"""),"Vi lượng Run Fast")</f>
        <v>Vi lượng Run Fast</v>
      </c>
      <c r="F4400" s="87" t="str">
        <f>IFERROR(__xludf.DUMMYFUNCTION("""COMPUTED_VALUE"""),"HH3597")</f>
        <v>HH3597</v>
      </c>
      <c r="G4400" s="87" t="str">
        <f>IFERROR(__xludf.DUMMYFUNCTION("""COMPUTED_VALUE"""),"GC - IV - 3597 - LOT ASAHI NHẬT BẢN - BORAMIX (Gel đỏ cam) - 500ml - 40")</f>
        <v>GC - IV - 3597 - LOT ASAHI NHẬT BẢN - BORAMIX (Gel đỏ cam) - 500ml - 40</v>
      </c>
    </row>
    <row r="4401">
      <c r="A4401" s="86">
        <f>IFERROR(__xludf.DUMMYFUNCTION("""COMPUTED_VALUE"""),4399.0)</f>
        <v>4399</v>
      </c>
      <c r="B4401" s="87" t="str">
        <f>IFERROR(__xludf.DUMMYFUNCTION("""COMPUTED_VALUE"""),"[Nhãn]")</f>
        <v>[Nhãn]</v>
      </c>
      <c r="C4401" s="87" t="str">
        <f>IFERROR(__xludf.DUMMYFUNCTION("""COMPUTED_VALUE"""),"NHG3598")</f>
        <v>NHG3598</v>
      </c>
      <c r="D4401" s="87" t="str">
        <f>IFERROR(__xludf.DUMMYFUNCTION("""COMPUTED_VALUE"""),"[Nhãn] IDA Global - I - 3598 - VUA CHIM TRĨ (Nước trắng sữa) - 100ml - 100")</f>
        <v>[Nhãn] IDA Global - I - 3598 - VUA CHIM TRĨ (Nước trắng sữa) - 100ml - 100</v>
      </c>
      <c r="E4401" s="87" t="str">
        <f>IFERROR(__xludf.DUMMYFUNCTION("""COMPUTED_VALUE"""),"VOTE 34.2SC")</f>
        <v>VOTE 34.2SC</v>
      </c>
      <c r="F4401" s="87" t="str">
        <f>IFERROR(__xludf.DUMMYFUNCTION("""COMPUTED_VALUE"""),"HH3598")</f>
        <v>HH3598</v>
      </c>
      <c r="G4401" s="87" t="str">
        <f>IFERROR(__xludf.DUMMYFUNCTION("""COMPUTED_VALUE"""),"IDA Global - I - 3598 - VUA CHIM TRĨ (Nước trắng sữa) - 100ml - 100")</f>
        <v>IDA Global - I - 3598 - VUA CHIM TRĨ (Nước trắng sữa) - 100ml - 100</v>
      </c>
    </row>
    <row r="4402">
      <c r="A4402" s="86">
        <f>IFERROR(__xludf.DUMMYFUNCTION("""COMPUTED_VALUE"""),4400.0)</f>
        <v>4400</v>
      </c>
      <c r="B4402" s="87" t="str">
        <f>IFERROR(__xludf.DUMMYFUNCTION("""COMPUTED_VALUE"""),"[Nhãn thùng]")</f>
        <v>[Nhãn thùng]</v>
      </c>
      <c r="C4402" s="87" t="str">
        <f>IFERROR(__xludf.DUMMYFUNCTION("""COMPUTED_VALUE"""),"NDT3598")</f>
        <v>NDT3598</v>
      </c>
      <c r="D4402" s="87" t="str">
        <f>IFERROR(__xludf.DUMMYFUNCTION("""COMPUTED_VALUE"""),"[Nhãn thùng] IDA Global - I - 3598 - VUA CHIM TRĨ (Nước trắng sữa) - 100ml - 100")</f>
        <v>[Nhãn thùng] IDA Global - I - 3598 - VUA CHIM TRĨ (Nước trắng sữa) - 100ml - 100</v>
      </c>
      <c r="E4402" s="87" t="str">
        <f>IFERROR(__xludf.DUMMYFUNCTION("""COMPUTED_VALUE"""),"VOTE 34.2SC")</f>
        <v>VOTE 34.2SC</v>
      </c>
      <c r="F4402" s="87" t="str">
        <f>IFERROR(__xludf.DUMMYFUNCTION("""COMPUTED_VALUE"""),"HH3598")</f>
        <v>HH3598</v>
      </c>
      <c r="G4402" s="87" t="str">
        <f>IFERROR(__xludf.DUMMYFUNCTION("""COMPUTED_VALUE"""),"IDA Global - I - 3598 - VUA CHIM TRĨ (Nước trắng sữa) - 100ml - 100")</f>
        <v>IDA Global - I - 3598 - VUA CHIM TRĨ (Nước trắng sữa) - 100ml - 100</v>
      </c>
    </row>
    <row r="4403">
      <c r="A4403" s="86">
        <f>IFERROR(__xludf.DUMMYFUNCTION("""COMPUTED_VALUE"""),4401.0)</f>
        <v>4401</v>
      </c>
      <c r="B4403" s="87" t="str">
        <f>IFERROR(__xludf.DUMMYFUNCTION("""COMPUTED_VALUE"""),"[Nhãn]")</f>
        <v>[Nhãn]</v>
      </c>
      <c r="C4403" s="87" t="str">
        <f>IFERROR(__xludf.DUMMYFUNCTION("""COMPUTED_VALUE"""),"NHG3599")</f>
        <v>NHG3599</v>
      </c>
      <c r="D4403" s="87" t="str">
        <f>IFERROR(__xludf.DUMMYFUNCTION("""COMPUTED_VALUE"""),"[Nhãn] GC - IV - 3599 - LOT ASAHI NHẬT BẢN - BO MASTER (Gel đỏ cam) - 500ml - 40")</f>
        <v>[Nhãn] GC - IV - 3599 - LOT ASAHI NHẬT BẢN - BO MASTER (Gel đỏ cam) - 500ml - 40</v>
      </c>
      <c r="E4403" s="87" t="str">
        <f>IFERROR(__xludf.DUMMYFUNCTION("""COMPUTED_VALUE"""),"Vi lượng Run Fast")</f>
        <v>Vi lượng Run Fast</v>
      </c>
      <c r="F4403" s="87" t="str">
        <f>IFERROR(__xludf.DUMMYFUNCTION("""COMPUTED_VALUE"""),"HH3599")</f>
        <v>HH3599</v>
      </c>
      <c r="G4403" s="87" t="str">
        <f>IFERROR(__xludf.DUMMYFUNCTION("""COMPUTED_VALUE"""),"GC - IV - 3599 - LOT ASAHI NHẬT BẢN - BO MASTER (Gel đỏ cam) - 500ml - 40")</f>
        <v>GC - IV - 3599 - LOT ASAHI NHẬT BẢN - BO MASTER (Gel đỏ cam) - 500ml - 40</v>
      </c>
    </row>
    <row r="4404">
      <c r="A4404" s="86">
        <f>IFERROR(__xludf.DUMMYFUNCTION("""COMPUTED_VALUE"""),4402.0)</f>
        <v>4402</v>
      </c>
      <c r="B4404" s="87" t="str">
        <f>IFERROR(__xludf.DUMMYFUNCTION("""COMPUTED_VALUE"""),"[Nhãn]")</f>
        <v>[Nhãn]</v>
      </c>
      <c r="C4404" s="87" t="str">
        <f>IFERROR(__xludf.DUMMYFUNCTION("""COMPUTED_VALUE"""),"NHG3600")</f>
        <v>NHG3600</v>
      </c>
      <c r="D4404" s="87" t="str">
        <f>IFERROR(__xludf.DUMMYFUNCTION("""COMPUTED_VALUE"""),"[Nhãn] GC - IV - 3600 - LOT ASAHI NHẬT BẢN - K.LIBO +++ (Gel đỏ cam) - 500ml - 40")</f>
        <v>[Nhãn] GC - IV - 3600 - LOT ASAHI NHẬT BẢN - K.LIBO +++ (Gel đỏ cam) - 500ml - 40</v>
      </c>
      <c r="E4404" s="87" t="str">
        <f>IFERROR(__xludf.DUMMYFUNCTION("""COMPUTED_VALUE"""),"Vi lượng Run Fast")</f>
        <v>Vi lượng Run Fast</v>
      </c>
      <c r="F4404" s="87" t="str">
        <f>IFERROR(__xludf.DUMMYFUNCTION("""COMPUTED_VALUE"""),"HH3600")</f>
        <v>HH3600</v>
      </c>
      <c r="G4404" s="87" t="str">
        <f>IFERROR(__xludf.DUMMYFUNCTION("""COMPUTED_VALUE"""),"GC - IV - 3600 - LOT ASAHI NHẬT BẢN - K.LIBO +++ (Gel đỏ cam) - 500ml - 40")</f>
        <v>GC - IV - 3600 - LOT ASAHI NHẬT BẢN - K.LIBO +++ (Gel đỏ cam) - 500ml - 40</v>
      </c>
    </row>
    <row r="4405">
      <c r="A4405" s="86">
        <f>IFERROR(__xludf.DUMMYFUNCTION("""COMPUTED_VALUE"""),4403.0)</f>
        <v>4403</v>
      </c>
      <c r="B4405" s="87" t="str">
        <f>IFERROR(__xludf.DUMMYFUNCTION("""COMPUTED_VALUE"""),"[Nhãn]")</f>
        <v>[Nhãn]</v>
      </c>
      <c r="C4405" s="87" t="str">
        <f>IFERROR(__xludf.DUMMYFUNCTION("""COMPUTED_VALUE"""),"NHG3601")</f>
        <v>NHG3601</v>
      </c>
      <c r="D4405" s="87" t="str">
        <f>IFERROR(__xludf.DUMMYFUNCTION("""COMPUTED_VALUE"""),"[Nhãn] GC - IV - 3601 - BIO FARMS - BIO CANXI BO (Nước trắng sữa) - 250ml - 40")</f>
        <v>[Nhãn] GC - IV - 3601 - BIO FARMS - BIO CANXI BO (Nước trắng sữa) - 250ml - 40</v>
      </c>
      <c r="E4405" s="87" t="str">
        <f>IFERROR(__xludf.DUMMYFUNCTION("""COMPUTED_VALUE"""),"Vi lượng AGAMA-CANXI BO")</f>
        <v>Vi lượng AGAMA-CANXI BO</v>
      </c>
      <c r="F4405" s="87" t="str">
        <f>IFERROR(__xludf.DUMMYFUNCTION("""COMPUTED_VALUE"""),"HH3601")</f>
        <v>HH3601</v>
      </c>
      <c r="G4405" s="87" t="str">
        <f>IFERROR(__xludf.DUMMYFUNCTION("""COMPUTED_VALUE"""),"GC - IV - 3601 - BIO FARMS - BIO CANXI BO (Nước trắng sữa) - 250ml - 40")</f>
        <v>GC - IV - 3601 - BIO FARMS - BIO CANXI BO (Nước trắng sữa) - 250ml - 40</v>
      </c>
    </row>
    <row r="4406">
      <c r="A4406" s="86">
        <f>IFERROR(__xludf.DUMMYFUNCTION("""COMPUTED_VALUE"""),4404.0)</f>
        <v>4404</v>
      </c>
      <c r="B4406" s="87" t="str">
        <f>IFERROR(__xludf.DUMMYFUNCTION("""COMPUTED_VALUE"""),"[Nhãn]")</f>
        <v>[Nhãn]</v>
      </c>
      <c r="C4406" s="87" t="str">
        <f>IFERROR(__xludf.DUMMYFUNCTION("""COMPUTED_VALUE"""),"NHG3602")</f>
        <v>NHG3602</v>
      </c>
      <c r="D4406" s="87" t="str">
        <f>IFERROR(__xludf.DUMMYFUNCTION("""COMPUTED_VALUE"""),"[Nhãn] GC - IV - 3602 - NEWTECH CROP SCIENCE - MEKONG VIL 5SC (Nước trắng sữa) - 1L - 20")</f>
        <v>[Nhãn] GC - IV - 3602 - NEWTECH CROP SCIENCE - MEKONG VIL 5SC (Nước trắng sữa) - 1L - 20</v>
      </c>
      <c r="E4406" s="87" t="str">
        <f>IFERROR(__xludf.DUMMYFUNCTION("""COMPUTED_VALUE"""),"MEKONGVIL 5SC")</f>
        <v>MEKONGVIL 5SC</v>
      </c>
      <c r="F4406" s="87" t="str">
        <f>IFERROR(__xludf.DUMMYFUNCTION("""COMPUTED_VALUE"""),"HH3602")</f>
        <v>HH3602</v>
      </c>
      <c r="G4406" s="87" t="str">
        <f>IFERROR(__xludf.DUMMYFUNCTION("""COMPUTED_VALUE"""),"GC - IV - 3602 - NEWTECH CROP SCIENCE - MEKONG VIL 5SC (Nước trắng sữa) - 1L - 20")</f>
        <v>GC - IV - 3602 - NEWTECH CROP SCIENCE - MEKONG VIL 5SC (Nước trắng sữa) - 1L - 20</v>
      </c>
    </row>
    <row r="4407">
      <c r="A4407" s="86">
        <f>IFERROR(__xludf.DUMMYFUNCTION("""COMPUTED_VALUE"""),4405.0)</f>
        <v>4405</v>
      </c>
      <c r="B4407" s="87" t="str">
        <f>IFERROR(__xludf.DUMMYFUNCTION("""COMPUTED_VALUE"""),"[Nhãn]")</f>
        <v>[Nhãn]</v>
      </c>
      <c r="C4407" s="87" t="str">
        <f>IFERROR(__xludf.DUMMYFUNCTION("""COMPUTED_VALUE"""),"NHD3603")</f>
        <v>NHD3603</v>
      </c>
      <c r="D4407" s="87" t="str">
        <f>IFERROR(__xludf.DUMMYFUNCTION("""COMPUTED_VALUE"""),"[Nhãn] GC - IV - 3603 - NHP GROUP - SIMBA (Nước vàng trà) - 450ml - 40")</f>
        <v>[Nhãn] GC - IV - 3603 - NHP GROUP - SIMBA (Nước vàng trà) - 450ml - 40</v>
      </c>
      <c r="E4407" s="87" t="str">
        <f>IFERROR(__xludf.DUMMYFUNCTION("""COMPUTED_VALUE"""),"PYTAX-S 5EC")</f>
        <v>PYTAX-S 5EC</v>
      </c>
      <c r="F4407" s="87" t="str">
        <f>IFERROR(__xludf.DUMMYFUNCTION("""COMPUTED_VALUE"""),"HH3603")</f>
        <v>HH3603</v>
      </c>
      <c r="G4407" s="87" t="str">
        <f>IFERROR(__xludf.DUMMYFUNCTION("""COMPUTED_VALUE"""),"GC - IV - 3603 - NHP GROUP - SIMBA (Nước vàng trà) - 450ml - 40")</f>
        <v>GC - IV - 3603 - NHP GROUP - SIMBA (Nước vàng trà) - 450ml - 40</v>
      </c>
    </row>
    <row r="4408">
      <c r="A4408" s="86">
        <f>IFERROR(__xludf.DUMMYFUNCTION("""COMPUTED_VALUE"""),4406.0)</f>
        <v>4406</v>
      </c>
      <c r="B4408" s="87" t="str">
        <f>IFERROR(__xludf.DUMMYFUNCTION("""COMPUTED_VALUE"""),"[Nhãn thùng]")</f>
        <v>[Nhãn thùng]</v>
      </c>
      <c r="C4408" s="87" t="str">
        <f>IFERROR(__xludf.DUMMYFUNCTION("""COMPUTED_VALUE"""),"NDT3603")</f>
        <v>NDT3603</v>
      </c>
      <c r="D4408" s="87" t="str">
        <f>IFERROR(__xludf.DUMMYFUNCTION("""COMPUTED_VALUE"""),"[Nhãn thùng] GC - IV - 3603 - NHP GROUP - SIMBA (Nước vàng trà) - 450ml - 40")</f>
        <v>[Nhãn thùng] GC - IV - 3603 - NHP GROUP - SIMBA (Nước vàng trà) - 450ml - 40</v>
      </c>
      <c r="E4408" s="87" t="str">
        <f>IFERROR(__xludf.DUMMYFUNCTION("""COMPUTED_VALUE"""),"PYTAX-S 5EC")</f>
        <v>PYTAX-S 5EC</v>
      </c>
      <c r="F4408" s="87" t="str">
        <f>IFERROR(__xludf.DUMMYFUNCTION("""COMPUTED_VALUE"""),"HH3603")</f>
        <v>HH3603</v>
      </c>
      <c r="G4408" s="87" t="str">
        <f>IFERROR(__xludf.DUMMYFUNCTION("""COMPUTED_VALUE"""),"GC - IV - 3603 - NHP GROUP - SIMBA (Nước vàng trà) - 450ml - 40")</f>
        <v>GC - IV - 3603 - NHP GROUP - SIMBA (Nước vàng trà) - 450ml - 40</v>
      </c>
    </row>
    <row r="4409">
      <c r="A4409" s="86">
        <f>IFERROR(__xludf.DUMMYFUNCTION("""COMPUTED_VALUE"""),4407.0)</f>
        <v>4407</v>
      </c>
      <c r="B4409" s="87" t="str">
        <f>IFERROR(__xludf.DUMMYFUNCTION("""COMPUTED_VALUE"""),"[Nhãn]")</f>
        <v>[Nhãn]</v>
      </c>
      <c r="C4409" s="87" t="str">
        <f>IFERROR(__xludf.DUMMYFUNCTION("""COMPUTED_VALUE"""),"NHG3604")</f>
        <v>NHG3604</v>
      </c>
      <c r="D4409" s="87" t="str">
        <f>IFERROR(__xludf.DUMMYFUNCTION("""COMPUTED_VALUE"""),"[Nhãn] GC - IV - 3604 - CTY ASAHI NHẬT BẢN - ROOTS SAMURAI (Gel nâu đen) - 500ml - 40")</f>
        <v>[Nhãn] GC - IV - 3604 - CTY ASAHI NHẬT BẢN - ROOTS SAMURAI (Gel nâu đen) - 500ml - 40</v>
      </c>
      <c r="E4409" s="87" t="str">
        <f>IFERROR(__xludf.DUMMYFUNCTION("""COMPUTED_VALUE"""),"Vi lượng Quantity New")</f>
        <v>Vi lượng Quantity New</v>
      </c>
      <c r="F4409" s="87" t="str">
        <f>IFERROR(__xludf.DUMMYFUNCTION("""COMPUTED_VALUE"""),"HH3604")</f>
        <v>HH3604</v>
      </c>
      <c r="G4409" s="87" t="str">
        <f>IFERROR(__xludf.DUMMYFUNCTION("""COMPUTED_VALUE"""),"GC - IV - 3604 - CTY ASAHI NHẬT BẢN - ROOTS SAMURAI (Gel nâu đen) - 500ml - 40")</f>
        <v>GC - IV - 3604 - CTY ASAHI NHẬT BẢN - ROOTS SAMURAI (Gel nâu đen) - 500ml - 40</v>
      </c>
    </row>
    <row r="4410">
      <c r="A4410" s="86">
        <f>IFERROR(__xludf.DUMMYFUNCTION("""COMPUTED_VALUE"""),4408.0)</f>
        <v>4408</v>
      </c>
      <c r="B4410" s="87" t="str">
        <f>IFERROR(__xludf.DUMMYFUNCTION("""COMPUTED_VALUE"""),"[Nhãn]")</f>
        <v>[Nhãn]</v>
      </c>
      <c r="C4410" s="87" t="str">
        <f>IFERROR(__xludf.DUMMYFUNCTION("""COMPUTED_VALUE"""),"NHG3605")</f>
        <v>NHG3605</v>
      </c>
      <c r="D4410" s="87" t="str">
        <f>IFERROR(__xludf.DUMMYFUNCTION("""COMPUTED_VALUE"""),"[Nhãn] GC - IV - 3605 - HƯƠNG NÔNG - Siêu Chặn Đọt (nước nâu đen) - 1L - 20")</f>
        <v>[Nhãn] GC - IV - 3605 - HƯƠNG NÔNG - Siêu Chặn Đọt (nước nâu đen) - 1L - 20</v>
      </c>
      <c r="E4410" s="87" t="str">
        <f>IFERROR(__xludf.DUMMYFUNCTION("""COMPUTED_VALUE"""),"Vi lượng Quantity New")</f>
        <v>Vi lượng Quantity New</v>
      </c>
      <c r="F4410" s="87" t="str">
        <f>IFERROR(__xludf.DUMMYFUNCTION("""COMPUTED_VALUE"""),"HH3605")</f>
        <v>HH3605</v>
      </c>
      <c r="G4410" s="87" t="str">
        <f>IFERROR(__xludf.DUMMYFUNCTION("""COMPUTED_VALUE"""),"GC - IV - 3605 - HƯƠNG NÔNG - Siêu Chặn Đọt (nước nâu đen) - 1L - 20")</f>
        <v>GC - IV - 3605 - HƯƠNG NÔNG - Siêu Chặn Đọt (nước nâu đen) - 1L - 20</v>
      </c>
    </row>
    <row r="4411">
      <c r="A4411" s="86">
        <f>IFERROR(__xludf.DUMMYFUNCTION("""COMPUTED_VALUE"""),4409.0)</f>
        <v>4409</v>
      </c>
      <c r="B4411" s="87" t="str">
        <f>IFERROR(__xludf.DUMMYFUNCTION("""COMPUTED_VALUE"""),"[Nhãn]")</f>
        <v>[Nhãn]</v>
      </c>
      <c r="C4411" s="87" t="str">
        <f>IFERROR(__xludf.DUMMYFUNCTION("""COMPUTED_VALUE"""),"NHG3606")</f>
        <v>NHG3606</v>
      </c>
      <c r="D4411" s="87" t="str">
        <f>IFERROR(__xludf.DUMMYFUNCTION("""COMPUTED_VALUE"""),"[Nhãn] GC - IV - 3606 - HƯƠNG NÔNG - Siêu Tạo Mầm (nước nâu đen) - 1L - 20")</f>
        <v>[Nhãn] GC - IV - 3606 - HƯƠNG NÔNG - Siêu Tạo Mầm (nước nâu đen) - 1L - 20</v>
      </c>
      <c r="E4411" s="87" t="str">
        <f>IFERROR(__xludf.DUMMYFUNCTION("""COMPUTED_VALUE"""),"Vi lượng Quantity New")</f>
        <v>Vi lượng Quantity New</v>
      </c>
      <c r="F4411" s="87" t="str">
        <f>IFERROR(__xludf.DUMMYFUNCTION("""COMPUTED_VALUE"""),"HH3606")</f>
        <v>HH3606</v>
      </c>
      <c r="G4411" s="87" t="str">
        <f>IFERROR(__xludf.DUMMYFUNCTION("""COMPUTED_VALUE"""),"GC - IV - 3606 - HƯƠNG NÔNG - Siêu Tạo Mầm (nước nâu đen) - 1L - 20")</f>
        <v>GC - IV - 3606 - HƯƠNG NÔNG - Siêu Tạo Mầm (nước nâu đen) - 1L - 20</v>
      </c>
    </row>
    <row r="4412">
      <c r="A4412" s="86">
        <f>IFERROR(__xludf.DUMMYFUNCTION("""COMPUTED_VALUE"""),4410.0)</f>
        <v>4410</v>
      </c>
      <c r="B4412" s="87" t="str">
        <f>IFERROR(__xludf.DUMMYFUNCTION("""COMPUTED_VALUE"""),"[Nhãn]")</f>
        <v>[Nhãn]</v>
      </c>
      <c r="C4412" s="87" t="str">
        <f>IFERROR(__xludf.DUMMYFUNCTION("""COMPUTED_VALUE"""),"NHD3607")</f>
        <v>NHD3607</v>
      </c>
      <c r="D4412" s="87" t="str">
        <f>IFERROR(__xludf.DUMMYFUNCTION("""COMPUTED_VALUE"""),"[Nhãn] GC - II - 3607 - AGC - Gamma (nước đỏ) (chai PET vuông) - 450ml - 40")</f>
        <v>[Nhãn] GC - II - 3607 - AGC - Gamma (nước đỏ) (chai PET vuông) - 450ml - 40</v>
      </c>
      <c r="E4412" s="87" t="str">
        <f>IFERROR(__xludf.DUMMYFUNCTION("""COMPUTED_VALUE"""),"Creek 2.1EC")</f>
        <v>Creek 2.1EC</v>
      </c>
      <c r="F4412" s="87" t="str">
        <f>IFERROR(__xludf.DUMMYFUNCTION("""COMPUTED_VALUE"""),"HH3607")</f>
        <v>HH3607</v>
      </c>
      <c r="G4412" s="87" t="str">
        <f>IFERROR(__xludf.DUMMYFUNCTION("""COMPUTED_VALUE"""),"GC - II - 3607 - AGC - Gamma (nước đỏ) (chai PET vuông) - 450ml - 40")</f>
        <v>GC - II - 3607 - AGC - Gamma (nước đỏ) (chai PET vuông) - 450ml - 40</v>
      </c>
    </row>
    <row r="4413">
      <c r="A4413" s="86">
        <f>IFERROR(__xludf.DUMMYFUNCTION("""COMPUTED_VALUE"""),4411.0)</f>
        <v>4411</v>
      </c>
      <c r="B4413" s="87" t="str">
        <f>IFERROR(__xludf.DUMMYFUNCTION("""COMPUTED_VALUE"""),"[Nhãn thùng]")</f>
        <v>[Nhãn thùng]</v>
      </c>
      <c r="C4413" s="87" t="str">
        <f>IFERROR(__xludf.DUMMYFUNCTION("""COMPUTED_VALUE"""),"NDT3607")</f>
        <v>NDT3607</v>
      </c>
      <c r="D4413" s="87" t="str">
        <f>IFERROR(__xludf.DUMMYFUNCTION("""COMPUTED_VALUE"""),"[Nhãn thùng] GC - II - 3607 - AGC - Gamma (nước đỏ) (chai PET vuông) - 450ml - 40")</f>
        <v>[Nhãn thùng] GC - II - 3607 - AGC - Gamma (nước đỏ) (chai PET vuông) - 450ml - 40</v>
      </c>
      <c r="E4413" s="87" t="str">
        <f>IFERROR(__xludf.DUMMYFUNCTION("""COMPUTED_VALUE"""),"Creek 2.1EC")</f>
        <v>Creek 2.1EC</v>
      </c>
      <c r="F4413" s="87" t="str">
        <f>IFERROR(__xludf.DUMMYFUNCTION("""COMPUTED_VALUE"""),"HH3607")</f>
        <v>HH3607</v>
      </c>
      <c r="G4413" s="87" t="str">
        <f>IFERROR(__xludf.DUMMYFUNCTION("""COMPUTED_VALUE"""),"GC - II - 3607 - AGC - Gamma (nước đỏ) (chai PET vuông) - 450ml - 40")</f>
        <v>GC - II - 3607 - AGC - Gamma (nước đỏ) (chai PET vuông) - 450ml - 40</v>
      </c>
    </row>
    <row r="4414">
      <c r="A4414" s="86">
        <f>IFERROR(__xludf.DUMMYFUNCTION("""COMPUTED_VALUE"""),4412.0)</f>
        <v>4412</v>
      </c>
      <c r="B4414" s="87" t="str">
        <f>IFERROR(__xludf.DUMMYFUNCTION("""COMPUTED_VALUE"""),"[Nhãn]")</f>
        <v>[Nhãn]</v>
      </c>
      <c r="C4414" s="87" t="str">
        <f>IFERROR(__xludf.DUMMYFUNCTION("""COMPUTED_VALUE"""),"NHG3612")</f>
        <v>NHG3612</v>
      </c>
      <c r="D4414" s="87" t="str">
        <f>IFERROR(__xludf.DUMMYFUNCTION("""COMPUTED_VALUE"""),"[Nhãn] GC - IV - 3612 - CTY ASAHI NHẬT BẢN - GIẢM STRESS SAKURA (Gel xanh lá) - 500ml - 40")</f>
        <v>[Nhãn] GC - IV - 3612 - CTY ASAHI NHẬT BẢN - GIẢM STRESS SAKURA (Gel xanh lá) - 500ml - 40</v>
      </c>
      <c r="E4414" s="87" t="str">
        <f>IFERROR(__xludf.DUMMYFUNCTION("""COMPUTED_VALUE"""),"Vi lượng AGAMA-SUPPORT")</f>
        <v>Vi lượng AGAMA-SUPPORT</v>
      </c>
      <c r="F4414" s="87" t="str">
        <f>IFERROR(__xludf.DUMMYFUNCTION("""COMPUTED_VALUE"""),"HH3612")</f>
        <v>HH3612</v>
      </c>
      <c r="G4414" s="87" t="str">
        <f>IFERROR(__xludf.DUMMYFUNCTION("""COMPUTED_VALUE"""),"GC - IV - 3612 - CTY ASAHI NHẬT BẢN - GIẢM STRESS SAKURA (Gel xanh lá) - 500ml - 40")</f>
        <v>GC - IV - 3612 - CTY ASAHI NHẬT BẢN - GIẢM STRESS SAKURA (Gel xanh lá) - 500ml - 40</v>
      </c>
    </row>
    <row r="4415">
      <c r="A4415" s="86">
        <f>IFERROR(__xludf.DUMMYFUNCTION("""COMPUTED_VALUE"""),4413.0)</f>
        <v>4413</v>
      </c>
      <c r="B4415" s="87" t="str">
        <f>IFERROR(__xludf.DUMMYFUNCTION("""COMPUTED_VALUE"""),"[Nhãn]")</f>
        <v>[Nhãn]</v>
      </c>
      <c r="C4415" s="87" t="str">
        <f>IFERROR(__xludf.DUMMYFUNCTION("""COMPUTED_VALUE"""),"NHG3613")</f>
        <v>NHG3613</v>
      </c>
      <c r="D4415" s="87" t="str">
        <f>IFERROR(__xludf.DUMMYFUNCTION("""COMPUTED_VALUE"""),"[Nhãn] GC - IV - 3613 - CTY ASAHI NHẬT BẢN - CHỐNG SỐC SAKURA (Gel nâu đen) - 500ml - 40")</f>
        <v>[Nhãn] GC - IV - 3613 - CTY ASAHI NHẬT BẢN - CHỐNG SỐC SAKURA (Gel nâu đen) - 500ml - 40</v>
      </c>
      <c r="E4415" s="87" t="str">
        <f>IFERROR(__xludf.DUMMYFUNCTION("""COMPUTED_VALUE"""),"Vi lượng Quantity New")</f>
        <v>Vi lượng Quantity New</v>
      </c>
      <c r="F4415" s="87" t="str">
        <f>IFERROR(__xludf.DUMMYFUNCTION("""COMPUTED_VALUE"""),"HH3613")</f>
        <v>HH3613</v>
      </c>
      <c r="G4415" s="87" t="str">
        <f>IFERROR(__xludf.DUMMYFUNCTION("""COMPUTED_VALUE"""),"GC - IV - 3613 - CTY ASAHI NHẬT BẢN - CHỐNG SỐC SAKURA (Gel nâu đen) - 500ml - 40")</f>
        <v>GC - IV - 3613 - CTY ASAHI NHẬT BẢN - CHỐNG SỐC SAKURA (Gel nâu đen) - 500ml - 40</v>
      </c>
    </row>
    <row r="4416">
      <c r="A4416" s="86">
        <f>IFERROR(__xludf.DUMMYFUNCTION("""COMPUTED_VALUE"""),4414.0)</f>
        <v>4414</v>
      </c>
      <c r="B4416" s="87" t="str">
        <f>IFERROR(__xludf.DUMMYFUNCTION("""COMPUTED_VALUE"""),"[Nhãn]")</f>
        <v>[Nhãn]</v>
      </c>
      <c r="C4416" s="87" t="str">
        <f>IFERROR(__xludf.DUMMYFUNCTION("""COMPUTED_VALUE"""),"NHG3614")</f>
        <v>NHG3614</v>
      </c>
      <c r="D4416" s="87" t="str">
        <f>IFERROR(__xludf.DUMMYFUNCTION("""COMPUTED_VALUE"""),"[Nhãn] GC - IV - 3614 - CTY ASAHI NHẬT BẢN - SIÊU BO SAKURA (Gel đỏ cam) - 500ml - 40")</f>
        <v>[Nhãn] GC - IV - 3614 - CTY ASAHI NHẬT BẢN - SIÊU BO SAKURA (Gel đỏ cam) - 500ml - 40</v>
      </c>
      <c r="E4416" s="87" t="str">
        <f>IFERROR(__xludf.DUMMYFUNCTION("""COMPUTED_VALUE"""),"Vi lượng Run Fast")</f>
        <v>Vi lượng Run Fast</v>
      </c>
      <c r="F4416" s="87" t="str">
        <f>IFERROR(__xludf.DUMMYFUNCTION("""COMPUTED_VALUE"""),"HH3614")</f>
        <v>HH3614</v>
      </c>
      <c r="G4416" s="87" t="str">
        <f>IFERROR(__xludf.DUMMYFUNCTION("""COMPUTED_VALUE"""),"GC - IV - 3614 - CTY ASAHI NHẬT BẢN - SIÊU BO SAKURA (Gel đỏ cam) - 500ml - 40")</f>
        <v>GC - IV - 3614 - CTY ASAHI NHẬT BẢN - SIÊU BO SAKURA (Gel đỏ cam) - 500ml - 40</v>
      </c>
    </row>
    <row r="4417">
      <c r="A4417" s="86">
        <f>IFERROR(__xludf.DUMMYFUNCTION("""COMPUTED_VALUE"""),4415.0)</f>
        <v>4415</v>
      </c>
      <c r="B4417" s="87" t="str">
        <f>IFERROR(__xludf.DUMMYFUNCTION("""COMPUTED_VALUE"""),"[Nhãn]")</f>
        <v>[Nhãn]</v>
      </c>
      <c r="C4417" s="87" t="str">
        <f>IFERROR(__xludf.DUMMYFUNCTION("""COMPUTED_VALUE"""),"NHG3615")</f>
        <v>NHG3615</v>
      </c>
      <c r="D4417" s="87" t="str">
        <f>IFERROR(__xludf.DUMMYFUNCTION("""COMPUTED_VALUE"""),"[Nhãn] GC - IV - 3615 - CTY ASAHI NHẬT BẢN - KÍCH PHÁT TỐ RA HOA SAMURAI (Gel xanh lá) - 500ml - 40")</f>
        <v>[Nhãn] GC - IV - 3615 - CTY ASAHI NHẬT BẢN - KÍCH PHÁT TỐ RA HOA SAMURAI (Gel xanh lá) - 500ml - 40</v>
      </c>
      <c r="E4417" s="87" t="str">
        <f>IFERROR(__xludf.DUMMYFUNCTION("""COMPUTED_VALUE"""),"Vi lượng AGAMA-SUPPORT")</f>
        <v>Vi lượng AGAMA-SUPPORT</v>
      </c>
      <c r="F4417" s="87" t="str">
        <f>IFERROR(__xludf.DUMMYFUNCTION("""COMPUTED_VALUE"""),"HH3615")</f>
        <v>HH3615</v>
      </c>
      <c r="G4417" s="87" t="str">
        <f>IFERROR(__xludf.DUMMYFUNCTION("""COMPUTED_VALUE"""),"GC - IV - 3615 - CTY ASAHI NHẬT BẢN - KÍCH PHÁT TỐ RA HOA SAMURAI (Gel xanh lá) - 500ml - 40")</f>
        <v>GC - IV - 3615 - CTY ASAHI NHẬT BẢN - KÍCH PHÁT TỐ RA HOA SAMURAI (Gel xanh lá) - 500ml - 40</v>
      </c>
    </row>
    <row r="4418">
      <c r="A4418" s="86">
        <f>IFERROR(__xludf.DUMMYFUNCTION("""COMPUTED_VALUE"""),4416.0)</f>
        <v>4416</v>
      </c>
      <c r="B4418" s="87" t="str">
        <f>IFERROR(__xludf.DUMMYFUNCTION("""COMPUTED_VALUE"""),"[Nhãn]")</f>
        <v>[Nhãn]</v>
      </c>
      <c r="C4418" s="87" t="str">
        <f>IFERROR(__xludf.DUMMYFUNCTION("""COMPUTED_VALUE"""),"NHG3616")</f>
        <v>NHG3616</v>
      </c>
      <c r="D4418" s="87" t="str">
        <f>IFERROR(__xludf.DUMMYFUNCTION("""COMPUTED_VALUE"""),"[Nhãn] GC - IV - 3616 - CTY ASAHI NHẬT BẢN - SIÊU KẼM SAMURAI (Gel xanh lá) - 500ml - 40")</f>
        <v>[Nhãn] GC - IV - 3616 - CTY ASAHI NHẬT BẢN - SIÊU KẼM SAMURAI (Gel xanh lá) - 500ml - 40</v>
      </c>
      <c r="E4418" s="87" t="str">
        <f>IFERROR(__xludf.DUMMYFUNCTION("""COMPUTED_VALUE"""),"Vi lượng AGAMA-SUPPORT")</f>
        <v>Vi lượng AGAMA-SUPPORT</v>
      </c>
      <c r="F4418" s="87" t="str">
        <f>IFERROR(__xludf.DUMMYFUNCTION("""COMPUTED_VALUE"""),"HH3616")</f>
        <v>HH3616</v>
      </c>
      <c r="G4418" s="87" t="str">
        <f>IFERROR(__xludf.DUMMYFUNCTION("""COMPUTED_VALUE"""),"GC - IV - 3616 - CTY ASAHI NHẬT BẢN - SIÊU KẼM SAMURAI (Gel xanh lá) - 500ml - 40")</f>
        <v>GC - IV - 3616 - CTY ASAHI NHẬT BẢN - SIÊU KẼM SAMURAI (Gel xanh lá) - 500ml - 40</v>
      </c>
    </row>
    <row r="4419">
      <c r="A4419" s="86">
        <f>IFERROR(__xludf.DUMMYFUNCTION("""COMPUTED_VALUE"""),4417.0)</f>
        <v>4417</v>
      </c>
      <c r="B4419" s="87" t="str">
        <f>IFERROR(__xludf.DUMMYFUNCTION("""COMPUTED_VALUE"""),"[Nhãn]")</f>
        <v>[Nhãn]</v>
      </c>
      <c r="C4419" s="87" t="str">
        <f>IFERROR(__xludf.DUMMYFUNCTION("""COMPUTED_VALUE"""),"NHG3617")</f>
        <v>NHG3617</v>
      </c>
      <c r="D4419" s="87" t="str">
        <f>IFERROR(__xludf.DUMMYFUNCTION("""COMPUTED_VALUE"""),"[Nhãn] GC - IV - 3617 - CTY ASAHI NHẬT BẢN - BOCAXX SAMURAI (Gel đỏ cam) - 500ml - 40")</f>
        <v>[Nhãn] GC - IV - 3617 - CTY ASAHI NHẬT BẢN - BOCAXX SAMURAI (Gel đỏ cam) - 500ml - 40</v>
      </c>
      <c r="E4419" s="87" t="str">
        <f>IFERROR(__xludf.DUMMYFUNCTION("""COMPUTED_VALUE"""),"Vi lượng Run Fast")</f>
        <v>Vi lượng Run Fast</v>
      </c>
      <c r="F4419" s="87" t="str">
        <f>IFERROR(__xludf.DUMMYFUNCTION("""COMPUTED_VALUE"""),"HH3617")</f>
        <v>HH3617</v>
      </c>
      <c r="G4419" s="87" t="str">
        <f>IFERROR(__xludf.DUMMYFUNCTION("""COMPUTED_VALUE"""),"GC - IV - 3617 - CTY ASAHI NHẬT BẢN - BOCAXX SAMURAI (Gel đỏ cam) - 500ml - 40")</f>
        <v>GC - IV - 3617 - CTY ASAHI NHẬT BẢN - BOCAXX SAMURAI (Gel đỏ cam) - 500ml - 40</v>
      </c>
    </row>
    <row r="4420">
      <c r="A4420" s="86">
        <f>IFERROR(__xludf.DUMMYFUNCTION("""COMPUTED_VALUE"""),4418.0)</f>
        <v>4418</v>
      </c>
      <c r="B4420" s="87" t="str">
        <f>IFERROR(__xludf.DUMMYFUNCTION("""COMPUTED_VALUE"""),"[Nhãn]")</f>
        <v>[Nhãn]</v>
      </c>
      <c r="C4420" s="87" t="str">
        <f>IFERROR(__xludf.DUMMYFUNCTION("""COMPUTED_VALUE"""),"NHG3618")</f>
        <v>NHG3618</v>
      </c>
      <c r="D4420" s="87" t="str">
        <f>IFERROR(__xludf.DUMMYFUNCTION("""COMPUTED_VALUE"""),"[Nhãn] GC - IV - 3618 - CTY ASAHI NHẬT BẢN - RONBIN SAMURAI (Gel nâu đen) - 500ml - 40")</f>
        <v>[Nhãn] GC - IV - 3618 - CTY ASAHI NHẬT BẢN - RONBIN SAMURAI (Gel nâu đen) - 500ml - 40</v>
      </c>
      <c r="E4420" s="87" t="str">
        <f>IFERROR(__xludf.DUMMYFUNCTION("""COMPUTED_VALUE"""),"Vi lượng Quantity New")</f>
        <v>Vi lượng Quantity New</v>
      </c>
      <c r="F4420" s="87" t="str">
        <f>IFERROR(__xludf.DUMMYFUNCTION("""COMPUTED_VALUE"""),"HH3618")</f>
        <v>HH3618</v>
      </c>
      <c r="G4420" s="87" t="str">
        <f>IFERROR(__xludf.DUMMYFUNCTION("""COMPUTED_VALUE"""),"GC - IV - 3618 - CTY ASAHI NHẬT BẢN - RONBIN SAMURAI (Gel nâu đen) - 500ml - 40")</f>
        <v>GC - IV - 3618 - CTY ASAHI NHẬT BẢN - RONBIN SAMURAI (Gel nâu đen) - 500ml - 40</v>
      </c>
    </row>
    <row r="4421">
      <c r="A4421" s="86">
        <f>IFERROR(__xludf.DUMMYFUNCTION("""COMPUTED_VALUE"""),4419.0)</f>
        <v>4419</v>
      </c>
      <c r="B4421" s="87" t="str">
        <f>IFERROR(__xludf.DUMMYFUNCTION("""COMPUTED_VALUE"""),"[Nhãn]")</f>
        <v>[Nhãn]</v>
      </c>
      <c r="C4421" s="87" t="str">
        <f>IFERROR(__xludf.DUMMYFUNCTION("""COMPUTED_VALUE"""),"NHG3619")</f>
        <v>NHG3619</v>
      </c>
      <c r="D4421" s="87" t="str">
        <f>IFERROR(__xludf.DUMMYFUNCTION("""COMPUTED_VALUE"""),"[Nhãn] GC - IV - 3619 - THÀNH CÔNG AGRI - UT-MIDA (Nước trắng sữa) - 100ml - 50")</f>
        <v>[Nhãn] GC - IV - 3619 - THÀNH CÔNG AGRI - UT-MIDA (Nước trắng sữa) - 100ml - 50</v>
      </c>
      <c r="E4421" s="87" t="str">
        <f>IFERROR(__xludf.DUMMYFUNCTION("""COMPUTED_VALUE"""),"MIKHADA 45ME")</f>
        <v>MIKHADA 45ME</v>
      </c>
      <c r="F4421" s="87" t="str">
        <f>IFERROR(__xludf.DUMMYFUNCTION("""COMPUTED_VALUE"""),"HH3619")</f>
        <v>HH3619</v>
      </c>
      <c r="G4421" s="87" t="str">
        <f>IFERROR(__xludf.DUMMYFUNCTION("""COMPUTED_VALUE"""),"GC - IV - 3619 - THÀNH CÔNG AGRI - UT-MIDA (Nước trắng sữa) - 100ml - 50")</f>
        <v>GC - IV - 3619 - THÀNH CÔNG AGRI - UT-MIDA (Nước trắng sữa) - 100ml - 50</v>
      </c>
    </row>
    <row r="4422">
      <c r="A4422" s="86">
        <f>IFERROR(__xludf.DUMMYFUNCTION("""COMPUTED_VALUE"""),4420.0)</f>
        <v>4420</v>
      </c>
      <c r="B4422" s="87" t="str">
        <f>IFERROR(__xludf.DUMMYFUNCTION("""COMPUTED_VALUE"""),"[Nhãn]")</f>
        <v>[Nhãn]</v>
      </c>
      <c r="C4422" s="87" t="str">
        <f>IFERROR(__xludf.DUMMYFUNCTION("""COMPUTED_VALUE"""),"NTN3620")</f>
        <v>NTN3620</v>
      </c>
      <c r="D4422" s="87" t="str">
        <f>IFERROR(__xludf.DUMMYFUNCTION("""COMPUTED_VALUE"""),"[Nhãn] GC - IV - 3620 - CTY OLYMPUS - CYAT 525WG (dạng cốm màu trắng ngà) - 60gr - 100")</f>
        <v>[Nhãn] GC - IV - 3620 - CTY OLYMPUS - CYAT 525WG (dạng cốm màu trắng ngà) - 60gr - 100</v>
      </c>
      <c r="E4422" s="87" t="str">
        <f>IFERROR(__xludf.DUMMYFUNCTION("""COMPUTED_VALUE"""),"CYAT 525WG")</f>
        <v>CYAT 525WG</v>
      </c>
      <c r="F4422" s="87" t="str">
        <f>IFERROR(__xludf.DUMMYFUNCTION("""COMPUTED_VALUE"""),"HH3620")</f>
        <v>HH3620</v>
      </c>
      <c r="G4422" s="87" t="str">
        <f>IFERROR(__xludf.DUMMYFUNCTION("""COMPUTED_VALUE"""),"GC - IV - 3620 - CTY OLYMPUS - CYAT 525WG (dạng cốm màu trắng ngà) - 60gr - 100")</f>
        <v>GC - IV - 3620 - CTY OLYMPUS - CYAT 525WG (dạng cốm màu trắng ngà) - 60gr - 100</v>
      </c>
    </row>
    <row r="4423">
      <c r="A4423" s="86">
        <f>IFERROR(__xludf.DUMMYFUNCTION("""COMPUTED_VALUE"""),4421.0)</f>
        <v>4421</v>
      </c>
      <c r="B4423" s="87" t="str">
        <f>IFERROR(__xludf.DUMMYFUNCTION("""COMPUTED_VALUE"""),"[Nhãn thùng]")</f>
        <v>[Nhãn thùng]</v>
      </c>
      <c r="C4423" s="87" t="str">
        <f>IFERROR(__xludf.DUMMYFUNCTION("""COMPUTED_VALUE"""),"NDT3620")</f>
        <v>NDT3620</v>
      </c>
      <c r="D4423" s="87" t="str">
        <f>IFERROR(__xludf.DUMMYFUNCTION("""COMPUTED_VALUE"""),"[Nhãn thùng] GC - IV - 3620 - CTY OLYMPUS - CYAT 525WG (dạng cốm màu trắng ngà) - 60gr - 100")</f>
        <v>[Nhãn thùng] GC - IV - 3620 - CTY OLYMPUS - CYAT 525WG (dạng cốm màu trắng ngà) - 60gr - 100</v>
      </c>
      <c r="E4423" s="87" t="str">
        <f>IFERROR(__xludf.DUMMYFUNCTION("""COMPUTED_VALUE"""),"CYAT 525WG")</f>
        <v>CYAT 525WG</v>
      </c>
      <c r="F4423" s="87" t="str">
        <f>IFERROR(__xludf.DUMMYFUNCTION("""COMPUTED_VALUE"""),"HH3620")</f>
        <v>HH3620</v>
      </c>
      <c r="G4423" s="87" t="str">
        <f>IFERROR(__xludf.DUMMYFUNCTION("""COMPUTED_VALUE"""),"GC - IV - 3620 - CTY OLYMPUS - CYAT 525WG (dạng cốm màu trắng ngà) - 60gr - 100")</f>
        <v>GC - IV - 3620 - CTY OLYMPUS - CYAT 525WG (dạng cốm màu trắng ngà) - 60gr - 100</v>
      </c>
    </row>
    <row r="4424">
      <c r="A4424" s="86">
        <f>IFERROR(__xludf.DUMMYFUNCTION("""COMPUTED_VALUE"""),4422.0)</f>
        <v>4422</v>
      </c>
      <c r="B4424" s="87" t="str">
        <f>IFERROR(__xludf.DUMMYFUNCTION("""COMPUTED_VALUE"""),"[Nhãn]")</f>
        <v>[Nhãn]</v>
      </c>
      <c r="C4424" s="87" t="str">
        <f>IFERROR(__xludf.DUMMYFUNCTION("""COMPUTED_VALUE"""),"NHG3621")</f>
        <v>NHG3621</v>
      </c>
      <c r="D4424" s="87" t="str">
        <f>IFERROR(__xludf.DUMMYFUNCTION("""COMPUTED_VALUE"""),"[Nhãn] LOT IDA Global - I - 3621 - ĐL Hai Nhóm - Mancozeb xanh (bột xanh) - 1kg - 20")</f>
        <v>[Nhãn] LOT IDA Global - I - 3621 - ĐL Hai Nhóm - Mancozeb xanh (bột xanh) - 1kg - 20</v>
      </c>
      <c r="E4424" s="87" t="str">
        <f>IFERROR(__xludf.DUMMYFUNCTION("""COMPUTED_VALUE"""),"MANCOBGO 80WP")</f>
        <v>MANCOBGO 80WP</v>
      </c>
      <c r="F4424" s="87" t="str">
        <f>IFERROR(__xludf.DUMMYFUNCTION("""COMPUTED_VALUE"""),"HH3621")</f>
        <v>HH3621</v>
      </c>
      <c r="G4424" s="87" t="str">
        <f>IFERROR(__xludf.DUMMYFUNCTION("""COMPUTED_VALUE"""),"LOT IDA Global - I - 3621 - ĐL Hai Nhóm - Mancozeb xanh (bột xanh) - 1kg - 20")</f>
        <v>LOT IDA Global - I - 3621 - ĐL Hai Nhóm - Mancozeb xanh (bột xanh) - 1kg - 20</v>
      </c>
    </row>
    <row r="4425">
      <c r="A4425" s="86">
        <f>IFERROR(__xludf.DUMMYFUNCTION("""COMPUTED_VALUE"""),4423.0)</f>
        <v>4423</v>
      </c>
      <c r="B4425" s="87" t="str">
        <f>IFERROR(__xludf.DUMMYFUNCTION("""COMPUTED_VALUE"""),"[Nhãn thùng]")</f>
        <v>[Nhãn thùng]</v>
      </c>
      <c r="C4425" s="87" t="str">
        <f>IFERROR(__xludf.DUMMYFUNCTION("""COMPUTED_VALUE"""),"NDT3621")</f>
        <v>NDT3621</v>
      </c>
      <c r="D4425" s="87" t="str">
        <f>IFERROR(__xludf.DUMMYFUNCTION("""COMPUTED_VALUE"""),"[Nhãn thùng] LOT IDA Global - I - 3621 - ĐL Hai Nhóm - Mancozeb xanh (bột xanh) - 1kg - 20")</f>
        <v>[Nhãn thùng] LOT IDA Global - I - 3621 - ĐL Hai Nhóm - Mancozeb xanh (bột xanh) - 1kg - 20</v>
      </c>
      <c r="E4425" s="87" t="str">
        <f>IFERROR(__xludf.DUMMYFUNCTION("""COMPUTED_VALUE"""),"MANCOBGO 80WP")</f>
        <v>MANCOBGO 80WP</v>
      </c>
      <c r="F4425" s="87" t="str">
        <f>IFERROR(__xludf.DUMMYFUNCTION("""COMPUTED_VALUE"""),"HH3621")</f>
        <v>HH3621</v>
      </c>
      <c r="G4425" s="87" t="str">
        <f>IFERROR(__xludf.DUMMYFUNCTION("""COMPUTED_VALUE"""),"LOT IDA Global - I - 3621 - ĐL Hai Nhóm - Mancozeb xanh (bột xanh) - 1kg - 20")</f>
        <v>LOT IDA Global - I - 3621 - ĐL Hai Nhóm - Mancozeb xanh (bột xanh) - 1kg - 20</v>
      </c>
    </row>
    <row r="4426">
      <c r="A4426" s="86">
        <f>IFERROR(__xludf.DUMMYFUNCTION("""COMPUTED_VALUE"""),4424.0)</f>
        <v>4424</v>
      </c>
      <c r="B4426" s="87" t="str">
        <f>IFERROR(__xludf.DUMMYFUNCTION("""COMPUTED_VALUE"""),"[Nhãn]")</f>
        <v>[Nhãn]</v>
      </c>
      <c r="C4426" s="87" t="str">
        <f>IFERROR(__xludf.DUMMYFUNCTION("""COMPUTED_VALUE"""),"NTN3621")</f>
        <v>NTN3621</v>
      </c>
      <c r="D4426" s="87" t="str">
        <f>IFERROR(__xludf.DUMMYFUNCTION("""COMPUTED_VALUE"""),"[Nhãn] LOT IDA Global - I - 3621 - ĐL Hai Nhóm - Mancozeb xanh (bột xanh) - 1kg - 20")</f>
        <v>[Nhãn] LOT IDA Global - I - 3621 - ĐL Hai Nhóm - Mancozeb xanh (bột xanh) - 1kg - 20</v>
      </c>
      <c r="E4426" s="87" t="str">
        <f>IFERROR(__xludf.DUMMYFUNCTION("""COMPUTED_VALUE"""),"MANCOBGO 80WP")</f>
        <v>MANCOBGO 80WP</v>
      </c>
      <c r="F4426" s="87" t="str">
        <f>IFERROR(__xludf.DUMMYFUNCTION("""COMPUTED_VALUE"""),"HH3621")</f>
        <v>HH3621</v>
      </c>
      <c r="G4426" s="87" t="str">
        <f>IFERROR(__xludf.DUMMYFUNCTION("""COMPUTED_VALUE"""),"LOT IDA Global - I - 3621 - ĐL Hai Nhóm - Mancozeb xanh (bột xanh) - 1kg - 20")</f>
        <v>LOT IDA Global - I - 3621 - ĐL Hai Nhóm - Mancozeb xanh (bột xanh) - 1kg - 20</v>
      </c>
    </row>
    <row r="4427">
      <c r="A4427" s="86">
        <f>IFERROR(__xludf.DUMMYFUNCTION("""COMPUTED_VALUE"""),4425.0)</f>
        <v>4425</v>
      </c>
      <c r="B4427" s="87" t="str">
        <f>IFERROR(__xludf.DUMMYFUNCTION("""COMPUTED_VALUE"""),"[Nhãn]")</f>
        <v>[Nhãn]</v>
      </c>
      <c r="C4427" s="87" t="str">
        <f>IFERROR(__xludf.DUMMYFUNCTION("""COMPUTED_VALUE"""),"NHG3622")</f>
        <v>NHG3622</v>
      </c>
      <c r="D4427" s="87" t="str">
        <f>IFERROR(__xludf.DUMMYFUNCTION("""COMPUTED_VALUE"""),"[Nhãn] IDA Global - I - 3622 - ĐL NGỌC TỶ - GOLD BIFEN (Nước trắng sữa) - 240ml - 40")</f>
        <v>[Nhãn] IDA Global - I - 3622 - ĐL NGỌC TỶ - GOLD BIFEN (Nước trắng sữa) - 240ml - 40</v>
      </c>
      <c r="E4427" s="87" t="str">
        <f>IFERROR(__xludf.DUMMYFUNCTION("""COMPUTED_VALUE"""),"VOTE 34.2SC")</f>
        <v>VOTE 34.2SC</v>
      </c>
      <c r="F4427" s="87" t="str">
        <f>IFERROR(__xludf.DUMMYFUNCTION("""COMPUTED_VALUE"""),"HH3622")</f>
        <v>HH3622</v>
      </c>
      <c r="G4427" s="87" t="str">
        <f>IFERROR(__xludf.DUMMYFUNCTION("""COMPUTED_VALUE"""),"IDA Global - I - 3622 - ĐL NGỌC TỶ - GOLD BIFEN (Nước trắng sữa) - 240ml - 40")</f>
        <v>IDA Global - I - 3622 - ĐL NGỌC TỶ - GOLD BIFEN (Nước trắng sữa) - 240ml - 40</v>
      </c>
    </row>
    <row r="4428">
      <c r="A4428" s="86">
        <f>IFERROR(__xludf.DUMMYFUNCTION("""COMPUTED_VALUE"""),4426.0)</f>
        <v>4426</v>
      </c>
      <c r="B4428" s="87" t="str">
        <f>IFERROR(__xludf.DUMMYFUNCTION("""COMPUTED_VALUE"""),"[Nhãn]")</f>
        <v>[Nhãn]</v>
      </c>
      <c r="C4428" s="87" t="str">
        <f>IFERROR(__xludf.DUMMYFUNCTION("""COMPUTED_VALUE"""),"NHG3623")</f>
        <v>NHG3623</v>
      </c>
      <c r="D4428" s="87" t="str">
        <f>IFERROR(__xludf.DUMMYFUNCTION("""COMPUTED_VALUE"""),"[Nhãn] GC - IV - 3623 - NEWTECH CROP SCIENCE - JAPA VIL 110SC (Nước trắng sữa) - 1L - 20")</f>
        <v>[Nhãn] GC - IV - 3623 - NEWTECH CROP SCIENCE - JAPA VIL 110SC (Nước trắng sữa) - 1L - 20</v>
      </c>
      <c r="E4428" s="87" t="str">
        <f>IFERROR(__xludf.DUMMYFUNCTION("""COMPUTED_VALUE"""),"JAPA VIL 110SC")</f>
        <v>JAPA VIL 110SC</v>
      </c>
      <c r="F4428" s="87" t="str">
        <f>IFERROR(__xludf.DUMMYFUNCTION("""COMPUTED_VALUE"""),"HH3623")</f>
        <v>HH3623</v>
      </c>
      <c r="G4428" s="87" t="str">
        <f>IFERROR(__xludf.DUMMYFUNCTION("""COMPUTED_VALUE"""),"GC - IV - 3623 - NEWTECH CROP SCIENCE - JAPA VIL 110SC (Nước trắng sữa) - 1L - 20")</f>
        <v>GC - IV - 3623 - NEWTECH CROP SCIENCE - JAPA VIL 110SC (Nước trắng sữa) - 1L - 20</v>
      </c>
    </row>
    <row r="4429">
      <c r="A4429" s="86">
        <f>IFERROR(__xludf.DUMMYFUNCTION("""COMPUTED_VALUE"""),4427.0)</f>
        <v>4427</v>
      </c>
      <c r="B4429" s="87" t="str">
        <f>IFERROR(__xludf.DUMMYFUNCTION("""COMPUTED_VALUE"""),"[Nhãn thùng]")</f>
        <v>[Nhãn thùng]</v>
      </c>
      <c r="C4429" s="87" t="str">
        <f>IFERROR(__xludf.DUMMYFUNCTION("""COMPUTED_VALUE"""),"NDT3623")</f>
        <v>NDT3623</v>
      </c>
      <c r="D4429" s="87" t="str">
        <f>IFERROR(__xludf.DUMMYFUNCTION("""COMPUTED_VALUE"""),"[Nhãn thùng] GC - IV - 3623 - NEWTECH CROP SCIENCE - JAPA VIL 110SC (Nước trắng sữa) - 1L - 20")</f>
        <v>[Nhãn thùng] GC - IV - 3623 - NEWTECH CROP SCIENCE - JAPA VIL 110SC (Nước trắng sữa) - 1L - 20</v>
      </c>
      <c r="E4429" s="87" t="str">
        <f>IFERROR(__xludf.DUMMYFUNCTION("""COMPUTED_VALUE"""),"JAPA VIL 110SC")</f>
        <v>JAPA VIL 110SC</v>
      </c>
      <c r="F4429" s="87" t="str">
        <f>IFERROR(__xludf.DUMMYFUNCTION("""COMPUTED_VALUE"""),"HH3623")</f>
        <v>HH3623</v>
      </c>
      <c r="G4429" s="87" t="str">
        <f>IFERROR(__xludf.DUMMYFUNCTION("""COMPUTED_VALUE"""),"GC - IV - 3623 - NEWTECH CROP SCIENCE - JAPA VIL 110SC (Nước trắng sữa) - 1L - 20")</f>
        <v>GC - IV - 3623 - NEWTECH CROP SCIENCE - JAPA VIL 110SC (Nước trắng sữa) - 1L - 20</v>
      </c>
    </row>
    <row r="4430">
      <c r="A4430" s="86">
        <f>IFERROR(__xludf.DUMMYFUNCTION("""COMPUTED_VALUE"""),4428.0)</f>
        <v>4428</v>
      </c>
      <c r="B4430" s="87" t="str">
        <f>IFERROR(__xludf.DUMMYFUNCTION("""COMPUTED_VALUE"""),"[Nhãn]")</f>
        <v>[Nhãn]</v>
      </c>
      <c r="C4430" s="87" t="str">
        <f>IFERROR(__xludf.DUMMYFUNCTION("""COMPUTED_VALUE"""),"NHG3624")</f>
        <v>NHG3624</v>
      </c>
      <c r="D4430" s="87" t="str">
        <f>IFERROR(__xludf.DUMMYFUNCTION("""COMPUTED_VALUE"""),"[Nhãn] GC - IV - 3624 - Cty Agritech (Anh Trương) - MITE KILLER (nước đỏ) - 240ml - 40")</f>
        <v>[Nhãn] GC - IV - 3624 - Cty Agritech (Anh Trương) - MITE KILLER (nước đỏ) - 240ml - 40</v>
      </c>
      <c r="E4430" s="87" t="str">
        <f>IFERROR(__xludf.DUMMYFUNCTION("""COMPUTED_VALUE"""),"CHIM ƯNG 3.8EC")</f>
        <v>CHIM ƯNG 3.8EC</v>
      </c>
      <c r="F4430" s="87" t="str">
        <f>IFERROR(__xludf.DUMMYFUNCTION("""COMPUTED_VALUE"""),"HH3624")</f>
        <v>HH3624</v>
      </c>
      <c r="G4430" s="87" t="str">
        <f>IFERROR(__xludf.DUMMYFUNCTION("""COMPUTED_VALUE"""),"GC - IV - 3624 - Cty Agritech (Anh Trương) - MITE KILLER (nước đỏ) - 240ml - 40")</f>
        <v>GC - IV - 3624 - Cty Agritech (Anh Trương) - MITE KILLER (nước đỏ) - 240ml - 40</v>
      </c>
    </row>
    <row r="4431">
      <c r="A4431" s="86">
        <f>IFERROR(__xludf.DUMMYFUNCTION("""COMPUTED_VALUE"""),4429.0)</f>
        <v>4429</v>
      </c>
      <c r="B4431" s="87" t="str">
        <f>IFERROR(__xludf.DUMMYFUNCTION("""COMPUTED_VALUE"""),"[Nhãn]")</f>
        <v>[Nhãn]</v>
      </c>
      <c r="C4431" s="87" t="str">
        <f>IFERROR(__xludf.DUMMYFUNCTION("""COMPUTED_VALUE"""),"NHG3625")</f>
        <v>NHG3625</v>
      </c>
      <c r="D4431" s="87" t="str">
        <f>IFERROR(__xludf.DUMMYFUNCTION("""COMPUTED_VALUE"""),"[Nhãn] IDA Global - I - 3625 - X-SPIDER (nước đỏ) - 240ml - 40")</f>
        <v>[Nhãn] IDA Global - I - 3625 - X-SPIDER (nước đỏ) - 240ml - 40</v>
      </c>
      <c r="E4431" s="87" t="str">
        <f>IFERROR(__xludf.DUMMYFUNCTION("""COMPUTED_VALUE"""),"CHIM ƯNG 3.8EC")</f>
        <v>CHIM ƯNG 3.8EC</v>
      </c>
      <c r="F4431" s="87" t="str">
        <f>IFERROR(__xludf.DUMMYFUNCTION("""COMPUTED_VALUE"""),"HH3625")</f>
        <v>HH3625</v>
      </c>
      <c r="G4431" s="87" t="str">
        <f>IFERROR(__xludf.DUMMYFUNCTION("""COMPUTED_VALUE"""),"IDA Global - I - 3625 - X-SPIDER (nước đỏ) - 240ml - 40")</f>
        <v>IDA Global - I - 3625 - X-SPIDER (nước đỏ) - 240ml - 40</v>
      </c>
    </row>
    <row r="4432">
      <c r="A4432" s="86">
        <f>IFERROR(__xludf.DUMMYFUNCTION("""COMPUTED_VALUE"""),4430.0)</f>
        <v>4430</v>
      </c>
      <c r="B4432" s="87" t="str">
        <f>IFERROR(__xludf.DUMMYFUNCTION("""COMPUTED_VALUE"""),"[Nhãn]")</f>
        <v>[Nhãn]</v>
      </c>
      <c r="C4432" s="87" t="str">
        <f>IFERROR(__xludf.DUMMYFUNCTION("""COMPUTED_VALUE"""),"NHG3631")</f>
        <v>NHG3631</v>
      </c>
      <c r="D4432" s="87" t="str">
        <f>IFERROR(__xludf.DUMMYFUNCTION("""COMPUTED_VALUE"""),"[Nhãn] BAMBOO - VI - 3631 - BAMBOO X3 (Nước xanh dương) - 100ml - 100")</f>
        <v>[Nhãn] BAMBOO - VI - 3631 - BAMBOO X3 (Nước xanh dương) - 100ml - 100</v>
      </c>
      <c r="E4432" s="87" t="str">
        <f>IFERROR(__xludf.DUMMYFUNCTION("""COMPUTED_VALUE"""),"Vi lượng Quantity New")</f>
        <v>Vi lượng Quantity New</v>
      </c>
      <c r="F4432" s="87" t="str">
        <f>IFERROR(__xludf.DUMMYFUNCTION("""COMPUTED_VALUE"""),"HH3631")</f>
        <v>HH3631</v>
      </c>
      <c r="G4432" s="87" t="str">
        <f>IFERROR(__xludf.DUMMYFUNCTION("""COMPUTED_VALUE"""),"BAMBOO - VI - 3631 - BAMBOO X3 (Nước xanh dương) - 100ml - 100")</f>
        <v>BAMBOO - VI - 3631 - BAMBOO X3 (Nước xanh dương) - 100ml - 100</v>
      </c>
    </row>
    <row r="4433">
      <c r="A4433" s="86">
        <f>IFERROR(__xludf.DUMMYFUNCTION("""COMPUTED_VALUE"""),4431.0)</f>
        <v>4431</v>
      </c>
      <c r="B4433" s="87" t="str">
        <f>IFERROR(__xludf.DUMMYFUNCTION("""COMPUTED_VALUE"""),"[Nhãn thùng]")</f>
        <v>[Nhãn thùng]</v>
      </c>
      <c r="C4433" s="87" t="str">
        <f>IFERROR(__xludf.DUMMYFUNCTION("""COMPUTED_VALUE"""),"NDT3632")</f>
        <v>NDT3632</v>
      </c>
      <c r="D4433" s="87" t="str">
        <f>IFERROR(__xludf.DUMMYFUNCTION("""COMPUTED_VALUE"""),"[Nhãn thùng] GC - II - 3632 - An Khang - Fullvix 15 (nước nâu đen) - 5L - 4")</f>
        <v>[Nhãn thùng] GC - II - 3632 - An Khang - Fullvix 15 (nước nâu đen) - 5L - 4</v>
      </c>
      <c r="E4433" s="87" t="str">
        <f>IFERROR(__xludf.DUMMYFUNCTION("""COMPUTED_VALUE"""),"Vi lượng Basel VA01")</f>
        <v>Vi lượng Basel VA01</v>
      </c>
      <c r="F4433" s="87" t="str">
        <f>IFERROR(__xludf.DUMMYFUNCTION("""COMPUTED_VALUE"""),"HH3632")</f>
        <v>HH3632</v>
      </c>
      <c r="G4433" s="87" t="str">
        <f>IFERROR(__xludf.DUMMYFUNCTION("""COMPUTED_VALUE"""),"GC - II - 3632 - An Khang - Fullvix 15 (nước nâu đen) - 5L - 4")</f>
        <v>GC - II - 3632 - An Khang - Fullvix 15 (nước nâu đen) - 5L - 4</v>
      </c>
    </row>
    <row r="4434">
      <c r="A4434" s="86">
        <f>IFERROR(__xludf.DUMMYFUNCTION("""COMPUTED_VALUE"""),4432.0)</f>
        <v>4432</v>
      </c>
      <c r="B4434" s="87" t="str">
        <f>IFERROR(__xludf.DUMMYFUNCTION("""COMPUTED_VALUE"""),"[Nhãn]")</f>
        <v>[Nhãn]</v>
      </c>
      <c r="C4434" s="87" t="str">
        <f>IFERROR(__xludf.DUMMYFUNCTION("""COMPUTED_VALUE"""),"NHG3633")</f>
        <v>NHG3633</v>
      </c>
      <c r="D4434" s="87" t="str">
        <f>IFERROR(__xludf.DUMMYFUNCTION("""COMPUTED_VALUE"""),"[Nhãn] GC - IV - 3633 - CTY NEWTEX - T9 VÔ GẠO (Nước nâu đen) - 500ml - 40")</f>
        <v>[Nhãn] GC - IV - 3633 - CTY NEWTEX - T9 VÔ GẠO (Nước nâu đen) - 500ml - 40</v>
      </c>
      <c r="E4434" s="87" t="str">
        <f>IFERROR(__xludf.DUMMYFUNCTION("""COMPUTED_VALUE"""),"Vi lượng AGAMA-SUPPORT")</f>
        <v>Vi lượng AGAMA-SUPPORT</v>
      </c>
      <c r="F4434" s="87" t="str">
        <f>IFERROR(__xludf.DUMMYFUNCTION("""COMPUTED_VALUE"""),"HH3633")</f>
        <v>HH3633</v>
      </c>
      <c r="G4434" s="87" t="str">
        <f>IFERROR(__xludf.DUMMYFUNCTION("""COMPUTED_VALUE"""),"GC - IV - 3633 - CTY NEWTEX - T9 VÔ GẠO (Nước nâu đen) - 500ml - 40")</f>
        <v>GC - IV - 3633 - CTY NEWTEX - T9 VÔ GẠO (Nước nâu đen) - 500ml - 40</v>
      </c>
    </row>
    <row r="4435">
      <c r="A4435" s="86">
        <f>IFERROR(__xludf.DUMMYFUNCTION("""COMPUTED_VALUE"""),4433.0)</f>
        <v>4433</v>
      </c>
      <c r="B4435" s="87" t="str">
        <f>IFERROR(__xludf.DUMMYFUNCTION("""COMPUTED_VALUE"""),"[Nhãn]")</f>
        <v>[Nhãn]</v>
      </c>
      <c r="C4435" s="87" t="str">
        <f>IFERROR(__xludf.DUMMYFUNCTION("""COMPUTED_VALUE"""),"NHG3634")</f>
        <v>NHG3634</v>
      </c>
      <c r="D4435" s="87" t="str">
        <f>IFERROR(__xludf.DUMMYFUNCTION("""COMPUTED_VALUE"""),"[Nhãn] GC - IV - 3634 - CTY NEWTEX - KẼM XANH (Nước xanh dương) - 500ml - 40")</f>
        <v>[Nhãn] GC - IV - 3634 - CTY NEWTEX - KẼM XANH (Nước xanh dương) - 500ml - 40</v>
      </c>
      <c r="E4435" s="87" t="str">
        <f>IFERROR(__xludf.DUMMYFUNCTION("""COMPUTED_VALUE"""),"Vi lượng MICKEY")</f>
        <v>Vi lượng MICKEY</v>
      </c>
      <c r="F4435" s="87" t="str">
        <f>IFERROR(__xludf.DUMMYFUNCTION("""COMPUTED_VALUE"""),"HH3634")</f>
        <v>HH3634</v>
      </c>
      <c r="G4435" s="87" t="str">
        <f>IFERROR(__xludf.DUMMYFUNCTION("""COMPUTED_VALUE"""),"GC - IV - 3634 - CTY NEWTEX - KẼM XANH (Nước xanh dương) - 500ml - 40")</f>
        <v>GC - IV - 3634 - CTY NEWTEX - KẼM XANH (Nước xanh dương) - 500ml - 40</v>
      </c>
    </row>
    <row r="4436">
      <c r="A4436" s="86">
        <f>IFERROR(__xludf.DUMMYFUNCTION("""COMPUTED_VALUE"""),4434.0)</f>
        <v>4434</v>
      </c>
      <c r="B4436" s="87" t="str">
        <f>IFERROR(__xludf.DUMMYFUNCTION("""COMPUTED_VALUE"""),"[Nhãn thùng]")</f>
        <v>[Nhãn thùng]</v>
      </c>
      <c r="C4436" s="87" t="str">
        <f>IFERROR(__xludf.DUMMYFUNCTION("""COMPUTED_VALUE"""),"NDT3635")</f>
        <v>NDT3635</v>
      </c>
      <c r="D4436" s="87" t="str">
        <f>IFERROR(__xludf.DUMMYFUNCTION("""COMPUTED_VALUE"""),"[Nhãn thùng] GC - IV - 3635 - CTY VNT MEKONG - MANCOBGO 80WP (Bột xanh) - 1kg - 20")</f>
        <v>[Nhãn thùng] GC - IV - 3635 - CTY VNT MEKONG - MANCOBGO 80WP (Bột xanh) - 1kg - 20</v>
      </c>
      <c r="E4436" s="87" t="str">
        <f>IFERROR(__xludf.DUMMYFUNCTION("""COMPUTED_VALUE"""),"MANCOBGO 80WP")</f>
        <v>MANCOBGO 80WP</v>
      </c>
      <c r="F4436" s="87" t="str">
        <f>IFERROR(__xludf.DUMMYFUNCTION("""COMPUTED_VALUE"""),"HH3635")</f>
        <v>HH3635</v>
      </c>
      <c r="G4436" s="87" t="str">
        <f>IFERROR(__xludf.DUMMYFUNCTION("""COMPUTED_VALUE"""),"GC - IV - 3635 - CTY VNT MEKONG - MANCOBGO 80WP (Bột xanh) - 1kg - 20")</f>
        <v>GC - IV - 3635 - CTY VNT MEKONG - MANCOBGO 80WP (Bột xanh) - 1kg - 20</v>
      </c>
    </row>
    <row r="4437">
      <c r="A4437" s="86">
        <f>IFERROR(__xludf.DUMMYFUNCTION("""COMPUTED_VALUE"""),4435.0)</f>
        <v>4435</v>
      </c>
      <c r="B4437" s="87" t="str">
        <f>IFERROR(__xludf.DUMMYFUNCTION("""COMPUTED_VALUE"""),"[Nhãn]")</f>
        <v>[Nhãn]</v>
      </c>
      <c r="C4437" s="87" t="str">
        <f>IFERROR(__xludf.DUMMYFUNCTION("""COMPUTED_VALUE"""),"NTN3635")</f>
        <v>NTN3635</v>
      </c>
      <c r="D4437" s="87" t="str">
        <f>IFERROR(__xludf.DUMMYFUNCTION("""COMPUTED_VALUE"""),"[Nhãn] GC - IV - 3635 - CTY VNT MEKONG - MANCOBGO 80WP (Bột xanh) - 1kg - 20")</f>
        <v>[Nhãn] GC - IV - 3635 - CTY VNT MEKONG - MANCOBGO 80WP (Bột xanh) - 1kg - 20</v>
      </c>
      <c r="E4437" s="87" t="str">
        <f>IFERROR(__xludf.DUMMYFUNCTION("""COMPUTED_VALUE"""),"MANCOBGO 80WP")</f>
        <v>MANCOBGO 80WP</v>
      </c>
      <c r="F4437" s="87" t="str">
        <f>IFERROR(__xludf.DUMMYFUNCTION("""COMPUTED_VALUE"""),"HH3635")</f>
        <v>HH3635</v>
      </c>
      <c r="G4437" s="87" t="str">
        <f>IFERROR(__xludf.DUMMYFUNCTION("""COMPUTED_VALUE"""),"GC - IV - 3635 - CTY VNT MEKONG - MANCOBGO 80WP (Bột xanh) - 1kg - 20")</f>
        <v>GC - IV - 3635 - CTY VNT MEKONG - MANCOBGO 80WP (Bột xanh) - 1kg - 20</v>
      </c>
    </row>
    <row r="4438">
      <c r="A4438" s="86">
        <f>IFERROR(__xludf.DUMMYFUNCTION("""COMPUTED_VALUE"""),4436.0)</f>
        <v>4436</v>
      </c>
      <c r="B4438" s="87" t="str">
        <f>IFERROR(__xludf.DUMMYFUNCTION("""COMPUTED_VALUE"""),"[Nhãn thùng]")</f>
        <v>[Nhãn thùng]</v>
      </c>
      <c r="C4438" s="87" t="str">
        <f>IFERROR(__xludf.DUMMYFUNCTION("""COMPUTED_VALUE"""),"NDT3636")</f>
        <v>NDT3636</v>
      </c>
      <c r="D4438" s="87" t="str">
        <f>IFERROR(__xludf.DUMMYFUNCTION("""COMPUTED_VALUE"""),"[Nhãn thùng] GC - IV - 3636 - Cty Hương Nông - HN-pH++ (Nước nâu đen) - 5L - 4")</f>
        <v>[Nhãn thùng] GC - IV - 3636 - Cty Hương Nông - HN-pH++ (Nước nâu đen) - 5L - 4</v>
      </c>
      <c r="E4438" s="87" t="str">
        <f>IFERROR(__xludf.DUMMYFUNCTION("""COMPUTED_VALUE"""),"Hữu cơ SH Agro Organic Fertilizer 20")</f>
        <v>Hữu cơ SH Agro Organic Fertilizer 20</v>
      </c>
      <c r="F4438" s="87" t="str">
        <f>IFERROR(__xludf.DUMMYFUNCTION("""COMPUTED_VALUE"""),"HH3636")</f>
        <v>HH3636</v>
      </c>
      <c r="G4438" s="87" t="str">
        <f>IFERROR(__xludf.DUMMYFUNCTION("""COMPUTED_VALUE"""),"GC - IV - 3636 - Cty Hương Nông - HN-pH++ (Nước nâu đen) - 5L - 4")</f>
        <v>GC - IV - 3636 - Cty Hương Nông - HN-pH++ (Nước nâu đen) - 5L - 4</v>
      </c>
    </row>
    <row r="4439">
      <c r="A4439" s="86">
        <f>IFERROR(__xludf.DUMMYFUNCTION("""COMPUTED_VALUE"""),4437.0)</f>
        <v>4437</v>
      </c>
      <c r="B4439" s="87" t="str">
        <f>IFERROR(__xludf.DUMMYFUNCTION("""COMPUTED_VALUE"""),"[Nhãn]")</f>
        <v>[Nhãn]</v>
      </c>
      <c r="C4439" s="87" t="str">
        <f>IFERROR(__xludf.DUMMYFUNCTION("""COMPUTED_VALUE"""),"NHD3636")</f>
        <v>NHD3636</v>
      </c>
      <c r="D4439" s="87" t="str">
        <f>IFERROR(__xludf.DUMMYFUNCTION("""COMPUTED_VALUE"""),"[Nhãn] GC - IV - 3636 - Cty Hương Nông - HN-pH++ (Nước nâu đen) - 5L - 4")</f>
        <v>[Nhãn] GC - IV - 3636 - Cty Hương Nông - HN-pH++ (Nước nâu đen) - 5L - 4</v>
      </c>
      <c r="E4439" s="87" t="str">
        <f>IFERROR(__xludf.DUMMYFUNCTION("""COMPUTED_VALUE"""),"Hữu cơ SH Agro Organic Fertilizer 20")</f>
        <v>Hữu cơ SH Agro Organic Fertilizer 20</v>
      </c>
      <c r="F4439" s="87" t="str">
        <f>IFERROR(__xludf.DUMMYFUNCTION("""COMPUTED_VALUE"""),"HH3636")</f>
        <v>HH3636</v>
      </c>
      <c r="G4439" s="87" t="str">
        <f>IFERROR(__xludf.DUMMYFUNCTION("""COMPUTED_VALUE"""),"GC - IV - 3636 - Cty Hương Nông - HN-pH++ (Nước nâu đen) - 5L - 4")</f>
        <v>GC - IV - 3636 - Cty Hương Nông - HN-pH++ (Nước nâu đen) - 5L - 4</v>
      </c>
    </row>
    <row r="4440">
      <c r="A4440" s="86">
        <f>IFERROR(__xludf.DUMMYFUNCTION("""COMPUTED_VALUE"""),4438.0)</f>
        <v>4438</v>
      </c>
      <c r="B4440" s="87" t="str">
        <f>IFERROR(__xludf.DUMMYFUNCTION("""COMPUTED_VALUE"""),"[Nhãn]")</f>
        <v>[Nhãn]</v>
      </c>
      <c r="C4440" s="87" t="str">
        <f>IFERROR(__xludf.DUMMYFUNCTION("""COMPUTED_VALUE"""),"NHG3637")</f>
        <v>NHG3637</v>
      </c>
      <c r="D4440" s="87" t="str">
        <f>IFERROR(__xludf.DUMMYFUNCTION("""COMPUTED_VALUE"""),"[Nhãn] GC - IV - 3637 - Hóa Nông Shino - CANXI BO ZN (Nước trắng sữa) - 500ml - 30")</f>
        <v>[Nhãn] GC - IV - 3637 - Hóa Nông Shino - CANXI BO ZN (Nước trắng sữa) - 500ml - 30</v>
      </c>
      <c r="E4440" s="87" t="str">
        <f>IFERROR(__xludf.DUMMYFUNCTION("""COMPUTED_VALUE"""),"Vi lượng AGAMA-CANXI BO")</f>
        <v>Vi lượng AGAMA-CANXI BO</v>
      </c>
      <c r="F4440" s="87" t="str">
        <f>IFERROR(__xludf.DUMMYFUNCTION("""COMPUTED_VALUE"""),"HH3637")</f>
        <v>HH3637</v>
      </c>
      <c r="G4440" s="87" t="str">
        <f>IFERROR(__xludf.DUMMYFUNCTION("""COMPUTED_VALUE"""),"GC - IV - 3637 - Cty Hóa Nông Shino - CANXI BO ZN (Nước trắng sữa) - 500ml - 30")</f>
        <v>GC - IV - 3637 - Cty Hóa Nông Shino - CANXI BO ZN (Nước trắng sữa) - 500ml - 30</v>
      </c>
    </row>
    <row r="4441">
      <c r="A4441" s="86">
        <f>IFERROR(__xludf.DUMMYFUNCTION("""COMPUTED_VALUE"""),4439.0)</f>
        <v>4439</v>
      </c>
      <c r="B4441" s="87" t="str">
        <f>IFERROR(__xludf.DUMMYFUNCTION("""COMPUTED_VALUE"""),"[Nhãn]")</f>
        <v>[Nhãn]</v>
      </c>
      <c r="C4441" s="87" t="str">
        <f>IFERROR(__xludf.DUMMYFUNCTION("""COMPUTED_VALUE"""),"NHD3638")</f>
        <v>NHD3638</v>
      </c>
      <c r="D4441" s="87" t="str">
        <f>IFERROR(__xludf.DUMMYFUNCTION("""COMPUTED_VALUE"""),"[Nhãn] IDA Global - I - 3638 - ĐL PHÚC NÔNG - CÚ MÈO (Nước đỏ) - 450ml - 40")</f>
        <v>[Nhãn] IDA Global - I - 3638 - ĐL PHÚC NÔNG - CÚ MÈO (Nước đỏ) - 450ml - 40</v>
      </c>
      <c r="E4441" s="87" t="str">
        <f>IFERROR(__xludf.DUMMYFUNCTION("""COMPUTED_VALUE"""),"Creek 2.1EC")</f>
        <v>Creek 2.1EC</v>
      </c>
      <c r="F4441" s="87" t="str">
        <f>IFERROR(__xludf.DUMMYFUNCTION("""COMPUTED_VALUE"""),"HH3638")</f>
        <v>HH3638</v>
      </c>
      <c r="G4441" s="87" t="str">
        <f>IFERROR(__xludf.DUMMYFUNCTION("""COMPUTED_VALUE"""),"IDA Global - I - 3638 - ĐL PHÚC NÔNG - CÚ MÈO (Nước đỏ) - 450ml - 40")</f>
        <v>IDA Global - I - 3638 - ĐL PHÚC NÔNG - CÚ MÈO (Nước đỏ) - 450ml - 40</v>
      </c>
    </row>
    <row r="4442">
      <c r="A4442" s="86">
        <f>IFERROR(__xludf.DUMMYFUNCTION("""COMPUTED_VALUE"""),4440.0)</f>
        <v>4440</v>
      </c>
      <c r="B4442" s="87" t="str">
        <f>IFERROR(__xludf.DUMMYFUNCTION("""COMPUTED_VALUE"""),"[Nhãn thùng]")</f>
        <v>[Nhãn thùng]</v>
      </c>
      <c r="C4442" s="87" t="str">
        <f>IFERROR(__xludf.DUMMYFUNCTION("""COMPUTED_VALUE"""),"NDT3638")</f>
        <v>NDT3638</v>
      </c>
      <c r="D4442" s="87" t="str">
        <f>IFERROR(__xludf.DUMMYFUNCTION("""COMPUTED_VALUE"""),"[Nhãn thùng] IDA Global - I - 3638 - ĐL PHÚC NÔNG - CÚ MÈO (Nước đỏ) - 450ml - 40")</f>
        <v>[Nhãn thùng] IDA Global - I - 3638 - ĐL PHÚC NÔNG - CÚ MÈO (Nước đỏ) - 450ml - 40</v>
      </c>
      <c r="E4442" s="87" t="str">
        <f>IFERROR(__xludf.DUMMYFUNCTION("""COMPUTED_VALUE"""),"Creek 2.1EC")</f>
        <v>Creek 2.1EC</v>
      </c>
      <c r="F4442" s="87" t="str">
        <f>IFERROR(__xludf.DUMMYFUNCTION("""COMPUTED_VALUE"""),"HH3638")</f>
        <v>HH3638</v>
      </c>
      <c r="G4442" s="87" t="str">
        <f>IFERROR(__xludf.DUMMYFUNCTION("""COMPUTED_VALUE"""),"IDA Global - I - 3638 - ĐL PHÚC NÔNG - CÚ MÈO (Nước đỏ) - 450ml - 40")</f>
        <v>IDA Global - I - 3638 - ĐL PHÚC NÔNG - CÚ MÈO (Nước đỏ) - 450ml - 40</v>
      </c>
    </row>
    <row r="4443">
      <c r="A4443" s="86">
        <f>IFERROR(__xludf.DUMMYFUNCTION("""COMPUTED_VALUE"""),4441.0)</f>
        <v>4441</v>
      </c>
      <c r="B4443" s="87" t="str">
        <f>IFERROR(__xludf.DUMMYFUNCTION("""COMPUTED_VALUE"""),"[Nhãn thùng]")</f>
        <v>[Nhãn thùng]</v>
      </c>
      <c r="C4443" s="87" t="str">
        <f>IFERROR(__xludf.DUMMYFUNCTION("""COMPUTED_VALUE"""),"NDT3639")</f>
        <v>NDT3639</v>
      </c>
      <c r="D4443" s="87" t="str">
        <f>IFERROR(__xludf.DUMMYFUNCTION("""COMPUTED_VALUE"""),"[Nhãn thùng] GC - IV - 3639 - Cty GNH (A.Thời) - Manco Green (Bột xanh) - 1kg - 20")</f>
        <v>[Nhãn thùng] GC - IV - 3639 - Cty GNH (A.Thời) - Manco Green (Bột xanh) - 1kg - 20</v>
      </c>
      <c r="E4443" s="87" t="str">
        <f>IFERROR(__xludf.DUMMYFUNCTION("""COMPUTED_VALUE"""),"MANCOBGO 80WP")</f>
        <v>MANCOBGO 80WP</v>
      </c>
      <c r="F4443" s="87" t="str">
        <f>IFERROR(__xludf.DUMMYFUNCTION("""COMPUTED_VALUE"""),"HH3639")</f>
        <v>HH3639</v>
      </c>
      <c r="G4443" s="87" t="str">
        <f>IFERROR(__xludf.DUMMYFUNCTION("""COMPUTED_VALUE"""),"GC - IV - 3639 - Cty GNH (A.Thời) - Manco Green (Bột xanh) - 1kg - 20")</f>
        <v>GC - IV - 3639 - Cty GNH (A.Thời) - Manco Green (Bột xanh) - 1kg - 20</v>
      </c>
    </row>
    <row r="4444">
      <c r="A4444" s="86">
        <f>IFERROR(__xludf.DUMMYFUNCTION("""COMPUTED_VALUE"""),4442.0)</f>
        <v>4442</v>
      </c>
      <c r="B4444" s="87" t="str">
        <f>IFERROR(__xludf.DUMMYFUNCTION("""COMPUTED_VALUE"""),"[Nhãn]")</f>
        <v>[Nhãn]</v>
      </c>
      <c r="C4444" s="87" t="str">
        <f>IFERROR(__xludf.DUMMYFUNCTION("""COMPUTED_VALUE"""),"NTN3639")</f>
        <v>NTN3639</v>
      </c>
      <c r="D4444" s="87" t="str">
        <f>IFERROR(__xludf.DUMMYFUNCTION("""COMPUTED_VALUE"""),"[Nhãn] GC - IV - 3639 - Cty GNH (A.Thời) - Manco Green (Bột xanh) - 1kg - 20")</f>
        <v>[Nhãn] GC - IV - 3639 - Cty GNH (A.Thời) - Manco Green (Bột xanh) - 1kg - 20</v>
      </c>
      <c r="E4444" s="87" t="str">
        <f>IFERROR(__xludf.DUMMYFUNCTION("""COMPUTED_VALUE"""),"MANCOBGO 80WP")</f>
        <v>MANCOBGO 80WP</v>
      </c>
      <c r="F4444" s="87" t="str">
        <f>IFERROR(__xludf.DUMMYFUNCTION("""COMPUTED_VALUE"""),"HH3639")</f>
        <v>HH3639</v>
      </c>
      <c r="G4444" s="87" t="str">
        <f>IFERROR(__xludf.DUMMYFUNCTION("""COMPUTED_VALUE"""),"GC - IV - 3639 - Cty GNH (A.Thời) - Manco Green (Bột xanh) - 1kg - 20")</f>
        <v>GC - IV - 3639 - Cty GNH (A.Thời) - Manco Green (Bột xanh) - 1kg - 20</v>
      </c>
    </row>
    <row r="4445">
      <c r="A4445" s="86">
        <f>IFERROR(__xludf.DUMMYFUNCTION("""COMPUTED_VALUE"""),4443.0)</f>
        <v>4443</v>
      </c>
      <c r="B4445" s="87" t="str">
        <f>IFERROR(__xludf.DUMMYFUNCTION("""COMPUTED_VALUE"""),"[Nhãn]")</f>
        <v>[Nhãn]</v>
      </c>
      <c r="C4445" s="87" t="str">
        <f>IFERROR(__xludf.DUMMYFUNCTION("""COMPUTED_VALUE"""),"NHD3639")</f>
        <v>NHD3639</v>
      </c>
      <c r="D4445" s="87" t="str">
        <f>IFERROR(__xludf.DUMMYFUNCTION("""COMPUTED_VALUE"""),"[Nhãn] GC - IV - 3639 - Cty GNH (A.Thời) - Manco Green (Bột xanh) - 1kg - 20")</f>
        <v>[Nhãn] GC - IV - 3639 - Cty GNH (A.Thời) - Manco Green (Bột xanh) - 1kg - 20</v>
      </c>
      <c r="E4445" s="87" t="str">
        <f>IFERROR(__xludf.DUMMYFUNCTION("""COMPUTED_VALUE"""),"MANCOBGO 80WP")</f>
        <v>MANCOBGO 80WP</v>
      </c>
      <c r="F4445" s="87" t="str">
        <f>IFERROR(__xludf.DUMMYFUNCTION("""COMPUTED_VALUE"""),"HH3639")</f>
        <v>HH3639</v>
      </c>
      <c r="G4445" s="87" t="str">
        <f>IFERROR(__xludf.DUMMYFUNCTION("""COMPUTED_VALUE"""),"GC - IV - 3639 - Cty GNH (A.Thời) - Manco Green (Bột xanh) - 1kg - 20")</f>
        <v>GC - IV - 3639 - Cty GNH (A.Thời) - Manco Green (Bột xanh) - 1kg - 20</v>
      </c>
    </row>
    <row r="4446">
      <c r="A4446" s="86">
        <f>IFERROR(__xludf.DUMMYFUNCTION("""COMPUTED_VALUE"""),4444.0)</f>
        <v>4444</v>
      </c>
      <c r="B4446" s="87" t="str">
        <f>IFERROR(__xludf.DUMMYFUNCTION("""COMPUTED_VALUE"""),"[Nhãn thùng]")</f>
        <v>[Nhãn thùng]</v>
      </c>
      <c r="C4446" s="87" t="str">
        <f>IFERROR(__xludf.DUMMYFUNCTION("""COMPUTED_VALUE"""),"NDT3640")</f>
        <v>NDT3640</v>
      </c>
      <c r="D4446" s="87" t="str">
        <f>IFERROR(__xludf.DUMMYFUNCTION("""COMPUTED_VALUE"""),"[Nhãn thùng] GC - IV - 3640 - Cty Kim Ngọc - Mancozeb Xanh (Bột xanh) - 1kg - 20")</f>
        <v>[Nhãn thùng] GC - IV - 3640 - Cty Kim Ngọc - Mancozeb Xanh (Bột xanh) - 1kg - 20</v>
      </c>
      <c r="E4446" s="87" t="str">
        <f>IFERROR(__xludf.DUMMYFUNCTION("""COMPUTED_VALUE"""),"MANCOBGO 80WP")</f>
        <v>MANCOBGO 80WP</v>
      </c>
      <c r="F4446" s="87" t="str">
        <f>IFERROR(__xludf.DUMMYFUNCTION("""COMPUTED_VALUE"""),"HH3640")</f>
        <v>HH3640</v>
      </c>
      <c r="G4446" s="87" t="str">
        <f>IFERROR(__xludf.DUMMYFUNCTION("""COMPUTED_VALUE"""),"GC - IV - 3640 - Cty Kim Ngọc - Mancozeb Xanh (Bột xanh) - 1kg - 20")</f>
        <v>GC - IV - 3640 - Cty Kim Ngọc - Mancozeb Xanh (Bột xanh) - 1kg - 20</v>
      </c>
    </row>
    <row r="4447">
      <c r="A4447" s="86">
        <f>IFERROR(__xludf.DUMMYFUNCTION("""COMPUTED_VALUE"""),4445.0)</f>
        <v>4445</v>
      </c>
      <c r="B4447" s="87" t="str">
        <f>IFERROR(__xludf.DUMMYFUNCTION("""COMPUTED_VALUE"""),"[Nhãn]")</f>
        <v>[Nhãn]</v>
      </c>
      <c r="C4447" s="87" t="str">
        <f>IFERROR(__xludf.DUMMYFUNCTION("""COMPUTED_VALUE"""),"NTN3640")</f>
        <v>NTN3640</v>
      </c>
      <c r="D4447" s="87" t="str">
        <f>IFERROR(__xludf.DUMMYFUNCTION("""COMPUTED_VALUE"""),"[Nhãn] GC - IV - 3640 - Cty Kim Ngọc - Mancozeb Xanh (Bột xanh) - 1kg - 20")</f>
        <v>[Nhãn] GC - IV - 3640 - Cty Kim Ngọc - Mancozeb Xanh (Bột xanh) - 1kg - 20</v>
      </c>
      <c r="E4447" s="87" t="str">
        <f>IFERROR(__xludf.DUMMYFUNCTION("""COMPUTED_VALUE"""),"MANCOBGO 80WP")</f>
        <v>MANCOBGO 80WP</v>
      </c>
      <c r="F4447" s="87" t="str">
        <f>IFERROR(__xludf.DUMMYFUNCTION("""COMPUTED_VALUE"""),"HH3640")</f>
        <v>HH3640</v>
      </c>
      <c r="G4447" s="87" t="str">
        <f>IFERROR(__xludf.DUMMYFUNCTION("""COMPUTED_VALUE"""),"GC - IV - 3640 - Cty Kim Ngọc - Mancozeb Xanh (Bột xanh) - 1kg - 20")</f>
        <v>GC - IV - 3640 - Cty Kim Ngọc - Mancozeb Xanh (Bột xanh) - 1kg - 20</v>
      </c>
    </row>
    <row r="4448">
      <c r="A4448" s="86">
        <f>IFERROR(__xludf.DUMMYFUNCTION("""COMPUTED_VALUE"""),4446.0)</f>
        <v>4446</v>
      </c>
      <c r="B4448" s="87" t="str">
        <f>IFERROR(__xludf.DUMMYFUNCTION("""COMPUTED_VALUE"""),"[Nhãn]")</f>
        <v>[Nhãn]</v>
      </c>
      <c r="C4448" s="87" t="str">
        <f>IFERROR(__xludf.DUMMYFUNCTION("""COMPUTED_VALUE"""),"NHD3640")</f>
        <v>NHD3640</v>
      </c>
      <c r="D4448" s="87" t="str">
        <f>IFERROR(__xludf.DUMMYFUNCTION("""COMPUTED_VALUE"""),"[Nhãn] GC - IV - 3640 - Cty Kim Ngọc - Mancozeb Xanh (Bột xanh) - 1kg - 20")</f>
        <v>[Nhãn] GC - IV - 3640 - Cty Kim Ngọc - Mancozeb Xanh (Bột xanh) - 1kg - 20</v>
      </c>
      <c r="E4448" s="87" t="str">
        <f>IFERROR(__xludf.DUMMYFUNCTION("""COMPUTED_VALUE"""),"MANCOBGO 80WP")</f>
        <v>MANCOBGO 80WP</v>
      </c>
      <c r="F4448" s="87" t="str">
        <f>IFERROR(__xludf.DUMMYFUNCTION("""COMPUTED_VALUE"""),"HH3640")</f>
        <v>HH3640</v>
      </c>
      <c r="G4448" s="87" t="str">
        <f>IFERROR(__xludf.DUMMYFUNCTION("""COMPUTED_VALUE"""),"GC - IV - 3640 - Cty Kim Ngọc - Mancozeb Xanh (Bột xanh) - 1kg - 20")</f>
        <v>GC - IV - 3640 - Cty Kim Ngọc - Mancozeb Xanh (Bột xanh) - 1kg - 20</v>
      </c>
    </row>
    <row r="4449">
      <c r="A4449" s="86">
        <f>IFERROR(__xludf.DUMMYFUNCTION("""COMPUTED_VALUE"""),4447.0)</f>
        <v>4447</v>
      </c>
      <c r="B4449" s="87" t="str">
        <f>IFERROR(__xludf.DUMMYFUNCTION("""COMPUTED_VALUE"""),"[Nhãn]")</f>
        <v>[Nhãn]</v>
      </c>
      <c r="C4449" s="87" t="str">
        <f>IFERROR(__xludf.DUMMYFUNCTION("""COMPUTED_VALUE"""),"NHD3641")</f>
        <v>NHD3641</v>
      </c>
      <c r="D4449" s="87" t="str">
        <f>IFERROR(__xludf.DUMMYFUNCTION("""COMPUTED_VALUE"""),"[Nhãn] GC - IV - 3641 - CTY QUANG ĐĂNG AGRICULTURE - PROTEIN QĐ PLUS (Nước nâu đen) - 500ml - 40")</f>
        <v>[Nhãn] GC - IV - 3641 - CTY QUANG ĐĂNG AGRICULTURE - PROTEIN QĐ PLUS (Nước nâu đen) - 500ml - 40</v>
      </c>
      <c r="E4449" s="87" t="str">
        <f>IFERROR(__xludf.DUMMYFUNCTION("""COMPUTED_VALUE"""),"Hỗn Hợp NP AGAMA-AP")</f>
        <v>Hỗn Hợp NP AGAMA-AP</v>
      </c>
      <c r="F4449" s="87" t="str">
        <f>IFERROR(__xludf.DUMMYFUNCTION("""COMPUTED_VALUE"""),"HH3641")</f>
        <v>HH3641</v>
      </c>
      <c r="G4449" s="87" t="str">
        <f>IFERROR(__xludf.DUMMYFUNCTION("""COMPUTED_VALUE"""),"GC - IV - 3641 - Cty Quang Đăng Agriculture - PROTEIN QĐ PLUS (Nước nâu đen) - 500ml - 40")</f>
        <v>GC - IV - 3641 - Cty Quang Đăng Agriculture - PROTEIN QĐ PLUS (Nước nâu đen) - 500ml - 40</v>
      </c>
    </row>
    <row r="4450">
      <c r="A4450" s="86">
        <f>IFERROR(__xludf.DUMMYFUNCTION("""COMPUTED_VALUE"""),4448.0)</f>
        <v>4448</v>
      </c>
      <c r="B4450" s="87" t="str">
        <f>IFERROR(__xludf.DUMMYFUNCTION("""COMPUTED_VALUE"""),"[Nhãn thùng]")</f>
        <v>[Nhãn thùng]</v>
      </c>
      <c r="C4450" s="87" t="str">
        <f>IFERROR(__xludf.DUMMYFUNCTION("""COMPUTED_VALUE"""),"NDT3641")</f>
        <v>NDT3641</v>
      </c>
      <c r="D4450" s="87" t="str">
        <f>IFERROR(__xludf.DUMMYFUNCTION("""COMPUTED_VALUE"""),"[Nhãn thùng] GC - IV - 3641 - Cty Quang Đăng Agriculture - PROTEIN QĐ PLUS (Nước nâu đen) - 500ml - 40")</f>
        <v>[Nhãn thùng] GC - IV - 3641 - Cty Quang Đăng Agriculture - PROTEIN QĐ PLUS (Nước nâu đen) - 500ml - 40</v>
      </c>
      <c r="E4450" s="87" t="str">
        <f>IFERROR(__xludf.DUMMYFUNCTION("""COMPUTED_VALUE"""),"Hỗn Hợp NP AGAMA-AP")</f>
        <v>Hỗn Hợp NP AGAMA-AP</v>
      </c>
      <c r="F4450" s="87" t="str">
        <f>IFERROR(__xludf.DUMMYFUNCTION("""COMPUTED_VALUE"""),"HH3641")</f>
        <v>HH3641</v>
      </c>
      <c r="G4450" s="87" t="str">
        <f>IFERROR(__xludf.DUMMYFUNCTION("""COMPUTED_VALUE"""),"GC - IV - 3641 - Cty Quang Đăng Agriculture - PROTEIN QĐ PLUS (Nước nâu đen) - 500ml - 40")</f>
        <v>GC - IV - 3641 - Cty Quang Đăng Agriculture - PROTEIN QĐ PLUS (Nước nâu đen) - 500ml - 40</v>
      </c>
    </row>
    <row r="4451">
      <c r="A4451" s="86">
        <f>IFERROR(__xludf.DUMMYFUNCTION("""COMPUTED_VALUE"""),4449.0)</f>
        <v>4449</v>
      </c>
      <c r="B4451" s="87" t="str">
        <f>IFERROR(__xludf.DUMMYFUNCTION("""COMPUTED_VALUE"""),"[Nhãn]")</f>
        <v>[Nhãn]</v>
      </c>
      <c r="C4451" s="87" t="str">
        <f>IFERROR(__xludf.DUMMYFUNCTION("""COMPUTED_VALUE"""),"NHG3642")</f>
        <v>NHG3642</v>
      </c>
      <c r="D4451" s="87" t="str">
        <f>IFERROR(__xludf.DUMMYFUNCTION("""COMPUTED_VALUE"""),"[Nhãn] GC - IV - 3642 - CTY ASAHI NHẬT BẢN - KÍCH PHÁT TỐ HOA TRÁI (Gel xanh lá) - 500ml - 40")</f>
        <v>[Nhãn] GC - IV - 3642 - CTY ASAHI NHẬT BẢN - KÍCH PHÁT TỐ HOA TRÁI (Gel xanh lá) - 500ml - 40</v>
      </c>
      <c r="E4451" s="87" t="str">
        <f>IFERROR(__xludf.DUMMYFUNCTION("""COMPUTED_VALUE"""),"Vi lượng AGAMA-SUPPORT")</f>
        <v>Vi lượng AGAMA-SUPPORT</v>
      </c>
      <c r="F4451" s="87" t="str">
        <f>IFERROR(__xludf.DUMMYFUNCTION("""COMPUTED_VALUE"""),"HH3642")</f>
        <v>HH3642</v>
      </c>
      <c r="G4451" s="87" t="str">
        <f>IFERROR(__xludf.DUMMYFUNCTION("""COMPUTED_VALUE"""),"GC - IV - 3642 - CTY ASAHI NHẬT BẢN - KÍCH PHÁT TỐ HOA TRÁI (Gel xanh lá) - 500ml - 40")</f>
        <v>GC - IV - 3642 - CTY ASAHI NHẬT BẢN - KÍCH PHÁT TỐ HOA TRÁI (Gel xanh lá) - 500ml - 40</v>
      </c>
    </row>
    <row r="4452">
      <c r="A4452" s="86">
        <f>IFERROR(__xludf.DUMMYFUNCTION("""COMPUTED_VALUE"""),4450.0)</f>
        <v>4450</v>
      </c>
      <c r="B4452" s="87" t="str">
        <f>IFERROR(__xludf.DUMMYFUNCTION("""COMPUTED_VALUE"""),"[Nhãn]")</f>
        <v>[Nhãn]</v>
      </c>
      <c r="C4452" s="87" t="str">
        <f>IFERROR(__xludf.DUMMYFUNCTION("""COMPUTED_VALUE"""),"NHG3643")</f>
        <v>NHG3643</v>
      </c>
      <c r="D4452" s="87" t="str">
        <f>IFERROR(__xludf.DUMMYFUNCTION("""COMPUTED_VALUE"""),"[Nhãn] GC - IV - 3643 - CTY ASAHI NHẬT BẢN - ORGANO KABOLI (Gel vàng cam) - 500ml - 40")</f>
        <v>[Nhãn] GC - IV - 3643 - CTY ASAHI NHẬT BẢN - ORGANO KABOLI (Gel vàng cam) - 500ml - 40</v>
      </c>
      <c r="E4452" s="87" t="str">
        <f>IFERROR(__xludf.DUMMYFUNCTION("""COMPUTED_VALUE"""),"Vi lượng Run Fast")</f>
        <v>Vi lượng Run Fast</v>
      </c>
      <c r="F4452" s="87" t="str">
        <f>IFERROR(__xludf.DUMMYFUNCTION("""COMPUTED_VALUE"""),"HH3643")</f>
        <v>HH3643</v>
      </c>
      <c r="G4452" s="87" t="str">
        <f>IFERROR(__xludf.DUMMYFUNCTION("""COMPUTED_VALUE"""),"GC - IV - 3643 - CTY ASAHI NHẬT BẢN - ORGANO KABOLI (Gel vàng cam) - 500ml - 40")</f>
        <v>GC - IV - 3643 - CTY ASAHI NHẬT BẢN - ORGANO KABOLI (Gel vàng cam) - 500ml - 40</v>
      </c>
    </row>
    <row r="4453">
      <c r="A4453" s="86">
        <f>IFERROR(__xludf.DUMMYFUNCTION("""COMPUTED_VALUE"""),4451.0)</f>
        <v>4451</v>
      </c>
      <c r="B4453" s="87" t="str">
        <f>IFERROR(__xludf.DUMMYFUNCTION("""COMPUTED_VALUE"""),"[Nhãn]")</f>
        <v>[Nhãn]</v>
      </c>
      <c r="C4453" s="87" t="str">
        <f>IFERROR(__xludf.DUMMYFUNCTION("""COMPUTED_VALUE"""),"NHG3644")</f>
        <v>NHG3644</v>
      </c>
      <c r="D4453" s="87" t="str">
        <f>IFERROR(__xludf.DUMMYFUNCTION("""COMPUTED_VALUE"""),"[Nhãn] GC - IV - 3644 - CTY ASAHI NHẬT BẢN - ORGANO ZINC-PHOX (Gel xanh lá) - 500ml - 40")</f>
        <v>[Nhãn] GC - IV - 3644 - CTY ASAHI NHẬT BẢN - ORGANO ZINC-PHOX (Gel xanh lá) - 500ml - 40</v>
      </c>
      <c r="E4453" s="87" t="str">
        <f>IFERROR(__xludf.DUMMYFUNCTION("""COMPUTED_VALUE"""),"Vi lượng AGAMA-SUPPORT")</f>
        <v>Vi lượng AGAMA-SUPPORT</v>
      </c>
      <c r="F4453" s="87" t="str">
        <f>IFERROR(__xludf.DUMMYFUNCTION("""COMPUTED_VALUE"""),"HH3644")</f>
        <v>HH3644</v>
      </c>
      <c r="G4453" s="87" t="str">
        <f>IFERROR(__xludf.DUMMYFUNCTION("""COMPUTED_VALUE"""),"GC - IV - 3644 - CTY ASAHI NHẬT BẢN - ORGANO ZINC-PHOX (Gel xanh lá) - 500ml - 40")</f>
        <v>GC - IV - 3644 - CTY ASAHI NHẬT BẢN - ORGANO ZINC-PHOX (Gel xanh lá) - 500ml - 40</v>
      </c>
    </row>
    <row r="4454">
      <c r="A4454" s="86">
        <f>IFERROR(__xludf.DUMMYFUNCTION("""COMPUTED_VALUE"""),4452.0)</f>
        <v>4452</v>
      </c>
      <c r="B4454" s="87" t="str">
        <f>IFERROR(__xludf.DUMMYFUNCTION("""COMPUTED_VALUE"""),"[Nhãn]")</f>
        <v>[Nhãn]</v>
      </c>
      <c r="C4454" s="87" t="str">
        <f>IFERROR(__xludf.DUMMYFUNCTION("""COMPUTED_VALUE"""),"NHG3645")</f>
        <v>NHG3645</v>
      </c>
      <c r="D4454" s="87" t="str">
        <f>IFERROR(__xludf.DUMMYFUNCTION("""COMPUTED_VALUE"""),"[Nhãn] GC - IV - 3645 - CTY ASAHI NHẬT BẢN - ROOTS SIÊU KÍCH RỄ (Gel nâu đen) - 500ml - 40")</f>
        <v>[Nhãn] GC - IV - 3645 - CTY ASAHI NHẬT BẢN - ROOTS SIÊU KÍCH RỄ (Gel nâu đen) - 500ml - 40</v>
      </c>
      <c r="E4454" s="87" t="str">
        <f>IFERROR(__xludf.DUMMYFUNCTION("""COMPUTED_VALUE"""),"Vi lượng Quantity New")</f>
        <v>Vi lượng Quantity New</v>
      </c>
      <c r="F4454" s="87" t="str">
        <f>IFERROR(__xludf.DUMMYFUNCTION("""COMPUTED_VALUE"""),"HH3645")</f>
        <v>HH3645</v>
      </c>
      <c r="G4454" s="87" t="str">
        <f>IFERROR(__xludf.DUMMYFUNCTION("""COMPUTED_VALUE"""),"GC - IV - 3645 - CTY ASAHI NHẬT BẢN - ROOTS SIÊU KÍCH RỄ (Gel nâu đen) - 500ml - 40")</f>
        <v>GC - IV - 3645 - CTY ASAHI NHẬT BẢN - ROOTS SIÊU KÍCH RỄ (Gel nâu đen) - 500ml - 40</v>
      </c>
    </row>
    <row r="4455">
      <c r="A4455" s="86">
        <f>IFERROR(__xludf.DUMMYFUNCTION("""COMPUTED_VALUE"""),4453.0)</f>
        <v>4453</v>
      </c>
      <c r="B4455" s="87" t="str">
        <f>IFERROR(__xludf.DUMMYFUNCTION("""COMPUTED_VALUE"""),"[Nhãn]")</f>
        <v>[Nhãn]</v>
      </c>
      <c r="C4455" s="87" t="str">
        <f>IFERROR(__xludf.DUMMYFUNCTION("""COMPUTED_VALUE"""),"NHG3646")</f>
        <v>NHG3646</v>
      </c>
      <c r="D4455" s="87" t="str">
        <f>IFERROR(__xludf.DUMMYFUNCTION("""COMPUTED_VALUE"""),"[Nhãn] GC - IV - 3646 - CTY ASAHI NHẬT BẢN - ORGANO BORON (Gel vàng cam) - 500ml - 40")</f>
        <v>[Nhãn] GC - IV - 3646 - CTY ASAHI NHẬT BẢN - ORGANO BORON (Gel vàng cam) - 500ml - 40</v>
      </c>
      <c r="E4455" s="87" t="str">
        <f>IFERROR(__xludf.DUMMYFUNCTION("""COMPUTED_VALUE"""),"Vi lượng Run Fast")</f>
        <v>Vi lượng Run Fast</v>
      </c>
      <c r="F4455" s="87" t="str">
        <f>IFERROR(__xludf.DUMMYFUNCTION("""COMPUTED_VALUE"""),"HH3646")</f>
        <v>HH3646</v>
      </c>
      <c r="G4455" s="87" t="str">
        <f>IFERROR(__xludf.DUMMYFUNCTION("""COMPUTED_VALUE"""),"GC - IV - 3646 - CTY ASAHI NHẬT BẢN - ORGANO BORON (Gel vàng cam) - 500ml - 40")</f>
        <v>GC - IV - 3646 - CTY ASAHI NHẬT BẢN - ORGANO BORON (Gel vàng cam) - 500ml - 40</v>
      </c>
    </row>
    <row r="4456">
      <c r="A4456" s="86">
        <f>IFERROR(__xludf.DUMMYFUNCTION("""COMPUTED_VALUE"""),4454.0)</f>
        <v>4454</v>
      </c>
      <c r="B4456" s="87" t="str">
        <f>IFERROR(__xludf.DUMMYFUNCTION("""COMPUTED_VALUE"""),"[Nhãn]")</f>
        <v>[Nhãn]</v>
      </c>
      <c r="C4456" s="87" t="str">
        <f>IFERROR(__xludf.DUMMYFUNCTION("""COMPUTED_VALUE"""),"NHG3647")</f>
        <v>NHG3647</v>
      </c>
      <c r="D4456" s="87" t="str">
        <f>IFERROR(__xludf.DUMMYFUNCTION("""COMPUTED_VALUE"""),"[Nhãn] GC - IV - 3647 - CTY ASAHI NHẬT BẢN - AMIN RONBIN (Gel nâu đen) - 500ml - 40")</f>
        <v>[Nhãn] GC - IV - 3647 - CTY ASAHI NHẬT BẢN - AMIN RONBIN (Gel nâu đen) - 500ml - 40</v>
      </c>
      <c r="E4456" s="87" t="str">
        <f>IFERROR(__xludf.DUMMYFUNCTION("""COMPUTED_VALUE"""),"Vi lượng Quantity New")</f>
        <v>Vi lượng Quantity New</v>
      </c>
      <c r="F4456" s="87" t="str">
        <f>IFERROR(__xludf.DUMMYFUNCTION("""COMPUTED_VALUE"""),"HH3647")</f>
        <v>HH3647</v>
      </c>
      <c r="G4456" s="87" t="str">
        <f>IFERROR(__xludf.DUMMYFUNCTION("""COMPUTED_VALUE"""),"GC - IV - 3647 - CTY ASAHI NHẬT BẢN - AMIN RONBIN (Gel nâu đen) - 500ml - 40")</f>
        <v>GC - IV - 3647 - CTY ASAHI NHẬT BẢN - AMIN RONBIN (Gel nâu đen) - 500ml - 40</v>
      </c>
    </row>
    <row r="4457">
      <c r="A4457" s="86">
        <f>IFERROR(__xludf.DUMMYFUNCTION("""COMPUTED_VALUE"""),4455.0)</f>
        <v>4455</v>
      </c>
      <c r="B4457" s="87" t="str">
        <f>IFERROR(__xludf.DUMMYFUNCTION("""COMPUTED_VALUE"""),"[Nhãn]")</f>
        <v>[Nhãn]</v>
      </c>
      <c r="C4457" s="87" t="str">
        <f>IFERROR(__xludf.DUMMYFUNCTION("""COMPUTED_VALUE"""),"NHG3648")</f>
        <v>NHG3648</v>
      </c>
      <c r="D4457" s="87" t="str">
        <f>IFERROR(__xludf.DUMMYFUNCTION("""COMPUTED_VALUE"""),"[Nhãn] GC - IV - 3648 - CTY ASAHI NHẬT BẢN - AMIN DAMKA (Gel nâu đen) - 500ml - 40")</f>
        <v>[Nhãn] GC - IV - 3648 - CTY ASAHI NHẬT BẢN - AMIN DAMKA (Gel nâu đen) - 500ml - 40</v>
      </c>
      <c r="E4457" s="87" t="str">
        <f>IFERROR(__xludf.DUMMYFUNCTION("""COMPUTED_VALUE"""),"Vi lượng Quantity New")</f>
        <v>Vi lượng Quantity New</v>
      </c>
      <c r="F4457" s="87" t="str">
        <f>IFERROR(__xludf.DUMMYFUNCTION("""COMPUTED_VALUE"""),"HH3648")</f>
        <v>HH3648</v>
      </c>
      <c r="G4457" s="87" t="str">
        <f>IFERROR(__xludf.DUMMYFUNCTION("""COMPUTED_VALUE"""),"GC - IV - 3648 - CTY ASAHI NHẬT BẢN - AMIN DAMKA (Gel nâu đen) - 500ml - 40")</f>
        <v>GC - IV - 3648 - CTY ASAHI NHẬT BẢN - AMIN DAMKA (Gel nâu đen) - 500ml - 40</v>
      </c>
    </row>
    <row r="4458">
      <c r="A4458" s="86">
        <f>IFERROR(__xludf.DUMMYFUNCTION("""COMPUTED_VALUE"""),4456.0)</f>
        <v>4456</v>
      </c>
      <c r="B4458" s="87" t="str">
        <f>IFERROR(__xludf.DUMMYFUNCTION("""COMPUTED_VALUE"""),"[Nhãn]")</f>
        <v>[Nhãn]</v>
      </c>
      <c r="C4458" s="87" t="str">
        <f>IFERROR(__xludf.DUMMYFUNCTION("""COMPUTED_VALUE"""),"NHG3649")</f>
        <v>NHG3649</v>
      </c>
      <c r="D4458" s="87" t="str">
        <f>IFERROR(__xludf.DUMMYFUNCTION("""COMPUTED_VALUE"""),"[Nhãn] GC - IV - 3649 - CTY ASAHI NHẬT BẢN - ORGANO CABO (Gel vàng cam) - 500ml - 40")</f>
        <v>[Nhãn] GC - IV - 3649 - CTY ASAHI NHẬT BẢN - ORGANO CABO (Gel vàng cam) - 500ml - 40</v>
      </c>
      <c r="E4458" s="87" t="str">
        <f>IFERROR(__xludf.DUMMYFUNCTION("""COMPUTED_VALUE"""),"Vi lượng Run Fast")</f>
        <v>Vi lượng Run Fast</v>
      </c>
      <c r="F4458" s="87" t="str">
        <f>IFERROR(__xludf.DUMMYFUNCTION("""COMPUTED_VALUE"""),"HH3649")</f>
        <v>HH3649</v>
      </c>
      <c r="G4458" s="87" t="str">
        <f>IFERROR(__xludf.DUMMYFUNCTION("""COMPUTED_VALUE"""),"GC - IV - 3649 - CTY ASAHI NHẬT BẢN - ORGANO CABO (Gel vàng cam) - 500ml - 40")</f>
        <v>GC - IV - 3649 - CTY ASAHI NHẬT BẢN - ORGANO CABO (Gel vàng cam) - 500ml - 40</v>
      </c>
    </row>
    <row r="4459">
      <c r="A4459" s="86">
        <f>IFERROR(__xludf.DUMMYFUNCTION("""COMPUTED_VALUE"""),4457.0)</f>
        <v>4457</v>
      </c>
      <c r="B4459" s="87" t="str">
        <f>IFERROR(__xludf.DUMMYFUNCTION("""COMPUTED_VALUE"""),"[Nhãn]")</f>
        <v>[Nhãn]</v>
      </c>
      <c r="C4459" s="87" t="str">
        <f>IFERROR(__xludf.DUMMYFUNCTION("""COMPUTED_VALUE"""),"NHG3650")</f>
        <v>NHG3650</v>
      </c>
      <c r="D4459" s="87" t="str">
        <f>IFERROR(__xludf.DUMMYFUNCTION("""COMPUTED_VALUE"""),"[Nhãn] GC - IV - 3650 - RICH FARMER - SUPER ROOTS SIÊU KÍCH RỄ (Gel nâu đen) - 500ml - 40")</f>
        <v>[Nhãn] GC - IV - 3650 - RICH FARMER - SUPER ROOTS SIÊU KÍCH RỄ (Gel nâu đen) - 500ml - 40</v>
      </c>
      <c r="E4459" s="87" t="str">
        <f>IFERROR(__xludf.DUMMYFUNCTION("""COMPUTED_VALUE"""),"Vi lượng Quantity New")</f>
        <v>Vi lượng Quantity New</v>
      </c>
      <c r="F4459" s="87" t="str">
        <f>IFERROR(__xludf.DUMMYFUNCTION("""COMPUTED_VALUE"""),"HH3650")</f>
        <v>HH3650</v>
      </c>
      <c r="G4459" s="87" t="str">
        <f>IFERROR(__xludf.DUMMYFUNCTION("""COMPUTED_VALUE"""),"GC - IV - 3650 - RICH FARMER - SUPER ROOTS SIÊU KÍCH RỄ (Gel nâu đen) - 500ml - 40")</f>
        <v>GC - IV - 3650 - RICH FARMER - SUPER ROOTS SIÊU KÍCH RỄ (Gel nâu đen) - 500ml - 40</v>
      </c>
    </row>
    <row r="4460">
      <c r="A4460" s="86">
        <f>IFERROR(__xludf.DUMMYFUNCTION("""COMPUTED_VALUE"""),4458.0)</f>
        <v>4458</v>
      </c>
      <c r="B4460" s="87" t="str">
        <f>IFERROR(__xludf.DUMMYFUNCTION("""COMPUTED_VALUE"""),"[Nhãn]")</f>
        <v>[Nhãn]</v>
      </c>
      <c r="C4460" s="87" t="str">
        <f>IFERROR(__xludf.DUMMYFUNCTION("""COMPUTED_VALUE"""),"NHG3651")</f>
        <v>NHG3651</v>
      </c>
      <c r="D4460" s="87" t="str">
        <f>IFERROR(__xludf.DUMMYFUNCTION("""COMPUTED_VALUE"""),"[Nhãn] GC - IV - 3651 - RICH FARMER - DIỆP LỤC TỐ (Gel xanh lá) - 500ml - 40")</f>
        <v>[Nhãn] GC - IV - 3651 - RICH FARMER - DIỆP LỤC TỐ (Gel xanh lá) - 500ml - 40</v>
      </c>
      <c r="E4460" s="87" t="str">
        <f>IFERROR(__xludf.DUMMYFUNCTION("""COMPUTED_VALUE"""),"Vi lượng AGAMA-SUPPORT")</f>
        <v>Vi lượng AGAMA-SUPPORT</v>
      </c>
      <c r="F4460" s="87" t="str">
        <f>IFERROR(__xludf.DUMMYFUNCTION("""COMPUTED_VALUE"""),"HH3651")</f>
        <v>HH3651</v>
      </c>
      <c r="G4460" s="87" t="str">
        <f>IFERROR(__xludf.DUMMYFUNCTION("""COMPUTED_VALUE"""),"GC - IV - 3651 - RICH FARMER - DIỆP LỤC TỐ (Gel xanh lá) - 500ml - 40")</f>
        <v>GC - IV - 3651 - RICH FARMER - DIỆP LỤC TỐ (Gel xanh lá) - 500ml - 40</v>
      </c>
    </row>
    <row r="4461">
      <c r="A4461" s="86">
        <f>IFERROR(__xludf.DUMMYFUNCTION("""COMPUTED_VALUE"""),4459.0)</f>
        <v>4459</v>
      </c>
      <c r="B4461" s="87" t="str">
        <f>IFERROR(__xludf.DUMMYFUNCTION("""COMPUTED_VALUE"""),"[Nhãn]")</f>
        <v>[Nhãn]</v>
      </c>
      <c r="C4461" s="87" t="str">
        <f>IFERROR(__xludf.DUMMYFUNCTION("""COMPUTED_VALUE"""),"NHG3652")</f>
        <v>NHG3652</v>
      </c>
      <c r="D4461" s="87" t="str">
        <f>IFERROR(__xludf.DUMMYFUNCTION("""COMPUTED_VALUE"""),"[Nhãn] GC - IV - 3652 - RICH FARMER - KÍCH PHÁT TỐ HOA TRÁI (Gel xanh lá) - 500ml - 40")</f>
        <v>[Nhãn] GC - IV - 3652 - RICH FARMER - KÍCH PHÁT TỐ HOA TRÁI (Gel xanh lá) - 500ml - 40</v>
      </c>
      <c r="E4461" s="87" t="str">
        <f>IFERROR(__xludf.DUMMYFUNCTION("""COMPUTED_VALUE"""),"Vi lượng AGAMA-SUPPORT")</f>
        <v>Vi lượng AGAMA-SUPPORT</v>
      </c>
      <c r="F4461" s="87" t="str">
        <f>IFERROR(__xludf.DUMMYFUNCTION("""COMPUTED_VALUE"""),"HH3652")</f>
        <v>HH3652</v>
      </c>
      <c r="G4461" s="87" t="str">
        <f>IFERROR(__xludf.DUMMYFUNCTION("""COMPUTED_VALUE"""),"GC - IV - 3652 - RICH FARMER - KÍCH PHÁT TỐ HOA TRÁI (Gel xanh lá) - 500ml - 40")</f>
        <v>GC - IV - 3652 - RICH FARMER - KÍCH PHÁT TỐ HOA TRÁI (Gel xanh lá) - 500ml - 40</v>
      </c>
    </row>
    <row r="4462">
      <c r="A4462" s="86">
        <f>IFERROR(__xludf.DUMMYFUNCTION("""COMPUTED_VALUE"""),4460.0)</f>
        <v>4460</v>
      </c>
      <c r="B4462" s="87" t="str">
        <f>IFERROR(__xludf.DUMMYFUNCTION("""COMPUTED_VALUE"""),"[Nhãn]")</f>
        <v>[Nhãn]</v>
      </c>
      <c r="C4462" s="87" t="str">
        <f>IFERROR(__xludf.DUMMYFUNCTION("""COMPUTED_VALUE"""),"NHG3653")</f>
        <v>NHG3653</v>
      </c>
      <c r="D4462" s="87" t="str">
        <f>IFERROR(__xludf.DUMMYFUNCTION("""COMPUTED_VALUE"""),"[Nhãn] GC - IV - 3653 - RICH FARMER - SUPER BO-CAXX (Gel vàng cam) - 500ml - 40")</f>
        <v>[Nhãn] GC - IV - 3653 - RICH FARMER - SUPER BO-CAXX (Gel vàng cam) - 500ml - 40</v>
      </c>
      <c r="E4462" s="87" t="str">
        <f>IFERROR(__xludf.DUMMYFUNCTION("""COMPUTED_VALUE"""),"Vi lượng Run Fast")</f>
        <v>Vi lượng Run Fast</v>
      </c>
      <c r="F4462" s="87" t="str">
        <f>IFERROR(__xludf.DUMMYFUNCTION("""COMPUTED_VALUE"""),"HH3653")</f>
        <v>HH3653</v>
      </c>
      <c r="G4462" s="87" t="str">
        <f>IFERROR(__xludf.DUMMYFUNCTION("""COMPUTED_VALUE"""),"GC - IV - 3653 - RICH FARMER - SUPER BO-CAXX (Gel vàng cam) - 500ml - 40")</f>
        <v>GC - IV - 3653 - RICH FARMER - SUPER BO-CAXX (Gel vàng cam) - 500ml - 40</v>
      </c>
    </row>
    <row r="4463">
      <c r="A4463" s="86">
        <f>IFERROR(__xludf.DUMMYFUNCTION("""COMPUTED_VALUE"""),4461.0)</f>
        <v>4461</v>
      </c>
      <c r="B4463" s="87" t="str">
        <f>IFERROR(__xludf.DUMMYFUNCTION("""COMPUTED_VALUE"""),"[Nhãn]")</f>
        <v>[Nhãn]</v>
      </c>
      <c r="C4463" s="87" t="str">
        <f>IFERROR(__xludf.DUMMYFUNCTION("""COMPUTED_VALUE"""),"NHG3654")</f>
        <v>NHG3654</v>
      </c>
      <c r="D4463" s="87" t="str">
        <f>IFERROR(__xludf.DUMMYFUNCTION("""COMPUTED_VALUE"""),"[Nhãn] GC - IV - 3654 - RICH FARMER - SUPER PHOX (Gel nâu đen) - 500ml - 40")</f>
        <v>[Nhãn] GC - IV - 3654 - RICH FARMER - SUPER PHOX (Gel nâu đen) - 500ml - 40</v>
      </c>
      <c r="E4463" s="87" t="str">
        <f>IFERROR(__xludf.DUMMYFUNCTION("""COMPUTED_VALUE"""),"Vi lượng Quantity New")</f>
        <v>Vi lượng Quantity New</v>
      </c>
      <c r="F4463" s="87" t="str">
        <f>IFERROR(__xludf.DUMMYFUNCTION("""COMPUTED_VALUE"""),"HH3654")</f>
        <v>HH3654</v>
      </c>
      <c r="G4463" s="87" t="str">
        <f>IFERROR(__xludf.DUMMYFUNCTION("""COMPUTED_VALUE"""),"GC - IV - 3654 - RICH FARMER - SUPER PHOX (Gel nâu đen) - 500ml - 40")</f>
        <v>GC - IV - 3654 - RICH FARMER - SUPER PHOX (Gel nâu đen) - 500ml - 40</v>
      </c>
    </row>
    <row r="4464">
      <c r="A4464" s="86">
        <f>IFERROR(__xludf.DUMMYFUNCTION("""COMPUTED_VALUE"""),4462.0)</f>
        <v>4462</v>
      </c>
      <c r="B4464" s="87" t="str">
        <f>IFERROR(__xludf.DUMMYFUNCTION("""COMPUTED_VALUE"""),"[Nhãn]")</f>
        <v>[Nhãn]</v>
      </c>
      <c r="C4464" s="87" t="str">
        <f>IFERROR(__xludf.DUMMYFUNCTION("""COMPUTED_VALUE"""),"NHG3655")</f>
        <v>NHG3655</v>
      </c>
      <c r="D4464" s="87" t="str">
        <f>IFERROR(__xludf.DUMMYFUNCTION("""COMPUTED_VALUE"""),"[Nhãn] GC - IV - 3655 - RICH FARMER - SIÊU KẼM (Gel xanh lá) - 500ml - 40")</f>
        <v>[Nhãn] GC - IV - 3655 - RICH FARMER - SIÊU KẼM (Gel xanh lá) - 500ml - 40</v>
      </c>
      <c r="E4464" s="87" t="str">
        <f>IFERROR(__xludf.DUMMYFUNCTION("""COMPUTED_VALUE"""),"Vi lượng AGAMA-SUPPORT")</f>
        <v>Vi lượng AGAMA-SUPPORT</v>
      </c>
      <c r="F4464" s="87" t="str">
        <f>IFERROR(__xludf.DUMMYFUNCTION("""COMPUTED_VALUE"""),"HH3655")</f>
        <v>HH3655</v>
      </c>
      <c r="G4464" s="87" t="str">
        <f>IFERROR(__xludf.DUMMYFUNCTION("""COMPUTED_VALUE"""),"GC - IV - 3655 - RICH FARMER - SIÊU KẼM (Gel xanh lá) - 500ml - 40")</f>
        <v>GC - IV - 3655 - RICH FARMER - SIÊU KẼM (Gel xanh lá) - 500ml - 40</v>
      </c>
    </row>
    <row r="4465">
      <c r="A4465" s="86">
        <f>IFERROR(__xludf.DUMMYFUNCTION("""COMPUTED_VALUE"""),4463.0)</f>
        <v>4463</v>
      </c>
      <c r="B4465" s="87" t="str">
        <f>IFERROR(__xludf.DUMMYFUNCTION("""COMPUTED_VALUE"""),"[Nhãn]")</f>
        <v>[Nhãn]</v>
      </c>
      <c r="C4465" s="87" t="str">
        <f>IFERROR(__xludf.DUMMYFUNCTION("""COMPUTED_VALUE"""),"NHG3656")</f>
        <v>NHG3656</v>
      </c>
      <c r="D4465" s="87" t="str">
        <f>IFERROR(__xludf.DUMMYFUNCTION("""COMPUTED_VALUE"""),"[Nhãn] GC - IV - 3656 - Cty VNT Mekong - VỊT BẦU (Nước nâu đen) - 450ml - 40")</f>
        <v>[Nhãn] GC - IV - 3656 - Cty VNT Mekong - VỊT BẦU (Nước nâu đen) - 450ml - 40</v>
      </c>
      <c r="E4465" s="87" t="str">
        <f>IFERROR(__xludf.DUMMYFUNCTION("""COMPUTED_VALUE"""),"HAIHAMEC 3.6EC")</f>
        <v>HAIHAMEC 3.6EC</v>
      </c>
      <c r="F4465" s="87" t="str">
        <f>IFERROR(__xludf.DUMMYFUNCTION("""COMPUTED_VALUE"""),"HH3656")</f>
        <v>HH3656</v>
      </c>
      <c r="G4465" s="87" t="str">
        <f>IFERROR(__xludf.DUMMYFUNCTION("""COMPUTED_VALUE"""),"GC - IV - 3656 - Cty VNT Mekong - VỊT BẦU (Nước nâu đen) - 450ml - 40")</f>
        <v>GC - IV - 3656 - Cty VNT Mekong - VỊT BẦU (Nước nâu đen) - 450ml - 40</v>
      </c>
    </row>
    <row r="4466">
      <c r="A4466" s="86">
        <f>IFERROR(__xludf.DUMMYFUNCTION("""COMPUTED_VALUE"""),4464.0)</f>
        <v>4464</v>
      </c>
      <c r="B4466" s="87" t="str">
        <f>IFERROR(__xludf.DUMMYFUNCTION("""COMPUTED_VALUE"""),"[Nhãn]")</f>
        <v>[Nhãn]</v>
      </c>
      <c r="C4466" s="87" t="str">
        <f>IFERROR(__xludf.DUMMYFUNCTION("""COMPUTED_VALUE"""),"NHG3657")</f>
        <v>NHG3657</v>
      </c>
      <c r="D4466" s="87" t="str">
        <f>IFERROR(__xludf.DUMMYFUNCTION("""COMPUTED_VALUE"""),"[Nhãn] LOT IDA Global - I - 3657 - Avermectin 36 (Pet tròn)(nước nâu đen) - 450ml - 40")</f>
        <v>[Nhãn] LOT IDA Global - I - 3657 - Avermectin 36 (Pet tròn)(nước nâu đen) - 450ml - 40</v>
      </c>
      <c r="E4466" s="87" t="str">
        <f>IFERROR(__xludf.DUMMYFUNCTION("""COMPUTED_VALUE"""),"Chitin 3.6EC")</f>
        <v>Chitin 3.6EC</v>
      </c>
      <c r="F4466" s="87" t="str">
        <f>IFERROR(__xludf.DUMMYFUNCTION("""COMPUTED_VALUE"""),"HH3657")</f>
        <v>HH3657</v>
      </c>
      <c r="G4466" s="87" t="str">
        <f>IFERROR(__xludf.DUMMYFUNCTION("""COMPUTED_VALUE"""),"LOT IDA Global - I - 3657 - Avermectin 36 (Pet tròn)(nước nâu đen) - 450ml - 40")</f>
        <v>LOT IDA Global - I - 3657 - Avermectin 36 (Pet tròn)(nước nâu đen) - 450ml - 40</v>
      </c>
    </row>
    <row r="4467">
      <c r="A4467" s="86">
        <f>IFERROR(__xludf.DUMMYFUNCTION("""COMPUTED_VALUE"""),4465.0)</f>
        <v>4465</v>
      </c>
      <c r="B4467" s="87" t="str">
        <f>IFERROR(__xludf.DUMMYFUNCTION("""COMPUTED_VALUE"""),"[Nhãn]")</f>
        <v>[Nhãn]</v>
      </c>
      <c r="C4467" s="87" t="str">
        <f>IFERROR(__xludf.DUMMYFUNCTION("""COMPUTED_VALUE"""),"NHG3658")</f>
        <v>NHG3658</v>
      </c>
      <c r="D4467" s="87" t="str">
        <f>IFERROR(__xludf.DUMMYFUNCTION("""COMPUTED_VALUE"""),"[Nhãn] GC - IV - 3658 - CTY HIỆP PHÁT ABC - HP 01 (nước nâu đen) - 500ml - 40")</f>
        <v>[Nhãn] GC - IV - 3658 - CTY HIỆP PHÁT ABC - HP 01 (nước nâu đen) - 500ml - 40</v>
      </c>
      <c r="E4467" s="87" t="str">
        <f>IFERROR(__xludf.DUMMYFUNCTION("""COMPUTED_VALUE"""),"Hữu cơ SH Agro Organic Fertilizer 20")</f>
        <v>Hữu cơ SH Agro Organic Fertilizer 20</v>
      </c>
      <c r="F4467" s="87" t="str">
        <f>IFERROR(__xludf.DUMMYFUNCTION("""COMPUTED_VALUE"""),"HH3658")</f>
        <v>HH3658</v>
      </c>
      <c r="G4467" s="87" t="str">
        <f>IFERROR(__xludf.DUMMYFUNCTION("""COMPUTED_VALUE"""),"GC - IV - 3658 - CTY HIỆP PHÁT ABC - HP 01 (nước nâu đen) - 500ml - 40")</f>
        <v>GC - IV - 3658 - CTY HIỆP PHÁT ABC - HP 01 (nước nâu đen) - 500ml - 40</v>
      </c>
    </row>
    <row r="4468">
      <c r="A4468" s="86">
        <f>IFERROR(__xludf.DUMMYFUNCTION("""COMPUTED_VALUE"""),4466.0)</f>
        <v>4466</v>
      </c>
      <c r="B4468" s="87" t="str">
        <f>IFERROR(__xludf.DUMMYFUNCTION("""COMPUTED_VALUE"""),"[Nhãn]")</f>
        <v>[Nhãn]</v>
      </c>
      <c r="C4468" s="87" t="str">
        <f>IFERROR(__xludf.DUMMYFUNCTION("""COMPUTED_VALUE"""),"NHD3658")</f>
        <v>NHD3658</v>
      </c>
      <c r="D4468" s="87" t="str">
        <f>IFERROR(__xludf.DUMMYFUNCTION("""COMPUTED_VALUE"""),"[Nhãn] GC - IV - 3658 - CTY HIỆP PHÁT ABC - HP 01 (nước nâu đen) - 500ml - 40")</f>
        <v>[Nhãn] GC - IV - 3658 - CTY HIỆP PHÁT ABC - HP 01 (nước nâu đen) - 500ml - 40</v>
      </c>
      <c r="E4468" s="87" t="str">
        <f>IFERROR(__xludf.DUMMYFUNCTION("""COMPUTED_VALUE"""),"Hữu cơ SH Agro Organic Fertilizer 20")</f>
        <v>Hữu cơ SH Agro Organic Fertilizer 20</v>
      </c>
      <c r="F4468" s="87" t="str">
        <f>IFERROR(__xludf.DUMMYFUNCTION("""COMPUTED_VALUE"""),"HH3658")</f>
        <v>HH3658</v>
      </c>
      <c r="G4468" s="87" t="str">
        <f>IFERROR(__xludf.DUMMYFUNCTION("""COMPUTED_VALUE"""),"GC - IV - 3658 - CTY HIỆP PHÁT ABC - HP 01 (nước nâu đen) - 500ml - 40")</f>
        <v>GC - IV - 3658 - CTY HIỆP PHÁT ABC - HP 01 (nước nâu đen) - 500ml - 40</v>
      </c>
    </row>
    <row r="4469">
      <c r="A4469" s="86">
        <f>IFERROR(__xludf.DUMMYFUNCTION("""COMPUTED_VALUE"""),4467.0)</f>
        <v>4467</v>
      </c>
      <c r="B4469" s="87" t="str">
        <f>IFERROR(__xludf.DUMMYFUNCTION("""COMPUTED_VALUE"""),"[Nhãn]")</f>
        <v>[Nhãn]</v>
      </c>
      <c r="C4469" s="87" t="str">
        <f>IFERROR(__xludf.DUMMYFUNCTION("""COMPUTED_VALUE"""),"NHG3659")</f>
        <v>NHG3659</v>
      </c>
      <c r="D4469" s="87" t="str">
        <f>IFERROR(__xludf.DUMMYFUNCTION("""COMPUTED_VALUE"""),"[Nhãn] LOT IDA Global - I - 3659 - ABAMECTIN 3.6 MỚI (nước nâu đen) - 450ml - 40")</f>
        <v>[Nhãn] LOT IDA Global - I - 3659 - ABAMECTIN 3.6 MỚI (nước nâu đen) - 450ml - 40</v>
      </c>
      <c r="E4469" s="87" t="str">
        <f>IFERROR(__xludf.DUMMYFUNCTION("""COMPUTED_VALUE"""),"Chitin 3.6EC")</f>
        <v>Chitin 3.6EC</v>
      </c>
      <c r="F4469" s="87" t="str">
        <f>IFERROR(__xludf.DUMMYFUNCTION("""COMPUTED_VALUE"""),"HH3659")</f>
        <v>HH3659</v>
      </c>
      <c r="G4469" s="87" t="str">
        <f>IFERROR(__xludf.DUMMYFUNCTION("""COMPUTED_VALUE"""),"LOT IDA Global - I - 3659 - ABAMECTIN 3.6 MỚI (nước nâu đen) - 450ml - 40")</f>
        <v>LOT IDA Global - I - 3659 - ABAMECTIN 3.6 MỚI (nước nâu đen) - 450ml - 40</v>
      </c>
    </row>
    <row r="4470">
      <c r="A4470" s="86">
        <f>IFERROR(__xludf.DUMMYFUNCTION("""COMPUTED_VALUE"""),4468.0)</f>
        <v>4468</v>
      </c>
      <c r="B4470" s="87" t="str">
        <f>IFERROR(__xludf.DUMMYFUNCTION("""COMPUTED_VALUE"""),"[Nhãn]")</f>
        <v>[Nhãn]</v>
      </c>
      <c r="C4470" s="87" t="str">
        <f>IFERROR(__xludf.DUMMYFUNCTION("""COMPUTED_VALUE"""),"NHG3660")</f>
        <v>NHG3660</v>
      </c>
      <c r="D4470" s="87" t="str">
        <f>IFERROR(__xludf.DUMMYFUNCTION("""COMPUTED_VALUE"""),"[Nhãn] LOT IDA Global - I - 3660 - ĐL NGUYỄN ĐỨC MINH - Haihamec 3.6EC (nước nâu đen) - 450ml - 40")</f>
        <v>[Nhãn] LOT IDA Global - I - 3660 - ĐL NGUYỄN ĐỨC MINH - Haihamec 3.6EC (nước nâu đen) - 450ml - 40</v>
      </c>
      <c r="E4470" s="87"/>
      <c r="F4470" s="87"/>
      <c r="G4470" s="87"/>
    </row>
    <row r="4471">
      <c r="A4471" s="86">
        <f>IFERROR(__xludf.DUMMYFUNCTION("""COMPUTED_VALUE"""),4469.0)</f>
        <v>4469</v>
      </c>
      <c r="B4471" s="87" t="str">
        <f>IFERROR(__xludf.DUMMYFUNCTION("""COMPUTED_VALUE"""),"ABA")</f>
        <v>ABA</v>
      </c>
      <c r="C4471" s="87" t="str">
        <f>IFERROR(__xludf.DUMMYFUNCTION("""COMPUTED_VALUE"""),"240ml")</f>
        <v>240ml</v>
      </c>
      <c r="D4471" s="87" t="str">
        <f>IFERROR(__xludf.DUMMYFUNCTION("""COMPUTED_VALUE"""),"60")</f>
        <v>60</v>
      </c>
      <c r="E4471" s="87" t="str">
        <f>IFERROR(__xludf.DUMMYFUNCTION("""COMPUTED_VALUE"""),"Nhãn GIẤY METALIZE 24K cán màng")</f>
        <v>Nhãn GIẤY METALIZE 24K cán màng</v>
      </c>
      <c r="F4471" s="87" t="str">
        <f>IFERROR(__xludf.DUMMYFUNCTION("""COMPUTED_VALUE"""),"Cái")</f>
        <v>Cái</v>
      </c>
      <c r="G4471" s="87"/>
    </row>
    <row r="4472">
      <c r="A4472" s="86">
        <f>IFERROR(__xludf.DUMMYFUNCTION("""COMPUTED_VALUE"""),4470.0)</f>
        <v>4470</v>
      </c>
      <c r="B4472" s="87" t="str">
        <f>IFERROR(__xludf.DUMMYFUNCTION("""COMPUTED_VALUE"""),"[Nhãn]")</f>
        <v>[Nhãn]</v>
      </c>
      <c r="C4472" s="87" t="str">
        <f>IFERROR(__xludf.DUMMYFUNCTION("""COMPUTED_VALUE"""),"NTN3663")</f>
        <v>NTN3663</v>
      </c>
      <c r="D4472" s="87" t="str">
        <f>IFERROR(__xludf.DUMMYFUNCTION("""COMPUTED_VALUE"""),"[Nhãn] GC - IV - 3663 - CTY ITALY - MANCO XANH (bột xanh) - 1kg - 20")</f>
        <v>[Nhãn] GC - IV - 3663 - CTY ITALY - MANCO XANH (bột xanh) - 1kg - 20</v>
      </c>
      <c r="E4472" s="87" t="str">
        <f>IFERROR(__xludf.DUMMYFUNCTION("""COMPUTED_VALUE"""),"MANCOBGO 80WP")</f>
        <v>MANCOBGO 80WP</v>
      </c>
      <c r="F4472" s="87" t="str">
        <f>IFERROR(__xludf.DUMMYFUNCTION("""COMPUTED_VALUE"""),"HH3663")</f>
        <v>HH3663</v>
      </c>
      <c r="G4472" s="87" t="str">
        <f>IFERROR(__xludf.DUMMYFUNCTION("""COMPUTED_VALUE"""),"GC - IV - 3663 - CTY ITALY - MANCO XANH (bột xanh) - 1kg - 20")</f>
        <v>GC - IV - 3663 - CTY ITALY - MANCO XANH (bột xanh) - 1kg - 20</v>
      </c>
    </row>
    <row r="4473">
      <c r="A4473" s="86">
        <f>IFERROR(__xludf.DUMMYFUNCTION("""COMPUTED_VALUE"""),4471.0)</f>
        <v>4471</v>
      </c>
      <c r="B4473" s="87" t="str">
        <f>IFERROR(__xludf.DUMMYFUNCTION("""COMPUTED_VALUE"""),"[Nhãn thùng]")</f>
        <v>[Nhãn thùng]</v>
      </c>
      <c r="C4473" s="87" t="str">
        <f>IFERROR(__xludf.DUMMYFUNCTION("""COMPUTED_VALUE"""),"NDT3664")</f>
        <v>NDT3664</v>
      </c>
      <c r="D4473" s="87" t="str">
        <f>IFERROR(__xludf.DUMMYFUNCTION("""COMPUTED_VALUE"""),"[Nhãn thùng] GC - IV - 3664 - ĐL TUẤN KHẢI - X-KILL (Dạng cốm màu trắng ngà) - 10gr - 300")</f>
        <v>[Nhãn thùng] GC - IV - 3664 - ĐL TUẤN KHẢI - X-KILL (Dạng cốm màu trắng ngà) - 10gr - 300</v>
      </c>
      <c r="E4473" s="87" t="str">
        <f>IFERROR(__xludf.DUMMYFUNCTION("""COMPUTED_VALUE"""),"MAKEGREEN 55WG")</f>
        <v>MAKEGREEN 55WG</v>
      </c>
      <c r="F4473" s="87" t="str">
        <f>IFERROR(__xludf.DUMMYFUNCTION("""COMPUTED_VALUE"""),"HH3664")</f>
        <v>HH3664</v>
      </c>
      <c r="G4473" s="87" t="str">
        <f>IFERROR(__xludf.DUMMYFUNCTION("""COMPUTED_VALUE"""),"GC - IV - 3664 - ĐL TUẤN KHẢI - X-KILL (Dạng cốm màu trắng ngà) - 10gr - 300")</f>
        <v>GC - IV - 3664 - ĐL TUẤN KHẢI - X-KILL (Dạng cốm màu trắng ngà) - 10gr - 300</v>
      </c>
    </row>
    <row r="4474">
      <c r="A4474" s="86">
        <f>IFERROR(__xludf.DUMMYFUNCTION("""COMPUTED_VALUE"""),4472.0)</f>
        <v>4472</v>
      </c>
      <c r="B4474" s="87" t="str">
        <f>IFERROR(__xludf.DUMMYFUNCTION("""COMPUTED_VALUE"""),"[Nhãn]")</f>
        <v>[Nhãn]</v>
      </c>
      <c r="C4474" s="87" t="str">
        <f>IFERROR(__xludf.DUMMYFUNCTION("""COMPUTED_VALUE"""),"NTN3664")</f>
        <v>NTN3664</v>
      </c>
      <c r="D4474" s="87" t="str">
        <f>IFERROR(__xludf.DUMMYFUNCTION("""COMPUTED_VALUE"""),"[Nhãn] GC - IV - 3664 - ĐL TUẤN KHẢI - X-KILL (Dạng cốm màu trắng ngà) - 10gr - 300")</f>
        <v>[Nhãn] GC - IV - 3664 - ĐL TUẤN KHẢI - X-KILL (Dạng cốm màu trắng ngà) - 10gr - 300</v>
      </c>
      <c r="E4474" s="87" t="str">
        <f>IFERROR(__xludf.DUMMYFUNCTION("""COMPUTED_VALUE"""),"MAKEGREEN 55WG")</f>
        <v>MAKEGREEN 55WG</v>
      </c>
      <c r="F4474" s="87" t="str">
        <f>IFERROR(__xludf.DUMMYFUNCTION("""COMPUTED_VALUE"""),"HH3664")</f>
        <v>HH3664</v>
      </c>
      <c r="G4474" s="87" t="str">
        <f>IFERROR(__xludf.DUMMYFUNCTION("""COMPUTED_VALUE"""),"GC - IV - 3664 - ĐL TUẤN KHẢI - X-KILL (Dạng cốm màu trắng ngà) - 10gr - 300")</f>
        <v>GC - IV - 3664 - ĐL TUẤN KHẢI - X-KILL (Dạng cốm màu trắng ngà) - 10gr - 300</v>
      </c>
    </row>
    <row r="4475">
      <c r="A4475" s="86">
        <f>IFERROR(__xludf.DUMMYFUNCTION("""COMPUTED_VALUE"""),4473.0)</f>
        <v>4473</v>
      </c>
      <c r="B4475" s="87" t="str">
        <f>IFERROR(__xludf.DUMMYFUNCTION("""COMPUTED_VALUE"""),"[Nhãn]")</f>
        <v>[Nhãn]</v>
      </c>
      <c r="C4475" s="87" t="str">
        <f>IFERROR(__xludf.DUMMYFUNCTION("""COMPUTED_VALUE"""),"NHG3665")</f>
        <v>NHG3665</v>
      </c>
      <c r="D4475" s="87" t="str">
        <f>IFERROR(__xludf.DUMMYFUNCTION("""COMPUTED_VALUE"""),"[Nhãn] BAMBOO - VI - 3665 - BAMBOO FENO (Nước tím) - 450ml - 40")</f>
        <v>[Nhãn] BAMBOO - VI - 3665 - BAMBOO FENO (Nước tím) - 450ml - 40</v>
      </c>
      <c r="E4475" s="87" t="str">
        <f>IFERROR(__xludf.DUMMYFUNCTION("""COMPUTED_VALUE"""),"ABASBA 50EC")</f>
        <v>ABASBA 50EC</v>
      </c>
      <c r="F4475" s="87" t="str">
        <f>IFERROR(__xludf.DUMMYFUNCTION("""COMPUTED_VALUE"""),"HH3665")</f>
        <v>HH3665</v>
      </c>
      <c r="G4475" s="87" t="str">
        <f>IFERROR(__xludf.DUMMYFUNCTION("""COMPUTED_VALUE"""),"BAMBOO - VI - 3665 - BAMBOO FENO (Nước tím) - 450ml - 40")</f>
        <v>BAMBOO - VI - 3665 - BAMBOO FENO (Nước tím) - 450ml - 40</v>
      </c>
    </row>
    <row r="4476">
      <c r="A4476" s="86">
        <f>IFERROR(__xludf.DUMMYFUNCTION("""COMPUTED_VALUE"""),4474.0)</f>
        <v>4474</v>
      </c>
      <c r="B4476" s="87" t="str">
        <f>IFERROR(__xludf.DUMMYFUNCTION("""COMPUTED_VALUE"""),"[Nhãn]")</f>
        <v>[Nhãn]</v>
      </c>
      <c r="C4476" s="87" t="str">
        <f>IFERROR(__xludf.DUMMYFUNCTION("""COMPUTED_VALUE"""),"NHG3669")</f>
        <v>NHG3669</v>
      </c>
      <c r="D4476" s="87" t="str">
        <f>IFERROR(__xludf.DUMMYFUNCTION("""COMPUTED_VALUE"""),"[Nhãn] GC - IV - 3669 - Cty Newtex - DOXITOC GOLD (Nước đỏ) - 400ml - 40")</f>
        <v>[Nhãn] GC - IV - 3669 - Cty Newtex - DOXITOC GOLD (Nước đỏ) - 400ml - 40</v>
      </c>
      <c r="E4476" s="87" t="str">
        <f>IFERROR(__xludf.DUMMYFUNCTION("""COMPUTED_VALUE"""),"PYXOATE 44EC")</f>
        <v>PYXOATE 44EC</v>
      </c>
      <c r="F4476" s="87" t="str">
        <f>IFERROR(__xludf.DUMMYFUNCTION("""COMPUTED_VALUE"""),"HH3669")</f>
        <v>HH3669</v>
      </c>
      <c r="G4476" s="87" t="str">
        <f>IFERROR(__xludf.DUMMYFUNCTION("""COMPUTED_VALUE"""),"GC - IV - 3669 - Cty Newtex - DOXITOC GOLD (Nước đỏ) - 400ml - 40")</f>
        <v>GC - IV - 3669 - Cty Newtex - DOXITOC GOLD (Nước đỏ) - 400ml - 40</v>
      </c>
    </row>
    <row r="4477">
      <c r="A4477" s="86">
        <f>IFERROR(__xludf.DUMMYFUNCTION("""COMPUTED_VALUE"""),4475.0)</f>
        <v>4475</v>
      </c>
      <c r="B4477" s="87" t="str">
        <f>IFERROR(__xludf.DUMMYFUNCTION("""COMPUTED_VALUE"""),"[Nhãn]")</f>
        <v>[Nhãn]</v>
      </c>
      <c r="C4477" s="87" t="str">
        <f>IFERROR(__xludf.DUMMYFUNCTION("""COMPUTED_VALUE"""),"NHG3671")</f>
        <v>NHG3671</v>
      </c>
      <c r="D4477" s="87" t="str">
        <f>IFERROR(__xludf.DUMMYFUNCTION("""COMPUTED_VALUE"""),"[Nhãn] IDA Global - I - 3671 - ĐL THÀNH NHÂN - PYXOATE 44EC (nước đỏ) - 450ml - 40")</f>
        <v>[Nhãn] IDA Global - I - 3671 - ĐL THÀNH NHÂN - PYXOATE 44EC (nước đỏ) - 450ml - 40</v>
      </c>
      <c r="E4477" s="87" t="str">
        <f>IFERROR(__xludf.DUMMYFUNCTION("""COMPUTED_VALUE"""),"PYXOATE 44EC")</f>
        <v>PYXOATE 44EC</v>
      </c>
      <c r="F4477" s="87" t="str">
        <f>IFERROR(__xludf.DUMMYFUNCTION("""COMPUTED_VALUE"""),"HH3671")</f>
        <v>HH3671</v>
      </c>
      <c r="G4477" s="87" t="str">
        <f>IFERROR(__xludf.DUMMYFUNCTION("""COMPUTED_VALUE"""),"IDA Global - I - 3671 - ĐL THÀNH NHÂN - PYXOATE 44EC (nước đỏ) - 450ml - 40")</f>
        <v>IDA Global - I - 3671 - ĐL THÀNH NHÂN - PYXOATE 44EC (nước đỏ) - 450ml - 40</v>
      </c>
    </row>
    <row r="4478">
      <c r="A4478" s="86">
        <f>IFERROR(__xludf.DUMMYFUNCTION("""COMPUTED_VALUE"""),4476.0)</f>
        <v>4476</v>
      </c>
      <c r="B4478" s="87" t="str">
        <f>IFERROR(__xludf.DUMMYFUNCTION("""COMPUTED_VALUE"""),"[Nhãn]")</f>
        <v>[Nhãn]</v>
      </c>
      <c r="C4478" s="87" t="str">
        <f>IFERROR(__xludf.DUMMYFUNCTION("""COMPUTED_VALUE"""),"NHD3672")</f>
        <v>NHD3672</v>
      </c>
      <c r="D4478" s="87" t="str">
        <f>IFERROR(__xludf.DUMMYFUNCTION("""COMPUTED_VALUE"""),"[Nhãn] LOT IDA Global - I - 3672 - ĐL Trịnh Thến - Sư Tử Gold (Nước nâu đen) - 450ml - 40")</f>
        <v>[Nhãn] LOT IDA Global - I - 3672 - ĐL Trịnh Thến - Sư Tử Gold (Nước nâu đen) - 450ml - 40</v>
      </c>
      <c r="E4478" s="87" t="str">
        <f>IFERROR(__xludf.DUMMYFUNCTION("""COMPUTED_VALUE"""),"Chitin 3.6EC")</f>
        <v>Chitin 3.6EC</v>
      </c>
      <c r="F4478" s="87" t="str">
        <f>IFERROR(__xludf.DUMMYFUNCTION("""COMPUTED_VALUE"""),"HH3672")</f>
        <v>HH3672</v>
      </c>
      <c r="G4478" s="87" t="str">
        <f>IFERROR(__xludf.DUMMYFUNCTION("""COMPUTED_VALUE"""),"LOT IDA Global - I - 3672 - ĐL Trịnh Thến - Sư Tử Gold (Nước nâu đen) - 450ml - 40")</f>
        <v>LOT IDA Global - I - 3672 - ĐL Trịnh Thến - Sư Tử Gold (Nước nâu đen) - 450ml - 40</v>
      </c>
    </row>
    <row r="4479">
      <c r="A4479" s="86">
        <f>IFERROR(__xludf.DUMMYFUNCTION("""COMPUTED_VALUE"""),4477.0)</f>
        <v>4477</v>
      </c>
      <c r="B4479" s="87" t="str">
        <f>IFERROR(__xludf.DUMMYFUNCTION("""COMPUTED_VALUE"""),"[Nhãn thùng]")</f>
        <v>[Nhãn thùng]</v>
      </c>
      <c r="C4479" s="87" t="str">
        <f>IFERROR(__xludf.DUMMYFUNCTION("""COMPUTED_VALUE"""),"NDT3672")</f>
        <v>NDT3672</v>
      </c>
      <c r="D4479" s="87" t="str">
        <f>IFERROR(__xludf.DUMMYFUNCTION("""COMPUTED_VALUE"""),"[Nhãn thùng] LOT IDA Global - I - 3672 - ĐL Trịnh Thến - Sư Tử Gold (Nước nâu đen) - 450ml - 40")</f>
        <v>[Nhãn thùng] LOT IDA Global - I - 3672 - ĐL Trịnh Thến - Sư Tử Gold (Nước nâu đen) - 450ml - 40</v>
      </c>
      <c r="E4479" s="87" t="str">
        <f>IFERROR(__xludf.DUMMYFUNCTION("""COMPUTED_VALUE"""),"Chitin 3.6EC")</f>
        <v>Chitin 3.6EC</v>
      </c>
      <c r="F4479" s="87" t="str">
        <f>IFERROR(__xludf.DUMMYFUNCTION("""COMPUTED_VALUE"""),"HH3672")</f>
        <v>HH3672</v>
      </c>
      <c r="G4479" s="87" t="str">
        <f>IFERROR(__xludf.DUMMYFUNCTION("""COMPUTED_VALUE"""),"LOT IDA Global - I - 3672 - ĐL Trịnh Thến - Sư Tử Gold (Nước nâu đen) - 450ml - 40")</f>
        <v>LOT IDA Global - I - 3672 - ĐL Trịnh Thến - Sư Tử Gold (Nước nâu đen) - 450ml - 40</v>
      </c>
    </row>
    <row r="4480">
      <c r="A4480" s="86">
        <f>IFERROR(__xludf.DUMMYFUNCTION("""COMPUTED_VALUE"""),4478.0)</f>
        <v>4478</v>
      </c>
      <c r="B4480" s="87" t="str">
        <f>IFERROR(__xludf.DUMMYFUNCTION("""COMPUTED_VALUE"""),"[Nhãn]")</f>
        <v>[Nhãn]</v>
      </c>
      <c r="C4480" s="87" t="str">
        <f>IFERROR(__xludf.DUMMYFUNCTION("""COMPUTED_VALUE"""),"NHG3673")</f>
        <v>NHG3673</v>
      </c>
      <c r="D4480" s="87" t="str">
        <f>IFERROR(__xludf.DUMMYFUNCTION("""COMPUTED_VALUE"""),"[Nhãn] GC - IV - 3673 - Cty Thiên Di (A Thành Dol) - KÍCH RỄ MAI VÀNG - 100ml - 100")</f>
        <v>[Nhãn] GC - IV - 3673 - Cty Thiên Di (A Thành Dol) - KÍCH RỄ MAI VÀNG - 100ml - 100</v>
      </c>
      <c r="E4480" s="87" t="str">
        <f>IFERROR(__xludf.DUMMYFUNCTION("""COMPUTED_VALUE"""),"Hữu cơ SH Agro Organic Fertilizer 20")</f>
        <v>Hữu cơ SH Agro Organic Fertilizer 20</v>
      </c>
      <c r="F4480" s="87" t="str">
        <f>IFERROR(__xludf.DUMMYFUNCTION("""COMPUTED_VALUE"""),"HH3673")</f>
        <v>HH3673</v>
      </c>
      <c r="G4480" s="87" t="str">
        <f>IFERROR(__xludf.DUMMYFUNCTION("""COMPUTED_VALUE"""),"GC - IV - 3673 - Cty Thiên Di (A Thành Dol) - KÍCH RỄ MAI VÀNG - 100ml - 100")</f>
        <v>GC - IV - 3673 - Cty Thiên Di (A Thành Dol) - KÍCH RỄ MAI VÀNG - 100ml - 100</v>
      </c>
    </row>
    <row r="4481">
      <c r="A4481" s="86">
        <f>IFERROR(__xludf.DUMMYFUNCTION("""COMPUTED_VALUE"""),4479.0)</f>
        <v>4479</v>
      </c>
      <c r="B4481" s="87" t="str">
        <f>IFERROR(__xludf.DUMMYFUNCTION("""COMPUTED_VALUE"""),"[Nhãn]")</f>
        <v>[Nhãn]</v>
      </c>
      <c r="C4481" s="87" t="str">
        <f>IFERROR(__xludf.DUMMYFUNCTION("""COMPUTED_VALUE"""),"NHG3674")</f>
        <v>NHG3674</v>
      </c>
      <c r="D4481" s="87" t="str">
        <f>IFERROR(__xludf.DUMMYFUNCTION("""COMPUTED_VALUE"""),"[Nhãn] GC - IV - 3674 - CTY HAT GROUP - ĐẠI BÀNG CHÚA (Nước vàng trà V1) - 400ml - 40")</f>
        <v>[Nhãn] GC - IV - 3674 - CTY HAT GROUP - ĐẠI BÀNG CHÚA (Nước vàng trà V1) - 400ml - 40</v>
      </c>
      <c r="E4481" s="87" t="str">
        <f>IFERROR(__xludf.DUMMYFUNCTION("""COMPUTED_VALUE"""),"Thipro 550EC")</f>
        <v>Thipro 550EC</v>
      </c>
      <c r="F4481" s="87" t="str">
        <f>IFERROR(__xludf.DUMMYFUNCTION("""COMPUTED_VALUE"""),"HH3674")</f>
        <v>HH3674</v>
      </c>
      <c r="G4481" s="87" t="str">
        <f>IFERROR(__xludf.DUMMYFUNCTION("""COMPUTED_VALUE"""),"GC - IV - 3674 - CTY HAT GROUP - ĐẠI BÀNG CHÚA (Nước vàng trà V1) - 400ml - 40")</f>
        <v>GC - IV - 3674 - CTY HAT GROUP - ĐẠI BÀNG CHÚA (Nước vàng trà V1) - 400ml - 40</v>
      </c>
    </row>
    <row r="4482">
      <c r="A4482" s="86">
        <f>IFERROR(__xludf.DUMMYFUNCTION("""COMPUTED_VALUE"""),4480.0)</f>
        <v>4480</v>
      </c>
      <c r="B4482" s="87" t="str">
        <f>IFERROR(__xludf.DUMMYFUNCTION("""COMPUTED_VALUE"""),"[Nhãn]")</f>
        <v>[Nhãn]</v>
      </c>
      <c r="C4482" s="87" t="str">
        <f>IFERROR(__xludf.DUMMYFUNCTION("""COMPUTED_VALUE"""),"NHG3676")</f>
        <v>NHG3676</v>
      </c>
      <c r="D4482" s="87" t="str">
        <f>IFERROR(__xludf.DUMMYFUNCTION("""COMPUTED_VALUE"""),"[Nhãn] GC - II - 3676 - ĐINH THẮNG ĐỒNG - HAIHAMEC 3.6EC (Nước nâu đen) - 450ml - 40")</f>
        <v>[Nhãn] GC - II - 3676 - ĐINH THẮNG ĐỒNG - HAIHAMEC 3.6EC (Nước nâu đen) - 450ml - 40</v>
      </c>
      <c r="E4482" s="87" t="str">
        <f>IFERROR(__xludf.DUMMYFUNCTION("""COMPUTED_VALUE"""),"HAIHAMEC 3.6EC")</f>
        <v>HAIHAMEC 3.6EC</v>
      </c>
      <c r="F4482" s="87" t="str">
        <f>IFERROR(__xludf.DUMMYFUNCTION("""COMPUTED_VALUE"""),"HH3676")</f>
        <v>HH3676</v>
      </c>
      <c r="G4482" s="87" t="str">
        <f>IFERROR(__xludf.DUMMYFUNCTION("""COMPUTED_VALUE"""),"GC - II - 3676 - ĐINH THẮNG ĐỒNG - HAIHAMEC 3.6EC (Nước nâu đen) - 450ml - 40")</f>
        <v>GC - II - 3676 - ĐINH THẮNG ĐỒNG - HAIHAMEC 3.6EC (Nước nâu đen) - 450ml - 40</v>
      </c>
    </row>
    <row r="4483">
      <c r="A4483" s="86">
        <f>IFERROR(__xludf.DUMMYFUNCTION("""COMPUTED_VALUE"""),4481.0)</f>
        <v>4481</v>
      </c>
      <c r="B4483" s="87" t="str">
        <f>IFERROR(__xludf.DUMMYFUNCTION("""COMPUTED_VALUE"""),"[Nhãn]")</f>
        <v>[Nhãn]</v>
      </c>
      <c r="C4483" s="87" t="str">
        <f>IFERROR(__xludf.DUMMYFUNCTION("""COMPUTED_VALUE"""),"NHG3678")</f>
        <v>NHG3678</v>
      </c>
      <c r="D4483" s="87" t="str">
        <f>IFERROR(__xludf.DUMMYFUNCTION("""COMPUTED_VALUE"""),"[Nhãn] GC - IV - 3678 - TRẦN GIA - KIM CƯƠNG (Nước vàng trà) - 240ml - 40")</f>
        <v>[Nhãn] GC - IV - 3678 - TRẦN GIA - KIM CƯƠNG (Nước vàng trà) - 240ml - 40</v>
      </c>
      <c r="E4483" s="87" t="str">
        <f>IFERROR(__xludf.DUMMYFUNCTION("""COMPUTED_VALUE"""),"AMICOL 360EC")</f>
        <v>AMICOL 360EC</v>
      </c>
      <c r="F4483" s="87" t="str">
        <f>IFERROR(__xludf.DUMMYFUNCTION("""COMPUTED_VALUE"""),"HH3678")</f>
        <v>HH3678</v>
      </c>
      <c r="G4483" s="87" t="str">
        <f>IFERROR(__xludf.DUMMYFUNCTION("""COMPUTED_VALUE"""),"GC - IV - 3678 - TRẦN GIA - KIM CƯƠNG (Nước vàng trà) - 240ml - 40")</f>
        <v>GC - IV - 3678 - TRẦN GIA - KIM CƯƠNG (Nước vàng trà) - 240ml - 40</v>
      </c>
    </row>
    <row r="4484">
      <c r="A4484" s="86">
        <f>IFERROR(__xludf.DUMMYFUNCTION("""COMPUTED_VALUE"""),4482.0)</f>
        <v>4482</v>
      </c>
      <c r="B4484" s="87" t="str">
        <f>IFERROR(__xludf.DUMMYFUNCTION("""COMPUTED_VALUE"""),"[Nhãn]")</f>
        <v>[Nhãn]</v>
      </c>
      <c r="C4484" s="87" t="str">
        <f>IFERROR(__xludf.DUMMYFUNCTION("""COMPUTED_VALUE"""),"NHG3679")</f>
        <v>NHG3679</v>
      </c>
      <c r="D4484" s="87" t="str">
        <f>IFERROR(__xludf.DUMMYFUNCTION("""COMPUTED_VALUE"""),"[Nhãn] GC - IV - 3679 - Cty Hóa Nông Shino - KALI SỮA (Nước hồng sữa) - 500ml - 30")</f>
        <v>[Nhãn] GC - IV - 3679 - Cty Hóa Nông Shino - KALI SỮA (Nước hồng sữa) - 500ml - 30</v>
      </c>
      <c r="E4484" s="87" t="str">
        <f>IFERROR(__xludf.DUMMYFUNCTION("""COMPUTED_VALUE"""),"HỖN HỢP NPK AGAMA-SRH")</f>
        <v>HỖN HỢP NPK AGAMA-SRH</v>
      </c>
      <c r="F4484" s="87" t="str">
        <f>IFERROR(__xludf.DUMMYFUNCTION("""COMPUTED_VALUE"""),"HH3679")</f>
        <v>HH3679</v>
      </c>
      <c r="G4484" s="87" t="str">
        <f>IFERROR(__xludf.DUMMYFUNCTION("""COMPUTED_VALUE"""),"GC - IV - 3679 - Cty Hóa Nông Shino - KALI SỮA (Nước hồng sữa) - 500ml - 30")</f>
        <v>GC - IV - 3679 - Cty Hóa Nông Shino - KALI SỮA (Nước hồng sữa) - 500ml - 30</v>
      </c>
    </row>
    <row r="4485">
      <c r="A4485" s="86">
        <f>IFERROR(__xludf.DUMMYFUNCTION("""COMPUTED_VALUE"""),4483.0)</f>
        <v>4483</v>
      </c>
      <c r="B4485" s="87" t="str">
        <f>IFERROR(__xludf.DUMMYFUNCTION("""COMPUTED_VALUE"""),"[Nhãn]")</f>
        <v>[Nhãn]</v>
      </c>
      <c r="C4485" s="87" t="str">
        <f>IFERROR(__xludf.DUMMYFUNCTION("""COMPUTED_VALUE"""),"NHD3680")</f>
        <v>NHD3680</v>
      </c>
      <c r="D4485" s="87" t="str">
        <f>IFERROR(__xludf.DUMMYFUNCTION("""COMPUTED_VALUE"""),"[Nhãn] LOT IDA Global - I - 3680 - ĐL Tập Hưng - Con Cọp 36 (Nước nâu đen) - 450ml - 40")</f>
        <v>[Nhãn] LOT IDA Global - I - 3680 - ĐL Tập Hưng - Con Cọp 36 (Nước nâu đen) - 450ml - 40</v>
      </c>
      <c r="E4485" s="87" t="str">
        <f>IFERROR(__xludf.DUMMYFUNCTION("""COMPUTED_VALUE"""),"Chitin 3.6EC")</f>
        <v>Chitin 3.6EC</v>
      </c>
      <c r="F4485" s="87" t="str">
        <f>IFERROR(__xludf.DUMMYFUNCTION("""COMPUTED_VALUE"""),"HH3680")</f>
        <v>HH3680</v>
      </c>
      <c r="G4485" s="87" t="str">
        <f>IFERROR(__xludf.DUMMYFUNCTION("""COMPUTED_VALUE"""),"LOT IDA Global - I - 3680 - ĐL Tập Hưng - Con Cọp 36 (Nước nâu đen) - 450ml - 40")</f>
        <v>LOT IDA Global - I - 3680 - ĐL Tập Hưng - Con Cọp 36 (Nước nâu đen) - 450ml - 40</v>
      </c>
    </row>
    <row r="4486">
      <c r="A4486" s="86">
        <f>IFERROR(__xludf.DUMMYFUNCTION("""COMPUTED_VALUE"""),4484.0)</f>
        <v>4484</v>
      </c>
      <c r="B4486" s="87" t="str">
        <f>IFERROR(__xludf.DUMMYFUNCTION("""COMPUTED_VALUE"""),"[Nhãn thùng]")</f>
        <v>[Nhãn thùng]</v>
      </c>
      <c r="C4486" s="87" t="str">
        <f>IFERROR(__xludf.DUMMYFUNCTION("""COMPUTED_VALUE"""),"NDT3680")</f>
        <v>NDT3680</v>
      </c>
      <c r="D4486" s="87" t="str">
        <f>IFERROR(__xludf.DUMMYFUNCTION("""COMPUTED_VALUE"""),"[Nhãn thùng] LOT IDA Global - I - 3680 - ĐL Tập Hưng - Con Cọp 36 (Nước nâu đen) - 450ml - 40")</f>
        <v>[Nhãn thùng] LOT IDA Global - I - 3680 - ĐL Tập Hưng - Con Cọp 36 (Nước nâu đen) - 450ml - 40</v>
      </c>
      <c r="E4486" s="87" t="str">
        <f>IFERROR(__xludf.DUMMYFUNCTION("""COMPUTED_VALUE"""),"Chitin 3.6EC")</f>
        <v>Chitin 3.6EC</v>
      </c>
      <c r="F4486" s="87" t="str">
        <f>IFERROR(__xludf.DUMMYFUNCTION("""COMPUTED_VALUE"""),"HH3680")</f>
        <v>HH3680</v>
      </c>
      <c r="G4486" s="87" t="str">
        <f>IFERROR(__xludf.DUMMYFUNCTION("""COMPUTED_VALUE"""),"LOT IDA Global - I - 3680 - ĐL Tập Hưng - Con Cọp 36 (Nước nâu đen) - 450ml - 40")</f>
        <v>LOT IDA Global - I - 3680 - ĐL Tập Hưng - Con Cọp 36 (Nước nâu đen) - 450ml - 40</v>
      </c>
    </row>
    <row r="4487">
      <c r="A4487" s="86">
        <f>IFERROR(__xludf.DUMMYFUNCTION("""COMPUTED_VALUE"""),4485.0)</f>
        <v>4485</v>
      </c>
      <c r="B4487" s="87" t="str">
        <f>IFERROR(__xludf.DUMMYFUNCTION("""COMPUTED_VALUE"""),"[Nhãn]")</f>
        <v>[Nhãn]</v>
      </c>
      <c r="C4487" s="87" t="str">
        <f>IFERROR(__xludf.DUMMYFUNCTION("""COMPUTED_VALUE"""),"NTN3681")</f>
        <v>NTN3681</v>
      </c>
      <c r="D4487" s="87" t="str">
        <f>IFERROR(__xludf.DUMMYFUNCTION("""COMPUTED_VALUE"""),"[Nhãn] GC - IV - 3681 - A.Diễn Cty Sen Hồng - MANCO GREEN (Bột xanh) - 1kg - 20")</f>
        <v>[Nhãn] GC - IV - 3681 - A.Diễn Cty Sen Hồng - MANCO GREEN (Bột xanh) - 1kg - 20</v>
      </c>
      <c r="E4487" s="87" t="str">
        <f>IFERROR(__xludf.DUMMYFUNCTION("""COMPUTED_VALUE"""),"MANCOBGO 80WP")</f>
        <v>MANCOBGO 80WP</v>
      </c>
      <c r="F4487" s="87" t="str">
        <f>IFERROR(__xludf.DUMMYFUNCTION("""COMPUTED_VALUE"""),"HH3681")</f>
        <v>HH3681</v>
      </c>
      <c r="G4487" s="87" t="str">
        <f>IFERROR(__xludf.DUMMYFUNCTION("""COMPUTED_VALUE"""),"GC - IV - 3681 - A.Diễn Cty Sen Hồng - MANCO GREEN (Bột xanh) - 1kg - 20")</f>
        <v>GC - IV - 3681 - A.Diễn Cty Sen Hồng - MANCO GREEN (Bột xanh) - 1kg - 20</v>
      </c>
    </row>
    <row r="4488">
      <c r="A4488" s="86">
        <f>IFERROR(__xludf.DUMMYFUNCTION("""COMPUTED_VALUE"""),4486.0)</f>
        <v>4486</v>
      </c>
      <c r="B4488" s="87" t="str">
        <f>IFERROR(__xludf.DUMMYFUNCTION("""COMPUTED_VALUE"""),"[Nhãn thùng]")</f>
        <v>[Nhãn thùng]</v>
      </c>
      <c r="C4488" s="87" t="str">
        <f>IFERROR(__xludf.DUMMYFUNCTION("""COMPUTED_VALUE"""),"NDT3681")</f>
        <v>NDT3681</v>
      </c>
      <c r="D4488" s="87" t="str">
        <f>IFERROR(__xludf.DUMMYFUNCTION("""COMPUTED_VALUE"""),"[Nhãn thùng] GC - IV - 3681 - A.Diễn Cty Sen Hồng - MANCO GREEN (Bột xanh) - 1kg - 20")</f>
        <v>[Nhãn thùng] GC - IV - 3681 - A.Diễn Cty Sen Hồng - MANCO GREEN (Bột xanh) - 1kg - 20</v>
      </c>
      <c r="E4488" s="87" t="str">
        <f>IFERROR(__xludf.DUMMYFUNCTION("""COMPUTED_VALUE"""),"MANCOBGO 80WP")</f>
        <v>MANCOBGO 80WP</v>
      </c>
      <c r="F4488" s="87" t="str">
        <f>IFERROR(__xludf.DUMMYFUNCTION("""COMPUTED_VALUE"""),"HH3681")</f>
        <v>HH3681</v>
      </c>
      <c r="G4488" s="87" t="str">
        <f>IFERROR(__xludf.DUMMYFUNCTION("""COMPUTED_VALUE"""),"GC - IV - 3681 - A.Diễn Cty Sen Hồng - MANCO GREEN (Bột xanh) - 1kg - 20")</f>
        <v>GC - IV - 3681 - A.Diễn Cty Sen Hồng - MANCO GREEN (Bột xanh) - 1kg - 20</v>
      </c>
    </row>
    <row r="4489">
      <c r="A4489" s="86">
        <f>IFERROR(__xludf.DUMMYFUNCTION("""COMPUTED_VALUE"""),4487.0)</f>
        <v>4487</v>
      </c>
      <c r="B4489" s="87" t="str">
        <f>IFERROR(__xludf.DUMMYFUNCTION("""COMPUTED_VALUE"""),"[Nhãn thùng]")</f>
        <v>[Nhãn thùng]</v>
      </c>
      <c r="C4489" s="87" t="str">
        <f>IFERROR(__xludf.DUMMYFUNCTION("""COMPUTED_VALUE"""),"NDT3682")</f>
        <v>NDT3682</v>
      </c>
      <c r="D4489" s="87" t="str">
        <f>IFERROR(__xludf.DUMMYFUNCTION("""COMPUTED_VALUE"""),"[Nhãn thùng] GC - IV - 3682 - A.Diễn Cty Sen Hồng - MANCO GREEN (Bột xanh) - 1kg - 20")</f>
        <v>[Nhãn thùng] GC - IV - 3682 - A.Diễn Cty Sen Hồng - MANCO GREEN (Bột xanh) - 1kg - 20</v>
      </c>
      <c r="E4489" s="87" t="str">
        <f>IFERROR(__xludf.DUMMYFUNCTION("""COMPUTED_VALUE"""),"MANCOBGO 80WP")</f>
        <v>MANCOBGO 80WP</v>
      </c>
      <c r="F4489" s="87" t="str">
        <f>IFERROR(__xludf.DUMMYFUNCTION("""COMPUTED_VALUE"""),"HH3682")</f>
        <v>HH3682</v>
      </c>
      <c r="G4489" s="87" t="str">
        <f>IFERROR(__xludf.DUMMYFUNCTION("""COMPUTED_VALUE"""),"GC - IV - 3682 - A.Diễn Cty Sen Hồng - MANCO GREEN (Bột xanh) - 1kg - 20")</f>
        <v>GC - IV - 3682 - A.Diễn Cty Sen Hồng - MANCO GREEN (Bột xanh) - 1kg - 20</v>
      </c>
    </row>
    <row r="4490">
      <c r="A4490" s="86">
        <f>IFERROR(__xludf.DUMMYFUNCTION("""COMPUTED_VALUE"""),4488.0)</f>
        <v>4488</v>
      </c>
      <c r="B4490" s="87" t="str">
        <f>IFERROR(__xludf.DUMMYFUNCTION("""COMPUTED_VALUE"""),"[Nhãn]")</f>
        <v>[Nhãn]</v>
      </c>
      <c r="C4490" s="87" t="str">
        <f>IFERROR(__xludf.DUMMYFUNCTION("""COMPUTED_VALUE"""),"NTN3682")</f>
        <v>NTN3682</v>
      </c>
      <c r="D4490" s="87" t="str">
        <f>IFERROR(__xludf.DUMMYFUNCTION("""COMPUTED_VALUE"""),"[Nhãn] GC - IV - 3682 - A.Diễn Cty Sen Hồng - MANCO GREEN (Bột xanh) - 1kg - 20")</f>
        <v>[Nhãn] GC - IV - 3682 - A.Diễn Cty Sen Hồng - MANCO GREEN (Bột xanh) - 1kg - 20</v>
      </c>
      <c r="E4490" s="87" t="str">
        <f>IFERROR(__xludf.DUMMYFUNCTION("""COMPUTED_VALUE"""),"MANCOBGO 80WP")</f>
        <v>MANCOBGO 80WP</v>
      </c>
      <c r="F4490" s="87" t="str">
        <f>IFERROR(__xludf.DUMMYFUNCTION("""COMPUTED_VALUE"""),"HH3682")</f>
        <v>HH3682</v>
      </c>
      <c r="G4490" s="87" t="str">
        <f>IFERROR(__xludf.DUMMYFUNCTION("""COMPUTED_VALUE"""),"GC - IV - 3682 - A.Diễn Cty Sen Hồng - MANCO GREEN (Bột xanh) - 1kg - 20")</f>
        <v>GC - IV - 3682 - A.Diễn Cty Sen Hồng - MANCO GREEN (Bột xanh) - 1kg - 20</v>
      </c>
    </row>
    <row r="4491">
      <c r="A4491" s="86">
        <f>IFERROR(__xludf.DUMMYFUNCTION("""COMPUTED_VALUE"""),4489.0)</f>
        <v>4489</v>
      </c>
      <c r="B4491" s="87" t="str">
        <f>IFERROR(__xludf.DUMMYFUNCTION("""COMPUTED_VALUE"""),"[Nhãn]")</f>
        <v>[Nhãn]</v>
      </c>
      <c r="C4491" s="87" t="str">
        <f>IFERROR(__xludf.DUMMYFUNCTION("""COMPUTED_VALUE"""),"NHG3683")</f>
        <v>NHG3683</v>
      </c>
      <c r="D4491" s="87" t="str">
        <f>IFERROR(__xludf.DUMMYFUNCTION("""COMPUTED_VALUE"""),"[Nhãn] GC - IV - 3683 - Cty Kim Ngọc - Cỏ Lưu Dẫn (nước đỏ) - 900ml - 20")</f>
        <v>[Nhãn] GC - IV - 3683 - Cty Kim Ngọc - Cỏ Lưu Dẫn (nước đỏ) - 900ml - 20</v>
      </c>
      <c r="E4491" s="87" t="str">
        <f>IFERROR(__xludf.DUMMYFUNCTION("""COMPUTED_VALUE"""),"NEWFOSINATE 150SL")</f>
        <v>NEWFOSINATE 150SL</v>
      </c>
      <c r="F4491" s="87" t="str">
        <f>IFERROR(__xludf.DUMMYFUNCTION("""COMPUTED_VALUE"""),"HH3683")</f>
        <v>HH3683</v>
      </c>
      <c r="G4491" s="87" t="str">
        <f>IFERROR(__xludf.DUMMYFUNCTION("""COMPUTED_VALUE"""),"GC - IV - 3683 - Cty Kim Ngọc - Cỏ Lưu Dẫn (nước đỏ) - 900ml - 20")</f>
        <v>GC - IV - 3683 - Cty Kim Ngọc - Cỏ Lưu Dẫn (nước đỏ) - 900ml - 20</v>
      </c>
    </row>
    <row r="4492">
      <c r="A4492" s="86">
        <f>IFERROR(__xludf.DUMMYFUNCTION("""COMPUTED_VALUE"""),4490.0)</f>
        <v>4490</v>
      </c>
      <c r="B4492" s="87" t="str">
        <f>IFERROR(__xludf.DUMMYFUNCTION("""COMPUTED_VALUE"""),"[Nhãn]")</f>
        <v>[Nhãn]</v>
      </c>
      <c r="C4492" s="87" t="str">
        <f>IFERROR(__xludf.DUMMYFUNCTION("""COMPUTED_VALUE"""),"NHG3684")</f>
        <v>NHG3684</v>
      </c>
      <c r="D4492" s="87" t="str">
        <f>IFERROR(__xludf.DUMMYFUNCTION("""COMPUTED_VALUE"""),"[Nhãn] GC - IV - 3684 - Cty Sen Hồng - Haihamec 3.6EC (nước nâu đen) - 450ml - 40")</f>
        <v>[Nhãn] GC - IV - 3684 - Cty Sen Hồng - Haihamec 3.6EC (nước nâu đen) - 450ml - 40</v>
      </c>
      <c r="E4492" s="87" t="str">
        <f>IFERROR(__xludf.DUMMYFUNCTION("""COMPUTED_VALUE"""),"HAIHAMEC 3.6EC")</f>
        <v>HAIHAMEC 3.6EC</v>
      </c>
      <c r="F4492" s="87" t="str">
        <f>IFERROR(__xludf.DUMMYFUNCTION("""COMPUTED_VALUE"""),"HH3684")</f>
        <v>HH3684</v>
      </c>
      <c r="G4492" s="87" t="str">
        <f>IFERROR(__xludf.DUMMYFUNCTION("""COMPUTED_VALUE"""),"GC - IV - 3684 - Cty Sen Hồng - Haihamec 3.6EC (nước nâu đen) - 450ml - 40")</f>
        <v>GC - IV - 3684 - Cty Sen Hồng - Haihamec 3.6EC (nước nâu đen) - 450ml - 40</v>
      </c>
    </row>
    <row r="4493">
      <c r="A4493" s="86">
        <f>IFERROR(__xludf.DUMMYFUNCTION("""COMPUTED_VALUE"""),4491.0)</f>
        <v>4491</v>
      </c>
      <c r="B4493" s="87" t="str">
        <f>IFERROR(__xludf.DUMMYFUNCTION("""COMPUTED_VALUE"""),"[Nhãn]")</f>
        <v>[Nhãn]</v>
      </c>
      <c r="C4493" s="87" t="str">
        <f>IFERROR(__xludf.DUMMYFUNCTION("""COMPUTED_VALUE"""),"NHG3686")</f>
        <v>NHG3686</v>
      </c>
      <c r="D4493" s="87" t="str">
        <f>IFERROR(__xludf.DUMMYFUNCTION("""COMPUTED_VALUE"""),"[Nhãn] DR.XANH - II - 3686 - FLASH 550 (nước tím) - 250ml - 40")</f>
        <v>[Nhãn] DR.XANH - II - 3686 - FLASH 550 (nước tím) - 250ml - 40</v>
      </c>
      <c r="E4493" s="87" t="str">
        <f>IFERROR(__xludf.DUMMYFUNCTION("""COMPUTED_VALUE"""),"Thipro 550EC")</f>
        <v>Thipro 550EC</v>
      </c>
      <c r="F4493" s="87" t="str">
        <f>IFERROR(__xludf.DUMMYFUNCTION("""COMPUTED_VALUE"""),"HH3686")</f>
        <v>HH3686</v>
      </c>
      <c r="G4493" s="87" t="str">
        <f>IFERROR(__xludf.DUMMYFUNCTION("""COMPUTED_VALUE"""),"DR.XANH - II - 3686 - FLASH 550 (nước tím) - 250ml - 40")</f>
        <v>DR.XANH - II - 3686 - FLASH 550 (nước tím) - 250ml - 40</v>
      </c>
    </row>
    <row r="4494">
      <c r="A4494" s="86">
        <f>IFERROR(__xludf.DUMMYFUNCTION("""COMPUTED_VALUE"""),4492.0)</f>
        <v>4492</v>
      </c>
      <c r="B4494" s="87" t="str">
        <f>IFERROR(__xludf.DUMMYFUNCTION("""COMPUTED_VALUE"""),"[Nhãn]")</f>
        <v>[Nhãn]</v>
      </c>
      <c r="C4494" s="87" t="str">
        <f>IFERROR(__xludf.DUMMYFUNCTION("""COMPUTED_VALUE"""),"NHD3688")</f>
        <v>NHD3688</v>
      </c>
      <c r="D4494" s="87" t="str">
        <f>IFERROR(__xludf.DUMMYFUNCTION("""COMPUTED_VALUE"""),"[Nhãn] GC - I - 3688 - ĐL Kim Khoa - Creek 2.1EC (Nước vàng trà) - 450ml - 40")</f>
        <v>[Nhãn] GC - I - 3688 - ĐL Kim Khoa - Creek 2.1EC (Nước vàng trà) - 450ml - 40</v>
      </c>
      <c r="E4494" s="87" t="str">
        <f>IFERROR(__xludf.DUMMYFUNCTION("""COMPUTED_VALUE"""),"Creek 2.1EC")</f>
        <v>Creek 2.1EC</v>
      </c>
      <c r="F4494" s="87" t="str">
        <f>IFERROR(__xludf.DUMMYFUNCTION("""COMPUTED_VALUE"""),"HH3688")</f>
        <v>HH3688</v>
      </c>
      <c r="G4494" s="87" t="str">
        <f>IFERROR(__xludf.DUMMYFUNCTION("""COMPUTED_VALUE"""),"GC - I - 3688 - ĐL Kim Khoa - Creek 2.1EC (Nước vàng trà) - 450ml - 40")</f>
        <v>GC - I - 3688 - ĐL Kim Khoa - Creek 2.1EC (Nước vàng trà) - 450ml - 40</v>
      </c>
    </row>
    <row r="4495">
      <c r="A4495" s="86">
        <f>IFERROR(__xludf.DUMMYFUNCTION("""COMPUTED_VALUE"""),4493.0)</f>
        <v>4493</v>
      </c>
      <c r="B4495" s="87" t="str">
        <f>IFERROR(__xludf.DUMMYFUNCTION("""COMPUTED_VALUE"""),"[Nhãn thùng]")</f>
        <v>[Nhãn thùng]</v>
      </c>
      <c r="C4495" s="87" t="str">
        <f>IFERROR(__xludf.DUMMYFUNCTION("""COMPUTED_VALUE"""),"NDT3688")</f>
        <v>NDT3688</v>
      </c>
      <c r="D4495" s="87" t="str">
        <f>IFERROR(__xludf.DUMMYFUNCTION("""COMPUTED_VALUE"""),"[Nhãn thùng] GC - I - 3688 - ĐL Kim Khoa - Creek 2.1EC (Nước vàng trà) - 450ml - 40")</f>
        <v>[Nhãn thùng] GC - I - 3688 - ĐL Kim Khoa - Creek 2.1EC (Nước vàng trà) - 450ml - 40</v>
      </c>
      <c r="E4495" s="87" t="str">
        <f>IFERROR(__xludf.DUMMYFUNCTION("""COMPUTED_VALUE"""),"Creek 2.1EC")</f>
        <v>Creek 2.1EC</v>
      </c>
      <c r="F4495" s="87" t="str">
        <f>IFERROR(__xludf.DUMMYFUNCTION("""COMPUTED_VALUE"""),"HH3688")</f>
        <v>HH3688</v>
      </c>
      <c r="G4495" s="87" t="str">
        <f>IFERROR(__xludf.DUMMYFUNCTION("""COMPUTED_VALUE"""),"GC - I - 3688 - ĐL Kim Khoa - Creek 2.1EC (Nước vàng trà) - 450ml - 40")</f>
        <v>GC - I - 3688 - ĐL Kim Khoa - Creek 2.1EC (Nước vàng trà) - 450ml - 40</v>
      </c>
    </row>
    <row r="4496">
      <c r="A4496" s="86">
        <f>IFERROR(__xludf.DUMMYFUNCTION("""COMPUTED_VALUE"""),4494.0)</f>
        <v>4494</v>
      </c>
      <c r="B4496" s="87" t="str">
        <f>IFERROR(__xludf.DUMMYFUNCTION("""COMPUTED_VALUE"""),"[Nhãn]")</f>
        <v>[Nhãn]</v>
      </c>
      <c r="C4496" s="87" t="str">
        <f>IFERROR(__xludf.DUMMYFUNCTION("""COMPUTED_VALUE"""),"NTN3688")</f>
        <v>NTN3688</v>
      </c>
      <c r="D4496" s="87" t="str">
        <f>IFERROR(__xludf.DUMMYFUNCTION("""COMPUTED_VALUE"""),"[Nhãn] GC - I - 3688 - ĐL Kim Khoa - Creek 2.1EC (Nước vàng trà) - 450ml - 40")</f>
        <v>[Nhãn] GC - I - 3688 - ĐL Kim Khoa - Creek 2.1EC (Nước vàng trà) - 450ml - 40</v>
      </c>
      <c r="E4496" s="87" t="str">
        <f>IFERROR(__xludf.DUMMYFUNCTION("""COMPUTED_VALUE"""),"Creek 2.1EC")</f>
        <v>Creek 2.1EC</v>
      </c>
      <c r="F4496" s="87" t="str">
        <f>IFERROR(__xludf.DUMMYFUNCTION("""COMPUTED_VALUE"""),"HH3688")</f>
        <v>HH3688</v>
      </c>
      <c r="G4496" s="87" t="str">
        <f>IFERROR(__xludf.DUMMYFUNCTION("""COMPUTED_VALUE"""),"GC - I - 3688 - ĐL Kim Khoa - Creek 2.1EC (Nước vàng trà) - 450ml - 40")</f>
        <v>GC - I - 3688 - ĐL Kim Khoa - Creek 2.1EC (Nước vàng trà) - 450ml - 40</v>
      </c>
    </row>
    <row r="4497">
      <c r="A4497" s="86">
        <f>IFERROR(__xludf.DUMMYFUNCTION("""COMPUTED_VALUE"""),4495.0)</f>
        <v>4495</v>
      </c>
      <c r="B4497" s="87" t="str">
        <f>IFERROR(__xludf.DUMMYFUNCTION("""COMPUTED_VALUE"""),"[Nhãn]")</f>
        <v>[Nhãn]</v>
      </c>
      <c r="C4497" s="87" t="str">
        <f>IFERROR(__xludf.DUMMYFUNCTION("""COMPUTED_VALUE"""),"NHG3690")</f>
        <v>NHG3690</v>
      </c>
      <c r="D4497" s="87" t="str">
        <f>IFERROR(__xludf.DUMMYFUNCTION("""COMPUTED_VALUE"""),"[Nhãn] GC - IV - 3690 - Sen Hồng - SẠCH KHUẨN (nước tím) - 250ml - 40")</f>
        <v>[Nhãn] GC - IV - 3690 - Sen Hồng - SẠCH KHUẨN (nước tím) - 250ml - 40</v>
      </c>
      <c r="E4497" s="87" t="str">
        <f>IFERROR(__xludf.DUMMYFUNCTION("""COMPUTED_VALUE"""),"GENOL 1.2SL")</f>
        <v>GENOL 1.2SL</v>
      </c>
      <c r="F4497" s="87" t="str">
        <f>IFERROR(__xludf.DUMMYFUNCTION("""COMPUTED_VALUE"""),"HH3690")</f>
        <v>HH3690</v>
      </c>
      <c r="G4497" s="87" t="str">
        <f>IFERROR(__xludf.DUMMYFUNCTION("""COMPUTED_VALUE"""),"GC - IV - 3690 - Sen Hồng - SẠCH KHUẨN (nước tím) - 250ml - 40")</f>
        <v>GC - IV - 3690 - Sen Hồng - SẠCH KHUẨN (nước tím) - 250ml - 40</v>
      </c>
    </row>
    <row r="4498">
      <c r="A4498" s="86">
        <f>IFERROR(__xludf.DUMMYFUNCTION("""COMPUTED_VALUE"""),4496.0)</f>
        <v>4496</v>
      </c>
      <c r="B4498" s="87" t="str">
        <f>IFERROR(__xludf.DUMMYFUNCTION("""COMPUTED_VALUE"""),"[Nhãn]")</f>
        <v>[Nhãn]</v>
      </c>
      <c r="C4498" s="87" t="str">
        <f>IFERROR(__xludf.DUMMYFUNCTION("""COMPUTED_VALUE"""),"NTN3692")</f>
        <v>NTN3692</v>
      </c>
      <c r="D4498" s="87" t="str">
        <f>IFERROR(__xludf.DUMMYFUNCTION("""COMPUTED_VALUE"""),"[Nhãn] GC - IV - 3692 - CTY NÔNG DƯỢC VIỆT AN - PRODIFE’S 8WG (Dạng cốm màu trắng ngà) - 18gr - 400")</f>
        <v>[Nhãn] GC - IV - 3692 - CTY NÔNG DƯỢC VIỆT AN - PRODIFE’S 8WG (Dạng cốm màu trắng ngà) - 18gr - 400</v>
      </c>
      <c r="E4498" s="87" t="str">
        <f>IFERROR(__xludf.DUMMYFUNCTION("""COMPUTED_VALUE"""),"PRODIFE'S 8WG")</f>
        <v>PRODIFE'S 8WG</v>
      </c>
      <c r="F4498" s="87" t="str">
        <f>IFERROR(__xludf.DUMMYFUNCTION("""COMPUTED_VALUE"""),"HH3692")</f>
        <v>HH3692</v>
      </c>
      <c r="G4498" s="87" t="str">
        <f>IFERROR(__xludf.DUMMYFUNCTION("""COMPUTED_VALUE"""),"GC - IV - 3692 - CTY NÔNG DƯỢC VIỆT AN - PRODIFE’S 8WG (Dạng cốm màu trắng ngà) - 18gr - 400")</f>
        <v>GC - IV - 3692 - CTY NÔNG DƯỢC VIỆT AN - PRODIFE’S 8WG (Dạng cốm màu trắng ngà) - 18gr - 400</v>
      </c>
    </row>
    <row r="4499">
      <c r="A4499" s="86">
        <f>IFERROR(__xludf.DUMMYFUNCTION("""COMPUTED_VALUE"""),4497.0)</f>
        <v>4497</v>
      </c>
      <c r="B4499" s="87" t="str">
        <f>IFERROR(__xludf.DUMMYFUNCTION("""COMPUTED_VALUE"""),"[Nhãn]")</f>
        <v>[Nhãn]</v>
      </c>
      <c r="C4499" s="87" t="str">
        <f>IFERROR(__xludf.DUMMYFUNCTION("""COMPUTED_VALUE"""),"NTN3693")</f>
        <v>NTN3693</v>
      </c>
      <c r="D4499" s="87" t="str">
        <f>IFERROR(__xludf.DUMMYFUNCTION("""COMPUTED_VALUE"""),"[Nhãn] GC - IV - 3693 - CTY DONA VINA - SƯ TỬ MAX (Dạng cốm màu trắng ngà) - 12gr - 200")</f>
        <v>[Nhãn] GC - IV - 3693 - CTY DONA VINA - SƯ TỬ MAX (Dạng cốm màu trắng ngà) - 12gr - 200</v>
      </c>
      <c r="E4499" s="87" t="str">
        <f>IFERROR(__xludf.DUMMYFUNCTION("""COMPUTED_VALUE"""),"NOMIDA 700WG")</f>
        <v>NOMIDA 700WG</v>
      </c>
      <c r="F4499" s="87" t="str">
        <f>IFERROR(__xludf.DUMMYFUNCTION("""COMPUTED_VALUE"""),"HH3693")</f>
        <v>HH3693</v>
      </c>
      <c r="G4499" s="87" t="str">
        <f>IFERROR(__xludf.DUMMYFUNCTION("""COMPUTED_VALUE"""),"GC - IV - 3693 - CTY DONA VINA - SƯ TỬ MAX (Dạng cốm màu trắng ngà) - 12gr - 200")</f>
        <v>GC - IV - 3693 - CTY DONA VINA - SƯ TỬ MAX (Dạng cốm màu trắng ngà) - 12gr - 200</v>
      </c>
    </row>
    <row r="4500">
      <c r="A4500" s="86">
        <f>IFERROR(__xludf.DUMMYFUNCTION("""COMPUTED_VALUE"""),4498.0)</f>
        <v>4498</v>
      </c>
      <c r="B4500" s="87" t="str">
        <f>IFERROR(__xludf.DUMMYFUNCTION("""COMPUTED_VALUE"""),"[Nhãn thùng]")</f>
        <v>[Nhãn thùng]</v>
      </c>
      <c r="C4500" s="87" t="str">
        <f>IFERROR(__xludf.DUMMYFUNCTION("""COMPUTED_VALUE"""),"NDT3693")</f>
        <v>NDT3693</v>
      </c>
      <c r="D4500" s="87" t="str">
        <f>IFERROR(__xludf.DUMMYFUNCTION("""COMPUTED_VALUE"""),"[Nhãn thùng] GC - IV - 3693 - CTY DONA VINA - SƯ TỬ MAX (Dạng cốm màu trắng ngà) - 12gr - 200")</f>
        <v>[Nhãn thùng] GC - IV - 3693 - CTY DONA VINA - SƯ TỬ MAX (Dạng cốm màu trắng ngà) - 12gr - 200</v>
      </c>
      <c r="E4500" s="87" t="str">
        <f>IFERROR(__xludf.DUMMYFUNCTION("""COMPUTED_VALUE"""),"NOMIDA 700WG")</f>
        <v>NOMIDA 700WG</v>
      </c>
      <c r="F4500" s="87" t="str">
        <f>IFERROR(__xludf.DUMMYFUNCTION("""COMPUTED_VALUE"""),"HH3693")</f>
        <v>HH3693</v>
      </c>
      <c r="G4500" s="87" t="str">
        <f>IFERROR(__xludf.DUMMYFUNCTION("""COMPUTED_VALUE"""),"GC - IV - 3693 - CTY DONA VINA - SƯ TỬ MAX (Dạng cốm màu trắng ngà) - 12gr - 200")</f>
        <v>GC - IV - 3693 - CTY DONA VINA - SƯ TỬ MAX (Dạng cốm màu trắng ngà) - 12gr - 200</v>
      </c>
    </row>
    <row r="4501">
      <c r="A4501" s="86">
        <f>IFERROR(__xludf.DUMMYFUNCTION("""COMPUTED_VALUE"""),4499.0)</f>
        <v>4499</v>
      </c>
      <c r="B4501" s="87" t="str">
        <f>IFERROR(__xludf.DUMMYFUNCTION("""COMPUTED_VALUE"""),"[Nhãn]")</f>
        <v>[Nhãn]</v>
      </c>
      <c r="C4501" s="87" t="str">
        <f>IFERROR(__xludf.DUMMYFUNCTION("""COMPUTED_VALUE"""),"NHG3696")</f>
        <v>NHG3696</v>
      </c>
      <c r="D4501" s="87" t="str">
        <f>IFERROR(__xludf.DUMMYFUNCTION("""COMPUTED_VALUE"""),"[Nhãn] LOT IDA Global - I - 3696 - Abamectin 3.6 (AG1) (Nước nâu đen) - 450ml - 40")</f>
        <v>[Nhãn] LOT IDA Global - I - 3696 - Abamectin 3.6 (AG1) (Nước nâu đen) - 450ml - 40</v>
      </c>
      <c r="E4501" s="87" t="str">
        <f>IFERROR(__xludf.DUMMYFUNCTION("""COMPUTED_VALUE"""),"HAIHAMEC 3.6EC")</f>
        <v>HAIHAMEC 3.6EC</v>
      </c>
      <c r="F4501" s="87" t="str">
        <f>IFERROR(__xludf.DUMMYFUNCTION("""COMPUTED_VALUE"""),"HH3696")</f>
        <v>HH3696</v>
      </c>
      <c r="G4501" s="87" t="str">
        <f>IFERROR(__xludf.DUMMYFUNCTION("""COMPUTED_VALUE"""),"LOT IDA Global - I - 3696 - Abamectin 3.6 (AG1) (Nước nâu đen) - 450ml - 40")</f>
        <v>LOT IDA Global - I - 3696 - Abamectin 3.6 (AG1) (Nước nâu đen) - 450ml - 40</v>
      </c>
    </row>
    <row r="4502">
      <c r="A4502" s="86">
        <f>IFERROR(__xludf.DUMMYFUNCTION("""COMPUTED_VALUE"""),4500.0)</f>
        <v>4500</v>
      </c>
      <c r="B4502" s="87" t="str">
        <f>IFERROR(__xludf.DUMMYFUNCTION("""COMPUTED_VALUE"""),"[Nhãn thùng]")</f>
        <v>[Nhãn thùng]</v>
      </c>
      <c r="C4502" s="87" t="str">
        <f>IFERROR(__xludf.DUMMYFUNCTION("""COMPUTED_VALUE"""),"NDT3696")</f>
        <v>NDT3696</v>
      </c>
      <c r="D4502" s="87" t="str">
        <f>IFERROR(__xludf.DUMMYFUNCTION("""COMPUTED_VALUE"""),"[Nhãn thùng] LOT IDA Global - I - 3696 - Abamectin 3.6 (AG1) (Nước nâu đen) - 450ml - 40")</f>
        <v>[Nhãn thùng] LOT IDA Global - I - 3696 - Abamectin 3.6 (AG1) (Nước nâu đen) - 450ml - 40</v>
      </c>
      <c r="E4502" s="87" t="str">
        <f>IFERROR(__xludf.DUMMYFUNCTION("""COMPUTED_VALUE"""),"HAIHAMEC 3.6EC")</f>
        <v>HAIHAMEC 3.6EC</v>
      </c>
      <c r="F4502" s="87" t="str">
        <f>IFERROR(__xludf.DUMMYFUNCTION("""COMPUTED_VALUE"""),"HH3696")</f>
        <v>HH3696</v>
      </c>
      <c r="G4502" s="87" t="str">
        <f>IFERROR(__xludf.DUMMYFUNCTION("""COMPUTED_VALUE"""),"LOT IDA Global - I - 3696 - Abamectin 3.6 (AG1) (Nước nâu đen) - 450ml - 40")</f>
        <v>LOT IDA Global - I - 3696 - Abamectin 3.6 (AG1) (Nước nâu đen) - 450ml - 40</v>
      </c>
    </row>
    <row r="4503">
      <c r="A4503" s="86">
        <f>IFERROR(__xludf.DUMMYFUNCTION("""COMPUTED_VALUE"""),4501.0)</f>
        <v>4501</v>
      </c>
      <c r="B4503" s="87" t="str">
        <f>IFERROR(__xludf.DUMMYFUNCTION("""COMPUTED_VALUE"""),"[Nhãn]")</f>
        <v>[Nhãn]</v>
      </c>
      <c r="C4503" s="87" t="str">
        <f>IFERROR(__xludf.DUMMYFUNCTION("""COMPUTED_VALUE"""),"NTN3697")</f>
        <v>NTN3697</v>
      </c>
      <c r="D4503" s="87" t="str">
        <f>IFERROR(__xludf.DUMMYFUNCTION("""COMPUTED_VALUE"""),"[Nhãn] GC - IV - 3697 - NHP GROUP - MANCOBGO 80WP (Bột xanh) - 1kg - 20")</f>
        <v>[Nhãn] GC - IV - 3697 - NHP GROUP - MANCOBGO 80WP (Bột xanh) - 1kg - 20</v>
      </c>
      <c r="E4503" s="87" t="str">
        <f>IFERROR(__xludf.DUMMYFUNCTION("""COMPUTED_VALUE"""),"MANCOBGO 80WP")</f>
        <v>MANCOBGO 80WP</v>
      </c>
      <c r="F4503" s="87" t="str">
        <f>IFERROR(__xludf.DUMMYFUNCTION("""COMPUTED_VALUE"""),"HH3697")</f>
        <v>HH3697</v>
      </c>
      <c r="G4503" s="87" t="str">
        <f>IFERROR(__xludf.DUMMYFUNCTION("""COMPUTED_VALUE"""),"GC - IV - 3697 - NHP GROUP - MANCOBGO 80WP (Bột xanh) - 1kg - 20")</f>
        <v>GC - IV - 3697 - NHP GROUP - MANCOBGO 80WP (Bột xanh) - 1kg - 20</v>
      </c>
    </row>
    <row r="4504">
      <c r="A4504" s="86">
        <f>IFERROR(__xludf.DUMMYFUNCTION("""COMPUTED_VALUE"""),4502.0)</f>
        <v>4502</v>
      </c>
      <c r="B4504" s="87" t="str">
        <f>IFERROR(__xludf.DUMMYFUNCTION("""COMPUTED_VALUE"""),"[Nhãn thùng]")</f>
        <v>[Nhãn thùng]</v>
      </c>
      <c r="C4504" s="87" t="str">
        <f>IFERROR(__xludf.DUMMYFUNCTION("""COMPUTED_VALUE"""),"NDT3697")</f>
        <v>NDT3697</v>
      </c>
      <c r="D4504" s="87" t="str">
        <f>IFERROR(__xludf.DUMMYFUNCTION("""COMPUTED_VALUE"""),"[Nhãn thùng] GC - IV - 3697 - NHP GROUP - MANCOBGO 80WP (Bột xanh) - 1kg - 20")</f>
        <v>[Nhãn thùng] GC - IV - 3697 - NHP GROUP - MANCOBGO 80WP (Bột xanh) - 1kg - 20</v>
      </c>
      <c r="E4504" s="87" t="str">
        <f>IFERROR(__xludf.DUMMYFUNCTION("""COMPUTED_VALUE"""),"MANCOBGO 80WP")</f>
        <v>MANCOBGO 80WP</v>
      </c>
      <c r="F4504" s="87" t="str">
        <f>IFERROR(__xludf.DUMMYFUNCTION("""COMPUTED_VALUE"""),"HH3697")</f>
        <v>HH3697</v>
      </c>
      <c r="G4504" s="87" t="str">
        <f>IFERROR(__xludf.DUMMYFUNCTION("""COMPUTED_VALUE"""),"GC - IV - 3697 - NHP GROUP - MANCOBGO 80WP (Bột xanh) - 1kg - 20")</f>
        <v>GC - IV - 3697 - NHP GROUP - MANCOBGO 80WP (Bột xanh) - 1kg - 20</v>
      </c>
    </row>
    <row r="4505">
      <c r="A4505" s="86">
        <f>IFERROR(__xludf.DUMMYFUNCTION("""COMPUTED_VALUE"""),4503.0)</f>
        <v>4503</v>
      </c>
      <c r="B4505" s="87" t="str">
        <f>IFERROR(__xludf.DUMMYFUNCTION("""COMPUTED_VALUE"""),"[Nhãn thùng]")</f>
        <v>[Nhãn thùng]</v>
      </c>
      <c r="C4505" s="87" t="str">
        <f>IFERROR(__xludf.DUMMYFUNCTION("""COMPUTED_VALUE"""),"NDT3700")</f>
        <v>NDT3700</v>
      </c>
      <c r="D4505" s="87" t="str">
        <f>IFERROR(__xludf.DUMMYFUNCTION("""COMPUTED_VALUE"""),"[Nhãn thùng] GC - IV - 3700 - Cty Sen Hồng (A.Diễn) - CITTIZEN 333SC (Nước cam sữa) - 400ml - 30")</f>
        <v>[Nhãn thùng] GC - IV - 3700 - Cty Sen Hồng (A.Diễn) - CITTIZEN 333SC (Nước cam sữa) - 400ml - 30</v>
      </c>
      <c r="E4505" s="87" t="str">
        <f>IFERROR(__xludf.DUMMYFUNCTION("""COMPUTED_VALUE"""),"CITTIZEN 333SC")</f>
        <v>CITTIZEN 333SC</v>
      </c>
      <c r="F4505" s="87" t="str">
        <f>IFERROR(__xludf.DUMMYFUNCTION("""COMPUTED_VALUE"""),"HH3700")</f>
        <v>HH3700</v>
      </c>
      <c r="G4505" s="87" t="str">
        <f>IFERROR(__xludf.DUMMYFUNCTION("""COMPUTED_VALUE"""),"GC - IV - 3700 - Cty Sen Hồng (A.Diễn) - CITTIZEN 333SC (Nước cam sữa) - 400ml - 30")</f>
        <v>GC - IV - 3700 - Cty Sen Hồng (A.Diễn) - CITTIZEN 333SC (Nước cam sữa) - 400ml - 30</v>
      </c>
    </row>
    <row r="4506">
      <c r="A4506" s="86">
        <f>IFERROR(__xludf.DUMMYFUNCTION("""COMPUTED_VALUE"""),4504.0)</f>
        <v>4504</v>
      </c>
      <c r="B4506" s="87" t="str">
        <f>IFERROR(__xludf.DUMMYFUNCTION("""COMPUTED_VALUE"""),"[Nhãn]")</f>
        <v>[Nhãn]</v>
      </c>
      <c r="C4506" s="87" t="str">
        <f>IFERROR(__xludf.DUMMYFUNCTION("""COMPUTED_VALUE"""),"NHD3700")</f>
        <v>NHD3700</v>
      </c>
      <c r="D4506" s="87" t="str">
        <f>IFERROR(__xludf.DUMMYFUNCTION("""COMPUTED_VALUE"""),"[Nhãn] GC - IV - 3700 - Cty Sen Hồng (A.Diễn) - CITTIZEN 333SC (Nước cam sữa) - 400ml - 30")</f>
        <v>[Nhãn] GC - IV - 3700 - Cty Sen Hồng (A.Diễn) - CITTIZEN 333SC (Nước cam sữa) - 400ml - 30</v>
      </c>
      <c r="E4506" s="87" t="str">
        <f>IFERROR(__xludf.DUMMYFUNCTION("""COMPUTED_VALUE"""),"CITTIZEN 333SC")</f>
        <v>CITTIZEN 333SC</v>
      </c>
      <c r="F4506" s="87" t="str">
        <f>IFERROR(__xludf.DUMMYFUNCTION("""COMPUTED_VALUE"""),"HH3700")</f>
        <v>HH3700</v>
      </c>
      <c r="G4506" s="87" t="str">
        <f>IFERROR(__xludf.DUMMYFUNCTION("""COMPUTED_VALUE"""),"GC - IV - 3700 - Cty Sen Hồng (A.Diễn) - CITTIZEN 333SC (Nước cam sữa) - 400ml - 30")</f>
        <v>GC - IV - 3700 - Cty Sen Hồng (A.Diễn) - CITTIZEN 333SC (Nước cam sữa) - 400ml - 30</v>
      </c>
    </row>
    <row r="4507">
      <c r="A4507" s="86">
        <f>IFERROR(__xludf.DUMMYFUNCTION("""COMPUTED_VALUE"""),4505.0)</f>
        <v>4505</v>
      </c>
      <c r="B4507" s="87" t="str">
        <f>IFERROR(__xludf.DUMMYFUNCTION("""COMPUTED_VALUE"""),"[Nhãn thùng]")</f>
        <v>[Nhãn thùng]</v>
      </c>
      <c r="C4507" s="87" t="str">
        <f>IFERROR(__xludf.DUMMYFUNCTION("""COMPUTED_VALUE"""),"NDT3701")</f>
        <v>NDT3701</v>
      </c>
      <c r="D4507" s="87" t="str">
        <f>IFERROR(__xludf.DUMMYFUNCTION("""COMPUTED_VALUE"""),"[Nhãn thùng] GC - IV - 3701 - Cty Sen Hồng (A.Diễn) - GENOL 1.2SL (Nước hồng V3) - 400ml - 30")</f>
        <v>[Nhãn thùng] GC - IV - 3701 - Cty Sen Hồng (A.Diễn) - GENOL 1.2SL (Nước hồng V3) - 400ml - 30</v>
      </c>
      <c r="E4507" s="87" t="str">
        <f>IFERROR(__xludf.DUMMYFUNCTION("""COMPUTED_VALUE"""),"GENOL 1.2SL")</f>
        <v>GENOL 1.2SL</v>
      </c>
      <c r="F4507" s="87" t="str">
        <f>IFERROR(__xludf.DUMMYFUNCTION("""COMPUTED_VALUE"""),"HH3701")</f>
        <v>HH3701</v>
      </c>
      <c r="G4507" s="87" t="str">
        <f>IFERROR(__xludf.DUMMYFUNCTION("""COMPUTED_VALUE"""),"GC - IV - 3701 - Cty Sen Hồng (A.Diễn) - GENOL 1.2SL (Nước hồng V3) - 400ml - 30")</f>
        <v>GC - IV - 3701 - Cty Sen Hồng (A.Diễn) - GENOL 1.2SL (Nước hồng V3) - 400ml - 30</v>
      </c>
    </row>
    <row r="4508">
      <c r="A4508" s="86">
        <f>IFERROR(__xludf.DUMMYFUNCTION("""COMPUTED_VALUE"""),4506.0)</f>
        <v>4506</v>
      </c>
      <c r="B4508" s="87" t="str">
        <f>IFERROR(__xludf.DUMMYFUNCTION("""COMPUTED_VALUE"""),"[Nhãn]")</f>
        <v>[Nhãn]</v>
      </c>
      <c r="C4508" s="87" t="str">
        <f>IFERROR(__xludf.DUMMYFUNCTION("""COMPUTED_VALUE"""),"NHD3701")</f>
        <v>NHD3701</v>
      </c>
      <c r="D4508" s="87" t="str">
        <f>IFERROR(__xludf.DUMMYFUNCTION("""COMPUTED_VALUE"""),"[Nhãn] GC - IV - 3701 - Cty Sen Hồng (A.Diễn) - GENOL 1.2SL (Nước hồng V3) - 400ml - 30")</f>
        <v>[Nhãn] GC - IV - 3701 - Cty Sen Hồng (A.Diễn) - GENOL 1.2SL (Nước hồng V3) - 400ml - 30</v>
      </c>
      <c r="E4508" s="87" t="str">
        <f>IFERROR(__xludf.DUMMYFUNCTION("""COMPUTED_VALUE"""),"GENOL 1.2SL")</f>
        <v>GENOL 1.2SL</v>
      </c>
      <c r="F4508" s="87" t="str">
        <f>IFERROR(__xludf.DUMMYFUNCTION("""COMPUTED_VALUE"""),"HH3701")</f>
        <v>HH3701</v>
      </c>
      <c r="G4508" s="87" t="str">
        <f>IFERROR(__xludf.DUMMYFUNCTION("""COMPUTED_VALUE"""),"GC - IV - 3701 - Cty Sen Hồng (A.Diễn) - GENOL 1.2SL (Nước hồng V3) - 400ml - 30")</f>
        <v>GC - IV - 3701 - Cty Sen Hồng (A.Diễn) - GENOL 1.2SL (Nước hồng V3) - 400ml - 30</v>
      </c>
    </row>
    <row r="4509">
      <c r="A4509" s="86">
        <f>IFERROR(__xludf.DUMMYFUNCTION("""COMPUTED_VALUE"""),4507.0)</f>
        <v>4507</v>
      </c>
      <c r="B4509" s="87" t="str">
        <f>IFERROR(__xludf.DUMMYFUNCTION("""COMPUTED_VALUE"""),"[Nhãn]")</f>
        <v>[Nhãn]</v>
      </c>
      <c r="C4509" s="87" t="str">
        <f>IFERROR(__xludf.DUMMYFUNCTION("""COMPUTED_VALUE"""),"NHG3702")</f>
        <v>NHG3702</v>
      </c>
      <c r="D4509" s="87" t="str">
        <f>IFERROR(__xludf.DUMMYFUNCTION("""COMPUTED_VALUE"""),"[Nhãn] GC - IV - 3702 - AGRITECH HÀ LAN - THIPRO 550EC (Nước tím) - 120ml - 100")</f>
        <v>[Nhãn] GC - IV - 3702 - AGRITECH HÀ LAN - THIPRO 550EC (Nước tím) - 120ml - 100</v>
      </c>
      <c r="E4509" s="87" t="str">
        <f>IFERROR(__xludf.DUMMYFUNCTION("""COMPUTED_VALUE"""),"Thipro 550EC")</f>
        <v>Thipro 550EC</v>
      </c>
      <c r="F4509" s="87" t="str">
        <f>IFERROR(__xludf.DUMMYFUNCTION("""COMPUTED_VALUE"""),"HH3702")</f>
        <v>HH3702</v>
      </c>
      <c r="G4509" s="87" t="str">
        <f>IFERROR(__xludf.DUMMYFUNCTION("""COMPUTED_VALUE"""),"GC - IV - 3702 - AGRITECH HÀ LAN - THIPRO 550EC (Nước tím) - 120ml - 100")</f>
        <v>GC - IV - 3702 - AGRITECH HÀ LAN - THIPRO 550EC (Nước tím) - 120ml - 100</v>
      </c>
    </row>
    <row r="4510">
      <c r="A4510" s="86">
        <f>IFERROR(__xludf.DUMMYFUNCTION("""COMPUTED_VALUE"""),4508.0)</f>
        <v>4508</v>
      </c>
      <c r="B4510" s="87" t="str">
        <f>IFERROR(__xludf.DUMMYFUNCTION("""COMPUTED_VALUE"""),"[Nhãn thùng]")</f>
        <v>[Nhãn thùng]</v>
      </c>
      <c r="C4510" s="87" t="str">
        <f>IFERROR(__xludf.DUMMYFUNCTION("""COMPUTED_VALUE"""),"NDT3702")</f>
        <v>NDT3702</v>
      </c>
      <c r="D4510" s="87" t="str">
        <f>IFERROR(__xludf.DUMMYFUNCTION("""COMPUTED_VALUE"""),"[Nhãn thùng] GC - IV - 3702 - AGRITECH HÀ LAN - THIPRO 550EC (Nước tím) - 120ml - 100")</f>
        <v>[Nhãn thùng] GC - IV - 3702 - AGRITECH HÀ LAN - THIPRO 550EC (Nước tím) - 120ml - 100</v>
      </c>
      <c r="E4510" s="87" t="str">
        <f>IFERROR(__xludf.DUMMYFUNCTION("""COMPUTED_VALUE"""),"Thipro 550EC")</f>
        <v>Thipro 550EC</v>
      </c>
      <c r="F4510" s="87" t="str">
        <f>IFERROR(__xludf.DUMMYFUNCTION("""COMPUTED_VALUE"""),"HH3702")</f>
        <v>HH3702</v>
      </c>
      <c r="G4510" s="87" t="str">
        <f>IFERROR(__xludf.DUMMYFUNCTION("""COMPUTED_VALUE"""),"GC - IV - 3702 - AGRITECH HÀ LAN - THIPRO 550EC (Nước tím) - 120ml - 100")</f>
        <v>GC - IV - 3702 - AGRITECH HÀ LAN - THIPRO 550EC (Nước tím) - 120ml - 100</v>
      </c>
    </row>
    <row r="4511">
      <c r="A4511" s="86">
        <f>IFERROR(__xludf.DUMMYFUNCTION("""COMPUTED_VALUE"""),4509.0)</f>
        <v>4509</v>
      </c>
      <c r="B4511" s="87" t="str">
        <f>IFERROR(__xludf.DUMMYFUNCTION("""COMPUTED_VALUE"""),"[Nhãn]")</f>
        <v>[Nhãn]</v>
      </c>
      <c r="C4511" s="87" t="str">
        <f>IFERROR(__xludf.DUMMYFUNCTION("""COMPUTED_VALUE"""),"NHG3703")</f>
        <v>NHG3703</v>
      </c>
      <c r="D4511" s="87" t="str">
        <f>IFERROR(__xludf.DUMMYFUNCTION("""COMPUTED_VALUE"""),"[Nhãn] GC - IV - 3703 - AGRITECH HÀ LAN - THIPRO 550EC (Nước tím) - 120ml - 100")</f>
        <v>[Nhãn] GC - IV - 3703 - AGRITECH HÀ LAN - THIPRO 550EC (Nước tím) - 120ml - 100</v>
      </c>
      <c r="E4511" s="87" t="str">
        <f>IFERROR(__xludf.DUMMYFUNCTION("""COMPUTED_VALUE"""),"Thipro 550EC")</f>
        <v>Thipro 550EC</v>
      </c>
      <c r="F4511" s="87" t="str">
        <f>IFERROR(__xludf.DUMMYFUNCTION("""COMPUTED_VALUE"""),"HH3703")</f>
        <v>HH3703</v>
      </c>
      <c r="G4511" s="87" t="str">
        <f>IFERROR(__xludf.DUMMYFUNCTION("""COMPUTED_VALUE"""),"GC - IV - 3703 - AGRITECH HÀ LAN - THIPRO 550EC (Nước tím) - 120ml - 100")</f>
        <v>GC - IV - 3703 - AGRITECH HÀ LAN - THIPRO 550EC (Nước tím) - 120ml - 100</v>
      </c>
    </row>
    <row r="4512">
      <c r="A4512" s="86">
        <f>IFERROR(__xludf.DUMMYFUNCTION("""COMPUTED_VALUE"""),4510.0)</f>
        <v>4510</v>
      </c>
      <c r="B4512" s="87" t="str">
        <f>IFERROR(__xludf.DUMMYFUNCTION("""COMPUTED_VALUE"""),"[Nhãn thùng]")</f>
        <v>[Nhãn thùng]</v>
      </c>
      <c r="C4512" s="87" t="str">
        <f>IFERROR(__xludf.DUMMYFUNCTION("""COMPUTED_VALUE"""),"NDT3703")</f>
        <v>NDT3703</v>
      </c>
      <c r="D4512" s="87" t="str">
        <f>IFERROR(__xludf.DUMMYFUNCTION("""COMPUTED_VALUE"""),"[Nhãn thùng] GC - IV - 3703 - AGRITECH HÀ LAN - THIPRO 550EC (Nước tím) - 120ml - 100")</f>
        <v>[Nhãn thùng] GC - IV - 3703 - AGRITECH HÀ LAN - THIPRO 550EC (Nước tím) - 120ml - 100</v>
      </c>
      <c r="E4512" s="87" t="str">
        <f>IFERROR(__xludf.DUMMYFUNCTION("""COMPUTED_VALUE"""),"Thipro 550EC")</f>
        <v>Thipro 550EC</v>
      </c>
      <c r="F4512" s="87" t="str">
        <f>IFERROR(__xludf.DUMMYFUNCTION("""COMPUTED_VALUE"""),"HH3703")</f>
        <v>HH3703</v>
      </c>
      <c r="G4512" s="87" t="str">
        <f>IFERROR(__xludf.DUMMYFUNCTION("""COMPUTED_VALUE"""),"GC - IV - 3703 - AGRITECH HÀ LAN - THIPRO 550EC (Nước tím) - 120ml - 100")</f>
        <v>GC - IV - 3703 - AGRITECH HÀ LAN - THIPRO 550EC (Nước tím) - 120ml - 100</v>
      </c>
    </row>
    <row r="4513">
      <c r="A4513" s="86">
        <f>IFERROR(__xludf.DUMMYFUNCTION("""COMPUTED_VALUE"""),4511.0)</f>
        <v>4511</v>
      </c>
      <c r="B4513" s="87" t="str">
        <f>IFERROR(__xludf.DUMMYFUNCTION("""COMPUTED_VALUE"""),"[Nhãn thùng]")</f>
        <v>[Nhãn thùng]</v>
      </c>
      <c r="C4513" s="87" t="str">
        <f>IFERROR(__xludf.DUMMYFUNCTION("""COMPUTED_VALUE"""),"NDT3706")</f>
        <v>NDT3706</v>
      </c>
      <c r="D4513" s="87" t="str">
        <f>IFERROR(__xludf.DUMMYFUNCTION("""COMPUTED_VALUE"""),"[Nhãn thùng] GC - IV - 3706 - CTY NÔNG DƯỢC VIỆT AN - NOFARA 35WG (Dạng cốm màu trắng ngà) - 30gr - 400")</f>
        <v>[Nhãn thùng] GC - IV - 3706 - CTY NÔNG DƯỢC VIỆT AN - NOFARA 35WG (Dạng cốm màu trắng ngà) - 30gr - 400</v>
      </c>
      <c r="E4513" s="87" t="str">
        <f>IFERROR(__xludf.DUMMYFUNCTION("""COMPUTED_VALUE"""),"NOFARA 35WG")</f>
        <v>NOFARA 35WG</v>
      </c>
      <c r="F4513" s="87" t="str">
        <f>IFERROR(__xludf.DUMMYFUNCTION("""COMPUTED_VALUE"""),"HH3706")</f>
        <v>HH3706</v>
      </c>
      <c r="G4513" s="87" t="str">
        <f>IFERROR(__xludf.DUMMYFUNCTION("""COMPUTED_VALUE"""),"GC - IV - 3706 - CTY NÔNG DƯỢC VIỆT AN - NOFARA 35WG (Dạng cốm màu trắng ngà) - 30gr - 400")</f>
        <v>GC - IV - 3706 - CTY NÔNG DƯỢC VIỆT AN - NOFARA 35WG (Dạng cốm màu trắng ngà) - 30gr - 400</v>
      </c>
    </row>
    <row r="4514">
      <c r="A4514" s="86">
        <f>IFERROR(__xludf.DUMMYFUNCTION("""COMPUTED_VALUE"""),4512.0)</f>
        <v>4512</v>
      </c>
      <c r="B4514" s="87" t="str">
        <f>IFERROR(__xludf.DUMMYFUNCTION("""COMPUTED_VALUE"""),"[Nhãn]")</f>
        <v>[Nhãn]</v>
      </c>
      <c r="C4514" s="87" t="str">
        <f>IFERROR(__xludf.DUMMYFUNCTION("""COMPUTED_VALUE"""),"NTN3706")</f>
        <v>NTN3706</v>
      </c>
      <c r="D4514" s="87" t="str">
        <f>IFERROR(__xludf.DUMMYFUNCTION("""COMPUTED_VALUE"""),"[Nhãn] GC - IV - 3706 - CTY NÔNG DƯỢC VIỆT AN - NOFARA 35WG (Dạng cốm màu trắng ngà) - 30gr - 400")</f>
        <v>[Nhãn] GC - IV - 3706 - CTY NÔNG DƯỢC VIỆT AN - NOFARA 35WG (Dạng cốm màu trắng ngà) - 30gr - 400</v>
      </c>
      <c r="E4514" s="87" t="str">
        <f>IFERROR(__xludf.DUMMYFUNCTION("""COMPUTED_VALUE"""),"NOFARA 35WG")</f>
        <v>NOFARA 35WG</v>
      </c>
      <c r="F4514" s="87" t="str">
        <f>IFERROR(__xludf.DUMMYFUNCTION("""COMPUTED_VALUE"""),"HH3706")</f>
        <v>HH3706</v>
      </c>
      <c r="G4514" s="87" t="str">
        <f>IFERROR(__xludf.DUMMYFUNCTION("""COMPUTED_VALUE"""),"GC - IV - 3706 - CTY NÔNG DƯỢC VIỆT AN - NOFARA 35WG (Dạng cốm màu trắng ngà) - 30gr - 400")</f>
        <v>GC - IV - 3706 - CTY NÔNG DƯỢC VIỆT AN - NOFARA 35WG (Dạng cốm màu trắng ngà) - 30gr - 400</v>
      </c>
    </row>
    <row r="4515">
      <c r="A4515" s="86">
        <f>IFERROR(__xludf.DUMMYFUNCTION("""COMPUTED_VALUE"""),4513.0)</f>
        <v>4513</v>
      </c>
      <c r="B4515" s="87" t="str">
        <f>IFERROR(__xludf.DUMMYFUNCTION("""COMPUTED_VALUE"""),"[Nhãn]")</f>
        <v>[Nhãn]</v>
      </c>
      <c r="C4515" s="87" t="str">
        <f>IFERROR(__xludf.DUMMYFUNCTION("""COMPUTED_VALUE"""),"NHG3707")</f>
        <v>NHG3707</v>
      </c>
      <c r="D4515" s="87" t="str">
        <f>IFERROR(__xludf.DUMMYFUNCTION("""COMPUTED_VALUE"""),"[Nhãn] IDA Global - I - 3707 - ĐL LÂM ANH TUẤN - IDA GENOL 1.2SL (nước đỏ) - 240ml - 40")</f>
        <v>[Nhãn] IDA Global - I - 3707 - ĐL LÂM ANH TUẤN - IDA GENOL 1.2SL (nước đỏ) - 240ml - 40</v>
      </c>
      <c r="E4515" s="87" t="str">
        <f>IFERROR(__xludf.DUMMYFUNCTION("""COMPUTED_VALUE"""),"GENOL 1.2SL")</f>
        <v>GENOL 1.2SL</v>
      </c>
      <c r="F4515" s="87" t="str">
        <f>IFERROR(__xludf.DUMMYFUNCTION("""COMPUTED_VALUE"""),"HH3707")</f>
        <v>HH3707</v>
      </c>
      <c r="G4515" s="87" t="str">
        <f>IFERROR(__xludf.DUMMYFUNCTION("""COMPUTED_VALUE"""),"IDA Global - I - 3707 - ĐL LÂM ANH TUẤN - IDA GENOL 1.2SL (nước đỏ) - 240ml - 40")</f>
        <v>IDA Global - I - 3707 - ĐL LÂM ANH TUẤN - IDA GENOL 1.2SL (nước đỏ) - 240ml - 40</v>
      </c>
    </row>
    <row r="4516">
      <c r="A4516" s="86">
        <f>IFERROR(__xludf.DUMMYFUNCTION("""COMPUTED_VALUE"""),4514.0)</f>
        <v>4514</v>
      </c>
      <c r="B4516" s="87" t="str">
        <f>IFERROR(__xludf.DUMMYFUNCTION("""COMPUTED_VALUE"""),"[Nhãn]")</f>
        <v>[Nhãn]</v>
      </c>
      <c r="C4516" s="87" t="str">
        <f>IFERROR(__xludf.DUMMYFUNCTION("""COMPUTED_VALUE"""),"NHG3708")</f>
        <v>NHG3708</v>
      </c>
      <c r="D4516" s="87" t="str">
        <f>IFERROR(__xludf.DUMMYFUNCTION("""COMPUTED_VALUE"""),"[Nhãn] LOT IDA Global - I - 3708 - ĐL TẤN PHƯỚC - HAIHAMEC 3.6EC (nước nâu đen) - 450ml - 40")</f>
        <v>[Nhãn] LOT IDA Global - I - 3708 - ĐL TẤN PHƯỚC - HAIHAMEC 3.6EC (nước nâu đen) - 450ml - 40</v>
      </c>
      <c r="E4516" s="87" t="str">
        <f>IFERROR(__xludf.DUMMYFUNCTION("""COMPUTED_VALUE"""),"HAIHAMEC 3.6EC")</f>
        <v>HAIHAMEC 3.6EC</v>
      </c>
      <c r="F4516" s="87" t="str">
        <f>IFERROR(__xludf.DUMMYFUNCTION("""COMPUTED_VALUE"""),"HH3708")</f>
        <v>HH3708</v>
      </c>
      <c r="G4516" s="87" t="str">
        <f>IFERROR(__xludf.DUMMYFUNCTION("""COMPUTED_VALUE"""),"LOT IDA Global - I - 3708 - ĐL TẤN PHƯỚC - HAIHAMEC 3.6EC (nước nâu đen) - 450ml - 40")</f>
        <v>LOT IDA Global - I - 3708 - ĐL TẤN PHƯỚC - HAIHAMEC 3.6EC (nước nâu đen) - 450ml - 40</v>
      </c>
    </row>
    <row r="4517">
      <c r="A4517" s="86">
        <f>IFERROR(__xludf.DUMMYFUNCTION("""COMPUTED_VALUE"""),4515.0)</f>
        <v>4515</v>
      </c>
      <c r="B4517" s="87" t="str">
        <f>IFERROR(__xludf.DUMMYFUNCTION("""COMPUTED_VALUE"""),"[Nhãn]")</f>
        <v>[Nhãn]</v>
      </c>
      <c r="C4517" s="87" t="str">
        <f>IFERROR(__xludf.DUMMYFUNCTION("""COMPUTED_VALUE"""),"NHG3709")</f>
        <v>NHG3709</v>
      </c>
      <c r="D4517" s="87" t="str">
        <f>IFERROR(__xludf.DUMMYFUNCTION("""COMPUTED_VALUE"""),"[Nhãn] GC - IV - 3709 - CTY NAUY - ZN++ GOLD (Nước xanh lá sữa) - 250ml - 40")</f>
        <v>[Nhãn] GC - IV - 3709 - CTY NAUY - ZN++ GOLD (Nước xanh lá sữa) - 250ml - 40</v>
      </c>
      <c r="E4517" s="87" t="str">
        <f>IFERROR(__xludf.DUMMYFUNCTION("""COMPUTED_VALUE"""),"Vi lượng MICKEY")</f>
        <v>Vi lượng MICKEY</v>
      </c>
      <c r="F4517" s="87" t="str">
        <f>IFERROR(__xludf.DUMMYFUNCTION("""COMPUTED_VALUE"""),"HH3709")</f>
        <v>HH3709</v>
      </c>
      <c r="G4517" s="87" t="str">
        <f>IFERROR(__xludf.DUMMYFUNCTION("""COMPUTED_VALUE"""),"GC - IV - 3709 - CTY NAUY - ZN++ GOLD (Nước xanh lá sữa) - 250ml - 40")</f>
        <v>GC - IV - 3709 - CTY NAUY - ZN++ GOLD (Nước xanh lá sữa) - 250ml - 40</v>
      </c>
    </row>
    <row r="4518">
      <c r="A4518" s="86">
        <f>IFERROR(__xludf.DUMMYFUNCTION("""COMPUTED_VALUE"""),4516.0)</f>
        <v>4516</v>
      </c>
      <c r="B4518" s="87" t="str">
        <f>IFERROR(__xludf.DUMMYFUNCTION("""COMPUTED_VALUE"""),"[Nhãn]")</f>
        <v>[Nhãn]</v>
      </c>
      <c r="C4518" s="87" t="str">
        <f>IFERROR(__xludf.DUMMYFUNCTION("""COMPUTED_VALUE"""),"NHG3710")</f>
        <v>NHG3710</v>
      </c>
      <c r="D4518" s="87" t="str">
        <f>IFERROR(__xludf.DUMMYFUNCTION("""COMPUTED_VALUE"""),"[Nhãn] GC - IV - 3710 - CTY NAUY - SUPER GOLD (Nước nâu đen) - 250ml - 40")</f>
        <v>[Nhãn] GC - IV - 3710 - CTY NAUY - SUPER GOLD (Nước nâu đen) - 250ml - 40</v>
      </c>
      <c r="E4518" s="87" t="str">
        <f>IFERROR(__xludf.DUMMYFUNCTION("""COMPUTED_VALUE"""),"Vi lượng AGAMA-SUPPORT")</f>
        <v>Vi lượng AGAMA-SUPPORT</v>
      </c>
      <c r="F4518" s="87" t="str">
        <f>IFERROR(__xludf.DUMMYFUNCTION("""COMPUTED_VALUE"""),"HH3710")</f>
        <v>HH3710</v>
      </c>
      <c r="G4518" s="87" t="str">
        <f>IFERROR(__xludf.DUMMYFUNCTION("""COMPUTED_VALUE"""),"GC - IV - 3710 - CTY NAUY - SUPER GOLD (Nước nâu đen) - 250ml - 40")</f>
        <v>GC - IV - 3710 - CTY NAUY - SUPER GOLD (Nước nâu đen) - 250ml - 40</v>
      </c>
    </row>
    <row r="4519">
      <c r="A4519" s="86">
        <f>IFERROR(__xludf.DUMMYFUNCTION("""COMPUTED_VALUE"""),4517.0)</f>
        <v>4517</v>
      </c>
      <c r="B4519" s="87" t="str">
        <f>IFERROR(__xludf.DUMMYFUNCTION("""COMPUTED_VALUE"""),"[Nhãn]")</f>
        <v>[Nhãn]</v>
      </c>
      <c r="C4519" s="87" t="str">
        <f>IFERROR(__xludf.DUMMYFUNCTION("""COMPUTED_VALUE"""),"NHG3717")</f>
        <v>NHG3717</v>
      </c>
      <c r="D4519" s="87" t="str">
        <f>IFERROR(__xludf.DUMMYFUNCTION("""COMPUTED_VALUE"""),"[Nhãn] IDA Global - I - 3717 - ĐL LỆ HỒNG - MEKONGVIL 5SC (Nước trắng sữa) - 1L - 20")</f>
        <v>[Nhãn] IDA Global - I - 3717 - ĐL LỆ HỒNG - MEKONGVIL 5SC (Nước trắng sữa) - 1L - 20</v>
      </c>
      <c r="E4519" s="87" t="str">
        <f>IFERROR(__xludf.DUMMYFUNCTION("""COMPUTED_VALUE"""),"Mekongvil 5SC")</f>
        <v>Mekongvil 5SC</v>
      </c>
      <c r="F4519" s="87" t="str">
        <f>IFERROR(__xludf.DUMMYFUNCTION("""COMPUTED_VALUE"""),"HH3717")</f>
        <v>HH3717</v>
      </c>
      <c r="G4519" s="87" t="str">
        <f>IFERROR(__xludf.DUMMYFUNCTION("""COMPUTED_VALUE"""),"IDA Global - I - 3717 - ĐL LỆ HỒNG - MEKONGVIL 5SC (Nước trắng sữa) - 1L - 20")</f>
        <v>IDA Global - I - 3717 - ĐL LỆ HỒNG - MEKONGVIL 5SC (Nước trắng sữa) - 1L - 20</v>
      </c>
    </row>
    <row r="4520">
      <c r="A4520" s="86">
        <f>IFERROR(__xludf.DUMMYFUNCTION("""COMPUTED_VALUE"""),4518.0)</f>
        <v>4518</v>
      </c>
      <c r="B4520" s="87" t="str">
        <f>IFERROR(__xludf.DUMMYFUNCTION("""COMPUTED_VALUE"""),"[Nhãn]")</f>
        <v>[Nhãn]</v>
      </c>
      <c r="C4520" s="87" t="str">
        <f>IFERROR(__xludf.DUMMYFUNCTION("""COMPUTED_VALUE"""),"NHD3718")</f>
        <v>NHD3718</v>
      </c>
      <c r="D4520" s="87" t="str">
        <f>IFERROR(__xludf.DUMMYFUNCTION("""COMPUTED_VALUE"""),"[Nhãn] IDA Global - I - 3718 - ĐL PHÚC NÔNG - CÚ MÈO (Nước đỏ) - 450ml - 40")</f>
        <v>[Nhãn] IDA Global - I - 3718 - ĐL PHÚC NÔNG - CÚ MÈO (Nước đỏ) - 450ml - 40</v>
      </c>
      <c r="E4520" s="87" t="str">
        <f>IFERROR(__xludf.DUMMYFUNCTION("""COMPUTED_VALUE"""),"Creek 2.1EC")</f>
        <v>Creek 2.1EC</v>
      </c>
      <c r="F4520" s="87" t="str">
        <f>IFERROR(__xludf.DUMMYFUNCTION("""COMPUTED_VALUE"""),"HH3718")</f>
        <v>HH3718</v>
      </c>
      <c r="G4520" s="87" t="str">
        <f>IFERROR(__xludf.DUMMYFUNCTION("""COMPUTED_VALUE"""),"IDA Global - I - 3718 - ĐL PHÚC NÔNG - CÚ MÈO (Nước đỏ) - 450ml - 40")</f>
        <v>IDA Global - I - 3718 - ĐL PHÚC NÔNG - CÚ MÈO (Nước đỏ) - 450ml - 40</v>
      </c>
    </row>
    <row r="4521">
      <c r="A4521" s="86">
        <f>IFERROR(__xludf.DUMMYFUNCTION("""COMPUTED_VALUE"""),4519.0)</f>
        <v>4519</v>
      </c>
      <c r="B4521" s="87" t="str">
        <f>IFERROR(__xludf.DUMMYFUNCTION("""COMPUTED_VALUE"""),"[Nhãn thùng]")</f>
        <v>[Nhãn thùng]</v>
      </c>
      <c r="C4521" s="87" t="str">
        <f>IFERROR(__xludf.DUMMYFUNCTION("""COMPUTED_VALUE"""),"NDT3718")</f>
        <v>NDT3718</v>
      </c>
      <c r="D4521" s="87" t="str">
        <f>IFERROR(__xludf.DUMMYFUNCTION("""COMPUTED_VALUE"""),"[Nhãn thùng] IDA Global - I - 3718 - ĐL PHÚC NÔNG - CÚ MÈO (Nước đỏ) - 450ml - 40")</f>
        <v>[Nhãn thùng] IDA Global - I - 3718 - ĐL PHÚC NÔNG - CÚ MÈO (Nước đỏ) - 450ml - 40</v>
      </c>
      <c r="E4521" s="87" t="str">
        <f>IFERROR(__xludf.DUMMYFUNCTION("""COMPUTED_VALUE"""),"Creek 2.1EC")</f>
        <v>Creek 2.1EC</v>
      </c>
      <c r="F4521" s="87" t="str">
        <f>IFERROR(__xludf.DUMMYFUNCTION("""COMPUTED_VALUE"""),"HH3718")</f>
        <v>HH3718</v>
      </c>
      <c r="G4521" s="87" t="str">
        <f>IFERROR(__xludf.DUMMYFUNCTION("""COMPUTED_VALUE"""),"IDA Global - I - 3718 - ĐL PHÚC NÔNG - CÚ MÈO (Nước đỏ) - 450ml - 40")</f>
        <v>IDA Global - I - 3718 - ĐL PHÚC NÔNG - CÚ MÈO (Nước đỏ) - 450ml - 40</v>
      </c>
    </row>
    <row r="4522">
      <c r="A4522" s="86">
        <f>IFERROR(__xludf.DUMMYFUNCTION("""COMPUTED_VALUE"""),4520.0)</f>
        <v>4520</v>
      </c>
      <c r="B4522" s="87" t="str">
        <f>IFERROR(__xludf.DUMMYFUNCTION("""COMPUTED_VALUE"""),"[Nhãn]")</f>
        <v>[Nhãn]</v>
      </c>
      <c r="C4522" s="87" t="str">
        <f>IFERROR(__xludf.DUMMYFUNCTION("""COMPUTED_VALUE"""),"NHG3719")</f>
        <v>NHG3719</v>
      </c>
      <c r="D4522" s="87" t="str">
        <f>IFERROR(__xludf.DUMMYFUNCTION("""COMPUTED_VALUE"""),"[Nhãn] LOT IDA Global - I - 3719 - CHITIN 3.6EC (nước nâu đen) - 450ml - 40")</f>
        <v>[Nhãn] LOT IDA Global - I - 3719 - CHITIN 3.6EC (nước nâu đen) - 450ml - 40</v>
      </c>
      <c r="E4522" s="87" t="str">
        <f>IFERROR(__xludf.DUMMYFUNCTION("""COMPUTED_VALUE"""),"Chitin 3.6EC")</f>
        <v>Chitin 3.6EC</v>
      </c>
      <c r="F4522" s="87" t="str">
        <f>IFERROR(__xludf.DUMMYFUNCTION("""COMPUTED_VALUE"""),"HH3719")</f>
        <v>HH3719</v>
      </c>
      <c r="G4522" s="87" t="str">
        <f>IFERROR(__xludf.DUMMYFUNCTION("""COMPUTED_VALUE"""),"LOT IDA Global - I - 3719 - CHITIN 3.6EC (nước nâu đen) - 450ml - 40")</f>
        <v>LOT IDA Global - I - 3719 - CHITIN 3.6EC (nước nâu đen) - 450ml - 40</v>
      </c>
    </row>
    <row r="4523">
      <c r="A4523" s="86">
        <f>IFERROR(__xludf.DUMMYFUNCTION("""COMPUTED_VALUE"""),4521.0)</f>
        <v>4521</v>
      </c>
      <c r="B4523" s="87" t="str">
        <f>IFERROR(__xludf.DUMMYFUNCTION("""COMPUTED_VALUE"""),"[Nhãn]")</f>
        <v>[Nhãn]</v>
      </c>
      <c r="C4523" s="87" t="str">
        <f>IFERROR(__xludf.DUMMYFUNCTION("""COMPUTED_VALUE"""),"NHG3720")</f>
        <v>NHG3720</v>
      </c>
      <c r="D4523" s="87" t="str">
        <f>IFERROR(__xludf.DUMMYFUNCTION("""COMPUTED_VALUE"""),"[Nhãn] LOT IDA Global - I - 3720 - ĐL NGUYỄN ĐỨC MINH - HAIHAMEC 3.6EC (nước nâu đen) - 450ml - 40")</f>
        <v>[Nhãn] LOT IDA Global - I - 3720 - ĐL NGUYỄN ĐỨC MINH - HAIHAMEC 3.6EC (nước nâu đen) - 450ml - 40</v>
      </c>
      <c r="E4523" s="87" t="str">
        <f>IFERROR(__xludf.DUMMYFUNCTION("""COMPUTED_VALUE"""),"HAIHAMEC 3.6EC")</f>
        <v>HAIHAMEC 3.6EC</v>
      </c>
      <c r="F4523" s="87" t="str">
        <f>IFERROR(__xludf.DUMMYFUNCTION("""COMPUTED_VALUE"""),"HH3720")</f>
        <v>HH3720</v>
      </c>
      <c r="G4523" s="87" t="str">
        <f>IFERROR(__xludf.DUMMYFUNCTION("""COMPUTED_VALUE"""),"LOT IDA Global - I - 3720 - ĐL NGUYỄN ĐỨC MINH - HAIHAMEC 3.6EC (nước nâu đen) - 450ml - 40")</f>
        <v>LOT IDA Global - I - 3720 - ĐL NGUYỄN ĐỨC MINH - HAIHAMEC 3.6EC (nước nâu đen) - 450ml - 40</v>
      </c>
    </row>
    <row r="4524">
      <c r="A4524" s="86">
        <f>IFERROR(__xludf.DUMMYFUNCTION("""COMPUTED_VALUE"""),4522.0)</f>
        <v>4522</v>
      </c>
      <c r="B4524" s="87" t="str">
        <f>IFERROR(__xludf.DUMMYFUNCTION("""COMPUTED_VALUE"""),"[Nhãn]")</f>
        <v>[Nhãn]</v>
      </c>
      <c r="C4524" s="87" t="str">
        <f>IFERROR(__xludf.DUMMYFUNCTION("""COMPUTED_VALUE"""),"NHG3723")</f>
        <v>NHG3723</v>
      </c>
      <c r="D4524" s="87" t="str">
        <f>IFERROR(__xludf.DUMMYFUNCTION("""COMPUTED_VALUE"""),"[Nhãn] GC - IV - 3723 - Cty Biotech Hà Lan - SÁT THỦ (Nước tím) - 240ml - 40")</f>
        <v>[Nhãn] GC - IV - 3723 - Cty Biotech Hà Lan - SÁT THỦ (Nước tím) - 240ml - 40</v>
      </c>
      <c r="E4524" s="87" t="str">
        <f>IFERROR(__xludf.DUMMYFUNCTION("""COMPUTED_VALUE"""),"Thipro 550EC")</f>
        <v>Thipro 550EC</v>
      </c>
      <c r="F4524" s="87" t="str">
        <f>IFERROR(__xludf.DUMMYFUNCTION("""COMPUTED_VALUE"""),"HH3723")</f>
        <v>HH3723</v>
      </c>
      <c r="G4524" s="87" t="str">
        <f>IFERROR(__xludf.DUMMYFUNCTION("""COMPUTED_VALUE"""),"GC - IV - 3723 - Cty Biotech Hà Lan - SÁT THỦ (Nước tím) - 240ml - 40")</f>
        <v>GC - IV - 3723 - Cty Biotech Hà Lan - SÁT THỦ (Nước tím) - 240ml - 40</v>
      </c>
    </row>
    <row r="4525">
      <c r="A4525" s="86">
        <f>IFERROR(__xludf.DUMMYFUNCTION("""COMPUTED_VALUE"""),4523.0)</f>
        <v>4523</v>
      </c>
      <c r="B4525" s="87" t="str">
        <f>IFERROR(__xludf.DUMMYFUNCTION("""COMPUTED_VALUE"""),"[Nhãn]")</f>
        <v>[Nhãn]</v>
      </c>
      <c r="C4525" s="87" t="str">
        <f>IFERROR(__xludf.DUMMYFUNCTION("""COMPUTED_VALUE"""),"NHG3725")</f>
        <v>NHG3725</v>
      </c>
      <c r="D4525" s="87" t="str">
        <f>IFERROR(__xludf.DUMMYFUNCTION("""COMPUTED_VALUE"""),"[Nhãn] GC - IV - 3725 - CTY NÔNG HÓA XANH - Ninja Pro (Nước tím) - 240ml - 60")</f>
        <v>[Nhãn] GC - IV - 3725 - CTY NÔNG HÓA XANH - Ninja Pro (Nước tím) - 240ml - 60</v>
      </c>
      <c r="E4525" s="87" t="str">
        <f>IFERROR(__xludf.DUMMYFUNCTION("""COMPUTED_VALUE"""),"Thipro 550EC")</f>
        <v>Thipro 550EC</v>
      </c>
      <c r="F4525" s="87" t="str">
        <f>IFERROR(__xludf.DUMMYFUNCTION("""COMPUTED_VALUE"""),"HH3725")</f>
        <v>HH3725</v>
      </c>
      <c r="G4525" s="87" t="str">
        <f>IFERROR(__xludf.DUMMYFUNCTION("""COMPUTED_VALUE"""),"GC - IV - 3725 - CTY NÔNG HÓA XANH - Ninja Pro (Nước tím) - 240ml - 60")</f>
        <v>GC - IV - 3725 - CTY NÔNG HÓA XANH - Ninja Pro (Nước tím) - 240ml - 60</v>
      </c>
    </row>
    <row r="4526">
      <c r="A4526" s="86">
        <f>IFERROR(__xludf.DUMMYFUNCTION("""COMPUTED_VALUE"""),4524.0)</f>
        <v>4524</v>
      </c>
      <c r="B4526" s="87" t="str">
        <f>IFERROR(__xludf.DUMMYFUNCTION("""COMPUTED_VALUE"""),"[Nhãn]")</f>
        <v>[Nhãn]</v>
      </c>
      <c r="C4526" s="87" t="str">
        <f>IFERROR(__xludf.DUMMYFUNCTION("""COMPUTED_VALUE"""),"NHG3726")</f>
        <v>NHG3726</v>
      </c>
      <c r="D4526" s="87" t="str">
        <f>IFERROR(__xludf.DUMMYFUNCTION("""COMPUTED_VALUE"""),"[Nhãn] GC - IV - 3726 - Cty Newtex - NEWXITOC (Nước đỏ) - 400ml - 40")</f>
        <v>[Nhãn] GC - IV - 3726 - Cty Newtex - NEWXITOC (Nước đỏ) - 400ml - 40</v>
      </c>
      <c r="E4526" s="87" t="str">
        <f>IFERROR(__xludf.DUMMYFUNCTION("""COMPUTED_VALUE"""),"PYXOATE 44EC")</f>
        <v>PYXOATE 44EC</v>
      </c>
      <c r="F4526" s="87" t="str">
        <f>IFERROR(__xludf.DUMMYFUNCTION("""COMPUTED_VALUE"""),"HH3726")</f>
        <v>HH3726</v>
      </c>
      <c r="G4526" s="87" t="str">
        <f>IFERROR(__xludf.DUMMYFUNCTION("""COMPUTED_VALUE"""),"GC - IV - 3726 - Cty Newtex - NEWXITOC (Nước đỏ) - 400ml - 40")</f>
        <v>GC - IV - 3726 - Cty Newtex - NEWXITOC (Nước đỏ) - 400ml - 40</v>
      </c>
    </row>
    <row r="4527">
      <c r="A4527" s="86">
        <f>IFERROR(__xludf.DUMMYFUNCTION("""COMPUTED_VALUE"""),4525.0)</f>
        <v>4525</v>
      </c>
      <c r="B4527" s="87" t="str">
        <f>IFERROR(__xludf.DUMMYFUNCTION("""COMPUTED_VALUE"""),"[Nhãn]")</f>
        <v>[Nhãn]</v>
      </c>
      <c r="C4527" s="87" t="str">
        <f>IFERROR(__xludf.DUMMYFUNCTION("""COMPUTED_VALUE"""),"NHD3727")</f>
        <v>NHD3727</v>
      </c>
      <c r="D4527" s="87" t="str">
        <f>IFERROR(__xludf.DUMMYFUNCTION("""COMPUTED_VALUE"""),"[Nhãn] GC - I - 3727 - ĐL Kim Khoa - Creek 2.1EC (Nước vàng trà) - 450ml - 40")</f>
        <v>[Nhãn] GC - I - 3727 - ĐL Kim Khoa - Creek 2.1EC (Nước vàng trà) - 450ml - 40</v>
      </c>
      <c r="E4527" s="87" t="str">
        <f>IFERROR(__xludf.DUMMYFUNCTION("""COMPUTED_VALUE"""),"Creek 2.1EC")</f>
        <v>Creek 2.1EC</v>
      </c>
      <c r="F4527" s="87" t="str">
        <f>IFERROR(__xludf.DUMMYFUNCTION("""COMPUTED_VALUE"""),"HH3727")</f>
        <v>HH3727</v>
      </c>
      <c r="G4527" s="87" t="str">
        <f>IFERROR(__xludf.DUMMYFUNCTION("""COMPUTED_VALUE"""),"GC - I - 3727 - ĐL Kim Khoa - Creek 2.1EC (Nước vàng trà) - 450ml - 40")</f>
        <v>GC - I - 3727 - ĐL Kim Khoa - Creek 2.1EC (Nước vàng trà) - 450ml - 40</v>
      </c>
    </row>
    <row r="4528">
      <c r="A4528" s="86">
        <f>IFERROR(__xludf.DUMMYFUNCTION("""COMPUTED_VALUE"""),4526.0)</f>
        <v>4526</v>
      </c>
      <c r="B4528" s="87" t="str">
        <f>IFERROR(__xludf.DUMMYFUNCTION("""COMPUTED_VALUE"""),"[Nhãn thùng]")</f>
        <v>[Nhãn thùng]</v>
      </c>
      <c r="C4528" s="87" t="str">
        <f>IFERROR(__xludf.DUMMYFUNCTION("""COMPUTED_VALUE"""),"NDT3727")</f>
        <v>NDT3727</v>
      </c>
      <c r="D4528" s="87" t="str">
        <f>IFERROR(__xludf.DUMMYFUNCTION("""COMPUTED_VALUE"""),"[Nhãn thùng] GC - I - 3727 - ĐL Kim Khoa - Creek 2.1EC (Nước vàng trà) - 450ml - 40")</f>
        <v>[Nhãn thùng] GC - I - 3727 - ĐL Kim Khoa - Creek 2.1EC (Nước vàng trà) - 450ml - 40</v>
      </c>
      <c r="E4528" s="87" t="str">
        <f>IFERROR(__xludf.DUMMYFUNCTION("""COMPUTED_VALUE"""),"Creek 2.1EC")</f>
        <v>Creek 2.1EC</v>
      </c>
      <c r="F4528" s="87" t="str">
        <f>IFERROR(__xludf.DUMMYFUNCTION("""COMPUTED_VALUE"""),"HH3727")</f>
        <v>HH3727</v>
      </c>
      <c r="G4528" s="87" t="str">
        <f>IFERROR(__xludf.DUMMYFUNCTION("""COMPUTED_VALUE"""),"GC - I - 3727 - ĐL Kim Khoa - Creek 2.1EC (Nước vàng trà) - 450ml - 40")</f>
        <v>GC - I - 3727 - ĐL Kim Khoa - Creek 2.1EC (Nước vàng trà) - 450ml - 40</v>
      </c>
    </row>
    <row r="4529">
      <c r="A4529" s="86">
        <f>IFERROR(__xludf.DUMMYFUNCTION("""COMPUTED_VALUE"""),4527.0)</f>
        <v>4527</v>
      </c>
      <c r="B4529" s="87" t="str">
        <f>IFERROR(__xludf.DUMMYFUNCTION("""COMPUTED_VALUE"""),"[Nhãn]")</f>
        <v>[Nhãn]</v>
      </c>
      <c r="C4529" s="87" t="str">
        <f>IFERROR(__xludf.DUMMYFUNCTION("""COMPUTED_VALUE"""),"NHG3732")</f>
        <v>NHG3732</v>
      </c>
      <c r="D4529" s="87" t="str">
        <f>IFERROR(__xludf.DUMMYFUNCTION("""COMPUTED_VALUE"""),"[Nhãn] LOT IDA Global - I - 3732 - HAIHAMEC 3.6C (AG1) (Nước nâu đen) - 450ml - 40")</f>
        <v>[Nhãn] LOT IDA Global - I - 3732 - HAIHAMEC 3.6C (AG1) (Nước nâu đen) - 450ml - 40</v>
      </c>
      <c r="E4529" s="87" t="str">
        <f>IFERROR(__xludf.DUMMYFUNCTION("""COMPUTED_VALUE"""),"HAIHAMEC 3.6EC")</f>
        <v>HAIHAMEC 3.6EC</v>
      </c>
      <c r="F4529" s="87" t="str">
        <f>IFERROR(__xludf.DUMMYFUNCTION("""COMPUTED_VALUE"""),"HH3732")</f>
        <v>HH3732</v>
      </c>
      <c r="G4529" s="87" t="str">
        <f>IFERROR(__xludf.DUMMYFUNCTION("""COMPUTED_VALUE"""),"LOT IDA Global - I - 3732 - HAIHAMEC 3.6C (AG1) (Nước nâu đen) - 450ml - 40")</f>
        <v>LOT IDA Global - I - 3732 - HAIHAMEC 3.6C (AG1) (Nước nâu đen) - 450ml - 40</v>
      </c>
    </row>
    <row r="4530">
      <c r="A4530" s="86">
        <f>IFERROR(__xludf.DUMMYFUNCTION("""COMPUTED_VALUE"""),4528.0)</f>
        <v>4528</v>
      </c>
      <c r="B4530" s="87" t="str">
        <f>IFERROR(__xludf.DUMMYFUNCTION("""COMPUTED_VALUE"""),"[Nhãn]")</f>
        <v>[Nhãn]</v>
      </c>
      <c r="C4530" s="87" t="str">
        <f>IFERROR(__xludf.DUMMYFUNCTION("""COMPUTED_VALUE"""),"NHG3733")</f>
        <v>NHG3733</v>
      </c>
      <c r="D4530" s="87" t="str">
        <f>IFERROR(__xludf.DUMMYFUNCTION("""COMPUTED_VALUE"""),"[Nhãn] BAMBOO - VI - 3733 - BAMBOO FENO (Nước tím) - 450ml - 40")</f>
        <v>[Nhãn] BAMBOO - VI - 3733 - BAMBOO FENO (Nước tím) - 450ml - 40</v>
      </c>
      <c r="E4530" s="87" t="str">
        <f>IFERROR(__xludf.DUMMYFUNCTION("""COMPUTED_VALUE"""),"ABASBA 50EC")</f>
        <v>ABASBA 50EC</v>
      </c>
      <c r="F4530" s="87" t="str">
        <f>IFERROR(__xludf.DUMMYFUNCTION("""COMPUTED_VALUE"""),"HH3733")</f>
        <v>HH3733</v>
      </c>
      <c r="G4530" s="87" t="str">
        <f>IFERROR(__xludf.DUMMYFUNCTION("""COMPUTED_VALUE"""),"BAMBOO - VI - 3733 - BAMBOO FENO (Nước tím) - 450ml - 40")</f>
        <v>BAMBOO - VI - 3733 - BAMBOO FENO (Nước tím) - 450ml - 40</v>
      </c>
    </row>
    <row r="4531">
      <c r="A4531" s="86">
        <f>IFERROR(__xludf.DUMMYFUNCTION("""COMPUTED_VALUE"""),4529.0)</f>
        <v>4529</v>
      </c>
      <c r="B4531" s="87" t="str">
        <f>IFERROR(__xludf.DUMMYFUNCTION("""COMPUTED_VALUE"""),"[Nhãn thùng]")</f>
        <v>[Nhãn thùng]</v>
      </c>
      <c r="C4531" s="87" t="str">
        <f>IFERROR(__xludf.DUMMYFUNCTION("""COMPUTED_VALUE"""),"NDT3734")</f>
        <v>NDT3734</v>
      </c>
      <c r="D4531" s="87" t="str">
        <f>IFERROR(__xludf.DUMMYFUNCTION("""COMPUTED_VALUE"""),"[Nhãn thùng] BAMBOO - VI - 3734 - BAMBOO XRAY (Bột trắng ngà) - 100gr - 100")</f>
        <v>[Nhãn thùng] BAMBOO - VI - 3734 - BAMBOO XRAY (Bột trắng ngà) - 100gr - 100</v>
      </c>
      <c r="E4531" s="87" t="str">
        <f>IFERROR(__xludf.DUMMYFUNCTION("""COMPUTED_VALUE"""),"KHONGRAY 54WP")</f>
        <v>KHONGRAY 54WP</v>
      </c>
      <c r="F4531" s="87" t="str">
        <f>IFERROR(__xludf.DUMMYFUNCTION("""COMPUTED_VALUE"""),"HH3734")</f>
        <v>HH3734</v>
      </c>
      <c r="G4531" s="87" t="str">
        <f>IFERROR(__xludf.DUMMYFUNCTION("""COMPUTED_VALUE"""),"BAMBOO - VI - 3734 - BAMBOO XRAY (Bột trắng ngà) - 100gr - 100")</f>
        <v>BAMBOO - VI - 3734 - BAMBOO XRAY (Bột trắng ngà) - 100gr - 100</v>
      </c>
    </row>
    <row r="4532">
      <c r="A4532" s="86">
        <f>IFERROR(__xludf.DUMMYFUNCTION("""COMPUTED_VALUE"""),4530.0)</f>
        <v>4530</v>
      </c>
      <c r="B4532" s="87" t="str">
        <f>IFERROR(__xludf.DUMMYFUNCTION("""COMPUTED_VALUE"""),"[Nhãn]")</f>
        <v>[Nhãn]</v>
      </c>
      <c r="C4532" s="87" t="str">
        <f>IFERROR(__xludf.DUMMYFUNCTION("""COMPUTED_VALUE"""),"NTN3734")</f>
        <v>NTN3734</v>
      </c>
      <c r="D4532" s="87" t="str">
        <f>IFERROR(__xludf.DUMMYFUNCTION("""COMPUTED_VALUE"""),"[Nhãn] BAMBOO - VI - 3734 - BAMBOO XRAY (Bột trắng ngà) - 100gr - 100")</f>
        <v>[Nhãn] BAMBOO - VI - 3734 - BAMBOO XRAY (Bột trắng ngà) - 100gr - 100</v>
      </c>
      <c r="E4532" s="87" t="str">
        <f>IFERROR(__xludf.DUMMYFUNCTION("""COMPUTED_VALUE"""),"KHONGRAY 54WP")</f>
        <v>KHONGRAY 54WP</v>
      </c>
      <c r="F4532" s="87" t="str">
        <f>IFERROR(__xludf.DUMMYFUNCTION("""COMPUTED_VALUE"""),"HH3734")</f>
        <v>HH3734</v>
      </c>
      <c r="G4532" s="87" t="str">
        <f>IFERROR(__xludf.DUMMYFUNCTION("""COMPUTED_VALUE"""),"BAMBOO - VI - 3734 - BAMBOO XRAY (Bột trắng ngà) - 100gr - 100")</f>
        <v>BAMBOO - VI - 3734 - BAMBOO XRAY (Bột trắng ngà) - 100gr - 100</v>
      </c>
    </row>
    <row r="4533">
      <c r="A4533" s="86">
        <f>IFERROR(__xludf.DUMMYFUNCTION("""COMPUTED_VALUE"""),4531.0)</f>
        <v>4531</v>
      </c>
      <c r="B4533" s="87" t="str">
        <f>IFERROR(__xludf.DUMMYFUNCTION("""COMPUTED_VALUE"""),"[Nhãn]")</f>
        <v>[Nhãn]</v>
      </c>
      <c r="C4533" s="87" t="str">
        <f>IFERROR(__xludf.DUMMYFUNCTION("""COMPUTED_VALUE"""),"NHG3735")</f>
        <v>NHG3735</v>
      </c>
      <c r="D4533" s="87" t="str">
        <f>IFERROR(__xludf.DUMMYFUNCTION("""COMPUTED_VALUE"""),"[Nhãn] BAMBOO - VI - 3735 - BAMBOO HEXA (Nước vàng) - 1L - 20")</f>
        <v>[Nhãn] BAMBOO - VI - 3735 - BAMBOO HEXA (Nước vàng) - 1L - 20</v>
      </c>
      <c r="E4533" s="87" t="str">
        <f>IFERROR(__xludf.DUMMYFUNCTION("""COMPUTED_VALUE"""),"Mekongvil 5SC")</f>
        <v>Mekongvil 5SC</v>
      </c>
      <c r="F4533" s="87" t="str">
        <f>IFERROR(__xludf.DUMMYFUNCTION("""COMPUTED_VALUE"""),"HH3735")</f>
        <v>HH3735</v>
      </c>
      <c r="G4533" s="87" t="str">
        <f>IFERROR(__xludf.DUMMYFUNCTION("""COMPUTED_VALUE"""),"BAMBOO - VI - 3735 - BAMBOO HEXA (Nước vàng) - 1L - 20")</f>
        <v>BAMBOO - VI - 3735 - BAMBOO HEXA (Nước vàng) - 1L - 20</v>
      </c>
    </row>
    <row r="4534">
      <c r="A4534" s="86">
        <f>IFERROR(__xludf.DUMMYFUNCTION("""COMPUTED_VALUE"""),4532.0)</f>
        <v>4532</v>
      </c>
      <c r="B4534" s="87" t="str">
        <f>IFERROR(__xludf.DUMMYFUNCTION("""COMPUTED_VALUE"""),"[Nhãn thùng]")</f>
        <v>[Nhãn thùng]</v>
      </c>
      <c r="C4534" s="87" t="str">
        <f>IFERROR(__xludf.DUMMYFUNCTION("""COMPUTED_VALUE"""),"NDT3736")</f>
        <v>NDT3736</v>
      </c>
      <c r="D4534" s="87" t="str">
        <f>IFERROR(__xludf.DUMMYFUNCTION("""COMPUTED_VALUE"""),"[Nhãn thùng] BAMBOO - VI - 3736 - BAMBOO CHROLONIL (Bột trắng) - 100gr - 100")</f>
        <v>[Nhãn thùng] BAMBOO - VI - 3736 - BAMBOO CHROLONIL (Bột trắng) - 100gr - 100</v>
      </c>
      <c r="E4534" s="87" t="str">
        <f>IFERROR(__xludf.DUMMYFUNCTION("""COMPUTED_VALUE"""),"THALONIL 75WP")</f>
        <v>THALONIL 75WP</v>
      </c>
      <c r="F4534" s="87" t="str">
        <f>IFERROR(__xludf.DUMMYFUNCTION("""COMPUTED_VALUE"""),"HH3736")</f>
        <v>HH3736</v>
      </c>
      <c r="G4534" s="87" t="str">
        <f>IFERROR(__xludf.DUMMYFUNCTION("""COMPUTED_VALUE"""),"BAMBOO - VI - 3736 - BAMBOO CHROLONIL (Bột trắng) - 100gr - 100")</f>
        <v>BAMBOO - VI - 3736 - BAMBOO CHROLONIL (Bột trắng) - 100gr - 100</v>
      </c>
    </row>
    <row r="4535">
      <c r="A4535" s="86">
        <f>IFERROR(__xludf.DUMMYFUNCTION("""COMPUTED_VALUE"""),4533.0)</f>
        <v>4533</v>
      </c>
      <c r="B4535" s="87" t="str">
        <f>IFERROR(__xludf.DUMMYFUNCTION("""COMPUTED_VALUE"""),"[Nhãn]")</f>
        <v>[Nhãn]</v>
      </c>
      <c r="C4535" s="87" t="str">
        <f>IFERROR(__xludf.DUMMYFUNCTION("""COMPUTED_VALUE"""),"NTN3736")</f>
        <v>NTN3736</v>
      </c>
      <c r="D4535" s="87" t="str">
        <f>IFERROR(__xludf.DUMMYFUNCTION("""COMPUTED_VALUE"""),"[Nhãn] BAMBOO - VI - 3736 - BAMBOO CHROLONIL (Bột trắng) - 100gr - 100")</f>
        <v>[Nhãn] BAMBOO - VI - 3736 - BAMBOO CHROLONIL (Bột trắng) - 100gr - 100</v>
      </c>
      <c r="E4535" s="87" t="str">
        <f>IFERROR(__xludf.DUMMYFUNCTION("""COMPUTED_VALUE"""),"THALONIL 75WP")</f>
        <v>THALONIL 75WP</v>
      </c>
      <c r="F4535" s="87" t="str">
        <f>IFERROR(__xludf.DUMMYFUNCTION("""COMPUTED_VALUE"""),"HH3736")</f>
        <v>HH3736</v>
      </c>
      <c r="G4535" s="87" t="str">
        <f>IFERROR(__xludf.DUMMYFUNCTION("""COMPUTED_VALUE"""),"BAMBOO - VI - 3736 - BAMBOO CHROLONIL (Bột trắng) - 100gr - 100")</f>
        <v>BAMBOO - VI - 3736 - BAMBOO CHROLONIL (Bột trắng) - 100gr - 100</v>
      </c>
    </row>
    <row r="4536">
      <c r="A4536" s="86">
        <f>IFERROR(__xludf.DUMMYFUNCTION("""COMPUTED_VALUE"""),4534.0)</f>
        <v>4534</v>
      </c>
      <c r="B4536" s="87" t="str">
        <f>IFERROR(__xludf.DUMMYFUNCTION("""COMPUTED_VALUE"""),"[Nhãn thùng]")</f>
        <v>[Nhãn thùng]</v>
      </c>
      <c r="C4536" s="87" t="str">
        <f>IFERROR(__xludf.DUMMYFUNCTION("""COMPUTED_VALUE"""),"NDT3737")</f>
        <v>NDT3737</v>
      </c>
      <c r="D4536" s="87" t="str">
        <f>IFERROR(__xludf.DUMMYFUNCTION("""COMPUTED_VALUE"""),"[Nhãn thùng] BAMBOO - VI - 3737 - BAMBOO OXYCIN (Bột trắng) - 100gr - 100")</f>
        <v>[Nhãn thùng] BAMBOO - VI - 3737 - BAMBOO OXYCIN (Bột trắng) - 100gr - 100</v>
      </c>
      <c r="E4536" s="87" t="str">
        <f>IFERROR(__xludf.DUMMYFUNCTION("""COMPUTED_VALUE"""),"Oxycin 100WP")</f>
        <v>Oxycin 100WP</v>
      </c>
      <c r="F4536" s="87" t="str">
        <f>IFERROR(__xludf.DUMMYFUNCTION("""COMPUTED_VALUE"""),"HH3737")</f>
        <v>HH3737</v>
      </c>
      <c r="G4536" s="87" t="str">
        <f>IFERROR(__xludf.DUMMYFUNCTION("""COMPUTED_VALUE"""),"BAMBOO - VI - 3737 - BAMBOO OXYCIN (Bột trắng) - 100gr - 100")</f>
        <v>BAMBOO - VI - 3737 - BAMBOO OXYCIN (Bột trắng) - 100gr - 100</v>
      </c>
    </row>
    <row r="4537">
      <c r="A4537" s="86">
        <f>IFERROR(__xludf.DUMMYFUNCTION("""COMPUTED_VALUE"""),4535.0)</f>
        <v>4535</v>
      </c>
      <c r="B4537" s="87" t="str">
        <f>IFERROR(__xludf.DUMMYFUNCTION("""COMPUTED_VALUE"""),"[Nhãn]")</f>
        <v>[Nhãn]</v>
      </c>
      <c r="C4537" s="87" t="str">
        <f>IFERROR(__xludf.DUMMYFUNCTION("""COMPUTED_VALUE"""),"NTN3737")</f>
        <v>NTN3737</v>
      </c>
      <c r="D4537" s="87" t="str">
        <f>IFERROR(__xludf.DUMMYFUNCTION("""COMPUTED_VALUE"""),"[Nhãn] BAMBOO - VI - 3737 - BAMBOO OXYCIN (Bột trắng) - 100gr - 100")</f>
        <v>[Nhãn] BAMBOO - VI - 3737 - BAMBOO OXYCIN (Bột trắng) - 100gr - 100</v>
      </c>
      <c r="E4537" s="87" t="str">
        <f>IFERROR(__xludf.DUMMYFUNCTION("""COMPUTED_VALUE"""),"Oxycin 100WP")</f>
        <v>Oxycin 100WP</v>
      </c>
      <c r="F4537" s="87" t="str">
        <f>IFERROR(__xludf.DUMMYFUNCTION("""COMPUTED_VALUE"""),"HH3737")</f>
        <v>HH3737</v>
      </c>
      <c r="G4537" s="87" t="str">
        <f>IFERROR(__xludf.DUMMYFUNCTION("""COMPUTED_VALUE"""),"BAMBOO - VI - 3737 - BAMBOO OXYCIN (Bột trắng) - 100gr - 100")</f>
        <v>BAMBOO - VI - 3737 - BAMBOO OXYCIN (Bột trắng) - 100gr - 100</v>
      </c>
    </row>
    <row r="4538">
      <c r="A4538" s="86">
        <f>IFERROR(__xludf.DUMMYFUNCTION("""COMPUTED_VALUE"""),4536.0)</f>
        <v>4536</v>
      </c>
      <c r="B4538" s="87" t="str">
        <f>IFERROR(__xludf.DUMMYFUNCTION("""COMPUTED_VALUE"""),"[Nhãn]")</f>
        <v>[Nhãn]</v>
      </c>
      <c r="C4538" s="87" t="str">
        <f>IFERROR(__xludf.DUMMYFUNCTION("""COMPUTED_VALUE"""),"NHG3740")</f>
        <v>NHG3740</v>
      </c>
      <c r="D4538" s="87" t="str">
        <f>IFERROR(__xludf.DUMMYFUNCTION("""COMPUTED_VALUE"""),"[Nhãn] GC - IV - 3740 - CTY ASAHI NHẬT BẢN - RONBIN SAMURAI (Gel nâu đen) - 500ml - 40")</f>
        <v>[Nhãn] GC - IV - 3740 - CTY ASAHI NHẬT BẢN - RONBIN SAMURAI (Gel nâu đen) - 500ml - 40</v>
      </c>
      <c r="E4538" s="87" t="str">
        <f>IFERROR(__xludf.DUMMYFUNCTION("""COMPUTED_VALUE"""),"Vi lượng Quantity New")</f>
        <v>Vi lượng Quantity New</v>
      </c>
      <c r="F4538" s="87" t="str">
        <f>IFERROR(__xludf.DUMMYFUNCTION("""COMPUTED_VALUE"""),"HH3740")</f>
        <v>HH3740</v>
      </c>
      <c r="G4538" s="87" t="str">
        <f>IFERROR(__xludf.DUMMYFUNCTION("""COMPUTED_VALUE"""),"GC - IV - 3740 - CTY ASAHI NHẬT BẢN - RONBIN SAMURAI (Gel nâu đen) - 500ml - 40")</f>
        <v>GC - IV - 3740 - CTY ASAHI NHẬT BẢN - RONBIN SAMURAI (Gel nâu đen) - 500ml - 40</v>
      </c>
    </row>
    <row r="4539">
      <c r="A4539" s="86">
        <f>IFERROR(__xludf.DUMMYFUNCTION("""COMPUTED_VALUE"""),4537.0)</f>
        <v>4537</v>
      </c>
      <c r="B4539" s="87" t="str">
        <f>IFERROR(__xludf.DUMMYFUNCTION("""COMPUTED_VALUE"""),"[Nhãn]")</f>
        <v>[Nhãn]</v>
      </c>
      <c r="C4539" s="87" t="str">
        <f>IFERROR(__xludf.DUMMYFUNCTION("""COMPUTED_VALUE"""),"NHG3741")</f>
        <v>NHG3741</v>
      </c>
      <c r="D4539" s="87" t="str">
        <f>IFERROR(__xludf.DUMMYFUNCTION("""COMPUTED_VALUE"""),"[Nhãn] GC - IV - 3741 - CTY ASAHI NHẬT BẢN - ROOTS SAMURAI (Gel nâu đen) - 500ml - 40")</f>
        <v>[Nhãn] GC - IV - 3741 - CTY ASAHI NHẬT BẢN - ROOTS SAMURAI (Gel nâu đen) - 500ml - 40</v>
      </c>
      <c r="E4539" s="87" t="str">
        <f>IFERROR(__xludf.DUMMYFUNCTION("""COMPUTED_VALUE"""),"Vi lượng Quantity New")</f>
        <v>Vi lượng Quantity New</v>
      </c>
      <c r="F4539" s="87" t="str">
        <f>IFERROR(__xludf.DUMMYFUNCTION("""COMPUTED_VALUE"""),"HH3741")</f>
        <v>HH3741</v>
      </c>
      <c r="G4539" s="87" t="str">
        <f>IFERROR(__xludf.DUMMYFUNCTION("""COMPUTED_VALUE"""),"GC - IV - 3741 - CTY ASAHI NHẬT BẢN - ROOTS SAMURAI (Gel nâu đen) - 500ml - 40")</f>
        <v>GC - IV - 3741 - CTY ASAHI NHẬT BẢN - ROOTS SAMURAI (Gel nâu đen) - 500ml - 40</v>
      </c>
    </row>
    <row r="4540">
      <c r="A4540" s="86">
        <f>IFERROR(__xludf.DUMMYFUNCTION("""COMPUTED_VALUE"""),4538.0)</f>
        <v>4538</v>
      </c>
      <c r="B4540" s="87" t="str">
        <f>IFERROR(__xludf.DUMMYFUNCTION("""COMPUTED_VALUE"""),"[Nhãn]")</f>
        <v>[Nhãn]</v>
      </c>
      <c r="C4540" s="87" t="str">
        <f>IFERROR(__xludf.DUMMYFUNCTION("""COMPUTED_VALUE"""),"NHG3742")</f>
        <v>NHG3742</v>
      </c>
      <c r="D4540" s="87" t="str">
        <f>IFERROR(__xludf.DUMMYFUNCTION("""COMPUTED_VALUE"""),"[Nhãn] GC - IV - 3742 - LOT ASAHI NHẬT BẢN - BRASI 24 (Gel đỏ cam) - 500ml - 40")</f>
        <v>[Nhãn] GC - IV - 3742 - LOT ASAHI NHẬT BẢN - BRASI 24 (Gel đỏ cam) - 500ml - 40</v>
      </c>
      <c r="E4540" s="87" t="str">
        <f>IFERROR(__xludf.DUMMYFUNCTION("""COMPUTED_VALUE"""),"Vi lượng Run Fast")</f>
        <v>Vi lượng Run Fast</v>
      </c>
      <c r="F4540" s="87" t="str">
        <f>IFERROR(__xludf.DUMMYFUNCTION("""COMPUTED_VALUE"""),"HH3742")</f>
        <v>HH3742</v>
      </c>
      <c r="G4540" s="87" t="str">
        <f>IFERROR(__xludf.DUMMYFUNCTION("""COMPUTED_VALUE"""),"GC - IV - 3742 - LOT ASAHI NHẬT BẢN - BRASI 24 (Gel đỏ cam) - 500ml - 40")</f>
        <v>GC - IV - 3742 - LOT ASAHI NHẬT BẢN - BRASI 24 (Gel đỏ cam) - 500ml - 40</v>
      </c>
    </row>
    <row r="4541">
      <c r="A4541" s="86">
        <f>IFERROR(__xludf.DUMMYFUNCTION("""COMPUTED_VALUE"""),4539.0)</f>
        <v>4539</v>
      </c>
      <c r="B4541" s="87" t="str">
        <f>IFERROR(__xludf.DUMMYFUNCTION("""COMPUTED_VALUE"""),"[Nhãn]")</f>
        <v>[Nhãn]</v>
      </c>
      <c r="C4541" s="87" t="str">
        <f>IFERROR(__xludf.DUMMYFUNCTION("""COMPUTED_VALUE"""),"NHG3744")</f>
        <v>NHG3744</v>
      </c>
      <c r="D4541" s="87" t="str">
        <f>IFERROR(__xludf.DUMMYFUNCTION("""COMPUTED_VALUE"""),"[Nhãn] GC - IV - 3744 - CTY ASAHI NHẬT BẢN - DAMKA SAMURAI (Gel nâu đen) - 500ml - 40")</f>
        <v>[Nhãn] GC - IV - 3744 - CTY ASAHI NHẬT BẢN - DAMKA SAMURAI (Gel nâu đen) - 500ml - 40</v>
      </c>
      <c r="E4541" s="87" t="str">
        <f>IFERROR(__xludf.DUMMYFUNCTION("""COMPUTED_VALUE"""),"Vi lượng Quantity New")</f>
        <v>Vi lượng Quantity New</v>
      </c>
      <c r="F4541" s="87" t="str">
        <f>IFERROR(__xludf.DUMMYFUNCTION("""COMPUTED_VALUE"""),"HH3744")</f>
        <v>HH3744</v>
      </c>
      <c r="G4541" s="87" t="str">
        <f>IFERROR(__xludf.DUMMYFUNCTION("""COMPUTED_VALUE"""),"GC - IV - 3744 - CTY ASAHI NHẬT BẢN - DAMKA SAMURAI (Gel nâu đen) - 500ml - 40")</f>
        <v>GC - IV - 3744 - CTY ASAHI NHẬT BẢN - DAMKA SAMURAI (Gel nâu đen) - 500ml - 40</v>
      </c>
    </row>
    <row r="4542">
      <c r="A4542" s="86">
        <f>IFERROR(__xludf.DUMMYFUNCTION("""COMPUTED_VALUE"""),4540.0)</f>
        <v>4540</v>
      </c>
      <c r="B4542" s="87" t="str">
        <f>IFERROR(__xludf.DUMMYFUNCTION("""COMPUTED_VALUE"""),"[Nhãn]")</f>
        <v>[Nhãn]</v>
      </c>
      <c r="C4542" s="87" t="str">
        <f>IFERROR(__xludf.DUMMYFUNCTION("""COMPUTED_VALUE"""),"NHG3745")</f>
        <v>NHG3745</v>
      </c>
      <c r="D4542" s="87" t="str">
        <f>IFERROR(__xludf.DUMMYFUNCTION("""COMPUTED_VALUE"""),"[Nhãn] LOT IDA Global - I - 3745 - CHITIN 3.6EC (nước nâu đen) - 450ml - 40")</f>
        <v>[Nhãn] LOT IDA Global - I - 3745 - CHITIN 3.6EC (nước nâu đen) - 450ml - 40</v>
      </c>
      <c r="E4542" s="87" t="str">
        <f>IFERROR(__xludf.DUMMYFUNCTION("""COMPUTED_VALUE"""),"Chitin 3.6EC")</f>
        <v>Chitin 3.6EC</v>
      </c>
      <c r="F4542" s="87" t="str">
        <f>IFERROR(__xludf.DUMMYFUNCTION("""COMPUTED_VALUE"""),"HH3745")</f>
        <v>HH3745</v>
      </c>
      <c r="G4542" s="87" t="str">
        <f>IFERROR(__xludf.DUMMYFUNCTION("""COMPUTED_VALUE"""),"LOT IDA Global - I - 3745 - CHITIN 3.6EC (nước nâu đen) - 450ml - 40")</f>
        <v>LOT IDA Global - I - 3745 - CHITIN 3.6EC (nước nâu đen) - 450ml - 40</v>
      </c>
    </row>
    <row r="4543">
      <c r="A4543" s="86">
        <f>IFERROR(__xludf.DUMMYFUNCTION("""COMPUTED_VALUE"""),4541.0)</f>
        <v>4541</v>
      </c>
      <c r="B4543" s="87" t="str">
        <f>IFERROR(__xludf.DUMMYFUNCTION("""COMPUTED_VALUE"""),"[Nhãn]")</f>
        <v>[Nhãn]</v>
      </c>
      <c r="C4543" s="87" t="str">
        <f>IFERROR(__xludf.DUMMYFUNCTION("""COMPUTED_VALUE"""),"NHG3746")</f>
        <v>NHG3746</v>
      </c>
      <c r="D4543" s="87" t="str">
        <f>IFERROR(__xludf.DUMMYFUNCTION("""COMPUTED_VALUE"""),"[Nhãn] GC - IV - 3746 - Agriplant - JAPA VIL 110SC (Nước trắng sữa) - 1L - 20")</f>
        <v>[Nhãn] GC - IV - 3746 - Agriplant - JAPA VIL 110SC (Nước trắng sữa) - 1L - 20</v>
      </c>
      <c r="E4543" s="87" t="str">
        <f>IFERROR(__xludf.DUMMYFUNCTION("""COMPUTED_VALUE"""),"JAPA VIL 110SC")</f>
        <v>JAPA VIL 110SC</v>
      </c>
      <c r="F4543" s="87" t="str">
        <f>IFERROR(__xludf.DUMMYFUNCTION("""COMPUTED_VALUE"""),"HH3746")</f>
        <v>HH3746</v>
      </c>
      <c r="G4543" s="87" t="str">
        <f>IFERROR(__xludf.DUMMYFUNCTION("""COMPUTED_VALUE"""),"GC - IV - 3746 - Agriplant - JAPA VIL 110SC (Nước trắng sữa) - 1L - 20")</f>
        <v>GC - IV - 3746 - Agriplant - JAPA VIL 110SC (Nước trắng sữa) - 1L - 20</v>
      </c>
    </row>
    <row r="4544">
      <c r="A4544" s="86">
        <f>IFERROR(__xludf.DUMMYFUNCTION("""COMPUTED_VALUE"""),4542.0)</f>
        <v>4542</v>
      </c>
      <c r="B4544" s="87" t="str">
        <f>IFERROR(__xludf.DUMMYFUNCTION("""COMPUTED_VALUE"""),"[Nhãn]")</f>
        <v>[Nhãn]</v>
      </c>
      <c r="C4544" s="87" t="str">
        <f>IFERROR(__xludf.DUMMYFUNCTION("""COMPUTED_VALUE"""),"NTN3747")</f>
        <v>NTN3747</v>
      </c>
      <c r="D4544" s="87" t="str">
        <f>IFERROR(__xludf.DUMMYFUNCTION("""COMPUTED_VALUE"""),"[Nhãn] GC - IV - 3747 - BETA AGRICULTURE - BETA - COLA (Dạng cốm màu trắng ngà) - 50gr - 300")</f>
        <v>[Nhãn] GC - IV - 3747 - BETA AGRICULTURE - BETA - COLA (Dạng cốm màu trắng ngà) - 50gr - 300</v>
      </c>
      <c r="E4544" s="87" t="str">
        <f>IFERROR(__xludf.DUMMYFUNCTION("""COMPUTED_VALUE"""),"NOMIDA 700WG")</f>
        <v>NOMIDA 700WG</v>
      </c>
      <c r="F4544" s="87" t="str">
        <f>IFERROR(__xludf.DUMMYFUNCTION("""COMPUTED_VALUE"""),"HH3747")</f>
        <v>HH3747</v>
      </c>
      <c r="G4544" s="87" t="str">
        <f>IFERROR(__xludf.DUMMYFUNCTION("""COMPUTED_VALUE"""),"GC - IV - 3747 - BETA AGRICULTURE - BETA - COLA (Dạng cốm màu trắng ngà) - 50gr - 300")</f>
        <v>GC - IV - 3747 - BETA AGRICULTURE - BETA - COLA (Dạng cốm màu trắng ngà) - 50gr - 300</v>
      </c>
    </row>
    <row r="4545">
      <c r="A4545" s="86">
        <f>IFERROR(__xludf.DUMMYFUNCTION("""COMPUTED_VALUE"""),4543.0)</f>
        <v>4543</v>
      </c>
      <c r="B4545" s="87" t="str">
        <f>IFERROR(__xludf.DUMMYFUNCTION("""COMPUTED_VALUE"""),"[Nhãn thùng]")</f>
        <v>[Nhãn thùng]</v>
      </c>
      <c r="C4545" s="87" t="str">
        <f>IFERROR(__xludf.DUMMYFUNCTION("""COMPUTED_VALUE"""),"NDT3747")</f>
        <v>NDT3747</v>
      </c>
      <c r="D4545" s="87" t="str">
        <f>IFERROR(__xludf.DUMMYFUNCTION("""COMPUTED_VALUE"""),"[Nhãn thùng] GC - IV - 3747 - BETA AGRICULTURE - BETA - COLA (Dạng cốm màu trắng ngà) - 50gr - 300")</f>
        <v>[Nhãn thùng] GC - IV - 3747 - BETA AGRICULTURE - BETA - COLA (Dạng cốm màu trắng ngà) - 50gr - 300</v>
      </c>
      <c r="E4545" s="87" t="str">
        <f>IFERROR(__xludf.DUMMYFUNCTION("""COMPUTED_VALUE"""),"NOMIDA 700WG")</f>
        <v>NOMIDA 700WG</v>
      </c>
      <c r="F4545" s="87" t="str">
        <f>IFERROR(__xludf.DUMMYFUNCTION("""COMPUTED_VALUE"""),"HH3747")</f>
        <v>HH3747</v>
      </c>
      <c r="G4545" s="87" t="str">
        <f>IFERROR(__xludf.DUMMYFUNCTION("""COMPUTED_VALUE"""),"GC - IV - 3747 - BETA AGRICULTURE - BETA - COLA (Dạng cốm màu trắng ngà) - 50gr - 300")</f>
        <v>GC - IV - 3747 - BETA AGRICULTURE - BETA - COLA (Dạng cốm màu trắng ngà) - 50gr - 300</v>
      </c>
    </row>
    <row r="4546">
      <c r="A4546" s="86">
        <f>IFERROR(__xludf.DUMMYFUNCTION("""COMPUTED_VALUE"""),4544.0)</f>
        <v>4544</v>
      </c>
      <c r="B4546" s="87" t="str">
        <f>IFERROR(__xludf.DUMMYFUNCTION("""COMPUTED_VALUE"""),"[Nhãn]")</f>
        <v>[Nhãn]</v>
      </c>
      <c r="C4546" s="87" t="str">
        <f>IFERROR(__xludf.DUMMYFUNCTION("""COMPUTED_VALUE"""),"NHG3749")</f>
        <v>NHG3749</v>
      </c>
      <c r="D4546" s="87" t="str">
        <f>IFERROR(__xludf.DUMMYFUNCTION("""COMPUTED_VALUE"""),"[Nhãn] BAMBOO - VI - 3749 - BAMBOO CANXI BO MASTER (Nước trắng sữa) - 1L - 20")</f>
        <v>[Nhãn] BAMBOO - VI - 3749 - BAMBOO CANXI BO MASTER (Nước trắng sữa) - 1L - 20</v>
      </c>
      <c r="E4546" s="87" t="str">
        <f>IFERROR(__xludf.DUMMYFUNCTION("""COMPUTED_VALUE"""),"Vi lượng AGAMA-CANXI BO")</f>
        <v>Vi lượng AGAMA-CANXI BO</v>
      </c>
      <c r="F4546" s="87" t="str">
        <f>IFERROR(__xludf.DUMMYFUNCTION("""COMPUTED_VALUE"""),"HH3749")</f>
        <v>HH3749</v>
      </c>
      <c r="G4546" s="87" t="str">
        <f>IFERROR(__xludf.DUMMYFUNCTION("""COMPUTED_VALUE"""),"BAMBOO - VI - 3749 - BAMBOO CANXI BO MASTER (Nước trắng sữa) - 1L - 20")</f>
        <v>BAMBOO - VI - 3749 - BAMBOO CANXI BO MASTER (Nước trắng sữa) - 1L - 20</v>
      </c>
    </row>
    <row r="4547">
      <c r="A4547" s="86">
        <f>IFERROR(__xludf.DUMMYFUNCTION("""COMPUTED_VALUE"""),4545.0)</f>
        <v>4545</v>
      </c>
      <c r="B4547" s="87" t="str">
        <f>IFERROR(__xludf.DUMMYFUNCTION("""COMPUTED_VALUE"""),"[Nhãn thùng]")</f>
        <v>[Nhãn thùng]</v>
      </c>
      <c r="C4547" s="87" t="str">
        <f>IFERROR(__xludf.DUMMYFUNCTION("""COMPUTED_VALUE"""),"NDT3749")</f>
        <v>NDT3749</v>
      </c>
      <c r="D4547" s="87" t="str">
        <f>IFERROR(__xludf.DUMMYFUNCTION("""COMPUTED_VALUE"""),"[Nhãn thùng] BAMBOO - VI - 3749 - BAMBOO CANXI BO MASTER (Nước trắng sữa) - 1L - 20")</f>
        <v>[Nhãn thùng] BAMBOO - VI - 3749 - BAMBOO CANXI BO MASTER (Nước trắng sữa) - 1L - 20</v>
      </c>
      <c r="E4547" s="87" t="str">
        <f>IFERROR(__xludf.DUMMYFUNCTION("""COMPUTED_VALUE"""),"Vi lượng AGAMA-CANXI BO")</f>
        <v>Vi lượng AGAMA-CANXI BO</v>
      </c>
      <c r="F4547" s="87" t="str">
        <f>IFERROR(__xludf.DUMMYFUNCTION("""COMPUTED_VALUE"""),"HH3749")</f>
        <v>HH3749</v>
      </c>
      <c r="G4547" s="87" t="str">
        <f>IFERROR(__xludf.DUMMYFUNCTION("""COMPUTED_VALUE"""),"BAMBOO - VI - 3749 - BAMBOO CANXI BO MASTER (Nước trắng sữa) - 1L - 20")</f>
        <v>BAMBOO - VI - 3749 - BAMBOO CANXI BO MASTER (Nước trắng sữa) - 1L - 20</v>
      </c>
    </row>
    <row r="4548">
      <c r="A4548" s="86">
        <f>IFERROR(__xludf.DUMMYFUNCTION("""COMPUTED_VALUE"""),4546.0)</f>
        <v>4546</v>
      </c>
      <c r="B4548" s="87" t="str">
        <f>IFERROR(__xludf.DUMMYFUNCTION("""COMPUTED_VALUE"""),"[Nhãn]")</f>
        <v>[Nhãn]</v>
      </c>
      <c r="C4548" s="87" t="str">
        <f>IFERROR(__xludf.DUMMYFUNCTION("""COMPUTED_VALUE"""),"NHG3750")</f>
        <v>NHG3750</v>
      </c>
      <c r="D4548" s="87" t="str">
        <f>IFERROR(__xludf.DUMMYFUNCTION("""COMPUTED_VALUE"""),"[Nhãn] BAMBOO - VI - 3750 - BAMBOO ORGANIC (nước nâu đen) - 1L - 20")</f>
        <v>[Nhãn] BAMBOO - VI - 3750 - BAMBOO ORGANIC (nước nâu đen) - 1L - 20</v>
      </c>
      <c r="E4548" s="87" t="str">
        <f>IFERROR(__xludf.DUMMYFUNCTION("""COMPUTED_VALUE"""),"Hữu cơ SH Agro Organic Fertilizer 20")</f>
        <v>Hữu cơ SH Agro Organic Fertilizer 20</v>
      </c>
      <c r="F4548" s="87" t="str">
        <f>IFERROR(__xludf.DUMMYFUNCTION("""COMPUTED_VALUE"""),"HH3750")</f>
        <v>HH3750</v>
      </c>
      <c r="G4548" s="87" t="str">
        <f>IFERROR(__xludf.DUMMYFUNCTION("""COMPUTED_VALUE"""),"BAMBOO - VI - 3750 - BAMBOO ORGANIC (nước nâu đen) - 1L - 20")</f>
        <v>BAMBOO - VI - 3750 - BAMBOO ORGANIC (nước nâu đen) - 1L - 20</v>
      </c>
    </row>
    <row r="4549">
      <c r="A4549" s="86">
        <f>IFERROR(__xludf.DUMMYFUNCTION("""COMPUTED_VALUE"""),4547.0)</f>
        <v>4547</v>
      </c>
      <c r="B4549" s="87" t="str">
        <f>IFERROR(__xludf.DUMMYFUNCTION("""COMPUTED_VALUE"""),"[Nhãn thùng]")</f>
        <v>[Nhãn thùng]</v>
      </c>
      <c r="C4549" s="87" t="str">
        <f>IFERROR(__xludf.DUMMYFUNCTION("""COMPUTED_VALUE"""),"NDT3750")</f>
        <v>NDT3750</v>
      </c>
      <c r="D4549" s="87" t="str">
        <f>IFERROR(__xludf.DUMMYFUNCTION("""COMPUTED_VALUE"""),"[Nhãn thùng] BAMBOO - VI - 3750 - BAMBOO ORGANIC (nước nâu đen) - 1L - 20")</f>
        <v>[Nhãn thùng] BAMBOO - VI - 3750 - BAMBOO ORGANIC (nước nâu đen) - 1L - 20</v>
      </c>
      <c r="E4549" s="87" t="str">
        <f>IFERROR(__xludf.DUMMYFUNCTION("""COMPUTED_VALUE"""),"Hữu cơ SH Agro Organic Fertilizer 20")</f>
        <v>Hữu cơ SH Agro Organic Fertilizer 20</v>
      </c>
      <c r="F4549" s="87" t="str">
        <f>IFERROR(__xludf.DUMMYFUNCTION("""COMPUTED_VALUE"""),"HH3750")</f>
        <v>HH3750</v>
      </c>
      <c r="G4549" s="87" t="str">
        <f>IFERROR(__xludf.DUMMYFUNCTION("""COMPUTED_VALUE"""),"BAMBOO - VI - 3750 - BAMBOO ORGANIC (nước nâu đen) - 1L - 20")</f>
        <v>BAMBOO - VI - 3750 - BAMBOO ORGANIC (nước nâu đen) - 1L - 20</v>
      </c>
    </row>
    <row r="4550">
      <c r="A4550" s="86">
        <f>IFERROR(__xludf.DUMMYFUNCTION("""COMPUTED_VALUE"""),4548.0)</f>
        <v>4548</v>
      </c>
      <c r="B4550" s="87" t="str">
        <f>IFERROR(__xludf.DUMMYFUNCTION("""COMPUTED_VALUE"""),"[Nhãn]")</f>
        <v>[Nhãn]</v>
      </c>
      <c r="C4550" s="87" t="str">
        <f>IFERROR(__xludf.DUMMYFUNCTION("""COMPUTED_VALUE"""),"NHD3751")</f>
        <v>NHD3751</v>
      </c>
      <c r="D4550" s="87" t="str">
        <f>IFERROR(__xludf.DUMMYFUNCTION("""COMPUTED_VALUE"""),"[Nhãn] BAMBOO - VI - 3751 - BAMBOO ORGANIC (nước nâu đen) - 5L - 4")</f>
        <v>[Nhãn] BAMBOO - VI - 3751 - BAMBOO ORGANIC (nước nâu đen) - 5L - 4</v>
      </c>
      <c r="E4550" s="87" t="str">
        <f>IFERROR(__xludf.DUMMYFUNCTION("""COMPUTED_VALUE"""),"Hữu cơ SH Agro Organic Fertilizer 20")</f>
        <v>Hữu cơ SH Agro Organic Fertilizer 20</v>
      </c>
      <c r="F4550" s="87" t="str">
        <f>IFERROR(__xludf.DUMMYFUNCTION("""COMPUTED_VALUE"""),"HH3751")</f>
        <v>HH3751</v>
      </c>
      <c r="G4550" s="87" t="str">
        <f>IFERROR(__xludf.DUMMYFUNCTION("""COMPUTED_VALUE"""),"BAMBOO - VI - 3751 - BAMBOO ORGANIC (nước nâu đen) - 5L - 4")</f>
        <v>BAMBOO - VI - 3751 - BAMBOO ORGANIC (nước nâu đen) - 5L - 4</v>
      </c>
    </row>
    <row r="4551">
      <c r="A4551" s="86">
        <f>IFERROR(__xludf.DUMMYFUNCTION("""COMPUTED_VALUE"""),4549.0)</f>
        <v>4549</v>
      </c>
      <c r="B4551" s="87" t="str">
        <f>IFERROR(__xludf.DUMMYFUNCTION("""COMPUTED_VALUE"""),"[Nhãn thùng]")</f>
        <v>[Nhãn thùng]</v>
      </c>
      <c r="C4551" s="87" t="str">
        <f>IFERROR(__xludf.DUMMYFUNCTION("""COMPUTED_VALUE"""),"NDT3751")</f>
        <v>NDT3751</v>
      </c>
      <c r="D4551" s="87" t="str">
        <f>IFERROR(__xludf.DUMMYFUNCTION("""COMPUTED_VALUE"""),"[Nhãn thùng] BAMBOO - VI - 3751 - BAMBOO ORGANIC (nước nâu đen) - 5L - 4")</f>
        <v>[Nhãn thùng] BAMBOO - VI - 3751 - BAMBOO ORGANIC (nước nâu đen) - 5L - 4</v>
      </c>
      <c r="E4551" s="87" t="str">
        <f>IFERROR(__xludf.DUMMYFUNCTION("""COMPUTED_VALUE"""),"Hữu cơ SH Agro Organic Fertilizer 20")</f>
        <v>Hữu cơ SH Agro Organic Fertilizer 20</v>
      </c>
      <c r="F4551" s="87" t="str">
        <f>IFERROR(__xludf.DUMMYFUNCTION("""COMPUTED_VALUE"""),"HH3751")</f>
        <v>HH3751</v>
      </c>
      <c r="G4551" s="87" t="str">
        <f>IFERROR(__xludf.DUMMYFUNCTION("""COMPUTED_VALUE"""),"BAMBOO - VI - 3751 - BAMBOO ORGANIC (nước nâu đen) - 5L - 4")</f>
        <v>BAMBOO - VI - 3751 - BAMBOO ORGANIC (nước nâu đen) - 5L - 4</v>
      </c>
    </row>
    <row r="4552">
      <c r="A4552" s="86">
        <f>IFERROR(__xludf.DUMMYFUNCTION("""COMPUTED_VALUE"""),4550.0)</f>
        <v>4550</v>
      </c>
      <c r="B4552" s="87" t="str">
        <f>IFERROR(__xludf.DUMMYFUNCTION("""COMPUTED_VALUE"""),"[Nhãn]")</f>
        <v>[Nhãn]</v>
      </c>
      <c r="C4552" s="87" t="str">
        <f>IFERROR(__xludf.DUMMYFUNCTION("""COMPUTED_VALUE"""),"NHG3753")</f>
        <v>NHG3753</v>
      </c>
      <c r="D4552" s="87" t="str">
        <f>IFERROR(__xludf.DUMMYFUNCTION("""COMPUTED_VALUE"""),"[Nhãn] GC - IV - 3753 - CTY DONA VINA - DONAVIN (Nước trắng sữa) - 1L - 20")</f>
        <v>[Nhãn] GC - IV - 3753 - CTY DONA VINA - DONAVIN (Nước trắng sữa) - 1L - 20</v>
      </c>
      <c r="E4552" s="87" t="str">
        <f>IFERROR(__xludf.DUMMYFUNCTION("""COMPUTED_VALUE"""),"JAPA VIL 110SC")</f>
        <v>JAPA VIL 110SC</v>
      </c>
      <c r="F4552" s="87" t="str">
        <f>IFERROR(__xludf.DUMMYFUNCTION("""COMPUTED_VALUE"""),"HH3753")</f>
        <v>HH3753</v>
      </c>
      <c r="G4552" s="87" t="str">
        <f>IFERROR(__xludf.DUMMYFUNCTION("""COMPUTED_VALUE"""),"GC - IV - 3753 - CTY DONA VINA - DONAVIN (Nước trắng sữa) - 1L - 20")</f>
        <v>GC - IV - 3753 - CTY DONA VINA - DONAVIN (Nước trắng sữa) - 1L - 20</v>
      </c>
    </row>
    <row r="4553">
      <c r="A4553" s="86">
        <f>IFERROR(__xludf.DUMMYFUNCTION("""COMPUTED_VALUE"""),4551.0)</f>
        <v>4551</v>
      </c>
      <c r="B4553" s="87" t="str">
        <f>IFERROR(__xludf.DUMMYFUNCTION("""COMPUTED_VALUE"""),"[Nhãn thùng]")</f>
        <v>[Nhãn thùng]</v>
      </c>
      <c r="C4553" s="87" t="str">
        <f>IFERROR(__xludf.DUMMYFUNCTION("""COMPUTED_VALUE"""),"NDT3754")</f>
        <v>NDT3754</v>
      </c>
      <c r="D4553" s="87" t="str">
        <f>IFERROR(__xludf.DUMMYFUNCTION("""COMPUTED_VALUE"""),"[Nhãn thùng] GC - IV - 3754 - BIOCENTER - BIO - COLA (Dạng cốm màu trắng ngà) - 50gr - 300")</f>
        <v>[Nhãn thùng] GC - IV - 3754 - BIOCENTER - BIO - COLA (Dạng cốm màu trắng ngà) - 50gr - 300</v>
      </c>
      <c r="E4553" s="87" t="str">
        <f>IFERROR(__xludf.DUMMYFUNCTION("""COMPUTED_VALUE"""),"NOMIDA 700WG")</f>
        <v>NOMIDA 700WG</v>
      </c>
      <c r="F4553" s="87" t="str">
        <f>IFERROR(__xludf.DUMMYFUNCTION("""COMPUTED_VALUE"""),"HH3754")</f>
        <v>HH3754</v>
      </c>
      <c r="G4553" s="87" t="str">
        <f>IFERROR(__xludf.DUMMYFUNCTION("""COMPUTED_VALUE"""),"GC - IV - 3754 - BIOCENTER - BIO - COLA (Dạng cốm màu trắng ngà) - 50gr - 300")</f>
        <v>GC - IV - 3754 - BIOCENTER - BIO - COLA (Dạng cốm màu trắng ngà) - 50gr - 300</v>
      </c>
    </row>
    <row r="4554">
      <c r="A4554" s="86">
        <f>IFERROR(__xludf.DUMMYFUNCTION("""COMPUTED_VALUE"""),4552.0)</f>
        <v>4552</v>
      </c>
      <c r="B4554" s="87" t="str">
        <f>IFERROR(__xludf.DUMMYFUNCTION("""COMPUTED_VALUE"""),"[Nhãn]")</f>
        <v>[Nhãn]</v>
      </c>
      <c r="C4554" s="87" t="str">
        <f>IFERROR(__xludf.DUMMYFUNCTION("""COMPUTED_VALUE"""),"NTN3754")</f>
        <v>NTN3754</v>
      </c>
      <c r="D4554" s="87" t="str">
        <f>IFERROR(__xludf.DUMMYFUNCTION("""COMPUTED_VALUE"""),"[Nhãn] GC - IV - 3754 - BIOCENTER - BIO - COLA (Dạng cốm màu trắng ngà) - 50gr - 300")</f>
        <v>[Nhãn] GC - IV - 3754 - BIOCENTER - BIO - COLA (Dạng cốm màu trắng ngà) - 50gr - 300</v>
      </c>
      <c r="E4554" s="87" t="str">
        <f>IFERROR(__xludf.DUMMYFUNCTION("""COMPUTED_VALUE"""),"NOMIDA 700WG")</f>
        <v>NOMIDA 700WG</v>
      </c>
      <c r="F4554" s="87" t="str">
        <f>IFERROR(__xludf.DUMMYFUNCTION("""COMPUTED_VALUE"""),"HH3754")</f>
        <v>HH3754</v>
      </c>
      <c r="G4554" s="87" t="str">
        <f>IFERROR(__xludf.DUMMYFUNCTION("""COMPUTED_VALUE"""),"GC - IV - 3754 - BIOCENTER - BIO - COLA (Dạng cốm màu trắng ngà) - 50gr - 300")</f>
        <v>GC - IV - 3754 - BIOCENTER - BIO - COLA (Dạng cốm màu trắng ngà) - 50gr - 300</v>
      </c>
    </row>
    <row r="4555">
      <c r="A4555" s="86">
        <f>IFERROR(__xludf.DUMMYFUNCTION("""COMPUTED_VALUE"""),4553.0)</f>
        <v>4553</v>
      </c>
      <c r="B4555" s="87" t="str">
        <f>IFERROR(__xludf.DUMMYFUNCTION("""COMPUTED_VALUE"""),"[Nhãn]")</f>
        <v>[Nhãn]</v>
      </c>
      <c r="C4555" s="87" t="str">
        <f>IFERROR(__xludf.DUMMYFUNCTION("""COMPUTED_VALUE"""),"NHG3755")</f>
        <v>NHG3755</v>
      </c>
      <c r="D4555" s="87" t="str">
        <f>IFERROR(__xludf.DUMMYFUNCTION("""COMPUTED_VALUE"""),"[Nhãn] LOT IDA - I - 3755 - ĐL.Huỳnh Thanh - CHITIN 3.6EC (nước nâu đen) - 450ml - 40")</f>
        <v>[Nhãn] LOT IDA - I - 3755 - ĐL.Huỳnh Thanh - CHITIN 3.6EC (nước nâu đen) - 450ml - 40</v>
      </c>
      <c r="E4555" s="87" t="str">
        <f>IFERROR(__xludf.DUMMYFUNCTION("""COMPUTED_VALUE"""),"Chitin 3.6EC")</f>
        <v>Chitin 3.6EC</v>
      </c>
      <c r="F4555" s="87" t="str">
        <f>IFERROR(__xludf.DUMMYFUNCTION("""COMPUTED_VALUE"""),"HH3755")</f>
        <v>HH3755</v>
      </c>
      <c r="G4555" s="87" t="str">
        <f>IFERROR(__xludf.DUMMYFUNCTION("""COMPUTED_VALUE"""),"LOT IDA - I - 3755 - ĐL.Huỳnh Thanh - CHITIN 3.6EC (nước nâu đen) - 450ml - 40")</f>
        <v>LOT IDA - I - 3755 - ĐL.Huỳnh Thanh - CHITIN 3.6EC (nước nâu đen) - 450ml - 40</v>
      </c>
    </row>
    <row r="4556">
      <c r="A4556" s="86">
        <f>IFERROR(__xludf.DUMMYFUNCTION("""COMPUTED_VALUE"""),4554.0)</f>
        <v>4554</v>
      </c>
      <c r="B4556" s="87" t="str">
        <f>IFERROR(__xludf.DUMMYFUNCTION("""COMPUTED_VALUE"""),"[Nhãn]")</f>
        <v>[Nhãn]</v>
      </c>
      <c r="C4556" s="87" t="str">
        <f>IFERROR(__xludf.DUMMYFUNCTION("""COMPUTED_VALUE"""),"NHG3756")</f>
        <v>NHG3756</v>
      </c>
      <c r="D4556" s="87" t="str">
        <f>IFERROR(__xludf.DUMMYFUNCTION("""COMPUTED_VALUE"""),"[Nhãn] LOT IDA - I - 3756 - MEKONGVIL 5SC (xanh lá)(nước trắng sữa) - 1L - 20")</f>
        <v>[Nhãn] LOT IDA - I - 3756 - MEKONGVIL 5SC (xanh lá)(nước trắng sữa) - 1L - 20</v>
      </c>
      <c r="E4556" s="87" t="str">
        <f>IFERROR(__xludf.DUMMYFUNCTION("""COMPUTED_VALUE"""),"Mekongvil 5SC")</f>
        <v>Mekongvil 5SC</v>
      </c>
      <c r="F4556" s="87" t="str">
        <f>IFERROR(__xludf.DUMMYFUNCTION("""COMPUTED_VALUE"""),"HH3756")</f>
        <v>HH3756</v>
      </c>
      <c r="G4556" s="87" t="str">
        <f>IFERROR(__xludf.DUMMYFUNCTION("""COMPUTED_VALUE"""),"LOT IDA - I - 3756 - MEKONGVIL 5SC (xanh lá)(nước trắng sữa) - 1L - 20")</f>
        <v>LOT IDA - I - 3756 - MEKONGVIL 5SC (xanh lá)(nước trắng sữa) - 1L - 20</v>
      </c>
    </row>
    <row r="4557">
      <c r="A4557" s="86">
        <f>IFERROR(__xludf.DUMMYFUNCTION("""COMPUTED_VALUE"""),4555.0)</f>
        <v>4555</v>
      </c>
      <c r="B4557" s="87" t="str">
        <f>IFERROR(__xludf.DUMMYFUNCTION("""COMPUTED_VALUE"""),"[Nhãn]")</f>
        <v>[Nhãn]</v>
      </c>
      <c r="C4557" s="87" t="str">
        <f>IFERROR(__xludf.DUMMYFUNCTION("""COMPUTED_VALUE"""),"NHG3757")</f>
        <v>NHG3757</v>
      </c>
      <c r="D4557" s="87" t="str">
        <f>IFERROR(__xludf.DUMMYFUNCTION("""COMPUTED_VALUE"""),"[Nhãn] BAMBOO - VI - 3757 - BAMBOO DOUBLE STOP (nước nâu đen) - 1L - 20")</f>
        <v>[Nhãn] BAMBOO - VI - 3757 - BAMBOO DOUBLE STOP (nước nâu đen) - 1L - 20</v>
      </c>
      <c r="E4557" s="87" t="str">
        <f>IFERROR(__xludf.DUMMYFUNCTION("""COMPUTED_VALUE"""),"Vi lượng Quantity New")</f>
        <v>Vi lượng Quantity New</v>
      </c>
      <c r="F4557" s="87" t="str">
        <f>IFERROR(__xludf.DUMMYFUNCTION("""COMPUTED_VALUE"""),"HH3757")</f>
        <v>HH3757</v>
      </c>
      <c r="G4557" s="87" t="str">
        <f>IFERROR(__xludf.DUMMYFUNCTION("""COMPUTED_VALUE"""),"BAMBOO - VI - 3757 - BAMBOO DOUBLE STOP (nước nâu đen) - 1L - 20")</f>
        <v>BAMBOO - VI - 3757 - BAMBOO DOUBLE STOP (nước nâu đen) - 1L - 20</v>
      </c>
    </row>
    <row r="4558">
      <c r="A4558" s="86">
        <f>IFERROR(__xludf.DUMMYFUNCTION("""COMPUTED_VALUE"""),4556.0)</f>
        <v>4556</v>
      </c>
      <c r="B4558" s="87" t="str">
        <f>IFERROR(__xludf.DUMMYFUNCTION("""COMPUTED_VALUE"""),"[Nhãn]")</f>
        <v>[Nhãn]</v>
      </c>
      <c r="C4558" s="87" t="str">
        <f>IFERROR(__xludf.DUMMYFUNCTION("""COMPUTED_VALUE"""),"NHD3758")</f>
        <v>NHD3758</v>
      </c>
      <c r="D4558" s="87" t="str">
        <f>IFERROR(__xludf.DUMMYFUNCTION("""COMPUTED_VALUE"""),"[Nhãn] BAMBOO - VI - 3758 - BAMBOO DOUBLE STOP (nước nâu đen) - 5L - 4")</f>
        <v>[Nhãn] BAMBOO - VI - 3758 - BAMBOO DOUBLE STOP (nước nâu đen) - 5L - 4</v>
      </c>
      <c r="E4558" s="87" t="str">
        <f>IFERROR(__xludf.DUMMYFUNCTION("""COMPUTED_VALUE"""),"Vi lượng Quantity New")</f>
        <v>Vi lượng Quantity New</v>
      </c>
      <c r="F4558" s="87" t="str">
        <f>IFERROR(__xludf.DUMMYFUNCTION("""COMPUTED_VALUE"""),"HH3758")</f>
        <v>HH3758</v>
      </c>
      <c r="G4558" s="87" t="str">
        <f>IFERROR(__xludf.DUMMYFUNCTION("""COMPUTED_VALUE"""),"BAMBOO - VI - 3758 - BAMBOO DOUBLE STOP (nước nâu đen) - 5L - 4")</f>
        <v>BAMBOO - VI - 3758 - BAMBOO DOUBLE STOP (nước nâu đen) - 5L - 4</v>
      </c>
    </row>
    <row r="4559">
      <c r="A4559" s="86">
        <f>IFERROR(__xludf.DUMMYFUNCTION("""COMPUTED_VALUE"""),4557.0)</f>
        <v>4557</v>
      </c>
      <c r="B4559" s="87" t="str">
        <f>IFERROR(__xludf.DUMMYFUNCTION("""COMPUTED_VALUE"""),"[Nhãn]")</f>
        <v>[Nhãn]</v>
      </c>
      <c r="C4559" s="87" t="str">
        <f>IFERROR(__xludf.DUMMYFUNCTION("""COMPUTED_VALUE"""),"NHG3759")</f>
        <v>NHG3759</v>
      </c>
      <c r="D4559" s="87" t="str">
        <f>IFERROR(__xludf.DUMMYFUNCTION("""COMPUTED_VALUE"""),"[Nhãn] GC - IV - 3759 - RICH FARMER - KẼM PRO (Gel xanh lá) - 500ml - 40")</f>
        <v>[Nhãn] GC - IV - 3759 - RICH FARMER - KẼM PRO (Gel xanh lá) - 500ml - 40</v>
      </c>
      <c r="E4559" s="87" t="str">
        <f>IFERROR(__xludf.DUMMYFUNCTION("""COMPUTED_VALUE"""),"Vi lượng AGAMA-SUPPORT")</f>
        <v>Vi lượng AGAMA-SUPPORT</v>
      </c>
      <c r="F4559" s="87" t="str">
        <f>IFERROR(__xludf.DUMMYFUNCTION("""COMPUTED_VALUE"""),"HH3759")</f>
        <v>HH3759</v>
      </c>
      <c r="G4559" s="87" t="str">
        <f>IFERROR(__xludf.DUMMYFUNCTION("""COMPUTED_VALUE"""),"GC - IV - 3759 - RICH FARMER - KẼM PRO (Gel xanh lá) - 500ml - 40")</f>
        <v>GC - IV - 3759 - RICH FARMER - KẼM PRO (Gel xanh lá) - 500ml - 40</v>
      </c>
    </row>
    <row r="4560">
      <c r="A4560" s="86">
        <f>IFERROR(__xludf.DUMMYFUNCTION("""COMPUTED_VALUE"""),4558.0)</f>
        <v>4558</v>
      </c>
      <c r="B4560" s="87" t="str">
        <f>IFERROR(__xludf.DUMMYFUNCTION("""COMPUTED_VALUE"""),"[Nhãn]")</f>
        <v>[Nhãn]</v>
      </c>
      <c r="C4560" s="87" t="str">
        <f>IFERROR(__xludf.DUMMYFUNCTION("""COMPUTED_VALUE"""),"NHG3760")</f>
        <v>NHG3760</v>
      </c>
      <c r="D4560" s="87" t="str">
        <f>IFERROR(__xludf.DUMMYFUNCTION("""COMPUTED_VALUE"""),"[Nhãn] GC - IV - 3760 - CTY ASAHI NHẬT BẢN - PHÁT TỐ RA HOA TRÁI (Gel xanh lá) - 500ml - 40")</f>
        <v>[Nhãn] GC - IV - 3760 - CTY ASAHI NHẬT BẢN - PHÁT TỐ RA HOA TRÁI (Gel xanh lá) - 500ml - 40</v>
      </c>
      <c r="E4560" s="87" t="str">
        <f>IFERROR(__xludf.DUMMYFUNCTION("""COMPUTED_VALUE"""),"Vi lượng AGAMA-SUPPORT")</f>
        <v>Vi lượng AGAMA-SUPPORT</v>
      </c>
      <c r="F4560" s="87" t="str">
        <f>IFERROR(__xludf.DUMMYFUNCTION("""COMPUTED_VALUE"""),"HH3760")</f>
        <v>HH3760</v>
      </c>
      <c r="G4560" s="87" t="str">
        <f>IFERROR(__xludf.DUMMYFUNCTION("""COMPUTED_VALUE"""),"GC - IV - 3760 - CTY ASAHI NHẬT BẢN - PHÁT TỐ RA HOA TRÁI (Gel xanh lá) - 500ml - 40")</f>
        <v>GC - IV - 3760 - CTY ASAHI NHẬT BẢN - PHÁT TỐ RA HOA TRÁI (Gel xanh lá) - 500ml - 40</v>
      </c>
    </row>
    <row r="4561">
      <c r="A4561" s="86">
        <f>IFERROR(__xludf.DUMMYFUNCTION("""COMPUTED_VALUE"""),4559.0)</f>
        <v>4559</v>
      </c>
      <c r="B4561" s="87" t="str">
        <f>IFERROR(__xludf.DUMMYFUNCTION("""COMPUTED_VALUE"""),"[Nhãn]")</f>
        <v>[Nhãn]</v>
      </c>
      <c r="C4561" s="87" t="str">
        <f>IFERROR(__xludf.DUMMYFUNCTION("""COMPUTED_VALUE"""),"NHG3761")</f>
        <v>NHG3761</v>
      </c>
      <c r="D4561" s="87" t="str">
        <f>IFERROR(__xludf.DUMMYFUNCTION("""COMPUTED_VALUE"""),"[Nhãn] GC - IV - 3761 - CTY ASAHI NHẬT BẢN - PHÁT TỐ RA HOA SAMURAI (Gel xanh lá) - 500ml - 40")</f>
        <v>[Nhãn] GC - IV - 3761 - CTY ASAHI NHẬT BẢN - PHÁT TỐ RA HOA SAMURAI (Gel xanh lá) - 500ml - 40</v>
      </c>
      <c r="E4561" s="87" t="str">
        <f>IFERROR(__xludf.DUMMYFUNCTION("""COMPUTED_VALUE"""),"Vi lượng AGAMA-SUPPORT")</f>
        <v>Vi lượng AGAMA-SUPPORT</v>
      </c>
      <c r="F4561" s="87" t="str">
        <f>IFERROR(__xludf.DUMMYFUNCTION("""COMPUTED_VALUE"""),"HH3761")</f>
        <v>HH3761</v>
      </c>
      <c r="G4561" s="87" t="str">
        <f>IFERROR(__xludf.DUMMYFUNCTION("""COMPUTED_VALUE"""),"GC - IV - 3761 - CTY ASAHI NHẬT BẢN - PHÁT TỐ RA HOA SAMURAI (Gel xanh lá) - 500ml - 40")</f>
        <v>GC - IV - 3761 - CTY ASAHI NHẬT BẢN - PHÁT TỐ RA HOA SAMURAI (Gel xanh lá) - 500ml - 40</v>
      </c>
    </row>
    <row r="4562">
      <c r="A4562" s="86">
        <f>IFERROR(__xludf.DUMMYFUNCTION("""COMPUTED_VALUE"""),4560.0)</f>
        <v>4560</v>
      </c>
      <c r="B4562" s="87" t="str">
        <f>IFERROR(__xludf.DUMMYFUNCTION("""COMPUTED_VALUE"""),"[Nhãn]")</f>
        <v>[Nhãn]</v>
      </c>
      <c r="C4562" s="87" t="str">
        <f>IFERROR(__xludf.DUMMYFUNCTION("""COMPUTED_VALUE"""),"NHG3762")</f>
        <v>NHG3762</v>
      </c>
      <c r="D4562" s="87" t="str">
        <f>IFERROR(__xludf.DUMMYFUNCTION("""COMPUTED_VALUE"""),"[Nhãn] GC - IV - 3762 - CTY ASAHI NHẬT BẢN - PHÁT TỐ RA HOA SAKURA (Gel xanh lá) - 500ml - 40")</f>
        <v>[Nhãn] GC - IV - 3762 - CTY ASAHI NHẬT BẢN - PHÁT TỐ RA HOA SAKURA (Gel xanh lá) - 500ml - 40</v>
      </c>
      <c r="E4562" s="87" t="str">
        <f>IFERROR(__xludf.DUMMYFUNCTION("""COMPUTED_VALUE"""),"Vi lượng AGAMA-SUPPORT")</f>
        <v>Vi lượng AGAMA-SUPPORT</v>
      </c>
      <c r="F4562" s="87" t="str">
        <f>IFERROR(__xludf.DUMMYFUNCTION("""COMPUTED_VALUE"""),"HH3762")</f>
        <v>HH3762</v>
      </c>
      <c r="G4562" s="87" t="str">
        <f>IFERROR(__xludf.DUMMYFUNCTION("""COMPUTED_VALUE"""),"GC - IV - 3762 - CTY ASAHI NHẬT BẢN - PHÁT TỐ RA HOA SAKURA (Gel xanh lá) - 500ml - 40")</f>
        <v>GC - IV - 3762 - CTY ASAHI NHẬT BẢN - PHÁT TỐ RA HOA SAKURA (Gel xanh lá) - 500ml - 40</v>
      </c>
    </row>
    <row r="4563">
      <c r="A4563" s="86">
        <f>IFERROR(__xludf.DUMMYFUNCTION("""COMPUTED_VALUE"""),4561.0)</f>
        <v>4561</v>
      </c>
      <c r="B4563" s="87" t="str">
        <f>IFERROR(__xludf.DUMMYFUNCTION("""COMPUTED_VALUE"""),"[Nhãn]")</f>
        <v>[Nhãn]</v>
      </c>
      <c r="C4563" s="87" t="str">
        <f>IFERROR(__xludf.DUMMYFUNCTION("""COMPUTED_VALUE"""),"NHG3764")</f>
        <v>NHG3764</v>
      </c>
      <c r="D4563" s="87" t="str">
        <f>IFERROR(__xludf.DUMMYFUNCTION("""COMPUTED_VALUE"""),"[Nhãn] GC - IV - 3764 - CTY ASAHI NHẬT BẢN - RONGBIEN SAKURA (Gel nâu đen) - 500ml - 40")</f>
        <v>[Nhãn] GC - IV - 3764 - CTY ASAHI NHẬT BẢN - RONGBIEN SAKURA (Gel nâu đen) - 500ml - 40</v>
      </c>
      <c r="E4563" s="87" t="str">
        <f>IFERROR(__xludf.DUMMYFUNCTION("""COMPUTED_VALUE"""),"Vi lượng Quantity New")</f>
        <v>Vi lượng Quantity New</v>
      </c>
      <c r="F4563" s="87" t="str">
        <f>IFERROR(__xludf.DUMMYFUNCTION("""COMPUTED_VALUE"""),"HH3764")</f>
        <v>HH3764</v>
      </c>
      <c r="G4563" s="87" t="str">
        <f>IFERROR(__xludf.DUMMYFUNCTION("""COMPUTED_VALUE"""),"GC - IV - 3764 - CTY ASAHI NHẬT BẢN - RONGBIEN SAKURA (Gel nâu đen) - 500ml - 40")</f>
        <v>GC - IV - 3764 - CTY ASAHI NHẬT BẢN - RONGBIEN SAKURA (Gel nâu đen) - 500ml - 40</v>
      </c>
    </row>
    <row r="4564">
      <c r="A4564" s="86">
        <f>IFERROR(__xludf.DUMMYFUNCTION("""COMPUTED_VALUE"""),4562.0)</f>
        <v>4562</v>
      </c>
      <c r="B4564" s="87" t="str">
        <f>IFERROR(__xludf.DUMMYFUNCTION("""COMPUTED_VALUE"""),"[Nhãn]")</f>
        <v>[Nhãn]</v>
      </c>
      <c r="C4564" s="87" t="str">
        <f>IFERROR(__xludf.DUMMYFUNCTION("""COMPUTED_VALUE"""),"NHG3765")</f>
        <v>NHG3765</v>
      </c>
      <c r="D4564" s="87" t="str">
        <f>IFERROR(__xludf.DUMMYFUNCTION("""COMPUTED_VALUE"""),"[Nhãn] GC - IV - 3765 - CTY ASAHI NHẬT BẢN - ROOTS SIÊU KÍCH RỄ (Gel nâu đen) - 500ml - 40")</f>
        <v>[Nhãn] GC - IV - 3765 - CTY ASAHI NHẬT BẢN - ROOTS SIÊU KÍCH RỄ (Gel nâu đen) - 500ml - 40</v>
      </c>
      <c r="E4564" s="87" t="str">
        <f>IFERROR(__xludf.DUMMYFUNCTION("""COMPUTED_VALUE"""),"Vi lượng Quantity New")</f>
        <v>Vi lượng Quantity New</v>
      </c>
      <c r="F4564" s="87" t="str">
        <f>IFERROR(__xludf.DUMMYFUNCTION("""COMPUTED_VALUE"""),"HH3765")</f>
        <v>HH3765</v>
      </c>
      <c r="G4564" s="87" t="str">
        <f>IFERROR(__xludf.DUMMYFUNCTION("""COMPUTED_VALUE"""),"GC - IV - 3765 - CTY ASAHI NHẬT BẢN - ROOTS SIÊU KÍCH RỄ (Gel nâu đen) - 500ml - 40")</f>
        <v>GC - IV - 3765 - CTY ASAHI NHẬT BẢN - ROOTS SIÊU KÍCH RỄ (Gel nâu đen) - 500ml - 40</v>
      </c>
    </row>
    <row r="4565">
      <c r="A4565" s="86">
        <f>IFERROR(__xludf.DUMMYFUNCTION("""COMPUTED_VALUE"""),4563.0)</f>
        <v>4563</v>
      </c>
      <c r="B4565" s="87" t="str">
        <f>IFERROR(__xludf.DUMMYFUNCTION("""COMPUTED_VALUE"""),"[Nhãn]")</f>
        <v>[Nhãn]</v>
      </c>
      <c r="C4565" s="87" t="str">
        <f>IFERROR(__xludf.DUMMYFUNCTION("""COMPUTED_VALUE"""),"NHG3767")</f>
        <v>NHG3767</v>
      </c>
      <c r="D4565" s="87" t="str">
        <f>IFERROR(__xludf.DUMMYFUNCTION("""COMPUTED_VALUE"""),"[Nhãn] GC - IV - 3767 - CTY ASAHI NHẬT BẢN - BOCAXX SAMURAI (Gel đỏ cam) - 500ml - 40")</f>
        <v>[Nhãn] GC - IV - 3767 - CTY ASAHI NHẬT BẢN - BOCAXX SAMURAI (Gel đỏ cam) - 500ml - 40</v>
      </c>
      <c r="E4565" s="87" t="str">
        <f>IFERROR(__xludf.DUMMYFUNCTION("""COMPUTED_VALUE"""),"Vi lượng Run Fast")</f>
        <v>Vi lượng Run Fast</v>
      </c>
      <c r="F4565" s="87" t="str">
        <f>IFERROR(__xludf.DUMMYFUNCTION("""COMPUTED_VALUE"""),"HH3767")</f>
        <v>HH3767</v>
      </c>
      <c r="G4565" s="87" t="str">
        <f>IFERROR(__xludf.DUMMYFUNCTION("""COMPUTED_VALUE"""),"GC - IV - 3767 - CTY ASAHI NHẬT BẢN - BOCAXX SAMURAI (Gel đỏ cam) - 500ml - 40")</f>
        <v>GC - IV - 3767 - CTY ASAHI NHẬT BẢN - BOCAXX SAMURAI (Gel đỏ cam) - 500ml - 40</v>
      </c>
    </row>
    <row r="4566">
      <c r="A4566" s="86">
        <f>IFERROR(__xludf.DUMMYFUNCTION("""COMPUTED_VALUE"""),4564.0)</f>
        <v>4564</v>
      </c>
      <c r="B4566" s="87" t="str">
        <f>IFERROR(__xludf.DUMMYFUNCTION("""COMPUTED_VALUE"""),"[Nhãn]")</f>
        <v>[Nhãn]</v>
      </c>
      <c r="C4566" s="87" t="str">
        <f>IFERROR(__xludf.DUMMYFUNCTION("""COMPUTED_VALUE"""),"NHG3768")</f>
        <v>NHG3768</v>
      </c>
      <c r="D4566" s="87" t="str">
        <f>IFERROR(__xludf.DUMMYFUNCTION("""COMPUTED_VALUE"""),"[Nhãn] GC - IV - 3768 - CTY ASAHI NHẬT BẢN - BOMIX SAKURA (Gel đỏ cam) - 500ml - 40")</f>
        <v>[Nhãn] GC - IV - 3768 - CTY ASAHI NHẬT BẢN - BOMIX SAKURA (Gel đỏ cam) - 500ml - 40</v>
      </c>
      <c r="E4566" s="87" t="str">
        <f>IFERROR(__xludf.DUMMYFUNCTION("""COMPUTED_VALUE"""),"Vi lượng Run Fast")</f>
        <v>Vi lượng Run Fast</v>
      </c>
      <c r="F4566" s="87" t="str">
        <f>IFERROR(__xludf.DUMMYFUNCTION("""COMPUTED_VALUE"""),"HH3768")</f>
        <v>HH3768</v>
      </c>
      <c r="G4566" s="87" t="str">
        <f>IFERROR(__xludf.DUMMYFUNCTION("""COMPUTED_VALUE"""),"GC - IV - 3768 - CTY ASAHI NHẬT BẢN - BOMIX SAKURA (Gel đỏ cam) - 500ml - 40")</f>
        <v>GC - IV - 3768 - CTY ASAHI NHẬT BẢN - BOMIX SAKURA (Gel đỏ cam) - 500ml - 40</v>
      </c>
    </row>
    <row r="4567">
      <c r="A4567" s="86">
        <f>IFERROR(__xludf.DUMMYFUNCTION("""COMPUTED_VALUE"""),4565.0)</f>
        <v>4565</v>
      </c>
      <c r="B4567" s="87" t="str">
        <f>IFERROR(__xludf.DUMMYFUNCTION("""COMPUTED_VALUE"""),"[Nhãn]")</f>
        <v>[Nhãn]</v>
      </c>
      <c r="C4567" s="87" t="str">
        <f>IFERROR(__xludf.DUMMYFUNCTION("""COMPUTED_VALUE"""),"NHG3769")</f>
        <v>NHG3769</v>
      </c>
      <c r="D4567" s="87" t="str">
        <f>IFERROR(__xludf.DUMMYFUNCTION("""COMPUTED_VALUE"""),"[Nhãn] IDA Global - I - 3769 - ĐL THÀNH NHÂN - PYXOATE 44EC (nước đỏ) - 450ml - 40")</f>
        <v>[Nhãn] IDA Global - I - 3769 - ĐL THÀNH NHÂN - PYXOATE 44EC (nước đỏ) - 450ml - 40</v>
      </c>
      <c r="E4567" s="87" t="str">
        <f>IFERROR(__xludf.DUMMYFUNCTION("""COMPUTED_VALUE"""),"PYXOATE 44EC")</f>
        <v>PYXOATE 44EC</v>
      </c>
      <c r="F4567" s="87" t="str">
        <f>IFERROR(__xludf.DUMMYFUNCTION("""COMPUTED_VALUE"""),"HH3769")</f>
        <v>HH3769</v>
      </c>
      <c r="G4567" s="87" t="str">
        <f>IFERROR(__xludf.DUMMYFUNCTION("""COMPUTED_VALUE"""),"IDA Global - I - 3769 - ĐL THÀNH NHÂN - PYXOATE 44EC (nước đỏ) - 450ml - 40")</f>
        <v>IDA Global - I - 3769 - ĐL THÀNH NHÂN - PYXOATE 44EC (nước đỏ) - 450ml - 40</v>
      </c>
    </row>
    <row r="4568">
      <c r="A4568" s="86">
        <f>IFERROR(__xludf.DUMMYFUNCTION("""COMPUTED_VALUE"""),4566.0)</f>
        <v>4566</v>
      </c>
      <c r="B4568" s="87" t="str">
        <f>IFERROR(__xludf.DUMMYFUNCTION("""COMPUTED_VALUE"""),"[Nhãn]")</f>
        <v>[Nhãn]</v>
      </c>
      <c r="C4568" s="87" t="str">
        <f>IFERROR(__xludf.DUMMYFUNCTION("""COMPUTED_VALUE"""),"NHG3770")</f>
        <v>NHG3770</v>
      </c>
      <c r="D4568" s="87" t="str">
        <f>IFERROR(__xludf.DUMMYFUNCTION("""COMPUTED_VALUE"""),"[Nhãn] GC - IV - 3770 - DASACO HẬU GIANG - AMI SAKURA 01 (Nước nâu đen) - 800ml - 24")</f>
        <v>[Nhãn] GC - IV - 3770 - DASACO HẬU GIANG - AMI SAKURA 01 (Nước nâu đen) - 800ml - 24</v>
      </c>
      <c r="E4568" s="87" t="str">
        <f>IFERROR(__xludf.DUMMYFUNCTION("""COMPUTED_VALUE"""),"Hữu cơ Enriched Organic Fresh Flora")</f>
        <v>Hữu cơ Enriched Organic Fresh Flora</v>
      </c>
      <c r="F4568" s="87" t="str">
        <f>IFERROR(__xludf.DUMMYFUNCTION("""COMPUTED_VALUE"""),"HH3770")</f>
        <v>HH3770</v>
      </c>
      <c r="G4568" s="87" t="str">
        <f>IFERROR(__xludf.DUMMYFUNCTION("""COMPUTED_VALUE"""),"GC - IV - 3770 - DASACO HẬU GIANG - AMI SAKURA 01 (Nước nâu đen) - 800ml - 24")</f>
        <v>GC - IV - 3770 - DASACO HẬU GIANG - AMI SAKURA 01 (Nước nâu đen) - 800ml - 24</v>
      </c>
    </row>
    <row r="4569">
      <c r="A4569" s="86">
        <f>IFERROR(__xludf.DUMMYFUNCTION("""COMPUTED_VALUE"""),4567.0)</f>
        <v>4567</v>
      </c>
      <c r="B4569" s="87" t="str">
        <f>IFERROR(__xludf.DUMMYFUNCTION("""COMPUTED_VALUE"""),"[Nhãn thùng]")</f>
        <v>[Nhãn thùng]</v>
      </c>
      <c r="C4569" s="87" t="str">
        <f>IFERROR(__xludf.DUMMYFUNCTION("""COMPUTED_VALUE"""),"NDT3771")</f>
        <v>NDT3771</v>
      </c>
      <c r="D4569" s="87" t="str">
        <f>IFERROR(__xludf.DUMMYFUNCTION("""COMPUTED_VALUE"""),"[Nhãn thùng] GC - IV - 3771 - NEWTECH CROP SCIENCE - THIPRO 550EC (Nước vàng trà) - 400ml - 30")</f>
        <v>[Nhãn thùng] GC - IV - 3771 - NEWTECH CROP SCIENCE - THIPRO 550EC (Nước vàng trà) - 400ml - 30</v>
      </c>
      <c r="E4569" s="87" t="str">
        <f>IFERROR(__xludf.DUMMYFUNCTION("""COMPUTED_VALUE"""),"Thipro 550EC")</f>
        <v>Thipro 550EC</v>
      </c>
      <c r="F4569" s="87" t="str">
        <f>IFERROR(__xludf.DUMMYFUNCTION("""COMPUTED_VALUE"""),"HH3771")</f>
        <v>HH3771</v>
      </c>
      <c r="G4569" s="87" t="str">
        <f>IFERROR(__xludf.DUMMYFUNCTION("""COMPUTED_VALUE"""),"GC - IV - 3771 - NEWTECH CROP SCIENCE - THIPRO 550EC (Nước vàng trà) - 400ml - 30")</f>
        <v>GC - IV - 3771 - NEWTECH CROP SCIENCE - THIPRO 550EC (Nước vàng trà) - 400ml - 30</v>
      </c>
    </row>
    <row r="4570">
      <c r="A4570" s="86">
        <f>IFERROR(__xludf.DUMMYFUNCTION("""COMPUTED_VALUE"""),4568.0)</f>
        <v>4568</v>
      </c>
      <c r="B4570" s="87" t="str">
        <f>IFERROR(__xludf.DUMMYFUNCTION("""COMPUTED_VALUE"""),"[Nhãn]")</f>
        <v>[Nhãn]</v>
      </c>
      <c r="C4570" s="87" t="str">
        <f>IFERROR(__xludf.DUMMYFUNCTION("""COMPUTED_VALUE"""),"NHD3771")</f>
        <v>NHD3771</v>
      </c>
      <c r="D4570" s="87" t="str">
        <f>IFERROR(__xludf.DUMMYFUNCTION("""COMPUTED_VALUE"""),"[Nhãn] GC - IV - 3771 - NEWTECH CROP SCIENCE - THIPRO 550EC (Nước vàng trà) - 400ml - 30")</f>
        <v>[Nhãn] GC - IV - 3771 - NEWTECH CROP SCIENCE - THIPRO 550EC (Nước vàng trà) - 400ml - 30</v>
      </c>
      <c r="E4570" s="87" t="str">
        <f>IFERROR(__xludf.DUMMYFUNCTION("""COMPUTED_VALUE"""),"Thipro 550EC")</f>
        <v>Thipro 550EC</v>
      </c>
      <c r="F4570" s="87" t="str">
        <f>IFERROR(__xludf.DUMMYFUNCTION("""COMPUTED_VALUE"""),"HH3771")</f>
        <v>HH3771</v>
      </c>
      <c r="G4570" s="87" t="str">
        <f>IFERROR(__xludf.DUMMYFUNCTION("""COMPUTED_VALUE"""),"GC - IV - 3771 - NEWTECH CROP SCIENCE - THIPRO 550EC (Nước vàng trà) - 400ml - 30")</f>
        <v>GC - IV - 3771 - NEWTECH CROP SCIENCE - THIPRO 550EC (Nước vàng trà) - 400ml - 30</v>
      </c>
    </row>
    <row r="4571">
      <c r="A4571" s="86">
        <f>IFERROR(__xludf.DUMMYFUNCTION("""COMPUTED_VALUE"""),4569.0)</f>
        <v>4569</v>
      </c>
      <c r="B4571" s="87" t="str">
        <f>IFERROR(__xludf.DUMMYFUNCTION("""COMPUTED_VALUE"""),"[Nhãn]")</f>
        <v>[Nhãn]</v>
      </c>
      <c r="C4571" s="87" t="str">
        <f>IFERROR(__xludf.DUMMYFUNCTION("""COMPUTED_VALUE"""),"NHG3772")</f>
        <v>NHG3772</v>
      </c>
      <c r="D4571" s="87" t="str">
        <f>IFERROR(__xludf.DUMMYFUNCTION("""COMPUTED_VALUE"""),"[Nhãn] DR.XANH - VIII - 3772 - ROBUST EXTRA (Gel nâu đen) - 500ml - 30")</f>
        <v>[Nhãn] DR.XANH - VIII - 3772 - ROBUST EXTRA (Gel nâu đen) - 500ml - 30</v>
      </c>
      <c r="E4571" s="87" t="str">
        <f>IFERROR(__xludf.DUMMYFUNCTION("""COMPUTED_VALUE"""),"Vi lượng Quantity New")</f>
        <v>Vi lượng Quantity New</v>
      </c>
      <c r="F4571" s="87" t="str">
        <f>IFERROR(__xludf.DUMMYFUNCTION("""COMPUTED_VALUE"""),"HH3772")</f>
        <v>HH3772</v>
      </c>
      <c r="G4571" s="87" t="str">
        <f>IFERROR(__xludf.DUMMYFUNCTION("""COMPUTED_VALUE"""),"DR.XANH - VIII - 3772 - ROBUST EXTRA (Gel nâu đen) - 500ml - 30")</f>
        <v>DR.XANH - VIII - 3772 - ROBUST EXTRA (Gel nâu đen) - 500ml - 30</v>
      </c>
    </row>
    <row r="4572">
      <c r="A4572" s="86">
        <f>IFERROR(__xludf.DUMMYFUNCTION("""COMPUTED_VALUE"""),4570.0)</f>
        <v>4570</v>
      </c>
      <c r="B4572" s="87" t="str">
        <f>IFERROR(__xludf.DUMMYFUNCTION("""COMPUTED_VALUE"""),"[Nhãn phụ]")</f>
        <v>[Nhãn phụ]</v>
      </c>
      <c r="C4572" s="87" t="str">
        <f>IFERROR(__xludf.DUMMYFUNCTION("""COMPUTED_VALUE"""),"NHP3772")</f>
        <v>NHP3772</v>
      </c>
      <c r="D4572" s="87" t="str">
        <f>IFERROR(__xludf.DUMMYFUNCTION("""COMPUTED_VALUE"""),"[Nhãn phụ] DR.XANH - VIII - 3772 - ROBUST EXTRA (Gel nâu đen) - 500ml - 30")</f>
        <v>[Nhãn phụ] DR.XANH - VIII - 3772 - ROBUST EXTRA (Gel nâu đen) - 500ml - 30</v>
      </c>
      <c r="E4572" s="87" t="str">
        <f>IFERROR(__xludf.DUMMYFUNCTION("""COMPUTED_VALUE"""),"Vi lượng Quantity New")</f>
        <v>Vi lượng Quantity New</v>
      </c>
      <c r="F4572" s="87" t="str">
        <f>IFERROR(__xludf.DUMMYFUNCTION("""COMPUTED_VALUE"""),"HH3772")</f>
        <v>HH3772</v>
      </c>
      <c r="G4572" s="87" t="str">
        <f>IFERROR(__xludf.DUMMYFUNCTION("""COMPUTED_VALUE"""),"DR.XANH - VIII - 3772 - ROBUST EXTRA (Gel nâu đen) - 500ml - 30")</f>
        <v>DR.XANH - VIII - 3772 - ROBUST EXTRA (Gel nâu đen) - 500ml - 30</v>
      </c>
    </row>
    <row r="4573">
      <c r="A4573" s="86">
        <f>IFERROR(__xludf.DUMMYFUNCTION("""COMPUTED_VALUE"""),4571.0)</f>
        <v>4571</v>
      </c>
      <c r="B4573" s="87" t="str">
        <f>IFERROR(__xludf.DUMMYFUNCTION("""COMPUTED_VALUE"""),"[Nhãn]")</f>
        <v>[Nhãn]</v>
      </c>
      <c r="C4573" s="87" t="str">
        <f>IFERROR(__xludf.DUMMYFUNCTION("""COMPUTED_VALUE"""),"NTN3774")</f>
        <v>NTN3774</v>
      </c>
      <c r="D4573" s="87" t="str">
        <f>IFERROR(__xludf.DUMMYFUNCTION("""COMPUTED_VALUE"""),"[Nhãn] GC - IV - 3774 - Cty NANOTECH USA - MANCOBGO 80WP (bột xanh) - 1kg - 20")</f>
        <v>[Nhãn] GC - IV - 3774 - Cty NANOTECH USA - MANCOBGO 80WP (bột xanh) - 1kg - 20</v>
      </c>
      <c r="E4573" s="87" t="str">
        <f>IFERROR(__xludf.DUMMYFUNCTION("""COMPUTED_VALUE"""),"MANCOBGO 80WP")</f>
        <v>MANCOBGO 80WP</v>
      </c>
      <c r="F4573" s="87" t="str">
        <f>IFERROR(__xludf.DUMMYFUNCTION("""COMPUTED_VALUE"""),"HH3774")</f>
        <v>HH3774</v>
      </c>
      <c r="G4573" s="87" t="str">
        <f>IFERROR(__xludf.DUMMYFUNCTION("""COMPUTED_VALUE"""),"GC - IV - 3774 - Cty NANOTECH USA - MANCOBGO 80WP (bột xanh) - 1kg - 20")</f>
        <v>GC - IV - 3774 - Cty NANOTECH USA - MANCOBGO 80WP (bột xanh) - 1kg - 20</v>
      </c>
    </row>
    <row r="4574">
      <c r="A4574" s="86">
        <f>IFERROR(__xludf.DUMMYFUNCTION("""COMPUTED_VALUE"""),4572.0)</f>
        <v>4572</v>
      </c>
      <c r="B4574" s="87" t="str">
        <f>IFERROR(__xludf.DUMMYFUNCTION("""COMPUTED_VALUE"""),"[Nhãn]")</f>
        <v>[Nhãn]</v>
      </c>
      <c r="C4574" s="87" t="str">
        <f>IFERROR(__xludf.DUMMYFUNCTION("""COMPUTED_VALUE"""),"NHG3776")</f>
        <v>NHG3776</v>
      </c>
      <c r="D4574" s="87" t="str">
        <f>IFERROR(__xludf.DUMMYFUNCTION("""COMPUTED_VALUE"""),"[Nhãn] GC - II - 3776 - NHP GROUP - KODO STOP (Nước nâu đen V5) - 1L - 20")</f>
        <v>[Nhãn] GC - II - 3776 - NHP GROUP - KODO STOP (Nước nâu đen V5) - 1L - 20</v>
      </c>
      <c r="E4574" s="87" t="str">
        <f>IFERROR(__xludf.DUMMYFUNCTION("""COMPUTED_VALUE"""),"Vi lượng Quantity New")</f>
        <v>Vi lượng Quantity New</v>
      </c>
      <c r="F4574" s="87" t="str">
        <f>IFERROR(__xludf.DUMMYFUNCTION("""COMPUTED_VALUE"""),"HH3776")</f>
        <v>HH3776</v>
      </c>
      <c r="G4574" s="87" t="str">
        <f>IFERROR(__xludf.DUMMYFUNCTION("""COMPUTED_VALUE"""),"GC - II - 3776 - NHP GROUP - KODO STOP (Nước nâu đen V5) - 1L - 20")</f>
        <v>GC - II - 3776 - NHP GROUP - KODO STOP (Nước nâu đen V5) - 1L - 20</v>
      </c>
    </row>
    <row r="4575">
      <c r="A4575" s="86">
        <f>IFERROR(__xludf.DUMMYFUNCTION("""COMPUTED_VALUE"""),4573.0)</f>
        <v>4573</v>
      </c>
      <c r="B4575" s="87" t="str">
        <f>IFERROR(__xludf.DUMMYFUNCTION("""COMPUTED_VALUE"""),"[Nhãn]")</f>
        <v>[Nhãn]</v>
      </c>
      <c r="C4575" s="87" t="str">
        <f>IFERROR(__xludf.DUMMYFUNCTION("""COMPUTED_VALUE"""),"NHD3777")</f>
        <v>NHD3777</v>
      </c>
      <c r="D4575" s="87" t="str">
        <f>IFERROR(__xludf.DUMMYFUNCTION("""COMPUTED_VALUE"""),"[Nhãn] GC - IV - 3777 - Cty GNH (A.Thời) - Creek 2.1EC (nước đỏ) - 400ml - 40")</f>
        <v>[Nhãn] GC - IV - 3777 - Cty GNH (A.Thời) - Creek 2.1EC (nước đỏ) - 400ml - 40</v>
      </c>
      <c r="E4575" s="87" t="str">
        <f>IFERROR(__xludf.DUMMYFUNCTION("""COMPUTED_VALUE"""),"Creek 2.1EC")</f>
        <v>Creek 2.1EC</v>
      </c>
      <c r="F4575" s="87" t="str">
        <f>IFERROR(__xludf.DUMMYFUNCTION("""COMPUTED_VALUE"""),"HH3777")</f>
        <v>HH3777</v>
      </c>
      <c r="G4575" s="87" t="str">
        <f>IFERROR(__xludf.DUMMYFUNCTION("""COMPUTED_VALUE"""),"GC - IV - 3777 - Cty GNH (A.Thời) - Creek 2.1EC (nước đỏ) - 400ml - 40")</f>
        <v>GC - IV - 3777 - Cty GNH (A.Thời) - Creek 2.1EC (nước đỏ) - 400ml - 40</v>
      </c>
    </row>
    <row r="4576">
      <c r="A4576" s="86">
        <f>IFERROR(__xludf.DUMMYFUNCTION("""COMPUTED_VALUE"""),4574.0)</f>
        <v>4574</v>
      </c>
      <c r="B4576" s="87" t="str">
        <f>IFERROR(__xludf.DUMMYFUNCTION("""COMPUTED_VALUE"""),"[Nhãn thùng]")</f>
        <v>[Nhãn thùng]</v>
      </c>
      <c r="C4576" s="87" t="str">
        <f>IFERROR(__xludf.DUMMYFUNCTION("""COMPUTED_VALUE"""),"NDT3777")</f>
        <v>NDT3777</v>
      </c>
      <c r="D4576" s="87" t="str">
        <f>IFERROR(__xludf.DUMMYFUNCTION("""COMPUTED_VALUE"""),"[Nhãn thùng] GC - IV - 3777 - Cty GNH (A.Thời) - Creek 2.1EC (nước đỏ) - 400ml - 40")</f>
        <v>[Nhãn thùng] GC - IV - 3777 - Cty GNH (A.Thời) - Creek 2.1EC (nước đỏ) - 400ml - 40</v>
      </c>
      <c r="E4576" s="87" t="str">
        <f>IFERROR(__xludf.DUMMYFUNCTION("""COMPUTED_VALUE"""),"Creek 2.1EC")</f>
        <v>Creek 2.1EC</v>
      </c>
      <c r="F4576" s="87" t="str">
        <f>IFERROR(__xludf.DUMMYFUNCTION("""COMPUTED_VALUE"""),"HH3777")</f>
        <v>HH3777</v>
      </c>
      <c r="G4576" s="87" t="str">
        <f>IFERROR(__xludf.DUMMYFUNCTION("""COMPUTED_VALUE"""),"GC - IV - 3777 - Cty GNH (A.Thời) - Creek 2.1EC (nước đỏ) - 400ml - 40")</f>
        <v>GC - IV - 3777 - Cty GNH (A.Thời) - Creek 2.1EC (nước đỏ) - 400ml - 40</v>
      </c>
    </row>
    <row r="4577">
      <c r="A4577" s="86">
        <f>IFERROR(__xludf.DUMMYFUNCTION("""COMPUTED_VALUE"""),4575.0)</f>
        <v>4575</v>
      </c>
      <c r="B4577" s="87" t="str">
        <f>IFERROR(__xludf.DUMMYFUNCTION("""COMPUTED_VALUE"""),"[Nhãn]")</f>
        <v>[Nhãn]</v>
      </c>
      <c r="C4577" s="87" t="str">
        <f>IFERROR(__xludf.DUMMYFUNCTION("""COMPUTED_VALUE"""),"NHG3778")</f>
        <v>NHG3778</v>
      </c>
      <c r="D4577" s="87" t="str">
        <f>IFERROR(__xludf.DUMMYFUNCTION("""COMPUTED_VALUE"""),"[Nhãn] GC - IV - 3778 - Cty GNH (A.Thời) - Mekongvil 5SC (nước trắng sữa) - 1L - 20")</f>
        <v>[Nhãn] GC - IV - 3778 - Cty GNH (A.Thời) - Mekongvil 5SC (nước trắng sữa) - 1L - 20</v>
      </c>
      <c r="E4577" s="87" t="str">
        <f>IFERROR(__xludf.DUMMYFUNCTION("""COMPUTED_VALUE"""),"Mekongvil 5SC")</f>
        <v>Mekongvil 5SC</v>
      </c>
      <c r="F4577" s="87" t="str">
        <f>IFERROR(__xludf.DUMMYFUNCTION("""COMPUTED_VALUE"""),"HH3778")</f>
        <v>HH3778</v>
      </c>
      <c r="G4577" s="87" t="str">
        <f>IFERROR(__xludf.DUMMYFUNCTION("""COMPUTED_VALUE"""),"GC - IV - 3778 - Cty GNH (A.Thời) - Mekongvil 5SC (nước trắng sữa) - 1L - 20")</f>
        <v>GC - IV - 3778 - Cty GNH (A.Thời) - Mekongvil 5SC (nước trắng sữa) - 1L - 20</v>
      </c>
    </row>
    <row r="4578">
      <c r="A4578" s="86">
        <f>IFERROR(__xludf.DUMMYFUNCTION("""COMPUTED_VALUE"""),4576.0)</f>
        <v>4576</v>
      </c>
      <c r="B4578" s="87" t="str">
        <f>IFERROR(__xludf.DUMMYFUNCTION("""COMPUTED_VALUE"""),"[Nhãn]")</f>
        <v>[Nhãn]</v>
      </c>
      <c r="C4578" s="87" t="str">
        <f>IFERROR(__xludf.DUMMYFUNCTION("""COMPUTED_VALUE"""),"NHG3779")</f>
        <v>NHG3779</v>
      </c>
      <c r="D4578" s="87" t="str">
        <f>IFERROR(__xludf.DUMMYFUNCTION("""COMPUTED_VALUE"""),"[Nhãn] GC - IV - 3779 - Cty Newtex - SẠCH LEM LÉP (Nước xanh bơ sữa) - 450ml - 30")</f>
        <v>[Nhãn] GC - IV - 3779 - Cty Newtex - SẠCH LEM LÉP (Nước xanh bơ sữa) - 450ml - 30</v>
      </c>
      <c r="E4578" s="87" t="str">
        <f>IFERROR(__xludf.DUMMYFUNCTION("""COMPUTED_VALUE"""),"MITOP ONE 390SC")</f>
        <v>MITOP ONE 390SC</v>
      </c>
      <c r="F4578" s="87" t="str">
        <f>IFERROR(__xludf.DUMMYFUNCTION("""COMPUTED_VALUE"""),"HH3779")</f>
        <v>HH3779</v>
      </c>
      <c r="G4578" s="87" t="str">
        <f>IFERROR(__xludf.DUMMYFUNCTION("""COMPUTED_VALUE"""),"GC - IV - 3779 - Cty Newtex - SẠCH LEM LÉP (Nước xanh bơ sữa) - 450ml - 30")</f>
        <v>GC - IV - 3779 - Cty Newtex - SẠCH LEM LÉP (Nước xanh bơ sữa) - 450ml - 30</v>
      </c>
    </row>
    <row r="4579">
      <c r="A4579" s="86">
        <f>IFERROR(__xludf.DUMMYFUNCTION("""COMPUTED_VALUE"""),4577.0)</f>
        <v>4577</v>
      </c>
      <c r="B4579" s="87" t="str">
        <f>IFERROR(__xludf.DUMMYFUNCTION("""COMPUTED_VALUE"""),"[Nhãn]")</f>
        <v>[Nhãn]</v>
      </c>
      <c r="C4579" s="87" t="str">
        <f>IFERROR(__xludf.DUMMYFUNCTION("""COMPUTED_VALUE"""),"NHG3781")</f>
        <v>NHG3781</v>
      </c>
      <c r="D4579" s="87" t="str">
        <f>IFERROR(__xludf.DUMMYFUNCTION("""COMPUTED_VALUE"""),"[Nhãn] IDA Global - I - 3781 - Cty Agrotech - REDPULL (Nước trắng sữa) - 240ml - 40")</f>
        <v>[Nhãn] IDA Global - I - 3781 - Cty Agrotech - REDPULL (Nước trắng sữa) - 240ml - 40</v>
      </c>
      <c r="E4579" s="87" t="str">
        <f>IFERROR(__xludf.DUMMYFUNCTION("""COMPUTED_VALUE"""),"VOTE 34.2SC")</f>
        <v>VOTE 34.2SC</v>
      </c>
      <c r="F4579" s="87" t="str">
        <f>IFERROR(__xludf.DUMMYFUNCTION("""COMPUTED_VALUE"""),"HH3781")</f>
        <v>HH3781</v>
      </c>
      <c r="G4579" s="87" t="str">
        <f>IFERROR(__xludf.DUMMYFUNCTION("""COMPUTED_VALUE"""),"IDA Global - I - 3781 - Cty Agrotech - REDPULL (Nước trắng sữa) - 240ml - 40")</f>
        <v>IDA Global - I - 3781 - Cty Agrotech - REDPULL (Nước trắng sữa) - 240ml - 40</v>
      </c>
    </row>
    <row r="4580">
      <c r="A4580" s="86">
        <f>IFERROR(__xludf.DUMMYFUNCTION("""COMPUTED_VALUE"""),4578.0)</f>
        <v>4578</v>
      </c>
      <c r="B4580" s="87" t="str">
        <f>IFERROR(__xludf.DUMMYFUNCTION("""COMPUTED_VALUE"""),"[Nhãn]")</f>
        <v>[Nhãn]</v>
      </c>
      <c r="C4580" s="87" t="str">
        <f>IFERROR(__xludf.DUMMYFUNCTION("""COMPUTED_VALUE"""),"NHG3782")</f>
        <v>NHG3782</v>
      </c>
      <c r="D4580" s="87" t="str">
        <f>IFERROR(__xludf.DUMMYFUNCTION("""COMPUTED_VALUE"""),"[Nhãn] IDA Global - I - 3782 - PICOSUPER 280SC (Nước xanh dương) - 200ml - 40")</f>
        <v>[Nhãn] IDA Global - I - 3782 - PICOSUPER 280SC (Nước xanh dương) - 200ml - 40</v>
      </c>
      <c r="E4580" s="87" t="str">
        <f>IFERROR(__xludf.DUMMYFUNCTION("""COMPUTED_VALUE"""),"PICOSUPER 280SC")</f>
        <v>PICOSUPER 280SC</v>
      </c>
      <c r="F4580" s="87" t="str">
        <f>IFERROR(__xludf.DUMMYFUNCTION("""COMPUTED_VALUE"""),"HH3782")</f>
        <v>HH3782</v>
      </c>
      <c r="G4580" s="87" t="str">
        <f>IFERROR(__xludf.DUMMYFUNCTION("""COMPUTED_VALUE"""),"IDA Global - I - 3782 - PICOSUPER 280SC (Nước xanh dương) - 200ml - 40")</f>
        <v>IDA Global - I - 3782 - PICOSUPER 280SC (Nước xanh dương) - 200ml - 40</v>
      </c>
    </row>
    <row r="4581">
      <c r="A4581" s="86">
        <f>IFERROR(__xludf.DUMMYFUNCTION("""COMPUTED_VALUE"""),4579.0)</f>
        <v>4579</v>
      </c>
      <c r="B4581" s="87" t="str">
        <f>IFERROR(__xludf.DUMMYFUNCTION("""COMPUTED_VALUE"""),"[Nhãn]")</f>
        <v>[Nhãn]</v>
      </c>
      <c r="C4581" s="87" t="str">
        <f>IFERROR(__xludf.DUMMYFUNCTION("""COMPUTED_VALUE"""),"NHG3784")</f>
        <v>NHG3784</v>
      </c>
      <c r="D4581" s="87" t="str">
        <f>IFERROR(__xludf.DUMMYFUNCTION("""COMPUTED_VALUE"""),"[Nhãn] GC - IV - 3784 - CTY DONA VINA - THIPRO 550EC (Nước tím) - 250ml - 40")</f>
        <v>[Nhãn] GC - IV - 3784 - CTY DONA VINA - THIPRO 550EC (Nước tím) - 250ml - 40</v>
      </c>
      <c r="E4581" s="87" t="str">
        <f>IFERROR(__xludf.DUMMYFUNCTION("""COMPUTED_VALUE"""),"Thipro 550EC")</f>
        <v>Thipro 550EC</v>
      </c>
      <c r="F4581" s="87" t="str">
        <f>IFERROR(__xludf.DUMMYFUNCTION("""COMPUTED_VALUE"""),"HH3784")</f>
        <v>HH3784</v>
      </c>
      <c r="G4581" s="87" t="str">
        <f>IFERROR(__xludf.DUMMYFUNCTION("""COMPUTED_VALUE"""),"GC - IV - 3784 - CTY DONA VINA - THIPRO 550EC (Nước tím) - 250ml - 40")</f>
        <v>GC - IV - 3784 - CTY DONA VINA - THIPRO 550EC (Nước tím) - 250ml - 40</v>
      </c>
    </row>
    <row r="4582">
      <c r="A4582" s="86">
        <f>IFERROR(__xludf.DUMMYFUNCTION("""COMPUTED_VALUE"""),4580.0)</f>
        <v>4580</v>
      </c>
      <c r="B4582" s="87" t="str">
        <f>IFERROR(__xludf.DUMMYFUNCTION("""COMPUTED_VALUE"""),"[Nhãn]")</f>
        <v>[Nhãn]</v>
      </c>
      <c r="C4582" s="87" t="str">
        <f>IFERROR(__xludf.DUMMYFUNCTION("""COMPUTED_VALUE"""),"NHG3786")</f>
        <v>NHG3786</v>
      </c>
      <c r="D4582" s="87" t="str">
        <f>IFERROR(__xludf.DUMMYFUNCTION("""COMPUTED_VALUE"""),"[Nhãn] GC - IV - 3786 - LOT ABA - AMECTIN 36 (Nước nâu đen) - 450ml - 40")</f>
        <v>[Nhãn] GC - IV - 3786 - LOT ABA - AMECTIN 36 (Nước nâu đen) - 450ml - 40</v>
      </c>
      <c r="E4582" s="87" t="str">
        <f>IFERROR(__xludf.DUMMYFUNCTION("""COMPUTED_VALUE"""),"Chitin 3.6EC")</f>
        <v>Chitin 3.6EC</v>
      </c>
      <c r="F4582" s="87" t="str">
        <f>IFERROR(__xludf.DUMMYFUNCTION("""COMPUTED_VALUE"""),"HH3786")</f>
        <v>HH3786</v>
      </c>
      <c r="G4582" s="87" t="str">
        <f>IFERROR(__xludf.DUMMYFUNCTION("""COMPUTED_VALUE"""),"GC - IV - 3786 - LOT ABA - AMECTIN 36 (Nước nâu đen) - 450ml - 40")</f>
        <v>GC - IV - 3786 - LOT ABA - AMECTIN 36 (Nước nâu đen) - 450ml - 40</v>
      </c>
    </row>
    <row r="4583">
      <c r="A4583" s="86">
        <f>IFERROR(__xludf.DUMMYFUNCTION("""COMPUTED_VALUE"""),4581.0)</f>
        <v>4581</v>
      </c>
      <c r="B4583" s="87" t="str">
        <f>IFERROR(__xludf.DUMMYFUNCTION("""COMPUTED_VALUE"""),"[Nhãn thùng]")</f>
        <v>[Nhãn thùng]</v>
      </c>
      <c r="C4583" s="87" t="str">
        <f>IFERROR(__xludf.DUMMYFUNCTION("""COMPUTED_VALUE"""),"NDT3787")</f>
        <v>NDT3787</v>
      </c>
      <c r="D4583" s="87" t="str">
        <f>IFERROR(__xludf.DUMMYFUNCTION("""COMPUTED_VALUE"""),"[Nhãn thùng] LOT IDA Global - I - 3787 - MANCOBGO 80WP (Bột xanh) - 1kg - 20")</f>
        <v>[Nhãn thùng] LOT IDA Global - I - 3787 - MANCOBGO 80WP (Bột xanh) - 1kg - 20</v>
      </c>
      <c r="E4583" s="87" t="str">
        <f>IFERROR(__xludf.DUMMYFUNCTION("""COMPUTED_VALUE"""),"MANCOBGO 80WP")</f>
        <v>MANCOBGO 80WP</v>
      </c>
      <c r="F4583" s="87" t="str">
        <f>IFERROR(__xludf.DUMMYFUNCTION("""COMPUTED_VALUE"""),"HH3787")</f>
        <v>HH3787</v>
      </c>
      <c r="G4583" s="87" t="str">
        <f>IFERROR(__xludf.DUMMYFUNCTION("""COMPUTED_VALUE"""),"LOT IDA Global - I - 3787 - MANCOBGO 80WP (Bột xanh) - 1kg - 20")</f>
        <v>LOT IDA Global - I - 3787 - MANCOBGO 80WP (Bột xanh) - 1kg - 20</v>
      </c>
    </row>
    <row r="4584">
      <c r="A4584" s="86">
        <f>IFERROR(__xludf.DUMMYFUNCTION("""COMPUTED_VALUE"""),4582.0)</f>
        <v>4582</v>
      </c>
      <c r="B4584" s="87" t="str">
        <f>IFERROR(__xludf.DUMMYFUNCTION("""COMPUTED_VALUE"""),"[Nhãn]")</f>
        <v>[Nhãn]</v>
      </c>
      <c r="C4584" s="87" t="str">
        <f>IFERROR(__xludf.DUMMYFUNCTION("""COMPUTED_VALUE"""),"NTN3787")</f>
        <v>NTN3787</v>
      </c>
      <c r="D4584" s="87" t="str">
        <f>IFERROR(__xludf.DUMMYFUNCTION("""COMPUTED_VALUE"""),"[Nhãn] LOT IDA Global - I - 3787 - MANCOBGO 80WP (Bột xanh) - 1kg - 20")</f>
        <v>[Nhãn] LOT IDA Global - I - 3787 - MANCOBGO 80WP (Bột xanh) - 1kg - 20</v>
      </c>
      <c r="E4584" s="87" t="str">
        <f>IFERROR(__xludf.DUMMYFUNCTION("""COMPUTED_VALUE"""),"MANCOBGO 80WP")</f>
        <v>MANCOBGO 80WP</v>
      </c>
      <c r="F4584" s="87" t="str">
        <f>IFERROR(__xludf.DUMMYFUNCTION("""COMPUTED_VALUE"""),"HH3787")</f>
        <v>HH3787</v>
      </c>
      <c r="G4584" s="87" t="str">
        <f>IFERROR(__xludf.DUMMYFUNCTION("""COMPUTED_VALUE"""),"LOT IDA Global - I - 3787 - MANCOBGO 80WP (Bột xanh) - 1kg - 20")</f>
        <v>LOT IDA Global - I - 3787 - MANCOBGO 80WP (Bột xanh) - 1kg - 20</v>
      </c>
    </row>
    <row r="4585">
      <c r="A4585" s="86">
        <f>IFERROR(__xludf.DUMMYFUNCTION("""COMPUTED_VALUE"""),4583.0)</f>
        <v>4583</v>
      </c>
      <c r="B4585" s="87" t="str">
        <f>IFERROR(__xludf.DUMMYFUNCTION("""COMPUTED_VALUE"""),"[Nhãn thùng]")</f>
        <v>[Nhãn thùng]</v>
      </c>
      <c r="C4585" s="87" t="str">
        <f>IFERROR(__xludf.DUMMYFUNCTION("""COMPUTED_VALUE"""),"NDT3788")</f>
        <v>NDT3788</v>
      </c>
      <c r="D4585" s="87" t="str">
        <f>IFERROR(__xludf.DUMMYFUNCTION("""COMPUTED_VALUE"""),"[Nhãn thùng] IDA Global - I - 3788 - Pim.Pim 75WP (Bột cam) - 100gr - 100")</f>
        <v>[Nhãn thùng] IDA Global - I - 3788 - Pim.Pim 75WP (Bột cam) - 100gr - 100</v>
      </c>
      <c r="E4585" s="87" t="str">
        <f>IFERROR(__xludf.DUMMYFUNCTION("""COMPUTED_VALUE"""),"Pim.Pim 75WP")</f>
        <v>Pim.Pim 75WP</v>
      </c>
      <c r="F4585" s="87" t="str">
        <f>IFERROR(__xludf.DUMMYFUNCTION("""COMPUTED_VALUE"""),"HH3788")</f>
        <v>HH3788</v>
      </c>
      <c r="G4585" s="87" t="str">
        <f>IFERROR(__xludf.DUMMYFUNCTION("""COMPUTED_VALUE"""),"IDA Global - I - 3788 - Pim.Pim 75WP (Bột cam) - 100gr - 100")</f>
        <v>IDA Global - I - 3788 - Pim.Pim 75WP (Bột cam) - 100gr - 100</v>
      </c>
    </row>
    <row r="4586">
      <c r="A4586" s="86">
        <f>IFERROR(__xludf.DUMMYFUNCTION("""COMPUTED_VALUE"""),4584.0)</f>
        <v>4584</v>
      </c>
      <c r="B4586" s="87" t="str">
        <f>IFERROR(__xludf.DUMMYFUNCTION("""COMPUTED_VALUE"""),"[Nhãn]")</f>
        <v>[Nhãn]</v>
      </c>
      <c r="C4586" s="87" t="str">
        <f>IFERROR(__xludf.DUMMYFUNCTION("""COMPUTED_VALUE"""),"NTN3788")</f>
        <v>NTN3788</v>
      </c>
      <c r="D4586" s="87" t="str">
        <f>IFERROR(__xludf.DUMMYFUNCTION("""COMPUTED_VALUE"""),"[Nhãn] IDA Global - I - 3788 - Pim.Pim 75WP (Bột cam) - 100gr - 100")</f>
        <v>[Nhãn] IDA Global - I - 3788 - Pim.Pim 75WP (Bột cam) - 100gr - 100</v>
      </c>
      <c r="E4586" s="87" t="str">
        <f>IFERROR(__xludf.DUMMYFUNCTION("""COMPUTED_VALUE"""),"Pim.Pim 75WP")</f>
        <v>Pim.Pim 75WP</v>
      </c>
      <c r="F4586" s="87" t="str">
        <f>IFERROR(__xludf.DUMMYFUNCTION("""COMPUTED_VALUE"""),"HH3788")</f>
        <v>HH3788</v>
      </c>
      <c r="G4586" s="87" t="str">
        <f>IFERROR(__xludf.DUMMYFUNCTION("""COMPUTED_VALUE"""),"IDA Global - I - 3788 - Pim.Pim 75WP (Bột cam) - 100gr - 100")</f>
        <v>IDA Global - I - 3788 - Pim.Pim 75WP (Bột cam) - 100gr - 100</v>
      </c>
    </row>
    <row r="4587">
      <c r="A4587" s="86">
        <f>IFERROR(__xludf.DUMMYFUNCTION("""COMPUTED_VALUE"""),4585.0)</f>
        <v>4585</v>
      </c>
      <c r="B4587" s="87" t="str">
        <f>IFERROR(__xludf.DUMMYFUNCTION("""COMPUTED_VALUE"""),"[Nhãn]")</f>
        <v>[Nhãn]</v>
      </c>
      <c r="C4587" s="87" t="str">
        <f>IFERROR(__xludf.DUMMYFUNCTION("""COMPUTED_VALUE"""),"NHG3789")</f>
        <v>NHG3789</v>
      </c>
      <c r="D4587" s="87" t="str">
        <f>IFERROR(__xludf.DUMMYFUNCTION("""COMPUTED_VALUE"""),"[Nhãn] LOT IDA Global - I - 3789 - ĐL Lệ Hồng 1 - CHITIN 3.6EC (nước nâu đen) - 450ml - 40")</f>
        <v>[Nhãn] LOT IDA Global - I - 3789 - ĐL Lệ Hồng 1 - CHITIN 3.6EC (nước nâu đen) - 450ml - 40</v>
      </c>
      <c r="E4587" s="87" t="str">
        <f>IFERROR(__xludf.DUMMYFUNCTION("""COMPUTED_VALUE"""),"Chitin 3.6EC")</f>
        <v>Chitin 3.6EC</v>
      </c>
      <c r="F4587" s="87" t="str">
        <f>IFERROR(__xludf.DUMMYFUNCTION("""COMPUTED_VALUE"""),"HH3789")</f>
        <v>HH3789</v>
      </c>
      <c r="G4587" s="87" t="str">
        <f>IFERROR(__xludf.DUMMYFUNCTION("""COMPUTED_VALUE"""),"LOT IDA Global - I - 3789 - ĐL Lệ Hồng 1 - CHITIN 3.6EC (nước nâu đen) - 450ml - 40")</f>
        <v>LOT IDA Global - I - 3789 - ĐL Lệ Hồng 1 - CHITIN 3.6EC (nước nâu đen) - 450ml - 40</v>
      </c>
    </row>
    <row r="4588">
      <c r="A4588" s="86">
        <f>IFERROR(__xludf.DUMMYFUNCTION("""COMPUTED_VALUE"""),4586.0)</f>
        <v>4586</v>
      </c>
      <c r="B4588" s="87" t="str">
        <f>IFERROR(__xludf.DUMMYFUNCTION("""COMPUTED_VALUE"""),"[Nhãn]")</f>
        <v>[Nhãn]</v>
      </c>
      <c r="C4588" s="87" t="str">
        <f>IFERROR(__xludf.DUMMYFUNCTION("""COMPUTED_VALUE"""),"NHG3790")</f>
        <v>NHG3790</v>
      </c>
      <c r="D4588" s="87" t="str">
        <f>IFERROR(__xludf.DUMMYFUNCTION("""COMPUTED_VALUE"""),"[Nhãn] BAMBOO - VI - 3790 - BAMBOO CANXI BO MASTER (Nước trắng sữa) - 1L - 20")</f>
        <v>[Nhãn] BAMBOO - VI - 3790 - BAMBOO CANXI BO MASTER (Nước trắng sữa) - 1L - 20</v>
      </c>
      <c r="E4588" s="87" t="str">
        <f>IFERROR(__xludf.DUMMYFUNCTION("""COMPUTED_VALUE"""),"Vi lượng AGAMA-CANXI BO")</f>
        <v>Vi lượng AGAMA-CANXI BO</v>
      </c>
      <c r="F4588" s="87" t="str">
        <f>IFERROR(__xludf.DUMMYFUNCTION("""COMPUTED_VALUE"""),"HH3790")</f>
        <v>HH3790</v>
      </c>
      <c r="G4588" s="87" t="str">
        <f>IFERROR(__xludf.DUMMYFUNCTION("""COMPUTED_VALUE"""),"BAMBOO - VI - 3790 - BAMBOO CANXI BO MASTER (Nước trắng sữa) - 1L - 20")</f>
        <v>BAMBOO - VI - 3790 - BAMBOO CANXI BO MASTER (Nước trắng sữa) - 1L - 20</v>
      </c>
    </row>
    <row r="4589">
      <c r="A4589" s="86">
        <f>IFERROR(__xludf.DUMMYFUNCTION("""COMPUTED_VALUE"""),4587.0)</f>
        <v>4587</v>
      </c>
      <c r="B4589" s="87" t="str">
        <f>IFERROR(__xludf.DUMMYFUNCTION("""COMPUTED_VALUE"""),"[Nhãn thùng]")</f>
        <v>[Nhãn thùng]</v>
      </c>
      <c r="C4589" s="87" t="str">
        <f>IFERROR(__xludf.DUMMYFUNCTION("""COMPUTED_VALUE"""),"NDT3790")</f>
        <v>NDT3790</v>
      </c>
      <c r="D4589" s="87" t="str">
        <f>IFERROR(__xludf.DUMMYFUNCTION("""COMPUTED_VALUE"""),"[Nhãn thùng] BAMBOO - VI - 3790 - BAMBOO CANXI BO MASTER (Nước trắng sữa) - 1L - 20")</f>
        <v>[Nhãn thùng] BAMBOO - VI - 3790 - BAMBOO CANXI BO MASTER (Nước trắng sữa) - 1L - 20</v>
      </c>
      <c r="E4589" s="87" t="str">
        <f>IFERROR(__xludf.DUMMYFUNCTION("""COMPUTED_VALUE"""),"Vi lượng AGAMA-CANXI BO")</f>
        <v>Vi lượng AGAMA-CANXI BO</v>
      </c>
      <c r="F4589" s="87" t="str">
        <f>IFERROR(__xludf.DUMMYFUNCTION("""COMPUTED_VALUE"""),"HH3790")</f>
        <v>HH3790</v>
      </c>
      <c r="G4589" s="87" t="str">
        <f>IFERROR(__xludf.DUMMYFUNCTION("""COMPUTED_VALUE"""),"BAMBOO - VI - 3790 - BAMBOO CANXI BO MASTER (Nước trắng sữa) - 1L - 20")</f>
        <v>BAMBOO - VI - 3790 - BAMBOO CANXI BO MASTER (Nước trắng sữa) - 1L - 20</v>
      </c>
    </row>
    <row r="4590">
      <c r="A4590" s="86">
        <f>IFERROR(__xludf.DUMMYFUNCTION("""COMPUTED_VALUE"""),4588.0)</f>
        <v>4588</v>
      </c>
      <c r="B4590" s="87" t="str">
        <f>IFERROR(__xludf.DUMMYFUNCTION("""COMPUTED_VALUE"""),"[Nhãn thùng]")</f>
        <v>[Nhãn thùng]</v>
      </c>
      <c r="C4590" s="87" t="str">
        <f>IFERROR(__xludf.DUMMYFUNCTION("""COMPUTED_VALUE"""),"NDT3791")</f>
        <v>NDT3791</v>
      </c>
      <c r="D4590" s="87" t="str">
        <f>IFERROR(__xludf.DUMMYFUNCTION("""COMPUTED_VALUE"""),"[Nhãn thùng] BAMBOO - VI - 3791 - BAMBOO ORGANIC (nước nâu đen) - 5L - 4")</f>
        <v>[Nhãn thùng] BAMBOO - VI - 3791 - BAMBOO ORGANIC (nước nâu đen) - 5L - 4</v>
      </c>
      <c r="E4590" s="87" t="str">
        <f>IFERROR(__xludf.DUMMYFUNCTION("""COMPUTED_VALUE"""),"Hữu cơ SH Agro Organic Fertilizer 20")</f>
        <v>Hữu cơ SH Agro Organic Fertilizer 20</v>
      </c>
      <c r="F4590" s="87" t="str">
        <f>IFERROR(__xludf.DUMMYFUNCTION("""COMPUTED_VALUE"""),"HH3791")</f>
        <v>HH3791</v>
      </c>
      <c r="G4590" s="87" t="str">
        <f>IFERROR(__xludf.DUMMYFUNCTION("""COMPUTED_VALUE"""),"BAMBOO - VI - 3791 - BAMBOO ORGANIC (nước nâu đen) - 5L - 4")</f>
        <v>BAMBOO - VI - 3791 - BAMBOO ORGANIC (nước nâu đen) - 5L - 4</v>
      </c>
    </row>
    <row r="4591">
      <c r="A4591" s="86">
        <f>IFERROR(__xludf.DUMMYFUNCTION("""COMPUTED_VALUE"""),4589.0)</f>
        <v>4589</v>
      </c>
      <c r="B4591" s="87" t="str">
        <f>IFERROR(__xludf.DUMMYFUNCTION("""COMPUTED_VALUE"""),"[Nhãn]")</f>
        <v>[Nhãn]</v>
      </c>
      <c r="C4591" s="87" t="str">
        <f>IFERROR(__xludf.DUMMYFUNCTION("""COMPUTED_VALUE"""),"NHG3791")</f>
        <v>NHG3791</v>
      </c>
      <c r="D4591" s="87" t="str">
        <f>IFERROR(__xludf.DUMMYFUNCTION("""COMPUTED_VALUE"""),"[Nhãn] BAMBOO - VI - 3791 - BAMBOO ORGANIC (nước nâu đen) - 5L - 4")</f>
        <v>[Nhãn] BAMBOO - VI - 3791 - BAMBOO ORGANIC (nước nâu đen) - 5L - 4</v>
      </c>
      <c r="E4591" s="87" t="str">
        <f>IFERROR(__xludf.DUMMYFUNCTION("""COMPUTED_VALUE"""),"Hữu cơ SH Agro Organic Fertilizer 20")</f>
        <v>Hữu cơ SH Agro Organic Fertilizer 20</v>
      </c>
      <c r="F4591" s="87" t="str">
        <f>IFERROR(__xludf.DUMMYFUNCTION("""COMPUTED_VALUE"""),"HH3791")</f>
        <v>HH3791</v>
      </c>
      <c r="G4591" s="87" t="str">
        <f>IFERROR(__xludf.DUMMYFUNCTION("""COMPUTED_VALUE"""),"BAMBOO - VI - 3791 - BAMBOO ORGANIC (nước nâu đen) - 5L - 4")</f>
        <v>BAMBOO - VI - 3791 - BAMBOO ORGANIC (nước nâu đen) - 5L - 4</v>
      </c>
    </row>
    <row r="4592">
      <c r="A4592" s="86">
        <f>IFERROR(__xludf.DUMMYFUNCTION("""COMPUTED_VALUE"""),4590.0)</f>
        <v>4590</v>
      </c>
      <c r="B4592" s="87" t="str">
        <f>IFERROR(__xludf.DUMMYFUNCTION("""COMPUTED_VALUE"""),"[Nhãn]")</f>
        <v>[Nhãn]</v>
      </c>
      <c r="C4592" s="87" t="str">
        <f>IFERROR(__xludf.DUMMYFUNCTION("""COMPUTED_VALUE"""),"NHD3791")</f>
        <v>NHD3791</v>
      </c>
      <c r="D4592" s="87" t="str">
        <f>IFERROR(__xludf.DUMMYFUNCTION("""COMPUTED_VALUE"""),"[Nhãn] BAMBOO - VI - 3791 - BAMBOO ORGANIC (nước nâu đen) - 5L - 4")</f>
        <v>[Nhãn] BAMBOO - VI - 3791 - BAMBOO ORGANIC (nước nâu đen) - 5L - 4</v>
      </c>
      <c r="E4592" s="87" t="str">
        <f>IFERROR(__xludf.DUMMYFUNCTION("""COMPUTED_VALUE"""),"Hữu cơ SH Agro Organic Fertilizer 20")</f>
        <v>Hữu cơ SH Agro Organic Fertilizer 20</v>
      </c>
      <c r="F4592" s="87" t="str">
        <f>IFERROR(__xludf.DUMMYFUNCTION("""COMPUTED_VALUE"""),"HH3791")</f>
        <v>HH3791</v>
      </c>
      <c r="G4592" s="87" t="str">
        <f>IFERROR(__xludf.DUMMYFUNCTION("""COMPUTED_VALUE"""),"BAMBOO - VI - 3791 - BAMBOO ORGANIC (nước nâu đen) - 5L - 4")</f>
        <v>BAMBOO - VI - 3791 - BAMBOO ORGANIC (nước nâu đen) - 5L - 4</v>
      </c>
    </row>
    <row r="4593">
      <c r="A4593" s="86">
        <f>IFERROR(__xludf.DUMMYFUNCTION("""COMPUTED_VALUE"""),4591.0)</f>
        <v>4591</v>
      </c>
      <c r="B4593" s="87" t="str">
        <f>IFERROR(__xludf.DUMMYFUNCTION("""COMPUTED_VALUE"""),"[HỘP]")</f>
        <v>[HỘP]</v>
      </c>
      <c r="C4593" s="87" t="str">
        <f>IFERROR(__xludf.DUMMYFUNCTION("""COMPUTED_VALUE"""),"HOP3792")</f>
        <v>HOP3792</v>
      </c>
      <c r="D4593" s="87" t="str">
        <f>IFERROR(__xludf.DUMMYFUNCTION("""COMPUTED_VALUE"""),"[Hộp] GC- IV - 3792 - Cty Newtex - ĐẠO ÔN VI KHUẨN 07 - 450ml - 2")</f>
        <v>[Hộp] GC- IV - 3792 - Cty Newtex - ĐẠO ÔN VI KHUẨN 07 - 450ml - 2</v>
      </c>
      <c r="E4593" s="87"/>
      <c r="F4593" s="87" t="str">
        <f>IFERROR(__xludf.DUMMYFUNCTION("""COMPUTED_VALUE"""),"HH3792")</f>
        <v>HH3792</v>
      </c>
      <c r="G4593" s="87" t="str">
        <f>IFERROR(__xludf.DUMMYFUNCTION("""COMPUTED_VALUE"""),"GC- IV - 3792 - Cty Newtex - ĐẠO ÔN VI KHUẨN 07 - 450ml - 2")</f>
        <v>GC- IV - 3792 - Cty Newtex - ĐẠO ÔN VI KHUẨN 07 - 450ml - 2</v>
      </c>
    </row>
    <row r="4594">
      <c r="A4594" s="86">
        <f>IFERROR(__xludf.DUMMYFUNCTION("""COMPUTED_VALUE"""),4592.0)</f>
        <v>4592</v>
      </c>
      <c r="B4594" s="87" t="str">
        <f>IFERROR(__xludf.DUMMYFUNCTION("""COMPUTED_VALUE"""),"[Nhãn]")</f>
        <v>[Nhãn]</v>
      </c>
      <c r="C4594" s="87" t="str">
        <f>IFERROR(__xludf.DUMMYFUNCTION("""COMPUTED_VALUE"""),"NHG3793")</f>
        <v>NHG3793</v>
      </c>
      <c r="D4594" s="87" t="str">
        <f>IFERROR(__xludf.DUMMYFUNCTION("""COMPUTED_VALUE"""),"[Nhãn] GC - IV - 3793 - Cty BEE PACIFIC - AMIBENT 100 (nước trắng sữa) - 450ml - 40")</f>
        <v>[Nhãn] GC - IV - 3793 - Cty BEE PACIFIC - AMIBENT 100 (nước trắng sữa) - 450ml - 40</v>
      </c>
      <c r="E4594" s="87" t="str">
        <f>IFERROR(__xludf.DUMMYFUNCTION("""COMPUTED_VALUE"""),"NOFARA 350SC")</f>
        <v>NOFARA 350SC</v>
      </c>
      <c r="F4594" s="87" t="str">
        <f>IFERROR(__xludf.DUMMYFUNCTION("""COMPUTED_VALUE"""),"HH3793")</f>
        <v>HH3793</v>
      </c>
      <c r="G4594" s="87" t="str">
        <f>IFERROR(__xludf.DUMMYFUNCTION("""COMPUTED_VALUE"""),"GC - IV - 3793 - Cty BEE PACIFIC - AMIBENT 100 (nước trắng sữa) - 450ml - 40")</f>
        <v>GC - IV - 3793 - Cty BEE PACIFIC - AMIBENT 100 (nước trắng sữa) - 450ml - 40</v>
      </c>
    </row>
    <row r="4595">
      <c r="A4595" s="86">
        <f>IFERROR(__xludf.DUMMYFUNCTION("""COMPUTED_VALUE"""),4593.0)</f>
        <v>4593</v>
      </c>
      <c r="B4595" s="87" t="str">
        <f>IFERROR(__xludf.DUMMYFUNCTION("""COMPUTED_VALUE"""),"[Nhãn]")</f>
        <v>[Nhãn]</v>
      </c>
      <c r="C4595" s="87" t="str">
        <f>IFERROR(__xludf.DUMMYFUNCTION("""COMPUTED_VALUE"""),"NHG3796")</f>
        <v>NHG3796</v>
      </c>
      <c r="D4595" s="87" t="str">
        <f>IFERROR(__xludf.DUMMYFUNCTION("""COMPUTED_VALUE"""),"[Nhãn] GC - IV - 3796 - NHP GROUP - VATINO SUPER 525SE (Nước cam sữa) - 200ml - 40")</f>
        <v>[Nhãn] GC - IV - 3796 - NHP GROUP - VATINO SUPER 525SE (Nước cam sữa) - 200ml - 40</v>
      </c>
      <c r="E4595" s="87" t="str">
        <f>IFERROR(__xludf.DUMMYFUNCTION("""COMPUTED_VALUE"""),"VATINO SUPER 525SE")</f>
        <v>VATINO SUPER 525SE</v>
      </c>
      <c r="F4595" s="87" t="str">
        <f>IFERROR(__xludf.DUMMYFUNCTION("""COMPUTED_VALUE"""),"HH3796")</f>
        <v>HH3796</v>
      </c>
      <c r="G4595" s="87" t="str">
        <f>IFERROR(__xludf.DUMMYFUNCTION("""COMPUTED_VALUE"""),"GC - IV - 3796 - NHP GROUP - VATINO SUPER 525SE (Nước cam sữa) - 200ml - 40")</f>
        <v>GC - IV - 3796 - NHP GROUP - VATINO SUPER 525SE (Nước cam sữa) - 200ml - 40</v>
      </c>
    </row>
    <row r="4596">
      <c r="A4596" s="86">
        <f>IFERROR(__xludf.DUMMYFUNCTION("""COMPUTED_VALUE"""),4594.0)</f>
        <v>4594</v>
      </c>
      <c r="B4596" s="87" t="str">
        <f>IFERROR(__xludf.DUMMYFUNCTION("""COMPUTED_VALUE"""),"[Nhãn thùng]")</f>
        <v>[Nhãn thùng]</v>
      </c>
      <c r="C4596" s="87" t="str">
        <f>IFERROR(__xludf.DUMMYFUNCTION("""COMPUTED_VALUE"""),"NDT3797")</f>
        <v>NDT3797</v>
      </c>
      <c r="D4596" s="87" t="str">
        <f>IFERROR(__xludf.DUMMYFUNCTION("""COMPUTED_VALUE"""),"[Nhãn thùng] GC - IV - 3797 - Cty Sen Hồng (A.Diễn) - MITOP ONE 390SC (Nước xanh bơ sữa) - 400ml - 30")</f>
        <v>[Nhãn thùng] GC - IV - 3797 - Cty Sen Hồng (A.Diễn) - MITOP ONE 390SC (Nước xanh bơ sữa) - 400ml - 30</v>
      </c>
      <c r="E4596" s="87" t="str">
        <f>IFERROR(__xludf.DUMMYFUNCTION("""COMPUTED_VALUE"""),"MITOP ONE 390SC")</f>
        <v>MITOP ONE 390SC</v>
      </c>
      <c r="F4596" s="87" t="str">
        <f>IFERROR(__xludf.DUMMYFUNCTION("""COMPUTED_VALUE"""),"HH3797")</f>
        <v>HH3797</v>
      </c>
      <c r="G4596" s="87" t="str">
        <f>IFERROR(__xludf.DUMMYFUNCTION("""COMPUTED_VALUE"""),"GC - IV - 3797 - Cty Sen Hồng (A.Diễn) - MITOP ONE 390SC (Nước xanh bơ sữa) - 400ml - 30")</f>
        <v>GC - IV - 3797 - Cty Sen Hồng (A.Diễn) - MITOP ONE 390SC (Nước xanh bơ sữa) - 400ml - 30</v>
      </c>
    </row>
    <row r="4597">
      <c r="A4597" s="86">
        <f>IFERROR(__xludf.DUMMYFUNCTION("""COMPUTED_VALUE"""),4595.0)</f>
        <v>4595</v>
      </c>
      <c r="B4597" s="87" t="str">
        <f>IFERROR(__xludf.DUMMYFUNCTION("""COMPUTED_VALUE"""),"[Nhãn]")</f>
        <v>[Nhãn]</v>
      </c>
      <c r="C4597" s="87" t="str">
        <f>IFERROR(__xludf.DUMMYFUNCTION("""COMPUTED_VALUE"""),"NHD3797")</f>
        <v>NHD3797</v>
      </c>
      <c r="D4597" s="87" t="str">
        <f>IFERROR(__xludf.DUMMYFUNCTION("""COMPUTED_VALUE"""),"[Nhãn] GC - IV - 3797 - Cty Sen Hồng (A.Diễn) - MITOP ONE 390SC (Nước xanh bơ sữa) - 400ml - 30")</f>
        <v>[Nhãn] GC - IV - 3797 - Cty Sen Hồng (A.Diễn) - MITOP ONE 390SC (Nước xanh bơ sữa) - 400ml - 30</v>
      </c>
      <c r="E4597" s="87" t="str">
        <f>IFERROR(__xludf.DUMMYFUNCTION("""COMPUTED_VALUE"""),"MITOP ONE 390SC")</f>
        <v>MITOP ONE 390SC</v>
      </c>
      <c r="F4597" s="87" t="str">
        <f>IFERROR(__xludf.DUMMYFUNCTION("""COMPUTED_VALUE"""),"HH3797")</f>
        <v>HH3797</v>
      </c>
      <c r="G4597" s="87" t="str">
        <f>IFERROR(__xludf.DUMMYFUNCTION("""COMPUTED_VALUE"""),"GC - IV - 3797 - Cty Sen Hồng (A.Diễn) - MITOP ONE 390SC (Nước xanh bơ sữa) - 400ml - 30")</f>
        <v>GC - IV - 3797 - Cty Sen Hồng (A.Diễn) - MITOP ONE 390SC (Nước xanh bơ sữa) - 400ml - 30</v>
      </c>
    </row>
    <row r="4598">
      <c r="A4598" s="86">
        <f>IFERROR(__xludf.DUMMYFUNCTION("""COMPUTED_VALUE"""),4596.0)</f>
        <v>4596</v>
      </c>
      <c r="B4598" s="87" t="str">
        <f>IFERROR(__xludf.DUMMYFUNCTION("""COMPUTED_VALUE"""),"[Nhãn]")</f>
        <v>[Nhãn]</v>
      </c>
      <c r="C4598" s="87" t="str">
        <f>IFERROR(__xludf.DUMMYFUNCTION("""COMPUTED_VALUE"""),"NHG3798")</f>
        <v>NHG3798</v>
      </c>
      <c r="D4598" s="87" t="str">
        <f>IFERROR(__xludf.DUMMYFUNCTION("""COMPUTED_VALUE"""),"[Nhãn] GC - IV - 3798 - Cty Hóa Nông Shino - S-9999 (Nước tím) - 250ml - 40")</f>
        <v>[Nhãn] GC - IV - 3798 - Cty Hóa Nông Shino - S-9999 (Nước tím) - 250ml - 40</v>
      </c>
      <c r="E4598" s="87" t="str">
        <f>IFERROR(__xludf.DUMMYFUNCTION("""COMPUTED_VALUE"""),"Thipro 550EC")</f>
        <v>Thipro 550EC</v>
      </c>
      <c r="F4598" s="87" t="str">
        <f>IFERROR(__xludf.DUMMYFUNCTION("""COMPUTED_VALUE"""),"HH3798")</f>
        <v>HH3798</v>
      </c>
      <c r="G4598" s="87" t="str">
        <f>IFERROR(__xludf.DUMMYFUNCTION("""COMPUTED_VALUE"""),"GC - IV - 3798 - Cty Hóa Nông Shino - S-9999 (Nước tím) - 250ml - 40")</f>
        <v>GC - IV - 3798 - Cty Hóa Nông Shino - S-9999 (Nước tím) - 250ml - 40</v>
      </c>
    </row>
    <row r="4599">
      <c r="A4599" s="86">
        <f>IFERROR(__xludf.DUMMYFUNCTION("""COMPUTED_VALUE"""),4597.0)</f>
        <v>4597</v>
      </c>
      <c r="B4599" s="87" t="str">
        <f>IFERROR(__xludf.DUMMYFUNCTION("""COMPUTED_VALUE"""),"[Nhãn]")</f>
        <v>[Nhãn]</v>
      </c>
      <c r="C4599" s="87" t="str">
        <f>IFERROR(__xludf.DUMMYFUNCTION("""COMPUTED_VALUE"""),"NHG3799")</f>
        <v>NHG3799</v>
      </c>
      <c r="D4599" s="87" t="str">
        <f>IFERROR(__xludf.DUMMYFUNCTION("""COMPUTED_VALUE"""),"[Nhãn] GC - IV - 3799 - Cty Hóa Nông Shino - 1 TẤN 4 (nước đỏ cam) - 500ml - 30")</f>
        <v>[Nhãn] GC - IV - 3799 - Cty Hóa Nông Shino - 1 TẤN 4 (nước đỏ cam) - 500ml - 30</v>
      </c>
      <c r="E4599" s="87" t="str">
        <f>IFERROR(__xludf.DUMMYFUNCTION("""COMPUTED_VALUE"""),"NPK-Vi lượng MASSIVE-BLUE")</f>
        <v>NPK-Vi lượng MASSIVE-BLUE</v>
      </c>
      <c r="F4599" s="87" t="str">
        <f>IFERROR(__xludf.DUMMYFUNCTION("""COMPUTED_VALUE"""),"HH3799")</f>
        <v>HH3799</v>
      </c>
      <c r="G4599" s="87" t="str">
        <f>IFERROR(__xludf.DUMMYFUNCTION("""COMPUTED_VALUE"""),"GC - IV - 3799 - Cty Hóa Nông Shino - 1 TẤN 4 (nước đỏ cam) - 500ml - 30")</f>
        <v>GC - IV - 3799 - Cty Hóa Nông Shino - 1 TẤN 4 (nước đỏ cam) - 500ml - 30</v>
      </c>
    </row>
    <row r="4600">
      <c r="A4600" s="86">
        <f>IFERROR(__xludf.DUMMYFUNCTION("""COMPUTED_VALUE"""),4598.0)</f>
        <v>4598</v>
      </c>
      <c r="B4600" s="87" t="str">
        <f>IFERROR(__xludf.DUMMYFUNCTION("""COMPUTED_VALUE"""),"[Nhãn thùng]")</f>
        <v>[Nhãn thùng]</v>
      </c>
      <c r="C4600" s="87" t="str">
        <f>IFERROR(__xludf.DUMMYFUNCTION("""COMPUTED_VALUE"""),"NDT3800")</f>
        <v>NDT3800</v>
      </c>
      <c r="D4600" s="87" t="str">
        <f>IFERROR(__xludf.DUMMYFUNCTION("""COMPUTED_VALUE"""),"[Nhãn thùng] GC - II - 3800 - CSSX An Khang (A.Dinh) - TAK03 (Bột màu trắng) - 100gr - 100")</f>
        <v>[Nhãn thùng] GC - II - 3800 - CSSX An Khang (A.Dinh) - TAK03 (Bột màu trắng) - 100gr - 100</v>
      </c>
      <c r="E4600" s="87" t="str">
        <f>IFERROR(__xludf.DUMMYFUNCTION("""COMPUTED_VALUE"""),"Vi lượng AGAMA-BATFUNG")</f>
        <v>Vi lượng AGAMA-BATFUNG</v>
      </c>
      <c r="F4600" s="87" t="str">
        <f>IFERROR(__xludf.DUMMYFUNCTION("""COMPUTED_VALUE"""),"HH3800")</f>
        <v>HH3800</v>
      </c>
      <c r="G4600" s="87" t="str">
        <f>IFERROR(__xludf.DUMMYFUNCTION("""COMPUTED_VALUE"""),"GC - II - 3800 - CSSX An Khang (A.Dinh) - TAK03 (Bột màu trắng) - 100gr - 100")</f>
        <v>GC - II - 3800 - CSSX An Khang (A.Dinh) - TAK03 (Bột màu trắng) - 100gr - 100</v>
      </c>
    </row>
    <row r="4601">
      <c r="A4601" s="86">
        <f>IFERROR(__xludf.DUMMYFUNCTION("""COMPUTED_VALUE"""),4599.0)</f>
        <v>4599</v>
      </c>
      <c r="B4601" s="87" t="str">
        <f>IFERROR(__xludf.DUMMYFUNCTION("""COMPUTED_VALUE"""),"[Nhãn]")</f>
        <v>[Nhãn]</v>
      </c>
      <c r="C4601" s="87" t="str">
        <f>IFERROR(__xludf.DUMMYFUNCTION("""COMPUTED_VALUE"""),"NTN3800")</f>
        <v>NTN3800</v>
      </c>
      <c r="D4601" s="87" t="str">
        <f>IFERROR(__xludf.DUMMYFUNCTION("""COMPUTED_VALUE"""),"[Nhãn] GC - II - 3800 - CSSX An Khang (A.Dinh) - TAK03 (Bột màu trắng) - 100gr - 100")</f>
        <v>[Nhãn] GC - II - 3800 - CSSX An Khang (A.Dinh) - TAK03 (Bột màu trắng) - 100gr - 100</v>
      </c>
      <c r="E4601" s="87" t="str">
        <f>IFERROR(__xludf.DUMMYFUNCTION("""COMPUTED_VALUE"""),"Vi lượng AGAMA-BATFUNG")</f>
        <v>Vi lượng AGAMA-BATFUNG</v>
      </c>
      <c r="F4601" s="87" t="str">
        <f>IFERROR(__xludf.DUMMYFUNCTION("""COMPUTED_VALUE"""),"HH3800")</f>
        <v>HH3800</v>
      </c>
      <c r="G4601" s="87" t="str">
        <f>IFERROR(__xludf.DUMMYFUNCTION("""COMPUTED_VALUE"""),"GC - II - 3800 - CSSX An Khang (A.Dinh) - TAK03 (Bột màu trắng) - 100gr - 100")</f>
        <v>GC - II - 3800 - CSSX An Khang (A.Dinh) - TAK03 (Bột màu trắng) - 100gr - 100</v>
      </c>
    </row>
    <row r="4602">
      <c r="A4602" s="86">
        <f>IFERROR(__xludf.DUMMYFUNCTION("""COMPUTED_VALUE"""),4600.0)</f>
        <v>4600</v>
      </c>
      <c r="B4602" s="87" t="str">
        <f>IFERROR(__xludf.DUMMYFUNCTION("""COMPUTED_VALUE"""),"[Nhãn]")</f>
        <v>[Nhãn]</v>
      </c>
      <c r="C4602" s="87" t="str">
        <f>IFERROR(__xludf.DUMMYFUNCTION("""COMPUTED_VALUE"""),"NHG3801")</f>
        <v>NHG3801</v>
      </c>
      <c r="D4602" s="87" t="str">
        <f>IFERROR(__xludf.DUMMYFUNCTION("""COMPUTED_VALUE"""),"[Nhãn] GC - II - 3801 - CSSX An Khang (A.Dinh) - TAK09 (Nước nâu đen) - 500ml - 40")</f>
        <v>[Nhãn] GC - II - 3801 - CSSX An Khang (A.Dinh) - TAK09 (Nước nâu đen) - 500ml - 40</v>
      </c>
      <c r="E4602" s="87" t="str">
        <f>IFERROR(__xludf.DUMMYFUNCTION("""COMPUTED_VALUE"""),"Hữu cơ SH Agro Organic Fertilizer 20")</f>
        <v>Hữu cơ SH Agro Organic Fertilizer 20</v>
      </c>
      <c r="F4602" s="87" t="str">
        <f>IFERROR(__xludf.DUMMYFUNCTION("""COMPUTED_VALUE"""),"HH3801")</f>
        <v>HH3801</v>
      </c>
      <c r="G4602" s="87" t="str">
        <f>IFERROR(__xludf.DUMMYFUNCTION("""COMPUTED_VALUE"""),"GC - II - 3801 - CSSX An Khang (A.Dinh) - TAK09 (Nước nâu đen) - 500ml - 40")</f>
        <v>GC - II - 3801 - CSSX An Khang (A.Dinh) - TAK09 (Nước nâu đen) - 500ml - 40</v>
      </c>
    </row>
    <row r="4603">
      <c r="A4603" s="86">
        <f>IFERROR(__xludf.DUMMYFUNCTION("""COMPUTED_VALUE"""),4601.0)</f>
        <v>4601</v>
      </c>
      <c r="B4603" s="87" t="str">
        <f>IFERROR(__xludf.DUMMYFUNCTION("""COMPUTED_VALUE"""),"[Nhãn thùng]")</f>
        <v>[Nhãn thùng]</v>
      </c>
      <c r="C4603" s="87" t="str">
        <f>IFERROR(__xludf.DUMMYFUNCTION("""COMPUTED_VALUE"""),"NDT3804")</f>
        <v>NDT3804</v>
      </c>
      <c r="D4603" s="87" t="str">
        <f>IFERROR(__xludf.DUMMYFUNCTION("""COMPUTED_VALUE"""),"[Nhãn thùng] IDA Global - I - 3804 - ĐL PHÚC NÔNG - CREEK 2.1EC (Nước đỏ) - 450ml - 40")</f>
        <v>[Nhãn thùng] IDA Global - I - 3804 - ĐL PHÚC NÔNG - CREEK 2.1EC (Nước đỏ) - 450ml - 40</v>
      </c>
      <c r="E4603" s="87" t="str">
        <f>IFERROR(__xludf.DUMMYFUNCTION("""COMPUTED_VALUE"""),"Creek 2.1EC")</f>
        <v>Creek 2.1EC</v>
      </c>
      <c r="F4603" s="87" t="str">
        <f>IFERROR(__xludf.DUMMYFUNCTION("""COMPUTED_VALUE"""),"HH3804")</f>
        <v>HH3804</v>
      </c>
      <c r="G4603" s="87" t="str">
        <f>IFERROR(__xludf.DUMMYFUNCTION("""COMPUTED_VALUE"""),"IDA Global - I - 3804 - ĐL PHÚC NÔNG - CREEK 2.1EC (Nước đỏ) - 450ml - 40")</f>
        <v>IDA Global - I - 3804 - ĐL PHÚC NÔNG - CREEK 2.1EC (Nước đỏ) - 450ml - 40</v>
      </c>
    </row>
    <row r="4604">
      <c r="A4604" s="86">
        <f>IFERROR(__xludf.DUMMYFUNCTION("""COMPUTED_VALUE"""),4602.0)</f>
        <v>4602</v>
      </c>
      <c r="B4604" s="87" t="str">
        <f>IFERROR(__xludf.DUMMYFUNCTION("""COMPUTED_VALUE"""),"[Nhãn]")</f>
        <v>[Nhãn]</v>
      </c>
      <c r="C4604" s="87" t="str">
        <f>IFERROR(__xludf.DUMMYFUNCTION("""COMPUTED_VALUE"""),"NHD3804")</f>
        <v>NHD3804</v>
      </c>
      <c r="D4604" s="87" t="str">
        <f>IFERROR(__xludf.DUMMYFUNCTION("""COMPUTED_VALUE"""),"[Nhãn] IDA Global - I - 3804 - ĐL PHÚC NÔNG - CREEK 2.1EC (Nước đỏ) - 450ml - 40")</f>
        <v>[Nhãn] IDA Global - I - 3804 - ĐL PHÚC NÔNG - CREEK 2.1EC (Nước đỏ) - 450ml - 40</v>
      </c>
      <c r="E4604" s="87" t="str">
        <f>IFERROR(__xludf.DUMMYFUNCTION("""COMPUTED_VALUE"""),"Creek 2.1EC")</f>
        <v>Creek 2.1EC</v>
      </c>
      <c r="F4604" s="87" t="str">
        <f>IFERROR(__xludf.DUMMYFUNCTION("""COMPUTED_VALUE"""),"HH3804")</f>
        <v>HH3804</v>
      </c>
      <c r="G4604" s="87" t="str">
        <f>IFERROR(__xludf.DUMMYFUNCTION("""COMPUTED_VALUE"""),"IDA Global - I - 3804 - ĐL PHÚC NÔNG - CREEK 2.1EC (Nước đỏ) - 450ml - 40")</f>
        <v>IDA Global - I - 3804 - ĐL PHÚC NÔNG - CREEK 2.1EC (Nước đỏ) - 450ml - 40</v>
      </c>
    </row>
    <row r="4605">
      <c r="A4605" s="86">
        <f>IFERROR(__xludf.DUMMYFUNCTION("""COMPUTED_VALUE"""),4603.0)</f>
        <v>4603</v>
      </c>
      <c r="B4605" s="87" t="str">
        <f>IFERROR(__xludf.DUMMYFUNCTION("""COMPUTED_VALUE"""),"[Nhãn]")</f>
        <v>[Nhãn]</v>
      </c>
      <c r="C4605" s="87" t="str">
        <f>IFERROR(__xludf.DUMMYFUNCTION("""COMPUTED_VALUE"""),"NHG3806")</f>
        <v>NHG3806</v>
      </c>
      <c r="D4605" s="87" t="str">
        <f>IFERROR(__xludf.DUMMYFUNCTION("""COMPUTED_VALUE"""),"[Nhãn] LOT IDA Global - I - 3806 - ĐL Minh Nga - HAIHAMEC 3.6EC (nước nâu đen) - 450ml - 40")</f>
        <v>[Nhãn] LOT IDA Global - I - 3806 - ĐL Minh Nga - HAIHAMEC 3.6EC (nước nâu đen) - 450ml - 40</v>
      </c>
      <c r="E4605" s="87" t="str">
        <f>IFERROR(__xludf.DUMMYFUNCTION("""COMPUTED_VALUE"""),"HAIHAMEC 3.6EC")</f>
        <v>HAIHAMEC 3.6EC</v>
      </c>
      <c r="F4605" s="87" t="str">
        <f>IFERROR(__xludf.DUMMYFUNCTION("""COMPUTED_VALUE"""),"HH3806")</f>
        <v>HH3806</v>
      </c>
      <c r="G4605" s="87" t="str">
        <f>IFERROR(__xludf.DUMMYFUNCTION("""COMPUTED_VALUE"""),"LOT IDA Global - I - 3806 - ĐL Minh Nga - HAIHAMEC 3.6EC (nước nâu đen) - 450ml - 40")</f>
        <v>LOT IDA Global - I - 3806 - ĐL Minh Nga - HAIHAMEC 3.6EC (nước nâu đen) - 450ml - 40</v>
      </c>
    </row>
    <row r="4606">
      <c r="A4606" s="86">
        <f>IFERROR(__xludf.DUMMYFUNCTION("""COMPUTED_VALUE"""),4604.0)</f>
        <v>4604</v>
      </c>
      <c r="B4606" s="87" t="str">
        <f>IFERROR(__xludf.DUMMYFUNCTION("""COMPUTED_VALUE"""),"[Nhãn]")</f>
        <v>[Nhãn]</v>
      </c>
      <c r="C4606" s="87" t="str">
        <f>IFERROR(__xludf.DUMMYFUNCTION("""COMPUTED_VALUE"""),"NHD3807")</f>
        <v>NHD3807</v>
      </c>
      <c r="D4606" s="87" t="str">
        <f>IFERROR(__xludf.DUMMYFUNCTION("""COMPUTED_VALUE"""),"[Nhãn] LOT IDA Global - I - 3807 - ĐL Minh Nga - HAIHAMEC 3.6EC (nước nâu đen) - 450ml - 40")</f>
        <v>[Nhãn] LOT IDA Global - I - 3807 - ĐL Minh Nga - HAIHAMEC 3.6EC (nước nâu đen) - 450ml - 40</v>
      </c>
      <c r="E4606" s="87" t="str">
        <f>IFERROR(__xludf.DUMMYFUNCTION("""COMPUTED_VALUE"""),"HAIHAMEC 3.6EC")</f>
        <v>HAIHAMEC 3.6EC</v>
      </c>
      <c r="F4606" s="87" t="str">
        <f>IFERROR(__xludf.DUMMYFUNCTION("""COMPUTED_VALUE"""),"HH3807")</f>
        <v>HH3807</v>
      </c>
      <c r="G4606" s="87" t="str">
        <f>IFERROR(__xludf.DUMMYFUNCTION("""COMPUTED_VALUE"""),"LOT IDA Global - I - 3807 - ĐL Minh Nga - HAIHAMEC 3.6EC (nước nâu đen) - 450ml - 40")</f>
        <v>LOT IDA Global - I - 3807 - ĐL Minh Nga - HAIHAMEC 3.6EC (nước nâu đen) - 450ml - 40</v>
      </c>
    </row>
    <row r="4607">
      <c r="A4607" s="86">
        <f>IFERROR(__xludf.DUMMYFUNCTION("""COMPUTED_VALUE"""),4605.0)</f>
        <v>4605</v>
      </c>
      <c r="B4607" s="87" t="str">
        <f>IFERROR(__xludf.DUMMYFUNCTION("""COMPUTED_VALUE"""),"[Nhãn]")</f>
        <v>[Nhãn]</v>
      </c>
      <c r="C4607" s="87" t="str">
        <f>IFERROR(__xludf.DUMMYFUNCTION("""COMPUTED_VALUE"""),"NHG3808")</f>
        <v>NHG3808</v>
      </c>
      <c r="D4607" s="87" t="str">
        <f>IFERROR(__xludf.DUMMYFUNCTION("""COMPUTED_VALUE"""),"[Nhãn] LOT IDA Global - I - 3808 - ĐL Minh Nga - HAIHAMEC 3.6EC (nước nâu đen) - 450ml - 40")</f>
        <v>[Nhãn] LOT IDA Global - I - 3808 - ĐL Minh Nga - HAIHAMEC 3.6EC (nước nâu đen) - 450ml - 40</v>
      </c>
      <c r="E4607" s="87" t="str">
        <f>IFERROR(__xludf.DUMMYFUNCTION("""COMPUTED_VALUE"""),"HAIHAMEC 3.6EC")</f>
        <v>HAIHAMEC 3.6EC</v>
      </c>
      <c r="F4607" s="87" t="str">
        <f>IFERROR(__xludf.DUMMYFUNCTION("""COMPUTED_VALUE"""),"HH3808")</f>
        <v>HH3808</v>
      </c>
      <c r="G4607" s="87" t="str">
        <f>IFERROR(__xludf.DUMMYFUNCTION("""COMPUTED_VALUE"""),"LOT IDA Global - I - 3808 - ĐL Minh Nga - HAIHAMEC 3.6EC (nước nâu đen) - 450ml - 40")</f>
        <v>LOT IDA Global - I - 3808 - ĐL Minh Nga - HAIHAMEC 3.6EC (nước nâu đen) - 450ml - 40</v>
      </c>
    </row>
    <row r="4608">
      <c r="A4608" s="86">
        <f>IFERROR(__xludf.DUMMYFUNCTION("""COMPUTED_VALUE"""),4606.0)</f>
        <v>4606</v>
      </c>
      <c r="B4608" s="87" t="str">
        <f>IFERROR(__xludf.DUMMYFUNCTION("""COMPUTED_VALUE"""),"[Nhãn]")</f>
        <v>[Nhãn]</v>
      </c>
      <c r="C4608" s="87" t="str">
        <f>IFERROR(__xludf.DUMMYFUNCTION("""COMPUTED_VALUE"""),"NHG3809")</f>
        <v>NHG3809</v>
      </c>
      <c r="D4608" s="87" t="str">
        <f>IFERROR(__xludf.DUMMYFUNCTION("""COMPUTED_VALUE"""),"[Nhãn] LOT IDA Global - I - 3809 - HE - CHIM ƯNG (nước nâu đen) - 450ml - 40")</f>
        <v>[Nhãn] LOT IDA Global - I - 3809 - HE - CHIM ƯNG (nước nâu đen) - 450ml - 40</v>
      </c>
      <c r="E4608" s="87" t="str">
        <f>IFERROR(__xludf.DUMMYFUNCTION("""COMPUTED_VALUE"""),"HAIHAMEC 3.6EC")</f>
        <v>HAIHAMEC 3.6EC</v>
      </c>
      <c r="F4608" s="87" t="str">
        <f>IFERROR(__xludf.DUMMYFUNCTION("""COMPUTED_VALUE"""),"HH3809")</f>
        <v>HH3809</v>
      </c>
      <c r="G4608" s="87" t="str">
        <f>IFERROR(__xludf.DUMMYFUNCTION("""COMPUTED_VALUE"""),"LOT IDA Global - I - 3809 - HE - CHIM ƯNG (nước nâu đen) - 450ml - 40")</f>
        <v>LOT IDA Global - I - 3809 - HE - CHIM ƯNG (nước nâu đen) - 450ml - 40</v>
      </c>
    </row>
    <row r="4609">
      <c r="A4609" s="86">
        <f>IFERROR(__xludf.DUMMYFUNCTION("""COMPUTED_VALUE"""),4607.0)</f>
        <v>4607</v>
      </c>
      <c r="B4609" s="87" t="str">
        <f>IFERROR(__xludf.DUMMYFUNCTION("""COMPUTED_VALUE"""),"[Nhãn]")</f>
        <v>[Nhãn]</v>
      </c>
      <c r="C4609" s="87" t="str">
        <f>IFERROR(__xludf.DUMMYFUNCTION("""COMPUTED_VALUE"""),"NHD3810")</f>
        <v>NHD3810</v>
      </c>
      <c r="D4609" s="87" t="str">
        <f>IFERROR(__xludf.DUMMYFUNCTION("""COMPUTED_VALUE"""),"[Nhãn] GC - IV - 3810 - CTY DONA VINA - RAPTORE (Nước vàng trà) - 400ml - 40")</f>
        <v>[Nhãn] GC - IV - 3810 - CTY DONA VINA - RAPTORE (Nước vàng trà) - 400ml - 40</v>
      </c>
      <c r="E4609" s="87" t="str">
        <f>IFERROR(__xludf.DUMMYFUNCTION("""COMPUTED_VALUE"""),"Thipro 550EC")</f>
        <v>Thipro 550EC</v>
      </c>
      <c r="F4609" s="87" t="str">
        <f>IFERROR(__xludf.DUMMYFUNCTION("""COMPUTED_VALUE"""),"HH3810")</f>
        <v>HH3810</v>
      </c>
      <c r="G4609" s="87" t="str">
        <f>IFERROR(__xludf.DUMMYFUNCTION("""COMPUTED_VALUE"""),"GC - IV - 3810 - CTY DONA VINA - RAPTORE (Nước vàng trà) - 400ml - 40")</f>
        <v>GC - IV - 3810 - CTY DONA VINA - RAPTORE (Nước vàng trà) - 400ml - 40</v>
      </c>
    </row>
    <row r="4610">
      <c r="A4610" s="86">
        <f>IFERROR(__xludf.DUMMYFUNCTION("""COMPUTED_VALUE"""),4608.0)</f>
        <v>4608</v>
      </c>
      <c r="B4610" s="87" t="str">
        <f>IFERROR(__xludf.DUMMYFUNCTION("""COMPUTED_VALUE"""),"[Nhãn thùng]")</f>
        <v>[Nhãn thùng]</v>
      </c>
      <c r="C4610" s="87" t="str">
        <f>IFERROR(__xludf.DUMMYFUNCTION("""COMPUTED_VALUE"""),"NDT3810")</f>
        <v>NDT3810</v>
      </c>
      <c r="D4610" s="87" t="str">
        <f>IFERROR(__xludf.DUMMYFUNCTION("""COMPUTED_VALUE"""),"[Nhãn thùng] GC - IV - 3810 - CTY DONA VINA - RAPTORE (Nước vàng trà) - 400ml - 40")</f>
        <v>[Nhãn thùng] GC - IV - 3810 - CTY DONA VINA - RAPTORE (Nước vàng trà) - 400ml - 40</v>
      </c>
      <c r="E4610" s="87" t="str">
        <f>IFERROR(__xludf.DUMMYFUNCTION("""COMPUTED_VALUE"""),"Thipro 550EC")</f>
        <v>Thipro 550EC</v>
      </c>
      <c r="F4610" s="87" t="str">
        <f>IFERROR(__xludf.DUMMYFUNCTION("""COMPUTED_VALUE"""),"HH3810")</f>
        <v>HH3810</v>
      </c>
      <c r="G4610" s="87" t="str">
        <f>IFERROR(__xludf.DUMMYFUNCTION("""COMPUTED_VALUE"""),"GC - IV - 3810 - CTY DONA VINA - RAPTORE (Nước vàng trà) - 400ml - 40")</f>
        <v>GC - IV - 3810 - CTY DONA VINA - RAPTORE (Nước vàng trà) - 400ml - 40</v>
      </c>
    </row>
    <row r="4611">
      <c r="A4611" s="86">
        <f>IFERROR(__xludf.DUMMYFUNCTION("""COMPUTED_VALUE"""),4609.0)</f>
        <v>4609</v>
      </c>
      <c r="B4611" s="87" t="str">
        <f>IFERROR(__xludf.DUMMYFUNCTION("""COMPUTED_VALUE"""),"[Nhãn]")</f>
        <v>[Nhãn]</v>
      </c>
      <c r="C4611" s="87" t="str">
        <f>IFERROR(__xludf.DUMMYFUNCTION("""COMPUTED_VALUE"""),"NHD3811")</f>
        <v>NHD3811</v>
      </c>
      <c r="D4611" s="87" t="str">
        <f>IFERROR(__xludf.DUMMYFUNCTION("""COMPUTED_VALUE"""),"[Nhãn] GC - IV - 3811 - CTY TÂN LỘC PHÁT - LỚN TRÁI SẦU RIÊNG TLP03 (Nước nâu vàng) - 10kg - 1")</f>
        <v>[Nhãn] GC - IV - 3811 - CTY TÂN LỘC PHÁT - LỚN TRÁI SẦU RIÊNG TLP03 (Nước nâu vàng) - 10kg - 1</v>
      </c>
      <c r="E4611" s="87" t="str">
        <f>IFERROR(__xludf.DUMMYFUNCTION("""COMPUTED_VALUE"""),"NPK-Vi lượng MASSIVE-BLUE")</f>
        <v>NPK-Vi lượng MASSIVE-BLUE</v>
      </c>
      <c r="F4611" s="87" t="str">
        <f>IFERROR(__xludf.DUMMYFUNCTION("""COMPUTED_VALUE"""),"HH3811")</f>
        <v>HH3811</v>
      </c>
      <c r="G4611" s="87" t="str">
        <f>IFERROR(__xludf.DUMMYFUNCTION("""COMPUTED_VALUE"""),"GC - IV - 3811 - CTY TÂN LỘC PHÁT - LỚN TRÁI SẦU RIÊNG TLP03 (Nước nâu vàng) - 10kg - 1")</f>
        <v>GC - IV - 3811 - CTY TÂN LỘC PHÁT - LỚN TRÁI SẦU RIÊNG TLP03 (Nước nâu vàng) - 10kg - 1</v>
      </c>
    </row>
    <row r="4612">
      <c r="A4612" s="86">
        <f>IFERROR(__xludf.DUMMYFUNCTION("""COMPUTED_VALUE"""),4610.0)</f>
        <v>4610</v>
      </c>
      <c r="B4612" s="87" t="str">
        <f>IFERROR(__xludf.DUMMYFUNCTION("""COMPUTED_VALUE"""),"[Nhãn Phụ]")</f>
        <v>[Nhãn Phụ]</v>
      </c>
      <c r="C4612" s="87" t="str">
        <f>IFERROR(__xludf.DUMMYFUNCTION("""COMPUTED_VALUE"""),"NHP3811")</f>
        <v>NHP3811</v>
      </c>
      <c r="D4612" s="87" t="str">
        <f>IFERROR(__xludf.DUMMYFUNCTION("""COMPUTED_VALUE"""),"[Nhãn Phụ] GC - IV - 3811 - CTY TÂN LỘC PHÁT - LỚN TRÁI SẦU RIÊNG TLP03 (Nước nâu vàng) - 10kg - 1")</f>
        <v>[Nhãn Phụ] GC - IV - 3811 - CTY TÂN LỘC PHÁT - LỚN TRÁI SẦU RIÊNG TLP03 (Nước nâu vàng) - 10kg - 1</v>
      </c>
      <c r="E4612" s="87" t="str">
        <f>IFERROR(__xludf.DUMMYFUNCTION("""COMPUTED_VALUE"""),"NPK-Vi lượng MASSIVE-BLUE")</f>
        <v>NPK-Vi lượng MASSIVE-BLUE</v>
      </c>
      <c r="F4612" s="87" t="str">
        <f>IFERROR(__xludf.DUMMYFUNCTION("""COMPUTED_VALUE"""),"HH3811")</f>
        <v>HH3811</v>
      </c>
      <c r="G4612" s="87" t="str">
        <f>IFERROR(__xludf.DUMMYFUNCTION("""COMPUTED_VALUE"""),"GC - IV - 3811 - CTY TÂN LỘC PHÁT - LỚN TRÁI SẦU RIÊNG TLP03 (Nước nâu vàng) - 10kg - 1")</f>
        <v>GC - IV - 3811 - CTY TÂN LỘC PHÁT - LỚN TRÁI SẦU RIÊNG TLP03 (Nước nâu vàng) - 10kg - 1</v>
      </c>
    </row>
    <row r="4613">
      <c r="A4613" s="86">
        <f>IFERROR(__xludf.DUMMYFUNCTION("""COMPUTED_VALUE"""),4611.0)</f>
        <v>4611</v>
      </c>
      <c r="B4613" s="87" t="str">
        <f>IFERROR(__xludf.DUMMYFUNCTION("""COMPUTED_VALUE"""),"[Nhãn]")</f>
        <v>[Nhãn]</v>
      </c>
      <c r="C4613" s="87" t="str">
        <f>IFERROR(__xludf.DUMMYFUNCTION("""COMPUTED_VALUE"""),"NTN3813")</f>
        <v>NTN3813</v>
      </c>
      <c r="D4613" s="87" t="str">
        <f>IFERROR(__xludf.DUMMYFUNCTION("""COMPUTED_VALUE"""),"[Nhãn] GC - IV - 3813 - Cty Newtex - MANCO-NT (Bột xanh) - 1kg - 20")</f>
        <v>[Nhãn] GC - IV - 3813 - Cty Newtex - MANCO-NT (Bột xanh) - 1kg - 20</v>
      </c>
      <c r="E4613" s="87" t="str">
        <f>IFERROR(__xludf.DUMMYFUNCTION("""COMPUTED_VALUE"""),"MANCOBGO 80WP")</f>
        <v>MANCOBGO 80WP</v>
      </c>
      <c r="F4613" s="87" t="str">
        <f>IFERROR(__xludf.DUMMYFUNCTION("""COMPUTED_VALUE"""),"HH3813")</f>
        <v>HH3813</v>
      </c>
      <c r="G4613" s="87" t="str">
        <f>IFERROR(__xludf.DUMMYFUNCTION("""COMPUTED_VALUE"""),"GC - IV - 3813 - Cty Newtex - MANCO-NT (Bột xanh) - 1kg - 20")</f>
        <v>GC - IV - 3813 - Cty Newtex - MANCO-NT (Bột xanh) - 1kg - 20</v>
      </c>
    </row>
    <row r="4614">
      <c r="A4614" s="86">
        <f>IFERROR(__xludf.DUMMYFUNCTION("""COMPUTED_VALUE"""),4612.0)</f>
        <v>4612</v>
      </c>
      <c r="B4614" s="87" t="str">
        <f>IFERROR(__xludf.DUMMYFUNCTION("""COMPUTED_VALUE"""),"[Nhãn]")</f>
        <v>[Nhãn]</v>
      </c>
      <c r="C4614" s="87" t="str">
        <f>IFERROR(__xludf.DUMMYFUNCTION("""COMPUTED_VALUE"""),"NHD3814")</f>
        <v>NHD3814</v>
      </c>
      <c r="D4614" s="87" t="str">
        <f>IFERROR(__xludf.DUMMYFUNCTION("""COMPUTED_VALUE"""),"[Nhãn] GC - IV - 3814 - AGRITECH - CALBO TECH (Nước trắng sữa) - 500ml - 40")</f>
        <v>[Nhãn] GC - IV - 3814 - AGRITECH - CALBO TECH (Nước trắng sữa) - 500ml - 40</v>
      </c>
      <c r="E4614" s="87" t="str">
        <f>IFERROR(__xludf.DUMMYFUNCTION("""COMPUTED_VALUE"""),"Vi lượng AGAMA-CANXI BO")</f>
        <v>Vi lượng AGAMA-CANXI BO</v>
      </c>
      <c r="F4614" s="87" t="str">
        <f>IFERROR(__xludf.DUMMYFUNCTION("""COMPUTED_VALUE"""),"HH3814")</f>
        <v>HH3814</v>
      </c>
      <c r="G4614" s="87" t="str">
        <f>IFERROR(__xludf.DUMMYFUNCTION("""COMPUTED_VALUE"""),"GC - IV - 3814 - AGRITECH - CALBO TECH (Nước trắng sữa) - 500ml - 40")</f>
        <v>GC - IV - 3814 - AGRITECH - CALBO TECH (Nước trắng sữa) - 500ml - 40</v>
      </c>
    </row>
    <row r="4615">
      <c r="A4615" s="86">
        <f>IFERROR(__xludf.DUMMYFUNCTION("""COMPUTED_VALUE"""),4613.0)</f>
        <v>4613</v>
      </c>
      <c r="B4615" s="87" t="str">
        <f>IFERROR(__xludf.DUMMYFUNCTION("""COMPUTED_VALUE"""),"[Nhãn thùng]")</f>
        <v>[Nhãn thùng]</v>
      </c>
      <c r="C4615" s="87" t="str">
        <f>IFERROR(__xludf.DUMMYFUNCTION("""COMPUTED_VALUE"""),"NDT3814")</f>
        <v>NDT3814</v>
      </c>
      <c r="D4615" s="87" t="str">
        <f>IFERROR(__xludf.DUMMYFUNCTION("""COMPUTED_VALUE"""),"[Nhãn thùng] GC - IV - 3814 - AGRITECH - CALBO TECH (Nước trắng sữa) - 500ml - 40")</f>
        <v>[Nhãn thùng] GC - IV - 3814 - AGRITECH - CALBO TECH (Nước trắng sữa) - 500ml - 40</v>
      </c>
      <c r="E4615" s="87" t="str">
        <f>IFERROR(__xludf.DUMMYFUNCTION("""COMPUTED_VALUE"""),"Vi lượng AGAMA-CANXI BO")</f>
        <v>Vi lượng AGAMA-CANXI BO</v>
      </c>
      <c r="F4615" s="87" t="str">
        <f>IFERROR(__xludf.DUMMYFUNCTION("""COMPUTED_VALUE"""),"HH3814")</f>
        <v>HH3814</v>
      </c>
      <c r="G4615" s="87" t="str">
        <f>IFERROR(__xludf.DUMMYFUNCTION("""COMPUTED_VALUE"""),"GC - IV - 3814 - AGRITECH - CALBO TECH (Nước trắng sữa) - 500ml - 40")</f>
        <v>GC - IV - 3814 - AGRITECH - CALBO TECH (Nước trắng sữa) - 500ml - 40</v>
      </c>
    </row>
    <row r="4616">
      <c r="A4616" s="86">
        <f>IFERROR(__xludf.DUMMYFUNCTION("""COMPUTED_VALUE"""),4614.0)</f>
        <v>4614</v>
      </c>
      <c r="B4616" s="87" t="str">
        <f>IFERROR(__xludf.DUMMYFUNCTION("""COMPUTED_VALUE"""),"[Nhãn thùng]")</f>
        <v>[Nhãn thùng]</v>
      </c>
      <c r="C4616" s="87" t="str">
        <f>IFERROR(__xludf.DUMMYFUNCTION("""COMPUTED_VALUE"""),"NDT3815")</f>
        <v>NDT3815</v>
      </c>
      <c r="D4616" s="87" t="str">
        <f>IFERROR(__xludf.DUMMYFUNCTION("""COMPUTED_VALUE"""),"[Nhãn thùng] GC - IV - 3815 - AGRITECH - AMINTECH (Nước nâu đen) - 500ml - 40")</f>
        <v>[Nhãn thùng] GC - IV - 3815 - AGRITECH - AMINTECH (Nước nâu đen) - 500ml - 40</v>
      </c>
      <c r="E4616" s="87" t="str">
        <f>IFERROR(__xludf.DUMMYFUNCTION("""COMPUTED_VALUE"""),"Hữu cơ Organic BM Gold  FW")</f>
        <v>Hữu cơ Organic BM Gold  FW</v>
      </c>
      <c r="F4616" s="87" t="str">
        <f>IFERROR(__xludf.DUMMYFUNCTION("""COMPUTED_VALUE"""),"HH3815")</f>
        <v>HH3815</v>
      </c>
      <c r="G4616" s="87" t="str">
        <f>IFERROR(__xludf.DUMMYFUNCTION("""COMPUTED_VALUE"""),"GC - IV - 3815 - AGRITECH - AMINTECH (Nước nâu đen) - 500ml - 40")</f>
        <v>GC - IV - 3815 - AGRITECH - AMINTECH (Nước nâu đen) - 500ml - 40</v>
      </c>
    </row>
    <row r="4617">
      <c r="A4617" s="86">
        <f>IFERROR(__xludf.DUMMYFUNCTION("""COMPUTED_VALUE"""),4615.0)</f>
        <v>4615</v>
      </c>
      <c r="B4617" s="87" t="str">
        <f>IFERROR(__xludf.DUMMYFUNCTION("""COMPUTED_VALUE"""),"[Nhãn]")</f>
        <v>[Nhãn]</v>
      </c>
      <c r="C4617" s="87" t="str">
        <f>IFERROR(__xludf.DUMMYFUNCTION("""COMPUTED_VALUE"""),"NHD3815")</f>
        <v>NHD3815</v>
      </c>
      <c r="D4617" s="87" t="str">
        <f>IFERROR(__xludf.DUMMYFUNCTION("""COMPUTED_VALUE"""),"[Nhãn] GC - IV - 3815 - AGRITECH - AMINTECH (Nước nâu đen) - 500ml - 40")</f>
        <v>[Nhãn] GC - IV - 3815 - AGRITECH - AMINTECH (Nước nâu đen) - 500ml - 40</v>
      </c>
      <c r="E4617" s="87" t="str">
        <f>IFERROR(__xludf.DUMMYFUNCTION("""COMPUTED_VALUE"""),"Hữu cơ Organic BM Gold  FW")</f>
        <v>Hữu cơ Organic BM Gold  FW</v>
      </c>
      <c r="F4617" s="87" t="str">
        <f>IFERROR(__xludf.DUMMYFUNCTION("""COMPUTED_VALUE"""),"HH3815")</f>
        <v>HH3815</v>
      </c>
      <c r="G4617" s="87" t="str">
        <f>IFERROR(__xludf.DUMMYFUNCTION("""COMPUTED_VALUE"""),"GC - IV - 3815 - AGRITECH - AMINTECH (Nước nâu đen) - 500ml - 40")</f>
        <v>GC - IV - 3815 - AGRITECH - AMINTECH (Nước nâu đen) - 500ml - 40</v>
      </c>
    </row>
    <row r="4618">
      <c r="A4618" s="86">
        <f>IFERROR(__xludf.DUMMYFUNCTION("""COMPUTED_VALUE"""),4616.0)</f>
        <v>4616</v>
      </c>
      <c r="B4618" s="87" t="str">
        <f>IFERROR(__xludf.DUMMYFUNCTION("""COMPUTED_VALUE"""),"[Nhãn thùng]")</f>
        <v>[Nhãn thùng]</v>
      </c>
      <c r="C4618" s="87" t="str">
        <f>IFERROR(__xludf.DUMMYFUNCTION("""COMPUTED_VALUE"""),"NDT3816")</f>
        <v>NDT3816</v>
      </c>
      <c r="D4618" s="87" t="str">
        <f>IFERROR(__xludf.DUMMYFUNCTION("""COMPUTED_VALUE"""),"[Nhãn thùng] IDA GLOBAL - I - 3816 - CREEK 51WG (Dạng cốm màu vàng nhạt) - 150gr - 100")</f>
        <v>[Nhãn thùng] IDA GLOBAL - I - 3816 - CREEK 51WG (Dạng cốm màu vàng nhạt) - 150gr - 100</v>
      </c>
      <c r="E4618" s="87" t="str">
        <f>IFERROR(__xludf.DUMMYFUNCTION("""COMPUTED_VALUE"""),"Creek 51WG")</f>
        <v>Creek 51WG</v>
      </c>
      <c r="F4618" s="87" t="str">
        <f>IFERROR(__xludf.DUMMYFUNCTION("""COMPUTED_VALUE"""),"HH3816")</f>
        <v>HH3816</v>
      </c>
      <c r="G4618" s="87" t="str">
        <f>IFERROR(__xludf.DUMMYFUNCTION("""COMPUTED_VALUE"""),"IDA GLOBAL - I - 3816 - CREEK 51WG (Dạng cốm màu vàng nhạt) - 150gr - 100")</f>
        <v>IDA GLOBAL - I - 3816 - CREEK 51WG (Dạng cốm màu vàng nhạt) - 150gr - 100</v>
      </c>
    </row>
    <row r="4619">
      <c r="A4619" s="86">
        <f>IFERROR(__xludf.DUMMYFUNCTION("""COMPUTED_VALUE"""),4617.0)</f>
        <v>4617</v>
      </c>
      <c r="B4619" s="87" t="str">
        <f>IFERROR(__xludf.DUMMYFUNCTION("""COMPUTED_VALUE"""),"[Nhãn]")</f>
        <v>[Nhãn]</v>
      </c>
      <c r="C4619" s="87" t="str">
        <f>IFERROR(__xludf.DUMMYFUNCTION("""COMPUTED_VALUE"""),"NTN3816")</f>
        <v>NTN3816</v>
      </c>
      <c r="D4619" s="87" t="str">
        <f>IFERROR(__xludf.DUMMYFUNCTION("""COMPUTED_VALUE"""),"[Nhãn] IDA GLOBAL - I - 3816 - CREEK 51WG (Dạng cốm màu vàng nhạt) - 150gr - 100")</f>
        <v>[Nhãn] IDA GLOBAL - I - 3816 - CREEK 51WG (Dạng cốm màu vàng nhạt) - 150gr - 100</v>
      </c>
      <c r="E4619" s="87" t="str">
        <f>IFERROR(__xludf.DUMMYFUNCTION("""COMPUTED_VALUE"""),"Creek 51WG")</f>
        <v>Creek 51WG</v>
      </c>
      <c r="F4619" s="87" t="str">
        <f>IFERROR(__xludf.DUMMYFUNCTION("""COMPUTED_VALUE"""),"HH3816")</f>
        <v>HH3816</v>
      </c>
      <c r="G4619" s="87" t="str">
        <f>IFERROR(__xludf.DUMMYFUNCTION("""COMPUTED_VALUE"""),"IDA GLOBAL - I - 3816 - CREEK 51WG (Dạng cốm màu vàng nhạt) - 150gr - 100")</f>
        <v>IDA GLOBAL - I - 3816 - CREEK 51WG (Dạng cốm màu vàng nhạt) - 150gr - 100</v>
      </c>
    </row>
    <row r="4620">
      <c r="A4620" s="86">
        <f>IFERROR(__xludf.DUMMYFUNCTION("""COMPUTED_VALUE"""),4618.0)</f>
        <v>4618</v>
      </c>
      <c r="B4620" s="87" t="str">
        <f>IFERROR(__xludf.DUMMYFUNCTION("""COMPUTED_VALUE"""),"[Nhãn thùng]")</f>
        <v>[Nhãn thùng]</v>
      </c>
      <c r="C4620" s="87" t="str">
        <f>IFERROR(__xludf.DUMMYFUNCTION("""COMPUTED_VALUE"""),"NDT3817")</f>
        <v>NDT3817</v>
      </c>
      <c r="D4620" s="87" t="str">
        <f>IFERROR(__xludf.DUMMYFUNCTION("""COMPUTED_VALUE"""),"[Nhãn thùng] IDA GLOBAL - I - 3817 - CREEK 51WG (Dạng cốm màu vàng nhạt) - 30gr - 300")</f>
        <v>[Nhãn thùng] IDA GLOBAL - I - 3817 - CREEK 51WG (Dạng cốm màu vàng nhạt) - 30gr - 300</v>
      </c>
      <c r="E4620" s="87" t="str">
        <f>IFERROR(__xludf.DUMMYFUNCTION("""COMPUTED_VALUE"""),"Creek 51WG")</f>
        <v>Creek 51WG</v>
      </c>
      <c r="F4620" s="87" t="str">
        <f>IFERROR(__xludf.DUMMYFUNCTION("""COMPUTED_VALUE"""),"HH3817")</f>
        <v>HH3817</v>
      </c>
      <c r="G4620" s="87" t="str">
        <f>IFERROR(__xludf.DUMMYFUNCTION("""COMPUTED_VALUE"""),"IDA GLOBAL - I - 3817 - CREEK 51WG (Dạng cốm màu vàng nhạt) - 30gr - 300")</f>
        <v>IDA GLOBAL - I - 3817 - CREEK 51WG (Dạng cốm màu vàng nhạt) - 30gr - 300</v>
      </c>
    </row>
    <row r="4621">
      <c r="A4621" s="86">
        <f>IFERROR(__xludf.DUMMYFUNCTION("""COMPUTED_VALUE"""),4619.0)</f>
        <v>4619</v>
      </c>
      <c r="B4621" s="87" t="str">
        <f>IFERROR(__xludf.DUMMYFUNCTION("""COMPUTED_VALUE"""),"[Nhãn]")</f>
        <v>[Nhãn]</v>
      </c>
      <c r="C4621" s="87" t="str">
        <f>IFERROR(__xludf.DUMMYFUNCTION("""COMPUTED_VALUE"""),"NTN3817")</f>
        <v>NTN3817</v>
      </c>
      <c r="D4621" s="87" t="str">
        <f>IFERROR(__xludf.DUMMYFUNCTION("""COMPUTED_VALUE"""),"[Nhãn] IDA GLOBAL - I - 3817 - CREEK 51WG (Dạng cốm màu vàng nhạt) - 30gr - 300")</f>
        <v>[Nhãn] IDA GLOBAL - I - 3817 - CREEK 51WG (Dạng cốm màu vàng nhạt) - 30gr - 300</v>
      </c>
      <c r="E4621" s="87" t="str">
        <f>IFERROR(__xludf.DUMMYFUNCTION("""COMPUTED_VALUE"""),"Creek 51WG")</f>
        <v>Creek 51WG</v>
      </c>
      <c r="F4621" s="87" t="str">
        <f>IFERROR(__xludf.DUMMYFUNCTION("""COMPUTED_VALUE"""),"HH3817")</f>
        <v>HH3817</v>
      </c>
      <c r="G4621" s="87" t="str">
        <f>IFERROR(__xludf.DUMMYFUNCTION("""COMPUTED_VALUE"""),"IDA GLOBAL - I - 3817 - CREEK 51WG (Dạng cốm màu vàng nhạt) - 30gr - 300")</f>
        <v>IDA GLOBAL - I - 3817 - CREEK 51WG (Dạng cốm màu vàng nhạt) - 30gr - 300</v>
      </c>
    </row>
    <row r="4622">
      <c r="A4622" s="86">
        <f>IFERROR(__xludf.DUMMYFUNCTION("""COMPUTED_VALUE"""),4620.0)</f>
        <v>4620</v>
      </c>
      <c r="B4622" s="87" t="str">
        <f>IFERROR(__xludf.DUMMYFUNCTION("""COMPUTED_VALUE"""),"[Nhãn thùng]")</f>
        <v>[Nhãn thùng]</v>
      </c>
      <c r="C4622" s="87" t="str">
        <f>IFERROR(__xludf.DUMMYFUNCTION("""COMPUTED_VALUE"""),"NDT3818")</f>
        <v>NDT3818</v>
      </c>
      <c r="D4622" s="87" t="str">
        <f>IFERROR(__xludf.DUMMYFUNCTION("""COMPUTED_VALUE"""),"[Nhãn thùng] GC - IV - 3818 - Cty Hóa Nông Shino - NEW FUZE 200SC (Nước hồng) - 25ml - 400")</f>
        <v>[Nhãn thùng] GC - IV - 3818 - Cty Hóa Nông Shino - NEW FUZE 200SC (Nước hồng) - 25ml - 400</v>
      </c>
      <c r="E4622" s="87" t="str">
        <f>IFERROR(__xludf.DUMMYFUNCTION("""COMPUTED_VALUE"""),"NEW FUZE 200SC")</f>
        <v>NEW FUZE 200SC</v>
      </c>
      <c r="F4622" s="87" t="str">
        <f>IFERROR(__xludf.DUMMYFUNCTION("""COMPUTED_VALUE"""),"HH3818")</f>
        <v>HH3818</v>
      </c>
      <c r="G4622" s="87" t="str">
        <f>IFERROR(__xludf.DUMMYFUNCTION("""COMPUTED_VALUE"""),"GC - IV - 3818 - Cty Hóa Nông Shino - NEW FUZE 200SC (Nước hồng) - 25ml - 400")</f>
        <v>GC - IV - 3818 - Cty Hóa Nông Shino - NEW FUZE 200SC (Nước hồng) - 25ml - 400</v>
      </c>
    </row>
    <row r="4623">
      <c r="A4623" s="86">
        <f>IFERROR(__xludf.DUMMYFUNCTION("""COMPUTED_VALUE"""),4621.0)</f>
        <v>4621</v>
      </c>
      <c r="B4623" s="87" t="str">
        <f>IFERROR(__xludf.DUMMYFUNCTION("""COMPUTED_VALUE"""),"[Nhãn]")</f>
        <v>[Nhãn]</v>
      </c>
      <c r="C4623" s="87" t="str">
        <f>IFERROR(__xludf.DUMMYFUNCTION("""COMPUTED_VALUE"""),"NTN3818")</f>
        <v>NTN3818</v>
      </c>
      <c r="D4623" s="87" t="str">
        <f>IFERROR(__xludf.DUMMYFUNCTION("""COMPUTED_VALUE"""),"[Nhãn] GC - IV - 3818 - Cty Hóa Nông Shino - NEW FUZE 200SC (Nước hồng) - 25ml - 400")</f>
        <v>[Nhãn] GC - IV - 3818 - Cty Hóa Nông Shino - NEW FUZE 200SC (Nước hồng) - 25ml - 400</v>
      </c>
      <c r="E4623" s="87" t="str">
        <f>IFERROR(__xludf.DUMMYFUNCTION("""COMPUTED_VALUE"""),"NEW FUZE 200SC")</f>
        <v>NEW FUZE 200SC</v>
      </c>
      <c r="F4623" s="87" t="str">
        <f>IFERROR(__xludf.DUMMYFUNCTION("""COMPUTED_VALUE"""),"HH3818")</f>
        <v>HH3818</v>
      </c>
      <c r="G4623" s="87" t="str">
        <f>IFERROR(__xludf.DUMMYFUNCTION("""COMPUTED_VALUE"""),"GC - IV - 3818 - Cty Hóa Nông Shino - NEW FUZE 200SC (Nước hồng) - 25ml - 400")</f>
        <v>GC - IV - 3818 - Cty Hóa Nông Shino - NEW FUZE 200SC (Nước hồng) - 25ml - 400</v>
      </c>
    </row>
    <row r="4624">
      <c r="A4624" s="86">
        <f>IFERROR(__xludf.DUMMYFUNCTION("""COMPUTED_VALUE"""),4622.0)</f>
        <v>4622</v>
      </c>
      <c r="B4624" s="87" t="str">
        <f>IFERROR(__xludf.DUMMYFUNCTION("""COMPUTED_VALUE"""),"[Nhãn]")</f>
        <v>[Nhãn]</v>
      </c>
      <c r="C4624" s="87" t="str">
        <f>IFERROR(__xludf.DUMMYFUNCTION("""COMPUTED_VALUE"""),"NHG3819")</f>
        <v>NHG3819</v>
      </c>
      <c r="D4624" s="87" t="str">
        <f>IFERROR(__xludf.DUMMYFUNCTION("""COMPUTED_VALUE"""),"[Nhãn] DR.XANH - VIII - 3819 - FUNGI GO (Nước vàng chanh) - 240ml - 40")</f>
        <v>[Nhãn] DR.XANH - VIII - 3819 - FUNGI GO (Nước vàng chanh) - 240ml - 40</v>
      </c>
      <c r="E4624" s="87" t="str">
        <f>IFERROR(__xludf.DUMMYFUNCTION("""COMPUTED_VALUE"""),"MI STOP 350SC")</f>
        <v>MI STOP 350SC</v>
      </c>
      <c r="F4624" s="87" t="str">
        <f>IFERROR(__xludf.DUMMYFUNCTION("""COMPUTED_VALUE"""),"HH3819")</f>
        <v>HH3819</v>
      </c>
      <c r="G4624" s="87" t="str">
        <f>IFERROR(__xludf.DUMMYFUNCTION("""COMPUTED_VALUE"""),"DR.XANH - VIII - 3819 - FUNGI GO (Nước vàng chanh) - 240ml - 40")</f>
        <v>DR.XANH - VIII - 3819 - FUNGI GO (Nước vàng chanh) - 240ml - 40</v>
      </c>
    </row>
    <row r="4625">
      <c r="A4625" s="86">
        <f>IFERROR(__xludf.DUMMYFUNCTION("""COMPUTED_VALUE"""),4623.0)</f>
        <v>4623</v>
      </c>
      <c r="B4625" s="87" t="str">
        <f>IFERROR(__xludf.DUMMYFUNCTION("""COMPUTED_VALUE"""),"[Nhãn]")</f>
        <v>[Nhãn]</v>
      </c>
      <c r="C4625" s="87" t="str">
        <f>IFERROR(__xludf.DUMMYFUNCTION("""COMPUTED_VALUE"""),"NHG3820")</f>
        <v>NHG3820</v>
      </c>
      <c r="D4625" s="87" t="str">
        <f>IFERROR(__xludf.DUMMYFUNCTION("""COMPUTED_VALUE"""),"[Nhãn] IDA Global - I - 3820 - IDA VIL (Vàng) (nước vàng) - 1L - 20")</f>
        <v>[Nhãn] IDA Global - I - 3820 - IDA VIL (Vàng) (nước vàng) - 1L - 20</v>
      </c>
      <c r="E4625" s="87" t="str">
        <f>IFERROR(__xludf.DUMMYFUNCTION("""COMPUTED_VALUE"""),"Mekongvil 5SC")</f>
        <v>Mekongvil 5SC</v>
      </c>
      <c r="F4625" s="87" t="str">
        <f>IFERROR(__xludf.DUMMYFUNCTION("""COMPUTED_VALUE"""),"HH3820")</f>
        <v>HH3820</v>
      </c>
      <c r="G4625" s="87" t="str">
        <f>IFERROR(__xludf.DUMMYFUNCTION("""COMPUTED_VALUE"""),"IDA Global - I - 3820 - IDA VIL (Vàng) (nước vàng) - 1L - 20")</f>
        <v>IDA Global - I - 3820 - IDA VIL (Vàng) (nước vàng) - 1L - 20</v>
      </c>
    </row>
    <row r="4626">
      <c r="A4626" s="86">
        <f>IFERROR(__xludf.DUMMYFUNCTION("""COMPUTED_VALUE"""),4624.0)</f>
        <v>4624</v>
      </c>
      <c r="B4626" s="87" t="str">
        <f>IFERROR(__xludf.DUMMYFUNCTION("""COMPUTED_VALUE"""),"[Nhãn]")</f>
        <v>[Nhãn]</v>
      </c>
      <c r="C4626" s="87" t="str">
        <f>IFERROR(__xludf.DUMMYFUNCTION("""COMPUTED_VALUE"""),"NHG3821")</f>
        <v>NHG3821</v>
      </c>
      <c r="D4626" s="87" t="str">
        <f>IFERROR(__xludf.DUMMYFUNCTION("""COMPUTED_VALUE"""),"[Nhãn] DR.XANH - VIII - 3821 - ROBUST EXTRA (Gel nâu đen) - 250ml - 40")</f>
        <v>[Nhãn] DR.XANH - VIII - 3821 - ROBUST EXTRA (Gel nâu đen) - 250ml - 40</v>
      </c>
      <c r="E4626" s="87" t="str">
        <f>IFERROR(__xludf.DUMMYFUNCTION("""COMPUTED_VALUE"""),"Vi lượng Quantity New")</f>
        <v>Vi lượng Quantity New</v>
      </c>
      <c r="F4626" s="87" t="str">
        <f>IFERROR(__xludf.DUMMYFUNCTION("""COMPUTED_VALUE"""),"HH3821")</f>
        <v>HH3821</v>
      </c>
      <c r="G4626" s="87" t="str">
        <f>IFERROR(__xludf.DUMMYFUNCTION("""COMPUTED_VALUE"""),"DR.XANH - VIII - 3821 - ROBUST EXTRA (Gel nâu đen) - 250ml - 40")</f>
        <v>DR.XANH - VIII - 3821 - ROBUST EXTRA (Gel nâu đen) - 250ml - 40</v>
      </c>
    </row>
    <row r="4627">
      <c r="A4627" s="86">
        <f>IFERROR(__xludf.DUMMYFUNCTION("""COMPUTED_VALUE"""),4625.0)</f>
        <v>4625</v>
      </c>
      <c r="B4627" s="87" t="str">
        <f>IFERROR(__xludf.DUMMYFUNCTION("""COMPUTED_VALUE"""),"[Nhãn]")</f>
        <v>[Nhãn]</v>
      </c>
      <c r="C4627" s="87" t="str">
        <f>IFERROR(__xludf.DUMMYFUNCTION("""COMPUTED_VALUE"""),"NHG3822")</f>
        <v>NHG3822</v>
      </c>
      <c r="D4627" s="87" t="str">
        <f>IFERROR(__xludf.DUMMYFUNCTION("""COMPUTED_VALUE"""),"[Nhãn] GC - IV - 3822 - CTY ACE VN - AMILAN 300SC (Nước cam sữa) - 100ml - 100")</f>
        <v>[Nhãn] GC - IV - 3822 - CTY ACE VN - AMILAN 300SC (Nước cam sữa) - 100ml - 100</v>
      </c>
      <c r="E4627" s="87" t="str">
        <f>IFERROR(__xludf.DUMMYFUNCTION("""COMPUTED_VALUE"""),"AMILAN 300SC")</f>
        <v>AMILAN 300SC</v>
      </c>
      <c r="F4627" s="87" t="str">
        <f>IFERROR(__xludf.DUMMYFUNCTION("""COMPUTED_VALUE"""),"HH3822")</f>
        <v>HH3822</v>
      </c>
      <c r="G4627" s="87" t="str">
        <f>IFERROR(__xludf.DUMMYFUNCTION("""COMPUTED_VALUE"""),"GC - IV - 3822 - CTY ACE VN - AMILAN 300SC (Nước cam sữa) - 100ml - 100")</f>
        <v>GC - IV - 3822 - CTY ACE VN - AMILAN 300SC (Nước cam sữa) - 100ml - 100</v>
      </c>
    </row>
    <row r="4628">
      <c r="A4628" s="86">
        <f>IFERROR(__xludf.DUMMYFUNCTION("""COMPUTED_VALUE"""),4626.0)</f>
        <v>4626</v>
      </c>
      <c r="B4628" s="87" t="str">
        <f>IFERROR(__xludf.DUMMYFUNCTION("""COMPUTED_VALUE"""),"[Nhãn]")</f>
        <v>[Nhãn]</v>
      </c>
      <c r="C4628" s="87" t="str">
        <f>IFERROR(__xludf.DUMMYFUNCTION("""COMPUTED_VALUE"""),"NTN3823")</f>
        <v>NTN3823</v>
      </c>
      <c r="D4628" s="87" t="str">
        <f>IFERROR(__xludf.DUMMYFUNCTION("""COMPUTED_VALUE"""),"[Nhãn] GC - IV - 3823 - AGRIPLANT - SIÊU RA HOA SẦU RIÊNG (Bột trắng xanh) - 250gr - 100")</f>
        <v>[Nhãn] GC - IV - 3823 - AGRIPLANT - SIÊU RA HOA SẦU RIÊNG (Bột trắng xanh) - 250gr - 100</v>
      </c>
      <c r="E4628" s="87" t="str">
        <f>IFERROR(__xludf.DUMMYFUNCTION("""COMPUTED_VALUE"""),"Vi lượng AV4-BO633")</f>
        <v>Vi lượng AV4-BO633</v>
      </c>
      <c r="F4628" s="87" t="str">
        <f>IFERROR(__xludf.DUMMYFUNCTION("""COMPUTED_VALUE"""),"HH3823")</f>
        <v>HH3823</v>
      </c>
      <c r="G4628" s="87" t="str">
        <f>IFERROR(__xludf.DUMMYFUNCTION("""COMPUTED_VALUE"""),"GC - IV - 3823 - AGRIPLANT - SIÊU RA HOA SẦU RIÊNG (Bột trắng xanh) - 250gr - 100")</f>
        <v>GC - IV - 3823 - AGRIPLANT - SIÊU RA HOA SẦU RIÊNG (Bột trắng xanh) - 250gr - 100</v>
      </c>
    </row>
    <row r="4629">
      <c r="A4629" s="86">
        <f>IFERROR(__xludf.DUMMYFUNCTION("""COMPUTED_VALUE"""),4627.0)</f>
        <v>4627</v>
      </c>
      <c r="B4629" s="87" t="str">
        <f>IFERROR(__xludf.DUMMYFUNCTION("""COMPUTED_VALUE"""),"[Nhãn]")</f>
        <v>[Nhãn]</v>
      </c>
      <c r="C4629" s="87" t="str">
        <f>IFERROR(__xludf.DUMMYFUNCTION("""COMPUTED_VALUE"""),"NHG3824")</f>
        <v>NHG3824</v>
      </c>
      <c r="D4629" s="87" t="str">
        <f>IFERROR(__xludf.DUMMYFUNCTION("""COMPUTED_VALUE"""),"[Nhãn] GC - IV - 3824 - Cty Sen Hồng (A.Diễn) - VÔ GẠO SH.D87 (nước trắng ngà) - 500ml - 40")</f>
        <v>[Nhãn] GC - IV - 3824 - Cty Sen Hồng (A.Diễn) - VÔ GẠO SH.D87 (nước trắng ngà) - 500ml - 40</v>
      </c>
      <c r="E4629" s="87" t="str">
        <f>IFERROR(__xludf.DUMMYFUNCTION("""COMPUTED_VALUE"""),"Vi lượng Run Fast")</f>
        <v>Vi lượng Run Fast</v>
      </c>
      <c r="F4629" s="87" t="str">
        <f>IFERROR(__xludf.DUMMYFUNCTION("""COMPUTED_VALUE"""),"HH3824")</f>
        <v>HH3824</v>
      </c>
      <c r="G4629" s="87" t="str">
        <f>IFERROR(__xludf.DUMMYFUNCTION("""COMPUTED_VALUE"""),"GC - IV - 3824 - Cty Sen Hồng (A.Diễn) - VÔ GẠO SH.D87 (nước trắng ngà) - 500ml - 40")</f>
        <v>GC - IV - 3824 - Cty Sen Hồng (A.Diễn) - VÔ GẠO SH.D87 (nước trắng ngà) - 500ml - 40</v>
      </c>
    </row>
    <row r="4630">
      <c r="A4630" s="86">
        <f>IFERROR(__xludf.DUMMYFUNCTION("""COMPUTED_VALUE"""),4628.0)</f>
        <v>4628</v>
      </c>
      <c r="B4630" s="87" t="str">
        <f>IFERROR(__xludf.DUMMYFUNCTION("""COMPUTED_VALUE"""),"[Nhãn thùng]")</f>
        <v>[Nhãn thùng]</v>
      </c>
      <c r="C4630" s="87" t="str">
        <f>IFERROR(__xludf.DUMMYFUNCTION("""COMPUTED_VALUE"""),"NDT3833")</f>
        <v>NDT3833</v>
      </c>
      <c r="D4630" s="87" t="str">
        <f>IFERROR(__xludf.DUMMYFUNCTION("""COMPUTED_VALUE"""),"[Nhãn thùng] GC - V - 3833 - N2SBIO - N2 BOOSTER (Nước nâu đen) - 5L - 4")</f>
        <v>[Nhãn thùng] GC - V - 3833 - N2SBIO - N2 BOOSTER (Nước nâu đen) - 5L - 4</v>
      </c>
      <c r="E4630" s="87" t="str">
        <f>IFERROR(__xludf.DUMMYFUNCTION("""COMPUTED_VALUE"""),"Hữu cơ Organic BM Gold  FW")</f>
        <v>Hữu cơ Organic BM Gold  FW</v>
      </c>
      <c r="F4630" s="87" t="str">
        <f>IFERROR(__xludf.DUMMYFUNCTION("""COMPUTED_VALUE"""),"HH3833")</f>
        <v>HH3833</v>
      </c>
      <c r="G4630" s="87" t="str">
        <f>IFERROR(__xludf.DUMMYFUNCTION("""COMPUTED_VALUE"""),"GC - V - 3833 - N2SBIO - N2 BOOSTER (Nước nâu đen) - 5L - 4")</f>
        <v>GC - V - 3833 - N2SBIO - N2 BOOSTER (Nước nâu đen) - 5L - 4</v>
      </c>
    </row>
    <row r="4631">
      <c r="A4631" s="86">
        <f>IFERROR(__xludf.DUMMYFUNCTION("""COMPUTED_VALUE"""),4629.0)</f>
        <v>4629</v>
      </c>
      <c r="B4631" s="87" t="str">
        <f>IFERROR(__xludf.DUMMYFUNCTION("""COMPUTED_VALUE"""),"[Nhãn]")</f>
        <v>[Nhãn]</v>
      </c>
      <c r="C4631" s="87" t="str">
        <f>IFERROR(__xludf.DUMMYFUNCTION("""COMPUTED_VALUE"""),"NHD3833")</f>
        <v>NHD3833</v>
      </c>
      <c r="D4631" s="87" t="str">
        <f>IFERROR(__xludf.DUMMYFUNCTION("""COMPUTED_VALUE"""),"[Nhãn] GC - V - 3833 - N2SBIO - N2 BOOSTER (Nước nâu đen) - 5L - 4")</f>
        <v>[Nhãn] GC - V - 3833 - N2SBIO - N2 BOOSTER (Nước nâu đen) - 5L - 4</v>
      </c>
      <c r="E4631" s="87" t="str">
        <f>IFERROR(__xludf.DUMMYFUNCTION("""COMPUTED_VALUE"""),"Hữu cơ Organic BM Gold  FW")</f>
        <v>Hữu cơ Organic BM Gold  FW</v>
      </c>
      <c r="F4631" s="87" t="str">
        <f>IFERROR(__xludf.DUMMYFUNCTION("""COMPUTED_VALUE"""),"HH3833")</f>
        <v>HH3833</v>
      </c>
      <c r="G4631" s="87" t="str">
        <f>IFERROR(__xludf.DUMMYFUNCTION("""COMPUTED_VALUE"""),"GC - V - 3833 - N2SBIO - N2 BOOSTER (Nước nâu đen) - 5L - 4")</f>
        <v>GC - V - 3833 - N2SBIO - N2 BOOSTER (Nước nâu đen) - 5L - 4</v>
      </c>
    </row>
    <row r="4632">
      <c r="A4632" s="86">
        <f>IFERROR(__xludf.DUMMYFUNCTION("""COMPUTED_VALUE"""),4630.0)</f>
        <v>4630</v>
      </c>
      <c r="B4632" s="87" t="str">
        <f>IFERROR(__xludf.DUMMYFUNCTION("""COMPUTED_VALUE"""),"[Nhãn]")</f>
        <v>[Nhãn]</v>
      </c>
      <c r="C4632" s="87" t="str">
        <f>IFERROR(__xludf.DUMMYFUNCTION("""COMPUTED_VALUE"""),"NHG3834")</f>
        <v>NHG3834</v>
      </c>
      <c r="D4632" s="87" t="str">
        <f>IFERROR(__xludf.DUMMYFUNCTION("""COMPUTED_VALUE"""),"[Nhãn] GC - IV - 3834 - Cty Quang Đăng Agriculture - ĐL LÂM THANH TRÍ - VIL GOOD (Nước hồng) - 1L - 20")</f>
        <v>[Nhãn] GC - IV - 3834 - Cty Quang Đăng Agriculture - ĐL LÂM THANH TRÍ - VIL GOOD (Nước hồng) - 1L - 20</v>
      </c>
      <c r="E4632" s="87" t="str">
        <f>IFERROR(__xludf.DUMMYFUNCTION("""COMPUTED_VALUE"""),"JAPA VIL 110SC")</f>
        <v>JAPA VIL 110SC</v>
      </c>
      <c r="F4632" s="87" t="str">
        <f>IFERROR(__xludf.DUMMYFUNCTION("""COMPUTED_VALUE"""),"HH3834")</f>
        <v>HH3834</v>
      </c>
      <c r="G4632" s="87" t="str">
        <f>IFERROR(__xludf.DUMMYFUNCTION("""COMPUTED_VALUE"""),"GC - IV - 3834 - Cty Quang Đăng Agriculture - ĐL LÂM THANH TRÍ - VIL GOOD (Nước hồng) - 1L - 20")</f>
        <v>GC - IV - 3834 - Cty Quang Đăng Agriculture - ĐL LÂM THANH TRÍ - VIL GOOD (Nước hồng) - 1L - 20</v>
      </c>
    </row>
    <row r="4633">
      <c r="A4633" s="86">
        <f>IFERROR(__xludf.DUMMYFUNCTION("""COMPUTED_VALUE"""),4631.0)</f>
        <v>4631</v>
      </c>
      <c r="B4633" s="87" t="str">
        <f>IFERROR(__xludf.DUMMYFUNCTION("""COMPUTED_VALUE"""),"[Nhãn]")</f>
        <v>[Nhãn]</v>
      </c>
      <c r="C4633" s="87" t="str">
        <f>IFERROR(__xludf.DUMMYFUNCTION("""COMPUTED_VALUE"""),"NHG3835")</f>
        <v>NHG3835</v>
      </c>
      <c r="D4633" s="87" t="str">
        <f>IFERROR(__xludf.DUMMYFUNCTION("""COMPUTED_VALUE"""),"[Nhãn] GC - IV - 3835 - Cty Quang Đăng Agriculture - KINOWIN (Nước hồng) - 1L - 20")</f>
        <v>[Nhãn] GC - IV - 3835 - Cty Quang Đăng Agriculture - KINOWIN (Nước hồng) - 1L - 20</v>
      </c>
      <c r="E4633" s="87" t="str">
        <f>IFERROR(__xludf.DUMMYFUNCTION("""COMPUTED_VALUE"""),"JAPA VIL 110SC")</f>
        <v>JAPA VIL 110SC</v>
      </c>
      <c r="F4633" s="87" t="str">
        <f>IFERROR(__xludf.DUMMYFUNCTION("""COMPUTED_VALUE"""),"HH3835")</f>
        <v>HH3835</v>
      </c>
      <c r="G4633" s="87" t="str">
        <f>IFERROR(__xludf.DUMMYFUNCTION("""COMPUTED_VALUE"""),"GC - IV - 3835 - Cty Quang Đăng Agriculture - KINOWIN (Nước hồng) - 1L - 20")</f>
        <v>GC - IV - 3835 - Cty Quang Đăng Agriculture - KINOWIN (Nước hồng) - 1L - 20</v>
      </c>
    </row>
    <row r="4634">
      <c r="A4634" s="86">
        <f>IFERROR(__xludf.DUMMYFUNCTION("""COMPUTED_VALUE"""),4632.0)</f>
        <v>4632</v>
      </c>
      <c r="B4634" s="87" t="str">
        <f>IFERROR(__xludf.DUMMYFUNCTION("""COMPUTED_VALUE"""),"[Nhãn]")</f>
        <v>[Nhãn]</v>
      </c>
      <c r="C4634" s="87" t="str">
        <f>IFERROR(__xludf.DUMMYFUNCTION("""COMPUTED_VALUE"""),"NHG3836")</f>
        <v>NHG3836</v>
      </c>
      <c r="D4634" s="87" t="str">
        <f>IFERROR(__xludf.DUMMYFUNCTION("""COMPUTED_VALUE"""),"[Nhãn] GC - IV - 3836 - CTY HƯƠNG NÔNG - GENOL 1.2SL (Nước đỏ - V4) - 250ml - 40")</f>
        <v>[Nhãn] GC - IV - 3836 - CTY HƯƠNG NÔNG - GENOL 1.2SL (Nước đỏ - V4) - 250ml - 40</v>
      </c>
      <c r="E4634" s="87" t="str">
        <f>IFERROR(__xludf.DUMMYFUNCTION("""COMPUTED_VALUE"""),"GENOL 1.2SL")</f>
        <v>GENOL 1.2SL</v>
      </c>
      <c r="F4634" s="87" t="str">
        <f>IFERROR(__xludf.DUMMYFUNCTION("""COMPUTED_VALUE"""),"HH3836")</f>
        <v>HH3836</v>
      </c>
      <c r="G4634" s="87" t="str">
        <f>IFERROR(__xludf.DUMMYFUNCTION("""COMPUTED_VALUE"""),"GC - IV - 3836 - CTY HƯƠNG NÔNG - GENOL 1.2SL (Nước đỏ - V4) - 250ml - 40")</f>
        <v>GC - IV - 3836 - CTY HƯƠNG NÔNG - GENOL 1.2SL (Nước đỏ - V4) - 250ml - 40</v>
      </c>
    </row>
    <row r="4635">
      <c r="A4635" s="86">
        <f>IFERROR(__xludf.DUMMYFUNCTION("""COMPUTED_VALUE"""),4633.0)</f>
        <v>4633</v>
      </c>
      <c r="B4635" s="87" t="str">
        <f>IFERROR(__xludf.DUMMYFUNCTION("""COMPUTED_VALUE"""),"[Nhãn]")</f>
        <v>[Nhãn]</v>
      </c>
      <c r="C4635" s="87" t="str">
        <f>IFERROR(__xludf.DUMMYFUNCTION("""COMPUTED_VALUE"""),"NHD3841")</f>
        <v>NHD3841</v>
      </c>
      <c r="D4635" s="87" t="str">
        <f>IFERROR(__xludf.DUMMYFUNCTION("""COMPUTED_VALUE"""),"[Nhãn] GC - IV - 3841 - CTY THẾ DANH - HAIHAMEC 3.6EC (Nước trong) - 90ml - 100")</f>
        <v>[Nhãn] GC - IV - 3841 - CTY THẾ DANH - HAIHAMEC 3.6EC (Nước trong) - 90ml - 100</v>
      </c>
      <c r="E4635" s="87" t="str">
        <f>IFERROR(__xludf.DUMMYFUNCTION("""COMPUTED_VALUE"""),"HAIHAMEC 3.6EC")</f>
        <v>HAIHAMEC 3.6EC</v>
      </c>
      <c r="F4635" s="87" t="str">
        <f>IFERROR(__xludf.DUMMYFUNCTION("""COMPUTED_VALUE"""),"HH3841")</f>
        <v>HH3841</v>
      </c>
      <c r="G4635" s="87" t="str">
        <f>IFERROR(__xludf.DUMMYFUNCTION("""COMPUTED_VALUE"""),"GC - IV - 3841 - CTY THẾ DANH - HAIHAMEC 3.6EC (Nước trong) - 90ml - 100")</f>
        <v>GC - IV - 3841 - CTY THẾ DANH - HAIHAMEC 3.6EC (Nước trong) - 90ml - 100</v>
      </c>
    </row>
    <row r="4636">
      <c r="A4636" s="86">
        <f>IFERROR(__xludf.DUMMYFUNCTION("""COMPUTED_VALUE"""),4634.0)</f>
        <v>4634</v>
      </c>
      <c r="B4636" s="87" t="str">
        <f>IFERROR(__xludf.DUMMYFUNCTION("""COMPUTED_VALUE"""),"[Nhãn thùng]")</f>
        <v>[Nhãn thùng]</v>
      </c>
      <c r="C4636" s="87" t="str">
        <f>IFERROR(__xludf.DUMMYFUNCTION("""COMPUTED_VALUE"""),"NDT3841")</f>
        <v>NDT3841</v>
      </c>
      <c r="D4636" s="87" t="str">
        <f>IFERROR(__xludf.DUMMYFUNCTION("""COMPUTED_VALUE"""),"[Nhãn thùng] GC - IV - 3841 - CTY THẾ DANH - HAIHAMEC 3.6EC (Nước trong) - 90ml - 100")</f>
        <v>[Nhãn thùng] GC - IV - 3841 - CTY THẾ DANH - HAIHAMEC 3.6EC (Nước trong) - 90ml - 100</v>
      </c>
      <c r="E4636" s="87" t="str">
        <f>IFERROR(__xludf.DUMMYFUNCTION("""COMPUTED_VALUE"""),"HAIHAMEC 3.6EC")</f>
        <v>HAIHAMEC 3.6EC</v>
      </c>
      <c r="F4636" s="87" t="str">
        <f>IFERROR(__xludf.DUMMYFUNCTION("""COMPUTED_VALUE"""),"HH3841")</f>
        <v>HH3841</v>
      </c>
      <c r="G4636" s="87" t="str">
        <f>IFERROR(__xludf.DUMMYFUNCTION("""COMPUTED_VALUE"""),"GC - IV - 3841 - CTY THẾ DANH - HAIHAMEC 3.6EC (Nước trong) - 90ml - 100")</f>
        <v>GC - IV - 3841 - CTY THẾ DANH - HAIHAMEC 3.6EC (Nước trong) - 90ml - 100</v>
      </c>
    </row>
    <row r="4637">
      <c r="A4637" s="86">
        <f>IFERROR(__xludf.DUMMYFUNCTION("""COMPUTED_VALUE"""),4635.0)</f>
        <v>4635</v>
      </c>
      <c r="B4637" s="87" t="str">
        <f>IFERROR(__xludf.DUMMYFUNCTION("""COMPUTED_VALUE"""),"[Nhãn thùng]")</f>
        <v>[Nhãn thùng]</v>
      </c>
      <c r="C4637" s="87" t="str">
        <f>IFERROR(__xludf.DUMMYFUNCTION("""COMPUTED_VALUE"""),"NDT3842")</f>
        <v>NDT3842</v>
      </c>
      <c r="D4637" s="87" t="str">
        <f>IFERROR(__xludf.DUMMYFUNCTION("""COMPUTED_VALUE"""),"[Nhãn thùng] DR.XANH - VIII - 3842 - DR.HUCO (Nước nâu đen) - 5L - 4")</f>
        <v>[Nhãn thùng] DR.XANH - VIII - 3842 - DR.HUCO (Nước nâu đen) - 5L - 4</v>
      </c>
      <c r="E4637" s="87" t="str">
        <f>IFERROR(__xludf.DUMMYFUNCTION("""COMPUTED_VALUE"""),"Hữu cơ Organic BM Gold  FW")</f>
        <v>Hữu cơ Organic BM Gold  FW</v>
      </c>
      <c r="F4637" s="87" t="str">
        <f>IFERROR(__xludf.DUMMYFUNCTION("""COMPUTED_VALUE"""),"HH3842")</f>
        <v>HH3842</v>
      </c>
      <c r="G4637" s="87" t="str">
        <f>IFERROR(__xludf.DUMMYFUNCTION("""COMPUTED_VALUE"""),"DR.XANH - VIII - 3842 - DR.HUCO (Nước nâu đen) - 5L - 4")</f>
        <v>DR.XANH - VIII - 3842 - DR.HUCO (Nước nâu đen) - 5L - 4</v>
      </c>
    </row>
    <row r="4638">
      <c r="A4638" s="86">
        <f>IFERROR(__xludf.DUMMYFUNCTION("""COMPUTED_VALUE"""),4636.0)</f>
        <v>4636</v>
      </c>
      <c r="B4638" s="87" t="str">
        <f>IFERROR(__xludf.DUMMYFUNCTION("""COMPUTED_VALUE"""),"[Nhãn]")</f>
        <v>[Nhãn]</v>
      </c>
      <c r="C4638" s="87" t="str">
        <f>IFERROR(__xludf.DUMMYFUNCTION("""COMPUTED_VALUE"""),"NHD3842")</f>
        <v>NHD3842</v>
      </c>
      <c r="D4638" s="87" t="str">
        <f>IFERROR(__xludf.DUMMYFUNCTION("""COMPUTED_VALUE"""),"[Nhãn] DR.XANH - VIII - 3842 - DR.HUCO (Nước nâu đen) - 5L - 4")</f>
        <v>[Nhãn] DR.XANH - VIII - 3842 - DR.HUCO (Nước nâu đen) - 5L - 4</v>
      </c>
      <c r="E4638" s="87" t="str">
        <f>IFERROR(__xludf.DUMMYFUNCTION("""COMPUTED_VALUE"""),"Hữu cơ Organic BM Gold  FW")</f>
        <v>Hữu cơ Organic BM Gold  FW</v>
      </c>
      <c r="F4638" s="87" t="str">
        <f>IFERROR(__xludf.DUMMYFUNCTION("""COMPUTED_VALUE"""),"HH3842")</f>
        <v>HH3842</v>
      </c>
      <c r="G4638" s="87" t="str">
        <f>IFERROR(__xludf.DUMMYFUNCTION("""COMPUTED_VALUE"""),"DR.XANH - VIII - 3842 - DR.HUCO (Nước nâu đen) - 5L - 4")</f>
        <v>DR.XANH - VIII - 3842 - DR.HUCO (Nước nâu đen) - 5L - 4</v>
      </c>
    </row>
    <row r="4639">
      <c r="A4639" s="86">
        <f>IFERROR(__xludf.DUMMYFUNCTION("""COMPUTED_VALUE"""),4637.0)</f>
        <v>4637</v>
      </c>
      <c r="B4639" s="87" t="str">
        <f>IFERROR(__xludf.DUMMYFUNCTION("""COMPUTED_VALUE"""),"[Nhãn]")</f>
        <v>[Nhãn]</v>
      </c>
      <c r="C4639" s="87" t="str">
        <f>IFERROR(__xludf.DUMMYFUNCTION("""COMPUTED_VALUE"""),"NHG3843")</f>
        <v>NHG3843</v>
      </c>
      <c r="D4639" s="87" t="str">
        <f>IFERROR(__xludf.DUMMYFUNCTION("""COMPUTED_VALUE"""),"[Nhãn] GC - II - 3843 - AGC - Gvil (Nước trắng sữa) - 1L - 20")</f>
        <v>[Nhãn] GC - II - 3843 - AGC - Gvil (Nước trắng sữa) - 1L - 20</v>
      </c>
      <c r="E4639" s="87" t="str">
        <f>IFERROR(__xludf.DUMMYFUNCTION("""COMPUTED_VALUE"""),"Mekongvil 5SC")</f>
        <v>Mekongvil 5SC</v>
      </c>
      <c r="F4639" s="87" t="str">
        <f>IFERROR(__xludf.DUMMYFUNCTION("""COMPUTED_VALUE"""),"HH3843")</f>
        <v>HH3843</v>
      </c>
      <c r="G4639" s="87" t="str">
        <f>IFERROR(__xludf.DUMMYFUNCTION("""COMPUTED_VALUE"""),"GC - II - 3843 - AGC - Gvil (Nước trắng sữa) - 1L - 20")</f>
        <v>GC - II - 3843 - AGC - Gvil (Nước trắng sữa) - 1L - 20</v>
      </c>
    </row>
    <row r="4640">
      <c r="A4640" s="86">
        <f>IFERROR(__xludf.DUMMYFUNCTION("""COMPUTED_VALUE"""),4638.0)</f>
        <v>4638</v>
      </c>
      <c r="B4640" s="87" t="str">
        <f>IFERROR(__xludf.DUMMYFUNCTION("""COMPUTED_VALUE"""),"[Nhãn]")</f>
        <v>[Nhãn]</v>
      </c>
      <c r="C4640" s="87" t="str">
        <f>IFERROR(__xludf.DUMMYFUNCTION("""COMPUTED_VALUE"""),"NTN3844")</f>
        <v>NTN3844</v>
      </c>
      <c r="D4640" s="87" t="str">
        <f>IFERROR(__xludf.DUMMYFUNCTION("""COMPUTED_VALUE"""),"[Nhãn] GC - IV - 3844 - Cty Hóa Nông Shino - CHESSIN 600WP (Bột trắng ngà) - 25gr - 200")</f>
        <v>[Nhãn] GC - IV - 3844 - Cty Hóa Nông Shino - CHESSIN 600WP (Bột trắng ngà) - 25gr - 200</v>
      </c>
      <c r="E4640" s="87" t="str">
        <f>IFERROR(__xludf.DUMMYFUNCTION("""COMPUTED_VALUE"""),"CHESSIN 600WP")</f>
        <v>CHESSIN 600WP</v>
      </c>
      <c r="F4640" s="87" t="str">
        <f>IFERROR(__xludf.DUMMYFUNCTION("""COMPUTED_VALUE"""),"HH3844")</f>
        <v>HH3844</v>
      </c>
      <c r="G4640" s="87" t="str">
        <f>IFERROR(__xludf.DUMMYFUNCTION("""COMPUTED_VALUE"""),"GC - IV - 3844 - Cty Hóa Nông Shino - CHESSIN 600WP (Bột trắng ngà) - 25gr - 200")</f>
        <v>GC - IV - 3844 - Cty Hóa Nông Shino - CHESSIN 600WP (Bột trắng ngà) - 25gr - 200</v>
      </c>
    </row>
    <row r="4641">
      <c r="A4641" s="86">
        <f>IFERROR(__xludf.DUMMYFUNCTION("""COMPUTED_VALUE"""),4639.0)</f>
        <v>4639</v>
      </c>
      <c r="B4641" s="87" t="str">
        <f>IFERROR(__xludf.DUMMYFUNCTION("""COMPUTED_VALUE"""),"[Nhãn thùng]")</f>
        <v>[Nhãn thùng]</v>
      </c>
      <c r="C4641" s="87" t="str">
        <f>IFERROR(__xludf.DUMMYFUNCTION("""COMPUTED_VALUE"""),"NDT3844")</f>
        <v>NDT3844</v>
      </c>
      <c r="D4641" s="87" t="str">
        <f>IFERROR(__xludf.DUMMYFUNCTION("""COMPUTED_VALUE"""),"[Nhãn thùng] GC - IV - 3844 - Cty Hóa Nông Shino - CHESSIN 600WP (Bột trắng ngà) - 25gr - 200")</f>
        <v>[Nhãn thùng] GC - IV - 3844 - Cty Hóa Nông Shino - CHESSIN 600WP (Bột trắng ngà) - 25gr - 200</v>
      </c>
      <c r="E4641" s="87" t="str">
        <f>IFERROR(__xludf.DUMMYFUNCTION("""COMPUTED_VALUE"""),"CHESSIN 600WP")</f>
        <v>CHESSIN 600WP</v>
      </c>
      <c r="F4641" s="87" t="str">
        <f>IFERROR(__xludf.DUMMYFUNCTION("""COMPUTED_VALUE"""),"HH3844")</f>
        <v>HH3844</v>
      </c>
      <c r="G4641" s="87" t="str">
        <f>IFERROR(__xludf.DUMMYFUNCTION("""COMPUTED_VALUE"""),"GC - IV - 3844 - Cty Hóa Nông Shino - CHESSIN 600WP (Bột trắng ngà) - 25gr - 200")</f>
        <v>GC - IV - 3844 - Cty Hóa Nông Shino - CHESSIN 600WP (Bột trắng ngà) - 25gr - 200</v>
      </c>
    </row>
    <row r="4642">
      <c r="A4642" s="86">
        <f>IFERROR(__xludf.DUMMYFUNCTION("""COMPUTED_VALUE"""),4640.0)</f>
        <v>4640</v>
      </c>
      <c r="B4642" s="87" t="str">
        <f>IFERROR(__xludf.DUMMYFUNCTION("""COMPUTED_VALUE"""),"[Nhãn]")</f>
        <v>[Nhãn]</v>
      </c>
      <c r="C4642" s="87" t="str">
        <f>IFERROR(__xludf.DUMMYFUNCTION("""COMPUTED_VALUE"""),"NHG3845")</f>
        <v>NHG3845</v>
      </c>
      <c r="D4642" s="87" t="str">
        <f>IFERROR(__xludf.DUMMYFUNCTION("""COMPUTED_VALUE"""),"[Nhãn] BAMBOO - VI - 3845 - BAMBOO DOUBLE STOP (nước nâu đen) - 1L - 20")</f>
        <v>[Nhãn] BAMBOO - VI - 3845 - BAMBOO DOUBLE STOP (nước nâu đen) - 1L - 20</v>
      </c>
      <c r="E4642" s="87" t="str">
        <f>IFERROR(__xludf.DUMMYFUNCTION("""COMPUTED_VALUE"""),"Vi lượng Quantity New")</f>
        <v>Vi lượng Quantity New</v>
      </c>
      <c r="F4642" s="87" t="str">
        <f>IFERROR(__xludf.DUMMYFUNCTION("""COMPUTED_VALUE"""),"HH3845")</f>
        <v>HH3845</v>
      </c>
      <c r="G4642" s="87" t="str">
        <f>IFERROR(__xludf.DUMMYFUNCTION("""COMPUTED_VALUE"""),"BAMBOO - VI - 3845 - BAMBOO DOUBLE STOP (nước nâu đen) - 1L - 20")</f>
        <v>BAMBOO - VI - 3845 - BAMBOO DOUBLE STOP (nước nâu đen) - 1L - 20</v>
      </c>
    </row>
    <row r="4643">
      <c r="A4643" s="86">
        <f>IFERROR(__xludf.DUMMYFUNCTION("""COMPUTED_VALUE"""),4641.0)</f>
        <v>4641</v>
      </c>
      <c r="B4643" s="87" t="str">
        <f>IFERROR(__xludf.DUMMYFUNCTION("""COMPUTED_VALUE"""),"[Nhãn]")</f>
        <v>[Nhãn]</v>
      </c>
      <c r="C4643" s="87" t="str">
        <f>IFERROR(__xludf.DUMMYFUNCTION("""COMPUTED_VALUE"""),"NHG3846")</f>
        <v>NHG3846</v>
      </c>
      <c r="D4643" s="87" t="str">
        <f>IFERROR(__xludf.DUMMYFUNCTION("""COMPUTED_VALUE"""),"[Nhãn] LOT IDA Global - I - 3846 - Cỏ Lưu Dẫn (Đỏ)(nước đỏ) - 900ml - 20")</f>
        <v>[Nhãn] LOT IDA Global - I - 3846 - Cỏ Lưu Dẫn (Đỏ)(nước đỏ) - 900ml - 20</v>
      </c>
      <c r="E4643" s="87" t="str">
        <f>IFERROR(__xludf.DUMMYFUNCTION("""COMPUTED_VALUE"""),"GLUFOCIDE 200SL")</f>
        <v>GLUFOCIDE 200SL</v>
      </c>
      <c r="F4643" s="87" t="str">
        <f>IFERROR(__xludf.DUMMYFUNCTION("""COMPUTED_VALUE"""),"HH3846")</f>
        <v>HH3846</v>
      </c>
      <c r="G4643" s="87" t="str">
        <f>IFERROR(__xludf.DUMMYFUNCTION("""COMPUTED_VALUE"""),"LOT IDA Global - I - 3846 - Cỏ Lưu Dẫn (Đỏ)(nước đỏ) - 900ml - 20")</f>
        <v>LOT IDA Global - I - 3846 - Cỏ Lưu Dẫn (Đỏ)(nước đỏ) - 900ml - 20</v>
      </c>
    </row>
    <row r="4644">
      <c r="A4644" s="86">
        <f>IFERROR(__xludf.DUMMYFUNCTION("""COMPUTED_VALUE"""),4642.0)</f>
        <v>4642</v>
      </c>
      <c r="B4644" s="87" t="str">
        <f>IFERROR(__xludf.DUMMYFUNCTION("""COMPUTED_VALUE"""),"[Nhãn]")</f>
        <v>[Nhãn]</v>
      </c>
      <c r="C4644" s="87" t="str">
        <f>IFERROR(__xludf.DUMMYFUNCTION("""COMPUTED_VALUE"""),"NHG3848")</f>
        <v>NHG3848</v>
      </c>
      <c r="D4644" s="87" t="str">
        <f>IFERROR(__xludf.DUMMYFUNCTION("""COMPUTED_VALUE"""),"[Nhãn] GC - II - 3848 - Anh Tuấn Agri - Thipro 550EC (nước tím) - 250ml - 40")</f>
        <v>[Nhãn] GC - II - 3848 - Anh Tuấn Agri - Thipro 550EC (nước tím) - 250ml - 40</v>
      </c>
      <c r="E4644" s="87" t="str">
        <f>IFERROR(__xludf.DUMMYFUNCTION("""COMPUTED_VALUE"""),"Thipro 550EC")</f>
        <v>Thipro 550EC</v>
      </c>
      <c r="F4644" s="87" t="str">
        <f>IFERROR(__xludf.DUMMYFUNCTION("""COMPUTED_VALUE"""),"HH3848")</f>
        <v>HH3848</v>
      </c>
      <c r="G4644" s="87" t="str">
        <f>IFERROR(__xludf.DUMMYFUNCTION("""COMPUTED_VALUE"""),"GC - II - 3848 - Anh Tuấn Agri - Thipro 550EC (nước tím) - 250ml - 40")</f>
        <v>GC - II - 3848 - Anh Tuấn Agri - Thipro 550EC (nước tím) - 250ml - 40</v>
      </c>
    </row>
    <row r="4645">
      <c r="A4645" s="86">
        <f>IFERROR(__xludf.DUMMYFUNCTION("""COMPUTED_VALUE"""),4643.0)</f>
        <v>4643</v>
      </c>
      <c r="B4645" s="87" t="str">
        <f>IFERROR(__xludf.DUMMYFUNCTION("""COMPUTED_VALUE"""),"[Nhãn]")</f>
        <v>[Nhãn]</v>
      </c>
      <c r="C4645" s="87" t="str">
        <f>IFERROR(__xludf.DUMMYFUNCTION("""COMPUTED_VALUE"""),"NHG3849")</f>
        <v>NHG3849</v>
      </c>
      <c r="D4645" s="87" t="str">
        <f>IFERROR(__xludf.DUMMYFUNCTION("""COMPUTED_VALUE"""),"[Nhãn] GC - II - 3849 - Anh Tuấn Agri - THIPRO 550EC (Nước tím) - 60ml - 100")</f>
        <v>[Nhãn] GC - II - 3849 - Anh Tuấn Agri - THIPRO 550EC (Nước tím) - 60ml - 100</v>
      </c>
      <c r="E4645" s="87" t="str">
        <f>IFERROR(__xludf.DUMMYFUNCTION("""COMPUTED_VALUE"""),"Thipro 550EC")</f>
        <v>Thipro 550EC</v>
      </c>
      <c r="F4645" s="87" t="str">
        <f>IFERROR(__xludf.DUMMYFUNCTION("""COMPUTED_VALUE"""),"HH3849")</f>
        <v>HH3849</v>
      </c>
      <c r="G4645" s="87" t="str">
        <f>IFERROR(__xludf.DUMMYFUNCTION("""COMPUTED_VALUE"""),"GC - II - 3849 - Anh Tuấn Agri - THIPRO 550EC (Nước tím) - 60ml - 100")</f>
        <v>GC - II - 3849 - Anh Tuấn Agri - THIPRO 550EC (Nước tím) - 60ml - 100</v>
      </c>
    </row>
    <row r="4646">
      <c r="A4646" s="86">
        <f>IFERROR(__xludf.DUMMYFUNCTION("""COMPUTED_VALUE"""),4644.0)</f>
        <v>4644</v>
      </c>
      <c r="B4646" s="87" t="str">
        <f>IFERROR(__xludf.DUMMYFUNCTION("""COMPUTED_VALUE"""),"[Nhãn]")</f>
        <v>[Nhãn]</v>
      </c>
      <c r="C4646" s="87" t="str">
        <f>IFERROR(__xludf.DUMMYFUNCTION("""COMPUTED_VALUE"""),"NHG3850")</f>
        <v>NHG3850</v>
      </c>
      <c r="D4646" s="87" t="str">
        <f>IFERROR(__xludf.DUMMYFUNCTION("""COMPUTED_VALUE"""),"[Nhãn] GC - IV - 3850 - NHP GROUP - ULTRA KEO GROW (Nước nâu đen) - 200ml - 40")</f>
        <v>[Nhãn] GC - IV - 3850 - NHP GROUP - ULTRA KEO GROW (Nước nâu đen) - 200ml - 40</v>
      </c>
      <c r="E4646" s="87" t="str">
        <f>IFERROR(__xludf.DUMMYFUNCTION("""COMPUTED_VALUE"""),"Hữu cơ SH Agro Organic Fertilizer 20")</f>
        <v>Hữu cơ SH Agro Organic Fertilizer 20</v>
      </c>
      <c r="F4646" s="87" t="str">
        <f>IFERROR(__xludf.DUMMYFUNCTION("""COMPUTED_VALUE"""),"HH3850")</f>
        <v>HH3850</v>
      </c>
      <c r="G4646" s="87" t="str">
        <f>IFERROR(__xludf.DUMMYFUNCTION("""COMPUTED_VALUE"""),"GC - IV - 3850 - NHP GROUP - ULTRA KEO GROW (Nước nâu đen) - 200ml - 40")</f>
        <v>GC - IV - 3850 - NHP GROUP - ULTRA KEO GROW (Nước nâu đen) - 200ml - 40</v>
      </c>
    </row>
    <row r="4647">
      <c r="A4647" s="86">
        <f>IFERROR(__xludf.DUMMYFUNCTION("""COMPUTED_VALUE"""),4645.0)</f>
        <v>4645</v>
      </c>
      <c r="B4647" s="87" t="str">
        <f>IFERROR(__xludf.DUMMYFUNCTION("""COMPUTED_VALUE"""),"[Nhãn]")</f>
        <v>[Nhãn]</v>
      </c>
      <c r="C4647" s="87" t="str">
        <f>IFERROR(__xludf.DUMMYFUNCTION("""COMPUTED_VALUE"""),"NHG3851")</f>
        <v>NHG3851</v>
      </c>
      <c r="D4647" s="87" t="str">
        <f>IFERROR(__xludf.DUMMYFUNCTION("""COMPUTED_VALUE"""),"[Nhãn] GC - IV - 3851 - NHP GROUP - ULTRA KEO CABOR (Nước vàng) - 200ml - 40")</f>
        <v>[Nhãn] GC - IV - 3851 - NHP GROUP - ULTRA KEO CABOR (Nước vàng) - 200ml - 40</v>
      </c>
      <c r="E4647" s="87" t="str">
        <f>IFERROR(__xludf.DUMMYFUNCTION("""COMPUTED_VALUE"""),"Vi lượng Run Fast")</f>
        <v>Vi lượng Run Fast</v>
      </c>
      <c r="F4647" s="87" t="str">
        <f>IFERROR(__xludf.DUMMYFUNCTION("""COMPUTED_VALUE"""),"HH3851")</f>
        <v>HH3851</v>
      </c>
      <c r="G4647" s="87" t="str">
        <f>IFERROR(__xludf.DUMMYFUNCTION("""COMPUTED_VALUE"""),"GC - IV - 3851 - NHP GROUP - ULTRA KEO CABOR (Nước vàng) - 200ml - 40")</f>
        <v>GC - IV - 3851 - NHP GROUP - ULTRA KEO CABOR (Nước vàng) - 200ml - 40</v>
      </c>
    </row>
    <row r="4648">
      <c r="A4648" s="86">
        <f>IFERROR(__xludf.DUMMYFUNCTION("""COMPUTED_VALUE"""),4646.0)</f>
        <v>4646</v>
      </c>
      <c r="B4648" s="87" t="str">
        <f>IFERROR(__xludf.DUMMYFUNCTION("""COMPUTED_VALUE"""),"[Nhãn thùng]")</f>
        <v>[Nhãn thùng]</v>
      </c>
      <c r="C4648" s="87" t="str">
        <f>IFERROR(__xludf.DUMMYFUNCTION("""COMPUTED_VALUE"""),"NDT3854")</f>
        <v>NDT3854</v>
      </c>
      <c r="D4648" s="87" t="str">
        <f>IFERROR(__xludf.DUMMYFUNCTION("""COMPUTED_VALUE"""),"[Nhãn thùng] BAMBOO - VI - 3854 - BAMBOO METALAXYL (Bột trắng) - 100gr - 100")</f>
        <v>[Nhãn thùng] BAMBOO - VI - 3854 - BAMBOO METALAXYL (Bột trắng) - 100gr - 100</v>
      </c>
      <c r="E4648" s="87" t="str">
        <f>IFERROR(__xludf.DUMMYFUNCTION("""COMPUTED_VALUE"""),"Acodyl 35WP")</f>
        <v>Acodyl 35WP</v>
      </c>
      <c r="F4648" s="87" t="str">
        <f>IFERROR(__xludf.DUMMYFUNCTION("""COMPUTED_VALUE"""),"HH3854")</f>
        <v>HH3854</v>
      </c>
      <c r="G4648" s="87" t="str">
        <f>IFERROR(__xludf.DUMMYFUNCTION("""COMPUTED_VALUE"""),"BAMBOO - VI - 3854 - BAMBOO METALAXYL (Bột trắng) - 100gr - 100")</f>
        <v>BAMBOO - VI - 3854 - BAMBOO METALAXYL (Bột trắng) - 100gr - 100</v>
      </c>
    </row>
    <row r="4649">
      <c r="A4649" s="86">
        <f>IFERROR(__xludf.DUMMYFUNCTION("""COMPUTED_VALUE"""),4647.0)</f>
        <v>4647</v>
      </c>
      <c r="B4649" s="87" t="str">
        <f>IFERROR(__xludf.DUMMYFUNCTION("""COMPUTED_VALUE"""),"[Nhãn]")</f>
        <v>[Nhãn]</v>
      </c>
      <c r="C4649" s="87" t="str">
        <f>IFERROR(__xludf.DUMMYFUNCTION("""COMPUTED_VALUE"""),"NTN3854")</f>
        <v>NTN3854</v>
      </c>
      <c r="D4649" s="87" t="str">
        <f>IFERROR(__xludf.DUMMYFUNCTION("""COMPUTED_VALUE"""),"[Nhãn] BAMBOO - VI - 3854 - BAMBOO METALAXYL (Bột trắng) - 100gr - 100")</f>
        <v>[Nhãn] BAMBOO - VI - 3854 - BAMBOO METALAXYL (Bột trắng) - 100gr - 100</v>
      </c>
      <c r="E4649" s="87" t="str">
        <f>IFERROR(__xludf.DUMMYFUNCTION("""COMPUTED_VALUE"""),"Acodyl 35WP")</f>
        <v>Acodyl 35WP</v>
      </c>
      <c r="F4649" s="87" t="str">
        <f>IFERROR(__xludf.DUMMYFUNCTION("""COMPUTED_VALUE"""),"HH3854")</f>
        <v>HH3854</v>
      </c>
      <c r="G4649" s="87" t="str">
        <f>IFERROR(__xludf.DUMMYFUNCTION("""COMPUTED_VALUE"""),"BAMBOO - VI - 3854 - BAMBOO METALAXYL (Bột trắng) - 100gr - 100")</f>
        <v>BAMBOO - VI - 3854 - BAMBOO METALAXYL (Bột trắng) - 100gr - 100</v>
      </c>
    </row>
    <row r="4650">
      <c r="A4650" s="86">
        <f>IFERROR(__xludf.DUMMYFUNCTION("""COMPUTED_VALUE"""),4648.0)</f>
        <v>4648</v>
      </c>
      <c r="B4650" s="87" t="str">
        <f>IFERROR(__xludf.DUMMYFUNCTION("""COMPUTED_VALUE"""),"[Nhãn]")</f>
        <v>[Nhãn]</v>
      </c>
      <c r="C4650" s="87" t="str">
        <f>IFERROR(__xludf.DUMMYFUNCTION("""COMPUTED_VALUE"""),"NHG3855")</f>
        <v>NHG3855</v>
      </c>
      <c r="D4650" s="87" t="str">
        <f>IFERROR(__xludf.DUMMYFUNCTION("""COMPUTED_VALUE"""),"[Nhãn] IDA Global - I - 3855 - ĐL TẤN PHƯỚC - KITINI SUPER 450SC (nước cam sữa) - 450ml - 40")</f>
        <v>[Nhãn] IDA Global - I - 3855 - ĐL TẤN PHƯỚC - KITINI SUPER 450SC (nước cam sữa) - 450ml - 40</v>
      </c>
      <c r="E4650" s="87" t="str">
        <f>IFERROR(__xludf.DUMMYFUNCTION("""COMPUTED_VALUE"""),"Kitini Super 450SC")</f>
        <v>Kitini Super 450SC</v>
      </c>
      <c r="F4650" s="87" t="str">
        <f>IFERROR(__xludf.DUMMYFUNCTION("""COMPUTED_VALUE"""),"HH3855")</f>
        <v>HH3855</v>
      </c>
      <c r="G4650" s="87" t="str">
        <f>IFERROR(__xludf.DUMMYFUNCTION("""COMPUTED_VALUE"""),"IDA Global - I - 3855 - ĐL TẤN PHƯỚC - KITINI SUPER 450SC (nước cam sữa) - 450ml - 40")</f>
        <v>IDA Global - I - 3855 - ĐL TẤN PHƯỚC - KITINI SUPER 450SC (nước cam sữa) - 450ml - 40</v>
      </c>
    </row>
    <row r="4651">
      <c r="A4651" s="86">
        <f>IFERROR(__xludf.DUMMYFUNCTION("""COMPUTED_VALUE"""),4649.0)</f>
        <v>4649</v>
      </c>
      <c r="B4651" s="87" t="str">
        <f>IFERROR(__xludf.DUMMYFUNCTION("""COMPUTED_VALUE"""),"[Nhãn]")</f>
        <v>[Nhãn]</v>
      </c>
      <c r="C4651" s="87" t="str">
        <f>IFERROR(__xludf.DUMMYFUNCTION("""COMPUTED_VALUE"""),"NHG3856")</f>
        <v>NHG3856</v>
      </c>
      <c r="D4651" s="87" t="str">
        <f>IFERROR(__xludf.DUMMYFUNCTION("""COMPUTED_VALUE"""),"[Nhãn] IDA Global - I - 3856 - ĐL TẤN PHƯỚC - KITINI SUPER 450SC (nước cam sữa) - 240ml - 40")</f>
        <v>[Nhãn] IDA Global - I - 3856 - ĐL TẤN PHƯỚC - KITINI SUPER 450SC (nước cam sữa) - 240ml - 40</v>
      </c>
      <c r="E4651" s="87" t="str">
        <f>IFERROR(__xludf.DUMMYFUNCTION("""COMPUTED_VALUE"""),"Kitini Super 450SC")</f>
        <v>Kitini Super 450SC</v>
      </c>
      <c r="F4651" s="87" t="str">
        <f>IFERROR(__xludf.DUMMYFUNCTION("""COMPUTED_VALUE"""),"HH3856")</f>
        <v>HH3856</v>
      </c>
      <c r="G4651" s="87" t="str">
        <f>IFERROR(__xludf.DUMMYFUNCTION("""COMPUTED_VALUE"""),"IDA Global - I - 3856 - ĐL TẤN PHƯỚC - KITINI SUPER 450SC (nước cam sữa) - 240ml - 40")</f>
        <v>IDA Global - I - 3856 - ĐL TẤN PHƯỚC - KITINI SUPER 450SC (nước cam sữa) - 240ml - 40</v>
      </c>
    </row>
    <row r="4652">
      <c r="A4652" s="86">
        <f>IFERROR(__xludf.DUMMYFUNCTION("""COMPUTED_VALUE"""),4650.0)</f>
        <v>4650</v>
      </c>
      <c r="B4652" s="87" t="str">
        <f>IFERROR(__xludf.DUMMYFUNCTION("""COMPUTED_VALUE"""),"[Nhãn]")</f>
        <v>[Nhãn]</v>
      </c>
      <c r="C4652" s="87" t="str">
        <f>IFERROR(__xludf.DUMMYFUNCTION("""COMPUTED_VALUE"""),"NHG3857")</f>
        <v>NHG3857</v>
      </c>
      <c r="D4652" s="87" t="str">
        <f>IFERROR(__xludf.DUMMYFUNCTION("""COMPUTED_VALUE"""),"[Nhãn] GC - IV - 3857 - CTY NAUY - CỨNG CÂY NAUY (Nước nâu đen) - 500ml - 40")</f>
        <v>[Nhãn] GC - IV - 3857 - CTY NAUY - CỨNG CÂY NAUY (Nước nâu đen) - 500ml - 40</v>
      </c>
      <c r="E4652" s="87" t="str">
        <f>IFERROR(__xludf.DUMMYFUNCTION("""COMPUTED_VALUE"""),"Vi lượng AGAMA-SUPPORT")</f>
        <v>Vi lượng AGAMA-SUPPORT</v>
      </c>
      <c r="F4652" s="87" t="str">
        <f>IFERROR(__xludf.DUMMYFUNCTION("""COMPUTED_VALUE"""),"HH3857")</f>
        <v>HH3857</v>
      </c>
      <c r="G4652" s="87" t="str">
        <f>IFERROR(__xludf.DUMMYFUNCTION("""COMPUTED_VALUE"""),"GC - IV - 3857 - CTY NAUY - CỨNG CÂY NAUY (Nước nâu đen) - 500ml - 40")</f>
        <v>GC - IV - 3857 - CTY NAUY - CỨNG CÂY NAUY (Nước nâu đen) - 500ml - 40</v>
      </c>
    </row>
    <row r="4653">
      <c r="A4653" s="86">
        <f>IFERROR(__xludf.DUMMYFUNCTION("""COMPUTED_VALUE"""),4651.0)</f>
        <v>4651</v>
      </c>
      <c r="B4653" s="87" t="str">
        <f>IFERROR(__xludf.DUMMYFUNCTION("""COMPUTED_VALUE"""),"[Nhãn]")</f>
        <v>[Nhãn]</v>
      </c>
      <c r="C4653" s="87" t="str">
        <f>IFERROR(__xludf.DUMMYFUNCTION("""COMPUTED_VALUE"""),"NTN3858")</f>
        <v>NTN3858</v>
      </c>
      <c r="D4653" s="87" t="str">
        <f>IFERROR(__xludf.DUMMYFUNCTION("""COMPUTED_VALUE"""),"[Nhãn] GC - IV - 3858 - CTY NÔNG HÓA XANH - CARE PRO (Bột vàng) - 1kg - 20")</f>
        <v>[Nhãn] GC - IV - 3858 - CTY NÔNG HÓA XANH - CARE PRO (Bột vàng) - 1kg - 20</v>
      </c>
      <c r="E4653" s="87" t="str">
        <f>IFERROR(__xludf.DUMMYFUNCTION("""COMPUTED_VALUE"""),"FORTAZEB 72WP")</f>
        <v>FORTAZEB 72WP</v>
      </c>
      <c r="F4653" s="87" t="str">
        <f>IFERROR(__xludf.DUMMYFUNCTION("""COMPUTED_VALUE"""),"HH3858")</f>
        <v>HH3858</v>
      </c>
      <c r="G4653" s="87" t="str">
        <f>IFERROR(__xludf.DUMMYFUNCTION("""COMPUTED_VALUE"""),"GC - IV - 3858 - CTY NÔNG HÓA XANH - CARE PRO (Bột vàng) - 1kg - 20")</f>
        <v>GC - IV - 3858 - CTY NÔNG HÓA XANH - CARE PRO (Bột vàng) - 1kg - 20</v>
      </c>
    </row>
    <row r="4654">
      <c r="A4654" s="86">
        <f>IFERROR(__xludf.DUMMYFUNCTION("""COMPUTED_VALUE"""),4652.0)</f>
        <v>4652</v>
      </c>
      <c r="B4654" s="87" t="str">
        <f>IFERROR(__xludf.DUMMYFUNCTION("""COMPUTED_VALUE"""),"[Nhãn thùng]")</f>
        <v>[Nhãn thùng]</v>
      </c>
      <c r="C4654" s="87" t="str">
        <f>IFERROR(__xludf.DUMMYFUNCTION("""COMPUTED_VALUE"""),"NDT3858")</f>
        <v>NDT3858</v>
      </c>
      <c r="D4654" s="87" t="str">
        <f>IFERROR(__xludf.DUMMYFUNCTION("""COMPUTED_VALUE"""),"[Nhãn thùng] GC - IV - 3858 - CTY NÔNG HÓA XANH - CARE PRO (Bột vàng) - 1kg - 20")</f>
        <v>[Nhãn thùng] GC - IV - 3858 - CTY NÔNG HÓA XANH - CARE PRO (Bột vàng) - 1kg - 20</v>
      </c>
      <c r="E4654" s="87" t="str">
        <f>IFERROR(__xludf.DUMMYFUNCTION("""COMPUTED_VALUE"""),"FORTAZEB 72WP")</f>
        <v>FORTAZEB 72WP</v>
      </c>
      <c r="F4654" s="87" t="str">
        <f>IFERROR(__xludf.DUMMYFUNCTION("""COMPUTED_VALUE"""),"HH3858")</f>
        <v>HH3858</v>
      </c>
      <c r="G4654" s="87" t="str">
        <f>IFERROR(__xludf.DUMMYFUNCTION("""COMPUTED_VALUE"""),"GC - IV - 3858 - CTY NÔNG HÓA XANH - CARE PRO (Bột vàng) - 1kg - 20")</f>
        <v>GC - IV - 3858 - CTY NÔNG HÓA XANH - CARE PRO (Bột vàng) - 1kg - 20</v>
      </c>
    </row>
    <row r="4655">
      <c r="A4655" s="86">
        <f>IFERROR(__xludf.DUMMYFUNCTION("""COMPUTED_VALUE"""),4653.0)</f>
        <v>4653</v>
      </c>
      <c r="B4655" s="87" t="str">
        <f>IFERROR(__xludf.DUMMYFUNCTION("""COMPUTED_VALUE"""),"[Nhãn thùng]")</f>
        <v>[Nhãn thùng]</v>
      </c>
      <c r="C4655" s="87" t="str">
        <f>IFERROR(__xludf.DUMMYFUNCTION("""COMPUTED_VALUE"""),"NDT3859")</f>
        <v>NDT3859</v>
      </c>
      <c r="D4655" s="87" t="str">
        <f>IFERROR(__xludf.DUMMYFUNCTION("""COMPUTED_VALUE"""),"[Nhãn thùng] GC - II - 3859 - CSSX An Khang (A.Dinh) - TAK06 (Gel nâu đen) - 5L - 4")</f>
        <v>[Nhãn thùng] GC - II - 3859 - CSSX An Khang (A.Dinh) - TAK06 (Gel nâu đen) - 5L - 4</v>
      </c>
      <c r="E4655" s="87" t="str">
        <f>IFERROR(__xludf.DUMMYFUNCTION("""COMPUTED_VALUE"""),"Vi lượng Run Fast")</f>
        <v>Vi lượng Run Fast</v>
      </c>
      <c r="F4655" s="87" t="str">
        <f>IFERROR(__xludf.DUMMYFUNCTION("""COMPUTED_VALUE"""),"HH3859")</f>
        <v>HH3859</v>
      </c>
      <c r="G4655" s="87" t="str">
        <f>IFERROR(__xludf.DUMMYFUNCTION("""COMPUTED_VALUE"""),"GC - II - 3859 - CSSX An Khang (A.Dinh) - TAK06 (Gel nâu đen) - 5L - 4")</f>
        <v>GC - II - 3859 - CSSX An Khang (A.Dinh) - TAK06 (Gel nâu đen) - 5L - 4</v>
      </c>
    </row>
    <row r="4656">
      <c r="A4656" s="86">
        <f>IFERROR(__xludf.DUMMYFUNCTION("""COMPUTED_VALUE"""),4654.0)</f>
        <v>4654</v>
      </c>
      <c r="B4656" s="87" t="str">
        <f>IFERROR(__xludf.DUMMYFUNCTION("""COMPUTED_VALUE"""),"[Nhãn]")</f>
        <v>[Nhãn]</v>
      </c>
      <c r="C4656" s="87" t="str">
        <f>IFERROR(__xludf.DUMMYFUNCTION("""COMPUTED_VALUE"""),"NHD3859")</f>
        <v>NHD3859</v>
      </c>
      <c r="D4656" s="87" t="str">
        <f>IFERROR(__xludf.DUMMYFUNCTION("""COMPUTED_VALUE"""),"[Nhãn] GC - II - 3859 - CSSX An Khang (A.Dinh) - TAK06 (Gel nâu đen) - 5L - 4")</f>
        <v>[Nhãn] GC - II - 3859 - CSSX An Khang (A.Dinh) - TAK06 (Gel nâu đen) - 5L - 4</v>
      </c>
      <c r="E4656" s="87" t="str">
        <f>IFERROR(__xludf.DUMMYFUNCTION("""COMPUTED_VALUE"""),"Vi lượng Run Fast")</f>
        <v>Vi lượng Run Fast</v>
      </c>
      <c r="F4656" s="87" t="str">
        <f>IFERROR(__xludf.DUMMYFUNCTION("""COMPUTED_VALUE"""),"HH3859")</f>
        <v>HH3859</v>
      </c>
      <c r="G4656" s="87" t="str">
        <f>IFERROR(__xludf.DUMMYFUNCTION("""COMPUTED_VALUE"""),"GC - II - 3859 - CSSX An Khang (A.Dinh) - TAK06 (Gel nâu đen) - 5L - 4")</f>
        <v>GC - II - 3859 - CSSX An Khang (A.Dinh) - TAK06 (Gel nâu đen) - 5L - 4</v>
      </c>
    </row>
    <row r="4657">
      <c r="A4657" s="86">
        <f>IFERROR(__xludf.DUMMYFUNCTION("""COMPUTED_VALUE"""),4655.0)</f>
        <v>4655</v>
      </c>
      <c r="B4657" s="87" t="str">
        <f>IFERROR(__xludf.DUMMYFUNCTION("""COMPUTED_VALUE"""),"[Nhãn]")</f>
        <v>[Nhãn]</v>
      </c>
      <c r="C4657" s="87" t="str">
        <f>IFERROR(__xludf.DUMMYFUNCTION("""COMPUTED_VALUE"""),"NHG3860")</f>
        <v>NHG3860</v>
      </c>
      <c r="D4657" s="87" t="str">
        <f>IFERROR(__xludf.DUMMYFUNCTION("""COMPUTED_VALUE"""),"[Nhãn] IDA Global - I - 3860 - CỨNG CÂY 304 (Nước nâu đen) - 500ml - 40")</f>
        <v>[Nhãn] IDA Global - I - 3860 - CỨNG CÂY 304 (Nước nâu đen) - 500ml - 40</v>
      </c>
      <c r="E4657" s="87" t="str">
        <f>IFERROR(__xludf.DUMMYFUNCTION("""COMPUTED_VALUE"""),"Hữu cơ SH Agro Organic Fertilizer 20")</f>
        <v>Hữu cơ SH Agro Organic Fertilizer 20</v>
      </c>
      <c r="F4657" s="87" t="str">
        <f>IFERROR(__xludf.DUMMYFUNCTION("""COMPUTED_VALUE"""),"HH3860")</f>
        <v>HH3860</v>
      </c>
      <c r="G4657" s="87" t="str">
        <f>IFERROR(__xludf.DUMMYFUNCTION("""COMPUTED_VALUE"""),"IDA Global - I - 3860 - CỨNG CÂY 304 (Nước nâu đen) - 500ml - 40")</f>
        <v>IDA Global - I - 3860 - CỨNG CÂY 304 (Nước nâu đen) - 500ml - 40</v>
      </c>
    </row>
    <row r="4658">
      <c r="A4658" s="86">
        <f>IFERROR(__xludf.DUMMYFUNCTION("""COMPUTED_VALUE"""),4656.0)</f>
        <v>4656</v>
      </c>
      <c r="B4658" s="87" t="str">
        <f>IFERROR(__xludf.DUMMYFUNCTION("""COMPUTED_VALUE"""),"[Nhãn]")</f>
        <v>[Nhãn]</v>
      </c>
      <c r="C4658" s="87" t="str">
        <f>IFERROR(__xludf.DUMMYFUNCTION("""COMPUTED_VALUE"""),"NHG3862")</f>
        <v>NHG3862</v>
      </c>
      <c r="D4658" s="87" t="str">
        <f>IFERROR(__xludf.DUMMYFUNCTION("""COMPUTED_VALUE"""),"[Nhãn] GC - IV - 3862 - HƯƠNG NÔNG - Siêu Tạo Mầm (nước nâu đen) - 1L - 20")</f>
        <v>[Nhãn] GC - IV - 3862 - HƯƠNG NÔNG - Siêu Tạo Mầm (nước nâu đen) - 1L - 20</v>
      </c>
      <c r="E4658" s="87" t="str">
        <f>IFERROR(__xludf.DUMMYFUNCTION("""COMPUTED_VALUE"""),"Vi lượng Quantity New")</f>
        <v>Vi lượng Quantity New</v>
      </c>
      <c r="F4658" s="87" t="str">
        <f>IFERROR(__xludf.DUMMYFUNCTION("""COMPUTED_VALUE"""),"HH3862")</f>
        <v>HH3862</v>
      </c>
      <c r="G4658" s="87" t="str">
        <f>IFERROR(__xludf.DUMMYFUNCTION("""COMPUTED_VALUE"""),"GC - IV - 3862 - HƯƠNG NÔNG - Siêu Tạo Mầm (nước nâu đen) - 1L - 20")</f>
        <v>GC - IV - 3862 - HƯƠNG NÔNG - Siêu Tạo Mầm (nước nâu đen) - 1L - 20</v>
      </c>
    </row>
    <row r="4659">
      <c r="A4659" s="86">
        <f>IFERROR(__xludf.DUMMYFUNCTION("""COMPUTED_VALUE"""),4657.0)</f>
        <v>4657</v>
      </c>
      <c r="B4659" s="87" t="str">
        <f>IFERROR(__xludf.DUMMYFUNCTION("""COMPUTED_VALUE"""),"[Nhãn]")</f>
        <v>[Nhãn]</v>
      </c>
      <c r="C4659" s="87" t="str">
        <f>IFERROR(__xludf.DUMMYFUNCTION("""COMPUTED_VALUE"""),"NHD3863")</f>
        <v>NHD3863</v>
      </c>
      <c r="D4659" s="87" t="str">
        <f>IFERROR(__xludf.DUMMYFUNCTION("""COMPUTED_VALUE"""),"[Nhãn] GC - II - 3863 - CSSX An Khang (A.Dinh) - TAK06 (Gel nâu đen) - 20L - 1")</f>
        <v>[Nhãn] GC - II - 3863 - CSSX An Khang (A.Dinh) - TAK06 (Gel nâu đen) - 20L - 1</v>
      </c>
      <c r="E4659" s="87" t="str">
        <f>IFERROR(__xludf.DUMMYFUNCTION("""COMPUTED_VALUE"""),"Vi lượng Run Fast")</f>
        <v>Vi lượng Run Fast</v>
      </c>
      <c r="F4659" s="87" t="str">
        <f>IFERROR(__xludf.DUMMYFUNCTION("""COMPUTED_VALUE"""),"HH3863")</f>
        <v>HH3863</v>
      </c>
      <c r="G4659" s="87" t="str">
        <f>IFERROR(__xludf.DUMMYFUNCTION("""COMPUTED_VALUE"""),"GC - II - 3863 - CSSX An Khang (A.Dinh) - TAK06 (Gel nâu đen) - 20L - 1")</f>
        <v>GC - II - 3863 - CSSX An Khang (A.Dinh) - TAK06 (Gel nâu đen) - 20L - 1</v>
      </c>
    </row>
    <row r="4660">
      <c r="A4660" s="86">
        <f>IFERROR(__xludf.DUMMYFUNCTION("""COMPUTED_VALUE"""),4658.0)</f>
        <v>4658</v>
      </c>
      <c r="B4660" s="87" t="str">
        <f>IFERROR(__xludf.DUMMYFUNCTION("""COMPUTED_VALUE"""),"[Nhãn]")</f>
        <v>[Nhãn]</v>
      </c>
      <c r="C4660" s="87" t="str">
        <f>IFERROR(__xludf.DUMMYFUNCTION("""COMPUTED_VALUE"""),"NHG3865")</f>
        <v>NHG3865</v>
      </c>
      <c r="D4660" s="87" t="str">
        <f>IFERROR(__xludf.DUMMYFUNCTION("""COMPUTED_VALUE"""),"[Nhãn] GC - IV - 3865 - PHÚC THÀNH AGRI - MEKONGVIL 5SC (Nước trắng sữa) - 1L - 20")</f>
        <v>[Nhãn] GC - IV - 3865 - PHÚC THÀNH AGRI - MEKONGVIL 5SC (Nước trắng sữa) - 1L - 20</v>
      </c>
      <c r="E4660" s="87" t="str">
        <f>IFERROR(__xludf.DUMMYFUNCTION("""COMPUTED_VALUE"""),"Mekongvil 5SC")</f>
        <v>Mekongvil 5SC</v>
      </c>
      <c r="F4660" s="87" t="str">
        <f>IFERROR(__xludf.DUMMYFUNCTION("""COMPUTED_VALUE"""),"HH3865")</f>
        <v>HH3865</v>
      </c>
      <c r="G4660" s="87" t="str">
        <f>IFERROR(__xludf.DUMMYFUNCTION("""COMPUTED_VALUE"""),"GC - IV - 3865 - PHÚC THÀNH AGRI - MEKONGVIL 5SC (Nước trắng sữa) - 1L - 20")</f>
        <v>GC - IV - 3865 - PHÚC THÀNH AGRI - MEKONGVIL 5SC (Nước trắng sữa) - 1L - 20</v>
      </c>
    </row>
    <row r="4661">
      <c r="A4661" s="86">
        <f>IFERROR(__xludf.DUMMYFUNCTION("""COMPUTED_VALUE"""),4659.0)</f>
        <v>4659</v>
      </c>
      <c r="B4661" s="87" t="str">
        <f>IFERROR(__xludf.DUMMYFUNCTION("""COMPUTED_VALUE"""),"[Nhãn thùng]")</f>
        <v>[Nhãn thùng]</v>
      </c>
      <c r="C4661" s="87" t="str">
        <f>IFERROR(__xludf.DUMMYFUNCTION("""COMPUTED_VALUE"""),"NDT3866")</f>
        <v>NDT3866</v>
      </c>
      <c r="D4661" s="87" t="str">
        <f>IFERROR(__xludf.DUMMYFUNCTION("""COMPUTED_VALUE"""),"[Nhãn thùng] GC - IV - 3866 - Cty Newtex - OXYCIN 100WP (Bột trắng) - 25gr - 400")</f>
        <v>[Nhãn thùng] GC - IV - 3866 - Cty Newtex - OXYCIN 100WP (Bột trắng) - 25gr - 400</v>
      </c>
      <c r="E4661" s="87" t="str">
        <f>IFERROR(__xludf.DUMMYFUNCTION("""COMPUTED_VALUE"""),"Oxycin 100WP")</f>
        <v>Oxycin 100WP</v>
      </c>
      <c r="F4661" s="87" t="str">
        <f>IFERROR(__xludf.DUMMYFUNCTION("""COMPUTED_VALUE"""),"HH3866")</f>
        <v>HH3866</v>
      </c>
      <c r="G4661" s="87" t="str">
        <f>IFERROR(__xludf.DUMMYFUNCTION("""COMPUTED_VALUE"""),"GC - IV - 3866 - Cty Newtex - OXYCIN 100WP (Bột trắng) - 25gr - 400")</f>
        <v>GC - IV - 3866 - Cty Newtex - OXYCIN 100WP (Bột trắng) - 25gr - 400</v>
      </c>
    </row>
    <row r="4662">
      <c r="A4662" s="86">
        <f>IFERROR(__xludf.DUMMYFUNCTION("""COMPUTED_VALUE"""),4660.0)</f>
        <v>4660</v>
      </c>
      <c r="B4662" s="87" t="str">
        <f>IFERROR(__xludf.DUMMYFUNCTION("""COMPUTED_VALUE"""),"[Nhãn]")</f>
        <v>[Nhãn]</v>
      </c>
      <c r="C4662" s="87" t="str">
        <f>IFERROR(__xludf.DUMMYFUNCTION("""COMPUTED_VALUE"""),"NTN3866")</f>
        <v>NTN3866</v>
      </c>
      <c r="D4662" s="87" t="str">
        <f>IFERROR(__xludf.DUMMYFUNCTION("""COMPUTED_VALUE"""),"[Nhãn] GC - IV - 3866 - Cty Newtex - OXYCIN 100WP (Bột trắng) - 25gr - 400")</f>
        <v>[Nhãn] GC - IV - 3866 - Cty Newtex - OXYCIN 100WP (Bột trắng) - 25gr - 400</v>
      </c>
      <c r="E4662" s="87" t="str">
        <f>IFERROR(__xludf.DUMMYFUNCTION("""COMPUTED_VALUE"""),"Oxycin 100WP")</f>
        <v>Oxycin 100WP</v>
      </c>
      <c r="F4662" s="87" t="str">
        <f>IFERROR(__xludf.DUMMYFUNCTION("""COMPUTED_VALUE"""),"HH3866")</f>
        <v>HH3866</v>
      </c>
      <c r="G4662" s="87" t="str">
        <f>IFERROR(__xludf.DUMMYFUNCTION("""COMPUTED_VALUE"""),"GC - IV - 3866 - Cty Newtex - OXYCIN 100WP (Bột trắng) - 25gr - 400")</f>
        <v>GC - IV - 3866 - Cty Newtex - OXYCIN 100WP (Bột trắng) - 25gr - 400</v>
      </c>
    </row>
    <row r="4663">
      <c r="A4663" s="86">
        <f>IFERROR(__xludf.DUMMYFUNCTION("""COMPUTED_VALUE"""),4661.0)</f>
        <v>4661</v>
      </c>
      <c r="B4663" s="87" t="str">
        <f>IFERROR(__xludf.DUMMYFUNCTION("""COMPUTED_VALUE"""),"[Nhãn]")</f>
        <v>[Nhãn]</v>
      </c>
      <c r="C4663" s="87" t="str">
        <f>IFERROR(__xludf.DUMMYFUNCTION("""COMPUTED_VALUE"""),"NHG3867")</f>
        <v>NHG3867</v>
      </c>
      <c r="D4663" s="87" t="str">
        <f>IFERROR(__xludf.DUMMYFUNCTION("""COMPUTED_VALUE"""),"[Nhãn] GC - IV - 3867 - A Thời GNH - Bung Chòi Vọt Đọt (nước nâu đen) - 500ml - 40")</f>
        <v>[Nhãn] GC - IV - 3867 - A Thời GNH - Bung Chòi Vọt Đọt (nước nâu đen) - 500ml - 40</v>
      </c>
      <c r="E4663" s="87" t="str">
        <f>IFERROR(__xludf.DUMMYFUNCTION("""COMPUTED_VALUE"""),"Vi lượng Basel VA01")</f>
        <v>Vi lượng Basel VA01</v>
      </c>
      <c r="F4663" s="87" t="str">
        <f>IFERROR(__xludf.DUMMYFUNCTION("""COMPUTED_VALUE"""),"HH3867")</f>
        <v>HH3867</v>
      </c>
      <c r="G4663" s="87" t="str">
        <f>IFERROR(__xludf.DUMMYFUNCTION("""COMPUTED_VALUE"""),"GC - IV - 3867 - A Thời GNH - Bung Chòi Vọt Đọt (nước nâu đen) - 500ml - 40")</f>
        <v>GC - IV - 3867 - A Thời GNH - Bung Chòi Vọt Đọt (nước nâu đen) - 500ml - 40</v>
      </c>
    </row>
    <row r="4664">
      <c r="A4664" s="86">
        <f>IFERROR(__xludf.DUMMYFUNCTION("""COMPUTED_VALUE"""),4662.0)</f>
        <v>4662</v>
      </c>
      <c r="B4664" s="87" t="str">
        <f>IFERROR(__xludf.DUMMYFUNCTION("""COMPUTED_VALUE"""),"[Nhãn]")</f>
        <v>[Nhãn]</v>
      </c>
      <c r="C4664" s="87" t="str">
        <f>IFERROR(__xludf.DUMMYFUNCTION("""COMPUTED_VALUE"""),"NHG3868")</f>
        <v>NHG3868</v>
      </c>
      <c r="D4664" s="87" t="str">
        <f>IFERROR(__xludf.DUMMYFUNCTION("""COMPUTED_VALUE"""),"[Nhãn] IDA Global - I - 3868 - Nhện đỏ (Nước đỏ) - 240ml - 60")</f>
        <v>[Nhãn] IDA Global - I - 3868 - Nhện đỏ (Nước đỏ) - 240ml - 60</v>
      </c>
      <c r="E4664" s="87" t="str">
        <f>IFERROR(__xludf.DUMMYFUNCTION("""COMPUTED_VALUE"""),"Chitin 3.6EC")</f>
        <v>Chitin 3.6EC</v>
      </c>
      <c r="F4664" s="87" t="str">
        <f>IFERROR(__xludf.DUMMYFUNCTION("""COMPUTED_VALUE"""),"HH3868")</f>
        <v>HH3868</v>
      </c>
      <c r="G4664" s="87" t="str">
        <f>IFERROR(__xludf.DUMMYFUNCTION("""COMPUTED_VALUE"""),"IDA Global - I - 3868 - Nhện đỏ (Nước đỏ) - 240ml - 60")</f>
        <v>IDA Global - I - 3868 - Nhện đỏ (Nước đỏ) - 240ml - 60</v>
      </c>
    </row>
    <row r="4665">
      <c r="A4665" s="86">
        <f>IFERROR(__xludf.DUMMYFUNCTION("""COMPUTED_VALUE"""),4663.0)</f>
        <v>4663</v>
      </c>
      <c r="B4665" s="87" t="str">
        <f>IFERROR(__xludf.DUMMYFUNCTION("""COMPUTED_VALUE"""),"[Nhãn]")</f>
        <v>[Nhãn]</v>
      </c>
      <c r="C4665" s="87" t="str">
        <f>IFERROR(__xludf.DUMMYFUNCTION("""COMPUTED_VALUE"""),"NHG3871")</f>
        <v>NHG3871</v>
      </c>
      <c r="D4665" s="87" t="str">
        <f>IFERROR(__xludf.DUMMYFUNCTION("""COMPUTED_VALUE"""),"[Nhãn] GC - IV - 3871 - Cty Agritech (Anh Trương) - CABOR PLUS+ (Nước vàng mật ong) - 500ml - 40")</f>
        <v>[Nhãn] GC - IV - 3871 - Cty Agritech (Anh Trương) - CABOR PLUS+ (Nước vàng mật ong) - 500ml - 40</v>
      </c>
      <c r="E4665" s="87" t="str">
        <f>IFERROR(__xludf.DUMMYFUNCTION("""COMPUTED_VALUE"""),"Vi lượng Run Fast")</f>
        <v>Vi lượng Run Fast</v>
      </c>
      <c r="F4665" s="87" t="str">
        <f>IFERROR(__xludf.DUMMYFUNCTION("""COMPUTED_VALUE"""),"HH3871")</f>
        <v>HH3871</v>
      </c>
      <c r="G4665" s="87" t="str">
        <f>IFERROR(__xludf.DUMMYFUNCTION("""COMPUTED_VALUE"""),"GC - IV - 3871 - Cty Agritech (Anh Trương) - CABOR PLUS+ (Nước vàng mật ong) - 500ml - 40")</f>
        <v>GC - IV - 3871 - Cty Agritech (Anh Trương) - CABOR PLUS+ (Nước vàng mật ong) - 500ml - 40</v>
      </c>
    </row>
    <row r="4666">
      <c r="A4666" s="86">
        <f>IFERROR(__xludf.DUMMYFUNCTION("""COMPUTED_VALUE"""),4664.0)</f>
        <v>4664</v>
      </c>
      <c r="B4666" s="87" t="str">
        <f>IFERROR(__xludf.DUMMYFUNCTION("""COMPUTED_VALUE"""),"[Nhãn]")</f>
        <v>[Nhãn]</v>
      </c>
      <c r="C4666" s="87" t="str">
        <f>IFERROR(__xludf.DUMMYFUNCTION("""COMPUTED_VALUE"""),"NTN3872")</f>
        <v>NTN3872</v>
      </c>
      <c r="D4666" s="87" t="str">
        <f>IFERROR(__xludf.DUMMYFUNCTION("""COMPUTED_VALUE"""),"[Nhãn] LOTUS AGROCHEM - VII - 3872 - PN COPPERCIDE 50WP (Bột trắng) - 25gr - 200")</f>
        <v>[Nhãn] LOTUS AGROCHEM - VII - 3872 - PN COPPERCIDE 50WP (Bột trắng) - 25gr - 200</v>
      </c>
      <c r="E4666" s="87" t="str">
        <f>IFERROR(__xludf.DUMMYFUNCTION("""COMPUTED_VALUE"""),"PN COPPERCIDE 50WP")</f>
        <v>PN COPPERCIDE 50WP</v>
      </c>
      <c r="F4666" s="87" t="str">
        <f>IFERROR(__xludf.DUMMYFUNCTION("""COMPUTED_VALUE"""),"HH3872")</f>
        <v>HH3872</v>
      </c>
      <c r="G4666" s="87" t="str">
        <f>IFERROR(__xludf.DUMMYFUNCTION("""COMPUTED_VALUE"""),"LOTUS AGROCHEM - VII - 3872 - PN COPPERCIDE 50WP (Bột trắng) - 25gr - 200")</f>
        <v>LOTUS AGROCHEM - VII - 3872 - PN COPPERCIDE 50WP (Bột trắng) - 25gr - 200</v>
      </c>
    </row>
    <row r="4667">
      <c r="A4667" s="86">
        <f>IFERROR(__xludf.DUMMYFUNCTION("""COMPUTED_VALUE"""),4665.0)</f>
        <v>4665</v>
      </c>
      <c r="B4667" s="87" t="str">
        <f>IFERROR(__xludf.DUMMYFUNCTION("""COMPUTED_VALUE"""),"[Nhãn]")</f>
        <v>[Nhãn]</v>
      </c>
      <c r="C4667" s="87" t="str">
        <f>IFERROR(__xludf.DUMMYFUNCTION("""COMPUTED_VALUE"""),"NTN3873")</f>
        <v>NTN3873</v>
      </c>
      <c r="D4667" s="87" t="str">
        <f>IFERROR(__xludf.DUMMYFUNCTION("""COMPUTED_VALUE"""),"[Nhãn] LOTUS AGROCHEM - VII - 3873 - PN COPPERCIDE 50WP (Bột trắng) - 250gr - 60")</f>
        <v>[Nhãn] LOTUS AGROCHEM - VII - 3873 - PN COPPERCIDE 50WP (Bột trắng) - 250gr - 60</v>
      </c>
      <c r="E4667" s="87" t="str">
        <f>IFERROR(__xludf.DUMMYFUNCTION("""COMPUTED_VALUE"""),"PN COPPERCIDE 50WP")</f>
        <v>PN COPPERCIDE 50WP</v>
      </c>
      <c r="F4667" s="87" t="str">
        <f>IFERROR(__xludf.DUMMYFUNCTION("""COMPUTED_VALUE"""),"HH3873")</f>
        <v>HH3873</v>
      </c>
      <c r="G4667" s="87" t="str">
        <f>IFERROR(__xludf.DUMMYFUNCTION("""COMPUTED_VALUE"""),"LOTUS AGROCHEM - VII - 3873 - PN COPPERCIDE 50WP (Bột trắng) - 250gr - 60")</f>
        <v>LOTUS AGROCHEM - VII - 3873 - PN COPPERCIDE 50WP (Bột trắng) - 250gr - 60</v>
      </c>
    </row>
    <row r="4668">
      <c r="A4668" s="86">
        <f>IFERROR(__xludf.DUMMYFUNCTION("""COMPUTED_VALUE"""),4666.0)</f>
        <v>4666</v>
      </c>
      <c r="B4668" s="87" t="str">
        <f>IFERROR(__xludf.DUMMYFUNCTION("""COMPUTED_VALUE"""),"[Nhãn thùng]")</f>
        <v>[Nhãn thùng]</v>
      </c>
      <c r="C4668" s="87" t="str">
        <f>IFERROR(__xludf.DUMMYFUNCTION("""COMPUTED_VALUE"""),"NDT3873")</f>
        <v>NDT3873</v>
      </c>
      <c r="D4668" s="87" t="str">
        <f>IFERROR(__xludf.DUMMYFUNCTION("""COMPUTED_VALUE"""),"[Nhãn thùng] LOTUS AGROCHEM - VII - 3873 - PN COPPERCIDE 50WP (Bột trắng) - 250gr - 60")</f>
        <v>[Nhãn thùng] LOTUS AGROCHEM - VII - 3873 - PN COPPERCIDE 50WP (Bột trắng) - 250gr - 60</v>
      </c>
      <c r="E4668" s="87" t="str">
        <f>IFERROR(__xludf.DUMMYFUNCTION("""COMPUTED_VALUE"""),"PN COPPERCIDE 50WP")</f>
        <v>PN COPPERCIDE 50WP</v>
      </c>
      <c r="F4668" s="87" t="str">
        <f>IFERROR(__xludf.DUMMYFUNCTION("""COMPUTED_VALUE"""),"HH3873")</f>
        <v>HH3873</v>
      </c>
      <c r="G4668" s="87" t="str">
        <f>IFERROR(__xludf.DUMMYFUNCTION("""COMPUTED_VALUE"""),"LOTUS AGROCHEM - VII - 3873 - PN COPPERCIDE 50WP (Bột trắng) - 250gr - 60")</f>
        <v>LOTUS AGROCHEM - VII - 3873 - PN COPPERCIDE 50WP (Bột trắng) - 250gr - 60</v>
      </c>
    </row>
    <row r="4669">
      <c r="A4669" s="86">
        <f>IFERROR(__xludf.DUMMYFUNCTION("""COMPUTED_VALUE"""),4667.0)</f>
        <v>4667</v>
      </c>
      <c r="B4669" s="87" t="str">
        <f>IFERROR(__xludf.DUMMYFUNCTION("""COMPUTED_VALUE"""),"[Nhãn]")</f>
        <v>[Nhãn]</v>
      </c>
      <c r="C4669" s="87" t="str">
        <f>IFERROR(__xludf.DUMMYFUNCTION("""COMPUTED_VALUE"""),"NHG3876")</f>
        <v>NHG3876</v>
      </c>
      <c r="D4669" s="87" t="str">
        <f>IFERROR(__xludf.DUMMYFUNCTION("""COMPUTED_VALUE"""),"[Nhãn] GC - IV - 3876 - CTY HƯƠNG NÔNG - ĐÂM CHỒI (Nước xanh bơ sữa) - 100ml - 50")</f>
        <v>[Nhãn] GC - IV - 3876 - CTY HƯƠNG NÔNG - ĐÂM CHỒI (Nước xanh bơ sữa) - 100ml - 50</v>
      </c>
      <c r="E4669" s="87" t="str">
        <f>IFERROR(__xludf.DUMMYFUNCTION("""COMPUTED_VALUE"""),"Hỗn Hợp NP AGAMA-AP")</f>
        <v>Hỗn Hợp NP AGAMA-AP</v>
      </c>
      <c r="F4669" s="87" t="str">
        <f>IFERROR(__xludf.DUMMYFUNCTION("""COMPUTED_VALUE"""),"HH3876")</f>
        <v>HH3876</v>
      </c>
      <c r="G4669" s="87" t="str">
        <f>IFERROR(__xludf.DUMMYFUNCTION("""COMPUTED_VALUE"""),"GC - IV - 3876 - CTY HƯƠNG NÔNG - ĐÂM CHỒI (Nước xanh bơ sữa) - 100ml - 50")</f>
        <v>GC - IV - 3876 - CTY HƯƠNG NÔNG - ĐÂM CHỒI (Nước xanh bơ sữa) - 100ml - 50</v>
      </c>
    </row>
    <row r="4670">
      <c r="A4670" s="86">
        <f>IFERROR(__xludf.DUMMYFUNCTION("""COMPUTED_VALUE"""),4668.0)</f>
        <v>4668</v>
      </c>
      <c r="B4670" s="87" t="str">
        <f>IFERROR(__xludf.DUMMYFUNCTION("""COMPUTED_VALUE"""),"[Nhãn]")</f>
        <v>[Nhãn]</v>
      </c>
      <c r="C4670" s="87" t="str">
        <f>IFERROR(__xludf.DUMMYFUNCTION("""COMPUTED_VALUE"""),"NHG3877")</f>
        <v>NHG3877</v>
      </c>
      <c r="D4670" s="87" t="str">
        <f>IFERROR(__xludf.DUMMYFUNCTION("""COMPUTED_VALUE"""),"[Nhãn] GC - II - 3877 - GC.NANOFISH - STOP 25 (nước nâu đen) - 1L - 20")</f>
        <v>[Nhãn] GC - II - 3877 - GC.NANOFISH - STOP 25 (nước nâu đen) - 1L - 20</v>
      </c>
      <c r="E4670" s="87" t="str">
        <f>IFERROR(__xludf.DUMMYFUNCTION("""COMPUTED_VALUE"""),"Vi lượng Quantity New")</f>
        <v>Vi lượng Quantity New</v>
      </c>
      <c r="F4670" s="87" t="str">
        <f>IFERROR(__xludf.DUMMYFUNCTION("""COMPUTED_VALUE"""),"HH3877")</f>
        <v>HH3877</v>
      </c>
      <c r="G4670" s="87" t="str">
        <f>IFERROR(__xludf.DUMMYFUNCTION("""COMPUTED_VALUE"""),"GC - II - 3877 - GC.NANOFISH - STOP 25 (nước nâu đen) - 1L - 20")</f>
        <v>GC - II - 3877 - GC.NANOFISH - STOP 25 (nước nâu đen) - 1L - 20</v>
      </c>
    </row>
    <row r="4671">
      <c r="A4671" s="86">
        <f>IFERROR(__xludf.DUMMYFUNCTION("""COMPUTED_VALUE"""),4669.0)</f>
        <v>4669</v>
      </c>
      <c r="B4671" s="87" t="str">
        <f>IFERROR(__xludf.DUMMYFUNCTION("""COMPUTED_VALUE"""),"[Nhãn]")</f>
        <v>[Nhãn]</v>
      </c>
      <c r="C4671" s="87" t="str">
        <f>IFERROR(__xludf.DUMMYFUNCTION("""COMPUTED_VALUE"""),"NHG3878")</f>
        <v>NHG3878</v>
      </c>
      <c r="D4671" s="87" t="str">
        <f>IFERROR(__xludf.DUMMYFUNCTION("""COMPUTED_VALUE"""),"[Nhãn] GC - IV - 3878 - Agritech (Anh Trương) - MI STOP 350SC (Nước vàng chanh) - 240ml - 40")</f>
        <v>[Nhãn] GC - IV - 3878 - Agritech (Anh Trương) - MI STOP 350SC (Nước vàng chanh) - 240ml - 40</v>
      </c>
      <c r="E4671" s="87" t="str">
        <f>IFERROR(__xludf.DUMMYFUNCTION("""COMPUTED_VALUE"""),"MI STOP 350SC")</f>
        <v>MI STOP 350SC</v>
      </c>
      <c r="F4671" s="87" t="str">
        <f>IFERROR(__xludf.DUMMYFUNCTION("""COMPUTED_VALUE"""),"HH3878")</f>
        <v>HH3878</v>
      </c>
      <c r="G4671" s="87" t="str">
        <f>IFERROR(__xludf.DUMMYFUNCTION("""COMPUTED_VALUE"""),"GC - IV - 3878 - Agritech (Anh Trương) - MI STOP 350SC (Nước vàng chanh) - 240ml - 40")</f>
        <v>GC - IV - 3878 - Agritech (Anh Trương) - MI STOP 350SC (Nước vàng chanh) - 240ml - 40</v>
      </c>
    </row>
    <row r="4672">
      <c r="A4672" s="86">
        <f>IFERROR(__xludf.DUMMYFUNCTION("""COMPUTED_VALUE"""),4670.0)</f>
        <v>4670</v>
      </c>
      <c r="B4672" s="87" t="str">
        <f>IFERROR(__xludf.DUMMYFUNCTION("""COMPUTED_VALUE"""),"[Nhãn thùng]")</f>
        <v>[Nhãn thùng]</v>
      </c>
      <c r="C4672" s="87" t="str">
        <f>IFERROR(__xludf.DUMMYFUNCTION("""COMPUTED_VALUE"""),"NDT3879")</f>
        <v>NDT3879</v>
      </c>
      <c r="D4672" s="87" t="str">
        <f>IFERROR(__xludf.DUMMYFUNCTION("""COMPUTED_VALUE"""),"[Nhãn thùng] GC - IV - 3879 - CTY NGỌC BẢO LONG AGRI - HAIHAMEC 3.6EC (nước nâu đen) - 450ml - 40")</f>
        <v>[Nhãn thùng] GC - IV - 3879 - CTY NGỌC BẢO LONG AGRI - HAIHAMEC 3.6EC (nước nâu đen) - 450ml - 40</v>
      </c>
      <c r="E4672" s="87" t="str">
        <f>IFERROR(__xludf.DUMMYFUNCTION("""COMPUTED_VALUE"""),"HAIHAMEC 3.6EC")</f>
        <v>HAIHAMEC 3.6EC</v>
      </c>
      <c r="F4672" s="87" t="str">
        <f>IFERROR(__xludf.DUMMYFUNCTION("""COMPUTED_VALUE"""),"HH3879")</f>
        <v>HH3879</v>
      </c>
      <c r="G4672" s="87" t="str">
        <f>IFERROR(__xludf.DUMMYFUNCTION("""COMPUTED_VALUE"""),"GC - IV - 3879 - CTY NGỌC BẢO LONG AGRI - HAIHAMEC 3.6EC (nước nâu đen) - 450ml - 40")</f>
        <v>GC - IV - 3879 - CTY NGỌC BẢO LONG AGRI - HAIHAMEC 3.6EC (nước nâu đen) - 450ml - 40</v>
      </c>
    </row>
    <row r="4673">
      <c r="A4673" s="86">
        <f>IFERROR(__xludf.DUMMYFUNCTION("""COMPUTED_VALUE"""),4671.0)</f>
        <v>4671</v>
      </c>
      <c r="B4673" s="87" t="str">
        <f>IFERROR(__xludf.DUMMYFUNCTION("""COMPUTED_VALUE"""),"[Nhãn]")</f>
        <v>[Nhãn]</v>
      </c>
      <c r="C4673" s="87" t="str">
        <f>IFERROR(__xludf.DUMMYFUNCTION("""COMPUTED_VALUE"""),"NHD3879")</f>
        <v>NHD3879</v>
      </c>
      <c r="D4673" s="87" t="str">
        <f>IFERROR(__xludf.DUMMYFUNCTION("""COMPUTED_VALUE"""),"[Nhãn] GC - IV - 3879 - CTY NGỌC BẢO LONG AGRI - HAIHAMEC 3.6EC (nước nâu đen) - 450ml - 40")</f>
        <v>[Nhãn] GC - IV - 3879 - CTY NGỌC BẢO LONG AGRI - HAIHAMEC 3.6EC (nước nâu đen) - 450ml - 40</v>
      </c>
      <c r="E4673" s="87" t="str">
        <f>IFERROR(__xludf.DUMMYFUNCTION("""COMPUTED_VALUE"""),"HAIHAMEC 3.6EC")</f>
        <v>HAIHAMEC 3.6EC</v>
      </c>
      <c r="F4673" s="87" t="str">
        <f>IFERROR(__xludf.DUMMYFUNCTION("""COMPUTED_VALUE"""),"HH3879")</f>
        <v>HH3879</v>
      </c>
      <c r="G4673" s="87" t="str">
        <f>IFERROR(__xludf.DUMMYFUNCTION("""COMPUTED_VALUE"""),"GC - IV - 3879 - CTY NGỌC BẢO LONG AGRI - HAIHAMEC 3.6EC (nước nâu đen) - 450ml - 40")</f>
        <v>GC - IV - 3879 - CTY NGỌC BẢO LONG AGRI - HAIHAMEC 3.6EC (nước nâu đen) - 450ml - 40</v>
      </c>
    </row>
    <row r="4674">
      <c r="A4674" s="86">
        <f>IFERROR(__xludf.DUMMYFUNCTION("""COMPUTED_VALUE"""),4672.0)</f>
        <v>4672</v>
      </c>
      <c r="B4674" s="87" t="str">
        <f>IFERROR(__xludf.DUMMYFUNCTION("""COMPUTED_VALUE"""),"[Nhãn]")</f>
        <v>[Nhãn]</v>
      </c>
      <c r="C4674" s="87" t="str">
        <f>IFERROR(__xludf.DUMMYFUNCTION("""COMPUTED_VALUE"""),"NHD3881")</f>
        <v>NHD3881</v>
      </c>
      <c r="D4674" s="87" t="str">
        <f>IFERROR(__xludf.DUMMYFUNCTION("""COMPUTED_VALUE"""),"[Nhãn] LOT IDA Global - I - 3881 - HE - CHITIN 3.6EC (nước nâu đen) - 450ml - 40")</f>
        <v>[Nhãn] LOT IDA Global - I - 3881 - HE - CHITIN 3.6EC (nước nâu đen) - 450ml - 40</v>
      </c>
      <c r="E4674" s="87" t="str">
        <f>IFERROR(__xludf.DUMMYFUNCTION("""COMPUTED_VALUE"""),"Chitin 3.6EC")</f>
        <v>Chitin 3.6EC</v>
      </c>
      <c r="F4674" s="87" t="str">
        <f>IFERROR(__xludf.DUMMYFUNCTION("""COMPUTED_VALUE"""),"HH3881")</f>
        <v>HH3881</v>
      </c>
      <c r="G4674" s="87" t="str">
        <f>IFERROR(__xludf.DUMMYFUNCTION("""COMPUTED_VALUE"""),"LOT IDA Global - I - 3881 - HE - CHITIN 3.6EC (nước nâu đen) - 450ml - 40")</f>
        <v>LOT IDA Global - I - 3881 - HE - CHITIN 3.6EC (nước nâu đen) - 450ml - 40</v>
      </c>
    </row>
    <row r="4675">
      <c r="A4675" s="86">
        <f>IFERROR(__xludf.DUMMYFUNCTION("""COMPUTED_VALUE"""),4673.0)</f>
        <v>4673</v>
      </c>
      <c r="B4675" s="87" t="str">
        <f>IFERROR(__xludf.DUMMYFUNCTION("""COMPUTED_VALUE"""),"[Nhãn]")</f>
        <v>[Nhãn]</v>
      </c>
      <c r="C4675" s="87" t="str">
        <f>IFERROR(__xludf.DUMMYFUNCTION("""COMPUTED_VALUE"""),"NHG3882")</f>
        <v>NHG3882</v>
      </c>
      <c r="D4675" s="87" t="str">
        <f>IFERROR(__xludf.DUMMYFUNCTION("""COMPUTED_VALUE"""),"[Nhãn] GC - IV - 3882 - CTY NGỌC BẢO LONG AGRI - SIÊU VÔ GẠO (nước nâu đen) - 500ml - 30")</f>
        <v>[Nhãn] GC - IV - 3882 - CTY NGỌC BẢO LONG AGRI - SIÊU VÔ GẠO (nước nâu đen) - 500ml - 30</v>
      </c>
      <c r="E4675" s="87" t="str">
        <f>IFERROR(__xludf.DUMMYFUNCTION("""COMPUTED_VALUE"""),"Vi lượng AGAMA-SUPPORT")</f>
        <v>Vi lượng AGAMA-SUPPORT</v>
      </c>
      <c r="F4675" s="87" t="str">
        <f>IFERROR(__xludf.DUMMYFUNCTION("""COMPUTED_VALUE"""),"HH3882")</f>
        <v>HH3882</v>
      </c>
      <c r="G4675" s="87" t="str">
        <f>IFERROR(__xludf.DUMMYFUNCTION("""COMPUTED_VALUE"""),"GC - IV - 3882 - CTY NGỌC BẢO LONG AGRI - SIÊU VÔ GẠO (nước nâu đen) - 500ml - 30")</f>
        <v>GC - IV - 3882 - CTY NGỌC BẢO LONG AGRI - SIÊU VÔ GẠO (nước nâu đen) - 500ml - 30</v>
      </c>
    </row>
    <row r="4676">
      <c r="A4676" s="86">
        <f>IFERROR(__xludf.DUMMYFUNCTION("""COMPUTED_VALUE"""),4674.0)</f>
        <v>4674</v>
      </c>
      <c r="B4676" s="87" t="str">
        <f>IFERROR(__xludf.DUMMYFUNCTION("""COMPUTED_VALUE"""),"[Nhãn]")</f>
        <v>[Nhãn]</v>
      </c>
      <c r="C4676" s="87" t="str">
        <f>IFERROR(__xludf.DUMMYFUNCTION("""COMPUTED_VALUE"""),"NHD3883")</f>
        <v>NHD3883</v>
      </c>
      <c r="D4676" s="87" t="str">
        <f>IFERROR(__xludf.DUMMYFUNCTION("""COMPUTED_VALUE"""),"[Nhãn] GC - IV - 3883 - CTY DONA VINA - CANXIBO MAXI (Nước trắng sữa) - 500ml - 40")</f>
        <v>[Nhãn] GC - IV - 3883 - CTY DONA VINA - CANXIBO MAXI (Nước trắng sữa) - 500ml - 40</v>
      </c>
      <c r="E4676" s="87" t="str">
        <f>IFERROR(__xludf.DUMMYFUNCTION("""COMPUTED_VALUE"""),"Vi lượng AGAMA-CANXI BO")</f>
        <v>Vi lượng AGAMA-CANXI BO</v>
      </c>
      <c r="F4676" s="87" t="str">
        <f>IFERROR(__xludf.DUMMYFUNCTION("""COMPUTED_VALUE"""),"HH3883")</f>
        <v>HH3883</v>
      </c>
      <c r="G4676" s="87" t="str">
        <f>IFERROR(__xludf.DUMMYFUNCTION("""COMPUTED_VALUE"""),"GC - IV - 3883 - CTY DONA VINA - CANXIBO MAXI (Nước trắng sữa) - 500ml - 40")</f>
        <v>GC - IV - 3883 - CTY DONA VINA - CANXIBO MAXI (Nước trắng sữa) - 500ml - 40</v>
      </c>
    </row>
    <row r="4677">
      <c r="A4677" s="86">
        <f>IFERROR(__xludf.DUMMYFUNCTION("""COMPUTED_VALUE"""),4675.0)</f>
        <v>4675</v>
      </c>
      <c r="B4677" s="87" t="str">
        <f>IFERROR(__xludf.DUMMYFUNCTION("""COMPUTED_VALUE"""),"[Nhãn thùng]")</f>
        <v>[Nhãn thùng]</v>
      </c>
      <c r="C4677" s="87" t="str">
        <f>IFERROR(__xludf.DUMMYFUNCTION("""COMPUTED_VALUE"""),"NDT3883")</f>
        <v>NDT3883</v>
      </c>
      <c r="D4677" s="87" t="str">
        <f>IFERROR(__xludf.DUMMYFUNCTION("""COMPUTED_VALUE"""),"[Nhãn thùng] GC - IV - 3883 - CTY DONA VINA - CANXIBO MAXI (Nước trắng sữa) - 500ml - 40")</f>
        <v>[Nhãn thùng] GC - IV - 3883 - CTY DONA VINA - CANXIBO MAXI (Nước trắng sữa) - 500ml - 40</v>
      </c>
      <c r="E4677" s="87" t="str">
        <f>IFERROR(__xludf.DUMMYFUNCTION("""COMPUTED_VALUE"""),"Vi lượng AGAMA-CANXI BO")</f>
        <v>Vi lượng AGAMA-CANXI BO</v>
      </c>
      <c r="F4677" s="87" t="str">
        <f>IFERROR(__xludf.DUMMYFUNCTION("""COMPUTED_VALUE"""),"HH3883")</f>
        <v>HH3883</v>
      </c>
      <c r="G4677" s="87" t="str">
        <f>IFERROR(__xludf.DUMMYFUNCTION("""COMPUTED_VALUE"""),"GC - IV - 3883 - CTY DONA VINA - CANXIBO MAXI (Nước trắng sữa) - 500ml - 40")</f>
        <v>GC - IV - 3883 - CTY DONA VINA - CANXIBO MAXI (Nước trắng sữa) - 500ml - 40</v>
      </c>
    </row>
    <row r="4678">
      <c r="A4678" s="86">
        <f>IFERROR(__xludf.DUMMYFUNCTION("""COMPUTED_VALUE"""),4676.0)</f>
        <v>4676</v>
      </c>
      <c r="B4678" s="87" t="str">
        <f>IFERROR(__xludf.DUMMYFUNCTION("""COMPUTED_VALUE"""),"[Nhãn]")</f>
        <v>[Nhãn]</v>
      </c>
      <c r="C4678" s="87" t="str">
        <f>IFERROR(__xludf.DUMMYFUNCTION("""COMPUTED_VALUE"""),"NHG3884")</f>
        <v>NHG3884</v>
      </c>
      <c r="D4678" s="87" t="str">
        <f>IFERROR(__xludf.DUMMYFUNCTION("""COMPUTED_VALUE"""),"[Nhãn] GC - IV - 3884 - BA MÙA - Mekongvil 5SC (Nước sữa trắng) - 1L - 20")</f>
        <v>[Nhãn] GC - IV - 3884 - BA MÙA - Mekongvil 5SC (Nước sữa trắng) - 1L - 20</v>
      </c>
      <c r="E4678" s="87" t="str">
        <f>IFERROR(__xludf.DUMMYFUNCTION("""COMPUTED_VALUE"""),"Mekongvil 5SC")</f>
        <v>Mekongvil 5SC</v>
      </c>
      <c r="F4678" s="87" t="str">
        <f>IFERROR(__xludf.DUMMYFUNCTION("""COMPUTED_VALUE"""),"HH3884")</f>
        <v>HH3884</v>
      </c>
      <c r="G4678" s="87" t="str">
        <f>IFERROR(__xludf.DUMMYFUNCTION("""COMPUTED_VALUE"""),"GC - IV - 3884 - BA MÙA - Mekongvil 5SC (Nước sữa trắng) - 1L - 20")</f>
        <v>GC - IV - 3884 - BA MÙA - Mekongvil 5SC (Nước sữa trắng) - 1L - 20</v>
      </c>
    </row>
    <row r="4679">
      <c r="A4679" s="86">
        <f>IFERROR(__xludf.DUMMYFUNCTION("""COMPUTED_VALUE"""),4677.0)</f>
        <v>4677</v>
      </c>
      <c r="B4679" s="87" t="str">
        <f>IFERROR(__xludf.DUMMYFUNCTION("""COMPUTED_VALUE"""),"[Nhãn]")</f>
        <v>[Nhãn]</v>
      </c>
      <c r="C4679" s="87" t="str">
        <f>IFERROR(__xludf.DUMMYFUNCTION("""COMPUTED_VALUE"""),"NHG3887")</f>
        <v>NHG3887</v>
      </c>
      <c r="D4679" s="87" t="str">
        <f>IFERROR(__xludf.DUMMYFUNCTION("""COMPUTED_VALUE"""),"[Nhãn] IDA Global - I - 3887 - VG RICE 01 - 500ml - 40")</f>
        <v>[Nhãn] IDA Global - I - 3887 - VG RICE 01 - 500ml - 40</v>
      </c>
      <c r="E4679" s="87" t="str">
        <f>IFERROR(__xludf.DUMMYFUNCTION("""COMPUTED_VALUE"""),"Vi lượng AGAMA-SUPPORT")</f>
        <v>Vi lượng AGAMA-SUPPORT</v>
      </c>
      <c r="F4679" s="87" t="str">
        <f>IFERROR(__xludf.DUMMYFUNCTION("""COMPUTED_VALUE"""),"HH3887")</f>
        <v>HH3887</v>
      </c>
      <c r="G4679" s="87" t="str">
        <f>IFERROR(__xludf.DUMMYFUNCTION("""COMPUTED_VALUE"""),"IDA Global - I - 3887 - VG RICE 01 - 500ml - 40")</f>
        <v>IDA Global - I - 3887 - VG RICE 01 - 500ml - 40</v>
      </c>
    </row>
    <row r="4680">
      <c r="A4680" s="86">
        <f>IFERROR(__xludf.DUMMYFUNCTION("""COMPUTED_VALUE"""),4678.0)</f>
        <v>4678</v>
      </c>
      <c r="B4680" s="87" t="str">
        <f>IFERROR(__xludf.DUMMYFUNCTION("""COMPUTED_VALUE"""),"[Nhãn]")</f>
        <v>[Nhãn]</v>
      </c>
      <c r="C4680" s="87" t="str">
        <f>IFERROR(__xludf.DUMMYFUNCTION("""COMPUTED_VALUE"""),"NHG3888")</f>
        <v>NHG3888</v>
      </c>
      <c r="D4680" s="87" t="str">
        <f>IFERROR(__xludf.DUMMYFUNCTION("""COMPUTED_VALUE"""),"[Nhãn] IDA Global - I - 3888 - VG RICE 02 - 500ml - 40")</f>
        <v>[Nhãn] IDA Global - I - 3888 - VG RICE 02 - 500ml - 40</v>
      </c>
      <c r="E4680" s="87" t="str">
        <f>IFERROR(__xludf.DUMMYFUNCTION("""COMPUTED_VALUE"""),"NPK-vi lượng HC CAN")</f>
        <v>NPK-vi lượng HC CAN</v>
      </c>
      <c r="F4680" s="87" t="str">
        <f>IFERROR(__xludf.DUMMYFUNCTION("""COMPUTED_VALUE"""),"HH3888")</f>
        <v>HH3888</v>
      </c>
      <c r="G4680" s="87" t="str">
        <f>IFERROR(__xludf.DUMMYFUNCTION("""COMPUTED_VALUE"""),"IDA Global - I - 3888 - VG RICE 02 - 500ml - 40")</f>
        <v>IDA Global - I - 3888 - VG RICE 02 - 500ml - 40</v>
      </c>
    </row>
    <row r="4681">
      <c r="A4681" s="86">
        <f>IFERROR(__xludf.DUMMYFUNCTION("""COMPUTED_VALUE"""),4679.0)</f>
        <v>4679</v>
      </c>
      <c r="B4681" s="87" t="str">
        <f>IFERROR(__xludf.DUMMYFUNCTION("""COMPUTED_VALUE"""),"[Nhãn]")</f>
        <v>[Nhãn]</v>
      </c>
      <c r="C4681" s="87" t="str">
        <f>IFERROR(__xludf.DUMMYFUNCTION("""COMPUTED_VALUE"""),"NHG3889")</f>
        <v>NHG3889</v>
      </c>
      <c r="D4681" s="87" t="str">
        <f>IFERROR(__xludf.DUMMYFUNCTION("""COMPUTED_VALUE"""),"[Nhãn] GC - V - 3889 - N2SBIO - ROOTS + (Nước nâu đen) - 100ML - 50")</f>
        <v>[Nhãn] GC - V - 3889 - N2SBIO - ROOTS + (Nước nâu đen) - 100ML - 50</v>
      </c>
      <c r="E4681" s="87" t="str">
        <f>IFERROR(__xludf.DUMMYFUNCTION("""COMPUTED_VALUE"""),"Hữu cơ ROOTS US90")</f>
        <v>Hữu cơ ROOTS US90</v>
      </c>
      <c r="F4681" s="87" t="str">
        <f>IFERROR(__xludf.DUMMYFUNCTION("""COMPUTED_VALUE"""),"HH3889")</f>
        <v>HH3889</v>
      </c>
      <c r="G4681" s="87" t="str">
        <f>IFERROR(__xludf.DUMMYFUNCTION("""COMPUTED_VALUE"""),"GC - V - 3889 - N2SBIO - ROOTS + (Nước nâu đen) - 100ML - 50")</f>
        <v>GC - V - 3889 - N2SBIO - ROOTS + (Nước nâu đen) - 100ML - 50</v>
      </c>
    </row>
    <row r="4682">
      <c r="A4682" s="86">
        <f>IFERROR(__xludf.DUMMYFUNCTION("""COMPUTED_VALUE"""),4680.0)</f>
        <v>4680</v>
      </c>
      <c r="B4682" s="87" t="str">
        <f>IFERROR(__xludf.DUMMYFUNCTION("""COMPUTED_VALUE"""),"[Nhãn]")</f>
        <v>[Nhãn]</v>
      </c>
      <c r="C4682" s="87" t="str">
        <f>IFERROR(__xludf.DUMMYFUNCTION("""COMPUTED_VALUE"""),"NTN3892")</f>
        <v>NTN3892</v>
      </c>
      <c r="D4682" s="87" t="str">
        <f>IFERROR(__xludf.DUMMYFUNCTION("""COMPUTED_VALUE"""),"[Nhãn] IDA Global - I - 3892 - FORTAZEB 72WP (Bột xanh) - 1kg - 20")</f>
        <v>[Nhãn] IDA Global - I - 3892 - FORTAZEB 72WP (Bột xanh) - 1kg - 20</v>
      </c>
      <c r="E4682" s="87" t="str">
        <f>IFERROR(__xludf.DUMMYFUNCTION("""COMPUTED_VALUE"""),"FORTAZEB 72WP")</f>
        <v>FORTAZEB 72WP</v>
      </c>
      <c r="F4682" s="87" t="str">
        <f>IFERROR(__xludf.DUMMYFUNCTION("""COMPUTED_VALUE"""),"HH3892")</f>
        <v>HH3892</v>
      </c>
      <c r="G4682" s="87" t="str">
        <f>IFERROR(__xludf.DUMMYFUNCTION("""COMPUTED_VALUE"""),"IDA Global - I - 3892 - FORTAZEB 72WP (Bột xanh) - 1kg - 20")</f>
        <v>IDA Global - I - 3892 - FORTAZEB 72WP (Bột xanh) - 1kg - 20</v>
      </c>
    </row>
    <row r="4683">
      <c r="A4683" s="86">
        <f>IFERROR(__xludf.DUMMYFUNCTION("""COMPUTED_VALUE"""),4681.0)</f>
        <v>4681</v>
      </c>
      <c r="B4683" s="87" t="str">
        <f>IFERROR(__xludf.DUMMYFUNCTION("""COMPUTED_VALUE"""),"[Nhãn thùng]")</f>
        <v>[Nhãn thùng]</v>
      </c>
      <c r="C4683" s="87" t="str">
        <f>IFERROR(__xludf.DUMMYFUNCTION("""COMPUTED_VALUE"""),"NDT3892")</f>
        <v>NDT3892</v>
      </c>
      <c r="D4683" s="87" t="str">
        <f>IFERROR(__xludf.DUMMYFUNCTION("""COMPUTED_VALUE"""),"[Nhãn thùng] IDA Global - I - 3892 - FORTAZEB 72WP (Bột xanh) - 1kg - 20")</f>
        <v>[Nhãn thùng] IDA Global - I - 3892 - FORTAZEB 72WP (Bột xanh) - 1kg - 20</v>
      </c>
      <c r="E4683" s="87" t="str">
        <f>IFERROR(__xludf.DUMMYFUNCTION("""COMPUTED_VALUE"""),"FORTAZEB 72WP")</f>
        <v>FORTAZEB 72WP</v>
      </c>
      <c r="F4683" s="87" t="str">
        <f>IFERROR(__xludf.DUMMYFUNCTION("""COMPUTED_VALUE"""),"HH3892")</f>
        <v>HH3892</v>
      </c>
      <c r="G4683" s="87" t="str">
        <f>IFERROR(__xludf.DUMMYFUNCTION("""COMPUTED_VALUE"""),"IDA Global - I - 3892 - FORTAZEB 72WP (Bột xanh) - 1kg - 20")</f>
        <v>IDA Global - I - 3892 - FORTAZEB 72WP (Bột xanh) - 1kg - 20</v>
      </c>
    </row>
    <row r="4684">
      <c r="A4684" s="86">
        <f>IFERROR(__xludf.DUMMYFUNCTION("""COMPUTED_VALUE"""),4682.0)</f>
        <v>4682</v>
      </c>
      <c r="B4684" s="87" t="str">
        <f>IFERROR(__xludf.DUMMYFUNCTION("""COMPUTED_VALUE"""),"[Nhãn]")</f>
        <v>[Nhãn]</v>
      </c>
      <c r="C4684" s="87" t="str">
        <f>IFERROR(__xludf.DUMMYFUNCTION("""COMPUTED_VALUE"""),"NHG3893")</f>
        <v>NHG3893</v>
      </c>
      <c r="D4684" s="87" t="str">
        <f>IFERROR(__xludf.DUMMYFUNCTION("""COMPUTED_VALUE"""),"[Nhãn] GC - IV - 3893 - Cty GNH (A.Thời) - Ra Rễ Nở Bụi (nước nâu đen) - 500ml - 40")</f>
        <v>[Nhãn] GC - IV - 3893 - Cty GNH (A.Thời) - Ra Rễ Nở Bụi (nước nâu đen) - 500ml - 40</v>
      </c>
      <c r="E4684" s="87" t="str">
        <f>IFERROR(__xludf.DUMMYFUNCTION("""COMPUTED_VALUE"""),"Vi lượng Quantity New")</f>
        <v>Vi lượng Quantity New</v>
      </c>
      <c r="F4684" s="87" t="str">
        <f>IFERROR(__xludf.DUMMYFUNCTION("""COMPUTED_VALUE"""),"HH3893")</f>
        <v>HH3893</v>
      </c>
      <c r="G4684" s="87" t="str">
        <f>IFERROR(__xludf.DUMMYFUNCTION("""COMPUTED_VALUE"""),"GC - IV - 3893 - Cty GNH (A.Thời) - Ra Rễ Nở Bụi (nước nâu đen) - 500ml - 40")</f>
        <v>GC - IV - 3893 - Cty GNH (A.Thời) - Ra Rễ Nở Bụi (nước nâu đen) - 500ml - 40</v>
      </c>
    </row>
    <row r="4685">
      <c r="A4685" s="86">
        <f>IFERROR(__xludf.DUMMYFUNCTION("""COMPUTED_VALUE"""),4683.0)</f>
        <v>4683</v>
      </c>
      <c r="B4685" s="87" t="str">
        <f>IFERROR(__xludf.DUMMYFUNCTION("""COMPUTED_VALUE"""),"[Nhãn]")</f>
        <v>[Nhãn]</v>
      </c>
      <c r="C4685" s="87" t="str">
        <f>IFERROR(__xludf.DUMMYFUNCTION("""COMPUTED_VALUE"""),"NHG3894")</f>
        <v>NHG3894</v>
      </c>
      <c r="D4685" s="87" t="str">
        <f>IFERROR(__xludf.DUMMYFUNCTION("""COMPUTED_VALUE"""),"[Nhãn] LOT IDA Global - I - 3894 - An Phát Nông - CALCIBOR (Nước vàng) - 500ml - 40")</f>
        <v>[Nhãn] LOT IDA Global - I - 3894 - An Phát Nông - CALCIBOR (Nước vàng) - 500ml - 40</v>
      </c>
      <c r="E4685" s="87" t="str">
        <f>IFERROR(__xludf.DUMMYFUNCTION("""COMPUTED_VALUE"""),"Vi lượng Run Fast")</f>
        <v>Vi lượng Run Fast</v>
      </c>
      <c r="F4685" s="87" t="str">
        <f>IFERROR(__xludf.DUMMYFUNCTION("""COMPUTED_VALUE"""),"HH3894")</f>
        <v>HH3894</v>
      </c>
      <c r="G4685" s="87" t="str">
        <f>IFERROR(__xludf.DUMMYFUNCTION("""COMPUTED_VALUE"""),"LOT IDA Global - I - 3894 - An Phát Nông - CALCIBOR (Nước vàng) - 500ml - 40")</f>
        <v>LOT IDA Global - I - 3894 - An Phát Nông - CALCIBOR (Nước vàng) - 500ml - 40</v>
      </c>
    </row>
    <row r="4686">
      <c r="A4686" s="86">
        <f>IFERROR(__xludf.DUMMYFUNCTION("""COMPUTED_VALUE"""),4684.0)</f>
        <v>4684</v>
      </c>
      <c r="B4686" s="87" t="str">
        <f>IFERROR(__xludf.DUMMYFUNCTION("""COMPUTED_VALUE"""),"[Nhãn thùng]")</f>
        <v>[Nhãn thùng]</v>
      </c>
      <c r="C4686" s="87" t="str">
        <f>IFERROR(__xludf.DUMMYFUNCTION("""COMPUTED_VALUE"""),"NDT3895")</f>
        <v>NDT3895</v>
      </c>
      <c r="D4686" s="87" t="str">
        <f>IFERROR(__xludf.DUMMYFUNCTION("""COMPUTED_VALUE"""),"[Nhãn thùng] LOTUS AGROCHEM - VII - 3895 - LOTUS 7-5-44 (Bột trắng) - 50gr - 200")</f>
        <v>[Nhãn thùng] LOTUS AGROCHEM - VII - 3895 - LOTUS 7-5-44 (Bột trắng) - 50gr - 200</v>
      </c>
      <c r="E4686" s="87" t="str">
        <f>IFERROR(__xludf.DUMMYFUNCTION("""COMPUTED_VALUE"""),"Hỗn hợp NPK BASEL NPK 7-5-44 IDA 45")</f>
        <v>Hỗn hợp NPK BASEL NPK 7-5-44 IDA 45</v>
      </c>
      <c r="F4686" s="87" t="str">
        <f>IFERROR(__xludf.DUMMYFUNCTION("""COMPUTED_VALUE"""),"HH3895")</f>
        <v>HH3895</v>
      </c>
      <c r="G4686" s="87" t="str">
        <f>IFERROR(__xludf.DUMMYFUNCTION("""COMPUTED_VALUE"""),"LOTUS AGROCHEM - VII - 3895 - LOTUS 7-5-44 (Bột trắng) - 50gr - 200")</f>
        <v>LOTUS AGROCHEM - VII - 3895 - LOTUS 7-5-44 (Bột trắng) - 50gr - 200</v>
      </c>
    </row>
    <row r="4687">
      <c r="A4687" s="86">
        <f>IFERROR(__xludf.DUMMYFUNCTION("""COMPUTED_VALUE"""),4685.0)</f>
        <v>4685</v>
      </c>
      <c r="B4687" s="87" t="str">
        <f>IFERROR(__xludf.DUMMYFUNCTION("""COMPUTED_VALUE"""),"[Nhãn]")</f>
        <v>[Nhãn]</v>
      </c>
      <c r="C4687" s="87" t="str">
        <f>IFERROR(__xludf.DUMMYFUNCTION("""COMPUTED_VALUE"""),"NTN3895")</f>
        <v>NTN3895</v>
      </c>
      <c r="D4687" s="87" t="str">
        <f>IFERROR(__xludf.DUMMYFUNCTION("""COMPUTED_VALUE"""),"[Nhãn] LOTUS AGROCHEM - VII - 3895 - LOTUS 7-5-44 (Bột trắng) - 50gr - 200")</f>
        <v>[Nhãn] LOTUS AGROCHEM - VII - 3895 - LOTUS 7-5-44 (Bột trắng) - 50gr - 200</v>
      </c>
      <c r="E4687" s="87" t="str">
        <f>IFERROR(__xludf.DUMMYFUNCTION("""COMPUTED_VALUE"""),"Hỗn hợp NPK BASEL NPK 7-5-44 IDA 45")</f>
        <v>Hỗn hợp NPK BASEL NPK 7-5-44 IDA 45</v>
      </c>
      <c r="F4687" s="87" t="str">
        <f>IFERROR(__xludf.DUMMYFUNCTION("""COMPUTED_VALUE"""),"HH3895")</f>
        <v>HH3895</v>
      </c>
      <c r="G4687" s="87" t="str">
        <f>IFERROR(__xludf.DUMMYFUNCTION("""COMPUTED_VALUE"""),"LOTUS AGROCHEM - VII - 3895 - LOTUS 7-5-44 (Bột trắng) - 50gr - 200")</f>
        <v>LOTUS AGROCHEM - VII - 3895 - LOTUS 7-5-44 (Bột trắng) - 50gr - 200</v>
      </c>
    </row>
    <row r="4688">
      <c r="A4688" s="86">
        <f>IFERROR(__xludf.DUMMYFUNCTION("""COMPUTED_VALUE"""),4686.0)</f>
        <v>4686</v>
      </c>
      <c r="B4688" s="87" t="str">
        <f>IFERROR(__xludf.DUMMYFUNCTION("""COMPUTED_VALUE"""),"[Nhãn thùng]")</f>
        <v>[Nhãn thùng]</v>
      </c>
      <c r="C4688" s="87" t="str">
        <f>IFERROR(__xludf.DUMMYFUNCTION("""COMPUTED_VALUE"""),"NDT3896")</f>
        <v>NDT3896</v>
      </c>
      <c r="D4688" s="87" t="str">
        <f>IFERROR(__xludf.DUMMYFUNCTION("""COMPUTED_VALUE"""),"[Nhãn thùng] LOTUS AGROCHEM - VII - 3896 - LOTUS 7-5-44 (Bột trắng) - 500gr - 30")</f>
        <v>[Nhãn thùng] LOTUS AGROCHEM - VII - 3896 - LOTUS 7-5-44 (Bột trắng) - 500gr - 30</v>
      </c>
      <c r="E4688" s="87" t="str">
        <f>IFERROR(__xludf.DUMMYFUNCTION("""COMPUTED_VALUE"""),"Hỗn hợp NPK BASEL NPK 7-5-44 IDA 45")</f>
        <v>Hỗn hợp NPK BASEL NPK 7-5-44 IDA 45</v>
      </c>
      <c r="F4688" s="87" t="str">
        <f>IFERROR(__xludf.DUMMYFUNCTION("""COMPUTED_VALUE"""),"HH3896")</f>
        <v>HH3896</v>
      </c>
      <c r="G4688" s="87" t="str">
        <f>IFERROR(__xludf.DUMMYFUNCTION("""COMPUTED_VALUE"""),"LOTUS AGROCHEM - VII - 3896 - LOTUS 7-5-44 (Bột trắng) - 500gr - 30")</f>
        <v>LOTUS AGROCHEM - VII - 3896 - LOTUS 7-5-44 (Bột trắng) - 500gr - 30</v>
      </c>
    </row>
    <row r="4689">
      <c r="A4689" s="86">
        <f>IFERROR(__xludf.DUMMYFUNCTION("""COMPUTED_VALUE"""),4687.0)</f>
        <v>4687</v>
      </c>
      <c r="B4689" s="87" t="str">
        <f>IFERROR(__xludf.DUMMYFUNCTION("""COMPUTED_VALUE"""),"[Nhãn]")</f>
        <v>[Nhãn]</v>
      </c>
      <c r="C4689" s="87" t="str">
        <f>IFERROR(__xludf.DUMMYFUNCTION("""COMPUTED_VALUE"""),"NTN3896")</f>
        <v>NTN3896</v>
      </c>
      <c r="D4689" s="87" t="str">
        <f>IFERROR(__xludf.DUMMYFUNCTION("""COMPUTED_VALUE"""),"[Nhãn] LOTUS AGROCHEM - VII - 3896 - LOTUS 7-5-44 (Bột trắng) - 500gr - 30")</f>
        <v>[Nhãn] LOTUS AGROCHEM - VII - 3896 - LOTUS 7-5-44 (Bột trắng) - 500gr - 30</v>
      </c>
      <c r="E4689" s="87" t="str">
        <f>IFERROR(__xludf.DUMMYFUNCTION("""COMPUTED_VALUE"""),"Hỗn hợp NPK BASEL NPK 7-5-44 IDA 45")</f>
        <v>Hỗn hợp NPK BASEL NPK 7-5-44 IDA 45</v>
      </c>
      <c r="F4689" s="87" t="str">
        <f>IFERROR(__xludf.DUMMYFUNCTION("""COMPUTED_VALUE"""),"HH3896")</f>
        <v>HH3896</v>
      </c>
      <c r="G4689" s="87" t="str">
        <f>IFERROR(__xludf.DUMMYFUNCTION("""COMPUTED_VALUE"""),"LOTUS AGROCHEM - VII - 3896 - LOTUS 7-5-44 (Bột trắng) - 500gr - 30")</f>
        <v>LOTUS AGROCHEM - VII - 3896 - LOTUS 7-5-44 (Bột trắng) - 500gr - 30</v>
      </c>
    </row>
    <row r="4690">
      <c r="A4690" s="86">
        <f>IFERROR(__xludf.DUMMYFUNCTION("""COMPUTED_VALUE"""),4688.0)</f>
        <v>4688</v>
      </c>
      <c r="B4690" s="87" t="str">
        <f>IFERROR(__xludf.DUMMYFUNCTION("""COMPUTED_VALUE"""),"[HỘP]")</f>
        <v>[HỘP]</v>
      </c>
      <c r="C4690" s="87" t="str">
        <f>IFERROR(__xludf.DUMMYFUNCTION("""COMPUTED_VALUE"""),"HOP3897")</f>
        <v>HOP3897</v>
      </c>
      <c r="D4690" s="87" t="str">
        <f>IFERROR(__xludf.DUMMYFUNCTION("""COMPUTED_VALUE"""),"[HỘP] GC - IV - 3897 - Japan Crop Science - VUA RẦY TRẮNG (Nước vàng trà) - 400ml - 30")</f>
        <v>[HỘP] GC - IV - 3897 - Japan Crop Science - VUA RẦY TRẮNG (Nước vàng trà) - 400ml - 30</v>
      </c>
      <c r="E4690" s="87" t="str">
        <f>IFERROR(__xludf.DUMMYFUNCTION("""COMPUTED_VALUE"""),"Thipro 550EC")</f>
        <v>Thipro 550EC</v>
      </c>
      <c r="F4690" s="87" t="str">
        <f>IFERROR(__xludf.DUMMYFUNCTION("""COMPUTED_VALUE"""),"HH3897")</f>
        <v>HH3897</v>
      </c>
      <c r="G4690" s="87" t="str">
        <f>IFERROR(__xludf.DUMMYFUNCTION("""COMPUTED_VALUE"""),"GC - IV - 3897 - Japan Crop Science - VUA RẦY TRẮNG (Nước vàng trà) - 400ml - 30")</f>
        <v>GC - IV - 3897 - Japan Crop Science - VUA RẦY TRẮNG (Nước vàng trà) - 400ml - 30</v>
      </c>
    </row>
    <row r="4691">
      <c r="A4691" s="86">
        <f>IFERROR(__xludf.DUMMYFUNCTION("""COMPUTED_VALUE"""),4689.0)</f>
        <v>4689</v>
      </c>
      <c r="B4691" s="87" t="str">
        <f>IFERROR(__xludf.DUMMYFUNCTION("""COMPUTED_VALUE"""),"[Nhãn]")</f>
        <v>[Nhãn]</v>
      </c>
      <c r="C4691" s="87" t="str">
        <f>IFERROR(__xludf.DUMMYFUNCTION("""COMPUTED_VALUE"""),"NHG3897")</f>
        <v>NHG3897</v>
      </c>
      <c r="D4691" s="87" t="str">
        <f>IFERROR(__xludf.DUMMYFUNCTION("""COMPUTED_VALUE"""),"[Nhãn] GC - IV - 3897 - Japan Crop Science - VUA RẦY TRẮNG (Nước vàng trà) - 400ml - 30")</f>
        <v>[Nhãn] GC - IV - 3897 - Japan Crop Science - VUA RẦY TRẮNG (Nước vàng trà) - 400ml - 30</v>
      </c>
      <c r="E4691" s="87" t="str">
        <f>IFERROR(__xludf.DUMMYFUNCTION("""COMPUTED_VALUE"""),"Thipro 550EC")</f>
        <v>Thipro 550EC</v>
      </c>
      <c r="F4691" s="87" t="str">
        <f>IFERROR(__xludf.DUMMYFUNCTION("""COMPUTED_VALUE"""),"HH3897")</f>
        <v>HH3897</v>
      </c>
      <c r="G4691" s="87" t="str">
        <f>IFERROR(__xludf.DUMMYFUNCTION("""COMPUTED_VALUE"""),"GC - IV - 3897 - Japan Crop Science - VUA RẦY TRẮNG (Nước vàng trà) - 400ml - 30")</f>
        <v>GC - IV - 3897 - Japan Crop Science - VUA RẦY TRẮNG (Nước vàng trà) - 400ml - 30</v>
      </c>
    </row>
    <row r="4692">
      <c r="A4692" s="86">
        <f>IFERROR(__xludf.DUMMYFUNCTION("""COMPUTED_VALUE"""),4690.0)</f>
        <v>4690</v>
      </c>
      <c r="B4692" s="87" t="str">
        <f>IFERROR(__xludf.DUMMYFUNCTION("""COMPUTED_VALUE"""),"[HỘP]")</f>
        <v>[HỘP]</v>
      </c>
      <c r="C4692" s="87" t="str">
        <f>IFERROR(__xludf.DUMMYFUNCTION("""COMPUTED_VALUE"""),"HOP3898")</f>
        <v>HOP3898</v>
      </c>
      <c r="D4692" s="87" t="str">
        <f>IFERROR(__xludf.DUMMYFUNCTION("""COMPUTED_VALUE"""),"[HỘP] GC - IV - 3898 - Japan Crop Science - VUA RẦY TRẮNG (Nước vàng trà) - 400ml - 30")</f>
        <v>[HỘP] GC - IV - 3898 - Japan Crop Science - VUA RẦY TRẮNG (Nước vàng trà) - 400ml - 30</v>
      </c>
      <c r="E4692" s="87" t="str">
        <f>IFERROR(__xludf.DUMMYFUNCTION("""COMPUTED_VALUE"""),"Thipro 550EC")</f>
        <v>Thipro 550EC</v>
      </c>
      <c r="F4692" s="87" t="str">
        <f>IFERROR(__xludf.DUMMYFUNCTION("""COMPUTED_VALUE"""),"HH3898")</f>
        <v>HH3898</v>
      </c>
      <c r="G4692" s="87" t="str">
        <f>IFERROR(__xludf.DUMMYFUNCTION("""COMPUTED_VALUE"""),"GC - IV - 3898 - Japan Crop Science - VUA RẦY TRẮNG (Nước vàng trà) - 400ml - 30")</f>
        <v>GC - IV - 3898 - Japan Crop Science - VUA RẦY TRẮNG (Nước vàng trà) - 400ml - 30</v>
      </c>
    </row>
    <row r="4693">
      <c r="A4693" s="86">
        <f>IFERROR(__xludf.DUMMYFUNCTION("""COMPUTED_VALUE"""),4691.0)</f>
        <v>4691</v>
      </c>
      <c r="B4693" s="87" t="str">
        <f>IFERROR(__xludf.DUMMYFUNCTION("""COMPUTED_VALUE"""),"[Nhãn]")</f>
        <v>[Nhãn]</v>
      </c>
      <c r="C4693" s="87" t="str">
        <f>IFERROR(__xludf.DUMMYFUNCTION("""COMPUTED_VALUE"""),"NHG3898")</f>
        <v>NHG3898</v>
      </c>
      <c r="D4693" s="87" t="str">
        <f>IFERROR(__xludf.DUMMYFUNCTION("""COMPUTED_VALUE"""),"[Nhãn] GC - IV - 3898 - Japan Crop Science - VUA RẦY TRẮNG (Nước vàng trà) - 400ml - 30")</f>
        <v>[Nhãn] GC - IV - 3898 - Japan Crop Science - VUA RẦY TRẮNG (Nước vàng trà) - 400ml - 30</v>
      </c>
      <c r="E4693" s="87" t="str">
        <f>IFERROR(__xludf.DUMMYFUNCTION("""COMPUTED_VALUE"""),"Thipro 550EC")</f>
        <v>Thipro 550EC</v>
      </c>
      <c r="F4693" s="87" t="str">
        <f>IFERROR(__xludf.DUMMYFUNCTION("""COMPUTED_VALUE"""),"HH3898")</f>
        <v>HH3898</v>
      </c>
      <c r="G4693" s="87" t="str">
        <f>IFERROR(__xludf.DUMMYFUNCTION("""COMPUTED_VALUE"""),"GC - IV - 3898 - Japan Crop Science - VUA RẦY TRẮNG (Nước vàng trà) - 400ml - 30")</f>
        <v>GC - IV - 3898 - Japan Crop Science - VUA RẦY TRẮNG (Nước vàng trà) - 400ml - 30</v>
      </c>
    </row>
    <row r="4694">
      <c r="A4694" s="86">
        <f>IFERROR(__xludf.DUMMYFUNCTION("""COMPUTED_VALUE"""),4692.0)</f>
        <v>4692</v>
      </c>
      <c r="B4694" s="87" t="str">
        <f>IFERROR(__xludf.DUMMYFUNCTION("""COMPUTED_VALUE"""),"[Nhãn]")</f>
        <v>[Nhãn]</v>
      </c>
      <c r="C4694" s="87" t="str">
        <f>IFERROR(__xludf.DUMMYFUNCTION("""COMPUTED_VALUE"""),"NHG3899")</f>
        <v>NHG3899</v>
      </c>
      <c r="D4694" s="87" t="str">
        <f>IFERROR(__xludf.DUMMYFUNCTION("""COMPUTED_VALUE"""),"[Nhãn] LOT IDA Global - I - 3899 - ĐL MINH NGA - HAIHAMEC (Cá Sấu) (Nước nâu đen) - 450ml - 40")</f>
        <v>[Nhãn] LOT IDA Global - I - 3899 - ĐL MINH NGA - HAIHAMEC (Cá Sấu) (Nước nâu đen) - 450ml - 40</v>
      </c>
      <c r="E4694" s="87" t="str">
        <f>IFERROR(__xludf.DUMMYFUNCTION("""COMPUTED_VALUE"""),"HAIHAMEC 3.6EC")</f>
        <v>HAIHAMEC 3.6EC</v>
      </c>
      <c r="F4694" s="87" t="str">
        <f>IFERROR(__xludf.DUMMYFUNCTION("""COMPUTED_VALUE"""),"HH3899")</f>
        <v>HH3899</v>
      </c>
      <c r="G4694" s="87" t="str">
        <f>IFERROR(__xludf.DUMMYFUNCTION("""COMPUTED_VALUE"""),"LOT IDA Global - I - 3899 - ĐL MINH NGA - HAIHAMEC (Cá Sấu) (Nước nâu đen) - 450ml - 40")</f>
        <v>LOT IDA Global - I - 3899 - ĐL MINH NGA - HAIHAMEC (Cá Sấu) (Nước nâu đen) - 450ml - 40</v>
      </c>
    </row>
    <row r="4695">
      <c r="A4695" s="86">
        <f>IFERROR(__xludf.DUMMYFUNCTION("""COMPUTED_VALUE"""),4693.0)</f>
        <v>4693</v>
      </c>
      <c r="B4695" s="87" t="str">
        <f>IFERROR(__xludf.DUMMYFUNCTION("""COMPUTED_VALUE"""),"[Nhãn]")</f>
        <v>[Nhãn]</v>
      </c>
      <c r="C4695" s="87" t="str">
        <f>IFERROR(__xludf.DUMMYFUNCTION("""COMPUTED_VALUE"""),"NHG3900")</f>
        <v>NHG3900</v>
      </c>
      <c r="D4695" s="87" t="str">
        <f>IFERROR(__xludf.DUMMYFUNCTION("""COMPUTED_VALUE"""),"[Nhãn] GC - IV - 3900 - CTY SEIKO NHẬT BẢN - NEW SK01 (Nước cam sữa) - 450ml - 30")</f>
        <v>[Nhãn] GC - IV - 3900 - CTY SEIKO NHẬT BẢN - NEW SK01 (Nước cam sữa) - 450ml - 30</v>
      </c>
      <c r="E4695" s="87" t="str">
        <f>IFERROR(__xludf.DUMMYFUNCTION("""COMPUTED_VALUE"""),"KING-CIDE JAPAN 460SC")</f>
        <v>KING-CIDE JAPAN 460SC</v>
      </c>
      <c r="F4695" s="87" t="str">
        <f>IFERROR(__xludf.DUMMYFUNCTION("""COMPUTED_VALUE"""),"HH3900")</f>
        <v>HH3900</v>
      </c>
      <c r="G4695" s="87" t="str">
        <f>IFERROR(__xludf.DUMMYFUNCTION("""COMPUTED_VALUE"""),"GC - IV - 3900 - CTY SEIKO NHẬT BẢN - NEW SK01 (Nước cam sữa) - 450ml - 30")</f>
        <v>GC - IV - 3900 - CTY SEIKO NHẬT BẢN - NEW SK01 (Nước cam sữa) - 450ml - 30</v>
      </c>
    </row>
    <row r="4696">
      <c r="A4696" s="86">
        <f>IFERROR(__xludf.DUMMYFUNCTION("""COMPUTED_VALUE"""),4694.0)</f>
        <v>4694</v>
      </c>
      <c r="B4696" s="87" t="str">
        <f>IFERROR(__xludf.DUMMYFUNCTION("""COMPUTED_VALUE"""),"[Nhãn]")</f>
        <v>[Nhãn]</v>
      </c>
      <c r="C4696" s="87" t="str">
        <f>IFERROR(__xludf.DUMMYFUNCTION("""COMPUTED_VALUE"""),"NHD3904")</f>
        <v>NHD3904</v>
      </c>
      <c r="D4696" s="87" t="str">
        <f>IFERROR(__xludf.DUMMYFUNCTION("""COMPUTED_VALUE"""),"[Nhãn] GC - IV - 3904 - CTY ASAHI NHẬT BẢN - MASTER ROOT SAMURAI (Nước nâu đen) - 22kg - 1")</f>
        <v>[Nhãn] GC - IV - 3904 - CTY ASAHI NHẬT BẢN - MASTER ROOT SAMURAI (Nước nâu đen) - 22kg - 1</v>
      </c>
      <c r="E4696" s="87" t="str">
        <f>IFERROR(__xludf.DUMMYFUNCTION("""COMPUTED_VALUE"""),"Hữu cơ SH Agro Organic Fertilizer 20")</f>
        <v>Hữu cơ SH Agro Organic Fertilizer 20</v>
      </c>
      <c r="F4696" s="87" t="str">
        <f>IFERROR(__xludf.DUMMYFUNCTION("""COMPUTED_VALUE"""),"HH3904")</f>
        <v>HH3904</v>
      </c>
      <c r="G4696" s="87" t="str">
        <f>IFERROR(__xludf.DUMMYFUNCTION("""COMPUTED_VALUE"""),"GC - IV - 3904 - CTY ASAHI NHẬT BẢN - MASTER ROOT SAMURAI (Nước nâu đen) - 22kg - 1")</f>
        <v>GC - IV - 3904 - CTY ASAHI NHẬT BẢN - MASTER ROOT SAMURAI (Nước nâu đen) - 22kg - 1</v>
      </c>
    </row>
    <row r="4697">
      <c r="A4697" s="86">
        <f>IFERROR(__xludf.DUMMYFUNCTION("""COMPUTED_VALUE"""),4695.0)</f>
        <v>4695</v>
      </c>
      <c r="B4697" s="87" t="str">
        <f>IFERROR(__xludf.DUMMYFUNCTION("""COMPUTED_VALUE"""),"[Nhãn]")</f>
        <v>[Nhãn]</v>
      </c>
      <c r="C4697" s="87" t="str">
        <f>IFERROR(__xludf.DUMMYFUNCTION("""COMPUTED_VALUE"""),"NHG3904")</f>
        <v>NHG3904</v>
      </c>
      <c r="D4697" s="87" t="str">
        <f>IFERROR(__xludf.DUMMYFUNCTION("""COMPUTED_VALUE"""),"[Nhãn] GC - IV - 3904 - CTY ASAHI NHẬT BẢN - MASTER ROOT SAMURAI (Nước nâu đen) - 22kg - 1")</f>
        <v>[Nhãn] GC - IV - 3904 - CTY ASAHI NHẬT BẢN - MASTER ROOT SAMURAI (Nước nâu đen) - 22kg - 1</v>
      </c>
      <c r="E4697" s="87" t="str">
        <f>IFERROR(__xludf.DUMMYFUNCTION("""COMPUTED_VALUE"""),"Hữu cơ SH Agro Organic Fertilizer 20")</f>
        <v>Hữu cơ SH Agro Organic Fertilizer 20</v>
      </c>
      <c r="F4697" s="87" t="str">
        <f>IFERROR(__xludf.DUMMYFUNCTION("""COMPUTED_VALUE"""),"HH3904")</f>
        <v>HH3904</v>
      </c>
      <c r="G4697" s="87" t="str">
        <f>IFERROR(__xludf.DUMMYFUNCTION("""COMPUTED_VALUE"""),"GC - IV - 3904 - CTY ASAHI NHẬT BẢN - MASTER ROOT SAMURAI (Nước nâu đen) - 22kg - 1")</f>
        <v>GC - IV - 3904 - CTY ASAHI NHẬT BẢN - MASTER ROOT SAMURAI (Nước nâu đen) - 22kg - 1</v>
      </c>
    </row>
    <row r="4698">
      <c r="A4698" s="86">
        <f>IFERROR(__xludf.DUMMYFUNCTION("""COMPUTED_VALUE"""),4696.0)</f>
        <v>4696</v>
      </c>
      <c r="B4698" s="87" t="str">
        <f>IFERROR(__xludf.DUMMYFUNCTION("""COMPUTED_VALUE"""),"[Nhãn]")</f>
        <v>[Nhãn]</v>
      </c>
      <c r="C4698" s="87" t="str">
        <f>IFERROR(__xludf.DUMMYFUNCTION("""COMPUTED_VALUE"""),"NHG3905")</f>
        <v>NHG3905</v>
      </c>
      <c r="D4698" s="87" t="str">
        <f>IFERROR(__xludf.DUMMYFUNCTION("""COMPUTED_VALUE"""),"[Nhãn] IDA Global - I - 3905 - WINNER X2 (Nước đỏ cam) - 500ml - 40")</f>
        <v>[Nhãn] IDA Global - I - 3905 - WINNER X2 (Nước đỏ cam) - 500ml - 40</v>
      </c>
      <c r="E4698" s="87" t="str">
        <f>IFERROR(__xludf.DUMMYFUNCTION("""COMPUTED_VALUE"""),"NPK-Vi lượng MASSIVE-BLUE")</f>
        <v>NPK-Vi lượng MASSIVE-BLUE</v>
      </c>
      <c r="F4698" s="87" t="str">
        <f>IFERROR(__xludf.DUMMYFUNCTION("""COMPUTED_VALUE"""),"HH3905")</f>
        <v>HH3905</v>
      </c>
      <c r="G4698" s="87" t="str">
        <f>IFERROR(__xludf.DUMMYFUNCTION("""COMPUTED_VALUE"""),"IDA Global - I - 3905 - WINNER X2 (Nước đỏ cam) - 500ml - 40")</f>
        <v>IDA Global - I - 3905 - WINNER X2 (Nước đỏ cam) - 500ml - 40</v>
      </c>
    </row>
    <row r="4699">
      <c r="A4699" s="86">
        <f>IFERROR(__xludf.DUMMYFUNCTION("""COMPUTED_VALUE"""),4697.0)</f>
        <v>4697</v>
      </c>
      <c r="B4699" s="87" t="str">
        <f>IFERROR(__xludf.DUMMYFUNCTION("""COMPUTED_VALUE"""),"[Nhãn]")</f>
        <v>[Nhãn]</v>
      </c>
      <c r="C4699" s="87" t="str">
        <f>IFERROR(__xludf.DUMMYFUNCTION("""COMPUTED_VALUE"""),"NHG3909")</f>
        <v>NHG3909</v>
      </c>
      <c r="D4699" s="87" t="str">
        <f>IFERROR(__xludf.DUMMYFUNCTION("""COMPUTED_VALUE"""),"[Nhãn] GC - IV - 3909 - Cty Thiên Di (A Thành Dol) - ATOMIN 15WP (Bột trắng ngà) - 1kg - 20")</f>
        <v>[Nhãn] GC - IV - 3909 - Cty Thiên Di (A Thành Dol) - ATOMIN 15WP (Bột trắng ngà) - 1kg - 20</v>
      </c>
      <c r="E4699" s="87" t="str">
        <f>IFERROR(__xludf.DUMMYFUNCTION("""COMPUTED_VALUE"""),"ATOMIN 15WP")</f>
        <v>ATOMIN 15WP</v>
      </c>
      <c r="F4699" s="87" t="str">
        <f>IFERROR(__xludf.DUMMYFUNCTION("""COMPUTED_VALUE"""),"HH3909")</f>
        <v>HH3909</v>
      </c>
      <c r="G4699" s="87" t="str">
        <f>IFERROR(__xludf.DUMMYFUNCTION("""COMPUTED_VALUE"""),"GC - IV - 3909 - Cty Thiên Di (A Thành Dol) - ATOMIN 15WP (Bột trắng ngà) - 1kg - 20")</f>
        <v>GC - IV - 3909 - Cty Thiên Di (A Thành Dol) - ATOMIN 15WP (Bột trắng ngà) - 1kg - 20</v>
      </c>
    </row>
    <row r="4700">
      <c r="A4700" s="86">
        <f>IFERROR(__xludf.DUMMYFUNCTION("""COMPUTED_VALUE"""),4698.0)</f>
        <v>4698</v>
      </c>
      <c r="B4700" s="87" t="str">
        <f>IFERROR(__xludf.DUMMYFUNCTION("""COMPUTED_VALUE"""),"[Nhãn thùng]")</f>
        <v>[Nhãn thùng]</v>
      </c>
      <c r="C4700" s="87" t="str">
        <f>IFERROR(__xludf.DUMMYFUNCTION("""COMPUTED_VALUE"""),"NDT3909")</f>
        <v>NDT3909</v>
      </c>
      <c r="D4700" s="87" t="str">
        <f>IFERROR(__xludf.DUMMYFUNCTION("""COMPUTED_VALUE"""),"[Nhãn thùng] GC - IV - 3909 - Cty Thiên Di (A Thành Dol) - ATOMIN 15WP (Bột trắng ngà) - 1kg - 20")</f>
        <v>[Nhãn thùng] GC - IV - 3909 - Cty Thiên Di (A Thành Dol) - ATOMIN 15WP (Bột trắng ngà) - 1kg - 20</v>
      </c>
      <c r="E4700" s="87" t="str">
        <f>IFERROR(__xludf.DUMMYFUNCTION("""COMPUTED_VALUE"""),"ATOMIN 15WP")</f>
        <v>ATOMIN 15WP</v>
      </c>
      <c r="F4700" s="87" t="str">
        <f>IFERROR(__xludf.DUMMYFUNCTION("""COMPUTED_VALUE"""),"HH3909")</f>
        <v>HH3909</v>
      </c>
      <c r="G4700" s="87" t="str">
        <f>IFERROR(__xludf.DUMMYFUNCTION("""COMPUTED_VALUE"""),"GC - IV - 3909 - Cty Thiên Di (A Thành Dol) - ATOMIN 15WP (Bột trắng ngà) - 1kg - 20")</f>
        <v>GC - IV - 3909 - Cty Thiên Di (A Thành Dol) - ATOMIN 15WP (Bột trắng ngà) - 1kg - 20</v>
      </c>
    </row>
    <row r="4701">
      <c r="A4701" s="86">
        <f>IFERROR(__xludf.DUMMYFUNCTION("""COMPUTED_VALUE"""),4699.0)</f>
        <v>4699</v>
      </c>
      <c r="B4701" s="87" t="str">
        <f>IFERROR(__xludf.DUMMYFUNCTION("""COMPUTED_VALUE"""),"[Nhãn phụ]")</f>
        <v>[Nhãn phụ]</v>
      </c>
      <c r="C4701" s="87" t="str">
        <f>IFERROR(__xludf.DUMMYFUNCTION("""COMPUTED_VALUE"""),"NHP3909")</f>
        <v>NHP3909</v>
      </c>
      <c r="D4701" s="87" t="str">
        <f>IFERROR(__xludf.DUMMYFUNCTION("""COMPUTED_VALUE"""),"[Nhãn phụ] GC - IV - 3909 - Cty Thiên Di (A Thành Dol) - ATOMIN 15WP (Bột trắng ngà) - 1kg - 20")</f>
        <v>[Nhãn phụ] GC - IV - 3909 - Cty Thiên Di (A Thành Dol) - ATOMIN 15WP (Bột trắng ngà) - 1kg - 20</v>
      </c>
      <c r="E4701" s="87" t="str">
        <f>IFERROR(__xludf.DUMMYFUNCTION("""COMPUTED_VALUE"""),"ATOMIN 15WP")</f>
        <v>ATOMIN 15WP</v>
      </c>
      <c r="F4701" s="87" t="str">
        <f>IFERROR(__xludf.DUMMYFUNCTION("""COMPUTED_VALUE"""),"HH3909")</f>
        <v>HH3909</v>
      </c>
      <c r="G4701" s="87" t="str">
        <f>IFERROR(__xludf.DUMMYFUNCTION("""COMPUTED_VALUE"""),"GC - IV - 3909 - Cty Thiên Di (A Thành Dol) - ATOMIN 15WP (Bột trắng ngà) - 1kg - 20")</f>
        <v>GC - IV - 3909 - Cty Thiên Di (A Thành Dol) - ATOMIN 15WP (Bột trắng ngà) - 1kg - 20</v>
      </c>
    </row>
    <row r="4702">
      <c r="A4702" s="86">
        <f>IFERROR(__xludf.DUMMYFUNCTION("""COMPUTED_VALUE"""),4700.0)</f>
        <v>4700</v>
      </c>
      <c r="B4702" s="87" t="str">
        <f>IFERROR(__xludf.DUMMYFUNCTION("""COMPUTED_VALUE"""),"[Nhãn]")</f>
        <v>[Nhãn]</v>
      </c>
      <c r="C4702" s="87" t="str">
        <f>IFERROR(__xludf.DUMMYFUNCTION("""COMPUTED_VALUE"""),"NHG3910")</f>
        <v>NHG3910</v>
      </c>
      <c r="D4702" s="87" t="str">
        <f>IFERROR(__xludf.DUMMYFUNCTION("""COMPUTED_VALUE"""),"[Nhãn] IDA Global - I - 3910 - Lưu dẫn thấm sâu mới (Nước xanh dương) - 120ml - 50")</f>
        <v>[Nhãn] IDA Global - I - 3910 - Lưu dẫn thấm sâu mới (Nước xanh dương) - 120ml - 50</v>
      </c>
      <c r="E4702" s="87" t="str">
        <f>IFERROR(__xludf.DUMMYFUNCTION("""COMPUTED_VALUE"""),"Vi lượng Quantity New")</f>
        <v>Vi lượng Quantity New</v>
      </c>
      <c r="F4702" s="87" t="str">
        <f>IFERROR(__xludf.DUMMYFUNCTION("""COMPUTED_VALUE"""),"HH3910")</f>
        <v>HH3910</v>
      </c>
      <c r="G4702" s="87" t="str">
        <f>IFERROR(__xludf.DUMMYFUNCTION("""COMPUTED_VALUE"""),"IDA Global - I - 3910 - Lưu dẫn thấm sâu mới (Nước xanh dương) - 120ml - 50")</f>
        <v>IDA Global - I - 3910 - Lưu dẫn thấm sâu mới (Nước xanh dương) - 120ml - 50</v>
      </c>
    </row>
    <row r="4703">
      <c r="A4703" s="86">
        <f>IFERROR(__xludf.DUMMYFUNCTION("""COMPUTED_VALUE"""),4701.0)</f>
        <v>4701</v>
      </c>
      <c r="B4703" s="87" t="str">
        <f>IFERROR(__xludf.DUMMYFUNCTION("""COMPUTED_VALUE"""),"[Nhãn]")</f>
        <v>[Nhãn]</v>
      </c>
      <c r="C4703" s="87" t="str">
        <f>IFERROR(__xludf.DUMMYFUNCTION("""COMPUTED_VALUE"""),"NHD3911")</f>
        <v>NHD3911</v>
      </c>
      <c r="D4703" s="87" t="str">
        <f>IFERROR(__xludf.DUMMYFUNCTION("""COMPUTED_VALUE"""),"[Nhãn] GC - IV - 3911 - CTY NÔNG DƯỢC ĐÔNG DƯƠNG - HAIHAMEC 3.6EC (nước nâu đen) - 450ml - 40")</f>
        <v>[Nhãn] GC - IV - 3911 - CTY NÔNG DƯỢC ĐÔNG DƯƠNG - HAIHAMEC 3.6EC (nước nâu đen) - 450ml - 40</v>
      </c>
      <c r="E4703" s="87" t="str">
        <f>IFERROR(__xludf.DUMMYFUNCTION("""COMPUTED_VALUE"""),"HAIHAMEC 3.6EC")</f>
        <v>HAIHAMEC 3.6EC</v>
      </c>
      <c r="F4703" s="87" t="str">
        <f>IFERROR(__xludf.DUMMYFUNCTION("""COMPUTED_VALUE"""),"HH3911")</f>
        <v>HH3911</v>
      </c>
      <c r="G4703" s="87" t="str">
        <f>IFERROR(__xludf.DUMMYFUNCTION("""COMPUTED_VALUE"""),"GC - IV - 3911 - CTY NÔNG DƯỢC ĐÔNG DƯƠNG - HAIHAMEC 3.6EC (nước nâu đen) - 450ml - 40")</f>
        <v>GC - IV - 3911 - CTY NÔNG DƯỢC ĐÔNG DƯƠNG - HAIHAMEC 3.6EC (nước nâu đen) - 450ml - 40</v>
      </c>
    </row>
    <row r="4704">
      <c r="A4704" s="86">
        <f>IFERROR(__xludf.DUMMYFUNCTION("""COMPUTED_VALUE"""),4702.0)</f>
        <v>4702</v>
      </c>
      <c r="B4704" s="87" t="str">
        <f>IFERROR(__xludf.DUMMYFUNCTION("""COMPUTED_VALUE"""),"[Nhãn thùng]")</f>
        <v>[Nhãn thùng]</v>
      </c>
      <c r="C4704" s="87" t="str">
        <f>IFERROR(__xludf.DUMMYFUNCTION("""COMPUTED_VALUE"""),"NDT3911")</f>
        <v>NDT3911</v>
      </c>
      <c r="D4704" s="87" t="str">
        <f>IFERROR(__xludf.DUMMYFUNCTION("""COMPUTED_VALUE"""),"[Nhãn thùng] GC - IV - 3911 - CTY NÔNG DƯỢC ĐÔNG DƯƠNG - HAIHAMEC 3.6EC (nước nâu đen) - 450ml - 40")</f>
        <v>[Nhãn thùng] GC - IV - 3911 - CTY NÔNG DƯỢC ĐÔNG DƯƠNG - HAIHAMEC 3.6EC (nước nâu đen) - 450ml - 40</v>
      </c>
      <c r="E4704" s="87" t="str">
        <f>IFERROR(__xludf.DUMMYFUNCTION("""COMPUTED_VALUE"""),"HAIHAMEC 3.6EC")</f>
        <v>HAIHAMEC 3.6EC</v>
      </c>
      <c r="F4704" s="87" t="str">
        <f>IFERROR(__xludf.DUMMYFUNCTION("""COMPUTED_VALUE"""),"HH3911")</f>
        <v>HH3911</v>
      </c>
      <c r="G4704" s="87" t="str">
        <f>IFERROR(__xludf.DUMMYFUNCTION("""COMPUTED_VALUE"""),"GC - IV - 3911 - CTY NÔNG DƯỢC ĐÔNG DƯƠNG - HAIHAMEC 3.6EC (nước nâu đen) - 450ml - 40")</f>
        <v>GC - IV - 3911 - CTY NÔNG DƯỢC ĐÔNG DƯƠNG - HAIHAMEC 3.6EC (nước nâu đen) - 450ml - 40</v>
      </c>
    </row>
    <row r="4705">
      <c r="A4705" s="86">
        <f>IFERROR(__xludf.DUMMYFUNCTION("""COMPUTED_VALUE"""),4703.0)</f>
        <v>4703</v>
      </c>
      <c r="B4705" s="87" t="str">
        <f>IFERROR(__xludf.DUMMYFUNCTION("""COMPUTED_VALUE"""),"[Nhãn thùng]")</f>
        <v>[Nhãn thùng]</v>
      </c>
      <c r="C4705" s="87" t="str">
        <f>IFERROR(__xludf.DUMMYFUNCTION("""COMPUTED_VALUE"""),"NDT3912")</f>
        <v>NDT3912</v>
      </c>
      <c r="D4705" s="87" t="str">
        <f>IFERROR(__xludf.DUMMYFUNCTION("""COMPUTED_VALUE"""),"[Nhãn thùng] GC - IV - 3912 - Cty Hóa Nông Shino - SHINO MIX (Nước xanh lơ) - 50ml - 300")</f>
        <v>[Nhãn thùng] GC - IV - 3912 - Cty Hóa Nông Shino - SHINO MIX (Nước xanh lơ) - 50ml - 300</v>
      </c>
      <c r="E4705" s="87" t="str">
        <f>IFERROR(__xludf.DUMMYFUNCTION("""COMPUTED_VALUE"""),"lá NPK-vi lượng GNC19")</f>
        <v>lá NPK-vi lượng GNC19</v>
      </c>
      <c r="F4705" s="87" t="str">
        <f>IFERROR(__xludf.DUMMYFUNCTION("""COMPUTED_VALUE"""),"HH3912")</f>
        <v>HH3912</v>
      </c>
      <c r="G4705" s="87" t="str">
        <f>IFERROR(__xludf.DUMMYFUNCTION("""COMPUTED_VALUE"""),"GC - IV - 3912 - Cty Hóa Nông Shino - SHINO MIX (Nước xanh lơ) - 50ml - 300")</f>
        <v>GC - IV - 3912 - Cty Hóa Nông Shino - SHINO MIX (Nước xanh lơ) - 50ml - 300</v>
      </c>
    </row>
    <row r="4706">
      <c r="A4706" s="86">
        <f>IFERROR(__xludf.DUMMYFUNCTION("""COMPUTED_VALUE"""),4704.0)</f>
        <v>4704</v>
      </c>
      <c r="B4706" s="87" t="str">
        <f>IFERROR(__xludf.DUMMYFUNCTION("""COMPUTED_VALUE"""),"[Nhãn]")</f>
        <v>[Nhãn]</v>
      </c>
      <c r="C4706" s="87" t="str">
        <f>IFERROR(__xludf.DUMMYFUNCTION("""COMPUTED_VALUE"""),"NTN3912")</f>
        <v>NTN3912</v>
      </c>
      <c r="D4706" s="87" t="str">
        <f>IFERROR(__xludf.DUMMYFUNCTION("""COMPUTED_VALUE"""),"[Nhãn] GC - IV - 3912 - Cty Hóa Nông Shino - SHINO MIX (Nước xanh lơ) - 50ml - 300")</f>
        <v>[Nhãn] GC - IV - 3912 - Cty Hóa Nông Shino - SHINO MIX (Nước xanh lơ) - 50ml - 300</v>
      </c>
      <c r="E4706" s="87" t="str">
        <f>IFERROR(__xludf.DUMMYFUNCTION("""COMPUTED_VALUE"""),"lá NPK-vi lượng GNC19")</f>
        <v>lá NPK-vi lượng GNC19</v>
      </c>
      <c r="F4706" s="87" t="str">
        <f>IFERROR(__xludf.DUMMYFUNCTION("""COMPUTED_VALUE"""),"HH3912")</f>
        <v>HH3912</v>
      </c>
      <c r="G4706" s="87" t="str">
        <f>IFERROR(__xludf.DUMMYFUNCTION("""COMPUTED_VALUE"""),"GC - IV - 3912 - Cty Hóa Nông Shino - SHINO MIX (Nước xanh lơ) - 50ml - 300")</f>
        <v>GC - IV - 3912 - Cty Hóa Nông Shino - SHINO MIX (Nước xanh lơ) - 50ml - 300</v>
      </c>
    </row>
    <row r="4707">
      <c r="A4707" s="86">
        <f>IFERROR(__xludf.DUMMYFUNCTION("""COMPUTED_VALUE"""),4705.0)</f>
        <v>4705</v>
      </c>
      <c r="B4707" s="87" t="str">
        <f>IFERROR(__xludf.DUMMYFUNCTION("""COMPUTED_VALUE"""),"[Nhãn thùng]")</f>
        <v>[Nhãn thùng]</v>
      </c>
      <c r="C4707" s="87" t="str">
        <f>IFERROR(__xludf.DUMMYFUNCTION("""COMPUTED_VALUE"""),"NDT3913")</f>
        <v>NDT3913</v>
      </c>
      <c r="D4707" s="87" t="str">
        <f>IFERROR(__xludf.DUMMYFUNCTION("""COMPUTED_VALUE"""),"[Nhãn thùng] GC - IV - 3913 - NHP GROUP - THẦN CÔNG GOLD 39WP (Bột trắng ngà) - 100gr - 100")</f>
        <v>[Nhãn thùng] GC - IV - 3913 - NHP GROUP - THẦN CÔNG GOLD 39WP (Bột trắng ngà) - 100gr - 100</v>
      </c>
      <c r="E4707" s="87" t="str">
        <f>IFERROR(__xludf.DUMMYFUNCTION("""COMPUTED_VALUE"""),"THẦN CÔNG GOLD 39WP")</f>
        <v>THẦN CÔNG GOLD 39WP</v>
      </c>
      <c r="F4707" s="87" t="str">
        <f>IFERROR(__xludf.DUMMYFUNCTION("""COMPUTED_VALUE"""),"HH3913")</f>
        <v>HH3913</v>
      </c>
      <c r="G4707" s="87" t="str">
        <f>IFERROR(__xludf.DUMMYFUNCTION("""COMPUTED_VALUE"""),"GC - IV - 3913 - NHP GROUP - THẦN CÔNG GOLD 39WP (Bột trắng ngà) - 100gr - 100")</f>
        <v>GC - IV - 3913 - NHP GROUP - THẦN CÔNG GOLD 39WP (Bột trắng ngà) - 100gr - 100</v>
      </c>
    </row>
    <row r="4708">
      <c r="A4708" s="86">
        <f>IFERROR(__xludf.DUMMYFUNCTION("""COMPUTED_VALUE"""),4706.0)</f>
        <v>4706</v>
      </c>
      <c r="B4708" s="87" t="str">
        <f>IFERROR(__xludf.DUMMYFUNCTION("""COMPUTED_VALUE"""),"[Nhãn]")</f>
        <v>[Nhãn]</v>
      </c>
      <c r="C4708" s="87" t="str">
        <f>IFERROR(__xludf.DUMMYFUNCTION("""COMPUTED_VALUE"""),"NTN3913")</f>
        <v>NTN3913</v>
      </c>
      <c r="D4708" s="87" t="str">
        <f>IFERROR(__xludf.DUMMYFUNCTION("""COMPUTED_VALUE"""),"[Nhãn] GC - IV - 3913 - NHP GROUP - THẦN CÔNG GOLD 39WP (Bột trắng ngà) - 100gr - 100")</f>
        <v>[Nhãn] GC - IV - 3913 - NHP GROUP - THẦN CÔNG GOLD 39WP (Bột trắng ngà) - 100gr - 100</v>
      </c>
      <c r="E4708" s="87" t="str">
        <f>IFERROR(__xludf.DUMMYFUNCTION("""COMPUTED_VALUE"""),"THẦN CÔNG GOLD 39WP")</f>
        <v>THẦN CÔNG GOLD 39WP</v>
      </c>
      <c r="F4708" s="87" t="str">
        <f>IFERROR(__xludf.DUMMYFUNCTION("""COMPUTED_VALUE"""),"HH3913")</f>
        <v>HH3913</v>
      </c>
      <c r="G4708" s="87" t="str">
        <f>IFERROR(__xludf.DUMMYFUNCTION("""COMPUTED_VALUE"""),"GC - IV - 3913 - NHP GROUP - THẦN CÔNG GOLD 39WP (Bột trắng ngà) - 100gr - 100")</f>
        <v>GC - IV - 3913 - NHP GROUP - THẦN CÔNG GOLD 39WP (Bột trắng ngà) - 100gr - 100</v>
      </c>
    </row>
    <row r="4709">
      <c r="A4709" s="86">
        <f>IFERROR(__xludf.DUMMYFUNCTION("""COMPUTED_VALUE"""),4707.0)</f>
        <v>4707</v>
      </c>
      <c r="B4709" s="87" t="str">
        <f>IFERROR(__xludf.DUMMYFUNCTION("""COMPUTED_VALUE"""),"[Nhãn thùng]")</f>
        <v>[Nhãn thùng]</v>
      </c>
      <c r="C4709" s="87" t="str">
        <f>IFERROR(__xludf.DUMMYFUNCTION("""COMPUTED_VALUE"""),"NDT3914")</f>
        <v>NDT3914</v>
      </c>
      <c r="D4709" s="87" t="str">
        <f>IFERROR(__xludf.DUMMYFUNCTION("""COMPUTED_VALUE"""),"[Nhãn thùng] GC - IV - 3914 - NHP GROUP - ACETA EXTRA (Bột trắng ngà) - 100gr - 100")</f>
        <v>[Nhãn thùng] GC - IV - 3914 - NHP GROUP - ACETA EXTRA (Bột trắng ngà) - 100gr - 100</v>
      </c>
      <c r="E4709" s="87" t="str">
        <f>IFERROR(__xludf.DUMMYFUNCTION("""COMPUTED_VALUE"""),"CAYMANGOLD 33WP")</f>
        <v>CAYMANGOLD 33WP</v>
      </c>
      <c r="F4709" s="87" t="str">
        <f>IFERROR(__xludf.DUMMYFUNCTION("""COMPUTED_VALUE"""),"HH3914")</f>
        <v>HH3914</v>
      </c>
      <c r="G4709" s="87" t="str">
        <f>IFERROR(__xludf.DUMMYFUNCTION("""COMPUTED_VALUE"""),"GC - IV - 3914 - NHP GROUP - ACETA EXTRA (Bột trắng ngà) - 100gr - 100")</f>
        <v>GC - IV - 3914 - NHP GROUP - ACETA EXTRA (Bột trắng ngà) - 100gr - 100</v>
      </c>
    </row>
    <row r="4710">
      <c r="A4710" s="86">
        <f>IFERROR(__xludf.DUMMYFUNCTION("""COMPUTED_VALUE"""),4708.0)</f>
        <v>4708</v>
      </c>
      <c r="B4710" s="87" t="str">
        <f>IFERROR(__xludf.DUMMYFUNCTION("""COMPUTED_VALUE"""),"[Nhãn]")</f>
        <v>[Nhãn]</v>
      </c>
      <c r="C4710" s="87" t="str">
        <f>IFERROR(__xludf.DUMMYFUNCTION("""COMPUTED_VALUE"""),"NTN3914")</f>
        <v>NTN3914</v>
      </c>
      <c r="D4710" s="87" t="str">
        <f>IFERROR(__xludf.DUMMYFUNCTION("""COMPUTED_VALUE"""),"[Nhãn] GC - IV - 3914 - NHP GROUP - ACETA EXTRA (Bột trắng ngà) - 100gr - 100")</f>
        <v>[Nhãn] GC - IV - 3914 - NHP GROUP - ACETA EXTRA (Bột trắng ngà) - 100gr - 100</v>
      </c>
      <c r="E4710" s="87" t="str">
        <f>IFERROR(__xludf.DUMMYFUNCTION("""COMPUTED_VALUE"""),"CAYMANGOLD 33WP")</f>
        <v>CAYMANGOLD 33WP</v>
      </c>
      <c r="F4710" s="87" t="str">
        <f>IFERROR(__xludf.DUMMYFUNCTION("""COMPUTED_VALUE"""),"HH3914")</f>
        <v>HH3914</v>
      </c>
      <c r="G4710" s="87" t="str">
        <f>IFERROR(__xludf.DUMMYFUNCTION("""COMPUTED_VALUE"""),"GC - IV - 3914 - NHP GROUP - ACETA EXTRA (Bột trắng ngà) - 100gr - 100")</f>
        <v>GC - IV - 3914 - NHP GROUP - ACETA EXTRA (Bột trắng ngà) - 100gr - 100</v>
      </c>
    </row>
    <row r="4711">
      <c r="A4711" s="86">
        <f>IFERROR(__xludf.DUMMYFUNCTION("""COMPUTED_VALUE"""),4709.0)</f>
        <v>4709</v>
      </c>
      <c r="B4711" s="87" t="str">
        <f>IFERROR(__xludf.DUMMYFUNCTION("""COMPUTED_VALUE"""),"[Nhãn]")</f>
        <v>[Nhãn]</v>
      </c>
      <c r="C4711" s="87" t="str">
        <f>IFERROR(__xludf.DUMMYFUNCTION("""COMPUTED_VALUE"""),"NTN3918")</f>
        <v>NTN3918</v>
      </c>
      <c r="D4711" s="87" t="str">
        <f>IFERROR(__xludf.DUMMYFUNCTION("""COMPUTED_VALUE"""),"[Nhãn] GC - IV - 3918 - AGRIPLANT - OXYCIN 100WP (Bột trắng) - 25gr - 300")</f>
        <v>[Nhãn] GC - IV - 3918 - AGRIPLANT - OXYCIN 100WP (Bột trắng) - 25gr - 300</v>
      </c>
      <c r="E4711" s="87" t="str">
        <f>IFERROR(__xludf.DUMMYFUNCTION("""COMPUTED_VALUE"""),"Oxycin 100WP")</f>
        <v>Oxycin 100WP</v>
      </c>
      <c r="F4711" s="87" t="str">
        <f>IFERROR(__xludf.DUMMYFUNCTION("""COMPUTED_VALUE"""),"HH3918")</f>
        <v>HH3918</v>
      </c>
      <c r="G4711" s="87" t="str">
        <f>IFERROR(__xludf.DUMMYFUNCTION("""COMPUTED_VALUE"""),"GC - IV - 3918 - AGRIPLANT - OXYCIN 100WP (Bột trắng) - 25gr - 300")</f>
        <v>GC - IV - 3918 - AGRIPLANT - OXYCIN 100WP (Bột trắng) - 25gr - 300</v>
      </c>
    </row>
    <row r="4712">
      <c r="A4712" s="86">
        <f>IFERROR(__xludf.DUMMYFUNCTION("""COMPUTED_VALUE"""),4710.0)</f>
        <v>4710</v>
      </c>
      <c r="B4712" s="87" t="str">
        <f>IFERROR(__xludf.DUMMYFUNCTION("""COMPUTED_VALUE"""),"[Nhãn thùng]")</f>
        <v>[Nhãn thùng]</v>
      </c>
      <c r="C4712" s="87" t="str">
        <f>IFERROR(__xludf.DUMMYFUNCTION("""COMPUTED_VALUE"""),"NDT3918")</f>
        <v>NDT3918</v>
      </c>
      <c r="D4712" s="87" t="str">
        <f>IFERROR(__xludf.DUMMYFUNCTION("""COMPUTED_VALUE"""),"[Nhãn thùng] GC - IV - 3918 - AGRIPLANT - OXYCIN 100WP (Bột trắng) - 25gr - 300")</f>
        <v>[Nhãn thùng] GC - IV - 3918 - AGRIPLANT - OXYCIN 100WP (Bột trắng) - 25gr - 300</v>
      </c>
      <c r="E4712" s="87" t="str">
        <f>IFERROR(__xludf.DUMMYFUNCTION("""COMPUTED_VALUE"""),"Oxycin 100WP")</f>
        <v>Oxycin 100WP</v>
      </c>
      <c r="F4712" s="87" t="str">
        <f>IFERROR(__xludf.DUMMYFUNCTION("""COMPUTED_VALUE"""),"HH3918")</f>
        <v>HH3918</v>
      </c>
      <c r="G4712" s="87" t="str">
        <f>IFERROR(__xludf.DUMMYFUNCTION("""COMPUTED_VALUE"""),"GC - IV - 3918 - AGRIPLANT - OXYCIN 100WP (Bột trắng) - 25gr - 300")</f>
        <v>GC - IV - 3918 - AGRIPLANT - OXYCIN 100WP (Bột trắng) - 25gr - 300</v>
      </c>
    </row>
    <row r="4713">
      <c r="A4713" s="86">
        <f>IFERROR(__xludf.DUMMYFUNCTION("""COMPUTED_VALUE"""),4711.0)</f>
        <v>4711</v>
      </c>
      <c r="B4713" s="87" t="str">
        <f>IFERROR(__xludf.DUMMYFUNCTION("""COMPUTED_VALUE"""),"[Nhãn]")</f>
        <v>[Nhãn]</v>
      </c>
      <c r="C4713" s="87" t="str">
        <f>IFERROR(__xludf.DUMMYFUNCTION("""COMPUTED_VALUE"""),"NHG3919")</f>
        <v>NHG3919</v>
      </c>
      <c r="D4713" s="87" t="str">
        <f>IFERROR(__xludf.DUMMYFUNCTION("""COMPUTED_VALUE"""),"[Nhãn] GC - IV - 3919 - AGRIPLANT - BIO SIÊU ĐẬU TRÁI LỚN TRÁI XOÀI (Gel nâu đen) - 500ml - 40")</f>
        <v>[Nhãn] GC - IV - 3919 - AGRIPLANT - BIO SIÊU ĐẬU TRÁI LỚN TRÁI XOÀI (Gel nâu đen) - 500ml - 40</v>
      </c>
      <c r="E4713" s="87" t="str">
        <f>IFERROR(__xludf.DUMMYFUNCTION("""COMPUTED_VALUE"""),"lá NPK-vi lượng GNC19")</f>
        <v>lá NPK-vi lượng GNC19</v>
      </c>
      <c r="F4713" s="87" t="str">
        <f>IFERROR(__xludf.DUMMYFUNCTION("""COMPUTED_VALUE"""),"HH3919")</f>
        <v>HH3919</v>
      </c>
      <c r="G4713" s="87" t="str">
        <f>IFERROR(__xludf.DUMMYFUNCTION("""COMPUTED_VALUE"""),"GC - IV - 3919 - AGRIPLANT - BIO SIÊU ĐẬU TRÁI LỚN TRÁI XOÀI (Gel nâu đen) - 500ml - 40")</f>
        <v>GC - IV - 3919 - AGRIPLANT - BIO SIÊU ĐẬU TRÁI LỚN TRÁI XOÀI (Gel nâu đen) - 500ml - 40</v>
      </c>
    </row>
    <row r="4714">
      <c r="A4714" s="86">
        <f>IFERROR(__xludf.DUMMYFUNCTION("""COMPUTED_VALUE"""),4712.0)</f>
        <v>4712</v>
      </c>
      <c r="B4714" s="87" t="str">
        <f>IFERROR(__xludf.DUMMYFUNCTION("""COMPUTED_VALUE"""),"[Nhãn]")</f>
        <v>[Nhãn]</v>
      </c>
      <c r="C4714" s="87" t="str">
        <f>IFERROR(__xludf.DUMMYFUNCTION("""COMPUTED_VALUE"""),"NHG3922")</f>
        <v>NHG3922</v>
      </c>
      <c r="D4714" s="87" t="str">
        <f>IFERROR(__xludf.DUMMYFUNCTION("""COMPUTED_VALUE"""),"[Nhãn] GC - IV - 3922 - WINDY ALS - BOOM GOLD (Nước nâu đen) - 250ml - 40")</f>
        <v>[Nhãn] GC - IV - 3922 - WINDY ALS - BOOM GOLD (Nước nâu đen) - 250ml - 40</v>
      </c>
      <c r="E4714" s="87" t="str">
        <f>IFERROR(__xludf.DUMMYFUNCTION("""COMPUTED_VALUE"""),"Hữu cơ SH Agro Organic Fertilizer 20")</f>
        <v>Hữu cơ SH Agro Organic Fertilizer 20</v>
      </c>
      <c r="F4714" s="87" t="str">
        <f>IFERROR(__xludf.DUMMYFUNCTION("""COMPUTED_VALUE"""),"HH3922")</f>
        <v>HH3922</v>
      </c>
      <c r="G4714" s="87" t="str">
        <f>IFERROR(__xludf.DUMMYFUNCTION("""COMPUTED_VALUE"""),"GC - IV - 3922 - WINDY ALS - BOOM GOLD (Nước nâu đen) - 250ml - 40")</f>
        <v>GC - IV - 3922 - WINDY ALS - BOOM GOLD (Nước nâu đen) - 250ml - 40</v>
      </c>
    </row>
    <row r="4715">
      <c r="A4715" s="86">
        <f>IFERROR(__xludf.DUMMYFUNCTION("""COMPUTED_VALUE"""),4713.0)</f>
        <v>4713</v>
      </c>
      <c r="B4715" s="87" t="str">
        <f>IFERROR(__xludf.DUMMYFUNCTION("""COMPUTED_VALUE"""),"[Nhãn]")</f>
        <v>[Nhãn]</v>
      </c>
      <c r="C4715" s="87" t="str">
        <f>IFERROR(__xludf.DUMMYFUNCTION("""COMPUTED_VALUE"""),"NHG3923")</f>
        <v>NHG3923</v>
      </c>
      <c r="D4715" s="87" t="str">
        <f>IFERROR(__xludf.DUMMYFUNCTION("""COMPUTED_VALUE"""),"[Nhãn] BAMBOO - VI - 3923 - BAMBOO MAGIE FULVIC (nước nâu đen) - 1L - 20")</f>
        <v>[Nhãn] BAMBOO - VI - 3923 - BAMBOO MAGIE FULVIC (nước nâu đen) - 1L - 20</v>
      </c>
      <c r="E4715" s="87" t="str">
        <f>IFERROR(__xludf.DUMMYFUNCTION("""COMPUTED_VALUE"""),"Hữu cơ FUSEMIN COMBI+")</f>
        <v>Hữu cơ FUSEMIN COMBI+</v>
      </c>
      <c r="F4715" s="87" t="str">
        <f>IFERROR(__xludf.DUMMYFUNCTION("""COMPUTED_VALUE"""),"HH3923")</f>
        <v>HH3923</v>
      </c>
      <c r="G4715" s="87" t="str">
        <f>IFERROR(__xludf.DUMMYFUNCTION("""COMPUTED_VALUE"""),"BAMBOO - VI - 3923 - BAMBOO MAGIE FULVIC (nước nâu đen) - 1L - 20")</f>
        <v>BAMBOO - VI - 3923 - BAMBOO MAGIE FULVIC (nước nâu đen) - 1L - 20</v>
      </c>
    </row>
    <row r="4716">
      <c r="A4716" s="86">
        <f>IFERROR(__xludf.DUMMYFUNCTION("""COMPUTED_VALUE"""),4714.0)</f>
        <v>4714</v>
      </c>
      <c r="B4716" s="87" t="str">
        <f>IFERROR(__xludf.DUMMYFUNCTION("""COMPUTED_VALUE"""),"[Nhãn]")</f>
        <v>[Nhãn]</v>
      </c>
      <c r="C4716" s="87" t="str">
        <f>IFERROR(__xludf.DUMMYFUNCTION("""COMPUTED_VALUE"""),"NHG3924")</f>
        <v>NHG3924</v>
      </c>
      <c r="D4716" s="87" t="str">
        <f>IFERROR(__xludf.DUMMYFUNCTION("""COMPUTED_VALUE"""),"[Nhãn] BAMBOO - VI - 3924 - BAMBOO MG KẼM (nước xanh lá sữa) - 500ml - 40")</f>
        <v>[Nhãn] BAMBOO - VI - 3924 - BAMBOO MG KẼM (nước xanh lá sữa) - 500ml - 40</v>
      </c>
      <c r="E4716" s="87" t="str">
        <f>IFERROR(__xludf.DUMMYFUNCTION("""COMPUTED_VALUE"""),"vi lượng Phú Sĩ FJ-09 Kẽm Mg")</f>
        <v>vi lượng Phú Sĩ FJ-09 Kẽm Mg</v>
      </c>
      <c r="F4716" s="87" t="str">
        <f>IFERROR(__xludf.DUMMYFUNCTION("""COMPUTED_VALUE"""),"HH3924")</f>
        <v>HH3924</v>
      </c>
      <c r="G4716" s="87" t="str">
        <f>IFERROR(__xludf.DUMMYFUNCTION("""COMPUTED_VALUE"""),"BAMBOO - VI - 3924 - BAMBOO MG KẼM (nước xanh lá sữa) - 500ml - 40")</f>
        <v>BAMBOO - VI - 3924 - BAMBOO MG KẼM (nước xanh lá sữa) - 500ml - 40</v>
      </c>
    </row>
    <row r="4717">
      <c r="A4717" s="86">
        <f>IFERROR(__xludf.DUMMYFUNCTION("""COMPUTED_VALUE"""),4715.0)</f>
        <v>4715</v>
      </c>
      <c r="B4717" s="87" t="str">
        <f>IFERROR(__xludf.DUMMYFUNCTION("""COMPUTED_VALUE"""),"[Nhãn]")</f>
        <v>[Nhãn]</v>
      </c>
      <c r="C4717" s="87" t="str">
        <f>IFERROR(__xludf.DUMMYFUNCTION("""COMPUTED_VALUE"""),"NHG3925")</f>
        <v>NHG3925</v>
      </c>
      <c r="D4717" s="87" t="str">
        <f>IFERROR(__xludf.DUMMYFUNCTION("""COMPUTED_VALUE"""),"[Nhãn] GC - IV - 3925 - Cty Newtex - ĐÒNG TO BÔNG KẸO T7 (Nước vàng nhạt) - 500ml - 40")</f>
        <v>[Nhãn] GC - IV - 3925 - Cty Newtex - ĐÒNG TO BÔNG KẸO T7 (Nước vàng nhạt) - 500ml - 40</v>
      </c>
      <c r="E4717" s="87" t="str">
        <f>IFERROR(__xludf.DUMMYFUNCTION("""COMPUTED_VALUE"""),"lá NPK-vi lượng GNC19")</f>
        <v>lá NPK-vi lượng GNC19</v>
      </c>
      <c r="F4717" s="87" t="str">
        <f>IFERROR(__xludf.DUMMYFUNCTION("""COMPUTED_VALUE"""),"HH3925")</f>
        <v>HH3925</v>
      </c>
      <c r="G4717" s="87" t="str">
        <f>IFERROR(__xludf.DUMMYFUNCTION("""COMPUTED_VALUE"""),"GC - IV - 3925 - Cty Newtex - ĐÒNG TO BÔNG KẸO T7 (Nước vàng nhạt) - 500ml - 40")</f>
        <v>GC - IV - 3925 - Cty Newtex - ĐÒNG TO BÔNG KẸO T7 (Nước vàng nhạt) - 500ml - 40</v>
      </c>
    </row>
    <row r="4718">
      <c r="A4718" s="86">
        <f>IFERROR(__xludf.DUMMYFUNCTION("""COMPUTED_VALUE"""),4716.0)</f>
        <v>4716</v>
      </c>
      <c r="B4718" s="87" t="str">
        <f>IFERROR(__xludf.DUMMYFUNCTION("""COMPUTED_VALUE"""),"[Nhãn]")</f>
        <v>[Nhãn]</v>
      </c>
      <c r="C4718" s="87" t="str">
        <f>IFERROR(__xludf.DUMMYFUNCTION("""COMPUTED_VALUE"""),"NHG3926")</f>
        <v>NHG3926</v>
      </c>
      <c r="D4718" s="87" t="str">
        <f>IFERROR(__xludf.DUMMYFUNCTION("""COMPUTED_VALUE"""),"[Nhãn] GC - IV - 3926 - Cty Newtex - KẼM XANH T5 (Dạng SC Xanh dương) - 500ml - 40")</f>
        <v>[Nhãn] GC - IV - 3926 - Cty Newtex - KẼM XANH T5 (Dạng SC Xanh dương) - 500ml - 40</v>
      </c>
      <c r="E4718" s="87" t="str">
        <f>IFERROR(__xludf.DUMMYFUNCTION("""COMPUTED_VALUE"""),"vi lượng Phú Sĩ FJ-09 Kẽm Mg")</f>
        <v>vi lượng Phú Sĩ FJ-09 Kẽm Mg</v>
      </c>
      <c r="F4718" s="87" t="str">
        <f>IFERROR(__xludf.DUMMYFUNCTION("""COMPUTED_VALUE"""),"HH3926")</f>
        <v>HH3926</v>
      </c>
      <c r="G4718" s="87" t="str">
        <f>IFERROR(__xludf.DUMMYFUNCTION("""COMPUTED_VALUE"""),"GC - IV - 3926 - Cty Newtex - KẼM XANH T5 (Dạng SC Xanh dương) - 500ml - 40")</f>
        <v>GC - IV - 3926 - Cty Newtex - KẼM XANH T5 (Dạng SC Xanh dương) - 500ml - 40</v>
      </c>
    </row>
    <row r="4719">
      <c r="A4719" s="86">
        <f>IFERROR(__xludf.DUMMYFUNCTION("""COMPUTED_VALUE"""),4717.0)</f>
        <v>4717</v>
      </c>
      <c r="B4719" s="87" t="str">
        <f>IFERROR(__xludf.DUMMYFUNCTION("""COMPUTED_VALUE"""),"[Nhãn]")</f>
        <v>[Nhãn]</v>
      </c>
      <c r="C4719" s="87" t="str">
        <f>IFERROR(__xludf.DUMMYFUNCTION("""COMPUTED_VALUE"""),"NHG3931")</f>
        <v>NHG3931</v>
      </c>
      <c r="D4719" s="87" t="str">
        <f>IFERROR(__xludf.DUMMYFUNCTION("""COMPUTED_VALUE"""),"[Nhãn] GC - IV - 3931 - GNH - Kabo sữa (Nước trắng ngà) - 500ml - 40")</f>
        <v>[Nhãn] GC - IV - 3931 - GNH - Kabo sữa (Nước trắng ngà) - 500ml - 40</v>
      </c>
      <c r="E4719" s="87" t="str">
        <f>IFERROR(__xludf.DUMMYFUNCTION("""COMPUTED_VALUE"""),"Vi lượng Basel IDA 49")</f>
        <v>Vi lượng Basel IDA 49</v>
      </c>
      <c r="F4719" s="87" t="str">
        <f>IFERROR(__xludf.DUMMYFUNCTION("""COMPUTED_VALUE"""),"HH3931")</f>
        <v>HH3931</v>
      </c>
      <c r="G4719" s="87" t="str">
        <f>IFERROR(__xludf.DUMMYFUNCTION("""COMPUTED_VALUE"""),"GC - IV - 3931 - GNH - Kabo sữa (Nước trắng ngà) - 500ml - 40")</f>
        <v>GC - IV - 3931 - GNH - Kabo sữa (Nước trắng ngà) - 500ml - 40</v>
      </c>
    </row>
    <row r="4720">
      <c r="A4720" s="86">
        <f>IFERROR(__xludf.DUMMYFUNCTION("""COMPUTED_VALUE"""),4718.0)</f>
        <v>4718</v>
      </c>
      <c r="B4720" s="87" t="str">
        <f>IFERROR(__xludf.DUMMYFUNCTION("""COMPUTED_VALUE"""),"[Nhãn]")</f>
        <v>[Nhãn]</v>
      </c>
      <c r="C4720" s="87" t="str">
        <f>IFERROR(__xludf.DUMMYFUNCTION("""COMPUTED_VALUE"""),"NHD3932")</f>
        <v>NHD3932</v>
      </c>
      <c r="D4720" s="87" t="str">
        <f>IFERROR(__xludf.DUMMYFUNCTION("""COMPUTED_VALUE"""),"[Nhãn] GC - IV - 3932 - CTY HIỆP PHÁT ABC - HP.02 (Gel nâu đen) - 5L - 4")</f>
        <v>[Nhãn] GC - IV - 3932 - CTY HIỆP PHÁT ABC - HP.02 (Gel nâu đen) - 5L - 4</v>
      </c>
      <c r="E4720" s="87" t="str">
        <f>IFERROR(__xludf.DUMMYFUNCTION("""COMPUTED_VALUE"""),"Vi lượng Run Fast")</f>
        <v>Vi lượng Run Fast</v>
      </c>
      <c r="F4720" s="87" t="str">
        <f>IFERROR(__xludf.DUMMYFUNCTION("""COMPUTED_VALUE"""),"HH3932")</f>
        <v>HH3932</v>
      </c>
      <c r="G4720" s="87" t="str">
        <f>IFERROR(__xludf.DUMMYFUNCTION("""COMPUTED_VALUE"""),"GC - IV - 3932 - CTY HIỆP PHÁT ABC - HP.02 (Gel nâu đen) - 5L - 4")</f>
        <v>GC - IV - 3932 - CTY HIỆP PHÁT ABC - HP.02 (Gel nâu đen) - 5L - 4</v>
      </c>
    </row>
    <row r="4721">
      <c r="A4721" s="86">
        <f>IFERROR(__xludf.DUMMYFUNCTION("""COMPUTED_VALUE"""),4719.0)</f>
        <v>4719</v>
      </c>
      <c r="B4721" s="87" t="str">
        <f>IFERROR(__xludf.DUMMYFUNCTION("""COMPUTED_VALUE"""),"[Nhãn thùng]")</f>
        <v>[Nhãn thùng]</v>
      </c>
      <c r="C4721" s="87" t="str">
        <f>IFERROR(__xludf.DUMMYFUNCTION("""COMPUTED_VALUE"""),"NDT3932")</f>
        <v>NDT3932</v>
      </c>
      <c r="D4721" s="87" t="str">
        <f>IFERROR(__xludf.DUMMYFUNCTION("""COMPUTED_VALUE"""),"[Nhãn thùng] GC - IV - 3932 - CTY HIỆP PHÁT ABC - HP.02 (Gel nâu đen) - 5L - 4")</f>
        <v>[Nhãn thùng] GC - IV - 3932 - CTY HIỆP PHÁT ABC - HP.02 (Gel nâu đen) - 5L - 4</v>
      </c>
      <c r="E4721" s="87" t="str">
        <f>IFERROR(__xludf.DUMMYFUNCTION("""COMPUTED_VALUE"""),"Vi lượng Run Fast")</f>
        <v>Vi lượng Run Fast</v>
      </c>
      <c r="F4721" s="87" t="str">
        <f>IFERROR(__xludf.DUMMYFUNCTION("""COMPUTED_VALUE"""),"HH3932")</f>
        <v>HH3932</v>
      </c>
      <c r="G4721" s="87" t="str">
        <f>IFERROR(__xludf.DUMMYFUNCTION("""COMPUTED_VALUE"""),"GC - IV - 3932 - CTY HIỆP PHÁT ABC - HP.02 (Gel nâu đen) - 5L - 4")</f>
        <v>GC - IV - 3932 - CTY HIỆP PHÁT ABC - HP.02 (Gel nâu đen) - 5L - 4</v>
      </c>
    </row>
    <row r="4722">
      <c r="A4722" s="86">
        <f>IFERROR(__xludf.DUMMYFUNCTION("""COMPUTED_VALUE"""),4720.0)</f>
        <v>4720</v>
      </c>
      <c r="B4722" s="87" t="str">
        <f>IFERROR(__xludf.DUMMYFUNCTION("""COMPUTED_VALUE"""),"[Nhãn]")</f>
        <v>[Nhãn]</v>
      </c>
      <c r="C4722" s="87" t="str">
        <f>IFERROR(__xludf.DUMMYFUNCTION("""COMPUTED_VALUE"""),"NHG3933")</f>
        <v>NHG3933</v>
      </c>
      <c r="D4722" s="87" t="str">
        <f>IFERROR(__xludf.DUMMYFUNCTION("""COMPUTED_VALUE"""),"[Nhãn] LOTUS AGROCHEM - VII - 3933 - LOTUS DIỆP LỤC (Nước trắng sữa) - 500ml - 40")</f>
        <v>[Nhãn] LOTUS AGROCHEM - VII - 3933 - LOTUS DIỆP LỤC (Nước trắng sữa) - 500ml - 40</v>
      </c>
      <c r="E4722" s="87" t="str">
        <f>IFERROR(__xludf.DUMMYFUNCTION("""COMPUTED_VALUE"""),"vi lượng Phú Sĩ FJ-09 Kẽm Mg")</f>
        <v>vi lượng Phú Sĩ FJ-09 Kẽm Mg</v>
      </c>
      <c r="F4722" s="87" t="str">
        <f>IFERROR(__xludf.DUMMYFUNCTION("""COMPUTED_VALUE"""),"HH3933")</f>
        <v>HH3933</v>
      </c>
      <c r="G4722" s="87" t="str">
        <f>IFERROR(__xludf.DUMMYFUNCTION("""COMPUTED_VALUE"""),"LOTUS AGROCHEM - VII - 3933 - LOTUS DIỆP LỤC (Nước trắng sữa) - 500ml - 40")</f>
        <v>LOTUS AGROCHEM - VII - 3933 - LOTUS DIỆP LỤC (Nước trắng sữa) - 500ml - 40</v>
      </c>
    </row>
    <row r="4723">
      <c r="A4723" s="86">
        <f>IFERROR(__xludf.DUMMYFUNCTION("""COMPUTED_VALUE"""),4721.0)</f>
        <v>4721</v>
      </c>
      <c r="B4723" s="87" t="str">
        <f>IFERROR(__xludf.DUMMYFUNCTION("""COMPUTED_VALUE"""),"[Nhãn]")</f>
        <v>[Nhãn]</v>
      </c>
      <c r="C4723" s="87" t="str">
        <f>IFERROR(__xludf.DUMMYFUNCTION("""COMPUTED_VALUE"""),"NHG3934")</f>
        <v>NHG3934</v>
      </c>
      <c r="D4723" s="87" t="str">
        <f>IFERROR(__xludf.DUMMYFUNCTION("""COMPUTED_VALUE"""),"[Nhãn] GC - IV - 3934 - TRẦN GIA - KIM CƯƠNG (Nước vàng trà) - 240ml - 40")</f>
        <v>[Nhãn] GC - IV - 3934 - TRẦN GIA - KIM CƯƠNG (Nước vàng trà) - 240ml - 40</v>
      </c>
      <c r="E4723" s="87" t="str">
        <f>IFERROR(__xludf.DUMMYFUNCTION("""COMPUTED_VALUE"""),"AMICOL 360EC")</f>
        <v>AMICOL 360EC</v>
      </c>
      <c r="F4723" s="87" t="str">
        <f>IFERROR(__xludf.DUMMYFUNCTION("""COMPUTED_VALUE"""),"HH3934")</f>
        <v>HH3934</v>
      </c>
      <c r="G4723" s="87" t="str">
        <f>IFERROR(__xludf.DUMMYFUNCTION("""COMPUTED_VALUE"""),"GC - IV - 3934 - TRẦN GIA - KIM CƯƠNG (Nước vàng trà) - 240ml - 40")</f>
        <v>GC - IV - 3934 - TRẦN GIA - KIM CƯƠNG (Nước vàng trà) - 240ml - 40</v>
      </c>
    </row>
    <row r="4724">
      <c r="A4724" s="86">
        <f>IFERROR(__xludf.DUMMYFUNCTION("""COMPUTED_VALUE"""),4722.0)</f>
        <v>4722</v>
      </c>
      <c r="B4724" s="87" t="str">
        <f>IFERROR(__xludf.DUMMYFUNCTION("""COMPUTED_VALUE"""),"[Nhãn]")</f>
        <v>[Nhãn]</v>
      </c>
      <c r="C4724" s="87" t="str">
        <f>IFERROR(__xludf.DUMMYFUNCTION("""COMPUTED_VALUE"""),"NTN3935")</f>
        <v>NTN3935</v>
      </c>
      <c r="D4724" s="87" t="str">
        <f>IFERROR(__xludf.DUMMYFUNCTION("""COMPUTED_VALUE"""),"[Nhãn] GC - IV - 3935 - Agritech - RAYMAX (Dạng cốm màu trắng ngà) - 100gr - 100")</f>
        <v>[Nhãn] GC - IV - 3935 - Agritech - RAYMAX (Dạng cốm màu trắng ngà) - 100gr - 100</v>
      </c>
      <c r="E4724" s="87" t="str">
        <f>IFERROR(__xludf.DUMMYFUNCTION("""COMPUTED_VALUE"""),"NOFARA 35WG")</f>
        <v>NOFARA 35WG</v>
      </c>
      <c r="F4724" s="87" t="str">
        <f>IFERROR(__xludf.DUMMYFUNCTION("""COMPUTED_VALUE"""),"HH3935")</f>
        <v>HH3935</v>
      </c>
      <c r="G4724" s="87" t="str">
        <f>IFERROR(__xludf.DUMMYFUNCTION("""COMPUTED_VALUE"""),"GC - IV - 3935 - Agritech - RAYMAX (Dạng cốm màu trắng ngà) - 100gr - 100")</f>
        <v>GC - IV - 3935 - Agritech - RAYMAX (Dạng cốm màu trắng ngà) - 100gr - 100</v>
      </c>
    </row>
    <row r="4725">
      <c r="A4725" s="86">
        <f>IFERROR(__xludf.DUMMYFUNCTION("""COMPUTED_VALUE"""),4723.0)</f>
        <v>4723</v>
      </c>
      <c r="B4725" s="87" t="str">
        <f>IFERROR(__xludf.DUMMYFUNCTION("""COMPUTED_VALUE"""),"[Nhãn thùng]")</f>
        <v>[Nhãn thùng]</v>
      </c>
      <c r="C4725" s="87" t="str">
        <f>IFERROR(__xludf.DUMMYFUNCTION("""COMPUTED_VALUE"""),"NDT3935")</f>
        <v>NDT3935</v>
      </c>
      <c r="D4725" s="87" t="str">
        <f>IFERROR(__xludf.DUMMYFUNCTION("""COMPUTED_VALUE"""),"[Nhãn thùng] GC - IV - 3935 - Agritech - RAYMAX (Dạng cốm màu trắng ngà) - 100gr - 100")</f>
        <v>[Nhãn thùng] GC - IV - 3935 - Agritech - RAYMAX (Dạng cốm màu trắng ngà) - 100gr - 100</v>
      </c>
      <c r="E4725" s="87" t="str">
        <f>IFERROR(__xludf.DUMMYFUNCTION("""COMPUTED_VALUE"""),"NOFARA 35WG")</f>
        <v>NOFARA 35WG</v>
      </c>
      <c r="F4725" s="87" t="str">
        <f>IFERROR(__xludf.DUMMYFUNCTION("""COMPUTED_VALUE"""),"HH3935")</f>
        <v>HH3935</v>
      </c>
      <c r="G4725" s="87" t="str">
        <f>IFERROR(__xludf.DUMMYFUNCTION("""COMPUTED_VALUE"""),"GC - IV - 3935 - Agritech - RAYMAX (Dạng cốm màu trắng ngà) - 100gr - 100")</f>
        <v>GC - IV - 3935 - Agritech - RAYMAX (Dạng cốm màu trắng ngà) - 100gr - 100</v>
      </c>
    </row>
    <row r="4726">
      <c r="A4726" s="86">
        <f>IFERROR(__xludf.DUMMYFUNCTION("""COMPUTED_VALUE"""),4724.0)</f>
        <v>4724</v>
      </c>
      <c r="B4726" s="87" t="str">
        <f>IFERROR(__xludf.DUMMYFUNCTION("""COMPUTED_VALUE"""),"[Nhãn]")</f>
        <v>[Nhãn]</v>
      </c>
      <c r="C4726" s="87" t="str">
        <f>IFERROR(__xludf.DUMMYFUNCTION("""COMPUTED_VALUE"""),"NHG3936")</f>
        <v>NHG3936</v>
      </c>
      <c r="D4726" s="87" t="str">
        <f>IFERROR(__xludf.DUMMYFUNCTION("""COMPUTED_VALUE"""),"[Nhãn] GC - IV - 3936 - CTY ACE VN - VUA SÂU (Nước đỏ) - 100ml - 100")</f>
        <v>[Nhãn] GC - IV - 3936 - CTY ACE VN - VUA SÂU (Nước đỏ) - 100ml - 100</v>
      </c>
      <c r="E4726" s="87" t="str">
        <f>IFERROR(__xludf.DUMMYFUNCTION("""COMPUTED_VALUE"""),"Creek 2.1EC")</f>
        <v>Creek 2.1EC</v>
      </c>
      <c r="F4726" s="87" t="str">
        <f>IFERROR(__xludf.DUMMYFUNCTION("""COMPUTED_VALUE"""),"HH3936")</f>
        <v>HH3936</v>
      </c>
      <c r="G4726" s="87" t="str">
        <f>IFERROR(__xludf.DUMMYFUNCTION("""COMPUTED_VALUE"""),"GC - IV - 3936 - CTY ACE VN - VUA SÂU (Nước đỏ) - 100ml - 100")</f>
        <v>GC - IV - 3936 - CTY ACE VN - VUA SÂU (Nước đỏ) - 100ml - 100</v>
      </c>
    </row>
    <row r="4727">
      <c r="A4727" s="86">
        <f>IFERROR(__xludf.DUMMYFUNCTION("""COMPUTED_VALUE"""),4725.0)</f>
        <v>4725</v>
      </c>
      <c r="B4727" s="87" t="str">
        <f>IFERROR(__xludf.DUMMYFUNCTION("""COMPUTED_VALUE"""),"[Nhãn]")</f>
        <v>[Nhãn]</v>
      </c>
      <c r="C4727" s="87" t="str">
        <f>IFERROR(__xludf.DUMMYFUNCTION("""COMPUTED_VALUE"""),"NHG3937")</f>
        <v>NHG3937</v>
      </c>
      <c r="D4727" s="87" t="str">
        <f>IFERROR(__xludf.DUMMYFUNCTION("""COMPUTED_VALUE"""),"[Nhãn] GC - IV - 3937 - CTY NÔNG DƯỢC BETA - BETA VÔ GẠO 555 (Dạng SC - Hồng nhạt) - 500ml - 30")</f>
        <v>[Nhãn] GC - IV - 3937 - CTY NÔNG DƯỢC BETA - BETA VÔ GẠO 555 (Dạng SC - Hồng nhạt) - 500ml - 30</v>
      </c>
      <c r="E4727" s="87" t="str">
        <f>IFERROR(__xludf.DUMMYFUNCTION("""COMPUTED_VALUE"""),"NPK-Vi lượng MASSIVE-BLUE")</f>
        <v>NPK-Vi lượng MASSIVE-BLUE</v>
      </c>
      <c r="F4727" s="87" t="str">
        <f>IFERROR(__xludf.DUMMYFUNCTION("""COMPUTED_VALUE"""),"HH3937")</f>
        <v>HH3937</v>
      </c>
      <c r="G4727" s="87" t="str">
        <f>IFERROR(__xludf.DUMMYFUNCTION("""COMPUTED_VALUE"""),"GC - IV - 3937 - CTY NÔNG DƯỢC BETA - BETA VÔ GẠO 555 (Dạng SC - Hồng nhạt) - 500ml - 30")</f>
        <v>GC - IV - 3937 - CTY NÔNG DƯỢC BETA - BETA VÔ GẠO 555 (Dạng SC - Hồng nhạt) - 500ml - 30</v>
      </c>
    </row>
    <row r="4728">
      <c r="A4728" s="86">
        <f>IFERROR(__xludf.DUMMYFUNCTION("""COMPUTED_VALUE"""),4726.0)</f>
        <v>4726</v>
      </c>
      <c r="B4728" s="87" t="str">
        <f>IFERROR(__xludf.DUMMYFUNCTION("""COMPUTED_VALUE"""),"[HỘP]")</f>
        <v>[HỘP]</v>
      </c>
      <c r="C4728" s="87" t="str">
        <f>IFERROR(__xludf.DUMMYFUNCTION("""COMPUTED_VALUE"""),"HOP3937")</f>
        <v>HOP3937</v>
      </c>
      <c r="D4728" s="87" t="str">
        <f>IFERROR(__xludf.DUMMYFUNCTION("""COMPUTED_VALUE"""),"[HỘP] GC - IV - 3937 - CTY NÔNG DƯỢC BETA - BETA VÔ GẠO 555 (Dạng SC - Hồng nhạt) - 500ml - 30")</f>
        <v>[HỘP] GC - IV - 3937 - CTY NÔNG DƯỢC BETA - BETA VÔ GẠO 555 (Dạng SC - Hồng nhạt) - 500ml - 30</v>
      </c>
      <c r="E4728" s="87" t="str">
        <f>IFERROR(__xludf.DUMMYFUNCTION("""COMPUTED_VALUE"""),"NPK-Vi lượng MASSIVE-BLUE")</f>
        <v>NPK-Vi lượng MASSIVE-BLUE</v>
      </c>
      <c r="F4728" s="87" t="str">
        <f>IFERROR(__xludf.DUMMYFUNCTION("""COMPUTED_VALUE"""),"HH3937")</f>
        <v>HH3937</v>
      </c>
      <c r="G4728" s="87" t="str">
        <f>IFERROR(__xludf.DUMMYFUNCTION("""COMPUTED_VALUE"""),"GC - IV - 3937 - CTY NÔNG DƯỢC BETA - BETA VÔ GẠO 555 (Dạng SC - Hồng nhạt) - 500ml - 30")</f>
        <v>GC - IV - 3937 - CTY NÔNG DƯỢC BETA - BETA VÔ GẠO 555 (Dạng SC - Hồng nhạt) - 500ml - 30</v>
      </c>
    </row>
    <row r="4729">
      <c r="A4729" s="86">
        <f>IFERROR(__xludf.DUMMYFUNCTION("""COMPUTED_VALUE"""),4727.0)</f>
        <v>4727</v>
      </c>
      <c r="B4729" s="87" t="str">
        <f>IFERROR(__xludf.DUMMYFUNCTION("""COMPUTED_VALUE"""),"[Nhãn thùng]")</f>
        <v>[Nhãn thùng]</v>
      </c>
      <c r="C4729" s="87" t="str">
        <f>IFERROR(__xludf.DUMMYFUNCTION("""COMPUTED_VALUE"""),"NDT3938")</f>
        <v>NDT3938</v>
      </c>
      <c r="D4729" s="87" t="str">
        <f>IFERROR(__xludf.DUMMYFUNCTION("""COMPUTED_VALUE"""),"[Nhãn thùng] GC - IV - 3938 - CTY ACE VN - CHESS ACE (Bột trắng ngà) - 20gr - 300")</f>
        <v>[Nhãn thùng] GC - IV - 3938 - CTY ACE VN - CHESS ACE (Bột trắng ngà) - 20gr - 300</v>
      </c>
      <c r="E4729" s="87" t="str">
        <f>IFERROR(__xludf.DUMMYFUNCTION("""COMPUTED_VALUE"""),"KHONGRAY 54WP")</f>
        <v>KHONGRAY 54WP</v>
      </c>
      <c r="F4729" s="87" t="str">
        <f>IFERROR(__xludf.DUMMYFUNCTION("""COMPUTED_VALUE"""),"HH3938")</f>
        <v>HH3938</v>
      </c>
      <c r="G4729" s="87" t="str">
        <f>IFERROR(__xludf.DUMMYFUNCTION("""COMPUTED_VALUE"""),"GC - IV - 3938 - CTY ACE VN - CHESS ACE (Bột trắng ngà) - 20gr - 300")</f>
        <v>GC - IV - 3938 - CTY ACE VN - CHESS ACE (Bột trắng ngà) - 20gr - 300</v>
      </c>
    </row>
    <row r="4730">
      <c r="A4730" s="86">
        <f>IFERROR(__xludf.DUMMYFUNCTION("""COMPUTED_VALUE"""),4728.0)</f>
        <v>4728</v>
      </c>
      <c r="B4730" s="87" t="str">
        <f>IFERROR(__xludf.DUMMYFUNCTION("""COMPUTED_VALUE"""),"[Nhãn]")</f>
        <v>[Nhãn]</v>
      </c>
      <c r="C4730" s="87" t="str">
        <f>IFERROR(__xludf.DUMMYFUNCTION("""COMPUTED_VALUE"""),"NTN3938")</f>
        <v>NTN3938</v>
      </c>
      <c r="D4730" s="87" t="str">
        <f>IFERROR(__xludf.DUMMYFUNCTION("""COMPUTED_VALUE"""),"[Nhãn] GC - IV - 3938 - CTY ACE VN - CHESS ACE (Bột trắng ngà) - 20gr - 300")</f>
        <v>[Nhãn] GC - IV - 3938 - CTY ACE VN - CHESS ACE (Bột trắng ngà) - 20gr - 300</v>
      </c>
      <c r="E4730" s="87" t="str">
        <f>IFERROR(__xludf.DUMMYFUNCTION("""COMPUTED_VALUE"""),"KHONGRAY 54WP")</f>
        <v>KHONGRAY 54WP</v>
      </c>
      <c r="F4730" s="87" t="str">
        <f>IFERROR(__xludf.DUMMYFUNCTION("""COMPUTED_VALUE"""),"HH3938")</f>
        <v>HH3938</v>
      </c>
      <c r="G4730" s="87" t="str">
        <f>IFERROR(__xludf.DUMMYFUNCTION("""COMPUTED_VALUE"""),"GC - IV - 3938 - CTY ACE VN - CHESS ACE (Bột trắng ngà) - 20gr - 300")</f>
        <v>GC - IV - 3938 - CTY ACE VN - CHESS ACE (Bột trắng ngà) - 20gr - 300</v>
      </c>
    </row>
    <row r="4731">
      <c r="A4731" s="86">
        <f>IFERROR(__xludf.DUMMYFUNCTION("""COMPUTED_VALUE"""),4729.0)</f>
        <v>4729</v>
      </c>
      <c r="B4731" s="87" t="str">
        <f>IFERROR(__xludf.DUMMYFUNCTION("""COMPUTED_VALUE"""),"[Nhãn]")</f>
        <v>[Nhãn]</v>
      </c>
      <c r="C4731" s="87" t="str">
        <f>IFERROR(__xludf.DUMMYFUNCTION("""COMPUTED_VALUE"""),"NHD3939")</f>
        <v>NHD3939</v>
      </c>
      <c r="D4731" s="87" t="str">
        <f>IFERROR(__xludf.DUMMYFUNCTION("""COMPUTED_VALUE"""),"[Nhãn] IDA GLOBAL - I - 3939 - Creek 2.1EC MỚI (pet vuông) (nước đỏ) - 450ml - 40")</f>
        <v>[Nhãn] IDA GLOBAL - I - 3939 - Creek 2.1EC MỚI (pet vuông) (nước đỏ) - 450ml - 40</v>
      </c>
      <c r="E4731" s="87" t="str">
        <f>IFERROR(__xludf.DUMMYFUNCTION("""COMPUTED_VALUE"""),"Creek 2.1EC")</f>
        <v>Creek 2.1EC</v>
      </c>
      <c r="F4731" s="87" t="str">
        <f>IFERROR(__xludf.DUMMYFUNCTION("""COMPUTED_VALUE"""),"HH3939")</f>
        <v>HH3939</v>
      </c>
      <c r="G4731" s="87" t="str">
        <f>IFERROR(__xludf.DUMMYFUNCTION("""COMPUTED_VALUE"""),"IDA GLOBAL - I - 3939 - Creek 2.1EC MỚI (pet vuông) (nước đỏ) - 450ml - 40")</f>
        <v>IDA GLOBAL - I - 3939 - Creek 2.1EC MỚI (pet vuông) (nước đỏ) - 450ml - 40</v>
      </c>
    </row>
    <row r="4732">
      <c r="A4732" s="86">
        <f>IFERROR(__xludf.DUMMYFUNCTION("""COMPUTED_VALUE"""),4730.0)</f>
        <v>4730</v>
      </c>
      <c r="B4732" s="87" t="str">
        <f>IFERROR(__xludf.DUMMYFUNCTION("""COMPUTED_VALUE"""),"[HỘP]")</f>
        <v>[HỘP]</v>
      </c>
      <c r="C4732" s="87" t="str">
        <f>IFERROR(__xludf.DUMMYFUNCTION("""COMPUTED_VALUE"""),"HOP3939")</f>
        <v>HOP3939</v>
      </c>
      <c r="D4732" s="87" t="str">
        <f>IFERROR(__xludf.DUMMYFUNCTION("""COMPUTED_VALUE"""),"[HỘP] IDA GLOBAL - I - 3939 - Creek 2.1EC MỚI (pet vuông) (nước đỏ) - 450ml - 1")</f>
        <v>[HỘP] IDA GLOBAL - I - 3939 - Creek 2.1EC MỚI (pet vuông) (nước đỏ) - 450ml - 1</v>
      </c>
      <c r="E4732" s="87" t="str">
        <f>IFERROR(__xludf.DUMMYFUNCTION("""COMPUTED_VALUE"""),"Creek 2.1EC")</f>
        <v>Creek 2.1EC</v>
      </c>
      <c r="F4732" s="87" t="str">
        <f>IFERROR(__xludf.DUMMYFUNCTION("""COMPUTED_VALUE"""),"HH3939")</f>
        <v>HH3939</v>
      </c>
      <c r="G4732" s="87" t="str">
        <f>IFERROR(__xludf.DUMMYFUNCTION("""COMPUTED_VALUE"""),"IDA GLOBAL - I - 3939 - Creek 2.1EC MỚI (pet vuông) (nước đỏ) - 450ml - 40")</f>
        <v>IDA GLOBAL - I - 3939 - Creek 2.1EC MỚI (pet vuông) (nước đỏ) - 450ml - 40</v>
      </c>
    </row>
    <row r="4733">
      <c r="A4733" s="86">
        <f>IFERROR(__xludf.DUMMYFUNCTION("""COMPUTED_VALUE"""),4731.0)</f>
        <v>4731</v>
      </c>
      <c r="B4733" s="87" t="str">
        <f>IFERROR(__xludf.DUMMYFUNCTION("""COMPUTED_VALUE"""),"[Nhãn thùng]")</f>
        <v>[Nhãn thùng]</v>
      </c>
      <c r="C4733" s="87" t="str">
        <f>IFERROR(__xludf.DUMMYFUNCTION("""COMPUTED_VALUE"""),"NDT3939")</f>
        <v>NDT3939</v>
      </c>
      <c r="D4733" s="87" t="str">
        <f>IFERROR(__xludf.DUMMYFUNCTION("""COMPUTED_VALUE"""),"[Nhãn thùng] IDA GLOBAL - I - 3939 - Creek 2.1EC MỚI (pet vuông) (nước đỏ) - 450ml - 40")</f>
        <v>[Nhãn thùng] IDA GLOBAL - I - 3939 - Creek 2.1EC MỚI (pet vuông) (nước đỏ) - 450ml - 40</v>
      </c>
      <c r="E4733" s="87" t="str">
        <f>IFERROR(__xludf.DUMMYFUNCTION("""COMPUTED_VALUE"""),"Creek 2.1EC")</f>
        <v>Creek 2.1EC</v>
      </c>
      <c r="F4733" s="87" t="str">
        <f>IFERROR(__xludf.DUMMYFUNCTION("""COMPUTED_VALUE"""),"HH3939")</f>
        <v>HH3939</v>
      </c>
      <c r="G4733" s="87" t="str">
        <f>IFERROR(__xludf.DUMMYFUNCTION("""COMPUTED_VALUE"""),"IDA GLOBAL - I - 3939 - Creek 2.1EC MỚI (pet vuông) (nước đỏ) - 450ml - 40")</f>
        <v>IDA GLOBAL - I - 3939 - Creek 2.1EC MỚI (pet vuông) (nước đỏ) - 450ml - 40</v>
      </c>
    </row>
    <row r="4734">
      <c r="A4734" s="86">
        <f>IFERROR(__xludf.DUMMYFUNCTION("""COMPUTED_VALUE"""),4732.0)</f>
        <v>4732</v>
      </c>
      <c r="B4734" s="87" t="str">
        <f>IFERROR(__xludf.DUMMYFUNCTION("""COMPUTED_VALUE"""),"[Nhãn]")</f>
        <v>[Nhãn]</v>
      </c>
      <c r="C4734" s="87" t="str">
        <f>IFERROR(__xludf.DUMMYFUNCTION("""COMPUTED_VALUE"""),"NHG3940")</f>
        <v>NHG3940</v>
      </c>
      <c r="D4734" s="87" t="str">
        <f>IFERROR(__xludf.DUMMYFUNCTION("""COMPUTED_VALUE"""),"[Nhãn]  IDA Global - I - 3940 - IDA GENOL 1.2SL (nước đỏ) - 480ml - 40")</f>
        <v>[Nhãn]  IDA Global - I - 3940 - IDA GENOL 1.2SL (nước đỏ) - 480ml - 40</v>
      </c>
      <c r="E4734" s="87" t="str">
        <f>IFERROR(__xludf.DUMMYFUNCTION("""COMPUTED_VALUE"""),"GENOL 1.2SL")</f>
        <v>GENOL 1.2SL</v>
      </c>
      <c r="F4734" s="87" t="str">
        <f>IFERROR(__xludf.DUMMYFUNCTION("""COMPUTED_VALUE"""),"HH3940")</f>
        <v>HH3940</v>
      </c>
      <c r="G4734" s="87" t="str">
        <f>IFERROR(__xludf.DUMMYFUNCTION("""COMPUTED_VALUE"""),"IDA Global - I - 3940 - IDA GENOL 1.2SL (nước đỏ) - 480ml - 40")</f>
        <v>IDA Global - I - 3940 - IDA GENOL 1.2SL (nước đỏ) - 480ml - 40</v>
      </c>
    </row>
    <row r="4735">
      <c r="A4735" s="86">
        <f>IFERROR(__xludf.DUMMYFUNCTION("""COMPUTED_VALUE"""),4733.0)</f>
        <v>4733</v>
      </c>
      <c r="B4735" s="87" t="str">
        <f>IFERROR(__xludf.DUMMYFUNCTION("""COMPUTED_VALUE"""),"[Nhãn]")</f>
        <v>[Nhãn]</v>
      </c>
      <c r="C4735" s="87" t="str">
        <f>IFERROR(__xludf.DUMMYFUNCTION("""COMPUTED_VALUE"""),"NHG3941")</f>
        <v>NHG3941</v>
      </c>
      <c r="D4735" s="87" t="str">
        <f>IFERROR(__xludf.DUMMYFUNCTION("""COMPUTED_VALUE"""),"[Nhãn] GC - IV - 3941 - Cty Tago - KING TOP (Nước gạch cam) - 250ml - 40")</f>
        <v>[Nhãn] GC - IV - 3941 - Cty Tago - KING TOP (Nước gạch cam) - 250ml - 40</v>
      </c>
      <c r="E4735" s="87" t="str">
        <f>IFERROR(__xludf.DUMMYFUNCTION("""COMPUTED_VALUE"""),"KING-CIDE JAPAN 460SC")</f>
        <v>KING-CIDE JAPAN 460SC</v>
      </c>
      <c r="F4735" s="87" t="str">
        <f>IFERROR(__xludf.DUMMYFUNCTION("""COMPUTED_VALUE"""),"HH3941")</f>
        <v>HH3941</v>
      </c>
      <c r="G4735" s="87" t="str">
        <f>IFERROR(__xludf.DUMMYFUNCTION("""COMPUTED_VALUE"""),"GC - IV - 3941 - Cty Tago - KING TOP (Nước gạch cam) - 250ml - 40")</f>
        <v>GC - IV - 3941 - Cty Tago - KING TOP (Nước gạch cam) - 250ml - 40</v>
      </c>
    </row>
    <row r="4736">
      <c r="A4736" s="86">
        <f>IFERROR(__xludf.DUMMYFUNCTION("""COMPUTED_VALUE"""),4734.0)</f>
        <v>4734</v>
      </c>
      <c r="B4736" s="87" t="str">
        <f>IFERROR(__xludf.DUMMYFUNCTION("""COMPUTED_VALUE"""),"[Nhãn thùng]")</f>
        <v>[Nhãn thùng]</v>
      </c>
      <c r="C4736" s="87" t="str">
        <f>IFERROR(__xludf.DUMMYFUNCTION("""COMPUTED_VALUE"""),"NDT3941")</f>
        <v>NDT3941</v>
      </c>
      <c r="D4736" s="87" t="str">
        <f>IFERROR(__xludf.DUMMYFUNCTION("""COMPUTED_VALUE"""),"[Nhãn thùng] GC - IV - 3941 - Cty Tago - KING TOP (Nước gạch cam) - 250ml - 40")</f>
        <v>[Nhãn thùng] GC - IV - 3941 - Cty Tago - KING TOP (Nước gạch cam) - 250ml - 40</v>
      </c>
      <c r="E4736" s="87" t="str">
        <f>IFERROR(__xludf.DUMMYFUNCTION("""COMPUTED_VALUE"""),"KING-CIDE JAPAN 460SC")</f>
        <v>KING-CIDE JAPAN 460SC</v>
      </c>
      <c r="F4736" s="87" t="str">
        <f>IFERROR(__xludf.DUMMYFUNCTION("""COMPUTED_VALUE"""),"HH3941")</f>
        <v>HH3941</v>
      </c>
      <c r="G4736" s="87" t="str">
        <f>IFERROR(__xludf.DUMMYFUNCTION("""COMPUTED_VALUE"""),"GC - IV - 3941 - Cty Tago - KING TOP (Nước gạch cam) - 250ml - 40")</f>
        <v>GC - IV - 3941 - Cty Tago - KING TOP (Nước gạch cam) - 250ml - 40</v>
      </c>
    </row>
    <row r="4737">
      <c r="A4737" s="86">
        <f>IFERROR(__xludf.DUMMYFUNCTION("""COMPUTED_VALUE"""),4735.0)</f>
        <v>4735</v>
      </c>
      <c r="B4737" s="87" t="str">
        <f>IFERROR(__xludf.DUMMYFUNCTION("""COMPUTED_VALUE"""),"[Nhãn]")</f>
        <v>[Nhãn]</v>
      </c>
      <c r="C4737" s="87" t="str">
        <f>IFERROR(__xludf.DUMMYFUNCTION("""COMPUTED_VALUE"""),"NHG3942")</f>
        <v>NHG3942</v>
      </c>
      <c r="D4737" s="87" t="str">
        <f>IFERROR(__xludf.DUMMYFUNCTION("""COMPUTED_VALUE"""),"[Nhãn] GC - IV - 3942 - Agriplant - Xanh Cây - Dày Lá (Nước xanh lá) - 500ml - 40")</f>
        <v>[Nhãn] GC - IV - 3942 - Agriplant - Xanh Cây - Dày Lá (Nước xanh lá) - 500ml - 40</v>
      </c>
      <c r="E4737" s="87" t="str">
        <f>IFERROR(__xludf.DUMMYFUNCTION("""COMPUTED_VALUE"""),"Vi lượng MICKEY")</f>
        <v>Vi lượng MICKEY</v>
      </c>
      <c r="F4737" s="87" t="str">
        <f>IFERROR(__xludf.DUMMYFUNCTION("""COMPUTED_VALUE"""),"HH3942")</f>
        <v>HH3942</v>
      </c>
      <c r="G4737" s="87" t="str">
        <f>IFERROR(__xludf.DUMMYFUNCTION("""COMPUTED_VALUE"""),"GC - IV - 3942 - Agriplant - Xanh Cây - Dày Lá (Nước xanh lá) - 500ml - 40")</f>
        <v>GC - IV - 3942 - Agriplant - Xanh Cây - Dày Lá (Nước xanh lá) - 500ml - 40</v>
      </c>
    </row>
    <row r="4738">
      <c r="A4738" s="86">
        <f>IFERROR(__xludf.DUMMYFUNCTION("""COMPUTED_VALUE"""),4736.0)</f>
        <v>4736</v>
      </c>
      <c r="B4738" s="87" t="str">
        <f>IFERROR(__xludf.DUMMYFUNCTION("""COMPUTED_VALUE"""),"[Nhãn]")</f>
        <v>[Nhãn]</v>
      </c>
      <c r="C4738" s="87" t="str">
        <f>IFERROR(__xludf.DUMMYFUNCTION("""COMPUTED_VALUE"""),"NTN3943")</f>
        <v>NTN3943</v>
      </c>
      <c r="D4738" s="87" t="str">
        <f>IFERROR(__xludf.DUMMYFUNCTION("""COMPUTED_VALUE"""),"[Nhãn] GC - IV - 3943 - Cty Capy Global - REP PLAY 75WP (Bột trắng) - 100gr - 100")</f>
        <v>[Nhãn] GC - IV - 3943 - Cty Capy Global - REP PLAY 75WP (Bột trắng) - 100gr - 100</v>
      </c>
      <c r="E4738" s="87" t="str">
        <f>IFERROR(__xludf.DUMMYFUNCTION("""COMPUTED_VALUE"""),"REP PLAY 75WP")</f>
        <v>REP PLAY 75WP</v>
      </c>
      <c r="F4738" s="87" t="str">
        <f>IFERROR(__xludf.DUMMYFUNCTION("""COMPUTED_VALUE"""),"HH3943")</f>
        <v>HH3943</v>
      </c>
      <c r="G4738" s="87" t="str">
        <f>IFERROR(__xludf.DUMMYFUNCTION("""COMPUTED_VALUE"""),"GC - IV - 3943 - Cty Capy Global - REP PLAY 75WP (Bột trắng) - 100gr - 100")</f>
        <v>GC - IV - 3943 - Cty Capy Global - REP PLAY 75WP (Bột trắng) - 100gr - 100</v>
      </c>
    </row>
    <row r="4739">
      <c r="A4739" s="86">
        <f>IFERROR(__xludf.DUMMYFUNCTION("""COMPUTED_VALUE"""),4737.0)</f>
        <v>4737</v>
      </c>
      <c r="B4739" s="87" t="str">
        <f>IFERROR(__xludf.DUMMYFUNCTION("""COMPUTED_VALUE"""),"[Nhãn thùng]")</f>
        <v>[Nhãn thùng]</v>
      </c>
      <c r="C4739" s="87" t="str">
        <f>IFERROR(__xludf.DUMMYFUNCTION("""COMPUTED_VALUE"""),"NDT3943")</f>
        <v>NDT3943</v>
      </c>
      <c r="D4739" s="87" t="str">
        <f>IFERROR(__xludf.DUMMYFUNCTION("""COMPUTED_VALUE"""),"[Nhãn thùng] GC - IV - 3943 - Cty Capy Global - REP PLAY 75WP (Bột trắng) - 100gr - 100")</f>
        <v>[Nhãn thùng] GC - IV - 3943 - Cty Capy Global - REP PLAY 75WP (Bột trắng) - 100gr - 100</v>
      </c>
      <c r="E4739" s="87" t="str">
        <f>IFERROR(__xludf.DUMMYFUNCTION("""COMPUTED_VALUE"""),"REP PLAY 75WP")</f>
        <v>REP PLAY 75WP</v>
      </c>
      <c r="F4739" s="87" t="str">
        <f>IFERROR(__xludf.DUMMYFUNCTION("""COMPUTED_VALUE"""),"HH3943")</f>
        <v>HH3943</v>
      </c>
      <c r="G4739" s="87" t="str">
        <f>IFERROR(__xludf.DUMMYFUNCTION("""COMPUTED_VALUE"""),"GC - IV - 3943 - Cty Capy Global - REP PLAY 75WP (Bột trắng) - 100gr - 100")</f>
        <v>GC - IV - 3943 - Cty Capy Global - REP PLAY 75WP (Bột trắng) - 100gr - 100</v>
      </c>
    </row>
    <row r="4740">
      <c r="A4740" s="86">
        <f>IFERROR(__xludf.DUMMYFUNCTION("""COMPUTED_VALUE"""),4738.0)</f>
        <v>4738</v>
      </c>
      <c r="B4740" s="87" t="str">
        <f>IFERROR(__xludf.DUMMYFUNCTION("""COMPUTED_VALUE"""),"[Nhãn]")</f>
        <v>[Nhãn]</v>
      </c>
      <c r="C4740" s="87" t="str">
        <f>IFERROR(__xludf.DUMMYFUNCTION("""COMPUTED_VALUE"""),"NHG3945")</f>
        <v>NHG3945</v>
      </c>
      <c r="D4740" s="87" t="str">
        <f>IFERROR(__xludf.DUMMYFUNCTION("""COMPUTED_VALUE"""),"[Nhãn] GC - IV - 3945 - CTY Nghi Phong - SẠCH CỎ (nước vàng) - 900ml - 20")</f>
        <v>[Nhãn] GC - IV - 3945 - CTY Nghi Phong - SẠCH CỎ (nước vàng) - 900ml - 20</v>
      </c>
      <c r="E4740" s="87" t="str">
        <f>IFERROR(__xludf.DUMMYFUNCTION("""COMPUTED_VALUE"""),"GLUFOCIDE 200SL")</f>
        <v>GLUFOCIDE 200SL</v>
      </c>
      <c r="F4740" s="87" t="str">
        <f>IFERROR(__xludf.DUMMYFUNCTION("""COMPUTED_VALUE"""),"HH3945")</f>
        <v>HH3945</v>
      </c>
      <c r="G4740" s="87" t="str">
        <f>IFERROR(__xludf.DUMMYFUNCTION("""COMPUTED_VALUE"""),"GC - IV - 3945 - CTY Nghi Phong - SẠCH CỎ (nước vàng) - 900ml - 20")</f>
        <v>GC - IV - 3945 - CTY Nghi Phong - SẠCH CỎ (nước vàng) - 900ml - 20</v>
      </c>
    </row>
    <row r="4741">
      <c r="A4741" s="86">
        <f>IFERROR(__xludf.DUMMYFUNCTION("""COMPUTED_VALUE"""),4739.0)</f>
        <v>4739</v>
      </c>
      <c r="B4741" s="87" t="str">
        <f>IFERROR(__xludf.DUMMYFUNCTION("""COMPUTED_VALUE"""),"[Nhãn]")</f>
        <v>[Nhãn]</v>
      </c>
      <c r="C4741" s="87" t="str">
        <f>IFERROR(__xludf.DUMMYFUNCTION("""COMPUTED_VALUE"""),"NHG3946")</f>
        <v>NHG3946</v>
      </c>
      <c r="D4741" s="87" t="str">
        <f>IFERROR(__xludf.DUMMYFUNCTION("""COMPUTED_VALUE"""),"[Nhãn] GC - IV - 3946 - CTY AGRITECH (Anh Trương) - AGRI GRAS (Nước đỏ) - 900ml - 20")</f>
        <v>[Nhãn] GC - IV - 3946 - CTY AGRITECH (Anh Trương) - AGRI GRAS (Nước đỏ) - 900ml - 20</v>
      </c>
      <c r="E4741" s="87" t="str">
        <f>IFERROR(__xludf.DUMMYFUNCTION("""COMPUTED_VALUE"""),"GLUFOCIDE 200SL")</f>
        <v>GLUFOCIDE 200SL</v>
      </c>
      <c r="F4741" s="87" t="str">
        <f>IFERROR(__xludf.DUMMYFUNCTION("""COMPUTED_VALUE"""),"HH3946")</f>
        <v>HH3946</v>
      </c>
      <c r="G4741" s="87" t="str">
        <f>IFERROR(__xludf.DUMMYFUNCTION("""COMPUTED_VALUE"""),"GC - IV - 3946 - CTY AGRITECH (Anh Trương) - AGRI GRAS (Nước đỏ) - 900ml - 20")</f>
        <v>GC - IV - 3946 - CTY AGRITECH (Anh Trương) - AGRI GRAS (Nước đỏ) - 900ml - 20</v>
      </c>
    </row>
    <row r="4742">
      <c r="A4742" s="86">
        <f>IFERROR(__xludf.DUMMYFUNCTION("""COMPUTED_VALUE"""),4740.0)</f>
        <v>4740</v>
      </c>
      <c r="B4742" s="87" t="str">
        <f>IFERROR(__xludf.DUMMYFUNCTION("""COMPUTED_VALUE"""),"[Nhãn]")</f>
        <v>[Nhãn]</v>
      </c>
      <c r="C4742" s="87" t="str">
        <f>IFERROR(__xludf.DUMMYFUNCTION("""COMPUTED_VALUE"""),"NHD3948")</f>
        <v>NHD3948</v>
      </c>
      <c r="D4742" s="87" t="str">
        <f>IFERROR(__xludf.DUMMYFUNCTION("""COMPUTED_VALUE"""),"[Nhãn] GC - IV - 3948 - CTY HƯƠNG NÔNG - BIO HỮU CƠ (Nước nâu đen) - 10L - 1")</f>
        <v>[Nhãn] GC - IV - 3948 - CTY HƯƠNG NÔNG - BIO HỮU CƠ (Nước nâu đen) - 10L - 1</v>
      </c>
      <c r="E4742" s="87" t="str">
        <f>IFERROR(__xludf.DUMMYFUNCTION("""COMPUTED_VALUE"""),"Hữu cơ Organic BM Gold  FW")</f>
        <v>Hữu cơ Organic BM Gold  FW</v>
      </c>
      <c r="F4742" s="87" t="str">
        <f>IFERROR(__xludf.DUMMYFUNCTION("""COMPUTED_VALUE"""),"HH3948")</f>
        <v>HH3948</v>
      </c>
      <c r="G4742" s="87" t="str">
        <f>IFERROR(__xludf.DUMMYFUNCTION("""COMPUTED_VALUE"""),"GC - IV - 3948 - CTY HƯƠNG NÔNG - BIO HỮU CƠ (Nước nâu đen) - 10L - 1")</f>
        <v>GC - IV - 3948 - CTY HƯƠNG NÔNG - BIO HỮU CƠ (Nước nâu đen) - 10L - 1</v>
      </c>
    </row>
    <row r="4743">
      <c r="A4743" s="86">
        <f>IFERROR(__xludf.DUMMYFUNCTION("""COMPUTED_VALUE"""),4741.0)</f>
        <v>4741</v>
      </c>
      <c r="B4743" s="87" t="str">
        <f>IFERROR(__xludf.DUMMYFUNCTION("""COMPUTED_VALUE"""),"[Nhãn]")</f>
        <v>[Nhãn]</v>
      </c>
      <c r="C4743" s="87" t="str">
        <f>IFERROR(__xludf.DUMMYFUNCTION("""COMPUTED_VALUE"""),"NTN3949")</f>
        <v>NTN3949</v>
      </c>
      <c r="D4743" s="87" t="str">
        <f>IFERROR(__xludf.DUMMYFUNCTION("""COMPUTED_VALUE"""),"[Nhãn] GC - IV - 3949 - CTY NÔNG DƯỢC VIỆT AN - RGENTA (Bột cam)  - 100gr - 100")</f>
        <v>[Nhãn] GC - IV - 3949 - CTY NÔNG DƯỢC VIỆT AN - RGENTA (Bột cam)  - 100gr - 100</v>
      </c>
      <c r="E4743" s="87" t="str">
        <f>IFERROR(__xludf.DUMMYFUNCTION("""COMPUTED_VALUE"""),"NOFADA 822WP")</f>
        <v>NOFADA 822WP</v>
      </c>
      <c r="F4743" s="87" t="str">
        <f>IFERROR(__xludf.DUMMYFUNCTION("""COMPUTED_VALUE"""),"HH3949")</f>
        <v>HH3949</v>
      </c>
      <c r="G4743" s="87" t="str">
        <f>IFERROR(__xludf.DUMMYFUNCTION("""COMPUTED_VALUE"""),"GC - IV - 3949 - CTY NÔNG DƯỢC VIỆT AN - RGENTA (Bột cam)  - 100gr - 100")</f>
        <v>GC - IV - 3949 - CTY NÔNG DƯỢC VIỆT AN - RGENTA (Bột cam)  - 100gr - 100</v>
      </c>
    </row>
    <row r="4744">
      <c r="A4744" s="86">
        <f>IFERROR(__xludf.DUMMYFUNCTION("""COMPUTED_VALUE"""),4742.0)</f>
        <v>4742</v>
      </c>
      <c r="B4744" s="87" t="str">
        <f>IFERROR(__xludf.DUMMYFUNCTION("""COMPUTED_VALUE"""),"[Nhãn thùng]")</f>
        <v>[Nhãn thùng]</v>
      </c>
      <c r="C4744" s="87" t="str">
        <f>IFERROR(__xludf.DUMMYFUNCTION("""COMPUTED_VALUE"""),"NDT3949")</f>
        <v>NDT3949</v>
      </c>
      <c r="D4744" s="87" t="str">
        <f>IFERROR(__xludf.DUMMYFUNCTION("""COMPUTED_VALUE"""),"[Nhãn thùng] GC - IV - 3949 - CTY NÔNG DƯỢC VIỆT AN - RGENTA (Bột cam)  - 100gr - 100")</f>
        <v>[Nhãn thùng] GC - IV - 3949 - CTY NÔNG DƯỢC VIỆT AN - RGENTA (Bột cam)  - 100gr - 100</v>
      </c>
      <c r="E4744" s="87" t="str">
        <f>IFERROR(__xludf.DUMMYFUNCTION("""COMPUTED_VALUE"""),"NOFADA 822WP")</f>
        <v>NOFADA 822WP</v>
      </c>
      <c r="F4744" s="87" t="str">
        <f>IFERROR(__xludf.DUMMYFUNCTION("""COMPUTED_VALUE"""),"HH3949")</f>
        <v>HH3949</v>
      </c>
      <c r="G4744" s="87" t="str">
        <f>IFERROR(__xludf.DUMMYFUNCTION("""COMPUTED_VALUE"""),"GC - IV - 3949 - CTY NÔNG DƯỢC VIỆT AN - RGENTA (Bột cam)  - 100gr - 100")</f>
        <v>GC - IV - 3949 - CTY NÔNG DƯỢC VIỆT AN - RGENTA (Bột cam)  - 100gr - 100</v>
      </c>
    </row>
    <row r="4745">
      <c r="A4745" s="86">
        <f>IFERROR(__xludf.DUMMYFUNCTION("""COMPUTED_VALUE"""),4743.0)</f>
        <v>4743</v>
      </c>
      <c r="B4745" s="87" t="str">
        <f>IFERROR(__xludf.DUMMYFUNCTION("""COMPUTED_VALUE"""),"[Nhãn]")</f>
        <v>[Nhãn]</v>
      </c>
      <c r="C4745" s="87" t="str">
        <f>IFERROR(__xludf.DUMMYFUNCTION("""COMPUTED_VALUE"""),"NHG3951")</f>
        <v>NHG3951</v>
      </c>
      <c r="D4745" s="87" t="str">
        <f>IFERROR(__xludf.DUMMYFUNCTION("""COMPUTED_VALUE"""),"[Nhãn] GC - IV - 3951 - Cty Hóa Nông Shino - KALI SỮA (Nước hồng sữa) - 500ml - 30")</f>
        <v>[Nhãn] GC - IV - 3951 - Cty Hóa Nông Shino - KALI SỮA (Nước hồng sữa) - 500ml - 30</v>
      </c>
      <c r="E4745" s="87" t="str">
        <f>IFERROR(__xludf.DUMMYFUNCTION("""COMPUTED_VALUE"""),"HỖN HỢP NPK AGAMA-SRH")</f>
        <v>HỖN HỢP NPK AGAMA-SRH</v>
      </c>
      <c r="F4745" s="87" t="str">
        <f>IFERROR(__xludf.DUMMYFUNCTION("""COMPUTED_VALUE"""),"HH3951")</f>
        <v>HH3951</v>
      </c>
      <c r="G4745" s="87" t="str">
        <f>IFERROR(__xludf.DUMMYFUNCTION("""COMPUTED_VALUE"""),"GC - IV - 3951 - Cty Hóa Nông Shino - KALI SỮA (Nước hồng sữa) - 500ml - 30")</f>
        <v>GC - IV - 3951 - Cty Hóa Nông Shino - KALI SỮA (Nước hồng sữa) - 500ml - 30</v>
      </c>
    </row>
    <row r="4746">
      <c r="A4746" s="86">
        <f>IFERROR(__xludf.DUMMYFUNCTION("""COMPUTED_VALUE"""),4744.0)</f>
        <v>4744</v>
      </c>
      <c r="B4746" s="87" t="str">
        <f>IFERROR(__xludf.DUMMYFUNCTION("""COMPUTED_VALUE"""),"[Nhãn]")</f>
        <v>[Nhãn]</v>
      </c>
      <c r="C4746" s="87" t="str">
        <f>IFERROR(__xludf.DUMMYFUNCTION("""COMPUTED_VALUE"""),"NHG3952")</f>
        <v>NHG3952</v>
      </c>
      <c r="D4746" s="87" t="str">
        <f>IFERROR(__xludf.DUMMYFUNCTION("""COMPUTED_VALUE"""),"[Nhãn] GC - IV - 3952 - Cty Ngọc Bảo Long Agri - INCY PRO (nước xanh da trời nhạt) - 240ml - 40")</f>
        <v>[Nhãn] GC - IV - 3952 - Cty Ngọc Bảo Long Agri - INCY PRO (nước xanh da trời nhạt) - 240ml - 40</v>
      </c>
      <c r="E4746" s="87" t="str">
        <f>IFERROR(__xludf.DUMMYFUNCTION("""COMPUTED_VALUE"""),"NEW FUZE 200SC")</f>
        <v>NEW FUZE 200SC</v>
      </c>
      <c r="F4746" s="87" t="str">
        <f>IFERROR(__xludf.DUMMYFUNCTION("""COMPUTED_VALUE"""),"HH3952")</f>
        <v>HH3952</v>
      </c>
      <c r="G4746" s="87" t="str">
        <f>IFERROR(__xludf.DUMMYFUNCTION("""COMPUTED_VALUE"""),"GC - IV - 3952 - Cty Ngọc Bảo Long Agri - INCY PRO (nước xanh da trời nhạt) - 240ml - 40")</f>
        <v>GC - IV - 3952 - Cty Ngọc Bảo Long Agri - INCY PRO (nước xanh da trời nhạt) - 240ml - 40</v>
      </c>
    </row>
    <row r="4747">
      <c r="A4747" s="86">
        <f>IFERROR(__xludf.DUMMYFUNCTION("""COMPUTED_VALUE"""),4745.0)</f>
        <v>4745</v>
      </c>
      <c r="B4747" s="87" t="str">
        <f>IFERROR(__xludf.DUMMYFUNCTION("""COMPUTED_VALUE"""),"[Nhãn]")</f>
        <v>[Nhãn]</v>
      </c>
      <c r="C4747" s="87" t="str">
        <f>IFERROR(__xludf.DUMMYFUNCTION("""COMPUTED_VALUE"""),"NHG3953")</f>
        <v>NHG3953</v>
      </c>
      <c r="D4747" s="87" t="str">
        <f>IFERROR(__xludf.DUMMYFUNCTION("""COMPUTED_VALUE"""),"[Nhãn] GC - IV - 3953 - CTY THIÊN DI - THIDI CANXIBO (Nước trắng sữa) - 500ml - 40")</f>
        <v>[Nhãn] GC - IV - 3953 - CTY THIÊN DI - THIDI CANXIBO (Nước trắng sữa) - 500ml - 40</v>
      </c>
      <c r="E4747" s="87" t="str">
        <f>IFERROR(__xludf.DUMMYFUNCTION("""COMPUTED_VALUE"""),"Vi lượng AGAMA-CANXI BO")</f>
        <v>Vi lượng AGAMA-CANXI BO</v>
      </c>
      <c r="F4747" s="87" t="str">
        <f>IFERROR(__xludf.DUMMYFUNCTION("""COMPUTED_VALUE"""),"HH3953")</f>
        <v>HH3953</v>
      </c>
      <c r="G4747" s="87" t="str">
        <f>IFERROR(__xludf.DUMMYFUNCTION("""COMPUTED_VALUE"""),"GC - IV - 3953 - CTY THIÊN DI - THIDI CANXIBO (Nước trắng sữa) - 500ml - 40")</f>
        <v>GC - IV - 3953 - CTY THIÊN DI - THIDI CANXIBO (Nước trắng sữa) - 500ml - 40</v>
      </c>
    </row>
    <row r="4748">
      <c r="A4748" s="86">
        <f>IFERROR(__xludf.DUMMYFUNCTION("""COMPUTED_VALUE"""),4746.0)</f>
        <v>4746</v>
      </c>
      <c r="B4748" s="87" t="str">
        <f>IFERROR(__xludf.DUMMYFUNCTION("""COMPUTED_VALUE"""),"[Nhãn]")</f>
        <v>[Nhãn]</v>
      </c>
      <c r="C4748" s="87" t="str">
        <f>IFERROR(__xludf.DUMMYFUNCTION("""COMPUTED_VALUE"""),"NHG3956")</f>
        <v>NHG3956</v>
      </c>
      <c r="D4748" s="87" t="str">
        <f>IFERROR(__xludf.DUMMYFUNCTION("""COMPUTED_VALUE"""),"[Nhãn] DR.XANH - VIII - 3956 - ROBUST EXTRA (Gel nâu đen) - 500ml - 40")</f>
        <v>[Nhãn] DR.XANH - VIII - 3956 - ROBUST EXTRA (Gel nâu đen) - 500ml - 40</v>
      </c>
      <c r="E4748" s="87" t="str">
        <f>IFERROR(__xludf.DUMMYFUNCTION("""COMPUTED_VALUE"""),"Vi lượng Quantity New")</f>
        <v>Vi lượng Quantity New</v>
      </c>
      <c r="F4748" s="87" t="str">
        <f>IFERROR(__xludf.DUMMYFUNCTION("""COMPUTED_VALUE"""),"HH956")</f>
        <v>HH956</v>
      </c>
      <c r="G4748" s="87" t="str">
        <f>IFERROR(__xludf.DUMMYFUNCTION("""COMPUTED_VALUE"""),"DR.XANH - VIII - 3956 - ROBUST EXTRA (Gel nâu đen) - 500ml - 40")</f>
        <v>DR.XANH - VIII - 3956 - ROBUST EXTRA (Gel nâu đen) - 500ml - 40</v>
      </c>
    </row>
    <row r="4749">
      <c r="A4749" s="86">
        <f>IFERROR(__xludf.DUMMYFUNCTION("""COMPUTED_VALUE"""),4747.0)</f>
        <v>4747</v>
      </c>
      <c r="B4749" s="87" t="str">
        <f>IFERROR(__xludf.DUMMYFUNCTION("""COMPUTED_VALUE"""),"[Nhãn]")</f>
        <v>[Nhãn]</v>
      </c>
      <c r="C4749" s="87" t="str">
        <f>IFERROR(__xludf.DUMMYFUNCTION("""COMPUTED_VALUE"""),"NHG3956")</f>
        <v>NHG3956</v>
      </c>
      <c r="D4749" s="87" t="str">
        <f>IFERROR(__xludf.DUMMYFUNCTION("""COMPUTED_VALUE"""),"[Nhãn] DR.XANH - VIII - 3956 - ROBUST EXTRA (Gel nâu đen) - 500ml - 40")</f>
        <v>[Nhãn] DR.XANH - VIII - 3956 - ROBUST EXTRA (Gel nâu đen) - 500ml - 40</v>
      </c>
      <c r="E4749" s="87" t="str">
        <f>IFERROR(__xludf.DUMMYFUNCTION("""COMPUTED_VALUE"""),"Vi lượng Quantity New")</f>
        <v>Vi lượng Quantity New</v>
      </c>
      <c r="F4749" s="87" t="str">
        <f>IFERROR(__xludf.DUMMYFUNCTION("""COMPUTED_VALUE"""),"HH956")</f>
        <v>HH956</v>
      </c>
      <c r="G4749" s="87" t="str">
        <f>IFERROR(__xludf.DUMMYFUNCTION("""COMPUTED_VALUE"""),"DR.XANH - VIII - 3956 - ROBUST EXTRA (Gel nâu đen) - 500ml - 40")</f>
        <v>DR.XANH - VIII - 3956 - ROBUST EXTRA (Gel nâu đen) - 500ml - 40</v>
      </c>
    </row>
    <row r="4750">
      <c r="A4750" s="86">
        <f>IFERROR(__xludf.DUMMYFUNCTION("""COMPUTED_VALUE"""),4748.0)</f>
        <v>4748</v>
      </c>
      <c r="B4750" s="87" t="str">
        <f>IFERROR(__xludf.DUMMYFUNCTION("""COMPUTED_VALUE"""),"[Nhãn]")</f>
        <v>[Nhãn]</v>
      </c>
      <c r="C4750" s="87" t="str">
        <f>IFERROR(__xludf.DUMMYFUNCTION("""COMPUTED_VALUE"""),"NTN3975")</f>
        <v>NTN3975</v>
      </c>
      <c r="D4750" s="87" t="str">
        <f>IFERROR(__xludf.DUMMYFUNCTION("""COMPUTED_VALUE"""),"[Nhãn] GC - IV - 3957 - Cty Sen Hồng (A.Diễn) - HUMIIX (Viên tròn nâu đen) - 1kg - 25")</f>
        <v>[Nhãn] GC - IV - 3957 - Cty Sen Hồng (A.Diễn) - HUMIIX (Viên tròn nâu đen) - 1kg - 25</v>
      </c>
      <c r="E4750" s="87" t="str">
        <f>IFERROR(__xludf.DUMMYFUNCTION("""COMPUTED_VALUE"""),"VD2")</f>
        <v>VD2</v>
      </c>
      <c r="F4750" s="87" t="str">
        <f>IFERROR(__xludf.DUMMYFUNCTION("""COMPUTED_VALUE"""),"HH3975")</f>
        <v>HH3975</v>
      </c>
      <c r="G4750" s="87" t="str">
        <f>IFERROR(__xludf.DUMMYFUNCTION("""COMPUTED_VALUE"""),"GC - IV - 3957 - Cty Sen Hồng (A.Diễn) - HUMIIX (Viên tròn nâu đen) - 1kg - 25")</f>
        <v>GC - IV - 3957 - Cty Sen Hồng (A.Diễn) - HUMIIX (Viên tròn nâu đen) - 1kg - 25</v>
      </c>
    </row>
    <row r="4751">
      <c r="A4751" s="86">
        <f>IFERROR(__xludf.DUMMYFUNCTION("""COMPUTED_VALUE"""),4749.0)</f>
        <v>4749</v>
      </c>
      <c r="B4751" s="87" t="str">
        <f>IFERROR(__xludf.DUMMYFUNCTION("""COMPUTED_VALUE"""),"[Nhãn thùng]")</f>
        <v>[Nhãn thùng]</v>
      </c>
      <c r="C4751" s="87" t="str">
        <f>IFERROR(__xludf.DUMMYFUNCTION("""COMPUTED_VALUE"""),"NDT3957")</f>
        <v>NDT3957</v>
      </c>
      <c r="D4751" s="87" t="str">
        <f>IFERROR(__xludf.DUMMYFUNCTION("""COMPUTED_VALUE"""),"[Nhãn thùng] GC - IV - 3957 - Cty Sen Hồng (A.Diễn) - HUMIIX (Viên tròn nâu đen) - 1kg - 25")</f>
        <v>[Nhãn thùng] GC - IV - 3957 - Cty Sen Hồng (A.Diễn) - HUMIIX (Viên tròn nâu đen) - 1kg - 25</v>
      </c>
      <c r="E4751" s="87" t="str">
        <f>IFERROR(__xludf.DUMMYFUNCTION("""COMPUTED_VALUE"""),"VD2")</f>
        <v>VD2</v>
      </c>
      <c r="F4751" s="87" t="str">
        <f>IFERROR(__xludf.DUMMYFUNCTION("""COMPUTED_VALUE"""),"HH3957")</f>
        <v>HH3957</v>
      </c>
      <c r="G4751" s="87" t="str">
        <f>IFERROR(__xludf.DUMMYFUNCTION("""COMPUTED_VALUE"""),"GC - IV - 3957 - Cty Sen Hồng (A.Diễn) - HUMIIX (Viên tròn nâu đen) - 1kg - 25")</f>
        <v>GC - IV - 3957 - Cty Sen Hồng (A.Diễn) - HUMIIX (Viên tròn nâu đen) - 1kg - 25</v>
      </c>
    </row>
    <row r="4752">
      <c r="A4752" s="86">
        <f>IFERROR(__xludf.DUMMYFUNCTION("""COMPUTED_VALUE"""),4750.0)</f>
        <v>4750</v>
      </c>
      <c r="B4752" s="87" t="str">
        <f>IFERROR(__xludf.DUMMYFUNCTION("""COMPUTED_VALUE"""),"[Nhãn thùng]")</f>
        <v>[Nhãn thùng]</v>
      </c>
      <c r="C4752" s="87" t="str">
        <f>IFERROR(__xludf.DUMMYFUNCTION("""COMPUTED_VALUE"""),"NDT3960")</f>
        <v>NDT3960</v>
      </c>
      <c r="D4752" s="87" t="str">
        <f>IFERROR(__xludf.DUMMYFUNCTION("""COMPUTED_VALUE"""),"[Nhãn thùng] GC - IV - 3960 - Cty Hương Nông - HN-pH++ (Nước nâu đen) - 5L - 4")</f>
        <v>[Nhãn thùng] GC - IV - 3960 - Cty Hương Nông - HN-pH++ (Nước nâu đen) - 5L - 4</v>
      </c>
      <c r="E4752" s="87" t="str">
        <f>IFERROR(__xludf.DUMMYFUNCTION("""COMPUTED_VALUE"""),"Hữu cơ SH Agro Organic Fertilizer 20")</f>
        <v>Hữu cơ SH Agro Organic Fertilizer 20</v>
      </c>
      <c r="F4752" s="87" t="str">
        <f>IFERROR(__xludf.DUMMYFUNCTION("""COMPUTED_VALUE"""),"HH3960")</f>
        <v>HH3960</v>
      </c>
      <c r="G4752" s="87" t="str">
        <f>IFERROR(__xludf.DUMMYFUNCTION("""COMPUTED_VALUE"""),"GC - IV - 3960 - Cty Hương Nông - HN-pH++ (Nước nâu đen) - 5L - 4")</f>
        <v>GC - IV - 3960 - Cty Hương Nông - HN-pH++ (Nước nâu đen) - 5L - 4</v>
      </c>
    </row>
    <row r="4753">
      <c r="A4753" s="86">
        <f>IFERROR(__xludf.DUMMYFUNCTION("""COMPUTED_VALUE"""),4751.0)</f>
        <v>4751</v>
      </c>
      <c r="B4753" s="87" t="str">
        <f>IFERROR(__xludf.DUMMYFUNCTION("""COMPUTED_VALUE"""),"[Nhãn]")</f>
        <v>[Nhãn]</v>
      </c>
      <c r="C4753" s="87" t="str">
        <f>IFERROR(__xludf.DUMMYFUNCTION("""COMPUTED_VALUE"""),"NHD3960")</f>
        <v>NHD3960</v>
      </c>
      <c r="D4753" s="87" t="str">
        <f>IFERROR(__xludf.DUMMYFUNCTION("""COMPUTED_VALUE"""),"[Nhãn] GC - IV - 3960 - Cty Hương Nông - HN-pH++ (Nước nâu đen) - 5L - 4")</f>
        <v>[Nhãn] GC - IV - 3960 - Cty Hương Nông - HN-pH++ (Nước nâu đen) - 5L - 4</v>
      </c>
      <c r="E4753" s="87" t="str">
        <f>IFERROR(__xludf.DUMMYFUNCTION("""COMPUTED_VALUE"""),"Hữu cơ SH Agro Organic Fertilizer 20")</f>
        <v>Hữu cơ SH Agro Organic Fertilizer 20</v>
      </c>
      <c r="F4753" s="87" t="str">
        <f>IFERROR(__xludf.DUMMYFUNCTION("""COMPUTED_VALUE"""),"HH3960")</f>
        <v>HH3960</v>
      </c>
      <c r="G4753" s="87" t="str">
        <f>IFERROR(__xludf.DUMMYFUNCTION("""COMPUTED_VALUE"""),"GC - IV - 3960 - Cty Hương Nông - HN-pH++ (Nước nâu đen) - 5L - 4")</f>
        <v>GC - IV - 3960 - Cty Hương Nông - HN-pH++ (Nước nâu đen) - 5L - 4</v>
      </c>
    </row>
    <row r="4754">
      <c r="A4754" s="86">
        <f>IFERROR(__xludf.DUMMYFUNCTION("""COMPUTED_VALUE"""),4752.0)</f>
        <v>4752</v>
      </c>
      <c r="B4754" s="87" t="str">
        <f>IFERROR(__xludf.DUMMYFUNCTION("""COMPUTED_VALUE"""),"[Nhãn]")</f>
        <v>[Nhãn]</v>
      </c>
      <c r="C4754" s="87" t="str">
        <f>IFERROR(__xludf.DUMMYFUNCTION("""COMPUTED_VALUE"""),"NHG3962")</f>
        <v>NHG3962</v>
      </c>
      <c r="D4754" s="87" t="str">
        <f>IFERROR(__xludf.DUMMYFUNCTION("""COMPUTED_VALUE"""),"[Nhãn] GC - IV - 3962 - THÀNH CÔNG AGRI - MT STOP (Nước nâu đen) - 1L - 20")</f>
        <v>[Nhãn] GC - IV - 3962 - THÀNH CÔNG AGRI - MT STOP (Nước nâu đen) - 1L - 20</v>
      </c>
      <c r="E4754" s="87" t="str">
        <f>IFERROR(__xludf.DUMMYFUNCTION("""COMPUTED_VALUE"""),"Vi lượng Quantity New")</f>
        <v>Vi lượng Quantity New</v>
      </c>
      <c r="F4754" s="87" t="str">
        <f>IFERROR(__xludf.DUMMYFUNCTION("""COMPUTED_VALUE"""),"HH3962")</f>
        <v>HH3962</v>
      </c>
      <c r="G4754" s="87" t="str">
        <f>IFERROR(__xludf.DUMMYFUNCTION("""COMPUTED_VALUE"""),"GC - IV - 3962 - THÀNH CÔNG AGRI - MT STOP (Nước nâu đen) - 1L - 20")</f>
        <v>GC - IV - 3962 - THÀNH CÔNG AGRI - MT STOP (Nước nâu đen) - 1L - 20</v>
      </c>
    </row>
    <row r="4755">
      <c r="A4755" s="86">
        <f>IFERROR(__xludf.DUMMYFUNCTION("""COMPUTED_VALUE"""),4753.0)</f>
        <v>4753</v>
      </c>
      <c r="B4755" s="87" t="str">
        <f>IFERROR(__xludf.DUMMYFUNCTION("""COMPUTED_VALUE"""),"[Nhãn]")</f>
        <v>[Nhãn]</v>
      </c>
      <c r="C4755" s="87" t="str">
        <f>IFERROR(__xludf.DUMMYFUNCTION("""COMPUTED_VALUE"""),"NHG3963")</f>
        <v>NHG3963</v>
      </c>
      <c r="D4755" s="87" t="str">
        <f>IFERROR(__xludf.DUMMYFUNCTION("""COMPUTED_VALUE"""),"[Nhãn] GC - IV - 3963 - CTY NÔNG DƯỢC ĐÔNG DƯƠNG - GENOL 1.2SL (Nước tím) - 500ml - 40")</f>
        <v>[Nhãn] GC - IV - 3963 - CTY NÔNG DƯỢC ĐÔNG DƯƠNG - GENOL 1.2SL (Nước tím) - 500ml - 40</v>
      </c>
      <c r="E4755" s="87" t="str">
        <f>IFERROR(__xludf.DUMMYFUNCTION("""COMPUTED_VALUE"""),"GENOL 1.2SL")</f>
        <v>GENOL 1.2SL</v>
      </c>
      <c r="F4755" s="87" t="str">
        <f>IFERROR(__xludf.DUMMYFUNCTION("""COMPUTED_VALUE"""),"HH3963")</f>
        <v>HH3963</v>
      </c>
      <c r="G4755" s="87" t="str">
        <f>IFERROR(__xludf.DUMMYFUNCTION("""COMPUTED_VALUE"""),"GC - IV - 3963 - CTY NÔNG DƯỢC ĐÔNG DƯƠNG - GENOL 1.2SL (Nước tím) - 500ml - 40")</f>
        <v>GC - IV - 3963 - CTY NÔNG DƯỢC ĐÔNG DƯƠNG - GENOL 1.2SL (Nước tím) - 500ml - 40</v>
      </c>
    </row>
    <row r="4756">
      <c r="A4756" s="86">
        <f>IFERROR(__xludf.DUMMYFUNCTION("""COMPUTED_VALUE"""),4754.0)</f>
        <v>4754</v>
      </c>
      <c r="B4756" s="87" t="str">
        <f>IFERROR(__xludf.DUMMYFUNCTION("""COMPUTED_VALUE"""),"[Nhãn]")</f>
        <v>[Nhãn]</v>
      </c>
      <c r="C4756" s="87" t="str">
        <f>IFERROR(__xludf.DUMMYFUNCTION("""COMPUTED_VALUE"""),"NHG3964")</f>
        <v>NHG3964</v>
      </c>
      <c r="D4756" s="87" t="str">
        <f>IFERROR(__xludf.DUMMYFUNCTION("""COMPUTED_VALUE"""),"[Nhãn] GC - IV - 3964 - CTY GNH - Vô Gạo Nhanh (Nước nâu đen) - 500ml - 40")</f>
        <v>[Nhãn] GC - IV - 3964 - CTY GNH - Vô Gạo Nhanh (Nước nâu đen) - 500ml - 40</v>
      </c>
      <c r="E4756" s="87" t="str">
        <f>IFERROR(__xludf.DUMMYFUNCTION("""COMPUTED_VALUE"""),"Vi lượng Basel VA02")</f>
        <v>Vi lượng Basel VA02</v>
      </c>
      <c r="F4756" s="87" t="str">
        <f>IFERROR(__xludf.DUMMYFUNCTION("""COMPUTED_VALUE"""),"HH3964")</f>
        <v>HH3964</v>
      </c>
      <c r="G4756" s="87" t="str">
        <f>IFERROR(__xludf.DUMMYFUNCTION("""COMPUTED_VALUE"""),"GC - IV - 3964 - CTY GNH - Vô Gạo Nhanh (Nước nâu đen) - 500ml - 40")</f>
        <v>GC - IV - 3964 - CTY GNH - Vô Gạo Nhanh (Nước nâu đen) - 500ml - 40</v>
      </c>
    </row>
    <row r="4757">
      <c r="A4757" s="86">
        <f>IFERROR(__xludf.DUMMYFUNCTION("""COMPUTED_VALUE"""),4755.0)</f>
        <v>4755</v>
      </c>
      <c r="B4757" s="87" t="str">
        <f>IFERROR(__xludf.DUMMYFUNCTION("""COMPUTED_VALUE"""),"[Nhãn]")</f>
        <v>[Nhãn]</v>
      </c>
      <c r="C4757" s="87" t="str">
        <f>IFERROR(__xludf.DUMMYFUNCTION("""COMPUTED_VALUE"""),"NHG3965")</f>
        <v>NHG3965</v>
      </c>
      <c r="D4757" s="87" t="str">
        <f>IFERROR(__xludf.DUMMYFUNCTION("""COMPUTED_VALUE"""),"[Nhãn] GC - IV - 3965 - THÀNH CÔNG AGRI - STOP ĐỌT (Nước nâu đen V2) - 1L - 20")</f>
        <v>[Nhãn] GC - IV - 3965 - THÀNH CÔNG AGRI - STOP ĐỌT (Nước nâu đen V2) - 1L - 20</v>
      </c>
      <c r="E4757" s="87" t="str">
        <f>IFERROR(__xludf.DUMMYFUNCTION("""COMPUTED_VALUE"""),"Vi lượng Quantity New")</f>
        <v>Vi lượng Quantity New</v>
      </c>
      <c r="F4757" s="87" t="str">
        <f>IFERROR(__xludf.DUMMYFUNCTION("""COMPUTED_VALUE"""),"HH3965")</f>
        <v>HH3965</v>
      </c>
      <c r="G4757" s="87" t="str">
        <f>IFERROR(__xludf.DUMMYFUNCTION("""COMPUTED_VALUE"""),"GC - IV - 3965 - THÀNH CÔNG AGRI - STOP ĐỌT (Nước nâu đen V2) - 1L - 20")</f>
        <v>GC - IV - 3965 - THÀNH CÔNG AGRI - STOP ĐỌT (Nước nâu đen V2) - 1L - 20</v>
      </c>
    </row>
    <row r="4758">
      <c r="A4758" s="86">
        <f>IFERROR(__xludf.DUMMYFUNCTION("""COMPUTED_VALUE"""),4756.0)</f>
        <v>4756</v>
      </c>
      <c r="B4758" s="87" t="str">
        <f>IFERROR(__xludf.DUMMYFUNCTION("""COMPUTED_VALUE"""),"[Nhãn]")</f>
        <v>[Nhãn]</v>
      </c>
      <c r="C4758" s="87" t="str">
        <f>IFERROR(__xludf.DUMMYFUNCTION("""COMPUTED_VALUE"""),"NHG3966")</f>
        <v>NHG3966</v>
      </c>
      <c r="D4758" s="87" t="str">
        <f>IFERROR(__xludf.DUMMYFUNCTION("""COMPUTED_VALUE"""),"[Nhãn] BAMBOO - VI - 3966 - BAMBOO 5.10.8 TE (chưa xác định) - 500ml - 40")</f>
        <v>[Nhãn] BAMBOO - VI - 3966 - BAMBOO 5.10.8 TE (chưa xác định) - 500ml - 40</v>
      </c>
      <c r="E4758" s="87" t="str">
        <f>IFERROR(__xludf.DUMMYFUNCTION("""COMPUTED_VALUE"""),"Hỗn hợp NPK GBUMPER 02")</f>
        <v>Hỗn hợp NPK GBUMPER 02</v>
      </c>
      <c r="F4758" s="87" t="str">
        <f>IFERROR(__xludf.DUMMYFUNCTION("""COMPUTED_VALUE"""),"HH3966")</f>
        <v>HH3966</v>
      </c>
      <c r="G4758" s="87" t="str">
        <f>IFERROR(__xludf.DUMMYFUNCTION("""COMPUTED_VALUE"""),"BAMBOO - VI - 3966 - BAMBOO 5.10.8 TE (chưa xác định) - 500ml - 40")</f>
        <v>BAMBOO - VI - 3966 - BAMBOO 5.10.8 TE (chưa xác định) - 500ml - 40</v>
      </c>
    </row>
    <row r="4759">
      <c r="A4759" s="86">
        <f>IFERROR(__xludf.DUMMYFUNCTION("""COMPUTED_VALUE"""),4757.0)</f>
        <v>4757</v>
      </c>
      <c r="B4759" s="87" t="str">
        <f>IFERROR(__xludf.DUMMYFUNCTION("""COMPUTED_VALUE"""),"[Nhãn]")</f>
        <v>[Nhãn]</v>
      </c>
      <c r="C4759" s="87" t="str">
        <f>IFERROR(__xludf.DUMMYFUNCTION("""COMPUTED_VALUE"""),"NHG3967")</f>
        <v>NHG3967</v>
      </c>
      <c r="D4759" s="87" t="str">
        <f>IFERROR(__xludf.DUMMYFUNCTION("""COMPUTED_VALUE"""),"[Nhãn] BAMBOO - VI - 3967 - BAMBOO 10.10.20 TE (chưa xác định) - 500ml - 40")</f>
        <v>[Nhãn] BAMBOO - VI - 3967 - BAMBOO 10.10.20 TE (chưa xác định) - 500ml - 40</v>
      </c>
      <c r="E4759" s="87" t="str">
        <f>IFERROR(__xludf.DUMMYFUNCTION("""COMPUTED_VALUE"""),"Hỗn hợp NPK GNC 102")</f>
        <v>Hỗn hợp NPK GNC 102</v>
      </c>
      <c r="F4759" s="87" t="str">
        <f>IFERROR(__xludf.DUMMYFUNCTION("""COMPUTED_VALUE"""),"HH3967")</f>
        <v>HH3967</v>
      </c>
      <c r="G4759" s="87" t="str">
        <f>IFERROR(__xludf.DUMMYFUNCTION("""COMPUTED_VALUE"""),"BAMBOO - VI - 3967 - BAMBOO 10.10.20 TE (chưa xác định) - 500ml - 40")</f>
        <v>BAMBOO - VI - 3967 - BAMBOO 10.10.20 TE (chưa xác định) - 500ml - 40</v>
      </c>
    </row>
    <row r="4760">
      <c r="A4760" s="86">
        <f>IFERROR(__xludf.DUMMYFUNCTION("""COMPUTED_VALUE"""),4758.0)</f>
        <v>4758</v>
      </c>
      <c r="B4760" s="87" t="str">
        <f>IFERROR(__xludf.DUMMYFUNCTION("""COMPUTED_VALUE"""),"[Nhãn]")</f>
        <v>[Nhãn]</v>
      </c>
      <c r="C4760" s="87" t="str">
        <f>IFERROR(__xludf.DUMMYFUNCTION("""COMPUTED_VALUE"""),"NHG3968")</f>
        <v>NHG3968</v>
      </c>
      <c r="D4760" s="87" t="str">
        <f>IFERROR(__xludf.DUMMYFUNCTION("""COMPUTED_VALUE"""),"[Nhãn] BAMBOO - VI - 3968 - BAMBOO 777 TE (chưa xác định) - 1L - 20")</f>
        <v>[Nhãn] BAMBOO - VI - 3968 - BAMBOO 777 TE (chưa xác định) - 1L - 20</v>
      </c>
      <c r="E4760" s="87" t="str">
        <f>IFERROR(__xludf.DUMMYFUNCTION("""COMPUTED_VALUE"""),"lá NPK-vi lượng GNC19")</f>
        <v>lá NPK-vi lượng GNC19</v>
      </c>
      <c r="F4760" s="87" t="str">
        <f>IFERROR(__xludf.DUMMYFUNCTION("""COMPUTED_VALUE"""),"HH3968")</f>
        <v>HH3968</v>
      </c>
      <c r="G4760" s="87" t="str">
        <f>IFERROR(__xludf.DUMMYFUNCTION("""COMPUTED_VALUE"""),"BAMBOO - VI - 3968 - BAMBOO 777 TE (chưa xác định) - 1L - 20")</f>
        <v>BAMBOO - VI - 3968 - BAMBOO 777 TE (chưa xác định) - 1L - 20</v>
      </c>
    </row>
    <row r="4761">
      <c r="A4761" s="86">
        <f>IFERROR(__xludf.DUMMYFUNCTION("""COMPUTED_VALUE"""),4759.0)</f>
        <v>4759</v>
      </c>
      <c r="B4761" s="87" t="str">
        <f>IFERROR(__xludf.DUMMYFUNCTION("""COMPUTED_VALUE"""),"[Nhãn]")</f>
        <v>[Nhãn]</v>
      </c>
      <c r="C4761" s="87" t="str">
        <f>IFERROR(__xludf.DUMMYFUNCTION("""COMPUTED_VALUE"""),"NHG3969")</f>
        <v>NHG3969</v>
      </c>
      <c r="D4761" s="87" t="str">
        <f>IFERROR(__xludf.DUMMYFUNCTION("""COMPUTED_VALUE"""),"[Nhãn] GC - IV - 3969 - Cty Sen Hồng (A.Diễn) - VUA DIỆT RẦY SH (Nước tím) - 250ml - 40")</f>
        <v>[Nhãn] GC - IV - 3969 - Cty Sen Hồng (A.Diễn) - VUA DIỆT RẦY SH (Nước tím) - 250ml - 40</v>
      </c>
      <c r="E4761" s="87" t="str">
        <f>IFERROR(__xludf.DUMMYFUNCTION("""COMPUTED_VALUE"""),"Thipro 550EC")</f>
        <v>Thipro 550EC</v>
      </c>
      <c r="F4761" s="87" t="str">
        <f>IFERROR(__xludf.DUMMYFUNCTION("""COMPUTED_VALUE"""),"HH3969")</f>
        <v>HH3969</v>
      </c>
      <c r="G4761" s="87" t="str">
        <f>IFERROR(__xludf.DUMMYFUNCTION("""COMPUTED_VALUE"""),"GC - IV - 3969 - Cty Sen Hồng (A.Diễn) - VUA DIỆT RẦY SH (Nước tím) - 250ml - 40")</f>
        <v>GC - IV - 3969 - Cty Sen Hồng (A.Diễn) - VUA DIỆT RẦY SH (Nước tím) - 250ml - 40</v>
      </c>
    </row>
    <row r="4762">
      <c r="A4762" s="86">
        <f>IFERROR(__xludf.DUMMYFUNCTION("""COMPUTED_VALUE"""),4760.0)</f>
        <v>4760</v>
      </c>
      <c r="B4762" s="87" t="str">
        <f>IFERROR(__xludf.DUMMYFUNCTION("""COMPUTED_VALUE"""),"[Nhãn]")</f>
        <v>[Nhãn]</v>
      </c>
      <c r="C4762" s="87" t="str">
        <f>IFERROR(__xludf.DUMMYFUNCTION("""COMPUTED_VALUE"""),"NHG3971")</f>
        <v>NHG3971</v>
      </c>
      <c r="D4762" s="87" t="str">
        <f>IFERROR(__xludf.DUMMYFUNCTION("""COMPUTED_VALUE"""),"[Nhãn] GC - IV - 3971 - Cty Thành Công Agri - MASTER STOP (nước nâu đen V2) - 1L - 20")</f>
        <v>[Nhãn] GC - IV - 3971 - Cty Thành Công Agri - MASTER STOP (nước nâu đen V2) - 1L - 20</v>
      </c>
      <c r="E4762" s="87" t="str">
        <f>IFERROR(__xludf.DUMMYFUNCTION("""COMPUTED_VALUE"""),"Vi lượng Quantity New")</f>
        <v>Vi lượng Quantity New</v>
      </c>
      <c r="F4762" s="87" t="str">
        <f>IFERROR(__xludf.DUMMYFUNCTION("""COMPUTED_VALUE"""),"HH3971")</f>
        <v>HH3971</v>
      </c>
      <c r="G4762" s="87" t="str">
        <f>IFERROR(__xludf.DUMMYFUNCTION("""COMPUTED_VALUE"""),"GC - IV - 3971 - Cty Thành Công Agri - MASTER STOP (nước nâu đen V2) - 1L - 20")</f>
        <v>GC - IV - 3971 - Cty Thành Công Agri - MASTER STOP (nước nâu đen V2) - 1L - 20</v>
      </c>
    </row>
    <row r="4763">
      <c r="A4763" s="86">
        <f>IFERROR(__xludf.DUMMYFUNCTION("""COMPUTED_VALUE"""),4761.0)</f>
        <v>4761</v>
      </c>
      <c r="B4763" s="87" t="str">
        <f>IFERROR(__xludf.DUMMYFUNCTION("""COMPUTED_VALUE"""),"[Nhãn]")</f>
        <v>[Nhãn]</v>
      </c>
      <c r="C4763" s="87" t="str">
        <f>IFERROR(__xludf.DUMMYFUNCTION("""COMPUTED_VALUE"""),"NHD3972")</f>
        <v>NHD3972</v>
      </c>
      <c r="D4763" s="87" t="str">
        <f>IFERROR(__xludf.DUMMYFUNCTION("""COMPUTED_VALUE"""),"[Nhãn] GC - IV - 3972 - THÀNH CÔNG AGRI - ULTRA FRUIT (Gel nâu đen) - 20L - 1")</f>
        <v>[Nhãn] GC - IV - 3972 - THÀNH CÔNG AGRI - ULTRA FRUIT (Gel nâu đen) - 20L - 1</v>
      </c>
      <c r="E4763" s="87" t="str">
        <f>IFERROR(__xludf.DUMMYFUNCTION("""COMPUTED_VALUE"""),"Vi lượng Quantity New")</f>
        <v>Vi lượng Quantity New</v>
      </c>
      <c r="F4763" s="87" t="str">
        <f>IFERROR(__xludf.DUMMYFUNCTION("""COMPUTED_VALUE"""),"HH3972")</f>
        <v>HH3972</v>
      </c>
      <c r="G4763" s="87" t="str">
        <f>IFERROR(__xludf.DUMMYFUNCTION("""COMPUTED_VALUE"""),"GC - IV - 3972 - THÀNH CÔNG AGRI - ULTRA FRUIT (Gel nâu đen) - 20L - 1")</f>
        <v>GC - IV - 3972 - THÀNH CÔNG AGRI - ULTRA FRUIT (Gel nâu đen) - 20L - 1</v>
      </c>
    </row>
    <row r="4764">
      <c r="A4764" s="86">
        <f>IFERROR(__xludf.DUMMYFUNCTION("""COMPUTED_VALUE"""),4762.0)</f>
        <v>4762</v>
      </c>
      <c r="B4764" s="87" t="str">
        <f>IFERROR(__xludf.DUMMYFUNCTION("""COMPUTED_VALUE"""),"[Nhãn]")</f>
        <v>[Nhãn]</v>
      </c>
      <c r="C4764" s="87" t="str">
        <f>IFERROR(__xludf.DUMMYFUNCTION("""COMPUTED_VALUE"""),"NHG3973")</f>
        <v>NHG3973</v>
      </c>
      <c r="D4764" s="87" t="str">
        <f>IFERROR(__xludf.DUMMYFUNCTION("""COMPUTED_VALUE"""),"[Nhãn] IDA Global - I - 3973 - X-SPIDER (nước đỏ) - 240ml - 40")</f>
        <v>[Nhãn] IDA Global - I - 3973 - X-SPIDER (nước đỏ) - 240ml - 40</v>
      </c>
      <c r="E4764" s="87" t="str">
        <f>IFERROR(__xludf.DUMMYFUNCTION("""COMPUTED_VALUE"""),"CHIM ƯNG 3.8EC")</f>
        <v>CHIM ƯNG 3.8EC</v>
      </c>
      <c r="F4764" s="87" t="str">
        <f>IFERROR(__xludf.DUMMYFUNCTION("""COMPUTED_VALUE"""),"HH3973")</f>
        <v>HH3973</v>
      </c>
      <c r="G4764" s="87" t="str">
        <f>IFERROR(__xludf.DUMMYFUNCTION("""COMPUTED_VALUE"""),"IDA Global - I - 3973 - X-SPIDER (nước đỏ) - 240ml - 40")</f>
        <v>IDA Global - I - 3973 - X-SPIDER (nước đỏ) - 240ml - 40</v>
      </c>
    </row>
    <row r="4765">
      <c r="A4765" s="86">
        <f>IFERROR(__xludf.DUMMYFUNCTION("""COMPUTED_VALUE"""),4763.0)</f>
        <v>4763</v>
      </c>
      <c r="B4765" s="87" t="str">
        <f>IFERROR(__xludf.DUMMYFUNCTION("""COMPUTED_VALUE"""),"[Nhãn]")</f>
        <v>[Nhãn]</v>
      </c>
      <c r="C4765" s="87" t="str">
        <f>IFERROR(__xludf.DUMMYFUNCTION("""COMPUTED_VALUE"""),"NHG3975")</f>
        <v>NHG3975</v>
      </c>
      <c r="D4765" s="87" t="str">
        <f>IFERROR(__xludf.DUMMYFUNCTION("""COMPUTED_VALUE"""),"[Nhãn] GC - IV - 3975 - CTY NAUY - CHUYÊN GIA TO TRÁI (Nước nâu đen) - 500ml - 40")</f>
        <v>[Nhãn] GC - IV - 3975 - CTY NAUY - CHUYÊN GIA TO TRÁI (Nước nâu đen) - 500ml - 40</v>
      </c>
      <c r="E4765" s="87" t="str">
        <f>IFERROR(__xludf.DUMMYFUNCTION("""COMPUTED_VALUE"""),"Vi lượng Quantity New")</f>
        <v>Vi lượng Quantity New</v>
      </c>
      <c r="F4765" s="87" t="str">
        <f>IFERROR(__xludf.DUMMYFUNCTION("""COMPUTED_VALUE"""),"HH3975")</f>
        <v>HH3975</v>
      </c>
      <c r="G4765" s="87" t="str">
        <f>IFERROR(__xludf.DUMMYFUNCTION("""COMPUTED_VALUE"""),"GC - IV - 3975 - CTY NAUY - CHUYÊN GIA TO TRÁI (Nước nâu đen) - 500ml - 40")</f>
        <v>GC - IV - 3975 - CTY NAUY - CHUYÊN GIA TO TRÁI (Nước nâu đen) - 500ml - 40</v>
      </c>
    </row>
    <row r="4766">
      <c r="A4766" s="86">
        <f>IFERROR(__xludf.DUMMYFUNCTION("""COMPUTED_VALUE"""),4764.0)</f>
        <v>4764</v>
      </c>
      <c r="B4766" s="87" t="str">
        <f>IFERROR(__xludf.DUMMYFUNCTION("""COMPUTED_VALUE"""),"[Nhãn]")</f>
        <v>[Nhãn]</v>
      </c>
      <c r="C4766" s="87" t="str">
        <f>IFERROR(__xludf.DUMMYFUNCTION("""COMPUTED_VALUE"""),"NHG3977")</f>
        <v>NHG3977</v>
      </c>
      <c r="D4766" s="87" t="str">
        <f>IFERROR(__xludf.DUMMYFUNCTION("""COMPUTED_VALUE"""),"[Nhãn] IDA Global - I - 3977 - Mekongvil 5SC (nước vàng) - 1L - 20")</f>
        <v>[Nhãn] IDA Global - I - 3977 - Mekongvil 5SC (nước vàng) - 1L - 20</v>
      </c>
      <c r="E4766" s="87" t="str">
        <f>IFERROR(__xludf.DUMMYFUNCTION("""COMPUTED_VALUE"""),"Mekongvil 5SC")</f>
        <v>Mekongvil 5SC</v>
      </c>
      <c r="F4766" s="87" t="str">
        <f>IFERROR(__xludf.DUMMYFUNCTION("""COMPUTED_VALUE"""),"HH3977")</f>
        <v>HH3977</v>
      </c>
      <c r="G4766" s="87" t="str">
        <f>IFERROR(__xludf.DUMMYFUNCTION("""COMPUTED_VALUE"""),"IDA Global - I - 3977 - Mekongvil 5SC (nước vàng) - 1L - 20")</f>
        <v>IDA Global - I - 3977 - Mekongvil 5SC (nước vàng) - 1L - 20</v>
      </c>
    </row>
    <row r="4767">
      <c r="A4767" s="86">
        <f>IFERROR(__xludf.DUMMYFUNCTION("""COMPUTED_VALUE"""),4765.0)</f>
        <v>4765</v>
      </c>
      <c r="B4767" s="87" t="str">
        <f>IFERROR(__xludf.DUMMYFUNCTION("""COMPUTED_VALUE"""),"[Nhãn]")</f>
        <v>[Nhãn]</v>
      </c>
      <c r="C4767" s="87" t="str">
        <f>IFERROR(__xludf.DUMMYFUNCTION("""COMPUTED_VALUE"""),"NHG3978")</f>
        <v>NHG3978</v>
      </c>
      <c r="D4767" s="87" t="str">
        <f>IFERROR(__xludf.DUMMYFUNCTION("""COMPUTED_VALUE"""),"[Nhãn] GC - IV - 3978 - FUTURE FARM - DAGON (Nước đỏ) - 450ml - 40")</f>
        <v>[Nhãn] GC - IV - 3978 - FUTURE FARM - DAGON (Nước đỏ) - 450ml - 40</v>
      </c>
      <c r="E4767" s="87" t="str">
        <f>IFERROR(__xludf.DUMMYFUNCTION("""COMPUTED_VALUE"""),"PYXOATE 44EC")</f>
        <v>PYXOATE 44EC</v>
      </c>
      <c r="F4767" s="87" t="str">
        <f>IFERROR(__xludf.DUMMYFUNCTION("""COMPUTED_VALUE"""),"HH3978")</f>
        <v>HH3978</v>
      </c>
      <c r="G4767" s="87" t="str">
        <f>IFERROR(__xludf.DUMMYFUNCTION("""COMPUTED_VALUE"""),"GC - IV - 3978 - FUTURE FARM - DAGON (Nước đỏ) - 450ml - 40")</f>
        <v>GC - IV - 3978 - FUTURE FARM - DAGON (Nước đỏ) - 450ml - 40</v>
      </c>
    </row>
    <row r="4768">
      <c r="A4768" s="86">
        <f>IFERROR(__xludf.DUMMYFUNCTION("""COMPUTED_VALUE"""),4766.0)</f>
        <v>4766</v>
      </c>
      <c r="B4768" s="87" t="str">
        <f>IFERROR(__xludf.DUMMYFUNCTION("""COMPUTED_VALUE"""),"[Nhãn]")</f>
        <v>[Nhãn]</v>
      </c>
      <c r="C4768" s="87" t="str">
        <f>IFERROR(__xludf.DUMMYFUNCTION("""COMPUTED_VALUE"""),"NHG3981")</f>
        <v>NHG3981</v>
      </c>
      <c r="D4768" s="87" t="str">
        <f>IFERROR(__xludf.DUMMYFUNCTION("""COMPUTED_VALUE"""),"[Nhãn] GC - IV - 3981 - Cty Tago - MUỐI HẠT (Nước vàng trà) - 250ml - 40")</f>
        <v>[Nhãn] GC - IV - 3981 - Cty Tago - MUỐI HẠT (Nước vàng trà) - 250ml - 40</v>
      </c>
      <c r="E4768" s="87" t="str">
        <f>IFERROR(__xludf.DUMMYFUNCTION("""COMPUTED_VALUE"""),"AMICOL 360EC")</f>
        <v>AMICOL 360EC</v>
      </c>
      <c r="F4768" s="87" t="str">
        <f>IFERROR(__xludf.DUMMYFUNCTION("""COMPUTED_VALUE"""),"HH3981")</f>
        <v>HH3981</v>
      </c>
      <c r="G4768" s="87" t="str">
        <f>IFERROR(__xludf.DUMMYFUNCTION("""COMPUTED_VALUE"""),"GC - IV - 3981 - Cty Tago - MUỐI HẠT (Nước vàng trà) - 250ml - 40")</f>
        <v>GC - IV - 3981 - Cty Tago - MUỐI HẠT (Nước vàng trà) - 250ml - 40</v>
      </c>
    </row>
    <row r="4769">
      <c r="A4769" s="86">
        <f>IFERROR(__xludf.DUMMYFUNCTION("""COMPUTED_VALUE"""),4767.0)</f>
        <v>4767</v>
      </c>
      <c r="B4769" s="87" t="str">
        <f>IFERROR(__xludf.DUMMYFUNCTION("""COMPUTED_VALUE"""),"[Nhãn]")</f>
        <v>[Nhãn]</v>
      </c>
      <c r="C4769" s="87" t="str">
        <f>IFERROR(__xludf.DUMMYFUNCTION("""COMPUTED_VALUE"""),"NHG3982")</f>
        <v>NHG3982</v>
      </c>
      <c r="D4769" s="87" t="str">
        <f>IFERROR(__xludf.DUMMYFUNCTION("""COMPUTED_VALUE"""),"[Nhãn] DR.XANH - VIII - 3982 - ROBUST EXTRA (Gel nâu đen) - 500ml - 40")</f>
        <v>[Nhãn] DR.XANH - VIII - 3982 - ROBUST EXTRA (Gel nâu đen) - 500ml - 40</v>
      </c>
      <c r="E4769" s="87" t="str">
        <f>IFERROR(__xludf.DUMMYFUNCTION("""COMPUTED_VALUE"""),"Hữu cơ ROOTS US90")</f>
        <v>Hữu cơ ROOTS US90</v>
      </c>
      <c r="F4769" s="87" t="str">
        <f>IFERROR(__xludf.DUMMYFUNCTION("""COMPUTED_VALUE"""),"HH3982")</f>
        <v>HH3982</v>
      </c>
      <c r="G4769" s="87" t="str">
        <f>IFERROR(__xludf.DUMMYFUNCTION("""COMPUTED_VALUE"""),"DR.XANH - VIII - 3982 - ROBUST EXTRA (Gel nâu đen) - 500ml - 40")</f>
        <v>DR.XANH - VIII - 3982 - ROBUST EXTRA (Gel nâu đen) - 500ml - 40</v>
      </c>
    </row>
    <row r="4770">
      <c r="A4770" s="86">
        <f>IFERROR(__xludf.DUMMYFUNCTION("""COMPUTED_VALUE"""),4768.0)</f>
        <v>4768</v>
      </c>
      <c r="B4770" s="87" t="str">
        <f>IFERROR(__xludf.DUMMYFUNCTION("""COMPUTED_VALUE"""),"[Nhãn]")</f>
        <v>[Nhãn]</v>
      </c>
      <c r="C4770" s="87" t="str">
        <f>IFERROR(__xludf.DUMMYFUNCTION("""COMPUTED_VALUE"""),"NHG3983")</f>
        <v>NHG3983</v>
      </c>
      <c r="D4770" s="87" t="str">
        <f>IFERROR(__xludf.DUMMYFUNCTION("""COMPUTED_VALUE"""),"[Nhãn] DR.XANH - VIII - 3983 - ROBUST EXTRA (Gel nâu đen) - 250ml - 40")</f>
        <v>[Nhãn] DR.XANH - VIII - 3983 - ROBUST EXTRA (Gel nâu đen) - 250ml - 40</v>
      </c>
      <c r="E4770" s="87" t="str">
        <f>IFERROR(__xludf.DUMMYFUNCTION("""COMPUTED_VALUE"""),"Hữu cơ ROOTS US90")</f>
        <v>Hữu cơ ROOTS US90</v>
      </c>
      <c r="F4770" s="87" t="str">
        <f>IFERROR(__xludf.DUMMYFUNCTION("""COMPUTED_VALUE"""),"HH3983")</f>
        <v>HH3983</v>
      </c>
      <c r="G4770" s="87" t="str">
        <f>IFERROR(__xludf.DUMMYFUNCTION("""COMPUTED_VALUE"""),"DR.XANH - VIII - 3983 - ROBUST EXTRA (Gel nâu đen) - 250ml - 40")</f>
        <v>DR.XANH - VIII - 3983 - ROBUST EXTRA (Gel nâu đen) - 250ml - 40</v>
      </c>
    </row>
    <row r="4771">
      <c r="A4771" s="86">
        <f>IFERROR(__xludf.DUMMYFUNCTION("""COMPUTED_VALUE"""),4769.0)</f>
        <v>4769</v>
      </c>
      <c r="B4771" s="87" t="str">
        <f>IFERROR(__xludf.DUMMYFUNCTION("""COMPUTED_VALUE"""),"[Nhãn]")</f>
        <v>[Nhãn]</v>
      </c>
      <c r="C4771" s="87" t="str">
        <f>IFERROR(__xludf.DUMMYFUNCTION("""COMPUTED_VALUE"""),"NHG3984")</f>
        <v>NHG3984</v>
      </c>
      <c r="D4771" s="87" t="str">
        <f>IFERROR(__xludf.DUMMYFUNCTION("""COMPUTED_VALUE"""),"[Nhãn] IDA Global - I - 3984 - TOTO-BOOST (Nước xanh dương) - 240ml - 40")</f>
        <v>[Nhãn] IDA Global - I - 3984 - TOTO-BOOST (Nước xanh dương) - 240ml - 40</v>
      </c>
      <c r="E4771" s="87" t="str">
        <f>IFERROR(__xludf.DUMMYFUNCTION("""COMPUTED_VALUE"""),"NPK-vi lượng BASEL NPK 6-6-8 IDA 33")</f>
        <v>NPK-vi lượng BASEL NPK 6-6-8 IDA 33</v>
      </c>
      <c r="F4771" s="87" t="str">
        <f>IFERROR(__xludf.DUMMYFUNCTION("""COMPUTED_VALUE"""),"HH3984")</f>
        <v>HH3984</v>
      </c>
      <c r="G4771" s="87" t="str">
        <f>IFERROR(__xludf.DUMMYFUNCTION("""COMPUTED_VALUE"""),"IDA Global - I - 3984 - TOTO-BOOST (Nước xanh dương) - 240ml - 40")</f>
        <v>IDA Global - I - 3984 - TOTO-BOOST (Nước xanh dương) - 240ml - 40</v>
      </c>
    </row>
    <row r="4772">
      <c r="A4772" s="86">
        <f>IFERROR(__xludf.DUMMYFUNCTION("""COMPUTED_VALUE"""),4770.0)</f>
        <v>4770</v>
      </c>
      <c r="B4772" s="87" t="str">
        <f>IFERROR(__xludf.DUMMYFUNCTION("""COMPUTED_VALUE"""),"[Nhãn thùng]")</f>
        <v>[Nhãn thùng]</v>
      </c>
      <c r="C4772" s="87" t="str">
        <f>IFERROR(__xludf.DUMMYFUNCTION("""COMPUTED_VALUE"""),"NDT3985")</f>
        <v>NDT3985</v>
      </c>
      <c r="D4772" s="87" t="str">
        <f>IFERROR(__xludf.DUMMYFUNCTION("""COMPUTED_VALUE"""),"[Nhãn thùng] IDA Global - I - 3985 - TOTO-BOOST (Nước xanh dương) - 30ml - 400")</f>
        <v>[Nhãn thùng] IDA Global - I - 3985 - TOTO-BOOST (Nước xanh dương) - 30ml - 400</v>
      </c>
      <c r="E4772" s="87" t="str">
        <f>IFERROR(__xludf.DUMMYFUNCTION("""COMPUTED_VALUE"""),"NPK-vi lượng BASEL NPK 6-6-8 IDA 33")</f>
        <v>NPK-vi lượng BASEL NPK 6-6-8 IDA 33</v>
      </c>
      <c r="F4772" s="87" t="str">
        <f>IFERROR(__xludf.DUMMYFUNCTION("""COMPUTED_VALUE"""),"HH3985")</f>
        <v>HH3985</v>
      </c>
      <c r="G4772" s="87" t="str">
        <f>IFERROR(__xludf.DUMMYFUNCTION("""COMPUTED_VALUE"""),"IDA Global - I - 3985 - TOTO-BOOST (Nước xanh dương) - 30ml - 400")</f>
        <v>IDA Global - I - 3985 - TOTO-BOOST (Nước xanh dương) - 30ml - 400</v>
      </c>
    </row>
    <row r="4773">
      <c r="A4773" s="86">
        <f>IFERROR(__xludf.DUMMYFUNCTION("""COMPUTED_VALUE"""),4771.0)</f>
        <v>4771</v>
      </c>
      <c r="B4773" s="87" t="str">
        <f>IFERROR(__xludf.DUMMYFUNCTION("""COMPUTED_VALUE"""),"[Nhãn]")</f>
        <v>[Nhãn]</v>
      </c>
      <c r="C4773" s="87" t="str">
        <f>IFERROR(__xludf.DUMMYFUNCTION("""COMPUTED_VALUE"""),"NTN3985")</f>
        <v>NTN3985</v>
      </c>
      <c r="D4773" s="87" t="str">
        <f>IFERROR(__xludf.DUMMYFUNCTION("""COMPUTED_VALUE"""),"[Nhãn] IDA Global - I - 3985 - TOTO-BOOST (Nước xanh dương) - 30ml - 400")</f>
        <v>[Nhãn] IDA Global - I - 3985 - TOTO-BOOST (Nước xanh dương) - 30ml - 400</v>
      </c>
      <c r="E4773" s="87" t="str">
        <f>IFERROR(__xludf.DUMMYFUNCTION("""COMPUTED_VALUE"""),"NPK-vi lượng BASEL NPK 6-6-8 IDA 33")</f>
        <v>NPK-vi lượng BASEL NPK 6-6-8 IDA 33</v>
      </c>
      <c r="F4773" s="87" t="str">
        <f>IFERROR(__xludf.DUMMYFUNCTION("""COMPUTED_VALUE"""),"HH3985")</f>
        <v>HH3985</v>
      </c>
      <c r="G4773" s="87" t="str">
        <f>IFERROR(__xludf.DUMMYFUNCTION("""COMPUTED_VALUE"""),"IDA Global - I - 3985 - TOTO-BOOST (Nước xanh dương) - 30ml - 400")</f>
        <v>IDA Global - I - 3985 - TOTO-BOOST (Nước xanh dương) - 30ml - 400</v>
      </c>
    </row>
    <row r="4774">
      <c r="A4774" s="86">
        <f>IFERROR(__xludf.DUMMYFUNCTION("""COMPUTED_VALUE"""),4772.0)</f>
        <v>4772</v>
      </c>
      <c r="B4774" s="87" t="str">
        <f>IFERROR(__xludf.DUMMYFUNCTION("""COMPUTED_VALUE"""),"[Nhãn]")</f>
        <v>[Nhãn]</v>
      </c>
      <c r="C4774" s="87" t="str">
        <f>IFERROR(__xludf.DUMMYFUNCTION("""COMPUTED_VALUE"""),"NHG3986")</f>
        <v>NHG3986</v>
      </c>
      <c r="D4774" s="87" t="str">
        <f>IFERROR(__xludf.DUMMYFUNCTION("""COMPUTED_VALUE"""),"[Nhãn] IDA Global - I - 3986 - STOP UP (Nước nâu đen) - 1L - 20")</f>
        <v>[Nhãn] IDA Global - I - 3986 - STOP UP (Nước nâu đen) - 1L - 20</v>
      </c>
      <c r="E4774" s="87" t="str">
        <f>IFERROR(__xludf.DUMMYFUNCTION("""COMPUTED_VALUE"""),"Vi lượng Quantity New")</f>
        <v>Vi lượng Quantity New</v>
      </c>
      <c r="F4774" s="87" t="str">
        <f>IFERROR(__xludf.DUMMYFUNCTION("""COMPUTED_VALUE"""),"HH3986")</f>
        <v>HH3986</v>
      </c>
      <c r="G4774" s="87" t="str">
        <f>IFERROR(__xludf.DUMMYFUNCTION("""COMPUTED_VALUE"""),"IDA Global - I - 3986 - STOP UP (Nước nâu đen) - 1L - 20")</f>
        <v>IDA Global - I - 3986 - STOP UP (Nước nâu đen) - 1L - 20</v>
      </c>
    </row>
    <row r="4775">
      <c r="A4775" s="86">
        <f>IFERROR(__xludf.DUMMYFUNCTION("""COMPUTED_VALUE"""),4773.0)</f>
        <v>4773</v>
      </c>
      <c r="B4775" s="87" t="str">
        <f>IFERROR(__xludf.DUMMYFUNCTION("""COMPUTED_VALUE"""),"[Nhãn]")</f>
        <v>[Nhãn]</v>
      </c>
      <c r="C4775" s="87" t="str">
        <f>IFERROR(__xludf.DUMMYFUNCTION("""COMPUTED_VALUE"""),"NHG3987")</f>
        <v>NHG3987</v>
      </c>
      <c r="D4775" s="87" t="str">
        <f>IFERROR(__xludf.DUMMYFUNCTION("""COMPUTED_VALUE"""),"[Nhãn] GC - IV - 3987 - CTY GNH - MK936 (nước nâu đen) - 450ml - 40")</f>
        <v>[Nhãn] GC - IV - 3987 - CTY GNH - MK936 (nước nâu đen) - 450ml - 40</v>
      </c>
      <c r="E4775" s="87" t="str">
        <f>IFERROR(__xludf.DUMMYFUNCTION("""COMPUTED_VALUE"""),"HAIHAMEC 3.6EC")</f>
        <v>HAIHAMEC 3.6EC</v>
      </c>
      <c r="F4775" s="87" t="str">
        <f>IFERROR(__xludf.DUMMYFUNCTION("""COMPUTED_VALUE"""),"HH3987")</f>
        <v>HH3987</v>
      </c>
      <c r="G4775" s="87" t="str">
        <f>IFERROR(__xludf.DUMMYFUNCTION("""COMPUTED_VALUE"""),"GC - IV - 3987 - CTY GNH - MK936 (nước nâu đen) - 450ml - 40")</f>
        <v>GC - IV - 3987 - CTY GNH - MK936 (nước nâu đen) - 450ml - 40</v>
      </c>
    </row>
    <row r="4776">
      <c r="A4776" s="86">
        <f>IFERROR(__xludf.DUMMYFUNCTION("""COMPUTED_VALUE"""),4774.0)</f>
        <v>4774</v>
      </c>
      <c r="B4776" s="87" t="str">
        <f>IFERROR(__xludf.DUMMYFUNCTION("""COMPUTED_VALUE"""),"[Nhãn]")</f>
        <v>[Nhãn]</v>
      </c>
      <c r="C4776" s="87" t="str">
        <f>IFERROR(__xludf.DUMMYFUNCTION("""COMPUTED_VALUE"""),"NHD3988")</f>
        <v>NHD3988</v>
      </c>
      <c r="D4776" s="87" t="str">
        <f>IFERROR(__xludf.DUMMYFUNCTION("""COMPUTED_VALUE"""),"[Nhãn] GC - IV - 3988 - CTY USAFARM - MAGIE-KẼM (Gel xanh lá) - 500ml - 40")</f>
        <v>[Nhãn] GC - IV - 3988 - CTY USAFARM - MAGIE-KẼM (Gel xanh lá) - 500ml - 40</v>
      </c>
      <c r="E4776" s="87" t="str">
        <f>IFERROR(__xludf.DUMMYFUNCTION("""COMPUTED_VALUE"""),"vi lượng Phú Sĩ FJ-09 Kẽm Mg")</f>
        <v>vi lượng Phú Sĩ FJ-09 Kẽm Mg</v>
      </c>
      <c r="F4776" s="87" t="str">
        <f>IFERROR(__xludf.DUMMYFUNCTION("""COMPUTED_VALUE"""),"HH3988")</f>
        <v>HH3988</v>
      </c>
      <c r="G4776" s="87" t="str">
        <f>IFERROR(__xludf.DUMMYFUNCTION("""COMPUTED_VALUE"""),"GC - IV - 3988 - CTY USAFARM - MAGIE-KẼM (Gel xanh lá) - 500ml - 40")</f>
        <v>GC - IV - 3988 - CTY USAFARM - MAGIE-KẼM (Gel xanh lá) - 500ml - 40</v>
      </c>
    </row>
    <row r="4777">
      <c r="A4777" s="86">
        <f>IFERROR(__xludf.DUMMYFUNCTION("""COMPUTED_VALUE"""),4775.0)</f>
        <v>4775</v>
      </c>
      <c r="B4777" s="87" t="str">
        <f>IFERROR(__xludf.DUMMYFUNCTION("""COMPUTED_VALUE"""),"[Nhãn]")</f>
        <v>[Nhãn]</v>
      </c>
      <c r="C4777" s="87" t="str">
        <f>IFERROR(__xludf.DUMMYFUNCTION("""COMPUTED_VALUE"""),"NTN3989")</f>
        <v>NTN3989</v>
      </c>
      <c r="D4777" s="87" t="str">
        <f>IFERROR(__xludf.DUMMYFUNCTION("""COMPUTED_VALUE"""),"[Nhãn] GC - IV - 3989 - CTY CROP MAX - RIDO MAX (Bột vàng) - 250gr - 60")</f>
        <v>[Nhãn] GC - IV - 3989 - CTY CROP MAX - RIDO MAX (Bột vàng) - 250gr - 60</v>
      </c>
      <c r="E4777" s="87" t="str">
        <f>IFERROR(__xludf.DUMMYFUNCTION("""COMPUTED_VALUE"""),"FORTAZEB 72WP")</f>
        <v>FORTAZEB 72WP</v>
      </c>
      <c r="F4777" s="87" t="str">
        <f>IFERROR(__xludf.DUMMYFUNCTION("""COMPUTED_VALUE"""),"HH3989")</f>
        <v>HH3989</v>
      </c>
      <c r="G4777" s="87" t="str">
        <f>IFERROR(__xludf.DUMMYFUNCTION("""COMPUTED_VALUE"""),"GC - IV - 3989 - CTY CROP MAX - RIDO MAX (Bột vàng) - 250gr - 60")</f>
        <v>GC - IV - 3989 - CTY CROP MAX - RIDO MAX (Bột vàng) - 250gr - 60</v>
      </c>
    </row>
    <row r="4778">
      <c r="A4778" s="86">
        <f>IFERROR(__xludf.DUMMYFUNCTION("""COMPUTED_VALUE"""),4776.0)</f>
        <v>4776</v>
      </c>
      <c r="B4778" s="87" t="str">
        <f>IFERROR(__xludf.DUMMYFUNCTION("""COMPUTED_VALUE"""),"[Nhãn thùng]")</f>
        <v>[Nhãn thùng]</v>
      </c>
      <c r="C4778" s="87" t="str">
        <f>IFERROR(__xludf.DUMMYFUNCTION("""COMPUTED_VALUE"""),"NDT3989")</f>
        <v>NDT3989</v>
      </c>
      <c r="D4778" s="87" t="str">
        <f>IFERROR(__xludf.DUMMYFUNCTION("""COMPUTED_VALUE"""),"[Nhãn thùng] GC - IV - 3989 - CTY CROP MAX - RIDO MAX (Bột vàng) - 250gr - 60")</f>
        <v>[Nhãn thùng] GC - IV - 3989 - CTY CROP MAX - RIDO MAX (Bột vàng) - 250gr - 60</v>
      </c>
      <c r="E4778" s="87" t="str">
        <f>IFERROR(__xludf.DUMMYFUNCTION("""COMPUTED_VALUE"""),"FORTAZEB 72WP")</f>
        <v>FORTAZEB 72WP</v>
      </c>
      <c r="F4778" s="87" t="str">
        <f>IFERROR(__xludf.DUMMYFUNCTION("""COMPUTED_VALUE"""),"HH3989")</f>
        <v>HH3989</v>
      </c>
      <c r="G4778" s="87" t="str">
        <f>IFERROR(__xludf.DUMMYFUNCTION("""COMPUTED_VALUE"""),"GC - IV - 3989 - CTY CROP MAX - RIDO MAX (Bột vàng) - 250gr - 60")</f>
        <v>GC - IV - 3989 - CTY CROP MAX - RIDO MAX (Bột vàng) - 250gr - 60</v>
      </c>
    </row>
    <row r="4779">
      <c r="A4779" s="86">
        <f>IFERROR(__xludf.DUMMYFUNCTION("""COMPUTED_VALUE"""),4777.0)</f>
        <v>4777</v>
      </c>
      <c r="B4779" s="87" t="str">
        <f>IFERROR(__xludf.DUMMYFUNCTION("""COMPUTED_VALUE"""),"[Nhãn]")</f>
        <v>[Nhãn]</v>
      </c>
      <c r="C4779" s="87" t="str">
        <f>IFERROR(__xludf.DUMMYFUNCTION("""COMPUTED_VALUE"""),"NHG3991")</f>
        <v>NHG3991</v>
      </c>
      <c r="D4779" s="87" t="str">
        <f>IFERROR(__xludf.DUMMYFUNCTION("""COMPUTED_VALUE"""),"[Nhãn] GC - IV - 3991 - Cty Thành Công Agri - MASTER STOP (nước nâu đen V2) - 1L - 20")</f>
        <v>[Nhãn] GC - IV - 3991 - Cty Thành Công Agri - MASTER STOP (nước nâu đen V2) - 1L - 20</v>
      </c>
      <c r="E4779" s="87" t="str">
        <f>IFERROR(__xludf.DUMMYFUNCTION("""COMPUTED_VALUE"""),"Vi lượng Quantity New")</f>
        <v>Vi lượng Quantity New</v>
      </c>
      <c r="F4779" s="87" t="str">
        <f>IFERROR(__xludf.DUMMYFUNCTION("""COMPUTED_VALUE"""),"HH3991")</f>
        <v>HH3991</v>
      </c>
      <c r="G4779" s="87" t="str">
        <f>IFERROR(__xludf.DUMMYFUNCTION("""COMPUTED_VALUE"""),"GC - IV - 3991 - Cty Thành Công Agri - MASTER STOP (nước nâu đen V2) - 1L - 20")</f>
        <v>GC - IV - 3991 - Cty Thành Công Agri - MASTER STOP (nước nâu đen V2) - 1L - 20</v>
      </c>
    </row>
    <row r="4780">
      <c r="A4780" s="86">
        <f>IFERROR(__xludf.DUMMYFUNCTION("""COMPUTED_VALUE"""),4778.0)</f>
        <v>4778</v>
      </c>
      <c r="B4780" s="87" t="str">
        <f>IFERROR(__xludf.DUMMYFUNCTION("""COMPUTED_VALUE"""),"[Nhãn]")</f>
        <v>[Nhãn]</v>
      </c>
      <c r="C4780" s="87" t="str">
        <f>IFERROR(__xludf.DUMMYFUNCTION("""COMPUTED_VALUE"""),"NHG3994")</f>
        <v>NHG3994</v>
      </c>
      <c r="D4780" s="87" t="str">
        <f>IFERROR(__xludf.DUMMYFUNCTION("""COMPUTED_VALUE"""),"[Nhãn]  IDA Global - I - 3994 - RONADO (Nước tím) - 450ml - 40")</f>
        <v>[Nhãn]  IDA Global - I - 3994 - RONADO (Nước tím) - 450ml - 40</v>
      </c>
      <c r="E4780" s="87" t="str">
        <f>IFERROR(__xludf.DUMMYFUNCTION("""COMPUTED_VALUE"""),"Hỗn Hợp NP AGAMA-AP")</f>
        <v>Hỗn Hợp NP AGAMA-AP</v>
      </c>
      <c r="F4780" s="87" t="str">
        <f>IFERROR(__xludf.DUMMYFUNCTION("""COMPUTED_VALUE"""),"HH3994")</f>
        <v>HH3994</v>
      </c>
      <c r="G4780" s="87" t="str">
        <f>IFERROR(__xludf.DUMMYFUNCTION("""COMPUTED_VALUE"""),"IDA Global - I - 3994 - RONADO (Nước tím) - 450ml - 40")</f>
        <v>IDA Global - I - 3994 - RONADO (Nước tím) - 450ml - 40</v>
      </c>
    </row>
    <row r="4781">
      <c r="A4781" s="86">
        <f>IFERROR(__xludf.DUMMYFUNCTION("""COMPUTED_VALUE"""),4779.0)</f>
        <v>4779</v>
      </c>
      <c r="B4781" s="87" t="str">
        <f>IFERROR(__xludf.DUMMYFUNCTION("""COMPUTED_VALUE"""),"[Nhãn thùng]")</f>
        <v>[Nhãn thùng]</v>
      </c>
      <c r="C4781" s="87" t="str">
        <f>IFERROR(__xludf.DUMMYFUNCTION("""COMPUTED_VALUE"""),"NDT3994")</f>
        <v>NDT3994</v>
      </c>
      <c r="D4781" s="87" t="str">
        <f>IFERROR(__xludf.DUMMYFUNCTION("""COMPUTED_VALUE"""),"[Nhãn thùng]  IDA Global - I - 3994 - RONADO (Nước tím) - 450ml - 40")</f>
        <v>[Nhãn thùng]  IDA Global - I - 3994 - RONADO (Nước tím) - 450ml - 40</v>
      </c>
      <c r="E4781" s="87" t="str">
        <f>IFERROR(__xludf.DUMMYFUNCTION("""COMPUTED_VALUE"""),"Hỗn Hợp NP AGAMA-AP")</f>
        <v>Hỗn Hợp NP AGAMA-AP</v>
      </c>
      <c r="F4781" s="87" t="str">
        <f>IFERROR(__xludf.DUMMYFUNCTION("""COMPUTED_VALUE"""),"HH3994")</f>
        <v>HH3994</v>
      </c>
      <c r="G4781" s="87" t="str">
        <f>IFERROR(__xludf.DUMMYFUNCTION("""COMPUTED_VALUE"""),"IDA Global - I - 3994 - RONADO (Nước tím) - 450ml - 40")</f>
        <v>IDA Global - I - 3994 - RONADO (Nước tím) - 450ml - 40</v>
      </c>
    </row>
    <row r="4782">
      <c r="A4782" s="86">
        <f>IFERROR(__xludf.DUMMYFUNCTION("""COMPUTED_VALUE"""),4780.0)</f>
        <v>4780</v>
      </c>
      <c r="B4782" s="87" t="str">
        <f>IFERROR(__xludf.DUMMYFUNCTION("""COMPUTED_VALUE"""),"[Nhãn]")</f>
        <v>[Nhãn]</v>
      </c>
      <c r="C4782" s="87" t="str">
        <f>IFERROR(__xludf.DUMMYFUNCTION("""COMPUTED_VALUE"""),"NHD3996")</f>
        <v>NHD3996</v>
      </c>
      <c r="D4782" s="87" t="str">
        <f>IFERROR(__xludf.DUMMYFUNCTION("""COMPUTED_VALUE"""),"[Nhãn]  GC - IV - 3996 - CTY DONA VINA - UNI-STOP ONE (Nước nâu đen) - 1L - 20")</f>
        <v>[Nhãn]  GC - IV - 3996 - CTY DONA VINA - UNI-STOP ONE (Nước nâu đen) - 1L - 20</v>
      </c>
      <c r="E4782" s="87" t="str">
        <f>IFERROR(__xludf.DUMMYFUNCTION("""COMPUTED_VALUE"""),"Vi lượng Quantity New")</f>
        <v>Vi lượng Quantity New</v>
      </c>
      <c r="F4782" s="87" t="str">
        <f>IFERROR(__xludf.DUMMYFUNCTION("""COMPUTED_VALUE"""),"HH3996")</f>
        <v>HH3996</v>
      </c>
      <c r="G4782" s="87" t="str">
        <f>IFERROR(__xludf.DUMMYFUNCTION("""COMPUTED_VALUE"""),"GC - IV - 3996 - CTY DONA VINA - UNI-STOP ONE (Nước nâu đen) - 1L - 20")</f>
        <v>GC - IV - 3996 - CTY DONA VINA - UNI-STOP ONE (Nước nâu đen) - 1L - 20</v>
      </c>
    </row>
    <row r="4783">
      <c r="A4783" s="86">
        <f>IFERROR(__xludf.DUMMYFUNCTION("""COMPUTED_VALUE"""),4781.0)</f>
        <v>4781</v>
      </c>
      <c r="B4783" s="87" t="str">
        <f>IFERROR(__xludf.DUMMYFUNCTION("""COMPUTED_VALUE"""),"[Nhãn]")</f>
        <v>[Nhãn]</v>
      </c>
      <c r="C4783" s="87" t="str">
        <f>IFERROR(__xludf.DUMMYFUNCTION("""COMPUTED_VALUE"""),"NHG3998")</f>
        <v>NHG3998</v>
      </c>
      <c r="D4783" s="87" t="str">
        <f>IFERROR(__xludf.DUMMYFUNCTION("""COMPUTED_VALUE"""),"[Nhãn] GC - IV - 3998 - CTY NAUY - SUPER NANO (Nước nâu đen) - 500ml - 40")</f>
        <v>[Nhãn] GC - IV - 3998 - CTY NAUY - SUPER NANO (Nước nâu đen) - 500ml - 40</v>
      </c>
      <c r="E4783" s="87" t="str">
        <f>IFERROR(__xludf.DUMMYFUNCTION("""COMPUTED_VALUE"""),"HỖN HỢP NPK AGAMA-SRH")</f>
        <v>HỖN HỢP NPK AGAMA-SRH</v>
      </c>
      <c r="F4783" s="87" t="str">
        <f>IFERROR(__xludf.DUMMYFUNCTION("""COMPUTED_VALUE"""),"HH3998")</f>
        <v>HH3998</v>
      </c>
      <c r="G4783" s="87" t="str">
        <f>IFERROR(__xludf.DUMMYFUNCTION("""COMPUTED_VALUE"""),"GC - IV - 3998 - CTY NAUY - SUPER NANO (Nước nâu đen) - 500ml - 40")</f>
        <v>GC - IV - 3998 - CTY NAUY - SUPER NANO (Nước nâu đen) - 500ml - 40</v>
      </c>
    </row>
    <row r="4784">
      <c r="A4784" s="86">
        <f>IFERROR(__xludf.DUMMYFUNCTION("""COMPUTED_VALUE"""),4782.0)</f>
        <v>4782</v>
      </c>
      <c r="B4784" s="87" t="str">
        <f>IFERROR(__xludf.DUMMYFUNCTION("""COMPUTED_VALUE"""),"[Nhãn]")</f>
        <v>[Nhãn]</v>
      </c>
      <c r="C4784" s="87" t="str">
        <f>IFERROR(__xludf.DUMMYFUNCTION("""COMPUTED_VALUE"""),"NHG4003")</f>
        <v>NHG4003</v>
      </c>
      <c r="D4784" s="87" t="str">
        <f>IFERROR(__xludf.DUMMYFUNCTION("""COMPUTED_VALUE"""),"[Nhãn]  IDA Global - I - 4003 - CANXI BO LIQUID (Nước trắng sữa) - 500ml - 40")</f>
        <v>[Nhãn]  IDA Global - I - 4003 - CANXI BO LIQUID (Nước trắng sữa) - 500ml - 40</v>
      </c>
      <c r="E4784" s="87" t="str">
        <f>IFERROR(__xludf.DUMMYFUNCTION("""COMPUTED_VALUE"""),"Vi lượng AGAMA-CANXI BO")</f>
        <v>Vi lượng AGAMA-CANXI BO</v>
      </c>
      <c r="F4784" s="87" t="str">
        <f>IFERROR(__xludf.DUMMYFUNCTION("""COMPUTED_VALUE"""),"HH4003")</f>
        <v>HH4003</v>
      </c>
      <c r="G4784" s="87" t="str">
        <f>IFERROR(__xludf.DUMMYFUNCTION("""COMPUTED_VALUE"""),"IDA Global - I - 4003 - CANXI BO LIQUID (Nước trắng sữa) - 500ml - 40")</f>
        <v>IDA Global - I - 4003 - CANXI BO LIQUID (Nước trắng sữa) - 500ml - 40</v>
      </c>
    </row>
    <row r="4785">
      <c r="A4785" s="86">
        <f>IFERROR(__xludf.DUMMYFUNCTION("""COMPUTED_VALUE"""),4783.0)</f>
        <v>4783</v>
      </c>
      <c r="B4785" s="87" t="str">
        <f>IFERROR(__xludf.DUMMYFUNCTION("""COMPUTED_VALUE"""),"[Nhãn]")</f>
        <v>[Nhãn]</v>
      </c>
      <c r="C4785" s="87" t="str">
        <f>IFERROR(__xludf.DUMMYFUNCTION("""COMPUTED_VALUE"""),"NHG4004")</f>
        <v>NHG4004</v>
      </c>
      <c r="D4785" s="87" t="str">
        <f>IFERROR(__xludf.DUMMYFUNCTION("""COMPUTED_VALUE"""),"[Nhãn] GC - IV - 4004 - CTY DONA VINA - SỨC MẠNH KING KONG (Nước đỏ) - 900ml - 20")</f>
        <v>[Nhãn] GC - IV - 4004 - CTY DONA VINA - SỨC MẠNH KING KONG (Nước đỏ) - 900ml - 20</v>
      </c>
      <c r="E4785" s="87" t="str">
        <f>IFERROR(__xludf.DUMMYFUNCTION("""COMPUTED_VALUE"""),"GLUFOCIDE 200SL")</f>
        <v>GLUFOCIDE 200SL</v>
      </c>
      <c r="F4785" s="87" t="str">
        <f>IFERROR(__xludf.DUMMYFUNCTION("""COMPUTED_VALUE"""),"HH4004")</f>
        <v>HH4004</v>
      </c>
      <c r="G4785" s="87" t="str">
        <f>IFERROR(__xludf.DUMMYFUNCTION("""COMPUTED_VALUE"""),"GC - IV - 4004 - CTY DONA VINA - SỨC MẠNH KING KONG (Nước đỏ) - 900ml - 20")</f>
        <v>GC - IV - 4004 - CTY DONA VINA - SỨC MẠNH KING KONG (Nước đỏ) - 900ml - 20</v>
      </c>
    </row>
    <row r="4786">
      <c r="A4786" s="86">
        <f>IFERROR(__xludf.DUMMYFUNCTION("""COMPUTED_VALUE"""),4784.0)</f>
        <v>4784</v>
      </c>
      <c r="B4786" s="87" t="str">
        <f>IFERROR(__xludf.DUMMYFUNCTION("""COMPUTED_VALUE"""),"[Nhãn]")</f>
        <v>[Nhãn]</v>
      </c>
      <c r="C4786" s="87" t="str">
        <f>IFERROR(__xludf.DUMMYFUNCTION("""COMPUTED_VALUE"""),"NHG4005")</f>
        <v>NHG4005</v>
      </c>
      <c r="D4786" s="87" t="str">
        <f>IFERROR(__xludf.DUMMYFUNCTION("""COMPUTED_VALUE"""),"[Nhãn] GC - IV - 4005 - AGRITECH - AGRI NOVA (Nước nâu đen) - 5L - 4")</f>
        <v>[Nhãn] GC - IV - 4005 - AGRITECH - AGRI NOVA (Nước nâu đen) - 5L - 4</v>
      </c>
      <c r="E4786" s="87" t="str">
        <f>IFERROR(__xludf.DUMMYFUNCTION("""COMPUTED_VALUE"""),"Hữu cơ SH Agro Organic Fertilizer 20")</f>
        <v>Hữu cơ SH Agro Organic Fertilizer 20</v>
      </c>
      <c r="F4786" s="87" t="str">
        <f>IFERROR(__xludf.DUMMYFUNCTION("""COMPUTED_VALUE"""),"HH4005")</f>
        <v>HH4005</v>
      </c>
      <c r="G4786" s="87" t="str">
        <f>IFERROR(__xludf.DUMMYFUNCTION("""COMPUTED_VALUE"""),"GC - IV - 4005 - AGRITECH - AGRI NOVA (Nước nâu đen) - 5L - 4")</f>
        <v>GC - IV - 4005 - AGRITECH - AGRI NOVA (Nước nâu đen) - 5L - 4</v>
      </c>
    </row>
    <row r="4787">
      <c r="A4787" s="86">
        <f>IFERROR(__xludf.DUMMYFUNCTION("""COMPUTED_VALUE"""),4785.0)</f>
        <v>4785</v>
      </c>
      <c r="B4787" s="87" t="str">
        <f>IFERROR(__xludf.DUMMYFUNCTION("""COMPUTED_VALUE"""),"[Nhãn thùng]")</f>
        <v>[Nhãn thùng]</v>
      </c>
      <c r="C4787" s="87" t="str">
        <f>IFERROR(__xludf.DUMMYFUNCTION("""COMPUTED_VALUE"""),"NDT4005")</f>
        <v>NDT4005</v>
      </c>
      <c r="D4787" s="87" t="str">
        <f>IFERROR(__xludf.DUMMYFUNCTION("""COMPUTED_VALUE"""),"[Nhãn thùng] GC - IV - 4005 - AGRITECH - AGRI NOVA (Nước nâu đen) - 5L - 4")</f>
        <v>[Nhãn thùng] GC - IV - 4005 - AGRITECH - AGRI NOVA (Nước nâu đen) - 5L - 4</v>
      </c>
      <c r="E4787" s="87" t="str">
        <f>IFERROR(__xludf.DUMMYFUNCTION("""COMPUTED_VALUE"""),"Hữu cơ SH Agro Organic Fertilizer 20")</f>
        <v>Hữu cơ SH Agro Organic Fertilizer 20</v>
      </c>
      <c r="F4787" s="87" t="str">
        <f>IFERROR(__xludf.DUMMYFUNCTION("""COMPUTED_VALUE"""),"HH4005")</f>
        <v>HH4005</v>
      </c>
      <c r="G4787" s="87" t="str">
        <f>IFERROR(__xludf.DUMMYFUNCTION("""COMPUTED_VALUE"""),"GC - IV - 4005 - AGRITECH - AGRI NOVA (Nước nâu đen) - 5L - 4")</f>
        <v>GC - IV - 4005 - AGRITECH - AGRI NOVA (Nước nâu đen) - 5L - 4</v>
      </c>
    </row>
    <row r="4788">
      <c r="A4788" s="86">
        <f>IFERROR(__xludf.DUMMYFUNCTION("""COMPUTED_VALUE"""),4786.0)</f>
        <v>4786</v>
      </c>
      <c r="B4788" s="87" t="str">
        <f>IFERROR(__xludf.DUMMYFUNCTION("""COMPUTED_VALUE"""),"[Nhãn]")</f>
        <v>[Nhãn]</v>
      </c>
      <c r="C4788" s="87" t="str">
        <f>IFERROR(__xludf.DUMMYFUNCTION("""COMPUTED_VALUE"""),"NTN4006")</f>
        <v>NTN4006</v>
      </c>
      <c r="D4788" s="87" t="str">
        <f>IFERROR(__xludf.DUMMYFUNCTION("""COMPUTED_VALUE"""),"[Nhãn] GC - II - 4006 - CSSX An Khang (A.Dinh) - TAK20 (Bột màu trắng) - 1kg - 20")</f>
        <v>[Nhãn] GC - II - 4006 - CSSX An Khang (A.Dinh) - TAK20 (Bột màu trắng) - 1kg - 20</v>
      </c>
      <c r="E4788" s="87" t="str">
        <f>IFERROR(__xludf.DUMMYFUNCTION("""COMPUTED_VALUE"""),"Vi lượng AGAMA-BATFUNG")</f>
        <v>Vi lượng AGAMA-BATFUNG</v>
      </c>
      <c r="F4788" s="87" t="str">
        <f>IFERROR(__xludf.DUMMYFUNCTION("""COMPUTED_VALUE"""),"HH4006")</f>
        <v>HH4006</v>
      </c>
      <c r="G4788" s="87" t="str">
        <f>IFERROR(__xludf.DUMMYFUNCTION("""COMPUTED_VALUE"""),"GC - II - 4006 - CSSX An Khang (A.Dinh) - TAK20 (Bột màu trắng) - 1kg - 20")</f>
        <v>GC - II - 4006 - CSSX An Khang (A.Dinh) - TAK20 (Bột màu trắng) - 1kg - 20</v>
      </c>
    </row>
    <row r="4789">
      <c r="A4789" s="86">
        <f>IFERROR(__xludf.DUMMYFUNCTION("""COMPUTED_VALUE"""),4787.0)</f>
        <v>4787</v>
      </c>
      <c r="B4789" s="87" t="str">
        <f>IFERROR(__xludf.DUMMYFUNCTION("""COMPUTED_VALUE"""),"[Nhãn]")</f>
        <v>[Nhãn]</v>
      </c>
      <c r="C4789" s="87" t="str">
        <f>IFERROR(__xludf.DUMMYFUNCTION("""COMPUTED_VALUE"""),"NHG4008")</f>
        <v>NHG4008</v>
      </c>
      <c r="D4789" s="87" t="str">
        <f>IFERROR(__xludf.DUMMYFUNCTION("""COMPUTED_VALUE"""),"[Nhãn] GC - IV - 4008 - TAGO - BỌ CẠP 3.6 (nước nâu đen) - 450ml - 40")</f>
        <v>[Nhãn] GC - IV - 4008 - TAGO - BỌ CẠP 3.6 (nước nâu đen) - 450ml - 40</v>
      </c>
      <c r="E4789" s="87" t="str">
        <f>IFERROR(__xludf.DUMMYFUNCTION("""COMPUTED_VALUE"""),"HAIHAMEC 3.6EC")</f>
        <v>HAIHAMEC 3.6EC</v>
      </c>
      <c r="F4789" s="87" t="str">
        <f>IFERROR(__xludf.DUMMYFUNCTION("""COMPUTED_VALUE"""),"HH4008")</f>
        <v>HH4008</v>
      </c>
      <c r="G4789" s="87" t="str">
        <f>IFERROR(__xludf.DUMMYFUNCTION("""COMPUTED_VALUE"""),"GC - IV - 4008 - TAGO - BỌ CẠP 3.6 (nước nâu đen) - 450ml - 40")</f>
        <v>GC - IV - 4008 - TAGO - BỌ CẠP 3.6 (nước nâu đen) - 450ml - 40</v>
      </c>
    </row>
    <row r="4790">
      <c r="A4790" s="86">
        <f>IFERROR(__xludf.DUMMYFUNCTION("""COMPUTED_VALUE"""),4788.0)</f>
        <v>4788</v>
      </c>
      <c r="B4790" s="87" t="str">
        <f>IFERROR(__xludf.DUMMYFUNCTION("""COMPUTED_VALUE"""),"[Nhãn]")</f>
        <v>[Nhãn]</v>
      </c>
      <c r="C4790" s="87" t="str">
        <f>IFERROR(__xludf.DUMMYFUNCTION("""COMPUTED_VALUE"""),"NHG4009")</f>
        <v>NHG4009</v>
      </c>
      <c r="D4790" s="87" t="str">
        <f>IFERROR(__xludf.DUMMYFUNCTION("""COMPUTED_VALUE"""),"[Nhãn] GC - IV - 4009 - CTY Bảy Phận - TIGER 3.6 (Nước nâu đen) - 450ml - 40")</f>
        <v>[Nhãn] GC - IV - 4009 - CTY Bảy Phận - TIGER 3.6 (Nước nâu đen) - 450ml - 40</v>
      </c>
      <c r="E4790" s="87" t="str">
        <f>IFERROR(__xludf.DUMMYFUNCTION("""COMPUTED_VALUE"""),"HAIHAMEC 3.6EC")</f>
        <v>HAIHAMEC 3.6EC</v>
      </c>
      <c r="F4790" s="87" t="str">
        <f>IFERROR(__xludf.DUMMYFUNCTION("""COMPUTED_VALUE"""),"HH4009")</f>
        <v>HH4009</v>
      </c>
      <c r="G4790" s="87" t="str">
        <f>IFERROR(__xludf.DUMMYFUNCTION("""COMPUTED_VALUE"""),"GC - IV - 4009 - CTY Bảy Phận - TIGER 3.6 (Nước nâu đen) - 450ml - 40")</f>
        <v>GC - IV - 4009 - CTY Bảy Phận - TIGER 3.6 (Nước nâu đen) - 450ml - 40</v>
      </c>
    </row>
    <row r="4791">
      <c r="A4791" s="86">
        <f>IFERROR(__xludf.DUMMYFUNCTION("""COMPUTED_VALUE"""),4789.0)</f>
        <v>4789</v>
      </c>
      <c r="B4791" s="87" t="str">
        <f>IFERROR(__xludf.DUMMYFUNCTION("""COMPUTED_VALUE"""),"[Nhãn]")</f>
        <v>[Nhãn]</v>
      </c>
      <c r="C4791" s="87" t="str">
        <f>IFERROR(__xludf.DUMMYFUNCTION("""COMPUTED_VALUE"""),"NHG4010")</f>
        <v>NHG4010</v>
      </c>
      <c r="D4791" s="87" t="str">
        <f>IFERROR(__xludf.DUMMYFUNCTION("""COMPUTED_VALUE"""),"[Nhãn] GC - IV - 4010 - AGRITECH HÀ LAN - Phân bón hữu cơ AGRITECH HL CANXI BOZN (Dạng SC - Xanh dương) - 500ml - 40")</f>
        <v>[Nhãn] GC - IV - 4010 - AGRITECH HÀ LAN - Phân bón hữu cơ AGRITECH HL CANXI BOZN (Dạng SC - Xanh dương) - 500ml - 40</v>
      </c>
      <c r="E4791" s="87" t="str">
        <f>IFERROR(__xludf.DUMMYFUNCTION("""COMPUTED_VALUE"""),"Hữu cơ AGRITECH HL CANXI BOZN")</f>
        <v>Hữu cơ AGRITECH HL CANXI BOZN</v>
      </c>
      <c r="F4791" s="87" t="str">
        <f>IFERROR(__xludf.DUMMYFUNCTION("""COMPUTED_VALUE"""),"HH4010")</f>
        <v>HH4010</v>
      </c>
      <c r="G4791" s="87" t="str">
        <f>IFERROR(__xludf.DUMMYFUNCTION("""COMPUTED_VALUE"""),"GC - IV - 4010 - AGRITECH HÀ LAN - Phân bón hữu cơ AGRITECH HL CANXI BOZN (Dạng SC - Xanh dương) - 500ml - 40")</f>
        <v>GC - IV - 4010 - AGRITECH HÀ LAN - Phân bón hữu cơ AGRITECH HL CANXI BOZN (Dạng SC - Xanh dương) - 500ml - 40</v>
      </c>
    </row>
    <row r="4792">
      <c r="A4792" s="86">
        <f>IFERROR(__xludf.DUMMYFUNCTION("""COMPUTED_VALUE"""),4790.0)</f>
        <v>4790</v>
      </c>
      <c r="B4792" s="87" t="str">
        <f>IFERROR(__xludf.DUMMYFUNCTION("""COMPUTED_VALUE"""),"[Nhãn]")</f>
        <v>[Nhãn]</v>
      </c>
      <c r="C4792" s="87" t="str">
        <f>IFERROR(__xludf.DUMMYFUNCTION("""COMPUTED_VALUE"""),"NHG4011")</f>
        <v>NHG4011</v>
      </c>
      <c r="D4792" s="87" t="str">
        <f>IFERROR(__xludf.DUMMYFUNCTION("""COMPUTED_VALUE"""),"[Nhãn] GC - IV - 4011 - NHP GROUP - KODO STOP (Nước nâu đen) - 1L - 20")</f>
        <v>[Nhãn] GC - IV - 4011 - NHP GROUP - KODO STOP (Nước nâu đen) - 1L - 20</v>
      </c>
      <c r="E4792" s="87" t="str">
        <f>IFERROR(__xludf.DUMMYFUNCTION("""COMPUTED_VALUE"""),"Vi lượng Quantity New")</f>
        <v>Vi lượng Quantity New</v>
      </c>
      <c r="F4792" s="87" t="str">
        <f>IFERROR(__xludf.DUMMYFUNCTION("""COMPUTED_VALUE"""),"HH4011")</f>
        <v>HH4011</v>
      </c>
      <c r="G4792" s="87" t="str">
        <f>IFERROR(__xludf.DUMMYFUNCTION("""COMPUTED_VALUE"""),"GC - IV - 4011 - NHP GROUP - KODO STOP (Nước nâu đen) - 1L - 20")</f>
        <v>GC - IV - 4011 - NHP GROUP - KODO STOP (Nước nâu đen) - 1L - 20</v>
      </c>
    </row>
    <row r="4793">
      <c r="A4793" s="86">
        <f>IFERROR(__xludf.DUMMYFUNCTION("""COMPUTED_VALUE"""),4791.0)</f>
        <v>4791</v>
      </c>
      <c r="B4793" s="87" t="str">
        <f>IFERROR(__xludf.DUMMYFUNCTION("""COMPUTED_VALUE"""),"[Nhãn]")</f>
        <v>[Nhãn]</v>
      </c>
      <c r="C4793" s="87" t="str">
        <f>IFERROR(__xludf.DUMMYFUNCTION("""COMPUTED_VALUE"""),"NHG4012")</f>
        <v>NHG4012</v>
      </c>
      <c r="D4793" s="87" t="str">
        <f>IFERROR(__xludf.DUMMYFUNCTION("""COMPUTED_VALUE"""),"[Nhãn] GC - V - 4012 - N2SBIO - N2 PHYTO PLUS (Nước nâu đen) - 500ml - 40")</f>
        <v>[Nhãn] GC - V - 4012 - N2SBIO - N2 PHYTO PLUS (Nước nâu đen) - 500ml - 40</v>
      </c>
      <c r="E4793" s="87" t="str">
        <f>IFERROR(__xludf.DUMMYFUNCTION("""COMPUTED_VALUE"""),"Hữu cơ SH Agro Organic Fertilizer 20")</f>
        <v>Hữu cơ SH Agro Organic Fertilizer 20</v>
      </c>
      <c r="F4793" s="87" t="str">
        <f>IFERROR(__xludf.DUMMYFUNCTION("""COMPUTED_VALUE"""),"HH4012")</f>
        <v>HH4012</v>
      </c>
      <c r="G4793" s="87" t="str">
        <f>IFERROR(__xludf.DUMMYFUNCTION("""COMPUTED_VALUE"""),"GC - V - 4012 - N2SBIO - N2 PHYTO PLUS (Nước nâu đen) - 500ml - 40")</f>
        <v>GC - V - 4012 - N2SBIO - N2 PHYTO PLUS (Nước nâu đen) - 500ml - 40</v>
      </c>
    </row>
    <row r="4794">
      <c r="A4794" s="86">
        <f>IFERROR(__xludf.DUMMYFUNCTION("""COMPUTED_VALUE"""),4792.0)</f>
        <v>4792</v>
      </c>
      <c r="B4794" s="87" t="str">
        <f>IFERROR(__xludf.DUMMYFUNCTION("""COMPUTED_VALUE"""),"[Nhãn]")</f>
        <v>[Nhãn]</v>
      </c>
      <c r="C4794" s="87" t="str">
        <f>IFERROR(__xludf.DUMMYFUNCTION("""COMPUTED_VALUE"""),"NHG4013")</f>
        <v>NHG4013</v>
      </c>
      <c r="D4794" s="87" t="str">
        <f>IFERROR(__xludf.DUMMYFUNCTION("""COMPUTED_VALUE"""),"[Nhãn] GC - IV - 4013 - BIO FARMS - BIO CANXI BO (Nước trắng sữa) - 250ml - 40")</f>
        <v>[Nhãn] GC - IV - 4013 - BIO FARMS - BIO CANXI BO (Nước trắng sữa) - 250ml - 40</v>
      </c>
      <c r="E4794" s="87" t="str">
        <f>IFERROR(__xludf.DUMMYFUNCTION("""COMPUTED_VALUE"""),"Vi lượng AGAMA-CANXI BO")</f>
        <v>Vi lượng AGAMA-CANXI BO</v>
      </c>
      <c r="F4794" s="87" t="str">
        <f>IFERROR(__xludf.DUMMYFUNCTION("""COMPUTED_VALUE"""),"HH4013")</f>
        <v>HH4013</v>
      </c>
      <c r="G4794" s="87" t="str">
        <f>IFERROR(__xludf.DUMMYFUNCTION("""COMPUTED_VALUE"""),"GC - IV - 4013 - BIO FARMS - BIO CANXI BO (Nước trắng sữa) - 250ml - 40")</f>
        <v>GC - IV - 4013 - BIO FARMS - BIO CANXI BO (Nước trắng sữa) - 250ml - 40</v>
      </c>
    </row>
    <row r="4795">
      <c r="A4795" s="86">
        <f>IFERROR(__xludf.DUMMYFUNCTION("""COMPUTED_VALUE"""),4793.0)</f>
        <v>4793</v>
      </c>
      <c r="B4795" s="87" t="str">
        <f>IFERROR(__xludf.DUMMYFUNCTION("""COMPUTED_VALUE"""),"[Nhãn]")</f>
        <v>[Nhãn]</v>
      </c>
      <c r="C4795" s="87" t="str">
        <f>IFERROR(__xludf.DUMMYFUNCTION("""COMPUTED_VALUE"""),"NTN4014")</f>
        <v>NTN4014</v>
      </c>
      <c r="D4795" s="87" t="str">
        <f>IFERROR(__xludf.DUMMYFUNCTION("""COMPUTED_VALUE"""),"[Nhãn] GC - IV - 4014 - GNH - DIỆT ĐẠO ÔN (bột cam) - 25gr - 200")</f>
        <v>[Nhãn] GC - IV - 4014 - GNH - DIỆT ĐẠO ÔN (bột cam) - 25gr - 200</v>
      </c>
      <c r="E4795" s="87" t="str">
        <f>IFERROR(__xludf.DUMMYFUNCTION("""COMPUTED_VALUE"""),"Pim.Pim 75WP")</f>
        <v>Pim.Pim 75WP</v>
      </c>
      <c r="F4795" s="87" t="str">
        <f>IFERROR(__xludf.DUMMYFUNCTION("""COMPUTED_VALUE"""),"HH4014")</f>
        <v>HH4014</v>
      </c>
      <c r="G4795" s="87" t="str">
        <f>IFERROR(__xludf.DUMMYFUNCTION("""COMPUTED_VALUE"""),"GC - IV - 4014 - GNH - DIỆT ĐẠO ÔN (bột cam) - 25gr - 200")</f>
        <v>GC - IV - 4014 - GNH - DIỆT ĐẠO ÔN (bột cam) - 25gr - 200</v>
      </c>
    </row>
    <row r="4796">
      <c r="A4796" s="86">
        <f>IFERROR(__xludf.DUMMYFUNCTION("""COMPUTED_VALUE"""),4794.0)</f>
        <v>4794</v>
      </c>
      <c r="B4796" s="87" t="str">
        <f>IFERROR(__xludf.DUMMYFUNCTION("""COMPUTED_VALUE"""),"[Nhãn thùng]")</f>
        <v>[Nhãn thùng]</v>
      </c>
      <c r="C4796" s="87" t="str">
        <f>IFERROR(__xludf.DUMMYFUNCTION("""COMPUTED_VALUE"""),"NDT4014")</f>
        <v>NDT4014</v>
      </c>
      <c r="D4796" s="87" t="str">
        <f>IFERROR(__xludf.DUMMYFUNCTION("""COMPUTED_VALUE"""),"[Nhãn thùng] GC - IV - 4014 - GNH - DIỆT ĐẠO ÔN (bột cam) - 25gr - 200")</f>
        <v>[Nhãn thùng] GC - IV - 4014 - GNH - DIỆT ĐẠO ÔN (bột cam) - 25gr - 200</v>
      </c>
      <c r="E4796" s="87" t="str">
        <f>IFERROR(__xludf.DUMMYFUNCTION("""COMPUTED_VALUE"""),"Pim.Pim 75WP")</f>
        <v>Pim.Pim 75WP</v>
      </c>
      <c r="F4796" s="87" t="str">
        <f>IFERROR(__xludf.DUMMYFUNCTION("""COMPUTED_VALUE"""),"HH4014")</f>
        <v>HH4014</v>
      </c>
      <c r="G4796" s="87" t="str">
        <f>IFERROR(__xludf.DUMMYFUNCTION("""COMPUTED_VALUE"""),"GC - IV - 4014 - GNH - DIỆT ĐẠO ÔN (bột cam) - 25gr - 200")</f>
        <v>GC - IV - 4014 - GNH - DIỆT ĐẠO ÔN (bột cam) - 25gr - 200</v>
      </c>
    </row>
    <row r="4797">
      <c r="A4797" s="86">
        <f>IFERROR(__xludf.DUMMYFUNCTION("""COMPUTED_VALUE"""),4795.0)</f>
        <v>4795</v>
      </c>
      <c r="B4797" s="87" t="str">
        <f>IFERROR(__xludf.DUMMYFUNCTION("""COMPUTED_VALUE"""),"[Nhãn]")</f>
        <v>[Nhãn]</v>
      </c>
      <c r="C4797" s="87" t="str">
        <f>IFERROR(__xludf.DUMMYFUNCTION("""COMPUTED_VALUE"""),"NTN4015")</f>
        <v>NTN4015</v>
      </c>
      <c r="D4797" s="87" t="str">
        <f>IFERROR(__xludf.DUMMYFUNCTION("""COMPUTED_VALUE"""),"[Nhãn] GC - IV - 4015 - THACO FARM - FORTAZEB 72WP (Bột vàng) - 500gr - 40")</f>
        <v>[Nhãn] GC - IV - 4015 - THACO FARM - FORTAZEB 72WP (Bột vàng) - 500gr - 40</v>
      </c>
      <c r="E4797" s="87" t="str">
        <f>IFERROR(__xludf.DUMMYFUNCTION("""COMPUTED_VALUE"""),"FORTAZEB 72WP")</f>
        <v>FORTAZEB 72WP</v>
      </c>
      <c r="F4797" s="87" t="str">
        <f>IFERROR(__xludf.DUMMYFUNCTION("""COMPUTED_VALUE"""),"HH4015")</f>
        <v>HH4015</v>
      </c>
      <c r="G4797" s="87" t="str">
        <f>IFERROR(__xludf.DUMMYFUNCTION("""COMPUTED_VALUE"""),"GC - IV - 4015 - THACO FARM - FORTAZEB 72WP (Bột vàng) - 500gr - 40")</f>
        <v>GC - IV - 4015 - THACO FARM - FORTAZEB 72WP (Bột vàng) - 500gr - 40</v>
      </c>
    </row>
    <row r="4798">
      <c r="A4798" s="86">
        <f>IFERROR(__xludf.DUMMYFUNCTION("""COMPUTED_VALUE"""),4796.0)</f>
        <v>4796</v>
      </c>
      <c r="B4798" s="87" t="str">
        <f>IFERROR(__xludf.DUMMYFUNCTION("""COMPUTED_VALUE"""),"[Nhãn thùng]")</f>
        <v>[Nhãn thùng]</v>
      </c>
      <c r="C4798" s="87" t="str">
        <f>IFERROR(__xludf.DUMMYFUNCTION("""COMPUTED_VALUE"""),"NDT4015")</f>
        <v>NDT4015</v>
      </c>
      <c r="D4798" s="87" t="str">
        <f>IFERROR(__xludf.DUMMYFUNCTION("""COMPUTED_VALUE"""),"[Nhãn thùng] GC - IV - 4015 - THACO FARM - FORTAZEB 72WP (Bột vàng) - 500gr - 40")</f>
        <v>[Nhãn thùng] GC - IV - 4015 - THACO FARM - FORTAZEB 72WP (Bột vàng) - 500gr - 40</v>
      </c>
      <c r="E4798" s="87" t="str">
        <f>IFERROR(__xludf.DUMMYFUNCTION("""COMPUTED_VALUE"""),"FORTAZEB 72WP")</f>
        <v>FORTAZEB 72WP</v>
      </c>
      <c r="F4798" s="87" t="str">
        <f>IFERROR(__xludf.DUMMYFUNCTION("""COMPUTED_VALUE"""),"HH4015")</f>
        <v>HH4015</v>
      </c>
      <c r="G4798" s="87" t="str">
        <f>IFERROR(__xludf.DUMMYFUNCTION("""COMPUTED_VALUE"""),"GC - IV - 4015 - THACO FARM - FORTAZEB 72WP (Bột vàng) - 500gr - 40")</f>
        <v>GC - IV - 4015 - THACO FARM - FORTAZEB 72WP (Bột vàng) - 500gr - 40</v>
      </c>
    </row>
    <row r="4799">
      <c r="A4799" s="86">
        <f>IFERROR(__xludf.DUMMYFUNCTION("""COMPUTED_VALUE"""),4797.0)</f>
        <v>4797</v>
      </c>
      <c r="B4799" s="87" t="str">
        <f>IFERROR(__xludf.DUMMYFUNCTION("""COMPUTED_VALUE"""),"[Nhãn]")</f>
        <v>[Nhãn]</v>
      </c>
      <c r="C4799" s="87" t="str">
        <f>IFERROR(__xludf.DUMMYFUNCTION("""COMPUTED_VALUE"""),"NHG4017")</f>
        <v>NHG4017</v>
      </c>
      <c r="D4799" s="87" t="str">
        <f>IFERROR(__xludf.DUMMYFUNCTION("""COMPUTED_VALUE"""),"[Nhãn] GC - II - 4017 - LOT AGC - Nguyễn Văn Hiệp - DR.H2 (Nước nâu đen) - 1L")</f>
        <v>[Nhãn] GC - II - 4017 - LOT AGC - Nguyễn Văn Hiệp - DR.H2 (Nước nâu đen) - 1L</v>
      </c>
      <c r="E4799" s="87" t="str">
        <f>IFERROR(__xludf.DUMMYFUNCTION("""COMPUTED_VALUE"""),"Vi lượng Quantity New")</f>
        <v>Vi lượng Quantity New</v>
      </c>
      <c r="F4799" s="87" t="str">
        <f>IFERROR(__xludf.DUMMYFUNCTION("""COMPUTED_VALUE"""),"HH4017")</f>
        <v>HH4017</v>
      </c>
      <c r="G4799" s="87" t="str">
        <f>IFERROR(__xludf.DUMMYFUNCTION("""COMPUTED_VALUE"""),"GC - II - 4017 - LOT AGC - Nguyễn Văn Hiệp - DR.H2 (Nước nâu đen) - 1L")</f>
        <v>GC - II - 4017 - LOT AGC - Nguyễn Văn Hiệp - DR.H2 (Nước nâu đen) - 1L</v>
      </c>
    </row>
    <row r="4800">
      <c r="A4800" s="86">
        <f>IFERROR(__xludf.DUMMYFUNCTION("""COMPUTED_VALUE"""),4798.0)</f>
        <v>4798</v>
      </c>
      <c r="B4800" s="87" t="str">
        <f>IFERROR(__xludf.DUMMYFUNCTION("""COMPUTED_VALUE"""),"[Nhãn]")</f>
        <v>[Nhãn]</v>
      </c>
      <c r="C4800" s="87" t="str">
        <f>IFERROR(__xludf.DUMMYFUNCTION("""COMPUTED_VALUE"""),"NHG4018")</f>
        <v>NHG4018</v>
      </c>
      <c r="D4800" s="87" t="str">
        <f>IFERROR(__xludf.DUMMYFUNCTION("""COMPUTED_VALUE"""),"[Nhãn]  GC - II - 4018 - Cty Hương Nông (A.Tùng) - Bung Đọt (nước nâu đen) - 500ml - 40")</f>
        <v>[Nhãn]  GC - II - 4018 - Cty Hương Nông (A.Tùng) - Bung Đọt (nước nâu đen) - 500ml - 40</v>
      </c>
      <c r="E4800" s="87" t="str">
        <f>IFERROR(__xludf.DUMMYFUNCTION("""COMPUTED_VALUE"""),"Vi lượng Quantity New")</f>
        <v>Vi lượng Quantity New</v>
      </c>
      <c r="F4800" s="87" t="str">
        <f>IFERROR(__xludf.DUMMYFUNCTION("""COMPUTED_VALUE"""),"HH4018")</f>
        <v>HH4018</v>
      </c>
      <c r="G4800" s="87" t="str">
        <f>IFERROR(__xludf.DUMMYFUNCTION("""COMPUTED_VALUE"""),"GC - II - 4018 - Cty Hương Nông (A.Tùng) - Bung Đọt (nước nâu đen) - 500ml - 40")</f>
        <v>GC - II - 4018 - Cty Hương Nông (A.Tùng) - Bung Đọt (nước nâu đen) - 500ml - 40</v>
      </c>
    </row>
    <row r="4801">
      <c r="A4801" s="86">
        <f>IFERROR(__xludf.DUMMYFUNCTION("""COMPUTED_VALUE"""),4799.0)</f>
        <v>4799</v>
      </c>
      <c r="B4801" s="87" t="str">
        <f>IFERROR(__xludf.DUMMYFUNCTION("""COMPUTED_VALUE"""),"[Nhãn]")</f>
        <v>[Nhãn]</v>
      </c>
      <c r="C4801" s="87" t="str">
        <f>IFERROR(__xludf.DUMMYFUNCTION("""COMPUTED_VALUE"""),"NHG4019")</f>
        <v>NHG4019</v>
      </c>
      <c r="D4801" s="87" t="str">
        <f>IFERROR(__xludf.DUMMYFUNCTION("""COMPUTED_VALUE"""),"[Nhãn] GC - IV - 4019 - CTY AGRI BẢO MỘC - VÕ SĨ NHẬT (Nước hồng) - 50ml - 100")</f>
        <v>[Nhãn] GC - IV - 4019 - CTY AGRI BẢO MỘC - VÕ SĨ NHẬT (Nước hồng) - 50ml - 100</v>
      </c>
      <c r="E4801" s="87" t="str">
        <f>IFERROR(__xludf.DUMMYFUNCTION("""COMPUTED_VALUE"""),"NEW FUZE 200SC")</f>
        <v>NEW FUZE 200SC</v>
      </c>
      <c r="F4801" s="87" t="str">
        <f>IFERROR(__xludf.DUMMYFUNCTION("""COMPUTED_VALUE"""),"HH4019")</f>
        <v>HH4019</v>
      </c>
      <c r="G4801" s="87" t="str">
        <f>IFERROR(__xludf.DUMMYFUNCTION("""COMPUTED_VALUE"""),"GC - IV - 4019 - CTY AGRI BẢO MỘC - VÕ SĨ NHẬT (Nước hồng) - 50ml - 100")</f>
        <v>GC - IV - 4019 - CTY AGRI BẢO MỘC - VÕ SĨ NHẬT (Nước hồng) - 50ml - 100</v>
      </c>
    </row>
    <row r="4802">
      <c r="A4802" s="86">
        <f>IFERROR(__xludf.DUMMYFUNCTION("""COMPUTED_VALUE"""),4800.0)</f>
        <v>4800</v>
      </c>
      <c r="B4802" s="87" t="str">
        <f>IFERROR(__xludf.DUMMYFUNCTION("""COMPUTED_VALUE"""),"[Nhãn]")</f>
        <v>[Nhãn]</v>
      </c>
      <c r="C4802" s="87" t="str">
        <f>IFERROR(__xludf.DUMMYFUNCTION("""COMPUTED_VALUE"""),"NHG4020")</f>
        <v>NHG4020</v>
      </c>
      <c r="D4802" s="87" t="str">
        <f>IFERROR(__xludf.DUMMYFUNCTION("""COMPUTED_VALUE"""),"[Nhãn] GC - IV - 4020 - CTY AGRI BẢO MỘC - VÕ SĨ NHẬT (Nước hồng) - 200ml - 40")</f>
        <v>[Nhãn] GC - IV - 4020 - CTY AGRI BẢO MỘC - VÕ SĨ NHẬT (Nước hồng) - 200ml - 40</v>
      </c>
      <c r="E4802" s="87" t="str">
        <f>IFERROR(__xludf.DUMMYFUNCTION("""COMPUTED_VALUE"""),"NEW FUZE 200SC")</f>
        <v>NEW FUZE 200SC</v>
      </c>
      <c r="F4802" s="87" t="str">
        <f>IFERROR(__xludf.DUMMYFUNCTION("""COMPUTED_VALUE"""),"HH4020")</f>
        <v>HH4020</v>
      </c>
      <c r="G4802" s="87" t="str">
        <f>IFERROR(__xludf.DUMMYFUNCTION("""COMPUTED_VALUE"""),"GC - IV - 4020 - CTY AGRI BẢO MỘC - VÕ SĨ NHẬT (Nước hồng) - 200ml - 40")</f>
        <v>GC - IV - 4020 - CTY AGRI BẢO MỘC - VÕ SĨ NHẬT (Nước hồng) - 200ml - 40</v>
      </c>
    </row>
    <row r="4803">
      <c r="A4803" s="86">
        <f>IFERROR(__xludf.DUMMYFUNCTION("""COMPUTED_VALUE"""),4801.0)</f>
        <v>4801</v>
      </c>
      <c r="B4803" s="87" t="str">
        <f>IFERROR(__xludf.DUMMYFUNCTION("""COMPUTED_VALUE"""),"[Nhãn]")</f>
        <v>[Nhãn]</v>
      </c>
      <c r="C4803" s="87" t="str">
        <f>IFERROR(__xludf.DUMMYFUNCTION("""COMPUTED_VALUE"""),"NHG4021")</f>
        <v>NHG4021</v>
      </c>
      <c r="D4803" s="87" t="str">
        <f>IFERROR(__xludf.DUMMYFUNCTION("""COMPUTED_VALUE"""),"[Nhãn] GC - II - 4021 - GC ABA (A. QUYẾT) - GROW FAST (nước nâu đen) - 20L - 1")</f>
        <v>[Nhãn] GC - II - 4021 - GC ABA (A. QUYẾT) - GROW FAST (nước nâu đen) - 20L - 1</v>
      </c>
      <c r="E4803" s="87" t="str">
        <f>IFERROR(__xludf.DUMMYFUNCTION("""COMPUTED_VALUE"""),"Hữu cơ ORGANIC ĐGP 01")</f>
        <v>Hữu cơ ORGANIC ĐGP 01</v>
      </c>
      <c r="F4803" s="87" t="str">
        <f>IFERROR(__xludf.DUMMYFUNCTION("""COMPUTED_VALUE"""),"HH4021")</f>
        <v>HH4021</v>
      </c>
      <c r="G4803" s="87" t="str">
        <f>IFERROR(__xludf.DUMMYFUNCTION("""COMPUTED_VALUE"""),"GC - II - 4021 - GC ABA (A. QUYẾT) - GROW FAST (nước nâu đen) - 20L - 1")</f>
        <v>GC - II - 4021 - GC ABA (A. QUYẾT) - GROW FAST (nước nâu đen) - 20L - 1</v>
      </c>
    </row>
    <row r="4804">
      <c r="A4804" s="86">
        <f>IFERROR(__xludf.DUMMYFUNCTION("""COMPUTED_VALUE"""),4802.0)</f>
        <v>4802</v>
      </c>
      <c r="B4804" s="87" t="str">
        <f>IFERROR(__xludf.DUMMYFUNCTION("""COMPUTED_VALUE"""),"[Nhãn]")</f>
        <v>[Nhãn]</v>
      </c>
      <c r="C4804" s="87" t="str">
        <f>IFERROR(__xludf.DUMMYFUNCTION("""COMPUTED_VALUE"""),"NHG4022")</f>
        <v>NHG4022</v>
      </c>
      <c r="D4804" s="87" t="str">
        <f>IFERROR(__xludf.DUMMYFUNCTION("""COMPUTED_VALUE"""),"[Nhãn] GC - IV - 4022 - Cty Hóa Nông Shino - BÒ CẠP THÁI (Nước nâu đen) - 450ml - 30")</f>
        <v>[Nhãn] GC - IV - 4022 - Cty Hóa Nông Shino - BÒ CẠP THÁI (Nước nâu đen) - 450ml - 30</v>
      </c>
      <c r="E4804" s="87" t="str">
        <f>IFERROR(__xludf.DUMMYFUNCTION("""COMPUTED_VALUE"""),"HAIHAMEC 3.6EC")</f>
        <v>HAIHAMEC 3.6EC</v>
      </c>
      <c r="F4804" s="87" t="str">
        <f>IFERROR(__xludf.DUMMYFUNCTION("""COMPUTED_VALUE"""),"HH4022")</f>
        <v>HH4022</v>
      </c>
      <c r="G4804" s="87" t="str">
        <f>IFERROR(__xludf.DUMMYFUNCTION("""COMPUTED_VALUE"""),"GC - IV - 4022 - Cty Hóa Nông Shino - BÒ CẠP THÁI (Nước nâu đen) - 450ml - 30")</f>
        <v>GC - IV - 4022 - Cty Hóa Nông Shino - BÒ CẠP THÁI (Nước nâu đen) - 450ml - 30</v>
      </c>
    </row>
    <row r="4805">
      <c r="A4805" s="86">
        <f>IFERROR(__xludf.DUMMYFUNCTION("""COMPUTED_VALUE"""),4803.0)</f>
        <v>4803</v>
      </c>
      <c r="B4805" s="87" t="str">
        <f>IFERROR(__xludf.DUMMYFUNCTION("""COMPUTED_VALUE"""),"[Nhãn]")</f>
        <v>[Nhãn]</v>
      </c>
      <c r="C4805" s="87" t="str">
        <f>IFERROR(__xludf.DUMMYFUNCTION("""COMPUTED_VALUE"""),"NHG4023")</f>
        <v>NHG4023</v>
      </c>
      <c r="D4805" s="87" t="str">
        <f>IFERROR(__xludf.DUMMYFUNCTION("""COMPUTED_VALUE"""),"[Nhãn] GC - IV - 4023 - Cty Hóa Nông Shino - ABA 3.6 PLUS (Nước nâu đen) - 450ml - 30")</f>
        <v>[Nhãn] GC - IV - 4023 - Cty Hóa Nông Shino - ABA 3.6 PLUS (Nước nâu đen) - 450ml - 30</v>
      </c>
      <c r="E4805" s="87" t="str">
        <f>IFERROR(__xludf.DUMMYFUNCTION("""COMPUTED_VALUE"""),"HAIHAMEC 3.6EC")</f>
        <v>HAIHAMEC 3.6EC</v>
      </c>
      <c r="F4805" s="87" t="str">
        <f>IFERROR(__xludf.DUMMYFUNCTION("""COMPUTED_VALUE"""),"HH4023")</f>
        <v>HH4023</v>
      </c>
      <c r="G4805" s="87" t="str">
        <f>IFERROR(__xludf.DUMMYFUNCTION("""COMPUTED_VALUE"""),"GC - IV - 4023 - Cty Hóa Nông Shino - ABA 3.6 PLUS (Nước nâu đen) - 450ml - 30")</f>
        <v>GC - IV - 4023 - Cty Hóa Nông Shino - ABA 3.6 PLUS (Nước nâu đen) - 450ml - 30</v>
      </c>
    </row>
    <row r="4806">
      <c r="A4806" s="86">
        <f>IFERROR(__xludf.DUMMYFUNCTION("""COMPUTED_VALUE"""),4804.0)</f>
        <v>4804</v>
      </c>
      <c r="B4806" s="87" t="str">
        <f>IFERROR(__xludf.DUMMYFUNCTION("""COMPUTED_VALUE"""),"[Nhãn]")</f>
        <v>[Nhãn]</v>
      </c>
      <c r="C4806" s="87" t="str">
        <f>IFERROR(__xludf.DUMMYFUNCTION("""COMPUTED_VALUE"""),"NHD4024")</f>
        <v>NHD4024</v>
      </c>
      <c r="D4806" s="87" t="str">
        <f>IFERROR(__xludf.DUMMYFUNCTION("""COMPUTED_VALUE"""),"[Nhãn] GC - IV - 4024 - CTY XNK O2L - KÉT TÍM (Nước tím) - 400ml - 40")</f>
        <v>[Nhãn] GC - IV - 4024 - CTY XNK O2L - KÉT TÍM (Nước tím) - 400ml - 40</v>
      </c>
      <c r="E4806" s="87" t="str">
        <f>IFERROR(__xludf.DUMMYFUNCTION("""COMPUTED_VALUE"""),"Thipro 550EC")</f>
        <v>Thipro 550EC</v>
      </c>
      <c r="F4806" s="87" t="str">
        <f>IFERROR(__xludf.DUMMYFUNCTION("""COMPUTED_VALUE"""),"HH4024")</f>
        <v>HH4024</v>
      </c>
      <c r="G4806" s="87" t="str">
        <f>IFERROR(__xludf.DUMMYFUNCTION("""COMPUTED_VALUE"""),"GC - IV - 4024 - CTY XNK O2L - KÉT TÍM (Nước tím) - 400ml - 40")</f>
        <v>GC - IV - 4024 - CTY XNK O2L - KÉT TÍM (Nước tím) - 400ml - 40</v>
      </c>
    </row>
    <row r="4807">
      <c r="A4807" s="86">
        <f>IFERROR(__xludf.DUMMYFUNCTION("""COMPUTED_VALUE"""),4805.0)</f>
        <v>4805</v>
      </c>
      <c r="B4807" s="87" t="str">
        <f>IFERROR(__xludf.DUMMYFUNCTION("""COMPUTED_VALUE"""),"[Nhãn thùng]")</f>
        <v>[Nhãn thùng]</v>
      </c>
      <c r="C4807" s="87" t="str">
        <f>IFERROR(__xludf.DUMMYFUNCTION("""COMPUTED_VALUE"""),"NDT4024")</f>
        <v>NDT4024</v>
      </c>
      <c r="D4807" s="87" t="str">
        <f>IFERROR(__xludf.DUMMYFUNCTION("""COMPUTED_VALUE"""),"[Nhãn thùng] GC - IV - 4024 - CTY XNK O2L - KÉT TÍM (Nước tím) - 400ml - 40")</f>
        <v>[Nhãn thùng] GC - IV - 4024 - CTY XNK O2L - KÉT TÍM (Nước tím) - 400ml - 40</v>
      </c>
      <c r="E4807" s="87" t="str">
        <f>IFERROR(__xludf.DUMMYFUNCTION("""COMPUTED_VALUE"""),"Thipro 550EC")</f>
        <v>Thipro 550EC</v>
      </c>
      <c r="F4807" s="87" t="str">
        <f>IFERROR(__xludf.DUMMYFUNCTION("""COMPUTED_VALUE"""),"HH4024")</f>
        <v>HH4024</v>
      </c>
      <c r="G4807" s="87" t="str">
        <f>IFERROR(__xludf.DUMMYFUNCTION("""COMPUTED_VALUE"""),"GC - IV - 4024 - CTY XNK O2L - KÉT TÍM (Nước tím) - 400ml - 40")</f>
        <v>GC - IV - 4024 - CTY XNK O2L - KÉT TÍM (Nước tím) - 400ml - 40</v>
      </c>
    </row>
    <row r="4808">
      <c r="A4808" s="86">
        <f>IFERROR(__xludf.DUMMYFUNCTION("""COMPUTED_VALUE"""),4806.0)</f>
        <v>4806</v>
      </c>
      <c r="B4808" s="87" t="str">
        <f>IFERROR(__xludf.DUMMYFUNCTION("""COMPUTED_VALUE"""),"[Nhãn]")</f>
        <v>[Nhãn]</v>
      </c>
      <c r="C4808" s="87" t="str">
        <f>IFERROR(__xludf.DUMMYFUNCTION("""COMPUTED_VALUE"""),"NHG4025")</f>
        <v>NHG4025</v>
      </c>
      <c r="D4808" s="87" t="str">
        <f>IFERROR(__xludf.DUMMYFUNCTION("""COMPUTED_VALUE"""),"[Nhãn] GC - IV - 4025 - Cty Phúc Hưng - SOMETHRIN 10EC (Nước vàng trà) - 450ml - 40")</f>
        <v>[Nhãn] GC - IV - 4025 - Cty Phúc Hưng - SOMETHRIN 10EC (Nước vàng trà) - 450ml - 40</v>
      </c>
      <c r="E4808" s="87" t="str">
        <f>IFERROR(__xludf.DUMMYFUNCTION("""COMPUTED_VALUE"""),"Somethrin 10EC")</f>
        <v>Somethrin 10EC</v>
      </c>
      <c r="F4808" s="87" t="str">
        <f>IFERROR(__xludf.DUMMYFUNCTION("""COMPUTED_VALUE"""),"HH4025")</f>
        <v>HH4025</v>
      </c>
      <c r="G4808" s="87" t="str">
        <f>IFERROR(__xludf.DUMMYFUNCTION("""COMPUTED_VALUE"""),"GC - IV - 4025 - Cty Phúc Hưng - SOMETHRIN 10EC (Nước vàng trà) - 450ml - 40")</f>
        <v>GC - IV - 4025 - Cty Phúc Hưng - SOMETHRIN 10EC (Nước vàng trà) - 450ml - 40</v>
      </c>
    </row>
    <row r="4809">
      <c r="A4809" s="86">
        <f>IFERROR(__xludf.DUMMYFUNCTION("""COMPUTED_VALUE"""),4807.0)</f>
        <v>4807</v>
      </c>
      <c r="B4809" s="87" t="str">
        <f>IFERROR(__xludf.DUMMYFUNCTION("""COMPUTED_VALUE"""),"[Nhãn]")</f>
        <v>[Nhãn]</v>
      </c>
      <c r="C4809" s="87" t="str">
        <f>IFERROR(__xludf.DUMMYFUNCTION("""COMPUTED_VALUE"""),"NTN4026")</f>
        <v>NTN4026</v>
      </c>
      <c r="D4809" s="87" t="str">
        <f>IFERROR(__xludf.DUMMYFUNCTION("""COMPUTED_VALUE"""),"[Nhãn] GC - IV - 4026 - PHÚC HƯNG - THẦN CÔNG GOLD 39WP (Bột trắng ngà) - 100gr - 100")</f>
        <v>[Nhãn] GC - IV - 4026 - PHÚC HƯNG - THẦN CÔNG GOLD 39WP (Bột trắng ngà) - 100gr - 100</v>
      </c>
      <c r="E4809" s="87" t="str">
        <f>IFERROR(__xludf.DUMMYFUNCTION("""COMPUTED_VALUE"""),"THẦN CÔNG GOLD 39WP")</f>
        <v>THẦN CÔNG GOLD 39WP</v>
      </c>
      <c r="F4809" s="87" t="str">
        <f>IFERROR(__xludf.DUMMYFUNCTION("""COMPUTED_VALUE"""),"HH4026")</f>
        <v>HH4026</v>
      </c>
      <c r="G4809" s="87" t="str">
        <f>IFERROR(__xludf.DUMMYFUNCTION("""COMPUTED_VALUE"""),"GC - IV - 4026 - PHÚC HƯNG - THẦN CÔNG GOLD 39WP (Bột trắng ngà) - 100gr - 100")</f>
        <v>GC - IV - 4026 - PHÚC HƯNG - THẦN CÔNG GOLD 39WP (Bột trắng ngà) - 100gr - 100</v>
      </c>
    </row>
    <row r="4810">
      <c r="A4810" s="86">
        <f>IFERROR(__xludf.DUMMYFUNCTION("""COMPUTED_VALUE"""),4808.0)</f>
        <v>4808</v>
      </c>
      <c r="B4810" s="87" t="str">
        <f>IFERROR(__xludf.DUMMYFUNCTION("""COMPUTED_VALUE"""),"[Nhãn thùng]")</f>
        <v>[Nhãn thùng]</v>
      </c>
      <c r="C4810" s="87" t="str">
        <f>IFERROR(__xludf.DUMMYFUNCTION("""COMPUTED_VALUE"""),"NDT4026")</f>
        <v>NDT4026</v>
      </c>
      <c r="D4810" s="87" t="str">
        <f>IFERROR(__xludf.DUMMYFUNCTION("""COMPUTED_VALUE"""),"[Nhãn thùng] GC - IV - 4026 - PHÚC HƯNG - THẦN CÔNG GOLD 39WP (Bột trắng ngà) - 100gr - 100")</f>
        <v>[Nhãn thùng] GC - IV - 4026 - PHÚC HƯNG - THẦN CÔNG GOLD 39WP (Bột trắng ngà) - 100gr - 100</v>
      </c>
      <c r="E4810" s="87" t="str">
        <f>IFERROR(__xludf.DUMMYFUNCTION("""COMPUTED_VALUE"""),"THẦN CÔNG GOLD 39WP")</f>
        <v>THẦN CÔNG GOLD 39WP</v>
      </c>
      <c r="F4810" s="87" t="str">
        <f>IFERROR(__xludf.DUMMYFUNCTION("""COMPUTED_VALUE"""),"HH4026")</f>
        <v>HH4026</v>
      </c>
      <c r="G4810" s="87" t="str">
        <f>IFERROR(__xludf.DUMMYFUNCTION("""COMPUTED_VALUE"""),"GC - IV - 4026 - PHÚC HƯNG - THẦN CÔNG GOLD 39WP (Bột trắng ngà) - 100gr - 100")</f>
        <v>GC - IV - 4026 - PHÚC HƯNG - THẦN CÔNG GOLD 39WP (Bột trắng ngà) - 100gr - 100</v>
      </c>
    </row>
    <row r="4811">
      <c r="A4811" s="86">
        <f>IFERROR(__xludf.DUMMYFUNCTION("""COMPUTED_VALUE"""),4809.0)</f>
        <v>4809</v>
      </c>
      <c r="B4811" s="87" t="str">
        <f>IFERROR(__xludf.DUMMYFUNCTION("""COMPUTED_VALUE"""),"[Nhãn]")</f>
        <v>[Nhãn]</v>
      </c>
      <c r="C4811" s="87" t="str">
        <f>IFERROR(__xludf.DUMMYFUNCTION("""COMPUTED_VALUE"""),"NHG4028")</f>
        <v>NHG4028</v>
      </c>
      <c r="D4811" s="87" t="str">
        <f>IFERROR(__xludf.DUMMYFUNCTION("""COMPUTED_VALUE"""),"[Nhãn] GC - IV - 4028 - CTY HẢI SƠN USA - THIPRO 550EC (Nước tím) - 240ml - 40")</f>
        <v>[Nhãn] GC - IV - 4028 - CTY HẢI SƠN USA - THIPRO 550EC (Nước tím) - 240ml - 40</v>
      </c>
      <c r="E4811" s="87" t="str">
        <f>IFERROR(__xludf.DUMMYFUNCTION("""COMPUTED_VALUE"""),"Thipro 550EC")</f>
        <v>Thipro 550EC</v>
      </c>
      <c r="F4811" s="87" t="str">
        <f>IFERROR(__xludf.DUMMYFUNCTION("""COMPUTED_VALUE"""),"HH4028")</f>
        <v>HH4028</v>
      </c>
      <c r="G4811" s="87" t="str">
        <f>IFERROR(__xludf.DUMMYFUNCTION("""COMPUTED_VALUE"""),"GC - IV - 4028 - CTY HẢI SƠN USA - THIPRO 550EC (Nước tím) - 240ml - 40")</f>
        <v>GC - IV - 4028 - CTY HẢI SƠN USA - THIPRO 550EC (Nước tím) - 240ml - 40</v>
      </c>
    </row>
    <row r="4812">
      <c r="A4812" s="86">
        <f>IFERROR(__xludf.DUMMYFUNCTION("""COMPUTED_VALUE"""),4810.0)</f>
        <v>4810</v>
      </c>
      <c r="B4812" s="87" t="str">
        <f>IFERROR(__xludf.DUMMYFUNCTION("""COMPUTED_VALUE"""),"[Nhãn]")</f>
        <v>[Nhãn]</v>
      </c>
      <c r="C4812" s="87" t="str">
        <f>IFERROR(__xludf.DUMMYFUNCTION("""COMPUTED_VALUE"""),"NHG4029")</f>
        <v>NHG4029</v>
      </c>
      <c r="D4812" s="87" t="str">
        <f>IFERROR(__xludf.DUMMYFUNCTION("""COMPUTED_VALUE"""),"[Nhãn] GC - IV - 4029 - Cty Hương Nông - Đậu Trái (Nước vàng mật ong) - 500ml - 40")</f>
        <v>[Nhãn] GC - IV - 4029 - Cty Hương Nông - Đậu Trái (Nước vàng mật ong) - 500ml - 40</v>
      </c>
      <c r="E4812" s="87" t="str">
        <f>IFERROR(__xludf.DUMMYFUNCTION("""COMPUTED_VALUE"""),"Vi lượng Run Fast")</f>
        <v>Vi lượng Run Fast</v>
      </c>
      <c r="F4812" s="87" t="str">
        <f>IFERROR(__xludf.DUMMYFUNCTION("""COMPUTED_VALUE"""),"HH4029")</f>
        <v>HH4029</v>
      </c>
      <c r="G4812" s="87" t="str">
        <f>IFERROR(__xludf.DUMMYFUNCTION("""COMPUTED_VALUE"""),"GC - IV - 4029 - Cty Hương Nông - Đậu Trái (Nước vàng mật ong) - 500ml - 40")</f>
        <v>GC - IV - 4029 - Cty Hương Nông - Đậu Trái (Nước vàng mật ong) - 500ml - 40</v>
      </c>
    </row>
    <row r="4813">
      <c r="A4813" s="86">
        <f>IFERROR(__xludf.DUMMYFUNCTION("""COMPUTED_VALUE"""),4811.0)</f>
        <v>4811</v>
      </c>
      <c r="B4813" s="87" t="str">
        <f>IFERROR(__xludf.DUMMYFUNCTION("""COMPUTED_VALUE"""),"[Nhãn]")</f>
        <v>[Nhãn]</v>
      </c>
      <c r="C4813" s="87" t="str">
        <f>IFERROR(__xludf.DUMMYFUNCTION("""COMPUTED_VALUE"""),"NTN4030")</f>
        <v>NTN4030</v>
      </c>
      <c r="D4813" s="87" t="str">
        <f>IFERROR(__xludf.DUMMYFUNCTION("""COMPUTED_VALUE"""),"[Nhãn] GC - IV - 4030 - Cty GNH (A.Thời) - Sâu Đục Thân (bột màu trắng ngà) - 50gr - 200")</f>
        <v>[Nhãn] GC - IV - 4030 - Cty GNH (A.Thời) - Sâu Đục Thân (bột màu trắng ngà) - 50gr - 200</v>
      </c>
      <c r="E4813" s="87" t="str">
        <f>IFERROR(__xludf.DUMMYFUNCTION("""COMPUTED_VALUE"""),"FORVIN 85WP")</f>
        <v>FORVIN 85WP</v>
      </c>
      <c r="F4813" s="87" t="str">
        <f>IFERROR(__xludf.DUMMYFUNCTION("""COMPUTED_VALUE"""),"HH4030")</f>
        <v>HH4030</v>
      </c>
      <c r="G4813" s="87" t="str">
        <f>IFERROR(__xludf.DUMMYFUNCTION("""COMPUTED_VALUE"""),"GC - IV - 4030 - Cty GNH (A.Thời) - Sâu Đục Thân (bột màu trắng ngà) - 50gr - 200")</f>
        <v>GC - IV - 4030 - Cty GNH (A.Thời) - Sâu Đục Thân (bột màu trắng ngà) - 50gr - 200</v>
      </c>
    </row>
    <row r="4814">
      <c r="A4814" s="86">
        <f>IFERROR(__xludf.DUMMYFUNCTION("""COMPUTED_VALUE"""),4812.0)</f>
        <v>4812</v>
      </c>
      <c r="B4814" s="87" t="str">
        <f>IFERROR(__xludf.DUMMYFUNCTION("""COMPUTED_VALUE"""),"[Nhãn thùng]")</f>
        <v>[Nhãn thùng]</v>
      </c>
      <c r="C4814" s="87" t="str">
        <f>IFERROR(__xludf.DUMMYFUNCTION("""COMPUTED_VALUE"""),"NDT4030")</f>
        <v>NDT4030</v>
      </c>
      <c r="D4814" s="87" t="str">
        <f>IFERROR(__xludf.DUMMYFUNCTION("""COMPUTED_VALUE"""),"[Nhãn thùng] GC - IV - 4030 - Cty GNH (A.Thời) - Sâu Đục Thân (bột màu trắng ngà) - 50gr - 200")</f>
        <v>[Nhãn thùng] GC - IV - 4030 - Cty GNH (A.Thời) - Sâu Đục Thân (bột màu trắng ngà) - 50gr - 200</v>
      </c>
      <c r="E4814" s="87" t="str">
        <f>IFERROR(__xludf.DUMMYFUNCTION("""COMPUTED_VALUE"""),"FORVIN 85WP")</f>
        <v>FORVIN 85WP</v>
      </c>
      <c r="F4814" s="87" t="str">
        <f>IFERROR(__xludf.DUMMYFUNCTION("""COMPUTED_VALUE"""),"HH4030")</f>
        <v>HH4030</v>
      </c>
      <c r="G4814" s="87" t="str">
        <f>IFERROR(__xludf.DUMMYFUNCTION("""COMPUTED_VALUE"""),"GC - IV - 4030 - Cty GNH (A.Thời) - Sâu Đục Thân (bột màu trắng ngà) - 50gr - 200")</f>
        <v>GC - IV - 4030 - Cty GNH (A.Thời) - Sâu Đục Thân (bột màu trắng ngà) - 50gr - 200</v>
      </c>
    </row>
    <row r="4815">
      <c r="A4815" s="86">
        <f>IFERROR(__xludf.DUMMYFUNCTION("""COMPUTED_VALUE"""),4813.0)</f>
        <v>4813</v>
      </c>
      <c r="B4815" s="87" t="str">
        <f>IFERROR(__xludf.DUMMYFUNCTION("""COMPUTED_VALUE"""),"[Nhãn]")</f>
        <v>[Nhãn]</v>
      </c>
      <c r="C4815" s="87" t="str">
        <f>IFERROR(__xludf.DUMMYFUNCTION("""COMPUTED_VALUE"""),"NHG4031")</f>
        <v>NHG4031</v>
      </c>
      <c r="D4815" s="87" t="str">
        <f>IFERROR(__xludf.DUMMYFUNCTION("""COMPUTED_VALUE"""),"[Nhãn] GC - II - 4031 - CSSX An Khang (A.Dinh) - MEKONGVIL 5SC (Nước trắng sữa) - 1L - 20")</f>
        <v>[Nhãn] GC - II - 4031 - CSSX An Khang (A.Dinh) - MEKONGVIL 5SC (Nước trắng sữa) - 1L - 20</v>
      </c>
      <c r="E4815" s="87" t="str">
        <f>IFERROR(__xludf.DUMMYFUNCTION("""COMPUTED_VALUE"""),"Mekongvil 5SC")</f>
        <v>Mekongvil 5SC</v>
      </c>
      <c r="F4815" s="87" t="str">
        <f>IFERROR(__xludf.DUMMYFUNCTION("""COMPUTED_VALUE"""),"HH4031")</f>
        <v>HH4031</v>
      </c>
      <c r="G4815" s="87" t="str">
        <f>IFERROR(__xludf.DUMMYFUNCTION("""COMPUTED_VALUE"""),"GC - II - 4031 - CSSX An Khang (A.Dinh) - MEKONGVIL 5SC (Nước trắng sữa) - 1L - 20")</f>
        <v>GC - II - 4031 - CSSX An Khang (A.Dinh) - MEKONGVIL 5SC (Nước trắng sữa) - 1L - 20</v>
      </c>
    </row>
    <row r="4816">
      <c r="A4816" s="86">
        <f>IFERROR(__xludf.DUMMYFUNCTION("""COMPUTED_VALUE"""),4814.0)</f>
        <v>4814</v>
      </c>
      <c r="B4816" s="87" t="str">
        <f>IFERROR(__xludf.DUMMYFUNCTION("""COMPUTED_VALUE"""),"[Nhãn]")</f>
        <v>[Nhãn]</v>
      </c>
      <c r="C4816" s="87" t="str">
        <f>IFERROR(__xludf.DUMMYFUNCTION("""COMPUTED_VALUE"""),"NHG4033")</f>
        <v>NHG4033</v>
      </c>
      <c r="D4816" s="87" t="str">
        <f>IFERROR(__xludf.DUMMYFUNCTION("""COMPUTED_VALUE"""),"[Nhãn] DR.XANH - VIII - 4033 - ROBUST EXTRA (Gel nâu đen) - 250ml - 40")</f>
        <v>[Nhãn] DR.XANH - VIII - 4033 - ROBUST EXTRA (Gel nâu đen) - 250ml - 40</v>
      </c>
      <c r="E4816" s="87" t="str">
        <f>IFERROR(__xludf.DUMMYFUNCTION("""COMPUTED_VALUE"""),"Vi lượng Quantity New")</f>
        <v>Vi lượng Quantity New</v>
      </c>
      <c r="F4816" s="87" t="str">
        <f>IFERROR(__xludf.DUMMYFUNCTION("""COMPUTED_VALUE"""),"HH4033")</f>
        <v>HH4033</v>
      </c>
      <c r="G4816" s="87" t="str">
        <f>IFERROR(__xludf.DUMMYFUNCTION("""COMPUTED_VALUE"""),"DR.XANH - VIII - 4033 - ROBUST EXTRA (Gel nâu đen) - 250ml - 40")</f>
        <v>DR.XANH - VIII - 4033 - ROBUST EXTRA (Gel nâu đen) - 250ml - 40</v>
      </c>
    </row>
    <row r="4817">
      <c r="A4817" s="86">
        <f>IFERROR(__xludf.DUMMYFUNCTION("""COMPUTED_VALUE"""),4815.0)</f>
        <v>4815</v>
      </c>
      <c r="B4817" s="87" t="str">
        <f>IFERROR(__xludf.DUMMYFUNCTION("""COMPUTED_VALUE"""),"[Nhãn]")</f>
        <v>[Nhãn]</v>
      </c>
      <c r="C4817" s="87" t="str">
        <f>IFERROR(__xludf.DUMMYFUNCTION("""COMPUTED_VALUE"""),"NHG4034")</f>
        <v>NHG4034</v>
      </c>
      <c r="D4817" s="87" t="str">
        <f>IFERROR(__xludf.DUMMYFUNCTION("""COMPUTED_VALUE"""),"[Nhãn] DR.XANH - VIII - 4034 - ROBUST EXTRA (Gel nâu đen) - 500ml - 40")</f>
        <v>[Nhãn] DR.XANH - VIII - 4034 - ROBUST EXTRA (Gel nâu đen) - 500ml - 40</v>
      </c>
      <c r="E4817" s="87" t="str">
        <f>IFERROR(__xludf.DUMMYFUNCTION("""COMPUTED_VALUE"""),"Vi lượng Quantity New")</f>
        <v>Vi lượng Quantity New</v>
      </c>
      <c r="F4817" s="87" t="str">
        <f>IFERROR(__xludf.DUMMYFUNCTION("""COMPUTED_VALUE"""),"HH4034")</f>
        <v>HH4034</v>
      </c>
      <c r="G4817" s="87" t="str">
        <f>IFERROR(__xludf.DUMMYFUNCTION("""COMPUTED_VALUE"""),"DR.XANH - VIII - 4034 - ROBUST EXTRA (Gel nâu đen) - 500ml - 40")</f>
        <v>DR.XANH - VIII - 4034 - ROBUST EXTRA (Gel nâu đen) - 500ml - 40</v>
      </c>
    </row>
    <row r="4818">
      <c r="A4818" s="86">
        <f>IFERROR(__xludf.DUMMYFUNCTION("""COMPUTED_VALUE"""),4816.0)</f>
        <v>4816</v>
      </c>
      <c r="B4818" s="87" t="str">
        <f>IFERROR(__xludf.DUMMYFUNCTION("""COMPUTED_VALUE"""),"[Nhãn]")</f>
        <v>[Nhãn]</v>
      </c>
      <c r="C4818" s="87" t="str">
        <f>IFERROR(__xludf.DUMMYFUNCTION("""COMPUTED_VALUE"""),"NHG4036")</f>
        <v>NHG4036</v>
      </c>
      <c r="D4818" s="87" t="str">
        <f>IFERROR(__xludf.DUMMYFUNCTION("""COMPUTED_VALUE"""),"[Nhãn] GC - IV - 4036 - A.Diễn Cty Sen Hồng - ĐẠI BÀNG SH (Nước trắng sữa) - 1L - 20")</f>
        <v>[Nhãn] GC - IV - 4036 - A.Diễn Cty Sen Hồng - ĐẠI BÀNG SH (Nước trắng sữa) - 1L - 20</v>
      </c>
      <c r="E4818" s="87" t="str">
        <f>IFERROR(__xludf.DUMMYFUNCTION("""COMPUTED_VALUE"""),"JAPA VIL 110SC")</f>
        <v>JAPA VIL 110SC</v>
      </c>
      <c r="F4818" s="87" t="str">
        <f>IFERROR(__xludf.DUMMYFUNCTION("""COMPUTED_VALUE"""),"HH4036")</f>
        <v>HH4036</v>
      </c>
      <c r="G4818" s="87" t="str">
        <f>IFERROR(__xludf.DUMMYFUNCTION("""COMPUTED_VALUE"""),"GC - IV - 4036 - A.Diễn Cty Sen Hồng - ĐẠI BÀNG SH (Nước trắng sữa) - 1L - 20")</f>
        <v>GC - IV - 4036 - A.Diễn Cty Sen Hồng - ĐẠI BÀNG SH (Nước trắng sữa) - 1L - 20</v>
      </c>
    </row>
    <row r="4819">
      <c r="A4819" s="86">
        <f>IFERROR(__xludf.DUMMYFUNCTION("""COMPUTED_VALUE"""),4817.0)</f>
        <v>4817</v>
      </c>
      <c r="B4819" s="87" t="str">
        <f>IFERROR(__xludf.DUMMYFUNCTION("""COMPUTED_VALUE"""),"[Nhãn]")</f>
        <v>[Nhãn]</v>
      </c>
      <c r="C4819" s="87" t="str">
        <f>IFERROR(__xludf.DUMMYFUNCTION("""COMPUTED_VALUE"""),"NHG4037")</f>
        <v>NHG4037</v>
      </c>
      <c r="D4819" s="87" t="str">
        <f>IFERROR(__xludf.DUMMYFUNCTION("""COMPUTED_VALUE"""),"[Nhãn] GC - IV - 4037 - Agriplant - Vua Diệt Nhện (Nước trong) - 240ml - 40")</f>
        <v>[Nhãn] GC - IV - 4037 - Agriplant - Vua Diệt Nhện (Nước trong) - 240ml - 40</v>
      </c>
      <c r="E4819" s="87" t="str">
        <f>IFERROR(__xludf.DUMMYFUNCTION("""COMPUTED_VALUE"""),"Chitin 3.6EC")</f>
        <v>Chitin 3.6EC</v>
      </c>
      <c r="F4819" s="87" t="str">
        <f>IFERROR(__xludf.DUMMYFUNCTION("""COMPUTED_VALUE"""),"HH4037")</f>
        <v>HH4037</v>
      </c>
      <c r="G4819" s="87" t="str">
        <f>IFERROR(__xludf.DUMMYFUNCTION("""COMPUTED_VALUE"""),"GC - IV - 4037 - Agriplant - Vua Diệt Nhện (Nước trong) - 240ml - 40")</f>
        <v>GC - IV - 4037 - Agriplant - Vua Diệt Nhện (Nước trong) - 240ml - 40</v>
      </c>
    </row>
    <row r="4820">
      <c r="A4820" s="86">
        <f>IFERROR(__xludf.DUMMYFUNCTION("""COMPUTED_VALUE"""),4818.0)</f>
        <v>4818</v>
      </c>
      <c r="B4820" s="87" t="str">
        <f>IFERROR(__xludf.DUMMYFUNCTION("""COMPUTED_VALUE"""),"[Nhãn]")</f>
        <v>[Nhãn]</v>
      </c>
      <c r="C4820" s="87" t="str">
        <f>IFERROR(__xludf.DUMMYFUNCTION("""COMPUTED_VALUE"""),"NHG4039")</f>
        <v>NHG4039</v>
      </c>
      <c r="D4820" s="87" t="str">
        <f>IFERROR(__xludf.DUMMYFUNCTION("""COMPUTED_VALUE"""),"[Nhãn] GC - IV - 4039 - CTY CROP MAX - CỨNG CÂY (Nước nâu đen) - 500ml - 30")</f>
        <v>[Nhãn] GC - IV - 4039 - CTY CROP MAX - CỨNG CÂY (Nước nâu đen) - 500ml - 30</v>
      </c>
      <c r="E4820" s="87" t="str">
        <f>IFERROR(__xludf.DUMMYFUNCTION("""COMPUTED_VALUE"""),"Vi lượng Quantity New")</f>
        <v>Vi lượng Quantity New</v>
      </c>
      <c r="F4820" s="87" t="str">
        <f>IFERROR(__xludf.DUMMYFUNCTION("""COMPUTED_VALUE"""),"HH4039")</f>
        <v>HH4039</v>
      </c>
      <c r="G4820" s="87" t="str">
        <f>IFERROR(__xludf.DUMMYFUNCTION("""COMPUTED_VALUE"""),"GC - IV - 4039 - CTY CROP MAX - CỨNG CÂY (Nước nâu đen) - 500ml - 30")</f>
        <v>GC - IV - 4039 - CTY CROP MAX - CỨNG CÂY (Nước nâu đen) - 500ml - 30</v>
      </c>
    </row>
    <row r="4821">
      <c r="A4821" s="86">
        <f>IFERROR(__xludf.DUMMYFUNCTION("""COMPUTED_VALUE"""),4819.0)</f>
        <v>4819</v>
      </c>
      <c r="B4821" s="87" t="str">
        <f>IFERROR(__xludf.DUMMYFUNCTION("""COMPUTED_VALUE"""),"[Nhãn thùng]")</f>
        <v>[Nhãn thùng]</v>
      </c>
      <c r="C4821" s="87" t="str">
        <f>IFERROR(__xludf.DUMMYFUNCTION("""COMPUTED_VALUE"""),"NDT4040")</f>
        <v>NDT4040</v>
      </c>
      <c r="D4821" s="87" t="str">
        <f>IFERROR(__xludf.DUMMYFUNCTION("""COMPUTED_VALUE"""),"[Nhãn thùng] GC - IV - 4040 - AGRITECH - AGRI STOP (Nước nâu đen) - 1L - 20")</f>
        <v>[Nhãn thùng] GC - IV - 4040 - AGRITECH - AGRI STOP (Nước nâu đen) - 1L - 20</v>
      </c>
      <c r="E4821" s="87" t="str">
        <f>IFERROR(__xludf.DUMMYFUNCTION("""COMPUTED_VALUE"""),"Vi lượng Quantity New")</f>
        <v>Vi lượng Quantity New</v>
      </c>
      <c r="F4821" s="87" t="str">
        <f>IFERROR(__xludf.DUMMYFUNCTION("""COMPUTED_VALUE"""),"HH4040")</f>
        <v>HH4040</v>
      </c>
      <c r="G4821" s="87" t="str">
        <f>IFERROR(__xludf.DUMMYFUNCTION("""COMPUTED_VALUE"""),"GC - IV - 4040 - AGRITECH - AGRI STOP (Nước nâu đen) - 1L - 20")</f>
        <v>GC - IV - 4040 - AGRITECH - AGRI STOP (Nước nâu đen) - 1L - 20</v>
      </c>
    </row>
    <row r="4822">
      <c r="A4822" s="86">
        <f>IFERROR(__xludf.DUMMYFUNCTION("""COMPUTED_VALUE"""),4820.0)</f>
        <v>4820</v>
      </c>
      <c r="B4822" s="87" t="str">
        <f>IFERROR(__xludf.DUMMYFUNCTION("""COMPUTED_VALUE"""),"[Nhãn]")</f>
        <v>[Nhãn]</v>
      </c>
      <c r="C4822" s="87" t="str">
        <f>IFERROR(__xludf.DUMMYFUNCTION("""COMPUTED_VALUE"""),"NHG4040")</f>
        <v>NHG4040</v>
      </c>
      <c r="D4822" s="87" t="str">
        <f>IFERROR(__xludf.DUMMYFUNCTION("""COMPUTED_VALUE"""),"[Nhãn] GC - IV - 4040 - AGRITECH - AGRI STOP (Nước nâu đen) - 1L - 20")</f>
        <v>[Nhãn] GC - IV - 4040 - AGRITECH - AGRI STOP (Nước nâu đen) - 1L - 20</v>
      </c>
      <c r="E4822" s="87" t="str">
        <f>IFERROR(__xludf.DUMMYFUNCTION("""COMPUTED_VALUE"""),"Vi lượng Quantity New")</f>
        <v>Vi lượng Quantity New</v>
      </c>
      <c r="F4822" s="87" t="str">
        <f>IFERROR(__xludf.DUMMYFUNCTION("""COMPUTED_VALUE"""),"HH4040")</f>
        <v>HH4040</v>
      </c>
      <c r="G4822" s="87" t="str">
        <f>IFERROR(__xludf.DUMMYFUNCTION("""COMPUTED_VALUE"""),"GC - IV - 4040 - AGRITECH - AGRI STOP (Nước nâu đen) - 1L - 20")</f>
        <v>GC - IV - 4040 - AGRITECH - AGRI STOP (Nước nâu đen) - 1L - 20</v>
      </c>
    </row>
    <row r="4823">
      <c r="A4823" s="86">
        <f>IFERROR(__xludf.DUMMYFUNCTION("""COMPUTED_VALUE"""),4821.0)</f>
        <v>4821</v>
      </c>
      <c r="B4823" s="87" t="str">
        <f>IFERROR(__xludf.DUMMYFUNCTION("""COMPUTED_VALUE"""),"[Nhãn]")</f>
        <v>[Nhãn]</v>
      </c>
      <c r="C4823" s="87" t="str">
        <f>IFERROR(__xludf.DUMMYFUNCTION("""COMPUTED_VALUE"""),"NHG4041")</f>
        <v>NHG4041</v>
      </c>
      <c r="D4823" s="87" t="str">
        <f>IFERROR(__xludf.DUMMYFUNCTION("""COMPUTED_VALUE"""),"[Nhãn] LOT IDA Global - I - 4041 - ĐL Nhật Linh - CÁ SẤU CHÚA (nước nâu đen) - 450ml - 40")</f>
        <v>[Nhãn] LOT IDA Global - I - 4041 - ĐL Nhật Linh - CÁ SẤU CHÚA (nước nâu đen) - 450ml - 40</v>
      </c>
      <c r="E4823" s="87" t="str">
        <f>IFERROR(__xludf.DUMMYFUNCTION("""COMPUTED_VALUE"""),"HAIHAMEC 3.6EC")</f>
        <v>HAIHAMEC 3.6EC</v>
      </c>
      <c r="F4823" s="87" t="str">
        <f>IFERROR(__xludf.DUMMYFUNCTION("""COMPUTED_VALUE"""),"HH4041")</f>
        <v>HH4041</v>
      </c>
      <c r="G4823" s="87" t="str">
        <f>IFERROR(__xludf.DUMMYFUNCTION("""COMPUTED_VALUE"""),"LOT IDA Global - I - 4041 - ĐL Nhật Linh - CÁ SẤU CHÚA (nước nâu đen) - 450ml - 40")</f>
        <v>LOT IDA Global - I - 4041 - ĐL Nhật Linh - CÁ SẤU CHÚA (nước nâu đen) - 450ml - 40</v>
      </c>
    </row>
    <row r="4824">
      <c r="A4824" s="86">
        <f>IFERROR(__xludf.DUMMYFUNCTION("""COMPUTED_VALUE"""),4822.0)</f>
        <v>4822</v>
      </c>
      <c r="B4824" s="87" t="str">
        <f>IFERROR(__xludf.DUMMYFUNCTION("""COMPUTED_VALUE"""),"[Nhãn]")</f>
        <v>[Nhãn]</v>
      </c>
      <c r="C4824" s="87" t="str">
        <f>IFERROR(__xludf.DUMMYFUNCTION("""COMPUTED_VALUE"""),"NHG4042")</f>
        <v>NHG4042</v>
      </c>
      <c r="D4824" s="87" t="str">
        <f>IFERROR(__xludf.DUMMYFUNCTION("""COMPUTED_VALUE"""),"[Nhãn]  IDA Global - I - 4042 - CITTIZEN 333 (Nước cam sữa) - 450ml - 40")</f>
        <v>[Nhãn]  IDA Global - I - 4042 - CITTIZEN 333 (Nước cam sữa) - 450ml - 40</v>
      </c>
      <c r="E4824" s="87" t="str">
        <f>IFERROR(__xludf.DUMMYFUNCTION("""COMPUTED_VALUE"""),"CITTIZEN 333SC")</f>
        <v>CITTIZEN 333SC</v>
      </c>
      <c r="F4824" s="87" t="str">
        <f>IFERROR(__xludf.DUMMYFUNCTION("""COMPUTED_VALUE"""),"HH4042")</f>
        <v>HH4042</v>
      </c>
      <c r="G4824" s="87" t="str">
        <f>IFERROR(__xludf.DUMMYFUNCTION("""COMPUTED_VALUE"""),"IDA Global - I - 4042 - CITTIZEN 333 (Nước cam sữa) - 450ml - 40")</f>
        <v>IDA Global - I - 4042 - CITTIZEN 333 (Nước cam sữa) - 450ml - 40</v>
      </c>
    </row>
    <row r="4825">
      <c r="A4825" s="86">
        <f>IFERROR(__xludf.DUMMYFUNCTION("""COMPUTED_VALUE"""),4823.0)</f>
        <v>4823</v>
      </c>
      <c r="B4825" s="87" t="str">
        <f>IFERROR(__xludf.DUMMYFUNCTION("""COMPUTED_VALUE"""),"[Nhãn]")</f>
        <v>[Nhãn]</v>
      </c>
      <c r="C4825" s="87" t="str">
        <f>IFERROR(__xludf.DUMMYFUNCTION("""COMPUTED_VALUE"""),"NHG4043")</f>
        <v>NHG4043</v>
      </c>
      <c r="D4825" s="87" t="str">
        <f>IFERROR(__xludf.DUMMYFUNCTION("""COMPUTED_VALUE"""),"[Nhãn] DR.XANH - VIII - 4043 - DR.HUCO (Nước nâu đen) - 1L - 20")</f>
        <v>[Nhãn] DR.XANH - VIII - 4043 - DR.HUCO (Nước nâu đen) - 1L - 20</v>
      </c>
      <c r="E4825" s="87" t="str">
        <f>IFERROR(__xludf.DUMMYFUNCTION("""COMPUTED_VALUE"""),"Hữu cơ Organic BM Gold  FW")</f>
        <v>Hữu cơ Organic BM Gold  FW</v>
      </c>
      <c r="F4825" s="87" t="str">
        <f>IFERROR(__xludf.DUMMYFUNCTION("""COMPUTED_VALUE"""),"HH4043")</f>
        <v>HH4043</v>
      </c>
      <c r="G4825" s="87" t="str">
        <f>IFERROR(__xludf.DUMMYFUNCTION("""COMPUTED_VALUE"""),"DR.XANH - VIII - 4043 - DR.HUCO (Nước nâu đen) - 1L - 20")</f>
        <v>DR.XANH - VIII - 4043 - DR.HUCO (Nước nâu đen) - 1L - 20</v>
      </c>
    </row>
    <row r="4826">
      <c r="A4826" s="86">
        <f>IFERROR(__xludf.DUMMYFUNCTION("""COMPUTED_VALUE"""),4824.0)</f>
        <v>4824</v>
      </c>
      <c r="B4826" s="87" t="str">
        <f>IFERROR(__xludf.DUMMYFUNCTION("""COMPUTED_VALUE"""),"[Nhãn]")</f>
        <v>[Nhãn]</v>
      </c>
      <c r="C4826" s="87" t="str">
        <f>IFERROR(__xludf.DUMMYFUNCTION("""COMPUTED_VALUE"""),"NHG4044")</f>
        <v>NHG4044</v>
      </c>
      <c r="D4826" s="87" t="str">
        <f>IFERROR(__xludf.DUMMYFUNCTION("""COMPUTED_VALUE"""),"[Nhãn] GC - IV - 4044 - Cty Sen Hồng - ROOT+ (Gel xanh dương) - 500ml - 40")</f>
        <v>[Nhãn] GC - IV - 4044 - Cty Sen Hồng - ROOT+ (Gel xanh dương) - 500ml - 40</v>
      </c>
      <c r="E4826" s="87" t="str">
        <f>IFERROR(__xludf.DUMMYFUNCTION("""COMPUTED_VALUE"""),"Vi lượng AGAMA-SUPPORT")</f>
        <v>Vi lượng AGAMA-SUPPORT</v>
      </c>
      <c r="F4826" s="87" t="str">
        <f>IFERROR(__xludf.DUMMYFUNCTION("""COMPUTED_VALUE"""),"HH4044")</f>
        <v>HH4044</v>
      </c>
      <c r="G4826" s="87" t="str">
        <f>IFERROR(__xludf.DUMMYFUNCTION("""COMPUTED_VALUE"""),"GC - IV - 4044 - Cty Sen Hồng - ROOT+ (Gel xanh dương) - 500ml - 40")</f>
        <v>GC - IV - 4044 - Cty Sen Hồng - ROOT+ (Gel xanh dương) - 500ml - 40</v>
      </c>
    </row>
    <row r="4827">
      <c r="A4827" s="86">
        <f>IFERROR(__xludf.DUMMYFUNCTION("""COMPUTED_VALUE"""),4825.0)</f>
        <v>4825</v>
      </c>
      <c r="B4827" s="87" t="str">
        <f>IFERROR(__xludf.DUMMYFUNCTION("""COMPUTED_VALUE"""),"[Nhãn]")</f>
        <v>[Nhãn]</v>
      </c>
      <c r="C4827" s="87" t="str">
        <f>IFERROR(__xludf.DUMMYFUNCTION("""COMPUTED_VALUE"""),"NTN4045")</f>
        <v>NTN4045</v>
      </c>
      <c r="D4827" s="87" t="str">
        <f>IFERROR(__xludf.DUMMYFUNCTION("""COMPUTED_VALUE"""),"[Nhãn]  IDA Global - I - 4045 - METALAXYL - 100gr - 100")</f>
        <v>[Nhãn]  IDA Global - I - 4045 - METALAXYL - 100gr - 100</v>
      </c>
      <c r="E4827" s="87" t="str">
        <f>IFERROR(__xludf.DUMMYFUNCTION("""COMPUTED_VALUE"""),"Acodyl 35WP")</f>
        <v>Acodyl 35WP</v>
      </c>
      <c r="F4827" s="87" t="str">
        <f>IFERROR(__xludf.DUMMYFUNCTION("""COMPUTED_VALUE"""),"HH4045")</f>
        <v>HH4045</v>
      </c>
      <c r="G4827" s="87" t="str">
        <f>IFERROR(__xludf.DUMMYFUNCTION("""COMPUTED_VALUE"""),"IDA Global - I - 4045 - METALAXYL - 100gr - 100")</f>
        <v>IDA Global - I - 4045 - METALAXYL - 100gr - 100</v>
      </c>
    </row>
    <row r="4828">
      <c r="A4828" s="86">
        <f>IFERROR(__xludf.DUMMYFUNCTION("""COMPUTED_VALUE"""),4826.0)</f>
        <v>4826</v>
      </c>
      <c r="B4828" s="87" t="str">
        <f>IFERROR(__xludf.DUMMYFUNCTION("""COMPUTED_VALUE"""),"[Nhãn thùng]")</f>
        <v>[Nhãn thùng]</v>
      </c>
      <c r="C4828" s="87" t="str">
        <f>IFERROR(__xludf.DUMMYFUNCTION("""COMPUTED_VALUE"""),"NDT4045")</f>
        <v>NDT4045</v>
      </c>
      <c r="D4828" s="87" t="str">
        <f>IFERROR(__xludf.DUMMYFUNCTION("""COMPUTED_VALUE"""),"[Nhãn thùng]  IDA Global - I - 4045 - METALAXYL - 100gr - 100")</f>
        <v>[Nhãn thùng]  IDA Global - I - 4045 - METALAXYL - 100gr - 100</v>
      </c>
      <c r="E4828" s="87" t="str">
        <f>IFERROR(__xludf.DUMMYFUNCTION("""COMPUTED_VALUE"""),"Acodyl 35WP")</f>
        <v>Acodyl 35WP</v>
      </c>
      <c r="F4828" s="87" t="str">
        <f>IFERROR(__xludf.DUMMYFUNCTION("""COMPUTED_VALUE"""),"HH4045")</f>
        <v>HH4045</v>
      </c>
      <c r="G4828" s="87" t="str">
        <f>IFERROR(__xludf.DUMMYFUNCTION("""COMPUTED_VALUE"""),"IDA Global - I - 4045 - METALAXYL - 100gr - 100")</f>
        <v>IDA Global - I - 4045 - METALAXYL - 100gr - 100</v>
      </c>
    </row>
    <row r="4829">
      <c r="A4829" s="86">
        <f>IFERROR(__xludf.DUMMYFUNCTION("""COMPUTED_VALUE"""),4827.0)</f>
        <v>4827</v>
      </c>
      <c r="B4829" s="87" t="str">
        <f>IFERROR(__xludf.DUMMYFUNCTION("""COMPUTED_VALUE"""),"[Nhãn]")</f>
        <v>[Nhãn]</v>
      </c>
      <c r="C4829" s="87" t="str">
        <f>IFERROR(__xludf.DUMMYFUNCTION("""COMPUTED_VALUE"""),"NHD4046")</f>
        <v>NHD4046</v>
      </c>
      <c r="D4829" s="87" t="str">
        <f>IFERROR(__xludf.DUMMYFUNCTION("""COMPUTED_VALUE"""),"[Nhãn] GC - II - 4046 - AN KHANG - SIÊU DIỆT RẦY (Nước vàng trà) - 450ml - 40")</f>
        <v>[Nhãn] GC - II - 4046 - AN KHANG - SIÊU DIỆT RẦY (Nước vàng trà) - 450ml - 40</v>
      </c>
      <c r="E4829" s="87" t="str">
        <f>IFERROR(__xludf.DUMMYFUNCTION("""COMPUTED_VALUE"""),"Thipro 550EC")</f>
        <v>Thipro 550EC</v>
      </c>
      <c r="F4829" s="87" t="str">
        <f>IFERROR(__xludf.DUMMYFUNCTION("""COMPUTED_VALUE"""),"HH4046")</f>
        <v>HH4046</v>
      </c>
      <c r="G4829" s="87" t="str">
        <f>IFERROR(__xludf.DUMMYFUNCTION("""COMPUTED_VALUE"""),"GC - II - 4046 - AN KHANG - SIÊU DIỆT RẦY (Nước vàng trà) - 450ml - 40")</f>
        <v>GC - II - 4046 - AN KHANG - SIÊU DIỆT RẦY (Nước vàng trà) - 450ml - 40</v>
      </c>
    </row>
    <row r="4830">
      <c r="A4830" s="86">
        <f>IFERROR(__xludf.DUMMYFUNCTION("""COMPUTED_VALUE"""),4828.0)</f>
        <v>4828</v>
      </c>
      <c r="B4830" s="87" t="str">
        <f>IFERROR(__xludf.DUMMYFUNCTION("""COMPUTED_VALUE"""),"[Nhãn thùng]")</f>
        <v>[Nhãn thùng]</v>
      </c>
      <c r="C4830" s="87" t="str">
        <f>IFERROR(__xludf.DUMMYFUNCTION("""COMPUTED_VALUE"""),"NDT4046")</f>
        <v>NDT4046</v>
      </c>
      <c r="D4830" s="87" t="str">
        <f>IFERROR(__xludf.DUMMYFUNCTION("""COMPUTED_VALUE"""),"[Nhãn thùng] GC - II - 4046 - AN KHANG - SIÊU DIỆT RẦY (Nước vàng trà) - 450ml - 40")</f>
        <v>[Nhãn thùng] GC - II - 4046 - AN KHANG - SIÊU DIỆT RẦY (Nước vàng trà) - 450ml - 40</v>
      </c>
      <c r="E4830" s="87" t="str">
        <f>IFERROR(__xludf.DUMMYFUNCTION("""COMPUTED_VALUE"""),"Thipro 550EC")</f>
        <v>Thipro 550EC</v>
      </c>
      <c r="F4830" s="87" t="str">
        <f>IFERROR(__xludf.DUMMYFUNCTION("""COMPUTED_VALUE"""),"HH4046")</f>
        <v>HH4046</v>
      </c>
      <c r="G4830" s="87" t="str">
        <f>IFERROR(__xludf.DUMMYFUNCTION("""COMPUTED_VALUE"""),"GC - II - 4046 - AN KHANG - SIÊU DIỆT RẦY (Nước vàng trà) - 450ml - 40")</f>
        <v>GC - II - 4046 - AN KHANG - SIÊU DIỆT RẦY (Nước vàng trà) - 450ml - 40</v>
      </c>
    </row>
    <row r="4831">
      <c r="A4831" s="86">
        <f>IFERROR(__xludf.DUMMYFUNCTION("""COMPUTED_VALUE"""),4829.0)</f>
        <v>4829</v>
      </c>
      <c r="B4831" s="87" t="str">
        <f>IFERROR(__xludf.DUMMYFUNCTION("""COMPUTED_VALUE"""),"[Nhãn]")</f>
        <v>[Nhãn]</v>
      </c>
      <c r="C4831" s="87" t="str">
        <f>IFERROR(__xludf.DUMMYFUNCTION("""COMPUTED_VALUE"""),"NTN4048")</f>
        <v>NTN4048</v>
      </c>
      <c r="D4831" s="87" t="str">
        <f>IFERROR(__xludf.DUMMYFUNCTION("""COMPUTED_VALUE"""),"[Nhãn] GC - IV - 4048 - CTY SEN HỒNG - PIM.PIM 75WP (Bột cam) - 100gr - 100")</f>
        <v>[Nhãn] GC - IV - 4048 - CTY SEN HỒNG - PIM.PIM 75WP (Bột cam) - 100gr - 100</v>
      </c>
      <c r="E4831" s="87" t="str">
        <f>IFERROR(__xludf.DUMMYFUNCTION("""COMPUTED_VALUE"""),"Pim.Pim 75WP")</f>
        <v>Pim.Pim 75WP</v>
      </c>
      <c r="F4831" s="87" t="str">
        <f>IFERROR(__xludf.DUMMYFUNCTION("""COMPUTED_VALUE"""),"HH4048")</f>
        <v>HH4048</v>
      </c>
      <c r="G4831" s="87" t="str">
        <f>IFERROR(__xludf.DUMMYFUNCTION("""COMPUTED_VALUE"""),"GC - IV - 4048 - CTY SEN HỒNG - PIM.PIM 75WP (Bột cam) - 100gr - 100")</f>
        <v>GC - IV - 4048 - CTY SEN HỒNG - PIM.PIM 75WP (Bột cam) - 100gr - 100</v>
      </c>
    </row>
    <row r="4832">
      <c r="A4832" s="86">
        <f>IFERROR(__xludf.DUMMYFUNCTION("""COMPUTED_VALUE"""),4830.0)</f>
        <v>4830</v>
      </c>
      <c r="B4832" s="87" t="str">
        <f>IFERROR(__xludf.DUMMYFUNCTION("""COMPUTED_VALUE"""),"[Nhãn]")</f>
        <v>[Nhãn]</v>
      </c>
      <c r="C4832" s="87" t="str">
        <f>IFERROR(__xludf.DUMMYFUNCTION("""COMPUTED_VALUE"""),"NHG4049")</f>
        <v>NHG4049</v>
      </c>
      <c r="D4832" s="87" t="str">
        <f>IFERROR(__xludf.DUMMYFUNCTION("""COMPUTED_VALUE"""),"[Nhãn] GC - IV - 4049 - WINDY ALS - CALCIBOZIN (Dạng SC - Trắng sữa) - 500ml - 40")</f>
        <v>[Nhãn] GC - IV - 4049 - WINDY ALS - CALCIBOZIN (Dạng SC - Trắng sữa) - 500ml - 40</v>
      </c>
      <c r="E4832" s="87" t="str">
        <f>IFERROR(__xludf.DUMMYFUNCTION("""COMPUTED_VALUE"""),"Vi lượng AGAMA-CANXI BO")</f>
        <v>Vi lượng AGAMA-CANXI BO</v>
      </c>
      <c r="F4832" s="87" t="str">
        <f>IFERROR(__xludf.DUMMYFUNCTION("""COMPUTED_VALUE"""),"HH4049")</f>
        <v>HH4049</v>
      </c>
      <c r="G4832" s="87" t="str">
        <f>IFERROR(__xludf.DUMMYFUNCTION("""COMPUTED_VALUE"""),"GC - IV - 4049 - WINDY ALS - CALCIBOZIN (Dạng SC - Trắng sữa) - 500ml - 40")</f>
        <v>GC - IV - 4049 - WINDY ALS - CALCIBOZIN (Dạng SC - Trắng sữa) - 500ml - 40</v>
      </c>
    </row>
    <row r="4833">
      <c r="A4833" s="86">
        <f>IFERROR(__xludf.DUMMYFUNCTION("""COMPUTED_VALUE"""),4831.0)</f>
        <v>4831</v>
      </c>
      <c r="B4833" s="87" t="str">
        <f>IFERROR(__xludf.DUMMYFUNCTION("""COMPUTED_VALUE"""),"[Nhãn]")</f>
        <v>[Nhãn]</v>
      </c>
      <c r="C4833" s="87" t="str">
        <f>IFERROR(__xludf.DUMMYFUNCTION("""COMPUTED_VALUE"""),"NHG4050")</f>
        <v>NHG4050</v>
      </c>
      <c r="D4833" s="87" t="str">
        <f>IFERROR(__xludf.DUMMYFUNCTION("""COMPUTED_VALUE"""),"[Nhãn] GC - IV - 4050 - WINDY ALS - ZINC-MAGIE (Dạng SC - Xanh lá) - 450ml - 40")</f>
        <v>[Nhãn] GC - IV - 4050 - WINDY ALS - ZINC-MAGIE (Dạng SC - Xanh lá) - 450ml - 40</v>
      </c>
      <c r="E4833" s="87" t="str">
        <f>IFERROR(__xludf.DUMMYFUNCTION("""COMPUTED_VALUE"""),"vi lượng Phú Sĩ FJ-09 Kẽm Mg")</f>
        <v>vi lượng Phú Sĩ FJ-09 Kẽm Mg</v>
      </c>
      <c r="F4833" s="87" t="str">
        <f>IFERROR(__xludf.DUMMYFUNCTION("""COMPUTED_VALUE"""),"HH4050")</f>
        <v>HH4050</v>
      </c>
      <c r="G4833" s="87" t="str">
        <f>IFERROR(__xludf.DUMMYFUNCTION("""COMPUTED_VALUE"""),"GC - IV - 4050 - WINDY ALS - ZINC-MAGIE (Dạng SC - Xanh lá) - 450ml - 40")</f>
        <v>GC - IV - 4050 - WINDY ALS - ZINC-MAGIE (Dạng SC - Xanh lá) - 450ml - 40</v>
      </c>
    </row>
    <row r="4834">
      <c r="A4834" s="86">
        <f>IFERROR(__xludf.DUMMYFUNCTION("""COMPUTED_VALUE"""),4832.0)</f>
        <v>4832</v>
      </c>
      <c r="B4834" s="87" t="str">
        <f>IFERROR(__xludf.DUMMYFUNCTION("""COMPUTED_VALUE"""),"[Nhãn]")</f>
        <v>[Nhãn]</v>
      </c>
      <c r="C4834" s="87" t="str">
        <f>IFERROR(__xludf.DUMMYFUNCTION("""COMPUTED_VALUE"""),"NTN4051")</f>
        <v>NTN4051</v>
      </c>
      <c r="D4834" s="87" t="str">
        <f>IFERROR(__xludf.DUMMYFUNCTION("""COMPUTED_VALUE"""),"[Nhãn] GC - IV - 4051 - Cty Newtex - DRAGON REX (Bột trắng ngà) - 50gr - 200")</f>
        <v>[Nhãn] GC - IV - 4051 - Cty Newtex - DRAGON REX (Bột trắng ngà) - 50gr - 200</v>
      </c>
      <c r="E4834" s="87" t="str">
        <f>IFERROR(__xludf.DUMMYFUNCTION("""COMPUTED_VALUE"""),"MAKEGREEN 55WG")</f>
        <v>MAKEGREEN 55WG</v>
      </c>
      <c r="F4834" s="87" t="str">
        <f>IFERROR(__xludf.DUMMYFUNCTION("""COMPUTED_VALUE"""),"HH4051")</f>
        <v>HH4051</v>
      </c>
      <c r="G4834" s="87" t="str">
        <f>IFERROR(__xludf.DUMMYFUNCTION("""COMPUTED_VALUE"""),"GC - IV - 4051 - Cty Newtex - DRAGON REX (Bột trắng ngà) - 50gr - 200")</f>
        <v>GC - IV - 4051 - Cty Newtex - DRAGON REX (Bột trắng ngà) - 50gr - 200</v>
      </c>
    </row>
    <row r="4835">
      <c r="A4835" s="86">
        <f>IFERROR(__xludf.DUMMYFUNCTION("""COMPUTED_VALUE"""),4833.0)</f>
        <v>4833</v>
      </c>
      <c r="B4835" s="87" t="str">
        <f>IFERROR(__xludf.DUMMYFUNCTION("""COMPUTED_VALUE"""),"[Nhãn thùng]")</f>
        <v>[Nhãn thùng]</v>
      </c>
      <c r="C4835" s="87" t="str">
        <f>IFERROR(__xludf.DUMMYFUNCTION("""COMPUTED_VALUE"""),"NDT4051")</f>
        <v>NDT4051</v>
      </c>
      <c r="D4835" s="87" t="str">
        <f>IFERROR(__xludf.DUMMYFUNCTION("""COMPUTED_VALUE"""),"[Nhãn thùng] GC - IV - 4051 - Cty Newtex - DRAGON REX (Bột trắng ngà) - 50gr - 200")</f>
        <v>[Nhãn thùng] GC - IV - 4051 - Cty Newtex - DRAGON REX (Bột trắng ngà) - 50gr - 200</v>
      </c>
      <c r="E4835" s="87" t="str">
        <f>IFERROR(__xludf.DUMMYFUNCTION("""COMPUTED_VALUE"""),"MAKEGREEN 55WG")</f>
        <v>MAKEGREEN 55WG</v>
      </c>
      <c r="F4835" s="87" t="str">
        <f>IFERROR(__xludf.DUMMYFUNCTION("""COMPUTED_VALUE"""),"HH4051")</f>
        <v>HH4051</v>
      </c>
      <c r="G4835" s="87" t="str">
        <f>IFERROR(__xludf.DUMMYFUNCTION("""COMPUTED_VALUE"""),"GC - IV - 4051 - Cty Newtex - DRAGON REX (Bột trắng ngà) - 50gr - 200")</f>
        <v>GC - IV - 4051 - Cty Newtex - DRAGON REX (Bột trắng ngà) - 50gr - 200</v>
      </c>
    </row>
    <row r="4836">
      <c r="A4836" s="86">
        <f>IFERROR(__xludf.DUMMYFUNCTION("""COMPUTED_VALUE"""),4834.0)</f>
        <v>4834</v>
      </c>
      <c r="B4836" s="87" t="str">
        <f>IFERROR(__xludf.DUMMYFUNCTION("""COMPUTED_VALUE"""),"[Nhãn]")</f>
        <v>[Nhãn]</v>
      </c>
      <c r="C4836" s="87" t="str">
        <f>IFERROR(__xludf.DUMMYFUNCTION("""COMPUTED_VALUE"""),"NHG4052")</f>
        <v>NHG4052</v>
      </c>
      <c r="D4836" s="87" t="str">
        <f>IFERROR(__xludf.DUMMYFUNCTION("""COMPUTED_VALUE"""),"[Nhãn] GC - IV - 4052 - AGRITECH - NUTI ROOTS 02 (Nước nâu đen) - 1L - 20")</f>
        <v>[Nhãn] GC - IV - 4052 - AGRITECH - NUTI ROOTS 02 (Nước nâu đen) - 1L - 20</v>
      </c>
      <c r="E4836" s="87" t="str">
        <f>IFERROR(__xludf.DUMMYFUNCTION("""COMPUTED_VALUE"""),"Hỗn Hợp NP AGAMA-AP")</f>
        <v>Hỗn Hợp NP AGAMA-AP</v>
      </c>
      <c r="F4836" s="87" t="str">
        <f>IFERROR(__xludf.DUMMYFUNCTION("""COMPUTED_VALUE"""),"HH4052")</f>
        <v>HH4052</v>
      </c>
      <c r="G4836" s="87" t="str">
        <f>IFERROR(__xludf.DUMMYFUNCTION("""COMPUTED_VALUE"""),"GC - IV - 4052 - AGRITECH - NUTI ROOTS 02 (Nước nâu đen) - 1L - 20")</f>
        <v>GC - IV - 4052 - AGRITECH - NUTI ROOTS 02 (Nước nâu đen) - 1L - 20</v>
      </c>
    </row>
    <row r="4837">
      <c r="A4837" s="86">
        <f>IFERROR(__xludf.DUMMYFUNCTION("""COMPUTED_VALUE"""),4835.0)</f>
        <v>4835</v>
      </c>
      <c r="B4837" s="87" t="str">
        <f>IFERROR(__xludf.DUMMYFUNCTION("""COMPUTED_VALUE"""),"[Nhãn]")</f>
        <v>[Nhãn]</v>
      </c>
      <c r="C4837" s="87" t="str">
        <f>IFERROR(__xludf.DUMMYFUNCTION("""COMPUTED_VALUE"""),"NHD4053")</f>
        <v>NHD4053</v>
      </c>
      <c r="D4837" s="87" t="str">
        <f>IFERROR(__xludf.DUMMYFUNCTION("""COMPUTED_VALUE"""),"[Nhãn]  GC - IV - 4053 - NHP GROUP - BÒ CẠP (Nước đỏ) - 450ml - 40")</f>
        <v>[Nhãn]  GC - IV - 4053 - NHP GROUP - BÒ CẠP (Nước đỏ) - 450ml - 40</v>
      </c>
      <c r="E4837" s="87" t="str">
        <f>IFERROR(__xludf.DUMMYFUNCTION("""COMPUTED_VALUE"""),"Creek 2.1EC")</f>
        <v>Creek 2.1EC</v>
      </c>
      <c r="F4837" s="87" t="str">
        <f>IFERROR(__xludf.DUMMYFUNCTION("""COMPUTED_VALUE"""),"HH4053")</f>
        <v>HH4053</v>
      </c>
      <c r="G4837" s="87" t="str">
        <f>IFERROR(__xludf.DUMMYFUNCTION("""COMPUTED_VALUE"""),"GC - IV - 4053 - NHP GROUP - BÒ CẠP (Nước đỏ) - 450ml - 40")</f>
        <v>GC - IV - 4053 - NHP GROUP - BÒ CẠP (Nước đỏ) - 450ml - 40</v>
      </c>
    </row>
    <row r="4838">
      <c r="A4838" s="86">
        <f>IFERROR(__xludf.DUMMYFUNCTION("""COMPUTED_VALUE"""),4836.0)</f>
        <v>4836</v>
      </c>
      <c r="B4838" s="87" t="str">
        <f>IFERROR(__xludf.DUMMYFUNCTION("""COMPUTED_VALUE"""),"[Nhãn]")</f>
        <v>[Nhãn]</v>
      </c>
      <c r="C4838" s="87" t="str">
        <f>IFERROR(__xludf.DUMMYFUNCTION("""COMPUTED_VALUE"""),"NTN4054")</f>
        <v>NTN4054</v>
      </c>
      <c r="D4838" s="87" t="str">
        <f>IFERROR(__xludf.DUMMYFUNCTION("""COMPUTED_VALUE"""),"[Nhãn] GC - IV - 4054 - CTY HIỆP PHÁT ABC - HP-03 (Bột trắng) - 100gr - 100")</f>
        <v>[Nhãn] GC - IV - 4054 - CTY HIỆP PHÁT ABC - HP-03 (Bột trắng) - 100gr - 100</v>
      </c>
      <c r="E4838" s="87" t="str">
        <f>IFERROR(__xludf.DUMMYFUNCTION("""COMPUTED_VALUE"""),"Vi lượng AGAMA-BATFUNG")</f>
        <v>Vi lượng AGAMA-BATFUNG</v>
      </c>
      <c r="F4838" s="87" t="str">
        <f>IFERROR(__xludf.DUMMYFUNCTION("""COMPUTED_VALUE"""),"HH4054")</f>
        <v>HH4054</v>
      </c>
      <c r="G4838" s="87" t="str">
        <f>IFERROR(__xludf.DUMMYFUNCTION("""COMPUTED_VALUE"""),"GC - IV - 4054 - CTY HIỆP PHÁT ABC - HP-03 (Bột trắng) - 100gr - 100")</f>
        <v>GC - IV - 4054 - CTY HIỆP PHÁT ABC - HP-03 (Bột trắng) - 100gr - 100</v>
      </c>
    </row>
    <row r="4839">
      <c r="A4839" s="86">
        <f>IFERROR(__xludf.DUMMYFUNCTION("""COMPUTED_VALUE"""),4837.0)</f>
        <v>4837</v>
      </c>
      <c r="B4839" s="87" t="str">
        <f>IFERROR(__xludf.DUMMYFUNCTION("""COMPUTED_VALUE"""),"[Nhãn]")</f>
        <v>[Nhãn]</v>
      </c>
      <c r="C4839" s="87" t="str">
        <f>IFERROR(__xludf.DUMMYFUNCTION("""COMPUTED_VALUE"""),"NHG4055")</f>
        <v>NHG4055</v>
      </c>
      <c r="D4839" s="87" t="str">
        <f>IFERROR(__xludf.DUMMYFUNCTION("""COMPUTED_VALUE"""),"[Nhãn] IDA Global - I - 4055 - ĐL BẢO HÂN - PICOSUPER 280SC (Nước xanh dương) - 100ml - 100")</f>
        <v>[Nhãn] IDA Global - I - 4055 - ĐL BẢO HÂN - PICOSUPER 280SC (Nước xanh dương) - 100ml - 100</v>
      </c>
      <c r="E4839" s="87" t="str">
        <f>IFERROR(__xludf.DUMMYFUNCTION("""COMPUTED_VALUE"""),"PICOSUPER 280SC")</f>
        <v>PICOSUPER 280SC</v>
      </c>
      <c r="F4839" s="87" t="str">
        <f>IFERROR(__xludf.DUMMYFUNCTION("""COMPUTED_VALUE"""),"HH4055")</f>
        <v>HH4055</v>
      </c>
      <c r="G4839" s="87" t="str">
        <f>IFERROR(__xludf.DUMMYFUNCTION("""COMPUTED_VALUE"""),"IDA Global - I - 4055 - ĐL BẢO HÂN - PICOSUPER 280SC (Nước xanh dương) - 100ml - 100")</f>
        <v>IDA Global - I - 4055 - ĐL BẢO HÂN - PICOSUPER 280SC (Nước xanh dương) - 100ml - 100</v>
      </c>
    </row>
    <row r="4840">
      <c r="A4840" s="86">
        <f>IFERROR(__xludf.DUMMYFUNCTION("""COMPUTED_VALUE"""),4838.0)</f>
        <v>4838</v>
      </c>
      <c r="B4840" s="87" t="str">
        <f>IFERROR(__xludf.DUMMYFUNCTION("""COMPUTED_VALUE"""),"[Nhãn]")</f>
        <v>[Nhãn]</v>
      </c>
      <c r="C4840" s="87" t="str">
        <f>IFERROR(__xludf.DUMMYFUNCTION("""COMPUTED_VALUE"""),"NHG4059")</f>
        <v>NHG4059</v>
      </c>
      <c r="D4840" s="87" t="str">
        <f>IFERROR(__xludf.DUMMYFUNCTION("""COMPUTED_VALUE"""),"[Nhãn] GC - IV - 4059  - Cty Tiến Vinh - PHÁP SƯ LỬA (Nước tím - V6) - 900ml - 20")</f>
        <v>[Nhãn] GC - IV - 4059  - Cty Tiến Vinh - PHÁP SƯ LỬA (Nước tím - V6) - 900ml - 20</v>
      </c>
      <c r="E4840" s="87" t="str">
        <f>IFERROR(__xludf.DUMMYFUNCTION("""COMPUTED_VALUE"""),"GLUFOCIDE 200SL")</f>
        <v>GLUFOCIDE 200SL</v>
      </c>
      <c r="F4840" s="87" t="str">
        <f>IFERROR(__xludf.DUMMYFUNCTION("""COMPUTED_VALUE"""),"HH4059")</f>
        <v>HH4059</v>
      </c>
      <c r="G4840" s="87" t="str">
        <f>IFERROR(__xludf.DUMMYFUNCTION("""COMPUTED_VALUE"""),"GC - IV - 4059  - Cty Tiến Vinh - PHÁP SƯ LỬA (Nước tím - V6) - 900ml - 20")</f>
        <v>GC - IV - 4059  - Cty Tiến Vinh - PHÁP SƯ LỬA (Nước tím - V6) - 900ml - 20</v>
      </c>
    </row>
    <row r="4841">
      <c r="A4841" s="86">
        <f>IFERROR(__xludf.DUMMYFUNCTION("""COMPUTED_VALUE"""),4839.0)</f>
        <v>4839</v>
      </c>
      <c r="B4841" s="87" t="str">
        <f>IFERROR(__xludf.DUMMYFUNCTION("""COMPUTED_VALUE"""),"[Nhãn]")</f>
        <v>[Nhãn]</v>
      </c>
      <c r="C4841" s="87" t="str">
        <f>IFERROR(__xludf.DUMMYFUNCTION("""COMPUTED_VALUE"""),"NHG4061")</f>
        <v>NHG4061</v>
      </c>
      <c r="D4841" s="87" t="str">
        <f>IFERROR(__xludf.DUMMYFUNCTION("""COMPUTED_VALUE"""),"[Nhãn] GC - IV - 4061 - LOT ASAHI NHẬT BẢN - K-BOLI EXTRA (Gel đỏ cam) - 500ml - 40")</f>
        <v>[Nhãn] GC - IV - 4061 - LOT ASAHI NHẬT BẢN - K-BOLI EXTRA (Gel đỏ cam) - 500ml - 40</v>
      </c>
      <c r="E4841" s="87" t="str">
        <f>IFERROR(__xludf.DUMMYFUNCTION("""COMPUTED_VALUE"""),"Vi lượng Run Fast")</f>
        <v>Vi lượng Run Fast</v>
      </c>
      <c r="F4841" s="87" t="str">
        <f>IFERROR(__xludf.DUMMYFUNCTION("""COMPUTED_VALUE"""),"HH4061")</f>
        <v>HH4061</v>
      </c>
      <c r="G4841" s="87" t="str">
        <f>IFERROR(__xludf.DUMMYFUNCTION("""COMPUTED_VALUE"""),"GC - IV - 4061 - LOT ASAHI NHẬT BẢN - K-BOLI EXTRA (Gel đỏ cam) - 500ml - 40")</f>
        <v>GC - IV - 4061 - LOT ASAHI NHẬT BẢN - K-BOLI EXTRA (Gel đỏ cam) - 500ml - 40</v>
      </c>
    </row>
    <row r="4842">
      <c r="A4842" s="86">
        <f>IFERROR(__xludf.DUMMYFUNCTION("""COMPUTED_VALUE"""),4840.0)</f>
        <v>4840</v>
      </c>
      <c r="B4842" s="87" t="str">
        <f>IFERROR(__xludf.DUMMYFUNCTION("""COMPUTED_VALUE"""),"[Nhãn]")</f>
        <v>[Nhãn]</v>
      </c>
      <c r="C4842" s="87" t="str">
        <f>IFERROR(__xludf.DUMMYFUNCTION("""COMPUTED_VALUE"""),"NHG4062")</f>
        <v>NHG4062</v>
      </c>
      <c r="D4842" s="87" t="str">
        <f>IFERROR(__xludf.DUMMYFUNCTION("""COMPUTED_VALUE"""),"[Nhãn] GC - IV - 4062 - LOT ASAHI NHẬT BẢN - BORAMIX (Gel đỏ cam) - 500ml - 40")</f>
        <v>[Nhãn] GC - IV - 4062 - LOT ASAHI NHẬT BẢN - BORAMIX (Gel đỏ cam) - 500ml - 40</v>
      </c>
      <c r="E4842" s="87" t="str">
        <f>IFERROR(__xludf.DUMMYFUNCTION("""COMPUTED_VALUE"""),"Vi lượng Run Fast")</f>
        <v>Vi lượng Run Fast</v>
      </c>
      <c r="F4842" s="87" t="str">
        <f>IFERROR(__xludf.DUMMYFUNCTION("""COMPUTED_VALUE"""),"HH4062")</f>
        <v>HH4062</v>
      </c>
      <c r="G4842" s="87" t="str">
        <f>IFERROR(__xludf.DUMMYFUNCTION("""COMPUTED_VALUE"""),"GC - IV - 4062 - LOT ASAHI NHẬT BẢN - BORAMIX (Gel đỏ cam) - 500ml - 40")</f>
        <v>GC - IV - 4062 - LOT ASAHI NHẬT BẢN - BORAMIX (Gel đỏ cam) - 500ml - 40</v>
      </c>
    </row>
    <row r="4843">
      <c r="A4843" s="86">
        <f>IFERROR(__xludf.DUMMYFUNCTION("""COMPUTED_VALUE"""),4841.0)</f>
        <v>4841</v>
      </c>
      <c r="B4843" s="87" t="str">
        <f>IFERROR(__xludf.DUMMYFUNCTION("""COMPUTED_VALUE"""),"[Nhãn]")</f>
        <v>[Nhãn]</v>
      </c>
      <c r="C4843" s="87" t="str">
        <f>IFERROR(__xludf.DUMMYFUNCTION("""COMPUTED_VALUE"""),"NHG4063")</f>
        <v>NHG4063</v>
      </c>
      <c r="D4843" s="87" t="str">
        <f>IFERROR(__xludf.DUMMYFUNCTION("""COMPUTED_VALUE"""),"[Nhãn] GC - IV - 4063 - LOT ASAHI NHẬT BẢN - BO MASTER (Gel đỏ cam) - 500ml - 40")</f>
        <v>[Nhãn] GC - IV - 4063 - LOT ASAHI NHẬT BẢN - BO MASTER (Gel đỏ cam) - 500ml - 40</v>
      </c>
      <c r="E4843" s="87" t="str">
        <f>IFERROR(__xludf.DUMMYFUNCTION("""COMPUTED_VALUE"""),"Vi lượng Run Fast")</f>
        <v>Vi lượng Run Fast</v>
      </c>
      <c r="F4843" s="87" t="str">
        <f>IFERROR(__xludf.DUMMYFUNCTION("""COMPUTED_VALUE"""),"HH4063")</f>
        <v>HH4063</v>
      </c>
      <c r="G4843" s="87" t="str">
        <f>IFERROR(__xludf.DUMMYFUNCTION("""COMPUTED_VALUE"""),"GC - IV - 4063 - LOT ASAHI NHẬT BẢN - BO MASTER (Gel đỏ cam) - 500ml - 40")</f>
        <v>GC - IV - 4063 - LOT ASAHI NHẬT BẢN - BO MASTER (Gel đỏ cam) - 500ml - 40</v>
      </c>
    </row>
    <row r="4844">
      <c r="A4844" s="86">
        <f>IFERROR(__xludf.DUMMYFUNCTION("""COMPUTED_VALUE"""),4842.0)</f>
        <v>4842</v>
      </c>
      <c r="B4844" s="87" t="str">
        <f>IFERROR(__xludf.DUMMYFUNCTION("""COMPUTED_VALUE"""),"[Nhãn]")</f>
        <v>[Nhãn]</v>
      </c>
      <c r="C4844" s="87" t="str">
        <f>IFERROR(__xludf.DUMMYFUNCTION("""COMPUTED_VALUE"""),"NHG4064")</f>
        <v>NHG4064</v>
      </c>
      <c r="D4844" s="87" t="str">
        <f>IFERROR(__xludf.DUMMYFUNCTION("""COMPUTED_VALUE"""),"[Nhãn] GC - IV - 4064 - LOT ASAHI NHẬT BẢN - K.LIBO +++ (Gel đỏ cam) - 500ml - 40")</f>
        <v>[Nhãn] GC - IV - 4064 - LOT ASAHI NHẬT BẢN - K.LIBO +++ (Gel đỏ cam) - 500ml - 40</v>
      </c>
      <c r="E4844" s="87" t="str">
        <f>IFERROR(__xludf.DUMMYFUNCTION("""COMPUTED_VALUE"""),"Vi lượng Run Fast")</f>
        <v>Vi lượng Run Fast</v>
      </c>
      <c r="F4844" s="87" t="str">
        <f>IFERROR(__xludf.DUMMYFUNCTION("""COMPUTED_VALUE"""),"HH4064")</f>
        <v>HH4064</v>
      </c>
      <c r="G4844" s="87" t="str">
        <f>IFERROR(__xludf.DUMMYFUNCTION("""COMPUTED_VALUE"""),"GC - IV - 4064 - LOT ASAHI NHẬT BẢN - K.LIBO +++ (Gel đỏ cam) - 500ml - 40")</f>
        <v>GC - IV - 4064 - LOT ASAHI NHẬT BẢN - K.LIBO +++ (Gel đỏ cam) - 500ml - 40</v>
      </c>
    </row>
    <row r="4845">
      <c r="A4845" s="86">
        <f>IFERROR(__xludf.DUMMYFUNCTION("""COMPUTED_VALUE"""),4843.0)</f>
        <v>4843</v>
      </c>
      <c r="B4845" s="87" t="str">
        <f>IFERROR(__xludf.DUMMYFUNCTION("""COMPUTED_VALUE"""),"[Nhãn]")</f>
        <v>[Nhãn]</v>
      </c>
      <c r="C4845" s="87" t="str">
        <f>IFERROR(__xludf.DUMMYFUNCTION("""COMPUTED_VALUE"""),"NTN4069")</f>
        <v>NTN4069</v>
      </c>
      <c r="D4845" s="87" t="str">
        <f>IFERROR(__xludf.DUMMYFUNCTION("""COMPUTED_VALUE"""),"[Nhãn] IDA Global  - I - 4069 - Sức mạnh Tricyclazole (bột cam) - 25gr - 300")</f>
        <v>[Nhãn] IDA Global  - I - 4069 - Sức mạnh Tricyclazole (bột cam) - 25gr - 300</v>
      </c>
      <c r="E4845" s="87" t="str">
        <f>IFERROR(__xludf.DUMMYFUNCTION("""COMPUTED_VALUE"""),"Pim.Pim 75WP")</f>
        <v>Pim.Pim 75WP</v>
      </c>
      <c r="F4845" s="87" t="str">
        <f>IFERROR(__xludf.DUMMYFUNCTION("""COMPUTED_VALUE"""),"HH4069")</f>
        <v>HH4069</v>
      </c>
      <c r="G4845" s="87" t="str">
        <f>IFERROR(__xludf.DUMMYFUNCTION("""COMPUTED_VALUE"""),"IDA Global  - I - 4069 - Sức mạnh Tricyclazole (bột cam) - 25gr - 300")</f>
        <v>IDA Global  - I - 4069 - Sức mạnh Tricyclazole (bột cam) - 25gr - 300</v>
      </c>
    </row>
    <row r="4846">
      <c r="A4846" s="86">
        <f>IFERROR(__xludf.DUMMYFUNCTION("""COMPUTED_VALUE"""),4844.0)</f>
        <v>4844</v>
      </c>
      <c r="B4846" s="87" t="str">
        <f>IFERROR(__xludf.DUMMYFUNCTION("""COMPUTED_VALUE"""),"[Nhãn thùng]")</f>
        <v>[Nhãn thùng]</v>
      </c>
      <c r="C4846" s="87" t="str">
        <f>IFERROR(__xludf.DUMMYFUNCTION("""COMPUTED_VALUE"""),"NDT4069")</f>
        <v>NDT4069</v>
      </c>
      <c r="D4846" s="87" t="str">
        <f>IFERROR(__xludf.DUMMYFUNCTION("""COMPUTED_VALUE"""),"[Nhãn thùng] IDA Global  - I - 4069 - Sức mạnh Tricyclazole (bột cam) - 25gr - 300")</f>
        <v>[Nhãn thùng] IDA Global  - I - 4069 - Sức mạnh Tricyclazole (bột cam) - 25gr - 300</v>
      </c>
      <c r="E4846" s="87" t="str">
        <f>IFERROR(__xludf.DUMMYFUNCTION("""COMPUTED_VALUE"""),"Pim.Pim 75WP")</f>
        <v>Pim.Pim 75WP</v>
      </c>
      <c r="F4846" s="87" t="str">
        <f>IFERROR(__xludf.DUMMYFUNCTION("""COMPUTED_VALUE"""),"HH4069")</f>
        <v>HH4069</v>
      </c>
      <c r="G4846" s="87" t="str">
        <f>IFERROR(__xludf.DUMMYFUNCTION("""COMPUTED_VALUE"""),"IDA Global  - I - 4069 - Sức mạnh Tricyclazole (bột cam) - 25gr - 300")</f>
        <v>IDA Global  - I - 4069 - Sức mạnh Tricyclazole (bột cam) - 25gr - 300</v>
      </c>
    </row>
    <row r="4847">
      <c r="A4847" s="86">
        <f>IFERROR(__xludf.DUMMYFUNCTION("""COMPUTED_VALUE"""),4845.0)</f>
        <v>4845</v>
      </c>
      <c r="B4847" s="87" t="str">
        <f>IFERROR(__xludf.DUMMYFUNCTION("""COMPUTED_VALUE"""),"[Nhãn]")</f>
        <v>[Nhãn]</v>
      </c>
      <c r="C4847" s="87" t="str">
        <f>IFERROR(__xludf.DUMMYFUNCTION("""COMPUTED_VALUE"""),"NTN4070")</f>
        <v>NTN4070</v>
      </c>
      <c r="D4847" s="87" t="str">
        <f>IFERROR(__xludf.DUMMYFUNCTION("""COMPUTED_VALUE"""),"[Nhãn] IDA Global  - I - 4070 - Sức mạnh Tricyclazole (bột cam) - 35gr - 300")</f>
        <v>[Nhãn] IDA Global  - I - 4070 - Sức mạnh Tricyclazole (bột cam) - 35gr - 300</v>
      </c>
      <c r="E4847" s="87" t="str">
        <f>IFERROR(__xludf.DUMMYFUNCTION("""COMPUTED_VALUE"""),"Pim.Pim 75WP")</f>
        <v>Pim.Pim 75WP</v>
      </c>
      <c r="F4847" s="87" t="str">
        <f>IFERROR(__xludf.DUMMYFUNCTION("""COMPUTED_VALUE"""),"HH4070")</f>
        <v>HH4070</v>
      </c>
      <c r="G4847" s="87" t="str">
        <f>IFERROR(__xludf.DUMMYFUNCTION("""COMPUTED_VALUE"""),"IDA Global  - I - 4070 - Sức mạnh Tricyclazole (bột cam) - 35gr - 300")</f>
        <v>IDA Global  - I - 4070 - Sức mạnh Tricyclazole (bột cam) - 35gr - 300</v>
      </c>
    </row>
    <row r="4848">
      <c r="A4848" s="86">
        <f>IFERROR(__xludf.DUMMYFUNCTION("""COMPUTED_VALUE"""),4846.0)</f>
        <v>4846</v>
      </c>
      <c r="B4848" s="87" t="str">
        <f>IFERROR(__xludf.DUMMYFUNCTION("""COMPUTED_VALUE"""),"[Nhãn thùng]")</f>
        <v>[Nhãn thùng]</v>
      </c>
      <c r="C4848" s="87" t="str">
        <f>IFERROR(__xludf.DUMMYFUNCTION("""COMPUTED_VALUE"""),"NDT4070")</f>
        <v>NDT4070</v>
      </c>
      <c r="D4848" s="87" t="str">
        <f>IFERROR(__xludf.DUMMYFUNCTION("""COMPUTED_VALUE"""),"[Nhãn thùng] IDA Global  - I - 4070 - Sức mạnh Tricyclazole (bột cam) - 35gr - 300")</f>
        <v>[Nhãn thùng] IDA Global  - I - 4070 - Sức mạnh Tricyclazole (bột cam) - 35gr - 300</v>
      </c>
      <c r="E4848" s="87" t="str">
        <f>IFERROR(__xludf.DUMMYFUNCTION("""COMPUTED_VALUE"""),"Pim.Pim 75WP")</f>
        <v>Pim.Pim 75WP</v>
      </c>
      <c r="F4848" s="87" t="str">
        <f>IFERROR(__xludf.DUMMYFUNCTION("""COMPUTED_VALUE"""),"HH4070")</f>
        <v>HH4070</v>
      </c>
      <c r="G4848" s="87" t="str">
        <f>IFERROR(__xludf.DUMMYFUNCTION("""COMPUTED_VALUE"""),"IDA Global  - I - 4070 - Sức mạnh Tricyclazole (bột cam) - 35gr - 300")</f>
        <v>IDA Global  - I - 4070 - Sức mạnh Tricyclazole (bột cam) - 35gr - 300</v>
      </c>
    </row>
    <row r="4849">
      <c r="A4849" s="86">
        <f>IFERROR(__xludf.DUMMYFUNCTION("""COMPUTED_VALUE"""),4847.0)</f>
        <v>4847</v>
      </c>
      <c r="B4849" s="87" t="str">
        <f>IFERROR(__xludf.DUMMYFUNCTION("""COMPUTED_VALUE"""),"[Nhãn]")</f>
        <v>[Nhãn]</v>
      </c>
      <c r="C4849" s="87" t="str">
        <f>IFERROR(__xludf.DUMMYFUNCTION("""COMPUTED_VALUE"""),"NHG4071")</f>
        <v>NHG4071</v>
      </c>
      <c r="D4849" s="87" t="str">
        <f>IFERROR(__xludf.DUMMYFUNCTION("""COMPUTED_VALUE"""),"[Nhãn] IDA Global - I - 4071 - Nhện đỏ (Nước đỏ) - 240ml - 60")</f>
        <v>[Nhãn] IDA Global - I - 4071 - Nhện đỏ (Nước đỏ) - 240ml - 60</v>
      </c>
      <c r="E4849" s="87" t="str">
        <f>IFERROR(__xludf.DUMMYFUNCTION("""COMPUTED_VALUE"""),"Chitin 3.6EC")</f>
        <v>Chitin 3.6EC</v>
      </c>
      <c r="F4849" s="87" t="str">
        <f>IFERROR(__xludf.DUMMYFUNCTION("""COMPUTED_VALUE"""),"HH4071")</f>
        <v>HH4071</v>
      </c>
      <c r="G4849" s="87" t="str">
        <f>IFERROR(__xludf.DUMMYFUNCTION("""COMPUTED_VALUE"""),"IDA Global - I - 4071 - Nhện đỏ (Nước đỏ) - 240ml - 60")</f>
        <v>IDA Global - I - 4071 - Nhện đỏ (Nước đỏ) - 240ml - 60</v>
      </c>
    </row>
    <row r="4850">
      <c r="A4850" s="86">
        <f>IFERROR(__xludf.DUMMYFUNCTION("""COMPUTED_VALUE"""),4848.0)</f>
        <v>4848</v>
      </c>
      <c r="B4850" s="87" t="str">
        <f>IFERROR(__xludf.DUMMYFUNCTION("""COMPUTED_VALUE"""),"[Nhãn]")</f>
        <v>[Nhãn]</v>
      </c>
      <c r="C4850" s="87" t="str">
        <f>IFERROR(__xludf.DUMMYFUNCTION("""COMPUTED_VALUE"""),"NHG4072")</f>
        <v>NHG4072</v>
      </c>
      <c r="D4850" s="87" t="str">
        <f>IFERROR(__xludf.DUMMYFUNCTION("""COMPUTED_VALUE"""),"[Nhãn] LOT IDA Global - I - 4072 - ĐL ÚT TÈO - IDA Vil (Xanh Lá)(HD trắng)(nắp xanh)(nước trắng) - 1 Lít - 20")</f>
        <v>[Nhãn] LOT IDA Global - I - 4072 - ĐL ÚT TÈO - IDA Vil (Xanh Lá)(HD trắng)(nắp xanh)(nước trắng) - 1 Lít - 20</v>
      </c>
      <c r="E4850" s="87" t="str">
        <f>IFERROR(__xludf.DUMMYFUNCTION("""COMPUTED_VALUE"""),"Mekongvil 5SC")</f>
        <v>Mekongvil 5SC</v>
      </c>
      <c r="F4850" s="87" t="str">
        <f>IFERROR(__xludf.DUMMYFUNCTION("""COMPUTED_VALUE"""),"HH4072")</f>
        <v>HH4072</v>
      </c>
      <c r="G4850" s="87" t="str">
        <f>IFERROR(__xludf.DUMMYFUNCTION("""COMPUTED_VALUE"""),"LOT IDA Global - I - 4072 - ĐL ÚT TÈO - IDA Vil (Xanh Lá)(HD trắng)(nắp xanh)(nước trắng) - 1 Lít - 20")</f>
        <v>LOT IDA Global - I - 4072 - ĐL ÚT TÈO - IDA Vil (Xanh Lá)(HD trắng)(nắp xanh)(nước trắng) - 1 Lít - 20</v>
      </c>
    </row>
    <row r="4851">
      <c r="A4851" s="86">
        <f>IFERROR(__xludf.DUMMYFUNCTION("""COMPUTED_VALUE"""),4849.0)</f>
        <v>4849</v>
      </c>
      <c r="B4851" s="87" t="str">
        <f>IFERROR(__xludf.DUMMYFUNCTION("""COMPUTED_VALUE"""),"[Nhãn]")</f>
        <v>[Nhãn]</v>
      </c>
      <c r="C4851" s="87" t="str">
        <f>IFERROR(__xludf.DUMMYFUNCTION("""COMPUTED_VALUE"""),"NHG4073")</f>
        <v>NHG4073</v>
      </c>
      <c r="D4851" s="87" t="str">
        <f>IFERROR(__xludf.DUMMYFUNCTION("""COMPUTED_VALUE"""),"[Nhãn] IDA Global - I - 4073 - GENOL 1.2SL (Nước đỏ) - 480ml - 40")</f>
        <v>[Nhãn] IDA Global - I - 4073 - GENOL 1.2SL (Nước đỏ) - 480ml - 40</v>
      </c>
      <c r="E4851" s="87" t="str">
        <f>IFERROR(__xludf.DUMMYFUNCTION("""COMPUTED_VALUE"""),"GENOL 1.2SL")</f>
        <v>GENOL 1.2SL</v>
      </c>
      <c r="F4851" s="87" t="str">
        <f>IFERROR(__xludf.DUMMYFUNCTION("""COMPUTED_VALUE"""),"HH4073")</f>
        <v>HH4073</v>
      </c>
      <c r="G4851" s="87" t="str">
        <f>IFERROR(__xludf.DUMMYFUNCTION("""COMPUTED_VALUE"""),"IDA Global - I - 4073 - GENOL 1.2SL (Nước đỏ) - 480ml - 40")</f>
        <v>IDA Global - I - 4073 - GENOL 1.2SL (Nước đỏ) - 480ml - 40</v>
      </c>
    </row>
    <row r="4852">
      <c r="A4852" s="86">
        <f>IFERROR(__xludf.DUMMYFUNCTION("""COMPUTED_VALUE"""),4850.0)</f>
        <v>4850</v>
      </c>
      <c r="B4852" s="87" t="str">
        <f>IFERROR(__xludf.DUMMYFUNCTION("""COMPUTED_VALUE"""),"[Nhãn]")</f>
        <v>[Nhãn]</v>
      </c>
      <c r="C4852" s="87" t="str">
        <f>IFERROR(__xludf.DUMMYFUNCTION("""COMPUTED_VALUE"""),"NHG4074")</f>
        <v>NHG4074</v>
      </c>
      <c r="D4852" s="87" t="str">
        <f>IFERROR(__xludf.DUMMYFUNCTION("""COMPUTED_VALUE"""),"[Nhãn] IDA Global - I - 4074 - IDA VIL (Vàng) (nước vàng) - 1L - 20")</f>
        <v>[Nhãn] IDA Global - I - 4074 - IDA VIL (Vàng) (nước vàng) - 1L - 20</v>
      </c>
      <c r="E4852" s="87" t="str">
        <f>IFERROR(__xludf.DUMMYFUNCTION("""COMPUTED_VALUE"""),"Mekongvil 5SC")</f>
        <v>Mekongvil 5SC</v>
      </c>
      <c r="F4852" s="87" t="str">
        <f>IFERROR(__xludf.DUMMYFUNCTION("""COMPUTED_VALUE"""),"HH4074")</f>
        <v>HH4074</v>
      </c>
      <c r="G4852" s="87" t="str">
        <f>IFERROR(__xludf.DUMMYFUNCTION("""COMPUTED_VALUE"""),"IDA Global - I - 4074 - IDA VIL (Vàng) (nước vàng) - 1L - 20")</f>
        <v>IDA Global - I - 4074 - IDA VIL (Vàng) (nước vàng) - 1L - 20</v>
      </c>
    </row>
    <row r="4853">
      <c r="A4853" s="86">
        <f>IFERROR(__xludf.DUMMYFUNCTION("""COMPUTED_VALUE"""),4851.0)</f>
        <v>4851</v>
      </c>
      <c r="B4853" s="87" t="str">
        <f>IFERROR(__xludf.DUMMYFUNCTION("""COMPUTED_VALUE"""),"[Nhãn]")</f>
        <v>[Nhãn]</v>
      </c>
      <c r="C4853" s="87" t="str">
        <f>IFERROR(__xludf.DUMMYFUNCTION("""COMPUTED_VALUE"""),"NHG4075")</f>
        <v>NHG4075</v>
      </c>
      <c r="D4853" s="87" t="str">
        <f>IFERROR(__xludf.DUMMYFUNCTION("""COMPUTED_VALUE"""),"[Nhãn] IDA Global - I - 4075 - CỨNG CÂY 304 (Nước nâu đen) - 500ml - 40")</f>
        <v>[Nhãn] IDA Global - I - 4075 - CỨNG CÂY 304 (Nước nâu đen) - 500ml - 40</v>
      </c>
      <c r="E4853" s="87" t="str">
        <f>IFERROR(__xludf.DUMMYFUNCTION("""COMPUTED_VALUE"""),"Hữu cơ SH Agro Organic Fertilizer 20")</f>
        <v>Hữu cơ SH Agro Organic Fertilizer 20</v>
      </c>
      <c r="F4853" s="87" t="str">
        <f>IFERROR(__xludf.DUMMYFUNCTION("""COMPUTED_VALUE"""),"HH4075")</f>
        <v>HH4075</v>
      </c>
      <c r="G4853" s="87" t="str">
        <f>IFERROR(__xludf.DUMMYFUNCTION("""COMPUTED_VALUE"""),"IDA Global - I - 4075 - CỨNG CÂY 304 (Nước nâu đen) - 500ml - 40")</f>
        <v>IDA Global - I - 4075 - CỨNG CÂY 304 (Nước nâu đen) - 500ml - 40</v>
      </c>
    </row>
    <row r="4854">
      <c r="A4854" s="86">
        <f>IFERROR(__xludf.DUMMYFUNCTION("""COMPUTED_VALUE"""),4852.0)</f>
        <v>4852</v>
      </c>
      <c r="B4854" s="87" t="str">
        <f>IFERROR(__xludf.DUMMYFUNCTION("""COMPUTED_VALUE"""),"[Nhãn]")</f>
        <v>[Nhãn]</v>
      </c>
      <c r="C4854" s="87" t="str">
        <f>IFERROR(__xludf.DUMMYFUNCTION("""COMPUTED_VALUE"""),"NHG4076")</f>
        <v>NHG4076</v>
      </c>
      <c r="D4854" s="87" t="str">
        <f>IFERROR(__xludf.DUMMYFUNCTION("""COMPUTED_VALUE"""),"[Nhãn] IDA Global - I - 4076 - VG RICE 01 - 500ml - 40")</f>
        <v>[Nhãn] IDA Global - I - 4076 - VG RICE 01 - 500ml - 40</v>
      </c>
      <c r="E4854" s="87" t="str">
        <f>IFERROR(__xludf.DUMMYFUNCTION("""COMPUTED_VALUE"""),"Vi lượng AGAMA-SUPPORT")</f>
        <v>Vi lượng AGAMA-SUPPORT</v>
      </c>
      <c r="F4854" s="87" t="str">
        <f>IFERROR(__xludf.DUMMYFUNCTION("""COMPUTED_VALUE"""),"HH4076")</f>
        <v>HH4076</v>
      </c>
      <c r="G4854" s="87" t="str">
        <f>IFERROR(__xludf.DUMMYFUNCTION("""COMPUTED_VALUE"""),"IDA Global - I - 4076 - VG RICE 01 - 500ml - 40")</f>
        <v>IDA Global - I - 4076 - VG RICE 01 - 500ml - 40</v>
      </c>
    </row>
    <row r="4855">
      <c r="A4855" s="86">
        <f>IFERROR(__xludf.DUMMYFUNCTION("""COMPUTED_VALUE"""),4853.0)</f>
        <v>4853</v>
      </c>
      <c r="B4855" s="87" t="str">
        <f>IFERROR(__xludf.DUMMYFUNCTION("""COMPUTED_VALUE"""),"[Nhãn]")</f>
        <v>[Nhãn]</v>
      </c>
      <c r="C4855" s="87" t="str">
        <f>IFERROR(__xludf.DUMMYFUNCTION("""COMPUTED_VALUE"""),"NHD4085")</f>
        <v>NHD4085</v>
      </c>
      <c r="D4855" s="87" t="str">
        <f>IFERROR(__xludf.DUMMYFUNCTION("""COMPUTED_VALUE"""),"[Nhãn] GC - IV - 4085 - CTY XNK O2L - Abamectin 3.6 (Ốc Vàng - Nhãn Đen) (Nước nâu đen) - 450ml - 40")</f>
        <v>[Nhãn] GC - IV - 4085 - CTY XNK O2L - Abamectin 3.6 (Ốc Vàng - Nhãn Đen) (Nước nâu đen) - 450ml - 40</v>
      </c>
      <c r="E4855" s="87" t="str">
        <f>IFERROR(__xludf.DUMMYFUNCTION("""COMPUTED_VALUE"""),"Chitin 3.6EC")</f>
        <v>Chitin 3.6EC</v>
      </c>
      <c r="F4855" s="87" t="str">
        <f>IFERROR(__xludf.DUMMYFUNCTION("""COMPUTED_VALUE"""),"HH4085")</f>
        <v>HH4085</v>
      </c>
      <c r="G4855" s="87" t="str">
        <f>IFERROR(__xludf.DUMMYFUNCTION("""COMPUTED_VALUE"""),"GC - IV - 4085 - CTY XNK O2L - Abamectin 3.6 (Ốc Vàng - Nhãn Đen) (Nước nâu đen) - 450ml - 40")</f>
        <v>GC - IV - 4085 - CTY XNK O2L - Abamectin 3.6 (Ốc Vàng - Nhãn Đen) (Nước nâu đen) - 450ml - 40</v>
      </c>
    </row>
    <row r="4856">
      <c r="A4856" s="86">
        <f>IFERROR(__xludf.DUMMYFUNCTION("""COMPUTED_VALUE"""),4854.0)</f>
        <v>4854</v>
      </c>
      <c r="B4856" s="87" t="str">
        <f>IFERROR(__xludf.DUMMYFUNCTION("""COMPUTED_VALUE"""),"[Nhãn]")</f>
        <v>[Nhãn]</v>
      </c>
      <c r="C4856" s="87" t="str">
        <f>IFERROR(__xludf.DUMMYFUNCTION("""COMPUTED_VALUE"""),"NHD4086")</f>
        <v>NHD4086</v>
      </c>
      <c r="D4856" s="87" t="str">
        <f>IFERROR(__xludf.DUMMYFUNCTION("""COMPUTED_VALUE"""),"[Nhãn] GC - IV - 4086 - Cty Quang Đăng Agriculture - GROW BOOST (Nước nâu đen) - 500ml - 40")</f>
        <v>[Nhãn] GC - IV - 4086 - Cty Quang Đăng Agriculture - GROW BOOST (Nước nâu đen) - 500ml - 40</v>
      </c>
      <c r="E4856" s="87" t="str">
        <f>IFERROR(__xludf.DUMMYFUNCTION("""COMPUTED_VALUE"""),"Hỗn Hợp NP AGAMA-AP")</f>
        <v>Hỗn Hợp NP AGAMA-AP</v>
      </c>
      <c r="F4856" s="87" t="str">
        <f>IFERROR(__xludf.DUMMYFUNCTION("""COMPUTED_VALUE"""),"HH4086")</f>
        <v>HH4086</v>
      </c>
      <c r="G4856" s="87" t="str">
        <f>IFERROR(__xludf.DUMMYFUNCTION("""COMPUTED_VALUE"""),"GC - IV - 4086 - Cty Quang Đăng Agriculture - GROW BOOST (Nước nâu đen) - 500ml - 40")</f>
        <v>GC - IV - 4086 - Cty Quang Đăng Agriculture - GROW BOOST (Nước nâu đen) - 500ml - 40</v>
      </c>
    </row>
    <row r="4857">
      <c r="A4857" s="86">
        <f>IFERROR(__xludf.DUMMYFUNCTION("""COMPUTED_VALUE"""),4855.0)</f>
        <v>4855</v>
      </c>
      <c r="B4857" s="87" t="str">
        <f>IFERROR(__xludf.DUMMYFUNCTION("""COMPUTED_VALUE"""),"[Nhãn thùng]")</f>
        <v>[Nhãn thùng]</v>
      </c>
      <c r="C4857" s="87" t="str">
        <f>IFERROR(__xludf.DUMMYFUNCTION("""COMPUTED_VALUE"""),"NDT4086")</f>
        <v>NDT4086</v>
      </c>
      <c r="D4857" s="87" t="str">
        <f>IFERROR(__xludf.DUMMYFUNCTION("""COMPUTED_VALUE"""),"[Nhãn thùng] GC - IV - 4086 - Cty Quang Đăng Agriculture - GROW BOOST (Nước nâu đen) - 500ml - 40")</f>
        <v>[Nhãn thùng] GC - IV - 4086 - Cty Quang Đăng Agriculture - GROW BOOST (Nước nâu đen) - 500ml - 40</v>
      </c>
      <c r="E4857" s="87" t="str">
        <f>IFERROR(__xludf.DUMMYFUNCTION("""COMPUTED_VALUE"""),"Hỗn Hợp NP AGAMA-AP")</f>
        <v>Hỗn Hợp NP AGAMA-AP</v>
      </c>
      <c r="F4857" s="87" t="str">
        <f>IFERROR(__xludf.DUMMYFUNCTION("""COMPUTED_VALUE"""),"HH4086")</f>
        <v>HH4086</v>
      </c>
      <c r="G4857" s="87" t="str">
        <f>IFERROR(__xludf.DUMMYFUNCTION("""COMPUTED_VALUE"""),"GC - IV - 4086 - Cty Quang Đăng Agriculture - GROW BOOST (Nước nâu đen) - 500ml - 40")</f>
        <v>GC - IV - 4086 - Cty Quang Đăng Agriculture - GROW BOOST (Nước nâu đen) - 500ml - 40</v>
      </c>
    </row>
    <row r="4858">
      <c r="A4858" s="86">
        <f>IFERROR(__xludf.DUMMYFUNCTION("""COMPUTED_VALUE"""),4856.0)</f>
        <v>4856</v>
      </c>
      <c r="B4858" s="87" t="str">
        <f>IFERROR(__xludf.DUMMYFUNCTION("""COMPUTED_VALUE"""),"[Nhãn]")</f>
        <v>[Nhãn]</v>
      </c>
      <c r="C4858" s="87" t="str">
        <f>IFERROR(__xludf.DUMMYFUNCTION("""COMPUTED_VALUE"""),"NHG4088")</f>
        <v>NHG4088</v>
      </c>
      <c r="D4858" s="87" t="str">
        <f>IFERROR(__xludf.DUMMYFUNCTION("""COMPUTED_VALUE"""),"[Nhãn] IDA Global - I - 4088 - CTY HẠT LÚA VÀNG - ZOLE PRO 333 (Nước cam sữa) - 350ml - 40")</f>
        <v>[Nhãn] IDA Global - I - 4088 - CTY HẠT LÚA VÀNG - ZOLE PRO 333 (Nước cam sữa) - 350ml - 40</v>
      </c>
      <c r="E4858" s="87" t="str">
        <f>IFERROR(__xludf.DUMMYFUNCTION("""COMPUTED_VALUE"""),"CITTIZEN 333SC")</f>
        <v>CITTIZEN 333SC</v>
      </c>
      <c r="F4858" s="87" t="str">
        <f>IFERROR(__xludf.DUMMYFUNCTION("""COMPUTED_VALUE"""),"HH4088")</f>
        <v>HH4088</v>
      </c>
      <c r="G4858" s="87" t="str">
        <f>IFERROR(__xludf.DUMMYFUNCTION("""COMPUTED_VALUE"""),"IDA Global - I - 4088 - CTY HẠT LÚA VÀNG - ZOLE PRO 333 (Nước cam sữa) - 350ml - 40")</f>
        <v>IDA Global - I - 4088 - CTY HẠT LÚA VÀNG - ZOLE PRO 333 (Nước cam sữa) - 350ml - 40</v>
      </c>
    </row>
    <row r="4859">
      <c r="A4859" s="86">
        <f>IFERROR(__xludf.DUMMYFUNCTION("""COMPUTED_VALUE"""),4857.0)</f>
        <v>4857</v>
      </c>
      <c r="B4859" s="87" t="str">
        <f>IFERROR(__xludf.DUMMYFUNCTION("""COMPUTED_VALUE"""),"[Nhãn]")</f>
        <v>[Nhãn]</v>
      </c>
      <c r="C4859" s="87" t="str">
        <f>IFERROR(__xludf.DUMMYFUNCTION("""COMPUTED_VALUE"""),"NHG4091")</f>
        <v>NHG4091</v>
      </c>
      <c r="D4859" s="87" t="str">
        <f>IFERROR(__xludf.DUMMYFUNCTION("""COMPUTED_VALUE"""),"[Nhãn] IDA Global - I - 4091 - KG - ORGANIC X2 (Nước nâu đen) - 1L - 20")</f>
        <v>[Nhãn] IDA Global - I - 4091 - KG - ORGANIC X2 (Nước nâu đen) - 1L - 20</v>
      </c>
      <c r="E4859" s="87" t="str">
        <f>IFERROR(__xludf.DUMMYFUNCTION("""COMPUTED_VALUE"""),"Hữu cơ SH Agro Organic Fertilizer 20")</f>
        <v>Hữu cơ SH Agro Organic Fertilizer 20</v>
      </c>
      <c r="F4859" s="87" t="str">
        <f>IFERROR(__xludf.DUMMYFUNCTION("""COMPUTED_VALUE"""),"HH4091")</f>
        <v>HH4091</v>
      </c>
      <c r="G4859" s="87" t="str">
        <f>IFERROR(__xludf.DUMMYFUNCTION("""COMPUTED_VALUE"""),"IDA Global - I - 4091 - KG - ORGANIC X2 (Nước nâu đen) - 1L - 20")</f>
        <v>IDA Global - I - 4091 - KG - ORGANIC X2 (Nước nâu đen) - 1L - 20</v>
      </c>
    </row>
    <row r="4860">
      <c r="A4860" s="86">
        <f>IFERROR(__xludf.DUMMYFUNCTION("""COMPUTED_VALUE"""),4858.0)</f>
        <v>4858</v>
      </c>
      <c r="B4860" s="87" t="str">
        <f>IFERROR(__xludf.DUMMYFUNCTION("""COMPUTED_VALUE"""),"[Nhãn]")</f>
        <v>[Nhãn]</v>
      </c>
      <c r="C4860" s="87" t="str">
        <f>IFERROR(__xludf.DUMMYFUNCTION("""COMPUTED_VALUE"""),"NTN4094")</f>
        <v>NTN4094</v>
      </c>
      <c r="D4860" s="87" t="str">
        <f>IFERROR(__xludf.DUMMYFUNCTION("""COMPUTED_VALUE"""),"[Nhãn] GC - IV - 4094 - Cty Capy Global - THALONIL 75WP (Bột trắng) - 250gr - 50")</f>
        <v>[Nhãn] GC - IV - 4094 - Cty Capy Global - THALONIL 75WP (Bột trắng) - 250gr - 50</v>
      </c>
      <c r="E4860" s="87" t="str">
        <f>IFERROR(__xludf.DUMMYFUNCTION("""COMPUTED_VALUE"""),"THALONIL 75WP")</f>
        <v>THALONIL 75WP</v>
      </c>
      <c r="F4860" s="87" t="str">
        <f>IFERROR(__xludf.DUMMYFUNCTION("""COMPUTED_VALUE"""),"HH4094")</f>
        <v>HH4094</v>
      </c>
      <c r="G4860" s="87" t="str">
        <f>IFERROR(__xludf.DUMMYFUNCTION("""COMPUTED_VALUE"""),"GC - IV - 4094 - Cty Capy Global - THALONIL 75WP (Bột trắng) - 250gr - 50")</f>
        <v>GC - IV - 4094 - Cty Capy Global - THALONIL 75WP (Bột trắng) - 250gr - 50</v>
      </c>
    </row>
    <row r="4861">
      <c r="A4861" s="86">
        <f>IFERROR(__xludf.DUMMYFUNCTION("""COMPUTED_VALUE"""),4859.0)</f>
        <v>4859</v>
      </c>
      <c r="B4861" s="87" t="str">
        <f>IFERROR(__xludf.DUMMYFUNCTION("""COMPUTED_VALUE"""),"[Nhãn thùng]")</f>
        <v>[Nhãn thùng]</v>
      </c>
      <c r="C4861" s="87" t="str">
        <f>IFERROR(__xludf.DUMMYFUNCTION("""COMPUTED_VALUE"""),"NDT4094")</f>
        <v>NDT4094</v>
      </c>
      <c r="D4861" s="87" t="str">
        <f>IFERROR(__xludf.DUMMYFUNCTION("""COMPUTED_VALUE"""),"[Nhãn thùng] GC - IV - 4094 - Cty Capy Global - THALONIL 75WP (Bột trắng) - 250gr - 50")</f>
        <v>[Nhãn thùng] GC - IV - 4094 - Cty Capy Global - THALONIL 75WP (Bột trắng) - 250gr - 50</v>
      </c>
      <c r="E4861" s="87" t="str">
        <f>IFERROR(__xludf.DUMMYFUNCTION("""COMPUTED_VALUE"""),"THALONIL 75WP")</f>
        <v>THALONIL 75WP</v>
      </c>
      <c r="F4861" s="87" t="str">
        <f>IFERROR(__xludf.DUMMYFUNCTION("""COMPUTED_VALUE"""),"HH4094")</f>
        <v>HH4094</v>
      </c>
      <c r="G4861" s="87" t="str">
        <f>IFERROR(__xludf.DUMMYFUNCTION("""COMPUTED_VALUE"""),"GC - IV - 4094 - Cty Capy Global - THALONIL 75WP (Bột trắng) - 250gr - 50")</f>
        <v>GC - IV - 4094 - Cty Capy Global - THALONIL 75WP (Bột trắng) - 250gr - 50</v>
      </c>
    </row>
    <row r="4862">
      <c r="A4862" s="86">
        <f>IFERROR(__xludf.DUMMYFUNCTION("""COMPUTED_VALUE"""),4860.0)</f>
        <v>4860</v>
      </c>
      <c r="B4862" s="87" t="str">
        <f>IFERROR(__xludf.DUMMYFUNCTION("""COMPUTED_VALUE"""),"[Nhãn thùng]")</f>
        <v>[Nhãn thùng]</v>
      </c>
      <c r="C4862" s="87" t="str">
        <f>IFERROR(__xludf.DUMMYFUNCTION("""COMPUTED_VALUE"""),"NDT4095")</f>
        <v>NDT4095</v>
      </c>
      <c r="D4862" s="87" t="str">
        <f>IFERROR(__xludf.DUMMYFUNCTION("""COMPUTED_VALUE"""),"[Nhãn thùng] IDA Global - I - 4095 - Pim.Pim 75WP (Bột cam) - 100gr - 100")</f>
        <v>[Nhãn thùng] IDA Global - I - 4095 - Pim.Pim 75WP (Bột cam) - 100gr - 100</v>
      </c>
      <c r="E4862" s="87" t="str">
        <f>IFERROR(__xludf.DUMMYFUNCTION("""COMPUTED_VALUE"""),"Pim.Pim 75WP")</f>
        <v>Pim.Pim 75WP</v>
      </c>
      <c r="F4862" s="87" t="str">
        <f>IFERROR(__xludf.DUMMYFUNCTION("""COMPUTED_VALUE"""),"HH4095")</f>
        <v>HH4095</v>
      </c>
      <c r="G4862" s="87" t="str">
        <f>IFERROR(__xludf.DUMMYFUNCTION("""COMPUTED_VALUE"""),"IDA Global - I - 4095 - Pim.Pim 75WP (Bột cam) - 100gr - 100")</f>
        <v>IDA Global - I - 4095 - Pim.Pim 75WP (Bột cam) - 100gr - 100</v>
      </c>
    </row>
    <row r="4863">
      <c r="A4863" s="86">
        <f>IFERROR(__xludf.DUMMYFUNCTION("""COMPUTED_VALUE"""),4861.0)</f>
        <v>4861</v>
      </c>
      <c r="B4863" s="87" t="str">
        <f>IFERROR(__xludf.DUMMYFUNCTION("""COMPUTED_VALUE"""),"[Nhãn]")</f>
        <v>[Nhãn]</v>
      </c>
      <c r="C4863" s="87" t="str">
        <f>IFERROR(__xludf.DUMMYFUNCTION("""COMPUTED_VALUE"""),"NHG3903")</f>
        <v>NHG3903</v>
      </c>
      <c r="D4863" s="87" t="str">
        <f>IFERROR(__xludf.DUMMYFUNCTION("""COMPUTED_VALUE"""),"[Nhãn] GC - V - 3903 - N2SBIO -  N2 MG ZN-70 (Nước xanh lá) - 500ml - 40")</f>
        <v>[Nhãn] GC - V - 3903 - N2SBIO -  N2 MG ZN-70 (Nước xanh lá) - 500ml - 40</v>
      </c>
      <c r="E4863" s="87" t="str">
        <f>IFERROR(__xludf.DUMMYFUNCTION("""COMPUTED_VALUE"""),"vi lượng Phú Sĩ FJ-09 Kẽm Mg")</f>
        <v>vi lượng Phú Sĩ FJ-09 Kẽm Mg</v>
      </c>
      <c r="F4863" s="87" t="str">
        <f>IFERROR(__xludf.DUMMYFUNCTION("""COMPUTED_VALUE"""),"HH3903")</f>
        <v>HH3903</v>
      </c>
      <c r="G4863" s="87" t="str">
        <f>IFERROR(__xludf.DUMMYFUNCTION("""COMPUTED_VALUE"""),"GC - V - 3903 - N2SBIO -  N2 MG ZN-70 (Nước xanh lá) - 500ml - 40")</f>
        <v>GC - V - 3903 - N2SBIO -  N2 MG ZN-70 (Nước xanh lá) - 500ml - 40</v>
      </c>
    </row>
    <row r="4864">
      <c r="A4864" s="86">
        <f>IFERROR(__xludf.DUMMYFUNCTION("""COMPUTED_VALUE"""),4862.0)</f>
        <v>4862</v>
      </c>
      <c r="B4864" s="87" t="str">
        <f>IFERROR(__xludf.DUMMYFUNCTION("""COMPUTED_VALUE"""),"[Nhãn]")</f>
        <v>[Nhãn]</v>
      </c>
      <c r="C4864" s="87" t="str">
        <f>IFERROR(__xludf.DUMMYFUNCTION("""COMPUTED_VALUE"""),"NHG4089")</f>
        <v>NHG4089</v>
      </c>
      <c r="D4864" s="87" t="str">
        <f>IFERROR(__xludf.DUMMYFUNCTION("""COMPUTED_VALUE"""),"[Nhãn] DR.XANH - VIII - 4089 - DR.XTRESS (Nước nâu đen) - 250ml - 40")</f>
        <v>[Nhãn] DR.XANH - VIII - 4089 - DR.XTRESS (Nước nâu đen) - 250ml - 40</v>
      </c>
      <c r="E4864" s="87" t="str">
        <f>IFERROR(__xludf.DUMMYFUNCTION("""COMPUTED_VALUE"""),"Hữu cơ Organic BM Gold  FW")</f>
        <v>Hữu cơ Organic BM Gold  FW</v>
      </c>
      <c r="F4864" s="87" t="str">
        <f>IFERROR(__xludf.DUMMYFUNCTION("""COMPUTED_VALUE"""),"HH4089")</f>
        <v>HH4089</v>
      </c>
      <c r="G4864" s="87" t="str">
        <f>IFERROR(__xludf.DUMMYFUNCTION("""COMPUTED_VALUE"""),"DR.XANH - VIII - 4089 - DR.XTRESS (Nước nâu đen) - 250ml - 40")</f>
        <v>DR.XANH - VIII - 4089 - DR.XTRESS (Nước nâu đen) - 250ml - 40</v>
      </c>
    </row>
    <row r="4865">
      <c r="A4865" s="86">
        <f>IFERROR(__xludf.DUMMYFUNCTION("""COMPUTED_VALUE"""),4863.0)</f>
        <v>4863</v>
      </c>
      <c r="B4865" s="87" t="str">
        <f>IFERROR(__xludf.DUMMYFUNCTION("""COMPUTED_VALUE"""),"[Nhãn]")</f>
        <v>[Nhãn]</v>
      </c>
      <c r="C4865" s="87" t="str">
        <f>IFERROR(__xludf.DUMMYFUNCTION("""COMPUTED_VALUE"""),"NHG4097")</f>
        <v>NHG4097</v>
      </c>
      <c r="D4865" s="87" t="str">
        <f>IFERROR(__xludf.DUMMYFUNCTION("""COMPUTED_VALUE"""),"[Nhãn]  GC - IV - 4097  - CTY ITALY - PHALAM (Nước đỏ) - 1L - 20")</f>
        <v>[Nhãn]  GC - IV - 4097  - CTY ITALY - PHALAM (Nước đỏ) - 1L - 20</v>
      </c>
      <c r="E4865" s="87" t="str">
        <f>IFERROR(__xludf.DUMMYFUNCTION("""COMPUTED_VALUE"""),"GLUFOCIDE 200SL")</f>
        <v>GLUFOCIDE 200SL</v>
      </c>
      <c r="F4865" s="87" t="str">
        <f>IFERROR(__xludf.DUMMYFUNCTION("""COMPUTED_VALUE"""),"HH4097")</f>
        <v>HH4097</v>
      </c>
      <c r="G4865" s="87" t="str">
        <f>IFERROR(__xludf.DUMMYFUNCTION("""COMPUTED_VALUE"""),"GC - IV - 4097  - CTY ITALY - PHALAM (Nước đỏ) - 1L - 20")</f>
        <v>GC - IV - 4097  - CTY ITALY - PHALAM (Nước đỏ) - 1L - 20</v>
      </c>
    </row>
    <row r="4866">
      <c r="A4866" s="86">
        <f>IFERROR(__xludf.DUMMYFUNCTION("""COMPUTED_VALUE"""),4864.0)</f>
        <v>4864</v>
      </c>
      <c r="B4866" s="87" t="str">
        <f>IFERROR(__xludf.DUMMYFUNCTION("""COMPUTED_VALUE"""),"[Nhãn]")</f>
        <v>[Nhãn]</v>
      </c>
      <c r="C4866" s="87" t="str">
        <f>IFERROR(__xludf.DUMMYFUNCTION("""COMPUTED_VALUE"""),"NHG3999")</f>
        <v>NHG3999</v>
      </c>
      <c r="D4866" s="87" t="str">
        <f>IFERROR(__xludf.DUMMYFUNCTION("""COMPUTED_VALUE"""),"[Nhãn] GC - IV - 3999 - CTY NAUY - GALAXY (Nước nâu đen) - 500ml - 40")</f>
        <v>[Nhãn] GC - IV - 3999 - CTY NAUY - GALAXY (Nước nâu đen) - 500ml - 40</v>
      </c>
      <c r="E4866" s="87" t="str">
        <f>IFERROR(__xludf.DUMMYFUNCTION("""COMPUTED_VALUE"""),"Vi lượng AGAMA-SUPPORT")</f>
        <v>Vi lượng AGAMA-SUPPORT</v>
      </c>
      <c r="F4866" s="87" t="str">
        <f>IFERROR(__xludf.DUMMYFUNCTION("""COMPUTED_VALUE"""),"HH3999")</f>
        <v>HH3999</v>
      </c>
      <c r="G4866" s="87" t="str">
        <f>IFERROR(__xludf.DUMMYFUNCTION("""COMPUTED_VALUE"""),"GC - IV - 3999 - CTY NAUY - GALAXY (Nước nâu đen) - 500ml - 40")</f>
        <v>GC - IV - 3999 - CTY NAUY - GALAXY (Nước nâu đen) - 500ml - 40</v>
      </c>
    </row>
    <row r="4867">
      <c r="A4867" s="86">
        <f>IFERROR(__xludf.DUMMYFUNCTION("""COMPUTED_VALUE"""),4865.0)</f>
        <v>4865</v>
      </c>
      <c r="B4867" s="87" t="str">
        <f>IFERROR(__xludf.DUMMYFUNCTION("""COMPUTED_VALUE"""),"[Nhãn]")</f>
        <v>[Nhãn]</v>
      </c>
      <c r="C4867" s="87" t="str">
        <f>IFERROR(__xludf.DUMMYFUNCTION("""COMPUTED_VALUE"""),"NTN3891")</f>
        <v>NTN3891</v>
      </c>
      <c r="D4867" s="87" t="str">
        <f>IFERROR(__xludf.DUMMYFUNCTION("""COMPUTED_VALUE"""),"[Nhãn] GC - IV - 3891 - MANCO GREEN (Bột xanh) - 1kg - 20")</f>
        <v>[Nhãn] GC - IV - 3891 - MANCO GREEN (Bột xanh) - 1kg - 20</v>
      </c>
      <c r="E4867" s="87" t="str">
        <f>IFERROR(__xludf.DUMMYFUNCTION("""COMPUTED_VALUE"""),"MANCOBGO 80WP")</f>
        <v>MANCOBGO 80WP</v>
      </c>
      <c r="F4867" s="87" t="str">
        <f>IFERROR(__xludf.DUMMYFUNCTION("""COMPUTED_VALUE"""),"HH3891")</f>
        <v>HH3891</v>
      </c>
      <c r="G4867" s="87" t="str">
        <f>IFERROR(__xludf.DUMMYFUNCTION("""COMPUTED_VALUE"""),"GC - IV - 3891 - MANCO GREEN (Bột xanh) - 1kg - 20")</f>
        <v>GC - IV - 3891 - MANCO GREEN (Bột xanh) - 1kg - 20</v>
      </c>
    </row>
    <row r="4868">
      <c r="A4868" s="86">
        <f>IFERROR(__xludf.DUMMYFUNCTION("""COMPUTED_VALUE"""),4866.0)</f>
        <v>4866</v>
      </c>
      <c r="B4868" s="87" t="str">
        <f>IFERROR(__xludf.DUMMYFUNCTION("""COMPUTED_VALUE"""),"[Nhãn]")</f>
        <v>[Nhãn]</v>
      </c>
      <c r="C4868" s="87" t="str">
        <f>IFERROR(__xludf.DUMMYFUNCTION("""COMPUTED_VALUE"""),"NHD3743")</f>
        <v>NHD3743</v>
      </c>
      <c r="D4868" s="87" t="str">
        <f>IFERROR(__xludf.DUMMYFUNCTION("""COMPUTED_VALUE"""),"[Nhãn] 5GC - IV - 3743 - Cty Quang Đăng Agriculture - ĐL LÂM THANH TRÍ - KIM TRỤ (Nước nâu đen) - 500ml - 40")</f>
        <v>[Nhãn] 5GC - IV - 3743 - Cty Quang Đăng Agriculture - ĐL LÂM THANH TRÍ - KIM TRỤ (Nước nâu đen) - 500ml - 40</v>
      </c>
      <c r="E4868" s="87" t="str">
        <f>IFERROR(__xludf.DUMMYFUNCTION("""COMPUTED_VALUE"""),"Hữu Cơ Crops Care")</f>
        <v>Hữu Cơ Crops Care</v>
      </c>
      <c r="F4868" s="87" t="str">
        <f>IFERROR(__xludf.DUMMYFUNCTION("""COMPUTED_VALUE"""),"HH3743")</f>
        <v>HH3743</v>
      </c>
      <c r="G4868" s="87" t="str">
        <f>IFERROR(__xludf.DUMMYFUNCTION("""COMPUTED_VALUE"""),"5GC - IV - 3743 - Cty Quang Đăng Agriculture - ĐL LÂM THANH TRÍ - KIM TRỤ (Nước nâu đen) - 500ml - 40")</f>
        <v>5GC - IV - 3743 - Cty Quang Đăng Agriculture - ĐL LÂM THANH TRÍ - KIM TRỤ (Nước nâu đen) - 500ml - 40</v>
      </c>
    </row>
    <row r="4869">
      <c r="A4869" s="86">
        <f>IFERROR(__xludf.DUMMYFUNCTION("""COMPUTED_VALUE"""),4867.0)</f>
        <v>4867</v>
      </c>
      <c r="B4869" s="87" t="str">
        <f>IFERROR(__xludf.DUMMYFUNCTION("""COMPUTED_VALUE"""),"[Nhãn]")</f>
        <v>[Nhãn]</v>
      </c>
      <c r="C4869" s="87" t="str">
        <f>IFERROR(__xludf.DUMMYFUNCTION("""COMPUTED_VALUE"""),"NHG4119")</f>
        <v>NHG4119</v>
      </c>
      <c r="D4869" s="87" t="str">
        <f>IFERROR(__xludf.DUMMYFUNCTION("""COMPUTED_VALUE"""),"[Nhãn] GC - IV - 4119 - CTY THIÊN DI - JAPA VIL 110SC (Nước xanh dương) - 1L - 20")</f>
        <v>[Nhãn] GC - IV - 4119 - CTY THIÊN DI - JAPA VIL 110SC (Nước xanh dương) - 1L - 20</v>
      </c>
      <c r="E4869" s="87" t="str">
        <f>IFERROR(__xludf.DUMMYFUNCTION("""COMPUTED_VALUE"""),"JAPA VIL 110SC")</f>
        <v>JAPA VIL 110SC</v>
      </c>
      <c r="F4869" s="87" t="str">
        <f>IFERROR(__xludf.DUMMYFUNCTION("""COMPUTED_VALUE"""),"HH4119")</f>
        <v>HH4119</v>
      </c>
      <c r="G4869" s="87" t="str">
        <f>IFERROR(__xludf.DUMMYFUNCTION("""COMPUTED_VALUE"""),"GC - IV - 4119 - CTY THIÊN DI - JAPA VIL 110SC (Nước xanh dương) - 1L - 20")</f>
        <v>GC - IV - 4119 - CTY THIÊN DI - JAPA VIL 110SC (Nước xanh dương) - 1L - 20</v>
      </c>
    </row>
    <row r="4870">
      <c r="A4870" s="86">
        <f>IFERROR(__xludf.DUMMYFUNCTION("""COMPUTED_VALUE"""),4868.0)</f>
        <v>4868</v>
      </c>
      <c r="B4870" s="87" t="str">
        <f>IFERROR(__xludf.DUMMYFUNCTION("""COMPUTED_VALUE"""),"[Nhãn]")</f>
        <v>[Nhãn]</v>
      </c>
      <c r="C4870" s="87" t="str">
        <f>IFERROR(__xludf.DUMMYFUNCTION("""COMPUTED_VALUE"""),"NHD4096")</f>
        <v>NHD4096</v>
      </c>
      <c r="D4870" s="87" t="str">
        <f>IFERROR(__xludf.DUMMYFUNCTION("""COMPUTED_VALUE"""),"[Nhãn] GC - IV -  4096 - Agritech - Creek 2.1EC (Pet vuông)(nắp trắng)(nước đỏ) - 400ml - 40")</f>
        <v>[Nhãn] GC - IV -  4096 - Agritech - Creek 2.1EC (Pet vuông)(nắp trắng)(nước đỏ) - 400ml - 40</v>
      </c>
      <c r="E4870" s="87" t="str">
        <f>IFERROR(__xludf.DUMMYFUNCTION("""COMPUTED_VALUE"""),"CREEK 2.1EC")</f>
        <v>CREEK 2.1EC</v>
      </c>
      <c r="F4870" s="87" t="str">
        <f>IFERROR(__xludf.DUMMYFUNCTION("""COMPUTED_VALUE"""),"HH4096")</f>
        <v>HH4096</v>
      </c>
      <c r="G4870" s="87" t="str">
        <f>IFERROR(__xludf.DUMMYFUNCTION("""COMPUTED_VALUE"""),"GC - IV -  4096 - Agritech - Creek 2.1EC (Pet vuông)(nắp trắng)(nước đỏ) - 400ml - 40")</f>
        <v>GC - IV -  4096 - Agritech - Creek 2.1EC (Pet vuông)(nắp trắng)(nước đỏ) - 400ml - 40</v>
      </c>
    </row>
    <row r="4871">
      <c r="A4871" s="86">
        <f>IFERROR(__xludf.DUMMYFUNCTION("""COMPUTED_VALUE"""),4869.0)</f>
        <v>4869</v>
      </c>
      <c r="B4871" s="87" t="str">
        <f>IFERROR(__xludf.DUMMYFUNCTION("""COMPUTED_VALUE"""),"[Nhãn]")</f>
        <v>[Nhãn]</v>
      </c>
      <c r="C4871" s="87" t="str">
        <f>IFERROR(__xludf.DUMMYFUNCTION("""COMPUTED_VALUE"""),"NTN4095")</f>
        <v>NTN4095</v>
      </c>
      <c r="D4871" s="87" t="str">
        <f>IFERROR(__xludf.DUMMYFUNCTION("""COMPUTED_VALUE"""),"[Nhãn] IDA Global - I - 4095 - Pim.Pim 75WP (Bột cam) - 100gr - 100")</f>
        <v>[Nhãn] IDA Global - I - 4095 - Pim.Pim 75WP (Bột cam) - 100gr - 100</v>
      </c>
      <c r="E4871" s="87" t="str">
        <f>IFERROR(__xludf.DUMMYFUNCTION("""COMPUTED_VALUE"""),"Pim.Pim 75WP")</f>
        <v>Pim.Pim 75WP</v>
      </c>
      <c r="F4871" s="87" t="str">
        <f>IFERROR(__xludf.DUMMYFUNCTION("""COMPUTED_VALUE"""),"HH4095")</f>
        <v>HH4095</v>
      </c>
      <c r="G4871" s="87" t="str">
        <f>IFERROR(__xludf.DUMMYFUNCTION("""COMPUTED_VALUE"""),"IDA Global - I - 4095 - Pim.Pim 75WP (Bột cam) - 100gr - 100")</f>
        <v>IDA Global - I - 4095 - Pim.Pim 75WP (Bột cam) - 100gr - 100</v>
      </c>
    </row>
    <row r="4872">
      <c r="A4872" s="86">
        <f>IFERROR(__xludf.DUMMYFUNCTION("""COMPUTED_VALUE"""),4870.0)</f>
        <v>4870</v>
      </c>
      <c r="B4872" s="87" t="str">
        <f>IFERROR(__xludf.DUMMYFUNCTION("""COMPUTED_VALUE"""),"[Nhãn thùng]")</f>
        <v>[Nhãn thùng]</v>
      </c>
      <c r="C4872" s="87" t="str">
        <f>IFERROR(__xludf.DUMMYFUNCTION("""COMPUTED_VALUE"""),"NDT3891")</f>
        <v>NDT3891</v>
      </c>
      <c r="D4872" s="87" t="str">
        <f>IFERROR(__xludf.DUMMYFUNCTION("""COMPUTED_VALUE"""),"[Nhãn thùng] GC - IV - 3891 - MANCO GREEN (Bột xanh) - 1kg - 20")</f>
        <v>[Nhãn thùng] GC - IV - 3891 - MANCO GREEN (Bột xanh) - 1kg - 20</v>
      </c>
      <c r="E4872" s="87" t="str">
        <f>IFERROR(__xludf.DUMMYFUNCTION("""COMPUTED_VALUE"""),"MANCOBGO 80WP")</f>
        <v>MANCOBGO 80WP</v>
      </c>
      <c r="F4872" s="87" t="str">
        <f>IFERROR(__xludf.DUMMYFUNCTION("""COMPUTED_VALUE"""),"HH3891")</f>
        <v>HH3891</v>
      </c>
      <c r="G4872" s="87" t="str">
        <f>IFERROR(__xludf.DUMMYFUNCTION("""COMPUTED_VALUE"""),"GC - IV - 3891 - MANCO GREEN (Bột xanh) - 1kg - 20")</f>
        <v>GC - IV - 3891 - MANCO GREEN (Bột xanh) - 1kg - 20</v>
      </c>
    </row>
    <row r="4873">
      <c r="A4873" s="86">
        <f>IFERROR(__xludf.DUMMYFUNCTION("""COMPUTED_VALUE"""),4871.0)</f>
        <v>4871</v>
      </c>
      <c r="B4873" s="87" t="str">
        <f>IFERROR(__xludf.DUMMYFUNCTION("""COMPUTED_VALUE"""),"[Nhãn]")</f>
        <v>[Nhãn]</v>
      </c>
      <c r="C4873" s="87" t="str">
        <f>IFERROR(__xludf.DUMMYFUNCTION("""COMPUTED_VALUE"""),"NTN4047")</f>
        <v>NTN4047</v>
      </c>
      <c r="D4873" s="87" t="str">
        <f>IFERROR(__xludf.DUMMYFUNCTION("""COMPUTED_VALUE"""),"[Nhãn] IDA Global - I - 4047 - Ra Rễ - Mập Chồi (Nước hồng) - 50ml - 300")</f>
        <v>[Nhãn] IDA Global - I - 4047 - Ra Rễ - Mập Chồi (Nước hồng) - 50ml - 300</v>
      </c>
      <c r="E4873" s="87" t="str">
        <f>IFERROR(__xludf.DUMMYFUNCTION("""COMPUTED_VALUE"""),"Hỗn hợp NPK BASEL NPK 6-16-3 IDA 15")</f>
        <v>Hỗn hợp NPK BASEL NPK 6-16-3 IDA 15</v>
      </c>
      <c r="F4873" s="87" t="str">
        <f>IFERROR(__xludf.DUMMYFUNCTION("""COMPUTED_VALUE"""),"HH4047")</f>
        <v>HH4047</v>
      </c>
      <c r="G4873" s="87" t="str">
        <f>IFERROR(__xludf.DUMMYFUNCTION("""COMPUTED_VALUE"""),"IDA Global - I - 4047 - Ra Rễ - Mập Chồi (Nước hồng) - 50ml - 300")</f>
        <v>IDA Global - I - 4047 - Ra Rễ - Mập Chồi (Nước hồng) - 50ml - 300</v>
      </c>
    </row>
    <row r="4874">
      <c r="A4874" s="86">
        <f>IFERROR(__xludf.DUMMYFUNCTION("""COMPUTED_VALUE"""),4872.0)</f>
        <v>4872</v>
      </c>
      <c r="B4874" s="87" t="str">
        <f>IFERROR(__xludf.DUMMYFUNCTION("""COMPUTED_VALUE"""),"[Nhãn]")</f>
        <v>[Nhãn]</v>
      </c>
      <c r="C4874" s="87" t="str">
        <f>IFERROR(__xludf.DUMMYFUNCTION("""COMPUTED_VALUE"""),"NHG4090")</f>
        <v>NHG4090</v>
      </c>
      <c r="D4874" s="87" t="str">
        <f>IFERROR(__xludf.DUMMYFUNCTION("""COMPUTED_VALUE"""),"[Nhãn] IDA Global - I - 4090 - IDA ORGANIC X2 (Nước nâu đen) - 1L - 20")</f>
        <v>[Nhãn] IDA Global - I - 4090 - IDA ORGANIC X2 (Nước nâu đen) - 1L - 20</v>
      </c>
      <c r="E4874" s="87" t="str">
        <f>IFERROR(__xludf.DUMMYFUNCTION("""COMPUTED_VALUE"""),"Hữu cơ SH Agro Organic Fertilizer 20")</f>
        <v>Hữu cơ SH Agro Organic Fertilizer 20</v>
      </c>
      <c r="F4874" s="87" t="str">
        <f>IFERROR(__xludf.DUMMYFUNCTION("""COMPUTED_VALUE"""),"HH4090")</f>
        <v>HH4090</v>
      </c>
      <c r="G4874" s="87" t="str">
        <f>IFERROR(__xludf.DUMMYFUNCTION("""COMPUTED_VALUE"""),"IDA Global - I - 4090 - IDA ORGANIC X2 (Nước nâu đen) - 1L - 20")</f>
        <v>IDA Global - I - 4090 - IDA ORGANIC X2 (Nước nâu đen) - 1L - 20</v>
      </c>
    </row>
    <row r="4875">
      <c r="A4875" s="86">
        <f>IFERROR(__xludf.DUMMYFUNCTION("""COMPUTED_VALUE"""),4873.0)</f>
        <v>4873</v>
      </c>
      <c r="B4875" s="87" t="str">
        <f>IFERROR(__xludf.DUMMYFUNCTION("""COMPUTED_VALUE"""),"[Nhãn]")</f>
        <v>[Nhãn]</v>
      </c>
      <c r="C4875" s="87" t="str">
        <f>IFERROR(__xludf.DUMMYFUNCTION("""COMPUTED_VALUE"""),"NHG4092")</f>
        <v>NHG4092</v>
      </c>
      <c r="D4875" s="87" t="str">
        <f>IFERROR(__xludf.DUMMYFUNCTION("""COMPUTED_VALUE"""),"[Nhãn]  IDA Global - I - 4092 - Flower Top Chuyên Lúa Và Rau Màu (drone) (Nước trắng sữa) - 450ml - 40")</f>
        <v>[Nhãn]  IDA Global - I - 4092 - Flower Top Chuyên Lúa Và Rau Màu (drone) (Nước trắng sữa) - 450ml - 40</v>
      </c>
      <c r="E4875" s="87" t="str">
        <f>IFERROR(__xludf.DUMMYFUNCTION("""COMPUTED_VALUE"""),"Vi lượng Basel IDA 47")</f>
        <v>Vi lượng Basel IDA 47</v>
      </c>
      <c r="F4875" s="87" t="str">
        <f>IFERROR(__xludf.DUMMYFUNCTION("""COMPUTED_VALUE"""),"HH4092")</f>
        <v>HH4092</v>
      </c>
      <c r="G4875" s="87" t="str">
        <f>IFERROR(__xludf.DUMMYFUNCTION("""COMPUTED_VALUE"""),"IDA Global - I - 4092 - Flower Top Chuyên Lúa Và Rau Màu (drone) (Nước trắng sữa) - 450ml - 40")</f>
        <v>IDA Global - I - 4092 - Flower Top Chuyên Lúa Và Rau Màu (drone) (Nước trắng sữa) - 450ml - 40</v>
      </c>
    </row>
    <row r="4876">
      <c r="A4876" s="86">
        <f>IFERROR(__xludf.DUMMYFUNCTION("""COMPUTED_VALUE"""),4874.0)</f>
        <v>4874</v>
      </c>
      <c r="B4876" s="87" t="str">
        <f>IFERROR(__xludf.DUMMYFUNCTION("""COMPUTED_VALUE"""),"[Nhãn]")</f>
        <v>[Nhãn]</v>
      </c>
      <c r="C4876" s="87" t="str">
        <f>IFERROR(__xludf.DUMMYFUNCTION("""COMPUTED_VALUE"""),"NHG4093")</f>
        <v>NHG4093</v>
      </c>
      <c r="D4876" s="87" t="str">
        <f>IFERROR(__xludf.DUMMYFUNCTION("""COMPUTED_VALUE"""),"[Nhãn] IDA Global - I - 4093 - Flower Top Chuyên Cây Ăn Trái (drone) - 450ml - 40")</f>
        <v>[Nhãn] IDA Global - I - 4093 - Flower Top Chuyên Cây Ăn Trái (drone) - 450ml - 40</v>
      </c>
      <c r="E4876" s="87" t="str">
        <f>IFERROR(__xludf.DUMMYFUNCTION("""COMPUTED_VALUE"""),"Vi lượng Basel IDA 47")</f>
        <v>Vi lượng Basel IDA 47</v>
      </c>
      <c r="F4876" s="87" t="str">
        <f>IFERROR(__xludf.DUMMYFUNCTION("""COMPUTED_VALUE"""),"HH4093")</f>
        <v>HH4093</v>
      </c>
      <c r="G4876" s="87" t="str">
        <f>IFERROR(__xludf.DUMMYFUNCTION("""COMPUTED_VALUE"""),"IDA Global - I - 4093 - Flower Top Chuyên Cây Ăn Trái (drone) - 450ml - 40")</f>
        <v>IDA Global - I - 4093 - Flower Top Chuyên Cây Ăn Trái (drone) - 450ml - 40</v>
      </c>
    </row>
    <row r="4877">
      <c r="A4877" s="86">
        <f>IFERROR(__xludf.DUMMYFUNCTION("""COMPUTED_VALUE"""),4875.0)</f>
        <v>4875</v>
      </c>
      <c r="B4877" s="87" t="str">
        <f>IFERROR(__xludf.DUMMYFUNCTION("""COMPUTED_VALUE"""),"[Nhãn]")</f>
        <v>[Nhãn]</v>
      </c>
      <c r="C4877" s="87" t="str">
        <f>IFERROR(__xludf.DUMMYFUNCTION("""COMPUTED_VALUE"""),"NTN4116")</f>
        <v>NTN4116</v>
      </c>
      <c r="D4877" s="87" t="str">
        <f>IFERROR(__xludf.DUMMYFUNCTION("""COMPUTED_VALUE"""),"[Nhãn] BAMBOO - VI - 4116 - BAMBOO OXYCIN (Bột vàng nhạt) - 100gr - 100")</f>
        <v>[Nhãn] BAMBOO - VI - 4116 - BAMBOO OXYCIN (Bột vàng nhạt) - 100gr - 100</v>
      </c>
      <c r="E4877" s="87" t="str">
        <f>IFERROR(__xludf.DUMMYFUNCTION("""COMPUTED_VALUE"""),"Oxycin 100WP")</f>
        <v>Oxycin 100WP</v>
      </c>
      <c r="F4877" s="87" t="str">
        <f>IFERROR(__xludf.DUMMYFUNCTION("""COMPUTED_VALUE"""),"HH4116")</f>
        <v>HH4116</v>
      </c>
      <c r="G4877" s="87" t="str">
        <f>IFERROR(__xludf.DUMMYFUNCTION("""COMPUTED_VALUE"""),"BAMBOO - VI - 4116 - BAMBOO OXYCIN (Bột vàng nhạt) - 100gr - 100")</f>
        <v>BAMBOO - VI - 4116 - BAMBOO OXYCIN (Bột vàng nhạt) - 100gr - 100</v>
      </c>
    </row>
    <row r="4878">
      <c r="A4878" s="86">
        <f>IFERROR(__xludf.DUMMYFUNCTION("""COMPUTED_VALUE"""),4876.0)</f>
        <v>4876</v>
      </c>
      <c r="B4878" s="87" t="str">
        <f>IFERROR(__xludf.DUMMYFUNCTION("""COMPUTED_VALUE"""),"[Nhãn thùng]")</f>
        <v>[Nhãn thùng]</v>
      </c>
      <c r="C4878" s="87" t="str">
        <f>IFERROR(__xludf.DUMMYFUNCTION("""COMPUTED_VALUE"""),"NDT3743")</f>
        <v>NDT3743</v>
      </c>
      <c r="D4878" s="87" t="str">
        <f>IFERROR(__xludf.DUMMYFUNCTION("""COMPUTED_VALUE"""),"[Nhãn thùng] 5GC - IV - 3743 - Cty Quang Đăng Agriculture - ĐL LÂM THANH TRÍ - KIM TRỤ (Nước nâu đen) - 500ml - 40")</f>
        <v>[Nhãn thùng] 5GC - IV - 3743 - Cty Quang Đăng Agriculture - ĐL LÂM THANH TRÍ - KIM TRỤ (Nước nâu đen) - 500ml - 40</v>
      </c>
      <c r="E4878" s="87" t="str">
        <f>IFERROR(__xludf.DUMMYFUNCTION("""COMPUTED_VALUE"""),"Hữu Cơ Crops Care")</f>
        <v>Hữu Cơ Crops Care</v>
      </c>
      <c r="F4878" s="87" t="str">
        <f>IFERROR(__xludf.DUMMYFUNCTION("""COMPUTED_VALUE"""),"HH3743")</f>
        <v>HH3743</v>
      </c>
      <c r="G4878" s="87" t="str">
        <f>IFERROR(__xludf.DUMMYFUNCTION("""COMPUTED_VALUE"""),"5GC - IV - 3743 - Cty Quang Đăng Agriculture - ĐL LÂM THANH TRÍ - KIM TRỤ (Nước nâu đen) - 500ml - 40")</f>
        <v>5GC - IV - 3743 - Cty Quang Đăng Agriculture - ĐL LÂM THANH TRÍ - KIM TRỤ (Nước nâu đen) - 500ml - 40</v>
      </c>
    </row>
    <row r="4879">
      <c r="A4879" s="86">
        <f>IFERROR(__xludf.DUMMYFUNCTION("""COMPUTED_VALUE"""),4877.0)</f>
        <v>4877</v>
      </c>
      <c r="B4879" s="87" t="str">
        <f>IFERROR(__xludf.DUMMYFUNCTION("""COMPUTED_VALUE"""),"[Nhãn thùng]")</f>
        <v>[Nhãn thùng]</v>
      </c>
      <c r="C4879" s="87" t="str">
        <f>IFERROR(__xludf.DUMMYFUNCTION("""COMPUTED_VALUE"""),"NDT4047")</f>
        <v>NDT4047</v>
      </c>
      <c r="D4879" s="87" t="str">
        <f>IFERROR(__xludf.DUMMYFUNCTION("""COMPUTED_VALUE"""),"[Nhãn thùng] IDA Global - I - 4047 - Ra Rễ - Mập Chồi (Nước hồng) - 50ml - 300")</f>
        <v>[Nhãn thùng] IDA Global - I - 4047 - Ra Rễ - Mập Chồi (Nước hồng) - 50ml - 300</v>
      </c>
      <c r="E4879" s="87" t="str">
        <f>IFERROR(__xludf.DUMMYFUNCTION("""COMPUTED_VALUE"""),"Hỗn hợp NPK BASEL NPK 6-16-3 IDA 15")</f>
        <v>Hỗn hợp NPK BASEL NPK 6-16-3 IDA 15</v>
      </c>
      <c r="F4879" s="87" t="str">
        <f>IFERROR(__xludf.DUMMYFUNCTION("""COMPUTED_VALUE"""),"HH4047")</f>
        <v>HH4047</v>
      </c>
      <c r="G4879" s="87" t="str">
        <f>IFERROR(__xludf.DUMMYFUNCTION("""COMPUTED_VALUE"""),"IDA Global - I - 4047 - Ra Rễ - Mập Chồi (Nước hồng) - 50ml - 300")</f>
        <v>IDA Global - I - 4047 - Ra Rễ - Mập Chồi (Nước hồng) - 50ml - 300</v>
      </c>
    </row>
    <row r="4880">
      <c r="A4880" s="86">
        <f>IFERROR(__xludf.DUMMYFUNCTION("""COMPUTED_VALUE"""),4878.0)</f>
        <v>4878</v>
      </c>
      <c r="B4880" s="87" t="str">
        <f>IFERROR(__xludf.DUMMYFUNCTION("""COMPUTED_VALUE"""),"[Nhãn thùng]")</f>
        <v>[Nhãn thùng]</v>
      </c>
      <c r="C4880" s="87" t="str">
        <f>IFERROR(__xludf.DUMMYFUNCTION("""COMPUTED_VALUE"""),"NDT4092")</f>
        <v>NDT4092</v>
      </c>
      <c r="D4880" s="87" t="str">
        <f>IFERROR(__xludf.DUMMYFUNCTION("""COMPUTED_VALUE"""),"[Nhãn thùng]  IDA Global - I - 4092 - Flower Top Chuyên Lúa Và Rau Màu (drone) (Nước trắng sữa) - 450ml - 40")</f>
        <v>[Nhãn thùng]  IDA Global - I - 4092 - Flower Top Chuyên Lúa Và Rau Màu (drone) (Nước trắng sữa) - 450ml - 40</v>
      </c>
      <c r="E4880" s="87" t="str">
        <f>IFERROR(__xludf.DUMMYFUNCTION("""COMPUTED_VALUE"""),"Vi lượng Basel IDA 47")</f>
        <v>Vi lượng Basel IDA 47</v>
      </c>
      <c r="F4880" s="87" t="str">
        <f>IFERROR(__xludf.DUMMYFUNCTION("""COMPUTED_VALUE"""),"HH4092")</f>
        <v>HH4092</v>
      </c>
      <c r="G4880" s="87" t="str">
        <f>IFERROR(__xludf.DUMMYFUNCTION("""COMPUTED_VALUE"""),"IDA Global - I - 4092 - Flower Top Chuyên Lúa Và Rau Màu (drone) (Nước trắng sữa) - 450ml - 40")</f>
        <v>IDA Global - I - 4092 - Flower Top Chuyên Lúa Và Rau Màu (drone) (Nước trắng sữa) - 450ml - 40</v>
      </c>
    </row>
    <row r="4881">
      <c r="A4881" s="86">
        <f>IFERROR(__xludf.DUMMYFUNCTION("""COMPUTED_VALUE"""),4879.0)</f>
        <v>4879</v>
      </c>
      <c r="B4881" s="87" t="str">
        <f>IFERROR(__xludf.DUMMYFUNCTION("""COMPUTED_VALUE"""),"[Nhãn thùng]")</f>
        <v>[Nhãn thùng]</v>
      </c>
      <c r="C4881" s="87" t="str">
        <f>IFERROR(__xludf.DUMMYFUNCTION("""COMPUTED_VALUE"""),"NDT4093")</f>
        <v>NDT4093</v>
      </c>
      <c r="D4881" s="87" t="str">
        <f>IFERROR(__xludf.DUMMYFUNCTION("""COMPUTED_VALUE"""),"[Nhãn thùng] IDA Global - I - 4093 - Flower Top Chuyên Cây Ăn Trái (drone) - 450ml - 40")</f>
        <v>[Nhãn thùng] IDA Global - I - 4093 - Flower Top Chuyên Cây Ăn Trái (drone) - 450ml - 40</v>
      </c>
      <c r="E4881" s="87" t="str">
        <f>IFERROR(__xludf.DUMMYFUNCTION("""COMPUTED_VALUE"""),"Vi lượng Basel IDA 47")</f>
        <v>Vi lượng Basel IDA 47</v>
      </c>
      <c r="F4881" s="87" t="str">
        <f>IFERROR(__xludf.DUMMYFUNCTION("""COMPUTED_VALUE"""),"HH4093")</f>
        <v>HH4093</v>
      </c>
      <c r="G4881" s="87" t="str">
        <f>IFERROR(__xludf.DUMMYFUNCTION("""COMPUTED_VALUE"""),"IDA Global - I - 4093 - Flower Top Chuyên Cây Ăn Trái (drone) - 450ml - 40")</f>
        <v>IDA Global - I - 4093 - Flower Top Chuyên Cây Ăn Trái (drone) - 450ml - 40</v>
      </c>
    </row>
    <row r="4882">
      <c r="A4882" s="86">
        <f>IFERROR(__xludf.DUMMYFUNCTION("""COMPUTED_VALUE"""),4880.0)</f>
        <v>4880</v>
      </c>
      <c r="B4882" s="87" t="str">
        <f>IFERROR(__xludf.DUMMYFUNCTION("""COMPUTED_VALUE"""),"[Nhãn thùng]")</f>
        <v>[Nhãn thùng]</v>
      </c>
      <c r="C4882" s="87" t="str">
        <f>IFERROR(__xludf.DUMMYFUNCTION("""COMPUTED_VALUE"""),"NDT4116")</f>
        <v>NDT4116</v>
      </c>
      <c r="D4882" s="87" t="str">
        <f>IFERROR(__xludf.DUMMYFUNCTION("""COMPUTED_VALUE"""),"[Nhãn thùng] BAMBOO - VI - 4116 - BAMBOO OXYCIN (Bột vàng nhạt) - 100gr - 100")</f>
        <v>[Nhãn thùng] BAMBOO - VI - 4116 - BAMBOO OXYCIN (Bột vàng nhạt) - 100gr - 100</v>
      </c>
      <c r="E4882" s="87" t="str">
        <f>IFERROR(__xludf.DUMMYFUNCTION("""COMPUTED_VALUE"""),"Oxycin 100WP")</f>
        <v>Oxycin 100WP</v>
      </c>
      <c r="F4882" s="87" t="str">
        <f>IFERROR(__xludf.DUMMYFUNCTION("""COMPUTED_VALUE"""),"HH4116")</f>
        <v>HH4116</v>
      </c>
      <c r="G4882" s="87" t="str">
        <f>IFERROR(__xludf.DUMMYFUNCTION("""COMPUTED_VALUE"""),"BAMBOO - VI - 4116 - BAMBOO OXYCIN (Bột vàng nhạt) - 100gr - 100")</f>
        <v>BAMBOO - VI - 4116 - BAMBOO OXYCIN (Bột vàng nhạt) - 100gr - 100</v>
      </c>
    </row>
    <row r="4883">
      <c r="A4883" s="86">
        <f>IFERROR(__xludf.DUMMYFUNCTION("""COMPUTED_VALUE"""),4881.0)</f>
        <v>4881</v>
      </c>
      <c r="B4883" s="87" t="str">
        <f>IFERROR(__xludf.DUMMYFUNCTION("""COMPUTED_VALUE"""),"[Nhãn]")</f>
        <v>[Nhãn]</v>
      </c>
      <c r="C4883" s="87" t="str">
        <f>IFERROR(__xludf.DUMMYFUNCTION("""COMPUTED_VALUE"""),"NHG3874")</f>
        <v>NHG3874</v>
      </c>
      <c r="D4883" s="87" t="str">
        <f>IFERROR(__xludf.DUMMYFUNCTION("""COMPUTED_VALUE"""),"[Nhãn] GC - IV - 3874 - Cty Hóa Nông Shino - VIL SHINO (Nước trắng sữa) - 1L - 20")</f>
        <v>[Nhãn] GC - IV - 3874 - Cty Hóa Nông Shino - VIL SHINO (Nước trắng sữa) - 1L - 20</v>
      </c>
      <c r="E4883" s="87" t="str">
        <f>IFERROR(__xludf.DUMMYFUNCTION("""COMPUTED_VALUE"""),"JAPA VIL 110SC")</f>
        <v>JAPA VIL 110SC</v>
      </c>
      <c r="F4883" s="87" t="str">
        <f>IFERROR(__xludf.DUMMYFUNCTION("""COMPUTED_VALUE"""),"HH3874")</f>
        <v>HH3874</v>
      </c>
      <c r="G4883" s="87" t="str">
        <f>IFERROR(__xludf.DUMMYFUNCTION("""COMPUTED_VALUE"""),"GC - IV - 3874 - Cty Hóa Nông Shino - VIL SHINO (Nước trắng sữa) - 1L - 20")</f>
        <v>GC - IV - 3874 - Cty Hóa Nông Shino - VIL SHINO (Nước trắng sữa) - 1L - 20</v>
      </c>
    </row>
    <row r="4884">
      <c r="A4884" s="86">
        <f>IFERROR(__xludf.DUMMYFUNCTION("""COMPUTED_VALUE"""),4882.0)</f>
        <v>4882</v>
      </c>
      <c r="B4884" s="87" t="str">
        <f>IFERROR(__xludf.DUMMYFUNCTION("""COMPUTED_VALUE"""),"[Nhãn]")</f>
        <v>[Nhãn]</v>
      </c>
      <c r="C4884" s="87" t="str">
        <f>IFERROR(__xludf.DUMMYFUNCTION("""COMPUTED_VALUE"""),"NHG2837")</f>
        <v>NHG2837</v>
      </c>
      <c r="D4884" s="87" t="str">
        <f>IFERROR(__xludf.DUMMYFUNCTION("""COMPUTED_VALUE"""),"[Nhãn] GC - IV - 2837 - Cty Newtex - RYLEX NEWTEX - 500ml")</f>
        <v>[Nhãn] GC - IV - 2837 - Cty Newtex - RYLEX NEWTEX - 500ml</v>
      </c>
      <c r="E4884" s="87"/>
      <c r="F4884" s="87" t="str">
        <f>IFERROR(__xludf.DUMMYFUNCTION("""COMPUTED_VALUE"""),"HH2837")</f>
        <v>HH2837</v>
      </c>
      <c r="G4884" s="87" t="str">
        <f>IFERROR(__xludf.DUMMYFUNCTION("""COMPUTED_VALUE"""),"GC - IV - 2837 - Cty Newtex - RYLEX NEWTEX - 500ml")</f>
        <v>GC - IV - 2837 - Cty Newtex - RYLEX NEWTEX - 500ml</v>
      </c>
    </row>
    <row r="4885">
      <c r="A4885" s="86">
        <f>IFERROR(__xludf.DUMMYFUNCTION("""COMPUTED_VALUE"""),4883.0)</f>
        <v>4883</v>
      </c>
      <c r="B4885" s="87" t="str">
        <f>IFERROR(__xludf.DUMMYFUNCTION("""COMPUTED_VALUE"""),"[Nhãn]")</f>
        <v>[Nhãn]</v>
      </c>
      <c r="C4885" s="87" t="str">
        <f>IFERROR(__xludf.DUMMYFUNCTION("""COMPUTED_VALUE"""),"NHD3505")</f>
        <v>NHD3505</v>
      </c>
      <c r="D4885" s="87" t="str">
        <f>IFERROR(__xludf.DUMMYFUNCTION("""COMPUTED_VALUE"""),"[Nhãn] GC - II - 3505 - A. DINH (AN KHANG) - TAK 06 (Gel nâu đen) - 20L - 1")</f>
        <v>[Nhãn] GC - II - 3505 - A. DINH (AN KHANG) - TAK 06 (Gel nâu đen) - 20L - 1</v>
      </c>
      <c r="E4885" s="87" t="str">
        <f>IFERROR(__xludf.DUMMYFUNCTION("""COMPUTED_VALUE"""),"Vi lượng Run Fast")</f>
        <v>Vi lượng Run Fast</v>
      </c>
      <c r="F4885" s="87" t="str">
        <f>IFERROR(__xludf.DUMMYFUNCTION("""COMPUTED_VALUE"""),"HH3505")</f>
        <v>HH3505</v>
      </c>
      <c r="G4885" s="87" t="str">
        <f>IFERROR(__xludf.DUMMYFUNCTION("""COMPUTED_VALUE"""),"GC - II - 3505 - A. DINH (AN KHANG) - TAK 06 (Gel nâu đen) - 20L - 1")</f>
        <v>GC - II - 3505 - A. DINH (AN KHANG) - TAK 06 (Gel nâu đen) - 20L - 1</v>
      </c>
    </row>
    <row r="4886">
      <c r="A4886" s="86">
        <f>IFERROR(__xludf.DUMMYFUNCTION("""COMPUTED_VALUE"""),4884.0)</f>
        <v>4884</v>
      </c>
      <c r="B4886" s="87" t="str">
        <f>IFERROR(__xludf.DUMMYFUNCTION("""COMPUTED_VALUE"""),"[Nhãn]")</f>
        <v>[Nhãn]</v>
      </c>
      <c r="C4886" s="87" t="str">
        <f>IFERROR(__xludf.DUMMYFUNCTION("""COMPUTED_VALUE"""),"NHD3847")</f>
        <v>NHD3847</v>
      </c>
      <c r="D4886" s="87" t="str">
        <f>IFERROR(__xludf.DUMMYFUNCTION("""COMPUTED_VALUE"""),"[Nhãn] BAMBOO - VI - 3847 - BAMBOO DOUBLE STOP (nước nâu đen) - 5L - 4")</f>
        <v>[Nhãn] BAMBOO - VI - 3847 - BAMBOO DOUBLE STOP (nước nâu đen) - 5L - 4</v>
      </c>
      <c r="E4886" s="87" t="str">
        <f>IFERROR(__xludf.DUMMYFUNCTION("""COMPUTED_VALUE"""),"Vi lượng Quantity New")</f>
        <v>Vi lượng Quantity New</v>
      </c>
      <c r="F4886" s="87" t="str">
        <f>IFERROR(__xludf.DUMMYFUNCTION("""COMPUTED_VALUE"""),"HH3847")</f>
        <v>HH3847</v>
      </c>
      <c r="G4886" s="87" t="str">
        <f>IFERROR(__xludf.DUMMYFUNCTION("""COMPUTED_VALUE"""),"BAMBOO - VI - 3847 - BAMBOO DOUBLE STOP (nước nâu đen) - 5L - 4")</f>
        <v>BAMBOO - VI - 3847 - BAMBOO DOUBLE STOP (nước nâu đen) - 5L - 4</v>
      </c>
    </row>
    <row r="4887">
      <c r="A4887" s="86">
        <f>IFERROR(__xludf.DUMMYFUNCTION("""COMPUTED_VALUE"""),4885.0)</f>
        <v>4885</v>
      </c>
      <c r="B4887" s="87" t="str">
        <f>IFERROR(__xludf.DUMMYFUNCTION("""COMPUTED_VALUE"""),"[Nhãn]")</f>
        <v>[Nhãn]</v>
      </c>
      <c r="C4887" s="87" t="str">
        <f>IFERROR(__xludf.DUMMYFUNCTION("""COMPUTED_VALUE"""),"NHG3880")</f>
        <v>NHG3880</v>
      </c>
      <c r="D4887" s="87" t="str">
        <f>IFERROR(__xludf.DUMMYFUNCTION("""COMPUTED_VALUE"""),"[Nhãn] LOT IDA Global - I - 3880 - ĐL HOÀNG EM - HAIHAMEC 3.6EC (Nước nâu đen) - 450ml - 40")</f>
        <v>[Nhãn] LOT IDA Global - I - 3880 - ĐL HOÀNG EM - HAIHAMEC 3.6EC (Nước nâu đen) - 450ml - 40</v>
      </c>
      <c r="E4887" s="87" t="str">
        <f>IFERROR(__xludf.DUMMYFUNCTION("""COMPUTED_VALUE"""),"HAIHAMEC 3.6EC")</f>
        <v>HAIHAMEC 3.6EC</v>
      </c>
      <c r="F4887" s="87" t="str">
        <f>IFERROR(__xludf.DUMMYFUNCTION("""COMPUTED_VALUE"""),"HH3880")</f>
        <v>HH3880</v>
      </c>
      <c r="G4887" s="87" t="str">
        <f>IFERROR(__xludf.DUMMYFUNCTION("""COMPUTED_VALUE"""),"LOT IDA Global - I - 3880 - ĐL HOÀNG EM - HAIHAMEC 3.6EC (Nước nâu đen) - 450ml - 40")</f>
        <v>LOT IDA Global - I - 3880 - ĐL HOÀNG EM - HAIHAMEC 3.6EC (Nước nâu đen) - 450ml - 40</v>
      </c>
    </row>
    <row r="4888">
      <c r="A4888" s="86">
        <f>IFERROR(__xludf.DUMMYFUNCTION("""COMPUTED_VALUE"""),4886.0)</f>
        <v>4886</v>
      </c>
      <c r="B4888" s="87" t="str">
        <f>IFERROR(__xludf.DUMMYFUNCTION("""COMPUTED_VALUE"""),"[Nhãn]")</f>
        <v>[Nhãn]</v>
      </c>
      <c r="C4888" s="87" t="str">
        <f>IFERROR(__xludf.DUMMYFUNCTION("""COMPUTED_VALUE"""),"NHG3917")</f>
        <v>NHG3917</v>
      </c>
      <c r="D4888" s="87" t="str">
        <f>IFERROR(__xludf.DUMMYFUNCTION("""COMPUTED_VALUE"""),"[Nhãn] GC - IV - 3917 - Cty Hóa Nông Shino - SHINO ĐỒNG (Nước xanh dương) - 325ml - 40")</f>
        <v>[Nhãn] GC - IV - 3917 - Cty Hóa Nông Shino - SHINO ĐỒNG (Nước xanh dương) - 325ml - 40</v>
      </c>
      <c r="E4888" s="87" t="str">
        <f>IFERROR(__xludf.DUMMYFUNCTION("""COMPUTED_VALUE"""),"Vi lượng Agama - Cu")</f>
        <v>Vi lượng Agama - Cu</v>
      </c>
      <c r="F4888" s="87" t="str">
        <f>IFERROR(__xludf.DUMMYFUNCTION("""COMPUTED_VALUE"""),"HH3917")</f>
        <v>HH3917</v>
      </c>
      <c r="G4888" s="87" t="str">
        <f>IFERROR(__xludf.DUMMYFUNCTION("""COMPUTED_VALUE"""),"GC - IV - 3917 - Cty Hóa Nông Shino - SHINO ĐỒNG (Nước xanh dương) - 325ml - 40")</f>
        <v>GC - IV - 3917 - Cty Hóa Nông Shino - SHINO ĐỒNG (Nước xanh dương) - 325ml - 40</v>
      </c>
    </row>
    <row r="4889">
      <c r="A4889" s="86">
        <f>IFERROR(__xludf.DUMMYFUNCTION("""COMPUTED_VALUE"""),4887.0)</f>
        <v>4887</v>
      </c>
      <c r="B4889" s="87" t="str">
        <f>IFERROR(__xludf.DUMMYFUNCTION("""COMPUTED_VALUE"""),"[Nhãn]")</f>
        <v>[Nhãn]</v>
      </c>
      <c r="C4889" s="87" t="str">
        <f>IFERROR(__xludf.DUMMYFUNCTION("""COMPUTED_VALUE"""),"NHG3954")</f>
        <v>NHG3954</v>
      </c>
      <c r="D4889" s="87" t="str">
        <f>IFERROR(__xludf.DUMMYFUNCTION("""COMPUTED_VALUE"""),"[Nhãn] IDA Global - I - 3954 - ĐL HOÀNG HOA - CỨNG CÂY GOLD (Nước nâu đen) - 500ml - 40")</f>
        <v>[Nhãn] IDA Global - I - 3954 - ĐL HOÀNG HOA - CỨNG CÂY GOLD (Nước nâu đen) - 500ml - 40</v>
      </c>
      <c r="E4889" s="87" t="str">
        <f>IFERROR(__xludf.DUMMYFUNCTION("""COMPUTED_VALUE"""),"Hữu cơ SH Agro Organic Fertilizer 20")</f>
        <v>Hữu cơ SH Agro Organic Fertilizer 20</v>
      </c>
      <c r="F4889" s="87" t="str">
        <f>IFERROR(__xludf.DUMMYFUNCTION("""COMPUTED_VALUE"""),"HH3954")</f>
        <v>HH3954</v>
      </c>
      <c r="G4889" s="87" t="str">
        <f>IFERROR(__xludf.DUMMYFUNCTION("""COMPUTED_VALUE"""),"IDA Global - I - 3954 - ĐL HOÀNG HOA - CỨNG CÂY GOLD (Nước nâu đen) - 500ml - 40")</f>
        <v>IDA Global - I - 3954 - ĐL HOÀNG HOA - CỨNG CÂY GOLD (Nước nâu đen) - 500ml - 40</v>
      </c>
    </row>
    <row r="4890">
      <c r="A4890" s="86">
        <f>IFERROR(__xludf.DUMMYFUNCTION("""COMPUTED_VALUE"""),4888.0)</f>
        <v>4888</v>
      </c>
      <c r="B4890" s="87" t="str">
        <f>IFERROR(__xludf.DUMMYFUNCTION("""COMPUTED_VALUE"""),"[Nhãn]")</f>
        <v>[Nhãn]</v>
      </c>
      <c r="C4890" s="87" t="str">
        <f>IFERROR(__xludf.DUMMYFUNCTION("""COMPUTED_VALUE"""),"NHG4002")</f>
        <v>NHG4002</v>
      </c>
      <c r="D4890" s="87" t="str">
        <f>IFERROR(__xludf.DUMMYFUNCTION("""COMPUTED_VALUE"""),"[Nhãn] GC - IV - 4002 - CTY NAUY - EU PROMAX (Nước đỏ) - 500ml - 40")</f>
        <v>[Nhãn] GC - IV - 4002 - CTY NAUY - EU PROMAX (Nước đỏ) - 500ml - 40</v>
      </c>
      <c r="E4890" s="87" t="str">
        <f>IFERROR(__xludf.DUMMYFUNCTION("""COMPUTED_VALUE"""),"GENOL 1.2SL")</f>
        <v>GENOL 1.2SL</v>
      </c>
      <c r="F4890" s="87" t="str">
        <f>IFERROR(__xludf.DUMMYFUNCTION("""COMPUTED_VALUE"""),"HH4002")</f>
        <v>HH4002</v>
      </c>
      <c r="G4890" s="87" t="str">
        <f>IFERROR(__xludf.DUMMYFUNCTION("""COMPUTED_VALUE"""),"GC - IV - 4002 - CTY NAUY - EU PROMAX (Nước đỏ) - 500ml - 40")</f>
        <v>GC - IV - 4002 - CTY NAUY - EU PROMAX (Nước đỏ) - 500ml - 40</v>
      </c>
    </row>
    <row r="4891">
      <c r="A4891" s="86">
        <f>IFERROR(__xludf.DUMMYFUNCTION("""COMPUTED_VALUE"""),4889.0)</f>
        <v>4889</v>
      </c>
      <c r="B4891" s="87" t="str">
        <f>IFERROR(__xludf.DUMMYFUNCTION("""COMPUTED_VALUE"""),"[Nhãn]")</f>
        <v>[Nhãn]</v>
      </c>
      <c r="C4891" s="87" t="str">
        <f>IFERROR(__xludf.DUMMYFUNCTION("""COMPUTED_VALUE"""),"NTN4083")</f>
        <v>NTN4083</v>
      </c>
      <c r="D4891" s="87" t="str">
        <f>IFERROR(__xludf.DUMMYFUNCTION("""COMPUTED_VALUE"""),"[Nhãn] GC - II - 4083 - CSSX An Khang (A.Dinh) - TAK12 (Bột màu trắng) - 1kg - 20")</f>
        <v>[Nhãn] GC - II - 4083 - CSSX An Khang (A.Dinh) - TAK12 (Bột màu trắng) - 1kg - 20</v>
      </c>
      <c r="E4891" s="87" t="str">
        <f>IFERROR(__xludf.DUMMYFUNCTION("""COMPUTED_VALUE"""),"Lá NPK-Trung-Vi Lượng GNC 08")</f>
        <v>Lá NPK-Trung-Vi Lượng GNC 08</v>
      </c>
      <c r="F4891" s="87" t="str">
        <f>IFERROR(__xludf.DUMMYFUNCTION("""COMPUTED_VALUE"""),"HH4083")</f>
        <v>HH4083</v>
      </c>
      <c r="G4891" s="87" t="str">
        <f>IFERROR(__xludf.DUMMYFUNCTION("""COMPUTED_VALUE"""),"GC - II - 4083 - CSSX An Khang (A.Dinh) - TAK12 (Bột màu trắng) - 1kg - 20")</f>
        <v>GC - II - 4083 - CSSX An Khang (A.Dinh) - TAK12 (Bột màu trắng) - 1kg - 20</v>
      </c>
    </row>
    <row r="4892">
      <c r="A4892" s="86">
        <f>IFERROR(__xludf.DUMMYFUNCTION("""COMPUTED_VALUE"""),4890.0)</f>
        <v>4890</v>
      </c>
      <c r="B4892" s="87" t="str">
        <f>IFERROR(__xludf.DUMMYFUNCTION("""COMPUTED_VALUE"""),"[Nhãn thùng]")</f>
        <v>[Nhãn thùng]</v>
      </c>
      <c r="C4892" s="87" t="str">
        <f>IFERROR(__xludf.DUMMYFUNCTION("""COMPUTED_VALUE"""),"NDT3988")</f>
        <v>NDT3988</v>
      </c>
      <c r="D4892" s="87" t="str">
        <f>IFERROR(__xludf.DUMMYFUNCTION("""COMPUTED_VALUE"""),"[Nhãn thùng] GC - IV - 3988 - CTY USAFARM - MAGIE-KẼM (Gel xanh lá) - 500ml - 40")</f>
        <v>[Nhãn thùng] GC - IV - 3988 - CTY USAFARM - MAGIE-KẼM (Gel xanh lá) - 500ml - 40</v>
      </c>
      <c r="E4892" s="87" t="str">
        <f>IFERROR(__xludf.DUMMYFUNCTION("""COMPUTED_VALUE"""),"vi lượng Phú Sĩ FJ-09 Kẽm Mg")</f>
        <v>vi lượng Phú Sĩ FJ-09 Kẽm Mg</v>
      </c>
      <c r="F4892" s="87" t="str">
        <f>IFERROR(__xludf.DUMMYFUNCTION("""COMPUTED_VALUE"""),"HH3988")</f>
        <v>HH3988</v>
      </c>
      <c r="G4892" s="87" t="str">
        <f>IFERROR(__xludf.DUMMYFUNCTION("""COMPUTED_VALUE"""),"GC - IV - 3988 - CTY USAFARM - MAGIE-KẼM (Gel xanh lá) - 500ml - 40")</f>
        <v>GC - IV - 3988 - CTY USAFARM - MAGIE-KẼM (Gel xanh lá) - 500ml - 40</v>
      </c>
    </row>
    <row r="4893">
      <c r="A4893" s="86">
        <f>IFERROR(__xludf.DUMMYFUNCTION("""COMPUTED_VALUE"""),4891.0)</f>
        <v>4891</v>
      </c>
      <c r="B4893" s="87" t="str">
        <f>IFERROR(__xludf.DUMMYFUNCTION("""COMPUTED_VALUE"""),"[Nhãn]")</f>
        <v>[Nhãn]</v>
      </c>
      <c r="C4893" s="87" t="str">
        <f>IFERROR(__xludf.DUMMYFUNCTION("""COMPUTED_VALUE"""),"NHG4121")</f>
        <v>NHG4121</v>
      </c>
      <c r="D4893" s="87" t="str">
        <f>IFERROR(__xludf.DUMMYFUNCTION("""COMPUTED_VALUE"""),"[Nhãn] GC - IV - 4121 - Gold Field - Caci-Bo (nước vàng mật ong) - 500ml - 30")</f>
        <v>[Nhãn] GC - IV - 4121 - Gold Field - Caci-Bo (nước vàng mật ong) - 500ml - 30</v>
      </c>
      <c r="E4893" s="87" t="str">
        <f>IFERROR(__xludf.DUMMYFUNCTION("""COMPUTED_VALUE"""),"Vi lượng Basel IDA 49")</f>
        <v>Vi lượng Basel IDA 49</v>
      </c>
      <c r="F4893" s="87" t="str">
        <f>IFERROR(__xludf.DUMMYFUNCTION("""COMPUTED_VALUE"""),"HH4121")</f>
        <v>HH4121</v>
      </c>
      <c r="G4893" s="87" t="str">
        <f>IFERROR(__xludf.DUMMYFUNCTION("""COMPUTED_VALUE"""),"GC - IV - 4121 - Gold Field - Caci-Bo (nước vàng mật ong) - 500ml - 30")</f>
        <v>GC - IV - 4121 - Gold Field - Caci-Bo (nước vàng mật ong) - 500ml - 30</v>
      </c>
    </row>
    <row r="4894">
      <c r="A4894" s="86">
        <f>IFERROR(__xludf.DUMMYFUNCTION("""COMPUTED_VALUE"""),4892.0)</f>
        <v>4892</v>
      </c>
      <c r="B4894" s="87" t="str">
        <f>IFERROR(__xludf.DUMMYFUNCTION("""COMPUTED_VALUE"""),"[Nhãn]")</f>
        <v>[Nhãn]</v>
      </c>
      <c r="C4894" s="87" t="str">
        <f>IFERROR(__xludf.DUMMYFUNCTION("""COMPUTED_VALUE"""),"NHG3948")</f>
        <v>NHG3948</v>
      </c>
      <c r="D4894" s="87" t="str">
        <f>IFERROR(__xludf.DUMMYFUNCTION("""COMPUTED_VALUE"""),"[Nhãn] GC - IV - 3948 - CTY HƯƠNG NÔNG - BIO HỮU CƠ (Nước nâu đen) - 10L - 1")</f>
        <v>[Nhãn] GC - IV - 3948 - CTY HƯƠNG NÔNG - BIO HỮU CƠ (Nước nâu đen) - 10L - 1</v>
      </c>
      <c r="E4894" s="87" t="str">
        <f>IFERROR(__xludf.DUMMYFUNCTION("""COMPUTED_VALUE"""),"Hữu cơ Organic BM Gold  FW")</f>
        <v>Hữu cơ Organic BM Gold  FW</v>
      </c>
      <c r="F4894" s="87" t="str">
        <f>IFERROR(__xludf.DUMMYFUNCTION("""COMPUTED_VALUE"""),"HH3948")</f>
        <v>HH3948</v>
      </c>
      <c r="G4894" s="87" t="str">
        <f>IFERROR(__xludf.DUMMYFUNCTION("""COMPUTED_VALUE"""),"GC - IV - 3948 - CTY HƯƠNG NÔNG - BIO HỮU CƠ (Nước nâu đen) - 10L - 1")</f>
        <v>GC - IV - 3948 - CTY HƯƠNG NÔNG - BIO HỮU CƠ (Nước nâu đen) - 10L - 1</v>
      </c>
    </row>
    <row r="4895">
      <c r="A4895" s="86">
        <f>IFERROR(__xludf.DUMMYFUNCTION("""COMPUTED_VALUE"""),4893.0)</f>
        <v>4893</v>
      </c>
      <c r="B4895" s="87" t="str">
        <f>IFERROR(__xludf.DUMMYFUNCTION("""COMPUTED_VALUE"""),"[Nhãn]")</f>
        <v>[Nhãn]</v>
      </c>
      <c r="C4895" s="87" t="str">
        <f>IFERROR(__xludf.DUMMYFUNCTION("""COMPUTED_VALUE"""),"NHG4124")</f>
        <v>NHG4124</v>
      </c>
      <c r="D4895" s="87" t="str">
        <f>IFERROR(__xludf.DUMMYFUNCTION("""COMPUTED_VALUE"""),"[Nhãn]  GC - IV - 4124 - Cty Hương Nông - Đậu Trái (nước vàng mật ong) - 500ml - 40")</f>
        <v>[Nhãn]  GC - IV - 4124 - Cty Hương Nông - Đậu Trái (nước vàng mật ong) - 500ml - 40</v>
      </c>
      <c r="E4895" s="87" t="str">
        <f>IFERROR(__xludf.DUMMYFUNCTION("""COMPUTED_VALUE"""),"Vi lượng Run Fast")</f>
        <v>Vi lượng Run Fast</v>
      </c>
      <c r="F4895" s="87" t="str">
        <f>IFERROR(__xludf.DUMMYFUNCTION("""COMPUTED_VALUE"""),"HH4124")</f>
        <v>HH4124</v>
      </c>
      <c r="G4895" s="87" t="str">
        <f>IFERROR(__xludf.DUMMYFUNCTION("""COMPUTED_VALUE"""),"GC - IV - 4124 - Cty Hương Nông - Đậu Trái (nước vàng mật ong) - 500ml - 40")</f>
        <v>GC - IV - 4124 - Cty Hương Nông - Đậu Trái (nước vàng mật ong) - 500ml - 40</v>
      </c>
    </row>
    <row r="4896">
      <c r="A4896" s="86">
        <f>IFERROR(__xludf.DUMMYFUNCTION("""COMPUTED_VALUE"""),4894.0)</f>
        <v>4894</v>
      </c>
      <c r="B4896" s="87" t="str">
        <f>IFERROR(__xludf.DUMMYFUNCTION("""COMPUTED_VALUE"""),"[Nhãn]")</f>
        <v>[Nhãn]</v>
      </c>
      <c r="C4896" s="87" t="str">
        <f>IFERROR(__xludf.DUMMYFUNCTION("""COMPUTED_VALUE"""),"NHG4126")</f>
        <v>NHG4126</v>
      </c>
      <c r="D4896" s="87" t="str">
        <f>IFERROR(__xludf.DUMMYFUNCTION("""COMPUTED_VALUE"""),"[Nhãn] GC - IV - 4126 - AGRITECH -  AGRI BOOST (Nước nâu đen) - 250ml - 40")</f>
        <v>[Nhãn] GC - IV - 4126 - AGRITECH -  AGRI BOOST (Nước nâu đen) - 250ml - 40</v>
      </c>
      <c r="E4896" s="87" t="str">
        <f>IFERROR(__xludf.DUMMYFUNCTION("""COMPUTED_VALUE"""),"Hữu cơ SH Agro Organic Fertilizer 20")</f>
        <v>Hữu cơ SH Agro Organic Fertilizer 20</v>
      </c>
      <c r="F4896" s="87" t="str">
        <f>IFERROR(__xludf.DUMMYFUNCTION("""COMPUTED_VALUE"""),"HH4126")</f>
        <v>HH4126</v>
      </c>
      <c r="G4896" s="87" t="str">
        <f>IFERROR(__xludf.DUMMYFUNCTION("""COMPUTED_VALUE"""),"GC - IV - 4126 - AGRITECH -  AGRI BOOST (Nước nâu đen) - 250ml - 40")</f>
        <v>GC - IV - 4126 - AGRITECH -  AGRI BOOST (Nước nâu đen) - 250ml - 40</v>
      </c>
    </row>
    <row r="4897">
      <c r="A4897" s="86">
        <f>IFERROR(__xludf.DUMMYFUNCTION("""COMPUTED_VALUE"""),4895.0)</f>
        <v>4895</v>
      </c>
      <c r="B4897" s="87" t="str">
        <f>IFERROR(__xludf.DUMMYFUNCTION("""COMPUTED_VALUE"""),"[Nhãn]")</f>
        <v>[Nhãn]</v>
      </c>
      <c r="C4897" s="87" t="str">
        <f>IFERROR(__xludf.DUMMYFUNCTION("""COMPUTED_VALUE"""),"NHG4032")</f>
        <v>NHG4032</v>
      </c>
      <c r="D4897" s="87" t="str">
        <f>IFERROR(__xludf.DUMMYFUNCTION("""COMPUTED_VALUE"""),"[Nhãn] GC - II - 4032 - AGC NEW - HAIHAMEC 3.6EC (Nước trong) - 450ml - 40")</f>
        <v>[Nhãn] GC - II - 4032 - AGC NEW - HAIHAMEC 3.6EC (Nước trong) - 450ml - 40</v>
      </c>
      <c r="E4897" s="87" t="str">
        <f>IFERROR(__xludf.DUMMYFUNCTION("""COMPUTED_VALUE"""),"HAIHAMEC 3.6EC")</f>
        <v>HAIHAMEC 3.6EC</v>
      </c>
      <c r="F4897" s="87" t="str">
        <f>IFERROR(__xludf.DUMMYFUNCTION("""COMPUTED_VALUE"""),"HH4032")</f>
        <v>HH4032</v>
      </c>
      <c r="G4897" s="87" t="str">
        <f>IFERROR(__xludf.DUMMYFUNCTION("""COMPUTED_VALUE"""),"GC - II - 4032 - AGC NEW - HAIHAMEC 3.6EC (Nước trong) - 450ml - 40")</f>
        <v>GC - II - 4032 - AGC NEW - HAIHAMEC 3.6EC (Nước trong) - 450ml - 40</v>
      </c>
    </row>
    <row r="4898">
      <c r="A4898" s="86">
        <f>IFERROR(__xludf.DUMMYFUNCTION("""COMPUTED_VALUE"""),4896.0)</f>
        <v>4896</v>
      </c>
      <c r="B4898" s="87" t="str">
        <f>IFERROR(__xludf.DUMMYFUNCTION("""COMPUTED_VALUE"""),"[Nhãn thùng]")</f>
        <v>[Nhãn thùng]</v>
      </c>
      <c r="C4898" s="87" t="str">
        <f>IFERROR(__xludf.DUMMYFUNCTION("""COMPUTED_VALUE"""),"NDT4085")</f>
        <v>NDT4085</v>
      </c>
      <c r="D4898" s="87" t="str">
        <f>IFERROR(__xludf.DUMMYFUNCTION("""COMPUTED_VALUE"""),"[Nhãn thùng] GC - IV - 4085 - CTY XNK O2L - Abamectin 3.6 (Ốc Vàng - Nhãn Đen) (Nước nâu đen) - 450ml - 40")</f>
        <v>[Nhãn thùng] GC - IV - 4085 - CTY XNK O2L - Abamectin 3.6 (Ốc Vàng - Nhãn Đen) (Nước nâu đen) - 450ml - 40</v>
      </c>
      <c r="E4898" s="87" t="str">
        <f>IFERROR(__xludf.DUMMYFUNCTION("""COMPUTED_VALUE"""),"Chitin 3.6EC")</f>
        <v>Chitin 3.6EC</v>
      </c>
      <c r="F4898" s="87" t="str">
        <f>IFERROR(__xludf.DUMMYFUNCTION("""COMPUTED_VALUE"""),"HH4085")</f>
        <v>HH4085</v>
      </c>
      <c r="G4898" s="87" t="str">
        <f>IFERROR(__xludf.DUMMYFUNCTION("""COMPUTED_VALUE"""),"GC - IV - 4085 - CTY XNK O2L - Abamectin 3.6 (Ốc Vàng - Nhãn Đen) (Nước nâu đen) - 450ml - 40")</f>
        <v>GC - IV - 4085 - CTY XNK O2L - Abamectin 3.6 (Ốc Vàng - Nhãn Đen) (Nước nâu đen) - 450ml - 40</v>
      </c>
    </row>
    <row r="4899">
      <c r="A4899" s="86">
        <f>IFERROR(__xludf.DUMMYFUNCTION("""COMPUTED_VALUE"""),4897.0)</f>
        <v>4897</v>
      </c>
      <c r="B4899" s="87" t="str">
        <f>IFERROR(__xludf.DUMMYFUNCTION("""COMPUTED_VALUE"""),"[Nhãn thùng]")</f>
        <v>[Nhãn thùng]</v>
      </c>
      <c r="C4899" s="87" t="str">
        <f>IFERROR(__xludf.DUMMYFUNCTION("""COMPUTED_VALUE"""),"NDT4096")</f>
        <v>NDT4096</v>
      </c>
      <c r="D4899" s="87" t="str">
        <f>IFERROR(__xludf.DUMMYFUNCTION("""COMPUTED_VALUE"""),"[Nhãn thùng] GC - IV -  4096 - Agritech - Creek 2.1EC (Pet vuông)(nắp trắng)(nước đỏ) - 400ml - 40")</f>
        <v>[Nhãn thùng] GC - IV -  4096 - Agritech - Creek 2.1EC (Pet vuông)(nắp trắng)(nước đỏ) - 400ml - 40</v>
      </c>
      <c r="E4899" s="87" t="str">
        <f>IFERROR(__xludf.DUMMYFUNCTION("""COMPUTED_VALUE"""),"CREEK 2.1EC")</f>
        <v>CREEK 2.1EC</v>
      </c>
      <c r="F4899" s="87" t="str">
        <f>IFERROR(__xludf.DUMMYFUNCTION("""COMPUTED_VALUE"""),"HH4096")</f>
        <v>HH4096</v>
      </c>
      <c r="G4899" s="87" t="str">
        <f>IFERROR(__xludf.DUMMYFUNCTION("""COMPUTED_VALUE"""),"GC - IV -  4096 - Agritech - Creek 2.1EC (Pet vuông)(nắp trắng)(nước đỏ) - 400ml - 40")</f>
        <v>GC - IV -  4096 - Agritech - Creek 2.1EC (Pet vuông)(nắp trắng)(nước đỏ) - 400ml - 40</v>
      </c>
    </row>
    <row r="4900">
      <c r="A4900" s="86">
        <f>IFERROR(__xludf.DUMMYFUNCTION("""COMPUTED_VALUE"""),4898.0)</f>
        <v>4898</v>
      </c>
      <c r="B4900" s="87" t="str">
        <f>IFERROR(__xludf.DUMMYFUNCTION("""COMPUTED_VALUE"""),"[Nhãn]")</f>
        <v>[Nhãn]</v>
      </c>
      <c r="C4900" s="87" t="str">
        <f>IFERROR(__xludf.DUMMYFUNCTION("""COMPUTED_VALUE"""),"NTN3780")</f>
        <v>NTN3780</v>
      </c>
      <c r="D4900" s="87" t="str">
        <f>IFERROR(__xludf.DUMMYFUNCTION("""COMPUTED_VALUE"""),"[Nhãn] IDA Global - I - 3780 - CTY TÂN THÀNH - SẠCH KHUẨN (Bột vàng nhạt) - 25gr - 300")</f>
        <v>[Nhãn] IDA Global - I - 3780 - CTY TÂN THÀNH - SẠCH KHUẨN (Bột vàng nhạt) - 25gr - 300</v>
      </c>
      <c r="E4900" s="87" t="str">
        <f>IFERROR(__xludf.DUMMYFUNCTION("""COMPUTED_VALUE"""),"Oxycin 100WP")</f>
        <v>Oxycin 100WP</v>
      </c>
      <c r="F4900" s="87" t="str">
        <f>IFERROR(__xludf.DUMMYFUNCTION("""COMPUTED_VALUE"""),"HH3780")</f>
        <v>HH3780</v>
      </c>
      <c r="G4900" s="87" t="str">
        <f>IFERROR(__xludf.DUMMYFUNCTION("""COMPUTED_VALUE"""),"IDA Global - I - 3780 - CTY TÂN THÀNH - SẠCH KHUẨN (Bột vàng nhạt) - 25gr - 300")</f>
        <v>IDA Global - I - 3780 - CTY TÂN THÀNH - SẠCH KHUẨN (Bột vàng nhạt) - 25gr - 300</v>
      </c>
    </row>
    <row r="4901">
      <c r="A4901" s="86">
        <f>IFERROR(__xludf.DUMMYFUNCTION("""COMPUTED_VALUE"""),4899.0)</f>
        <v>4899</v>
      </c>
      <c r="B4901" s="87" t="str">
        <f>IFERROR(__xludf.DUMMYFUNCTION("""COMPUTED_VALUE"""),"[Nhãn thùng]")</f>
        <v>[Nhãn thùng]</v>
      </c>
      <c r="C4901" s="87" t="str">
        <f>IFERROR(__xludf.DUMMYFUNCTION("""COMPUTED_VALUE"""),"NDT3780")</f>
        <v>NDT3780</v>
      </c>
      <c r="D4901" s="87" t="str">
        <f>IFERROR(__xludf.DUMMYFUNCTION("""COMPUTED_VALUE"""),"[Nhãn thùng] IDA Global - I - 3780 - CTY TÂN THÀNH - SẠCH KHUẨN (Bột vàng nhạt) - 25gr - 300")</f>
        <v>[Nhãn thùng] IDA Global - I - 3780 - CTY TÂN THÀNH - SẠCH KHUẨN (Bột vàng nhạt) - 25gr - 300</v>
      </c>
      <c r="E4901" s="87" t="str">
        <f>IFERROR(__xludf.DUMMYFUNCTION("""COMPUTED_VALUE"""),"Oxycin 100WP")</f>
        <v>Oxycin 100WP</v>
      </c>
      <c r="F4901" s="87" t="str">
        <f>IFERROR(__xludf.DUMMYFUNCTION("""COMPUTED_VALUE"""),"HH3780")</f>
        <v>HH3780</v>
      </c>
      <c r="G4901" s="87" t="str">
        <f>IFERROR(__xludf.DUMMYFUNCTION("""COMPUTED_VALUE"""),"IDA Global - I - 3780 - CTY TÂN THÀNH - SẠCH KHUẨN (Bột vàng nhạt) - 25gr - 300")</f>
        <v>IDA Global - I - 3780 - CTY TÂN THÀNH - SẠCH KHUẨN (Bột vàng nhạt) - 25gr - 300</v>
      </c>
    </row>
    <row r="4902">
      <c r="A4902" s="86">
        <f>IFERROR(__xludf.DUMMYFUNCTION("""COMPUTED_VALUE"""),4900.0)</f>
        <v>4900</v>
      </c>
      <c r="B4902" s="87" t="str">
        <f>IFERROR(__xludf.DUMMYFUNCTION("""COMPUTED_VALUE"""),"[Nhãn]")</f>
        <v>[Nhãn]</v>
      </c>
      <c r="C4902" s="87" t="str">
        <f>IFERROR(__xludf.DUMMYFUNCTION("""COMPUTED_VALUE"""),"NHG4141")</f>
        <v>NHG4141</v>
      </c>
      <c r="D4902" s="87" t="str">
        <f>IFERROR(__xludf.DUMMYFUNCTION("""COMPUTED_VALUE"""),"[Nhãn] GC - IV - 4141 - NHP Group - SỬA TƯỚNG SẦU RIÊNG (Nước nâu đen) - 500ml - 40")</f>
        <v>[Nhãn] GC - IV - 4141 - NHP Group - SỬA TƯỚNG SẦU RIÊNG (Nước nâu đen) - 500ml - 40</v>
      </c>
      <c r="E4902" s="87" t="str">
        <f>IFERROR(__xludf.DUMMYFUNCTION("""COMPUTED_VALUE"""),"Hữu cơ ORGANIC ĐGP 01")</f>
        <v>Hữu cơ ORGANIC ĐGP 01</v>
      </c>
      <c r="F4902" s="87" t="str">
        <f>IFERROR(__xludf.DUMMYFUNCTION("""COMPUTED_VALUE"""),"HH4141")</f>
        <v>HH4141</v>
      </c>
      <c r="G4902" s="87" t="str">
        <f>IFERROR(__xludf.DUMMYFUNCTION("""COMPUTED_VALUE"""),"GC - IV - 4141 - NHP Group - SỬA TƯỚNG SẦU RIÊNG (Nước nâu đen) - 500ml - 40")</f>
        <v>GC - IV - 4141 - NHP Group - SỬA TƯỚNG SẦU RIÊNG (Nước nâu đen) - 500ml - 40</v>
      </c>
    </row>
    <row r="4903">
      <c r="A4903" s="86">
        <f>IFERROR(__xludf.DUMMYFUNCTION("""COMPUTED_VALUE"""),4901.0)</f>
        <v>4901</v>
      </c>
      <c r="B4903" s="87" t="str">
        <f>IFERROR(__xludf.DUMMYFUNCTION("""COMPUTED_VALUE"""),"[Nhãn]")</f>
        <v>[Nhãn]</v>
      </c>
      <c r="C4903" s="87" t="str">
        <f>IFERROR(__xludf.DUMMYFUNCTION("""COMPUTED_VALUE"""),"NTN4131")</f>
        <v>NTN4131</v>
      </c>
      <c r="D4903" s="87" t="str">
        <f>IFERROR(__xludf.DUMMYFUNCTION("""COMPUTED_VALUE"""),"[Nhãn] GC - IV - 4131 - CTY R3 - TRICYMAX R3 (Bột cam) - 100gr - 100")</f>
        <v>[Nhãn] GC - IV - 4131 - CTY R3 - TRICYMAX R3 (Bột cam) - 100gr - 100</v>
      </c>
      <c r="E4903" s="87" t="str">
        <f>IFERROR(__xludf.DUMMYFUNCTION("""COMPUTED_VALUE"""),"Pim.Pim 75WP")</f>
        <v>Pim.Pim 75WP</v>
      </c>
      <c r="F4903" s="87" t="str">
        <f>IFERROR(__xludf.DUMMYFUNCTION("""COMPUTED_VALUE"""),"HH4131")</f>
        <v>HH4131</v>
      </c>
      <c r="G4903" s="87" t="str">
        <f>IFERROR(__xludf.DUMMYFUNCTION("""COMPUTED_VALUE"""),"GC - IV - 4131 - CTY R3 - TRICYMAX R3 (Bột cam) - 100gr - 100")</f>
        <v>GC - IV - 4131 - CTY R3 - TRICYMAX R3 (Bột cam) - 100gr - 100</v>
      </c>
    </row>
    <row r="4904">
      <c r="A4904" s="86">
        <f>IFERROR(__xludf.DUMMYFUNCTION("""COMPUTED_VALUE"""),4902.0)</f>
        <v>4902</v>
      </c>
      <c r="B4904" s="87" t="str">
        <f>IFERROR(__xludf.DUMMYFUNCTION("""COMPUTED_VALUE"""),"[Nhãn]")</f>
        <v>[Nhãn]</v>
      </c>
      <c r="C4904" s="87" t="str">
        <f>IFERROR(__xludf.DUMMYFUNCTION("""COMPUTED_VALUE"""),"NTN4139")</f>
        <v>NTN4139</v>
      </c>
      <c r="D4904" s="87" t="str">
        <f>IFERROR(__xludf.DUMMYFUNCTION("""COMPUTED_VALUE"""),"[Nhãn] IDA Global - I - 4139 - SẠCH ĐẠO ÔN (Bột cam) - 100gr - 100")</f>
        <v>[Nhãn] IDA Global - I - 4139 - SẠCH ĐẠO ÔN (Bột cam) - 100gr - 100</v>
      </c>
      <c r="E4904" s="87" t="str">
        <f>IFERROR(__xludf.DUMMYFUNCTION("""COMPUTED_VALUE"""),"Pim.Pim 75WP")</f>
        <v>Pim.Pim 75WP</v>
      </c>
      <c r="F4904" s="87" t="str">
        <f>IFERROR(__xludf.DUMMYFUNCTION("""COMPUTED_VALUE"""),"HH4139")</f>
        <v>HH4139</v>
      </c>
      <c r="G4904" s="87" t="str">
        <f>IFERROR(__xludf.DUMMYFUNCTION("""COMPUTED_VALUE"""),"IDA Global - I - 4139 - SẠCH ĐẠO ÔN (Bột cam) - 100gr - 100")</f>
        <v>IDA Global - I - 4139 - SẠCH ĐẠO ÔN (Bột cam) - 100gr - 100</v>
      </c>
    </row>
    <row r="4905">
      <c r="A4905" s="86">
        <f>IFERROR(__xludf.DUMMYFUNCTION("""COMPUTED_VALUE"""),4903.0)</f>
        <v>4903</v>
      </c>
      <c r="B4905" s="87" t="str">
        <f>IFERROR(__xludf.DUMMYFUNCTION("""COMPUTED_VALUE"""),"[Nhãn]")</f>
        <v>[Nhãn]</v>
      </c>
      <c r="C4905" s="87" t="str">
        <f>IFERROR(__xludf.DUMMYFUNCTION("""COMPUTED_VALUE"""),"NHG4134")</f>
        <v>NHG4134</v>
      </c>
      <c r="D4905" s="87" t="str">
        <f>IFERROR(__xludf.DUMMYFUNCTION("""COMPUTED_VALUE"""),"[Nhãn] GC - IV - 4134 - CTY NAUY - GALAXY (Nước nâu đen) - 500ml - 40")</f>
        <v>[Nhãn] GC - IV - 4134 - CTY NAUY - GALAXY (Nước nâu đen) - 500ml - 40</v>
      </c>
      <c r="E4905" s="87" t="str">
        <f>IFERROR(__xludf.DUMMYFUNCTION("""COMPUTED_VALUE"""),"Hỗn Hợp NP AGAMA-AP")</f>
        <v>Hỗn Hợp NP AGAMA-AP</v>
      </c>
      <c r="F4905" s="87" t="str">
        <f>IFERROR(__xludf.DUMMYFUNCTION("""COMPUTED_VALUE"""),"HH4134")</f>
        <v>HH4134</v>
      </c>
      <c r="G4905" s="87" t="str">
        <f>IFERROR(__xludf.DUMMYFUNCTION("""COMPUTED_VALUE"""),"GC - IV - 4134 - CTY NAUY - GALAXY (Nước nâu đen) - 500ml - 40")</f>
        <v>GC - IV - 4134 - CTY NAUY - GALAXY (Nước nâu đen) - 500ml - 40</v>
      </c>
    </row>
    <row r="4906">
      <c r="A4906" s="86">
        <f>IFERROR(__xludf.DUMMYFUNCTION("""COMPUTED_VALUE"""),4904.0)</f>
        <v>4904</v>
      </c>
      <c r="B4906" s="87" t="str">
        <f>IFERROR(__xludf.DUMMYFUNCTION("""COMPUTED_VALUE"""),"[Nhãn]")</f>
        <v>[Nhãn]</v>
      </c>
      <c r="C4906" s="87" t="str">
        <f>IFERROR(__xludf.DUMMYFUNCTION("""COMPUTED_VALUE"""),"NHG4140")</f>
        <v>NHG4140</v>
      </c>
      <c r="D4906" s="87" t="str">
        <f>IFERROR(__xludf.DUMMYFUNCTION("""COMPUTED_VALUE"""),"[Nhãn] GC - IV - 4140 - CTY HIỆP PHÁT ABC - HP 06 (Gel nâu đen) - 330ml - 40")</f>
        <v>[Nhãn] GC - IV - 4140 - CTY HIỆP PHÁT ABC - HP 06 (Gel nâu đen) - 330ml - 40</v>
      </c>
      <c r="E4906" s="87" t="str">
        <f>IFERROR(__xludf.DUMMYFUNCTION("""COMPUTED_VALUE"""),"Vi lượng Run Fast")</f>
        <v>Vi lượng Run Fast</v>
      </c>
      <c r="F4906" s="87" t="str">
        <f>IFERROR(__xludf.DUMMYFUNCTION("""COMPUTED_VALUE"""),"HH4140")</f>
        <v>HH4140</v>
      </c>
      <c r="G4906" s="87" t="str">
        <f>IFERROR(__xludf.DUMMYFUNCTION("""COMPUTED_VALUE"""),"GC - IV - 4140 - CTY HIỆP PHÁT ABC - HP 06 (Gel nâu đen) - 330ml - 40")</f>
        <v>GC - IV - 4140 - CTY HIỆP PHÁT ABC - HP 06 (Gel nâu đen) - 330ml - 40</v>
      </c>
    </row>
    <row r="4907">
      <c r="A4907" s="86">
        <f>IFERROR(__xludf.DUMMYFUNCTION("""COMPUTED_VALUE"""),4905.0)</f>
        <v>4905</v>
      </c>
      <c r="B4907" s="87" t="str">
        <f>IFERROR(__xludf.DUMMYFUNCTION("""COMPUTED_VALUE"""),"[Nhãn]")</f>
        <v>[Nhãn]</v>
      </c>
      <c r="C4907" s="87" t="str">
        <f>IFERROR(__xludf.DUMMYFUNCTION("""COMPUTED_VALUE"""),"NHG4138")</f>
        <v>NHG4138</v>
      </c>
      <c r="D4907" s="87" t="str">
        <f>IFERROR(__xludf.DUMMYFUNCTION("""COMPUTED_VALUE"""),"[Nhãn] GC - IV - 4138 - Cty Newtex - VÔ GẠO T9 (Dạng SC - Xanh lá) - 500ml - 40")</f>
        <v>[Nhãn] GC - IV - 4138 - Cty Newtex - VÔ GẠO T9 (Dạng SC - Xanh lá) - 500ml - 40</v>
      </c>
      <c r="E4907" s="87" t="str">
        <f>IFERROR(__xludf.DUMMYFUNCTION("""COMPUTED_VALUE"""),"Hỗn hợp NPK GNC 101")</f>
        <v>Hỗn hợp NPK GNC 101</v>
      </c>
      <c r="F4907" s="87" t="str">
        <f>IFERROR(__xludf.DUMMYFUNCTION("""COMPUTED_VALUE"""),"HH4138")</f>
        <v>HH4138</v>
      </c>
      <c r="G4907" s="87" t="str">
        <f>IFERROR(__xludf.DUMMYFUNCTION("""COMPUTED_VALUE"""),"GC - IV - 4138 - Cty Newtex - VÔ GẠO T9 (Dạng SC - Xanh lá) - 500ml - 40")</f>
        <v>GC - IV - 4138 - Cty Newtex - VÔ GẠO T9 (Dạng SC - Xanh lá) - 500ml - 40</v>
      </c>
    </row>
    <row r="4908">
      <c r="A4908" s="86">
        <f>IFERROR(__xludf.DUMMYFUNCTION("""COMPUTED_VALUE"""),4906.0)</f>
        <v>4906</v>
      </c>
      <c r="B4908" s="87" t="str">
        <f>IFERROR(__xludf.DUMMYFUNCTION("""COMPUTED_VALUE"""),"[Nhãn]")</f>
        <v>[Nhãn]</v>
      </c>
      <c r="C4908" s="87" t="str">
        <f>IFERROR(__xludf.DUMMYFUNCTION("""COMPUTED_VALUE"""),"NHG3970")</f>
        <v>NHG3970</v>
      </c>
      <c r="D4908" s="87" t="str">
        <f>IFERROR(__xludf.DUMMYFUNCTION("""COMPUTED_VALUE"""),"[Nhãn] GC - IV - 3970 - Cty Hóa Nông Shino - THẦN ƯNG (Nước trắng sữa) - 200ml - 40")</f>
        <v>[Nhãn] GC - IV - 3970 - Cty Hóa Nông Shino - THẦN ƯNG (Nước trắng sữa) - 200ml - 40</v>
      </c>
      <c r="E4908" s="87" t="str">
        <f>IFERROR(__xludf.DUMMYFUNCTION("""COMPUTED_VALUE"""),"VOTE 34.2SC")</f>
        <v>VOTE 34.2SC</v>
      </c>
      <c r="F4908" s="87" t="str">
        <f>IFERROR(__xludf.DUMMYFUNCTION("""COMPUTED_VALUE"""),"HH3970")</f>
        <v>HH3970</v>
      </c>
      <c r="G4908" s="87" t="str">
        <f>IFERROR(__xludf.DUMMYFUNCTION("""COMPUTED_VALUE"""),"GC - IV - 3970 - Cty Hóa Nông Shino - THẦN ƯNG (Nước trắng sữa) - 200ml - 40")</f>
        <v>GC - IV - 3970 - Cty Hóa Nông Shino - THẦN ƯNG (Nước trắng sữa) - 200ml - 40</v>
      </c>
    </row>
    <row r="4909">
      <c r="A4909" s="86">
        <f>IFERROR(__xludf.DUMMYFUNCTION("""COMPUTED_VALUE"""),4907.0)</f>
        <v>4907</v>
      </c>
      <c r="B4909" s="87" t="str">
        <f>IFERROR(__xludf.DUMMYFUNCTION("""COMPUTED_VALUE"""),"[Nhãn]")</f>
        <v>[Nhãn]</v>
      </c>
      <c r="C4909" s="87" t="str">
        <f>IFERROR(__xludf.DUMMYFUNCTION("""COMPUTED_VALUE"""),"NHG4132")</f>
        <v>NHG4132</v>
      </c>
      <c r="D4909" s="87" t="str">
        <f>IFERROR(__xludf.DUMMYFUNCTION("""COMPUTED_VALUE"""),"[Nhãn] GC - IV - 4132 - CTY R3 - R3VIL 110 (Nước trắng sữa) - 1L - 20")</f>
        <v>[Nhãn] GC - IV - 4132 - CTY R3 - R3VIL 110 (Nước trắng sữa) - 1L - 20</v>
      </c>
      <c r="E4909" s="87" t="str">
        <f>IFERROR(__xludf.DUMMYFUNCTION("""COMPUTED_VALUE"""),"JAPA VIL 110SC")</f>
        <v>JAPA VIL 110SC</v>
      </c>
      <c r="F4909" s="87" t="str">
        <f>IFERROR(__xludf.DUMMYFUNCTION("""COMPUTED_VALUE"""),"HH4132")</f>
        <v>HH4132</v>
      </c>
      <c r="G4909" s="87" t="str">
        <f>IFERROR(__xludf.DUMMYFUNCTION("""COMPUTED_VALUE"""),"GC - IV - 4132 - CTY R3 - R3VIL 110 (Nước trắng sữa) - 1L - 20")</f>
        <v>GC - IV - 4132 - CTY R3 - R3VIL 110 (Nước trắng sữa) - 1L - 20</v>
      </c>
    </row>
    <row r="4910">
      <c r="A4910" s="86">
        <f>IFERROR(__xludf.DUMMYFUNCTION("""COMPUTED_VALUE"""),4908.0)</f>
        <v>4908</v>
      </c>
      <c r="B4910" s="87" t="str">
        <f>IFERROR(__xludf.DUMMYFUNCTION("""COMPUTED_VALUE"""),"[Nhãn]")</f>
        <v>[Nhãn]</v>
      </c>
      <c r="C4910" s="87" t="str">
        <f>IFERROR(__xludf.DUMMYFUNCTION("""COMPUTED_VALUE"""),"NHG4128")</f>
        <v>NHG4128</v>
      </c>
      <c r="D4910" s="87" t="str">
        <f>IFERROR(__xludf.DUMMYFUNCTION("""COMPUTED_VALUE"""),"[Nhãn] GC - IV - 4128 - CTY R3 - ULTRA SHIELD (Nước cam sữa) - 250ml - 40")</f>
        <v>[Nhãn] GC - IV - 4128 - CTY R3 - ULTRA SHIELD (Nước cam sữa) - 250ml - 40</v>
      </c>
      <c r="E4910" s="87" t="str">
        <f>IFERROR(__xludf.DUMMYFUNCTION("""COMPUTED_VALUE"""),"KING-CIDE JAPAN 460SC")</f>
        <v>KING-CIDE JAPAN 460SC</v>
      </c>
      <c r="F4910" s="87" t="str">
        <f>IFERROR(__xludf.DUMMYFUNCTION("""COMPUTED_VALUE"""),"HH4128")</f>
        <v>HH4128</v>
      </c>
      <c r="G4910" s="87" t="str">
        <f>IFERROR(__xludf.DUMMYFUNCTION("""COMPUTED_VALUE"""),"GC - IV - 4128 - CTY R3 - ULTRA SHIELD (Nước cam sữa) - 250ml - 40")</f>
        <v>GC - IV - 4128 - CTY R3 - ULTRA SHIELD (Nước cam sữa) - 250ml - 40</v>
      </c>
    </row>
    <row r="4911">
      <c r="A4911" s="86">
        <f>IFERROR(__xludf.DUMMYFUNCTION("""COMPUTED_VALUE"""),4909.0)</f>
        <v>4909</v>
      </c>
      <c r="B4911" s="87" t="str">
        <f>IFERROR(__xludf.DUMMYFUNCTION("""COMPUTED_VALUE"""),"[Nhãn]")</f>
        <v>[Nhãn]</v>
      </c>
      <c r="C4911" s="87" t="str">
        <f>IFERROR(__xludf.DUMMYFUNCTION("""COMPUTED_VALUE"""),"NHG4129")</f>
        <v>NHG4129</v>
      </c>
      <c r="D4911" s="87" t="str">
        <f>IFERROR(__xludf.DUMMYFUNCTION("""COMPUTED_VALUE"""),"[Nhãn] GC - IV - 4129 - CTY R3 - BACTOL (Nước hồng) - 300ml - 40")</f>
        <v>[Nhãn] GC - IV - 4129 - CTY R3 - BACTOL (Nước hồng) - 300ml - 40</v>
      </c>
      <c r="E4911" s="87" t="str">
        <f>IFERROR(__xludf.DUMMYFUNCTION("""COMPUTED_VALUE"""),"GENOL 1.2SL")</f>
        <v>GENOL 1.2SL</v>
      </c>
      <c r="F4911" s="87" t="str">
        <f>IFERROR(__xludf.DUMMYFUNCTION("""COMPUTED_VALUE"""),"HH4129")</f>
        <v>HH4129</v>
      </c>
      <c r="G4911" s="87" t="str">
        <f>IFERROR(__xludf.DUMMYFUNCTION("""COMPUTED_VALUE"""),"GC - IV - 4129 - CTY R3 - BACTOL (Nước hồng) - 300ml - 40")</f>
        <v>GC - IV - 4129 - CTY R3 - BACTOL (Nước hồng) - 300ml - 40</v>
      </c>
    </row>
    <row r="4912">
      <c r="A4912" s="86">
        <f>IFERROR(__xludf.DUMMYFUNCTION("""COMPUTED_VALUE"""),4910.0)</f>
        <v>4910</v>
      </c>
      <c r="B4912" s="87" t="str">
        <f>IFERROR(__xludf.DUMMYFUNCTION("""COMPUTED_VALUE"""),"[Nhãn]")</f>
        <v>[Nhãn]</v>
      </c>
      <c r="C4912" s="87" t="str">
        <f>IFERROR(__xludf.DUMMYFUNCTION("""COMPUTED_VALUE"""),"NHG4130")</f>
        <v>NHG4130</v>
      </c>
      <c r="D4912" s="87" t="str">
        <f>IFERROR(__xludf.DUMMYFUNCTION("""COMPUTED_VALUE"""),"[Nhãn] GC - IV - 4130 - CTY R3 - TRIZO 333 (Nước cam sữa) - 300ml - 40")</f>
        <v>[Nhãn] GC - IV - 4130 - CTY R3 - TRIZO 333 (Nước cam sữa) - 300ml - 40</v>
      </c>
      <c r="E4912" s="87" t="str">
        <f>IFERROR(__xludf.DUMMYFUNCTION("""COMPUTED_VALUE"""),"CITTIZEN 333SC")</f>
        <v>CITTIZEN 333SC</v>
      </c>
      <c r="F4912" s="87" t="str">
        <f>IFERROR(__xludf.DUMMYFUNCTION("""COMPUTED_VALUE"""),"HH4130")</f>
        <v>HH4130</v>
      </c>
      <c r="G4912" s="87" t="str">
        <f>IFERROR(__xludf.DUMMYFUNCTION("""COMPUTED_VALUE"""),"GC - IV - 4130 - CTY R3 - TRIZO 333 (Nước cam sữa) - 300ml - 40")</f>
        <v>GC - IV - 4130 - CTY R3 - TRIZO 333 (Nước cam sữa) - 300ml - 40</v>
      </c>
    </row>
    <row r="4913">
      <c r="A4913" s="86">
        <f>IFERROR(__xludf.DUMMYFUNCTION("""COMPUTED_VALUE"""),4911.0)</f>
        <v>4911</v>
      </c>
      <c r="B4913" s="87" t="str">
        <f>IFERROR(__xludf.DUMMYFUNCTION("""COMPUTED_VALUE"""),"[Nhãn]")</f>
        <v>[Nhãn]</v>
      </c>
      <c r="C4913" s="87" t="str">
        <f>IFERROR(__xludf.DUMMYFUNCTION("""COMPUTED_VALUE"""),"NHD4142")</f>
        <v>NHD4142</v>
      </c>
      <c r="D4913" s="87" t="str">
        <f>IFERROR(__xludf.DUMMYFUNCTION("""COMPUTED_VALUE"""),"[Nhãn] GC - II - 4142 - CTY THIÊN AN (Anh Hiển) - THIPRO 550EC (Nước vàng trà V1) - 450ml - 40")</f>
        <v>[Nhãn] GC - II - 4142 - CTY THIÊN AN (Anh Hiển) - THIPRO 550EC (Nước vàng trà V1) - 450ml - 40</v>
      </c>
      <c r="E4913" s="87" t="str">
        <f>IFERROR(__xludf.DUMMYFUNCTION("""COMPUTED_VALUE"""),"Thipro 550EC")</f>
        <v>Thipro 550EC</v>
      </c>
      <c r="F4913" s="87" t="str">
        <f>IFERROR(__xludf.DUMMYFUNCTION("""COMPUTED_VALUE"""),"HH4142")</f>
        <v>HH4142</v>
      </c>
      <c r="G4913" s="87" t="str">
        <f>IFERROR(__xludf.DUMMYFUNCTION("""COMPUTED_VALUE"""),"GC - II - 4142 - CTY THIÊN AN (Anh Hiển) - THIPRO 550EC (Nước vàng trà V1) - 450ml - 40")</f>
        <v>GC - II - 4142 - CTY THIÊN AN (Anh Hiển) - THIPRO 550EC (Nước vàng trà V1) - 450ml - 40</v>
      </c>
    </row>
    <row r="4914">
      <c r="A4914" s="86">
        <f>IFERROR(__xludf.DUMMYFUNCTION("""COMPUTED_VALUE"""),4912.0)</f>
        <v>4912</v>
      </c>
      <c r="B4914" s="87" t="str">
        <f>IFERROR(__xludf.DUMMYFUNCTION("""COMPUTED_VALUE"""),"[Nhãn]")</f>
        <v>[Nhãn]</v>
      </c>
      <c r="C4914" s="87" t="str">
        <f>IFERROR(__xludf.DUMMYFUNCTION("""COMPUTED_VALUE"""),"NHD4125")</f>
        <v>NHD4125</v>
      </c>
      <c r="D4914" s="87" t="str">
        <f>IFERROR(__xludf.DUMMYFUNCTION("""COMPUTED_VALUE"""),"[Nhãn] GC - IV - 4125 - Cty Quang Đăng Agriculture - ĐL LÂM THANH TRÍ - QĐ-PHOSKA (Nước xanh dương nhạt) - 500ml - 40")</f>
        <v>[Nhãn] GC - IV - 4125 - Cty Quang Đăng Agriculture - ĐL LÂM THANH TRÍ - QĐ-PHOSKA (Nước xanh dương nhạt) - 500ml - 40</v>
      </c>
      <c r="E4914" s="87" t="str">
        <f>IFERROR(__xludf.DUMMYFUNCTION("""COMPUTED_VALUE"""),"Lá Hỗn Hợp PK AGRI FOS AB")</f>
        <v>Lá Hỗn Hợp PK AGRI FOS AB</v>
      </c>
      <c r="F4914" s="87" t="str">
        <f>IFERROR(__xludf.DUMMYFUNCTION("""COMPUTED_VALUE"""),"HH4125")</f>
        <v>HH4125</v>
      </c>
      <c r="G4914" s="87" t="str">
        <f>IFERROR(__xludf.DUMMYFUNCTION("""COMPUTED_VALUE"""),"GC - IV - 4125 - Cty Quang Đăng Agriculture - ĐL LÂM THANH TRÍ - QĐ-PHOSKA (Nước xanh dương nhạt) - 500ml - 40")</f>
        <v>GC - IV - 4125 - Cty Quang Đăng Agriculture - ĐL LÂM THANH TRÍ - QĐ-PHOSKA (Nước xanh dương nhạt) - 500ml - 40</v>
      </c>
    </row>
    <row r="4915">
      <c r="A4915" s="86">
        <f>IFERROR(__xludf.DUMMYFUNCTION("""COMPUTED_VALUE"""),4913.0)</f>
        <v>4913</v>
      </c>
      <c r="B4915" s="87" t="str">
        <f>IFERROR(__xludf.DUMMYFUNCTION("""COMPUTED_VALUE"""),"[Nhãn thùng]")</f>
        <v>[Nhãn thùng]</v>
      </c>
      <c r="C4915" s="87" t="str">
        <f>IFERROR(__xludf.DUMMYFUNCTION("""COMPUTED_VALUE"""),"NDT4125")</f>
        <v>NDT4125</v>
      </c>
      <c r="D4915" s="87" t="str">
        <f>IFERROR(__xludf.DUMMYFUNCTION("""COMPUTED_VALUE"""),"[Nhãn thùng] GC - IV - 4125 - Cty Quang Đăng Agriculture - ĐL LÂM THANH TRÍ - QĐ-PHOSKA (Nước xanh dương nhạt) - 500ml - 40")</f>
        <v>[Nhãn thùng] GC - IV - 4125 - Cty Quang Đăng Agriculture - ĐL LÂM THANH TRÍ - QĐ-PHOSKA (Nước xanh dương nhạt) - 500ml - 40</v>
      </c>
      <c r="E4915" s="87" t="str">
        <f>IFERROR(__xludf.DUMMYFUNCTION("""COMPUTED_VALUE"""),"Lá Hỗn Hợp PK AGRI FOS AB")</f>
        <v>Lá Hỗn Hợp PK AGRI FOS AB</v>
      </c>
      <c r="F4915" s="87" t="str">
        <f>IFERROR(__xludf.DUMMYFUNCTION("""COMPUTED_VALUE"""),"HH4125")</f>
        <v>HH4125</v>
      </c>
      <c r="G4915" s="87" t="str">
        <f>IFERROR(__xludf.DUMMYFUNCTION("""COMPUTED_VALUE"""),"GC - IV - 4125 - Cty Quang Đăng Agriculture - ĐL LÂM THANH TRÍ - QĐ-PHOSKA (Nước xanh dương nhạt) - 500ml - 40")</f>
        <v>GC - IV - 4125 - Cty Quang Đăng Agriculture - ĐL LÂM THANH TRÍ - QĐ-PHOSKA (Nước xanh dương nhạt) - 500ml - 40</v>
      </c>
    </row>
    <row r="4916">
      <c r="A4916" s="86">
        <f>IFERROR(__xludf.DUMMYFUNCTION("""COMPUTED_VALUE"""),4914.0)</f>
        <v>4914</v>
      </c>
      <c r="B4916" s="87" t="str">
        <f>IFERROR(__xludf.DUMMYFUNCTION("""COMPUTED_VALUE"""),"[Nhãn]")</f>
        <v>[Nhãn]</v>
      </c>
      <c r="C4916" s="87" t="str">
        <f>IFERROR(__xludf.DUMMYFUNCTION("""COMPUTED_VALUE"""),"NHD4133")</f>
        <v>NHD4133</v>
      </c>
      <c r="D4916" s="87" t="str">
        <f>IFERROR(__xludf.DUMMYFUNCTION("""COMPUTED_VALUE"""),"[Nhãn] GC - IV - 4133 - CTY R3 - CYRINKILL 25 (Nước vàng trà) - 450ml - 40")</f>
        <v>[Nhãn] GC - IV - 4133 - CTY R3 - CYRINKILL 25 (Nước vàng trà) - 450ml - 40</v>
      </c>
      <c r="E4916" s="87" t="str">
        <f>IFERROR(__xludf.DUMMYFUNCTION("""COMPUTED_VALUE"""),"NP-CYRIN SUPER 250EC")</f>
        <v>NP-CYRIN SUPER 250EC</v>
      </c>
      <c r="F4916" s="87" t="str">
        <f>IFERROR(__xludf.DUMMYFUNCTION("""COMPUTED_VALUE"""),"HH4133")</f>
        <v>HH4133</v>
      </c>
      <c r="G4916" s="87" t="str">
        <f>IFERROR(__xludf.DUMMYFUNCTION("""COMPUTED_VALUE"""),"GC - IV - 4133 - CTY R3 - CYRINKILL 25 (Nước vàng trà) - 450ml - 40")</f>
        <v>GC - IV - 4133 - CTY R3 - CYRINKILL 25 (Nước vàng trà) - 450ml - 40</v>
      </c>
    </row>
    <row r="4917">
      <c r="A4917" s="86">
        <f>IFERROR(__xludf.DUMMYFUNCTION("""COMPUTED_VALUE"""),4915.0)</f>
        <v>4915</v>
      </c>
      <c r="B4917" s="87" t="str">
        <f>IFERROR(__xludf.DUMMYFUNCTION("""COMPUTED_VALUE"""),"[Nhãn thùng]")</f>
        <v>[Nhãn thùng]</v>
      </c>
      <c r="C4917" s="87" t="str">
        <f>IFERROR(__xludf.DUMMYFUNCTION("""COMPUTED_VALUE"""),"NDT4133")</f>
        <v>NDT4133</v>
      </c>
      <c r="D4917" s="87" t="str">
        <f>IFERROR(__xludf.DUMMYFUNCTION("""COMPUTED_VALUE"""),"[Nhãn thùng] GC - IV - 4133 - CTY R3 - CYRINKILL 25 (Nước vàng trà) - 450ml - 40")</f>
        <v>[Nhãn thùng] GC - IV - 4133 - CTY R3 - CYRINKILL 25 (Nước vàng trà) - 450ml - 40</v>
      </c>
      <c r="E4917" s="87" t="str">
        <f>IFERROR(__xludf.DUMMYFUNCTION("""COMPUTED_VALUE"""),"NP-CYRIN SUPER 250EC")</f>
        <v>NP-CYRIN SUPER 250EC</v>
      </c>
      <c r="F4917" s="87" t="str">
        <f>IFERROR(__xludf.DUMMYFUNCTION("""COMPUTED_VALUE"""),"HH4133")</f>
        <v>HH4133</v>
      </c>
      <c r="G4917" s="87" t="str">
        <f>IFERROR(__xludf.DUMMYFUNCTION("""COMPUTED_VALUE"""),"GC - IV - 4133 - CTY R3 - CYRINKILL 25 (Nước vàng trà) - 450ml - 40")</f>
        <v>GC - IV - 4133 - CTY R3 - CYRINKILL 25 (Nước vàng trà) - 450ml - 40</v>
      </c>
    </row>
    <row r="4918">
      <c r="A4918" s="86">
        <f>IFERROR(__xludf.DUMMYFUNCTION("""COMPUTED_VALUE"""),4916.0)</f>
        <v>4916</v>
      </c>
      <c r="B4918" s="87" t="str">
        <f>IFERROR(__xludf.DUMMYFUNCTION("""COMPUTED_VALUE"""),"[Nhãn]")</f>
        <v>[Nhãn]</v>
      </c>
      <c r="C4918" s="87" t="str">
        <f>IFERROR(__xludf.DUMMYFUNCTION("""COMPUTED_VALUE"""),"NHG4027")</f>
        <v>NHG4027</v>
      </c>
      <c r="D4918" s="87" t="str">
        <f>IFERROR(__xludf.DUMMYFUNCTION("""COMPUTED_VALUE"""),"[Nhãn] GC - IX - 4027 - N2SBIO - N2 HYPER LOCK (Dạng SC - Trắng sữa) - 1L - 20")</f>
        <v>[Nhãn] GC - IX - 4027 - N2SBIO - N2 HYPER LOCK (Dạng SC - Trắng sữa) - 1L - 20</v>
      </c>
      <c r="E4918" s="87" t="str">
        <f>IFERROR(__xludf.DUMMYFUNCTION("""COMPUTED_VALUE"""),"Lá PK-Trung Lượng NBC-Photphonate")</f>
        <v>Lá PK-Trung Lượng NBC-Photphonate</v>
      </c>
      <c r="F4918" s="87" t="str">
        <f>IFERROR(__xludf.DUMMYFUNCTION("""COMPUTED_VALUE"""),"HH4027")</f>
        <v>HH4027</v>
      </c>
      <c r="G4918" s="87" t="str">
        <f>IFERROR(__xludf.DUMMYFUNCTION("""COMPUTED_VALUE"""),"GC - IX - 4027 - N2SBIO - N2 HYPER LOCK (Dạng SC - Trắng sữa) - 1L - 20")</f>
        <v>GC - IX - 4027 - N2SBIO - N2 HYPER LOCK (Dạng SC - Trắng sữa) - 1L - 20</v>
      </c>
    </row>
    <row r="4919">
      <c r="A4919" s="86">
        <f>IFERROR(__xludf.DUMMYFUNCTION("""COMPUTED_VALUE"""),4917.0)</f>
        <v>4917</v>
      </c>
      <c r="B4919" s="87" t="str">
        <f>IFERROR(__xludf.DUMMYFUNCTION("""COMPUTED_VALUE"""),"[Nhãn]")</f>
        <v>[Nhãn]</v>
      </c>
      <c r="C4919" s="87" t="str">
        <f>IFERROR(__xludf.DUMMYFUNCTION("""COMPUTED_VALUE"""),"NHG4122")</f>
        <v>NHG4122</v>
      </c>
      <c r="D4919" s="87" t="str">
        <f>IFERROR(__xludf.DUMMYFUNCTION("""COMPUTED_VALUE"""),"[Nhãn] IDA Global - I - 4122 - VG RICE 02 - 500ml - 40")</f>
        <v>[Nhãn] IDA Global - I - 4122 - VG RICE 02 - 500ml - 40</v>
      </c>
      <c r="E4919" s="87" t="str">
        <f>IFERROR(__xludf.DUMMYFUNCTION("""COMPUTED_VALUE"""),"NPK-vi lượng HC CAN")</f>
        <v>NPK-vi lượng HC CAN</v>
      </c>
      <c r="F4919" s="87" t="str">
        <f>IFERROR(__xludf.DUMMYFUNCTION("""COMPUTED_VALUE"""),"HH4122")</f>
        <v>HH4122</v>
      </c>
      <c r="G4919" s="87" t="str">
        <f>IFERROR(__xludf.DUMMYFUNCTION("""COMPUTED_VALUE"""),"IDA Global - I - 4122 - VG RICE 02 - 500ml - 40")</f>
        <v>IDA Global - I - 4122 - VG RICE 02 - 500ml - 40</v>
      </c>
    </row>
    <row r="4920">
      <c r="A4920" s="86">
        <f>IFERROR(__xludf.DUMMYFUNCTION("""COMPUTED_VALUE"""),4918.0)</f>
        <v>4918</v>
      </c>
      <c r="B4920" s="87" t="str">
        <f>IFERROR(__xludf.DUMMYFUNCTION("""COMPUTED_VALUE"""),"[Nhãn]")</f>
        <v>[Nhãn]</v>
      </c>
      <c r="C4920" s="87" t="str">
        <f>IFERROR(__xludf.DUMMYFUNCTION("""COMPUTED_VALUE"""),"NHG4123")</f>
        <v>NHG4123</v>
      </c>
      <c r="D4920" s="87" t="str">
        <f>IFERROR(__xludf.DUMMYFUNCTION("""COMPUTED_VALUE"""),"[Nhãn] IDA Global - I - 4123 - Bimsuper 650SC (Drone) (nước hồng cam) - 480ml - 40")</f>
        <v>[Nhãn] IDA Global - I - 4123 - Bimsuper 650SC (Drone) (nước hồng cam) - 480ml - 40</v>
      </c>
      <c r="E4920" s="87" t="str">
        <f>IFERROR(__xludf.DUMMYFUNCTION("""COMPUTED_VALUE"""),"BIMSUPER 650SC")</f>
        <v>BIMSUPER 650SC</v>
      </c>
      <c r="F4920" s="87" t="str">
        <f>IFERROR(__xludf.DUMMYFUNCTION("""COMPUTED_VALUE"""),"HH4123")</f>
        <v>HH4123</v>
      </c>
      <c r="G4920" s="87" t="str">
        <f>IFERROR(__xludf.DUMMYFUNCTION("""COMPUTED_VALUE"""),"IDA Global - I - 4123 - Bimsuper 650SC (Drone) (nước hồng cam) - 480ml - 40")</f>
        <v>IDA Global - I - 4123 - Bimsuper 650SC (Drone) (nước hồng cam) - 480ml - 40</v>
      </c>
    </row>
    <row r="4921">
      <c r="A4921" s="86">
        <f>IFERROR(__xludf.DUMMYFUNCTION("""COMPUTED_VALUE"""),4919.0)</f>
        <v>4919</v>
      </c>
      <c r="B4921" s="87" t="str">
        <f>IFERROR(__xludf.DUMMYFUNCTION("""COMPUTED_VALUE"""),"[Nhãn]")</f>
        <v>[Nhãn]</v>
      </c>
      <c r="C4921" s="87" t="str">
        <f>IFERROR(__xludf.DUMMYFUNCTION("""COMPUTED_VALUE"""),"NHG4146")</f>
        <v>NHG4146</v>
      </c>
      <c r="D4921" s="87" t="str">
        <f>IFERROR(__xludf.DUMMYFUNCTION("""COMPUTED_VALUE"""),"[Nhãn] IDA Global - I - 4146 - Vua Chim Trĩ (Nước trắng sữa) - 240ml - 40")</f>
        <v>[Nhãn] IDA Global - I - 4146 - Vua Chim Trĩ (Nước trắng sữa) - 240ml - 40</v>
      </c>
      <c r="E4921" s="87" t="str">
        <f>IFERROR(__xludf.DUMMYFUNCTION("""COMPUTED_VALUE"""),"VOTE 34.2SC")</f>
        <v>VOTE 34.2SC</v>
      </c>
      <c r="F4921" s="87" t="str">
        <f>IFERROR(__xludf.DUMMYFUNCTION("""COMPUTED_VALUE"""),"HH4146")</f>
        <v>HH4146</v>
      </c>
      <c r="G4921" s="87" t="str">
        <f>IFERROR(__xludf.DUMMYFUNCTION("""COMPUTED_VALUE"""),"IDA Global - I - 4146 - Vua Chim Trĩ (Nước trắng sữa) - 240ml - 40")</f>
        <v>IDA Global - I - 4146 - Vua Chim Trĩ (Nước trắng sữa) - 240ml - 40</v>
      </c>
    </row>
    <row r="4922">
      <c r="A4922" s="86">
        <f>IFERROR(__xludf.DUMMYFUNCTION("""COMPUTED_VALUE"""),4920.0)</f>
        <v>4920</v>
      </c>
      <c r="B4922" s="87" t="str">
        <f>IFERROR(__xludf.DUMMYFUNCTION("""COMPUTED_VALUE"""),"[Nhãn thùng]")</f>
        <v>[Nhãn thùng]</v>
      </c>
      <c r="C4922" s="87" t="str">
        <f>IFERROR(__xludf.DUMMYFUNCTION("""COMPUTED_VALUE"""),"NDT4048")</f>
        <v>NDT4048</v>
      </c>
      <c r="D4922" s="87" t="str">
        <f>IFERROR(__xludf.DUMMYFUNCTION("""COMPUTED_VALUE"""),"[Nhãn thùng] GC - IV - 4048 - CTY SEN HỒNG - PIM.PIM 75WP (Bột cam) - 100gr - 100")</f>
        <v>[Nhãn thùng] GC - IV - 4048 - CTY SEN HỒNG - PIM.PIM 75WP (Bột cam) - 100gr - 100</v>
      </c>
      <c r="E4922" s="87" t="str">
        <f>IFERROR(__xludf.DUMMYFUNCTION("""COMPUTED_VALUE"""),"Pim.Pim 75WP")</f>
        <v>Pim.Pim 75WP</v>
      </c>
      <c r="F4922" s="87" t="str">
        <f>IFERROR(__xludf.DUMMYFUNCTION("""COMPUTED_VALUE"""),"HH4048")</f>
        <v>HH4048</v>
      </c>
      <c r="G4922" s="87" t="str">
        <f>IFERROR(__xludf.DUMMYFUNCTION("""COMPUTED_VALUE"""),"GC - IV - 4048 - CTY SEN HỒNG - PIM.PIM 75WP (Bột cam) - 100gr - 100")</f>
        <v>GC - IV - 4048 - CTY SEN HỒNG - PIM.PIM 75WP (Bột cam) - 100gr - 100</v>
      </c>
    </row>
    <row r="4923">
      <c r="A4923" s="86">
        <f>IFERROR(__xludf.DUMMYFUNCTION("""COMPUTED_VALUE"""),4921.0)</f>
        <v>4921</v>
      </c>
      <c r="B4923" s="87" t="str">
        <f>IFERROR(__xludf.DUMMYFUNCTION("""COMPUTED_VALUE"""),"[Nhãn thùng]")</f>
        <v>[Nhãn thùng]</v>
      </c>
      <c r="C4923" s="87" t="str">
        <f>IFERROR(__xludf.DUMMYFUNCTION("""COMPUTED_VALUE"""),"NDT4131")</f>
        <v>NDT4131</v>
      </c>
      <c r="D4923" s="87" t="str">
        <f>IFERROR(__xludf.DUMMYFUNCTION("""COMPUTED_VALUE"""),"[Nhãn thùng] GC - IV - 4131 - CTY R3 - TRICYMAX R3 (Bột cam) - 100gr - 100")</f>
        <v>[Nhãn thùng] GC - IV - 4131 - CTY R3 - TRICYMAX R3 (Bột cam) - 100gr - 100</v>
      </c>
      <c r="E4923" s="87" t="str">
        <f>IFERROR(__xludf.DUMMYFUNCTION("""COMPUTED_VALUE"""),"Pim.Pim 75WP")</f>
        <v>Pim.Pim 75WP</v>
      </c>
      <c r="F4923" s="87" t="str">
        <f>IFERROR(__xludf.DUMMYFUNCTION("""COMPUTED_VALUE"""),"HH4131")</f>
        <v>HH4131</v>
      </c>
      <c r="G4923" s="87" t="str">
        <f>IFERROR(__xludf.DUMMYFUNCTION("""COMPUTED_VALUE"""),"GC - IV - 4131 - CTY R3 - TRICYMAX R3 (Bột cam) - 100gr - 100")</f>
        <v>GC - IV - 4131 - CTY R3 - TRICYMAX R3 (Bột cam) - 100gr - 100</v>
      </c>
    </row>
    <row r="4924">
      <c r="A4924" s="86">
        <f>IFERROR(__xludf.DUMMYFUNCTION("""COMPUTED_VALUE"""),4922.0)</f>
        <v>4922</v>
      </c>
      <c r="B4924" s="87" t="str">
        <f>IFERROR(__xludf.DUMMYFUNCTION("""COMPUTED_VALUE"""),"[Nhãn thùng]")</f>
        <v>[Nhãn thùng]</v>
      </c>
      <c r="C4924" s="87" t="str">
        <f>IFERROR(__xludf.DUMMYFUNCTION("""COMPUTED_VALUE"""),"NDT4139")</f>
        <v>NDT4139</v>
      </c>
      <c r="D4924" s="87" t="str">
        <f>IFERROR(__xludf.DUMMYFUNCTION("""COMPUTED_VALUE"""),"[Nhãn thùng] IDA Global - I - 4139 - SẠCH ĐẠO ÔN (Bột cam) - 100gr - 100")</f>
        <v>[Nhãn thùng] IDA Global - I - 4139 - SẠCH ĐẠO ÔN (Bột cam) - 100gr - 100</v>
      </c>
      <c r="E4924" s="87" t="str">
        <f>IFERROR(__xludf.DUMMYFUNCTION("""COMPUTED_VALUE"""),"Pim.Pim 75WP")</f>
        <v>Pim.Pim 75WP</v>
      </c>
      <c r="F4924" s="87" t="str">
        <f>IFERROR(__xludf.DUMMYFUNCTION("""COMPUTED_VALUE"""),"HH4139")</f>
        <v>HH4139</v>
      </c>
      <c r="G4924" s="87" t="str">
        <f>IFERROR(__xludf.DUMMYFUNCTION("""COMPUTED_VALUE"""),"IDA Global - I - 4139 - SẠCH ĐẠO ÔN (Bột cam) - 100gr - 100")</f>
        <v>IDA Global - I - 4139 - SẠCH ĐẠO ÔN (Bột cam) - 100gr - 100</v>
      </c>
    </row>
    <row r="4925">
      <c r="A4925" s="86">
        <f>IFERROR(__xludf.DUMMYFUNCTION("""COMPUTED_VALUE"""),4923.0)</f>
        <v>4923</v>
      </c>
      <c r="B4925" s="87" t="str">
        <f>IFERROR(__xludf.DUMMYFUNCTION("""COMPUTED_VALUE"""),"[Nhãn thùng]")</f>
        <v>[Nhãn thùng]</v>
      </c>
      <c r="C4925" s="87" t="str">
        <f>IFERROR(__xludf.DUMMYFUNCTION("""COMPUTED_VALUE"""),"NDT4142")</f>
        <v>NDT4142</v>
      </c>
      <c r="D4925" s="87" t="str">
        <f>IFERROR(__xludf.DUMMYFUNCTION("""COMPUTED_VALUE"""),"[Nhãn thùng] GC - II - 4142 - CTY THIÊN AN (Anh Hiển) - THIPRO 550EC (Nước vàng trà V1) - 450ml - 40")</f>
        <v>[Nhãn thùng] GC - II - 4142 - CTY THIÊN AN (Anh Hiển) - THIPRO 550EC (Nước vàng trà V1) - 450ml - 40</v>
      </c>
      <c r="E4925" s="87" t="str">
        <f>IFERROR(__xludf.DUMMYFUNCTION("""COMPUTED_VALUE"""),"Thipro 550EC")</f>
        <v>Thipro 550EC</v>
      </c>
      <c r="F4925" s="87" t="str">
        <f>IFERROR(__xludf.DUMMYFUNCTION("""COMPUTED_VALUE"""),"HH4142")</f>
        <v>HH4142</v>
      </c>
      <c r="G4925" s="87" t="str">
        <f>IFERROR(__xludf.DUMMYFUNCTION("""COMPUTED_VALUE"""),"GC - II - 4142 - CTY THIÊN AN (Anh Hiển) - THIPRO 550EC (Nước vàng trà V1) - 450ml - 40")</f>
        <v>GC - II - 4142 - CTY THIÊN AN (Anh Hiển) - THIPRO 550EC (Nước vàng trà V1) - 450ml - 40</v>
      </c>
    </row>
    <row r="4926">
      <c r="A4926" s="86">
        <f>IFERROR(__xludf.DUMMYFUNCTION("""COMPUTED_VALUE"""),4924.0)</f>
        <v>4924</v>
      </c>
      <c r="B4926" s="87" t="str">
        <f>IFERROR(__xludf.DUMMYFUNCTION("""COMPUTED_VALUE"""),"[Nhãn]")</f>
        <v>[Nhãn]</v>
      </c>
      <c r="C4926" s="87" t="str">
        <f>IFERROR(__xludf.DUMMYFUNCTION("""COMPUTED_VALUE"""),"NTN4152")</f>
        <v>NTN4152</v>
      </c>
      <c r="D4926" s="87" t="str">
        <f>IFERROR(__xludf.DUMMYFUNCTION("""COMPUTED_VALUE"""),"[Nhãn] GC - IV - 4152 - Thiên Di - Super 55 (dạng cốm màu trắng ngà) - 100gr - 100")</f>
        <v>[Nhãn] GC - IV - 4152 - Thiên Di - Super 55 (dạng cốm màu trắng ngà) - 100gr - 100</v>
      </c>
      <c r="E4926" s="87" t="str">
        <f>IFERROR(__xludf.DUMMYFUNCTION("""COMPUTED_VALUE"""),"MAKEGREEN 55WG")</f>
        <v>MAKEGREEN 55WG</v>
      </c>
      <c r="F4926" s="87" t="str">
        <f>IFERROR(__xludf.DUMMYFUNCTION("""COMPUTED_VALUE"""),"HH4152")</f>
        <v>HH4152</v>
      </c>
      <c r="G4926" s="87" t="str">
        <f>IFERROR(__xludf.DUMMYFUNCTION("""COMPUTED_VALUE"""),"GC - IV - 4152 - Thiên Di - Super 55 (dạng cốm màu trắng ngà) - 100gr - 100")</f>
        <v>GC - IV - 4152 - Thiên Di - Super 55 (dạng cốm màu trắng ngà) - 100gr - 100</v>
      </c>
    </row>
    <row r="4927">
      <c r="A4927" s="86">
        <f>IFERROR(__xludf.DUMMYFUNCTION("""COMPUTED_VALUE"""),4925.0)</f>
        <v>4925</v>
      </c>
      <c r="B4927" s="87" t="str">
        <f>IFERROR(__xludf.DUMMYFUNCTION("""COMPUTED_VALUE"""),"[Nhãn]")</f>
        <v>[Nhãn]</v>
      </c>
      <c r="C4927" s="87" t="str">
        <f>IFERROR(__xludf.DUMMYFUNCTION("""COMPUTED_VALUE"""),"NHG3520")</f>
        <v>NHG3520</v>
      </c>
      <c r="D4927" s="87" t="str">
        <f>IFERROR(__xludf.DUMMYFUNCTION("""COMPUTED_VALUE"""),"[Nhãn] GC - IV - 3520 - NEWTECH CROP SCIENCE - NEW ZINC (Nước vàng sữa) - 500ml - 30")</f>
        <v>[Nhãn] GC - IV - 3520 - NEWTECH CROP SCIENCE - NEW ZINC (Nước vàng sữa) - 500ml - 30</v>
      </c>
      <c r="E4927" s="87" t="str">
        <f>IFERROR(__xludf.DUMMYFUNCTION("""COMPUTED_VALUE"""),"Vi lượng MICKEY")</f>
        <v>Vi lượng MICKEY</v>
      </c>
      <c r="F4927" s="87" t="str">
        <f>IFERROR(__xludf.DUMMYFUNCTION("""COMPUTED_VALUE"""),"HH3520")</f>
        <v>HH3520</v>
      </c>
      <c r="G4927" s="87" t="str">
        <f>IFERROR(__xludf.DUMMYFUNCTION("""COMPUTED_VALUE"""),"GC - IV - 3520 - NEWTECH CROP SCIENCE - NEW ZINC (Nước vàng sữa) - 500ml - 30")</f>
        <v>GC - IV - 3520 - NEWTECH CROP SCIENCE - NEW ZINC (Nước vàng sữa) - 500ml - 30</v>
      </c>
    </row>
    <row r="4928">
      <c r="A4928" s="86">
        <f>IFERROR(__xludf.DUMMYFUNCTION("""COMPUTED_VALUE"""),4926.0)</f>
        <v>4926</v>
      </c>
      <c r="B4928" s="87" t="str">
        <f>IFERROR(__xludf.DUMMYFUNCTION("""COMPUTED_VALUE"""),"[Nhãn]")</f>
        <v>[Nhãn]</v>
      </c>
      <c r="C4928" s="87" t="str">
        <f>IFERROR(__xludf.DUMMYFUNCTION("""COMPUTED_VALUE"""),"NHG4160")</f>
        <v>NHG4160</v>
      </c>
      <c r="D4928" s="87" t="str">
        <f>IFERROR(__xludf.DUMMYFUNCTION("""COMPUTED_VALUE"""),"[Nhãn] GC - IV - 4160 - Japan Crop Science - Sumo Siêu Cứng (gel nâu đen) - 500ml - 30")</f>
        <v>[Nhãn] GC - IV - 4160 - Japan Crop Science - Sumo Siêu Cứng (gel nâu đen) - 500ml - 30</v>
      </c>
      <c r="E4928" s="87" t="str">
        <f>IFERROR(__xludf.DUMMYFUNCTION("""COMPUTED_VALUE"""),"Vi lượng Quantity New")</f>
        <v>Vi lượng Quantity New</v>
      </c>
      <c r="F4928" s="87" t="str">
        <f>IFERROR(__xludf.DUMMYFUNCTION("""COMPUTED_VALUE"""),"HH4160")</f>
        <v>HH4160</v>
      </c>
      <c r="G4928" s="87" t="str">
        <f>IFERROR(__xludf.DUMMYFUNCTION("""COMPUTED_VALUE"""),"GC - IV - 4160 - Japan Crop Science - Sumo Siêu Cứng (gel nâu đen) - 500ml - 30")</f>
        <v>GC - IV - 4160 - Japan Crop Science - Sumo Siêu Cứng (gel nâu đen) - 500ml - 30</v>
      </c>
    </row>
    <row r="4929">
      <c r="A4929" s="86">
        <f>IFERROR(__xludf.DUMMYFUNCTION("""COMPUTED_VALUE"""),4927.0)</f>
        <v>4927</v>
      </c>
      <c r="B4929" s="87" t="str">
        <f>IFERROR(__xludf.DUMMYFUNCTION("""COMPUTED_VALUE"""),"[Nhãn]")</f>
        <v>[Nhãn]</v>
      </c>
      <c r="C4929" s="87" t="str">
        <f>IFERROR(__xludf.DUMMYFUNCTION("""COMPUTED_VALUE"""),"NHG4150")</f>
        <v>NHG4150</v>
      </c>
      <c r="D4929" s="87" t="str">
        <f>IFERROR(__xludf.DUMMYFUNCTION("""COMPUTED_VALUE"""),"[Nhãn] IDA Global - I - 4150 - ĐL VŨ TRANG - Haihamec 3.6EC (nước nâu đen) - 450ml - 40")</f>
        <v>[Nhãn] IDA Global - I - 4150 - ĐL VŨ TRANG - Haihamec 3.6EC (nước nâu đen) - 450ml - 40</v>
      </c>
      <c r="E4929" s="87" t="str">
        <f>IFERROR(__xludf.DUMMYFUNCTION("""COMPUTED_VALUE"""),"HAIHAMEC 3.6EC")</f>
        <v>HAIHAMEC 3.6EC</v>
      </c>
      <c r="F4929" s="87" t="str">
        <f>IFERROR(__xludf.DUMMYFUNCTION("""COMPUTED_VALUE"""),"HH4150")</f>
        <v>HH4150</v>
      </c>
      <c r="G4929" s="87" t="str">
        <f>IFERROR(__xludf.DUMMYFUNCTION("""COMPUTED_VALUE"""),"IDA Global - I - 4150 - ĐL VŨ TRANG - Haihamec 3.6EC (nước nâu đen) - 450ml - 40")</f>
        <v>IDA Global - I - 4150 - ĐL VŨ TRANG - Haihamec 3.6EC (nước nâu đen) - 450ml - 40</v>
      </c>
    </row>
    <row r="4930">
      <c r="A4930" s="86">
        <f>IFERROR(__xludf.DUMMYFUNCTION("""COMPUTED_VALUE"""),4928.0)</f>
        <v>4928</v>
      </c>
      <c r="B4930" s="87" t="str">
        <f>IFERROR(__xludf.DUMMYFUNCTION("""COMPUTED_VALUE"""),"[Nhãn]")</f>
        <v>[Nhãn]</v>
      </c>
      <c r="C4930" s="87" t="str">
        <f>IFERROR(__xludf.DUMMYFUNCTION("""COMPUTED_VALUE"""),"NHG4157")</f>
        <v>NHG4157</v>
      </c>
      <c r="D4930" s="87" t="str">
        <f>IFERROR(__xludf.DUMMYFUNCTION("""COMPUTED_VALUE"""),"[Nhãn] GC - IV - 4157 - Cty Tiến Vinh - HEXA TIVI (nước trắng sữa) - 1L - 20")</f>
        <v>[Nhãn] GC - IV - 4157 - Cty Tiến Vinh - HEXA TIVI (nước trắng sữa) - 1L - 20</v>
      </c>
      <c r="E4930" s="87" t="str">
        <f>IFERROR(__xludf.DUMMYFUNCTION("""COMPUTED_VALUE"""),"Mekongvil 5SC")</f>
        <v>Mekongvil 5SC</v>
      </c>
      <c r="F4930" s="87" t="str">
        <f>IFERROR(__xludf.DUMMYFUNCTION("""COMPUTED_VALUE"""),"HH4157")</f>
        <v>HH4157</v>
      </c>
      <c r="G4930" s="87" t="str">
        <f>IFERROR(__xludf.DUMMYFUNCTION("""COMPUTED_VALUE"""),"GC - IV - 4157 - Cty Tiến Vinh - HEXA TIVI (nước trắng sữa) - 1L - 20")</f>
        <v>GC - IV - 4157 - Cty Tiến Vinh - HEXA TIVI (nước trắng sữa) - 1L - 20</v>
      </c>
    </row>
    <row r="4931">
      <c r="A4931" s="86">
        <f>IFERROR(__xludf.DUMMYFUNCTION("""COMPUTED_VALUE"""),4929.0)</f>
        <v>4929</v>
      </c>
      <c r="B4931" s="87" t="str">
        <f>IFERROR(__xludf.DUMMYFUNCTION("""COMPUTED_VALUE"""),"[Nhãn]")</f>
        <v>[Nhãn]</v>
      </c>
      <c r="C4931" s="87" t="str">
        <f>IFERROR(__xludf.DUMMYFUNCTION("""COMPUTED_VALUE"""),"NHG4155")</f>
        <v>NHG4155</v>
      </c>
      <c r="D4931" s="87" t="str">
        <f>IFERROR(__xludf.DUMMYFUNCTION("""COMPUTED_VALUE"""),"[Nhãn] GC - II - 4155 - LOT AGC (CAPY GLOBAL) - DR.STOP (Nước nâu đen) - 1L - 20")</f>
        <v>[Nhãn] GC - II - 4155 - LOT AGC (CAPY GLOBAL) - DR.STOP (Nước nâu đen) - 1L - 20</v>
      </c>
      <c r="E4931" s="87" t="str">
        <f>IFERROR(__xludf.DUMMYFUNCTION("""COMPUTED_VALUE"""),"Vi lượng Quantity New")</f>
        <v>Vi lượng Quantity New</v>
      </c>
      <c r="F4931" s="87" t="str">
        <f>IFERROR(__xludf.DUMMYFUNCTION("""COMPUTED_VALUE"""),"HH4155")</f>
        <v>HH4155</v>
      </c>
      <c r="G4931" s="87" t="str">
        <f>IFERROR(__xludf.DUMMYFUNCTION("""COMPUTED_VALUE"""),"GC - II - 4155 - LOT AGC (CAPY GLOBAL) - DR.STOP (Nước nâu đen) - 1L - 20")</f>
        <v>GC - II - 4155 - LOT AGC (CAPY GLOBAL) - DR.STOP (Nước nâu đen) - 1L - 20</v>
      </c>
    </row>
    <row r="4932">
      <c r="A4932" s="86">
        <f>IFERROR(__xludf.DUMMYFUNCTION("""COMPUTED_VALUE"""),4930.0)</f>
        <v>4930</v>
      </c>
      <c r="B4932" s="87" t="str">
        <f>IFERROR(__xludf.DUMMYFUNCTION("""COMPUTED_VALUE"""),"[Nhãn]")</f>
        <v>[Nhãn]</v>
      </c>
      <c r="C4932" s="87" t="str">
        <f>IFERROR(__xludf.DUMMYFUNCTION("""COMPUTED_VALUE"""),"NHG4164")</f>
        <v>NHG4164</v>
      </c>
      <c r="D4932" s="87" t="str">
        <f>IFERROR(__xludf.DUMMYFUNCTION("""COMPUTED_VALUE"""),"[Nhãn] GC - IV - 4164 - CTY SEN HỒNG - KNOCK OUT (Nước trắng sữa) - 240ml - 40")</f>
        <v>[Nhãn] GC - IV - 4164 - CTY SEN HỒNG - KNOCK OUT (Nước trắng sữa) - 240ml - 40</v>
      </c>
      <c r="E4932" s="87" t="str">
        <f>IFERROR(__xludf.DUMMYFUNCTION("""COMPUTED_VALUE"""),"VOTE 34.2SC")</f>
        <v>VOTE 34.2SC</v>
      </c>
      <c r="F4932" s="87" t="str">
        <f>IFERROR(__xludf.DUMMYFUNCTION("""COMPUTED_VALUE"""),"HH4164")</f>
        <v>HH4164</v>
      </c>
      <c r="G4932" s="87" t="str">
        <f>IFERROR(__xludf.DUMMYFUNCTION("""COMPUTED_VALUE"""),"GC - IV - 4164 - CTY SEN HỒNG - KNOCK OUT (Nước trắng sữa) - 240ml - 40")</f>
        <v>GC - IV - 4164 - CTY SEN HỒNG - KNOCK OUT (Nước trắng sữa) - 240ml - 40</v>
      </c>
    </row>
    <row r="4933">
      <c r="A4933" s="86">
        <f>IFERROR(__xludf.DUMMYFUNCTION("""COMPUTED_VALUE"""),4931.0)</f>
        <v>4931</v>
      </c>
      <c r="B4933" s="87" t="str">
        <f>IFERROR(__xludf.DUMMYFUNCTION("""COMPUTED_VALUE"""),"[Nhãn]")</f>
        <v>[Nhãn]</v>
      </c>
      <c r="C4933" s="87" t="str">
        <f>IFERROR(__xludf.DUMMYFUNCTION("""COMPUTED_VALUE"""),"NHG4169")</f>
        <v>NHG4169</v>
      </c>
      <c r="D4933" s="87" t="str">
        <f>IFERROR(__xludf.DUMMYFUNCTION("""COMPUTED_VALUE"""),"[Nhãn] GC - IV - 4169 - Cty Capy Global - SOMETHRIN 10EC (Nước vàng trà) - 450ml - 40")</f>
        <v>[Nhãn] GC - IV - 4169 - Cty Capy Global - SOMETHRIN 10EC (Nước vàng trà) - 450ml - 40</v>
      </c>
      <c r="E4933" s="87" t="str">
        <f>IFERROR(__xludf.DUMMYFUNCTION("""COMPUTED_VALUE"""),"Somethrin 10EC")</f>
        <v>Somethrin 10EC</v>
      </c>
      <c r="F4933" s="87" t="str">
        <f>IFERROR(__xludf.DUMMYFUNCTION("""COMPUTED_VALUE"""),"HH4169")</f>
        <v>HH4169</v>
      </c>
      <c r="G4933" s="87" t="str">
        <f>IFERROR(__xludf.DUMMYFUNCTION("""COMPUTED_VALUE"""),"GC - IV - 4169 - Cty Capy Global - SOMETHRIN 10EC (Nước vàng trà) - 450ml - 40")</f>
        <v>GC - IV - 4169 - Cty Capy Global - SOMETHRIN 10EC (Nước vàng trà) - 450ml - 40</v>
      </c>
    </row>
    <row r="4934">
      <c r="A4934" s="86">
        <f>IFERROR(__xludf.DUMMYFUNCTION("""COMPUTED_VALUE"""),4932.0)</f>
        <v>4932</v>
      </c>
      <c r="B4934" s="87" t="str">
        <f>IFERROR(__xludf.DUMMYFUNCTION("""COMPUTED_VALUE"""),"[Nhãn]")</f>
        <v>[Nhãn]</v>
      </c>
      <c r="C4934" s="87" t="str">
        <f>IFERROR(__xludf.DUMMYFUNCTION("""COMPUTED_VALUE"""),"NTN4170")</f>
        <v>NTN4170</v>
      </c>
      <c r="D4934" s="87" t="str">
        <f>IFERROR(__xludf.DUMMYFUNCTION("""COMPUTED_VALUE"""),"[Nhãn] GC - IV - 4170 - Cty Capy Global - MAKEGREEN 55WG (Dạng cốm màu trắng ngà) - 100gr - 100")</f>
        <v>[Nhãn] GC - IV - 4170 - Cty Capy Global - MAKEGREEN 55WG (Dạng cốm màu trắng ngà) - 100gr - 100</v>
      </c>
      <c r="E4934" s="87" t="str">
        <f>IFERROR(__xludf.DUMMYFUNCTION("""COMPUTED_VALUE"""),"MAKEGREEN 55WG")</f>
        <v>MAKEGREEN 55WG</v>
      </c>
      <c r="F4934" s="87" t="str">
        <f>IFERROR(__xludf.DUMMYFUNCTION("""COMPUTED_VALUE"""),"HH4170")</f>
        <v>HH4170</v>
      </c>
      <c r="G4934" s="87" t="str">
        <f>IFERROR(__xludf.DUMMYFUNCTION("""COMPUTED_VALUE"""),"GC - IV - 4170 - Cty Capy Global - MAKEGREEN 55WG (Dạng cốm màu trắng ngà) - 100gr - 100")</f>
        <v>GC - IV - 4170 - Cty Capy Global - MAKEGREEN 55WG (Dạng cốm màu trắng ngà) - 100gr - 100</v>
      </c>
    </row>
    <row r="4935">
      <c r="A4935" s="86">
        <f>IFERROR(__xludf.DUMMYFUNCTION("""COMPUTED_VALUE"""),4933.0)</f>
        <v>4933</v>
      </c>
      <c r="B4935" s="87" t="str">
        <f>IFERROR(__xludf.DUMMYFUNCTION("""COMPUTED_VALUE"""),"[Nhãn]")</f>
        <v>[Nhãn]</v>
      </c>
      <c r="C4935" s="87" t="str">
        <f>IFERROR(__xludf.DUMMYFUNCTION("""COMPUTED_VALUE"""),"NHG3979")</f>
        <v>NHG3979</v>
      </c>
      <c r="D4935" s="87" t="str">
        <f>IFERROR(__xludf.DUMMYFUNCTION("""COMPUTED_VALUE"""),"[Nhãn] GC - IV - 3979 - Cty Capy Global - NOFARA 350SC (Nước trắng sữa) - 250ml - 40")</f>
        <v>[Nhãn] GC - IV - 3979 - Cty Capy Global - NOFARA 350SC (Nước trắng sữa) - 250ml - 40</v>
      </c>
      <c r="E4935" s="87" t="str">
        <f>IFERROR(__xludf.DUMMYFUNCTION("""COMPUTED_VALUE"""),"NOFARA 350SC")</f>
        <v>NOFARA 350SC</v>
      </c>
      <c r="F4935" s="87" t="str">
        <f>IFERROR(__xludf.DUMMYFUNCTION("""COMPUTED_VALUE"""),"HH3979")</f>
        <v>HH3979</v>
      </c>
      <c r="G4935" s="87" t="str">
        <f>IFERROR(__xludf.DUMMYFUNCTION("""COMPUTED_VALUE"""),"GC - IV - 3979 - Cty Capy Global - NOFARA 350SC (Nước trắng sữa) - 250ml - 40")</f>
        <v>GC - IV - 3979 - Cty Capy Global - NOFARA 350SC (Nước trắng sữa) - 250ml - 40</v>
      </c>
    </row>
    <row r="4936">
      <c r="A4936" s="86">
        <f>IFERROR(__xludf.DUMMYFUNCTION("""COMPUTED_VALUE"""),4934.0)</f>
        <v>4934</v>
      </c>
      <c r="B4936" s="87" t="str">
        <f>IFERROR(__xludf.DUMMYFUNCTION("""COMPUTED_VALUE"""),"[Nhãn thùng]")</f>
        <v>[Nhãn thùng]</v>
      </c>
      <c r="C4936" s="87" t="str">
        <f>IFERROR(__xludf.DUMMYFUNCTION("""COMPUTED_VALUE"""),"NDT4170")</f>
        <v>NDT4170</v>
      </c>
      <c r="D4936" s="87" t="str">
        <f>IFERROR(__xludf.DUMMYFUNCTION("""COMPUTED_VALUE"""),"[Nhãn thùng] GC - IV - 4170 - Cty Capy Global - MAKEGREEN 55WG (Dạng cốm màu trắng ngà) - 100gr - 100")</f>
        <v>[Nhãn thùng] GC - IV - 4170 - Cty Capy Global - MAKEGREEN 55WG (Dạng cốm màu trắng ngà) - 100gr - 100</v>
      </c>
      <c r="E4936" s="87" t="str">
        <f>IFERROR(__xludf.DUMMYFUNCTION("""COMPUTED_VALUE"""),"MAKEGREEN 55WG")</f>
        <v>MAKEGREEN 55WG</v>
      </c>
      <c r="F4936" s="87" t="str">
        <f>IFERROR(__xludf.DUMMYFUNCTION("""COMPUTED_VALUE"""),"HH4170")</f>
        <v>HH4170</v>
      </c>
      <c r="G4936" s="87" t="str">
        <f>IFERROR(__xludf.DUMMYFUNCTION("""COMPUTED_VALUE"""),"GC - IV - 4170 - Cty Capy Global - MAKEGREEN 55WG (Dạng cốm màu trắng ngà) - 100gr - 100")</f>
        <v>GC - IV - 4170 - Cty Capy Global - MAKEGREEN 55WG (Dạng cốm màu trắng ngà) - 100gr - 100</v>
      </c>
    </row>
    <row r="4937">
      <c r="A4937" s="86">
        <f>IFERROR(__xludf.DUMMYFUNCTION("""COMPUTED_VALUE"""),4935.0)</f>
        <v>4935</v>
      </c>
      <c r="B4937" s="87" t="str">
        <f>IFERROR(__xludf.DUMMYFUNCTION("""COMPUTED_VALUE"""),"[Nhãn]")</f>
        <v>[Nhãn]</v>
      </c>
      <c r="C4937" s="87" t="str">
        <f>IFERROR(__xludf.DUMMYFUNCTION("""COMPUTED_VALUE"""),"NHG4151")</f>
        <v>NHG4151</v>
      </c>
      <c r="D4937" s="87" t="str">
        <f>IFERROR(__xludf.DUMMYFUNCTION("""COMPUTED_VALUE"""),"[Nhãn] GC - IV - 4151 - CTY NAUY - VI KHUẨN NAUY (Nước xanh dương) - 240ml - 40")</f>
        <v>[Nhãn] GC - IV - 4151 - CTY NAUY - VI KHUẨN NAUY (Nước xanh dương) - 240ml - 40</v>
      </c>
      <c r="E4937" s="87" t="str">
        <f>IFERROR(__xludf.DUMMYFUNCTION("""COMPUTED_VALUE"""),"PYRAMOS 40SL")</f>
        <v>PYRAMOS 40SL</v>
      </c>
      <c r="F4937" s="87" t="str">
        <f>IFERROR(__xludf.DUMMYFUNCTION("""COMPUTED_VALUE"""),"HH4151")</f>
        <v>HH4151</v>
      </c>
      <c r="G4937" s="87" t="str">
        <f>IFERROR(__xludf.DUMMYFUNCTION("""COMPUTED_VALUE"""),"GC - IV - 4151 - CTY NAUY - VI KHUẨN NAUY (Nước xanh dương) - 240ml - 40")</f>
        <v>GC - IV - 4151 - CTY NAUY - VI KHUẨN NAUY (Nước xanh dương) - 240ml - 40</v>
      </c>
    </row>
    <row r="4938">
      <c r="A4938" s="86">
        <f>IFERROR(__xludf.DUMMYFUNCTION("""COMPUTED_VALUE"""),4936.0)</f>
        <v>4936</v>
      </c>
      <c r="B4938" s="87" t="str">
        <f>IFERROR(__xludf.DUMMYFUNCTION("""COMPUTED_VALUE"""),"[Nhãn]")</f>
        <v>[Nhãn]</v>
      </c>
      <c r="C4938" s="87" t="str">
        <f>IFERROR(__xludf.DUMMYFUNCTION("""COMPUTED_VALUE"""),"NHG4174")</f>
        <v>NHG4174</v>
      </c>
      <c r="D4938" s="87" t="str">
        <f>IFERROR(__xludf.DUMMYFUNCTION("""COMPUTED_VALUE"""),"[Nhãn] IDA Global - I - 4174 - STOP UP (Nước nâu đen) - 1L - 20")</f>
        <v>[Nhãn] IDA Global - I - 4174 - STOP UP (Nước nâu đen) - 1L - 20</v>
      </c>
      <c r="E4938" s="87" t="str">
        <f>IFERROR(__xludf.DUMMYFUNCTION("""COMPUTED_VALUE"""),"Vi lượng Quantity New")</f>
        <v>Vi lượng Quantity New</v>
      </c>
      <c r="F4938" s="87" t="str">
        <f>IFERROR(__xludf.DUMMYFUNCTION("""COMPUTED_VALUE"""),"HH4174")</f>
        <v>HH4174</v>
      </c>
      <c r="G4938" s="87" t="str">
        <f>IFERROR(__xludf.DUMMYFUNCTION("""COMPUTED_VALUE"""),"IDA Global - I - 4174 - STOP UP (Nước nâu đen) - 1L - 20")</f>
        <v>IDA Global - I - 4174 - STOP UP (Nước nâu đen) - 1L - 20</v>
      </c>
    </row>
    <row r="4939">
      <c r="A4939" s="86">
        <f>IFERROR(__xludf.DUMMYFUNCTION("""COMPUTED_VALUE"""),4937.0)</f>
        <v>4937</v>
      </c>
      <c r="B4939" s="87" t="str">
        <f>IFERROR(__xludf.DUMMYFUNCTION("""COMPUTED_VALUE"""),"[Nhãn]")</f>
        <v>[Nhãn]</v>
      </c>
      <c r="C4939" s="87" t="str">
        <f>IFERROR(__xludf.DUMMYFUNCTION("""COMPUTED_VALUE"""),"NTN4166")</f>
        <v>NTN4166</v>
      </c>
      <c r="D4939" s="87" t="str">
        <f>IFERROR(__xludf.DUMMYFUNCTION("""COMPUTED_VALUE"""),"[Nhãn] GC - IV - 4166 - CTY NHC - VÀNG LÁ (Bột vàng) - 1kg - 20")</f>
        <v>[Nhãn] GC - IV - 4166 - CTY NHC - VÀNG LÁ (Bột vàng) - 1kg - 20</v>
      </c>
      <c r="E4939" s="87" t="str">
        <f>IFERROR(__xludf.DUMMYFUNCTION("""COMPUTED_VALUE"""),"FORTAZEB 72WP")</f>
        <v>FORTAZEB 72WP</v>
      </c>
      <c r="F4939" s="87" t="str">
        <f>IFERROR(__xludf.DUMMYFUNCTION("""COMPUTED_VALUE"""),"HH4166")</f>
        <v>HH4166</v>
      </c>
      <c r="G4939" s="87" t="str">
        <f>IFERROR(__xludf.DUMMYFUNCTION("""COMPUTED_VALUE"""),"GC - IV - 4166 - CTY NHC - VÀNG LÁ (Bột vàng) - 1kg - 20")</f>
        <v>GC - IV - 4166 - CTY NHC - VÀNG LÁ (Bột vàng) - 1kg - 20</v>
      </c>
    </row>
    <row r="4940">
      <c r="A4940" s="86">
        <f>IFERROR(__xludf.DUMMYFUNCTION("""COMPUTED_VALUE"""),4938.0)</f>
        <v>4938</v>
      </c>
      <c r="B4940" s="87" t="str">
        <f>IFERROR(__xludf.DUMMYFUNCTION("""COMPUTED_VALUE"""),"[Nhãn thùng]")</f>
        <v>[Nhãn thùng]</v>
      </c>
      <c r="C4940" s="87" t="str">
        <f>IFERROR(__xludf.DUMMYFUNCTION("""COMPUTED_VALUE"""),"NDT4166")</f>
        <v>NDT4166</v>
      </c>
      <c r="D4940" s="87" t="str">
        <f>IFERROR(__xludf.DUMMYFUNCTION("""COMPUTED_VALUE"""),"[Nhãn thùng] GC - IV - 4166 - CTY NHC - VÀNG LÁ (Bột vàng) - 1kg - 20")</f>
        <v>[Nhãn thùng] GC - IV - 4166 - CTY NHC - VÀNG LÁ (Bột vàng) - 1kg - 20</v>
      </c>
      <c r="E4940" s="87" t="str">
        <f>IFERROR(__xludf.DUMMYFUNCTION("""COMPUTED_VALUE"""),"FORTAZEB 72WP")</f>
        <v>FORTAZEB 72WP</v>
      </c>
      <c r="F4940" s="87" t="str">
        <f>IFERROR(__xludf.DUMMYFUNCTION("""COMPUTED_VALUE"""),"HH4166")</f>
        <v>HH4166</v>
      </c>
      <c r="G4940" s="87" t="str">
        <f>IFERROR(__xludf.DUMMYFUNCTION("""COMPUTED_VALUE"""),"GC - IV - 4166 - CTY NHC - VÀNG LÁ (Bột vàng) - 1kg - 20")</f>
        <v>GC - IV - 4166 - CTY NHC - VÀNG LÁ (Bột vàng) - 1kg - 20</v>
      </c>
    </row>
    <row r="4941">
      <c r="A4941" s="86">
        <f>IFERROR(__xludf.DUMMYFUNCTION("""COMPUTED_VALUE"""),4939.0)</f>
        <v>4939</v>
      </c>
      <c r="B4941" s="87" t="str">
        <f>IFERROR(__xludf.DUMMYFUNCTION("""COMPUTED_VALUE"""),"[Nhãn]")</f>
        <v>[Nhãn]</v>
      </c>
      <c r="C4941" s="87" t="str">
        <f>IFERROR(__xludf.DUMMYFUNCTION("""COMPUTED_VALUE"""),"NHG4165")</f>
        <v>NHG4165</v>
      </c>
      <c r="D4941" s="87" t="str">
        <f>IFERROR(__xludf.DUMMYFUNCTION("""COMPUTED_VALUE"""),"[Nhãn] DR.XANH - VIII - 4165 - DR.SHIELD (Nước đỏ đậm) - 250ml - 40")</f>
        <v>[Nhãn] DR.XANH - VIII - 4165 - DR.SHIELD (Nước đỏ đậm) - 250ml - 40</v>
      </c>
      <c r="E4941" s="87" t="str">
        <f>IFERROR(__xludf.DUMMYFUNCTION("""COMPUTED_VALUE"""),"GENOL 1.2SL")</f>
        <v>GENOL 1.2SL</v>
      </c>
      <c r="F4941" s="87" t="str">
        <f>IFERROR(__xludf.DUMMYFUNCTION("""COMPUTED_VALUE"""),"HH4165")</f>
        <v>HH4165</v>
      </c>
      <c r="G4941" s="87" t="str">
        <f>IFERROR(__xludf.DUMMYFUNCTION("""COMPUTED_VALUE"""),"DR.XANH - VIII - 4165 - DR.SHIELD (Nước đỏ đậm) - 250ml - 40")</f>
        <v>DR.XANH - VIII - 4165 - DR.SHIELD (Nước đỏ đậm) - 250ml - 40</v>
      </c>
    </row>
    <row r="4942">
      <c r="A4942" s="86">
        <f>IFERROR(__xludf.DUMMYFUNCTION("""COMPUTED_VALUE"""),4940.0)</f>
        <v>4940</v>
      </c>
      <c r="B4942" s="87" t="str">
        <f>IFERROR(__xludf.DUMMYFUNCTION("""COMPUTED_VALUE"""),"[Nhãn]")</f>
        <v>[Nhãn]</v>
      </c>
      <c r="C4942" s="87" t="str">
        <f>IFERROR(__xludf.DUMMYFUNCTION("""COMPUTED_VALUE"""),"NHG4175")</f>
        <v>NHG4175</v>
      </c>
      <c r="D4942" s="87" t="str">
        <f>IFERROR(__xludf.DUMMYFUNCTION("""COMPUTED_VALUE"""),"[Nhãn] GC - IV - 4175 - HƯƠNG NÔNG - HN Stop (Gel nâu đen) - 1L - 20")</f>
        <v>[Nhãn] GC - IV - 4175 - HƯƠNG NÔNG - HN Stop (Gel nâu đen) - 1L - 20</v>
      </c>
      <c r="E4942" s="87" t="str">
        <f>IFERROR(__xludf.DUMMYFUNCTION("""COMPUTED_VALUE"""),"Vi lượng Quantity New")</f>
        <v>Vi lượng Quantity New</v>
      </c>
      <c r="F4942" s="87" t="str">
        <f>IFERROR(__xludf.DUMMYFUNCTION("""COMPUTED_VALUE"""),"HH4175")</f>
        <v>HH4175</v>
      </c>
      <c r="G4942" s="87" t="str">
        <f>IFERROR(__xludf.DUMMYFUNCTION("""COMPUTED_VALUE"""),"GC - IV - 4175 - HƯƠNG NÔNG - HN Stop (Gel nâu đen) - 1L - 20")</f>
        <v>GC - IV - 4175 - HƯƠNG NÔNG - HN Stop (Gel nâu đen) - 1L - 20</v>
      </c>
    </row>
    <row r="4943">
      <c r="A4943" s="86">
        <f>IFERROR(__xludf.DUMMYFUNCTION("""COMPUTED_VALUE"""),4941.0)</f>
        <v>4941</v>
      </c>
      <c r="B4943" s="87" t="str">
        <f>IFERROR(__xludf.DUMMYFUNCTION("""COMPUTED_VALUE"""),"[Nhãn]")</f>
        <v>[Nhãn]</v>
      </c>
      <c r="C4943" s="87" t="str">
        <f>IFERROR(__xludf.DUMMYFUNCTION("""COMPUTED_VALUE"""),"NHG4162")</f>
        <v>NHG4162</v>
      </c>
      <c r="D4943" s="87" t="str">
        <f>IFERROR(__xludf.DUMMYFUNCTION("""COMPUTED_VALUE"""),"[Nhãn] GC - IV - 4162 - NHP Group - CANXI BO BIO PLUS (Dạng SC - Trắng sữa) - 500ml - 40")</f>
        <v>[Nhãn] GC - IV - 4162 - NHP Group - CANXI BO BIO PLUS (Dạng SC - Trắng sữa) - 500ml - 40</v>
      </c>
      <c r="E4943" s="87" t="str">
        <f>IFERROR(__xludf.DUMMYFUNCTION("""COMPUTED_VALUE"""),"Vi lượng AGAMA-CANXI BO")</f>
        <v>Vi lượng AGAMA-CANXI BO</v>
      </c>
      <c r="F4943" s="87" t="str">
        <f>IFERROR(__xludf.DUMMYFUNCTION("""COMPUTED_VALUE"""),"HH4162")</f>
        <v>HH4162</v>
      </c>
      <c r="G4943" s="87" t="str">
        <f>IFERROR(__xludf.DUMMYFUNCTION("""COMPUTED_VALUE"""),"GC - IV - 4162 - NHP Group - CANXI BO BIO PLUS (Dạng SC - Trắng sữa) - 500ml - 40")</f>
        <v>GC - IV - 4162 - NHP Group - CANXI BO BIO PLUS (Dạng SC - Trắng sữa) - 500ml - 40</v>
      </c>
    </row>
    <row r="4944">
      <c r="A4944" s="86">
        <f>IFERROR(__xludf.DUMMYFUNCTION("""COMPUTED_VALUE"""),4942.0)</f>
        <v>4942</v>
      </c>
      <c r="B4944" s="87" t="str">
        <f>IFERROR(__xludf.DUMMYFUNCTION("""COMPUTED_VALUE"""),"[Nhãn]")</f>
        <v>[Nhãn]</v>
      </c>
      <c r="C4944" s="87" t="str">
        <f>IFERROR(__xludf.DUMMYFUNCTION("""COMPUTED_VALUE"""),"NHD4163")</f>
        <v>NHD4163</v>
      </c>
      <c r="D4944" s="87" t="str">
        <f>IFERROR(__xludf.DUMMYFUNCTION("""COMPUTED_VALUE"""),"[Nhãn] GC - IV - 4163 - Cty Quang Đăng Agriculture -PBVL AGAMA - CANXIBO - CABO SUPER - 500ml - 40")</f>
        <v>[Nhãn] GC - IV - 4163 - Cty Quang Đăng Agriculture -PBVL AGAMA - CANXIBO - CABO SUPER - 500ml - 40</v>
      </c>
      <c r="E4944" s="87" t="str">
        <f>IFERROR(__xludf.DUMMYFUNCTION("""COMPUTED_VALUE"""),"Vi lượng AGAMA-CANXI BO")</f>
        <v>Vi lượng AGAMA-CANXI BO</v>
      </c>
      <c r="F4944" s="87" t="str">
        <f>IFERROR(__xludf.DUMMYFUNCTION("""COMPUTED_VALUE"""),"HH4163")</f>
        <v>HH4163</v>
      </c>
      <c r="G4944" s="87" t="str">
        <f>IFERROR(__xludf.DUMMYFUNCTION("""COMPUTED_VALUE"""),"GC - IV - 4163 - Cty Quang Đăng Agriculture -PBVL AGAMA - CANXIBO - CABO SUPER - 500ml - 40")</f>
        <v>GC - IV - 4163 - Cty Quang Đăng Agriculture -PBVL AGAMA - CANXIBO - CABO SUPER - 500ml - 40</v>
      </c>
    </row>
    <row r="4945">
      <c r="A4945" s="86">
        <f>IFERROR(__xludf.DUMMYFUNCTION("""COMPUTED_VALUE"""),4943.0)</f>
        <v>4943</v>
      </c>
      <c r="B4945" s="87" t="str">
        <f>IFERROR(__xludf.DUMMYFUNCTION("""COMPUTED_VALUE"""),"[Nhãn]")</f>
        <v>[Nhãn]</v>
      </c>
      <c r="C4945" s="87" t="str">
        <f>IFERROR(__xludf.DUMMYFUNCTION("""COMPUTED_VALUE"""),"NHD4178")</f>
        <v>NHD4178</v>
      </c>
      <c r="D4945" s="87" t="str">
        <f>IFERROR(__xludf.DUMMYFUNCTION("""COMPUTED_VALUE"""),"[Nhãn]  GC - IV - 4178 - THẾ DANH - HAIHAMEC 3.6EC (Nước nâu đen) - 450ml - 40")</f>
        <v>[Nhãn]  GC - IV - 4178 - THẾ DANH - HAIHAMEC 3.6EC (Nước nâu đen) - 450ml - 40</v>
      </c>
      <c r="E4945" s="87" t="str">
        <f>IFERROR(__xludf.DUMMYFUNCTION("""COMPUTED_VALUE"""),"HAIHAMEC 3.6EC")</f>
        <v>HAIHAMEC 3.6EC</v>
      </c>
      <c r="F4945" s="87" t="str">
        <f>IFERROR(__xludf.DUMMYFUNCTION("""COMPUTED_VALUE"""),"HH4178")</f>
        <v>HH4178</v>
      </c>
      <c r="G4945" s="87" t="str">
        <f>IFERROR(__xludf.DUMMYFUNCTION("""COMPUTED_VALUE"""),"GC - IV - 4178 - THẾ DANH - HAIHAMEC 3.6EC (Nước nâu đen) - 450ml - 40")</f>
        <v>GC - IV - 4178 - THẾ DANH - HAIHAMEC 3.6EC (Nước nâu đen) - 450ml - 40</v>
      </c>
    </row>
    <row r="4946">
      <c r="A4946" s="86">
        <f>IFERROR(__xludf.DUMMYFUNCTION("""COMPUTED_VALUE"""),4944.0)</f>
        <v>4944</v>
      </c>
      <c r="B4946" s="87" t="str">
        <f>IFERROR(__xludf.DUMMYFUNCTION("""COMPUTED_VALUE"""),"[Nhãn]")</f>
        <v>[Nhãn]</v>
      </c>
      <c r="C4946" s="87" t="str">
        <f>IFERROR(__xludf.DUMMYFUNCTION("""COMPUTED_VALUE"""),"NHG4173")</f>
        <v>NHG4173</v>
      </c>
      <c r="D4946" s="87" t="str">
        <f>IFERROR(__xludf.DUMMYFUNCTION("""COMPUTED_VALUE"""),"[Nhãn] GC - IV - 4173 - Agritech - Arivil (Nước trắng sữa) - 1L - 20")</f>
        <v>[Nhãn] GC - IV - 4173 - Agritech - Arivil (Nước trắng sữa) - 1L - 20</v>
      </c>
      <c r="E4946" s="87" t="str">
        <f>IFERROR(__xludf.DUMMYFUNCTION("""COMPUTED_VALUE"""),"JAPA VIL 110SC")</f>
        <v>JAPA VIL 110SC</v>
      </c>
      <c r="F4946" s="87" t="str">
        <f>IFERROR(__xludf.DUMMYFUNCTION("""COMPUTED_VALUE"""),"HH4173")</f>
        <v>HH4173</v>
      </c>
      <c r="G4946" s="87" t="str">
        <f>IFERROR(__xludf.DUMMYFUNCTION("""COMPUTED_VALUE"""),"GC - IV - 4173 - Agritech - Arivil (Nước trắng sữa) - 1L - 20")</f>
        <v>GC - IV - 4173 - Agritech - Arivil (Nước trắng sữa) - 1L - 20</v>
      </c>
    </row>
    <row r="4947">
      <c r="A4947" s="86">
        <f>IFERROR(__xludf.DUMMYFUNCTION("""COMPUTED_VALUE"""),4945.0)</f>
        <v>4945</v>
      </c>
      <c r="B4947" s="87" t="str">
        <f>IFERROR(__xludf.DUMMYFUNCTION("""COMPUTED_VALUE"""),"[Nhãn thùng]")</f>
        <v>[Nhãn thùng]</v>
      </c>
      <c r="C4947" s="87" t="str">
        <f>IFERROR(__xludf.DUMMYFUNCTION("""COMPUTED_VALUE"""),"NDT4178")</f>
        <v>NDT4178</v>
      </c>
      <c r="D4947" s="87" t="str">
        <f>IFERROR(__xludf.DUMMYFUNCTION("""COMPUTED_VALUE"""),"[Nhãn thùng]  GC - IV - 4178 - THẾ DANH - HAIHAMEC 3.6EC (Nước nâu đen) - 450ml - 40")</f>
        <v>[Nhãn thùng]  GC - IV - 4178 - THẾ DANH - HAIHAMEC 3.6EC (Nước nâu đen) - 450ml - 40</v>
      </c>
      <c r="E4947" s="87" t="str">
        <f>IFERROR(__xludf.DUMMYFUNCTION("""COMPUTED_VALUE"""),"HAIHAMEC 3.6EC")</f>
        <v>HAIHAMEC 3.6EC</v>
      </c>
      <c r="F4947" s="87" t="str">
        <f>IFERROR(__xludf.DUMMYFUNCTION("""COMPUTED_VALUE"""),"HH4178")</f>
        <v>HH4178</v>
      </c>
      <c r="G4947" s="87" t="str">
        <f>IFERROR(__xludf.DUMMYFUNCTION("""COMPUTED_VALUE"""),"GC - IV - 4178 - THẾ DANH - HAIHAMEC 3.6EC (Nước nâu đen) - 450ml - 40")</f>
        <v>GC - IV - 4178 - THẾ DANH - HAIHAMEC 3.6EC (Nước nâu đen) - 450ml - 40</v>
      </c>
    </row>
    <row r="4948">
      <c r="A4948" s="86">
        <f>IFERROR(__xludf.DUMMYFUNCTION("""COMPUTED_VALUE"""),4946.0)</f>
        <v>4946</v>
      </c>
      <c r="B4948" s="87" t="str">
        <f>IFERROR(__xludf.DUMMYFUNCTION("""COMPUTED_VALUE"""),"[Nhãn]")</f>
        <v>[Nhãn]</v>
      </c>
      <c r="C4948" s="87" t="str">
        <f>IFERROR(__xludf.DUMMYFUNCTION("""COMPUTED_VALUE"""),"NTN4113")</f>
        <v>NTN4113</v>
      </c>
      <c r="D4948" s="87" t="str">
        <f>IFERROR(__xludf.DUMMYFUNCTION("""COMPUTED_VALUE"""),"[Nhãn] GC - IV - 4113 - Sen Hồng - Siêu trừ đạo ôn (bột cam) - 25gr - 300")</f>
        <v>[Nhãn] GC - IV - 4113 - Sen Hồng - Siêu trừ đạo ôn (bột cam) - 25gr - 300</v>
      </c>
      <c r="E4948" s="87" t="str">
        <f>IFERROR(__xludf.DUMMYFUNCTION("""COMPUTED_VALUE"""),"Pim.Pim 75WP")</f>
        <v>Pim.Pim 75WP</v>
      </c>
      <c r="F4948" s="87" t="str">
        <f>IFERROR(__xludf.DUMMYFUNCTION("""COMPUTED_VALUE"""),"HH4113")</f>
        <v>HH4113</v>
      </c>
      <c r="G4948" s="87" t="str">
        <f>IFERROR(__xludf.DUMMYFUNCTION("""COMPUTED_VALUE"""),"GC - IV - 4113 - Sen Hồng - Siêu trừ đạo ôn (bột cam) - 25gr - 300")</f>
        <v>GC - IV - 4113 - Sen Hồng - Siêu trừ đạo ôn (bột cam) - 25gr - 300</v>
      </c>
    </row>
    <row r="4949">
      <c r="A4949" s="86">
        <f>IFERROR(__xludf.DUMMYFUNCTION("""COMPUTED_VALUE"""),4947.0)</f>
        <v>4947</v>
      </c>
      <c r="B4949" s="87" t="str">
        <f>IFERROR(__xludf.DUMMYFUNCTION("""COMPUTED_VALUE"""),"[Nhãn]")</f>
        <v>[Nhãn]</v>
      </c>
      <c r="C4949" s="87" t="str">
        <f>IFERROR(__xludf.DUMMYFUNCTION("""COMPUTED_VALUE"""),"NHG4179")</f>
        <v>NHG4179</v>
      </c>
      <c r="D4949" s="87" t="str">
        <f>IFERROR(__xludf.DUMMYFUNCTION("""COMPUTED_VALUE"""),"[Nhãn] GC - IV - 4179 - CTY THIÊN DI - DƯỠNG CHẤT CHUYÊN DÙNG CHO SẦU RIÊNG (Nước tím đỏ) - 500ml - 40")</f>
        <v>[Nhãn] GC - IV - 4179 - CTY THIÊN DI - DƯỠNG CHẤT CHUYÊN DÙNG CHO SẦU RIÊNG (Nước tím đỏ) - 500ml - 40</v>
      </c>
      <c r="E4949" s="87" t="str">
        <f>IFERROR(__xludf.DUMMYFUNCTION("""COMPUTED_VALUE"""),"Hỗn Hợp NP AGAMA-AP")</f>
        <v>Hỗn Hợp NP AGAMA-AP</v>
      </c>
      <c r="F4949" s="87" t="str">
        <f>IFERROR(__xludf.DUMMYFUNCTION("""COMPUTED_VALUE"""),"HH4179")</f>
        <v>HH4179</v>
      </c>
      <c r="G4949" s="87" t="str">
        <f>IFERROR(__xludf.DUMMYFUNCTION("""COMPUTED_VALUE"""),"GC - IV - 4179 - CTY THIÊN DI - DƯỠNG CHẤT CHUYÊN DÙNG CHO SẦU RIÊNG (Nước tím đỏ) - 500ml - 40")</f>
        <v>GC - IV - 4179 - CTY THIÊN DI - DƯỠNG CHẤT CHUYÊN DÙNG CHO SẦU RIÊNG (Nước tím đỏ) - 500ml - 40</v>
      </c>
    </row>
    <row r="4950">
      <c r="A4950" s="86">
        <f>IFERROR(__xludf.DUMMYFUNCTION("""COMPUTED_VALUE"""),4948.0)</f>
        <v>4948</v>
      </c>
      <c r="B4950" s="87" t="str">
        <f>IFERROR(__xludf.DUMMYFUNCTION("""COMPUTED_VALUE"""),"[Nhãn]")</f>
        <v>[Nhãn]</v>
      </c>
      <c r="C4950" s="87" t="str">
        <f>IFERROR(__xludf.DUMMYFUNCTION("""COMPUTED_VALUE"""),"NHD4172")</f>
        <v>NHD4172</v>
      </c>
      <c r="D4950" s="87" t="str">
        <f>IFERROR(__xludf.DUMMYFUNCTION("""COMPUTED_VALUE"""),"[Nhãn] GC - IV - 4172 - CTY DONA VINA - CANXIBO ĐỒNG KẼM (Nước trắng sữa) - 500ml - 40")</f>
        <v>[Nhãn] GC - IV - 4172 - CTY DONA VINA - CANXIBO ĐỒNG KẼM (Nước trắng sữa) - 500ml - 40</v>
      </c>
      <c r="E4950" s="87" t="str">
        <f>IFERROR(__xludf.DUMMYFUNCTION("""COMPUTED_VALUE"""),"Vi lượng AGAMA-CANXI BO")</f>
        <v>Vi lượng AGAMA-CANXI BO</v>
      </c>
      <c r="F4950" s="87" t="str">
        <f>IFERROR(__xludf.DUMMYFUNCTION("""COMPUTED_VALUE"""),"HH4172")</f>
        <v>HH4172</v>
      </c>
      <c r="G4950" s="87" t="str">
        <f>IFERROR(__xludf.DUMMYFUNCTION("""COMPUTED_VALUE"""),"GC - IV - 4172 - CTY DONA VINA - CANXIBO ĐỒNG KẼM (Nước trắng sữa) - 500ml - 40")</f>
        <v>GC - IV - 4172 - CTY DONA VINA - CANXIBO ĐỒNG KẼM (Nước trắng sữa) - 500ml - 40</v>
      </c>
    </row>
    <row r="4951">
      <c r="A4951" s="86">
        <f>IFERROR(__xludf.DUMMYFUNCTION("""COMPUTED_VALUE"""),4949.0)</f>
        <v>4949</v>
      </c>
      <c r="B4951" s="87" t="str">
        <f>IFERROR(__xludf.DUMMYFUNCTION("""COMPUTED_VALUE"""),"[Nhãn thùng]")</f>
        <v>[Nhãn thùng]</v>
      </c>
      <c r="C4951" s="87" t="str">
        <f>IFERROR(__xludf.DUMMYFUNCTION("""COMPUTED_VALUE"""),"NDT4172")</f>
        <v>NDT4172</v>
      </c>
      <c r="D4951" s="87" t="str">
        <f>IFERROR(__xludf.DUMMYFUNCTION("""COMPUTED_VALUE"""),"[Nhãn thùng] GC - IV - 4172 - CTY DONA VINA - CANXIBO ĐỒNG KẼM (Nước trắng sữa) - 500ml - 40")</f>
        <v>[Nhãn thùng] GC - IV - 4172 - CTY DONA VINA - CANXIBO ĐỒNG KẼM (Nước trắng sữa) - 500ml - 40</v>
      </c>
      <c r="E4951" s="87" t="str">
        <f>IFERROR(__xludf.DUMMYFUNCTION("""COMPUTED_VALUE"""),"Vi lượng AGAMA-CANXI BO")</f>
        <v>Vi lượng AGAMA-CANXI BO</v>
      </c>
      <c r="F4951" s="87" t="str">
        <f>IFERROR(__xludf.DUMMYFUNCTION("""COMPUTED_VALUE"""),"HH4172")</f>
        <v>HH4172</v>
      </c>
      <c r="G4951" s="87" t="str">
        <f>IFERROR(__xludf.DUMMYFUNCTION("""COMPUTED_VALUE"""),"GC - IV - 4172 - CTY DONA VINA - CANXIBO ĐỒNG KẼM (Nước trắng sữa) - 500ml - 40")</f>
        <v>GC - IV - 4172 - CTY DONA VINA - CANXIBO ĐỒNG KẼM (Nước trắng sữa) - 500ml - 40</v>
      </c>
    </row>
    <row r="4952">
      <c r="A4952" s="86">
        <f>IFERROR(__xludf.DUMMYFUNCTION("""COMPUTED_VALUE"""),4950.0)</f>
        <v>4950</v>
      </c>
      <c r="B4952" s="87" t="str">
        <f>IFERROR(__xludf.DUMMYFUNCTION("""COMPUTED_VALUE"""),"[Nhãn]")</f>
        <v>[Nhãn]</v>
      </c>
      <c r="C4952" s="87" t="str">
        <f>IFERROR(__xludf.DUMMYFUNCTION("""COMPUTED_VALUE"""),"NHG4180")</f>
        <v>NHG4180</v>
      </c>
      <c r="D4952" s="87" t="str">
        <f>IFERROR(__xludf.DUMMYFUNCTION("""COMPUTED_VALUE"""),"[Nhãn] GC - IV - 4180 - CTY THIÊN DI - THIDI PLUM MAX+ (Nước nâu đen) - 500ml - 40")</f>
        <v>[Nhãn] GC - IV - 4180 - CTY THIÊN DI - THIDI PLUM MAX+ (Nước nâu đen) - 500ml - 40</v>
      </c>
      <c r="E4952" s="87" t="str">
        <f>IFERROR(__xludf.DUMMYFUNCTION("""COMPUTED_VALUE"""),"Vi lượng Quantity New")</f>
        <v>Vi lượng Quantity New</v>
      </c>
      <c r="F4952" s="87" t="str">
        <f>IFERROR(__xludf.DUMMYFUNCTION("""COMPUTED_VALUE"""),"HH4180")</f>
        <v>HH4180</v>
      </c>
      <c r="G4952" s="87" t="str">
        <f>IFERROR(__xludf.DUMMYFUNCTION("""COMPUTED_VALUE"""),"GC - IV - 4180 - CTY THIÊN DI - THIDI PLUM MAX+ (Nước nâu đen) - 500ml - 40")</f>
        <v>GC - IV - 4180 - CTY THIÊN DI - THIDI PLUM MAX+ (Nước nâu đen) - 500ml - 40</v>
      </c>
    </row>
    <row r="4953">
      <c r="A4953" s="86">
        <f>IFERROR(__xludf.DUMMYFUNCTION("""COMPUTED_VALUE"""),4951.0)</f>
        <v>4951</v>
      </c>
      <c r="B4953" s="87" t="str">
        <f>IFERROR(__xludf.DUMMYFUNCTION("""COMPUTED_VALUE"""),"[Nhãn]")</f>
        <v>[Nhãn]</v>
      </c>
      <c r="C4953" s="87" t="str">
        <f>IFERROR(__xludf.DUMMYFUNCTION("""COMPUTED_VALUE"""),"NHD4183")</f>
        <v>NHD4183</v>
      </c>
      <c r="D4953" s="87" t="str">
        <f>IFERROR(__xludf.DUMMYFUNCTION("""COMPUTED_VALUE"""),"[Nhãn] GC - IV - 4183 - Cty Hương Nông - HN-pH++ (Nước nâu đen) - 5L - 4")</f>
        <v>[Nhãn] GC - IV - 4183 - Cty Hương Nông - HN-pH++ (Nước nâu đen) - 5L - 4</v>
      </c>
      <c r="E4953" s="87" t="str">
        <f>IFERROR(__xludf.DUMMYFUNCTION("""COMPUTED_VALUE"""),"Hữu cơ SH Agro Organic Fertilizer 20")</f>
        <v>Hữu cơ SH Agro Organic Fertilizer 20</v>
      </c>
      <c r="F4953" s="87" t="str">
        <f>IFERROR(__xludf.DUMMYFUNCTION("""COMPUTED_VALUE"""),"HH4183")</f>
        <v>HH4183</v>
      </c>
      <c r="G4953" s="87" t="str">
        <f>IFERROR(__xludf.DUMMYFUNCTION("""COMPUTED_VALUE"""),"GC - IV - 4183 - Cty Hương Nông - HN-pH++ (Nước nâu đen) - 5L - 4")</f>
        <v>GC - IV - 4183 - Cty Hương Nông - HN-pH++ (Nước nâu đen) - 5L - 4</v>
      </c>
    </row>
    <row r="4954">
      <c r="A4954" s="86">
        <f>IFERROR(__xludf.DUMMYFUNCTION("""COMPUTED_VALUE"""),4952.0)</f>
        <v>4952</v>
      </c>
      <c r="B4954" s="87" t="str">
        <f>IFERROR(__xludf.DUMMYFUNCTION("""COMPUTED_VALUE"""),"[Nhãn thùng]")</f>
        <v>[Nhãn thùng]</v>
      </c>
      <c r="C4954" s="87" t="str">
        <f>IFERROR(__xludf.DUMMYFUNCTION("""COMPUTED_VALUE"""),"NDT4183")</f>
        <v>NDT4183</v>
      </c>
      <c r="D4954" s="87" t="str">
        <f>IFERROR(__xludf.DUMMYFUNCTION("""COMPUTED_VALUE"""),"[Nhãn thùng] GC - IV - 4183 - Cty Hương Nông - HN-pH++ (Nước nâu đen) - 5L - 4")</f>
        <v>[Nhãn thùng] GC - IV - 4183 - Cty Hương Nông - HN-pH++ (Nước nâu đen) - 5L - 4</v>
      </c>
      <c r="E4954" s="87" t="str">
        <f>IFERROR(__xludf.DUMMYFUNCTION("""COMPUTED_VALUE"""),"Hữu cơ SH Agro Organic Fertilizer 20")</f>
        <v>Hữu cơ SH Agro Organic Fertilizer 20</v>
      </c>
      <c r="F4954" s="87" t="str">
        <f>IFERROR(__xludf.DUMMYFUNCTION("""COMPUTED_VALUE"""),"HH4183")</f>
        <v>HH4183</v>
      </c>
      <c r="G4954" s="87" t="str">
        <f>IFERROR(__xludf.DUMMYFUNCTION("""COMPUTED_VALUE"""),"GC - IV - 4183 - Cty Hương Nông - HN-pH++ (Nước nâu đen) - 5L - 4")</f>
        <v>GC - IV - 4183 - Cty Hương Nông - HN-pH++ (Nước nâu đen) - 5L - 4</v>
      </c>
    </row>
    <row r="4955">
      <c r="A4955" s="86">
        <f>IFERROR(__xludf.DUMMYFUNCTION("""COMPUTED_VALUE"""),4953.0)</f>
        <v>4953</v>
      </c>
      <c r="B4955" s="87" t="str">
        <f>IFERROR(__xludf.DUMMYFUNCTION("""COMPUTED_VALUE"""),"[Nhãn]")</f>
        <v>[Nhãn]</v>
      </c>
      <c r="C4955" s="87" t="str">
        <f>IFERROR(__xludf.DUMMYFUNCTION("""COMPUTED_VALUE"""),"NHG4158")</f>
        <v>NHG4158</v>
      </c>
      <c r="D4955" s="87" t="str">
        <f>IFERROR(__xludf.DUMMYFUNCTION("""COMPUTED_VALUE"""),"[Nhãn] GC - IV - 4158 - TAGO - Cạp Lửa (Nước nâu đen) - 450ml - 40")</f>
        <v>[Nhãn] GC - IV - 4158 - TAGO - Cạp Lửa (Nước nâu đen) - 450ml - 40</v>
      </c>
      <c r="E4955" s="87" t="str">
        <f>IFERROR(__xludf.DUMMYFUNCTION("""COMPUTED_VALUE"""),"HAIHAMEC 3.6EC")</f>
        <v>HAIHAMEC 3.6EC</v>
      </c>
      <c r="F4955" s="87" t="str">
        <f>IFERROR(__xludf.DUMMYFUNCTION("""COMPUTED_VALUE"""),"HH4158")</f>
        <v>HH4158</v>
      </c>
      <c r="G4955" s="87" t="str">
        <f>IFERROR(__xludf.DUMMYFUNCTION("""COMPUTED_VALUE"""),"GC - IV - 4158 - TAGO - Cạp Lửa (Nước nâu đen) - 450ml - 40")</f>
        <v>GC - IV - 4158 - TAGO - Cạp Lửa (Nước nâu đen) - 450ml - 40</v>
      </c>
    </row>
    <row r="4956">
      <c r="A4956" s="86">
        <f>IFERROR(__xludf.DUMMYFUNCTION("""COMPUTED_VALUE"""),4954.0)</f>
        <v>4954</v>
      </c>
      <c r="B4956" s="87" t="str">
        <f>IFERROR(__xludf.DUMMYFUNCTION("""COMPUTED_VALUE"""),"[Nhãn thùng]")</f>
        <v>[Nhãn thùng]</v>
      </c>
      <c r="C4956" s="87" t="str">
        <f>IFERROR(__xludf.DUMMYFUNCTION("""COMPUTED_VALUE"""),"NDT4113")</f>
        <v>NDT4113</v>
      </c>
      <c r="D4956" s="87" t="str">
        <f>IFERROR(__xludf.DUMMYFUNCTION("""COMPUTED_VALUE"""),"[Nhãn thùng] GC - IV - 4113 - Sen Hồng - Siêu trừ đạo ôn (bột cam) - 25gr - 300")</f>
        <v>[Nhãn thùng] GC - IV - 4113 - Sen Hồng - Siêu trừ đạo ôn (bột cam) - 25gr - 300</v>
      </c>
      <c r="E4956" s="87" t="str">
        <f>IFERROR(__xludf.DUMMYFUNCTION("""COMPUTED_VALUE"""),"Pim.Pim 75WP")</f>
        <v>Pim.Pim 75WP</v>
      </c>
      <c r="F4956" s="87" t="str">
        <f>IFERROR(__xludf.DUMMYFUNCTION("""COMPUTED_VALUE"""),"HH4113")</f>
        <v>HH4113</v>
      </c>
      <c r="G4956" s="87" t="str">
        <f>IFERROR(__xludf.DUMMYFUNCTION("""COMPUTED_VALUE"""),"GC - IV - 4113 - Sen Hồng - Siêu trừ đạo ôn (bột cam) - 25gr - 300")</f>
        <v>GC - IV - 4113 - Sen Hồng - Siêu trừ đạo ôn (bột cam) - 25gr - 300</v>
      </c>
    </row>
    <row r="4957">
      <c r="A4957" s="86">
        <f>IFERROR(__xludf.DUMMYFUNCTION("""COMPUTED_VALUE"""),4955.0)</f>
        <v>4955</v>
      </c>
      <c r="B4957" s="87" t="str">
        <f>IFERROR(__xludf.DUMMYFUNCTION("""COMPUTED_VALUE"""),"[Nhãn]")</f>
        <v>[Nhãn]</v>
      </c>
      <c r="C4957" s="87" t="str">
        <f>IFERROR(__xludf.DUMMYFUNCTION("""COMPUTED_VALUE"""),"NHG4068")</f>
        <v>NHG4068</v>
      </c>
      <c r="D4957" s="87" t="str">
        <f>IFERROR(__xludf.DUMMYFUNCTION("""COMPUTED_VALUE"""),"[Nhãn] GC - IX - 4068 - N2SBIO - N2 HYPER CALBOR (Dạng SC - Vàng) - 500ml - 40")</f>
        <v>[Nhãn] GC - IX - 4068 - N2SBIO - N2 HYPER CALBOR (Dạng SC - Vàng) - 500ml - 40</v>
      </c>
      <c r="E4957" s="87" t="str">
        <f>IFERROR(__xludf.DUMMYFUNCTION("""COMPUTED_VALUE"""),"Lá NK Trung Vi Lượng Có Chất Điều Hòa Sinh Trưởng Halo 26")</f>
        <v>Lá NK Trung Vi Lượng Có Chất Điều Hòa Sinh Trưởng Halo 26</v>
      </c>
      <c r="F4957" s="87" t="str">
        <f>IFERROR(__xludf.DUMMYFUNCTION("""COMPUTED_VALUE"""),"HH4068")</f>
        <v>HH4068</v>
      </c>
      <c r="G4957" s="87" t="str">
        <f>IFERROR(__xludf.DUMMYFUNCTION("""COMPUTED_VALUE"""),"GC - IX - 4068 - N2SBIO - N2 HYPER CALBOR (Dạng SC - Vàng) - 500ml - 40")</f>
        <v>GC - IX - 4068 - N2SBIO - N2 HYPER CALBOR (Dạng SC - Vàng) - 500ml - 40</v>
      </c>
    </row>
    <row r="4958">
      <c r="A4958" s="86">
        <f>IFERROR(__xludf.DUMMYFUNCTION("""COMPUTED_VALUE"""),4956.0)</f>
        <v>4956</v>
      </c>
      <c r="B4958" s="87" t="str">
        <f>IFERROR(__xludf.DUMMYFUNCTION("""COMPUTED_VALUE"""),"[Nhãn]")</f>
        <v>[Nhãn]</v>
      </c>
      <c r="C4958" s="87" t="str">
        <f>IFERROR(__xludf.DUMMYFUNCTION("""COMPUTED_VALUE"""),"NHG4058")</f>
        <v>NHG4058</v>
      </c>
      <c r="D4958" s="87" t="str">
        <f>IFERROR(__xludf.DUMMYFUNCTION("""COMPUTED_VALUE"""),"[Nhãn] GC - IX - 4058 - N2SBIO -  SIÊU BO SỮA (Dạng SC - Trắng sữa) - 250ml - 40")</f>
        <v>[Nhãn] GC - IX - 4058 - N2SBIO -  SIÊU BO SỮA (Dạng SC - Trắng sữa) - 250ml - 40</v>
      </c>
      <c r="E4958" s="87" t="str">
        <f>IFERROR(__xludf.DUMMYFUNCTION("""COMPUTED_VALUE"""),"Lá Vi Lượng NBC-BO.15")</f>
        <v>Lá Vi Lượng NBC-BO.15</v>
      </c>
      <c r="F4958" s="87" t="str">
        <f>IFERROR(__xludf.DUMMYFUNCTION("""COMPUTED_VALUE"""),"HH4058")</f>
        <v>HH4058</v>
      </c>
      <c r="G4958" s="87" t="str">
        <f>IFERROR(__xludf.DUMMYFUNCTION("""COMPUTED_VALUE"""),"GC - IX - 4058 - N2SBIO -  SIÊU BO SỮA (Dạng SC - Trắng sữa) - 250ml - 40")</f>
        <v>GC - IX - 4058 - N2SBIO -  SIÊU BO SỮA (Dạng SC - Trắng sữa) - 250ml - 40</v>
      </c>
    </row>
    <row r="4959">
      <c r="A4959" s="86">
        <f>IFERROR(__xludf.DUMMYFUNCTION("""COMPUTED_VALUE"""),4957.0)</f>
        <v>4957</v>
      </c>
      <c r="B4959" s="87" t="str">
        <f>IFERROR(__xludf.DUMMYFUNCTION("""COMPUTED_VALUE"""),"[Nhãn]")</f>
        <v>[Nhãn]</v>
      </c>
      <c r="C4959" s="87" t="str">
        <f>IFERROR(__xludf.DUMMYFUNCTION("""COMPUTED_VALUE"""),"NHG4067")</f>
        <v>NHG4067</v>
      </c>
      <c r="D4959" s="87" t="str">
        <f>IFERROR(__xludf.DUMMYFUNCTION("""COMPUTED_VALUE"""),"[Nhãn] GC - IX - 4067 - N2SBIO - N2 ANTI STRESS (Gel nâu đen) - 500ml - 40")</f>
        <v>[Nhãn] GC - IX - 4067 - N2SBIO - N2 ANTI STRESS (Gel nâu đen) - 500ml - 40</v>
      </c>
      <c r="E4959" s="87" t="str">
        <f>IFERROR(__xludf.DUMMYFUNCTION("""COMPUTED_VALUE"""),"Lá Vô Cơ Nhiều Thành Phần NBC-ALCROP")</f>
        <v>Lá Vô Cơ Nhiều Thành Phần NBC-ALCROP</v>
      </c>
      <c r="F4959" s="87" t="str">
        <f>IFERROR(__xludf.DUMMYFUNCTION("""COMPUTED_VALUE"""),"HH4067")</f>
        <v>HH4067</v>
      </c>
      <c r="G4959" s="87" t="str">
        <f>IFERROR(__xludf.DUMMYFUNCTION("""COMPUTED_VALUE"""),"GC - IX - 4067 - N2SBIO - N2 ANTI STRESS (Gel nâu đen) - 500ml - 40")</f>
        <v>GC - IX - 4067 - N2SBIO - N2 ANTI STRESS (Gel nâu đen) - 500ml - 40</v>
      </c>
    </row>
    <row r="4960">
      <c r="A4960" s="86">
        <f>IFERROR(__xludf.DUMMYFUNCTION("""COMPUTED_VALUE"""),4958.0)</f>
        <v>4958</v>
      </c>
      <c r="B4960" s="87" t="str">
        <f>IFERROR(__xludf.DUMMYFUNCTION("""COMPUTED_VALUE"""),"[Nhãn]")</f>
        <v>[Nhãn]</v>
      </c>
      <c r="C4960" s="87" t="str">
        <f>IFERROR(__xludf.DUMMYFUNCTION("""COMPUTED_VALUE"""),"NHG4159")</f>
        <v>NHG4159</v>
      </c>
      <c r="D4960" s="87" t="str">
        <f>IFERROR(__xludf.DUMMYFUNCTION("""COMPUTED_VALUE"""),"[Nhãn] GC - IV - 4159 - CTY NÔNG DƯỢC BETA - DO OC (Nước nâu đen) - 450ml - 40")</f>
        <v>[Nhãn] GC - IV - 4159 - CTY NÔNG DƯỢC BETA - DO OC (Nước nâu đen) - 450ml - 40</v>
      </c>
      <c r="E4960" s="87" t="str">
        <f>IFERROR(__xludf.DUMMYFUNCTION("""COMPUTED_VALUE"""),"HAIHAMEC 3.6EC")</f>
        <v>HAIHAMEC 3.6EC</v>
      </c>
      <c r="F4960" s="87" t="str">
        <f>IFERROR(__xludf.DUMMYFUNCTION("""COMPUTED_VALUE"""),"HH4159")</f>
        <v>HH4159</v>
      </c>
      <c r="G4960" s="87" t="str">
        <f>IFERROR(__xludf.DUMMYFUNCTION("""COMPUTED_VALUE"""),"GC - IV - 4159 - CTY NÔNG DƯỢC BETA - DO OC (Nước nâu đen) - 450ml - 40")</f>
        <v>GC - IV - 4159 - CTY NÔNG DƯỢC BETA - DO OC (Nước nâu đen) - 450ml - 40</v>
      </c>
    </row>
    <row r="4961">
      <c r="A4961" s="86">
        <f>IFERROR(__xludf.DUMMYFUNCTION("""COMPUTED_VALUE"""),4959.0)</f>
        <v>4959</v>
      </c>
      <c r="B4961" s="87" t="str">
        <f>IFERROR(__xludf.DUMMYFUNCTION("""COMPUTED_VALUE"""),"[Nhãn]")</f>
        <v>[Nhãn]</v>
      </c>
      <c r="C4961" s="87" t="str">
        <f>IFERROR(__xludf.DUMMYFUNCTION("""COMPUTED_VALUE"""),"NTN4112")</f>
        <v>NTN4112</v>
      </c>
      <c r="D4961" s="87" t="str">
        <f>IFERROR(__xludf.DUMMYFUNCTION("""COMPUTED_VALUE"""),"[Nhãn] GC - IV - 4112 - CTY GNH - CHESSIN 600WP (Bột trắng ngà) - 40gr - 200")</f>
        <v>[Nhãn] GC - IV - 4112 - CTY GNH - CHESSIN 600WP (Bột trắng ngà) - 40gr - 200</v>
      </c>
      <c r="E4961" s="87" t="str">
        <f>IFERROR(__xludf.DUMMYFUNCTION("""COMPUTED_VALUE"""),"CHESSIN 600WP")</f>
        <v>CHESSIN 600WP</v>
      </c>
      <c r="F4961" s="87" t="str">
        <f>IFERROR(__xludf.DUMMYFUNCTION("""COMPUTED_VALUE"""),"HH4112")</f>
        <v>HH4112</v>
      </c>
      <c r="G4961" s="87" t="str">
        <f>IFERROR(__xludf.DUMMYFUNCTION("""COMPUTED_VALUE"""),"GC - IV - 4112 - CTY GNH - CHESSIN 600WP (Bột trắng ngà) - 40gr - 200")</f>
        <v>GC - IV - 4112 - CTY GNH - CHESSIN 600WP (Bột trắng ngà) - 40gr - 200</v>
      </c>
    </row>
    <row r="4962">
      <c r="A4962" s="86">
        <f>IFERROR(__xludf.DUMMYFUNCTION("""COMPUTED_VALUE"""),4960.0)</f>
        <v>4960</v>
      </c>
      <c r="B4962" s="87" t="str">
        <f>IFERROR(__xludf.DUMMYFUNCTION("""COMPUTED_VALUE"""),"[Nhãn thùng]")</f>
        <v>[Nhãn thùng]</v>
      </c>
      <c r="C4962" s="87" t="str">
        <f>IFERROR(__xludf.DUMMYFUNCTION("""COMPUTED_VALUE"""),"NDT4112")</f>
        <v>NDT4112</v>
      </c>
      <c r="D4962" s="87" t="str">
        <f>IFERROR(__xludf.DUMMYFUNCTION("""COMPUTED_VALUE"""),"[Nhãn thùng] GC - IV - 4112 - CTY GNH - CHESSIN 600WP (Bột trắng ngà) - 40gr - 200")</f>
        <v>[Nhãn thùng] GC - IV - 4112 - CTY GNH - CHESSIN 600WP (Bột trắng ngà) - 40gr - 200</v>
      </c>
      <c r="E4962" s="87" t="str">
        <f>IFERROR(__xludf.DUMMYFUNCTION("""COMPUTED_VALUE"""),"CHESSIN 600WP")</f>
        <v>CHESSIN 600WP</v>
      </c>
      <c r="F4962" s="87" t="str">
        <f>IFERROR(__xludf.DUMMYFUNCTION("""COMPUTED_VALUE"""),"HH4112")</f>
        <v>HH4112</v>
      </c>
      <c r="G4962" s="87" t="str">
        <f>IFERROR(__xludf.DUMMYFUNCTION("""COMPUTED_VALUE"""),"GC - IV - 4112 - CTY GNH - CHESSIN 600WP (Bột trắng ngà) - 40gr - 200")</f>
        <v>GC - IV - 4112 - CTY GNH - CHESSIN 600WP (Bột trắng ngà) - 40gr - 200</v>
      </c>
    </row>
    <row r="4963">
      <c r="A4963" s="86">
        <f>IFERROR(__xludf.DUMMYFUNCTION("""COMPUTED_VALUE"""),4961.0)</f>
        <v>4961</v>
      </c>
      <c r="B4963" s="87" t="str">
        <f>IFERROR(__xludf.DUMMYFUNCTION("""COMPUTED_VALUE"""),"[Nhãn]")</f>
        <v>[Nhãn]</v>
      </c>
      <c r="C4963" s="87" t="str">
        <f>IFERROR(__xludf.DUMMYFUNCTION("""COMPUTED_VALUE"""),"NHG4191")</f>
        <v>NHG4191</v>
      </c>
      <c r="D4963" s="87" t="str">
        <f>IFERROR(__xludf.DUMMYFUNCTION("""COMPUTED_VALUE"""),"[Nhãn] GC - IV - 4191 - Cty Sen Hồng - ROOT+ (Gel xanh dương) - 500ml - 40")</f>
        <v>[Nhãn] GC - IV - 4191 - Cty Sen Hồng - ROOT+ (Gel xanh dương) - 500ml - 40</v>
      </c>
      <c r="E4963" s="87" t="str">
        <f>IFERROR(__xludf.DUMMYFUNCTION("""COMPUTED_VALUE"""),"Vi lượng AGAMA-SUPPORT")</f>
        <v>Vi lượng AGAMA-SUPPORT</v>
      </c>
      <c r="F4963" s="87" t="str">
        <f>IFERROR(__xludf.DUMMYFUNCTION("""COMPUTED_VALUE"""),"HH4191")</f>
        <v>HH4191</v>
      </c>
      <c r="G4963" s="87" t="str">
        <f>IFERROR(__xludf.DUMMYFUNCTION("""COMPUTED_VALUE"""),"GC - IV - 4191 - Cty Sen Hồng - ROOT+ (Gel xanh dương) - 500ml - 40")</f>
        <v>GC - IV - 4191 - Cty Sen Hồng - ROOT+ (Gel xanh dương) - 500ml - 40</v>
      </c>
    </row>
    <row r="4964">
      <c r="A4964" s="86">
        <f>IFERROR(__xludf.DUMMYFUNCTION("""COMPUTED_VALUE"""),4962.0)</f>
        <v>4962</v>
      </c>
      <c r="B4964" s="87" t="str">
        <f>IFERROR(__xludf.DUMMYFUNCTION("""COMPUTED_VALUE"""),"[Nhãn]")</f>
        <v>[Nhãn]</v>
      </c>
      <c r="C4964" s="87" t="str">
        <f>IFERROR(__xludf.DUMMYFUNCTION("""COMPUTED_VALUE"""),"NTN4188")</f>
        <v>NTN4188</v>
      </c>
      <c r="D4964" s="87" t="str">
        <f>IFERROR(__xludf.DUMMYFUNCTION("""COMPUTED_VALUE"""),"[Nhãn] GC - IV - 4188 - CTY SEN HỒNG - BUM GOLD (Bột cam)  - 100gr - 100")</f>
        <v>[Nhãn] GC - IV - 4188 - CTY SEN HỒNG - BUM GOLD (Bột cam)  - 100gr - 100</v>
      </c>
      <c r="E4964" s="87" t="str">
        <f>IFERROR(__xludf.DUMMYFUNCTION("""COMPUTED_VALUE"""),"NOFADA 822WP")</f>
        <v>NOFADA 822WP</v>
      </c>
      <c r="F4964" s="87" t="str">
        <f>IFERROR(__xludf.DUMMYFUNCTION("""COMPUTED_VALUE"""),"HH4188")</f>
        <v>HH4188</v>
      </c>
      <c r="G4964" s="87" t="str">
        <f>IFERROR(__xludf.DUMMYFUNCTION("""COMPUTED_VALUE"""),"GC - IV - 4188 - CTY SEN HỒNG - BUM GOLD (Bột cam)  - 100gr - 100")</f>
        <v>GC - IV - 4188 - CTY SEN HỒNG - BUM GOLD (Bột cam)  - 100gr - 100</v>
      </c>
    </row>
    <row r="4965">
      <c r="A4965" s="86">
        <f>IFERROR(__xludf.DUMMYFUNCTION("""COMPUTED_VALUE"""),4963.0)</f>
        <v>4963</v>
      </c>
      <c r="B4965" s="87" t="str">
        <f>IFERROR(__xludf.DUMMYFUNCTION("""COMPUTED_VALUE"""),"[Nhãn thùng]")</f>
        <v>[Nhãn thùng]</v>
      </c>
      <c r="C4965" s="87" t="str">
        <f>IFERROR(__xludf.DUMMYFUNCTION("""COMPUTED_VALUE"""),"NDT4188")</f>
        <v>NDT4188</v>
      </c>
      <c r="D4965" s="87" t="str">
        <f>IFERROR(__xludf.DUMMYFUNCTION("""COMPUTED_VALUE"""),"[Nhãn thùng] GC - IV - 4188 - CTY SEN HỒNG - BUM GOLD (Bột cam)  - 100gr - 100")</f>
        <v>[Nhãn thùng] GC - IV - 4188 - CTY SEN HỒNG - BUM GOLD (Bột cam)  - 100gr - 100</v>
      </c>
      <c r="E4965" s="87" t="str">
        <f>IFERROR(__xludf.DUMMYFUNCTION("""COMPUTED_VALUE"""),"NOFADA 822WP")</f>
        <v>NOFADA 822WP</v>
      </c>
      <c r="F4965" s="87" t="str">
        <f>IFERROR(__xludf.DUMMYFUNCTION("""COMPUTED_VALUE"""),"HH4188")</f>
        <v>HH4188</v>
      </c>
      <c r="G4965" s="87" t="str">
        <f>IFERROR(__xludf.DUMMYFUNCTION("""COMPUTED_VALUE"""),"GC - IV - 4188 - CTY SEN HỒNG - BUM GOLD (Bột cam)  - 100gr - 100")</f>
        <v>GC - IV - 4188 - CTY SEN HỒNG - BUM GOLD (Bột cam)  - 100gr - 100</v>
      </c>
    </row>
    <row r="4966">
      <c r="A4966" s="86">
        <f>IFERROR(__xludf.DUMMYFUNCTION("""COMPUTED_VALUE"""),4964.0)</f>
        <v>4964</v>
      </c>
      <c r="B4966" s="87" t="str">
        <f>IFERROR(__xludf.DUMMYFUNCTION("""COMPUTED_VALUE"""),"[Nhãn]")</f>
        <v>[Nhãn]</v>
      </c>
      <c r="C4966" s="87" t="str">
        <f>IFERROR(__xludf.DUMMYFUNCTION("""COMPUTED_VALUE"""),"NTN4189")</f>
        <v>NTN4189</v>
      </c>
      <c r="D4966" s="87" t="str">
        <f>IFERROR(__xludf.DUMMYFUNCTION("""COMPUTED_VALUE"""),"[Nhãn]  GC - IV - 4189 - CTY SEN HÔNG - BUM GOLD (Bột cam)  - 250gr - 50")</f>
        <v>[Nhãn]  GC - IV - 4189 - CTY SEN HÔNG - BUM GOLD (Bột cam)  - 250gr - 50</v>
      </c>
      <c r="E4966" s="87" t="str">
        <f>IFERROR(__xludf.DUMMYFUNCTION("""COMPUTED_VALUE"""),"NOFADA 822WP")</f>
        <v>NOFADA 822WP</v>
      </c>
      <c r="F4966" s="87" t="str">
        <f>IFERROR(__xludf.DUMMYFUNCTION("""COMPUTED_VALUE"""),"HH4189")</f>
        <v>HH4189</v>
      </c>
      <c r="G4966" s="87" t="str">
        <f>IFERROR(__xludf.DUMMYFUNCTION("""COMPUTED_VALUE"""),"GC - IV - 4189 - CTY SEN HÔNG - BUM GOLD (Bột cam)  - 250gr - 50")</f>
        <v>GC - IV - 4189 - CTY SEN HÔNG - BUM GOLD (Bột cam)  - 250gr - 50</v>
      </c>
    </row>
    <row r="4967">
      <c r="A4967" s="86">
        <f>IFERROR(__xludf.DUMMYFUNCTION("""COMPUTED_VALUE"""),4965.0)</f>
        <v>4965</v>
      </c>
      <c r="B4967" s="87" t="str">
        <f>IFERROR(__xludf.DUMMYFUNCTION("""COMPUTED_VALUE"""),"[Nhãn thùng]")</f>
        <v>[Nhãn thùng]</v>
      </c>
      <c r="C4967" s="87" t="str">
        <f>IFERROR(__xludf.DUMMYFUNCTION("""COMPUTED_VALUE"""),"NDT4189")</f>
        <v>NDT4189</v>
      </c>
      <c r="D4967" s="87" t="str">
        <f>IFERROR(__xludf.DUMMYFUNCTION("""COMPUTED_VALUE"""),"[Nhãn thùng]  GC - IV - 4189 - CTY SEN HÔNG - BUM GOLD (Bột cam)  - 250gr - 50")</f>
        <v>[Nhãn thùng]  GC - IV - 4189 - CTY SEN HÔNG - BUM GOLD (Bột cam)  - 250gr - 50</v>
      </c>
      <c r="E4967" s="87" t="str">
        <f>IFERROR(__xludf.DUMMYFUNCTION("""COMPUTED_VALUE"""),"NOFADA 822WP")</f>
        <v>NOFADA 822WP</v>
      </c>
      <c r="F4967" s="87" t="str">
        <f>IFERROR(__xludf.DUMMYFUNCTION("""COMPUTED_VALUE"""),"HH4189")</f>
        <v>HH4189</v>
      </c>
      <c r="G4967" s="87" t="str">
        <f>IFERROR(__xludf.DUMMYFUNCTION("""COMPUTED_VALUE"""),"GC - IV - 4189 - CTY SEN HÔNG - BUM GOLD (Bột cam)  - 250gr - 50")</f>
        <v>GC - IV - 4189 - CTY SEN HÔNG - BUM GOLD (Bột cam)  - 250gr - 50</v>
      </c>
    </row>
    <row r="4968">
      <c r="A4968" s="86">
        <f>IFERROR(__xludf.DUMMYFUNCTION("""COMPUTED_VALUE"""),4966.0)</f>
        <v>4966</v>
      </c>
      <c r="B4968" s="87" t="str">
        <f>IFERROR(__xludf.DUMMYFUNCTION("""COMPUTED_VALUE"""),"[Nhãn]")</f>
        <v>[Nhãn]</v>
      </c>
      <c r="C4968" s="87" t="str">
        <f>IFERROR(__xludf.DUMMYFUNCTION("""COMPUTED_VALUE"""),"NHG4182")</f>
        <v>NHG4182</v>
      </c>
      <c r="D4968" s="87" t="str">
        <f>IFERROR(__xludf.DUMMYFUNCTION("""COMPUTED_VALUE"""),"[Nhãn] GC - IV - 4182 - Hóa Nông Shino - CANXI BO (Nước trắng sữa) - 500ml - 30")</f>
        <v>[Nhãn] GC - IV - 4182 - Hóa Nông Shino - CANXI BO (Nước trắng sữa) - 500ml - 30</v>
      </c>
      <c r="E4968" s="87" t="str">
        <f>IFERROR(__xludf.DUMMYFUNCTION("""COMPUTED_VALUE"""),"Vi lượng AGAMA-CANXI BO")</f>
        <v>Vi lượng AGAMA-CANXI BO</v>
      </c>
      <c r="F4968" s="87" t="str">
        <f>IFERROR(__xludf.DUMMYFUNCTION("""COMPUTED_VALUE"""),"HH4182")</f>
        <v>HH4182</v>
      </c>
      <c r="G4968" s="87" t="str">
        <f>IFERROR(__xludf.DUMMYFUNCTION("""COMPUTED_VALUE"""),"GC - IV - 4182 - Hóa Nông Shino - CANXI BO (Nước trắng sữa) - 500ml - 30")</f>
        <v>GC - IV - 4182 - Hóa Nông Shino - CANXI BO (Nước trắng sữa) - 500ml - 30</v>
      </c>
    </row>
    <row r="4969">
      <c r="A4969" s="86">
        <f>IFERROR(__xludf.DUMMYFUNCTION("""COMPUTED_VALUE"""),4967.0)</f>
        <v>4967</v>
      </c>
      <c r="B4969" s="87" t="str">
        <f>IFERROR(__xludf.DUMMYFUNCTION("""COMPUTED_VALUE"""),"[Nhãn]")</f>
        <v>[Nhãn]</v>
      </c>
      <c r="C4969" s="87" t="str">
        <f>IFERROR(__xludf.DUMMYFUNCTION("""COMPUTED_VALUE"""),"NHG4145")</f>
        <v>NHG4145</v>
      </c>
      <c r="D4969" s="87" t="str">
        <f>IFERROR(__xludf.DUMMYFUNCTION("""COMPUTED_VALUE"""),"[Nhãn] GC - IV - 4145 - Cty NTT - VIL EXTRA (Nước hồng) - 1L - 20")</f>
        <v>[Nhãn] GC - IV - 4145 - Cty NTT - VIL EXTRA (Nước hồng) - 1L - 20</v>
      </c>
      <c r="E4969" s="87" t="str">
        <f>IFERROR(__xludf.DUMMYFUNCTION("""COMPUTED_VALUE"""),"Mekongvil 5SC")</f>
        <v>Mekongvil 5SC</v>
      </c>
      <c r="F4969" s="87" t="str">
        <f>IFERROR(__xludf.DUMMYFUNCTION("""COMPUTED_VALUE"""),"HH4145")</f>
        <v>HH4145</v>
      </c>
      <c r="G4969" s="87" t="str">
        <f>IFERROR(__xludf.DUMMYFUNCTION("""COMPUTED_VALUE"""),"GC - IV - 4145 - Cty NTT - VIL EXTRA (Nước hồng) - 1L - 20")</f>
        <v>GC - IV - 4145 - Cty NTT - VIL EXTRA (Nước hồng) - 1L - 20</v>
      </c>
    </row>
    <row r="4970">
      <c r="A4970" s="86">
        <f>IFERROR(__xludf.DUMMYFUNCTION("""COMPUTED_VALUE"""),4968.0)</f>
        <v>4968</v>
      </c>
      <c r="B4970" s="87" t="str">
        <f>IFERROR(__xludf.DUMMYFUNCTION("""COMPUTED_VALUE"""),"[Nhãn]")</f>
        <v>[Nhãn]</v>
      </c>
      <c r="C4970" s="87" t="str">
        <f>IFERROR(__xludf.DUMMYFUNCTION("""COMPUTED_VALUE"""),"NHG4144")</f>
        <v>NHG4144</v>
      </c>
      <c r="D4970" s="87" t="str">
        <f>IFERROR(__xludf.DUMMYFUNCTION("""COMPUTED_VALUE"""),"[Nhãn] GC - IV - 4144 - Cty NTT - TRI-HEXA (Nước hồng) - 1L - 20")</f>
        <v>[Nhãn] GC - IV - 4144 - Cty NTT - TRI-HEXA (Nước hồng) - 1L - 20</v>
      </c>
      <c r="E4970" s="87" t="str">
        <f>IFERROR(__xludf.DUMMYFUNCTION("""COMPUTED_VALUE"""),"Mekongvil 5SC")</f>
        <v>Mekongvil 5SC</v>
      </c>
      <c r="F4970" s="87" t="str">
        <f>IFERROR(__xludf.DUMMYFUNCTION("""COMPUTED_VALUE"""),"HH4144")</f>
        <v>HH4144</v>
      </c>
      <c r="G4970" s="87" t="str">
        <f>IFERROR(__xludf.DUMMYFUNCTION("""COMPUTED_VALUE"""),"GC - IV - 4144 - Cty NTT - TRI-HEXA (Nước hồng) - 1L - 20")</f>
        <v>GC - IV - 4144 - Cty NTT - TRI-HEXA (Nước hồng) - 1L - 20</v>
      </c>
    </row>
    <row r="4971">
      <c r="A4971" s="86">
        <f>IFERROR(__xludf.DUMMYFUNCTION("""COMPUTED_VALUE"""),4969.0)</f>
        <v>4969</v>
      </c>
      <c r="B4971" s="87" t="str">
        <f>IFERROR(__xludf.DUMMYFUNCTION("""COMPUTED_VALUE"""),"[Nhãn]")</f>
        <v>[Nhãn]</v>
      </c>
      <c r="C4971" s="87" t="str">
        <f>IFERROR(__xludf.DUMMYFUNCTION("""COMPUTED_VALUE"""),"NHG4060")</f>
        <v>NHG4060</v>
      </c>
      <c r="D4971" s="87" t="str">
        <f>IFERROR(__xludf.DUMMYFUNCTION("""COMPUTED_VALUE"""),"[Nhãn] GC - IV - 4060 - AGRITECH - NUTI ROOTS 02 (Nước nâu đen) - 500ml - 40")</f>
        <v>[Nhãn] GC - IV - 4060 - AGRITECH - NUTI ROOTS 02 (Nước nâu đen) - 500ml - 40</v>
      </c>
      <c r="E4971" s="87" t="str">
        <f>IFERROR(__xludf.DUMMYFUNCTION("""COMPUTED_VALUE"""),"Hỗn Hợp NP AGAMA-AP")</f>
        <v>Hỗn Hợp NP AGAMA-AP</v>
      </c>
      <c r="F4971" s="87" t="str">
        <f>IFERROR(__xludf.DUMMYFUNCTION("""COMPUTED_VALUE"""),"HH4060")</f>
        <v>HH4060</v>
      </c>
      <c r="G4971" s="87" t="str">
        <f>IFERROR(__xludf.DUMMYFUNCTION("""COMPUTED_VALUE"""),"GC - IV - 4060 - AGRITECH - NUTI ROOTS 02 (Nước nâu đen) - 500ml - 40")</f>
        <v>GC - IV - 4060 - AGRITECH - NUTI ROOTS 02 (Nước nâu đen) - 500ml - 40</v>
      </c>
    </row>
    <row r="4972">
      <c r="A4972" s="86">
        <f>IFERROR(__xludf.DUMMYFUNCTION("""COMPUTED_VALUE"""),4970.0)</f>
        <v>4970</v>
      </c>
      <c r="B4972" s="87" t="str">
        <f>IFERROR(__xludf.DUMMYFUNCTION("""COMPUTED_VALUE"""),"[Nhãn]")</f>
        <v>[Nhãn]</v>
      </c>
      <c r="C4972" s="87" t="str">
        <f>IFERROR(__xludf.DUMMYFUNCTION("""COMPUTED_VALUE"""),"NHG4181")</f>
        <v>NHG4181</v>
      </c>
      <c r="D4972" s="87" t="str">
        <f>IFERROR(__xludf.DUMMYFUNCTION("""COMPUTED_VALUE"""),"[Nhãn] GC - IV - 4181 - THÀNH CÔNG AGRI - UT-STOP 25 (Nước nâu đen) - 500ml - 30")</f>
        <v>[Nhãn] GC - IV - 4181 - THÀNH CÔNG AGRI - UT-STOP 25 (Nước nâu đen) - 500ml - 30</v>
      </c>
      <c r="E4972" s="87" t="str">
        <f>IFERROR(__xludf.DUMMYFUNCTION("""COMPUTED_VALUE"""),"Vi lượng Quantity New")</f>
        <v>Vi lượng Quantity New</v>
      </c>
      <c r="F4972" s="87" t="str">
        <f>IFERROR(__xludf.DUMMYFUNCTION("""COMPUTED_VALUE"""),"HH4181")</f>
        <v>HH4181</v>
      </c>
      <c r="G4972" s="87" t="str">
        <f>IFERROR(__xludf.DUMMYFUNCTION("""COMPUTED_VALUE"""),"GC - IV - 4181 - THÀNH CÔNG AGRI - UT-STOP 25 (Nước nâu đen) - 500ml - 30")</f>
        <v>GC - IV - 4181 - THÀNH CÔNG AGRI - UT-STOP 25 (Nước nâu đen) - 500ml - 30</v>
      </c>
    </row>
    <row r="4973">
      <c r="A4973" s="86">
        <f>IFERROR(__xludf.DUMMYFUNCTION("""COMPUTED_VALUE"""),4971.0)</f>
        <v>4971</v>
      </c>
      <c r="B4973" s="87" t="str">
        <f>IFERROR(__xludf.DUMMYFUNCTION("""COMPUTED_VALUE"""),"[Nhãn]")</f>
        <v>[Nhãn]</v>
      </c>
      <c r="C4973" s="87" t="str">
        <f>IFERROR(__xludf.DUMMYFUNCTION("""COMPUTED_VALUE"""),"NHG4108")</f>
        <v>NHG4108</v>
      </c>
      <c r="D4973" s="87" t="str">
        <f>IFERROR(__xludf.DUMMYFUNCTION("""COMPUTED_VALUE"""),"[Nhãn] GC - IV - 4108 - SEN HỒNG - THẦN KÊ SH (Nước hồng) - 200ml - 40")</f>
        <v>[Nhãn] GC - IV - 4108 - SEN HỒNG - THẦN KÊ SH (Nước hồng) - 200ml - 40</v>
      </c>
      <c r="E4973" s="87" t="str">
        <f>IFERROR(__xludf.DUMMYFUNCTION("""COMPUTED_VALUE"""),"NEW FUZE 200SC")</f>
        <v>NEW FUZE 200SC</v>
      </c>
      <c r="F4973" s="87" t="str">
        <f>IFERROR(__xludf.DUMMYFUNCTION("""COMPUTED_VALUE"""),"HH4108")</f>
        <v>HH4108</v>
      </c>
      <c r="G4973" s="87" t="str">
        <f>IFERROR(__xludf.DUMMYFUNCTION("""COMPUTED_VALUE"""),"GC - IV - 4108 - SEN HỒNG - THẦN KÊ SH (Nước hồng) - 200ml - 40")</f>
        <v>GC - IV - 4108 - SEN HỒNG - THẦN KÊ SH (Nước hồng) - 200ml - 40</v>
      </c>
    </row>
    <row r="4974">
      <c r="A4974" s="86">
        <f>IFERROR(__xludf.DUMMYFUNCTION("""COMPUTED_VALUE"""),4972.0)</f>
        <v>4972</v>
      </c>
      <c r="B4974" s="87" t="str">
        <f>IFERROR(__xludf.DUMMYFUNCTION("""COMPUTED_VALUE"""),"[Nhãn]")</f>
        <v>[Nhãn]</v>
      </c>
      <c r="C4974" s="87" t="str">
        <f>IFERROR(__xludf.DUMMYFUNCTION("""COMPUTED_VALUE"""),"NHG4194")</f>
        <v>NHG4194</v>
      </c>
      <c r="D4974" s="87" t="str">
        <f>IFERROR(__xludf.DUMMYFUNCTION("""COMPUTED_VALUE"""),"[Nhãn] GC - IV - 4194 - HƯƠNG NÔNG - Tạo Mầm (Nước nâu đen) - 1L - 20")</f>
        <v>[Nhãn] GC - IV - 4194 - HƯƠNG NÔNG - Tạo Mầm (Nước nâu đen) - 1L - 20</v>
      </c>
      <c r="E4974" s="87" t="str">
        <f>IFERROR(__xludf.DUMMYFUNCTION("""COMPUTED_VALUE"""),"Vi lượng Quantity New")</f>
        <v>Vi lượng Quantity New</v>
      </c>
      <c r="F4974" s="87" t="str">
        <f>IFERROR(__xludf.DUMMYFUNCTION("""COMPUTED_VALUE"""),"HH4194")</f>
        <v>HH4194</v>
      </c>
      <c r="G4974" s="87" t="str">
        <f>IFERROR(__xludf.DUMMYFUNCTION("""COMPUTED_VALUE"""),"GC - IV - 4194 - HƯƠNG NÔNG - Tạo Mầm (Nước nâu đen) - 1L - 20")</f>
        <v>GC - IV - 4194 - HƯƠNG NÔNG - Tạo Mầm (Nước nâu đen) - 1L - 20</v>
      </c>
    </row>
    <row r="4975">
      <c r="A4975" s="86">
        <f>IFERROR(__xludf.DUMMYFUNCTION("""COMPUTED_VALUE"""),4973.0)</f>
        <v>4973</v>
      </c>
      <c r="B4975" s="87" t="str">
        <f>IFERROR(__xludf.DUMMYFUNCTION("""COMPUTED_VALUE"""),"[Nhãn]")</f>
        <v>[Nhãn]</v>
      </c>
      <c r="C4975" s="87" t="str">
        <f>IFERROR(__xludf.DUMMYFUNCTION("""COMPUTED_VALUE"""),"NHG4192")</f>
        <v>NHG4192</v>
      </c>
      <c r="D4975" s="87" t="str">
        <f>IFERROR(__xludf.DUMMYFUNCTION("""COMPUTED_VALUE"""),"[Nhãn] GC - IV - 4192 - NEWTECH CROP SCIENCE - NEW PLANT (Nước nâu đen) - 500ml - 30")</f>
        <v>[Nhãn] GC - IV - 4192 - NEWTECH CROP SCIENCE - NEW PLANT (Nước nâu đen) - 500ml - 30</v>
      </c>
      <c r="E4975" s="87" t="str">
        <f>IFERROR(__xludf.DUMMYFUNCTION("""COMPUTED_VALUE"""),"Hỗn Hợp NP AGAMA-AP")</f>
        <v>Hỗn Hợp NP AGAMA-AP</v>
      </c>
      <c r="F4975" s="87" t="str">
        <f>IFERROR(__xludf.DUMMYFUNCTION("""COMPUTED_VALUE"""),"HH4192")</f>
        <v>HH4192</v>
      </c>
      <c r="G4975" s="87" t="str">
        <f>IFERROR(__xludf.DUMMYFUNCTION("""COMPUTED_VALUE"""),"GC - IV - 4192 - NEWTECH CROP SCIENCE - NEW PLANT (Nước nâu đen) - 500ml - 30")</f>
        <v>GC - IV - 4192 - NEWTECH CROP SCIENCE - NEW PLANT (Nước nâu đen) - 500ml - 30</v>
      </c>
    </row>
    <row r="4976">
      <c r="A4976" s="86">
        <f>IFERROR(__xludf.DUMMYFUNCTION("""COMPUTED_VALUE"""),4974.0)</f>
        <v>4974</v>
      </c>
      <c r="B4976" s="87" t="str">
        <f>IFERROR(__xludf.DUMMYFUNCTION("""COMPUTED_VALUE"""),"[Nhãn]")</f>
        <v>[Nhãn]</v>
      </c>
      <c r="C4976" s="87" t="str">
        <f>IFERROR(__xludf.DUMMYFUNCTION("""COMPUTED_VALUE"""),"NHG4190")</f>
        <v>NHG4190</v>
      </c>
      <c r="D4976" s="87" t="str">
        <f>IFERROR(__xludf.DUMMYFUNCTION("""COMPUTED_VALUE"""),"[Nhãn] GC - IV - 4190 - NEWTECH CROP SCIENCE - NEW ZINC (Nước vàng sữa) - 500ml - 30")</f>
        <v>[Nhãn] GC - IV - 4190 - NEWTECH CROP SCIENCE - NEW ZINC (Nước vàng sữa) - 500ml - 30</v>
      </c>
      <c r="E4976" s="87" t="str">
        <f>IFERROR(__xludf.DUMMYFUNCTION("""COMPUTED_VALUE"""),"Vi lượng MICKEY")</f>
        <v>Vi lượng MICKEY</v>
      </c>
      <c r="F4976" s="87" t="str">
        <f>IFERROR(__xludf.DUMMYFUNCTION("""COMPUTED_VALUE"""),"HH4190")</f>
        <v>HH4190</v>
      </c>
      <c r="G4976" s="87" t="str">
        <f>IFERROR(__xludf.DUMMYFUNCTION("""COMPUTED_VALUE"""),"GC - IV - 4190 - NEWTECH CROP SCIENCE - NEW ZINC (Nước vàng sữa) - 500ml - 30")</f>
        <v>GC - IV - 4190 - NEWTECH CROP SCIENCE - NEW ZINC (Nước vàng sữa) - 500ml - 30</v>
      </c>
    </row>
    <row r="4977">
      <c r="A4977" s="86">
        <f>IFERROR(__xludf.DUMMYFUNCTION("""COMPUTED_VALUE"""),4975.0)</f>
        <v>4975</v>
      </c>
      <c r="B4977" s="87" t="str">
        <f>IFERROR(__xludf.DUMMYFUNCTION("""COMPUTED_VALUE"""),"[Nhãn]")</f>
        <v>[Nhãn]</v>
      </c>
      <c r="C4977" s="87" t="str">
        <f>IFERROR(__xludf.DUMMYFUNCTION("""COMPUTED_VALUE"""),"NHG4193")</f>
        <v>NHG4193</v>
      </c>
      <c r="D4977" s="87" t="str">
        <f>IFERROR(__xludf.DUMMYFUNCTION("""COMPUTED_VALUE"""),"[Nhãn] GC - IV - 4193 - NEWTECH CROP SCIENCE - NEW RICE (Nước đỏ cam) - 500ml - 30")</f>
        <v>[Nhãn] GC - IV - 4193 - NEWTECH CROP SCIENCE - NEW RICE (Nước đỏ cam) - 500ml - 30</v>
      </c>
      <c r="E4977" s="87" t="str">
        <f>IFERROR(__xludf.DUMMYFUNCTION("""COMPUTED_VALUE"""),"NPK-Vi lượng MASSIVE-BLUE")</f>
        <v>NPK-Vi lượng MASSIVE-BLUE</v>
      </c>
      <c r="F4977" s="87" t="str">
        <f>IFERROR(__xludf.DUMMYFUNCTION("""COMPUTED_VALUE"""),"HH4193")</f>
        <v>HH4193</v>
      </c>
      <c r="G4977" s="87" t="str">
        <f>IFERROR(__xludf.DUMMYFUNCTION("""COMPUTED_VALUE"""),"GC - IV - 4193 - NEWTECH CROP SCIENCE - NEW RICE (Nước đỏ cam) - 500ml - 30")</f>
        <v>GC - IV - 4193 - NEWTECH CROP SCIENCE - NEW RICE (Nước đỏ cam) - 500ml - 30</v>
      </c>
    </row>
    <row r="4978">
      <c r="A4978" s="86">
        <f>IFERROR(__xludf.DUMMYFUNCTION("""COMPUTED_VALUE"""),4976.0)</f>
        <v>4976</v>
      </c>
      <c r="B4978" s="87" t="str">
        <f>IFERROR(__xludf.DUMMYFUNCTION("""COMPUTED_VALUE"""),"[Nhãn thùng]")</f>
        <v>[Nhãn thùng]</v>
      </c>
      <c r="C4978" s="87" t="str">
        <f>IFERROR(__xludf.DUMMYFUNCTION("""COMPUTED_VALUE"""),"NDT4158")</f>
        <v>NDT4158</v>
      </c>
      <c r="D4978" s="87" t="str">
        <f>IFERROR(__xludf.DUMMYFUNCTION("""COMPUTED_VALUE"""),"[Nhãn thùng] GC - IV - 4158 - TAGO - Cạp Lửa (Nước nâu đen) - 450ml - 40")</f>
        <v>[Nhãn thùng] GC - IV - 4158 - TAGO - Cạp Lửa (Nước nâu đen) - 450ml - 40</v>
      </c>
      <c r="E4978" s="87" t="str">
        <f>IFERROR(__xludf.DUMMYFUNCTION("""COMPUTED_VALUE"""),"HAIHAMEC 3.6EC")</f>
        <v>HAIHAMEC 3.6EC</v>
      </c>
      <c r="F4978" s="87" t="str">
        <f>IFERROR(__xludf.DUMMYFUNCTION("""COMPUTED_VALUE"""),"HH4158")</f>
        <v>HH4158</v>
      </c>
      <c r="G4978" s="87" t="str">
        <f>IFERROR(__xludf.DUMMYFUNCTION("""COMPUTED_VALUE"""),"GC - IV - 4158 - TAGO - Cạp Lửa (Nước nâu đen) - 450ml - 40")</f>
        <v>GC - IV - 4158 - TAGO - Cạp Lửa (Nước nâu đen) - 450ml - 40</v>
      </c>
    </row>
    <row r="4979">
      <c r="A4979" s="86">
        <f>IFERROR(__xludf.DUMMYFUNCTION("""COMPUTED_VALUE"""),4977.0)</f>
        <v>4977</v>
      </c>
      <c r="B4979" s="87" t="str">
        <f>IFERROR(__xludf.DUMMYFUNCTION("""COMPUTED_VALUE"""),"[Nhãn]")</f>
        <v>[Nhãn]</v>
      </c>
      <c r="C4979" s="87" t="str">
        <f>IFERROR(__xludf.DUMMYFUNCTION("""COMPUTED_VALUE"""),"NHD4195")</f>
        <v>NHD4195</v>
      </c>
      <c r="D4979" s="87" t="str">
        <f>IFERROR(__xludf.DUMMYFUNCTION("""COMPUTED_VALUE"""),"[Nhãn] GC - IV - 4195 - Cty Thiên Di (A.Thành Dol) - GLU 200 (nước đỏ) - 900ml - 20")</f>
        <v>[Nhãn] GC - IV - 4195 - Cty Thiên Di (A.Thành Dol) - GLU 200 (nước đỏ) - 900ml - 20</v>
      </c>
      <c r="E4979" s="87" t="str">
        <f>IFERROR(__xludf.DUMMYFUNCTION("""COMPUTED_VALUE"""),"GLUFOCIDE 200SL")</f>
        <v>GLUFOCIDE 200SL</v>
      </c>
      <c r="F4979" s="87" t="str">
        <f>IFERROR(__xludf.DUMMYFUNCTION("""COMPUTED_VALUE"""),"HH4195")</f>
        <v>HH4195</v>
      </c>
      <c r="G4979" s="87" t="str">
        <f>IFERROR(__xludf.DUMMYFUNCTION("""COMPUTED_VALUE"""),"GC - IV - 4195 - Cty Thiên Di (A.Thành Dol) - GLU 200 (nước đỏ) - 900ml - 20")</f>
        <v>GC - IV - 4195 - Cty Thiên Di (A.Thành Dol) - GLU 200 (nước đỏ) - 900ml - 20</v>
      </c>
    </row>
    <row r="4980">
      <c r="A4980" s="86">
        <f>IFERROR(__xludf.DUMMYFUNCTION("""COMPUTED_VALUE"""),4978.0)</f>
        <v>4978</v>
      </c>
      <c r="B4980" s="87" t="str">
        <f>IFERROR(__xludf.DUMMYFUNCTION("""COMPUTED_VALUE"""),"[Nhãn thùng]")</f>
        <v>[Nhãn thùng]</v>
      </c>
      <c r="C4980" s="87" t="str">
        <f>IFERROR(__xludf.DUMMYFUNCTION("""COMPUTED_VALUE"""),"NDT4195")</f>
        <v>NDT4195</v>
      </c>
      <c r="D4980" s="87" t="str">
        <f>IFERROR(__xludf.DUMMYFUNCTION("""COMPUTED_VALUE"""),"[Nhãn thùng] GC - IV - 4195 - Cty Thiên Di (A.Thành Dol) - GLU 200 (nước đỏ) - 900ml - 20")</f>
        <v>[Nhãn thùng] GC - IV - 4195 - Cty Thiên Di (A.Thành Dol) - GLU 200 (nước đỏ) - 900ml - 20</v>
      </c>
      <c r="E4980" s="87" t="str">
        <f>IFERROR(__xludf.DUMMYFUNCTION("""COMPUTED_VALUE"""),"GLUFOCIDE 200SL")</f>
        <v>GLUFOCIDE 200SL</v>
      </c>
      <c r="F4980" s="87" t="str">
        <f>IFERROR(__xludf.DUMMYFUNCTION("""COMPUTED_VALUE"""),"HH4195")</f>
        <v>HH4195</v>
      </c>
      <c r="G4980" s="87" t="str">
        <f>IFERROR(__xludf.DUMMYFUNCTION("""COMPUTED_VALUE"""),"GC - IV - 4195 - Cty Thiên Di (A.Thành Dol) - GLU 200 (nước đỏ) - 900ml - 20")</f>
        <v>GC - IV - 4195 - Cty Thiên Di (A.Thành Dol) - GLU 200 (nước đỏ) - 900ml - 20</v>
      </c>
    </row>
    <row r="4981">
      <c r="A4981" s="86">
        <f>IFERROR(__xludf.DUMMYFUNCTION("""COMPUTED_VALUE"""),4979.0)</f>
        <v>4979</v>
      </c>
      <c r="B4981" s="87" t="str">
        <f>IFERROR(__xludf.DUMMYFUNCTION("""COMPUTED_VALUE"""),"[Nhãn]")</f>
        <v>[Nhãn]</v>
      </c>
      <c r="C4981" s="87" t="str">
        <f>IFERROR(__xludf.DUMMYFUNCTION("""COMPUTED_VALUE"""),"NTN4185")</f>
        <v>NTN4185</v>
      </c>
      <c r="D4981" s="87" t="str">
        <f>IFERROR(__xludf.DUMMYFUNCTION("""COMPUTED_VALUE"""),"[Nhãn] GC - IV - 4185 - Cty Newtex - MANCO-NT VÀNG (Bột vàng) - 1kg - 25")</f>
        <v>[Nhãn] GC - IV - 4185 - Cty Newtex - MANCO-NT VÀNG (Bột vàng) - 1kg - 25</v>
      </c>
      <c r="E4981" s="87" t="str">
        <f>IFERROR(__xludf.DUMMYFUNCTION("""COMPUTED_VALUE"""),"MANCOBGO 80WP")</f>
        <v>MANCOBGO 80WP</v>
      </c>
      <c r="F4981" s="87" t="str">
        <f>IFERROR(__xludf.DUMMYFUNCTION("""COMPUTED_VALUE"""),"HH4185")</f>
        <v>HH4185</v>
      </c>
      <c r="G4981" s="87" t="str">
        <f>IFERROR(__xludf.DUMMYFUNCTION("""COMPUTED_VALUE"""),"GC - IV - 4185 - Cty Newtex - MANCO-NT VÀNG (Bột vàng) - 1kg - 25")</f>
        <v>GC - IV - 4185 - Cty Newtex - MANCO-NT VÀNG (Bột vàng) - 1kg - 25</v>
      </c>
    </row>
    <row r="4982">
      <c r="A4982" s="86">
        <f>IFERROR(__xludf.DUMMYFUNCTION("""COMPUTED_VALUE"""),4980.0)</f>
        <v>4980</v>
      </c>
      <c r="B4982" s="87" t="str">
        <f>IFERROR(__xludf.DUMMYFUNCTION("""COMPUTED_VALUE"""),"[Nhãn thùng]")</f>
        <v>[Nhãn thùng]</v>
      </c>
      <c r="C4982" s="87" t="str">
        <f>IFERROR(__xludf.DUMMYFUNCTION("""COMPUTED_VALUE"""),"NDT4185")</f>
        <v>NDT4185</v>
      </c>
      <c r="D4982" s="87" t="str">
        <f>IFERROR(__xludf.DUMMYFUNCTION("""COMPUTED_VALUE"""),"[Nhãn thùng] GC - IV - 4185 - Cty Newtex - MANCO-NT VÀNG (Bột vàng) - 1kg - 25")</f>
        <v>[Nhãn thùng] GC - IV - 4185 - Cty Newtex - MANCO-NT VÀNG (Bột vàng) - 1kg - 25</v>
      </c>
      <c r="E4982" s="87" t="str">
        <f>IFERROR(__xludf.DUMMYFUNCTION("""COMPUTED_VALUE"""),"MANCOBGO 80WP")</f>
        <v>MANCOBGO 80WP</v>
      </c>
      <c r="F4982" s="87" t="str">
        <f>IFERROR(__xludf.DUMMYFUNCTION("""COMPUTED_VALUE"""),"HH4185")</f>
        <v>HH4185</v>
      </c>
      <c r="G4982" s="87" t="str">
        <f>IFERROR(__xludf.DUMMYFUNCTION("""COMPUTED_VALUE"""),"GC - IV - 4185 - Cty Newtex - MANCO-NT VÀNG (Bột vàng) - 1kg - 25")</f>
        <v>GC - IV - 4185 - Cty Newtex - MANCO-NT VÀNG (Bột vàng) - 1kg - 25</v>
      </c>
    </row>
    <row r="4983">
      <c r="A4983" s="86">
        <f>IFERROR(__xludf.DUMMYFUNCTION("""COMPUTED_VALUE"""),4981.0)</f>
        <v>4981</v>
      </c>
      <c r="B4983" s="87" t="str">
        <f>IFERROR(__xludf.DUMMYFUNCTION("""COMPUTED_VALUE"""),"[Nhãn]")</f>
        <v>[Nhãn]</v>
      </c>
      <c r="C4983" s="87" t="str">
        <f>IFERROR(__xludf.DUMMYFUNCTION("""COMPUTED_VALUE"""),"NHG4200")</f>
        <v>NHG4200</v>
      </c>
      <c r="D4983" s="87" t="str">
        <f>IFERROR(__xludf.DUMMYFUNCTION("""COMPUTED_VALUE"""),"[Nhãn] LOT IDA - I - 4200 - MEKONGVIL 5SC (xanh lá)(nước trắng sữa) - 1L - 20")</f>
        <v>[Nhãn] LOT IDA - I - 4200 - MEKONGVIL 5SC (xanh lá)(nước trắng sữa) - 1L - 20</v>
      </c>
      <c r="E4983" s="87" t="str">
        <f>IFERROR(__xludf.DUMMYFUNCTION("""COMPUTED_VALUE"""),"Mekongvil 5SC")</f>
        <v>Mekongvil 5SC</v>
      </c>
      <c r="F4983" s="87" t="str">
        <f>IFERROR(__xludf.DUMMYFUNCTION("""COMPUTED_VALUE"""),"HH4200")</f>
        <v>HH4200</v>
      </c>
      <c r="G4983" s="87" t="str">
        <f>IFERROR(__xludf.DUMMYFUNCTION("""COMPUTED_VALUE"""),"LOT IDA - I - 4200 - MEKONGVIL 5SC (xanh lá)(nước trắng sữa) - 1L - 20")</f>
        <v>LOT IDA - I - 4200 - MEKONGVIL 5SC (xanh lá)(nước trắng sữa) - 1L - 20</v>
      </c>
    </row>
    <row r="4984">
      <c r="A4984" s="86">
        <f>IFERROR(__xludf.DUMMYFUNCTION("""COMPUTED_VALUE"""),4982.0)</f>
        <v>4982</v>
      </c>
      <c r="B4984" s="87" t="str">
        <f>IFERROR(__xludf.DUMMYFUNCTION("""COMPUTED_VALUE"""),"[Nhãn]")</f>
        <v>[Nhãn]</v>
      </c>
      <c r="C4984" s="87" t="str">
        <f>IFERROR(__xludf.DUMMYFUNCTION("""COMPUTED_VALUE"""),"NTN4186")</f>
        <v>NTN4186</v>
      </c>
      <c r="D4984" s="87" t="str">
        <f>IFERROR(__xludf.DUMMYFUNCTION("""COMPUTED_VALUE"""),"[Nhãn] GC - IV - 4186 - Cty Newtex - OXYCIN 100WP (Bột trắng) - 100gr - 100")</f>
        <v>[Nhãn] GC - IV - 4186 - Cty Newtex - OXYCIN 100WP (Bột trắng) - 100gr - 100</v>
      </c>
      <c r="E4984" s="87" t="str">
        <f>IFERROR(__xludf.DUMMYFUNCTION("""COMPUTED_VALUE"""),"Oxycin 100WP")</f>
        <v>Oxycin 100WP</v>
      </c>
      <c r="F4984" s="87" t="str">
        <f>IFERROR(__xludf.DUMMYFUNCTION("""COMPUTED_VALUE"""),"HH4186")</f>
        <v>HH4186</v>
      </c>
      <c r="G4984" s="87" t="str">
        <f>IFERROR(__xludf.DUMMYFUNCTION("""COMPUTED_VALUE"""),"GC - IV - 4186 - Cty Newtex - OXYCIN 100WP (Bột trắng) - 100gr - 100")</f>
        <v>GC - IV - 4186 - Cty Newtex - OXYCIN 100WP (Bột trắng) - 100gr - 100</v>
      </c>
    </row>
    <row r="4985">
      <c r="A4985" s="86">
        <f>IFERROR(__xludf.DUMMYFUNCTION("""COMPUTED_VALUE"""),4983.0)</f>
        <v>4983</v>
      </c>
      <c r="B4985" s="87" t="str">
        <f>IFERROR(__xludf.DUMMYFUNCTION("""COMPUTED_VALUE"""),"[Nhãn thùng]")</f>
        <v>[Nhãn thùng]</v>
      </c>
      <c r="C4985" s="87" t="str">
        <f>IFERROR(__xludf.DUMMYFUNCTION("""COMPUTED_VALUE"""),"NDT4186")</f>
        <v>NDT4186</v>
      </c>
      <c r="D4985" s="87" t="str">
        <f>IFERROR(__xludf.DUMMYFUNCTION("""COMPUTED_VALUE"""),"[Nhãn thùng] GC - IV - 4186 - Cty Newtex - OXYCIN 100WP (Bột trắng) - 100gr - 100")</f>
        <v>[Nhãn thùng] GC - IV - 4186 - Cty Newtex - OXYCIN 100WP (Bột trắng) - 100gr - 100</v>
      </c>
      <c r="E4985" s="87" t="str">
        <f>IFERROR(__xludf.DUMMYFUNCTION("""COMPUTED_VALUE"""),"Oxycin 100WP")</f>
        <v>Oxycin 100WP</v>
      </c>
      <c r="F4985" s="87" t="str">
        <f>IFERROR(__xludf.DUMMYFUNCTION("""COMPUTED_VALUE"""),"HH4186")</f>
        <v>HH4186</v>
      </c>
      <c r="G4985" s="87" t="str">
        <f>IFERROR(__xludf.DUMMYFUNCTION("""COMPUTED_VALUE"""),"GC - IV - 4186 - Cty Newtex - OXYCIN 100WP (Bột trắng) - 100gr - 100")</f>
        <v>GC - IV - 4186 - Cty Newtex - OXYCIN 100WP (Bột trắng) - 100gr - 100</v>
      </c>
    </row>
    <row r="4986">
      <c r="A4986" s="86">
        <f>IFERROR(__xludf.DUMMYFUNCTION("""COMPUTED_VALUE"""),4984.0)</f>
        <v>4984</v>
      </c>
      <c r="B4986" s="87" t="str">
        <f>IFERROR(__xludf.DUMMYFUNCTION("""COMPUTED_VALUE"""),"[Nhãn]")</f>
        <v>[Nhãn]</v>
      </c>
      <c r="C4986" s="87" t="str">
        <f>IFERROR(__xludf.DUMMYFUNCTION("""COMPUTED_VALUE"""),"NHG4211")</f>
        <v>NHG4211</v>
      </c>
      <c r="D4986" s="87" t="str">
        <f>IFERROR(__xludf.DUMMYFUNCTION("""COMPUTED_VALUE"""),"[Nhãn] GC - IV - 4211 - Cty Capy Global - TOP SPROUT (nước nâu đen) - 500ml - 40")</f>
        <v>[Nhãn] GC - IV - 4211 - Cty Capy Global - TOP SPROUT (nước nâu đen) - 500ml - 40</v>
      </c>
      <c r="E4986" s="87" t="str">
        <f>IFERROR(__xludf.DUMMYFUNCTION("""COMPUTED_VALUE"""),"Vi lượng Run Fast")</f>
        <v>Vi lượng Run Fast</v>
      </c>
      <c r="F4986" s="87" t="str">
        <f>IFERROR(__xludf.DUMMYFUNCTION("""COMPUTED_VALUE"""),"HH4211")</f>
        <v>HH4211</v>
      </c>
      <c r="G4986" s="87" t="str">
        <f>IFERROR(__xludf.DUMMYFUNCTION("""COMPUTED_VALUE"""),"GC - IV - 4211 - Cty Capy Global - TOP SPROUT (nước nâu đen) - 500ml - 40")</f>
        <v>GC - IV - 4211 - Cty Capy Global - TOP SPROUT (nước nâu đen) - 500ml - 40</v>
      </c>
    </row>
    <row r="4987">
      <c r="A4987" s="86">
        <f>IFERROR(__xludf.DUMMYFUNCTION("""COMPUTED_VALUE"""),4985.0)</f>
        <v>4985</v>
      </c>
      <c r="B4987" s="87" t="str">
        <f>IFERROR(__xludf.DUMMYFUNCTION("""COMPUTED_VALUE"""),"[Nhãn]")</f>
        <v>[Nhãn]</v>
      </c>
      <c r="C4987" s="87" t="str">
        <f>IFERROR(__xludf.DUMMYFUNCTION("""COMPUTED_VALUE"""),"NHG4214")</f>
        <v>NHG4214</v>
      </c>
      <c r="D4987" s="87" t="str">
        <f>IFERROR(__xludf.DUMMYFUNCTION("""COMPUTED_VALUE"""),"[Nhãn] GC - IV - 4214 - CTY NAUY - SUPER NANO (Nước nâu đen) - 500ml - 40")</f>
        <v>[Nhãn] GC - IV - 4214 - CTY NAUY - SUPER NANO (Nước nâu đen) - 500ml - 40</v>
      </c>
      <c r="E4987" s="87" t="str">
        <f>IFERROR(__xludf.DUMMYFUNCTION("""COMPUTED_VALUE"""),"HỖN HỢP NPK AGAMA-SRH")</f>
        <v>HỖN HỢP NPK AGAMA-SRH</v>
      </c>
      <c r="F4987" s="87" t="str">
        <f>IFERROR(__xludf.DUMMYFUNCTION("""COMPUTED_VALUE"""),"HH4214")</f>
        <v>HH4214</v>
      </c>
      <c r="G4987" s="87" t="str">
        <f>IFERROR(__xludf.DUMMYFUNCTION("""COMPUTED_VALUE"""),"GC - IV - 4214 - CTY NAUY - SUPER NANO (Nước nâu đen) - 500ml - 40")</f>
        <v>GC - IV - 4214 - CTY NAUY - SUPER NANO (Nước nâu đen) - 500ml - 40</v>
      </c>
    </row>
    <row r="4988">
      <c r="A4988" s="86">
        <f>IFERROR(__xludf.DUMMYFUNCTION("""COMPUTED_VALUE"""),4986.0)</f>
        <v>4986</v>
      </c>
      <c r="B4988" s="87" t="str">
        <f>IFERROR(__xludf.DUMMYFUNCTION("""COMPUTED_VALUE"""),"[Nhãn]")</f>
        <v>[Nhãn]</v>
      </c>
      <c r="C4988" s="87" t="str">
        <f>IFERROR(__xludf.DUMMYFUNCTION("""COMPUTED_VALUE"""),"NHG4213")</f>
        <v>NHG4213</v>
      </c>
      <c r="D4988" s="87" t="str">
        <f>IFERROR(__xludf.DUMMYFUNCTION("""COMPUTED_VALUE"""),"[Nhãn] GC - IV - 4213 - CTY NAUY - GALAXY (Nước nâu đen) - 500ml - 40")</f>
        <v>[Nhãn] GC - IV - 4213 - CTY NAUY - GALAXY (Nước nâu đen) - 500ml - 40</v>
      </c>
      <c r="E4988" s="87" t="str">
        <f>IFERROR(__xludf.DUMMYFUNCTION("""COMPUTED_VALUE"""),"Hỗn Hợp NP AGAMA-AP")</f>
        <v>Hỗn Hợp NP AGAMA-AP</v>
      </c>
      <c r="F4988" s="87" t="str">
        <f>IFERROR(__xludf.DUMMYFUNCTION("""COMPUTED_VALUE"""),"HH4213")</f>
        <v>HH4213</v>
      </c>
      <c r="G4988" s="87" t="str">
        <f>IFERROR(__xludf.DUMMYFUNCTION("""COMPUTED_VALUE"""),"GC - IV - 4213 - CTY NAUY - GALAXY (Nước nâu đen) - 500ml - 40")</f>
        <v>GC - IV - 4213 - CTY NAUY - GALAXY (Nước nâu đen) - 500ml - 40</v>
      </c>
    </row>
    <row r="4989">
      <c r="A4989" s="86">
        <f>IFERROR(__xludf.DUMMYFUNCTION("""COMPUTED_VALUE"""),4987.0)</f>
        <v>4987</v>
      </c>
      <c r="B4989" s="87" t="str">
        <f>IFERROR(__xludf.DUMMYFUNCTION("""COMPUTED_VALUE"""),"[Nhãn]")</f>
        <v>[Nhãn]</v>
      </c>
      <c r="C4989" s="87" t="str">
        <f>IFERROR(__xludf.DUMMYFUNCTION("""COMPUTED_VALUE"""),"NHG4205")</f>
        <v>NHG4205</v>
      </c>
      <c r="D4989" s="87" t="str">
        <f>IFERROR(__xludf.DUMMYFUNCTION("""COMPUTED_VALUE"""),"[Nhãn] GC - IV - 4205 - THÀNH CÔNG AGRI - PT-STOP (Nước nâu đen) - 500ml - 30")</f>
        <v>[Nhãn] GC - IV - 4205 - THÀNH CÔNG AGRI - PT-STOP (Nước nâu đen) - 500ml - 30</v>
      </c>
      <c r="E4989" s="87" t="str">
        <f>IFERROR(__xludf.DUMMYFUNCTION("""COMPUTED_VALUE"""),"Vi lượng Quantity New")</f>
        <v>Vi lượng Quantity New</v>
      </c>
      <c r="F4989" s="87" t="str">
        <f>IFERROR(__xludf.DUMMYFUNCTION("""COMPUTED_VALUE"""),"HH4205")</f>
        <v>HH4205</v>
      </c>
      <c r="G4989" s="87" t="str">
        <f>IFERROR(__xludf.DUMMYFUNCTION("""COMPUTED_VALUE"""),"GC - IV - 4205 - THÀNH CÔNG AGRI - PT-STOP (Nước nâu đen) - 500ml - 30")</f>
        <v>GC - IV - 4205 - THÀNH CÔNG AGRI - PT-STOP (Nước nâu đen) - 500ml - 30</v>
      </c>
    </row>
    <row r="4990">
      <c r="A4990" s="86">
        <f>IFERROR(__xludf.DUMMYFUNCTION("""COMPUTED_VALUE"""),4988.0)</f>
        <v>4988</v>
      </c>
      <c r="B4990" s="87" t="str">
        <f>IFERROR(__xludf.DUMMYFUNCTION("""COMPUTED_VALUE"""),"[Nhãn]")</f>
        <v>[Nhãn]</v>
      </c>
      <c r="C4990" s="87" t="str">
        <f>IFERROR(__xludf.DUMMYFUNCTION("""COMPUTED_VALUE"""),"NHG4217")</f>
        <v>NHG4217</v>
      </c>
      <c r="D4990" s="87" t="str">
        <f>IFERROR(__xludf.DUMMYFUNCTION("""COMPUTED_VALUE"""),"[Nhãn] GC - IV - 4217 - HƯƠNG NÔNG - HN Stop (Gel nâu đen) - 1L - 20")</f>
        <v>[Nhãn] GC - IV - 4217 - HƯƠNG NÔNG - HN Stop (Gel nâu đen) - 1L - 20</v>
      </c>
      <c r="E4990" s="87" t="str">
        <f>IFERROR(__xludf.DUMMYFUNCTION("""COMPUTED_VALUE"""),"Vi lượng Quantity New")</f>
        <v>Vi lượng Quantity New</v>
      </c>
      <c r="F4990" s="87" t="str">
        <f>IFERROR(__xludf.DUMMYFUNCTION("""COMPUTED_VALUE"""),"HH4217")</f>
        <v>HH4217</v>
      </c>
      <c r="G4990" s="87" t="str">
        <f>IFERROR(__xludf.DUMMYFUNCTION("""COMPUTED_VALUE"""),"GC - IV - 4217 - HƯƠNG NÔNG - HN Stop (Gel nâu đen) - 1L - 20")</f>
        <v>GC - IV - 4217 - HƯƠNG NÔNG - HN Stop (Gel nâu đen) - 1L - 20</v>
      </c>
    </row>
    <row r="4991">
      <c r="A4991" s="86">
        <f>IFERROR(__xludf.DUMMYFUNCTION("""COMPUTED_VALUE"""),4989.0)</f>
        <v>4989</v>
      </c>
      <c r="B4991" s="87" t="str">
        <f>IFERROR(__xludf.DUMMYFUNCTION("""COMPUTED_VALUE"""),"[Nhãn]")</f>
        <v>[Nhãn]</v>
      </c>
      <c r="C4991" s="87" t="str">
        <f>IFERROR(__xludf.DUMMYFUNCTION("""COMPUTED_VALUE"""),"NHG4196")</f>
        <v>NHG4196</v>
      </c>
      <c r="D4991" s="87" t="str">
        <f>IFERROR(__xludf.DUMMYFUNCTION("""COMPUTED_VALUE"""),"[Nhãn] LOT IDA Global - I - 4196 - ĐL Đức Minh (KG) - IDA VIL (Nước vàng) - 1L - 20")</f>
        <v>[Nhãn] LOT IDA Global - I - 4196 - ĐL Đức Minh (KG) - IDA VIL (Nước vàng) - 1L - 20</v>
      </c>
      <c r="E4991" s="87" t="str">
        <f>IFERROR(__xludf.DUMMYFUNCTION("""COMPUTED_VALUE"""),"Mekongvil 5SC")</f>
        <v>Mekongvil 5SC</v>
      </c>
      <c r="F4991" s="87" t="str">
        <f>IFERROR(__xludf.DUMMYFUNCTION("""COMPUTED_VALUE"""),"HH4196")</f>
        <v>HH4196</v>
      </c>
      <c r="G4991" s="87" t="str">
        <f>IFERROR(__xludf.DUMMYFUNCTION("""COMPUTED_VALUE"""),"LOT IDA Global - I - 4196 - ĐL Đức Minh (KG) - IDA VIL (Nước vàng) - 1L - 20")</f>
        <v>LOT IDA Global - I - 4196 - ĐL Đức Minh (KG) - IDA VIL (Nước vàng) - 1L - 20</v>
      </c>
    </row>
    <row r="4992">
      <c r="A4992" s="86">
        <f>IFERROR(__xludf.DUMMYFUNCTION("""COMPUTED_VALUE"""),4990.0)</f>
        <v>4990</v>
      </c>
      <c r="B4992" s="87" t="str">
        <f>IFERROR(__xludf.DUMMYFUNCTION("""COMPUTED_VALUE"""),"[Nhãn]")</f>
        <v>[Nhãn]</v>
      </c>
      <c r="C4992" s="87" t="str">
        <f>IFERROR(__xludf.DUMMYFUNCTION("""COMPUTED_VALUE"""),"NHG4197")</f>
        <v>NHG4197</v>
      </c>
      <c r="D4992" s="87" t="str">
        <f>IFERROR(__xludf.DUMMYFUNCTION("""COMPUTED_VALUE"""),"[Nhãn] IDA Global - I - 4197 - ĐL CHẤN PHONG - CITTIZEN 333SC (Nước cam sữa) - 350ml - 40")</f>
        <v>[Nhãn] IDA Global - I - 4197 - ĐL CHẤN PHONG - CITTIZEN 333SC (Nước cam sữa) - 350ml - 40</v>
      </c>
      <c r="E4992" s="87" t="str">
        <f>IFERROR(__xludf.DUMMYFUNCTION("""COMPUTED_VALUE"""),"CITTIZEN 333SC")</f>
        <v>CITTIZEN 333SC</v>
      </c>
      <c r="F4992" s="87" t="str">
        <f>IFERROR(__xludf.DUMMYFUNCTION("""COMPUTED_VALUE"""),"HH4197")</f>
        <v>HH4197</v>
      </c>
      <c r="G4992" s="87" t="str">
        <f>IFERROR(__xludf.DUMMYFUNCTION("""COMPUTED_VALUE"""),"IDA Global - I - 4197 - ĐL CHẤN PHONG - CITTIZEN 333SC (Nước cam sữa) - 350ml - 40")</f>
        <v>IDA Global - I - 4197 - ĐL CHẤN PHONG - CITTIZEN 333SC (Nước cam sữa) - 350ml - 40</v>
      </c>
    </row>
    <row r="4993">
      <c r="A4993" s="86">
        <f>IFERROR(__xludf.DUMMYFUNCTION("""COMPUTED_VALUE"""),4991.0)</f>
        <v>4991</v>
      </c>
      <c r="B4993" s="87" t="str">
        <f>IFERROR(__xludf.DUMMYFUNCTION("""COMPUTED_VALUE"""),"[Nhãn]")</f>
        <v>[Nhãn]</v>
      </c>
      <c r="C4993" s="87" t="str">
        <f>IFERROR(__xludf.DUMMYFUNCTION("""COMPUTED_VALUE"""),"NHG4222")</f>
        <v>NHG4222</v>
      </c>
      <c r="D4993" s="87" t="str">
        <f>IFERROR(__xludf.DUMMYFUNCTION("""COMPUTED_VALUE"""),"[Nhãn] GC - IV - 4222 - A Thời GNH - Siêu Lớn Trái (Nước nâu đen) - 500ml - 40")</f>
        <v>[Nhãn] GC - IV - 4222 - A Thời GNH - Siêu Lớn Trái (Nước nâu đen) - 500ml - 40</v>
      </c>
      <c r="E4993" s="87" t="str">
        <f>IFERROR(__xludf.DUMMYFUNCTION("""COMPUTED_VALUE"""),"Vi lượng Basel VA02")</f>
        <v>Vi lượng Basel VA02</v>
      </c>
      <c r="F4993" s="87" t="str">
        <f>IFERROR(__xludf.DUMMYFUNCTION("""COMPUTED_VALUE"""),"HH4222")</f>
        <v>HH4222</v>
      </c>
      <c r="G4993" s="87" t="str">
        <f>IFERROR(__xludf.DUMMYFUNCTION("""COMPUTED_VALUE"""),"GC - IV - 4222 - A Thời GNH - Siêu Lớn Trái (Nước nâu đen) - 500ml - 40")</f>
        <v>GC - IV - 4222 - A Thời GNH - Siêu Lớn Trái (Nước nâu đen) - 500ml - 40</v>
      </c>
    </row>
    <row r="4994">
      <c r="A4994" s="86">
        <f>IFERROR(__xludf.DUMMYFUNCTION("""COMPUTED_VALUE"""),4992.0)</f>
        <v>4992</v>
      </c>
      <c r="B4994" s="87" t="str">
        <f>IFERROR(__xludf.DUMMYFUNCTION("""COMPUTED_VALUE"""),"[Nhãn]")</f>
        <v>[Nhãn]</v>
      </c>
      <c r="C4994" s="87" t="str">
        <f>IFERROR(__xludf.DUMMYFUNCTION("""COMPUTED_VALUE"""),"NHD4202")</f>
        <v>NHD4202</v>
      </c>
      <c r="D4994" s="87" t="str">
        <f>IFERROR(__xludf.DUMMYFUNCTION("""COMPUTED_VALUE"""),"[Nhãn] GC - IV - 4202 - ĐL Kim Khoa - Creek 2.1EC (Nước vàng trà) - 450ml - 40")</f>
        <v>[Nhãn] GC - IV - 4202 - ĐL Kim Khoa - Creek 2.1EC (Nước vàng trà) - 450ml - 40</v>
      </c>
      <c r="E4994" s="87" t="str">
        <f>IFERROR(__xludf.DUMMYFUNCTION("""COMPUTED_VALUE"""),"Creek 2.1EC")</f>
        <v>Creek 2.1EC</v>
      </c>
      <c r="F4994" s="87" t="str">
        <f>IFERROR(__xludf.DUMMYFUNCTION("""COMPUTED_VALUE"""),"HH4202")</f>
        <v>HH4202</v>
      </c>
      <c r="G4994" s="87" t="str">
        <f>IFERROR(__xludf.DUMMYFUNCTION("""COMPUTED_VALUE"""),"GC - IV - 4202 - ĐL Kim Khoa - Creek 2.1EC (Nước vàng trà) - 450ml - 40")</f>
        <v>GC - IV - 4202 - ĐL Kim Khoa - Creek 2.1EC (Nước vàng trà) - 450ml - 40</v>
      </c>
    </row>
    <row r="4995">
      <c r="A4995" s="86">
        <f>IFERROR(__xludf.DUMMYFUNCTION("""COMPUTED_VALUE"""),4993.0)</f>
        <v>4993</v>
      </c>
      <c r="B4995" s="87" t="str">
        <f>IFERROR(__xludf.DUMMYFUNCTION("""COMPUTED_VALUE"""),"[Nhãn thùng]")</f>
        <v>[Nhãn thùng]</v>
      </c>
      <c r="C4995" s="87" t="str">
        <f>IFERROR(__xludf.DUMMYFUNCTION("""COMPUTED_VALUE"""),"NDT4202")</f>
        <v>NDT4202</v>
      </c>
      <c r="D4995" s="87" t="str">
        <f>IFERROR(__xludf.DUMMYFUNCTION("""COMPUTED_VALUE"""),"[Nhãn thùng] GC - IV - 4202 - ĐL Kim Khoa - Creek 2.1EC (Nước vàng trà) - 450ml - 40")</f>
        <v>[Nhãn thùng] GC - IV - 4202 - ĐL Kim Khoa - Creek 2.1EC (Nước vàng trà) - 450ml - 40</v>
      </c>
      <c r="E4995" s="87" t="str">
        <f>IFERROR(__xludf.DUMMYFUNCTION("""COMPUTED_VALUE"""),"Creek 2.1EC")</f>
        <v>Creek 2.1EC</v>
      </c>
      <c r="F4995" s="87" t="str">
        <f>IFERROR(__xludf.DUMMYFUNCTION("""COMPUTED_VALUE"""),"HH4202")</f>
        <v>HH4202</v>
      </c>
      <c r="G4995" s="87" t="str">
        <f>IFERROR(__xludf.DUMMYFUNCTION("""COMPUTED_VALUE"""),"GC - IV - 4202 - ĐL Kim Khoa - Creek 2.1EC (Nước vàng trà) - 450ml - 40")</f>
        <v>GC - IV - 4202 - ĐL Kim Khoa - Creek 2.1EC (Nước vàng trà) - 450ml - 40</v>
      </c>
    </row>
    <row r="4996">
      <c r="A4996" s="86">
        <f>IFERROR(__xludf.DUMMYFUNCTION("""COMPUTED_VALUE"""),4994.0)</f>
        <v>4994</v>
      </c>
      <c r="B4996" s="87" t="str">
        <f>IFERROR(__xludf.DUMMYFUNCTION("""COMPUTED_VALUE"""),"[Nhãn]")</f>
        <v>[Nhãn]</v>
      </c>
      <c r="C4996" s="87" t="str">
        <f>IFERROR(__xludf.DUMMYFUNCTION("""COMPUTED_VALUE"""),"NHG4198")</f>
        <v>NHG4198</v>
      </c>
      <c r="D4996" s="87" t="str">
        <f>IFERROR(__xludf.DUMMYFUNCTION("""COMPUTED_VALUE"""),"[Nhãn] GC - IV - 4198 - CTY NAUY - CỨNG CÂY NAUY (Nước nâu đen) - 500ml - 40")</f>
        <v>[Nhãn] GC - IV - 4198 - CTY NAUY - CỨNG CÂY NAUY (Nước nâu đen) - 500ml - 40</v>
      </c>
      <c r="E4996" s="87" t="str">
        <f>IFERROR(__xludf.DUMMYFUNCTION("""COMPUTED_VALUE"""),"vi lượng G.A 05")</f>
        <v>vi lượng G.A 05</v>
      </c>
      <c r="F4996" s="87" t="str">
        <f>IFERROR(__xludf.DUMMYFUNCTION("""COMPUTED_VALUE"""),"HH4198")</f>
        <v>HH4198</v>
      </c>
      <c r="G4996" s="87" t="str">
        <f>IFERROR(__xludf.DUMMYFUNCTION("""COMPUTED_VALUE"""),"GC - IV - 4198 - CTY NAUY - CỨNG CÂY NAUY (Nước nâu đen) - 500ml - 40")</f>
        <v>GC - IV - 4198 - CTY NAUY - CỨNG CÂY NAUY (Nước nâu đen) - 500ml - 40</v>
      </c>
    </row>
    <row r="4997">
      <c r="A4997" s="86">
        <f>IFERROR(__xludf.DUMMYFUNCTION("""COMPUTED_VALUE"""),4995.0)</f>
        <v>4995</v>
      </c>
      <c r="B4997" s="87" t="str">
        <f>IFERROR(__xludf.DUMMYFUNCTION("""COMPUTED_VALUE"""),"[Nhãn]")</f>
        <v>[Nhãn]</v>
      </c>
      <c r="C4997" s="87" t="str">
        <f>IFERROR(__xludf.DUMMYFUNCTION("""COMPUTED_VALUE"""),"NHD3666")</f>
        <v>NHD3666</v>
      </c>
      <c r="D4997" s="87" t="str">
        <f>IFERROR(__xludf.DUMMYFUNCTION("""COMPUTED_VALUE"""),"[Nhãn] GC - IV - 3666 - CTY DONA VINA - TẠO MẦM FLOWER (Nước nâu đen) - 1L - 20")</f>
        <v>[Nhãn] GC - IV - 3666 - CTY DONA VINA - TẠO MẦM FLOWER (Nước nâu đen) - 1L - 20</v>
      </c>
      <c r="E4997" s="87" t="str">
        <f>IFERROR(__xludf.DUMMYFUNCTION("""COMPUTED_VALUE"""),"Vi lượng Quantity New")</f>
        <v>Vi lượng Quantity New</v>
      </c>
      <c r="F4997" s="87" t="str">
        <f>IFERROR(__xludf.DUMMYFUNCTION("""COMPUTED_VALUE"""),"HH3666")</f>
        <v>HH3666</v>
      </c>
      <c r="G4997" s="87" t="str">
        <f>IFERROR(__xludf.DUMMYFUNCTION("""COMPUTED_VALUE"""),"GC - IV - 3666 - CTY DONA VINA - TẠO MẦM FLOWER (Nước nâu đen) - 1L - 20")</f>
        <v>GC - IV - 3666 - CTY DONA VINA - TẠO MẦM FLOWER (Nước nâu đen) - 1L - 20</v>
      </c>
    </row>
    <row r="4998">
      <c r="A4998" s="86">
        <f>IFERROR(__xludf.DUMMYFUNCTION("""COMPUTED_VALUE"""),4996.0)</f>
        <v>4996</v>
      </c>
      <c r="B4998" s="87" t="str">
        <f>IFERROR(__xludf.DUMMYFUNCTION("""COMPUTED_VALUE"""),"[Nhãn thùng]")</f>
        <v>[Nhãn thùng]</v>
      </c>
      <c r="C4998" s="87" t="str">
        <f>IFERROR(__xludf.DUMMYFUNCTION("""COMPUTED_VALUE"""),"NDT3666")</f>
        <v>NDT3666</v>
      </c>
      <c r="D4998" s="87" t="str">
        <f>IFERROR(__xludf.DUMMYFUNCTION("""COMPUTED_VALUE"""),"[Nhãn thùng] GC - IV - 3666 - CTY DONA VINA - TẠO MẦM FLOWER (Nước nâu đen) - 1L - 20")</f>
        <v>[Nhãn thùng] GC - IV - 3666 - CTY DONA VINA - TẠO MẦM FLOWER (Nước nâu đen) - 1L - 20</v>
      </c>
      <c r="E4998" s="87" t="str">
        <f>IFERROR(__xludf.DUMMYFUNCTION("""COMPUTED_VALUE"""),"Vi lượng Quantity New")</f>
        <v>Vi lượng Quantity New</v>
      </c>
      <c r="F4998" s="87" t="str">
        <f>IFERROR(__xludf.DUMMYFUNCTION("""COMPUTED_VALUE"""),"HH3666")</f>
        <v>HH3666</v>
      </c>
      <c r="G4998" s="87" t="str">
        <f>IFERROR(__xludf.DUMMYFUNCTION("""COMPUTED_VALUE"""),"GC - IV - 3666 - CTY DONA VINA - TẠO MẦM FLOWER (Nước nâu đen) - 1L - 20")</f>
        <v>GC - IV - 3666 - CTY DONA VINA - TẠO MẦM FLOWER (Nước nâu đen) - 1L - 20</v>
      </c>
    </row>
    <row r="4999">
      <c r="A4999" s="86">
        <f>IFERROR(__xludf.DUMMYFUNCTION("""COMPUTED_VALUE"""),4997.0)</f>
        <v>4997</v>
      </c>
      <c r="B4999" s="87" t="str">
        <f>IFERROR(__xludf.DUMMYFUNCTION("""COMPUTED_VALUE"""),"[Nhãn]")</f>
        <v>[Nhãn]</v>
      </c>
      <c r="C4999" s="87" t="str">
        <f>IFERROR(__xludf.DUMMYFUNCTION("""COMPUTED_VALUE"""),"NHD4221")</f>
        <v>NHD4221</v>
      </c>
      <c r="D4999" s="87" t="str">
        <f>IFERROR(__xludf.DUMMYFUNCTION("""COMPUTED_VALUE"""),"[Nhãn] GC - IV - 4221 - CTY DONA VINA - STOP ONE (Nước nâu đen) - 1L - 20")</f>
        <v>[Nhãn] GC - IV - 4221 - CTY DONA VINA - STOP ONE (Nước nâu đen) - 1L - 20</v>
      </c>
      <c r="E4999" s="87" t="str">
        <f>IFERROR(__xludf.DUMMYFUNCTION("""COMPUTED_VALUE"""),"Vi lượng Quantity New")</f>
        <v>Vi lượng Quantity New</v>
      </c>
      <c r="F4999" s="87" t="str">
        <f>IFERROR(__xludf.DUMMYFUNCTION("""COMPUTED_VALUE"""),"HH4221")</f>
        <v>HH4221</v>
      </c>
      <c r="G4999" s="87" t="str">
        <f>IFERROR(__xludf.DUMMYFUNCTION("""COMPUTED_VALUE"""),"GC - IV - 4221 - CTY DONA VINA - STOP ONE (Nước nâu đen) - 1L - 20")</f>
        <v>GC - IV - 4221 - CTY DONA VINA - STOP ONE (Nước nâu đen) - 1L - 20</v>
      </c>
    </row>
    <row r="5000">
      <c r="A5000" s="86">
        <f>IFERROR(__xludf.DUMMYFUNCTION("""COMPUTED_VALUE"""),4998.0)</f>
        <v>4998</v>
      </c>
      <c r="B5000" s="87" t="str">
        <f>IFERROR(__xludf.DUMMYFUNCTION("""COMPUTED_VALUE"""),"[Nhãn thùng]")</f>
        <v>[Nhãn thùng]</v>
      </c>
      <c r="C5000" s="87" t="str">
        <f>IFERROR(__xludf.DUMMYFUNCTION("""COMPUTED_VALUE"""),"NDT4221")</f>
        <v>NDT4221</v>
      </c>
      <c r="D5000" s="87" t="str">
        <f>IFERROR(__xludf.DUMMYFUNCTION("""COMPUTED_VALUE"""),"[Nhãn thùng] GC - IV - 4221 - CTY DONA VINA - STOP ONE (Nước nâu đen) - 1L - 20")</f>
        <v>[Nhãn thùng] GC - IV - 4221 - CTY DONA VINA - STOP ONE (Nước nâu đen) - 1L - 20</v>
      </c>
      <c r="E5000" s="87" t="str">
        <f>IFERROR(__xludf.DUMMYFUNCTION("""COMPUTED_VALUE"""),"Vi lượng Quantity New")</f>
        <v>Vi lượng Quantity New</v>
      </c>
      <c r="F5000" s="87" t="str">
        <f>IFERROR(__xludf.DUMMYFUNCTION("""COMPUTED_VALUE"""),"HH4221")</f>
        <v>HH4221</v>
      </c>
      <c r="G5000" s="87" t="str">
        <f>IFERROR(__xludf.DUMMYFUNCTION("""COMPUTED_VALUE"""),"GC - IV - 4221 - CTY DONA VINA - STOP ONE (Nước nâu đen) - 1L - 20")</f>
        <v>GC - IV - 4221 - CTY DONA VINA - STOP ONE (Nước nâu đen) - 1L - 20</v>
      </c>
    </row>
    <row r="5001">
      <c r="A5001" s="86">
        <f>IFERROR(__xludf.DUMMYFUNCTION("""COMPUTED_VALUE"""),4999.0)</f>
        <v>4999</v>
      </c>
      <c r="B5001" s="87" t="str">
        <f>IFERROR(__xludf.DUMMYFUNCTION("""COMPUTED_VALUE"""),"[Nhãn]")</f>
        <v>[Nhãn]</v>
      </c>
      <c r="C5001" s="87" t="str">
        <f>IFERROR(__xludf.DUMMYFUNCTION("""COMPUTED_VALUE"""),"NHG4209")</f>
        <v>NHG4209</v>
      </c>
      <c r="D5001" s="87" t="str">
        <f>IFERROR(__xludf.DUMMYFUNCTION("""COMPUTED_VALUE"""),"[Nhãn] GC - IV - 4209 - Cty Quang Đăng Agriculture - KÍCH RỄ NỞ BỤI + (Nước nâu đen) - 1L - 20")</f>
        <v>[Nhãn] GC - IV - 4209 - Cty Quang Đăng Agriculture - KÍCH RỄ NỞ BỤI + (Nước nâu đen) - 1L - 20</v>
      </c>
      <c r="E5001" s="87" t="str">
        <f>IFERROR(__xludf.DUMMYFUNCTION("""COMPUTED_VALUE"""),"Hỗn Hợp NP AGAMA-AP")</f>
        <v>Hỗn Hợp NP AGAMA-AP</v>
      </c>
      <c r="F5001" s="87" t="str">
        <f>IFERROR(__xludf.DUMMYFUNCTION("""COMPUTED_VALUE"""),"HH4209")</f>
        <v>HH4209</v>
      </c>
      <c r="G5001" s="87" t="str">
        <f>IFERROR(__xludf.DUMMYFUNCTION("""COMPUTED_VALUE"""),"GC - IV - 4209 - Cty Quang Đăng Agriculture - KÍCH RỄ NỞ BỤI + (Nước nâu đen) - 1L - 20")</f>
        <v>GC - IV - 4209 - Cty Quang Đăng Agriculture - KÍCH RỄ NỞ BỤI + (Nước nâu đen) - 1L - 20</v>
      </c>
    </row>
    <row r="5002">
      <c r="A5002" s="86">
        <f>IFERROR(__xludf.DUMMYFUNCTION("""COMPUTED_VALUE"""),5000.0)</f>
        <v>5000</v>
      </c>
      <c r="B5002" s="87" t="str">
        <f>IFERROR(__xludf.DUMMYFUNCTION("""COMPUTED_VALUE"""),"[Nhãn]")</f>
        <v>[Nhãn]</v>
      </c>
      <c r="C5002" s="87" t="str">
        <f>IFERROR(__xludf.DUMMYFUNCTION("""COMPUTED_VALUE"""),"NHG4208")</f>
        <v>NHG4208</v>
      </c>
      <c r="D5002" s="87" t="str">
        <f>IFERROR(__xludf.DUMMYFUNCTION("""COMPUTED_VALUE"""),"[Nhãn] GC - IV - 4208 - Cty Quang Đăng Agriculture - SUPER VÔ GẠO + (Nước vàng cam) - 1L - 20")</f>
        <v>[Nhãn] GC - IV - 4208 - Cty Quang Đăng Agriculture - SUPER VÔ GẠO + (Nước vàng cam) - 1L - 20</v>
      </c>
      <c r="E5002" s="87" t="str">
        <f>IFERROR(__xludf.DUMMYFUNCTION("""COMPUTED_VALUE"""),"NPK-Vi lượng MASSIVE-BLUE")</f>
        <v>NPK-Vi lượng MASSIVE-BLUE</v>
      </c>
      <c r="F5002" s="87" t="str">
        <f>IFERROR(__xludf.DUMMYFUNCTION("""COMPUTED_VALUE"""),"HH4208")</f>
        <v>HH4208</v>
      </c>
      <c r="G5002" s="87" t="str">
        <f>IFERROR(__xludf.DUMMYFUNCTION("""COMPUTED_VALUE"""),"GC - IV - 4208 - Cty Quang Đăng Agriculture - SUPER VÔ GẠO + (Nước vàng cam) - 1L - 20")</f>
        <v>GC - IV - 4208 - Cty Quang Đăng Agriculture - SUPER VÔ GẠO + (Nước vàng cam) - 1L - 20</v>
      </c>
    </row>
    <row r="5003">
      <c r="A5003" s="86">
        <f>IFERROR(__xludf.DUMMYFUNCTION("""COMPUTED_VALUE"""),5001.0)</f>
        <v>5001</v>
      </c>
      <c r="B5003" s="87" t="str">
        <f>IFERROR(__xludf.DUMMYFUNCTION("""COMPUTED_VALUE"""),"[Nhãn]")</f>
        <v>[Nhãn]</v>
      </c>
      <c r="C5003" s="87" t="str">
        <f>IFERROR(__xludf.DUMMYFUNCTION("""COMPUTED_VALUE"""),"NHG4207")</f>
        <v>NHG4207</v>
      </c>
      <c r="D5003" s="87" t="str">
        <f>IFERROR(__xludf.DUMMYFUNCTION("""COMPUTED_VALUE"""),"[Nhãn] GC - IV - 4207 - Cty Quang Đăng Agriculture - NUÔI ĐÒNG TRỔ THOÁT + (Nước nâu đen) - 1L - 20")</f>
        <v>[Nhãn] GC - IV - 4207 - Cty Quang Đăng Agriculture - NUÔI ĐÒNG TRỔ THOÁT + (Nước nâu đen) - 1L - 20</v>
      </c>
      <c r="E5003" s="87" t="str">
        <f>IFERROR(__xludf.DUMMYFUNCTION("""COMPUTED_VALUE"""),"vi lượng HELP FARMER_3")</f>
        <v>vi lượng HELP FARMER_3</v>
      </c>
      <c r="F5003" s="87" t="str">
        <f>IFERROR(__xludf.DUMMYFUNCTION("""COMPUTED_VALUE"""),"HH4207")</f>
        <v>HH4207</v>
      </c>
      <c r="G5003" s="87" t="str">
        <f>IFERROR(__xludf.DUMMYFUNCTION("""COMPUTED_VALUE"""),"GC - IV - 4207 - Cty Quang Đăng Agriculture - NUÔI ĐÒNG TRỔ THOÁT + (Nước nâu đen) - 1L - 20")</f>
        <v>GC - IV - 4207 - Cty Quang Đăng Agriculture - NUÔI ĐÒNG TRỔ THOÁT + (Nước nâu đen) - 1L - 20</v>
      </c>
    </row>
    <row r="5004">
      <c r="A5004" s="86">
        <f>IFERROR(__xludf.DUMMYFUNCTION("""COMPUTED_VALUE"""),5002.0)</f>
        <v>5002</v>
      </c>
      <c r="B5004" s="87" t="str">
        <f>IFERROR(__xludf.DUMMYFUNCTION("""COMPUTED_VALUE"""),"[Nhãn]")</f>
        <v>[Nhãn]</v>
      </c>
      <c r="C5004" s="87" t="str">
        <f>IFERROR(__xludf.DUMMYFUNCTION("""COMPUTED_VALUE"""),"NHG4223")</f>
        <v>NHG4223</v>
      </c>
      <c r="D5004" s="87" t="str">
        <f>IFERROR(__xludf.DUMMYFUNCTION("""COMPUTED_VALUE"""),"[Nhãn] GC - IV - 4223 - THÀNH CÔNG AGRI - MT STOP (Nước nâu đen) - 1L - 20")</f>
        <v>[Nhãn] GC - IV - 4223 - THÀNH CÔNG AGRI - MT STOP (Nước nâu đen) - 1L - 20</v>
      </c>
      <c r="E5004" s="87" t="str">
        <f>IFERROR(__xludf.DUMMYFUNCTION("""COMPUTED_VALUE"""),"Vi lượng Quantity New")</f>
        <v>Vi lượng Quantity New</v>
      </c>
      <c r="F5004" s="87" t="str">
        <f>IFERROR(__xludf.DUMMYFUNCTION("""COMPUTED_VALUE"""),"HH4223")</f>
        <v>HH4223</v>
      </c>
      <c r="G5004" s="87" t="str">
        <f>IFERROR(__xludf.DUMMYFUNCTION("""COMPUTED_VALUE"""),"GC - IV - 4223 - THÀNH CÔNG AGRI - MT STOP (Nước nâu đen) - 1L - 20")</f>
        <v>GC - IV - 4223 - THÀNH CÔNG AGRI - MT STOP (Nước nâu đen) - 1L - 20</v>
      </c>
    </row>
    <row r="5005">
      <c r="A5005" s="86">
        <f>IFERROR(__xludf.DUMMYFUNCTION("""COMPUTED_VALUE"""),5003.0)</f>
        <v>5003</v>
      </c>
      <c r="B5005" s="87" t="str">
        <f>IFERROR(__xludf.DUMMYFUNCTION("""COMPUTED_VALUE"""),"[Nhãn]")</f>
        <v>[Nhãn]</v>
      </c>
      <c r="C5005" s="87" t="str">
        <f>IFERROR(__xludf.DUMMYFUNCTION("""COMPUTED_VALUE"""),"NHG4204")</f>
        <v>NHG4204</v>
      </c>
      <c r="D5005" s="87" t="str">
        <f>IFERROR(__xludf.DUMMYFUNCTION("""COMPUTED_VALUE"""),"[Nhãn] DR.XANH - VIII - 4204 - ROBUST EXTRA (Gel nâu đen) - 500ml - 40")</f>
        <v>[Nhãn] DR.XANH - VIII - 4204 - ROBUST EXTRA (Gel nâu đen) - 500ml - 40</v>
      </c>
      <c r="E5005" s="87" t="str">
        <f>IFERROR(__xludf.DUMMYFUNCTION("""COMPUTED_VALUE"""),"Hữu cơ ROOTS US90")</f>
        <v>Hữu cơ ROOTS US90</v>
      </c>
      <c r="F5005" s="87" t="str">
        <f>IFERROR(__xludf.DUMMYFUNCTION("""COMPUTED_VALUE"""),"HH4204")</f>
        <v>HH4204</v>
      </c>
      <c r="G5005" s="87" t="str">
        <f>IFERROR(__xludf.DUMMYFUNCTION("""COMPUTED_VALUE"""),"DR.XANH - VIII - 4204 - ROBUST EXTRA (Gel nâu đen) - 500ml - 40")</f>
        <v>DR.XANH - VIII - 4204 - ROBUST EXTRA (Gel nâu đen) - 500ml - 40</v>
      </c>
    </row>
    <row r="5006">
      <c r="A5006" s="86">
        <f>IFERROR(__xludf.DUMMYFUNCTION("""COMPUTED_VALUE"""),5004.0)</f>
        <v>5004</v>
      </c>
      <c r="B5006" s="87" t="str">
        <f>IFERROR(__xludf.DUMMYFUNCTION("""COMPUTED_VALUE"""),"[Nhãn]")</f>
        <v>[Nhãn]</v>
      </c>
      <c r="C5006" s="87" t="str">
        <f>IFERROR(__xludf.DUMMYFUNCTION("""COMPUTED_VALUE"""),"NHG4206")</f>
        <v>NHG4206</v>
      </c>
      <c r="D5006" s="87" t="str">
        <f>IFERROR(__xludf.DUMMYFUNCTION("""COMPUTED_VALUE"""),"[Nhãn] DR.XANH - VIII - 4206 - ROBUST EXTRA (Gel nâu đen) - 250ml - 40")</f>
        <v>[Nhãn] DR.XANH - VIII - 4206 - ROBUST EXTRA (Gel nâu đen) - 250ml - 40</v>
      </c>
      <c r="E5006" s="87" t="str">
        <f>IFERROR(__xludf.DUMMYFUNCTION("""COMPUTED_VALUE"""),"Hữu cơ ROOTS US90")</f>
        <v>Hữu cơ ROOTS US90</v>
      </c>
      <c r="F5006" s="87" t="str">
        <f>IFERROR(__xludf.DUMMYFUNCTION("""COMPUTED_VALUE"""),"HH4206")</f>
        <v>HH4206</v>
      </c>
      <c r="G5006" s="87" t="str">
        <f>IFERROR(__xludf.DUMMYFUNCTION("""COMPUTED_VALUE"""),"DR.XANH - VIII - 4206 - ROBUST EXTRA (Gel nâu đen) - 250ml - 40")</f>
        <v>DR.XANH - VIII - 4206 - ROBUST EXTRA (Gel nâu đen) - 250ml - 40</v>
      </c>
    </row>
    <row r="5007">
      <c r="A5007" s="86">
        <f>IFERROR(__xludf.DUMMYFUNCTION("""COMPUTED_VALUE"""),5005.0)</f>
        <v>5005</v>
      </c>
      <c r="B5007" s="87" t="str">
        <f>IFERROR(__xludf.DUMMYFUNCTION("""COMPUTED_VALUE"""),"[Nhãn]")</f>
        <v>[Nhãn]</v>
      </c>
      <c r="C5007" s="87" t="str">
        <f>IFERROR(__xludf.DUMMYFUNCTION("""COMPUTED_VALUE"""),"NHG4187")</f>
        <v>NHG4187</v>
      </c>
      <c r="D5007" s="87" t="str">
        <f>IFERROR(__xludf.DUMMYFUNCTION("""COMPUTED_VALUE"""),"[Nhãn] GC - IX - 4187 - N2SBIO - N2 ULTRA LOCK (Dạng SC - Trắng sữa) - 500ml - 40")</f>
        <v>[Nhãn] GC - IX - 4187 - N2SBIO - N2 ULTRA LOCK (Dạng SC - Trắng sữa) - 500ml - 40</v>
      </c>
      <c r="E5007" s="87" t="str">
        <f>IFERROR(__xludf.DUMMYFUNCTION("""COMPUTED_VALUE"""),"Lá PK-Trung Lượng NBC-Photphonate")</f>
        <v>Lá PK-Trung Lượng NBC-Photphonate</v>
      </c>
      <c r="F5007" s="87" t="str">
        <f>IFERROR(__xludf.DUMMYFUNCTION("""COMPUTED_VALUE"""),"HH4187")</f>
        <v>HH4187</v>
      </c>
      <c r="G5007" s="87" t="str">
        <f>IFERROR(__xludf.DUMMYFUNCTION("""COMPUTED_VALUE"""),"GC - IX - 4187 - N2SBIO - N2 ULTRA LOCK (Dạng SC - Trắng sữa) - 500ml - 40")</f>
        <v>GC - IX - 4187 - N2SBIO - N2 ULTRA LOCK (Dạng SC - Trắng sữa) - 500ml - 40</v>
      </c>
    </row>
    <row r="5008">
      <c r="A5008" s="86">
        <f>IFERROR(__xludf.DUMMYFUNCTION("""COMPUTED_VALUE"""),5006.0)</f>
        <v>5006</v>
      </c>
      <c r="B5008" s="87" t="str">
        <f>IFERROR(__xludf.DUMMYFUNCTION("""COMPUTED_VALUE"""),"[Nhãn thùng]")</f>
        <v>[Nhãn thùng]</v>
      </c>
      <c r="C5008" s="87" t="str">
        <f>IFERROR(__xludf.DUMMYFUNCTION("""COMPUTED_VALUE"""),"NDT4163")</f>
        <v>NDT4163</v>
      </c>
      <c r="D5008" s="87" t="str">
        <f>IFERROR(__xludf.DUMMYFUNCTION("""COMPUTED_VALUE"""),"[Nhãn thùng] GC - IV - 4163 - Cty Quang Đăng Agriculture -PBVL AGAMA - CANXIBO - CABO SUPER - 500ml - 40")</f>
        <v>[Nhãn thùng] GC - IV - 4163 - Cty Quang Đăng Agriculture -PBVL AGAMA - CANXIBO - CABO SUPER - 500ml - 40</v>
      </c>
      <c r="E5008" s="87" t="str">
        <f>IFERROR(__xludf.DUMMYFUNCTION("""COMPUTED_VALUE"""),"Vi lượng AGAMA-CANXI BO")</f>
        <v>Vi lượng AGAMA-CANXI BO</v>
      </c>
      <c r="F5008" s="87" t="str">
        <f>IFERROR(__xludf.DUMMYFUNCTION("""COMPUTED_VALUE"""),"HH4163")</f>
        <v>HH4163</v>
      </c>
      <c r="G5008" s="87" t="str">
        <f>IFERROR(__xludf.DUMMYFUNCTION("""COMPUTED_VALUE"""),"GC - IV - 4163 - Cty Quang Đăng Agriculture -PBVL AGAMA - CANXIBO - CABO SUPER - 500ml - 40")</f>
        <v>GC - IV - 4163 - Cty Quang Đăng Agriculture -PBVL AGAMA - CANXIBO - CABO SUPER - 500ml - 40</v>
      </c>
    </row>
    <row r="5009">
      <c r="A5009" s="86">
        <f>IFERROR(__xludf.DUMMYFUNCTION("""COMPUTED_VALUE"""),5007.0)</f>
        <v>5007</v>
      </c>
      <c r="B5009" s="87" t="str">
        <f>IFERROR(__xludf.DUMMYFUNCTION("""COMPUTED_VALUE"""),"[Nhãn]")</f>
        <v>[Nhãn]</v>
      </c>
      <c r="C5009" s="87" t="str">
        <f>IFERROR(__xludf.DUMMYFUNCTION("""COMPUTED_VALUE"""),"NHG4184")</f>
        <v>NHG4184</v>
      </c>
      <c r="D5009" s="87" t="str">
        <f>IFERROR(__xludf.DUMMYFUNCTION("""COMPUTED_VALUE"""),"[Nhãn] GC - IV - 4184 - Cty Agrochem Korea - TITANG-KẼM (Nước nâu đen) - 500ml - 40")</f>
        <v>[Nhãn] GC - IV - 4184 - Cty Agrochem Korea - TITANG-KẼM (Nước nâu đen) - 500ml - 40</v>
      </c>
      <c r="E5009" s="87" t="str">
        <f>IFERROR(__xludf.DUMMYFUNCTION("""COMPUTED_VALUE"""),"Vi lượng Quantity New")</f>
        <v>Vi lượng Quantity New</v>
      </c>
      <c r="F5009" s="87" t="str">
        <f>IFERROR(__xludf.DUMMYFUNCTION("""COMPUTED_VALUE"""),"HH4184")</f>
        <v>HH4184</v>
      </c>
      <c r="G5009" s="87" t="str">
        <f>IFERROR(__xludf.DUMMYFUNCTION("""COMPUTED_VALUE"""),"GC - IV - 4184 - Cty Agrochem Korea - TITANG-KẼM (Nước nâu đen) - 500ml - 40")</f>
        <v>GC - IV - 4184 - Cty Agrochem Korea - TITANG-KẼM (Nước nâu đen) - 500ml - 40</v>
      </c>
    </row>
    <row r="5010">
      <c r="A5010" s="86">
        <f>IFERROR(__xludf.DUMMYFUNCTION("""COMPUTED_VALUE"""),5008.0)</f>
        <v>5008</v>
      </c>
      <c r="B5010" s="87" t="str">
        <f>IFERROR(__xludf.DUMMYFUNCTION("""COMPUTED_VALUE"""),"[Nhãn]")</f>
        <v>[Nhãn]</v>
      </c>
      <c r="C5010" s="87" t="str">
        <f>IFERROR(__xludf.DUMMYFUNCTION("""COMPUTED_VALUE"""),"NHG3980")</f>
        <v>NHG3980</v>
      </c>
      <c r="D5010" s="87" t="str">
        <f>IFERROR(__xludf.DUMMYFUNCTION("""COMPUTED_VALUE"""),"[Nhãn] GC - IV - 3980 - Cty Capy Global - MI STOP 350SC (Nước xanh bơ sữa) - 240ml - 40")</f>
        <v>[Nhãn] GC - IV - 3980 - Cty Capy Global - MI STOP 350SC (Nước xanh bơ sữa) - 240ml - 40</v>
      </c>
      <c r="E5010" s="87" t="str">
        <f>IFERROR(__xludf.DUMMYFUNCTION("""COMPUTED_VALUE"""),"MI STOP 350SC")</f>
        <v>MI STOP 350SC</v>
      </c>
      <c r="F5010" s="87" t="str">
        <f>IFERROR(__xludf.DUMMYFUNCTION("""COMPUTED_VALUE"""),"HH3980")</f>
        <v>HH3980</v>
      </c>
      <c r="G5010" s="87" t="str">
        <f>IFERROR(__xludf.DUMMYFUNCTION("""COMPUTED_VALUE"""),"GC - IV - 3980 - Cty Capy Global - MI STOP 350SC (Nước xanh bơ sữa) - 240ml - 40")</f>
        <v>GC - IV - 3980 - Cty Capy Global - MI STOP 350SC (Nước xanh bơ sữa) - 240ml - 40</v>
      </c>
    </row>
    <row r="5011">
      <c r="A5011" s="86">
        <f>IFERROR(__xludf.DUMMYFUNCTION("""COMPUTED_VALUE"""),5009.0)</f>
        <v>5009</v>
      </c>
      <c r="B5011" s="87" t="str">
        <f>IFERROR(__xludf.DUMMYFUNCTION("""COMPUTED_VALUE"""),"[Nhãn]")</f>
        <v>[Nhãn]</v>
      </c>
      <c r="C5011" s="87" t="str">
        <f>IFERROR(__xludf.DUMMYFUNCTION("""COMPUTED_VALUE"""),"NHG4016")</f>
        <v>NHG4016</v>
      </c>
      <c r="D5011" s="87" t="str">
        <f>IFERROR(__xludf.DUMMYFUNCTION("""COMPUTED_VALUE"""),"[Nhãn] GC - IV - 4016 - CTY NOVI - CANXI BO (Nước trắng sữa) - 250ml - 40")</f>
        <v>[Nhãn] GC - IV - 4016 - CTY NOVI - CANXI BO (Nước trắng sữa) - 250ml - 40</v>
      </c>
      <c r="E5011" s="87" t="str">
        <f>IFERROR(__xludf.DUMMYFUNCTION("""COMPUTED_VALUE"""),"Vi lượng AGAMA-CANXI BO")</f>
        <v>Vi lượng AGAMA-CANXI BO</v>
      </c>
      <c r="F5011" s="87" t="str">
        <f>IFERROR(__xludf.DUMMYFUNCTION("""COMPUTED_VALUE"""),"HH4016")</f>
        <v>HH4016</v>
      </c>
      <c r="G5011" s="87" t="str">
        <f>IFERROR(__xludf.DUMMYFUNCTION("""COMPUTED_VALUE"""),"GC - IV - 4016 - CTY NOVI - CANXI BO (Nước trắng sữa) - 250ml - 40")</f>
        <v>GC - IV - 4016 - CTY NOVI - CANXI BO (Nước trắng sữa) - 250ml - 40</v>
      </c>
    </row>
    <row r="5012">
      <c r="A5012" s="86">
        <f>IFERROR(__xludf.DUMMYFUNCTION("""COMPUTED_VALUE"""),5010.0)</f>
        <v>5010</v>
      </c>
      <c r="B5012" s="87" t="str">
        <f>IFERROR(__xludf.DUMMYFUNCTION("""COMPUTED_VALUE"""),"[Nhãn]")</f>
        <v>[Nhãn]</v>
      </c>
      <c r="C5012" s="87" t="str">
        <f>IFERROR(__xludf.DUMMYFUNCTION("""COMPUTED_VALUE"""),"NHG4226")</f>
        <v>NHG4226</v>
      </c>
      <c r="D5012" s="87" t="str">
        <f>IFERROR(__xludf.DUMMYFUNCTION("""COMPUTED_VALUE"""),"[Nhãn] GC - IV - 4226 - NHP GROUP - KODO STOP SPECIAL (Nước nâu đen) - 1L - 20")</f>
        <v>[Nhãn] GC - IV - 4226 - NHP GROUP - KODO STOP SPECIAL (Nước nâu đen) - 1L - 20</v>
      </c>
      <c r="E5012" s="87" t="str">
        <f>IFERROR(__xludf.DUMMYFUNCTION("""COMPUTED_VALUE"""),"Vi lượng Quantity New")</f>
        <v>Vi lượng Quantity New</v>
      </c>
      <c r="F5012" s="87" t="str">
        <f>IFERROR(__xludf.DUMMYFUNCTION("""COMPUTED_VALUE"""),"HH4226")</f>
        <v>HH4226</v>
      </c>
      <c r="G5012" s="87" t="str">
        <f>IFERROR(__xludf.DUMMYFUNCTION("""COMPUTED_VALUE"""),"GC - IV - 4226 - NHP GROUP - KODO STOP SPECIAL (Nước nâu đen) - 1L - 20")</f>
        <v>GC - IV - 4226 - NHP GROUP - KODO STOP SPECIAL (Nước nâu đen) - 1L - 20</v>
      </c>
    </row>
    <row r="5013">
      <c r="A5013" s="86">
        <f>IFERROR(__xludf.DUMMYFUNCTION("""COMPUTED_VALUE"""),5011.0)</f>
        <v>5011</v>
      </c>
      <c r="B5013" s="87" t="str">
        <f>IFERROR(__xludf.DUMMYFUNCTION("""COMPUTED_VALUE"""),"[Nhãn]")</f>
        <v>[Nhãn]</v>
      </c>
      <c r="C5013" s="87" t="str">
        <f>IFERROR(__xludf.DUMMYFUNCTION("""COMPUTED_VALUE"""),"NHG4224")</f>
        <v>NHG4224</v>
      </c>
      <c r="D5013" s="87" t="str">
        <f>IFERROR(__xludf.DUMMYFUNCTION("""COMPUTED_VALUE"""),"[Nhãn] GC - IV - 4224 - CTY Thiên Di (A.Thành Dol) - Hexa Vil Thai 500 (nước trắng sữa) - 1L - 20")</f>
        <v>[Nhãn] GC - IV - 4224 - CTY Thiên Di (A.Thành Dol) - Hexa Vil Thai 500 (nước trắng sữa) - 1L - 20</v>
      </c>
      <c r="E5013" s="87" t="str">
        <f>IFERROR(__xludf.DUMMYFUNCTION("""COMPUTED_VALUE"""),"Mekongvil 5SC")</f>
        <v>Mekongvil 5SC</v>
      </c>
      <c r="F5013" s="87" t="str">
        <f>IFERROR(__xludf.DUMMYFUNCTION("""COMPUTED_VALUE"""),"HH4224")</f>
        <v>HH4224</v>
      </c>
      <c r="G5013" s="87" t="str">
        <f>IFERROR(__xludf.DUMMYFUNCTION("""COMPUTED_VALUE"""),"GC - IV - 4224 - CTY Thiên Di (A.Thành Dol) - Hexa Vil Thai 500 (nước trắng sữa) - 1L - 20")</f>
        <v>GC - IV - 4224 - CTY Thiên Di (A.Thành Dol) - Hexa Vil Thai 500 (nước trắng sữa) - 1L - 20</v>
      </c>
    </row>
    <row r="5014">
      <c r="A5014" s="86">
        <f>IFERROR(__xludf.DUMMYFUNCTION("""COMPUTED_VALUE"""),5012.0)</f>
        <v>5012</v>
      </c>
      <c r="B5014" s="87" t="str">
        <f>IFERROR(__xludf.DUMMYFUNCTION("""COMPUTED_VALUE"""),"[Nhãn]")</f>
        <v>[Nhãn]</v>
      </c>
      <c r="C5014" s="87" t="str">
        <f>IFERROR(__xludf.DUMMYFUNCTION("""COMPUTED_VALUE"""),"NTN4225")</f>
        <v>NTN4225</v>
      </c>
      <c r="D5014" s="87" t="str">
        <f>IFERROR(__xludf.DUMMYFUNCTION("""COMPUTED_VALUE"""),"[Nhãn] GC - IV - Agritech - 4225 - ACETAPRO (Bột trắng ngà) - 100gr - 100")</f>
        <v>[Nhãn] GC - IV - Agritech - 4225 - ACETAPRO (Bột trắng ngà) - 100gr - 100</v>
      </c>
      <c r="E5014" s="87" t="str">
        <f>IFERROR(__xludf.DUMMYFUNCTION("""COMPUTED_VALUE"""),"KHONGRAY 54WP")</f>
        <v>KHONGRAY 54WP</v>
      </c>
      <c r="F5014" s="87" t="str">
        <f>IFERROR(__xludf.DUMMYFUNCTION("""COMPUTED_VALUE"""),"HH4225")</f>
        <v>HH4225</v>
      </c>
      <c r="G5014" s="87" t="str">
        <f>IFERROR(__xludf.DUMMYFUNCTION("""COMPUTED_VALUE"""),"GC - IV - Agritech - 4225 - ACETAPRO (Bột trắng ngà) - 100gr - 100")</f>
        <v>GC - IV - Agritech - 4225 - ACETAPRO (Bột trắng ngà) - 100gr - 100</v>
      </c>
    </row>
    <row r="5015">
      <c r="A5015" s="86">
        <f>IFERROR(__xludf.DUMMYFUNCTION("""COMPUTED_VALUE"""),5013.0)</f>
        <v>5013</v>
      </c>
      <c r="B5015" s="87" t="str">
        <f>IFERROR(__xludf.DUMMYFUNCTION("""COMPUTED_VALUE"""),"[Nhãn thùng]")</f>
        <v>[Nhãn thùng]</v>
      </c>
      <c r="C5015" s="87" t="str">
        <f>IFERROR(__xludf.DUMMYFUNCTION("""COMPUTED_VALUE"""),"NDT4225")</f>
        <v>NDT4225</v>
      </c>
      <c r="D5015" s="87" t="str">
        <f>IFERROR(__xludf.DUMMYFUNCTION("""COMPUTED_VALUE"""),"[Nhãn thùng] GC - IV - Agritech - 4225 - ACETAPRO (Bột trắng ngà) - 100gr - 100")</f>
        <v>[Nhãn thùng] GC - IV - Agritech - 4225 - ACETAPRO (Bột trắng ngà) - 100gr - 100</v>
      </c>
      <c r="E5015" s="87" t="str">
        <f>IFERROR(__xludf.DUMMYFUNCTION("""COMPUTED_VALUE"""),"KHONGRAY 54WP")</f>
        <v>KHONGRAY 54WP</v>
      </c>
      <c r="F5015" s="87" t="str">
        <f>IFERROR(__xludf.DUMMYFUNCTION("""COMPUTED_VALUE"""),"HH4225")</f>
        <v>HH4225</v>
      </c>
      <c r="G5015" s="87" t="str">
        <f>IFERROR(__xludf.DUMMYFUNCTION("""COMPUTED_VALUE"""),"GC - IV - Agritech - 4225 - ACETAPRO (Bột trắng ngà) - 100gr - 100")</f>
        <v>GC - IV - Agritech - 4225 - ACETAPRO (Bột trắng ngà) - 100gr - 100</v>
      </c>
    </row>
    <row r="5016">
      <c r="A5016" s="86">
        <f>IFERROR(__xludf.DUMMYFUNCTION("""COMPUTED_VALUE"""),5014.0)</f>
        <v>5014</v>
      </c>
      <c r="B5016" s="87" t="str">
        <f>IFERROR(__xludf.DUMMYFUNCTION("""COMPUTED_VALUE"""),"[Nhãn thùng]")</f>
        <v>[Nhãn thùng]</v>
      </c>
      <c r="C5016" s="87" t="str">
        <f>IFERROR(__xludf.DUMMYFUNCTION("""COMPUTED_VALUE"""),"NDT1705")</f>
        <v>NDT1705</v>
      </c>
      <c r="D5016" s="87" t="str">
        <f>IFERROR(__xludf.DUMMYFUNCTION("""COMPUTED_VALUE"""),"[Nhãn thùng] GC - IV - 1705 - MAKEGREEN 55WG (dạng cốm màu trắng ngà) - 100gr - 100")</f>
        <v>[Nhãn thùng] GC - IV - 1705 - MAKEGREEN 55WG (dạng cốm màu trắng ngà) - 100gr - 100</v>
      </c>
      <c r="E5016" s="87" t="str">
        <f>IFERROR(__xludf.DUMMYFUNCTION("""COMPUTED_VALUE"""),"MAKEGREEN 55WG")</f>
        <v>MAKEGREEN 55WG</v>
      </c>
      <c r="F5016" s="87" t="str">
        <f>IFERROR(__xludf.DUMMYFUNCTION("""COMPUTED_VALUE"""),"HH1705")</f>
        <v>HH1705</v>
      </c>
      <c r="G5016" s="87" t="str">
        <f>IFERROR(__xludf.DUMMYFUNCTION("""COMPUTED_VALUE"""),"GC - IV - 1705 - MAKEGREEN 55WG (dạng cốm màu trắng ngà) - 100gr - 100")</f>
        <v>GC - IV - 1705 - MAKEGREEN 55WG (dạng cốm màu trắng ngà) - 100gr - 100</v>
      </c>
    </row>
    <row r="5017">
      <c r="A5017" s="86">
        <f>IFERROR(__xludf.DUMMYFUNCTION("""COMPUTED_VALUE"""),5015.0)</f>
        <v>5015</v>
      </c>
      <c r="B5017" s="87" t="str">
        <f>IFERROR(__xludf.DUMMYFUNCTION("""COMPUTED_VALUE"""),"[Nhãn]")</f>
        <v>[Nhãn]</v>
      </c>
      <c r="C5017" s="87" t="str">
        <f>IFERROR(__xludf.DUMMYFUNCTION("""COMPUTED_VALUE"""),"NHD4212")</f>
        <v>NHD4212</v>
      </c>
      <c r="D5017" s="87" t="str">
        <f>IFERROR(__xludf.DUMMYFUNCTION("""COMPUTED_VALUE"""),"[Nhãn] GC - V - 4212 - Cty CAPY GLOBAL - NUTRI BIO KING (Gel nâu đen) - 5L - 4")</f>
        <v>[Nhãn] GC - V - 4212 - Cty CAPY GLOBAL - NUTRI BIO KING (Gel nâu đen) - 5L - 4</v>
      </c>
      <c r="E5017" s="87" t="str">
        <f>IFERROR(__xludf.DUMMYFUNCTION("""COMPUTED_VALUE"""),"Hữu Cơ Crops Care")</f>
        <v>Hữu Cơ Crops Care</v>
      </c>
      <c r="F5017" s="87" t="str">
        <f>IFERROR(__xludf.DUMMYFUNCTION("""COMPUTED_VALUE"""),"HH4212")</f>
        <v>HH4212</v>
      </c>
      <c r="G5017" s="87" t="str">
        <f>IFERROR(__xludf.DUMMYFUNCTION("""COMPUTED_VALUE"""),"GC - V - 4212 - Cty CAPY GLOBAL - NUTRI BIO KING (Gel nâu đen) - 5L - 4")</f>
        <v>GC - V - 4212 - Cty CAPY GLOBAL - NUTRI BIO KING (Gel nâu đen) - 5L - 4</v>
      </c>
    </row>
    <row r="5018">
      <c r="A5018" s="86">
        <f>IFERROR(__xludf.DUMMYFUNCTION("""COMPUTED_VALUE"""),5016.0)</f>
        <v>5016</v>
      </c>
      <c r="B5018" s="87" t="str">
        <f>IFERROR(__xludf.DUMMYFUNCTION("""COMPUTED_VALUE"""),"[Nhãn thùng]")</f>
        <v>[Nhãn thùng]</v>
      </c>
      <c r="C5018" s="87" t="str">
        <f>IFERROR(__xludf.DUMMYFUNCTION("""COMPUTED_VALUE"""),"NDT4212")</f>
        <v>NDT4212</v>
      </c>
      <c r="D5018" s="87" t="str">
        <f>IFERROR(__xludf.DUMMYFUNCTION("""COMPUTED_VALUE"""),"[Nhãn thùng] GC - V - 4212 - Cty CAPY GLOBAL - NUTRI BIO KING (Gel nâu đen) - 5L - 4")</f>
        <v>[Nhãn thùng] GC - V - 4212 - Cty CAPY GLOBAL - NUTRI BIO KING (Gel nâu đen) - 5L - 4</v>
      </c>
      <c r="E5018" s="87" t="str">
        <f>IFERROR(__xludf.DUMMYFUNCTION("""COMPUTED_VALUE"""),"Hữu Cơ Crops Care")</f>
        <v>Hữu Cơ Crops Care</v>
      </c>
      <c r="F5018" s="87" t="str">
        <f>IFERROR(__xludf.DUMMYFUNCTION("""COMPUTED_VALUE"""),"HH4212")</f>
        <v>HH4212</v>
      </c>
      <c r="G5018" s="87" t="str">
        <f>IFERROR(__xludf.DUMMYFUNCTION("""COMPUTED_VALUE"""),"GC - V - 4212 - Cty CAPY GLOBAL - NUTRI BIO KING (Gel nâu đen) - 5L - 4")</f>
        <v>GC - V - 4212 - Cty CAPY GLOBAL - NUTRI BIO KING (Gel nâu đen) - 5L - 4</v>
      </c>
    </row>
    <row r="5019">
      <c r="A5019" s="86">
        <f>IFERROR(__xludf.DUMMYFUNCTION("""COMPUTED_VALUE"""),5017.0)</f>
        <v>5017</v>
      </c>
      <c r="B5019" s="87" t="str">
        <f>IFERROR(__xludf.DUMMYFUNCTION("""COMPUTED_VALUE"""),"[Nhãn]")</f>
        <v>[Nhãn]</v>
      </c>
      <c r="C5019" s="87" t="str">
        <f>IFERROR(__xludf.DUMMYFUNCTION("""COMPUTED_VALUE"""),"NHG4230")</f>
        <v>NHG4230</v>
      </c>
      <c r="D5019" s="87" t="str">
        <f>IFERROR(__xludf.DUMMYFUNCTION("""COMPUTED_VALUE"""),"[Nhãn] IDA Global - I - 4230 - KITINI SUPER 450SC (Nước cam sữa) - 240ml - 40")</f>
        <v>[Nhãn] IDA Global - I - 4230 - KITINI SUPER 450SC (Nước cam sữa) - 240ml - 40</v>
      </c>
      <c r="E5019" s="87" t="str">
        <f>IFERROR(__xludf.DUMMYFUNCTION("""COMPUTED_VALUE"""),"KITINI SUPER 450SC")</f>
        <v>KITINI SUPER 450SC</v>
      </c>
      <c r="F5019" s="87" t="str">
        <f>IFERROR(__xludf.DUMMYFUNCTION("""COMPUTED_VALUE"""),"HH4230")</f>
        <v>HH4230</v>
      </c>
      <c r="G5019" s="87" t="str">
        <f>IFERROR(__xludf.DUMMYFUNCTION("""COMPUTED_VALUE"""),"IDA Global - I - 4230 - KITINI SUPER 450SC (Nước cam sữa) - 240ml - 40")</f>
        <v>IDA Global - I - 4230 - KITINI SUPER 450SC (Nước cam sữa) - 240ml - 40</v>
      </c>
    </row>
    <row r="5020">
      <c r="A5020" s="86">
        <f>IFERROR(__xludf.DUMMYFUNCTION("""COMPUTED_VALUE"""),5018.0)</f>
        <v>5018</v>
      </c>
      <c r="B5020" s="87" t="str">
        <f>IFERROR(__xludf.DUMMYFUNCTION("""COMPUTED_VALUE"""),"[Nhãn]")</f>
        <v>[Nhãn]</v>
      </c>
      <c r="C5020" s="87" t="str">
        <f>IFERROR(__xludf.DUMMYFUNCTION("""COMPUTED_VALUE"""),"NTN4228")</f>
        <v>NTN4228</v>
      </c>
      <c r="D5020" s="87" t="str">
        <f>IFERROR(__xludf.DUMMYFUNCTION("""COMPUTED_VALUE"""),"[Nhãn]  GC - IV - 4228 - Cty Tiến Vinh - MAN XANH (Bột xanh) - 1kg - 20")</f>
        <v>[Nhãn]  GC - IV - 4228 - Cty Tiến Vinh - MAN XANH (Bột xanh) - 1kg - 20</v>
      </c>
      <c r="E5020" s="87" t="str">
        <f>IFERROR(__xludf.DUMMYFUNCTION("""COMPUTED_VALUE"""),"MANCOBGO 80WP")</f>
        <v>MANCOBGO 80WP</v>
      </c>
      <c r="F5020" s="87" t="str">
        <f>IFERROR(__xludf.DUMMYFUNCTION("""COMPUTED_VALUE"""),"HH4228")</f>
        <v>HH4228</v>
      </c>
      <c r="G5020" s="87" t="str">
        <f>IFERROR(__xludf.DUMMYFUNCTION("""COMPUTED_VALUE"""),"GC - IV - 4228 - Cty Tiến Vinh - MAN XANH (Bột xanh) - 1kg - 20")</f>
        <v>GC - IV - 4228 - Cty Tiến Vinh - MAN XANH (Bột xanh) - 1kg - 20</v>
      </c>
    </row>
    <row r="5021">
      <c r="A5021" s="86">
        <f>IFERROR(__xludf.DUMMYFUNCTION("""COMPUTED_VALUE"""),5019.0)</f>
        <v>5019</v>
      </c>
      <c r="B5021" s="87" t="str">
        <f>IFERROR(__xludf.DUMMYFUNCTION("""COMPUTED_VALUE"""),"[Nhãn thùng]")</f>
        <v>[Nhãn thùng]</v>
      </c>
      <c r="C5021" s="87" t="str">
        <f>IFERROR(__xludf.DUMMYFUNCTION("""COMPUTED_VALUE"""),"NDT4228")</f>
        <v>NDT4228</v>
      </c>
      <c r="D5021" s="87" t="str">
        <f>IFERROR(__xludf.DUMMYFUNCTION("""COMPUTED_VALUE"""),"[Nhãn thùng]  GC - IV - 4228 - Cty Tiến Vinh - MAN XANH (Bột xanh) - 1kg - 20")</f>
        <v>[Nhãn thùng]  GC - IV - 4228 - Cty Tiến Vinh - MAN XANH (Bột xanh) - 1kg - 20</v>
      </c>
      <c r="E5021" s="87" t="str">
        <f>IFERROR(__xludf.DUMMYFUNCTION("""COMPUTED_VALUE"""),"MANCOBGO 80WP")</f>
        <v>MANCOBGO 80WP</v>
      </c>
      <c r="F5021" s="87" t="str">
        <f>IFERROR(__xludf.DUMMYFUNCTION("""COMPUTED_VALUE"""),"HH4228")</f>
        <v>HH4228</v>
      </c>
      <c r="G5021" s="87" t="str">
        <f>IFERROR(__xludf.DUMMYFUNCTION("""COMPUTED_VALUE"""),"GC - IV - 4228 - Cty Tiến Vinh - MAN XANH (Bột xanh) - 1kg - 20")</f>
        <v>GC - IV - 4228 - Cty Tiến Vinh - MAN XANH (Bột xanh) - 1kg - 20</v>
      </c>
    </row>
    <row r="5022">
      <c r="A5022" s="86">
        <f>IFERROR(__xludf.DUMMYFUNCTION("""COMPUTED_VALUE"""),5020.0)</f>
        <v>5020</v>
      </c>
      <c r="B5022" s="87" t="str">
        <f>IFERROR(__xludf.DUMMYFUNCTION("""COMPUTED_VALUE"""),"[Nhãn]")</f>
        <v>[Nhãn]</v>
      </c>
      <c r="C5022" s="87" t="str">
        <f>IFERROR(__xludf.DUMMYFUNCTION("""COMPUTED_VALUE"""),"NHG4229")</f>
        <v>NHG4229</v>
      </c>
      <c r="D5022" s="87" t="str">
        <f>IFERROR(__xludf.DUMMYFUNCTION("""COMPUTED_VALUE"""),"[Nhãn] GC - IV - 4229 - Cty GNH (A.Thời) - Ra Rễ Nở Bụi (nước nâu đen) - 500ml - 40")</f>
        <v>[Nhãn] GC - IV - 4229 - Cty GNH (A.Thời) - Ra Rễ Nở Bụi (nước nâu đen) - 500ml - 40</v>
      </c>
      <c r="E5022" s="87" t="str">
        <f>IFERROR(__xludf.DUMMYFUNCTION("""COMPUTED_VALUE"""),"Vi lượng Quantity New")</f>
        <v>Vi lượng Quantity New</v>
      </c>
      <c r="F5022" s="87" t="str">
        <f>IFERROR(__xludf.DUMMYFUNCTION("""COMPUTED_VALUE"""),"HH4229")</f>
        <v>HH4229</v>
      </c>
      <c r="G5022" s="87" t="str">
        <f>IFERROR(__xludf.DUMMYFUNCTION("""COMPUTED_VALUE"""),"GC - IV - 4229 - Cty GNH (A.Thời) - Ra Rễ Nở Bụi (nước nâu đen) - 500ml - 40")</f>
        <v>GC - IV - 4229 - Cty GNH (A.Thời) - Ra Rễ Nở Bụi (nước nâu đen) - 500ml - 40</v>
      </c>
    </row>
    <row r="5023">
      <c r="A5023" s="86">
        <f>IFERROR(__xludf.DUMMYFUNCTION("""COMPUTED_VALUE"""),5021.0)</f>
        <v>5021</v>
      </c>
      <c r="B5023" s="87" t="str">
        <f>IFERROR(__xludf.DUMMYFUNCTION("""COMPUTED_VALUE"""),"[Nhãn]")</f>
        <v>[Nhãn]</v>
      </c>
      <c r="C5023" s="87" t="str">
        <f>IFERROR(__xludf.DUMMYFUNCTION("""COMPUTED_VALUE"""),"NHG4235")</f>
        <v>NHG4235</v>
      </c>
      <c r="D5023" s="87" t="str">
        <f>IFERROR(__xludf.DUMMYFUNCTION("""COMPUTED_VALUE"""),"[Nhãn]  GC - II - 4235 - LOT AGC (CAPY GLOBAL) - DR.STOP (Nước nâu đen) - 1L - 20")</f>
        <v>[Nhãn]  GC - II - 4235 - LOT AGC (CAPY GLOBAL) - DR.STOP (Nước nâu đen) - 1L - 20</v>
      </c>
      <c r="E5023" s="87" t="str">
        <f>IFERROR(__xludf.DUMMYFUNCTION("""COMPUTED_VALUE"""),"Vi lượng Quantity New")</f>
        <v>Vi lượng Quantity New</v>
      </c>
      <c r="F5023" s="87" t="str">
        <f>IFERROR(__xludf.DUMMYFUNCTION("""COMPUTED_VALUE"""),"HH4235")</f>
        <v>HH4235</v>
      </c>
      <c r="G5023" s="87" t="str">
        <f>IFERROR(__xludf.DUMMYFUNCTION("""COMPUTED_VALUE"""),"GC - II - 4235 - LOT AGC (CAPY GLOBAL) - DR.STOP (Nước nâu đen) - 1L - 20")</f>
        <v>GC - II - 4235 - LOT AGC (CAPY GLOBAL) - DR.STOP (Nước nâu đen) - 1L - 20</v>
      </c>
    </row>
    <row r="5024">
      <c r="A5024" s="86">
        <f>IFERROR(__xludf.DUMMYFUNCTION("""COMPUTED_VALUE"""),5022.0)</f>
        <v>5022</v>
      </c>
      <c r="B5024" s="87" t="str">
        <f>IFERROR(__xludf.DUMMYFUNCTION("""COMPUTED_VALUE"""),"[Nhãn]")</f>
        <v>[Nhãn]</v>
      </c>
      <c r="C5024" s="87" t="str">
        <f>IFERROR(__xludf.DUMMYFUNCTION("""COMPUTED_VALUE"""),"NTN4237")</f>
        <v>NTN4237</v>
      </c>
      <c r="D5024" s="87" t="str">
        <f>IFERROR(__xludf.DUMMYFUNCTION("""COMPUTED_VALUE"""),"[Nhãn] GC - IV - 4237 - TÂN HOÀNG NAM DANO - DANOZEB  (Bột xanh) - 500gr - 40")</f>
        <v>[Nhãn] GC - IV - 4237 - TÂN HOÀNG NAM DANO - DANOZEB  (Bột xanh) - 500gr - 40</v>
      </c>
      <c r="E5024" s="87" t="str">
        <f>IFERROR(__xludf.DUMMYFUNCTION("""COMPUTED_VALUE"""),"FORTAZEB 72WP")</f>
        <v>FORTAZEB 72WP</v>
      </c>
      <c r="F5024" s="87" t="str">
        <f>IFERROR(__xludf.DUMMYFUNCTION("""COMPUTED_VALUE"""),"HH4237")</f>
        <v>HH4237</v>
      </c>
      <c r="G5024" s="87" t="str">
        <f>IFERROR(__xludf.DUMMYFUNCTION("""COMPUTED_VALUE"""),"GC - IV - 4237 - TÂN HOÀNG NAM DANO - DANOZEB  (Bột xanh) - 500gr - 40")</f>
        <v>GC - IV - 4237 - TÂN HOÀNG NAM DANO - DANOZEB  (Bột xanh) - 500gr - 40</v>
      </c>
    </row>
    <row r="5025">
      <c r="A5025" s="86">
        <f>IFERROR(__xludf.DUMMYFUNCTION("""COMPUTED_VALUE"""),5023.0)</f>
        <v>5023</v>
      </c>
      <c r="B5025" s="87" t="str">
        <f>IFERROR(__xludf.DUMMYFUNCTION("""COMPUTED_VALUE"""),"[Nhãn thùng]")</f>
        <v>[Nhãn thùng]</v>
      </c>
      <c r="C5025" s="87" t="str">
        <f>IFERROR(__xludf.DUMMYFUNCTION("""COMPUTED_VALUE"""),"NDT4237")</f>
        <v>NDT4237</v>
      </c>
      <c r="D5025" s="87" t="str">
        <f>IFERROR(__xludf.DUMMYFUNCTION("""COMPUTED_VALUE"""),"[Nhãn thùng] GC - IV - 4237 - TÂN HOÀNG NAM DANO - DANOZEB  (Bột xanh) - 500gr - 40")</f>
        <v>[Nhãn thùng] GC - IV - 4237 - TÂN HOÀNG NAM DANO - DANOZEB  (Bột xanh) - 500gr - 40</v>
      </c>
      <c r="E5025" s="87" t="str">
        <f>IFERROR(__xludf.DUMMYFUNCTION("""COMPUTED_VALUE"""),"FORTAZEB 72WP")</f>
        <v>FORTAZEB 72WP</v>
      </c>
      <c r="F5025" s="87" t="str">
        <f>IFERROR(__xludf.DUMMYFUNCTION("""COMPUTED_VALUE"""),"HH4237")</f>
        <v>HH4237</v>
      </c>
      <c r="G5025" s="87" t="str">
        <f>IFERROR(__xludf.DUMMYFUNCTION("""COMPUTED_VALUE"""),"GC - IV - 4237 - TÂN HOÀNG NAM DANO - DANOZEB  (Bột xanh) - 500gr - 40")</f>
        <v>GC - IV - 4237 - TÂN HOÀNG NAM DANO - DANOZEB  (Bột xanh) - 500gr - 40</v>
      </c>
    </row>
    <row r="5026">
      <c r="A5026" s="86">
        <f>IFERROR(__xludf.DUMMYFUNCTION("""COMPUTED_VALUE"""),5024.0)</f>
        <v>5024</v>
      </c>
      <c r="B5026" s="87" t="str">
        <f>IFERROR(__xludf.DUMMYFUNCTION("""COMPUTED_VALUE"""),"[Nhãn]")</f>
        <v>[Nhãn]</v>
      </c>
      <c r="C5026" s="87" t="str">
        <f>IFERROR(__xludf.DUMMYFUNCTION("""COMPUTED_VALUE"""),"NHG4080")</f>
        <v>NHG4080</v>
      </c>
      <c r="D5026" s="87" t="str">
        <f>IFERROR(__xludf.DUMMYFUNCTION("""COMPUTED_VALUE"""),"[Nhãn] GC - IV - 4080 - Cty Hóa Nông Shino - KHUẨN SHINO - 240ml - 40")</f>
        <v>[Nhãn] GC - IV - 4080 - Cty Hóa Nông Shino - KHUẨN SHINO - 240ml - 40</v>
      </c>
      <c r="E5026" s="87" t="str">
        <f>IFERROR(__xludf.DUMMYFUNCTION("""COMPUTED_VALUE"""),"PYRAMOS 40SL")</f>
        <v>PYRAMOS 40SL</v>
      </c>
      <c r="F5026" s="87" t="str">
        <f>IFERROR(__xludf.DUMMYFUNCTION("""COMPUTED_VALUE"""),"HH4080")</f>
        <v>HH4080</v>
      </c>
      <c r="G5026" s="87" t="str">
        <f>IFERROR(__xludf.DUMMYFUNCTION("""COMPUTED_VALUE"""),"GC - IV - 4080 - Cty Hóa Nông Shino - KHUẨN SHINO - 240ml - 40")</f>
        <v>GC - IV - 4080 - Cty Hóa Nông Shino - KHUẨN SHINO - 240ml - 40</v>
      </c>
    </row>
    <row r="5027">
      <c r="A5027" s="86">
        <f>IFERROR(__xludf.DUMMYFUNCTION("""COMPUTED_VALUE"""),5025.0)</f>
        <v>5025</v>
      </c>
      <c r="B5027" s="87" t="str">
        <f>IFERROR(__xludf.DUMMYFUNCTION("""COMPUTED_VALUE"""),"[Nhãn]")</f>
        <v>[Nhãn]</v>
      </c>
      <c r="C5027" s="87" t="str">
        <f>IFERROR(__xludf.DUMMYFUNCTION("""COMPUTED_VALUE"""),"NTN4201")</f>
        <v>NTN4201</v>
      </c>
      <c r="D5027" s="87" t="str">
        <f>IFERROR(__xludf.DUMMYFUNCTION("""COMPUTED_VALUE"""),"[Nhãn] GC - IV - 4201 - CTY DRAGON AGROCHEM - CHESSIN 600WP (Bột trắng ngà) - 80gr - 100")</f>
        <v>[Nhãn] GC - IV - 4201 - CTY DRAGON AGROCHEM - CHESSIN 600WP (Bột trắng ngà) - 80gr - 100</v>
      </c>
      <c r="E5027" s="87" t="str">
        <f>IFERROR(__xludf.DUMMYFUNCTION("""COMPUTED_VALUE"""),"CHESSIN 600WP")</f>
        <v>CHESSIN 600WP</v>
      </c>
      <c r="F5027" s="87" t="str">
        <f>IFERROR(__xludf.DUMMYFUNCTION("""COMPUTED_VALUE"""),"HH4201")</f>
        <v>HH4201</v>
      </c>
      <c r="G5027" s="87" t="str">
        <f>IFERROR(__xludf.DUMMYFUNCTION("""COMPUTED_VALUE"""),"GC - IV - 4201 - CTY DRAGON AGROCHEM - CHESSIN 600WP (Bột trắng ngà) - 80gr - 100")</f>
        <v>GC - IV - 4201 - CTY DRAGON AGROCHEM - CHESSIN 600WP (Bột trắng ngà) - 80gr - 100</v>
      </c>
    </row>
    <row r="5028">
      <c r="A5028" s="86">
        <f>IFERROR(__xludf.DUMMYFUNCTION("""COMPUTED_VALUE"""),5026.0)</f>
        <v>5026</v>
      </c>
      <c r="B5028" s="87" t="str">
        <f>IFERROR(__xludf.DUMMYFUNCTION("""COMPUTED_VALUE"""),"[Nhãn thùng]")</f>
        <v>[Nhãn thùng]</v>
      </c>
      <c r="C5028" s="87" t="str">
        <f>IFERROR(__xludf.DUMMYFUNCTION("""COMPUTED_VALUE"""),"NDT4201")</f>
        <v>NDT4201</v>
      </c>
      <c r="D5028" s="87" t="str">
        <f>IFERROR(__xludf.DUMMYFUNCTION("""COMPUTED_VALUE"""),"[Nhãn thùng] GC - IV - 4201 - CTY DRAGON AGROCHEM - CHESSIN 600WP (Bột trắng ngà) - 80gr - 100")</f>
        <v>[Nhãn thùng] GC - IV - 4201 - CTY DRAGON AGROCHEM - CHESSIN 600WP (Bột trắng ngà) - 80gr - 100</v>
      </c>
      <c r="E5028" s="87" t="str">
        <f>IFERROR(__xludf.DUMMYFUNCTION("""COMPUTED_VALUE"""),"CHESSIN 600WP")</f>
        <v>CHESSIN 600WP</v>
      </c>
      <c r="F5028" s="87" t="str">
        <f>IFERROR(__xludf.DUMMYFUNCTION("""COMPUTED_VALUE"""),"HH4201")</f>
        <v>HH4201</v>
      </c>
      <c r="G5028" s="87" t="str">
        <f>IFERROR(__xludf.DUMMYFUNCTION("""COMPUTED_VALUE"""),"GC - IV - 4201 - CTY DRAGON AGROCHEM - CHESSIN 600WP (Bột trắng ngà) - 80gr - 100")</f>
        <v>GC - IV - 4201 - CTY DRAGON AGROCHEM - CHESSIN 600WP (Bột trắng ngà) - 80gr - 100</v>
      </c>
    </row>
    <row r="5029">
      <c r="A5029" s="86">
        <f>IFERROR(__xludf.DUMMYFUNCTION("""COMPUTED_VALUE"""),5027.0)</f>
        <v>5027</v>
      </c>
      <c r="B5029" s="87" t="str">
        <f>IFERROR(__xludf.DUMMYFUNCTION("""COMPUTED_VALUE"""),"[Nhãn]")</f>
        <v>[Nhãn]</v>
      </c>
      <c r="C5029" s="87" t="str">
        <f>IFERROR(__xludf.DUMMYFUNCTION("""COMPUTED_VALUE"""),"NTN4236")</f>
        <v>NTN4236</v>
      </c>
      <c r="D5029" s="87" t="str">
        <f>IFERROR(__xludf.DUMMYFUNCTION("""COMPUTED_VALUE"""),"[Nhãn] GC - IV - 4236 - Cty Thiên Di (A Thành Dol) - Manco Xanh (bột xanh) - 1kg - 20")</f>
        <v>[Nhãn] GC - IV - 4236 - Cty Thiên Di (A Thành Dol) - Manco Xanh (bột xanh) - 1kg - 20</v>
      </c>
      <c r="E5029" s="87" t="str">
        <f>IFERROR(__xludf.DUMMYFUNCTION("""COMPUTED_VALUE"""),"MANCOBGO 80WP")</f>
        <v>MANCOBGO 80WP</v>
      </c>
      <c r="F5029" s="87" t="str">
        <f>IFERROR(__xludf.DUMMYFUNCTION("""COMPUTED_VALUE"""),"HH4236")</f>
        <v>HH4236</v>
      </c>
      <c r="G5029" s="87" t="str">
        <f>IFERROR(__xludf.DUMMYFUNCTION("""COMPUTED_VALUE"""),"GC - IV - 4236 - Cty Thiên Di (A Thành Dol) - Manco Xanh (bột xanh) - 1kg - 20")</f>
        <v>GC - IV - 4236 - Cty Thiên Di (A Thành Dol) - Manco Xanh (bột xanh) - 1kg - 20</v>
      </c>
    </row>
    <row r="5030">
      <c r="A5030" s="86">
        <f>IFERROR(__xludf.DUMMYFUNCTION("""COMPUTED_VALUE"""),5028.0)</f>
        <v>5028</v>
      </c>
      <c r="B5030" s="87" t="str">
        <f>IFERROR(__xludf.DUMMYFUNCTION("""COMPUTED_VALUE"""),"[Nhãn thùng]")</f>
        <v>[Nhãn thùng]</v>
      </c>
      <c r="C5030" s="87" t="str">
        <f>IFERROR(__xludf.DUMMYFUNCTION("""COMPUTED_VALUE"""),"NDT4236")</f>
        <v>NDT4236</v>
      </c>
      <c r="D5030" s="87" t="str">
        <f>IFERROR(__xludf.DUMMYFUNCTION("""COMPUTED_VALUE"""),"[Nhãn thùng] GC - IV - 4236 - Cty Thiên Di (A Thành Dol) - Manco Xanh (bột xanh) - 1kg - 20")</f>
        <v>[Nhãn thùng] GC - IV - 4236 - Cty Thiên Di (A Thành Dol) - Manco Xanh (bột xanh) - 1kg - 20</v>
      </c>
      <c r="E5030" s="87" t="str">
        <f>IFERROR(__xludf.DUMMYFUNCTION("""COMPUTED_VALUE"""),"MANCOBGO 80WP")</f>
        <v>MANCOBGO 80WP</v>
      </c>
      <c r="F5030" s="87" t="str">
        <f>IFERROR(__xludf.DUMMYFUNCTION("""COMPUTED_VALUE"""),"HH4236")</f>
        <v>HH4236</v>
      </c>
      <c r="G5030" s="87" t="str">
        <f>IFERROR(__xludf.DUMMYFUNCTION("""COMPUTED_VALUE"""),"GC - IV - 4236 - Cty Thiên Di (A Thành Dol) - Manco Xanh (bột xanh) - 1kg - 20")</f>
        <v>GC - IV - 4236 - Cty Thiên Di (A Thành Dol) - Manco Xanh (bột xanh) - 1kg - 20</v>
      </c>
    </row>
    <row r="5031">
      <c r="A5031" s="86">
        <f>IFERROR(__xludf.DUMMYFUNCTION("""COMPUTED_VALUE"""),5029.0)</f>
        <v>5029</v>
      </c>
      <c r="B5031" s="87" t="str">
        <f>IFERROR(__xludf.DUMMYFUNCTION("""COMPUTED_VALUE"""),"[Nhãn]")</f>
        <v>[Nhãn]</v>
      </c>
      <c r="C5031" s="87" t="str">
        <f>IFERROR(__xludf.DUMMYFUNCTION("""COMPUTED_VALUE"""),"NHG4241")</f>
        <v>NHG4241</v>
      </c>
      <c r="D5031" s="87" t="str">
        <f>IFERROR(__xludf.DUMMYFUNCTION("""COMPUTED_VALUE"""),"[Nhãn] GC - IV - 4241 - Cty Hóa Nông Shino - SÁT KHUẨN LẠNH - 240ml - 40")</f>
        <v>[Nhãn] GC - IV - 4241 - Cty Hóa Nông Shino - SÁT KHUẨN LẠNH - 240ml - 40</v>
      </c>
      <c r="E5031" s="87" t="str">
        <f>IFERROR(__xludf.DUMMYFUNCTION("""COMPUTED_VALUE"""),"PYRAMOS 40SL")</f>
        <v>PYRAMOS 40SL</v>
      </c>
      <c r="F5031" s="87" t="str">
        <f>IFERROR(__xludf.DUMMYFUNCTION("""COMPUTED_VALUE"""),"HH4241")</f>
        <v>HH4241</v>
      </c>
      <c r="G5031" s="87" t="str">
        <f>IFERROR(__xludf.DUMMYFUNCTION("""COMPUTED_VALUE"""),"GC - IV - 4241 - Cty Hóa Nông Shino - SÁT KHUẨN LẠNH - 240ml - 40")</f>
        <v>GC - IV - 4241 - Cty Hóa Nông Shino - SÁT KHUẨN LẠNH - 240ml - 40</v>
      </c>
    </row>
    <row r="5032">
      <c r="A5032" s="86">
        <f>IFERROR(__xludf.DUMMYFUNCTION("""COMPUTED_VALUE"""),5030.0)</f>
        <v>5030</v>
      </c>
      <c r="B5032" s="87" t="str">
        <f>IFERROR(__xludf.DUMMYFUNCTION("""COMPUTED_VALUE"""),"[Nhãn]")</f>
        <v>[Nhãn]</v>
      </c>
      <c r="C5032" s="87" t="str">
        <f>IFERROR(__xludf.DUMMYFUNCTION("""COMPUTED_VALUE"""),"NHG4240")</f>
        <v>NHG4240</v>
      </c>
      <c r="D5032" s="87" t="str">
        <f>IFERROR(__xludf.DUMMYFUNCTION("""COMPUTED_VALUE"""),"[Nhãn] GC - IV - 4240 - Cty Hóa Nông Shino - VUA ĐẠO ÔN (Nước cam sữa) - 240ml - 40")</f>
        <v>[Nhãn] GC - IV - 4240 - Cty Hóa Nông Shino - VUA ĐẠO ÔN (Nước cam sữa) - 240ml - 40</v>
      </c>
      <c r="E5032" s="87" t="str">
        <f>IFERROR(__xludf.DUMMYFUNCTION("""COMPUTED_VALUE"""),"KITINI SUPER 450SC")</f>
        <v>KITINI SUPER 450SC</v>
      </c>
      <c r="F5032" s="87" t="str">
        <f>IFERROR(__xludf.DUMMYFUNCTION("""COMPUTED_VALUE"""),"HH4240")</f>
        <v>HH4240</v>
      </c>
      <c r="G5032" s="87" t="str">
        <f>IFERROR(__xludf.DUMMYFUNCTION("""COMPUTED_VALUE"""),"GC - IV - 4240 - Cty Hóa Nông Shino - VUA ĐẠO ÔN (Nước cam sữa) - 240ml - 40")</f>
        <v>GC - IV - 4240 - Cty Hóa Nông Shino - VUA ĐẠO ÔN (Nước cam sữa) - 240ml - 40</v>
      </c>
    </row>
    <row r="5033">
      <c r="A5033" s="86">
        <f>IFERROR(__xludf.DUMMYFUNCTION("""COMPUTED_VALUE"""),5031.0)</f>
        <v>5031</v>
      </c>
      <c r="B5033" s="87" t="str">
        <f>IFERROR(__xludf.DUMMYFUNCTION("""COMPUTED_VALUE"""),"[Nhãn]")</f>
        <v>[Nhãn]</v>
      </c>
      <c r="C5033" s="87" t="str">
        <f>IFERROR(__xludf.DUMMYFUNCTION("""COMPUTED_VALUE"""),"NTN4244")</f>
        <v>NTN4244</v>
      </c>
      <c r="D5033" s="87" t="str">
        <f>IFERROR(__xludf.DUMMYFUNCTION("""COMPUTED_VALUE"""),"[Nhãn] GC - IV - 4244 - CSSX An Khang (A.Dinh) - TAK03 (Bột màu trắng) - 100gr - 100")</f>
        <v>[Nhãn] GC - IV - 4244 - CSSX An Khang (A.Dinh) - TAK03 (Bột màu trắng) - 100gr - 100</v>
      </c>
      <c r="E5033" s="87" t="str">
        <f>IFERROR(__xludf.DUMMYFUNCTION("""COMPUTED_VALUE"""),"Vi lượng AGAMA-BATFUNG")</f>
        <v>Vi lượng AGAMA-BATFUNG</v>
      </c>
      <c r="F5033" s="87" t="str">
        <f>IFERROR(__xludf.DUMMYFUNCTION("""COMPUTED_VALUE"""),"HH4244")</f>
        <v>HH4244</v>
      </c>
      <c r="G5033" s="87" t="str">
        <f>IFERROR(__xludf.DUMMYFUNCTION("""COMPUTED_VALUE"""),"GC - IV - 4244 - CSSX An Khang (A.Dinh) - TAK03 (Bột màu trắng) - 100gr - 100")</f>
        <v>GC - IV - 4244 - CSSX An Khang (A.Dinh) - TAK03 (Bột màu trắng) - 100gr - 100</v>
      </c>
    </row>
    <row r="5034">
      <c r="A5034" s="86">
        <f>IFERROR(__xludf.DUMMYFUNCTION("""COMPUTED_VALUE"""),5032.0)</f>
        <v>5032</v>
      </c>
      <c r="B5034" s="87" t="str">
        <f>IFERROR(__xludf.DUMMYFUNCTION("""COMPUTED_VALUE"""),"[Nhãn thùng]")</f>
        <v>[Nhãn thùng]</v>
      </c>
      <c r="C5034" s="87" t="str">
        <f>IFERROR(__xludf.DUMMYFUNCTION("""COMPUTED_VALUE"""),"NDT4244")</f>
        <v>NDT4244</v>
      </c>
      <c r="D5034" s="87" t="str">
        <f>IFERROR(__xludf.DUMMYFUNCTION("""COMPUTED_VALUE"""),"[Nhãn thùng] GC - IV - 4244 - CSSX An Khang (A.Dinh) - TAK03 (Bột màu trắng) - 100gr - 100")</f>
        <v>[Nhãn thùng] GC - IV - 4244 - CSSX An Khang (A.Dinh) - TAK03 (Bột màu trắng) - 100gr - 100</v>
      </c>
      <c r="E5034" s="87" t="str">
        <f>IFERROR(__xludf.DUMMYFUNCTION("""COMPUTED_VALUE"""),"Vi lượng AGAMA-BATFUNG")</f>
        <v>Vi lượng AGAMA-BATFUNG</v>
      </c>
      <c r="F5034" s="87" t="str">
        <f>IFERROR(__xludf.DUMMYFUNCTION("""COMPUTED_VALUE"""),"HH4244")</f>
        <v>HH4244</v>
      </c>
      <c r="G5034" s="87" t="str">
        <f>IFERROR(__xludf.DUMMYFUNCTION("""COMPUTED_VALUE"""),"GC - IV - 4244 - CSSX An Khang (A.Dinh) - TAK03 (Bột màu trắng) - 100gr - 100")</f>
        <v>GC - IV - 4244 - CSSX An Khang (A.Dinh) - TAK03 (Bột màu trắng) - 100gr - 100</v>
      </c>
    </row>
    <row r="5035">
      <c r="A5035" s="86">
        <f>IFERROR(__xludf.DUMMYFUNCTION("""COMPUTED_VALUE"""),5033.0)</f>
        <v>5033</v>
      </c>
      <c r="B5035" s="87" t="str">
        <f>IFERROR(__xludf.DUMMYFUNCTION("""COMPUTED_VALUE"""),"[Nhãn]")</f>
        <v>[Nhãn]</v>
      </c>
      <c r="C5035" s="87" t="str">
        <f>IFERROR(__xludf.DUMMYFUNCTION("""COMPUTED_VALUE"""),"NHG4227")</f>
        <v>NHG4227</v>
      </c>
      <c r="D5035" s="87" t="str">
        <f>IFERROR(__xludf.DUMMYFUNCTION("""COMPUTED_VALUE"""),"[Nhãn] LOT IDA Global - I - 4227 - Cty Agronet - Sức Mạnh Sói Xám (nước nâu đen) - 450ml - 40")</f>
        <v>[Nhãn] LOT IDA Global - I - 4227 - Cty Agronet - Sức Mạnh Sói Xám (nước nâu đen) - 450ml - 40</v>
      </c>
      <c r="E5035" s="87" t="str">
        <f>IFERROR(__xludf.DUMMYFUNCTION("""COMPUTED_VALUE"""),"HAIHAMEC 3.6EC")</f>
        <v>HAIHAMEC 3.6EC</v>
      </c>
      <c r="F5035" s="87" t="str">
        <f>IFERROR(__xludf.DUMMYFUNCTION("""COMPUTED_VALUE"""),"HH4227")</f>
        <v>HH4227</v>
      </c>
      <c r="G5035" s="87" t="str">
        <f>IFERROR(__xludf.DUMMYFUNCTION("""COMPUTED_VALUE"""),"LOT IDA Global - I - 4227 - Cty Agronet - Sức Mạnh Sói Xám (nước nâu đen) - 450ml - 40")</f>
        <v>LOT IDA Global - I - 4227 - Cty Agronet - Sức Mạnh Sói Xám (nước nâu đen) - 450ml - 40</v>
      </c>
    </row>
    <row r="5036">
      <c r="A5036" s="86">
        <f>IFERROR(__xludf.DUMMYFUNCTION("""COMPUTED_VALUE"""),5034.0)</f>
        <v>5034</v>
      </c>
      <c r="B5036" s="87" t="str">
        <f>IFERROR(__xludf.DUMMYFUNCTION("""COMPUTED_VALUE"""),"[Nhãn thùng]")</f>
        <v>[Nhãn thùng]</v>
      </c>
      <c r="C5036" s="87" t="str">
        <f>IFERROR(__xludf.DUMMYFUNCTION("""COMPUTED_VALUE"""),"NDT4238")</f>
        <v>NDT4238</v>
      </c>
      <c r="D5036" s="87" t="str">
        <f>IFERROR(__xludf.DUMMYFUNCTION("""COMPUTED_VALUE"""),"[Nhãn thùng] GC - IV - 4238 - Cty ĐẠI KHÁNH - OXYCIN 100WP (Bột trắng) - 120gr - 100")</f>
        <v>[Nhãn thùng] GC - IV - 4238 - Cty ĐẠI KHÁNH - OXYCIN 100WP (Bột trắng) - 120gr - 100</v>
      </c>
      <c r="E5036" s="87" t="str">
        <f>IFERROR(__xludf.DUMMYFUNCTION("""COMPUTED_VALUE"""),"Oxycin 100WP")</f>
        <v>Oxycin 100WP</v>
      </c>
      <c r="F5036" s="87" t="str">
        <f>IFERROR(__xludf.DUMMYFUNCTION("""COMPUTED_VALUE"""),"HH4238")</f>
        <v>HH4238</v>
      </c>
      <c r="G5036" s="87" t="str">
        <f>IFERROR(__xludf.DUMMYFUNCTION("""COMPUTED_VALUE"""),"GC - IV - 4238 - Cty ĐẠI KHÁNH - OXYCIN 100WP (Bột trắng) - 120gr - 100")</f>
        <v>GC - IV - 4238 - Cty ĐẠI KHÁNH - OXYCIN 100WP (Bột trắng) - 120gr - 100</v>
      </c>
    </row>
    <row r="5037">
      <c r="A5037" s="86">
        <f>IFERROR(__xludf.DUMMYFUNCTION("""COMPUTED_VALUE"""),5035.0)</f>
        <v>5035</v>
      </c>
      <c r="B5037" s="87" t="str">
        <f>IFERROR(__xludf.DUMMYFUNCTION("""COMPUTED_VALUE"""),"[Nhãn]")</f>
        <v>[Nhãn]</v>
      </c>
      <c r="C5037" s="87" t="str">
        <f>IFERROR(__xludf.DUMMYFUNCTION("""COMPUTED_VALUE"""),"NHG4098")</f>
        <v>NHG4098</v>
      </c>
      <c r="D5037" s="87" t="str">
        <f>IFERROR(__xludf.DUMMYFUNCTION("""COMPUTED_VALUE"""),"[Nhãn] GC - IV - 4098 - Cty Sen Hồng (Anh Diễn) - Kích Rễ 4.0 (nước nâu đen) - 1L - 20")</f>
        <v>[Nhãn] GC - IV - 4098 - Cty Sen Hồng (Anh Diễn) - Kích Rễ 4.0 (nước nâu đen) - 1L - 20</v>
      </c>
      <c r="E5037" s="87" t="str">
        <f>IFERROR(__xludf.DUMMYFUNCTION("""COMPUTED_VALUE"""),"Vi lượng Quantity New")</f>
        <v>Vi lượng Quantity New</v>
      </c>
      <c r="F5037" s="87" t="str">
        <f>IFERROR(__xludf.DUMMYFUNCTION("""COMPUTED_VALUE"""),"HH4098")</f>
        <v>HH4098</v>
      </c>
      <c r="G5037" s="87" t="str">
        <f>IFERROR(__xludf.DUMMYFUNCTION("""COMPUTED_VALUE"""),"GC - IV - 4098 - Cty Sen Hồng (Anh Diễn) - Kích Rễ 4.0 (nước nâu đen) - 1L - 20")</f>
        <v>GC - IV - 4098 - Cty Sen Hồng (Anh Diễn) - Kích Rễ 4.0 (nước nâu đen) - 1L - 20</v>
      </c>
    </row>
    <row r="5038">
      <c r="A5038" s="86">
        <f>IFERROR(__xludf.DUMMYFUNCTION("""COMPUTED_VALUE"""),5036.0)</f>
        <v>5036</v>
      </c>
      <c r="B5038" s="87" t="str">
        <f>IFERROR(__xludf.DUMMYFUNCTION("""COMPUTED_VALUE"""),"[Nhãn]")</f>
        <v>[Nhãn]</v>
      </c>
      <c r="C5038" s="87" t="str">
        <f>IFERROR(__xludf.DUMMYFUNCTION("""COMPUTED_VALUE"""),"NHG4252")</f>
        <v>NHG4252</v>
      </c>
      <c r="D5038" s="87" t="str">
        <f>IFERROR(__xludf.DUMMYFUNCTION("""COMPUTED_VALUE"""),"[Nhãn] GC - IV - 4252 - Cty Agritech (Anh Trương) - CABOR PLUS+ (Nước vàng mật ong) - 500ml - 40")</f>
        <v>[Nhãn] GC - IV - 4252 - Cty Agritech (Anh Trương) - CABOR PLUS+ (Nước vàng mật ong) - 500ml - 40</v>
      </c>
      <c r="E5038" s="87" t="str">
        <f>IFERROR(__xludf.DUMMYFUNCTION("""COMPUTED_VALUE"""),"Vi lượng Run Fast")</f>
        <v>Vi lượng Run Fast</v>
      </c>
      <c r="F5038" s="87" t="str">
        <f>IFERROR(__xludf.DUMMYFUNCTION("""COMPUTED_VALUE"""),"HH4252")</f>
        <v>HH4252</v>
      </c>
      <c r="G5038" s="87" t="str">
        <f>IFERROR(__xludf.DUMMYFUNCTION("""COMPUTED_VALUE"""),"GC - IV - 4252 - Cty Agritech (Anh Trương) - CABOR PLUS+ (Nước vàng mật ong) - 500ml - 40")</f>
        <v>GC - IV - 4252 - Cty Agritech (Anh Trương) - CABOR PLUS+ (Nước vàng mật ong) - 500ml - 40</v>
      </c>
    </row>
    <row r="5039">
      <c r="A5039" s="86">
        <f>IFERROR(__xludf.DUMMYFUNCTION("""COMPUTED_VALUE"""),5037.0)</f>
        <v>5037</v>
      </c>
      <c r="B5039" s="87" t="str">
        <f>IFERROR(__xludf.DUMMYFUNCTION("""COMPUTED_VALUE"""),"[Nhãn]")</f>
        <v>[Nhãn]</v>
      </c>
      <c r="C5039" s="87" t="str">
        <f>IFERROR(__xludf.DUMMYFUNCTION("""COMPUTED_VALUE"""),"NTN4238")</f>
        <v>NTN4238</v>
      </c>
      <c r="D5039" s="87" t="str">
        <f>IFERROR(__xludf.DUMMYFUNCTION("""COMPUTED_VALUE"""),"[Nhãn] GC - IV - 4238 - Cty ĐẠI KHÁNH - OXYCIN 100WP (Bột trắng) - 120gr - 100")</f>
        <v>[Nhãn] GC - IV - 4238 - Cty ĐẠI KHÁNH - OXYCIN 100WP (Bột trắng) - 120gr - 100</v>
      </c>
      <c r="E5039" s="87" t="str">
        <f>IFERROR(__xludf.DUMMYFUNCTION("""COMPUTED_VALUE"""),"Oxycin 100WP")</f>
        <v>Oxycin 100WP</v>
      </c>
      <c r="F5039" s="87" t="str">
        <f>IFERROR(__xludf.DUMMYFUNCTION("""COMPUTED_VALUE"""),"HH4238")</f>
        <v>HH4238</v>
      </c>
      <c r="G5039" s="87" t="str">
        <f>IFERROR(__xludf.DUMMYFUNCTION("""COMPUTED_VALUE"""),"GC - IV - 4238 - Cty ĐẠI KHÁNH - OXYCIN 100WP (Bột trắng) - 120gr - 100")</f>
        <v>GC - IV - 4238 - Cty ĐẠI KHÁNH - OXYCIN 100WP (Bột trắng) - 120gr - 100</v>
      </c>
    </row>
    <row r="5040">
      <c r="A5040" s="86">
        <f>IFERROR(__xludf.DUMMYFUNCTION("""COMPUTED_VALUE"""),5038.0)</f>
        <v>5038</v>
      </c>
      <c r="B5040" s="87" t="str">
        <f>IFERROR(__xludf.DUMMYFUNCTION("""COMPUTED_VALUE"""),"[Nhãn]")</f>
        <v>[Nhãn]</v>
      </c>
      <c r="C5040" s="87" t="str">
        <f>IFERROR(__xludf.DUMMYFUNCTION("""COMPUTED_VALUE"""),"NHG4254")</f>
        <v>NHG4254</v>
      </c>
      <c r="D5040" s="87" t="str">
        <f>IFERROR(__xludf.DUMMYFUNCTION("""COMPUTED_VALUE"""),"[Nhãn] GC - IV - 4254 -  CTY SEN HỒNG - HEXA XANH (Nước xanh dương) - 1L - 20")</f>
        <v>[Nhãn] GC - IV - 4254 -  CTY SEN HỒNG - HEXA XANH (Nước xanh dương) - 1L - 20</v>
      </c>
      <c r="E5040" s="87" t="str">
        <f>IFERROR(__xludf.DUMMYFUNCTION("""COMPUTED_VALUE"""),"Mekongvil 5SC")</f>
        <v>Mekongvil 5SC</v>
      </c>
      <c r="F5040" s="87" t="str">
        <f>IFERROR(__xludf.DUMMYFUNCTION("""COMPUTED_VALUE"""),"HH4254")</f>
        <v>HH4254</v>
      </c>
      <c r="G5040" s="87" t="str">
        <f>IFERROR(__xludf.DUMMYFUNCTION("""COMPUTED_VALUE"""),"GC - IV - 4254 -  CTY SEN HỒNG - HEXA XANH (Nước xanh dương) - 1L - 20")</f>
        <v>GC - IV - 4254 -  CTY SEN HỒNG - HEXA XANH (Nước xanh dương) - 1L - 20</v>
      </c>
    </row>
    <row r="5041">
      <c r="A5041" s="86">
        <f>IFERROR(__xludf.DUMMYFUNCTION("""COMPUTED_VALUE"""),5039.0)</f>
        <v>5039</v>
      </c>
      <c r="B5041" s="87" t="str">
        <f>IFERROR(__xludf.DUMMYFUNCTION("""COMPUTED_VALUE"""),"[Nhãn]")</f>
        <v>[Nhãn]</v>
      </c>
      <c r="C5041" s="87" t="str">
        <f>IFERROR(__xludf.DUMMYFUNCTION("""COMPUTED_VALUE"""),"NHG4247")</f>
        <v>NHG4247</v>
      </c>
      <c r="D5041" s="87" t="str">
        <f>IFERROR(__xludf.DUMMYFUNCTION("""COMPUTED_VALUE"""),"[Nhãn] DR.XANH - VIII - 4247 - DR.CALBOR (Nước vàng xanh) - 500ml - 40")</f>
        <v>[Nhãn] DR.XANH - VIII - 4247 - DR.CALBOR (Nước vàng xanh) - 500ml - 40</v>
      </c>
      <c r="E5041" s="87" t="str">
        <f>IFERROR(__xludf.DUMMYFUNCTION("""COMPUTED_VALUE"""),"Vi lượng AGAMA-CANXI BO")</f>
        <v>Vi lượng AGAMA-CANXI BO</v>
      </c>
      <c r="F5041" s="87" t="str">
        <f>IFERROR(__xludf.DUMMYFUNCTION("""COMPUTED_VALUE"""),"HH4247")</f>
        <v>HH4247</v>
      </c>
      <c r="G5041" s="87" t="str">
        <f>IFERROR(__xludf.DUMMYFUNCTION("""COMPUTED_VALUE"""),"DR.XANH - VIII - 4247 - DR.CALBOR (Nước vàng xanh) - 500ml - 40")</f>
        <v>DR.XANH - VIII - 4247 - DR.CALBOR (Nước vàng xanh) - 500ml - 40</v>
      </c>
    </row>
    <row r="5042">
      <c r="A5042" s="86">
        <f>IFERROR(__xludf.DUMMYFUNCTION("""COMPUTED_VALUE"""),5040.0)</f>
        <v>5040</v>
      </c>
      <c r="B5042" s="87" t="str">
        <f>IFERROR(__xludf.DUMMYFUNCTION("""COMPUTED_VALUE"""),"[Nhãn]")</f>
        <v>[Nhãn]</v>
      </c>
      <c r="C5042" s="87" t="str">
        <f>IFERROR(__xludf.DUMMYFUNCTION("""COMPUTED_VALUE"""),"NTN4248")</f>
        <v>NTN4248</v>
      </c>
      <c r="D5042" s="87" t="str">
        <f>IFERROR(__xludf.DUMMYFUNCTION("""COMPUTED_VALUE"""),"[Nhãn] GC - IV - 4248 - CTY VISANTO - CROSS 700+ (Bột vàng nghệ) - 100gr - 100")</f>
        <v>[Nhãn] GC - IV - 4248 - CTY VISANTO - CROSS 700+ (Bột vàng nghệ) - 100gr - 100</v>
      </c>
      <c r="E5042" s="87" t="str">
        <f>IFERROR(__xludf.DUMMYFUNCTION("""COMPUTED_VALUE"""),"NP SNAILICIDE 700WP")</f>
        <v>NP SNAILICIDE 700WP</v>
      </c>
      <c r="F5042" s="87" t="str">
        <f>IFERROR(__xludf.DUMMYFUNCTION("""COMPUTED_VALUE"""),"HH4248")</f>
        <v>HH4248</v>
      </c>
      <c r="G5042" s="87" t="str">
        <f>IFERROR(__xludf.DUMMYFUNCTION("""COMPUTED_VALUE"""),"GC - IV - 4248 - CTY VISANTO - CROSS 700+ (Bột vàng nghệ) - 100gr - 100")</f>
        <v>GC - IV - 4248 - CTY VISANTO - CROSS 700+ (Bột vàng nghệ) - 100gr - 100</v>
      </c>
    </row>
    <row r="5043">
      <c r="A5043" s="86">
        <f>IFERROR(__xludf.DUMMYFUNCTION("""COMPUTED_VALUE"""),5041.0)</f>
        <v>5041</v>
      </c>
      <c r="B5043" s="87" t="str">
        <f>IFERROR(__xludf.DUMMYFUNCTION("""COMPUTED_VALUE"""),"[Nhãn thùng]")</f>
        <v>[Nhãn thùng]</v>
      </c>
      <c r="C5043" s="87" t="str">
        <f>IFERROR(__xludf.DUMMYFUNCTION("""COMPUTED_VALUE"""),"NDT4248")</f>
        <v>NDT4248</v>
      </c>
      <c r="D5043" s="87" t="str">
        <f>IFERROR(__xludf.DUMMYFUNCTION("""COMPUTED_VALUE"""),"[Nhãn thùng] GC - IV - 4248 - CTY VISANTO - CROSS 700+ (Bột vàng nghệ) - 100gr - 100")</f>
        <v>[Nhãn thùng] GC - IV - 4248 - CTY VISANTO - CROSS 700+ (Bột vàng nghệ) - 100gr - 100</v>
      </c>
      <c r="E5043" s="87" t="str">
        <f>IFERROR(__xludf.DUMMYFUNCTION("""COMPUTED_VALUE"""),"NP SNAILICIDE 700WP")</f>
        <v>NP SNAILICIDE 700WP</v>
      </c>
      <c r="F5043" s="87" t="str">
        <f>IFERROR(__xludf.DUMMYFUNCTION("""COMPUTED_VALUE"""),"HH4248")</f>
        <v>HH4248</v>
      </c>
      <c r="G5043" s="87" t="str">
        <f>IFERROR(__xludf.DUMMYFUNCTION("""COMPUTED_VALUE"""),"GC - IV - 4248 - CTY VISANTO - CROSS 700+ (Bột vàng nghệ) - 100gr - 100")</f>
        <v>GC - IV - 4248 - CTY VISANTO - CROSS 700+ (Bột vàng nghệ) - 100gr - 100</v>
      </c>
    </row>
    <row r="5044">
      <c r="A5044" s="86">
        <f>IFERROR(__xludf.DUMMYFUNCTION("""COMPUTED_VALUE"""),5042.0)</f>
        <v>5042</v>
      </c>
      <c r="B5044" s="87" t="str">
        <f>IFERROR(__xludf.DUMMYFUNCTION("""COMPUTED_VALUE"""),"[Nhãn]")</f>
        <v>[Nhãn]</v>
      </c>
      <c r="C5044" s="87" t="str">
        <f>IFERROR(__xludf.DUMMYFUNCTION("""COMPUTED_VALUE"""),"NTN4249")</f>
        <v>NTN4249</v>
      </c>
      <c r="D5044" s="87" t="str">
        <f>IFERROR(__xludf.DUMMYFUNCTION("""COMPUTED_VALUE"""),"[Nhãn] GC - IV - 4249 - CTY VISANTO - CROSS 700+ (Bột vàng nghệ) - 100gr - 100")</f>
        <v>[Nhãn] GC - IV - 4249 - CTY VISANTO - CROSS 700+ (Bột vàng nghệ) - 100gr - 100</v>
      </c>
      <c r="E5044" s="87" t="str">
        <f>IFERROR(__xludf.DUMMYFUNCTION("""COMPUTED_VALUE"""),"NP SNAILICIDE 700WP")</f>
        <v>NP SNAILICIDE 700WP</v>
      </c>
      <c r="F5044" s="87" t="str">
        <f>IFERROR(__xludf.DUMMYFUNCTION("""COMPUTED_VALUE"""),"HH4249")</f>
        <v>HH4249</v>
      </c>
      <c r="G5044" s="87" t="str">
        <f>IFERROR(__xludf.DUMMYFUNCTION("""COMPUTED_VALUE"""),"GC - IV - 4249 - CTY VISANTO - CROSS 700+ (Bột vàng nghệ) - 100gr - 100")</f>
        <v>GC - IV - 4249 - CTY VISANTO - CROSS 700+ (Bột vàng nghệ) - 100gr - 100</v>
      </c>
    </row>
    <row r="5045">
      <c r="A5045" s="86">
        <f>IFERROR(__xludf.DUMMYFUNCTION("""COMPUTED_VALUE"""),5043.0)</f>
        <v>5043</v>
      </c>
      <c r="B5045" s="87" t="str">
        <f>IFERROR(__xludf.DUMMYFUNCTION("""COMPUTED_VALUE"""),"[Nhãn thùng]")</f>
        <v>[Nhãn thùng]</v>
      </c>
      <c r="C5045" s="87" t="str">
        <f>IFERROR(__xludf.DUMMYFUNCTION("""COMPUTED_VALUE"""),"NDT4249")</f>
        <v>NDT4249</v>
      </c>
      <c r="D5045" s="87" t="str">
        <f>IFERROR(__xludf.DUMMYFUNCTION("""COMPUTED_VALUE"""),"[Nhãn thùng] GC - IV - 4249 - CTY VISANTO - CROSS 700+ (Bột vàng nghệ) - 100gr - 100")</f>
        <v>[Nhãn thùng] GC - IV - 4249 - CTY VISANTO - CROSS 700+ (Bột vàng nghệ) - 100gr - 100</v>
      </c>
      <c r="E5045" s="87" t="str">
        <f>IFERROR(__xludf.DUMMYFUNCTION("""COMPUTED_VALUE"""),"NP SNAILICIDE 700WP")</f>
        <v>NP SNAILICIDE 700WP</v>
      </c>
      <c r="F5045" s="87" t="str">
        <f>IFERROR(__xludf.DUMMYFUNCTION("""COMPUTED_VALUE"""),"HH4249")</f>
        <v>HH4249</v>
      </c>
      <c r="G5045" s="87" t="str">
        <f>IFERROR(__xludf.DUMMYFUNCTION("""COMPUTED_VALUE"""),"GC - IV - 4249 - CTY VISANTO - CROSS 700+ (Bột vàng nghệ) - 100gr - 100")</f>
        <v>GC - IV - 4249 - CTY VISANTO - CROSS 700+ (Bột vàng nghệ) - 100gr - 100</v>
      </c>
    </row>
    <row r="5046">
      <c r="A5046" s="86">
        <f>IFERROR(__xludf.DUMMYFUNCTION("""COMPUTED_VALUE"""),5044.0)</f>
        <v>5044</v>
      </c>
      <c r="B5046" s="87" t="str">
        <f>IFERROR(__xludf.DUMMYFUNCTION("""COMPUTED_VALUE"""),"[Nhãn]")</f>
        <v>[Nhãn]</v>
      </c>
      <c r="C5046" s="87" t="str">
        <f>IFERROR(__xludf.DUMMYFUNCTION("""COMPUTED_VALUE"""),"NHD3794")</f>
        <v>NHD3794</v>
      </c>
      <c r="D5046" s="87" t="str">
        <f>IFERROR(__xludf.DUMMYFUNCTION("""COMPUTED_VALUE"""),"[Nhãn] GC - V - 3794 - Cty Sen Hồng (A.Diễn) - VÔ GẠO TE+ (Gel đỏ cam) - 500ml - 40")</f>
        <v>[Nhãn] GC - V - 3794 - Cty Sen Hồng (A.Diễn) - VÔ GẠO TE+ (Gel đỏ cam) - 500ml - 40</v>
      </c>
      <c r="E5046" s="87" t="str">
        <f>IFERROR(__xludf.DUMMYFUNCTION("""COMPUTED_VALUE"""),"NPK-Vi lượng MASSIVE-BLUE")</f>
        <v>NPK-Vi lượng MASSIVE-BLUE</v>
      </c>
      <c r="F5046" s="87" t="str">
        <f>IFERROR(__xludf.DUMMYFUNCTION("""COMPUTED_VALUE"""),"HH3794")</f>
        <v>HH3794</v>
      </c>
      <c r="G5046" s="87" t="str">
        <f>IFERROR(__xludf.DUMMYFUNCTION("""COMPUTED_VALUE"""),"GC - V - 3794 - Cty Sen Hồng (A.Diễn) - VÔ GẠO TE+ (Gel đỏ cam) - 500ml - 40")</f>
        <v>GC - V - 3794 - Cty Sen Hồng (A.Diễn) - VÔ GẠO TE+ (Gel đỏ cam) - 500ml - 40</v>
      </c>
    </row>
    <row r="5047">
      <c r="A5047" s="86">
        <f>IFERROR(__xludf.DUMMYFUNCTION("""COMPUTED_VALUE"""),5045.0)</f>
        <v>5045</v>
      </c>
      <c r="B5047" s="87" t="str">
        <f>IFERROR(__xludf.DUMMYFUNCTION("""COMPUTED_VALUE"""),"[Nhãn thùng]")</f>
        <v>[Nhãn thùng]</v>
      </c>
      <c r="C5047" s="87" t="str">
        <f>IFERROR(__xludf.DUMMYFUNCTION("""COMPUTED_VALUE"""),"NDT3794")</f>
        <v>NDT3794</v>
      </c>
      <c r="D5047" s="87" t="str">
        <f>IFERROR(__xludf.DUMMYFUNCTION("""COMPUTED_VALUE"""),"[Nhãn thùng] GC - V - 3794 - Cty Sen Hồng (A.Diễn) - VÔ GẠO TE+ (Gel đỏ cam) - 500ml - 40")</f>
        <v>[Nhãn thùng] GC - V - 3794 - Cty Sen Hồng (A.Diễn) - VÔ GẠO TE+ (Gel đỏ cam) - 500ml - 40</v>
      </c>
      <c r="E5047" s="87" t="str">
        <f>IFERROR(__xludf.DUMMYFUNCTION("""COMPUTED_VALUE"""),"NPK-Vi lượng MASSIVE-BLUE")</f>
        <v>NPK-Vi lượng MASSIVE-BLUE</v>
      </c>
      <c r="F5047" s="87" t="str">
        <f>IFERROR(__xludf.DUMMYFUNCTION("""COMPUTED_VALUE"""),"HH3794")</f>
        <v>HH3794</v>
      </c>
      <c r="G5047" s="87" t="str">
        <f>IFERROR(__xludf.DUMMYFUNCTION("""COMPUTED_VALUE"""),"GC - V - 3794 - Cty Sen Hồng (A.Diễn) - VÔ GẠO TE+ (Gel đỏ cam) - 500ml - 40")</f>
        <v>GC - V - 3794 - Cty Sen Hồng (A.Diễn) - VÔ GẠO TE+ (Gel đỏ cam) - 500ml - 40</v>
      </c>
    </row>
    <row r="5048">
      <c r="A5048" s="86">
        <f>IFERROR(__xludf.DUMMYFUNCTION("""COMPUTED_VALUE"""),5046.0)</f>
        <v>5046</v>
      </c>
      <c r="B5048" s="87" t="str">
        <f>IFERROR(__xludf.DUMMYFUNCTION("""COMPUTED_VALUE"""),"[Nhãn]")</f>
        <v>[Nhãn]</v>
      </c>
      <c r="C5048" s="87" t="str">
        <f>IFERROR(__xludf.DUMMYFUNCTION("""COMPUTED_VALUE"""),"NHG4257")</f>
        <v>NHG4257</v>
      </c>
      <c r="D5048" s="87" t="str">
        <f>IFERROR(__xludf.DUMMYFUNCTION("""COMPUTED_VALUE"""),"[Nhãn] LOT IDA Global - I - 4257 - ĐL ĐỨC MINH KG - HỔ VƯƠNG (Nước nâu đen) - 450ml - 40")</f>
        <v>[Nhãn] LOT IDA Global - I - 4257 - ĐL ĐỨC MINH KG - HỔ VƯƠNG (Nước nâu đen) - 450ml - 40</v>
      </c>
      <c r="E5048" s="87" t="str">
        <f>IFERROR(__xludf.DUMMYFUNCTION("""COMPUTED_VALUE"""),"HAIHAMEC 3.6EC")</f>
        <v>HAIHAMEC 3.6EC</v>
      </c>
      <c r="F5048" s="87" t="str">
        <f>IFERROR(__xludf.DUMMYFUNCTION("""COMPUTED_VALUE"""),"HH4257")</f>
        <v>HH4257</v>
      </c>
      <c r="G5048" s="87" t="str">
        <f>IFERROR(__xludf.DUMMYFUNCTION("""COMPUTED_VALUE"""),"LOT IDA Global - I - 4257 - ĐL ĐỨC MINH KG - HỔ VƯƠNG (Nước nâu đen) - 450ml - 40")</f>
        <v>LOT IDA Global - I - 4257 - ĐL ĐỨC MINH KG - HỔ VƯƠNG (Nước nâu đen) - 450ml - 40</v>
      </c>
    </row>
    <row r="5049">
      <c r="A5049" s="86">
        <f>IFERROR(__xludf.DUMMYFUNCTION("""COMPUTED_VALUE"""),5047.0)</f>
        <v>5047</v>
      </c>
      <c r="B5049" s="87" t="str">
        <f>IFERROR(__xludf.DUMMYFUNCTION("""COMPUTED_VALUE"""),"[Nhãn]")</f>
        <v>[Nhãn]</v>
      </c>
      <c r="C5049" s="87" t="str">
        <f>IFERROR(__xludf.DUMMYFUNCTION("""COMPUTED_VALUE"""),"NTN4147")</f>
        <v>NTN4147</v>
      </c>
      <c r="D5049" s="87" t="str">
        <f>IFERROR(__xludf.DUMMYFUNCTION("""COMPUTED_VALUE"""),"[Nhãn] IDA Global - I - 4147 - CTY HẠT LÚA VÀNG - XTANER (Bột vàng nhạt) - 50gr - 100")</f>
        <v>[Nhãn] IDA Global - I - 4147 - CTY HẠT LÚA VÀNG - XTANER (Bột vàng nhạt) - 50gr - 100</v>
      </c>
      <c r="E5049" s="87" t="str">
        <f>IFERROR(__xludf.DUMMYFUNCTION("""COMPUTED_VALUE"""),"Centertaner 500WP")</f>
        <v>Centertaner 500WP</v>
      </c>
      <c r="F5049" s="87" t="str">
        <f>IFERROR(__xludf.DUMMYFUNCTION("""COMPUTED_VALUE"""),"HH4147")</f>
        <v>HH4147</v>
      </c>
      <c r="G5049" s="87" t="str">
        <f>IFERROR(__xludf.DUMMYFUNCTION("""COMPUTED_VALUE"""),"IDA Global - I - 4147 - CTY HẠT LÚA VÀNG - XTANER (Bột vàng nhạt) - 50gr - 100")</f>
        <v>IDA Global - I - 4147 - CTY HẠT LÚA VÀNG - XTANER (Bột vàng nhạt) - 50gr - 100</v>
      </c>
    </row>
    <row r="5050">
      <c r="A5050" s="86">
        <f>IFERROR(__xludf.DUMMYFUNCTION("""COMPUTED_VALUE"""),5048.0)</f>
        <v>5048</v>
      </c>
      <c r="B5050" s="87" t="str">
        <f>IFERROR(__xludf.DUMMYFUNCTION("""COMPUTED_VALUE"""),"[Nhãn thùng]")</f>
        <v>[Nhãn thùng]</v>
      </c>
      <c r="C5050" s="87" t="str">
        <f>IFERROR(__xludf.DUMMYFUNCTION("""COMPUTED_VALUE"""),"NDT4147")</f>
        <v>NDT4147</v>
      </c>
      <c r="D5050" s="87" t="str">
        <f>IFERROR(__xludf.DUMMYFUNCTION("""COMPUTED_VALUE"""),"[Nhãn thùng] IDA Global - I - 4147 - CTY HẠT LÚA VÀNG - XTANER (Bột vàng nhạt) - 50gr - 100")</f>
        <v>[Nhãn thùng] IDA Global - I - 4147 - CTY HẠT LÚA VÀNG - XTANER (Bột vàng nhạt) - 50gr - 100</v>
      </c>
      <c r="E5050" s="87" t="str">
        <f>IFERROR(__xludf.DUMMYFUNCTION("""COMPUTED_VALUE"""),"Centertaner 500WP")</f>
        <v>Centertaner 500WP</v>
      </c>
      <c r="F5050" s="87" t="str">
        <f>IFERROR(__xludf.DUMMYFUNCTION("""COMPUTED_VALUE"""),"HH4147")</f>
        <v>HH4147</v>
      </c>
      <c r="G5050" s="87" t="str">
        <f>IFERROR(__xludf.DUMMYFUNCTION("""COMPUTED_VALUE"""),"IDA Global - I - 4147 - CTY HẠT LÚA VÀNG - XTANER (Bột vàng nhạt) - 50gr - 100")</f>
        <v>IDA Global - I - 4147 - CTY HẠT LÚA VÀNG - XTANER (Bột vàng nhạt) - 50gr - 100</v>
      </c>
    </row>
    <row r="5051">
      <c r="A5051" s="86">
        <f>IFERROR(__xludf.DUMMYFUNCTION("""COMPUTED_VALUE"""),5049.0)</f>
        <v>5049</v>
      </c>
      <c r="B5051" s="87" t="str">
        <f>IFERROR(__xludf.DUMMYFUNCTION("""COMPUTED_VALUE"""),"[Nhãn]")</f>
        <v>[Nhãn]</v>
      </c>
      <c r="C5051" s="87" t="str">
        <f>IFERROR(__xludf.DUMMYFUNCTION("""COMPUTED_VALUE"""),"NHG4250")</f>
        <v>NHG4250</v>
      </c>
      <c r="D5051" s="87" t="str">
        <f>IFERROR(__xludf.DUMMYFUNCTION("""COMPUTED_VALUE"""),"[Nhãn] GC - IV - 4250 - Cty Hóa Nông Shino - YAPOSINO 200 (Nước trắng sữa) - 450ml - 30")</f>
        <v>[Nhãn] GC - IV - 4250 - Cty Hóa Nông Shino - YAPOSINO 200 (Nước trắng sữa) - 450ml - 30</v>
      </c>
      <c r="E5051" s="87" t="str">
        <f>IFERROR(__xludf.DUMMYFUNCTION("""COMPUTED_VALUE"""),"AFUDAN 20SC")</f>
        <v>AFUDAN 20SC</v>
      </c>
      <c r="F5051" s="87" t="str">
        <f>IFERROR(__xludf.DUMMYFUNCTION("""COMPUTED_VALUE"""),"HH4250")</f>
        <v>HH4250</v>
      </c>
      <c r="G5051" s="87" t="str">
        <f>IFERROR(__xludf.DUMMYFUNCTION("""COMPUTED_VALUE"""),"GC - IV - 4250 - Cty Hóa Nông Shino - YAPOSINO 200 (Nước trắng sữa) - 450ml - 30")</f>
        <v>GC - IV - 4250 - Cty Hóa Nông Shino - YAPOSINO 200 (Nước trắng sữa) - 450ml - 30</v>
      </c>
    </row>
    <row r="5052">
      <c r="A5052" s="86">
        <f>IFERROR(__xludf.DUMMYFUNCTION("""COMPUTED_VALUE"""),5050.0)</f>
        <v>5050</v>
      </c>
      <c r="B5052" s="87" t="str">
        <f>IFERROR(__xludf.DUMMYFUNCTION("""COMPUTED_VALUE"""),"[Nhãn]")</f>
        <v>[Nhãn]</v>
      </c>
      <c r="C5052" s="87" t="str">
        <f>IFERROR(__xludf.DUMMYFUNCTION("""COMPUTED_VALUE"""),"NHG4109")</f>
        <v>NHG4109</v>
      </c>
      <c r="D5052" s="87" t="str">
        <f>IFERROR(__xludf.DUMMYFUNCTION("""COMPUTED_VALUE"""),"[Nhãn] GC - IV - 4109 - Sen Hồng - Đạo ôn và nấm khuẩn (nước đỏ) - 450ml - 40")</f>
        <v>[Nhãn] GC - IV - 4109 - Sen Hồng - Đạo ôn và nấm khuẩn (nước đỏ) - 450ml - 40</v>
      </c>
      <c r="E5052" s="87" t="str">
        <f>IFERROR(__xludf.DUMMYFUNCTION("""COMPUTED_VALUE"""),"GENOL 1.2SL")</f>
        <v>GENOL 1.2SL</v>
      </c>
      <c r="F5052" s="87" t="str">
        <f>IFERROR(__xludf.DUMMYFUNCTION("""COMPUTED_VALUE"""),"HH4109")</f>
        <v>HH4109</v>
      </c>
      <c r="G5052" s="87" t="str">
        <f>IFERROR(__xludf.DUMMYFUNCTION("""COMPUTED_VALUE"""),"GC - IV - 4109 - Sen Hồng - Đạo ôn và nấm khuẩn (nước đỏ) - 450ml - 40")</f>
        <v>GC - IV - 4109 - Sen Hồng - Đạo ôn và nấm khuẩn (nước đỏ) - 450ml - 40</v>
      </c>
    </row>
    <row r="5053">
      <c r="A5053" s="86">
        <f>IFERROR(__xludf.DUMMYFUNCTION("""COMPUTED_VALUE"""),5051.0)</f>
        <v>5051</v>
      </c>
      <c r="B5053" s="87" t="str">
        <f>IFERROR(__xludf.DUMMYFUNCTION("""COMPUTED_VALUE"""),"[Nhãn]")</f>
        <v>[Nhãn]</v>
      </c>
      <c r="C5053" s="87" t="str">
        <f>IFERROR(__xludf.DUMMYFUNCTION("""COMPUTED_VALUE"""),"NHG4120")</f>
        <v>NHG4120</v>
      </c>
      <c r="D5053" s="87" t="str">
        <f>IFERROR(__xludf.DUMMYFUNCTION("""COMPUTED_VALUE"""),"[Nhãn]  IDA Global - I - 4120 - Amazon 80 - 100ml - 100")</f>
        <v>[Nhãn]  IDA Global - I - 4120 - Amazon 80 - 100ml - 100</v>
      </c>
      <c r="E5053" s="87" t="str">
        <f>IFERROR(__xludf.DUMMYFUNCTION("""COMPUTED_VALUE"""),"vi lượng Phú Sĩ FJ-09 Kẽm Mg")</f>
        <v>vi lượng Phú Sĩ FJ-09 Kẽm Mg</v>
      </c>
      <c r="F5053" s="87" t="str">
        <f>IFERROR(__xludf.DUMMYFUNCTION("""COMPUTED_VALUE"""),"HH4120")</f>
        <v>HH4120</v>
      </c>
      <c r="G5053" s="87" t="str">
        <f>IFERROR(__xludf.DUMMYFUNCTION("""COMPUTED_VALUE"""),"IDA Global - I - 4120 - Amazon 80 - 100ml - 100")</f>
        <v>IDA Global - I - 4120 - Amazon 80 - 100ml - 100</v>
      </c>
    </row>
    <row r="5054">
      <c r="A5054" s="86">
        <f>IFERROR(__xludf.DUMMYFUNCTION("""COMPUTED_VALUE"""),5052.0)</f>
        <v>5052</v>
      </c>
      <c r="B5054" s="87" t="str">
        <f>IFERROR(__xludf.DUMMYFUNCTION("""COMPUTED_VALUE"""),"[Nhãn]")</f>
        <v>[Nhãn]</v>
      </c>
      <c r="C5054" s="87" t="str">
        <f>IFERROR(__xludf.DUMMYFUNCTION("""COMPUTED_VALUE"""),"NTN4260")</f>
        <v>NTN4260</v>
      </c>
      <c r="D5054" s="87" t="str">
        <f>IFERROR(__xludf.DUMMYFUNCTION("""COMPUTED_VALUE"""),"[Nhãn] BAMBOO - VI - 4260 - BAMBOO OXYCIN (Bột vàng nhạt) - 100gr - 100")</f>
        <v>[Nhãn] BAMBOO - VI - 4260 - BAMBOO OXYCIN (Bột vàng nhạt) - 100gr - 100</v>
      </c>
      <c r="E5054" s="87" t="str">
        <f>IFERROR(__xludf.DUMMYFUNCTION("""COMPUTED_VALUE"""),"Oxycin 100WP")</f>
        <v>Oxycin 100WP</v>
      </c>
      <c r="F5054" s="87" t="str">
        <f>IFERROR(__xludf.DUMMYFUNCTION("""COMPUTED_VALUE"""),"HH4260")</f>
        <v>HH4260</v>
      </c>
      <c r="G5054" s="87" t="str">
        <f>IFERROR(__xludf.DUMMYFUNCTION("""COMPUTED_VALUE"""),"BAMBOO - VI - 4260 - BAMBOO OXYCIN (Bột vàng nhạt) - 100gr - 100")</f>
        <v>BAMBOO - VI - 4260 - BAMBOO OXYCIN (Bột vàng nhạt) - 100gr - 100</v>
      </c>
    </row>
    <row r="5055">
      <c r="A5055" s="86">
        <f>IFERROR(__xludf.DUMMYFUNCTION("""COMPUTED_VALUE"""),5053.0)</f>
        <v>5053</v>
      </c>
      <c r="B5055" s="87" t="str">
        <f>IFERROR(__xludf.DUMMYFUNCTION("""COMPUTED_VALUE"""),"[Nhãn thùng]")</f>
        <v>[Nhãn thùng]</v>
      </c>
      <c r="C5055" s="87" t="str">
        <f>IFERROR(__xludf.DUMMYFUNCTION("""COMPUTED_VALUE"""),"NDT4260")</f>
        <v>NDT4260</v>
      </c>
      <c r="D5055" s="87" t="str">
        <f>IFERROR(__xludf.DUMMYFUNCTION("""COMPUTED_VALUE"""),"[Nhãn thùng] BAMBOO - VI - 4260 - BAMBOO OXYCIN (Bột vàng nhạt) - 100gr - 100")</f>
        <v>[Nhãn thùng] BAMBOO - VI - 4260 - BAMBOO OXYCIN (Bột vàng nhạt) - 100gr - 100</v>
      </c>
      <c r="E5055" s="87" t="str">
        <f>IFERROR(__xludf.DUMMYFUNCTION("""COMPUTED_VALUE"""),"Oxycin 100WP")</f>
        <v>Oxycin 100WP</v>
      </c>
      <c r="F5055" s="87" t="str">
        <f>IFERROR(__xludf.DUMMYFUNCTION("""COMPUTED_VALUE"""),"HH4260")</f>
        <v>HH4260</v>
      </c>
      <c r="G5055" s="87" t="str">
        <f>IFERROR(__xludf.DUMMYFUNCTION("""COMPUTED_VALUE"""),"BAMBOO - VI - 4260 - BAMBOO OXYCIN (Bột vàng nhạt) - 100gr - 100")</f>
        <v>BAMBOO - VI - 4260 - BAMBOO OXYCIN (Bột vàng nhạt) - 100gr - 100</v>
      </c>
    </row>
    <row r="5056">
      <c r="A5056" s="86">
        <f>IFERROR(__xludf.DUMMYFUNCTION("""COMPUTED_VALUE"""),5054.0)</f>
        <v>5054</v>
      </c>
      <c r="B5056" s="87" t="str">
        <f>IFERROR(__xludf.DUMMYFUNCTION("""COMPUTED_VALUE"""),"[Nhãn thùng]")</f>
        <v>[Nhãn thùng]</v>
      </c>
      <c r="C5056" s="87" t="str">
        <f>IFERROR(__xludf.DUMMYFUNCTION("""COMPUTED_VALUE"""),"NDT4083")</f>
        <v>NDT4083</v>
      </c>
      <c r="D5056" s="87" t="str">
        <f>IFERROR(__xludf.DUMMYFUNCTION("""COMPUTED_VALUE"""),"[Nhãn thùng] GC - II - 4083 - CSSX An Khang (A.Dinh) - TAK12 (Bột màu trắng) - 1kg - 20")</f>
        <v>[Nhãn thùng] GC - II - 4083 - CSSX An Khang (A.Dinh) - TAK12 (Bột màu trắng) - 1kg - 20</v>
      </c>
      <c r="E5056" s="87" t="str">
        <f>IFERROR(__xludf.DUMMYFUNCTION("""COMPUTED_VALUE"""),"Lá NPK-Trung-Vi Lượng GNC 08")</f>
        <v>Lá NPK-Trung-Vi Lượng GNC 08</v>
      </c>
      <c r="F5056" s="87" t="str">
        <f>IFERROR(__xludf.DUMMYFUNCTION("""COMPUTED_VALUE"""),"HH4083")</f>
        <v>HH4083</v>
      </c>
      <c r="G5056" s="87" t="str">
        <f>IFERROR(__xludf.DUMMYFUNCTION("""COMPUTED_VALUE"""),"GC - II - 4083 - CSSX An Khang (A.Dinh) - TAK12 (Bột màu trắng) - 1kg - 20")</f>
        <v>GC - II - 4083 - CSSX An Khang (A.Dinh) - TAK12 (Bột màu trắng) - 1kg - 20</v>
      </c>
    </row>
    <row r="5057">
      <c r="A5057" s="86">
        <f>IFERROR(__xludf.DUMMYFUNCTION("""COMPUTED_VALUE"""),5055.0)</f>
        <v>5055</v>
      </c>
      <c r="B5057" s="87" t="str">
        <f>IFERROR(__xludf.DUMMYFUNCTION("""COMPUTED_VALUE"""),"[Nhãn]")</f>
        <v>[Nhãn]</v>
      </c>
      <c r="C5057" s="87" t="str">
        <f>IFERROR(__xludf.DUMMYFUNCTION("""COMPUTED_VALUE"""),"NHD4259")</f>
        <v>NHD4259</v>
      </c>
      <c r="D5057" s="87" t="str">
        <f>IFERROR(__xludf.DUMMYFUNCTION("""COMPUTED_VALUE"""),"[Nhãn] GC - IV - 4259 - CTY DONA VINA - CANXIBO MAXI (Nước trắng sữa) - 500ml - 40")</f>
        <v>[Nhãn] GC - IV - 4259 - CTY DONA VINA - CANXIBO MAXI (Nước trắng sữa) - 500ml - 40</v>
      </c>
      <c r="E5057" s="87" t="str">
        <f>IFERROR(__xludf.DUMMYFUNCTION("""COMPUTED_VALUE"""),"Vi lượng AGAMA-CANXI BO")</f>
        <v>Vi lượng AGAMA-CANXI BO</v>
      </c>
      <c r="F5057" s="87" t="str">
        <f>IFERROR(__xludf.DUMMYFUNCTION("""COMPUTED_VALUE"""),"HH4259")</f>
        <v>HH4259</v>
      </c>
      <c r="G5057" s="87" t="str">
        <f>IFERROR(__xludf.DUMMYFUNCTION("""COMPUTED_VALUE"""),"GC - IV - 4259 - CTY DONA VINA - CANXIBO MAXI (Nước trắng sữa) - 500ml - 40")</f>
        <v>GC - IV - 4259 - CTY DONA VINA - CANXIBO MAXI (Nước trắng sữa) - 500ml - 40</v>
      </c>
    </row>
    <row r="5058">
      <c r="A5058" s="86">
        <f>IFERROR(__xludf.DUMMYFUNCTION("""COMPUTED_VALUE"""),5056.0)</f>
        <v>5056</v>
      </c>
      <c r="B5058" s="87" t="str">
        <f>IFERROR(__xludf.DUMMYFUNCTION("""COMPUTED_VALUE"""),"[Nhãn thùng]")</f>
        <v>[Nhãn thùng]</v>
      </c>
      <c r="C5058" s="87" t="str">
        <f>IFERROR(__xludf.DUMMYFUNCTION("""COMPUTED_VALUE"""),"NDT4259")</f>
        <v>NDT4259</v>
      </c>
      <c r="D5058" s="87" t="str">
        <f>IFERROR(__xludf.DUMMYFUNCTION("""COMPUTED_VALUE"""),"[Nhãn thùng] GC - IV - 4259 - CTY DONA VINA - CANXIBO MAXI (Nước trắng sữa) - 500ml - 40")</f>
        <v>[Nhãn thùng] GC - IV - 4259 - CTY DONA VINA - CANXIBO MAXI (Nước trắng sữa) - 500ml - 40</v>
      </c>
      <c r="E5058" s="87" t="str">
        <f>IFERROR(__xludf.DUMMYFUNCTION("""COMPUTED_VALUE"""),"Vi lượng AGAMA-CANXI BO")</f>
        <v>Vi lượng AGAMA-CANXI BO</v>
      </c>
      <c r="F5058" s="87" t="str">
        <f>IFERROR(__xludf.DUMMYFUNCTION("""COMPUTED_VALUE"""),"HH4259")</f>
        <v>HH4259</v>
      </c>
      <c r="G5058" s="87" t="str">
        <f>IFERROR(__xludf.DUMMYFUNCTION("""COMPUTED_VALUE"""),"GC - IV - 4259 - CTY DONA VINA - CANXIBO MAXI (Nước trắng sữa) - 500ml - 40")</f>
        <v>GC - IV - 4259 - CTY DONA VINA - CANXIBO MAXI (Nước trắng sữa) - 500ml - 40</v>
      </c>
    </row>
    <row r="5059">
      <c r="A5059" s="86">
        <f>IFERROR(__xludf.DUMMYFUNCTION("""COMPUTED_VALUE"""),5057.0)</f>
        <v>5057</v>
      </c>
      <c r="B5059" s="87" t="str">
        <f>IFERROR(__xludf.DUMMYFUNCTION("""COMPUTED_VALUE"""),"[Nhãn]")</f>
        <v>[Nhãn]</v>
      </c>
      <c r="C5059" s="87" t="str">
        <f>IFERROR(__xludf.DUMMYFUNCTION("""COMPUTED_VALUE"""),"NHG4079")</f>
        <v>NHG4079</v>
      </c>
      <c r="D5059" s="87" t="str">
        <f>IFERROR(__xludf.DUMMYFUNCTION("""COMPUTED_VALUE"""),"[Nhãn] GC - IV - 4079 - Cty Hóa Nông Shino - SHINONIL 450 (Nước cam sữa) - 240ml - 40")</f>
        <v>[Nhãn] GC - IV - 4079 - Cty Hóa Nông Shino - SHINONIL 450 (Nước cam sữa) - 240ml - 40</v>
      </c>
      <c r="E5059" s="87" t="str">
        <f>IFERROR(__xludf.DUMMYFUNCTION("""COMPUTED_VALUE"""),"KITINI SUPER 450SC")</f>
        <v>KITINI SUPER 450SC</v>
      </c>
      <c r="F5059" s="87" t="str">
        <f>IFERROR(__xludf.DUMMYFUNCTION("""COMPUTED_VALUE"""),"HH4079")</f>
        <v>HH4079</v>
      </c>
      <c r="G5059" s="87" t="str">
        <f>IFERROR(__xludf.DUMMYFUNCTION("""COMPUTED_VALUE"""),"GC - IV - 4079 - Cty Hóa Nông Shino - SHINONIL 450 (Nước cam sữa) - 240ml - 40")</f>
        <v>GC - IV - 4079 - Cty Hóa Nông Shino - SHINONIL 450 (Nước cam sữa) - 240ml - 40</v>
      </c>
    </row>
    <row r="5060">
      <c r="A5060" s="86">
        <f>IFERROR(__xludf.DUMMYFUNCTION("""COMPUTED_VALUE"""),5058.0)</f>
        <v>5058</v>
      </c>
      <c r="B5060" s="87" t="str">
        <f>IFERROR(__xludf.DUMMYFUNCTION("""COMPUTED_VALUE"""),"[Nhãn]")</f>
        <v>[Nhãn]</v>
      </c>
      <c r="C5060" s="87" t="str">
        <f>IFERROR(__xludf.DUMMYFUNCTION("""COMPUTED_VALUE"""),"NTN4171")</f>
        <v>NTN4171</v>
      </c>
      <c r="D5060" s="87" t="str">
        <f>IFERROR(__xludf.DUMMYFUNCTION("""COMPUTED_VALUE"""),"[Nhãn] GC - IV - 4171 - CSSX An Khang (A.Dinh) - TAK20 (Bột màu trắng) - 1kg - 20")</f>
        <v>[Nhãn] GC - IV - 4171 - CSSX An Khang (A.Dinh) - TAK20 (Bột màu trắng) - 1kg - 20</v>
      </c>
      <c r="E5060" s="87" t="str">
        <f>IFERROR(__xludf.DUMMYFUNCTION("""COMPUTED_VALUE"""),"ATOMIN 15WP")</f>
        <v>ATOMIN 15WP</v>
      </c>
      <c r="F5060" s="87" t="str">
        <f>IFERROR(__xludf.DUMMYFUNCTION("""COMPUTED_VALUE"""),"HH4171")</f>
        <v>HH4171</v>
      </c>
      <c r="G5060" s="87" t="str">
        <f>IFERROR(__xludf.DUMMYFUNCTION("""COMPUTED_VALUE"""),"GC - IV - 4171 - CSSX An Khang (A.Dinh) - TAK20 (Bột màu trắng) - 1kg - 20")</f>
        <v>GC - IV - 4171 - CSSX An Khang (A.Dinh) - TAK20 (Bột màu trắng) - 1kg - 20</v>
      </c>
    </row>
    <row r="5061">
      <c r="A5061" s="86">
        <f>IFERROR(__xludf.DUMMYFUNCTION("""COMPUTED_VALUE"""),5059.0)</f>
        <v>5059</v>
      </c>
      <c r="B5061" s="87" t="str">
        <f>IFERROR(__xludf.DUMMYFUNCTION("""COMPUTED_VALUE"""),"[Nhãn]")</f>
        <v>[Nhãn]</v>
      </c>
      <c r="C5061" s="87" t="str">
        <f>IFERROR(__xludf.DUMMYFUNCTION("""COMPUTED_VALUE"""),"NHG4265")</f>
        <v>NHG4265</v>
      </c>
      <c r="D5061" s="87" t="str">
        <f>IFERROR(__xludf.DUMMYFUNCTION("""COMPUTED_VALUE"""),"[Nhãn]  GC - IV - 4265 - THÀNH CÔNG AGRI - PK-MAX (Nước nâu vàng) - 500ml - 30")</f>
        <v>[Nhãn]  GC - IV - 4265 - THÀNH CÔNG AGRI - PK-MAX (Nước nâu vàng) - 500ml - 30</v>
      </c>
      <c r="E5061" s="87" t="str">
        <f>IFERROR(__xludf.DUMMYFUNCTION("""COMPUTED_VALUE"""),"Lá Hỗn Hợp PK AGRI FOS AB")</f>
        <v>Lá Hỗn Hợp PK AGRI FOS AB</v>
      </c>
      <c r="F5061" s="87" t="str">
        <f>IFERROR(__xludf.DUMMYFUNCTION("""COMPUTED_VALUE"""),"HH4265")</f>
        <v>HH4265</v>
      </c>
      <c r="G5061" s="87" t="str">
        <f>IFERROR(__xludf.DUMMYFUNCTION("""COMPUTED_VALUE"""),"GC - IV - 4265 - THÀNH CÔNG AGRI - PK-MAX (Nước nâu vàng) - 500ml - 30")</f>
        <v>GC - IV - 4265 - THÀNH CÔNG AGRI - PK-MAX (Nước nâu vàng) - 500ml - 30</v>
      </c>
    </row>
    <row r="5062">
      <c r="A5062" s="86">
        <f>IFERROR(__xludf.DUMMYFUNCTION("""COMPUTED_VALUE"""),5060.0)</f>
        <v>5060</v>
      </c>
      <c r="B5062" s="87" t="str">
        <f>IFERROR(__xludf.DUMMYFUNCTION("""COMPUTED_VALUE"""),"[Nhãn thùng]")</f>
        <v>[Nhãn thùng]</v>
      </c>
      <c r="C5062" s="87" t="str">
        <f>IFERROR(__xludf.DUMMYFUNCTION("""COMPUTED_VALUE"""),"NDT3966")</f>
        <v>NDT3966</v>
      </c>
      <c r="D5062" s="87" t="str">
        <f>IFERROR(__xludf.DUMMYFUNCTION("""COMPUTED_VALUE"""),"[Nhãn thùng]  GC - IV - 3996 - CTY DONA VINA - UNI-STOP ONE (Nước nâu đen) - 1L - 20")</f>
        <v>[Nhãn thùng]  GC - IV - 3996 - CTY DONA VINA - UNI-STOP ONE (Nước nâu đen) - 1L - 20</v>
      </c>
      <c r="E5062" s="87" t="str">
        <f>IFERROR(__xludf.DUMMYFUNCTION("""COMPUTED_VALUE"""),"Vi lượng Quantity New")</f>
        <v>Vi lượng Quantity New</v>
      </c>
      <c r="F5062" s="87" t="str">
        <f>IFERROR(__xludf.DUMMYFUNCTION("""COMPUTED_VALUE"""),"HH3966")</f>
        <v>HH3966</v>
      </c>
      <c r="G5062" s="87" t="str">
        <f>IFERROR(__xludf.DUMMYFUNCTION("""COMPUTED_VALUE"""),"GC - IV - 3996 - CTY DONA VINA - UNI-STOP ONE (Nước nâu đen) - 1L - 20")</f>
        <v>GC - IV - 3996 - CTY DONA VINA - UNI-STOP ONE (Nước nâu đen) - 1L - 20</v>
      </c>
    </row>
    <row r="5063">
      <c r="A5063" s="86">
        <f>IFERROR(__xludf.DUMMYFUNCTION("""COMPUTED_VALUE"""),5061.0)</f>
        <v>5061</v>
      </c>
      <c r="B5063" s="87" t="str">
        <f>IFERROR(__xludf.DUMMYFUNCTION("""COMPUTED_VALUE"""),"[Nhãn thùng]")</f>
        <v>[Nhãn thùng]</v>
      </c>
      <c r="C5063" s="87" t="str">
        <f>IFERROR(__xludf.DUMMYFUNCTION("""COMPUTED_VALUE"""),"NDT4206")</f>
        <v>NDT4206</v>
      </c>
      <c r="D5063" s="87" t="str">
        <f>IFERROR(__xludf.DUMMYFUNCTION("""COMPUTED_VALUE"""),"[Nhãn thùng] DR.XANH - VIII - 4206 - ROBUST EXTRA (Gel nâu đen) - 250ml - 40")</f>
        <v>[Nhãn thùng] DR.XANH - VIII - 4206 - ROBUST EXTRA (Gel nâu đen) - 250ml - 40</v>
      </c>
      <c r="E5063" s="87" t="str">
        <f>IFERROR(__xludf.DUMMYFUNCTION("""COMPUTED_VALUE"""),"Hữu cơ ROOTS US90")</f>
        <v>Hữu cơ ROOTS US90</v>
      </c>
      <c r="F5063" s="87" t="str">
        <f>IFERROR(__xludf.DUMMYFUNCTION("""COMPUTED_VALUE"""),"HH4206")</f>
        <v>HH4206</v>
      </c>
      <c r="G5063" s="87" t="str">
        <f>IFERROR(__xludf.DUMMYFUNCTION("""COMPUTED_VALUE"""),"DR.XANH - VIII - 4206 - ROBUST EXTRA (Gel nâu đen) - 250ml - 40")</f>
        <v>DR.XANH - VIII - 4206 - ROBUST EXTRA (Gel nâu đen) - 250ml - 40</v>
      </c>
    </row>
    <row r="5064">
      <c r="A5064" s="86">
        <f>IFERROR(__xludf.DUMMYFUNCTION("""COMPUTED_VALUE"""),5062.0)</f>
        <v>5062</v>
      </c>
      <c r="B5064" s="87" t="str">
        <f>IFERROR(__xludf.DUMMYFUNCTION("""COMPUTED_VALUE"""),"[Nhãn thùng]")</f>
        <v>[Nhãn thùng]</v>
      </c>
      <c r="C5064" s="87" t="str">
        <f>IFERROR(__xludf.DUMMYFUNCTION("""COMPUTED_VALUE"""),"NDT4021")</f>
        <v>NDT4021</v>
      </c>
      <c r="D5064" s="87" t="str">
        <f>IFERROR(__xludf.DUMMYFUNCTION("""COMPUTED_VALUE"""),"[Nhãn thùng] GC - IV - 4201 - CTY DRAGON AGROCHEM - CHESSIN 600WP (Bột trắng ngà) - 80gr - 100")</f>
        <v>[Nhãn thùng] GC - IV - 4201 - CTY DRAGON AGROCHEM - CHESSIN 600WP (Bột trắng ngà) - 80gr - 100</v>
      </c>
      <c r="E5064" s="87" t="str">
        <f>IFERROR(__xludf.DUMMYFUNCTION("""COMPUTED_VALUE"""),"CHESSIN 600WP")</f>
        <v>CHESSIN 600WP</v>
      </c>
      <c r="F5064" s="87" t="str">
        <f>IFERROR(__xludf.DUMMYFUNCTION("""COMPUTED_VALUE"""),"HH021")</f>
        <v>HH021</v>
      </c>
      <c r="G5064" s="87" t="str">
        <f>IFERROR(__xludf.DUMMYFUNCTION("""COMPUTED_VALUE"""),"GC - IV - 4201 - CTY DRAGON AGROCHEM - CHESSIN 600WP (Bột trắng ngà) - 80gr - 100")</f>
        <v>GC - IV - 4201 - CTY DRAGON AGROCHEM - CHESSIN 600WP (Bột trắng ngà) - 80gr - 100</v>
      </c>
    </row>
    <row r="5065">
      <c r="A5065" s="86">
        <f>IFERROR(__xludf.DUMMYFUNCTION("""COMPUTED_VALUE"""),5063.0)</f>
        <v>5063</v>
      </c>
      <c r="B5065" s="87" t="str">
        <f>IFERROR(__xludf.DUMMYFUNCTION("""COMPUTED_VALUE"""),"[Nhãn]")</f>
        <v>[Nhãn]</v>
      </c>
      <c r="C5065" s="87" t="str">
        <f>IFERROR(__xludf.DUMMYFUNCTION("""COMPUTED_VALUE"""),"NHD4262")</f>
        <v>NHD4262</v>
      </c>
      <c r="D5065" s="87" t="str">
        <f>IFERROR(__xludf.DUMMYFUNCTION("""COMPUTED_VALUE"""),"[Nhãn] GC - IV - 4262 - CTY HƯƠNG NÔNG - BIO HỮU CƠ (Nước nâu đen) - 10L - 1")</f>
        <v>[Nhãn] GC - IV - 4262 - CTY HƯƠNG NÔNG - BIO HỮU CƠ (Nước nâu đen) - 10L - 1</v>
      </c>
      <c r="E5065" s="87" t="str">
        <f>IFERROR(__xludf.DUMMYFUNCTION("""COMPUTED_VALUE"""),"Hữu cơ Organic BM Gold  FW")</f>
        <v>Hữu cơ Organic BM Gold  FW</v>
      </c>
      <c r="F5065" s="87" t="str">
        <f>IFERROR(__xludf.DUMMYFUNCTION("""COMPUTED_VALUE"""),"HH4262")</f>
        <v>HH4262</v>
      </c>
      <c r="G5065" s="87" t="str">
        <f>IFERROR(__xludf.DUMMYFUNCTION("""COMPUTED_VALUE"""),"GC - IV - 4262 - CTY HƯƠNG NÔNG - BIO HỮU CƠ (Nước nâu đen) - 10L - 1")</f>
        <v>GC - IV - 4262 - CTY HƯƠNG NÔNG - BIO HỮU CƠ (Nước nâu đen) - 10L - 1</v>
      </c>
    </row>
    <row r="5066">
      <c r="A5066" s="86">
        <f>IFERROR(__xludf.DUMMYFUNCTION("""COMPUTED_VALUE"""),5064.0)</f>
        <v>5064</v>
      </c>
      <c r="B5066" s="87" t="str">
        <f>IFERROR(__xludf.DUMMYFUNCTION("""COMPUTED_VALUE"""),"[Nhãn]")</f>
        <v>[Nhãn]</v>
      </c>
      <c r="C5066" s="87" t="str">
        <f>IFERROR(__xludf.DUMMYFUNCTION("""COMPUTED_VALUE"""),"NHD4267")</f>
        <v>NHD4267</v>
      </c>
      <c r="D5066" s="87" t="str">
        <f>IFERROR(__xludf.DUMMYFUNCTION("""COMPUTED_VALUE"""),"[Nhãn] GC - IV - 4267 - CSSX An Khang (A.Dinh) - TAK06 (Gel nâu đen) - 20L - 1")</f>
        <v>[Nhãn] GC - IV - 4267 - CSSX An Khang (A.Dinh) - TAK06 (Gel nâu đen) - 20L - 1</v>
      </c>
      <c r="E5066" s="87" t="str">
        <f>IFERROR(__xludf.DUMMYFUNCTION("""COMPUTED_VALUE"""),"Vi lượng Run Fast")</f>
        <v>Vi lượng Run Fast</v>
      </c>
      <c r="F5066" s="87" t="str">
        <f>IFERROR(__xludf.DUMMYFUNCTION("""COMPUTED_VALUE"""),"HH4267")</f>
        <v>HH4267</v>
      </c>
      <c r="G5066" s="87" t="str">
        <f>IFERROR(__xludf.DUMMYFUNCTION("""COMPUTED_VALUE"""),"GC - IV - 4267 - CSSX An Khang (A.Dinh) - TAK06 (Gel nâu đen) - 20L - 1")</f>
        <v>GC - IV - 4267 - CSSX An Khang (A.Dinh) - TAK06 (Gel nâu đen) - 20L - 1</v>
      </c>
    </row>
    <row r="5067">
      <c r="A5067" s="86">
        <f>IFERROR(__xludf.DUMMYFUNCTION("""COMPUTED_VALUE"""),5065.0)</f>
        <v>5065</v>
      </c>
      <c r="B5067" s="87" t="str">
        <f>IFERROR(__xludf.DUMMYFUNCTION("""COMPUTED_VALUE"""),"[Nhãn]")</f>
        <v>[Nhãn]</v>
      </c>
      <c r="C5067" s="87" t="str">
        <f>IFERROR(__xludf.DUMMYFUNCTION("""COMPUTED_VALUE"""),"NHG4272")</f>
        <v>NHG4272</v>
      </c>
      <c r="D5067" s="87" t="str">
        <f>IFERROR(__xludf.DUMMYFUNCTION("""COMPUTED_VALUE"""),"[Nhãn] GC - IV - 4272 - CTY ASAHI NHẬT BẢN - RONBIN SAMURAI (Gel nâu đen) - 500ml - 40")</f>
        <v>[Nhãn] GC - IV - 4272 - CTY ASAHI NHẬT BẢN - RONBIN SAMURAI (Gel nâu đen) - 500ml - 40</v>
      </c>
      <c r="E5067" s="87" t="str">
        <f>IFERROR(__xludf.DUMMYFUNCTION("""COMPUTED_VALUE"""),"Vi lượng Quantity New")</f>
        <v>Vi lượng Quantity New</v>
      </c>
      <c r="F5067" s="87" t="str">
        <f>IFERROR(__xludf.DUMMYFUNCTION("""COMPUTED_VALUE"""),"HH4272")</f>
        <v>HH4272</v>
      </c>
      <c r="G5067" s="87" t="str">
        <f>IFERROR(__xludf.DUMMYFUNCTION("""COMPUTED_VALUE"""),"GC - IV - 4272 - CTY ASAHI NHẬT BẢN - RONBIN SAMURAI (Gel nâu đen) - 500ml - 40")</f>
        <v>GC - IV - 4272 - CTY ASAHI NHẬT BẢN - RONBIN SAMURAI (Gel nâu đen) - 500ml - 40</v>
      </c>
    </row>
    <row r="5068">
      <c r="A5068" s="86">
        <f>IFERROR(__xludf.DUMMYFUNCTION("""COMPUTED_VALUE"""),5066.0)</f>
        <v>5066</v>
      </c>
      <c r="B5068" s="87" t="str">
        <f>IFERROR(__xludf.DUMMYFUNCTION("""COMPUTED_VALUE"""),"[Nhãn]")</f>
        <v>[Nhãn]</v>
      </c>
      <c r="C5068" s="87" t="str">
        <f>IFERROR(__xludf.DUMMYFUNCTION("""COMPUTED_VALUE"""),"NHG4239")</f>
        <v>NHG4239</v>
      </c>
      <c r="D5068" s="87" t="str">
        <f>IFERROR(__xludf.DUMMYFUNCTION("""COMPUTED_VALUE"""),"[Nhãn] IDA Global - I - 4239 - CENTER SUPER 333EC (Nước xanh lá) - 200ml - 40")</f>
        <v>[Nhãn] IDA Global - I - 4239 - CENTER SUPER 333EC (Nước xanh lá) - 200ml - 40</v>
      </c>
      <c r="E5068" s="87" t="str">
        <f>IFERROR(__xludf.DUMMYFUNCTION("""COMPUTED_VALUE"""),"Center super 333EC")</f>
        <v>Center super 333EC</v>
      </c>
      <c r="F5068" s="87" t="str">
        <f>IFERROR(__xludf.DUMMYFUNCTION("""COMPUTED_VALUE"""),"HH4239")</f>
        <v>HH4239</v>
      </c>
      <c r="G5068" s="87" t="str">
        <f>IFERROR(__xludf.DUMMYFUNCTION("""COMPUTED_VALUE"""),"IDA Global - I - 4239 - CENTER SUPER 333EC (Nước xanh lá) - 200ml - 40")</f>
        <v>IDA Global - I - 4239 - CENTER SUPER 333EC (Nước xanh lá) - 200ml - 40</v>
      </c>
    </row>
    <row r="5069">
      <c r="A5069" s="86">
        <f>IFERROR(__xludf.DUMMYFUNCTION("""COMPUTED_VALUE"""),5067.0)</f>
        <v>5067</v>
      </c>
      <c r="B5069" s="87" t="str">
        <f>IFERROR(__xludf.DUMMYFUNCTION("""COMPUTED_VALUE"""),"[Nhãn]")</f>
        <v>[Nhãn]</v>
      </c>
      <c r="C5069" s="87" t="str">
        <f>IFERROR(__xludf.DUMMYFUNCTION("""COMPUTED_VALUE"""),"NHG4270")</f>
        <v>NHG4270</v>
      </c>
      <c r="D5069" s="87" t="str">
        <f>IFERROR(__xludf.DUMMYFUNCTION("""COMPUTED_VALUE"""),"[Nhãn] IDA Global - I - 4270 - CENTER SUPER 333EC (Nước xanh lá) - 240ml - 40")</f>
        <v>[Nhãn] IDA Global - I - 4270 - CENTER SUPER 333EC (Nước xanh lá) - 240ml - 40</v>
      </c>
      <c r="E5069" s="87" t="str">
        <f>IFERROR(__xludf.DUMMYFUNCTION("""COMPUTED_VALUE"""),"Center super 333EC")</f>
        <v>Center super 333EC</v>
      </c>
      <c r="F5069" s="87" t="str">
        <f>IFERROR(__xludf.DUMMYFUNCTION("""COMPUTED_VALUE"""),"HH4270")</f>
        <v>HH4270</v>
      </c>
      <c r="G5069" s="87" t="str">
        <f>IFERROR(__xludf.DUMMYFUNCTION("""COMPUTED_VALUE"""),"IDA Global - I - 4270 - CENTER SUPER 333EC (Nước xanh lá) - 240ml - 40")</f>
        <v>IDA Global - I - 4270 - CENTER SUPER 333EC (Nước xanh lá) - 240ml - 40</v>
      </c>
    </row>
    <row r="5070">
      <c r="A5070" s="86">
        <f>IFERROR(__xludf.DUMMYFUNCTION("""COMPUTED_VALUE"""),5068.0)</f>
        <v>5068</v>
      </c>
      <c r="B5070" s="87" t="str">
        <f>IFERROR(__xludf.DUMMYFUNCTION("""COMPUTED_VALUE"""),"[Nhãn]")</f>
        <v>[Nhãn]</v>
      </c>
      <c r="C5070" s="87" t="str">
        <f>IFERROR(__xludf.DUMMYFUNCTION("""COMPUTED_VALUE"""),"NHG4258")</f>
        <v>NHG4258</v>
      </c>
      <c r="D5070" s="87" t="str">
        <f>IFERROR(__xludf.DUMMYFUNCTION("""COMPUTED_VALUE"""),"[Nhãn] GC - V - 4258 - CTY AGRITECH - MIKHADA 45ME (Nước trắng sữa) - 100ml - 50")</f>
        <v>[Nhãn] GC - V - 4258 - CTY AGRITECH - MIKHADA 45ME (Nước trắng sữa) - 100ml - 50</v>
      </c>
      <c r="E5070" s="87" t="str">
        <f>IFERROR(__xludf.DUMMYFUNCTION("""COMPUTED_VALUE"""),"MIKHADA 45ME")</f>
        <v>MIKHADA 45ME</v>
      </c>
      <c r="F5070" s="87" t="str">
        <f>IFERROR(__xludf.DUMMYFUNCTION("""COMPUTED_VALUE"""),"HH4258")</f>
        <v>HH4258</v>
      </c>
      <c r="G5070" s="87" t="str">
        <f>IFERROR(__xludf.DUMMYFUNCTION("""COMPUTED_VALUE"""),"GC - V - 4258 - CTY AGRITECH - MIKHADA 45ME (Nước trắng sữa) - 100ml - 50")</f>
        <v>GC - V - 4258 - CTY AGRITECH - MIKHADA 45ME (Nước trắng sữa) - 100ml - 50</v>
      </c>
    </row>
    <row r="5071">
      <c r="A5071" s="86">
        <f>IFERROR(__xludf.DUMMYFUNCTION("""COMPUTED_VALUE"""),5069.0)</f>
        <v>5069</v>
      </c>
      <c r="B5071" s="87" t="str">
        <f>IFERROR(__xludf.DUMMYFUNCTION("""COMPUTED_VALUE"""),"[Nhãn]")</f>
        <v>[Nhãn]</v>
      </c>
      <c r="C5071" s="87" t="str">
        <f>IFERROR(__xludf.DUMMYFUNCTION("""COMPUTED_VALUE"""),"NHD4277")</f>
        <v>NHD4277</v>
      </c>
      <c r="D5071" s="87" t="str">
        <f>IFERROR(__xludf.DUMMYFUNCTION("""COMPUTED_VALUE"""),"[Nhãn] GC - IV - 4277 - CTY HIỆP PHÁT ABC - HP.02 (Gel nâu đen) - 5L - 4")</f>
        <v>[Nhãn] GC - IV - 4277 - CTY HIỆP PHÁT ABC - HP.02 (Gel nâu đen) - 5L - 4</v>
      </c>
      <c r="E5071" s="87" t="str">
        <f>IFERROR(__xludf.DUMMYFUNCTION("""COMPUTED_VALUE"""),"Vi lượng Run Fast")</f>
        <v>Vi lượng Run Fast</v>
      </c>
      <c r="F5071" s="87" t="str">
        <f>IFERROR(__xludf.DUMMYFUNCTION("""COMPUTED_VALUE"""),"HH4277")</f>
        <v>HH4277</v>
      </c>
      <c r="G5071" s="87" t="str">
        <f>IFERROR(__xludf.DUMMYFUNCTION("""COMPUTED_VALUE"""),"GC - IV - 4277 - CTY HIỆP PHÁT ABC - HP.02 (Gel nâu đen) - 5L - 4")</f>
        <v>GC - IV - 4277 - CTY HIỆP PHÁT ABC - HP.02 (Gel nâu đen) - 5L - 4</v>
      </c>
    </row>
    <row r="5072">
      <c r="A5072" s="86">
        <f>IFERROR(__xludf.DUMMYFUNCTION("""COMPUTED_VALUE"""),5070.0)</f>
        <v>5070</v>
      </c>
      <c r="B5072" s="87" t="str">
        <f>IFERROR(__xludf.DUMMYFUNCTION("""COMPUTED_VALUE"""),"[Nhãn thùng]")</f>
        <v>[Nhãn thùng]</v>
      </c>
      <c r="C5072" s="87" t="str">
        <f>IFERROR(__xludf.DUMMYFUNCTION("""COMPUTED_VALUE"""),"NDT4277")</f>
        <v>NDT4277</v>
      </c>
      <c r="D5072" s="87" t="str">
        <f>IFERROR(__xludf.DUMMYFUNCTION("""COMPUTED_VALUE"""),"[Nhãn thùng] GC - IV - 4277 - CTY HIỆP PHÁT ABC - HP.02 (Gel nâu đen) - 5L - 4")</f>
        <v>[Nhãn thùng] GC - IV - 4277 - CTY HIỆP PHÁT ABC - HP.02 (Gel nâu đen) - 5L - 4</v>
      </c>
      <c r="E5072" s="87" t="str">
        <f>IFERROR(__xludf.DUMMYFUNCTION("""COMPUTED_VALUE"""),"Vi lượng Run Fast")</f>
        <v>Vi lượng Run Fast</v>
      </c>
      <c r="F5072" s="87" t="str">
        <f>IFERROR(__xludf.DUMMYFUNCTION("""COMPUTED_VALUE"""),"HH4277")</f>
        <v>HH4277</v>
      </c>
      <c r="G5072" s="87" t="str">
        <f>IFERROR(__xludf.DUMMYFUNCTION("""COMPUTED_VALUE"""),"GC - IV - 4277 - CTY HIỆP PHÁT ABC - HP.02 (Gel nâu đen) - 5L - 4")</f>
        <v>GC - IV - 4277 - CTY HIỆP PHÁT ABC - HP.02 (Gel nâu đen) - 5L - 4</v>
      </c>
    </row>
    <row r="5073">
      <c r="A5073" s="86">
        <f>IFERROR(__xludf.DUMMYFUNCTION("""COMPUTED_VALUE"""),5071.0)</f>
        <v>5071</v>
      </c>
      <c r="B5073" s="87" t="str">
        <f>IFERROR(__xludf.DUMMYFUNCTION("""COMPUTED_VALUE"""),"[Nhãn]")</f>
        <v>[Nhãn]</v>
      </c>
      <c r="C5073" s="87" t="str">
        <f>IFERROR(__xludf.DUMMYFUNCTION("""COMPUTED_VALUE"""),"NHG4269")</f>
        <v>NHG4269</v>
      </c>
      <c r="D5073" s="87" t="str">
        <f>IFERROR(__xludf.DUMMYFUNCTION("""COMPUTED_VALUE"""),"[Nhãn] IDA Global - I - 4269 - PICOSUPER 280SC (Nước xanh dương) - 120ml - 100")</f>
        <v>[Nhãn] IDA Global - I - 4269 - PICOSUPER 280SC (Nước xanh dương) - 120ml - 100</v>
      </c>
      <c r="E5073" s="87" t="str">
        <f>IFERROR(__xludf.DUMMYFUNCTION("""COMPUTED_VALUE"""),"PICOSUPER 280SC")</f>
        <v>PICOSUPER 280SC</v>
      </c>
      <c r="F5073" s="87" t="str">
        <f>IFERROR(__xludf.DUMMYFUNCTION("""COMPUTED_VALUE"""),"HH4269")</f>
        <v>HH4269</v>
      </c>
      <c r="G5073" s="87" t="str">
        <f>IFERROR(__xludf.DUMMYFUNCTION("""COMPUTED_VALUE"""),"IDA Global - I - 4269 - PICOSUPER 280SC (Nước xanh dương) - 120ml - 100")</f>
        <v>IDA Global - I - 4269 - PICOSUPER 280SC (Nước xanh dương) - 120ml - 100</v>
      </c>
    </row>
    <row r="5074">
      <c r="A5074" s="86">
        <f>IFERROR(__xludf.DUMMYFUNCTION("""COMPUTED_VALUE"""),5072.0)</f>
        <v>5072</v>
      </c>
      <c r="B5074" s="87" t="str">
        <f>IFERROR(__xludf.DUMMYFUNCTION("""COMPUTED_VALUE"""),"[Nhãn]")</f>
        <v>[Nhãn]</v>
      </c>
      <c r="C5074" s="87" t="str">
        <f>IFERROR(__xludf.DUMMYFUNCTION("""COMPUTED_VALUE"""),"NHG4264")</f>
        <v>NHG4264</v>
      </c>
      <c r="D5074" s="87" t="str">
        <f>IFERROR(__xludf.DUMMYFUNCTION("""COMPUTED_VALUE"""),"[Nhãn] GC - IV - 4264 - CTY NGỌC BẢO LONG AGRI - SIÊU VÔ GẠO (nước nâu đen) - 500ml - 30")</f>
        <v>[Nhãn] GC - IV - 4264 - CTY NGỌC BẢO LONG AGRI - SIÊU VÔ GẠO (nước nâu đen) - 500ml - 30</v>
      </c>
      <c r="E5074" s="87" t="str">
        <f>IFERROR(__xludf.DUMMYFUNCTION("""COMPUTED_VALUE"""),"Lá PK-Vi lượng SV 5-18")</f>
        <v>Lá PK-Vi lượng SV 5-18</v>
      </c>
      <c r="F5074" s="87" t="str">
        <f>IFERROR(__xludf.DUMMYFUNCTION("""COMPUTED_VALUE"""),"HH4264")</f>
        <v>HH4264</v>
      </c>
      <c r="G5074" s="87" t="str">
        <f>IFERROR(__xludf.DUMMYFUNCTION("""COMPUTED_VALUE"""),"GC - IV - 4264 - CTY NGỌC BẢO LONG AGRI - SIÊU VÔ GẠO (nước nâu đen) - 500ml - 30")</f>
        <v>GC - IV - 4264 - CTY NGỌC BẢO LONG AGRI - SIÊU VÔ GẠO (nước nâu đen) - 500ml - 30</v>
      </c>
    </row>
    <row r="5075">
      <c r="A5075" s="86">
        <f>IFERROR(__xludf.DUMMYFUNCTION("""COMPUTED_VALUE"""),5073.0)</f>
        <v>5073</v>
      </c>
      <c r="B5075" s="87" t="str">
        <f>IFERROR(__xludf.DUMMYFUNCTION("""COMPUTED_VALUE"""),"[Nhãn]")</f>
        <v>[Nhãn]</v>
      </c>
      <c r="C5075" s="87" t="str">
        <f>IFERROR(__xludf.DUMMYFUNCTION("""COMPUTED_VALUE"""),"NTN4242")</f>
        <v>NTN4242</v>
      </c>
      <c r="D5075" s="87" t="str">
        <f>IFERROR(__xludf.DUMMYFUNCTION("""COMPUTED_VALUE"""),"[Nhãn] GC - IV - 4242 - Cty Agricare Úc (A.Lộc) - AQUA DƯỠNG CHẤT HỮU CƠ CHUYÊN RAU MÀU (Gel nâu đen) - 50ml - 200")</f>
        <v>[Nhãn] GC - IV - 4242 - Cty Agricare Úc (A.Lộc) - AQUA DƯỠNG CHẤT HỮU CƠ CHUYÊN RAU MÀU (Gel nâu đen) - 50ml - 200</v>
      </c>
      <c r="E5075" s="87" t="str">
        <f>IFERROR(__xludf.DUMMYFUNCTION("""COMPUTED_VALUE"""),"lá NPK-vi lượng GNC19")</f>
        <v>lá NPK-vi lượng GNC19</v>
      </c>
      <c r="F5075" s="87" t="str">
        <f>IFERROR(__xludf.DUMMYFUNCTION("""COMPUTED_VALUE"""),"HH4242")</f>
        <v>HH4242</v>
      </c>
      <c r="G5075" s="87" t="str">
        <f>IFERROR(__xludf.DUMMYFUNCTION("""COMPUTED_VALUE"""),"GC - IV - 4242 - Cty Agricare Úc (A.Lộc) - AQUA DƯỠNG CHẤT HỮU CƠ CHUYÊN RAU MÀU (Gel nâu đen) - 50ml - 200")</f>
        <v>GC - IV - 4242 - Cty Agricare Úc (A.Lộc) - AQUA DƯỠNG CHẤT HỮU CƠ CHUYÊN RAU MÀU (Gel nâu đen) - 50ml - 200</v>
      </c>
    </row>
    <row r="5076">
      <c r="A5076" s="86">
        <f>IFERROR(__xludf.DUMMYFUNCTION("""COMPUTED_VALUE"""),5074.0)</f>
        <v>5074</v>
      </c>
      <c r="B5076" s="87" t="str">
        <f>IFERROR(__xludf.DUMMYFUNCTION("""COMPUTED_VALUE"""),"[Nhãn thùng]")</f>
        <v>[Nhãn thùng]</v>
      </c>
      <c r="C5076" s="87" t="str">
        <f>IFERROR(__xludf.DUMMYFUNCTION("""COMPUTED_VALUE"""),"NDT4242")</f>
        <v>NDT4242</v>
      </c>
      <c r="D5076" s="87" t="str">
        <f>IFERROR(__xludf.DUMMYFUNCTION("""COMPUTED_VALUE"""),"[Nhãn thùng] GC - IV - 4242 - Cty Agricare Úc (A.Lộc) - AQUA DƯỠNG CHẤT HỮU CƠ CHUYÊN RAU MÀU (Gel nâu đen) - 50ml - 200")</f>
        <v>[Nhãn thùng] GC - IV - 4242 - Cty Agricare Úc (A.Lộc) - AQUA DƯỠNG CHẤT HỮU CƠ CHUYÊN RAU MÀU (Gel nâu đen) - 50ml - 200</v>
      </c>
      <c r="E5076" s="87" t="str">
        <f>IFERROR(__xludf.DUMMYFUNCTION("""COMPUTED_VALUE"""),"lá NPK-vi lượng GNC19")</f>
        <v>lá NPK-vi lượng GNC19</v>
      </c>
      <c r="F5076" s="87" t="str">
        <f>IFERROR(__xludf.DUMMYFUNCTION("""COMPUTED_VALUE"""),"HH4242")</f>
        <v>HH4242</v>
      </c>
      <c r="G5076" s="87" t="str">
        <f>IFERROR(__xludf.DUMMYFUNCTION("""COMPUTED_VALUE"""),"GC - IV - 4242 - Cty Agricare Úc (A.Lộc) - AQUA DƯỠNG CHẤT HỮU CƠ CHUYÊN RAU MÀU (Gel nâu đen) - 50ml - 200")</f>
        <v>GC - IV - 4242 - Cty Agricare Úc (A.Lộc) - AQUA DƯỠNG CHẤT HỮU CƠ CHUYÊN RAU MÀU (Gel nâu đen) - 50ml - 200</v>
      </c>
    </row>
    <row r="5077">
      <c r="A5077" s="86">
        <f>IFERROR(__xludf.DUMMYFUNCTION("""COMPUTED_VALUE"""),5075.0)</f>
        <v>5075</v>
      </c>
      <c r="B5077" s="87" t="str">
        <f>IFERROR(__xludf.DUMMYFUNCTION("""COMPUTED_VALUE"""),"[Nhãn]")</f>
        <v>[Nhãn]</v>
      </c>
      <c r="C5077" s="87" t="str">
        <f>IFERROR(__xludf.DUMMYFUNCTION("""COMPUTED_VALUE"""),"NHG4268")</f>
        <v>NHG4268</v>
      </c>
      <c r="D5077" s="87" t="str">
        <f>IFERROR(__xludf.DUMMYFUNCTION("""COMPUTED_VALUE"""),"[Nhãn]  GC - IV - 4268 - CTY R3 - AGROTOX 44 (Nước đỏ) - 450ml - 40")</f>
        <v>[Nhãn]  GC - IV - 4268 - CTY R3 - AGROTOX 44 (Nước đỏ) - 450ml - 40</v>
      </c>
      <c r="E5077" s="87" t="str">
        <f>IFERROR(__xludf.DUMMYFUNCTION("""COMPUTED_VALUE"""),"PYXOATE 44EC")</f>
        <v>PYXOATE 44EC</v>
      </c>
      <c r="F5077" s="87" t="str">
        <f>IFERROR(__xludf.DUMMYFUNCTION("""COMPUTED_VALUE"""),"HH4268")</f>
        <v>HH4268</v>
      </c>
      <c r="G5077" s="87" t="str">
        <f>IFERROR(__xludf.DUMMYFUNCTION("""COMPUTED_VALUE"""),"GC - IV - 4268 - CTY R3 - AGROTOX 44 (Nước đỏ) - 450ml - 40")</f>
        <v>GC - IV - 4268 - CTY R3 - AGROTOX 44 (Nước đỏ) - 450ml - 40</v>
      </c>
    </row>
    <row r="5078">
      <c r="A5078" s="86">
        <f>IFERROR(__xludf.DUMMYFUNCTION("""COMPUTED_VALUE"""),5076.0)</f>
        <v>5076</v>
      </c>
      <c r="B5078" s="87" t="str">
        <f>IFERROR(__xludf.DUMMYFUNCTION("""COMPUTED_VALUE"""),"[Nhãn]")</f>
        <v>[Nhãn]</v>
      </c>
      <c r="C5078" s="87" t="str">
        <f>IFERROR(__xludf.DUMMYFUNCTION("""COMPUTED_VALUE"""),"NHG4278")</f>
        <v>NHG4278</v>
      </c>
      <c r="D5078" s="87" t="str">
        <f>IFERROR(__xludf.DUMMYFUNCTION("""COMPUTED_VALUE"""),"[Nhãn] GC - IV - 4278 - CTY CAPY GLOBAL - DR.H2 (Nước nâu đen) - 1L - 20")</f>
        <v>[Nhãn] GC - IV - 4278 - CTY CAPY GLOBAL - DR.H2 (Nước nâu đen) - 1L - 20</v>
      </c>
      <c r="E5078" s="87" t="str">
        <f>IFERROR(__xludf.DUMMYFUNCTION("""COMPUTED_VALUE"""),"Vi lượng Quantity New")</f>
        <v>Vi lượng Quantity New</v>
      </c>
      <c r="F5078" s="87" t="str">
        <f>IFERROR(__xludf.DUMMYFUNCTION("""COMPUTED_VALUE"""),"HH4278")</f>
        <v>HH4278</v>
      </c>
      <c r="G5078" s="87" t="str">
        <f>IFERROR(__xludf.DUMMYFUNCTION("""COMPUTED_VALUE"""),"GC - IV - 4278 - CTY CAPY GLOBAL - DR.H2 (Nước nâu đen) - 1L - 20")</f>
        <v>GC - IV - 4278 - CTY CAPY GLOBAL - DR.H2 (Nước nâu đen) - 1L - 20</v>
      </c>
    </row>
    <row r="5079">
      <c r="A5079" s="86">
        <f>IFERROR(__xludf.DUMMYFUNCTION("""COMPUTED_VALUE"""),5077.0)</f>
        <v>5077</v>
      </c>
      <c r="B5079" s="87" t="str">
        <f>IFERROR(__xludf.DUMMYFUNCTION("""COMPUTED_VALUE"""),"[Nhãn]")</f>
        <v>[Nhãn]</v>
      </c>
      <c r="C5079" s="87" t="str">
        <f>IFERROR(__xludf.DUMMYFUNCTION("""COMPUTED_VALUE"""),"NHD4279")</f>
        <v>NHD4279</v>
      </c>
      <c r="D5079" s="87" t="str">
        <f>IFERROR(__xludf.DUMMYFUNCTION("""COMPUTED_VALUE"""),"[Nhãn]  GC - IV - 4279 - CTY VISANTO - VISANTO ABA 3.6 (Nước nâu đen) - 450ml - 30")</f>
        <v>[Nhãn]  GC - IV - 4279 - CTY VISANTO - VISANTO ABA 3.6 (Nước nâu đen) - 450ml - 30</v>
      </c>
      <c r="E5079" s="87" t="str">
        <f>IFERROR(__xludf.DUMMYFUNCTION("""COMPUTED_VALUE"""),"Chitin 3.6EC")</f>
        <v>Chitin 3.6EC</v>
      </c>
      <c r="F5079" s="87" t="str">
        <f>IFERROR(__xludf.DUMMYFUNCTION("""COMPUTED_VALUE"""),"HH4279")</f>
        <v>HH4279</v>
      </c>
      <c r="G5079" s="87" t="str">
        <f>IFERROR(__xludf.DUMMYFUNCTION("""COMPUTED_VALUE"""),"GC - IV - 4279 - CTY VISANTO - VISANTO ABA 3.6 (Nước nâu đen) - 450ml - 30")</f>
        <v>GC - IV - 4279 - CTY VISANTO - VISANTO ABA 3.6 (Nước nâu đen) - 450ml - 30</v>
      </c>
    </row>
    <row r="5080">
      <c r="A5080" s="86">
        <f>IFERROR(__xludf.DUMMYFUNCTION("""COMPUTED_VALUE"""),5078.0)</f>
        <v>5078</v>
      </c>
      <c r="B5080" s="87" t="str">
        <f>IFERROR(__xludf.DUMMYFUNCTION("""COMPUTED_VALUE"""),"[Nhãn thùng]")</f>
        <v>[Nhãn thùng]</v>
      </c>
      <c r="C5080" s="87" t="str">
        <f>IFERROR(__xludf.DUMMYFUNCTION("""COMPUTED_VALUE"""),"NDT4279")</f>
        <v>NDT4279</v>
      </c>
      <c r="D5080" s="87" t="str">
        <f>IFERROR(__xludf.DUMMYFUNCTION("""COMPUTED_VALUE"""),"[Nhãn thùng]  GC - IV - 4279 - CTY VISANTO - VISANTO ABA 3.6 (Nước nâu đen) - 450ml - 30")</f>
        <v>[Nhãn thùng]  GC - IV - 4279 - CTY VISANTO - VISANTO ABA 3.6 (Nước nâu đen) - 450ml - 30</v>
      </c>
      <c r="E5080" s="87" t="str">
        <f>IFERROR(__xludf.DUMMYFUNCTION("""COMPUTED_VALUE"""),"Chitin 3.6EC")</f>
        <v>Chitin 3.6EC</v>
      </c>
      <c r="F5080" s="87" t="str">
        <f>IFERROR(__xludf.DUMMYFUNCTION("""COMPUTED_VALUE"""),"HH4279")</f>
        <v>HH4279</v>
      </c>
      <c r="G5080" s="87" t="str">
        <f>IFERROR(__xludf.DUMMYFUNCTION("""COMPUTED_VALUE"""),"GC - IV - 4279 - CTY VISANTO - VISANTO ABA 3.6 (Nước nâu đen) - 450ml - 30")</f>
        <v>GC - IV - 4279 - CTY VISANTO - VISANTO ABA 3.6 (Nước nâu đen) - 450ml - 30</v>
      </c>
    </row>
    <row r="5081">
      <c r="A5081" s="86">
        <f>IFERROR(__xludf.DUMMYFUNCTION("""COMPUTED_VALUE"""),5079.0)</f>
        <v>5079</v>
      </c>
      <c r="B5081" s="87" t="str">
        <f>IFERROR(__xludf.DUMMYFUNCTION("""COMPUTED_VALUE"""),"[Nhãn]")</f>
        <v>[Nhãn]</v>
      </c>
      <c r="C5081" s="87" t="str">
        <f>IFERROR(__xludf.DUMMYFUNCTION("""COMPUTED_VALUE"""),"NHG4283")</f>
        <v>NHG4283</v>
      </c>
      <c r="D5081" s="87" t="str">
        <f>IFERROR(__xludf.DUMMYFUNCTION("""COMPUTED_VALUE"""),"[Nhãn] GC - IX - 4283 - N2SBIO - N2 MG ZN-70 (Nước xanh lá) - 500ml - 40")</f>
        <v>[Nhãn] GC - IX - 4283 - N2SBIO - N2 MG ZN-70 (Nước xanh lá) - 500ml - 40</v>
      </c>
      <c r="E5081" s="87" t="str">
        <f>IFERROR(__xludf.DUMMYFUNCTION("""COMPUTED_VALUE"""),"vi lượng Phú Sĩ FJ-09 Kẽm Mg")</f>
        <v>vi lượng Phú Sĩ FJ-09 Kẽm Mg</v>
      </c>
      <c r="F5081" s="87" t="str">
        <f>IFERROR(__xludf.DUMMYFUNCTION("""COMPUTED_VALUE"""),"HH4283")</f>
        <v>HH4283</v>
      </c>
      <c r="G5081" s="87" t="str">
        <f>IFERROR(__xludf.DUMMYFUNCTION("""COMPUTED_VALUE"""),"GC - IX - 4283 - N2SBIO - N2 MG ZN-70 (Nước xanh lá) - 500ml - 40")</f>
        <v>GC - IX - 4283 - N2SBIO - N2 MG ZN-70 (Nước xanh lá) - 500ml - 40</v>
      </c>
    </row>
    <row r="5082">
      <c r="A5082" s="86">
        <f>IFERROR(__xludf.DUMMYFUNCTION("""COMPUTED_VALUE"""),5080.0)</f>
        <v>5080</v>
      </c>
      <c r="B5082" s="87" t="str">
        <f>IFERROR(__xludf.DUMMYFUNCTION("""COMPUTED_VALUE"""),"[Nhãn]")</f>
        <v>[Nhãn]</v>
      </c>
      <c r="C5082" s="87" t="str">
        <f>IFERROR(__xludf.DUMMYFUNCTION("""COMPUTED_VALUE"""),"NHG4271")</f>
        <v>NHG4271</v>
      </c>
      <c r="D5082" s="87" t="str">
        <f>IFERROR(__xludf.DUMMYFUNCTION("""COMPUTED_VALUE"""),"[Nhãn] LOT IDA Global - I - 4271 - CTY HẠT LÚA VÀNG - VOITHAI 3.6 (nước nâu đen) - 450ml - 40")</f>
        <v>[Nhãn] LOT IDA Global - I - 4271 - CTY HẠT LÚA VÀNG - VOITHAI 3.6 (nước nâu đen) - 450ml - 40</v>
      </c>
      <c r="E5082" s="87" t="str">
        <f>IFERROR(__xludf.DUMMYFUNCTION("""COMPUTED_VALUE"""),"HAIHAMEC 3.6EC")</f>
        <v>HAIHAMEC 3.6EC</v>
      </c>
      <c r="F5082" s="87" t="str">
        <f>IFERROR(__xludf.DUMMYFUNCTION("""COMPUTED_VALUE"""),"HH4271")</f>
        <v>HH4271</v>
      </c>
      <c r="G5082" s="87" t="str">
        <f>IFERROR(__xludf.DUMMYFUNCTION("""COMPUTED_VALUE"""),"LOT IDA Global - I - 4271 - CTY HẠT LÚA VÀNG - VOITHAI 3.6 (nước nâu đen) - 450ml - 40")</f>
        <v>LOT IDA Global - I - 4271 - CTY HẠT LÚA VÀNG - VOITHAI 3.6 (nước nâu đen) - 450ml - 40</v>
      </c>
    </row>
    <row r="5083">
      <c r="A5083" s="86">
        <f>IFERROR(__xludf.DUMMYFUNCTION("""COMPUTED_VALUE"""),5081.0)</f>
        <v>5081</v>
      </c>
      <c r="B5083" s="87" t="str">
        <f>IFERROR(__xludf.DUMMYFUNCTION("""COMPUTED_VALUE"""),"[Nhãn]")</f>
        <v>[Nhãn]</v>
      </c>
      <c r="C5083" s="87" t="str">
        <f>IFERROR(__xludf.DUMMYFUNCTION("""COMPUTED_VALUE"""),"NHG4285")</f>
        <v>NHG4285</v>
      </c>
      <c r="D5083" s="87" t="str">
        <f>IFERROR(__xludf.DUMMYFUNCTION("""COMPUTED_VALUE"""),"[Nhãn] IDA Global - I - 4285 - STOP UP (Nước nâu đen) - 1L - 20")</f>
        <v>[Nhãn] IDA Global - I - 4285 - STOP UP (Nước nâu đen) - 1L - 20</v>
      </c>
      <c r="E5083" s="87" t="str">
        <f>IFERROR(__xludf.DUMMYFUNCTION("""COMPUTED_VALUE"""),"Vi lượng Quantity New")</f>
        <v>Vi lượng Quantity New</v>
      </c>
      <c r="F5083" s="87" t="str">
        <f>IFERROR(__xludf.DUMMYFUNCTION("""COMPUTED_VALUE"""),"HH4285")</f>
        <v>HH4285</v>
      </c>
      <c r="G5083" s="87" t="str">
        <f>IFERROR(__xludf.DUMMYFUNCTION("""COMPUTED_VALUE"""),"IDA Global - I - 4285 - STOP UP (Nước nâu đen) - 1L - 20")</f>
        <v>IDA Global - I - 4285 - STOP UP (Nước nâu đen) - 1L - 20</v>
      </c>
    </row>
    <row r="5084">
      <c r="A5084" s="86">
        <f>IFERROR(__xludf.DUMMYFUNCTION("""COMPUTED_VALUE"""),5082.0)</f>
        <v>5082</v>
      </c>
      <c r="B5084" s="87" t="str">
        <f>IFERROR(__xludf.DUMMYFUNCTION("""COMPUTED_VALUE"""),"[Nhãn]")</f>
        <v>[Nhãn]</v>
      </c>
      <c r="C5084" s="87" t="str">
        <f>IFERROR(__xludf.DUMMYFUNCTION("""COMPUTED_VALUE"""),"NHG4284")</f>
        <v>NHG4284</v>
      </c>
      <c r="D5084" s="87" t="str">
        <f>IFERROR(__xludf.DUMMYFUNCTION("""COMPUTED_VALUE"""),"[Nhãn] GC - IV - 4284 - Cty Hóa Nông Shino - CỨNG CÂY D345 (Nước nâu đen) - 500ml - 30")</f>
        <v>[Nhãn] GC - IV - 4284 - Cty Hóa Nông Shino - CỨNG CÂY D345 (Nước nâu đen) - 500ml - 30</v>
      </c>
      <c r="E5084" s="87" t="str">
        <f>IFERROR(__xludf.DUMMYFUNCTION("""COMPUTED_VALUE"""),"Hữu cơ SH Agro Organic Fertilizer 20")</f>
        <v>Hữu cơ SH Agro Organic Fertilizer 20</v>
      </c>
      <c r="F5084" s="87" t="str">
        <f>IFERROR(__xludf.DUMMYFUNCTION("""COMPUTED_VALUE"""),"HH4284")</f>
        <v>HH4284</v>
      </c>
      <c r="G5084" s="87" t="str">
        <f>IFERROR(__xludf.DUMMYFUNCTION("""COMPUTED_VALUE"""),"GC - IV - 4284 - Cty Hóa Nông Shino - CỨNG CÂY D345 (Nước nâu đen) - 500ml - 30")</f>
        <v>GC - IV - 4284 - Cty Hóa Nông Shino - CỨNG CÂY D345 (Nước nâu đen) - 500ml - 30</v>
      </c>
    </row>
    <row r="5085">
      <c r="A5085" s="86">
        <f>IFERROR(__xludf.DUMMYFUNCTION("""COMPUTED_VALUE"""),5083.0)</f>
        <v>5083</v>
      </c>
      <c r="B5085" s="87" t="str">
        <f>IFERROR(__xludf.DUMMYFUNCTION("""COMPUTED_VALUE"""),"[Nhãn]")</f>
        <v>[Nhãn]</v>
      </c>
      <c r="C5085" s="87" t="str">
        <f>IFERROR(__xludf.DUMMYFUNCTION("""COMPUTED_VALUE"""),"NHD4243")</f>
        <v>NHD4243</v>
      </c>
      <c r="D5085" s="87" t="str">
        <f>IFERROR(__xludf.DUMMYFUNCTION("""COMPUTED_VALUE"""),"[Nhãn] GC - IV - 4243 - CTY QUANG ĐĂNG AGRICULTURE - VỌT ĐỌT - MẬP CHỒI (Nước nâu đen) - 500ml - 40")</f>
        <v>[Nhãn] GC - IV - 4243 - CTY QUANG ĐĂNG AGRICULTURE - VỌT ĐỌT - MẬP CHỒI (Nước nâu đen) - 500ml - 40</v>
      </c>
      <c r="E5085" s="87" t="str">
        <f>IFERROR(__xludf.DUMMYFUNCTION("""COMPUTED_VALUE"""),"Hỗn Hợp NP AGAMA-AP")</f>
        <v>Hỗn Hợp NP AGAMA-AP</v>
      </c>
      <c r="F5085" s="87" t="str">
        <f>IFERROR(__xludf.DUMMYFUNCTION("""COMPUTED_VALUE"""),"HH4243")</f>
        <v>HH4243</v>
      </c>
      <c r="G5085" s="87" t="str">
        <f>IFERROR(__xludf.DUMMYFUNCTION("""COMPUTED_VALUE"""),"GC - IV - 4243 - CTY QUANG ĐĂNG AGRICULTURE - VỌT ĐỌT - MẬP CHỒI (Nước nâu đen) - 500ml - 40")</f>
        <v>GC - IV - 4243 - CTY QUANG ĐĂNG AGRICULTURE - VỌT ĐỌT - MẬP CHỒI (Nước nâu đen) - 500ml - 40</v>
      </c>
    </row>
    <row r="5086">
      <c r="A5086" s="86">
        <f>IFERROR(__xludf.DUMMYFUNCTION("""COMPUTED_VALUE"""),5084.0)</f>
        <v>5084</v>
      </c>
      <c r="B5086" s="87" t="str">
        <f>IFERROR(__xludf.DUMMYFUNCTION("""COMPUTED_VALUE"""),"[Nhãn thùng]")</f>
        <v>[Nhãn thùng]</v>
      </c>
      <c r="C5086" s="87" t="str">
        <f>IFERROR(__xludf.DUMMYFUNCTION("""COMPUTED_VALUE"""),"NDT4243")</f>
        <v>NDT4243</v>
      </c>
      <c r="D5086" s="87" t="str">
        <f>IFERROR(__xludf.DUMMYFUNCTION("""COMPUTED_VALUE"""),"[Nhãn thùng] GC - IV - 4243 - CTY QUANG ĐĂNG AGRICULTURE - VỌT ĐỌT - MẬP CHỒI (Nước nâu đen) - 500ml - 40")</f>
        <v>[Nhãn thùng] GC - IV - 4243 - CTY QUANG ĐĂNG AGRICULTURE - VỌT ĐỌT - MẬP CHỒI (Nước nâu đen) - 500ml - 40</v>
      </c>
      <c r="E5086" s="87" t="str">
        <f>IFERROR(__xludf.DUMMYFUNCTION("""COMPUTED_VALUE"""),"Hỗn Hợp NP AGAMA-AP")</f>
        <v>Hỗn Hợp NP AGAMA-AP</v>
      </c>
      <c r="F5086" s="87" t="str">
        <f>IFERROR(__xludf.DUMMYFUNCTION("""COMPUTED_VALUE"""),"HH4243")</f>
        <v>HH4243</v>
      </c>
      <c r="G5086" s="87" t="str">
        <f>IFERROR(__xludf.DUMMYFUNCTION("""COMPUTED_VALUE"""),"GC - IV - 4243 - CTY QUANG ĐĂNG AGRICULTURE - VỌT ĐỌT - MẬP CHỒI (Nước nâu đen) - 500ml - 40")</f>
        <v>GC - IV - 4243 - CTY QUANG ĐĂNG AGRICULTURE - VỌT ĐỌT - MẬP CHỒI (Nước nâu đen) - 500ml - 40</v>
      </c>
    </row>
    <row r="5087">
      <c r="A5087" s="86">
        <f>IFERROR(__xludf.DUMMYFUNCTION("""COMPUTED_VALUE"""),5085.0)</f>
        <v>5085</v>
      </c>
      <c r="B5087" s="87" t="str">
        <f>IFERROR(__xludf.DUMMYFUNCTION("""COMPUTED_VALUE"""),"[Nhãn]")</f>
        <v>[Nhãn]</v>
      </c>
      <c r="C5087" s="87" t="str">
        <f>IFERROR(__xludf.DUMMYFUNCTION("""COMPUTED_VALUE"""),"NHG4231")</f>
        <v>NHG4231</v>
      </c>
      <c r="D5087" s="87" t="str">
        <f>IFERROR(__xludf.DUMMYFUNCTION("""COMPUTED_VALUE"""),"[Nhãn] GC - IV - 4231 - CTY R3 - R3 TANK  (Nước nâu vàng) - 330ml - 40")</f>
        <v>[Nhãn] GC - IV - 4231 - CTY R3 - R3 TANK  (Nước nâu vàng) - 330ml - 40</v>
      </c>
      <c r="E5087" s="87" t="str">
        <f>IFERROR(__xludf.DUMMYFUNCTION("""COMPUTED_VALUE"""),"vi lượng G.A 05")</f>
        <v>vi lượng G.A 05</v>
      </c>
      <c r="F5087" s="87" t="str">
        <f>IFERROR(__xludf.DUMMYFUNCTION("""COMPUTED_VALUE"""),"HH4231")</f>
        <v>HH4231</v>
      </c>
      <c r="G5087" s="87" t="str">
        <f>IFERROR(__xludf.DUMMYFUNCTION("""COMPUTED_VALUE"""),"GC - IV - 4231 - CTY R3 - R3 TANK  (Nước nâu vàng) - 330ml - 40")</f>
        <v>GC - IV - 4231 - CTY R3 - R3 TANK  (Nước nâu vàng) - 330ml - 40</v>
      </c>
    </row>
    <row r="5088">
      <c r="A5088" s="86">
        <f>IFERROR(__xludf.DUMMYFUNCTION("""COMPUTED_VALUE"""),5086.0)</f>
        <v>5086</v>
      </c>
      <c r="B5088" s="87" t="str">
        <f>IFERROR(__xludf.DUMMYFUNCTION("""COMPUTED_VALUE"""),"[Nhãn]")</f>
        <v>[Nhãn]</v>
      </c>
      <c r="C5088" s="87" t="str">
        <f>IFERROR(__xludf.DUMMYFUNCTION("""COMPUTED_VALUE"""),"NHG4232")</f>
        <v>NHG4232</v>
      </c>
      <c r="D5088" s="87" t="str">
        <f>IFERROR(__xludf.DUMMYFUNCTION("""COMPUTED_VALUE"""),"[Nhãn] GC - IV - 4232 - CTY R3 - R3 BLOOM  (Nước xanh bơ sữa) - 330ml - 40")</f>
        <v>[Nhãn] GC - IV - 4232 - CTY R3 - R3 BLOOM  (Nước xanh bơ sữa) - 330ml - 40</v>
      </c>
      <c r="E5088" s="87" t="str">
        <f>IFERROR(__xludf.DUMMYFUNCTION("""COMPUTED_VALUE"""),"lá NPK-vi lượng GNC19")</f>
        <v>lá NPK-vi lượng GNC19</v>
      </c>
      <c r="F5088" s="87" t="str">
        <f>IFERROR(__xludf.DUMMYFUNCTION("""COMPUTED_VALUE"""),"HH4232")</f>
        <v>HH4232</v>
      </c>
      <c r="G5088" s="87" t="str">
        <f>IFERROR(__xludf.DUMMYFUNCTION("""COMPUTED_VALUE"""),"GC - IV - 4232 - CTY R3 - R3 BLOOM  (Nước xanh bơ sữa) - 330ml - 40")</f>
        <v>GC - IV - 4232 - CTY R3 - R3 BLOOM  (Nước xanh bơ sữa) - 330ml - 40</v>
      </c>
    </row>
    <row r="5089">
      <c r="A5089" s="86">
        <f>IFERROR(__xludf.DUMMYFUNCTION("""COMPUTED_VALUE"""),5087.0)</f>
        <v>5087</v>
      </c>
      <c r="B5089" s="87" t="str">
        <f>IFERROR(__xludf.DUMMYFUNCTION("""COMPUTED_VALUE"""),"[Nhãn]")</f>
        <v>[Nhãn]</v>
      </c>
      <c r="C5089" s="87" t="str">
        <f>IFERROR(__xludf.DUMMYFUNCTION("""COMPUTED_VALUE"""),"NHG4233")</f>
        <v>NHG4233</v>
      </c>
      <c r="D5089" s="87" t="str">
        <f>IFERROR(__xludf.DUMMYFUNCTION("""COMPUTED_VALUE"""),"[Nhãn] GC - IV - 4233 - CTY R3 - R3 VOGAO  (Nước đỏ cam) - 330ml - 40")</f>
        <v>[Nhãn] GC - IV - 4233 - CTY R3 - R3 VOGAO  (Nước đỏ cam) - 330ml - 40</v>
      </c>
      <c r="E5089" s="87" t="str">
        <f>IFERROR(__xludf.DUMMYFUNCTION("""COMPUTED_VALUE"""),"Lá PK-Vi lượng SV 5-18")</f>
        <v>Lá PK-Vi lượng SV 5-18</v>
      </c>
      <c r="F5089" s="87" t="str">
        <f>IFERROR(__xludf.DUMMYFUNCTION("""COMPUTED_VALUE"""),"HH4233")</f>
        <v>HH4233</v>
      </c>
      <c r="G5089" s="87" t="str">
        <f>IFERROR(__xludf.DUMMYFUNCTION("""COMPUTED_VALUE"""),"GC - IV - 4233 - CTY R3 - R3 VOGAO  (Nước đỏ cam) - 330ml - 40")</f>
        <v>GC - IV - 4233 - CTY R3 - R3 VOGAO  (Nước đỏ cam) - 330ml - 40</v>
      </c>
    </row>
    <row r="5090">
      <c r="A5090" s="86">
        <f>IFERROR(__xludf.DUMMYFUNCTION("""COMPUTED_VALUE"""),5088.0)</f>
        <v>5088</v>
      </c>
      <c r="B5090" s="87" t="str">
        <f>IFERROR(__xludf.DUMMYFUNCTION("""COMPUTED_VALUE"""),"[Nhãn]")</f>
        <v>[Nhãn]</v>
      </c>
      <c r="C5090" s="87" t="str">
        <f>IFERROR(__xludf.DUMMYFUNCTION("""COMPUTED_VALUE"""),"NHG4234")</f>
        <v>NHG4234</v>
      </c>
      <c r="D5090" s="87" t="str">
        <f>IFERROR(__xludf.DUMMYFUNCTION("""COMPUTED_VALUE"""),"[Nhãn] GC - IV - 4234 - CTY R3 - R3 ROOT+  (Nước nâu đen) - 330ml - 40")</f>
        <v>[Nhãn] GC - IV - 4234 - CTY R3 - R3 ROOT+  (Nước nâu đen) - 330ml - 40</v>
      </c>
      <c r="E5090" s="87" t="str">
        <f>IFERROR(__xludf.DUMMYFUNCTION("""COMPUTED_VALUE"""),"Hỗn Hợp NP AGAMA-AP")</f>
        <v>Hỗn Hợp NP AGAMA-AP</v>
      </c>
      <c r="F5090" s="87" t="str">
        <f>IFERROR(__xludf.DUMMYFUNCTION("""COMPUTED_VALUE"""),"HH4234")</f>
        <v>HH4234</v>
      </c>
      <c r="G5090" s="87" t="str">
        <f>IFERROR(__xludf.DUMMYFUNCTION("""COMPUTED_VALUE"""),"GC - IV - 4234 - CTY R3 - R3 ROOT+  (Nước nâu đen) - 330ml - 40")</f>
        <v>GC - IV - 4234 - CTY R3 - R3 ROOT+  (Nước nâu đen) - 330ml - 40</v>
      </c>
    </row>
    <row r="5091">
      <c r="A5091" s="86">
        <f>IFERROR(__xludf.DUMMYFUNCTION("""COMPUTED_VALUE"""),5089.0)</f>
        <v>5089</v>
      </c>
      <c r="B5091" s="87" t="str">
        <f>IFERROR(__xludf.DUMMYFUNCTION("""COMPUTED_VALUE"""),"[Nhãn]")</f>
        <v>[Nhãn]</v>
      </c>
      <c r="C5091" s="87" t="str">
        <f>IFERROR(__xludf.DUMMYFUNCTION("""COMPUTED_VALUE"""),"NHG4275")</f>
        <v>NHG4275</v>
      </c>
      <c r="D5091" s="87" t="str">
        <f>IFERROR(__xludf.DUMMYFUNCTION("""COMPUTED_VALUE"""),"[Nhãn] GC - IV - 4275 - Cty Hóa Nông Shino - OC 666 (Nước nâu đen) - 450ml - 30")</f>
        <v>[Nhãn] GC - IV - 4275 - Cty Hóa Nông Shino - OC 666 (Nước nâu đen) - 450ml - 30</v>
      </c>
      <c r="E5091" s="87" t="str">
        <f>IFERROR(__xludf.DUMMYFUNCTION("""COMPUTED_VALUE"""),"HAIHAMEC 3.6EC")</f>
        <v>HAIHAMEC 3.6EC</v>
      </c>
      <c r="F5091" s="87" t="str">
        <f>IFERROR(__xludf.DUMMYFUNCTION("""COMPUTED_VALUE"""),"HH4275")</f>
        <v>HH4275</v>
      </c>
      <c r="G5091" s="87" t="str">
        <f>IFERROR(__xludf.DUMMYFUNCTION("""COMPUTED_VALUE"""),"GC - IV - 4275 - Cty Hóa Nông Shino - OC 666 (Nước nâu đen) - 450ml - 30")</f>
        <v>GC - IV - 4275 - Cty Hóa Nông Shino - OC 666 (Nước nâu đen) - 450ml - 30</v>
      </c>
    </row>
    <row r="5092">
      <c r="A5092" s="86">
        <f>IFERROR(__xludf.DUMMYFUNCTION("""COMPUTED_VALUE"""),5090.0)</f>
        <v>5090</v>
      </c>
      <c r="B5092" s="87" t="str">
        <f>IFERROR(__xludf.DUMMYFUNCTION("""COMPUTED_VALUE"""),"[Nhãn]")</f>
        <v>[Nhãn]</v>
      </c>
      <c r="C5092" s="87" t="str">
        <f>IFERROR(__xludf.DUMMYFUNCTION("""COMPUTED_VALUE"""),"NHG4276")</f>
        <v>NHG4276</v>
      </c>
      <c r="D5092" s="87" t="str">
        <f>IFERROR(__xludf.DUMMYFUNCTION("""COMPUTED_VALUE"""),"[Nhãn] GC - IV - 4276 - Cty Hóa Nông Shino - SHINOVIL 50 (nước hồng) - 1L - 20")</f>
        <v>[Nhãn] GC - IV - 4276 - Cty Hóa Nông Shino - SHINOVIL 50 (nước hồng) - 1L - 20</v>
      </c>
      <c r="E5092" s="87" t="str">
        <f>IFERROR(__xludf.DUMMYFUNCTION("""COMPUTED_VALUE"""),"Mekongvil 5SC")</f>
        <v>Mekongvil 5SC</v>
      </c>
      <c r="F5092" s="87" t="str">
        <f>IFERROR(__xludf.DUMMYFUNCTION("""COMPUTED_VALUE"""),"HH4276")</f>
        <v>HH4276</v>
      </c>
      <c r="G5092" s="87" t="str">
        <f>IFERROR(__xludf.DUMMYFUNCTION("""COMPUTED_VALUE"""),"GC - IV - 4276 - Cty Hóa Nông Shino - SHINOVIL 50 (nước hồng) - 1L - 20")</f>
        <v>GC - IV - 4276 - Cty Hóa Nông Shino - SHINOVIL 50 (nước hồng) - 1L - 20</v>
      </c>
    </row>
    <row r="5093">
      <c r="A5093" s="86">
        <f>IFERROR(__xludf.DUMMYFUNCTION("""COMPUTED_VALUE"""),5091.0)</f>
        <v>5091</v>
      </c>
      <c r="B5093" s="87" t="str">
        <f>IFERROR(__xludf.DUMMYFUNCTION("""COMPUTED_VALUE"""),"[Nhãn]")</f>
        <v>[Nhãn]</v>
      </c>
      <c r="C5093" s="87" t="str">
        <f>IFERROR(__xludf.DUMMYFUNCTION("""COMPUTED_VALUE"""),"NHG4101")</f>
        <v>NHG4101</v>
      </c>
      <c r="D5093" s="87" t="str">
        <f>IFERROR(__xludf.DUMMYFUNCTION("""COMPUTED_VALUE"""),"[Nhãn] GC - IV - 4101 - CTY SEN HỒNG - Mập Đòng  (Gel nâu đen) - 500ml - 40")</f>
        <v>[Nhãn] GC - IV - 4101 - CTY SEN HỒNG - Mập Đòng  (Gel nâu đen) - 500ml - 40</v>
      </c>
      <c r="E5093" s="87" t="str">
        <f>IFERROR(__xludf.DUMMYFUNCTION("""COMPUTED_VALUE"""),"Hữu Cơ PBHC Cabozinc A.B.A")</f>
        <v>Hữu Cơ PBHC Cabozinc A.B.A</v>
      </c>
      <c r="F5093" s="87" t="str">
        <f>IFERROR(__xludf.DUMMYFUNCTION("""COMPUTED_VALUE"""),"HH4101")</f>
        <v>HH4101</v>
      </c>
      <c r="G5093" s="87" t="str">
        <f>IFERROR(__xludf.DUMMYFUNCTION("""COMPUTED_VALUE"""),"GC - IV - 4101 - CTY SEN HỒNG - Mập Đòng  (Gel nâu đen) - 500ml - 40")</f>
        <v>GC - IV - 4101 - CTY SEN HỒNG - Mập Đòng  (Gel nâu đen) - 500ml - 40</v>
      </c>
    </row>
    <row r="5094">
      <c r="A5094" s="86">
        <f>IFERROR(__xludf.DUMMYFUNCTION("""COMPUTED_VALUE"""),5092.0)</f>
        <v>5092</v>
      </c>
      <c r="B5094" s="87" t="str">
        <f>IFERROR(__xludf.DUMMYFUNCTION("""COMPUTED_VALUE"""),"[Nhãn]")</f>
        <v>[Nhãn]</v>
      </c>
      <c r="C5094" s="87" t="str">
        <f>IFERROR(__xludf.DUMMYFUNCTION("""COMPUTED_VALUE"""),"NHG4106")</f>
        <v>NHG4106</v>
      </c>
      <c r="D5094" s="87" t="str">
        <f>IFERROR(__xludf.DUMMYFUNCTION("""COMPUTED_VALUE"""),"[Nhãn] GC - IV - 4106 - Cty Sen Hồng (A.Diễn) - MITOP ONE 390SC (Nước xanh bơ sữa) - 400ml - 40")</f>
        <v>[Nhãn] GC - IV - 4106 - Cty Sen Hồng (A.Diễn) - MITOP ONE 390SC (Nước xanh bơ sữa) - 400ml - 40</v>
      </c>
      <c r="E5094" s="87" t="str">
        <f>IFERROR(__xludf.DUMMYFUNCTION("""COMPUTED_VALUE"""),"MITOP ONE 390SC")</f>
        <v>MITOP ONE 390SC</v>
      </c>
      <c r="F5094" s="87" t="str">
        <f>IFERROR(__xludf.DUMMYFUNCTION("""COMPUTED_VALUE"""),"HH4106")</f>
        <v>HH4106</v>
      </c>
      <c r="G5094" s="87" t="str">
        <f>IFERROR(__xludf.DUMMYFUNCTION("""COMPUTED_VALUE"""),"GC - IV - 4106 - Cty Sen Hồng (A.Diễn) - MITOP ONE 390SC (Nước xanh bơ sữa) - 400ml - 40")</f>
        <v>GC - IV - 4106 - Cty Sen Hồng (A.Diễn) - MITOP ONE 390SC (Nước xanh bơ sữa) - 400ml - 40</v>
      </c>
    </row>
    <row r="5095">
      <c r="A5095" s="86">
        <f>IFERROR(__xludf.DUMMYFUNCTION("""COMPUTED_VALUE"""),5093.0)</f>
        <v>5093</v>
      </c>
      <c r="B5095" s="87" t="str">
        <f>IFERROR(__xludf.DUMMYFUNCTION("""COMPUTED_VALUE"""),"[Nhãn]")</f>
        <v>[Nhãn]</v>
      </c>
      <c r="C5095" s="87" t="str">
        <f>IFERROR(__xludf.DUMMYFUNCTION("""COMPUTED_VALUE"""),"NHG4115")</f>
        <v>NHG4115</v>
      </c>
      <c r="D5095" s="87" t="str">
        <f>IFERROR(__xludf.DUMMYFUNCTION("""COMPUTED_VALUE"""),"[Nhãn] GC - IV - 4115 - A.Diễn Cty Sen Hồng - MUOIHANH SH (nước đỏ) - 450ml - 40")</f>
        <v>[Nhãn] GC - IV - 4115 - A.Diễn Cty Sen Hồng - MUOIHANH SH (nước đỏ) - 450ml - 40</v>
      </c>
      <c r="E5095" s="87" t="str">
        <f>IFERROR(__xludf.DUMMYFUNCTION("""COMPUTED_VALUE"""),"PYXOATE 44EC")</f>
        <v>PYXOATE 44EC</v>
      </c>
      <c r="F5095" s="87" t="str">
        <f>IFERROR(__xludf.DUMMYFUNCTION("""COMPUTED_VALUE"""),"HH4115")</f>
        <v>HH4115</v>
      </c>
      <c r="G5095" s="87" t="str">
        <f>IFERROR(__xludf.DUMMYFUNCTION("""COMPUTED_VALUE"""),"GC - IV - 4115 - A.Diễn Cty Sen Hồng - MUOIHANH SH (nước đỏ) - 450ml - 40")</f>
        <v>GC - IV - 4115 - A.Diễn Cty Sen Hồng - MUOIHANH SH (nước đỏ) - 450ml - 40</v>
      </c>
    </row>
    <row r="5096">
      <c r="A5096" s="86">
        <f>IFERROR(__xludf.DUMMYFUNCTION("""COMPUTED_VALUE"""),5094.0)</f>
        <v>5094</v>
      </c>
      <c r="B5096" s="87" t="str">
        <f>IFERROR(__xludf.DUMMYFUNCTION("""COMPUTED_VALUE"""),"[Nhãn]")</f>
        <v>[Nhãn]</v>
      </c>
      <c r="C5096" s="87" t="str">
        <f>IFERROR(__xludf.DUMMYFUNCTION("""COMPUTED_VALUE"""),"NHG4280")</f>
        <v>NHG4280</v>
      </c>
      <c r="D5096" s="87" t="str">
        <f>IFERROR(__xludf.DUMMYFUNCTION("""COMPUTED_VALUE"""),"[Nhãn]  GC - IV - 4280 - Sen Hồng - Mekongvil 5SC (nước trắng sữa) - 1L - 20")</f>
        <v>[Nhãn]  GC - IV - 4280 - Sen Hồng - Mekongvil 5SC (nước trắng sữa) - 1L - 20</v>
      </c>
      <c r="E5096" s="87" t="str">
        <f>IFERROR(__xludf.DUMMYFUNCTION("""COMPUTED_VALUE"""),"Mekongvil 5SC")</f>
        <v>Mekongvil 5SC</v>
      </c>
      <c r="F5096" s="87" t="str">
        <f>IFERROR(__xludf.DUMMYFUNCTION("""COMPUTED_VALUE"""),"HH4280")</f>
        <v>HH4280</v>
      </c>
      <c r="G5096" s="87" t="str">
        <f>IFERROR(__xludf.DUMMYFUNCTION("""COMPUTED_VALUE"""),"GC - IV - 4280 - Sen Hồng - Mekongvil 5SC (nước trắng sữa) - 1L - 20")</f>
        <v>GC - IV - 4280 - Sen Hồng - Mekongvil 5SC (nước trắng sữa) - 1L - 20</v>
      </c>
    </row>
    <row r="5097">
      <c r="A5097" s="86">
        <f>IFERROR(__xludf.DUMMYFUNCTION("""COMPUTED_VALUE"""),5095.0)</f>
        <v>5095</v>
      </c>
      <c r="B5097" s="87" t="str">
        <f>IFERROR(__xludf.DUMMYFUNCTION("""COMPUTED_VALUE"""),"[Nhãn]")</f>
        <v>[Nhãn]</v>
      </c>
      <c r="C5097" s="87" t="str">
        <f>IFERROR(__xludf.DUMMYFUNCTION("""COMPUTED_VALUE"""),"NDT3813")</f>
        <v>NDT3813</v>
      </c>
      <c r="D5097" s="87" t="str">
        <f>IFERROR(__xludf.DUMMYFUNCTION("""COMPUTED_VALUE"""),"[Nhãn] GC - IV - 3813 - Cty Newtex - MANCO-NT (Bột xanh) - 1kg - 20")</f>
        <v>[Nhãn] GC - IV - 3813 - Cty Newtex - MANCO-NT (Bột xanh) - 1kg - 20</v>
      </c>
      <c r="E5097" s="87" t="str">
        <f>IFERROR(__xludf.DUMMYFUNCTION("""COMPUTED_VALUE"""),"MANCOBGO 80WP")</f>
        <v>MANCOBGO 80WP</v>
      </c>
      <c r="F5097" s="87" t="str">
        <f>IFERROR(__xludf.DUMMYFUNCTION("""COMPUTED_VALUE"""),"HH3813")</f>
        <v>HH3813</v>
      </c>
      <c r="G5097" s="87" t="str">
        <f>IFERROR(__xludf.DUMMYFUNCTION("""COMPUTED_VALUE"""),"GC - IV - 3813 - Cty Newtex - MANCO-NT (Bột xanh) - 1kg - 20")</f>
        <v>GC - IV - 3813 - Cty Newtex - MANCO-NT (Bột xanh) - 1kg - 20</v>
      </c>
    </row>
    <row r="5098">
      <c r="A5098" s="86">
        <f>IFERROR(__xludf.DUMMYFUNCTION("""COMPUTED_VALUE"""),5096.0)</f>
        <v>5096</v>
      </c>
      <c r="B5098" s="87" t="str">
        <f>IFERROR(__xludf.DUMMYFUNCTION("""COMPUTED_VALUE"""),"[Nhãn]")</f>
        <v>[Nhãn]</v>
      </c>
      <c r="C5098" s="87" t="str">
        <f>IFERROR(__xludf.DUMMYFUNCTION("""COMPUTED_VALUE"""),"NHG4100")</f>
        <v>NHG4100</v>
      </c>
      <c r="D5098" s="87" t="str">
        <f>IFERROR(__xludf.DUMMYFUNCTION("""COMPUTED_VALUE"""),"[Nhãn] GC - IV - 4100 - Cty Sen Hồng (A.Diễn) - CỨNG CÂY 4.0 (Nước nâu đen) - 400ml - 30")</f>
        <v>[Nhãn] GC - IV - 4100 - Cty Sen Hồng (A.Diễn) - CỨNG CÂY 4.0 (Nước nâu đen) - 400ml - 30</v>
      </c>
      <c r="E5098" s="87" t="str">
        <f>IFERROR(__xludf.DUMMYFUNCTION("""COMPUTED_VALUE"""),"Vi Lượng G.A 05")</f>
        <v>Vi Lượng G.A 05</v>
      </c>
      <c r="F5098" s="87" t="str">
        <f>IFERROR(__xludf.DUMMYFUNCTION("""COMPUTED_VALUE"""),"HH4100")</f>
        <v>HH4100</v>
      </c>
      <c r="G5098" s="87" t="str">
        <f>IFERROR(__xludf.DUMMYFUNCTION("""COMPUTED_VALUE"""),"GC - IV - 4100 - Cty Sen Hồng (A.Diễn) - CỨNG CÂY 4.0 (Nước nâu đen) - 400ml - 30")</f>
        <v>GC - IV - 4100 - Cty Sen Hồng (A.Diễn) - CỨNG CÂY 4.0 (Nước nâu đen) - 400ml - 30</v>
      </c>
    </row>
    <row r="5099">
      <c r="A5099" s="86">
        <f>IFERROR(__xludf.DUMMYFUNCTION("""COMPUTED_VALUE"""),5097.0)</f>
        <v>5097</v>
      </c>
      <c r="B5099" s="87" t="str">
        <f>IFERROR(__xludf.DUMMYFUNCTION("""COMPUTED_VALUE"""),"[Nhãn]")</f>
        <v>[Nhãn]</v>
      </c>
      <c r="C5099" s="87" t="str">
        <f>IFERROR(__xludf.DUMMYFUNCTION("""COMPUTED_VALUE"""),"NHG4218")</f>
        <v>NHG4218</v>
      </c>
      <c r="D5099" s="87" t="str">
        <f>IFERROR(__xludf.DUMMYFUNCTION("""COMPUTED_VALUE"""),"[Nhãn] GC - IV - 4218 - Cty Sen Hồng (A.Diễn) - VÔ GẠO SH.D87 (Nước trắng ngà) - 500ml - 40")</f>
        <v>[Nhãn] GC - IV - 4218 - Cty Sen Hồng (A.Diễn) - VÔ GẠO SH.D87 (Nước trắng ngà) - 500ml - 40</v>
      </c>
      <c r="E5099" s="87" t="str">
        <f>IFERROR(__xludf.DUMMYFUNCTION("""COMPUTED_VALUE"""),"HỖN HỢP NPK AGAMA-SRH")</f>
        <v>HỖN HỢP NPK AGAMA-SRH</v>
      </c>
      <c r="F5099" s="87" t="str">
        <f>IFERROR(__xludf.DUMMYFUNCTION("""COMPUTED_VALUE"""),"HH4218")</f>
        <v>HH4218</v>
      </c>
      <c r="G5099" s="87" t="str">
        <f>IFERROR(__xludf.DUMMYFUNCTION("""COMPUTED_VALUE"""),"GC - IV - 4218 - Cty Sen Hồng (A.Diễn) - VÔ GẠO SH.D87 (Nước trắng ngà) - 500ml - 40")</f>
        <v>GC - IV - 4218 - Cty Sen Hồng (A.Diễn) - VÔ GẠO SH.D87 (Nước trắng ngà) - 500ml - 40</v>
      </c>
    </row>
    <row r="5100">
      <c r="A5100" s="86">
        <f>IFERROR(__xludf.DUMMYFUNCTION("""COMPUTED_VALUE"""),5098.0)</f>
        <v>5098</v>
      </c>
      <c r="B5100" s="87" t="str">
        <f>IFERROR(__xludf.DUMMYFUNCTION("""COMPUTED_VALUE"""),"[Nhãn]")</f>
        <v>[Nhãn]</v>
      </c>
      <c r="C5100" s="87" t="str">
        <f>IFERROR(__xludf.DUMMYFUNCTION("""COMPUTED_VALUE"""),"NHG4099")</f>
        <v>NHG4099</v>
      </c>
      <c r="D5100" s="87" t="str">
        <f>IFERROR(__xludf.DUMMYFUNCTION("""COMPUTED_VALUE"""),"[Nhãn]  GC - IV - 4099 - Cty Sen Hồng (A.Diễn) - Combi Extra (Nước xanh ngọc) - 500ml - 40")</f>
        <v>[Nhãn]  GC - IV - 4099 - Cty Sen Hồng (A.Diễn) - Combi Extra (Nước xanh ngọc) - 500ml - 40</v>
      </c>
      <c r="E5100" s="87" t="str">
        <f>IFERROR(__xludf.DUMMYFUNCTION("""COMPUTED_VALUE"""),"vi lượng Phú Sĩ FJ-09 Kẽm Mg")</f>
        <v>vi lượng Phú Sĩ FJ-09 Kẽm Mg</v>
      </c>
      <c r="F5100" s="87" t="str">
        <f>IFERROR(__xludf.DUMMYFUNCTION("""COMPUTED_VALUE"""),"HH4099")</f>
        <v>HH4099</v>
      </c>
      <c r="G5100" s="87" t="str">
        <f>IFERROR(__xludf.DUMMYFUNCTION("""COMPUTED_VALUE"""),"GC - IV - 4099 - Cty Sen Hồng (A.Diễn) - Combi Extra (Nước xanh ngọc) - 500ml - 40")</f>
        <v>GC - IV - 4099 - Cty Sen Hồng (A.Diễn) - Combi Extra (Nước xanh ngọc) - 500ml - 40</v>
      </c>
    </row>
    <row r="5101">
      <c r="A5101" s="86">
        <f>IFERROR(__xludf.DUMMYFUNCTION("""COMPUTED_VALUE"""),5099.0)</f>
        <v>5099</v>
      </c>
      <c r="B5101" s="87" t="str">
        <f>IFERROR(__xludf.DUMMYFUNCTION("""COMPUTED_VALUE"""),"[Nhãn]")</f>
        <v>[Nhãn]</v>
      </c>
      <c r="C5101" s="87" t="str">
        <f>IFERROR(__xludf.DUMMYFUNCTION("""COMPUTED_VALUE"""),"NHG4219")</f>
        <v>NHG4219</v>
      </c>
      <c r="D5101" s="87" t="str">
        <f>IFERROR(__xludf.DUMMYFUNCTION("""COMPUTED_VALUE"""),"[Nhãn] GC - IV - 4219 - Cty Sen Hồng - ROOT+ (Gel xanh dương) - 500ml - 40")</f>
        <v>[Nhãn] GC - IV - 4219 - Cty Sen Hồng - ROOT+ (Gel xanh dương) - 500ml - 40</v>
      </c>
      <c r="E5101" s="87" t="str">
        <f>IFERROR(__xludf.DUMMYFUNCTION("""COMPUTED_VALUE"""),"Hỗn Hợp NP AGAMA-AP")</f>
        <v>Hỗn Hợp NP AGAMA-AP</v>
      </c>
      <c r="F5101" s="87" t="str">
        <f>IFERROR(__xludf.DUMMYFUNCTION("""COMPUTED_VALUE"""),"HH4219")</f>
        <v>HH4219</v>
      </c>
      <c r="G5101" s="87" t="str">
        <f>IFERROR(__xludf.DUMMYFUNCTION("""COMPUTED_VALUE"""),"GC - IV - 4219 - Cty Sen Hồng - ROOT+ (Gel xanh dương) - 500ml - 40")</f>
        <v>GC - IV - 4219 - Cty Sen Hồng - ROOT+ (Gel xanh dương) - 500ml - 40</v>
      </c>
    </row>
    <row r="5102">
      <c r="A5102" s="86">
        <f>IFERROR(__xludf.DUMMYFUNCTION("""COMPUTED_VALUE"""),5100.0)</f>
        <v>5100</v>
      </c>
      <c r="B5102" s="87" t="str">
        <f>IFERROR(__xludf.DUMMYFUNCTION("""COMPUTED_VALUE"""),"[HỘP]")</f>
        <v>[HỘP]</v>
      </c>
      <c r="C5102" s="87" t="str">
        <f>IFERROR(__xludf.DUMMYFUNCTION("""COMPUTED_VALUE"""),"HOP4079")</f>
        <v>HOP4079</v>
      </c>
      <c r="D5102" s="87" t="str">
        <f>IFERROR(__xludf.DUMMYFUNCTION("""COMPUTED_VALUE"""),"[HỘP] GC - IV - 4079 - Cty Hóa Nông Shino - SHINONIL 450 (Nước cam sữa) - 240ml - 40")</f>
        <v>[HỘP] GC - IV - 4079 - Cty Hóa Nông Shino - SHINONIL 450 (Nước cam sữa) - 240ml - 40</v>
      </c>
      <c r="E5102" s="87" t="str">
        <f>IFERROR(__xludf.DUMMYFUNCTION("""COMPUTED_VALUE"""),"KITINI SUPER 450SC")</f>
        <v>KITINI SUPER 450SC</v>
      </c>
      <c r="F5102" s="87" t="str">
        <f>IFERROR(__xludf.DUMMYFUNCTION("""COMPUTED_VALUE"""),"HH4079")</f>
        <v>HH4079</v>
      </c>
      <c r="G5102" s="87" t="str">
        <f>IFERROR(__xludf.DUMMYFUNCTION("""COMPUTED_VALUE"""),"GC - IV - 4079 - Cty Hóa Nông Shino - SHINONIL 450 (Nước cam sữa) - 240ml - 40")</f>
        <v>GC - IV - 4079 - Cty Hóa Nông Shino - SHINONIL 450 (Nước cam sữa) - 240ml - 40</v>
      </c>
    </row>
    <row r="5103">
      <c r="A5103" s="86">
        <f>IFERROR(__xludf.DUMMYFUNCTION("""COMPUTED_VALUE"""),5101.0)</f>
        <v>5101</v>
      </c>
      <c r="B5103" s="87" t="str">
        <f>IFERROR(__xludf.DUMMYFUNCTION("""COMPUTED_VALUE"""),"[HỘP]")</f>
        <v>[HỘP]</v>
      </c>
      <c r="C5103" s="87" t="str">
        <f>IFERROR(__xludf.DUMMYFUNCTION("""COMPUTED_VALUE"""),"HOP4240")</f>
        <v>HOP4240</v>
      </c>
      <c r="D5103" s="87" t="str">
        <f>IFERROR(__xludf.DUMMYFUNCTION("""COMPUTED_VALUE"""),"[HỘP] GC - IV - 4240 - Cty Hóa Nông Shino - VUA ĐẠO ÔN (Nước cam sữa) - 240ml - 40")</f>
        <v>[HỘP] GC - IV - 4240 - Cty Hóa Nông Shino - VUA ĐẠO ÔN (Nước cam sữa) - 240ml - 40</v>
      </c>
      <c r="E5103" s="87" t="str">
        <f>IFERROR(__xludf.DUMMYFUNCTION("""COMPUTED_VALUE"""),"KITINI SUPER 450SC")</f>
        <v>KITINI SUPER 450SC</v>
      </c>
      <c r="F5103" s="87" t="str">
        <f>IFERROR(__xludf.DUMMYFUNCTION("""COMPUTED_VALUE"""),"HH4240")</f>
        <v>HH4240</v>
      </c>
      <c r="G5103" s="87" t="str">
        <f>IFERROR(__xludf.DUMMYFUNCTION("""COMPUTED_VALUE"""),"GC - IV - 4240 - Cty Hóa Nông Shino - VUA ĐẠO ÔN (Nước cam sữa) - 240ml - 40")</f>
        <v>GC - IV - 4240 - Cty Hóa Nông Shino - VUA ĐẠO ÔN (Nước cam sữa) - 240ml - 40</v>
      </c>
    </row>
    <row r="5104">
      <c r="A5104" s="86">
        <f>IFERROR(__xludf.DUMMYFUNCTION("""COMPUTED_VALUE"""),5102.0)</f>
        <v>5102</v>
      </c>
      <c r="B5104" s="87" t="str">
        <f>IFERROR(__xludf.DUMMYFUNCTION("""COMPUTED_VALUE"""),"[Nhãn]")</f>
        <v>[Nhãn]</v>
      </c>
      <c r="C5104" s="87" t="str">
        <f>IFERROR(__xludf.DUMMYFUNCTION("""COMPUTED_VALUE"""),"NHD4216")</f>
        <v>NHD4216</v>
      </c>
      <c r="D5104" s="87" t="str">
        <f>IFERROR(__xludf.DUMMYFUNCTION("""COMPUTED_VALUE"""),"[Nhãn] IDA Global - I - 4216 - ABASBA 50EC (Nước tím) - 450ml - 40")</f>
        <v>[Nhãn] IDA Global - I - 4216 - ABASBA 50EC (Nước tím) - 450ml - 40</v>
      </c>
      <c r="E5104" s="87" t="str">
        <f>IFERROR(__xludf.DUMMYFUNCTION("""COMPUTED_VALUE"""),"ABASBA 50EC")</f>
        <v>ABASBA 50EC</v>
      </c>
      <c r="F5104" s="87" t="str">
        <f>IFERROR(__xludf.DUMMYFUNCTION("""COMPUTED_VALUE"""),"HH4216")</f>
        <v>HH4216</v>
      </c>
      <c r="G5104" s="87" t="str">
        <f>IFERROR(__xludf.DUMMYFUNCTION("""COMPUTED_VALUE"""),"IDA Global - I - 4216 - ABASBA 50EC (Nước tím) - 450ml - 40")</f>
        <v>IDA Global - I - 4216 - ABASBA 50EC (Nước tím) - 450ml - 40</v>
      </c>
    </row>
    <row r="5105">
      <c r="A5105" s="86">
        <f>IFERROR(__xludf.DUMMYFUNCTION("""COMPUTED_VALUE"""),5103.0)</f>
        <v>5103</v>
      </c>
      <c r="B5105" s="87" t="str">
        <f>IFERROR(__xludf.DUMMYFUNCTION("""COMPUTED_VALUE"""),"[Nhãn thùng]")</f>
        <v>[Nhãn thùng]</v>
      </c>
      <c r="C5105" s="87" t="str">
        <f>IFERROR(__xludf.DUMMYFUNCTION("""COMPUTED_VALUE"""),"NDT4216")</f>
        <v>NDT4216</v>
      </c>
      <c r="D5105" s="87" t="str">
        <f>IFERROR(__xludf.DUMMYFUNCTION("""COMPUTED_VALUE"""),"[Nhãn thùng] IDA Global - I - 4216 - ABASBA 50EC (Nước tím) - 450ml - 40")</f>
        <v>[Nhãn thùng] IDA Global - I - 4216 - ABASBA 50EC (Nước tím) - 450ml - 40</v>
      </c>
      <c r="E5105" s="87" t="str">
        <f>IFERROR(__xludf.DUMMYFUNCTION("""COMPUTED_VALUE"""),"ABASBA 50EC")</f>
        <v>ABASBA 50EC</v>
      </c>
      <c r="F5105" s="87" t="str">
        <f>IFERROR(__xludf.DUMMYFUNCTION("""COMPUTED_VALUE"""),"HH4216")</f>
        <v>HH4216</v>
      </c>
      <c r="G5105" s="87" t="str">
        <f>IFERROR(__xludf.DUMMYFUNCTION("""COMPUTED_VALUE"""),"IDA Global - I - 4216 - ABASBA 50EC (Nước tím) - 450ml - 40")</f>
        <v>IDA Global - I - 4216 - ABASBA 50EC (Nước tím) - 450ml - 40</v>
      </c>
    </row>
    <row r="5106">
      <c r="A5106" s="86">
        <f>IFERROR(__xludf.DUMMYFUNCTION("""COMPUTED_VALUE"""),5104.0)</f>
        <v>5104</v>
      </c>
      <c r="B5106" s="87" t="str">
        <f>IFERROR(__xludf.DUMMYFUNCTION("""COMPUTED_VALUE"""),"[Nhãn]")</f>
        <v>[Nhãn]</v>
      </c>
      <c r="C5106" s="87" t="str">
        <f>IFERROR(__xludf.DUMMYFUNCTION("""COMPUTED_VALUE"""),"NHG4286")</f>
        <v>NHG4286</v>
      </c>
      <c r="D5106" s="87" t="str">
        <f>IFERROR(__xludf.DUMMYFUNCTION("""COMPUTED_VALUE"""),"[Nhãn] LOT IDA - I - 4286 - CHITIN 3.6EC MỚI (nước nâu đen) - 450ml - 40")</f>
        <v>[Nhãn] LOT IDA - I - 4286 - CHITIN 3.6EC MỚI (nước nâu đen) - 450ml - 40</v>
      </c>
      <c r="E5106" s="87" t="str">
        <f>IFERROR(__xludf.DUMMYFUNCTION("""COMPUTED_VALUE"""),"Chitin 3.6EC")</f>
        <v>Chitin 3.6EC</v>
      </c>
      <c r="F5106" s="87" t="str">
        <f>IFERROR(__xludf.DUMMYFUNCTION("""COMPUTED_VALUE"""),"HH4286")</f>
        <v>HH4286</v>
      </c>
      <c r="G5106" s="87" t="str">
        <f>IFERROR(__xludf.DUMMYFUNCTION("""COMPUTED_VALUE"""),"LOT IDA - I - 4286 - CHITIN 3.6EC MỚI (nước nâu đen) - 450ml - 40")</f>
        <v>LOT IDA - I - 4286 - CHITIN 3.6EC MỚI (nước nâu đen) - 450ml - 40</v>
      </c>
    </row>
    <row r="5107">
      <c r="A5107" s="86">
        <f>IFERROR(__xludf.DUMMYFUNCTION("""COMPUTED_VALUE"""),5105.0)</f>
        <v>5105</v>
      </c>
      <c r="B5107" s="87" t="str">
        <f>IFERROR(__xludf.DUMMYFUNCTION("""COMPUTED_VALUE"""),"[Nhãn]")</f>
        <v>[Nhãn]</v>
      </c>
      <c r="C5107" s="87" t="str">
        <f>IFERROR(__xludf.DUMMYFUNCTION("""COMPUTED_VALUE"""),"NHD4281")</f>
        <v>NHD4281</v>
      </c>
      <c r="D5107" s="87" t="str">
        <f>IFERROR(__xludf.DUMMYFUNCTION("""COMPUTED_VALUE"""),"[Nhãn] LOT IDA Global - I - 4281 - ĐL Trịnh Thến - Sư Tử Gold (Nước nâu đen) - 450ml - 40")</f>
        <v>[Nhãn] LOT IDA Global - I - 4281 - ĐL Trịnh Thến - Sư Tử Gold (Nước nâu đen) - 450ml - 40</v>
      </c>
      <c r="E5107" s="87" t="str">
        <f>IFERROR(__xludf.DUMMYFUNCTION("""COMPUTED_VALUE"""),"Chitin 3.6EC")</f>
        <v>Chitin 3.6EC</v>
      </c>
      <c r="F5107" s="87" t="str">
        <f>IFERROR(__xludf.DUMMYFUNCTION("""COMPUTED_VALUE"""),"HH4281")</f>
        <v>HH4281</v>
      </c>
      <c r="G5107" s="87" t="str">
        <f>IFERROR(__xludf.DUMMYFUNCTION("""COMPUTED_VALUE"""),"LOT IDA Global - I - 4281 - ĐL Trịnh Thến - Sư Tử Gold (Nước nâu đen) - 450ml - 40")</f>
        <v>LOT IDA Global - I - 4281 - ĐL Trịnh Thến - Sư Tử Gold (Nước nâu đen) - 450ml - 40</v>
      </c>
    </row>
    <row r="5108">
      <c r="A5108" s="86">
        <f>IFERROR(__xludf.DUMMYFUNCTION("""COMPUTED_VALUE"""),5106.0)</f>
        <v>5106</v>
      </c>
      <c r="B5108" s="87" t="str">
        <f>IFERROR(__xludf.DUMMYFUNCTION("""COMPUTED_VALUE"""),"[Nhãn thùng]")</f>
        <v>[Nhãn thùng]</v>
      </c>
      <c r="C5108" s="87" t="str">
        <f>IFERROR(__xludf.DUMMYFUNCTION("""COMPUTED_VALUE"""),"NDT4281")</f>
        <v>NDT4281</v>
      </c>
      <c r="D5108" s="87" t="str">
        <f>IFERROR(__xludf.DUMMYFUNCTION("""COMPUTED_VALUE"""),"[Nhãn thùng] LOT IDA Global - I - 4281 - ĐL Trịnh Thến - Sư Tử Gold (Nước nâu đen) - 450ml - 40")</f>
        <v>[Nhãn thùng] LOT IDA Global - I - 4281 - ĐL Trịnh Thến - Sư Tử Gold (Nước nâu đen) - 450ml - 40</v>
      </c>
      <c r="E5108" s="87" t="str">
        <f>IFERROR(__xludf.DUMMYFUNCTION("""COMPUTED_VALUE"""),"Chitin 3.6EC")</f>
        <v>Chitin 3.6EC</v>
      </c>
      <c r="F5108" s="87" t="str">
        <f>IFERROR(__xludf.DUMMYFUNCTION("""COMPUTED_VALUE"""),"HH4281")</f>
        <v>HH4281</v>
      </c>
      <c r="G5108" s="87" t="str">
        <f>IFERROR(__xludf.DUMMYFUNCTION("""COMPUTED_VALUE"""),"LOT IDA Global - I - 4281 - ĐL Trịnh Thến - Sư Tử Gold (Nước nâu đen) - 450ml - 40")</f>
        <v>LOT IDA Global - I - 4281 - ĐL Trịnh Thến - Sư Tử Gold (Nước nâu đen) - 450ml - 40</v>
      </c>
    </row>
    <row r="5109">
      <c r="A5109" s="86">
        <f>IFERROR(__xludf.DUMMYFUNCTION("""COMPUTED_VALUE"""),5107.0)</f>
        <v>5107</v>
      </c>
      <c r="B5109" s="87" t="str">
        <f>IFERROR(__xludf.DUMMYFUNCTION("""COMPUTED_VALUE"""),"[Nhãn]")</f>
        <v>[Nhãn]</v>
      </c>
      <c r="C5109" s="87" t="str">
        <f>IFERROR(__xludf.DUMMYFUNCTION("""COMPUTED_VALUE"""),"NHG4273")</f>
        <v>NHG4273</v>
      </c>
      <c r="D5109" s="87" t="str">
        <f>IFERROR(__xludf.DUMMYFUNCTION("""COMPUTED_VALUE"""),"[Nhãn] GC - IV - 4273 - Cty Thành Công Agri - MASTER STOP (nước nâu đen V2) - 1L - 20")</f>
        <v>[Nhãn] GC - IV - 4273 - Cty Thành Công Agri - MASTER STOP (nước nâu đen V2) - 1L - 20</v>
      </c>
      <c r="E5109" s="87" t="str">
        <f>IFERROR(__xludf.DUMMYFUNCTION("""COMPUTED_VALUE"""),"Vi Lượng G.A 05")</f>
        <v>Vi Lượng G.A 05</v>
      </c>
      <c r="F5109" s="87" t="str">
        <f>IFERROR(__xludf.DUMMYFUNCTION("""COMPUTED_VALUE"""),"HH4273")</f>
        <v>HH4273</v>
      </c>
      <c r="G5109" s="87" t="str">
        <f>IFERROR(__xludf.DUMMYFUNCTION("""COMPUTED_VALUE"""),"GC - IV - 4273 - Cty Thành Công Agri - MASTER STOP (nước nâu đen V2) - 1L - 20")</f>
        <v>GC - IV - 4273 - Cty Thành Công Agri - MASTER STOP (nước nâu đen V2) - 1L - 20</v>
      </c>
    </row>
    <row r="5110">
      <c r="A5110" s="86">
        <f>IFERROR(__xludf.DUMMYFUNCTION("""COMPUTED_VALUE"""),5108.0)</f>
        <v>5108</v>
      </c>
      <c r="B5110" s="87" t="str">
        <f>IFERROR(__xludf.DUMMYFUNCTION("""COMPUTED_VALUE"""),"[Nhãn]")</f>
        <v>[Nhãn]</v>
      </c>
      <c r="C5110" s="87" t="str">
        <f>IFERROR(__xludf.DUMMYFUNCTION("""COMPUTED_VALUE"""),"NHG4297")</f>
        <v>NHG4297</v>
      </c>
      <c r="D5110" s="87" t="str">
        <f>IFERROR(__xludf.DUMMYFUNCTION("""COMPUTED_VALUE"""),"[Nhãn] GC - IV - 4297 - CTY NAUY - CỨNG CÂY NAUY (Nước nâu đen) - 500ml - 40")</f>
        <v>[Nhãn] GC - IV - 4297 - CTY NAUY - CỨNG CÂY NAUY (Nước nâu đen) - 500ml - 40</v>
      </c>
      <c r="E5110" s="87" t="str">
        <f>IFERROR(__xludf.DUMMYFUNCTION("""COMPUTED_VALUE"""),"Hữu Cơ Crops Care")</f>
        <v>Hữu Cơ Crops Care</v>
      </c>
      <c r="F5110" s="87" t="str">
        <f>IFERROR(__xludf.DUMMYFUNCTION("""COMPUTED_VALUE"""),"HH4297")</f>
        <v>HH4297</v>
      </c>
      <c r="G5110" s="87" t="str">
        <f>IFERROR(__xludf.DUMMYFUNCTION("""COMPUTED_VALUE"""),"GC - IV - 4297 - CTY NAUY - CỨNG CÂY NAUY (Nước nâu đen) - 500ml - 40")</f>
        <v>GC - IV - 4297 - CTY NAUY - CỨNG CÂY NAUY (Nước nâu đen) - 500ml - 40</v>
      </c>
    </row>
    <row r="5111">
      <c r="A5111" s="86">
        <f>IFERROR(__xludf.DUMMYFUNCTION("""COMPUTED_VALUE"""),5109.0)</f>
        <v>5109</v>
      </c>
      <c r="B5111" s="87" t="str">
        <f>IFERROR(__xludf.DUMMYFUNCTION("""COMPUTED_VALUE"""),"[Nhãn]")</f>
        <v>[Nhãn]</v>
      </c>
      <c r="C5111" s="87" t="str">
        <f>IFERROR(__xludf.DUMMYFUNCTION("""COMPUTED_VALUE"""),"NTN4292")</f>
        <v>NTN4292</v>
      </c>
      <c r="D5111" s="87" t="str">
        <f>IFERROR(__xludf.DUMMYFUNCTION("""COMPUTED_VALUE"""),"[Nhãn] GC - IV - 4292 - CTY PHÚC THÀNH AGRI - KHUẨN KÉP (Bột trắng ngà) - 50gr - 200")</f>
        <v>[Nhãn] GC - IV - 4292 - CTY PHÚC THÀNH AGRI - KHUẨN KÉP (Bột trắng ngà) - 50gr - 200</v>
      </c>
      <c r="E5111" s="87" t="str">
        <f>IFERROR(__xludf.DUMMYFUNCTION("""COMPUTED_VALUE"""),"NIKASU 100WP")</f>
        <v>NIKASU 100WP</v>
      </c>
      <c r="F5111" s="87" t="str">
        <f>IFERROR(__xludf.DUMMYFUNCTION("""COMPUTED_VALUE"""),"HH4292")</f>
        <v>HH4292</v>
      </c>
      <c r="G5111" s="87" t="str">
        <f>IFERROR(__xludf.DUMMYFUNCTION("""COMPUTED_VALUE"""),"GC - IV - 4292 - CTY PHÚC THÀNH AGRI - KHUẨN KÉP (Bột trắng ngà) - 50gr - 200")</f>
        <v>GC - IV - 4292 - CTY PHÚC THÀNH AGRI - KHUẨN KÉP (Bột trắng ngà) - 50gr - 200</v>
      </c>
    </row>
    <row r="5112">
      <c r="A5112" s="86">
        <f>IFERROR(__xludf.DUMMYFUNCTION("""COMPUTED_VALUE"""),5110.0)</f>
        <v>5110</v>
      </c>
      <c r="B5112" s="87" t="str">
        <f>IFERROR(__xludf.DUMMYFUNCTION("""COMPUTED_VALUE"""),"[Nhãn thùng]")</f>
        <v>[Nhãn thùng]</v>
      </c>
      <c r="C5112" s="87" t="str">
        <f>IFERROR(__xludf.DUMMYFUNCTION("""COMPUTED_VALUE"""),"NDT4292")</f>
        <v>NDT4292</v>
      </c>
      <c r="D5112" s="87" t="str">
        <f>IFERROR(__xludf.DUMMYFUNCTION("""COMPUTED_VALUE"""),"[Nhãn thùng] GC - IV - 4292 - CTY PHÚC THÀNH AGRI - KHUẨN KÉP (Bột trắng ngà) - 50gr - 200")</f>
        <v>[Nhãn thùng] GC - IV - 4292 - CTY PHÚC THÀNH AGRI - KHUẨN KÉP (Bột trắng ngà) - 50gr - 200</v>
      </c>
      <c r="E5112" s="87" t="str">
        <f>IFERROR(__xludf.DUMMYFUNCTION("""COMPUTED_VALUE"""),"NIKASU 100WP")</f>
        <v>NIKASU 100WP</v>
      </c>
      <c r="F5112" s="87" t="str">
        <f>IFERROR(__xludf.DUMMYFUNCTION("""COMPUTED_VALUE"""),"HH4292")</f>
        <v>HH4292</v>
      </c>
      <c r="G5112" s="87" t="str">
        <f>IFERROR(__xludf.DUMMYFUNCTION("""COMPUTED_VALUE"""),"GC - IV - 4292 - CTY PHÚC THÀNH AGRI - KHUẨN KÉP (Bột trắng ngà) - 50gr - 200")</f>
        <v>GC - IV - 4292 - CTY PHÚC THÀNH AGRI - KHUẨN KÉP (Bột trắng ngà) - 50gr - 200</v>
      </c>
    </row>
    <row r="5113">
      <c r="A5113" s="86">
        <f>IFERROR(__xludf.DUMMYFUNCTION("""COMPUTED_VALUE"""),5111.0)</f>
        <v>5111</v>
      </c>
      <c r="B5113" s="87" t="str">
        <f>IFERROR(__xludf.DUMMYFUNCTION("""COMPUTED_VALUE"""),"[Nhãn]")</f>
        <v>[Nhãn]</v>
      </c>
      <c r="C5113" s="87" t="str">
        <f>IFERROR(__xludf.DUMMYFUNCTION("""COMPUTED_VALUE"""),"NHG4301")</f>
        <v>NHG4301</v>
      </c>
      <c r="D5113" s="87" t="str">
        <f>IFERROR(__xludf.DUMMYFUNCTION("""COMPUTED_VALUE"""),"[Nhãn] GC - IV - 4301 - CTY GNH - Ra Rễ Nở Bụi (nước nâu đen) - 1L - 20")</f>
        <v>[Nhãn] GC - IV - 4301 - CTY GNH - Ra Rễ Nở Bụi (nước nâu đen) - 1L - 20</v>
      </c>
      <c r="E5113" s="87" t="str">
        <f>IFERROR(__xludf.DUMMYFUNCTION("""COMPUTED_VALUE"""),"Vi lượng Quantity New")</f>
        <v>Vi lượng Quantity New</v>
      </c>
      <c r="F5113" s="87" t="str">
        <f>IFERROR(__xludf.DUMMYFUNCTION("""COMPUTED_VALUE"""),"HH4301")</f>
        <v>HH4301</v>
      </c>
      <c r="G5113" s="87" t="str">
        <f>IFERROR(__xludf.DUMMYFUNCTION("""COMPUTED_VALUE"""),"GC - IV - 4301 - CTY GNH - Ra Rễ Nở Bụi (nước nâu đen) - 1L - 20")</f>
        <v>GC - IV - 4301 - CTY GNH - Ra Rễ Nở Bụi (nước nâu đen) - 1L - 20</v>
      </c>
    </row>
    <row r="5114">
      <c r="A5114" s="86">
        <f>IFERROR(__xludf.DUMMYFUNCTION("""COMPUTED_VALUE"""),5112.0)</f>
        <v>5112</v>
      </c>
      <c r="B5114" s="87" t="str">
        <f>IFERROR(__xludf.DUMMYFUNCTION("""COMPUTED_VALUE"""),"[Nhãn]")</f>
        <v>[Nhãn]</v>
      </c>
      <c r="C5114" s="87" t="str">
        <f>IFERROR(__xludf.DUMMYFUNCTION("""COMPUTED_VALUE"""),"NHG4298")</f>
        <v>NHG4298</v>
      </c>
      <c r="D5114" s="87" t="str">
        <f>IFERROR(__xludf.DUMMYFUNCTION("""COMPUTED_VALUE"""),"[Nhãn] IDA Global - I - 4298 - DIFEGGO 42SC (Nước trắng sữa) - 120ml - 100")</f>
        <v>[Nhãn] IDA Global - I - 4298 - DIFEGGO 42SC (Nước trắng sữa) - 120ml - 100</v>
      </c>
      <c r="E5114" s="87" t="str">
        <f>IFERROR(__xludf.DUMMYFUNCTION("""COMPUTED_VALUE"""),"DIFEGGO 42SC")</f>
        <v>DIFEGGO 42SC</v>
      </c>
      <c r="F5114" s="87" t="str">
        <f>IFERROR(__xludf.DUMMYFUNCTION("""COMPUTED_VALUE"""),"HH4298")</f>
        <v>HH4298</v>
      </c>
      <c r="G5114" s="87" t="str">
        <f>IFERROR(__xludf.DUMMYFUNCTION("""COMPUTED_VALUE"""),"IDA Global - I - 4298 - DIFEGGO 42SC (Nước trắng sữa) - 120ml - 100")</f>
        <v>IDA Global - I - 4298 - DIFEGGO 42SC (Nước trắng sữa) - 120ml - 100</v>
      </c>
    </row>
    <row r="5115">
      <c r="A5115" s="86">
        <f>IFERROR(__xludf.DUMMYFUNCTION("""COMPUTED_VALUE"""),5113.0)</f>
        <v>5113</v>
      </c>
      <c r="B5115" s="87" t="str">
        <f>IFERROR(__xludf.DUMMYFUNCTION("""COMPUTED_VALUE"""),"[Nhãn]")</f>
        <v>[Nhãn]</v>
      </c>
      <c r="C5115" s="87" t="str">
        <f>IFERROR(__xludf.DUMMYFUNCTION("""COMPUTED_VALUE"""),"NHD4282")</f>
        <v>NHD4282</v>
      </c>
      <c r="D5115" s="87" t="str">
        <f>IFERROR(__xludf.DUMMYFUNCTION("""COMPUTED_VALUE"""),"[Nhãn] LOT IDA Global - I - 4282 - ĐL Tập Hưng - CỌP CON (Nước nâu đen) - 450ml - 40")</f>
        <v>[Nhãn] LOT IDA Global - I - 4282 - ĐL Tập Hưng - CỌP CON (Nước nâu đen) - 450ml - 40</v>
      </c>
      <c r="E5115" s="87" t="str">
        <f>IFERROR(__xludf.DUMMYFUNCTION("""COMPUTED_VALUE"""),"Chitin 3.6EC")</f>
        <v>Chitin 3.6EC</v>
      </c>
      <c r="F5115" s="87" t="str">
        <f>IFERROR(__xludf.DUMMYFUNCTION("""COMPUTED_VALUE"""),"HH4282")</f>
        <v>HH4282</v>
      </c>
      <c r="G5115" s="87" t="str">
        <f>IFERROR(__xludf.DUMMYFUNCTION("""COMPUTED_VALUE"""),"LOT IDA Global - I - 4282 - ĐL Tập Hưng - CỌP CON (Nước nâu đen) - 450ml - 40")</f>
        <v>LOT IDA Global - I - 4282 - ĐL Tập Hưng - CỌP CON (Nước nâu đen) - 450ml - 40</v>
      </c>
    </row>
    <row r="5116">
      <c r="A5116" s="86">
        <f>IFERROR(__xludf.DUMMYFUNCTION("""COMPUTED_VALUE"""),5114.0)</f>
        <v>5114</v>
      </c>
      <c r="B5116" s="87" t="str">
        <f>IFERROR(__xludf.DUMMYFUNCTION("""COMPUTED_VALUE"""),"[Nhãn thùng]")</f>
        <v>[Nhãn thùng]</v>
      </c>
      <c r="C5116" s="87" t="str">
        <f>IFERROR(__xludf.DUMMYFUNCTION("""COMPUTED_VALUE"""),"NDT4282")</f>
        <v>NDT4282</v>
      </c>
      <c r="D5116" s="87" t="str">
        <f>IFERROR(__xludf.DUMMYFUNCTION("""COMPUTED_VALUE"""),"[Nhãn thùng] LOT IDA Global - I - 4282 - ĐL Tập Hưng - CỌP CON (Nước nâu đen) - 450ml - 40")</f>
        <v>[Nhãn thùng] LOT IDA Global - I - 4282 - ĐL Tập Hưng - CỌP CON (Nước nâu đen) - 450ml - 40</v>
      </c>
      <c r="E5116" s="87" t="str">
        <f>IFERROR(__xludf.DUMMYFUNCTION("""COMPUTED_VALUE"""),"Chitin 3.6EC")</f>
        <v>Chitin 3.6EC</v>
      </c>
      <c r="F5116" s="87" t="str">
        <f>IFERROR(__xludf.DUMMYFUNCTION("""COMPUTED_VALUE"""),"HH4282")</f>
        <v>HH4282</v>
      </c>
      <c r="G5116" s="87" t="str">
        <f>IFERROR(__xludf.DUMMYFUNCTION("""COMPUTED_VALUE"""),"LOT IDA Global - I - 4282 - ĐL Tập Hưng - CỌP CON (Nước nâu đen) - 450ml - 40")</f>
        <v>LOT IDA Global - I - 4282 - ĐL Tập Hưng - CỌP CON (Nước nâu đen) - 450ml - 40</v>
      </c>
    </row>
    <row r="5117">
      <c r="A5117" s="86">
        <f>IFERROR(__xludf.DUMMYFUNCTION("""COMPUTED_VALUE"""),5115.0)</f>
        <v>5115</v>
      </c>
      <c r="B5117" s="87" t="str">
        <f>IFERROR(__xludf.DUMMYFUNCTION("""COMPUTED_VALUE"""),"[Nhãn]")</f>
        <v>[Nhãn]</v>
      </c>
      <c r="C5117" s="87" t="str">
        <f>IFERROR(__xludf.DUMMYFUNCTION("""COMPUTED_VALUE"""),"NHG4302")</f>
        <v>NHG4302</v>
      </c>
      <c r="D5117" s="87" t="str">
        <f>IFERROR(__xludf.DUMMYFUNCTION("""COMPUTED_VALUE"""),"[Nhãn] LOT IDA Global - I - 4302 - ĐL Lệ Hồng 1 - CHITIN 3.6EC (nước nâu đen) - 450ml - 40")</f>
        <v>[Nhãn] LOT IDA Global - I - 4302 - ĐL Lệ Hồng 1 - CHITIN 3.6EC (nước nâu đen) - 450ml - 40</v>
      </c>
      <c r="E5117" s="87" t="str">
        <f>IFERROR(__xludf.DUMMYFUNCTION("""COMPUTED_VALUE"""),"Chitin 3.6EC")</f>
        <v>Chitin 3.6EC</v>
      </c>
      <c r="F5117" s="87" t="str">
        <f>IFERROR(__xludf.DUMMYFUNCTION("""COMPUTED_VALUE"""),"HH4302")</f>
        <v>HH4302</v>
      </c>
      <c r="G5117" s="87" t="str">
        <f>IFERROR(__xludf.DUMMYFUNCTION("""COMPUTED_VALUE"""),"LOT IDA Global - I - 4302 - ĐL Lệ Hồng 1 - CHITIN 3.6EC (nước nâu đen) - 450ml - 40")</f>
        <v>LOT IDA Global - I - 4302 - ĐL Lệ Hồng 1 - CHITIN 3.6EC (nước nâu đen) - 450ml - 40</v>
      </c>
    </row>
    <row r="5118">
      <c r="A5118" s="86">
        <f>IFERROR(__xludf.DUMMYFUNCTION("""COMPUTED_VALUE"""),5116.0)</f>
        <v>5116</v>
      </c>
      <c r="B5118" s="87" t="str">
        <f>IFERROR(__xludf.DUMMYFUNCTION("""COMPUTED_VALUE"""),"[Nhãn]")</f>
        <v>[Nhãn]</v>
      </c>
      <c r="C5118" s="87" t="str">
        <f>IFERROR(__xludf.DUMMYFUNCTION("""COMPUTED_VALUE"""),"NHG4288")</f>
        <v>NHG4288</v>
      </c>
      <c r="D5118" s="87" t="str">
        <f>IFERROR(__xludf.DUMMYFUNCTION("""COMPUTED_VALUE"""),"[Nhãn] LOT IDA Global - I - 4288 - CHITIN 3.6EC (nước nâu đen) - 450ml - 40")</f>
        <v>[Nhãn] LOT IDA Global - I - 4288 - CHITIN 3.6EC (nước nâu đen) - 450ml - 40</v>
      </c>
      <c r="E5118" s="87" t="str">
        <f>IFERROR(__xludf.DUMMYFUNCTION("""COMPUTED_VALUE"""),"Chitin 3.6EC")</f>
        <v>Chitin 3.6EC</v>
      </c>
      <c r="F5118" s="87" t="str">
        <f>IFERROR(__xludf.DUMMYFUNCTION("""COMPUTED_VALUE"""),"HH4288")</f>
        <v>HH4288</v>
      </c>
      <c r="G5118" s="87" t="str">
        <f>IFERROR(__xludf.DUMMYFUNCTION("""COMPUTED_VALUE"""),"LOT IDA Global - I - 4288 - CHITIN 3.6EC (nước nâu đen) - 450ml - 40")</f>
        <v>LOT IDA Global - I - 4288 - CHITIN 3.6EC (nước nâu đen) - 450ml - 40</v>
      </c>
    </row>
    <row r="5119">
      <c r="A5119" s="86">
        <f>IFERROR(__xludf.DUMMYFUNCTION("""COMPUTED_VALUE"""),5117.0)</f>
        <v>5117</v>
      </c>
      <c r="B5119" s="87" t="str">
        <f>IFERROR(__xludf.DUMMYFUNCTION("""COMPUTED_VALUE"""),"[Nhãn]")</f>
        <v>[Nhãn]</v>
      </c>
      <c r="C5119" s="87" t="str">
        <f>IFERROR(__xludf.DUMMYFUNCTION("""COMPUTED_VALUE"""),"NHD4293")</f>
        <v>NHD4293</v>
      </c>
      <c r="D5119" s="87" t="str">
        <f>IFERROR(__xludf.DUMMYFUNCTION("""COMPUTED_VALUE"""),"[Nhãn] LOT IDA Global - I - 4293 - ĐL Phúc Nông - HỔ VƯƠNG (Pet vuông)(nắp vàng)(nước nâu đen) - 450ml - 40")</f>
        <v>[Nhãn] LOT IDA Global - I - 4293 - ĐL Phúc Nông - HỔ VƯƠNG (Pet vuông)(nắp vàng)(nước nâu đen) - 450ml - 40</v>
      </c>
      <c r="E5119" s="87" t="str">
        <f>IFERROR(__xludf.DUMMYFUNCTION("""COMPUTED_VALUE"""),"HAIHAMEC 3.6EC")</f>
        <v>HAIHAMEC 3.6EC</v>
      </c>
      <c r="F5119" s="87" t="str">
        <f>IFERROR(__xludf.DUMMYFUNCTION("""COMPUTED_VALUE"""),"HH4293")</f>
        <v>HH4293</v>
      </c>
      <c r="G5119" s="87" t="str">
        <f>IFERROR(__xludf.DUMMYFUNCTION("""COMPUTED_VALUE"""),"LOT IDA Global - I - 4293 - ĐL Phúc Nông - HỔ VƯƠNG (Pet vuông)(nắp vàng)(nước nâu đen) - 450ml - 40")</f>
        <v>LOT IDA Global - I - 4293 - ĐL Phúc Nông - HỔ VƯƠNG (Pet vuông)(nắp vàng)(nước nâu đen) - 450ml - 40</v>
      </c>
    </row>
    <row r="5120">
      <c r="A5120" s="86">
        <f>IFERROR(__xludf.DUMMYFUNCTION("""COMPUTED_VALUE"""),5118.0)</f>
        <v>5118</v>
      </c>
      <c r="B5120" s="87" t="str">
        <f>IFERROR(__xludf.DUMMYFUNCTION("""COMPUTED_VALUE"""),"[Nhãn thùng]")</f>
        <v>[Nhãn thùng]</v>
      </c>
      <c r="C5120" s="87" t="str">
        <f>IFERROR(__xludf.DUMMYFUNCTION("""COMPUTED_VALUE"""),"NDT4293")</f>
        <v>NDT4293</v>
      </c>
      <c r="D5120" s="87" t="str">
        <f>IFERROR(__xludf.DUMMYFUNCTION("""COMPUTED_VALUE"""),"[Nhãn thùng] LOT IDA Global - I - 4293 - ĐL Phúc Nông - HỔ VƯƠNG (Pet vuông)(nắp vàng)(nước nâu đen) - 450ml - 40")</f>
        <v>[Nhãn thùng] LOT IDA Global - I - 4293 - ĐL Phúc Nông - HỔ VƯƠNG (Pet vuông)(nắp vàng)(nước nâu đen) - 450ml - 40</v>
      </c>
      <c r="E5120" s="87" t="str">
        <f>IFERROR(__xludf.DUMMYFUNCTION("""COMPUTED_VALUE"""),"HAIHAMEC 3.6EC")</f>
        <v>HAIHAMEC 3.6EC</v>
      </c>
      <c r="F5120" s="87" t="str">
        <f>IFERROR(__xludf.DUMMYFUNCTION("""COMPUTED_VALUE"""),"HH4293")</f>
        <v>HH4293</v>
      </c>
      <c r="G5120" s="87" t="str">
        <f>IFERROR(__xludf.DUMMYFUNCTION("""COMPUTED_VALUE"""),"LOT IDA Global - I - 4293 - ĐL Phúc Nông - HỔ VƯƠNG (Pet vuông)(nắp vàng)(nước nâu đen) - 450ml - 40")</f>
        <v>LOT IDA Global - I - 4293 - ĐL Phúc Nông - HỔ VƯƠNG (Pet vuông)(nắp vàng)(nước nâu đen) - 450ml - 40</v>
      </c>
    </row>
    <row r="5121">
      <c r="A5121" s="86">
        <f>IFERROR(__xludf.DUMMYFUNCTION("""COMPUTED_VALUE"""),5119.0)</f>
        <v>5119</v>
      </c>
      <c r="B5121" s="87" t="str">
        <f>IFERROR(__xludf.DUMMYFUNCTION("""COMPUTED_VALUE"""),"[Nhãn]")</f>
        <v>[Nhãn]</v>
      </c>
      <c r="C5121" s="87" t="str">
        <f>IFERROR(__xludf.DUMMYFUNCTION("""COMPUTED_VALUE"""),"NHG4299")</f>
        <v>NHG4299</v>
      </c>
      <c r="D5121" s="87" t="str">
        <f>IFERROR(__xludf.DUMMYFUNCTION("""COMPUTED_VALUE"""),"[Nhãn] GC - IV - 4299 - CTY NEWTEX - TILVIL (Nước xanh dương) - 240ml - 40")</f>
        <v>[Nhãn] GC - IV - 4299 - CTY NEWTEX - TILVIL (Nước xanh dương) - 240ml - 40</v>
      </c>
      <c r="E5121" s="87" t="str">
        <f>IFERROR(__xludf.DUMMYFUNCTION("""COMPUTED_VALUE"""),"Center super 333EC")</f>
        <v>Center super 333EC</v>
      </c>
      <c r="F5121" s="87" t="str">
        <f>IFERROR(__xludf.DUMMYFUNCTION("""COMPUTED_VALUE"""),"HH4299")</f>
        <v>HH4299</v>
      </c>
      <c r="G5121" s="87" t="str">
        <f>IFERROR(__xludf.DUMMYFUNCTION("""COMPUTED_VALUE"""),"GC - IV - 4299 - CTY NEWTEX - TILVIL (Nước xanh dương) - 240ml - 40")</f>
        <v>GC - IV - 4299 - CTY NEWTEX - TILVIL (Nước xanh dương) - 240ml - 40</v>
      </c>
    </row>
    <row r="5122">
      <c r="A5122" s="86">
        <f>IFERROR(__xludf.DUMMYFUNCTION("""COMPUTED_VALUE"""),5120.0)</f>
        <v>5120</v>
      </c>
      <c r="B5122" s="87" t="str">
        <f>IFERROR(__xludf.DUMMYFUNCTION("""COMPUTED_VALUE"""),"[Nhãn]")</f>
        <v>[Nhãn]</v>
      </c>
      <c r="C5122" s="87" t="str">
        <f>IFERROR(__xludf.DUMMYFUNCTION("""COMPUTED_VALUE"""),"NHG4300")</f>
        <v>NHG4300</v>
      </c>
      <c r="D5122" s="87" t="str">
        <f>IFERROR(__xludf.DUMMYFUNCTION("""COMPUTED_VALUE"""),"[Nhãn] GC - IV - 4300 - AGRI LIFE - CENTER SUPER 333EC (Nước xanh dương) - 240ml - 40")</f>
        <v>[Nhãn] GC - IV - 4300 - AGRI LIFE - CENTER SUPER 333EC (Nước xanh dương) - 240ml - 40</v>
      </c>
      <c r="E5122" s="87" t="str">
        <f>IFERROR(__xludf.DUMMYFUNCTION("""COMPUTED_VALUE"""),"Center super 333EC")</f>
        <v>Center super 333EC</v>
      </c>
      <c r="F5122" s="87" t="str">
        <f>IFERROR(__xludf.DUMMYFUNCTION("""COMPUTED_VALUE"""),"HH4300")</f>
        <v>HH4300</v>
      </c>
      <c r="G5122" s="87" t="str">
        <f>IFERROR(__xludf.DUMMYFUNCTION("""COMPUTED_VALUE"""),"GC - IV - 4300 - AGRI LIFE - CENTER SUPER 333EC (Nước xanh dương) - 240ml - 40")</f>
        <v>GC - IV - 4300 - AGRI LIFE - CENTER SUPER 333EC (Nước xanh dương) - 240ml - 40</v>
      </c>
    </row>
    <row r="5123">
      <c r="A5123" s="86">
        <f>IFERROR(__xludf.DUMMYFUNCTION("""COMPUTED_VALUE"""),5121.0)</f>
        <v>5121</v>
      </c>
      <c r="B5123" s="87" t="str">
        <f>IFERROR(__xludf.DUMMYFUNCTION("""COMPUTED_VALUE"""),"[Nhãn]")</f>
        <v>[Nhãn]</v>
      </c>
      <c r="C5123" s="87" t="str">
        <f>IFERROR(__xludf.DUMMYFUNCTION("""COMPUTED_VALUE"""),"NHG4295")</f>
        <v>NHG4295</v>
      </c>
      <c r="D5123" s="87" t="str">
        <f>IFERROR(__xludf.DUMMYFUNCTION("""COMPUTED_VALUE"""),"[Nhãn] GC - IV - 4295 - Cty Hóa Nông Shino - BÒ CẠP THÁI (Nước nâu đen) - 450ml - 30")</f>
        <v>[Nhãn] GC - IV - 4295 - Cty Hóa Nông Shino - BÒ CẠP THÁI (Nước nâu đen) - 450ml - 30</v>
      </c>
      <c r="E5123" s="87" t="str">
        <f>IFERROR(__xludf.DUMMYFUNCTION("""COMPUTED_VALUE"""),"HAIHAMEC 3.6EC")</f>
        <v>HAIHAMEC 3.6EC</v>
      </c>
      <c r="F5123" s="87" t="str">
        <f>IFERROR(__xludf.DUMMYFUNCTION("""COMPUTED_VALUE"""),"HH4295")</f>
        <v>HH4295</v>
      </c>
      <c r="G5123" s="87" t="str">
        <f>IFERROR(__xludf.DUMMYFUNCTION("""COMPUTED_VALUE"""),"GC - IV - 4295 - Cty Hóa Nông Shino - BÒ CẠP THÁI (Nước nâu đen) - 450ml - 30")</f>
        <v>GC - IV - 4295 - Cty Hóa Nông Shino - BÒ CẠP THÁI (Nước nâu đen) - 450ml - 30</v>
      </c>
    </row>
    <row r="5124">
      <c r="A5124" s="86">
        <f>IFERROR(__xludf.DUMMYFUNCTION("""COMPUTED_VALUE"""),5122.0)</f>
        <v>5122</v>
      </c>
      <c r="B5124" s="87" t="str">
        <f>IFERROR(__xludf.DUMMYFUNCTION("""COMPUTED_VALUE"""),"[Nhãn]")</f>
        <v>[Nhãn]</v>
      </c>
      <c r="C5124" s="87" t="str">
        <f>IFERROR(__xludf.DUMMYFUNCTION("""COMPUTED_VALUE"""),"NHG4137")</f>
        <v>NHG4137</v>
      </c>
      <c r="D5124" s="87" t="str">
        <f>IFERROR(__xludf.DUMMYFUNCTION("""COMPUTED_VALUE"""),"[Nhãn] IDA Global - I - 4137 - PICOSUPER 280SC (Nước xanh dương) - 200ml - 40")</f>
        <v>[Nhãn] IDA Global - I - 4137 - PICOSUPER 280SC (Nước xanh dương) - 200ml - 40</v>
      </c>
      <c r="E5124" s="87" t="str">
        <f>IFERROR(__xludf.DUMMYFUNCTION("""COMPUTED_VALUE"""),"PICOSUPER 280SC")</f>
        <v>PICOSUPER 280SC</v>
      </c>
      <c r="F5124" s="87" t="str">
        <f>IFERROR(__xludf.DUMMYFUNCTION("""COMPUTED_VALUE"""),"HH4137")</f>
        <v>HH4137</v>
      </c>
      <c r="G5124" s="87" t="str">
        <f>IFERROR(__xludf.DUMMYFUNCTION("""COMPUTED_VALUE"""),"IDA Global - I - 4137 - PICOSUPER 280SC (Nước xanh dương) - 200ml - 40")</f>
        <v>IDA Global - I - 4137 - PICOSUPER 280SC (Nước xanh dương) - 200ml - 40</v>
      </c>
    </row>
    <row r="5125">
      <c r="A5125" s="86">
        <f>IFERROR(__xludf.DUMMYFUNCTION("""COMPUTED_VALUE"""),5123.0)</f>
        <v>5123</v>
      </c>
      <c r="B5125" s="87" t="str">
        <f>IFERROR(__xludf.DUMMYFUNCTION("""COMPUTED_VALUE"""),"[Nhãn]")</f>
        <v>[Nhãn]</v>
      </c>
      <c r="C5125" s="87" t="str">
        <f>IFERROR(__xludf.DUMMYFUNCTION("""COMPUTED_VALUE"""),"NHG4310")</f>
        <v>NHG4310</v>
      </c>
      <c r="D5125" s="87" t="str">
        <f>IFERROR(__xludf.DUMMYFUNCTION("""COMPUTED_VALUE"""),"[Nhãn] BAMBOO - VI - 4310 - BAMBOO ORGANIC (nước nâu đen) - 1L - 20")</f>
        <v>[Nhãn] BAMBOO - VI - 4310 - BAMBOO ORGANIC (nước nâu đen) - 1L - 20</v>
      </c>
      <c r="E5125" s="87" t="str">
        <f>IFERROR(__xludf.DUMMYFUNCTION("""COMPUTED_VALUE"""),"Hữu cơ SH Agro Organic Fertilizer 20")</f>
        <v>Hữu cơ SH Agro Organic Fertilizer 20</v>
      </c>
      <c r="F5125" s="87" t="str">
        <f>IFERROR(__xludf.DUMMYFUNCTION("""COMPUTED_VALUE"""),"HH4310")</f>
        <v>HH4310</v>
      </c>
      <c r="G5125" s="87" t="str">
        <f>IFERROR(__xludf.DUMMYFUNCTION("""COMPUTED_VALUE"""),"BAMBOO - VI - 4310 - BAMBOO ORGANIC (nước nâu đen) - 1L - 20")</f>
        <v>BAMBOO - VI - 4310 - BAMBOO ORGANIC (nước nâu đen) - 1L - 20</v>
      </c>
    </row>
    <row r="5126">
      <c r="A5126" s="86">
        <f>IFERROR(__xludf.DUMMYFUNCTION("""COMPUTED_VALUE"""),5124.0)</f>
        <v>5124</v>
      </c>
      <c r="B5126" s="87" t="str">
        <f>IFERROR(__xludf.DUMMYFUNCTION("""COMPUTED_VALUE"""),"[Nhãn thùng]")</f>
        <v>[Nhãn thùng]</v>
      </c>
      <c r="C5126" s="87" t="str">
        <f>IFERROR(__xludf.DUMMYFUNCTION("""COMPUTED_VALUE"""),"NDT4310")</f>
        <v>NDT4310</v>
      </c>
      <c r="D5126" s="87" t="str">
        <f>IFERROR(__xludf.DUMMYFUNCTION("""COMPUTED_VALUE"""),"[Nhãn thùng] BAMBOO - VI - 4310 - BAMBOO ORGANIC (nước nâu đen) - 1L - 20")</f>
        <v>[Nhãn thùng] BAMBOO - VI - 4310 - BAMBOO ORGANIC (nước nâu đen) - 1L - 20</v>
      </c>
      <c r="E5126" s="87" t="str">
        <f>IFERROR(__xludf.DUMMYFUNCTION("""COMPUTED_VALUE"""),"Hữu cơ SH Agro Organic Fertilizer 20")</f>
        <v>Hữu cơ SH Agro Organic Fertilizer 20</v>
      </c>
      <c r="F5126" s="87" t="str">
        <f>IFERROR(__xludf.DUMMYFUNCTION("""COMPUTED_VALUE"""),"HH4310")</f>
        <v>HH4310</v>
      </c>
      <c r="G5126" s="87" t="str">
        <f>IFERROR(__xludf.DUMMYFUNCTION("""COMPUTED_VALUE"""),"BAMBOO - VI - 4310 - BAMBOO ORGANIC (nước nâu đen) - 1L - 20")</f>
        <v>BAMBOO - VI - 4310 - BAMBOO ORGANIC (nước nâu đen) - 1L - 20</v>
      </c>
    </row>
    <row r="5127">
      <c r="A5127" s="86">
        <f>IFERROR(__xludf.DUMMYFUNCTION("""COMPUTED_VALUE"""),5125.0)</f>
        <v>5125</v>
      </c>
      <c r="B5127" s="87" t="str">
        <f>IFERROR(__xludf.DUMMYFUNCTION("""COMPUTED_VALUE"""),"[Nhãn]")</f>
        <v>[Nhãn]</v>
      </c>
      <c r="C5127" s="87" t="str">
        <f>IFERROR(__xludf.DUMMYFUNCTION("""COMPUTED_VALUE"""),"NHG4311")</f>
        <v>NHG4311</v>
      </c>
      <c r="D5127" s="87" t="str">
        <f>IFERROR(__xludf.DUMMYFUNCTION("""COMPUTED_VALUE"""),"[Nhãn] BAMBOO - VI - 4311 - BAMBOO 777 TE (nước xanh lơ) - 1L - 20")</f>
        <v>[Nhãn] BAMBOO - VI - 4311 - BAMBOO 777 TE (nước xanh lơ) - 1L - 20</v>
      </c>
      <c r="E5127" s="87" t="str">
        <f>IFERROR(__xludf.DUMMYFUNCTION("""COMPUTED_VALUE"""),"lá NPK-vi lượng GNC19")</f>
        <v>lá NPK-vi lượng GNC19</v>
      </c>
      <c r="F5127" s="87" t="str">
        <f>IFERROR(__xludf.DUMMYFUNCTION("""COMPUTED_VALUE"""),"HH4311")</f>
        <v>HH4311</v>
      </c>
      <c r="G5127" s="87" t="str">
        <f>IFERROR(__xludf.DUMMYFUNCTION("""COMPUTED_VALUE"""),"BAMBOO - VI - 4311 - BAMBOO 777 TE (nước xanh lơ) - 1L - 20")</f>
        <v>BAMBOO - VI - 4311 - BAMBOO 777 TE (nước xanh lơ) - 1L - 20</v>
      </c>
    </row>
    <row r="5128">
      <c r="A5128" s="86">
        <f>IFERROR(__xludf.DUMMYFUNCTION("""COMPUTED_VALUE"""),5126.0)</f>
        <v>5126</v>
      </c>
      <c r="B5128" s="87" t="str">
        <f>IFERROR(__xludf.DUMMYFUNCTION("""COMPUTED_VALUE"""),"[Nhãn]")</f>
        <v>[Nhãn]</v>
      </c>
      <c r="C5128" s="87" t="str">
        <f>IFERROR(__xludf.DUMMYFUNCTION("""COMPUTED_VALUE"""),"NHG4314")</f>
        <v>NHG4314</v>
      </c>
      <c r="D5128" s="87" t="str">
        <f>IFERROR(__xludf.DUMMYFUNCTION("""COMPUTED_VALUE"""),"[Nhãn] DR.XANH - VIII - 4314 - DR.XTRESS (Nước nâu đen) - 500ml - 40")</f>
        <v>[Nhãn] DR.XANH - VIII - 4314 - DR.XTRESS (Nước nâu đen) - 500ml - 40</v>
      </c>
      <c r="E5128" s="87" t="str">
        <f>IFERROR(__xludf.DUMMYFUNCTION("""COMPUTED_VALUE"""),"Hữu cơ Organic BM Gold  FW")</f>
        <v>Hữu cơ Organic BM Gold  FW</v>
      </c>
      <c r="F5128" s="87" t="str">
        <f>IFERROR(__xludf.DUMMYFUNCTION("""COMPUTED_VALUE"""),"HH4314")</f>
        <v>HH4314</v>
      </c>
      <c r="G5128" s="87" t="str">
        <f>IFERROR(__xludf.DUMMYFUNCTION("""COMPUTED_VALUE"""),"DR.XANH - VIII - 4314 - DR.XTRESS (Nước nâu đen) - 500ml - 40")</f>
        <v>DR.XANH - VIII - 4314 - DR.XTRESS (Nước nâu đen) - 500ml - 40</v>
      </c>
    </row>
    <row r="5129">
      <c r="A5129" s="86">
        <f>IFERROR(__xludf.DUMMYFUNCTION("""COMPUTED_VALUE"""),5127.0)</f>
        <v>5127</v>
      </c>
      <c r="B5129" s="87" t="str">
        <f>IFERROR(__xludf.DUMMYFUNCTION("""COMPUTED_VALUE"""),"[Nhãn]")</f>
        <v>[Nhãn]</v>
      </c>
      <c r="C5129" s="87" t="str">
        <f>IFERROR(__xludf.DUMMYFUNCTION("""COMPUTED_VALUE"""),"NHG4316")</f>
        <v>NHG4316</v>
      </c>
      <c r="D5129" s="87" t="str">
        <f>IFERROR(__xludf.DUMMYFUNCTION("""COMPUTED_VALUE"""),"[Nhãn] DR.XANH - VIII - 4316 - DR.AB MAGSI (Nước nâu đen) - 500ml - 40")</f>
        <v>[Nhãn] DR.XANH - VIII - 4316 - DR.AB MAGSI (Nước nâu đen) - 500ml - 40</v>
      </c>
      <c r="E5129" s="87" t="str">
        <f>IFERROR(__xludf.DUMMYFUNCTION("""COMPUTED_VALUE"""),"Hữu cơ SH Agro Organic Fertilizer 20")</f>
        <v>Hữu cơ SH Agro Organic Fertilizer 20</v>
      </c>
      <c r="F5129" s="87" t="str">
        <f>IFERROR(__xludf.DUMMYFUNCTION("""COMPUTED_VALUE"""),"HH4316")</f>
        <v>HH4316</v>
      </c>
      <c r="G5129" s="87" t="str">
        <f>IFERROR(__xludf.DUMMYFUNCTION("""COMPUTED_VALUE"""),"DR.XANH - VIII - 4316 - DR.AB MAGSI (Nước nâu đen) - 500ml - 40")</f>
        <v>DR.XANH - VIII - 4316 - DR.AB MAGSI (Nước nâu đen) - 500ml - 40</v>
      </c>
    </row>
    <row r="5130">
      <c r="A5130" s="86">
        <f>IFERROR(__xludf.DUMMYFUNCTION("""COMPUTED_VALUE"""),5128.0)</f>
        <v>5128</v>
      </c>
      <c r="B5130" s="87" t="str">
        <f>IFERROR(__xludf.DUMMYFUNCTION("""COMPUTED_VALUE"""),"[HỘP]")</f>
        <v>[HỘP]</v>
      </c>
      <c r="C5130" s="87" t="str">
        <f>IFERROR(__xludf.DUMMYFUNCTION("""COMPUTED_VALUE"""),"HOP3925")</f>
        <v>HOP3925</v>
      </c>
      <c r="D5130" s="87" t="str">
        <f>IFERROR(__xludf.DUMMYFUNCTION("""COMPUTED_VALUE"""),"[HỘP] GC - IV - 3925 - Cty Newtex - ĐÒNG TO BÔNG KẸO T7 (Nước vàng nhạt) - 500ml - 40")</f>
        <v>[HỘP] GC - IV - 3925 - Cty Newtex - ĐÒNG TO BÔNG KẸO T7 (Nước vàng nhạt) - 500ml - 40</v>
      </c>
      <c r="E5130" s="87" t="str">
        <f>IFERROR(__xludf.DUMMYFUNCTION("""COMPUTED_VALUE"""),"lá NPK-vi lượng GNC19")</f>
        <v>lá NPK-vi lượng GNC19</v>
      </c>
      <c r="F5130" s="87" t="str">
        <f>IFERROR(__xludf.DUMMYFUNCTION("""COMPUTED_VALUE"""),"HH3925")</f>
        <v>HH3925</v>
      </c>
      <c r="G5130" s="87" t="str">
        <f>IFERROR(__xludf.DUMMYFUNCTION("""COMPUTED_VALUE"""),"GC - IV - 3925 - Cty Newtex - ĐÒNG TO BÔNG KẸO T7 (Nước vàng nhạt) - 500ml - 40")</f>
        <v>GC - IV - 3925 - Cty Newtex - ĐÒNG TO BÔNG KẸO T7 (Nước vàng nhạt) - 500ml - 40</v>
      </c>
    </row>
    <row r="5131">
      <c r="A5131" s="86">
        <f>IFERROR(__xludf.DUMMYFUNCTION("""COMPUTED_VALUE"""),5129.0)</f>
        <v>5129</v>
      </c>
      <c r="B5131" s="87" t="str">
        <f>IFERROR(__xludf.DUMMYFUNCTION("""COMPUTED_VALUE"""),"[Nhãn]")</f>
        <v>[Nhãn]</v>
      </c>
      <c r="C5131" s="87" t="str">
        <f>IFERROR(__xludf.DUMMYFUNCTION("""COMPUTED_VALUE"""),"NHG4319")</f>
        <v>NHG4319</v>
      </c>
      <c r="D5131" s="87" t="str">
        <f>IFERROR(__xludf.DUMMYFUNCTION("""COMPUTED_VALUE"""),"[Nhãn] GC - IV - 4319 - Cty Newtex - NT-PHOS T1 (Nước xanh dương) - 500ml - 40")</f>
        <v>[Nhãn] GC - IV - 4319 - Cty Newtex - NT-PHOS T1 (Nước xanh dương) - 500ml - 40</v>
      </c>
      <c r="E5131" s="87" t="str">
        <f>IFERROR(__xludf.DUMMYFUNCTION("""COMPUTED_VALUE"""),"Lá Hỗn Hợp PK AGRI FOS AB")</f>
        <v>Lá Hỗn Hợp PK AGRI FOS AB</v>
      </c>
      <c r="F5131" s="87" t="str">
        <f>IFERROR(__xludf.DUMMYFUNCTION("""COMPUTED_VALUE"""),"HH4319")</f>
        <v>HH4319</v>
      </c>
      <c r="G5131" s="87" t="str">
        <f>IFERROR(__xludf.DUMMYFUNCTION("""COMPUTED_VALUE"""),"GC - IV - 4319 - Cty Newtex - NT-PHOS T1 (Nước xanh dương) - 500ml - 40")</f>
        <v>GC - IV - 4319 - Cty Newtex - NT-PHOS T1 (Nước xanh dương) - 500ml - 40</v>
      </c>
    </row>
    <row r="5132">
      <c r="A5132" s="86">
        <f>IFERROR(__xludf.DUMMYFUNCTION("""COMPUTED_VALUE"""),5130.0)</f>
        <v>5130</v>
      </c>
      <c r="B5132" s="87" t="str">
        <f>IFERROR(__xludf.DUMMYFUNCTION("""COMPUTED_VALUE"""),"[Nhãn phụ]")</f>
        <v>[Nhãn phụ]</v>
      </c>
      <c r="C5132" s="87" t="str">
        <f>IFERROR(__xludf.DUMMYFUNCTION("""COMPUTED_VALUE"""),"NHP4319")</f>
        <v>NHP4319</v>
      </c>
      <c r="D5132" s="87" t="str">
        <f>IFERROR(__xludf.DUMMYFUNCTION("""COMPUTED_VALUE"""),"[Nhãn phụ] GC - IV - 4319 - Cty Newtex - NT-PHOS T1 (Nước xanh dương) - 500ml - 40")</f>
        <v>[Nhãn phụ] GC - IV - 4319 - Cty Newtex - NT-PHOS T1 (Nước xanh dương) - 500ml - 40</v>
      </c>
      <c r="E5132" s="87" t="str">
        <f>IFERROR(__xludf.DUMMYFUNCTION("""COMPUTED_VALUE"""),"Lá Hỗn Hợp PK AGRI FOS AB")</f>
        <v>Lá Hỗn Hợp PK AGRI FOS AB</v>
      </c>
      <c r="F5132" s="87" t="str">
        <f>IFERROR(__xludf.DUMMYFUNCTION("""COMPUTED_VALUE"""),"HH4319")</f>
        <v>HH4319</v>
      </c>
      <c r="G5132" s="87" t="str">
        <f>IFERROR(__xludf.DUMMYFUNCTION("""COMPUTED_VALUE"""),"GC - IV - 4319 - Cty Newtex - NT-PHOS T1 (Nước xanh dương) - 500ml - 40")</f>
        <v>GC - IV - 4319 - Cty Newtex - NT-PHOS T1 (Nước xanh dương) - 500ml - 40</v>
      </c>
    </row>
    <row r="5133">
      <c r="A5133" s="86">
        <f>IFERROR(__xludf.DUMMYFUNCTION("""COMPUTED_VALUE"""),5131.0)</f>
        <v>5131</v>
      </c>
      <c r="B5133" s="87" t="str">
        <f>IFERROR(__xludf.DUMMYFUNCTION("""COMPUTED_VALUE"""),"[Nhãn]")</f>
        <v>[Nhãn]</v>
      </c>
      <c r="C5133" s="87" t="str">
        <f>IFERROR(__xludf.DUMMYFUNCTION("""COMPUTED_VALUE"""),"NHD4323")</f>
        <v>NHD4323</v>
      </c>
      <c r="D5133" s="87" t="str">
        <f>IFERROR(__xludf.DUMMYFUNCTION("""COMPUTED_VALUE"""),"[Nhãn] GC - IV - 4323 - Cty Tiến Vinh - KẼM MAGIE TIVI (Gel xanh lá) - 500ml - 40")</f>
        <v>[Nhãn] GC - IV - 4323 - Cty Tiến Vinh - KẼM MAGIE TIVI (Gel xanh lá) - 500ml - 40</v>
      </c>
      <c r="E5133" s="87" t="str">
        <f>IFERROR(__xludf.DUMMYFUNCTION("""COMPUTED_VALUE"""),"vi lượng Phú Sĩ FJ-09 Kẽm Mg")</f>
        <v>vi lượng Phú Sĩ FJ-09 Kẽm Mg</v>
      </c>
      <c r="F5133" s="87" t="str">
        <f>IFERROR(__xludf.DUMMYFUNCTION("""COMPUTED_VALUE"""),"HH4323")</f>
        <v>HH4323</v>
      </c>
      <c r="G5133" s="87" t="str">
        <f>IFERROR(__xludf.DUMMYFUNCTION("""COMPUTED_VALUE"""),"GC - IV - 4323 - Cty Tiến Vinh - KẼM MAGIE TIVI (Gel xanh lá) - 500ml - 40")</f>
        <v>GC - IV - 4323 - Cty Tiến Vinh - KẼM MAGIE TIVI (Gel xanh lá) - 500ml - 40</v>
      </c>
    </row>
    <row r="5134">
      <c r="A5134" s="86">
        <f>IFERROR(__xludf.DUMMYFUNCTION("""COMPUTED_VALUE"""),5132.0)</f>
        <v>5132</v>
      </c>
      <c r="B5134" s="87" t="str">
        <f>IFERROR(__xludf.DUMMYFUNCTION("""COMPUTED_VALUE"""),"[Nhãn]")</f>
        <v>[Nhãn]</v>
      </c>
      <c r="C5134" s="87" t="str">
        <f>IFERROR(__xludf.DUMMYFUNCTION("""COMPUTED_VALUE"""),"NDT4323")</f>
        <v>NDT4323</v>
      </c>
      <c r="D5134" s="87" t="str">
        <f>IFERROR(__xludf.DUMMYFUNCTION("""COMPUTED_VALUE"""),"[Nhãn] GC - IV - 4323 - Cty Tiến Vinh - KẼM MAGIE TIVI (Gel xanh lá) - 500ml - 40")</f>
        <v>[Nhãn] GC - IV - 4323 - Cty Tiến Vinh - KẼM MAGIE TIVI (Gel xanh lá) - 500ml - 40</v>
      </c>
      <c r="E5134" s="87" t="str">
        <f>IFERROR(__xludf.DUMMYFUNCTION("""COMPUTED_VALUE"""),"vi lượng Phú Sĩ FJ-09 Kẽm Mg")</f>
        <v>vi lượng Phú Sĩ FJ-09 Kẽm Mg</v>
      </c>
      <c r="F5134" s="87" t="str">
        <f>IFERROR(__xludf.DUMMYFUNCTION("""COMPUTED_VALUE"""),"HH4323")</f>
        <v>HH4323</v>
      </c>
      <c r="G5134" s="87" t="str">
        <f>IFERROR(__xludf.DUMMYFUNCTION("""COMPUTED_VALUE"""),"GC - IV - 4323 - Cty Tiến Vinh - KẼM MAGIE TIVI (Gel xanh lá) - 500ml - 40")</f>
        <v>GC - IV - 4323 - Cty Tiến Vinh - KẼM MAGIE TIVI (Gel xanh lá) - 500ml - 40</v>
      </c>
    </row>
    <row r="5135">
      <c r="A5135" s="86">
        <f>IFERROR(__xludf.DUMMYFUNCTION("""COMPUTED_VALUE"""),5133.0)</f>
        <v>5133</v>
      </c>
      <c r="B5135" s="87" t="str">
        <f>IFERROR(__xludf.DUMMYFUNCTION("""COMPUTED_VALUE"""),"[Nhãn]")</f>
        <v>[Nhãn]</v>
      </c>
      <c r="C5135" s="87" t="str">
        <f>IFERROR(__xludf.DUMMYFUNCTION("""COMPUTED_VALUE"""),"NHG4321")</f>
        <v>NHG4321</v>
      </c>
      <c r="D5135" s="87" t="str">
        <f>IFERROR(__xludf.DUMMYFUNCTION("""COMPUTED_VALUE"""),"[Nhãn] GC - IV - 4321 - NHP GROUP - KODO STOP (Nước nâu đen) - 1L - 20")</f>
        <v>[Nhãn] GC - IV - 4321 - NHP GROUP - KODO STOP (Nước nâu đen) - 1L - 20</v>
      </c>
      <c r="E5135" s="87" t="str">
        <f>IFERROR(__xludf.DUMMYFUNCTION("""COMPUTED_VALUE"""),"Vi lượng Quantity New")</f>
        <v>Vi lượng Quantity New</v>
      </c>
      <c r="F5135" s="87" t="str">
        <f>IFERROR(__xludf.DUMMYFUNCTION("""COMPUTED_VALUE"""),"HH4321")</f>
        <v>HH4321</v>
      </c>
      <c r="G5135" s="87" t="str">
        <f>IFERROR(__xludf.DUMMYFUNCTION("""COMPUTED_VALUE"""),"GC - IV - 4321 - NHP GROUP - KODO STOP (Nước nâu đen) - 1L - 20")</f>
        <v>GC - IV - 4321 - NHP GROUP - KODO STOP (Nước nâu đen) - 1L - 20</v>
      </c>
    </row>
    <row r="5136">
      <c r="A5136" s="86">
        <f>IFERROR(__xludf.DUMMYFUNCTION("""COMPUTED_VALUE"""),5134.0)</f>
        <v>5134</v>
      </c>
      <c r="B5136" s="87" t="str">
        <f>IFERROR(__xludf.DUMMYFUNCTION("""COMPUTED_VALUE"""),"[Nhãn]")</f>
        <v>[Nhãn]</v>
      </c>
      <c r="C5136" s="87" t="str">
        <f>IFERROR(__xludf.DUMMYFUNCTION("""COMPUTED_VALUE"""),"NTN4313")</f>
        <v>NTN4313</v>
      </c>
      <c r="D5136" s="87" t="str">
        <f>IFERROR(__xludf.DUMMYFUNCTION("""COMPUTED_VALUE"""),"[Nhãn] GC - IV - 4313 - CTY NAUY - KINGS AGROS (Bột màu trắng) - 1kg - 20")</f>
        <v>[Nhãn] GC - IV - 4313 - CTY NAUY - KINGS AGROS (Bột màu trắng) - 1kg - 20</v>
      </c>
      <c r="E5136" s="87" t="str">
        <f>IFERROR(__xludf.DUMMYFUNCTION("""COMPUTED_VALUE"""),"Hỗn Hợp NPK GNC 101")</f>
        <v>Hỗn Hợp NPK GNC 101</v>
      </c>
      <c r="F5136" s="87" t="str">
        <f>IFERROR(__xludf.DUMMYFUNCTION("""COMPUTED_VALUE"""),"HH4313")</f>
        <v>HH4313</v>
      </c>
      <c r="G5136" s="87" t="str">
        <f>IFERROR(__xludf.DUMMYFUNCTION("""COMPUTED_VALUE"""),"GC - IV - 4313 - CTY NAUY - KINGS AGROS (Bột màu trắng) - 1kg - 20")</f>
        <v>GC - IV - 4313 - CTY NAUY - KINGS AGROS (Bột màu trắng) - 1kg - 20</v>
      </c>
    </row>
    <row r="5137">
      <c r="A5137" s="86">
        <f>IFERROR(__xludf.DUMMYFUNCTION("""COMPUTED_VALUE"""),5135.0)</f>
        <v>5135</v>
      </c>
      <c r="B5137" s="87" t="str">
        <f>IFERROR(__xludf.DUMMYFUNCTION("""COMPUTED_VALUE"""),"[Nhãn Thùng]")</f>
        <v>[Nhãn Thùng]</v>
      </c>
      <c r="C5137" s="87" t="str">
        <f>IFERROR(__xludf.DUMMYFUNCTION("""COMPUTED_VALUE"""),"NDT4313")</f>
        <v>NDT4313</v>
      </c>
      <c r="D5137" s="87" t="str">
        <f>IFERROR(__xludf.DUMMYFUNCTION("""COMPUTED_VALUE"""),"[Nhãn Thùng] GC - IV - 4313 - CTY NAUY - KINGS AGROS (Bột màu trắng) - 1kg - 20")</f>
        <v>[Nhãn Thùng] GC - IV - 4313 - CTY NAUY - KINGS AGROS (Bột màu trắng) - 1kg - 20</v>
      </c>
      <c r="E5137" s="87" t="str">
        <f>IFERROR(__xludf.DUMMYFUNCTION("""COMPUTED_VALUE"""),"Hỗn Hợp NPK GNC 101")</f>
        <v>Hỗn Hợp NPK GNC 101</v>
      </c>
      <c r="F5137" s="87" t="str">
        <f>IFERROR(__xludf.DUMMYFUNCTION("""COMPUTED_VALUE"""),"HH4313")</f>
        <v>HH4313</v>
      </c>
      <c r="G5137" s="87" t="str">
        <f>IFERROR(__xludf.DUMMYFUNCTION("""COMPUTED_VALUE"""),"GC - IV - 4313 - CTY NAUY - KINGS AGROS (Bột màu trắng) - 1kg - 20")</f>
        <v>GC - IV - 4313 - CTY NAUY - KINGS AGROS (Bột màu trắng) - 1kg - 20</v>
      </c>
    </row>
    <row r="5138">
      <c r="A5138" s="86">
        <f>IFERROR(__xludf.DUMMYFUNCTION("""COMPUTED_VALUE"""),5136.0)</f>
        <v>5136</v>
      </c>
      <c r="B5138" s="87" t="str">
        <f>IFERROR(__xludf.DUMMYFUNCTION("""COMPUTED_VALUE"""),"[Nhãn]")</f>
        <v>[Nhãn]</v>
      </c>
      <c r="C5138" s="87" t="str">
        <f>IFERROR(__xludf.DUMMYFUNCTION("""COMPUTED_VALUE"""),"NHG4325")</f>
        <v>NHG4325</v>
      </c>
      <c r="D5138" s="87" t="str">
        <f>IFERROR(__xludf.DUMMYFUNCTION("""COMPUTED_VALUE"""),"[Nhãn] GC - IV - 4325 - BA MÙA - Mekongvil 5SC (Nước sữa trắng - Có phụ gia) - 1L - 20")</f>
        <v>[Nhãn] GC - IV - 4325 - BA MÙA - Mekongvil 5SC (Nước sữa trắng - Có phụ gia) - 1L - 20</v>
      </c>
      <c r="E5138" s="87" t="str">
        <f>IFERROR(__xludf.DUMMYFUNCTION("""COMPUTED_VALUE"""),"Mekongvil 5SC")</f>
        <v>Mekongvil 5SC</v>
      </c>
      <c r="F5138" s="87" t="str">
        <f>IFERROR(__xludf.DUMMYFUNCTION("""COMPUTED_VALUE"""),"HH4325")</f>
        <v>HH4325</v>
      </c>
      <c r="G5138" s="87" t="str">
        <f>IFERROR(__xludf.DUMMYFUNCTION("""COMPUTED_VALUE"""),"GC - IV - 4325 - BA MÙA - Mekongvil 5SC (Nước sữa trắng - Có phụ gia) - 1L - 20")</f>
        <v>GC - IV - 4325 - BA MÙA - Mekongvil 5SC (Nước sữa trắng - Có phụ gia) - 1L - 20</v>
      </c>
    </row>
    <row r="5139">
      <c r="A5139" s="86">
        <f>IFERROR(__xludf.DUMMYFUNCTION("""COMPUTED_VALUE"""),5137.0)</f>
        <v>5137</v>
      </c>
      <c r="B5139" s="87" t="str">
        <f>IFERROR(__xludf.DUMMYFUNCTION("""COMPUTED_VALUE"""),"[Nhãn]")</f>
        <v>[Nhãn]</v>
      </c>
      <c r="C5139" s="87" t="str">
        <f>IFERROR(__xludf.DUMMYFUNCTION("""COMPUTED_VALUE"""),"NHD4324")</f>
        <v>NHD4324</v>
      </c>
      <c r="D5139" s="87" t="str">
        <f>IFERROR(__xludf.DUMMYFUNCTION("""COMPUTED_VALUE"""),"[Nhãn] GC - IV - 4324 - CTY USAFARM - MAGIE-KẼM (Gel xanh lá) - 500ml - 40")</f>
        <v>[Nhãn] GC - IV - 4324 - CTY USAFARM - MAGIE-KẼM (Gel xanh lá) - 500ml - 40</v>
      </c>
      <c r="E5139" s="87" t="str">
        <f>IFERROR(__xludf.DUMMYFUNCTION("""COMPUTED_VALUE"""),"vi lượng Phú Sĩ FJ-09 Kẽm Mg")</f>
        <v>vi lượng Phú Sĩ FJ-09 Kẽm Mg</v>
      </c>
      <c r="F5139" s="87" t="str">
        <f>IFERROR(__xludf.DUMMYFUNCTION("""COMPUTED_VALUE"""),"HH4324")</f>
        <v>HH4324</v>
      </c>
      <c r="G5139" s="87" t="str">
        <f>IFERROR(__xludf.DUMMYFUNCTION("""COMPUTED_VALUE"""),"GC - IV - 4324 - CTY USAFARM - MAGIE-KẼM (Gel xanh lá) - 500ml - 40")</f>
        <v>GC - IV - 4324 - CTY USAFARM - MAGIE-KẼM (Gel xanh lá) - 500ml - 40</v>
      </c>
    </row>
    <row r="5140">
      <c r="A5140" s="86">
        <f>IFERROR(__xludf.DUMMYFUNCTION("""COMPUTED_VALUE"""),5138.0)</f>
        <v>5138</v>
      </c>
      <c r="B5140" s="87" t="str">
        <f>IFERROR(__xludf.DUMMYFUNCTION("""COMPUTED_VALUE"""),"[Nhãn Thùng]")</f>
        <v>[Nhãn Thùng]</v>
      </c>
      <c r="C5140" s="87" t="str">
        <f>IFERROR(__xludf.DUMMYFUNCTION("""COMPUTED_VALUE"""),"NDT4324")</f>
        <v>NDT4324</v>
      </c>
      <c r="D5140" s="87" t="str">
        <f>IFERROR(__xludf.DUMMYFUNCTION("""COMPUTED_VALUE"""),"[Nhãn Thùng] GC - IV - 4324 - CTY USAFARM - MAGIE-KẼM (Gel xanh lá) - 500ml - 40")</f>
        <v>[Nhãn Thùng] GC - IV - 4324 - CTY USAFARM - MAGIE-KẼM (Gel xanh lá) - 500ml - 40</v>
      </c>
      <c r="E5140" s="87" t="str">
        <f>IFERROR(__xludf.DUMMYFUNCTION("""COMPUTED_VALUE"""),"vi lượng Phú Sĩ FJ-09 Kẽm Mg")</f>
        <v>vi lượng Phú Sĩ FJ-09 Kẽm Mg</v>
      </c>
      <c r="F5140" s="87" t="str">
        <f>IFERROR(__xludf.DUMMYFUNCTION("""COMPUTED_VALUE"""),"HH4324")</f>
        <v>HH4324</v>
      </c>
      <c r="G5140" s="87" t="str">
        <f>IFERROR(__xludf.DUMMYFUNCTION("""COMPUTED_VALUE"""),"GC - IV - 4324 - CTY USAFARM - MAGIE-KẼM (Gel xanh lá) - 500ml - 40")</f>
        <v>GC - IV - 4324 - CTY USAFARM - MAGIE-KẼM (Gel xanh lá) - 500ml - 40</v>
      </c>
    </row>
    <row r="5141">
      <c r="A5141" s="86">
        <f>IFERROR(__xludf.DUMMYFUNCTION("""COMPUTED_VALUE"""),5139.0)</f>
        <v>5139</v>
      </c>
      <c r="B5141" s="87" t="str">
        <f>IFERROR(__xludf.DUMMYFUNCTION("""COMPUTED_VALUE"""),"[Nhãn]")</f>
        <v>[Nhãn]</v>
      </c>
      <c r="C5141" s="87" t="str">
        <f>IFERROR(__xludf.DUMMYFUNCTION("""COMPUTED_VALUE"""),"NTN4329")</f>
        <v>NTN4329</v>
      </c>
      <c r="D5141" s="87" t="str">
        <f>IFERROR(__xludf.DUMMYFUNCTION("""COMPUTED_VALUE"""),"[Nhãn]  GC - IV - 4329 - Agritech - AGRI KILL (Dạng cốm màu trắng ngà) - 100gr - 100")</f>
        <v>[Nhãn]  GC - IV - 4329 - Agritech - AGRI KILL (Dạng cốm màu trắng ngà) - 100gr - 100</v>
      </c>
      <c r="E5141" s="87" t="str">
        <f>IFERROR(__xludf.DUMMYFUNCTION("""COMPUTED_VALUE"""),"NOMIDA 700WG")</f>
        <v>NOMIDA 700WG</v>
      </c>
      <c r="F5141" s="87" t="str">
        <f>IFERROR(__xludf.DUMMYFUNCTION("""COMPUTED_VALUE"""),"HH4329")</f>
        <v>HH4329</v>
      </c>
      <c r="G5141" s="87" t="str">
        <f>IFERROR(__xludf.DUMMYFUNCTION("""COMPUTED_VALUE"""),"GC - IV - 4329 - Agritech - AGRI KILL (Dạng cốm màu trắng ngà) - 100gr - 100")</f>
        <v>GC - IV - 4329 - Agritech - AGRI KILL (Dạng cốm màu trắng ngà) - 100gr - 100</v>
      </c>
    </row>
    <row r="5142">
      <c r="A5142" s="86">
        <f>IFERROR(__xludf.DUMMYFUNCTION("""COMPUTED_VALUE"""),5140.0)</f>
        <v>5140</v>
      </c>
      <c r="B5142" s="87" t="str">
        <f>IFERROR(__xludf.DUMMYFUNCTION("""COMPUTED_VALUE"""),"[Nhãn Thùng]")</f>
        <v>[Nhãn Thùng]</v>
      </c>
      <c r="C5142" s="87" t="str">
        <f>IFERROR(__xludf.DUMMYFUNCTION("""COMPUTED_VALUE"""),"NDT4329")</f>
        <v>NDT4329</v>
      </c>
      <c r="D5142" s="87" t="str">
        <f>IFERROR(__xludf.DUMMYFUNCTION("""COMPUTED_VALUE"""),"[Nhãn Thùng]  GC - IV - 4329 - Agritech - AGRI KILL (Dạng cốm màu trắng ngà) - 100gr - 100")</f>
        <v>[Nhãn Thùng]  GC - IV - 4329 - Agritech - AGRI KILL (Dạng cốm màu trắng ngà) - 100gr - 100</v>
      </c>
      <c r="E5142" s="87" t="str">
        <f>IFERROR(__xludf.DUMMYFUNCTION("""COMPUTED_VALUE"""),"NOMIDA 700WG")</f>
        <v>NOMIDA 700WG</v>
      </c>
      <c r="F5142" s="87" t="str">
        <f>IFERROR(__xludf.DUMMYFUNCTION("""COMPUTED_VALUE"""),"HH4329")</f>
        <v>HH4329</v>
      </c>
      <c r="G5142" s="87" t="str">
        <f>IFERROR(__xludf.DUMMYFUNCTION("""COMPUTED_VALUE"""),"GC - IV - 4329 - Agritech - AGRI KILL (Dạng cốm màu trắng ngà) - 100gr - 100")</f>
        <v>GC - IV - 4329 - Agritech - AGRI KILL (Dạng cốm màu trắng ngà) - 100gr - 100</v>
      </c>
    </row>
    <row r="5143">
      <c r="A5143" s="86">
        <f>IFERROR(__xludf.DUMMYFUNCTION("""COMPUTED_VALUE"""),5141.0)</f>
        <v>5141</v>
      </c>
      <c r="B5143" s="87" t="str">
        <f>IFERROR(__xludf.DUMMYFUNCTION("""COMPUTED_VALUE"""),"[Nhãn]")</f>
        <v>[Nhãn]</v>
      </c>
      <c r="C5143" s="87" t="str">
        <f>IFERROR(__xludf.DUMMYFUNCTION("""COMPUTED_VALUE"""),"NHD4339")</f>
        <v>NHD4339</v>
      </c>
      <c r="D5143" s="87" t="str">
        <f>IFERROR(__xludf.DUMMYFUNCTION("""COMPUTED_VALUE"""),"[Nhãn] GC - IV - 4339 - AGRITECH - CALBO TECH (Nước trắng sữa) - 500ml - 40")</f>
        <v>[Nhãn] GC - IV - 4339 - AGRITECH - CALBO TECH (Nước trắng sữa) - 500ml - 40</v>
      </c>
      <c r="E5143" s="87" t="str">
        <f>IFERROR(__xludf.DUMMYFUNCTION("""COMPUTED_VALUE"""),"Vi lượng AGAMA-CANXI BO")</f>
        <v>Vi lượng AGAMA-CANXI BO</v>
      </c>
      <c r="F5143" s="87" t="str">
        <f>IFERROR(__xludf.DUMMYFUNCTION("""COMPUTED_VALUE"""),"HH4339")</f>
        <v>HH4339</v>
      </c>
      <c r="G5143" s="87" t="str">
        <f>IFERROR(__xludf.DUMMYFUNCTION("""COMPUTED_VALUE"""),"GC - IV - 4339 - AGRITECH - CALBO TECH (Nước trắng sữa) - 500ml - 40")</f>
        <v>GC - IV - 4339 - AGRITECH - CALBO TECH (Nước trắng sữa) - 500ml - 40</v>
      </c>
    </row>
    <row r="5144">
      <c r="A5144" s="86">
        <f>IFERROR(__xludf.DUMMYFUNCTION("""COMPUTED_VALUE"""),5142.0)</f>
        <v>5142</v>
      </c>
      <c r="B5144" s="87" t="str">
        <f>IFERROR(__xludf.DUMMYFUNCTION("""COMPUTED_VALUE"""),"[Nhãn Thùng]")</f>
        <v>[Nhãn Thùng]</v>
      </c>
      <c r="C5144" s="87" t="str">
        <f>IFERROR(__xludf.DUMMYFUNCTION("""COMPUTED_VALUE"""),"NDT4339")</f>
        <v>NDT4339</v>
      </c>
      <c r="D5144" s="87" t="str">
        <f>IFERROR(__xludf.DUMMYFUNCTION("""COMPUTED_VALUE"""),"[Nhãn Thùng] GC - IV - 4339 - AGRITECH - CALBO TECH (Nước trắng sữa) - 500ml - 40")</f>
        <v>[Nhãn Thùng] GC - IV - 4339 - AGRITECH - CALBO TECH (Nước trắng sữa) - 500ml - 40</v>
      </c>
      <c r="E5144" s="87" t="str">
        <f>IFERROR(__xludf.DUMMYFUNCTION("""COMPUTED_VALUE"""),"Vi lượng AGAMA-CANXI BO")</f>
        <v>Vi lượng AGAMA-CANXI BO</v>
      </c>
      <c r="F5144" s="87" t="str">
        <f>IFERROR(__xludf.DUMMYFUNCTION("""COMPUTED_VALUE"""),"HH4339")</f>
        <v>HH4339</v>
      </c>
      <c r="G5144" s="87" t="str">
        <f>IFERROR(__xludf.DUMMYFUNCTION("""COMPUTED_VALUE"""),"GC - IV - 4339 - AGRITECH - CALBO TECH (Nước trắng sữa) - 500ml - 40")</f>
        <v>GC - IV - 4339 - AGRITECH - CALBO TECH (Nước trắng sữa) - 500ml - 40</v>
      </c>
    </row>
    <row r="5145">
      <c r="A5145" s="86">
        <f>IFERROR(__xludf.DUMMYFUNCTION("""COMPUTED_VALUE"""),5143.0)</f>
        <v>5143</v>
      </c>
      <c r="B5145" s="87" t="str">
        <f>IFERROR(__xludf.DUMMYFUNCTION("""COMPUTED_VALUE"""),"[Nhãn]")</f>
        <v>[Nhãn]</v>
      </c>
      <c r="C5145" s="87" t="str">
        <f>IFERROR(__xludf.DUMMYFUNCTION("""COMPUTED_VALUE"""),"NHG4326")</f>
        <v>NHG4326</v>
      </c>
      <c r="D5145" s="87" t="str">
        <f>IFERROR(__xludf.DUMMYFUNCTION("""COMPUTED_VALUE"""),"[Nhãn] GC - IV - 4326 - CTY R3 - NINNA-MAX (Nước xanh dương) - 450ml - 40")</f>
        <v>[Nhãn] GC - IV - 4326 - CTY R3 - NINNA-MAX (Nước xanh dương) - 450ml - 40</v>
      </c>
      <c r="E5145" s="87" t="str">
        <f>IFERROR(__xludf.DUMMYFUNCTION("""COMPUTED_VALUE"""),"PYRAMOS 40SL")</f>
        <v>PYRAMOS 40SL</v>
      </c>
      <c r="F5145" s="87" t="str">
        <f>IFERROR(__xludf.DUMMYFUNCTION("""COMPUTED_VALUE"""),"HH4326")</f>
        <v>HH4326</v>
      </c>
      <c r="G5145" s="87" t="str">
        <f>IFERROR(__xludf.DUMMYFUNCTION("""COMPUTED_VALUE"""),"GC - IV - 4326 - CTY R3 - NINNA-MAX (Nước xanh dương) - 450ml - 40")</f>
        <v>GC - IV - 4326 - CTY R3 - NINNA-MAX (Nước xanh dương) - 450ml - 40</v>
      </c>
    </row>
    <row r="5146">
      <c r="A5146" s="86">
        <f>IFERROR(__xludf.DUMMYFUNCTION("""COMPUTED_VALUE"""),5144.0)</f>
        <v>5144</v>
      </c>
      <c r="B5146" s="87" t="str">
        <f>IFERROR(__xludf.DUMMYFUNCTION("""COMPUTED_VALUE"""),"[Nhãn]")</f>
        <v>[Nhãn]</v>
      </c>
      <c r="C5146" s="87" t="str">
        <f>IFERROR(__xludf.DUMMYFUNCTION("""COMPUTED_VALUE"""),"NHG4337")</f>
        <v>NHG4337</v>
      </c>
      <c r="D5146" s="87" t="str">
        <f>IFERROR(__xludf.DUMMYFUNCTION("""COMPUTED_VALUE"""),"[Nhãn]  GC - IV - 4337 - THÀNH CÔNG AGRI - STOP ĐỌT (Nước nâu đen V2) - 1L - 20")</f>
        <v>[Nhãn]  GC - IV - 4337 - THÀNH CÔNG AGRI - STOP ĐỌT (Nước nâu đen V2) - 1L - 20</v>
      </c>
      <c r="E5146" s="87" t="str">
        <f>IFERROR(__xludf.DUMMYFUNCTION("""COMPUTED_VALUE"""),"Vi lượng Quantity New")</f>
        <v>Vi lượng Quantity New</v>
      </c>
      <c r="F5146" s="87" t="str">
        <f>IFERROR(__xludf.DUMMYFUNCTION("""COMPUTED_VALUE"""),"HH4337")</f>
        <v>HH4337</v>
      </c>
      <c r="G5146" s="87" t="str">
        <f>IFERROR(__xludf.DUMMYFUNCTION("""COMPUTED_VALUE"""),"GC - IV - 4337 - THÀNH CÔNG AGRI - STOP ĐỌT (Nước nâu đen V2) - 1L - 20")</f>
        <v>GC - IV - 4337 - THÀNH CÔNG AGRI - STOP ĐỌT (Nước nâu đen V2) - 1L - 20</v>
      </c>
    </row>
    <row r="5147">
      <c r="A5147" s="86">
        <f>IFERROR(__xludf.DUMMYFUNCTION("""COMPUTED_VALUE"""),5145.0)</f>
        <v>5145</v>
      </c>
      <c r="B5147" s="87" t="str">
        <f>IFERROR(__xludf.DUMMYFUNCTION("""COMPUTED_VALUE"""),"[Nhãn]")</f>
        <v>[Nhãn]</v>
      </c>
      <c r="C5147" s="87" t="str">
        <f>IFERROR(__xludf.DUMMYFUNCTION("""COMPUTED_VALUE"""),"NHG4327")</f>
        <v>NHG4327</v>
      </c>
      <c r="D5147" s="87" t="str">
        <f>IFERROR(__xludf.DUMMYFUNCTION("""COMPUTED_VALUE"""),"[Nhãn] GC - IV - 4327 - Cty Hóa Nông Shino - SHINO ĐỒNG (Nước xanh dương) - 250ml - 40")</f>
        <v>[Nhãn] GC - IV - 4327 - Cty Hóa Nông Shino - SHINO ĐỒNG (Nước xanh dương) - 250ml - 40</v>
      </c>
      <c r="E5147" s="87" t="str">
        <f>IFERROR(__xludf.DUMMYFUNCTION("""COMPUTED_VALUE"""),"Vi lượng Agama - Cu")</f>
        <v>Vi lượng Agama - Cu</v>
      </c>
      <c r="F5147" s="87" t="str">
        <f>IFERROR(__xludf.DUMMYFUNCTION("""COMPUTED_VALUE"""),"HH4327")</f>
        <v>HH4327</v>
      </c>
      <c r="G5147" s="87" t="str">
        <f>IFERROR(__xludf.DUMMYFUNCTION("""COMPUTED_VALUE"""),"GC - IV - 4327 - Cty Hóa Nông Shino - SHINO ĐỒNG (Nước xanh dương) - 250ml - 40")</f>
        <v>GC - IV - 4327 - Cty Hóa Nông Shino - SHINO ĐỒNG (Nước xanh dương) - 250ml - 40</v>
      </c>
    </row>
    <row r="5148">
      <c r="A5148" s="86">
        <f>IFERROR(__xludf.DUMMYFUNCTION("""COMPUTED_VALUE"""),5146.0)</f>
        <v>5146</v>
      </c>
      <c r="B5148" s="87" t="str">
        <f>IFERROR(__xludf.DUMMYFUNCTION("""COMPUTED_VALUE"""),"[Nhãn]")</f>
        <v>[Nhãn]</v>
      </c>
      <c r="C5148" s="87" t="str">
        <f>IFERROR(__xludf.DUMMYFUNCTION("""COMPUTED_VALUE"""),"NTN4305")</f>
        <v>NTN4305</v>
      </c>
      <c r="D5148" s="87" t="str">
        <f>IFERROR(__xludf.DUMMYFUNCTION("""COMPUTED_VALUE"""),"[Nhãn] GC - IV - 4305 - CSSX An Khang - Metalaxyl (bột trắng) - 100gr - 100")</f>
        <v>[Nhãn] GC - IV - 4305 - CSSX An Khang - Metalaxyl (bột trắng) - 100gr - 100</v>
      </c>
      <c r="E5148" s="87" t="str">
        <f>IFERROR(__xludf.DUMMYFUNCTION("""COMPUTED_VALUE"""),"Acodyl 35WP")</f>
        <v>Acodyl 35WP</v>
      </c>
      <c r="F5148" s="87" t="str">
        <f>IFERROR(__xludf.DUMMYFUNCTION("""COMPUTED_VALUE"""),"HH4305")</f>
        <v>HH4305</v>
      </c>
      <c r="G5148" s="87" t="str">
        <f>IFERROR(__xludf.DUMMYFUNCTION("""COMPUTED_VALUE"""),"GC - IV - 4305 - CSSX An Khang - Metalaxyl (bột trắng) - 100gr - 100")</f>
        <v>GC - IV - 4305 - CSSX An Khang - Metalaxyl (bột trắng) - 100gr - 100</v>
      </c>
    </row>
    <row r="5149">
      <c r="A5149" s="86">
        <f>IFERROR(__xludf.DUMMYFUNCTION("""COMPUTED_VALUE"""),5147.0)</f>
        <v>5147</v>
      </c>
      <c r="B5149" s="87" t="str">
        <f>IFERROR(__xludf.DUMMYFUNCTION("""COMPUTED_VALUE"""),"[Nhãn Thùng]")</f>
        <v>[Nhãn Thùng]</v>
      </c>
      <c r="C5149" s="87" t="str">
        <f>IFERROR(__xludf.DUMMYFUNCTION("""COMPUTED_VALUE"""),"NDT4305")</f>
        <v>NDT4305</v>
      </c>
      <c r="D5149" s="87" t="str">
        <f>IFERROR(__xludf.DUMMYFUNCTION("""COMPUTED_VALUE"""),"[Nhãn Thùng] GC - IV - 4305 - CSSX An Khang - Metalaxyl (bột trắng) - 100gr - 100")</f>
        <v>[Nhãn Thùng] GC - IV - 4305 - CSSX An Khang - Metalaxyl (bột trắng) - 100gr - 100</v>
      </c>
      <c r="E5149" s="87" t="str">
        <f>IFERROR(__xludf.DUMMYFUNCTION("""COMPUTED_VALUE"""),"Acodyl 35WP")</f>
        <v>Acodyl 35WP</v>
      </c>
      <c r="F5149" s="87" t="str">
        <f>IFERROR(__xludf.DUMMYFUNCTION("""COMPUTED_VALUE"""),"HH4305")</f>
        <v>HH4305</v>
      </c>
      <c r="G5149" s="87" t="str">
        <f>IFERROR(__xludf.DUMMYFUNCTION("""COMPUTED_VALUE"""),"GC - IV - 4305 - CSSX An Khang - Metalaxyl (bột trắng) - 100gr - 100")</f>
        <v>GC - IV - 4305 - CSSX An Khang - Metalaxyl (bột trắng) - 100gr - 100</v>
      </c>
    </row>
    <row r="5150">
      <c r="A5150" s="86">
        <f>IFERROR(__xludf.DUMMYFUNCTION("""COMPUTED_VALUE"""),5148.0)</f>
        <v>5148</v>
      </c>
      <c r="B5150" s="87" t="str">
        <f>IFERROR(__xludf.DUMMYFUNCTION("""COMPUTED_VALUE"""),"[Nhãn]")</f>
        <v>[Nhãn]</v>
      </c>
      <c r="C5150" s="87" t="str">
        <f>IFERROR(__xludf.DUMMYFUNCTION("""COMPUTED_VALUE"""),"NHG4331")</f>
        <v>NHG4331</v>
      </c>
      <c r="D5150" s="87" t="str">
        <f>IFERROR(__xludf.DUMMYFUNCTION("""COMPUTED_VALUE"""),"[Nhãn] IDA Global - I - 4331 - ĐL PHƯỚC THẠNH - FLOWER TOP SC (Nước trắng sữa) - 450ml - 40")</f>
        <v>[Nhãn] IDA Global - I - 4331 - ĐL PHƯỚC THẠNH - FLOWER TOP SC (Nước trắng sữa) - 450ml - 40</v>
      </c>
      <c r="E5150" s="87" t="str">
        <f>IFERROR(__xludf.DUMMYFUNCTION("""COMPUTED_VALUE"""),"Vi lượng Basel IDA 47")</f>
        <v>Vi lượng Basel IDA 47</v>
      </c>
      <c r="F5150" s="87" t="str">
        <f>IFERROR(__xludf.DUMMYFUNCTION("""COMPUTED_VALUE"""),"HH4331")</f>
        <v>HH4331</v>
      </c>
      <c r="G5150" s="87" t="str">
        <f>IFERROR(__xludf.DUMMYFUNCTION("""COMPUTED_VALUE"""),"IDA Global - I - 4331 - ĐL PHƯỚC THẠNH - FLOWER TOP SC (Nước trắng sữa) - 450ml - 40")</f>
        <v>IDA Global - I - 4331 - ĐL PHƯỚC THẠNH - FLOWER TOP SC (Nước trắng sữa) - 450ml - 40</v>
      </c>
    </row>
    <row r="5151">
      <c r="A5151" s="86">
        <f>IFERROR(__xludf.DUMMYFUNCTION("""COMPUTED_VALUE"""),5149.0)</f>
        <v>5149</v>
      </c>
      <c r="B5151" s="87" t="str">
        <f>IFERROR(__xludf.DUMMYFUNCTION("""COMPUTED_VALUE"""),"[Nhãn Thùng]")</f>
        <v>[Nhãn Thùng]</v>
      </c>
      <c r="C5151" s="87" t="str">
        <f>IFERROR(__xludf.DUMMYFUNCTION("""COMPUTED_VALUE"""),"NDT4331")</f>
        <v>NDT4331</v>
      </c>
      <c r="D5151" s="87" t="str">
        <f>IFERROR(__xludf.DUMMYFUNCTION("""COMPUTED_VALUE"""),"[Nhãn Thùng] IDA Global - I - 4331 - ĐL PHƯỚC THẠNH - FLOWER TOP SC (Nước trắng sữa) - 450ml - 40")</f>
        <v>[Nhãn Thùng] IDA Global - I - 4331 - ĐL PHƯỚC THẠNH - FLOWER TOP SC (Nước trắng sữa) - 450ml - 40</v>
      </c>
      <c r="E5151" s="87" t="str">
        <f>IFERROR(__xludf.DUMMYFUNCTION("""COMPUTED_VALUE"""),"Vi lượng Basel IDA 47")</f>
        <v>Vi lượng Basel IDA 47</v>
      </c>
      <c r="F5151" s="87" t="str">
        <f>IFERROR(__xludf.DUMMYFUNCTION("""COMPUTED_VALUE"""),"HH4331")</f>
        <v>HH4331</v>
      </c>
      <c r="G5151" s="87" t="str">
        <f>IFERROR(__xludf.DUMMYFUNCTION("""COMPUTED_VALUE"""),"IDA Global - I - 4331 - ĐL PHƯỚC THẠNH - FLOWER TOP SC (Nước trắng sữa) - 450ml - 40")</f>
        <v>IDA Global - I - 4331 - ĐL PHƯỚC THẠNH - FLOWER TOP SC (Nước trắng sữa) - 450ml - 40</v>
      </c>
    </row>
    <row r="5152">
      <c r="A5152" s="86">
        <f>IFERROR(__xludf.DUMMYFUNCTION("""COMPUTED_VALUE"""),5150.0)</f>
        <v>5150</v>
      </c>
      <c r="B5152" s="87" t="str">
        <f>IFERROR(__xludf.DUMMYFUNCTION("""COMPUTED_VALUE"""),"[Nhãn]")</f>
        <v>[Nhãn]</v>
      </c>
      <c r="C5152" s="87" t="str">
        <f>IFERROR(__xludf.DUMMYFUNCTION("""COMPUTED_VALUE"""),"NTN4335")</f>
        <v>NTN4335</v>
      </c>
      <c r="D5152" s="87" t="str">
        <f>IFERROR(__xludf.DUMMYFUNCTION("""COMPUTED_VALUE"""),"[Nhãn] IDA Global - I - 4335 - ĐL PHƯỚC THẠNH - METALAXYL (Bột màu trắng) - 100gr - 100")</f>
        <v>[Nhãn] IDA Global - I - 4335 - ĐL PHƯỚC THẠNH - METALAXYL (Bột màu trắng) - 100gr - 100</v>
      </c>
      <c r="E5152" s="87" t="str">
        <f>IFERROR(__xludf.DUMMYFUNCTION("""COMPUTED_VALUE"""),"Acodyl 35WP")</f>
        <v>Acodyl 35WP</v>
      </c>
      <c r="F5152" s="87" t="str">
        <f>IFERROR(__xludf.DUMMYFUNCTION("""COMPUTED_VALUE"""),"HH4335")</f>
        <v>HH4335</v>
      </c>
      <c r="G5152" s="87" t="str">
        <f>IFERROR(__xludf.DUMMYFUNCTION("""COMPUTED_VALUE"""),"IDA Global - I - 4335 - ĐL PHƯỚC THẠNH - METALAXYL (Bột màu trắng) - 100gr - 100")</f>
        <v>IDA Global - I - 4335 - ĐL PHƯỚC THẠNH - METALAXYL (Bột màu trắng) - 100gr - 100</v>
      </c>
    </row>
    <row r="5153">
      <c r="A5153" s="86">
        <f>IFERROR(__xludf.DUMMYFUNCTION("""COMPUTED_VALUE"""),5151.0)</f>
        <v>5151</v>
      </c>
      <c r="B5153" s="87" t="str">
        <f>IFERROR(__xludf.DUMMYFUNCTION("""COMPUTED_VALUE"""),"[Nhãn]")</f>
        <v>[Nhãn]</v>
      </c>
      <c r="C5153" s="87" t="str">
        <f>IFERROR(__xludf.DUMMYFUNCTION("""COMPUTED_VALUE"""),"NHG4336")</f>
        <v>NHG4336</v>
      </c>
      <c r="D5153" s="87" t="str">
        <f>IFERROR(__xludf.DUMMYFUNCTION("""COMPUTED_VALUE"""),"[Nhãn] IDA Global - I - 4336 - ĐL PHƯỚC THẠNH - Vua Chim Trĩ (Nước trắng sữa) - 240ml - 40")</f>
        <v>[Nhãn] IDA Global - I - 4336 - ĐL PHƯỚC THẠNH - Vua Chim Trĩ (Nước trắng sữa) - 240ml - 40</v>
      </c>
      <c r="E5153" s="87" t="str">
        <f>IFERROR(__xludf.DUMMYFUNCTION("""COMPUTED_VALUE"""),"VOTE 34.2SC")</f>
        <v>VOTE 34.2SC</v>
      </c>
      <c r="F5153" s="87" t="str">
        <f>IFERROR(__xludf.DUMMYFUNCTION("""COMPUTED_VALUE"""),"HH4336")</f>
        <v>HH4336</v>
      </c>
      <c r="G5153" s="87" t="str">
        <f>IFERROR(__xludf.DUMMYFUNCTION("""COMPUTED_VALUE"""),"IDA Global - I - 4336 - ĐL PHƯỚC THẠNH - Vua Chim Trĩ (Nước trắng sữa) - 240ml - 40")</f>
        <v>IDA Global - I - 4336 - ĐL PHƯỚC THẠNH - Vua Chim Trĩ (Nước trắng sữa) - 240ml - 40</v>
      </c>
    </row>
    <row r="5154">
      <c r="A5154" s="86">
        <f>IFERROR(__xludf.DUMMYFUNCTION("""COMPUTED_VALUE"""),5152.0)</f>
        <v>5152</v>
      </c>
      <c r="B5154" s="87" t="str">
        <f>IFERROR(__xludf.DUMMYFUNCTION("""COMPUTED_VALUE"""),"[Nhãn Thùng]")</f>
        <v>[Nhãn Thùng]</v>
      </c>
      <c r="C5154" s="87" t="str">
        <f>IFERROR(__xludf.DUMMYFUNCTION("""COMPUTED_VALUE"""),"NDT4335")</f>
        <v>NDT4335</v>
      </c>
      <c r="D5154" s="87" t="str">
        <f>IFERROR(__xludf.DUMMYFUNCTION("""COMPUTED_VALUE"""),"[Nhãn Thùng] IDA Global - I - 4335 - ĐL PHƯỚC THẠNH - METALAXYL (Bột màu trắng) - 100gr - 100")</f>
        <v>[Nhãn Thùng] IDA Global - I - 4335 - ĐL PHƯỚC THẠNH - METALAXYL (Bột màu trắng) - 100gr - 100</v>
      </c>
      <c r="E5154" s="87" t="str">
        <f>IFERROR(__xludf.DUMMYFUNCTION("""COMPUTED_VALUE"""),"Acodyl 35WP")</f>
        <v>Acodyl 35WP</v>
      </c>
      <c r="F5154" s="87" t="str">
        <f>IFERROR(__xludf.DUMMYFUNCTION("""COMPUTED_VALUE"""),"HH4335")</f>
        <v>HH4335</v>
      </c>
      <c r="G5154" s="87" t="str">
        <f>IFERROR(__xludf.DUMMYFUNCTION("""COMPUTED_VALUE"""),"IDA Global - I - 4335 - ĐL PHƯỚC THẠNH - METALAXYL (Bột màu trắng) - 100gr - 100")</f>
        <v>IDA Global - I - 4335 - ĐL PHƯỚC THẠNH - METALAXYL (Bột màu trắng) - 100gr - 100</v>
      </c>
    </row>
    <row r="5155">
      <c r="A5155" s="86">
        <f>IFERROR(__xludf.DUMMYFUNCTION("""COMPUTED_VALUE"""),5153.0)</f>
        <v>5153</v>
      </c>
      <c r="B5155" s="87" t="str">
        <f>IFERROR(__xludf.DUMMYFUNCTION("""COMPUTED_VALUE"""),"[Nhãn]")</f>
        <v>[Nhãn]</v>
      </c>
      <c r="C5155" s="87" t="str">
        <f>IFERROR(__xludf.DUMMYFUNCTION("""COMPUTED_VALUE"""),"NHG4334")</f>
        <v>NHG4334</v>
      </c>
      <c r="D5155" s="87" t="str">
        <f>IFERROR(__xludf.DUMMYFUNCTION("""COMPUTED_VALUE"""),"[Nhãn] IDA Global - I - 4334 - ĐL PHƯỚC THẠNH - PT VIL (Nước trắng sữa) - 1L - 20")</f>
        <v>[Nhãn] IDA Global - I - 4334 - ĐL PHƯỚC THẠNH - PT VIL (Nước trắng sữa) - 1L - 20</v>
      </c>
      <c r="E5155" s="87" t="str">
        <f>IFERROR(__xludf.DUMMYFUNCTION("""COMPUTED_VALUE"""),"Mekongvil 5SC")</f>
        <v>Mekongvil 5SC</v>
      </c>
      <c r="F5155" s="87" t="str">
        <f>IFERROR(__xludf.DUMMYFUNCTION("""COMPUTED_VALUE"""),"HH4334")</f>
        <v>HH4334</v>
      </c>
      <c r="G5155" s="87" t="str">
        <f>IFERROR(__xludf.DUMMYFUNCTION("""COMPUTED_VALUE"""),"IDA Global - I - 4334 - ĐL PHƯỚC THẠNH - PT VIL (Nước trắng sữa) - 1L - 20")</f>
        <v>IDA Global - I - 4334 - ĐL PHƯỚC THẠNH - PT VIL (Nước trắng sữa) - 1L - 20</v>
      </c>
    </row>
    <row r="5156">
      <c r="A5156" s="86">
        <f>IFERROR(__xludf.DUMMYFUNCTION("""COMPUTED_VALUE"""),5154.0)</f>
        <v>5154</v>
      </c>
      <c r="B5156" s="87" t="str">
        <f>IFERROR(__xludf.DUMMYFUNCTION("""COMPUTED_VALUE"""),"[Nhãn]")</f>
        <v>[Nhãn]</v>
      </c>
      <c r="C5156" s="87" t="str">
        <f>IFERROR(__xludf.DUMMYFUNCTION("""COMPUTED_VALUE"""),"NHD4342")</f>
        <v>NHD4342</v>
      </c>
      <c r="D5156" s="87" t="str">
        <f>IFERROR(__xludf.DUMMYFUNCTION("""COMPUTED_VALUE"""),"[Nhãn] GC - IV - 4342 - CTY LÂM THÀNH - LÊN CƠM (Bột trắng) - 10kg - 1")</f>
        <v>[Nhãn] GC - IV - 4342 - CTY LÂM THÀNH - LÊN CƠM (Bột trắng) - 10kg - 1</v>
      </c>
      <c r="E5156" s="87" t="str">
        <f>IFERROR(__xludf.DUMMYFUNCTION("""COMPUTED_VALUE"""),"Hỗn hợp NPK GNC 102")</f>
        <v>Hỗn hợp NPK GNC 102</v>
      </c>
      <c r="F5156" s="87" t="str">
        <f>IFERROR(__xludf.DUMMYFUNCTION("""COMPUTED_VALUE"""),"HH4342")</f>
        <v>HH4342</v>
      </c>
      <c r="G5156" s="87" t="str">
        <f>IFERROR(__xludf.DUMMYFUNCTION("""COMPUTED_VALUE"""),"GC - IV - 4342 - CTY LÂM THÀNH - LÊN CƠM (Bột trắng) - 10kg - 1")</f>
        <v>GC - IV - 4342 - CTY LÂM THÀNH - LÊN CƠM (Bột trắng) - 10kg - 1</v>
      </c>
    </row>
    <row r="5157">
      <c r="A5157" s="86">
        <f>IFERROR(__xludf.DUMMYFUNCTION("""COMPUTED_VALUE"""),5155.0)</f>
        <v>5155</v>
      </c>
      <c r="B5157" s="87" t="str">
        <f>IFERROR(__xludf.DUMMYFUNCTION("""COMPUTED_VALUE"""),"[Nhãn]")</f>
        <v>[Nhãn]</v>
      </c>
      <c r="C5157" s="87" t="str">
        <f>IFERROR(__xludf.DUMMYFUNCTION("""COMPUTED_VALUE"""),"NHG4348")</f>
        <v>NHG4348</v>
      </c>
      <c r="D5157" s="87" t="str">
        <f>IFERROR(__xludf.DUMMYFUNCTION("""COMPUTED_VALUE"""),"[Nhãn] GC - IV - 4348 - Cty Hương Nông - Đậu Trái (nước vàng mật ong) - 500ml - 40")</f>
        <v>[Nhãn] GC - IV - 4348 - Cty Hương Nông - Đậu Trái (nước vàng mật ong) - 500ml - 40</v>
      </c>
      <c r="E5157" s="87" t="str">
        <f>IFERROR(__xludf.DUMMYFUNCTION("""COMPUTED_VALUE"""),"Vi lượng Run Fast")</f>
        <v>Vi lượng Run Fast</v>
      </c>
      <c r="F5157" s="87" t="str">
        <f>IFERROR(__xludf.DUMMYFUNCTION("""COMPUTED_VALUE"""),"HH4348")</f>
        <v>HH4348</v>
      </c>
      <c r="G5157" s="87" t="str">
        <f>IFERROR(__xludf.DUMMYFUNCTION("""COMPUTED_VALUE"""),"GC - IV - 4348 - Cty Hương Nông - Đậu Trái (nước vàng mật ong) - 500ml - 40")</f>
        <v>GC - IV - 4348 - Cty Hương Nông - Đậu Trái (nước vàng mật ong) - 500ml - 40</v>
      </c>
    </row>
    <row r="5158">
      <c r="A5158" s="86">
        <f>IFERROR(__xludf.DUMMYFUNCTION("""COMPUTED_VALUE"""),5156.0)</f>
        <v>5156</v>
      </c>
      <c r="B5158" s="87" t="str">
        <f>IFERROR(__xludf.DUMMYFUNCTION("""COMPUTED_VALUE"""),"[Nhãn]")</f>
        <v>[Nhãn]</v>
      </c>
      <c r="C5158" s="87" t="str">
        <f>IFERROR(__xludf.DUMMYFUNCTION("""COMPUTED_VALUE"""),"NHG4333")</f>
        <v>NHG4333</v>
      </c>
      <c r="D5158" s="87" t="str">
        <f>IFERROR(__xludf.DUMMYFUNCTION("""COMPUTED_VALUE"""),"[Nhãn] IDA Global - I - 4333 - ĐL PHƯỚC THẠNH - WINNER X2 (Nước đỏ cam) - 500ml - 40")</f>
        <v>[Nhãn] IDA Global - I - 4333 - ĐL PHƯỚC THẠNH - WINNER X2 (Nước đỏ cam) - 500ml - 40</v>
      </c>
      <c r="E5158" s="87" t="str">
        <f>IFERROR(__xludf.DUMMYFUNCTION("""COMPUTED_VALUE"""),"NPK-Vi lượng MASSIVE-BLUE")</f>
        <v>NPK-Vi lượng MASSIVE-BLUE</v>
      </c>
      <c r="F5158" s="87" t="str">
        <f>IFERROR(__xludf.DUMMYFUNCTION("""COMPUTED_VALUE"""),"HH4333")</f>
        <v>HH4333</v>
      </c>
      <c r="G5158" s="87" t="str">
        <f>IFERROR(__xludf.DUMMYFUNCTION("""COMPUTED_VALUE"""),"IDA Global - I - 4333 - ĐL PHƯỚC THẠNH - WINNER X2 (Nước đỏ cam) - 500ml - 40")</f>
        <v>IDA Global - I - 4333 - ĐL PHƯỚC THẠNH - WINNER X2 (Nước đỏ cam) - 500ml - 40</v>
      </c>
    </row>
    <row r="5159">
      <c r="A5159" s="86">
        <f>IFERROR(__xludf.DUMMYFUNCTION("""COMPUTED_VALUE"""),5157.0)</f>
        <v>5157</v>
      </c>
      <c r="B5159" s="87" t="str">
        <f>IFERROR(__xludf.DUMMYFUNCTION("""COMPUTED_VALUE"""),"[Nhãn]")</f>
        <v>[Nhãn]</v>
      </c>
      <c r="C5159" s="87" t="str">
        <f>IFERROR(__xludf.DUMMYFUNCTION("""COMPUTED_VALUE"""),"NHG4332")</f>
        <v>NHG4332</v>
      </c>
      <c r="D5159" s="87" t="str">
        <f>IFERROR(__xludf.DUMMYFUNCTION("""COMPUTED_VALUE"""),"[Nhãn] IDA Global - I - 4332 - ĐL PHƯỚC THẠNH - PICOSUPER 280SC (Nước trắng sữa) - 250ml - 40")</f>
        <v>[Nhãn] IDA Global - I - 4332 - ĐL PHƯỚC THẠNH - PICOSUPER 280SC (Nước trắng sữa) - 250ml - 40</v>
      </c>
      <c r="E5159" s="87" t="str">
        <f>IFERROR(__xludf.DUMMYFUNCTION("""COMPUTED_VALUE"""),"PICOSUPER 280SC")</f>
        <v>PICOSUPER 280SC</v>
      </c>
      <c r="F5159" s="87" t="str">
        <f>IFERROR(__xludf.DUMMYFUNCTION("""COMPUTED_VALUE"""),"HH4332")</f>
        <v>HH4332</v>
      </c>
      <c r="G5159" s="87" t="str">
        <f>IFERROR(__xludf.DUMMYFUNCTION("""COMPUTED_VALUE"""),"IDA Global - I - 4332 - ĐL PHƯỚC THẠNH - PICOSUPER 280SC (Nước trắng sữa) - 250ml - 40")</f>
        <v>IDA Global - I - 4332 - ĐL PHƯỚC THẠNH - PICOSUPER 280SC (Nước trắng sữa) - 250ml - 40</v>
      </c>
    </row>
    <row r="5160">
      <c r="A5160" s="86">
        <f>IFERROR(__xludf.DUMMYFUNCTION("""COMPUTED_VALUE"""),5158.0)</f>
        <v>5158</v>
      </c>
      <c r="B5160" s="87" t="str">
        <f>IFERROR(__xludf.DUMMYFUNCTION("""COMPUTED_VALUE"""),"[Nhãn]")</f>
        <v>[Nhãn]</v>
      </c>
      <c r="C5160" s="87" t="str">
        <f>IFERROR(__xludf.DUMMYFUNCTION("""COMPUTED_VALUE"""),"NHG4340")</f>
        <v>NHG4340</v>
      </c>
      <c r="D5160" s="87" t="str">
        <f>IFERROR(__xludf.DUMMYFUNCTION("""COMPUTED_VALUE"""),"[Nhãn] GC - IV - 4340 - GNH - Siêu Kích Rễ (Nước nâu đen) - 500ml - 40")</f>
        <v>[Nhãn] GC - IV - 4340 - GNH - Siêu Kích Rễ (Nước nâu đen) - 500ml - 40</v>
      </c>
      <c r="E5160" s="87" t="str">
        <f>IFERROR(__xludf.DUMMYFUNCTION("""COMPUTED_VALUE"""),"Vi lượng Quantity New")</f>
        <v>Vi lượng Quantity New</v>
      </c>
      <c r="F5160" s="87" t="str">
        <f>IFERROR(__xludf.DUMMYFUNCTION("""COMPUTED_VALUE"""),"HH4340")</f>
        <v>HH4340</v>
      </c>
      <c r="G5160" s="87" t="str">
        <f>IFERROR(__xludf.DUMMYFUNCTION("""COMPUTED_VALUE"""),"GC - IV - 4340 - GNH - Siêu Kích Rễ (Nước nâu đen) - 500ml - 40")</f>
        <v>GC - IV - 4340 - GNH - Siêu Kích Rễ (Nước nâu đen) - 500ml - 40</v>
      </c>
    </row>
    <row r="5161">
      <c r="A5161" s="86">
        <f>IFERROR(__xludf.DUMMYFUNCTION("""COMPUTED_VALUE"""),5159.0)</f>
        <v>5159</v>
      </c>
      <c r="B5161" s="87" t="str">
        <f>IFERROR(__xludf.DUMMYFUNCTION("""COMPUTED_VALUE"""),"[Nhãn]")</f>
        <v>[Nhãn]</v>
      </c>
      <c r="C5161" s="87" t="str">
        <f>IFERROR(__xludf.DUMMYFUNCTION("""COMPUTED_VALUE"""),"NHG4312")</f>
        <v>NHG4312</v>
      </c>
      <c r="D5161" s="87" t="str">
        <f>IFERROR(__xludf.DUMMYFUNCTION("""COMPUTED_VALUE"""),"[Nhãn] GC - II - 4312 - AGC (TÂY NGUYÊN) - MEKONGVIL 5SC (Nước trắng sữa) - 1L - 20")</f>
        <v>[Nhãn] GC - II - 4312 - AGC (TÂY NGUYÊN) - MEKONGVIL 5SC (Nước trắng sữa) - 1L - 20</v>
      </c>
      <c r="E5161" s="87" t="str">
        <f>IFERROR(__xludf.DUMMYFUNCTION("""COMPUTED_VALUE"""),"Mekongvil 5SC")</f>
        <v>Mekongvil 5SC</v>
      </c>
      <c r="F5161" s="87" t="str">
        <f>IFERROR(__xludf.DUMMYFUNCTION("""COMPUTED_VALUE"""),"HH4312")</f>
        <v>HH4312</v>
      </c>
      <c r="G5161" s="87" t="str">
        <f>IFERROR(__xludf.DUMMYFUNCTION("""COMPUTED_VALUE"""),"GC - II - 4312 - AGC (TÂY NGUYÊN) - MEKONGVIL 5SC (Nước trắng sữa) - 1L - 20")</f>
        <v>GC - II - 4312 - AGC (TÂY NGUYÊN) - MEKONGVIL 5SC (Nước trắng sữa) - 1L - 20</v>
      </c>
    </row>
    <row r="5162">
      <c r="A5162" s="86">
        <f>IFERROR(__xludf.DUMMYFUNCTION("""COMPUTED_VALUE"""),5160.0)</f>
        <v>5160</v>
      </c>
      <c r="B5162" s="87" t="str">
        <f>IFERROR(__xludf.DUMMYFUNCTION("""COMPUTED_VALUE"""),"[Nhãn]")</f>
        <v>[Nhãn]</v>
      </c>
      <c r="C5162" s="87" t="str">
        <f>IFERROR(__xludf.DUMMYFUNCTION("""COMPUTED_VALUE"""),"NHG4304")</f>
        <v>NHG4304</v>
      </c>
      <c r="D5162" s="87" t="str">
        <f>IFERROR(__xludf.DUMMYFUNCTION("""COMPUTED_VALUE"""),"[Nhãn] GC - IV - 4304 - CSSX An Khang (A.Dinh) - TAK09 (Nước nâu đen) - 500ml - 40")</f>
        <v>[Nhãn] GC - IV - 4304 - CSSX An Khang (A.Dinh) - TAK09 (Nước nâu đen) - 500ml - 40</v>
      </c>
      <c r="E5162" s="87" t="str">
        <f>IFERROR(__xludf.DUMMYFUNCTION("""COMPUTED_VALUE"""),"Hữu cơ SH Agro Organic Fertilizer 20")</f>
        <v>Hữu cơ SH Agro Organic Fertilizer 20</v>
      </c>
      <c r="F5162" s="87" t="str">
        <f>IFERROR(__xludf.DUMMYFUNCTION("""COMPUTED_VALUE"""),"HH4304")</f>
        <v>HH4304</v>
      </c>
      <c r="G5162" s="87" t="str">
        <f>IFERROR(__xludf.DUMMYFUNCTION("""COMPUTED_VALUE"""),"GC - IV - 4304 - CSSX An Khang (A.Dinh) - TAK09 (Nước nâu đen) - 500ml - 40")</f>
        <v>GC - IV - 4304 - CSSX An Khang (A.Dinh) - TAK09 (Nước nâu đen) - 500ml - 40</v>
      </c>
    </row>
    <row r="5163">
      <c r="A5163" s="86">
        <f>IFERROR(__xludf.DUMMYFUNCTION("""COMPUTED_VALUE"""),5161.0)</f>
        <v>5161</v>
      </c>
      <c r="B5163" s="87" t="str">
        <f>IFERROR(__xludf.DUMMYFUNCTION("""COMPUTED_VALUE"""),"[Nhãn]")</f>
        <v>[Nhãn]</v>
      </c>
      <c r="C5163" s="87" t="str">
        <f>IFERROR(__xludf.DUMMYFUNCTION("""COMPUTED_VALUE"""),"NHD4303")</f>
        <v>NHD4303</v>
      </c>
      <c r="D5163" s="87" t="str">
        <f>IFERROR(__xludf.DUMMYFUNCTION("""COMPUTED_VALUE"""),"[Nhãn] GC - IV - 4303 - CSSX An Khang (A.Dinh) - TAK06 (Gel nâu đen) - 5L - 4")</f>
        <v>[Nhãn] GC - IV - 4303 - CSSX An Khang (A.Dinh) - TAK06 (Gel nâu đen) - 5L - 4</v>
      </c>
      <c r="E5163" s="87" t="str">
        <f>IFERROR(__xludf.DUMMYFUNCTION("""COMPUTED_VALUE"""),"Vi lượng Run Fast")</f>
        <v>Vi lượng Run Fast</v>
      </c>
      <c r="F5163" s="87" t="str">
        <f>IFERROR(__xludf.DUMMYFUNCTION("""COMPUTED_VALUE"""),"HH4303")</f>
        <v>HH4303</v>
      </c>
      <c r="G5163" s="87" t="str">
        <f>IFERROR(__xludf.DUMMYFUNCTION("""COMPUTED_VALUE"""),"GC - IV - 4303 - CSSX An Khang (A.Dinh) - TAK06 (Gel nâu đen) - 5L - 4")</f>
        <v>GC - IV - 4303 - CSSX An Khang (A.Dinh) - TAK06 (Gel nâu đen) - 5L - 4</v>
      </c>
    </row>
    <row r="5164">
      <c r="A5164" s="86">
        <f>IFERROR(__xludf.DUMMYFUNCTION("""COMPUTED_VALUE"""),5162.0)</f>
        <v>5162</v>
      </c>
      <c r="B5164" s="87" t="str">
        <f>IFERROR(__xludf.DUMMYFUNCTION("""COMPUTED_VALUE"""),"[Nhãn]")</f>
        <v>[Nhãn]</v>
      </c>
      <c r="C5164" s="87" t="str">
        <f>IFERROR(__xludf.DUMMYFUNCTION("""COMPUTED_VALUE"""),"NTN4355")</f>
        <v>NTN4355</v>
      </c>
      <c r="D5164" s="87" t="str">
        <f>IFERROR(__xludf.DUMMYFUNCTION("""COMPUTED_VALUE"""),"[Nhãn]  IDA GLOBAL - I - 4355 - NOFARA 35WG (Dạng cốm màu trắng ngà) - 30gr - 300")</f>
        <v>[Nhãn]  IDA GLOBAL - I - 4355 - NOFARA 35WG (Dạng cốm màu trắng ngà) - 30gr - 300</v>
      </c>
      <c r="E5164" s="87" t="str">
        <f>IFERROR(__xludf.DUMMYFUNCTION("""COMPUTED_VALUE"""),"NOFARA 35WG")</f>
        <v>NOFARA 35WG</v>
      </c>
      <c r="F5164" s="87" t="str">
        <f>IFERROR(__xludf.DUMMYFUNCTION("""COMPUTED_VALUE"""),"HH4355")</f>
        <v>HH4355</v>
      </c>
      <c r="G5164" s="87" t="str">
        <f>IFERROR(__xludf.DUMMYFUNCTION("""COMPUTED_VALUE"""),"IDA GLOBAL - I - 4355 - NOFARA 35WG (Dạng cốm màu trắng ngà) - 30gr - 300")</f>
        <v>IDA GLOBAL - I - 4355 - NOFARA 35WG (Dạng cốm màu trắng ngà) - 30gr - 300</v>
      </c>
    </row>
    <row r="5165">
      <c r="A5165" s="86">
        <f>IFERROR(__xludf.DUMMYFUNCTION("""COMPUTED_VALUE"""),5163.0)</f>
        <v>5163</v>
      </c>
      <c r="B5165" s="87" t="str">
        <f>IFERROR(__xludf.DUMMYFUNCTION("""COMPUTED_VALUE"""),"[Nhãn Thùng]")</f>
        <v>[Nhãn Thùng]</v>
      </c>
      <c r="C5165" s="87" t="str">
        <f>IFERROR(__xludf.DUMMYFUNCTION("""COMPUTED_VALUE"""),"NDT4355")</f>
        <v>NDT4355</v>
      </c>
      <c r="D5165" s="87" t="str">
        <f>IFERROR(__xludf.DUMMYFUNCTION("""COMPUTED_VALUE"""),"[Nhãn Thùng]  IDA GLOBAL - I - 4355 - NOFARA 35WG (Dạng cốm màu trắng ngà) - 30gr - 300")</f>
        <v>[Nhãn Thùng]  IDA GLOBAL - I - 4355 - NOFARA 35WG (Dạng cốm màu trắng ngà) - 30gr - 300</v>
      </c>
      <c r="E5165" s="87" t="str">
        <f>IFERROR(__xludf.DUMMYFUNCTION("""COMPUTED_VALUE"""),"NOFARA 35WG")</f>
        <v>NOFARA 35WG</v>
      </c>
      <c r="F5165" s="87" t="str">
        <f>IFERROR(__xludf.DUMMYFUNCTION("""COMPUTED_VALUE"""),"HH4355")</f>
        <v>HH4355</v>
      </c>
      <c r="G5165" s="87" t="str">
        <f>IFERROR(__xludf.DUMMYFUNCTION("""COMPUTED_VALUE"""),"IDA GLOBAL - I - 4355 - NOFARA 35WG (Dạng cốm màu trắng ngà) - 30gr - 300")</f>
        <v>IDA GLOBAL - I - 4355 - NOFARA 35WG (Dạng cốm màu trắng ngà) - 30gr - 300</v>
      </c>
    </row>
    <row r="5166">
      <c r="A5166" s="86">
        <f>IFERROR(__xludf.DUMMYFUNCTION("""COMPUTED_VALUE"""),5164.0)</f>
        <v>5164</v>
      </c>
      <c r="B5166" s="87" t="str">
        <f>IFERROR(__xludf.DUMMYFUNCTION("""COMPUTED_VALUE"""),"[Nhãn]")</f>
        <v>[Nhãn]</v>
      </c>
      <c r="C5166" s="87" t="str">
        <f>IFERROR(__xludf.DUMMYFUNCTION("""COMPUTED_VALUE"""),"NHG4349")</f>
        <v>NHG4349</v>
      </c>
      <c r="D5166" s="87" t="str">
        <f>IFERROR(__xludf.DUMMYFUNCTION("""COMPUTED_VALUE"""),"[Nhãn] GC - IV - 4349 - Sen Hồng - Mập Đòng  (Gel nâu đen) - 500ml - 40")</f>
        <v>[Nhãn] GC - IV - 4349 - Sen Hồng - Mập Đòng  (Gel nâu đen) - 500ml - 40</v>
      </c>
      <c r="E5166" s="87" t="str">
        <f>IFERROR(__xludf.DUMMYFUNCTION("""COMPUTED_VALUE"""),"Vi lượng Basel VA02")</f>
        <v>Vi lượng Basel VA02</v>
      </c>
      <c r="F5166" s="87" t="str">
        <f>IFERROR(__xludf.DUMMYFUNCTION("""COMPUTED_VALUE"""),"HH4349")</f>
        <v>HH4349</v>
      </c>
      <c r="G5166" s="87" t="str">
        <f>IFERROR(__xludf.DUMMYFUNCTION("""COMPUTED_VALUE"""),"GC - IV - 4349 - Sen Hồng - Mập Đòng  (Gel nâu đen) - 500ml - 40")</f>
        <v>GC - IV - 4349 - Sen Hồng - Mập Đòng  (Gel nâu đen) - 500ml - 40</v>
      </c>
    </row>
    <row r="5167">
      <c r="A5167" s="86">
        <f>IFERROR(__xludf.DUMMYFUNCTION("""COMPUTED_VALUE"""),5165.0)</f>
        <v>5165</v>
      </c>
      <c r="B5167" s="87" t="str">
        <f>IFERROR(__xludf.DUMMYFUNCTION("""COMPUTED_VALUE"""),"[Nhãn]")</f>
        <v>[Nhãn]</v>
      </c>
      <c r="C5167" s="87" t="str">
        <f>IFERROR(__xludf.DUMMYFUNCTION("""COMPUTED_VALUE"""),"NHG4294")</f>
        <v>NHG4294</v>
      </c>
      <c r="D5167" s="87" t="str">
        <f>IFERROR(__xludf.DUMMYFUNCTION("""COMPUTED_VALUE"""),"[Nhãn] GC - IV - 4294 - CTY CAPY GLOBAL - 10-60-10 TE (Bột màu trắng) - 500gr - 30")</f>
        <v>[Nhãn] GC - IV - 4294 - CTY CAPY GLOBAL - 10-60-10 TE (Bột màu trắng) - 500gr - 30</v>
      </c>
      <c r="E5167" s="87" t="str">
        <f>IFERROR(__xludf.DUMMYFUNCTION("""COMPUTED_VALUE"""),"Lá NPK-Trung-Vi Lượng GNC 08")</f>
        <v>Lá NPK-Trung-Vi Lượng GNC 08</v>
      </c>
      <c r="F5167" s="87" t="str">
        <f>IFERROR(__xludf.DUMMYFUNCTION("""COMPUTED_VALUE"""),"HH4294")</f>
        <v>HH4294</v>
      </c>
      <c r="G5167" s="87" t="str">
        <f>IFERROR(__xludf.DUMMYFUNCTION("""COMPUTED_VALUE"""),"GC - IV - 4294 - CTY CAPY GLOBAL - 10-60-10 TE (Bột màu trắng) - 500gr - 30")</f>
        <v>GC - IV - 4294 - CTY CAPY GLOBAL - 10-60-10 TE (Bột màu trắng) - 500gr - 30</v>
      </c>
    </row>
    <row r="5168">
      <c r="A5168" s="86">
        <f>IFERROR(__xludf.DUMMYFUNCTION("""COMPUTED_VALUE"""),5166.0)</f>
        <v>5166</v>
      </c>
      <c r="B5168" s="87" t="str">
        <f>IFERROR(__xludf.DUMMYFUNCTION("""COMPUTED_VALUE"""),"[Nhãn Thùng]")</f>
        <v>[Nhãn Thùng]</v>
      </c>
      <c r="C5168" s="87" t="str">
        <f>IFERROR(__xludf.DUMMYFUNCTION("""COMPUTED_VALUE"""),"NDT4294")</f>
        <v>NDT4294</v>
      </c>
      <c r="D5168" s="87" t="str">
        <f>IFERROR(__xludf.DUMMYFUNCTION("""COMPUTED_VALUE"""),"[Nhãn Thùng] GC - IV - 4294 - CTY CAPY GLOBAL - 10-60-10 TE (Bột màu trắng) - 500gr - 30")</f>
        <v>[Nhãn Thùng] GC - IV - 4294 - CTY CAPY GLOBAL - 10-60-10 TE (Bột màu trắng) - 500gr - 30</v>
      </c>
      <c r="E5168" s="87" t="str">
        <f>IFERROR(__xludf.DUMMYFUNCTION("""COMPUTED_VALUE"""),"Lá NPK-Trung-Vi Lượng GNC 08")</f>
        <v>Lá NPK-Trung-Vi Lượng GNC 08</v>
      </c>
      <c r="F5168" s="87" t="str">
        <f>IFERROR(__xludf.DUMMYFUNCTION("""COMPUTED_VALUE"""),"HH4294")</f>
        <v>HH4294</v>
      </c>
      <c r="G5168" s="87" t="str">
        <f>IFERROR(__xludf.DUMMYFUNCTION("""COMPUTED_VALUE"""),"GC - IV - 4294 - CTY CAPY GLOBAL - 10-60-10 TE (Bột màu trắng) - 500gr - 30")</f>
        <v>GC - IV - 4294 - CTY CAPY GLOBAL - 10-60-10 TE (Bột màu trắng) - 500gr - 30</v>
      </c>
    </row>
    <row r="5169">
      <c r="A5169" s="86">
        <f>IFERROR(__xludf.DUMMYFUNCTION("""COMPUTED_VALUE"""),5167.0)</f>
        <v>5167</v>
      </c>
      <c r="B5169" s="87" t="str">
        <f>IFERROR(__xludf.DUMMYFUNCTION("""COMPUTED_VALUE"""),"[Nhãn]")</f>
        <v>[Nhãn]</v>
      </c>
      <c r="C5169" s="87" t="str">
        <f>IFERROR(__xludf.DUMMYFUNCTION("""COMPUTED_VALUE"""),"NHD4356")</f>
        <v>NHD4356</v>
      </c>
      <c r="D5169" s="87" t="str">
        <f>IFERROR(__xludf.DUMMYFUNCTION("""COMPUTED_VALUE"""),"[Nhãn] GC - V - 4356 - CTY AGRITECH HÀ LAN - ABA 3.6  (Nước nâu đen) - 450ml - 40")</f>
        <v>[Nhãn] GC - V - 4356 - CTY AGRITECH HÀ LAN - ABA 3.6  (Nước nâu đen) - 450ml - 40</v>
      </c>
      <c r="E5169" s="87" t="str">
        <f>IFERROR(__xludf.DUMMYFUNCTION("""COMPUTED_VALUE"""),"HAIHAMEC 3.6EC")</f>
        <v>HAIHAMEC 3.6EC</v>
      </c>
      <c r="F5169" s="87" t="str">
        <f>IFERROR(__xludf.DUMMYFUNCTION("""COMPUTED_VALUE"""),"HH4356")</f>
        <v>HH4356</v>
      </c>
      <c r="G5169" s="87" t="str">
        <f>IFERROR(__xludf.DUMMYFUNCTION("""COMPUTED_VALUE"""),"GC - V - 4356 - CTY AGRITECH HÀ LAN - ABA 3.6  (Nước nâu đen) - 450ml - 40")</f>
        <v>GC - V - 4356 - CTY AGRITECH HÀ LAN - ABA 3.6  (Nước nâu đen) - 450ml - 40</v>
      </c>
    </row>
    <row r="5170">
      <c r="A5170" s="86">
        <f>IFERROR(__xludf.DUMMYFUNCTION("""COMPUTED_VALUE"""),5168.0)</f>
        <v>5168</v>
      </c>
      <c r="B5170" s="87" t="str">
        <f>IFERROR(__xludf.DUMMYFUNCTION("""COMPUTED_VALUE"""),"[Nhãn Thùng]")</f>
        <v>[Nhãn Thùng]</v>
      </c>
      <c r="C5170" s="87" t="str">
        <f>IFERROR(__xludf.DUMMYFUNCTION("""COMPUTED_VALUE"""),"NDT4356")</f>
        <v>NDT4356</v>
      </c>
      <c r="D5170" s="87" t="str">
        <f>IFERROR(__xludf.DUMMYFUNCTION("""COMPUTED_VALUE"""),"[Nhãn Thùng] GC - V - 4356 - CTY AGRITECH HÀ LAN - ABA 3.6  (Nước nâu đen) - 450ml - 40")</f>
        <v>[Nhãn Thùng] GC - V - 4356 - CTY AGRITECH HÀ LAN - ABA 3.6  (Nước nâu đen) - 450ml - 40</v>
      </c>
      <c r="E5170" s="87" t="str">
        <f>IFERROR(__xludf.DUMMYFUNCTION("""COMPUTED_VALUE"""),"HAIHAMEC 3.6EC")</f>
        <v>HAIHAMEC 3.6EC</v>
      </c>
      <c r="F5170" s="87" t="str">
        <f>IFERROR(__xludf.DUMMYFUNCTION("""COMPUTED_VALUE"""),"HH4356")</f>
        <v>HH4356</v>
      </c>
      <c r="G5170" s="87" t="str">
        <f>IFERROR(__xludf.DUMMYFUNCTION("""COMPUTED_VALUE"""),"GC - V - 4356 - CTY AGRITECH HÀ LAN - ABA 3.6  (Nước nâu đen) - 450ml - 40")</f>
        <v>GC - V - 4356 - CTY AGRITECH HÀ LAN - ABA 3.6  (Nước nâu đen) - 450ml - 40</v>
      </c>
    </row>
    <row r="5171">
      <c r="A5171" s="86">
        <f>IFERROR(__xludf.DUMMYFUNCTION("""COMPUTED_VALUE"""),5169.0)</f>
        <v>5169</v>
      </c>
      <c r="B5171" s="87" t="str">
        <f>IFERROR(__xludf.DUMMYFUNCTION("""COMPUTED_VALUE"""),"[Nhãn]")</f>
        <v>[Nhãn]</v>
      </c>
      <c r="C5171" s="87" t="str">
        <f>IFERROR(__xludf.DUMMYFUNCTION("""COMPUTED_VALUE"""),"NHG4343")</f>
        <v>NHG4343</v>
      </c>
      <c r="D5171" s="87" t="str">
        <f>IFERROR(__xludf.DUMMYFUNCTION("""COMPUTED_VALUE"""),"[Nhãn]  LOT IDA Global - I - 4343 - ĐL KIM THỦY - ABAMEX (nước nâu đen) - 450ml - 40")</f>
        <v>[Nhãn]  LOT IDA Global - I - 4343 - ĐL KIM THỦY - ABAMEX (nước nâu đen) - 450ml - 40</v>
      </c>
      <c r="E5171" s="87" t="str">
        <f>IFERROR(__xludf.DUMMYFUNCTION("""COMPUTED_VALUE"""),"HAIHAMEC 3.6EC")</f>
        <v>HAIHAMEC 3.6EC</v>
      </c>
      <c r="F5171" s="87" t="str">
        <f>IFERROR(__xludf.DUMMYFUNCTION("""COMPUTED_VALUE"""),"HH4343")</f>
        <v>HH4343</v>
      </c>
      <c r="G5171" s="87" t="str">
        <f>IFERROR(__xludf.DUMMYFUNCTION("""COMPUTED_VALUE"""),"LOT IDA Global - I - 4343 - ĐL KIM THỦY - ABAMEX (nước nâu đen) - 450ml - 40")</f>
        <v>LOT IDA Global - I - 4343 - ĐL KIM THỦY - ABAMEX (nước nâu đen) - 450ml - 40</v>
      </c>
    </row>
    <row r="5172">
      <c r="A5172" s="86">
        <f>IFERROR(__xludf.DUMMYFUNCTION("""COMPUTED_VALUE"""),5170.0)</f>
        <v>5170</v>
      </c>
      <c r="B5172" s="87" t="str">
        <f>IFERROR(__xludf.DUMMYFUNCTION("""COMPUTED_VALUE"""),"[Nhãn Thùng]")</f>
        <v>[Nhãn Thùng]</v>
      </c>
      <c r="C5172" s="87" t="str">
        <f>IFERROR(__xludf.DUMMYFUNCTION("""COMPUTED_VALUE"""),"NDT4343")</f>
        <v>NDT4343</v>
      </c>
      <c r="D5172" s="87" t="str">
        <f>IFERROR(__xludf.DUMMYFUNCTION("""COMPUTED_VALUE"""),"[Nhãn Thùng]  LOT IDA Global - I - 4343 - ĐL KIM THỦY - ABAMEX (nước nâu đen) - 450ml - 40")</f>
        <v>[Nhãn Thùng]  LOT IDA Global - I - 4343 - ĐL KIM THỦY - ABAMEX (nước nâu đen) - 450ml - 40</v>
      </c>
      <c r="E5172" s="87" t="str">
        <f>IFERROR(__xludf.DUMMYFUNCTION("""COMPUTED_VALUE"""),"HAIHAMEC 3.6EC")</f>
        <v>HAIHAMEC 3.6EC</v>
      </c>
      <c r="F5172" s="87" t="str">
        <f>IFERROR(__xludf.DUMMYFUNCTION("""COMPUTED_VALUE"""),"HH4343")</f>
        <v>HH4343</v>
      </c>
      <c r="G5172" s="87" t="str">
        <f>IFERROR(__xludf.DUMMYFUNCTION("""COMPUTED_VALUE"""),"LOT IDA Global - I - 4343 - ĐL KIM THỦY - ABAMEX (nước nâu đen) - 450ml - 40")</f>
        <v>LOT IDA Global - I - 4343 - ĐL KIM THỦY - ABAMEX (nước nâu đen) - 450ml - 40</v>
      </c>
    </row>
    <row r="5173">
      <c r="A5173" s="86">
        <f>IFERROR(__xludf.DUMMYFUNCTION("""COMPUTED_VALUE"""),5171.0)</f>
        <v>5171</v>
      </c>
      <c r="B5173" s="87" t="str">
        <f>IFERROR(__xludf.DUMMYFUNCTION("""COMPUTED_VALUE"""),"[Nhãn]")</f>
        <v>[Nhãn]</v>
      </c>
      <c r="C5173" s="87" t="str">
        <f>IFERROR(__xludf.DUMMYFUNCTION("""COMPUTED_VALUE"""),"NHG4357")</f>
        <v>NHG4357</v>
      </c>
      <c r="D5173" s="87" t="str">
        <f>IFERROR(__xludf.DUMMYFUNCTION("""COMPUTED_VALUE"""),"[Nhãn] IDA Global - I - 4357 - ĐL LÊ NGUYỄN 2 - SIÊU CỨNG CÂY (Nước nâu đen) - 500ml - 40")</f>
        <v>[Nhãn] IDA Global - I - 4357 - ĐL LÊ NGUYỄN 2 - SIÊU CỨNG CÂY (Nước nâu đen) - 500ml - 40</v>
      </c>
      <c r="E5173" s="87" t="str">
        <f>IFERROR(__xludf.DUMMYFUNCTION("""COMPUTED_VALUE"""),"Hữu cơ SH Agro Organic Fertilizer 20")</f>
        <v>Hữu cơ SH Agro Organic Fertilizer 20</v>
      </c>
      <c r="F5173" s="87" t="str">
        <f>IFERROR(__xludf.DUMMYFUNCTION("""COMPUTED_VALUE"""),"HH4357")</f>
        <v>HH4357</v>
      </c>
      <c r="G5173" s="87" t="str">
        <f>IFERROR(__xludf.DUMMYFUNCTION("""COMPUTED_VALUE"""),"IDA Global - I - 4357 - ĐL LÊ NGUYỄN 2 - SIÊU CỨNG CÂY (Nước nâu đen) - 500ml - 40")</f>
        <v>IDA Global - I - 4357 - ĐL LÊ NGUYỄN 2 - SIÊU CỨNG CÂY (Nước nâu đen) - 500ml - 40</v>
      </c>
    </row>
    <row r="5174">
      <c r="A5174" s="86">
        <f>IFERROR(__xludf.DUMMYFUNCTION("""COMPUTED_VALUE"""),5172.0)</f>
        <v>5172</v>
      </c>
      <c r="B5174" s="87" t="str">
        <f>IFERROR(__xludf.DUMMYFUNCTION("""COMPUTED_VALUE"""),"[Nhãn]")</f>
        <v>[Nhãn]</v>
      </c>
      <c r="C5174" s="87" t="str">
        <f>IFERROR(__xludf.DUMMYFUNCTION("""COMPUTED_VALUE"""),"NHG4363")</f>
        <v>NHG4363</v>
      </c>
      <c r="D5174" s="87" t="str">
        <f>IFERROR(__xludf.DUMMYFUNCTION("""COMPUTED_VALUE"""),"[Nhãn]  IDA Global - I - 4363 - MI STOP 350SC (Nước trắng sữa) - 240ml - 40")</f>
        <v>[Nhãn]  IDA Global - I - 4363 - MI STOP 350SC (Nước trắng sữa) - 240ml - 40</v>
      </c>
      <c r="E5174" s="87" t="str">
        <f>IFERROR(__xludf.DUMMYFUNCTION("""COMPUTED_VALUE"""),"MI STOP 350SC")</f>
        <v>MI STOP 350SC</v>
      </c>
      <c r="F5174" s="87" t="str">
        <f>IFERROR(__xludf.DUMMYFUNCTION("""COMPUTED_VALUE"""),"HH4363")</f>
        <v>HH4363</v>
      </c>
      <c r="G5174" s="87" t="str">
        <f>IFERROR(__xludf.DUMMYFUNCTION("""COMPUTED_VALUE"""),"IDA Global - I - 4363 - MI STOP 350SC (Nước trắng sữa) - 240ml - 40")</f>
        <v>IDA Global - I - 4363 - MI STOP 350SC (Nước trắng sữa) - 240ml - 40</v>
      </c>
    </row>
    <row r="5175">
      <c r="A5175" s="86">
        <f>IFERROR(__xludf.DUMMYFUNCTION("""COMPUTED_VALUE"""),5173.0)</f>
        <v>5173</v>
      </c>
      <c r="B5175" s="87" t="str">
        <f>IFERROR(__xludf.DUMMYFUNCTION("""COMPUTED_VALUE"""),"[Nhãn]")</f>
        <v>[Nhãn]</v>
      </c>
      <c r="C5175" s="87" t="str">
        <f>IFERROR(__xludf.DUMMYFUNCTION("""COMPUTED_VALUE"""),"NHG4362")</f>
        <v>NHG4362</v>
      </c>
      <c r="D5175" s="87" t="str">
        <f>IFERROR(__xludf.DUMMYFUNCTION("""COMPUTED_VALUE"""),"[Nhãn] GC - IV - 4362 - A Thời GNH - Siêu To Củ (Nước nâu đen) - 500ml - 40")</f>
        <v>[Nhãn] GC - IV - 4362 - A Thời GNH - Siêu To Củ (Nước nâu đen) - 500ml - 40</v>
      </c>
      <c r="E5175" s="87" t="str">
        <f>IFERROR(__xludf.DUMMYFUNCTION("""COMPUTED_VALUE"""),"Vi lượng Basel VA02")</f>
        <v>Vi lượng Basel VA02</v>
      </c>
      <c r="F5175" s="87" t="str">
        <f>IFERROR(__xludf.DUMMYFUNCTION("""COMPUTED_VALUE"""),"HH4362")</f>
        <v>HH4362</v>
      </c>
      <c r="G5175" s="87" t="str">
        <f>IFERROR(__xludf.DUMMYFUNCTION("""COMPUTED_VALUE"""),"GC - IV - 4362 - A Thời GNH - Siêu To Củ (Nước nâu đen) - 500ml - 40")</f>
        <v>GC - IV - 4362 - A Thời GNH - Siêu To Củ (Nước nâu đen) - 500ml - 40</v>
      </c>
    </row>
    <row r="5176">
      <c r="A5176" s="86">
        <f>IFERROR(__xludf.DUMMYFUNCTION("""COMPUTED_VALUE"""),5174.0)</f>
        <v>5174</v>
      </c>
      <c r="B5176" s="87" t="str">
        <f>IFERROR(__xludf.DUMMYFUNCTION("""COMPUTED_VALUE"""),"[Nhãn]")</f>
        <v>[Nhãn]</v>
      </c>
      <c r="C5176" s="87" t="str">
        <f>IFERROR(__xludf.DUMMYFUNCTION("""COMPUTED_VALUE"""),"NHG4372")</f>
        <v>NHG4372</v>
      </c>
      <c r="D5176" s="87" t="str">
        <f>IFERROR(__xludf.DUMMYFUNCTION("""COMPUTED_VALUE"""),"[Nhãn] GC - IV - 4372 - Cty Thành Công Agri - MASTER STOP (nước nâu đen V2) - 1L - 20")</f>
        <v>[Nhãn] GC - IV - 4372 - Cty Thành Công Agri - MASTER STOP (nước nâu đen V2) - 1L - 20</v>
      </c>
      <c r="E5176" s="87" t="str">
        <f>IFERROR(__xludf.DUMMYFUNCTION("""COMPUTED_VALUE"""),"Vi lượng Quantity New")</f>
        <v>Vi lượng Quantity New</v>
      </c>
      <c r="F5176" s="87" t="str">
        <f>IFERROR(__xludf.DUMMYFUNCTION("""COMPUTED_VALUE"""),"HH4372")</f>
        <v>HH4372</v>
      </c>
      <c r="G5176" s="87" t="str">
        <f>IFERROR(__xludf.DUMMYFUNCTION("""COMPUTED_VALUE"""),"GC - IV - 4372 - Cty Thành Công Agri - MASTER STOP (nước nâu đen V2) - 1L - 20")</f>
        <v>GC - IV - 4372 - Cty Thành Công Agri - MASTER STOP (nước nâu đen V2) - 1L - 20</v>
      </c>
    </row>
    <row r="5177">
      <c r="A5177" s="86">
        <f>IFERROR(__xludf.DUMMYFUNCTION("""COMPUTED_VALUE"""),5175.0)</f>
        <v>5175</v>
      </c>
      <c r="B5177" s="87" t="str">
        <f>IFERROR(__xludf.DUMMYFUNCTION("""COMPUTED_VALUE"""),"[Nhãn]")</f>
        <v>[Nhãn]</v>
      </c>
      <c r="C5177" s="87" t="str">
        <f>IFERROR(__xludf.DUMMYFUNCTION("""COMPUTED_VALUE"""),"NTN4361")</f>
        <v>NTN4361</v>
      </c>
      <c r="D5177" s="87" t="str">
        <f>IFERROR(__xludf.DUMMYFUNCTION("""COMPUTED_VALUE"""),"[Nhãn] GC - IV - 4361 - CTY VNT MEKONG - MANCOBGO 80WP (Bột xanh) - 1kg - 20")</f>
        <v>[Nhãn] GC - IV - 4361 - CTY VNT MEKONG - MANCOBGO 80WP (Bột xanh) - 1kg - 20</v>
      </c>
      <c r="E5177" s="87" t="str">
        <f>IFERROR(__xludf.DUMMYFUNCTION("""COMPUTED_VALUE"""),"MANCOBGO 80WP")</f>
        <v>MANCOBGO 80WP</v>
      </c>
      <c r="F5177" s="87" t="str">
        <f>IFERROR(__xludf.DUMMYFUNCTION("""COMPUTED_VALUE"""),"HH4361")</f>
        <v>HH4361</v>
      </c>
      <c r="G5177" s="87" t="str">
        <f>IFERROR(__xludf.DUMMYFUNCTION("""COMPUTED_VALUE"""),"GC - IV - 4361 - CTY VNT MEKONG - MANCOBGO 80WP (Bột xanh) - 1kg - 20")</f>
        <v>GC - IV - 4361 - CTY VNT MEKONG - MANCOBGO 80WP (Bột xanh) - 1kg - 20</v>
      </c>
    </row>
    <row r="5178">
      <c r="A5178" s="86">
        <f>IFERROR(__xludf.DUMMYFUNCTION("""COMPUTED_VALUE"""),5176.0)</f>
        <v>5176</v>
      </c>
      <c r="B5178" s="87" t="str">
        <f>IFERROR(__xludf.DUMMYFUNCTION("""COMPUTED_VALUE"""),"[Nhãn Thùng]")</f>
        <v>[Nhãn Thùng]</v>
      </c>
      <c r="C5178" s="87" t="str">
        <f>IFERROR(__xludf.DUMMYFUNCTION("""COMPUTED_VALUE"""),"NDT4361")</f>
        <v>NDT4361</v>
      </c>
      <c r="D5178" s="87" t="str">
        <f>IFERROR(__xludf.DUMMYFUNCTION("""COMPUTED_VALUE"""),"[Nhãn Thùng] GC - IV - 4361 - CTY VNT MEKONG - MANCOBGO 80WP (Bột xanh) - 1kg - 20")</f>
        <v>[Nhãn Thùng] GC - IV - 4361 - CTY VNT MEKONG - MANCOBGO 80WP (Bột xanh) - 1kg - 20</v>
      </c>
      <c r="E5178" s="87" t="str">
        <f>IFERROR(__xludf.DUMMYFUNCTION("""COMPUTED_VALUE"""),"MANCOBGO 80WP")</f>
        <v>MANCOBGO 80WP</v>
      </c>
      <c r="F5178" s="87" t="str">
        <f>IFERROR(__xludf.DUMMYFUNCTION("""COMPUTED_VALUE"""),"HH4361")</f>
        <v>HH4361</v>
      </c>
      <c r="G5178" s="87" t="str">
        <f>IFERROR(__xludf.DUMMYFUNCTION("""COMPUTED_VALUE"""),"GC - IV - 4361 - CTY VNT MEKONG - MANCOBGO 80WP (Bột xanh) - 1kg - 20")</f>
        <v>GC - IV - 4361 - CTY VNT MEKONG - MANCOBGO 80WP (Bột xanh) - 1kg - 20</v>
      </c>
    </row>
    <row r="5179">
      <c r="A5179" s="86">
        <f>IFERROR(__xludf.DUMMYFUNCTION("""COMPUTED_VALUE"""),5177.0)</f>
        <v>5177</v>
      </c>
      <c r="B5179" s="87" t="str">
        <f>IFERROR(__xludf.DUMMYFUNCTION("""COMPUTED_VALUE"""),"[Nhãn]")</f>
        <v>[Nhãn]</v>
      </c>
      <c r="C5179" s="87" t="str">
        <f>IFERROR(__xludf.DUMMYFUNCTION("""COMPUTED_VALUE"""),"NHD4365")</f>
        <v>NHD4365</v>
      </c>
      <c r="D5179" s="87" t="str">
        <f>IFERROR(__xludf.DUMMYFUNCTION("""COMPUTED_VALUE"""),"[Nhãn] GC - IV - 4365 - THẾ DANH - HAIHAMEC 3.6EC (Nước trong) - 450ml - 40")</f>
        <v>[Nhãn] GC - IV - 4365 - THẾ DANH - HAIHAMEC 3.6EC (Nước trong) - 450ml - 40</v>
      </c>
      <c r="E5179" s="87" t="str">
        <f>IFERROR(__xludf.DUMMYFUNCTION("""COMPUTED_VALUE"""),"HAIHAMEC 3.6EC")</f>
        <v>HAIHAMEC 3.6EC</v>
      </c>
      <c r="F5179" s="87" t="str">
        <f>IFERROR(__xludf.DUMMYFUNCTION("""COMPUTED_VALUE"""),"HH4365")</f>
        <v>HH4365</v>
      </c>
      <c r="G5179" s="87" t="str">
        <f>IFERROR(__xludf.DUMMYFUNCTION("""COMPUTED_VALUE"""),"GC - IV - 4365 - THẾ DANH - HAIHAMEC 3.6EC (Nước trong) - 450ml - 40")</f>
        <v>GC - IV - 4365 - THẾ DANH - HAIHAMEC 3.6EC (Nước trong) - 450ml - 40</v>
      </c>
    </row>
    <row r="5180">
      <c r="A5180" s="86">
        <f>IFERROR(__xludf.DUMMYFUNCTION("""COMPUTED_VALUE"""),5178.0)</f>
        <v>5178</v>
      </c>
      <c r="B5180" s="87" t="str">
        <f>IFERROR(__xludf.DUMMYFUNCTION("""COMPUTED_VALUE"""),"[Nhãn Thùng]")</f>
        <v>[Nhãn Thùng]</v>
      </c>
      <c r="C5180" s="87" t="str">
        <f>IFERROR(__xludf.DUMMYFUNCTION("""COMPUTED_VALUE"""),"NDT4365")</f>
        <v>NDT4365</v>
      </c>
      <c r="D5180" s="87" t="str">
        <f>IFERROR(__xludf.DUMMYFUNCTION("""COMPUTED_VALUE"""),"[Nhãn Thùng] GC - IV - 4365 - THẾ DANH - HAIHAMEC 3.6EC (Nước trong) - 450ml - 40")</f>
        <v>[Nhãn Thùng] GC - IV - 4365 - THẾ DANH - HAIHAMEC 3.6EC (Nước trong) - 450ml - 40</v>
      </c>
      <c r="E5180" s="87" t="str">
        <f>IFERROR(__xludf.DUMMYFUNCTION("""COMPUTED_VALUE"""),"HAIHAMEC 3.6EC")</f>
        <v>HAIHAMEC 3.6EC</v>
      </c>
      <c r="F5180" s="87" t="str">
        <f>IFERROR(__xludf.DUMMYFUNCTION("""COMPUTED_VALUE"""),"HH4365")</f>
        <v>HH4365</v>
      </c>
      <c r="G5180" s="87" t="str">
        <f>IFERROR(__xludf.DUMMYFUNCTION("""COMPUTED_VALUE"""),"GC - IV - 4365 - THẾ DANH - HAIHAMEC 3.6EC (Nước trong) - 450ml - 40")</f>
        <v>GC - IV - 4365 - THẾ DANH - HAIHAMEC 3.6EC (Nước trong) - 450ml - 40</v>
      </c>
    </row>
    <row r="5181">
      <c r="A5181" s="86">
        <f>IFERROR(__xludf.DUMMYFUNCTION("""COMPUTED_VALUE"""),5179.0)</f>
        <v>5179</v>
      </c>
      <c r="B5181" s="87" t="str">
        <f>IFERROR(__xludf.DUMMYFUNCTION("""COMPUTED_VALUE"""),"[Nhãn]")</f>
        <v>[Nhãn]</v>
      </c>
      <c r="C5181" s="87" t="str">
        <f>IFERROR(__xludf.DUMMYFUNCTION("""COMPUTED_VALUE"""),"NHG4066")</f>
        <v>NHG4066</v>
      </c>
      <c r="D5181" s="87" t="str">
        <f>IFERROR(__xludf.DUMMYFUNCTION("""COMPUTED_VALUE"""),"[Nhãn] GC - V - 4066 - N2SBIO - N2 PHYTO PLUS (Nước nâu đen) - 500ml - 40")</f>
        <v>[Nhãn] GC - V - 4066 - N2SBIO - N2 PHYTO PLUS (Nước nâu đen) - 500ml - 40</v>
      </c>
      <c r="E5181" s="87" t="str">
        <f>IFERROR(__xludf.DUMMYFUNCTION("""COMPUTED_VALUE"""),"Lá PK-Trung Lượng NBC-Photphonate")</f>
        <v>Lá PK-Trung Lượng NBC-Photphonate</v>
      </c>
      <c r="F5181" s="87" t="str">
        <f>IFERROR(__xludf.DUMMYFUNCTION("""COMPUTED_VALUE"""),"HH4066")</f>
        <v>HH4066</v>
      </c>
      <c r="G5181" s="87" t="str">
        <f>IFERROR(__xludf.DUMMYFUNCTION("""COMPUTED_VALUE"""),"GC - V - 4066 - N2SBIO - N2 PHYTO PLUS (Nước nâu đen) - 500ml - 40")</f>
        <v>GC - V - 4066 - N2SBIO - N2 PHYTO PLUS (Nước nâu đen) - 500ml - 40</v>
      </c>
    </row>
    <row r="5182">
      <c r="A5182" s="86">
        <f>IFERROR(__xludf.DUMMYFUNCTION("""COMPUTED_VALUE"""),5180.0)</f>
        <v>5180</v>
      </c>
      <c r="B5182" s="87" t="str">
        <f>IFERROR(__xludf.DUMMYFUNCTION("""COMPUTED_VALUE"""),"[Nhãn]")</f>
        <v>[Nhãn]</v>
      </c>
      <c r="C5182" s="87" t="str">
        <f>IFERROR(__xludf.DUMMYFUNCTION("""COMPUTED_VALUE"""),"NHG4375")</f>
        <v>NHG4375</v>
      </c>
      <c r="D5182" s="87" t="str">
        <f>IFERROR(__xludf.DUMMYFUNCTION("""COMPUTED_VALUE"""),"[Nhãn] BAMBOO - VI - 4375 - BAMBOO CANXI BO MASTER (Nước trắng sữa) - 1L - 20")</f>
        <v>[Nhãn] BAMBOO - VI - 4375 - BAMBOO CANXI BO MASTER (Nước trắng sữa) - 1L - 20</v>
      </c>
      <c r="E5182" s="87" t="str">
        <f>IFERROR(__xludf.DUMMYFUNCTION("""COMPUTED_VALUE"""),"Vi lượng AGAMA-CANXI BO")</f>
        <v>Vi lượng AGAMA-CANXI BO</v>
      </c>
      <c r="F5182" s="87" t="str">
        <f>IFERROR(__xludf.DUMMYFUNCTION("""COMPUTED_VALUE"""),"HH4375")</f>
        <v>HH4375</v>
      </c>
      <c r="G5182" s="87" t="str">
        <f>IFERROR(__xludf.DUMMYFUNCTION("""COMPUTED_VALUE"""),"BAMBOO - VI - 4375 - BAMBOO CANXI BO MASTER (Nước trắng sữa) - 1L - 20")</f>
        <v>BAMBOO - VI - 4375 - BAMBOO CANXI BO MASTER (Nước trắng sữa) - 1L - 20</v>
      </c>
    </row>
    <row r="5183">
      <c r="A5183" s="86">
        <f>IFERROR(__xludf.DUMMYFUNCTION("""COMPUTED_VALUE"""),5181.0)</f>
        <v>5181</v>
      </c>
      <c r="B5183" s="87" t="str">
        <f>IFERROR(__xludf.DUMMYFUNCTION("""COMPUTED_VALUE"""),"[Nhãn Thùng]")</f>
        <v>[Nhãn Thùng]</v>
      </c>
      <c r="C5183" s="87" t="str">
        <f>IFERROR(__xludf.DUMMYFUNCTION("""COMPUTED_VALUE"""),"NDT4375")</f>
        <v>NDT4375</v>
      </c>
      <c r="D5183" s="87" t="str">
        <f>IFERROR(__xludf.DUMMYFUNCTION("""COMPUTED_VALUE"""),"[Nhãn Thùng] BAMBOO - VI - 4375 - BAMBOO CANXI BO MASTER (Nước trắng sữa) - 1L - 20")</f>
        <v>[Nhãn Thùng] BAMBOO - VI - 4375 - BAMBOO CANXI BO MASTER (Nước trắng sữa) - 1L - 20</v>
      </c>
      <c r="E5183" s="87" t="str">
        <f>IFERROR(__xludf.DUMMYFUNCTION("""COMPUTED_VALUE"""),"Vi lượng AGAMA-CANXI BO")</f>
        <v>Vi lượng AGAMA-CANXI BO</v>
      </c>
      <c r="F5183" s="87" t="str">
        <f>IFERROR(__xludf.DUMMYFUNCTION("""COMPUTED_VALUE"""),"HH4375")</f>
        <v>HH4375</v>
      </c>
      <c r="G5183" s="87" t="str">
        <f>IFERROR(__xludf.DUMMYFUNCTION("""COMPUTED_VALUE"""),"BAMBOO - VI - 4375 - BAMBOO CANXI BO MASTER (Nước trắng sữa) - 1L - 20")</f>
        <v>BAMBOO - VI - 4375 - BAMBOO CANXI BO MASTER (Nước trắng sữa) - 1L - 20</v>
      </c>
    </row>
    <row r="5184">
      <c r="A5184" s="86">
        <f>IFERROR(__xludf.DUMMYFUNCTION("""COMPUTED_VALUE"""),5182.0)</f>
        <v>5182</v>
      </c>
      <c r="B5184" s="87" t="str">
        <f>IFERROR(__xludf.DUMMYFUNCTION("""COMPUTED_VALUE"""),"[Nhãn]")</f>
        <v>[Nhãn]</v>
      </c>
      <c r="C5184" s="87" t="str">
        <f>IFERROR(__xludf.DUMMYFUNCTION("""COMPUTED_VALUE"""),"NHG4373")</f>
        <v>NHG4373</v>
      </c>
      <c r="D5184" s="87" t="str">
        <f>IFERROR(__xludf.DUMMYFUNCTION("""COMPUTED_VALUE"""),"[Nhãn]  GC - IV - 4373 - CTY R3 - DIE-OC 3.6 (Nước nâu đen) - 450ml - 40")</f>
        <v>[Nhãn]  GC - IV - 4373 - CTY R3 - DIE-OC 3.6 (Nước nâu đen) - 450ml - 40</v>
      </c>
      <c r="E5184" s="87" t="str">
        <f>IFERROR(__xludf.DUMMYFUNCTION("""COMPUTED_VALUE"""),"HAIHAMEC 3.6EC")</f>
        <v>HAIHAMEC 3.6EC</v>
      </c>
      <c r="F5184" s="87" t="str">
        <f>IFERROR(__xludf.DUMMYFUNCTION("""COMPUTED_VALUE"""),"HH4373")</f>
        <v>HH4373</v>
      </c>
      <c r="G5184" s="87" t="str">
        <f>IFERROR(__xludf.DUMMYFUNCTION("""COMPUTED_VALUE"""),"GC - IV - 4373 - CTY R3 - DIE-OC 3.6 (Nước nâu đen) - 450ml - 40")</f>
        <v>GC - IV - 4373 - CTY R3 - DIE-OC 3.6 (Nước nâu đen) - 450ml - 40</v>
      </c>
    </row>
    <row r="5185">
      <c r="A5185" s="86">
        <f>IFERROR(__xludf.DUMMYFUNCTION("""COMPUTED_VALUE"""),5183.0)</f>
        <v>5183</v>
      </c>
      <c r="B5185" s="87" t="str">
        <f>IFERROR(__xludf.DUMMYFUNCTION("""COMPUTED_VALUE"""),"[Nhãn]")</f>
        <v>[Nhãn]</v>
      </c>
      <c r="C5185" s="87" t="str">
        <f>IFERROR(__xludf.DUMMYFUNCTION("""COMPUTED_VALUE"""),"NTN4360")</f>
        <v>NTN4360</v>
      </c>
      <c r="D5185" s="87" t="str">
        <f>IFERROR(__xludf.DUMMYFUNCTION("""COMPUTED_VALUE"""),"[Nhãn] GC - IV - 4360 - Cty GNH (A.Thời) - Manco Green (Bột xanh) - 1kg - 20")</f>
        <v>[Nhãn] GC - IV - 4360 - Cty GNH (A.Thời) - Manco Green (Bột xanh) - 1kg - 20</v>
      </c>
      <c r="E5185" s="87" t="str">
        <f>IFERROR(__xludf.DUMMYFUNCTION("""COMPUTED_VALUE"""),"MANCOBGO 80WP")</f>
        <v>MANCOBGO 80WP</v>
      </c>
      <c r="F5185" s="87" t="str">
        <f>IFERROR(__xludf.DUMMYFUNCTION("""COMPUTED_VALUE"""),"HH4360")</f>
        <v>HH4360</v>
      </c>
      <c r="G5185" s="87" t="str">
        <f>IFERROR(__xludf.DUMMYFUNCTION("""COMPUTED_VALUE"""),"GC - IV - 4360 - Cty GNH (A.Thời) - Manco Green (Bột xanh) - 1kg - 20")</f>
        <v>GC - IV - 4360 - Cty GNH (A.Thời) - Manco Green (Bột xanh) - 1kg - 20</v>
      </c>
    </row>
    <row r="5186">
      <c r="A5186" s="86">
        <f>IFERROR(__xludf.DUMMYFUNCTION("""COMPUTED_VALUE"""),5184.0)</f>
        <v>5184</v>
      </c>
      <c r="B5186" s="87" t="str">
        <f>IFERROR(__xludf.DUMMYFUNCTION("""COMPUTED_VALUE"""),"[Nhãn Thùng]")</f>
        <v>[Nhãn Thùng]</v>
      </c>
      <c r="C5186" s="87" t="str">
        <f>IFERROR(__xludf.DUMMYFUNCTION("""COMPUTED_VALUE"""),"NDT4360")</f>
        <v>NDT4360</v>
      </c>
      <c r="D5186" s="87" t="str">
        <f>IFERROR(__xludf.DUMMYFUNCTION("""COMPUTED_VALUE"""),"[Nhãn Thùng] GC - IV - 4360 - Cty GNH (A.Thời) - Manco Green (Bột xanh) - 1kg - 20")</f>
        <v>[Nhãn Thùng] GC - IV - 4360 - Cty GNH (A.Thời) - Manco Green (Bột xanh) - 1kg - 20</v>
      </c>
      <c r="E5186" s="87" t="str">
        <f>IFERROR(__xludf.DUMMYFUNCTION("""COMPUTED_VALUE"""),"MANCOBGO 80WP")</f>
        <v>MANCOBGO 80WP</v>
      </c>
      <c r="F5186" s="87" t="str">
        <f>IFERROR(__xludf.DUMMYFUNCTION("""COMPUTED_VALUE"""),"HH4360")</f>
        <v>HH4360</v>
      </c>
      <c r="G5186" s="87" t="str">
        <f>IFERROR(__xludf.DUMMYFUNCTION("""COMPUTED_VALUE"""),"GC - IV - 4360 - Cty GNH (A.Thời) - Manco Green (Bột xanh) - 1kg - 20")</f>
        <v>GC - IV - 4360 - Cty GNH (A.Thời) - Manco Green (Bột xanh) - 1kg - 20</v>
      </c>
    </row>
    <row r="5187">
      <c r="A5187" s="86">
        <f>IFERROR(__xludf.DUMMYFUNCTION("""COMPUTED_VALUE"""),5185.0)</f>
        <v>5185</v>
      </c>
      <c r="B5187" s="87" t="str">
        <f>IFERROR(__xludf.DUMMYFUNCTION("""COMPUTED_VALUE"""),"[Nhãn]")</f>
        <v>[Nhãn]</v>
      </c>
      <c r="C5187" s="87" t="str">
        <f>IFERROR(__xludf.DUMMYFUNCTION("""COMPUTED_VALUE"""),"NHG4374")</f>
        <v>NHG4374</v>
      </c>
      <c r="D5187" s="87" t="str">
        <f>IFERROR(__xludf.DUMMYFUNCTION("""COMPUTED_VALUE"""),"[Nhãn] GC - IV - 4374 - KIM NGỌC - AGAMA-CANXI BO (Nước trắng sữa) - 500ml - 40")</f>
        <v>[Nhãn] GC - IV - 4374 - KIM NGỌC - AGAMA-CANXI BO (Nước trắng sữa) - 500ml - 40</v>
      </c>
      <c r="E5187" s="87" t="str">
        <f>IFERROR(__xludf.DUMMYFUNCTION("""COMPUTED_VALUE"""),"Vi lượng AGAMA-CANXI BO")</f>
        <v>Vi lượng AGAMA-CANXI BO</v>
      </c>
      <c r="F5187" s="87" t="str">
        <f>IFERROR(__xludf.DUMMYFUNCTION("""COMPUTED_VALUE"""),"HH4374")</f>
        <v>HH4374</v>
      </c>
      <c r="G5187" s="87" t="str">
        <f>IFERROR(__xludf.DUMMYFUNCTION("""COMPUTED_VALUE"""),"GC - IV - 4374 - KIM NGỌC - AGAMA-CANXI BO (Nước trắng sữa) - 500ml - 40")</f>
        <v>GC - IV - 4374 - KIM NGỌC - AGAMA-CANXI BO (Nước trắng sữa) - 500ml - 40</v>
      </c>
    </row>
    <row r="5188">
      <c r="A5188" s="86">
        <f>IFERROR(__xludf.DUMMYFUNCTION("""COMPUTED_VALUE"""),5186.0)</f>
        <v>5186</v>
      </c>
      <c r="B5188" s="87" t="str">
        <f>IFERROR(__xludf.DUMMYFUNCTION("""COMPUTED_VALUE"""),"[Nhãn]")</f>
        <v>[Nhãn]</v>
      </c>
      <c r="C5188" s="87" t="str">
        <f>IFERROR(__xludf.DUMMYFUNCTION("""COMPUTED_VALUE"""),"NHD4366")</f>
        <v>NHD4366</v>
      </c>
      <c r="D5188" s="87" t="str">
        <f>IFERROR(__xludf.DUMMYFUNCTION("""COMPUTED_VALUE"""),"[Nhãn] GC - IV - 4366 - CSSX AN KHANG - HAIHAMEC 3.6EC (Nước nâu đen) - 450ml - 40")</f>
        <v>[Nhãn] GC - IV - 4366 - CSSX AN KHANG - HAIHAMEC 3.6EC (Nước nâu đen) - 450ml - 40</v>
      </c>
      <c r="E5188" s="87" t="str">
        <f>IFERROR(__xludf.DUMMYFUNCTION("""COMPUTED_VALUE"""),"HAIHAMEC 3.6EC")</f>
        <v>HAIHAMEC 3.6EC</v>
      </c>
      <c r="F5188" s="87" t="str">
        <f>IFERROR(__xludf.DUMMYFUNCTION("""COMPUTED_VALUE"""),"HH4366")</f>
        <v>HH4366</v>
      </c>
      <c r="G5188" s="87" t="str">
        <f>IFERROR(__xludf.DUMMYFUNCTION("""COMPUTED_VALUE"""),"GC - IV - 4366 - CSSX AN KHANG - HAIHAMEC 3.6EC (Nước nâu đen) - 450ml - 40")</f>
        <v>GC - IV - 4366 - CSSX AN KHANG - HAIHAMEC 3.6EC (Nước nâu đen) - 450ml - 40</v>
      </c>
    </row>
    <row r="5189">
      <c r="A5189" s="86">
        <f>IFERROR(__xludf.DUMMYFUNCTION("""COMPUTED_VALUE"""),5187.0)</f>
        <v>5187</v>
      </c>
      <c r="B5189" s="87" t="str">
        <f>IFERROR(__xludf.DUMMYFUNCTION("""COMPUTED_VALUE"""),"[Nhãn Thùng]")</f>
        <v>[Nhãn Thùng]</v>
      </c>
      <c r="C5189" s="87" t="str">
        <f>IFERROR(__xludf.DUMMYFUNCTION("""COMPUTED_VALUE"""),"NDT4366")</f>
        <v>NDT4366</v>
      </c>
      <c r="D5189" s="87" t="str">
        <f>IFERROR(__xludf.DUMMYFUNCTION("""COMPUTED_VALUE"""),"[Nhãn Thùng] GC - IV - 4366 - CSSX AN KHANG - HAIHAMEC 3.6EC (Nước nâu đen) - 450ml - 40")</f>
        <v>[Nhãn Thùng] GC - IV - 4366 - CSSX AN KHANG - HAIHAMEC 3.6EC (Nước nâu đen) - 450ml - 40</v>
      </c>
      <c r="E5189" s="87" t="str">
        <f>IFERROR(__xludf.DUMMYFUNCTION("""COMPUTED_VALUE"""),"HAIHAMEC 3.6EC")</f>
        <v>HAIHAMEC 3.6EC</v>
      </c>
      <c r="F5189" s="87" t="str">
        <f>IFERROR(__xludf.DUMMYFUNCTION("""COMPUTED_VALUE"""),"HH4366")</f>
        <v>HH4366</v>
      </c>
      <c r="G5189" s="87" t="str">
        <f>IFERROR(__xludf.DUMMYFUNCTION("""COMPUTED_VALUE"""),"GC - IV - 4366 - CSSX AN KHANG - HAIHAMEC 3.6EC (Nước nâu đen) - 450ml - 40")</f>
        <v>GC - IV - 4366 - CSSX AN KHANG - HAIHAMEC 3.6EC (Nước nâu đen) - 450ml - 40</v>
      </c>
    </row>
    <row r="5190">
      <c r="A5190" s="86">
        <f>IFERROR(__xludf.DUMMYFUNCTION("""COMPUTED_VALUE"""),5188.0)</f>
        <v>5188</v>
      </c>
      <c r="B5190" s="87" t="str">
        <f>IFERROR(__xludf.DUMMYFUNCTION("""COMPUTED_VALUE"""),"[Nhãn]")</f>
        <v>[Nhãn]</v>
      </c>
      <c r="C5190" s="87" t="str">
        <f>IFERROR(__xludf.DUMMYFUNCTION("""COMPUTED_VALUE"""),"NHD4318")</f>
        <v>NHD4318</v>
      </c>
      <c r="D5190" s="87" t="str">
        <f>IFERROR(__xludf.DUMMYFUNCTION("""COMPUTED_VALUE"""),"[Nhãn] GC - IV - 4318 - CTY QUANG ĐĂNG AGRICULTURE - ROOTS GROW+ QĐ.SOLID (Nước nâu đen) - 500ml")</f>
        <v>[Nhãn] GC - IV - 4318 - CTY QUANG ĐĂNG AGRICULTURE - ROOTS GROW+ QĐ.SOLID (Nước nâu đen) - 500ml</v>
      </c>
      <c r="E5190" s="87" t="str">
        <f>IFERROR(__xludf.DUMMYFUNCTION("""COMPUTED_VALUE"""),"Hỗn Hợp NP AGAMA-AP")</f>
        <v>Hỗn Hợp NP AGAMA-AP</v>
      </c>
      <c r="F5190" s="87" t="str">
        <f>IFERROR(__xludf.DUMMYFUNCTION("""COMPUTED_VALUE"""),"HH4318")</f>
        <v>HH4318</v>
      </c>
      <c r="G5190" s="87" t="str">
        <f>IFERROR(__xludf.DUMMYFUNCTION("""COMPUTED_VALUE"""),"GC - IV - 4318 - CTY QUANG ĐĂNG AGRICULTURE - ROOTS GROW+ QĐ.SOLID (Nước nâu đen) - 500ml")</f>
        <v>GC - IV - 4318 - CTY QUANG ĐĂNG AGRICULTURE - ROOTS GROW+ QĐ.SOLID (Nước nâu đen) - 500ml</v>
      </c>
    </row>
    <row r="5191">
      <c r="A5191" s="86">
        <f>IFERROR(__xludf.DUMMYFUNCTION("""COMPUTED_VALUE"""),5189.0)</f>
        <v>5189</v>
      </c>
      <c r="B5191" s="87" t="str">
        <f>IFERROR(__xludf.DUMMYFUNCTION("""COMPUTED_VALUE"""),"[Nhãn Thùng]")</f>
        <v>[Nhãn Thùng]</v>
      </c>
      <c r="C5191" s="87" t="str">
        <f>IFERROR(__xludf.DUMMYFUNCTION("""COMPUTED_VALUE"""),"NDT4318")</f>
        <v>NDT4318</v>
      </c>
      <c r="D5191" s="87" t="str">
        <f>IFERROR(__xludf.DUMMYFUNCTION("""COMPUTED_VALUE"""),"[Nhãn Thùng] GC - IV - 4318 - CTY QUANG ĐĂNG AGRICULTURE - ROOTS GROW+ QĐ.SOLID (Nước nâu đen) - 500ml")</f>
        <v>[Nhãn Thùng] GC - IV - 4318 - CTY QUANG ĐĂNG AGRICULTURE - ROOTS GROW+ QĐ.SOLID (Nước nâu đen) - 500ml</v>
      </c>
      <c r="E5191" s="87" t="str">
        <f>IFERROR(__xludf.DUMMYFUNCTION("""COMPUTED_VALUE"""),"Hỗn Hợp NP AGAMA-AP")</f>
        <v>Hỗn Hợp NP AGAMA-AP</v>
      </c>
      <c r="F5191" s="87" t="str">
        <f>IFERROR(__xludf.DUMMYFUNCTION("""COMPUTED_VALUE"""),"HH4318")</f>
        <v>HH4318</v>
      </c>
      <c r="G5191" s="87" t="str">
        <f>IFERROR(__xludf.DUMMYFUNCTION("""COMPUTED_VALUE"""),"GC - IV - 4318 - CTY QUANG ĐĂNG AGRICULTURE - ROOTS GROW+ QĐ.SOLID (Nước nâu đen) - 500ml")</f>
        <v>GC - IV - 4318 - CTY QUANG ĐĂNG AGRICULTURE - ROOTS GROW+ QĐ.SOLID (Nước nâu đen) - 500ml</v>
      </c>
    </row>
    <row r="5192">
      <c r="A5192" s="86">
        <f>IFERROR(__xludf.DUMMYFUNCTION("""COMPUTED_VALUE"""),5190.0)</f>
        <v>5190</v>
      </c>
      <c r="B5192" s="87" t="str">
        <f>IFERROR(__xludf.DUMMYFUNCTION("""COMPUTED_VALUE"""),"[Nhãn]")</f>
        <v>[Nhãn]</v>
      </c>
      <c r="C5192" s="87" t="str">
        <f>IFERROR(__xludf.DUMMYFUNCTION("""COMPUTED_VALUE"""),"NTN4377")</f>
        <v>NTN4377</v>
      </c>
      <c r="D5192" s="87" t="str">
        <f>IFERROR(__xludf.DUMMYFUNCTION("""COMPUTED_VALUE"""),"[Nhãn]  GC - IV - 4377 - CTY R3 - DIE-ỐC 700 (Bột cam) - 70gr - 100")</f>
        <v>[Nhãn]  GC - IV - 4377 - CTY R3 - DIE-ỐC 700 (Bột cam) - 70gr - 100</v>
      </c>
      <c r="E5192" s="87" t="str">
        <f>IFERROR(__xludf.DUMMYFUNCTION("""COMPUTED_VALUE"""),"NP SNAILICIDE 700WP")</f>
        <v>NP SNAILICIDE 700WP</v>
      </c>
      <c r="F5192" s="87" t="str">
        <f>IFERROR(__xludf.DUMMYFUNCTION("""COMPUTED_VALUE"""),"HH4377")</f>
        <v>HH4377</v>
      </c>
      <c r="G5192" s="87" t="str">
        <f>IFERROR(__xludf.DUMMYFUNCTION("""COMPUTED_VALUE"""),"GC - IV - 4377 - CTY R3 - DIE-ỐC 700 (Bột cam) - 70gr - 100")</f>
        <v>GC - IV - 4377 - CTY R3 - DIE-ỐC 700 (Bột cam) - 70gr - 100</v>
      </c>
    </row>
    <row r="5193">
      <c r="A5193" s="86">
        <f>IFERROR(__xludf.DUMMYFUNCTION("""COMPUTED_VALUE"""),5191.0)</f>
        <v>5191</v>
      </c>
      <c r="B5193" s="87" t="str">
        <f>IFERROR(__xludf.DUMMYFUNCTION("""COMPUTED_VALUE"""),"[Nhãn Thùng]")</f>
        <v>[Nhãn Thùng]</v>
      </c>
      <c r="C5193" s="87" t="str">
        <f>IFERROR(__xludf.DUMMYFUNCTION("""COMPUTED_VALUE"""),"NDT4377")</f>
        <v>NDT4377</v>
      </c>
      <c r="D5193" s="87" t="str">
        <f>IFERROR(__xludf.DUMMYFUNCTION("""COMPUTED_VALUE"""),"[Nhãn Thùng]  GC - IV - 4377 - CTY R3 - DIE-ỐC 700 (Bột cam) - 70gr - 100")</f>
        <v>[Nhãn Thùng]  GC - IV - 4377 - CTY R3 - DIE-ỐC 700 (Bột cam) - 70gr - 100</v>
      </c>
      <c r="E5193" s="87" t="str">
        <f>IFERROR(__xludf.DUMMYFUNCTION("""COMPUTED_VALUE"""),"NP SNAILICIDE 700WP")</f>
        <v>NP SNAILICIDE 700WP</v>
      </c>
      <c r="F5193" s="87" t="str">
        <f>IFERROR(__xludf.DUMMYFUNCTION("""COMPUTED_VALUE"""),"HH4377")</f>
        <v>HH4377</v>
      </c>
      <c r="G5193" s="87" t="str">
        <f>IFERROR(__xludf.DUMMYFUNCTION("""COMPUTED_VALUE"""),"GC - IV - 4377 - CTY R3 - DIE-ỐC 700 (Bột cam) - 70gr - 100")</f>
        <v>GC - IV - 4377 - CTY R3 - DIE-ỐC 700 (Bột cam) - 70gr - 100</v>
      </c>
    </row>
    <row r="5194">
      <c r="A5194" s="86">
        <f>IFERROR(__xludf.DUMMYFUNCTION("""COMPUTED_VALUE"""),5192.0)</f>
        <v>5192</v>
      </c>
      <c r="B5194" s="87" t="str">
        <f>IFERROR(__xludf.DUMMYFUNCTION("""COMPUTED_VALUE"""),"[Nhãn]")</f>
        <v>[Nhãn]</v>
      </c>
      <c r="C5194" s="87" t="str">
        <f>IFERROR(__xludf.DUMMYFUNCTION("""COMPUTED_VALUE"""),"NHG4379")</f>
        <v>NHG4379</v>
      </c>
      <c r="D5194" s="87" t="str">
        <f>IFERROR(__xludf.DUMMYFUNCTION("""COMPUTED_VALUE"""),"[Nhãn] GC - IV - 4379 - THÀNH CÔNG AGRI - MT STOP (Nước nâu đen) - 1L - 20")</f>
        <v>[Nhãn] GC - IV - 4379 - THÀNH CÔNG AGRI - MT STOP (Nước nâu đen) - 1L - 20</v>
      </c>
      <c r="E5194" s="87" t="str">
        <f>IFERROR(__xludf.DUMMYFUNCTION("""COMPUTED_VALUE"""),"Vi lượng Quantity New")</f>
        <v>Vi lượng Quantity New</v>
      </c>
      <c r="F5194" s="87" t="str">
        <f>IFERROR(__xludf.DUMMYFUNCTION("""COMPUTED_VALUE"""),"HH4379")</f>
        <v>HH4379</v>
      </c>
      <c r="G5194" s="87" t="str">
        <f>IFERROR(__xludf.DUMMYFUNCTION("""COMPUTED_VALUE"""),"GC - IV - 4379 - THÀNH CÔNG AGRI - MT STOP (Nước nâu đen) - 1L - 20")</f>
        <v>GC - IV - 4379 - THÀNH CÔNG AGRI - MT STOP (Nước nâu đen) - 1L - 20</v>
      </c>
    </row>
    <row r="5195">
      <c r="A5195" s="86">
        <f>IFERROR(__xludf.DUMMYFUNCTION("""COMPUTED_VALUE"""),5193.0)</f>
        <v>5193</v>
      </c>
      <c r="B5195" s="87" t="str">
        <f>IFERROR(__xludf.DUMMYFUNCTION("""COMPUTED_VALUE"""),"[Nhãn]")</f>
        <v>[Nhãn]</v>
      </c>
      <c r="C5195" s="87" t="str">
        <f>IFERROR(__xludf.DUMMYFUNCTION("""COMPUTED_VALUE"""),"NHG4338")</f>
        <v>NHG4338</v>
      </c>
      <c r="D5195" s="87" t="str">
        <f>IFERROR(__xludf.DUMMYFUNCTION("""COMPUTED_VALUE"""),"[Nhãn] GC - IV - 4338 - NHP Group - BUD P02 (Gel màu tím) - 500ml - 40")</f>
        <v>[Nhãn] GC - IV - 4338 - NHP Group - BUD P02 (Gel màu tím) - 500ml - 40</v>
      </c>
      <c r="E5195" s="87" t="str">
        <f>IFERROR(__xludf.DUMMYFUNCTION("""COMPUTED_VALUE"""),"Hỗn Hợp NP AGAMA-AP")</f>
        <v>Hỗn Hợp NP AGAMA-AP</v>
      </c>
      <c r="F5195" s="87" t="str">
        <f>IFERROR(__xludf.DUMMYFUNCTION("""COMPUTED_VALUE"""),"HH4338")</f>
        <v>HH4338</v>
      </c>
      <c r="G5195" s="87" t="str">
        <f>IFERROR(__xludf.DUMMYFUNCTION("""COMPUTED_VALUE"""),"GC - IV - 4338 - NHP Group - BUD P02 (Gel màu tím) - 500ml - 40")</f>
        <v>GC - IV - 4338 - NHP Group - BUD P02 (Gel màu tím) - 500ml - 40</v>
      </c>
    </row>
    <row r="5196">
      <c r="A5196" s="86">
        <f>IFERROR(__xludf.DUMMYFUNCTION("""COMPUTED_VALUE"""),5194.0)</f>
        <v>5194</v>
      </c>
      <c r="B5196" s="87" t="str">
        <f>IFERROR(__xludf.DUMMYFUNCTION("""COMPUTED_VALUE"""),"[Nhãn]")</f>
        <v>[Nhãn]</v>
      </c>
      <c r="C5196" s="87" t="str">
        <f>IFERROR(__xludf.DUMMYFUNCTION("""COMPUTED_VALUE"""),"NHG4376")</f>
        <v>NHG4376</v>
      </c>
      <c r="D5196" s="87" t="str">
        <f>IFERROR(__xludf.DUMMYFUNCTION("""COMPUTED_VALUE"""),"[Nhãn]  GC - IV - 4376 - Japan Crop Science - CỨNG HƠN TRỤ THÉP (gel nâu đen) - 500ml - 30")</f>
        <v>[Nhãn]  GC - IV - 4376 - Japan Crop Science - CỨNG HƠN TRỤ THÉP (gel nâu đen) - 500ml - 30</v>
      </c>
      <c r="E5196" s="87" t="str">
        <f>IFERROR(__xludf.DUMMYFUNCTION("""COMPUTED_VALUE"""),"Vi lượng Quantity New")</f>
        <v>Vi lượng Quantity New</v>
      </c>
      <c r="F5196" s="87" t="str">
        <f>IFERROR(__xludf.DUMMYFUNCTION("""COMPUTED_VALUE"""),"HH4376")</f>
        <v>HH4376</v>
      </c>
      <c r="G5196" s="87" t="str">
        <f>IFERROR(__xludf.DUMMYFUNCTION("""COMPUTED_VALUE"""),"GC - IV - 4376 - Japan Crop Science - CỨNG HƠN TRỤ THÉP (gel nâu đen) - 500ml - 30")</f>
        <v>GC - IV - 4376 - Japan Crop Science - CỨNG HƠN TRỤ THÉP (gel nâu đen) - 500ml - 30</v>
      </c>
    </row>
    <row r="5197">
      <c r="A5197" s="86">
        <f>IFERROR(__xludf.DUMMYFUNCTION("""COMPUTED_VALUE"""),5195.0)</f>
        <v>5195</v>
      </c>
      <c r="B5197" s="87" t="str">
        <f>IFERROR(__xludf.DUMMYFUNCTION("""COMPUTED_VALUE"""),"[Nhãn Phụ]")</f>
        <v>[Nhãn Phụ]</v>
      </c>
      <c r="C5197" s="87" t="str">
        <f>IFERROR(__xludf.DUMMYFUNCTION("""COMPUTED_VALUE"""),"NHP4376")</f>
        <v>NHP4376</v>
      </c>
      <c r="D5197" s="87" t="str">
        <f>IFERROR(__xludf.DUMMYFUNCTION("""COMPUTED_VALUE"""),"[Nhãn Phụ]  GC - IV - 4376 - Japan Crop Science - CỨNG HƠN TRỤ THÉP (gel nâu đen) - 500ml - 30")</f>
        <v>[Nhãn Phụ]  GC - IV - 4376 - Japan Crop Science - CỨNG HƠN TRỤ THÉP (gel nâu đen) - 500ml - 30</v>
      </c>
      <c r="E5197" s="87" t="str">
        <f>IFERROR(__xludf.DUMMYFUNCTION("""COMPUTED_VALUE"""),"Vi lượng Quantity New")</f>
        <v>Vi lượng Quantity New</v>
      </c>
      <c r="F5197" s="87" t="str">
        <f>IFERROR(__xludf.DUMMYFUNCTION("""COMPUTED_VALUE"""),"HH4376")</f>
        <v>HH4376</v>
      </c>
      <c r="G5197" s="87" t="str">
        <f>IFERROR(__xludf.DUMMYFUNCTION("""COMPUTED_VALUE"""),"GC - IV - 4376 - Japan Crop Science - CỨNG HƠN TRỤ THÉP (gel nâu đen) - 500ml - 30")</f>
        <v>GC - IV - 4376 - Japan Crop Science - CỨNG HƠN TRỤ THÉP (gel nâu đen) - 500ml - 30</v>
      </c>
    </row>
    <row r="5198">
      <c r="A5198" s="86">
        <f>IFERROR(__xludf.DUMMYFUNCTION("""COMPUTED_VALUE"""),5196.0)</f>
        <v>5196</v>
      </c>
      <c r="B5198" s="87" t="str">
        <f>IFERROR(__xludf.DUMMYFUNCTION("""COMPUTED_VALUE"""),"[Nhãn]")</f>
        <v>[Nhãn]</v>
      </c>
      <c r="C5198" s="87" t="str">
        <f>IFERROR(__xludf.DUMMYFUNCTION("""COMPUTED_VALUE"""),"NHG4380")</f>
        <v>NHG4380</v>
      </c>
      <c r="D5198" s="87" t="str">
        <f>IFERROR(__xludf.DUMMYFUNCTION("""COMPUTED_VALUE"""),"[Nhãn] GC - IV - 4380 - Cty Thành Công Agri - MASTER STOP (nước nâu đen V2) - 1L - 20")</f>
        <v>[Nhãn] GC - IV - 4380 - Cty Thành Công Agri - MASTER STOP (nước nâu đen V2) - 1L - 20</v>
      </c>
      <c r="E5198" s="87" t="str">
        <f>IFERROR(__xludf.DUMMYFUNCTION("""COMPUTED_VALUE"""),"Vi lượng Quantity New")</f>
        <v>Vi lượng Quantity New</v>
      </c>
      <c r="F5198" s="87" t="str">
        <f>IFERROR(__xludf.DUMMYFUNCTION("""COMPUTED_VALUE"""),"HH4380")</f>
        <v>HH4380</v>
      </c>
      <c r="G5198" s="87" t="str">
        <f>IFERROR(__xludf.DUMMYFUNCTION("""COMPUTED_VALUE"""),"GC - IV - 4380 - Cty Thành Công Agri - MASTER STOP (nước nâu đen V2) - 1L - 20")</f>
        <v>GC - IV - 4380 - Cty Thành Công Agri - MASTER STOP (nước nâu đen V2) - 1L - 20</v>
      </c>
    </row>
    <row r="5199">
      <c r="A5199" s="86">
        <f>IFERROR(__xludf.DUMMYFUNCTION("""COMPUTED_VALUE"""),5197.0)</f>
        <v>5197</v>
      </c>
      <c r="B5199" s="87" t="str">
        <f>IFERROR(__xludf.DUMMYFUNCTION("""COMPUTED_VALUE"""),"[Nhãn]")</f>
        <v>[Nhãn]</v>
      </c>
      <c r="C5199" s="87" t="str">
        <f>IFERROR(__xludf.DUMMYFUNCTION("""COMPUTED_VALUE"""),"NHG4291")</f>
        <v>NHG4291</v>
      </c>
      <c r="D5199" s="87" t="str">
        <f>IFERROR(__xludf.DUMMYFUNCTION("""COMPUTED_VALUE"""),"[Nhãn] GC - IV - 4291 - NHP GROUP - pH++ (Gel nâu đen) - 1L - 20")</f>
        <v>[Nhãn] GC - IV - 4291 - NHP GROUP - pH++ (Gel nâu đen) - 1L - 20</v>
      </c>
      <c r="E5199" s="87" t="str">
        <f>IFERROR(__xludf.DUMMYFUNCTION("""COMPUTED_VALUE"""),"Hữu Cơ ABA Organic Fertilizer 20")</f>
        <v>Hữu Cơ ABA Organic Fertilizer 20</v>
      </c>
      <c r="F5199" s="87" t="str">
        <f>IFERROR(__xludf.DUMMYFUNCTION("""COMPUTED_VALUE"""),"HH4291")</f>
        <v>HH4291</v>
      </c>
      <c r="G5199" s="87" t="str">
        <f>IFERROR(__xludf.DUMMYFUNCTION("""COMPUTED_VALUE"""),"GC - IV - 4291 - NHP GROUP - pH++ (Gel nâu đen) - 1L - 20")</f>
        <v>GC - IV - 4291 - NHP GROUP - pH++ (Gel nâu đen) - 1L - 20</v>
      </c>
    </row>
    <row r="5200">
      <c r="A5200" s="86">
        <f>IFERROR(__xludf.DUMMYFUNCTION("""COMPUTED_VALUE"""),5198.0)</f>
        <v>5198</v>
      </c>
      <c r="B5200" s="87" t="str">
        <f>IFERROR(__xludf.DUMMYFUNCTION("""COMPUTED_VALUE"""),"[Nhãn]")</f>
        <v>[Nhãn]</v>
      </c>
      <c r="C5200" s="87" t="str">
        <f>IFERROR(__xludf.DUMMYFUNCTION("""COMPUTED_VALUE"""),"NHG4383")</f>
        <v>NHG4383</v>
      </c>
      <c r="D5200" s="87" t="str">
        <f>IFERROR(__xludf.DUMMYFUNCTION("""COMPUTED_VALUE"""),"[Nhãn] GC - IV - 4383 - Cty Sen Hồng (A.Diễn) - CỨNG CÂY 4.0 (Nước nâu đen) - 400ml - 30")</f>
        <v>[Nhãn] GC - IV - 4383 - Cty Sen Hồng (A.Diễn) - CỨNG CÂY 4.0 (Nước nâu đen) - 400ml - 30</v>
      </c>
      <c r="E5200" s="87" t="str">
        <f>IFERROR(__xludf.DUMMYFUNCTION("""COMPUTED_VALUE"""),"Vi lượng Quantity New")</f>
        <v>Vi lượng Quantity New</v>
      </c>
      <c r="F5200" s="87" t="str">
        <f>IFERROR(__xludf.DUMMYFUNCTION("""COMPUTED_VALUE"""),"HH4383")</f>
        <v>HH4383</v>
      </c>
      <c r="G5200" s="87" t="str">
        <f>IFERROR(__xludf.DUMMYFUNCTION("""COMPUTED_VALUE"""),"GC - IV - 4383 - Cty Sen Hồng (A.Diễn) - CỨNG CÂY 4.0 (Nước nâu đen) - 400ml - 30")</f>
        <v>GC - IV - 4383 - Cty Sen Hồng (A.Diễn) - CỨNG CÂY 4.0 (Nước nâu đen) - 400ml - 30</v>
      </c>
    </row>
    <row r="5201">
      <c r="A5201" s="86">
        <f>IFERROR(__xludf.DUMMYFUNCTION("""COMPUTED_VALUE"""),5199.0)</f>
        <v>5199</v>
      </c>
      <c r="B5201" s="87" t="str">
        <f>IFERROR(__xludf.DUMMYFUNCTION("""COMPUTED_VALUE"""),"[Nhãn Thùng]")</f>
        <v>[Nhãn Thùng]</v>
      </c>
      <c r="C5201" s="87" t="str">
        <f>IFERROR(__xludf.DUMMYFUNCTION("""COMPUTED_VALUE"""),"NDT4347")</f>
        <v>NDT4347</v>
      </c>
      <c r="D5201" s="87" t="str">
        <f>IFERROR(__xludf.DUMMYFUNCTION("""COMPUTED_VALUE"""),"[Nhãn Thùng] GC - II - 4347 - AGC - Gamma (nước đỏ) (chai PET vuông) - 450ml - 40")</f>
        <v>[Nhãn Thùng] GC - II - 4347 - AGC - Gamma (nước đỏ) (chai PET vuông) - 450ml - 40</v>
      </c>
      <c r="E5201" s="87" t="str">
        <f>IFERROR(__xludf.DUMMYFUNCTION("""COMPUTED_VALUE"""),"Creek 2.1EC")</f>
        <v>Creek 2.1EC</v>
      </c>
      <c r="F5201" s="87" t="str">
        <f>IFERROR(__xludf.DUMMYFUNCTION("""COMPUTED_VALUE"""),"HH4347")</f>
        <v>HH4347</v>
      </c>
      <c r="G5201" s="87" t="str">
        <f>IFERROR(__xludf.DUMMYFUNCTION("""COMPUTED_VALUE"""),"GC - II - 4347 - AGC - Gamma (nước đỏ) (chai PET vuông) - 450ml - 40")</f>
        <v>GC - II - 4347 - AGC - Gamma (nước đỏ) (chai PET vuông) - 450ml - 40</v>
      </c>
    </row>
    <row r="5202">
      <c r="A5202" s="86">
        <f>IFERROR(__xludf.DUMMYFUNCTION("""COMPUTED_VALUE"""),5200.0)</f>
        <v>5200</v>
      </c>
      <c r="B5202" s="87" t="str">
        <f>IFERROR(__xludf.DUMMYFUNCTION("""COMPUTED_VALUE"""),"[Nhãn]")</f>
        <v>[Nhãn]</v>
      </c>
      <c r="C5202" s="87" t="str">
        <f>IFERROR(__xludf.DUMMYFUNCTION("""COMPUTED_VALUE"""),"NHD4117")</f>
        <v>NHD4117</v>
      </c>
      <c r="D5202" s="87" t="str">
        <f>IFERROR(__xludf.DUMMYFUNCTION("""COMPUTED_VALUE"""),"[Nhãn]  GC - IV - 4117 - Cty NTT - 3.6 THAI (Nước nâu đen) - 900ml - 20")</f>
        <v>[Nhãn]  GC - IV - 4117 - Cty NTT - 3.6 THAI (Nước nâu đen) - 900ml - 20</v>
      </c>
      <c r="E5202" s="87" t="str">
        <f>IFERROR(__xludf.DUMMYFUNCTION("""COMPUTED_VALUE"""),"HAIHAMEC 3.6EC")</f>
        <v>HAIHAMEC 3.6EC</v>
      </c>
      <c r="F5202" s="87" t="str">
        <f>IFERROR(__xludf.DUMMYFUNCTION("""COMPUTED_VALUE"""),"HH4117")</f>
        <v>HH4117</v>
      </c>
      <c r="G5202" s="87" t="str">
        <f>IFERROR(__xludf.DUMMYFUNCTION("""COMPUTED_VALUE"""),"GC - IV - 4117 - Cty NTT - 3.6 THAI (Nước nâu đen) - 900ml - 20")</f>
        <v>GC - IV - 4117 - Cty NTT - 3.6 THAI (Nước nâu đen) - 900ml - 20</v>
      </c>
    </row>
    <row r="5203">
      <c r="A5203" s="86">
        <f>IFERROR(__xludf.DUMMYFUNCTION("""COMPUTED_VALUE"""),5201.0)</f>
        <v>5201</v>
      </c>
      <c r="B5203" s="87" t="str">
        <f>IFERROR(__xludf.DUMMYFUNCTION("""COMPUTED_VALUE"""),"[Nhãn Thùng]")</f>
        <v>[Nhãn Thùng]</v>
      </c>
      <c r="C5203" s="87" t="str">
        <f>IFERROR(__xludf.DUMMYFUNCTION("""COMPUTED_VALUE"""),"NDT4117")</f>
        <v>NDT4117</v>
      </c>
      <c r="D5203" s="87" t="str">
        <f>IFERROR(__xludf.DUMMYFUNCTION("""COMPUTED_VALUE"""),"[Nhãn Thùng]  GC - IV - 4117 - Cty NTT - 3.6 THAI (Nước nâu đen) - 900ml - 20")</f>
        <v>[Nhãn Thùng]  GC - IV - 4117 - Cty NTT - 3.6 THAI (Nước nâu đen) - 900ml - 20</v>
      </c>
      <c r="E5203" s="87" t="str">
        <f>IFERROR(__xludf.DUMMYFUNCTION("""COMPUTED_VALUE"""),"HAIHAMEC 3.6EC")</f>
        <v>HAIHAMEC 3.6EC</v>
      </c>
      <c r="F5203" s="87" t="str">
        <f>IFERROR(__xludf.DUMMYFUNCTION("""COMPUTED_VALUE"""),"HH4117")</f>
        <v>HH4117</v>
      </c>
      <c r="G5203" s="87" t="str">
        <f>IFERROR(__xludf.DUMMYFUNCTION("""COMPUTED_VALUE"""),"GC - IV - 4117 - Cty NTT - 3.6 THAI (Nước nâu đen) - 900ml - 20")</f>
        <v>GC - IV - 4117 - Cty NTT - 3.6 THAI (Nước nâu đen) - 900ml - 20</v>
      </c>
    </row>
    <row r="5204">
      <c r="A5204" s="86">
        <f>IFERROR(__xludf.DUMMYFUNCTION("""COMPUTED_VALUE"""),5202.0)</f>
        <v>5202</v>
      </c>
      <c r="B5204" s="87" t="str">
        <f>IFERROR(__xludf.DUMMYFUNCTION("""COMPUTED_VALUE"""),"[Nhãn]")</f>
        <v>[Nhãn]</v>
      </c>
      <c r="C5204" s="87" t="str">
        <f>IFERROR(__xludf.DUMMYFUNCTION("""COMPUTED_VALUE"""),"NHG4381")</f>
        <v>NHG4381</v>
      </c>
      <c r="D5204" s="87" t="str">
        <f>IFERROR(__xludf.DUMMYFUNCTION("""COMPUTED_VALUE"""),"[Nhãn] GC - IV - 4381 - Cty CAPY GLOBAL - SUMO VIL (Nước hồng) - 1L - 20")</f>
        <v>[Nhãn] GC - IV - 4381 - Cty CAPY GLOBAL - SUMO VIL (Nước hồng) - 1L - 20</v>
      </c>
      <c r="E5204" s="87" t="str">
        <f>IFERROR(__xludf.DUMMYFUNCTION("""COMPUTED_VALUE"""),"Mekongvil 5SC")</f>
        <v>Mekongvil 5SC</v>
      </c>
      <c r="F5204" s="87" t="str">
        <f>IFERROR(__xludf.DUMMYFUNCTION("""COMPUTED_VALUE"""),"HH4381")</f>
        <v>HH4381</v>
      </c>
      <c r="G5204" s="87" t="str">
        <f>IFERROR(__xludf.DUMMYFUNCTION("""COMPUTED_VALUE"""),"GC - IV - 4381 - Cty CAPY GLOBAL - SUMO VIL (Nước hồng) - 1L - 20")</f>
        <v>GC - IV - 4381 - Cty CAPY GLOBAL - SUMO VIL (Nước hồng) - 1L - 20</v>
      </c>
    </row>
    <row r="5205">
      <c r="A5205" s="86">
        <f>IFERROR(__xludf.DUMMYFUNCTION("""COMPUTED_VALUE"""),5203.0)</f>
        <v>5203</v>
      </c>
      <c r="B5205" s="87" t="str">
        <f>IFERROR(__xludf.DUMMYFUNCTION("""COMPUTED_VALUE"""),"[Nhãn]")</f>
        <v>[Nhãn]</v>
      </c>
      <c r="C5205" s="87" t="str">
        <f>IFERROR(__xludf.DUMMYFUNCTION("""COMPUTED_VALUE"""),"NHG4364")</f>
        <v>NHG4364</v>
      </c>
      <c r="D5205" s="87" t="str">
        <f>IFERROR(__xludf.DUMMYFUNCTION("""COMPUTED_VALUE"""),"[Nhãn] GC - IV - 4364 - Cty CAPY GLOBAL - TIEN DAN (Bột trắng) - 100gr - 32")</f>
        <v>[Nhãn] GC - IV - 4364 - Cty CAPY GLOBAL - TIEN DAN (Bột trắng) - 100gr - 32</v>
      </c>
      <c r="E5205" s="87" t="str">
        <f>IFERROR(__xludf.DUMMYFUNCTION("""COMPUTED_VALUE"""),"NOSAU 85WP")</f>
        <v>NOSAU 85WP</v>
      </c>
      <c r="F5205" s="87" t="str">
        <f>IFERROR(__xludf.DUMMYFUNCTION("""COMPUTED_VALUE"""),"HH4364")</f>
        <v>HH4364</v>
      </c>
      <c r="G5205" s="87" t="str">
        <f>IFERROR(__xludf.DUMMYFUNCTION("""COMPUTED_VALUE"""),"GC - IV - 4364 - Cty CAPY GLOBAL - TIEN DAN (Bột trắng) - 100gr - 32")</f>
        <v>GC - IV - 4364 - Cty CAPY GLOBAL - TIEN DAN (Bột trắng) - 100gr - 32</v>
      </c>
    </row>
    <row r="5206">
      <c r="A5206" s="86">
        <f>IFERROR(__xludf.DUMMYFUNCTION("""COMPUTED_VALUE"""),5204.0)</f>
        <v>5204</v>
      </c>
      <c r="B5206" s="87" t="str">
        <f>IFERROR(__xludf.DUMMYFUNCTION("""COMPUTED_VALUE"""),"[Nhãn]")</f>
        <v>[Nhãn]</v>
      </c>
      <c r="C5206" s="87" t="str">
        <f>IFERROR(__xludf.DUMMYFUNCTION("""COMPUTED_VALUE"""),"NHG4390")</f>
        <v>NHG4390</v>
      </c>
      <c r="D5206" s="87" t="str">
        <f>IFERROR(__xludf.DUMMYFUNCTION("""COMPUTED_VALUE"""),"[Nhãn] GC - II - 4390 - GC.NANOFISH - STOP 25 (nước nâu đen) - 1L - 20")</f>
        <v>[Nhãn] GC - II - 4390 - GC.NANOFISH - STOP 25 (nước nâu đen) - 1L - 20</v>
      </c>
      <c r="E5206" s="87" t="str">
        <f>IFERROR(__xludf.DUMMYFUNCTION("""COMPUTED_VALUE"""),"Vi lượng Quantity New")</f>
        <v>Vi lượng Quantity New</v>
      </c>
      <c r="F5206" s="87" t="str">
        <f>IFERROR(__xludf.DUMMYFUNCTION("""COMPUTED_VALUE"""),"HH4390")</f>
        <v>HH4390</v>
      </c>
      <c r="G5206" s="87" t="str">
        <f>IFERROR(__xludf.DUMMYFUNCTION("""COMPUTED_VALUE"""),"GC - II - 4390 - GC.NANOFISH - STOP 25 (nước nâu đen) - 1L - 20")</f>
        <v>GC - II - 4390 - GC.NANOFISH - STOP 25 (nước nâu đen) - 1L - 20</v>
      </c>
    </row>
    <row r="5207">
      <c r="A5207" s="86">
        <f>IFERROR(__xludf.DUMMYFUNCTION("""COMPUTED_VALUE"""),5205.0)</f>
        <v>5205</v>
      </c>
      <c r="B5207" s="87" t="str">
        <f>IFERROR(__xludf.DUMMYFUNCTION("""COMPUTED_VALUE"""),"[Nhãn Thùng]")</f>
        <v>[Nhãn Thùng]</v>
      </c>
      <c r="C5207" s="87" t="str">
        <f>IFERROR(__xludf.DUMMYFUNCTION("""COMPUTED_VALUE"""),"NDT4255")</f>
        <v>NDT4255</v>
      </c>
      <c r="D5207" s="87" t="str">
        <f>IFERROR(__xludf.DUMMYFUNCTION("""COMPUTED_VALUE"""),"[Nhãn Thùng]  IDA Global - I - 4255 - CENTERTANER 500WP (bột vàng nhạt) - 12gr - 400")</f>
        <v>[Nhãn Thùng]  IDA Global - I - 4255 - CENTERTANER 500WP (bột vàng nhạt) - 12gr - 400</v>
      </c>
      <c r="E5207" s="87" t="str">
        <f>IFERROR(__xludf.DUMMYFUNCTION("""COMPUTED_VALUE"""),"Centertaner 500WP")</f>
        <v>Centertaner 500WP</v>
      </c>
      <c r="F5207" s="87" t="str">
        <f>IFERROR(__xludf.DUMMYFUNCTION("""COMPUTED_VALUE"""),"HH4255")</f>
        <v>HH4255</v>
      </c>
      <c r="G5207" s="87" t="str">
        <f>IFERROR(__xludf.DUMMYFUNCTION("""COMPUTED_VALUE"""),"IDA Global - I - 4255 - CENTERTANER 500WP (bột vàng nhạt) - 12gr - 400")</f>
        <v>IDA Global - I - 4255 - CENTERTANER 500WP (bột vàng nhạt) - 12gr - 400</v>
      </c>
    </row>
    <row r="5208">
      <c r="A5208" s="86">
        <f>IFERROR(__xludf.DUMMYFUNCTION("""COMPUTED_VALUE"""),5206.0)</f>
        <v>5206</v>
      </c>
      <c r="B5208" s="87" t="str">
        <f>IFERROR(__xludf.DUMMYFUNCTION("""COMPUTED_VALUE"""),"[Nhãn Thùng]")</f>
        <v>[Nhãn Thùng]</v>
      </c>
      <c r="C5208" s="87" t="str">
        <f>IFERROR(__xludf.DUMMYFUNCTION("""COMPUTED_VALUE"""),"NDT4256")</f>
        <v>NDT4256</v>
      </c>
      <c r="D5208" s="87" t="str">
        <f>IFERROR(__xludf.DUMMYFUNCTION("""COMPUTED_VALUE"""),"[Nhãn Thùng] IDA Global - I - 4256 - CENTERTANER 500WP (bột vàng nhạt) - 50gr - 100")</f>
        <v>[Nhãn Thùng] IDA Global - I - 4256 - CENTERTANER 500WP (bột vàng nhạt) - 50gr - 100</v>
      </c>
      <c r="E5208" s="87" t="str">
        <f>IFERROR(__xludf.DUMMYFUNCTION("""COMPUTED_VALUE"""),"Centertaner 500WP")</f>
        <v>Centertaner 500WP</v>
      </c>
      <c r="F5208" s="87" t="str">
        <f>IFERROR(__xludf.DUMMYFUNCTION("""COMPUTED_VALUE"""),"HH4256")</f>
        <v>HH4256</v>
      </c>
      <c r="G5208" s="87" t="str">
        <f>IFERROR(__xludf.DUMMYFUNCTION("""COMPUTED_VALUE"""),"IDA Global - I - 4256 - CENTERTANER 500WP (bột vàng nhạt) - 50gr - 100")</f>
        <v>IDA Global - I - 4256 - CENTERTANER 500WP (bột vàng nhạt) - 50gr - 100</v>
      </c>
    </row>
    <row r="5209">
      <c r="A5209" s="86">
        <f>IFERROR(__xludf.DUMMYFUNCTION("""COMPUTED_VALUE"""),5207.0)</f>
        <v>5207</v>
      </c>
      <c r="B5209" s="87" t="str">
        <f>IFERROR(__xludf.DUMMYFUNCTION("""COMPUTED_VALUE"""),"[Nhãn]")</f>
        <v>[Nhãn]</v>
      </c>
      <c r="C5209" s="87" t="str">
        <f>IFERROR(__xludf.DUMMYFUNCTION("""COMPUTED_VALUE"""),"NHG4399")</f>
        <v>NHG4399</v>
      </c>
      <c r="D5209" s="87" t="str">
        <f>IFERROR(__xludf.DUMMYFUNCTION("""COMPUTED_VALUE"""),"[Nhãn] GC - IV - 4399 - Cty Master Win - GENOL (Nước tím đậm - V3) - 250ml - 40")</f>
        <v>[Nhãn] GC - IV - 4399 - Cty Master Win - GENOL (Nước tím đậm - V3) - 250ml - 40</v>
      </c>
      <c r="E5209" s="87" t="str">
        <f>IFERROR(__xludf.DUMMYFUNCTION("""COMPUTED_VALUE"""),"GENOL 1.2SL")</f>
        <v>GENOL 1.2SL</v>
      </c>
      <c r="F5209" s="87" t="str">
        <f>IFERROR(__xludf.DUMMYFUNCTION("""COMPUTED_VALUE"""),"HH4399")</f>
        <v>HH4399</v>
      </c>
      <c r="G5209" s="87" t="str">
        <f>IFERROR(__xludf.DUMMYFUNCTION("""COMPUTED_VALUE"""),"GC - IV - 4399 - Cty Master Win - GENOL (Nước tím đậm - V3) - 250ml - 40")</f>
        <v>GC - IV - 4399 - Cty Master Win - GENOL (Nước tím đậm - V3) - 250ml - 40</v>
      </c>
    </row>
    <row r="5210">
      <c r="A5210" s="86">
        <f>IFERROR(__xludf.DUMMYFUNCTION("""COMPUTED_VALUE"""),5208.0)</f>
        <v>5208</v>
      </c>
      <c r="B5210" s="87" t="str">
        <f>IFERROR(__xludf.DUMMYFUNCTION("""COMPUTED_VALUE"""),"[Nhãn]")</f>
        <v>[Nhãn]</v>
      </c>
      <c r="C5210" s="87" t="str">
        <f>IFERROR(__xludf.DUMMYFUNCTION("""COMPUTED_VALUE"""),"NHD4389")</f>
        <v>NHD4389</v>
      </c>
      <c r="D5210" s="87" t="str">
        <f>IFERROR(__xludf.DUMMYFUNCTION("""COMPUTED_VALUE"""),"[Nhãn] GC - IV - 4389 - GNH - Siêu Bung Đọt (nước nâu đen) - 5L - 4")</f>
        <v>[Nhãn] GC - IV - 4389 - GNH - Siêu Bung Đọt (nước nâu đen) - 5L - 4</v>
      </c>
      <c r="E5210" s="87" t="str">
        <f>IFERROR(__xludf.DUMMYFUNCTION("""COMPUTED_VALUE"""),"Hữu cơ SH Agro Organic Fertilizer 20")</f>
        <v>Hữu cơ SH Agro Organic Fertilizer 20</v>
      </c>
      <c r="F5210" s="87" t="str">
        <f>IFERROR(__xludf.DUMMYFUNCTION("""COMPUTED_VALUE"""),"HH4389")</f>
        <v>HH4389</v>
      </c>
      <c r="G5210" s="87" t="str">
        <f>IFERROR(__xludf.DUMMYFUNCTION("""COMPUTED_VALUE"""),"GC - IV - 4389 - GNH - Siêu Bung Đọt (nước nâu đen) - 5L - 4")</f>
        <v>GC - IV - 4389 - GNH - Siêu Bung Đọt (nước nâu đen) - 5L - 4</v>
      </c>
    </row>
    <row r="5211">
      <c r="A5211" s="86">
        <f>IFERROR(__xludf.DUMMYFUNCTION("""COMPUTED_VALUE"""),5209.0)</f>
        <v>5209</v>
      </c>
      <c r="B5211" s="87" t="str">
        <f>IFERROR(__xludf.DUMMYFUNCTION("""COMPUTED_VALUE"""),"[Nhãn Thùng]")</f>
        <v>[Nhãn Thùng]</v>
      </c>
      <c r="C5211" s="87" t="str">
        <f>IFERROR(__xludf.DUMMYFUNCTION("""COMPUTED_VALUE"""),"NDT4389")</f>
        <v>NDT4389</v>
      </c>
      <c r="D5211" s="87" t="str">
        <f>IFERROR(__xludf.DUMMYFUNCTION("""COMPUTED_VALUE"""),"[Nhãn Thùng] GC - IV - 4389 - GNH - Siêu Bung Đọt (nước nâu đen) - 5L - 4")</f>
        <v>[Nhãn Thùng] GC - IV - 4389 - GNH - Siêu Bung Đọt (nước nâu đen) - 5L - 4</v>
      </c>
      <c r="E5211" s="87" t="str">
        <f>IFERROR(__xludf.DUMMYFUNCTION("""COMPUTED_VALUE"""),"Hữu cơ SH Agro Organic Fertilizer 20")</f>
        <v>Hữu cơ SH Agro Organic Fertilizer 20</v>
      </c>
      <c r="F5211" s="87" t="str">
        <f>IFERROR(__xludf.DUMMYFUNCTION("""COMPUTED_VALUE"""),"HH4389")</f>
        <v>HH4389</v>
      </c>
      <c r="G5211" s="87" t="str">
        <f>IFERROR(__xludf.DUMMYFUNCTION("""COMPUTED_VALUE"""),"GC - IV - 4389 - GNH - Siêu Bung Đọt (nước nâu đen) - 5L - 4")</f>
        <v>GC - IV - 4389 - GNH - Siêu Bung Đọt (nước nâu đen) - 5L - 4</v>
      </c>
    </row>
    <row r="5212">
      <c r="A5212" s="86">
        <f>IFERROR(__xludf.DUMMYFUNCTION("""COMPUTED_VALUE"""),5210.0)</f>
        <v>5210</v>
      </c>
      <c r="B5212" s="87" t="str">
        <f>IFERROR(__xludf.DUMMYFUNCTION("""COMPUTED_VALUE"""),"[Nhãn]")</f>
        <v>[Nhãn]</v>
      </c>
      <c r="C5212" s="87" t="str">
        <f>IFERROR(__xludf.DUMMYFUNCTION("""COMPUTED_VALUE"""),"NHD4398")</f>
        <v>NHD4398</v>
      </c>
      <c r="D5212" s="87" t="str">
        <f>IFERROR(__xludf.DUMMYFUNCTION("""COMPUTED_VALUE"""),"[Nhãn] GC - IV - 4398 - CTY MASTER WIN - SUPER F1 (Nước xanh nõn chuối) - 500ml - 40")</f>
        <v>[Nhãn] GC - IV - 4398 - CTY MASTER WIN - SUPER F1 (Nước xanh nõn chuối) - 500ml - 40</v>
      </c>
      <c r="E5212" s="87" t="str">
        <f>IFERROR(__xludf.DUMMYFUNCTION("""COMPUTED_VALUE"""),"Hữu cơ WIN STALK")</f>
        <v>Hữu cơ WIN STALK</v>
      </c>
      <c r="F5212" s="87" t="str">
        <f>IFERROR(__xludf.DUMMYFUNCTION("""COMPUTED_VALUE"""),"HH4398")</f>
        <v>HH4398</v>
      </c>
      <c r="G5212" s="87" t="str">
        <f>IFERROR(__xludf.DUMMYFUNCTION("""COMPUTED_VALUE"""),"GC - IV - 4398 - CTY MASTER WIN - SUPER F1 (Nước xanh nõn chuối) - 500ml - 40")</f>
        <v>GC - IV - 4398 - CTY MASTER WIN - SUPER F1 (Nước xanh nõn chuối) - 500ml - 40</v>
      </c>
    </row>
    <row r="5213">
      <c r="A5213" s="86">
        <f>IFERROR(__xludf.DUMMYFUNCTION("""COMPUTED_VALUE"""),5211.0)</f>
        <v>5211</v>
      </c>
      <c r="B5213" s="87" t="str">
        <f>IFERROR(__xludf.DUMMYFUNCTION("""COMPUTED_VALUE"""),"[Nhãn Thùng]")</f>
        <v>[Nhãn Thùng]</v>
      </c>
      <c r="C5213" s="87" t="str">
        <f>IFERROR(__xludf.DUMMYFUNCTION("""COMPUTED_VALUE"""),"NDT4398")</f>
        <v>NDT4398</v>
      </c>
      <c r="D5213" s="87" t="str">
        <f>IFERROR(__xludf.DUMMYFUNCTION("""COMPUTED_VALUE"""),"[Nhãn Thùng] GC - IV - 4398 - CTY MASTER WIN - SUPER F1 (Nước xanh nõn chuối) - 500ml - 40")</f>
        <v>[Nhãn Thùng] GC - IV - 4398 - CTY MASTER WIN - SUPER F1 (Nước xanh nõn chuối) - 500ml - 40</v>
      </c>
      <c r="E5213" s="87" t="str">
        <f>IFERROR(__xludf.DUMMYFUNCTION("""COMPUTED_VALUE"""),"Hữu cơ WIN STALK")</f>
        <v>Hữu cơ WIN STALK</v>
      </c>
      <c r="F5213" s="87" t="str">
        <f>IFERROR(__xludf.DUMMYFUNCTION("""COMPUTED_VALUE"""),"HH4398")</f>
        <v>HH4398</v>
      </c>
      <c r="G5213" s="87" t="str">
        <f>IFERROR(__xludf.DUMMYFUNCTION("""COMPUTED_VALUE"""),"GC - IV - 4398 - CTY MASTER WIN - SUPER F1 (Nước xanh nõn chuối) - 500ml - 40")</f>
        <v>GC - IV - 4398 - CTY MASTER WIN - SUPER F1 (Nước xanh nõn chuối) - 500ml - 40</v>
      </c>
    </row>
    <row r="5214">
      <c r="A5214" s="86">
        <f>IFERROR(__xludf.DUMMYFUNCTION("""COMPUTED_VALUE"""),5212.0)</f>
        <v>5212</v>
      </c>
      <c r="B5214" s="87" t="str">
        <f>IFERROR(__xludf.DUMMYFUNCTION("""COMPUTED_VALUE"""),"[Nhãn]")</f>
        <v>[Nhãn]</v>
      </c>
      <c r="C5214" s="87" t="str">
        <f>IFERROR(__xludf.DUMMYFUNCTION("""COMPUTED_VALUE"""),"NHG4388")</f>
        <v>NHG4388</v>
      </c>
      <c r="D5214" s="87" t="str">
        <f>IFERROR(__xludf.DUMMYFUNCTION("""COMPUTED_VALUE"""),"[Nhãn] IDA Global - I - 4388 - ĐL PHƯỚC THẠNH - CANXI BO LIQUID (Nước trắng sữa) - 250ml - 40")</f>
        <v>[Nhãn] IDA Global - I - 4388 - ĐL PHƯỚC THẠNH - CANXI BO LIQUID (Nước trắng sữa) - 250ml - 40</v>
      </c>
      <c r="E5214" s="87" t="str">
        <f>IFERROR(__xludf.DUMMYFUNCTION("""COMPUTED_VALUE"""),"Vi lượng AGAMA-CANXI BO")</f>
        <v>Vi lượng AGAMA-CANXI BO</v>
      </c>
      <c r="F5214" s="87" t="str">
        <f>IFERROR(__xludf.DUMMYFUNCTION("""COMPUTED_VALUE"""),"HH4388")</f>
        <v>HH4388</v>
      </c>
      <c r="G5214" s="87" t="str">
        <f>IFERROR(__xludf.DUMMYFUNCTION("""COMPUTED_VALUE"""),"IDA Global - I - 4388 - ĐL PHƯỚC THẠNH - CANXI BO LIQUID (Nước trắng sữa) - 250ml - 40")</f>
        <v>IDA Global - I - 4388 - ĐL PHƯỚC THẠNH - CANXI BO LIQUID (Nước trắng sữa) - 250ml - 40</v>
      </c>
    </row>
    <row r="5215">
      <c r="A5215" s="86">
        <f>IFERROR(__xludf.DUMMYFUNCTION("""COMPUTED_VALUE"""),5213.0)</f>
        <v>5213</v>
      </c>
      <c r="B5215" s="87" t="str">
        <f>IFERROR(__xludf.DUMMYFUNCTION("""COMPUTED_VALUE"""),"[Nhãn]")</f>
        <v>[Nhãn]</v>
      </c>
      <c r="C5215" s="87" t="str">
        <f>IFERROR(__xludf.DUMMYFUNCTION("""COMPUTED_VALUE"""),"NTN4386")</f>
        <v>NTN4386</v>
      </c>
      <c r="D5215" s="87" t="str">
        <f>IFERROR(__xludf.DUMMYFUNCTION("""COMPUTED_VALUE"""),"[Nhãn] IDA Global - I - 4386 - ĐL PHƯỚC THẠNH - PT PIM (Bột cam) - 100gr - 100")</f>
        <v>[Nhãn] IDA Global - I - 4386 - ĐL PHƯỚC THẠNH - PT PIM (Bột cam) - 100gr - 100</v>
      </c>
      <c r="E5215" s="87" t="str">
        <f>IFERROR(__xludf.DUMMYFUNCTION("""COMPUTED_VALUE"""),"Pim.Pim 75WP")</f>
        <v>Pim.Pim 75WP</v>
      </c>
      <c r="F5215" s="87" t="str">
        <f>IFERROR(__xludf.DUMMYFUNCTION("""COMPUTED_VALUE"""),"HH4386")</f>
        <v>HH4386</v>
      </c>
      <c r="G5215" s="87" t="str">
        <f>IFERROR(__xludf.DUMMYFUNCTION("""COMPUTED_VALUE"""),"IDA Global - I - 4386 - ĐL PHƯỚC THẠNH - PT PIM (Bột cam) - 100gr - 100")</f>
        <v>IDA Global - I - 4386 - ĐL PHƯỚC THẠNH - PT PIM (Bột cam) - 100gr - 100</v>
      </c>
    </row>
    <row r="5216">
      <c r="A5216" s="86">
        <f>IFERROR(__xludf.DUMMYFUNCTION("""COMPUTED_VALUE"""),5214.0)</f>
        <v>5214</v>
      </c>
      <c r="B5216" s="87" t="str">
        <f>IFERROR(__xludf.DUMMYFUNCTION("""COMPUTED_VALUE"""),"[Nhãn Thùng]")</f>
        <v>[Nhãn Thùng]</v>
      </c>
      <c r="C5216" s="87" t="str">
        <f>IFERROR(__xludf.DUMMYFUNCTION("""COMPUTED_VALUE"""),"NDT4386")</f>
        <v>NDT4386</v>
      </c>
      <c r="D5216" s="87" t="str">
        <f>IFERROR(__xludf.DUMMYFUNCTION("""COMPUTED_VALUE"""),"[Nhãn Thùng] IDA Global - I - 4386 - ĐL PHƯỚC THẠNH - PT PIM (Bột cam) - 100gr - 100")</f>
        <v>[Nhãn Thùng] IDA Global - I - 4386 - ĐL PHƯỚC THẠNH - PT PIM (Bột cam) - 100gr - 100</v>
      </c>
      <c r="E5216" s="87" t="str">
        <f>IFERROR(__xludf.DUMMYFUNCTION("""COMPUTED_VALUE"""),"Pim.Pim 75WP")</f>
        <v>Pim.Pim 75WP</v>
      </c>
      <c r="F5216" s="87" t="str">
        <f>IFERROR(__xludf.DUMMYFUNCTION("""COMPUTED_VALUE"""),"HH4386")</f>
        <v>HH4386</v>
      </c>
      <c r="G5216" s="87" t="str">
        <f>IFERROR(__xludf.DUMMYFUNCTION("""COMPUTED_VALUE"""),"IDA Global - I - 4386 - ĐL PHƯỚC THẠNH - PT PIM (Bột cam) - 100gr - 100")</f>
        <v>IDA Global - I - 4386 - ĐL PHƯỚC THẠNH - PT PIM (Bột cam) - 100gr - 100</v>
      </c>
    </row>
    <row r="5217">
      <c r="A5217" s="86">
        <f>IFERROR(__xludf.DUMMYFUNCTION("""COMPUTED_VALUE"""),5215.0)</f>
        <v>5215</v>
      </c>
      <c r="B5217" s="87" t="str">
        <f>IFERROR(__xludf.DUMMYFUNCTION("""COMPUTED_VALUE"""),"[Nhãn]")</f>
        <v>[Nhãn]</v>
      </c>
      <c r="C5217" s="87" t="str">
        <f>IFERROR(__xludf.DUMMYFUNCTION("""COMPUTED_VALUE"""),"NHG4382")</f>
        <v>NHG4382</v>
      </c>
      <c r="D5217" s="87" t="str">
        <f>IFERROR(__xludf.DUMMYFUNCTION("""COMPUTED_VALUE"""),"[Nhãn] GC - IV - 4382 - NHP GROUP - NHỆN ĐỎ (Nước tím) - 240ml - 40")</f>
        <v>[Nhãn] GC - IV - 4382 - NHP GROUP - NHỆN ĐỎ (Nước tím) - 240ml - 40</v>
      </c>
      <c r="E5217" s="87" t="str">
        <f>IFERROR(__xludf.DUMMYFUNCTION("""COMPUTED_VALUE"""),"Chitin 3.6EC")</f>
        <v>Chitin 3.6EC</v>
      </c>
      <c r="F5217" s="87" t="str">
        <f>IFERROR(__xludf.DUMMYFUNCTION("""COMPUTED_VALUE"""),"HH4382")</f>
        <v>HH4382</v>
      </c>
      <c r="G5217" s="87" t="str">
        <f>IFERROR(__xludf.DUMMYFUNCTION("""COMPUTED_VALUE"""),"GC - IV - 4382 - NHP GROUP - NHỆN ĐỎ (Nước tím) - 240ml - 40")</f>
        <v>GC - IV - 4382 - NHP GROUP - NHỆN ĐỎ (Nước tím) - 240ml - 40</v>
      </c>
    </row>
    <row r="5218">
      <c r="A5218" s="86">
        <f>IFERROR(__xludf.DUMMYFUNCTION("""COMPUTED_VALUE"""),5216.0)</f>
        <v>5216</v>
      </c>
      <c r="B5218" s="87" t="str">
        <f>IFERROR(__xludf.DUMMYFUNCTION("""COMPUTED_VALUE"""),"[Nhãn Thùng]")</f>
        <v>[Nhãn Thùng]</v>
      </c>
      <c r="C5218" s="87" t="str">
        <f>IFERROR(__xludf.DUMMYFUNCTION("""COMPUTED_VALUE"""),"NDT4303")</f>
        <v>NDT4303</v>
      </c>
      <c r="D5218" s="87" t="str">
        <f>IFERROR(__xludf.DUMMYFUNCTION("""COMPUTED_VALUE"""),"[Nhãn Thùng] GC - IV - 4303 - CSSX An Khang (A.Dinh) - TAK06 (Gel nâu đen) - 5L - 4")</f>
        <v>[Nhãn Thùng] GC - IV - 4303 - CSSX An Khang (A.Dinh) - TAK06 (Gel nâu đen) - 5L - 4</v>
      </c>
      <c r="E5218" s="87" t="str">
        <f>IFERROR(__xludf.DUMMYFUNCTION("""COMPUTED_VALUE"""),"Vi lượng Run Fast")</f>
        <v>Vi lượng Run Fast</v>
      </c>
      <c r="F5218" s="87" t="str">
        <f>IFERROR(__xludf.DUMMYFUNCTION("""COMPUTED_VALUE"""),"HH4303")</f>
        <v>HH4303</v>
      </c>
      <c r="G5218" s="87" t="str">
        <f>IFERROR(__xludf.DUMMYFUNCTION("""COMPUTED_VALUE"""),"GC - IV - 4303 - CSSX An Khang (A.Dinh) - TAK06 (Gel nâu đen) - 5L - 4")</f>
        <v>GC - IV - 4303 - CSSX An Khang (A.Dinh) - TAK06 (Gel nâu đen) - 5L - 4</v>
      </c>
    </row>
    <row r="5219">
      <c r="A5219" s="86">
        <f>IFERROR(__xludf.DUMMYFUNCTION("""COMPUTED_VALUE"""),5217.0)</f>
        <v>5217</v>
      </c>
      <c r="B5219" s="87" t="str">
        <f>IFERROR(__xludf.DUMMYFUNCTION("""COMPUTED_VALUE"""),"[Nhãn]")</f>
        <v>[Nhãn]</v>
      </c>
      <c r="C5219" s="87" t="str">
        <f>IFERROR(__xludf.DUMMYFUNCTION("""COMPUTED_VALUE"""),"NHG4391")</f>
        <v>NHG4391</v>
      </c>
      <c r="D5219" s="87" t="str">
        <f>IFERROR(__xludf.DUMMYFUNCTION("""COMPUTED_VALUE"""),"[Nhãn] GC - IV - 4391 - CTY NEWTEX - CANXI BO KẼM T8 (Nước trắng sữa) - 1L - 20")</f>
        <v>[Nhãn] GC - IV - 4391 - CTY NEWTEX - CANXI BO KẼM T8 (Nước trắng sữa) - 1L - 20</v>
      </c>
      <c r="E5219" s="87" t="str">
        <f>IFERROR(__xludf.DUMMYFUNCTION("""COMPUTED_VALUE"""),"Vi lượng AGAMA-CANXI BO")</f>
        <v>Vi lượng AGAMA-CANXI BO</v>
      </c>
      <c r="F5219" s="87" t="str">
        <f>IFERROR(__xludf.DUMMYFUNCTION("""COMPUTED_VALUE"""),"HH4391")</f>
        <v>HH4391</v>
      </c>
      <c r="G5219" s="87" t="str">
        <f>IFERROR(__xludf.DUMMYFUNCTION("""COMPUTED_VALUE"""),"GC - IV - 4391 - CTY NEWTEX - CANXI BO KẼM T8 (Nước trắng sữa) - 1L - 20")</f>
        <v>GC - IV - 4391 - CTY NEWTEX - CANXI BO KẼM T8 (Nước trắng sữa) - 1L - 20</v>
      </c>
    </row>
    <row r="5220">
      <c r="A5220" s="86">
        <f>IFERROR(__xludf.DUMMYFUNCTION("""COMPUTED_VALUE"""),5218.0)</f>
        <v>5218</v>
      </c>
      <c r="B5220" s="87" t="str">
        <f>IFERROR(__xludf.DUMMYFUNCTION("""COMPUTED_VALUE"""),"[Nhãn]")</f>
        <v>[Nhãn]</v>
      </c>
      <c r="C5220" s="87" t="str">
        <f>IFERROR(__xludf.DUMMYFUNCTION("""COMPUTED_VALUE"""),"NHG4350")</f>
        <v>NHG4350</v>
      </c>
      <c r="D5220" s="87" t="str">
        <f>IFERROR(__xludf.DUMMYFUNCTION("""COMPUTED_VALUE"""),"[Nhãn] GC - IV - 4350 - CTY NAUY - TỐT RỄ (Nước nâu đen) - 500ml - 40")</f>
        <v>[Nhãn] GC - IV - 4350 - CTY NAUY - TỐT RỄ (Nước nâu đen) - 500ml - 40</v>
      </c>
      <c r="E5220" s="87" t="str">
        <f>IFERROR(__xludf.DUMMYFUNCTION("""COMPUTED_VALUE"""),"Hỗn Hợp NP AGAMA-AP")</f>
        <v>Hỗn Hợp NP AGAMA-AP</v>
      </c>
      <c r="F5220" s="87" t="str">
        <f>IFERROR(__xludf.DUMMYFUNCTION("""COMPUTED_VALUE"""),"HH4350")</f>
        <v>HH4350</v>
      </c>
      <c r="G5220" s="87" t="str">
        <f>IFERROR(__xludf.DUMMYFUNCTION("""COMPUTED_VALUE"""),"GC - IV - 4350 - CTY NAUY - TỐT RỄ (Nước nâu đen) - 500ml - 40")</f>
        <v>GC - IV - 4350 - CTY NAUY - TỐT RỄ (Nước nâu đen) - 500ml - 40</v>
      </c>
    </row>
    <row r="5221">
      <c r="A5221" s="86">
        <f>IFERROR(__xludf.DUMMYFUNCTION("""COMPUTED_VALUE"""),5219.0)</f>
        <v>5219</v>
      </c>
      <c r="B5221" s="87" t="str">
        <f>IFERROR(__xludf.DUMMYFUNCTION("""COMPUTED_VALUE"""),"[Nhãn]")</f>
        <v>[Nhãn]</v>
      </c>
      <c r="C5221" s="87" t="str">
        <f>IFERROR(__xludf.DUMMYFUNCTION("""COMPUTED_VALUE"""),"NHG4351")</f>
        <v>NHG4351</v>
      </c>
      <c r="D5221" s="87" t="str">
        <f>IFERROR(__xludf.DUMMYFUNCTION("""COMPUTED_VALUE"""),"[Nhãn] GC - IV - 4351 - CTY NAUY - PHÁO ĐÀI (Nước nâu đen) - 500ml - 40")</f>
        <v>[Nhãn] GC - IV - 4351 - CTY NAUY - PHÁO ĐÀI (Nước nâu đen) - 500ml - 40</v>
      </c>
      <c r="E5221" s="87" t="str">
        <f>IFERROR(__xludf.DUMMYFUNCTION("""COMPUTED_VALUE"""),"Hữu Cơ Crops Care")</f>
        <v>Hữu Cơ Crops Care</v>
      </c>
      <c r="F5221" s="87" t="str">
        <f>IFERROR(__xludf.DUMMYFUNCTION("""COMPUTED_VALUE"""),"HH4351")</f>
        <v>HH4351</v>
      </c>
      <c r="G5221" s="87" t="str">
        <f>IFERROR(__xludf.DUMMYFUNCTION("""COMPUTED_VALUE"""),"GC - IV - 4351 - CTY NAUY - PHÁO ĐÀI (Nước nâu đen) - 500ml - 40")</f>
        <v>GC - IV - 4351 - CTY NAUY - PHÁO ĐÀI (Nước nâu đen) - 500ml - 40</v>
      </c>
    </row>
    <row r="5222">
      <c r="A5222" s="86">
        <f>IFERROR(__xludf.DUMMYFUNCTION("""COMPUTED_VALUE"""),5220.0)</f>
        <v>5220</v>
      </c>
      <c r="B5222" s="87" t="str">
        <f>IFERROR(__xludf.DUMMYFUNCTION("""COMPUTED_VALUE"""),"[Nhãn]")</f>
        <v>[Nhãn]</v>
      </c>
      <c r="C5222" s="87" t="str">
        <f>IFERROR(__xludf.DUMMYFUNCTION("""COMPUTED_VALUE"""),"NHG4352")</f>
        <v>NHG4352</v>
      </c>
      <c r="D5222" s="87" t="str">
        <f>IFERROR(__xludf.DUMMYFUNCTION("""COMPUTED_VALUE"""),"[Nhãn] GC - IV - 4352 - CTY NAUY - THẦN ĐÒNG (Nước nâu đen) - 500ml - 40")</f>
        <v>[Nhãn] GC - IV - 4352 - CTY NAUY - THẦN ĐÒNG (Nước nâu đen) - 500ml - 40</v>
      </c>
      <c r="E5222" s="87" t="str">
        <f>IFERROR(__xludf.DUMMYFUNCTION("""COMPUTED_VALUE"""),"Hữu Cơ PBHC Cabozinc A.B.A")</f>
        <v>Hữu Cơ PBHC Cabozinc A.B.A</v>
      </c>
      <c r="F5222" s="87" t="str">
        <f>IFERROR(__xludf.DUMMYFUNCTION("""COMPUTED_VALUE"""),"HH4352")</f>
        <v>HH4352</v>
      </c>
      <c r="G5222" s="87" t="str">
        <f>IFERROR(__xludf.DUMMYFUNCTION("""COMPUTED_VALUE"""),"GC - IV - 4352 - CTY NAUY - THẦN ĐÒNG (Nước nâu đen) - 500ml - 40")</f>
        <v>GC - IV - 4352 - CTY NAUY - THẦN ĐÒNG (Nước nâu đen) - 500ml - 40</v>
      </c>
    </row>
    <row r="5223">
      <c r="A5223" s="86">
        <f>IFERROR(__xludf.DUMMYFUNCTION("""COMPUTED_VALUE"""),5221.0)</f>
        <v>5221</v>
      </c>
      <c r="B5223" s="87" t="str">
        <f>IFERROR(__xludf.DUMMYFUNCTION("""COMPUTED_VALUE"""),"[Nhãn]")</f>
        <v>[Nhãn]</v>
      </c>
      <c r="C5223" s="87" t="str">
        <f>IFERROR(__xludf.DUMMYFUNCTION("""COMPUTED_VALUE"""),"NHG4353")</f>
        <v>NHG4353</v>
      </c>
      <c r="D5223" s="87" t="str">
        <f>IFERROR(__xludf.DUMMYFUNCTION("""COMPUTED_VALUE"""),"[Nhãn] GC - IV - 4353 - CTY NAUY - VÔ GẠO 2T (Nước nâu đen) - 500ml - 40")</f>
        <v>[Nhãn] GC - IV - 4353 - CTY NAUY - VÔ GẠO 2T (Nước nâu đen) - 500ml - 40</v>
      </c>
      <c r="E5223" s="87" t="str">
        <f>IFERROR(__xludf.DUMMYFUNCTION("""COMPUTED_VALUE"""),"HỖN HỢP NPK AGAMA-SRH")</f>
        <v>HỖN HỢP NPK AGAMA-SRH</v>
      </c>
      <c r="F5223" s="87" t="str">
        <f>IFERROR(__xludf.DUMMYFUNCTION("""COMPUTED_VALUE"""),"HH4353")</f>
        <v>HH4353</v>
      </c>
      <c r="G5223" s="87" t="str">
        <f>IFERROR(__xludf.DUMMYFUNCTION("""COMPUTED_VALUE"""),"GC - IV - 4353 - CTY NAUY - VÔ GẠO 2T (Nước nâu đen) - 500ml - 40")</f>
        <v>GC - IV - 4353 - CTY NAUY - VÔ GẠO 2T (Nước nâu đen) - 500ml - 40</v>
      </c>
    </row>
    <row r="5224">
      <c r="A5224" s="86">
        <f>IFERROR(__xludf.DUMMYFUNCTION("""COMPUTED_VALUE"""),5222.0)</f>
        <v>5222</v>
      </c>
      <c r="B5224" s="87" t="str">
        <f>IFERROR(__xludf.DUMMYFUNCTION("""COMPUTED_VALUE"""),"[Nhãn]")</f>
        <v>[Nhãn]</v>
      </c>
      <c r="C5224" s="87" t="str">
        <f>IFERROR(__xludf.DUMMYFUNCTION("""COMPUTED_VALUE"""),"NHG4354")</f>
        <v>NHG4354</v>
      </c>
      <c r="D5224" s="87" t="str">
        <f>IFERROR(__xludf.DUMMYFUNCTION("""COMPUTED_VALUE"""),"[Nhãn] GC - IV - 4354 - CTY NAUY - KALI NAUY (Nước nâu đen) - 500ml - 40")</f>
        <v>[Nhãn] GC - IV - 4354 - CTY NAUY - KALI NAUY (Nước nâu đen) - 500ml - 40</v>
      </c>
      <c r="E5224" s="87" t="str">
        <f>IFERROR(__xludf.DUMMYFUNCTION("""COMPUTED_VALUE"""),"Hữu Cơ Organic ĐGP 01")</f>
        <v>Hữu Cơ Organic ĐGP 01</v>
      </c>
      <c r="F5224" s="87" t="str">
        <f>IFERROR(__xludf.DUMMYFUNCTION("""COMPUTED_VALUE"""),"HH4354")</f>
        <v>HH4354</v>
      </c>
      <c r="G5224" s="87" t="str">
        <f>IFERROR(__xludf.DUMMYFUNCTION("""COMPUTED_VALUE"""),"GC - IV - 4354 - CTY NAUY - KALI NAUY (Nước nâu đen) - 500ml - 40")</f>
        <v>GC - IV - 4354 - CTY NAUY - KALI NAUY (Nước nâu đen) - 500ml - 40</v>
      </c>
    </row>
    <row r="5225">
      <c r="A5225" s="86">
        <f>IFERROR(__xludf.DUMMYFUNCTION("""COMPUTED_VALUE"""),5223.0)</f>
        <v>5223</v>
      </c>
      <c r="B5225" s="87" t="str">
        <f>IFERROR(__xludf.DUMMYFUNCTION("""COMPUTED_VALUE"""),"[Nhãn]")</f>
        <v>[Nhãn]</v>
      </c>
      <c r="C5225" s="87" t="str">
        <f>IFERROR(__xludf.DUMMYFUNCTION("""COMPUTED_VALUE"""),"NHG3864")</f>
        <v>NHG3864</v>
      </c>
      <c r="D5225" s="87" t="str">
        <f>IFERROR(__xludf.DUMMYFUNCTION("""COMPUTED_VALUE"""),"[Nhãn] GC - IV - 3864 - Cty Biotech Hà Lan - MITOPS VIN (Nước trắng sữa) - 1L - 20")</f>
        <v>[Nhãn] GC - IV - 3864 - Cty Biotech Hà Lan - MITOPS VIN (Nước trắng sữa) - 1L - 20</v>
      </c>
      <c r="E5225" s="87" t="str">
        <f>IFERROR(__xludf.DUMMYFUNCTION("""COMPUTED_VALUE"""),"JAPA VIL 110SC")</f>
        <v>JAPA VIL 110SC</v>
      </c>
      <c r="F5225" s="87" t="str">
        <f>IFERROR(__xludf.DUMMYFUNCTION("""COMPUTED_VALUE"""),"HH3864")</f>
        <v>HH3864</v>
      </c>
      <c r="G5225" s="87" t="str">
        <f>IFERROR(__xludf.DUMMYFUNCTION("""COMPUTED_VALUE"""),"GC - IV - 3864 - Cty Biotech Hà Lan - MITOPS VIN (Nước trắng sữa) - 1L - 20")</f>
        <v>GC - IV - 3864 - Cty Biotech Hà Lan - MITOPS VIN (Nước trắng sữa) - 1L - 20</v>
      </c>
    </row>
    <row r="5226">
      <c r="A5226" s="86">
        <f>IFERROR(__xludf.DUMMYFUNCTION("""COMPUTED_VALUE"""),5224.0)</f>
        <v>5224</v>
      </c>
      <c r="B5226" s="87" t="str">
        <f>IFERROR(__xludf.DUMMYFUNCTION("""COMPUTED_VALUE"""),"[Nhãn]")</f>
        <v>[Nhãn]</v>
      </c>
      <c r="C5226" s="87" t="str">
        <f>IFERROR(__xludf.DUMMYFUNCTION("""COMPUTED_VALUE"""),"NTN4401")</f>
        <v>NTN4401</v>
      </c>
      <c r="D5226" s="87" t="str">
        <f>IFERROR(__xludf.DUMMYFUNCTION("""COMPUTED_VALUE"""),"[Nhãn] GC - IV - 4401 - Cty Capy Global - KHONGRAY 54WP (Bột trắng ngà) - 100gr - 100")</f>
        <v>[Nhãn] GC - IV - 4401 - Cty Capy Global - KHONGRAY 54WP (Bột trắng ngà) - 100gr - 100</v>
      </c>
      <c r="E5226" s="87" t="str">
        <f>IFERROR(__xludf.DUMMYFUNCTION("""COMPUTED_VALUE"""),"KHONGRAY 54WP")</f>
        <v>KHONGRAY 54WP</v>
      </c>
      <c r="F5226" s="87" t="str">
        <f>IFERROR(__xludf.DUMMYFUNCTION("""COMPUTED_VALUE"""),"HH4401")</f>
        <v>HH4401</v>
      </c>
      <c r="G5226" s="87" t="str">
        <f>IFERROR(__xludf.DUMMYFUNCTION("""COMPUTED_VALUE"""),"GC - IV - 4401 - Cty Capy Global - KHONGRAY 54WP (Bột trắng ngà) - 100gr - 100")</f>
        <v>GC - IV - 4401 - Cty Capy Global - KHONGRAY 54WP (Bột trắng ngà) - 100gr - 100</v>
      </c>
    </row>
    <row r="5227">
      <c r="A5227" s="86">
        <f>IFERROR(__xludf.DUMMYFUNCTION("""COMPUTED_VALUE"""),5225.0)</f>
        <v>5225</v>
      </c>
      <c r="B5227" s="87" t="str">
        <f>IFERROR(__xludf.DUMMYFUNCTION("""COMPUTED_VALUE"""),"[Nhãn Thùng]")</f>
        <v>[Nhãn Thùng]</v>
      </c>
      <c r="C5227" s="87" t="str">
        <f>IFERROR(__xludf.DUMMYFUNCTION("""COMPUTED_VALUE"""),"NDT4401")</f>
        <v>NDT4401</v>
      </c>
      <c r="D5227" s="87" t="str">
        <f>IFERROR(__xludf.DUMMYFUNCTION("""COMPUTED_VALUE"""),"[Nhãn Thùng] GC - IV - 4401 - Cty Capy Global - KHONGRAY 54WP (Bột trắng ngà) - 100gr - 100")</f>
        <v>[Nhãn Thùng] GC - IV - 4401 - Cty Capy Global - KHONGRAY 54WP (Bột trắng ngà) - 100gr - 100</v>
      </c>
      <c r="E5227" s="87" t="str">
        <f>IFERROR(__xludf.DUMMYFUNCTION("""COMPUTED_VALUE"""),"KHONGRAY 54WP")</f>
        <v>KHONGRAY 54WP</v>
      </c>
      <c r="F5227" s="87" t="str">
        <f>IFERROR(__xludf.DUMMYFUNCTION("""COMPUTED_VALUE"""),"HH4401")</f>
        <v>HH4401</v>
      </c>
      <c r="G5227" s="87" t="str">
        <f>IFERROR(__xludf.DUMMYFUNCTION("""COMPUTED_VALUE"""),"GC - IV - 4401 - Cty Capy Global - KHONGRAY 54WP (Bột trắng ngà) - 100gr - 100")</f>
        <v>GC - IV - 4401 - Cty Capy Global - KHONGRAY 54WP (Bột trắng ngà) - 100gr - 100</v>
      </c>
    </row>
    <row r="5228">
      <c r="A5228" s="86">
        <f>IFERROR(__xludf.DUMMYFUNCTION("""COMPUTED_VALUE"""),5226.0)</f>
        <v>5226</v>
      </c>
      <c r="B5228" s="87" t="str">
        <f>IFERROR(__xludf.DUMMYFUNCTION("""COMPUTED_VALUE"""),"[Nhãn]")</f>
        <v>[Nhãn]</v>
      </c>
      <c r="C5228" s="87" t="str">
        <f>IFERROR(__xludf.DUMMYFUNCTION("""COMPUTED_VALUE"""),"NTN4368")</f>
        <v>NTN4368</v>
      </c>
      <c r="D5228" s="87" t="str">
        <f>IFERROR(__xludf.DUMMYFUNCTION("""COMPUTED_VALUE"""),"[Nhãn] CTY HẠT GIỐNG C.P VN - VII - 4368 - 30-10-10 (Bột trắng) - 50gr - 250")</f>
        <v>[Nhãn] CTY HẠT GIỐNG C.P VN - VII - 4368 - 30-10-10 (Bột trắng) - 50gr - 250</v>
      </c>
      <c r="E5228" s="87" t="str">
        <f>IFERROR(__xludf.DUMMYFUNCTION("""COMPUTED_VALUE"""),"Hỗn hợp NPK SIAMB 16")</f>
        <v>Hỗn hợp NPK SIAMB 16</v>
      </c>
      <c r="F5228" s="87" t="str">
        <f>IFERROR(__xludf.DUMMYFUNCTION("""COMPUTED_VALUE"""),"HH4368")</f>
        <v>HH4368</v>
      </c>
      <c r="G5228" s="87" t="str">
        <f>IFERROR(__xludf.DUMMYFUNCTION("""COMPUTED_VALUE"""),"CTY HẠT GIỐNG C.P VN - VII - 4368 - 30-10-10 (Bột trắng) - 50gr - 250")</f>
        <v>CTY HẠT GIỐNG C.P VN - VII - 4368 - 30-10-10 (Bột trắng) - 50gr - 250</v>
      </c>
    </row>
    <row r="5229">
      <c r="A5229" s="86">
        <f>IFERROR(__xludf.DUMMYFUNCTION("""COMPUTED_VALUE"""),5227.0)</f>
        <v>5227</v>
      </c>
      <c r="B5229" s="87" t="str">
        <f>IFERROR(__xludf.DUMMYFUNCTION("""COMPUTED_VALUE"""),"[Nhãn Thùng]")</f>
        <v>[Nhãn Thùng]</v>
      </c>
      <c r="C5229" s="87" t="str">
        <f>IFERROR(__xludf.DUMMYFUNCTION("""COMPUTED_VALUE"""),"NDT4368")</f>
        <v>NDT4368</v>
      </c>
      <c r="D5229" s="87" t="str">
        <f>IFERROR(__xludf.DUMMYFUNCTION("""COMPUTED_VALUE"""),"[Nhãn Thùng] CTY HẠT GIỐNG C.P VN - VII - 4368 - 30-10-10 (Bột trắng) - 50gr - 250")</f>
        <v>[Nhãn Thùng] CTY HẠT GIỐNG C.P VN - VII - 4368 - 30-10-10 (Bột trắng) - 50gr - 250</v>
      </c>
      <c r="E5229" s="87" t="str">
        <f>IFERROR(__xludf.DUMMYFUNCTION("""COMPUTED_VALUE"""),"Hỗn hợp NPK SIAMB 16")</f>
        <v>Hỗn hợp NPK SIAMB 16</v>
      </c>
      <c r="F5229" s="87" t="str">
        <f>IFERROR(__xludf.DUMMYFUNCTION("""COMPUTED_VALUE"""),"HH4368")</f>
        <v>HH4368</v>
      </c>
      <c r="G5229" s="87" t="str">
        <f>IFERROR(__xludf.DUMMYFUNCTION("""COMPUTED_VALUE"""),"CTY HẠT GIỐNG C.P VN - VII - 4368 - 30-10-10 (Bột trắng) - 50gr - 250")</f>
        <v>CTY HẠT GIỐNG C.P VN - VII - 4368 - 30-10-10 (Bột trắng) - 50gr - 250</v>
      </c>
    </row>
    <row r="5230">
      <c r="A5230" s="86">
        <f>IFERROR(__xludf.DUMMYFUNCTION("""COMPUTED_VALUE"""),5228.0)</f>
        <v>5228</v>
      </c>
      <c r="B5230" s="87" t="str">
        <f>IFERROR(__xludf.DUMMYFUNCTION("""COMPUTED_VALUE"""),"[HỘP]")</f>
        <v>[HỘP]</v>
      </c>
      <c r="C5230" s="87" t="str">
        <f>IFERROR(__xludf.DUMMYFUNCTION("""COMPUTED_VALUE"""),"HOP4255")</f>
        <v>HOP4255</v>
      </c>
      <c r="D5230" s="87" t="str">
        <f>IFERROR(__xludf.DUMMYFUNCTION("""COMPUTED_VALUE"""),"[HỘP]  IDA Global - I - 4255 - CENTERTANER 500WP (bột vàng nhạt) - 12gr - 50")</f>
        <v>[HỘP]  IDA Global - I - 4255 - CENTERTANER 500WP (bột vàng nhạt) - 12gr - 50</v>
      </c>
      <c r="E5230" s="87" t="str">
        <f>IFERROR(__xludf.DUMMYFUNCTION("""COMPUTED_VALUE"""),"Centertaner 500WP")</f>
        <v>Centertaner 500WP</v>
      </c>
      <c r="F5230" s="87" t="str">
        <f>IFERROR(__xludf.DUMMYFUNCTION("""COMPUTED_VALUE"""),"HH4255")</f>
        <v>HH4255</v>
      </c>
      <c r="G5230" s="87" t="str">
        <f>IFERROR(__xludf.DUMMYFUNCTION("""COMPUTED_VALUE"""),"IDA Global - I - 4255 - CENTERTANER 500WP (bột vàng nhạt) - 12gr - 400")</f>
        <v>IDA Global - I - 4255 - CENTERTANER 500WP (bột vàng nhạt) - 12gr - 400</v>
      </c>
    </row>
    <row r="5231">
      <c r="A5231" s="86">
        <f>IFERROR(__xludf.DUMMYFUNCTION("""COMPUTED_VALUE"""),5229.0)</f>
        <v>5229</v>
      </c>
      <c r="B5231" s="87" t="str">
        <f>IFERROR(__xludf.DUMMYFUNCTION("""COMPUTED_VALUE"""),"[Nhãn]")</f>
        <v>[Nhãn]</v>
      </c>
      <c r="C5231" s="87" t="str">
        <f>IFERROR(__xludf.DUMMYFUNCTION("""COMPUTED_VALUE"""),"NHD4406")</f>
        <v>NHD4406</v>
      </c>
      <c r="D5231" s="87" t="str">
        <f>IFERROR(__xludf.DUMMYFUNCTION("""COMPUTED_VALUE"""),"[Nhãn] GC - IV - 4406 - CTY VISANTO - NEW FUZE 200SC (Nước hồng) - 250ml- 40")</f>
        <v>[Nhãn] GC - IV - 4406 - CTY VISANTO - NEW FUZE 200SC (Nước hồng) - 250ml- 40</v>
      </c>
      <c r="E5231" s="87" t="str">
        <f>IFERROR(__xludf.DUMMYFUNCTION("""COMPUTED_VALUE"""),"NEW FUZE 200SC")</f>
        <v>NEW FUZE 200SC</v>
      </c>
      <c r="F5231" s="87" t="str">
        <f>IFERROR(__xludf.DUMMYFUNCTION("""COMPUTED_VALUE"""),"HH4406")</f>
        <v>HH4406</v>
      </c>
      <c r="G5231" s="87" t="str">
        <f>IFERROR(__xludf.DUMMYFUNCTION("""COMPUTED_VALUE"""),"GC - IV - 4406 - CTY VISANTO - NEW FUZE 200SC (Nước hồng) - 250ml- 40")</f>
        <v>GC - IV - 4406 - CTY VISANTO - NEW FUZE 200SC (Nước hồng) - 250ml- 40</v>
      </c>
    </row>
    <row r="5232">
      <c r="A5232" s="86">
        <f>IFERROR(__xludf.DUMMYFUNCTION("""COMPUTED_VALUE"""),5230.0)</f>
        <v>5230</v>
      </c>
      <c r="B5232" s="87" t="str">
        <f>IFERROR(__xludf.DUMMYFUNCTION("""COMPUTED_VALUE"""),"[Nhãn Thùng]")</f>
        <v>[Nhãn Thùng]</v>
      </c>
      <c r="C5232" s="87" t="str">
        <f>IFERROR(__xludf.DUMMYFUNCTION("""COMPUTED_VALUE"""),"NDT4406")</f>
        <v>NDT4406</v>
      </c>
      <c r="D5232" s="87" t="str">
        <f>IFERROR(__xludf.DUMMYFUNCTION("""COMPUTED_VALUE"""),"[Nhãn Thùng] GC - IV - 4406 - CTY VISANTO - NEW FUZE 200SC (Nước hồng) - 250ml- 40")</f>
        <v>[Nhãn Thùng] GC - IV - 4406 - CTY VISANTO - NEW FUZE 200SC (Nước hồng) - 250ml- 40</v>
      </c>
      <c r="E5232" s="87" t="str">
        <f>IFERROR(__xludf.DUMMYFUNCTION("""COMPUTED_VALUE"""),"NEW FUZE 200SC")</f>
        <v>NEW FUZE 200SC</v>
      </c>
      <c r="F5232" s="87" t="str">
        <f>IFERROR(__xludf.DUMMYFUNCTION("""COMPUTED_VALUE"""),"HH4406")</f>
        <v>HH4406</v>
      </c>
      <c r="G5232" s="87" t="str">
        <f>IFERROR(__xludf.DUMMYFUNCTION("""COMPUTED_VALUE"""),"GC - IV - 4406 - CTY VISANTO - NEW FUZE 200SC (Nước hồng) - 250ml- 40")</f>
        <v>GC - IV - 4406 - CTY VISANTO - NEW FUZE 200SC (Nước hồng) - 250ml- 40</v>
      </c>
    </row>
    <row r="5233">
      <c r="A5233" s="86">
        <f>IFERROR(__xludf.DUMMYFUNCTION("""COMPUTED_VALUE"""),5231.0)</f>
        <v>5231</v>
      </c>
      <c r="B5233" s="87" t="str">
        <f>IFERROR(__xludf.DUMMYFUNCTION("""COMPUTED_VALUE"""),"[Nhãn]")</f>
        <v>[Nhãn]</v>
      </c>
      <c r="C5233" s="87" t="str">
        <f>IFERROR(__xludf.DUMMYFUNCTION("""COMPUTED_VALUE"""),"NHG4346")</f>
        <v>NHG4346</v>
      </c>
      <c r="D5233" s="87" t="str">
        <f>IFERROR(__xludf.DUMMYFUNCTION("""COMPUTED_VALUE"""),"[Nhãn] GC - II - 4346 - AGC - CHIM ƯNG 3.8EC (Nước đỏ) - 240ml - 40")</f>
        <v>[Nhãn] GC - II - 4346 - AGC - CHIM ƯNG 3.8EC (Nước đỏ) - 240ml - 40</v>
      </c>
      <c r="E5233" s="87" t="str">
        <f>IFERROR(__xludf.DUMMYFUNCTION("""COMPUTED_VALUE"""),"CHIM ƯNG 3.8EC")</f>
        <v>CHIM ƯNG 3.8EC</v>
      </c>
      <c r="F5233" s="87" t="str">
        <f>IFERROR(__xludf.DUMMYFUNCTION("""COMPUTED_VALUE"""),"HH4346")</f>
        <v>HH4346</v>
      </c>
      <c r="G5233" s="87" t="str">
        <f>IFERROR(__xludf.DUMMYFUNCTION("""COMPUTED_VALUE"""),"GC - II - 4346 - AGC - CHIM ƯNG 3.8EC (Nước đỏ) - 240ml - 40")</f>
        <v>GC - II - 4346 - AGC - CHIM ƯNG 3.8EC (Nước đỏ) - 240ml - 40</v>
      </c>
    </row>
    <row r="5234">
      <c r="A5234" s="86">
        <f>IFERROR(__xludf.DUMMYFUNCTION("""COMPUTED_VALUE"""),5232.0)</f>
        <v>5232</v>
      </c>
      <c r="B5234" s="87" t="str">
        <f>IFERROR(__xludf.DUMMYFUNCTION("""COMPUTED_VALUE"""),"[Nhãn]")</f>
        <v>[Nhãn]</v>
      </c>
      <c r="C5234" s="87" t="str">
        <f>IFERROR(__xludf.DUMMYFUNCTION("""COMPUTED_VALUE"""),"NHD4407")</f>
        <v>NHD4407</v>
      </c>
      <c r="D5234" s="87" t="str">
        <f>IFERROR(__xludf.DUMMYFUNCTION("""COMPUTED_VALUE"""),"[Nhãn] GC - IV - 4407 - BIOFARM - HAIHAMEC 3.6EC (Nước nâu đen) - 450ml - 40")</f>
        <v>[Nhãn] GC - IV - 4407 - BIOFARM - HAIHAMEC 3.6EC (Nước nâu đen) - 450ml - 40</v>
      </c>
      <c r="E5234" s="87" t="str">
        <f>IFERROR(__xludf.DUMMYFUNCTION("""COMPUTED_VALUE"""),"HAIHAMEC 3.6EC")</f>
        <v>HAIHAMEC 3.6EC</v>
      </c>
      <c r="F5234" s="87" t="str">
        <f>IFERROR(__xludf.DUMMYFUNCTION("""COMPUTED_VALUE"""),"HH4407")</f>
        <v>HH4407</v>
      </c>
      <c r="G5234" s="87" t="str">
        <f>IFERROR(__xludf.DUMMYFUNCTION("""COMPUTED_VALUE"""),"GC - IV - 4407 - BIOFARM - HAIHAMEC 3.6EC (Nước nâu đen) - 450ml - 40")</f>
        <v>GC - IV - 4407 - BIOFARM - HAIHAMEC 3.6EC (Nước nâu đen) - 450ml - 40</v>
      </c>
    </row>
    <row r="5235">
      <c r="A5235" s="86">
        <f>IFERROR(__xludf.DUMMYFUNCTION("""COMPUTED_VALUE"""),5233.0)</f>
        <v>5233</v>
      </c>
      <c r="B5235" s="87" t="str">
        <f>IFERROR(__xludf.DUMMYFUNCTION("""COMPUTED_VALUE"""),"[Nhãn Thùng]")</f>
        <v>[Nhãn Thùng]</v>
      </c>
      <c r="C5235" s="87" t="str">
        <f>IFERROR(__xludf.DUMMYFUNCTION("""COMPUTED_VALUE"""),"NDT4407")</f>
        <v>NDT4407</v>
      </c>
      <c r="D5235" s="87" t="str">
        <f>IFERROR(__xludf.DUMMYFUNCTION("""COMPUTED_VALUE"""),"[Nhãn Thùng] GC - IV - 4407 - BIOFARM - HAIHAMEC 3.6EC (Nước nâu đen) - 450ml - 40")</f>
        <v>[Nhãn Thùng] GC - IV - 4407 - BIOFARM - HAIHAMEC 3.6EC (Nước nâu đen) - 450ml - 40</v>
      </c>
      <c r="E5235" s="87" t="str">
        <f>IFERROR(__xludf.DUMMYFUNCTION("""COMPUTED_VALUE"""),"HAIHAMEC 3.6EC")</f>
        <v>HAIHAMEC 3.6EC</v>
      </c>
      <c r="F5235" s="87" t="str">
        <f>IFERROR(__xludf.DUMMYFUNCTION("""COMPUTED_VALUE"""),"HH4407")</f>
        <v>HH4407</v>
      </c>
      <c r="G5235" s="87" t="str">
        <f>IFERROR(__xludf.DUMMYFUNCTION("""COMPUTED_VALUE"""),"GC - IV - 4407 - BIOFARM - HAIHAMEC 3.6EC (Nước nâu đen) - 450ml - 40")</f>
        <v>GC - IV - 4407 - BIOFARM - HAIHAMEC 3.6EC (Nước nâu đen) - 450ml - 40</v>
      </c>
    </row>
    <row r="5236">
      <c r="A5236" s="86">
        <f>IFERROR(__xludf.DUMMYFUNCTION("""COMPUTED_VALUE"""),5234.0)</f>
        <v>5234</v>
      </c>
      <c r="B5236" s="87" t="str">
        <f>IFERROR(__xludf.DUMMYFUNCTION("""COMPUTED_VALUE"""),"[Nhãn]")</f>
        <v>[Nhãn]</v>
      </c>
      <c r="C5236" s="87" t="str">
        <f>IFERROR(__xludf.DUMMYFUNCTION("""COMPUTED_VALUE"""),"NHG4403")</f>
        <v>NHG4403</v>
      </c>
      <c r="D5236" s="87" t="str">
        <f>IFERROR(__xludf.DUMMYFUNCTION("""COMPUTED_VALUE"""),"[Nhãn] GC - IV - 4403  - CTY ITALY - VIL TOP (Nước trắng sữa) - 1L - 20")</f>
        <v>[Nhãn] GC - IV - 4403  - CTY ITALY - VIL TOP (Nước trắng sữa) - 1L - 20</v>
      </c>
      <c r="E5236" s="87" t="str">
        <f>IFERROR(__xludf.DUMMYFUNCTION("""COMPUTED_VALUE"""),"JAPA VIL 110SC")</f>
        <v>JAPA VIL 110SC</v>
      </c>
      <c r="F5236" s="87" t="str">
        <f>IFERROR(__xludf.DUMMYFUNCTION("""COMPUTED_VALUE"""),"HH4403")</f>
        <v>HH4403</v>
      </c>
      <c r="G5236" s="87" t="str">
        <f>IFERROR(__xludf.DUMMYFUNCTION("""COMPUTED_VALUE"""),"GC - IV - 4403  - CTY ITALY - VIL TOP (Nước trắng sữa) - 1L - 20")</f>
        <v>GC - IV - 4403  - CTY ITALY - VIL TOP (Nước trắng sữa) - 1L - 20</v>
      </c>
    </row>
    <row r="5237">
      <c r="A5237" s="86">
        <f>IFERROR(__xludf.DUMMYFUNCTION("""COMPUTED_VALUE"""),5235.0)</f>
        <v>5235</v>
      </c>
      <c r="B5237" s="87" t="str">
        <f>IFERROR(__xludf.DUMMYFUNCTION("""COMPUTED_VALUE"""),"[Nhãn]")</f>
        <v>[Nhãn]</v>
      </c>
      <c r="C5237" s="87" t="str">
        <f>IFERROR(__xludf.DUMMYFUNCTION("""COMPUTED_VALUE"""),"NHG4378")</f>
        <v>NHG4378</v>
      </c>
      <c r="D5237" s="87" t="str">
        <f>IFERROR(__xludf.DUMMYFUNCTION("""COMPUTED_VALUE"""),"[Nhãn] GC - IV - 4378 - Cty Hóa Nông Shino - TRỢ LỰC D1 (Nước vàng) - 60ml - 100")</f>
        <v>[Nhãn] GC - IV - 4378 - Cty Hóa Nông Shino - TRỢ LỰC D1 (Nước vàng) - 60ml - 100</v>
      </c>
      <c r="E5237" s="87" t="str">
        <f>IFERROR(__xludf.DUMMYFUNCTION("""COMPUTED_VALUE"""),"Vi lượng Quantity New")</f>
        <v>Vi lượng Quantity New</v>
      </c>
      <c r="F5237" s="87" t="str">
        <f>IFERROR(__xludf.DUMMYFUNCTION("""COMPUTED_VALUE"""),"HH4378")</f>
        <v>HH4378</v>
      </c>
      <c r="G5237" s="87" t="str">
        <f>IFERROR(__xludf.DUMMYFUNCTION("""COMPUTED_VALUE"""),"GC - IV - 4378 - Cty Hóa Nông Shino - TRỢ LỰC D1 (Nước vàng) - 60ml - 100")</f>
        <v>GC - IV - 4378 - Cty Hóa Nông Shino - TRỢ LỰC D1 (Nước vàng) - 60ml - 100</v>
      </c>
    </row>
    <row r="5238">
      <c r="A5238" s="86">
        <f>IFERROR(__xludf.DUMMYFUNCTION("""COMPUTED_VALUE"""),5236.0)</f>
        <v>5236</v>
      </c>
      <c r="B5238" s="87" t="str">
        <f>IFERROR(__xludf.DUMMYFUNCTION("""COMPUTED_VALUE"""),"[Nhãn]")</f>
        <v>[Nhãn]</v>
      </c>
      <c r="C5238" s="87" t="str">
        <f>IFERROR(__xludf.DUMMYFUNCTION("""COMPUTED_VALUE"""),"NTN4402")</f>
        <v>NTN4402</v>
      </c>
      <c r="D5238" s="87" t="str">
        <f>IFERROR(__xludf.DUMMYFUNCTION("""COMPUTED_VALUE"""),"[Nhãn] GC - IV - 4402 - TRẦN GIA - THỎI VÀNG (Dạng cốm màu trắng ngà) - 90gr - 100")</f>
        <v>[Nhãn] GC - IV - 4402 - TRẦN GIA - THỎI VÀNG (Dạng cốm màu trắng ngà) - 90gr - 100</v>
      </c>
      <c r="E5238" s="87" t="str">
        <f>IFERROR(__xludf.DUMMYFUNCTION("""COMPUTED_VALUE"""),"Emaxtin 55.5WG")</f>
        <v>Emaxtin 55.5WG</v>
      </c>
      <c r="F5238" s="87" t="str">
        <f>IFERROR(__xludf.DUMMYFUNCTION("""COMPUTED_VALUE"""),"HH4402")</f>
        <v>HH4402</v>
      </c>
      <c r="G5238" s="87" t="str">
        <f>IFERROR(__xludf.DUMMYFUNCTION("""COMPUTED_VALUE"""),"GC - IV - 4402 - TRẦN GIA - THỎI VÀNG (Dạng cốm màu trắng ngà) - 90gr - 100")</f>
        <v>GC - IV - 4402 - TRẦN GIA - THỎI VÀNG (Dạng cốm màu trắng ngà) - 90gr - 100</v>
      </c>
    </row>
    <row r="5239">
      <c r="A5239" s="86">
        <f>IFERROR(__xludf.DUMMYFUNCTION("""COMPUTED_VALUE"""),5237.0)</f>
        <v>5237</v>
      </c>
      <c r="B5239" s="87" t="str">
        <f>IFERROR(__xludf.DUMMYFUNCTION("""COMPUTED_VALUE"""),"[Nhãn Thùng]")</f>
        <v>[Nhãn Thùng]</v>
      </c>
      <c r="C5239" s="87" t="str">
        <f>IFERROR(__xludf.DUMMYFUNCTION("""COMPUTED_VALUE"""),"NDT4402")</f>
        <v>NDT4402</v>
      </c>
      <c r="D5239" s="87" t="str">
        <f>IFERROR(__xludf.DUMMYFUNCTION("""COMPUTED_VALUE"""),"[Nhãn Thùng] GC - IV - 4402 - TRẦN GIA - THỎI VÀNG (Dạng cốm màu trắng ngà) - 90gr - 100")</f>
        <v>[Nhãn Thùng] GC - IV - 4402 - TRẦN GIA - THỎI VÀNG (Dạng cốm màu trắng ngà) - 90gr - 100</v>
      </c>
      <c r="E5239" s="87" t="str">
        <f>IFERROR(__xludf.DUMMYFUNCTION("""COMPUTED_VALUE"""),"Emaxtin 55.5WG")</f>
        <v>Emaxtin 55.5WG</v>
      </c>
      <c r="F5239" s="87" t="str">
        <f>IFERROR(__xludf.DUMMYFUNCTION("""COMPUTED_VALUE"""),"HH4402")</f>
        <v>HH4402</v>
      </c>
      <c r="G5239" s="87" t="str">
        <f>IFERROR(__xludf.DUMMYFUNCTION("""COMPUTED_VALUE"""),"GC - IV - 4402 - TRẦN GIA - THỎI VÀNG (Dạng cốm màu trắng ngà) - 90gr - 100")</f>
        <v>GC - IV - 4402 - TRẦN GIA - THỎI VÀNG (Dạng cốm màu trắng ngà) - 90gr - 100</v>
      </c>
    </row>
    <row r="5240">
      <c r="A5240" s="86">
        <f>IFERROR(__xludf.DUMMYFUNCTION("""COMPUTED_VALUE"""),5238.0)</f>
        <v>5238</v>
      </c>
      <c r="B5240" s="87" t="str">
        <f>IFERROR(__xludf.DUMMYFUNCTION("""COMPUTED_VALUE"""),"[Nhãn]")</f>
        <v>[Nhãn]</v>
      </c>
      <c r="C5240" s="87" t="str">
        <f>IFERROR(__xludf.DUMMYFUNCTION("""COMPUTED_VALUE"""),"NTN4409")</f>
        <v>NTN4409</v>
      </c>
      <c r="D5240" s="87" t="str">
        <f>IFERROR(__xludf.DUMMYFUNCTION("""COMPUTED_VALUE"""),"[Nhãn] GC - IV - 4409 - HKD HUYỀN NHỰT - SIÊU DIỆT ỐC (Bột cam) - 35gr - 400")</f>
        <v>[Nhãn] GC - IV - 4409 - HKD HUYỀN NHỰT - SIÊU DIỆT ỐC (Bột cam) - 35gr - 400</v>
      </c>
      <c r="E5240" s="87" t="str">
        <f>IFERROR(__xludf.DUMMYFUNCTION("""COMPUTED_VALUE"""),"NP SNAILICIDE 700WP")</f>
        <v>NP SNAILICIDE 700WP</v>
      </c>
      <c r="F5240" s="87" t="str">
        <f>IFERROR(__xludf.DUMMYFUNCTION("""COMPUTED_VALUE"""),"HH4409")</f>
        <v>HH4409</v>
      </c>
      <c r="G5240" s="87" t="str">
        <f>IFERROR(__xludf.DUMMYFUNCTION("""COMPUTED_VALUE"""),"GC - IV - 4409 - HKD HUYỀN NHỰT - SIÊU DIỆT ỐC (Bột cam) - 35gr - 400")</f>
        <v>GC - IV - 4409 - HKD HUYỀN NHỰT - SIÊU DIỆT ỐC (Bột cam) - 35gr - 400</v>
      </c>
    </row>
    <row r="5241">
      <c r="A5241" s="86">
        <f>IFERROR(__xludf.DUMMYFUNCTION("""COMPUTED_VALUE"""),5239.0)</f>
        <v>5239</v>
      </c>
      <c r="B5241" s="87" t="str">
        <f>IFERROR(__xludf.DUMMYFUNCTION("""COMPUTED_VALUE"""),"[Nhãn Thùng]")</f>
        <v>[Nhãn Thùng]</v>
      </c>
      <c r="C5241" s="87" t="str">
        <f>IFERROR(__xludf.DUMMYFUNCTION("""COMPUTED_VALUE"""),"NDT4409")</f>
        <v>NDT4409</v>
      </c>
      <c r="D5241" s="87" t="str">
        <f>IFERROR(__xludf.DUMMYFUNCTION("""COMPUTED_VALUE"""),"[Nhãn Thùng] GC - IV - 4409 - HKD HUYỀN NHỰT - SIÊU DIỆT ỐC (Bột cam) - 35gr - 400")</f>
        <v>[Nhãn Thùng] GC - IV - 4409 - HKD HUYỀN NHỰT - SIÊU DIỆT ỐC (Bột cam) - 35gr - 400</v>
      </c>
      <c r="E5241" s="87" t="str">
        <f>IFERROR(__xludf.DUMMYFUNCTION("""COMPUTED_VALUE"""),"NP SNAILICIDE 700WP")</f>
        <v>NP SNAILICIDE 700WP</v>
      </c>
      <c r="F5241" s="87" t="str">
        <f>IFERROR(__xludf.DUMMYFUNCTION("""COMPUTED_VALUE"""),"HH4409")</f>
        <v>HH4409</v>
      </c>
      <c r="G5241" s="87" t="str">
        <f>IFERROR(__xludf.DUMMYFUNCTION("""COMPUTED_VALUE"""),"GC - IV - 4409 - HKD HUYỀN NHỰT - SIÊU DIỆT ỐC (Bột cam) - 35gr - 400")</f>
        <v>GC - IV - 4409 - HKD HUYỀN NHỰT - SIÊU DIỆT ỐC (Bột cam) - 35gr - 400</v>
      </c>
    </row>
    <row r="5242">
      <c r="A5242" s="86">
        <f>IFERROR(__xludf.DUMMYFUNCTION("""COMPUTED_VALUE"""),5240.0)</f>
        <v>5240</v>
      </c>
      <c r="B5242" s="87" t="str">
        <f>IFERROR(__xludf.DUMMYFUNCTION("""COMPUTED_VALUE"""),"[Nhãn]")</f>
        <v>[Nhãn]</v>
      </c>
      <c r="C5242" s="87" t="str">
        <f>IFERROR(__xludf.DUMMYFUNCTION("""COMPUTED_VALUE"""),"NHG4411")</f>
        <v>NHG4411</v>
      </c>
      <c r="D5242" s="87" t="str">
        <f>IFERROR(__xludf.DUMMYFUNCTION("""COMPUTED_VALUE"""),"[Nhãn] GC - IV - 4411 - CTY HƯƠNG NÔNG - FRESH UP (Nước nâu đen) - 250ml - 40")</f>
        <v>[Nhãn] GC - IV - 4411 - CTY HƯƠNG NÔNG - FRESH UP (Nước nâu đen) - 250ml - 40</v>
      </c>
      <c r="E5242" s="87" t="str">
        <f>IFERROR(__xludf.DUMMYFUNCTION("""COMPUTED_VALUE"""),"Hữu cơ SH Agro Organic Fertilizer 20")</f>
        <v>Hữu cơ SH Agro Organic Fertilizer 20</v>
      </c>
      <c r="F5242" s="87" t="str">
        <f>IFERROR(__xludf.DUMMYFUNCTION("""COMPUTED_VALUE"""),"HH4411")</f>
        <v>HH4411</v>
      </c>
      <c r="G5242" s="87" t="str">
        <f>IFERROR(__xludf.DUMMYFUNCTION("""COMPUTED_VALUE"""),"GC - IV - 4411 - CTY HƯƠNG NÔNG - FRESH UP (Nước nâu đen) - 250ml - 40")</f>
        <v>GC - IV - 4411 - CTY HƯƠNG NÔNG - FRESH UP (Nước nâu đen) - 250ml - 40</v>
      </c>
    </row>
    <row r="5243">
      <c r="A5243" s="86">
        <f>IFERROR(__xludf.DUMMYFUNCTION("""COMPUTED_VALUE"""),5241.0)</f>
        <v>5241</v>
      </c>
      <c r="B5243" s="87" t="str">
        <f>IFERROR(__xludf.DUMMYFUNCTION("""COMPUTED_VALUE"""),"[Nhãn]")</f>
        <v>[Nhãn]</v>
      </c>
      <c r="C5243" s="87" t="str">
        <f>IFERROR(__xludf.DUMMYFUNCTION("""COMPUTED_VALUE"""),"NTN4405")</f>
        <v>NTN4405</v>
      </c>
      <c r="D5243" s="87" t="str">
        <f>IFERROR(__xludf.DUMMYFUNCTION("""COMPUTED_VALUE"""),"[Nhãn] GC - IV - 4405 - A Thời GNH - Black Humixx (vẩy nâu đen) - 1kg - 25")</f>
        <v>[Nhãn] GC - IV - 4405 - A Thời GNH - Black Humixx (vẩy nâu đen) - 1kg - 25</v>
      </c>
      <c r="E5243" s="87" t="str">
        <f>IFERROR(__xludf.DUMMYFUNCTION("""COMPUTED_VALUE"""),"Hữu cơ sinh học Nam Kinh 02")</f>
        <v>Hữu cơ sinh học Nam Kinh 02</v>
      </c>
      <c r="F5243" s="87" t="str">
        <f>IFERROR(__xludf.DUMMYFUNCTION("""COMPUTED_VALUE"""),"HH4405")</f>
        <v>HH4405</v>
      </c>
      <c r="G5243" s="87" t="str">
        <f>IFERROR(__xludf.DUMMYFUNCTION("""COMPUTED_VALUE"""),"GC - IV - 4405 - A Thời GNH - Black Humixx (vẩy nâu đen) - 1kg - 25")</f>
        <v>GC - IV - 4405 - A Thời GNH - Black Humixx (vẩy nâu đen) - 1kg - 25</v>
      </c>
    </row>
    <row r="5244">
      <c r="A5244" s="86">
        <f>IFERROR(__xludf.DUMMYFUNCTION("""COMPUTED_VALUE"""),5242.0)</f>
        <v>5242</v>
      </c>
      <c r="B5244" s="87" t="str">
        <f>IFERROR(__xludf.DUMMYFUNCTION("""COMPUTED_VALUE"""),"[Nhãn Thùng]")</f>
        <v>[Nhãn Thùng]</v>
      </c>
      <c r="C5244" s="87" t="str">
        <f>IFERROR(__xludf.DUMMYFUNCTION("""COMPUTED_VALUE"""),"NDT4405")</f>
        <v>NDT4405</v>
      </c>
      <c r="D5244" s="87" t="str">
        <f>IFERROR(__xludf.DUMMYFUNCTION("""COMPUTED_VALUE"""),"[Nhãn Thùng] GC - IV - 4405 - A Thời GNH - Black Humixx (vẩy nâu đen) - 1kg - 25")</f>
        <v>[Nhãn Thùng] GC - IV - 4405 - A Thời GNH - Black Humixx (vẩy nâu đen) - 1kg - 25</v>
      </c>
      <c r="E5244" s="87" t="str">
        <f>IFERROR(__xludf.DUMMYFUNCTION("""COMPUTED_VALUE"""),"Hữu cơ sinh học Nam Kinh 02")</f>
        <v>Hữu cơ sinh học Nam Kinh 02</v>
      </c>
      <c r="F5244" s="87" t="str">
        <f>IFERROR(__xludf.DUMMYFUNCTION("""COMPUTED_VALUE"""),"HH4405")</f>
        <v>HH4405</v>
      </c>
      <c r="G5244" s="87" t="str">
        <f>IFERROR(__xludf.DUMMYFUNCTION("""COMPUTED_VALUE"""),"GC - IV - 4405 - A Thời GNH - Black Humixx (vẩy nâu đen) - 1kg - 25")</f>
        <v>GC - IV - 4405 - A Thời GNH - Black Humixx (vẩy nâu đen) - 1kg - 25</v>
      </c>
    </row>
    <row r="5245">
      <c r="A5245" s="86">
        <f>IFERROR(__xludf.DUMMYFUNCTION("""COMPUTED_VALUE"""),5243.0)</f>
        <v>5243</v>
      </c>
      <c r="B5245" s="87" t="str">
        <f>IFERROR(__xludf.DUMMYFUNCTION("""COMPUTED_VALUE"""),"[Nhãn]")</f>
        <v>[Nhãn]</v>
      </c>
      <c r="C5245" s="87" t="str">
        <f>IFERROR(__xludf.DUMMYFUNCTION("""COMPUTED_VALUE"""),"NHG4410")</f>
        <v>NHG4410</v>
      </c>
      <c r="D5245" s="87" t="str">
        <f>IFERROR(__xludf.DUMMYFUNCTION("""COMPUTED_VALUE"""),"[Nhãn]  GC - IV - 4410 - NHP Group - CANXI BO BIO PLUS (Dạng SC - Trắng sữa) - 500ml - 40")</f>
        <v>[Nhãn]  GC - IV - 4410 - NHP Group - CANXI BO BIO PLUS (Dạng SC - Trắng sữa) - 500ml - 40</v>
      </c>
      <c r="E5245" s="87" t="str">
        <f>IFERROR(__xludf.DUMMYFUNCTION("""COMPUTED_VALUE"""),"Vi lượng AGAMA-CANXI BO")</f>
        <v>Vi lượng AGAMA-CANXI BO</v>
      </c>
      <c r="F5245" s="87" t="str">
        <f>IFERROR(__xludf.DUMMYFUNCTION("""COMPUTED_VALUE"""),"HH4410")</f>
        <v>HH4410</v>
      </c>
      <c r="G5245" s="87" t="str">
        <f>IFERROR(__xludf.DUMMYFUNCTION("""COMPUTED_VALUE"""),"GC - IV - 4410 - NHP Group - CANXI BO BIO PLUS (Dạng SC - Trắng sữa) - 500ml - 40")</f>
        <v>GC - IV - 4410 - NHP Group - CANXI BO BIO PLUS (Dạng SC - Trắng sữa) - 500ml - 40</v>
      </c>
    </row>
    <row r="5246">
      <c r="A5246" s="86">
        <f>IFERROR(__xludf.DUMMYFUNCTION("""COMPUTED_VALUE"""),5244.0)</f>
        <v>5244</v>
      </c>
      <c r="B5246" s="87" t="str">
        <f>IFERROR(__xludf.DUMMYFUNCTION("""COMPUTED_VALUE"""),"[Nhãn]")</f>
        <v>[Nhãn]</v>
      </c>
      <c r="C5246" s="87" t="str">
        <f>IFERROR(__xludf.DUMMYFUNCTION("""COMPUTED_VALUE"""),"NHD4347")</f>
        <v>NHD4347</v>
      </c>
      <c r="D5246" s="87" t="str">
        <f>IFERROR(__xludf.DUMMYFUNCTION("""COMPUTED_VALUE"""),"[Nhãn] GC - II - 4347 - AGC - Gamma (nước đỏ) (chai PET vuông) - 450ml - 40")</f>
        <v>[Nhãn] GC - II - 4347 - AGC - Gamma (nước đỏ) (chai PET vuông) - 450ml - 40</v>
      </c>
      <c r="E5246" s="87" t="str">
        <f>IFERROR(__xludf.DUMMYFUNCTION("""COMPUTED_VALUE"""),"Creek 2.1EC")</f>
        <v>Creek 2.1EC</v>
      </c>
      <c r="F5246" s="87" t="str">
        <f>IFERROR(__xludf.DUMMYFUNCTION("""COMPUTED_VALUE"""),"HH4347")</f>
        <v>HH4347</v>
      </c>
      <c r="G5246" s="87" t="str">
        <f>IFERROR(__xludf.DUMMYFUNCTION("""COMPUTED_VALUE"""),"GC - II - 4347 - AGC - Gamma (nước đỏ) (chai PET vuông) - 450ml - 40")</f>
        <v>GC - II - 4347 - AGC - Gamma (nước đỏ) (chai PET vuông) - 450ml - 40</v>
      </c>
    </row>
    <row r="5247">
      <c r="A5247" s="86">
        <f>IFERROR(__xludf.DUMMYFUNCTION("""COMPUTED_VALUE"""),5245.0)</f>
        <v>5245</v>
      </c>
      <c r="B5247" s="87" t="str">
        <f>IFERROR(__xludf.DUMMYFUNCTION("""COMPUTED_VALUE"""),"[Nhãn]")</f>
        <v>[Nhãn]</v>
      </c>
      <c r="C5247" s="87" t="str">
        <f>IFERROR(__xludf.DUMMYFUNCTION("""COMPUTED_VALUE"""),"NHG4412")</f>
        <v>NHG4412</v>
      </c>
      <c r="D5247" s="87" t="str">
        <f>IFERROR(__xludf.DUMMYFUNCTION("""COMPUTED_VALUE"""),"[Nhãn]  GC - IV - 4412 - CTY HƯƠNG NÔNG - MI STOP 350SC (Nước vàng chanh) - 250ml - 40")</f>
        <v>[Nhãn]  GC - IV - 4412 - CTY HƯƠNG NÔNG - MI STOP 350SC (Nước vàng chanh) - 250ml - 40</v>
      </c>
      <c r="E5247" s="87" t="str">
        <f>IFERROR(__xludf.DUMMYFUNCTION("""COMPUTED_VALUE"""),"MI STOP 350SC")</f>
        <v>MI STOP 350SC</v>
      </c>
      <c r="F5247" s="87" t="str">
        <f>IFERROR(__xludf.DUMMYFUNCTION("""COMPUTED_VALUE"""),"HH4412")</f>
        <v>HH4412</v>
      </c>
      <c r="G5247" s="87" t="str">
        <f>IFERROR(__xludf.DUMMYFUNCTION("""COMPUTED_VALUE"""),"GC - IV - 4412 - CTY HƯƠNG NÔNG - MI STOP 350SC (Nước vàng chanh) - 250ml - 40")</f>
        <v>GC - IV - 4412 - CTY HƯƠNG NÔNG - MI STOP 350SC (Nước vàng chanh) - 250ml - 40</v>
      </c>
    </row>
    <row r="5248">
      <c r="A5248" s="86">
        <f>IFERROR(__xludf.DUMMYFUNCTION("""COMPUTED_VALUE"""),5246.0)</f>
        <v>5246</v>
      </c>
      <c r="B5248" s="87" t="str">
        <f>IFERROR(__xludf.DUMMYFUNCTION("""COMPUTED_VALUE"""),"[Nhãn]")</f>
        <v>[Nhãn]</v>
      </c>
      <c r="C5248" s="87" t="str">
        <f>IFERROR(__xludf.DUMMYFUNCTION("""COMPUTED_VALUE"""),"NTN4367")</f>
        <v>NTN4367</v>
      </c>
      <c r="D5248" s="87" t="str">
        <f>IFERROR(__xludf.DUMMYFUNCTION("""COMPUTED_VALUE"""),"[Nhãn] CTY HẠT GIỐNG C.P VN - VII - 4367 - AGRI FOS AB (Nước hồng) - 50ml - 150")</f>
        <v>[Nhãn] CTY HẠT GIỐNG C.P VN - VII - 4367 - AGRI FOS AB (Nước hồng) - 50ml - 150</v>
      </c>
      <c r="E5248" s="87" t="str">
        <f>IFERROR(__xludf.DUMMYFUNCTION("""COMPUTED_VALUE"""),"Lá Hỗn Hợp PK AGRI FOS AB")</f>
        <v>Lá Hỗn Hợp PK AGRI FOS AB</v>
      </c>
      <c r="F5248" s="87" t="str">
        <f>IFERROR(__xludf.DUMMYFUNCTION("""COMPUTED_VALUE"""),"HH4367")</f>
        <v>HH4367</v>
      </c>
      <c r="G5248" s="87" t="str">
        <f>IFERROR(__xludf.DUMMYFUNCTION("""COMPUTED_VALUE"""),"CTY HẠT GIỐNG C.P VN - VII - 4367 - AGRI FOS AB (Nước hồng) - 50ml - 150")</f>
        <v>CTY HẠT GIỐNG C.P VN - VII - 4367 - AGRI FOS AB (Nước hồng) - 50ml - 150</v>
      </c>
    </row>
    <row r="5249">
      <c r="A5249" s="86">
        <f>IFERROR(__xludf.DUMMYFUNCTION("""COMPUTED_VALUE"""),5247.0)</f>
        <v>5247</v>
      </c>
      <c r="B5249" s="87" t="str">
        <f>IFERROR(__xludf.DUMMYFUNCTION("""COMPUTED_VALUE"""),"[Nhãn]")</f>
        <v>[Nhãn]</v>
      </c>
      <c r="C5249" s="87" t="str">
        <f>IFERROR(__xludf.DUMMYFUNCTION("""COMPUTED_VALUE"""),"NHG4369")</f>
        <v>NHG4369</v>
      </c>
      <c r="D5249" s="87" t="str">
        <f>IFERROR(__xludf.DUMMYFUNCTION("""COMPUTED_VALUE"""),"[Nhãn] CTY HẠT GIỐNG C.P VN - VII - 4369 - CENTER SUPER 333EC (Nước vàng trà) - 100ml - 100")</f>
        <v>[Nhãn] CTY HẠT GIỐNG C.P VN - VII - 4369 - CENTER SUPER 333EC (Nước vàng trà) - 100ml - 100</v>
      </c>
      <c r="E5249" s="87" t="str">
        <f>IFERROR(__xludf.DUMMYFUNCTION("""COMPUTED_VALUE"""),"Center super 333EC")</f>
        <v>Center super 333EC</v>
      </c>
      <c r="F5249" s="87" t="str">
        <f>IFERROR(__xludf.DUMMYFUNCTION("""COMPUTED_VALUE"""),"HH4369")</f>
        <v>HH4369</v>
      </c>
      <c r="G5249" s="87" t="str">
        <f>IFERROR(__xludf.DUMMYFUNCTION("""COMPUTED_VALUE"""),"CTY HẠT GIỐNG C.P VN - VII - 4369 - CENTER SUPER 333EC (Nước vàng trà) - 100ml - 100")</f>
        <v>CTY HẠT GIỐNG C.P VN - VII - 4369 - CENTER SUPER 333EC (Nước vàng trà) - 100ml - 100</v>
      </c>
    </row>
    <row r="5250">
      <c r="A5250" s="86">
        <f>IFERROR(__xludf.DUMMYFUNCTION("""COMPUTED_VALUE"""),5248.0)</f>
        <v>5248</v>
      </c>
      <c r="B5250" s="87" t="str">
        <f>IFERROR(__xludf.DUMMYFUNCTION("""COMPUTED_VALUE"""),"[Nhãn]")</f>
        <v>[Nhãn]</v>
      </c>
      <c r="C5250" s="87" t="str">
        <f>IFERROR(__xludf.DUMMYFUNCTION("""COMPUTED_VALUE"""),"NTN4370")</f>
        <v>NTN4370</v>
      </c>
      <c r="D5250" s="87" t="str">
        <f>IFERROR(__xludf.DUMMYFUNCTION("""COMPUTED_VALUE"""),"[Nhãn] CTY HẠT GIỐNG C.P VN - VII - 4370 - GOLDEMEC 55.5WG (Dạng cốm màu trắng ngà) - 10gr - 500")</f>
        <v>[Nhãn] CTY HẠT GIỐNG C.P VN - VII - 4370 - GOLDEMEC 55.5WG (Dạng cốm màu trắng ngà) - 10gr - 500</v>
      </c>
      <c r="E5250" s="87" t="str">
        <f>IFERROR(__xludf.DUMMYFUNCTION("""COMPUTED_VALUE"""),"GOLDEMEC 55.5WG")</f>
        <v>GOLDEMEC 55.5WG</v>
      </c>
      <c r="F5250" s="87" t="str">
        <f>IFERROR(__xludf.DUMMYFUNCTION("""COMPUTED_VALUE"""),"HH4370")</f>
        <v>HH4370</v>
      </c>
      <c r="G5250" s="87" t="str">
        <f>IFERROR(__xludf.DUMMYFUNCTION("""COMPUTED_VALUE"""),"CTY HẠT GIỐNG C.P VN - VII - 4370 - GOLDEMEC 55.5WG (Dạng cốm màu trắng ngà) - 10gr - 500")</f>
        <v>CTY HẠT GIỐNG C.P VN - VII - 4370 - GOLDEMEC 55.5WG (Dạng cốm màu trắng ngà) - 10gr - 500</v>
      </c>
    </row>
    <row r="5251">
      <c r="A5251" s="86">
        <f>IFERROR(__xludf.DUMMYFUNCTION("""COMPUTED_VALUE"""),5249.0)</f>
        <v>5249</v>
      </c>
      <c r="B5251" s="87" t="str">
        <f>IFERROR(__xludf.DUMMYFUNCTION("""COMPUTED_VALUE"""),"[Nhãn]")</f>
        <v>[Nhãn]</v>
      </c>
      <c r="C5251" s="87" t="str">
        <f>IFERROR(__xludf.DUMMYFUNCTION("""COMPUTED_VALUE"""),"NHG4371")</f>
        <v>NHG4371</v>
      </c>
      <c r="D5251" s="87" t="str">
        <f>IFERROR(__xludf.DUMMYFUNCTION("""COMPUTED_VALUE"""),"[Nhãn] CTY HẠT GIỐNG C.P VIỆT NAM - VII - 4371 - MYFATOP 325SC (Nước trắng sữa) - 100ml - 100")</f>
        <v>[Nhãn] CTY HẠT GIỐNG C.P VIỆT NAM - VII - 4371 - MYFATOP 325SC (Nước trắng sữa) - 100ml - 100</v>
      </c>
      <c r="E5251" s="87" t="str">
        <f>IFERROR(__xludf.DUMMYFUNCTION("""COMPUTED_VALUE"""),"Myfatop 325SC")</f>
        <v>Myfatop 325SC</v>
      </c>
      <c r="F5251" s="87" t="str">
        <f>IFERROR(__xludf.DUMMYFUNCTION("""COMPUTED_VALUE"""),"HH4371")</f>
        <v>HH4371</v>
      </c>
      <c r="G5251" s="87" t="str">
        <f>IFERROR(__xludf.DUMMYFUNCTION("""COMPUTED_VALUE"""),"CTY HẠT GIỐNG C.P VIỆT NAM - VII - 4371 - MYFATOP 325SC (Nước trắng sữa) - 100ml - 100")</f>
        <v>CTY HẠT GIỐNG C.P VIỆT NAM - VII - 4371 - MYFATOP 325SC (Nước trắng sữa) - 100ml - 100</v>
      </c>
    </row>
    <row r="5252">
      <c r="A5252" s="86">
        <f>IFERROR(__xludf.DUMMYFUNCTION("""COMPUTED_VALUE"""),5250.0)</f>
        <v>5250</v>
      </c>
      <c r="B5252" s="87" t="str">
        <f>IFERROR(__xludf.DUMMYFUNCTION("""COMPUTED_VALUE"""),"[Nhãn]")</f>
        <v>[Nhãn]</v>
      </c>
      <c r="C5252" s="87" t="str">
        <f>IFERROR(__xludf.DUMMYFUNCTION("""COMPUTED_VALUE"""),"NHG4387")</f>
        <v>NHG4387</v>
      </c>
      <c r="D5252" s="87" t="str">
        <f>IFERROR(__xludf.DUMMYFUNCTION("""COMPUTED_VALUE"""),"[Nhãn] IDA Global - I - 4387 - ĐL PHƯỚC THẠNH  - KITINI SUPER 450SC (nước cam sữa) - 480ml - 40")</f>
        <v>[Nhãn] IDA Global - I - 4387 - ĐL PHƯỚC THẠNH  - KITINI SUPER 450SC (nước cam sữa) - 480ml - 40</v>
      </c>
      <c r="E5252" s="87" t="str">
        <f>IFERROR(__xludf.DUMMYFUNCTION("""COMPUTED_VALUE"""),"KITINI SUPER 450SC")</f>
        <v>KITINI SUPER 450SC</v>
      </c>
      <c r="F5252" s="87" t="str">
        <f>IFERROR(__xludf.DUMMYFUNCTION("""COMPUTED_VALUE"""),"HH4387")</f>
        <v>HH4387</v>
      </c>
      <c r="G5252" s="87" t="str">
        <f>IFERROR(__xludf.DUMMYFUNCTION("""COMPUTED_VALUE"""),"IDA Global - I - 4387 - ĐL PHƯỚC THẠNH  - KITINI SUPER 450SC (nước cam sữa) - 480ml - 40")</f>
        <v>IDA Global - I - 4387 - ĐL PHƯỚC THẠNH  - KITINI SUPER 450SC (nước cam sữa) - 480ml - 40</v>
      </c>
    </row>
    <row r="5253">
      <c r="A5253" s="86">
        <f>IFERROR(__xludf.DUMMYFUNCTION("""COMPUTED_VALUE"""),5251.0)</f>
        <v>5251</v>
      </c>
      <c r="B5253" s="87" t="str">
        <f>IFERROR(__xludf.DUMMYFUNCTION("""COMPUTED_VALUE"""),"[HỘP]")</f>
        <v>[HỘP]</v>
      </c>
      <c r="C5253" s="87" t="str">
        <f>IFERROR(__xludf.DUMMYFUNCTION("""COMPUTED_VALUE"""),"HOP4367")</f>
        <v>HOP4367</v>
      </c>
      <c r="D5253" s="87" t="str">
        <f>IFERROR(__xludf.DUMMYFUNCTION("""COMPUTED_VALUE"""),"[HOP] CTY HẠT GIỐNG C.P VN - VII - 4367 - AGRI FOS AB (Nước hồng) - 50ml - 15")</f>
        <v>[HOP] CTY HẠT GIỐNG C.P VN - VII - 4367 - AGRI FOS AB (Nước hồng) - 50ml - 15</v>
      </c>
      <c r="E5253" s="87" t="str">
        <f>IFERROR(__xludf.DUMMYFUNCTION("""COMPUTED_VALUE"""),"Lá Hỗn Hợp PK AGRI FOS AB")</f>
        <v>Lá Hỗn Hợp PK AGRI FOS AB</v>
      </c>
      <c r="F5253" s="87" t="str">
        <f>IFERROR(__xludf.DUMMYFUNCTION("""COMPUTED_VALUE"""),"HH4367")</f>
        <v>HH4367</v>
      </c>
      <c r="G5253" s="87" t="str">
        <f>IFERROR(__xludf.DUMMYFUNCTION("""COMPUTED_VALUE"""),"CTY HẠT GIỐNG C.P VN - VII - 4367 - AGRI FOS AB (Nước hồng) - 50ml - 150")</f>
        <v>CTY HẠT GIỐNG C.P VN - VII - 4367 - AGRI FOS AB (Nước hồng) - 50ml - 150</v>
      </c>
    </row>
    <row r="5254">
      <c r="A5254" s="86">
        <f>IFERROR(__xludf.DUMMYFUNCTION("""COMPUTED_VALUE"""),5252.0)</f>
        <v>5252</v>
      </c>
      <c r="B5254" s="87" t="str">
        <f>IFERROR(__xludf.DUMMYFUNCTION("""COMPUTED_VALUE"""),"[HỘP]")</f>
        <v>[HỘP]</v>
      </c>
      <c r="C5254" s="87" t="str">
        <f>IFERROR(__xludf.DUMMYFUNCTION("""COMPUTED_VALUE"""),"HOP4370")</f>
        <v>HOP4370</v>
      </c>
      <c r="D5254" s="87" t="str">
        <f>IFERROR(__xludf.DUMMYFUNCTION("""COMPUTED_VALUE"""),"[HOP] CTY HẠT GIỐNG C.P VN - VII - 4370 - GOLDEMEC 55.5WG (Dạng cốm màu trắng ngà) - 10gr - 50")</f>
        <v>[HOP] CTY HẠT GIỐNG C.P VN - VII - 4370 - GOLDEMEC 55.5WG (Dạng cốm màu trắng ngà) - 10gr - 50</v>
      </c>
      <c r="E5254" s="87" t="str">
        <f>IFERROR(__xludf.DUMMYFUNCTION("""COMPUTED_VALUE"""),"GOLDEMEC 55.5WG")</f>
        <v>GOLDEMEC 55.5WG</v>
      </c>
      <c r="F5254" s="87" t="str">
        <f>IFERROR(__xludf.DUMMYFUNCTION("""COMPUTED_VALUE"""),"HH4370")</f>
        <v>HH4370</v>
      </c>
      <c r="G5254" s="87" t="str">
        <f>IFERROR(__xludf.DUMMYFUNCTION("""COMPUTED_VALUE"""),"CTY HẠT GIỐNG C.P VN - VII - 4370 - GOLDEMEC 55.5WG (Dạng cốm màu trắng ngà) - 10gr - 500")</f>
        <v>CTY HẠT GIỐNG C.P VN - VII - 4370 - GOLDEMEC 55.5WG (Dạng cốm màu trắng ngà) - 10gr - 500</v>
      </c>
    </row>
    <row r="5255">
      <c r="A5255" s="86">
        <f>IFERROR(__xludf.DUMMYFUNCTION("""COMPUTED_VALUE"""),5253.0)</f>
        <v>5253</v>
      </c>
      <c r="B5255" s="87" t="str">
        <f>IFERROR(__xludf.DUMMYFUNCTION("""COMPUTED_VALUE"""),"[HỘP]")</f>
        <v>[HỘP]</v>
      </c>
      <c r="C5255" s="87" t="str">
        <f>IFERROR(__xludf.DUMMYFUNCTION("""COMPUTED_VALUE"""),"HOP4368")</f>
        <v>HOP4368</v>
      </c>
      <c r="D5255" s="87" t="str">
        <f>IFERROR(__xludf.DUMMYFUNCTION("""COMPUTED_VALUE"""),"[HỘP] CTY HẠT GIỐNG C.P VN - VII - 4368 - 30-10-10 (Bột trắng) - 50gr - 250")</f>
        <v>[HỘP] CTY HẠT GIỐNG C.P VN - VII - 4368 - 30-10-10 (Bột trắng) - 50gr - 250</v>
      </c>
      <c r="E5255" s="87" t="str">
        <f>IFERROR(__xludf.DUMMYFUNCTION("""COMPUTED_VALUE"""),"Hỗn hợp NPK SIAMB 16")</f>
        <v>Hỗn hợp NPK SIAMB 16</v>
      </c>
      <c r="F5255" s="87" t="str">
        <f>IFERROR(__xludf.DUMMYFUNCTION("""COMPUTED_VALUE"""),"HH4368")</f>
        <v>HH4368</v>
      </c>
      <c r="G5255" s="87" t="str">
        <f>IFERROR(__xludf.DUMMYFUNCTION("""COMPUTED_VALUE"""),"CTY HẠT GIỐNG C.P VN - VII - 4368 - 30-10-10 (Bột trắng) - 50gr - 250")</f>
        <v>CTY HẠT GIỐNG C.P VN - VII - 4368 - 30-10-10 (Bột trắng) - 50gr - 250</v>
      </c>
    </row>
    <row r="5256">
      <c r="A5256" s="86">
        <f>IFERROR(__xludf.DUMMYFUNCTION("""COMPUTED_VALUE"""),5254.0)</f>
        <v>5254</v>
      </c>
      <c r="B5256" s="87" t="str">
        <f>IFERROR(__xludf.DUMMYFUNCTION("""COMPUTED_VALUE"""),"[Nhãn]")</f>
        <v>[Nhãn]</v>
      </c>
      <c r="C5256" s="87" t="str">
        <f>IFERROR(__xludf.DUMMYFUNCTION("""COMPUTED_VALUE"""),"NHG4421")</f>
        <v>NHG4421</v>
      </c>
      <c r="D5256" s="87" t="str">
        <f>IFERROR(__xludf.DUMMYFUNCTION("""COMPUTED_VALUE"""),"[Nhãn] GC - IV - 4421 - CTY NAUY - THẦN ĐÒNG (Nước nâu đen) - 500ml - 40")</f>
        <v>[Nhãn] GC - IV - 4421 - CTY NAUY - THẦN ĐÒNG (Nước nâu đen) - 500ml - 40</v>
      </c>
      <c r="E5256" s="87" t="str">
        <f>IFERROR(__xludf.DUMMYFUNCTION("""COMPUTED_VALUE"""),"Vi lượng AGAMA-SUPPORT")</f>
        <v>Vi lượng AGAMA-SUPPORT</v>
      </c>
      <c r="F5256" s="87" t="str">
        <f>IFERROR(__xludf.DUMMYFUNCTION("""COMPUTED_VALUE"""),"HH4421")</f>
        <v>HH4421</v>
      </c>
      <c r="G5256" s="87" t="str">
        <f>IFERROR(__xludf.DUMMYFUNCTION("""COMPUTED_VALUE"""),"GC - IV - 4421 - CTY NAUY - THẦN ĐÒNG (Nước nâu đen) - 500ml - 40")</f>
        <v>GC - IV - 4421 - CTY NAUY - THẦN ĐÒNG (Nước nâu đen) - 500ml - 40</v>
      </c>
    </row>
    <row r="5257">
      <c r="A5257" s="86">
        <f>IFERROR(__xludf.DUMMYFUNCTION("""COMPUTED_VALUE"""),5255.0)</f>
        <v>5255</v>
      </c>
      <c r="B5257" s="87" t="str">
        <f>IFERROR(__xludf.DUMMYFUNCTION("""COMPUTED_VALUE"""),"[Nhãn]")</f>
        <v>[Nhãn]</v>
      </c>
      <c r="C5257" s="87" t="str">
        <f>IFERROR(__xludf.DUMMYFUNCTION("""COMPUTED_VALUE"""),"NHG4001")</f>
        <v>NHG4001</v>
      </c>
      <c r="D5257" s="87" t="str">
        <f>IFERROR(__xludf.DUMMYFUNCTION("""COMPUTED_VALUE"""),"[Nhãn] GC - IV - 4001 - CTY NAUY - NANO PROMAX (Vô gạo) (Nước nâu đen) - 500ml - 40")</f>
        <v>[Nhãn] GC - IV - 4001 - CTY NAUY - NANO PROMAX (Vô gạo) (Nước nâu đen) - 500ml - 40</v>
      </c>
      <c r="E5257" s="87" t="str">
        <f>IFERROR(__xludf.DUMMYFUNCTION("""COMPUTED_VALUE"""),"Lá PK-Vi lượng SV 5-18")</f>
        <v>Lá PK-Vi lượng SV 5-18</v>
      </c>
      <c r="F5257" s="87" t="str">
        <f>IFERROR(__xludf.DUMMYFUNCTION("""COMPUTED_VALUE"""),"HH4001")</f>
        <v>HH4001</v>
      </c>
      <c r="G5257" s="87" t="str">
        <f>IFERROR(__xludf.DUMMYFUNCTION("""COMPUTED_VALUE"""),"GC - IV - 4001 - CTY NAUY - NANO PROMAX (Vô gạo) (Nước nâu đen) - 500ml - 40")</f>
        <v>GC - IV - 4001 - CTY NAUY - NANO PROMAX (Vô gạo) (Nước nâu đen) - 500ml - 40</v>
      </c>
    </row>
    <row r="5258">
      <c r="A5258" s="86">
        <f>IFERROR(__xludf.DUMMYFUNCTION("""COMPUTED_VALUE"""),5256.0)</f>
        <v>5256</v>
      </c>
      <c r="B5258" s="87" t="str">
        <f>IFERROR(__xludf.DUMMYFUNCTION("""COMPUTED_VALUE"""),"[Nhãn]")</f>
        <v>[Nhãn]</v>
      </c>
      <c r="C5258" s="87" t="str">
        <f>IFERROR(__xludf.DUMMYFUNCTION("""COMPUTED_VALUE"""),"NHD4384")</f>
        <v>NHD4384</v>
      </c>
      <c r="D5258" s="87" t="str">
        <f>IFERROR(__xludf.DUMMYFUNCTION("""COMPUTED_VALUE"""),"[Nhãn] IDA Global - I - 4384 - VTNN TÂN PHÁT - GAMAXX (Nước tím) - 900ml - 20")</f>
        <v>[Nhãn] IDA Global - I - 4384 - VTNN TÂN PHÁT - GAMAXX (Nước tím) - 900ml - 20</v>
      </c>
      <c r="E5258" s="87" t="str">
        <f>IFERROR(__xludf.DUMMYFUNCTION("""COMPUTED_VALUE"""),"COCHAY 200SL")</f>
        <v>COCHAY 200SL</v>
      </c>
      <c r="F5258" s="87" t="str">
        <f>IFERROR(__xludf.DUMMYFUNCTION("""COMPUTED_VALUE"""),"HH4384")</f>
        <v>HH4384</v>
      </c>
      <c r="G5258" s="87" t="str">
        <f>IFERROR(__xludf.DUMMYFUNCTION("""COMPUTED_VALUE"""),"IDA Global - I - 4384 - VTNN TÂN PHÁT - GAMAXX (Nước tím) - 900ml - 20")</f>
        <v>IDA Global - I - 4384 - VTNN TÂN PHÁT - GAMAXX (Nước tím) - 900ml - 20</v>
      </c>
    </row>
    <row r="5259">
      <c r="A5259" s="86">
        <f>IFERROR(__xludf.DUMMYFUNCTION("""COMPUTED_VALUE"""),5257.0)</f>
        <v>5257</v>
      </c>
      <c r="B5259" s="87" t="str">
        <f>IFERROR(__xludf.DUMMYFUNCTION("""COMPUTED_VALUE"""),"[Nhãn]")</f>
        <v>[Nhãn]</v>
      </c>
      <c r="C5259" s="87" t="str">
        <f>IFERROR(__xludf.DUMMYFUNCTION("""COMPUTED_VALUE"""),"NHG4320")</f>
        <v>NHG4320</v>
      </c>
      <c r="D5259" s="87" t="str">
        <f>IFERROR(__xludf.DUMMYFUNCTION("""COMPUTED_VALUE"""),"[Nhãn] GC - IV - 4320 - CTY GNH - FLOWER+ (nước nâu đen) - 1L - 20")</f>
        <v>[Nhãn] GC - IV - 4320 - CTY GNH - FLOWER+ (nước nâu đen) - 1L - 20</v>
      </c>
      <c r="E5259" s="87" t="str">
        <f>IFERROR(__xludf.DUMMYFUNCTION("""COMPUTED_VALUE"""),"vi lượng HELP FARMER_3")</f>
        <v>vi lượng HELP FARMER_3</v>
      </c>
      <c r="F5259" s="87" t="str">
        <f>IFERROR(__xludf.DUMMYFUNCTION("""COMPUTED_VALUE"""),"HH4320")</f>
        <v>HH4320</v>
      </c>
      <c r="G5259" s="87" t="str">
        <f>IFERROR(__xludf.DUMMYFUNCTION("""COMPUTED_VALUE"""),"GC - IV - 4320 - CTY GNH - FLOWER+ (nước nâu đen) - 1L - 20")</f>
        <v>GC - IV - 4320 - CTY GNH - FLOWER+ (nước nâu đen) - 1L - 20</v>
      </c>
    </row>
    <row r="5260">
      <c r="A5260" s="86">
        <f>IFERROR(__xludf.DUMMYFUNCTION("""COMPUTED_VALUE"""),5258.0)</f>
        <v>5258</v>
      </c>
      <c r="B5260" s="87" t="str">
        <f>IFERROR(__xludf.DUMMYFUNCTION("""COMPUTED_VALUE"""),"[Nhãn]")</f>
        <v>[Nhãn]</v>
      </c>
      <c r="C5260" s="87" t="str">
        <f>IFERROR(__xludf.DUMMYFUNCTION("""COMPUTED_VALUE"""),"NHG4417")</f>
        <v>NHG4417</v>
      </c>
      <c r="D5260" s="87" t="str">
        <f>IFERROR(__xludf.DUMMYFUNCTION("""COMPUTED_VALUE"""),"[Nhãn] GC - IV - 4417 - AGRITECH HÀ LAN - Phân bón hữu cơ AGRITECH HL NUÔI TRÁI (Nước nâu đen) - 500ml - 40")</f>
        <v>[Nhãn] GC - IV - 4417 - AGRITECH HÀ LAN - Phân bón hữu cơ AGRITECH HL NUÔI TRÁI (Nước nâu đen) - 500ml - 40</v>
      </c>
      <c r="E5260" s="87" t="str">
        <f>IFERROR(__xludf.DUMMYFUNCTION("""COMPUTED_VALUE"""),"Hữu cơ AGRITECH HL NUÔI TRÁI")</f>
        <v>Hữu cơ AGRITECH HL NUÔI TRÁI</v>
      </c>
      <c r="F5260" s="87" t="str">
        <f>IFERROR(__xludf.DUMMYFUNCTION("""COMPUTED_VALUE"""),"HH4417")</f>
        <v>HH4417</v>
      </c>
      <c r="G5260" s="87" t="str">
        <f>IFERROR(__xludf.DUMMYFUNCTION("""COMPUTED_VALUE"""),"GC - IV - 4417 - AGRITECH HÀ LAN - Phân bón hữu cơ AGRITECH HL NUÔI TRÁI (Nước nâu đen) - 500ml - 40")</f>
        <v>GC - IV - 4417 - AGRITECH HÀ LAN - Phân bón hữu cơ AGRITECH HL NUÔI TRÁI (Nước nâu đen) - 500ml - 40</v>
      </c>
    </row>
    <row r="5261">
      <c r="A5261" s="86">
        <f>IFERROR(__xludf.DUMMYFUNCTION("""COMPUTED_VALUE"""),5259.0)</f>
        <v>5259</v>
      </c>
      <c r="B5261" s="87" t="str">
        <f>IFERROR(__xludf.DUMMYFUNCTION("""COMPUTED_VALUE"""),"[Nhãn]")</f>
        <v>[Nhãn]</v>
      </c>
      <c r="C5261" s="87" t="str">
        <f>IFERROR(__xludf.DUMMYFUNCTION("""COMPUTED_VALUE"""),"NTN4426")</f>
        <v>NTN4426</v>
      </c>
      <c r="D5261" s="87" t="str">
        <f>IFERROR(__xludf.DUMMYFUNCTION("""COMPUTED_VALUE"""),"[Nhãn] GC - IV - 4426 - HKD HUYỀN NHỰT - HN-CLEAR ỐC (Bột cam) - 35gr - 400")</f>
        <v>[Nhãn] GC - IV - 4426 - HKD HUYỀN NHỰT - HN-CLEAR ỐC (Bột cam) - 35gr - 400</v>
      </c>
      <c r="E5261" s="87" t="str">
        <f>IFERROR(__xludf.DUMMYFUNCTION("""COMPUTED_VALUE"""),"NP SNAILICIDE 700WP")</f>
        <v>NP SNAILICIDE 700WP</v>
      </c>
      <c r="F5261" s="87" t="str">
        <f>IFERROR(__xludf.DUMMYFUNCTION("""COMPUTED_VALUE"""),"HH4426")</f>
        <v>HH4426</v>
      </c>
      <c r="G5261" s="87" t="str">
        <f>IFERROR(__xludf.DUMMYFUNCTION("""COMPUTED_VALUE"""),"GC - IV - 4426 - HKD HUYỀN NHỰT - HN-CLEAR ỐC (Bột cam) - 35gr - 400")</f>
        <v>GC - IV - 4426 - HKD HUYỀN NHỰT - HN-CLEAR ỐC (Bột cam) - 35gr - 400</v>
      </c>
    </row>
    <row r="5262">
      <c r="A5262" s="86">
        <f>IFERROR(__xludf.DUMMYFUNCTION("""COMPUTED_VALUE"""),5260.0)</f>
        <v>5260</v>
      </c>
      <c r="B5262" s="87" t="str">
        <f>IFERROR(__xludf.DUMMYFUNCTION("""COMPUTED_VALUE"""),"[Nhãn Thùng]")</f>
        <v>[Nhãn Thùng]</v>
      </c>
      <c r="C5262" s="87" t="str">
        <f>IFERROR(__xludf.DUMMYFUNCTION("""COMPUTED_VALUE"""),"NDT4426")</f>
        <v>NDT4426</v>
      </c>
      <c r="D5262" s="87" t="str">
        <f>IFERROR(__xludf.DUMMYFUNCTION("""COMPUTED_VALUE"""),"[Nhãn Thùng] GC - IV - 4426 - HKD HUYỀN NHỰT - HN-CLEAR ỐC (Bột cam) - 35gr - 400")</f>
        <v>[Nhãn Thùng] GC - IV - 4426 - HKD HUYỀN NHỰT - HN-CLEAR ỐC (Bột cam) - 35gr - 400</v>
      </c>
      <c r="E5262" s="87" t="str">
        <f>IFERROR(__xludf.DUMMYFUNCTION("""COMPUTED_VALUE"""),"NP SNAILICIDE 700WP")</f>
        <v>NP SNAILICIDE 700WP</v>
      </c>
      <c r="F5262" s="87" t="str">
        <f>IFERROR(__xludf.DUMMYFUNCTION("""COMPUTED_VALUE"""),"HH4426")</f>
        <v>HH4426</v>
      </c>
      <c r="G5262" s="87" t="str">
        <f>IFERROR(__xludf.DUMMYFUNCTION("""COMPUTED_VALUE"""),"GC - IV - 4426 - HKD HUYỀN NHỰT - HN-CLEAR ỐC (Bột cam) - 35gr - 400")</f>
        <v>GC - IV - 4426 - HKD HUYỀN NHỰT - HN-CLEAR ỐC (Bột cam) - 35gr - 400</v>
      </c>
    </row>
    <row r="5263">
      <c r="A5263" s="86">
        <f>IFERROR(__xludf.DUMMYFUNCTION("""COMPUTED_VALUE"""),5261.0)</f>
        <v>5261</v>
      </c>
      <c r="B5263" s="87" t="str">
        <f>IFERROR(__xludf.DUMMYFUNCTION("""COMPUTED_VALUE"""),"[Nhãn]")</f>
        <v>[Nhãn]</v>
      </c>
      <c r="C5263" s="87" t="str">
        <f>IFERROR(__xludf.DUMMYFUNCTION("""COMPUTED_VALUE"""),"NHG4423")</f>
        <v>NHG4423</v>
      </c>
      <c r="D5263" s="87" t="str">
        <f>IFERROR(__xludf.DUMMYFUNCTION("""COMPUTED_VALUE"""),"[Nhãn] GC - IV - 4423 - CTY JAPAN CROPS SCIENCE - VÔ GẠO (Dạng SC - Vàng) - 500ml - 40")</f>
        <v>[Nhãn] GC - IV - 4423 - CTY JAPAN CROPS SCIENCE - VÔ GẠO (Dạng SC - Vàng) - 500ml - 40</v>
      </c>
      <c r="E5263" s="87" t="str">
        <f>IFERROR(__xludf.DUMMYFUNCTION("""COMPUTED_VALUE"""),"HỖN HỢP NPK AGAMA-SRH")</f>
        <v>HỖN HỢP NPK AGAMA-SRH</v>
      </c>
      <c r="F5263" s="87" t="str">
        <f>IFERROR(__xludf.DUMMYFUNCTION("""COMPUTED_VALUE"""),"HH4423")</f>
        <v>HH4423</v>
      </c>
      <c r="G5263" s="87" t="str">
        <f>IFERROR(__xludf.DUMMYFUNCTION("""COMPUTED_VALUE"""),"GC - IV - 4423 - CTY JAPAN CROPS SCIENCE - VÔ GẠO (Dạng SC - Vàng) - 500ml - 40")</f>
        <v>GC - IV - 4423 - CTY JAPAN CROPS SCIENCE - VÔ GẠO (Dạng SC - Vàng) - 500ml - 40</v>
      </c>
    </row>
    <row r="5264">
      <c r="A5264" s="86">
        <f>IFERROR(__xludf.DUMMYFUNCTION("""COMPUTED_VALUE"""),5262.0)</f>
        <v>5262</v>
      </c>
      <c r="B5264" s="87" t="str">
        <f>IFERROR(__xludf.DUMMYFUNCTION("""COMPUTED_VALUE"""),"[Nhãn]")</f>
        <v>[Nhãn]</v>
      </c>
      <c r="C5264" s="87" t="str">
        <f>IFERROR(__xludf.DUMMYFUNCTION("""COMPUTED_VALUE"""),"NHG4422")</f>
        <v>NHG4422</v>
      </c>
      <c r="D5264" s="87" t="str">
        <f>IFERROR(__xludf.DUMMYFUNCTION("""COMPUTED_VALUE"""),"[Nhãn] GC - IV - 4422 - CTY JAPAN CROPS SCIENCE - DƯỠNG ĐÒNG (Dạng SC - Hồng) - 500ml - 40")</f>
        <v>[Nhãn] GC - IV - 4422 - CTY JAPAN CROPS SCIENCE - DƯỠNG ĐÒNG (Dạng SC - Hồng) - 500ml - 40</v>
      </c>
      <c r="E5264" s="87" t="str">
        <f>IFERROR(__xludf.DUMMYFUNCTION("""COMPUTED_VALUE"""),"Vi lượng MICKEY")</f>
        <v>Vi lượng MICKEY</v>
      </c>
      <c r="F5264" s="87" t="str">
        <f>IFERROR(__xludf.DUMMYFUNCTION("""COMPUTED_VALUE"""),"HH4422")</f>
        <v>HH4422</v>
      </c>
      <c r="G5264" s="87" t="str">
        <f>IFERROR(__xludf.DUMMYFUNCTION("""COMPUTED_VALUE"""),"GC - IV - 4422 - CTY JAPAN CROPS SCIENCE - DƯỠNG ĐÒNG (Dạng SC - Hồng) - 500ml - 40")</f>
        <v>GC - IV - 4422 - CTY JAPAN CROPS SCIENCE - DƯỠNG ĐÒNG (Dạng SC - Hồng) - 500ml - 40</v>
      </c>
    </row>
    <row r="5265">
      <c r="A5265" s="86">
        <f>IFERROR(__xludf.DUMMYFUNCTION("""COMPUTED_VALUE"""),5263.0)</f>
        <v>5263</v>
      </c>
      <c r="B5265" s="87" t="str">
        <f>IFERROR(__xludf.DUMMYFUNCTION("""COMPUTED_VALUE"""),"[Nhãn]")</f>
        <v>[Nhãn]</v>
      </c>
      <c r="C5265" s="87" t="str">
        <f>IFERROR(__xludf.DUMMYFUNCTION("""COMPUTED_VALUE"""),"NTN4404")</f>
        <v>NTN4404</v>
      </c>
      <c r="D5265" s="87" t="str">
        <f>IFERROR(__xludf.DUMMYFUNCTION("""COMPUTED_VALUE"""),"[Nhãn] IDA Global - I - 4404 - CAYMANGOLD 33WP (Bột trắng) - 100gr - 100")</f>
        <v>[Nhãn] IDA Global - I - 4404 - CAYMANGOLD 33WP (Bột trắng) - 100gr - 100</v>
      </c>
      <c r="E5265" s="87" t="str">
        <f>IFERROR(__xludf.DUMMYFUNCTION("""COMPUTED_VALUE"""),"CAYMANGOLD 33WP")</f>
        <v>CAYMANGOLD 33WP</v>
      </c>
      <c r="F5265" s="87" t="str">
        <f>IFERROR(__xludf.DUMMYFUNCTION("""COMPUTED_VALUE"""),"HH4404")</f>
        <v>HH4404</v>
      </c>
      <c r="G5265" s="87" t="str">
        <f>IFERROR(__xludf.DUMMYFUNCTION("""COMPUTED_VALUE"""),"IDA Global - I - 4404 - CAYMANGOLD 33WP (Bột trắng) - 100gr - 100")</f>
        <v>IDA Global - I - 4404 - CAYMANGOLD 33WP (Bột trắng) - 100gr - 100</v>
      </c>
    </row>
    <row r="5266">
      <c r="A5266" s="86">
        <f>IFERROR(__xludf.DUMMYFUNCTION("""COMPUTED_VALUE"""),5264.0)</f>
        <v>5264</v>
      </c>
      <c r="B5266" s="87" t="str">
        <f>IFERROR(__xludf.DUMMYFUNCTION("""COMPUTED_VALUE"""),"[Nhãn Thùng]")</f>
        <v>[Nhãn Thùng]</v>
      </c>
      <c r="C5266" s="87" t="str">
        <f>IFERROR(__xludf.DUMMYFUNCTION("""COMPUTED_VALUE"""),"NDT4404")</f>
        <v>NDT4404</v>
      </c>
      <c r="D5266" s="87" t="str">
        <f>IFERROR(__xludf.DUMMYFUNCTION("""COMPUTED_VALUE"""),"[Nhãn Thùng] IDA Global - I - 4404 - CAYMANGOLD 33WP (Bột trắng) - 100gr - 100")</f>
        <v>[Nhãn Thùng] IDA Global - I - 4404 - CAYMANGOLD 33WP (Bột trắng) - 100gr - 100</v>
      </c>
      <c r="E5266" s="87" t="str">
        <f>IFERROR(__xludf.DUMMYFUNCTION("""COMPUTED_VALUE"""),"CAYMANGOLD 33WP")</f>
        <v>CAYMANGOLD 33WP</v>
      </c>
      <c r="F5266" s="87" t="str">
        <f>IFERROR(__xludf.DUMMYFUNCTION("""COMPUTED_VALUE"""),"HH4404")</f>
        <v>HH4404</v>
      </c>
      <c r="G5266" s="87" t="str">
        <f>IFERROR(__xludf.DUMMYFUNCTION("""COMPUTED_VALUE"""),"IDA Global - I - 4404 - CAYMANGOLD 33WP (Bột trắng) - 100gr - 100")</f>
        <v>IDA Global - I - 4404 - CAYMANGOLD 33WP (Bột trắng) - 100gr - 100</v>
      </c>
    </row>
    <row r="5267">
      <c r="A5267" s="86">
        <f>IFERROR(__xludf.DUMMYFUNCTION("""COMPUTED_VALUE"""),5265.0)</f>
        <v>5265</v>
      </c>
      <c r="B5267" s="87" t="str">
        <f>IFERROR(__xludf.DUMMYFUNCTION("""COMPUTED_VALUE"""),"[Nhãn]")</f>
        <v>[Nhãn]</v>
      </c>
      <c r="C5267" s="87" t="str">
        <f>IFERROR(__xludf.DUMMYFUNCTION("""COMPUTED_VALUE"""),"NTN4397")</f>
        <v>NTN4397</v>
      </c>
      <c r="D5267" s="87" t="str">
        <f>IFERROR(__xludf.DUMMYFUNCTION("""COMPUTED_VALUE"""),"[Nhãn] IDA Global - I - 4397 - CHESSIN 600WP (Bột trắng) - 50gr - 100")</f>
        <v>[Nhãn] IDA Global - I - 4397 - CHESSIN 600WP (Bột trắng) - 50gr - 100</v>
      </c>
      <c r="E5267" s="87" t="str">
        <f>IFERROR(__xludf.DUMMYFUNCTION("""COMPUTED_VALUE"""),"CHESSIN 600WP")</f>
        <v>CHESSIN 600WP</v>
      </c>
      <c r="F5267" s="87" t="str">
        <f>IFERROR(__xludf.DUMMYFUNCTION("""COMPUTED_VALUE"""),"HH4397")</f>
        <v>HH4397</v>
      </c>
      <c r="G5267" s="87" t="str">
        <f>IFERROR(__xludf.DUMMYFUNCTION("""COMPUTED_VALUE"""),"IDA Global - I - 4397 - CHESSIN 600WP (Bột trắng) - 50gr - 100")</f>
        <v>IDA Global - I - 4397 - CHESSIN 600WP (Bột trắng) - 50gr - 100</v>
      </c>
    </row>
    <row r="5268">
      <c r="A5268" s="86">
        <f>IFERROR(__xludf.DUMMYFUNCTION("""COMPUTED_VALUE"""),5266.0)</f>
        <v>5266</v>
      </c>
      <c r="B5268" s="87" t="str">
        <f>IFERROR(__xludf.DUMMYFUNCTION("""COMPUTED_VALUE"""),"[Nhãn Thùng]")</f>
        <v>[Nhãn Thùng]</v>
      </c>
      <c r="C5268" s="87" t="str">
        <f>IFERROR(__xludf.DUMMYFUNCTION("""COMPUTED_VALUE"""),"NDT4397")</f>
        <v>NDT4397</v>
      </c>
      <c r="D5268" s="87" t="str">
        <f>IFERROR(__xludf.DUMMYFUNCTION("""COMPUTED_VALUE"""),"[Nhãn Thùng] IDA Global - I - 4397 - CHESSIN 600WP (Bột trắng) - 50gr - 100")</f>
        <v>[Nhãn Thùng] IDA Global - I - 4397 - CHESSIN 600WP (Bột trắng) - 50gr - 100</v>
      </c>
      <c r="E5268" s="87" t="str">
        <f>IFERROR(__xludf.DUMMYFUNCTION("""COMPUTED_VALUE"""),"CHESSIN 600WP")</f>
        <v>CHESSIN 600WP</v>
      </c>
      <c r="F5268" s="87" t="str">
        <f>IFERROR(__xludf.DUMMYFUNCTION("""COMPUTED_VALUE"""),"HH4397")</f>
        <v>HH4397</v>
      </c>
      <c r="G5268" s="87" t="str">
        <f>IFERROR(__xludf.DUMMYFUNCTION("""COMPUTED_VALUE"""),"IDA Global - I - 4397 - CHESSIN 600WP (Bột trắng) - 50gr - 100")</f>
        <v>IDA Global - I - 4397 - CHESSIN 600WP (Bột trắng) - 50gr - 100</v>
      </c>
    </row>
    <row r="5269">
      <c r="A5269" s="86">
        <f>IFERROR(__xludf.DUMMYFUNCTION("""COMPUTED_VALUE"""),5267.0)</f>
        <v>5267</v>
      </c>
      <c r="B5269" s="87" t="str">
        <f>IFERROR(__xludf.DUMMYFUNCTION("""COMPUTED_VALUE"""),"[Nhãn Thùng]")</f>
        <v>[Nhãn Thùng]</v>
      </c>
      <c r="C5269" s="87" t="str">
        <f>IFERROR(__xludf.DUMMYFUNCTION("""COMPUTED_VALUE"""),"NDT4384")</f>
        <v>NDT4384</v>
      </c>
      <c r="D5269" s="87" t="str">
        <f>IFERROR(__xludf.DUMMYFUNCTION("""COMPUTED_VALUE"""),"[Nhãn Thùng] IDA Global - I - 4384 - VTNN TÂN PHÁT - GAMAXX (Nước tím) - 900ml - 20")</f>
        <v>[Nhãn Thùng] IDA Global - I - 4384 - VTNN TÂN PHÁT - GAMAXX (Nước tím) - 900ml - 20</v>
      </c>
      <c r="E5269" s="87" t="str">
        <f>IFERROR(__xludf.DUMMYFUNCTION("""COMPUTED_VALUE"""),"COCHAY 200SL")</f>
        <v>COCHAY 200SL</v>
      </c>
      <c r="F5269" s="87" t="str">
        <f>IFERROR(__xludf.DUMMYFUNCTION("""COMPUTED_VALUE"""),"HH4384")</f>
        <v>HH4384</v>
      </c>
      <c r="G5269" s="87" t="str">
        <f>IFERROR(__xludf.DUMMYFUNCTION("""COMPUTED_VALUE"""),"IDA Global - I - 4384 - VTNN TÂN PHÁT - GAMAXX (Nước tím) - 900ml - 20")</f>
        <v>IDA Global - I - 4384 - VTNN TÂN PHÁT - GAMAXX (Nước tím) - 900ml - 20</v>
      </c>
    </row>
    <row r="5270">
      <c r="A5270" s="86">
        <f>IFERROR(__xludf.DUMMYFUNCTION("""COMPUTED_VALUE"""),5268.0)</f>
        <v>5268</v>
      </c>
      <c r="B5270" s="87" t="str">
        <f>IFERROR(__xludf.DUMMYFUNCTION("""COMPUTED_VALUE"""),"[Nhãn]")</f>
        <v>[Nhãn]</v>
      </c>
      <c r="C5270" s="87" t="str">
        <f>IFERROR(__xludf.DUMMYFUNCTION("""COMPUTED_VALUE"""),"NHD4400")</f>
        <v>NHD4400</v>
      </c>
      <c r="D5270" s="87" t="str">
        <f>IFERROR(__xludf.DUMMYFUNCTION("""COMPUTED_VALUE"""),"[Nhãn] GC - IX - 4400 - N2SBIO - N2 BOOSTER (Nước nâu đen) - 5L - 4")</f>
        <v>[Nhãn] GC - IX - 4400 - N2SBIO - N2 BOOSTER (Nước nâu đen) - 5L - 4</v>
      </c>
      <c r="E5270" s="87" t="str">
        <f>IFERROR(__xludf.DUMMYFUNCTION("""COMPUTED_VALUE"""),"Hữu cơ Organic BM Gold  FW")</f>
        <v>Hữu cơ Organic BM Gold  FW</v>
      </c>
      <c r="F5270" s="87" t="str">
        <f>IFERROR(__xludf.DUMMYFUNCTION("""COMPUTED_VALUE"""),"HH4400")</f>
        <v>HH4400</v>
      </c>
      <c r="G5270" s="87" t="str">
        <f>IFERROR(__xludf.DUMMYFUNCTION("""COMPUTED_VALUE"""),"GC - IX - 4400 - N2SBIO - N2 BOOSTER (Nước nâu đen) - 5L - 4")</f>
        <v>GC - IX - 4400 - N2SBIO - N2 BOOSTER (Nước nâu đen) - 5L - 4</v>
      </c>
    </row>
    <row r="5271">
      <c r="A5271" s="86">
        <f>IFERROR(__xludf.DUMMYFUNCTION("""COMPUTED_VALUE"""),5269.0)</f>
        <v>5269</v>
      </c>
      <c r="B5271" s="87" t="str">
        <f>IFERROR(__xludf.DUMMYFUNCTION("""COMPUTED_VALUE"""),"[Nhãn Thùng]")</f>
        <v>[Nhãn Thùng]</v>
      </c>
      <c r="C5271" s="87" t="str">
        <f>IFERROR(__xludf.DUMMYFUNCTION("""COMPUTED_VALUE"""),"NDT4400")</f>
        <v>NDT4400</v>
      </c>
      <c r="D5271" s="87" t="str">
        <f>IFERROR(__xludf.DUMMYFUNCTION("""COMPUTED_VALUE"""),"[Nhãn Thùng] GC - IX - 4400 - N2SBIO - N2 BOOSTER (Nước nâu đen) - 5L - 4")</f>
        <v>[Nhãn Thùng] GC - IX - 4400 - N2SBIO - N2 BOOSTER (Nước nâu đen) - 5L - 4</v>
      </c>
      <c r="E5271" s="87" t="str">
        <f>IFERROR(__xludf.DUMMYFUNCTION("""COMPUTED_VALUE"""),"Hữu cơ Organic BM Gold  FW")</f>
        <v>Hữu cơ Organic BM Gold  FW</v>
      </c>
      <c r="F5271" s="87" t="str">
        <f>IFERROR(__xludf.DUMMYFUNCTION("""COMPUTED_VALUE"""),"HH4400")</f>
        <v>HH4400</v>
      </c>
      <c r="G5271" s="87" t="str">
        <f>IFERROR(__xludf.DUMMYFUNCTION("""COMPUTED_VALUE"""),"GC - IX - 4400 - N2SBIO - N2 BOOSTER (Nước nâu đen) - 5L - 4")</f>
        <v>GC - IX - 4400 - N2SBIO - N2 BOOSTER (Nước nâu đen) - 5L - 4</v>
      </c>
    </row>
    <row r="5272">
      <c r="A5272" s="86">
        <f>IFERROR(__xludf.DUMMYFUNCTION("""COMPUTED_VALUE"""),5270.0)</f>
        <v>5270</v>
      </c>
      <c r="B5272" s="87" t="str">
        <f>IFERROR(__xludf.DUMMYFUNCTION("""COMPUTED_VALUE"""),"[Nhãn]")</f>
        <v>[Nhãn]</v>
      </c>
      <c r="C5272" s="87" t="str">
        <f>IFERROR(__xludf.DUMMYFUNCTION("""COMPUTED_VALUE"""),"NHD4431")</f>
        <v>NHD4431</v>
      </c>
      <c r="D5272" s="87" t="str">
        <f>IFERROR(__xludf.DUMMYFUNCTION("""COMPUTED_VALUE"""),"[Nhãn]  GC - IV - 4431 - CTY QUANG ĐĂNG AGRICULTURE - LOCK GROW QĐ DURI (Nước nâu đen) - 1L - 20")</f>
        <v>[Nhãn]  GC - IV - 4431 - CTY QUANG ĐĂNG AGRICULTURE - LOCK GROW QĐ DURI (Nước nâu đen) - 1L - 20</v>
      </c>
      <c r="E5272" s="87" t="str">
        <f>IFERROR(__xludf.DUMMYFUNCTION("""COMPUTED_VALUE"""),"Vi lượng Quantity New")</f>
        <v>Vi lượng Quantity New</v>
      </c>
      <c r="F5272" s="87" t="str">
        <f>IFERROR(__xludf.DUMMYFUNCTION("""COMPUTED_VALUE"""),"HH4431")</f>
        <v>HH4431</v>
      </c>
      <c r="G5272" s="87" t="str">
        <f>IFERROR(__xludf.DUMMYFUNCTION("""COMPUTED_VALUE"""),"GC - IV - 4431 - CTY QUANG ĐĂNG AGRICULTURE - LOCK GROW QĐ DURI (Nước nâu đen) - 1L - 20")</f>
        <v>GC - IV - 4431 - CTY QUANG ĐĂNG AGRICULTURE - LOCK GROW QĐ DURI (Nước nâu đen) - 1L - 20</v>
      </c>
    </row>
    <row r="5273">
      <c r="A5273" s="86">
        <f>IFERROR(__xludf.DUMMYFUNCTION("""COMPUTED_VALUE"""),5271.0)</f>
        <v>5271</v>
      </c>
      <c r="B5273" s="87" t="str">
        <f>IFERROR(__xludf.DUMMYFUNCTION("""COMPUTED_VALUE"""),"[Nhãn Thùng]")</f>
        <v>[Nhãn Thùng]</v>
      </c>
      <c r="C5273" s="87" t="str">
        <f>IFERROR(__xludf.DUMMYFUNCTION("""COMPUTED_VALUE"""),"NDT4431")</f>
        <v>NDT4431</v>
      </c>
      <c r="D5273" s="87" t="str">
        <f>IFERROR(__xludf.DUMMYFUNCTION("""COMPUTED_VALUE"""),"[Nhãn Thùng]  GC - IV - 4431 - CTY QUANG ĐĂNG AGRICULTURE - LOCK GROW QĐ DURI (Nước nâu đen) - 1L - 20")</f>
        <v>[Nhãn Thùng]  GC - IV - 4431 - CTY QUANG ĐĂNG AGRICULTURE - LOCK GROW QĐ DURI (Nước nâu đen) - 1L - 20</v>
      </c>
      <c r="E5273" s="87" t="str">
        <f>IFERROR(__xludf.DUMMYFUNCTION("""COMPUTED_VALUE"""),"Vi lượng Quantity New")</f>
        <v>Vi lượng Quantity New</v>
      </c>
      <c r="F5273" s="87" t="str">
        <f>IFERROR(__xludf.DUMMYFUNCTION("""COMPUTED_VALUE"""),"HH4431")</f>
        <v>HH4431</v>
      </c>
      <c r="G5273" s="87" t="str">
        <f>IFERROR(__xludf.DUMMYFUNCTION("""COMPUTED_VALUE"""),"GC - IV - 4431 - CTY QUANG ĐĂNG AGRICULTURE - LOCK GROW QĐ DURI (Nước nâu đen) - 1L - 20")</f>
        <v>GC - IV - 4431 - CTY QUANG ĐĂNG AGRICULTURE - LOCK GROW QĐ DURI (Nước nâu đen) - 1L - 20</v>
      </c>
    </row>
    <row r="5274">
      <c r="A5274" s="86">
        <f>IFERROR(__xludf.DUMMYFUNCTION("""COMPUTED_VALUE"""),5272.0)</f>
        <v>5272</v>
      </c>
      <c r="B5274" s="87" t="str">
        <f>IFERROR(__xludf.DUMMYFUNCTION("""COMPUTED_VALUE"""),"[Nhãn]")</f>
        <v>[Nhãn]</v>
      </c>
      <c r="C5274" s="87" t="str">
        <f>IFERROR(__xludf.DUMMYFUNCTION("""COMPUTED_VALUE"""),"NHD4418")</f>
        <v>NHD4418</v>
      </c>
      <c r="D5274" s="87" t="str">
        <f>IFERROR(__xludf.DUMMYFUNCTION("""COMPUTED_VALUE"""),"[Nhãn] GC - IV - 4418 - CTY QUANG ĐĂNG AGRICULTURE - ROOTS GROW+ QĐ.SOLID (Nước nâu đen) - 500ml - 40")</f>
        <v>[Nhãn] GC - IV - 4418 - CTY QUANG ĐĂNG AGRICULTURE - ROOTS GROW+ QĐ.SOLID (Nước nâu đen) - 500ml - 40</v>
      </c>
      <c r="E5274" s="87" t="str">
        <f>IFERROR(__xludf.DUMMYFUNCTION("""COMPUTED_VALUE"""),"Vi lượng AGAMA-SUPPORT")</f>
        <v>Vi lượng AGAMA-SUPPORT</v>
      </c>
      <c r="F5274" s="87" t="str">
        <f>IFERROR(__xludf.DUMMYFUNCTION("""COMPUTED_VALUE"""),"HH4418")</f>
        <v>HH4418</v>
      </c>
      <c r="G5274" s="87" t="str">
        <f>IFERROR(__xludf.DUMMYFUNCTION("""COMPUTED_VALUE"""),"GC - IV - 4418 - CTY QUANG ĐĂNG AGRICULTURE - ROOTS GROW+ QĐ.SOLID (Nước nâu đen) - 500ml - 40")</f>
        <v>GC - IV - 4418 - CTY QUANG ĐĂNG AGRICULTURE - ROOTS GROW+ QĐ.SOLID (Nước nâu đen) - 500ml - 40</v>
      </c>
    </row>
    <row r="5275">
      <c r="A5275" s="86">
        <f>IFERROR(__xludf.DUMMYFUNCTION("""COMPUTED_VALUE"""),5273.0)</f>
        <v>5273</v>
      </c>
      <c r="B5275" s="87" t="str">
        <f>IFERROR(__xludf.DUMMYFUNCTION("""COMPUTED_VALUE"""),"[Nhãn Thùng]")</f>
        <v>[Nhãn Thùng]</v>
      </c>
      <c r="C5275" s="87" t="str">
        <f>IFERROR(__xludf.DUMMYFUNCTION("""COMPUTED_VALUE"""),"NDT4418")</f>
        <v>NDT4418</v>
      </c>
      <c r="D5275" s="87" t="str">
        <f>IFERROR(__xludf.DUMMYFUNCTION("""COMPUTED_VALUE"""),"[Nhãn Thùng] GC - IV - 4418 - CTY QUANG ĐĂNG AGRICULTURE - ROOTS GROW+ QĐ.SOLID (Nước nâu đen) - 500ml - 40")</f>
        <v>[Nhãn Thùng] GC - IV - 4418 - CTY QUANG ĐĂNG AGRICULTURE - ROOTS GROW+ QĐ.SOLID (Nước nâu đen) - 500ml - 40</v>
      </c>
      <c r="E5275" s="87" t="str">
        <f>IFERROR(__xludf.DUMMYFUNCTION("""COMPUTED_VALUE"""),"Vi lượng AGAMA-SUPPORT")</f>
        <v>Vi lượng AGAMA-SUPPORT</v>
      </c>
      <c r="F5275" s="87" t="str">
        <f>IFERROR(__xludf.DUMMYFUNCTION("""COMPUTED_VALUE"""),"HH4418")</f>
        <v>HH4418</v>
      </c>
      <c r="G5275" s="87" t="str">
        <f>IFERROR(__xludf.DUMMYFUNCTION("""COMPUTED_VALUE"""),"GC - IV - 4418 - CTY QUANG ĐĂNG AGRICULTURE - ROOTS GROW+ QĐ.SOLID (Nước nâu đen) - 500ml - 40")</f>
        <v>GC - IV - 4418 - CTY QUANG ĐĂNG AGRICULTURE - ROOTS GROW+ QĐ.SOLID (Nước nâu đen) - 500ml - 40</v>
      </c>
    </row>
    <row r="5276">
      <c r="A5276" s="86">
        <f>IFERROR(__xludf.DUMMYFUNCTION("""COMPUTED_VALUE"""),5274.0)</f>
        <v>5274</v>
      </c>
      <c r="B5276" s="87" t="str">
        <f>IFERROR(__xludf.DUMMYFUNCTION("""COMPUTED_VALUE"""),"[Nhãn]")</f>
        <v>[Nhãn]</v>
      </c>
      <c r="C5276" s="87" t="str">
        <f>IFERROR(__xludf.DUMMYFUNCTION("""COMPUTED_VALUE"""),"NHG4443")</f>
        <v>NHG4443</v>
      </c>
      <c r="D5276" s="87" t="str">
        <f>IFERROR(__xludf.DUMMYFUNCTION("""COMPUTED_VALUE"""),"[Nhãn] GC - IV - 4443 - NHP GROUP - pH++ (Gel nâu đen) - 1L - 20")</f>
        <v>[Nhãn] GC - IV - 4443 - NHP GROUP - pH++ (Gel nâu đen) - 1L - 20</v>
      </c>
      <c r="E5276" s="87" t="str">
        <f>IFERROR(__xludf.DUMMYFUNCTION("""COMPUTED_VALUE"""),"Hữu cơ SH Agro Organic Fertilizer 20")</f>
        <v>Hữu cơ SH Agro Organic Fertilizer 20</v>
      </c>
      <c r="F5276" s="87" t="str">
        <f>IFERROR(__xludf.DUMMYFUNCTION("""COMPUTED_VALUE"""),"HH4443")</f>
        <v>HH4443</v>
      </c>
      <c r="G5276" s="87" t="str">
        <f>IFERROR(__xludf.DUMMYFUNCTION("""COMPUTED_VALUE"""),"GC - IV - 4443 - NHP GROUP - pH++ (Gel nâu đen) - 1L - 20")</f>
        <v>GC - IV - 4443 - NHP GROUP - pH++ (Gel nâu đen) - 1L - 20</v>
      </c>
    </row>
    <row r="5277">
      <c r="A5277" s="86">
        <f>IFERROR(__xludf.DUMMYFUNCTION("""COMPUTED_VALUE"""),5275.0)</f>
        <v>5275</v>
      </c>
      <c r="B5277" s="87" t="str">
        <f>IFERROR(__xludf.DUMMYFUNCTION("""COMPUTED_VALUE"""),"[Nhãn]")</f>
        <v>[Nhãn]</v>
      </c>
      <c r="C5277" s="87" t="str">
        <f>IFERROR(__xludf.DUMMYFUNCTION("""COMPUTED_VALUE"""),"NHG4433")</f>
        <v>NHG4433</v>
      </c>
      <c r="D5277" s="87" t="str">
        <f>IFERROR(__xludf.DUMMYFUNCTION("""COMPUTED_VALUE"""),"[Nhãn]  GC - IV - 4433 - AGRITECH - NUTI ROOTS 02 (Nước nâu đen) - 1L - 20")</f>
        <v>[Nhãn]  GC - IV - 4433 - AGRITECH - NUTI ROOTS 02 (Nước nâu đen) - 1L - 20</v>
      </c>
      <c r="E5277" s="87" t="str">
        <f>IFERROR(__xludf.DUMMYFUNCTION("""COMPUTED_VALUE"""),"Hỗn Hợp NP AGAMA-AP")</f>
        <v>Hỗn Hợp NP AGAMA-AP</v>
      </c>
      <c r="F5277" s="87" t="str">
        <f>IFERROR(__xludf.DUMMYFUNCTION("""COMPUTED_VALUE"""),"HH4433")</f>
        <v>HH4433</v>
      </c>
      <c r="G5277" s="87" t="str">
        <f>IFERROR(__xludf.DUMMYFUNCTION("""COMPUTED_VALUE"""),"GC - IV - 4433 - AGRITECH - NUTI ROOTS 02 (Nước nâu đen) - 1L - 20")</f>
        <v>GC - IV - 4433 - AGRITECH - NUTI ROOTS 02 (Nước nâu đen) - 1L - 20</v>
      </c>
    </row>
    <row r="5278">
      <c r="A5278" s="86">
        <f>IFERROR(__xludf.DUMMYFUNCTION("""COMPUTED_VALUE"""),5276.0)</f>
        <v>5276</v>
      </c>
      <c r="B5278" s="87" t="str">
        <f>IFERROR(__xludf.DUMMYFUNCTION("""COMPUTED_VALUE"""),"[Nhãn]")</f>
        <v>[Nhãn]</v>
      </c>
      <c r="C5278" s="87" t="str">
        <f>IFERROR(__xludf.DUMMYFUNCTION("""COMPUTED_VALUE"""),"NHG4434")</f>
        <v>NHG4434</v>
      </c>
      <c r="D5278" s="87" t="str">
        <f>IFERROR(__xludf.DUMMYFUNCTION("""COMPUTED_VALUE"""),"[Nhãn] GC - IV - 4434 - AGRITECH - NUTI RICE MAX (Gel vàng cam) - 1L - 20")</f>
        <v>[Nhãn] GC - IV - 4434 - AGRITECH - NUTI RICE MAX (Gel vàng cam) - 1L - 20</v>
      </c>
      <c r="E5278" s="87" t="str">
        <f>IFERROR(__xludf.DUMMYFUNCTION("""COMPUTED_VALUE"""),"Vi lượng Run Fast")</f>
        <v>Vi lượng Run Fast</v>
      </c>
      <c r="F5278" s="87" t="str">
        <f>IFERROR(__xludf.DUMMYFUNCTION("""COMPUTED_VALUE"""),"HH4434")</f>
        <v>HH4434</v>
      </c>
      <c r="G5278" s="87" t="str">
        <f>IFERROR(__xludf.DUMMYFUNCTION("""COMPUTED_VALUE"""),"GC - IV - 4434 - AGRITECH - NUTI RICE MAX (Gel vàng cam) - 1L - 20")</f>
        <v>GC - IV - 4434 - AGRITECH - NUTI RICE MAX (Gel vàng cam) - 1L - 20</v>
      </c>
    </row>
    <row r="5279">
      <c r="A5279" s="86">
        <f>IFERROR(__xludf.DUMMYFUNCTION("""COMPUTED_VALUE"""),5277.0)</f>
        <v>5277</v>
      </c>
      <c r="B5279" s="87" t="str">
        <f>IFERROR(__xludf.DUMMYFUNCTION("""COMPUTED_VALUE"""),"[Nhãn]")</f>
        <v>[Nhãn]</v>
      </c>
      <c r="C5279" s="87" t="str">
        <f>IFERROR(__xludf.DUMMYFUNCTION("""COMPUTED_VALUE"""),"NHG4438")</f>
        <v>NHG4438</v>
      </c>
      <c r="D5279" s="87" t="str">
        <f>IFERROR(__xludf.DUMMYFUNCTION("""COMPUTED_VALUE"""),"[Nhãn] GC - IV - 4438 - CTY NÔNG DƯỢC BETA - DS1 (Nước vàng trà) - 240ml - 40")</f>
        <v>[Nhãn] GC - IV - 4438 - CTY NÔNG DƯỢC BETA - DS1 (Nước vàng trà) - 240ml - 40</v>
      </c>
      <c r="E5279" s="87" t="str">
        <f>IFERROR(__xludf.DUMMYFUNCTION("""COMPUTED_VALUE"""),"AMICOL 360EC")</f>
        <v>AMICOL 360EC</v>
      </c>
      <c r="F5279" s="87" t="str">
        <f>IFERROR(__xludf.DUMMYFUNCTION("""COMPUTED_VALUE"""),"HH4438")</f>
        <v>HH4438</v>
      </c>
      <c r="G5279" s="87" t="str">
        <f>IFERROR(__xludf.DUMMYFUNCTION("""COMPUTED_VALUE"""),"GC - IV - 4438 - CTY NÔNG DƯỢC BETA - DS1 (Nước vàng trà) - 240ml - 40")</f>
        <v>GC - IV - 4438 - CTY NÔNG DƯỢC BETA - DS1 (Nước vàng trà) - 240ml - 40</v>
      </c>
    </row>
    <row r="5280">
      <c r="A5280" s="86">
        <f>IFERROR(__xludf.DUMMYFUNCTION("""COMPUTED_VALUE"""),5278.0)</f>
        <v>5278</v>
      </c>
      <c r="B5280" s="87" t="str">
        <f>IFERROR(__xludf.DUMMYFUNCTION("""COMPUTED_VALUE"""),"[Nhãn]")</f>
        <v>[Nhãn]</v>
      </c>
      <c r="C5280" s="87" t="str">
        <f>IFERROR(__xludf.DUMMYFUNCTION("""COMPUTED_VALUE"""),"NHG4437")</f>
        <v>NHG4437</v>
      </c>
      <c r="D5280" s="87" t="str">
        <f>IFERROR(__xludf.DUMMYFUNCTION("""COMPUTED_VALUE"""),"[Nhãn] GC - IV - 4437 - Cty Tiến Vinh - TIVI VIN S-110 (Nước xanh dương) - 1L - 20")</f>
        <v>[Nhãn] GC - IV - 4437 - Cty Tiến Vinh - TIVI VIN S-110 (Nước xanh dương) - 1L - 20</v>
      </c>
      <c r="E5280" s="87" t="str">
        <f>IFERROR(__xludf.DUMMYFUNCTION("""COMPUTED_VALUE"""),"JAPA VIL 110SC")</f>
        <v>JAPA VIL 110SC</v>
      </c>
      <c r="F5280" s="87" t="str">
        <f>IFERROR(__xludf.DUMMYFUNCTION("""COMPUTED_VALUE"""),"HH4437")</f>
        <v>HH4437</v>
      </c>
      <c r="G5280" s="87" t="str">
        <f>IFERROR(__xludf.DUMMYFUNCTION("""COMPUTED_VALUE"""),"GC - IV - 4437 - Cty Tiến Vinh - TIVI VIN S-110 (Nước xanh dương) - 1L - 20")</f>
        <v>GC - IV - 4437 - Cty Tiến Vinh - TIVI VIN S-110 (Nước xanh dương) - 1L - 20</v>
      </c>
    </row>
    <row r="5281">
      <c r="A5281" s="86">
        <f>IFERROR(__xludf.DUMMYFUNCTION("""COMPUTED_VALUE"""),5279.0)</f>
        <v>5279</v>
      </c>
      <c r="B5281" s="87" t="str">
        <f>IFERROR(__xludf.DUMMYFUNCTION("""COMPUTED_VALUE"""),"[Nhãn]")</f>
        <v>[Nhãn]</v>
      </c>
      <c r="C5281" s="87" t="str">
        <f>IFERROR(__xludf.DUMMYFUNCTION("""COMPUTED_VALUE"""),"NTN4255")</f>
        <v>NTN4255</v>
      </c>
      <c r="D5281" s="87" t="str">
        <f>IFERROR(__xludf.DUMMYFUNCTION("""COMPUTED_VALUE"""),"[Nhãn]  IDA Global - I - 4255 - CENTERTANER 500WP (bột vàng nhạt) - 12gr - 400")</f>
        <v>[Nhãn]  IDA Global - I - 4255 - CENTERTANER 500WP (bột vàng nhạt) - 12gr - 400</v>
      </c>
      <c r="E5281" s="87" t="str">
        <f>IFERROR(__xludf.DUMMYFUNCTION("""COMPUTED_VALUE"""),"Centertaner 500WP")</f>
        <v>Centertaner 500WP</v>
      </c>
      <c r="F5281" s="87" t="str">
        <f>IFERROR(__xludf.DUMMYFUNCTION("""COMPUTED_VALUE"""),"HH4255")</f>
        <v>HH4255</v>
      </c>
      <c r="G5281" s="87" t="str">
        <f>IFERROR(__xludf.DUMMYFUNCTION("""COMPUTED_VALUE"""),"IDA Global - I - 4255 - CENTERTANER 500WP (bột vàng nhạt) - 12gr - 400")</f>
        <v>IDA Global - I - 4255 - CENTERTANER 500WP (bột vàng nhạt) - 12gr - 400</v>
      </c>
    </row>
    <row r="5282">
      <c r="A5282" s="86">
        <f>IFERROR(__xludf.DUMMYFUNCTION("""COMPUTED_VALUE"""),5280.0)</f>
        <v>5280</v>
      </c>
      <c r="B5282" s="87" t="str">
        <f>IFERROR(__xludf.DUMMYFUNCTION("""COMPUTED_VALUE"""),"[Nhãn]")</f>
        <v>[Nhãn]</v>
      </c>
      <c r="C5282" s="87" t="str">
        <f>IFERROR(__xludf.DUMMYFUNCTION("""COMPUTED_VALUE"""),"NTN4256")</f>
        <v>NTN4256</v>
      </c>
      <c r="D5282" s="87" t="str">
        <f>IFERROR(__xludf.DUMMYFUNCTION("""COMPUTED_VALUE"""),"[Nhãn] IDA Global - I - 4256 - CENTERTANER 500WP (bột vàng nhạt) - 50gr - 100")</f>
        <v>[Nhãn] IDA Global - I - 4256 - CENTERTANER 500WP (bột vàng nhạt) - 50gr - 100</v>
      </c>
      <c r="E5282" s="87" t="str">
        <f>IFERROR(__xludf.DUMMYFUNCTION("""COMPUTED_VALUE"""),"Centertaner 500WP")</f>
        <v>Centertaner 500WP</v>
      </c>
      <c r="F5282" s="87" t="str">
        <f>IFERROR(__xludf.DUMMYFUNCTION("""COMPUTED_VALUE"""),"HH4256")</f>
        <v>HH4256</v>
      </c>
      <c r="G5282" s="87" t="str">
        <f>IFERROR(__xludf.DUMMYFUNCTION("""COMPUTED_VALUE"""),"IDA Global - I - 4256 - CENTERTANER 500WP (bột vàng nhạt) - 50gr - 100")</f>
        <v>IDA Global - I - 4256 - CENTERTANER 500WP (bột vàng nhạt) - 50gr - 100</v>
      </c>
    </row>
    <row r="5283">
      <c r="A5283" s="86">
        <f>IFERROR(__xludf.DUMMYFUNCTION("""COMPUTED_VALUE"""),5281.0)</f>
        <v>5281</v>
      </c>
      <c r="B5283" s="87" t="str">
        <f>IFERROR(__xludf.DUMMYFUNCTION("""COMPUTED_VALUE"""),"[Nhãn]")</f>
        <v>[Nhãn]</v>
      </c>
      <c r="C5283" s="87" t="str">
        <f>IFERROR(__xludf.DUMMYFUNCTION("""COMPUTED_VALUE"""),"NHG4432")</f>
        <v>NHG4432</v>
      </c>
      <c r="D5283" s="87" t="str">
        <f>IFERROR(__xludf.DUMMYFUNCTION("""COMPUTED_VALUE"""),"[Nhãn] GC - IV - 4432 - CTY NAUY - SUPER GOLD (Nước nâu đen) - 250ml - 40")</f>
        <v>[Nhãn] GC - IV - 4432 - CTY NAUY - SUPER GOLD (Nước nâu đen) - 250ml - 40</v>
      </c>
      <c r="E5283" s="87" t="str">
        <f>IFERROR(__xludf.DUMMYFUNCTION("""COMPUTED_VALUE"""),"Lá PK Vi lượng SV 5-18")</f>
        <v>Lá PK Vi lượng SV 5-18</v>
      </c>
      <c r="F5283" s="87" t="str">
        <f>IFERROR(__xludf.DUMMYFUNCTION("""COMPUTED_VALUE"""),"HH4432")</f>
        <v>HH4432</v>
      </c>
      <c r="G5283" s="87" t="str">
        <f>IFERROR(__xludf.DUMMYFUNCTION("""COMPUTED_VALUE"""),"GC - IV - 4432 - CTY NAUY - SUPER GOLD (Nước nâu đen) - 250ml - 40")</f>
        <v>GC - IV - 4432 - CTY NAUY - SUPER GOLD (Nước nâu đen) - 250ml - 40</v>
      </c>
    </row>
    <row r="5284">
      <c r="A5284" s="86">
        <f>IFERROR(__xludf.DUMMYFUNCTION("""COMPUTED_VALUE"""),5282.0)</f>
        <v>5282</v>
      </c>
      <c r="B5284" s="87" t="str">
        <f>IFERROR(__xludf.DUMMYFUNCTION("""COMPUTED_VALUE"""),"[Nhãn]")</f>
        <v>[Nhãn]</v>
      </c>
      <c r="C5284" s="87" t="str">
        <f>IFERROR(__xludf.DUMMYFUNCTION("""COMPUTED_VALUE"""),"NHG4436")</f>
        <v>NHG4436</v>
      </c>
      <c r="D5284" s="87" t="str">
        <f>IFERROR(__xludf.DUMMYFUNCTION("""COMPUTED_VALUE"""),"[Nhãn] GC - IV - 4436 - AGRITECH - NUTI FLOWER (Gel nâu đen) - 500ml - 40")</f>
        <v>[Nhãn] GC - IV - 4436 - AGRITECH - NUTI FLOWER (Gel nâu đen) - 500ml - 40</v>
      </c>
      <c r="E5284" s="87" t="str">
        <f>IFERROR(__xludf.DUMMYFUNCTION("""COMPUTED_VALUE"""),"Vi lượng AGAMA-SUPPORT")</f>
        <v>Vi lượng AGAMA-SUPPORT</v>
      </c>
      <c r="F5284" s="87" t="str">
        <f>IFERROR(__xludf.DUMMYFUNCTION("""COMPUTED_VALUE"""),"HH4436")</f>
        <v>HH4436</v>
      </c>
      <c r="G5284" s="87" t="str">
        <f>IFERROR(__xludf.DUMMYFUNCTION("""COMPUTED_VALUE"""),"GC - IV - 4436 - AGRITECH - NUTI FLOWER (Gel nâu đen) - 500ml - 40")</f>
        <v>GC - IV - 4436 - AGRITECH - NUTI FLOWER (Gel nâu đen) - 500ml - 40</v>
      </c>
    </row>
    <row r="5285">
      <c r="A5285" s="86">
        <f>IFERROR(__xludf.DUMMYFUNCTION("""COMPUTED_VALUE"""),5283.0)</f>
        <v>5283</v>
      </c>
      <c r="B5285" s="87" t="str">
        <f>IFERROR(__xludf.DUMMYFUNCTION("""COMPUTED_VALUE"""),"[Nhãn]")</f>
        <v>[Nhãn]</v>
      </c>
      <c r="C5285" s="87" t="str">
        <f>IFERROR(__xludf.DUMMYFUNCTION("""COMPUTED_VALUE"""),"NHG4444")</f>
        <v>NHG4444</v>
      </c>
      <c r="D5285" s="87" t="str">
        <f>IFERROR(__xludf.DUMMYFUNCTION("""COMPUTED_VALUE"""),"[Nhãn] GC - II - 4444 - ĐINH THẮNG ĐỒNG - HAIHAMEC 3.6EC (Nước nâu đen) - 450ml - 40")</f>
        <v>[Nhãn] GC - II - 4444 - ĐINH THẮNG ĐỒNG - HAIHAMEC 3.6EC (Nước nâu đen) - 450ml - 40</v>
      </c>
      <c r="E5285" s="87" t="str">
        <f>IFERROR(__xludf.DUMMYFUNCTION("""COMPUTED_VALUE"""),"HAIHAMEC 3.6EC")</f>
        <v>HAIHAMEC 3.6EC</v>
      </c>
      <c r="F5285" s="87" t="str">
        <f>IFERROR(__xludf.DUMMYFUNCTION("""COMPUTED_VALUE"""),"HH4444")</f>
        <v>HH4444</v>
      </c>
      <c r="G5285" s="87" t="str">
        <f>IFERROR(__xludf.DUMMYFUNCTION("""COMPUTED_VALUE"""),"GC - II - 4444 - ĐINH THẮNG ĐỒNG - HAIHAMEC 3.6EC (Nước nâu đen) - 450ml - 40")</f>
        <v>GC - II - 4444 - ĐINH THẮNG ĐỒNG - HAIHAMEC 3.6EC (Nước nâu đen) - 450ml - 40</v>
      </c>
    </row>
    <row r="5286">
      <c r="A5286" s="86">
        <f>IFERROR(__xludf.DUMMYFUNCTION("""COMPUTED_VALUE"""),5284.0)</f>
        <v>5284</v>
      </c>
      <c r="B5286" s="87" t="str">
        <f>IFERROR(__xludf.DUMMYFUNCTION("""COMPUTED_VALUE"""),"[Nhãn]")</f>
        <v>[Nhãn]</v>
      </c>
      <c r="C5286" s="87" t="str">
        <f>IFERROR(__xludf.DUMMYFUNCTION("""COMPUTED_VALUE"""),"NHG4446")</f>
        <v>NHG4446</v>
      </c>
      <c r="D5286" s="87" t="str">
        <f>IFERROR(__xludf.DUMMYFUNCTION("""COMPUTED_VALUE"""),"[Nhãn] GC - IV - 4446 - CTY NAUY - ZN++ GOLD (Nước xanh lá sữa) - 250ml - 40")</f>
        <v>[Nhãn] GC - IV - 4446 - CTY NAUY - ZN++ GOLD (Nước xanh lá sữa) - 250ml - 40</v>
      </c>
      <c r="E5286" s="87" t="str">
        <f>IFERROR(__xludf.DUMMYFUNCTION("""COMPUTED_VALUE"""),"Vi lượng MICKEY")</f>
        <v>Vi lượng MICKEY</v>
      </c>
      <c r="F5286" s="87" t="str">
        <f>IFERROR(__xludf.DUMMYFUNCTION("""COMPUTED_VALUE"""),"HH4446")</f>
        <v>HH4446</v>
      </c>
      <c r="G5286" s="87" t="str">
        <f>IFERROR(__xludf.DUMMYFUNCTION("""COMPUTED_VALUE"""),"GC - IV - 4446 - CTY NAUY - ZN++ GOLD (Nước xanh lá sữa) - 250ml - 40")</f>
        <v>GC - IV - 4446 - CTY NAUY - ZN++ GOLD (Nước xanh lá sữa) - 250ml - 40</v>
      </c>
    </row>
    <row r="5287">
      <c r="A5287" s="86">
        <f>IFERROR(__xludf.DUMMYFUNCTION("""COMPUTED_VALUE"""),5285.0)</f>
        <v>5285</v>
      </c>
      <c r="B5287" s="87" t="str">
        <f>IFERROR(__xludf.DUMMYFUNCTION("""COMPUTED_VALUE"""),"[Nhãn]")</f>
        <v>[Nhãn]</v>
      </c>
      <c r="C5287" s="87" t="str">
        <f>IFERROR(__xludf.DUMMYFUNCTION("""COMPUTED_VALUE"""),"NHG4451")</f>
        <v>NHG4451</v>
      </c>
      <c r="D5287" s="87" t="str">
        <f>IFERROR(__xludf.DUMMYFUNCTION("""COMPUTED_VALUE"""),"[Nhãn] GC - IV - 4451 - CSSX An Khang (A.Dinh) - T-AK 02 (Gel nâu đen) - 500ml - 40")</f>
        <v>[Nhãn] GC - IV - 4451 - CSSX An Khang (A.Dinh) - T-AK 02 (Gel nâu đen) - 500ml - 40</v>
      </c>
      <c r="E5287" s="87" t="str">
        <f>IFERROR(__xludf.DUMMYFUNCTION("""COMPUTED_VALUE"""),"Vi lượng Run Fast")</f>
        <v>Vi lượng Run Fast</v>
      </c>
      <c r="F5287" s="87" t="str">
        <f>IFERROR(__xludf.DUMMYFUNCTION("""COMPUTED_VALUE"""),"HH4451")</f>
        <v>HH4451</v>
      </c>
      <c r="G5287" s="87" t="str">
        <f>IFERROR(__xludf.DUMMYFUNCTION("""COMPUTED_VALUE"""),"GC - IV - 4451 - CSSX An Khang (A.Dinh) - T-AK 02 (Gel nâu đen) - 500ml - 40")</f>
        <v>GC - IV - 4451 - CSSX An Khang (A.Dinh) - T-AK 02 (Gel nâu đen) - 500ml - 40</v>
      </c>
    </row>
    <row r="5288">
      <c r="A5288" s="86">
        <f>IFERROR(__xludf.DUMMYFUNCTION("""COMPUTED_VALUE"""),5286.0)</f>
        <v>5286</v>
      </c>
      <c r="B5288" s="87" t="str">
        <f>IFERROR(__xludf.DUMMYFUNCTION("""COMPUTED_VALUE"""),"[Nhãn]")</f>
        <v>[Nhãn]</v>
      </c>
      <c r="C5288" s="87" t="str">
        <f>IFERROR(__xludf.DUMMYFUNCTION("""COMPUTED_VALUE"""),"NHG4452")</f>
        <v>NHG4452</v>
      </c>
      <c r="D5288" s="87" t="str">
        <f>IFERROR(__xludf.DUMMYFUNCTION("""COMPUTED_VALUE"""),"[Nhãn] GC - IV - 4452 - Cty Newtex - 3.6 DUC (Nước nâu đen) - 450ml - 40")</f>
        <v>[Nhãn] GC - IV - 4452 - Cty Newtex - 3.6 DUC (Nước nâu đen) - 450ml - 40</v>
      </c>
      <c r="E5288" s="87" t="str">
        <f>IFERROR(__xludf.DUMMYFUNCTION("""COMPUTED_VALUE"""),"HAIHAMEC 3.6EC")</f>
        <v>HAIHAMEC 3.6EC</v>
      </c>
      <c r="F5288" s="87" t="str">
        <f>IFERROR(__xludf.DUMMYFUNCTION("""COMPUTED_VALUE"""),"HH4452")</f>
        <v>HH4452</v>
      </c>
      <c r="G5288" s="87" t="str">
        <f>IFERROR(__xludf.DUMMYFUNCTION("""COMPUTED_VALUE"""),"GC - IV - 4452 - Cty Newtex - 3.6 DUC (Nước nâu đen) - 450ml - 40")</f>
        <v>GC - IV - 4452 - Cty Newtex - 3.6 DUC (Nước nâu đen) - 450ml - 40</v>
      </c>
    </row>
    <row r="5289">
      <c r="A5289" s="86">
        <f>IFERROR(__xludf.DUMMYFUNCTION("""COMPUTED_VALUE"""),5287.0)</f>
        <v>5287</v>
      </c>
      <c r="B5289" s="87" t="str">
        <f>IFERROR(__xludf.DUMMYFUNCTION("""COMPUTED_VALUE"""),"[Nhãn]")</f>
        <v>[Nhãn]</v>
      </c>
      <c r="C5289" s="87" t="str">
        <f>IFERROR(__xludf.DUMMYFUNCTION("""COMPUTED_VALUE"""),"NHG4449")</f>
        <v>NHG4449</v>
      </c>
      <c r="D5289" s="87" t="str">
        <f>IFERROR(__xludf.DUMMYFUNCTION("""COMPUTED_VALUE"""),"[Nhãn]  GC - IV - 4449 - CTY CAPY GLOBAL - POWER X20 (Nước vàng) - 90ml - 50")</f>
        <v>[Nhãn]  GC - IV - 4449 - CTY CAPY GLOBAL - POWER X20 (Nước vàng) - 90ml - 50</v>
      </c>
      <c r="E5289" s="87" t="str">
        <f>IFERROR(__xludf.DUMMYFUNCTION("""COMPUTED_VALUE"""),"Vi lượng Quantity New")</f>
        <v>Vi lượng Quantity New</v>
      </c>
      <c r="F5289" s="87" t="str">
        <f>IFERROR(__xludf.DUMMYFUNCTION("""COMPUTED_VALUE"""),"HH4449")</f>
        <v>HH4449</v>
      </c>
      <c r="G5289" s="87" t="str">
        <f>IFERROR(__xludf.DUMMYFUNCTION("""COMPUTED_VALUE"""),"GC - IV - 4449 - CTY CAPY GLOBAL - POWER X20 (Nước vàng) - 90ml - 50")</f>
        <v>GC - IV - 4449 - CTY CAPY GLOBAL - POWER X20 (Nước vàng) - 90ml - 50</v>
      </c>
    </row>
    <row r="5290">
      <c r="A5290" s="86">
        <f>IFERROR(__xludf.DUMMYFUNCTION("""COMPUTED_VALUE"""),5288.0)</f>
        <v>5288</v>
      </c>
      <c r="B5290" s="87" t="str">
        <f>IFERROR(__xludf.DUMMYFUNCTION("""COMPUTED_VALUE"""),"[Nhãn]")</f>
        <v>[Nhãn]</v>
      </c>
      <c r="C5290" s="87" t="str">
        <f>IFERROR(__xludf.DUMMYFUNCTION("""COMPUTED_VALUE"""),"NHG4448")</f>
        <v>NHG4448</v>
      </c>
      <c r="D5290" s="87" t="str">
        <f>IFERROR(__xludf.DUMMYFUNCTION("""COMPUTED_VALUE"""),"[Nhãn] GC - IV - 4448 - Cty Newtex - VÔ GẠO T9 (Dạng SC - Xanh lá) - 500ml - 40")</f>
        <v>[Nhãn] GC - IV - 4448 - Cty Newtex - VÔ GẠO T9 (Dạng SC - Xanh lá) - 500ml - 40</v>
      </c>
      <c r="E5290" s="87" t="str">
        <f>IFERROR(__xludf.DUMMYFUNCTION("""COMPUTED_VALUE"""),"Hỗn hợp NPK GNC 101")</f>
        <v>Hỗn hợp NPK GNC 101</v>
      </c>
      <c r="F5290" s="87" t="str">
        <f>IFERROR(__xludf.DUMMYFUNCTION("""COMPUTED_VALUE"""),"HH4448")</f>
        <v>HH4448</v>
      </c>
      <c r="G5290" s="87" t="str">
        <f>IFERROR(__xludf.DUMMYFUNCTION("""COMPUTED_VALUE"""),"GC - IV - 4448 - Cty Newtex - VÔ GẠO T9 (Dạng SC - Xanh lá) - 500ml - 40")</f>
        <v>GC - IV - 4448 - Cty Newtex - VÔ GẠO T9 (Dạng SC - Xanh lá) - 500ml - 40</v>
      </c>
    </row>
    <row r="5291">
      <c r="A5291" s="86">
        <f>IFERROR(__xludf.DUMMYFUNCTION("""COMPUTED_VALUE"""),5289.0)</f>
        <v>5289</v>
      </c>
      <c r="B5291" s="87" t="str">
        <f>IFERROR(__xludf.DUMMYFUNCTION("""COMPUTED_VALUE"""),"[Nhãn]")</f>
        <v>[Nhãn]</v>
      </c>
      <c r="C5291" s="87" t="str">
        <f>IFERROR(__xludf.DUMMYFUNCTION("""COMPUTED_VALUE"""),"NHG4453")</f>
        <v>NHG4453</v>
      </c>
      <c r="D5291" s="87" t="str">
        <f>IFERROR(__xludf.DUMMYFUNCTION("""COMPUTED_VALUE"""),"[Nhãn] GC - IV - 4453 - CTY NGỌC BẢO LONG AGRI - SIÊU RA RỄ (Nước nâu đen) - 500ml - 30")</f>
        <v>[Nhãn] GC - IV - 4453 - CTY NGỌC BẢO LONG AGRI - SIÊU RA RỄ (Nước nâu đen) - 500ml - 30</v>
      </c>
      <c r="E5291" s="87" t="str">
        <f>IFERROR(__xludf.DUMMYFUNCTION("""COMPUTED_VALUE"""),"Vi lượng Quantity New")</f>
        <v>Vi lượng Quantity New</v>
      </c>
      <c r="F5291" s="87" t="str">
        <f>IFERROR(__xludf.DUMMYFUNCTION("""COMPUTED_VALUE"""),"HH4453")</f>
        <v>HH4453</v>
      </c>
      <c r="G5291" s="87" t="str">
        <f>IFERROR(__xludf.DUMMYFUNCTION("""COMPUTED_VALUE"""),"GC - IV - 4453 - CTY NGỌC BẢO LONG AGRI - SIÊU RA RỄ (Nước nâu đen) - 500ml - 30")</f>
        <v>GC - IV - 4453 - CTY NGỌC BẢO LONG AGRI - SIÊU RA RỄ (Nước nâu đen) - 500ml - 30</v>
      </c>
    </row>
    <row r="5292">
      <c r="A5292" s="86">
        <f>IFERROR(__xludf.DUMMYFUNCTION("""COMPUTED_VALUE"""),5290.0)</f>
        <v>5290</v>
      </c>
      <c r="B5292" s="87" t="str">
        <f>IFERROR(__xludf.DUMMYFUNCTION("""COMPUTED_VALUE"""),"[Nhãn]")</f>
        <v>[Nhãn]</v>
      </c>
      <c r="C5292" s="87" t="str">
        <f>IFERROR(__xludf.DUMMYFUNCTION("""COMPUTED_VALUE"""),"NHG4394")</f>
        <v>NHG4394</v>
      </c>
      <c r="D5292" s="87" t="str">
        <f>IFERROR(__xludf.DUMMYFUNCTION("""COMPUTED_VALUE"""),"[Nhãn] IDA Global - I - 4394 - HEXACONAZOLE (LÚA) (Nước vàng) - 1L - 20")</f>
        <v>[Nhãn] IDA Global - I - 4394 - HEXACONAZOLE (LÚA) (Nước vàng) - 1L - 20</v>
      </c>
      <c r="E5292" s="87" t="str">
        <f>IFERROR(__xludf.DUMMYFUNCTION("""COMPUTED_VALUE"""),"JAPA VIL 110SC")</f>
        <v>JAPA VIL 110SC</v>
      </c>
      <c r="F5292" s="87" t="str">
        <f>IFERROR(__xludf.DUMMYFUNCTION("""COMPUTED_VALUE"""),"HH4394")</f>
        <v>HH4394</v>
      </c>
      <c r="G5292" s="87" t="str">
        <f>IFERROR(__xludf.DUMMYFUNCTION("""COMPUTED_VALUE"""),"IDA Global - I - 4394 - HEXACONAZOLE (LÚA) (Nước vàng) - 1L - 20")</f>
        <v>IDA Global - I - 4394 - HEXACONAZOLE (LÚA) (Nước vàng) - 1L - 20</v>
      </c>
    </row>
    <row r="5293">
      <c r="A5293" s="86">
        <f>IFERROR(__xludf.DUMMYFUNCTION("""COMPUTED_VALUE"""),5291.0)</f>
        <v>5291</v>
      </c>
      <c r="B5293" s="87" t="str">
        <f>IFERROR(__xludf.DUMMYFUNCTION("""COMPUTED_VALUE"""),"[Nhãn]")</f>
        <v>[Nhãn]</v>
      </c>
      <c r="C5293" s="87" t="str">
        <f>IFERROR(__xludf.DUMMYFUNCTION("""COMPUTED_VALUE"""),"NHG4395")</f>
        <v>NHG4395</v>
      </c>
      <c r="D5293" s="87" t="str">
        <f>IFERROR(__xludf.DUMMYFUNCTION("""COMPUTED_VALUE"""),"[Nhãn] IDA Global - I - 4395 - HEXACONAZOLE (CÂY ĂN TRÁI) (Nước vàng) - 1L - 20")</f>
        <v>[Nhãn] IDA Global - I - 4395 - HEXACONAZOLE (CÂY ĂN TRÁI) (Nước vàng) - 1L - 20</v>
      </c>
      <c r="E5293" s="87" t="str">
        <f>IFERROR(__xludf.DUMMYFUNCTION("""COMPUTED_VALUE"""),"JAPA VIL 110SC")</f>
        <v>JAPA VIL 110SC</v>
      </c>
      <c r="F5293" s="87" t="str">
        <f>IFERROR(__xludf.DUMMYFUNCTION("""COMPUTED_VALUE"""),"HH4395")</f>
        <v>HH4395</v>
      </c>
      <c r="G5293" s="87" t="str">
        <f>IFERROR(__xludf.DUMMYFUNCTION("""COMPUTED_VALUE"""),"IDA Global - I - 4395 - HEXACONAZOLE (CÂY ĂN TRÁI) (Nước vàng) - 1L - 20")</f>
        <v>IDA Global - I - 4395 - HEXACONAZOLE (CÂY ĂN TRÁI) (Nước vàng) - 1L - 20</v>
      </c>
    </row>
    <row r="5294">
      <c r="A5294" s="86">
        <f>IFERROR(__xludf.DUMMYFUNCTION("""COMPUTED_VALUE"""),5292.0)</f>
        <v>5292</v>
      </c>
      <c r="B5294" s="87" t="str">
        <f>IFERROR(__xludf.DUMMYFUNCTION("""COMPUTED_VALUE"""),"[Nhãn]")</f>
        <v>[Nhãn]</v>
      </c>
      <c r="C5294" s="87" t="str">
        <f>IFERROR(__xludf.DUMMYFUNCTION("""COMPUTED_VALUE"""),"NTN4454")</f>
        <v>NTN4454</v>
      </c>
      <c r="D5294" s="87" t="str">
        <f>IFERROR(__xludf.DUMMYFUNCTION("""COMPUTED_VALUE"""),"[Nhãn] BAMBOO - VI - 4454 - BAMBOO XRAY (Bột trắng ngà) - 100gr - 100")</f>
        <v>[Nhãn] BAMBOO - VI - 4454 - BAMBOO XRAY (Bột trắng ngà) - 100gr - 100</v>
      </c>
      <c r="E5294" s="87" t="str">
        <f>IFERROR(__xludf.DUMMYFUNCTION("""COMPUTED_VALUE"""),"KHONGRAY 54WP")</f>
        <v>KHONGRAY 54WP</v>
      </c>
      <c r="F5294" s="87" t="str">
        <f>IFERROR(__xludf.DUMMYFUNCTION("""COMPUTED_VALUE"""),"HH4454")</f>
        <v>HH4454</v>
      </c>
      <c r="G5294" s="87" t="str">
        <f>IFERROR(__xludf.DUMMYFUNCTION("""COMPUTED_VALUE"""),"BAMBOO - VI - 4454 - BAMBOO XRAY (Bột trắng ngà) - 100gr - 100")</f>
        <v>BAMBOO - VI - 4454 - BAMBOO XRAY (Bột trắng ngà) - 100gr - 100</v>
      </c>
    </row>
    <row r="5295">
      <c r="A5295" s="86">
        <f>IFERROR(__xludf.DUMMYFUNCTION("""COMPUTED_VALUE"""),5293.0)</f>
        <v>5293</v>
      </c>
      <c r="B5295" s="87" t="str">
        <f>IFERROR(__xludf.DUMMYFUNCTION("""COMPUTED_VALUE"""),"[Nhãn Thùng]")</f>
        <v>[Nhãn Thùng]</v>
      </c>
      <c r="C5295" s="87" t="str">
        <f>IFERROR(__xludf.DUMMYFUNCTION("""COMPUTED_VALUE"""),"NDT4454")</f>
        <v>NDT4454</v>
      </c>
      <c r="D5295" s="87" t="str">
        <f>IFERROR(__xludf.DUMMYFUNCTION("""COMPUTED_VALUE"""),"[Nhãn Thùng] BAMBOO - VI - 4454 - BAMBOO XRAY (Bột trắng ngà) - 100gr - 100")</f>
        <v>[Nhãn Thùng] BAMBOO - VI - 4454 - BAMBOO XRAY (Bột trắng ngà) - 100gr - 100</v>
      </c>
      <c r="E5295" s="87" t="str">
        <f>IFERROR(__xludf.DUMMYFUNCTION("""COMPUTED_VALUE"""),"KHONGRAY 54WP")</f>
        <v>KHONGRAY 54WP</v>
      </c>
      <c r="F5295" s="87" t="str">
        <f>IFERROR(__xludf.DUMMYFUNCTION("""COMPUTED_VALUE"""),"HH4454")</f>
        <v>HH4454</v>
      </c>
      <c r="G5295" s="87" t="str">
        <f>IFERROR(__xludf.DUMMYFUNCTION("""COMPUTED_VALUE"""),"BAMBOO - VI - 4454 - BAMBOO XRAY (Bột trắng ngà) - 100gr - 100")</f>
        <v>BAMBOO - VI - 4454 - BAMBOO XRAY (Bột trắng ngà) - 100gr - 100</v>
      </c>
    </row>
    <row r="5296">
      <c r="A5296" s="86">
        <f>IFERROR(__xludf.DUMMYFUNCTION("""COMPUTED_VALUE"""),5294.0)</f>
        <v>5294</v>
      </c>
      <c r="B5296" s="87" t="str">
        <f>IFERROR(__xludf.DUMMYFUNCTION("""COMPUTED_VALUE"""),"[Nhãn]")</f>
        <v>[Nhãn]</v>
      </c>
      <c r="C5296" s="87" t="str">
        <f>IFERROR(__xludf.DUMMYFUNCTION("""COMPUTED_VALUE"""),"NHG4455")</f>
        <v>NHG4455</v>
      </c>
      <c r="D5296" s="87" t="str">
        <f>IFERROR(__xludf.DUMMYFUNCTION("""COMPUTED_VALUE"""),"[Nhãn] IDA Global - I - 4455 - CỨNG CÂY 304 (Nước nâu đen) - 500ml - 40")</f>
        <v>[Nhãn] IDA Global - I - 4455 - CỨNG CÂY 304 (Nước nâu đen) - 500ml - 40</v>
      </c>
      <c r="E5296" s="87" t="str">
        <f>IFERROR(__xludf.DUMMYFUNCTION("""COMPUTED_VALUE"""),"Hữu cơ SH Agro Organic Fertilizer 20")</f>
        <v>Hữu cơ SH Agro Organic Fertilizer 20</v>
      </c>
      <c r="F5296" s="87" t="str">
        <f>IFERROR(__xludf.DUMMYFUNCTION("""COMPUTED_VALUE"""),"HH4455")</f>
        <v>HH4455</v>
      </c>
      <c r="G5296" s="87" t="str">
        <f>IFERROR(__xludf.DUMMYFUNCTION("""COMPUTED_VALUE"""),"IDA Global - I - 4455 - CỨNG CÂY 304 (Nước nâu đen) - 500ml - 40")</f>
        <v>IDA Global - I - 4455 - CỨNG CÂY 304 (Nước nâu đen) - 500ml - 40</v>
      </c>
    </row>
    <row r="5297">
      <c r="A5297" s="86">
        <f>IFERROR(__xludf.DUMMYFUNCTION("""COMPUTED_VALUE"""),5295.0)</f>
        <v>5295</v>
      </c>
      <c r="B5297" s="87" t="str">
        <f>IFERROR(__xludf.DUMMYFUNCTION("""COMPUTED_VALUE"""),"[Nhãn]")</f>
        <v>[Nhãn]</v>
      </c>
      <c r="C5297" s="87" t="str">
        <f>IFERROR(__xludf.DUMMYFUNCTION("""COMPUTED_VALUE"""),"NTN4447")</f>
        <v>NTN4447</v>
      </c>
      <c r="D5297" s="87" t="str">
        <f>IFERROR(__xludf.DUMMYFUNCTION("""COMPUTED_VALUE"""),"[Nhãn] GC - IV - 4447 - CTY ACE VN - SIÊU LÚA 1-2 (Nước nâu đen) - 50ml - 200")</f>
        <v>[Nhãn] GC - IV - 4447 - CTY ACE VN - SIÊU LÚA 1-2 (Nước nâu đen) - 50ml - 200</v>
      </c>
      <c r="E5297" s="87" t="str">
        <f>IFERROR(__xludf.DUMMYFUNCTION("""COMPUTED_VALUE"""),"Hỗn Hợp NP AGAMA-AP")</f>
        <v>Hỗn Hợp NP AGAMA-AP</v>
      </c>
      <c r="F5297" s="87" t="str">
        <f>IFERROR(__xludf.DUMMYFUNCTION("""COMPUTED_VALUE"""),"HH4447")</f>
        <v>HH4447</v>
      </c>
      <c r="G5297" s="87" t="str">
        <f>IFERROR(__xludf.DUMMYFUNCTION("""COMPUTED_VALUE"""),"GC - IV - 4447 - CTY ACE VN - SIÊU LÚA 1-2 (Nước nâu đen) - 50ml - 200")</f>
        <v>GC - IV - 4447 - CTY ACE VN - SIÊU LÚA 1-2 (Nước nâu đen) - 50ml - 200</v>
      </c>
    </row>
    <row r="5298">
      <c r="A5298" s="86">
        <f>IFERROR(__xludf.DUMMYFUNCTION("""COMPUTED_VALUE"""),5296.0)</f>
        <v>5296</v>
      </c>
      <c r="B5298" s="87" t="str">
        <f>IFERROR(__xludf.DUMMYFUNCTION("""COMPUTED_VALUE"""),"[Nhãn Thùng]")</f>
        <v>[Nhãn Thùng]</v>
      </c>
      <c r="C5298" s="87" t="str">
        <f>IFERROR(__xludf.DUMMYFUNCTION("""COMPUTED_VALUE"""),"NDT4447")</f>
        <v>NDT4447</v>
      </c>
      <c r="D5298" s="87" t="str">
        <f>IFERROR(__xludf.DUMMYFUNCTION("""COMPUTED_VALUE"""),"[Nhãn Thùng] GC - IV - 4447 - CTY ACE VN - SIÊU LÚA 1-2 (Nước nâu đen) - 50ml - 200")</f>
        <v>[Nhãn Thùng] GC - IV - 4447 - CTY ACE VN - SIÊU LÚA 1-2 (Nước nâu đen) - 50ml - 200</v>
      </c>
      <c r="E5298" s="87" t="str">
        <f>IFERROR(__xludf.DUMMYFUNCTION("""COMPUTED_VALUE"""),"Hỗn Hợp NP AGAMA-AP")</f>
        <v>Hỗn Hợp NP AGAMA-AP</v>
      </c>
      <c r="F5298" s="87" t="str">
        <f>IFERROR(__xludf.DUMMYFUNCTION("""COMPUTED_VALUE"""),"HH4447")</f>
        <v>HH4447</v>
      </c>
      <c r="G5298" s="87" t="str">
        <f>IFERROR(__xludf.DUMMYFUNCTION("""COMPUTED_VALUE"""),"GC - IV - 4447 - CTY ACE VN - SIÊU LÚA 1-2 (Nước nâu đen) - 50ml - 200")</f>
        <v>GC - IV - 4447 - CTY ACE VN - SIÊU LÚA 1-2 (Nước nâu đen) - 50ml - 200</v>
      </c>
    </row>
    <row r="5299">
      <c r="A5299" s="86">
        <f>IFERROR(__xludf.DUMMYFUNCTION("""COMPUTED_VALUE"""),5297.0)</f>
        <v>5297</v>
      </c>
      <c r="B5299" s="87" t="str">
        <f>IFERROR(__xludf.DUMMYFUNCTION("""COMPUTED_VALUE"""),"[Nhãn]")</f>
        <v>[Nhãn]</v>
      </c>
      <c r="C5299" s="87" t="str">
        <f>IFERROR(__xludf.DUMMYFUNCTION("""COMPUTED_VALUE"""),"NHG4462")</f>
        <v>NHG4462</v>
      </c>
      <c r="D5299" s="87" t="str">
        <f>IFERROR(__xludf.DUMMYFUNCTION("""COMPUTED_VALUE"""),"[Nhãn] GC - IV - 4462 - Agritech (Anh Trương) - MI STOP 350SC (Nước vàng chanh) - 240ml - 40")</f>
        <v>[Nhãn] GC - IV - 4462 - Agritech (Anh Trương) - MI STOP 350SC (Nước vàng chanh) - 240ml - 40</v>
      </c>
      <c r="E5299" s="87" t="str">
        <f>IFERROR(__xludf.DUMMYFUNCTION("""COMPUTED_VALUE"""),"MI STOP 350SC")</f>
        <v>MI STOP 350SC</v>
      </c>
      <c r="F5299" s="87" t="str">
        <f>IFERROR(__xludf.DUMMYFUNCTION("""COMPUTED_VALUE"""),"HH4462")</f>
        <v>HH4462</v>
      </c>
      <c r="G5299" s="87" t="str">
        <f>IFERROR(__xludf.DUMMYFUNCTION("""COMPUTED_VALUE"""),"GC - IV - 4462 - Agritech (Anh Trương) - MI STOP 350SC (Nước vàng chanh) - 240ml - 40")</f>
        <v>GC - IV - 4462 - Agritech (Anh Trương) - MI STOP 350SC (Nước vàng chanh) - 240ml - 40</v>
      </c>
    </row>
    <row r="5300">
      <c r="A5300" s="86">
        <f>IFERROR(__xludf.DUMMYFUNCTION("""COMPUTED_VALUE"""),5298.0)</f>
        <v>5298</v>
      </c>
      <c r="B5300" s="87" t="str">
        <f>IFERROR(__xludf.DUMMYFUNCTION("""COMPUTED_VALUE"""),"[Nhãn]")</f>
        <v>[Nhãn]</v>
      </c>
      <c r="C5300" s="87" t="str">
        <f>IFERROR(__xludf.DUMMYFUNCTION("""COMPUTED_VALUE"""),"NHG4263")</f>
        <v>NHG4263</v>
      </c>
      <c r="D5300" s="87" t="str">
        <f>IFERROR(__xludf.DUMMYFUNCTION("""COMPUTED_VALUE"""),"[Nhãn] IDA Global - I - 4263 - THIPRO 550EC (Nước vàng trà) - 250ml - 40")</f>
        <v>[Nhãn] IDA Global - I - 4263 - THIPRO 550EC (Nước vàng trà) - 250ml - 40</v>
      </c>
      <c r="E5300" s="87" t="str">
        <f>IFERROR(__xludf.DUMMYFUNCTION("""COMPUTED_VALUE"""),"Thipro 550EC")</f>
        <v>Thipro 550EC</v>
      </c>
      <c r="F5300" s="87" t="str">
        <f>IFERROR(__xludf.DUMMYFUNCTION("""COMPUTED_VALUE"""),"HH4263")</f>
        <v>HH4263</v>
      </c>
      <c r="G5300" s="87" t="str">
        <f>IFERROR(__xludf.DUMMYFUNCTION("""COMPUTED_VALUE"""),"IDA Global - I - 4263 - THIPRO 550EC (Nước vàng trà) - 250ml - 40")</f>
        <v>IDA Global - I - 4263 - THIPRO 550EC (Nước vàng trà) - 250ml - 40</v>
      </c>
    </row>
    <row r="5301">
      <c r="A5301" s="86">
        <f>IFERROR(__xludf.DUMMYFUNCTION("""COMPUTED_VALUE"""),5299.0)</f>
        <v>5299</v>
      </c>
      <c r="B5301" s="87" t="str">
        <f>IFERROR(__xludf.DUMMYFUNCTION("""COMPUTED_VALUE"""),"[Nhãn]")</f>
        <v>[Nhãn]</v>
      </c>
      <c r="C5301" s="87" t="str">
        <f>IFERROR(__xludf.DUMMYFUNCTION("""COMPUTED_VALUE"""),"NHD4358")</f>
        <v>NHD4358</v>
      </c>
      <c r="D5301" s="87" t="str">
        <f>IFERROR(__xludf.DUMMYFUNCTION("""COMPUTED_VALUE"""),"[Nhãn] GC - IV - 4358 - CTY VISANTO - VISANTO MONICA 460 PLUS (Nước gạch cam) - 300ml - 40")</f>
        <v>[Nhãn] GC - IV - 4358 - CTY VISANTO - VISANTO MONICA 460 PLUS (Nước gạch cam) - 300ml - 40</v>
      </c>
      <c r="E5301" s="87" t="str">
        <f>IFERROR(__xludf.DUMMYFUNCTION("""COMPUTED_VALUE"""),"KING-CIDE JAPAN 460SC")</f>
        <v>KING-CIDE JAPAN 460SC</v>
      </c>
      <c r="F5301" s="87" t="str">
        <f>IFERROR(__xludf.DUMMYFUNCTION("""COMPUTED_VALUE"""),"HH4358")</f>
        <v>HH4358</v>
      </c>
      <c r="G5301" s="87" t="str">
        <f>IFERROR(__xludf.DUMMYFUNCTION("""COMPUTED_VALUE"""),"GC - IV - 4358 - CTY VISANTO - VISANTO MONICA 460 PLUS (Nước gạch cam) - 300ml - 40")</f>
        <v>GC - IV - 4358 - CTY VISANTO - VISANTO MONICA 460 PLUS (Nước gạch cam) - 300ml - 40</v>
      </c>
    </row>
    <row r="5302">
      <c r="A5302" s="86">
        <f>IFERROR(__xludf.DUMMYFUNCTION("""COMPUTED_VALUE"""),5300.0)</f>
        <v>5300</v>
      </c>
      <c r="B5302" s="87" t="str">
        <f>IFERROR(__xludf.DUMMYFUNCTION("""COMPUTED_VALUE"""),"[Nhãn Thùng]")</f>
        <v>[Nhãn Thùng]</v>
      </c>
      <c r="C5302" s="87" t="str">
        <f>IFERROR(__xludf.DUMMYFUNCTION("""COMPUTED_VALUE"""),"NDT4358")</f>
        <v>NDT4358</v>
      </c>
      <c r="D5302" s="87" t="str">
        <f>IFERROR(__xludf.DUMMYFUNCTION("""COMPUTED_VALUE"""),"[Nhãn Thùng] GC - IV - 4358 - CTY VISANTO - VISANTO MONICA 460 PLUS (Nước gạch cam) - 300ml - 40")</f>
        <v>[Nhãn Thùng] GC - IV - 4358 - CTY VISANTO - VISANTO MONICA 460 PLUS (Nước gạch cam) - 300ml - 40</v>
      </c>
      <c r="E5302" s="87" t="str">
        <f>IFERROR(__xludf.DUMMYFUNCTION("""COMPUTED_VALUE"""),"KING-CIDE JAPAN 460SC")</f>
        <v>KING-CIDE JAPAN 460SC</v>
      </c>
      <c r="F5302" s="87" t="str">
        <f>IFERROR(__xludf.DUMMYFUNCTION("""COMPUTED_VALUE"""),"HH4358")</f>
        <v>HH4358</v>
      </c>
      <c r="G5302" s="87" t="str">
        <f>IFERROR(__xludf.DUMMYFUNCTION("""COMPUTED_VALUE"""),"GC - IV - 4358 - CTY VISANTO - VISANTO MONICA 460 PLUS (Nước gạch cam) - 300ml - 40")</f>
        <v>GC - IV - 4358 - CTY VISANTO - VISANTO MONICA 460 PLUS (Nước gạch cam) - 300ml - 40</v>
      </c>
    </row>
    <row r="5303">
      <c r="A5303" s="86">
        <f>IFERROR(__xludf.DUMMYFUNCTION("""COMPUTED_VALUE"""),5301.0)</f>
        <v>5301</v>
      </c>
      <c r="B5303" s="87" t="str">
        <f>IFERROR(__xludf.DUMMYFUNCTION("""COMPUTED_VALUE"""),"[Nhãn]")</f>
        <v>[Nhãn]</v>
      </c>
      <c r="C5303" s="87" t="str">
        <f>IFERROR(__xludf.DUMMYFUNCTION("""COMPUTED_VALUE"""),"NHD4359")</f>
        <v>NHD4359</v>
      </c>
      <c r="D5303" s="87" t="str">
        <f>IFERROR(__xludf.DUMMYFUNCTION("""COMPUTED_VALUE"""),"[Nhãn] GC - IV - 4359 - CTY VISANTO - VISANTO MONICA 460 PLUS (Nước gạch cam) - 500ml - 40")</f>
        <v>[Nhãn] GC - IV - 4359 - CTY VISANTO - VISANTO MONICA 460 PLUS (Nước gạch cam) - 500ml - 40</v>
      </c>
      <c r="E5303" s="87" t="str">
        <f>IFERROR(__xludf.DUMMYFUNCTION("""COMPUTED_VALUE"""),"KING-CIDE JAPAN 460SC")</f>
        <v>KING-CIDE JAPAN 460SC</v>
      </c>
      <c r="F5303" s="87" t="str">
        <f>IFERROR(__xludf.DUMMYFUNCTION("""COMPUTED_VALUE"""),"HH4359")</f>
        <v>HH4359</v>
      </c>
      <c r="G5303" s="87" t="str">
        <f>IFERROR(__xludf.DUMMYFUNCTION("""COMPUTED_VALUE"""),"GC - IV - 4359 - CTY VISANTO - VISANTO MONICA 460 PLUS (Nước gạch cam) - 500ml - 40")</f>
        <v>GC - IV - 4359 - CTY VISANTO - VISANTO MONICA 460 PLUS (Nước gạch cam) - 500ml - 40</v>
      </c>
    </row>
    <row r="5304">
      <c r="A5304" s="86">
        <f>IFERROR(__xludf.DUMMYFUNCTION("""COMPUTED_VALUE"""),5302.0)</f>
        <v>5302</v>
      </c>
      <c r="B5304" s="87" t="str">
        <f>IFERROR(__xludf.DUMMYFUNCTION("""COMPUTED_VALUE"""),"[Nhãn Thùng]")</f>
        <v>[Nhãn Thùng]</v>
      </c>
      <c r="C5304" s="87" t="str">
        <f>IFERROR(__xludf.DUMMYFUNCTION("""COMPUTED_VALUE"""),"NDT4359")</f>
        <v>NDT4359</v>
      </c>
      <c r="D5304" s="87" t="str">
        <f>IFERROR(__xludf.DUMMYFUNCTION("""COMPUTED_VALUE"""),"[Nhãn Thùng] GC - IV - 4359 - CTY VISANTO - VISANTO MONICA 460 PLUS (Nước gạch cam) - 500ml - 40")</f>
        <v>[Nhãn Thùng] GC - IV - 4359 - CTY VISANTO - VISANTO MONICA 460 PLUS (Nước gạch cam) - 500ml - 40</v>
      </c>
      <c r="E5304" s="87" t="str">
        <f>IFERROR(__xludf.DUMMYFUNCTION("""COMPUTED_VALUE"""),"KING-CIDE JAPAN 460SC")</f>
        <v>KING-CIDE JAPAN 460SC</v>
      </c>
      <c r="F5304" s="87" t="str">
        <f>IFERROR(__xludf.DUMMYFUNCTION("""COMPUTED_VALUE"""),"HH4359")</f>
        <v>HH4359</v>
      </c>
      <c r="G5304" s="87" t="str">
        <f>IFERROR(__xludf.DUMMYFUNCTION("""COMPUTED_VALUE"""),"GC - IV - 4359 - CTY VISANTO - VISANTO MONICA 460 PLUS (Nước gạch cam) - 500ml - 40")</f>
        <v>GC - IV - 4359 - CTY VISANTO - VISANTO MONICA 460 PLUS (Nước gạch cam) - 500ml - 40</v>
      </c>
    </row>
    <row r="5305">
      <c r="A5305" s="86">
        <f>IFERROR(__xludf.DUMMYFUNCTION("""COMPUTED_VALUE"""),5303.0)</f>
        <v>5303</v>
      </c>
      <c r="B5305" s="87" t="str">
        <f>IFERROR(__xludf.DUMMYFUNCTION("""COMPUTED_VALUE"""),"[Nhãn]")</f>
        <v>[Nhãn]</v>
      </c>
      <c r="C5305" s="87" t="str">
        <f>IFERROR(__xludf.DUMMYFUNCTION("""COMPUTED_VALUE"""),"NHG4135")</f>
        <v>NHG4135</v>
      </c>
      <c r="D5305" s="87" t="str">
        <f>IFERROR(__xludf.DUMMYFUNCTION("""COMPUTED_VALUE"""),"[Nhãn] GC - IV - 4135 - CTY NAUY - LEM LÉP (Nước xanh bơ sữa) - 240ml - 40")</f>
        <v>[Nhãn] GC - IV - 4135 - CTY NAUY - LEM LÉP (Nước xanh bơ sữa) - 240ml - 40</v>
      </c>
      <c r="E5305" s="87"/>
      <c r="F5305" s="87"/>
      <c r="G5305" s="87"/>
    </row>
    <row r="5306">
      <c r="A5306" s="86">
        <f>IFERROR(__xludf.DUMMYFUNCTION("""COMPUTED_VALUE"""),5304.0)</f>
        <v>5304</v>
      </c>
      <c r="B5306" s="87" t="str">
        <f>IFERROR(__xludf.DUMMYFUNCTION("""COMPUTED_VALUE"""),"ABA")</f>
        <v>ABA</v>
      </c>
      <c r="C5306" s="87" t="str">
        <f>IFERROR(__xludf.DUMMYFUNCTION("""COMPUTED_VALUE"""),"1L")</f>
        <v>1L</v>
      </c>
      <c r="D5306" s="87" t="str">
        <f>IFERROR(__xludf.DUMMYFUNCTION("""COMPUTED_VALUE"""),"20")</f>
        <v>20</v>
      </c>
      <c r="E5306" s="87" t="str">
        <f>IFERROR(__xludf.DUMMYFUNCTION("""COMPUTED_VALUE"""),"Nhãn giấy cán bóng")</f>
        <v>Nhãn giấy cán bóng</v>
      </c>
      <c r="F5306" s="87" t="str">
        <f>IFERROR(__xludf.DUMMYFUNCTION("""COMPUTED_VALUE"""),"Cái")</f>
        <v>Cái</v>
      </c>
      <c r="G5306" s="87"/>
    </row>
    <row r="5307">
      <c r="A5307" s="86">
        <f>IFERROR(__xludf.DUMMYFUNCTION("""COMPUTED_VALUE"""),5305.0)</f>
        <v>5305</v>
      </c>
      <c r="B5307" s="87" t="str">
        <f>IFERROR(__xludf.DUMMYFUNCTION("""COMPUTED_VALUE"""),"[Nhãn]")</f>
        <v>[Nhãn]</v>
      </c>
      <c r="C5307" s="87" t="str">
        <f>IFERROR(__xludf.DUMMYFUNCTION("""COMPUTED_VALUE"""),"NHG4457")</f>
        <v>NHG4457</v>
      </c>
      <c r="D5307" s="87" t="str">
        <f>IFERROR(__xludf.DUMMYFUNCTION("""COMPUTED_VALUE"""),"[Nhãn] IDA Global - I - 4457 - NOFARA 350SC (Nước trắng sữa) - 240ml - 40")</f>
        <v>[Nhãn] IDA Global - I - 4457 - NOFARA 350SC (Nước trắng sữa) - 240ml - 40</v>
      </c>
      <c r="E5307" s="87" t="str">
        <f>IFERROR(__xludf.DUMMYFUNCTION("""COMPUTED_VALUE"""),"NOFARA 350SC")</f>
        <v>NOFARA 350SC</v>
      </c>
      <c r="F5307" s="87" t="str">
        <f>IFERROR(__xludf.DUMMYFUNCTION("""COMPUTED_VALUE"""),"HH4457")</f>
        <v>HH4457</v>
      </c>
      <c r="G5307" s="87" t="str">
        <f>IFERROR(__xludf.DUMMYFUNCTION("""COMPUTED_VALUE"""),"IDA Global - I - 4457 - NOFARA 350SC (Nước trắng sữa) - 240ml - 40")</f>
        <v>IDA Global - I - 4457 - NOFARA 350SC (Nước trắng sữa) - 240ml - 40</v>
      </c>
    </row>
    <row r="5308">
      <c r="A5308" s="86">
        <f>IFERROR(__xludf.DUMMYFUNCTION("""COMPUTED_VALUE"""),5306.0)</f>
        <v>5306</v>
      </c>
      <c r="B5308" s="87" t="str">
        <f>IFERROR(__xludf.DUMMYFUNCTION("""COMPUTED_VALUE"""),"[Nhãn]")</f>
        <v>[Nhãn]</v>
      </c>
      <c r="C5308" s="87" t="str">
        <f>IFERROR(__xludf.DUMMYFUNCTION("""COMPUTED_VALUE"""),"NHG4458")</f>
        <v>NHG4458</v>
      </c>
      <c r="D5308" s="87" t="str">
        <f>IFERROR(__xludf.DUMMYFUNCTION("""COMPUTED_VALUE"""),"[Nhãn] IDA Global - I - 4458 - KING-CIDE JAPAN 460SC (Nước gạch cam) - 480ml - 40")</f>
        <v>[Nhãn] IDA Global - I - 4458 - KING-CIDE JAPAN 460SC (Nước gạch cam) - 480ml - 40</v>
      </c>
      <c r="E5308" s="87" t="str">
        <f>IFERROR(__xludf.DUMMYFUNCTION("""COMPUTED_VALUE"""),"KING-CIDE JAPAN 460SC")</f>
        <v>KING-CIDE JAPAN 460SC</v>
      </c>
      <c r="F5308" s="87" t="str">
        <f>IFERROR(__xludf.DUMMYFUNCTION("""COMPUTED_VALUE"""),"HH4458")</f>
        <v>HH4458</v>
      </c>
      <c r="G5308" s="87" t="str">
        <f>IFERROR(__xludf.DUMMYFUNCTION("""COMPUTED_VALUE"""),"IDA Global - I - 4458 - KING-CIDE JAPAN 460SC (Nước gạch cam) - 480ml - 40")</f>
        <v>IDA Global - I - 4458 - KING-CIDE JAPAN 460SC (Nước gạch cam) - 480ml - 40</v>
      </c>
    </row>
    <row r="5309">
      <c r="A5309" s="86">
        <f>IFERROR(__xludf.DUMMYFUNCTION("""COMPUTED_VALUE"""),5307.0)</f>
        <v>5307</v>
      </c>
      <c r="B5309" s="87" t="str">
        <f>IFERROR(__xludf.DUMMYFUNCTION("""COMPUTED_VALUE"""),"[Nhãn]")</f>
        <v>[Nhãn]</v>
      </c>
      <c r="C5309" s="87" t="str">
        <f>IFERROR(__xludf.DUMMYFUNCTION("""COMPUTED_VALUE"""),"NHG4459")</f>
        <v>NHG4459</v>
      </c>
      <c r="D5309" s="87" t="str">
        <f>IFERROR(__xludf.DUMMYFUNCTION("""COMPUTED_VALUE"""),"[Nhãn] IDA Global - I - 4459 - MITOP ONE 390SC (Nước trắng sữa) - 240ml - 40")</f>
        <v>[Nhãn] IDA Global - I - 4459 - MITOP ONE 390SC (Nước trắng sữa) - 240ml - 40</v>
      </c>
      <c r="E5309" s="87" t="str">
        <f>IFERROR(__xludf.DUMMYFUNCTION("""COMPUTED_VALUE"""),"MITOP ONE 390SC")</f>
        <v>MITOP ONE 390SC</v>
      </c>
      <c r="F5309" s="87" t="str">
        <f>IFERROR(__xludf.DUMMYFUNCTION("""COMPUTED_VALUE"""),"HH4459")</f>
        <v>HH4459</v>
      </c>
      <c r="G5309" s="87" t="str">
        <f>IFERROR(__xludf.DUMMYFUNCTION("""COMPUTED_VALUE"""),"IDA Global - I - 4459 - MITOP ONE 390SC (Nước trắng sữa) - 240ml - 40")</f>
        <v>IDA Global - I - 4459 - MITOP ONE 390SC (Nước trắng sữa) - 240ml - 40</v>
      </c>
    </row>
    <row r="5310">
      <c r="A5310" s="86">
        <f>IFERROR(__xludf.DUMMYFUNCTION("""COMPUTED_VALUE"""),5308.0)</f>
        <v>5308</v>
      </c>
      <c r="B5310" s="87" t="str">
        <f>IFERROR(__xludf.DUMMYFUNCTION("""COMPUTED_VALUE"""),"[Nhãn]")</f>
        <v>[Nhãn]</v>
      </c>
      <c r="C5310" s="87" t="str">
        <f>IFERROR(__xludf.DUMMYFUNCTION("""COMPUTED_VALUE"""),"NHD4463")</f>
        <v>NHD4463</v>
      </c>
      <c r="D5310" s="87" t="str">
        <f>IFERROR(__xludf.DUMMYFUNCTION("""COMPUTED_VALUE"""),"[Nhãn] GC - IV - 4463 - CTY NÔNG DƯỢC ĐÔNG DƯƠNG - HAIHAMEC 3.6EC (nước nâu đen) - 450ml - 40")</f>
        <v>[Nhãn] GC - IV - 4463 - CTY NÔNG DƯỢC ĐÔNG DƯƠNG - HAIHAMEC 3.6EC (nước nâu đen) - 450ml - 40</v>
      </c>
      <c r="E5310" s="87" t="str">
        <f>IFERROR(__xludf.DUMMYFUNCTION("""COMPUTED_VALUE"""),"HAIHAMEC 3.6EC")</f>
        <v>HAIHAMEC 3.6EC</v>
      </c>
      <c r="F5310" s="87" t="str">
        <f>IFERROR(__xludf.DUMMYFUNCTION("""COMPUTED_VALUE"""),"HH4463")</f>
        <v>HH4463</v>
      </c>
      <c r="G5310" s="87" t="str">
        <f>IFERROR(__xludf.DUMMYFUNCTION("""COMPUTED_VALUE"""),"GC - IV - 4463 - CTY NÔNG DƯỢC ĐÔNG DƯƠNG - HAIHAMEC 3.6EC (nước nâu đen) - 450ml - 40")</f>
        <v>GC - IV - 4463 - CTY NÔNG DƯỢC ĐÔNG DƯƠNG - HAIHAMEC 3.6EC (nước nâu đen) - 450ml - 40</v>
      </c>
    </row>
    <row r="5311">
      <c r="A5311" s="86">
        <f>IFERROR(__xludf.DUMMYFUNCTION("""COMPUTED_VALUE"""),5309.0)</f>
        <v>5309</v>
      </c>
      <c r="B5311" s="87" t="str">
        <f>IFERROR(__xludf.DUMMYFUNCTION("""COMPUTED_VALUE"""),"[Nhãn Thùng]")</f>
        <v>[Nhãn Thùng]</v>
      </c>
      <c r="C5311" s="87" t="str">
        <f>IFERROR(__xludf.DUMMYFUNCTION("""COMPUTED_VALUE"""),"NDT4463")</f>
        <v>NDT4463</v>
      </c>
      <c r="D5311" s="87" t="str">
        <f>IFERROR(__xludf.DUMMYFUNCTION("""COMPUTED_VALUE"""),"[Nhãn Thùng] GC - IV - 4463 - CTY NÔNG DƯỢC ĐÔNG DƯƠNG - HAIHAMEC 3.6EC (nước nâu đen) - 450ml - 40")</f>
        <v>[Nhãn Thùng] GC - IV - 4463 - CTY NÔNG DƯỢC ĐÔNG DƯƠNG - HAIHAMEC 3.6EC (nước nâu đen) - 450ml - 40</v>
      </c>
      <c r="E5311" s="87" t="str">
        <f>IFERROR(__xludf.DUMMYFUNCTION("""COMPUTED_VALUE"""),"HAIHAMEC 3.6EC")</f>
        <v>HAIHAMEC 3.6EC</v>
      </c>
      <c r="F5311" s="87" t="str">
        <f>IFERROR(__xludf.DUMMYFUNCTION("""COMPUTED_VALUE"""),"HH4463")</f>
        <v>HH4463</v>
      </c>
      <c r="G5311" s="87" t="str">
        <f>IFERROR(__xludf.DUMMYFUNCTION("""COMPUTED_VALUE"""),"GC - IV - 4463 - CTY NÔNG DƯỢC ĐÔNG DƯƠNG - HAIHAMEC 3.6EC (nước nâu đen) - 450ml - 40")</f>
        <v>GC - IV - 4463 - CTY NÔNG DƯỢC ĐÔNG DƯƠNG - HAIHAMEC 3.6EC (nước nâu đen) - 450ml - 40</v>
      </c>
    </row>
    <row r="5312">
      <c r="A5312" s="86">
        <f>IFERROR(__xludf.DUMMYFUNCTION("""COMPUTED_VALUE"""),5310.0)</f>
        <v>5310</v>
      </c>
      <c r="B5312" s="87" t="str">
        <f>IFERROR(__xludf.DUMMYFUNCTION("""COMPUTED_VALUE"""),"[Nhãn]")</f>
        <v>[Nhãn]</v>
      </c>
      <c r="C5312" s="87" t="str">
        <f>IFERROR(__xludf.DUMMYFUNCTION("""COMPUTED_VALUE"""),"NHG4345")</f>
        <v>NHG4345</v>
      </c>
      <c r="D5312" s="87" t="str">
        <f>IFERROR(__xludf.DUMMYFUNCTION("""COMPUTED_VALUE"""),"[Nhãn] GC - IV - 4345 - CTY NAUY - SUPER NANO (Nước nâu đen) - 500ml - 40")</f>
        <v>[Nhãn] GC - IV - 4345 - CTY NAUY - SUPER NANO (Nước nâu đen) - 500ml - 40</v>
      </c>
      <c r="E5312" s="87" t="str">
        <f>IFERROR(__xludf.DUMMYFUNCTION("""COMPUTED_VALUE"""),"Lá PK-Vi lượng SV 5-18")</f>
        <v>Lá PK-Vi lượng SV 5-18</v>
      </c>
      <c r="F5312" s="87" t="str">
        <f>IFERROR(__xludf.DUMMYFUNCTION("""COMPUTED_VALUE"""),"HH4345")</f>
        <v>HH4345</v>
      </c>
      <c r="G5312" s="87" t="str">
        <f>IFERROR(__xludf.DUMMYFUNCTION("""COMPUTED_VALUE"""),"GC - IV - 4345 - CTY NAUY - SUPER NANO (Nước nâu đen) - 500ml - 40")</f>
        <v>GC - IV - 4345 - CTY NAUY - SUPER NANO (Nước nâu đen) - 500ml - 40</v>
      </c>
    </row>
    <row r="5313">
      <c r="A5313" s="86">
        <f>IFERROR(__xludf.DUMMYFUNCTION("""COMPUTED_VALUE"""),5311.0)</f>
        <v>5311</v>
      </c>
      <c r="B5313" s="87" t="str">
        <f>IFERROR(__xludf.DUMMYFUNCTION("""COMPUTED_VALUE"""),"[Nhãn]")</f>
        <v>[Nhãn]</v>
      </c>
      <c r="C5313" s="87" t="str">
        <f>IFERROR(__xludf.DUMMYFUNCTION("""COMPUTED_VALUE"""),"NHG4470")</f>
        <v>NHG4470</v>
      </c>
      <c r="D5313" s="87" t="str">
        <f>IFERROR(__xludf.DUMMYFUNCTION("""COMPUTED_VALUE"""),"[Nhãn] GC - IV - 4470 - CTY R3 - R3 TANK  (Nước nâu vàng) - 300ml - 40")</f>
        <v>[Nhãn] GC - IV - 4470 - CTY R3 - R3 TANK  (Nước nâu vàng) - 300ml - 40</v>
      </c>
      <c r="E5313" s="87" t="str">
        <f>IFERROR(__xludf.DUMMYFUNCTION("""COMPUTED_VALUE"""),"vi lượng G.A 05")</f>
        <v>vi lượng G.A 05</v>
      </c>
      <c r="F5313" s="87" t="str">
        <f>IFERROR(__xludf.DUMMYFUNCTION("""COMPUTED_VALUE"""),"HH4470")</f>
        <v>HH4470</v>
      </c>
      <c r="G5313" s="87" t="str">
        <f>IFERROR(__xludf.DUMMYFUNCTION("""COMPUTED_VALUE"""),"GC - IV - 4470 - CTY R3 - R3 TANK  (Nước nâu vàng) - 300ml - 40")</f>
        <v>GC - IV - 4470 - CTY R3 - R3 TANK  (Nước nâu vàng) - 300ml - 40</v>
      </c>
    </row>
    <row r="5314">
      <c r="A5314" s="86">
        <f>IFERROR(__xludf.DUMMYFUNCTION("""COMPUTED_VALUE"""),5312.0)</f>
        <v>5312</v>
      </c>
      <c r="B5314" s="87" t="str">
        <f>IFERROR(__xludf.DUMMYFUNCTION("""COMPUTED_VALUE"""),"[Nhãn]")</f>
        <v>[Nhãn]</v>
      </c>
      <c r="C5314" s="87" t="str">
        <f>IFERROR(__xludf.DUMMYFUNCTION("""COMPUTED_VALUE"""),"NHG4464")</f>
        <v>NHG4464</v>
      </c>
      <c r="D5314" s="87" t="str">
        <f>IFERROR(__xludf.DUMMYFUNCTION("""COMPUTED_VALUE"""),"[Nhãn] GC - IV - 4464 - CTY R3 - R3-RỒNG LỬA (Nước đỏ) - 900ml - 20")</f>
        <v>[Nhãn] GC - IV - 4464 - CTY R3 - R3-RỒNG LỬA (Nước đỏ) - 900ml - 20</v>
      </c>
      <c r="E5314" s="87" t="str">
        <f>IFERROR(__xludf.DUMMYFUNCTION("""COMPUTED_VALUE"""),"GOODSIN 200SL")</f>
        <v>GOODSIN 200SL</v>
      </c>
      <c r="F5314" s="87" t="str">
        <f>IFERROR(__xludf.DUMMYFUNCTION("""COMPUTED_VALUE"""),"HH4464")</f>
        <v>HH4464</v>
      </c>
      <c r="G5314" s="87" t="str">
        <f>IFERROR(__xludf.DUMMYFUNCTION("""COMPUTED_VALUE"""),"GC - IV - 4464 - CTY R3 - R3-RỒNG LỬA (Nước đỏ) - 900ml - 20")</f>
        <v>GC - IV - 4464 - CTY R3 - R3-RỒNG LỬA (Nước đỏ) - 900ml - 20</v>
      </c>
    </row>
    <row r="5315">
      <c r="A5315" s="86">
        <f>IFERROR(__xludf.DUMMYFUNCTION("""COMPUTED_VALUE"""),5313.0)</f>
        <v>5313</v>
      </c>
      <c r="B5315" s="87" t="str">
        <f>IFERROR(__xludf.DUMMYFUNCTION("""COMPUTED_VALUE"""),"[Nhãn]")</f>
        <v>[Nhãn]</v>
      </c>
      <c r="C5315" s="87" t="str">
        <f>IFERROR(__xludf.DUMMYFUNCTION("""COMPUTED_VALUE"""),"NTN4469")</f>
        <v>NTN4469</v>
      </c>
      <c r="D5315" s="87" t="str">
        <f>IFERROR(__xludf.DUMMYFUNCTION("""COMPUTED_VALUE"""),"[Nhãn] GC - IV - 4469 - CTY ASAHI NHẬT BẢN - MANCOBGO 80WP (Bột xanh) - 1kg - 20")</f>
        <v>[Nhãn] GC - IV - 4469 - CTY ASAHI NHẬT BẢN - MANCOBGO 80WP (Bột xanh) - 1kg - 20</v>
      </c>
      <c r="E5315" s="87" t="str">
        <f>IFERROR(__xludf.DUMMYFUNCTION("""COMPUTED_VALUE"""),"MANCOBGO 80WP")</f>
        <v>MANCOBGO 80WP</v>
      </c>
      <c r="F5315" s="87" t="str">
        <f>IFERROR(__xludf.DUMMYFUNCTION("""COMPUTED_VALUE"""),"HH4469")</f>
        <v>HH4469</v>
      </c>
      <c r="G5315" s="87" t="str">
        <f>IFERROR(__xludf.DUMMYFUNCTION("""COMPUTED_VALUE"""),"GC - IV - 4469 - CTY ASAHI NHẬT BẢN - MANCOBGO 80WP (Bột xanh) - 1kg - 20")</f>
        <v>GC - IV - 4469 - CTY ASAHI NHẬT BẢN - MANCOBGO 80WP (Bột xanh) - 1kg - 20</v>
      </c>
    </row>
    <row r="5316">
      <c r="A5316" s="86">
        <f>IFERROR(__xludf.DUMMYFUNCTION("""COMPUTED_VALUE"""),5314.0)</f>
        <v>5314</v>
      </c>
      <c r="B5316" s="87" t="str">
        <f>IFERROR(__xludf.DUMMYFUNCTION("""COMPUTED_VALUE"""),"[Nhãn Thùng]")</f>
        <v>[Nhãn Thùng]</v>
      </c>
      <c r="C5316" s="87" t="str">
        <f>IFERROR(__xludf.DUMMYFUNCTION("""COMPUTED_VALUE"""),"NDT4469")</f>
        <v>NDT4469</v>
      </c>
      <c r="D5316" s="87" t="str">
        <f>IFERROR(__xludf.DUMMYFUNCTION("""COMPUTED_VALUE"""),"[Nhãn Thùng] GC - IV - 4469 - CTY ASAHI NHẬT BẢN - MANCOBGO 80WP (Bột xanh) - 1kg - 20")</f>
        <v>[Nhãn Thùng] GC - IV - 4469 - CTY ASAHI NHẬT BẢN - MANCOBGO 80WP (Bột xanh) - 1kg - 20</v>
      </c>
      <c r="E5316" s="87" t="str">
        <f>IFERROR(__xludf.DUMMYFUNCTION("""COMPUTED_VALUE"""),"MANCOBGO 80WP")</f>
        <v>MANCOBGO 80WP</v>
      </c>
      <c r="F5316" s="87" t="str">
        <f>IFERROR(__xludf.DUMMYFUNCTION("""COMPUTED_VALUE"""),"HH4469")</f>
        <v>HH4469</v>
      </c>
      <c r="G5316" s="87" t="str">
        <f>IFERROR(__xludf.DUMMYFUNCTION("""COMPUTED_VALUE"""),"GC - IV - 4469 - CTY ASAHI NHẬT BẢN - MANCOBGO 80WP (Bột xanh) - 1kg - 20")</f>
        <v>GC - IV - 4469 - CTY ASAHI NHẬT BẢN - MANCOBGO 80WP (Bột xanh) - 1kg - 20</v>
      </c>
    </row>
    <row r="5317">
      <c r="A5317" s="86">
        <f>IFERROR(__xludf.DUMMYFUNCTION("""COMPUTED_VALUE"""),5315.0)</f>
        <v>5315</v>
      </c>
      <c r="B5317" s="87" t="str">
        <f>IFERROR(__xludf.DUMMYFUNCTION("""COMPUTED_VALUE"""),"[Nhãn]")</f>
        <v>[Nhãn]</v>
      </c>
      <c r="C5317" s="87" t="str">
        <f>IFERROR(__xludf.DUMMYFUNCTION("""COMPUTED_VALUE"""),"NHG4440")</f>
        <v>NHG4440</v>
      </c>
      <c r="D5317" s="87" t="str">
        <f>IFERROR(__xludf.DUMMYFUNCTION("""COMPUTED_VALUE"""),"[Nhãn] GC - IV - 4440 - CTY QUANG ĐĂNG AGRICULTURE - COMBI.QĐ KẼM MG (Nước trắng sữa) - 250ml - 40")</f>
        <v>[Nhãn] GC - IV - 4440 - CTY QUANG ĐĂNG AGRICULTURE - COMBI.QĐ KẼM MG (Nước trắng sữa) - 250ml - 40</v>
      </c>
      <c r="E5317" s="87" t="str">
        <f>IFERROR(__xludf.DUMMYFUNCTION("""COMPUTED_VALUE"""),"vi lượng Phú Sĩ FJ-09 Kẽm Mg")</f>
        <v>vi lượng Phú Sĩ FJ-09 Kẽm Mg</v>
      </c>
      <c r="F5317" s="87" t="str">
        <f>IFERROR(__xludf.DUMMYFUNCTION("""COMPUTED_VALUE"""),"HH4440")</f>
        <v>HH4440</v>
      </c>
      <c r="G5317" s="87" t="str">
        <f>IFERROR(__xludf.DUMMYFUNCTION("""COMPUTED_VALUE"""),"GC - IV - 4440 - CTY QUANG ĐĂNG AGRICULTURE - COMBI.QĐ KẼM MG (Nước trắng sữa) - 250ml - 40")</f>
        <v>GC - IV - 4440 - CTY QUANG ĐĂNG AGRICULTURE - COMBI.QĐ KẼM MG (Nước trắng sữa) - 250ml - 40</v>
      </c>
    </row>
    <row r="5318">
      <c r="A5318" s="86">
        <f>IFERROR(__xludf.DUMMYFUNCTION("""COMPUTED_VALUE"""),5316.0)</f>
        <v>5316</v>
      </c>
      <c r="B5318" s="87" t="str">
        <f>IFERROR(__xludf.DUMMYFUNCTION("""COMPUTED_VALUE"""),"[Nhãn]")</f>
        <v>[Nhãn]</v>
      </c>
      <c r="C5318" s="87" t="str">
        <f>IFERROR(__xludf.DUMMYFUNCTION("""COMPUTED_VALUE"""),"NHG4475")</f>
        <v>NHG4475</v>
      </c>
      <c r="D5318" s="87" t="str">
        <f>IFERROR(__xludf.DUMMYFUNCTION("""COMPUTED_VALUE"""),"[Nhãn] GC - IV - 4475 - CTY AGRITECH (Anh Trương) - AGRI GRAS (Nước đỏ) - 900ml - 20")</f>
        <v>[Nhãn] GC - IV - 4475 - CTY AGRITECH (Anh Trương) - AGRI GRAS (Nước đỏ) - 900ml - 20</v>
      </c>
      <c r="E5318" s="87" t="str">
        <f>IFERROR(__xludf.DUMMYFUNCTION("""COMPUTED_VALUE"""),"GOODSIN 200SL")</f>
        <v>GOODSIN 200SL</v>
      </c>
      <c r="F5318" s="87" t="str">
        <f>IFERROR(__xludf.DUMMYFUNCTION("""COMPUTED_VALUE"""),"HH4475")</f>
        <v>HH4475</v>
      </c>
      <c r="G5318" s="87" t="str">
        <f>IFERROR(__xludf.DUMMYFUNCTION("""COMPUTED_VALUE"""),"GC - IV - 4475 - CTY AGRITECH (Anh Trương) - AGRI GRAS (Nước đỏ) - 900ml - 20")</f>
        <v>GC - IV - 4475 - CTY AGRITECH (Anh Trương) - AGRI GRAS (Nước đỏ) - 900ml - 20</v>
      </c>
    </row>
    <row r="5319">
      <c r="A5319" s="86">
        <f>IFERROR(__xludf.DUMMYFUNCTION("""COMPUTED_VALUE"""),5317.0)</f>
        <v>5317</v>
      </c>
      <c r="B5319" s="87" t="str">
        <f>IFERROR(__xludf.DUMMYFUNCTION("""COMPUTED_VALUE"""),"[Nhãn]")</f>
        <v>[Nhãn]</v>
      </c>
      <c r="C5319" s="87" t="str">
        <f>IFERROR(__xludf.DUMMYFUNCTION("""COMPUTED_VALUE"""),"NHG4328")</f>
        <v>NHG4328</v>
      </c>
      <c r="D5319" s="87" t="str">
        <f>IFERROR(__xludf.DUMMYFUNCTION("""COMPUTED_VALUE"""),"[Nhãn] GC - IV - 4328 - Cty Hóa Nông Shino - KALI SỮA (Nước hồng sữa) - 500ml - 30")</f>
        <v>[Nhãn] GC - IV - 4328 - Cty Hóa Nông Shino - KALI SỮA (Nước hồng sữa) - 500ml - 30</v>
      </c>
      <c r="E5319" s="87" t="str">
        <f>IFERROR(__xludf.DUMMYFUNCTION("""COMPUTED_VALUE"""),"HỖN HỢP NPK AGAMA-SRH")</f>
        <v>HỖN HỢP NPK AGAMA-SRH</v>
      </c>
      <c r="F5319" s="87" t="str">
        <f>IFERROR(__xludf.DUMMYFUNCTION("""COMPUTED_VALUE"""),"HH4328")</f>
        <v>HH4328</v>
      </c>
      <c r="G5319" s="87" t="str">
        <f>IFERROR(__xludf.DUMMYFUNCTION("""COMPUTED_VALUE"""),"GC - IV - 4328 - Cty Hóa Nông Shino - KALI SỮA (Nước hồng sữa) - 500ml - 30")</f>
        <v>GC - IV - 4328 - Cty Hóa Nông Shino - KALI SỮA (Nước hồng sữa) - 500ml - 30</v>
      </c>
    </row>
    <row r="5320">
      <c r="A5320" s="86">
        <f>IFERROR(__xludf.DUMMYFUNCTION("""COMPUTED_VALUE"""),5318.0)</f>
        <v>5318</v>
      </c>
      <c r="B5320" s="87" t="str">
        <f>IFERROR(__xludf.DUMMYFUNCTION("""COMPUTED_VALUE"""),"[Nhãn]")</f>
        <v>[Nhãn]</v>
      </c>
      <c r="C5320" s="87" t="str">
        <f>IFERROR(__xludf.DUMMYFUNCTION("""COMPUTED_VALUE"""),"NHG4480")</f>
        <v>NHG4480</v>
      </c>
      <c r="D5320" s="87" t="str">
        <f>IFERROR(__xludf.DUMMYFUNCTION("""COMPUTED_VALUE"""),"[Nhãn] GC - IV - 4480 - Agritech (Anh Trương) - GENOL 1.2SL (Nước đỏ) - 450ml - 40")</f>
        <v>[Nhãn] GC - IV - 4480 - Agritech (Anh Trương) - GENOL 1.2SL (Nước đỏ) - 450ml - 40</v>
      </c>
      <c r="E5320" s="87" t="str">
        <f>IFERROR(__xludf.DUMMYFUNCTION("""COMPUTED_VALUE"""),"GENOL 1.2SL")</f>
        <v>GENOL 1.2SL</v>
      </c>
      <c r="F5320" s="87" t="str">
        <f>IFERROR(__xludf.DUMMYFUNCTION("""COMPUTED_VALUE"""),"HH4480")</f>
        <v>HH4480</v>
      </c>
      <c r="G5320" s="87" t="str">
        <f>IFERROR(__xludf.DUMMYFUNCTION("""COMPUTED_VALUE"""),"GC - IV - 4480 - Agritech (Anh Trương) - GENOL 1.2SL (Nước đỏ) - 450ml - 40")</f>
        <v>GC - IV - 4480 - Agritech (Anh Trương) - GENOL 1.2SL (Nước đỏ) - 450ml - 40</v>
      </c>
    </row>
    <row r="5321">
      <c r="A5321" s="86">
        <f>IFERROR(__xludf.DUMMYFUNCTION("""COMPUTED_VALUE"""),5319.0)</f>
        <v>5319</v>
      </c>
      <c r="B5321" s="87" t="str">
        <f>IFERROR(__xludf.DUMMYFUNCTION("""COMPUTED_VALUE"""),"[Nhãn]")</f>
        <v>[Nhãn]</v>
      </c>
      <c r="C5321" s="87" t="str">
        <f>IFERROR(__xludf.DUMMYFUNCTION("""COMPUTED_VALUE"""),"NHD4486")</f>
        <v>NHD4486</v>
      </c>
      <c r="D5321" s="87" t="str">
        <f>IFERROR(__xludf.DUMMYFUNCTION("""COMPUTED_VALUE"""),"[Nhãn] GC - IV - 4486 - CTY NGỌC BẢO LONG AGRI - HAIHAMEC 3.6EC (nước nâu đen) - 450ml - 40")</f>
        <v>[Nhãn] GC - IV - 4486 - CTY NGỌC BẢO LONG AGRI - HAIHAMEC 3.6EC (nước nâu đen) - 450ml - 40</v>
      </c>
      <c r="E5321" s="87" t="str">
        <f>IFERROR(__xludf.DUMMYFUNCTION("""COMPUTED_VALUE"""),"HAIHAMEC 3.6EC")</f>
        <v>HAIHAMEC 3.6EC</v>
      </c>
      <c r="F5321" s="87" t="str">
        <f>IFERROR(__xludf.DUMMYFUNCTION("""COMPUTED_VALUE"""),"HH4486")</f>
        <v>HH4486</v>
      </c>
      <c r="G5321" s="87" t="str">
        <f>IFERROR(__xludf.DUMMYFUNCTION("""COMPUTED_VALUE"""),"GC - IV - 4486 - CTY NGỌC BẢO LONG AGRI - HAIHAMEC 3.6EC (nước nâu đen) - 450ml - 40")</f>
        <v>GC - IV - 4486 - CTY NGỌC BẢO LONG AGRI - HAIHAMEC 3.6EC (nước nâu đen) - 450ml - 40</v>
      </c>
    </row>
    <row r="5322">
      <c r="A5322" s="86">
        <f>IFERROR(__xludf.DUMMYFUNCTION("""COMPUTED_VALUE"""),5320.0)</f>
        <v>5320</v>
      </c>
      <c r="B5322" s="87" t="str">
        <f>IFERROR(__xludf.DUMMYFUNCTION("""COMPUTED_VALUE"""),"[Nhãn]")</f>
        <v>[Nhãn]</v>
      </c>
      <c r="C5322" s="87" t="str">
        <f>IFERROR(__xludf.DUMMYFUNCTION("""COMPUTED_VALUE"""),"NTN4460")</f>
        <v>NTN4460</v>
      </c>
      <c r="D5322" s="87" t="str">
        <f>IFERROR(__xludf.DUMMYFUNCTION("""COMPUTED_VALUE"""),"[Nhãn] IDA Global - I - 4460 - PROBICOL 200WP (Bột trắng ngà) - 500gr - 50")</f>
        <v>[Nhãn] IDA Global - I - 4460 - PROBICOL 200WP (Bột trắng ngà) - 500gr - 50</v>
      </c>
      <c r="E5322" s="87" t="str">
        <f>IFERROR(__xludf.DUMMYFUNCTION("""COMPUTED_VALUE"""),"PROBICOL 200WP")</f>
        <v>PROBICOL 200WP</v>
      </c>
      <c r="F5322" s="87" t="str">
        <f>IFERROR(__xludf.DUMMYFUNCTION("""COMPUTED_VALUE"""),"HH4460")</f>
        <v>HH4460</v>
      </c>
      <c r="G5322" s="87" t="str">
        <f>IFERROR(__xludf.DUMMYFUNCTION("""COMPUTED_VALUE"""),"IDA Global - I - 4460 - PROBICOL 200WP (Bột trắng ngà) - 500gr - 50")</f>
        <v>IDA Global - I - 4460 - PROBICOL 200WP (Bột trắng ngà) - 500gr - 50</v>
      </c>
    </row>
    <row r="5323">
      <c r="A5323" s="86">
        <f>IFERROR(__xludf.DUMMYFUNCTION("""COMPUTED_VALUE"""),5321.0)</f>
        <v>5321</v>
      </c>
      <c r="B5323" s="87" t="str">
        <f>IFERROR(__xludf.DUMMYFUNCTION("""COMPUTED_VALUE"""),"[Nhãn]")</f>
        <v>[Nhãn]</v>
      </c>
      <c r="C5323" s="87" t="str">
        <f>IFERROR(__xludf.DUMMYFUNCTION("""COMPUTED_VALUE"""),"NTN3704")</f>
        <v>NTN3704</v>
      </c>
      <c r="D5323" s="87" t="str">
        <f>IFERROR(__xludf.DUMMYFUNCTION("""COMPUTED_VALUE"""),"[Nhãn] GC - IV - 3704 - Agritech Hà Lan - NOMIDA 10WP (Bột trắng) - 100gr - 100")</f>
        <v>[Nhãn] GC - IV - 3704 - Agritech Hà Lan - NOMIDA 10WP (Bột trắng) - 100gr - 100</v>
      </c>
      <c r="E5323" s="87" t="str">
        <f>IFERROR(__xludf.DUMMYFUNCTION("""COMPUTED_VALUE"""),"NOMIDA 10WP")</f>
        <v>NOMIDA 10WP</v>
      </c>
      <c r="F5323" s="87" t="str">
        <f>IFERROR(__xludf.DUMMYFUNCTION("""COMPUTED_VALUE"""),"HH3704")</f>
        <v>HH3704</v>
      </c>
      <c r="G5323" s="87" t="str">
        <f>IFERROR(__xludf.DUMMYFUNCTION("""COMPUTED_VALUE"""),"GC - IV - 3704 - Agritech Hà Lan - NOMIDA 10WP (Bột trắng) - 100gr - 100")</f>
        <v>GC - IV - 3704 - Agritech Hà Lan - NOMIDA 10WP (Bột trắng) - 100gr - 100</v>
      </c>
    </row>
    <row r="5324">
      <c r="A5324" s="86">
        <f>IFERROR(__xludf.DUMMYFUNCTION("""COMPUTED_VALUE"""),5322.0)</f>
        <v>5322</v>
      </c>
      <c r="B5324" s="87" t="str">
        <f>IFERROR(__xludf.DUMMYFUNCTION("""COMPUTED_VALUE"""),"[Nhãn]")</f>
        <v>[Nhãn]</v>
      </c>
      <c r="C5324" s="87" t="str">
        <f>IFERROR(__xludf.DUMMYFUNCTION("""COMPUTED_VALUE"""),"NTN4461")</f>
        <v>NTN4461</v>
      </c>
      <c r="D5324" s="87" t="str">
        <f>IFERROR(__xludf.DUMMYFUNCTION("""COMPUTED_VALUE"""),"[Nhãn] IDA Global - I - 4461 - IMPERIAL 610WP (Bột trắng) - 100gr - 100")</f>
        <v>[Nhãn] IDA Global - I - 4461 - IMPERIAL 610WP (Bột trắng) - 100gr - 100</v>
      </c>
      <c r="E5324" s="87" t="str">
        <f>IFERROR(__xludf.DUMMYFUNCTION("""COMPUTED_VALUE"""),"IMPERIAL 610WP")</f>
        <v>IMPERIAL 610WP</v>
      </c>
      <c r="F5324" s="87" t="str">
        <f>IFERROR(__xludf.DUMMYFUNCTION("""COMPUTED_VALUE"""),"HH4461")</f>
        <v>HH4461</v>
      </c>
      <c r="G5324" s="87" t="str">
        <f>IFERROR(__xludf.DUMMYFUNCTION("""COMPUTED_VALUE"""),"IDA Global - I - 4461 - IMPERIAL 610WP (Bột trắng) - 100gr - 100")</f>
        <v>IDA Global - I - 4461 - IMPERIAL 610WP (Bột trắng) - 100gr - 100</v>
      </c>
    </row>
    <row r="5325">
      <c r="A5325" s="86">
        <f>IFERROR(__xludf.DUMMYFUNCTION("""COMPUTED_VALUE"""),5323.0)</f>
        <v>5323</v>
      </c>
      <c r="B5325" s="87" t="str">
        <f>IFERROR(__xludf.DUMMYFUNCTION("""COMPUTED_VALUE"""),"[Nhãn]")</f>
        <v>[Nhãn]</v>
      </c>
      <c r="C5325" s="87" t="str">
        <f>IFERROR(__xludf.DUMMYFUNCTION("""COMPUTED_VALUE"""),"NHG4442")</f>
        <v>NHG4442</v>
      </c>
      <c r="D5325" s="87" t="str">
        <f>IFERROR(__xludf.DUMMYFUNCTION("""COMPUTED_VALUE"""),"[Nhãn] GC - IX - 4442 - N2SBIO - N2 MG ZN-70 (Nước xanh lá) - 500ml - 40")</f>
        <v>[Nhãn] GC - IX - 4442 - N2SBIO - N2 MG ZN-70 (Nước xanh lá) - 500ml - 40</v>
      </c>
      <c r="E5325" s="87" t="str">
        <f>IFERROR(__xludf.DUMMYFUNCTION("""COMPUTED_VALUE"""),"vi lượng Phú Sĩ FJ-09 Kẽm Mg")</f>
        <v>vi lượng Phú Sĩ FJ-09 Kẽm Mg</v>
      </c>
      <c r="F5325" s="87" t="str">
        <f>IFERROR(__xludf.DUMMYFUNCTION("""COMPUTED_VALUE"""),"HH4442")</f>
        <v>HH4442</v>
      </c>
      <c r="G5325" s="87" t="str">
        <f>IFERROR(__xludf.DUMMYFUNCTION("""COMPUTED_VALUE"""),"GC - IX - 4442 - N2SBIO - N2 MG ZN-70 (Nước xanh lá) - 500ml - 40")</f>
        <v>GC - IX - 4442 - N2SBIO - N2 MG ZN-70 (Nước xanh lá) - 500ml - 40</v>
      </c>
    </row>
    <row r="5326">
      <c r="A5326" s="86">
        <f>IFERROR(__xludf.DUMMYFUNCTION("""COMPUTED_VALUE"""),5324.0)</f>
        <v>5324</v>
      </c>
      <c r="B5326" s="87" t="str">
        <f>IFERROR(__xludf.DUMMYFUNCTION("""COMPUTED_VALUE"""),"[Nhãn Thùng]")</f>
        <v>[Nhãn Thùng]</v>
      </c>
      <c r="C5326" s="87" t="str">
        <f>IFERROR(__xludf.DUMMYFUNCTION("""COMPUTED_VALUE"""),"NDT3474")</f>
        <v>NDT3474</v>
      </c>
      <c r="D5326" s="87" t="str">
        <f>IFERROR(__xludf.DUMMYFUNCTION("""COMPUTED_VALUE"""),"[Nhãn Thùng] NB - V - 3474 - CTY NAUY - NANO DƯỠNG ĐÒNG (Nước nâu đen) - 500ml - 40")</f>
        <v>[Nhãn Thùng] NB - V - 3474 - CTY NAUY - NANO DƯỠNG ĐÒNG (Nước nâu đen) - 500ml - 40</v>
      </c>
      <c r="E5326" s="87" t="str">
        <f>IFERROR(__xludf.DUMMYFUNCTION("""COMPUTED_VALUE"""),"Vi lượng AGAMA-SUPPORT")</f>
        <v>Vi lượng AGAMA-SUPPORT</v>
      </c>
      <c r="F5326" s="87" t="str">
        <f>IFERROR(__xludf.DUMMYFUNCTION("""COMPUTED_VALUE"""),"HH3474")</f>
        <v>HH3474</v>
      </c>
      <c r="G5326" s="87" t="str">
        <f>IFERROR(__xludf.DUMMYFUNCTION("""COMPUTED_VALUE"""),"NB - V - 3474 - CTY NAUY - NANO DƯỠNG ĐÒNG (Nước nâu đen) - 500ml - 40")</f>
        <v>NB - V - 3474 - CTY NAUY - NANO DƯỠNG ĐÒNG (Nước nâu đen) - 500ml - 40</v>
      </c>
    </row>
    <row r="5327">
      <c r="A5327" s="86">
        <f>IFERROR(__xludf.DUMMYFUNCTION("""COMPUTED_VALUE"""),5325.0)</f>
        <v>5325</v>
      </c>
      <c r="B5327" s="87" t="str">
        <f>IFERROR(__xludf.DUMMYFUNCTION("""COMPUTED_VALUE"""),"[Nhãn Thùng]")</f>
        <v>[Nhãn Thùng]</v>
      </c>
      <c r="C5327" s="87" t="str">
        <f>IFERROR(__xludf.DUMMYFUNCTION("""COMPUTED_VALUE"""),"NDT4486")</f>
        <v>NDT4486</v>
      </c>
      <c r="D5327" s="87" t="str">
        <f>IFERROR(__xludf.DUMMYFUNCTION("""COMPUTED_VALUE"""),"[Nhãn Thùng] GC - IV - 4486 - CTY NGỌC BẢO LONG AGRI - HAIHAMEC 3.6EC (nước nâu đen) - 450ml - 40")</f>
        <v>[Nhãn Thùng] GC - IV - 4486 - CTY NGỌC BẢO LONG AGRI - HAIHAMEC 3.6EC (nước nâu đen) - 450ml - 40</v>
      </c>
      <c r="E5327" s="87" t="str">
        <f>IFERROR(__xludf.DUMMYFUNCTION("""COMPUTED_VALUE"""),"HAIHAMEC 3.6EC")</f>
        <v>HAIHAMEC 3.6EC</v>
      </c>
      <c r="F5327" s="87" t="str">
        <f>IFERROR(__xludf.DUMMYFUNCTION("""COMPUTED_VALUE"""),"HH4486")</f>
        <v>HH4486</v>
      </c>
      <c r="G5327" s="87" t="str">
        <f>IFERROR(__xludf.DUMMYFUNCTION("""COMPUTED_VALUE"""),"GC - IV - 4486 - CTY NGỌC BẢO LONG AGRI - HAIHAMEC 3.6EC (nước nâu đen) - 450ml - 40")</f>
        <v>GC - IV - 4486 - CTY NGỌC BẢO LONG AGRI - HAIHAMEC 3.6EC (nước nâu đen) - 450ml - 40</v>
      </c>
    </row>
    <row r="5328">
      <c r="A5328" s="86">
        <f>IFERROR(__xludf.DUMMYFUNCTION("""COMPUTED_VALUE"""),5326.0)</f>
        <v>5326</v>
      </c>
      <c r="B5328" s="87" t="str">
        <f>IFERROR(__xludf.DUMMYFUNCTION("""COMPUTED_VALUE"""),"[Nhãn Thùng]")</f>
        <v>[Nhãn Thùng]</v>
      </c>
      <c r="C5328" s="87" t="str">
        <f>IFERROR(__xludf.DUMMYFUNCTION("""COMPUTED_VALUE"""),"NDT3704")</f>
        <v>NDT3704</v>
      </c>
      <c r="D5328" s="87" t="str">
        <f>IFERROR(__xludf.DUMMYFUNCTION("""COMPUTED_VALUE"""),"[Nhãn Thùng] GC - IV - 3704 - Agritech Hà Lan - NOMIDA 10WP (Bột trắng) - 100gr - 100")</f>
        <v>[Nhãn Thùng] GC - IV - 3704 - Agritech Hà Lan - NOMIDA 10WP (Bột trắng) - 100gr - 100</v>
      </c>
      <c r="E5328" s="87" t="str">
        <f>IFERROR(__xludf.DUMMYFUNCTION("""COMPUTED_VALUE"""),"NOMIDA 10WP")</f>
        <v>NOMIDA 10WP</v>
      </c>
      <c r="F5328" s="87" t="str">
        <f>IFERROR(__xludf.DUMMYFUNCTION("""COMPUTED_VALUE"""),"HH3704")</f>
        <v>HH3704</v>
      </c>
      <c r="G5328" s="87" t="str">
        <f>IFERROR(__xludf.DUMMYFUNCTION("""COMPUTED_VALUE"""),"GC - IV - 3704 - Agritech Hà Lan - NOMIDA 10WP (Bột trắng) - 100gr - 100")</f>
        <v>GC - IV - 3704 - Agritech Hà Lan - NOMIDA 10WP (Bột trắng) - 100gr - 100</v>
      </c>
    </row>
    <row r="5329">
      <c r="A5329" s="86">
        <f>IFERROR(__xludf.DUMMYFUNCTION("""COMPUTED_VALUE"""),5327.0)</f>
        <v>5327</v>
      </c>
      <c r="B5329" s="87" t="str">
        <f>IFERROR(__xludf.DUMMYFUNCTION("""COMPUTED_VALUE"""),"[Nhãn Thùng]")</f>
        <v>[Nhãn Thùng]</v>
      </c>
      <c r="C5329" s="87" t="str">
        <f>IFERROR(__xludf.DUMMYFUNCTION("""COMPUTED_VALUE"""),"NDT4460")</f>
        <v>NDT4460</v>
      </c>
      <c r="D5329" s="87" t="str">
        <f>IFERROR(__xludf.DUMMYFUNCTION("""COMPUTED_VALUE"""),"[Nhãn Thùng] IDA Global - I - 4460 - PROBICOL 200WP (Bột trắng ngà) - 500gr - 50")</f>
        <v>[Nhãn Thùng] IDA Global - I - 4460 - PROBICOL 200WP (Bột trắng ngà) - 500gr - 50</v>
      </c>
      <c r="E5329" s="87" t="str">
        <f>IFERROR(__xludf.DUMMYFUNCTION("""COMPUTED_VALUE"""),"PROBICOL 200WP")</f>
        <v>PROBICOL 200WP</v>
      </c>
      <c r="F5329" s="87" t="str">
        <f>IFERROR(__xludf.DUMMYFUNCTION("""COMPUTED_VALUE"""),"HH4460")</f>
        <v>HH4460</v>
      </c>
      <c r="G5329" s="87" t="str">
        <f>IFERROR(__xludf.DUMMYFUNCTION("""COMPUTED_VALUE"""),"IDA Global - I - 4460 - PROBICOL 200WP (Bột trắng ngà) - 500gr - 50")</f>
        <v>IDA Global - I - 4460 - PROBICOL 200WP (Bột trắng ngà) - 500gr - 50</v>
      </c>
    </row>
    <row r="5330">
      <c r="A5330" s="86">
        <f>IFERROR(__xludf.DUMMYFUNCTION("""COMPUTED_VALUE"""),5328.0)</f>
        <v>5328</v>
      </c>
      <c r="B5330" s="87" t="str">
        <f>IFERROR(__xludf.DUMMYFUNCTION("""COMPUTED_VALUE"""),"[Nhãn Thùng]")</f>
        <v>[Nhãn Thùng]</v>
      </c>
      <c r="C5330" s="87" t="str">
        <f>IFERROR(__xludf.DUMMYFUNCTION("""COMPUTED_VALUE"""),"NDT4461")</f>
        <v>NDT4461</v>
      </c>
      <c r="D5330" s="87" t="str">
        <f>IFERROR(__xludf.DUMMYFUNCTION("""COMPUTED_VALUE"""),"[Nhãn Thùng] IDA Global - I - 4461 - IMPERIAL 610WP (Bột trắng) - 100gr - 100")</f>
        <v>[Nhãn Thùng] IDA Global - I - 4461 - IMPERIAL 610WP (Bột trắng) - 100gr - 100</v>
      </c>
      <c r="E5330" s="87" t="str">
        <f>IFERROR(__xludf.DUMMYFUNCTION("""COMPUTED_VALUE"""),"IMPERIAL 610WP")</f>
        <v>IMPERIAL 610WP</v>
      </c>
      <c r="F5330" s="87" t="str">
        <f>IFERROR(__xludf.DUMMYFUNCTION("""COMPUTED_VALUE"""),"HH4461")</f>
        <v>HH4461</v>
      </c>
      <c r="G5330" s="87" t="str">
        <f>IFERROR(__xludf.DUMMYFUNCTION("""COMPUTED_VALUE"""),"IDA Global - I - 4461 - IMPERIAL 610WP (Bột trắng) - 100gr - 100")</f>
        <v>IDA Global - I - 4461 - IMPERIAL 610WP (Bột trắng) - 100gr - 100</v>
      </c>
    </row>
    <row r="5331">
      <c r="A5331" s="86">
        <f>IFERROR(__xludf.DUMMYFUNCTION("""COMPUTED_VALUE"""),5329.0)</f>
        <v>5329</v>
      </c>
      <c r="B5331" s="87" t="str">
        <f>IFERROR(__xludf.DUMMYFUNCTION("""COMPUTED_VALUE"""),"[Nhãn]")</f>
        <v>[Nhãn]</v>
      </c>
      <c r="C5331" s="87" t="str">
        <f>IFERROR(__xludf.DUMMYFUNCTION("""COMPUTED_VALUE"""),"NHG4478")</f>
        <v>NHG4478</v>
      </c>
      <c r="D5331" s="87" t="str">
        <f>IFERROR(__xludf.DUMMYFUNCTION("""COMPUTED_VALUE"""),"[Nhãn] IDA Global - I - 4478 - CANXI BO LIQUID (LÚA) (Nước trắng sữa) - 500ml - 40")</f>
        <v>[Nhãn] IDA Global - I - 4478 - CANXI BO LIQUID (LÚA) (Nước trắng sữa) - 500ml - 40</v>
      </c>
      <c r="E5331" s="87" t="str">
        <f>IFERROR(__xludf.DUMMYFUNCTION("""COMPUTED_VALUE"""),"Vi lượng AGAMA-CANXI BO")</f>
        <v>Vi lượng AGAMA-CANXI BO</v>
      </c>
      <c r="F5331" s="87" t="str">
        <f>IFERROR(__xludf.DUMMYFUNCTION("""COMPUTED_VALUE"""),"HH4478")</f>
        <v>HH4478</v>
      </c>
      <c r="G5331" s="87" t="str">
        <f>IFERROR(__xludf.DUMMYFUNCTION("""COMPUTED_VALUE"""),"IDA Global - I - 4478 - CANXI BO LIQUID (LÚA) (Nước trắng sữa) - 500ml - 40")</f>
        <v>IDA Global - I - 4478 - CANXI BO LIQUID (LÚA) (Nước trắng sữa) - 500ml - 40</v>
      </c>
    </row>
    <row r="5332">
      <c r="A5332" s="86">
        <f>IFERROR(__xludf.DUMMYFUNCTION("""COMPUTED_VALUE"""),5330.0)</f>
        <v>5330</v>
      </c>
      <c r="B5332" s="87" t="str">
        <f>IFERROR(__xludf.DUMMYFUNCTION("""COMPUTED_VALUE"""),"[Nhãn]")</f>
        <v>[Nhãn]</v>
      </c>
      <c r="C5332" s="87" t="str">
        <f>IFERROR(__xludf.DUMMYFUNCTION("""COMPUTED_VALUE"""),"NHG4479")</f>
        <v>NHG4479</v>
      </c>
      <c r="D5332" s="87" t="str">
        <f>IFERROR(__xludf.DUMMYFUNCTION("""COMPUTED_VALUE"""),"[Nhãn] GC - IV - 4479 - CTY QUANG ĐĂNG AGRICULTURE (ĐL ÚT TIỆP) - COMBI GREEN (Nước trắng sữa) - 250ml - 40")</f>
        <v>[Nhãn] GC - IV - 4479 - CTY QUANG ĐĂNG AGRICULTURE (ĐL ÚT TIỆP) - COMBI GREEN (Nước trắng sữa) - 250ml - 40</v>
      </c>
      <c r="E5332" s="87" t="str">
        <f>IFERROR(__xludf.DUMMYFUNCTION("""COMPUTED_VALUE"""),"vi lượng Phú Sĩ FJ-09 Kẽm Mg")</f>
        <v>vi lượng Phú Sĩ FJ-09 Kẽm Mg</v>
      </c>
      <c r="F5332" s="87" t="str">
        <f>IFERROR(__xludf.DUMMYFUNCTION("""COMPUTED_VALUE"""),"HH4479")</f>
        <v>HH4479</v>
      </c>
      <c r="G5332" s="87" t="str">
        <f>IFERROR(__xludf.DUMMYFUNCTION("""COMPUTED_VALUE"""),"GC - IV - 4479 - CTY QUANG ĐĂNG AGRICULTURE (ĐL ÚT TIỆP) - COMBI GREEN (Nước trắng sữa) - 250ml - 40")</f>
        <v>GC - IV - 4479 - CTY QUANG ĐĂNG AGRICULTURE (ĐL ÚT TIỆP) - COMBI GREEN (Nước trắng sữa) - 250ml - 40</v>
      </c>
    </row>
    <row r="5333">
      <c r="A5333" s="86">
        <f>IFERROR(__xludf.DUMMYFUNCTION("""COMPUTED_VALUE"""),5331.0)</f>
        <v>5331</v>
      </c>
      <c r="B5333" s="87" t="str">
        <f>IFERROR(__xludf.DUMMYFUNCTION("""COMPUTED_VALUE"""),"[Nhãn]")</f>
        <v>[Nhãn]</v>
      </c>
      <c r="C5333" s="87" t="str">
        <f>IFERROR(__xludf.DUMMYFUNCTION("""COMPUTED_VALUE"""),"NHG4472")</f>
        <v>NHG4472</v>
      </c>
      <c r="D5333" s="87" t="str">
        <f>IFERROR(__xludf.DUMMYFUNCTION("""COMPUTED_VALUE"""),"[Nhãn] GC - IV - 4472 - CTY R3 - R3 VOGAO (Nước đỏ cam) - 300ml - 40")</f>
        <v>[Nhãn] GC - IV - 4472 - CTY R3 - R3 VOGAO (Nước đỏ cam) - 300ml - 40</v>
      </c>
      <c r="E5333" s="87" t="str">
        <f>IFERROR(__xludf.DUMMYFUNCTION("""COMPUTED_VALUE"""),"Lá PK-Vi lượng SV 5-18")</f>
        <v>Lá PK-Vi lượng SV 5-18</v>
      </c>
      <c r="F5333" s="87" t="str">
        <f>IFERROR(__xludf.DUMMYFUNCTION("""COMPUTED_VALUE"""),"HH4472")</f>
        <v>HH4472</v>
      </c>
      <c r="G5333" s="87" t="str">
        <f>IFERROR(__xludf.DUMMYFUNCTION("""COMPUTED_VALUE"""),"GC - IV - 4472 - CTY R3 - R3 VOGAO (Nước đỏ cam) - 300ml - 40")</f>
        <v>GC - IV - 4472 - CTY R3 - R3 VOGAO (Nước đỏ cam) - 300ml - 40</v>
      </c>
    </row>
    <row r="5334">
      <c r="A5334" s="86">
        <f>IFERROR(__xludf.DUMMYFUNCTION("""COMPUTED_VALUE"""),5332.0)</f>
        <v>5332</v>
      </c>
      <c r="B5334" s="87" t="str">
        <f>IFERROR(__xludf.DUMMYFUNCTION("""COMPUTED_VALUE"""),"[Nhãn]")</f>
        <v>[Nhãn]</v>
      </c>
      <c r="C5334" s="87" t="str">
        <f>IFERROR(__xludf.DUMMYFUNCTION("""COMPUTED_VALUE"""),"NHG4471")</f>
        <v>NHG4471</v>
      </c>
      <c r="D5334" s="87" t="str">
        <f>IFERROR(__xludf.DUMMYFUNCTION("""COMPUTED_VALUE"""),"[Nhãn] GC - IV - 4471 - CTY R3 - R3 BLOOM  (Nước xanh bơ sữa) - 300ml - 40")</f>
        <v>[Nhãn] GC - IV - 4471 - CTY R3 - R3 BLOOM  (Nước xanh bơ sữa) - 300ml - 40</v>
      </c>
      <c r="E5334" s="87" t="str">
        <f>IFERROR(__xludf.DUMMYFUNCTION("""COMPUTED_VALUE"""),"lá NPK-vi lượng GNC19")</f>
        <v>lá NPK-vi lượng GNC19</v>
      </c>
      <c r="F5334" s="87" t="str">
        <f>IFERROR(__xludf.DUMMYFUNCTION("""COMPUTED_VALUE"""),"HH4471")</f>
        <v>HH4471</v>
      </c>
      <c r="G5334" s="87" t="str">
        <f>IFERROR(__xludf.DUMMYFUNCTION("""COMPUTED_VALUE"""),"GC - IV - 4471 - CTY R3 - R3 BLOOM  (Nước xanh bơ sữa) - 300ml - 40")</f>
        <v>GC - IV - 4471 - CTY R3 - R3 BLOOM  (Nước xanh bơ sữa) - 300ml - 40</v>
      </c>
    </row>
    <row r="5335">
      <c r="A5335" s="86">
        <f>IFERROR(__xludf.DUMMYFUNCTION("""COMPUTED_VALUE"""),5333.0)</f>
        <v>5333</v>
      </c>
      <c r="B5335" s="87" t="str">
        <f>IFERROR(__xludf.DUMMYFUNCTION("""COMPUTED_VALUE"""),"[Nhãn]")</f>
        <v>[Nhãn]</v>
      </c>
      <c r="C5335" s="87" t="str">
        <f>IFERROR(__xludf.DUMMYFUNCTION("""COMPUTED_VALUE"""),"NHG4473")</f>
        <v>NHG4473</v>
      </c>
      <c r="D5335" s="87" t="str">
        <f>IFERROR(__xludf.DUMMYFUNCTION("""COMPUTED_VALUE"""),"[Nhãn] GC - IV - 4473 - CTY R3 - R3 ROOT+  (Nước nâu đen) - 300ml - 40")</f>
        <v>[Nhãn] GC - IV - 4473 - CTY R3 - R3 ROOT+  (Nước nâu đen) - 300ml - 40</v>
      </c>
      <c r="E5335" s="87" t="str">
        <f>IFERROR(__xludf.DUMMYFUNCTION("""COMPUTED_VALUE"""),"Hỗn Hợp NP AGAMA-AP")</f>
        <v>Hỗn Hợp NP AGAMA-AP</v>
      </c>
      <c r="F5335" s="87" t="str">
        <f>IFERROR(__xludf.DUMMYFUNCTION("""COMPUTED_VALUE"""),"HH4473")</f>
        <v>HH4473</v>
      </c>
      <c r="G5335" s="87" t="str">
        <f>IFERROR(__xludf.DUMMYFUNCTION("""COMPUTED_VALUE"""),"GC - IV - 4473 - CTY R3 - R3 ROOT+  (Nước nâu đen) - 300ml - 40")</f>
        <v>GC - IV - 4473 - CTY R3 - R3 ROOT+  (Nước nâu đen) - 300ml - 40</v>
      </c>
    </row>
    <row r="5336">
      <c r="A5336" s="86">
        <f>IFERROR(__xludf.DUMMYFUNCTION("""COMPUTED_VALUE"""),5334.0)</f>
        <v>5334</v>
      </c>
      <c r="B5336" s="87" t="str">
        <f>IFERROR(__xludf.DUMMYFUNCTION("""COMPUTED_VALUE"""),"[Nhãn]")</f>
        <v>[Nhãn]</v>
      </c>
      <c r="C5336" s="87" t="str">
        <f>IFERROR(__xludf.DUMMYFUNCTION("""COMPUTED_VALUE"""),"NTN4456")</f>
        <v>NTN4456</v>
      </c>
      <c r="D5336" s="87" t="str">
        <f>IFERROR(__xludf.DUMMYFUNCTION("""COMPUTED_VALUE"""),"[Nhãn] GC - IV - 4456 - CTY VISANTO - VISANTO HUMIC SUPER (vẩy nâu đen) - 1kg - 20")</f>
        <v>[Nhãn] GC - IV - 4456 - CTY VISANTO - VISANTO HUMIC SUPER (vẩy nâu đen) - 1kg - 20</v>
      </c>
      <c r="E5336" s="87" t="str">
        <f>IFERROR(__xludf.DUMMYFUNCTION("""COMPUTED_VALUE"""),"Hữu cơ sinh học Nam Kinh 02")</f>
        <v>Hữu cơ sinh học Nam Kinh 02</v>
      </c>
      <c r="F5336" s="87" t="str">
        <f>IFERROR(__xludf.DUMMYFUNCTION("""COMPUTED_VALUE"""),"HH4456")</f>
        <v>HH4456</v>
      </c>
      <c r="G5336" s="87" t="str">
        <f>IFERROR(__xludf.DUMMYFUNCTION("""COMPUTED_VALUE"""),"GC - IV - 4456 - CTY VISANTO - VISANTO HUMIC SUPER (vẩy nâu đen) - 1kg - 20")</f>
        <v>GC - IV - 4456 - CTY VISANTO - VISANTO HUMIC SUPER (vẩy nâu đen) - 1kg - 20</v>
      </c>
    </row>
    <row r="5337">
      <c r="A5337" s="86">
        <f>IFERROR(__xludf.DUMMYFUNCTION("""COMPUTED_VALUE"""),5335.0)</f>
        <v>5335</v>
      </c>
      <c r="B5337" s="87" t="str">
        <f>IFERROR(__xludf.DUMMYFUNCTION("""COMPUTED_VALUE"""),"[Nhãn]")</f>
        <v>[Nhãn]</v>
      </c>
      <c r="C5337" s="87" t="str">
        <f>IFERROR(__xludf.DUMMYFUNCTION("""COMPUTED_VALUE"""),"NTN4435")</f>
        <v>NTN4435</v>
      </c>
      <c r="D5337" s="87" t="str">
        <f>IFERROR(__xludf.DUMMYFUNCTION("""COMPUTED_VALUE"""),"[Nhãn] GC - IV - 4435 - CTY VISANTO - EMAXTIN 55.5WG (Dạng cốm màu trắng ngà) - 100gr - 100")</f>
        <v>[Nhãn] GC - IV - 4435 - CTY VISANTO - EMAXTIN 55.5WG (Dạng cốm màu trắng ngà) - 100gr - 100</v>
      </c>
      <c r="E5337" s="87" t="str">
        <f>IFERROR(__xludf.DUMMYFUNCTION("""COMPUTED_VALUE"""),"Emaxtin 55.5WG")</f>
        <v>Emaxtin 55.5WG</v>
      </c>
      <c r="F5337" s="87" t="str">
        <f>IFERROR(__xludf.DUMMYFUNCTION("""COMPUTED_VALUE"""),"HH4435")</f>
        <v>HH4435</v>
      </c>
      <c r="G5337" s="87" t="str">
        <f>IFERROR(__xludf.DUMMYFUNCTION("""COMPUTED_VALUE"""),"GC - IV - 4435 - CTY VISANTO - EMAXTIN 55.5WG (Dạng cốm màu trắng ngà) - 100gr - 100")</f>
        <v>GC - IV - 4435 - CTY VISANTO - EMAXTIN 55.5WG (Dạng cốm màu trắng ngà) - 100gr - 100</v>
      </c>
    </row>
    <row r="5338">
      <c r="A5338" s="86">
        <f>IFERROR(__xludf.DUMMYFUNCTION("""COMPUTED_VALUE"""),5336.0)</f>
        <v>5336</v>
      </c>
      <c r="B5338" s="87" t="str">
        <f>IFERROR(__xludf.DUMMYFUNCTION("""COMPUTED_VALUE"""),"[Nhãn Thùng]")</f>
        <v>[Nhãn Thùng]</v>
      </c>
      <c r="C5338" s="87" t="str">
        <f>IFERROR(__xludf.DUMMYFUNCTION("""COMPUTED_VALUE"""),"NDT4435")</f>
        <v>NDT4435</v>
      </c>
      <c r="D5338" s="87" t="str">
        <f>IFERROR(__xludf.DUMMYFUNCTION("""COMPUTED_VALUE"""),"[Nhãn Thùng] GC - IV - 4435 - CTY VISANTO - EMAXTIN 55.5WG (Dạng cốm màu trắng ngà) - 100gr - 100")</f>
        <v>[Nhãn Thùng] GC - IV - 4435 - CTY VISANTO - EMAXTIN 55.5WG (Dạng cốm màu trắng ngà) - 100gr - 100</v>
      </c>
      <c r="E5338" s="87" t="str">
        <f>IFERROR(__xludf.DUMMYFUNCTION("""COMPUTED_VALUE"""),"Emaxtin 55.5WG")</f>
        <v>Emaxtin 55.5WG</v>
      </c>
      <c r="F5338" s="87" t="str">
        <f>IFERROR(__xludf.DUMMYFUNCTION("""COMPUTED_VALUE"""),"HH4435")</f>
        <v>HH4435</v>
      </c>
      <c r="G5338" s="87" t="str">
        <f>IFERROR(__xludf.DUMMYFUNCTION("""COMPUTED_VALUE"""),"GC - IV - 4435 - CTY VISANTO - EMAXTIN 55.5WG (Dạng cốm màu trắng ngà) - 100gr - 100")</f>
        <v>GC - IV - 4435 - CTY VISANTO - EMAXTIN 55.5WG (Dạng cốm màu trắng ngà) - 100gr - 100</v>
      </c>
    </row>
    <row r="5339">
      <c r="A5339" s="86">
        <f>IFERROR(__xludf.DUMMYFUNCTION("""COMPUTED_VALUE"""),5337.0)</f>
        <v>5337</v>
      </c>
      <c r="B5339" s="87" t="str">
        <f>IFERROR(__xludf.DUMMYFUNCTION("""COMPUTED_VALUE"""),"[Nhãn]")</f>
        <v>[Nhãn]</v>
      </c>
      <c r="C5339" s="87" t="str">
        <f>IFERROR(__xludf.DUMMYFUNCTION("""COMPUTED_VALUE"""),"NTN4465")</f>
        <v>NTN4465</v>
      </c>
      <c r="D5339" s="87" t="str">
        <f>IFERROR(__xludf.DUMMYFUNCTION("""COMPUTED_VALUE"""),"[Nhãn] GC - IV - 4465 - CTY CAPY GLOBAL - Metalaxyl (Bột trắng)  - 100gr - 100")</f>
        <v>[Nhãn] GC - IV - 4465 - CTY CAPY GLOBAL - Metalaxyl (Bột trắng)  - 100gr - 100</v>
      </c>
      <c r="E5339" s="87" t="str">
        <f>IFERROR(__xludf.DUMMYFUNCTION("""COMPUTED_VALUE"""),"Acodyl 35WP")</f>
        <v>Acodyl 35WP</v>
      </c>
      <c r="F5339" s="87" t="str">
        <f>IFERROR(__xludf.DUMMYFUNCTION("""COMPUTED_VALUE"""),"HH4465")</f>
        <v>HH4465</v>
      </c>
      <c r="G5339" s="87" t="str">
        <f>IFERROR(__xludf.DUMMYFUNCTION("""COMPUTED_VALUE"""),"GC - IV - 4465 - CTY CAPY GLOBAL - Metalaxyl (Bột trắng)  - 100gr - 100")</f>
        <v>GC - IV - 4465 - CTY CAPY GLOBAL - Metalaxyl (Bột trắng)  - 100gr - 100</v>
      </c>
    </row>
    <row r="5340">
      <c r="A5340" s="86">
        <f>IFERROR(__xludf.DUMMYFUNCTION("""COMPUTED_VALUE"""),5338.0)</f>
        <v>5338</v>
      </c>
      <c r="B5340" s="87" t="str">
        <f>IFERROR(__xludf.DUMMYFUNCTION("""COMPUTED_VALUE"""),"[Nhãn Thùng]")</f>
        <v>[Nhãn Thùng]</v>
      </c>
      <c r="C5340" s="87" t="str">
        <f>IFERROR(__xludf.DUMMYFUNCTION("""COMPUTED_VALUE"""),"NDT4465")</f>
        <v>NDT4465</v>
      </c>
      <c r="D5340" s="87" t="str">
        <f>IFERROR(__xludf.DUMMYFUNCTION("""COMPUTED_VALUE"""),"[Nhãn Thùng] GC - IV - 4465 - CTY CAPY GLOBAL - Metalaxyl (Bột trắng)  - 100gr - 100")</f>
        <v>[Nhãn Thùng] GC - IV - 4465 - CTY CAPY GLOBAL - Metalaxyl (Bột trắng)  - 100gr - 100</v>
      </c>
      <c r="E5340" s="87" t="str">
        <f>IFERROR(__xludf.DUMMYFUNCTION("""COMPUTED_VALUE"""),"Acodyl 35WP")</f>
        <v>Acodyl 35WP</v>
      </c>
      <c r="F5340" s="87" t="str">
        <f>IFERROR(__xludf.DUMMYFUNCTION("""COMPUTED_VALUE"""),"HH4465")</f>
        <v>HH4465</v>
      </c>
      <c r="G5340" s="87" t="str">
        <f>IFERROR(__xludf.DUMMYFUNCTION("""COMPUTED_VALUE"""),"GC - IV - 4465 - CTY CAPY GLOBAL - Metalaxyl (Bột trắng)  - 100gr - 100")</f>
        <v>GC - IV - 4465 - CTY CAPY GLOBAL - Metalaxyl (Bột trắng)  - 100gr - 100</v>
      </c>
    </row>
    <row r="5341">
      <c r="A5341" s="86">
        <f>IFERROR(__xludf.DUMMYFUNCTION("""COMPUTED_VALUE"""),5339.0)</f>
        <v>5339</v>
      </c>
      <c r="B5341" s="87" t="str">
        <f>IFERROR(__xludf.DUMMYFUNCTION("""COMPUTED_VALUE"""),"[Nhãn]")</f>
        <v>[Nhãn]</v>
      </c>
      <c r="C5341" s="87" t="str">
        <f>IFERROR(__xludf.DUMMYFUNCTION("""COMPUTED_VALUE"""),"NHD4492")</f>
        <v>NHD4492</v>
      </c>
      <c r="D5341" s="87" t="str">
        <f>IFERROR(__xludf.DUMMYFUNCTION("""COMPUTED_VALUE"""),"[Nhãn]  GC - IV - 4492 - CTY DONA VINA - DONA SOIL PH (Nước nâu đen) - 5L - 4")</f>
        <v>[Nhãn]  GC - IV - 4492 - CTY DONA VINA - DONA SOIL PH (Nước nâu đen) - 5L - 4</v>
      </c>
      <c r="E5341" s="87" t="str">
        <f>IFERROR(__xludf.DUMMYFUNCTION("""COMPUTED_VALUE"""),"Hữu cơ SH Agro Organic Fertilizer 20")</f>
        <v>Hữu cơ SH Agro Organic Fertilizer 20</v>
      </c>
      <c r="F5341" s="87" t="str">
        <f>IFERROR(__xludf.DUMMYFUNCTION("""COMPUTED_VALUE"""),"HH4492")</f>
        <v>HH4492</v>
      </c>
      <c r="G5341" s="87" t="str">
        <f>IFERROR(__xludf.DUMMYFUNCTION("""COMPUTED_VALUE"""),"GC - IV - 4492 - CTY DONA VINA - DONA SOIL PH (Nước nâu đen) - 5L - 4")</f>
        <v>GC - IV - 4492 - CTY DONA VINA - DONA SOIL PH (Nước nâu đen) - 5L - 4</v>
      </c>
    </row>
    <row r="5342">
      <c r="A5342" s="86">
        <f>IFERROR(__xludf.DUMMYFUNCTION("""COMPUTED_VALUE"""),5340.0)</f>
        <v>5340</v>
      </c>
      <c r="B5342" s="87" t="str">
        <f>IFERROR(__xludf.DUMMYFUNCTION("""COMPUTED_VALUE"""),"[Nhãn Thùng]")</f>
        <v>[Nhãn Thùng]</v>
      </c>
      <c r="C5342" s="87" t="str">
        <f>IFERROR(__xludf.DUMMYFUNCTION("""COMPUTED_VALUE"""),"NDT4492")</f>
        <v>NDT4492</v>
      </c>
      <c r="D5342" s="87" t="str">
        <f>IFERROR(__xludf.DUMMYFUNCTION("""COMPUTED_VALUE"""),"[Nhãn Thùng]  GC - IV - 4492 - CTY DONA VINA - DONA SOIL PH (Nước nâu đen) - 5L - 4")</f>
        <v>[Nhãn Thùng]  GC - IV - 4492 - CTY DONA VINA - DONA SOIL PH (Nước nâu đen) - 5L - 4</v>
      </c>
      <c r="E5342" s="87" t="str">
        <f>IFERROR(__xludf.DUMMYFUNCTION("""COMPUTED_VALUE"""),"Hữu cơ SH Agro Organic Fertilizer 20")</f>
        <v>Hữu cơ SH Agro Organic Fertilizer 20</v>
      </c>
      <c r="F5342" s="87" t="str">
        <f>IFERROR(__xludf.DUMMYFUNCTION("""COMPUTED_VALUE"""),"HH4492")</f>
        <v>HH4492</v>
      </c>
      <c r="G5342" s="87" t="str">
        <f>IFERROR(__xludf.DUMMYFUNCTION("""COMPUTED_VALUE"""),"GC - IV - 4492 - CTY DONA VINA - DONA SOIL PH (Nước nâu đen) - 5L - 4")</f>
        <v>GC - IV - 4492 - CTY DONA VINA - DONA SOIL PH (Nước nâu đen) - 5L - 4</v>
      </c>
    </row>
    <row r="5343">
      <c r="A5343" s="86">
        <f>IFERROR(__xludf.DUMMYFUNCTION("""COMPUTED_VALUE"""),5341.0)</f>
        <v>5341</v>
      </c>
      <c r="B5343" s="87" t="str">
        <f>IFERROR(__xludf.DUMMYFUNCTION("""COMPUTED_VALUE"""),"[Nhãn]")</f>
        <v>[Nhãn]</v>
      </c>
      <c r="C5343" s="87" t="str">
        <f>IFERROR(__xludf.DUMMYFUNCTION("""COMPUTED_VALUE"""),"NTN4445")</f>
        <v>NTN4445</v>
      </c>
      <c r="D5343" s="87" t="str">
        <f>IFERROR(__xludf.DUMMYFUNCTION("""COMPUTED_VALUE"""),"[Nhãn] GC - IV - 4445 - A Thời GNH - HUMMAX (vẩy nâu đen) - 1kg - 25")</f>
        <v>[Nhãn] GC - IV - 4445 - A Thời GNH - HUMMAX (vẩy nâu đen) - 1kg - 25</v>
      </c>
      <c r="E5343" s="87" t="str">
        <f>IFERROR(__xludf.DUMMYFUNCTION("""COMPUTED_VALUE"""),"Hữu cơ sinh học Nam Kinh 02")</f>
        <v>Hữu cơ sinh học Nam Kinh 02</v>
      </c>
      <c r="F5343" s="87" t="str">
        <f>IFERROR(__xludf.DUMMYFUNCTION("""COMPUTED_VALUE"""),"HH4445")</f>
        <v>HH4445</v>
      </c>
      <c r="G5343" s="87" t="str">
        <f>IFERROR(__xludf.DUMMYFUNCTION("""COMPUTED_VALUE"""),"GC - IV - 4445 - A Thời GNH - HUMMAX (vẩy nâu đen) - 1kg - 25")</f>
        <v>GC - IV - 4445 - A Thời GNH - HUMMAX (vẩy nâu đen) - 1kg - 25</v>
      </c>
    </row>
    <row r="5344">
      <c r="A5344" s="86">
        <f>IFERROR(__xludf.DUMMYFUNCTION("""COMPUTED_VALUE"""),5342.0)</f>
        <v>5342</v>
      </c>
      <c r="B5344" s="87" t="str">
        <f>IFERROR(__xludf.DUMMYFUNCTION("""COMPUTED_VALUE"""),"[Nhãn Thùng]")</f>
        <v>[Nhãn Thùng]</v>
      </c>
      <c r="C5344" s="87" t="str">
        <f>IFERROR(__xludf.DUMMYFUNCTION("""COMPUTED_VALUE"""),"NDT4445")</f>
        <v>NDT4445</v>
      </c>
      <c r="D5344" s="87" t="str">
        <f>IFERROR(__xludf.DUMMYFUNCTION("""COMPUTED_VALUE"""),"[Nhãn Thùng] GC - IV - 4445 - A Thời GNH - HUMMAX (vẩy nâu đen) - 1kg - 25")</f>
        <v>[Nhãn Thùng] GC - IV - 4445 - A Thời GNH - HUMMAX (vẩy nâu đen) - 1kg - 25</v>
      </c>
      <c r="E5344" s="87" t="str">
        <f>IFERROR(__xludf.DUMMYFUNCTION("""COMPUTED_VALUE"""),"Hữu cơ sinh học Nam Kinh 02")</f>
        <v>Hữu cơ sinh học Nam Kinh 02</v>
      </c>
      <c r="F5344" s="87" t="str">
        <f>IFERROR(__xludf.DUMMYFUNCTION("""COMPUTED_VALUE"""),"HH4445")</f>
        <v>HH4445</v>
      </c>
      <c r="G5344" s="87" t="str">
        <f>IFERROR(__xludf.DUMMYFUNCTION("""COMPUTED_VALUE"""),"GC - IV - 4445 - A Thời GNH - HUMMAX (vẩy nâu đen) - 1kg - 25")</f>
        <v>GC - IV - 4445 - A Thời GNH - HUMMAX (vẩy nâu đen) - 1kg - 25</v>
      </c>
    </row>
    <row r="5345">
      <c r="A5345" s="86">
        <f>IFERROR(__xludf.DUMMYFUNCTION("""COMPUTED_VALUE"""),5343.0)</f>
        <v>5343</v>
      </c>
      <c r="B5345" s="87" t="str">
        <f>IFERROR(__xludf.DUMMYFUNCTION("""COMPUTED_VALUE"""),"[Nhãn]")</f>
        <v>[Nhãn]</v>
      </c>
      <c r="C5345" s="87" t="str">
        <f>IFERROR(__xludf.DUMMYFUNCTION("""COMPUTED_VALUE"""),"NHG4496")</f>
        <v>NHG4496</v>
      </c>
      <c r="D5345" s="87" t="str">
        <f>IFERROR(__xludf.DUMMYFUNCTION("""COMPUTED_VALUE"""),"[Nhãn] GC - IV - 4496 - CTY Bảy Phận - CÁ KIẾM (Nước nâu đen) - 450ml - 40")</f>
        <v>[Nhãn] GC - IV - 4496 - CTY Bảy Phận - CÁ KIẾM (Nước nâu đen) - 450ml - 40</v>
      </c>
      <c r="E5345" s="87" t="str">
        <f>IFERROR(__xludf.DUMMYFUNCTION("""COMPUTED_VALUE"""),"HAIHAMEC 3.6EC")</f>
        <v>HAIHAMEC 3.6EC</v>
      </c>
      <c r="F5345" s="87" t="str">
        <f>IFERROR(__xludf.DUMMYFUNCTION("""COMPUTED_VALUE"""),"HH4496")</f>
        <v>HH4496</v>
      </c>
      <c r="G5345" s="87" t="str">
        <f>IFERROR(__xludf.DUMMYFUNCTION("""COMPUTED_VALUE"""),"GC - IV - 4496 - CTY Bảy Phận - CÁ KIẾM (Nước nâu đen) - 450ml - 40")</f>
        <v>GC - IV - 4496 - CTY Bảy Phận - CÁ KIẾM (Nước nâu đen) - 450ml - 40</v>
      </c>
    </row>
    <row r="5346">
      <c r="A5346" s="86">
        <f>IFERROR(__xludf.DUMMYFUNCTION("""COMPUTED_VALUE"""),5344.0)</f>
        <v>5344</v>
      </c>
      <c r="B5346" s="87" t="str">
        <f>IFERROR(__xludf.DUMMYFUNCTION("""COMPUTED_VALUE"""),"[Nhãn]")</f>
        <v>[Nhãn]</v>
      </c>
      <c r="C5346" s="87" t="str">
        <f>IFERROR(__xludf.DUMMYFUNCTION("""COMPUTED_VALUE"""),"NHG4497")</f>
        <v>NHG4497</v>
      </c>
      <c r="D5346" s="87" t="str">
        <f>IFERROR(__xludf.DUMMYFUNCTION("""COMPUTED_VALUE"""),"[Nhãn] GC - IV - 4497 - CTY Bảy Phận - TIGER 3.6 (Nước nâu đen) - 450ml - 40")</f>
        <v>[Nhãn] GC - IV - 4497 - CTY Bảy Phận - TIGER 3.6 (Nước nâu đen) - 450ml - 40</v>
      </c>
      <c r="E5346" s="87" t="str">
        <f>IFERROR(__xludf.DUMMYFUNCTION("""COMPUTED_VALUE"""),"HAIHAMEC 3.6EC")</f>
        <v>HAIHAMEC 3.6EC</v>
      </c>
      <c r="F5346" s="87" t="str">
        <f>IFERROR(__xludf.DUMMYFUNCTION("""COMPUTED_VALUE"""),"HH4497")</f>
        <v>HH4497</v>
      </c>
      <c r="G5346" s="87" t="str">
        <f>IFERROR(__xludf.DUMMYFUNCTION("""COMPUTED_VALUE"""),"GC - IV - 4497 - CTY Bảy Phận - TIGER 3.6 (Nước nâu đen) - 450ml - 40")</f>
        <v>GC - IV - 4497 - CTY Bảy Phận - TIGER 3.6 (Nước nâu đen) - 450ml - 40</v>
      </c>
    </row>
    <row r="5347">
      <c r="A5347" s="86">
        <f>IFERROR(__xludf.DUMMYFUNCTION("""COMPUTED_VALUE"""),5345.0)</f>
        <v>5345</v>
      </c>
      <c r="B5347" s="87" t="str">
        <f>IFERROR(__xludf.DUMMYFUNCTION("""COMPUTED_VALUE"""),"[Nhãn]")</f>
        <v>[Nhãn]</v>
      </c>
      <c r="C5347" s="87" t="str">
        <f>IFERROR(__xludf.DUMMYFUNCTION("""COMPUTED_VALUE"""),"NHG4419")</f>
        <v>NHG4419</v>
      </c>
      <c r="D5347" s="87" t="str">
        <f>IFERROR(__xludf.DUMMYFUNCTION("""COMPUTED_VALUE"""),"[Nhãn] IDA Global - I - 4419 - KASUGAMYCIN (Nước xanh lá) - 450ml - 40")</f>
        <v>[Nhãn] IDA Global - I - 4419 - KASUGAMYCIN (Nước xanh lá) - 450ml - 40</v>
      </c>
      <c r="E5347" s="87" t="str">
        <f>IFERROR(__xludf.DUMMYFUNCTION("""COMPUTED_VALUE"""),"KARIDE 3SL")</f>
        <v>KARIDE 3SL</v>
      </c>
      <c r="F5347" s="87" t="str">
        <f>IFERROR(__xludf.DUMMYFUNCTION("""COMPUTED_VALUE"""),"HH4419")</f>
        <v>HH4419</v>
      </c>
      <c r="G5347" s="87" t="str">
        <f>IFERROR(__xludf.DUMMYFUNCTION("""COMPUTED_VALUE"""),"IDA Global - I - 4419 - KASUGAMYCIN (Nước xanh lá) - 450ml - 40")</f>
        <v>IDA Global - I - 4419 - KASUGAMYCIN (Nước xanh lá) - 450ml - 40</v>
      </c>
    </row>
    <row r="5348">
      <c r="A5348" s="86">
        <f>IFERROR(__xludf.DUMMYFUNCTION("""COMPUTED_VALUE"""),5346.0)</f>
        <v>5346</v>
      </c>
      <c r="B5348" s="87" t="str">
        <f>IFERROR(__xludf.DUMMYFUNCTION("""COMPUTED_VALUE"""),"[Nhãn]")</f>
        <v>[Nhãn]</v>
      </c>
      <c r="C5348" s="87" t="str">
        <f>IFERROR(__xludf.DUMMYFUNCTION("""COMPUTED_VALUE"""),"NHG4420")</f>
        <v>NHG4420</v>
      </c>
      <c r="D5348" s="87" t="str">
        <f>IFERROR(__xludf.DUMMYFUNCTION("""COMPUTED_VALUE"""),"[Nhãn] IDA Global - I - 4420 - ISOPRO 40 (Nước vàng nhạt) - 450ml - 40")</f>
        <v>[Nhãn] IDA Global - I - 4420 - ISOPRO 40 (Nước vàng nhạt) - 450ml - 40</v>
      </c>
      <c r="E5348" s="87" t="str">
        <f>IFERROR(__xludf.DUMMYFUNCTION("""COMPUTED_VALUE"""),"ANFUAN 40EC")</f>
        <v>ANFUAN 40EC</v>
      </c>
      <c r="F5348" s="87" t="str">
        <f>IFERROR(__xludf.DUMMYFUNCTION("""COMPUTED_VALUE"""),"HH4420")</f>
        <v>HH4420</v>
      </c>
      <c r="G5348" s="87" t="str">
        <f>IFERROR(__xludf.DUMMYFUNCTION("""COMPUTED_VALUE"""),"IDA Global - I - 4420 - ISOPRO 40 (Nước vàng nhạt) - 450ml - 40")</f>
        <v>IDA Global - I - 4420 - ISOPRO 40 (Nước vàng nhạt) - 450ml - 40</v>
      </c>
    </row>
    <row r="5349">
      <c r="A5349" s="86">
        <f>IFERROR(__xludf.DUMMYFUNCTION("""COMPUTED_VALUE"""),5347.0)</f>
        <v>5347</v>
      </c>
      <c r="B5349" s="87" t="str">
        <f>IFERROR(__xludf.DUMMYFUNCTION("""COMPUTED_VALUE"""),"[Nhãn]")</f>
        <v>[Nhãn]</v>
      </c>
      <c r="C5349" s="87" t="str">
        <f>IFERROR(__xludf.DUMMYFUNCTION("""COMPUTED_VALUE"""),"NHG4483")</f>
        <v>NHG4483</v>
      </c>
      <c r="D5349" s="87" t="str">
        <f>IFERROR(__xludf.DUMMYFUNCTION("""COMPUTED_VALUE"""),"[Nhãn] IDA Global - I - 4483 - CTY HẠT LÚA VÀNG - FLOWER MAX SC (Nước trắng sữa) - 450ml - 40")</f>
        <v>[Nhãn] IDA Global - I - 4483 - CTY HẠT LÚA VÀNG - FLOWER MAX SC (Nước trắng sữa) - 450ml - 40</v>
      </c>
      <c r="E5349" s="87" t="str">
        <f>IFERROR(__xludf.DUMMYFUNCTION("""COMPUTED_VALUE"""),"Vi lượng Basel IDA 47")</f>
        <v>Vi lượng Basel IDA 47</v>
      </c>
      <c r="F5349" s="87" t="str">
        <f>IFERROR(__xludf.DUMMYFUNCTION("""COMPUTED_VALUE"""),"HH4483")</f>
        <v>HH4483</v>
      </c>
      <c r="G5349" s="87" t="str">
        <f>IFERROR(__xludf.DUMMYFUNCTION("""COMPUTED_VALUE"""),"IDA Global - I - 4483 - CTY HẠT LÚA VÀNG - FLOWER MAX SC (Nước trắng sữa) - 450ml - 40")</f>
        <v>IDA Global - I - 4483 - CTY HẠT LÚA VÀNG - FLOWER MAX SC (Nước trắng sữa) - 450ml - 40</v>
      </c>
    </row>
    <row r="5350">
      <c r="A5350" s="86">
        <f>IFERROR(__xludf.DUMMYFUNCTION("""COMPUTED_VALUE"""),5348.0)</f>
        <v>5348</v>
      </c>
      <c r="B5350" s="87" t="str">
        <f>IFERROR(__xludf.DUMMYFUNCTION("""COMPUTED_VALUE"""),"[Nhãn]")</f>
        <v>[Nhãn]</v>
      </c>
      <c r="C5350" s="87" t="str">
        <f>IFERROR(__xludf.DUMMYFUNCTION("""COMPUTED_VALUE"""),"NHG4474")</f>
        <v>NHG4474</v>
      </c>
      <c r="D5350" s="87" t="str">
        <f>IFERROR(__xludf.DUMMYFUNCTION("""COMPUTED_VALUE"""),"[Nhãn] GC - IV - 4474 - CTY BIO GREEN SDB - BIO BREAK (Nước nâu đen) - 450ml - 40")</f>
        <v>[Nhãn] GC - IV - 4474 - CTY BIO GREEN SDB - BIO BREAK (Nước nâu đen) - 450ml - 40</v>
      </c>
      <c r="E5350" s="87" t="str">
        <f>IFERROR(__xludf.DUMMYFUNCTION("""COMPUTED_VALUE"""),"HAIHAMEC 3.6EC")</f>
        <v>HAIHAMEC 3.6EC</v>
      </c>
      <c r="F5350" s="87" t="str">
        <f>IFERROR(__xludf.DUMMYFUNCTION("""COMPUTED_VALUE"""),"HH4474")</f>
        <v>HH4474</v>
      </c>
      <c r="G5350" s="87" t="str">
        <f>IFERROR(__xludf.DUMMYFUNCTION("""COMPUTED_VALUE"""),"GC - IV - 4474 - CTY BIO GREEN SDB - BIO BREAK (Nước nâu đen) - 450ml - 40")</f>
        <v>GC - IV - 4474 - CTY BIO GREEN SDB - BIO BREAK (Nước nâu đen) - 450ml - 40</v>
      </c>
    </row>
    <row r="5351">
      <c r="A5351" s="86">
        <f>IFERROR(__xludf.DUMMYFUNCTION("""COMPUTED_VALUE"""),5349.0)</f>
        <v>5349</v>
      </c>
      <c r="B5351" s="87" t="str">
        <f>IFERROR(__xludf.DUMMYFUNCTION("""COMPUTED_VALUE"""),"[Nhãn]")</f>
        <v>[Nhãn]</v>
      </c>
      <c r="C5351" s="87" t="str">
        <f>IFERROR(__xludf.DUMMYFUNCTION("""COMPUTED_VALUE"""),"NHG4495")</f>
        <v>NHG4495</v>
      </c>
      <c r="D5351" s="87" t="str">
        <f>IFERROR(__xludf.DUMMYFUNCTION("""COMPUTED_VALUE"""),"[Nhãn] GC - IV - 4495 - NANOFISH - ARI PH (nước nâu đen) - 1L - 20")</f>
        <v>[Nhãn] GC - IV - 4495 - NANOFISH - ARI PH (nước nâu đen) - 1L - 20</v>
      </c>
      <c r="E5351" s="87" t="str">
        <f>IFERROR(__xludf.DUMMYFUNCTION("""COMPUTED_VALUE"""),"Hữu cơ SH Agro Organic Fertilizer 20")</f>
        <v>Hữu cơ SH Agro Organic Fertilizer 20</v>
      </c>
      <c r="F5351" s="87" t="str">
        <f>IFERROR(__xludf.DUMMYFUNCTION("""COMPUTED_VALUE"""),"HH4495")</f>
        <v>HH4495</v>
      </c>
      <c r="G5351" s="87" t="str">
        <f>IFERROR(__xludf.DUMMYFUNCTION("""COMPUTED_VALUE"""),"GC - IV - 4495 - NANOFISH - ARI PH (nước nâu đen) - 1L - 20")</f>
        <v>GC - IV - 4495 - NANOFISH - ARI PH (nước nâu đen) - 1L - 20</v>
      </c>
    </row>
    <row r="5352">
      <c r="A5352" s="86">
        <f>IFERROR(__xludf.DUMMYFUNCTION("""COMPUTED_VALUE"""),5350.0)</f>
        <v>5350</v>
      </c>
      <c r="B5352" s="87" t="str">
        <f>IFERROR(__xludf.DUMMYFUNCTION("""COMPUTED_VALUE"""),"[Nhãn]")</f>
        <v>[Nhãn]</v>
      </c>
      <c r="C5352" s="87" t="str">
        <f>IFERROR(__xludf.DUMMYFUNCTION("""COMPUTED_VALUE"""),"NHG3928")</f>
        <v>NHG3928</v>
      </c>
      <c r="D5352" s="87" t="str">
        <f>IFERROR(__xludf.DUMMYFUNCTION("""COMPUTED_VALUE"""),"[Nhãn] GC - IV - 3928 - CTY GNH - ROOT UP (Nước nâu đen) - 250ml - 40")</f>
        <v>[Nhãn] GC - IV - 3928 - CTY GNH - ROOT UP (Nước nâu đen) - 250ml - 40</v>
      </c>
      <c r="E5352" s="87" t="str">
        <f>IFERROR(__xludf.DUMMYFUNCTION("""COMPUTED_VALUE"""),"Hữu cơ SH Agro Organic Fertilizer 20")</f>
        <v>Hữu cơ SH Agro Organic Fertilizer 20</v>
      </c>
      <c r="F5352" s="87" t="str">
        <f>IFERROR(__xludf.DUMMYFUNCTION("""COMPUTED_VALUE"""),"HH3928")</f>
        <v>HH3928</v>
      </c>
      <c r="G5352" s="87" t="str">
        <f>IFERROR(__xludf.DUMMYFUNCTION("""COMPUTED_VALUE"""),"GC - IV - 3928 - CTY GNH - ROOT UP (Nước nâu đen) - 250ml - 40")</f>
        <v>GC - IV - 3928 - CTY GNH - ROOT UP (Nước nâu đen) - 250ml - 40</v>
      </c>
    </row>
    <row r="5353">
      <c r="A5353" s="86">
        <f>IFERROR(__xludf.DUMMYFUNCTION("""COMPUTED_VALUE"""),5351.0)</f>
        <v>5351</v>
      </c>
      <c r="B5353" s="87" t="str">
        <f>IFERROR(__xludf.DUMMYFUNCTION("""COMPUTED_VALUE"""),"[Nhãn]")</f>
        <v>[Nhãn]</v>
      </c>
      <c r="C5353" s="87" t="str">
        <f>IFERROR(__xludf.DUMMYFUNCTION("""COMPUTED_VALUE"""),"NHG4491")</f>
        <v>NHG4491</v>
      </c>
      <c r="D5353" s="87" t="str">
        <f>IFERROR(__xludf.DUMMYFUNCTION("""COMPUTED_VALUE"""),"[Nhãn] GC - IV - 4491 - Cty Hóa Nông Shino - KALI SỮA (Nước hồng sữa) - 500ml - 30")</f>
        <v>[Nhãn] GC - IV - 4491 - Cty Hóa Nông Shino - KALI SỮA (Nước hồng sữa) - 500ml - 30</v>
      </c>
      <c r="E5353" s="87" t="str">
        <f>IFERROR(__xludf.DUMMYFUNCTION("""COMPUTED_VALUE"""),"HỖN HỢP NPK AGAMA-SRH")</f>
        <v>HỖN HỢP NPK AGAMA-SRH</v>
      </c>
      <c r="F5353" s="87" t="str">
        <f>IFERROR(__xludf.DUMMYFUNCTION("""COMPUTED_VALUE"""),"HH4491")</f>
        <v>HH4491</v>
      </c>
      <c r="G5353" s="87" t="str">
        <f>IFERROR(__xludf.DUMMYFUNCTION("""COMPUTED_VALUE"""),"GC - IV - 4491 - Cty Hóa Nông Shino - KALI SỮA (Nước hồng sữa) - 500ml - 30")</f>
        <v>GC - IV - 4491 - Cty Hóa Nông Shino - KALI SỮA (Nước hồng sữa) - 500ml - 30</v>
      </c>
    </row>
    <row r="5354">
      <c r="A5354" s="86">
        <f>IFERROR(__xludf.DUMMYFUNCTION("""COMPUTED_VALUE"""),5352.0)</f>
        <v>5352</v>
      </c>
      <c r="B5354" s="87" t="str">
        <f>IFERROR(__xludf.DUMMYFUNCTION("""COMPUTED_VALUE"""),"[Nhãn]")</f>
        <v>[Nhãn]</v>
      </c>
      <c r="C5354" s="87" t="str">
        <f>IFERROR(__xludf.DUMMYFUNCTION("""COMPUTED_VALUE"""),"NHG4490")</f>
        <v>NHG4490</v>
      </c>
      <c r="D5354" s="87" t="str">
        <f>IFERROR(__xludf.DUMMYFUNCTION("""COMPUTED_VALUE"""),"[Nhãn] GC - IV - 4490 - CTY NAUY - NANO DƯỠNG ĐÒNG (Nước nâu đen) - 500ml - 40")</f>
        <v>[Nhãn] GC - IV - 4490 - CTY NAUY - NANO DƯỠNG ĐÒNG (Nước nâu đen) - 500ml - 40</v>
      </c>
      <c r="E5354" s="87" t="str">
        <f>IFERROR(__xludf.DUMMYFUNCTION("""COMPUTED_VALUE"""),"Vi lượng AGAMA-SUPPORT")</f>
        <v>Vi lượng AGAMA-SUPPORT</v>
      </c>
      <c r="F5354" s="87" t="str">
        <f>IFERROR(__xludf.DUMMYFUNCTION("""COMPUTED_VALUE"""),"HH4490")</f>
        <v>HH4490</v>
      </c>
      <c r="G5354" s="87" t="str">
        <f>IFERROR(__xludf.DUMMYFUNCTION("""COMPUTED_VALUE"""),"GC - IV - 4490 - CTY NAUY - NANO DƯỠNG ĐÒNG (Nước nâu đen) - 500ml - 40")</f>
        <v>GC - IV - 4490 - CTY NAUY - NANO DƯỠNG ĐÒNG (Nước nâu đen) - 500ml - 40</v>
      </c>
    </row>
    <row r="5355">
      <c r="A5355" s="86">
        <f>IFERROR(__xludf.DUMMYFUNCTION("""COMPUTED_VALUE"""),5353.0)</f>
        <v>5353</v>
      </c>
      <c r="B5355" s="87" t="str">
        <f>IFERROR(__xludf.DUMMYFUNCTION("""COMPUTED_VALUE"""),"[Nhãn]")</f>
        <v>[Nhãn]</v>
      </c>
      <c r="C5355" s="87" t="str">
        <f>IFERROR(__xludf.DUMMYFUNCTION("""COMPUTED_VALUE"""),"NHG4504")</f>
        <v>NHG4504</v>
      </c>
      <c r="D5355" s="87" t="str">
        <f>IFERROR(__xludf.DUMMYFUNCTION("""COMPUTED_VALUE"""),"[Nhãn]  GC - IX - 4504 - N2SBIO - ROOTS + (Nước nâu đen) - 100ml - 50")</f>
        <v>[Nhãn]  GC - IX - 4504 - N2SBIO - ROOTS + (Nước nâu đen) - 100ml - 50</v>
      </c>
      <c r="E5355" s="87" t="str">
        <f>IFERROR(__xludf.DUMMYFUNCTION("""COMPUTED_VALUE"""),"Hữu cơ ROOTS US90")</f>
        <v>Hữu cơ ROOTS US90</v>
      </c>
      <c r="F5355" s="87" t="str">
        <f>IFERROR(__xludf.DUMMYFUNCTION("""COMPUTED_VALUE"""),"HH4504")</f>
        <v>HH4504</v>
      </c>
      <c r="G5355" s="87" t="str">
        <f>IFERROR(__xludf.DUMMYFUNCTION("""COMPUTED_VALUE"""),"GC - IX - 4504 - N2SBIO - ROOTS + (Nước nâu đen) - 100ml - 50")</f>
        <v>GC - IX - 4504 - N2SBIO - ROOTS + (Nước nâu đen) - 100ml - 50</v>
      </c>
    </row>
    <row r="5356">
      <c r="A5356" s="86">
        <f>IFERROR(__xludf.DUMMYFUNCTION("""COMPUTED_VALUE"""),5354.0)</f>
        <v>5354</v>
      </c>
      <c r="B5356" s="87" t="str">
        <f>IFERROR(__xludf.DUMMYFUNCTION("""COMPUTED_VALUE"""),"[Nhãn]")</f>
        <v>[Nhãn]</v>
      </c>
      <c r="C5356" s="87" t="str">
        <f>IFERROR(__xludf.DUMMYFUNCTION("""COMPUTED_VALUE"""),"NHG4507")</f>
        <v>NHG4507</v>
      </c>
      <c r="D5356" s="87" t="str">
        <f>IFERROR(__xludf.DUMMYFUNCTION("""COMPUTED_VALUE"""),"[Nhãn]  IDA Global - I - 4507 - KG - ORGANIC X2 (Nước nâu đen) - 1L - 20")</f>
        <v>[Nhãn]  IDA Global - I - 4507 - KG - ORGANIC X2 (Nước nâu đen) - 1L - 20</v>
      </c>
      <c r="E5356" s="87" t="str">
        <f>IFERROR(__xludf.DUMMYFUNCTION("""COMPUTED_VALUE"""),"Hữu cơ SH Agro Organic Fertilizer 20")</f>
        <v>Hữu cơ SH Agro Organic Fertilizer 20</v>
      </c>
      <c r="F5356" s="87" t="str">
        <f>IFERROR(__xludf.DUMMYFUNCTION("""COMPUTED_VALUE"""),"HH4507")</f>
        <v>HH4507</v>
      </c>
      <c r="G5356" s="87" t="str">
        <f>IFERROR(__xludf.DUMMYFUNCTION("""COMPUTED_VALUE"""),"IDA Global - I - 4507 - KG - ORGANIC X2 (Nước nâu đen) - 1L - 20")</f>
        <v>IDA Global - I - 4507 - KG - ORGANIC X2 (Nước nâu đen) - 1L - 20</v>
      </c>
    </row>
    <row r="5357">
      <c r="A5357" s="86">
        <f>IFERROR(__xludf.DUMMYFUNCTION("""COMPUTED_VALUE"""),5355.0)</f>
        <v>5355</v>
      </c>
      <c r="B5357" s="87" t="str">
        <f>IFERROR(__xludf.DUMMYFUNCTION("""COMPUTED_VALUE"""),"[Nhãn]")</f>
        <v>[Nhãn]</v>
      </c>
      <c r="C5357" s="87" t="str">
        <f>IFERROR(__xludf.DUMMYFUNCTION("""COMPUTED_VALUE"""),"NHG4290")</f>
        <v>NHG4290</v>
      </c>
      <c r="D5357" s="87" t="str">
        <f>IFERROR(__xludf.DUMMYFUNCTION("""COMPUTED_VALUE"""),"[Nhãn] GC - IV - 4290 - NEWTECH CROP SCIENCE - NEW RICE (Nước đỏ cam) - 500ml - 30")</f>
        <v>[Nhãn] GC - IV - 4290 - NEWTECH CROP SCIENCE - NEW RICE (Nước đỏ cam) - 500ml - 30</v>
      </c>
      <c r="E5357" s="87" t="str">
        <f>IFERROR(__xludf.DUMMYFUNCTION("""COMPUTED_VALUE"""),"NPK-Vi lượng MASSIVE-BLUE")</f>
        <v>NPK-Vi lượng MASSIVE-BLUE</v>
      </c>
      <c r="F5357" s="87" t="str">
        <f>IFERROR(__xludf.DUMMYFUNCTION("""COMPUTED_VALUE"""),"HH4290")</f>
        <v>HH4290</v>
      </c>
      <c r="G5357" s="87" t="str">
        <f>IFERROR(__xludf.DUMMYFUNCTION("""COMPUTED_VALUE"""),"GC - IV - 4290 - NEWTECH CROP SCIENCE - NEW RICE (Nước đỏ cam) - 500ml - 30")</f>
        <v>GC - IV - 4290 - NEWTECH CROP SCIENCE - NEW RICE (Nước đỏ cam) - 500ml - 30</v>
      </c>
    </row>
    <row r="5358">
      <c r="A5358" s="86">
        <f>IFERROR(__xludf.DUMMYFUNCTION("""COMPUTED_VALUE"""),5356.0)</f>
        <v>5356</v>
      </c>
      <c r="B5358" s="87" t="str">
        <f>IFERROR(__xludf.DUMMYFUNCTION("""COMPUTED_VALUE"""),"[Nhãn]")</f>
        <v>[Nhãn]</v>
      </c>
      <c r="C5358" s="87" t="str">
        <f>IFERROR(__xludf.DUMMYFUNCTION("""COMPUTED_VALUE"""),"NHG4289")</f>
        <v>NHG4289</v>
      </c>
      <c r="D5358" s="87" t="str">
        <f>IFERROR(__xludf.DUMMYFUNCTION("""COMPUTED_VALUE"""),"[Nhãn] GC - IV - 4289 - NEWTECH CROP SCIENCE - NEW ZINC (Nước vàng sữa) - 500ml - 30")</f>
        <v>[Nhãn] GC - IV - 4289 - NEWTECH CROP SCIENCE - NEW ZINC (Nước vàng sữa) - 500ml - 30</v>
      </c>
      <c r="E5358" s="87" t="str">
        <f>IFERROR(__xludf.DUMMYFUNCTION("""COMPUTED_VALUE"""),"Vi lượng MICKEY")</f>
        <v>Vi lượng MICKEY</v>
      </c>
      <c r="F5358" s="87" t="str">
        <f>IFERROR(__xludf.DUMMYFUNCTION("""COMPUTED_VALUE"""),"HH4289")</f>
        <v>HH4289</v>
      </c>
      <c r="G5358" s="87" t="str">
        <f>IFERROR(__xludf.DUMMYFUNCTION("""COMPUTED_VALUE"""),"GC - IV - 4289 - NEWTECH CROP SCIENCE - NEW ZINC (Nước vàng sữa) - 500ml - 30")</f>
        <v>GC - IV - 4289 - NEWTECH CROP SCIENCE - NEW ZINC (Nước vàng sữa) - 500ml - 30</v>
      </c>
    </row>
    <row r="5359">
      <c r="A5359" s="86">
        <f>IFERROR(__xludf.DUMMYFUNCTION("""COMPUTED_VALUE"""),5357.0)</f>
        <v>5357</v>
      </c>
      <c r="B5359" s="87" t="str">
        <f>IFERROR(__xludf.DUMMYFUNCTION("""COMPUTED_VALUE"""),"[Nhãn]")</f>
        <v>[Nhãn]</v>
      </c>
      <c r="C5359" s="87" t="str">
        <f>IFERROR(__xludf.DUMMYFUNCTION("""COMPUTED_VALUE"""),"NHG3627")</f>
        <v>NHG3627</v>
      </c>
      <c r="D5359" s="87" t="str">
        <f>IFERROR(__xludf.DUMMYFUNCTION("""COMPUTED_VALUE"""),"[Nhãn] GC - IV - 3627 - NEWTECH CROP SCIENCE - NEW PLANT (Nước nâu đen) - 500ml - 30")</f>
        <v>[Nhãn] GC - IV - 3627 - NEWTECH CROP SCIENCE - NEW PLANT (Nước nâu đen) - 500ml - 30</v>
      </c>
      <c r="E5359" s="87" t="str">
        <f>IFERROR(__xludf.DUMMYFUNCTION("""COMPUTED_VALUE"""),"Hỗn Hợp NP AGAMA-AP")</f>
        <v>Hỗn Hợp NP AGAMA-AP</v>
      </c>
      <c r="F5359" s="87" t="str">
        <f>IFERROR(__xludf.DUMMYFUNCTION("""COMPUTED_VALUE"""),"HH3627")</f>
        <v>HH3627</v>
      </c>
      <c r="G5359" s="87" t="str">
        <f>IFERROR(__xludf.DUMMYFUNCTION("""COMPUTED_VALUE"""),"GC - IV - 3627 - NEWTECH CROP SCIENCE - NEW PLANT (Nước nâu đen) - 500ml - 30")</f>
        <v>GC - IV - 3627 - NEWTECH CROP SCIENCE - NEW PLANT (Nước nâu đen) - 500ml - 30</v>
      </c>
    </row>
    <row r="5360">
      <c r="A5360" s="86">
        <f>IFERROR(__xludf.DUMMYFUNCTION("""COMPUTED_VALUE"""),5358.0)</f>
        <v>5358</v>
      </c>
      <c r="B5360" s="87" t="str">
        <f>IFERROR(__xludf.DUMMYFUNCTION("""COMPUTED_VALUE"""),"[Nhãn]")</f>
        <v>[Nhãn]</v>
      </c>
      <c r="C5360" s="87" t="str">
        <f>IFERROR(__xludf.DUMMYFUNCTION("""COMPUTED_VALUE"""),"NHG3626")</f>
        <v>NHG3626</v>
      </c>
      <c r="D5360" s="87" t="str">
        <f>IFERROR(__xludf.DUMMYFUNCTION("""COMPUTED_VALUE"""),"[Nhãn]  GC - IV - 3626 - NEWTECH CROP SCIENCE - NEW GREEN (Nước xanh nõn chuối) - 500ml - 30")</f>
        <v>[Nhãn]  GC - IV - 3626 - NEWTECH CROP SCIENCE - NEW GREEN (Nước xanh nõn chuối) - 500ml - 30</v>
      </c>
      <c r="E5360" s="87" t="str">
        <f>IFERROR(__xludf.DUMMYFUNCTION("""COMPUTED_VALUE"""),"Vi lượng Quantity New")</f>
        <v>Vi lượng Quantity New</v>
      </c>
      <c r="F5360" s="87" t="str">
        <f>IFERROR(__xludf.DUMMYFUNCTION("""COMPUTED_VALUE"""),"HH3626")</f>
        <v>HH3626</v>
      </c>
      <c r="G5360" s="87" t="str">
        <f>IFERROR(__xludf.DUMMYFUNCTION("""COMPUTED_VALUE"""),"GC - IV - 3626 - NEWTECH CROP SCIENCE - NEW GREEN (Nước xanh nõn chuối) - 500ml - 30")</f>
        <v>GC - IV - 3626 - NEWTECH CROP SCIENCE - NEW GREEN (Nước xanh nõn chuối) - 500ml - 30</v>
      </c>
    </row>
    <row r="5361">
      <c r="A5361" s="86">
        <f>IFERROR(__xludf.DUMMYFUNCTION("""COMPUTED_VALUE"""),5359.0)</f>
        <v>5359</v>
      </c>
      <c r="B5361" s="87" t="str">
        <f>IFERROR(__xludf.DUMMYFUNCTION("""COMPUTED_VALUE"""),"[Nhãn]")</f>
        <v>[Nhãn]</v>
      </c>
      <c r="C5361" s="87" t="str">
        <f>IFERROR(__xludf.DUMMYFUNCTION("""COMPUTED_VALUE"""),"NTN4429")</f>
        <v>NTN4429</v>
      </c>
      <c r="D5361" s="87" t="str">
        <f>IFERROR(__xludf.DUMMYFUNCTION("""COMPUTED_VALUE"""),"[Nhãn] GC - IV - 4429 - BIOFARM - MANCOBGO 80WP (Bột xanh) - 1kg - 20")</f>
        <v>[Nhãn] GC - IV - 4429 - BIOFARM - MANCOBGO 80WP (Bột xanh) - 1kg - 20</v>
      </c>
      <c r="E5361" s="87" t="str">
        <f>IFERROR(__xludf.DUMMYFUNCTION("""COMPUTED_VALUE"""),"MANCOBGO 80WP")</f>
        <v>MANCOBGO 80WP</v>
      </c>
      <c r="F5361" s="87" t="str">
        <f>IFERROR(__xludf.DUMMYFUNCTION("""COMPUTED_VALUE"""),"HH4429")</f>
        <v>HH4429</v>
      </c>
      <c r="G5361" s="87" t="str">
        <f>IFERROR(__xludf.DUMMYFUNCTION("""COMPUTED_VALUE"""),"GC - IV - 4429 - BIOFARM - MANCOBGO 80WP (Bột xanh) - 1kg - 20")</f>
        <v>GC - IV - 4429 - BIOFARM - MANCOBGO 80WP (Bột xanh) - 1kg - 20</v>
      </c>
    </row>
    <row r="5362">
      <c r="A5362" s="86">
        <f>IFERROR(__xludf.DUMMYFUNCTION("""COMPUTED_VALUE"""),5360.0)</f>
        <v>5360</v>
      </c>
      <c r="B5362" s="87" t="str">
        <f>IFERROR(__xludf.DUMMYFUNCTION("""COMPUTED_VALUE"""),"[Nhãn Thùng]")</f>
        <v>[Nhãn Thùng]</v>
      </c>
      <c r="C5362" s="87" t="str">
        <f>IFERROR(__xludf.DUMMYFUNCTION("""COMPUTED_VALUE"""),"NDT4429")</f>
        <v>NDT4429</v>
      </c>
      <c r="D5362" s="87" t="str">
        <f>IFERROR(__xludf.DUMMYFUNCTION("""COMPUTED_VALUE"""),"[Nhãn Thùng] GC - IV - 4429 - BIOFARM - MANCOBGO 80WP (Bột xanh) - 1kg - 20")</f>
        <v>[Nhãn Thùng] GC - IV - 4429 - BIOFARM - MANCOBGO 80WP (Bột xanh) - 1kg - 20</v>
      </c>
      <c r="E5362" s="87" t="str">
        <f>IFERROR(__xludf.DUMMYFUNCTION("""COMPUTED_VALUE"""),"MANCOBGO 80WP")</f>
        <v>MANCOBGO 80WP</v>
      </c>
      <c r="F5362" s="87" t="str">
        <f>IFERROR(__xludf.DUMMYFUNCTION("""COMPUTED_VALUE"""),"HH4429")</f>
        <v>HH4429</v>
      </c>
      <c r="G5362" s="87" t="str">
        <f>IFERROR(__xludf.DUMMYFUNCTION("""COMPUTED_VALUE"""),"GC - IV - 4429 - BIOFARM - MANCOBGO 80WP (Bột xanh) - 1kg - 20")</f>
        <v>GC - IV - 4429 - BIOFARM - MANCOBGO 80WP (Bột xanh) - 1kg - 20</v>
      </c>
    </row>
    <row r="5363">
      <c r="A5363" s="86">
        <f>IFERROR(__xludf.DUMMYFUNCTION("""COMPUTED_VALUE"""),5361.0)</f>
        <v>5361</v>
      </c>
      <c r="B5363" s="87" t="str">
        <f>IFERROR(__xludf.DUMMYFUNCTION("""COMPUTED_VALUE"""),"[Nhãn]")</f>
        <v>[Nhãn]</v>
      </c>
      <c r="C5363" s="87" t="str">
        <f>IFERROR(__xludf.DUMMYFUNCTION("""COMPUTED_VALUE"""),"NTN4427")</f>
        <v>NTN4427</v>
      </c>
      <c r="D5363" s="87" t="str">
        <f>IFERROR(__xludf.DUMMYFUNCTION("""COMPUTED_VALUE"""),"[Nhãn]  GC - IV - 4427 - BIOFARM - NOMIDA 700WG (Dạng cốm màu trắng ngà) - 50gr - 200")</f>
        <v>[Nhãn]  GC - IV - 4427 - BIOFARM - NOMIDA 700WG (Dạng cốm màu trắng ngà) - 50gr - 200</v>
      </c>
      <c r="E5363" s="87" t="str">
        <f>IFERROR(__xludf.DUMMYFUNCTION("""COMPUTED_VALUE"""),"NOMIDA 700WG")</f>
        <v>NOMIDA 700WG</v>
      </c>
      <c r="F5363" s="87" t="str">
        <f>IFERROR(__xludf.DUMMYFUNCTION("""COMPUTED_VALUE"""),"HH4427")</f>
        <v>HH4427</v>
      </c>
      <c r="G5363" s="87" t="str">
        <f>IFERROR(__xludf.DUMMYFUNCTION("""COMPUTED_VALUE"""),"GC - IV - 4427 - BIOFARM - NOMIDA 700WG (Dạng cốm màu trắng ngà) - 50gr - 200")</f>
        <v>GC - IV - 4427 - BIOFARM - NOMIDA 700WG (Dạng cốm màu trắng ngà) - 50gr - 200</v>
      </c>
    </row>
    <row r="5364">
      <c r="A5364" s="86">
        <f>IFERROR(__xludf.DUMMYFUNCTION("""COMPUTED_VALUE"""),5362.0)</f>
        <v>5362</v>
      </c>
      <c r="B5364" s="87" t="str">
        <f>IFERROR(__xludf.DUMMYFUNCTION("""COMPUTED_VALUE"""),"[Nhãn Thùng]")</f>
        <v>[Nhãn Thùng]</v>
      </c>
      <c r="C5364" s="87" t="str">
        <f>IFERROR(__xludf.DUMMYFUNCTION("""COMPUTED_VALUE"""),"NDT4427")</f>
        <v>NDT4427</v>
      </c>
      <c r="D5364" s="87" t="str">
        <f>IFERROR(__xludf.DUMMYFUNCTION("""COMPUTED_VALUE"""),"[Nhãn Thùng]  GC - IV - 4427 - BIOFARM - NOMIDA 700WG (Dạng cốm màu trắng ngà) - 50gr - 200")</f>
        <v>[Nhãn Thùng]  GC - IV - 4427 - BIOFARM - NOMIDA 700WG (Dạng cốm màu trắng ngà) - 50gr - 200</v>
      </c>
      <c r="E5364" s="87" t="str">
        <f>IFERROR(__xludf.DUMMYFUNCTION("""COMPUTED_VALUE"""),"NOMIDA 700WG")</f>
        <v>NOMIDA 700WG</v>
      </c>
      <c r="F5364" s="87" t="str">
        <f>IFERROR(__xludf.DUMMYFUNCTION("""COMPUTED_VALUE"""),"HH4427")</f>
        <v>HH4427</v>
      </c>
      <c r="G5364" s="87" t="str">
        <f>IFERROR(__xludf.DUMMYFUNCTION("""COMPUTED_VALUE"""),"GC - IV - 4427 - BIOFARM - NOMIDA 700WG (Dạng cốm màu trắng ngà) - 50gr - 200")</f>
        <v>GC - IV - 4427 - BIOFARM - NOMIDA 700WG (Dạng cốm màu trắng ngà) - 50gr - 200</v>
      </c>
    </row>
    <row r="5365">
      <c r="A5365" s="86">
        <f>IFERROR(__xludf.DUMMYFUNCTION("""COMPUTED_VALUE"""),5363.0)</f>
        <v>5363</v>
      </c>
      <c r="B5365" s="87" t="str">
        <f>IFERROR(__xludf.DUMMYFUNCTION("""COMPUTED_VALUE"""),"[Nhãn]")</f>
        <v>[Nhãn]</v>
      </c>
      <c r="C5365" s="87" t="str">
        <f>IFERROR(__xludf.DUMMYFUNCTION("""COMPUTED_VALUE"""),"NTN4494")</f>
        <v>NTN4494</v>
      </c>
      <c r="D5365" s="87" t="str">
        <f>IFERROR(__xludf.DUMMYFUNCTION("""COMPUTED_VALUE"""),"[Nhãn] GC - IV - 4494 - Cty Newtex - MANCO-NT VÀNG (Bột vàng) - 1kg - 20")</f>
        <v>[Nhãn] GC - IV - 4494 - Cty Newtex - MANCO-NT VÀNG (Bột vàng) - 1kg - 20</v>
      </c>
      <c r="E5365" s="87" t="str">
        <f>IFERROR(__xludf.DUMMYFUNCTION("""COMPUTED_VALUE"""),"MANCOBGO 80WP")</f>
        <v>MANCOBGO 80WP</v>
      </c>
      <c r="F5365" s="87" t="str">
        <f>IFERROR(__xludf.DUMMYFUNCTION("""COMPUTED_VALUE"""),"HH4494")</f>
        <v>HH4494</v>
      </c>
      <c r="G5365" s="87" t="str">
        <f>IFERROR(__xludf.DUMMYFUNCTION("""COMPUTED_VALUE"""),"GC - IV - 4494 - Cty Newtex - MANCO-NT VÀNG (Bột vàng) - 1kg - 20")</f>
        <v>GC - IV - 4494 - Cty Newtex - MANCO-NT VÀNG (Bột vàng) - 1kg - 20</v>
      </c>
    </row>
    <row r="5366">
      <c r="A5366" s="86">
        <f>IFERROR(__xludf.DUMMYFUNCTION("""COMPUTED_VALUE"""),5364.0)</f>
        <v>5364</v>
      </c>
      <c r="B5366" s="87" t="str">
        <f>IFERROR(__xludf.DUMMYFUNCTION("""COMPUTED_VALUE"""),"[Nhãn Thùng]")</f>
        <v>[Nhãn Thùng]</v>
      </c>
      <c r="C5366" s="87" t="str">
        <f>IFERROR(__xludf.DUMMYFUNCTION("""COMPUTED_VALUE"""),"NDT4494")</f>
        <v>NDT4494</v>
      </c>
      <c r="D5366" s="87" t="str">
        <f>IFERROR(__xludf.DUMMYFUNCTION("""COMPUTED_VALUE"""),"[Nhãn Thùng] GC - IV - 4494 - Cty Newtex - MANCO-NT VÀNG (Bột vàng) - 1kg - 20")</f>
        <v>[Nhãn Thùng] GC - IV - 4494 - Cty Newtex - MANCO-NT VÀNG (Bột vàng) - 1kg - 20</v>
      </c>
      <c r="E5366" s="87" t="str">
        <f>IFERROR(__xludf.DUMMYFUNCTION("""COMPUTED_VALUE"""),"MANCOBGO 80WP")</f>
        <v>MANCOBGO 80WP</v>
      </c>
      <c r="F5366" s="87" t="str">
        <f>IFERROR(__xludf.DUMMYFUNCTION("""COMPUTED_VALUE"""),"HH4494")</f>
        <v>HH4494</v>
      </c>
      <c r="G5366" s="87" t="str">
        <f>IFERROR(__xludf.DUMMYFUNCTION("""COMPUTED_VALUE"""),"GC - IV - 4494 - Cty Newtex - MANCO-NT VÀNG (Bột vàng) - 1kg - 20")</f>
        <v>GC - IV - 4494 - Cty Newtex - MANCO-NT VÀNG (Bột vàng) - 1kg - 20</v>
      </c>
    </row>
    <row r="5367">
      <c r="A5367" s="86">
        <f>IFERROR(__xludf.DUMMYFUNCTION("""COMPUTED_VALUE"""),5365.0)</f>
        <v>5365</v>
      </c>
      <c r="B5367" s="87" t="str">
        <f>IFERROR(__xludf.DUMMYFUNCTION("""COMPUTED_VALUE"""),"[Nhãn]")</f>
        <v>[Nhãn]</v>
      </c>
      <c r="C5367" s="87" t="str">
        <f>IFERROR(__xludf.DUMMYFUNCTION("""COMPUTED_VALUE"""),"NHG3927")</f>
        <v>NHG3927</v>
      </c>
      <c r="D5367" s="87" t="str">
        <f>IFERROR(__xludf.DUMMYFUNCTION("""COMPUTED_VALUE"""),"[Nhãn] GC - IV - 3927 - CTY GNH - ROOT UP (Nước nâu đen) - 100ml - 100")</f>
        <v>[Nhãn] GC - IV - 3927 - CTY GNH - ROOT UP (Nước nâu đen) - 100ml - 100</v>
      </c>
      <c r="E5367" s="87" t="str">
        <f>IFERROR(__xludf.DUMMYFUNCTION("""COMPUTED_VALUE"""),"Hữu cơ SH Agro Organic Fertilizer 20")</f>
        <v>Hữu cơ SH Agro Organic Fertilizer 20</v>
      </c>
      <c r="F5367" s="87" t="str">
        <f>IFERROR(__xludf.DUMMYFUNCTION("""COMPUTED_VALUE"""),"HH3927")</f>
        <v>HH3927</v>
      </c>
      <c r="G5367" s="87" t="str">
        <f>IFERROR(__xludf.DUMMYFUNCTION("""COMPUTED_VALUE"""),"GC - IV - 3927 - CTY GNH - ROOT UP (Nước nâu đen) - 100ml - 100")</f>
        <v>GC - IV - 3927 - CTY GNH - ROOT UP (Nước nâu đen) - 100ml - 100</v>
      </c>
    </row>
    <row r="5368">
      <c r="A5368" s="86">
        <f>IFERROR(__xludf.DUMMYFUNCTION("""COMPUTED_VALUE"""),5366.0)</f>
        <v>5366</v>
      </c>
      <c r="B5368" s="87" t="str">
        <f>IFERROR(__xludf.DUMMYFUNCTION("""COMPUTED_VALUE"""),"[Nhãn]")</f>
        <v>[Nhãn]</v>
      </c>
      <c r="C5368" s="87" t="str">
        <f>IFERROR(__xludf.DUMMYFUNCTION("""COMPUTED_VALUE"""),"NTN4509")</f>
        <v>NTN4509</v>
      </c>
      <c r="D5368" s="87" t="str">
        <f>IFERROR(__xludf.DUMMYFUNCTION("""COMPUTED_VALUE"""),"[Nhãn] GC - IV - 4509 - Cty Newtex - OXYCIN 100WP (Bột trắng) - 25gr - 400")</f>
        <v>[Nhãn] GC - IV - 4509 - Cty Newtex - OXYCIN 100WP (Bột trắng) - 25gr - 400</v>
      </c>
      <c r="E5368" s="87" t="str">
        <f>IFERROR(__xludf.DUMMYFUNCTION("""COMPUTED_VALUE"""),"Oxycin 100WP")</f>
        <v>Oxycin 100WP</v>
      </c>
      <c r="F5368" s="87" t="str">
        <f>IFERROR(__xludf.DUMMYFUNCTION("""COMPUTED_VALUE"""),"HH4509")</f>
        <v>HH4509</v>
      </c>
      <c r="G5368" s="87" t="str">
        <f>IFERROR(__xludf.DUMMYFUNCTION("""COMPUTED_VALUE"""),"GC - IV - 4509 - Cty Newtex - OXYCIN 100WP (Bột trắng) - 25gr - 400")</f>
        <v>GC - IV - 4509 - Cty Newtex - OXYCIN 100WP (Bột trắng) - 25gr - 400</v>
      </c>
    </row>
    <row r="5369">
      <c r="A5369" s="86">
        <f>IFERROR(__xludf.DUMMYFUNCTION("""COMPUTED_VALUE"""),5367.0)</f>
        <v>5367</v>
      </c>
      <c r="B5369" s="87" t="str">
        <f>IFERROR(__xludf.DUMMYFUNCTION("""COMPUTED_VALUE"""),"[Nhãn Thùng]")</f>
        <v>[Nhãn Thùng]</v>
      </c>
      <c r="C5369" s="87" t="str">
        <f>IFERROR(__xludf.DUMMYFUNCTION("""COMPUTED_VALUE"""),"NDT4509")</f>
        <v>NDT4509</v>
      </c>
      <c r="D5369" s="87" t="str">
        <f>IFERROR(__xludf.DUMMYFUNCTION("""COMPUTED_VALUE"""),"[Nhãn Thùng] GC - IV - 4509 - Cty Newtex - OXYCIN 100WP (Bột trắng) - 25gr - 400")</f>
        <v>[Nhãn Thùng] GC - IV - 4509 - Cty Newtex - OXYCIN 100WP (Bột trắng) - 25gr - 400</v>
      </c>
      <c r="E5369" s="87" t="str">
        <f>IFERROR(__xludf.DUMMYFUNCTION("""COMPUTED_VALUE"""),"Oxycin 100WP")</f>
        <v>Oxycin 100WP</v>
      </c>
      <c r="F5369" s="87" t="str">
        <f>IFERROR(__xludf.DUMMYFUNCTION("""COMPUTED_VALUE"""),"HH4509")</f>
        <v>HH4509</v>
      </c>
      <c r="G5369" s="87" t="str">
        <f>IFERROR(__xludf.DUMMYFUNCTION("""COMPUTED_VALUE"""),"GC - IV - 4509 - Cty Newtex - OXYCIN 100WP (Bột trắng) - 25gr - 400")</f>
        <v>GC - IV - 4509 - Cty Newtex - OXYCIN 100WP (Bột trắng) - 25gr - 400</v>
      </c>
    </row>
    <row r="5370">
      <c r="A5370" s="86">
        <f>IFERROR(__xludf.DUMMYFUNCTION("""COMPUTED_VALUE"""),5368.0)</f>
        <v>5368</v>
      </c>
      <c r="B5370" s="87" t="str">
        <f>IFERROR(__xludf.DUMMYFUNCTION("""COMPUTED_VALUE"""),"[Nhãn]")</f>
        <v>[Nhãn]</v>
      </c>
      <c r="C5370" s="87" t="str">
        <f>IFERROR(__xludf.DUMMYFUNCTION("""COMPUTED_VALUE"""),"NHG4493")</f>
        <v>NHG4493</v>
      </c>
      <c r="D5370" s="87" t="str">
        <f>IFERROR(__xludf.DUMMYFUNCTION("""COMPUTED_VALUE"""),"[Nhãn] GC - IV - 4493 - CTY CAPY GLOBAL - CANXI.BO EXTRA (Nước trắng sữa) - 500ml - 40")</f>
        <v>[Nhãn] GC - IV - 4493 - CTY CAPY GLOBAL - CANXI.BO EXTRA (Nước trắng sữa) - 500ml - 40</v>
      </c>
      <c r="E5370" s="87" t="str">
        <f>IFERROR(__xludf.DUMMYFUNCTION("""COMPUTED_VALUE"""),"Vi lượng AGAMA-CANXI BO")</f>
        <v>Vi lượng AGAMA-CANXI BO</v>
      </c>
      <c r="F5370" s="87" t="str">
        <f>IFERROR(__xludf.DUMMYFUNCTION("""COMPUTED_VALUE"""),"HH4493")</f>
        <v>HH4493</v>
      </c>
      <c r="G5370" s="87" t="str">
        <f>IFERROR(__xludf.DUMMYFUNCTION("""COMPUTED_VALUE"""),"GC - IV - 4493 - CTY CAPY GLOBAL - CANXI.BO EXTRA (Nước trắng sữa) - 500ml - 40")</f>
        <v>GC - IV - 4493 - CTY CAPY GLOBAL - CANXI.BO EXTRA (Nước trắng sữa) - 500ml - 40</v>
      </c>
    </row>
    <row r="5371">
      <c r="A5371" s="86">
        <f>IFERROR(__xludf.DUMMYFUNCTION("""COMPUTED_VALUE"""),5369.0)</f>
        <v>5369</v>
      </c>
      <c r="B5371" s="87" t="str">
        <f>IFERROR(__xludf.DUMMYFUNCTION("""COMPUTED_VALUE"""),"[Nhãn]")</f>
        <v>[Nhãn]</v>
      </c>
      <c r="C5371" s="87" t="str">
        <f>IFERROR(__xludf.DUMMYFUNCTION("""COMPUTED_VALUE"""),"NHG4498")</f>
        <v>NHG4498</v>
      </c>
      <c r="D5371" s="87" t="str">
        <f>IFERROR(__xludf.DUMMYFUNCTION("""COMPUTED_VALUE"""),"[Nhãn] GC - IV - 4498 - LOT ABA - AMECTIN 36 (Nước nâu đen) - 450ml - 40")</f>
        <v>[Nhãn] GC - IV - 4498 - LOT ABA - AMECTIN 36 (Nước nâu đen) - 450ml - 40</v>
      </c>
      <c r="E5371" s="87" t="str">
        <f>IFERROR(__xludf.DUMMYFUNCTION("""COMPUTED_VALUE"""),"Chitin 3.6EC")</f>
        <v>Chitin 3.6EC</v>
      </c>
      <c r="F5371" s="87" t="str">
        <f>IFERROR(__xludf.DUMMYFUNCTION("""COMPUTED_VALUE"""),"HH4498")</f>
        <v>HH4498</v>
      </c>
      <c r="G5371" s="87" t="str">
        <f>IFERROR(__xludf.DUMMYFUNCTION("""COMPUTED_VALUE"""),"GC - IV - 4498 - LOT ABA - AMECTIN 36 (Nước nâu đen) - 450ml - 40")</f>
        <v>GC - IV - 4498 - LOT ABA - AMECTIN 36 (Nước nâu đen) - 450ml - 40</v>
      </c>
    </row>
    <row r="5372">
      <c r="A5372" s="86">
        <f>IFERROR(__xludf.DUMMYFUNCTION("""COMPUTED_VALUE"""),5370.0)</f>
        <v>5370</v>
      </c>
      <c r="B5372" s="87" t="str">
        <f>IFERROR(__xludf.DUMMYFUNCTION("""COMPUTED_VALUE"""),"[Nhãn]")</f>
        <v>[Nhãn]</v>
      </c>
      <c r="C5372" s="87" t="str">
        <f>IFERROR(__xludf.DUMMYFUNCTION("""COMPUTED_VALUE"""),"NHG4466")</f>
        <v>NHG4466</v>
      </c>
      <c r="D5372" s="87" t="str">
        <f>IFERROR(__xludf.DUMMYFUNCTION("""COMPUTED_VALUE"""),"[Nhãn] GC - IV - 4466 - Cty Hóa Nông Shino - YAPOSINO 350 (Nước trắng sữa) - 450ml - 30")</f>
        <v>[Nhãn] GC - IV - 4466 - Cty Hóa Nông Shino - YAPOSINO 350 (Nước trắng sữa) - 450ml - 30</v>
      </c>
      <c r="E5372" s="87" t="str">
        <f>IFERROR(__xludf.DUMMYFUNCTION("""COMPUTED_VALUE"""),"NOFARA 350SC")</f>
        <v>NOFARA 350SC</v>
      </c>
      <c r="F5372" s="87" t="str">
        <f>IFERROR(__xludf.DUMMYFUNCTION("""COMPUTED_VALUE"""),"HH4466")</f>
        <v>HH4466</v>
      </c>
      <c r="G5372" s="87" t="str">
        <f>IFERROR(__xludf.DUMMYFUNCTION("""COMPUTED_VALUE"""),"GC - IV - 4466 - Cty Hóa Nông Shino - YAPOSINO 350 (Nước trắng sữa) - 450ml - 30")</f>
        <v>GC - IV - 4466 - Cty Hóa Nông Shino - YAPOSINO 350 (Nước trắng sữa) - 450ml - 30</v>
      </c>
    </row>
    <row r="5373">
      <c r="A5373" s="86">
        <f>IFERROR(__xludf.DUMMYFUNCTION("""COMPUTED_VALUE"""),5371.0)</f>
        <v>5371</v>
      </c>
      <c r="B5373" s="87" t="str">
        <f>IFERROR(__xludf.DUMMYFUNCTION("""COMPUTED_VALUE"""),"[Nhãn]")</f>
        <v>[Nhãn]</v>
      </c>
      <c r="C5373" s="87" t="str">
        <f>IFERROR(__xludf.DUMMYFUNCTION("""COMPUTED_VALUE"""),"NHG4505")</f>
        <v>NHG4505</v>
      </c>
      <c r="D5373" s="87" t="str">
        <f>IFERROR(__xludf.DUMMYFUNCTION("""COMPUTED_VALUE"""),"[Nhãn]  LOT IDA Global - I - 4505 - ĐL Hai Cường - HAIHAMEC 3.6EC (Nước nâu đen) - 450ml - 40")</f>
        <v>[Nhãn]  LOT IDA Global - I - 4505 - ĐL Hai Cường - HAIHAMEC 3.6EC (Nước nâu đen) - 450ml - 40</v>
      </c>
      <c r="E5373" s="87" t="str">
        <f>IFERROR(__xludf.DUMMYFUNCTION("""COMPUTED_VALUE"""),"HAIHAMEC 3.6EC")</f>
        <v>HAIHAMEC 3.6EC</v>
      </c>
      <c r="F5373" s="87" t="str">
        <f>IFERROR(__xludf.DUMMYFUNCTION("""COMPUTED_VALUE"""),"HH4505")</f>
        <v>HH4505</v>
      </c>
      <c r="G5373" s="87" t="str">
        <f>IFERROR(__xludf.DUMMYFUNCTION("""COMPUTED_VALUE"""),"LOT IDA Global - I - 4505 - ĐL Hai Cường - HAIHAMEC 3.6EC (Nước nâu đen) - 450ml - 40")</f>
        <v>LOT IDA Global - I - 4505 - ĐL Hai Cường - HAIHAMEC 3.6EC (Nước nâu đen) - 450ml - 40</v>
      </c>
    </row>
    <row r="5374">
      <c r="A5374" s="86">
        <f>IFERROR(__xludf.DUMMYFUNCTION("""COMPUTED_VALUE"""),5372.0)</f>
        <v>5372</v>
      </c>
      <c r="B5374" s="87" t="str">
        <f>IFERROR(__xludf.DUMMYFUNCTION("""COMPUTED_VALUE"""),"[Nhãn]")</f>
        <v>[Nhãn]</v>
      </c>
      <c r="C5374" s="87" t="str">
        <f>IFERROR(__xludf.DUMMYFUNCTION("""COMPUTED_VALUE"""),"NHG4503")</f>
        <v>NHG4503</v>
      </c>
      <c r="D5374" s="87" t="str">
        <f>IFERROR(__xludf.DUMMYFUNCTION("""COMPUTED_VALUE"""),"[Nhãn]  BAMBOO - VI - 4503 - BAMBOO HEXA (Nước vàng) - 1L - 20")</f>
        <v>[Nhãn]  BAMBOO - VI - 4503 - BAMBOO HEXA (Nước vàng) - 1L - 20</v>
      </c>
      <c r="E5374" s="87" t="str">
        <f>IFERROR(__xludf.DUMMYFUNCTION("""COMPUTED_VALUE"""),"Mekongvil 5SC")</f>
        <v>Mekongvil 5SC</v>
      </c>
      <c r="F5374" s="87" t="str">
        <f>IFERROR(__xludf.DUMMYFUNCTION("""COMPUTED_VALUE"""),"HH4503")</f>
        <v>HH4503</v>
      </c>
      <c r="G5374" s="87" t="str">
        <f>IFERROR(__xludf.DUMMYFUNCTION("""COMPUTED_VALUE"""),"BAMBOO - VI - 4503 - BAMBOO HEXA (Nước vàng) - 1L - 20")</f>
        <v>BAMBOO - VI - 4503 - BAMBOO HEXA (Nước vàng) - 1L - 20</v>
      </c>
    </row>
    <row r="5375">
      <c r="A5375" s="86">
        <f>IFERROR(__xludf.DUMMYFUNCTION("""COMPUTED_VALUE"""),5373.0)</f>
        <v>5373</v>
      </c>
      <c r="B5375" s="87" t="str">
        <f>IFERROR(__xludf.DUMMYFUNCTION("""COMPUTED_VALUE"""),"[Nhãn]")</f>
        <v>[Nhãn]</v>
      </c>
      <c r="C5375" s="87" t="str">
        <f>IFERROR(__xludf.DUMMYFUNCTION("""COMPUTED_VALUE"""),"NHD4518")</f>
        <v>NHD4518</v>
      </c>
      <c r="D5375" s="87" t="str">
        <f>IFERROR(__xludf.DUMMYFUNCTION("""COMPUTED_VALUE"""),"[Nhãn] GC - V - 4518 - THẾ DANH - HAIHAMEC 3.6EC (Nước nâu đen) - 450ml - 40")</f>
        <v>[Nhãn] GC - V - 4518 - THẾ DANH - HAIHAMEC 3.6EC (Nước nâu đen) - 450ml - 40</v>
      </c>
      <c r="E5375" s="87" t="str">
        <f>IFERROR(__xludf.DUMMYFUNCTION("""COMPUTED_VALUE"""),"HAIHAMEC 3.6EC")</f>
        <v>HAIHAMEC 3.6EC</v>
      </c>
      <c r="F5375" s="87" t="str">
        <f>IFERROR(__xludf.DUMMYFUNCTION("""COMPUTED_VALUE"""),"HH4518")</f>
        <v>HH4518</v>
      </c>
      <c r="G5375" s="87" t="str">
        <f>IFERROR(__xludf.DUMMYFUNCTION("""COMPUTED_VALUE"""),"GC - V - 4518 - THẾ DANH - HAIHAMEC 3.6EC (Nước nâu đen) - 450ml - 40")</f>
        <v>GC - V - 4518 - THẾ DANH - HAIHAMEC 3.6EC (Nước nâu đen) - 450ml - 40</v>
      </c>
    </row>
    <row r="5376">
      <c r="A5376" s="86">
        <f>IFERROR(__xludf.DUMMYFUNCTION("""COMPUTED_VALUE"""),5374.0)</f>
        <v>5374</v>
      </c>
      <c r="B5376" s="87" t="str">
        <f>IFERROR(__xludf.DUMMYFUNCTION("""COMPUTED_VALUE"""),"[Nhãn Thùng]")</f>
        <v>[Nhãn Thùng]</v>
      </c>
      <c r="C5376" s="87" t="str">
        <f>IFERROR(__xludf.DUMMYFUNCTION("""COMPUTED_VALUE"""),"NDT4518")</f>
        <v>NDT4518</v>
      </c>
      <c r="D5376" s="87" t="str">
        <f>IFERROR(__xludf.DUMMYFUNCTION("""COMPUTED_VALUE"""),"[Nhãn Thùng] GC - V - 4518 - THẾ DANH - HAIHAMEC 3.6EC (Nước nâu đen) - 450ml - 40")</f>
        <v>[Nhãn Thùng] GC - V - 4518 - THẾ DANH - HAIHAMEC 3.6EC (Nước nâu đen) - 450ml - 40</v>
      </c>
      <c r="E5376" s="87" t="str">
        <f>IFERROR(__xludf.DUMMYFUNCTION("""COMPUTED_VALUE"""),"HAIHAMEC 3.6EC")</f>
        <v>HAIHAMEC 3.6EC</v>
      </c>
      <c r="F5376" s="87" t="str">
        <f>IFERROR(__xludf.DUMMYFUNCTION("""COMPUTED_VALUE"""),"HH4518")</f>
        <v>HH4518</v>
      </c>
      <c r="G5376" s="87" t="str">
        <f>IFERROR(__xludf.DUMMYFUNCTION("""COMPUTED_VALUE"""),"GC - V - 4518 - THẾ DANH - HAIHAMEC 3.6EC (Nước nâu đen) - 450ml - 40")</f>
        <v>GC - V - 4518 - THẾ DANH - HAIHAMEC 3.6EC (Nước nâu đen) - 450ml - 40</v>
      </c>
    </row>
    <row r="5377">
      <c r="A5377" s="86">
        <f>IFERROR(__xludf.DUMMYFUNCTION("""COMPUTED_VALUE"""),5375.0)</f>
        <v>5375</v>
      </c>
      <c r="B5377" s="87" t="str">
        <f>IFERROR(__xludf.DUMMYFUNCTION("""COMPUTED_VALUE"""),"[Nhãn]")</f>
        <v>[Nhãn]</v>
      </c>
      <c r="C5377" s="87" t="str">
        <f>IFERROR(__xludf.DUMMYFUNCTION("""COMPUTED_VALUE"""),"NHG4508")</f>
        <v>NHG4508</v>
      </c>
      <c r="D5377" s="87" t="str">
        <f>IFERROR(__xludf.DUMMYFUNCTION("""COMPUTED_VALUE"""),"[Nhãn] GC - V - 4508 - GNH - Canbo sữa (Nước trắng ngà) - 500ml - 40")</f>
        <v>[Nhãn] GC - V - 4508 - GNH - Canbo sữa (Nước trắng ngà) - 500ml - 40</v>
      </c>
      <c r="E5377" s="87" t="str">
        <f>IFERROR(__xludf.DUMMYFUNCTION("""COMPUTED_VALUE"""),"Vi lượng Basel IDA 49")</f>
        <v>Vi lượng Basel IDA 49</v>
      </c>
      <c r="F5377" s="87" t="str">
        <f>IFERROR(__xludf.DUMMYFUNCTION("""COMPUTED_VALUE"""),"HH4508")</f>
        <v>HH4508</v>
      </c>
      <c r="G5377" s="87" t="str">
        <f>IFERROR(__xludf.DUMMYFUNCTION("""COMPUTED_VALUE"""),"GC - V - 4508 - GNH - Canbo sữa (Nước trắng ngà) - 500ml - 40")</f>
        <v>GC - V - 4508 - GNH - Canbo sữa (Nước trắng ngà) - 500ml - 40</v>
      </c>
    </row>
    <row r="5378">
      <c r="A5378" s="86">
        <f>IFERROR(__xludf.DUMMYFUNCTION("""COMPUTED_VALUE"""),5376.0)</f>
        <v>5376</v>
      </c>
      <c r="B5378" s="87" t="str">
        <f>IFERROR(__xludf.DUMMYFUNCTION("""COMPUTED_VALUE"""),"[Nhãn]")</f>
        <v>[Nhãn]</v>
      </c>
      <c r="C5378" s="87" t="str">
        <f>IFERROR(__xludf.DUMMYFUNCTION("""COMPUTED_VALUE"""),"NHG4512")</f>
        <v>NHG4512</v>
      </c>
      <c r="D5378" s="87" t="str">
        <f>IFERROR(__xludf.DUMMYFUNCTION("""COMPUTED_VALUE"""),"[Nhãn] GC - V - 4512 - Cty Newtex - NEWXITOC (Nước đỏ) - 400ml - 40")</f>
        <v>[Nhãn] GC - V - 4512 - Cty Newtex - NEWXITOC (Nước đỏ) - 400ml - 40</v>
      </c>
      <c r="E5378" s="87" t="str">
        <f>IFERROR(__xludf.DUMMYFUNCTION("""COMPUTED_VALUE"""),"PYXOATE 44EC")</f>
        <v>PYXOATE 44EC</v>
      </c>
      <c r="F5378" s="87" t="str">
        <f>IFERROR(__xludf.DUMMYFUNCTION("""COMPUTED_VALUE"""),"HH4512")</f>
        <v>HH4512</v>
      </c>
      <c r="G5378" s="87" t="str">
        <f>IFERROR(__xludf.DUMMYFUNCTION("""COMPUTED_VALUE"""),"GC - V - 4512 - Cty Newtex - NEWXITOC (Nước đỏ) - 400ml - 40")</f>
        <v>GC - V - 4512 - Cty Newtex - NEWXITOC (Nước đỏ) - 400ml - 40</v>
      </c>
    </row>
    <row r="5379">
      <c r="A5379" s="86">
        <f>IFERROR(__xludf.DUMMYFUNCTION("""COMPUTED_VALUE"""),5377.0)</f>
        <v>5377</v>
      </c>
      <c r="B5379" s="87" t="str">
        <f>IFERROR(__xludf.DUMMYFUNCTION("""COMPUTED_VALUE"""),"[Nhãn]")</f>
        <v>[Nhãn]</v>
      </c>
      <c r="C5379" s="87" t="str">
        <f>IFERROR(__xludf.DUMMYFUNCTION("""COMPUTED_VALUE"""),"NTN3930")</f>
        <v>NTN3930</v>
      </c>
      <c r="D5379" s="87" t="str">
        <f>IFERROR(__xludf.DUMMYFUNCTION("""COMPUTED_VALUE"""),"[Nhãn] GC - V - 3930 - CTY ACE VN - CHESS ACE (Dạng cốm màu trắng ngà) - 15gr - 400")</f>
        <v>[Nhãn] GC - V - 3930 - CTY ACE VN - CHESS ACE (Dạng cốm màu trắng ngà) - 15gr - 400</v>
      </c>
      <c r="E5379" s="87" t="str">
        <f>IFERROR(__xludf.DUMMYFUNCTION("""COMPUTED_VALUE"""),"NOMIDA 700WG")</f>
        <v>NOMIDA 700WG</v>
      </c>
      <c r="F5379" s="87" t="str">
        <f>IFERROR(__xludf.DUMMYFUNCTION("""COMPUTED_VALUE"""),"HH3930")</f>
        <v>HH3930</v>
      </c>
      <c r="G5379" s="87" t="str">
        <f>IFERROR(__xludf.DUMMYFUNCTION("""COMPUTED_VALUE"""),"GC - V - 3930 - CTY ACE VN - CHESS ACE (Dạng cốm màu trắng ngà) - 15gr - 400")</f>
        <v>GC - V - 3930 - CTY ACE VN - CHESS ACE (Dạng cốm màu trắng ngà) - 15gr - 400</v>
      </c>
    </row>
    <row r="5380">
      <c r="A5380" s="86">
        <f>IFERROR(__xludf.DUMMYFUNCTION("""COMPUTED_VALUE"""),5378.0)</f>
        <v>5378</v>
      </c>
      <c r="B5380" s="87" t="str">
        <f>IFERROR(__xludf.DUMMYFUNCTION("""COMPUTED_VALUE"""),"[Nhãn Thùng]")</f>
        <v>[Nhãn Thùng]</v>
      </c>
      <c r="C5380" s="87" t="str">
        <f>IFERROR(__xludf.DUMMYFUNCTION("""COMPUTED_VALUE"""),"NDT3930")</f>
        <v>NDT3930</v>
      </c>
      <c r="D5380" s="87" t="str">
        <f>IFERROR(__xludf.DUMMYFUNCTION("""COMPUTED_VALUE"""),"[Nhãn Thùng] GC - V - 3930 - CTY ACE VN - CHESS ACE (Dạng cốm màu trắng ngà) - 15gr - 400")</f>
        <v>[Nhãn Thùng] GC - V - 3930 - CTY ACE VN - CHESS ACE (Dạng cốm màu trắng ngà) - 15gr - 400</v>
      </c>
      <c r="E5380" s="87" t="str">
        <f>IFERROR(__xludf.DUMMYFUNCTION("""COMPUTED_VALUE"""),"NOMIDA 700WG")</f>
        <v>NOMIDA 700WG</v>
      </c>
      <c r="F5380" s="87" t="str">
        <f>IFERROR(__xludf.DUMMYFUNCTION("""COMPUTED_VALUE"""),"HH3930")</f>
        <v>HH3930</v>
      </c>
      <c r="G5380" s="87" t="str">
        <f>IFERROR(__xludf.DUMMYFUNCTION("""COMPUTED_VALUE"""),"GC - V - 3930 - CTY ACE VN - CHESS ACE (Dạng cốm màu trắng ngà) - 15gr - 400")</f>
        <v>GC - V - 3930 - CTY ACE VN - CHESS ACE (Dạng cốm màu trắng ngà) - 15gr - 400</v>
      </c>
    </row>
    <row r="5381">
      <c r="A5381" s="86">
        <f>IFERROR(__xludf.DUMMYFUNCTION("""COMPUTED_VALUE"""),5379.0)</f>
        <v>5379</v>
      </c>
      <c r="B5381" s="87" t="str">
        <f>IFERROR(__xludf.DUMMYFUNCTION("""COMPUTED_VALUE"""),"[Nhãn]")</f>
        <v>[Nhãn]</v>
      </c>
      <c r="C5381" s="87" t="str">
        <f>IFERROR(__xludf.DUMMYFUNCTION("""COMPUTED_VALUE"""),"NTN4501")</f>
        <v>NTN4501</v>
      </c>
      <c r="D5381" s="87" t="str">
        <f>IFERROR(__xludf.DUMMYFUNCTION("""COMPUTED_VALUE"""),"[Nhãn] BAMBOO - VI - 4501 - BAMBOO METALAXYL (Bột trắng) - 100gr - 100")</f>
        <v>[Nhãn] BAMBOO - VI - 4501 - BAMBOO METALAXYL (Bột trắng) - 100gr - 100</v>
      </c>
      <c r="E5381" s="87" t="str">
        <f>IFERROR(__xludf.DUMMYFUNCTION("""COMPUTED_VALUE"""),"Acodyl 35WP")</f>
        <v>Acodyl 35WP</v>
      </c>
      <c r="F5381" s="87" t="str">
        <f>IFERROR(__xludf.DUMMYFUNCTION("""COMPUTED_VALUE"""),"HH4501")</f>
        <v>HH4501</v>
      </c>
      <c r="G5381" s="87" t="str">
        <f>IFERROR(__xludf.DUMMYFUNCTION("""COMPUTED_VALUE"""),"BAMBOO - VI - 4501 - BAMBOO METALAXYL (Bột trắng) - 100gr - 100")</f>
        <v>BAMBOO - VI - 4501 - BAMBOO METALAXYL (Bột trắng) - 100gr - 100</v>
      </c>
    </row>
    <row r="5382">
      <c r="A5382" s="86">
        <f>IFERROR(__xludf.DUMMYFUNCTION("""COMPUTED_VALUE"""),5380.0)</f>
        <v>5380</v>
      </c>
      <c r="B5382" s="87" t="str">
        <f>IFERROR(__xludf.DUMMYFUNCTION("""COMPUTED_VALUE"""),"[Nhãn Thùng]")</f>
        <v>[Nhãn Thùng]</v>
      </c>
      <c r="C5382" s="87" t="str">
        <f>IFERROR(__xludf.DUMMYFUNCTION("""COMPUTED_VALUE"""),"NDT4501")</f>
        <v>NDT4501</v>
      </c>
      <c r="D5382" s="87" t="str">
        <f>IFERROR(__xludf.DUMMYFUNCTION("""COMPUTED_VALUE"""),"[Nhãn Thùng] BAMBOO - VI - 4501 - BAMBOO METALAXYL (Bột trắng) - 100gr - 100")</f>
        <v>[Nhãn Thùng] BAMBOO - VI - 4501 - BAMBOO METALAXYL (Bột trắng) - 100gr - 100</v>
      </c>
      <c r="E5382" s="87" t="str">
        <f>IFERROR(__xludf.DUMMYFUNCTION("""COMPUTED_VALUE"""),"Acodyl 35WP")</f>
        <v>Acodyl 35WP</v>
      </c>
      <c r="F5382" s="87" t="str">
        <f>IFERROR(__xludf.DUMMYFUNCTION("""COMPUTED_VALUE"""),"HH4501")</f>
        <v>HH4501</v>
      </c>
      <c r="G5382" s="87" t="str">
        <f>IFERROR(__xludf.DUMMYFUNCTION("""COMPUTED_VALUE"""),"BAMBOO - VI - 4501 - BAMBOO METALAXYL (Bột trắng) - 100gr - 100")</f>
        <v>BAMBOO - VI - 4501 - BAMBOO METALAXYL (Bột trắng) - 100gr - 100</v>
      </c>
    </row>
    <row r="5383">
      <c r="A5383" s="86">
        <f>IFERROR(__xludf.DUMMYFUNCTION("""COMPUTED_VALUE"""),5381.0)</f>
        <v>5381</v>
      </c>
      <c r="B5383" s="87" t="str">
        <f>IFERROR(__xludf.DUMMYFUNCTION("""COMPUTED_VALUE"""),"[Nhãn]")</f>
        <v>[Nhãn]</v>
      </c>
      <c r="C5383" s="87" t="str">
        <f>IFERROR(__xludf.DUMMYFUNCTION("""COMPUTED_VALUE"""),"NTN4056")</f>
        <v>NTN4056</v>
      </c>
      <c r="D5383" s="87" t="str">
        <f>IFERROR(__xludf.DUMMYFUNCTION("""COMPUTED_VALUE"""),"[Nhãn] GC - V - 4056 - Cty NHP Group - ĐẠI BÀNG XANH (dạng cốm màu trắng ngà) - 50gr - 100")</f>
        <v>[Nhãn] GC - V - 4056 - Cty NHP Group - ĐẠI BÀNG XANH (dạng cốm màu trắng ngà) - 50gr - 100</v>
      </c>
      <c r="E5383" s="87" t="str">
        <f>IFERROR(__xludf.DUMMYFUNCTION("""COMPUTED_VALUE"""),"MAKEGREEN 55WG")</f>
        <v>MAKEGREEN 55WG</v>
      </c>
      <c r="F5383" s="87" t="str">
        <f>IFERROR(__xludf.DUMMYFUNCTION("""COMPUTED_VALUE"""),"HH4056")</f>
        <v>HH4056</v>
      </c>
      <c r="G5383" s="87" t="str">
        <f>IFERROR(__xludf.DUMMYFUNCTION("""COMPUTED_VALUE"""),"GC - V - 4056 - Cty NHP Group - ĐẠI BÀNG XANH (dạng cốm màu trắng ngà) - 50gr - 100")</f>
        <v>GC - V - 4056 - Cty NHP Group - ĐẠI BÀNG XANH (dạng cốm màu trắng ngà) - 50gr - 100</v>
      </c>
    </row>
    <row r="5384">
      <c r="A5384" s="86">
        <f>IFERROR(__xludf.DUMMYFUNCTION("""COMPUTED_VALUE"""),5382.0)</f>
        <v>5382</v>
      </c>
      <c r="B5384" s="87" t="str">
        <f>IFERROR(__xludf.DUMMYFUNCTION("""COMPUTED_VALUE"""),"[Nhãn Thùng]")</f>
        <v>[Nhãn Thùng]</v>
      </c>
      <c r="C5384" s="87" t="str">
        <f>IFERROR(__xludf.DUMMYFUNCTION("""COMPUTED_VALUE"""),"NDT4056")</f>
        <v>NDT4056</v>
      </c>
      <c r="D5384" s="87" t="str">
        <f>IFERROR(__xludf.DUMMYFUNCTION("""COMPUTED_VALUE"""),"[Nhãn Thùng] GC - V - 4056 - Cty NHP Group - ĐẠI BÀNG XANH (dạng cốm màu trắng ngà) - 50gr - 100")</f>
        <v>[Nhãn Thùng] GC - V - 4056 - Cty NHP Group - ĐẠI BÀNG XANH (dạng cốm màu trắng ngà) - 50gr - 100</v>
      </c>
      <c r="E5384" s="87" t="str">
        <f>IFERROR(__xludf.DUMMYFUNCTION("""COMPUTED_VALUE"""),"MAKEGREEN 55WG")</f>
        <v>MAKEGREEN 55WG</v>
      </c>
      <c r="F5384" s="87" t="str">
        <f>IFERROR(__xludf.DUMMYFUNCTION("""COMPUTED_VALUE"""),"HH4056")</f>
        <v>HH4056</v>
      </c>
      <c r="G5384" s="87" t="str">
        <f>IFERROR(__xludf.DUMMYFUNCTION("""COMPUTED_VALUE"""),"GC - V - 4056 - Cty NHP Group - ĐẠI BÀNG XANH (dạng cốm màu trắng ngà) - 50gr - 100")</f>
        <v>GC - V - 4056 - Cty NHP Group - ĐẠI BÀNG XANH (dạng cốm màu trắng ngà) - 50gr - 100</v>
      </c>
    </row>
    <row r="5385">
      <c r="A5385" s="86">
        <f>IFERROR(__xludf.DUMMYFUNCTION("""COMPUTED_VALUE"""),5383.0)</f>
        <v>5383</v>
      </c>
      <c r="B5385" s="87" t="str">
        <f>IFERROR(__xludf.DUMMYFUNCTION("""COMPUTED_VALUE"""),"[Nhãn]")</f>
        <v>[Nhãn]</v>
      </c>
      <c r="C5385" s="87" t="str">
        <f>IFERROR(__xludf.DUMMYFUNCTION("""COMPUTED_VALUE"""),"NHD4519")</f>
        <v>NHD4519</v>
      </c>
      <c r="D5385" s="87" t="str">
        <f>IFERROR(__xludf.DUMMYFUNCTION("""COMPUTED_VALUE"""),"[Nhãn]  GC - II - 4519 - VTNN HAI LÚA - BUNG CHỒI - VỌT ĐỌT (Nước nâu đen) - 20kg - 1")</f>
        <v>[Nhãn]  GC - II - 4519 - VTNN HAI LÚA - BUNG CHỒI - VỌT ĐỌT (Nước nâu đen) - 20kg - 1</v>
      </c>
      <c r="E5385" s="87" t="str">
        <f>IFERROR(__xludf.DUMMYFUNCTION("""COMPUTED_VALUE"""),"Hữu cơ SH Agro Organic Fertilizer 20")</f>
        <v>Hữu cơ SH Agro Organic Fertilizer 20</v>
      </c>
      <c r="F5385" s="87" t="str">
        <f>IFERROR(__xludf.DUMMYFUNCTION("""COMPUTED_VALUE"""),"HH4519")</f>
        <v>HH4519</v>
      </c>
      <c r="G5385" s="87" t="str">
        <f>IFERROR(__xludf.DUMMYFUNCTION("""COMPUTED_VALUE"""),"GC - II - 4519 - VTNN HAI LÚA - BUNG CHỒI - VỌT ĐỌT (Nước nâu đen) - 20kg - 1")</f>
        <v>GC - II - 4519 - VTNN HAI LÚA - BUNG CHỒI - VỌT ĐỌT (Nước nâu đen) - 20kg - 1</v>
      </c>
    </row>
    <row r="5386">
      <c r="A5386" s="86">
        <f>IFERROR(__xludf.DUMMYFUNCTION("""COMPUTED_VALUE"""),5384.0)</f>
        <v>5384</v>
      </c>
      <c r="B5386" s="87" t="str">
        <f>IFERROR(__xludf.DUMMYFUNCTION("""COMPUTED_VALUE"""),"[Nhãn Thùng]")</f>
        <v>[Nhãn Thùng]</v>
      </c>
      <c r="C5386" s="87" t="str">
        <f>IFERROR(__xludf.DUMMYFUNCTION("""COMPUTED_VALUE"""),"NDT3526")</f>
        <v>NDT3526</v>
      </c>
      <c r="D5386" s="87" t="str">
        <f>IFERROR(__xludf.DUMMYFUNCTION("""COMPUTED_VALUE"""),"[Nhãn Thùng] GC - IV - 3526 - NEWTECH CROP SCIENCE - CITTIZEN 333SC MỚI (Nước cam sữa) - 450ml - 40")</f>
        <v>[Nhãn Thùng] GC - IV - 3526 - NEWTECH CROP SCIENCE - CITTIZEN 333SC MỚI (Nước cam sữa) - 450ml - 40</v>
      </c>
      <c r="E5386" s="87" t="str">
        <f>IFERROR(__xludf.DUMMYFUNCTION("""COMPUTED_VALUE"""),"CITTIZEN 333SC")</f>
        <v>CITTIZEN 333SC</v>
      </c>
      <c r="F5386" s="87" t="str">
        <f>IFERROR(__xludf.DUMMYFUNCTION("""COMPUTED_VALUE"""),"HH3526")</f>
        <v>HH3526</v>
      </c>
      <c r="G5386" s="87" t="str">
        <f>IFERROR(__xludf.DUMMYFUNCTION("""COMPUTED_VALUE"""),"GC - IV - 3526 - NEWTECH CROP SCIENCE - CITTIZEN 333SC MỚI (Nước cam sữa) - 450ml - 40")</f>
        <v>GC - IV - 3526 - NEWTECH CROP SCIENCE - CITTIZEN 333SC MỚI (Nước cam sữa) - 450ml - 40</v>
      </c>
    </row>
    <row r="5387">
      <c r="A5387" s="86">
        <f>IFERROR(__xludf.DUMMYFUNCTION("""COMPUTED_VALUE"""),5385.0)</f>
        <v>5385</v>
      </c>
      <c r="B5387" s="87" t="str">
        <f>IFERROR(__xludf.DUMMYFUNCTION("""COMPUTED_VALUE"""),"[Nhãn]")</f>
        <v>[Nhãn]</v>
      </c>
      <c r="C5387" s="87" t="str">
        <f>IFERROR(__xludf.DUMMYFUNCTION("""COMPUTED_VALUE"""),"NHD4525")</f>
        <v>NHD4525</v>
      </c>
      <c r="D5387" s="87" t="str">
        <f>IFERROR(__xludf.DUMMYFUNCTION("""COMPUTED_VALUE"""),"[Nhãn] GC - V - 4525 - CSSX AN KHANG - HAIHAMEC 3.6EC (Nước nâu đen) - 450ml - 40")</f>
        <v>[Nhãn] GC - V - 4525 - CSSX AN KHANG - HAIHAMEC 3.6EC (Nước nâu đen) - 450ml - 40</v>
      </c>
      <c r="E5387" s="87" t="str">
        <f>IFERROR(__xludf.DUMMYFUNCTION("""COMPUTED_VALUE"""),"HAIHAMEC 3.6EC")</f>
        <v>HAIHAMEC 3.6EC</v>
      </c>
      <c r="F5387" s="87" t="str">
        <f>IFERROR(__xludf.DUMMYFUNCTION("""COMPUTED_VALUE"""),"HH4525")</f>
        <v>HH4525</v>
      </c>
      <c r="G5387" s="87" t="str">
        <f>IFERROR(__xludf.DUMMYFUNCTION("""COMPUTED_VALUE"""),"GC - V - 4525 - CSSX AN KHANG - HAIHAMEC 3.6EC (Nước nâu đen) - 450ml - 40")</f>
        <v>GC - V - 4525 - CSSX AN KHANG - HAIHAMEC 3.6EC (Nước nâu đen) - 450ml - 40</v>
      </c>
    </row>
    <row r="5388">
      <c r="A5388" s="86">
        <f>IFERROR(__xludf.DUMMYFUNCTION("""COMPUTED_VALUE"""),5386.0)</f>
        <v>5386</v>
      </c>
      <c r="B5388" s="87" t="str">
        <f>IFERROR(__xludf.DUMMYFUNCTION("""COMPUTED_VALUE"""),"[Nhãn Thùng]")</f>
        <v>[Nhãn Thùng]</v>
      </c>
      <c r="C5388" s="87" t="str">
        <f>IFERROR(__xludf.DUMMYFUNCTION("""COMPUTED_VALUE"""),"NDT4525")</f>
        <v>NDT4525</v>
      </c>
      <c r="D5388" s="87" t="str">
        <f>IFERROR(__xludf.DUMMYFUNCTION("""COMPUTED_VALUE"""),"[Nhãn Thùng] GC - V - 4525 - CSSX AN KHANG - HAIHAMEC 3.6EC (Nước nâu đen) - 450ml - 40")</f>
        <v>[Nhãn Thùng] GC - V - 4525 - CSSX AN KHANG - HAIHAMEC 3.6EC (Nước nâu đen) - 450ml - 40</v>
      </c>
      <c r="E5388" s="87" t="str">
        <f>IFERROR(__xludf.DUMMYFUNCTION("""COMPUTED_VALUE"""),"HAIHAMEC 3.6EC")</f>
        <v>HAIHAMEC 3.6EC</v>
      </c>
      <c r="F5388" s="87" t="str">
        <f>IFERROR(__xludf.DUMMYFUNCTION("""COMPUTED_VALUE"""),"HH4525")</f>
        <v>HH4525</v>
      </c>
      <c r="G5388" s="87" t="str">
        <f>IFERROR(__xludf.DUMMYFUNCTION("""COMPUTED_VALUE"""),"GC - V - 4525 - CSSX AN KHANG - HAIHAMEC 3.6EC (Nước nâu đen) - 450ml - 40")</f>
        <v>GC - V - 4525 - CSSX AN KHANG - HAIHAMEC 3.6EC (Nước nâu đen) - 450ml - 40</v>
      </c>
    </row>
    <row r="5389">
      <c r="A5389" s="86">
        <f>IFERROR(__xludf.DUMMYFUNCTION("""COMPUTED_VALUE"""),5387.0)</f>
        <v>5387</v>
      </c>
      <c r="B5389" s="87" t="str">
        <f>IFERROR(__xludf.DUMMYFUNCTION("""COMPUTED_VALUE"""),"[Nhãn]")</f>
        <v>[Nhãn]</v>
      </c>
      <c r="C5389" s="87" t="str">
        <f>IFERROR(__xludf.DUMMYFUNCTION("""COMPUTED_VALUE"""),"NHG4515")</f>
        <v>NHG4515</v>
      </c>
      <c r="D5389" s="87" t="str">
        <f>IFERROR(__xludf.DUMMYFUNCTION("""COMPUTED_VALUE"""),"[Nhãn] GC - V - 4515 - CTY CAPY GLOBAL - THIPRO 550EC (nước tím) - 250ml - 40")</f>
        <v>[Nhãn] GC - V - 4515 - CTY CAPY GLOBAL - THIPRO 550EC (nước tím) - 250ml - 40</v>
      </c>
      <c r="E5389" s="87" t="str">
        <f>IFERROR(__xludf.DUMMYFUNCTION("""COMPUTED_VALUE"""),"Thipro 550EC")</f>
        <v>Thipro 550EC</v>
      </c>
      <c r="F5389" s="87" t="str">
        <f>IFERROR(__xludf.DUMMYFUNCTION("""COMPUTED_VALUE"""),"HH4515")</f>
        <v>HH4515</v>
      </c>
      <c r="G5389" s="87" t="str">
        <f>IFERROR(__xludf.DUMMYFUNCTION("""COMPUTED_VALUE"""),"GC - V - 4515 - CTY CAPY GLOBAL - THIPRO 550EC (nước tím) - 250ml - 40")</f>
        <v>GC - V - 4515 - CTY CAPY GLOBAL - THIPRO 550EC (nước tím) - 250ml - 40</v>
      </c>
    </row>
    <row r="5390">
      <c r="A5390" s="86">
        <f>IFERROR(__xludf.DUMMYFUNCTION("""COMPUTED_VALUE"""),5388.0)</f>
        <v>5388</v>
      </c>
      <c r="B5390" s="87" t="str">
        <f>IFERROR(__xludf.DUMMYFUNCTION("""COMPUTED_VALUE"""),"[Nhãn]")</f>
        <v>[Nhãn]</v>
      </c>
      <c r="C5390" s="87" t="str">
        <f>IFERROR(__xludf.DUMMYFUNCTION("""COMPUTED_VALUE"""),"NHD4274")</f>
        <v>NHD4274</v>
      </c>
      <c r="D5390" s="87" t="str">
        <f>IFERROR(__xludf.DUMMYFUNCTION("""COMPUTED_VALUE"""),"[Nhãn] GC - V - 4274 - NEWTECH CROP SCIENCE - THIPRO 550EC (Nước vàng trà) - 400ml - 30")</f>
        <v>[Nhãn] GC - V - 4274 - NEWTECH CROP SCIENCE - THIPRO 550EC (Nước vàng trà) - 400ml - 30</v>
      </c>
      <c r="E5390" s="87" t="str">
        <f>IFERROR(__xludf.DUMMYFUNCTION("""COMPUTED_VALUE"""),"Thipro 550EC")</f>
        <v>Thipro 550EC</v>
      </c>
      <c r="F5390" s="87" t="str">
        <f>IFERROR(__xludf.DUMMYFUNCTION("""COMPUTED_VALUE"""),"HH4274")</f>
        <v>HH4274</v>
      </c>
      <c r="G5390" s="87" t="str">
        <f>IFERROR(__xludf.DUMMYFUNCTION("""COMPUTED_VALUE"""),"GC - V - 4274 - NEWTECH CROP SCIENCE - THIPRO 550EC (Nước vàng trà) - 400ml - 30")</f>
        <v>GC - V - 4274 - NEWTECH CROP SCIENCE - THIPRO 550EC (Nước vàng trà) - 400ml - 30</v>
      </c>
    </row>
    <row r="5391">
      <c r="A5391" s="86">
        <f>IFERROR(__xludf.DUMMYFUNCTION("""COMPUTED_VALUE"""),5389.0)</f>
        <v>5389</v>
      </c>
      <c r="B5391" s="87" t="str">
        <f>IFERROR(__xludf.DUMMYFUNCTION("""COMPUTED_VALUE"""),"[Nhãn Thùng]")</f>
        <v>[Nhãn Thùng]</v>
      </c>
      <c r="C5391" s="87" t="str">
        <f>IFERROR(__xludf.DUMMYFUNCTION("""COMPUTED_VALUE"""),"NDT4274")</f>
        <v>NDT4274</v>
      </c>
      <c r="D5391" s="87" t="str">
        <f>IFERROR(__xludf.DUMMYFUNCTION("""COMPUTED_VALUE"""),"[Nhãn Thùng] GC - V - 4274 - NEWTECH CROP SCIENCE - THIPRO 550EC (Nước vàng trà) - 400ml - 30")</f>
        <v>[Nhãn Thùng] GC - V - 4274 - NEWTECH CROP SCIENCE - THIPRO 550EC (Nước vàng trà) - 400ml - 30</v>
      </c>
      <c r="E5391" s="87" t="str">
        <f>IFERROR(__xludf.DUMMYFUNCTION("""COMPUTED_VALUE"""),"Thipro 550EC")</f>
        <v>Thipro 550EC</v>
      </c>
      <c r="F5391" s="87" t="str">
        <f>IFERROR(__xludf.DUMMYFUNCTION("""COMPUTED_VALUE"""),"HH4274")</f>
        <v>HH4274</v>
      </c>
      <c r="G5391" s="87" t="str">
        <f>IFERROR(__xludf.DUMMYFUNCTION("""COMPUTED_VALUE"""),"GC - V - 4274 - NEWTECH CROP SCIENCE - THIPRO 550EC (Nước vàng trà) - 400ml - 30")</f>
        <v>GC - V - 4274 - NEWTECH CROP SCIENCE - THIPRO 550EC (Nước vàng trà) - 400ml - 30</v>
      </c>
    </row>
    <row r="5392">
      <c r="A5392" s="86">
        <f>IFERROR(__xludf.DUMMYFUNCTION("""COMPUTED_VALUE"""),5390.0)</f>
        <v>5390</v>
      </c>
      <c r="B5392" s="87" t="str">
        <f>IFERROR(__xludf.DUMMYFUNCTION("""COMPUTED_VALUE"""),"[Nhãn]")</f>
        <v>[Nhãn]</v>
      </c>
      <c r="C5392" s="87" t="str">
        <f>IFERROR(__xludf.DUMMYFUNCTION("""COMPUTED_VALUE"""),"NHG4266")</f>
        <v>NHG4266</v>
      </c>
      <c r="D5392" s="87" t="str">
        <f>IFERROR(__xludf.DUMMYFUNCTION("""COMPUTED_VALUE"""),"[Nhãn] GC - V - 4266 - CSSX An Khang (A.Dinh) - T-AK 01 (Gel nâu đen) - 500ml - 40")</f>
        <v>[Nhãn] GC - V - 4266 - CSSX An Khang (A.Dinh) - T-AK 01 (Gel nâu đen) - 500ml - 40</v>
      </c>
      <c r="E5392" s="87" t="str">
        <f>IFERROR(__xludf.DUMMYFUNCTION("""COMPUTED_VALUE"""),"Vi lượng Quantity New")</f>
        <v>Vi lượng Quantity New</v>
      </c>
      <c r="F5392" s="87" t="str">
        <f>IFERROR(__xludf.DUMMYFUNCTION("""COMPUTED_VALUE"""),"HH4266")</f>
        <v>HH4266</v>
      </c>
      <c r="G5392" s="87" t="str">
        <f>IFERROR(__xludf.DUMMYFUNCTION("""COMPUTED_VALUE"""),"GC - V - 4266 - CSSX An Khang (A.Dinh) - T-AK 01 (Gel nâu đen) - 500ml - 40")</f>
        <v>GC - V - 4266 - CSSX An Khang (A.Dinh) - T-AK 01 (Gel nâu đen) - 500ml - 40</v>
      </c>
    </row>
    <row r="5393">
      <c r="A5393" s="86">
        <f>IFERROR(__xludf.DUMMYFUNCTION("""COMPUTED_VALUE"""),5391.0)</f>
        <v>5391</v>
      </c>
      <c r="B5393" s="87" t="str">
        <f>IFERROR(__xludf.DUMMYFUNCTION("""COMPUTED_VALUE"""),"[Nhãn]")</f>
        <v>[Nhãn]</v>
      </c>
      <c r="C5393" s="87" t="str">
        <f>IFERROR(__xludf.DUMMYFUNCTION("""COMPUTED_VALUE"""),"NTN4520")</f>
        <v>NTN4520</v>
      </c>
      <c r="D5393" s="87" t="str">
        <f>IFERROR(__xludf.DUMMYFUNCTION("""COMPUTED_VALUE"""),"[Nhãn] IDA Global - I - 4520 - CHESSIN 600WP (Bột trắng) - 50gr - 200")</f>
        <v>[Nhãn] IDA Global - I - 4520 - CHESSIN 600WP (Bột trắng) - 50gr - 200</v>
      </c>
      <c r="E5393" s="87" t="str">
        <f>IFERROR(__xludf.DUMMYFUNCTION("""COMPUTED_VALUE"""),"CHESSIN 600WP")</f>
        <v>CHESSIN 600WP</v>
      </c>
      <c r="F5393" s="87" t="str">
        <f>IFERROR(__xludf.DUMMYFUNCTION("""COMPUTED_VALUE"""),"HH4520")</f>
        <v>HH4520</v>
      </c>
      <c r="G5393" s="87" t="str">
        <f>IFERROR(__xludf.DUMMYFUNCTION("""COMPUTED_VALUE"""),"IDA Global - I - 4520 - CHESSIN 600WP (Bột trắng) - 50gr - 200")</f>
        <v>IDA Global - I - 4520 - CHESSIN 600WP (Bột trắng) - 50gr - 200</v>
      </c>
    </row>
    <row r="5394">
      <c r="A5394" s="86">
        <f>IFERROR(__xludf.DUMMYFUNCTION("""COMPUTED_VALUE"""),5392.0)</f>
        <v>5392</v>
      </c>
      <c r="B5394" s="87" t="str">
        <f>IFERROR(__xludf.DUMMYFUNCTION("""COMPUTED_VALUE"""),"[Nhãn Thùng]")</f>
        <v>[Nhãn Thùng]</v>
      </c>
      <c r="C5394" s="87" t="str">
        <f>IFERROR(__xludf.DUMMYFUNCTION("""COMPUTED_VALUE"""),"NDT4520")</f>
        <v>NDT4520</v>
      </c>
      <c r="D5394" s="87" t="str">
        <f>IFERROR(__xludf.DUMMYFUNCTION("""COMPUTED_VALUE"""),"[Nhãn Thùng] IDA Global - I - 4520 - CHESSIN 600WP (Bột trắng) - 50gr - 200")</f>
        <v>[Nhãn Thùng] IDA Global - I - 4520 - CHESSIN 600WP (Bột trắng) - 50gr - 200</v>
      </c>
      <c r="E5394" s="87" t="str">
        <f>IFERROR(__xludf.DUMMYFUNCTION("""COMPUTED_VALUE"""),"CHESSIN 600WP")</f>
        <v>CHESSIN 600WP</v>
      </c>
      <c r="F5394" s="87" t="str">
        <f>IFERROR(__xludf.DUMMYFUNCTION("""COMPUTED_VALUE"""),"HH4520")</f>
        <v>HH4520</v>
      </c>
      <c r="G5394" s="87" t="str">
        <f>IFERROR(__xludf.DUMMYFUNCTION("""COMPUTED_VALUE"""),"IDA Global - I - 4520 - CHESSIN 600WP (Bột trắng) - 50gr - 200")</f>
        <v>IDA Global - I - 4520 - CHESSIN 600WP (Bột trắng) - 50gr - 200</v>
      </c>
    </row>
    <row r="5395">
      <c r="A5395" s="86">
        <f>IFERROR(__xludf.DUMMYFUNCTION("""COMPUTED_VALUE"""),5393.0)</f>
        <v>5393</v>
      </c>
      <c r="B5395" s="87" t="str">
        <f>IFERROR(__xludf.DUMMYFUNCTION("""COMPUTED_VALUE"""),"[Nhãn]")</f>
        <v>[Nhãn]</v>
      </c>
      <c r="C5395" s="87" t="str">
        <f>IFERROR(__xludf.DUMMYFUNCTION("""COMPUTED_VALUE"""),"NHG4467")</f>
        <v>NHG4467</v>
      </c>
      <c r="D5395" s="87" t="str">
        <f>IFERROR(__xludf.DUMMYFUNCTION("""COMPUTED_VALUE"""),"[Nhãn]  GC - V - 4467 - Cty Hóa Nông Shino - SIÊU SÂU 440 (Nước vàng trà) - 400ml - 30")</f>
        <v>[Nhãn]  GC - V - 4467 - Cty Hóa Nông Shino - SIÊU SÂU 440 (Nước vàng trà) - 400ml - 30</v>
      </c>
      <c r="E5395" s="87" t="str">
        <f>IFERROR(__xludf.DUMMYFUNCTION("""COMPUTED_VALUE"""),"CYFENFOS 440EC")</f>
        <v>CYFENFOS 440EC</v>
      </c>
      <c r="F5395" s="87" t="str">
        <f>IFERROR(__xludf.DUMMYFUNCTION("""COMPUTED_VALUE"""),"HH4467")</f>
        <v>HH4467</v>
      </c>
      <c r="G5395" s="87" t="str">
        <f>IFERROR(__xludf.DUMMYFUNCTION("""COMPUTED_VALUE"""),"GC - V - 4467 - Cty Hóa Nông Shino - SIÊU SÂU 440 (Nước vàng trà) - 400ml - 30")</f>
        <v>GC - V - 4467 - Cty Hóa Nông Shino - SIÊU SÂU 440 (Nước vàng trà) - 400ml - 30</v>
      </c>
    </row>
    <row r="5396">
      <c r="A5396" s="86">
        <f>IFERROR(__xludf.DUMMYFUNCTION("""COMPUTED_VALUE"""),5394.0)</f>
        <v>5394</v>
      </c>
      <c r="B5396" s="87" t="str">
        <f>IFERROR(__xludf.DUMMYFUNCTION("""COMPUTED_VALUE"""),"[Nhãn]")</f>
        <v>[Nhãn]</v>
      </c>
      <c r="C5396" s="87" t="str">
        <f>IFERROR(__xludf.DUMMYFUNCTION("""COMPUTED_VALUE"""),"NHG4287")</f>
        <v>NHG4287</v>
      </c>
      <c r="D5396" s="87" t="str">
        <f>IFERROR(__xludf.DUMMYFUNCTION("""COMPUTED_VALUE"""),"[Nhãn] LOT IDA Global - I - 4287 - HAIHAMEC 3.6C (AG1) (Nước nâu đen) - 450ml - 40")</f>
        <v>[Nhãn] LOT IDA Global - I - 4287 - HAIHAMEC 3.6C (AG1) (Nước nâu đen) - 450ml - 40</v>
      </c>
      <c r="E5396" s="87" t="str">
        <f>IFERROR(__xludf.DUMMYFUNCTION("""COMPUTED_VALUE"""),"HAIHAMEC 3.6EC")</f>
        <v>HAIHAMEC 3.6EC</v>
      </c>
      <c r="F5396" s="87" t="str">
        <f>IFERROR(__xludf.DUMMYFUNCTION("""COMPUTED_VALUE"""),"HH4287")</f>
        <v>HH4287</v>
      </c>
      <c r="G5396" s="87" t="str">
        <f>IFERROR(__xludf.DUMMYFUNCTION("""COMPUTED_VALUE"""),"LOT IDA Global - I - 4287 - HAIHAMEC 3.6C (AG1) (Nước nâu đen) - 450ml - 40")</f>
        <v>LOT IDA Global - I - 4287 - HAIHAMEC 3.6C (AG1) (Nước nâu đen) - 450ml - 40</v>
      </c>
    </row>
    <row r="5397">
      <c r="A5397" s="86">
        <f>IFERROR(__xludf.DUMMYFUNCTION("""COMPUTED_VALUE"""),5395.0)</f>
        <v>5395</v>
      </c>
      <c r="B5397" s="87" t="str">
        <f>IFERROR(__xludf.DUMMYFUNCTION("""COMPUTED_VALUE"""),"[Nhãn]")</f>
        <v>[Nhãn]</v>
      </c>
      <c r="C5397" s="87" t="str">
        <f>IFERROR(__xludf.DUMMYFUNCTION("""COMPUTED_VALUE"""),"NHG4481")</f>
        <v>NHG4481</v>
      </c>
      <c r="D5397" s="87" t="str">
        <f>IFERROR(__xludf.DUMMYFUNCTION("""COMPUTED_VALUE"""),"[Nhãn] LOT IDA Global - I - 4481 - Cỏ Lưu Dẫn (Đỏ)(nước đỏ) - 900ml - 20")</f>
        <v>[Nhãn] LOT IDA Global - I - 4481 - Cỏ Lưu Dẫn (Đỏ)(nước đỏ) - 900ml - 20</v>
      </c>
      <c r="E5397" s="87" t="str">
        <f>IFERROR(__xludf.DUMMYFUNCTION("""COMPUTED_VALUE"""),"GOODSIN 200SL")</f>
        <v>GOODSIN 200SL</v>
      </c>
      <c r="F5397" s="87" t="str">
        <f>IFERROR(__xludf.DUMMYFUNCTION("""COMPUTED_VALUE"""),"HH4481")</f>
        <v>HH4481</v>
      </c>
      <c r="G5397" s="87" t="str">
        <f>IFERROR(__xludf.DUMMYFUNCTION("""COMPUTED_VALUE"""),"LOT IDA Global - I - 4481 - Cỏ Lưu Dẫn (Đỏ)(nước đỏ) - 900ml - 20")</f>
        <v>LOT IDA Global - I - 4481 - Cỏ Lưu Dẫn (Đỏ)(nước đỏ) - 900ml - 20</v>
      </c>
    </row>
    <row r="5398">
      <c r="A5398" s="86">
        <f>IFERROR(__xludf.DUMMYFUNCTION("""COMPUTED_VALUE"""),5396.0)</f>
        <v>5396</v>
      </c>
      <c r="B5398" s="87" t="str">
        <f>IFERROR(__xludf.DUMMYFUNCTION("""COMPUTED_VALUE"""),"[Nhãn]")</f>
        <v>[Nhãn]</v>
      </c>
      <c r="C5398" s="87" t="str">
        <f>IFERROR(__xludf.DUMMYFUNCTION("""COMPUTED_VALUE"""),"NHD4524")</f>
        <v>NHD4524</v>
      </c>
      <c r="D5398" s="87" t="str">
        <f>IFERROR(__xludf.DUMMYFUNCTION("""COMPUTED_VALUE"""),"[Nhãn] GC - V - 4524 - THÀNH CÔNG AGRI - KING ROOT (Gel nâu đen) - 20L - 1")</f>
        <v>[Nhãn] GC - V - 4524 - THÀNH CÔNG AGRI - KING ROOT (Gel nâu đen) - 20L - 1</v>
      </c>
      <c r="E5398" s="87" t="str">
        <f>IFERROR(__xludf.DUMMYFUNCTION("""COMPUTED_VALUE"""),"Vi lượng AGAMA-SUPPORT")</f>
        <v>Vi lượng AGAMA-SUPPORT</v>
      </c>
      <c r="F5398" s="87" t="str">
        <f>IFERROR(__xludf.DUMMYFUNCTION("""COMPUTED_VALUE"""),"HH4524")</f>
        <v>HH4524</v>
      </c>
      <c r="G5398" s="87" t="str">
        <f>IFERROR(__xludf.DUMMYFUNCTION("""COMPUTED_VALUE"""),"GC - V - 4524 - THÀNH CÔNG AGRI - KING ROOT (Gel nâu đen) - 20L - 1")</f>
        <v>GC - V - 4524 - THÀNH CÔNG AGRI - KING ROOT (Gel nâu đen) - 20L - 1</v>
      </c>
    </row>
    <row r="5399">
      <c r="A5399" s="86">
        <f>IFERROR(__xludf.DUMMYFUNCTION("""COMPUTED_VALUE"""),5397.0)</f>
        <v>5397</v>
      </c>
      <c r="B5399" s="87" t="str">
        <f>IFERROR(__xludf.DUMMYFUNCTION("""COMPUTED_VALUE"""),"[Nhãn]")</f>
        <v>[Nhãn]</v>
      </c>
      <c r="C5399" s="87" t="str">
        <f>IFERROR(__xludf.DUMMYFUNCTION("""COMPUTED_VALUE"""),"NHG4516")</f>
        <v>NHG4516</v>
      </c>
      <c r="D5399" s="87" t="str">
        <f>IFERROR(__xludf.DUMMYFUNCTION("""COMPUTED_VALUE"""),"[Nhãn] DR.XANH - VIII - 4516 - KILLEX (Nước vàng trà) - 450ml - 40")</f>
        <v>[Nhãn] DR.XANH - VIII - 4516 - KILLEX (Nước vàng trà) - 450ml - 40</v>
      </c>
      <c r="E5399" s="87" t="str">
        <f>IFERROR(__xludf.DUMMYFUNCTION("""COMPUTED_VALUE"""),"PRODIFE'S 5.8EC")</f>
        <v>PRODIFE'S 5.8EC</v>
      </c>
      <c r="F5399" s="87" t="str">
        <f>IFERROR(__xludf.DUMMYFUNCTION("""COMPUTED_VALUE"""),"HH4516")</f>
        <v>HH4516</v>
      </c>
      <c r="G5399" s="87" t="str">
        <f>IFERROR(__xludf.DUMMYFUNCTION("""COMPUTED_VALUE"""),"DR.XANH - VIII - 4516 - KILLEX (Nước vàng trà) - 450ml - 40")</f>
        <v>DR.XANH - VIII - 4516 - KILLEX (Nước vàng trà) - 450ml - 40</v>
      </c>
    </row>
    <row r="5400">
      <c r="A5400" s="86">
        <f>IFERROR(__xludf.DUMMYFUNCTION("""COMPUTED_VALUE"""),5398.0)</f>
        <v>5398</v>
      </c>
      <c r="B5400" s="87" t="str">
        <f>IFERROR(__xludf.DUMMYFUNCTION("""COMPUTED_VALUE"""),"[Nhãn]")</f>
        <v>[Nhãn]</v>
      </c>
      <c r="C5400" s="87" t="str">
        <f>IFERROR(__xludf.DUMMYFUNCTION("""COMPUTED_VALUE"""),"NHD4534")</f>
        <v>NHD4534</v>
      </c>
      <c r="D5400" s="87" t="str">
        <f>IFERROR(__xludf.DUMMYFUNCTION("""COMPUTED_VALUE"""),"[Nhãn] GC - V - 4534 - CSSX An Khang (A.Dinh) - TAK06 (Gel nâu đen) - 20L - 1")</f>
        <v>[Nhãn] GC - V - 4534 - CSSX An Khang (A.Dinh) - TAK06 (Gel nâu đen) - 20L - 1</v>
      </c>
      <c r="E5400" s="87" t="str">
        <f>IFERROR(__xludf.DUMMYFUNCTION("""COMPUTED_VALUE"""),"Vi lượng Run Fast")</f>
        <v>Vi lượng Run Fast</v>
      </c>
      <c r="F5400" s="87" t="str">
        <f>IFERROR(__xludf.DUMMYFUNCTION("""COMPUTED_VALUE"""),"HH4534")</f>
        <v>HH4534</v>
      </c>
      <c r="G5400" s="87" t="str">
        <f>IFERROR(__xludf.DUMMYFUNCTION("""COMPUTED_VALUE"""),"GC - V - 4534 - CSSX An Khang (A.Dinh) - TAK06 (Gel nâu đen) - 20L - 1")</f>
        <v>GC - V - 4534 - CSSX An Khang (A.Dinh) - TAK06 (Gel nâu đen) - 20L - 1</v>
      </c>
    </row>
    <row r="5401">
      <c r="A5401" s="86">
        <f>IFERROR(__xludf.DUMMYFUNCTION("""COMPUTED_VALUE"""),5399.0)</f>
        <v>5399</v>
      </c>
      <c r="B5401" s="87" t="str">
        <f>IFERROR(__xludf.DUMMYFUNCTION("""COMPUTED_VALUE"""),"[Nhãn]")</f>
        <v>[Nhãn]</v>
      </c>
      <c r="C5401" s="87" t="str">
        <f>IFERROR(__xludf.DUMMYFUNCTION("""COMPUTED_VALUE"""),"NHG4533")</f>
        <v>NHG4533</v>
      </c>
      <c r="D5401" s="87" t="str">
        <f>IFERROR(__xludf.DUMMYFUNCTION("""COMPUTED_VALUE"""),"[Nhãn] GC - V - 4533 - KATO JAPAN - SẤM CHỚP (Nước trắng sữa) - 240ml - 40")</f>
        <v>[Nhãn] GC - V - 4533 - KATO JAPAN - SẤM CHỚP (Nước trắng sữa) - 240ml - 40</v>
      </c>
      <c r="E5401" s="87" t="str">
        <f>IFERROR(__xludf.DUMMYFUNCTION("""COMPUTED_VALUE"""),"NOFARA 350SC")</f>
        <v>NOFARA 350SC</v>
      </c>
      <c r="F5401" s="87" t="str">
        <f>IFERROR(__xludf.DUMMYFUNCTION("""COMPUTED_VALUE"""),"HH4533")</f>
        <v>HH4533</v>
      </c>
      <c r="G5401" s="87" t="str">
        <f>IFERROR(__xludf.DUMMYFUNCTION("""COMPUTED_VALUE"""),"GC - V - 4533 - KATO JAPAN - SẤM CHỚP (Nước trắng sữa) - 240ml - 40")</f>
        <v>GC - V - 4533 - KATO JAPAN - SẤM CHỚP (Nước trắng sữa) - 240ml - 40</v>
      </c>
    </row>
    <row r="5402">
      <c r="A5402" s="86">
        <f>IFERROR(__xludf.DUMMYFUNCTION("""COMPUTED_VALUE"""),5400.0)</f>
        <v>5400</v>
      </c>
      <c r="B5402" s="87" t="str">
        <f>IFERROR(__xludf.DUMMYFUNCTION("""COMPUTED_VALUE"""),"[Nhãn]")</f>
        <v>[Nhãn]</v>
      </c>
      <c r="C5402" s="87" t="str">
        <f>IFERROR(__xludf.DUMMYFUNCTION("""COMPUTED_VALUE"""),"NHG4532")</f>
        <v>NHG4532</v>
      </c>
      <c r="D5402" s="87" t="str">
        <f>IFERROR(__xludf.DUMMYFUNCTION("""COMPUTED_VALUE"""),"[Nhãn] GC - V - 4532 - Cty Sen Hồng (A.Diễn) - MITOP ONE 390SC (Nước xanh bơ sữa) - 400ml - 40")</f>
        <v>[Nhãn] GC - V - 4532 - Cty Sen Hồng (A.Diễn) - MITOP ONE 390SC (Nước xanh bơ sữa) - 400ml - 40</v>
      </c>
      <c r="E5402" s="87" t="str">
        <f>IFERROR(__xludf.DUMMYFUNCTION("""COMPUTED_VALUE"""),"MITOP ONE 390SC")</f>
        <v>MITOP ONE 390SC</v>
      </c>
      <c r="F5402" s="87" t="str">
        <f>IFERROR(__xludf.DUMMYFUNCTION("""COMPUTED_VALUE"""),"HH4532")</f>
        <v>HH4532</v>
      </c>
      <c r="G5402" s="87" t="str">
        <f>IFERROR(__xludf.DUMMYFUNCTION("""COMPUTED_VALUE"""),"GC - V - 4532 - Cty Sen Hồng (A.Diễn) - MITOP ONE 390SC (Nước xanh bơ sữa) - 400ml - 40")</f>
        <v>GC - V - 4532 - Cty Sen Hồng (A.Diễn) - MITOP ONE 390SC (Nước xanh bơ sữa) - 400ml - 40</v>
      </c>
    </row>
    <row r="5403">
      <c r="A5403" s="86">
        <f>IFERROR(__xludf.DUMMYFUNCTION("""COMPUTED_VALUE"""),5401.0)</f>
        <v>5401</v>
      </c>
      <c r="B5403" s="87" t="str">
        <f>IFERROR(__xludf.DUMMYFUNCTION("""COMPUTED_VALUE"""),"[Nhãn]")</f>
        <v>[Nhãn]</v>
      </c>
      <c r="C5403" s="87" t="str">
        <f>IFERROR(__xludf.DUMMYFUNCTION("""COMPUTED_VALUE"""),"NTN4528")</f>
        <v>NTN4528</v>
      </c>
      <c r="D5403" s="87" t="str">
        <f>IFERROR(__xludf.DUMMYFUNCTION("""COMPUTED_VALUE"""),"[Nhãn] GC - V - 4528 - ĐL Kim Khoa - Mancozeb xanh (bột xanh) - 1kg - 20")</f>
        <v>[Nhãn] GC - V - 4528 - ĐL Kim Khoa - Mancozeb xanh (bột xanh) - 1kg - 20</v>
      </c>
      <c r="E5403" s="87" t="str">
        <f>IFERROR(__xludf.DUMMYFUNCTION("""COMPUTED_VALUE"""),"MANCOBGO 80WP")</f>
        <v>MANCOBGO 80WP</v>
      </c>
      <c r="F5403" s="87" t="str">
        <f>IFERROR(__xludf.DUMMYFUNCTION("""COMPUTED_VALUE"""),"HH4528")</f>
        <v>HH4528</v>
      </c>
      <c r="G5403" s="87" t="str">
        <f>IFERROR(__xludf.DUMMYFUNCTION("""COMPUTED_VALUE"""),"GC - V - 4528 - ĐL Kim Khoa - Mancozeb xanh (bột xanh) - 1kg - 20")</f>
        <v>GC - V - 4528 - ĐL Kim Khoa - Mancozeb xanh (bột xanh) - 1kg - 20</v>
      </c>
    </row>
    <row r="5404">
      <c r="A5404" s="86">
        <f>IFERROR(__xludf.DUMMYFUNCTION("""COMPUTED_VALUE"""),5402.0)</f>
        <v>5402</v>
      </c>
      <c r="B5404" s="87" t="str">
        <f>IFERROR(__xludf.DUMMYFUNCTION("""COMPUTED_VALUE"""),"[Nhãn]")</f>
        <v>[Nhãn]</v>
      </c>
      <c r="C5404" s="87" t="str">
        <f>IFERROR(__xludf.DUMMYFUNCTION("""COMPUTED_VALUE"""),"NDT4528")</f>
        <v>NDT4528</v>
      </c>
      <c r="D5404" s="87" t="str">
        <f>IFERROR(__xludf.DUMMYFUNCTION("""COMPUTED_VALUE"""),"[Nhãn] GC - V - 4528 - ĐL Kim Khoa - Mancozeb xanh (bột xanh) - 1kg - 20")</f>
        <v>[Nhãn] GC - V - 4528 - ĐL Kim Khoa - Mancozeb xanh (bột xanh) - 1kg - 20</v>
      </c>
      <c r="E5404" s="87" t="str">
        <f>IFERROR(__xludf.DUMMYFUNCTION("""COMPUTED_VALUE"""),"MANCOBGO 80WP")</f>
        <v>MANCOBGO 80WP</v>
      </c>
      <c r="F5404" s="87" t="str">
        <f>IFERROR(__xludf.DUMMYFUNCTION("""COMPUTED_VALUE"""),"HH4528")</f>
        <v>HH4528</v>
      </c>
      <c r="G5404" s="87" t="str">
        <f>IFERROR(__xludf.DUMMYFUNCTION("""COMPUTED_VALUE"""),"GC - V - 4528 - ĐL Kim Khoa - Mancozeb xanh (bột xanh) - 1kg - 20")</f>
        <v>GC - V - 4528 - ĐL Kim Khoa - Mancozeb xanh (bột xanh) - 1kg - 20</v>
      </c>
    </row>
    <row r="5405">
      <c r="A5405" s="86">
        <f>IFERROR(__xludf.DUMMYFUNCTION("""COMPUTED_VALUE"""),5403.0)</f>
        <v>5403</v>
      </c>
      <c r="B5405" s="87" t="str">
        <f>IFERROR(__xludf.DUMMYFUNCTION("""COMPUTED_VALUE"""),"[Nhãn]")</f>
        <v>[Nhãn]</v>
      </c>
      <c r="C5405" s="87" t="str">
        <f>IFERROR(__xludf.DUMMYFUNCTION("""COMPUTED_VALUE"""),"NHG4556")</f>
        <v>NHG4556</v>
      </c>
      <c r="D5405" s="87" t="str">
        <f>IFERROR(__xludf.DUMMYFUNCTION("""COMPUTED_VALUE"""),"[Nhãn] GC - V - 4556 - CTY NAUY - ZN++ GOLD (Nước xanh lá sữa) - 250ml - 40")</f>
        <v>[Nhãn] GC - V - 4556 - CTY NAUY - ZN++ GOLD (Nước xanh lá sữa) - 250ml - 40</v>
      </c>
      <c r="E5405" s="87" t="str">
        <f>IFERROR(__xludf.DUMMYFUNCTION("""COMPUTED_VALUE"""),"Vi lượng MICKEY")</f>
        <v>Vi lượng MICKEY</v>
      </c>
      <c r="F5405" s="87" t="str">
        <f>IFERROR(__xludf.DUMMYFUNCTION("""COMPUTED_VALUE"""),"HH4556")</f>
        <v>HH4556</v>
      </c>
      <c r="G5405" s="87" t="str">
        <f>IFERROR(__xludf.DUMMYFUNCTION("""COMPUTED_VALUE"""),"GC - V - 4556 - CTY NAUY - ZN++ GOLD (Nước xanh lá sữa) - 250ml - 40")</f>
        <v>GC - V - 4556 - CTY NAUY - ZN++ GOLD (Nước xanh lá sữa) - 250ml - 40</v>
      </c>
    </row>
    <row r="5406">
      <c r="A5406" s="86">
        <f>IFERROR(__xludf.DUMMYFUNCTION("""COMPUTED_VALUE"""),5404.0)</f>
        <v>5404</v>
      </c>
      <c r="B5406" s="87" t="str">
        <f>IFERROR(__xludf.DUMMYFUNCTION("""COMPUTED_VALUE"""),"[Nhãn]")</f>
        <v>[Nhãn]</v>
      </c>
      <c r="C5406" s="87" t="str">
        <f>IFERROR(__xludf.DUMMYFUNCTION("""COMPUTED_VALUE"""),"NHG4531")</f>
        <v>NHG4531</v>
      </c>
      <c r="D5406" s="87" t="str">
        <f>IFERROR(__xludf.DUMMYFUNCTION("""COMPUTED_VALUE"""),"[Nhãn] GC - V - 4531 - Cty Hóa Nông Shino - TOP EXTRA 390 (Nước xanh bơ sữa) - 250ml - 40")</f>
        <v>[Nhãn] GC - V - 4531 - Cty Hóa Nông Shino - TOP EXTRA 390 (Nước xanh bơ sữa) - 250ml - 40</v>
      </c>
      <c r="E5406" s="87" t="str">
        <f>IFERROR(__xludf.DUMMYFUNCTION("""COMPUTED_VALUE"""),"MITOP ONE 390SC")</f>
        <v>MITOP ONE 390SC</v>
      </c>
      <c r="F5406" s="87" t="str">
        <f>IFERROR(__xludf.DUMMYFUNCTION("""COMPUTED_VALUE"""),"HH4531")</f>
        <v>HH4531</v>
      </c>
      <c r="G5406" s="87" t="str">
        <f>IFERROR(__xludf.DUMMYFUNCTION("""COMPUTED_VALUE"""),"GC - V - 4531 - Cty Hóa Nông Shino - TOP EXTRA 390 (Nước xanh bơ sữa) - 250ml - 40")</f>
        <v>GC - V - 4531 - Cty Hóa Nông Shino - TOP EXTRA 390 (Nước xanh bơ sữa) - 250ml - 40</v>
      </c>
    </row>
    <row r="5407">
      <c r="A5407" s="86">
        <f>IFERROR(__xludf.DUMMYFUNCTION("""COMPUTED_VALUE"""),5405.0)</f>
        <v>5405</v>
      </c>
      <c r="B5407" s="87" t="str">
        <f>IFERROR(__xludf.DUMMYFUNCTION("""COMPUTED_VALUE"""),"[Nhãn]")</f>
        <v>[Nhãn]</v>
      </c>
      <c r="C5407" s="87" t="str">
        <f>IFERROR(__xludf.DUMMYFUNCTION("""COMPUTED_VALUE"""),"NHG4557")</f>
        <v>NHG4557</v>
      </c>
      <c r="D5407" s="87" t="str">
        <f>IFERROR(__xludf.DUMMYFUNCTION("""COMPUTED_VALUE"""),"[Nhãn] GC - V - 4557 - CTY NAUY - SUPER GOLD (Nước nâu đen) - 250ml - 40")</f>
        <v>[Nhãn] GC - V - 4557 - CTY NAUY - SUPER GOLD (Nước nâu đen) - 250ml - 40</v>
      </c>
      <c r="E5407" s="87" t="str">
        <f>IFERROR(__xludf.DUMMYFUNCTION("""COMPUTED_VALUE"""),"Lá PK-Vi lượng SV 5-18")</f>
        <v>Lá PK-Vi lượng SV 5-18</v>
      </c>
      <c r="F5407" s="87" t="str">
        <f>IFERROR(__xludf.DUMMYFUNCTION("""COMPUTED_VALUE"""),"HH4557")</f>
        <v>HH4557</v>
      </c>
      <c r="G5407" s="87" t="str">
        <f>IFERROR(__xludf.DUMMYFUNCTION("""COMPUTED_VALUE"""),"GC - V - 4557 - CTY NAUY - SUPER GOLD (Nước nâu đen) - 250ml - 40")</f>
        <v>GC - V - 4557 - CTY NAUY - SUPER GOLD (Nước nâu đen) - 250ml - 40</v>
      </c>
    </row>
    <row r="5408">
      <c r="A5408" s="86">
        <f>IFERROR(__xludf.DUMMYFUNCTION("""COMPUTED_VALUE"""),5406.0)</f>
        <v>5406</v>
      </c>
      <c r="B5408" s="87" t="str">
        <f>IFERROR(__xludf.DUMMYFUNCTION("""COMPUTED_VALUE"""),"[Nhãn]")</f>
        <v>[Nhãn]</v>
      </c>
      <c r="C5408" s="87" t="str">
        <f>IFERROR(__xludf.DUMMYFUNCTION("""COMPUTED_VALUE"""),"NHG4539")</f>
        <v>NHG4539</v>
      </c>
      <c r="D5408" s="87" t="str">
        <f>IFERROR(__xludf.DUMMYFUNCTION("""COMPUTED_VALUE"""),"[Nhãn] GC - V - 4539 - Agritech (Anh Trương) - CITTIZEN 333SC (Nước cam sữa) - 450ml - 40")</f>
        <v>[Nhãn] GC - V - 4539 - Agritech (Anh Trương) - CITTIZEN 333SC (Nước cam sữa) - 450ml - 40</v>
      </c>
      <c r="E5408" s="87" t="str">
        <f>IFERROR(__xludf.DUMMYFUNCTION("""COMPUTED_VALUE"""),"CITTIZEN 333SC")</f>
        <v>CITTIZEN 333SC</v>
      </c>
      <c r="F5408" s="87" t="str">
        <f>IFERROR(__xludf.DUMMYFUNCTION("""COMPUTED_VALUE"""),"HH4539")</f>
        <v>HH4539</v>
      </c>
      <c r="G5408" s="87" t="str">
        <f>IFERROR(__xludf.DUMMYFUNCTION("""COMPUTED_VALUE"""),"GC - V - 4539 - Agritech (Anh Trương) - CITTIZEN 333SC (Nước cam sữa) - 450ml - 40")</f>
        <v>GC - V - 4539 - Agritech (Anh Trương) - CITTIZEN 333SC (Nước cam sữa) - 450ml - 40</v>
      </c>
    </row>
    <row r="5409">
      <c r="A5409" s="86">
        <f>IFERROR(__xludf.DUMMYFUNCTION("""COMPUTED_VALUE"""),5407.0)</f>
        <v>5407</v>
      </c>
      <c r="B5409" s="87" t="str">
        <f>IFERROR(__xludf.DUMMYFUNCTION("""COMPUTED_VALUE"""),"[Nhãn]")</f>
        <v>[Nhãn]</v>
      </c>
      <c r="C5409" s="87" t="str">
        <f>IFERROR(__xludf.DUMMYFUNCTION("""COMPUTED_VALUE"""),"NHG4538")</f>
        <v>NHG4538</v>
      </c>
      <c r="D5409" s="87" t="str">
        <f>IFERROR(__xludf.DUMMYFUNCTION("""COMPUTED_VALUE"""),"[Nhãn]  GC - V - 4538 - Cty Hóa Nông Shino - DPHOS 387 (Nước xanh dương) - 300ml - 40")</f>
        <v>[Nhãn]  GC - V - 4538 - Cty Hóa Nông Shino - DPHOS 387 (Nước xanh dương) - 300ml - 40</v>
      </c>
      <c r="E5409" s="87" t="str">
        <f>IFERROR(__xludf.DUMMYFUNCTION("""COMPUTED_VALUE"""),"Lá Hỗn Hợp PK AGRI FOS AB")</f>
        <v>Lá Hỗn Hợp PK AGRI FOS AB</v>
      </c>
      <c r="F5409" s="87" t="str">
        <f>IFERROR(__xludf.DUMMYFUNCTION("""COMPUTED_VALUE"""),"HH4538")</f>
        <v>HH4538</v>
      </c>
      <c r="G5409" s="87" t="str">
        <f>IFERROR(__xludf.DUMMYFUNCTION("""COMPUTED_VALUE"""),"GC - V - 4538 - Cty Hóa Nông Shino - DPHOS 387 (Nước xanh dương) - 300ml - 40")</f>
        <v>GC - V - 4538 - Cty Hóa Nông Shino - DPHOS 387 (Nước xanh dương) - 300ml - 40</v>
      </c>
    </row>
    <row r="5410">
      <c r="A5410" s="86">
        <f>IFERROR(__xludf.DUMMYFUNCTION("""COMPUTED_VALUE"""),5408.0)</f>
        <v>5408</v>
      </c>
      <c r="B5410" s="87" t="str">
        <f>IFERROR(__xludf.DUMMYFUNCTION("""COMPUTED_VALUE"""),"[Nhãn]")</f>
        <v>[Nhãn]</v>
      </c>
      <c r="C5410" s="87" t="str">
        <f>IFERROR(__xludf.DUMMYFUNCTION("""COMPUTED_VALUE"""),"NHG4566")</f>
        <v>NHG4566</v>
      </c>
      <c r="D5410" s="87" t="str">
        <f>IFERROR(__xludf.DUMMYFUNCTION("""COMPUTED_VALUE"""),"[Nhãn] GC - V - 4566 - Cty Sen Hồng (A.Diễn) - VUA DIỆT RẦY SH (Nước tím) - 250ml - 40")</f>
        <v>[Nhãn] GC - V - 4566 - Cty Sen Hồng (A.Diễn) - VUA DIỆT RẦY SH (Nước tím) - 250ml - 40</v>
      </c>
      <c r="E5410" s="87" t="str">
        <f>IFERROR(__xludf.DUMMYFUNCTION("""COMPUTED_VALUE"""),"Thipro 550EC")</f>
        <v>Thipro 550EC</v>
      </c>
      <c r="F5410" s="87" t="str">
        <f>IFERROR(__xludf.DUMMYFUNCTION("""COMPUTED_VALUE"""),"HH4566")</f>
        <v>HH4566</v>
      </c>
      <c r="G5410" s="87" t="str">
        <f>IFERROR(__xludf.DUMMYFUNCTION("""COMPUTED_VALUE"""),"GC - V - 4566 - Cty Sen Hồng (A.Diễn) - VUA DIỆT RẦY SH (Nước tím) - 250ml - 40")</f>
        <v>GC - V - 4566 - Cty Sen Hồng (A.Diễn) - VUA DIỆT RẦY SH (Nước tím) - 250ml - 40</v>
      </c>
    </row>
    <row r="5411">
      <c r="A5411" s="86">
        <f>IFERROR(__xludf.DUMMYFUNCTION("""COMPUTED_VALUE"""),5409.0)</f>
        <v>5409</v>
      </c>
      <c r="B5411" s="87" t="str">
        <f>IFERROR(__xludf.DUMMYFUNCTION("""COMPUTED_VALUE"""),"[Nhãn]")</f>
        <v>[Nhãn]</v>
      </c>
      <c r="C5411" s="87" t="str">
        <f>IFERROR(__xludf.DUMMYFUNCTION("""COMPUTED_VALUE"""),"NHG4565")</f>
        <v>NHG4565</v>
      </c>
      <c r="D5411" s="87" t="str">
        <f>IFERROR(__xludf.DUMMYFUNCTION("""COMPUTED_VALUE"""),"[Nhãn]  GC - V - 4565 - GNH - Kabo sữa (Nước trắng ngà) - 500ml - 40")</f>
        <v>[Nhãn]  GC - V - 4565 - GNH - Kabo sữa (Nước trắng ngà) - 500ml - 40</v>
      </c>
      <c r="E5411" s="87" t="str">
        <f>IFERROR(__xludf.DUMMYFUNCTION("""COMPUTED_VALUE"""),"Vi lượng Basel IDA 49")</f>
        <v>Vi lượng Basel IDA 49</v>
      </c>
      <c r="F5411" s="87" t="str">
        <f>IFERROR(__xludf.DUMMYFUNCTION("""COMPUTED_VALUE"""),"HH4565")</f>
        <v>HH4565</v>
      </c>
      <c r="G5411" s="87" t="str">
        <f>IFERROR(__xludf.DUMMYFUNCTION("""COMPUTED_VALUE"""),"GC - V - 4565 - GNH - Kabo sữa (Nước trắng ngà) - 500ml - 40")</f>
        <v>GC - V - 4565 - GNH - Kabo sữa (Nước trắng ngà) - 500ml - 40</v>
      </c>
    </row>
    <row r="5412">
      <c r="A5412" s="86">
        <f>IFERROR(__xludf.DUMMYFUNCTION("""COMPUTED_VALUE"""),5410.0)</f>
        <v>5410</v>
      </c>
      <c r="B5412" s="87" t="str">
        <f>IFERROR(__xludf.DUMMYFUNCTION("""COMPUTED_VALUE"""),"[Nhãn Thùng]")</f>
        <v>[Nhãn Thùng]</v>
      </c>
      <c r="C5412" s="87" t="str">
        <f>IFERROR(__xludf.DUMMYFUNCTION("""COMPUTED_VALUE"""),"NDT4456")</f>
        <v>NDT4456</v>
      </c>
      <c r="D5412" s="87" t="str">
        <f>IFERROR(__xludf.DUMMYFUNCTION("""COMPUTED_VALUE"""),"[Nhãn Thùng] GC - IV - 4456 - CTY VISANTO - VISANTO HUMIC SUPER (vẩy nâu đen) - 1kg - 20")</f>
        <v>[Nhãn Thùng] GC - IV - 4456 - CTY VISANTO - VISANTO HUMIC SUPER (vẩy nâu đen) - 1kg - 20</v>
      </c>
      <c r="E5412" s="87" t="str">
        <f>IFERROR(__xludf.DUMMYFUNCTION("""COMPUTED_VALUE"""),"Hữu cơ sinh học Nam Kinh 02")</f>
        <v>Hữu cơ sinh học Nam Kinh 02</v>
      </c>
      <c r="F5412" s="87" t="str">
        <f>IFERROR(__xludf.DUMMYFUNCTION("""COMPUTED_VALUE"""),"HH4456")</f>
        <v>HH4456</v>
      </c>
      <c r="G5412" s="87" t="str">
        <f>IFERROR(__xludf.DUMMYFUNCTION("""COMPUTED_VALUE"""),"GC - IV - 4456 - CTY VISANTO - VISANTO HUMIC SUPER (vẩy nâu đen) - 1kg - 20")</f>
        <v>GC - IV - 4456 - CTY VISANTO - VISANTO HUMIC SUPER (vẩy nâu đen) - 1kg - 20</v>
      </c>
    </row>
    <row r="5413">
      <c r="A5413" s="86">
        <f>IFERROR(__xludf.DUMMYFUNCTION("""COMPUTED_VALUE"""),5411.0)</f>
        <v>5411</v>
      </c>
      <c r="B5413" s="87" t="str">
        <f>IFERROR(__xludf.DUMMYFUNCTION("""COMPUTED_VALUE"""),"[Nhãn]")</f>
        <v>[Nhãn]</v>
      </c>
      <c r="C5413" s="87" t="str">
        <f>IFERROR(__xludf.DUMMYFUNCTION("""COMPUTED_VALUE"""),"NHG4553")</f>
        <v>NHG4553</v>
      </c>
      <c r="D5413" s="87" t="str">
        <f>IFERROR(__xludf.DUMMYFUNCTION("""COMPUTED_VALUE"""),"[Nhãn] IDA Global - I - 4553 - Lưu dẫn thấm sâu mới (Nước xanh dương) - 120ml - 50")</f>
        <v>[Nhãn] IDA Global - I - 4553 - Lưu dẫn thấm sâu mới (Nước xanh dương) - 120ml - 50</v>
      </c>
      <c r="E5413" s="87" t="str">
        <f>IFERROR(__xludf.DUMMYFUNCTION("""COMPUTED_VALUE"""),"Vi lượng Quantity New")</f>
        <v>Vi lượng Quantity New</v>
      </c>
      <c r="F5413" s="87" t="str">
        <f>IFERROR(__xludf.DUMMYFUNCTION("""COMPUTED_VALUE"""),"HH4553")</f>
        <v>HH4553</v>
      </c>
      <c r="G5413" s="87" t="str">
        <f>IFERROR(__xludf.DUMMYFUNCTION("""COMPUTED_VALUE"""),"IDA Global - I - 4553 - Lưu dẫn thấm sâu mới (Nước xanh dương) - 120ml - 50")</f>
        <v>IDA Global - I - 4553 - Lưu dẫn thấm sâu mới (Nước xanh dương) - 120ml - 50</v>
      </c>
    </row>
    <row r="5414">
      <c r="A5414" s="86">
        <f>IFERROR(__xludf.DUMMYFUNCTION("""COMPUTED_VALUE"""),5412.0)</f>
        <v>5412</v>
      </c>
      <c r="B5414" s="87" t="str">
        <f>IFERROR(__xludf.DUMMYFUNCTION("""COMPUTED_VALUE"""),"[Nhãn]")</f>
        <v>[Nhãn]</v>
      </c>
      <c r="C5414" s="87" t="str">
        <f>IFERROR(__xludf.DUMMYFUNCTION("""COMPUTED_VALUE"""),"NHG4544")</f>
        <v>NHG4544</v>
      </c>
      <c r="D5414" s="87" t="str">
        <f>IFERROR(__xludf.DUMMYFUNCTION("""COMPUTED_VALUE"""),"[Nhãn] GC - V - 4544 - CTY R3 - TRIZO 333 (Nước cam sữa) - 300ml - 40")</f>
        <v>[Nhãn] GC - V - 4544 - CTY R3 - TRIZO 333 (Nước cam sữa) - 300ml - 40</v>
      </c>
      <c r="E5414" s="87" t="str">
        <f>IFERROR(__xludf.DUMMYFUNCTION("""COMPUTED_VALUE"""),"CITTIZEN 333SC")</f>
        <v>CITTIZEN 333SC</v>
      </c>
      <c r="F5414" s="87" t="str">
        <f>IFERROR(__xludf.DUMMYFUNCTION("""COMPUTED_VALUE"""),"HH4544")</f>
        <v>HH4544</v>
      </c>
      <c r="G5414" s="87" t="str">
        <f>IFERROR(__xludf.DUMMYFUNCTION("""COMPUTED_VALUE"""),"GC - V - 4544 - CTY R3 - TRIZO 333 (Nước cam sữa) - 300ml - 40")</f>
        <v>GC - V - 4544 - CTY R3 - TRIZO 333 (Nước cam sữa) - 300ml - 40</v>
      </c>
    </row>
    <row r="5415">
      <c r="A5415" s="86">
        <f>IFERROR(__xludf.DUMMYFUNCTION("""COMPUTED_VALUE"""),5413.0)</f>
        <v>5413</v>
      </c>
      <c r="B5415" s="87" t="str">
        <f>IFERROR(__xludf.DUMMYFUNCTION("""COMPUTED_VALUE"""),"[Nhãn]")</f>
        <v>[Nhãn]</v>
      </c>
      <c r="C5415" s="87" t="str">
        <f>IFERROR(__xludf.DUMMYFUNCTION("""COMPUTED_VALUE"""),"NTN4575")</f>
        <v>NTN4575</v>
      </c>
      <c r="D5415" s="87" t="str">
        <f>IFERROR(__xludf.DUMMYFUNCTION("""COMPUTED_VALUE"""),"[Nhãn] GC - V - 4575 - Cty Hóa Nông Đất Vàng - PATINDAN 95 (Bột trắng ngà) - 50gr - 200")</f>
        <v>[Nhãn] GC - V - 4575 - Cty Hóa Nông Đất Vàng - PATINDAN 95 (Bột trắng ngà) - 50gr - 200</v>
      </c>
      <c r="E5415" s="87" t="str">
        <f>IFERROR(__xludf.DUMMYFUNCTION("""COMPUTED_VALUE"""),"FORVIN 85WP")</f>
        <v>FORVIN 85WP</v>
      </c>
      <c r="F5415" s="87" t="str">
        <f>IFERROR(__xludf.DUMMYFUNCTION("""COMPUTED_VALUE"""),"HH4575")</f>
        <v>HH4575</v>
      </c>
      <c r="G5415" s="87" t="str">
        <f>IFERROR(__xludf.DUMMYFUNCTION("""COMPUTED_VALUE"""),"GC - V - 4575 - Cty Hóa Nông Đất Vàng - PATINDAN 95 (Bột trắng ngà) - 50gr - 200")</f>
        <v>GC - V - 4575 - Cty Hóa Nông Đất Vàng - PATINDAN 95 (Bột trắng ngà) - 50gr - 200</v>
      </c>
    </row>
    <row r="5416">
      <c r="A5416" s="86">
        <f>IFERROR(__xludf.DUMMYFUNCTION("""COMPUTED_VALUE"""),5414.0)</f>
        <v>5414</v>
      </c>
      <c r="B5416" s="87" t="str">
        <f>IFERROR(__xludf.DUMMYFUNCTION("""COMPUTED_VALUE"""),"[Nhãn]")</f>
        <v>[Nhãn]</v>
      </c>
      <c r="C5416" s="87" t="str">
        <f>IFERROR(__xludf.DUMMYFUNCTION("""COMPUTED_VALUE"""),"NTN4527")</f>
        <v>NTN4527</v>
      </c>
      <c r="D5416" s="87" t="str">
        <f>IFERROR(__xludf.DUMMYFUNCTION("""COMPUTED_VALUE"""),"[Nhãn] GC - V - 4527 - Cty Agricare Úc (A.Lộc) - Dưỡng Chất Hữu Cơ (Gel nâu đen) - 50ml - 200")</f>
        <v>[Nhãn] GC - V - 4527 - Cty Agricare Úc (A.Lộc) - Dưỡng Chất Hữu Cơ (Gel nâu đen) - 50ml - 200</v>
      </c>
      <c r="E5416" s="87" t="str">
        <f>IFERROR(__xludf.DUMMYFUNCTION("""COMPUTED_VALUE"""),"Vi lượng AV-CFC Plus")</f>
        <v>Vi lượng AV-CFC Plus</v>
      </c>
      <c r="F5416" s="87" t="str">
        <f>IFERROR(__xludf.DUMMYFUNCTION("""COMPUTED_VALUE"""),"HH4527")</f>
        <v>HH4527</v>
      </c>
      <c r="G5416" s="87" t="str">
        <f>IFERROR(__xludf.DUMMYFUNCTION("""COMPUTED_VALUE"""),"GC - V - 4527 - Cty Agricare Úc (A.Lộc) - Dưỡng Chất Hữu Cơ (Gel nâu đen) - 50ml - 200")</f>
        <v>GC - V - 4527 - Cty Agricare Úc (A.Lộc) - Dưỡng Chất Hữu Cơ (Gel nâu đen) - 50ml - 200</v>
      </c>
    </row>
    <row r="5417">
      <c r="A5417" s="86">
        <f>IFERROR(__xludf.DUMMYFUNCTION("""COMPUTED_VALUE"""),5415.0)</f>
        <v>5415</v>
      </c>
      <c r="B5417" s="87" t="str">
        <f>IFERROR(__xludf.DUMMYFUNCTION("""COMPUTED_VALUE"""),"[Nhãn]")</f>
        <v>[Nhãn]</v>
      </c>
      <c r="C5417" s="87" t="str">
        <f>IFERROR(__xludf.DUMMYFUNCTION("""COMPUTED_VALUE"""),"NHG4564")</f>
        <v>NHG4564</v>
      </c>
      <c r="D5417" s="87" t="str">
        <f>IFERROR(__xludf.DUMMYFUNCTION("""COMPUTED_VALUE"""),"[Nhãn] GC - V - 4564 - CTY NEWTEX - CANXI BO KẼM T8 (Nước trắng sữa) - 1L - 20")</f>
        <v>[Nhãn] GC - V - 4564 - CTY NEWTEX - CANXI BO KẼM T8 (Nước trắng sữa) - 1L - 20</v>
      </c>
      <c r="E5417" s="87" t="str">
        <f>IFERROR(__xludf.DUMMYFUNCTION("""COMPUTED_VALUE"""),"Vi lượng AGAMA-CANXI BO")</f>
        <v>Vi lượng AGAMA-CANXI BO</v>
      </c>
      <c r="F5417" s="87" t="str">
        <f>IFERROR(__xludf.DUMMYFUNCTION("""COMPUTED_VALUE"""),"HH4564")</f>
        <v>HH4564</v>
      </c>
      <c r="G5417" s="87" t="str">
        <f>IFERROR(__xludf.DUMMYFUNCTION("""COMPUTED_VALUE"""),"GC - V - 4564 - CTY NEWTEX - CANXI BO KẼM T8 (Nước trắng sữa) - 1L - 20")</f>
        <v>GC - V - 4564 - CTY NEWTEX - CANXI BO KẼM T8 (Nước trắng sữa) - 1L - 20</v>
      </c>
    </row>
    <row r="5418">
      <c r="A5418" s="86">
        <f>IFERROR(__xludf.DUMMYFUNCTION("""COMPUTED_VALUE"""),5416.0)</f>
        <v>5416</v>
      </c>
      <c r="B5418" s="87" t="str">
        <f>IFERROR(__xludf.DUMMYFUNCTION("""COMPUTED_VALUE"""),"[Nhãn]")</f>
        <v>[Nhãn]</v>
      </c>
      <c r="C5418" s="87" t="str">
        <f>IFERROR(__xludf.DUMMYFUNCTION("""COMPUTED_VALUE"""),"NHG4541")</f>
        <v>NHG4541</v>
      </c>
      <c r="D5418" s="87" t="str">
        <f>IFERROR(__xludf.DUMMYFUNCTION("""COMPUTED_VALUE"""),"[Nhãn] GC - V - 4541 - CTY PHÚC THÀNH AGRI - KAMYCINJAPANE 20SL (nước xanh lá) - 450ml - 40")</f>
        <v>[Nhãn] GC - V - 4541 - CTY PHÚC THÀNH AGRI - KAMYCINJAPANE 20SL (nước xanh lá) - 450ml - 40</v>
      </c>
      <c r="E5418" s="87" t="str">
        <f>IFERROR(__xludf.DUMMYFUNCTION("""COMPUTED_VALUE"""),"Kamycinjapane 20SL")</f>
        <v>Kamycinjapane 20SL</v>
      </c>
      <c r="F5418" s="87" t="str">
        <f>IFERROR(__xludf.DUMMYFUNCTION("""COMPUTED_VALUE"""),"HH4541")</f>
        <v>HH4541</v>
      </c>
      <c r="G5418" s="87" t="str">
        <f>IFERROR(__xludf.DUMMYFUNCTION("""COMPUTED_VALUE"""),"GC - V - 4541 - CTY PHÚC THÀNH AGRI - KAMYCINJAPANE 20SL (nước xanh lá) - 450ml - 40")</f>
        <v>GC - V - 4541 - CTY PHÚC THÀNH AGRI - KAMYCINJAPANE 20SL (nước xanh lá) - 450ml - 40</v>
      </c>
    </row>
    <row r="5419">
      <c r="A5419" s="86">
        <f>IFERROR(__xludf.DUMMYFUNCTION("""COMPUTED_VALUE"""),5417.0)</f>
        <v>5417</v>
      </c>
      <c r="B5419" s="87" t="str">
        <f>IFERROR(__xludf.DUMMYFUNCTION("""COMPUTED_VALUE"""),"[Nhãn]")</f>
        <v>[Nhãn]</v>
      </c>
      <c r="C5419" s="87" t="str">
        <f>IFERROR(__xludf.DUMMYFUNCTION("""COMPUTED_VALUE"""),"NHG4530")</f>
        <v>NHG4530</v>
      </c>
      <c r="D5419" s="87" t="str">
        <f>IFERROR(__xludf.DUMMYFUNCTION("""COMPUTED_VALUE"""),"[Nhãn] GC - V - 4530 - CTY USAFARM - LEAF GROW (Nước xanh lá) - 500ml - 40")</f>
        <v>[Nhãn] GC - V - 4530 - CTY USAFARM - LEAF GROW (Nước xanh lá) - 500ml - 40</v>
      </c>
      <c r="E5419" s="87" t="str">
        <f>IFERROR(__xludf.DUMMYFUNCTION("""COMPUTED_VALUE"""),"Hữu cơ SH Agro Organic Fertilizer 20")</f>
        <v>Hữu cơ SH Agro Organic Fertilizer 20</v>
      </c>
      <c r="F5419" s="87" t="str">
        <f>IFERROR(__xludf.DUMMYFUNCTION("""COMPUTED_VALUE"""),"HH4530")</f>
        <v>HH4530</v>
      </c>
      <c r="G5419" s="87" t="str">
        <f>IFERROR(__xludf.DUMMYFUNCTION("""COMPUTED_VALUE"""),"GC - V - 4530 - CTY USAFARM - LEAF GROW (Nước xanh lá) - 500ml - 40")</f>
        <v>GC - V - 4530 - CTY USAFARM - LEAF GROW (Nước xanh lá) - 500ml - 40</v>
      </c>
    </row>
    <row r="5420">
      <c r="A5420" s="86">
        <f>IFERROR(__xludf.DUMMYFUNCTION("""COMPUTED_VALUE"""),5418.0)</f>
        <v>5418</v>
      </c>
      <c r="B5420" s="87" t="str">
        <f>IFERROR(__xludf.DUMMYFUNCTION("""COMPUTED_VALUE"""),"[Nhãn]")</f>
        <v>[Nhãn]</v>
      </c>
      <c r="C5420" s="87" t="str">
        <f>IFERROR(__xludf.DUMMYFUNCTION("""COMPUTED_VALUE"""),"NHG4529")</f>
        <v>NHG4529</v>
      </c>
      <c r="D5420" s="87" t="str">
        <f>IFERROR(__xludf.DUMMYFUNCTION("""COMPUTED_VALUE"""),"[Nhãn] GC - V - 4529 - CTY USA FARM - ROOT 90 (Nước xanh lá) - 500ml - 40")</f>
        <v>[Nhãn] GC - V - 4529 - CTY USA FARM - ROOT 90 (Nước xanh lá) - 500ml - 40</v>
      </c>
      <c r="E5420" s="87" t="str">
        <f>IFERROR(__xludf.DUMMYFUNCTION("""COMPUTED_VALUE"""),"Hữu cơ SH Agro Organic Fertilizer 20")</f>
        <v>Hữu cơ SH Agro Organic Fertilizer 20</v>
      </c>
      <c r="F5420" s="87" t="str">
        <f>IFERROR(__xludf.DUMMYFUNCTION("""COMPUTED_VALUE"""),"HH4529")</f>
        <v>HH4529</v>
      </c>
      <c r="G5420" s="87" t="str">
        <f>IFERROR(__xludf.DUMMYFUNCTION("""COMPUTED_VALUE"""),"GC - V - 4529 - CTY USA FARM - ROOT 90 (Nước xanh lá) - 500ml - 40")</f>
        <v>GC - V - 4529 - CTY USA FARM - ROOT 90 (Nước xanh lá) - 500ml - 40</v>
      </c>
    </row>
    <row r="5421">
      <c r="A5421" s="86">
        <f>IFERROR(__xludf.DUMMYFUNCTION("""COMPUTED_VALUE"""),5419.0)</f>
        <v>5419</v>
      </c>
      <c r="B5421" s="87" t="str">
        <f>IFERROR(__xludf.DUMMYFUNCTION("""COMPUTED_VALUE"""),"[Nhãn]")</f>
        <v>[Nhãn]</v>
      </c>
      <c r="C5421" s="87" t="str">
        <f>IFERROR(__xludf.DUMMYFUNCTION("""COMPUTED_VALUE"""),"NTN4562")</f>
        <v>NTN4562</v>
      </c>
      <c r="D5421" s="87" t="str">
        <f>IFERROR(__xludf.DUMMYFUNCTION("""COMPUTED_VALUE"""),"[Nhãn] GC - V - 4562 - CTY VISANTO - CAPHENY 822 PLUS (Bột cam) - 300gr - 30")</f>
        <v>[Nhãn] GC - V - 4562 - CTY VISANTO - CAPHENY 822 PLUS (Bột cam) - 300gr - 30</v>
      </c>
      <c r="E5421" s="87" t="str">
        <f>IFERROR(__xludf.DUMMYFUNCTION("""COMPUTED_VALUE"""),"NOFADA 822WP")</f>
        <v>NOFADA 822WP</v>
      </c>
      <c r="F5421" s="87" t="str">
        <f>IFERROR(__xludf.DUMMYFUNCTION("""COMPUTED_VALUE"""),"HH4562")</f>
        <v>HH4562</v>
      </c>
      <c r="G5421" s="87" t="str">
        <f>IFERROR(__xludf.DUMMYFUNCTION("""COMPUTED_VALUE"""),"GC - V - 4562 - CTY VISANTO - CAPHENY 822 PLUS (Bột cam) - 300gr - 30")</f>
        <v>GC - V - 4562 - CTY VISANTO - CAPHENY 822 PLUS (Bột cam) - 300gr - 30</v>
      </c>
    </row>
    <row r="5422">
      <c r="A5422" s="86">
        <f>IFERROR(__xludf.DUMMYFUNCTION("""COMPUTED_VALUE"""),5420.0)</f>
        <v>5420</v>
      </c>
      <c r="B5422" s="87" t="str">
        <f>IFERROR(__xludf.DUMMYFUNCTION("""COMPUTED_VALUE"""),"[Nhãn]")</f>
        <v>[Nhãn]</v>
      </c>
      <c r="C5422" s="87" t="str">
        <f>IFERROR(__xludf.DUMMYFUNCTION("""COMPUTED_VALUE"""),"NHG4570")</f>
        <v>NHG4570</v>
      </c>
      <c r="D5422" s="87" t="str">
        <f>IFERROR(__xludf.DUMMYFUNCTION("""COMPUTED_VALUE"""),"[Nhãn] GC - V - 4570 - NEWTECH CROP SCIENCE - JAPA VIL 110SC (Nước trắng sữa) - 1L - 20")</f>
        <v>[Nhãn] GC - V - 4570 - NEWTECH CROP SCIENCE - JAPA VIL 110SC (Nước trắng sữa) - 1L - 20</v>
      </c>
      <c r="E5422" s="87" t="str">
        <f>IFERROR(__xludf.DUMMYFUNCTION("""COMPUTED_VALUE"""),"JAPA VIL 110SC")</f>
        <v>JAPA VIL 110SC</v>
      </c>
      <c r="F5422" s="87" t="str">
        <f>IFERROR(__xludf.DUMMYFUNCTION("""COMPUTED_VALUE"""),"HH4570")</f>
        <v>HH4570</v>
      </c>
      <c r="G5422" s="87" t="str">
        <f>IFERROR(__xludf.DUMMYFUNCTION("""COMPUTED_VALUE"""),"GC - V - 4570 - NEWTECH CROP SCIENCE - JAPA VIL 110SC (Nước trắng sữa) - 1L - 20")</f>
        <v>GC - V - 4570 - NEWTECH CROP SCIENCE - JAPA VIL 110SC (Nước trắng sữa) - 1L - 20</v>
      </c>
    </row>
    <row r="5423">
      <c r="A5423" s="86">
        <f>IFERROR(__xludf.DUMMYFUNCTION("""COMPUTED_VALUE"""),5421.0)</f>
        <v>5421</v>
      </c>
      <c r="B5423" s="87" t="str">
        <f>IFERROR(__xludf.DUMMYFUNCTION("""COMPUTED_VALUE"""),"[Nhãn Thùng]")</f>
        <v>[Nhãn Thùng]</v>
      </c>
      <c r="C5423" s="87" t="str">
        <f>IFERROR(__xludf.DUMMYFUNCTION("""COMPUTED_VALUE"""),"NDT4570")</f>
        <v>NDT4570</v>
      </c>
      <c r="D5423" s="87" t="str">
        <f>IFERROR(__xludf.DUMMYFUNCTION("""COMPUTED_VALUE"""),"[Nhãn Thùng] GC - V - 4570 - NEWTECH CROP SCIENCE - JAPA VIL 110SC (Nước trắng sữa) - 1L - 20")</f>
        <v>[Nhãn Thùng] GC - V - 4570 - NEWTECH CROP SCIENCE - JAPA VIL 110SC (Nước trắng sữa) - 1L - 20</v>
      </c>
      <c r="E5423" s="87" t="str">
        <f>IFERROR(__xludf.DUMMYFUNCTION("""COMPUTED_VALUE"""),"JAPA VIL 110SC")</f>
        <v>JAPA VIL 110SC</v>
      </c>
      <c r="F5423" s="87" t="str">
        <f>IFERROR(__xludf.DUMMYFUNCTION("""COMPUTED_VALUE"""),"HH4570")</f>
        <v>HH4570</v>
      </c>
      <c r="G5423" s="87" t="str">
        <f>IFERROR(__xludf.DUMMYFUNCTION("""COMPUTED_VALUE"""),"GC - V - 4570 - NEWTECH CROP SCIENCE - JAPA VIL 110SC (Nước trắng sữa) - 1L - 20")</f>
        <v>GC - V - 4570 - NEWTECH CROP SCIENCE - JAPA VIL 110SC (Nước trắng sữa) - 1L - 20</v>
      </c>
    </row>
    <row r="5424">
      <c r="A5424" s="86">
        <f>IFERROR(__xludf.DUMMYFUNCTION("""COMPUTED_VALUE"""),5422.0)</f>
        <v>5422</v>
      </c>
      <c r="B5424" s="87" t="str">
        <f>IFERROR(__xludf.DUMMYFUNCTION("""COMPUTED_VALUE"""),"[Nhãn]")</f>
        <v>[Nhãn]</v>
      </c>
      <c r="C5424" s="87" t="str">
        <f>IFERROR(__xludf.DUMMYFUNCTION("""COMPUTED_VALUE"""),"NHD4522")</f>
        <v>NHD4522</v>
      </c>
      <c r="D5424" s="87" t="str">
        <f>IFERROR(__xludf.DUMMYFUNCTION("""COMPUTED_VALUE"""),"[Nhãn] GC - V - 4522 - CTY GNH - RA RỄ - BUNG CHỒI (Nước nâu đen) - 20 lít - 1")</f>
        <v>[Nhãn] GC - V - 4522 - CTY GNH - RA RỄ - BUNG CHỒI (Nước nâu đen) - 20 lít - 1</v>
      </c>
      <c r="E5424" s="87" t="str">
        <f>IFERROR(__xludf.DUMMYFUNCTION("""COMPUTED_VALUE"""),"Hữu Cơ Organic ĐGP 01")</f>
        <v>Hữu Cơ Organic ĐGP 01</v>
      </c>
      <c r="F5424" s="87" t="str">
        <f>IFERROR(__xludf.DUMMYFUNCTION("""COMPUTED_VALUE"""),"HH4522")</f>
        <v>HH4522</v>
      </c>
      <c r="G5424" s="87" t="str">
        <f>IFERROR(__xludf.DUMMYFUNCTION("""COMPUTED_VALUE"""),"GC - V - 4522 - CTY GNH - RA RỄ - BUNG CHỒI (Nước nâu đen) - 20 lít - 1")</f>
        <v>GC - V - 4522 - CTY GNH - RA RỄ - BUNG CHỒI (Nước nâu đen) - 20 lít - 1</v>
      </c>
    </row>
    <row r="5425">
      <c r="A5425" s="86">
        <f>IFERROR(__xludf.DUMMYFUNCTION("""COMPUTED_VALUE"""),5423.0)</f>
        <v>5423</v>
      </c>
      <c r="B5425" s="87" t="str">
        <f>IFERROR(__xludf.DUMMYFUNCTION("""COMPUTED_VALUE"""),"[Nhãn]")</f>
        <v>[Nhãn]</v>
      </c>
      <c r="C5425" s="87" t="str">
        <f>IFERROR(__xludf.DUMMYFUNCTION("""COMPUTED_VALUE"""),"NHD4523")</f>
        <v>NHD4523</v>
      </c>
      <c r="D5425" s="87" t="str">
        <f>IFERROR(__xludf.DUMMYFUNCTION("""COMPUTED_VALUE"""),"[Nhãn] GC - V - 4523 - CTY GNH - RA RỄ - BUNG CHỒI (Nước nâu đen) - 10 lít - 1")</f>
        <v>[Nhãn] GC - V - 4523 - CTY GNH - RA RỄ - BUNG CHỒI (Nước nâu đen) - 10 lít - 1</v>
      </c>
      <c r="E5425" s="87" t="str">
        <f>IFERROR(__xludf.DUMMYFUNCTION("""COMPUTED_VALUE"""),"Hữu Cơ Organic ĐGP 01")</f>
        <v>Hữu Cơ Organic ĐGP 01</v>
      </c>
      <c r="F5425" s="87" t="str">
        <f>IFERROR(__xludf.DUMMYFUNCTION("""COMPUTED_VALUE"""),"HH4523")</f>
        <v>HH4523</v>
      </c>
      <c r="G5425" s="87" t="str">
        <f>IFERROR(__xludf.DUMMYFUNCTION("""COMPUTED_VALUE"""),"GC - V - 4523 - CTY GNH - RA RỄ - BUNG CHỒI (Nước nâu đen) - 10 lít - 1")</f>
        <v>GC - V - 4523 - CTY GNH - RA RỄ - BUNG CHỒI (Nước nâu đen) - 10 lít - 1</v>
      </c>
    </row>
    <row r="5426">
      <c r="A5426" s="86">
        <f>IFERROR(__xludf.DUMMYFUNCTION("""COMPUTED_VALUE"""),5424.0)</f>
        <v>5424</v>
      </c>
      <c r="B5426" s="87" t="str">
        <f>IFERROR(__xludf.DUMMYFUNCTION("""COMPUTED_VALUE"""),"[Nhãn]")</f>
        <v>[Nhãn]</v>
      </c>
      <c r="C5426" s="87" t="str">
        <f>IFERROR(__xludf.DUMMYFUNCTION("""COMPUTED_VALUE"""),"NTN4573")</f>
        <v>NTN4573</v>
      </c>
      <c r="D5426" s="87" t="str">
        <f>IFERROR(__xludf.DUMMYFUNCTION("""COMPUTED_VALUE"""),"[Nhãn] GC - V - 4573 - CTY SEN HỒNG - HUMIIX (Dạng viên màu đen) - 1kg - 25")</f>
        <v>[Nhãn] GC - V - 4573 - CTY SEN HỒNG - HUMIIX (Dạng viên màu đen) - 1kg - 25</v>
      </c>
      <c r="E5426" s="87" t="str">
        <f>IFERROR(__xludf.DUMMYFUNCTION("""COMPUTED_VALUE"""),"Hữu cơ sinh học Nam Kinh 02")</f>
        <v>Hữu cơ sinh học Nam Kinh 02</v>
      </c>
      <c r="F5426" s="87" t="str">
        <f>IFERROR(__xludf.DUMMYFUNCTION("""COMPUTED_VALUE"""),"HH4573")</f>
        <v>HH4573</v>
      </c>
      <c r="G5426" s="87" t="str">
        <f>IFERROR(__xludf.DUMMYFUNCTION("""COMPUTED_VALUE"""),"GC - V - 4573 - CTY SEN HỒNG - HUMIIX (Dạng viên màu đen) - 1kg - 25")</f>
        <v>GC - V - 4573 - CTY SEN HỒNG - HUMIIX (Dạng viên màu đen) - 1kg - 25</v>
      </c>
    </row>
    <row r="5427">
      <c r="A5427" s="86">
        <f>IFERROR(__xludf.DUMMYFUNCTION("""COMPUTED_VALUE"""),5425.0)</f>
        <v>5425</v>
      </c>
      <c r="B5427" s="87" t="str">
        <f>IFERROR(__xludf.DUMMYFUNCTION("""COMPUTED_VALUE"""),"[Nhãn Thùng]")</f>
        <v>[Nhãn Thùng]</v>
      </c>
      <c r="C5427" s="87" t="str">
        <f>IFERROR(__xludf.DUMMYFUNCTION("""COMPUTED_VALUE"""),"NDT4573")</f>
        <v>NDT4573</v>
      </c>
      <c r="D5427" s="87" t="str">
        <f>IFERROR(__xludf.DUMMYFUNCTION("""COMPUTED_VALUE"""),"[Nhãn Thùng] GC - V - 4573 - CTY SEN HỒNG - HUMIIX (Dạng viên màu đen) - 1kg - 25")</f>
        <v>[Nhãn Thùng] GC - V - 4573 - CTY SEN HỒNG - HUMIIX (Dạng viên màu đen) - 1kg - 25</v>
      </c>
      <c r="E5427" s="87" t="str">
        <f>IFERROR(__xludf.DUMMYFUNCTION("""COMPUTED_VALUE"""),"Hữu cơ sinh học Nam Kinh 02")</f>
        <v>Hữu cơ sinh học Nam Kinh 02</v>
      </c>
      <c r="F5427" s="87" t="str">
        <f>IFERROR(__xludf.DUMMYFUNCTION("""COMPUTED_VALUE"""),"HH4573")</f>
        <v>HH4573</v>
      </c>
      <c r="G5427" s="87" t="str">
        <f>IFERROR(__xludf.DUMMYFUNCTION("""COMPUTED_VALUE"""),"GC - V - 4573 - CTY SEN HỒNG - HUMIIX (Dạng viên màu đen) - 1kg - 25")</f>
        <v>GC - V - 4573 - CTY SEN HỒNG - HUMIIX (Dạng viên màu đen) - 1kg - 25</v>
      </c>
    </row>
    <row r="5428">
      <c r="A5428" s="86">
        <f>IFERROR(__xludf.DUMMYFUNCTION("""COMPUTED_VALUE"""),5426.0)</f>
        <v>5426</v>
      </c>
      <c r="B5428" s="87" t="str">
        <f>IFERROR(__xludf.DUMMYFUNCTION("""COMPUTED_VALUE"""),"[Nhãn Thùng]")</f>
        <v>[Nhãn Thùng]</v>
      </c>
      <c r="C5428" s="87" t="str">
        <f>IFERROR(__xludf.DUMMYFUNCTION("""COMPUTED_VALUE"""),"NDT4562")</f>
        <v>NDT4562</v>
      </c>
      <c r="D5428" s="87" t="str">
        <f>IFERROR(__xludf.DUMMYFUNCTION("""COMPUTED_VALUE"""),"[Nhãn Thùng] GC - V - 4562 - CTY VISANTO - CAPHENY 822 PLUS (Bột cam) - 300gr - 30")</f>
        <v>[Nhãn Thùng] GC - V - 4562 - CTY VISANTO - CAPHENY 822 PLUS (Bột cam) - 300gr - 30</v>
      </c>
      <c r="E5428" s="87" t="str">
        <f>IFERROR(__xludf.DUMMYFUNCTION("""COMPUTED_VALUE"""),"NOFADA 822WP")</f>
        <v>NOFADA 822WP</v>
      </c>
      <c r="F5428" s="87" t="str">
        <f>IFERROR(__xludf.DUMMYFUNCTION("""COMPUTED_VALUE"""),"HH4562")</f>
        <v>HH4562</v>
      </c>
      <c r="G5428" s="87" t="str">
        <f>IFERROR(__xludf.DUMMYFUNCTION("""COMPUTED_VALUE"""),"GC - V - 4562 - CTY VISANTO - CAPHENY 822 PLUS (Bột cam) - 300gr - 30")</f>
        <v>GC - V - 4562 - CTY VISANTO - CAPHENY 822 PLUS (Bột cam) - 300gr - 30</v>
      </c>
    </row>
    <row r="5429">
      <c r="A5429" s="86">
        <f>IFERROR(__xludf.DUMMYFUNCTION("""COMPUTED_VALUE"""),5427.0)</f>
        <v>5427</v>
      </c>
      <c r="B5429" s="87" t="str">
        <f>IFERROR(__xludf.DUMMYFUNCTION("""COMPUTED_VALUE"""),"[Nhãn]")</f>
        <v>[Nhãn]</v>
      </c>
      <c r="C5429" s="87" t="str">
        <f>IFERROR(__xludf.DUMMYFUNCTION("""COMPUTED_VALUE"""),"NHG4588")</f>
        <v>NHG4588</v>
      </c>
      <c r="D5429" s="87" t="str">
        <f>IFERROR(__xludf.DUMMYFUNCTION("""COMPUTED_VALUE"""),"[Nhãn] IDA Global - I - 4588 - ĐL CHÍ TOÀN - VOTE 34.2SC (Nước trắng sữa) - 240ml - 40")</f>
        <v>[Nhãn] IDA Global - I - 4588 - ĐL CHÍ TOÀN - VOTE 34.2SC (Nước trắng sữa) - 240ml - 40</v>
      </c>
      <c r="E5429" s="87" t="str">
        <f>IFERROR(__xludf.DUMMYFUNCTION("""COMPUTED_VALUE"""),"VOTE 34.2SC")</f>
        <v>VOTE 34.2SC</v>
      </c>
      <c r="F5429" s="87" t="str">
        <f>IFERROR(__xludf.DUMMYFUNCTION("""COMPUTED_VALUE"""),"HH4588")</f>
        <v>HH4588</v>
      </c>
      <c r="G5429" s="87" t="str">
        <f>IFERROR(__xludf.DUMMYFUNCTION("""COMPUTED_VALUE"""),"IDA Global - I - 4588 - ĐL CHÍ TOÀN - VOTE 34.2SC (Nước trắng sữa) - 240ml - 40")</f>
        <v>IDA Global - I - 4588 - ĐL CHÍ TOÀN - VOTE 34.2SC (Nước trắng sữa) - 240ml - 40</v>
      </c>
    </row>
    <row r="5430">
      <c r="A5430" s="86">
        <f>IFERROR(__xludf.DUMMYFUNCTION("""COMPUTED_VALUE"""),5428.0)</f>
        <v>5428</v>
      </c>
      <c r="B5430" s="87" t="str">
        <f>IFERROR(__xludf.DUMMYFUNCTION("""COMPUTED_VALUE"""),"[Nhãn]")</f>
        <v>[Nhãn]</v>
      </c>
      <c r="C5430" s="87" t="str">
        <f>IFERROR(__xludf.DUMMYFUNCTION("""COMPUTED_VALUE"""),"NHG4577")</f>
        <v>NHG4577</v>
      </c>
      <c r="D5430" s="87" t="str">
        <f>IFERROR(__xludf.DUMMYFUNCTION("""COMPUTED_VALUE"""),"[Nhãn] GC - V - 4577 - CTY R3 - ULTRA SHIELD (Nước cam sữa) - 250ml - 40")</f>
        <v>[Nhãn] GC - V - 4577 - CTY R3 - ULTRA SHIELD (Nước cam sữa) - 250ml - 40</v>
      </c>
      <c r="E5430" s="87" t="str">
        <f>IFERROR(__xludf.DUMMYFUNCTION("""COMPUTED_VALUE"""),"KING-CIDE JAPAN 460SC")</f>
        <v>KING-CIDE JAPAN 460SC</v>
      </c>
      <c r="F5430" s="87" t="str">
        <f>IFERROR(__xludf.DUMMYFUNCTION("""COMPUTED_VALUE"""),"HH4577")</f>
        <v>HH4577</v>
      </c>
      <c r="G5430" s="87" t="str">
        <f>IFERROR(__xludf.DUMMYFUNCTION("""COMPUTED_VALUE"""),"GC - V - 4577 - CTY R3 - ULTRA SHIELD (Nước cam sữa) - 250ml - 40")</f>
        <v>GC - V - 4577 - CTY R3 - ULTRA SHIELD (Nước cam sữa) - 250ml - 40</v>
      </c>
    </row>
    <row r="5431">
      <c r="A5431" s="86">
        <f>IFERROR(__xludf.DUMMYFUNCTION("""COMPUTED_VALUE"""),5429.0)</f>
        <v>5429</v>
      </c>
      <c r="B5431" s="87" t="str">
        <f>IFERROR(__xludf.DUMMYFUNCTION("""COMPUTED_VALUE"""),"[Nhãn]")</f>
        <v>[Nhãn]</v>
      </c>
      <c r="C5431" s="87" t="str">
        <f>IFERROR(__xludf.DUMMYFUNCTION("""COMPUTED_VALUE"""),"NHD4543")</f>
        <v>NHD4543</v>
      </c>
      <c r="D5431" s="87" t="str">
        <f>IFERROR(__xludf.DUMMYFUNCTION("""COMPUTED_VALUE"""),"[Nhãn] GC - V - 4543 - Cty Sen Hồng (A.Diễn) - CITTIZEN 333SC (Nước cam sữa) - 400ml - 30")</f>
        <v>[Nhãn] GC - V - 4543 - Cty Sen Hồng (A.Diễn) - CITTIZEN 333SC (Nước cam sữa) - 400ml - 30</v>
      </c>
      <c r="E5431" s="87" t="str">
        <f>IFERROR(__xludf.DUMMYFUNCTION("""COMPUTED_VALUE"""),"CITTIZEN 333SC")</f>
        <v>CITTIZEN 333SC</v>
      </c>
      <c r="F5431" s="87" t="str">
        <f>IFERROR(__xludf.DUMMYFUNCTION("""COMPUTED_VALUE"""),"HH4543")</f>
        <v>HH4543</v>
      </c>
      <c r="G5431" s="87" t="str">
        <f>IFERROR(__xludf.DUMMYFUNCTION("""COMPUTED_VALUE"""),"GC - V - 4543 - Cty Sen Hồng (A.Diễn) - CITTIZEN 333SC (Nước cam sữa) - 400ml - 30")</f>
        <v>GC - V - 4543 - Cty Sen Hồng (A.Diễn) - CITTIZEN 333SC (Nước cam sữa) - 400ml - 30</v>
      </c>
    </row>
    <row r="5432">
      <c r="A5432" s="86">
        <f>IFERROR(__xludf.DUMMYFUNCTION("""COMPUTED_VALUE"""),5430.0)</f>
        <v>5430</v>
      </c>
      <c r="B5432" s="87" t="str">
        <f>IFERROR(__xludf.DUMMYFUNCTION("""COMPUTED_VALUE"""),"[HỘP]")</f>
        <v>[HỘP]</v>
      </c>
      <c r="C5432" s="87" t="str">
        <f>IFERROR(__xludf.DUMMYFUNCTION("""COMPUTED_VALUE"""),"HOP4543")</f>
        <v>HOP4543</v>
      </c>
      <c r="D5432" s="87" t="str">
        <f>IFERROR(__xludf.DUMMYFUNCTION("""COMPUTED_VALUE"""),"[HỘP] GC - V - 4543 - Cty Sen Hồng (A.Diễn) - CITTIZEN 333SC (Nước cam sữa) - 400ml - 30")</f>
        <v>[HỘP] GC - V - 4543 - Cty Sen Hồng (A.Diễn) - CITTIZEN 333SC (Nước cam sữa) - 400ml - 30</v>
      </c>
      <c r="E5432" s="87" t="str">
        <f>IFERROR(__xludf.DUMMYFUNCTION("""COMPUTED_VALUE"""),"CITTIZEN 333SC")</f>
        <v>CITTIZEN 333SC</v>
      </c>
      <c r="F5432" s="87" t="str">
        <f>IFERROR(__xludf.DUMMYFUNCTION("""COMPUTED_VALUE"""),"HH4543")</f>
        <v>HH4543</v>
      </c>
      <c r="G5432" s="87" t="str">
        <f>IFERROR(__xludf.DUMMYFUNCTION("""COMPUTED_VALUE"""),"GC - V - 4543 - Cty Sen Hồng (A.Diễn) - CITTIZEN 333SC (Nước cam sữa) - 400ml - 30")</f>
        <v>GC - V - 4543 - Cty Sen Hồng (A.Diễn) - CITTIZEN 333SC (Nước cam sữa) - 400ml - 30</v>
      </c>
    </row>
    <row r="5433">
      <c r="A5433" s="86">
        <f>IFERROR(__xludf.DUMMYFUNCTION("""COMPUTED_VALUE"""),5431.0)</f>
        <v>5431</v>
      </c>
      <c r="B5433" s="87" t="str">
        <f>IFERROR(__xludf.DUMMYFUNCTION("""COMPUTED_VALUE"""),"[HỘP]")</f>
        <v>[HỘP]</v>
      </c>
      <c r="C5433" s="87" t="str">
        <f>IFERROR(__xludf.DUMMYFUNCTION("""COMPUTED_VALUE"""),"HOP4158")</f>
        <v>HOP4158</v>
      </c>
      <c r="D5433" s="87" t="str">
        <f>IFERROR(__xludf.DUMMYFUNCTION("""COMPUTED_VALUE"""),"[HỘP] GC - IV - 4158 - TAGO - Cạp Lửa (Nước nâu đen) - 450ml - 40")</f>
        <v>[HỘP] GC - IV - 4158 - TAGO - Cạp Lửa (Nước nâu đen) - 450ml - 40</v>
      </c>
      <c r="E5433" s="87" t="str">
        <f>IFERROR(__xludf.DUMMYFUNCTION("""COMPUTED_VALUE"""),"HAIHAMEC 3.6EC")</f>
        <v>HAIHAMEC 3.6EC</v>
      </c>
      <c r="F5433" s="87" t="str">
        <f>IFERROR(__xludf.DUMMYFUNCTION("""COMPUTED_VALUE"""),"HH4158")</f>
        <v>HH4158</v>
      </c>
      <c r="G5433" s="87" t="str">
        <f>IFERROR(__xludf.DUMMYFUNCTION("""COMPUTED_VALUE"""),"GC - IV - 4158 - TAGO - Cạp Lửa (Nước nâu đen) - 450ml - 40")</f>
        <v>GC - IV - 4158 - TAGO - Cạp Lửa (Nước nâu đen) - 450ml - 40</v>
      </c>
    </row>
    <row r="5434">
      <c r="A5434" s="86">
        <f>IFERROR(__xludf.DUMMYFUNCTION("""COMPUTED_VALUE"""),5432.0)</f>
        <v>5432</v>
      </c>
      <c r="B5434" s="87" t="str">
        <f>IFERROR(__xludf.DUMMYFUNCTION("""COMPUTED_VALUE"""),"[Nhãn]")</f>
        <v>[Nhãn]</v>
      </c>
      <c r="C5434" s="87" t="str">
        <f>IFERROR(__xludf.DUMMYFUNCTION("""COMPUTED_VALUE"""),"NHG4535")</f>
        <v>NHG4535</v>
      </c>
      <c r="D5434" s="87" t="str">
        <f>IFERROR(__xludf.DUMMYFUNCTION("""COMPUTED_VALUE"""),"[Nhãn] GC - V - 4535 - TAGO - GENOL 1.2SL (Nước đỏ) - 300ml - 40")</f>
        <v>[Nhãn] GC - V - 4535 - TAGO - GENOL 1.2SL (Nước đỏ) - 300ml - 40</v>
      </c>
      <c r="E5434" s="87" t="str">
        <f>IFERROR(__xludf.DUMMYFUNCTION("""COMPUTED_VALUE"""),"GENOL 1.2SL")</f>
        <v>GENOL 1.2SL</v>
      </c>
      <c r="F5434" s="87" t="str">
        <f>IFERROR(__xludf.DUMMYFUNCTION("""COMPUTED_VALUE"""),"HH4535")</f>
        <v>HH4535</v>
      </c>
      <c r="G5434" s="87" t="str">
        <f>IFERROR(__xludf.DUMMYFUNCTION("""COMPUTED_VALUE"""),"GC - V - 4535 - TAGO - GENOL 1.2SL (Nước đỏ) - 300ml - 40")</f>
        <v>GC - V - 4535 - TAGO - GENOL 1.2SL (Nước đỏ) - 300ml - 40</v>
      </c>
    </row>
    <row r="5435">
      <c r="A5435" s="86">
        <f>IFERROR(__xludf.DUMMYFUNCTION("""COMPUTED_VALUE"""),5433.0)</f>
        <v>5433</v>
      </c>
      <c r="B5435" s="87" t="str">
        <f>IFERROR(__xludf.DUMMYFUNCTION("""COMPUTED_VALUE"""),"[Nhãn]")</f>
        <v>[Nhãn]</v>
      </c>
      <c r="C5435" s="87" t="str">
        <f>IFERROR(__xludf.DUMMYFUNCTION("""COMPUTED_VALUE"""),"NHG4536")</f>
        <v>NHG4536</v>
      </c>
      <c r="D5435" s="87" t="str">
        <f>IFERROR(__xludf.DUMMYFUNCTION("""COMPUTED_VALUE"""),"[Nhãn] GC - V - 4536 - TAGO - MITOP ONE 390SC (Nước xanh bơ sữa) - 300ml - 40")</f>
        <v>[Nhãn] GC - V - 4536 - TAGO - MITOP ONE 390SC (Nước xanh bơ sữa) - 300ml - 40</v>
      </c>
      <c r="E5435" s="87" t="str">
        <f>IFERROR(__xludf.DUMMYFUNCTION("""COMPUTED_VALUE"""),"MITOP ONE 390SC")</f>
        <v>MITOP ONE 390SC</v>
      </c>
      <c r="F5435" s="87" t="str">
        <f>IFERROR(__xludf.DUMMYFUNCTION("""COMPUTED_VALUE"""),"HH4536")</f>
        <v>HH4536</v>
      </c>
      <c r="G5435" s="87" t="str">
        <f>IFERROR(__xludf.DUMMYFUNCTION("""COMPUTED_VALUE"""),"GC - V - 4536 - TAGO - MITOP ONE 390SC (Nước xanh bơ sữa) - 300ml - 40")</f>
        <v>GC - V - 4536 - TAGO - MITOP ONE 390SC (Nước xanh bơ sữa) - 300ml - 40</v>
      </c>
    </row>
    <row r="5436">
      <c r="A5436" s="86">
        <f>IFERROR(__xludf.DUMMYFUNCTION("""COMPUTED_VALUE"""),5434.0)</f>
        <v>5434</v>
      </c>
      <c r="B5436" s="87" t="str">
        <f>IFERROR(__xludf.DUMMYFUNCTION("""COMPUTED_VALUE"""),"[Nhãn]")</f>
        <v>[Nhãn]</v>
      </c>
      <c r="C5436" s="87" t="str">
        <f>IFERROR(__xludf.DUMMYFUNCTION("""COMPUTED_VALUE"""),"NHG4537")</f>
        <v>NHG4537</v>
      </c>
      <c r="D5436" s="87" t="str">
        <f>IFERROR(__xludf.DUMMYFUNCTION("""COMPUTED_VALUE"""),"[Nhãn] GC - V - 4537 - TAGO - ĐÒNG TO VÔ GẠO (Gel màu tím) - 300ml - 40")</f>
        <v>[Nhãn] GC - V - 4537 - TAGO - ĐÒNG TO VÔ GẠO (Gel màu tím) - 300ml - 40</v>
      </c>
      <c r="E5436" s="87" t="str">
        <f>IFERROR(__xludf.DUMMYFUNCTION("""COMPUTED_VALUE"""),"Lá PK-Vi lượng SV 5-18")</f>
        <v>Lá PK-Vi lượng SV 5-18</v>
      </c>
      <c r="F5436" s="87" t="str">
        <f>IFERROR(__xludf.DUMMYFUNCTION("""COMPUTED_VALUE"""),"HH4537")</f>
        <v>HH4537</v>
      </c>
      <c r="G5436" s="87" t="str">
        <f>IFERROR(__xludf.DUMMYFUNCTION("""COMPUTED_VALUE"""),"GC - V - 4537 - TAGO - ĐÒNG TO VÔ GẠO (Gel màu tím) - 300ml - 40")</f>
        <v>GC - V - 4537 - TAGO - ĐÒNG TO VÔ GẠO (Gel màu tím) - 300ml - 40</v>
      </c>
    </row>
    <row r="5437">
      <c r="A5437" s="86">
        <f>IFERROR(__xludf.DUMMYFUNCTION("""COMPUTED_VALUE"""),5435.0)</f>
        <v>5435</v>
      </c>
      <c r="B5437" s="87" t="str">
        <f>IFERROR(__xludf.DUMMYFUNCTION("""COMPUTED_VALUE"""),"[Nhãn]")</f>
        <v>[Nhãn]</v>
      </c>
      <c r="C5437" s="87" t="str">
        <f>IFERROR(__xludf.DUMMYFUNCTION("""COMPUTED_VALUE"""),"NHG4581")</f>
        <v>NHG4581</v>
      </c>
      <c r="D5437" s="87" t="str">
        <f>IFERROR(__xludf.DUMMYFUNCTION("""COMPUTED_VALUE"""),"[Nhãn] GC - V - 4581 - CTY XNK O2L - BÁO XÁM 4.0 (Nước trong) - 450ml - 40")</f>
        <v>[Nhãn] GC - V - 4581 - CTY XNK O2L - BÁO XÁM 4.0 (Nước trong) - 450ml - 40</v>
      </c>
      <c r="E5437" s="87" t="str">
        <f>IFERROR(__xludf.DUMMYFUNCTION("""COMPUTED_VALUE"""),"Chitin 3.6EC")</f>
        <v>Chitin 3.6EC</v>
      </c>
      <c r="F5437" s="87" t="str">
        <f>IFERROR(__xludf.DUMMYFUNCTION("""COMPUTED_VALUE"""),"HH4581")</f>
        <v>HH4581</v>
      </c>
      <c r="G5437" s="87" t="str">
        <f>IFERROR(__xludf.DUMMYFUNCTION("""COMPUTED_VALUE"""),"GC - V - 4581 - CTY XNK O2L - BÁO XÁM 4.0 (Nước trong) - 450ml - 40")</f>
        <v>GC - V - 4581 - CTY XNK O2L - BÁO XÁM 4.0 (Nước trong) - 450ml - 40</v>
      </c>
    </row>
    <row r="5438">
      <c r="A5438" s="86">
        <f>IFERROR(__xludf.DUMMYFUNCTION("""COMPUTED_VALUE"""),5436.0)</f>
        <v>5436</v>
      </c>
      <c r="B5438" s="87" t="str">
        <f>IFERROR(__xludf.DUMMYFUNCTION("""COMPUTED_VALUE"""),"[Nhãn]")</f>
        <v>[Nhãn]</v>
      </c>
      <c r="C5438" s="87" t="str">
        <f>IFERROR(__xludf.DUMMYFUNCTION("""COMPUTED_VALUE"""),"NHG4545")</f>
        <v>NHG4545</v>
      </c>
      <c r="D5438" s="87" t="str">
        <f>IFERROR(__xludf.DUMMYFUNCTION("""COMPUTED_VALUE"""),"[Nhãn] GC - V - 4545 - GNH - DR. PHOENIX SUPER ĐỒNG (Nước xanh nõn chuối) - 100ml - 100")</f>
        <v>[Nhãn] GC - V - 4545 - GNH - DR. PHOENIX SUPER ĐỒNG (Nước xanh nõn chuối) - 100ml - 100</v>
      </c>
      <c r="E5438" s="87" t="str">
        <f>IFERROR(__xludf.DUMMYFUNCTION("""COMPUTED_VALUE"""),"Vi lượng Agama - Cu")</f>
        <v>Vi lượng Agama - Cu</v>
      </c>
      <c r="F5438" s="87" t="str">
        <f>IFERROR(__xludf.DUMMYFUNCTION("""COMPUTED_VALUE"""),"HH4545")</f>
        <v>HH4545</v>
      </c>
      <c r="G5438" s="87" t="str">
        <f>IFERROR(__xludf.DUMMYFUNCTION("""COMPUTED_VALUE"""),"GC - V - 4545 - GNH - DR. PHOENIX SUPER ĐỒNG (Nước xanh nõn chuối) - 100ml - 100")</f>
        <v>GC - V - 4545 - GNH - DR. PHOENIX SUPER ĐỒNG (Nước xanh nõn chuối) - 100ml - 100</v>
      </c>
    </row>
    <row r="5439">
      <c r="A5439" s="86">
        <f>IFERROR(__xludf.DUMMYFUNCTION("""COMPUTED_VALUE"""),5437.0)</f>
        <v>5437</v>
      </c>
      <c r="B5439" s="87" t="str">
        <f>IFERROR(__xludf.DUMMYFUNCTION("""COMPUTED_VALUE"""),"[Nhãn]")</f>
        <v>[Nhãn]</v>
      </c>
      <c r="C5439" s="87" t="str">
        <f>IFERROR(__xludf.DUMMYFUNCTION("""COMPUTED_VALUE"""),"NHG4546")</f>
        <v>NHG4546</v>
      </c>
      <c r="D5439" s="87" t="str">
        <f>IFERROR(__xludf.DUMMYFUNCTION("""COMPUTED_VALUE"""),"[Nhãn] GC - V - 4546 - GNH - DR. PHOENIX SUPER ĐỒNG (Nước xanh nõn chuối) - 250ml - 40")</f>
        <v>[Nhãn] GC - V - 4546 - GNH - DR. PHOENIX SUPER ĐỒNG (Nước xanh nõn chuối) - 250ml - 40</v>
      </c>
      <c r="E5439" s="87" t="str">
        <f>IFERROR(__xludf.DUMMYFUNCTION("""COMPUTED_VALUE"""),"Vi lượng Agama - Cu")</f>
        <v>Vi lượng Agama - Cu</v>
      </c>
      <c r="F5439" s="87" t="str">
        <f>IFERROR(__xludf.DUMMYFUNCTION("""COMPUTED_VALUE"""),"HH4546")</f>
        <v>HH4546</v>
      </c>
      <c r="G5439" s="87" t="str">
        <f>IFERROR(__xludf.DUMMYFUNCTION("""COMPUTED_VALUE"""),"GC - V - 4546 - GNH - DR. PHOENIX SUPER ĐỒNG (Nước xanh nõn chuối) - 250ml - 40")</f>
        <v>GC - V - 4546 - GNH - DR. PHOENIX SUPER ĐỒNG (Nước xanh nõn chuối) - 250ml - 40</v>
      </c>
    </row>
    <row r="5440">
      <c r="A5440" s="86">
        <f>IFERROR(__xludf.DUMMYFUNCTION("""COMPUTED_VALUE"""),5438.0)</f>
        <v>5438</v>
      </c>
      <c r="B5440" s="87" t="str">
        <f>IFERROR(__xludf.DUMMYFUNCTION("""COMPUTED_VALUE"""),"[Nhãn]")</f>
        <v>[Nhãn]</v>
      </c>
      <c r="C5440" s="87" t="str">
        <f>IFERROR(__xludf.DUMMYFUNCTION("""COMPUTED_VALUE"""),"NTN4571")</f>
        <v>NTN4571</v>
      </c>
      <c r="D5440" s="87" t="str">
        <f>IFERROR(__xludf.DUMMYFUNCTION("""COMPUTED_VALUE"""),"[Nhãn] GC - V - 4571 - CTY GNH - CHESSIN 600WP (Bột trắng ngà) - 40gr - 200")</f>
        <v>[Nhãn] GC - V - 4571 - CTY GNH - CHESSIN 600WP (Bột trắng ngà) - 40gr - 200</v>
      </c>
      <c r="E5440" s="87" t="str">
        <f>IFERROR(__xludf.DUMMYFUNCTION("""COMPUTED_VALUE"""),"CHESSIN 600WP")</f>
        <v>CHESSIN 600WP</v>
      </c>
      <c r="F5440" s="87" t="str">
        <f>IFERROR(__xludf.DUMMYFUNCTION("""COMPUTED_VALUE"""),"HH4571")</f>
        <v>HH4571</v>
      </c>
      <c r="G5440" s="87" t="str">
        <f>IFERROR(__xludf.DUMMYFUNCTION("""COMPUTED_VALUE"""),"GC - V - 4571 - CTY GNH - CHESSIN 600WP (Bột trắng ngà) - 40gr - 200")</f>
        <v>GC - V - 4571 - CTY GNH - CHESSIN 600WP (Bột trắng ngà) - 40gr - 200</v>
      </c>
    </row>
    <row r="5441">
      <c r="A5441" s="86">
        <f>IFERROR(__xludf.DUMMYFUNCTION("""COMPUTED_VALUE"""),5439.0)</f>
        <v>5439</v>
      </c>
      <c r="B5441" s="87" t="str">
        <f>IFERROR(__xludf.DUMMYFUNCTION("""COMPUTED_VALUE"""),"[Nhãn Thùng]")</f>
        <v>[Nhãn Thùng]</v>
      </c>
      <c r="C5441" s="87" t="str">
        <f>IFERROR(__xludf.DUMMYFUNCTION("""COMPUTED_VALUE"""),"NDT4571")</f>
        <v>NDT4571</v>
      </c>
      <c r="D5441" s="87" t="str">
        <f>IFERROR(__xludf.DUMMYFUNCTION("""COMPUTED_VALUE"""),"[Nhãn Thùng] GC - V - 4571 - CTY GNH - CHESSIN 600WP (Bột trắng ngà) - 40gr - 200")</f>
        <v>[Nhãn Thùng] GC - V - 4571 - CTY GNH - CHESSIN 600WP (Bột trắng ngà) - 40gr - 200</v>
      </c>
      <c r="E5441" s="87" t="str">
        <f>IFERROR(__xludf.DUMMYFUNCTION("""COMPUTED_VALUE"""),"CHESSIN 600WP")</f>
        <v>CHESSIN 600WP</v>
      </c>
      <c r="F5441" s="87" t="str">
        <f>IFERROR(__xludf.DUMMYFUNCTION("""COMPUTED_VALUE"""),"HH4571")</f>
        <v>HH4571</v>
      </c>
      <c r="G5441" s="87" t="str">
        <f>IFERROR(__xludf.DUMMYFUNCTION("""COMPUTED_VALUE"""),"GC - V - 4571 - CTY GNH - CHESSIN 600WP (Bột trắng ngà) - 40gr - 200")</f>
        <v>GC - V - 4571 - CTY GNH - CHESSIN 600WP (Bột trắng ngà) - 40gr - 200</v>
      </c>
    </row>
    <row r="5442">
      <c r="A5442" s="86">
        <f>IFERROR(__xludf.DUMMYFUNCTION("""COMPUTED_VALUE"""),5440.0)</f>
        <v>5440</v>
      </c>
      <c r="B5442" s="87" t="str">
        <f>IFERROR(__xludf.DUMMYFUNCTION("""COMPUTED_VALUE"""),"[HỘP]")</f>
        <v>[HỘP]</v>
      </c>
      <c r="C5442" s="87" t="str">
        <f>IFERROR(__xludf.DUMMYFUNCTION("""COMPUTED_VALUE"""),"HOP4537")</f>
        <v>HOP4537</v>
      </c>
      <c r="D5442" s="87" t="str">
        <f>IFERROR(__xludf.DUMMYFUNCTION("""COMPUTED_VALUE"""),"[HỘP] GC - V - 4537 - TAGO - ĐÒNG TO VÔ GẠO (Gel màu tím) - 300ml - 3")</f>
        <v>[HỘP] GC - V - 4537 - TAGO - ĐÒNG TO VÔ GẠO (Gel màu tím) - 300ml - 3</v>
      </c>
      <c r="E5442" s="87" t="str">
        <f>IFERROR(__xludf.DUMMYFUNCTION("""COMPUTED_VALUE"""),"Lá PK-Vi lượng SV 5-18")</f>
        <v>Lá PK-Vi lượng SV 5-18</v>
      </c>
      <c r="F5442" s="87" t="str">
        <f>IFERROR(__xludf.DUMMYFUNCTION("""COMPUTED_VALUE"""),"HH4537")</f>
        <v>HH4537</v>
      </c>
      <c r="G5442" s="87" t="str">
        <f>IFERROR(__xludf.DUMMYFUNCTION("""COMPUTED_VALUE"""),"GC - V - 4537 - TAGO - ĐÒNG TO VÔ GẠO (Gel màu tím) - 300ml - 40")</f>
        <v>GC - V - 4537 - TAGO - ĐÒNG TO VÔ GẠO (Gel màu tím) - 300ml - 40</v>
      </c>
    </row>
    <row r="5443">
      <c r="A5443" s="86">
        <f>IFERROR(__xludf.DUMMYFUNCTION("""COMPUTED_VALUE"""),5441.0)</f>
        <v>5441</v>
      </c>
      <c r="B5443" s="87" t="str">
        <f>IFERROR(__xludf.DUMMYFUNCTION("""COMPUTED_VALUE"""),"[Nhãn]")</f>
        <v>[Nhãn]</v>
      </c>
      <c r="C5443" s="87" t="str">
        <f>IFERROR(__xludf.DUMMYFUNCTION("""COMPUTED_VALUE"""),"NHG4579")</f>
        <v>NHG4579</v>
      </c>
      <c r="D5443" s="87" t="str">
        <f>IFERROR(__xludf.DUMMYFUNCTION("""COMPUTED_VALUE"""),"[Nhãn] GC - V - 4579 - Cty Hóa Nông Shino - BOOM GOLD (Nước trắng sữa) - 500ml - 30")</f>
        <v>[Nhãn] GC - V - 4579 - Cty Hóa Nông Shino - BOOM GOLD (Nước trắng sữa) - 500ml - 30</v>
      </c>
      <c r="E5443" s="87" t="str">
        <f>IFERROR(__xludf.DUMMYFUNCTION("""COMPUTED_VALUE"""),"Vi lượng AGAMA-CANXI BO")</f>
        <v>Vi lượng AGAMA-CANXI BO</v>
      </c>
      <c r="F5443" s="87" t="str">
        <f>IFERROR(__xludf.DUMMYFUNCTION("""COMPUTED_VALUE"""),"HH4579")</f>
        <v>HH4579</v>
      </c>
      <c r="G5443" s="87" t="str">
        <f>IFERROR(__xludf.DUMMYFUNCTION("""COMPUTED_VALUE"""),"GC - V - 4579 - Cty Hóa Nông Shino - BOOM GOLD (Nước trắng sữa) - 500ml - 30")</f>
        <v>GC - V - 4579 - Cty Hóa Nông Shino - BOOM GOLD (Nước trắng sữa) - 500ml - 30</v>
      </c>
    </row>
    <row r="5444">
      <c r="A5444" s="86">
        <f>IFERROR(__xludf.DUMMYFUNCTION("""COMPUTED_VALUE"""),5442.0)</f>
        <v>5442</v>
      </c>
      <c r="B5444" s="87" t="str">
        <f>IFERROR(__xludf.DUMMYFUNCTION("""COMPUTED_VALUE"""),"[HỘP]")</f>
        <v>[HỘP]</v>
      </c>
      <c r="C5444" s="87" t="str">
        <f>IFERROR(__xludf.DUMMYFUNCTION("""COMPUTED_VALUE"""),"HOP4581")</f>
        <v>HOP4581</v>
      </c>
      <c r="D5444" s="87" t="str">
        <f>IFERROR(__xludf.DUMMYFUNCTION("""COMPUTED_VALUE"""),"[HỘP] GC - V - 4581 - CTY XNK O2L - BÁO XÁM 4.0 (Nước trong) - 450ml - 1")</f>
        <v>[HỘP] GC - V - 4581 - CTY XNK O2L - BÁO XÁM 4.0 (Nước trong) - 450ml - 1</v>
      </c>
      <c r="E5444" s="87" t="str">
        <f>IFERROR(__xludf.DUMMYFUNCTION("""COMPUTED_VALUE"""),"Chitin 3.6EC")</f>
        <v>Chitin 3.6EC</v>
      </c>
      <c r="F5444" s="87" t="str">
        <f>IFERROR(__xludf.DUMMYFUNCTION("""COMPUTED_VALUE"""),"HH4581")</f>
        <v>HH4581</v>
      </c>
      <c r="G5444" s="87" t="str">
        <f>IFERROR(__xludf.DUMMYFUNCTION("""COMPUTED_VALUE"""),"GC - V - 4581 - CTY XNK O2L - BÁO XÁM 4.0 (Nước trong) - 450ml - 40")</f>
        <v>GC - V - 4581 - CTY XNK O2L - BÁO XÁM 4.0 (Nước trong) - 450ml - 40</v>
      </c>
    </row>
    <row r="5445">
      <c r="A5445" s="86">
        <f>IFERROR(__xludf.DUMMYFUNCTION("""COMPUTED_VALUE"""),5443.0)</f>
        <v>5443</v>
      </c>
      <c r="B5445" s="87" t="str">
        <f>IFERROR(__xludf.DUMMYFUNCTION("""COMPUTED_VALUE"""),"[Nhãn]")</f>
        <v>[Nhãn]</v>
      </c>
      <c r="C5445" s="87" t="str">
        <f>IFERROR(__xludf.DUMMYFUNCTION("""COMPUTED_VALUE"""),"NHD4596")</f>
        <v>NHD4596</v>
      </c>
      <c r="D5445" s="87" t="str">
        <f>IFERROR(__xludf.DUMMYFUNCTION("""COMPUTED_VALUE"""),"[Nhãn]  IDA Global - I - 4596 - IDA ORGANIC X2 (Nước nâu đen) - 5L - 4")</f>
        <v>[Nhãn]  IDA Global - I - 4596 - IDA ORGANIC X2 (Nước nâu đen) - 5L - 4</v>
      </c>
      <c r="E5445" s="87" t="str">
        <f>IFERROR(__xludf.DUMMYFUNCTION("""COMPUTED_VALUE"""),"Hữu cơ SH Agro Organic Fertilizer 20")</f>
        <v>Hữu cơ SH Agro Organic Fertilizer 20</v>
      </c>
      <c r="F5445" s="87" t="str">
        <f>IFERROR(__xludf.DUMMYFUNCTION("""COMPUTED_VALUE"""),"HH4596")</f>
        <v>HH4596</v>
      </c>
      <c r="G5445" s="87" t="str">
        <f>IFERROR(__xludf.DUMMYFUNCTION("""COMPUTED_VALUE"""),"IDA Global - I - 4596 - IDA ORGANIC X2 (Nước nâu đen) - 5L - 4")</f>
        <v>IDA Global - I - 4596 - IDA ORGANIC X2 (Nước nâu đen) - 5L - 4</v>
      </c>
    </row>
    <row r="5446">
      <c r="A5446" s="86">
        <f>IFERROR(__xludf.DUMMYFUNCTION("""COMPUTED_VALUE"""),5444.0)</f>
        <v>5444</v>
      </c>
      <c r="B5446" s="87" t="str">
        <f>IFERROR(__xludf.DUMMYFUNCTION("""COMPUTED_VALUE"""),"[Nhãn Thùng]")</f>
        <v>[Nhãn Thùng]</v>
      </c>
      <c r="C5446" s="87" t="str">
        <f>IFERROR(__xludf.DUMMYFUNCTION("""COMPUTED_VALUE"""),"NDT4596")</f>
        <v>NDT4596</v>
      </c>
      <c r="D5446" s="87" t="str">
        <f>IFERROR(__xludf.DUMMYFUNCTION("""COMPUTED_VALUE"""),"[Nhãn Thùng]  IDA Global - I - 4596 - IDA ORGANIC X2 (Nước nâu đen) - 5L - 4")</f>
        <v>[Nhãn Thùng]  IDA Global - I - 4596 - IDA ORGANIC X2 (Nước nâu đen) - 5L - 4</v>
      </c>
      <c r="E5446" s="87" t="str">
        <f>IFERROR(__xludf.DUMMYFUNCTION("""COMPUTED_VALUE"""),"Hữu cơ SH Agro Organic Fertilizer 20")</f>
        <v>Hữu cơ SH Agro Organic Fertilizer 20</v>
      </c>
      <c r="F5446" s="87" t="str">
        <f>IFERROR(__xludf.DUMMYFUNCTION("""COMPUTED_VALUE"""),"HH4596")</f>
        <v>HH4596</v>
      </c>
      <c r="G5446" s="87" t="str">
        <f>IFERROR(__xludf.DUMMYFUNCTION("""COMPUTED_VALUE"""),"IDA Global - I - 4596 - IDA ORGANIC X2 (Nước nâu đen) - 5L - 4")</f>
        <v>IDA Global - I - 4596 - IDA ORGANIC X2 (Nước nâu đen) - 5L - 4</v>
      </c>
    </row>
    <row r="5447">
      <c r="A5447" s="86">
        <f>IFERROR(__xludf.DUMMYFUNCTION("""COMPUTED_VALUE"""),5445.0)</f>
        <v>5445</v>
      </c>
      <c r="B5447" s="87" t="str">
        <f>IFERROR(__xludf.DUMMYFUNCTION("""COMPUTED_VALUE"""),"[Nhãn]")</f>
        <v>[Nhãn]</v>
      </c>
      <c r="C5447" s="87" t="str">
        <f>IFERROR(__xludf.DUMMYFUNCTION("""COMPUTED_VALUE"""),"NTN4583")</f>
        <v>NTN4583</v>
      </c>
      <c r="D5447" s="87" t="str">
        <f>IFERROR(__xludf.DUMMYFUNCTION("""COMPUTED_VALUE"""),"[Nhãn] LOTUS AGROCHEM - VI - 4583 - LOTUS COPPERCIDE (Bột trắng) - 250gr - 60")</f>
        <v>[Nhãn] LOTUS AGROCHEM - VI - 4583 - LOTUS COPPERCIDE (Bột trắng) - 250gr - 60</v>
      </c>
      <c r="E5447" s="87" t="str">
        <f>IFERROR(__xludf.DUMMYFUNCTION("""COMPUTED_VALUE"""),"PN COPPERCIDE 50WP")</f>
        <v>PN COPPERCIDE 50WP</v>
      </c>
      <c r="F5447" s="87" t="str">
        <f>IFERROR(__xludf.DUMMYFUNCTION("""COMPUTED_VALUE"""),"HH4583")</f>
        <v>HH4583</v>
      </c>
      <c r="G5447" s="87" t="str">
        <f>IFERROR(__xludf.DUMMYFUNCTION("""COMPUTED_VALUE"""),"LOTUS AGROCHEM - VI - 4583 - LOTUS COPPERCIDE (Bột trắng) - 250gr - 60")</f>
        <v>LOTUS AGROCHEM - VI - 4583 - LOTUS COPPERCIDE (Bột trắng) - 250gr - 60</v>
      </c>
    </row>
    <row r="5448">
      <c r="A5448" s="86">
        <f>IFERROR(__xludf.DUMMYFUNCTION("""COMPUTED_VALUE"""),5446.0)</f>
        <v>5446</v>
      </c>
      <c r="B5448" s="87" t="str">
        <f>IFERROR(__xludf.DUMMYFUNCTION("""COMPUTED_VALUE"""),"[Nhãn Thùng]")</f>
        <v>[Nhãn Thùng]</v>
      </c>
      <c r="C5448" s="87" t="str">
        <f>IFERROR(__xludf.DUMMYFUNCTION("""COMPUTED_VALUE"""),"NDT4583")</f>
        <v>NDT4583</v>
      </c>
      <c r="D5448" s="87" t="str">
        <f>IFERROR(__xludf.DUMMYFUNCTION("""COMPUTED_VALUE"""),"[Nhãn Thùng] LOTUS AGROCHEM - VI - 4583 - LOTUS COPPERCIDE (Bột trắng) - 250gr - 60")</f>
        <v>[Nhãn Thùng] LOTUS AGROCHEM - VI - 4583 - LOTUS COPPERCIDE (Bột trắng) - 250gr - 60</v>
      </c>
      <c r="E5448" s="87" t="str">
        <f>IFERROR(__xludf.DUMMYFUNCTION("""COMPUTED_VALUE"""),"PN COPPERCIDE 50WP")</f>
        <v>PN COPPERCIDE 50WP</v>
      </c>
      <c r="F5448" s="87" t="str">
        <f>IFERROR(__xludf.DUMMYFUNCTION("""COMPUTED_VALUE"""),"HH4583")</f>
        <v>HH4583</v>
      </c>
      <c r="G5448" s="87" t="str">
        <f>IFERROR(__xludf.DUMMYFUNCTION("""COMPUTED_VALUE"""),"LOTUS AGROCHEM - VI - 4583 - LOTUS COPPERCIDE (Bột trắng) - 250gr - 60")</f>
        <v>LOTUS AGROCHEM - VI - 4583 - LOTUS COPPERCIDE (Bột trắng) - 250gr - 60</v>
      </c>
    </row>
    <row r="5449">
      <c r="A5449" s="86">
        <f>IFERROR(__xludf.DUMMYFUNCTION("""COMPUTED_VALUE"""),5447.0)</f>
        <v>5447</v>
      </c>
      <c r="B5449" s="87" t="str">
        <f>IFERROR(__xludf.DUMMYFUNCTION("""COMPUTED_VALUE"""),"[Nhãn]")</f>
        <v>[Nhãn]</v>
      </c>
      <c r="C5449" s="87" t="str">
        <f>IFERROR(__xludf.DUMMYFUNCTION("""COMPUTED_VALUE"""),"NHG4594")</f>
        <v>NHG4594</v>
      </c>
      <c r="D5449" s="87" t="str">
        <f>IFERROR(__xludf.DUMMYFUNCTION("""COMPUTED_VALUE"""),"[Nhãn] GC - V - 4594 - AGRICARE HIGHLAND - MITOP ONE 390SC (Nước vàng) - 240ml - 40")</f>
        <v>[Nhãn] GC - V - 4594 - AGRICARE HIGHLAND - MITOP ONE 390SC (Nước vàng) - 240ml - 40</v>
      </c>
      <c r="E5449" s="87" t="str">
        <f>IFERROR(__xludf.DUMMYFUNCTION("""COMPUTED_VALUE"""),"MITOP ONE 390SC")</f>
        <v>MITOP ONE 390SC</v>
      </c>
      <c r="F5449" s="87" t="str">
        <f>IFERROR(__xludf.DUMMYFUNCTION("""COMPUTED_VALUE"""),"HH4594")</f>
        <v>HH4594</v>
      </c>
      <c r="G5449" s="87" t="str">
        <f>IFERROR(__xludf.DUMMYFUNCTION("""COMPUTED_VALUE"""),"GC - V - 4594 - AGRICARE HIGHLAND - MITOP ONE 390SC (Nước vàng) - 240ml - 40")</f>
        <v>GC - V - 4594 - AGRICARE HIGHLAND - MITOP ONE 390SC (Nước vàng) - 240ml - 40</v>
      </c>
    </row>
    <row r="5450">
      <c r="A5450" s="86">
        <f>IFERROR(__xludf.DUMMYFUNCTION("""COMPUTED_VALUE"""),5448.0)</f>
        <v>5448</v>
      </c>
      <c r="B5450" s="87" t="str">
        <f>IFERROR(__xludf.DUMMYFUNCTION("""COMPUTED_VALUE"""),"[Nhãn]")</f>
        <v>[Nhãn]</v>
      </c>
      <c r="C5450" s="87" t="str">
        <f>IFERROR(__xludf.DUMMYFUNCTION("""COMPUTED_VALUE"""),"NHG4597")</f>
        <v>NHG4597</v>
      </c>
      <c r="D5450" s="87" t="str">
        <f>IFERROR(__xludf.DUMMYFUNCTION("""COMPUTED_VALUE"""),"[Nhãn] GC - V - 4597 - CTY R3 - SPIRO 240SC (Nước trắng sữa) - 250ml - 40")</f>
        <v>[Nhãn] GC - V - 4597 - CTY R3 - SPIRO 240SC (Nước trắng sữa) - 250ml - 40</v>
      </c>
      <c r="E5450" s="87" t="str">
        <f>IFERROR(__xludf.DUMMYFUNCTION("""COMPUTED_VALUE"""),"SPIRO 240SC")</f>
        <v>SPIRO 240SC</v>
      </c>
      <c r="F5450" s="87" t="str">
        <f>IFERROR(__xludf.DUMMYFUNCTION("""COMPUTED_VALUE"""),"HH4597")</f>
        <v>HH4597</v>
      </c>
      <c r="G5450" s="87" t="str">
        <f>IFERROR(__xludf.DUMMYFUNCTION("""COMPUTED_VALUE"""),"GC - V - 4597 - CTY R3 - SPIRO 240SC (Nước trắng sữa) - 250ml - 40")</f>
        <v>GC - V - 4597 - CTY R3 - SPIRO 240SC (Nước trắng sữa) - 250ml - 40</v>
      </c>
    </row>
    <row r="5451">
      <c r="A5451" s="86">
        <f>IFERROR(__xludf.DUMMYFUNCTION("""COMPUTED_VALUE"""),5449.0)</f>
        <v>5449</v>
      </c>
      <c r="B5451" s="87" t="str">
        <f>IFERROR(__xludf.DUMMYFUNCTION("""COMPUTED_VALUE"""),"[Nhãn]")</f>
        <v>[Nhãn]</v>
      </c>
      <c r="C5451" s="87" t="str">
        <f>IFERROR(__xludf.DUMMYFUNCTION("""COMPUTED_VALUE"""),"NHG4586")</f>
        <v>NHG4586</v>
      </c>
      <c r="D5451" s="87" t="str">
        <f>IFERROR(__xludf.DUMMYFUNCTION("""COMPUTED_VALUE"""),"[Nhãn] LOTUS AGROCHEM - VI - 4586 - LOTUS DIỆP LỤC (Nước trắng sữa) - 500ml - 40")</f>
        <v>[Nhãn] LOTUS AGROCHEM - VI - 4586 - LOTUS DIỆP LỤC (Nước trắng sữa) - 500ml - 40</v>
      </c>
      <c r="E5451" s="87" t="str">
        <f>IFERROR(__xludf.DUMMYFUNCTION("""COMPUTED_VALUE"""),"vi lượng Phú Sĩ FJ-09 Kẽm Mg")</f>
        <v>vi lượng Phú Sĩ FJ-09 Kẽm Mg</v>
      </c>
      <c r="F5451" s="87" t="str">
        <f>IFERROR(__xludf.DUMMYFUNCTION("""COMPUTED_VALUE"""),"HH4586")</f>
        <v>HH4586</v>
      </c>
      <c r="G5451" s="87" t="str">
        <f>IFERROR(__xludf.DUMMYFUNCTION("""COMPUTED_VALUE"""),"LOTUS AGROCHEM - VI - 4586 - LOTUS DIỆP LỤC (Nước trắng sữa) - 500ml - 40")</f>
        <v>LOTUS AGROCHEM - VI - 4586 - LOTUS DIỆP LỤC (Nước trắng sữa) - 500ml - 40</v>
      </c>
    </row>
    <row r="5452">
      <c r="A5452" s="86">
        <f>IFERROR(__xludf.DUMMYFUNCTION("""COMPUTED_VALUE"""),5450.0)</f>
        <v>5450</v>
      </c>
      <c r="B5452" s="87" t="str">
        <f>IFERROR(__xludf.DUMMYFUNCTION("""COMPUTED_VALUE"""),"[HỘP]")</f>
        <v>[HỘP]</v>
      </c>
      <c r="C5452" s="87" t="str">
        <f>IFERROR(__xludf.DUMMYFUNCTION("""COMPUTED_VALUE"""),"HOP4419")</f>
        <v>HOP4419</v>
      </c>
      <c r="D5452" s="87" t="str">
        <f>IFERROR(__xludf.DUMMYFUNCTION("""COMPUTED_VALUE"""),"[HỘP] IDA Global - I - 4419 - KASUGAMYCIN (CHIẾN BINH XANH) - 450ml - 2")</f>
        <v>[HỘP] IDA Global - I - 4419 - KASUGAMYCIN (CHIẾN BINH XANH) - 450ml - 2</v>
      </c>
      <c r="E5452" s="87" t="str">
        <f>IFERROR(__xludf.DUMMYFUNCTION("""COMPUTED_VALUE"""),"KARIDE 3SL")</f>
        <v>KARIDE 3SL</v>
      </c>
      <c r="F5452" s="87" t="str">
        <f>IFERROR(__xludf.DUMMYFUNCTION("""COMPUTED_VALUE"""),"HH4419")</f>
        <v>HH4419</v>
      </c>
      <c r="G5452" s="87" t="str">
        <f>IFERROR(__xludf.DUMMYFUNCTION("""COMPUTED_VALUE"""),"IDA Global - I - 4419 - KASUGAMYCIN (Nước xanh lá) - 450ml - 40")</f>
        <v>IDA Global - I - 4419 - KASUGAMYCIN (Nước xanh lá) - 450ml - 40</v>
      </c>
    </row>
    <row r="5453">
      <c r="A5453" s="86">
        <f>IFERROR(__xludf.DUMMYFUNCTION("""COMPUTED_VALUE"""),5451.0)</f>
        <v>5451</v>
      </c>
      <c r="B5453" s="87" t="str">
        <f>IFERROR(__xludf.DUMMYFUNCTION("""COMPUTED_VALUE"""),"[Nhãn]")</f>
        <v>[Nhãn]</v>
      </c>
      <c r="C5453" s="87" t="str">
        <f>IFERROR(__xludf.DUMMYFUNCTION("""COMPUTED_VALUE"""),"NHG4554")</f>
        <v>NHG4554</v>
      </c>
      <c r="D5453" s="87" t="str">
        <f>IFERROR(__xludf.DUMMYFUNCTION("""COMPUTED_VALUE"""),"[Nhãn] GC - V - 4554 - Cty Hóa Nông Shino - BIM SHINO (Nước cam sữa) - 450ml - 30")</f>
        <v>[Nhãn] GC - V - 4554 - Cty Hóa Nông Shino - BIM SHINO (Nước cam sữa) - 450ml - 30</v>
      </c>
      <c r="E5453" s="87" t="str">
        <f>IFERROR(__xludf.DUMMYFUNCTION("""COMPUTED_VALUE"""),"CITTIZEN 333SC")</f>
        <v>CITTIZEN 333SC</v>
      </c>
      <c r="F5453" s="87" t="str">
        <f>IFERROR(__xludf.DUMMYFUNCTION("""COMPUTED_VALUE"""),"HH4554")</f>
        <v>HH4554</v>
      </c>
      <c r="G5453" s="87" t="str">
        <f>IFERROR(__xludf.DUMMYFUNCTION("""COMPUTED_VALUE"""),"GC - V - 4554 - Cty Hóa Nông Shino - BIM SHINO (Nước cam sữa) - 450ml - 30")</f>
        <v>GC - V - 4554 - Cty Hóa Nông Shino - BIM SHINO (Nước cam sữa) - 450ml - 30</v>
      </c>
    </row>
    <row r="5454">
      <c r="A5454" s="86">
        <f>IFERROR(__xludf.DUMMYFUNCTION("""COMPUTED_VALUE"""),5452.0)</f>
        <v>5452</v>
      </c>
      <c r="B5454" s="87" t="str">
        <f>IFERROR(__xludf.DUMMYFUNCTION("""COMPUTED_VALUE"""),"[Nhãn]")</f>
        <v>[Nhãn]</v>
      </c>
      <c r="C5454" s="87" t="str">
        <f>IFERROR(__xludf.DUMMYFUNCTION("""COMPUTED_VALUE"""),"NHG4540")</f>
        <v>NHG4540</v>
      </c>
      <c r="D5454" s="87" t="str">
        <f>IFERROR(__xludf.DUMMYFUNCTION("""COMPUTED_VALUE"""),"[Nhãn]  GC - V - 4540 - Cty Hóa Nông Shino - BIM 999 (Nước cam sữa) - 450ml - 30")</f>
        <v>[Nhãn]  GC - V - 4540 - Cty Hóa Nông Shino - BIM 999 (Nước cam sữa) - 450ml - 30</v>
      </c>
      <c r="E5454" s="87" t="str">
        <f>IFERROR(__xludf.DUMMYFUNCTION("""COMPUTED_VALUE"""),"CITTIZEN 333SC")</f>
        <v>CITTIZEN 333SC</v>
      </c>
      <c r="F5454" s="87" t="str">
        <f>IFERROR(__xludf.DUMMYFUNCTION("""COMPUTED_VALUE"""),"HH4540")</f>
        <v>HH4540</v>
      </c>
      <c r="G5454" s="87" t="str">
        <f>IFERROR(__xludf.DUMMYFUNCTION("""COMPUTED_VALUE"""),"GC - V - 4540 - Cty Hóa Nông Shino - BIM 999 (Nước cam sữa) - 450ml - 30")</f>
        <v>GC - V - 4540 - Cty Hóa Nông Shino - BIM 999 (Nước cam sữa) - 450ml - 30</v>
      </c>
    </row>
    <row r="5455">
      <c r="A5455" s="86">
        <f>IFERROR(__xludf.DUMMYFUNCTION("""COMPUTED_VALUE"""),5453.0)</f>
        <v>5453</v>
      </c>
      <c r="B5455" s="87" t="str">
        <f>IFERROR(__xludf.DUMMYFUNCTION("""COMPUTED_VALUE"""),"[Nhãn]")</f>
        <v>[Nhãn]</v>
      </c>
      <c r="C5455" s="87" t="str">
        <f>IFERROR(__xludf.DUMMYFUNCTION("""COMPUTED_VALUE"""),"NHG4592")</f>
        <v>NHG4592</v>
      </c>
      <c r="D5455" s="87" t="str">
        <f>IFERROR(__xludf.DUMMYFUNCTION("""COMPUTED_VALUE"""),"[Nhãn] GC - V - 4592 - A.Diễn Cty Sen Hồng - MUOIHANH SH (nước đỏ) - 450ml - 40")</f>
        <v>[Nhãn] GC - V - 4592 - A.Diễn Cty Sen Hồng - MUOIHANH SH (nước đỏ) - 450ml - 40</v>
      </c>
      <c r="E5455" s="87" t="str">
        <f>IFERROR(__xludf.DUMMYFUNCTION("""COMPUTED_VALUE"""),"PYXOATE 44EC")</f>
        <v>PYXOATE 44EC</v>
      </c>
      <c r="F5455" s="87" t="str">
        <f>IFERROR(__xludf.DUMMYFUNCTION("""COMPUTED_VALUE"""),"HH4592")</f>
        <v>HH4592</v>
      </c>
      <c r="G5455" s="87" t="str">
        <f>IFERROR(__xludf.DUMMYFUNCTION("""COMPUTED_VALUE"""),"GC - V - 4592 - A.Diễn Cty Sen Hồng - MUOIHANH SH (nước đỏ) - 450ml - 40")</f>
        <v>GC - V - 4592 - A.Diễn Cty Sen Hồng - MUOIHANH SH (nước đỏ) - 450ml - 40</v>
      </c>
    </row>
    <row r="5456">
      <c r="A5456" s="86">
        <f>IFERROR(__xludf.DUMMYFUNCTION("""COMPUTED_VALUE"""),5454.0)</f>
        <v>5454</v>
      </c>
      <c r="B5456" s="87" t="str">
        <f>IFERROR(__xludf.DUMMYFUNCTION("""COMPUTED_VALUE"""),"[Nhãn]")</f>
        <v>[Nhãn]</v>
      </c>
      <c r="C5456" s="87" t="str">
        <f>IFERROR(__xludf.DUMMYFUNCTION("""COMPUTED_VALUE"""),"NHG4598")</f>
        <v>NHG4598</v>
      </c>
      <c r="D5456" s="87" t="str">
        <f>IFERROR(__xludf.DUMMYFUNCTION("""COMPUTED_VALUE"""),"[Nhãn] GC - IV - 4598 - Cty Hóa Nông Shino - BIM SHINO (Nước cam sữa) - 450ml - 30")</f>
        <v>[Nhãn] GC - IV - 4598 - Cty Hóa Nông Shino - BIM SHINO (Nước cam sữa) - 450ml - 30</v>
      </c>
      <c r="E5456" s="87" t="str">
        <f>IFERROR(__xludf.DUMMYFUNCTION("""COMPUTED_VALUE"""),"CITTIZEN 333SC")</f>
        <v>CITTIZEN 333SC</v>
      </c>
      <c r="F5456" s="87" t="str">
        <f>IFERROR(__xludf.DUMMYFUNCTION("""COMPUTED_VALUE"""),"HH4598")</f>
        <v>HH4598</v>
      </c>
      <c r="G5456" s="87" t="str">
        <f>IFERROR(__xludf.DUMMYFUNCTION("""COMPUTED_VALUE"""),"GC - IV - 4598 - Cty Hóa Nông Shino - BIM SHINO (Nước cam sữa) - 450ml - 30")</f>
        <v>GC - IV - 4598 - Cty Hóa Nông Shino - BIM SHINO (Nước cam sữa) - 450ml - 30</v>
      </c>
    </row>
    <row r="5457">
      <c r="A5457" s="86">
        <f>IFERROR(__xludf.DUMMYFUNCTION("""COMPUTED_VALUE"""),5455.0)</f>
        <v>5455</v>
      </c>
      <c r="B5457" s="87" t="str">
        <f>IFERROR(__xludf.DUMMYFUNCTION("""COMPUTED_VALUE"""),"[Nhãn]")</f>
        <v>[Nhãn]</v>
      </c>
      <c r="C5457" s="87" t="str">
        <f>IFERROR(__xludf.DUMMYFUNCTION("""COMPUTED_VALUE"""),"NHG4599")</f>
        <v>NHG4599</v>
      </c>
      <c r="D5457" s="87" t="str">
        <f>IFERROR(__xludf.DUMMYFUNCTION("""COMPUTED_VALUE"""),"[Nhãn] GC - IV - 4599 - Cty Hóa Nông Shino - BIM SHINO (Nước cam sữa) - 450ml - 30")</f>
        <v>[Nhãn] GC - IV - 4599 - Cty Hóa Nông Shino - BIM SHINO (Nước cam sữa) - 450ml - 30</v>
      </c>
      <c r="E5457" s="87" t="str">
        <f>IFERROR(__xludf.DUMMYFUNCTION("""COMPUTED_VALUE"""),"CITTIZEN 333SC")</f>
        <v>CITTIZEN 333SC</v>
      </c>
      <c r="F5457" s="87" t="str">
        <f>IFERROR(__xludf.DUMMYFUNCTION("""COMPUTED_VALUE"""),"HH4599")</f>
        <v>HH4599</v>
      </c>
      <c r="G5457" s="87" t="str">
        <f>IFERROR(__xludf.DUMMYFUNCTION("""COMPUTED_VALUE"""),"GC - IV - 4599 - Cty Hóa Nông Shino - BIM SHINO (Nước cam sữa) - 450ml - 30")</f>
        <v>GC - IV - 4599 - Cty Hóa Nông Shino - BIM SHINO (Nước cam sữa) - 450ml - 30</v>
      </c>
    </row>
    <row r="5458">
      <c r="A5458" s="86">
        <f>IFERROR(__xludf.DUMMYFUNCTION("""COMPUTED_VALUE"""),5456.0)</f>
        <v>5456</v>
      </c>
      <c r="B5458" s="87" t="str">
        <f>IFERROR(__xludf.DUMMYFUNCTION("""COMPUTED_VALUE"""),"[Nhãn]")</f>
        <v>[Nhãn]</v>
      </c>
      <c r="C5458" s="87" t="str">
        <f>IFERROR(__xludf.DUMMYFUNCTION("""COMPUTED_VALUE"""),"NHG4555")</f>
        <v>NHG4555</v>
      </c>
      <c r="D5458" s="87" t="str">
        <f>IFERROR(__xludf.DUMMYFUNCTION("""COMPUTED_VALUE"""),"[Nhãn] GC - V - 4555 - Cty Hóa Nông Shino - BIM SHINO (Nước cam sữa) - 450ml - 30")</f>
        <v>[Nhãn] GC - V - 4555 - Cty Hóa Nông Shino - BIM SHINO (Nước cam sữa) - 450ml - 30</v>
      </c>
      <c r="E5458" s="87" t="str">
        <f>IFERROR(__xludf.DUMMYFUNCTION("""COMPUTED_VALUE"""),"CITTIZEN 333SC")</f>
        <v>CITTIZEN 333SC</v>
      </c>
      <c r="F5458" s="87" t="str">
        <f>IFERROR(__xludf.DUMMYFUNCTION("""COMPUTED_VALUE"""),"HH4555")</f>
        <v>HH4555</v>
      </c>
      <c r="G5458" s="87" t="str">
        <f>IFERROR(__xludf.DUMMYFUNCTION("""COMPUTED_VALUE"""),"GC - V - 4555 - Cty Hóa Nông Shino - BIM SHINO (Nước cam sữa) - 450ml - 30")</f>
        <v>GC - V - 4555 - Cty Hóa Nông Shino - BIM SHINO (Nước cam sữa) - 450ml - 30</v>
      </c>
    </row>
    <row r="5459">
      <c r="A5459" s="86">
        <f>IFERROR(__xludf.DUMMYFUNCTION("""COMPUTED_VALUE"""),5457.0)</f>
        <v>5457</v>
      </c>
      <c r="B5459" s="87" t="str">
        <f>IFERROR(__xludf.DUMMYFUNCTION("""COMPUTED_VALUE"""),"[Nhãn]")</f>
        <v>[Nhãn]</v>
      </c>
      <c r="C5459" s="87" t="str">
        <f>IFERROR(__xludf.DUMMYFUNCTION("""COMPUTED_VALUE"""),"NHG4602")</f>
        <v>NHG4602</v>
      </c>
      <c r="D5459" s="87" t="str">
        <f>IFERROR(__xludf.DUMMYFUNCTION("""COMPUTED_VALUE"""),"[Nhãn] GC - V - 4602 - CTY THIÊN DI - THIDI CANXIBO (Nước trắng sữa) - 500ml - 40")</f>
        <v>[Nhãn] GC - V - 4602 - CTY THIÊN DI - THIDI CANXIBO (Nước trắng sữa) - 500ml - 40</v>
      </c>
      <c r="E5459" s="87" t="str">
        <f>IFERROR(__xludf.DUMMYFUNCTION("""COMPUTED_VALUE"""),"Vi lượng AGAMA-CANXI BO")</f>
        <v>Vi lượng AGAMA-CANXI BO</v>
      </c>
      <c r="F5459" s="87" t="str">
        <f>IFERROR(__xludf.DUMMYFUNCTION("""COMPUTED_VALUE"""),"HH4602")</f>
        <v>HH4602</v>
      </c>
      <c r="G5459" s="87" t="str">
        <f>IFERROR(__xludf.DUMMYFUNCTION("""COMPUTED_VALUE"""),"GC - V - 4602 - CTY THIÊN DI - THIDI CANXIBO (Nước trắng sữa) - 500ml - 40")</f>
        <v>GC - V - 4602 - CTY THIÊN DI - THIDI CANXIBO (Nước trắng sữa) - 500ml - 40</v>
      </c>
    </row>
    <row r="5460">
      <c r="A5460" s="86">
        <f>IFERROR(__xludf.DUMMYFUNCTION("""COMPUTED_VALUE"""),5458.0)</f>
        <v>5458</v>
      </c>
      <c r="B5460" s="87" t="str">
        <f>IFERROR(__xludf.DUMMYFUNCTION("""COMPUTED_VALUE"""),"[Nhãn Thùng]")</f>
        <v>[Nhãn Thùng]</v>
      </c>
      <c r="C5460" s="87" t="str">
        <f>IFERROR(__xludf.DUMMYFUNCTION("""COMPUTED_VALUE"""),"NDT4575")</f>
        <v>NDT4575</v>
      </c>
      <c r="D5460" s="87" t="str">
        <f>IFERROR(__xludf.DUMMYFUNCTION("""COMPUTED_VALUE"""),"[Nhãn Thùng] GC - V - 4575 - Cty Hóa Nông Đất Vàng - PATINDAN 95 (Bột trắng ngà) - 50gr - 200")</f>
        <v>[Nhãn Thùng] GC - V - 4575 - Cty Hóa Nông Đất Vàng - PATINDAN 95 (Bột trắng ngà) - 50gr - 200</v>
      </c>
      <c r="E5460" s="87" t="str">
        <f>IFERROR(__xludf.DUMMYFUNCTION("""COMPUTED_VALUE"""),"FORVIN 85WP")</f>
        <v>FORVIN 85WP</v>
      </c>
      <c r="F5460" s="87" t="str">
        <f>IFERROR(__xludf.DUMMYFUNCTION("""COMPUTED_VALUE"""),"HH4575")</f>
        <v>HH4575</v>
      </c>
      <c r="G5460" s="87" t="str">
        <f>IFERROR(__xludf.DUMMYFUNCTION("""COMPUTED_VALUE"""),"GC - V - 4575 - Cty Hóa Nông Đất Vàng - PATINDAN 95 (Bột trắng ngà) - 50gr - 200")</f>
        <v>GC - V - 4575 - Cty Hóa Nông Đất Vàng - PATINDAN 95 (Bột trắng ngà) - 50gr - 200</v>
      </c>
    </row>
    <row r="5461">
      <c r="A5461" s="86">
        <f>IFERROR(__xludf.DUMMYFUNCTION("""COMPUTED_VALUE"""),5459.0)</f>
        <v>5459</v>
      </c>
      <c r="B5461" s="87" t="str">
        <f>IFERROR(__xludf.DUMMYFUNCTION("""COMPUTED_VALUE"""),"[Nhãn]")</f>
        <v>[Nhãn]</v>
      </c>
      <c r="C5461" s="87" t="str">
        <f>IFERROR(__xludf.DUMMYFUNCTION("""COMPUTED_VALUE"""),"NHG4580")</f>
        <v>NHG4580</v>
      </c>
      <c r="D5461" s="87" t="str">
        <f>IFERROR(__xludf.DUMMYFUNCTION("""COMPUTED_VALUE"""),"[Nhãn] GC - V - 4580 - NHP Group - NHỆN ĐỎ 110 (Nước tím) - 250ml - 40")</f>
        <v>[Nhãn] GC - V - 4580 - NHP Group - NHỆN ĐỎ 110 (Nước tím) - 250ml - 40</v>
      </c>
      <c r="E5461" s="87" t="str">
        <f>IFERROR(__xludf.DUMMYFUNCTION("""COMPUTED_VALUE"""),"Chitin 3.6EC")</f>
        <v>Chitin 3.6EC</v>
      </c>
      <c r="F5461" s="87" t="str">
        <f>IFERROR(__xludf.DUMMYFUNCTION("""COMPUTED_VALUE"""),"HH4580")</f>
        <v>HH4580</v>
      </c>
      <c r="G5461" s="87" t="str">
        <f>IFERROR(__xludf.DUMMYFUNCTION("""COMPUTED_VALUE"""),"GC - V - 4580 - NHP Group - NHỆN ĐỎ 110 (Nước tím) - 250ml - 40")</f>
        <v>GC - V - 4580 - NHP Group - NHỆN ĐỎ 110 (Nước tím) - 250ml - 40</v>
      </c>
    </row>
    <row r="5462">
      <c r="A5462" s="86">
        <f>IFERROR(__xludf.DUMMYFUNCTION("""COMPUTED_VALUE"""),5460.0)</f>
        <v>5460</v>
      </c>
      <c r="B5462" s="87" t="str">
        <f>IFERROR(__xludf.DUMMYFUNCTION("""COMPUTED_VALUE"""),"[Nhãn]")</f>
        <v>[Nhãn]</v>
      </c>
      <c r="C5462" s="87" t="str">
        <f>IFERROR(__xludf.DUMMYFUNCTION("""COMPUTED_VALUE"""),"NHD4607")</f>
        <v>NHD4607</v>
      </c>
      <c r="D5462" s="87" t="str">
        <f>IFERROR(__xludf.DUMMYFUNCTION("""COMPUTED_VALUE"""),"[Nhãn] GC - V - 4607 - NHP GROUP - THE LION KING SIMBA (Nước vàng trà) - 450ml - 40")</f>
        <v>[Nhãn] GC - V - 4607 - NHP GROUP - THE LION KING SIMBA (Nước vàng trà) - 450ml - 40</v>
      </c>
      <c r="E5462" s="87" t="str">
        <f>IFERROR(__xludf.DUMMYFUNCTION("""COMPUTED_VALUE"""),"PYTAX-S 5EC")</f>
        <v>PYTAX-S 5EC</v>
      </c>
      <c r="F5462" s="87" t="str">
        <f>IFERROR(__xludf.DUMMYFUNCTION("""COMPUTED_VALUE"""),"HH4607")</f>
        <v>HH4607</v>
      </c>
      <c r="G5462" s="87" t="str">
        <f>IFERROR(__xludf.DUMMYFUNCTION("""COMPUTED_VALUE"""),"GC - V - 4607 - NHP GROUP - THE LION KING SIMBA (Nước vàng trà) - 450ml - 40")</f>
        <v>GC - V - 4607 - NHP GROUP - THE LION KING SIMBA (Nước vàng trà) - 450ml - 40</v>
      </c>
    </row>
    <row r="5463">
      <c r="A5463" s="86">
        <f>IFERROR(__xludf.DUMMYFUNCTION("""COMPUTED_VALUE"""),5461.0)</f>
        <v>5461</v>
      </c>
      <c r="B5463" s="87" t="str">
        <f>IFERROR(__xludf.DUMMYFUNCTION("""COMPUTED_VALUE"""),"[Nhãn Thùng]")</f>
        <v>[Nhãn Thùng]</v>
      </c>
      <c r="C5463" s="87" t="str">
        <f>IFERROR(__xludf.DUMMYFUNCTION("""COMPUTED_VALUE"""),"NDT4607")</f>
        <v>NDT4607</v>
      </c>
      <c r="D5463" s="87" t="str">
        <f>IFERROR(__xludf.DUMMYFUNCTION("""COMPUTED_VALUE"""),"[Nhãn Thùng] GC - V - 4607 - NHP GROUP - THE LION KING SIMBA (Nước vàng trà) - 450ml - 40")</f>
        <v>[Nhãn Thùng] GC - V - 4607 - NHP GROUP - THE LION KING SIMBA (Nước vàng trà) - 450ml - 40</v>
      </c>
      <c r="E5463" s="87" t="str">
        <f>IFERROR(__xludf.DUMMYFUNCTION("""COMPUTED_VALUE"""),"PYTAX-S 5EC")</f>
        <v>PYTAX-S 5EC</v>
      </c>
      <c r="F5463" s="87" t="str">
        <f>IFERROR(__xludf.DUMMYFUNCTION("""COMPUTED_VALUE"""),"HH4607")</f>
        <v>HH4607</v>
      </c>
      <c r="G5463" s="87" t="str">
        <f>IFERROR(__xludf.DUMMYFUNCTION("""COMPUTED_VALUE"""),"GC - V - 4607 - NHP GROUP - THE LION KING SIMBA (Nước vàng trà) - 450ml - 40")</f>
        <v>GC - V - 4607 - NHP GROUP - THE LION KING SIMBA (Nước vàng trà) - 450ml - 40</v>
      </c>
    </row>
    <row r="5464">
      <c r="A5464" s="86">
        <f>IFERROR(__xludf.DUMMYFUNCTION("""COMPUTED_VALUE"""),5462.0)</f>
        <v>5462</v>
      </c>
      <c r="B5464" s="87" t="str">
        <f>IFERROR(__xludf.DUMMYFUNCTION("""COMPUTED_VALUE"""),"[Nhãn]")</f>
        <v>[Nhãn]</v>
      </c>
      <c r="C5464" s="87" t="str">
        <f>IFERROR(__xludf.DUMMYFUNCTION("""COMPUTED_VALUE"""),"NHG4604")</f>
        <v>NHG4604</v>
      </c>
      <c r="D5464" s="87" t="str">
        <f>IFERROR(__xludf.DUMMYFUNCTION("""COMPUTED_VALUE"""),"[Nhãn]  GC - V - 4604 - Cty Agrictech - Emamex 19 (Nước vàng trà) - 450ml - 40")</f>
        <v>[Nhãn]  GC - V - 4604 - Cty Agrictech - Emamex 19 (Nước vàng trà) - 450ml - 40</v>
      </c>
      <c r="E5464" s="87" t="str">
        <f>IFERROR(__xludf.DUMMYFUNCTION("""COMPUTED_VALUE"""),"Creek 2.1EC")</f>
        <v>Creek 2.1EC</v>
      </c>
      <c r="F5464" s="87" t="str">
        <f>IFERROR(__xludf.DUMMYFUNCTION("""COMPUTED_VALUE"""),"HH4604")</f>
        <v>HH4604</v>
      </c>
      <c r="G5464" s="87" t="str">
        <f>IFERROR(__xludf.DUMMYFUNCTION("""COMPUTED_VALUE"""),"GC - V - 4604 - Cty Agrictech - Emamex 19 (Nước vàng trà) - 450ml - 40")</f>
        <v>GC - V - 4604 - Cty Agrictech - Emamex 19 (Nước vàng trà) - 450ml - 40</v>
      </c>
    </row>
    <row r="5465">
      <c r="A5465" s="86">
        <f>IFERROR(__xludf.DUMMYFUNCTION("""COMPUTED_VALUE"""),5463.0)</f>
        <v>5463</v>
      </c>
      <c r="B5465" s="87" t="str">
        <f>IFERROR(__xludf.DUMMYFUNCTION("""COMPUTED_VALUE"""),"[Nhãn]")</f>
        <v>[Nhãn]</v>
      </c>
      <c r="C5465" s="87" t="str">
        <f>IFERROR(__xludf.DUMMYFUNCTION("""COMPUTED_VALUE"""),"NTN4601")</f>
        <v>NTN4601</v>
      </c>
      <c r="D5465" s="87" t="str">
        <f>IFERROR(__xludf.DUMMYFUNCTION("""COMPUTED_VALUE"""),"[Nhãn] GC - V - 4601 - Agritech - ROCKAGRI (Dạng cốm màu trắng ngà) - 80gr - 150")</f>
        <v>[Nhãn] GC - V - 4601 - Agritech - ROCKAGRI (Dạng cốm màu trắng ngà) - 80gr - 150</v>
      </c>
      <c r="E5465" s="87" t="str">
        <f>IFERROR(__xludf.DUMMYFUNCTION("""COMPUTED_VALUE"""),"ROCKING 500WG")</f>
        <v>ROCKING 500WG</v>
      </c>
      <c r="F5465" s="87" t="str">
        <f>IFERROR(__xludf.DUMMYFUNCTION("""COMPUTED_VALUE"""),"HH4601")</f>
        <v>HH4601</v>
      </c>
      <c r="G5465" s="87" t="str">
        <f>IFERROR(__xludf.DUMMYFUNCTION("""COMPUTED_VALUE"""),"GC - V - 4601 - Agritech - ROCKAGRI (Dạng cốm màu trắng ngà) - 80gr - 150")</f>
        <v>GC - V - 4601 - Agritech - ROCKAGRI (Dạng cốm màu trắng ngà) - 80gr - 150</v>
      </c>
    </row>
    <row r="5466">
      <c r="A5466" s="86">
        <f>IFERROR(__xludf.DUMMYFUNCTION("""COMPUTED_VALUE"""),5464.0)</f>
        <v>5464</v>
      </c>
      <c r="B5466" s="87" t="str">
        <f>IFERROR(__xludf.DUMMYFUNCTION("""COMPUTED_VALUE"""),"[Nhãn Thùng]")</f>
        <v>[Nhãn Thùng]</v>
      </c>
      <c r="C5466" s="87" t="str">
        <f>IFERROR(__xludf.DUMMYFUNCTION("""COMPUTED_VALUE"""),"NDT4601")</f>
        <v>NDT4601</v>
      </c>
      <c r="D5466" s="87" t="str">
        <f>IFERROR(__xludf.DUMMYFUNCTION("""COMPUTED_VALUE"""),"[Nhãn Thùng] GC - V - 4601 - Agritech - ROCKAGRI (Dạng cốm màu trắng ngà) - 80gr - 150")</f>
        <v>[Nhãn Thùng] GC - V - 4601 - Agritech - ROCKAGRI (Dạng cốm màu trắng ngà) - 80gr - 150</v>
      </c>
      <c r="E5466" s="87" t="str">
        <f>IFERROR(__xludf.DUMMYFUNCTION("""COMPUTED_VALUE"""),"ROCKING 500WG")</f>
        <v>ROCKING 500WG</v>
      </c>
      <c r="F5466" s="87" t="str">
        <f>IFERROR(__xludf.DUMMYFUNCTION("""COMPUTED_VALUE"""),"HH4601")</f>
        <v>HH4601</v>
      </c>
      <c r="G5466" s="87" t="str">
        <f>IFERROR(__xludf.DUMMYFUNCTION("""COMPUTED_VALUE"""),"GC - V - 4601 - Agritech - ROCKAGRI (Dạng cốm màu trắng ngà) - 80gr - 150")</f>
        <v>GC - V - 4601 - Agritech - ROCKAGRI (Dạng cốm màu trắng ngà) - 80gr - 150</v>
      </c>
    </row>
    <row r="5467">
      <c r="A5467" s="86">
        <f>IFERROR(__xludf.DUMMYFUNCTION("""COMPUTED_VALUE"""),5465.0)</f>
        <v>5465</v>
      </c>
      <c r="B5467" s="87" t="str">
        <f>IFERROR(__xludf.DUMMYFUNCTION("""COMPUTED_VALUE"""),"[Nhãn]")</f>
        <v>[Nhãn]</v>
      </c>
      <c r="C5467" s="87" t="str">
        <f>IFERROR(__xludf.DUMMYFUNCTION("""COMPUTED_VALUE"""),"NHG4605")</f>
        <v>NHG4605</v>
      </c>
      <c r="D5467" s="87" t="str">
        <f>IFERROR(__xludf.DUMMYFUNCTION("""COMPUTED_VALUE"""),"[Nhãn] GC - V - 4605 - CTY USAFARM - THẤM SÂU (Gel trong) - 100ml - 50")</f>
        <v>[Nhãn] GC - V - 4605 - CTY USAFARM - THẤM SÂU (Gel trong) - 100ml - 50</v>
      </c>
      <c r="E5467" s="87" t="str">
        <f>IFERROR(__xludf.DUMMYFUNCTION("""COMPUTED_VALUE"""),"Vi lượng AGAMA-SUPPORT")</f>
        <v>Vi lượng AGAMA-SUPPORT</v>
      </c>
      <c r="F5467" s="87" t="str">
        <f>IFERROR(__xludf.DUMMYFUNCTION("""COMPUTED_VALUE"""),"HH4605")</f>
        <v>HH4605</v>
      </c>
      <c r="G5467" s="87" t="str">
        <f>IFERROR(__xludf.DUMMYFUNCTION("""COMPUTED_VALUE"""),"GC - V - 4605 - CTY USAFARM - THẤM SÂU (Gel trong) - 100ml - 50")</f>
        <v>GC - V - 4605 - CTY USAFARM - THẤM SÂU (Gel trong) - 100ml - 50</v>
      </c>
    </row>
    <row r="5468">
      <c r="A5468" s="86">
        <f>IFERROR(__xludf.DUMMYFUNCTION("""COMPUTED_VALUE"""),5466.0)</f>
        <v>5466</v>
      </c>
      <c r="B5468" s="87" t="str">
        <f>IFERROR(__xludf.DUMMYFUNCTION("""COMPUTED_VALUE"""),"[Nhãn]")</f>
        <v>[Nhãn]</v>
      </c>
      <c r="C5468" s="87" t="str">
        <f>IFERROR(__xludf.DUMMYFUNCTION("""COMPUTED_VALUE"""),"NHG4608")</f>
        <v>NHG4608</v>
      </c>
      <c r="D5468" s="87" t="str">
        <f>IFERROR(__xludf.DUMMYFUNCTION("""COMPUTED_VALUE"""),"[Nhãn] GC - V - 4608 - CTY ASAHI NHẬT BẢN - RONBIN SAMURAI (Gel nâu đen) - 500ml - 40")</f>
        <v>[Nhãn] GC - V - 4608 - CTY ASAHI NHẬT BẢN - RONBIN SAMURAI (Gel nâu đen) - 500ml - 40</v>
      </c>
      <c r="E5468" s="87" t="str">
        <f>IFERROR(__xludf.DUMMYFUNCTION("""COMPUTED_VALUE"""),"Vi lượng Quantity New")</f>
        <v>Vi lượng Quantity New</v>
      </c>
      <c r="F5468" s="87" t="str">
        <f>IFERROR(__xludf.DUMMYFUNCTION("""COMPUTED_VALUE"""),"HH4608")</f>
        <v>HH4608</v>
      </c>
      <c r="G5468" s="87" t="str">
        <f>IFERROR(__xludf.DUMMYFUNCTION("""COMPUTED_VALUE"""),"GC - V - 4608 - CTY ASAHI NHẬT BẢN - RONBIN SAMURAI (Gel nâu đen) - 500ml - 40")</f>
        <v>GC - V - 4608 - CTY ASAHI NHẬT BẢN - RONBIN SAMURAI (Gel nâu đen) - 500ml - 40</v>
      </c>
    </row>
    <row r="5469">
      <c r="A5469" s="86">
        <f>IFERROR(__xludf.DUMMYFUNCTION("""COMPUTED_VALUE"""),5467.0)</f>
        <v>5467</v>
      </c>
      <c r="B5469" s="87" t="str">
        <f>IFERROR(__xludf.DUMMYFUNCTION("""COMPUTED_VALUE"""),"[Nhãn]")</f>
        <v>[Nhãn]</v>
      </c>
      <c r="C5469" s="87" t="str">
        <f>IFERROR(__xludf.DUMMYFUNCTION("""COMPUTED_VALUE"""),"NHD4610")</f>
        <v>NHD4610</v>
      </c>
      <c r="D5469" s="87" t="str">
        <f>IFERROR(__xludf.DUMMYFUNCTION("""COMPUTED_VALUE"""),"[Nhãn] GC - V - 4610 - AGRITECH - NUTI ROOTS 2 (Dạng viên màu đen) - 10kg - 1")</f>
        <v>[Nhãn] GC - V - 4610 - AGRITECH - NUTI ROOTS 2 (Dạng viên màu đen) - 10kg - 1</v>
      </c>
      <c r="E5469" s="87" t="str">
        <f>IFERROR(__xludf.DUMMYFUNCTION("""COMPUTED_VALUE"""),"Hữu cơ sinh học Nam Kinh 02")</f>
        <v>Hữu cơ sinh học Nam Kinh 02</v>
      </c>
      <c r="F5469" s="87" t="str">
        <f>IFERROR(__xludf.DUMMYFUNCTION("""COMPUTED_VALUE"""),"HH4610")</f>
        <v>HH4610</v>
      </c>
      <c r="G5469" s="87" t="str">
        <f>IFERROR(__xludf.DUMMYFUNCTION("""COMPUTED_VALUE"""),"GC - V - 4610 - AGRITECH - NUTI ROOTS 2 (Dạng viên màu đen) - 10kg - 1")</f>
        <v>GC - V - 4610 - AGRITECH - NUTI ROOTS 2 (Dạng viên màu đen) - 10kg - 1</v>
      </c>
    </row>
    <row r="5470">
      <c r="A5470" s="86">
        <f>IFERROR(__xludf.DUMMYFUNCTION("""COMPUTED_VALUE"""),5468.0)</f>
        <v>5468</v>
      </c>
      <c r="B5470" s="87" t="str">
        <f>IFERROR(__xludf.DUMMYFUNCTION("""COMPUTED_VALUE"""),"[Nhãn]")</f>
        <v>[Nhãn]</v>
      </c>
      <c r="C5470" s="87" t="str">
        <f>IFERROR(__xludf.DUMMYFUNCTION("""COMPUTED_VALUE"""),"NHD4603")</f>
        <v>NHD4603</v>
      </c>
      <c r="D5470" s="87" t="str">
        <f>IFERROR(__xludf.DUMMYFUNCTION("""COMPUTED_VALUE"""),"[Nhãn] GC - V - 4603 - CTY HIỆP PHÁT ABC - HP.02 (Gel nâu đen) - 5L - 4")</f>
        <v>[Nhãn] GC - V - 4603 - CTY HIỆP PHÁT ABC - HP.02 (Gel nâu đen) - 5L - 4</v>
      </c>
      <c r="E5470" s="87" t="str">
        <f>IFERROR(__xludf.DUMMYFUNCTION("""COMPUTED_VALUE"""),"Vi lượng Run Fast")</f>
        <v>Vi lượng Run Fast</v>
      </c>
      <c r="F5470" s="87" t="str">
        <f>IFERROR(__xludf.DUMMYFUNCTION("""COMPUTED_VALUE"""),"HH4603")</f>
        <v>HH4603</v>
      </c>
      <c r="G5470" s="87" t="str">
        <f>IFERROR(__xludf.DUMMYFUNCTION("""COMPUTED_VALUE"""),"GC - V - 4603 - CTY HIỆP PHÁT ABC - HP.02 (Gel nâu đen) - 5L - 4")</f>
        <v>GC - V - 4603 - CTY HIỆP PHÁT ABC - HP.02 (Gel nâu đen) - 5L - 4</v>
      </c>
    </row>
    <row r="5471">
      <c r="A5471" s="86">
        <f>IFERROR(__xludf.DUMMYFUNCTION("""COMPUTED_VALUE"""),5469.0)</f>
        <v>5469</v>
      </c>
      <c r="B5471" s="87" t="str">
        <f>IFERROR(__xludf.DUMMYFUNCTION("""COMPUTED_VALUE"""),"[Nhãn Thùng]")</f>
        <v>[Nhãn Thùng]</v>
      </c>
      <c r="C5471" s="87" t="str">
        <f>IFERROR(__xludf.DUMMYFUNCTION("""COMPUTED_VALUE"""),"NDT4603")</f>
        <v>NDT4603</v>
      </c>
      <c r="D5471" s="87" t="str">
        <f>IFERROR(__xludf.DUMMYFUNCTION("""COMPUTED_VALUE"""),"[Nhãn Thùng]  GC - V - 4603 - CTY HIỆP PHÁT ABC - HP.02 (Gel nâu đen) - 5L - 4")</f>
        <v>[Nhãn Thùng]  GC - V - 4603 - CTY HIỆP PHÁT ABC - HP.02 (Gel nâu đen) - 5L - 4</v>
      </c>
      <c r="E5471" s="87" t="str">
        <f>IFERROR(__xludf.DUMMYFUNCTION("""COMPUTED_VALUE"""),"Vi lượng Run Fast")</f>
        <v>Vi lượng Run Fast</v>
      </c>
      <c r="F5471" s="87" t="str">
        <f>IFERROR(__xludf.DUMMYFUNCTION("""COMPUTED_VALUE"""),"HH4603")</f>
        <v>HH4603</v>
      </c>
      <c r="G5471" s="87" t="str">
        <f>IFERROR(__xludf.DUMMYFUNCTION("""COMPUTED_VALUE"""),"GC - V - 4603 - CTY HIỆP PHÁT ABC - HP.02 (Gel nâu đen) - 5L - 4")</f>
        <v>GC - V - 4603 - CTY HIỆP PHÁT ABC - HP.02 (Gel nâu đen) - 5L - 4</v>
      </c>
    </row>
    <row r="5472">
      <c r="A5472" s="86">
        <f>IFERROR(__xludf.DUMMYFUNCTION("""COMPUTED_VALUE"""),5470.0)</f>
        <v>5470</v>
      </c>
      <c r="B5472" s="87" t="str">
        <f>IFERROR(__xludf.DUMMYFUNCTION("""COMPUTED_VALUE"""),"[Nhãn]")</f>
        <v>[Nhãn]</v>
      </c>
      <c r="C5472" s="87" t="str">
        <f>IFERROR(__xludf.DUMMYFUNCTION("""COMPUTED_VALUE"""),"NHD4578")</f>
        <v>NHD4578</v>
      </c>
      <c r="D5472" s="87" t="str">
        <f>IFERROR(__xludf.DUMMYFUNCTION("""COMPUTED_VALUE"""),"[Nhãn] GC - V - 4578 - CTY DONA VINA - MENTUS PLUS+ (Gel xanh dương) - 500ml - 40")</f>
        <v>[Nhãn] GC - V - 4578 - CTY DONA VINA - MENTUS PLUS+ (Gel xanh dương) - 500ml - 40</v>
      </c>
      <c r="E5472" s="87" t="str">
        <f>IFERROR(__xludf.DUMMYFUNCTION("""COMPUTED_VALUE"""),"Vi lượng Agama - Cu")</f>
        <v>Vi lượng Agama - Cu</v>
      </c>
      <c r="F5472" s="87" t="str">
        <f>IFERROR(__xludf.DUMMYFUNCTION("""COMPUTED_VALUE"""),"HH4578")</f>
        <v>HH4578</v>
      </c>
      <c r="G5472" s="87" t="str">
        <f>IFERROR(__xludf.DUMMYFUNCTION("""COMPUTED_VALUE"""),"GC - V - 4578 - CTY DONA VINA - MENTUS PLUS+ (Gel xanh dương) - 500ml - 40")</f>
        <v>GC - V - 4578 - CTY DONA VINA - MENTUS PLUS+ (Gel xanh dương) - 500ml - 40</v>
      </c>
    </row>
    <row r="5473">
      <c r="A5473" s="86">
        <f>IFERROR(__xludf.DUMMYFUNCTION("""COMPUTED_VALUE"""),5471.0)</f>
        <v>5471</v>
      </c>
      <c r="B5473" s="87" t="str">
        <f>IFERROR(__xludf.DUMMYFUNCTION("""COMPUTED_VALUE"""),"[Nhãn Thùng]")</f>
        <v>[Nhãn Thùng]</v>
      </c>
      <c r="C5473" s="87" t="str">
        <f>IFERROR(__xludf.DUMMYFUNCTION("""COMPUTED_VALUE"""),"NDT4578")</f>
        <v>NDT4578</v>
      </c>
      <c r="D5473" s="87" t="str">
        <f>IFERROR(__xludf.DUMMYFUNCTION("""COMPUTED_VALUE"""),"[Nhãn Thùng] GC - V - 4578 - CTY DONA VINA - MENTUS PLUS+ (Gel xanh dương) - 500ml - 40")</f>
        <v>[Nhãn Thùng] GC - V - 4578 - CTY DONA VINA - MENTUS PLUS+ (Gel xanh dương) - 500ml - 40</v>
      </c>
      <c r="E5473" s="87" t="str">
        <f>IFERROR(__xludf.DUMMYFUNCTION("""COMPUTED_VALUE"""),"Vi lượng Agama - Cu")</f>
        <v>Vi lượng Agama - Cu</v>
      </c>
      <c r="F5473" s="87" t="str">
        <f>IFERROR(__xludf.DUMMYFUNCTION("""COMPUTED_VALUE"""),"HH4578")</f>
        <v>HH4578</v>
      </c>
      <c r="G5473" s="87" t="str">
        <f>IFERROR(__xludf.DUMMYFUNCTION("""COMPUTED_VALUE"""),"GC - V - 4578 - CTY DONA VINA - MENTUS PLUS+ (Gel xanh dương) - 500ml - 40")</f>
        <v>GC - V - 4578 - CTY DONA VINA - MENTUS PLUS+ (Gel xanh dương) - 500ml - 40</v>
      </c>
    </row>
    <row r="5474">
      <c r="A5474" s="86">
        <f>IFERROR(__xludf.DUMMYFUNCTION("""COMPUTED_VALUE"""),5472.0)</f>
        <v>5472</v>
      </c>
      <c r="B5474" s="87" t="str">
        <f>IFERROR(__xludf.DUMMYFUNCTION("""COMPUTED_VALUE"""),"[Nhãn]")</f>
        <v>[Nhãn]</v>
      </c>
      <c r="C5474" s="87" t="str">
        <f>IFERROR(__xludf.DUMMYFUNCTION("""COMPUTED_VALUE"""),"NTN4600")</f>
        <v>NTN4600</v>
      </c>
      <c r="D5474" s="87" t="str">
        <f>IFERROR(__xludf.DUMMYFUNCTION("""COMPUTED_VALUE"""),"[Nhãn] GC - V - 4600 - CTY NÔNG HÓA XANH - CARE PRO (Bột vàng) - 1kg - 20")</f>
        <v>[Nhãn] GC - V - 4600 - CTY NÔNG HÓA XANH - CARE PRO (Bột vàng) - 1kg - 20</v>
      </c>
      <c r="E5474" s="87" t="str">
        <f>IFERROR(__xludf.DUMMYFUNCTION("""COMPUTED_VALUE"""),"FORTAZEB 72WP")</f>
        <v>FORTAZEB 72WP</v>
      </c>
      <c r="F5474" s="87" t="str">
        <f>IFERROR(__xludf.DUMMYFUNCTION("""COMPUTED_VALUE"""),"HH4600")</f>
        <v>HH4600</v>
      </c>
      <c r="G5474" s="87" t="str">
        <f>IFERROR(__xludf.DUMMYFUNCTION("""COMPUTED_VALUE"""),"GC - V - 4600 - CTY NÔNG HÓA XANH - CARE PRO (Bột vàng) - 1kg - 20")</f>
        <v>GC - V - 4600 - CTY NÔNG HÓA XANH - CARE PRO (Bột vàng) - 1kg - 20</v>
      </c>
    </row>
    <row r="5475">
      <c r="A5475" s="86">
        <f>IFERROR(__xludf.DUMMYFUNCTION("""COMPUTED_VALUE"""),5473.0)</f>
        <v>5473</v>
      </c>
      <c r="B5475" s="87" t="str">
        <f>IFERROR(__xludf.DUMMYFUNCTION("""COMPUTED_VALUE"""),"[Nhãn]")</f>
        <v>[Nhãn]</v>
      </c>
      <c r="C5475" s="87" t="str">
        <f>IFERROR(__xludf.DUMMYFUNCTION("""COMPUTED_VALUE"""),"NTN4560")</f>
        <v>NTN4560</v>
      </c>
      <c r="D5475" s="87" t="str">
        <f>IFERROR(__xludf.DUMMYFUNCTION("""COMPUTED_VALUE"""),"[Nhãn] GC - V - 4560 - CTY VISANTO - OGAMI (Dạng cốm màu trắng ngà) - 50gr - 100")</f>
        <v>[Nhãn] GC - V - 4560 - CTY VISANTO - OGAMI (Dạng cốm màu trắng ngà) - 50gr - 100</v>
      </c>
      <c r="E5475" s="87" t="str">
        <f>IFERROR(__xludf.DUMMYFUNCTION("""COMPUTED_VALUE"""),"CYAT 525WG")</f>
        <v>CYAT 525WG</v>
      </c>
      <c r="F5475" s="87" t="str">
        <f>IFERROR(__xludf.DUMMYFUNCTION("""COMPUTED_VALUE"""),"HH4560")</f>
        <v>HH4560</v>
      </c>
      <c r="G5475" s="87" t="str">
        <f>IFERROR(__xludf.DUMMYFUNCTION("""COMPUTED_VALUE"""),"GC - V - 4560 - CTY VISANTO - OGAMI (Dạng cốm màu trắng ngà) - 50gr - 100")</f>
        <v>GC - V - 4560 - CTY VISANTO - OGAMI (Dạng cốm màu trắng ngà) - 50gr - 100</v>
      </c>
    </row>
    <row r="5476">
      <c r="A5476" s="86">
        <f>IFERROR(__xludf.DUMMYFUNCTION("""COMPUTED_VALUE"""),5474.0)</f>
        <v>5474</v>
      </c>
      <c r="B5476" s="87" t="str">
        <f>IFERROR(__xludf.DUMMYFUNCTION("""COMPUTED_VALUE"""),"[Nhãn]")</f>
        <v>[Nhãn]</v>
      </c>
      <c r="C5476" s="87" t="str">
        <f>IFERROR(__xludf.DUMMYFUNCTION("""COMPUTED_VALUE"""),"NTN4558")</f>
        <v>NTN4558</v>
      </c>
      <c r="D5476" s="87" t="str">
        <f>IFERROR(__xludf.DUMMYFUNCTION("""COMPUTED_VALUE"""),"[Nhãn] GC - V - 4558 - CTY VISANTO - OGAMI (Dạng cốm màu trắng ngà) - 120gr - 80")</f>
        <v>[Nhãn] GC - V - 4558 - CTY VISANTO - OGAMI (Dạng cốm màu trắng ngà) - 120gr - 80</v>
      </c>
      <c r="E5476" s="87" t="str">
        <f>IFERROR(__xludf.DUMMYFUNCTION("""COMPUTED_VALUE"""),"CYAT 525WG")</f>
        <v>CYAT 525WG</v>
      </c>
      <c r="F5476" s="87" t="str">
        <f>IFERROR(__xludf.DUMMYFUNCTION("""COMPUTED_VALUE"""),"HH4558")</f>
        <v>HH4558</v>
      </c>
      <c r="G5476" s="87" t="str">
        <f>IFERROR(__xludf.DUMMYFUNCTION("""COMPUTED_VALUE"""),"GC - V - 4558 - CTY VISANTO - OGAMI (Dạng cốm màu trắng ngà) - 120gr - 80")</f>
        <v>GC - V - 4558 - CTY VISANTO - OGAMI (Dạng cốm màu trắng ngà) - 120gr - 80</v>
      </c>
    </row>
    <row r="5477">
      <c r="A5477" s="86">
        <f>IFERROR(__xludf.DUMMYFUNCTION("""COMPUTED_VALUE"""),5475.0)</f>
        <v>5475</v>
      </c>
      <c r="B5477" s="87" t="str">
        <f>IFERROR(__xludf.DUMMYFUNCTION("""COMPUTED_VALUE"""),"[Nhãn]")</f>
        <v>[Nhãn]</v>
      </c>
      <c r="C5477" s="87" t="str">
        <f>IFERROR(__xludf.DUMMYFUNCTION("""COMPUTED_VALUE"""),"NTN4559")</f>
        <v>NTN4559</v>
      </c>
      <c r="D5477" s="87" t="str">
        <f>IFERROR(__xludf.DUMMYFUNCTION("""COMPUTED_VALUE"""),"[Nhãn] GC - V - 4559 - CTY VISANTO - OGAMI (Dạng cốm màu trắng ngà) - 150gr - 80")</f>
        <v>[Nhãn] GC - V - 4559 - CTY VISANTO - OGAMI (Dạng cốm màu trắng ngà) - 150gr - 80</v>
      </c>
      <c r="E5477" s="87" t="str">
        <f>IFERROR(__xludf.DUMMYFUNCTION("""COMPUTED_VALUE"""),"CYAT 525WG")</f>
        <v>CYAT 525WG</v>
      </c>
      <c r="F5477" s="87" t="str">
        <f>IFERROR(__xludf.DUMMYFUNCTION("""COMPUTED_VALUE"""),"HH4559")</f>
        <v>HH4559</v>
      </c>
      <c r="G5477" s="87" t="str">
        <f>IFERROR(__xludf.DUMMYFUNCTION("""COMPUTED_VALUE"""),"GC - V - 4559 - CTY VISANTO - OGAMI (Dạng cốm màu trắng ngà) - 150gr - 80")</f>
        <v>GC - V - 4559 - CTY VISANTO - OGAMI (Dạng cốm màu trắng ngà) - 150gr - 80</v>
      </c>
    </row>
    <row r="5478">
      <c r="A5478" s="86">
        <f>IFERROR(__xludf.DUMMYFUNCTION("""COMPUTED_VALUE"""),5476.0)</f>
        <v>5476</v>
      </c>
      <c r="B5478" s="87" t="str">
        <f>IFERROR(__xludf.DUMMYFUNCTION("""COMPUTED_VALUE"""),"[Nhãn]")</f>
        <v>[Nhãn]</v>
      </c>
      <c r="C5478" s="87" t="str">
        <f>IFERROR(__xludf.DUMMYFUNCTION("""COMPUTED_VALUE"""),"NTN4561")</f>
        <v>NTN4561</v>
      </c>
      <c r="D5478" s="87" t="str">
        <f>IFERROR(__xludf.DUMMYFUNCTION("""COMPUTED_VALUE"""),"[Nhãn] GC - V - 4561 - CTY VISANTO - CAPHENY 822 PLUS (Bột cam) - 100gr - 100")</f>
        <v>[Nhãn] GC - V - 4561 - CTY VISANTO - CAPHENY 822 PLUS (Bột cam) - 100gr - 100</v>
      </c>
      <c r="E5478" s="87" t="str">
        <f>IFERROR(__xludf.DUMMYFUNCTION("""COMPUTED_VALUE"""),"NOFADA 822WP")</f>
        <v>NOFADA 822WP</v>
      </c>
      <c r="F5478" s="87" t="str">
        <f>IFERROR(__xludf.DUMMYFUNCTION("""COMPUTED_VALUE"""),"HH4561")</f>
        <v>HH4561</v>
      </c>
      <c r="G5478" s="87" t="str">
        <f>IFERROR(__xludf.DUMMYFUNCTION("""COMPUTED_VALUE"""),"GC - V - 4561 - CTY VISANTO - CAPHENY 822 PLUS (Bột cam) - 100gr - 100")</f>
        <v>GC - V - 4561 - CTY VISANTO - CAPHENY 822 PLUS (Bột cam) - 100gr - 100</v>
      </c>
    </row>
    <row r="5479">
      <c r="A5479" s="86">
        <f>IFERROR(__xludf.DUMMYFUNCTION("""COMPUTED_VALUE"""),5477.0)</f>
        <v>5477</v>
      </c>
      <c r="B5479" s="87" t="str">
        <f>IFERROR(__xludf.DUMMYFUNCTION("""COMPUTED_VALUE"""),"[Nhãn]")</f>
        <v>[Nhãn]</v>
      </c>
      <c r="C5479" s="87" t="str">
        <f>IFERROR(__xludf.DUMMYFUNCTION("""COMPUTED_VALUE"""),"NHD4589")</f>
        <v>NHD4589</v>
      </c>
      <c r="D5479" s="87" t="str">
        <f>IFERROR(__xludf.DUMMYFUNCTION("""COMPUTED_VALUE"""),"[Nhãn] GC - V - 4589 - CTY VISANTO - PROXAM 550 (Nước tím) - 400ml - 30")</f>
        <v>[Nhãn] GC - V - 4589 - CTY VISANTO - PROXAM 550 (Nước tím) - 400ml - 30</v>
      </c>
      <c r="E5479" s="87" t="str">
        <f>IFERROR(__xludf.DUMMYFUNCTION("""COMPUTED_VALUE"""),"Thipro 550EC")</f>
        <v>Thipro 550EC</v>
      </c>
      <c r="F5479" s="87" t="str">
        <f>IFERROR(__xludf.DUMMYFUNCTION("""COMPUTED_VALUE"""),"HH4589")</f>
        <v>HH4589</v>
      </c>
      <c r="G5479" s="87" t="str">
        <f>IFERROR(__xludf.DUMMYFUNCTION("""COMPUTED_VALUE"""),"GC - V - 4589 - CTY VISANTO - PROXAM 550 (Nước tím) - 400ml - 30")</f>
        <v>GC - V - 4589 - CTY VISANTO - PROXAM 550 (Nước tím) - 400ml - 30</v>
      </c>
    </row>
    <row r="5480">
      <c r="A5480" s="86">
        <f>IFERROR(__xludf.DUMMYFUNCTION("""COMPUTED_VALUE"""),5478.0)</f>
        <v>5478</v>
      </c>
      <c r="B5480" s="87" t="str">
        <f>IFERROR(__xludf.DUMMYFUNCTION("""COMPUTED_VALUE"""),"[Nhãn Thùng]")</f>
        <v>[Nhãn Thùng]</v>
      </c>
      <c r="C5480" s="87" t="str">
        <f>IFERROR(__xludf.DUMMYFUNCTION("""COMPUTED_VALUE"""),"NDT4600")</f>
        <v>NDT4600</v>
      </c>
      <c r="D5480" s="87" t="str">
        <f>IFERROR(__xludf.DUMMYFUNCTION("""COMPUTED_VALUE"""),"[Nhãn Thùng] GC - V - 4600 - CTY NÔNG HÓA XANH - CARE PRO (Bột vàng) - 1kg - 20")</f>
        <v>[Nhãn Thùng] GC - V - 4600 - CTY NÔNG HÓA XANH - CARE PRO (Bột vàng) - 1kg - 20</v>
      </c>
      <c r="E5480" s="87" t="str">
        <f>IFERROR(__xludf.DUMMYFUNCTION("""COMPUTED_VALUE"""),"FORTAZEB 72WP")</f>
        <v>FORTAZEB 72WP</v>
      </c>
      <c r="F5480" s="87" t="str">
        <f>IFERROR(__xludf.DUMMYFUNCTION("""COMPUTED_VALUE"""),"HH4600")</f>
        <v>HH4600</v>
      </c>
      <c r="G5480" s="87" t="str">
        <f>IFERROR(__xludf.DUMMYFUNCTION("""COMPUTED_VALUE"""),"GC - V - 4600 - CTY NÔNG HÓA XANH - CARE PRO (Bột vàng) - 1kg - 20")</f>
        <v>GC - V - 4600 - CTY NÔNG HÓA XANH - CARE PRO (Bột vàng) - 1kg - 20</v>
      </c>
    </row>
    <row r="5481">
      <c r="A5481" s="86">
        <f>IFERROR(__xludf.DUMMYFUNCTION("""COMPUTED_VALUE"""),5479.0)</f>
        <v>5479</v>
      </c>
      <c r="B5481" s="87" t="str">
        <f>IFERROR(__xludf.DUMMYFUNCTION("""COMPUTED_VALUE"""),"[Nhãn Thùng]")</f>
        <v>[Nhãn Thùng]</v>
      </c>
      <c r="C5481" s="87" t="str">
        <f>IFERROR(__xludf.DUMMYFUNCTION("""COMPUTED_VALUE"""),"NDT4560")</f>
        <v>NDT4560</v>
      </c>
      <c r="D5481" s="87" t="str">
        <f>IFERROR(__xludf.DUMMYFUNCTION("""COMPUTED_VALUE"""),"[Nhãn Thùng] GC - V - 4560 - CTY VISANTO - OGAMI (Dạng cốm màu trắng ngà) - 50gr - 100")</f>
        <v>[Nhãn Thùng] GC - V - 4560 - CTY VISANTO - OGAMI (Dạng cốm màu trắng ngà) - 50gr - 100</v>
      </c>
      <c r="E5481" s="87" t="str">
        <f>IFERROR(__xludf.DUMMYFUNCTION("""COMPUTED_VALUE"""),"CYAT 525WG")</f>
        <v>CYAT 525WG</v>
      </c>
      <c r="F5481" s="87" t="str">
        <f>IFERROR(__xludf.DUMMYFUNCTION("""COMPUTED_VALUE"""),"HH4560")</f>
        <v>HH4560</v>
      </c>
      <c r="G5481" s="87" t="str">
        <f>IFERROR(__xludf.DUMMYFUNCTION("""COMPUTED_VALUE"""),"GC - V - 4560 - CTY VISANTO - OGAMI (Dạng cốm màu trắng ngà) - 50gr - 100")</f>
        <v>GC - V - 4560 - CTY VISANTO - OGAMI (Dạng cốm màu trắng ngà) - 50gr - 100</v>
      </c>
    </row>
    <row r="5482">
      <c r="A5482" s="86">
        <f>IFERROR(__xludf.DUMMYFUNCTION("""COMPUTED_VALUE"""),5480.0)</f>
        <v>5480</v>
      </c>
      <c r="B5482" s="87" t="str">
        <f>IFERROR(__xludf.DUMMYFUNCTION("""COMPUTED_VALUE"""),"[Nhãn Thùng]")</f>
        <v>[Nhãn Thùng]</v>
      </c>
      <c r="C5482" s="87" t="str">
        <f>IFERROR(__xludf.DUMMYFUNCTION("""COMPUTED_VALUE"""),"NDT4558")</f>
        <v>NDT4558</v>
      </c>
      <c r="D5482" s="87" t="str">
        <f>IFERROR(__xludf.DUMMYFUNCTION("""COMPUTED_VALUE"""),"[Nhãn Thùng] GC - V - 4558 - CTY VISANTO - OGAMI (Dạng cốm màu trắng ngà) - 120gr - 80")</f>
        <v>[Nhãn Thùng] GC - V - 4558 - CTY VISANTO - OGAMI (Dạng cốm màu trắng ngà) - 120gr - 80</v>
      </c>
      <c r="E5482" s="87" t="str">
        <f>IFERROR(__xludf.DUMMYFUNCTION("""COMPUTED_VALUE"""),"CYAT 525WG")</f>
        <v>CYAT 525WG</v>
      </c>
      <c r="F5482" s="87" t="str">
        <f>IFERROR(__xludf.DUMMYFUNCTION("""COMPUTED_VALUE"""),"HH4558")</f>
        <v>HH4558</v>
      </c>
      <c r="G5482" s="87" t="str">
        <f>IFERROR(__xludf.DUMMYFUNCTION("""COMPUTED_VALUE"""),"GC - V - 4558 - CTY VISANTO - OGAMI (Dạng cốm màu trắng ngà) - 120gr - 80")</f>
        <v>GC - V - 4558 - CTY VISANTO - OGAMI (Dạng cốm màu trắng ngà) - 120gr - 80</v>
      </c>
    </row>
    <row r="5483">
      <c r="A5483" s="86">
        <f>IFERROR(__xludf.DUMMYFUNCTION("""COMPUTED_VALUE"""),5481.0)</f>
        <v>5481</v>
      </c>
      <c r="B5483" s="87" t="str">
        <f>IFERROR(__xludf.DUMMYFUNCTION("""COMPUTED_VALUE"""),"[Nhãn Thùng]")</f>
        <v>[Nhãn Thùng]</v>
      </c>
      <c r="C5483" s="87" t="str">
        <f>IFERROR(__xludf.DUMMYFUNCTION("""COMPUTED_VALUE"""),"NDT4559")</f>
        <v>NDT4559</v>
      </c>
      <c r="D5483" s="87" t="str">
        <f>IFERROR(__xludf.DUMMYFUNCTION("""COMPUTED_VALUE"""),"[Nhãn Thùng] GC - V - 4559 - CTY VISANTO - OGAMI (Dạng cốm màu trắng ngà) - 150gr - 80")</f>
        <v>[Nhãn Thùng] GC - V - 4559 - CTY VISANTO - OGAMI (Dạng cốm màu trắng ngà) - 150gr - 80</v>
      </c>
      <c r="E5483" s="87" t="str">
        <f>IFERROR(__xludf.DUMMYFUNCTION("""COMPUTED_VALUE"""),"CYAT 525WG")</f>
        <v>CYAT 525WG</v>
      </c>
      <c r="F5483" s="87" t="str">
        <f>IFERROR(__xludf.DUMMYFUNCTION("""COMPUTED_VALUE"""),"HH4559")</f>
        <v>HH4559</v>
      </c>
      <c r="G5483" s="87" t="str">
        <f>IFERROR(__xludf.DUMMYFUNCTION("""COMPUTED_VALUE"""),"GC - V - 4559 - CTY VISANTO - OGAMI (Dạng cốm màu trắng ngà) - 150gr - 80")</f>
        <v>GC - V - 4559 - CTY VISANTO - OGAMI (Dạng cốm màu trắng ngà) - 150gr - 80</v>
      </c>
    </row>
    <row r="5484">
      <c r="A5484" s="86">
        <f>IFERROR(__xludf.DUMMYFUNCTION("""COMPUTED_VALUE"""),5482.0)</f>
        <v>5482</v>
      </c>
      <c r="B5484" s="87" t="str">
        <f>IFERROR(__xludf.DUMMYFUNCTION("""COMPUTED_VALUE"""),"[Nhãn Thùng]")</f>
        <v>[Nhãn Thùng]</v>
      </c>
      <c r="C5484" s="87" t="str">
        <f>IFERROR(__xludf.DUMMYFUNCTION("""COMPUTED_VALUE"""),"NDT4561")</f>
        <v>NDT4561</v>
      </c>
      <c r="D5484" s="87" t="str">
        <f>IFERROR(__xludf.DUMMYFUNCTION("""COMPUTED_VALUE"""),"[Nhãn Thùng] GC - V - 4561 - CTY VISANTO - CAPHENY 822 PLUS (Bột cam) - 100gr - 100")</f>
        <v>[Nhãn Thùng] GC - V - 4561 - CTY VISANTO - CAPHENY 822 PLUS (Bột cam) - 100gr - 100</v>
      </c>
      <c r="E5484" s="87" t="str">
        <f>IFERROR(__xludf.DUMMYFUNCTION("""COMPUTED_VALUE"""),"NOFADA 822WP")</f>
        <v>NOFADA 822WP</v>
      </c>
      <c r="F5484" s="87" t="str">
        <f>IFERROR(__xludf.DUMMYFUNCTION("""COMPUTED_VALUE"""),"HH4561")</f>
        <v>HH4561</v>
      </c>
      <c r="G5484" s="87" t="str">
        <f>IFERROR(__xludf.DUMMYFUNCTION("""COMPUTED_VALUE"""),"GC - V - 4561 - CTY VISANTO - CAPHENY 822 PLUS (Bột cam) - 100gr - 100")</f>
        <v>GC - V - 4561 - CTY VISANTO - CAPHENY 822 PLUS (Bột cam) - 100gr - 100</v>
      </c>
    </row>
    <row r="5485">
      <c r="A5485" s="86">
        <f>IFERROR(__xludf.DUMMYFUNCTION("""COMPUTED_VALUE"""),5483.0)</f>
        <v>5483</v>
      </c>
      <c r="B5485" s="87" t="str">
        <f>IFERROR(__xludf.DUMMYFUNCTION("""COMPUTED_VALUE"""),"[Nhãn Thùng]")</f>
        <v>[Nhãn Thùng]</v>
      </c>
      <c r="C5485" s="87" t="str">
        <f>IFERROR(__xludf.DUMMYFUNCTION("""COMPUTED_VALUE"""),"NDT4589")</f>
        <v>NDT4589</v>
      </c>
      <c r="D5485" s="87" t="str">
        <f>IFERROR(__xludf.DUMMYFUNCTION("""COMPUTED_VALUE"""),"[Nhãn Thùng] GC - V - 4589 - CTY VISANTO - PROXAM 550 (Nước tím) - 400ml - 30")</f>
        <v>[Nhãn Thùng] GC - V - 4589 - CTY VISANTO - PROXAM 550 (Nước tím) - 400ml - 30</v>
      </c>
      <c r="E5485" s="87" t="str">
        <f>IFERROR(__xludf.DUMMYFUNCTION("""COMPUTED_VALUE"""),"Thipro 550EC")</f>
        <v>Thipro 550EC</v>
      </c>
      <c r="F5485" s="87" t="str">
        <f>IFERROR(__xludf.DUMMYFUNCTION("""COMPUTED_VALUE"""),"HH4589")</f>
        <v>HH4589</v>
      </c>
      <c r="G5485" s="87" t="str">
        <f>IFERROR(__xludf.DUMMYFUNCTION("""COMPUTED_VALUE"""),"GC - V - 4589 - CTY VISANTO - PROXAM 550 (Nước tím) - 400ml - 30")</f>
        <v>GC - V - 4589 - CTY VISANTO - PROXAM 550 (Nước tím) - 400ml - 30</v>
      </c>
    </row>
    <row r="5486">
      <c r="A5486" s="86">
        <f>IFERROR(__xludf.DUMMYFUNCTION("""COMPUTED_VALUE"""),5484.0)</f>
        <v>5484</v>
      </c>
      <c r="B5486" s="87" t="str">
        <f>IFERROR(__xludf.DUMMYFUNCTION("""COMPUTED_VALUE"""),"[Nhãn]")</f>
        <v>[Nhãn]</v>
      </c>
      <c r="C5486" s="87" t="str">
        <f>IFERROR(__xludf.DUMMYFUNCTION("""COMPUTED_VALUE"""),"NTN4616")</f>
        <v>NTN4616</v>
      </c>
      <c r="D5486" s="87" t="str">
        <f>IFERROR(__xludf.DUMMYFUNCTION("""COMPUTED_VALUE"""),"[Nhãn] GC - V - 4616 - CTY SEN HỒNG - PIM.PIM 75WP (Bột cam) - 100gr - 100")</f>
        <v>[Nhãn] GC - V - 4616 - CTY SEN HỒNG - PIM.PIM 75WP (Bột cam) - 100gr - 100</v>
      </c>
      <c r="E5486" s="87" t="str">
        <f>IFERROR(__xludf.DUMMYFUNCTION("""COMPUTED_VALUE"""),"Pim.Pim 75WP")</f>
        <v>Pim.Pim 75WP</v>
      </c>
      <c r="F5486" s="87" t="str">
        <f>IFERROR(__xludf.DUMMYFUNCTION("""COMPUTED_VALUE"""),"HH4616")</f>
        <v>HH4616</v>
      </c>
      <c r="G5486" s="87" t="str">
        <f>IFERROR(__xludf.DUMMYFUNCTION("""COMPUTED_VALUE"""),"GC - V - 4616 - CTY SEN HỒNG - PIM.PIM 75WP (Bột cam) - 100gr - 100")</f>
        <v>GC - V - 4616 - CTY SEN HỒNG - PIM.PIM 75WP (Bột cam) - 100gr - 100</v>
      </c>
    </row>
    <row r="5487">
      <c r="A5487" s="86">
        <f>IFERROR(__xludf.DUMMYFUNCTION("""COMPUTED_VALUE"""),5485.0)</f>
        <v>5485</v>
      </c>
      <c r="B5487" s="87" t="str">
        <f>IFERROR(__xludf.DUMMYFUNCTION("""COMPUTED_VALUE"""),"[Nhãn]")</f>
        <v>[Nhãn]</v>
      </c>
      <c r="C5487" s="87" t="str">
        <f>IFERROR(__xludf.DUMMYFUNCTION("""COMPUTED_VALUE"""),"NHG4619")</f>
        <v>NHG4619</v>
      </c>
      <c r="D5487" s="87" t="str">
        <f>IFERROR(__xludf.DUMMYFUNCTION("""COMPUTED_VALUE"""),"[Nhãn] GC - V - 4619 - CTY NÔNG DƯỢC ĐÔNG DƯƠNG - GENOL 1.2SL (Nước tím) - 500ml - 40")</f>
        <v>[Nhãn] GC - V - 4619 - CTY NÔNG DƯỢC ĐÔNG DƯƠNG - GENOL 1.2SL (Nước tím) - 500ml - 40</v>
      </c>
      <c r="E5487" s="87" t="str">
        <f>IFERROR(__xludf.DUMMYFUNCTION("""COMPUTED_VALUE"""),"GENOL 1.2SL")</f>
        <v>GENOL 1.2SL</v>
      </c>
      <c r="F5487" s="87" t="str">
        <f>IFERROR(__xludf.DUMMYFUNCTION("""COMPUTED_VALUE"""),"HH4619")</f>
        <v>HH4619</v>
      </c>
      <c r="G5487" s="87" t="str">
        <f>IFERROR(__xludf.DUMMYFUNCTION("""COMPUTED_VALUE"""),"GC - V - 4619 - CTY NÔNG DƯỢC ĐÔNG DƯƠNG - GENOL 1.2SL (Nước tím) - 500ml - 40")</f>
        <v>GC - V - 4619 - CTY NÔNG DƯỢC ĐÔNG DƯƠNG - GENOL 1.2SL (Nước tím) - 500ml - 40</v>
      </c>
    </row>
    <row r="5488">
      <c r="A5488" s="86">
        <f>IFERROR(__xludf.DUMMYFUNCTION("""COMPUTED_VALUE"""),5486.0)</f>
        <v>5486</v>
      </c>
      <c r="B5488" s="87" t="str">
        <f>IFERROR(__xludf.DUMMYFUNCTION("""COMPUTED_VALUE"""),"[Nhãn]")</f>
        <v>[Nhãn]</v>
      </c>
      <c r="C5488" s="87" t="str">
        <f>IFERROR(__xludf.DUMMYFUNCTION("""COMPUTED_VALUE"""),"NHG4502")</f>
        <v>NHG4502</v>
      </c>
      <c r="D5488" s="87" t="str">
        <f>IFERROR(__xludf.DUMMYFUNCTION("""COMPUTED_VALUE"""),"[Nhãn] GC - V - 4502 - CTY NEWTEX - TILVIL NEWTEX (Nước xanh dương) - 240ml - 40")</f>
        <v>[Nhãn] GC - V - 4502 - CTY NEWTEX - TILVIL NEWTEX (Nước xanh dương) - 240ml - 40</v>
      </c>
      <c r="E5488" s="87" t="str">
        <f>IFERROR(__xludf.DUMMYFUNCTION("""COMPUTED_VALUE"""),"Center super 333EC")</f>
        <v>Center super 333EC</v>
      </c>
      <c r="F5488" s="87" t="str">
        <f>IFERROR(__xludf.DUMMYFUNCTION("""COMPUTED_VALUE"""),"HH4502")</f>
        <v>HH4502</v>
      </c>
      <c r="G5488" s="87" t="str">
        <f>IFERROR(__xludf.DUMMYFUNCTION("""COMPUTED_VALUE"""),"GC - V - 4502 - CTY NEWTEX - TILVIL NEWTEX (Nước xanh dương) - 240ml - 40")</f>
        <v>GC - V - 4502 - CTY NEWTEX - TILVIL NEWTEX (Nước xanh dương) - 240ml - 40</v>
      </c>
    </row>
    <row r="5489">
      <c r="A5489" s="86">
        <f>IFERROR(__xludf.DUMMYFUNCTION("""COMPUTED_VALUE"""),5487.0)</f>
        <v>5487</v>
      </c>
      <c r="B5489" s="87" t="str">
        <f>IFERROR(__xludf.DUMMYFUNCTION("""COMPUTED_VALUE"""),"[Nhãn]")</f>
        <v>[Nhãn]</v>
      </c>
      <c r="C5489" s="87" t="str">
        <f>IFERROR(__xludf.DUMMYFUNCTION("""COMPUTED_VALUE"""),"NTN4576")</f>
        <v>NTN4576</v>
      </c>
      <c r="D5489" s="87" t="str">
        <f>IFERROR(__xludf.DUMMYFUNCTION("""COMPUTED_VALUE"""),"[Nhãn] GC - V - 4576 - Cty Newtex - DRAGON REX (Dạng cốm màu trắng ngà) - 50gr - 200")</f>
        <v>[Nhãn] GC - V - 4576 - Cty Newtex - DRAGON REX (Dạng cốm màu trắng ngà) - 50gr - 200</v>
      </c>
      <c r="E5489" s="87" t="str">
        <f>IFERROR(__xludf.DUMMYFUNCTION("""COMPUTED_VALUE"""),"Emaxtin 55.5WG")</f>
        <v>Emaxtin 55.5WG</v>
      </c>
      <c r="F5489" s="87" t="str">
        <f>IFERROR(__xludf.DUMMYFUNCTION("""COMPUTED_VALUE"""),"HH4576")</f>
        <v>HH4576</v>
      </c>
      <c r="G5489" s="87" t="str">
        <f>IFERROR(__xludf.DUMMYFUNCTION("""COMPUTED_VALUE"""),"GC - V - 4576 - Cty Newtex - DRAGON REX (Dạng cốm màu trắng ngà) - 50gr - 200")</f>
        <v>GC - V - 4576 - Cty Newtex - DRAGON REX (Dạng cốm màu trắng ngà) - 50gr - 200</v>
      </c>
    </row>
    <row r="5490">
      <c r="A5490" s="86">
        <f>IFERROR(__xludf.DUMMYFUNCTION("""COMPUTED_VALUE"""),5488.0)</f>
        <v>5488</v>
      </c>
      <c r="B5490" s="87" t="str">
        <f>IFERROR(__xludf.DUMMYFUNCTION("""COMPUTED_VALUE"""),"[Nhãn]")</f>
        <v>[Nhãn]</v>
      </c>
      <c r="C5490" s="87" t="str">
        <f>IFERROR(__xludf.DUMMYFUNCTION("""COMPUTED_VALUE"""),"NHG4113")</f>
        <v>NHG4113</v>
      </c>
      <c r="D5490" s="87" t="str">
        <f>IFERROR(__xludf.DUMMYFUNCTION("""COMPUTED_VALUE"""),"[Nhãn] GC - IV - 4113 - Sen Hồng - Siêu trừ đạo ôn (bột cam) - 25gr - 300")</f>
        <v>[Nhãn] GC - IV - 4113 - Sen Hồng - Siêu trừ đạo ôn (bột cam) - 25gr - 300</v>
      </c>
      <c r="E5490" s="87" t="str">
        <f>IFERROR(__xludf.DUMMYFUNCTION("""COMPUTED_VALUE"""),"Pim.Pim 75WP")</f>
        <v>Pim.Pim 75WP</v>
      </c>
      <c r="F5490" s="87" t="str">
        <f>IFERROR(__xludf.DUMMYFUNCTION("""COMPUTED_VALUE"""),"HH4113")</f>
        <v>HH4113</v>
      </c>
      <c r="G5490" s="87" t="str">
        <f>IFERROR(__xludf.DUMMYFUNCTION("""COMPUTED_VALUE"""),"GC - IV - 4113 - Sen Hồng - Siêu trừ đạo ôn (bột cam) - 25gr - 300")</f>
        <v>GC - IV - 4113 - Sen Hồng - Siêu trừ đạo ôn (bột cam) - 25gr - 300</v>
      </c>
    </row>
    <row r="5491">
      <c r="A5491" s="86">
        <f>IFERROR(__xludf.DUMMYFUNCTION("""COMPUTED_VALUE"""),5489.0)</f>
        <v>5489</v>
      </c>
      <c r="B5491" s="87" t="str">
        <f>IFERROR(__xludf.DUMMYFUNCTION("""COMPUTED_VALUE"""),"[Nhãn]")</f>
        <v>[Nhãn]</v>
      </c>
      <c r="C5491" s="87" t="str">
        <f>IFERROR(__xludf.DUMMYFUNCTION("""COMPUTED_VALUE"""),"NHG4606")</f>
        <v>NHG4606</v>
      </c>
      <c r="D5491" s="87" t="str">
        <f>IFERROR(__xludf.DUMMYFUNCTION("""COMPUTED_VALUE"""),"[Nhãn] GC - V - 4606 - CTY NEWTEX - KHUẨN LẠNH ((Nước xanh rêu) - 450ml - 40")</f>
        <v>[Nhãn] GC - V - 4606 - CTY NEWTEX - KHUẨN LẠNH ((Nước xanh rêu) - 450ml - 40</v>
      </c>
      <c r="E5491" s="87" t="str">
        <f>IFERROR(__xludf.DUMMYFUNCTION("""COMPUTED_VALUE"""),"NEWKARIDE 3SL")</f>
        <v>NEWKARIDE 3SL</v>
      </c>
      <c r="F5491" s="87" t="str">
        <f>IFERROR(__xludf.DUMMYFUNCTION("""COMPUTED_VALUE"""),"HH4606")</f>
        <v>HH4606</v>
      </c>
      <c r="G5491" s="87" t="str">
        <f>IFERROR(__xludf.DUMMYFUNCTION("""COMPUTED_VALUE"""),"GC - V - 4606 - CTY NEWTEX - KHUẨN LẠNH ((Nước xanh rêu) - 450ml - 40")</f>
        <v>GC - V - 4606 - CTY NEWTEX - KHUẨN LẠNH ((Nước xanh rêu) - 450ml - 40</v>
      </c>
    </row>
    <row r="5492">
      <c r="A5492" s="86">
        <f>IFERROR(__xludf.DUMMYFUNCTION("""COMPUTED_VALUE"""),5490.0)</f>
        <v>5490</v>
      </c>
      <c r="B5492" s="87" t="str">
        <f>IFERROR(__xludf.DUMMYFUNCTION("""COMPUTED_VALUE"""),"[Nhãn]")</f>
        <v>[Nhãn]</v>
      </c>
      <c r="C5492" s="87" t="str">
        <f>IFERROR(__xludf.DUMMYFUNCTION("""COMPUTED_VALUE"""),"NHG4488")</f>
        <v>NHG4488</v>
      </c>
      <c r="D5492" s="87" t="str">
        <f>IFERROR(__xludf.DUMMYFUNCTION("""COMPUTED_VALUE"""),"[Nhãn] GC - IV - 4488 - CTY NEWTEX - NEWKARIDE 3SL (Nước xanh rêu ) - 240ml - 40")</f>
        <v>[Nhãn] GC - IV - 4488 - CTY NEWTEX - NEWKARIDE 3SL (Nước xanh rêu ) - 240ml - 40</v>
      </c>
      <c r="E5492" s="87" t="str">
        <f>IFERROR(__xludf.DUMMYFUNCTION("""COMPUTED_VALUE"""),"NEWKARIDE 3SL")</f>
        <v>NEWKARIDE 3SL</v>
      </c>
      <c r="F5492" s="87" t="str">
        <f>IFERROR(__xludf.DUMMYFUNCTION("""COMPUTED_VALUE"""),"HH4488")</f>
        <v>HH4488</v>
      </c>
      <c r="G5492" s="87" t="str">
        <f>IFERROR(__xludf.DUMMYFUNCTION("""COMPUTED_VALUE"""),"GC - IV - 4488 - CTY NEWTEX - NEWKARIDE 3SL (Nước xanh rêu ) - 240ml - 40")</f>
        <v>GC - IV - 4488 - CTY NEWTEX - NEWKARIDE 3SL (Nước xanh rêu ) - 240ml - 40</v>
      </c>
    </row>
    <row r="5493">
      <c r="A5493" s="86">
        <f>IFERROR(__xludf.DUMMYFUNCTION("""COMPUTED_VALUE"""),5491.0)</f>
        <v>5491</v>
      </c>
      <c r="B5493" s="87" t="str">
        <f>IFERROR(__xludf.DUMMYFUNCTION("""COMPUTED_VALUE"""),"[Nhãn]")</f>
        <v>[Nhãn]</v>
      </c>
      <c r="C5493" s="87" t="str">
        <f>IFERROR(__xludf.DUMMYFUNCTION("""COMPUTED_VALUE"""),"NHD4285")</f>
        <v>NHD4285</v>
      </c>
      <c r="D5493" s="87" t="str">
        <f>IFERROR(__xludf.DUMMYFUNCTION("""COMPUTED_VALUE"""),"[Nhãn] IDA Global - I - 4285 - STOP UP (Nước nâu đen) - 1L - 20")</f>
        <v>[Nhãn] IDA Global - I - 4285 - STOP UP (Nước nâu đen) - 1L - 20</v>
      </c>
      <c r="E5493" s="87" t="str">
        <f>IFERROR(__xludf.DUMMYFUNCTION("""COMPUTED_VALUE"""),"Vi lượng Quantity New")</f>
        <v>Vi lượng Quantity New</v>
      </c>
      <c r="F5493" s="87" t="str">
        <f>IFERROR(__xludf.DUMMYFUNCTION("""COMPUTED_VALUE"""),"HH4285")</f>
        <v>HH4285</v>
      </c>
      <c r="G5493" s="87" t="str">
        <f>IFERROR(__xludf.DUMMYFUNCTION("""COMPUTED_VALUE"""),"IDA Global - I - 4285 - STOP UP (Nước nâu đen) - 1L - 20")</f>
        <v>IDA Global - I - 4285 - STOP UP (Nước nâu đen) - 1L - 20</v>
      </c>
    </row>
    <row r="5494">
      <c r="A5494" s="86">
        <f>IFERROR(__xludf.DUMMYFUNCTION("""COMPUTED_VALUE"""),5492.0)</f>
        <v>5492</v>
      </c>
      <c r="B5494" s="87" t="str">
        <f>IFERROR(__xludf.DUMMYFUNCTION("""COMPUTED_VALUE"""),"[Nhãn]")</f>
        <v>[Nhãn]</v>
      </c>
      <c r="C5494" s="87" t="str">
        <f>IFERROR(__xludf.DUMMYFUNCTION("""COMPUTED_VALUE"""),"NHG4609")</f>
        <v>NHG4609</v>
      </c>
      <c r="D5494" s="87" t="str">
        <f>IFERROR(__xludf.DUMMYFUNCTION("""COMPUTED_VALUE"""),"[Nhãn] IDA Global - I - 4609 - ĐL ÚT TÈO - WINNER EXTRA (Nước nâu đen) - 500ml - 40")</f>
        <v>[Nhãn] IDA Global - I - 4609 - ĐL ÚT TÈO - WINNER EXTRA (Nước nâu đen) - 500ml - 40</v>
      </c>
      <c r="E5494" s="87" t="str">
        <f>IFERROR(__xludf.DUMMYFUNCTION("""COMPUTED_VALUE"""),"Hữu Cơ Organic ĐGP 01")</f>
        <v>Hữu Cơ Organic ĐGP 01</v>
      </c>
      <c r="F5494" s="87" t="str">
        <f>IFERROR(__xludf.DUMMYFUNCTION("""COMPUTED_VALUE"""),"HH4609")</f>
        <v>HH4609</v>
      </c>
      <c r="G5494" s="87" t="str">
        <f>IFERROR(__xludf.DUMMYFUNCTION("""COMPUTED_VALUE"""),"IDA Global - I - 4609 - ĐL ÚT TÈO - WINNER EXTRA (Nước nâu đen) - 500ml - 40")</f>
        <v>IDA Global - I - 4609 - ĐL ÚT TÈO - WINNER EXTRA (Nước nâu đen) - 500ml - 40</v>
      </c>
    </row>
    <row r="5495">
      <c r="A5495" s="86">
        <f>IFERROR(__xludf.DUMMYFUNCTION("""COMPUTED_VALUE"""),5493.0)</f>
        <v>5493</v>
      </c>
      <c r="B5495" s="87" t="str">
        <f>IFERROR(__xludf.DUMMYFUNCTION("""COMPUTED_VALUE"""),"[Nhãn]")</f>
        <v>[Nhãn]</v>
      </c>
      <c r="C5495" s="87" t="str">
        <f>IFERROR(__xludf.DUMMYFUNCTION("""COMPUTED_VALUE"""),"NHG4617")</f>
        <v>NHG4617</v>
      </c>
      <c r="D5495" s="87" t="str">
        <f>IFERROR(__xludf.DUMMYFUNCTION("""COMPUTED_VALUE"""),"[Nhãn] IDA Global - I - 4617 - RONADO (Nước tím) - 450ml - 40")</f>
        <v>[Nhãn] IDA Global - I - 4617 - RONADO (Nước tím) - 450ml - 40</v>
      </c>
      <c r="E5495" s="87" t="str">
        <f>IFERROR(__xludf.DUMMYFUNCTION("""COMPUTED_VALUE"""),"Hỗn Hợp NP AGAMA-AP")</f>
        <v>Hỗn Hợp NP AGAMA-AP</v>
      </c>
      <c r="F5495" s="87" t="str">
        <f>IFERROR(__xludf.DUMMYFUNCTION("""COMPUTED_VALUE"""),"HH4617")</f>
        <v>HH4617</v>
      </c>
      <c r="G5495" s="87" t="str">
        <f>IFERROR(__xludf.DUMMYFUNCTION("""COMPUTED_VALUE"""),"IDA Global - I - 4617 - RONADO (Nước tím) - 450ml - 40")</f>
        <v>IDA Global - I - 4617 - RONADO (Nước tím) - 450ml - 40</v>
      </c>
    </row>
    <row r="5496">
      <c r="A5496" s="86">
        <f>IFERROR(__xludf.DUMMYFUNCTION("""COMPUTED_VALUE"""),5494.0)</f>
        <v>5494</v>
      </c>
      <c r="B5496" s="87" t="str">
        <f>IFERROR(__xludf.DUMMYFUNCTION("""COMPUTED_VALUE"""),"[Nhãn]")</f>
        <v>[Nhãn]</v>
      </c>
      <c r="C5496" s="87" t="str">
        <f>IFERROR(__xludf.DUMMYFUNCTION("""COMPUTED_VALUE"""),"NHG4569")</f>
        <v>NHG4569</v>
      </c>
      <c r="D5496" s="87" t="str">
        <f>IFERROR(__xludf.DUMMYFUNCTION("""COMPUTED_VALUE"""),"[Nhãn]  IDA Global - I - 4569 - Flower Top Chuyên Cây Ăn Trái (drone) - 450ml - 40")</f>
        <v>[Nhãn]  IDA Global - I - 4569 - Flower Top Chuyên Cây Ăn Trái (drone) - 450ml - 40</v>
      </c>
      <c r="E5496" s="87" t="str">
        <f>IFERROR(__xludf.DUMMYFUNCTION("""COMPUTED_VALUE"""),"Vi lượng Basel IDA 47")</f>
        <v>Vi lượng Basel IDA 47</v>
      </c>
      <c r="F5496" s="87" t="str">
        <f>IFERROR(__xludf.DUMMYFUNCTION("""COMPUTED_VALUE"""),"HH4569")</f>
        <v>HH4569</v>
      </c>
      <c r="G5496" s="87" t="str">
        <f>IFERROR(__xludf.DUMMYFUNCTION("""COMPUTED_VALUE"""),"IDA Global - I - 4569 - Flower Top Chuyên Cây Ăn Trái (drone) - 450ml - 40")</f>
        <v>IDA Global - I - 4569 - Flower Top Chuyên Cây Ăn Trái (drone) - 450ml - 40</v>
      </c>
    </row>
    <row r="5497">
      <c r="A5497" s="86">
        <f>IFERROR(__xludf.DUMMYFUNCTION("""COMPUTED_VALUE"""),5495.0)</f>
        <v>5495</v>
      </c>
      <c r="B5497" s="87" t="str">
        <f>IFERROR(__xludf.DUMMYFUNCTION("""COMPUTED_VALUE"""),"[Nhãn]")</f>
        <v>[Nhãn]</v>
      </c>
      <c r="C5497" s="87" t="str">
        <f>IFERROR(__xludf.DUMMYFUNCTION("""COMPUTED_VALUE"""),"NHG4568")</f>
        <v>NHG4568</v>
      </c>
      <c r="D5497" s="87" t="str">
        <f>IFERROR(__xludf.DUMMYFUNCTION("""COMPUTED_VALUE"""),"[Nhãn] IDA Global - I - 4568 - Flower Top Chuyên Lúa Và Rau Màu (drone) (Nước trắng sữa) - 450ml - 40")</f>
        <v>[Nhãn] IDA Global - I - 4568 - Flower Top Chuyên Lúa Và Rau Màu (drone) (Nước trắng sữa) - 450ml - 40</v>
      </c>
      <c r="E5497" s="87" t="str">
        <f>IFERROR(__xludf.DUMMYFUNCTION("""COMPUTED_VALUE"""),"Vi lượng Basel IDA 47")</f>
        <v>Vi lượng Basel IDA 47</v>
      </c>
      <c r="F5497" s="87" t="str">
        <f>IFERROR(__xludf.DUMMYFUNCTION("""COMPUTED_VALUE"""),"HH4568")</f>
        <v>HH4568</v>
      </c>
      <c r="G5497" s="87" t="str">
        <f>IFERROR(__xludf.DUMMYFUNCTION("""COMPUTED_VALUE"""),"IDA Global - I - 4568 - Flower Top Chuyên Lúa Và Rau Màu (drone) (Nước trắng sữa) - 450ml - 40")</f>
        <v>IDA Global - I - 4568 - Flower Top Chuyên Lúa Và Rau Màu (drone) (Nước trắng sữa) - 450ml - 40</v>
      </c>
    </row>
    <row r="5498">
      <c r="A5498" s="86">
        <f>IFERROR(__xludf.DUMMYFUNCTION("""COMPUTED_VALUE"""),5496.0)</f>
        <v>5496</v>
      </c>
      <c r="B5498" s="87" t="str">
        <f>IFERROR(__xludf.DUMMYFUNCTION("""COMPUTED_VALUE"""),"[Nhãn]")</f>
        <v>[Nhãn]</v>
      </c>
      <c r="C5498" s="87" t="str">
        <f>IFERROR(__xludf.DUMMYFUNCTION("""COMPUTED_VALUE"""),"NHG4413")</f>
        <v>NHG4413</v>
      </c>
      <c r="D5498" s="87" t="str">
        <f>IFERROR(__xludf.DUMMYFUNCTION("""COMPUTED_VALUE"""),"[Nhãn] GC - V - 4413 - CTY NAUY - CHUYÊN GIA LÀM ĐỌT 7 NGÀY (Nước nâu đen) - 500ml - 40")</f>
        <v>[Nhãn] GC - V - 4413 - CTY NAUY - CHUYÊN GIA LÀM ĐỌT 7 NGÀY (Nước nâu đen) - 500ml - 40</v>
      </c>
      <c r="E5498" s="87" t="str">
        <f>IFERROR(__xludf.DUMMYFUNCTION("""COMPUTED_VALUE"""),"Hữu cơ SH Agro Organic Fertilizer 20")</f>
        <v>Hữu cơ SH Agro Organic Fertilizer 20</v>
      </c>
      <c r="F5498" s="87" t="str">
        <f>IFERROR(__xludf.DUMMYFUNCTION("""COMPUTED_VALUE"""),"HH4413")</f>
        <v>HH4413</v>
      </c>
      <c r="G5498" s="87" t="str">
        <f>IFERROR(__xludf.DUMMYFUNCTION("""COMPUTED_VALUE"""),"GC - V - 4413 - CTY NAUY - CHUYÊN GIA LÀM ĐỌT 7 NGÀY (Nước nâu đen) - 500ml - 40")</f>
        <v>GC - V - 4413 - CTY NAUY - CHUYÊN GIA LÀM ĐỌT 7 NGÀY (Nước nâu đen) - 500ml - 40</v>
      </c>
    </row>
    <row r="5499">
      <c r="A5499" s="86">
        <f>IFERROR(__xludf.DUMMYFUNCTION("""COMPUTED_VALUE"""),5497.0)</f>
        <v>5497</v>
      </c>
      <c r="B5499" s="87" t="str">
        <f>IFERROR(__xludf.DUMMYFUNCTION("""COMPUTED_VALUE"""),"[Nhãn]")</f>
        <v>[Nhãn]</v>
      </c>
      <c r="C5499" s="87" t="str">
        <f>IFERROR(__xludf.DUMMYFUNCTION("""COMPUTED_VALUE"""),"NHG4633")</f>
        <v>NHG4633</v>
      </c>
      <c r="D5499" s="87" t="str">
        <f>IFERROR(__xludf.DUMMYFUNCTION("""COMPUTED_VALUE"""),"[Nhãn] GC - V - 4633 - Cty Hóa Nông Shino - YAPOSINO 350 (Nước trắng sữa) - 450ml - 30")</f>
        <v>[Nhãn] GC - V - 4633 - Cty Hóa Nông Shino - YAPOSINO 350 (Nước trắng sữa) - 450ml - 30</v>
      </c>
      <c r="E5499" s="87" t="str">
        <f>IFERROR(__xludf.DUMMYFUNCTION("""COMPUTED_VALUE"""),"NOFARA 350SC")</f>
        <v>NOFARA 350SC</v>
      </c>
      <c r="F5499" s="87" t="str">
        <f>IFERROR(__xludf.DUMMYFUNCTION("""COMPUTED_VALUE"""),"HH4633")</f>
        <v>HH4633</v>
      </c>
      <c r="G5499" s="87" t="str">
        <f>IFERROR(__xludf.DUMMYFUNCTION("""COMPUTED_VALUE"""),"GC - V - 4633 - Cty Hóa Nông Shino - YAPOSINO 350 (Nước trắng sữa) - 450ml - 30")</f>
        <v>GC - V - 4633 - Cty Hóa Nông Shino - YAPOSINO 350 (Nước trắng sữa) - 450ml - 30</v>
      </c>
    </row>
    <row r="5500">
      <c r="A5500" s="86">
        <f>IFERROR(__xludf.DUMMYFUNCTION("""COMPUTED_VALUE"""),5498.0)</f>
        <v>5498</v>
      </c>
      <c r="B5500" s="87" t="str">
        <f>IFERROR(__xludf.DUMMYFUNCTION("""COMPUTED_VALUE"""),"[Nhãn]")</f>
        <v>[Nhãn]</v>
      </c>
      <c r="C5500" s="87" t="str">
        <f>IFERROR(__xludf.DUMMYFUNCTION("""COMPUTED_VALUE"""),"NHG4635")</f>
        <v>NHG4635</v>
      </c>
      <c r="D5500" s="87" t="str">
        <f>IFERROR(__xludf.DUMMYFUNCTION("""COMPUTED_VALUE"""),"[Nhãn] GC - V - 4635 - CTY AGRITECH - NOFARA 350SC (Nước trắng sữa) - 240ml - 40")</f>
        <v>[Nhãn] GC - V - 4635 - CTY AGRITECH - NOFARA 350SC (Nước trắng sữa) - 240ml - 40</v>
      </c>
      <c r="E5500" s="87" t="str">
        <f>IFERROR(__xludf.DUMMYFUNCTION("""COMPUTED_VALUE"""),"NOFARA 350SC")</f>
        <v>NOFARA 350SC</v>
      </c>
      <c r="F5500" s="87" t="str">
        <f>IFERROR(__xludf.DUMMYFUNCTION("""COMPUTED_VALUE"""),"HH4635")</f>
        <v>HH4635</v>
      </c>
      <c r="G5500" s="87" t="str">
        <f>IFERROR(__xludf.DUMMYFUNCTION("""COMPUTED_VALUE"""),"GC - V - 4635 - CTY AGRITECH - NOFARA 350SC (Nước trắng sữa) - 240ml - 40")</f>
        <v>GC - V - 4635 - CTY AGRITECH - NOFARA 350SC (Nước trắng sữa) - 240ml - 40</v>
      </c>
    </row>
    <row r="5501">
      <c r="A5501" s="86">
        <f>IFERROR(__xludf.DUMMYFUNCTION("""COMPUTED_VALUE"""),5499.0)</f>
        <v>5499</v>
      </c>
      <c r="B5501" s="87" t="str">
        <f>IFERROR(__xludf.DUMMYFUNCTION("""COMPUTED_VALUE"""),"[Nhãn]")</f>
        <v>[Nhãn]</v>
      </c>
      <c r="C5501" s="87" t="str">
        <f>IFERROR(__xludf.DUMMYFUNCTION("""COMPUTED_VALUE"""),"NTN4637")</f>
        <v>NTN4637</v>
      </c>
      <c r="D5501" s="87" t="str">
        <f>IFERROR(__xludf.DUMMYFUNCTION("""COMPUTED_VALUE"""),"[Nhãn] GC - II - 4637 - AGC - VUARAY (Bột trắng ngà) - 100gr - 100")</f>
        <v>[Nhãn] GC - II - 4637 - AGC - VUARAY (Bột trắng ngà) - 100gr - 100</v>
      </c>
      <c r="E5501" s="87" t="str">
        <f>IFERROR(__xludf.DUMMYFUNCTION("""COMPUTED_VALUE"""),"NOMIDA 10WP")</f>
        <v>NOMIDA 10WP</v>
      </c>
      <c r="F5501" s="87" t="str">
        <f>IFERROR(__xludf.DUMMYFUNCTION("""COMPUTED_VALUE"""),"HH4637")</f>
        <v>HH4637</v>
      </c>
      <c r="G5501" s="87" t="str">
        <f>IFERROR(__xludf.DUMMYFUNCTION("""COMPUTED_VALUE"""),"GC - II - 4637 - AGC - VUARAY (Bột trắng ngà) - 100gr - 100")</f>
        <v>GC - II - 4637 - AGC - VUARAY (Bột trắng ngà) - 100gr - 100</v>
      </c>
    </row>
    <row r="5502">
      <c r="A5502" s="86">
        <f>IFERROR(__xludf.DUMMYFUNCTION("""COMPUTED_VALUE"""),5500.0)</f>
        <v>5500</v>
      </c>
      <c r="B5502" s="87" t="str">
        <f>IFERROR(__xludf.DUMMYFUNCTION("""COMPUTED_VALUE"""),"[Nhãn]")</f>
        <v>[Nhãn]</v>
      </c>
      <c r="C5502" s="87" t="str">
        <f>IFERROR(__xludf.DUMMYFUNCTION("""COMPUTED_VALUE"""),"NHG4636")</f>
        <v>NHG4636</v>
      </c>
      <c r="D5502" s="87" t="str">
        <f>IFERROR(__xludf.DUMMYFUNCTION("""COMPUTED_VALUE"""),"[Nhãn] GC - V - 4636 - Cty Agritech (Anh Trương) - MITE KILLER (nước đỏ) - 240ml - 40")</f>
        <v>[Nhãn] GC - V - 4636 - Cty Agritech (Anh Trương) - MITE KILLER (nước đỏ) - 240ml - 40</v>
      </c>
      <c r="E5502" s="87" t="str">
        <f>IFERROR(__xludf.DUMMYFUNCTION("""COMPUTED_VALUE"""),"CHIM ƯNG 3.8EC")</f>
        <v>CHIM ƯNG 3.8EC</v>
      </c>
      <c r="F5502" s="87" t="str">
        <f>IFERROR(__xludf.DUMMYFUNCTION("""COMPUTED_VALUE"""),"HH4636")</f>
        <v>HH4636</v>
      </c>
      <c r="G5502" s="87" t="str">
        <f>IFERROR(__xludf.DUMMYFUNCTION("""COMPUTED_VALUE"""),"GC - V - 4636 - Cty Agritech (Anh Trương) - MITE KILLER (nước đỏ) - 240ml - 40")</f>
        <v>GC - V - 4636 - Cty Agritech (Anh Trương) - MITE KILLER (nước đỏ) - 240ml - 40</v>
      </c>
    </row>
    <row r="5503">
      <c r="A5503" s="86">
        <f>IFERROR(__xludf.DUMMYFUNCTION("""COMPUTED_VALUE"""),5501.0)</f>
        <v>5501</v>
      </c>
      <c r="B5503" s="87" t="str">
        <f>IFERROR(__xludf.DUMMYFUNCTION("""COMPUTED_VALUE"""),"[Nhãn]")</f>
        <v>[Nhãn]</v>
      </c>
      <c r="C5503" s="87" t="str">
        <f>IFERROR(__xludf.DUMMYFUNCTION("""COMPUTED_VALUE"""),"NHG4622")</f>
        <v>NHG4622</v>
      </c>
      <c r="D5503" s="87" t="str">
        <f>IFERROR(__xludf.DUMMYFUNCTION("""COMPUTED_VALUE"""),"[Nhãn] GC - V - 4622 - CTY NEWTEX - CITTIZEN 333SC (Nước cam sữa) - 240ml - 40")</f>
        <v>[Nhãn] GC - V - 4622 - CTY NEWTEX - CITTIZEN 333SC (Nước cam sữa) - 240ml - 40</v>
      </c>
      <c r="E5503" s="87" t="str">
        <f>IFERROR(__xludf.DUMMYFUNCTION("""COMPUTED_VALUE"""),"CITTIZEN 333SC")</f>
        <v>CITTIZEN 333SC</v>
      </c>
      <c r="F5503" s="87" t="str">
        <f>IFERROR(__xludf.DUMMYFUNCTION("""COMPUTED_VALUE"""),"HH4622")</f>
        <v>HH4622</v>
      </c>
      <c r="G5503" s="87" t="str">
        <f>IFERROR(__xludf.DUMMYFUNCTION("""COMPUTED_VALUE"""),"GC - V - 4622 - CTY NEWTEX - CITTIZEN 333SC (Nước cam sữa) - 240ml - 40")</f>
        <v>GC - V - 4622 - CTY NEWTEX - CITTIZEN 333SC (Nước cam sữa) - 240ml - 40</v>
      </c>
    </row>
    <row r="5504">
      <c r="A5504" s="86">
        <f>IFERROR(__xludf.DUMMYFUNCTION("""COMPUTED_VALUE"""),5502.0)</f>
        <v>5502</v>
      </c>
      <c r="B5504" s="87" t="str">
        <f>IFERROR(__xludf.DUMMYFUNCTION("""COMPUTED_VALUE"""),"[Nhãn]")</f>
        <v>[Nhãn]</v>
      </c>
      <c r="C5504" s="87" t="str">
        <f>IFERROR(__xludf.DUMMYFUNCTION("""COMPUTED_VALUE"""),"NHG4625")</f>
        <v>NHG4625</v>
      </c>
      <c r="D5504" s="87" t="str">
        <f>IFERROR(__xludf.DUMMYFUNCTION("""COMPUTED_VALUE"""),"[Nhãn] GC - V - 4625 - CTY HƯƠNG NÔNG - NOFARA 350SC (Nước trắng sữa) - 250ml - 40")</f>
        <v>[Nhãn] GC - V - 4625 - CTY HƯƠNG NÔNG - NOFARA 350SC (Nước trắng sữa) - 250ml - 40</v>
      </c>
      <c r="E5504" s="87" t="str">
        <f>IFERROR(__xludf.DUMMYFUNCTION("""COMPUTED_VALUE"""),"NOFARA 350SC")</f>
        <v>NOFARA 350SC</v>
      </c>
      <c r="F5504" s="87" t="str">
        <f>IFERROR(__xludf.DUMMYFUNCTION("""COMPUTED_VALUE"""),"HH4625")</f>
        <v>HH4625</v>
      </c>
      <c r="G5504" s="87" t="str">
        <f>IFERROR(__xludf.DUMMYFUNCTION("""COMPUTED_VALUE"""),"GC - V - 4625 - CTY HƯƠNG NÔNG - NOFARA 350SC (Nước trắng sữa) - 250ml - 40")</f>
        <v>GC - V - 4625 - CTY HƯƠNG NÔNG - NOFARA 350SC (Nước trắng sữa) - 250ml - 40</v>
      </c>
    </row>
    <row r="5505">
      <c r="A5505" s="86">
        <f>IFERROR(__xludf.DUMMYFUNCTION("""COMPUTED_VALUE"""),5503.0)</f>
        <v>5503</v>
      </c>
      <c r="B5505" s="87" t="str">
        <f>IFERROR(__xludf.DUMMYFUNCTION("""COMPUTED_VALUE"""),"[Nhãn]")</f>
        <v>[Nhãn]</v>
      </c>
      <c r="C5505" s="87" t="str">
        <f>IFERROR(__xludf.DUMMYFUNCTION("""COMPUTED_VALUE"""),"NHG4623")</f>
        <v>NHG4623</v>
      </c>
      <c r="D5505" s="87" t="str">
        <f>IFERROR(__xludf.DUMMYFUNCTION("""COMPUTED_VALUE"""),"[Nhãn] GC - V - 4623 - Cty Newtex - KẼM XANH T5 (Dạng SC Xanh dương) - 500ml - 40")</f>
        <v>[Nhãn] GC - V - 4623 - Cty Newtex - KẼM XANH T5 (Dạng SC Xanh dương) - 500ml - 40</v>
      </c>
      <c r="E5505" s="87" t="str">
        <f>IFERROR(__xludf.DUMMYFUNCTION("""COMPUTED_VALUE"""),"vi lượng Phú Sĩ FJ-09 Kẽm Mg")</f>
        <v>vi lượng Phú Sĩ FJ-09 Kẽm Mg</v>
      </c>
      <c r="F5505" s="87" t="str">
        <f>IFERROR(__xludf.DUMMYFUNCTION("""COMPUTED_VALUE"""),"HH4623")</f>
        <v>HH4623</v>
      </c>
      <c r="G5505" s="87" t="str">
        <f>IFERROR(__xludf.DUMMYFUNCTION("""COMPUTED_VALUE"""),"GC - V - 4623 - Cty Newtex - KẼM XANH T5 (Dạng SC Xanh dương) - 500ml - 40")</f>
        <v>GC - V - 4623 - Cty Newtex - KẼM XANH T5 (Dạng SC Xanh dương) - 500ml - 40</v>
      </c>
    </row>
    <row r="5506">
      <c r="A5506" s="86">
        <f>IFERROR(__xludf.DUMMYFUNCTION("""COMPUTED_VALUE"""),5504.0)</f>
        <v>5504</v>
      </c>
      <c r="B5506" s="87" t="str">
        <f>IFERROR(__xludf.DUMMYFUNCTION("""COMPUTED_VALUE"""),"[Nhãn]")</f>
        <v>[Nhãn]</v>
      </c>
      <c r="C5506" s="87" t="str">
        <f>IFERROR(__xludf.DUMMYFUNCTION("""COMPUTED_VALUE"""),"NHG4624")</f>
        <v>NHG4624</v>
      </c>
      <c r="D5506" s="87" t="str">
        <f>IFERROR(__xludf.DUMMYFUNCTION("""COMPUTED_VALUE"""),"[Nhãn] GC - V - 4624 - Cty Newtex - ĐÒNG TO BÔNG KẸO T7 (Dạng SC màu vàng nhạt) - 500ml - 40")</f>
        <v>[Nhãn] GC - V - 4624 - Cty Newtex - ĐÒNG TO BÔNG KẸO T7 (Dạng SC màu vàng nhạt) - 500ml - 40</v>
      </c>
      <c r="E5506" s="87" t="str">
        <f>IFERROR(__xludf.DUMMYFUNCTION("""COMPUTED_VALUE"""),"lá NPK-vi lượng GNC19")</f>
        <v>lá NPK-vi lượng GNC19</v>
      </c>
      <c r="F5506" s="87" t="str">
        <f>IFERROR(__xludf.DUMMYFUNCTION("""COMPUTED_VALUE"""),"HH4624")</f>
        <v>HH4624</v>
      </c>
      <c r="G5506" s="87" t="str">
        <f>IFERROR(__xludf.DUMMYFUNCTION("""COMPUTED_VALUE"""),"GC - V - 4624 - Cty Newtex - ĐÒNG TO BÔNG KẸO T7 (Dạng SC màu vàng nhạt) - 500ml - 40")</f>
        <v>GC - V - 4624 - Cty Newtex - ĐÒNG TO BÔNG KẸO T7 (Dạng SC màu vàng nhạt) - 500ml - 40</v>
      </c>
    </row>
    <row r="5507">
      <c r="A5507" s="86">
        <f>IFERROR(__xludf.DUMMYFUNCTION("""COMPUTED_VALUE"""),5505.0)</f>
        <v>5505</v>
      </c>
      <c r="B5507" s="87" t="str">
        <f>IFERROR(__xludf.DUMMYFUNCTION("""COMPUTED_VALUE"""),"[Nhãn]")</f>
        <v>[Nhãn]</v>
      </c>
      <c r="C5507" s="87" t="str">
        <f>IFERROR(__xludf.DUMMYFUNCTION("""COMPUTED_VALUE"""),"NHG4645")</f>
        <v>NHG4645</v>
      </c>
      <c r="D5507" s="87" t="str">
        <f>IFERROR(__xludf.DUMMYFUNCTION("""COMPUTED_VALUE"""),"[Nhãn] DR.XANH - VIII - 4645 - DR.XTRESS (Nước nâu đen) - 250ml - 40")</f>
        <v>[Nhãn] DR.XANH - VIII - 4645 - DR.XTRESS (Nước nâu đen) - 250ml - 40</v>
      </c>
      <c r="E5507" s="87" t="str">
        <f>IFERROR(__xludf.DUMMYFUNCTION("""COMPUTED_VALUE"""),"Hữu cơ Organic BM Gold  FW")</f>
        <v>Hữu cơ Organic BM Gold  FW</v>
      </c>
      <c r="F5507" s="87" t="str">
        <f>IFERROR(__xludf.DUMMYFUNCTION("""COMPUTED_VALUE"""),"HH4645")</f>
        <v>HH4645</v>
      </c>
      <c r="G5507" s="87" t="str">
        <f>IFERROR(__xludf.DUMMYFUNCTION("""COMPUTED_VALUE"""),"DR.XANH - VIII - 4645 - DR.XTRESS (Nước nâu đen) - 250ml - 40")</f>
        <v>DR.XANH - VIII - 4645 - DR.XTRESS (Nước nâu đen) - 250ml - 40</v>
      </c>
    </row>
    <row r="5508">
      <c r="A5508" s="86">
        <f>IFERROR(__xludf.DUMMYFUNCTION("""COMPUTED_VALUE"""),5506.0)</f>
        <v>5506</v>
      </c>
      <c r="B5508" s="87" t="str">
        <f>IFERROR(__xludf.DUMMYFUNCTION("""COMPUTED_VALUE"""),"[Nhãn]")</f>
        <v>[Nhãn]</v>
      </c>
      <c r="C5508" s="87" t="str">
        <f>IFERROR(__xludf.DUMMYFUNCTION("""COMPUTED_VALUE"""),"NHG4646")</f>
        <v>NHG4646</v>
      </c>
      <c r="D5508" s="87" t="str">
        <f>IFERROR(__xludf.DUMMYFUNCTION("""COMPUTED_VALUE"""),"[Nhãn] DR.XANH - VIII - 4646 - DR.XTRESS (Nước nâu đen) - 500ml - 40")</f>
        <v>[Nhãn] DR.XANH - VIII - 4646 - DR.XTRESS (Nước nâu đen) - 500ml - 40</v>
      </c>
      <c r="E5508" s="87" t="str">
        <f>IFERROR(__xludf.DUMMYFUNCTION("""COMPUTED_VALUE"""),"Hữu cơ Organic BM Gold  FW")</f>
        <v>Hữu cơ Organic BM Gold  FW</v>
      </c>
      <c r="F5508" s="87" t="str">
        <f>IFERROR(__xludf.DUMMYFUNCTION("""COMPUTED_VALUE"""),"HH4646")</f>
        <v>HH4646</v>
      </c>
      <c r="G5508" s="87" t="str">
        <f>IFERROR(__xludf.DUMMYFUNCTION("""COMPUTED_VALUE"""),"DR.XANH - VIII - 4646 - DR.XTRESS (Nước nâu đen) - 500ml - 40")</f>
        <v>DR.XANH - VIII - 4646 - DR.XTRESS (Nước nâu đen) - 500ml - 40</v>
      </c>
    </row>
    <row r="5509">
      <c r="A5509" s="86">
        <f>IFERROR(__xludf.DUMMYFUNCTION("""COMPUTED_VALUE"""),5507.0)</f>
        <v>5507</v>
      </c>
      <c r="B5509" s="87" t="str">
        <f>IFERROR(__xludf.DUMMYFUNCTION("""COMPUTED_VALUE"""),"[Nhãn]")</f>
        <v>[Nhãn]</v>
      </c>
      <c r="C5509" s="87" t="str">
        <f>IFERROR(__xludf.DUMMYFUNCTION("""COMPUTED_VALUE"""),"NHG4644")</f>
        <v>NHG4644</v>
      </c>
      <c r="D5509" s="87" t="str">
        <f>IFERROR(__xludf.DUMMYFUNCTION("""COMPUTED_VALUE"""),"[Nhãn] IDA Global - I - 4644 - Picosuper 280SC (nước trắng sữa) - 250ml - 40")</f>
        <v>[Nhãn] IDA Global - I - 4644 - Picosuper 280SC (nước trắng sữa) - 250ml - 40</v>
      </c>
      <c r="E5509" s="87" t="str">
        <f>IFERROR(__xludf.DUMMYFUNCTION("""COMPUTED_VALUE"""),"PICOSUPER 280SC")</f>
        <v>PICOSUPER 280SC</v>
      </c>
      <c r="F5509" s="87" t="str">
        <f>IFERROR(__xludf.DUMMYFUNCTION("""COMPUTED_VALUE"""),"HH4644")</f>
        <v>HH4644</v>
      </c>
      <c r="G5509" s="87" t="str">
        <f>IFERROR(__xludf.DUMMYFUNCTION("""COMPUTED_VALUE"""),"IDA Global - I - 4644 - Picosuper 280SC (nước trắng sữa) - 250ml - 40")</f>
        <v>IDA Global - I - 4644 - Picosuper 280SC (nước trắng sữa) - 250ml - 40</v>
      </c>
    </row>
    <row r="5510">
      <c r="A5510" s="86">
        <f>IFERROR(__xludf.DUMMYFUNCTION("""COMPUTED_VALUE"""),5508.0)</f>
        <v>5508</v>
      </c>
      <c r="B5510" s="87" t="str">
        <f>IFERROR(__xludf.DUMMYFUNCTION("""COMPUTED_VALUE"""),"[Nhãn]")</f>
        <v>[Nhãn]</v>
      </c>
      <c r="C5510" s="87" t="str">
        <f>IFERROR(__xludf.DUMMYFUNCTION("""COMPUTED_VALUE"""),"NHD4648")</f>
        <v>NHD4648</v>
      </c>
      <c r="D5510" s="87" t="str">
        <f>IFERROR(__xludf.DUMMYFUNCTION("""COMPUTED_VALUE"""),"[Nhãn] GC - V - 4648 - THÀNH CÔNG AGRI - ULTRA FRUIT (Gel nâu đen) - 20L - 1")</f>
        <v>[Nhãn] GC - V - 4648 - THÀNH CÔNG AGRI - ULTRA FRUIT (Gel nâu đen) - 20L - 1</v>
      </c>
      <c r="E5510" s="87" t="str">
        <f>IFERROR(__xludf.DUMMYFUNCTION("""COMPUTED_VALUE"""),"Vi lượng Quantity New")</f>
        <v>Vi lượng Quantity New</v>
      </c>
      <c r="F5510" s="87" t="str">
        <f>IFERROR(__xludf.DUMMYFUNCTION("""COMPUTED_VALUE"""),"HH4648")</f>
        <v>HH4648</v>
      </c>
      <c r="G5510" s="87" t="str">
        <f>IFERROR(__xludf.DUMMYFUNCTION("""COMPUTED_VALUE"""),"GC - V - 4648 - THÀNH CÔNG AGRI - ULTRA FRUIT (Gel nâu đen) - 20L - 1")</f>
        <v>GC - V - 4648 - THÀNH CÔNG AGRI - ULTRA FRUIT (Gel nâu đen) - 20L - 1</v>
      </c>
    </row>
    <row r="5511">
      <c r="A5511" s="86">
        <f>IFERROR(__xludf.DUMMYFUNCTION("""COMPUTED_VALUE"""),5509.0)</f>
        <v>5509</v>
      </c>
      <c r="B5511" s="87" t="str">
        <f>IFERROR(__xludf.DUMMYFUNCTION("""COMPUTED_VALUE"""),"[Nhãn]")</f>
        <v>[Nhãn]</v>
      </c>
      <c r="C5511" s="87" t="str">
        <f>IFERROR(__xludf.DUMMYFUNCTION("""COMPUTED_VALUE"""),"NTN4574")</f>
        <v>NTN4574</v>
      </c>
      <c r="D5511" s="87" t="str">
        <f>IFERROR(__xludf.DUMMYFUNCTION("""COMPUTED_VALUE"""),"[Nhãn] GC - V - 4574 - CTY QUANG ĐĂNG AGRICULTURE - RAYCAM (Bột trắng) - 120gr - 100")</f>
        <v>[Nhãn] GC - V - 4574 - CTY QUANG ĐĂNG AGRICULTURE - RAYCAM (Bột trắng) - 120gr - 100</v>
      </c>
      <c r="E5511" s="87" t="str">
        <f>IFERROR(__xludf.DUMMYFUNCTION("""COMPUTED_VALUE"""),"NOSAU 85WP")</f>
        <v>NOSAU 85WP</v>
      </c>
      <c r="F5511" s="87" t="str">
        <f>IFERROR(__xludf.DUMMYFUNCTION("""COMPUTED_VALUE"""),"HH4574")</f>
        <v>HH4574</v>
      </c>
      <c r="G5511" s="87" t="str">
        <f>IFERROR(__xludf.DUMMYFUNCTION("""COMPUTED_VALUE"""),"GC - V - 4574 - CTY QUANG ĐĂNG AGRICULTURE - RAYCAM (Bột trắng) - 120gr - 100")</f>
        <v>GC - V - 4574 - CTY QUANG ĐĂNG AGRICULTURE - RAYCAM (Bột trắng) - 120gr - 100</v>
      </c>
    </row>
    <row r="5512">
      <c r="A5512" s="86">
        <f>IFERROR(__xludf.DUMMYFUNCTION("""COMPUTED_VALUE"""),5510.0)</f>
        <v>5510</v>
      </c>
      <c r="B5512" s="87" t="str">
        <f>IFERROR(__xludf.DUMMYFUNCTION("""COMPUTED_VALUE"""),"[Nhãn]")</f>
        <v>[Nhãn]</v>
      </c>
      <c r="C5512" s="87" t="str">
        <f>IFERROR(__xludf.DUMMYFUNCTION("""COMPUTED_VALUE"""),"NHG4629")</f>
        <v>NHG4629</v>
      </c>
      <c r="D5512" s="87" t="str">
        <f>IFERROR(__xludf.DUMMYFUNCTION("""COMPUTED_VALUE"""),"[Nhãn] DR.XANH - VIII - 4629 - DR.RICE (Nước hồng sữa) - 500ml - 40")</f>
        <v>[Nhãn] DR.XANH - VIII - 4629 - DR.RICE (Nước hồng sữa) - 500ml - 40</v>
      </c>
      <c r="E5512" s="87" t="str">
        <f>IFERROR(__xludf.DUMMYFUNCTION("""COMPUTED_VALUE"""),"NPK-Vi lượng MASSIVE-BLUE")</f>
        <v>NPK-Vi lượng MASSIVE-BLUE</v>
      </c>
      <c r="F5512" s="87" t="str">
        <f>IFERROR(__xludf.DUMMYFUNCTION("""COMPUTED_VALUE"""),"HH4629")</f>
        <v>HH4629</v>
      </c>
      <c r="G5512" s="87" t="str">
        <f>IFERROR(__xludf.DUMMYFUNCTION("""COMPUTED_VALUE"""),"DR.XANH - VIII - 4629 - DR.RICE (Nước hồng sữa) - 500ml - 40")</f>
        <v>DR.XANH - VIII - 4629 - DR.RICE (Nước hồng sữa) - 500ml - 40</v>
      </c>
    </row>
    <row r="5513">
      <c r="A5513" s="86">
        <f>IFERROR(__xludf.DUMMYFUNCTION("""COMPUTED_VALUE"""),5511.0)</f>
        <v>5511</v>
      </c>
      <c r="B5513" s="87" t="str">
        <f>IFERROR(__xludf.DUMMYFUNCTION("""COMPUTED_VALUE"""),"[Nhãn]")</f>
        <v>[Nhãn]</v>
      </c>
      <c r="C5513" s="87" t="str">
        <f>IFERROR(__xludf.DUMMYFUNCTION("""COMPUTED_VALUE"""),"NHG4630")</f>
        <v>NHG4630</v>
      </c>
      <c r="D5513" s="87" t="str">
        <f>IFERROR(__xludf.DUMMYFUNCTION("""COMPUTED_VALUE"""),"[Nhãn] GC - V - 4630 - Sen Hồng - Haihamec 3.6EC (Nước nâu đen) - 450ml - 40")</f>
        <v>[Nhãn] GC - V - 4630 - Sen Hồng - Haihamec 3.6EC (Nước nâu đen) - 450ml - 40</v>
      </c>
      <c r="E5513" s="87" t="str">
        <f>IFERROR(__xludf.DUMMYFUNCTION("""COMPUTED_VALUE"""),"HAIHAMEC 3.6EC")</f>
        <v>HAIHAMEC 3.6EC</v>
      </c>
      <c r="F5513" s="87" t="str">
        <f>IFERROR(__xludf.DUMMYFUNCTION("""COMPUTED_VALUE"""),"HH4630")</f>
        <v>HH4630</v>
      </c>
      <c r="G5513" s="87" t="str">
        <f>IFERROR(__xludf.DUMMYFUNCTION("""COMPUTED_VALUE"""),"GC - V - 4630 - Sen Hồng - Haihamec 3.6EC (Nước nâu đen) - 450ml - 40")</f>
        <v>GC - V - 4630 - Sen Hồng - Haihamec 3.6EC (Nước nâu đen) - 450ml - 40</v>
      </c>
    </row>
    <row r="5514">
      <c r="A5514" s="86">
        <f>IFERROR(__xludf.DUMMYFUNCTION("""COMPUTED_VALUE"""),5512.0)</f>
        <v>5512</v>
      </c>
      <c r="B5514" s="87" t="str">
        <f>IFERROR(__xludf.DUMMYFUNCTION("""COMPUTED_VALUE"""),"[Nhãn]")</f>
        <v>[Nhãn]</v>
      </c>
      <c r="C5514" s="87" t="str">
        <f>IFERROR(__xludf.DUMMYFUNCTION("""COMPUTED_VALUE"""),"NHG4653")</f>
        <v>NHG4653</v>
      </c>
      <c r="D5514" s="87" t="str">
        <f>IFERROR(__xludf.DUMMYFUNCTION("""COMPUTED_VALUE"""),"[Nhãn] GC - V - 4653 - CTY THIÊN DI - KÍCH RỄ MAI VÀNG (Nước nâu đen) - 100ml - 100")</f>
        <v>[Nhãn] GC - V - 4653 - CTY THIÊN DI - KÍCH RỄ MAI VÀNG (Nước nâu đen) - 100ml - 100</v>
      </c>
      <c r="E5514" s="87" t="str">
        <f>IFERROR(__xludf.DUMMYFUNCTION("""COMPUTED_VALUE"""),"Hữu cơ SH Agro Organic Fertilizer 20")</f>
        <v>Hữu cơ SH Agro Organic Fertilizer 20</v>
      </c>
      <c r="F5514" s="87" t="str">
        <f>IFERROR(__xludf.DUMMYFUNCTION("""COMPUTED_VALUE"""),"HH4653")</f>
        <v>HH4653</v>
      </c>
      <c r="G5514" s="87" t="str">
        <f>IFERROR(__xludf.DUMMYFUNCTION("""COMPUTED_VALUE"""),"GC - V - 4653 - CTY THIÊN DI - KÍCH RỄ MAI VÀNG (Nước nâu đen) - 100ml - 100")</f>
        <v>GC - V - 4653 - CTY THIÊN DI - KÍCH RỄ MAI VÀNG (Nước nâu đen) - 100ml - 100</v>
      </c>
    </row>
    <row r="5515">
      <c r="A5515" s="86">
        <f>IFERROR(__xludf.DUMMYFUNCTION("""COMPUTED_VALUE"""),5513.0)</f>
        <v>5513</v>
      </c>
      <c r="B5515" s="87" t="str">
        <f>IFERROR(__xludf.DUMMYFUNCTION("""COMPUTED_VALUE"""),"[Nhãn]")</f>
        <v>[Nhãn]</v>
      </c>
      <c r="C5515" s="87" t="str">
        <f>IFERROR(__xludf.DUMMYFUNCTION("""COMPUTED_VALUE"""),"NHD4638")</f>
        <v>NHD4638</v>
      </c>
      <c r="D5515" s="87" t="str">
        <f>IFERROR(__xludf.DUMMYFUNCTION("""COMPUTED_VALUE"""),"[Nhãn] GC - V - 4638 - VTNN Bảy Phận - SIÊU XÔNG HƠI DOCYTOC (Nước đỏ) - 450ml - 40")</f>
        <v>[Nhãn] GC - V - 4638 - VTNN Bảy Phận - SIÊU XÔNG HƠI DOCYTOC (Nước đỏ) - 450ml - 40</v>
      </c>
      <c r="E5515" s="87" t="str">
        <f>IFERROR(__xludf.DUMMYFUNCTION("""COMPUTED_VALUE"""),"PYXOATE 44EC")</f>
        <v>PYXOATE 44EC</v>
      </c>
      <c r="F5515" s="87" t="str">
        <f>IFERROR(__xludf.DUMMYFUNCTION("""COMPUTED_VALUE"""),"HH4638")</f>
        <v>HH4638</v>
      </c>
      <c r="G5515" s="87" t="str">
        <f>IFERROR(__xludf.DUMMYFUNCTION("""COMPUTED_VALUE"""),"GC - V - 4638 - VTNN Bảy Phận - SIÊU XÔNG HƠI DOCYTOC (Nước đỏ) - 450ml - 40")</f>
        <v>GC - V - 4638 - VTNN Bảy Phận - SIÊU XÔNG HƠI DOCYTOC (Nước đỏ) - 450ml - 40</v>
      </c>
    </row>
    <row r="5516">
      <c r="A5516" s="86">
        <f>IFERROR(__xludf.DUMMYFUNCTION("""COMPUTED_VALUE"""),5514.0)</f>
        <v>5514</v>
      </c>
      <c r="B5516" s="87" t="str">
        <f>IFERROR(__xludf.DUMMYFUNCTION("""COMPUTED_VALUE"""),"[Nhãn]")</f>
        <v>[Nhãn]</v>
      </c>
      <c r="C5516" s="87" t="str">
        <f>IFERROR(__xludf.DUMMYFUNCTION("""COMPUTED_VALUE"""),"NHG4643")</f>
        <v>NHG4643</v>
      </c>
      <c r="D5516" s="87" t="str">
        <f>IFERROR(__xludf.DUMMYFUNCTION("""COMPUTED_VALUE"""),"[Nhãn] GC - V - 4643 - CTY ITALY - HYLIMAX  (Nước nâu đen) - 450ml - 40")</f>
        <v>[Nhãn] GC - V - 4643 - CTY ITALY - HYLIMAX  (Nước nâu đen) - 450ml - 40</v>
      </c>
      <c r="E5516" s="87" t="str">
        <f>IFERROR(__xludf.DUMMYFUNCTION("""COMPUTED_VALUE"""),"Vi Lượng G.A 05")</f>
        <v>Vi Lượng G.A 05</v>
      </c>
      <c r="F5516" s="87" t="str">
        <f>IFERROR(__xludf.DUMMYFUNCTION("""COMPUTED_VALUE"""),"HH4643")</f>
        <v>HH4643</v>
      </c>
      <c r="G5516" s="87" t="str">
        <f>IFERROR(__xludf.DUMMYFUNCTION("""COMPUTED_VALUE"""),"GC - V - 4643 - CTY ITALY - HYLIMAX  (Nước nâu đen) - 450ml - 40")</f>
        <v>GC - V - 4643 - CTY ITALY - HYLIMAX  (Nước nâu đen) - 450ml - 40</v>
      </c>
    </row>
    <row r="5517">
      <c r="A5517" s="86">
        <f>IFERROR(__xludf.DUMMYFUNCTION("""COMPUTED_VALUE"""),5515.0)</f>
        <v>5515</v>
      </c>
      <c r="B5517" s="87" t="str">
        <f>IFERROR(__xludf.DUMMYFUNCTION("""COMPUTED_VALUE"""),"[Nhãn]")</f>
        <v>[Nhãn]</v>
      </c>
      <c r="C5517" s="87" t="str">
        <f>IFERROR(__xludf.DUMMYFUNCTION("""COMPUTED_VALUE"""),"NHG4640")</f>
        <v>NHG4640</v>
      </c>
      <c r="D5517" s="87" t="str">
        <f>IFERROR(__xludf.DUMMYFUNCTION("""COMPUTED_VALUE"""),"[Nhãn] GC - V - 4640 - CTY TÂY NAM - SPIDER REX (Nước xanh lá) - 240ml - 40")</f>
        <v>[Nhãn] GC - V - 4640 - CTY TÂY NAM - SPIDER REX (Nước xanh lá) - 240ml - 40</v>
      </c>
      <c r="E5517" s="87" t="str">
        <f>IFERROR(__xludf.DUMMYFUNCTION("""COMPUTED_VALUE"""),"Chitin 3.6EC")</f>
        <v>Chitin 3.6EC</v>
      </c>
      <c r="F5517" s="87" t="str">
        <f>IFERROR(__xludf.DUMMYFUNCTION("""COMPUTED_VALUE"""),"HH4640")</f>
        <v>HH4640</v>
      </c>
      <c r="G5517" s="87" t="str">
        <f>IFERROR(__xludf.DUMMYFUNCTION("""COMPUTED_VALUE"""),"GC - V - 4640 - CTY TÂY NAM - SPIDER REX (Nước xanh lá) - 240ml - 40")</f>
        <v>GC - V - 4640 - CTY TÂY NAM - SPIDER REX (Nước xanh lá) - 240ml - 40</v>
      </c>
    </row>
    <row r="5518">
      <c r="A5518" s="86">
        <f>IFERROR(__xludf.DUMMYFUNCTION("""COMPUTED_VALUE"""),5516.0)</f>
        <v>5516</v>
      </c>
      <c r="B5518" s="87" t="str">
        <f>IFERROR(__xludf.DUMMYFUNCTION("""COMPUTED_VALUE"""),"[Nhãn]")</f>
        <v>[Nhãn]</v>
      </c>
      <c r="C5518" s="87" t="str">
        <f>IFERROR(__xludf.DUMMYFUNCTION("""COMPUTED_VALUE"""),"NHG4654")</f>
        <v>NHG4654</v>
      </c>
      <c r="D5518" s="87" t="str">
        <f>IFERROR(__xludf.DUMMYFUNCTION("""COMPUTED_VALUE"""),"[Nhãn] GC - V - 4654 - CTY THIÊN DI - THIDI GREEN (Nước trắng sữa) - 500ml - 40")</f>
        <v>[Nhãn] GC - V - 4654 - CTY THIÊN DI - THIDI GREEN (Nước trắng sữa) - 500ml - 40</v>
      </c>
      <c r="E5518" s="87" t="str">
        <f>IFERROR(__xludf.DUMMYFUNCTION("""COMPUTED_VALUE"""),"Vi lượng MICKEY")</f>
        <v>Vi lượng MICKEY</v>
      </c>
      <c r="F5518" s="87" t="str">
        <f>IFERROR(__xludf.DUMMYFUNCTION("""COMPUTED_VALUE"""),"HH4654")</f>
        <v>HH4654</v>
      </c>
      <c r="G5518" s="87" t="str">
        <f>IFERROR(__xludf.DUMMYFUNCTION("""COMPUTED_VALUE"""),"GC - V - 4654 - CTY THIÊN DI - THIDI GREEN (Nước trắng sữa) - 500ml - 40")</f>
        <v>GC - V - 4654 - CTY THIÊN DI - THIDI GREEN (Nước trắng sữa) - 500ml - 40</v>
      </c>
    </row>
    <row r="5519">
      <c r="A5519" s="86">
        <f>IFERROR(__xludf.DUMMYFUNCTION("""COMPUTED_VALUE"""),5517.0)</f>
        <v>5517</v>
      </c>
      <c r="B5519" s="87" t="str">
        <f>IFERROR(__xludf.DUMMYFUNCTION("""COMPUTED_VALUE"""),"[Nhãn]")</f>
        <v>[Nhãn]</v>
      </c>
      <c r="C5519" s="87" t="str">
        <f>IFERROR(__xludf.DUMMYFUNCTION("""COMPUTED_VALUE"""),"NTN4627")</f>
        <v>NTN4627</v>
      </c>
      <c r="D5519" s="87" t="str">
        <f>IFERROR(__xludf.DUMMYFUNCTION("""COMPUTED_VALUE"""),"[Nhãn] GC - V - 4627 - NHP GROUP - DIỆT CHÍCH HÚT (Bột màu trắng) - 100gr - 100")</f>
        <v>[Nhãn] GC - V - 4627 - NHP GROUP - DIỆT CHÍCH HÚT (Bột màu trắng) - 100gr - 100</v>
      </c>
      <c r="E5519" s="87" t="str">
        <f>IFERROR(__xludf.DUMMYFUNCTION("""COMPUTED_VALUE"""),"NOMIDA 10WP")</f>
        <v>NOMIDA 10WP</v>
      </c>
      <c r="F5519" s="87" t="str">
        <f>IFERROR(__xludf.DUMMYFUNCTION("""COMPUTED_VALUE"""),"HH4627")</f>
        <v>HH4627</v>
      </c>
      <c r="G5519" s="87" t="str">
        <f>IFERROR(__xludf.DUMMYFUNCTION("""COMPUTED_VALUE"""),"GC - V - 4627 - NHP GROUP - DIỆT CHÍCH HÚT (Bột màu trắng) - 100gr - 100")</f>
        <v>GC - V - 4627 - NHP GROUP - DIỆT CHÍCH HÚT (Bột màu trắng) - 100gr - 100</v>
      </c>
    </row>
    <row r="5520">
      <c r="A5520" s="86">
        <f>IFERROR(__xludf.DUMMYFUNCTION("""COMPUTED_VALUE"""),5518.0)</f>
        <v>5518</v>
      </c>
      <c r="B5520" s="87" t="str">
        <f>IFERROR(__xludf.DUMMYFUNCTION("""COMPUTED_VALUE"""),"[Nhãn]")</f>
        <v>[Nhãn]</v>
      </c>
      <c r="C5520" s="87" t="str">
        <f>IFERROR(__xludf.DUMMYFUNCTION("""COMPUTED_VALUE"""),"NTN4591")</f>
        <v>NTN4591</v>
      </c>
      <c r="D5520" s="87" t="str">
        <f>IFERROR(__xludf.DUMMYFUNCTION("""COMPUTED_VALUE"""),"[Nhãn] GC - V - 4591 - CTY QUANG ĐĂNG AGRICULTURE (ĐL ÚT TIỆP) - RAYNHAT (Bột trắng) - 100gr - 100")</f>
        <v>[Nhãn] GC - V - 4591 - CTY QUANG ĐĂNG AGRICULTURE (ĐL ÚT TIỆP) - RAYNHAT (Bột trắng) - 100gr - 100</v>
      </c>
      <c r="E5520" s="87" t="str">
        <f>IFERROR(__xludf.DUMMYFUNCTION("""COMPUTED_VALUE"""),"NOSAU 85WP")</f>
        <v>NOSAU 85WP</v>
      </c>
      <c r="F5520" s="87" t="str">
        <f>IFERROR(__xludf.DUMMYFUNCTION("""COMPUTED_VALUE"""),"HH4591")</f>
        <v>HH4591</v>
      </c>
      <c r="G5520" s="87" t="str">
        <f>IFERROR(__xludf.DUMMYFUNCTION("""COMPUTED_VALUE"""),"GC - V - 4591 - CTY QUANG ĐĂNG AGRICULTURE (ĐL ÚT TIỆP) - RAYNHAT (Bột trắng) - 100gr - 100")</f>
        <v>GC - V - 4591 - CTY QUANG ĐĂNG AGRICULTURE (ĐL ÚT TIỆP) - RAYNHAT (Bột trắng) - 100gr - 100</v>
      </c>
    </row>
    <row r="5521">
      <c r="A5521" s="86">
        <f>IFERROR(__xludf.DUMMYFUNCTION("""COMPUTED_VALUE"""),5519.0)</f>
        <v>5519</v>
      </c>
      <c r="B5521" s="87" t="str">
        <f>IFERROR(__xludf.DUMMYFUNCTION("""COMPUTED_VALUE"""),"[Nhãn]")</f>
        <v>[Nhãn]</v>
      </c>
      <c r="C5521" s="87" t="str">
        <f>IFERROR(__xludf.DUMMYFUNCTION("""COMPUTED_VALUE"""),"NHG4655")</f>
        <v>NHG4655</v>
      </c>
      <c r="D5521" s="87" t="str">
        <f>IFERROR(__xludf.DUMMYFUNCTION("""COMPUTED_VALUE"""),"[Nhãn] BAMBOO - VI - 4655 - BAMBOO FENO (Nước tím) - 450ml - 40")</f>
        <v>[Nhãn] BAMBOO - VI - 4655 - BAMBOO FENO (Nước tím) - 450ml - 40</v>
      </c>
      <c r="E5521" s="87" t="str">
        <f>IFERROR(__xludf.DUMMYFUNCTION("""COMPUTED_VALUE"""),"ABASBA 50EC")</f>
        <v>ABASBA 50EC</v>
      </c>
      <c r="F5521" s="87" t="str">
        <f>IFERROR(__xludf.DUMMYFUNCTION("""COMPUTED_VALUE"""),"HH4655")</f>
        <v>HH4655</v>
      </c>
      <c r="G5521" s="87" t="str">
        <f>IFERROR(__xludf.DUMMYFUNCTION("""COMPUTED_VALUE"""),"BAMBOO - VI - 4655 - BAMBOO FENO (Nước tím) - 450ml - 40")</f>
        <v>BAMBOO - VI - 4655 - BAMBOO FENO (Nước tím) - 450ml - 40</v>
      </c>
    </row>
    <row r="5522">
      <c r="A5522" s="86">
        <f>IFERROR(__xludf.DUMMYFUNCTION("""COMPUTED_VALUE"""),5520.0)</f>
        <v>5520</v>
      </c>
      <c r="B5522" s="87" t="str">
        <f>IFERROR(__xludf.DUMMYFUNCTION("""COMPUTED_VALUE"""),"[Nhãn]")</f>
        <v>[Nhãn]</v>
      </c>
      <c r="C5522" s="87" t="str">
        <f>IFERROR(__xludf.DUMMYFUNCTION("""COMPUTED_VALUE"""),"NHD4666")</f>
        <v>NHD4666</v>
      </c>
      <c r="D5522" s="87" t="str">
        <f>IFERROR(__xludf.DUMMYFUNCTION("""COMPUTED_VALUE"""),"[Nhãn] GC - IV - 4666 - Cty Master Win - ENERGROW (Gel nâu đen) - 1L - 20")</f>
        <v>[Nhãn] GC - IV - 4666 - Cty Master Win - ENERGROW (Gel nâu đen) - 1L - 20</v>
      </c>
      <c r="E5522" s="87" t="str">
        <f>IFERROR(__xludf.DUMMYFUNCTION("""COMPUTED_VALUE"""),"Hữu Cơ Crops Care")</f>
        <v>Hữu Cơ Crops Care</v>
      </c>
      <c r="F5522" s="87" t="str">
        <f>IFERROR(__xludf.DUMMYFUNCTION("""COMPUTED_VALUE"""),"HH4666")</f>
        <v>HH4666</v>
      </c>
      <c r="G5522" s="87" t="str">
        <f>IFERROR(__xludf.DUMMYFUNCTION("""COMPUTED_VALUE"""),"GC - IV - 4666 - Cty Master Win - ENERGROW (Gel nâu đen) - 1L - 20")</f>
        <v>GC - IV - 4666 - Cty Master Win - ENERGROW (Gel nâu đen) - 1L - 20</v>
      </c>
    </row>
    <row r="5523">
      <c r="A5523" s="86">
        <f>IFERROR(__xludf.DUMMYFUNCTION("""COMPUTED_VALUE"""),5521.0)</f>
        <v>5521</v>
      </c>
      <c r="B5523" s="87" t="str">
        <f>IFERROR(__xludf.DUMMYFUNCTION("""COMPUTED_VALUE"""),"[Nhãn]")</f>
        <v>[Nhãn]</v>
      </c>
      <c r="C5523" s="87" t="str">
        <f>IFERROR(__xludf.DUMMYFUNCTION("""COMPUTED_VALUE"""),"NHG4667")</f>
        <v>NHG4667</v>
      </c>
      <c r="D5523" s="87" t="str">
        <f>IFERROR(__xludf.DUMMYFUNCTION("""COMPUTED_VALUE"""),"[Nhãn] GC - V - 4667 - Cty Master Win - Amino Stalk (nước nâu đen) - 500ml - 40")</f>
        <v>[Nhãn] GC - V - 4667 - Cty Master Win - Amino Stalk (nước nâu đen) - 500ml - 40</v>
      </c>
      <c r="E5523" s="87" t="str">
        <f>IFERROR(__xludf.DUMMYFUNCTION("""COMPUTED_VALUE"""),"Vi lượng Quantity New")</f>
        <v>Vi lượng Quantity New</v>
      </c>
      <c r="F5523" s="87" t="str">
        <f>IFERROR(__xludf.DUMMYFUNCTION("""COMPUTED_VALUE"""),"HH4667")</f>
        <v>HH4667</v>
      </c>
      <c r="G5523" s="87" t="str">
        <f>IFERROR(__xludf.DUMMYFUNCTION("""COMPUTED_VALUE"""),"GC - V - 4667 - Cty Master Win - Amino Stalk (nước nâu đen) - 500ml - 40")</f>
        <v>GC - V - 4667 - Cty Master Win - Amino Stalk (nước nâu đen) - 500ml - 40</v>
      </c>
    </row>
    <row r="5524">
      <c r="A5524" s="86">
        <f>IFERROR(__xludf.DUMMYFUNCTION("""COMPUTED_VALUE"""),5522.0)</f>
        <v>5522</v>
      </c>
      <c r="B5524" s="87" t="str">
        <f>IFERROR(__xludf.DUMMYFUNCTION("""COMPUTED_VALUE"""),"[Nhãn]")</f>
        <v>[Nhãn]</v>
      </c>
      <c r="C5524" s="87" t="str">
        <f>IFERROR(__xludf.DUMMYFUNCTION("""COMPUTED_VALUE"""),"NHG4671")</f>
        <v>NHG4671</v>
      </c>
      <c r="D5524" s="87" t="str">
        <f>IFERROR(__xludf.DUMMYFUNCTION("""COMPUTED_VALUE"""),"[Nhãn] DR.XANH - VIII - 4671 - DR.RICE (Nước hồng sữa) - 500ml - 40")</f>
        <v>[Nhãn] DR.XANH - VIII - 4671 - DR.RICE (Nước hồng sữa) - 500ml - 40</v>
      </c>
      <c r="E5524" s="87" t="str">
        <f>IFERROR(__xludf.DUMMYFUNCTION("""COMPUTED_VALUE"""),"NPK-Vi lượng MASSIVE-BLUE")</f>
        <v>NPK-Vi lượng MASSIVE-BLUE</v>
      </c>
      <c r="F5524" s="87" t="str">
        <f>IFERROR(__xludf.DUMMYFUNCTION("""COMPUTED_VALUE"""),"HH4671")</f>
        <v>HH4671</v>
      </c>
      <c r="G5524" s="87" t="str">
        <f>IFERROR(__xludf.DUMMYFUNCTION("""COMPUTED_VALUE"""),"DR.XANH - VIII - 4671 - DR.RICE (Nước hồng sữa) - 500ml - 40")</f>
        <v>DR.XANH - VIII - 4671 - DR.RICE (Nước hồng sữa) - 500ml - 40</v>
      </c>
    </row>
    <row r="5525">
      <c r="A5525" s="86">
        <f>IFERROR(__xludf.DUMMYFUNCTION("""COMPUTED_VALUE"""),5523.0)</f>
        <v>5523</v>
      </c>
      <c r="B5525" s="87" t="str">
        <f>IFERROR(__xludf.DUMMYFUNCTION("""COMPUTED_VALUE"""),"[Nhãn]")</f>
        <v>[Nhãn]</v>
      </c>
      <c r="C5525" s="87" t="str">
        <f>IFERROR(__xludf.DUMMYFUNCTION("""COMPUTED_VALUE"""),"NHG4659")</f>
        <v>NHG4659</v>
      </c>
      <c r="D5525" s="87" t="str">
        <f>IFERROR(__xludf.DUMMYFUNCTION("""COMPUTED_VALUE"""),"[Nhãn] GC - V - 4659 - CTY HÓA NÔNG CON ONG VÀNG - CỨNG CÂY ONG VÀNG (Nước nâu đen) - 500ml - 40")</f>
        <v>[Nhãn] GC - V - 4659 - CTY HÓA NÔNG CON ONG VÀNG - CỨNG CÂY ONG VÀNG (Nước nâu đen) - 500ml - 40</v>
      </c>
      <c r="E5525" s="87" t="str">
        <f>IFERROR(__xludf.DUMMYFUNCTION("""COMPUTED_VALUE"""),"Vi Lượng G.A 05")</f>
        <v>Vi Lượng G.A 05</v>
      </c>
      <c r="F5525" s="87" t="str">
        <f>IFERROR(__xludf.DUMMYFUNCTION("""COMPUTED_VALUE"""),"HH4659")</f>
        <v>HH4659</v>
      </c>
      <c r="G5525" s="87" t="str">
        <f>IFERROR(__xludf.DUMMYFUNCTION("""COMPUTED_VALUE"""),"GC - V - 4659 - CTY HÓA NÔNG CON ONG VÀNG - CỨNG CÂY ONG VÀNG (Nước nâu đen) - 500ml - 40")</f>
        <v>GC - V - 4659 - CTY HÓA NÔNG CON ONG VÀNG - CỨNG CÂY ONG VÀNG (Nước nâu đen) - 500ml - 40</v>
      </c>
    </row>
    <row r="5526">
      <c r="A5526" s="86">
        <f>IFERROR(__xludf.DUMMYFUNCTION("""COMPUTED_VALUE"""),5524.0)</f>
        <v>5524</v>
      </c>
      <c r="B5526" s="87" t="str">
        <f>IFERROR(__xludf.DUMMYFUNCTION("""COMPUTED_VALUE"""),"[Nhãn]")</f>
        <v>[Nhãn]</v>
      </c>
      <c r="C5526" s="87" t="str">
        <f>IFERROR(__xludf.DUMMYFUNCTION("""COMPUTED_VALUE"""),"NTN4651")</f>
        <v>NTN4651</v>
      </c>
      <c r="D5526" s="87" t="str">
        <f>IFERROR(__xludf.DUMMYFUNCTION("""COMPUTED_VALUE"""),"[Nhãn]  IDA Global - I - 4651 - USASTANO 500WP (Bột vàng) - 50gr - 100")</f>
        <v>[Nhãn]  IDA Global - I - 4651 - USASTANO 500WP (Bột vàng) - 50gr - 100</v>
      </c>
      <c r="E5526" s="87" t="str">
        <f>IFERROR(__xludf.DUMMYFUNCTION("""COMPUTED_VALUE"""),"USASTANO 500WP")</f>
        <v>USASTANO 500WP</v>
      </c>
      <c r="F5526" s="87" t="str">
        <f>IFERROR(__xludf.DUMMYFUNCTION("""COMPUTED_VALUE"""),"HH4651")</f>
        <v>HH4651</v>
      </c>
      <c r="G5526" s="87" t="str">
        <f>IFERROR(__xludf.DUMMYFUNCTION("""COMPUTED_VALUE"""),"IDA Global - I - 4651 - USASTANO 500WP (Bột vàng) - 50gr - 100")</f>
        <v>IDA Global - I - 4651 - USASTANO 500WP (Bột vàng) - 50gr - 100</v>
      </c>
    </row>
    <row r="5527">
      <c r="A5527" s="86">
        <f>IFERROR(__xludf.DUMMYFUNCTION("""COMPUTED_VALUE"""),5525.0)</f>
        <v>5525</v>
      </c>
      <c r="B5527" s="87" t="str">
        <f>IFERROR(__xludf.DUMMYFUNCTION("""COMPUTED_VALUE"""),"[Nhãn]")</f>
        <v>[Nhãn]</v>
      </c>
      <c r="C5527" s="87" t="str">
        <f>IFERROR(__xludf.DUMMYFUNCTION("""COMPUTED_VALUE"""),"NTN4652")</f>
        <v>NTN4652</v>
      </c>
      <c r="D5527" s="87" t="str">
        <f>IFERROR(__xludf.DUMMYFUNCTION("""COMPUTED_VALUE"""),"[Nhãn] DA Global - I - 4652 - USASTANO 500WP (Bột vàng) - 12gr - 400")</f>
        <v>[Nhãn] DA Global - I - 4652 - USASTANO 500WP (Bột vàng) - 12gr - 400</v>
      </c>
      <c r="E5527" s="87" t="str">
        <f>IFERROR(__xludf.DUMMYFUNCTION("""COMPUTED_VALUE"""),"USASTANO 500WP")</f>
        <v>USASTANO 500WP</v>
      </c>
      <c r="F5527" s="87" t="str">
        <f>IFERROR(__xludf.DUMMYFUNCTION("""COMPUTED_VALUE"""),"HH4652")</f>
        <v>HH4652</v>
      </c>
      <c r="G5527" s="87" t="str">
        <f>IFERROR(__xludf.DUMMYFUNCTION("""COMPUTED_VALUE"""),"DA Global - I - 4652 - USASTANO 500WP (Bột vàng) - 12gr - 400")</f>
        <v>DA Global - I - 4652 - USASTANO 500WP (Bột vàng) - 12gr - 400</v>
      </c>
    </row>
    <row r="5528">
      <c r="A5528" s="86">
        <f>IFERROR(__xludf.DUMMYFUNCTION("""COMPUTED_VALUE"""),5526.0)</f>
        <v>5526</v>
      </c>
      <c r="B5528" s="87" t="str">
        <f>IFERROR(__xludf.DUMMYFUNCTION("""COMPUTED_VALUE"""),"[Nhãn]")</f>
        <v>[Nhãn]</v>
      </c>
      <c r="C5528" s="87" t="str">
        <f>IFERROR(__xludf.DUMMYFUNCTION("""COMPUTED_VALUE"""),"NHG4649")</f>
        <v>NHG4649</v>
      </c>
      <c r="D5528" s="87" t="str">
        <f>IFERROR(__xludf.DUMMYFUNCTION("""COMPUTED_VALUE"""),"[Nhãn] IDA Global - I - 4649 - CANXI BO LIQUID (Nước trắng sữa) - 500ml - 40")</f>
        <v>[Nhãn] IDA Global - I - 4649 - CANXI BO LIQUID (Nước trắng sữa) - 500ml - 40</v>
      </c>
      <c r="E5528" s="87" t="str">
        <f>IFERROR(__xludf.DUMMYFUNCTION("""COMPUTED_VALUE"""),"Vi lượng AGAMA-CANXI BO")</f>
        <v>Vi lượng AGAMA-CANXI BO</v>
      </c>
      <c r="F5528" s="87" t="str">
        <f>IFERROR(__xludf.DUMMYFUNCTION("""COMPUTED_VALUE"""),"HH4649")</f>
        <v>HH4649</v>
      </c>
      <c r="G5528" s="87" t="str">
        <f>IFERROR(__xludf.DUMMYFUNCTION("""COMPUTED_VALUE"""),"IDA Global - I - 4649 - CANXI BO LIQUID (Nước trắng sữa) - 500ml - 40")</f>
        <v>IDA Global - I - 4649 - CANXI BO LIQUID (Nước trắng sữa) - 500ml - 40</v>
      </c>
    </row>
    <row r="5529">
      <c r="A5529" s="86">
        <f>IFERROR(__xludf.DUMMYFUNCTION("""COMPUTED_VALUE"""),5527.0)</f>
        <v>5527</v>
      </c>
      <c r="B5529" s="87" t="str">
        <f>IFERROR(__xludf.DUMMYFUNCTION("""COMPUTED_VALUE"""),"[Nhãn]")</f>
        <v>[Nhãn]</v>
      </c>
      <c r="C5529" s="87" t="str">
        <f>IFERROR(__xludf.DUMMYFUNCTION("""COMPUTED_VALUE"""),"NHG4587")</f>
        <v>NHG4587</v>
      </c>
      <c r="D5529" s="87" t="str">
        <f>IFERROR(__xludf.DUMMYFUNCTION("""COMPUTED_VALUE"""),"[Nhãn] GC - V - 4587 - Cty ABIO Hoa Kỳ - JAPA VIL 110SC (Nước trắng sữa) - 1L - 20")</f>
        <v>[Nhãn] GC - V - 4587 - Cty ABIO Hoa Kỳ - JAPA VIL 110SC (Nước trắng sữa) - 1L - 20</v>
      </c>
      <c r="E5529" s="87" t="str">
        <f>IFERROR(__xludf.DUMMYFUNCTION("""COMPUTED_VALUE"""),"JAPA VIL 110SC")</f>
        <v>JAPA VIL 110SC</v>
      </c>
      <c r="F5529" s="87" t="str">
        <f>IFERROR(__xludf.DUMMYFUNCTION("""COMPUTED_VALUE"""),"HH4587")</f>
        <v>HH4587</v>
      </c>
      <c r="G5529" s="87" t="str">
        <f>IFERROR(__xludf.DUMMYFUNCTION("""COMPUTED_VALUE"""),"GC - V - 4587 - Cty ABIO Hoa Kỳ - JAPA VIL 110SC (Nước trắng sữa) - 1L - 20")</f>
        <v>GC - V - 4587 - Cty ABIO Hoa Kỳ - JAPA VIL 110SC (Nước trắng sữa) - 1L - 20</v>
      </c>
    </row>
    <row r="5530">
      <c r="A5530" s="86">
        <f>IFERROR(__xludf.DUMMYFUNCTION("""COMPUTED_VALUE"""),5528.0)</f>
        <v>5528</v>
      </c>
      <c r="B5530" s="87" t="str">
        <f>IFERROR(__xludf.DUMMYFUNCTION("""COMPUTED_VALUE"""),"[Nhãn]")</f>
        <v>[Nhãn]</v>
      </c>
      <c r="C5530" s="87" t="str">
        <f>IFERROR(__xludf.DUMMYFUNCTION("""COMPUTED_VALUE"""),"NTN4657")</f>
        <v>NTN4657</v>
      </c>
      <c r="D5530" s="87" t="str">
        <f>IFERROR(__xludf.DUMMYFUNCTION("""COMPUTED_VALUE"""),"[Nhãn] IDA Global - I - 4657 - SIÊU DIỆT VI KHUẨN (Bột vàng nhạt) - 25gr - 300")</f>
        <v>[Nhãn] IDA Global - I - 4657 - SIÊU DIỆT VI KHUẨN (Bột vàng nhạt) - 25gr - 300</v>
      </c>
      <c r="E5530" s="87" t="str">
        <f>IFERROR(__xludf.DUMMYFUNCTION("""COMPUTED_VALUE"""),"Oxycin 100WP")</f>
        <v>Oxycin 100WP</v>
      </c>
      <c r="F5530" s="87" t="str">
        <f>IFERROR(__xludf.DUMMYFUNCTION("""COMPUTED_VALUE"""),"HH4657")</f>
        <v>HH4657</v>
      </c>
      <c r="G5530" s="87" t="str">
        <f>IFERROR(__xludf.DUMMYFUNCTION("""COMPUTED_VALUE"""),"IDA Global - I - 4657 - SIÊU DIỆT VI KHUẨN (Bột vàng nhạt) - 25gr - 300")</f>
        <v>IDA Global - I - 4657 - SIÊU DIỆT VI KHUẨN (Bột vàng nhạt) - 25gr - 300</v>
      </c>
    </row>
    <row r="5531">
      <c r="A5531" s="86">
        <f>IFERROR(__xludf.DUMMYFUNCTION("""COMPUTED_VALUE"""),5529.0)</f>
        <v>5529</v>
      </c>
      <c r="B5531" s="87" t="str">
        <f>IFERROR(__xludf.DUMMYFUNCTION("""COMPUTED_VALUE"""),"[Nhãn]")</f>
        <v>[Nhãn]</v>
      </c>
      <c r="C5531" s="87" t="str">
        <f>IFERROR(__xludf.DUMMYFUNCTION("""COMPUTED_VALUE"""),"NTN4658")</f>
        <v>NTN4658</v>
      </c>
      <c r="D5531" s="87" t="str">
        <f>IFERROR(__xludf.DUMMYFUNCTION("""COMPUTED_VALUE"""),"[Nhãn]  IDA Global - I - 4658 - SIÊU DIỆT VI KHUẨN (Bột vàng nhạt) - 100gr - 100")</f>
        <v>[Nhãn]  IDA Global - I - 4658 - SIÊU DIỆT VI KHUẨN (Bột vàng nhạt) - 100gr - 100</v>
      </c>
      <c r="E5531" s="87" t="str">
        <f>IFERROR(__xludf.DUMMYFUNCTION("""COMPUTED_VALUE"""),"Oxycin 100WP")</f>
        <v>Oxycin 100WP</v>
      </c>
      <c r="F5531" s="87" t="str">
        <f>IFERROR(__xludf.DUMMYFUNCTION("""COMPUTED_VALUE"""),"HH4658")</f>
        <v>HH4658</v>
      </c>
      <c r="G5531" s="87" t="str">
        <f>IFERROR(__xludf.DUMMYFUNCTION("""COMPUTED_VALUE"""),"IDA Global - I - 4658 - SIÊU DIỆT VI KHUẨN (Bột vàng nhạt) - 100gr - 100")</f>
        <v>IDA Global - I - 4658 - SIÊU DIỆT VI KHUẨN (Bột vàng nhạt) - 100gr - 100</v>
      </c>
    </row>
    <row r="5532">
      <c r="A5532" s="86">
        <f>IFERROR(__xludf.DUMMYFUNCTION("""COMPUTED_VALUE"""),5530.0)</f>
        <v>5530</v>
      </c>
      <c r="B5532" s="87" t="str">
        <f>IFERROR(__xludf.DUMMYFUNCTION("""COMPUTED_VALUE"""),"[Nhãn Thùng]")</f>
        <v>[Nhãn Thùng]</v>
      </c>
      <c r="C5532" s="87" t="str">
        <f>IFERROR(__xludf.DUMMYFUNCTION("""COMPUTED_VALUE"""),"NDT4657")</f>
        <v>NDT4657</v>
      </c>
      <c r="D5532" s="87" t="str">
        <f>IFERROR(__xludf.DUMMYFUNCTION("""COMPUTED_VALUE"""),"[Nhãn Thùng] IDA Global - I - 4657 - SIÊU DIỆT VI KHUẨN (Bột vàng nhạt) - 25gr - 300")</f>
        <v>[Nhãn Thùng] IDA Global - I - 4657 - SIÊU DIỆT VI KHUẨN (Bột vàng nhạt) - 25gr - 300</v>
      </c>
      <c r="E5532" s="87" t="str">
        <f>IFERROR(__xludf.DUMMYFUNCTION("""COMPUTED_VALUE"""),"Oxycin 100WP")</f>
        <v>Oxycin 100WP</v>
      </c>
      <c r="F5532" s="87" t="str">
        <f>IFERROR(__xludf.DUMMYFUNCTION("""COMPUTED_VALUE"""),"HH4657")</f>
        <v>HH4657</v>
      </c>
      <c r="G5532" s="87" t="str">
        <f>IFERROR(__xludf.DUMMYFUNCTION("""COMPUTED_VALUE"""),"IDA Global - I - 4657 - SIÊU DIỆT VI KHUẨN (Bột vàng nhạt) - 25gr - 300")</f>
        <v>IDA Global - I - 4657 - SIÊU DIỆT VI KHUẨN (Bột vàng nhạt) - 25gr - 300</v>
      </c>
    </row>
    <row r="5533">
      <c r="A5533" s="86">
        <f>IFERROR(__xludf.DUMMYFUNCTION("""COMPUTED_VALUE"""),5531.0)</f>
        <v>5531</v>
      </c>
      <c r="B5533" s="87" t="str">
        <f>IFERROR(__xludf.DUMMYFUNCTION("""COMPUTED_VALUE"""),"[Nhãn Thùng]")</f>
        <v>[Nhãn Thùng]</v>
      </c>
      <c r="C5533" s="87" t="str">
        <f>IFERROR(__xludf.DUMMYFUNCTION("""COMPUTED_VALUE"""),"NDT4658")</f>
        <v>NDT4658</v>
      </c>
      <c r="D5533" s="87" t="str">
        <f>IFERROR(__xludf.DUMMYFUNCTION("""COMPUTED_VALUE"""),"[Nhãn Thùng]  IDA Global - I - 4658 - SIÊU DIỆT VI KHUẨN (Bột vàng nhạt) - 100gr - 100")</f>
        <v>[Nhãn Thùng]  IDA Global - I - 4658 - SIÊU DIỆT VI KHUẨN (Bột vàng nhạt) - 100gr - 100</v>
      </c>
      <c r="E5533" s="87" t="str">
        <f>IFERROR(__xludf.DUMMYFUNCTION("""COMPUTED_VALUE"""),"Oxycin 100WP")</f>
        <v>Oxycin 100WP</v>
      </c>
      <c r="F5533" s="87" t="str">
        <f>IFERROR(__xludf.DUMMYFUNCTION("""COMPUTED_VALUE"""),"HH4658")</f>
        <v>HH4658</v>
      </c>
      <c r="G5533" s="87" t="str">
        <f>IFERROR(__xludf.DUMMYFUNCTION("""COMPUTED_VALUE"""),"IDA Global - I - 4658 - SIÊU DIỆT VI KHUẨN (Bột vàng nhạt) - 100gr - 100")</f>
        <v>IDA Global - I - 4658 - SIÊU DIỆT VI KHUẨN (Bột vàng nhạt) - 100gr - 100</v>
      </c>
    </row>
    <row r="5534">
      <c r="A5534" s="86">
        <f>IFERROR(__xludf.DUMMYFUNCTION("""COMPUTED_VALUE"""),5532.0)</f>
        <v>5532</v>
      </c>
      <c r="B5534" s="87" t="str">
        <f>IFERROR(__xludf.DUMMYFUNCTION("""COMPUTED_VALUE"""),"[Nhãn Thùng]")</f>
        <v>[Nhãn Thùng]</v>
      </c>
      <c r="C5534" s="87" t="str">
        <f>IFERROR(__xludf.DUMMYFUNCTION("""COMPUTED_VALUE"""),"NDT4574")</f>
        <v>NDT4574</v>
      </c>
      <c r="D5534" s="87" t="str">
        <f>IFERROR(__xludf.DUMMYFUNCTION("""COMPUTED_VALUE"""),"[Nhãn Thùng] GC - V - 4574 - CTY QUANG ĐĂNG AGRICULTURE - RAYCAM (Bột trắng) - 120gr - 100")</f>
        <v>[Nhãn Thùng] GC - V - 4574 - CTY QUANG ĐĂNG AGRICULTURE - RAYCAM (Bột trắng) - 120gr - 100</v>
      </c>
      <c r="E5534" s="87" t="str">
        <f>IFERROR(__xludf.DUMMYFUNCTION("""COMPUTED_VALUE"""),"NOSAU 85WP")</f>
        <v>NOSAU 85WP</v>
      </c>
      <c r="F5534" s="87" t="str">
        <f>IFERROR(__xludf.DUMMYFUNCTION("""COMPUTED_VALUE"""),"HH4574")</f>
        <v>HH4574</v>
      </c>
      <c r="G5534" s="87" t="str">
        <f>IFERROR(__xludf.DUMMYFUNCTION("""COMPUTED_VALUE"""),"GC - V - 4574 - CTY QUANG ĐĂNG AGRICULTURE - RAYCAM (Bột trắng) - 120gr - 100")</f>
        <v>GC - V - 4574 - CTY QUANG ĐĂNG AGRICULTURE - RAYCAM (Bột trắng) - 120gr - 100</v>
      </c>
    </row>
    <row r="5535">
      <c r="A5535" s="86">
        <f>IFERROR(__xludf.DUMMYFUNCTION("""COMPUTED_VALUE"""),5533.0)</f>
        <v>5533</v>
      </c>
      <c r="B5535" s="87" t="str">
        <f>IFERROR(__xludf.DUMMYFUNCTION("""COMPUTED_VALUE"""),"[Nhãn Thùng]")</f>
        <v>[Nhãn Thùng]</v>
      </c>
      <c r="C5535" s="87" t="str">
        <f>IFERROR(__xludf.DUMMYFUNCTION("""COMPUTED_VALUE"""),"NDT4591")</f>
        <v>NDT4591</v>
      </c>
      <c r="D5535" s="87" t="str">
        <f>IFERROR(__xludf.DUMMYFUNCTION("""COMPUTED_VALUE"""),"[Nhãn Thùng] GC - V - 4591 - CTY QUANG ĐĂNG AGRICULTURE (ĐL ÚT TIỆP) - RAYNHAT (Bột trắng) - 100gr - 100")</f>
        <v>[Nhãn Thùng] GC - V - 4591 - CTY QUANG ĐĂNG AGRICULTURE (ĐL ÚT TIỆP) - RAYNHAT (Bột trắng) - 100gr - 100</v>
      </c>
      <c r="E5535" s="87" t="str">
        <f>IFERROR(__xludf.DUMMYFUNCTION("""COMPUTED_VALUE"""),"NOSAU 85WP")</f>
        <v>NOSAU 85WP</v>
      </c>
      <c r="F5535" s="87" t="str">
        <f>IFERROR(__xludf.DUMMYFUNCTION("""COMPUTED_VALUE"""),"HH4591")</f>
        <v>HH4591</v>
      </c>
      <c r="G5535" s="87" t="str">
        <f>IFERROR(__xludf.DUMMYFUNCTION("""COMPUTED_VALUE"""),"GC - V - 4591 - CTY QUANG ĐĂNG AGRICULTURE (ĐL ÚT TIỆP) - RAYNHAT (Bột trắng) - 100gr - 100")</f>
        <v>GC - V - 4591 - CTY QUANG ĐĂNG AGRICULTURE (ĐL ÚT TIỆP) - RAYNHAT (Bột trắng) - 100gr - 100</v>
      </c>
    </row>
    <row r="5536">
      <c r="A5536" s="86">
        <f>IFERROR(__xludf.DUMMYFUNCTION("""COMPUTED_VALUE"""),5534.0)</f>
        <v>5534</v>
      </c>
      <c r="B5536" s="87" t="str">
        <f>IFERROR(__xludf.DUMMYFUNCTION("""COMPUTED_VALUE"""),"[Nhãn Thùng]")</f>
        <v>[Nhãn Thùng]</v>
      </c>
      <c r="C5536" s="87" t="str">
        <f>IFERROR(__xludf.DUMMYFUNCTION("""COMPUTED_VALUE"""),"NDT4616")</f>
        <v>NDT4616</v>
      </c>
      <c r="D5536" s="87" t="str">
        <f>IFERROR(__xludf.DUMMYFUNCTION("""COMPUTED_VALUE"""),"[Nhãn Thùng] GC - V - 4616 - CTY SEN HỒNG - PIM.PIM 75WP (Bột cam) - 100gr - 100")</f>
        <v>[Nhãn Thùng] GC - V - 4616 - CTY SEN HỒNG - PIM.PIM 75WP (Bột cam) - 100gr - 100</v>
      </c>
      <c r="E5536" s="87" t="str">
        <f>IFERROR(__xludf.DUMMYFUNCTION("""COMPUTED_VALUE"""),"Pim.Pim 75WP")</f>
        <v>Pim.Pim 75WP</v>
      </c>
      <c r="F5536" s="87" t="str">
        <f>IFERROR(__xludf.DUMMYFUNCTION("""COMPUTED_VALUE"""),"HH4616")</f>
        <v>HH4616</v>
      </c>
      <c r="G5536" s="87" t="str">
        <f>IFERROR(__xludf.DUMMYFUNCTION("""COMPUTED_VALUE"""),"GC - V - 4616 - CTY SEN HỒNG - PIM.PIM 75WP (Bột cam) - 100gr - 100")</f>
        <v>GC - V - 4616 - CTY SEN HỒNG - PIM.PIM 75WP (Bột cam) - 100gr - 100</v>
      </c>
    </row>
    <row r="5537">
      <c r="A5537" s="86">
        <f>IFERROR(__xludf.DUMMYFUNCTION("""COMPUTED_VALUE"""),5535.0)</f>
        <v>5535</v>
      </c>
      <c r="B5537" s="87" t="str">
        <f>IFERROR(__xludf.DUMMYFUNCTION("""COMPUTED_VALUE"""),"[Nhãn Thùng]")</f>
        <v>[Nhãn Thùng]</v>
      </c>
      <c r="C5537" s="87" t="str">
        <f>IFERROR(__xludf.DUMMYFUNCTION("""COMPUTED_VALUE"""),"NDT4637")</f>
        <v>NDT4637</v>
      </c>
      <c r="D5537" s="87" t="str">
        <f>IFERROR(__xludf.DUMMYFUNCTION("""COMPUTED_VALUE"""),"[Nhãn Thùng] GC - II - 4637 - AGC - VUARAY (Bột trắng ngà) - 100gr - 100")</f>
        <v>[Nhãn Thùng] GC - II - 4637 - AGC - VUARAY (Bột trắng ngà) - 100gr - 100</v>
      </c>
      <c r="E5537" s="87" t="str">
        <f>IFERROR(__xludf.DUMMYFUNCTION("""COMPUTED_VALUE"""),"NOMIDA 10WP")</f>
        <v>NOMIDA 10WP</v>
      </c>
      <c r="F5537" s="87" t="str">
        <f>IFERROR(__xludf.DUMMYFUNCTION("""COMPUTED_VALUE"""),"HH4637")</f>
        <v>HH4637</v>
      </c>
      <c r="G5537" s="87" t="str">
        <f>IFERROR(__xludf.DUMMYFUNCTION("""COMPUTED_VALUE"""),"GC - II - 4637 - AGC - VUARAY (Bột trắng ngà) - 100gr - 100")</f>
        <v>GC - II - 4637 - AGC - VUARAY (Bột trắng ngà) - 100gr - 100</v>
      </c>
    </row>
    <row r="5538">
      <c r="A5538" s="86">
        <f>IFERROR(__xludf.DUMMYFUNCTION("""COMPUTED_VALUE"""),5536.0)</f>
        <v>5536</v>
      </c>
      <c r="B5538" s="87" t="str">
        <f>IFERROR(__xludf.DUMMYFUNCTION("""COMPUTED_VALUE"""),"[Nhãn Thùng]")</f>
        <v>[Nhãn Thùng]</v>
      </c>
      <c r="C5538" s="87" t="str">
        <f>IFERROR(__xludf.DUMMYFUNCTION("""COMPUTED_VALUE"""),"NDT4627")</f>
        <v>NDT4627</v>
      </c>
      <c r="D5538" s="87" t="str">
        <f>IFERROR(__xludf.DUMMYFUNCTION("""COMPUTED_VALUE"""),"[Nhãn Thùng] GC - V - 4627 - NHP GROUP - DIỆT CHÍCH HÚT (Bột màu trắng) - 100gr - 100")</f>
        <v>[Nhãn Thùng] GC - V - 4627 - NHP GROUP - DIỆT CHÍCH HÚT (Bột màu trắng) - 100gr - 100</v>
      </c>
      <c r="E5538" s="87" t="str">
        <f>IFERROR(__xludf.DUMMYFUNCTION("""COMPUTED_VALUE"""),"NOMIDA 10WP")</f>
        <v>NOMIDA 10WP</v>
      </c>
      <c r="F5538" s="87" t="str">
        <f>IFERROR(__xludf.DUMMYFUNCTION("""COMPUTED_VALUE"""),"HH4627")</f>
        <v>HH4627</v>
      </c>
      <c r="G5538" s="87" t="str">
        <f>IFERROR(__xludf.DUMMYFUNCTION("""COMPUTED_VALUE"""),"GC - V - 4627 - NHP GROUP - DIỆT CHÍCH HÚT (Bột màu trắng) - 100gr - 100")</f>
        <v>GC - V - 4627 - NHP GROUP - DIỆT CHÍCH HÚT (Bột màu trắng) - 100gr - 100</v>
      </c>
    </row>
    <row r="5539">
      <c r="A5539" s="86">
        <f>IFERROR(__xludf.DUMMYFUNCTION("""COMPUTED_VALUE"""),5537.0)</f>
        <v>5537</v>
      </c>
      <c r="B5539" s="87" t="str">
        <f>IFERROR(__xludf.DUMMYFUNCTION("""COMPUTED_VALUE"""),"[HỘP]")</f>
        <v>[HỘP]</v>
      </c>
      <c r="C5539" s="87" t="str">
        <f>IFERROR(__xludf.DUMMYFUNCTION("""COMPUTED_VALUE"""),"HOP4652")</f>
        <v>HOP4652</v>
      </c>
      <c r="D5539" s="87" t="str">
        <f>IFERROR(__xludf.DUMMYFUNCTION("""COMPUTED_VALUE"""),"[HỘP] DA Global - I - 4652 - USASTANO 500WP (Bột vàng) - 12gr - 50")</f>
        <v>[HỘP] DA Global - I - 4652 - USASTANO 500WP (Bột vàng) - 12gr - 50</v>
      </c>
      <c r="E5539" s="87" t="str">
        <f>IFERROR(__xludf.DUMMYFUNCTION("""COMPUTED_VALUE"""),"USASTANO 500WP")</f>
        <v>USASTANO 500WP</v>
      </c>
      <c r="F5539" s="87" t="str">
        <f>IFERROR(__xludf.DUMMYFUNCTION("""COMPUTED_VALUE"""),"HH4652")</f>
        <v>HH4652</v>
      </c>
      <c r="G5539" s="87" t="str">
        <f>IFERROR(__xludf.DUMMYFUNCTION("""COMPUTED_VALUE"""),"DA Global - I - 4652 - USASTANO 500WP (Bột vàng) - 12gr - 400")</f>
        <v>DA Global - I - 4652 - USASTANO 500WP (Bột vàng) - 12gr - 400</v>
      </c>
    </row>
    <row r="5540">
      <c r="A5540" s="86">
        <f>IFERROR(__xludf.DUMMYFUNCTION("""COMPUTED_VALUE"""),5538.0)</f>
        <v>5538</v>
      </c>
      <c r="B5540" s="87" t="str">
        <f>IFERROR(__xludf.DUMMYFUNCTION("""COMPUTED_VALUE"""),"[Nhãn Thùng]")</f>
        <v>[Nhãn Thùng]</v>
      </c>
      <c r="C5540" s="87" t="str">
        <f>IFERROR(__xludf.DUMMYFUNCTION("""COMPUTED_VALUE"""),"NDT4651")</f>
        <v>NDT4651</v>
      </c>
      <c r="D5540" s="87" t="str">
        <f>IFERROR(__xludf.DUMMYFUNCTION("""COMPUTED_VALUE"""),"[Nhãn Thùng]  IDA Global - I - 4651 - USASTANO 500WP (Bột vàng) - 50gr - 100")</f>
        <v>[Nhãn Thùng]  IDA Global - I - 4651 - USASTANO 500WP (Bột vàng) - 50gr - 100</v>
      </c>
      <c r="E5540" s="87" t="str">
        <f>IFERROR(__xludf.DUMMYFUNCTION("""COMPUTED_VALUE"""),"USASTANO 500WP")</f>
        <v>USASTANO 500WP</v>
      </c>
      <c r="F5540" s="87" t="str">
        <f>IFERROR(__xludf.DUMMYFUNCTION("""COMPUTED_VALUE"""),"HH4651")</f>
        <v>HH4651</v>
      </c>
      <c r="G5540" s="87" t="str">
        <f>IFERROR(__xludf.DUMMYFUNCTION("""COMPUTED_VALUE"""),"IDA Global - I - 4651 - USASTANO 500WP (Bột vàng) - 50gr - 100")</f>
        <v>IDA Global - I - 4651 - USASTANO 500WP (Bột vàng) - 50gr - 100</v>
      </c>
    </row>
    <row r="5541">
      <c r="A5541" s="86">
        <f>IFERROR(__xludf.DUMMYFUNCTION("""COMPUTED_VALUE"""),5539.0)</f>
        <v>5539</v>
      </c>
      <c r="B5541" s="87" t="str">
        <f>IFERROR(__xludf.DUMMYFUNCTION("""COMPUTED_VALUE"""),"[Nhãn Thùng]")</f>
        <v>[Nhãn Thùng]</v>
      </c>
      <c r="C5541" s="87" t="str">
        <f>IFERROR(__xludf.DUMMYFUNCTION("""COMPUTED_VALUE"""),"NDT4652")</f>
        <v>NDT4652</v>
      </c>
      <c r="D5541" s="87" t="str">
        <f>IFERROR(__xludf.DUMMYFUNCTION("""COMPUTED_VALUE"""),"[Nhãn Thùng] DA Global - I - 4652 - USASTANO 500WP (Bột vàng) - 12gr - 400")</f>
        <v>[Nhãn Thùng] DA Global - I - 4652 - USASTANO 500WP (Bột vàng) - 12gr - 400</v>
      </c>
      <c r="E5541" s="87" t="str">
        <f>IFERROR(__xludf.DUMMYFUNCTION("""COMPUTED_VALUE"""),"USASTANO 500WP")</f>
        <v>USASTANO 500WP</v>
      </c>
      <c r="F5541" s="87" t="str">
        <f>IFERROR(__xludf.DUMMYFUNCTION("""COMPUTED_VALUE"""),"HH4652")</f>
        <v>HH4652</v>
      </c>
      <c r="G5541" s="87" t="str">
        <f>IFERROR(__xludf.DUMMYFUNCTION("""COMPUTED_VALUE"""),"DA Global - I - 4652 - USASTANO 500WP (Bột vàng) - 12gr - 400")</f>
        <v>DA Global - I - 4652 - USASTANO 500WP (Bột vàng) - 12gr - 400</v>
      </c>
    </row>
    <row r="5542">
      <c r="A5542" s="86">
        <f>IFERROR(__xludf.DUMMYFUNCTION("""COMPUTED_VALUE"""),5540.0)</f>
        <v>5540</v>
      </c>
      <c r="B5542" s="87" t="str">
        <f>IFERROR(__xludf.DUMMYFUNCTION("""COMPUTED_VALUE"""),"[Nhãn Thùng]")</f>
        <v>[Nhãn Thùng]</v>
      </c>
      <c r="C5542" s="87" t="str">
        <f>IFERROR(__xludf.DUMMYFUNCTION("""COMPUTED_VALUE"""),"NDT4568")</f>
        <v>NDT4568</v>
      </c>
      <c r="D5542" s="87" t="str">
        <f>IFERROR(__xludf.DUMMYFUNCTION("""COMPUTED_VALUE"""),"[Nhãn Thùng] IDA Global - I - 4568 - Flower Top Chuyên Lúa Và Rau Màu (drone) (Nước trắng sữa) - 450ml - 40")</f>
        <v>[Nhãn Thùng] IDA Global - I - 4568 - Flower Top Chuyên Lúa Và Rau Màu (drone) (Nước trắng sữa) - 450ml - 40</v>
      </c>
      <c r="E5542" s="87" t="str">
        <f>IFERROR(__xludf.DUMMYFUNCTION("""COMPUTED_VALUE"""),"Vi lượng Basel IDA 47")</f>
        <v>Vi lượng Basel IDA 47</v>
      </c>
      <c r="F5542" s="87" t="str">
        <f>IFERROR(__xludf.DUMMYFUNCTION("""COMPUTED_VALUE"""),"HH4568")</f>
        <v>HH4568</v>
      </c>
      <c r="G5542" s="87" t="str">
        <f>IFERROR(__xludf.DUMMYFUNCTION("""COMPUTED_VALUE"""),"IDA Global - I - 4568 - Flower Top Chuyên Lúa Và Rau Màu (drone) (Nước trắng sữa) - 450ml - 40")</f>
        <v>IDA Global - I - 4568 - Flower Top Chuyên Lúa Và Rau Màu (drone) (Nước trắng sữa) - 450ml - 40</v>
      </c>
    </row>
    <row r="5543">
      <c r="A5543" s="86">
        <f>IFERROR(__xludf.DUMMYFUNCTION("""COMPUTED_VALUE"""),5541.0)</f>
        <v>5541</v>
      </c>
      <c r="B5543" s="87" t="str">
        <f>IFERROR(__xludf.DUMMYFUNCTION("""COMPUTED_VALUE"""),"[Nhãn]")</f>
        <v>[Nhãn]</v>
      </c>
      <c r="C5543" s="87" t="str">
        <f>IFERROR(__xludf.DUMMYFUNCTION("""COMPUTED_VALUE"""),"NHG4663")</f>
        <v>NHG4663</v>
      </c>
      <c r="D5543" s="87" t="str">
        <f>IFERROR(__xludf.DUMMYFUNCTION("""COMPUTED_VALUE"""),"[Nhãn] GC - V - 4663 - CTY R3 - AMITIL R360 (Nước vàng trà) - 240ml - 40")</f>
        <v>[Nhãn] GC - V - 4663 - CTY R3 - AMITIL R360 (Nước vàng trà) - 240ml - 40</v>
      </c>
      <c r="E5543" s="87" t="str">
        <f>IFERROR(__xludf.DUMMYFUNCTION("""COMPUTED_VALUE"""),"AMICOL 360EC")</f>
        <v>AMICOL 360EC</v>
      </c>
      <c r="F5543" s="87" t="str">
        <f>IFERROR(__xludf.DUMMYFUNCTION("""COMPUTED_VALUE"""),"HH4663")</f>
        <v>HH4663</v>
      </c>
      <c r="G5543" s="87" t="str">
        <f>IFERROR(__xludf.DUMMYFUNCTION("""COMPUTED_VALUE"""),"GC - V - 4663 - CTY R3 - AMITIL R360 (Nước vàng trà) - 240ml - 40")</f>
        <v>GC - V - 4663 - CTY R3 - AMITIL R360 (Nước vàng trà) - 240ml - 40</v>
      </c>
    </row>
    <row r="5544">
      <c r="A5544" s="86">
        <f>IFERROR(__xludf.DUMMYFUNCTION("""COMPUTED_VALUE"""),5542.0)</f>
        <v>5542</v>
      </c>
      <c r="B5544" s="87" t="str">
        <f>IFERROR(__xludf.DUMMYFUNCTION("""COMPUTED_VALUE"""),"[Nhãn]")</f>
        <v>[Nhãn]</v>
      </c>
      <c r="C5544" s="87" t="str">
        <f>IFERROR(__xludf.DUMMYFUNCTION("""COMPUTED_VALUE"""),"NHG4664")</f>
        <v>NHG4664</v>
      </c>
      <c r="D5544" s="87" t="str">
        <f>IFERROR(__xludf.DUMMYFUNCTION("""COMPUTED_VALUE"""),"[Nhãn] GC - V - 4664 - CTY R3 - AMIXTOP R350 (Nước vàng chanh) - 240ml - 40")</f>
        <v>[Nhãn] GC - V - 4664 - CTY R3 - AMIXTOP R350 (Nước vàng chanh) - 240ml - 40</v>
      </c>
      <c r="E5544" s="87" t="str">
        <f>IFERROR(__xludf.DUMMYFUNCTION("""COMPUTED_VALUE"""),"MI STOP 350SC")</f>
        <v>MI STOP 350SC</v>
      </c>
      <c r="F5544" s="87" t="str">
        <f>IFERROR(__xludf.DUMMYFUNCTION("""COMPUTED_VALUE"""),"HH4664")</f>
        <v>HH4664</v>
      </c>
      <c r="G5544" s="87" t="str">
        <f>IFERROR(__xludf.DUMMYFUNCTION("""COMPUTED_VALUE"""),"GC - V - 4664 - CTY R3 - AMIXTOP R350 (Nước vàng chanh) - 240ml - 40")</f>
        <v>GC - V - 4664 - CTY R3 - AMIXTOP R350 (Nước vàng chanh) - 240ml - 40</v>
      </c>
    </row>
    <row r="5545">
      <c r="A5545" s="86">
        <f>IFERROR(__xludf.DUMMYFUNCTION("""COMPUTED_VALUE"""),5543.0)</f>
        <v>5543</v>
      </c>
      <c r="B5545" s="87" t="str">
        <f>IFERROR(__xludf.DUMMYFUNCTION("""COMPUTED_VALUE"""),"[Nhãn]")</f>
        <v>[Nhãn]</v>
      </c>
      <c r="C5545" s="87" t="str">
        <f>IFERROR(__xludf.DUMMYFUNCTION("""COMPUTED_VALUE"""),"NHG4618")</f>
        <v>NHG4618</v>
      </c>
      <c r="D5545" s="87" t="str">
        <f>IFERROR(__xludf.DUMMYFUNCTION("""COMPUTED_VALUE"""),"[Nhãn] GC - V - 4618 - GNH - Siêu tăng trưởng (nước nâu đen) - 1L - 20")</f>
        <v>[Nhãn] GC - V - 4618 - GNH - Siêu tăng trưởng (nước nâu đen) - 1L - 20</v>
      </c>
      <c r="E5545" s="87" t="str">
        <f>IFERROR(__xludf.DUMMYFUNCTION("""COMPUTED_VALUE"""),"Vi lượng Quantity New")</f>
        <v>Vi lượng Quantity New</v>
      </c>
      <c r="F5545" s="87" t="str">
        <f>IFERROR(__xludf.DUMMYFUNCTION("""COMPUTED_VALUE"""),"HH4618")</f>
        <v>HH4618</v>
      </c>
      <c r="G5545" s="87" t="str">
        <f>IFERROR(__xludf.DUMMYFUNCTION("""COMPUTED_VALUE"""),"GC - V - 4618 - GNH - Siêu tăng trưởng (nước nâu đen) - 1L - 20")</f>
        <v>GC - V - 4618 - GNH - Siêu tăng trưởng (nước nâu đen) - 1L - 20</v>
      </c>
    </row>
    <row r="5546">
      <c r="A5546" s="86">
        <f>IFERROR(__xludf.DUMMYFUNCTION("""COMPUTED_VALUE"""),5544.0)</f>
        <v>5544</v>
      </c>
      <c r="B5546" s="87" t="str">
        <f>IFERROR(__xludf.DUMMYFUNCTION("""COMPUTED_VALUE"""),"[Nhãn]")</f>
        <v>[Nhãn]</v>
      </c>
      <c r="C5546" s="87" t="str">
        <f>IFERROR(__xludf.DUMMYFUNCTION("""COMPUTED_VALUE"""),"NHG4672")</f>
        <v>NHG4672</v>
      </c>
      <c r="D5546" s="87" t="str">
        <f>IFERROR(__xludf.DUMMYFUNCTION("""COMPUTED_VALUE"""),"[Nhãn] LOT ABA - V - 4672 - THIÊN AN - NEW AMINO (Nước nâu đen) - 500ml - 30")</f>
        <v>[Nhãn] LOT ABA - V - 4672 - THIÊN AN - NEW AMINO (Nước nâu đen) - 500ml - 30</v>
      </c>
      <c r="E5546" s="87" t="str">
        <f>IFERROR(__xludf.DUMMYFUNCTION("""COMPUTED_VALUE"""),"Hữu cơ Organic BM Gold  FW")</f>
        <v>Hữu cơ Organic BM Gold  FW</v>
      </c>
      <c r="F5546" s="87" t="str">
        <f>IFERROR(__xludf.DUMMYFUNCTION("""COMPUTED_VALUE"""),"HH4672")</f>
        <v>HH4672</v>
      </c>
      <c r="G5546" s="87" t="str">
        <f>IFERROR(__xludf.DUMMYFUNCTION("""COMPUTED_VALUE"""),"LOT ABA - V - 4672 - THIÊN AN - NEW AMINO (Nước nâu đen) - 500ml - 30")</f>
        <v>LOT ABA - V - 4672 - THIÊN AN - NEW AMINO (Nước nâu đen) - 500ml - 30</v>
      </c>
    </row>
    <row r="5547">
      <c r="A5547" s="86">
        <f>IFERROR(__xludf.DUMMYFUNCTION("""COMPUTED_VALUE"""),5545.0)</f>
        <v>5545</v>
      </c>
      <c r="B5547" s="87" t="str">
        <f>IFERROR(__xludf.DUMMYFUNCTION("""COMPUTED_VALUE"""),"[Nhãn Thùng]")</f>
        <v>[Nhãn Thùng]</v>
      </c>
      <c r="C5547" s="87" t="str">
        <f>IFERROR(__xludf.DUMMYFUNCTION("""COMPUTED_VALUE"""),"NDT3720")</f>
        <v>NDT3720</v>
      </c>
      <c r="D5547" s="87" t="str">
        <f>IFERROR(__xludf.DUMMYFUNCTION("""COMPUTED_VALUE"""),"[Nhãn Thùng] LOT IDA Global - I - 3720 - ĐL NGUYỄN ĐỨC MINH - HAIHAMEC 3.6EC (nước nâu đen) - 450ml - 40")</f>
        <v>[Nhãn Thùng] LOT IDA Global - I - 3720 - ĐL NGUYỄN ĐỨC MINH - HAIHAMEC 3.6EC (nước nâu đen) - 450ml - 40</v>
      </c>
      <c r="E5547" s="87" t="str">
        <f>IFERROR(__xludf.DUMMYFUNCTION("""COMPUTED_VALUE"""),"HAIHAMEC 3.6EC")</f>
        <v>HAIHAMEC 3.6EC</v>
      </c>
      <c r="F5547" s="87" t="str">
        <f>IFERROR(__xludf.DUMMYFUNCTION("""COMPUTED_VALUE"""),"HH3720")</f>
        <v>HH3720</v>
      </c>
      <c r="G5547" s="87" t="str">
        <f>IFERROR(__xludf.DUMMYFUNCTION("""COMPUTED_VALUE"""),"LOT IDA Global - I - 3720 - ĐL NGUYỄN ĐỨC MINH - HAIHAMEC 3.6EC (nước nâu đen) - 450ml - 40")</f>
        <v>LOT IDA Global - I - 3720 - ĐL NGUYỄN ĐỨC MINH - HAIHAMEC 3.6EC (nước nâu đen) - 450ml - 40</v>
      </c>
    </row>
    <row r="5548">
      <c r="A5548" s="86">
        <f>IFERROR(__xludf.DUMMYFUNCTION("""COMPUTED_VALUE"""),5546.0)</f>
        <v>5546</v>
      </c>
      <c r="B5548" s="87" t="str">
        <f>IFERROR(__xludf.DUMMYFUNCTION("""COMPUTED_VALUE"""),"[Nhãn Thùng]")</f>
        <v>[Nhãn Thùng]</v>
      </c>
      <c r="C5548" s="87" t="str">
        <f>IFERROR(__xludf.DUMMYFUNCTION("""COMPUTED_VALUE"""),"NDT2928")</f>
        <v>NDT2928</v>
      </c>
      <c r="D5548" s="87" t="str">
        <f>IFERROR(__xludf.DUMMYFUNCTION("""COMPUTED_VALUE"""),"[Nhãn Thùng] IDA Global - I - 2928 - IDA ORGANIC FEED (Nước nâu đen) - 20L - 1")</f>
        <v>[Nhãn Thùng] IDA Global - I - 2928 - IDA ORGANIC FEED (Nước nâu đen) - 20L - 1</v>
      </c>
      <c r="E5548" s="87" t="str">
        <f>IFERROR(__xludf.DUMMYFUNCTION("""COMPUTED_VALUE"""),"Hữu cơ SH Agro Organic Fertilizer 20")</f>
        <v>Hữu cơ SH Agro Organic Fertilizer 20</v>
      </c>
      <c r="F5548" s="87" t="str">
        <f>IFERROR(__xludf.DUMMYFUNCTION("""COMPUTED_VALUE"""),"HH2928")</f>
        <v>HH2928</v>
      </c>
      <c r="G5548" s="87" t="str">
        <f>IFERROR(__xludf.DUMMYFUNCTION("""COMPUTED_VALUE"""),"IDA Global - I - 2928 - IDA ORGANIC FEED (Nước nâu đen) - 20L - 1")</f>
        <v>IDA Global - I - 2928 - IDA ORGANIC FEED (Nước nâu đen) - 20L - 1</v>
      </c>
    </row>
    <row r="5549">
      <c r="A5549" s="86">
        <f>IFERROR(__xludf.DUMMYFUNCTION("""COMPUTED_VALUE"""),5547.0)</f>
        <v>5547</v>
      </c>
      <c r="B5549" s="87" t="str">
        <f>IFERROR(__xludf.DUMMYFUNCTION("""COMPUTED_VALUE"""),"[Nhãn Thùng]")</f>
        <v>[Nhãn Thùng]</v>
      </c>
      <c r="C5549" s="87" t="str">
        <f>IFERROR(__xludf.DUMMYFUNCTION("""COMPUTED_VALUE"""),"NDT3784")</f>
        <v>NDT3784</v>
      </c>
      <c r="D5549" s="87" t="str">
        <f>IFERROR(__xludf.DUMMYFUNCTION("""COMPUTED_VALUE"""),"[Nhãn Thùng] GC - IV - 3784 - CTY DONA VINA - THIPRO 550EC (Nước tím) - 250ml - 40")</f>
        <v>[Nhãn Thùng] GC - IV - 3784 - CTY DONA VINA - THIPRO 550EC (Nước tím) - 250ml - 40</v>
      </c>
      <c r="E5549" s="87" t="str">
        <f>IFERROR(__xludf.DUMMYFUNCTION("""COMPUTED_VALUE"""),"Thipro 550EC")</f>
        <v>Thipro 550EC</v>
      </c>
      <c r="F5549" s="87" t="str">
        <f>IFERROR(__xludf.DUMMYFUNCTION("""COMPUTED_VALUE"""),"HH3784")</f>
        <v>HH3784</v>
      </c>
      <c r="G5549" s="87" t="str">
        <f>IFERROR(__xludf.DUMMYFUNCTION("""COMPUTED_VALUE"""),"GC - IV - 3784 - CTY DONA VINA - THIPRO 550EC (Nước tím) - 250ml - 40")</f>
        <v>GC - IV - 3784 - CTY DONA VINA - THIPRO 550EC (Nước tím) - 250ml - 40</v>
      </c>
    </row>
    <row r="5550">
      <c r="A5550" s="86">
        <f>IFERROR(__xludf.DUMMYFUNCTION("""COMPUTED_VALUE"""),5548.0)</f>
        <v>5548</v>
      </c>
      <c r="B5550" s="87" t="str">
        <f>IFERROR(__xludf.DUMMYFUNCTION("""COMPUTED_VALUE"""),"[Nhãn Thùng]")</f>
        <v>[Nhãn Thùng]</v>
      </c>
      <c r="C5550" s="87" t="str">
        <f>IFERROR(__xludf.DUMMYFUNCTION("""COMPUTED_VALUE"""),"NDT3881")</f>
        <v>NDT3881</v>
      </c>
      <c r="D5550" s="87" t="str">
        <f>IFERROR(__xludf.DUMMYFUNCTION("""COMPUTED_VALUE"""),"[Nhãn Thùng] LOT IDA Global - I - 3881 - HE - CHITIN 3.6EC (nước nâu đen) - 450ml - 40")</f>
        <v>[Nhãn Thùng] LOT IDA Global - I - 3881 - HE - CHITIN 3.6EC (nước nâu đen) - 450ml - 40</v>
      </c>
      <c r="E5550" s="87" t="str">
        <f>IFERROR(__xludf.DUMMYFUNCTION("""COMPUTED_VALUE"""),"Chitin 3.6EC")</f>
        <v>Chitin 3.6EC</v>
      </c>
      <c r="F5550" s="87" t="str">
        <f>IFERROR(__xludf.DUMMYFUNCTION("""COMPUTED_VALUE"""),"HH3881")</f>
        <v>HH3881</v>
      </c>
      <c r="G5550" s="87" t="str">
        <f>IFERROR(__xludf.DUMMYFUNCTION("""COMPUTED_VALUE"""),"LOT IDA Global - I - 3881 - HE - CHITIN 3.6EC (nước nâu đen) - 450ml - 40")</f>
        <v>LOT IDA Global - I - 3881 - HE - CHITIN 3.6EC (nước nâu đen) - 450ml - 40</v>
      </c>
    </row>
    <row r="5551">
      <c r="A5551" s="86">
        <f>IFERROR(__xludf.DUMMYFUNCTION("""COMPUTED_VALUE"""),5549.0)</f>
        <v>5549</v>
      </c>
      <c r="B5551" s="87" t="str">
        <f>IFERROR(__xludf.DUMMYFUNCTION("""COMPUTED_VALUE"""),"[Nhãn]")</f>
        <v>[Nhãn]</v>
      </c>
      <c r="C5551" s="87" t="str">
        <f>IFERROR(__xludf.DUMMYFUNCTION("""COMPUTED_VALUE"""),"NHG4621")</f>
        <v>NHG4621</v>
      </c>
      <c r="D5551" s="87" t="str">
        <f>IFERROR(__xludf.DUMMYFUNCTION("""COMPUTED_VALUE"""),"[Nhãn] GC - V - 4621 - Cty Hóa Nông Shino - SHINO RICE (nước đỏ cam) - 500ml - 30")</f>
        <v>[Nhãn] GC - V - 4621 - Cty Hóa Nông Shino - SHINO RICE (nước đỏ cam) - 500ml - 30</v>
      </c>
      <c r="E5551" s="87" t="str">
        <f>IFERROR(__xludf.DUMMYFUNCTION("""COMPUTED_VALUE"""),"NPK-Vi lượng MASSIVE-BLUE")</f>
        <v>NPK-Vi lượng MASSIVE-BLUE</v>
      </c>
      <c r="F5551" s="87" t="str">
        <f>IFERROR(__xludf.DUMMYFUNCTION("""COMPUTED_VALUE"""),"HH4621")</f>
        <v>HH4621</v>
      </c>
      <c r="G5551" s="87" t="str">
        <f>IFERROR(__xludf.DUMMYFUNCTION("""COMPUTED_VALUE"""),"GC - V - 4621 - Cty Hóa Nông Shino - SHINO RICE (nước đỏ cam) - 500ml - 30")</f>
        <v>GC - V - 4621 - Cty Hóa Nông Shino - SHINO RICE (nước đỏ cam) - 500ml - 30</v>
      </c>
    </row>
    <row r="5552">
      <c r="A5552" s="86">
        <f>IFERROR(__xludf.DUMMYFUNCTION("""COMPUTED_VALUE"""),5550.0)</f>
        <v>5550</v>
      </c>
      <c r="B5552" s="87" t="str">
        <f>IFERROR(__xludf.DUMMYFUNCTION("""COMPUTED_VALUE"""),"[Nhãn]")</f>
        <v>[Nhãn]</v>
      </c>
      <c r="C5552" s="87" t="str">
        <f>IFERROR(__xludf.DUMMYFUNCTION("""COMPUTED_VALUE"""),"NHG4669")</f>
        <v>NHG4669</v>
      </c>
      <c r="D5552" s="87" t="str">
        <f>IFERROR(__xludf.DUMMYFUNCTION("""COMPUTED_VALUE"""),"[Nhãn] GC - V - 4669 - Cty Agrochem Korea - CỨNG NHƯ ĐẠN (Gel nâu đen) - 500ml - 30")</f>
        <v>[Nhãn] GC - V - 4669 - Cty Agrochem Korea - CỨNG NHƯ ĐẠN (Gel nâu đen) - 500ml - 30</v>
      </c>
      <c r="E5552" s="87" t="str">
        <f>IFERROR(__xludf.DUMMYFUNCTION("""COMPUTED_VALUE"""),"Vi lượng Quantity New")</f>
        <v>Vi lượng Quantity New</v>
      </c>
      <c r="F5552" s="87" t="str">
        <f>IFERROR(__xludf.DUMMYFUNCTION("""COMPUTED_VALUE"""),"HH4669")</f>
        <v>HH4669</v>
      </c>
      <c r="G5552" s="87" t="str">
        <f>IFERROR(__xludf.DUMMYFUNCTION("""COMPUTED_VALUE"""),"GC - V - 4669 - Cty Agrochem Korea - CỨNG NHƯ ĐẠN (Gel nâu đen) - 500ml - 30")</f>
        <v>GC - V - 4669 - Cty Agrochem Korea - CỨNG NHƯ ĐẠN (Gel nâu đen) - 500ml - 30</v>
      </c>
    </row>
    <row r="5553">
      <c r="A5553" s="86">
        <f>IFERROR(__xludf.DUMMYFUNCTION("""COMPUTED_VALUE"""),5551.0)</f>
        <v>5551</v>
      </c>
      <c r="B5553" s="87" t="str">
        <f>IFERROR(__xludf.DUMMYFUNCTION("""COMPUTED_VALUE"""),"[Nhãn]")</f>
        <v>[Nhãn]</v>
      </c>
      <c r="C5553" s="87" t="str">
        <f>IFERROR(__xludf.DUMMYFUNCTION("""COMPUTED_VALUE"""),"NHG4620")</f>
        <v>NHG4620</v>
      </c>
      <c r="D5553" s="87" t="str">
        <f>IFERROR(__xludf.DUMMYFUNCTION("""COMPUTED_VALUE"""),"[Nhãn] IDA Global - I - 4620 - CTY SÁU MINH - VUA CHIM TRĨ SUPER (Nước trắng sữa) - 240ml - 40")</f>
        <v>[Nhãn] IDA Global - I - 4620 - CTY SÁU MINH - VUA CHIM TRĨ SUPER (Nước trắng sữa) - 240ml - 40</v>
      </c>
      <c r="E5553" s="87" t="str">
        <f>IFERROR(__xludf.DUMMYFUNCTION("""COMPUTED_VALUE"""),"VOTE 34.2SC")</f>
        <v>VOTE 34.2SC</v>
      </c>
      <c r="F5553" s="87" t="str">
        <f>IFERROR(__xludf.DUMMYFUNCTION("""COMPUTED_VALUE"""),"HH4620")</f>
        <v>HH4620</v>
      </c>
      <c r="G5553" s="87" t="str">
        <f>IFERROR(__xludf.DUMMYFUNCTION("""COMPUTED_VALUE"""),"IDA Global - I - 4620 - CTY SÁU MINH - VUA CHIM TRĨ SUPER (Nước trắng sữa) - 240ml - 40")</f>
        <v>IDA Global - I - 4620 - CTY SÁU MINH - VUA CHIM TRĨ SUPER (Nước trắng sữa) - 240ml - 40</v>
      </c>
    </row>
    <row r="5554">
      <c r="A5554" s="86">
        <f>IFERROR(__xludf.DUMMYFUNCTION("""COMPUTED_VALUE"""),5552.0)</f>
        <v>5552</v>
      </c>
      <c r="B5554" s="87" t="str">
        <f>IFERROR(__xludf.DUMMYFUNCTION("""COMPUTED_VALUE"""),"[Nhãn]")</f>
        <v>[Nhãn]</v>
      </c>
      <c r="C5554" s="87" t="str">
        <f>IFERROR(__xludf.DUMMYFUNCTION("""COMPUTED_VALUE"""),"NHG4656")</f>
        <v>NHG4656</v>
      </c>
      <c r="D5554" s="87" t="str">
        <f>IFERROR(__xludf.DUMMYFUNCTION("""COMPUTED_VALUE"""),"[Nhãn] IDA Global - I - 4656 - SIÊU XÔNG HƠI (Nước đỏ) - 450ml - 40")</f>
        <v>[Nhãn] IDA Global - I - 4656 - SIÊU XÔNG HƠI (Nước đỏ) - 450ml - 40</v>
      </c>
      <c r="E5554" s="87" t="str">
        <f>IFERROR(__xludf.DUMMYFUNCTION("""COMPUTED_VALUE"""),"PYXOATE 44EC")</f>
        <v>PYXOATE 44EC</v>
      </c>
      <c r="F5554" s="87" t="str">
        <f>IFERROR(__xludf.DUMMYFUNCTION("""COMPUTED_VALUE"""),"HH4656")</f>
        <v>HH4656</v>
      </c>
      <c r="G5554" s="87" t="str">
        <f>IFERROR(__xludf.DUMMYFUNCTION("""COMPUTED_VALUE"""),"IDA Global - I - 4656 - SIÊU XÔNG HƠI (Nước đỏ) - 450ml - 40")</f>
        <v>IDA Global - I - 4656 - SIÊU XÔNG HƠI (Nước đỏ) - 450ml - 40</v>
      </c>
    </row>
    <row r="5555">
      <c r="A5555" s="86">
        <f>IFERROR(__xludf.DUMMYFUNCTION("""COMPUTED_VALUE"""),5553.0)</f>
        <v>5553</v>
      </c>
      <c r="B5555" s="87" t="str">
        <f>IFERROR(__xludf.DUMMYFUNCTION("""COMPUTED_VALUE"""),"[Nhãn]")</f>
        <v>[Nhãn]</v>
      </c>
      <c r="C5555" s="87" t="str">
        <f>IFERROR(__xludf.DUMMYFUNCTION("""COMPUTED_VALUE"""),"NHG4670")</f>
        <v>NHG4670</v>
      </c>
      <c r="D5555" s="87" t="str">
        <f>IFERROR(__xludf.DUMMYFUNCTION("""COMPUTED_VALUE"""),"[Nhãn] GC - IV - 4670 - CTY USAFARM - FUSEMIN (Nước nâu đen) - 500ml - 40")</f>
        <v>[Nhãn] GC - IV - 4670 - CTY USAFARM - FUSEMIN (Nước nâu đen) - 500ml - 40</v>
      </c>
      <c r="E5555" s="87" t="str">
        <f>IFERROR(__xludf.DUMMYFUNCTION("""COMPUTED_VALUE"""),"Hữu cơ FUSEMIN COMBI+")</f>
        <v>Hữu cơ FUSEMIN COMBI+</v>
      </c>
      <c r="F5555" s="87" t="str">
        <f>IFERROR(__xludf.DUMMYFUNCTION("""COMPUTED_VALUE"""),"HH4670")</f>
        <v>HH4670</v>
      </c>
      <c r="G5555" s="87" t="str">
        <f>IFERROR(__xludf.DUMMYFUNCTION("""COMPUTED_VALUE"""),"GC - IV - 4670 - CTY USAFARM - FUSEMIN (Nước nâu đen) - 500ml - 40")</f>
        <v>GC - IV - 4670 - CTY USAFARM - FUSEMIN (Nước nâu đen) - 500ml - 40</v>
      </c>
    </row>
    <row r="5556">
      <c r="A5556" s="86">
        <f>IFERROR(__xludf.DUMMYFUNCTION("""COMPUTED_VALUE"""),5554.0)</f>
        <v>5554</v>
      </c>
      <c r="B5556" s="87" t="str">
        <f>IFERROR(__xludf.DUMMYFUNCTION("""COMPUTED_VALUE"""),"[Nhãn]")</f>
        <v>[Nhãn]</v>
      </c>
      <c r="C5556" s="87" t="str">
        <f>IFERROR(__xludf.DUMMYFUNCTION("""COMPUTED_VALUE"""),"NTN4615")</f>
        <v>NTN4615</v>
      </c>
      <c r="D5556" s="87" t="str">
        <f>IFERROR(__xludf.DUMMYFUNCTION("""COMPUTED_VALUE"""),"[Nhãn] IDA GLOBAL - I - 4615 - CREEK 51WG (Dạng cốm màu vàng nhạt) - 30gr - 300")</f>
        <v>[Nhãn] IDA GLOBAL - I - 4615 - CREEK 51WG (Dạng cốm màu vàng nhạt) - 30gr - 300</v>
      </c>
      <c r="E5556" s="87" t="str">
        <f>IFERROR(__xludf.DUMMYFUNCTION("""COMPUTED_VALUE"""),"Creek 51WG")</f>
        <v>Creek 51WG</v>
      </c>
      <c r="F5556" s="87" t="str">
        <f>IFERROR(__xludf.DUMMYFUNCTION("""COMPUTED_VALUE"""),"HH4615")</f>
        <v>HH4615</v>
      </c>
      <c r="G5556" s="87" t="str">
        <f>IFERROR(__xludf.DUMMYFUNCTION("""COMPUTED_VALUE"""),"IDA GLOBAL - I - 4615 - CREEK 51WG (Dạng cốm màu vàng nhạt) - 30gr - 300")</f>
        <v>IDA GLOBAL - I - 4615 - CREEK 51WG (Dạng cốm màu vàng nhạt) - 30gr - 300</v>
      </c>
    </row>
    <row r="5557">
      <c r="A5557" s="86">
        <f>IFERROR(__xludf.DUMMYFUNCTION("""COMPUTED_VALUE"""),5555.0)</f>
        <v>5555</v>
      </c>
      <c r="B5557" s="87" t="str">
        <f>IFERROR(__xludf.DUMMYFUNCTION("""COMPUTED_VALUE"""),"[Nhãn]")</f>
        <v>[Nhãn]</v>
      </c>
      <c r="C5557" s="87" t="str">
        <f>IFERROR(__xludf.DUMMYFUNCTION("""COMPUTED_VALUE"""),"NTN4628")</f>
        <v>NTN4628</v>
      </c>
      <c r="D5557" s="87" t="str">
        <f>IFERROR(__xludf.DUMMYFUNCTION("""COMPUTED_VALUE"""),"[Nhãn] IDA GLOBAL - I - 4628 - CREEK 51WG (Dạng cốm màu vàng nhạt) - 150gr - 100")</f>
        <v>[Nhãn] IDA GLOBAL - I - 4628 - CREEK 51WG (Dạng cốm màu vàng nhạt) - 150gr - 100</v>
      </c>
      <c r="E5557" s="87" t="str">
        <f>IFERROR(__xludf.DUMMYFUNCTION("""COMPUTED_VALUE"""),"Creek 51WG")</f>
        <v>Creek 51WG</v>
      </c>
      <c r="F5557" s="87" t="str">
        <f>IFERROR(__xludf.DUMMYFUNCTION("""COMPUTED_VALUE"""),"HH4628")</f>
        <v>HH4628</v>
      </c>
      <c r="G5557" s="87" t="str">
        <f>IFERROR(__xludf.DUMMYFUNCTION("""COMPUTED_VALUE"""),"IDA GLOBAL - I - 4628 - CREEK 51WG (Dạng cốm màu vàng nhạt) - 150gr - 100")</f>
        <v>IDA GLOBAL - I - 4628 - CREEK 51WG (Dạng cốm màu vàng nhạt) - 150gr - 100</v>
      </c>
    </row>
    <row r="5558">
      <c r="A5558" s="86">
        <f>IFERROR(__xludf.DUMMYFUNCTION("""COMPUTED_VALUE"""),5556.0)</f>
        <v>5556</v>
      </c>
      <c r="B5558" s="87" t="str">
        <f>IFERROR(__xludf.DUMMYFUNCTION("""COMPUTED_VALUE"""),"[Nhãn]")</f>
        <v>[Nhãn]</v>
      </c>
      <c r="C5558" s="87" t="str">
        <f>IFERROR(__xludf.DUMMYFUNCTION("""COMPUTED_VALUE"""),"NHG4639")</f>
        <v>NHG4639</v>
      </c>
      <c r="D5558" s="87" t="str">
        <f>IFERROR(__xludf.DUMMYFUNCTION("""COMPUTED_VALUE"""),"[Nhãn] GC - V - 4639 - Cty Newtex - SẠCH LEM LÉP (Nước xanh bơ sữa) - 450ml - 30")</f>
        <v>[Nhãn] GC - V - 4639 - Cty Newtex - SẠCH LEM LÉP (Nước xanh bơ sữa) - 450ml - 30</v>
      </c>
      <c r="E5558" s="87" t="str">
        <f>IFERROR(__xludf.DUMMYFUNCTION("""COMPUTED_VALUE"""),"MITOP ONE 390SC")</f>
        <v>MITOP ONE 390SC</v>
      </c>
      <c r="F5558" s="87" t="str">
        <f>IFERROR(__xludf.DUMMYFUNCTION("""COMPUTED_VALUE"""),"HH4639")</f>
        <v>HH4639</v>
      </c>
      <c r="G5558" s="87" t="str">
        <f>IFERROR(__xludf.DUMMYFUNCTION("""COMPUTED_VALUE"""),"GC - V - 4639 - Cty Newtex - SẠCH LEM LÉP (Nước xanh bơ sữa) - 450ml - 30")</f>
        <v>GC - V - 4639 - Cty Newtex - SẠCH LEM LÉP (Nước xanh bơ sữa) - 450ml - 30</v>
      </c>
    </row>
    <row r="5559">
      <c r="A5559" s="86">
        <f>IFERROR(__xludf.DUMMYFUNCTION("""COMPUTED_VALUE"""),5557.0)</f>
        <v>5557</v>
      </c>
      <c r="B5559" s="87" t="str">
        <f>IFERROR(__xludf.DUMMYFUNCTION("""COMPUTED_VALUE"""),"[Nhãn]")</f>
        <v>[Nhãn]</v>
      </c>
      <c r="C5559" s="87" t="str">
        <f>IFERROR(__xludf.DUMMYFUNCTION("""COMPUTED_VALUE"""),"NTN4665")</f>
        <v>NTN4665</v>
      </c>
      <c r="D5559" s="87" t="str">
        <f>IFERROR(__xludf.DUMMYFUNCTION("""COMPUTED_VALUE"""),"[Nhãn] GC - V - 4665 - CTY R3 - EMAX 55 (Dạng cốm màu trắng ngà) - 100gr - 100")</f>
        <v>[Nhãn] GC - V - 4665 - CTY R3 - EMAX 55 (Dạng cốm màu trắng ngà) - 100gr - 100</v>
      </c>
      <c r="E5559" s="87" t="str">
        <f>IFERROR(__xludf.DUMMYFUNCTION("""COMPUTED_VALUE"""),"MAKEGREEN 55WG")</f>
        <v>MAKEGREEN 55WG</v>
      </c>
      <c r="F5559" s="87" t="str">
        <f>IFERROR(__xludf.DUMMYFUNCTION("""COMPUTED_VALUE"""),"HH4665")</f>
        <v>HH4665</v>
      </c>
      <c r="G5559" s="87" t="str">
        <f>IFERROR(__xludf.DUMMYFUNCTION("""COMPUTED_VALUE"""),"GC - V - 4665 - CTY R3 - EMAX 55 (Dạng cốm màu trắng ngà) - 100gr - 100")</f>
        <v>GC - V - 4665 - CTY R3 - EMAX 55 (Dạng cốm màu trắng ngà) - 100gr - 100</v>
      </c>
    </row>
    <row r="5560">
      <c r="A5560" s="86">
        <f>IFERROR(__xludf.DUMMYFUNCTION("""COMPUTED_VALUE"""),5558.0)</f>
        <v>5558</v>
      </c>
      <c r="B5560" s="87" t="str">
        <f>IFERROR(__xludf.DUMMYFUNCTION("""COMPUTED_VALUE"""),"[Nhãn]")</f>
        <v>[Nhãn]</v>
      </c>
      <c r="C5560" s="87" t="str">
        <f>IFERROR(__xludf.DUMMYFUNCTION("""COMPUTED_VALUE"""),"NTN4668")</f>
        <v>NTN4668</v>
      </c>
      <c r="D5560" s="87" t="str">
        <f>IFERROR(__xludf.DUMMYFUNCTION("""COMPUTED_VALUE"""),"[Nhãn] GC - V - 4668 - HKD HUYỀN NHỰT - SIÊU DIỆT BỌ TRĨ - 15gr - 400")</f>
        <v>[Nhãn] GC - V - 4668 - HKD HUYỀN NHỰT - SIÊU DIỆT BỌ TRĨ - 15gr - 400</v>
      </c>
      <c r="E5560" s="87" t="str">
        <f>IFERROR(__xludf.DUMMYFUNCTION("""COMPUTED_VALUE"""),"NOMIDA 700WG")</f>
        <v>NOMIDA 700WG</v>
      </c>
      <c r="F5560" s="87" t="str">
        <f>IFERROR(__xludf.DUMMYFUNCTION("""COMPUTED_VALUE"""),"HH4668")</f>
        <v>HH4668</v>
      </c>
      <c r="G5560" s="87" t="str">
        <f>IFERROR(__xludf.DUMMYFUNCTION("""COMPUTED_VALUE"""),"GC - V - 4668 - HKD HUYỀN NHỰT - SIÊU DIỆT BỌ TRĨ - 15gr - 400")</f>
        <v>GC - V - 4668 - HKD HUYỀN NHỰT - SIÊU DIỆT BỌ TRĨ - 15gr - 400</v>
      </c>
    </row>
    <row r="5561">
      <c r="A5561" s="86">
        <f>IFERROR(__xludf.DUMMYFUNCTION("""COMPUTED_VALUE"""),5559.0)</f>
        <v>5559</v>
      </c>
      <c r="B5561" s="87" t="str">
        <f>IFERROR(__xludf.DUMMYFUNCTION("""COMPUTED_VALUE"""),"[Nhãn]")</f>
        <v>[Nhãn]</v>
      </c>
      <c r="C5561" s="87" t="str">
        <f>IFERROR(__xludf.DUMMYFUNCTION("""COMPUTED_VALUE"""),"NHG4673")</f>
        <v>NHG4673</v>
      </c>
      <c r="D5561" s="87" t="str">
        <f>IFERROR(__xludf.DUMMYFUNCTION("""COMPUTED_VALUE"""),"[Nhãn] DR.XANH - VIII - 4673 - FUNGI GO (Nước xanh bơ sữa) - 240ml - 40")</f>
        <v>[Nhãn] DR.XANH - VIII - 4673 - FUNGI GO (Nước xanh bơ sữa) - 240ml - 40</v>
      </c>
      <c r="E5561" s="87" t="str">
        <f>IFERROR(__xludf.DUMMYFUNCTION("""COMPUTED_VALUE"""),"MI STOP 350SC")</f>
        <v>MI STOP 350SC</v>
      </c>
      <c r="F5561" s="87" t="str">
        <f>IFERROR(__xludf.DUMMYFUNCTION("""COMPUTED_VALUE"""),"HH4673")</f>
        <v>HH4673</v>
      </c>
      <c r="G5561" s="87" t="str">
        <f>IFERROR(__xludf.DUMMYFUNCTION("""COMPUTED_VALUE"""),"DR.XANH - VIII - 4673 - FUNGI GO (Nước xanh bơ sữa) - 240ml - 40")</f>
        <v>DR.XANH - VIII - 4673 - FUNGI GO (Nước xanh bơ sữa) - 240ml - 40</v>
      </c>
    </row>
    <row r="5562">
      <c r="A5562" s="86">
        <f>IFERROR(__xludf.DUMMYFUNCTION("""COMPUTED_VALUE"""),5560.0)</f>
        <v>5560</v>
      </c>
      <c r="B5562" s="87" t="str">
        <f>IFERROR(__xludf.DUMMYFUNCTION("""COMPUTED_VALUE"""),"[Nhãn]")</f>
        <v>[Nhãn]</v>
      </c>
      <c r="C5562" s="87" t="str">
        <f>IFERROR(__xludf.DUMMYFUNCTION("""COMPUTED_VALUE"""),"NHG4634")</f>
        <v>NHG4634</v>
      </c>
      <c r="D5562" s="87" t="str">
        <f>IFERROR(__xludf.DUMMYFUNCTION("""COMPUTED_VALUE"""),"[Nhãn] GC - V - 4634 - Agriplant - DƯỠNG CÂY - MẬP CHỒI (Nước nâu đen) - 500ml - 40")</f>
        <v>[Nhãn] GC - V - 4634 - Agriplant - DƯỠNG CÂY - MẬP CHỒI (Nước nâu đen) - 500ml - 40</v>
      </c>
      <c r="E5562" s="87" t="str">
        <f>IFERROR(__xludf.DUMMYFUNCTION("""COMPUTED_VALUE"""),"Hữu Cơ Organic ĐGP 01")</f>
        <v>Hữu Cơ Organic ĐGP 01</v>
      </c>
      <c r="F5562" s="87" t="str">
        <f>IFERROR(__xludf.DUMMYFUNCTION("""COMPUTED_VALUE"""),"HH4634")</f>
        <v>HH4634</v>
      </c>
      <c r="G5562" s="87" t="str">
        <f>IFERROR(__xludf.DUMMYFUNCTION("""COMPUTED_VALUE"""),"GC - V - 4634 - Agriplant - DƯỠNG CÂY - MẬP CHỒI (Nước nâu đen) - 500ml - 40")</f>
        <v>GC - V - 4634 - Agriplant - DƯỠNG CÂY - MẬP CHỒI (Nước nâu đen) - 500ml - 40</v>
      </c>
    </row>
    <row r="5563">
      <c r="A5563" s="86">
        <f>IFERROR(__xludf.DUMMYFUNCTION("""COMPUTED_VALUE"""),5561.0)</f>
        <v>5561</v>
      </c>
      <c r="B5563" s="87" t="str">
        <f>IFERROR(__xludf.DUMMYFUNCTION("""COMPUTED_VALUE"""),"[Nhãn]")</f>
        <v>[Nhãn]</v>
      </c>
      <c r="C5563" s="87" t="str">
        <f>IFERROR(__xludf.DUMMYFUNCTION("""COMPUTED_VALUE"""),"NHG4685")</f>
        <v>NHG4685</v>
      </c>
      <c r="D5563" s="87" t="str">
        <f>IFERROR(__xludf.DUMMYFUNCTION("""COMPUTED_VALUE"""),"[Nhãn] GC - V - 4685 - NEWTECH CROP SCIENCE - GENOL 1.2SL (Chai xanh biển nhạt) (Nước đỏ) - 450ml - 40")</f>
        <v>[Nhãn] GC - V - 4685 - NEWTECH CROP SCIENCE - GENOL 1.2SL (Chai xanh biển nhạt) (Nước đỏ) - 450ml - 40</v>
      </c>
      <c r="E5563" s="87" t="str">
        <f>IFERROR(__xludf.DUMMYFUNCTION("""COMPUTED_VALUE"""),"GENOL 1.2SL")</f>
        <v>GENOL 1.2SL</v>
      </c>
      <c r="F5563" s="87" t="str">
        <f>IFERROR(__xludf.DUMMYFUNCTION("""COMPUTED_VALUE"""),"HH4685")</f>
        <v>HH4685</v>
      </c>
      <c r="G5563" s="87" t="str">
        <f>IFERROR(__xludf.DUMMYFUNCTION("""COMPUTED_VALUE"""),"GC - V - 4685 - NEWTECH CROP SCIENCE - GENOL 1.2SL (Chai xanh biển nhạt) (Nước đỏ) - 450ml - 40")</f>
        <v>GC - V - 4685 - NEWTECH CROP SCIENCE - GENOL 1.2SL (Chai xanh biển nhạt) (Nước đỏ) - 450ml - 40</v>
      </c>
    </row>
    <row r="5564">
      <c r="A5564" s="86">
        <f>IFERROR(__xludf.DUMMYFUNCTION("""COMPUTED_VALUE"""),5562.0)</f>
        <v>5562</v>
      </c>
      <c r="B5564" s="87" t="str">
        <f>IFERROR(__xludf.DUMMYFUNCTION("""COMPUTED_VALUE"""),"[Nhãn]")</f>
        <v>[Nhãn]</v>
      </c>
      <c r="C5564" s="87" t="str">
        <f>IFERROR(__xludf.DUMMYFUNCTION("""COMPUTED_VALUE"""),"NHG4686")</f>
        <v>NHG4686</v>
      </c>
      <c r="D5564" s="87" t="str">
        <f>IFERROR(__xludf.DUMMYFUNCTION("""COMPUTED_VALUE"""),"[Nhãn] GC - IV - 4686 - NEWTECH CROP SCIENCE - CITTIZEN 333SC (Chai cam) (Nước cam sữa) - 450ml - 40")</f>
        <v>[Nhãn] GC - IV - 4686 - NEWTECH CROP SCIENCE - CITTIZEN 333SC (Chai cam) (Nước cam sữa) - 450ml - 40</v>
      </c>
      <c r="E5564" s="87" t="str">
        <f>IFERROR(__xludf.DUMMYFUNCTION("""COMPUTED_VALUE"""),"CITTIZEN 333SC")</f>
        <v>CITTIZEN 333SC</v>
      </c>
      <c r="F5564" s="87" t="str">
        <f>IFERROR(__xludf.DUMMYFUNCTION("""COMPUTED_VALUE"""),"HH4686")</f>
        <v>HH4686</v>
      </c>
      <c r="G5564" s="87" t="str">
        <f>IFERROR(__xludf.DUMMYFUNCTION("""COMPUTED_VALUE"""),"GC - IV - 4686 - NEWTECH CROP SCIENCE - CITTIZEN 333SC (Chai cam) (Nước cam sữa) - 450ml - 40")</f>
        <v>GC - IV - 4686 - NEWTECH CROP SCIENCE - CITTIZEN 333SC (Chai cam) (Nước cam sữa) - 450ml - 40</v>
      </c>
    </row>
    <row r="5565">
      <c r="A5565" s="86">
        <f>IFERROR(__xludf.DUMMYFUNCTION("""COMPUTED_VALUE"""),5563.0)</f>
        <v>5563</v>
      </c>
      <c r="B5565" s="87" t="str">
        <f>IFERROR(__xludf.DUMMYFUNCTION("""COMPUTED_VALUE"""),"[Nhãn]")</f>
        <v>[Nhãn]</v>
      </c>
      <c r="C5565" s="87" t="str">
        <f>IFERROR(__xludf.DUMMYFUNCTION("""COMPUTED_VALUE"""),"NHG4552")</f>
        <v>NHG4552</v>
      </c>
      <c r="D5565" s="87" t="str">
        <f>IFERROR(__xludf.DUMMYFUNCTION("""COMPUTED_VALUE"""),"[Nhãn] GC - IV - 4552 - NEWTECH CROP SCIENCE - CITTIZEN 333SC (Chai vàng) (Nước cam sữa) - 450ml - 40")</f>
        <v>[Nhãn] GC - IV - 4552 - NEWTECH CROP SCIENCE - CITTIZEN 333SC (Chai vàng) (Nước cam sữa) - 450ml - 40</v>
      </c>
      <c r="E5565" s="87" t="str">
        <f>IFERROR(__xludf.DUMMYFUNCTION("""COMPUTED_VALUE"""),"CITTIZEN 333SC")</f>
        <v>CITTIZEN 333SC</v>
      </c>
      <c r="F5565" s="87" t="str">
        <f>IFERROR(__xludf.DUMMYFUNCTION("""COMPUTED_VALUE"""),"HH4552")</f>
        <v>HH4552</v>
      </c>
      <c r="G5565" s="87" t="str">
        <f>IFERROR(__xludf.DUMMYFUNCTION("""COMPUTED_VALUE"""),"GC - IV - 4552 - NEWTECH CROP SCIENCE - CITTIZEN 333SC (Chai vàng) (Nước cam sữa) - 450ml - 40")</f>
        <v>GC - IV - 4552 - NEWTECH CROP SCIENCE - CITTIZEN 333SC (Chai vàng) (Nước cam sữa) - 450ml - 40</v>
      </c>
    </row>
    <row r="5566">
      <c r="A5566" s="86">
        <f>IFERROR(__xludf.DUMMYFUNCTION("""COMPUTED_VALUE"""),5564.0)</f>
        <v>5564</v>
      </c>
      <c r="B5566" s="87" t="str">
        <f>IFERROR(__xludf.DUMMYFUNCTION("""COMPUTED_VALUE"""),"[Nhãn]")</f>
        <v>[Nhãn]</v>
      </c>
      <c r="C5566" s="87" t="str">
        <f>IFERROR(__xludf.DUMMYFUNCTION("""COMPUTED_VALUE"""),"NHG4682")</f>
        <v>NHG4682</v>
      </c>
      <c r="D5566" s="87" t="str">
        <f>IFERROR(__xludf.DUMMYFUNCTION("""COMPUTED_VALUE"""),"[Nhãn] GC - V - 4682 - NEWTECH CROP SCIENCE - GENOL 1.2SL (Chai vàng) (Nước đỏ) - 450ml - 40")</f>
        <v>[Nhãn] GC - V - 4682 - NEWTECH CROP SCIENCE - GENOL 1.2SL (Chai vàng) (Nước đỏ) - 450ml - 40</v>
      </c>
      <c r="E5566" s="87" t="str">
        <f>IFERROR(__xludf.DUMMYFUNCTION("""COMPUTED_VALUE"""),"GENOL 1.2SL")</f>
        <v>GENOL 1.2SL</v>
      </c>
      <c r="F5566" s="87" t="str">
        <f>IFERROR(__xludf.DUMMYFUNCTION("""COMPUTED_VALUE"""),"HH4682")</f>
        <v>HH4682</v>
      </c>
      <c r="G5566" s="87" t="str">
        <f>IFERROR(__xludf.DUMMYFUNCTION("""COMPUTED_VALUE"""),"GC - V - 4682 - NEWTECH CROP SCIENCE - GENOL 1.2SL (Chai vàng) (Nước đỏ) - 450ml - 40")</f>
        <v>GC - V - 4682 - NEWTECH CROP SCIENCE - GENOL 1.2SL (Chai vàng) (Nước đỏ) - 450ml - 40</v>
      </c>
    </row>
    <row r="5567">
      <c r="A5567" s="86">
        <f>IFERROR(__xludf.DUMMYFUNCTION("""COMPUTED_VALUE"""),5565.0)</f>
        <v>5565</v>
      </c>
      <c r="B5567" s="87" t="str">
        <f>IFERROR(__xludf.DUMMYFUNCTION("""COMPUTED_VALUE"""),"[Nhãn]")</f>
        <v>[Nhãn]</v>
      </c>
      <c r="C5567" s="87" t="str">
        <f>IFERROR(__xludf.DUMMYFUNCTION("""COMPUTED_VALUE"""),"NHG4612")</f>
        <v>NHG4612</v>
      </c>
      <c r="D5567" s="87" t="str">
        <f>IFERROR(__xludf.DUMMYFUNCTION("""COMPUTED_VALUE"""),"[Nhãn] GC - IV - 4612 - CTY R3 - AGROTOX 44 (Nước đỏ) - 450ml - 40")</f>
        <v>[Nhãn] GC - IV - 4612 - CTY R3 - AGROTOX 44 (Nước đỏ) - 450ml - 40</v>
      </c>
      <c r="E5567" s="87" t="str">
        <f>IFERROR(__xludf.DUMMYFUNCTION("""COMPUTED_VALUE"""),"PYXOATE 44EC")</f>
        <v>PYXOATE 44EC</v>
      </c>
      <c r="F5567" s="87" t="str">
        <f>IFERROR(__xludf.DUMMYFUNCTION("""COMPUTED_VALUE"""),"HH4612")</f>
        <v>HH4612</v>
      </c>
      <c r="G5567" s="87" t="str">
        <f>IFERROR(__xludf.DUMMYFUNCTION("""COMPUTED_VALUE"""),"GC - IV - 4612 - CTY R3 - AGROTOX 44 (Nước đỏ) - 450ml - 40")</f>
        <v>GC - IV - 4612 - CTY R3 - AGROTOX 44 (Nước đỏ) - 450ml - 40</v>
      </c>
    </row>
    <row r="5568">
      <c r="A5568" s="86">
        <f>IFERROR(__xludf.DUMMYFUNCTION("""COMPUTED_VALUE"""),5566.0)</f>
        <v>5566</v>
      </c>
      <c r="B5568" s="87" t="str">
        <f>IFERROR(__xludf.DUMMYFUNCTION("""COMPUTED_VALUE"""),"[Nhãn]")</f>
        <v>[Nhãn]</v>
      </c>
      <c r="C5568" s="87" t="str">
        <f>IFERROR(__xludf.DUMMYFUNCTION("""COMPUTED_VALUE"""),"NHD4614")</f>
        <v>NHD4614</v>
      </c>
      <c r="D5568" s="87" t="str">
        <f>IFERROR(__xludf.DUMMYFUNCTION("""COMPUTED_VALUE"""),"[Nhãn] GC - V - 4614 - CTY R3 - CYRINKILL 25 (Nước vàng trà) - 450ml - 40")</f>
        <v>[Nhãn] GC - V - 4614 - CTY R3 - CYRINKILL 25 (Nước vàng trà) - 450ml - 40</v>
      </c>
      <c r="E5568" s="87" t="str">
        <f>IFERROR(__xludf.DUMMYFUNCTION("""COMPUTED_VALUE"""),"NP-CYRIN SUPER 250EC")</f>
        <v>NP-CYRIN SUPER 250EC</v>
      </c>
      <c r="F5568" s="87" t="str">
        <f>IFERROR(__xludf.DUMMYFUNCTION("""COMPUTED_VALUE"""),"HH4614")</f>
        <v>HH4614</v>
      </c>
      <c r="G5568" s="87" t="str">
        <f>IFERROR(__xludf.DUMMYFUNCTION("""COMPUTED_VALUE"""),"GC - V - 4614 - CTY R3 - CYRINKILL 25 (Nước vàng trà) - 450ml - 40")</f>
        <v>GC - V - 4614 - CTY R3 - CYRINKILL 25 (Nước vàng trà) - 450ml - 40</v>
      </c>
    </row>
    <row r="5569">
      <c r="A5569" s="86">
        <f>IFERROR(__xludf.DUMMYFUNCTION("""COMPUTED_VALUE"""),5567.0)</f>
        <v>5567</v>
      </c>
      <c r="B5569" s="87" t="str">
        <f>IFERROR(__xludf.DUMMYFUNCTION("""COMPUTED_VALUE"""),"[Nhãn]")</f>
        <v>[Nhãn]</v>
      </c>
      <c r="C5569" s="87" t="str">
        <f>IFERROR(__xludf.DUMMYFUNCTION("""COMPUTED_VALUE"""),"NHG4396")</f>
        <v>NHG4396</v>
      </c>
      <c r="D5569" s="87" t="str">
        <f>IFERROR(__xludf.DUMMYFUNCTION("""COMPUTED_VALUE"""),"[Nhãn] IDA Global - I - 4396 - ĐL NÔNG AN PHÁT - PICO EXTRA (Nước trắng sữa) - 250ml - 40")</f>
        <v>[Nhãn] IDA Global - I - 4396 - ĐL NÔNG AN PHÁT - PICO EXTRA (Nước trắng sữa) - 250ml - 40</v>
      </c>
      <c r="E5569" s="87" t="str">
        <f>IFERROR(__xludf.DUMMYFUNCTION("""COMPUTED_VALUE"""),"PICOSUPER 280SC")</f>
        <v>PICOSUPER 280SC</v>
      </c>
      <c r="F5569" s="87" t="str">
        <f>IFERROR(__xludf.DUMMYFUNCTION("""COMPUTED_VALUE"""),"HH4396")</f>
        <v>HH4396</v>
      </c>
      <c r="G5569" s="87" t="str">
        <f>IFERROR(__xludf.DUMMYFUNCTION("""COMPUTED_VALUE"""),"IDA Global - I - 4396 - ĐL NÔNG AN PHÁT - PICO EXTRA (Nước trắng sữa) - 250ml - 40")</f>
        <v>IDA Global - I - 4396 - ĐL NÔNG AN PHÁT - PICO EXTRA (Nước trắng sữa) - 250ml - 40</v>
      </c>
    </row>
    <row r="5570">
      <c r="A5570" s="86">
        <f>IFERROR(__xludf.DUMMYFUNCTION("""COMPUTED_VALUE"""),5568.0)</f>
        <v>5568</v>
      </c>
      <c r="B5570" s="87" t="str">
        <f>IFERROR(__xludf.DUMMYFUNCTION("""COMPUTED_VALUE"""),"[Nhãn]")</f>
        <v>[Nhãn]</v>
      </c>
      <c r="C5570" s="87" t="str">
        <f>IFERROR(__xludf.DUMMYFUNCTION("""COMPUTED_VALUE"""),"NHG4692")</f>
        <v>NHG4692</v>
      </c>
      <c r="D5570" s="87" t="str">
        <f>IFERROR(__xludf.DUMMYFUNCTION("""COMPUTED_VALUE"""),"[Nhãn] GC - V - 4692 - HÓA NÔNG SHINO - CỨNG CÂY K40 (Nước nâu đen) - 500ml - 30")</f>
        <v>[Nhãn] GC - V - 4692 - HÓA NÔNG SHINO - CỨNG CÂY K40 (Nước nâu đen) - 500ml - 30</v>
      </c>
      <c r="E5570" s="87" t="str">
        <f>IFERROR(__xludf.DUMMYFUNCTION("""COMPUTED_VALUE"""),"Hữu cơ SH Agro Organic Fertilizer 20")</f>
        <v>Hữu cơ SH Agro Organic Fertilizer 20</v>
      </c>
      <c r="F5570" s="87" t="str">
        <f>IFERROR(__xludf.DUMMYFUNCTION("""COMPUTED_VALUE"""),"HH4692")</f>
        <v>HH4692</v>
      </c>
      <c r="G5570" s="87" t="str">
        <f>IFERROR(__xludf.DUMMYFUNCTION("""COMPUTED_VALUE"""),"GC - V - 4692 - HÓA NÔNG SHINO - CỨNG CÂY K40 (Nước nâu đen) - 500ml - 30")</f>
        <v>GC - V - 4692 - HÓA NÔNG SHINO - CỨNG CÂY K40 (Nước nâu đen) - 500ml - 30</v>
      </c>
    </row>
    <row r="5571">
      <c r="A5571" s="86">
        <f>IFERROR(__xludf.DUMMYFUNCTION("""COMPUTED_VALUE"""),5569.0)</f>
        <v>5569</v>
      </c>
      <c r="B5571" s="87" t="str">
        <f>IFERROR(__xludf.DUMMYFUNCTION("""COMPUTED_VALUE"""),"[Nhãn]")</f>
        <v>[Nhãn]</v>
      </c>
      <c r="C5571" s="87" t="str">
        <f>IFERROR(__xludf.DUMMYFUNCTION("""COMPUTED_VALUE"""),"NHG4697")</f>
        <v>NHG4697</v>
      </c>
      <c r="D5571" s="87" t="str">
        <f>IFERROR(__xludf.DUMMYFUNCTION("""COMPUTED_VALUE"""),"[Nhãn] GC - V - 4697 - CTY THIÊN DI - JAPA VIL 110SC (Nước xanh dương) - 1L - 20")</f>
        <v>[Nhãn] GC - V - 4697 - CTY THIÊN DI - JAPA VIL 110SC (Nước xanh dương) - 1L - 20</v>
      </c>
      <c r="E5571" s="87" t="str">
        <f>IFERROR(__xludf.DUMMYFUNCTION("""COMPUTED_VALUE"""),"JAPA VIL 110SC")</f>
        <v>JAPA VIL 110SC</v>
      </c>
      <c r="F5571" s="87" t="str">
        <f>IFERROR(__xludf.DUMMYFUNCTION("""COMPUTED_VALUE"""),"HH4697")</f>
        <v>HH4697</v>
      </c>
      <c r="G5571" s="87" t="str">
        <f>IFERROR(__xludf.DUMMYFUNCTION("""COMPUTED_VALUE"""),"GC - V - 4697 - CTY THIÊN DI - JAPA VIL 110SC (Nước xanh dương) - 1L - 20")</f>
        <v>GC - V - 4697 - CTY THIÊN DI - JAPA VIL 110SC (Nước xanh dương) - 1L - 20</v>
      </c>
    </row>
    <row r="5572">
      <c r="A5572" s="86">
        <f>IFERROR(__xludf.DUMMYFUNCTION("""COMPUTED_VALUE"""),5570.0)</f>
        <v>5570</v>
      </c>
      <c r="B5572" s="87" t="str">
        <f>IFERROR(__xludf.DUMMYFUNCTION("""COMPUTED_VALUE"""),"[Nhãn]")</f>
        <v>[Nhãn]</v>
      </c>
      <c r="C5572" s="87" t="str">
        <f>IFERROR(__xludf.DUMMYFUNCTION("""COMPUTED_VALUE"""),"NTN4690")</f>
        <v>NTN4690</v>
      </c>
      <c r="D5572" s="87" t="str">
        <f>IFERROR(__xludf.DUMMYFUNCTION("""COMPUTED_VALUE"""),"[Nhãn] GC - V - 4690 - HKD HUYỀN NHỰT - SẠCH BỌ TRĨ (Dạng cốm màu trắng ngà) - 15gr - 400")</f>
        <v>[Nhãn] GC - V - 4690 - HKD HUYỀN NHỰT - SẠCH BỌ TRĨ (Dạng cốm màu trắng ngà) - 15gr - 400</v>
      </c>
      <c r="E5572" s="87" t="str">
        <f>IFERROR(__xludf.DUMMYFUNCTION("""COMPUTED_VALUE"""),"NOFARA 35WG")</f>
        <v>NOFARA 35WG</v>
      </c>
      <c r="F5572" s="87" t="str">
        <f>IFERROR(__xludf.DUMMYFUNCTION("""COMPUTED_VALUE"""),"HH4690")</f>
        <v>HH4690</v>
      </c>
      <c r="G5572" s="87" t="str">
        <f>IFERROR(__xludf.DUMMYFUNCTION("""COMPUTED_VALUE"""),"GC - V - 4690 - HKD HUYỀN NHỰT - SẠCH BỌ TRĨ (Dạng cốm màu trắng ngà) - 15gr - 400")</f>
        <v>GC - V - 4690 - HKD HUYỀN NHỰT - SẠCH BỌ TRĨ (Dạng cốm màu trắng ngà) - 15gr - 400</v>
      </c>
    </row>
    <row r="5573">
      <c r="A5573" s="86">
        <f>IFERROR(__xludf.DUMMYFUNCTION("""COMPUTED_VALUE"""),5571.0)</f>
        <v>5571</v>
      </c>
      <c r="B5573" s="87" t="str">
        <f>IFERROR(__xludf.DUMMYFUNCTION("""COMPUTED_VALUE"""),"[Nhãn]")</f>
        <v>[Nhãn]</v>
      </c>
      <c r="C5573" s="87" t="str">
        <f>IFERROR(__xludf.DUMMYFUNCTION("""COMPUTED_VALUE"""),"NHD4683")</f>
        <v>NHD4683</v>
      </c>
      <c r="D5573" s="87" t="str">
        <f>IFERROR(__xludf.DUMMYFUNCTION("""COMPUTED_VALUE"""),"[Nhãn] GC - V - 4683 - CTY QUANG ĐĂNG AGRICULTURE - CANXIBO QĐ.MICRO (Nước trắng sữa) - 500ml - 40")</f>
        <v>[Nhãn] GC - V - 4683 - CTY QUANG ĐĂNG AGRICULTURE - CANXIBO QĐ.MICRO (Nước trắng sữa) - 500ml - 40</v>
      </c>
      <c r="E5573" s="87" t="str">
        <f>IFERROR(__xludf.DUMMYFUNCTION("""COMPUTED_VALUE"""),"Vi lượng AGAMA-CANXI BO")</f>
        <v>Vi lượng AGAMA-CANXI BO</v>
      </c>
      <c r="F5573" s="87" t="str">
        <f>IFERROR(__xludf.DUMMYFUNCTION("""COMPUTED_VALUE"""),"HH4683")</f>
        <v>HH4683</v>
      </c>
      <c r="G5573" s="87" t="str">
        <f>IFERROR(__xludf.DUMMYFUNCTION("""COMPUTED_VALUE"""),"GC - V - 4683 - CTY QUANG ĐĂNG AGRICULTURE - CANXIBO QĐ.MICRO (Nước trắng sữa) - 500ml - 40")</f>
        <v>GC - V - 4683 - CTY QUANG ĐĂNG AGRICULTURE - CANXIBO QĐ.MICRO (Nước trắng sữa) - 500ml - 40</v>
      </c>
    </row>
    <row r="5574">
      <c r="A5574" s="86">
        <f>IFERROR(__xludf.DUMMYFUNCTION("""COMPUTED_VALUE"""),5572.0)</f>
        <v>5572</v>
      </c>
      <c r="B5574" s="87" t="str">
        <f>IFERROR(__xludf.DUMMYFUNCTION("""COMPUTED_VALUE"""),"[Nhãn]")</f>
        <v>[Nhãn]</v>
      </c>
      <c r="C5574" s="87" t="str">
        <f>IFERROR(__xludf.DUMMYFUNCTION("""COMPUTED_VALUE"""),"NHD4662")</f>
        <v>NHD4662</v>
      </c>
      <c r="D5574" s="87" t="str">
        <f>IFERROR(__xludf.DUMMYFUNCTION("""COMPUTED_VALUE"""),"[Nhãn] GC - V - 4662 - Cty Kim Ngọc - PANACEA (nước đỏ) - 250ml - 40")</f>
        <v>[Nhãn] GC - V - 4662 - Cty Kim Ngọc - PANACEA (nước đỏ) - 250ml - 40</v>
      </c>
      <c r="E5574" s="87" t="str">
        <f>IFERROR(__xludf.DUMMYFUNCTION("""COMPUTED_VALUE"""),"GENOL 1.2SL")</f>
        <v>GENOL 1.2SL</v>
      </c>
      <c r="F5574" s="87" t="str">
        <f>IFERROR(__xludf.DUMMYFUNCTION("""COMPUTED_VALUE"""),"HH4662")</f>
        <v>HH4662</v>
      </c>
      <c r="G5574" s="87" t="str">
        <f>IFERROR(__xludf.DUMMYFUNCTION("""COMPUTED_VALUE"""),"GC - V - 4662 - Cty Kim Ngọc - PANACEA (nước đỏ) - 250ml - 40")</f>
        <v>GC - V - 4662 - Cty Kim Ngọc - PANACEA (nước đỏ) - 250ml - 40</v>
      </c>
    </row>
    <row r="5575">
      <c r="A5575" s="86">
        <f>IFERROR(__xludf.DUMMYFUNCTION("""COMPUTED_VALUE"""),5573.0)</f>
        <v>5573</v>
      </c>
      <c r="B5575" s="87" t="str">
        <f>IFERROR(__xludf.DUMMYFUNCTION("""COMPUTED_VALUE"""),"[Nhãn]")</f>
        <v>[Nhãn]</v>
      </c>
      <c r="C5575" s="87" t="str">
        <f>IFERROR(__xludf.DUMMYFUNCTION("""COMPUTED_VALUE"""),"NHG4691")</f>
        <v>NHG4691</v>
      </c>
      <c r="D5575" s="87" t="str">
        <f>IFERROR(__xludf.DUMMYFUNCTION("""COMPUTED_VALUE"""),"[Nhãn] GC - V - 4691 - Cty Hóa Nông Shino - 1 TẤN 4 (nước đỏ cam) - 500ml - 30")</f>
        <v>[Nhãn] GC - V - 4691 - Cty Hóa Nông Shino - 1 TẤN 4 (nước đỏ cam) - 500ml - 30</v>
      </c>
      <c r="E5575" s="87" t="str">
        <f>IFERROR(__xludf.DUMMYFUNCTION("""COMPUTED_VALUE"""),"NPK-Vi lượng MASSIVE-BLUE")</f>
        <v>NPK-Vi lượng MASSIVE-BLUE</v>
      </c>
      <c r="F5575" s="87" t="str">
        <f>IFERROR(__xludf.DUMMYFUNCTION("""COMPUTED_VALUE"""),"HH4691")</f>
        <v>HH4691</v>
      </c>
      <c r="G5575" s="87" t="str">
        <f>IFERROR(__xludf.DUMMYFUNCTION("""COMPUTED_VALUE"""),"GC - V - 4691 - Cty Hóa Nông Shino - 1 TẤN 4 (nước đỏ cam) - 500ml - 30")</f>
        <v>GC - V - 4691 - Cty Hóa Nông Shino - 1 TẤN 4 (nước đỏ cam) - 500ml - 30</v>
      </c>
    </row>
    <row r="5576">
      <c r="A5576" s="86">
        <f>IFERROR(__xludf.DUMMYFUNCTION("""COMPUTED_VALUE"""),5574.0)</f>
        <v>5574</v>
      </c>
      <c r="B5576" s="87" t="str">
        <f>IFERROR(__xludf.DUMMYFUNCTION("""COMPUTED_VALUE"""),"[Nhãn]")</f>
        <v>[Nhãn]</v>
      </c>
      <c r="C5576" s="87" t="str">
        <f>IFERROR(__xludf.DUMMYFUNCTION("""COMPUTED_VALUE"""),"NHG4674")</f>
        <v>NHG4674</v>
      </c>
      <c r="D5576" s="87" t="str">
        <f>IFERROR(__xludf.DUMMYFUNCTION("""COMPUTED_VALUE"""),"[Nhãn] GC - V - 4674 - NEWTECH CROP SCIENCE - MEKONGVIL 5SC (Nước trắng sữa) - 1L - 20")</f>
        <v>[Nhãn] GC - V - 4674 - NEWTECH CROP SCIENCE - MEKONGVIL 5SC (Nước trắng sữa) - 1L - 20</v>
      </c>
      <c r="E5576" s="87" t="str">
        <f>IFERROR(__xludf.DUMMYFUNCTION("""COMPUTED_VALUE"""),"MEKONGVIL 5SC")</f>
        <v>MEKONGVIL 5SC</v>
      </c>
      <c r="F5576" s="87" t="str">
        <f>IFERROR(__xludf.DUMMYFUNCTION("""COMPUTED_VALUE"""),"HH4674")</f>
        <v>HH4674</v>
      </c>
      <c r="G5576" s="87" t="str">
        <f>IFERROR(__xludf.DUMMYFUNCTION("""COMPUTED_VALUE"""),"GC - V - 4674 - NEWTECH CROP SCIENCE - MEKONGVIL 5SC (Nước trắng sữa) - 1L - 20")</f>
        <v>GC - V - 4674 - NEWTECH CROP SCIENCE - MEKONGVIL 5SC (Nước trắng sữa) - 1L - 20</v>
      </c>
    </row>
    <row r="5577">
      <c r="A5577" s="86">
        <f>IFERROR(__xludf.DUMMYFUNCTION("""COMPUTED_VALUE"""),5575.0)</f>
        <v>5575</v>
      </c>
      <c r="B5577" s="87" t="str">
        <f>IFERROR(__xludf.DUMMYFUNCTION("""COMPUTED_VALUE"""),"[Nhãn Thùng]")</f>
        <v>[Nhãn Thùng]</v>
      </c>
      <c r="C5577" s="87" t="str">
        <f>IFERROR(__xludf.DUMMYFUNCTION("""COMPUTED_VALUE"""),"NDT4683")</f>
        <v>NDT4683</v>
      </c>
      <c r="D5577" s="87" t="str">
        <f>IFERROR(__xludf.DUMMYFUNCTION("""COMPUTED_VALUE"""),"[Nhãn Thùng] GC - V - 4683 - CTY QUANG ĐĂNG AGRICULTURE - CANXIBO QĐ.MICRO (Nước trắng sữa) - 500ml - 40")</f>
        <v>[Nhãn Thùng] GC - V - 4683 - CTY QUANG ĐĂNG AGRICULTURE - CANXIBO QĐ.MICRO (Nước trắng sữa) - 500ml - 40</v>
      </c>
      <c r="E5577" s="87" t="str">
        <f>IFERROR(__xludf.DUMMYFUNCTION("""COMPUTED_VALUE"""),"Vi lượng AGAMA-CANXI BO")</f>
        <v>Vi lượng AGAMA-CANXI BO</v>
      </c>
      <c r="F5577" s="87" t="str">
        <f>IFERROR(__xludf.DUMMYFUNCTION("""COMPUTED_VALUE"""),"HH4683")</f>
        <v>HH4683</v>
      </c>
      <c r="G5577" s="87" t="str">
        <f>IFERROR(__xludf.DUMMYFUNCTION("""COMPUTED_VALUE"""),"GC - V - 4683 - CTY QUANG ĐĂNG AGRICULTURE - CANXIBO QĐ.MICRO (Nước trắng sữa) - 500ml - 40")</f>
        <v>GC - V - 4683 - CTY QUANG ĐĂNG AGRICULTURE - CANXIBO QĐ.MICRO (Nước trắng sữa) - 500ml - 40</v>
      </c>
    </row>
    <row r="5578">
      <c r="A5578" s="86">
        <f>IFERROR(__xludf.DUMMYFUNCTION("""COMPUTED_VALUE"""),5576.0)</f>
        <v>5576</v>
      </c>
      <c r="B5578" s="87" t="str">
        <f>IFERROR(__xludf.DUMMYFUNCTION("""COMPUTED_VALUE"""),"[Nhãn Thùng]")</f>
        <v>[Nhãn Thùng]</v>
      </c>
      <c r="C5578" s="87" t="str">
        <f>IFERROR(__xludf.DUMMYFUNCTION("""COMPUTED_VALUE"""),"NDT4662")</f>
        <v>NDT4662</v>
      </c>
      <c r="D5578" s="87" t="str">
        <f>IFERROR(__xludf.DUMMYFUNCTION("""COMPUTED_VALUE"""),"[Nhãn Thùng] GC - V - 4662 - Cty Kim Ngọc - PANACEA (nước đỏ) - 250ml - 40")</f>
        <v>[Nhãn Thùng] GC - V - 4662 - Cty Kim Ngọc - PANACEA (nước đỏ) - 250ml - 40</v>
      </c>
      <c r="E5578" s="87" t="str">
        <f>IFERROR(__xludf.DUMMYFUNCTION("""COMPUTED_VALUE"""),"GENOL 1.2SL")</f>
        <v>GENOL 1.2SL</v>
      </c>
      <c r="F5578" s="87" t="str">
        <f>IFERROR(__xludf.DUMMYFUNCTION("""COMPUTED_VALUE"""),"HH4662")</f>
        <v>HH4662</v>
      </c>
      <c r="G5578" s="87" t="str">
        <f>IFERROR(__xludf.DUMMYFUNCTION("""COMPUTED_VALUE"""),"GC - V - 4662 - Cty Kim Ngọc - PANACEA (nước đỏ) - 250ml - 40")</f>
        <v>GC - V - 4662 - Cty Kim Ngọc - PANACEA (nước đỏ) - 250ml - 40</v>
      </c>
    </row>
    <row r="5579">
      <c r="A5579" s="86">
        <f>IFERROR(__xludf.DUMMYFUNCTION("""COMPUTED_VALUE"""),5577.0)</f>
        <v>5577</v>
      </c>
      <c r="B5579" s="87" t="str">
        <f>IFERROR(__xludf.DUMMYFUNCTION("""COMPUTED_VALUE"""),"[Nhãn Thùng]")</f>
        <v>[Nhãn Thùng]</v>
      </c>
      <c r="C5579" s="87" t="str">
        <f>IFERROR(__xludf.DUMMYFUNCTION("""COMPUTED_VALUE"""),"NDT4686")</f>
        <v>NDT4686</v>
      </c>
      <c r="D5579" s="87" t="str">
        <f>IFERROR(__xludf.DUMMYFUNCTION("""COMPUTED_VALUE"""),"[Nhãn Thùng] GC - IV - 4686 - NEWTECH CROP SCIENCE - CITTIZEN 333SC (Chai cam) (Nước cam sữa) - 450ml - 40")</f>
        <v>[Nhãn Thùng] GC - IV - 4686 - NEWTECH CROP SCIENCE - CITTIZEN 333SC (Chai cam) (Nước cam sữa) - 450ml - 40</v>
      </c>
      <c r="E5579" s="87" t="str">
        <f>IFERROR(__xludf.DUMMYFUNCTION("""COMPUTED_VALUE"""),"CITTIZEN 333SC")</f>
        <v>CITTIZEN 333SC</v>
      </c>
      <c r="F5579" s="87" t="str">
        <f>IFERROR(__xludf.DUMMYFUNCTION("""COMPUTED_VALUE"""),"HH4686")</f>
        <v>HH4686</v>
      </c>
      <c r="G5579" s="87" t="str">
        <f>IFERROR(__xludf.DUMMYFUNCTION("""COMPUTED_VALUE"""),"GC - IV - 4686 - NEWTECH CROP SCIENCE - CITTIZEN 333SC (Chai cam) (Nước cam sữa) - 450ml - 40")</f>
        <v>GC - IV - 4686 - NEWTECH CROP SCIENCE - CITTIZEN 333SC (Chai cam) (Nước cam sữa) - 450ml - 40</v>
      </c>
    </row>
    <row r="5580">
      <c r="A5580" s="86">
        <f>IFERROR(__xludf.DUMMYFUNCTION("""COMPUTED_VALUE"""),5578.0)</f>
        <v>5578</v>
      </c>
      <c r="B5580" s="87" t="str">
        <f>IFERROR(__xludf.DUMMYFUNCTION("""COMPUTED_VALUE"""),"[Nhãn Thùng]")</f>
        <v>[Nhãn Thùng]</v>
      </c>
      <c r="C5580" s="87" t="str">
        <f>IFERROR(__xludf.DUMMYFUNCTION("""COMPUTED_VALUE"""),"NDT4552")</f>
        <v>NDT4552</v>
      </c>
      <c r="D5580" s="87" t="str">
        <f>IFERROR(__xludf.DUMMYFUNCTION("""COMPUTED_VALUE"""),"[Nhãn Thùng] GC - IV - 4552 - NEWTECH CROP SCIENCE - CITTIZEN 333SC (Chai vàng) (Nước cam sữa) - 450ml - 40")</f>
        <v>[Nhãn Thùng] GC - IV - 4552 - NEWTECH CROP SCIENCE - CITTIZEN 333SC (Chai vàng) (Nước cam sữa) - 450ml - 40</v>
      </c>
      <c r="E5580" s="87" t="str">
        <f>IFERROR(__xludf.DUMMYFUNCTION("""COMPUTED_VALUE"""),"CITTIZEN 333SC")</f>
        <v>CITTIZEN 333SC</v>
      </c>
      <c r="F5580" s="87" t="str">
        <f>IFERROR(__xludf.DUMMYFUNCTION("""COMPUTED_VALUE"""),"HH4552")</f>
        <v>HH4552</v>
      </c>
      <c r="G5580" s="87" t="str">
        <f>IFERROR(__xludf.DUMMYFUNCTION("""COMPUTED_VALUE"""),"GC - IV - 4552 - NEWTECH CROP SCIENCE - CITTIZEN 333SC (Chai vàng) (Nước cam sữa) - 450ml - 40")</f>
        <v>GC - IV - 4552 - NEWTECH CROP SCIENCE - CITTIZEN 333SC (Chai vàng) (Nước cam sữa) - 450ml - 40</v>
      </c>
    </row>
    <row r="5581">
      <c r="A5581" s="86">
        <f>IFERROR(__xludf.DUMMYFUNCTION("""COMPUTED_VALUE"""),5579.0)</f>
        <v>5579</v>
      </c>
      <c r="B5581" s="87" t="str">
        <f>IFERROR(__xludf.DUMMYFUNCTION("""COMPUTED_VALUE"""),"[Nhãn Thùng]")</f>
        <v>[Nhãn Thùng]</v>
      </c>
      <c r="C5581" s="87" t="str">
        <f>IFERROR(__xludf.DUMMYFUNCTION("""COMPUTED_VALUE"""),"NDT4682")</f>
        <v>NDT4682</v>
      </c>
      <c r="D5581" s="87" t="str">
        <f>IFERROR(__xludf.DUMMYFUNCTION("""COMPUTED_VALUE"""),"[Nhãn Thùng] GC - V - 4682 - NEWTECH CROP SCIENCE - GENOL 1.2SL (Chai vàng) (Nước đỏ) - 450ml - 40")</f>
        <v>[Nhãn Thùng] GC - V - 4682 - NEWTECH CROP SCIENCE - GENOL 1.2SL (Chai vàng) (Nước đỏ) - 450ml - 40</v>
      </c>
      <c r="E5581" s="87" t="str">
        <f>IFERROR(__xludf.DUMMYFUNCTION("""COMPUTED_VALUE"""),"GENOL 1.2SL")</f>
        <v>GENOL 1.2SL</v>
      </c>
      <c r="F5581" s="87" t="str">
        <f>IFERROR(__xludf.DUMMYFUNCTION("""COMPUTED_VALUE"""),"HH4682")</f>
        <v>HH4682</v>
      </c>
      <c r="G5581" s="87" t="str">
        <f>IFERROR(__xludf.DUMMYFUNCTION("""COMPUTED_VALUE"""),"GC - V - 4682 - NEWTECH CROP SCIENCE - GENOL 1.2SL (Chai vàng) (Nước đỏ) - 450ml - 40")</f>
        <v>GC - V - 4682 - NEWTECH CROP SCIENCE - GENOL 1.2SL (Chai vàng) (Nước đỏ) - 450ml - 40</v>
      </c>
    </row>
    <row r="5582">
      <c r="A5582" s="86">
        <f>IFERROR(__xludf.DUMMYFUNCTION("""COMPUTED_VALUE"""),5580.0)</f>
        <v>5580</v>
      </c>
      <c r="B5582" s="87" t="str">
        <f>IFERROR(__xludf.DUMMYFUNCTION("""COMPUTED_VALUE"""),"[Nhãn Thùng]")</f>
        <v>[Nhãn Thùng]</v>
      </c>
      <c r="C5582" s="87" t="str">
        <f>IFERROR(__xludf.DUMMYFUNCTION("""COMPUTED_VALUE"""),"NDT4693")</f>
        <v>NDT4693</v>
      </c>
      <c r="D5582" s="87" t="str">
        <f>IFERROR(__xludf.DUMMYFUNCTION("""COMPUTED_VALUE"""),"[Nhãn Thùng] GC - V - 4693 - Cty Newtex - OXYCIN 100WP (Bột trắng) - 100gr - 100")</f>
        <v>[Nhãn Thùng] GC - V - 4693 - Cty Newtex - OXYCIN 100WP (Bột trắng) - 100gr - 100</v>
      </c>
      <c r="E5582" s="87" t="str">
        <f>IFERROR(__xludf.DUMMYFUNCTION("""COMPUTED_VALUE"""),"Oxycin 100WP")</f>
        <v>Oxycin 100WP</v>
      </c>
      <c r="F5582" s="87" t="str">
        <f>IFERROR(__xludf.DUMMYFUNCTION("""COMPUTED_VALUE"""),"HH4693")</f>
        <v>HH4693</v>
      </c>
      <c r="G5582" s="87" t="str">
        <f>IFERROR(__xludf.DUMMYFUNCTION("""COMPUTED_VALUE"""),"GC - V - 4693 - Cty Newtex - OXYCIN 100WP (Bột trắng) - 100gr - 100")</f>
        <v>GC - V - 4693 - Cty Newtex - OXYCIN 100WP (Bột trắng) - 100gr - 100</v>
      </c>
    </row>
    <row r="5583">
      <c r="A5583" s="86">
        <f>IFERROR(__xludf.DUMMYFUNCTION("""COMPUTED_VALUE"""),5581.0)</f>
        <v>5581</v>
      </c>
      <c r="B5583" s="87" t="str">
        <f>IFERROR(__xludf.DUMMYFUNCTION("""COMPUTED_VALUE"""),"[Nhãn Thùng]")</f>
        <v>[Nhãn Thùng]</v>
      </c>
      <c r="C5583" s="87" t="str">
        <f>IFERROR(__xludf.DUMMYFUNCTION("""COMPUTED_VALUE"""),"NDT4615")</f>
        <v>NDT4615</v>
      </c>
      <c r="D5583" s="87" t="str">
        <f>IFERROR(__xludf.DUMMYFUNCTION("""COMPUTED_VALUE"""),"[Nhãn Thùng] IDA GLOBAL - I - 4615 - CREEK 51WG (Dạng cốm màu vàng nhạt) - 30gr - 300")</f>
        <v>[Nhãn Thùng] IDA GLOBAL - I - 4615 - CREEK 51WG (Dạng cốm màu vàng nhạt) - 30gr - 300</v>
      </c>
      <c r="E5583" s="87" t="str">
        <f>IFERROR(__xludf.DUMMYFUNCTION("""COMPUTED_VALUE"""),"Creek 51WG")</f>
        <v>Creek 51WG</v>
      </c>
      <c r="F5583" s="87" t="str">
        <f>IFERROR(__xludf.DUMMYFUNCTION("""COMPUTED_VALUE"""),"HH4615")</f>
        <v>HH4615</v>
      </c>
      <c r="G5583" s="87" t="str">
        <f>IFERROR(__xludf.DUMMYFUNCTION("""COMPUTED_VALUE"""),"IDA GLOBAL - I - 4615 - CREEK 51WG (Dạng cốm màu vàng nhạt) - 30gr - 300")</f>
        <v>IDA GLOBAL - I - 4615 - CREEK 51WG (Dạng cốm màu vàng nhạt) - 30gr - 300</v>
      </c>
    </row>
    <row r="5584">
      <c r="A5584" s="86">
        <f>IFERROR(__xludf.DUMMYFUNCTION("""COMPUTED_VALUE"""),5582.0)</f>
        <v>5582</v>
      </c>
      <c r="B5584" s="87" t="str">
        <f>IFERROR(__xludf.DUMMYFUNCTION("""COMPUTED_VALUE"""),"[Nhãn Thùng]")</f>
        <v>[Nhãn Thùng]</v>
      </c>
      <c r="C5584" s="87" t="str">
        <f>IFERROR(__xludf.DUMMYFUNCTION("""COMPUTED_VALUE"""),"NDT4690")</f>
        <v>NDT4690</v>
      </c>
      <c r="D5584" s="87" t="str">
        <f>IFERROR(__xludf.DUMMYFUNCTION("""COMPUTED_VALUE"""),"[Nhãn Thùng] GC - V - 4690 - HKD HUYỀN NHỰT - SẠCH BỌ TRĨ (Dạng cốm màu trắng ngà) - 15gr - 400")</f>
        <v>[Nhãn Thùng] GC - V - 4690 - HKD HUYỀN NHỰT - SẠCH BỌ TRĨ (Dạng cốm màu trắng ngà) - 15gr - 400</v>
      </c>
      <c r="E5584" s="87" t="str">
        <f>IFERROR(__xludf.DUMMYFUNCTION("""COMPUTED_VALUE"""),"NOFARA 35WG")</f>
        <v>NOFARA 35WG</v>
      </c>
      <c r="F5584" s="87" t="str">
        <f>IFERROR(__xludf.DUMMYFUNCTION("""COMPUTED_VALUE"""),"HH4690")</f>
        <v>HH4690</v>
      </c>
      <c r="G5584" s="87" t="str">
        <f>IFERROR(__xludf.DUMMYFUNCTION("""COMPUTED_VALUE"""),"GC - V - 4690 - HKD HUYỀN NHỰT - SẠCH BỌ TRĨ (Dạng cốm màu trắng ngà) - 15gr - 400")</f>
        <v>GC - V - 4690 - HKD HUYỀN NHỰT - SẠCH BỌ TRĨ (Dạng cốm màu trắng ngà) - 15gr - 400</v>
      </c>
    </row>
    <row r="5585">
      <c r="A5585" s="86">
        <f>IFERROR(__xludf.DUMMYFUNCTION("""COMPUTED_VALUE"""),5583.0)</f>
        <v>5583</v>
      </c>
      <c r="B5585" s="87" t="str">
        <f>IFERROR(__xludf.DUMMYFUNCTION("""COMPUTED_VALUE"""),"[Nhãn Thùng]")</f>
        <v>[Nhãn Thùng]</v>
      </c>
      <c r="C5585" s="87" t="str">
        <f>IFERROR(__xludf.DUMMYFUNCTION("""COMPUTED_VALUE"""),"NDT4628")</f>
        <v>NDT4628</v>
      </c>
      <c r="D5585" s="87" t="str">
        <f>IFERROR(__xludf.DUMMYFUNCTION("""COMPUTED_VALUE"""),"[Nhãn Thùng] IDA GLOBAL - I - 4628 - CREEK 51WG (Dạng cốm màu vàng nhạt) - 150gr - 100")</f>
        <v>[Nhãn Thùng] IDA GLOBAL - I - 4628 - CREEK 51WG (Dạng cốm màu vàng nhạt) - 150gr - 100</v>
      </c>
      <c r="E5585" s="87" t="str">
        <f>IFERROR(__xludf.DUMMYFUNCTION("""COMPUTED_VALUE"""),"Creek 51WG")</f>
        <v>Creek 51WG</v>
      </c>
      <c r="F5585" s="87" t="str">
        <f>IFERROR(__xludf.DUMMYFUNCTION("""COMPUTED_VALUE"""),"HH4628")</f>
        <v>HH4628</v>
      </c>
      <c r="G5585" s="87" t="str">
        <f>IFERROR(__xludf.DUMMYFUNCTION("""COMPUTED_VALUE"""),"IDA GLOBAL - I - 4628 - CREEK 51WG (Dạng cốm màu vàng nhạt) - 150gr - 100")</f>
        <v>IDA GLOBAL - I - 4628 - CREEK 51WG (Dạng cốm màu vàng nhạt) - 150gr - 100</v>
      </c>
    </row>
    <row r="5586">
      <c r="A5586" s="86">
        <f>IFERROR(__xludf.DUMMYFUNCTION("""COMPUTED_VALUE"""),5584.0)</f>
        <v>5584</v>
      </c>
      <c r="B5586" s="87" t="str">
        <f>IFERROR(__xludf.DUMMYFUNCTION("""COMPUTED_VALUE"""),"[Nhãn Thùng]")</f>
        <v>[Nhãn Thùng]</v>
      </c>
      <c r="C5586" s="87" t="str">
        <f>IFERROR(__xludf.DUMMYFUNCTION("""COMPUTED_VALUE"""),"NDT4665")</f>
        <v>NDT4665</v>
      </c>
      <c r="D5586" s="87" t="str">
        <f>IFERROR(__xludf.DUMMYFUNCTION("""COMPUTED_VALUE"""),"[Nhãn Thùng] GC - V - 4665 - CTY R3 - EMAX 55 (Dạng cốm màu trắng ngà) - 100gr - 100")</f>
        <v>[Nhãn Thùng] GC - V - 4665 - CTY R3 - EMAX 55 (Dạng cốm màu trắng ngà) - 100gr - 100</v>
      </c>
      <c r="E5586" s="87" t="str">
        <f>IFERROR(__xludf.DUMMYFUNCTION("""COMPUTED_VALUE"""),"MAKEGREEN 55WG")</f>
        <v>MAKEGREEN 55WG</v>
      </c>
      <c r="F5586" s="87" t="str">
        <f>IFERROR(__xludf.DUMMYFUNCTION("""COMPUTED_VALUE"""),"HH4665")</f>
        <v>HH4665</v>
      </c>
      <c r="G5586" s="87" t="str">
        <f>IFERROR(__xludf.DUMMYFUNCTION("""COMPUTED_VALUE"""),"GC - V - 4665 - CTY R3 - EMAX 55 (Dạng cốm màu trắng ngà) - 100gr - 100")</f>
        <v>GC - V - 4665 - CTY R3 - EMAX 55 (Dạng cốm màu trắng ngà) - 100gr - 100</v>
      </c>
    </row>
    <row r="5587">
      <c r="A5587" s="86">
        <f>IFERROR(__xludf.DUMMYFUNCTION("""COMPUTED_VALUE"""),5585.0)</f>
        <v>5585</v>
      </c>
      <c r="B5587" s="87" t="str">
        <f>IFERROR(__xludf.DUMMYFUNCTION("""COMPUTED_VALUE"""),"[Nhãn Thùng]")</f>
        <v>[Nhãn Thùng]</v>
      </c>
      <c r="C5587" s="87" t="str">
        <f>IFERROR(__xludf.DUMMYFUNCTION("""COMPUTED_VALUE"""),"NDT4668")</f>
        <v>NDT4668</v>
      </c>
      <c r="D5587" s="87" t="str">
        <f>IFERROR(__xludf.DUMMYFUNCTION("""COMPUTED_VALUE"""),"[Nhãn Thùng] GC - V - 4668 - HKD HUYỀN NHỰT - SIÊU DIỆT BỌ TRĨ - 15gr - 400")</f>
        <v>[Nhãn Thùng] GC - V - 4668 - HKD HUYỀN NHỰT - SIÊU DIỆT BỌ TRĨ - 15gr - 400</v>
      </c>
      <c r="E5587" s="87" t="str">
        <f>IFERROR(__xludf.DUMMYFUNCTION("""COMPUTED_VALUE"""),"NOMIDA 700WG")</f>
        <v>NOMIDA 700WG</v>
      </c>
      <c r="F5587" s="87" t="str">
        <f>IFERROR(__xludf.DUMMYFUNCTION("""COMPUTED_VALUE"""),"HH4668")</f>
        <v>HH4668</v>
      </c>
      <c r="G5587" s="87" t="str">
        <f>IFERROR(__xludf.DUMMYFUNCTION("""COMPUTED_VALUE"""),"GC - V - 4668 - HKD HUYỀN NHỰT - SIÊU DIỆT BỌ TRĨ - 15gr - 400")</f>
        <v>GC - V - 4668 - HKD HUYỀN NHỰT - SIÊU DIỆT BỌ TRĨ - 15gr - 400</v>
      </c>
    </row>
    <row r="5588">
      <c r="A5588" s="86">
        <f>IFERROR(__xludf.DUMMYFUNCTION("""COMPUTED_VALUE"""),5586.0)</f>
        <v>5586</v>
      </c>
      <c r="B5588" s="87" t="str">
        <f>IFERROR(__xludf.DUMMYFUNCTION("""COMPUTED_VALUE"""),"[Nhãn Thùng]")</f>
        <v>[Nhãn Thùng]</v>
      </c>
      <c r="C5588" s="87" t="str">
        <f>IFERROR(__xludf.DUMMYFUNCTION("""COMPUTED_VALUE"""),"NDT4576")</f>
        <v>NDT4576</v>
      </c>
      <c r="D5588" s="87" t="str">
        <f>IFERROR(__xludf.DUMMYFUNCTION("""COMPUTED_VALUE"""),"[Nhãn Thùng] GC - V - 4576 - Cty Newtex - DRAGON REX (Dạng cốm màu trắng ngà) - 50gr - 200")</f>
        <v>[Nhãn Thùng] GC - V - 4576 - Cty Newtex - DRAGON REX (Dạng cốm màu trắng ngà) - 50gr - 200</v>
      </c>
      <c r="E5588" s="87" t="str">
        <f>IFERROR(__xludf.DUMMYFUNCTION("""COMPUTED_VALUE"""),"Emaxtin 55.5WG")</f>
        <v>Emaxtin 55.5WG</v>
      </c>
      <c r="F5588" s="87" t="str">
        <f>IFERROR(__xludf.DUMMYFUNCTION("""COMPUTED_VALUE"""),"HH4576")</f>
        <v>HH4576</v>
      </c>
      <c r="G5588" s="87" t="str">
        <f>IFERROR(__xludf.DUMMYFUNCTION("""COMPUTED_VALUE"""),"GC - V - 4576 - Cty Newtex - DRAGON REX (Dạng cốm màu trắng ngà) - 50gr - 200")</f>
        <v>GC - V - 4576 - Cty Newtex - DRAGON REX (Dạng cốm màu trắng ngà) - 50gr - 200</v>
      </c>
    </row>
    <row r="5589">
      <c r="A5589" s="86">
        <f>IFERROR(__xludf.DUMMYFUNCTION("""COMPUTED_VALUE"""),5587.0)</f>
        <v>5587</v>
      </c>
      <c r="B5589" s="87" t="str">
        <f>IFERROR(__xludf.DUMMYFUNCTION("""COMPUTED_VALUE"""),"[Nhãn Thùng]")</f>
        <v>[Nhãn Thùng]</v>
      </c>
      <c r="C5589" s="87" t="str">
        <f>IFERROR(__xludf.DUMMYFUNCTION("""COMPUTED_VALUE"""),"NDT4617")</f>
        <v>NDT4617</v>
      </c>
      <c r="D5589" s="87" t="str">
        <f>IFERROR(__xludf.DUMMYFUNCTION("""COMPUTED_VALUE"""),"[Nhãn Thùng] IDA Global - I - 4617 - RONADO (Nước tím) - 450ml - 40")</f>
        <v>[Nhãn Thùng] IDA Global - I - 4617 - RONADO (Nước tím) - 450ml - 40</v>
      </c>
      <c r="E5589" s="87" t="str">
        <f>IFERROR(__xludf.DUMMYFUNCTION("""COMPUTED_VALUE"""),"Hỗn Hợp NP AGAMA-AP")</f>
        <v>Hỗn Hợp NP AGAMA-AP</v>
      </c>
      <c r="F5589" s="87" t="str">
        <f>IFERROR(__xludf.DUMMYFUNCTION("""COMPUTED_VALUE"""),"HH4617")</f>
        <v>HH4617</v>
      </c>
      <c r="G5589" s="87" t="str">
        <f>IFERROR(__xludf.DUMMYFUNCTION("""COMPUTED_VALUE"""),"IDA Global - I - 4617 - RONADO (Nước tím) - 450ml - 40")</f>
        <v>IDA Global - I - 4617 - RONADO (Nước tím) - 450ml - 40</v>
      </c>
    </row>
    <row r="5590">
      <c r="A5590" s="86">
        <f>IFERROR(__xludf.DUMMYFUNCTION("""COMPUTED_VALUE"""),5588.0)</f>
        <v>5588</v>
      </c>
      <c r="B5590" s="87" t="str">
        <f>IFERROR(__xludf.DUMMYFUNCTION("""COMPUTED_VALUE"""),"[Nhãn Thùng]")</f>
        <v>[Nhãn Thùng]</v>
      </c>
      <c r="C5590" s="87" t="str">
        <f>IFERROR(__xludf.DUMMYFUNCTION("""COMPUTED_VALUE"""),"NDT4666")</f>
        <v>NDT4666</v>
      </c>
      <c r="D5590" s="87" t="str">
        <f>IFERROR(__xludf.DUMMYFUNCTION("""COMPUTED_VALUE"""),"[Nhãn Thùng] GC - IV - 4666 - Cty Master Win - ENERGROW (Gel nâu đen) - 1L - 20")</f>
        <v>[Nhãn Thùng] GC - IV - 4666 - Cty Master Win - ENERGROW (Gel nâu đen) - 1L - 20</v>
      </c>
      <c r="E5590" s="87" t="str">
        <f>IFERROR(__xludf.DUMMYFUNCTION("""COMPUTED_VALUE"""),"Hữu Cơ Crops Care")</f>
        <v>Hữu Cơ Crops Care</v>
      </c>
      <c r="F5590" s="87" t="str">
        <f>IFERROR(__xludf.DUMMYFUNCTION("""COMPUTED_VALUE"""),"HH4666")</f>
        <v>HH4666</v>
      </c>
      <c r="G5590" s="87" t="str">
        <f>IFERROR(__xludf.DUMMYFUNCTION("""COMPUTED_VALUE"""),"GC - IV - 4666 - Cty Master Win - ENERGROW (Gel nâu đen) - 1L - 20")</f>
        <v>GC - IV - 4666 - Cty Master Win - ENERGROW (Gel nâu đen) - 1L - 20</v>
      </c>
    </row>
    <row r="5591">
      <c r="A5591" s="86">
        <f>IFERROR(__xludf.DUMMYFUNCTION("""COMPUTED_VALUE"""),5589.0)</f>
        <v>5589</v>
      </c>
      <c r="B5591" s="87" t="str">
        <f>IFERROR(__xludf.DUMMYFUNCTION("""COMPUTED_VALUE"""),"[Nhãn Thùng]")</f>
        <v>[Nhãn Thùng]</v>
      </c>
      <c r="C5591" s="87" t="str">
        <f>IFERROR(__xludf.DUMMYFUNCTION("""COMPUTED_VALUE"""),"NDT4672")</f>
        <v>NDT4672</v>
      </c>
      <c r="D5591" s="87" t="str">
        <f>IFERROR(__xludf.DUMMYFUNCTION("""COMPUTED_VALUE"""),"[Nhãn Thùng] LOT ABA - V - 4672 - THIÊN AN - NEW AMINO (Nước nâu đen) - 500ml - 30")</f>
        <v>[Nhãn Thùng] LOT ABA - V - 4672 - THIÊN AN - NEW AMINO (Nước nâu đen) - 500ml - 30</v>
      </c>
      <c r="E5591" s="87" t="str">
        <f>IFERROR(__xludf.DUMMYFUNCTION("""COMPUTED_VALUE"""),"Hữu cơ Organic BM Gold  FW")</f>
        <v>Hữu cơ Organic BM Gold  FW</v>
      </c>
      <c r="F5591" s="87" t="str">
        <f>IFERROR(__xludf.DUMMYFUNCTION("""COMPUTED_VALUE"""),"HH4672")</f>
        <v>HH4672</v>
      </c>
      <c r="G5591" s="87" t="str">
        <f>IFERROR(__xludf.DUMMYFUNCTION("""COMPUTED_VALUE"""),"LOT ABA - V - 4672 - THIÊN AN - NEW AMINO (Nước nâu đen) - 500ml - 30")</f>
        <v>LOT ABA - V - 4672 - THIÊN AN - NEW AMINO (Nước nâu đen) - 500ml - 30</v>
      </c>
    </row>
    <row r="5592">
      <c r="A5592" s="86">
        <f>IFERROR(__xludf.DUMMYFUNCTION("""COMPUTED_VALUE"""),5590.0)</f>
        <v>5590</v>
      </c>
      <c r="B5592" s="87" t="str">
        <f>IFERROR(__xludf.DUMMYFUNCTION("""COMPUTED_VALUE"""),"[Nhãn]")</f>
        <v>[Nhãn]</v>
      </c>
      <c r="C5592" s="87" t="str">
        <f>IFERROR(__xludf.DUMMYFUNCTION("""COMPUTED_VALUE"""),"NHG4694")</f>
        <v>NHG4694</v>
      </c>
      <c r="D5592" s="87" t="str">
        <f>IFERROR(__xludf.DUMMYFUNCTION("""COMPUTED_VALUE"""),"[Nhãn] GC - V - 4694 - Cty Newtex - VÔ GẠO T9 (Dạng SC - Xanh lá) - 500ml - 40")</f>
        <v>[Nhãn] GC - V - 4694 - Cty Newtex - VÔ GẠO T9 (Dạng SC - Xanh lá) - 500ml - 40</v>
      </c>
      <c r="E5592" s="87" t="str">
        <f>IFERROR(__xludf.DUMMYFUNCTION("""COMPUTED_VALUE"""),"Hỗn hợp NPK GNC 101")</f>
        <v>Hỗn hợp NPK GNC 101</v>
      </c>
      <c r="F5592" s="87" t="str">
        <f>IFERROR(__xludf.DUMMYFUNCTION("""COMPUTED_VALUE"""),"HH4694")</f>
        <v>HH4694</v>
      </c>
      <c r="G5592" s="87" t="str">
        <f>IFERROR(__xludf.DUMMYFUNCTION("""COMPUTED_VALUE"""),"GC - V - 4694 - Cty Newtex - VÔ GẠO T9 (Dạng SC - Xanh lá) - 500ml - 40")</f>
        <v>GC - V - 4694 - Cty Newtex - VÔ GẠO T9 (Dạng SC - Xanh lá) - 500ml - 40</v>
      </c>
    </row>
    <row r="5593">
      <c r="A5593" s="86">
        <f>IFERROR(__xludf.DUMMYFUNCTION("""COMPUTED_VALUE"""),5591.0)</f>
        <v>5591</v>
      </c>
      <c r="B5593" s="87" t="str">
        <f>IFERROR(__xludf.DUMMYFUNCTION("""COMPUTED_VALUE"""),"[Nhãn]")</f>
        <v>[Nhãn]</v>
      </c>
      <c r="C5593" s="87" t="str">
        <f>IFERROR(__xludf.DUMMYFUNCTION("""COMPUTED_VALUE"""),"NHD4642")</f>
        <v>NHD4642</v>
      </c>
      <c r="D5593" s="87" t="str">
        <f>IFERROR(__xludf.DUMMYFUNCTION("""COMPUTED_VALUE"""),"[Nhãn] GC - V - 4642 - CTY HÓA NÔNG ĐẤT VIỆT - ĐẤT VIỆT BIOGREEN (Nước nâu đen) - 20 lít - 1")</f>
        <v>[Nhãn] GC - V - 4642 - CTY HÓA NÔNG ĐẤT VIỆT - ĐẤT VIỆT BIOGREEN (Nước nâu đen) - 20 lít - 1</v>
      </c>
      <c r="E5593" s="87" t="str">
        <f>IFERROR(__xludf.DUMMYFUNCTION("""COMPUTED_VALUE"""),"Hữu Cơ Organic ĐGP 01")</f>
        <v>Hữu Cơ Organic ĐGP 01</v>
      </c>
      <c r="F5593" s="87" t="str">
        <f>IFERROR(__xludf.DUMMYFUNCTION("""COMPUTED_VALUE"""),"HH4642")</f>
        <v>HH4642</v>
      </c>
      <c r="G5593" s="87" t="str">
        <f>IFERROR(__xludf.DUMMYFUNCTION("""COMPUTED_VALUE"""),"GC - V - 4642 - CTY HÓA NÔNG ĐẤT VIỆT - ĐẤT VIỆT BIOGREEN (Nước nâu đen) - 20 lít - 1")</f>
        <v>GC - V - 4642 - CTY HÓA NÔNG ĐẤT VIỆT - ĐẤT VIỆT BIOGREEN (Nước nâu đen) - 20 lít - 1</v>
      </c>
    </row>
    <row r="5594">
      <c r="A5594" s="86">
        <f>IFERROR(__xludf.DUMMYFUNCTION("""COMPUTED_VALUE"""),5592.0)</f>
        <v>5592</v>
      </c>
      <c r="B5594" s="87" t="str">
        <f>IFERROR(__xludf.DUMMYFUNCTION("""COMPUTED_VALUE"""),"[Nhãn]")</f>
        <v>[Nhãn]</v>
      </c>
      <c r="C5594" s="87" t="str">
        <f>IFERROR(__xludf.DUMMYFUNCTION("""COMPUTED_VALUE"""),"NHG4678")</f>
        <v>NHG4678</v>
      </c>
      <c r="D5594" s="87" t="str">
        <f>IFERROR(__xludf.DUMMYFUNCTION("""COMPUTED_VALUE"""),"[Nhãn] LOTUS AGROCHEM - VI - 4678 - LOTUS KÍCH ĐÒNG - TẠO MẦM (Nước xanh lơ) - 250ml - 40")</f>
        <v>[Nhãn] LOTUS AGROCHEM - VI - 4678 - LOTUS KÍCH ĐÒNG - TẠO MẦM (Nước xanh lơ) - 250ml - 40</v>
      </c>
      <c r="E5594" s="87" t="str">
        <f>IFERROR(__xludf.DUMMYFUNCTION("""COMPUTED_VALUE"""),"Hỗn hợp NPK GBUMPER 02")</f>
        <v>Hỗn hợp NPK GBUMPER 02</v>
      </c>
      <c r="F5594" s="87" t="str">
        <f>IFERROR(__xludf.DUMMYFUNCTION("""COMPUTED_VALUE"""),"HH4678")</f>
        <v>HH4678</v>
      </c>
      <c r="G5594" s="87" t="str">
        <f>IFERROR(__xludf.DUMMYFUNCTION("""COMPUTED_VALUE"""),"LOTUS AGROCHEM - VI - 4678 - LOTUS KÍCH ĐÒNG - TẠO MẦM (Nước xanh lơ) - 250ml - 40")</f>
        <v>LOTUS AGROCHEM - VI - 4678 - LOTUS KÍCH ĐÒNG - TẠO MẦM (Nước xanh lơ) - 250ml - 40</v>
      </c>
    </row>
    <row r="5595">
      <c r="A5595" s="86">
        <f>IFERROR(__xludf.DUMMYFUNCTION("""COMPUTED_VALUE"""),5593.0)</f>
        <v>5593</v>
      </c>
      <c r="B5595" s="87" t="str">
        <f>IFERROR(__xludf.DUMMYFUNCTION("""COMPUTED_VALUE"""),"[Nhãn]")</f>
        <v>[Nhãn]</v>
      </c>
      <c r="C5595" s="87" t="str">
        <f>IFERROR(__xludf.DUMMYFUNCTION("""COMPUTED_VALUE"""),"NHG4680")</f>
        <v>NHG4680</v>
      </c>
      <c r="D5595" s="87" t="str">
        <f>IFERROR(__xludf.DUMMYFUNCTION("""COMPUTED_VALUE"""),"[Nhãn] LOTUS AGROCHEM - VI - 4680 - LOTUS KÍCH RỄ - BUNG CHỒI (Nước nâu đen) - 250ml - 40")</f>
        <v>[Nhãn] LOTUS AGROCHEM - VI - 4680 - LOTUS KÍCH RỄ - BUNG CHỒI (Nước nâu đen) - 250ml - 40</v>
      </c>
      <c r="E5595" s="87" t="str">
        <f>IFERROR(__xludf.DUMMYFUNCTION("""COMPUTED_VALUE"""),"Hữu cơ FUSEMIN COMBI+")</f>
        <v>Hữu cơ FUSEMIN COMBI+</v>
      </c>
      <c r="F5595" s="87" t="str">
        <f>IFERROR(__xludf.DUMMYFUNCTION("""COMPUTED_VALUE"""),"HH4680")</f>
        <v>HH4680</v>
      </c>
      <c r="G5595" s="87" t="str">
        <f>IFERROR(__xludf.DUMMYFUNCTION("""COMPUTED_VALUE"""),"LOTUS AGROCHEM - VI - 4680 - LOTUS KÍCH RỄ - BUNG CHỒI (Nước nâu đen) - 250ml - 40")</f>
        <v>LOTUS AGROCHEM - VI - 4680 - LOTUS KÍCH RỄ - BUNG CHỒI (Nước nâu đen) - 250ml - 40</v>
      </c>
    </row>
    <row r="5596">
      <c r="A5596" s="86">
        <f>IFERROR(__xludf.DUMMYFUNCTION("""COMPUTED_VALUE"""),5594.0)</f>
        <v>5594</v>
      </c>
      <c r="B5596" s="87" t="str">
        <f>IFERROR(__xludf.DUMMYFUNCTION("""COMPUTED_VALUE"""),"[Nhãn]")</f>
        <v>[Nhãn]</v>
      </c>
      <c r="C5596" s="87" t="str">
        <f>IFERROR(__xludf.DUMMYFUNCTION("""COMPUTED_VALUE"""),"NHG4679")</f>
        <v>NHG4679</v>
      </c>
      <c r="D5596" s="87" t="str">
        <f>IFERROR(__xludf.DUMMYFUNCTION("""COMPUTED_VALUE"""),"[Nhãn] LOTUS AGROCHEM - VI - 4679 - LOTUS VÔ GẠO (Nước xanh lơ) - 250ml - 40")</f>
        <v>[Nhãn] LOTUS AGROCHEM - VI - 4679 - LOTUS VÔ GẠO (Nước xanh lơ) - 250ml - 40</v>
      </c>
      <c r="E5596" s="87" t="str">
        <f>IFERROR(__xludf.DUMMYFUNCTION("""COMPUTED_VALUE"""),"Hỗn hợp NPK GNC 102")</f>
        <v>Hỗn hợp NPK GNC 102</v>
      </c>
      <c r="F5596" s="87" t="str">
        <f>IFERROR(__xludf.DUMMYFUNCTION("""COMPUTED_VALUE"""),"HH4679")</f>
        <v>HH4679</v>
      </c>
      <c r="G5596" s="87" t="str">
        <f>IFERROR(__xludf.DUMMYFUNCTION("""COMPUTED_VALUE"""),"LOTUS AGROCHEM - VI - 4679 - LOTUS VÔ GẠO (Nước xanh lơ) - 250ml - 40")</f>
        <v>LOTUS AGROCHEM - VI - 4679 - LOTUS VÔ GẠO (Nước xanh lơ) - 250ml - 40</v>
      </c>
    </row>
    <row r="5597">
      <c r="A5597" s="86">
        <f>IFERROR(__xludf.DUMMYFUNCTION("""COMPUTED_VALUE"""),5595.0)</f>
        <v>5595</v>
      </c>
      <c r="B5597" s="87" t="str">
        <f>IFERROR(__xludf.DUMMYFUNCTION("""COMPUTED_VALUE"""),"[Nhãn]")</f>
        <v>[Nhãn]</v>
      </c>
      <c r="C5597" s="87" t="str">
        <f>IFERROR(__xludf.DUMMYFUNCTION("""COMPUTED_VALUE"""),"NTN4693")</f>
        <v>NTN4693</v>
      </c>
      <c r="D5597" s="87" t="str">
        <f>IFERROR(__xludf.DUMMYFUNCTION("""COMPUTED_VALUE"""),"[Nhãn] GC - V - 4693 - Cty Newtex - OXYCIN 100WP (Bột trắng) - 100gr - 100")</f>
        <v>[Nhãn] GC - V - 4693 - Cty Newtex - OXYCIN 100WP (Bột trắng) - 100gr - 100</v>
      </c>
      <c r="E5597" s="87" t="str">
        <f>IFERROR(__xludf.DUMMYFUNCTION("""COMPUTED_VALUE"""),"Oxycin 100WP")</f>
        <v>Oxycin 100WP</v>
      </c>
      <c r="F5597" s="87" t="str">
        <f>IFERROR(__xludf.DUMMYFUNCTION("""COMPUTED_VALUE"""),"HH4693")</f>
        <v>HH4693</v>
      </c>
      <c r="G5597" s="87" t="str">
        <f>IFERROR(__xludf.DUMMYFUNCTION("""COMPUTED_VALUE"""),"GC - V - 4693 - Cty Newtex - OXYCIN 100WP (Bột trắng) - 100gr - 100")</f>
        <v>GC - V - 4693 - Cty Newtex - OXYCIN 100WP (Bột trắng) - 100gr - 100</v>
      </c>
    </row>
    <row r="5598">
      <c r="A5598" s="86">
        <f>IFERROR(__xludf.DUMMYFUNCTION("""COMPUTED_VALUE"""),5596.0)</f>
        <v>5596</v>
      </c>
      <c r="B5598" s="87" t="str">
        <f>IFERROR(__xludf.DUMMYFUNCTION("""COMPUTED_VALUE"""),"[Nhãn]")</f>
        <v>[Nhãn]</v>
      </c>
      <c r="C5598" s="87" t="str">
        <f>IFERROR(__xludf.DUMMYFUNCTION("""COMPUTED_VALUE"""),"NHG4695")</f>
        <v>NHG4695</v>
      </c>
      <c r="D5598" s="87" t="str">
        <f>IFERROR(__xludf.DUMMYFUNCTION("""COMPUTED_VALUE"""),"[Nhãn] GC - V - 4695 - CTY TÂY NAM - SPIDER REX (Nước xanh lá) - 240ml - 40")</f>
        <v>[Nhãn] GC - V - 4695 - CTY TÂY NAM - SPIDER REX (Nước xanh lá) - 240ml - 40</v>
      </c>
      <c r="E5598" s="87" t="str">
        <f>IFERROR(__xludf.DUMMYFUNCTION("""COMPUTED_VALUE"""),"Chitin 3.6EC")</f>
        <v>Chitin 3.6EC</v>
      </c>
      <c r="F5598" s="87" t="str">
        <f>IFERROR(__xludf.DUMMYFUNCTION("""COMPUTED_VALUE"""),"HH4695")</f>
        <v>HH4695</v>
      </c>
      <c r="G5598" s="87" t="str">
        <f>IFERROR(__xludf.DUMMYFUNCTION("""COMPUTED_VALUE"""),"GC - V - 4695 - CTY TÂY NAM - SPIDER REX (Nước xanh lá) - 240ml - 40")</f>
        <v>GC - V - 4695 - CTY TÂY NAM - SPIDER REX (Nước xanh lá) - 240ml - 40</v>
      </c>
    </row>
    <row r="5599">
      <c r="A5599" s="86">
        <f>IFERROR(__xludf.DUMMYFUNCTION("""COMPUTED_VALUE"""),5597.0)</f>
        <v>5597</v>
      </c>
      <c r="B5599" s="87" t="str">
        <f>IFERROR(__xludf.DUMMYFUNCTION("""COMPUTED_VALUE"""),"[Nhãn]")</f>
        <v>[Nhãn]</v>
      </c>
      <c r="C5599" s="87" t="str">
        <f>IFERROR(__xludf.DUMMYFUNCTION("""COMPUTED_VALUE"""),"NHG4687")</f>
        <v>NHG4687</v>
      </c>
      <c r="D5599" s="87" t="str">
        <f>IFERROR(__xludf.DUMMYFUNCTION("""COMPUTED_VALUE"""),"[Nhãn] GC - V - 4687 - CTY HÓA TRƯỜNG GIANG - FORTIL 25SC (Nước trắng sữa) - 1L - 20")</f>
        <v>[Nhãn] GC - V - 4687 - CTY HÓA TRƯỜNG GIANG - FORTIL 25SC (Nước trắng sữa) - 1L - 20</v>
      </c>
      <c r="E5599" s="87" t="str">
        <f>IFERROR(__xludf.DUMMYFUNCTION("""COMPUTED_VALUE"""),"FORTIL 25SC")</f>
        <v>FORTIL 25SC</v>
      </c>
      <c r="F5599" s="87" t="str">
        <f>IFERROR(__xludf.DUMMYFUNCTION("""COMPUTED_VALUE"""),"HH4687")</f>
        <v>HH4687</v>
      </c>
      <c r="G5599" s="87" t="str">
        <f>IFERROR(__xludf.DUMMYFUNCTION("""COMPUTED_VALUE"""),"GC - V - 4687 - CTY HÓA TRƯỜNG GIANG - FORTIL 25SC (Nước trắng sữa) - 1L - 20")</f>
        <v>GC - V - 4687 - CTY HÓA TRƯỜNG GIANG - FORTIL 25SC (Nước trắng sữa) - 1L - 20</v>
      </c>
    </row>
    <row r="5600">
      <c r="A5600" s="86">
        <f>IFERROR(__xludf.DUMMYFUNCTION("""COMPUTED_VALUE"""),5598.0)</f>
        <v>5598</v>
      </c>
      <c r="B5600" s="87" t="str">
        <f>IFERROR(__xludf.DUMMYFUNCTION("""COMPUTED_VALUE"""),"[Nhãn]")</f>
        <v>[Nhãn]</v>
      </c>
      <c r="C5600" s="87" t="str">
        <f>IFERROR(__xludf.DUMMYFUNCTION("""COMPUTED_VALUE"""),"NTN4595")</f>
        <v>NTN4595</v>
      </c>
      <c r="D5600" s="87" t="str">
        <f>IFERROR(__xludf.DUMMYFUNCTION("""COMPUTED_VALUE"""),"[Nhãn] GC - V - 4595 - CTY SEN HỒNG - BUM GOLD (Bột cam)  - 100gr - 100")</f>
        <v>[Nhãn] GC - V - 4595 - CTY SEN HỒNG - BUM GOLD (Bột cam)  - 100gr - 100</v>
      </c>
      <c r="E5600" s="87" t="str">
        <f>IFERROR(__xludf.DUMMYFUNCTION("""COMPUTED_VALUE"""),"NOFADA 822WP")</f>
        <v>NOFADA 822WP</v>
      </c>
      <c r="F5600" s="87" t="str">
        <f>IFERROR(__xludf.DUMMYFUNCTION("""COMPUTED_VALUE"""),"HH4595")</f>
        <v>HH4595</v>
      </c>
      <c r="G5600" s="87" t="str">
        <f>IFERROR(__xludf.DUMMYFUNCTION("""COMPUTED_VALUE"""),"GC - V - 4595 - CTY SEN HỒNG - BUM GOLD (Bột cam)  - 100gr - 100")</f>
        <v>GC - V - 4595 - CTY SEN HỒNG - BUM GOLD (Bột cam)  - 100gr - 100</v>
      </c>
    </row>
    <row r="5601">
      <c r="A5601" s="86">
        <f>IFERROR(__xludf.DUMMYFUNCTION("""COMPUTED_VALUE"""),5599.0)</f>
        <v>5599</v>
      </c>
      <c r="B5601" s="87" t="str">
        <f>IFERROR(__xludf.DUMMYFUNCTION("""COMPUTED_VALUE"""),"[Nhãn]")</f>
        <v>[Nhãn]</v>
      </c>
      <c r="C5601" s="87" t="str">
        <f>IFERROR(__xludf.DUMMYFUNCTION("""COMPUTED_VALUE"""),"NHG4703")</f>
        <v>NHG4703</v>
      </c>
      <c r="D5601" s="87" t="str">
        <f>IFERROR(__xludf.DUMMYFUNCTION("""COMPUTED_VALUE"""),"[Nhãn] GC - V - 4703 - CTY NÔNG HÓA XANH - Ninja Pro (Nước tím) - 240ml - 60")</f>
        <v>[Nhãn] GC - V - 4703 - CTY NÔNG HÓA XANH - Ninja Pro (Nước tím) - 240ml - 60</v>
      </c>
      <c r="E5601" s="87" t="str">
        <f>IFERROR(__xludf.DUMMYFUNCTION("""COMPUTED_VALUE"""),"Thipro 550EC")</f>
        <v>Thipro 550EC</v>
      </c>
      <c r="F5601" s="87" t="str">
        <f>IFERROR(__xludf.DUMMYFUNCTION("""COMPUTED_VALUE"""),"HH4703")</f>
        <v>HH4703</v>
      </c>
      <c r="G5601" s="87" t="str">
        <f>IFERROR(__xludf.DUMMYFUNCTION("""COMPUTED_VALUE"""),"GC - V - 4703 - CTY NÔNG HÓA XANH - Ninja Pro (Nước tím) - 240ml - 60")</f>
        <v>GC - V - 4703 - CTY NÔNG HÓA XANH - Ninja Pro (Nước tím) - 240ml - 60</v>
      </c>
    </row>
    <row r="5602">
      <c r="A5602" s="86">
        <f>IFERROR(__xludf.DUMMYFUNCTION("""COMPUTED_VALUE"""),5600.0)</f>
        <v>5600</v>
      </c>
      <c r="B5602" s="87" t="str">
        <f>IFERROR(__xludf.DUMMYFUNCTION("""COMPUTED_VALUE"""),"[Nhãn]")</f>
        <v>[Nhãn]</v>
      </c>
      <c r="C5602" s="87" t="str">
        <f>IFERROR(__xludf.DUMMYFUNCTION("""COMPUTED_VALUE"""),"NHG4105")</f>
        <v>NHG4105</v>
      </c>
      <c r="D5602" s="87" t="str">
        <f>IFERROR(__xludf.DUMMYFUNCTION("""COMPUTED_VALUE"""),"[Nhãn] GC - V - 4105 - Cty Sen Hồng (A.Diễn) - MITOP ONE 390SC (Nước xanh bơ sữa) - 220ml - 40")</f>
        <v>[Nhãn] GC - V - 4105 - Cty Sen Hồng (A.Diễn) - MITOP ONE 390SC (Nước xanh bơ sữa) - 220ml - 40</v>
      </c>
      <c r="E5602" s="87" t="str">
        <f>IFERROR(__xludf.DUMMYFUNCTION("""COMPUTED_VALUE"""),"MITOP ONE 390SC")</f>
        <v>MITOP ONE 390SC</v>
      </c>
      <c r="F5602" s="87" t="str">
        <f>IFERROR(__xludf.DUMMYFUNCTION("""COMPUTED_VALUE"""),"HH4105")</f>
        <v>HH4105</v>
      </c>
      <c r="G5602" s="87" t="str">
        <f>IFERROR(__xludf.DUMMYFUNCTION("""COMPUTED_VALUE"""),"GC - V - 4105 - Cty Sen Hồng (A.Diễn) - MITOP ONE 390SC (Nước xanh bơ sữa) - 220ml - 40")</f>
        <v>GC - V - 4105 - Cty Sen Hồng (A.Diễn) - MITOP ONE 390SC (Nước xanh bơ sữa) - 220ml - 40</v>
      </c>
    </row>
    <row r="5603">
      <c r="A5603" s="86">
        <f>IFERROR(__xludf.DUMMYFUNCTION("""COMPUTED_VALUE"""),5601.0)</f>
        <v>5601</v>
      </c>
      <c r="B5603" s="87" t="str">
        <f>IFERROR(__xludf.DUMMYFUNCTION("""COMPUTED_VALUE"""),"[Nhãn]")</f>
        <v>[Nhãn]</v>
      </c>
      <c r="C5603" s="87" t="str">
        <f>IFERROR(__xludf.DUMMYFUNCTION("""COMPUTED_VALUE"""),"NHG4700")</f>
        <v>NHG4700</v>
      </c>
      <c r="D5603" s="87" t="str">
        <f>IFERROR(__xludf.DUMMYFUNCTION("""COMPUTED_VALUE"""),"[Nhãn] IDA Global - I - 4700 - VG RICE 02 (Nước đỏ cam) - 500ml - 40")</f>
        <v>[Nhãn] IDA Global - I - 4700 - VG RICE 02 (Nước đỏ cam) - 500ml - 40</v>
      </c>
      <c r="E5603" s="87" t="str">
        <f>IFERROR(__xludf.DUMMYFUNCTION("""COMPUTED_VALUE"""),"NPK-vi lượng HC CAN")</f>
        <v>NPK-vi lượng HC CAN</v>
      </c>
      <c r="F5603" s="87" t="str">
        <f>IFERROR(__xludf.DUMMYFUNCTION("""COMPUTED_VALUE"""),"HH4700")</f>
        <v>HH4700</v>
      </c>
      <c r="G5603" s="87" t="str">
        <f>IFERROR(__xludf.DUMMYFUNCTION("""COMPUTED_VALUE"""),"IDA Global - I - 4700 - VG RICE 02 (Nước đỏ cam) - 500ml - 40")</f>
        <v>IDA Global - I - 4700 - VG RICE 02 (Nước đỏ cam) - 500ml - 40</v>
      </c>
    </row>
    <row r="5604">
      <c r="A5604" s="86">
        <f>IFERROR(__xludf.DUMMYFUNCTION("""COMPUTED_VALUE"""),5602.0)</f>
        <v>5602</v>
      </c>
      <c r="B5604" s="87" t="str">
        <f>IFERROR(__xludf.DUMMYFUNCTION("""COMPUTED_VALUE"""),"[Nhãn]")</f>
        <v>[Nhãn]</v>
      </c>
      <c r="C5604" s="87" t="str">
        <f>IFERROR(__xludf.DUMMYFUNCTION("""COMPUTED_VALUE"""),"NHG4701")</f>
        <v>NHG4701</v>
      </c>
      <c r="D5604" s="87" t="str">
        <f>IFERROR(__xludf.DUMMYFUNCTION("""COMPUTED_VALUE"""),"[Nhãn] IDA Global - I - 4701 - VG RICE 01 (Nước trắng sữa) - 500ml - 40")</f>
        <v>[Nhãn] IDA Global - I - 4701 - VG RICE 01 (Nước trắng sữa) - 500ml - 40</v>
      </c>
      <c r="E5604" s="87" t="str">
        <f>IFERROR(__xludf.DUMMYFUNCTION("""COMPUTED_VALUE"""),"Vi lượng AGAMA-SUPPORT")</f>
        <v>Vi lượng AGAMA-SUPPORT</v>
      </c>
      <c r="F5604" s="87" t="str">
        <f>IFERROR(__xludf.DUMMYFUNCTION("""COMPUTED_VALUE"""),"HH4701")</f>
        <v>HH4701</v>
      </c>
      <c r="G5604" s="87" t="str">
        <f>IFERROR(__xludf.DUMMYFUNCTION("""COMPUTED_VALUE"""),"IDA Global - I - 4701 - VG RICE 01 (Nước trắng sữa) - 500ml - 40")</f>
        <v>IDA Global - I - 4701 - VG RICE 01 (Nước trắng sữa) - 500ml - 40</v>
      </c>
    </row>
    <row r="5605">
      <c r="A5605" s="86">
        <f>IFERROR(__xludf.DUMMYFUNCTION("""COMPUTED_VALUE"""),5603.0)</f>
        <v>5603</v>
      </c>
      <c r="B5605" s="87" t="str">
        <f>IFERROR(__xludf.DUMMYFUNCTION("""COMPUTED_VALUE"""),"[Nhãn]")</f>
        <v>[Nhãn]</v>
      </c>
      <c r="C5605" s="87" t="str">
        <f>IFERROR(__xludf.DUMMYFUNCTION("""COMPUTED_VALUE"""),"NTN4684")</f>
        <v>NTN4684</v>
      </c>
      <c r="D5605" s="87" t="str">
        <f>IFERROR(__xludf.DUMMYFUNCTION("""COMPUTED_VALUE"""),"[Nhãn] BAMBOO - VI - 4684 - BAMBOO CHROLONIL (Bột trắng) - 100gr - 100")</f>
        <v>[Nhãn] BAMBOO - VI - 4684 - BAMBOO CHROLONIL (Bột trắng) - 100gr - 100</v>
      </c>
      <c r="E5605" s="87" t="str">
        <f>IFERROR(__xludf.DUMMYFUNCTION("""COMPUTED_VALUE"""),"THALONIL 75WP")</f>
        <v>THALONIL 75WP</v>
      </c>
      <c r="F5605" s="87" t="str">
        <f>IFERROR(__xludf.DUMMYFUNCTION("""COMPUTED_VALUE"""),"HH4684")</f>
        <v>HH4684</v>
      </c>
      <c r="G5605" s="87" t="str">
        <f>IFERROR(__xludf.DUMMYFUNCTION("""COMPUTED_VALUE"""),"BAMBOO - VI - 4684 - BAMBOO CHROLONIL (Bột trắng) - 100gr - 100")</f>
        <v>BAMBOO - VI - 4684 - BAMBOO CHROLONIL (Bột trắng) - 100gr - 100</v>
      </c>
    </row>
    <row r="5606">
      <c r="A5606" s="86">
        <f>IFERROR(__xludf.DUMMYFUNCTION("""COMPUTED_VALUE"""),5604.0)</f>
        <v>5604</v>
      </c>
      <c r="B5606" s="87" t="str">
        <f>IFERROR(__xludf.DUMMYFUNCTION("""COMPUTED_VALUE"""),"[Nhãn]")</f>
        <v>[Nhãn]</v>
      </c>
      <c r="C5606" s="87" t="str">
        <f>IFERROR(__xludf.DUMMYFUNCTION("""COMPUTED_VALUE"""),"NTN4696")</f>
        <v>NTN4696</v>
      </c>
      <c r="D5606" s="87" t="str">
        <f>IFERROR(__xludf.DUMMYFUNCTION("""COMPUTED_VALUE"""),"[Nhãn] IDA Global - I - 4696 - NOFADA 822WP (Bột cam) - 100gr - 100")</f>
        <v>[Nhãn] IDA Global - I - 4696 - NOFADA 822WP (Bột cam) - 100gr - 100</v>
      </c>
      <c r="E5606" s="87" t="str">
        <f>IFERROR(__xludf.DUMMYFUNCTION("""COMPUTED_VALUE"""),"NOFADA 822WP")</f>
        <v>NOFADA 822WP</v>
      </c>
      <c r="F5606" s="87" t="str">
        <f>IFERROR(__xludf.DUMMYFUNCTION("""COMPUTED_VALUE"""),"HH4696")</f>
        <v>HH4696</v>
      </c>
      <c r="G5606" s="87" t="str">
        <f>IFERROR(__xludf.DUMMYFUNCTION("""COMPUTED_VALUE"""),"IDA Global - I - 4696 - NOFADA 822WP (Bột cam) - 100gr - 100")</f>
        <v>IDA Global - I - 4696 - NOFADA 822WP (Bột cam) - 100gr - 100</v>
      </c>
    </row>
    <row r="5607">
      <c r="A5607" s="86">
        <f>IFERROR(__xludf.DUMMYFUNCTION("""COMPUTED_VALUE"""),5605.0)</f>
        <v>5605</v>
      </c>
      <c r="B5607" s="87" t="str">
        <f>IFERROR(__xludf.DUMMYFUNCTION("""COMPUTED_VALUE"""),"[Nhãn]")</f>
        <v>[Nhãn]</v>
      </c>
      <c r="C5607" s="87" t="str">
        <f>IFERROR(__xludf.DUMMYFUNCTION("""COMPUTED_VALUE"""),"NTN4572")</f>
        <v>NTN4572</v>
      </c>
      <c r="D5607" s="87" t="str">
        <f>IFERROR(__xludf.DUMMYFUNCTION("""COMPUTED_VALUE"""),"[Nhãn] IDA Global - I - 4572 - WINNER (Bột trắng hồng) - 50gr - 300")</f>
        <v>[Nhãn] IDA Global - I - 4572 - WINNER (Bột trắng hồng) - 50gr - 300</v>
      </c>
      <c r="E5607" s="87" t="str">
        <f>IFERROR(__xludf.DUMMYFUNCTION("""COMPUTED_VALUE"""),"Hỗn hợp NPK BASEL NPK 7-5-44 IDA 45")</f>
        <v>Hỗn hợp NPK BASEL NPK 7-5-44 IDA 45</v>
      </c>
      <c r="F5607" s="87" t="str">
        <f>IFERROR(__xludf.DUMMYFUNCTION("""COMPUTED_VALUE"""),"HH4572")</f>
        <v>HH4572</v>
      </c>
      <c r="G5607" s="87" t="str">
        <f>IFERROR(__xludf.DUMMYFUNCTION("""COMPUTED_VALUE"""),"IDA Global - I - 4572 - WINNER (Bột trắng hồng) - 50gr - 300")</f>
        <v>IDA Global - I - 4572 - WINNER (Bột trắng hồng) - 50gr - 300</v>
      </c>
    </row>
    <row r="5608">
      <c r="A5608" s="86">
        <f>IFERROR(__xludf.DUMMYFUNCTION("""COMPUTED_VALUE"""),5606.0)</f>
        <v>5606</v>
      </c>
      <c r="B5608" s="87" t="str">
        <f>IFERROR(__xludf.DUMMYFUNCTION("""COMPUTED_VALUE"""),"[Nhãn]")</f>
        <v>[Nhãn]</v>
      </c>
      <c r="C5608" s="87" t="str">
        <f>IFERROR(__xludf.DUMMYFUNCTION("""COMPUTED_VALUE"""),"NHG4717")</f>
        <v>NHG4717</v>
      </c>
      <c r="D5608" s="87" t="str">
        <f>IFERROR(__xludf.DUMMYFUNCTION("""COMPUTED_VALUE"""),"[Nhãn] IDA Global - I - 4717 - ĐL THÀNH NHÂN - PYXOATE 44EC (nước đỏ) - 450ml - 40")</f>
        <v>[Nhãn] IDA Global - I - 4717 - ĐL THÀNH NHÂN - PYXOATE 44EC (nước đỏ) - 450ml - 40</v>
      </c>
      <c r="E5608" s="87" t="str">
        <f>IFERROR(__xludf.DUMMYFUNCTION("""COMPUTED_VALUE"""),"PYXOATE 44EC")</f>
        <v>PYXOATE 44EC</v>
      </c>
      <c r="F5608" s="87" t="str">
        <f>IFERROR(__xludf.DUMMYFUNCTION("""COMPUTED_VALUE"""),"HH4717")</f>
        <v>HH4717</v>
      </c>
      <c r="G5608" s="87" t="str">
        <f>IFERROR(__xludf.DUMMYFUNCTION("""COMPUTED_VALUE"""),"IDA Global - I - 4717 - ĐL THÀNH NHÂN - PYXOATE 44EC (nước đỏ) - 450ml - 40")</f>
        <v>IDA Global - I - 4717 - ĐL THÀNH NHÂN - PYXOATE 44EC (nước đỏ) - 450ml - 40</v>
      </c>
    </row>
    <row r="5609">
      <c r="A5609" s="86">
        <f>IFERROR(__xludf.DUMMYFUNCTION("""COMPUTED_VALUE"""),5607.0)</f>
        <v>5607</v>
      </c>
      <c r="B5609" s="87" t="str">
        <f>IFERROR(__xludf.DUMMYFUNCTION("""COMPUTED_VALUE"""),"[Nhãn]")</f>
        <v>[Nhãn]</v>
      </c>
      <c r="C5609" s="87" t="str">
        <f>IFERROR(__xludf.DUMMYFUNCTION("""COMPUTED_VALUE"""),"NHG4707")</f>
        <v>NHG4707</v>
      </c>
      <c r="D5609" s="87" t="str">
        <f>IFERROR(__xludf.DUMMYFUNCTION("""COMPUTED_VALUE"""),"[Nhãn] IDA Global - I - 4707 - ĐL NGUYỄN LÊ - VÔ GẠO WINNER X2 (Nước đỏ cam) - 500ml - 40")</f>
        <v>[Nhãn] IDA Global - I - 4707 - ĐL NGUYỄN LÊ - VÔ GẠO WINNER X2 (Nước đỏ cam) - 500ml - 40</v>
      </c>
      <c r="E5609" s="87" t="str">
        <f>IFERROR(__xludf.DUMMYFUNCTION("""COMPUTED_VALUE"""),"NPK-Vi lượng MASSIVE-BLUE")</f>
        <v>NPK-Vi lượng MASSIVE-BLUE</v>
      </c>
      <c r="F5609" s="87" t="str">
        <f>IFERROR(__xludf.DUMMYFUNCTION("""COMPUTED_VALUE"""),"HH4707")</f>
        <v>HH4707</v>
      </c>
      <c r="G5609" s="87" t="str">
        <f>IFERROR(__xludf.DUMMYFUNCTION("""COMPUTED_VALUE"""),"IDA Global - I - 4707 - ĐL NGUYỄN LÊ - VÔ GẠO WINNER X2 (Nước đỏ cam) - 500ml - 40")</f>
        <v>IDA Global - I - 4707 - ĐL NGUYỄN LÊ - VÔ GẠO WINNER X2 (Nước đỏ cam) - 500ml - 40</v>
      </c>
    </row>
    <row r="5610">
      <c r="A5610" s="86">
        <f>IFERROR(__xludf.DUMMYFUNCTION("""COMPUTED_VALUE"""),5608.0)</f>
        <v>5608</v>
      </c>
      <c r="B5610" s="87" t="str">
        <f>IFERROR(__xludf.DUMMYFUNCTION("""COMPUTED_VALUE"""),"[Nhãn]")</f>
        <v>[Nhãn]</v>
      </c>
      <c r="C5610" s="87" t="str">
        <f>IFERROR(__xludf.DUMMYFUNCTION("""COMPUTED_VALUE"""),"NHG4706")</f>
        <v>NHG4706</v>
      </c>
      <c r="D5610" s="87" t="str">
        <f>IFERROR(__xludf.DUMMYFUNCTION("""COMPUTED_VALUE"""),"[Nhãn] IDA Global - I - 4706 - ĐL PHƯỚC THẠNH - WINNER X2 (Nước đỏ cam) - 500ml - 40")</f>
        <v>[Nhãn] IDA Global - I - 4706 - ĐL PHƯỚC THẠNH - WINNER X2 (Nước đỏ cam) - 500ml - 40</v>
      </c>
      <c r="E5610" s="87" t="str">
        <f>IFERROR(__xludf.DUMMYFUNCTION("""COMPUTED_VALUE"""),"NPK-Vi lượng MASSIVE-BLUE")</f>
        <v>NPK-Vi lượng MASSIVE-BLUE</v>
      </c>
      <c r="F5610" s="87" t="str">
        <f>IFERROR(__xludf.DUMMYFUNCTION("""COMPUTED_VALUE"""),"HH4706")</f>
        <v>HH4706</v>
      </c>
      <c r="G5610" s="87" t="str">
        <f>IFERROR(__xludf.DUMMYFUNCTION("""COMPUTED_VALUE"""),"IDA Global - I - 4706 - ĐL PHƯỚC THẠNH - WINNER X2 (Nước đỏ cam) - 500ml - 40")</f>
        <v>IDA Global - I - 4706 - ĐL PHƯỚC THẠNH - WINNER X2 (Nước đỏ cam) - 500ml - 40</v>
      </c>
    </row>
    <row r="5611">
      <c r="A5611" s="86">
        <f>IFERROR(__xludf.DUMMYFUNCTION("""COMPUTED_VALUE"""),5609.0)</f>
        <v>5609</v>
      </c>
      <c r="B5611" s="87" t="str">
        <f>IFERROR(__xludf.DUMMYFUNCTION("""COMPUTED_VALUE"""),"[Nhãn]")</f>
        <v>[Nhãn]</v>
      </c>
      <c r="C5611" s="87" t="str">
        <f>IFERROR(__xludf.DUMMYFUNCTION("""COMPUTED_VALUE"""),"NHG4705")</f>
        <v>NHG4705</v>
      </c>
      <c r="D5611" s="87" t="str">
        <f>IFERROR(__xludf.DUMMYFUNCTION("""COMPUTED_VALUE"""),"[Nhãn] IDA Global - I - 4705 - WINNER X2 (Nước đỏ cam) - 500ml - 40")</f>
        <v>[Nhãn] IDA Global - I - 4705 - WINNER X2 (Nước đỏ cam) - 500ml - 40</v>
      </c>
      <c r="E5611" s="87" t="str">
        <f>IFERROR(__xludf.DUMMYFUNCTION("""COMPUTED_VALUE"""),"Lá PK-Vi lượng SV 5-18")</f>
        <v>Lá PK-Vi lượng SV 5-18</v>
      </c>
      <c r="F5611" s="87" t="str">
        <f>IFERROR(__xludf.DUMMYFUNCTION("""COMPUTED_VALUE"""),"HH4705")</f>
        <v>HH4705</v>
      </c>
      <c r="G5611" s="87" t="str">
        <f>IFERROR(__xludf.DUMMYFUNCTION("""COMPUTED_VALUE"""),"IDA Global - I - 4705 - WINNER X2 (Nước đỏ cam) - 500ml - 40")</f>
        <v>IDA Global - I - 4705 - WINNER X2 (Nước đỏ cam) - 500ml - 40</v>
      </c>
    </row>
    <row r="5612">
      <c r="A5612" s="86">
        <f>IFERROR(__xludf.DUMMYFUNCTION("""COMPUTED_VALUE"""),5610.0)</f>
        <v>5610</v>
      </c>
      <c r="B5612" s="87" t="str">
        <f>IFERROR(__xludf.DUMMYFUNCTION("""COMPUTED_VALUE"""),"[Nhãn]")</f>
        <v>[Nhãn]</v>
      </c>
      <c r="C5612" s="87" t="str">
        <f>IFERROR(__xludf.DUMMYFUNCTION("""COMPUTED_VALUE"""),"NHG4704")</f>
        <v>NHG4704</v>
      </c>
      <c r="D5612" s="87" t="str">
        <f>IFERROR(__xludf.DUMMYFUNCTION("""COMPUTED_VALUE"""),"[Nhãn] IDA Global - I - 4704 - ĐL CHÍ TOÀN - VÔ GẠO TRUERICE (Nước đỏ cam) - 500ml - 40")</f>
        <v>[Nhãn] IDA Global - I - 4704 - ĐL CHÍ TOÀN - VÔ GẠO TRUERICE (Nước đỏ cam) - 500ml - 40</v>
      </c>
      <c r="E5612" s="87" t="str">
        <f>IFERROR(__xludf.DUMMYFUNCTION("""COMPUTED_VALUE"""),"Lá PK-Vi lượng SV 5-18")</f>
        <v>Lá PK-Vi lượng SV 5-18</v>
      </c>
      <c r="F5612" s="87" t="str">
        <f>IFERROR(__xludf.DUMMYFUNCTION("""COMPUTED_VALUE"""),"HH4704")</f>
        <v>HH4704</v>
      </c>
      <c r="G5612" s="87" t="str">
        <f>IFERROR(__xludf.DUMMYFUNCTION("""COMPUTED_VALUE"""),"IDA Global - I - 4704 - ĐL CHÍ TOÀN - VÔ GẠO TRUERICE (Nước đỏ cam) - 500ml - 40")</f>
        <v>IDA Global - I - 4704 - ĐL CHÍ TOÀN - VÔ GẠO TRUERICE (Nước đỏ cam) - 500ml - 40</v>
      </c>
    </row>
    <row r="5613">
      <c r="A5613" s="86">
        <f>IFERROR(__xludf.DUMMYFUNCTION("""COMPUTED_VALUE"""),5611.0)</f>
        <v>5611</v>
      </c>
      <c r="B5613" s="87" t="str">
        <f>IFERROR(__xludf.DUMMYFUNCTION("""COMPUTED_VALUE"""),"[Nhãn]")</f>
        <v>[Nhãn]</v>
      </c>
      <c r="C5613" s="87" t="str">
        <f>IFERROR(__xludf.DUMMYFUNCTION("""COMPUTED_VALUE"""),"NHG4688")</f>
        <v>NHG4688</v>
      </c>
      <c r="D5613" s="87" t="str">
        <f>IFERROR(__xludf.DUMMYFUNCTION("""COMPUTED_VALUE"""),"[Nhãn] GC - V - 4688 - VTNN TRỌNG LÝ - NUTRI BIO (Nước nâu đen) - 500ml - 40")</f>
        <v>[Nhãn] GC - V - 4688 - VTNN TRỌNG LÝ - NUTRI BIO (Nước nâu đen) - 500ml - 40</v>
      </c>
      <c r="E5613" s="87" t="str">
        <f>IFERROR(__xludf.DUMMYFUNCTION("""COMPUTED_VALUE"""),"Hỗn Hợp NP AGAMA-AP")</f>
        <v>Hỗn Hợp NP AGAMA-AP</v>
      </c>
      <c r="F5613" s="87" t="str">
        <f>IFERROR(__xludf.DUMMYFUNCTION("""COMPUTED_VALUE"""),"HH4688")</f>
        <v>HH4688</v>
      </c>
      <c r="G5613" s="87" t="str">
        <f>IFERROR(__xludf.DUMMYFUNCTION("""COMPUTED_VALUE"""),"GC - V - 4688 - VTNN TRỌNG LÝ - NUTRI BIO (Nước nâu đen) - 500ml - 40")</f>
        <v>GC - V - 4688 - VTNN TRỌNG LÝ - NUTRI BIO (Nước nâu đen) - 500ml - 40</v>
      </c>
    </row>
    <row r="5614">
      <c r="A5614" s="86">
        <f>IFERROR(__xludf.DUMMYFUNCTION("""COMPUTED_VALUE"""),5612.0)</f>
        <v>5612</v>
      </c>
      <c r="B5614" s="87" t="str">
        <f>IFERROR(__xludf.DUMMYFUNCTION("""COMPUTED_VALUE"""),"[Nhãn]")</f>
        <v>[Nhãn]</v>
      </c>
      <c r="C5614" s="87" t="str">
        <f>IFERROR(__xludf.DUMMYFUNCTION("""COMPUTED_VALUE"""),"NHD4708")</f>
        <v>NHD4708</v>
      </c>
      <c r="D5614" s="87" t="str">
        <f>IFERROR(__xludf.DUMMYFUNCTION("""COMPUTED_VALUE"""),"[Nhãn] GC - V - 4708 - CTY HÓA TRƯỜNG GIANG - FORTIL 25SC (Nước trắng sữa) - 5L - 4")</f>
        <v>[Nhãn] GC - V - 4708 - CTY HÓA TRƯỜNG GIANG - FORTIL 25SC (Nước trắng sữa) - 5L - 4</v>
      </c>
      <c r="E5614" s="87" t="str">
        <f>IFERROR(__xludf.DUMMYFUNCTION("""COMPUTED_VALUE"""),"FORTIL 25SC")</f>
        <v>FORTIL 25SC</v>
      </c>
      <c r="F5614" s="87" t="str">
        <f>IFERROR(__xludf.DUMMYFUNCTION("""COMPUTED_VALUE"""),"HH4708")</f>
        <v>HH4708</v>
      </c>
      <c r="G5614" s="87" t="str">
        <f>IFERROR(__xludf.DUMMYFUNCTION("""COMPUTED_VALUE"""),"GC - V - 4708 - CTY HÓA TRƯỜNG GIANG - FORTIL 25SC (Nước trắng sữa) - 5L - 4")</f>
        <v>GC - V - 4708 - CTY HÓA TRƯỜNG GIANG - FORTIL 25SC (Nước trắng sữa) - 5L - 4</v>
      </c>
    </row>
    <row r="5615">
      <c r="A5615" s="86">
        <f>IFERROR(__xludf.DUMMYFUNCTION("""COMPUTED_VALUE"""),5613.0)</f>
        <v>5613</v>
      </c>
      <c r="B5615" s="87" t="str">
        <f>IFERROR(__xludf.DUMMYFUNCTION("""COMPUTED_VALUE"""),"[Nhãn]")</f>
        <v>[Nhãn]</v>
      </c>
      <c r="C5615" s="87" t="str">
        <f>IFERROR(__xludf.DUMMYFUNCTION("""COMPUTED_VALUE"""),"NHG4702")</f>
        <v>NHG4702</v>
      </c>
      <c r="D5615" s="87" t="str">
        <f>IFERROR(__xludf.DUMMYFUNCTION("""COMPUTED_VALUE"""),"[Nhãn] GC - V - 4702 - CTY HÓA NÔNG CON ONG VÀNG - VÔ GẠO ONG CHÚA (Nước đỏ cam) - 500ml - 40")</f>
        <v>[Nhãn] GC - V - 4702 - CTY HÓA NÔNG CON ONG VÀNG - VÔ GẠO ONG CHÚA (Nước đỏ cam) - 500ml - 40</v>
      </c>
      <c r="E5615" s="87" t="str">
        <f>IFERROR(__xludf.DUMMYFUNCTION("""COMPUTED_VALUE"""),"Lá PK-Vi lượng SV 5-18")</f>
        <v>Lá PK-Vi lượng SV 5-18</v>
      </c>
      <c r="F5615" s="87" t="str">
        <f>IFERROR(__xludf.DUMMYFUNCTION("""COMPUTED_VALUE"""),"HH4702")</f>
        <v>HH4702</v>
      </c>
      <c r="G5615" s="87" t="str">
        <f>IFERROR(__xludf.DUMMYFUNCTION("""COMPUTED_VALUE"""),"GC - V - 4702 - CTY HÓA NÔNG CON ONG VÀNG - VÔ GẠO ONG CHÚA (Nước đỏ cam) - 500ml - 40")</f>
        <v>GC - V - 4702 - CTY HÓA NÔNG CON ONG VÀNG - VÔ GẠO ONG CHÚA (Nước đỏ cam) - 500ml - 40</v>
      </c>
    </row>
    <row r="5616">
      <c r="A5616" s="86">
        <f>IFERROR(__xludf.DUMMYFUNCTION("""COMPUTED_VALUE"""),5614.0)</f>
        <v>5614</v>
      </c>
      <c r="B5616" s="87" t="str">
        <f>IFERROR(__xludf.DUMMYFUNCTION("""COMPUTED_VALUE"""),"[Nhãn Thùng]")</f>
        <v>[Nhãn Thùng]</v>
      </c>
      <c r="C5616" s="87" t="str">
        <f>IFERROR(__xludf.DUMMYFUNCTION("""COMPUTED_VALUE"""),"NDT4595")</f>
        <v>NDT4595</v>
      </c>
      <c r="D5616" s="87" t="str">
        <f>IFERROR(__xludf.DUMMYFUNCTION("""COMPUTED_VALUE"""),"[Nhãn Thùng] GC - V - 4595 - CTY SEN HỒNG - BUM GOLD (Bột cam)  - 100gr - 100")</f>
        <v>[Nhãn Thùng] GC - V - 4595 - CTY SEN HỒNG - BUM GOLD (Bột cam)  - 100gr - 100</v>
      </c>
      <c r="E5616" s="87" t="str">
        <f>IFERROR(__xludf.DUMMYFUNCTION("""COMPUTED_VALUE"""),"NOFADA 822WP")</f>
        <v>NOFADA 822WP</v>
      </c>
      <c r="F5616" s="87" t="str">
        <f>IFERROR(__xludf.DUMMYFUNCTION("""COMPUTED_VALUE"""),"HH4595")</f>
        <v>HH4595</v>
      </c>
      <c r="G5616" s="87" t="str">
        <f>IFERROR(__xludf.DUMMYFUNCTION("""COMPUTED_VALUE"""),"GC - V - 4595 - CTY SEN HỒNG - BUM GOLD (Bột cam)  - 100gr - 100")</f>
        <v>GC - V - 4595 - CTY SEN HỒNG - BUM GOLD (Bột cam)  - 100gr - 100</v>
      </c>
    </row>
    <row r="5617">
      <c r="A5617" s="86">
        <f>IFERROR(__xludf.DUMMYFUNCTION("""COMPUTED_VALUE"""),5615.0)</f>
        <v>5615</v>
      </c>
      <c r="B5617" s="87" t="str">
        <f>IFERROR(__xludf.DUMMYFUNCTION("""COMPUTED_VALUE"""),"[Nhãn Thùng]")</f>
        <v>[Nhãn Thùng]</v>
      </c>
      <c r="C5617" s="87" t="str">
        <f>IFERROR(__xludf.DUMMYFUNCTION("""COMPUTED_VALUE"""),"NDT4105")</f>
        <v>NDT4105</v>
      </c>
      <c r="D5617" s="87" t="str">
        <f>IFERROR(__xludf.DUMMYFUNCTION("""COMPUTED_VALUE"""),"[Nhãn Thùng] GC - V - 4105 - Cty Sen Hồng (A.Diễn) - MITOP ONE 390SC (Nước xanh bơ sữa) - 220ml - 40")</f>
        <v>[Nhãn Thùng] GC - V - 4105 - Cty Sen Hồng (A.Diễn) - MITOP ONE 390SC (Nước xanh bơ sữa) - 220ml - 40</v>
      </c>
      <c r="E5617" s="87" t="str">
        <f>IFERROR(__xludf.DUMMYFUNCTION("""COMPUTED_VALUE"""),"MITOP ONE 390SC")</f>
        <v>MITOP ONE 390SC</v>
      </c>
      <c r="F5617" s="87" t="str">
        <f>IFERROR(__xludf.DUMMYFUNCTION("""COMPUTED_VALUE"""),"HH4105")</f>
        <v>HH4105</v>
      </c>
      <c r="G5617" s="87" t="str">
        <f>IFERROR(__xludf.DUMMYFUNCTION("""COMPUTED_VALUE"""),"GC - V - 4105 - Cty Sen Hồng (A.Diễn) - MITOP ONE 390SC (Nước xanh bơ sữa) - 220ml - 40")</f>
        <v>GC - V - 4105 - Cty Sen Hồng (A.Diễn) - MITOP ONE 390SC (Nước xanh bơ sữa) - 220ml - 40</v>
      </c>
    </row>
    <row r="5618">
      <c r="A5618" s="86">
        <f>IFERROR(__xludf.DUMMYFUNCTION("""COMPUTED_VALUE"""),5616.0)</f>
        <v>5616</v>
      </c>
      <c r="B5618" s="87" t="str">
        <f>IFERROR(__xludf.DUMMYFUNCTION("""COMPUTED_VALUE"""),"[Nhãn Thùng]")</f>
        <v>[Nhãn Thùng]</v>
      </c>
      <c r="C5618" s="87" t="str">
        <f>IFERROR(__xludf.DUMMYFUNCTION("""COMPUTED_VALUE"""),"NDT4684")</f>
        <v>NDT4684</v>
      </c>
      <c r="D5618" s="87" t="str">
        <f>IFERROR(__xludf.DUMMYFUNCTION("""COMPUTED_VALUE"""),"[Nhãn Thùng] BAMBOO - VI - 4684 - BAMBOO CHROLONIL (Bột trắng) - 100gr - 100")</f>
        <v>[Nhãn Thùng] BAMBOO - VI - 4684 - BAMBOO CHROLONIL (Bột trắng) - 100gr - 100</v>
      </c>
      <c r="E5618" s="87" t="str">
        <f>IFERROR(__xludf.DUMMYFUNCTION("""COMPUTED_VALUE"""),"THALONIL 75WP")</f>
        <v>THALONIL 75WP</v>
      </c>
      <c r="F5618" s="87" t="str">
        <f>IFERROR(__xludf.DUMMYFUNCTION("""COMPUTED_VALUE"""),"HH4684")</f>
        <v>HH4684</v>
      </c>
      <c r="G5618" s="87" t="str">
        <f>IFERROR(__xludf.DUMMYFUNCTION("""COMPUTED_VALUE"""),"BAMBOO - VI - 4684 - BAMBOO CHROLONIL (Bột trắng) - 100gr - 100")</f>
        <v>BAMBOO - VI - 4684 - BAMBOO CHROLONIL (Bột trắng) - 100gr - 100</v>
      </c>
    </row>
    <row r="5619">
      <c r="A5619" s="86">
        <f>IFERROR(__xludf.DUMMYFUNCTION("""COMPUTED_VALUE"""),5617.0)</f>
        <v>5617</v>
      </c>
      <c r="B5619" s="87" t="str">
        <f>IFERROR(__xludf.DUMMYFUNCTION("""COMPUTED_VALUE"""),"[Nhãn Thùng]")</f>
        <v>[Nhãn Thùng]</v>
      </c>
      <c r="C5619" s="87" t="str">
        <f>IFERROR(__xludf.DUMMYFUNCTION("""COMPUTED_VALUE"""),"NDT4696")</f>
        <v>NDT4696</v>
      </c>
      <c r="D5619" s="87" t="str">
        <f>IFERROR(__xludf.DUMMYFUNCTION("""COMPUTED_VALUE"""),"[Nhãn Thùng] IDA Global - I - 4696 - NOFADA 822WP (Bột cam) - 100gr - 100")</f>
        <v>[Nhãn Thùng] IDA Global - I - 4696 - NOFADA 822WP (Bột cam) - 100gr - 100</v>
      </c>
      <c r="E5619" s="87" t="str">
        <f>IFERROR(__xludf.DUMMYFUNCTION("""COMPUTED_VALUE"""),"NOFADA 822WP")</f>
        <v>NOFADA 822WP</v>
      </c>
      <c r="F5619" s="87" t="str">
        <f>IFERROR(__xludf.DUMMYFUNCTION("""COMPUTED_VALUE"""),"HH4696")</f>
        <v>HH4696</v>
      </c>
      <c r="G5619" s="87" t="str">
        <f>IFERROR(__xludf.DUMMYFUNCTION("""COMPUTED_VALUE"""),"IDA Global - I - 4696 - NOFADA 822WP (Bột cam) - 100gr - 100")</f>
        <v>IDA Global - I - 4696 - NOFADA 822WP (Bột cam) - 100gr - 100</v>
      </c>
    </row>
    <row r="5620">
      <c r="A5620" s="86">
        <f>IFERROR(__xludf.DUMMYFUNCTION("""COMPUTED_VALUE"""),5618.0)</f>
        <v>5618</v>
      </c>
      <c r="B5620" s="87" t="str">
        <f>IFERROR(__xludf.DUMMYFUNCTION("""COMPUTED_VALUE"""),"[Nhãn Thùng]")</f>
        <v>[Nhãn Thùng]</v>
      </c>
      <c r="C5620" s="87" t="str">
        <f>IFERROR(__xludf.DUMMYFUNCTION("""COMPUTED_VALUE"""),"NDT4572")</f>
        <v>NDT4572</v>
      </c>
      <c r="D5620" s="87" t="str">
        <f>IFERROR(__xludf.DUMMYFUNCTION("""COMPUTED_VALUE"""),"[Nhãn Thùng] IDA Global - I - 4572 - WINNER (Bột trắng hồng) - 50gr - 300")</f>
        <v>[Nhãn Thùng] IDA Global - I - 4572 - WINNER (Bột trắng hồng) - 50gr - 300</v>
      </c>
      <c r="E5620" s="87" t="str">
        <f>IFERROR(__xludf.DUMMYFUNCTION("""COMPUTED_VALUE"""),"Hỗn hợp NPK BASEL NPK 7-5-44 IDA 45")</f>
        <v>Hỗn hợp NPK BASEL NPK 7-5-44 IDA 45</v>
      </c>
      <c r="F5620" s="87" t="str">
        <f>IFERROR(__xludf.DUMMYFUNCTION("""COMPUTED_VALUE"""),"HH4572")</f>
        <v>HH4572</v>
      </c>
      <c r="G5620" s="87" t="str">
        <f>IFERROR(__xludf.DUMMYFUNCTION("""COMPUTED_VALUE"""),"IDA Global - I - 4572 - WINNER (Bột trắng hồng) - 50gr - 300")</f>
        <v>IDA Global - I - 4572 - WINNER (Bột trắng hồng) - 50gr - 300</v>
      </c>
    </row>
    <row r="5621">
      <c r="A5621" s="86">
        <f>IFERROR(__xludf.DUMMYFUNCTION("""COMPUTED_VALUE"""),5619.0)</f>
        <v>5619</v>
      </c>
      <c r="B5621" s="87" t="str">
        <f>IFERROR(__xludf.DUMMYFUNCTION("""COMPUTED_VALUE"""),"[Nhãn Thùng]")</f>
        <v>[Nhãn Thùng]</v>
      </c>
      <c r="C5621" s="87" t="str">
        <f>IFERROR(__xludf.DUMMYFUNCTION("""COMPUTED_VALUE"""),"NDT4708")</f>
        <v>NDT4708</v>
      </c>
      <c r="D5621" s="87" t="str">
        <f>IFERROR(__xludf.DUMMYFUNCTION("""COMPUTED_VALUE"""),"[Nhãn Thùng] GC - V - 4708 - CTY HÓA TRƯỜNG GIANG - FORTIL 25SC (Nước trắng sữa) - 5L - 4")</f>
        <v>[Nhãn Thùng] GC - V - 4708 - CTY HÓA TRƯỜNG GIANG - FORTIL 25SC (Nước trắng sữa) - 5L - 4</v>
      </c>
      <c r="E5621" s="87" t="str">
        <f>IFERROR(__xludf.DUMMYFUNCTION("""COMPUTED_VALUE"""),"FORTIL 25SC")</f>
        <v>FORTIL 25SC</v>
      </c>
      <c r="F5621" s="87" t="str">
        <f>IFERROR(__xludf.DUMMYFUNCTION("""COMPUTED_VALUE"""),"HH4708")</f>
        <v>HH4708</v>
      </c>
      <c r="G5621" s="87" t="str">
        <f>IFERROR(__xludf.DUMMYFUNCTION("""COMPUTED_VALUE"""),"GC - V - 4708 - CTY HÓA TRƯỜNG GIANG - FORTIL 25SC (Nước trắng sữa) - 5L - 4")</f>
        <v>GC - V - 4708 - CTY HÓA TRƯỜNG GIANG - FORTIL 25SC (Nước trắng sữa) - 5L - 4</v>
      </c>
    </row>
    <row r="5622">
      <c r="A5622" s="86">
        <f>IFERROR(__xludf.DUMMYFUNCTION("""COMPUTED_VALUE"""),5620.0)</f>
        <v>5620</v>
      </c>
      <c r="B5622" s="87" t="str">
        <f>IFERROR(__xludf.DUMMYFUNCTION("""COMPUTED_VALUE"""),"[Nhãn]")</f>
        <v>[Nhãn]</v>
      </c>
      <c r="C5622" s="87" t="str">
        <f>IFERROR(__xludf.DUMMYFUNCTION("""COMPUTED_VALUE"""),"NTN4087")</f>
        <v>NTN4087</v>
      </c>
      <c r="D5622" s="87" t="str">
        <f>IFERROR(__xludf.DUMMYFUNCTION("""COMPUTED_VALUE"""),"[Nhãn] IDA Global - I - 4087 - WINNER (Bột trắng hồng) 500gr - 50")</f>
        <v>[Nhãn] IDA Global - I - 4087 - WINNER (Bột trắng hồng) 500gr - 50</v>
      </c>
      <c r="E5622" s="87" t="str">
        <f>IFERROR(__xludf.DUMMYFUNCTION("""COMPUTED_VALUE"""),"Hỗn hợp NPK BASEL NPK 7-5-44 IDA 45")</f>
        <v>Hỗn hợp NPK BASEL NPK 7-5-44 IDA 45</v>
      </c>
      <c r="F5622" s="87" t="str">
        <f>IFERROR(__xludf.DUMMYFUNCTION("""COMPUTED_VALUE"""),"HH4087")</f>
        <v>HH4087</v>
      </c>
      <c r="G5622" s="87" t="str">
        <f>IFERROR(__xludf.DUMMYFUNCTION("""COMPUTED_VALUE"""),"IDA Global - I - 4087 - WINNER (Bột trắng hồng) 500gr - 50")</f>
        <v>IDA Global - I - 4087 - WINNER (Bột trắng hồng) 500gr - 50</v>
      </c>
    </row>
    <row r="5623">
      <c r="A5623" s="86">
        <f>IFERROR(__xludf.DUMMYFUNCTION("""COMPUTED_VALUE"""),5621.0)</f>
        <v>5621</v>
      </c>
      <c r="B5623" s="87" t="str">
        <f>IFERROR(__xludf.DUMMYFUNCTION("""COMPUTED_VALUE"""),"[Nhãn Thùng]")</f>
        <v>[Nhãn Thùng]</v>
      </c>
      <c r="C5623" s="87" t="str">
        <f>IFERROR(__xludf.DUMMYFUNCTION("""COMPUTED_VALUE"""),"NDT4087")</f>
        <v>NDT4087</v>
      </c>
      <c r="D5623" s="87" t="str">
        <f>IFERROR(__xludf.DUMMYFUNCTION("""COMPUTED_VALUE"""),"[Nhãn Thùng] IDA Global - I - 4087 - WINNER (Bột trắng hồng) 500gr - 50")</f>
        <v>[Nhãn Thùng] IDA Global - I - 4087 - WINNER (Bột trắng hồng) 500gr - 50</v>
      </c>
      <c r="E5623" s="87" t="str">
        <f>IFERROR(__xludf.DUMMYFUNCTION("""COMPUTED_VALUE"""),"Hỗn hợp NPK BASEL NPK 7-5-44 IDA 45")</f>
        <v>Hỗn hợp NPK BASEL NPK 7-5-44 IDA 45</v>
      </c>
      <c r="F5623" s="87" t="str">
        <f>IFERROR(__xludf.DUMMYFUNCTION("""COMPUTED_VALUE"""),"HH4087")</f>
        <v>HH4087</v>
      </c>
      <c r="G5623" s="87" t="str">
        <f>IFERROR(__xludf.DUMMYFUNCTION("""COMPUTED_VALUE"""),"IDA Global - I - 4087 - WINNER (Bột trắng hồng) 500gr - 50")</f>
        <v>IDA Global - I - 4087 - WINNER (Bột trắng hồng) 500gr - 50</v>
      </c>
    </row>
    <row r="5624">
      <c r="A5624" s="86">
        <f>IFERROR(__xludf.DUMMYFUNCTION("""COMPUTED_VALUE"""),5622.0)</f>
        <v>5622</v>
      </c>
      <c r="B5624" s="87" t="str">
        <f>IFERROR(__xludf.DUMMYFUNCTION("""COMPUTED_VALUE"""),"[HỘP]")</f>
        <v>[HỘP]</v>
      </c>
      <c r="C5624" s="87" t="str">
        <f>IFERROR(__xludf.DUMMYFUNCTION("""COMPUTED_VALUE"""),"HOP4572")</f>
        <v>HOP4572</v>
      </c>
      <c r="D5624" s="87" t="str">
        <f>IFERROR(__xludf.DUMMYFUNCTION("""COMPUTED_VALUE"""),"[HỘP] IDA Global - I - 4572 - WINNER (Bột trắng hồng) - 50gr - 20")</f>
        <v>[HỘP] IDA Global - I - 4572 - WINNER (Bột trắng hồng) - 50gr - 20</v>
      </c>
      <c r="E5624" s="87" t="str">
        <f>IFERROR(__xludf.DUMMYFUNCTION("""COMPUTED_VALUE"""),"Hỗn hợp NPK BASEL NPK 7-5-44 IDA 45")</f>
        <v>Hỗn hợp NPK BASEL NPK 7-5-44 IDA 45</v>
      </c>
      <c r="F5624" s="87" t="str">
        <f>IFERROR(__xludf.DUMMYFUNCTION("""COMPUTED_VALUE"""),"HH4572")</f>
        <v>HH4572</v>
      </c>
      <c r="G5624" s="87" t="str">
        <f>IFERROR(__xludf.DUMMYFUNCTION("""COMPUTED_VALUE"""),"IDA Global - I - 4572 - WINNER (Bột trắng hồng) - 50gr - 300")</f>
        <v>IDA Global - I - 4572 - WINNER (Bột trắng hồng) - 50gr - 300</v>
      </c>
    </row>
    <row r="5625">
      <c r="A5625" s="86">
        <f>IFERROR(__xludf.DUMMYFUNCTION("""COMPUTED_VALUE"""),5623.0)</f>
        <v>5623</v>
      </c>
      <c r="B5625" s="87" t="str">
        <f>IFERROR(__xludf.DUMMYFUNCTION("""COMPUTED_VALUE"""),"[Nhãn]")</f>
        <v>[Nhãn]</v>
      </c>
      <c r="C5625" s="87" t="str">
        <f>IFERROR(__xludf.DUMMYFUNCTION("""COMPUTED_VALUE"""),"NHG4723")</f>
        <v>NHG4723</v>
      </c>
      <c r="D5625" s="87" t="str">
        <f>IFERROR(__xludf.DUMMYFUNCTION("""COMPUTED_VALUE"""),"[Nhãn] GC - V - 4723 - KIM NGỌC - AGAMA-CANXI BO (Nước trắng sữa) - 1L - 20")</f>
        <v>[Nhãn] GC - V - 4723 - KIM NGỌC - AGAMA-CANXI BO (Nước trắng sữa) - 1L - 20</v>
      </c>
      <c r="E5625" s="87" t="str">
        <f>IFERROR(__xludf.DUMMYFUNCTION("""COMPUTED_VALUE"""),"Vi lượng AGAMA-CANXI BO")</f>
        <v>Vi lượng AGAMA-CANXI BO</v>
      </c>
      <c r="F5625" s="87" t="str">
        <f>IFERROR(__xludf.DUMMYFUNCTION("""COMPUTED_VALUE"""),"HH4723")</f>
        <v>HH4723</v>
      </c>
      <c r="G5625" s="87" t="str">
        <f>IFERROR(__xludf.DUMMYFUNCTION("""COMPUTED_VALUE"""),"GC - V - 4723 - KIM NGỌC - AGAMA-CANXI BO (Nước trắng sữa) - 1L - 20")</f>
        <v>GC - V - 4723 - KIM NGỌC - AGAMA-CANXI BO (Nước trắng sữa) - 1L - 20</v>
      </c>
    </row>
    <row r="5626">
      <c r="A5626" s="86">
        <f>IFERROR(__xludf.DUMMYFUNCTION("""COMPUTED_VALUE"""),5624.0)</f>
        <v>5624</v>
      </c>
      <c r="B5626" s="87" t="str">
        <f>IFERROR(__xludf.DUMMYFUNCTION("""COMPUTED_VALUE"""),"[Nhãn]")</f>
        <v>[Nhãn]</v>
      </c>
      <c r="C5626" s="87" t="str">
        <f>IFERROR(__xludf.DUMMYFUNCTION("""COMPUTED_VALUE"""),"NHG4724")</f>
        <v>NHG4724</v>
      </c>
      <c r="D5626" s="87" t="str">
        <f>IFERROR(__xludf.DUMMYFUNCTION("""COMPUTED_VALUE"""),"[Nhãn] GC - V - 4724 - Gold Field - Caci-Bo (nước vàng mật ong) - 500ml - 30")</f>
        <v>[Nhãn] GC - V - 4724 - Gold Field - Caci-Bo (nước vàng mật ong) - 500ml - 30</v>
      </c>
      <c r="E5626" s="87" t="str">
        <f>IFERROR(__xludf.DUMMYFUNCTION("""COMPUTED_VALUE"""),"Vi lượng Basel IDA 49")</f>
        <v>Vi lượng Basel IDA 49</v>
      </c>
      <c r="F5626" s="87" t="str">
        <f>IFERROR(__xludf.DUMMYFUNCTION("""COMPUTED_VALUE"""),"HH4724")</f>
        <v>HH4724</v>
      </c>
      <c r="G5626" s="87" t="str">
        <f>IFERROR(__xludf.DUMMYFUNCTION("""COMPUTED_VALUE"""),"GC - V - 4724 - Gold Field - Caci-Bo (nước vàng mật ong) - 500ml - 30")</f>
        <v>GC - V - 4724 - Gold Field - Caci-Bo (nước vàng mật ong) - 500ml - 30</v>
      </c>
    </row>
    <row r="5627">
      <c r="A5627" s="86">
        <f>IFERROR(__xludf.DUMMYFUNCTION("""COMPUTED_VALUE"""),5625.0)</f>
        <v>5625</v>
      </c>
      <c r="B5627" s="87" t="str">
        <f>IFERROR(__xludf.DUMMYFUNCTION("""COMPUTED_VALUE"""),"[Nhãn]")</f>
        <v>[Nhãn]</v>
      </c>
      <c r="C5627" s="87" t="str">
        <f>IFERROR(__xludf.DUMMYFUNCTION("""COMPUTED_VALUE"""),"NHG4722")</f>
        <v>NHG4722</v>
      </c>
      <c r="D5627" s="87" t="str">
        <f>IFERROR(__xludf.DUMMYFUNCTION("""COMPUTED_VALUE"""),"[Nhãn] GC - IX - 4722 - N2SBIO - N2 PHYTO PLUS (Nước nâu đen) - 500ml - 40")</f>
        <v>[Nhãn] GC - IX - 4722 - N2SBIO - N2 PHYTO PLUS (Nước nâu đen) - 500ml - 40</v>
      </c>
      <c r="E5627" s="87" t="str">
        <f>IFERROR(__xludf.DUMMYFUNCTION("""COMPUTED_VALUE"""),"Hữu cơ SH Agro Organic Fertilizer 20")</f>
        <v>Hữu cơ SH Agro Organic Fertilizer 20</v>
      </c>
      <c r="F5627" s="87" t="str">
        <f>IFERROR(__xludf.DUMMYFUNCTION("""COMPUTED_VALUE"""),"HH4722")</f>
        <v>HH4722</v>
      </c>
      <c r="G5627" s="87" t="str">
        <f>IFERROR(__xludf.DUMMYFUNCTION("""COMPUTED_VALUE"""),"GC - IX - 4722 - N2SBIO - N2 PHYTO PLUS (Nước nâu đen) - 500ml - 40")</f>
        <v>GC - IX - 4722 - N2SBIO - N2 PHYTO PLUS (Nước nâu đen) - 500ml - 40</v>
      </c>
    </row>
    <row r="5628">
      <c r="A5628" s="86">
        <f>IFERROR(__xludf.DUMMYFUNCTION("""COMPUTED_VALUE"""),5626.0)</f>
        <v>5626</v>
      </c>
      <c r="B5628" s="87" t="str">
        <f>IFERROR(__xludf.DUMMYFUNCTION("""COMPUTED_VALUE"""),"[Nhãn]")</f>
        <v>[Nhãn]</v>
      </c>
      <c r="C5628" s="87" t="str">
        <f>IFERROR(__xludf.DUMMYFUNCTION("""COMPUTED_VALUE"""),"NHG4725")</f>
        <v>NHG4725</v>
      </c>
      <c r="D5628" s="87" t="str">
        <f>IFERROR(__xludf.DUMMYFUNCTION("""COMPUTED_VALUE"""),"[Nhãn] GC - V - 4725 - KIM NGỌC - AGAMA-CANXI BO (Nước trắng sữa) - 500ml - 40")</f>
        <v>[Nhãn] GC - V - 4725 - KIM NGỌC - AGAMA-CANXI BO (Nước trắng sữa) - 500ml - 40</v>
      </c>
      <c r="E5628" s="87" t="str">
        <f>IFERROR(__xludf.DUMMYFUNCTION("""COMPUTED_VALUE"""),"Vi lượng AGAMA-CANXI BO")</f>
        <v>Vi lượng AGAMA-CANXI BO</v>
      </c>
      <c r="F5628" s="87" t="str">
        <f>IFERROR(__xludf.DUMMYFUNCTION("""COMPUTED_VALUE"""),"HH4725")</f>
        <v>HH4725</v>
      </c>
      <c r="G5628" s="87" t="str">
        <f>IFERROR(__xludf.DUMMYFUNCTION("""COMPUTED_VALUE"""),"GC - V - 4725 - KIM NGỌC - AGAMA-CANXI BO (Nước trắng sữa) - 500ml - 40")</f>
        <v>GC - V - 4725 - KIM NGỌC - AGAMA-CANXI BO (Nước trắng sữa) - 500ml - 40</v>
      </c>
    </row>
    <row r="5629">
      <c r="A5629" s="86">
        <f>IFERROR(__xludf.DUMMYFUNCTION("""COMPUTED_VALUE"""),5627.0)</f>
        <v>5627</v>
      </c>
      <c r="B5629" s="87" t="str">
        <f>IFERROR(__xludf.DUMMYFUNCTION("""COMPUTED_VALUE"""),"[Nhãn]")</f>
        <v>[Nhãn]</v>
      </c>
      <c r="C5629" s="87" t="str">
        <f>IFERROR(__xludf.DUMMYFUNCTION("""COMPUTED_VALUE"""),"NHG4729")</f>
        <v>NHG4729</v>
      </c>
      <c r="D5629" s="87" t="str">
        <f>IFERROR(__xludf.DUMMYFUNCTION("""COMPUTED_VALUE"""),"[Nhãn] GC - V - 4729 - WINDY ALS - CALCIBOZIN (Dạng SC - Trắng sữa) - 500ml - 40")</f>
        <v>[Nhãn] GC - V - 4729 - WINDY ALS - CALCIBOZIN (Dạng SC - Trắng sữa) - 500ml - 40</v>
      </c>
      <c r="E5629" s="87" t="str">
        <f>IFERROR(__xludf.DUMMYFUNCTION("""COMPUTED_VALUE"""),"Vi lượng AGAMA-CANXI BO")</f>
        <v>Vi lượng AGAMA-CANXI BO</v>
      </c>
      <c r="F5629" s="87" t="str">
        <f>IFERROR(__xludf.DUMMYFUNCTION("""COMPUTED_VALUE"""),"HH4729")</f>
        <v>HH4729</v>
      </c>
      <c r="G5629" s="87" t="str">
        <f>IFERROR(__xludf.DUMMYFUNCTION("""COMPUTED_VALUE"""),"GC - V - 4729 - WINDY ALS - CALCIBOZIN (Dạng SC - Trắng sữa) - 500ml - 40")</f>
        <v>GC - V - 4729 - WINDY ALS - CALCIBOZIN (Dạng SC - Trắng sữa) - 500ml - 40</v>
      </c>
    </row>
    <row r="5630">
      <c r="A5630" s="86">
        <f>IFERROR(__xludf.DUMMYFUNCTION("""COMPUTED_VALUE"""),5628.0)</f>
        <v>5628</v>
      </c>
      <c r="B5630" s="87" t="str">
        <f>IFERROR(__xludf.DUMMYFUNCTION("""COMPUTED_VALUE"""),"[Nhãn]")</f>
        <v>[Nhãn]</v>
      </c>
      <c r="C5630" s="87" t="str">
        <f>IFERROR(__xludf.DUMMYFUNCTION("""COMPUTED_VALUE"""),"NHG4730")</f>
        <v>NHG4730</v>
      </c>
      <c r="D5630" s="87" t="str">
        <f>IFERROR(__xludf.DUMMYFUNCTION("""COMPUTED_VALUE"""),"[Nhãn] GC - V - 4730 - WINDY ALS - ZINC-MAGIE (Dạng SC - Xanh lá) - 450ml - 40")</f>
        <v>[Nhãn] GC - V - 4730 - WINDY ALS - ZINC-MAGIE (Dạng SC - Xanh lá) - 450ml - 40</v>
      </c>
      <c r="E5630" s="87" t="str">
        <f>IFERROR(__xludf.DUMMYFUNCTION("""COMPUTED_VALUE"""),"vi lượng Phú Sĩ FJ-09 Kẽm Mg")</f>
        <v>vi lượng Phú Sĩ FJ-09 Kẽm Mg</v>
      </c>
      <c r="F5630" s="87" t="str">
        <f>IFERROR(__xludf.DUMMYFUNCTION("""COMPUTED_VALUE"""),"HH4730")</f>
        <v>HH4730</v>
      </c>
      <c r="G5630" s="87" t="str">
        <f>IFERROR(__xludf.DUMMYFUNCTION("""COMPUTED_VALUE"""),"GC - V - 4730 - WINDY ALS - ZINC-MAGIE (Dạng SC - Xanh lá) - 450ml - 40")</f>
        <v>GC - V - 4730 - WINDY ALS - ZINC-MAGIE (Dạng SC - Xanh lá) - 450ml - 40</v>
      </c>
    </row>
    <row r="5631">
      <c r="A5631" s="86">
        <f>IFERROR(__xludf.DUMMYFUNCTION("""COMPUTED_VALUE"""),5629.0)</f>
        <v>5629</v>
      </c>
      <c r="B5631" s="87" t="str">
        <f>IFERROR(__xludf.DUMMYFUNCTION("""COMPUTED_VALUE"""),"[Nhãn]")</f>
        <v>[Nhãn]</v>
      </c>
      <c r="C5631" s="87" t="str">
        <f>IFERROR(__xludf.DUMMYFUNCTION("""COMPUTED_VALUE"""),"NHG4731")</f>
        <v>NHG4731</v>
      </c>
      <c r="D5631" s="87" t="str">
        <f>IFERROR(__xludf.DUMMYFUNCTION("""COMPUTED_VALUE"""),"[Nhãn] GC - V - 4731 - WINDY ALS - BOOM GOLD (Nước nâu đen) - 250ml - 40")</f>
        <v>[Nhãn] GC - V - 4731 - WINDY ALS - BOOM GOLD (Nước nâu đen) - 250ml - 40</v>
      </c>
      <c r="E5631" s="87" t="str">
        <f>IFERROR(__xludf.DUMMYFUNCTION("""COMPUTED_VALUE"""),"Hữu cơ SH Agro Organic Fertilizer 20")</f>
        <v>Hữu cơ SH Agro Organic Fertilizer 20</v>
      </c>
      <c r="F5631" s="87" t="str">
        <f>IFERROR(__xludf.DUMMYFUNCTION("""COMPUTED_VALUE"""),"HH4731")</f>
        <v>HH4731</v>
      </c>
      <c r="G5631" s="87" t="str">
        <f>IFERROR(__xludf.DUMMYFUNCTION("""COMPUTED_VALUE"""),"GC - V - 4731 - WINDY ALS - BOOM GOLD (Nước nâu đen) - 250ml - 40")</f>
        <v>GC - V - 4731 - WINDY ALS - BOOM GOLD (Nước nâu đen) - 250ml - 40</v>
      </c>
    </row>
    <row r="5632">
      <c r="A5632" s="86">
        <f>IFERROR(__xludf.DUMMYFUNCTION("""COMPUTED_VALUE"""),5630.0)</f>
        <v>5630</v>
      </c>
      <c r="B5632" s="87" t="str">
        <f>IFERROR(__xludf.DUMMYFUNCTION("""COMPUTED_VALUE"""),"[Nhãn]")</f>
        <v>[Nhãn]</v>
      </c>
      <c r="C5632" s="87" t="str">
        <f>IFERROR(__xludf.DUMMYFUNCTION("""COMPUTED_VALUE"""),"NHG4698")</f>
        <v>NHG4698</v>
      </c>
      <c r="D5632" s="87" t="str">
        <f>IFERROR(__xludf.DUMMYFUNCTION("""COMPUTED_VALUE"""),"[Nhãn] GC - V - 4698 - A Thời GNH - Super Fruit Lớn Trái (Nước nâu đen) - 500ml - 40")</f>
        <v>[Nhãn] GC - V - 4698 - A Thời GNH - Super Fruit Lớn Trái (Nước nâu đen) - 500ml - 40</v>
      </c>
      <c r="E5632" s="87" t="str">
        <f>IFERROR(__xludf.DUMMYFUNCTION("""COMPUTED_VALUE"""),"Vi lượng Basel VA02")</f>
        <v>Vi lượng Basel VA02</v>
      </c>
      <c r="F5632" s="87" t="str">
        <f>IFERROR(__xludf.DUMMYFUNCTION("""COMPUTED_VALUE"""),"HH4698")</f>
        <v>HH4698</v>
      </c>
      <c r="G5632" s="87" t="str">
        <f>IFERROR(__xludf.DUMMYFUNCTION("""COMPUTED_VALUE"""),"GC - V - 4698 - A Thời GNH - Super Fruit Lớn Trái (Nước nâu đen) - 500ml - 40")</f>
        <v>GC - V - 4698 - A Thời GNH - Super Fruit Lớn Trái (Nước nâu đen) - 500ml - 40</v>
      </c>
    </row>
    <row r="5633">
      <c r="A5633" s="86">
        <f>IFERROR(__xludf.DUMMYFUNCTION("""COMPUTED_VALUE"""),5631.0)</f>
        <v>5631</v>
      </c>
      <c r="B5633" s="87" t="str">
        <f>IFERROR(__xludf.DUMMYFUNCTION("""COMPUTED_VALUE"""),"[Nhãn]")</f>
        <v>[Nhãn]</v>
      </c>
      <c r="C5633" s="87" t="str">
        <f>IFERROR(__xludf.DUMMYFUNCTION("""COMPUTED_VALUE"""),"NHG4650")</f>
        <v>NHG4650</v>
      </c>
      <c r="D5633" s="87" t="str">
        <f>IFERROR(__xludf.DUMMYFUNCTION("""COMPUTED_VALUE"""),"[Nhãn] IDA Global - I - 4650 - SIÊU KẼM 247 (Nước vàng sữa) - 250ml - 40")</f>
        <v>[Nhãn] IDA Global - I - 4650 - SIÊU KẼM 247 (Nước vàng sữa) - 250ml - 40</v>
      </c>
      <c r="E5633" s="87" t="str">
        <f>IFERROR(__xludf.DUMMYFUNCTION("""COMPUTED_VALUE"""),"vi lượng Phú Sĩ FJ-09 Kẽm Mg")</f>
        <v>vi lượng Phú Sĩ FJ-09 Kẽm Mg</v>
      </c>
      <c r="F5633" s="87" t="str">
        <f>IFERROR(__xludf.DUMMYFUNCTION("""COMPUTED_VALUE"""),"HH4650")</f>
        <v>HH4650</v>
      </c>
      <c r="G5633" s="87" t="str">
        <f>IFERROR(__xludf.DUMMYFUNCTION("""COMPUTED_VALUE"""),"IDA Global - I - 4650 - SIÊU KẼM 247 (Nước vàng sữa) - 250ml - 40")</f>
        <v>IDA Global - I - 4650 - SIÊU KẼM 247 (Nước vàng sữa) - 250ml - 40</v>
      </c>
    </row>
    <row r="5634">
      <c r="A5634" s="86">
        <f>IFERROR(__xludf.DUMMYFUNCTION("""COMPUTED_VALUE"""),5632.0)</f>
        <v>5632</v>
      </c>
      <c r="B5634" s="87" t="str">
        <f>IFERROR(__xludf.DUMMYFUNCTION("""COMPUTED_VALUE"""),"[Nhãn]")</f>
        <v>[Nhãn]</v>
      </c>
      <c r="C5634" s="87" t="str">
        <f>IFERROR(__xludf.DUMMYFUNCTION("""COMPUTED_VALUE"""),"NHG4737")</f>
        <v>NHG4737</v>
      </c>
      <c r="D5634" s="87" t="str">
        <f>IFERROR(__xludf.DUMMYFUNCTION("""COMPUTED_VALUE"""),"[Nhãn] GC - V - 4737 - CTY ACE VN - AMILAN 300SC (Nước cam sữa) - 100ml - 100")</f>
        <v>[Nhãn] GC - V - 4737 - CTY ACE VN - AMILAN 300SC (Nước cam sữa) - 100ml - 100</v>
      </c>
      <c r="E5634" s="87" t="str">
        <f>IFERROR(__xludf.DUMMYFUNCTION("""COMPUTED_VALUE"""),"AMILAN 300SC")</f>
        <v>AMILAN 300SC</v>
      </c>
      <c r="F5634" s="87" t="str">
        <f>IFERROR(__xludf.DUMMYFUNCTION("""COMPUTED_VALUE"""),"HH4737")</f>
        <v>HH4737</v>
      </c>
      <c r="G5634" s="87" t="str">
        <f>IFERROR(__xludf.DUMMYFUNCTION("""COMPUTED_VALUE"""),"GC - V - 4737 - CTY ACE VN - AMILAN 300SC (Nước cam sữa) - 100ml - 100")</f>
        <v>GC - V - 4737 - CTY ACE VN - AMILAN 300SC (Nước cam sữa) - 100ml - 100</v>
      </c>
    </row>
    <row r="5635">
      <c r="A5635" s="86">
        <f>IFERROR(__xludf.DUMMYFUNCTION("""COMPUTED_VALUE"""),5633.0)</f>
        <v>5633</v>
      </c>
      <c r="B5635" s="87" t="str">
        <f>IFERROR(__xludf.DUMMYFUNCTION("""COMPUTED_VALUE"""),"[Nhãn]")</f>
        <v>[Nhãn]</v>
      </c>
      <c r="C5635" s="87" t="str">
        <f>IFERROR(__xludf.DUMMYFUNCTION("""COMPUTED_VALUE"""),"NHG4738")</f>
        <v>NHG4738</v>
      </c>
      <c r="D5635" s="87" t="str">
        <f>IFERROR(__xludf.DUMMYFUNCTION("""COMPUTED_VALUE"""),"[Nhãn] GC - V - 4738 - Cty Sen Hồng (A.Diễn) - VÔ GẠO SH.D87 (nước vàng sữa) - 500ml - 40")</f>
        <v>[Nhãn] GC - V - 4738 - Cty Sen Hồng (A.Diễn) - VÔ GẠO SH.D87 (nước vàng sữa) - 500ml - 40</v>
      </c>
      <c r="E5635" s="87" t="str">
        <f>IFERROR(__xludf.DUMMYFUNCTION("""COMPUTED_VALUE"""),"Vi lượng Run Fast")</f>
        <v>Vi lượng Run Fast</v>
      </c>
      <c r="F5635" s="87" t="str">
        <f>IFERROR(__xludf.DUMMYFUNCTION("""COMPUTED_VALUE"""),"HH4738")</f>
        <v>HH4738</v>
      </c>
      <c r="G5635" s="87" t="str">
        <f>IFERROR(__xludf.DUMMYFUNCTION("""COMPUTED_VALUE"""),"GC - V - 4738 - Cty Sen Hồng (A.Diễn) - VÔ GẠO SH.D87 (nước vàng sữa) - 500ml - 40")</f>
        <v>GC - V - 4738 - Cty Sen Hồng (A.Diễn) - VÔ GẠO SH.D87 (nước vàng sữa) - 500ml - 40</v>
      </c>
    </row>
    <row r="5636">
      <c r="A5636" s="86">
        <f>IFERROR(__xludf.DUMMYFUNCTION("""COMPUTED_VALUE"""),5634.0)</f>
        <v>5634</v>
      </c>
      <c r="B5636" s="87" t="str">
        <f>IFERROR(__xludf.DUMMYFUNCTION("""COMPUTED_VALUE"""),"[Nhãn]")</f>
        <v>[Nhãn]</v>
      </c>
      <c r="C5636" s="87" t="str">
        <f>IFERROR(__xludf.DUMMYFUNCTION("""COMPUTED_VALUE"""),"NHG4732")</f>
        <v>NHG4732</v>
      </c>
      <c r="D5636" s="87" t="str">
        <f>IFERROR(__xludf.DUMMYFUNCTION("""COMPUTED_VALUE"""),"[Nhãn] GC - V - 4732 - CTY GNH - RA RỄ - NỞ BỤI LÁC - CÓI (Nước nâu đen) - 1L - 20")</f>
        <v>[Nhãn] GC - V - 4732 - CTY GNH - RA RỄ - NỞ BỤI LÁC - CÓI (Nước nâu đen) - 1L - 20</v>
      </c>
      <c r="E5636" s="87" t="str">
        <f>IFERROR(__xludf.DUMMYFUNCTION("""COMPUTED_VALUE"""),"Vi lượng Quantity New")</f>
        <v>Vi lượng Quantity New</v>
      </c>
      <c r="F5636" s="87" t="str">
        <f>IFERROR(__xludf.DUMMYFUNCTION("""COMPUTED_VALUE"""),"HH4732")</f>
        <v>HH4732</v>
      </c>
      <c r="G5636" s="87" t="str">
        <f>IFERROR(__xludf.DUMMYFUNCTION("""COMPUTED_VALUE"""),"GC - V - 4732 - CTY GNH - RA RỄ - NỞ BỤI LÁC - CÓI (Nước nâu đen) - 1L - 20")</f>
        <v>GC - V - 4732 - CTY GNH - RA RỄ - NỞ BỤI LÁC - CÓI (Nước nâu đen) - 1L - 20</v>
      </c>
    </row>
    <row r="5637">
      <c r="A5637" s="86">
        <f>IFERROR(__xludf.DUMMYFUNCTION("""COMPUTED_VALUE"""),5635.0)</f>
        <v>5635</v>
      </c>
      <c r="B5637" s="87" t="str">
        <f>IFERROR(__xludf.DUMMYFUNCTION("""COMPUTED_VALUE"""),"[Nhãn]")</f>
        <v>[Nhãn]</v>
      </c>
      <c r="C5637" s="87" t="str">
        <f>IFERROR(__xludf.DUMMYFUNCTION("""COMPUTED_VALUE"""),"NHG4735")</f>
        <v>NHG4735</v>
      </c>
      <c r="D5637" s="87" t="str">
        <f>IFERROR(__xludf.DUMMYFUNCTION("""COMPUTED_VALUE"""),"[Nhãn] GC - V - 4735 - CTY LÂM THÀNH - ZINC SC NANO (Nước xanh lá sữa) - 500ml - 40")</f>
        <v>[Nhãn] GC - V - 4735 - CTY LÂM THÀNH - ZINC SC NANO (Nước xanh lá sữa) - 500ml - 40</v>
      </c>
      <c r="E5637" s="87" t="str">
        <f>IFERROR(__xludf.DUMMYFUNCTION("""COMPUTED_VALUE"""),"Vi lượng MICKEY")</f>
        <v>Vi lượng MICKEY</v>
      </c>
      <c r="F5637" s="87" t="str">
        <f>IFERROR(__xludf.DUMMYFUNCTION("""COMPUTED_VALUE"""),"HH4735")</f>
        <v>HH4735</v>
      </c>
      <c r="G5637" s="87" t="str">
        <f>IFERROR(__xludf.DUMMYFUNCTION("""COMPUTED_VALUE"""),"GC - V - 4735 - CTY LÂM THÀNH - ZINC SC NANO (Nước xanh lá sữa) - 500ml - 40")</f>
        <v>GC - V - 4735 - CTY LÂM THÀNH - ZINC SC NANO (Nước xanh lá sữa) - 500ml - 40</v>
      </c>
    </row>
    <row r="5638">
      <c r="A5638" s="86">
        <f>IFERROR(__xludf.DUMMYFUNCTION("""COMPUTED_VALUE"""),5636.0)</f>
        <v>5636</v>
      </c>
      <c r="B5638" s="87" t="str">
        <f>IFERROR(__xludf.DUMMYFUNCTION("""COMPUTED_VALUE"""),"[Nhãn]")</f>
        <v>[Nhãn]</v>
      </c>
      <c r="C5638" s="87" t="str">
        <f>IFERROR(__xludf.DUMMYFUNCTION("""COMPUTED_VALUE"""),"NHG4726")</f>
        <v>NHG4726</v>
      </c>
      <c r="D5638" s="87" t="str">
        <f>IFERROR(__xludf.DUMMYFUNCTION("""COMPUTED_VALUE"""),"[Nhãn] LOT IDA Global - I - 4726 - An Phát Nông - CALCIBOR (Nước vàng) - 500ml - 40")</f>
        <v>[Nhãn] LOT IDA Global - I - 4726 - An Phát Nông - CALCIBOR (Nước vàng) - 500ml - 40</v>
      </c>
      <c r="E5638" s="87" t="str">
        <f>IFERROR(__xludf.DUMMYFUNCTION("""COMPUTED_VALUE"""),"Vi lượng Run Fast")</f>
        <v>Vi lượng Run Fast</v>
      </c>
      <c r="F5638" s="87" t="str">
        <f>IFERROR(__xludf.DUMMYFUNCTION("""COMPUTED_VALUE"""),"HH4726")</f>
        <v>HH4726</v>
      </c>
      <c r="G5638" s="87" t="str">
        <f>IFERROR(__xludf.DUMMYFUNCTION("""COMPUTED_VALUE"""),"LOT IDA Global - I - 4726 - An Phát Nông - CALCIBOR (Nước vàng) - 500ml - 40")</f>
        <v>LOT IDA Global - I - 4726 - An Phát Nông - CALCIBOR (Nước vàng) - 500ml - 40</v>
      </c>
    </row>
    <row r="5639">
      <c r="A5639" s="86">
        <f>IFERROR(__xludf.DUMMYFUNCTION("""COMPUTED_VALUE"""),5637.0)</f>
        <v>5637</v>
      </c>
      <c r="B5639" s="87" t="str">
        <f>IFERROR(__xludf.DUMMYFUNCTION("""COMPUTED_VALUE"""),"[Nhãn]")</f>
        <v>[Nhãn]</v>
      </c>
      <c r="C5639" s="87" t="str">
        <f>IFERROR(__xludf.DUMMYFUNCTION("""COMPUTED_VALUE"""),"NHG4416")</f>
        <v>NHG4416</v>
      </c>
      <c r="D5639" s="87" t="str">
        <f>IFERROR(__xludf.DUMMYFUNCTION("""COMPUTED_VALUE"""),"[Nhãn] GC - V - 4416 - CTY NAUY - CHỐNG RỤNG TRÁI (Nước nâu đen) - 500ml - 40")</f>
        <v>[Nhãn] GC - V - 4416 - CTY NAUY - CHỐNG RỤNG TRÁI (Nước nâu đen) - 500ml - 40</v>
      </c>
      <c r="E5639" s="87" t="str">
        <f>IFERROR(__xludf.DUMMYFUNCTION("""COMPUTED_VALUE"""),"Vi lượng Run Fast")</f>
        <v>Vi lượng Run Fast</v>
      </c>
      <c r="F5639" s="87" t="str">
        <f>IFERROR(__xludf.DUMMYFUNCTION("""COMPUTED_VALUE"""),"HH4416")</f>
        <v>HH4416</v>
      </c>
      <c r="G5639" s="87" t="str">
        <f>IFERROR(__xludf.DUMMYFUNCTION("""COMPUTED_VALUE"""),"GC - V - 4416 - CTY NAUY - CHỐNG RỤNG TRÁI (Nước nâu đen) - 500ml - 40")</f>
        <v>GC - V - 4416 - CTY NAUY - CHỐNG RỤNG TRÁI (Nước nâu đen) - 500ml - 40</v>
      </c>
    </row>
    <row r="5640">
      <c r="A5640" s="86">
        <f>IFERROR(__xludf.DUMMYFUNCTION("""COMPUTED_VALUE"""),5638.0)</f>
        <v>5638</v>
      </c>
      <c r="B5640" s="87" t="str">
        <f>IFERROR(__xludf.DUMMYFUNCTION("""COMPUTED_VALUE"""),"[Nhãn]")</f>
        <v>[Nhãn]</v>
      </c>
      <c r="C5640" s="87" t="str">
        <f>IFERROR(__xludf.DUMMYFUNCTION("""COMPUTED_VALUE"""),"NHG4414")</f>
        <v>NHG4414</v>
      </c>
      <c r="D5640" s="87" t="str">
        <f>IFERROR(__xludf.DUMMYFUNCTION("""COMPUTED_VALUE"""),"[Nhãn] GC - V - 4414 - CTY NAUY - CHUYÊN GIA TO TRÁI (Nước nâu đen) - 500ml - 40")</f>
        <v>[Nhãn] GC - V - 4414 - CTY NAUY - CHUYÊN GIA TO TRÁI (Nước nâu đen) - 500ml - 40</v>
      </c>
      <c r="E5640" s="87" t="str">
        <f>IFERROR(__xludf.DUMMYFUNCTION("""COMPUTED_VALUE"""),"Lá PK-Vi lượng SV 5-18")</f>
        <v>Lá PK-Vi lượng SV 5-18</v>
      </c>
      <c r="F5640" s="87" t="str">
        <f>IFERROR(__xludf.DUMMYFUNCTION("""COMPUTED_VALUE"""),"HH4414")</f>
        <v>HH4414</v>
      </c>
      <c r="G5640" s="87" t="str">
        <f>IFERROR(__xludf.DUMMYFUNCTION("""COMPUTED_VALUE"""),"GC - V - 4414 - CTY NAUY - CHUYÊN GIA TO TRÁI (Nước nâu đen) - 500ml - 40")</f>
        <v>GC - V - 4414 - CTY NAUY - CHUYÊN GIA TO TRÁI (Nước nâu đen) - 500ml - 40</v>
      </c>
    </row>
    <row r="5641">
      <c r="A5641" s="86">
        <f>IFERROR(__xludf.DUMMYFUNCTION("""COMPUTED_VALUE"""),5639.0)</f>
        <v>5639</v>
      </c>
      <c r="B5641" s="87" t="str">
        <f>IFERROR(__xludf.DUMMYFUNCTION("""COMPUTED_VALUE"""),"[Nhãn]")</f>
        <v>[Nhãn]</v>
      </c>
      <c r="C5641" s="87" t="str">
        <f>IFERROR(__xludf.DUMMYFUNCTION("""COMPUTED_VALUE"""),"NHG4415")</f>
        <v>NHG4415</v>
      </c>
      <c r="D5641" s="87" t="str">
        <f>IFERROR(__xludf.DUMMYFUNCTION("""COMPUTED_VALUE"""),"[Nhãn] GC - V - 4415 - CTY NAUY - RA HOA (Nước nâu đen) - 500ml - 40")</f>
        <v>[Nhãn] GC - V - 4415 - CTY NAUY - RA HOA (Nước nâu đen) - 500ml - 40</v>
      </c>
      <c r="E5641" s="87" t="str">
        <f>IFERROR(__xludf.DUMMYFUNCTION("""COMPUTED_VALUE"""),"Vi lượng Quantity New")</f>
        <v>Vi lượng Quantity New</v>
      </c>
      <c r="F5641" s="87" t="str">
        <f>IFERROR(__xludf.DUMMYFUNCTION("""COMPUTED_VALUE"""),"HH4415")</f>
        <v>HH4415</v>
      </c>
      <c r="G5641" s="87" t="str">
        <f>IFERROR(__xludf.DUMMYFUNCTION("""COMPUTED_VALUE"""),"GC - V - 4415 - CTY NAUY - RA HOA (Nước nâu đen) - 500ml - 40")</f>
        <v>GC - V - 4415 - CTY NAUY - RA HOA (Nước nâu đen) - 500ml - 40</v>
      </c>
    </row>
    <row r="5642">
      <c r="A5642" s="86">
        <f>IFERROR(__xludf.DUMMYFUNCTION("""COMPUTED_VALUE"""),5640.0)</f>
        <v>5640</v>
      </c>
      <c r="B5642" s="87" t="str">
        <f>IFERROR(__xludf.DUMMYFUNCTION("""COMPUTED_VALUE"""),"[Nhãn]")</f>
        <v>[Nhãn]</v>
      </c>
      <c r="C5642" s="87" t="str">
        <f>IFERROR(__xludf.DUMMYFUNCTION("""COMPUTED_VALUE"""),"NTN4728")</f>
        <v>NTN4728</v>
      </c>
      <c r="D5642" s="87" t="str">
        <f>IFERROR(__xludf.DUMMYFUNCTION("""COMPUTED_VALUE"""),"[Nhãn] GC - V - 4728 - Cty Bảy Phận - PHANVIL (Nước trắng sữa) - 1L - 20")</f>
        <v>[Nhãn] GC - V - 4728 - Cty Bảy Phận - PHANVIL (Nước trắng sữa) - 1L - 20</v>
      </c>
      <c r="E5642" s="87" t="str">
        <f>IFERROR(__xludf.DUMMYFUNCTION("""COMPUTED_VALUE"""),"Mekongvil 5SC")</f>
        <v>Mekongvil 5SC</v>
      </c>
      <c r="F5642" s="87" t="str">
        <f>IFERROR(__xludf.DUMMYFUNCTION("""COMPUTED_VALUE"""),"HH4728")</f>
        <v>HH4728</v>
      </c>
      <c r="G5642" s="87" t="str">
        <f>IFERROR(__xludf.DUMMYFUNCTION("""COMPUTED_VALUE"""),"GC - V - 4728 - Cty Bảy Phận - PHANVIL (Nước trắng sữa) - 1L - 20")</f>
        <v>GC - V - 4728 - Cty Bảy Phận - PHANVIL (Nước trắng sữa) - 1L - 20</v>
      </c>
    </row>
    <row r="5643">
      <c r="A5643" s="86">
        <f>IFERROR(__xludf.DUMMYFUNCTION("""COMPUTED_VALUE"""),5641.0)</f>
        <v>5641</v>
      </c>
      <c r="B5643" s="87" t="str">
        <f>IFERROR(__xludf.DUMMYFUNCTION("""COMPUTED_VALUE"""),"[Nhãn Thùng]")</f>
        <v>[Nhãn Thùng]</v>
      </c>
      <c r="C5643" s="87" t="str">
        <f>IFERROR(__xludf.DUMMYFUNCTION("""COMPUTED_VALUE"""),"NDT4728")</f>
        <v>NDT4728</v>
      </c>
      <c r="D5643" s="87" t="str">
        <f>IFERROR(__xludf.DUMMYFUNCTION("""COMPUTED_VALUE"""),"[Nhãn Thùng] GC - V - 4728 - Cty Bảy Phận - PHANVIL (Nước trắng sữa) - 1L - 20")</f>
        <v>[Nhãn Thùng] GC - V - 4728 - Cty Bảy Phận - PHANVIL (Nước trắng sữa) - 1L - 20</v>
      </c>
      <c r="E5643" s="87" t="str">
        <f>IFERROR(__xludf.DUMMYFUNCTION("""COMPUTED_VALUE"""),"Mekongvil 5SC")</f>
        <v>Mekongvil 5SC</v>
      </c>
      <c r="F5643" s="87" t="str">
        <f>IFERROR(__xludf.DUMMYFUNCTION("""COMPUTED_VALUE"""),"HH4728")</f>
        <v>HH4728</v>
      </c>
      <c r="G5643" s="87" t="str">
        <f>IFERROR(__xludf.DUMMYFUNCTION("""COMPUTED_VALUE"""),"GC - V - 4728 - Cty Bảy Phận - PHANVIL (Nước trắng sữa) - 1L - 20")</f>
        <v>GC - V - 4728 - Cty Bảy Phận - PHANVIL (Nước trắng sữa) - 1L - 20</v>
      </c>
    </row>
    <row r="5644">
      <c r="A5644" s="86">
        <f>IFERROR(__xludf.DUMMYFUNCTION("""COMPUTED_VALUE"""),5642.0)</f>
        <v>5642</v>
      </c>
      <c r="B5644" s="87" t="str">
        <f>IFERROR(__xludf.DUMMYFUNCTION("""COMPUTED_VALUE"""),"[Nhãn]")</f>
        <v>[Nhãn]</v>
      </c>
      <c r="C5644" s="87" t="str">
        <f>IFERROR(__xludf.DUMMYFUNCTION("""COMPUTED_VALUE"""),"NHG4743")</f>
        <v>NHG4743</v>
      </c>
      <c r="D5644" s="87" t="str">
        <f>IFERROR(__xludf.DUMMYFUNCTION("""COMPUTED_VALUE"""),"[Nhãn] GC - V - 4743 - CTY NÔNG HÓA XANH - STOPS (Nước tím) - 450ml - 40")</f>
        <v>[Nhãn] GC - V - 4743 - CTY NÔNG HÓA XANH - STOPS (Nước tím) - 450ml - 40</v>
      </c>
      <c r="E5644" s="87" t="str">
        <f>IFERROR(__xludf.DUMMYFUNCTION("""COMPUTED_VALUE"""),"ABASBA 50EC")</f>
        <v>ABASBA 50EC</v>
      </c>
      <c r="F5644" s="87" t="str">
        <f>IFERROR(__xludf.DUMMYFUNCTION("""COMPUTED_VALUE"""),"HH4743")</f>
        <v>HH4743</v>
      </c>
      <c r="G5644" s="87" t="str">
        <f>IFERROR(__xludf.DUMMYFUNCTION("""COMPUTED_VALUE"""),"GC - V - 4743 - CTY NÔNG HÓA XANH - STOPS (Nước tím) - 450ml - 40")</f>
        <v>GC - V - 4743 - CTY NÔNG HÓA XANH - STOPS (Nước tím) - 450ml - 40</v>
      </c>
    </row>
    <row r="5645">
      <c r="A5645" s="86">
        <f>IFERROR(__xludf.DUMMYFUNCTION("""COMPUTED_VALUE"""),5643.0)</f>
        <v>5643</v>
      </c>
      <c r="B5645" s="87" t="str">
        <f>IFERROR(__xludf.DUMMYFUNCTION("""COMPUTED_VALUE"""),"[Nhãn]")</f>
        <v>[Nhãn]</v>
      </c>
      <c r="C5645" s="87" t="str">
        <f>IFERROR(__xludf.DUMMYFUNCTION("""COMPUTED_VALUE"""),"NHG4741")</f>
        <v>NHG4741</v>
      </c>
      <c r="D5645" s="87" t="str">
        <f>IFERROR(__xludf.DUMMYFUNCTION("""COMPUTED_VALUE"""),"[Nhãn] GC - V - Agritech - 4741 - Pyxoate 44EC (Nước đỏ) - 450ml - 40")</f>
        <v>[Nhãn] GC - V - Agritech - 4741 - Pyxoate 44EC (Nước đỏ) - 450ml - 40</v>
      </c>
      <c r="E5645" s="87" t="str">
        <f>IFERROR(__xludf.DUMMYFUNCTION("""COMPUTED_VALUE"""),"PYXOATE 44EC")</f>
        <v>PYXOATE 44EC</v>
      </c>
      <c r="F5645" s="87" t="str">
        <f>IFERROR(__xludf.DUMMYFUNCTION("""COMPUTED_VALUE"""),"HH4741")</f>
        <v>HH4741</v>
      </c>
      <c r="G5645" s="87" t="str">
        <f>IFERROR(__xludf.DUMMYFUNCTION("""COMPUTED_VALUE"""),"GC - V - Agritech - 4741 - Pyxoate 44EC (Nước đỏ) - 450ml - 40")</f>
        <v>GC - V - Agritech - 4741 - Pyxoate 44EC (Nước đỏ) - 450ml - 40</v>
      </c>
    </row>
    <row r="5646">
      <c r="A5646" s="86">
        <f>IFERROR(__xludf.DUMMYFUNCTION("""COMPUTED_VALUE"""),5644.0)</f>
        <v>5644</v>
      </c>
      <c r="B5646" s="87" t="str">
        <f>IFERROR(__xludf.DUMMYFUNCTION("""COMPUTED_VALUE"""),"[Nhãn]")</f>
        <v>[Nhãn]</v>
      </c>
      <c r="C5646" s="87" t="str">
        <f>IFERROR(__xludf.DUMMYFUNCTION("""COMPUTED_VALUE"""),"NHD4744")</f>
        <v>NHD4744</v>
      </c>
      <c r="D5646" s="87" t="str">
        <f>IFERROR(__xludf.DUMMYFUNCTION("""COMPUTED_VALUE"""),"[Nhãn] GC - V - 4744 - AGC (TÂY NGUYÊN) - NUTRI PLUS - TA02 (Nước nâu đen) - 5L - 4")</f>
        <v>[Nhãn] GC - V - 4744 - AGC (TÂY NGUYÊN) - NUTRI PLUS - TA02 (Nước nâu đen) - 5L - 4</v>
      </c>
      <c r="E5646" s="87" t="str">
        <f>IFERROR(__xludf.DUMMYFUNCTION("""COMPUTED_VALUE"""),"Hữu cơ SH Agro Organic Fertilizer 20")</f>
        <v>Hữu cơ SH Agro Organic Fertilizer 20</v>
      </c>
      <c r="F5646" s="87" t="str">
        <f>IFERROR(__xludf.DUMMYFUNCTION("""COMPUTED_VALUE"""),"HH4744")</f>
        <v>HH4744</v>
      </c>
      <c r="G5646" s="87" t="str">
        <f>IFERROR(__xludf.DUMMYFUNCTION("""COMPUTED_VALUE"""),"GC - V - 4744 - AGC (TÂY NGUYÊN) - NUTRI PLUS - TA02 (Nước nâu đen) - 5L - 4")</f>
        <v>GC - V - 4744 - AGC (TÂY NGUYÊN) - NUTRI PLUS - TA02 (Nước nâu đen) - 5L - 4</v>
      </c>
    </row>
    <row r="5647">
      <c r="A5647" s="86">
        <f>IFERROR(__xludf.DUMMYFUNCTION("""COMPUTED_VALUE"""),5645.0)</f>
        <v>5645</v>
      </c>
      <c r="B5647" s="87" t="str">
        <f>IFERROR(__xludf.DUMMYFUNCTION("""COMPUTED_VALUE"""),"[Nhãn]")</f>
        <v>[Nhãn]</v>
      </c>
      <c r="C5647" s="87" t="str">
        <f>IFERROR(__xludf.DUMMYFUNCTION("""COMPUTED_VALUE"""),"NHG4677")</f>
        <v>NHG4677</v>
      </c>
      <c r="D5647" s="87" t="str">
        <f>IFERROR(__xludf.DUMMYFUNCTION("""COMPUTED_VALUE"""),"[Nhãn] IDA Global - I - 4677 - IDA ORGANIC X2 (Nước nâu đen) - 1L - 20")</f>
        <v>[Nhãn] IDA Global - I - 4677 - IDA ORGANIC X2 (Nước nâu đen) - 1L - 20</v>
      </c>
      <c r="E5647" s="87" t="str">
        <f>IFERROR(__xludf.DUMMYFUNCTION("""COMPUTED_VALUE"""),"HỮU CƠ ORGANIC OTUKSA THREE")</f>
        <v>HỮU CƠ ORGANIC OTUKSA THREE</v>
      </c>
      <c r="F5647" s="87" t="str">
        <f>IFERROR(__xludf.DUMMYFUNCTION("""COMPUTED_VALUE"""),"HH4677")</f>
        <v>HH4677</v>
      </c>
      <c r="G5647" s="87" t="str">
        <f>IFERROR(__xludf.DUMMYFUNCTION("""COMPUTED_VALUE"""),"IDA Global - I - 4677 - IDA ORGANIC X2 (Nước nâu đen) - 1L - 20")</f>
        <v>IDA Global - I - 4677 - IDA ORGANIC X2 (Nước nâu đen) - 1L - 20</v>
      </c>
    </row>
    <row r="5648">
      <c r="A5648" s="86">
        <f>IFERROR(__xludf.DUMMYFUNCTION("""COMPUTED_VALUE"""),5646.0)</f>
        <v>5646</v>
      </c>
      <c r="B5648" s="87" t="str">
        <f>IFERROR(__xludf.DUMMYFUNCTION("""COMPUTED_VALUE"""),"[Nhãn]")</f>
        <v>[Nhãn]</v>
      </c>
      <c r="C5648" s="87" t="str">
        <f>IFERROR(__xludf.DUMMYFUNCTION("""COMPUTED_VALUE"""),"NHG4748")</f>
        <v>NHG4748</v>
      </c>
      <c r="D5648" s="87" t="str">
        <f>IFERROR(__xludf.DUMMYFUNCTION("""COMPUTED_VALUE"""),"[Nhãn] GC - V - 4748 - DEGO - RUN FAST (Nước đen) - 18L - 1")</f>
        <v>[Nhãn] GC - V - 4748 - DEGO - RUN FAST (Nước đen) - 18L - 1</v>
      </c>
      <c r="E5648" s="87" t="str">
        <f>IFERROR(__xludf.DUMMYFUNCTION("""COMPUTED_VALUE"""),"Vi lượng Run Fast")</f>
        <v>Vi lượng Run Fast</v>
      </c>
      <c r="F5648" s="87" t="str">
        <f>IFERROR(__xludf.DUMMYFUNCTION("""COMPUTED_VALUE"""),"HH4748")</f>
        <v>HH4748</v>
      </c>
      <c r="G5648" s="87" t="str">
        <f>IFERROR(__xludf.DUMMYFUNCTION("""COMPUTED_VALUE"""),"GC - V - 4748 - DEGO - RUN FAST (Nước đen) - 18L - 1")</f>
        <v>GC - V - 4748 - DEGO - RUN FAST (Nước đen) - 18L - 1</v>
      </c>
    </row>
    <row r="5649">
      <c r="A5649" s="86">
        <f>IFERROR(__xludf.DUMMYFUNCTION("""COMPUTED_VALUE"""),5647.0)</f>
        <v>5647</v>
      </c>
      <c r="B5649" s="87" t="str">
        <f>IFERROR(__xludf.DUMMYFUNCTION("""COMPUTED_VALUE"""),"[Nhãn]")</f>
        <v>[Nhãn]</v>
      </c>
      <c r="C5649" s="87" t="str">
        <f>IFERROR(__xludf.DUMMYFUNCTION("""COMPUTED_VALUE"""),"NHD4736")</f>
        <v>NHD4736</v>
      </c>
      <c r="D5649" s="87" t="str">
        <f>IFERROR(__xludf.DUMMYFUNCTION("""COMPUTED_VALUE"""),"[Nhãn] GC - V - 4736 - CTY AGRITECH - PHOS-K (Nước xanh dương nhạt) - 500ml - 40")</f>
        <v>[Nhãn] GC - V - 4736 - CTY AGRITECH - PHOS-K (Nước xanh dương nhạt) - 500ml - 40</v>
      </c>
      <c r="E5649" s="87" t="str">
        <f>IFERROR(__xludf.DUMMYFUNCTION("""COMPUTED_VALUE"""),"Lá Hỗn Hợp PK AGRI FOS AB")</f>
        <v>Lá Hỗn Hợp PK AGRI FOS AB</v>
      </c>
      <c r="F5649" s="87" t="str">
        <f>IFERROR(__xludf.DUMMYFUNCTION("""COMPUTED_VALUE"""),"HH4736")</f>
        <v>HH4736</v>
      </c>
      <c r="G5649" s="87" t="str">
        <f>IFERROR(__xludf.DUMMYFUNCTION("""COMPUTED_VALUE"""),"GC - V - 4736 - CTY AGRITECH - PHOS-K (Nước xanh dương nhạt) - 500ml - 40")</f>
        <v>GC - V - 4736 - CTY AGRITECH - PHOS-K (Nước xanh dương nhạt) - 500ml - 40</v>
      </c>
    </row>
    <row r="5650">
      <c r="A5650" s="86">
        <f>IFERROR(__xludf.DUMMYFUNCTION("""COMPUTED_VALUE"""),5648.0)</f>
        <v>5648</v>
      </c>
      <c r="B5650" s="87" t="str">
        <f>IFERROR(__xludf.DUMMYFUNCTION("""COMPUTED_VALUE"""),"[Nhãn phụ]")</f>
        <v>[Nhãn phụ]</v>
      </c>
      <c r="C5650" s="87" t="str">
        <f>IFERROR(__xludf.DUMMYFUNCTION("""COMPUTED_VALUE"""),"NHP4160")</f>
        <v>NHP4160</v>
      </c>
      <c r="D5650" s="87" t="str">
        <f>IFERROR(__xludf.DUMMYFUNCTION("""COMPUTED_VALUE"""),"[Nhãn phụ] GC - IV - 4160 - Japan Crop Science - Sumo Siêu Cứng (gel nâu đen) - 500ml - 30")</f>
        <v>[Nhãn phụ] GC - IV - 4160 - Japan Crop Science - Sumo Siêu Cứng (gel nâu đen) - 500ml - 30</v>
      </c>
      <c r="E5650" s="87" t="str">
        <f>IFERROR(__xludf.DUMMYFUNCTION("""COMPUTED_VALUE"""),"Vi lượng Quantity New")</f>
        <v>Vi lượng Quantity New</v>
      </c>
      <c r="F5650" s="87" t="str">
        <f>IFERROR(__xludf.DUMMYFUNCTION("""COMPUTED_VALUE"""),"HH4160")</f>
        <v>HH4160</v>
      </c>
      <c r="G5650" s="87" t="str">
        <f>IFERROR(__xludf.DUMMYFUNCTION("""COMPUTED_VALUE"""),"GC - IV - 4160 - Japan Crop Science - Sumo Siêu Cứng (gel nâu đen) - 500ml - 30")</f>
        <v>GC - IV - 4160 - Japan Crop Science - Sumo Siêu Cứng (gel nâu đen) - 500ml - 30</v>
      </c>
    </row>
    <row r="5651">
      <c r="A5651" s="86">
        <f>IFERROR(__xludf.DUMMYFUNCTION("""COMPUTED_VALUE"""),5649.0)</f>
        <v>5649</v>
      </c>
      <c r="B5651" s="87" t="str">
        <f>IFERROR(__xludf.DUMMYFUNCTION("""COMPUTED_VALUE"""),"[Nhãn]")</f>
        <v>[Nhãn]</v>
      </c>
      <c r="C5651" s="87" t="str">
        <f>IFERROR(__xludf.DUMMYFUNCTION("""COMPUTED_VALUE"""),"NHG4713")</f>
        <v>NHG4713</v>
      </c>
      <c r="D5651" s="87" t="str">
        <f>IFERROR(__xludf.DUMMYFUNCTION("""COMPUTED_VALUE"""),"[Nhãn] GC - V - 4713 - NHP GROUP - KAMYCIN JAPANE 20SL (nước xanh lá) - 450ml - 40")</f>
        <v>[Nhãn] GC - V - 4713 - NHP GROUP - KAMYCIN JAPANE 20SL (nước xanh lá) - 450ml - 40</v>
      </c>
      <c r="E5651" s="87" t="str">
        <f>IFERROR(__xludf.DUMMYFUNCTION("""COMPUTED_VALUE"""),"Kamycinjapane 20SL")</f>
        <v>Kamycinjapane 20SL</v>
      </c>
      <c r="F5651" s="87" t="str">
        <f>IFERROR(__xludf.DUMMYFUNCTION("""COMPUTED_VALUE"""),"HH4713")</f>
        <v>HH4713</v>
      </c>
      <c r="G5651" s="87" t="str">
        <f>IFERROR(__xludf.DUMMYFUNCTION("""COMPUTED_VALUE"""),"GC - V - 4713 - NHP GROUP - KAMYCIN JAPANE 20SL (nước xanh lá) - 450ml - 40")</f>
        <v>GC - V - 4713 - NHP GROUP - KAMYCIN JAPANE 20SL (nước xanh lá) - 450ml - 40</v>
      </c>
    </row>
    <row r="5652">
      <c r="A5652" s="86">
        <f>IFERROR(__xludf.DUMMYFUNCTION("""COMPUTED_VALUE"""),5650.0)</f>
        <v>5650</v>
      </c>
      <c r="B5652" s="87" t="str">
        <f>IFERROR(__xludf.DUMMYFUNCTION("""COMPUTED_VALUE"""),"[Nhãn]")</f>
        <v>[Nhãn]</v>
      </c>
      <c r="C5652" s="87" t="str">
        <f>IFERROR(__xludf.DUMMYFUNCTION("""COMPUTED_VALUE"""),"NHG4711")</f>
        <v>NHG4711</v>
      </c>
      <c r="D5652" s="87" t="str">
        <f>IFERROR(__xludf.DUMMYFUNCTION("""COMPUTED_VALUE"""),"[Nhãn] GC - V - 4711 - NHP GROUP - ULTRAKEO ZN+ (Nước trắng sữa) - 200ml - 40")</f>
        <v>[Nhãn] GC - V - 4711 - NHP GROUP - ULTRAKEO ZN+ (Nước trắng sữa) - 200ml - 40</v>
      </c>
      <c r="E5652" s="87" t="str">
        <f>IFERROR(__xludf.DUMMYFUNCTION("""COMPUTED_VALUE"""),"Vi lượng MICKEY")</f>
        <v>Vi lượng MICKEY</v>
      </c>
      <c r="F5652" s="87" t="str">
        <f>IFERROR(__xludf.DUMMYFUNCTION("""COMPUTED_VALUE"""),"HH4711")</f>
        <v>HH4711</v>
      </c>
      <c r="G5652" s="87" t="str">
        <f>IFERROR(__xludf.DUMMYFUNCTION("""COMPUTED_VALUE"""),"GC - V - 4711 - NHP GROUP - ULTRAKEO ZN+ (Nước trắng sữa) - 200ml - 40")</f>
        <v>GC - V - 4711 - NHP GROUP - ULTRAKEO ZN+ (Nước trắng sữa) - 200ml - 40</v>
      </c>
    </row>
    <row r="5653">
      <c r="A5653" s="86">
        <f>IFERROR(__xludf.DUMMYFUNCTION("""COMPUTED_VALUE"""),5651.0)</f>
        <v>5651</v>
      </c>
      <c r="B5653" s="87" t="str">
        <f>IFERROR(__xludf.DUMMYFUNCTION("""COMPUTED_VALUE"""),"[Nhãn]")</f>
        <v>[Nhãn]</v>
      </c>
      <c r="C5653" s="87" t="str">
        <f>IFERROR(__xludf.DUMMYFUNCTION("""COMPUTED_VALUE"""),"NHG4709")</f>
        <v>NHG4709</v>
      </c>
      <c r="D5653" s="87" t="str">
        <f>IFERROR(__xludf.DUMMYFUNCTION("""COMPUTED_VALUE"""),"[Nhãn] GC - V - 4709 - NHP GROUP - ULTRA KEO GROW (Nước nâu đen) - 200ml - 40")</f>
        <v>[Nhãn] GC - V - 4709 - NHP GROUP - ULTRA KEO GROW (Nước nâu đen) - 200ml - 40</v>
      </c>
      <c r="E5653" s="87" t="str">
        <f>IFERROR(__xludf.DUMMYFUNCTION("""COMPUTED_VALUE"""),"Hữu cơ SH Agro Organic Fertilizer 20")</f>
        <v>Hữu cơ SH Agro Organic Fertilizer 20</v>
      </c>
      <c r="F5653" s="87" t="str">
        <f>IFERROR(__xludf.DUMMYFUNCTION("""COMPUTED_VALUE"""),"HH4709")</f>
        <v>HH4709</v>
      </c>
      <c r="G5653" s="87" t="str">
        <f>IFERROR(__xludf.DUMMYFUNCTION("""COMPUTED_VALUE"""),"GC - V - 4709 - NHP GROUP - ULTRA KEO GROW (Nước nâu đen) - 200ml - 40")</f>
        <v>GC - V - 4709 - NHP GROUP - ULTRA KEO GROW (Nước nâu đen) - 200ml - 40</v>
      </c>
    </row>
    <row r="5654">
      <c r="A5654" s="86">
        <f>IFERROR(__xludf.DUMMYFUNCTION("""COMPUTED_VALUE"""),5652.0)</f>
        <v>5652</v>
      </c>
      <c r="B5654" s="87" t="str">
        <f>IFERROR(__xludf.DUMMYFUNCTION("""COMPUTED_VALUE"""),"[Nhãn]")</f>
        <v>[Nhãn]</v>
      </c>
      <c r="C5654" s="87" t="str">
        <f>IFERROR(__xludf.DUMMYFUNCTION("""COMPUTED_VALUE"""),"NHG4710")</f>
        <v>NHG4710</v>
      </c>
      <c r="D5654" s="87" t="str">
        <f>IFERROR(__xludf.DUMMYFUNCTION("""COMPUTED_VALUE"""),"[Nhãn] GC - V - 4710 - NHP GROUP - ULTRA KEO CABOR (Nước vàng) - 200ml - 40")</f>
        <v>[Nhãn] GC - V - 4710 - NHP GROUP - ULTRA KEO CABOR (Nước vàng) - 200ml - 40</v>
      </c>
      <c r="E5654" s="87" t="str">
        <f>IFERROR(__xludf.DUMMYFUNCTION("""COMPUTED_VALUE"""),"Vi lượng Run Fast")</f>
        <v>Vi lượng Run Fast</v>
      </c>
      <c r="F5654" s="87" t="str">
        <f>IFERROR(__xludf.DUMMYFUNCTION("""COMPUTED_VALUE"""),"HH4710")</f>
        <v>HH4710</v>
      </c>
      <c r="G5654" s="87" t="str">
        <f>IFERROR(__xludf.DUMMYFUNCTION("""COMPUTED_VALUE"""),"GC - V - 4710 - NHP GROUP - ULTRA KEO CABOR (Nước vàng) - 200ml - 40")</f>
        <v>GC - V - 4710 - NHP GROUP - ULTRA KEO CABOR (Nước vàng) - 200ml - 40</v>
      </c>
    </row>
    <row r="5655">
      <c r="A5655" s="86">
        <f>IFERROR(__xludf.DUMMYFUNCTION("""COMPUTED_VALUE"""),5653.0)</f>
        <v>5653</v>
      </c>
      <c r="B5655" s="87" t="str">
        <f>IFERROR(__xludf.DUMMYFUNCTION("""COMPUTED_VALUE"""),"[Nhãn]")</f>
        <v>[Nhãn]</v>
      </c>
      <c r="C5655" s="87" t="str">
        <f>IFERROR(__xludf.DUMMYFUNCTION("""COMPUTED_VALUE"""),"NHG4752")</f>
        <v>NHG4752</v>
      </c>
      <c r="D5655" s="87" t="str">
        <f>IFERROR(__xludf.DUMMYFUNCTION("""COMPUTED_VALUE"""),"[Nhãn] GC - V - 4752 - CTY NAUY - VI KHUẨN NAUY (Nước xanh dương) - 240ml - 40")</f>
        <v>[Nhãn] GC - V - 4752 - CTY NAUY - VI KHUẨN NAUY (Nước xanh dương) - 240ml - 40</v>
      </c>
      <c r="E5655" s="87" t="str">
        <f>IFERROR(__xludf.DUMMYFUNCTION("""COMPUTED_VALUE"""),"PYRAMOS 40SL")</f>
        <v>PYRAMOS 40SL</v>
      </c>
      <c r="F5655" s="87" t="str">
        <f>IFERROR(__xludf.DUMMYFUNCTION("""COMPUTED_VALUE"""),"HH4752")</f>
        <v>HH4752</v>
      </c>
      <c r="G5655" s="87" t="str">
        <f>IFERROR(__xludf.DUMMYFUNCTION("""COMPUTED_VALUE"""),"GC - V - 4752 - CTY NAUY - VI KHUẨN NAUY (Nước xanh dương) - 240ml - 40")</f>
        <v>GC - V - 4752 - CTY NAUY - VI KHUẨN NAUY (Nước xanh dương) - 240ml - 40</v>
      </c>
    </row>
    <row r="5656">
      <c r="A5656" s="86">
        <f>IFERROR(__xludf.DUMMYFUNCTION("""COMPUTED_VALUE"""),5654.0)</f>
        <v>5654</v>
      </c>
      <c r="B5656" s="87" t="str">
        <f>IFERROR(__xludf.DUMMYFUNCTION("""COMPUTED_VALUE"""),"[Nhãn Thùng]")</f>
        <v>[Nhãn Thùng]</v>
      </c>
      <c r="C5656" s="87" t="str">
        <f>IFERROR(__xludf.DUMMYFUNCTION("""COMPUTED_VALUE"""),"NDT4736")</f>
        <v>NDT4736</v>
      </c>
      <c r="D5656" s="87" t="str">
        <f>IFERROR(__xludf.DUMMYFUNCTION("""COMPUTED_VALUE"""),"[Nhãn Thùng] GC - V - 4736 - CTY AGRITECH - PHOS-K (Nước xanh dương nhạt) - 500ml - 40")</f>
        <v>[Nhãn Thùng] GC - V - 4736 - CTY AGRITECH - PHOS-K (Nước xanh dương nhạt) - 500ml - 40</v>
      </c>
      <c r="E5656" s="87" t="str">
        <f>IFERROR(__xludf.DUMMYFUNCTION("""COMPUTED_VALUE"""),"Lá Hỗn Hợp PK AGRI FOS AB")</f>
        <v>Lá Hỗn Hợp PK AGRI FOS AB</v>
      </c>
      <c r="F5656" s="87" t="str">
        <f>IFERROR(__xludf.DUMMYFUNCTION("""COMPUTED_VALUE"""),"HH4736")</f>
        <v>HH4736</v>
      </c>
      <c r="G5656" s="87" t="str">
        <f>IFERROR(__xludf.DUMMYFUNCTION("""COMPUTED_VALUE"""),"GC - V - 4736 - CTY AGRITECH - PHOS-K (Nước xanh dương nhạt) - 500ml - 40")</f>
        <v>GC - V - 4736 - CTY AGRITECH - PHOS-K (Nước xanh dương nhạt) - 500ml - 40</v>
      </c>
    </row>
    <row r="5657">
      <c r="A5657" s="86">
        <f>IFERROR(__xludf.DUMMYFUNCTION("""COMPUTED_VALUE"""),5655.0)</f>
        <v>5655</v>
      </c>
      <c r="B5657" s="87" t="str">
        <f>IFERROR(__xludf.DUMMYFUNCTION("""COMPUTED_VALUE"""),"[Nhãn Thùng]")</f>
        <v>[Nhãn Thùng]</v>
      </c>
      <c r="C5657" s="87" t="str">
        <f>IFERROR(__xludf.DUMMYFUNCTION("""COMPUTED_VALUE"""),"NDT4744")</f>
        <v>NDT4744</v>
      </c>
      <c r="D5657" s="87" t="str">
        <f>IFERROR(__xludf.DUMMYFUNCTION("""COMPUTED_VALUE"""),"[Nhãn Thùng] GC - V - 4744 - AGC (TÂY NGUYÊN) - NUTRI PLUS - TA02 (Nước nâu đen) - 5L - 4")</f>
        <v>[Nhãn Thùng] GC - V - 4744 - AGC (TÂY NGUYÊN) - NUTRI PLUS - TA02 (Nước nâu đen) - 5L - 4</v>
      </c>
      <c r="E5657" s="87" t="str">
        <f>IFERROR(__xludf.DUMMYFUNCTION("""COMPUTED_VALUE"""),"Hữu cơ SH Agro Organic Fertilizer 20")</f>
        <v>Hữu cơ SH Agro Organic Fertilizer 20</v>
      </c>
      <c r="F5657" s="87" t="str">
        <f>IFERROR(__xludf.DUMMYFUNCTION("""COMPUTED_VALUE"""),"HH4744")</f>
        <v>HH4744</v>
      </c>
      <c r="G5657" s="87" t="str">
        <f>IFERROR(__xludf.DUMMYFUNCTION("""COMPUTED_VALUE"""),"GC - V - 4744 - AGC (TÂY NGUYÊN) - NUTRI PLUS - TA02 (Nước nâu đen) - 5L - 4")</f>
        <v>GC - V - 4744 - AGC (TÂY NGUYÊN) - NUTRI PLUS - TA02 (Nước nâu đen) - 5L - 4</v>
      </c>
    </row>
    <row r="5658">
      <c r="A5658" s="86">
        <f>IFERROR(__xludf.DUMMYFUNCTION("""COMPUTED_VALUE"""),5656.0)</f>
        <v>5656</v>
      </c>
      <c r="B5658" s="87" t="str">
        <f>IFERROR(__xludf.DUMMYFUNCTION("""COMPUTED_VALUE"""),"[Nhãn]")</f>
        <v>[Nhãn]</v>
      </c>
      <c r="C5658" s="87" t="str">
        <f>IFERROR(__xludf.DUMMYFUNCTION("""COMPUTED_VALUE"""),"NHG4681")</f>
        <v>NHG4681</v>
      </c>
      <c r="D5658" s="87" t="str">
        <f>IFERROR(__xludf.DUMMYFUNCTION("""COMPUTED_VALUE"""),"[Nhãn] GC - V - 4681 - TAGO - BỌ CẠP 3.6 (nước nâu đen) - 450ml - 40")</f>
        <v>[Nhãn] GC - V - 4681 - TAGO - BỌ CẠP 3.6 (nước nâu đen) - 450ml - 40</v>
      </c>
      <c r="E5658" s="87" t="str">
        <f>IFERROR(__xludf.DUMMYFUNCTION("""COMPUTED_VALUE"""),"HAIHAMEC 3.6EC")</f>
        <v>HAIHAMEC 3.6EC</v>
      </c>
      <c r="F5658" s="87" t="str">
        <f>IFERROR(__xludf.DUMMYFUNCTION("""COMPUTED_VALUE"""),"HH4681")</f>
        <v>HH4681</v>
      </c>
      <c r="G5658" s="87" t="str">
        <f>IFERROR(__xludf.DUMMYFUNCTION("""COMPUTED_VALUE"""),"GC - V - 4681 - TAGO - BỌ CẠP 3.6 (nước nâu đen) - 450ml - 40")</f>
        <v>GC - V - 4681 - TAGO - BỌ CẠP 3.6 (nước nâu đen) - 450ml - 40</v>
      </c>
    </row>
    <row r="5659">
      <c r="A5659" s="86">
        <f>IFERROR(__xludf.DUMMYFUNCTION("""COMPUTED_VALUE"""),5657.0)</f>
        <v>5657</v>
      </c>
      <c r="B5659" s="87" t="str">
        <f>IFERROR(__xludf.DUMMYFUNCTION("""COMPUTED_VALUE"""),"[Nhãn]")</f>
        <v>[Nhãn]</v>
      </c>
      <c r="C5659" s="87" t="str">
        <f>IFERROR(__xludf.DUMMYFUNCTION("""COMPUTED_VALUE"""),"NTN4762")</f>
        <v>NTN4762</v>
      </c>
      <c r="D5659" s="87" t="str">
        <f>IFERROR(__xludf.DUMMYFUNCTION("""COMPUTED_VALUE"""),"[Nhãn] IDA Global - I - 4762 - FORTAZEB 72WP (Bột xanh) - 1kg - 20")</f>
        <v>[Nhãn] IDA Global - I - 4762 - FORTAZEB 72WP (Bột xanh) - 1kg - 20</v>
      </c>
      <c r="E5659" s="87" t="str">
        <f>IFERROR(__xludf.DUMMYFUNCTION("""COMPUTED_VALUE"""),"FORTAZEB 72WP")</f>
        <v>FORTAZEB 72WP</v>
      </c>
      <c r="F5659" s="87" t="str">
        <f>IFERROR(__xludf.DUMMYFUNCTION("""COMPUTED_VALUE"""),"HH4762")</f>
        <v>HH4762</v>
      </c>
      <c r="G5659" s="87" t="str">
        <f>IFERROR(__xludf.DUMMYFUNCTION("""COMPUTED_VALUE"""),"IDA Global - I - 4762 - FORTAZEB 72WP (Bột xanh) - 1kg - 20")</f>
        <v>IDA Global - I - 4762 - FORTAZEB 72WP (Bột xanh) - 1kg - 20</v>
      </c>
    </row>
    <row r="5660">
      <c r="A5660" s="86">
        <f>IFERROR(__xludf.DUMMYFUNCTION("""COMPUTED_VALUE"""),5658.0)</f>
        <v>5658</v>
      </c>
      <c r="B5660" s="87" t="str">
        <f>IFERROR(__xludf.DUMMYFUNCTION("""COMPUTED_VALUE"""),"[Nhãn]")</f>
        <v>[Nhãn]</v>
      </c>
      <c r="C5660" s="87" t="str">
        <f>IFERROR(__xludf.DUMMYFUNCTION("""COMPUTED_VALUE"""),"NHG4758")</f>
        <v>NHG4758</v>
      </c>
      <c r="D5660" s="87" t="str">
        <f>IFERROR(__xludf.DUMMYFUNCTION("""COMPUTED_VALUE"""),"[Nhãn] GC - V - 4758 - CTY NÔNG HÓA XANH - MI STOP 350SC (Nước vàng chanh) - 240ml - 60")</f>
        <v>[Nhãn] GC - V - 4758 - CTY NÔNG HÓA XANH - MI STOP 350SC (Nước vàng chanh) - 240ml - 60</v>
      </c>
      <c r="E5660" s="87" t="str">
        <f>IFERROR(__xludf.DUMMYFUNCTION("""COMPUTED_VALUE"""),"MI STOP 350SC")</f>
        <v>MI STOP 350SC</v>
      </c>
      <c r="F5660" s="87" t="str">
        <f>IFERROR(__xludf.DUMMYFUNCTION("""COMPUTED_VALUE"""),"HH4758")</f>
        <v>HH4758</v>
      </c>
      <c r="G5660" s="87" t="str">
        <f>IFERROR(__xludf.DUMMYFUNCTION("""COMPUTED_VALUE"""),"GC - V - 4758 - CTY NÔNG HÓA XANH - MI STOP 350SC (Nước vàng chanh) - 240ml - 60")</f>
        <v>GC - V - 4758 - CTY NÔNG HÓA XANH - MI STOP 350SC (Nước vàng chanh) - 240ml - 60</v>
      </c>
    </row>
    <row r="5661">
      <c r="A5661" s="86">
        <f>IFERROR(__xludf.DUMMYFUNCTION("""COMPUTED_VALUE"""),5659.0)</f>
        <v>5659</v>
      </c>
      <c r="B5661" s="87" t="str">
        <f>IFERROR(__xludf.DUMMYFUNCTION("""COMPUTED_VALUE"""),"[Nhãn]")</f>
        <v>[Nhãn]</v>
      </c>
      <c r="C5661" s="87" t="str">
        <f>IFERROR(__xludf.DUMMYFUNCTION("""COMPUTED_VALUE"""),"NHG4760")</f>
        <v>NHG4760</v>
      </c>
      <c r="D5661" s="87" t="str">
        <f>IFERROR(__xludf.DUMMYFUNCTION("""COMPUTED_VALUE"""),"[Nhãn] LOT IDA - I - 4760 - MEKONGVIL 5SC (xanh lá)(nước trắng sữa) - 1L - 20")</f>
        <v>[Nhãn] LOT IDA - I - 4760 - MEKONGVIL 5SC (xanh lá)(nước trắng sữa) - 1L - 20</v>
      </c>
      <c r="E5661" s="87" t="str">
        <f>IFERROR(__xludf.DUMMYFUNCTION("""COMPUTED_VALUE"""),"Mekongvil 5SC")</f>
        <v>Mekongvil 5SC</v>
      </c>
      <c r="F5661" s="87" t="str">
        <f>IFERROR(__xludf.DUMMYFUNCTION("""COMPUTED_VALUE"""),"HH4760")</f>
        <v>HH4760</v>
      </c>
      <c r="G5661" s="87" t="str">
        <f>IFERROR(__xludf.DUMMYFUNCTION("""COMPUTED_VALUE"""),"LOT IDA - I - 4760 - MEKONGVIL 5SC (xanh lá)(nước trắng sữa) - 1L - 20")</f>
        <v>LOT IDA - I - 4760 - MEKONGVIL 5SC (xanh lá)(nước trắng sữa) - 1L - 20</v>
      </c>
    </row>
    <row r="5662">
      <c r="A5662" s="86">
        <f>IFERROR(__xludf.DUMMYFUNCTION("""COMPUTED_VALUE"""),5660.0)</f>
        <v>5660</v>
      </c>
      <c r="B5662" s="87" t="str">
        <f>IFERROR(__xludf.DUMMYFUNCTION("""COMPUTED_VALUE"""),"[Nhãn]")</f>
        <v>[Nhãn]</v>
      </c>
      <c r="C5662" s="87" t="str">
        <f>IFERROR(__xludf.DUMMYFUNCTION("""COMPUTED_VALUE"""),"NHG4757")</f>
        <v>NHG4757</v>
      </c>
      <c r="D5662" s="87" t="str">
        <f>IFERROR(__xludf.DUMMYFUNCTION("""COMPUTED_VALUE"""),"[Nhãn] IDA Global - I - 4757 - ĐL NHẬT LINH - JAPA VIL 110SC (Nước vàng) - 1L - 20")</f>
        <v>[Nhãn] IDA Global - I - 4757 - ĐL NHẬT LINH - JAPA VIL 110SC (Nước vàng) - 1L - 20</v>
      </c>
      <c r="E5662" s="87" t="str">
        <f>IFERROR(__xludf.DUMMYFUNCTION("""COMPUTED_VALUE"""),"JAPA VIL 110SC")</f>
        <v>JAPA VIL 110SC</v>
      </c>
      <c r="F5662" s="87" t="str">
        <f>IFERROR(__xludf.DUMMYFUNCTION("""COMPUTED_VALUE"""),"HH4757")</f>
        <v>HH4757</v>
      </c>
      <c r="G5662" s="87" t="str">
        <f>IFERROR(__xludf.DUMMYFUNCTION("""COMPUTED_VALUE"""),"IDA Global - I - 4757 - ĐL NHẬT LINH - JAPA VIL 110SC (Nước vàng) - 1L - 20")</f>
        <v>IDA Global - I - 4757 - ĐL NHẬT LINH - JAPA VIL 110SC (Nước vàng) - 1L - 20</v>
      </c>
    </row>
    <row r="5663">
      <c r="A5663" s="86">
        <f>IFERROR(__xludf.DUMMYFUNCTION("""COMPUTED_VALUE"""),5661.0)</f>
        <v>5661</v>
      </c>
      <c r="B5663" s="87" t="str">
        <f>IFERROR(__xludf.DUMMYFUNCTION("""COMPUTED_VALUE"""),"[Nhãn]")</f>
        <v>[Nhãn]</v>
      </c>
      <c r="C5663" s="87" t="str">
        <f>IFERROR(__xludf.DUMMYFUNCTION("""COMPUTED_VALUE"""),"NHG4761")</f>
        <v>NHG4761</v>
      </c>
      <c r="D5663" s="87" t="str">
        <f>IFERROR(__xludf.DUMMYFUNCTION("""COMPUTED_VALUE"""),"[Nhãn] IDA Global - I - 4761 - ĐL PHÚC NÔNG - X-SPIDER (Nước đỏ) - 100ml - 100")</f>
        <v>[Nhãn] IDA Global - I - 4761 - ĐL PHÚC NÔNG - X-SPIDER (Nước đỏ) - 100ml - 100</v>
      </c>
      <c r="E5663" s="87" t="str">
        <f>IFERROR(__xludf.DUMMYFUNCTION("""COMPUTED_VALUE"""),"CHIM ƯNG 3.8EC")</f>
        <v>CHIM ƯNG 3.8EC</v>
      </c>
      <c r="F5663" s="87" t="str">
        <f>IFERROR(__xludf.DUMMYFUNCTION("""COMPUTED_VALUE"""),"HH4761")</f>
        <v>HH4761</v>
      </c>
      <c r="G5663" s="87" t="str">
        <f>IFERROR(__xludf.DUMMYFUNCTION("""COMPUTED_VALUE"""),"IDA Global - I - 4761 - ĐL PHÚC NÔNG - X-SPIDER (Nước đỏ) - 100ml - 100")</f>
        <v>IDA Global - I - 4761 - ĐL PHÚC NÔNG - X-SPIDER (Nước đỏ) - 100ml - 100</v>
      </c>
    </row>
    <row r="5664">
      <c r="A5664" s="86">
        <f>IFERROR(__xludf.DUMMYFUNCTION("""COMPUTED_VALUE"""),5662.0)</f>
        <v>5662</v>
      </c>
      <c r="B5664" s="87" t="str">
        <f>IFERROR(__xludf.DUMMYFUNCTION("""COMPUTED_VALUE"""),"[Nhãn Thùng]")</f>
        <v>[Nhãn Thùng]</v>
      </c>
      <c r="C5664" s="87" t="str">
        <f>IFERROR(__xludf.DUMMYFUNCTION("""COMPUTED_VALUE"""),"NDT4762")</f>
        <v>NDT4762</v>
      </c>
      <c r="D5664" s="87" t="str">
        <f>IFERROR(__xludf.DUMMYFUNCTION("""COMPUTED_VALUE"""),"[Nhãn Thùng] IDA Global - I - 4762 - FORTAZEB 72WP (Bột xanh) - 1kg - 20")</f>
        <v>[Nhãn Thùng] IDA Global - I - 4762 - FORTAZEB 72WP (Bột xanh) - 1kg - 20</v>
      </c>
      <c r="E5664" s="87" t="str">
        <f>IFERROR(__xludf.DUMMYFUNCTION("""COMPUTED_VALUE"""),"FORTAZEB 72WP")</f>
        <v>FORTAZEB 72WP</v>
      </c>
      <c r="F5664" s="87" t="str">
        <f>IFERROR(__xludf.DUMMYFUNCTION("""COMPUTED_VALUE"""),"HH4762")</f>
        <v>HH4762</v>
      </c>
      <c r="G5664" s="87" t="str">
        <f>IFERROR(__xludf.DUMMYFUNCTION("""COMPUTED_VALUE"""),"IDA Global - I - 4762 - FORTAZEB 72WP (Bột xanh) - 1kg - 20")</f>
        <v>IDA Global - I - 4762 - FORTAZEB 72WP (Bột xanh) - 1kg - 20</v>
      </c>
    </row>
    <row r="5665">
      <c r="A5665" s="86">
        <f>IFERROR(__xludf.DUMMYFUNCTION("""COMPUTED_VALUE"""),5663.0)</f>
        <v>5663</v>
      </c>
      <c r="B5665" s="87" t="str">
        <f>IFERROR(__xludf.DUMMYFUNCTION("""COMPUTED_VALUE"""),"[Nhãn]")</f>
        <v>[Nhãn]</v>
      </c>
      <c r="C5665" s="87" t="str">
        <f>IFERROR(__xludf.DUMMYFUNCTION("""COMPUTED_VALUE"""),"NTN4747")</f>
        <v>NTN4747</v>
      </c>
      <c r="D5665" s="87" t="str">
        <f>IFERROR(__xludf.DUMMYFUNCTION("""COMPUTED_VALUE"""),"[Nhãn] GC - V - 4747 - AGRITECH - RIDO TECH 72 (Bột vàng) - 500gr - 30")</f>
        <v>[Nhãn] GC - V - 4747 - AGRITECH - RIDO TECH 72 (Bột vàng) - 500gr - 30</v>
      </c>
      <c r="E5665" s="87" t="str">
        <f>IFERROR(__xludf.DUMMYFUNCTION("""COMPUTED_VALUE"""),"Hoanganhbul 72WP")</f>
        <v>Hoanganhbul 72WP</v>
      </c>
      <c r="F5665" s="87" t="str">
        <f>IFERROR(__xludf.DUMMYFUNCTION("""COMPUTED_VALUE"""),"HH4747")</f>
        <v>HH4747</v>
      </c>
      <c r="G5665" s="87" t="str">
        <f>IFERROR(__xludf.DUMMYFUNCTION("""COMPUTED_VALUE"""),"GC - V - 4747 - AGRITECH - RIDO TECH 72 (Bột vàng) - 500gr - 30")</f>
        <v>GC - V - 4747 - AGRITECH - RIDO TECH 72 (Bột vàng) - 500gr - 30</v>
      </c>
    </row>
    <row r="5666">
      <c r="A5666" s="86">
        <f>IFERROR(__xludf.DUMMYFUNCTION("""COMPUTED_VALUE"""),5664.0)</f>
        <v>5664</v>
      </c>
      <c r="B5666" s="87" t="str">
        <f>IFERROR(__xludf.DUMMYFUNCTION("""COMPUTED_VALUE"""),"[Nhãn]")</f>
        <v>[Nhãn]</v>
      </c>
      <c r="C5666" s="87" t="str">
        <f>IFERROR(__xludf.DUMMYFUNCTION("""COMPUTED_VALUE"""),"NHG4764")</f>
        <v>NHG4764</v>
      </c>
      <c r="D5666" s="87" t="str">
        <f>IFERROR(__xludf.DUMMYFUNCTION("""COMPUTED_VALUE"""),"[Nhãn] GC - V - 4764 - Cty Agritech - Agri Amino (Chuyên cây ăn trái) (Nước nâu đen) - 500ml - 40")</f>
        <v>[Nhãn] GC - V - 4764 - Cty Agritech - Agri Amino (Chuyên cây ăn trái) (Nước nâu đen) - 500ml - 40</v>
      </c>
      <c r="E5666" s="87" t="str">
        <f>IFERROR(__xludf.DUMMYFUNCTION("""COMPUTED_VALUE"""),"Vi lượng Quantity New")</f>
        <v>Vi lượng Quantity New</v>
      </c>
      <c r="F5666" s="87" t="str">
        <f>IFERROR(__xludf.DUMMYFUNCTION("""COMPUTED_VALUE"""),"HH4764")</f>
        <v>HH4764</v>
      </c>
      <c r="G5666" s="87" t="str">
        <f>IFERROR(__xludf.DUMMYFUNCTION("""COMPUTED_VALUE"""),"GC - V - 4764 - Cty Agritech - Agri Amino (Chuyên cây ăn trái) (Nước nâu đen) - 500ml - 40")</f>
        <v>GC - V - 4764 - Cty Agritech - Agri Amino (Chuyên cây ăn trái) (Nước nâu đen) - 500ml - 40</v>
      </c>
    </row>
    <row r="5667">
      <c r="A5667" s="86">
        <f>IFERROR(__xludf.DUMMYFUNCTION("""COMPUTED_VALUE"""),5665.0)</f>
        <v>5665</v>
      </c>
      <c r="B5667" s="87" t="str">
        <f>IFERROR(__xludf.DUMMYFUNCTION("""COMPUTED_VALUE"""),"[Nhãn]")</f>
        <v>[Nhãn]</v>
      </c>
      <c r="C5667" s="87" t="str">
        <f>IFERROR(__xludf.DUMMYFUNCTION("""COMPUTED_VALUE"""),"NHG4745")</f>
        <v>NHG4745</v>
      </c>
      <c r="D5667" s="87" t="str">
        <f>IFERROR(__xludf.DUMMYFUNCTION("""COMPUTED_VALUE"""),"[Nhãn] GC - V - 4745 - CTY USAFARM - FUSEMIN COMBI+ (Nước nâu đen) - 100ml - 50")</f>
        <v>[Nhãn] GC - V - 4745 - CTY USAFARM - FUSEMIN COMBI+ (Nước nâu đen) - 100ml - 50</v>
      </c>
      <c r="E5667" s="87" t="str">
        <f>IFERROR(__xludf.DUMMYFUNCTION("""COMPUTED_VALUE"""),"Hữu cơ FUSEMIN COMBI+")</f>
        <v>Hữu cơ FUSEMIN COMBI+</v>
      </c>
      <c r="F5667" s="87" t="str">
        <f>IFERROR(__xludf.DUMMYFUNCTION("""COMPUTED_VALUE"""),"HH4745")</f>
        <v>HH4745</v>
      </c>
      <c r="G5667" s="87" t="str">
        <f>IFERROR(__xludf.DUMMYFUNCTION("""COMPUTED_VALUE"""),"GC - V - 4745 - CTY USAFARM - FUSEMIN COMBI+ (Nước nâu đen) - 100ml - 50")</f>
        <v>GC - V - 4745 - CTY USAFARM - FUSEMIN COMBI+ (Nước nâu đen) - 100ml - 50</v>
      </c>
    </row>
    <row r="5668">
      <c r="A5668" s="86">
        <f>IFERROR(__xludf.DUMMYFUNCTION("""COMPUTED_VALUE"""),5666.0)</f>
        <v>5666</v>
      </c>
      <c r="B5668" s="87" t="str">
        <f>IFERROR(__xludf.DUMMYFUNCTION("""COMPUTED_VALUE"""),"[Nhãn]")</f>
        <v>[Nhãn]</v>
      </c>
      <c r="C5668" s="87" t="str">
        <f>IFERROR(__xludf.DUMMYFUNCTION("""COMPUTED_VALUE"""),"NHG4177")</f>
        <v>NHG4177</v>
      </c>
      <c r="D5668" s="87" t="str">
        <f>IFERROR(__xludf.DUMMYFUNCTION("""COMPUTED_VALUE"""),"[Nhãn] GC - V - 4177 - NHP GROUP - Chitin 3.6EC (nước nâu đen) - 450ml - 40")</f>
        <v>[Nhãn] GC - V - 4177 - NHP GROUP - Chitin 3.6EC (nước nâu đen) - 450ml - 40</v>
      </c>
      <c r="E5668" s="87" t="str">
        <f>IFERROR(__xludf.DUMMYFUNCTION("""COMPUTED_VALUE"""),"Chitin 3.6EC")</f>
        <v>Chitin 3.6EC</v>
      </c>
      <c r="F5668" s="87" t="str">
        <f>IFERROR(__xludf.DUMMYFUNCTION("""COMPUTED_VALUE"""),"HH4177")</f>
        <v>HH4177</v>
      </c>
      <c r="G5668" s="87" t="str">
        <f>IFERROR(__xludf.DUMMYFUNCTION("""COMPUTED_VALUE"""),"GC - V - 4177 - NHP GROUP - Chitin 3.6EC (nước nâu đen) - 450ml - 40")</f>
        <v>GC - V - 4177 - NHP GROUP - Chitin 3.6EC (nước nâu đen) - 450ml - 40</v>
      </c>
    </row>
    <row r="5669">
      <c r="A5669" s="86">
        <f>IFERROR(__xludf.DUMMYFUNCTION("""COMPUTED_VALUE"""),5667.0)</f>
        <v>5667</v>
      </c>
      <c r="B5669" s="87" t="str">
        <f>IFERROR(__xludf.DUMMYFUNCTION("""COMPUTED_VALUE"""),"[Nhãn]")</f>
        <v>[Nhãn]</v>
      </c>
      <c r="C5669" s="87" t="str">
        <f>IFERROR(__xludf.DUMMYFUNCTION("""COMPUTED_VALUE"""),"NHD4751")</f>
        <v>NHD4751</v>
      </c>
      <c r="D5669" s="87" t="str">
        <f>IFERROR(__xludf.DUMMYFUNCTION("""COMPUTED_VALUE"""),"[Nhãn] GC - V - 4751 - Cty Master Win - CANXI-BO (Nước xanh lá) - 500ml - 40")</f>
        <v>[Nhãn] GC - V - 4751 - Cty Master Win - CANXI-BO (Nước xanh lá) - 500ml - 40</v>
      </c>
      <c r="E5669" s="87" t="str">
        <f>IFERROR(__xludf.DUMMYFUNCTION("""COMPUTED_VALUE"""),"Hữu Cơ Crops Care")</f>
        <v>Hữu Cơ Crops Care</v>
      </c>
      <c r="F5669" s="87" t="str">
        <f>IFERROR(__xludf.DUMMYFUNCTION("""COMPUTED_VALUE"""),"HH4751")</f>
        <v>HH4751</v>
      </c>
      <c r="G5669" s="87" t="str">
        <f>IFERROR(__xludf.DUMMYFUNCTION("""COMPUTED_VALUE"""),"GC - V - 4751 - Cty Master Win - CANXI-BO (Nước xanh lá) - 500ml - 40")</f>
        <v>GC - V - 4751 - Cty Master Win - CANXI-BO (Nước xanh lá) - 500ml - 40</v>
      </c>
    </row>
    <row r="5670">
      <c r="A5670" s="86">
        <f>IFERROR(__xludf.DUMMYFUNCTION("""COMPUTED_VALUE"""),5668.0)</f>
        <v>5668</v>
      </c>
      <c r="B5670" s="87" t="str">
        <f>IFERROR(__xludf.DUMMYFUNCTION("""COMPUTED_VALUE"""),"[Nhãn Thùng]")</f>
        <v>[Nhãn Thùng]</v>
      </c>
      <c r="C5670" s="87" t="str">
        <f>IFERROR(__xludf.DUMMYFUNCTION("""COMPUTED_VALUE"""),"NDT4751")</f>
        <v>NDT4751</v>
      </c>
      <c r="D5670" s="87" t="str">
        <f>IFERROR(__xludf.DUMMYFUNCTION("""COMPUTED_VALUE"""),"[Nhãn Thùng] GC - V - 4751 - Cty Master Win - CANXI-BO (Nước xanh lá) - 500ml - 40")</f>
        <v>[Nhãn Thùng] GC - V - 4751 - Cty Master Win - CANXI-BO (Nước xanh lá) - 500ml - 40</v>
      </c>
      <c r="E5670" s="87" t="str">
        <f>IFERROR(__xludf.DUMMYFUNCTION("""COMPUTED_VALUE"""),"Hữu Cơ Crops Care")</f>
        <v>Hữu Cơ Crops Care</v>
      </c>
      <c r="F5670" s="87" t="str">
        <f>IFERROR(__xludf.DUMMYFUNCTION("""COMPUTED_VALUE"""),"HH4751")</f>
        <v>HH4751</v>
      </c>
      <c r="G5670" s="87" t="str">
        <f>IFERROR(__xludf.DUMMYFUNCTION("""COMPUTED_VALUE"""),"GC - V - 4751 - Cty Master Win - CANXI-BO (Nước xanh lá) - 500ml - 40")</f>
        <v>GC - V - 4751 - Cty Master Win - CANXI-BO (Nước xanh lá) - 500ml - 40</v>
      </c>
    </row>
    <row r="5671">
      <c r="A5671" s="86">
        <f>IFERROR(__xludf.DUMMYFUNCTION("""COMPUTED_VALUE"""),5669.0)</f>
        <v>5669</v>
      </c>
      <c r="B5671" s="87" t="str">
        <f>IFERROR(__xludf.DUMMYFUNCTION("""COMPUTED_VALUE"""),"[Nhãn]")</f>
        <v>[Nhãn]</v>
      </c>
      <c r="C5671" s="87" t="str">
        <f>IFERROR(__xludf.DUMMYFUNCTION("""COMPUTED_VALUE"""),"NHG4759")</f>
        <v>NHG4759</v>
      </c>
      <c r="D5671" s="87" t="str">
        <f>IFERROR(__xludf.DUMMYFUNCTION("""COMPUTED_VALUE"""),"[Nhãn] LOT IDA Global - I - 4759 - ĐL Hai Nhóm - Avermectin (nước nâu đen) - 450ml - 40")</f>
        <v>[Nhãn] LOT IDA Global - I - 4759 - ĐL Hai Nhóm - Avermectin (nước nâu đen) - 450ml - 40</v>
      </c>
      <c r="E5671" s="87" t="str">
        <f>IFERROR(__xludf.DUMMYFUNCTION("""COMPUTED_VALUE"""),"Chitin 3.6EC")</f>
        <v>Chitin 3.6EC</v>
      </c>
      <c r="F5671" s="87" t="str">
        <f>IFERROR(__xludf.DUMMYFUNCTION("""COMPUTED_VALUE"""),"HH4759")</f>
        <v>HH4759</v>
      </c>
      <c r="G5671" s="87" t="str">
        <f>IFERROR(__xludf.DUMMYFUNCTION("""COMPUTED_VALUE"""),"LOT IDA Global - I - 4759 - ĐL Hai Nhóm - Avermectin (nước nâu đen) - 450ml - 40")</f>
        <v>LOT IDA Global - I - 4759 - ĐL Hai Nhóm - Avermectin (nước nâu đen) - 450ml - 40</v>
      </c>
    </row>
    <row r="5672">
      <c r="A5672" s="86">
        <f>IFERROR(__xludf.DUMMYFUNCTION("""COMPUTED_VALUE"""),5670.0)</f>
        <v>5670</v>
      </c>
      <c r="B5672" s="87" t="str">
        <f>IFERROR(__xludf.DUMMYFUNCTION("""COMPUTED_VALUE"""),"[Nhãn]")</f>
        <v>[Nhãn]</v>
      </c>
      <c r="C5672" s="87" t="str">
        <f>IFERROR(__xludf.DUMMYFUNCTION("""COMPUTED_VALUE"""),"NHG4763")</f>
        <v>NHG4763</v>
      </c>
      <c r="D5672" s="87" t="str">
        <f>IFERROR(__xludf.DUMMYFUNCTION("""COMPUTED_VALUE"""),"[Nhãn] GC - V - 4763 - A.LUÂN LUTA - CANXI BO (Nước trắng sữa) - 200ml - 40")</f>
        <v>[Nhãn] GC - V - 4763 - A.LUÂN LUTA - CANXI BO (Nước trắng sữa) - 200ml - 40</v>
      </c>
      <c r="E5672" s="87" t="str">
        <f>IFERROR(__xludf.DUMMYFUNCTION("""COMPUTED_VALUE"""),"Vi lượng AGAMA-CANXI BO")</f>
        <v>Vi lượng AGAMA-CANXI BO</v>
      </c>
      <c r="F5672" s="87" t="str">
        <f>IFERROR(__xludf.DUMMYFUNCTION("""COMPUTED_VALUE"""),"HH4763")</f>
        <v>HH4763</v>
      </c>
      <c r="G5672" s="87" t="str">
        <f>IFERROR(__xludf.DUMMYFUNCTION("""COMPUTED_VALUE"""),"GC - V - 4763 - A.LUÂN LUTA - CANXI BO (Nước trắng sữa) - 200ml - 40")</f>
        <v>GC - V - 4763 - A.LUÂN LUTA - CANXI BO (Nước trắng sữa) - 200ml - 40</v>
      </c>
    </row>
    <row r="5673">
      <c r="A5673" s="86">
        <f>IFERROR(__xludf.DUMMYFUNCTION("""COMPUTED_VALUE"""),5671.0)</f>
        <v>5671</v>
      </c>
      <c r="B5673" s="87" t="str">
        <f>IFERROR(__xludf.DUMMYFUNCTION("""COMPUTED_VALUE"""),"[Nhãn]")</f>
        <v>[Nhãn]</v>
      </c>
      <c r="C5673" s="87" t="str">
        <f>IFERROR(__xludf.DUMMYFUNCTION("""COMPUTED_VALUE"""),"NTN4718")</f>
        <v>NTN4718</v>
      </c>
      <c r="D5673" s="87" t="str">
        <f>IFERROR(__xludf.DUMMYFUNCTION("""COMPUTED_VALUE"""),"[Nhãn] GC - V - 4718 - CTY DRAGON AGROCHEM - FORTAZEB 72WP (Bột vàng) - 100gr - 100")</f>
        <v>[Nhãn] GC - V - 4718 - CTY DRAGON AGROCHEM - FORTAZEB 72WP (Bột vàng) - 100gr - 100</v>
      </c>
      <c r="E5673" s="87" t="str">
        <f>IFERROR(__xludf.DUMMYFUNCTION("""COMPUTED_VALUE"""),"Hoanganhbul 72WP")</f>
        <v>Hoanganhbul 72WP</v>
      </c>
      <c r="F5673" s="87" t="str">
        <f>IFERROR(__xludf.DUMMYFUNCTION("""COMPUTED_VALUE"""),"HH4718")</f>
        <v>HH4718</v>
      </c>
      <c r="G5673" s="87" t="str">
        <f>IFERROR(__xludf.DUMMYFUNCTION("""COMPUTED_VALUE"""),"GC - V - 4718 - CTY DRAGON AGROCHEM - FORTAZEB 72WP (Bột vàng) - 100gr - 100")</f>
        <v>GC - V - 4718 - CTY DRAGON AGROCHEM - FORTAZEB 72WP (Bột vàng) - 100gr - 100</v>
      </c>
    </row>
    <row r="5674">
      <c r="A5674" s="86">
        <f>IFERROR(__xludf.DUMMYFUNCTION("""COMPUTED_VALUE"""),5672.0)</f>
        <v>5672</v>
      </c>
      <c r="B5674" s="87" t="str">
        <f>IFERROR(__xludf.DUMMYFUNCTION("""COMPUTED_VALUE"""),"[Nhãn]")</f>
        <v>[Nhãn]</v>
      </c>
      <c r="C5674" s="87" t="str">
        <f>IFERROR(__xludf.DUMMYFUNCTION("""COMPUTED_VALUE"""),"NHG4742")</f>
        <v>NHG4742</v>
      </c>
      <c r="D5674" s="87" t="str">
        <f>IFERROR(__xludf.DUMMYFUNCTION("""COMPUTED_VALUE"""),"[Nhãn] GC - IV - 4742 - CTY USAFARM - FUSEMIN COMBI+ (Nước nâu đen) - 500ml - 40")</f>
        <v>[Nhãn] GC - IV - 4742 - CTY USAFARM - FUSEMIN COMBI+ (Nước nâu đen) - 500ml - 40</v>
      </c>
      <c r="E5674" s="87" t="str">
        <f>IFERROR(__xludf.DUMMYFUNCTION("""COMPUTED_VALUE"""),"Hữu cơ FUSEMIN COMBI+")</f>
        <v>Hữu cơ FUSEMIN COMBI+</v>
      </c>
      <c r="F5674" s="87" t="str">
        <f>IFERROR(__xludf.DUMMYFUNCTION("""COMPUTED_VALUE"""),"HH4742")</f>
        <v>HH4742</v>
      </c>
      <c r="G5674" s="87" t="str">
        <f>IFERROR(__xludf.DUMMYFUNCTION("""COMPUTED_VALUE"""),"GC - IV - 4742 - CTY USAFARM - FUSEMIN COMBI+ (Nước nâu đen) - 500ml - 40")</f>
        <v>GC - IV - 4742 - CTY USAFARM - FUSEMIN COMBI+ (Nước nâu đen) - 500ml - 40</v>
      </c>
    </row>
    <row r="5675">
      <c r="A5675" s="86">
        <f>IFERROR(__xludf.DUMMYFUNCTION("""COMPUTED_VALUE"""),5673.0)</f>
        <v>5673</v>
      </c>
      <c r="B5675" s="87" t="str">
        <f>IFERROR(__xludf.DUMMYFUNCTION("""COMPUTED_VALUE"""),"[Nhãn]")</f>
        <v>[Nhãn]</v>
      </c>
      <c r="C5675" s="87" t="str">
        <f>IFERROR(__xludf.DUMMYFUNCTION("""COMPUTED_VALUE"""),"NHG4767")</f>
        <v>NHG4767</v>
      </c>
      <c r="D5675" s="87" t="str">
        <f>IFERROR(__xludf.DUMMYFUNCTION("""COMPUTED_VALUE"""),"[Nhãn] GC - V - 4767 - CTY NEWTEX - SẠCH KHUẨN NEWTEX (Nước xanh dương đậm) - 450ml - 40")</f>
        <v>[Nhãn] GC - V - 4767 - CTY NEWTEX - SẠCH KHUẨN NEWTEX (Nước xanh dương đậm) - 450ml - 40</v>
      </c>
      <c r="E5675" s="87" t="str">
        <f>IFERROR(__xludf.DUMMYFUNCTION("""COMPUTED_VALUE"""),"NEWKARIDE 3SL")</f>
        <v>NEWKARIDE 3SL</v>
      </c>
      <c r="F5675" s="87" t="str">
        <f>IFERROR(__xludf.DUMMYFUNCTION("""COMPUTED_VALUE"""),"HH4767")</f>
        <v>HH4767</v>
      </c>
      <c r="G5675" s="87" t="str">
        <f>IFERROR(__xludf.DUMMYFUNCTION("""COMPUTED_VALUE"""),"GC - V - 4767 - CTY NEWTEX - SẠCH KHUẨN NEWTEX (Nước xanh dương đậm) - 450ml - 40")</f>
        <v>GC - V - 4767 - CTY NEWTEX - SẠCH KHUẨN NEWTEX (Nước xanh dương đậm) - 450ml - 40</v>
      </c>
    </row>
    <row r="5676">
      <c r="A5676" s="86">
        <f>IFERROR(__xludf.DUMMYFUNCTION("""COMPUTED_VALUE"""),5674.0)</f>
        <v>5674</v>
      </c>
      <c r="B5676" s="87" t="str">
        <f>IFERROR(__xludf.DUMMYFUNCTION("""COMPUTED_VALUE"""),"[Nhãn]")</f>
        <v>[Nhãn]</v>
      </c>
      <c r="C5676" s="87" t="str">
        <f>IFERROR(__xludf.DUMMYFUNCTION("""COMPUTED_VALUE"""),"NHG4714")</f>
        <v>NHG4714</v>
      </c>
      <c r="D5676" s="87" t="str">
        <f>IFERROR(__xludf.DUMMYFUNCTION("""COMPUTED_VALUE"""),"[Nhãn] GC - V - 4714 - NHP GROUP - NEWMITE (nước trong) - 450ml - 40")</f>
        <v>[Nhãn] GC - V - 4714 - NHP GROUP - NEWMITE (nước trong) - 450ml - 40</v>
      </c>
      <c r="E5676" s="87" t="str">
        <f>IFERROR(__xludf.DUMMYFUNCTION("""COMPUTED_VALUE"""),"HAIHAMEC 3.6EC")</f>
        <v>HAIHAMEC 3.6EC</v>
      </c>
      <c r="F5676" s="87" t="str">
        <f>IFERROR(__xludf.DUMMYFUNCTION("""COMPUTED_VALUE"""),"HH4714")</f>
        <v>HH4714</v>
      </c>
      <c r="G5676" s="87" t="str">
        <f>IFERROR(__xludf.DUMMYFUNCTION("""COMPUTED_VALUE"""),"GC - V - 4714 - NHP GROUP - NEWMITE (nước trong) - 450ml - 40")</f>
        <v>GC - V - 4714 - NHP GROUP - NEWMITE (nước trong) - 450ml - 40</v>
      </c>
    </row>
    <row r="5677">
      <c r="A5677" s="86">
        <f>IFERROR(__xludf.DUMMYFUNCTION("""COMPUTED_VALUE"""),5675.0)</f>
        <v>5675</v>
      </c>
      <c r="B5677" s="87" t="str">
        <f>IFERROR(__xludf.DUMMYFUNCTION("""COMPUTED_VALUE"""),"[Nhãn]")</f>
        <v>[Nhãn]</v>
      </c>
      <c r="C5677" s="87" t="str">
        <f>IFERROR(__xludf.DUMMYFUNCTION("""COMPUTED_VALUE"""),"NHG4777")</f>
        <v>NHG4777</v>
      </c>
      <c r="D5677" s="87" t="str">
        <f>IFERROR(__xludf.DUMMYFUNCTION("""COMPUTED_VALUE"""),"[Nhãn] GC - V - 4777 - CTY HÓA NÔNG SHINO - BOOM GOLD (Nước trắng sữa) - 500ml - 30")</f>
        <v>[Nhãn] GC - V - 4777 - CTY HÓA NÔNG SHINO - BOOM GOLD (Nước trắng sữa) - 500ml - 30</v>
      </c>
      <c r="E5677" s="87" t="str">
        <f>IFERROR(__xludf.DUMMYFUNCTION("""COMPUTED_VALUE"""),"Vi lượng AGAMA-CANXI BO")</f>
        <v>Vi lượng AGAMA-CANXI BO</v>
      </c>
      <c r="F5677" s="87" t="str">
        <f>IFERROR(__xludf.DUMMYFUNCTION("""COMPUTED_VALUE"""),"HH4777")</f>
        <v>HH4777</v>
      </c>
      <c r="G5677" s="87" t="str">
        <f>IFERROR(__xludf.DUMMYFUNCTION("""COMPUTED_VALUE"""),"GC - V - 4777 - CTY HÓA NÔNG SHINO - BOOM GOLD (Nước trắng sữa) - 500ml - 30")</f>
        <v>GC - V - 4777 - CTY HÓA NÔNG SHINO - BOOM GOLD (Nước trắng sữa) - 500ml - 30</v>
      </c>
    </row>
    <row r="5678">
      <c r="A5678" s="86">
        <f>IFERROR(__xludf.DUMMYFUNCTION("""COMPUTED_VALUE"""),5676.0)</f>
        <v>5676</v>
      </c>
      <c r="B5678" s="87" t="str">
        <f>IFERROR(__xludf.DUMMYFUNCTION("""COMPUTED_VALUE"""),"[Nhãn]")</f>
        <v>[Nhãn]</v>
      </c>
      <c r="C5678" s="87" t="str">
        <f>IFERROR(__xludf.DUMMYFUNCTION("""COMPUTED_VALUE"""),"NHG4776")</f>
        <v>NHG4776</v>
      </c>
      <c r="D5678" s="87" t="str">
        <f>IFERROR(__xludf.DUMMYFUNCTION("""COMPUTED_VALUE"""),"[Nhãn] GC - V - 4776 - Cty Newtex - NT-K+ (Dạng SC Trắng sữa) - 500ml - 40")</f>
        <v>[Nhãn] GC - V - 4776 - Cty Newtex - NT-K+ (Dạng SC Trắng sữa) - 500ml - 40</v>
      </c>
      <c r="E5678" s="87" t="str">
        <f>IFERROR(__xludf.DUMMYFUNCTION("""COMPUTED_VALUE"""),"Lá PK-Vi lượng SV 5-18")</f>
        <v>Lá PK-Vi lượng SV 5-18</v>
      </c>
      <c r="F5678" s="87" t="str">
        <f>IFERROR(__xludf.DUMMYFUNCTION("""COMPUTED_VALUE"""),"HH4776")</f>
        <v>HH4776</v>
      </c>
      <c r="G5678" s="87" t="str">
        <f>IFERROR(__xludf.DUMMYFUNCTION("""COMPUTED_VALUE"""),"GC - V - 4776 - Cty Newtex - NT-K+ (Dạng SC Trắng sữa) - 500ml - 40")</f>
        <v>GC - V - 4776 - Cty Newtex - NT-K+ (Dạng SC Trắng sữa) - 500ml - 40</v>
      </c>
    </row>
    <row r="5679">
      <c r="A5679" s="86">
        <f>IFERROR(__xludf.DUMMYFUNCTION("""COMPUTED_VALUE"""),5677.0)</f>
        <v>5677</v>
      </c>
      <c r="B5679" s="87" t="str">
        <f>IFERROR(__xludf.DUMMYFUNCTION("""COMPUTED_VALUE"""),"[Nhãn]")</f>
        <v>[Nhãn]</v>
      </c>
      <c r="C5679" s="87" t="str">
        <f>IFERROR(__xludf.DUMMYFUNCTION("""COMPUTED_VALUE"""),"NHG4563")</f>
        <v>NHG4563</v>
      </c>
      <c r="D5679" s="87" t="str">
        <f>IFERROR(__xludf.DUMMYFUNCTION("""COMPUTED_VALUE"""),"[Nhãn] GC - V - 4563 - Cty Newtex - NT-PHOS T1 (Nước xanh dương) - 500ml - 40")</f>
        <v>[Nhãn] GC - V - 4563 - Cty Newtex - NT-PHOS T1 (Nước xanh dương) - 500ml - 40</v>
      </c>
      <c r="E5679" s="87" t="str">
        <f>IFERROR(__xludf.DUMMYFUNCTION("""COMPUTED_VALUE"""),"Lá Hỗn Hợp PK AGRI FOS AB")</f>
        <v>Lá Hỗn Hợp PK AGRI FOS AB</v>
      </c>
      <c r="F5679" s="87" t="str">
        <f>IFERROR(__xludf.DUMMYFUNCTION("""COMPUTED_VALUE"""),"HH4563")</f>
        <v>HH4563</v>
      </c>
      <c r="G5679" s="87" t="str">
        <f>IFERROR(__xludf.DUMMYFUNCTION("""COMPUTED_VALUE"""),"GC - V - 4563 - Cty Newtex - NT-PHOS T1 (Nước xanh dương) - 500ml - 40")</f>
        <v>GC - V - 4563 - Cty Newtex - NT-PHOS T1 (Nước xanh dương) - 500ml - 40</v>
      </c>
    </row>
    <row r="5680">
      <c r="A5680" s="86">
        <f>IFERROR(__xludf.DUMMYFUNCTION("""COMPUTED_VALUE"""),5678.0)</f>
        <v>5678</v>
      </c>
      <c r="B5680" s="87" t="str">
        <f>IFERROR(__xludf.DUMMYFUNCTION("""COMPUTED_VALUE"""),"[Nhãn]")</f>
        <v>[Nhãn]</v>
      </c>
      <c r="C5680" s="87" t="str">
        <f>IFERROR(__xludf.DUMMYFUNCTION("""COMPUTED_VALUE"""),"NHG4768")</f>
        <v>NHG4768</v>
      </c>
      <c r="D5680" s="87" t="str">
        <f>IFERROR(__xludf.DUMMYFUNCTION("""COMPUTED_VALUE"""),"[Nhãn] GC - V - 4768 - CTY NEWTEX - SẠCH KHUẨN 3X (Nước xanh dương đậm) - 450ml - 40")</f>
        <v>[Nhãn] GC - V - 4768 - CTY NEWTEX - SẠCH KHUẨN 3X (Nước xanh dương đậm) - 450ml - 40</v>
      </c>
      <c r="E5680" s="87" t="str">
        <f>IFERROR(__xludf.DUMMYFUNCTION("""COMPUTED_VALUE"""),"NEWKARIDE 3SL")</f>
        <v>NEWKARIDE 3SL</v>
      </c>
      <c r="F5680" s="87" t="str">
        <f>IFERROR(__xludf.DUMMYFUNCTION("""COMPUTED_VALUE"""),"HH4768")</f>
        <v>HH4768</v>
      </c>
      <c r="G5680" s="87" t="str">
        <f>IFERROR(__xludf.DUMMYFUNCTION("""COMPUTED_VALUE"""),"GC - V - 4768 - CTY NEWTEX - SẠCH KHUẨN 3X (Nước xanh dương đậm) - 450ml - 40")</f>
        <v>GC - V - 4768 - CTY NEWTEX - SẠCH KHUẨN 3X (Nước xanh dương đậm) - 450ml - 40</v>
      </c>
    </row>
    <row r="5681">
      <c r="A5681" s="86">
        <f>IFERROR(__xludf.DUMMYFUNCTION("""COMPUTED_VALUE"""),5679.0)</f>
        <v>5679</v>
      </c>
      <c r="B5681" s="87" t="str">
        <f>IFERROR(__xludf.DUMMYFUNCTION("""COMPUTED_VALUE"""),"[Nhãn Thùng]")</f>
        <v>[Nhãn Thùng]</v>
      </c>
      <c r="C5681" s="87" t="str">
        <f>IFERROR(__xludf.DUMMYFUNCTION("""COMPUTED_VALUE"""),"NDT4718")</f>
        <v>NDT4718</v>
      </c>
      <c r="D5681" s="87" t="str">
        <f>IFERROR(__xludf.DUMMYFUNCTION("""COMPUTED_VALUE"""),"[Nhãn Thùng] GC - V - 4718 - CTY DRAGON AGROCHEM - FORTAZEB 72WP (Bột vàng) - 100gr - 100")</f>
        <v>[Nhãn Thùng] GC - V - 4718 - CTY DRAGON AGROCHEM - FORTAZEB 72WP (Bột vàng) - 100gr - 100</v>
      </c>
      <c r="E5681" s="87" t="str">
        <f>IFERROR(__xludf.DUMMYFUNCTION("""COMPUTED_VALUE"""),"Hoanganhbul 72WP")</f>
        <v>Hoanganhbul 72WP</v>
      </c>
      <c r="F5681" s="87" t="str">
        <f>IFERROR(__xludf.DUMMYFUNCTION("""COMPUTED_VALUE"""),"HH4718")</f>
        <v>HH4718</v>
      </c>
      <c r="G5681" s="87" t="str">
        <f>IFERROR(__xludf.DUMMYFUNCTION("""COMPUTED_VALUE"""),"GC - V - 4718 - CTY DRAGON AGROCHEM - FORTAZEB 72WP (Bột vàng) - 100gr - 100")</f>
        <v>GC - V - 4718 - CTY DRAGON AGROCHEM - FORTAZEB 72WP (Bột vàng) - 100gr - 100</v>
      </c>
    </row>
    <row r="5682">
      <c r="A5682" s="86">
        <f>IFERROR(__xludf.DUMMYFUNCTION("""COMPUTED_VALUE"""),5680.0)</f>
        <v>5680</v>
      </c>
      <c r="B5682" s="87" t="str">
        <f>IFERROR(__xludf.DUMMYFUNCTION("""COMPUTED_VALUE"""),"[Nhãn Thùng]")</f>
        <v>[Nhãn Thùng]</v>
      </c>
      <c r="C5682" s="87" t="str">
        <f>IFERROR(__xludf.DUMMYFUNCTION("""COMPUTED_VALUE"""),"NDT4655")</f>
        <v>NDT4655</v>
      </c>
      <c r="D5682" s="87" t="str">
        <f>IFERROR(__xludf.DUMMYFUNCTION("""COMPUTED_VALUE"""),"[Nhãn Thùng] BAMBOO - VI - 4655 - BAMBOO FENO (Nước tím) - 450ml - 40")</f>
        <v>[Nhãn Thùng] BAMBOO - VI - 4655 - BAMBOO FENO (Nước tím) - 450ml - 40</v>
      </c>
      <c r="E5682" s="87" t="str">
        <f>IFERROR(__xludf.DUMMYFUNCTION("""COMPUTED_VALUE"""),"ABASBA 50EC")</f>
        <v>ABASBA 50EC</v>
      </c>
      <c r="F5682" s="87" t="str">
        <f>IFERROR(__xludf.DUMMYFUNCTION("""COMPUTED_VALUE"""),"HH4655")</f>
        <v>HH4655</v>
      </c>
      <c r="G5682" s="87" t="str">
        <f>IFERROR(__xludf.DUMMYFUNCTION("""COMPUTED_VALUE"""),"BAMBOO - VI - 4655 - BAMBOO FENO (Nước tím) - 450ml - 40")</f>
        <v>BAMBOO - VI - 4655 - BAMBOO FENO (Nước tím) - 450ml - 40</v>
      </c>
    </row>
    <row r="5683">
      <c r="A5683" s="86">
        <f>IFERROR(__xludf.DUMMYFUNCTION("""COMPUTED_VALUE"""),5681.0)</f>
        <v>5681</v>
      </c>
      <c r="B5683" s="87" t="str">
        <f>IFERROR(__xludf.DUMMYFUNCTION("""COMPUTED_VALUE"""),"[Nhãn]")</f>
        <v>[Nhãn]</v>
      </c>
      <c r="C5683" s="87" t="str">
        <f>IFERROR(__xludf.DUMMYFUNCTION("""COMPUTED_VALUE"""),"NTN4766")</f>
        <v>NTN4766</v>
      </c>
      <c r="D5683" s="87" t="str">
        <f>IFERROR(__xludf.DUMMYFUNCTION("""COMPUTED_VALUE"""),"[Nhãn] IDA Global - I - 4766 - CHESSIN 600WP (Bột trắng) - 50gr - 200")</f>
        <v>[Nhãn] IDA Global - I - 4766 - CHESSIN 600WP (Bột trắng) - 50gr - 200</v>
      </c>
      <c r="E5683" s="87" t="str">
        <f>IFERROR(__xludf.DUMMYFUNCTION("""COMPUTED_VALUE"""),"CHESSIN 600WP")</f>
        <v>CHESSIN 600WP</v>
      </c>
      <c r="F5683" s="87" t="str">
        <f>IFERROR(__xludf.DUMMYFUNCTION("""COMPUTED_VALUE"""),"HH4766")</f>
        <v>HH4766</v>
      </c>
      <c r="G5683" s="87" t="str">
        <f>IFERROR(__xludf.DUMMYFUNCTION("""COMPUTED_VALUE"""),"IDA Global - I - 4766 - CHESSIN 600WP (Bột trắng) - 50gr - 200")</f>
        <v>IDA Global - I - 4766 - CHESSIN 600WP (Bột trắng) - 50gr - 200</v>
      </c>
    </row>
    <row r="5684">
      <c r="A5684" s="86">
        <f>IFERROR(__xludf.DUMMYFUNCTION("""COMPUTED_VALUE"""),5682.0)</f>
        <v>5682</v>
      </c>
      <c r="B5684" s="87" t="str">
        <f>IFERROR(__xludf.DUMMYFUNCTION("""COMPUTED_VALUE"""),"[Nhãn Thùng]")</f>
        <v>[Nhãn Thùng]</v>
      </c>
      <c r="C5684" s="87" t="str">
        <f>IFERROR(__xludf.DUMMYFUNCTION("""COMPUTED_VALUE"""),"NDT4766")</f>
        <v>NDT4766</v>
      </c>
      <c r="D5684" s="87" t="str">
        <f>IFERROR(__xludf.DUMMYFUNCTION("""COMPUTED_VALUE"""),"[Nhãn Thùng] IDA Global - I - 4766 - CHESSIN 600WP (Bột trắng) - 50gr - 200")</f>
        <v>[Nhãn Thùng] IDA Global - I - 4766 - CHESSIN 600WP (Bột trắng) - 50gr - 200</v>
      </c>
      <c r="E5684" s="87" t="str">
        <f>IFERROR(__xludf.DUMMYFUNCTION("""COMPUTED_VALUE"""),"CHESSIN 600WP")</f>
        <v>CHESSIN 600WP</v>
      </c>
      <c r="F5684" s="87" t="str">
        <f>IFERROR(__xludf.DUMMYFUNCTION("""COMPUTED_VALUE"""),"HH4766")</f>
        <v>HH4766</v>
      </c>
      <c r="G5684" s="87" t="str">
        <f>IFERROR(__xludf.DUMMYFUNCTION("""COMPUTED_VALUE"""),"IDA Global - I - 4766 - CHESSIN 600WP (Bột trắng) - 50gr - 200")</f>
        <v>IDA Global - I - 4766 - CHESSIN 600WP (Bột trắng) - 50gr - 200</v>
      </c>
    </row>
    <row r="5685">
      <c r="A5685" s="86">
        <f>IFERROR(__xludf.DUMMYFUNCTION("""COMPUTED_VALUE"""),5683.0)</f>
        <v>5683</v>
      </c>
      <c r="B5685" s="87" t="str">
        <f>IFERROR(__xludf.DUMMYFUNCTION("""COMPUTED_VALUE"""),"[Nhãn]")</f>
        <v>[Nhãn]</v>
      </c>
      <c r="C5685" s="87" t="str">
        <f>IFERROR(__xludf.DUMMYFUNCTION("""COMPUTED_VALUE"""),"NHG4740")</f>
        <v>NHG4740</v>
      </c>
      <c r="D5685" s="87" t="str">
        <f>IFERROR(__xludf.DUMMYFUNCTION("""COMPUTED_VALUE"""),"[Nhãn] IDA Global - I - 4740 - BLAZE-X2 (Nước trắng sữa) - 100ml - 100")</f>
        <v>[Nhãn] IDA Global - I - 4740 - BLAZE-X2 (Nước trắng sữa) - 100ml - 100</v>
      </c>
      <c r="E5685" s="87" t="str">
        <f>IFERROR(__xludf.DUMMYFUNCTION("""COMPUTED_VALUE"""),"AF-Unimax 40SC")</f>
        <v>AF-Unimax 40SC</v>
      </c>
      <c r="F5685" s="87" t="str">
        <f>IFERROR(__xludf.DUMMYFUNCTION("""COMPUTED_VALUE"""),"HH4740")</f>
        <v>HH4740</v>
      </c>
      <c r="G5685" s="87" t="str">
        <f>IFERROR(__xludf.DUMMYFUNCTION("""COMPUTED_VALUE"""),"IDA Global - I - 4740 - BLAZE-X2 (Nước trắng sữa) - 100ml - 100")</f>
        <v>IDA Global - I - 4740 - BLAZE-X2 (Nước trắng sữa) - 100ml - 100</v>
      </c>
    </row>
    <row r="5686">
      <c r="A5686" s="86">
        <f>IFERROR(__xludf.DUMMYFUNCTION("""COMPUTED_VALUE"""),5684.0)</f>
        <v>5684</v>
      </c>
      <c r="B5686" s="87" t="str">
        <f>IFERROR(__xludf.DUMMYFUNCTION("""COMPUTED_VALUE"""),"[Hộp]")</f>
        <v>[Hộp]</v>
      </c>
      <c r="C5686" s="87" t="str">
        <f>IFERROR(__xludf.DUMMYFUNCTION("""COMPUTED_VALUE"""),"HOP4740")</f>
        <v>HOP4740</v>
      </c>
      <c r="D5686" s="87" t="str">
        <f>IFERROR(__xludf.DUMMYFUNCTION("""COMPUTED_VALUE"""),"[Hộp] IDA Global - I - 4740 - BLAZE-X2 (Nước trắng sữa) - 100ml - 1")</f>
        <v>[Hộp] IDA Global - I - 4740 - BLAZE-X2 (Nước trắng sữa) - 100ml - 1</v>
      </c>
      <c r="E5686" s="87" t="str">
        <f>IFERROR(__xludf.DUMMYFUNCTION("""COMPUTED_VALUE"""),"AF-Unimax 40SC")</f>
        <v>AF-Unimax 40SC</v>
      </c>
      <c r="F5686" s="87" t="str">
        <f>IFERROR(__xludf.DUMMYFUNCTION("""COMPUTED_VALUE"""),"HH4740")</f>
        <v>HH4740</v>
      </c>
      <c r="G5686" s="87" t="str">
        <f>IFERROR(__xludf.DUMMYFUNCTION("""COMPUTED_VALUE"""),"IDA Global - I - 4740 - BLAZE-X2 (Nước trắng sữa) - 100ml - 100")</f>
        <v>IDA Global - I - 4740 - BLAZE-X2 (Nước trắng sữa) - 100ml - 100</v>
      </c>
    </row>
    <row r="5687">
      <c r="A5687" s="86">
        <f>IFERROR(__xludf.DUMMYFUNCTION("""COMPUTED_VALUE"""),5685.0)</f>
        <v>5685</v>
      </c>
      <c r="B5687" s="87" t="str">
        <f>IFERROR(__xludf.DUMMYFUNCTION("""COMPUTED_VALUE"""),"[Nhãn]")</f>
        <v>[Nhãn]</v>
      </c>
      <c r="C5687" s="87" t="str">
        <f>IFERROR(__xludf.DUMMYFUNCTION("""COMPUTED_VALUE"""),"NHG4712")</f>
        <v>NHG4712</v>
      </c>
      <c r="D5687" s="87" t="str">
        <f>IFERROR(__xludf.DUMMYFUNCTION("""COMPUTED_VALUE"""),"[Nhãn] GC - V - 4712 - NHP GROUP - CALIMIX (Nước nâu đen) - 500ml - 40")</f>
        <v>[Nhãn] GC - V - 4712 - NHP GROUP - CALIMIX (Nước nâu đen) - 500ml - 40</v>
      </c>
      <c r="E5687" s="87" t="str">
        <f>IFERROR(__xludf.DUMMYFUNCTION("""COMPUTED_VALUE"""),"Hữu cơ SH Agro Organic Fertilizer 20")</f>
        <v>Hữu cơ SH Agro Organic Fertilizer 20</v>
      </c>
      <c r="F5687" s="87" t="str">
        <f>IFERROR(__xludf.DUMMYFUNCTION("""COMPUTED_VALUE"""),"HH4712")</f>
        <v>HH4712</v>
      </c>
      <c r="G5687" s="87" t="str">
        <f>IFERROR(__xludf.DUMMYFUNCTION("""COMPUTED_VALUE"""),"GC - V - 4712 - NHP GROUP - CALIMIX (Nước nâu đen) - 500ml - 40")</f>
        <v>GC - V - 4712 - NHP GROUP - CALIMIX (Nước nâu đen) - 500ml - 40</v>
      </c>
    </row>
    <row r="5688">
      <c r="A5688" s="86">
        <f>IFERROR(__xludf.DUMMYFUNCTION("""COMPUTED_VALUE"""),5686.0)</f>
        <v>5686</v>
      </c>
      <c r="B5688" s="87" t="str">
        <f>IFERROR(__xludf.DUMMYFUNCTION("""COMPUTED_VALUE"""),"[Nhãn]")</f>
        <v>[Nhãn]</v>
      </c>
      <c r="C5688" s="87" t="str">
        <f>IFERROR(__xludf.DUMMYFUNCTION("""COMPUTED_VALUE"""),"NHG4715")</f>
        <v>NHG4715</v>
      </c>
      <c r="D5688" s="87" t="str">
        <f>IFERROR(__xludf.DUMMYFUNCTION("""COMPUTED_VALUE"""),"[Nhãn] GC - V - 4715 - NHP GROUP - ULTRA KEO BLOOM (Nước nâu đen) - 200ml - 40")</f>
        <v>[Nhãn] GC - V - 4715 - NHP GROUP - ULTRA KEO BLOOM (Nước nâu đen) - 200ml - 40</v>
      </c>
      <c r="E5688" s="87" t="str">
        <f>IFERROR(__xludf.DUMMYFUNCTION("""COMPUTED_VALUE"""),"Hữu cơ SH Agro Organic Fertilizer 20")</f>
        <v>Hữu cơ SH Agro Organic Fertilizer 20</v>
      </c>
      <c r="F5688" s="87" t="str">
        <f>IFERROR(__xludf.DUMMYFUNCTION("""COMPUTED_VALUE"""),"HH4715")</f>
        <v>HH4715</v>
      </c>
      <c r="G5688" s="87" t="str">
        <f>IFERROR(__xludf.DUMMYFUNCTION("""COMPUTED_VALUE"""),"GC - V - 4715 - NHP GROUP - ULTRA KEO BLOOM (Nước nâu đen) - 200ml - 40")</f>
        <v>GC - V - 4715 - NHP GROUP - ULTRA KEO BLOOM (Nước nâu đen) - 200ml - 40</v>
      </c>
    </row>
    <row r="5689">
      <c r="A5689" s="86">
        <f>IFERROR(__xludf.DUMMYFUNCTION("""COMPUTED_VALUE"""),5687.0)</f>
        <v>5687</v>
      </c>
      <c r="B5689" s="87" t="str">
        <f>IFERROR(__xludf.DUMMYFUNCTION("""COMPUTED_VALUE"""),"[Nhãn]")</f>
        <v>[Nhãn]</v>
      </c>
      <c r="C5689" s="87" t="str">
        <f>IFERROR(__xludf.DUMMYFUNCTION("""COMPUTED_VALUE"""),"NHG4699")</f>
        <v>NHG4699</v>
      </c>
      <c r="D5689" s="87" t="str">
        <f>IFERROR(__xludf.DUMMYFUNCTION("""COMPUTED_VALUE"""),"[Nhãn] GC - V - 4699 - CTY GNH - BOCA (Gel đỏ cam) - 500ml - 40")</f>
        <v>[Nhãn] GC - V - 4699 - CTY GNH - BOCA (Gel đỏ cam) - 500ml - 40</v>
      </c>
      <c r="E5689" s="87" t="str">
        <f>IFERROR(__xludf.DUMMYFUNCTION("""COMPUTED_VALUE"""),"Vi lượng Run Fast")</f>
        <v>Vi lượng Run Fast</v>
      </c>
      <c r="F5689" s="87" t="str">
        <f>IFERROR(__xludf.DUMMYFUNCTION("""COMPUTED_VALUE"""),"HH4699")</f>
        <v>HH4699</v>
      </c>
      <c r="G5689" s="87" t="str">
        <f>IFERROR(__xludf.DUMMYFUNCTION("""COMPUTED_VALUE"""),"GC - V - 4699 - CTY GNH - BOCA (Gel đỏ cam) - 500ml - 40")</f>
        <v>GC - V - 4699 - CTY GNH - BOCA (Gel đỏ cam) - 500ml - 40</v>
      </c>
    </row>
    <row r="5690">
      <c r="A5690" s="86">
        <f>IFERROR(__xludf.DUMMYFUNCTION("""COMPUTED_VALUE"""),5688.0)</f>
        <v>5688</v>
      </c>
      <c r="B5690" s="87" t="str">
        <f>IFERROR(__xludf.DUMMYFUNCTION("""COMPUTED_VALUE"""),"[Nhãn]")</f>
        <v>[Nhãn]</v>
      </c>
      <c r="C5690" s="87" t="str">
        <f>IFERROR(__xludf.DUMMYFUNCTION("""COMPUTED_VALUE"""),"NTN4641")</f>
        <v>NTN4641</v>
      </c>
      <c r="D5690" s="87" t="str">
        <f>IFERROR(__xludf.DUMMYFUNCTION("""COMPUTED_VALUE"""),"[Nhãn] GC - V - 4641 - CTY HÓA NÔNG SHINO - CHESSIN 600WP (Bột trắng ngà) - 25gr - 200")</f>
        <v>[Nhãn] GC - V - 4641 - CTY HÓA NÔNG SHINO - CHESSIN 600WP (Bột trắng ngà) - 25gr - 200</v>
      </c>
      <c r="E5690" s="87" t="str">
        <f>IFERROR(__xludf.DUMMYFUNCTION("""COMPUTED_VALUE"""),"CHESSIN 600WP")</f>
        <v>CHESSIN 600WP</v>
      </c>
      <c r="F5690" s="87" t="str">
        <f>IFERROR(__xludf.DUMMYFUNCTION("""COMPUTED_VALUE"""),"HH4641")</f>
        <v>HH4641</v>
      </c>
      <c r="G5690" s="87" t="str">
        <f>IFERROR(__xludf.DUMMYFUNCTION("""COMPUTED_VALUE"""),"GC - V - 4641 - CTY HÓA NÔNG SHINO - CHESSIN 600WP (Bột trắng ngà) - 25gr - 200")</f>
        <v>GC - V - 4641 - CTY HÓA NÔNG SHINO - CHESSIN 600WP (Bột trắng ngà) - 25gr - 200</v>
      </c>
    </row>
    <row r="5691">
      <c r="A5691" s="86">
        <f>IFERROR(__xludf.DUMMYFUNCTION("""COMPUTED_VALUE"""),5689.0)</f>
        <v>5689</v>
      </c>
      <c r="B5691" s="87" t="str">
        <f>IFERROR(__xludf.DUMMYFUNCTION("""COMPUTED_VALUE"""),"[Nhãn]")</f>
        <v>[Nhãn]</v>
      </c>
      <c r="C5691" s="87" t="str">
        <f>IFERROR(__xludf.DUMMYFUNCTION("""COMPUTED_VALUE"""),"NHG4526")</f>
        <v>NHG4526</v>
      </c>
      <c r="D5691" s="87" t="str">
        <f>IFERROR(__xludf.DUMMYFUNCTION("""COMPUTED_VALUE"""),"[Nhãn] GC - V - 4526 - CTY ĐỊA LONG - CANXI BO (Nước trắng sữa) - 250ml - 40")</f>
        <v>[Nhãn] GC - V - 4526 - CTY ĐỊA LONG - CANXI BO (Nước trắng sữa) - 250ml - 40</v>
      </c>
      <c r="E5691" s="87" t="str">
        <f>IFERROR(__xludf.DUMMYFUNCTION("""COMPUTED_VALUE"""),"Vi lượng AGAMA-CANXI BO")</f>
        <v>Vi lượng AGAMA-CANXI BO</v>
      </c>
      <c r="F5691" s="87" t="str">
        <f>IFERROR(__xludf.DUMMYFUNCTION("""COMPUTED_VALUE"""),"HH4526")</f>
        <v>HH4526</v>
      </c>
      <c r="G5691" s="87" t="str">
        <f>IFERROR(__xludf.DUMMYFUNCTION("""COMPUTED_VALUE"""),"GC - V - 4526 - CTY ĐỊA LONG - CANXI BO (Nước trắng sữa) - 250ml - 40")</f>
        <v>GC - V - 4526 - CTY ĐỊA LONG - CANXI BO (Nước trắng sữa) - 250ml - 40</v>
      </c>
    </row>
    <row r="5692">
      <c r="A5692" s="86">
        <f>IFERROR(__xludf.DUMMYFUNCTION("""COMPUTED_VALUE"""),5690.0)</f>
        <v>5690</v>
      </c>
      <c r="B5692" s="87" t="str">
        <f>IFERROR(__xludf.DUMMYFUNCTION("""COMPUTED_VALUE"""),"[Nhãn]")</f>
        <v>[Nhãn]</v>
      </c>
      <c r="C5692" s="87" t="str">
        <f>IFERROR(__xludf.DUMMYFUNCTION("""COMPUTED_VALUE"""),"NHG4781")</f>
        <v>NHG4781</v>
      </c>
      <c r="D5692" s="87" t="str">
        <f>IFERROR(__xludf.DUMMYFUNCTION("""COMPUTED_VALUE"""),"[Nhãn] GC - V - 4781 - THÀNH CÔNG AGRI - ULTRA GREEN (Nước trắng sữa) - 300ml - 40")</f>
        <v>[Nhãn] GC - V - 4781 - THÀNH CÔNG AGRI - ULTRA GREEN (Nước trắng sữa) - 300ml - 40</v>
      </c>
      <c r="E5692" s="87" t="str">
        <f>IFERROR(__xludf.DUMMYFUNCTION("""COMPUTED_VALUE"""),"vi lượng Phú Sĩ FJ-09 Kẽm Mg")</f>
        <v>vi lượng Phú Sĩ FJ-09 Kẽm Mg</v>
      </c>
      <c r="F5692" s="87" t="str">
        <f>IFERROR(__xludf.DUMMYFUNCTION("""COMPUTED_VALUE"""),"HH4781")</f>
        <v>HH4781</v>
      </c>
      <c r="G5692" s="87" t="str">
        <f>IFERROR(__xludf.DUMMYFUNCTION("""COMPUTED_VALUE"""),"GC - V - 4781 - THÀNH CÔNG AGRI - ULTRA GREEN (Nước trắng sữa) - 300ml - 40")</f>
        <v>GC - V - 4781 - THÀNH CÔNG AGRI - ULTRA GREEN (Nước trắng sữa) - 300ml - 40</v>
      </c>
    </row>
    <row r="5693">
      <c r="A5693" s="86">
        <f>IFERROR(__xludf.DUMMYFUNCTION("""COMPUTED_VALUE"""),5691.0)</f>
        <v>5691</v>
      </c>
      <c r="B5693" s="87" t="str">
        <f>IFERROR(__xludf.DUMMYFUNCTION("""COMPUTED_VALUE"""),"[Nhãn]")</f>
        <v>[Nhãn]</v>
      </c>
      <c r="C5693" s="87" t="str">
        <f>IFERROR(__xludf.DUMMYFUNCTION("""COMPUTED_VALUE"""),"NHD4780")</f>
        <v>NHD4780</v>
      </c>
      <c r="D5693" s="87" t="str">
        <f>IFERROR(__xludf.DUMMYFUNCTION("""COMPUTED_VALUE"""),"[Nhãn] GC - V - 4780 - GC THIỆN THÀNH - TO CỦ KHOAI MÌ (Nước nâu đen) - 20 lít - 1")</f>
        <v>[Nhãn] GC - V - 4780 - GC THIỆN THÀNH - TO CỦ KHOAI MÌ (Nước nâu đen) - 20 lít - 1</v>
      </c>
      <c r="E5693" s="87" t="str">
        <f>IFERROR(__xludf.DUMMYFUNCTION("""COMPUTED_VALUE"""),"Hữu Cơ Organic ĐGP 01")</f>
        <v>Hữu Cơ Organic ĐGP 01</v>
      </c>
      <c r="F5693" s="87" t="str">
        <f>IFERROR(__xludf.DUMMYFUNCTION("""COMPUTED_VALUE"""),"HH4780")</f>
        <v>HH4780</v>
      </c>
      <c r="G5693" s="87" t="str">
        <f>IFERROR(__xludf.DUMMYFUNCTION("""COMPUTED_VALUE"""),"GC - V - 4780 - GC THIỆN THÀNH - TO CỦ KHOAI MÌ (Nước nâu đen) - 20 lít - 1")</f>
        <v>GC - V - 4780 - GC THIỆN THÀNH - TO CỦ KHOAI MÌ (Nước nâu đen) - 20 lít - 1</v>
      </c>
    </row>
    <row r="5694">
      <c r="A5694" s="86">
        <f>IFERROR(__xludf.DUMMYFUNCTION("""COMPUTED_VALUE"""),5692.0)</f>
        <v>5692</v>
      </c>
      <c r="B5694" s="87" t="str">
        <f>IFERROR(__xludf.DUMMYFUNCTION("""COMPUTED_VALUE"""),"[Nhãn]")</f>
        <v>[Nhãn]</v>
      </c>
      <c r="C5694" s="87" t="str">
        <f>IFERROR(__xludf.DUMMYFUNCTION("""COMPUTED_VALUE"""),"NHD4753")</f>
        <v>NHD4753</v>
      </c>
      <c r="D5694" s="87" t="str">
        <f>IFERROR(__xludf.DUMMYFUNCTION("""COMPUTED_VALUE"""),"[Nhãn] GC - V - 4753 - Cty Sen Hồng (A.Diễn) - PHÒNG TRỪ VI KHUẨN (Nước tím đậm V3) - 400ml - 40")</f>
        <v>[Nhãn] GC - V - 4753 - Cty Sen Hồng (A.Diễn) - PHÒNG TRỪ VI KHUẨN (Nước tím đậm V3) - 400ml - 40</v>
      </c>
      <c r="E5694" s="87" t="str">
        <f>IFERROR(__xludf.DUMMYFUNCTION("""COMPUTED_VALUE"""),"GENOL 1.2SL")</f>
        <v>GENOL 1.2SL</v>
      </c>
      <c r="F5694" s="87" t="str">
        <f>IFERROR(__xludf.DUMMYFUNCTION("""COMPUTED_VALUE"""),"HH4753")</f>
        <v>HH4753</v>
      </c>
      <c r="G5694" s="87" t="str">
        <f>IFERROR(__xludf.DUMMYFUNCTION("""COMPUTED_VALUE"""),"GC - V - 4753 - Cty Sen Hồng (A.Diễn) - PHÒNG TRỪ VI KHUẨN (Nước tím đậm V3) - 400ml - 40")</f>
        <v>GC - V - 4753 - Cty Sen Hồng (A.Diễn) - PHÒNG TRỪ VI KHUẨN (Nước tím đậm V3) - 400ml - 40</v>
      </c>
    </row>
    <row r="5695">
      <c r="A5695" s="86">
        <f>IFERROR(__xludf.DUMMYFUNCTION("""COMPUTED_VALUE"""),5693.0)</f>
        <v>5693</v>
      </c>
      <c r="B5695" s="87" t="str">
        <f>IFERROR(__xludf.DUMMYFUNCTION("""COMPUTED_VALUE"""),"[Nhãn]")</f>
        <v>[Nhãn]</v>
      </c>
      <c r="C5695" s="87" t="str">
        <f>IFERROR(__xludf.DUMMYFUNCTION("""COMPUTED_VALUE"""),"NHD4755")</f>
        <v>NHD4755</v>
      </c>
      <c r="D5695" s="87" t="str">
        <f>IFERROR(__xludf.DUMMYFUNCTION("""COMPUTED_VALUE"""),"[Nhãn] GC - V - 4755 - Cty Sen Hồng (A.Diễn) - PHÒNG TRỪ ĐẠO ÔN (Nước cam sữa) - 400ml - 40")</f>
        <v>[Nhãn] GC - V - 4755 - Cty Sen Hồng (A.Diễn) - PHÒNG TRỪ ĐẠO ÔN (Nước cam sữa) - 400ml - 40</v>
      </c>
      <c r="E5695" s="87" t="str">
        <f>IFERROR(__xludf.DUMMYFUNCTION("""COMPUTED_VALUE"""),"CITTIZEN 333SC")</f>
        <v>CITTIZEN 333SC</v>
      </c>
      <c r="F5695" s="87" t="str">
        <f>IFERROR(__xludf.DUMMYFUNCTION("""COMPUTED_VALUE"""),"HH4755")</f>
        <v>HH4755</v>
      </c>
      <c r="G5695" s="87" t="str">
        <f>IFERROR(__xludf.DUMMYFUNCTION("""COMPUTED_VALUE"""),"GC - V - 4755 - Cty Sen Hồng (A.Diễn) - PHÒNG TRỪ ĐẠO ÔN (Nước cam sữa) - 400ml - 40")</f>
        <v>GC - V - 4755 - Cty Sen Hồng (A.Diễn) - PHÒNG TRỪ ĐẠO ÔN (Nước cam sữa) - 400ml - 40</v>
      </c>
    </row>
    <row r="5696">
      <c r="A5696" s="86">
        <f>IFERROR(__xludf.DUMMYFUNCTION("""COMPUTED_VALUE"""),5694.0)</f>
        <v>5694</v>
      </c>
      <c r="B5696" s="87" t="str">
        <f>IFERROR(__xludf.DUMMYFUNCTION("""COMPUTED_VALUE"""),"[Nhãn]")</f>
        <v>[Nhãn]</v>
      </c>
      <c r="C5696" s="87" t="str">
        <f>IFERROR(__xludf.DUMMYFUNCTION("""COMPUTED_VALUE"""),"NHD4754")</f>
        <v>NHD4754</v>
      </c>
      <c r="D5696" s="87" t="str">
        <f>IFERROR(__xludf.DUMMYFUNCTION("""COMPUTED_VALUE"""),"[Nhãn] GC - V - 4754 - Cty Sen Hồng (A.Diễn) - MITOP ONE 390SC (Nước xanh bơ sữa) - 400ml - 40")</f>
        <v>[Nhãn] GC - V - 4754 - Cty Sen Hồng (A.Diễn) - MITOP ONE 390SC (Nước xanh bơ sữa) - 400ml - 40</v>
      </c>
      <c r="E5696" s="87" t="str">
        <f>IFERROR(__xludf.DUMMYFUNCTION("""COMPUTED_VALUE"""),"MITOP ONE 390SC")</f>
        <v>MITOP ONE 390SC</v>
      </c>
      <c r="F5696" s="87" t="str">
        <f>IFERROR(__xludf.DUMMYFUNCTION("""COMPUTED_VALUE"""),"HH4754")</f>
        <v>HH4754</v>
      </c>
      <c r="G5696" s="87" t="str">
        <f>IFERROR(__xludf.DUMMYFUNCTION("""COMPUTED_VALUE"""),"GC - V - 4754 - Cty Sen Hồng (A.Diễn) - MITOP ONE 390SC (Nước xanh bơ sữa) - 400ml - 40")</f>
        <v>GC - V - 4754 - Cty Sen Hồng (A.Diễn) - MITOP ONE 390SC (Nước xanh bơ sữa) - 400ml - 40</v>
      </c>
    </row>
    <row r="5697">
      <c r="A5697" s="86">
        <f>IFERROR(__xludf.DUMMYFUNCTION("""COMPUTED_VALUE"""),5695.0)</f>
        <v>5695</v>
      </c>
      <c r="B5697" s="87" t="str">
        <f>IFERROR(__xludf.DUMMYFUNCTION("""COMPUTED_VALUE"""),"[Nhãn]")</f>
        <v>[Nhãn]</v>
      </c>
      <c r="C5697" s="87" t="str">
        <f>IFERROR(__xludf.DUMMYFUNCTION("""COMPUTED_VALUE"""),"NHG4782")</f>
        <v>NHG4782</v>
      </c>
      <c r="D5697" s="87" t="str">
        <f>IFERROR(__xludf.DUMMYFUNCTION("""COMPUTED_VALUE"""),"[Nhãn] GC - V - 4782 - Kim Ngọc - Trợ Lực Thấm Sâu (nước vàng) - 100ml - 50")</f>
        <v>[Nhãn] GC - V - 4782 - Kim Ngọc - Trợ Lực Thấm Sâu (nước vàng) - 100ml - 50</v>
      </c>
      <c r="E5697" s="87" t="str">
        <f>IFERROR(__xludf.DUMMYFUNCTION("""COMPUTED_VALUE"""),"Vi lượng Quantity New")</f>
        <v>Vi lượng Quantity New</v>
      </c>
      <c r="F5697" s="87" t="str">
        <f>IFERROR(__xludf.DUMMYFUNCTION("""COMPUTED_VALUE"""),"HH4782")</f>
        <v>HH4782</v>
      </c>
      <c r="G5697" s="87" t="str">
        <f>IFERROR(__xludf.DUMMYFUNCTION("""COMPUTED_VALUE"""),"GC - V - 4782 - Kim Ngọc - Trợ Lực Thấm Sâu (nước vàng) - 100ml - 50")</f>
        <v>GC - V - 4782 - Kim Ngọc - Trợ Lực Thấm Sâu (nước vàng) - 100ml - 50</v>
      </c>
    </row>
    <row r="5698">
      <c r="A5698" s="86">
        <f>IFERROR(__xludf.DUMMYFUNCTION("""COMPUTED_VALUE"""),5696.0)</f>
        <v>5696</v>
      </c>
      <c r="B5698" s="87" t="str">
        <f>IFERROR(__xludf.DUMMYFUNCTION("""COMPUTED_VALUE"""),"[Nhãn]")</f>
        <v>[Nhãn]</v>
      </c>
      <c r="C5698" s="87" t="str">
        <f>IFERROR(__xludf.DUMMYFUNCTION("""COMPUTED_VALUE"""),"NHG4784")</f>
        <v>NHG4784</v>
      </c>
      <c r="D5698" s="87" t="str">
        <f>IFERROR(__xludf.DUMMYFUNCTION("""COMPUTED_VALUE"""),"[Nhãn] GC - V - 4784 - NHP GROUP - MAGIE KẼM (Dạng SC Xanh lá) - 500ml - 40")</f>
        <v>[Nhãn] GC - V - 4784 - NHP GROUP - MAGIE KẼM (Dạng SC Xanh lá) - 500ml - 40</v>
      </c>
      <c r="E5698" s="87" t="str">
        <f>IFERROR(__xludf.DUMMYFUNCTION("""COMPUTED_VALUE"""),"vi lượng Phú Sĩ FJ-09 Kẽm Mg")</f>
        <v>vi lượng Phú Sĩ FJ-09 Kẽm Mg</v>
      </c>
      <c r="F5698" s="87" t="str">
        <f>IFERROR(__xludf.DUMMYFUNCTION("""COMPUTED_VALUE"""),"HH4784")</f>
        <v>HH4784</v>
      </c>
      <c r="G5698" s="87" t="str">
        <f>IFERROR(__xludf.DUMMYFUNCTION("""COMPUTED_VALUE"""),"GC - V - 4784 - NHP GROUP - MAGIE KẼM (Dạng SC Xanh lá) - 500ml - 40")</f>
        <v>GC - V - 4784 - NHP GROUP - MAGIE KẼM (Dạng SC Xanh lá) - 500ml - 40</v>
      </c>
    </row>
    <row r="5699">
      <c r="A5699" s="86">
        <f>IFERROR(__xludf.DUMMYFUNCTION("""COMPUTED_VALUE"""),5697.0)</f>
        <v>5697</v>
      </c>
      <c r="B5699" s="87" t="str">
        <f>IFERROR(__xludf.DUMMYFUNCTION("""COMPUTED_VALUE"""),"[Nhãn]")</f>
        <v>[Nhãn]</v>
      </c>
      <c r="C5699" s="87" t="str">
        <f>IFERROR(__xludf.DUMMYFUNCTION("""COMPUTED_VALUE"""),"NHG4775")</f>
        <v>NHG4775</v>
      </c>
      <c r="D5699" s="87" t="str">
        <f>IFERROR(__xludf.DUMMYFUNCTION("""COMPUTED_VALUE"""),"[Nhãn] GC - V - 4775 - CTY NÔNG DƯỢC BETA - BETA VÔ GẠO 555 (Dạng SC - Hồng nhạt) - 500ml - 30")</f>
        <v>[Nhãn] GC - V - 4775 - CTY NÔNG DƯỢC BETA - BETA VÔ GẠO 555 (Dạng SC - Hồng nhạt) - 500ml - 30</v>
      </c>
      <c r="E5699" s="87" t="str">
        <f>IFERROR(__xludf.DUMMYFUNCTION("""COMPUTED_VALUE"""),"NPK-Vi lượng MASSIVE-BLUE")</f>
        <v>NPK-Vi lượng MASSIVE-BLUE</v>
      </c>
      <c r="F5699" s="87" t="str">
        <f>IFERROR(__xludf.DUMMYFUNCTION("""COMPUTED_VALUE"""),"HH4775")</f>
        <v>HH4775</v>
      </c>
      <c r="G5699" s="87" t="str">
        <f>IFERROR(__xludf.DUMMYFUNCTION("""COMPUTED_VALUE"""),"GC - V - 4775 - CTY NÔNG DƯỢC BETA - BETA VÔ GẠO 555 (Dạng SC - Hồng nhạt) - 500ml - 30")</f>
        <v>GC - V - 4775 - CTY NÔNG DƯỢC BETA - BETA VÔ GẠO 555 (Dạng SC - Hồng nhạt) - 500ml - 30</v>
      </c>
    </row>
    <row r="5700">
      <c r="A5700" s="86">
        <f>IFERROR(__xludf.DUMMYFUNCTION("""COMPUTED_VALUE"""),5698.0)</f>
        <v>5698</v>
      </c>
      <c r="B5700" s="87" t="str">
        <f>IFERROR(__xludf.DUMMYFUNCTION("""COMPUTED_VALUE"""),"[Nhãn]")</f>
        <v>[Nhãn]</v>
      </c>
      <c r="C5700" s="87" t="str">
        <f>IFERROR(__xludf.DUMMYFUNCTION("""COMPUTED_VALUE"""),"NHG4756")</f>
        <v>NHG4756</v>
      </c>
      <c r="D5700" s="87" t="str">
        <f>IFERROR(__xludf.DUMMYFUNCTION("""COMPUTED_VALUE"""),"[Nhãn] IDA Global - I - 4756 - LA - PICOGOLD (Nước trắng sữa) - 250ml - 40")</f>
        <v>[Nhãn] IDA Global - I - 4756 - LA - PICOGOLD (Nước trắng sữa) - 250ml - 40</v>
      </c>
      <c r="E5700" s="87" t="str">
        <f>IFERROR(__xludf.DUMMYFUNCTION("""COMPUTED_VALUE"""),"PICOSUPER 280SC")</f>
        <v>PICOSUPER 280SC</v>
      </c>
      <c r="F5700" s="87" t="str">
        <f>IFERROR(__xludf.DUMMYFUNCTION("""COMPUTED_VALUE"""),"HH4756")</f>
        <v>HH4756</v>
      </c>
      <c r="G5700" s="87" t="str">
        <f>IFERROR(__xludf.DUMMYFUNCTION("""COMPUTED_VALUE"""),"IDA Global - I - 4756 - LA - PICOGOLD (Nước trắng sữa) - 250ml - 40")</f>
        <v>IDA Global - I - 4756 - LA - PICOGOLD (Nước trắng sữa) - 250ml - 40</v>
      </c>
    </row>
    <row r="5701">
      <c r="A5701" s="86">
        <f>IFERROR(__xludf.DUMMYFUNCTION("""COMPUTED_VALUE"""),5699.0)</f>
        <v>5699</v>
      </c>
      <c r="B5701" s="87" t="str">
        <f>IFERROR(__xludf.DUMMYFUNCTION("""COMPUTED_VALUE"""),"[Nhãn Thùng]")</f>
        <v>[Nhãn Thùng]</v>
      </c>
      <c r="C5701" s="87" t="str">
        <f>IFERROR(__xludf.DUMMYFUNCTION("""COMPUTED_VALUE"""),"NDT4747")</f>
        <v>NDT4747</v>
      </c>
      <c r="D5701" s="87" t="str">
        <f>IFERROR(__xludf.DUMMYFUNCTION("""COMPUTED_VALUE"""),"[Nhãn Thùng] GC - V - 4747 - AGRITECH - RIDO TECH 72 (Bột vàng) - 500gr - 30")</f>
        <v>[Nhãn Thùng] GC - V - 4747 - AGRITECH - RIDO TECH 72 (Bột vàng) - 500gr - 30</v>
      </c>
      <c r="E5701" s="87" t="str">
        <f>IFERROR(__xludf.DUMMYFUNCTION("""COMPUTED_VALUE"""),"Hoanganhbul 72WP")</f>
        <v>Hoanganhbul 72WP</v>
      </c>
      <c r="F5701" s="87" t="str">
        <f>IFERROR(__xludf.DUMMYFUNCTION("""COMPUTED_VALUE"""),"HH4747")</f>
        <v>HH4747</v>
      </c>
      <c r="G5701" s="87" t="str">
        <f>IFERROR(__xludf.DUMMYFUNCTION("""COMPUTED_VALUE"""),"GC - V - 4747 - AGRITECH - RIDO TECH 72 (Bột vàng) - 500gr - 30")</f>
        <v>GC - V - 4747 - AGRITECH - RIDO TECH 72 (Bột vàng) - 500gr - 30</v>
      </c>
    </row>
    <row r="5702">
      <c r="A5702" s="86">
        <f>IFERROR(__xludf.DUMMYFUNCTION("""COMPUTED_VALUE"""),5700.0)</f>
        <v>5700</v>
      </c>
      <c r="B5702" s="87" t="str">
        <f>IFERROR(__xludf.DUMMYFUNCTION("""COMPUTED_VALUE"""),"[Nhãn Thùng]")</f>
        <v>[Nhãn Thùng]</v>
      </c>
      <c r="C5702" s="87" t="str">
        <f>IFERROR(__xludf.DUMMYFUNCTION("""COMPUTED_VALUE"""),"NDT4641")</f>
        <v>NDT4641</v>
      </c>
      <c r="D5702" s="87" t="str">
        <f>IFERROR(__xludf.DUMMYFUNCTION("""COMPUTED_VALUE"""),"[Nhãn Thùng] GC - V - 4641 - CTY HÓA NÔNG SHINO - CHESSIN 600WP (Bột trắng ngà) - 25gr - 200")</f>
        <v>[Nhãn Thùng] GC - V - 4641 - CTY HÓA NÔNG SHINO - CHESSIN 600WP (Bột trắng ngà) - 25gr - 200</v>
      </c>
      <c r="E5702" s="87" t="str">
        <f>IFERROR(__xludf.DUMMYFUNCTION("""COMPUTED_VALUE"""),"CHESSIN 600WP")</f>
        <v>CHESSIN 600WP</v>
      </c>
      <c r="F5702" s="87" t="str">
        <f>IFERROR(__xludf.DUMMYFUNCTION("""COMPUTED_VALUE"""),"HH4641")</f>
        <v>HH4641</v>
      </c>
      <c r="G5702" s="87" t="str">
        <f>IFERROR(__xludf.DUMMYFUNCTION("""COMPUTED_VALUE"""),"GC - V - 4641 - CTY HÓA NÔNG SHINO - CHESSIN 600WP (Bột trắng ngà) - 25gr - 200")</f>
        <v>GC - V - 4641 - CTY HÓA NÔNG SHINO - CHESSIN 600WP (Bột trắng ngà) - 25gr - 200</v>
      </c>
    </row>
    <row r="5703">
      <c r="A5703" s="86">
        <f>IFERROR(__xludf.DUMMYFUNCTION("""COMPUTED_VALUE"""),5701.0)</f>
        <v>5701</v>
      </c>
      <c r="B5703" s="87" t="str">
        <f>IFERROR(__xludf.DUMMYFUNCTION("""COMPUTED_VALUE"""),"[Nhãn Thùng]")</f>
        <v>[Nhãn Thùng]</v>
      </c>
      <c r="C5703" s="87" t="str">
        <f>IFERROR(__xludf.DUMMYFUNCTION("""COMPUTED_VALUE"""),"NDT4753")</f>
        <v>NDT4753</v>
      </c>
      <c r="D5703" s="87" t="str">
        <f>IFERROR(__xludf.DUMMYFUNCTION("""COMPUTED_VALUE"""),"[Nhãn Thùng] GC - V - 4753 - Cty Sen Hồng (A.Diễn) - PHÒNG TRỪ VI KHUẨN (Nước tím đậm V3) - 400ml - 40")</f>
        <v>[Nhãn Thùng] GC - V - 4753 - Cty Sen Hồng (A.Diễn) - PHÒNG TRỪ VI KHUẨN (Nước tím đậm V3) - 400ml - 40</v>
      </c>
      <c r="E5703" s="87" t="str">
        <f>IFERROR(__xludf.DUMMYFUNCTION("""COMPUTED_VALUE"""),"GENOL 1.2SL")</f>
        <v>GENOL 1.2SL</v>
      </c>
      <c r="F5703" s="87" t="str">
        <f>IFERROR(__xludf.DUMMYFUNCTION("""COMPUTED_VALUE"""),"HH4753")</f>
        <v>HH4753</v>
      </c>
      <c r="G5703" s="87" t="str">
        <f>IFERROR(__xludf.DUMMYFUNCTION("""COMPUTED_VALUE"""),"GC - V - 4753 - Cty Sen Hồng (A.Diễn) - PHÒNG TRỪ VI KHUẨN (Nước tím đậm V3) - 400ml - 40")</f>
        <v>GC - V - 4753 - Cty Sen Hồng (A.Diễn) - PHÒNG TRỪ VI KHUẨN (Nước tím đậm V3) - 400ml - 40</v>
      </c>
    </row>
    <row r="5704">
      <c r="A5704" s="86">
        <f>IFERROR(__xludf.DUMMYFUNCTION("""COMPUTED_VALUE"""),5702.0)</f>
        <v>5702</v>
      </c>
      <c r="B5704" s="87" t="str">
        <f>IFERROR(__xludf.DUMMYFUNCTION("""COMPUTED_VALUE"""),"[Nhãn Thùng]")</f>
        <v>[Nhãn Thùng]</v>
      </c>
      <c r="C5704" s="87" t="str">
        <f>IFERROR(__xludf.DUMMYFUNCTION("""COMPUTED_VALUE"""),"NDT4755")</f>
        <v>NDT4755</v>
      </c>
      <c r="D5704" s="87" t="str">
        <f>IFERROR(__xludf.DUMMYFUNCTION("""COMPUTED_VALUE"""),"[Nhãn Thùng] GC - V - 4755 - Cty Sen Hồng (A.Diễn) - PHÒNG TRỪ ĐẠO ÔN (Nước cam sữa) - 400ml - 40")</f>
        <v>[Nhãn Thùng] GC - V - 4755 - Cty Sen Hồng (A.Diễn) - PHÒNG TRỪ ĐẠO ÔN (Nước cam sữa) - 400ml - 40</v>
      </c>
      <c r="E5704" s="87" t="str">
        <f>IFERROR(__xludf.DUMMYFUNCTION("""COMPUTED_VALUE"""),"CITTIZEN 333SC")</f>
        <v>CITTIZEN 333SC</v>
      </c>
      <c r="F5704" s="87" t="str">
        <f>IFERROR(__xludf.DUMMYFUNCTION("""COMPUTED_VALUE"""),"HH4755")</f>
        <v>HH4755</v>
      </c>
      <c r="G5704" s="87" t="str">
        <f>IFERROR(__xludf.DUMMYFUNCTION("""COMPUTED_VALUE"""),"GC - V - 4755 - Cty Sen Hồng (A.Diễn) - PHÒNG TRỪ ĐẠO ÔN (Nước cam sữa) - 400ml - 40")</f>
        <v>GC - V - 4755 - Cty Sen Hồng (A.Diễn) - PHÒNG TRỪ ĐẠO ÔN (Nước cam sữa) - 400ml - 40</v>
      </c>
    </row>
    <row r="5705">
      <c r="A5705" s="86">
        <f>IFERROR(__xludf.DUMMYFUNCTION("""COMPUTED_VALUE"""),5703.0)</f>
        <v>5703</v>
      </c>
      <c r="B5705" s="87" t="str">
        <f>IFERROR(__xludf.DUMMYFUNCTION("""COMPUTED_VALUE"""),"[Nhãn Thùng]")</f>
        <v>[Nhãn Thùng]</v>
      </c>
      <c r="C5705" s="87" t="str">
        <f>IFERROR(__xludf.DUMMYFUNCTION("""COMPUTED_VALUE"""),"NDT4754")</f>
        <v>NDT4754</v>
      </c>
      <c r="D5705" s="87" t="str">
        <f>IFERROR(__xludf.DUMMYFUNCTION("""COMPUTED_VALUE"""),"[Nhãn Thùng] GC - V - 4754 - Cty Sen Hồng (A.Diễn) - MITOP ONE 390SC (Nước xanh bơ sữa) - 400ml - 40")</f>
        <v>[Nhãn Thùng] GC - V - 4754 - Cty Sen Hồng (A.Diễn) - MITOP ONE 390SC (Nước xanh bơ sữa) - 400ml - 40</v>
      </c>
      <c r="E5705" s="87" t="str">
        <f>IFERROR(__xludf.DUMMYFUNCTION("""COMPUTED_VALUE"""),"MITOP ONE 390SC")</f>
        <v>MITOP ONE 390SC</v>
      </c>
      <c r="F5705" s="87" t="str">
        <f>IFERROR(__xludf.DUMMYFUNCTION("""COMPUTED_VALUE"""),"HH4754")</f>
        <v>HH4754</v>
      </c>
      <c r="G5705" s="87" t="str">
        <f>IFERROR(__xludf.DUMMYFUNCTION("""COMPUTED_VALUE"""),"GC - V - 4754 - Cty Sen Hồng (A.Diễn) - MITOP ONE 390SC (Nước xanh bơ sữa) - 400ml - 40")</f>
        <v>GC - V - 4754 - Cty Sen Hồng (A.Diễn) - MITOP ONE 390SC (Nước xanh bơ sữa) - 400ml - 40</v>
      </c>
    </row>
    <row r="5706">
      <c r="A5706" s="86">
        <f>IFERROR(__xludf.DUMMYFUNCTION("""COMPUTED_VALUE"""),5704.0)</f>
        <v>5704</v>
      </c>
      <c r="B5706" s="87" t="str">
        <f>IFERROR(__xludf.DUMMYFUNCTION("""COMPUTED_VALUE"""),"[Nhãn]")</f>
        <v>[Nhãn]</v>
      </c>
      <c r="C5706" s="87" t="str">
        <f>IFERROR(__xludf.DUMMYFUNCTION("""COMPUTED_VALUE"""),"NHD4765")</f>
        <v>NHD4765</v>
      </c>
      <c r="D5706" s="87" t="str">
        <f>IFERROR(__xludf.DUMMYFUNCTION("""COMPUTED_VALUE"""),"[Nhãn] GC - V - 4765 - CTY QUANG ĐĂNG AGRICULTURE - DIỆP LỤC TỐ SUPER ZINC+ QĐ GREEN (Nước trắng sữa) - 500ml - 40")</f>
        <v>[Nhãn] GC - V - 4765 - CTY QUANG ĐĂNG AGRICULTURE - DIỆP LỤC TỐ SUPER ZINC+ QĐ GREEN (Nước trắng sữa) - 500ml - 40</v>
      </c>
      <c r="E5706" s="87" t="str">
        <f>IFERROR(__xludf.DUMMYFUNCTION("""COMPUTED_VALUE"""),"Vi lượng MICKEY")</f>
        <v>Vi lượng MICKEY</v>
      </c>
      <c r="F5706" s="87" t="str">
        <f>IFERROR(__xludf.DUMMYFUNCTION("""COMPUTED_VALUE"""),"HH4765")</f>
        <v>HH4765</v>
      </c>
      <c r="G5706" s="87" t="str">
        <f>IFERROR(__xludf.DUMMYFUNCTION("""COMPUTED_VALUE"""),"GC - V - 4765 - CTY QUANG ĐĂNG AGRICULTURE - DIỆP LỤC TỐ SUPER ZINC+ QĐ GREEN (Nước trắng sữa) - 500ml - 40")</f>
        <v>GC - V - 4765 - CTY QUANG ĐĂNG AGRICULTURE - DIỆP LỤC TỐ SUPER ZINC+ QĐ GREEN (Nước trắng sữa) - 500ml - 40</v>
      </c>
    </row>
    <row r="5707">
      <c r="A5707" s="86">
        <f>IFERROR(__xludf.DUMMYFUNCTION("""COMPUTED_VALUE"""),5705.0)</f>
        <v>5705</v>
      </c>
      <c r="B5707" s="87" t="str">
        <f>IFERROR(__xludf.DUMMYFUNCTION("""COMPUTED_VALUE"""),"[Nhãn]")</f>
        <v>[Nhãn]</v>
      </c>
      <c r="C5707" s="87" t="str">
        <f>IFERROR(__xludf.DUMMYFUNCTION("""COMPUTED_VALUE"""),"NHG4785")</f>
        <v>NHG4785</v>
      </c>
      <c r="D5707" s="87" t="str">
        <f>IFERROR(__xludf.DUMMYFUNCTION("""COMPUTED_VALUE"""),"[Nhãn] GC - V - 4785 - CTY NGỌC BẢO LONG AGRI - CỨNG CÂY ĐỨNG LÁ (nước trắng xám) - 500ml - 30")</f>
        <v>[Nhãn] GC - V - 4785 - CTY NGỌC BẢO LONG AGRI - CỨNG CÂY ĐỨNG LÁ (nước trắng xám) - 500ml - 30</v>
      </c>
      <c r="E5707" s="87" t="str">
        <f>IFERROR(__xludf.DUMMYFUNCTION("""COMPUTED_VALUE"""),"Vi lượng AGAMA-CANXI BO")</f>
        <v>Vi lượng AGAMA-CANXI BO</v>
      </c>
      <c r="F5707" s="87" t="str">
        <f>IFERROR(__xludf.DUMMYFUNCTION("""COMPUTED_VALUE"""),"HH4785")</f>
        <v>HH4785</v>
      </c>
      <c r="G5707" s="87" t="str">
        <f>IFERROR(__xludf.DUMMYFUNCTION("""COMPUTED_VALUE"""),"GC - V - 4785 - CTY NGỌC BẢO LONG AGRI - CỨNG CÂY ĐỨNG LÁ (nước trắng xám) - 500ml - 30")</f>
        <v>GC - V - 4785 - CTY NGỌC BẢO LONG AGRI - CỨNG CÂY ĐỨNG LÁ (nước trắng xám) - 500ml - 30</v>
      </c>
    </row>
    <row r="5708">
      <c r="A5708" s="86">
        <f>IFERROR(__xludf.DUMMYFUNCTION("""COMPUTED_VALUE"""),5706.0)</f>
        <v>5706</v>
      </c>
      <c r="B5708" s="87" t="str">
        <f>IFERROR(__xludf.DUMMYFUNCTION("""COMPUTED_VALUE"""),"[Nhãn Thùng]")</f>
        <v>[Nhãn Thùng]</v>
      </c>
      <c r="C5708" s="87" t="str">
        <f>IFERROR(__xludf.DUMMYFUNCTION("""COMPUTED_VALUE"""),"NDT4765")</f>
        <v>NDT4765</v>
      </c>
      <c r="D5708" s="87" t="str">
        <f>IFERROR(__xludf.DUMMYFUNCTION("""COMPUTED_VALUE"""),"[Nhãn Thùng] GC - V - 4765 - CTY QUANG ĐĂNG AGRICULTURE - DIỆP LỤC TỐ SUPER ZINC+ QĐ GREEN (Nước trắng sữa) - 500ml - 40")</f>
        <v>[Nhãn Thùng] GC - V - 4765 - CTY QUANG ĐĂNG AGRICULTURE - DIỆP LỤC TỐ SUPER ZINC+ QĐ GREEN (Nước trắng sữa) - 500ml - 40</v>
      </c>
      <c r="E5708" s="87" t="str">
        <f>IFERROR(__xludf.DUMMYFUNCTION("""COMPUTED_VALUE"""),"Vi lượng MICKEY")</f>
        <v>Vi lượng MICKEY</v>
      </c>
      <c r="F5708" s="87" t="str">
        <f>IFERROR(__xludf.DUMMYFUNCTION("""COMPUTED_VALUE"""),"HH4765")</f>
        <v>HH4765</v>
      </c>
      <c r="G5708" s="87" t="str">
        <f>IFERROR(__xludf.DUMMYFUNCTION("""COMPUTED_VALUE"""),"GC - V - 4765 - CTY QUANG ĐĂNG AGRICULTURE - DIỆP LỤC TỐ SUPER ZINC+ QĐ GREEN (Nước trắng sữa) - 500ml - 40")</f>
        <v>GC - V - 4765 - CTY QUANG ĐĂNG AGRICULTURE - DIỆP LỤC TỐ SUPER ZINC+ QĐ GREEN (Nước trắng sữa) - 500ml - 40</v>
      </c>
    </row>
    <row r="5709">
      <c r="A5709" s="86">
        <f>IFERROR(__xludf.DUMMYFUNCTION("""COMPUTED_VALUE"""),5707.0)</f>
        <v>5707</v>
      </c>
      <c r="B5709" s="87" t="str">
        <f>IFERROR(__xludf.DUMMYFUNCTION("""COMPUTED_VALUE"""),"[Nhãn]")</f>
        <v>[Nhãn]</v>
      </c>
      <c r="C5709" s="87" t="str">
        <f>IFERROR(__xludf.DUMMYFUNCTION("""COMPUTED_VALUE"""),"NHG4770")</f>
        <v>NHG4770</v>
      </c>
      <c r="D5709" s="87" t="str">
        <f>IFERROR(__xludf.DUMMYFUNCTION("""COMPUTED_VALUE"""),"[Nhãn] IDA Global - I - 4770 - ĐL CHÍ TOÀN - Flower Top SC Lúa &amp; Rau màu (nước trắng ngà) - 450ml - 40")</f>
        <v>[Nhãn] IDA Global - I - 4770 - ĐL CHÍ TOÀN - Flower Top SC Lúa &amp; Rau màu (nước trắng ngà) - 450ml - 40</v>
      </c>
      <c r="E5709" s="87" t="str">
        <f>IFERROR(__xludf.DUMMYFUNCTION("""COMPUTED_VALUE"""),"Vi lượng Basel IDA 47")</f>
        <v>Vi lượng Basel IDA 47</v>
      </c>
      <c r="F5709" s="87" t="str">
        <f>IFERROR(__xludf.DUMMYFUNCTION("""COMPUTED_VALUE"""),"HH4770")</f>
        <v>HH4770</v>
      </c>
      <c r="G5709" s="87" t="str">
        <f>IFERROR(__xludf.DUMMYFUNCTION("""COMPUTED_VALUE"""),"IDA Global - I - 4770 - ĐL CHÍ TOÀN - Flower Top SC Lúa &amp; Rau màu (nước trắng ngà) - 450ml - 40")</f>
        <v>IDA Global - I - 4770 - ĐL CHÍ TOÀN - Flower Top SC Lúa &amp; Rau màu (nước trắng ngà) - 450ml - 40</v>
      </c>
    </row>
    <row r="5710">
      <c r="A5710" s="86">
        <f>IFERROR(__xludf.DUMMYFUNCTION("""COMPUTED_VALUE"""),5708.0)</f>
        <v>5708</v>
      </c>
      <c r="B5710" s="87" t="str">
        <f>IFERROR(__xludf.DUMMYFUNCTION("""COMPUTED_VALUE"""),"[Nhãn]")</f>
        <v>[Nhãn]</v>
      </c>
      <c r="C5710" s="87" t="str">
        <f>IFERROR(__xludf.DUMMYFUNCTION("""COMPUTED_VALUE"""),"NTN4778")</f>
        <v>NTN4778</v>
      </c>
      <c r="D5710" s="87" t="str">
        <f>IFERROR(__xludf.DUMMYFUNCTION("""COMPUTED_VALUE"""),"[Nhãn] GC - V - 4778 - CTY HÓA NÔNG SHINO - BIM ẤN (Bột cam) - 100gr - 100")</f>
        <v>[Nhãn] GC - V - 4778 - CTY HÓA NÔNG SHINO - BIM ẤN (Bột cam) - 100gr - 100</v>
      </c>
      <c r="E5710" s="87" t="str">
        <f>IFERROR(__xludf.DUMMYFUNCTION("""COMPUTED_VALUE"""),"Pim.Pim 75WP")</f>
        <v>Pim.Pim 75WP</v>
      </c>
      <c r="F5710" s="87" t="str">
        <f>IFERROR(__xludf.DUMMYFUNCTION("""COMPUTED_VALUE"""),"HH4778")</f>
        <v>HH4778</v>
      </c>
      <c r="G5710" s="87" t="str">
        <f>IFERROR(__xludf.DUMMYFUNCTION("""COMPUTED_VALUE"""),"GC - V - 4778 - CTY HÓA NÔNG SHINO - BIM ẤN (Bột cam) - 100gr - 100")</f>
        <v>GC - V - 4778 - CTY HÓA NÔNG SHINO - BIM ẤN (Bột cam) - 100gr - 100</v>
      </c>
    </row>
    <row r="5711">
      <c r="A5711" s="86">
        <f>IFERROR(__xludf.DUMMYFUNCTION("""COMPUTED_VALUE"""),5709.0)</f>
        <v>5709</v>
      </c>
      <c r="B5711" s="87" t="str">
        <f>IFERROR(__xludf.DUMMYFUNCTION("""COMPUTED_VALUE"""),"[Nhãn]")</f>
        <v>[Nhãn]</v>
      </c>
      <c r="C5711" s="87" t="str">
        <f>IFERROR(__xludf.DUMMYFUNCTION("""COMPUTED_VALUE"""),"NHG4548")</f>
        <v>NHG4548</v>
      </c>
      <c r="D5711" s="87" t="str">
        <f>IFERROR(__xludf.DUMMYFUNCTION("""COMPUTED_VALUE"""),"[Nhãn] IDA Global - I - 4548 - CITTIZEN 333 (Nước cam sữa) - 450ml - 40")</f>
        <v>[Nhãn] IDA Global - I - 4548 - CITTIZEN 333 (Nước cam sữa) - 450ml - 40</v>
      </c>
      <c r="E5711" s="87" t="str">
        <f>IFERROR(__xludf.DUMMYFUNCTION("""COMPUTED_VALUE"""),"CITTIZEN 333SC")</f>
        <v>CITTIZEN 333SC</v>
      </c>
      <c r="F5711" s="87" t="str">
        <f>IFERROR(__xludf.DUMMYFUNCTION("""COMPUTED_VALUE"""),"HH4548")</f>
        <v>HH4548</v>
      </c>
      <c r="G5711" s="87" t="str">
        <f>IFERROR(__xludf.DUMMYFUNCTION("""COMPUTED_VALUE"""),"IDA Global - I - 4548 - CITTIZEN 333 (Nước cam sữa) - 450ml - 40")</f>
        <v>IDA Global - I - 4548 - CITTIZEN 333 (Nước cam sữa) - 450ml - 40</v>
      </c>
    </row>
    <row r="5712">
      <c r="A5712" s="86">
        <f>IFERROR(__xludf.DUMMYFUNCTION("""COMPUTED_VALUE"""),5710.0)</f>
        <v>5710</v>
      </c>
      <c r="B5712" s="87" t="str">
        <f>IFERROR(__xludf.DUMMYFUNCTION("""COMPUTED_VALUE"""),"[Nhãn]")</f>
        <v>[Nhãn]</v>
      </c>
      <c r="C5712" s="87" t="str">
        <f>IFERROR(__xludf.DUMMYFUNCTION("""COMPUTED_VALUE"""),"NHG4792")</f>
        <v>NHG4792</v>
      </c>
      <c r="D5712" s="87" t="str">
        <f>IFERROR(__xludf.DUMMYFUNCTION("""COMPUTED_VALUE"""),"[Nhãn] IDA Global - I - 4792 - X-SPIDER (nước đỏ) - 240ml - 40")</f>
        <v>[Nhãn] IDA Global - I - 4792 - X-SPIDER (nước đỏ) - 240ml - 40</v>
      </c>
      <c r="E5712" s="87" t="str">
        <f>IFERROR(__xludf.DUMMYFUNCTION("""COMPUTED_VALUE"""),"CHIM ƯNG 3.8EC")</f>
        <v>CHIM ƯNG 3.8EC</v>
      </c>
      <c r="F5712" s="87" t="str">
        <f>IFERROR(__xludf.DUMMYFUNCTION("""COMPUTED_VALUE"""),"HH4792")</f>
        <v>HH4792</v>
      </c>
      <c r="G5712" s="87" t="str">
        <f>IFERROR(__xludf.DUMMYFUNCTION("""COMPUTED_VALUE"""),"IDA Global - I - 4792 - X-SPIDER (nước đỏ) - 240ml - 40")</f>
        <v>IDA Global - I - 4792 - X-SPIDER (nước đỏ) - 240ml - 40</v>
      </c>
    </row>
    <row r="5713">
      <c r="A5713" s="86">
        <f>IFERROR(__xludf.DUMMYFUNCTION("""COMPUTED_VALUE"""),5711.0)</f>
        <v>5711</v>
      </c>
      <c r="B5713" s="87" t="str">
        <f>IFERROR(__xludf.DUMMYFUNCTION("""COMPUTED_VALUE"""),"[Nhãn]")</f>
        <v>[Nhãn]</v>
      </c>
      <c r="C5713" s="87" t="str">
        <f>IFERROR(__xludf.DUMMYFUNCTION("""COMPUTED_VALUE"""),"NTN4789")</f>
        <v>NTN4789</v>
      </c>
      <c r="D5713" s="87" t="str">
        <f>IFERROR(__xludf.DUMMYFUNCTION("""COMPUTED_VALUE"""),"[Nhãn] GC - V - 4789 - NHP GROUP - THẦN ƯNG (Bột màu trắng) - 60gr - 100")</f>
        <v>[Nhãn] GC - V - 4789 - NHP GROUP - THẦN ƯNG (Bột màu trắng) - 60gr - 100</v>
      </c>
      <c r="E5713" s="87" t="str">
        <f>IFERROR(__xludf.DUMMYFUNCTION("""COMPUTED_VALUE"""),"NOSAU 85WP")</f>
        <v>NOSAU 85WP</v>
      </c>
      <c r="F5713" s="87" t="str">
        <f>IFERROR(__xludf.DUMMYFUNCTION("""COMPUTED_VALUE"""),"HH4789")</f>
        <v>HH4789</v>
      </c>
      <c r="G5713" s="87" t="str">
        <f>IFERROR(__xludf.DUMMYFUNCTION("""COMPUTED_VALUE"""),"GC - V - 4789 - NHP GROUP - THẦN ƯNG (Bột màu trắng) - 60gr - 100")</f>
        <v>GC - V - 4789 - NHP GROUP - THẦN ƯNG (Bột màu trắng) - 60gr - 100</v>
      </c>
    </row>
    <row r="5714">
      <c r="A5714" s="86">
        <f>IFERROR(__xludf.DUMMYFUNCTION("""COMPUTED_VALUE"""),5712.0)</f>
        <v>5712</v>
      </c>
      <c r="B5714" s="87" t="str">
        <f>IFERROR(__xludf.DUMMYFUNCTION("""COMPUTED_VALUE"""),"[Nhãn]")</f>
        <v>[Nhãn]</v>
      </c>
      <c r="C5714" s="87" t="str">
        <f>IFERROR(__xludf.DUMMYFUNCTION("""COMPUTED_VALUE"""),"NTN4787")</f>
        <v>NTN4787</v>
      </c>
      <c r="D5714" s="87" t="str">
        <f>IFERROR(__xludf.DUMMYFUNCTION("""COMPUTED_VALUE"""),"[Nhãn] GC - V - 4787 - NHP GROUP - SẠCH RẦY (Bột trắng ngà) - 100gr - 100")</f>
        <v>[Nhãn] GC - V - 4787 - NHP GROUP - SẠCH RẦY (Bột trắng ngà) - 100gr - 100</v>
      </c>
      <c r="E5714" s="87" t="str">
        <f>IFERROR(__xludf.DUMMYFUNCTION("""COMPUTED_VALUE"""),"THẦN CÔNG GOLD 39WP")</f>
        <v>THẦN CÔNG GOLD 39WP</v>
      </c>
      <c r="F5714" s="87" t="str">
        <f>IFERROR(__xludf.DUMMYFUNCTION("""COMPUTED_VALUE"""),"HH4787")</f>
        <v>HH4787</v>
      </c>
      <c r="G5714" s="87" t="str">
        <f>IFERROR(__xludf.DUMMYFUNCTION("""COMPUTED_VALUE"""),"GC - V - 4787 - NHP GROUP - SẠCH RẦY (Bột trắng ngà) - 100gr - 100")</f>
        <v>GC - V - 4787 - NHP GROUP - SẠCH RẦY (Bột trắng ngà) - 100gr - 100</v>
      </c>
    </row>
    <row r="5715">
      <c r="A5715" s="86">
        <f>IFERROR(__xludf.DUMMYFUNCTION("""COMPUTED_VALUE"""),5713.0)</f>
        <v>5713</v>
      </c>
      <c r="B5715" s="87" t="str">
        <f>IFERROR(__xludf.DUMMYFUNCTION("""COMPUTED_VALUE"""),"[Nhãn]")</f>
        <v>[Nhãn]</v>
      </c>
      <c r="C5715" s="87" t="str">
        <f>IFERROR(__xludf.DUMMYFUNCTION("""COMPUTED_VALUE"""),"NTN4786")</f>
        <v>NTN4786</v>
      </c>
      <c r="D5715" s="87" t="str">
        <f>IFERROR(__xludf.DUMMYFUNCTION("""COMPUTED_VALUE"""),"[Nhãn] GC - V - 4786 - NHP GROUP - ACETA EXTRA (Bột trắng ngà) - 100gr - 100")</f>
        <v>[Nhãn] GC - V - 4786 - NHP GROUP - ACETA EXTRA (Bột trắng ngà) - 100gr - 100</v>
      </c>
      <c r="E5715" s="87" t="str">
        <f>IFERROR(__xludf.DUMMYFUNCTION("""COMPUTED_VALUE"""),"CAYMANGOLD 33WP")</f>
        <v>CAYMANGOLD 33WP</v>
      </c>
      <c r="F5715" s="87" t="str">
        <f>IFERROR(__xludf.DUMMYFUNCTION("""COMPUTED_VALUE"""),"HH4786")</f>
        <v>HH4786</v>
      </c>
      <c r="G5715" s="87" t="str">
        <f>IFERROR(__xludf.DUMMYFUNCTION("""COMPUTED_VALUE"""),"GC - V - 4786 - NHP GROUP - ACETA EXTRA (Bột trắng ngà) - 100gr - 100")</f>
        <v>GC - V - 4786 - NHP GROUP - ACETA EXTRA (Bột trắng ngà) - 100gr - 100</v>
      </c>
    </row>
    <row r="5716">
      <c r="A5716" s="86">
        <f>IFERROR(__xludf.DUMMYFUNCTION("""COMPUTED_VALUE"""),5714.0)</f>
        <v>5714</v>
      </c>
      <c r="B5716" s="87" t="str">
        <f>IFERROR(__xludf.DUMMYFUNCTION("""COMPUTED_VALUE"""),"[Nhãn]")</f>
        <v>[Nhãn]</v>
      </c>
      <c r="C5716" s="87" t="str">
        <f>IFERROR(__xludf.DUMMYFUNCTION("""COMPUTED_VALUE"""),"NHG4794")</f>
        <v>NHG4794</v>
      </c>
      <c r="D5716" s="87" t="str">
        <f>IFERROR(__xludf.DUMMYFUNCTION("""COMPUTED_VALUE"""),"[Nhãn] GC - V - 4794 - NHP Group - BUD P02 (Gel màu tím) - 500ml - 40")</f>
        <v>[Nhãn] GC - V - 4794 - NHP Group - BUD P02 (Gel màu tím) - 500ml - 40</v>
      </c>
      <c r="E5716" s="87" t="str">
        <f>IFERROR(__xludf.DUMMYFUNCTION("""COMPUTED_VALUE"""),"Hỗn Hợp NP AGAMA-AP")</f>
        <v>Hỗn Hợp NP AGAMA-AP</v>
      </c>
      <c r="F5716" s="87" t="str">
        <f>IFERROR(__xludf.DUMMYFUNCTION("""COMPUTED_VALUE"""),"HH4794")</f>
        <v>HH4794</v>
      </c>
      <c r="G5716" s="87" t="str">
        <f>IFERROR(__xludf.DUMMYFUNCTION("""COMPUTED_VALUE"""),"GC - V - 4794 - NHP Group - BUD P02 (Gel màu tím) - 500ml - 40")</f>
        <v>GC - V - 4794 - NHP Group - BUD P02 (Gel màu tím) - 500ml - 40</v>
      </c>
    </row>
    <row r="5717">
      <c r="A5717" s="86">
        <f>IFERROR(__xludf.DUMMYFUNCTION("""COMPUTED_VALUE"""),5715.0)</f>
        <v>5715</v>
      </c>
      <c r="B5717" s="87" t="str">
        <f>IFERROR(__xludf.DUMMYFUNCTION("""COMPUTED_VALUE"""),"[Nhãn]")</f>
        <v>[Nhãn]</v>
      </c>
      <c r="C5717" s="87" t="str">
        <f>IFERROR(__xludf.DUMMYFUNCTION("""COMPUTED_VALUE"""),"NHG4790")</f>
        <v>NHG4790</v>
      </c>
      <c r="D5717" s="87" t="str">
        <f>IFERROR(__xludf.DUMMYFUNCTION("""COMPUTED_VALUE"""),"[Nhãn] GC - V - 4790 - NHP Group - SỬA TƯỚNG SẦU RIÊNG (Nước nâu đen) - 500ml - 40")</f>
        <v>[Nhãn] GC - V - 4790 - NHP Group - SỬA TƯỚNG SẦU RIÊNG (Nước nâu đen) - 500ml - 40</v>
      </c>
      <c r="E5717" s="87" t="str">
        <f>IFERROR(__xludf.DUMMYFUNCTION("""COMPUTED_VALUE"""),"Hữu cơ ORGANIC ĐGP 01")</f>
        <v>Hữu cơ ORGANIC ĐGP 01</v>
      </c>
      <c r="F5717" s="87" t="str">
        <f>IFERROR(__xludf.DUMMYFUNCTION("""COMPUTED_VALUE"""),"HH4790")</f>
        <v>HH4790</v>
      </c>
      <c r="G5717" s="87" t="str">
        <f>IFERROR(__xludf.DUMMYFUNCTION("""COMPUTED_VALUE"""),"GC - V - 4790 - NHP Group - SỬA TƯỚNG SẦU RIÊNG (Nước nâu đen) - 500ml - 40")</f>
        <v>GC - V - 4790 - NHP Group - SỬA TƯỚNG SẦU RIÊNG (Nước nâu đen) - 500ml - 40</v>
      </c>
    </row>
    <row r="5718">
      <c r="A5718" s="86">
        <f>IFERROR(__xludf.DUMMYFUNCTION("""COMPUTED_VALUE"""),5716.0)</f>
        <v>5716</v>
      </c>
      <c r="B5718" s="87" t="str">
        <f>IFERROR(__xludf.DUMMYFUNCTION("""COMPUTED_VALUE"""),"[Nhãn]")</f>
        <v>[Nhãn]</v>
      </c>
      <c r="C5718" s="87" t="str">
        <f>IFERROR(__xludf.DUMMYFUNCTION("""COMPUTED_VALUE"""),"NHG4788")</f>
        <v>NHG4788</v>
      </c>
      <c r="D5718" s="87" t="str">
        <f>IFERROR(__xludf.DUMMYFUNCTION("""COMPUTED_VALUE"""),"[Nhãn] GC - V - 4788 - NHP GROUP - BRETIL SUPER 300EC (Nước vàng trà) - 200ml - 40")</f>
        <v>[Nhãn] GC - V - 4788 - NHP GROUP - BRETIL SUPER 300EC (Nước vàng trà) - 200ml - 40</v>
      </c>
      <c r="E5718" s="87" t="str">
        <f>IFERROR(__xludf.DUMMYFUNCTION("""COMPUTED_VALUE"""),"BRETIL SUPER 300EC")</f>
        <v>BRETIL SUPER 300EC</v>
      </c>
      <c r="F5718" s="87" t="str">
        <f>IFERROR(__xludf.DUMMYFUNCTION("""COMPUTED_VALUE"""),"HH4788")</f>
        <v>HH4788</v>
      </c>
      <c r="G5718" s="87" t="str">
        <f>IFERROR(__xludf.DUMMYFUNCTION("""COMPUTED_VALUE"""),"GC - V - 4788 - NHP GROUP - BRETIL SUPER 300EC (Nước vàng trà) - 200ml - 40")</f>
        <v>GC - V - 4788 - NHP GROUP - BRETIL SUPER 300EC (Nước vàng trà) - 200ml - 40</v>
      </c>
    </row>
    <row r="5719">
      <c r="A5719" s="86">
        <f>IFERROR(__xludf.DUMMYFUNCTION("""COMPUTED_VALUE"""),5717.0)</f>
        <v>5717</v>
      </c>
      <c r="B5719" s="87" t="str">
        <f>IFERROR(__xludf.DUMMYFUNCTION("""COMPUTED_VALUE"""),"[Nhãn Thùng]")</f>
        <v>[Nhãn Thùng]</v>
      </c>
      <c r="C5719" s="87" t="str">
        <f>IFERROR(__xludf.DUMMYFUNCTION("""COMPUTED_VALUE"""),"NDT4778")</f>
        <v>NDT4778</v>
      </c>
      <c r="D5719" s="87" t="str">
        <f>IFERROR(__xludf.DUMMYFUNCTION("""COMPUTED_VALUE"""),"[Nhãn Thùng] GC - V - 4778 - CTY HÓA NÔNG SHINO - BIM ẤN (Bột cam) - 100gr - 100")</f>
        <v>[Nhãn Thùng] GC - V - 4778 - CTY HÓA NÔNG SHINO - BIM ẤN (Bột cam) - 100gr - 100</v>
      </c>
      <c r="E5719" s="87" t="str">
        <f>IFERROR(__xludf.DUMMYFUNCTION("""COMPUTED_VALUE"""),"Pim.Pim 75WP")</f>
        <v>Pim.Pim 75WP</v>
      </c>
      <c r="F5719" s="87" t="str">
        <f>IFERROR(__xludf.DUMMYFUNCTION("""COMPUTED_VALUE"""),"HH4778")</f>
        <v>HH4778</v>
      </c>
      <c r="G5719" s="87" t="str">
        <f>IFERROR(__xludf.DUMMYFUNCTION("""COMPUTED_VALUE"""),"GC - V - 4778 - CTY HÓA NÔNG SHINO - BIM ẤN (Bột cam) - 100gr - 100")</f>
        <v>GC - V - 4778 - CTY HÓA NÔNG SHINO - BIM ẤN (Bột cam) - 100gr - 100</v>
      </c>
    </row>
    <row r="5720">
      <c r="A5720" s="86">
        <f>IFERROR(__xludf.DUMMYFUNCTION("""COMPUTED_VALUE"""),5718.0)</f>
        <v>5718</v>
      </c>
      <c r="B5720" s="87" t="str">
        <f>IFERROR(__xludf.DUMMYFUNCTION("""COMPUTED_VALUE"""),"[Nhãn Thùng]")</f>
        <v>[Nhãn Thùng]</v>
      </c>
      <c r="C5720" s="87" t="str">
        <f>IFERROR(__xludf.DUMMYFUNCTION("""COMPUTED_VALUE"""),"NDT4789")</f>
        <v>NDT4789</v>
      </c>
      <c r="D5720" s="87" t="str">
        <f>IFERROR(__xludf.DUMMYFUNCTION("""COMPUTED_VALUE"""),"[Nhãn Thùng] GC - V - 4789 - NHP GROUP - THẦN ƯNG (Bột màu trắng) - 60gr - 100")</f>
        <v>[Nhãn Thùng] GC - V - 4789 - NHP GROUP - THẦN ƯNG (Bột màu trắng) - 60gr - 100</v>
      </c>
      <c r="E5720" s="87" t="str">
        <f>IFERROR(__xludf.DUMMYFUNCTION("""COMPUTED_VALUE"""),"NOSAU 85WP")</f>
        <v>NOSAU 85WP</v>
      </c>
      <c r="F5720" s="87" t="str">
        <f>IFERROR(__xludf.DUMMYFUNCTION("""COMPUTED_VALUE"""),"HH4789")</f>
        <v>HH4789</v>
      </c>
      <c r="G5720" s="87" t="str">
        <f>IFERROR(__xludf.DUMMYFUNCTION("""COMPUTED_VALUE"""),"GC - V - 4789 - NHP GROUP - THẦN ƯNG (Bột màu trắng) - 60gr - 100")</f>
        <v>GC - V - 4789 - NHP GROUP - THẦN ƯNG (Bột màu trắng) - 60gr - 100</v>
      </c>
    </row>
    <row r="5721">
      <c r="A5721" s="86">
        <f>IFERROR(__xludf.DUMMYFUNCTION("""COMPUTED_VALUE"""),5719.0)</f>
        <v>5719</v>
      </c>
      <c r="B5721" s="87" t="str">
        <f>IFERROR(__xludf.DUMMYFUNCTION("""COMPUTED_VALUE"""),"[Nhãn Thùng]")</f>
        <v>[Nhãn Thùng]</v>
      </c>
      <c r="C5721" s="87" t="str">
        <f>IFERROR(__xludf.DUMMYFUNCTION("""COMPUTED_VALUE"""),"NDT4787")</f>
        <v>NDT4787</v>
      </c>
      <c r="D5721" s="87" t="str">
        <f>IFERROR(__xludf.DUMMYFUNCTION("""COMPUTED_VALUE"""),"[Nhãn Thùng] GC - V - 4787 - NHP GROUP - SẠCH RẦY (Bột trắng ngà) - 100gr - 100")</f>
        <v>[Nhãn Thùng] GC - V - 4787 - NHP GROUP - SẠCH RẦY (Bột trắng ngà) - 100gr - 100</v>
      </c>
      <c r="E5721" s="87" t="str">
        <f>IFERROR(__xludf.DUMMYFUNCTION("""COMPUTED_VALUE"""),"THẦN CÔNG GOLD 39WP")</f>
        <v>THẦN CÔNG GOLD 39WP</v>
      </c>
      <c r="F5721" s="87" t="str">
        <f>IFERROR(__xludf.DUMMYFUNCTION("""COMPUTED_VALUE"""),"HH4787")</f>
        <v>HH4787</v>
      </c>
      <c r="G5721" s="87" t="str">
        <f>IFERROR(__xludf.DUMMYFUNCTION("""COMPUTED_VALUE"""),"GC - V - 4787 - NHP GROUP - SẠCH RẦY (Bột trắng ngà) - 100gr - 100")</f>
        <v>GC - V - 4787 - NHP GROUP - SẠCH RẦY (Bột trắng ngà) - 100gr - 100</v>
      </c>
    </row>
    <row r="5722">
      <c r="A5722" s="86">
        <f>IFERROR(__xludf.DUMMYFUNCTION("""COMPUTED_VALUE"""),5720.0)</f>
        <v>5720</v>
      </c>
      <c r="B5722" s="87" t="str">
        <f>IFERROR(__xludf.DUMMYFUNCTION("""COMPUTED_VALUE"""),"[Nhãn Thùng]")</f>
        <v>[Nhãn Thùng]</v>
      </c>
      <c r="C5722" s="87" t="str">
        <f>IFERROR(__xludf.DUMMYFUNCTION("""COMPUTED_VALUE"""),"NDT4786")</f>
        <v>NDT4786</v>
      </c>
      <c r="D5722" s="87" t="str">
        <f>IFERROR(__xludf.DUMMYFUNCTION("""COMPUTED_VALUE"""),"[Nhãn Thùng] GC - V - 4786 - NHP GROUP - ACETA EXTRA (Bột trắng ngà) - 100gr - 100")</f>
        <v>[Nhãn Thùng] GC - V - 4786 - NHP GROUP - ACETA EXTRA (Bột trắng ngà) - 100gr - 100</v>
      </c>
      <c r="E5722" s="87" t="str">
        <f>IFERROR(__xludf.DUMMYFUNCTION("""COMPUTED_VALUE"""),"CAYMANGOLD 33WP")</f>
        <v>CAYMANGOLD 33WP</v>
      </c>
      <c r="F5722" s="87" t="str">
        <f>IFERROR(__xludf.DUMMYFUNCTION("""COMPUTED_VALUE"""),"HH4786")</f>
        <v>HH4786</v>
      </c>
      <c r="G5722" s="87" t="str">
        <f>IFERROR(__xludf.DUMMYFUNCTION("""COMPUTED_VALUE"""),"GC - V - 4786 - NHP GROUP - ACETA EXTRA (Bột trắng ngà) - 100gr - 100")</f>
        <v>GC - V - 4786 - NHP GROUP - ACETA EXTRA (Bột trắng ngà) - 100gr - 100</v>
      </c>
    </row>
    <row r="5723">
      <c r="A5723" s="86">
        <f>IFERROR(__xludf.DUMMYFUNCTION("""COMPUTED_VALUE"""),5721.0)</f>
        <v>5721</v>
      </c>
      <c r="B5723" s="87" t="str">
        <f>IFERROR(__xludf.DUMMYFUNCTION("""COMPUTED_VALUE"""),"[Nhãn]")</f>
        <v>[Nhãn]</v>
      </c>
      <c r="C5723" s="87" t="str">
        <f>IFERROR(__xludf.DUMMYFUNCTION("""COMPUTED_VALUE"""),"NHD4800")</f>
        <v>NHD4800</v>
      </c>
      <c r="D5723" s="87" t="str">
        <f>IFERROR(__xludf.DUMMYFUNCTION("""COMPUTED_VALUE"""),"[Nhãn] GC - V - 4800 - CTY DONA VINA - CANXIBO MAXI (Nước trắng sữa) - 500ml - 40")</f>
        <v>[Nhãn] GC - V - 4800 - CTY DONA VINA - CANXIBO MAXI (Nước trắng sữa) - 500ml - 40</v>
      </c>
      <c r="E5723" s="87" t="str">
        <f>IFERROR(__xludf.DUMMYFUNCTION("""COMPUTED_VALUE"""),"Vi lượng AGAMA-CANXI BO")</f>
        <v>Vi lượng AGAMA-CANXI BO</v>
      </c>
      <c r="F5723" s="87" t="str">
        <f>IFERROR(__xludf.DUMMYFUNCTION("""COMPUTED_VALUE"""),"HH4800")</f>
        <v>HH4800</v>
      </c>
      <c r="G5723" s="87" t="str">
        <f>IFERROR(__xludf.DUMMYFUNCTION("""COMPUTED_VALUE"""),"GC - V - 4800 - CTY DONA VINA - CANXIBO MAXI (Nước trắng sữa) - 500ml - 40")</f>
        <v>GC - V - 4800 - CTY DONA VINA - CANXIBO MAXI (Nước trắng sữa) - 500ml - 40</v>
      </c>
    </row>
    <row r="5724">
      <c r="A5724" s="86">
        <f>IFERROR(__xludf.DUMMYFUNCTION("""COMPUTED_VALUE"""),5722.0)</f>
        <v>5722</v>
      </c>
      <c r="B5724" s="87" t="str">
        <f>IFERROR(__xludf.DUMMYFUNCTION("""COMPUTED_VALUE"""),"[Nhãn]")</f>
        <v>[Nhãn]</v>
      </c>
      <c r="C5724" s="87" t="str">
        <f>IFERROR(__xludf.DUMMYFUNCTION("""COMPUTED_VALUE"""),"NHG4783")</f>
        <v>NHG4783</v>
      </c>
      <c r="D5724" s="87" t="str">
        <f>IFERROR(__xludf.DUMMYFUNCTION("""COMPUTED_VALUE"""),"[Nhãn] GC - V - 4783 - CTY NEWTEX - SK-01 (Nước xanh bơ sữa) - 400ml - 30")</f>
        <v>[Nhãn] GC - V - 4783 - CTY NEWTEX - SK-01 (Nước xanh bơ sữa) - 400ml - 30</v>
      </c>
      <c r="E5724" s="87" t="str">
        <f>IFERROR(__xludf.DUMMYFUNCTION("""COMPUTED_VALUE"""),"MITOP ONE 390SC")</f>
        <v>MITOP ONE 390SC</v>
      </c>
      <c r="F5724" s="87" t="str">
        <f>IFERROR(__xludf.DUMMYFUNCTION("""COMPUTED_VALUE"""),"HH4783")</f>
        <v>HH4783</v>
      </c>
      <c r="G5724" s="87" t="str">
        <f>IFERROR(__xludf.DUMMYFUNCTION("""COMPUTED_VALUE"""),"GC - V - 4783 - CTY NEWTEX - SK-01 (Nước xanh bơ sữa) - 400ml - 30")</f>
        <v>GC - V - 4783 - CTY NEWTEX - SK-01 (Nước xanh bơ sữa) - 400ml - 30</v>
      </c>
    </row>
    <row r="5725">
      <c r="A5725" s="86">
        <f>IFERROR(__xludf.DUMMYFUNCTION("""COMPUTED_VALUE"""),5723.0)</f>
        <v>5723</v>
      </c>
      <c r="B5725" s="87" t="str">
        <f>IFERROR(__xludf.DUMMYFUNCTION("""COMPUTED_VALUE"""),"[Nhãn]")</f>
        <v>[Nhãn]</v>
      </c>
      <c r="C5725" s="87" t="str">
        <f>IFERROR(__xludf.DUMMYFUNCTION("""COMPUTED_VALUE"""),"NHD4626")</f>
        <v>NHD4626</v>
      </c>
      <c r="D5725" s="87" t="str">
        <f>IFERROR(__xludf.DUMMYFUNCTION("""COMPUTED_VALUE"""),"[Nhãn] GC - V - 4626 - CSSX An Khang (A.Dinh) - TAK06 (Gel nâu đen) - 5L - 4")</f>
        <v>[Nhãn] GC - V - 4626 - CSSX An Khang (A.Dinh) - TAK06 (Gel nâu đen) - 5L - 4</v>
      </c>
      <c r="E5725" s="87" t="str">
        <f>IFERROR(__xludf.DUMMYFUNCTION("""COMPUTED_VALUE"""),"Vi lượng Run Fast")</f>
        <v>Vi lượng Run Fast</v>
      </c>
      <c r="F5725" s="87" t="str">
        <f>IFERROR(__xludf.DUMMYFUNCTION("""COMPUTED_VALUE"""),"HH4626")</f>
        <v>HH4626</v>
      </c>
      <c r="G5725" s="87" t="str">
        <f>IFERROR(__xludf.DUMMYFUNCTION("""COMPUTED_VALUE"""),"GC - V - 4626 - CSSX An Khang (A.Dinh) - TAK06 (Gel nâu đen) - 5L - 4")</f>
        <v>GC - V - 4626 - CSSX An Khang (A.Dinh) - TAK06 (Gel nâu đen) - 5L - 4</v>
      </c>
    </row>
    <row r="5726">
      <c r="A5726" s="86">
        <f>IFERROR(__xludf.DUMMYFUNCTION("""COMPUTED_VALUE"""),5724.0)</f>
        <v>5724</v>
      </c>
      <c r="B5726" s="87" t="str">
        <f>IFERROR(__xludf.DUMMYFUNCTION("""COMPUTED_VALUE"""),"[Nhãn]")</f>
        <v>[Nhãn]</v>
      </c>
      <c r="C5726" s="87" t="str">
        <f>IFERROR(__xludf.DUMMYFUNCTION("""COMPUTED_VALUE"""),"NHG4805")</f>
        <v>NHG4805</v>
      </c>
      <c r="D5726" s="87" t="str">
        <f>IFERROR(__xludf.DUMMYFUNCTION("""COMPUTED_VALUE"""),"[Nhãn] GC - V - 4805 - AGRITECH HÀ LAN - THIPRO 550EC (Nước tím) - 120ml - 100")</f>
        <v>[Nhãn] GC - V - 4805 - AGRITECH HÀ LAN - THIPRO 550EC (Nước tím) - 120ml - 100</v>
      </c>
      <c r="E5726" s="87" t="str">
        <f>IFERROR(__xludf.DUMMYFUNCTION("""COMPUTED_VALUE"""),"Thipro 550EC")</f>
        <v>Thipro 550EC</v>
      </c>
      <c r="F5726" s="87" t="str">
        <f>IFERROR(__xludf.DUMMYFUNCTION("""COMPUTED_VALUE"""),"HH4805")</f>
        <v>HH4805</v>
      </c>
      <c r="G5726" s="87" t="str">
        <f>IFERROR(__xludf.DUMMYFUNCTION("""COMPUTED_VALUE"""),"GC - V - 4805 - AGRITECH HÀ LAN - THIPRO 550EC (Nước tím) - 120ml - 100")</f>
        <v>GC - V - 4805 - AGRITECH HÀ LAN - THIPRO 550EC (Nước tím) - 120ml - 100</v>
      </c>
    </row>
    <row r="5727">
      <c r="A5727" s="86">
        <f>IFERROR(__xludf.DUMMYFUNCTION("""COMPUTED_VALUE"""),5725.0)</f>
        <v>5725</v>
      </c>
      <c r="B5727" s="87" t="str">
        <f>IFERROR(__xludf.DUMMYFUNCTION("""COMPUTED_VALUE"""),"[Nhãn]")</f>
        <v>[Nhãn]</v>
      </c>
      <c r="C5727" s="87" t="str">
        <f>IFERROR(__xludf.DUMMYFUNCTION("""COMPUTED_VALUE"""),"NHD4500")</f>
        <v>NHD4500</v>
      </c>
      <c r="D5727" s="87" t="str">
        <f>IFERROR(__xludf.DUMMYFUNCTION("""COMPUTED_VALUE"""),"[Nhãn] GC - V - 4500 - CTY QUANG ĐĂNG AGRICULTURE - QĐ-RICE GOLD (Nước đỏ cam) - 500ml - 40")</f>
        <v>[Nhãn] GC - V - 4500 - CTY QUANG ĐĂNG AGRICULTURE - QĐ-RICE GOLD (Nước đỏ cam) - 500ml - 40</v>
      </c>
      <c r="E5727" s="87" t="str">
        <f>IFERROR(__xludf.DUMMYFUNCTION("""COMPUTED_VALUE"""),"NPK-Vi lượng MASSIVE-BLUE")</f>
        <v>NPK-Vi lượng MASSIVE-BLUE</v>
      </c>
      <c r="F5727" s="87" t="str">
        <f>IFERROR(__xludf.DUMMYFUNCTION("""COMPUTED_VALUE"""),"HH4500")</f>
        <v>HH4500</v>
      </c>
      <c r="G5727" s="87" t="str">
        <f>IFERROR(__xludf.DUMMYFUNCTION("""COMPUTED_VALUE"""),"GC - V - 4500 - CTY QUANG ĐĂNG AGRICULTURE - QĐ-RICE GOLD (Nước đỏ cam) - 500ml - 40")</f>
        <v>GC - V - 4500 - CTY QUANG ĐĂNG AGRICULTURE - QĐ-RICE GOLD (Nước đỏ cam) - 500ml - 40</v>
      </c>
    </row>
    <row r="5728">
      <c r="A5728" s="86">
        <f>IFERROR(__xludf.DUMMYFUNCTION("""COMPUTED_VALUE"""),5726.0)</f>
        <v>5726</v>
      </c>
      <c r="B5728" s="87" t="str">
        <f>IFERROR(__xludf.DUMMYFUNCTION("""COMPUTED_VALUE"""),"[Nhãn]")</f>
        <v>[Nhãn]</v>
      </c>
      <c r="C5728" s="87" t="str">
        <f>IFERROR(__xludf.DUMMYFUNCTION("""COMPUTED_VALUE"""),"NHD4499")</f>
        <v>NHD4499</v>
      </c>
      <c r="D5728" s="87" t="str">
        <f>IFERROR(__xludf.DUMMYFUNCTION("""COMPUTED_VALUE"""),"[Nhãn] GC - V - 4499 - CTY QUANG ĐĂNG AGRICULTURE - QĐ-BLOOM ELITE (Nước nâu đen) - 500ml - 40")</f>
        <v>[Nhãn] GC - V - 4499 - CTY QUANG ĐĂNG AGRICULTURE - QĐ-BLOOM ELITE (Nước nâu đen) - 500ml - 40</v>
      </c>
      <c r="E5728" s="87" t="str">
        <f>IFERROR(__xludf.DUMMYFUNCTION("""COMPUTED_VALUE"""),"vi lượng HELP FARMER_3")</f>
        <v>vi lượng HELP FARMER_3</v>
      </c>
      <c r="F5728" s="87" t="str">
        <f>IFERROR(__xludf.DUMMYFUNCTION("""COMPUTED_VALUE"""),"HH4499")</f>
        <v>HH4499</v>
      </c>
      <c r="G5728" s="87" t="str">
        <f>IFERROR(__xludf.DUMMYFUNCTION("""COMPUTED_VALUE"""),"GC - V - 4499 - CTY QUANG ĐĂNG AGRICULTURE - QĐ-BLOOM ELITE (Nước nâu đen) - 500ml - 40")</f>
        <v>GC - V - 4499 - CTY QUANG ĐĂNG AGRICULTURE - QĐ-BLOOM ELITE (Nước nâu đen) - 500ml - 40</v>
      </c>
    </row>
    <row r="5729">
      <c r="A5729" s="86">
        <f>IFERROR(__xludf.DUMMYFUNCTION("""COMPUTED_VALUE"""),5727.0)</f>
        <v>5727</v>
      </c>
      <c r="B5729" s="87" t="str">
        <f>IFERROR(__xludf.DUMMYFUNCTION("""COMPUTED_VALUE"""),"[Nhãn]")</f>
        <v>[Nhãn]</v>
      </c>
      <c r="C5729" s="87" t="str">
        <f>IFERROR(__xludf.DUMMYFUNCTION("""COMPUTED_VALUE"""),"NHD4477")</f>
        <v>NHD4477</v>
      </c>
      <c r="D5729" s="87" t="str">
        <f>IFERROR(__xludf.DUMMYFUNCTION("""COMPUTED_VALUE"""),"[Nhãn] GC - IV - 4477 - CTY QUANG ĐĂNG AGRICULTURE - QĐ.PHOSKA + POWER (Nước xanh dương nhạt) - 500ml - 40")</f>
        <v>[Nhãn] GC - IV - 4477 - CTY QUANG ĐĂNG AGRICULTURE - QĐ.PHOSKA + POWER (Nước xanh dương nhạt) - 500ml - 40</v>
      </c>
      <c r="E5729" s="87" t="str">
        <f>IFERROR(__xludf.DUMMYFUNCTION("""COMPUTED_VALUE"""),"Lá Hỗn Hợp PK AGRI FOS AB")</f>
        <v>Lá Hỗn Hợp PK AGRI FOS AB</v>
      </c>
      <c r="F5729" s="87" t="str">
        <f>IFERROR(__xludf.DUMMYFUNCTION("""COMPUTED_VALUE"""),"HH4477")</f>
        <v>HH4477</v>
      </c>
      <c r="G5729" s="87" t="str">
        <f>IFERROR(__xludf.DUMMYFUNCTION("""COMPUTED_VALUE"""),"GC - IV - 4477 - CTY QUANG ĐĂNG AGRICULTURE - QĐ.PHOSKA + POWER (Nước xanh dương nhạt) - 500ml - 40")</f>
        <v>GC - IV - 4477 - CTY QUANG ĐĂNG AGRICULTURE - QĐ.PHOSKA + POWER (Nước xanh dương nhạt) - 500ml - 40</v>
      </c>
    </row>
    <row r="5730">
      <c r="A5730" s="86">
        <f>IFERROR(__xludf.DUMMYFUNCTION("""COMPUTED_VALUE"""),5728.0)</f>
        <v>5728</v>
      </c>
      <c r="B5730" s="87" t="str">
        <f>IFERROR(__xludf.DUMMYFUNCTION("""COMPUTED_VALUE"""),"[Nhãn]")</f>
        <v>[Nhãn]</v>
      </c>
      <c r="C5730" s="87" t="str">
        <f>IFERROR(__xludf.DUMMYFUNCTION("""COMPUTED_VALUE"""),"NHD4476")</f>
        <v>NHD4476</v>
      </c>
      <c r="D5730" s="87" t="str">
        <f>IFERROR(__xludf.DUMMYFUNCTION("""COMPUTED_VALUE"""),"[Nhãn] GC - V - 4476 - CTY QUANG ĐĂNG AGRICULTURE -QĐ-TITAN FORCE (Nước nâu đen) - 500ml - 40")</f>
        <v>[Nhãn] GC - V - 4476 - CTY QUANG ĐĂNG AGRICULTURE -QĐ-TITAN FORCE (Nước nâu đen) - 500ml - 40</v>
      </c>
      <c r="E5730" s="87" t="str">
        <f>IFERROR(__xludf.DUMMYFUNCTION("""COMPUTED_VALUE"""),"Hữu Cơ Crops Care")</f>
        <v>Hữu Cơ Crops Care</v>
      </c>
      <c r="F5730" s="87" t="str">
        <f>IFERROR(__xludf.DUMMYFUNCTION("""COMPUTED_VALUE"""),"HH4476")</f>
        <v>HH4476</v>
      </c>
      <c r="G5730" s="87" t="str">
        <f>IFERROR(__xludf.DUMMYFUNCTION("""COMPUTED_VALUE"""),"GC - V - 4476 - CTY QUANG ĐĂNG AGRICULTURE -QĐ-TITAN FORCE (Nước nâu đen) - 500ml - 40")</f>
        <v>GC - V - 4476 - CTY QUANG ĐĂNG AGRICULTURE -QĐ-TITAN FORCE (Nước nâu đen) - 500ml - 40</v>
      </c>
    </row>
    <row r="5731">
      <c r="A5731" s="86">
        <f>IFERROR(__xludf.DUMMYFUNCTION("""COMPUTED_VALUE"""),5729.0)</f>
        <v>5729</v>
      </c>
      <c r="B5731" s="87" t="str">
        <f>IFERROR(__xludf.DUMMYFUNCTION("""COMPUTED_VALUE"""),"[Nhãn Thùng]")</f>
        <v>[Nhãn Thùng]</v>
      </c>
      <c r="C5731" s="87" t="str">
        <f>IFERROR(__xludf.DUMMYFUNCTION("""COMPUTED_VALUE"""),"NDT4800")</f>
        <v>NDT4800</v>
      </c>
      <c r="D5731" s="87" t="str">
        <f>IFERROR(__xludf.DUMMYFUNCTION("""COMPUTED_VALUE"""),"[Nhãn Thùng] GC - V - 4800 - CTY DONA VINA - CANXIBO MAXI (Nước trắng sữa) - 500ml - 40")</f>
        <v>[Nhãn Thùng] GC - V - 4800 - CTY DONA VINA - CANXIBO MAXI (Nước trắng sữa) - 500ml - 40</v>
      </c>
      <c r="E5731" s="87" t="str">
        <f>IFERROR(__xludf.DUMMYFUNCTION("""COMPUTED_VALUE"""),"Vi lượng AGAMA-CANXI BO")</f>
        <v>Vi lượng AGAMA-CANXI BO</v>
      </c>
      <c r="F5731" s="87" t="str">
        <f>IFERROR(__xludf.DUMMYFUNCTION("""COMPUTED_VALUE"""),"HH4800")</f>
        <v>HH4800</v>
      </c>
      <c r="G5731" s="87" t="str">
        <f>IFERROR(__xludf.DUMMYFUNCTION("""COMPUTED_VALUE"""),"GC - V - 4800 - CTY DONA VINA - CANXIBO MAXI (Nước trắng sữa) - 500ml - 40")</f>
        <v>GC - V - 4800 - CTY DONA VINA - CANXIBO MAXI (Nước trắng sữa) - 500ml - 40</v>
      </c>
    </row>
    <row r="5732">
      <c r="A5732" s="86">
        <f>IFERROR(__xludf.DUMMYFUNCTION("""COMPUTED_VALUE"""),5730.0)</f>
        <v>5730</v>
      </c>
      <c r="B5732" s="87" t="str">
        <f>IFERROR(__xludf.DUMMYFUNCTION("""COMPUTED_VALUE"""),"[Nhãn Thùng]")</f>
        <v>[Nhãn Thùng]</v>
      </c>
      <c r="C5732" s="87" t="str">
        <f>IFERROR(__xludf.DUMMYFUNCTION("""COMPUTED_VALUE"""),"NDT4626")</f>
        <v>NDT4626</v>
      </c>
      <c r="D5732" s="87" t="str">
        <f>IFERROR(__xludf.DUMMYFUNCTION("""COMPUTED_VALUE"""),"[Nhãn Thùng] GC - V - 4626 - CSSX An Khang (A.Dinh) - TAK06 (Gel nâu đen) - 5L - 4")</f>
        <v>[Nhãn Thùng] GC - V - 4626 - CSSX An Khang (A.Dinh) - TAK06 (Gel nâu đen) - 5L - 4</v>
      </c>
      <c r="E5732" s="87" t="str">
        <f>IFERROR(__xludf.DUMMYFUNCTION("""COMPUTED_VALUE"""),"Vi lượng Run Fast")</f>
        <v>Vi lượng Run Fast</v>
      </c>
      <c r="F5732" s="87" t="str">
        <f>IFERROR(__xludf.DUMMYFUNCTION("""COMPUTED_VALUE"""),"HH4626")</f>
        <v>HH4626</v>
      </c>
      <c r="G5732" s="87" t="str">
        <f>IFERROR(__xludf.DUMMYFUNCTION("""COMPUTED_VALUE"""),"GC - V - 4626 - CSSX An Khang (A.Dinh) - TAK06 (Gel nâu đen) - 5L - 4")</f>
        <v>GC - V - 4626 - CSSX An Khang (A.Dinh) - TAK06 (Gel nâu đen) - 5L - 4</v>
      </c>
    </row>
    <row r="5733">
      <c r="A5733" s="86">
        <f>IFERROR(__xludf.DUMMYFUNCTION("""COMPUTED_VALUE"""),5731.0)</f>
        <v>5731</v>
      </c>
      <c r="B5733" s="87" t="str">
        <f>IFERROR(__xludf.DUMMYFUNCTION("""COMPUTED_VALUE"""),"[Nhãn Thùng]")</f>
        <v>[Nhãn Thùng]</v>
      </c>
      <c r="C5733" s="87" t="str">
        <f>IFERROR(__xludf.DUMMYFUNCTION("""COMPUTED_VALUE"""),"NDT4500")</f>
        <v>NDT4500</v>
      </c>
      <c r="D5733" s="87" t="str">
        <f>IFERROR(__xludf.DUMMYFUNCTION("""COMPUTED_VALUE"""),"[Nhãn Thùng] GC - V - 4500 - CTY QUANG ĐĂNG AGRICULTURE - QĐ-RICE GOLD (Nước đỏ cam) - 500ml - 40")</f>
        <v>[Nhãn Thùng] GC - V - 4500 - CTY QUANG ĐĂNG AGRICULTURE - QĐ-RICE GOLD (Nước đỏ cam) - 500ml - 40</v>
      </c>
      <c r="E5733" s="87" t="str">
        <f>IFERROR(__xludf.DUMMYFUNCTION("""COMPUTED_VALUE"""),"NPK-Vi lượng MASSIVE-BLUE")</f>
        <v>NPK-Vi lượng MASSIVE-BLUE</v>
      </c>
      <c r="F5733" s="87" t="str">
        <f>IFERROR(__xludf.DUMMYFUNCTION("""COMPUTED_VALUE"""),"HH4500")</f>
        <v>HH4500</v>
      </c>
      <c r="G5733" s="87" t="str">
        <f>IFERROR(__xludf.DUMMYFUNCTION("""COMPUTED_VALUE"""),"GC - V - 4500 - CTY QUANG ĐĂNG AGRICULTURE - QĐ-RICE GOLD (Nước đỏ cam) - 500ml - 40")</f>
        <v>GC - V - 4500 - CTY QUANG ĐĂNG AGRICULTURE - QĐ-RICE GOLD (Nước đỏ cam) - 500ml - 40</v>
      </c>
    </row>
    <row r="5734">
      <c r="A5734" s="86">
        <f>IFERROR(__xludf.DUMMYFUNCTION("""COMPUTED_VALUE"""),5732.0)</f>
        <v>5732</v>
      </c>
      <c r="B5734" s="87" t="str">
        <f>IFERROR(__xludf.DUMMYFUNCTION("""COMPUTED_VALUE"""),"[Nhãn Thùng]")</f>
        <v>[Nhãn Thùng]</v>
      </c>
      <c r="C5734" s="87" t="str">
        <f>IFERROR(__xludf.DUMMYFUNCTION("""COMPUTED_VALUE"""),"NDT4499")</f>
        <v>NDT4499</v>
      </c>
      <c r="D5734" s="87" t="str">
        <f>IFERROR(__xludf.DUMMYFUNCTION("""COMPUTED_VALUE"""),"[Nhãn Thùng] GC - V - 4499 - CTY QUANG ĐĂNG AGRICULTURE - QĐ-BLOOM ELITE (Nước nâu đen) - 500ml - 40")</f>
        <v>[Nhãn Thùng] GC - V - 4499 - CTY QUANG ĐĂNG AGRICULTURE - QĐ-BLOOM ELITE (Nước nâu đen) - 500ml - 40</v>
      </c>
      <c r="E5734" s="87" t="str">
        <f>IFERROR(__xludf.DUMMYFUNCTION("""COMPUTED_VALUE"""),"vi lượng HELP FARMER_3")</f>
        <v>vi lượng HELP FARMER_3</v>
      </c>
      <c r="F5734" s="87" t="str">
        <f>IFERROR(__xludf.DUMMYFUNCTION("""COMPUTED_VALUE"""),"HH4499")</f>
        <v>HH4499</v>
      </c>
      <c r="G5734" s="87" t="str">
        <f>IFERROR(__xludf.DUMMYFUNCTION("""COMPUTED_VALUE"""),"GC - V - 4499 - CTY QUANG ĐĂNG AGRICULTURE - QĐ-BLOOM ELITE (Nước nâu đen) - 500ml - 40")</f>
        <v>GC - V - 4499 - CTY QUANG ĐĂNG AGRICULTURE - QĐ-BLOOM ELITE (Nước nâu đen) - 500ml - 40</v>
      </c>
    </row>
    <row r="5735">
      <c r="A5735" s="86">
        <f>IFERROR(__xludf.DUMMYFUNCTION("""COMPUTED_VALUE"""),5733.0)</f>
        <v>5733</v>
      </c>
      <c r="B5735" s="87" t="str">
        <f>IFERROR(__xludf.DUMMYFUNCTION("""COMPUTED_VALUE"""),"[Nhãn Thùng]")</f>
        <v>[Nhãn Thùng]</v>
      </c>
      <c r="C5735" s="87" t="str">
        <f>IFERROR(__xludf.DUMMYFUNCTION("""COMPUTED_VALUE"""),"NDT4477")</f>
        <v>NDT4477</v>
      </c>
      <c r="D5735" s="87" t="str">
        <f>IFERROR(__xludf.DUMMYFUNCTION("""COMPUTED_VALUE"""),"[Nhãn Thùng] GC - IV - 4477 - CTY QUANG ĐĂNG AGRICULTURE - QĐ.PHOSKA + POWER (Nước xanh dương nhạt) - 500ml - 40")</f>
        <v>[Nhãn Thùng] GC - IV - 4477 - CTY QUANG ĐĂNG AGRICULTURE - QĐ.PHOSKA + POWER (Nước xanh dương nhạt) - 500ml - 40</v>
      </c>
      <c r="E5735" s="87" t="str">
        <f>IFERROR(__xludf.DUMMYFUNCTION("""COMPUTED_VALUE"""),"Lá Hỗn Hợp PK AGRI FOS AB")</f>
        <v>Lá Hỗn Hợp PK AGRI FOS AB</v>
      </c>
      <c r="F5735" s="87" t="str">
        <f>IFERROR(__xludf.DUMMYFUNCTION("""COMPUTED_VALUE"""),"HH4477")</f>
        <v>HH4477</v>
      </c>
      <c r="G5735" s="87" t="str">
        <f>IFERROR(__xludf.DUMMYFUNCTION("""COMPUTED_VALUE"""),"GC - IV - 4477 - CTY QUANG ĐĂNG AGRICULTURE - QĐ.PHOSKA + POWER (Nước xanh dương nhạt) - 500ml - 40")</f>
        <v>GC - IV - 4477 - CTY QUANG ĐĂNG AGRICULTURE - QĐ.PHOSKA + POWER (Nước xanh dương nhạt) - 500ml - 40</v>
      </c>
    </row>
    <row r="5736">
      <c r="A5736" s="86">
        <f>IFERROR(__xludf.DUMMYFUNCTION("""COMPUTED_VALUE"""),5734.0)</f>
        <v>5734</v>
      </c>
      <c r="B5736" s="87" t="str">
        <f>IFERROR(__xludf.DUMMYFUNCTION("""COMPUTED_VALUE"""),"[Nhãn Thùng]")</f>
        <v>[Nhãn Thùng]</v>
      </c>
      <c r="C5736" s="87" t="str">
        <f>IFERROR(__xludf.DUMMYFUNCTION("""COMPUTED_VALUE"""),"NDT4476")</f>
        <v>NDT4476</v>
      </c>
      <c r="D5736" s="87" t="str">
        <f>IFERROR(__xludf.DUMMYFUNCTION("""COMPUTED_VALUE"""),"[Nhãn Thùng] GC - V - 4476 - CTY QUANG ĐĂNG AGRICULTURE -QĐ-TITAN FORCE (Nước nâu đen) - 500ml - 40")</f>
        <v>[Nhãn Thùng] GC - V - 4476 - CTY QUANG ĐĂNG AGRICULTURE -QĐ-TITAN FORCE (Nước nâu đen) - 500ml - 40</v>
      </c>
      <c r="E5736" s="87" t="str">
        <f>IFERROR(__xludf.DUMMYFUNCTION("""COMPUTED_VALUE"""),"Hữu Cơ Crops Care")</f>
        <v>Hữu Cơ Crops Care</v>
      </c>
      <c r="F5736" s="87" t="str">
        <f>IFERROR(__xludf.DUMMYFUNCTION("""COMPUTED_VALUE"""),"HH4476")</f>
        <v>HH4476</v>
      </c>
      <c r="G5736" s="87" t="str">
        <f>IFERROR(__xludf.DUMMYFUNCTION("""COMPUTED_VALUE"""),"GC - V - 4476 - CTY QUANG ĐĂNG AGRICULTURE -QĐ-TITAN FORCE (Nước nâu đen) - 500ml - 40")</f>
        <v>GC - V - 4476 - CTY QUANG ĐĂNG AGRICULTURE -QĐ-TITAN FORCE (Nước nâu đen) - 500ml - 40</v>
      </c>
    </row>
    <row r="5737">
      <c r="A5737" s="86">
        <f>IFERROR(__xludf.DUMMYFUNCTION("""COMPUTED_VALUE"""),5735.0)</f>
        <v>5735</v>
      </c>
      <c r="B5737" s="87" t="str">
        <f>IFERROR(__xludf.DUMMYFUNCTION("""COMPUTED_VALUE"""),"[Nhãn Thùng]")</f>
        <v>[Nhãn Thùng]</v>
      </c>
      <c r="C5737" s="87" t="str">
        <f>IFERROR(__xludf.DUMMYFUNCTION("""COMPUTED_VALUE"""),"NDT4408")</f>
        <v>NDT4408</v>
      </c>
      <c r="D5737" s="87" t="str">
        <f>IFERROR(__xludf.DUMMYFUNCTION("""COMPUTED_VALUE"""),"[Nhãn Thùng] GC - V - 4408 - BIOFARM - NP SNAILICIDE 700WP (Bột cam) - 100gr - 100")</f>
        <v>[Nhãn Thùng] GC - V - 4408 - BIOFARM - NP SNAILICIDE 700WP (Bột cam) - 100gr - 100</v>
      </c>
      <c r="E5737" s="87" t="str">
        <f>IFERROR(__xludf.DUMMYFUNCTION("""COMPUTED_VALUE"""),"NP SNAILICIDE 700WP")</f>
        <v>NP SNAILICIDE 700WP</v>
      </c>
      <c r="F5737" s="87" t="str">
        <f>IFERROR(__xludf.DUMMYFUNCTION("""COMPUTED_VALUE"""),"HH4408")</f>
        <v>HH4408</v>
      </c>
      <c r="G5737" s="87" t="str">
        <f>IFERROR(__xludf.DUMMYFUNCTION("""COMPUTED_VALUE"""),"GC - V - 4408 - BIOFARM - NP SNAILICIDE 700WP (Bột cam) - 100gr - 100")</f>
        <v>GC - V - 4408 - BIOFARM - NP SNAILICIDE 700WP (Bột cam) - 100gr - 100</v>
      </c>
    </row>
    <row r="5738">
      <c r="A5738" s="86">
        <f>IFERROR(__xludf.DUMMYFUNCTION("""COMPUTED_VALUE"""),5736.0)</f>
        <v>5736</v>
      </c>
      <c r="B5738" s="87" t="str">
        <f>IFERROR(__xludf.DUMMYFUNCTION("""COMPUTED_VALUE"""),"[Nhãn]")</f>
        <v>[Nhãn]</v>
      </c>
      <c r="C5738" s="87" t="str">
        <f>IFERROR(__xludf.DUMMYFUNCTION("""COMPUTED_VALUE"""),"NTN4408")</f>
        <v>NTN4408</v>
      </c>
      <c r="D5738" s="87" t="str">
        <f>IFERROR(__xludf.DUMMYFUNCTION("""COMPUTED_VALUE"""),"[Nhãn] GC - V - 4408 - BIOFARM - NP SNAILICIDE 700WP (Bột cam) - 100gr - 100")</f>
        <v>[Nhãn] GC - V - 4408 - BIOFARM - NP SNAILICIDE 700WP (Bột cam) - 100gr - 100</v>
      </c>
      <c r="E5738" s="87" t="str">
        <f>IFERROR(__xludf.DUMMYFUNCTION("""COMPUTED_VALUE"""),"NP SNAILICIDE 700WP")</f>
        <v>NP SNAILICIDE 700WP</v>
      </c>
      <c r="F5738" s="87" t="str">
        <f>IFERROR(__xludf.DUMMYFUNCTION("""COMPUTED_VALUE"""),"HH4408")</f>
        <v>HH4408</v>
      </c>
      <c r="G5738" s="87" t="str">
        <f>IFERROR(__xludf.DUMMYFUNCTION("""COMPUTED_VALUE"""),"GC - V - 4408 - BIOFARM - NP SNAILICIDE 700WP (Bột cam) - 100gr - 100")</f>
        <v>GC - V - 4408 - BIOFARM - NP SNAILICIDE 700WP (Bột cam) - 100gr - 100</v>
      </c>
    </row>
    <row r="5739">
      <c r="A5739" s="86">
        <f>IFERROR(__xludf.DUMMYFUNCTION("""COMPUTED_VALUE"""),5737.0)</f>
        <v>5737</v>
      </c>
      <c r="B5739" s="87" t="str">
        <f>IFERROR(__xludf.DUMMYFUNCTION("""COMPUTED_VALUE"""),"[Nhãn]")</f>
        <v>[Nhãn]</v>
      </c>
      <c r="C5739" s="87" t="str">
        <f>IFERROR(__xludf.DUMMYFUNCTION("""COMPUTED_VALUE"""),"NHD4799")</f>
        <v>NHD4799</v>
      </c>
      <c r="D5739" s="87" t="str">
        <f>IFERROR(__xludf.DUMMYFUNCTION("""COMPUTED_VALUE"""),"[Nhãn] GC - V - 4799 - CTY DONA VINA - CANXIBO ĐỒNG KẼM (Nước trắng sữa) - 500ml - 40")</f>
        <v>[Nhãn] GC - V - 4799 - CTY DONA VINA - CANXIBO ĐỒNG KẼM (Nước trắng sữa) - 500ml - 40</v>
      </c>
      <c r="E5739" s="87" t="str">
        <f>IFERROR(__xludf.DUMMYFUNCTION("""COMPUTED_VALUE"""),"Vi lượng AGAMA-CANXI BO")</f>
        <v>Vi lượng AGAMA-CANXI BO</v>
      </c>
      <c r="F5739" s="87" t="str">
        <f>IFERROR(__xludf.DUMMYFUNCTION("""COMPUTED_VALUE"""),"HH4799")</f>
        <v>HH4799</v>
      </c>
      <c r="G5739" s="87" t="str">
        <f>IFERROR(__xludf.DUMMYFUNCTION("""COMPUTED_VALUE"""),"GC - V - 4799 - CTY DONA VINA - CANXIBO ĐỒNG KẼM (Nước trắng sữa) - 500ml - 40")</f>
        <v>GC - V - 4799 - CTY DONA VINA - CANXIBO ĐỒNG KẼM (Nước trắng sữa) - 500ml - 40</v>
      </c>
    </row>
    <row r="5740">
      <c r="A5740" s="86">
        <f>IFERROR(__xludf.DUMMYFUNCTION("""COMPUTED_VALUE"""),5738.0)</f>
        <v>5738</v>
      </c>
      <c r="B5740" s="87" t="str">
        <f>IFERROR(__xludf.DUMMYFUNCTION("""COMPUTED_VALUE"""),"[Nhãn]")</f>
        <v>[Nhãn]</v>
      </c>
      <c r="C5740" s="87" t="str">
        <f>IFERROR(__xludf.DUMMYFUNCTION("""COMPUTED_VALUE"""),"NHG4804")</f>
        <v>NHG4804</v>
      </c>
      <c r="D5740" s="87" t="str">
        <f>IFERROR(__xludf.DUMMYFUNCTION("""COMPUTED_VALUE"""),"[Nhãn] GC - V - 4804 - CTY ACE VN - SIÊU SÂU (Nước đỏ) - 100ml - 100")</f>
        <v>[Nhãn] GC - V - 4804 - CTY ACE VN - SIÊU SÂU (Nước đỏ) - 100ml - 100</v>
      </c>
      <c r="E5740" s="87" t="str">
        <f>IFERROR(__xludf.DUMMYFUNCTION("""COMPUTED_VALUE"""),"Creek 2.1EC")</f>
        <v>Creek 2.1EC</v>
      </c>
      <c r="F5740" s="87" t="str">
        <f>IFERROR(__xludf.DUMMYFUNCTION("""COMPUTED_VALUE"""),"HH4804")</f>
        <v>HH4804</v>
      </c>
      <c r="G5740" s="87" t="str">
        <f>IFERROR(__xludf.DUMMYFUNCTION("""COMPUTED_VALUE"""),"GC - V - 4804 - CTY ACE VN - SIÊU SÂU (Nước đỏ) - 100ml - 100")</f>
        <v>GC - V - 4804 - CTY ACE VN - SIÊU SÂU (Nước đỏ) - 100ml - 100</v>
      </c>
    </row>
    <row r="5741">
      <c r="A5741" s="86">
        <f>IFERROR(__xludf.DUMMYFUNCTION("""COMPUTED_VALUE"""),5739.0)</f>
        <v>5739</v>
      </c>
      <c r="B5741" s="87" t="str">
        <f>IFERROR(__xludf.DUMMYFUNCTION("""COMPUTED_VALUE"""),"[Nhãn Thùng]")</f>
        <v>[Nhãn Thùng]</v>
      </c>
      <c r="C5741" s="87" t="str">
        <f>IFERROR(__xludf.DUMMYFUNCTION("""COMPUTED_VALUE"""),"NDT4805")</f>
        <v>NDT4805</v>
      </c>
      <c r="D5741" s="87" t="str">
        <f>IFERROR(__xludf.DUMMYFUNCTION("""COMPUTED_VALUE"""),"[Nhãn Thùng] GC - V - 4805 - AGRITECH HÀ LAN - THIPRO 550EC (Nước tím) - 120ml - 100")</f>
        <v>[Nhãn Thùng] GC - V - 4805 - AGRITECH HÀ LAN - THIPRO 550EC (Nước tím) - 120ml - 100</v>
      </c>
      <c r="E5741" s="87" t="str">
        <f>IFERROR(__xludf.DUMMYFUNCTION("""COMPUTED_VALUE"""),"Thipro 550EC")</f>
        <v>Thipro 550EC</v>
      </c>
      <c r="F5741" s="87" t="str">
        <f>IFERROR(__xludf.DUMMYFUNCTION("""COMPUTED_VALUE"""),"HH4805")</f>
        <v>HH4805</v>
      </c>
      <c r="G5741" s="87" t="str">
        <f>IFERROR(__xludf.DUMMYFUNCTION("""COMPUTED_VALUE"""),"GC - V - 4805 - AGRITECH HÀ LAN - THIPRO 550EC (Nước tím) - 120ml - 100")</f>
        <v>GC - V - 4805 - AGRITECH HÀ LAN - THIPRO 550EC (Nước tím) - 120ml - 100</v>
      </c>
    </row>
    <row r="5742">
      <c r="A5742" s="86">
        <f>IFERROR(__xludf.DUMMYFUNCTION("""COMPUTED_VALUE"""),5740.0)</f>
        <v>5740</v>
      </c>
      <c r="B5742" s="87" t="str">
        <f>IFERROR(__xludf.DUMMYFUNCTION("""COMPUTED_VALUE"""),"[Nhãn Thùng]")</f>
        <v>[Nhãn Thùng]</v>
      </c>
      <c r="C5742" s="87" t="str">
        <f>IFERROR(__xludf.DUMMYFUNCTION("""COMPUTED_VALUE"""),"NDT4804")</f>
        <v>NDT4804</v>
      </c>
      <c r="D5742" s="87" t="str">
        <f>IFERROR(__xludf.DUMMYFUNCTION("""COMPUTED_VALUE"""),"[Nhãn Thùng] GC - V - 4804 - CTY ACE VN - SIÊU SÂU (Nước đỏ) - 100ml - 100")</f>
        <v>[Nhãn Thùng] GC - V - 4804 - CTY ACE VN - SIÊU SÂU (Nước đỏ) - 100ml - 100</v>
      </c>
      <c r="E5742" s="87" t="str">
        <f>IFERROR(__xludf.DUMMYFUNCTION("""COMPUTED_VALUE"""),"Creek 2.1EC")</f>
        <v>Creek 2.1EC</v>
      </c>
      <c r="F5742" s="87" t="str">
        <f>IFERROR(__xludf.DUMMYFUNCTION("""COMPUTED_VALUE"""),"HH4804")</f>
        <v>HH4804</v>
      </c>
      <c r="G5742" s="87" t="str">
        <f>IFERROR(__xludf.DUMMYFUNCTION("""COMPUTED_VALUE"""),"GC - V - 4804 - CTY ACE VN - SIÊU SÂU (Nước đỏ) - 100ml - 100")</f>
        <v>GC - V - 4804 - CTY ACE VN - SIÊU SÂU (Nước đỏ) - 100ml - 100</v>
      </c>
    </row>
    <row r="5743">
      <c r="A5743" s="86">
        <f>IFERROR(__xludf.DUMMYFUNCTION("""COMPUTED_VALUE"""),5741.0)</f>
        <v>5741</v>
      </c>
      <c r="B5743" s="87" t="str">
        <f>IFERROR(__xludf.DUMMYFUNCTION("""COMPUTED_VALUE"""),"[Nhãn]")</f>
        <v>[Nhãn]</v>
      </c>
      <c r="C5743" s="87" t="str">
        <f>IFERROR(__xludf.DUMMYFUNCTION("""COMPUTED_VALUE"""),"NTN4756")</f>
        <v>NTN4756</v>
      </c>
      <c r="D5743" s="87" t="str">
        <f>IFERROR(__xludf.DUMMYFUNCTION("""COMPUTED_VALUE"""),"[Nhãn] IDA Global - I - 4756 - LA - PICOGOLD (Nước trắng sữa) - 250ml - 40")</f>
        <v>[Nhãn] IDA Global - I - 4756 - LA - PICOGOLD (Nước trắng sữa) - 250ml - 40</v>
      </c>
      <c r="E5743" s="87" t="str">
        <f>IFERROR(__xludf.DUMMYFUNCTION("""COMPUTED_VALUE"""),"PICOSUPER 280SC")</f>
        <v>PICOSUPER 280SC</v>
      </c>
      <c r="F5743" s="87" t="str">
        <f>IFERROR(__xludf.DUMMYFUNCTION("""COMPUTED_VALUE"""),"HH4756")</f>
        <v>HH4756</v>
      </c>
      <c r="G5743" s="87" t="str">
        <f>IFERROR(__xludf.DUMMYFUNCTION("""COMPUTED_VALUE"""),"IDA Global - I - 4756 - LA - PICOGOLD (Nước trắng sữa) - 250ml - 40")</f>
        <v>IDA Global - I - 4756 - LA - PICOGOLD (Nước trắng sữa) - 250ml - 40</v>
      </c>
    </row>
    <row r="5744">
      <c r="A5744" s="86">
        <f>IFERROR(__xludf.DUMMYFUNCTION("""COMPUTED_VALUE"""),5742.0)</f>
        <v>5742</v>
      </c>
      <c r="B5744" s="87" t="str">
        <f>IFERROR(__xludf.DUMMYFUNCTION("""COMPUTED_VALUE"""),"[Nhãn]")</f>
        <v>[Nhãn]</v>
      </c>
      <c r="C5744" s="87" t="str">
        <f>IFERROR(__xludf.DUMMYFUNCTION("""COMPUTED_VALUE"""),"NHG4803")</f>
        <v>NHG4803</v>
      </c>
      <c r="D5744" s="87" t="str">
        <f>IFERROR(__xludf.DUMMYFUNCTION("""COMPUTED_VALUE"""),"[Nhãn] IDA Global - I - 4803 - Vatino Super 525SE (nước cam sữa) - 480ml - 40")</f>
        <v>[Nhãn] IDA Global - I - 4803 - Vatino Super 525SE (nước cam sữa) - 480ml - 40</v>
      </c>
      <c r="E5744" s="87" t="str">
        <f>IFERROR(__xludf.DUMMYFUNCTION("""COMPUTED_VALUE"""),"VATINO SUPER 525SE")</f>
        <v>VATINO SUPER 525SE</v>
      </c>
      <c r="F5744" s="87" t="str">
        <f>IFERROR(__xludf.DUMMYFUNCTION("""COMPUTED_VALUE"""),"HH4803")</f>
        <v>HH4803</v>
      </c>
      <c r="G5744" s="87" t="str">
        <f>IFERROR(__xludf.DUMMYFUNCTION("""COMPUTED_VALUE"""),"IDA Global - I - 4803 - Vatino Super 525SE (nước cam sữa) - 480ml - 40")</f>
        <v>IDA Global - I - 4803 - Vatino Super 525SE (nước cam sữa) - 480ml - 40</v>
      </c>
    </row>
    <row r="5745">
      <c r="A5745" s="86">
        <f>IFERROR(__xludf.DUMMYFUNCTION("""COMPUTED_VALUE"""),5743.0)</f>
        <v>5743</v>
      </c>
      <c r="B5745" s="87" t="str">
        <f>IFERROR(__xludf.DUMMYFUNCTION("""COMPUTED_VALUE"""),"[Nhãn]")</f>
        <v>[Nhãn]</v>
      </c>
      <c r="C5745" s="87" t="str">
        <f>IFERROR(__xludf.DUMMYFUNCTION("""COMPUTED_VALUE"""),"NHG4796")</f>
        <v>NHG4796</v>
      </c>
      <c r="D5745" s="87" t="str">
        <f>IFERROR(__xludf.DUMMYFUNCTION("""COMPUTED_VALUE"""),"[Nhãn] GC - V - 4796 - CTY NHC - 3.6 (Nước nâu đen) - 450ml - 40")</f>
        <v>[Nhãn] GC - V - 4796 - CTY NHC - 3.6 (Nước nâu đen) - 450ml - 40</v>
      </c>
      <c r="E5745" s="87" t="str">
        <f>IFERROR(__xludf.DUMMYFUNCTION("""COMPUTED_VALUE"""),"Chitin 3.6EC")</f>
        <v>Chitin 3.6EC</v>
      </c>
      <c r="F5745" s="87" t="str">
        <f>IFERROR(__xludf.DUMMYFUNCTION("""COMPUTED_VALUE"""),"HH4796")</f>
        <v>HH4796</v>
      </c>
      <c r="G5745" s="87" t="str">
        <f>IFERROR(__xludf.DUMMYFUNCTION("""COMPUTED_VALUE"""),"GC - V - 4796 - CTY NHC - 3.6 (Nước nâu đen) - 450ml - 40")</f>
        <v>GC - V - 4796 - CTY NHC - 3.6 (Nước nâu đen) - 450ml - 40</v>
      </c>
    </row>
    <row r="5746">
      <c r="A5746" s="86">
        <f>IFERROR(__xludf.DUMMYFUNCTION("""COMPUTED_VALUE"""),5744.0)</f>
        <v>5744</v>
      </c>
      <c r="B5746" s="87" t="str">
        <f>IFERROR(__xludf.DUMMYFUNCTION("""COMPUTED_VALUE"""),"[Nhãn]")</f>
        <v>[Nhãn]</v>
      </c>
      <c r="C5746" s="87" t="str">
        <f>IFERROR(__xludf.DUMMYFUNCTION("""COMPUTED_VALUE"""),"NHG4817")</f>
        <v>NHG4817</v>
      </c>
      <c r="D5746" s="87" t="str">
        <f>IFERROR(__xludf.DUMMYFUNCTION("""COMPUTED_VALUE"""),"[Nhãn] GC - V - 4817 - Cty Hóa Nông Shino - COMBI SHINO PLUS (Nước xanh lá) - 300ml - 40")</f>
        <v>[Nhãn] GC - V - 4817 - Cty Hóa Nông Shino - COMBI SHINO PLUS (Nước xanh lá) - 300ml - 40</v>
      </c>
      <c r="E5746" s="87" t="str">
        <f>IFERROR(__xludf.DUMMYFUNCTION("""COMPUTED_VALUE"""),"vi lượng Phú Sĩ FJ-09 Kẽm Mg")</f>
        <v>vi lượng Phú Sĩ FJ-09 Kẽm Mg</v>
      </c>
      <c r="F5746" s="87" t="str">
        <f>IFERROR(__xludf.DUMMYFUNCTION("""COMPUTED_VALUE"""),"HH4817")</f>
        <v>HH4817</v>
      </c>
      <c r="G5746" s="87" t="str">
        <f>IFERROR(__xludf.DUMMYFUNCTION("""COMPUTED_VALUE"""),"GC - V - 4817 - Cty Hóa Nông Shino - COMBI SHINO PLUS (Nước xanh lá) - 300ml - 40")</f>
        <v>GC - V - 4817 - Cty Hóa Nông Shino - COMBI SHINO PLUS (Nước xanh lá) - 300ml - 40</v>
      </c>
    </row>
    <row r="5747">
      <c r="A5747" s="86">
        <f>IFERROR(__xludf.DUMMYFUNCTION("""COMPUTED_VALUE"""),5745.0)</f>
        <v>5745</v>
      </c>
      <c r="B5747" s="87" t="str">
        <f>IFERROR(__xludf.DUMMYFUNCTION("""COMPUTED_VALUE"""),"[Nhãn]")</f>
        <v>[Nhãn]</v>
      </c>
      <c r="C5747" s="87" t="str">
        <f>IFERROR(__xludf.DUMMYFUNCTION("""COMPUTED_VALUE"""),"NHG4816")</f>
        <v>NHG4816</v>
      </c>
      <c r="D5747" s="87" t="str">
        <f>IFERROR(__xludf.DUMMYFUNCTION("""COMPUTED_VALUE"""),"[Nhãn] GC - V - 4816 - CTY HƯƠNG NÔNG - SIÊU DIỆT NẤM KHUẨN (Nước đỏ sậm - V4) - 250ml - 40")</f>
        <v>[Nhãn] GC - V - 4816 - CTY HƯƠNG NÔNG - SIÊU DIỆT NẤM KHUẨN (Nước đỏ sậm - V4) - 250ml - 40</v>
      </c>
      <c r="E5747" s="87" t="str">
        <f>IFERROR(__xludf.DUMMYFUNCTION("""COMPUTED_VALUE"""),"GENOL 1.2SL")</f>
        <v>GENOL 1.2SL</v>
      </c>
      <c r="F5747" s="87" t="str">
        <f>IFERROR(__xludf.DUMMYFUNCTION("""COMPUTED_VALUE"""),"HH4816")</f>
        <v>HH4816</v>
      </c>
      <c r="G5747" s="87" t="str">
        <f>IFERROR(__xludf.DUMMYFUNCTION("""COMPUTED_VALUE"""),"GC - V - 4816 - CTY HƯƠNG NÔNG - SIÊU DIỆT NẤM KHUẨN (Nước đỏ sậm - V4) - 250ml - 40")</f>
        <v>GC - V - 4816 - CTY HƯƠNG NÔNG - SIÊU DIỆT NẤM KHUẨN (Nước đỏ sậm - V4) - 250ml - 40</v>
      </c>
    </row>
    <row r="5748">
      <c r="A5748" s="86">
        <f>IFERROR(__xludf.DUMMYFUNCTION("""COMPUTED_VALUE"""),5746.0)</f>
        <v>5746</v>
      </c>
      <c r="B5748" s="87" t="str">
        <f>IFERROR(__xludf.DUMMYFUNCTION("""COMPUTED_VALUE"""),"[Nhãn]")</f>
        <v>[Nhãn]</v>
      </c>
      <c r="C5748" s="87" t="str">
        <f>IFERROR(__xludf.DUMMYFUNCTION("""COMPUTED_VALUE"""),"NHD4812")</f>
        <v>NHD4812</v>
      </c>
      <c r="D5748" s="87" t="str">
        <f>IFERROR(__xludf.DUMMYFUNCTION("""COMPUTED_VALUE"""),"[Nhãn] GC - X - 4812 - GC ABA (A. QUYẾT) - NUÔI TRÁI LỚN TRÁI (nước nâu vàng) - 10L - 1")</f>
        <v>[Nhãn] GC - X - 4812 - GC ABA (A. QUYẾT) - NUÔI TRÁI LỚN TRÁI (nước nâu vàng) - 10L - 1</v>
      </c>
      <c r="E5748" s="87" t="str">
        <f>IFERROR(__xludf.DUMMYFUNCTION("""COMPUTED_VALUE"""),"Hỗn hợp NPK GNC 102")</f>
        <v>Hỗn hợp NPK GNC 102</v>
      </c>
      <c r="F5748" s="87" t="str">
        <f>IFERROR(__xludf.DUMMYFUNCTION("""COMPUTED_VALUE"""),"HH4812")</f>
        <v>HH4812</v>
      </c>
      <c r="G5748" s="87" t="str">
        <f>IFERROR(__xludf.DUMMYFUNCTION("""COMPUTED_VALUE"""),"GC - X - 4812 - GC ABA (A. QUYẾT) - NUÔI TRÁI LỚN TRÁI (nước nâu vàng) - 10L - 1")</f>
        <v>GC - X - 4812 - GC ABA (A. QUYẾT) - NUÔI TRÁI LỚN TRÁI (nước nâu vàng) - 10L - 1</v>
      </c>
    </row>
    <row r="5749">
      <c r="A5749" s="86">
        <f>IFERROR(__xludf.DUMMYFUNCTION("""COMPUTED_VALUE"""),5747.0)</f>
        <v>5747</v>
      </c>
      <c r="B5749" s="87" t="str">
        <f>IFERROR(__xludf.DUMMYFUNCTION("""COMPUTED_VALUE"""),"[Nhãn]")</f>
        <v>[Nhãn]</v>
      </c>
      <c r="C5749" s="87" t="str">
        <f>IFERROR(__xludf.DUMMYFUNCTION("""COMPUTED_VALUE"""),"NHG4815")</f>
        <v>NHG4815</v>
      </c>
      <c r="D5749" s="87" t="str">
        <f>IFERROR(__xludf.DUMMYFUNCTION("""COMPUTED_VALUE"""),"[Nhãn] GC - V - 4815 - Cty Agrochem Korea - BA SIÊU (Gel đỏ cam) - 500ml - 40")</f>
        <v>[Nhãn] GC - V - 4815 - Cty Agrochem Korea - BA SIÊU (Gel đỏ cam) - 500ml - 40</v>
      </c>
      <c r="E5749" s="87" t="str">
        <f>IFERROR(__xludf.DUMMYFUNCTION("""COMPUTED_VALUE"""),"Vi lượng Quantity New")</f>
        <v>Vi lượng Quantity New</v>
      </c>
      <c r="F5749" s="87" t="str">
        <f>IFERROR(__xludf.DUMMYFUNCTION("""COMPUTED_VALUE"""),"HH4815")</f>
        <v>HH4815</v>
      </c>
      <c r="G5749" s="87" t="str">
        <f>IFERROR(__xludf.DUMMYFUNCTION("""COMPUTED_VALUE"""),"GC - V - 4815 - Cty Agrochem Korea - BA SIÊU (Gel đỏ cam) - 500ml - 40")</f>
        <v>GC - V - 4815 - Cty Agrochem Korea - BA SIÊU (Gel đỏ cam) - 500ml - 40</v>
      </c>
    </row>
    <row r="5750">
      <c r="A5750" s="86">
        <f>IFERROR(__xludf.DUMMYFUNCTION("""COMPUTED_VALUE"""),5748.0)</f>
        <v>5748</v>
      </c>
      <c r="B5750" s="87" t="str">
        <f>IFERROR(__xludf.DUMMYFUNCTION("""COMPUTED_VALUE"""),"[Nhãn]")</f>
        <v>[Nhãn]</v>
      </c>
      <c r="C5750" s="87" t="str">
        <f>IFERROR(__xludf.DUMMYFUNCTION("""COMPUTED_VALUE"""),"NHD4826")</f>
        <v>NHD4826</v>
      </c>
      <c r="D5750" s="87" t="str">
        <f>IFERROR(__xludf.DUMMYFUNCTION("""COMPUTED_VALUE"""),"[Nhãn] GC - V - 4826 - WINDY ALS - NHỆN SINH HỌC 3.6 (Nước tím) - 450ml - 40")</f>
        <v>[Nhãn] GC - V - 4826 - WINDY ALS - NHỆN SINH HỌC 3.6 (Nước tím) - 450ml - 40</v>
      </c>
      <c r="E5750" s="87" t="str">
        <f>IFERROR(__xludf.DUMMYFUNCTION("""COMPUTED_VALUE"""),"Chitin 3.6EC")</f>
        <v>Chitin 3.6EC</v>
      </c>
      <c r="F5750" s="87" t="str">
        <f>IFERROR(__xludf.DUMMYFUNCTION("""COMPUTED_VALUE"""),"HH4826")</f>
        <v>HH4826</v>
      </c>
      <c r="G5750" s="87" t="str">
        <f>IFERROR(__xludf.DUMMYFUNCTION("""COMPUTED_VALUE"""),"GC - V - 4826 - WINDY ALS - NHỆN SINH HỌC 3.6 (Nước tím) - 450ml - 40")</f>
        <v>GC - V - 4826 - WINDY ALS - NHỆN SINH HỌC 3.6 (Nước tím) - 450ml - 40</v>
      </c>
    </row>
    <row r="5751">
      <c r="A5751" s="86">
        <f>IFERROR(__xludf.DUMMYFUNCTION("""COMPUTED_VALUE"""),5749.0)</f>
        <v>5749</v>
      </c>
      <c r="B5751" s="87" t="str">
        <f>IFERROR(__xludf.DUMMYFUNCTION("""COMPUTED_VALUE"""),"[Nhãn]")</f>
        <v>[Nhãn]</v>
      </c>
      <c r="C5751" s="87" t="str">
        <f>IFERROR(__xludf.DUMMYFUNCTION("""COMPUTED_VALUE"""),"NHG4814")</f>
        <v>NHG4814</v>
      </c>
      <c r="D5751" s="87" t="str">
        <f>IFERROR(__xludf.DUMMYFUNCTION("""COMPUTED_VALUE"""),"[Nhãn] GC - V - 4814 - CTY HƯƠNG NÔNG - CHITIN 3.6EC (Nước tím) - 240ml - 40")</f>
        <v>[Nhãn] GC - V - 4814 - CTY HƯƠNG NÔNG - CHITIN 3.6EC (Nước tím) - 240ml - 40</v>
      </c>
      <c r="E5751" s="87" t="str">
        <f>IFERROR(__xludf.DUMMYFUNCTION("""COMPUTED_VALUE"""),"Chitin 3.6EC")</f>
        <v>Chitin 3.6EC</v>
      </c>
      <c r="F5751" s="87" t="str">
        <f>IFERROR(__xludf.DUMMYFUNCTION("""COMPUTED_VALUE"""),"HH4814")</f>
        <v>HH4814</v>
      </c>
      <c r="G5751" s="87" t="str">
        <f>IFERROR(__xludf.DUMMYFUNCTION("""COMPUTED_VALUE"""),"GC - V - 4814 - CTY HƯƠNG NÔNG - CHITIN 3.6EC (Nước tím) - 240ml - 40")</f>
        <v>GC - V - 4814 - CTY HƯƠNG NÔNG - CHITIN 3.6EC (Nước tím) - 240ml - 40</v>
      </c>
    </row>
    <row r="5752">
      <c r="A5752" s="86">
        <f>IFERROR(__xludf.DUMMYFUNCTION("""COMPUTED_VALUE"""),5750.0)</f>
        <v>5750</v>
      </c>
      <c r="B5752" s="87" t="str">
        <f>IFERROR(__xludf.DUMMYFUNCTION("""COMPUTED_VALUE"""),"[Nhãn]")</f>
        <v>[Nhãn]</v>
      </c>
      <c r="C5752" s="87" t="str">
        <f>IFERROR(__xludf.DUMMYFUNCTION("""COMPUTED_VALUE"""),"NHG4811")</f>
        <v>NHG4811</v>
      </c>
      <c r="D5752" s="87" t="str">
        <f>IFERROR(__xludf.DUMMYFUNCTION("""COMPUTED_VALUE"""),"[Nhãn] GC - V - 4811 - CTY HƯƠNG NÔNG - MAGIE KẼM (Nước trắng sữa) - 300ml - 40")</f>
        <v>[Nhãn] GC - V - 4811 - CTY HƯƠNG NÔNG - MAGIE KẼM (Nước trắng sữa) - 300ml - 40</v>
      </c>
      <c r="E5752" s="87" t="str">
        <f>IFERROR(__xludf.DUMMYFUNCTION("""COMPUTED_VALUE"""),"vi lượng Phú Sĩ FJ-09 Kẽm Mg")</f>
        <v>vi lượng Phú Sĩ FJ-09 Kẽm Mg</v>
      </c>
      <c r="F5752" s="87" t="str">
        <f>IFERROR(__xludf.DUMMYFUNCTION("""COMPUTED_VALUE"""),"HH4811")</f>
        <v>HH4811</v>
      </c>
      <c r="G5752" s="87" t="str">
        <f>IFERROR(__xludf.DUMMYFUNCTION("""COMPUTED_VALUE"""),"GC - V - 4811 - CTY HƯƠNG NÔNG - MAGIE KẼM (Nước trắng sữa) - 300ml - 40")</f>
        <v>GC - V - 4811 - CTY HƯƠNG NÔNG - MAGIE KẼM (Nước trắng sữa) - 300ml - 40</v>
      </c>
    </row>
    <row r="5753">
      <c r="A5753" s="86">
        <f>IFERROR(__xludf.DUMMYFUNCTION("""COMPUTED_VALUE"""),5751.0)</f>
        <v>5751</v>
      </c>
      <c r="B5753" s="87" t="str">
        <f>IFERROR(__xludf.DUMMYFUNCTION("""COMPUTED_VALUE"""),"[Nhãn]")</f>
        <v>[Nhãn]</v>
      </c>
      <c r="C5753" s="87" t="str">
        <f>IFERROR(__xludf.DUMMYFUNCTION("""COMPUTED_VALUE"""),"NTN4824")</f>
        <v>NTN4824</v>
      </c>
      <c r="D5753" s="87" t="str">
        <f>IFERROR(__xludf.DUMMYFUNCTION("""COMPUTED_VALUE"""),"[Nhãn] GC - V - 4824 - CTY ACE VIỆT NAM - CHESSIN 600WP (Bột trắng ngà) - 25gr - 400")</f>
        <v>[Nhãn] GC - V - 4824 - CTY ACE VIỆT NAM - CHESSIN 600WP (Bột trắng ngà) - 25gr - 400</v>
      </c>
      <c r="E5753" s="87" t="str">
        <f>IFERROR(__xludf.DUMMYFUNCTION("""COMPUTED_VALUE"""),"CHESSIN 600WP")</f>
        <v>CHESSIN 600WP</v>
      </c>
      <c r="F5753" s="87" t="str">
        <f>IFERROR(__xludf.DUMMYFUNCTION("""COMPUTED_VALUE"""),"HH4824")</f>
        <v>HH4824</v>
      </c>
      <c r="G5753" s="87" t="str">
        <f>IFERROR(__xludf.DUMMYFUNCTION("""COMPUTED_VALUE"""),"GC - V - 4824 - CTY ACE VIỆT NAM - CHESSIN 600WP (Bột trắng ngà) - 25gr - 400")</f>
        <v>GC - V - 4824 - CTY ACE VIỆT NAM - CHESSIN 600WP (Bột trắng ngà) - 25gr - 400</v>
      </c>
    </row>
    <row r="5754">
      <c r="A5754" s="86">
        <f>IFERROR(__xludf.DUMMYFUNCTION("""COMPUTED_VALUE"""),5752.0)</f>
        <v>5752</v>
      </c>
      <c r="B5754" s="87" t="str">
        <f>IFERROR(__xludf.DUMMYFUNCTION("""COMPUTED_VALUE"""),"[Nhãn]")</f>
        <v>[Nhãn]</v>
      </c>
      <c r="C5754" s="87" t="str">
        <f>IFERROR(__xludf.DUMMYFUNCTION("""COMPUTED_VALUE"""),"NHG4829")</f>
        <v>NHG4829</v>
      </c>
      <c r="D5754" s="87" t="str">
        <f>IFERROR(__xludf.DUMMYFUNCTION("""COMPUTED_VALUE"""),"[Nhãn] GC - V - 4829 - CTY HƯƠNG NÔNG - MI STOP 350SC (Nước vàng chanh) - 250ml - 40")</f>
        <v>[Nhãn] GC - V - 4829 - CTY HƯƠNG NÔNG - MI STOP 350SC (Nước vàng chanh) - 250ml - 40</v>
      </c>
      <c r="E5754" s="87" t="str">
        <f>IFERROR(__xludf.DUMMYFUNCTION("""COMPUTED_VALUE"""),"MI STOP 350SC")</f>
        <v>MI STOP 350SC</v>
      </c>
      <c r="F5754" s="87" t="str">
        <f>IFERROR(__xludf.DUMMYFUNCTION("""COMPUTED_VALUE"""),"HH4829")</f>
        <v>HH4829</v>
      </c>
      <c r="G5754" s="87" t="str">
        <f>IFERROR(__xludf.DUMMYFUNCTION("""COMPUTED_VALUE"""),"GC - V - 4829 - CTY HƯƠNG NÔNG - MI STOP 350SC (Nước vàng chanh) - 250ml - 40")</f>
        <v>GC - V - 4829 - CTY HƯƠNG NÔNG - MI STOP 350SC (Nước vàng chanh) - 250ml - 40</v>
      </c>
    </row>
    <row r="5755">
      <c r="A5755" s="86">
        <f>IFERROR(__xludf.DUMMYFUNCTION("""COMPUTED_VALUE"""),5753.0)</f>
        <v>5753</v>
      </c>
      <c r="B5755" s="87" t="str">
        <f>IFERROR(__xludf.DUMMYFUNCTION("""COMPUTED_VALUE"""),"[Nhãn]")</f>
        <v>[Nhãn]</v>
      </c>
      <c r="C5755" s="87" t="str">
        <f>IFERROR(__xludf.DUMMYFUNCTION("""COMPUTED_VALUE"""),"NHG4827")</f>
        <v>NHG4827</v>
      </c>
      <c r="D5755" s="87" t="str">
        <f>IFERROR(__xludf.DUMMYFUNCTION("""COMPUTED_VALUE"""),"[Nhãn] LOT IDA - I - 4827 - CHITIN 3.6EC MỚI (nước nâu đen) - 450ml - 40")</f>
        <v>[Nhãn] LOT IDA - I - 4827 - CHITIN 3.6EC MỚI (nước nâu đen) - 450ml - 40</v>
      </c>
      <c r="E5755" s="87" t="str">
        <f>IFERROR(__xludf.DUMMYFUNCTION("""COMPUTED_VALUE"""),"Chitin 3.6EC")</f>
        <v>Chitin 3.6EC</v>
      </c>
      <c r="F5755" s="87" t="str">
        <f>IFERROR(__xludf.DUMMYFUNCTION("""COMPUTED_VALUE"""),"HH4827")</f>
        <v>HH4827</v>
      </c>
      <c r="G5755" s="87" t="str">
        <f>IFERROR(__xludf.DUMMYFUNCTION("""COMPUTED_VALUE"""),"LOT IDA - I - 4827 - CHITIN 3.6EC MỚI (nước nâu đen) - 450ml - 40")</f>
        <v>LOT IDA - I - 4827 - CHITIN 3.6EC MỚI (nước nâu đen) - 450ml - 40</v>
      </c>
    </row>
    <row r="5756">
      <c r="A5756" s="86">
        <f>IFERROR(__xludf.DUMMYFUNCTION("""COMPUTED_VALUE"""),5754.0)</f>
        <v>5754</v>
      </c>
      <c r="B5756" s="87" t="str">
        <f>IFERROR(__xludf.DUMMYFUNCTION("""COMPUTED_VALUE"""),"[Nhãn]")</f>
        <v>[Nhãn]</v>
      </c>
      <c r="C5756" s="87" t="str">
        <f>IFERROR(__xludf.DUMMYFUNCTION("""COMPUTED_VALUE"""),"NHG4828")</f>
        <v>NHG4828</v>
      </c>
      <c r="D5756" s="87" t="str">
        <f>IFERROR(__xludf.DUMMYFUNCTION("""COMPUTED_VALUE"""),"[Nhãn] LOT IDA - I - 4828 - CHITIN 3.6EC (nước nâu đen) - 450ml - 40")</f>
        <v>[Nhãn] LOT IDA - I - 4828 - CHITIN 3.6EC (nước nâu đen) - 450ml - 40</v>
      </c>
      <c r="E5756" s="87" t="str">
        <f>IFERROR(__xludf.DUMMYFUNCTION("""COMPUTED_VALUE"""),"Chitin 3.6EC")</f>
        <v>Chitin 3.6EC</v>
      </c>
      <c r="F5756" s="87" t="str">
        <f>IFERROR(__xludf.DUMMYFUNCTION("""COMPUTED_VALUE"""),"HH4828")</f>
        <v>HH4828</v>
      </c>
      <c r="G5756" s="87" t="str">
        <f>IFERROR(__xludf.DUMMYFUNCTION("""COMPUTED_VALUE"""),"LOT IDA - I - 4828 - CHITIN 3.6EC (nước nâu đen) - 450ml - 40")</f>
        <v>LOT IDA - I - 4828 - CHITIN 3.6EC (nước nâu đen) - 450ml - 40</v>
      </c>
    </row>
    <row r="5757">
      <c r="A5757" s="86">
        <f>IFERROR(__xludf.DUMMYFUNCTION("""COMPUTED_VALUE"""),5755.0)</f>
        <v>5755</v>
      </c>
      <c r="B5757" s="87" t="str">
        <f>IFERROR(__xludf.DUMMYFUNCTION("""COMPUTED_VALUE"""),"[Nhãn]")</f>
        <v>[Nhãn]</v>
      </c>
      <c r="C5757" s="87" t="str">
        <f>IFERROR(__xludf.DUMMYFUNCTION("""COMPUTED_VALUE"""),"NTN4801")</f>
        <v>NTN4801</v>
      </c>
      <c r="D5757" s="87" t="str">
        <f>IFERROR(__xludf.DUMMYFUNCTION("""COMPUTED_VALUE"""),"[Nhãn] IDA GLOBAL - I - 4801 - Flower Top (LÚA) - 50ml - 300")</f>
        <v>[Nhãn] IDA GLOBAL - I - 4801 - Flower Top (LÚA) - 50ml - 300</v>
      </c>
      <c r="E5757" s="87" t="str">
        <f>IFERROR(__xludf.DUMMYFUNCTION("""COMPUTED_VALUE"""),"Vi lượng Basel IDA 47")</f>
        <v>Vi lượng Basel IDA 47</v>
      </c>
      <c r="F5757" s="87" t="str">
        <f>IFERROR(__xludf.DUMMYFUNCTION("""COMPUTED_VALUE"""),"HH4801")</f>
        <v>HH4801</v>
      </c>
      <c r="G5757" s="87" t="str">
        <f>IFERROR(__xludf.DUMMYFUNCTION("""COMPUTED_VALUE"""),"IDA GLOBAL - I - 4801 - Flower Top (LÚA) - 50ml - 300")</f>
        <v>IDA GLOBAL - I - 4801 - Flower Top (LÚA) - 50ml - 300</v>
      </c>
    </row>
    <row r="5758">
      <c r="A5758" s="86">
        <f>IFERROR(__xludf.DUMMYFUNCTION("""COMPUTED_VALUE"""),5756.0)</f>
        <v>5756</v>
      </c>
      <c r="B5758" s="87" t="str">
        <f>IFERROR(__xludf.DUMMYFUNCTION("""COMPUTED_VALUE"""),"[Nhãn]")</f>
        <v>[Nhãn]</v>
      </c>
      <c r="C5758" s="87" t="str">
        <f>IFERROR(__xludf.DUMMYFUNCTION("""COMPUTED_VALUE"""),"NHD4810")</f>
        <v>NHD4810</v>
      </c>
      <c r="D5758" s="87" t="str">
        <f>IFERROR(__xludf.DUMMYFUNCTION("""COMPUTED_VALUE"""),"[Nhãn] LOT IDA - I - 4810 - ĐL Phúc Nông - HỔ VƯƠNG (Pet vuông)(nắp vàng)(nước nâu đen) - 450ml - 40")</f>
        <v>[Nhãn] LOT IDA - I - 4810 - ĐL Phúc Nông - HỔ VƯƠNG (Pet vuông)(nắp vàng)(nước nâu đen) - 450ml - 40</v>
      </c>
      <c r="E5758" s="87" t="str">
        <f>IFERROR(__xludf.DUMMYFUNCTION("""COMPUTED_VALUE"""),"HAIHAMEC 3.6EC")</f>
        <v>HAIHAMEC 3.6EC</v>
      </c>
      <c r="F5758" s="87" t="str">
        <f>IFERROR(__xludf.DUMMYFUNCTION("""COMPUTED_VALUE"""),"HH4810")</f>
        <v>HH4810</v>
      </c>
      <c r="G5758" s="87" t="str">
        <f>IFERROR(__xludf.DUMMYFUNCTION("""COMPUTED_VALUE"""),"LOT IDA - I - 4810 - ĐL Phúc Nông - HỔ VƯƠNG (Pet vuông)(nắp vàng)(nước nâu đen) - 450ml - 40")</f>
        <v>LOT IDA - I - 4810 - ĐL Phúc Nông - HỔ VƯƠNG (Pet vuông)(nắp vàng)(nước nâu đen) - 450ml - 40</v>
      </c>
    </row>
    <row r="5759">
      <c r="A5759" s="86">
        <f>IFERROR(__xludf.DUMMYFUNCTION("""COMPUTED_VALUE"""),5757.0)</f>
        <v>5757</v>
      </c>
      <c r="B5759" s="87" t="str">
        <f>IFERROR(__xludf.DUMMYFUNCTION("""COMPUTED_VALUE"""),"[Nhãn]")</f>
        <v>[Nhãn]</v>
      </c>
      <c r="C5759" s="87" t="str">
        <f>IFERROR(__xludf.DUMMYFUNCTION("""COMPUTED_VALUE"""),"NHD4818")</f>
        <v>NHD4818</v>
      </c>
      <c r="D5759" s="87" t="str">
        <f>IFERROR(__xludf.DUMMYFUNCTION("""COMPUTED_VALUE"""),"[Nhãn] GC - V - 4818 - CTY ASAHI NHẬT BẢN - ULTRA BUD (Nước nâu đen) - 18.5L - 1")</f>
        <v>[Nhãn] GC - V - 4818 - CTY ASAHI NHẬT BẢN - ULTRA BUD (Nước nâu đen) - 18.5L - 1</v>
      </c>
      <c r="E5759" s="87" t="str">
        <f>IFERROR(__xludf.DUMMYFUNCTION("""COMPUTED_VALUE"""),"Hữu cơ SH Agro Organic Fertilizer 20")</f>
        <v>Hữu cơ SH Agro Organic Fertilizer 20</v>
      </c>
      <c r="F5759" s="87" t="str">
        <f>IFERROR(__xludf.DUMMYFUNCTION("""COMPUTED_VALUE"""),"HH4818")</f>
        <v>HH4818</v>
      </c>
      <c r="G5759" s="87" t="str">
        <f>IFERROR(__xludf.DUMMYFUNCTION("""COMPUTED_VALUE"""),"GC - V - 4818 - CTY ASAHI NHẬT BẢN - ULTRA BUD (Nước nâu đen) - 18.5L - 1")</f>
        <v>GC - V - 4818 - CTY ASAHI NHẬT BẢN - ULTRA BUD (Nước nâu đen) - 18.5L - 1</v>
      </c>
    </row>
    <row r="5760">
      <c r="A5760" s="86">
        <f>IFERROR(__xludf.DUMMYFUNCTION("""COMPUTED_VALUE"""),5758.0)</f>
        <v>5758</v>
      </c>
      <c r="B5760" s="87" t="str">
        <f>IFERROR(__xludf.DUMMYFUNCTION("""COMPUTED_VALUE"""),"[Nhãn]")</f>
        <v>[Nhãn]</v>
      </c>
      <c r="C5760" s="87" t="str">
        <f>IFERROR(__xludf.DUMMYFUNCTION("""COMPUTED_VALUE"""),"NHD4819")</f>
        <v>NHD4819</v>
      </c>
      <c r="D5760" s="87" t="str">
        <f>IFERROR(__xludf.DUMMYFUNCTION("""COMPUTED_VALUE"""),"[Nhãn] GC - V - 4819 - CTY ASAHI NHẬT BẢN - KINONE KÍCH RỄ (Nước nâu đen) - 18.5L -1")</f>
        <v>[Nhãn] GC - V - 4819 - CTY ASAHI NHẬT BẢN - KINONE KÍCH RỄ (Nước nâu đen) - 18.5L -1</v>
      </c>
      <c r="E5760" s="87" t="str">
        <f>IFERROR(__xludf.DUMMYFUNCTION("""COMPUTED_VALUE"""),"Hữu cơ SH Agro Organic Fertilizer 20")</f>
        <v>Hữu cơ SH Agro Organic Fertilizer 20</v>
      </c>
      <c r="F5760" s="87" t="str">
        <f>IFERROR(__xludf.DUMMYFUNCTION("""COMPUTED_VALUE"""),"HH4819")</f>
        <v>HH4819</v>
      </c>
      <c r="G5760" s="87" t="str">
        <f>IFERROR(__xludf.DUMMYFUNCTION("""COMPUTED_VALUE"""),"GC - V - 4819 - CTY ASAHI NHẬT BẢN - KINONE KÍCH RỄ (Nước nâu đen) - 18.5L -1")</f>
        <v>GC - V - 4819 - CTY ASAHI NHẬT BẢN - KINONE KÍCH RỄ (Nước nâu đen) - 18.5L -1</v>
      </c>
    </row>
    <row r="5761">
      <c r="A5761" s="86">
        <f>IFERROR(__xludf.DUMMYFUNCTION("""COMPUTED_VALUE"""),5759.0)</f>
        <v>5759</v>
      </c>
      <c r="B5761" s="87" t="str">
        <f>IFERROR(__xludf.DUMMYFUNCTION("""COMPUTED_VALUE"""),"[Nhãn]")</f>
        <v>[Nhãn]</v>
      </c>
      <c r="C5761" s="87" t="str">
        <f>IFERROR(__xludf.DUMMYFUNCTION("""COMPUTED_VALUE"""),"NTN4825")</f>
        <v>NTN4825</v>
      </c>
      <c r="D5761" s="87" t="str">
        <f>IFERROR(__xludf.DUMMYFUNCTION("""COMPUTED_VALUE"""),"[Nhãn] GC - V - 4825 - WINDY ALS - WINDY TOP - SẠCH BỆNH (Dạng cốm màu trắng ngà) - 100gr - 100")</f>
        <v>[Nhãn] GC - V - 4825 - WINDY ALS - WINDY TOP - SẠCH BỆNH (Dạng cốm màu trắng ngà) - 100gr - 100</v>
      </c>
      <c r="E5761" s="87" t="str">
        <f>IFERROR(__xludf.DUMMYFUNCTION("""COMPUTED_VALUE"""),"CYAT 525WG")</f>
        <v>CYAT 525WG</v>
      </c>
      <c r="F5761" s="87" t="str">
        <f>IFERROR(__xludf.DUMMYFUNCTION("""COMPUTED_VALUE"""),"HH4825")</f>
        <v>HH4825</v>
      </c>
      <c r="G5761" s="87" t="str">
        <f>IFERROR(__xludf.DUMMYFUNCTION("""COMPUTED_VALUE"""),"GC - V - 4825 - WINDY ALS - WINDY TOP - SẠCH BỆNH (Dạng cốm màu trắng ngà) - 100gr - 100")</f>
        <v>GC - V - 4825 - WINDY ALS - WINDY TOP - SẠCH BỆNH (Dạng cốm màu trắng ngà) - 100gr - 100</v>
      </c>
    </row>
    <row r="5762">
      <c r="A5762" s="86">
        <f>IFERROR(__xludf.DUMMYFUNCTION("""COMPUTED_VALUE"""),5760.0)</f>
        <v>5760</v>
      </c>
      <c r="B5762" s="87" t="str">
        <f>IFERROR(__xludf.DUMMYFUNCTION("""COMPUTED_VALUE"""),"[Nhãn]")</f>
        <v>[Nhãn]</v>
      </c>
      <c r="C5762" s="87" t="str">
        <f>IFERROR(__xludf.DUMMYFUNCTION("""COMPUTED_VALUE"""),"NHD4841")</f>
        <v>NHD4841</v>
      </c>
      <c r="D5762" s="87" t="str">
        <f>IFERROR(__xludf.DUMMYFUNCTION("""COMPUTED_VALUE"""),"[Nhãn] LOT IDA - I - 4841 - ĐL NĂM LONG - ABAMECTIN 3.6 (Nước nâu đen) - 450ml - 40")</f>
        <v>[Nhãn] LOT IDA - I - 4841 - ĐL NĂM LONG - ABAMECTIN 3.6 (Nước nâu đen) - 450ml - 40</v>
      </c>
      <c r="E5762" s="87" t="str">
        <f>IFERROR(__xludf.DUMMYFUNCTION("""COMPUTED_VALUE"""),"HAIHAMEC 3.6EC")</f>
        <v>HAIHAMEC 3.6EC</v>
      </c>
      <c r="F5762" s="87" t="str">
        <f>IFERROR(__xludf.DUMMYFUNCTION("""COMPUTED_VALUE"""),"HH4841")</f>
        <v>HH4841</v>
      </c>
      <c r="G5762" s="87" t="str">
        <f>IFERROR(__xludf.DUMMYFUNCTION("""COMPUTED_VALUE"""),"LOT IDA - I - 4841 - ĐL NĂM LONG - ABAMECTIN 3.6 (Nước nâu đen) - 450ml - 40")</f>
        <v>LOT IDA - I - 4841 - ĐL NĂM LONG - ABAMECTIN 3.6 (Nước nâu đen) - 450ml - 40</v>
      </c>
    </row>
    <row r="5763">
      <c r="A5763" s="86">
        <f>IFERROR(__xludf.DUMMYFUNCTION("""COMPUTED_VALUE"""),5761.0)</f>
        <v>5761</v>
      </c>
      <c r="B5763" s="87" t="str">
        <f>IFERROR(__xludf.DUMMYFUNCTION("""COMPUTED_VALUE"""),"[Nhãn]")</f>
        <v>[Nhãn]</v>
      </c>
      <c r="C5763" s="87" t="str">
        <f>IFERROR(__xludf.DUMMYFUNCTION("""COMPUTED_VALUE"""),"NTN4837")</f>
        <v>NTN4837</v>
      </c>
      <c r="D5763" s="87" t="str">
        <f>IFERROR(__xludf.DUMMYFUNCTION("""COMPUTED_VALUE"""),"[Nhãn] GC - V - 4837 - Cty Thiên Di (A Thành Dol) - Mancozeb Xanh (Bột xanh) - 100gr - 100")</f>
        <v>[Nhãn] GC - V - 4837 - Cty Thiên Di (A Thành Dol) - Mancozeb Xanh (Bột xanh) - 100gr - 100</v>
      </c>
      <c r="E5763" s="87" t="str">
        <f>IFERROR(__xludf.DUMMYFUNCTION("""COMPUTED_VALUE"""),"MANCOBGO 80WP")</f>
        <v>MANCOBGO 80WP</v>
      </c>
      <c r="F5763" s="87" t="str">
        <f>IFERROR(__xludf.DUMMYFUNCTION("""COMPUTED_VALUE"""),"HH4837")</f>
        <v>HH4837</v>
      </c>
      <c r="G5763" s="87" t="str">
        <f>IFERROR(__xludf.DUMMYFUNCTION("""COMPUTED_VALUE"""),"GC - V - 4837 - Cty Thiên Di (A Thành Dol) - Mancozeb Xanh (Bột xanh) - 100gr - 100")</f>
        <v>GC - V - 4837 - Cty Thiên Di (A Thành Dol) - Mancozeb Xanh (Bột xanh) - 100gr - 100</v>
      </c>
    </row>
    <row r="5764">
      <c r="A5764" s="86">
        <f>IFERROR(__xludf.DUMMYFUNCTION("""COMPUTED_VALUE"""),5762.0)</f>
        <v>5762</v>
      </c>
      <c r="B5764" s="87" t="str">
        <f>IFERROR(__xludf.DUMMYFUNCTION("""COMPUTED_VALUE"""),"[Nhãn Thùng]")</f>
        <v>[Nhãn Thùng]</v>
      </c>
      <c r="C5764" s="87" t="str">
        <f>IFERROR(__xludf.DUMMYFUNCTION("""COMPUTED_VALUE"""),"NDT4801")</f>
        <v>NDT4801</v>
      </c>
      <c r="D5764" s="87" t="str">
        <f>IFERROR(__xludf.DUMMYFUNCTION("""COMPUTED_VALUE"""),"[Nhãn Thùng] IDA GLOBAL - I - 4801 - Flower Top (LÚA) - 50ml - 300")</f>
        <v>[Nhãn Thùng] IDA GLOBAL - I - 4801 - Flower Top (LÚA) - 50ml - 300</v>
      </c>
      <c r="E5764" s="87" t="str">
        <f>IFERROR(__xludf.DUMMYFUNCTION("""COMPUTED_VALUE"""),"Vi lượng Basel IDA 47")</f>
        <v>Vi lượng Basel IDA 47</v>
      </c>
      <c r="F5764" s="87" t="str">
        <f>IFERROR(__xludf.DUMMYFUNCTION("""COMPUTED_VALUE"""),"HH4801")</f>
        <v>HH4801</v>
      </c>
      <c r="G5764" s="87" t="str">
        <f>IFERROR(__xludf.DUMMYFUNCTION("""COMPUTED_VALUE"""),"IDA GLOBAL - I - 4801 - Flower Top (LÚA) - 50ml - 300")</f>
        <v>IDA GLOBAL - I - 4801 - Flower Top (LÚA) - 50ml - 300</v>
      </c>
    </row>
    <row r="5765">
      <c r="A5765" s="86">
        <f>IFERROR(__xludf.DUMMYFUNCTION("""COMPUTED_VALUE"""),5763.0)</f>
        <v>5763</v>
      </c>
      <c r="B5765" s="87" t="str">
        <f>IFERROR(__xludf.DUMMYFUNCTION("""COMPUTED_VALUE"""),"[Nhãn Thùng]")</f>
        <v>[Nhãn Thùng]</v>
      </c>
      <c r="C5765" s="87" t="str">
        <f>IFERROR(__xludf.DUMMYFUNCTION("""COMPUTED_VALUE"""),"NDT4810")</f>
        <v>NDT4810</v>
      </c>
      <c r="D5765" s="87" t="str">
        <f>IFERROR(__xludf.DUMMYFUNCTION("""COMPUTED_VALUE"""),"[Nhãn Thùng] LOT IDA - I - 4810 - ĐL Phúc Nông - HỔ VƯƠNG (Pet vuông)(nắp vàng)(nước nâu đen) - 450ml - 40")</f>
        <v>[Nhãn Thùng] LOT IDA - I - 4810 - ĐL Phúc Nông - HỔ VƯƠNG (Pet vuông)(nắp vàng)(nước nâu đen) - 450ml - 40</v>
      </c>
      <c r="E5765" s="87" t="str">
        <f>IFERROR(__xludf.DUMMYFUNCTION("""COMPUTED_VALUE"""),"HAIHAMEC 3.6EC")</f>
        <v>HAIHAMEC 3.6EC</v>
      </c>
      <c r="F5765" s="87" t="str">
        <f>IFERROR(__xludf.DUMMYFUNCTION("""COMPUTED_VALUE"""),"HH4810")</f>
        <v>HH4810</v>
      </c>
      <c r="G5765" s="87" t="str">
        <f>IFERROR(__xludf.DUMMYFUNCTION("""COMPUTED_VALUE"""),"LOT IDA - I - 4810 - ĐL Phúc Nông - HỔ VƯƠNG (Pet vuông)(nắp vàng)(nước nâu đen) - 450ml - 40")</f>
        <v>LOT IDA - I - 4810 - ĐL Phúc Nông - HỔ VƯƠNG (Pet vuông)(nắp vàng)(nước nâu đen) - 450ml - 40</v>
      </c>
    </row>
    <row r="5766">
      <c r="A5766" s="86">
        <f>IFERROR(__xludf.DUMMYFUNCTION("""COMPUTED_VALUE"""),5764.0)</f>
        <v>5764</v>
      </c>
      <c r="B5766" s="87" t="str">
        <f>IFERROR(__xludf.DUMMYFUNCTION("""COMPUTED_VALUE"""),"[Nhãn Thùng]")</f>
        <v>[Nhãn Thùng]</v>
      </c>
      <c r="C5766" s="87" t="str">
        <f>IFERROR(__xludf.DUMMYFUNCTION("""COMPUTED_VALUE"""),"NDT4825")</f>
        <v>NDT4825</v>
      </c>
      <c r="D5766" s="87" t="str">
        <f>IFERROR(__xludf.DUMMYFUNCTION("""COMPUTED_VALUE"""),"[Nhãn Thùng] GC - V - 4825 - WINDY ALS - WINDY TOP - SẠCH BỆNH (Dạng cốm màu trắng ngà) - 100gr - 100")</f>
        <v>[Nhãn Thùng] GC - V - 4825 - WINDY ALS - WINDY TOP - SẠCH BỆNH (Dạng cốm màu trắng ngà) - 100gr - 100</v>
      </c>
      <c r="E5766" s="87" t="str">
        <f>IFERROR(__xludf.DUMMYFUNCTION("""COMPUTED_VALUE"""),"CYAT 525WG")</f>
        <v>CYAT 525WG</v>
      </c>
      <c r="F5766" s="87" t="str">
        <f>IFERROR(__xludf.DUMMYFUNCTION("""COMPUTED_VALUE"""),"HH4825")</f>
        <v>HH4825</v>
      </c>
      <c r="G5766" s="87" t="str">
        <f>IFERROR(__xludf.DUMMYFUNCTION("""COMPUTED_VALUE"""),"GC - V - 4825 - WINDY ALS - WINDY TOP - SẠCH BỆNH (Dạng cốm màu trắng ngà) - 100gr - 100")</f>
        <v>GC - V - 4825 - WINDY ALS - WINDY TOP - SẠCH BỆNH (Dạng cốm màu trắng ngà) - 100gr - 100</v>
      </c>
    </row>
    <row r="5767">
      <c r="A5767" s="86">
        <f>IFERROR(__xludf.DUMMYFUNCTION("""COMPUTED_VALUE"""),5765.0)</f>
        <v>5765</v>
      </c>
      <c r="B5767" s="87" t="str">
        <f>IFERROR(__xludf.DUMMYFUNCTION("""COMPUTED_VALUE"""),"[Nhãn Thùng]")</f>
        <v>[Nhãn Thùng]</v>
      </c>
      <c r="C5767" s="87" t="str">
        <f>IFERROR(__xludf.DUMMYFUNCTION("""COMPUTED_VALUE"""),"NDT4841")</f>
        <v>NDT4841</v>
      </c>
      <c r="D5767" s="87" t="str">
        <f>IFERROR(__xludf.DUMMYFUNCTION("""COMPUTED_VALUE"""),"[Nhãn Thùng] LOT IDA - I - 4841 - ĐL NĂM LONG - ABAMECTIN 3.6 (Nước nâu đen) - 450ml - 40")</f>
        <v>[Nhãn Thùng] LOT IDA - I - 4841 - ĐL NĂM LONG - ABAMECTIN 3.6 (Nước nâu đen) - 450ml - 40</v>
      </c>
      <c r="E5767" s="87" t="str">
        <f>IFERROR(__xludf.DUMMYFUNCTION("""COMPUTED_VALUE"""),"HAIHAMEC 3.6EC")</f>
        <v>HAIHAMEC 3.6EC</v>
      </c>
      <c r="F5767" s="87" t="str">
        <f>IFERROR(__xludf.DUMMYFUNCTION("""COMPUTED_VALUE"""),"HH4841")</f>
        <v>HH4841</v>
      </c>
      <c r="G5767" s="87" t="str">
        <f>IFERROR(__xludf.DUMMYFUNCTION("""COMPUTED_VALUE"""),"LOT IDA - I - 4841 - ĐL NĂM LONG - ABAMECTIN 3.6 (Nước nâu đen) - 450ml - 40")</f>
        <v>LOT IDA - I - 4841 - ĐL NĂM LONG - ABAMECTIN 3.6 (Nước nâu đen) - 450ml - 40</v>
      </c>
    </row>
    <row r="5768">
      <c r="A5768" s="86">
        <f>IFERROR(__xludf.DUMMYFUNCTION("""COMPUTED_VALUE"""),5766.0)</f>
        <v>5766</v>
      </c>
      <c r="B5768" s="87" t="str">
        <f>IFERROR(__xludf.DUMMYFUNCTION("""COMPUTED_VALUE"""),"[Nhãn Thùng]")</f>
        <v>[Nhãn Thùng]</v>
      </c>
      <c r="C5768" s="87" t="str">
        <f>IFERROR(__xludf.DUMMYFUNCTION("""COMPUTED_VALUE"""),"NDT4826")</f>
        <v>NDT4826</v>
      </c>
      <c r="D5768" s="87" t="str">
        <f>IFERROR(__xludf.DUMMYFUNCTION("""COMPUTED_VALUE"""),"[Nhãn Thùng] GC - V - 4826 - WINDY ALS - NHỆN SINH HỌC 3.6 (Nước tím) - 450ml - 40")</f>
        <v>[Nhãn Thùng] GC - V - 4826 - WINDY ALS - NHỆN SINH HỌC 3.6 (Nước tím) - 450ml - 40</v>
      </c>
      <c r="E5768" s="87" t="str">
        <f>IFERROR(__xludf.DUMMYFUNCTION("""COMPUTED_VALUE"""),"Chitin 3.6EC")</f>
        <v>Chitin 3.6EC</v>
      </c>
      <c r="F5768" s="87" t="str">
        <f>IFERROR(__xludf.DUMMYFUNCTION("""COMPUTED_VALUE"""),"HH4826")</f>
        <v>HH4826</v>
      </c>
      <c r="G5768" s="87" t="str">
        <f>IFERROR(__xludf.DUMMYFUNCTION("""COMPUTED_VALUE"""),"GC - V - 4826 - WINDY ALS - NHỆN SINH HỌC 3.6 (Nước tím) - 450ml - 40")</f>
        <v>GC - V - 4826 - WINDY ALS - NHỆN SINH HỌC 3.6 (Nước tím) - 450ml - 40</v>
      </c>
    </row>
    <row r="5769">
      <c r="A5769" s="86">
        <f>IFERROR(__xludf.DUMMYFUNCTION("""COMPUTED_VALUE"""),5767.0)</f>
        <v>5767</v>
      </c>
      <c r="B5769" s="87" t="str">
        <f>IFERROR(__xludf.DUMMYFUNCTION("""COMPUTED_VALUE"""),"[Nhãn Thùng]")</f>
        <v>[Nhãn Thùng]</v>
      </c>
      <c r="C5769" s="87" t="str">
        <f>IFERROR(__xludf.DUMMYFUNCTION("""COMPUTED_VALUE"""),"NDT4824")</f>
        <v>NDT4824</v>
      </c>
      <c r="D5769" s="87" t="str">
        <f>IFERROR(__xludf.DUMMYFUNCTION("""COMPUTED_VALUE"""),"[Nhãn Thùng] GC - V - 4824 - CTY ACE VIỆT NAM - CHESSIN 600WP (Bột trắng ngà) - 25gr - 400")</f>
        <v>[Nhãn Thùng] GC - V - 4824 - CTY ACE VIỆT NAM - CHESSIN 600WP (Bột trắng ngà) - 25gr - 400</v>
      </c>
      <c r="E5769" s="87" t="str">
        <f>IFERROR(__xludf.DUMMYFUNCTION("""COMPUTED_VALUE"""),"CHESSIN 600WP")</f>
        <v>CHESSIN 600WP</v>
      </c>
      <c r="F5769" s="87" t="str">
        <f>IFERROR(__xludf.DUMMYFUNCTION("""COMPUTED_VALUE"""),"HH4824")</f>
        <v>HH4824</v>
      </c>
      <c r="G5769" s="87" t="str">
        <f>IFERROR(__xludf.DUMMYFUNCTION("""COMPUTED_VALUE"""),"GC - V - 4824 - CTY ACE VIỆT NAM - CHESSIN 600WP (Bột trắng ngà) - 25gr - 400")</f>
        <v>GC - V - 4824 - CTY ACE VIỆT NAM - CHESSIN 600WP (Bột trắng ngà) - 25gr - 400</v>
      </c>
    </row>
    <row r="5770">
      <c r="A5770" s="86">
        <f>IFERROR(__xludf.DUMMYFUNCTION("""COMPUTED_VALUE"""),5768.0)</f>
        <v>5768</v>
      </c>
      <c r="B5770" s="87" t="str">
        <f>IFERROR(__xludf.DUMMYFUNCTION("""COMPUTED_VALUE"""),"[Nhãn]")</f>
        <v>[Nhãn]</v>
      </c>
      <c r="C5770" s="87" t="str">
        <f>IFERROR(__xludf.DUMMYFUNCTION("""COMPUTED_VALUE"""),"NHD4727")</f>
        <v>NHD4727</v>
      </c>
      <c r="D5770" s="87" t="str">
        <f>IFERROR(__xludf.DUMMYFUNCTION("""COMPUTED_VALUE"""),"[Nhãn] GC - V - 4727 - NHP GROUP - MÃNG XÀ (Nước Tím) - 450ml - 40")</f>
        <v>[Nhãn] GC - V - 4727 - NHP GROUP - MÃNG XÀ (Nước Tím) - 450ml - 40</v>
      </c>
      <c r="E5770" s="87" t="str">
        <f>IFERROR(__xludf.DUMMYFUNCTION("""COMPUTED_VALUE"""),"ABASBA 50EC")</f>
        <v>ABASBA 50EC</v>
      </c>
      <c r="F5770" s="87" t="str">
        <f>IFERROR(__xludf.DUMMYFUNCTION("""COMPUTED_VALUE"""),"HH4727")</f>
        <v>HH4727</v>
      </c>
      <c r="G5770" s="87" t="str">
        <f>IFERROR(__xludf.DUMMYFUNCTION("""COMPUTED_VALUE"""),"GC - V - 4727 - NHP GROUP - MÃNG XÀ (Nước Tím) - 450ml - 40")</f>
        <v>GC - V - 4727 - NHP GROUP - MÃNG XÀ (Nước Tím) - 450ml - 40</v>
      </c>
    </row>
    <row r="5771">
      <c r="A5771" s="86">
        <f>IFERROR(__xludf.DUMMYFUNCTION("""COMPUTED_VALUE"""),5769.0)</f>
        <v>5769</v>
      </c>
      <c r="B5771" s="87" t="str">
        <f>IFERROR(__xludf.DUMMYFUNCTION("""COMPUTED_VALUE"""),"[Nhãn Thùng]")</f>
        <v>[Nhãn Thùng]</v>
      </c>
      <c r="C5771" s="87" t="str">
        <f>IFERROR(__xludf.DUMMYFUNCTION("""COMPUTED_VALUE"""),"NDT4727")</f>
        <v>NDT4727</v>
      </c>
      <c r="D5771" s="87" t="str">
        <f>IFERROR(__xludf.DUMMYFUNCTION("""COMPUTED_VALUE"""),"[Nhãn Thùng] GC - V - 4727 - NHP GROUP - MÃNG XÀ (Nước Tím) - 450ml - 40")</f>
        <v>[Nhãn Thùng] GC - V - 4727 - NHP GROUP - MÃNG XÀ (Nước Tím) - 450ml - 40</v>
      </c>
      <c r="E5771" s="87" t="str">
        <f>IFERROR(__xludf.DUMMYFUNCTION("""COMPUTED_VALUE"""),"ABASBA 50EC")</f>
        <v>ABASBA 50EC</v>
      </c>
      <c r="F5771" s="87" t="str">
        <f>IFERROR(__xludf.DUMMYFUNCTION("""COMPUTED_VALUE"""),"HH4727")</f>
        <v>HH4727</v>
      </c>
      <c r="G5771" s="87" t="str">
        <f>IFERROR(__xludf.DUMMYFUNCTION("""COMPUTED_VALUE"""),"GC - V - 4727 - NHP GROUP - MÃNG XÀ (Nước Tím) - 450ml - 40")</f>
        <v>GC - V - 4727 - NHP GROUP - MÃNG XÀ (Nước Tím) - 450ml - 40</v>
      </c>
    </row>
    <row r="5772">
      <c r="A5772" s="86">
        <f>IFERROR(__xludf.DUMMYFUNCTION("""COMPUTED_VALUE"""),5770.0)</f>
        <v>5770</v>
      </c>
      <c r="B5772" s="87" t="str">
        <f>IFERROR(__xludf.DUMMYFUNCTION("""COMPUTED_VALUE"""),"[Nhãn Thùng]")</f>
        <v>[Nhãn Thùng]</v>
      </c>
      <c r="C5772" s="87" t="str">
        <f>IFERROR(__xludf.DUMMYFUNCTION("""COMPUTED_VALUE"""),"NDT4837")</f>
        <v>NDT4837</v>
      </c>
      <c r="D5772" s="87" t="str">
        <f>IFERROR(__xludf.DUMMYFUNCTION("""COMPUTED_VALUE"""),"[Nhãn Thùng] GC - V - 4837 - Cty Thiên Di (A Thành Dol) - Mancozeb Xanh (Bột xanh) - 100gr - 100")</f>
        <v>[Nhãn Thùng] GC - V - 4837 - Cty Thiên Di (A Thành Dol) - Mancozeb Xanh (Bột xanh) - 100gr - 100</v>
      </c>
      <c r="E5772" s="87" t="str">
        <f>IFERROR(__xludf.DUMMYFUNCTION("""COMPUTED_VALUE"""),"MANCOBGO 80WP")</f>
        <v>MANCOBGO 80WP</v>
      </c>
      <c r="F5772" s="87" t="str">
        <f>IFERROR(__xludf.DUMMYFUNCTION("""COMPUTED_VALUE"""),"HH4837")</f>
        <v>HH4837</v>
      </c>
      <c r="G5772" s="87" t="str">
        <f>IFERROR(__xludf.DUMMYFUNCTION("""COMPUTED_VALUE"""),"GC - V - 4837 - Cty Thiên Di (A Thành Dol) - Mancozeb Xanh (Bột xanh) - 100gr - 100")</f>
        <v>GC - V - 4837 - Cty Thiên Di (A Thành Dol) - Mancozeb Xanh (Bột xanh) - 100gr - 100</v>
      </c>
    </row>
    <row r="5773">
      <c r="A5773" s="86">
        <f>IFERROR(__xludf.DUMMYFUNCTION("""COMPUTED_VALUE"""),5771.0)</f>
        <v>5771</v>
      </c>
      <c r="B5773" s="87" t="str">
        <f>IFERROR(__xludf.DUMMYFUNCTION("""COMPUTED_VALUE"""),"[Nhãn]")</f>
        <v>[Nhãn]</v>
      </c>
      <c r="C5773" s="87" t="str">
        <f>IFERROR(__xludf.DUMMYFUNCTION("""COMPUTED_VALUE"""),"NTN4813")</f>
        <v>NTN4813</v>
      </c>
      <c r="D5773" s="87" t="str">
        <f>IFERROR(__xludf.DUMMYFUNCTION("""COMPUTED_VALUE"""),"[Nhãn] GC - V - 4813 - CTY HƯƠNG NÔNG - NOMIDA 700WG (Dạng cốm màu trắng ngà) - 80gr - 100")</f>
        <v>[Nhãn] GC - V - 4813 - CTY HƯƠNG NÔNG - NOMIDA 700WG (Dạng cốm màu trắng ngà) - 80gr - 100</v>
      </c>
      <c r="E5773" s="87" t="str">
        <f>IFERROR(__xludf.DUMMYFUNCTION("""COMPUTED_VALUE"""),"NOMIDA 700WG")</f>
        <v>NOMIDA 700WG</v>
      </c>
      <c r="F5773" s="87" t="str">
        <f>IFERROR(__xludf.DUMMYFUNCTION("""COMPUTED_VALUE"""),"HH4813")</f>
        <v>HH4813</v>
      </c>
      <c r="G5773" s="87" t="str">
        <f>IFERROR(__xludf.DUMMYFUNCTION("""COMPUTED_VALUE"""),"GC - V - 4813 - CTY HƯƠNG NÔNG - NOMIDA 700WG (Dạng cốm màu trắng ngà) - 80gr - 100")</f>
        <v>GC - V - 4813 - CTY HƯƠNG NÔNG - NOMIDA 700WG (Dạng cốm màu trắng ngà) - 80gr - 100</v>
      </c>
    </row>
    <row r="5774">
      <c r="A5774" s="86">
        <f>IFERROR(__xludf.DUMMYFUNCTION("""COMPUTED_VALUE"""),5772.0)</f>
        <v>5772</v>
      </c>
      <c r="B5774" s="87" t="str">
        <f>IFERROR(__xludf.DUMMYFUNCTION("""COMPUTED_VALUE"""),"[Nhãn]")</f>
        <v>[Nhãn]</v>
      </c>
      <c r="C5774" s="87" t="str">
        <f>IFERROR(__xludf.DUMMYFUNCTION("""COMPUTED_VALUE"""),"NTN4716")</f>
        <v>NTN4716</v>
      </c>
      <c r="D5774" s="87" t="str">
        <f>IFERROR(__xludf.DUMMYFUNCTION("""COMPUTED_VALUE"""),"[Nhãn] GC - V - 4716 - NHP GROUP -  OXYCIN 100WP (Bột màu trắng) - 100gr - 100")</f>
        <v>[Nhãn] GC - V - 4716 - NHP GROUP -  OXYCIN 100WP (Bột màu trắng) - 100gr - 100</v>
      </c>
      <c r="E5774" s="87" t="str">
        <f>IFERROR(__xludf.DUMMYFUNCTION("""COMPUTED_VALUE"""),"Oxycin 100WP")</f>
        <v>Oxycin 100WP</v>
      </c>
      <c r="F5774" s="87" t="str">
        <f>IFERROR(__xludf.DUMMYFUNCTION("""COMPUTED_VALUE"""),"HH4716")</f>
        <v>HH4716</v>
      </c>
      <c r="G5774" s="87" t="str">
        <f>IFERROR(__xludf.DUMMYFUNCTION("""COMPUTED_VALUE"""),"GC - V - 4716 - NHP GROUP -  OXYCIN 100WP (Bột màu trắng) - 100gr - 100")</f>
        <v>GC - V - 4716 - NHP GROUP -  OXYCIN 100WP (Bột màu trắng) - 100gr - 100</v>
      </c>
    </row>
    <row r="5775">
      <c r="A5775" s="86">
        <f>IFERROR(__xludf.DUMMYFUNCTION("""COMPUTED_VALUE"""),5773.0)</f>
        <v>5773</v>
      </c>
      <c r="B5775" s="87" t="str">
        <f>IFERROR(__xludf.DUMMYFUNCTION("""COMPUTED_VALUE"""),"[Nhãn]")</f>
        <v>[Nhãn]</v>
      </c>
      <c r="C5775" s="87" t="str">
        <f>IFERROR(__xludf.DUMMYFUNCTION("""COMPUTED_VALUE"""),"NHG4823")</f>
        <v>NHG4823</v>
      </c>
      <c r="D5775" s="87" t="str">
        <f>IFERROR(__xludf.DUMMYFUNCTION("""COMPUTED_VALUE"""),"[Nhãn] IDA Global - I - 4823 - ĐL LÊ NGUYỄN - CỨNG CÂY 304 (Nước nâu đen) - 500ml - 40")</f>
        <v>[Nhãn] IDA Global - I - 4823 - ĐL LÊ NGUYỄN - CỨNG CÂY 304 (Nước nâu đen) - 500ml - 40</v>
      </c>
      <c r="E5775" s="87" t="str">
        <f>IFERROR(__xludf.DUMMYFUNCTION("""COMPUTED_VALUE"""),"Hữu cơ SH Agro Organic Fertilizer 20")</f>
        <v>Hữu cơ SH Agro Organic Fertilizer 20</v>
      </c>
      <c r="F5775" s="87" t="str">
        <f>IFERROR(__xludf.DUMMYFUNCTION("""COMPUTED_VALUE"""),"HH4823")</f>
        <v>HH4823</v>
      </c>
      <c r="G5775" s="87" t="str">
        <f>IFERROR(__xludf.DUMMYFUNCTION("""COMPUTED_VALUE"""),"IDA Global - I - 4823 - ĐL LÊ NGUYỄN - CỨNG CÂY 304 (Nước nâu đen) - 500ml - 40")</f>
        <v>IDA Global - I - 4823 - ĐL LÊ NGUYỄN - CỨNG CÂY 304 (Nước nâu đen) - 500ml - 40</v>
      </c>
    </row>
    <row r="5776">
      <c r="A5776" s="86">
        <f>IFERROR(__xludf.DUMMYFUNCTION("""COMPUTED_VALUE"""),5774.0)</f>
        <v>5774</v>
      </c>
      <c r="B5776" s="87" t="str">
        <f>IFERROR(__xludf.DUMMYFUNCTION("""COMPUTED_VALUE"""),"[Nhãn]")</f>
        <v>[Nhãn]</v>
      </c>
      <c r="C5776" s="87" t="str">
        <f>IFERROR(__xludf.DUMMYFUNCTION("""COMPUTED_VALUE"""),"NHG4842")</f>
        <v>NHG4842</v>
      </c>
      <c r="D5776" s="87" t="str">
        <f>IFERROR(__xludf.DUMMYFUNCTION("""COMPUTED_VALUE"""),"[Nhãn] IDA Global - I - 4842 - ĐL LÊ NGUYỄN - FLOWER TOP (Nước trắng sữa) - 450ml - 40")</f>
        <v>[Nhãn] IDA Global - I - 4842 - ĐL LÊ NGUYỄN - FLOWER TOP (Nước trắng sữa) - 450ml - 40</v>
      </c>
      <c r="E5776" s="87" t="str">
        <f>IFERROR(__xludf.DUMMYFUNCTION("""COMPUTED_VALUE"""),"Vi lượng Basel IDA 47")</f>
        <v>Vi lượng Basel IDA 47</v>
      </c>
      <c r="F5776" s="87" t="str">
        <f>IFERROR(__xludf.DUMMYFUNCTION("""COMPUTED_VALUE"""),"HH4842")</f>
        <v>HH4842</v>
      </c>
      <c r="G5776" s="87" t="str">
        <f>IFERROR(__xludf.DUMMYFUNCTION("""COMPUTED_VALUE"""),"IDA Global - I - 4842 - ĐL LÊ NGUYỄN - FLOWER TOP (Nước trắng sữa) - 450ml - 40")</f>
        <v>IDA Global - I - 4842 - ĐL LÊ NGUYỄN - FLOWER TOP (Nước trắng sữa) - 450ml - 40</v>
      </c>
    </row>
    <row r="5777">
      <c r="A5777" s="86">
        <f>IFERROR(__xludf.DUMMYFUNCTION("""COMPUTED_VALUE"""),5775.0)</f>
        <v>5775</v>
      </c>
      <c r="B5777" s="87" t="str">
        <f>IFERROR(__xludf.DUMMYFUNCTION("""COMPUTED_VALUE"""),"[Nhãn]")</f>
        <v>[Nhãn]</v>
      </c>
      <c r="C5777" s="87" t="str">
        <f>IFERROR(__xludf.DUMMYFUNCTION("""COMPUTED_VALUE"""),"NHG4769")</f>
        <v>NHG4769</v>
      </c>
      <c r="D5777" s="87" t="str">
        <f>IFERROR(__xludf.DUMMYFUNCTION("""COMPUTED_VALUE"""),"[Nhãn] BAMBOO (ĐL CHÍN THÔNG) - VI - 4769 - BAMBOO DOUBLE STOP MỚI (Nước nâu đen) - 1L - 20")</f>
        <v>[Nhãn] BAMBOO (ĐL CHÍN THÔNG) - VI - 4769 - BAMBOO DOUBLE STOP MỚI (Nước nâu đen) - 1L - 20</v>
      </c>
      <c r="E5777" s="87" t="str">
        <f>IFERROR(__xludf.DUMMYFUNCTION("""COMPUTED_VALUE"""),"Vi lượng Quantity New")</f>
        <v>Vi lượng Quantity New</v>
      </c>
      <c r="F5777" s="87" t="str">
        <f>IFERROR(__xludf.DUMMYFUNCTION("""COMPUTED_VALUE"""),"HH4769")</f>
        <v>HH4769</v>
      </c>
      <c r="G5777" s="87" t="str">
        <f>IFERROR(__xludf.DUMMYFUNCTION("""COMPUTED_VALUE"""),"BAMBOO (ĐL CHÍN THÔNG) - VI - 4769 - BAMBOO DOUBLE STOP MỚI (Nước nâu đen) - 1L - 20")</f>
        <v>BAMBOO (ĐL CHÍN THÔNG) - VI - 4769 - BAMBOO DOUBLE STOP MỚI (Nước nâu đen) - 1L - 20</v>
      </c>
    </row>
    <row r="5778">
      <c r="A5778" s="86">
        <f>IFERROR(__xludf.DUMMYFUNCTION("""COMPUTED_VALUE"""),5776.0)</f>
        <v>5776</v>
      </c>
      <c r="B5778" s="87" t="str">
        <f>IFERROR(__xludf.DUMMYFUNCTION("""COMPUTED_VALUE"""),"[Nhãn]")</f>
        <v>[Nhãn]</v>
      </c>
      <c r="C5778" s="87" t="str">
        <f>IFERROR(__xludf.DUMMYFUNCTION("""COMPUTED_VALUE"""),"NHD4791")</f>
        <v>NHD4791</v>
      </c>
      <c r="D5778" s="87" t="str">
        <f>IFERROR(__xludf.DUMMYFUNCTION("""COMPUTED_VALUE"""),"[Nhãn] LOT IDA Global - I - 4791 - THẦN HỔ (Nước trong) - 450ml - 40")</f>
        <v>[Nhãn] LOT IDA Global - I - 4791 - THẦN HỔ (Nước trong) - 450ml - 40</v>
      </c>
      <c r="E5778" s="87" t="str">
        <f>IFERROR(__xludf.DUMMYFUNCTION("""COMPUTED_VALUE"""),"HAIHAMEC 3.6EC")</f>
        <v>HAIHAMEC 3.6EC</v>
      </c>
      <c r="F5778" s="87" t="str">
        <f>IFERROR(__xludf.DUMMYFUNCTION("""COMPUTED_VALUE"""),"HH4791")</f>
        <v>HH4791</v>
      </c>
      <c r="G5778" s="87" t="str">
        <f>IFERROR(__xludf.DUMMYFUNCTION("""COMPUTED_VALUE"""),"LOT IDA Global - I - 4791 - THẦN HỔ (Nước trong) - 450ml - 40")</f>
        <v>LOT IDA Global - I - 4791 - THẦN HỔ (Nước trong) - 450ml - 40</v>
      </c>
    </row>
    <row r="5779">
      <c r="A5779" s="86">
        <f>IFERROR(__xludf.DUMMYFUNCTION("""COMPUTED_VALUE"""),5777.0)</f>
        <v>5777</v>
      </c>
      <c r="B5779" s="87" t="str">
        <f>IFERROR(__xludf.DUMMYFUNCTION("""COMPUTED_VALUE"""),"[Nhãn]")</f>
        <v>[Nhãn]</v>
      </c>
      <c r="C5779" s="87" t="str">
        <f>IFERROR(__xludf.DUMMYFUNCTION("""COMPUTED_VALUE"""),"NHG4833")</f>
        <v>NHG4833</v>
      </c>
      <c r="D5779" s="87" t="str">
        <f>IFERROR(__xludf.DUMMYFUNCTION("""COMPUTED_VALUE"""),"[Nhãn] GC - V - 4833 - Cty GNH (A.Thời) - Mekongvil 5SC (nước trắng sữa) - 1L - 20")</f>
        <v>[Nhãn] GC - V - 4833 - Cty GNH (A.Thời) - Mekongvil 5SC (nước trắng sữa) - 1L - 20</v>
      </c>
      <c r="E5779" s="87" t="str">
        <f>IFERROR(__xludf.DUMMYFUNCTION("""COMPUTED_VALUE"""),"Mekongvil 5SC")</f>
        <v>Mekongvil 5SC</v>
      </c>
      <c r="F5779" s="87" t="str">
        <f>IFERROR(__xludf.DUMMYFUNCTION("""COMPUTED_VALUE"""),"HH4833")</f>
        <v>HH4833</v>
      </c>
      <c r="G5779" s="87" t="str">
        <f>IFERROR(__xludf.DUMMYFUNCTION("""COMPUTED_VALUE"""),"GC - V - 4833 - Cty GNH (A.Thời) - Mekongvil 5SC (nước trắng sữa) - 1L - 20")</f>
        <v>GC - V - 4833 - Cty GNH (A.Thời) - Mekongvil 5SC (nước trắng sữa) - 1L - 20</v>
      </c>
    </row>
    <row r="5780">
      <c r="A5780" s="86">
        <f>IFERROR(__xludf.DUMMYFUNCTION("""COMPUTED_VALUE"""),5778.0)</f>
        <v>5778</v>
      </c>
      <c r="B5780" s="87" t="str">
        <f>IFERROR(__xludf.DUMMYFUNCTION("""COMPUTED_VALUE"""),"[Nhãn]")</f>
        <v>[Nhãn]</v>
      </c>
      <c r="C5780" s="87" t="str">
        <f>IFERROR(__xludf.DUMMYFUNCTION("""COMPUTED_VALUE"""),"NTN4839")</f>
        <v>NTN4839</v>
      </c>
      <c r="D5780" s="87" t="str">
        <f>IFERROR(__xludf.DUMMYFUNCTION("""COMPUTED_VALUE"""),"[Nhãn] GC - V - 4839 - CTY ITALY - VÀNG GOLD M10 (Bột vàng) - 500gr - 30")</f>
        <v>[Nhãn] GC - V - 4839 - CTY ITALY - VÀNG GOLD M10 (Bột vàng) - 500gr - 30</v>
      </c>
      <c r="E5780" s="87" t="str">
        <f>IFERROR(__xludf.DUMMYFUNCTION("""COMPUTED_VALUE"""),"Hoanganhbul 72WP")</f>
        <v>Hoanganhbul 72WP</v>
      </c>
      <c r="F5780" s="87" t="str">
        <f>IFERROR(__xludf.DUMMYFUNCTION("""COMPUTED_VALUE"""),"HH4839")</f>
        <v>HH4839</v>
      </c>
      <c r="G5780" s="87" t="str">
        <f>IFERROR(__xludf.DUMMYFUNCTION("""COMPUTED_VALUE"""),"GC - V - 4839 - CTY ITALY - VÀNG GOLD M10 (Bột vàng) - 500gr - 30")</f>
        <v>GC - V - 4839 - CTY ITALY - VÀNG GOLD M10 (Bột vàng) - 500gr - 30</v>
      </c>
    </row>
    <row r="5781">
      <c r="A5781" s="86">
        <f>IFERROR(__xludf.DUMMYFUNCTION("""COMPUTED_VALUE"""),5779.0)</f>
        <v>5779</v>
      </c>
      <c r="B5781" s="87" t="str">
        <f>IFERROR(__xludf.DUMMYFUNCTION("""COMPUTED_VALUE"""),"[Nhãn]")</f>
        <v>[Nhãn]</v>
      </c>
      <c r="C5781" s="87" t="str">
        <f>IFERROR(__xludf.DUMMYFUNCTION("""COMPUTED_VALUE"""),"NHG4831")</f>
        <v>NHG4831</v>
      </c>
      <c r="D5781" s="87" t="str">
        <f>IFERROR(__xludf.DUMMYFUNCTION("""COMPUTED_VALUE"""),"[Nhãn] IDA Global - I - 4831 - ĐL LÂM ANH TUẤN - Bimsuper 650SC (Nước hồng cam) - 240ml - 40")</f>
        <v>[Nhãn] IDA Global - I - 4831 - ĐL LÂM ANH TUẤN - Bimsuper 650SC (Nước hồng cam) - 240ml - 40</v>
      </c>
      <c r="E5781" s="87" t="str">
        <f>IFERROR(__xludf.DUMMYFUNCTION("""COMPUTED_VALUE"""),"BIMSUPER 650SC")</f>
        <v>BIMSUPER 650SC</v>
      </c>
      <c r="F5781" s="87" t="str">
        <f>IFERROR(__xludf.DUMMYFUNCTION("""COMPUTED_VALUE"""),"HH4831")</f>
        <v>HH4831</v>
      </c>
      <c r="G5781" s="87" t="str">
        <f>IFERROR(__xludf.DUMMYFUNCTION("""COMPUTED_VALUE"""),"IDA Global - I - 4831 - ĐL LÂM ANH TUẤN - Bimsuper 650SC (Nước hồng cam) - 240ml - 40")</f>
        <v>IDA Global - I - 4831 - ĐL LÂM ANH TUẤN - Bimsuper 650SC (Nước hồng cam) - 240ml - 40</v>
      </c>
    </row>
    <row r="5782">
      <c r="A5782" s="86">
        <f>IFERROR(__xludf.DUMMYFUNCTION("""COMPUTED_VALUE"""),5780.0)</f>
        <v>5780</v>
      </c>
      <c r="B5782" s="87" t="str">
        <f>IFERROR(__xludf.DUMMYFUNCTION("""COMPUTED_VALUE"""),"[Nhãn]")</f>
        <v>[Nhãn]</v>
      </c>
      <c r="C5782" s="87" t="str">
        <f>IFERROR(__xludf.DUMMYFUNCTION("""COMPUTED_VALUE"""),"NHG4832")</f>
        <v>NHG4832</v>
      </c>
      <c r="D5782" s="87" t="str">
        <f>IFERROR(__xludf.DUMMYFUNCTION("""COMPUTED_VALUE"""),"[Nhãn] IDA Global - I - 4832 - ĐL LÂM ANH TUẤN - GENOL 1.2SL (nước đỏ) - 240ml - 40")</f>
        <v>[Nhãn] IDA Global - I - 4832 - ĐL LÂM ANH TUẤN - GENOL 1.2SL (nước đỏ) - 240ml - 40</v>
      </c>
      <c r="E5782" s="87" t="str">
        <f>IFERROR(__xludf.DUMMYFUNCTION("""COMPUTED_VALUE"""),"GENOL 1.2SL")</f>
        <v>GENOL 1.2SL</v>
      </c>
      <c r="F5782" s="87" t="str">
        <f>IFERROR(__xludf.DUMMYFUNCTION("""COMPUTED_VALUE"""),"HH4832")</f>
        <v>HH4832</v>
      </c>
      <c r="G5782" s="87" t="str">
        <f>IFERROR(__xludf.DUMMYFUNCTION("""COMPUTED_VALUE"""),"IDA Global - I - 4832 - ĐL LÂM ANH TUẤN - GENOL 1.2SL (nước đỏ) - 240ml - 40")</f>
        <v>IDA Global - I - 4832 - ĐL LÂM ANH TUẤN - GENOL 1.2SL (nước đỏ) - 240ml - 40</v>
      </c>
    </row>
    <row r="5783">
      <c r="A5783" s="86">
        <f>IFERROR(__xludf.DUMMYFUNCTION("""COMPUTED_VALUE"""),5781.0)</f>
        <v>5781</v>
      </c>
      <c r="B5783" s="87" t="str">
        <f>IFERROR(__xludf.DUMMYFUNCTION("""COMPUTED_VALUE"""),"[Nhãn]")</f>
        <v>[Nhãn]</v>
      </c>
      <c r="C5783" s="87" t="str">
        <f>IFERROR(__xludf.DUMMYFUNCTION("""COMPUTED_VALUE"""),"NHG4836")</f>
        <v>NHG4836</v>
      </c>
      <c r="D5783" s="87" t="str">
        <f>IFERROR(__xludf.DUMMYFUNCTION("""COMPUTED_VALUE"""),"[Nhãn] LOT IDA Global - I - 4836 - ĐL TRUNG HIỀN - HAIHAMEC 3.6EC (Nước nâu đen) - 450ml - 40")</f>
        <v>[Nhãn] LOT IDA Global - I - 4836 - ĐL TRUNG HIỀN - HAIHAMEC 3.6EC (Nước nâu đen) - 450ml - 40</v>
      </c>
      <c r="E5783" s="87" t="str">
        <f>IFERROR(__xludf.DUMMYFUNCTION("""COMPUTED_VALUE"""),"HAIHAMEC 3.6EC")</f>
        <v>HAIHAMEC 3.6EC</v>
      </c>
      <c r="F5783" s="87" t="str">
        <f>IFERROR(__xludf.DUMMYFUNCTION("""COMPUTED_VALUE"""),"HH4836")</f>
        <v>HH4836</v>
      </c>
      <c r="G5783" s="87" t="str">
        <f>IFERROR(__xludf.DUMMYFUNCTION("""COMPUTED_VALUE"""),"LOT IDA Global - I - 4836 - ĐL TRUNG HIỀN - HAIHAMEC 3.6EC (Nước nâu đen) - 450ml - 40")</f>
        <v>LOT IDA Global - I - 4836 - ĐL TRUNG HIỀN - HAIHAMEC 3.6EC (Nước nâu đen) - 450ml - 40</v>
      </c>
    </row>
    <row r="5784">
      <c r="A5784" s="86">
        <f>IFERROR(__xludf.DUMMYFUNCTION("""COMPUTED_VALUE"""),5782.0)</f>
        <v>5782</v>
      </c>
      <c r="B5784" s="87" t="str">
        <f>IFERROR(__xludf.DUMMYFUNCTION("""COMPUTED_VALUE"""),"[Nhãn]")</f>
        <v>[Nhãn]</v>
      </c>
      <c r="C5784" s="87" t="str">
        <f>IFERROR(__xludf.DUMMYFUNCTION("""COMPUTED_VALUE"""),"NHG4848")</f>
        <v>NHG4848</v>
      </c>
      <c r="D5784" s="87" t="str">
        <f>IFERROR(__xludf.DUMMYFUNCTION("""COMPUTED_VALUE"""),"[Nhãn] LOT IDA Global - I - 4848 - ĐL Nhật Linh - HAIHAMEC 3.6EC (nước nâu đen) - 450ml - 40")</f>
        <v>[Nhãn] LOT IDA Global - I - 4848 - ĐL Nhật Linh - HAIHAMEC 3.6EC (nước nâu đen) - 450ml - 40</v>
      </c>
      <c r="E5784" s="87" t="str">
        <f>IFERROR(__xludf.DUMMYFUNCTION("""COMPUTED_VALUE"""),"HAIHAMEC 3.6EC")</f>
        <v>HAIHAMEC 3.6EC</v>
      </c>
      <c r="F5784" s="87" t="str">
        <f>IFERROR(__xludf.DUMMYFUNCTION("""COMPUTED_VALUE"""),"HH4848")</f>
        <v>HH4848</v>
      </c>
      <c r="G5784" s="87" t="str">
        <f>IFERROR(__xludf.DUMMYFUNCTION("""COMPUTED_VALUE"""),"LOT IDA Global - I - 4848 - ĐL Nhật Linh - HAIHAMEC 3.6EC (nước nâu đen) - 450ml - 40")</f>
        <v>LOT IDA Global - I - 4848 - ĐL Nhật Linh - HAIHAMEC 3.6EC (nước nâu đen) - 450ml - 40</v>
      </c>
    </row>
    <row r="5785">
      <c r="A5785" s="86">
        <f>IFERROR(__xludf.DUMMYFUNCTION("""COMPUTED_VALUE"""),5783.0)</f>
        <v>5783</v>
      </c>
      <c r="B5785" s="87" t="str">
        <f>IFERROR(__xludf.DUMMYFUNCTION("""COMPUTED_VALUE"""),"[Nhãn]")</f>
        <v>[Nhãn]</v>
      </c>
      <c r="C5785" s="87" t="str">
        <f>IFERROR(__xludf.DUMMYFUNCTION("""COMPUTED_VALUE"""),"NHG4835")</f>
        <v>NHG4835</v>
      </c>
      <c r="D5785" s="87" t="str">
        <f>IFERROR(__xludf.DUMMYFUNCTION("""COMPUTED_VALUE"""),"[Nhãn] LOT IDA Global - I - 4835 - ĐL LỆ HỒNG 2 - HAIHAMEC 3.6EC (Nước nâu đen) - 450ml - 40")</f>
        <v>[Nhãn] LOT IDA Global - I - 4835 - ĐL LỆ HỒNG 2 - HAIHAMEC 3.6EC (Nước nâu đen) - 450ml - 40</v>
      </c>
      <c r="E5785" s="87" t="str">
        <f>IFERROR(__xludf.DUMMYFUNCTION("""COMPUTED_VALUE"""),"HAIHAMEC 3.6EC")</f>
        <v>HAIHAMEC 3.6EC</v>
      </c>
      <c r="F5785" s="87" t="str">
        <f>IFERROR(__xludf.DUMMYFUNCTION("""COMPUTED_VALUE"""),"HH4835")</f>
        <v>HH4835</v>
      </c>
      <c r="G5785" s="87" t="str">
        <f>IFERROR(__xludf.DUMMYFUNCTION("""COMPUTED_VALUE"""),"LOT IDA Global - I - 4835 - ĐL LỆ HỒNG 2 - HAIHAMEC 3.6EC (Nước nâu đen) - 450ml - 40")</f>
        <v>LOT IDA Global - I - 4835 - ĐL LỆ HỒNG 2 - HAIHAMEC 3.6EC (Nước nâu đen) - 450ml - 40</v>
      </c>
    </row>
    <row r="5786">
      <c r="A5786" s="86">
        <f>IFERROR(__xludf.DUMMYFUNCTION("""COMPUTED_VALUE"""),5784.0)</f>
        <v>5784</v>
      </c>
      <c r="B5786" s="87" t="str">
        <f>IFERROR(__xludf.DUMMYFUNCTION("""COMPUTED_VALUE"""),"[Nhãn]")</f>
        <v>[Nhãn]</v>
      </c>
      <c r="C5786" s="87" t="str">
        <f>IFERROR(__xludf.DUMMYFUNCTION("""COMPUTED_VALUE"""),"NHD4793")</f>
        <v>NHD4793</v>
      </c>
      <c r="D5786" s="87" t="str">
        <f>IFERROR(__xludf.DUMMYFUNCTION("""COMPUTED_VALUE"""),"[Nhãn] GC - V - 4793 - CTY GNH - SIÊU LỚN TRÁI (Nước nâu đen) - 20L - 1")</f>
        <v>[Nhãn] GC - V - 4793 - CTY GNH - SIÊU LỚN TRÁI (Nước nâu đen) - 20L - 1</v>
      </c>
      <c r="E5786" s="87" t="str">
        <f>IFERROR(__xludf.DUMMYFUNCTION("""COMPUTED_VALUE"""),"Hữu Cơ Organic ĐGP 01")</f>
        <v>Hữu Cơ Organic ĐGP 01</v>
      </c>
      <c r="F5786" s="87" t="str">
        <f>IFERROR(__xludf.DUMMYFUNCTION("""COMPUTED_VALUE"""),"HH4793")</f>
        <v>HH4793</v>
      </c>
      <c r="G5786" s="87" t="str">
        <f>IFERROR(__xludf.DUMMYFUNCTION("""COMPUTED_VALUE"""),"GC - V - 4793 - CTY GNH - SIÊU LỚN TRÁI (Nước nâu đen) - 20L - 1")</f>
        <v>GC - V - 4793 - CTY GNH - SIÊU LỚN TRÁI (Nước nâu đen) - 20L - 1</v>
      </c>
    </row>
    <row r="5787">
      <c r="A5787" s="86">
        <f>IFERROR(__xludf.DUMMYFUNCTION("""COMPUTED_VALUE"""),5785.0)</f>
        <v>5785</v>
      </c>
      <c r="B5787" s="87" t="str">
        <f>IFERROR(__xludf.DUMMYFUNCTION("""COMPUTED_VALUE"""),"[Nhãn]")</f>
        <v>[Nhãn]</v>
      </c>
      <c r="C5787" s="87" t="str">
        <f>IFERROR(__xludf.DUMMYFUNCTION("""COMPUTED_VALUE"""),"NHG4307")</f>
        <v>NHG4307</v>
      </c>
      <c r="D5787" s="87" t="str">
        <f>IFERROR(__xludf.DUMMYFUNCTION("""COMPUTED_VALUE"""),"[Nhãn] GC - V - 4307 - CTY HIỆP PHÁT ABC - HP 01 (nước nâu đen) - 500ml - 40")</f>
        <v>[Nhãn] GC - V - 4307 - CTY HIỆP PHÁT ABC - HP 01 (nước nâu đen) - 500ml - 40</v>
      </c>
      <c r="E5787" s="87" t="str">
        <f>IFERROR(__xludf.DUMMYFUNCTION("""COMPUTED_VALUE"""),"Hữu cơ SH Agro Organic Fertilizer 20")</f>
        <v>Hữu cơ SH Agro Organic Fertilizer 20</v>
      </c>
      <c r="F5787" s="87" t="str">
        <f>IFERROR(__xludf.DUMMYFUNCTION("""COMPUTED_VALUE"""),"HH4307")</f>
        <v>HH4307</v>
      </c>
      <c r="G5787" s="87" t="str">
        <f>IFERROR(__xludf.DUMMYFUNCTION("""COMPUTED_VALUE"""),"GC - V - 4307 - CTY HIỆP PHÁT ABC - HP 01 (nước nâu đen) - 500ml - 40")</f>
        <v>GC - V - 4307 - CTY HIỆP PHÁT ABC - HP 01 (nước nâu đen) - 500ml - 40</v>
      </c>
    </row>
    <row r="5788">
      <c r="A5788" s="86">
        <f>IFERROR(__xludf.DUMMYFUNCTION("""COMPUTED_VALUE"""),5786.0)</f>
        <v>5786</v>
      </c>
      <c r="B5788" s="87" t="str">
        <f>IFERROR(__xludf.DUMMYFUNCTION("""COMPUTED_VALUE"""),"[Nhãn]")</f>
        <v>[Nhãn]</v>
      </c>
      <c r="C5788" s="87" t="str">
        <f>IFERROR(__xludf.DUMMYFUNCTION("""COMPUTED_VALUE"""),"NHG4849")</f>
        <v>NHG4849</v>
      </c>
      <c r="D5788" s="87" t="str">
        <f>IFERROR(__xludf.DUMMYFUNCTION("""COMPUTED_VALUE"""),"[Nhãn] LOT IDA Global - I - 4849 - ĐL HUỲNH THANH - CHITIN 3.6EC (nước nâu đen) - 450ml - 40")</f>
        <v>[Nhãn] LOT IDA Global - I - 4849 - ĐL HUỲNH THANH - CHITIN 3.6EC (nước nâu đen) - 450ml - 40</v>
      </c>
      <c r="E5788" s="87" t="str">
        <f>IFERROR(__xludf.DUMMYFUNCTION("""COMPUTED_VALUE"""),"Chitin 3.6EC")</f>
        <v>Chitin 3.6EC</v>
      </c>
      <c r="F5788" s="87" t="str">
        <f>IFERROR(__xludf.DUMMYFUNCTION("""COMPUTED_VALUE"""),"HH4849")</f>
        <v>HH4849</v>
      </c>
      <c r="G5788" s="87" t="str">
        <f>IFERROR(__xludf.DUMMYFUNCTION("""COMPUTED_VALUE"""),"LOT IDA Global - I - 4849 - ĐL HUỲNH THANH - CHITIN 3.6EC (nước nâu đen) - 450ml - 40")</f>
        <v>LOT IDA Global - I - 4849 - ĐL HUỲNH THANH - CHITIN 3.6EC (nước nâu đen) - 450ml - 40</v>
      </c>
    </row>
    <row r="5789">
      <c r="A5789" s="86">
        <f>IFERROR(__xludf.DUMMYFUNCTION("""COMPUTED_VALUE"""),5787.0)</f>
        <v>5787</v>
      </c>
      <c r="B5789" s="87" t="str">
        <f>IFERROR(__xludf.DUMMYFUNCTION("""COMPUTED_VALUE"""),"[Nhãn]")</f>
        <v>[Nhãn]</v>
      </c>
      <c r="C5789" s="87" t="str">
        <f>IFERROR(__xludf.DUMMYFUNCTION("""COMPUTED_VALUE"""),"NHD4850")</f>
        <v>NHD4850</v>
      </c>
      <c r="D5789" s="87" t="str">
        <f>IFERROR(__xludf.DUMMYFUNCTION("""COMPUTED_VALUE"""),"[Nhãn] GC - V - 4850 - CTY BIO GREEN SDB - BIO MAX GOLD (Nước nâu đen) - 20L - 1")</f>
        <v>[Nhãn] GC - V - 4850 - CTY BIO GREEN SDB - BIO MAX GOLD (Nước nâu đen) - 20L - 1</v>
      </c>
      <c r="E5789" s="87" t="str">
        <f>IFERROR(__xludf.DUMMYFUNCTION("""COMPUTED_VALUE"""),"Hữu Cơ Organic ĐGP 01")</f>
        <v>Hữu Cơ Organic ĐGP 01</v>
      </c>
      <c r="F5789" s="87" t="str">
        <f>IFERROR(__xludf.DUMMYFUNCTION("""COMPUTED_VALUE"""),"HH4850")</f>
        <v>HH4850</v>
      </c>
      <c r="G5789" s="87" t="str">
        <f>IFERROR(__xludf.DUMMYFUNCTION("""COMPUTED_VALUE"""),"GC - V - 4850 - CTY BIO GREEN SDB - BIO MAX GOLD (Nước nâu đen) - 20L - 1")</f>
        <v>GC - V - 4850 - CTY BIO GREEN SDB - BIO MAX GOLD (Nước nâu đen) - 20L - 1</v>
      </c>
    </row>
    <row r="5790">
      <c r="A5790" s="86">
        <f>IFERROR(__xludf.DUMMYFUNCTION("""COMPUTED_VALUE"""),5788.0)</f>
        <v>5788</v>
      </c>
      <c r="B5790" s="87" t="str">
        <f>IFERROR(__xludf.DUMMYFUNCTION("""COMPUTED_VALUE"""),"[Nhãn]")</f>
        <v>[Nhãn]</v>
      </c>
      <c r="C5790" s="87" t="str">
        <f>IFERROR(__xludf.DUMMYFUNCTION("""COMPUTED_VALUE"""),"NHD4852")</f>
        <v>NHD4852</v>
      </c>
      <c r="D5790" s="87" t="str">
        <f>IFERROR(__xludf.DUMMYFUNCTION("""COMPUTED_VALUE"""),"[Nhãn] GC - V - 4852 - ĐL Kim Khoa - Creek 2.1EC (Nước vàng trà) - 450ml - 40")</f>
        <v>[Nhãn] GC - V - 4852 - ĐL Kim Khoa - Creek 2.1EC (Nước vàng trà) - 450ml - 40</v>
      </c>
      <c r="E5790" s="87" t="str">
        <f>IFERROR(__xludf.DUMMYFUNCTION("""COMPUTED_VALUE"""),"Creek 2.1EC")</f>
        <v>Creek 2.1EC</v>
      </c>
      <c r="F5790" s="87" t="str">
        <f>IFERROR(__xludf.DUMMYFUNCTION("""COMPUTED_VALUE"""),"HH4852")</f>
        <v>HH4852</v>
      </c>
      <c r="G5790" s="87" t="str">
        <f>IFERROR(__xludf.DUMMYFUNCTION("""COMPUTED_VALUE"""),"GC - V - 4852 - ĐL Kim Khoa - Creek 2.1EC (Nước vàng trà) - 450ml - 40")</f>
        <v>GC - V - 4852 - ĐL Kim Khoa - Creek 2.1EC (Nước vàng trà) - 450ml - 40</v>
      </c>
    </row>
    <row r="5791">
      <c r="A5791" s="86">
        <f>IFERROR(__xludf.DUMMYFUNCTION("""COMPUTED_VALUE"""),5789.0)</f>
        <v>5789</v>
      </c>
      <c r="B5791" s="87" t="str">
        <f>IFERROR(__xludf.DUMMYFUNCTION("""COMPUTED_VALUE"""),"[Nhãn Thùng]")</f>
        <v>[Nhãn Thùng]</v>
      </c>
      <c r="C5791" s="87" t="str">
        <f>IFERROR(__xludf.DUMMYFUNCTION("""COMPUTED_VALUE"""),"NDT4852")</f>
        <v>NDT4852</v>
      </c>
      <c r="D5791" s="87" t="str">
        <f>IFERROR(__xludf.DUMMYFUNCTION("""COMPUTED_VALUE"""),"[Nhãn Thùng] GC - V - 4852 - ĐL Kim Khoa - Creek 2.1EC (Nước vàng trà) - 450ml - 40")</f>
        <v>[Nhãn Thùng] GC - V - 4852 - ĐL Kim Khoa - Creek 2.1EC (Nước vàng trà) - 450ml - 40</v>
      </c>
      <c r="E5791" s="87" t="str">
        <f>IFERROR(__xludf.DUMMYFUNCTION("""COMPUTED_VALUE"""),"Creek 2.1EC")</f>
        <v>Creek 2.1EC</v>
      </c>
      <c r="F5791" s="87" t="str">
        <f>IFERROR(__xludf.DUMMYFUNCTION("""COMPUTED_VALUE"""),"HH4852")</f>
        <v>HH4852</v>
      </c>
      <c r="G5791" s="87" t="str">
        <f>IFERROR(__xludf.DUMMYFUNCTION("""COMPUTED_VALUE"""),"GC - V - 4852 - ĐL Kim Khoa - Creek 2.1EC (Nước vàng trà) - 450ml - 40")</f>
        <v>GC - V - 4852 - ĐL Kim Khoa - Creek 2.1EC (Nước vàng trà) - 450ml - 40</v>
      </c>
    </row>
    <row r="5792">
      <c r="A5792" s="86">
        <f>IFERROR(__xludf.DUMMYFUNCTION("""COMPUTED_VALUE"""),5790.0)</f>
        <v>5790</v>
      </c>
      <c r="B5792" s="87" t="str">
        <f>IFERROR(__xludf.DUMMYFUNCTION("""COMPUTED_VALUE"""),"[Nhãn]")</f>
        <v>[Nhãn]</v>
      </c>
      <c r="C5792" s="87" t="str">
        <f>IFERROR(__xludf.DUMMYFUNCTION("""COMPUTED_VALUE"""),"NHG4834")</f>
        <v>NHG4834</v>
      </c>
      <c r="D5792" s="87" t="str">
        <f>IFERROR(__xludf.DUMMYFUNCTION("""COMPUTED_VALUE"""),"[Nhãn] LOT IDA Global - I - 4834 - ĐL THÀNH TÂM - HAIHAMEC 3.6EC (Nước nâu đen) - 450ml - 40")</f>
        <v>[Nhãn] LOT IDA Global - I - 4834 - ĐL THÀNH TÂM - HAIHAMEC 3.6EC (Nước nâu đen) - 450ml - 40</v>
      </c>
      <c r="E5792" s="87" t="str">
        <f>IFERROR(__xludf.DUMMYFUNCTION("""COMPUTED_VALUE"""),"HAIHAMEC 3.6EC")</f>
        <v>HAIHAMEC 3.6EC</v>
      </c>
      <c r="F5792" s="87" t="str">
        <f>IFERROR(__xludf.DUMMYFUNCTION("""COMPUTED_VALUE"""),"HH4834")</f>
        <v>HH4834</v>
      </c>
      <c r="G5792" s="87" t="str">
        <f>IFERROR(__xludf.DUMMYFUNCTION("""COMPUTED_VALUE"""),"LOT IDA Global - I - 4834 - ĐL THÀNH TÂM - HAIHAMEC 3.6EC (Nước nâu đen) - 450ml - 40")</f>
        <v>LOT IDA Global - I - 4834 - ĐL THÀNH TÂM - HAIHAMEC 3.6EC (Nước nâu đen) - 450ml - 40</v>
      </c>
    </row>
    <row r="5793">
      <c r="A5793" s="86">
        <f>IFERROR(__xludf.DUMMYFUNCTION("""COMPUTED_VALUE"""),5791.0)</f>
        <v>5791</v>
      </c>
      <c r="B5793" s="87" t="str">
        <f>IFERROR(__xludf.DUMMYFUNCTION("""COMPUTED_VALUE"""),"[Nhãn]")</f>
        <v>[Nhãn]</v>
      </c>
      <c r="C5793" s="87" t="str">
        <f>IFERROR(__xludf.DUMMYFUNCTION("""COMPUTED_VALUE"""),"NHG4632")</f>
        <v>NHG4632</v>
      </c>
      <c r="D5793" s="87" t="str">
        <f>IFERROR(__xludf.DUMMYFUNCTION("""COMPUTED_VALUE"""),"[Nhãn] GC - V - 4632 - GNH - Siêu Ra Hoa Đậu Trái (Nước nâu đen) - 500ml - 40")</f>
        <v>[Nhãn] GC - V - 4632 - GNH - Siêu Ra Hoa Đậu Trái (Nước nâu đen) - 500ml - 40</v>
      </c>
      <c r="E5793" s="87" t="str">
        <f>IFERROR(__xludf.DUMMYFUNCTION("""COMPUTED_VALUE"""),"Vi lượng Basel VA02")</f>
        <v>Vi lượng Basel VA02</v>
      </c>
      <c r="F5793" s="87" t="str">
        <f>IFERROR(__xludf.DUMMYFUNCTION("""COMPUTED_VALUE"""),"HH4632")</f>
        <v>HH4632</v>
      </c>
      <c r="G5793" s="87" t="str">
        <f>IFERROR(__xludf.DUMMYFUNCTION("""COMPUTED_VALUE"""),"GC - V - 4632 - GNH - Siêu Ra Hoa Đậu Trái (Nước nâu đen) - 500ml - 40")</f>
        <v>GC - V - 4632 - GNH - Siêu Ra Hoa Đậu Trái (Nước nâu đen) - 500ml - 40</v>
      </c>
    </row>
    <row r="5794">
      <c r="A5794" s="86">
        <f>IFERROR(__xludf.DUMMYFUNCTION("""COMPUTED_VALUE"""),5792.0)</f>
        <v>5792</v>
      </c>
      <c r="B5794" s="87" t="str">
        <f>IFERROR(__xludf.DUMMYFUNCTION("""COMPUTED_VALUE"""),"[Nhãn]")</f>
        <v>[Nhãn]</v>
      </c>
      <c r="C5794" s="87" t="str">
        <f>IFERROR(__xludf.DUMMYFUNCTION("""COMPUTED_VALUE"""),"NHG4749")</f>
        <v>NHG4749</v>
      </c>
      <c r="D5794" s="87" t="str">
        <f>IFERROR(__xludf.DUMMYFUNCTION("""COMPUTED_VALUE"""),"[Nhãn] GC - V - 4749 - CTY SEN HỒNG - Knock Out (Nước trắng sữa) - 240ml - 40")</f>
        <v>[Nhãn] GC - V - 4749 - CTY SEN HỒNG - Knock Out (Nước trắng sữa) - 240ml - 40</v>
      </c>
      <c r="E5794" s="87" t="str">
        <f>IFERROR(__xludf.DUMMYFUNCTION("""COMPUTED_VALUE"""),"VOTE 34.2SC")</f>
        <v>VOTE 34.2SC</v>
      </c>
      <c r="F5794" s="87" t="str">
        <f>IFERROR(__xludf.DUMMYFUNCTION("""COMPUTED_VALUE"""),"HH4749")</f>
        <v>HH4749</v>
      </c>
      <c r="G5794" s="87" t="str">
        <f>IFERROR(__xludf.DUMMYFUNCTION("""COMPUTED_VALUE"""),"GC - V - 4749 - CTY SEN HỒNG - Knock Out (Nước trắng sữa) - 240ml - 40")</f>
        <v>GC - V - 4749 - CTY SEN HỒNG - Knock Out (Nước trắng sữa) - 240ml - 40</v>
      </c>
    </row>
    <row r="5795">
      <c r="A5795" s="86">
        <f>IFERROR(__xludf.DUMMYFUNCTION("""COMPUTED_VALUE"""),5793.0)</f>
        <v>5793</v>
      </c>
      <c r="B5795" s="87" t="str">
        <f>IFERROR(__xludf.DUMMYFUNCTION("""COMPUTED_VALUE"""),"[Nhãn]")</f>
        <v>[Nhãn]</v>
      </c>
      <c r="C5795" s="87" t="str">
        <f>IFERROR(__xludf.DUMMYFUNCTION("""COMPUTED_VALUE"""),"NTN4821")</f>
        <v>NTN4821</v>
      </c>
      <c r="D5795" s="87" t="str">
        <f>IFERROR(__xludf.DUMMYFUNCTION("""COMPUTED_VALUE"""),"[Nhãn] GC - V - 4821 - CTY NHP GROUP - CHESSIN 600WP (Bột trắng ngà) - 80gr - 100")</f>
        <v>[Nhãn] GC - V - 4821 - CTY NHP GROUP - CHESSIN 600WP (Bột trắng ngà) - 80gr - 100</v>
      </c>
      <c r="E5795" s="87" t="str">
        <f>IFERROR(__xludf.DUMMYFUNCTION("""COMPUTED_VALUE"""),"CHESSIN 600WP")</f>
        <v>CHESSIN 600WP</v>
      </c>
      <c r="F5795" s="87" t="str">
        <f>IFERROR(__xludf.DUMMYFUNCTION("""COMPUTED_VALUE"""),"HH4821")</f>
        <v>HH4821</v>
      </c>
      <c r="G5795" s="87" t="str">
        <f>IFERROR(__xludf.DUMMYFUNCTION("""COMPUTED_VALUE"""),"GC - V - 4821 - CTY NHP GROUP - CHESSIN 600WP (Bột trắng ngà) - 80gr - 100")</f>
        <v>GC - V - 4821 - CTY NHP GROUP - CHESSIN 600WP (Bột trắng ngà) - 80gr - 100</v>
      </c>
    </row>
    <row r="5796">
      <c r="A5796" s="86">
        <f>IFERROR(__xludf.DUMMYFUNCTION("""COMPUTED_VALUE"""),5794.0)</f>
        <v>5794</v>
      </c>
      <c r="B5796" s="87" t="str">
        <f>IFERROR(__xludf.DUMMYFUNCTION("""COMPUTED_VALUE"""),"[Nhãn]")</f>
        <v>[Nhãn]</v>
      </c>
      <c r="C5796" s="87" t="str">
        <f>IFERROR(__xludf.DUMMYFUNCTION("""COMPUTED_VALUE"""),"NTN4840")</f>
        <v>NTN4840</v>
      </c>
      <c r="D5796" s="87" t="str">
        <f>IFERROR(__xludf.DUMMYFUNCTION("""COMPUTED_VALUE"""),"[Nhãn] GC - V - 4840 - CTY SEN HÔNG - BUM GOLD (Bột cam)  - 250gr - 50")</f>
        <v>[Nhãn] GC - V - 4840 - CTY SEN HÔNG - BUM GOLD (Bột cam)  - 250gr - 50</v>
      </c>
      <c r="E5796" s="87" t="str">
        <f>IFERROR(__xludf.DUMMYFUNCTION("""COMPUTED_VALUE"""),"NOFADA 822WP")</f>
        <v>NOFADA 822WP</v>
      </c>
      <c r="F5796" s="87" t="str">
        <f>IFERROR(__xludf.DUMMYFUNCTION("""COMPUTED_VALUE"""),"HH4840")</f>
        <v>HH4840</v>
      </c>
      <c r="G5796" s="87" t="str">
        <f>IFERROR(__xludf.DUMMYFUNCTION("""COMPUTED_VALUE"""),"GC - V - 4840 - CTY SEN HÔNG - BUM GOLD (Bột cam)  - 250gr - 50")</f>
        <v>GC - V - 4840 - CTY SEN HÔNG - BUM GOLD (Bột cam)  - 250gr - 50</v>
      </c>
    </row>
    <row r="5797">
      <c r="A5797" s="86">
        <f>IFERROR(__xludf.DUMMYFUNCTION("""COMPUTED_VALUE"""),5795.0)</f>
        <v>5795</v>
      </c>
      <c r="B5797" s="87" t="str">
        <f>IFERROR(__xludf.DUMMYFUNCTION("""COMPUTED_VALUE"""),"[Nhãn]")</f>
        <v>[Nhãn]</v>
      </c>
      <c r="C5797" s="87" t="str">
        <f>IFERROR(__xludf.DUMMYFUNCTION("""COMPUTED_VALUE"""),"NHG4798")</f>
        <v>NHG4798</v>
      </c>
      <c r="D5797" s="87" t="str">
        <f>IFERROR(__xludf.DUMMYFUNCTION("""COMPUTED_VALUE"""),"[Nhãn] GC - V - 4798 - Cty Newtex - CHEXSAU (Nước trắng sữa) - 100ml - 60")</f>
        <v>[Nhãn] GC - V - 4798 - Cty Newtex - CHEXSAU (Nước trắng sữa) - 100ml - 60</v>
      </c>
      <c r="E5797" s="87" t="str">
        <f>IFERROR(__xludf.DUMMYFUNCTION("""COMPUTED_VALUE"""),"AF-Unimax 40SC")</f>
        <v>AF-Unimax 40SC</v>
      </c>
      <c r="F5797" s="87" t="str">
        <f>IFERROR(__xludf.DUMMYFUNCTION("""COMPUTED_VALUE"""),"HH4798")</f>
        <v>HH4798</v>
      </c>
      <c r="G5797" s="87" t="str">
        <f>IFERROR(__xludf.DUMMYFUNCTION("""COMPUTED_VALUE"""),"GC - V - 4798 - Cty Newtex - CHEXSAU (Nước trắng sữa) - 100ml - 60")</f>
        <v>GC - V - 4798 - Cty Newtex - CHEXSAU (Nước trắng sữa) - 100ml - 60</v>
      </c>
    </row>
    <row r="5798">
      <c r="A5798" s="86">
        <f>IFERROR(__xludf.DUMMYFUNCTION("""COMPUTED_VALUE"""),5796.0)</f>
        <v>5796</v>
      </c>
      <c r="B5798" s="87" t="str">
        <f>IFERROR(__xludf.DUMMYFUNCTION("""COMPUTED_VALUE"""),"[HỘP]")</f>
        <v>[HỘP]</v>
      </c>
      <c r="C5798" s="87" t="str">
        <f>IFERROR(__xludf.DUMMYFUNCTION("""COMPUTED_VALUE"""),"HOP4798")</f>
        <v>HOP4798</v>
      </c>
      <c r="D5798" s="87" t="str">
        <f>IFERROR(__xludf.DUMMYFUNCTION("""COMPUTED_VALUE"""),"[HỘP] GC - V - 4798 - Cty Newtex - CHEXSAU (Nước trắng sữa) - 100ml - 1")</f>
        <v>[HỘP] GC - V - 4798 - Cty Newtex - CHEXSAU (Nước trắng sữa) - 100ml - 1</v>
      </c>
      <c r="E5798" s="87" t="str">
        <f>IFERROR(__xludf.DUMMYFUNCTION("""COMPUTED_VALUE"""),"AF-Unimax 40SC")</f>
        <v>AF-Unimax 40SC</v>
      </c>
      <c r="F5798" s="87" t="str">
        <f>IFERROR(__xludf.DUMMYFUNCTION("""COMPUTED_VALUE"""),"HH4798")</f>
        <v>HH4798</v>
      </c>
      <c r="G5798" s="87" t="str">
        <f>IFERROR(__xludf.DUMMYFUNCTION("""COMPUTED_VALUE"""),"GC - V - 4798 - Cty Newtex - CHEXSAU (Nước trắng sữa) - 100ml - 60")</f>
        <v>GC - V - 4798 - Cty Newtex - CHEXSAU (Nước trắng sữa) - 100ml - 60</v>
      </c>
    </row>
    <row r="5799">
      <c r="A5799" s="86">
        <f>IFERROR(__xludf.DUMMYFUNCTION("""COMPUTED_VALUE"""),5797.0)</f>
        <v>5797</v>
      </c>
      <c r="B5799" s="87" t="str">
        <f>IFERROR(__xludf.DUMMYFUNCTION("""COMPUTED_VALUE"""),"[Nhãn]")</f>
        <v>[Nhãn]</v>
      </c>
      <c r="C5799" s="87" t="str">
        <f>IFERROR(__xludf.DUMMYFUNCTION("""COMPUTED_VALUE"""),"NTN4855")</f>
        <v>NTN4855</v>
      </c>
      <c r="D5799" s="87" t="str">
        <f>IFERROR(__xludf.DUMMYFUNCTION("""COMPUTED_VALUE"""),"[Nhãn] IDA Global - I - 4855 - Pim.Pim 75WP (Bột cam) - 100gr - 100")</f>
        <v>[Nhãn] IDA Global - I - 4855 - Pim.Pim 75WP (Bột cam) - 100gr - 100</v>
      </c>
      <c r="E5799" s="87" t="str">
        <f>IFERROR(__xludf.DUMMYFUNCTION("""COMPUTED_VALUE"""),"Pim.Pim 75WP")</f>
        <v>Pim.Pim 75WP</v>
      </c>
      <c r="F5799" s="87" t="str">
        <f>IFERROR(__xludf.DUMMYFUNCTION("""COMPUTED_VALUE"""),"HH4855")</f>
        <v>HH4855</v>
      </c>
      <c r="G5799" s="87" t="str">
        <f>IFERROR(__xludf.DUMMYFUNCTION("""COMPUTED_VALUE"""),"IDA Global - I - 4855 - Pim.Pim 75WP (Bột cam) - 100gr - 100")</f>
        <v>IDA Global - I - 4855 - Pim.Pim 75WP (Bột cam) - 100gr - 100</v>
      </c>
    </row>
    <row r="5800">
      <c r="A5800" s="86">
        <f>IFERROR(__xludf.DUMMYFUNCTION("""COMPUTED_VALUE"""),5798.0)</f>
        <v>5798</v>
      </c>
      <c r="B5800" s="87" t="str">
        <f>IFERROR(__xludf.DUMMYFUNCTION("""COMPUTED_VALUE"""),"[Nhãn]")</f>
        <v>[Nhãn]</v>
      </c>
      <c r="C5800" s="87" t="str">
        <f>IFERROR(__xludf.DUMMYFUNCTION("""COMPUTED_VALUE"""),"NTN4856")</f>
        <v>NTN4856</v>
      </c>
      <c r="D5800" s="87" t="str">
        <f>IFERROR(__xludf.DUMMYFUNCTION("""COMPUTED_VALUE"""),"[Nhãn] GC - V - 4856 - CTY R3 - TRICYMAX R3 (Bột cam) - 100gr - 100")</f>
        <v>[Nhãn] GC - V - 4856 - CTY R3 - TRICYMAX R3 (Bột cam) - 100gr - 100</v>
      </c>
      <c r="E5800" s="87" t="str">
        <f>IFERROR(__xludf.DUMMYFUNCTION("""COMPUTED_VALUE"""),"Pim.Pim 75WP")</f>
        <v>Pim.Pim 75WP</v>
      </c>
      <c r="F5800" s="87" t="str">
        <f>IFERROR(__xludf.DUMMYFUNCTION("""COMPUTED_VALUE"""),"HH4856")</f>
        <v>HH4856</v>
      </c>
      <c r="G5800" s="87" t="str">
        <f>IFERROR(__xludf.DUMMYFUNCTION("""COMPUTED_VALUE"""),"GC - V - 4856 - CTY R3 - TRICYMAX R3 (Bột cam) - 100gr - 100")</f>
        <v>GC - V - 4856 - CTY R3 - TRICYMAX R3 (Bột cam) - 100gr - 100</v>
      </c>
    </row>
    <row r="5801">
      <c r="A5801" s="86">
        <f>IFERROR(__xludf.DUMMYFUNCTION("""COMPUTED_VALUE"""),5799.0)</f>
        <v>5799</v>
      </c>
      <c r="B5801" s="87" t="str">
        <f>IFERROR(__xludf.DUMMYFUNCTION("""COMPUTED_VALUE"""),"[Nhãn]")</f>
        <v>[Nhãn]</v>
      </c>
      <c r="C5801" s="87" t="str">
        <f>IFERROR(__xludf.DUMMYFUNCTION("""COMPUTED_VALUE"""),"NHG4863")</f>
        <v>NHG4863</v>
      </c>
      <c r="D5801" s="87" t="str">
        <f>IFERROR(__xludf.DUMMYFUNCTION("""COMPUTED_VALUE"""),"[Nhãn] GC - V - 4863 - CTY BA MÙA - Mekongvil 5SC (Nước trắng sữa - Có phụ gia) - 1L - 20")</f>
        <v>[Nhãn] GC - V - 4863 - CTY BA MÙA - Mekongvil 5SC (Nước trắng sữa - Có phụ gia) - 1L - 20</v>
      </c>
      <c r="E5801" s="87" t="str">
        <f>IFERROR(__xludf.DUMMYFUNCTION("""COMPUTED_VALUE"""),"Mekongvil 5SC")</f>
        <v>Mekongvil 5SC</v>
      </c>
      <c r="F5801" s="87" t="str">
        <f>IFERROR(__xludf.DUMMYFUNCTION("""COMPUTED_VALUE"""),"HH4863")</f>
        <v>HH4863</v>
      </c>
      <c r="G5801" s="87" t="str">
        <f>IFERROR(__xludf.DUMMYFUNCTION("""COMPUTED_VALUE"""),"GC - V - 4863 - CTY BA MÙA - Mekongvil 5SC (Nước trắng sữa - Có phụ gia) - 1L - 20")</f>
        <v>GC - V - 4863 - CTY BA MÙA - Mekongvil 5SC (Nước trắng sữa - Có phụ gia) - 1L - 20</v>
      </c>
    </row>
    <row r="5802">
      <c r="A5802" s="86">
        <f>IFERROR(__xludf.DUMMYFUNCTION("""COMPUTED_VALUE"""),5800.0)</f>
        <v>5800</v>
      </c>
      <c r="B5802" s="87" t="str">
        <f>IFERROR(__xludf.DUMMYFUNCTION("""COMPUTED_VALUE"""),"[Nhãn]")</f>
        <v>[Nhãn]</v>
      </c>
      <c r="C5802" s="87" t="str">
        <f>IFERROR(__xludf.DUMMYFUNCTION("""COMPUTED_VALUE"""),"NHD4851")</f>
        <v>NHD4851</v>
      </c>
      <c r="D5802" s="87" t="str">
        <f>IFERROR(__xludf.DUMMYFUNCTION("""COMPUTED_VALUE"""),"[Nhãn] LOT IDA Global - I - 4851 - ĐL PHAN THANH BƯỜN - 3.6 VỊT BẦU (Nước nâu đen) - 450ml - 40")</f>
        <v>[Nhãn] LOT IDA Global - I - 4851 - ĐL PHAN THANH BƯỜN - 3.6 VỊT BẦU (Nước nâu đen) - 450ml - 40</v>
      </c>
      <c r="E5802" s="87" t="str">
        <f>IFERROR(__xludf.DUMMYFUNCTION("""COMPUTED_VALUE"""),"HAIHAMEC 3.6EC")</f>
        <v>HAIHAMEC 3.6EC</v>
      </c>
      <c r="F5802" s="87" t="str">
        <f>IFERROR(__xludf.DUMMYFUNCTION("""COMPUTED_VALUE"""),"HH4851")</f>
        <v>HH4851</v>
      </c>
      <c r="G5802" s="87" t="str">
        <f>IFERROR(__xludf.DUMMYFUNCTION("""COMPUTED_VALUE"""),"LOT IDA Global - I - 4851 - ĐL PHAN THANH BƯỜN - 3.6 VỊT BẦU (Nước nâu đen) - 450ml - 40")</f>
        <v>LOT IDA Global - I - 4851 - ĐL PHAN THANH BƯỜN - 3.6 VỊT BẦU (Nước nâu đen) - 450ml - 40</v>
      </c>
    </row>
    <row r="5803">
      <c r="A5803" s="86">
        <f>IFERROR(__xludf.DUMMYFUNCTION("""COMPUTED_VALUE"""),5801.0)</f>
        <v>5801</v>
      </c>
      <c r="B5803" s="87" t="str">
        <f>IFERROR(__xludf.DUMMYFUNCTION("""COMPUTED_VALUE"""),"[Nhãn]")</f>
        <v>[Nhãn]</v>
      </c>
      <c r="C5803" s="87" t="str">
        <f>IFERROR(__xludf.DUMMYFUNCTION("""COMPUTED_VALUE"""),"NHG4822")</f>
        <v>NHG4822</v>
      </c>
      <c r="D5803" s="87" t="str">
        <f>IFERROR(__xludf.DUMMYFUNCTION("""COMPUTED_VALUE"""),"[Nhãn] LOT IDA Global - I - 4822 - ĐL HOÀNG EM - HAIHAMEC 3.6EC (Nước nâu đen) - 450ml - 40")</f>
        <v>[Nhãn] LOT IDA Global - I - 4822 - ĐL HOÀNG EM - HAIHAMEC 3.6EC (Nước nâu đen) - 450ml - 40</v>
      </c>
      <c r="E5803" s="87" t="str">
        <f>IFERROR(__xludf.DUMMYFUNCTION("""COMPUTED_VALUE"""),"HAIHAMEC 3.6EC")</f>
        <v>HAIHAMEC 3.6EC</v>
      </c>
      <c r="F5803" s="87" t="str">
        <f>IFERROR(__xludf.DUMMYFUNCTION("""COMPUTED_VALUE"""),"HH4822")</f>
        <v>HH4822</v>
      </c>
      <c r="G5803" s="87" t="str">
        <f>IFERROR(__xludf.DUMMYFUNCTION("""COMPUTED_VALUE"""),"LOT IDA Global - I - 4822 - ĐL HOÀNG EM - HAIHAMEC 3.6EC (Nước nâu đen) - 450ml - 40")</f>
        <v>LOT IDA Global - I - 4822 - ĐL HOÀNG EM - HAIHAMEC 3.6EC (Nước nâu đen) - 450ml - 40</v>
      </c>
    </row>
    <row r="5804">
      <c r="A5804" s="86">
        <f>IFERROR(__xludf.DUMMYFUNCTION("""COMPUTED_VALUE"""),5802.0)</f>
        <v>5802</v>
      </c>
      <c r="B5804" s="87" t="str">
        <f>IFERROR(__xludf.DUMMYFUNCTION("""COMPUTED_VALUE"""),"[Nhãn]")</f>
        <v>[Nhãn]</v>
      </c>
      <c r="C5804" s="87" t="str">
        <f>IFERROR(__xludf.DUMMYFUNCTION("""COMPUTED_VALUE"""),"NHG4853")</f>
        <v>NHG4853</v>
      </c>
      <c r="D5804" s="87" t="str">
        <f>IFERROR(__xludf.DUMMYFUNCTION("""COMPUTED_VALUE"""),"[Nhãn] GC - V - 4853 - Cty Hóa Nông Shino - BOOM EXTRA (Nước vàng) - 300ml - 40")</f>
        <v>[Nhãn] GC - V - 4853 - Cty Hóa Nông Shino - BOOM EXTRA (Nước vàng) - 300ml - 40</v>
      </c>
      <c r="E5804" s="87" t="str">
        <f>IFERROR(__xludf.DUMMYFUNCTION("""COMPUTED_VALUE"""),"lá NPK-vi lượng GNC19")</f>
        <v>lá NPK-vi lượng GNC19</v>
      </c>
      <c r="F5804" s="87" t="str">
        <f>IFERROR(__xludf.DUMMYFUNCTION("""COMPUTED_VALUE"""),"HH4853")</f>
        <v>HH4853</v>
      </c>
      <c r="G5804" s="87" t="str">
        <f>IFERROR(__xludf.DUMMYFUNCTION("""COMPUTED_VALUE"""),"GC - V - 4853 - Cty Hóa Nông Shino - BOOM EXTRA (Nước vàng) - 300ml - 40")</f>
        <v>GC - V - 4853 - Cty Hóa Nông Shino - BOOM EXTRA (Nước vàng) - 300ml - 40</v>
      </c>
    </row>
    <row r="5805">
      <c r="A5805" s="86">
        <f>IFERROR(__xludf.DUMMYFUNCTION("""COMPUTED_VALUE"""),5803.0)</f>
        <v>5803</v>
      </c>
      <c r="B5805" s="87" t="str">
        <f>IFERROR(__xludf.DUMMYFUNCTION("""COMPUTED_VALUE"""),"[Nhãn]")</f>
        <v>[Nhãn]</v>
      </c>
      <c r="C5805" s="87" t="str">
        <f>IFERROR(__xludf.DUMMYFUNCTION("""COMPUTED_VALUE"""),"NHD4861")</f>
        <v>NHD4861</v>
      </c>
      <c r="D5805" s="87" t="str">
        <f>IFERROR(__xludf.DUMMYFUNCTION("""COMPUTED_VALUE"""),"[Nhãn] GC - V - 4861 - Agritech - Creek 2.1EC (Pet vuông)(nắp trắng)(nước đỏ) - 400ml - 40")</f>
        <v>[Nhãn] GC - V - 4861 - Agritech - Creek 2.1EC (Pet vuông)(nắp trắng)(nước đỏ) - 400ml - 40</v>
      </c>
      <c r="E5805" s="87" t="str">
        <f>IFERROR(__xludf.DUMMYFUNCTION("""COMPUTED_VALUE"""),"CREEK 2.1EC")</f>
        <v>CREEK 2.1EC</v>
      </c>
      <c r="F5805" s="87" t="str">
        <f>IFERROR(__xludf.DUMMYFUNCTION("""COMPUTED_VALUE"""),"HH4861")</f>
        <v>HH4861</v>
      </c>
      <c r="G5805" s="87" t="str">
        <f>IFERROR(__xludf.DUMMYFUNCTION("""COMPUTED_VALUE"""),"GC - V - 4861 - Agritech - Creek 2.1EC (Pet vuông)(nắp trắng)(nước đỏ) - 400ml - 40")</f>
        <v>GC - V - 4861 - Agritech - Creek 2.1EC (Pet vuông)(nắp trắng)(nước đỏ) - 400ml - 40</v>
      </c>
    </row>
    <row r="5806">
      <c r="A5806" s="86">
        <f>IFERROR(__xludf.DUMMYFUNCTION("""COMPUTED_VALUE"""),5804.0)</f>
        <v>5804</v>
      </c>
      <c r="B5806" s="87" t="str">
        <f>IFERROR(__xludf.DUMMYFUNCTION("""COMPUTED_VALUE"""),"[Nhãn]")</f>
        <v>[Nhãn]</v>
      </c>
      <c r="C5806" s="87" t="str">
        <f>IFERROR(__xludf.DUMMYFUNCTION("""COMPUTED_VALUE"""),"NTN4820")</f>
        <v>NTN4820</v>
      </c>
      <c r="D5806" s="87" t="str">
        <f>IFERROR(__xludf.DUMMYFUNCTION("""COMPUTED_VALUE"""),"[Nhãn] GC - V - 4820 - CTY NHP GROUP - NOMIDA 700WG (Dạng cốm màu trắng ngà) - 50gr - 100")</f>
        <v>[Nhãn] GC - V - 4820 - CTY NHP GROUP - NOMIDA 700WG (Dạng cốm màu trắng ngà) - 50gr - 100</v>
      </c>
      <c r="E5806" s="87" t="str">
        <f>IFERROR(__xludf.DUMMYFUNCTION("""COMPUTED_VALUE"""),"NOMIDA 700WG")</f>
        <v>NOMIDA 700WG</v>
      </c>
      <c r="F5806" s="87" t="str">
        <f>IFERROR(__xludf.DUMMYFUNCTION("""COMPUTED_VALUE"""),"HH4820")</f>
        <v>HH4820</v>
      </c>
      <c r="G5806" s="87" t="str">
        <f>IFERROR(__xludf.DUMMYFUNCTION("""COMPUTED_VALUE"""),"GC - V - 4820 - CTY NHP GROUP - NOMIDA 700WG (Dạng cốm màu trắng ngà) - 50gr - 100")</f>
        <v>GC - V - 4820 - CTY NHP GROUP - NOMIDA 700WG (Dạng cốm màu trắng ngà) - 50gr - 100</v>
      </c>
    </row>
    <row r="5807">
      <c r="A5807" s="86">
        <f>IFERROR(__xludf.DUMMYFUNCTION("""COMPUTED_VALUE"""),5805.0)</f>
        <v>5805</v>
      </c>
      <c r="B5807" s="87" t="str">
        <f>IFERROR(__xludf.DUMMYFUNCTION("""COMPUTED_VALUE"""),"[Nhãn]")</f>
        <v>[Nhãn]</v>
      </c>
      <c r="C5807" s="87" t="str">
        <f>IFERROR(__xludf.DUMMYFUNCTION("""COMPUTED_VALUE"""),"NTN4859")</f>
        <v>NTN4859</v>
      </c>
      <c r="D5807" s="87" t="str">
        <f>IFERROR(__xludf.DUMMYFUNCTION("""COMPUTED_VALUE"""),"[Nhãn] GC - V - 4859 - CTY R3 - METAXYL-M (Bột trắng) - 100gr - 100")</f>
        <v>[Nhãn] GC - V - 4859 - CTY R3 - METAXYL-M (Bột trắng) - 100gr - 100</v>
      </c>
      <c r="E5807" s="87" t="str">
        <f>IFERROR(__xludf.DUMMYFUNCTION("""COMPUTED_VALUE"""),"Acodyl 35WP")</f>
        <v>Acodyl 35WP</v>
      </c>
      <c r="F5807" s="87" t="str">
        <f>IFERROR(__xludf.DUMMYFUNCTION("""COMPUTED_VALUE"""),"HH4859")</f>
        <v>HH4859</v>
      </c>
      <c r="G5807" s="87" t="str">
        <f>IFERROR(__xludf.DUMMYFUNCTION("""COMPUTED_VALUE"""),"GC - V - 4859 - CTY R3 - METAXYL-M (Bột trắng) - 100gr - 100")</f>
        <v>GC - V - 4859 - CTY R3 - METAXYL-M (Bột trắng) - 100gr - 100</v>
      </c>
    </row>
    <row r="5808">
      <c r="A5808" s="86">
        <f>IFERROR(__xludf.DUMMYFUNCTION("""COMPUTED_VALUE"""),5806.0)</f>
        <v>5806</v>
      </c>
      <c r="B5808" s="87" t="str">
        <f>IFERROR(__xludf.DUMMYFUNCTION("""COMPUTED_VALUE"""),"[Nhãn]")</f>
        <v>[Nhãn]</v>
      </c>
      <c r="C5808" s="87" t="str">
        <f>IFERROR(__xludf.DUMMYFUNCTION("""COMPUTED_VALUE"""),"NHG4865")</f>
        <v>NHG4865</v>
      </c>
      <c r="D5808" s="87" t="str">
        <f>IFERROR(__xludf.DUMMYFUNCTION("""COMPUTED_VALUE"""),"[Nhãn] GC - V - 4865 - CTY R3 - BACTOL (Nước đỏ) - 300ml - 40")</f>
        <v>[Nhãn] GC - V - 4865 - CTY R3 - BACTOL (Nước đỏ) - 300ml - 40</v>
      </c>
      <c r="E5808" s="87" t="str">
        <f>IFERROR(__xludf.DUMMYFUNCTION("""COMPUTED_VALUE"""),"GENOL 1.2SL")</f>
        <v>GENOL 1.2SL</v>
      </c>
      <c r="F5808" s="87" t="str">
        <f>IFERROR(__xludf.DUMMYFUNCTION("""COMPUTED_VALUE"""),"HH4865")</f>
        <v>HH4865</v>
      </c>
      <c r="G5808" s="87" t="str">
        <f>IFERROR(__xludf.DUMMYFUNCTION("""COMPUTED_VALUE"""),"GC - V - 4865 - CTY R3 - BACTOL (Nước đỏ) - 300ml - 40")</f>
        <v>GC - V - 4865 - CTY R3 - BACTOL (Nước đỏ) - 300ml - 40</v>
      </c>
    </row>
    <row r="5809">
      <c r="A5809" s="86">
        <f>IFERROR(__xludf.DUMMYFUNCTION("""COMPUTED_VALUE"""),5807.0)</f>
        <v>5807</v>
      </c>
      <c r="B5809" s="87" t="str">
        <f>IFERROR(__xludf.DUMMYFUNCTION("""COMPUTED_VALUE"""),"[Nhãn]")</f>
        <v>[Nhãn]</v>
      </c>
      <c r="C5809" s="87" t="str">
        <f>IFERROR(__xludf.DUMMYFUNCTION("""COMPUTED_VALUE"""),"NTN4868")</f>
        <v>NTN4868</v>
      </c>
      <c r="D5809" s="87" t="str">
        <f>IFERROR(__xludf.DUMMYFUNCTION("""COMPUTED_VALUE"""),"[Nhãn] IDA Global - I - 4868 - SỨC MẠNH TRICYCLAZOLE (NEW 35GR) (Bột cam) - 35gr - 300")</f>
        <v>[Nhãn] IDA Global - I - 4868 - SỨC MẠNH TRICYCLAZOLE (NEW 35GR) (Bột cam) - 35gr - 300</v>
      </c>
      <c r="E5809" s="87" t="str">
        <f>IFERROR(__xludf.DUMMYFUNCTION("""COMPUTED_VALUE"""),"Pim.Pim 75WP")</f>
        <v>Pim.Pim 75WP</v>
      </c>
      <c r="F5809" s="87" t="str">
        <f>IFERROR(__xludf.DUMMYFUNCTION("""COMPUTED_VALUE"""),"HH4868")</f>
        <v>HH4868</v>
      </c>
      <c r="G5809" s="87" t="str">
        <f>IFERROR(__xludf.DUMMYFUNCTION("""COMPUTED_VALUE"""),"IDA Global - I - 4868 - SỨC MẠNH TRICYCLAZOLE (NEW 35GR) (Bột cam) - 35gr - 300")</f>
        <v>IDA Global - I - 4868 - SỨC MẠNH TRICYCLAZOLE (NEW 35GR) (Bột cam) - 35gr - 300</v>
      </c>
    </row>
    <row r="5810">
      <c r="A5810" s="86">
        <f>IFERROR(__xludf.DUMMYFUNCTION("""COMPUTED_VALUE"""),5808.0)</f>
        <v>5808</v>
      </c>
      <c r="B5810" s="87" t="str">
        <f>IFERROR(__xludf.DUMMYFUNCTION("""COMPUTED_VALUE"""),"[Nhãn]")</f>
        <v>[Nhãn]</v>
      </c>
      <c r="C5810" s="87" t="str">
        <f>IFERROR(__xludf.DUMMYFUNCTION("""COMPUTED_VALUE"""),"NTN4867")</f>
        <v>NTN4867</v>
      </c>
      <c r="D5810" s="87" t="str">
        <f>IFERROR(__xludf.DUMMYFUNCTION("""COMPUTED_VALUE"""),"[Nhãn] IDA Global - I - 4867 - SỨC MẠNH TRICYCLAZOLE (Bột cam) - 25gr - 300")</f>
        <v>[Nhãn] IDA Global - I - 4867 - SỨC MẠNH TRICYCLAZOLE (Bột cam) - 25gr - 300</v>
      </c>
      <c r="E5810" s="87" t="str">
        <f>IFERROR(__xludf.DUMMYFUNCTION("""COMPUTED_VALUE"""),"Pim.Pim 75WP")</f>
        <v>Pim.Pim 75WP</v>
      </c>
      <c r="F5810" s="87" t="str">
        <f>IFERROR(__xludf.DUMMYFUNCTION("""COMPUTED_VALUE"""),"HH4867")</f>
        <v>HH4867</v>
      </c>
      <c r="G5810" s="87" t="str">
        <f>IFERROR(__xludf.DUMMYFUNCTION("""COMPUTED_VALUE"""),"IDA Global - I - 4867 - SỨC MẠNH TRICYCLAZOLE (Bột cam) - 25gr - 300")</f>
        <v>IDA Global - I - 4867 - SỨC MẠNH TRICYCLAZOLE (Bột cam) - 25gr - 300</v>
      </c>
    </row>
    <row r="5811">
      <c r="A5811" s="86">
        <f>IFERROR(__xludf.DUMMYFUNCTION("""COMPUTED_VALUE"""),5809.0)</f>
        <v>5809</v>
      </c>
      <c r="B5811" s="87" t="str">
        <f>IFERROR(__xludf.DUMMYFUNCTION("""COMPUTED_VALUE"""),"[Nhãn]")</f>
        <v>[Nhãn]</v>
      </c>
      <c r="C5811" s="87" t="str">
        <f>IFERROR(__xludf.DUMMYFUNCTION("""COMPUTED_VALUE"""),"NHG4864")</f>
        <v>NHG4864</v>
      </c>
      <c r="D5811" s="87" t="str">
        <f>IFERROR(__xludf.DUMMYFUNCTION("""COMPUTED_VALUE"""),"[Nhãn] GC - V - 4864 - Cty Hóa Nông Shino - ABA 3.6 PLUS (Nước nâu đen) - 450ml - 30")</f>
        <v>[Nhãn] GC - V - 4864 - Cty Hóa Nông Shino - ABA 3.6 PLUS (Nước nâu đen) - 450ml - 30</v>
      </c>
      <c r="E5811" s="87" t="str">
        <f>IFERROR(__xludf.DUMMYFUNCTION("""COMPUTED_VALUE"""),"HAIHAMEC 3.6EC")</f>
        <v>HAIHAMEC 3.6EC</v>
      </c>
      <c r="F5811" s="87" t="str">
        <f>IFERROR(__xludf.DUMMYFUNCTION("""COMPUTED_VALUE"""),"HH4864")</f>
        <v>HH4864</v>
      </c>
      <c r="G5811" s="87" t="str">
        <f>IFERROR(__xludf.DUMMYFUNCTION("""COMPUTED_VALUE"""),"GC - V - 4864 - Cty Hóa Nông Shino - ABA 3.6 PLUS (Nước nâu đen) - 450ml - 30")</f>
        <v>GC - V - 4864 - Cty Hóa Nông Shino - ABA 3.6 PLUS (Nước nâu đen) - 450ml - 30</v>
      </c>
    </row>
    <row r="5812">
      <c r="A5812" s="86">
        <f>IFERROR(__xludf.DUMMYFUNCTION("""COMPUTED_VALUE"""),5810.0)</f>
        <v>5810</v>
      </c>
      <c r="B5812" s="87" t="str">
        <f>IFERROR(__xludf.DUMMYFUNCTION("""COMPUTED_VALUE"""),"[Hộp]")</f>
        <v>[Hộp]</v>
      </c>
      <c r="C5812" s="87" t="str">
        <f>IFERROR(__xludf.DUMMYFUNCTION("""COMPUTED_VALUE"""),"HOP4535")</f>
        <v>HOP4535</v>
      </c>
      <c r="D5812" s="87" t="str">
        <f>IFERROR(__xludf.DUMMYFUNCTION("""COMPUTED_VALUE"""),"[Hộp] GC - V - 4535 - TAGO - GENOL 1.2SL (Nước đỏ) - 300ml - 3")</f>
        <v>[Hộp] GC - V - 4535 - TAGO - GENOL 1.2SL (Nước đỏ) - 300ml - 3</v>
      </c>
      <c r="E5812" s="87" t="str">
        <f>IFERROR(__xludf.DUMMYFUNCTION("""COMPUTED_VALUE"""),"GENOL 1.2SL")</f>
        <v>GENOL 1.2SL</v>
      </c>
      <c r="F5812" s="87" t="str">
        <f>IFERROR(__xludf.DUMMYFUNCTION("""COMPUTED_VALUE"""),"HH4535")</f>
        <v>HH4535</v>
      </c>
      <c r="G5812" s="87" t="str">
        <f>IFERROR(__xludf.DUMMYFUNCTION("""COMPUTED_VALUE"""),"GC - V - 4535 - TAGO - GENOL 1.2SL (Nước đỏ) - 300ml - 40")</f>
        <v>GC - V - 4535 - TAGO - GENOL 1.2SL (Nước đỏ) - 300ml - 40</v>
      </c>
    </row>
    <row r="5813">
      <c r="A5813" s="86">
        <f>IFERROR(__xludf.DUMMYFUNCTION("""COMPUTED_VALUE"""),5811.0)</f>
        <v>5811</v>
      </c>
      <c r="B5813" s="87" t="str">
        <f>IFERROR(__xludf.DUMMYFUNCTION("""COMPUTED_VALUE"""),"[Nhãn]")</f>
        <v>[Nhãn]</v>
      </c>
      <c r="C5813" s="87" t="str">
        <f>IFERROR(__xludf.DUMMYFUNCTION("""COMPUTED_VALUE"""),"NTN4854")</f>
        <v>NTN4854</v>
      </c>
      <c r="D5813" s="87" t="str">
        <f>IFERROR(__xludf.DUMMYFUNCTION("""COMPUTED_VALUE"""),"[Nhãn] GC - V - 4854 - CTY GNH - Diệt Sạch khuẩn 100X (Bột vàng nhạt) - 25gr - 200")</f>
        <v>[Nhãn] GC - V - 4854 - CTY GNH - Diệt Sạch khuẩn 100X (Bột vàng nhạt) - 25gr - 200</v>
      </c>
      <c r="E5813" s="87" t="str">
        <f>IFERROR(__xludf.DUMMYFUNCTION("""COMPUTED_VALUE"""),"Oxycin 100WP")</f>
        <v>Oxycin 100WP</v>
      </c>
      <c r="F5813" s="87" t="str">
        <f>IFERROR(__xludf.DUMMYFUNCTION("""COMPUTED_VALUE"""),"HH4854")</f>
        <v>HH4854</v>
      </c>
      <c r="G5813" s="87" t="str">
        <f>IFERROR(__xludf.DUMMYFUNCTION("""COMPUTED_VALUE"""),"GC - V - 4854 - CTY GNH - Diệt Sạch khuẩn 100X (Bột vàng nhạt) - 25gr - 200")</f>
        <v>GC - V - 4854 - CTY GNH - Diệt Sạch khuẩn 100X (Bột vàng nhạt) - 25gr - 200</v>
      </c>
    </row>
    <row r="5814">
      <c r="A5814" s="86">
        <f>IFERROR(__xludf.DUMMYFUNCTION("""COMPUTED_VALUE"""),5812.0)</f>
        <v>5812</v>
      </c>
      <c r="B5814" s="87" t="str">
        <f>IFERROR(__xludf.DUMMYFUNCTION("""COMPUTED_VALUE"""),"[Nhãn]")</f>
        <v>[Nhãn]</v>
      </c>
      <c r="C5814" s="87" t="str">
        <f>IFERROR(__xludf.DUMMYFUNCTION("""COMPUTED_VALUE"""),"NHG4860")</f>
        <v>NHG4860</v>
      </c>
      <c r="D5814" s="87" t="str">
        <f>IFERROR(__xludf.DUMMYFUNCTION("""COMPUTED_VALUE"""),"[Nhãn] GC - V - 4860 - CTY R3 - R3-FENAR (Dạng SC - Trắng sữa) - 220ml - 40")</f>
        <v>[Nhãn] GC - V - 4860 - CTY R3 - R3-FENAR (Dạng SC - Trắng sữa) - 220ml - 40</v>
      </c>
      <c r="E5814" s="87" t="str">
        <f>IFERROR(__xludf.DUMMYFUNCTION("""COMPUTED_VALUE"""),"ADU-Fenar 24SC")</f>
        <v>ADU-Fenar 24SC</v>
      </c>
      <c r="F5814" s="87" t="str">
        <f>IFERROR(__xludf.DUMMYFUNCTION("""COMPUTED_VALUE"""),"HH4860")</f>
        <v>HH4860</v>
      </c>
      <c r="G5814" s="87" t="str">
        <f>IFERROR(__xludf.DUMMYFUNCTION("""COMPUTED_VALUE"""),"GC - V - 4860 - CTY R3 - R3-FENAR (Dạng SC - Trắng sữa) - 220ml - 40")</f>
        <v>GC - V - 4860 - CTY R3 - R3-FENAR (Dạng SC - Trắng sữa) - 220ml - 40</v>
      </c>
    </row>
    <row r="5815">
      <c r="A5815" s="86">
        <f>IFERROR(__xludf.DUMMYFUNCTION("""COMPUTED_VALUE"""),5813.0)</f>
        <v>5813</v>
      </c>
      <c r="B5815" s="87" t="str">
        <f>IFERROR(__xludf.DUMMYFUNCTION("""COMPUTED_VALUE"""),"[Nhãn]")</f>
        <v>[Nhãn]</v>
      </c>
      <c r="C5815" s="87" t="str">
        <f>IFERROR(__xludf.DUMMYFUNCTION("""COMPUTED_VALUE"""),"NHG4870")</f>
        <v>NHG4870</v>
      </c>
      <c r="D5815" s="87" t="str">
        <f>IFERROR(__xludf.DUMMYFUNCTION("""COMPUTED_VALUE"""),"[Nhãn] GC - V - 4870 - c - QĐ-STRIKE 24H (Dạng SC - Trắng sữa) - 240ml - 40")</f>
        <v>[Nhãn] GC - V - 4870 - c - QĐ-STRIKE 24H (Dạng SC - Trắng sữa) - 240ml - 40</v>
      </c>
      <c r="E5815" s="87" t="str">
        <f>IFERROR(__xludf.DUMMYFUNCTION("""COMPUTED_VALUE"""),"ADU-Fenar 24SC")</f>
        <v>ADU-Fenar 24SC</v>
      </c>
      <c r="F5815" s="87" t="str">
        <f>IFERROR(__xludf.DUMMYFUNCTION("""COMPUTED_VALUE"""),"HH4870")</f>
        <v>HH4870</v>
      </c>
      <c r="G5815" s="87" t="str">
        <f>IFERROR(__xludf.DUMMYFUNCTION("""COMPUTED_VALUE"""),"GC - V - 4870 - c - QĐ-STRIKE 24H (Dạng SC - Trắng sữa) - 240ml - 40")</f>
        <v>GC - V - 4870 - c - QĐ-STRIKE 24H (Dạng SC - Trắng sữa) - 240ml - 40</v>
      </c>
    </row>
    <row r="5816">
      <c r="A5816" s="86">
        <f>IFERROR(__xludf.DUMMYFUNCTION("""COMPUTED_VALUE"""),5814.0)</f>
        <v>5814</v>
      </c>
      <c r="B5816" s="87" t="str">
        <f>IFERROR(__xludf.DUMMYFUNCTION("""COMPUTED_VALUE"""),"[Nhãn]")</f>
        <v>[Nhãn]</v>
      </c>
      <c r="C5816" s="87" t="str">
        <f>IFERROR(__xludf.DUMMYFUNCTION("""COMPUTED_VALUE"""),"NHG4866")</f>
        <v>NHG4866</v>
      </c>
      <c r="D5816" s="87" t="str">
        <f>IFERROR(__xludf.DUMMYFUNCTION("""COMPUTED_VALUE"""),"[Nhãn] GC - V - 4866 - CTY QUANG ĐĂNG AGRICULTURE - GENOL 1.2SL (Nước đỏ) - 450ml - 30")</f>
        <v>[Nhãn] GC - V - 4866 - CTY QUANG ĐĂNG AGRICULTURE - GENOL 1.2SL (Nước đỏ) - 450ml - 30</v>
      </c>
      <c r="E5816" s="87" t="str">
        <f>IFERROR(__xludf.DUMMYFUNCTION("""COMPUTED_VALUE"""),"GENOL 1.2SL")</f>
        <v>GENOL 1.2SL</v>
      </c>
      <c r="F5816" s="87" t="str">
        <f>IFERROR(__xludf.DUMMYFUNCTION("""COMPUTED_VALUE"""),"HH4866")</f>
        <v>HH4866</v>
      </c>
      <c r="G5816" s="87" t="str">
        <f>IFERROR(__xludf.DUMMYFUNCTION("""COMPUTED_VALUE"""),"GC - V - 4866 - CTY QUANG ĐĂNG AGRICULTURE - GENOL 1.2SL (Nước đỏ) - 450ml - 30")</f>
        <v>GC - V - 4866 - CTY QUANG ĐĂNG AGRICULTURE - GENOL 1.2SL (Nước đỏ) - 450ml - 30</v>
      </c>
    </row>
    <row r="5817">
      <c r="A5817" s="86">
        <f>IFERROR(__xludf.DUMMYFUNCTION("""COMPUTED_VALUE"""),5815.0)</f>
        <v>5815</v>
      </c>
      <c r="B5817" s="87" t="str">
        <f>IFERROR(__xludf.DUMMYFUNCTION("""COMPUTED_VALUE"""),"[Nhãn]")</f>
        <v>[Nhãn]</v>
      </c>
      <c r="C5817" s="87" t="str">
        <f>IFERROR(__xludf.DUMMYFUNCTION("""COMPUTED_VALUE"""),"NTN4871")</f>
        <v>NTN4871</v>
      </c>
      <c r="D5817" s="87" t="str">
        <f>IFERROR(__xludf.DUMMYFUNCTION("""COMPUTED_VALUE"""),"[Nhãn] GC - V - 4871 - CTY LUTA - LT 01 (Nước nâu đen) - 50ml - 300")</f>
        <v>[Nhãn] GC - V - 4871 - CTY LUTA - LT 01 (Nước nâu đen) - 50ml - 300</v>
      </c>
      <c r="E5817" s="87" t="str">
        <f>IFERROR(__xludf.DUMMYFUNCTION("""COMPUTED_VALUE"""),"lá NPK-vi lượng GNC19")</f>
        <v>lá NPK-vi lượng GNC19</v>
      </c>
      <c r="F5817" s="87" t="str">
        <f>IFERROR(__xludf.DUMMYFUNCTION("""COMPUTED_VALUE"""),"HH4871")</f>
        <v>HH4871</v>
      </c>
      <c r="G5817" s="87" t="str">
        <f>IFERROR(__xludf.DUMMYFUNCTION("""COMPUTED_VALUE"""),"GC - V - 4871 - CTY LUTA - LT 01 (Nước nâu đen) - 50ml - 300")</f>
        <v>GC - V - 4871 - CTY LUTA - LT 01 (Nước nâu đen) - 50ml - 300</v>
      </c>
    </row>
    <row r="5818">
      <c r="A5818" s="86">
        <f>IFERROR(__xludf.DUMMYFUNCTION("""COMPUTED_VALUE"""),5816.0)</f>
        <v>5816</v>
      </c>
      <c r="B5818" s="87" t="str">
        <f>IFERROR(__xludf.DUMMYFUNCTION("""COMPUTED_VALUE"""),"[Nhãn]")</f>
        <v>[Nhãn]</v>
      </c>
      <c r="C5818" s="87" t="str">
        <f>IFERROR(__xludf.DUMMYFUNCTION("""COMPUTED_VALUE"""),"NHG4875")</f>
        <v>NHG4875</v>
      </c>
      <c r="D5818" s="87" t="str">
        <f>IFERROR(__xludf.DUMMYFUNCTION("""COMPUTED_VALUE"""),"[Nhãn] GC - V - 4875 - CTY AGRITECH - XUYÊN LÁ PRO (Nước vàng) - 60ml - 100")</f>
        <v>[Nhãn] GC - V - 4875 - CTY AGRITECH - XUYÊN LÁ PRO (Nước vàng) - 60ml - 100</v>
      </c>
      <c r="E5818" s="87" t="str">
        <f>IFERROR(__xludf.DUMMYFUNCTION("""COMPUTED_VALUE"""),"Vi lượng Quantity New")</f>
        <v>Vi lượng Quantity New</v>
      </c>
      <c r="F5818" s="87" t="str">
        <f>IFERROR(__xludf.DUMMYFUNCTION("""COMPUTED_VALUE"""),"HH4875")</f>
        <v>HH4875</v>
      </c>
      <c r="G5818" s="87" t="str">
        <f>IFERROR(__xludf.DUMMYFUNCTION("""COMPUTED_VALUE"""),"GC - V - 4875 - CTY AGRITECH - XUYÊN LÁ PRO (Nước vàng) - 60ml - 100")</f>
        <v>GC - V - 4875 - CTY AGRITECH - XUYÊN LÁ PRO (Nước vàng) - 60ml - 100</v>
      </c>
    </row>
    <row r="5819">
      <c r="A5819" s="86">
        <f>IFERROR(__xludf.DUMMYFUNCTION("""COMPUTED_VALUE"""),5817.0)</f>
        <v>5817</v>
      </c>
      <c r="B5819" s="87" t="str">
        <f>IFERROR(__xludf.DUMMYFUNCTION("""COMPUTED_VALUE"""),"[Nhãn Thùng]")</f>
        <v>[Nhãn Thùng]</v>
      </c>
      <c r="C5819" s="87" t="str">
        <f>IFERROR(__xludf.DUMMYFUNCTION("""COMPUTED_VALUE"""),"NDT4840")</f>
        <v>NDT4840</v>
      </c>
      <c r="D5819" s="87" t="str">
        <f>IFERROR(__xludf.DUMMYFUNCTION("""COMPUTED_VALUE"""),"[Nhãn Thùng] GC - V - 4840 - CTY SEN HÔNG - BUM GOLD (Bột cam)  - 250gr - 50")</f>
        <v>[Nhãn Thùng] GC - V - 4840 - CTY SEN HÔNG - BUM GOLD (Bột cam)  - 250gr - 50</v>
      </c>
      <c r="E5819" s="87" t="str">
        <f>IFERROR(__xludf.DUMMYFUNCTION("""COMPUTED_VALUE"""),"NOFADA 822WP")</f>
        <v>NOFADA 822WP</v>
      </c>
      <c r="F5819" s="87" t="str">
        <f>IFERROR(__xludf.DUMMYFUNCTION("""COMPUTED_VALUE"""),"HH4840")</f>
        <v>HH4840</v>
      </c>
      <c r="G5819" s="87" t="str">
        <f>IFERROR(__xludf.DUMMYFUNCTION("""COMPUTED_VALUE"""),"GC - V - 4840 - CTY SEN HÔNG - BUM GOLD (Bột cam)  - 250gr - 50")</f>
        <v>GC - V - 4840 - CTY SEN HÔNG - BUM GOLD (Bột cam)  - 250gr - 50</v>
      </c>
    </row>
    <row r="5820">
      <c r="A5820" s="86">
        <f>IFERROR(__xludf.DUMMYFUNCTION("""COMPUTED_VALUE"""),5818.0)</f>
        <v>5818</v>
      </c>
      <c r="B5820" s="87" t="str">
        <f>IFERROR(__xludf.DUMMYFUNCTION("""COMPUTED_VALUE"""),"[Nhãn Thùng]")</f>
        <v>[Nhãn Thùng]</v>
      </c>
      <c r="C5820" s="87" t="str">
        <f>IFERROR(__xludf.DUMMYFUNCTION("""COMPUTED_VALUE"""),"NDT4821")</f>
        <v>NDT4821</v>
      </c>
      <c r="D5820" s="87" t="str">
        <f>IFERROR(__xludf.DUMMYFUNCTION("""COMPUTED_VALUE"""),"[Nhãn Thùng] GC - V - 4821 - CTY NHP GROUP - CHESSIN 600WP (Bột trắng ngà) - 80gr - 100")</f>
        <v>[Nhãn Thùng] GC - V - 4821 - CTY NHP GROUP - CHESSIN 600WP (Bột trắng ngà) - 80gr - 100</v>
      </c>
      <c r="E5820" s="87" t="str">
        <f>IFERROR(__xludf.DUMMYFUNCTION("""COMPUTED_VALUE"""),"CHESSIN 600WP")</f>
        <v>CHESSIN 600WP</v>
      </c>
      <c r="F5820" s="87" t="str">
        <f>IFERROR(__xludf.DUMMYFUNCTION("""COMPUTED_VALUE"""),"HH4821")</f>
        <v>HH4821</v>
      </c>
      <c r="G5820" s="87" t="str">
        <f>IFERROR(__xludf.DUMMYFUNCTION("""COMPUTED_VALUE"""),"GC - V - 4821 - CTY NHP GROUP - CHESSIN 600WP (Bột trắng ngà) - 80gr - 100")</f>
        <v>GC - V - 4821 - CTY NHP GROUP - CHESSIN 600WP (Bột trắng ngà) - 80gr - 100</v>
      </c>
    </row>
    <row r="5821">
      <c r="A5821" s="86">
        <f>IFERROR(__xludf.DUMMYFUNCTION("""COMPUTED_VALUE"""),5819.0)</f>
        <v>5819</v>
      </c>
      <c r="B5821" s="87" t="str">
        <f>IFERROR(__xludf.DUMMYFUNCTION("""COMPUTED_VALUE"""),"[Nhãn Thùng]")</f>
        <v>[Nhãn Thùng]</v>
      </c>
      <c r="C5821" s="87" t="str">
        <f>IFERROR(__xludf.DUMMYFUNCTION("""COMPUTED_VALUE"""),"NDT4855")</f>
        <v>NDT4855</v>
      </c>
      <c r="D5821" s="87" t="str">
        <f>IFERROR(__xludf.DUMMYFUNCTION("""COMPUTED_VALUE"""),"[Nhãn Thùng] IDA Global - I - 4855 - Pim.Pim 75WP (Bột cam) - 100gr - 100")</f>
        <v>[Nhãn Thùng] IDA Global - I - 4855 - Pim.Pim 75WP (Bột cam) - 100gr - 100</v>
      </c>
      <c r="E5821" s="87" t="str">
        <f>IFERROR(__xludf.DUMMYFUNCTION("""COMPUTED_VALUE"""),"Pim.Pim 75WP")</f>
        <v>Pim.Pim 75WP</v>
      </c>
      <c r="F5821" s="87" t="str">
        <f>IFERROR(__xludf.DUMMYFUNCTION("""COMPUTED_VALUE"""),"HH4855")</f>
        <v>HH4855</v>
      </c>
      <c r="G5821" s="87" t="str">
        <f>IFERROR(__xludf.DUMMYFUNCTION("""COMPUTED_VALUE"""),"IDA Global - I - 4855 - Pim.Pim 75WP (Bột cam) - 100gr - 100")</f>
        <v>IDA Global - I - 4855 - Pim.Pim 75WP (Bột cam) - 100gr - 100</v>
      </c>
    </row>
    <row r="5822">
      <c r="A5822" s="86">
        <f>IFERROR(__xludf.DUMMYFUNCTION("""COMPUTED_VALUE"""),5820.0)</f>
        <v>5820</v>
      </c>
      <c r="B5822" s="87" t="str">
        <f>IFERROR(__xludf.DUMMYFUNCTION("""COMPUTED_VALUE"""),"[Nhãn Thùng]")</f>
        <v>[Nhãn Thùng]</v>
      </c>
      <c r="C5822" s="87" t="str">
        <f>IFERROR(__xludf.DUMMYFUNCTION("""COMPUTED_VALUE"""),"NDT4716")</f>
        <v>NDT4716</v>
      </c>
      <c r="D5822" s="87" t="str">
        <f>IFERROR(__xludf.DUMMYFUNCTION("""COMPUTED_VALUE"""),"[Nhãn Thùng] GC - V - 4716 - NHP GROUP -  OXYCIN 100WP (Bột màu trắng) - 100gr - 100")</f>
        <v>[Nhãn Thùng] GC - V - 4716 - NHP GROUP -  OXYCIN 100WP (Bột màu trắng) - 100gr - 100</v>
      </c>
      <c r="E5822" s="87" t="str">
        <f>IFERROR(__xludf.DUMMYFUNCTION("""COMPUTED_VALUE"""),"Oxycin 100WP")</f>
        <v>Oxycin 100WP</v>
      </c>
      <c r="F5822" s="87" t="str">
        <f>IFERROR(__xludf.DUMMYFUNCTION("""COMPUTED_VALUE"""),"HH4716")</f>
        <v>HH4716</v>
      </c>
      <c r="G5822" s="87" t="str">
        <f>IFERROR(__xludf.DUMMYFUNCTION("""COMPUTED_VALUE"""),"GC - V - 4716 - NHP GROUP -  OXYCIN 100WP (Bột màu trắng) - 100gr - 100")</f>
        <v>GC - V - 4716 - NHP GROUP -  OXYCIN 100WP (Bột màu trắng) - 100gr - 100</v>
      </c>
    </row>
    <row r="5823">
      <c r="A5823" s="86">
        <f>IFERROR(__xludf.DUMMYFUNCTION("""COMPUTED_VALUE"""),5821.0)</f>
        <v>5821</v>
      </c>
      <c r="B5823" s="87" t="str">
        <f>IFERROR(__xludf.DUMMYFUNCTION("""COMPUTED_VALUE"""),"[Nhãn Thùng]")</f>
        <v>[Nhãn Thùng]</v>
      </c>
      <c r="C5823" s="87" t="str">
        <f>IFERROR(__xludf.DUMMYFUNCTION("""COMPUTED_VALUE"""),"NDT4791")</f>
        <v>NDT4791</v>
      </c>
      <c r="D5823" s="87" t="str">
        <f>IFERROR(__xludf.DUMMYFUNCTION("""COMPUTED_VALUE"""),"[Nhãn Thùng] LOT IDA Global - I - 4791 - THẦN HỔ (Nước trong) - 450ml - 40")</f>
        <v>[Nhãn Thùng] LOT IDA Global - I - 4791 - THẦN HỔ (Nước trong) - 450ml - 40</v>
      </c>
      <c r="E5823" s="87" t="str">
        <f>IFERROR(__xludf.DUMMYFUNCTION("""COMPUTED_VALUE"""),"HAIHAMEC 3.6EC")</f>
        <v>HAIHAMEC 3.6EC</v>
      </c>
      <c r="F5823" s="87" t="str">
        <f>IFERROR(__xludf.DUMMYFUNCTION("""COMPUTED_VALUE"""),"HH4791")</f>
        <v>HH4791</v>
      </c>
      <c r="G5823" s="87" t="str">
        <f>IFERROR(__xludf.DUMMYFUNCTION("""COMPUTED_VALUE"""),"LOT IDA Global - I - 4791 - THẦN HỔ (Nước trong) - 450ml - 40")</f>
        <v>LOT IDA Global - I - 4791 - THẦN HỔ (Nước trong) - 450ml - 40</v>
      </c>
    </row>
    <row r="5824">
      <c r="A5824" s="86">
        <f>IFERROR(__xludf.DUMMYFUNCTION("""COMPUTED_VALUE"""),5822.0)</f>
        <v>5822</v>
      </c>
      <c r="B5824" s="87" t="str">
        <f>IFERROR(__xludf.DUMMYFUNCTION("""COMPUTED_VALUE"""),"[Nhãn Thùng]")</f>
        <v>[Nhãn Thùng]</v>
      </c>
      <c r="C5824" s="87" t="str">
        <f>IFERROR(__xludf.DUMMYFUNCTION("""COMPUTED_VALUE"""),"NDT4813")</f>
        <v>NDT4813</v>
      </c>
      <c r="D5824" s="87" t="str">
        <f>IFERROR(__xludf.DUMMYFUNCTION("""COMPUTED_VALUE"""),"[Nhãn Thùng] GC - V - 4813 - CTY HƯƠNG NÔNG - NOMIDA 700WG (Dạng cốm màu trắng ngà) - 80gr - 100")</f>
        <v>[Nhãn Thùng] GC - V - 4813 - CTY HƯƠNG NÔNG - NOMIDA 700WG (Dạng cốm màu trắng ngà) - 80gr - 100</v>
      </c>
      <c r="E5824" s="87" t="str">
        <f>IFERROR(__xludf.DUMMYFUNCTION("""COMPUTED_VALUE"""),"NOMIDA 700WG")</f>
        <v>NOMIDA 700WG</v>
      </c>
      <c r="F5824" s="87" t="str">
        <f>IFERROR(__xludf.DUMMYFUNCTION("""COMPUTED_VALUE"""),"HH4813")</f>
        <v>HH4813</v>
      </c>
      <c r="G5824" s="87" t="str">
        <f>IFERROR(__xludf.DUMMYFUNCTION("""COMPUTED_VALUE"""),"GC - V - 4813 - CTY HƯƠNG NÔNG - NOMIDA 700WG (Dạng cốm màu trắng ngà) - 80gr - 100")</f>
        <v>GC - V - 4813 - CTY HƯƠNG NÔNG - NOMIDA 700WG (Dạng cốm màu trắng ngà) - 80gr - 100</v>
      </c>
    </row>
    <row r="5825">
      <c r="A5825" s="86">
        <f>IFERROR(__xludf.DUMMYFUNCTION("""COMPUTED_VALUE"""),5823.0)</f>
        <v>5823</v>
      </c>
      <c r="B5825" s="87" t="str">
        <f>IFERROR(__xludf.DUMMYFUNCTION("""COMPUTED_VALUE"""),"[Nhãn]")</f>
        <v>[Nhãn]</v>
      </c>
      <c r="C5825" s="87" t="str">
        <f>IFERROR(__xludf.DUMMYFUNCTION("""COMPUTED_VALUE"""),"NHG4872")</f>
        <v>NHG4872</v>
      </c>
      <c r="D5825" s="87" t="str">
        <f>IFERROR(__xludf.DUMMYFUNCTION("""COMPUTED_VALUE"""),"[Nhãn] GC - V - 4872 - CTY THIÊN DI - THIDI GREEN (Nước trắng sữa) - 500ml - 40")</f>
        <v>[Nhãn] GC - V - 4872 - CTY THIÊN DI - THIDI GREEN (Nước trắng sữa) - 500ml - 40</v>
      </c>
      <c r="E5825" s="87" t="str">
        <f>IFERROR(__xludf.DUMMYFUNCTION("""COMPUTED_VALUE"""),"vi lượng Phú Sĩ FJ-09 Kẽm Mg")</f>
        <v>vi lượng Phú Sĩ FJ-09 Kẽm Mg</v>
      </c>
      <c r="F5825" s="87" t="str">
        <f>IFERROR(__xludf.DUMMYFUNCTION("""COMPUTED_VALUE"""),"HH4872")</f>
        <v>HH4872</v>
      </c>
      <c r="G5825" s="87" t="str">
        <f>IFERROR(__xludf.DUMMYFUNCTION("""COMPUTED_VALUE"""),"GC - V - 4872 - CTY THIÊN DI - THIDI GREEN (Nước trắng sữa) - 500ml - 40")</f>
        <v>GC - V - 4872 - CTY THIÊN DI - THIDI GREEN (Nước trắng sữa) - 500ml - 40</v>
      </c>
    </row>
    <row r="5826">
      <c r="A5826" s="86">
        <f>IFERROR(__xludf.DUMMYFUNCTION("""COMPUTED_VALUE"""),5824.0)</f>
        <v>5824</v>
      </c>
      <c r="B5826" s="87" t="str">
        <f>IFERROR(__xludf.DUMMYFUNCTION("""COMPUTED_VALUE"""),"[Nhãn]")</f>
        <v>[Nhãn]</v>
      </c>
      <c r="C5826" s="87" t="str">
        <f>IFERROR(__xludf.DUMMYFUNCTION("""COMPUTED_VALUE"""),"NHD4882")</f>
        <v>NHD4882</v>
      </c>
      <c r="D5826" s="87" t="str">
        <f>IFERROR(__xludf.DUMMYFUNCTION("""COMPUTED_VALUE"""),"[Nhãn] LOT IDA Global - I - 4882 - ĐL Trịnh Thến - Sư Tử Gold (Nước nâu đen) - 450ml - 40")</f>
        <v>[Nhãn] LOT IDA Global - I - 4882 - ĐL Trịnh Thến - Sư Tử Gold (Nước nâu đen) - 450ml - 40</v>
      </c>
      <c r="E5826" s="87" t="str">
        <f>IFERROR(__xludf.DUMMYFUNCTION("""COMPUTED_VALUE"""),"Chitin 3.6EC")</f>
        <v>Chitin 3.6EC</v>
      </c>
      <c r="F5826" s="87" t="str">
        <f>IFERROR(__xludf.DUMMYFUNCTION("""COMPUTED_VALUE"""),"HH4882")</f>
        <v>HH4882</v>
      </c>
      <c r="G5826" s="87" t="str">
        <f>IFERROR(__xludf.DUMMYFUNCTION("""COMPUTED_VALUE"""),"LOT IDA Global - I - 4882 - ĐL Trịnh Thến - Sư Tử Gold (Nước nâu đen) - 450ml - 40")</f>
        <v>LOT IDA Global - I - 4882 - ĐL Trịnh Thến - Sư Tử Gold (Nước nâu đen) - 450ml - 40</v>
      </c>
    </row>
    <row r="5827">
      <c r="A5827" s="86">
        <f>IFERROR(__xludf.DUMMYFUNCTION("""COMPUTED_VALUE"""),5825.0)</f>
        <v>5825</v>
      </c>
      <c r="B5827" s="87" t="str">
        <f>IFERROR(__xludf.DUMMYFUNCTION("""COMPUTED_VALUE"""),"[Nhãn]")</f>
        <v>[Nhãn]</v>
      </c>
      <c r="C5827" s="87" t="str">
        <f>IFERROR(__xludf.DUMMYFUNCTION("""COMPUTED_VALUE"""),"NHG4884")</f>
        <v>NHG4884</v>
      </c>
      <c r="D5827" s="87" t="str">
        <f>IFERROR(__xludf.DUMMYFUNCTION("""COMPUTED_VALUE"""),"[Nhãn] IDA Global - I - 4884 - ĐL CHẤN PHONG - CITTIZEN 333SC (Nước cam sữa) - 350ml - 40")</f>
        <v>[Nhãn] IDA Global - I - 4884 - ĐL CHẤN PHONG - CITTIZEN 333SC (Nước cam sữa) - 350ml - 40</v>
      </c>
      <c r="E5827" s="87" t="str">
        <f>IFERROR(__xludf.DUMMYFUNCTION("""COMPUTED_VALUE"""),"CITTIZEN 333SC")</f>
        <v>CITTIZEN 333SC</v>
      </c>
      <c r="F5827" s="87" t="str">
        <f>IFERROR(__xludf.DUMMYFUNCTION("""COMPUTED_VALUE"""),"HH4884")</f>
        <v>HH4884</v>
      </c>
      <c r="G5827" s="87" t="str">
        <f>IFERROR(__xludf.DUMMYFUNCTION("""COMPUTED_VALUE"""),"IDA Global - I - 4884 - ĐL CHẤN PHONG - CITTIZEN 333SC (Nước cam sữa) - 350ml - 40")</f>
        <v>IDA Global - I - 4884 - ĐL CHẤN PHONG - CITTIZEN 333SC (Nước cam sữa) - 350ml - 40</v>
      </c>
    </row>
    <row r="5828">
      <c r="A5828" s="86">
        <f>IFERROR(__xludf.DUMMYFUNCTION("""COMPUTED_VALUE"""),5826.0)</f>
        <v>5826</v>
      </c>
      <c r="B5828" s="87" t="str">
        <f>IFERROR(__xludf.DUMMYFUNCTION("""COMPUTED_VALUE"""),"[Nhãn]")</f>
        <v>[Nhãn]</v>
      </c>
      <c r="C5828" s="87" t="str">
        <f>IFERROR(__xludf.DUMMYFUNCTION("""COMPUTED_VALUE"""),"NHG4886")</f>
        <v>NHG4886</v>
      </c>
      <c r="D5828" s="87" t="str">
        <f>IFERROR(__xludf.DUMMYFUNCTION("""COMPUTED_VALUE"""),"[Nhãn] GC - V - 4886 - Sen Hồng - ĐẠO ÔN &amp; NẤM KHUẨN (Nước đỏ) - 450ml - 40")</f>
        <v>[Nhãn] GC - V - 4886 - Sen Hồng - ĐẠO ÔN &amp; NẤM KHUẨN (Nước đỏ) - 450ml - 40</v>
      </c>
      <c r="E5828" s="87" t="str">
        <f>IFERROR(__xludf.DUMMYFUNCTION("""COMPUTED_VALUE"""),"GENOL 1.2SL")</f>
        <v>GENOL 1.2SL</v>
      </c>
      <c r="F5828" s="87" t="str">
        <f>IFERROR(__xludf.DUMMYFUNCTION("""COMPUTED_VALUE"""),"HH4886")</f>
        <v>HH4886</v>
      </c>
      <c r="G5828" s="87" t="str">
        <f>IFERROR(__xludf.DUMMYFUNCTION("""COMPUTED_VALUE"""),"GC - V - 4886 - Sen Hồng - ĐẠO ÔN &amp; NẤM KHUẨN (Nước đỏ) - 450ml - 40")</f>
        <v>GC - V - 4886 - Sen Hồng - ĐẠO ÔN &amp; NẤM KHUẨN (Nước đỏ) - 450ml - 40</v>
      </c>
    </row>
    <row r="5829">
      <c r="A5829" s="86">
        <f>IFERROR(__xludf.DUMMYFUNCTION("""COMPUTED_VALUE"""),5827.0)</f>
        <v>5827</v>
      </c>
      <c r="B5829" s="87" t="str">
        <f>IFERROR(__xludf.DUMMYFUNCTION("""COMPUTED_VALUE"""),"[Nhãn]")</f>
        <v>[Nhãn]</v>
      </c>
      <c r="C5829" s="87" t="str">
        <f>IFERROR(__xludf.DUMMYFUNCTION("""COMPUTED_VALUE"""),"NHG4885")</f>
        <v>NHG4885</v>
      </c>
      <c r="D5829" s="87" t="str">
        <f>IFERROR(__xludf.DUMMYFUNCTION("""COMPUTED_VALUE"""),"[Nhãn] GC - V - 4885 - Sen Hồng - SẠCH KHUẨN (Nước tím) - 250ml - 40")</f>
        <v>[Nhãn] GC - V - 4885 - Sen Hồng - SẠCH KHUẨN (Nước tím) - 250ml - 40</v>
      </c>
      <c r="E5829" s="87" t="str">
        <f>IFERROR(__xludf.DUMMYFUNCTION("""COMPUTED_VALUE"""),"GENOL 1.2SL")</f>
        <v>GENOL 1.2SL</v>
      </c>
      <c r="F5829" s="87" t="str">
        <f>IFERROR(__xludf.DUMMYFUNCTION("""COMPUTED_VALUE"""),"HH4885")</f>
        <v>HH4885</v>
      </c>
      <c r="G5829" s="87" t="str">
        <f>IFERROR(__xludf.DUMMYFUNCTION("""COMPUTED_VALUE"""),"GC - V - 4885 - Sen Hồng - SẠCH KHUẨN (Nước tím) - 250ml - 40")</f>
        <v>GC - V - 4885 - Sen Hồng - SẠCH KHUẨN (Nước tím) - 250ml - 40</v>
      </c>
    </row>
    <row r="5830">
      <c r="A5830" s="86">
        <f>IFERROR(__xludf.DUMMYFUNCTION("""COMPUTED_VALUE"""),5828.0)</f>
        <v>5828</v>
      </c>
      <c r="B5830" s="87" t="str">
        <f>IFERROR(__xludf.DUMMYFUNCTION("""COMPUTED_VALUE"""),"[Nhãn]")</f>
        <v>[Nhãn]</v>
      </c>
      <c r="C5830" s="87" t="str">
        <f>IFERROR(__xludf.DUMMYFUNCTION("""COMPUTED_VALUE"""),"NHD4876")</f>
        <v>NHD4876</v>
      </c>
      <c r="D5830" s="87" t="str">
        <f>IFERROR(__xludf.DUMMYFUNCTION("""COMPUTED_VALUE"""),"[Nhãn] GC - V - 4876 - CTY AGRITECH - MEGA FRUIT (Nước nâu đen) - 20L - 1")</f>
        <v>[Nhãn] GC - V - 4876 - CTY AGRITECH - MEGA FRUIT (Nước nâu đen) - 20L - 1</v>
      </c>
      <c r="E5830" s="87" t="str">
        <f>IFERROR(__xludf.DUMMYFUNCTION("""COMPUTED_VALUE"""),"Hữu Cơ Organic ĐGP 01")</f>
        <v>Hữu Cơ Organic ĐGP 01</v>
      </c>
      <c r="F5830" s="87" t="str">
        <f>IFERROR(__xludf.DUMMYFUNCTION("""COMPUTED_VALUE"""),"HH4876")</f>
        <v>HH4876</v>
      </c>
      <c r="G5830" s="87" t="str">
        <f>IFERROR(__xludf.DUMMYFUNCTION("""COMPUTED_VALUE"""),"GC - V - 4876 - CTY AGRITECH - MEGA FRUIT (Nước nâu đen) - 20L - 1")</f>
        <v>GC - V - 4876 - CTY AGRITECH - MEGA FRUIT (Nước nâu đen) - 20L - 1</v>
      </c>
    </row>
    <row r="5831">
      <c r="A5831" s="86">
        <f>IFERROR(__xludf.DUMMYFUNCTION("""COMPUTED_VALUE"""),5829.0)</f>
        <v>5829</v>
      </c>
      <c r="B5831" s="87" t="str">
        <f>IFERROR(__xludf.DUMMYFUNCTION("""COMPUTED_VALUE"""),"[Nhãn]")</f>
        <v>[Nhãn]</v>
      </c>
      <c r="C5831" s="87" t="str">
        <f>IFERROR(__xludf.DUMMYFUNCTION("""COMPUTED_VALUE"""),"NTN4862")</f>
        <v>NTN4862</v>
      </c>
      <c r="D5831" s="87" t="str">
        <f>IFERROR(__xludf.DUMMYFUNCTION("""COMPUTED_VALUE"""),"[Nhãn] GC - V - 4862 - THIÊN AN - HOANGANHBUL 72WP (Bột vàng) - 500gr - 30")</f>
        <v>[Nhãn] GC - V - 4862 - THIÊN AN - HOANGANHBUL 72WP (Bột vàng) - 500gr - 30</v>
      </c>
      <c r="E5831" s="87" t="str">
        <f>IFERROR(__xludf.DUMMYFUNCTION("""COMPUTED_VALUE"""),"Hoanganhbul 72WP")</f>
        <v>Hoanganhbul 72WP</v>
      </c>
      <c r="F5831" s="87" t="str">
        <f>IFERROR(__xludf.DUMMYFUNCTION("""COMPUTED_VALUE"""),"HH4862")</f>
        <v>HH4862</v>
      </c>
      <c r="G5831" s="87" t="str">
        <f>IFERROR(__xludf.DUMMYFUNCTION("""COMPUTED_VALUE"""),"GC - V - 4862 - THIÊN AN - HOANGANHBUL 72WP (Bột vàng) - 500gr - 30")</f>
        <v>GC - V - 4862 - THIÊN AN - HOANGANHBUL 72WP (Bột vàng) - 500gr - 30</v>
      </c>
    </row>
    <row r="5832">
      <c r="A5832" s="86">
        <f>IFERROR(__xludf.DUMMYFUNCTION("""COMPUTED_VALUE"""),5830.0)</f>
        <v>5830</v>
      </c>
      <c r="B5832" s="87" t="str">
        <f>IFERROR(__xludf.DUMMYFUNCTION("""COMPUTED_VALUE"""),"[Nhãn]")</f>
        <v>[Nhãn]</v>
      </c>
      <c r="C5832" s="87" t="str">
        <f>IFERROR(__xludf.DUMMYFUNCTION("""COMPUTED_VALUE"""),"NTN4873")</f>
        <v>NTN4873</v>
      </c>
      <c r="D5832" s="87" t="str">
        <f>IFERROR(__xludf.DUMMYFUNCTION("""COMPUTED_VALUE"""),"[Nhãn] GC - V - 4873 - CTY R3 - DIE-ỐC 700 (Bột cam) - 70gr - 100")</f>
        <v>[Nhãn] GC - V - 4873 - CTY R3 - DIE-ỐC 700 (Bột cam) - 70gr - 100</v>
      </c>
      <c r="E5832" s="87" t="str">
        <f>IFERROR(__xludf.DUMMYFUNCTION("""COMPUTED_VALUE"""),"NP SNAILICIDE 700WP")</f>
        <v>NP SNAILICIDE 700WP</v>
      </c>
      <c r="F5832" s="87" t="str">
        <f>IFERROR(__xludf.DUMMYFUNCTION("""COMPUTED_VALUE"""),"HH4873")</f>
        <v>HH4873</v>
      </c>
      <c r="G5832" s="87" t="str">
        <f>IFERROR(__xludf.DUMMYFUNCTION("""COMPUTED_VALUE"""),"GC - V - 4873 - CTY R3 - DIE-ỐC 700 (Bột cam) - 70gr - 100")</f>
        <v>GC - V - 4873 - CTY R3 - DIE-ỐC 700 (Bột cam) - 70gr - 100</v>
      </c>
    </row>
    <row r="5833">
      <c r="A5833" s="86">
        <f>IFERROR(__xludf.DUMMYFUNCTION("""COMPUTED_VALUE"""),5831.0)</f>
        <v>5831</v>
      </c>
      <c r="B5833" s="87" t="str">
        <f>IFERROR(__xludf.DUMMYFUNCTION("""COMPUTED_VALUE"""),"[Nhãn]")</f>
        <v>[Nhãn]</v>
      </c>
      <c r="C5833" s="87" t="str">
        <f>IFERROR(__xludf.DUMMYFUNCTION("""COMPUTED_VALUE"""),"NHG4874")</f>
        <v>NHG4874</v>
      </c>
      <c r="D5833" s="87" t="str">
        <f>IFERROR(__xludf.DUMMYFUNCTION("""COMPUTED_VALUE"""),"[Nhãn] GC - V - 4874 - AGRICARE HIGHLAND - OPEN XTRA 44L (Nước vàng) - 120ml - 50")</f>
        <v>[Nhãn] GC - V - 4874 - AGRICARE HIGHLAND - OPEN XTRA 44L (Nước vàng) - 120ml - 50</v>
      </c>
      <c r="E5833" s="87" t="str">
        <f>IFERROR(__xludf.DUMMYFUNCTION("""COMPUTED_VALUE"""),"Vi lượng Quantity New")</f>
        <v>Vi lượng Quantity New</v>
      </c>
      <c r="F5833" s="87" t="str">
        <f>IFERROR(__xludf.DUMMYFUNCTION("""COMPUTED_VALUE"""),"HH4874")</f>
        <v>HH4874</v>
      </c>
      <c r="G5833" s="87" t="str">
        <f>IFERROR(__xludf.DUMMYFUNCTION("""COMPUTED_VALUE"""),"GC - V - 4874 - AGRICARE HIGHLAND - OPEN XTRA 44L (Nước vàng) - 120ml - 50")</f>
        <v>GC - V - 4874 - AGRICARE HIGHLAND - OPEN XTRA 44L (Nước vàng) - 120ml - 50</v>
      </c>
    </row>
    <row r="5834">
      <c r="A5834" s="86">
        <f>IFERROR(__xludf.DUMMYFUNCTION("""COMPUTED_VALUE"""),5832.0)</f>
        <v>5832</v>
      </c>
      <c r="B5834" s="87" t="str">
        <f>IFERROR(__xludf.DUMMYFUNCTION("""COMPUTED_VALUE"""),"[Nhãn]")</f>
        <v>[Nhãn]</v>
      </c>
      <c r="C5834" s="87" t="str">
        <f>IFERROR(__xludf.DUMMYFUNCTION("""COMPUTED_VALUE"""),"NHG4887")</f>
        <v>NHG4887</v>
      </c>
      <c r="D5834" s="87" t="str">
        <f>IFERROR(__xludf.DUMMYFUNCTION("""COMPUTED_VALUE"""),"[Nhãn] GC - V - 4887 - TAGO - GENOL 1.2SL (Nước đỏ) - 300ml - 40")</f>
        <v>[Nhãn] GC - V - 4887 - TAGO - GENOL 1.2SL (Nước đỏ) - 300ml - 40</v>
      </c>
      <c r="E5834" s="87" t="str">
        <f>IFERROR(__xludf.DUMMYFUNCTION("""COMPUTED_VALUE"""),"GENOL 1.2SL")</f>
        <v>GENOL 1.2SL</v>
      </c>
      <c r="F5834" s="87" t="str">
        <f>IFERROR(__xludf.DUMMYFUNCTION("""COMPUTED_VALUE"""),"HH4887")</f>
        <v>HH4887</v>
      </c>
      <c r="G5834" s="87" t="str">
        <f>IFERROR(__xludf.DUMMYFUNCTION("""COMPUTED_VALUE"""),"GC - V - 4887 - TAGO - GENOL 1.2SL (Nước đỏ) - 300ml - 40")</f>
        <v>GC - V - 4887 - TAGO - GENOL 1.2SL (Nước đỏ) - 300ml - 40</v>
      </c>
    </row>
    <row r="5835">
      <c r="A5835" s="86">
        <f>IFERROR(__xludf.DUMMYFUNCTION("""COMPUTED_VALUE"""),5833.0)</f>
        <v>5833</v>
      </c>
      <c r="B5835" s="87" t="str">
        <f>IFERROR(__xludf.DUMMYFUNCTION("""COMPUTED_VALUE"""),"[Nhãn Thùng]")</f>
        <v>[Nhãn Thùng]</v>
      </c>
      <c r="C5835" s="87" t="str">
        <f>IFERROR(__xludf.DUMMYFUNCTION("""COMPUTED_VALUE"""),"NDT4862")</f>
        <v>NDT4862</v>
      </c>
      <c r="D5835" s="87" t="str">
        <f>IFERROR(__xludf.DUMMYFUNCTION("""COMPUTED_VALUE"""),"[Nhãn Thùng] GC - V - 4862 - THIÊN AN - HOANGANHBUL 72WP (Bột vàng) - 500gr - 30")</f>
        <v>[Nhãn Thùng] GC - V - 4862 - THIÊN AN - HOANGANHBUL 72WP (Bột vàng) - 500gr - 30</v>
      </c>
      <c r="E5835" s="87" t="str">
        <f>IFERROR(__xludf.DUMMYFUNCTION("""COMPUTED_VALUE"""),"Hoanganhbul 72WP")</f>
        <v>Hoanganhbul 72WP</v>
      </c>
      <c r="F5835" s="87" t="str">
        <f>IFERROR(__xludf.DUMMYFUNCTION("""COMPUTED_VALUE"""),"HH4862")</f>
        <v>HH4862</v>
      </c>
      <c r="G5835" s="87" t="str">
        <f>IFERROR(__xludf.DUMMYFUNCTION("""COMPUTED_VALUE"""),"GC - V - 4862 - THIÊN AN - HOANGANHBUL 72WP (Bột vàng) - 500gr - 30")</f>
        <v>GC - V - 4862 - THIÊN AN - HOANGANHBUL 72WP (Bột vàng) - 500gr - 30</v>
      </c>
    </row>
    <row r="5836">
      <c r="A5836" s="86">
        <f>IFERROR(__xludf.DUMMYFUNCTION("""COMPUTED_VALUE"""),5834.0)</f>
        <v>5834</v>
      </c>
      <c r="B5836" s="87" t="str">
        <f>IFERROR(__xludf.DUMMYFUNCTION("""COMPUTED_VALUE"""),"[Nhãn Thùng]")</f>
        <v>[Nhãn Thùng]</v>
      </c>
      <c r="C5836" s="87" t="str">
        <f>IFERROR(__xludf.DUMMYFUNCTION("""COMPUTED_VALUE"""),"NDT4873")</f>
        <v>NDT4873</v>
      </c>
      <c r="D5836" s="87" t="str">
        <f>IFERROR(__xludf.DUMMYFUNCTION("""COMPUTED_VALUE"""),"[Nhãn Thùng] GC - V - 4873 - CTY R3 - DIE-ỐC 700 (Bột cam) - 70gr - 100")</f>
        <v>[Nhãn Thùng] GC - V - 4873 - CTY R3 - DIE-ỐC 700 (Bột cam) - 70gr - 100</v>
      </c>
      <c r="E5836" s="87" t="str">
        <f>IFERROR(__xludf.DUMMYFUNCTION("""COMPUTED_VALUE"""),"NP SNAILICIDE 700WP")</f>
        <v>NP SNAILICIDE 700WP</v>
      </c>
      <c r="F5836" s="87" t="str">
        <f>IFERROR(__xludf.DUMMYFUNCTION("""COMPUTED_VALUE"""),"HH4873")</f>
        <v>HH4873</v>
      </c>
      <c r="G5836" s="87" t="str">
        <f>IFERROR(__xludf.DUMMYFUNCTION("""COMPUTED_VALUE"""),"GC - V - 4873 - CTY R3 - DIE-ỐC 700 (Bột cam) - 70gr - 100")</f>
        <v>GC - V - 4873 - CTY R3 - DIE-ỐC 700 (Bột cam) - 70gr - 100</v>
      </c>
    </row>
    <row r="5837">
      <c r="A5837" s="86">
        <f>IFERROR(__xludf.DUMMYFUNCTION("""COMPUTED_VALUE"""),5835.0)</f>
        <v>5835</v>
      </c>
      <c r="B5837" s="87" t="str">
        <f>IFERROR(__xludf.DUMMYFUNCTION("""COMPUTED_VALUE"""),"[Nhãn]")</f>
        <v>[Nhãn]</v>
      </c>
      <c r="C5837" s="87" t="str">
        <f>IFERROR(__xludf.DUMMYFUNCTION("""COMPUTED_VALUE"""),"NTN4881")</f>
        <v>NTN4881</v>
      </c>
      <c r="D5837" s="87" t="str">
        <f>IFERROR(__xludf.DUMMYFUNCTION("""COMPUTED_VALUE"""),"[Nhãn] GC - V - 4881 - PHÚC THÀNH AGRI - MEKONGVIL 5SC (Nước trắng sữa) - 1L - 20")</f>
        <v>[Nhãn] GC - V - 4881 - PHÚC THÀNH AGRI - MEKONGVIL 5SC (Nước trắng sữa) - 1L - 20</v>
      </c>
      <c r="E5837" s="87" t="str">
        <f>IFERROR(__xludf.DUMMYFUNCTION("""COMPUTED_VALUE"""),"Mekongvil 5SC")</f>
        <v>Mekongvil 5SC</v>
      </c>
      <c r="F5837" s="87" t="str">
        <f>IFERROR(__xludf.DUMMYFUNCTION("""COMPUTED_VALUE"""),"HH4881")</f>
        <v>HH4881</v>
      </c>
      <c r="G5837" s="87" t="str">
        <f>IFERROR(__xludf.DUMMYFUNCTION("""COMPUTED_VALUE"""),"GC - V - 4881 - PHÚC THÀNH AGRI - MEKONGVIL 5SC (Nước trắng sữa) - 1L - 20")</f>
        <v>GC - V - 4881 - PHÚC THÀNH AGRI - MEKONGVIL 5SC (Nước trắng sữa) - 1L - 20</v>
      </c>
    </row>
    <row r="5838">
      <c r="A5838" s="86">
        <f>IFERROR(__xludf.DUMMYFUNCTION("""COMPUTED_VALUE"""),5836.0)</f>
        <v>5836</v>
      </c>
      <c r="B5838" s="87" t="str">
        <f>IFERROR(__xludf.DUMMYFUNCTION("""COMPUTED_VALUE"""),"[Nhãn]")</f>
        <v>[Nhãn]</v>
      </c>
      <c r="C5838" s="87" t="str">
        <f>IFERROR(__xludf.DUMMYFUNCTION("""COMPUTED_VALUE"""),"NHG4883")</f>
        <v>NHG4883</v>
      </c>
      <c r="D5838" s="87" t="str">
        <f>IFERROR(__xludf.DUMMYFUNCTION("""COMPUTED_VALUE"""),"[Nhãn] GC - V - 4883 - CTY NAUY - GALAXY (Nước nâu đen) - 500ml - 40")</f>
        <v>[Nhãn] GC - V - 4883 - CTY NAUY - GALAXY (Nước nâu đen) - 500ml - 40</v>
      </c>
      <c r="E5838" s="87" t="str">
        <f>IFERROR(__xludf.DUMMYFUNCTION("""COMPUTED_VALUE"""),"Hỗn Hợp NP AGAMA-AP")</f>
        <v>Hỗn Hợp NP AGAMA-AP</v>
      </c>
      <c r="F5838" s="87" t="str">
        <f>IFERROR(__xludf.DUMMYFUNCTION("""COMPUTED_VALUE"""),"HH4883")</f>
        <v>HH4883</v>
      </c>
      <c r="G5838" s="87" t="str">
        <f>IFERROR(__xludf.DUMMYFUNCTION("""COMPUTED_VALUE"""),"GC - V - 4883 - CTY NAUY - GALAXY (Nước nâu đen) - 500ml - 40")</f>
        <v>GC - V - 4883 - CTY NAUY - GALAXY (Nước nâu đen) - 500ml - 40</v>
      </c>
    </row>
    <row r="5839">
      <c r="A5839" s="86">
        <f>IFERROR(__xludf.DUMMYFUNCTION("""COMPUTED_VALUE"""),5837.0)</f>
        <v>5837</v>
      </c>
      <c r="B5839" s="87" t="str">
        <f>IFERROR(__xludf.DUMMYFUNCTION("""COMPUTED_VALUE"""),"[Nhãn]")</f>
        <v>[Nhãn]</v>
      </c>
      <c r="C5839" s="87" t="str">
        <f>IFERROR(__xludf.DUMMYFUNCTION("""COMPUTED_VALUE"""),"NHG4890")</f>
        <v>NHG4890</v>
      </c>
      <c r="D5839" s="87" t="str">
        <f>IFERROR(__xludf.DUMMYFUNCTION("""COMPUTED_VALUE"""),"[Nhãn] GC - V - 4890 - CTY NÔNG DƯỢC ĐÔNG DƯƠNG - GENOL 1.2SL (Nước tím) - 500ml - 40")</f>
        <v>[Nhãn] GC - V - 4890 - CTY NÔNG DƯỢC ĐÔNG DƯƠNG - GENOL 1.2SL (Nước tím) - 500ml - 40</v>
      </c>
      <c r="E5839" s="87" t="str">
        <f>IFERROR(__xludf.DUMMYFUNCTION("""COMPUTED_VALUE"""),"GENOL 1.2SL")</f>
        <v>GENOL 1.2SL</v>
      </c>
      <c r="F5839" s="87" t="str">
        <f>IFERROR(__xludf.DUMMYFUNCTION("""COMPUTED_VALUE"""),"HH4890")</f>
        <v>HH4890</v>
      </c>
      <c r="G5839" s="87" t="str">
        <f>IFERROR(__xludf.DUMMYFUNCTION("""COMPUTED_VALUE"""),"GC - V - 4890 - CTY NÔNG DƯỢC ĐÔNG DƯƠNG - GENOL 1.2SL (Nước tím) - 500ml - 40")</f>
        <v>GC - V - 4890 - CTY NÔNG DƯỢC ĐÔNG DƯƠNG - GENOL 1.2SL (Nước tím) - 500ml - 40</v>
      </c>
    </row>
    <row r="5840">
      <c r="A5840" s="86">
        <f>IFERROR(__xludf.DUMMYFUNCTION("""COMPUTED_VALUE"""),5838.0)</f>
        <v>5838</v>
      </c>
      <c r="B5840" s="87" t="str">
        <f>IFERROR(__xludf.DUMMYFUNCTION("""COMPUTED_VALUE"""),"[Nhãn]")</f>
        <v>[Nhãn]</v>
      </c>
      <c r="C5840" s="87" t="str">
        <f>IFERROR(__xludf.DUMMYFUNCTION("""COMPUTED_VALUE"""),"NHD4889")</f>
        <v>NHD4889</v>
      </c>
      <c r="D5840" s="87" t="str">
        <f>IFERROR(__xludf.DUMMYFUNCTION("""COMPUTED_VALUE"""),"[Nhãn] GC - V - 4889 - Cty Sen Hồng (A.Diễn) - PHÒNG TRỪ VI KHUẨN (Nước tím đậm V3) - 400ml - 40")</f>
        <v>[Nhãn] GC - V - 4889 - Cty Sen Hồng (A.Diễn) - PHÒNG TRỪ VI KHUẨN (Nước tím đậm V3) - 400ml - 40</v>
      </c>
      <c r="E5840" s="87" t="str">
        <f>IFERROR(__xludf.DUMMYFUNCTION("""COMPUTED_VALUE"""),"GENOL 1.2SL")</f>
        <v>GENOL 1.2SL</v>
      </c>
      <c r="F5840" s="87" t="str">
        <f>IFERROR(__xludf.DUMMYFUNCTION("""COMPUTED_VALUE"""),"HH4889")</f>
        <v>HH4889</v>
      </c>
      <c r="G5840" s="87" t="str">
        <f>IFERROR(__xludf.DUMMYFUNCTION("""COMPUTED_VALUE"""),"GC - V - 4889 - Cty Sen Hồng (A.Diễn) - PHÒNG TRỪ VI KHUẨN (Nước tím đậm V3) - 400ml - 40")</f>
        <v>GC - V - 4889 - Cty Sen Hồng (A.Diễn) - PHÒNG TRỪ VI KHUẨN (Nước tím đậm V3) - 400ml - 40</v>
      </c>
    </row>
    <row r="5841">
      <c r="A5841" s="86">
        <f>IFERROR(__xludf.DUMMYFUNCTION("""COMPUTED_VALUE"""),5839.0)</f>
        <v>5839</v>
      </c>
      <c r="B5841" s="87" t="str">
        <f>IFERROR(__xludf.DUMMYFUNCTION("""COMPUTED_VALUE"""),"[Nhãn Thùng]")</f>
        <v>[Nhãn Thùng]</v>
      </c>
      <c r="C5841" s="87" t="str">
        <f>IFERROR(__xludf.DUMMYFUNCTION("""COMPUTED_VALUE"""),"NDT4889")</f>
        <v>NDT4889</v>
      </c>
      <c r="D5841" s="87" t="str">
        <f>IFERROR(__xludf.DUMMYFUNCTION("""COMPUTED_VALUE"""),"[Nhãn Thùng] GC - V - 4889 - Cty Sen Hồng (A.Diễn) - PHÒNG TRỪ VI KHUẨN (Nước tím đậm V3) - 400ml - 40")</f>
        <v>[Nhãn Thùng] GC - V - 4889 - Cty Sen Hồng (A.Diễn) - PHÒNG TRỪ VI KHUẨN (Nước tím đậm V3) - 400ml - 40</v>
      </c>
      <c r="E5841" s="87" t="str">
        <f>IFERROR(__xludf.DUMMYFUNCTION("""COMPUTED_VALUE"""),"GENOL 1.2SL")</f>
        <v>GENOL 1.2SL</v>
      </c>
      <c r="F5841" s="87" t="str">
        <f>IFERROR(__xludf.DUMMYFUNCTION("""COMPUTED_VALUE"""),"HH4889")</f>
        <v>HH4889</v>
      </c>
      <c r="G5841" s="87" t="str">
        <f>IFERROR(__xludf.DUMMYFUNCTION("""COMPUTED_VALUE"""),"GC - V - 4889 - Cty Sen Hồng (A.Diễn) - PHÒNG TRỪ VI KHUẨN (Nước tím đậm V3) - 400ml - 40")</f>
        <v>GC - V - 4889 - Cty Sen Hồng (A.Diễn) - PHÒNG TRỪ VI KHUẨN (Nước tím đậm V3) - 400ml - 40</v>
      </c>
    </row>
    <row r="5842">
      <c r="A5842" s="86">
        <f>IFERROR(__xludf.DUMMYFUNCTION("""COMPUTED_VALUE"""),5840.0)</f>
        <v>5840</v>
      </c>
      <c r="B5842" s="87" t="str">
        <f>IFERROR(__xludf.DUMMYFUNCTION("""COMPUTED_VALUE"""),"[Nhãn]")</f>
        <v>[Nhãn]</v>
      </c>
      <c r="C5842" s="87" t="str">
        <f>IFERROR(__xludf.DUMMYFUNCTION("""COMPUTED_VALUE"""),"NHG4857")</f>
        <v>NHG4857</v>
      </c>
      <c r="D5842" s="87" t="str">
        <f>IFERROR(__xludf.DUMMYFUNCTION("""COMPUTED_VALUE"""),"[Nhãn] IDA Global - I - 4857 - SẠCH BỆNH (Nước đỏ) - 480ml - 40")</f>
        <v>[Nhãn] IDA Global - I - 4857 - SẠCH BỆNH (Nước đỏ) - 480ml - 40</v>
      </c>
      <c r="E5842" s="87" t="str">
        <f>IFERROR(__xludf.DUMMYFUNCTION("""COMPUTED_VALUE"""),"GENOL 1.2SL")</f>
        <v>GENOL 1.2SL</v>
      </c>
      <c r="F5842" s="87" t="str">
        <f>IFERROR(__xludf.DUMMYFUNCTION("""COMPUTED_VALUE"""),"HH4857")</f>
        <v>HH4857</v>
      </c>
      <c r="G5842" s="87" t="str">
        <f>IFERROR(__xludf.DUMMYFUNCTION("""COMPUTED_VALUE"""),"IDA Global - I - 4857 - SẠCH BỆNH (Nước đỏ) - 480ml - 40")</f>
        <v>IDA Global - I - 4857 - SẠCH BỆNH (Nước đỏ) - 480ml - 40</v>
      </c>
    </row>
    <row r="5843">
      <c r="A5843" s="86">
        <f>IFERROR(__xludf.DUMMYFUNCTION("""COMPUTED_VALUE"""),5841.0)</f>
        <v>5841</v>
      </c>
      <c r="B5843" s="87" t="str">
        <f>IFERROR(__xludf.DUMMYFUNCTION("""COMPUTED_VALUE"""),"[Nhãn Thùng]")</f>
        <v>[Nhãn Thùng]</v>
      </c>
      <c r="C5843" s="87" t="str">
        <f>IFERROR(__xludf.DUMMYFUNCTION("""COMPUTED_VALUE"""),"NDT4895")</f>
        <v>NDT4895</v>
      </c>
      <c r="D5843" s="87" t="str">
        <f>IFERROR(__xludf.DUMMYFUNCTION("""COMPUTED_VALUE"""),"[Nhãn Thùng] GC - V - 4895 - CTY THÚY NHI - PIM.PIM 75WP (Bột cam) - 100gr - 100")</f>
        <v>[Nhãn Thùng] GC - V - 4895 - CTY THÚY NHI - PIM.PIM 75WP (Bột cam) - 100gr - 100</v>
      </c>
      <c r="E5843" s="87" t="str">
        <f>IFERROR(__xludf.DUMMYFUNCTION("""COMPUTED_VALUE"""),"Pim.Pim 75WP")</f>
        <v>Pim.Pim 75WP</v>
      </c>
      <c r="F5843" s="87" t="str">
        <f>IFERROR(__xludf.DUMMYFUNCTION("""COMPUTED_VALUE"""),"HH4895")</f>
        <v>HH4895</v>
      </c>
      <c r="G5843" s="87" t="str">
        <f>IFERROR(__xludf.DUMMYFUNCTION("""COMPUTED_VALUE"""),"GC - V - 4895 - CTY THÚY NHI - PIM.PIM 75WP (Bột cam) - 100gr - 100")</f>
        <v>GC - V - 4895 - CTY THÚY NHI - PIM.PIM 75WP (Bột cam) - 100gr - 100</v>
      </c>
    </row>
    <row r="5844">
      <c r="A5844" s="86">
        <f>IFERROR(__xludf.DUMMYFUNCTION("""COMPUTED_VALUE"""),5842.0)</f>
        <v>5842</v>
      </c>
      <c r="B5844" s="87" t="str">
        <f>IFERROR(__xludf.DUMMYFUNCTION("""COMPUTED_VALUE"""),"[Nhãn Thùng]")</f>
        <v>[Nhãn Thùng]</v>
      </c>
      <c r="C5844" s="87" t="str">
        <f>IFERROR(__xludf.DUMMYFUNCTION("""COMPUTED_VALUE"""),"NDT4893")</f>
        <v>NDT4893</v>
      </c>
      <c r="D5844" s="87" t="str">
        <f>IFERROR(__xludf.DUMMYFUNCTION("""COMPUTED_VALUE"""),"[Nhãn Thùng] GC - V - 4893 - A Mạnh - VUA DIỆT NHỆN 7.2 (Nước tím) - 240ml - 60")</f>
        <v>[Nhãn Thùng] GC - V - 4893 - A Mạnh - VUA DIỆT NHỆN 7.2 (Nước tím) - 240ml - 60</v>
      </c>
      <c r="E5844" s="87" t="str">
        <f>IFERROR(__xludf.DUMMYFUNCTION("""COMPUTED_VALUE"""),"HAIHAMEC 3.6EC")</f>
        <v>HAIHAMEC 3.6EC</v>
      </c>
      <c r="F5844" s="87" t="str">
        <f>IFERROR(__xludf.DUMMYFUNCTION("""COMPUTED_VALUE"""),"HH4893")</f>
        <v>HH4893</v>
      </c>
      <c r="G5844" s="87" t="str">
        <f>IFERROR(__xludf.DUMMYFUNCTION("""COMPUTED_VALUE"""),"GC - V - 4893 - A Mạnh - VUA DIỆT NHỆN 7.2 (Nước tím) - 240ml - 60")</f>
        <v>GC - V - 4893 - A Mạnh - VUA DIỆT NHỆN 7.2 (Nước tím) - 240ml - 60</v>
      </c>
    </row>
    <row r="5845">
      <c r="A5845" s="86">
        <f>IFERROR(__xludf.DUMMYFUNCTION("""COMPUTED_VALUE"""),5843.0)</f>
        <v>5843</v>
      </c>
      <c r="B5845" s="87" t="str">
        <f>IFERROR(__xludf.DUMMYFUNCTION("""COMPUTED_VALUE"""),"[Nhãn Thùng]")</f>
        <v>[Nhãn Thùng]</v>
      </c>
      <c r="C5845" s="87" t="str">
        <f>IFERROR(__xludf.DUMMYFUNCTION("""COMPUTED_VALUE"""),"NDT4891")</f>
        <v>NDT4891</v>
      </c>
      <c r="D5845" s="87" t="str">
        <f>IFERROR(__xludf.DUMMYFUNCTION("""COMPUTED_VALUE"""),"[Nhãn Thùng] GC - V - 4891 - MANCO GREEN (Bột xanh) - 1kg - 20")</f>
        <v>[Nhãn Thùng] GC - V - 4891 - MANCO GREEN (Bột xanh) - 1kg - 20</v>
      </c>
      <c r="E5845" s="87" t="str">
        <f>IFERROR(__xludf.DUMMYFUNCTION("""COMPUTED_VALUE"""),"MANCOBGO 80WP")</f>
        <v>MANCOBGO 80WP</v>
      </c>
      <c r="F5845" s="87" t="str">
        <f>IFERROR(__xludf.DUMMYFUNCTION("""COMPUTED_VALUE"""),"HH4891")</f>
        <v>HH4891</v>
      </c>
      <c r="G5845" s="87" t="str">
        <f>IFERROR(__xludf.DUMMYFUNCTION("""COMPUTED_VALUE"""),"GC - V - 4891 - MANCO GREEN (Bột xanh) - 1kg - 20")</f>
        <v>GC - V - 4891 - MANCO GREEN (Bột xanh) - 1kg - 20</v>
      </c>
    </row>
    <row r="5846">
      <c r="A5846" s="86">
        <f>IFERROR(__xludf.DUMMYFUNCTION("""COMPUTED_VALUE"""),5844.0)</f>
        <v>5844</v>
      </c>
      <c r="B5846" s="87" t="str">
        <f>IFERROR(__xludf.DUMMYFUNCTION("""COMPUTED_VALUE"""),"[Nhãn]")</f>
        <v>[Nhãn]</v>
      </c>
      <c r="C5846" s="87" t="str">
        <f>IFERROR(__xludf.DUMMYFUNCTION("""COMPUTED_VALUE"""),"NHG4888")</f>
        <v>NHG4888</v>
      </c>
      <c r="D5846" s="87" t="str">
        <f>IFERROR(__xludf.DUMMYFUNCTION("""COMPUTED_VALUE"""),"[Nhãn] GC - V - 4888 - CTY NEWTEX - SẠCH KHUẨN NEWTEX (Nước xanh dương đậm) - 450ml - 40")</f>
        <v>[Nhãn] GC - V - 4888 - CTY NEWTEX - SẠCH KHUẨN NEWTEX (Nước xanh dương đậm) - 450ml - 40</v>
      </c>
      <c r="E5846" s="87" t="str">
        <f>IFERROR(__xludf.DUMMYFUNCTION("""COMPUTED_VALUE"""),"NEWKARIDE 3SL")</f>
        <v>NEWKARIDE 3SL</v>
      </c>
      <c r="F5846" s="87" t="str">
        <f>IFERROR(__xludf.DUMMYFUNCTION("""COMPUTED_VALUE"""),"HH4888")</f>
        <v>HH4888</v>
      </c>
      <c r="G5846" s="87" t="str">
        <f>IFERROR(__xludf.DUMMYFUNCTION("""COMPUTED_VALUE"""),"GC - V - 4888 - CTY NEWTEX - SẠCH KHUẨN NEWTEX (Nước xanh dương đậm) - 450ml - 40")</f>
        <v>GC - V - 4888 - CTY NEWTEX - SẠCH KHUẨN NEWTEX (Nước xanh dương đậm) - 450ml - 40</v>
      </c>
    </row>
    <row r="5847">
      <c r="A5847" s="86">
        <f>IFERROR(__xludf.DUMMYFUNCTION("""COMPUTED_VALUE"""),5845.0)</f>
        <v>5845</v>
      </c>
      <c r="B5847" s="87" t="str">
        <f>IFERROR(__xludf.DUMMYFUNCTION("""COMPUTED_VALUE"""),"[Nhãn]")</f>
        <v>[Nhãn]</v>
      </c>
      <c r="C5847" s="87" t="str">
        <f>IFERROR(__xludf.DUMMYFUNCTION("""COMPUTED_VALUE"""),"NHG4878")</f>
        <v>NHG4878</v>
      </c>
      <c r="D5847" s="87" t="str">
        <f>IFERROR(__xludf.DUMMYFUNCTION("""COMPUTED_VALUE"""),"[Nhãn] GC - V - 4878 - CTY NHP GROUP (HTX NÔNG NGHIỆP MỸ THIỆN) - ĐINH HƯƠNG (Nước đỏ sậm - V4) - 240ml - 40")</f>
        <v>[Nhãn] GC - V - 4878 - CTY NHP GROUP (HTX NÔNG NGHIỆP MỸ THIỆN) - ĐINH HƯƠNG (Nước đỏ sậm - V4) - 240ml - 40</v>
      </c>
      <c r="E5847" s="87" t="str">
        <f>IFERROR(__xludf.DUMMYFUNCTION("""COMPUTED_VALUE"""),"GENOL 1.2SL")</f>
        <v>GENOL 1.2SL</v>
      </c>
      <c r="F5847" s="87" t="str">
        <f>IFERROR(__xludf.DUMMYFUNCTION("""COMPUTED_VALUE"""),"HH4878")</f>
        <v>HH4878</v>
      </c>
      <c r="G5847" s="87" t="str">
        <f>IFERROR(__xludf.DUMMYFUNCTION("""COMPUTED_VALUE"""),"GC - V - 4878 - CTY NHP GROUP (HTX NÔNG NGHIỆP MỸ THIỆN) - ĐINH HƯƠNG (Nước đỏ sậm - V4) - 240ml - 40")</f>
        <v>GC - V - 4878 - CTY NHP GROUP (HTX NÔNG NGHIỆP MỸ THIỆN) - ĐINH HƯƠNG (Nước đỏ sậm - V4) - 240ml - 40</v>
      </c>
    </row>
    <row r="5848">
      <c r="A5848" s="86">
        <f>IFERROR(__xludf.DUMMYFUNCTION("""COMPUTED_VALUE"""),5846.0)</f>
        <v>5846</v>
      </c>
      <c r="B5848" s="87" t="str">
        <f>IFERROR(__xludf.DUMMYFUNCTION("""COMPUTED_VALUE"""),"[Nhãn]")</f>
        <v>[Nhãn]</v>
      </c>
      <c r="C5848" s="87" t="str">
        <f>IFERROR(__xludf.DUMMYFUNCTION("""COMPUTED_VALUE"""),"NHG4892")</f>
        <v>NHG4892</v>
      </c>
      <c r="D5848" s="87" t="str">
        <f>IFERROR(__xludf.DUMMYFUNCTION("""COMPUTED_VALUE"""),"[Nhãn] LOT IDA Global - I - 4892 - HAIHAMEC 3.6C (AG1) (Nước nâu đen) - 450ml - 40")</f>
        <v>[Nhãn] LOT IDA Global - I - 4892 - HAIHAMEC 3.6C (AG1) (Nước nâu đen) - 450ml - 40</v>
      </c>
      <c r="E5848" s="87" t="str">
        <f>IFERROR(__xludf.DUMMYFUNCTION("""COMPUTED_VALUE"""),"HAIHAMEC 3.6EC")</f>
        <v>HAIHAMEC 3.6EC</v>
      </c>
      <c r="F5848" s="87" t="str">
        <f>IFERROR(__xludf.DUMMYFUNCTION("""COMPUTED_VALUE"""),"HH4892")</f>
        <v>HH4892</v>
      </c>
      <c r="G5848" s="87" t="str">
        <f>IFERROR(__xludf.DUMMYFUNCTION("""COMPUTED_VALUE"""),"LOT IDA Global - I - 4892 - HAIHAMEC 3.6C (AG1) (Nước nâu đen) - 450ml - 40")</f>
        <v>LOT IDA Global - I - 4892 - HAIHAMEC 3.6C (AG1) (Nước nâu đen) - 450ml - 40</v>
      </c>
    </row>
    <row r="5849">
      <c r="A5849" s="86">
        <f>IFERROR(__xludf.DUMMYFUNCTION("""COMPUTED_VALUE"""),5847.0)</f>
        <v>5847</v>
      </c>
      <c r="B5849" s="87" t="str">
        <f>IFERROR(__xludf.DUMMYFUNCTION("""COMPUTED_VALUE"""),"[Nhãn]")</f>
        <v>[Nhãn]</v>
      </c>
      <c r="C5849" s="87" t="str">
        <f>IFERROR(__xludf.DUMMYFUNCTION("""COMPUTED_VALUE"""),"NTN4895")</f>
        <v>NTN4895</v>
      </c>
      <c r="D5849" s="87" t="str">
        <f>IFERROR(__xludf.DUMMYFUNCTION("""COMPUTED_VALUE"""),"[Nhãn] GC - V - 4895 - CTY THÚY NHI - PIM.PIM 75WP (Bột cam) - 100gr - 100")</f>
        <v>[Nhãn] GC - V - 4895 - CTY THÚY NHI - PIM.PIM 75WP (Bột cam) - 100gr - 100</v>
      </c>
      <c r="E5849" s="87" t="str">
        <f>IFERROR(__xludf.DUMMYFUNCTION("""COMPUTED_VALUE"""),"Pim.Pim 75WP")</f>
        <v>Pim.Pim 75WP</v>
      </c>
      <c r="F5849" s="87" t="str">
        <f>IFERROR(__xludf.DUMMYFUNCTION("""COMPUTED_VALUE"""),"HH4895")</f>
        <v>HH4895</v>
      </c>
      <c r="G5849" s="87" t="str">
        <f>IFERROR(__xludf.DUMMYFUNCTION("""COMPUTED_VALUE"""),"GC - V - 4895 - CTY THÚY NHI - PIM.PIM 75WP (Bột cam) - 100gr - 100")</f>
        <v>GC - V - 4895 - CTY THÚY NHI - PIM.PIM 75WP (Bột cam) - 100gr - 100</v>
      </c>
    </row>
    <row r="5850">
      <c r="A5850" s="86">
        <f>IFERROR(__xludf.DUMMYFUNCTION("""COMPUTED_VALUE"""),5848.0)</f>
        <v>5848</v>
      </c>
      <c r="B5850" s="87" t="str">
        <f>IFERROR(__xludf.DUMMYFUNCTION("""COMPUTED_VALUE"""),"[Nhãn]")</f>
        <v>[Nhãn]</v>
      </c>
      <c r="C5850" s="87" t="str">
        <f>IFERROR(__xludf.DUMMYFUNCTION("""COMPUTED_VALUE"""),"NHG4893")</f>
        <v>NHG4893</v>
      </c>
      <c r="D5850" s="87" t="str">
        <f>IFERROR(__xludf.DUMMYFUNCTION("""COMPUTED_VALUE"""),"[Nhãn] GC - V - 4893 - A Mạnh - VUA DIỆT NHỆN 7.2 (Nước tím) - 240ml - 60")</f>
        <v>[Nhãn] GC - V - 4893 - A Mạnh - VUA DIỆT NHỆN 7.2 (Nước tím) - 240ml - 60</v>
      </c>
      <c r="E5850" s="87" t="str">
        <f>IFERROR(__xludf.DUMMYFUNCTION("""COMPUTED_VALUE"""),"HAIHAMEC 3.6EC")</f>
        <v>HAIHAMEC 3.6EC</v>
      </c>
      <c r="F5850" s="87" t="str">
        <f>IFERROR(__xludf.DUMMYFUNCTION("""COMPUTED_VALUE"""),"HH4893")</f>
        <v>HH4893</v>
      </c>
      <c r="G5850" s="87" t="str">
        <f>IFERROR(__xludf.DUMMYFUNCTION("""COMPUTED_VALUE"""),"GC - V - 4893 - A Mạnh - VUA DIỆT NHỆN 7.2 (Nước tím) - 240ml - 60")</f>
        <v>GC - V - 4893 - A Mạnh - VUA DIỆT NHỆN 7.2 (Nước tím) - 240ml - 60</v>
      </c>
    </row>
    <row r="5851">
      <c r="A5851" s="86">
        <f>IFERROR(__xludf.DUMMYFUNCTION("""COMPUTED_VALUE"""),5849.0)</f>
        <v>5849</v>
      </c>
      <c r="B5851" s="87" t="str">
        <f>IFERROR(__xludf.DUMMYFUNCTION("""COMPUTED_VALUE"""),"[Nhãn]")</f>
        <v>[Nhãn]</v>
      </c>
      <c r="C5851" s="87" t="str">
        <f>IFERROR(__xludf.DUMMYFUNCTION("""COMPUTED_VALUE"""),"NTN4891")</f>
        <v>NTN4891</v>
      </c>
      <c r="D5851" s="87" t="str">
        <f>IFERROR(__xludf.DUMMYFUNCTION("""COMPUTED_VALUE"""),"[Nhãn] GC - V - 4891 - MANCO GREEN (Bột xanh) - 1kg - 20")</f>
        <v>[Nhãn] GC - V - 4891 - MANCO GREEN (Bột xanh) - 1kg - 20</v>
      </c>
      <c r="E5851" s="87" t="str">
        <f>IFERROR(__xludf.DUMMYFUNCTION("""COMPUTED_VALUE"""),"MANCOBGO 80WP")</f>
        <v>MANCOBGO 80WP</v>
      </c>
      <c r="F5851" s="87" t="str">
        <f>IFERROR(__xludf.DUMMYFUNCTION("""COMPUTED_VALUE"""),"HH4891")</f>
        <v>HH4891</v>
      </c>
      <c r="G5851" s="87" t="str">
        <f>IFERROR(__xludf.DUMMYFUNCTION("""COMPUTED_VALUE"""),"GC - V - 4891 - MANCO GREEN (Bột xanh) - 1kg - 20")</f>
        <v>GC - V - 4891 - MANCO GREEN (Bột xanh) - 1kg - 20</v>
      </c>
    </row>
    <row r="5852">
      <c r="A5852" s="86">
        <f>IFERROR(__xludf.DUMMYFUNCTION("""COMPUTED_VALUE"""),5850.0)</f>
        <v>5850</v>
      </c>
      <c r="B5852" s="87" t="str">
        <f>IFERROR(__xludf.DUMMYFUNCTION("""COMPUTED_VALUE"""),"[Nhãn]")</f>
        <v>[Nhãn]</v>
      </c>
      <c r="C5852" s="87" t="str">
        <f>IFERROR(__xludf.DUMMYFUNCTION("""COMPUTED_VALUE"""),"NHG4542")</f>
        <v>NHG4542</v>
      </c>
      <c r="D5852" s="87" t="str">
        <f>IFERROR(__xludf.DUMMYFUNCTION("""COMPUTED_VALUE"""),"[Nhãn] GC - V - 4542 - CTY QUANG ĐĂNG AGRICULTURE - CITTIZEN 333SC (Nước cam sữa) - 450ml - 30")</f>
        <v>[Nhãn] GC - V - 4542 - CTY QUANG ĐĂNG AGRICULTURE - CITTIZEN 333SC (Nước cam sữa) - 450ml - 30</v>
      </c>
      <c r="E5852" s="87" t="str">
        <f>IFERROR(__xludf.DUMMYFUNCTION("""COMPUTED_VALUE"""),"CITTIZEN 333SC")</f>
        <v>CITTIZEN 333SC</v>
      </c>
      <c r="F5852" s="87" t="str">
        <f>IFERROR(__xludf.DUMMYFUNCTION("""COMPUTED_VALUE"""),"HH4542")</f>
        <v>HH4542</v>
      </c>
      <c r="G5852" s="87" t="str">
        <f>IFERROR(__xludf.DUMMYFUNCTION("""COMPUTED_VALUE"""),"GC - V - 4542 - CTY QUANG ĐĂNG AGRICULTURE - CITTIZEN 333SC (Nước cam sữa) - 450ml - 30")</f>
        <v>GC - V - 4542 - CTY QUANG ĐĂNG AGRICULTURE - CITTIZEN 333SC (Nước cam sữa) - 450ml - 30</v>
      </c>
    </row>
    <row r="5853">
      <c r="A5853" s="86">
        <f>IFERROR(__xludf.DUMMYFUNCTION("""COMPUTED_VALUE"""),5851.0)</f>
        <v>5851</v>
      </c>
      <c r="B5853" s="87" t="str">
        <f>IFERROR(__xludf.DUMMYFUNCTION("""COMPUTED_VALUE"""),"[Nhãn]")</f>
        <v>[Nhãn]</v>
      </c>
      <c r="C5853" s="87" t="str">
        <f>IFERROR(__xludf.DUMMYFUNCTION("""COMPUTED_VALUE"""),"NTN4898")</f>
        <v>NTN4898</v>
      </c>
      <c r="D5853" s="87" t="str">
        <f>IFERROR(__xludf.DUMMYFUNCTION("""COMPUTED_VALUE"""),"[Nhãn] GC - V - 4898 - CTY LUTA - 30-10-10 (Bột trắng) - 1kg - 25")</f>
        <v>[Nhãn] GC - V - 4898 - CTY LUTA - 30-10-10 (Bột trắng) - 1kg - 25</v>
      </c>
      <c r="E5853" s="87" t="str">
        <f>IFERROR(__xludf.DUMMYFUNCTION("""COMPUTED_VALUE"""),"Hỗn hợp NPK SIAMB 16")</f>
        <v>Hỗn hợp NPK SIAMB 16</v>
      </c>
      <c r="F5853" s="87" t="str">
        <f>IFERROR(__xludf.DUMMYFUNCTION("""COMPUTED_VALUE"""),"HH4898")</f>
        <v>HH4898</v>
      </c>
      <c r="G5853" s="87" t="str">
        <f>IFERROR(__xludf.DUMMYFUNCTION("""COMPUTED_VALUE"""),"GC - V - 4898 - CTY LUTA - 30-10-10 (Bột trắng) - 1kg - 25")</f>
        <v>GC - V - 4898 - CTY LUTA - 30-10-10 (Bột trắng) - 1kg - 25</v>
      </c>
    </row>
    <row r="5854">
      <c r="A5854" s="86">
        <f>IFERROR(__xludf.DUMMYFUNCTION("""COMPUTED_VALUE"""),5852.0)</f>
        <v>5852</v>
      </c>
      <c r="B5854" s="87" t="str">
        <f>IFERROR(__xludf.DUMMYFUNCTION("""COMPUTED_VALUE"""),"[Nhãn]")</f>
        <v>[Nhãn]</v>
      </c>
      <c r="C5854" s="87" t="str">
        <f>IFERROR(__xludf.DUMMYFUNCTION("""COMPUTED_VALUE"""),"NTN4902")</f>
        <v>NTN4902</v>
      </c>
      <c r="D5854" s="87" t="str">
        <f>IFERROR(__xludf.DUMMYFUNCTION("""COMPUTED_VALUE"""),"[Nhãn] GC - V - 4902 - CSSX An Khang (A.Dinh) - MEKONGVIL 5SC (Nước trắng sữa) - 1L - 20")</f>
        <v>[Nhãn] GC - V - 4902 - CSSX An Khang (A.Dinh) - MEKONGVIL 5SC (Nước trắng sữa) - 1L - 20</v>
      </c>
      <c r="E5854" s="87" t="str">
        <f>IFERROR(__xludf.DUMMYFUNCTION("""COMPUTED_VALUE"""),"Mekongvil 5SC")</f>
        <v>Mekongvil 5SC</v>
      </c>
      <c r="F5854" s="87" t="str">
        <f>IFERROR(__xludf.DUMMYFUNCTION("""COMPUTED_VALUE"""),"HH4902")</f>
        <v>HH4902</v>
      </c>
      <c r="G5854" s="87" t="str">
        <f>IFERROR(__xludf.DUMMYFUNCTION("""COMPUTED_VALUE"""),"GC - V - 4902 - CSSX An Khang (A.Dinh) - MEKONGVIL 5SC (Nước trắng sữa) - 1L - 20")</f>
        <v>GC - V - 4902 - CSSX An Khang (A.Dinh) - MEKONGVIL 5SC (Nước trắng sữa) - 1L - 20</v>
      </c>
    </row>
    <row r="5855">
      <c r="A5855" s="86">
        <f>IFERROR(__xludf.DUMMYFUNCTION("""COMPUTED_VALUE"""),5853.0)</f>
        <v>5853</v>
      </c>
      <c r="B5855" s="87" t="str">
        <f>IFERROR(__xludf.DUMMYFUNCTION("""COMPUTED_VALUE"""),"[Nhãn]")</f>
        <v>[Nhãn]</v>
      </c>
      <c r="C5855" s="87" t="str">
        <f>IFERROR(__xludf.DUMMYFUNCTION("""COMPUTED_VALUE"""),"NTN4899")</f>
        <v>NTN4899</v>
      </c>
      <c r="D5855" s="87" t="str">
        <f>IFERROR(__xludf.DUMMYFUNCTION("""COMPUTED_VALUE"""),"[Nhãn] GC - V - 4899 - Agritech (Anh Trương) - MANCO GREEN (bột xanh) - 1kg - 20")</f>
        <v>[Nhãn] GC - V - 4899 - Agritech (Anh Trương) - MANCO GREEN (bột xanh) - 1kg - 20</v>
      </c>
      <c r="E5855" s="87" t="str">
        <f>IFERROR(__xludf.DUMMYFUNCTION("""COMPUTED_VALUE"""),"MANCOBGO 80WP")</f>
        <v>MANCOBGO 80WP</v>
      </c>
      <c r="F5855" s="87" t="str">
        <f>IFERROR(__xludf.DUMMYFUNCTION("""COMPUTED_VALUE"""),"HH4899")</f>
        <v>HH4899</v>
      </c>
      <c r="G5855" s="87" t="str">
        <f>IFERROR(__xludf.DUMMYFUNCTION("""COMPUTED_VALUE"""),"GC - V - 4899 - Agritech (Anh Trương) - MANCO GREEN (bột xanh) - 1kg - 20")</f>
        <v>GC - V - 4899 - Agritech (Anh Trương) - MANCO GREEN (bột xanh) - 1kg - 20</v>
      </c>
    </row>
    <row r="5856">
      <c r="A5856" s="86">
        <f>IFERROR(__xludf.DUMMYFUNCTION("""COMPUTED_VALUE"""),5854.0)</f>
        <v>5854</v>
      </c>
      <c r="B5856" s="87" t="str">
        <f>IFERROR(__xludf.DUMMYFUNCTION("""COMPUTED_VALUE"""),"[Nhãn]")</f>
        <v>[Nhãn]</v>
      </c>
      <c r="C5856" s="87" t="str">
        <f>IFERROR(__xludf.DUMMYFUNCTION("""COMPUTED_VALUE"""),"NHG4843")</f>
        <v>NHG4843</v>
      </c>
      <c r="D5856" s="87" t="str">
        <f>IFERROR(__xludf.DUMMYFUNCTION("""COMPUTED_VALUE"""),"[Nhãn] IDA Global - I - 4843 - ĐL LÊ NGUYỄN - VÔ GẠO 01 (Nước trắng sữa) - 500ml - 40")</f>
        <v>[Nhãn] IDA Global - I - 4843 - ĐL LÊ NGUYỄN - VÔ GẠO 01 (Nước trắng sữa) - 500ml - 40</v>
      </c>
      <c r="E5856" s="87" t="str">
        <f>IFERROR(__xludf.DUMMYFUNCTION("""COMPUTED_VALUE"""),"Vi lượng Quantity New")</f>
        <v>Vi lượng Quantity New</v>
      </c>
      <c r="F5856" s="87" t="str">
        <f>IFERROR(__xludf.DUMMYFUNCTION("""COMPUTED_VALUE"""),"HH4843")</f>
        <v>HH4843</v>
      </c>
      <c r="G5856" s="87" t="str">
        <f>IFERROR(__xludf.DUMMYFUNCTION("""COMPUTED_VALUE"""),"IDA Global - I - 4843 - ĐL LÊ NGUYỄN - VÔ GẠO 01 (Nước trắng sữa) - 500ml - 40")</f>
        <v>IDA Global - I - 4843 - ĐL LÊ NGUYỄN - VÔ GẠO 01 (Nước trắng sữa) - 500ml - 40</v>
      </c>
    </row>
    <row r="5857">
      <c r="A5857" s="86">
        <f>IFERROR(__xludf.DUMMYFUNCTION("""COMPUTED_VALUE"""),5855.0)</f>
        <v>5855</v>
      </c>
      <c r="B5857" s="87" t="str">
        <f>IFERROR(__xludf.DUMMYFUNCTION("""COMPUTED_VALUE"""),"[Nhãn]")</f>
        <v>[Nhãn]</v>
      </c>
      <c r="C5857" s="87" t="str">
        <f>IFERROR(__xludf.DUMMYFUNCTION("""COMPUTED_VALUE"""),"NHG4844")</f>
        <v>NHG4844</v>
      </c>
      <c r="D5857" s="87" t="str">
        <f>IFERROR(__xludf.DUMMYFUNCTION("""COMPUTED_VALUE"""),"[Nhãn] IDA Global - I - 4844 - ĐL LÊ NGUYỄN - VÔ GẠO 02 (Nước đỏ cam) - 500ml - 40")</f>
        <v>[Nhãn] IDA Global - I - 4844 - ĐL LÊ NGUYỄN - VÔ GẠO 02 (Nước đỏ cam) - 500ml - 40</v>
      </c>
      <c r="E5857" s="87" t="str">
        <f>IFERROR(__xludf.DUMMYFUNCTION("""COMPUTED_VALUE"""),"NPK-vi lượng HC CAN")</f>
        <v>NPK-vi lượng HC CAN</v>
      </c>
      <c r="F5857" s="87" t="str">
        <f>IFERROR(__xludf.DUMMYFUNCTION("""COMPUTED_VALUE"""),"HH4844")</f>
        <v>HH4844</v>
      </c>
      <c r="G5857" s="87" t="str">
        <f>IFERROR(__xludf.DUMMYFUNCTION("""COMPUTED_VALUE"""),"IDA Global - I - 4844 - ĐL LÊ NGUYỄN - VÔ GẠO 02 (Nước đỏ cam) - 500ml - 40")</f>
        <v>IDA Global - I - 4844 - ĐL LÊ NGUYỄN - VÔ GẠO 02 (Nước đỏ cam) - 500ml - 40</v>
      </c>
    </row>
    <row r="5858">
      <c r="A5858" s="86">
        <f>IFERROR(__xludf.DUMMYFUNCTION("""COMPUTED_VALUE"""),5856.0)</f>
        <v>5856</v>
      </c>
      <c r="B5858" s="87" t="str">
        <f>IFERROR(__xludf.DUMMYFUNCTION("""COMPUTED_VALUE"""),"[Nhãn]")</f>
        <v>[Nhãn]</v>
      </c>
      <c r="C5858" s="87" t="str">
        <f>IFERROR(__xludf.DUMMYFUNCTION("""COMPUTED_VALUE"""),"NHG4901")</f>
        <v>NHG4901</v>
      </c>
      <c r="D5858" s="87" t="str">
        <f>IFERROR(__xludf.DUMMYFUNCTION("""COMPUTED_VALUE"""),"[Nhãn] GC - V - 4901 - Cty Hóa Nông Shino - SHINOMAX (Nước vàng) - 300ml - 40")</f>
        <v>[Nhãn] GC - V - 4901 - Cty Hóa Nông Shino - SHINOMAX (Nước vàng) - 300ml - 40</v>
      </c>
      <c r="E5858" s="87" t="str">
        <f>IFERROR(__xludf.DUMMYFUNCTION("""COMPUTED_VALUE"""),"lá NPK-vi lượng GNC19")</f>
        <v>lá NPK-vi lượng GNC19</v>
      </c>
      <c r="F5858" s="87" t="str">
        <f>IFERROR(__xludf.DUMMYFUNCTION("""COMPUTED_VALUE"""),"HH4901")</f>
        <v>HH4901</v>
      </c>
      <c r="G5858" s="87" t="str">
        <f>IFERROR(__xludf.DUMMYFUNCTION("""COMPUTED_VALUE"""),"GC - V - 4901 - Cty Hóa Nông Shino - SHINOMAX (Nước vàng) - 300ml - 40")</f>
        <v>GC - V - 4901 - Cty Hóa Nông Shino - SHINOMAX (Nước vàng) - 300ml - 40</v>
      </c>
    </row>
    <row r="5859">
      <c r="A5859" s="86">
        <f>IFERROR(__xludf.DUMMYFUNCTION("""COMPUTED_VALUE"""),5857.0)</f>
        <v>5857</v>
      </c>
      <c r="B5859" s="87" t="str">
        <f>IFERROR(__xludf.DUMMYFUNCTION("""COMPUTED_VALUE"""),"[Nhãn]")</f>
        <v>[Nhãn]</v>
      </c>
      <c r="C5859" s="87" t="str">
        <f>IFERROR(__xludf.DUMMYFUNCTION("""COMPUTED_VALUE"""),"NHD4897")</f>
        <v>NHD4897</v>
      </c>
      <c r="D5859" s="87" t="str">
        <f>IFERROR(__xludf.DUMMYFUNCTION("""COMPUTED_VALUE"""),"[Nhãn] GC - V - 4897 - DEGO - DIỆT NHỆN CỰC MẠNH (Nước xanh lá) - 450ml - 40")</f>
        <v>[Nhãn] GC - V - 4897 - DEGO - DIỆT NHỆN CỰC MẠNH (Nước xanh lá) - 450ml - 40</v>
      </c>
      <c r="E5859" s="87" t="str">
        <f>IFERROR(__xludf.DUMMYFUNCTION("""COMPUTED_VALUE"""),"Chitin 3.6EC")</f>
        <v>Chitin 3.6EC</v>
      </c>
      <c r="F5859" s="87" t="str">
        <f>IFERROR(__xludf.DUMMYFUNCTION("""COMPUTED_VALUE"""),"HH4897")</f>
        <v>HH4897</v>
      </c>
      <c r="G5859" s="87" t="str">
        <f>IFERROR(__xludf.DUMMYFUNCTION("""COMPUTED_VALUE"""),"GC - V - 4897 - DEGO - DIỆT NHỆN CỰC MẠNH (Nước xanh lá) - 450ml - 40")</f>
        <v>GC - V - 4897 - DEGO - DIỆT NHỆN CỰC MẠNH (Nước xanh lá) - 450ml - 40</v>
      </c>
    </row>
    <row r="5860">
      <c r="A5860" s="86">
        <f>IFERROR(__xludf.DUMMYFUNCTION("""COMPUTED_VALUE"""),5858.0)</f>
        <v>5858</v>
      </c>
      <c r="B5860" s="87" t="str">
        <f>IFERROR(__xludf.DUMMYFUNCTION("""COMPUTED_VALUE"""),"[Nhãn Thùng]")</f>
        <v>[Nhãn Thùng]</v>
      </c>
      <c r="C5860" s="87" t="str">
        <f>IFERROR(__xludf.DUMMYFUNCTION("""COMPUTED_VALUE"""),"NDT4898")</f>
        <v>NDT4898</v>
      </c>
      <c r="D5860" s="87" t="str">
        <f>IFERROR(__xludf.DUMMYFUNCTION("""COMPUTED_VALUE"""),"[Nhãn Thùng] GC - V - 4898 - CTY LUTA - 30-10-10 (Bột trắng) - 1kg - 25")</f>
        <v>[Nhãn Thùng] GC - V - 4898 - CTY LUTA - 30-10-10 (Bột trắng) - 1kg - 25</v>
      </c>
      <c r="E5860" s="87" t="str">
        <f>IFERROR(__xludf.DUMMYFUNCTION("""COMPUTED_VALUE"""),"Hỗn hợp NPK SIAMB 16")</f>
        <v>Hỗn hợp NPK SIAMB 16</v>
      </c>
      <c r="F5860" s="87" t="str">
        <f>IFERROR(__xludf.DUMMYFUNCTION("""COMPUTED_VALUE"""),"HH4898")</f>
        <v>HH4898</v>
      </c>
      <c r="G5860" s="87" t="str">
        <f>IFERROR(__xludf.DUMMYFUNCTION("""COMPUTED_VALUE"""),"GC - V - 4898 - CTY LUTA - 30-10-10 (Bột trắng) - 1kg - 25")</f>
        <v>GC - V - 4898 - CTY LUTA - 30-10-10 (Bột trắng) - 1kg - 25</v>
      </c>
    </row>
    <row r="5861">
      <c r="A5861" s="86">
        <f>IFERROR(__xludf.DUMMYFUNCTION("""COMPUTED_VALUE"""),5859.0)</f>
        <v>5859</v>
      </c>
      <c r="B5861" s="87" t="str">
        <f>IFERROR(__xludf.DUMMYFUNCTION("""COMPUTED_VALUE"""),"[Nhãn Thùng]")</f>
        <v>[Nhãn Thùng]</v>
      </c>
      <c r="C5861" s="87" t="str">
        <f>IFERROR(__xludf.DUMMYFUNCTION("""COMPUTED_VALUE"""),"NDT4899")</f>
        <v>NDT4899</v>
      </c>
      <c r="D5861" s="87" t="str">
        <f>IFERROR(__xludf.DUMMYFUNCTION("""COMPUTED_VALUE"""),"[Nhãn Thùng] GC - V - 4899 - Agritech (Anh Trương) - MANCO GREEN (bột xanh) - 1kg - 20")</f>
        <v>[Nhãn Thùng] GC - V - 4899 - Agritech (Anh Trương) - MANCO GREEN (bột xanh) - 1kg - 20</v>
      </c>
      <c r="E5861" s="87" t="str">
        <f>IFERROR(__xludf.DUMMYFUNCTION("""COMPUTED_VALUE"""),"MANCOBGO 80WP")</f>
        <v>MANCOBGO 80WP</v>
      </c>
      <c r="F5861" s="87" t="str">
        <f>IFERROR(__xludf.DUMMYFUNCTION("""COMPUTED_VALUE"""),"HH4899")</f>
        <v>HH4899</v>
      </c>
      <c r="G5861" s="87" t="str">
        <f>IFERROR(__xludf.DUMMYFUNCTION("""COMPUTED_VALUE"""),"GC - V - 4899 - Agritech (Anh Trương) - MANCO GREEN (bột xanh) - 1kg - 20")</f>
        <v>GC - V - 4899 - Agritech (Anh Trương) - MANCO GREEN (bột xanh) - 1kg - 20</v>
      </c>
    </row>
    <row r="5862">
      <c r="A5862" s="86">
        <f>IFERROR(__xludf.DUMMYFUNCTION("""COMPUTED_VALUE"""),5860.0)</f>
        <v>5860</v>
      </c>
      <c r="B5862" s="87" t="str">
        <f>IFERROR(__xludf.DUMMYFUNCTION("""COMPUTED_VALUE"""),"[Nhãn Thùng]")</f>
        <v>[Nhãn Thùng]</v>
      </c>
      <c r="C5862" s="87" t="str">
        <f>IFERROR(__xludf.DUMMYFUNCTION("""COMPUTED_VALUE"""),"NDT4897")</f>
        <v>NDT4897</v>
      </c>
      <c r="D5862" s="87" t="str">
        <f>IFERROR(__xludf.DUMMYFUNCTION("""COMPUTED_VALUE"""),"[Nhãn Thùng] GC - V - 4897 - DEGO - DIỆT NHỆN CỰC MẠNH (Nước xanh lá) - 450ml - 40")</f>
        <v>[Nhãn Thùng] GC - V - 4897 - DEGO - DIỆT NHỆN CỰC MẠNH (Nước xanh lá) - 450ml - 40</v>
      </c>
      <c r="E5862" s="87" t="str">
        <f>IFERROR(__xludf.DUMMYFUNCTION("""COMPUTED_VALUE"""),"Chitin 3.6EC")</f>
        <v>Chitin 3.6EC</v>
      </c>
      <c r="F5862" s="87" t="str">
        <f>IFERROR(__xludf.DUMMYFUNCTION("""COMPUTED_VALUE"""),"HH4897")</f>
        <v>HH4897</v>
      </c>
      <c r="G5862" s="87" t="str">
        <f>IFERROR(__xludf.DUMMYFUNCTION("""COMPUTED_VALUE"""),"GC - V - 4897 - DEGO - DIỆT NHỆN CỰC MẠNH (Nước xanh lá) - 450ml - 40")</f>
        <v>GC - V - 4897 - DEGO - DIỆT NHỆN CỰC MẠNH (Nước xanh lá) - 450ml - 40</v>
      </c>
    </row>
    <row r="5863">
      <c r="A5863" s="86">
        <f>IFERROR(__xludf.DUMMYFUNCTION("""COMPUTED_VALUE"""),5861.0)</f>
        <v>5861</v>
      </c>
      <c r="B5863" s="87" t="str">
        <f>IFERROR(__xludf.DUMMYFUNCTION("""COMPUTED_VALUE"""),"[Nhãn]")</f>
        <v>[Nhãn]</v>
      </c>
      <c r="C5863" s="87" t="str">
        <f>IFERROR(__xludf.DUMMYFUNCTION("""COMPUTED_VALUE"""),"NHG4806")</f>
        <v>NHG4806</v>
      </c>
      <c r="D5863" s="87" t="str">
        <f>IFERROR(__xludf.DUMMYFUNCTION("""COMPUTED_VALUE"""),"[Nhãn] GC - V - 4806 - CTY HÓA NÔNG CON ONG VÀNG - MAGIE KẼM PLUS (Dạng SC - Xanh lá) - 400ml - 40")</f>
        <v>[Nhãn] GC - V - 4806 - CTY HÓA NÔNG CON ONG VÀNG - MAGIE KẼM PLUS (Dạng SC - Xanh lá) - 400ml - 40</v>
      </c>
      <c r="E5863" s="87" t="str">
        <f>IFERROR(__xludf.DUMMYFUNCTION("""COMPUTED_VALUE"""),"vi lượng Phú Sĩ FJ-09 Kẽm Mg")</f>
        <v>vi lượng Phú Sĩ FJ-09 Kẽm Mg</v>
      </c>
      <c r="F5863" s="87" t="str">
        <f>IFERROR(__xludf.DUMMYFUNCTION("""COMPUTED_VALUE"""),"HH4806")</f>
        <v>HH4806</v>
      </c>
      <c r="G5863" s="87" t="str">
        <f>IFERROR(__xludf.DUMMYFUNCTION("""COMPUTED_VALUE"""),"GC - V - 4806 - CTY HÓA NÔNG CON ONG VÀNG - MAGIE KẼM PLUS (Dạng SC - Xanh lá) - 400ml - 40")</f>
        <v>GC - V - 4806 - CTY HÓA NÔNG CON ONG VÀNG - MAGIE KẼM PLUS (Dạng SC - Xanh lá) - 400ml - 40</v>
      </c>
    </row>
    <row r="5864">
      <c r="A5864" s="86">
        <f>IFERROR(__xludf.DUMMYFUNCTION("""COMPUTED_VALUE"""),5862.0)</f>
        <v>5862</v>
      </c>
      <c r="B5864" s="87" t="str">
        <f>IFERROR(__xludf.DUMMYFUNCTION("""COMPUTED_VALUE"""),"[Nhãn]")</f>
        <v>[Nhãn]</v>
      </c>
      <c r="C5864" s="87" t="str">
        <f>IFERROR(__xludf.DUMMYFUNCTION("""COMPUTED_VALUE"""),"NHG4807")</f>
        <v>NHG4807</v>
      </c>
      <c r="D5864" s="87" t="str">
        <f>IFERROR(__xludf.DUMMYFUNCTION("""COMPUTED_VALUE"""),"[Nhãn] GC - V - 4807 - CTY HÓA NÔNG CON ONG VÀNG - ĐÒNG TO BÔNG BỰ (Dạng SC - Trắng sữa) - 400ml - 40")</f>
        <v>[Nhãn] GC - V - 4807 - CTY HÓA NÔNG CON ONG VÀNG - ĐÒNG TO BÔNG BỰ (Dạng SC - Trắng sữa) - 400ml - 40</v>
      </c>
      <c r="E5864" s="87" t="str">
        <f>IFERROR(__xludf.DUMMYFUNCTION("""COMPUTED_VALUE"""),"Vi lượng AGAMA-CANXI BO")</f>
        <v>Vi lượng AGAMA-CANXI BO</v>
      </c>
      <c r="F5864" s="87" t="str">
        <f>IFERROR(__xludf.DUMMYFUNCTION("""COMPUTED_VALUE"""),"HH4807")</f>
        <v>HH4807</v>
      </c>
      <c r="G5864" s="87" t="str">
        <f>IFERROR(__xludf.DUMMYFUNCTION("""COMPUTED_VALUE"""),"GC - V - 4807 - CTY HÓA NÔNG CON ONG VÀNG - ĐÒNG TO BÔNG BỰ (Dạng SC - Trắng sữa) - 400ml - 40")</f>
        <v>GC - V - 4807 - CTY HÓA NÔNG CON ONG VÀNG - ĐÒNG TO BÔNG BỰ (Dạng SC - Trắng sữa) - 400ml - 40</v>
      </c>
    </row>
    <row r="5865">
      <c r="A5865" s="86">
        <f>IFERROR(__xludf.DUMMYFUNCTION("""COMPUTED_VALUE"""),5863.0)</f>
        <v>5863</v>
      </c>
      <c r="B5865" s="87" t="str">
        <f>IFERROR(__xludf.DUMMYFUNCTION("""COMPUTED_VALUE"""),"[Nhãn]")</f>
        <v>[Nhãn]</v>
      </c>
      <c r="C5865" s="87" t="str">
        <f>IFERROR(__xludf.DUMMYFUNCTION("""COMPUTED_VALUE"""),"NHG4900")</f>
        <v>NHG4900</v>
      </c>
      <c r="D5865" s="87" t="str">
        <f>IFERROR(__xludf.DUMMYFUNCTION("""COMPUTED_VALUE"""),"[Nhãn] GC - V - 4900 - AGRICARE HIGHLAND - Thipro 550EC (Nước tím) - 250ml - 40")</f>
        <v>[Nhãn] GC - V - 4900 - AGRICARE HIGHLAND - Thipro 550EC (Nước tím) - 250ml - 40</v>
      </c>
      <c r="E5865" s="87" t="str">
        <f>IFERROR(__xludf.DUMMYFUNCTION("""COMPUTED_VALUE"""),"Thipro 550EC")</f>
        <v>Thipro 550EC</v>
      </c>
      <c r="F5865" s="87" t="str">
        <f>IFERROR(__xludf.DUMMYFUNCTION("""COMPUTED_VALUE"""),"HH4900")</f>
        <v>HH4900</v>
      </c>
      <c r="G5865" s="87" t="str">
        <f>IFERROR(__xludf.DUMMYFUNCTION("""COMPUTED_VALUE"""),"GC - V - 4900 - AGRICARE HIGHLAND - Thipro 550EC (Nước tím) - 250ml - 40")</f>
        <v>GC - V - 4900 - AGRICARE HIGHLAND - Thipro 550EC (Nước tím) - 250ml - 40</v>
      </c>
    </row>
    <row r="5866">
      <c r="A5866" s="86">
        <f>IFERROR(__xludf.DUMMYFUNCTION("""COMPUTED_VALUE"""),5864.0)</f>
        <v>5864</v>
      </c>
      <c r="B5866" s="87" t="str">
        <f>IFERROR(__xludf.DUMMYFUNCTION("""COMPUTED_VALUE"""),"[Nhãn]")</f>
        <v>[Nhãn]</v>
      </c>
      <c r="C5866" s="87" t="str">
        <f>IFERROR(__xludf.DUMMYFUNCTION("""COMPUTED_VALUE"""),"NTN4894")</f>
        <v>NTN4894</v>
      </c>
      <c r="D5866" s="87" t="str">
        <f>IFERROR(__xludf.DUMMYFUNCTION("""COMPUTED_VALUE"""),"[Nhãn] GC - V - 4894 - TIẾN NÔNG AGRO - MAKEGREEN 55WG (Dạng cốm màu trắng ngà) - 20gr - 200")</f>
        <v>[Nhãn] GC - V - 4894 - TIẾN NÔNG AGRO - MAKEGREEN 55WG (Dạng cốm màu trắng ngà) - 20gr - 200</v>
      </c>
      <c r="E5866" s="87" t="str">
        <f>IFERROR(__xludf.DUMMYFUNCTION("""COMPUTED_VALUE"""),"MAKEGREEN 55WG")</f>
        <v>MAKEGREEN 55WG</v>
      </c>
      <c r="F5866" s="87" t="str">
        <f>IFERROR(__xludf.DUMMYFUNCTION("""COMPUTED_VALUE"""),"HH4894")</f>
        <v>HH4894</v>
      </c>
      <c r="G5866" s="87" t="str">
        <f>IFERROR(__xludf.DUMMYFUNCTION("""COMPUTED_VALUE"""),"GC - V - 4894 - TIẾN NÔNG AGRO - MAKEGREEN 55WG (Dạng cốm màu trắng ngà) - 20gr - 200")</f>
        <v>GC - V - 4894 - TIẾN NÔNG AGRO - MAKEGREEN 55WG (Dạng cốm màu trắng ngà) - 20gr - 200</v>
      </c>
    </row>
    <row r="5867">
      <c r="A5867" s="86">
        <f>IFERROR(__xludf.DUMMYFUNCTION("""COMPUTED_VALUE"""),5865.0)</f>
        <v>5865</v>
      </c>
      <c r="B5867" s="87" t="str">
        <f>IFERROR(__xludf.DUMMYFUNCTION("""COMPUTED_VALUE"""),"[HỘP]")</f>
        <v>[HỘP]</v>
      </c>
      <c r="C5867" s="87" t="str">
        <f>IFERROR(__xludf.DUMMYFUNCTION("""COMPUTED_VALUE"""),"HOP4843")</f>
        <v>HOP4843</v>
      </c>
      <c r="D5867" s="87" t="str">
        <f>IFERROR(__xludf.DUMMYFUNCTION("""COMPUTED_VALUE"""),"[HỘP] IDA Global - I - 4843 - ĐL LÊ NGUYỄN - VÔ GẠO 01 (Nước trắng sữa) - 500ml - 2")</f>
        <v>[HỘP] IDA Global - I - 4843 - ĐL LÊ NGUYỄN - VÔ GẠO 01 (Nước trắng sữa) - 500ml - 2</v>
      </c>
      <c r="E5867" s="87" t="str">
        <f>IFERROR(__xludf.DUMMYFUNCTION("""COMPUTED_VALUE"""),"Vi lượng Quantity New")</f>
        <v>Vi lượng Quantity New</v>
      </c>
      <c r="F5867" s="87" t="str">
        <f>IFERROR(__xludf.DUMMYFUNCTION("""COMPUTED_VALUE"""),"HH4843")</f>
        <v>HH4843</v>
      </c>
      <c r="G5867" s="87" t="str">
        <f>IFERROR(__xludf.DUMMYFUNCTION("""COMPUTED_VALUE"""),"IDA Global - I - 4843 - ĐL LÊ NGUYỄN - VÔ GẠO 01 (Nước trắng sữa) - 500ml - 40")</f>
        <v>IDA Global - I - 4843 - ĐL LÊ NGUYỄN - VÔ GẠO 01 (Nước trắng sữa) - 500ml - 40</v>
      </c>
    </row>
    <row r="5868">
      <c r="A5868" s="86">
        <f>IFERROR(__xludf.DUMMYFUNCTION("""COMPUTED_VALUE"""),5866.0)</f>
        <v>5866</v>
      </c>
      <c r="B5868" s="87" t="str">
        <f>IFERROR(__xludf.DUMMYFUNCTION("""COMPUTED_VALUE"""),"[HỘP]")</f>
        <v>[HỘP]</v>
      </c>
      <c r="C5868" s="87" t="str">
        <f>IFERROR(__xludf.DUMMYFUNCTION("""COMPUTED_VALUE"""),"HOP4535")</f>
        <v>HOP4535</v>
      </c>
      <c r="D5868" s="87" t="str">
        <f>IFERROR(__xludf.DUMMYFUNCTION("""COMPUTED_VALUE"""),"[HỘP] GC - V - 4535 - TAGO - GENOL 1.2SL (Nước đỏ) - 300ml - 40")</f>
        <v>[HỘP] GC - V - 4535 - TAGO - GENOL 1.2SL (Nước đỏ) - 300ml - 40</v>
      </c>
      <c r="E5868" s="87" t="str">
        <f>IFERROR(__xludf.DUMMYFUNCTION("""COMPUTED_VALUE"""),"GENOL 1.2SL")</f>
        <v>GENOL 1.2SL</v>
      </c>
      <c r="F5868" s="87" t="str">
        <f>IFERROR(__xludf.DUMMYFUNCTION("""COMPUTED_VALUE"""),"HH4535")</f>
        <v>HH4535</v>
      </c>
      <c r="G5868" s="87" t="str">
        <f>IFERROR(__xludf.DUMMYFUNCTION("""COMPUTED_VALUE"""),"GC - V - 4535 - TAGO - GENOL 1.2SL (Nước đỏ) - 300ml - 40")</f>
        <v>GC - V - 4535 - TAGO - GENOL 1.2SL (Nước đỏ) - 300ml - 40</v>
      </c>
    </row>
    <row r="5869">
      <c r="A5869" s="86">
        <f>IFERROR(__xludf.DUMMYFUNCTION("""COMPUTED_VALUE"""),5867.0)</f>
        <v>5867</v>
      </c>
      <c r="B5869" s="87" t="str">
        <f>IFERROR(__xludf.DUMMYFUNCTION("""COMPUTED_VALUE"""),"[Nhãn]")</f>
        <v>[Nhãn]</v>
      </c>
      <c r="C5869" s="87" t="str">
        <f>IFERROR(__xludf.DUMMYFUNCTION("""COMPUTED_VALUE"""),"NHG4905")</f>
        <v>NHG4905</v>
      </c>
      <c r="D5869" s="87" t="str">
        <f>IFERROR(__xludf.DUMMYFUNCTION("""COMPUTED_VALUE"""),"[Nhãn] GC - VI - 4905 - BAMBOO - BAMBOO CANXI BO HỮU CƠ (Nước xanh lơ) - 500ml - 40")</f>
        <v>[Nhãn] GC - VI - 4905 - BAMBOO - BAMBOO CANXI BO HỮU CƠ (Nước xanh lơ) - 500ml - 40</v>
      </c>
      <c r="E5869" s="87" t="str">
        <f>IFERROR(__xludf.DUMMYFUNCTION("""COMPUTED_VALUE"""),"Hữu Cơ PBHC Cabozinc A.B.A")</f>
        <v>Hữu Cơ PBHC Cabozinc A.B.A</v>
      </c>
      <c r="F5869" s="87" t="str">
        <f>IFERROR(__xludf.DUMMYFUNCTION("""COMPUTED_VALUE"""),"HH4905")</f>
        <v>HH4905</v>
      </c>
      <c r="G5869" s="87" t="str">
        <f>IFERROR(__xludf.DUMMYFUNCTION("""COMPUTED_VALUE"""),"GC - VI - 4905 - BAMBOO - BAMBOO CANXI BO HỮU CƠ (Nước xanh lơ) - 500ml - 40")</f>
        <v>GC - VI - 4905 - BAMBOO - BAMBOO CANXI BO HỮU CƠ (Nước xanh lơ) - 500ml - 40</v>
      </c>
    </row>
    <row r="5870">
      <c r="A5870" s="86">
        <f>IFERROR(__xludf.DUMMYFUNCTION("""COMPUTED_VALUE"""),5868.0)</f>
        <v>5868</v>
      </c>
      <c r="B5870" s="87" t="str">
        <f>IFERROR(__xludf.DUMMYFUNCTION("""COMPUTED_VALUE"""),"[Nhãn]")</f>
        <v>[Nhãn]</v>
      </c>
      <c r="C5870" s="87" t="str">
        <f>IFERROR(__xludf.DUMMYFUNCTION("""COMPUTED_VALUE"""),"NHD4906")</f>
        <v>NHD4906</v>
      </c>
      <c r="D5870" s="87" t="str">
        <f>IFERROR(__xludf.DUMMYFUNCTION("""COMPUTED_VALUE"""),"[Nhãn] GC - V - 4906 - THÀNH CÔNG AGRI - KING ROOT (Gel nâu đen) - 20L - 1")</f>
        <v>[Nhãn] GC - V - 4906 - THÀNH CÔNG AGRI - KING ROOT (Gel nâu đen) - 20L - 1</v>
      </c>
      <c r="E5870" s="87" t="str">
        <f>IFERROR(__xludf.DUMMYFUNCTION("""COMPUTED_VALUE"""),"Hữu Cơ Organic ĐGP 01")</f>
        <v>Hữu Cơ Organic ĐGP 01</v>
      </c>
      <c r="F5870" s="87" t="str">
        <f>IFERROR(__xludf.DUMMYFUNCTION("""COMPUTED_VALUE"""),"HH4906")</f>
        <v>HH4906</v>
      </c>
      <c r="G5870" s="87" t="str">
        <f>IFERROR(__xludf.DUMMYFUNCTION("""COMPUTED_VALUE"""),"GC - V - 4906 - THÀNH CÔNG AGRI - KING ROOT (Gel nâu đen) - 20L - 1")</f>
        <v>GC - V - 4906 - THÀNH CÔNG AGRI - KING ROOT (Gel nâu đen) - 20L - 1</v>
      </c>
    </row>
    <row r="5871">
      <c r="A5871" s="86">
        <f>IFERROR(__xludf.DUMMYFUNCTION("""COMPUTED_VALUE"""),5869.0)</f>
        <v>5869</v>
      </c>
      <c r="B5871" s="87" t="str">
        <f>IFERROR(__xludf.DUMMYFUNCTION("""COMPUTED_VALUE"""),"[Nhãn]")</f>
        <v>[Nhãn]</v>
      </c>
      <c r="C5871" s="87" t="str">
        <f>IFERROR(__xludf.DUMMYFUNCTION("""COMPUTED_VALUE"""),"NHG4909")</f>
        <v>NHG4909</v>
      </c>
      <c r="D5871" s="87" t="str">
        <f>IFERROR(__xludf.DUMMYFUNCTION("""COMPUTED_VALUE"""),"[Nhãn] GC - V - 4909 - THÀNH CÔNG AGRI - STOP ĐỌT (Nước nâu đen V2) - 1L - 20")</f>
        <v>[Nhãn] GC - V - 4909 - THÀNH CÔNG AGRI - STOP ĐỌT (Nước nâu đen V2) - 1L - 20</v>
      </c>
      <c r="E5871" s="87" t="str">
        <f>IFERROR(__xludf.DUMMYFUNCTION("""COMPUTED_VALUE"""),"Vi lượng Quantity New")</f>
        <v>Vi lượng Quantity New</v>
      </c>
      <c r="F5871" s="87" t="str">
        <f>IFERROR(__xludf.DUMMYFUNCTION("""COMPUTED_VALUE"""),"HH4909")</f>
        <v>HH4909</v>
      </c>
      <c r="G5871" s="87" t="str">
        <f>IFERROR(__xludf.DUMMYFUNCTION("""COMPUTED_VALUE"""),"GC - V - 4909 - THÀNH CÔNG AGRI - STOP ĐỌT (Nước nâu đen V2) - 1L - 20")</f>
        <v>GC - V - 4909 - THÀNH CÔNG AGRI - STOP ĐỌT (Nước nâu đen V2) - 1L - 20</v>
      </c>
    </row>
    <row r="5872">
      <c r="A5872" s="86">
        <f>IFERROR(__xludf.DUMMYFUNCTION("""COMPUTED_VALUE"""),5870.0)</f>
        <v>5870</v>
      </c>
      <c r="B5872" s="87" t="str">
        <f>IFERROR(__xludf.DUMMYFUNCTION("""COMPUTED_VALUE"""),"[Nhãn]")</f>
        <v>[Nhãn]</v>
      </c>
      <c r="C5872" s="87" t="str">
        <f>IFERROR(__xludf.DUMMYFUNCTION("""COMPUTED_VALUE"""),"NHD4896")</f>
        <v>NHD4896</v>
      </c>
      <c r="D5872" s="87" t="str">
        <f>IFERROR(__xludf.DUMMYFUNCTION("""COMPUTED_VALUE"""),"[Nhãn] GC - V - 4896 - CTY QUANG ĐĂNG AGRICULTURE - QĐ-KALIMAX PLUS (Dạng SC - Trắng sữa) - 500ml - 40")</f>
        <v>[Nhãn] GC - V - 4896 - CTY QUANG ĐĂNG AGRICULTURE - QĐ-KALIMAX PLUS (Dạng SC - Trắng sữa) - 500ml - 40</v>
      </c>
      <c r="E5872" s="87" t="str">
        <f>IFERROR(__xludf.DUMMYFUNCTION("""COMPUTED_VALUE"""),"Lá PK-Vi lượng SV 5-18")</f>
        <v>Lá PK-Vi lượng SV 5-18</v>
      </c>
      <c r="F5872" s="87" t="str">
        <f>IFERROR(__xludf.DUMMYFUNCTION("""COMPUTED_VALUE"""),"HH4896")</f>
        <v>HH4896</v>
      </c>
      <c r="G5872" s="87" t="str">
        <f>IFERROR(__xludf.DUMMYFUNCTION("""COMPUTED_VALUE"""),"GC - V - 4896 - CTY QUANG ĐĂNG AGRICULTURE - QĐ-KALIMAX PLUS (Dạng SC - Trắng sữa) - 500ml - 40")</f>
        <v>GC - V - 4896 - CTY QUANG ĐĂNG AGRICULTURE - QĐ-KALIMAX PLUS (Dạng SC - Trắng sữa) - 500ml - 40</v>
      </c>
    </row>
    <row r="5873">
      <c r="A5873" s="86">
        <f>IFERROR(__xludf.DUMMYFUNCTION("""COMPUTED_VALUE"""),5871.0)</f>
        <v>5871</v>
      </c>
      <c r="B5873" s="87" t="str">
        <f>IFERROR(__xludf.DUMMYFUNCTION("""COMPUTED_VALUE"""),"[Nhãn]")</f>
        <v>[Nhãn]</v>
      </c>
      <c r="C5873" s="87" t="str">
        <f>IFERROR(__xludf.DUMMYFUNCTION("""COMPUTED_VALUE"""),"NHD4907")</f>
        <v>NHD4907</v>
      </c>
      <c r="D5873" s="87" t="str">
        <f>IFERROR(__xludf.DUMMYFUNCTION("""COMPUTED_VALUE"""),"[Nhãn] GC - V - 4907 - CTY AGRITECH - ROOT MAX BIO (Nước nâu đen) - 20L - 1")</f>
        <v>[Nhãn] GC - V - 4907 - CTY AGRITECH - ROOT MAX BIO (Nước nâu đen) - 20L - 1</v>
      </c>
      <c r="E5873" s="87" t="str">
        <f>IFERROR(__xludf.DUMMYFUNCTION("""COMPUTED_VALUE"""),"Hữu Cơ Organic ĐGP 01")</f>
        <v>Hữu Cơ Organic ĐGP 01</v>
      </c>
      <c r="F5873" s="87" t="str">
        <f>IFERROR(__xludf.DUMMYFUNCTION("""COMPUTED_VALUE"""),"HH4907")</f>
        <v>HH4907</v>
      </c>
      <c r="G5873" s="87" t="str">
        <f>IFERROR(__xludf.DUMMYFUNCTION("""COMPUTED_VALUE"""),"GC - V - 4907 - CTY AGRITECH - ROOT MAX BIO (Nước nâu đen) - 20L - 1")</f>
        <v>GC - V - 4907 - CTY AGRITECH - ROOT MAX BIO (Nước nâu đen) - 20L - 1</v>
      </c>
    </row>
    <row r="5874">
      <c r="A5874" s="86">
        <f>IFERROR(__xludf.DUMMYFUNCTION("""COMPUTED_VALUE"""),5872.0)</f>
        <v>5872</v>
      </c>
      <c r="B5874" s="87" t="str">
        <f>IFERROR(__xludf.DUMMYFUNCTION("""COMPUTED_VALUE"""),"[Nhãn Thùng]")</f>
        <v>[Nhãn Thùng]</v>
      </c>
      <c r="C5874" s="87" t="str">
        <f>IFERROR(__xludf.DUMMYFUNCTION("""COMPUTED_VALUE"""),"NDT4896")</f>
        <v>NDT4896</v>
      </c>
      <c r="D5874" s="87" t="str">
        <f>IFERROR(__xludf.DUMMYFUNCTION("""COMPUTED_VALUE"""),"[Nhãn Thùng] GC - V - 4896 - CTY QUANG ĐĂNG AGRICULTURE - QĐ-KALIMAX PLUS (Dạng SC - Trắng sữa) - 500ml - 40")</f>
        <v>[Nhãn Thùng] GC - V - 4896 - CTY QUANG ĐĂNG AGRICULTURE - QĐ-KALIMAX PLUS (Dạng SC - Trắng sữa) - 500ml - 40</v>
      </c>
      <c r="E5874" s="87" t="str">
        <f>IFERROR(__xludf.DUMMYFUNCTION("""COMPUTED_VALUE"""),"Lá PK-Vi lượng SV 5-18")</f>
        <v>Lá PK-Vi lượng SV 5-18</v>
      </c>
      <c r="F5874" s="87" t="str">
        <f>IFERROR(__xludf.DUMMYFUNCTION("""COMPUTED_VALUE"""),"HH4896")</f>
        <v>HH4896</v>
      </c>
      <c r="G5874" s="87" t="str">
        <f>IFERROR(__xludf.DUMMYFUNCTION("""COMPUTED_VALUE"""),"GC - V - 4896 - CTY QUANG ĐĂNG AGRICULTURE - QĐ-KALIMAX PLUS (Dạng SC - Trắng sữa) - 500ml - 40")</f>
        <v>GC - V - 4896 - CTY QUANG ĐĂNG AGRICULTURE - QĐ-KALIMAX PLUS (Dạng SC - Trắng sữa) - 500ml - 40</v>
      </c>
    </row>
    <row r="5875">
      <c r="A5875" s="86">
        <f>IFERROR(__xludf.DUMMYFUNCTION("""COMPUTED_VALUE"""),5873.0)</f>
        <v>5873</v>
      </c>
      <c r="B5875" s="87" t="str">
        <f>IFERROR(__xludf.DUMMYFUNCTION("""COMPUTED_VALUE"""),"[Nhãn Thùng]")</f>
        <v>[Nhãn Thùng]</v>
      </c>
      <c r="C5875" s="87" t="str">
        <f>IFERROR(__xludf.DUMMYFUNCTION("""COMPUTED_VALUE"""),"NDT4861")</f>
        <v>NDT4861</v>
      </c>
      <c r="D5875" s="87" t="str">
        <f>IFERROR(__xludf.DUMMYFUNCTION("""COMPUTED_VALUE"""),"[Nhãn Thùng] GC - V - 4861 - Agritech - Creek 2.1EC (Pet vuông)(nắp trắng)(nước đỏ) - 400ml - 40")</f>
        <v>[Nhãn Thùng] GC - V - 4861 - Agritech - Creek 2.1EC (Pet vuông)(nắp trắng)(nước đỏ) - 400ml - 40</v>
      </c>
      <c r="E5875" s="87" t="str">
        <f>IFERROR(__xludf.DUMMYFUNCTION("""COMPUTED_VALUE"""),"CREEK 2.1EC")</f>
        <v>CREEK 2.1EC</v>
      </c>
      <c r="F5875" s="87" t="str">
        <f>IFERROR(__xludf.DUMMYFUNCTION("""COMPUTED_VALUE"""),"HH4861")</f>
        <v>HH4861</v>
      </c>
      <c r="G5875" s="87" t="str">
        <f>IFERROR(__xludf.DUMMYFUNCTION("""COMPUTED_VALUE"""),"GC - V - 4861 - Agritech - Creek 2.1EC (Pet vuông)(nắp trắng)(nước đỏ) - 400ml - 40")</f>
        <v>GC - V - 4861 - Agritech - Creek 2.1EC (Pet vuông)(nắp trắng)(nước đỏ) - 400ml - 40</v>
      </c>
    </row>
    <row r="5876">
      <c r="A5876" s="86">
        <f>IFERROR(__xludf.DUMMYFUNCTION("""COMPUTED_VALUE"""),5874.0)</f>
        <v>5874</v>
      </c>
      <c r="B5876" s="87" t="str">
        <f>IFERROR(__xludf.DUMMYFUNCTION("""COMPUTED_VALUE"""),"[Nhãn Thùng]")</f>
        <v>[Nhãn Thùng]</v>
      </c>
      <c r="C5876" s="87" t="str">
        <f>IFERROR(__xludf.DUMMYFUNCTION("""COMPUTED_VALUE"""),"NDT4856")</f>
        <v>NDT4856</v>
      </c>
      <c r="D5876" s="87" t="str">
        <f>IFERROR(__xludf.DUMMYFUNCTION("""COMPUTED_VALUE"""),"[Nhãn Thùng] GC - V - 4856 - CTY R3 - TRICYMAX R3 (Bột cam) - 100gr - 100")</f>
        <v>[Nhãn Thùng] GC - V - 4856 - CTY R3 - TRICYMAX R3 (Bột cam) - 100gr - 100</v>
      </c>
      <c r="E5876" s="87" t="str">
        <f>IFERROR(__xludf.DUMMYFUNCTION("""COMPUTED_VALUE"""),"Pim.Pim 75WP")</f>
        <v>Pim.Pim 75WP</v>
      </c>
      <c r="F5876" s="87" t="str">
        <f>IFERROR(__xludf.DUMMYFUNCTION("""COMPUTED_VALUE"""),"HH4856")</f>
        <v>HH4856</v>
      </c>
      <c r="G5876" s="87" t="str">
        <f>IFERROR(__xludf.DUMMYFUNCTION("""COMPUTED_VALUE"""),"GC - V - 4856 - CTY R3 - TRICYMAX R3 (Bột cam) - 100gr - 100")</f>
        <v>GC - V - 4856 - CTY R3 - TRICYMAX R3 (Bột cam) - 100gr - 100</v>
      </c>
    </row>
    <row r="5877">
      <c r="A5877" s="86">
        <f>IFERROR(__xludf.DUMMYFUNCTION("""COMPUTED_VALUE"""),5875.0)</f>
        <v>5875</v>
      </c>
      <c r="B5877" s="87" t="str">
        <f>IFERROR(__xludf.DUMMYFUNCTION("""COMPUTED_VALUE"""),"[Nhãn Thùng]")</f>
        <v>[Nhãn Thùng]</v>
      </c>
      <c r="C5877" s="87" t="str">
        <f>IFERROR(__xludf.DUMMYFUNCTION("""COMPUTED_VALUE"""),"NDT4851")</f>
        <v>NDT4851</v>
      </c>
      <c r="D5877" s="87" t="str">
        <f>IFERROR(__xludf.DUMMYFUNCTION("""COMPUTED_VALUE"""),"[Nhãn Thùng] LOT IDA Global - I - 4851 - ĐL PHAN THANH BƯỜN - 3.6 VỊT BẦU (Nước nâu đen) - 450ml - 40")</f>
        <v>[Nhãn Thùng] LOT IDA Global - I - 4851 - ĐL PHAN THANH BƯỜN - 3.6 VỊT BẦU (Nước nâu đen) - 450ml - 40</v>
      </c>
      <c r="E5877" s="87" t="str">
        <f>IFERROR(__xludf.DUMMYFUNCTION("""COMPUTED_VALUE"""),"HAIHAMEC 3.6EC")</f>
        <v>HAIHAMEC 3.6EC</v>
      </c>
      <c r="F5877" s="87" t="str">
        <f>IFERROR(__xludf.DUMMYFUNCTION("""COMPUTED_VALUE"""),"HH4851")</f>
        <v>HH4851</v>
      </c>
      <c r="G5877" s="87" t="str">
        <f>IFERROR(__xludf.DUMMYFUNCTION("""COMPUTED_VALUE"""),"LOT IDA Global - I - 4851 - ĐL PHAN THANH BƯỜN - 3.6 VỊT BẦU (Nước nâu đen) - 450ml - 40")</f>
        <v>LOT IDA Global - I - 4851 - ĐL PHAN THANH BƯỜN - 3.6 VỊT BẦU (Nước nâu đen) - 450ml - 40</v>
      </c>
    </row>
    <row r="5878">
      <c r="A5878" s="86">
        <f>IFERROR(__xludf.DUMMYFUNCTION("""COMPUTED_VALUE"""),5876.0)</f>
        <v>5876</v>
      </c>
      <c r="B5878" s="87" t="str">
        <f>IFERROR(__xludf.DUMMYFUNCTION("""COMPUTED_VALUE"""),"[Nhãn Thùng]")</f>
        <v>[Nhãn Thùng]</v>
      </c>
      <c r="C5878" s="87" t="str">
        <f>IFERROR(__xludf.DUMMYFUNCTION("""COMPUTED_VALUE"""),"NDT4854")</f>
        <v>NDT4854</v>
      </c>
      <c r="D5878" s="87" t="str">
        <f>IFERROR(__xludf.DUMMYFUNCTION("""COMPUTED_VALUE"""),"[Nhãn Thùng] GC - V - 4854 - CTY GNH - Diệt Sạch khuẩn 100X (Bột vàng nhạt) - 25gr - 200")</f>
        <v>[Nhãn Thùng] GC - V - 4854 - CTY GNH - Diệt Sạch khuẩn 100X (Bột vàng nhạt) - 25gr - 200</v>
      </c>
      <c r="E5878" s="87" t="str">
        <f>IFERROR(__xludf.DUMMYFUNCTION("""COMPUTED_VALUE"""),"Oxycin 100WP")</f>
        <v>Oxycin 100WP</v>
      </c>
      <c r="F5878" s="87" t="str">
        <f>IFERROR(__xludf.DUMMYFUNCTION("""COMPUTED_VALUE"""),"HH4854")</f>
        <v>HH4854</v>
      </c>
      <c r="G5878" s="87" t="str">
        <f>IFERROR(__xludf.DUMMYFUNCTION("""COMPUTED_VALUE"""),"GC - V - 4854 - CTY GNH - Diệt Sạch khuẩn 100X (Bột vàng nhạt) - 25gr - 200")</f>
        <v>GC - V - 4854 - CTY GNH - Diệt Sạch khuẩn 100X (Bột vàng nhạt) - 25gr - 200</v>
      </c>
    </row>
    <row r="5879">
      <c r="A5879" s="86">
        <f>IFERROR(__xludf.DUMMYFUNCTION("""COMPUTED_VALUE"""),5877.0)</f>
        <v>5877</v>
      </c>
      <c r="B5879" s="87" t="str">
        <f>IFERROR(__xludf.DUMMYFUNCTION("""COMPUTED_VALUE"""),"[Nhãn Thùng]")</f>
        <v>[Nhãn Thùng]</v>
      </c>
      <c r="C5879" s="87" t="str">
        <f>IFERROR(__xludf.DUMMYFUNCTION("""COMPUTED_VALUE"""),"NDT4820")</f>
        <v>NDT4820</v>
      </c>
      <c r="D5879" s="87" t="str">
        <f>IFERROR(__xludf.DUMMYFUNCTION("""COMPUTED_VALUE"""),"[Nhãn Thùng] GC - V - 4820 - CTY NHP GROUP - NOMIDA 700WG (Dạng cốm màu trắng ngà) - 50gr - 100")</f>
        <v>[Nhãn Thùng] GC - V - 4820 - CTY NHP GROUP - NOMIDA 700WG (Dạng cốm màu trắng ngà) - 50gr - 100</v>
      </c>
      <c r="E5879" s="87" t="str">
        <f>IFERROR(__xludf.DUMMYFUNCTION("""COMPUTED_VALUE"""),"NOMIDA 700WG")</f>
        <v>NOMIDA 700WG</v>
      </c>
      <c r="F5879" s="87" t="str">
        <f>IFERROR(__xludf.DUMMYFUNCTION("""COMPUTED_VALUE"""),"HH4820")</f>
        <v>HH4820</v>
      </c>
      <c r="G5879" s="87" t="str">
        <f>IFERROR(__xludf.DUMMYFUNCTION("""COMPUTED_VALUE"""),"GC - V - 4820 - CTY NHP GROUP - NOMIDA 700WG (Dạng cốm màu trắng ngà) - 50gr - 100")</f>
        <v>GC - V - 4820 - CTY NHP GROUP - NOMIDA 700WG (Dạng cốm màu trắng ngà) - 50gr - 100</v>
      </c>
    </row>
    <row r="5880">
      <c r="A5880" s="86">
        <f>IFERROR(__xludf.DUMMYFUNCTION("""COMPUTED_VALUE"""),5878.0)</f>
        <v>5878</v>
      </c>
      <c r="B5880" s="87" t="str">
        <f>IFERROR(__xludf.DUMMYFUNCTION("""COMPUTED_VALUE"""),"[Nhãn Thùng]")</f>
        <v>[Nhãn Thùng]</v>
      </c>
      <c r="C5880" s="87" t="str">
        <f>IFERROR(__xludf.DUMMYFUNCTION("""COMPUTED_VALUE"""),"NDT4859")</f>
        <v>NDT4859</v>
      </c>
      <c r="D5880" s="87" t="str">
        <f>IFERROR(__xludf.DUMMYFUNCTION("""COMPUTED_VALUE"""),"[Nhãn Thùng] GC - V - 4859 - CTY R3 - METAXYL-M (Bột trắng) - 100gr - 100")</f>
        <v>[Nhãn Thùng] GC - V - 4859 - CTY R3 - METAXYL-M (Bột trắng) - 100gr - 100</v>
      </c>
      <c r="E5880" s="87" t="str">
        <f>IFERROR(__xludf.DUMMYFUNCTION("""COMPUTED_VALUE"""),"Acodyl 35WP")</f>
        <v>Acodyl 35WP</v>
      </c>
      <c r="F5880" s="87" t="str">
        <f>IFERROR(__xludf.DUMMYFUNCTION("""COMPUTED_VALUE"""),"HH4859")</f>
        <v>HH4859</v>
      </c>
      <c r="G5880" s="87" t="str">
        <f>IFERROR(__xludf.DUMMYFUNCTION("""COMPUTED_VALUE"""),"GC - V - 4859 - CTY R3 - METAXYL-M (Bột trắng) - 100gr - 100")</f>
        <v>GC - V - 4859 - CTY R3 - METAXYL-M (Bột trắng) - 100gr - 100</v>
      </c>
    </row>
    <row r="5881">
      <c r="A5881" s="86">
        <f>IFERROR(__xludf.DUMMYFUNCTION("""COMPUTED_VALUE"""),5879.0)</f>
        <v>5879</v>
      </c>
      <c r="B5881" s="87" t="str">
        <f>IFERROR(__xludf.DUMMYFUNCTION("""COMPUTED_VALUE"""),"[Nhãn Thùng]")</f>
        <v>[Nhãn Thùng]</v>
      </c>
      <c r="C5881" s="87" t="str">
        <f>IFERROR(__xludf.DUMMYFUNCTION("""COMPUTED_VALUE"""),"NDT4882")</f>
        <v>NDT4882</v>
      </c>
      <c r="D5881" s="87" t="str">
        <f>IFERROR(__xludf.DUMMYFUNCTION("""COMPUTED_VALUE"""),"[Nhãn Thùng] LOT IDA Global - I - 4882 - ĐL Trịnh Thến - Sư Tử Gold (Nước nâu đen) - 450ml - 40")</f>
        <v>[Nhãn Thùng] LOT IDA Global - I - 4882 - ĐL Trịnh Thến - Sư Tử Gold (Nước nâu đen) - 450ml - 40</v>
      </c>
      <c r="E5881" s="87" t="str">
        <f>IFERROR(__xludf.DUMMYFUNCTION("""COMPUTED_VALUE"""),"Chitin 3.6EC")</f>
        <v>Chitin 3.6EC</v>
      </c>
      <c r="F5881" s="87" t="str">
        <f>IFERROR(__xludf.DUMMYFUNCTION("""COMPUTED_VALUE"""),"HH4882")</f>
        <v>HH4882</v>
      </c>
      <c r="G5881" s="87" t="str">
        <f>IFERROR(__xludf.DUMMYFUNCTION("""COMPUTED_VALUE"""),"LOT IDA Global - I - 4882 - ĐL Trịnh Thến - Sư Tử Gold (Nước nâu đen) - 450ml - 40")</f>
        <v>LOT IDA Global - I - 4882 - ĐL Trịnh Thến - Sư Tử Gold (Nước nâu đen) - 450ml - 40</v>
      </c>
    </row>
    <row r="5882">
      <c r="A5882" s="86">
        <f>IFERROR(__xludf.DUMMYFUNCTION("""COMPUTED_VALUE"""),5880.0)</f>
        <v>5880</v>
      </c>
      <c r="B5882" s="87" t="str">
        <f>IFERROR(__xludf.DUMMYFUNCTION("""COMPUTED_VALUE"""),"[Nhãn]")</f>
        <v>[Nhãn]</v>
      </c>
      <c r="C5882" s="87" t="str">
        <f>IFERROR(__xludf.DUMMYFUNCTION("""COMPUTED_VALUE"""),"NHG4858")</f>
        <v>NHG4858</v>
      </c>
      <c r="D5882" s="87" t="str">
        <f>IFERROR(__xludf.DUMMYFUNCTION("""COMPUTED_VALUE"""),"[Nhãn] IDA Global - I - 4858 - GENOL 1.2SL (Nước đỏ) - 480ml - 40")</f>
        <v>[Nhãn] IDA Global - I - 4858 - GENOL 1.2SL (Nước đỏ) - 480ml - 40</v>
      </c>
      <c r="E5882" s="87" t="str">
        <f>IFERROR(__xludf.DUMMYFUNCTION("""COMPUTED_VALUE"""),"GENOL 1.2SL")</f>
        <v>GENOL 1.2SL</v>
      </c>
      <c r="F5882" s="87" t="str">
        <f>IFERROR(__xludf.DUMMYFUNCTION("""COMPUTED_VALUE"""),"HH4858")</f>
        <v>HH4858</v>
      </c>
      <c r="G5882" s="87" t="str">
        <f>IFERROR(__xludf.DUMMYFUNCTION("""COMPUTED_VALUE"""),"IDA Global - I - 4858 - GENOL 1.2SL (Nước đỏ) - 480ml - 40")</f>
        <v>IDA Global - I - 4858 - GENOL 1.2SL (Nước đỏ) - 480ml - 40</v>
      </c>
    </row>
    <row r="5883">
      <c r="A5883" s="86">
        <f>IFERROR(__xludf.DUMMYFUNCTION("""COMPUTED_VALUE"""),5881.0)</f>
        <v>5881</v>
      </c>
      <c r="B5883" s="87" t="str">
        <f>IFERROR(__xludf.DUMMYFUNCTION("""COMPUTED_VALUE"""),"[Nhãn]")</f>
        <v>[Nhãn]</v>
      </c>
      <c r="C5883" s="87" t="str">
        <f>IFERROR(__xludf.DUMMYFUNCTION("""COMPUTED_VALUE"""),"NHD4910")</f>
        <v>NHD4910</v>
      </c>
      <c r="D5883" s="87" t="str">
        <f>IFERROR(__xludf.DUMMYFUNCTION("""COMPUTED_VALUE"""),"[Nhãn] GC - V - 4910 - CTY AGRITECH - NUÔI TRÁI - LỚN TRÁI (Bột xanh lá) - 10kg - 1")</f>
        <v>[Nhãn] GC - V - 4910 - CTY AGRITECH - NUÔI TRÁI - LỚN TRÁI (Bột xanh lá) - 10kg - 1</v>
      </c>
      <c r="E5883" s="87" t="str">
        <f>IFERROR(__xludf.DUMMYFUNCTION("""COMPUTED_VALUE"""),"Hỗn hợp NPK GNC 102")</f>
        <v>Hỗn hợp NPK GNC 102</v>
      </c>
      <c r="F5883" s="87" t="str">
        <f>IFERROR(__xludf.DUMMYFUNCTION("""COMPUTED_VALUE"""),"HH4910")</f>
        <v>HH4910</v>
      </c>
      <c r="G5883" s="87" t="str">
        <f>IFERROR(__xludf.DUMMYFUNCTION("""COMPUTED_VALUE"""),"GC - V - 4910 - CTY AGRITECH - NUÔI TRÁI - LỚN TRÁI (Bột xanh lá) - 10kg - 1")</f>
        <v>GC - V - 4910 - CTY AGRITECH - NUÔI TRÁI - LỚN TRÁI (Bột xanh lá) - 10kg - 1</v>
      </c>
    </row>
    <row r="5884">
      <c r="A5884" s="86">
        <f>IFERROR(__xludf.DUMMYFUNCTION("""COMPUTED_VALUE"""),5882.0)</f>
        <v>5882</v>
      </c>
      <c r="B5884" s="87" t="str">
        <f>IFERROR(__xludf.DUMMYFUNCTION("""COMPUTED_VALUE"""),"[Nhãn]")</f>
        <v>[Nhãn]</v>
      </c>
      <c r="C5884" s="87" t="str">
        <f>IFERROR(__xludf.DUMMYFUNCTION("""COMPUTED_VALUE"""),"NHG4549")</f>
        <v>NHG4549</v>
      </c>
      <c r="D5884" s="87" t="str">
        <f>IFERROR(__xludf.DUMMYFUNCTION("""COMPUTED_VALUE"""),"[Nhãn] IDA Global - I - 4549 - CTY HẠT LÚA VÀNG - ZOLE PRO 333 (Nước cam sữa) - 350ml - 40")</f>
        <v>[Nhãn] IDA Global - I - 4549 - CTY HẠT LÚA VÀNG - ZOLE PRO 333 (Nước cam sữa) - 350ml - 40</v>
      </c>
      <c r="E5884" s="87" t="str">
        <f>IFERROR(__xludf.DUMMYFUNCTION("""COMPUTED_VALUE"""),"CITTIZEN 333SC")</f>
        <v>CITTIZEN 333SC</v>
      </c>
      <c r="F5884" s="87" t="str">
        <f>IFERROR(__xludf.DUMMYFUNCTION("""COMPUTED_VALUE"""),"HH4549")</f>
        <v>HH4549</v>
      </c>
      <c r="G5884" s="87" t="str">
        <f>IFERROR(__xludf.DUMMYFUNCTION("""COMPUTED_VALUE"""),"IDA Global - I - 4549 - CTY HẠT LÚA VÀNG - ZOLE PRO 333 (Nước cam sữa) - 350ml - 40")</f>
        <v>IDA Global - I - 4549 - CTY HẠT LÚA VÀNG - ZOLE PRO 333 (Nước cam sữa) - 350ml - 40</v>
      </c>
    </row>
    <row r="5885">
      <c r="A5885" s="86">
        <f>IFERROR(__xludf.DUMMYFUNCTION("""COMPUTED_VALUE"""),5883.0)</f>
        <v>5883</v>
      </c>
      <c r="B5885" s="87" t="str">
        <f>IFERROR(__xludf.DUMMYFUNCTION("""COMPUTED_VALUE"""),"[Nhãn Thùng]")</f>
        <v>[Nhãn Thùng]</v>
      </c>
      <c r="C5885" s="87" t="str">
        <f>IFERROR(__xludf.DUMMYFUNCTION("""COMPUTED_VALUE"""),"NDT4871")</f>
        <v>NDT4871</v>
      </c>
      <c r="D5885" s="87" t="str">
        <f>IFERROR(__xludf.DUMMYFUNCTION("""COMPUTED_VALUE"""),"[Nhãn Thùng] GC - V - 4871 - CTY LUTA - LT 01 (Nước nâu đen) - 50ml - 300")</f>
        <v>[Nhãn Thùng] GC - V - 4871 - CTY LUTA - LT 01 (Nước nâu đen) - 50ml - 300</v>
      </c>
      <c r="E5885" s="87" t="str">
        <f>IFERROR(__xludf.DUMMYFUNCTION("""COMPUTED_VALUE"""),"lá NPK-vi lượng GNC19")</f>
        <v>lá NPK-vi lượng GNC19</v>
      </c>
      <c r="F5885" s="87" t="str">
        <f>IFERROR(__xludf.DUMMYFUNCTION("""COMPUTED_VALUE"""),"HH4871")</f>
        <v>HH4871</v>
      </c>
      <c r="G5885" s="87" t="str">
        <f>IFERROR(__xludf.DUMMYFUNCTION("""COMPUTED_VALUE"""),"GC - V - 4871 - CTY LUTA - LT 01 (Nước nâu đen) - 50ml - 300")</f>
        <v>GC - V - 4871 - CTY LUTA - LT 01 (Nước nâu đen) - 50ml - 300</v>
      </c>
    </row>
    <row r="5886">
      <c r="A5886" s="86">
        <f>IFERROR(__xludf.DUMMYFUNCTION("""COMPUTED_VALUE"""),5884.0)</f>
        <v>5884</v>
      </c>
      <c r="B5886" s="87" t="str">
        <f>IFERROR(__xludf.DUMMYFUNCTION("""COMPUTED_VALUE"""),"[Nhãn]")</f>
        <v>[Nhãn]</v>
      </c>
      <c r="C5886" s="87" t="str">
        <f>IFERROR(__xludf.DUMMYFUNCTION("""COMPUTED_VALUE"""),"NTN4916")</f>
        <v>NTN4916</v>
      </c>
      <c r="D5886" s="87" t="str">
        <f>IFERROR(__xludf.DUMMYFUNCTION("""COMPUTED_VALUE"""),"[Nhãn] GC - V - 4916 - CTY VIN AG - METALAX 35 (Bột hồng) - 100gr - 100")</f>
        <v>[Nhãn] GC - V - 4916 - CTY VIN AG - METALAX 35 (Bột hồng) - 100gr - 100</v>
      </c>
      <c r="E5886" s="87" t="str">
        <f>IFERROR(__xludf.DUMMYFUNCTION("""COMPUTED_VALUE"""),"Acodyl 35WP")</f>
        <v>Acodyl 35WP</v>
      </c>
      <c r="F5886" s="87" t="str">
        <f>IFERROR(__xludf.DUMMYFUNCTION("""COMPUTED_VALUE"""),"HH4916")</f>
        <v>HH4916</v>
      </c>
      <c r="G5886" s="87" t="str">
        <f>IFERROR(__xludf.DUMMYFUNCTION("""COMPUTED_VALUE"""),"GC - V - 4916 - CTY VIN AG - METALAX 35 (Bột hồng) - 100gr - 100")</f>
        <v>GC - V - 4916 - CTY VIN AG - METALAX 35 (Bột hồng) - 100gr - 100</v>
      </c>
    </row>
    <row r="5887">
      <c r="A5887" s="86">
        <f>IFERROR(__xludf.DUMMYFUNCTION("""COMPUTED_VALUE"""),5885.0)</f>
        <v>5885</v>
      </c>
      <c r="B5887" s="87" t="str">
        <f>IFERROR(__xludf.DUMMYFUNCTION("""COMPUTED_VALUE"""),"[Nhãn Thùng]")</f>
        <v>[Nhãn Thùng]</v>
      </c>
      <c r="C5887" s="87" t="str">
        <f>IFERROR(__xludf.DUMMYFUNCTION("""COMPUTED_VALUE"""),"NDT4916")</f>
        <v>NDT4916</v>
      </c>
      <c r="D5887" s="87" t="str">
        <f>IFERROR(__xludf.DUMMYFUNCTION("""COMPUTED_VALUE"""),"[Nhãn Thùng] GC - V - 4916 - CTY VIN AG - METALAX 35 (Bột hồng) - 100gr - 100")</f>
        <v>[Nhãn Thùng] GC - V - 4916 - CTY VIN AG - METALAX 35 (Bột hồng) - 100gr - 100</v>
      </c>
      <c r="E5887" s="87" t="str">
        <f>IFERROR(__xludf.DUMMYFUNCTION("""COMPUTED_VALUE"""),"Acodyl 35WP")</f>
        <v>Acodyl 35WP</v>
      </c>
      <c r="F5887" s="87" t="str">
        <f>IFERROR(__xludf.DUMMYFUNCTION("""COMPUTED_VALUE"""),"HH4916")</f>
        <v>HH4916</v>
      </c>
      <c r="G5887" s="87" t="str">
        <f>IFERROR(__xludf.DUMMYFUNCTION("""COMPUTED_VALUE"""),"GC - V - 4916 - CTY VIN AG - METALAX 35 (Bột hồng) - 100gr - 100")</f>
        <v>GC - V - 4916 - CTY VIN AG - METALAX 35 (Bột hồng) - 100gr - 100</v>
      </c>
    </row>
    <row r="5888">
      <c r="A5888" s="86">
        <f>IFERROR(__xludf.DUMMYFUNCTION("""COMPUTED_VALUE"""),5886.0)</f>
        <v>5886</v>
      </c>
      <c r="B5888" s="87" t="str">
        <f>IFERROR(__xludf.DUMMYFUNCTION("""COMPUTED_VALUE"""),"[Nhãn Thùng]")</f>
        <v>[Nhãn Thùng]</v>
      </c>
      <c r="C5888" s="87" t="str">
        <f>IFERROR(__xludf.DUMMYFUNCTION("""COMPUTED_VALUE"""),"NDT4915")</f>
        <v>NDT4915</v>
      </c>
      <c r="D5888" s="87" t="str">
        <f>IFERROR(__xludf.DUMMYFUNCTION("""COMPUTED_VALUE"""),"[Nhãn Thùng] GC - V - 4915 - CTY NGỌC BẢO LONG AGRI - SIÊU RA RỄ (Nước nâu đen) - 500ml - 30")</f>
        <v>[Nhãn Thùng] GC - V - 4915 - CTY NGỌC BẢO LONG AGRI - SIÊU RA RỄ (Nước nâu đen) - 500ml - 30</v>
      </c>
      <c r="E5888" s="87" t="str">
        <f>IFERROR(__xludf.DUMMYFUNCTION("""COMPUTED_VALUE"""),"Hỗn Hợp NP AGAMA-AP")</f>
        <v>Hỗn Hợp NP AGAMA-AP</v>
      </c>
      <c r="F5888" s="87" t="str">
        <f>IFERROR(__xludf.DUMMYFUNCTION("""COMPUTED_VALUE"""),"HH4915")</f>
        <v>HH4915</v>
      </c>
      <c r="G5888" s="87" t="str">
        <f>IFERROR(__xludf.DUMMYFUNCTION("""COMPUTED_VALUE"""),"GC - V - 4915 - CTY NGỌC BẢO LONG AGRI - SIÊU RA RỄ (Nước nâu đen) - 500ml - 30")</f>
        <v>GC - V - 4915 - CTY NGỌC BẢO LONG AGRI - SIÊU RA RỄ (Nước nâu đen) - 500ml - 30</v>
      </c>
    </row>
    <row r="5889">
      <c r="A5889" s="86">
        <f>IFERROR(__xludf.DUMMYFUNCTION("""COMPUTED_VALUE"""),5887.0)</f>
        <v>5887</v>
      </c>
      <c r="B5889" s="87" t="str">
        <f>IFERROR(__xludf.DUMMYFUNCTION("""COMPUTED_VALUE"""),"[Nhãn Thùng]")</f>
        <v>[Nhãn Thùng]</v>
      </c>
      <c r="C5889" s="87" t="str">
        <f>IFERROR(__xludf.DUMMYFUNCTION("""COMPUTED_VALUE"""),"NDT4917")</f>
        <v>NDT4917</v>
      </c>
      <c r="D5889" s="87" t="str">
        <f>IFERROR(__xludf.DUMMYFUNCTION("""COMPUTED_VALUE"""),"[Nhãn Thùng] GC - V - 4917 - AGRITECH - NOFARA 35WG (Dạng cốm màu trắng ngà) - 100gr - 100")</f>
        <v>[Nhãn Thùng] GC - V - 4917 - AGRITECH - NOFARA 35WG (Dạng cốm màu trắng ngà) - 100gr - 100</v>
      </c>
      <c r="E5889" s="87" t="str">
        <f>IFERROR(__xludf.DUMMYFUNCTION("""COMPUTED_VALUE"""),"NOFARA 35WG")</f>
        <v>NOFARA 35WG</v>
      </c>
      <c r="F5889" s="87" t="str">
        <f>IFERROR(__xludf.DUMMYFUNCTION("""COMPUTED_VALUE"""),"HH4917")</f>
        <v>HH4917</v>
      </c>
      <c r="G5889" s="87" t="str">
        <f>IFERROR(__xludf.DUMMYFUNCTION("""COMPUTED_VALUE"""),"GC - V - 4917 - AGRITECH - NOFARA 35WG (Dạng cốm màu trắng ngà) - 100gr - 100")</f>
        <v>GC - V - 4917 - AGRITECH - NOFARA 35WG (Dạng cốm màu trắng ngà) - 100gr - 100</v>
      </c>
    </row>
    <row r="5890">
      <c r="A5890" s="86">
        <f>IFERROR(__xludf.DUMMYFUNCTION("""COMPUTED_VALUE"""),5888.0)</f>
        <v>5888</v>
      </c>
      <c r="B5890" s="87" t="str">
        <f>IFERROR(__xludf.DUMMYFUNCTION("""COMPUTED_VALUE"""),"[Nhãn]")</f>
        <v>[Nhãn]</v>
      </c>
      <c r="C5890" s="87" t="str">
        <f>IFERROR(__xludf.DUMMYFUNCTION("""COMPUTED_VALUE"""),"NHG4915")</f>
        <v>NHG4915</v>
      </c>
      <c r="D5890" s="87" t="str">
        <f>IFERROR(__xludf.DUMMYFUNCTION("""COMPUTED_VALUE"""),"[Nhãn] GC - V - 4915 - CTY NGỌC BẢO LONG AGRI - SIÊU RA RỄ (Nước nâu đen) - 500ml - 30")</f>
        <v>[Nhãn] GC - V - 4915 - CTY NGỌC BẢO LONG AGRI - SIÊU RA RỄ (Nước nâu đen) - 500ml - 30</v>
      </c>
      <c r="E5890" s="87" t="str">
        <f>IFERROR(__xludf.DUMMYFUNCTION("""COMPUTED_VALUE"""),"Hỗn Hợp NP AGAMA-AP")</f>
        <v>Hỗn Hợp NP AGAMA-AP</v>
      </c>
      <c r="F5890" s="87" t="str">
        <f>IFERROR(__xludf.DUMMYFUNCTION("""COMPUTED_VALUE"""),"HH4915")</f>
        <v>HH4915</v>
      </c>
      <c r="G5890" s="87" t="str">
        <f>IFERROR(__xludf.DUMMYFUNCTION("""COMPUTED_VALUE"""),"GC - V - 4915 - CTY NGỌC BẢO LONG AGRI - SIÊU RA RỄ (Nước nâu đen) - 500ml - 30")</f>
        <v>GC - V - 4915 - CTY NGỌC BẢO LONG AGRI - SIÊU RA RỄ (Nước nâu đen) - 500ml - 30</v>
      </c>
    </row>
    <row r="5891">
      <c r="A5891" s="86">
        <f>IFERROR(__xludf.DUMMYFUNCTION("""COMPUTED_VALUE"""),5889.0)</f>
        <v>5889</v>
      </c>
      <c r="B5891" s="87" t="str">
        <f>IFERROR(__xludf.DUMMYFUNCTION("""COMPUTED_VALUE"""),"[Nhãn]")</f>
        <v>[Nhãn]</v>
      </c>
      <c r="C5891" s="87" t="str">
        <f>IFERROR(__xludf.DUMMYFUNCTION("""COMPUTED_VALUE"""),"NTN4917")</f>
        <v>NTN4917</v>
      </c>
      <c r="D5891" s="87" t="str">
        <f>IFERROR(__xludf.DUMMYFUNCTION("""COMPUTED_VALUE"""),"[Nhãn] GC - V - 4917 - AGRITECH - NOFARA 35WG (Dạng cốm màu trắng ngà) - 100gr - 100")</f>
        <v>[Nhãn] GC - V - 4917 - AGRITECH - NOFARA 35WG (Dạng cốm màu trắng ngà) - 100gr - 100</v>
      </c>
      <c r="E5891" s="87" t="str">
        <f>IFERROR(__xludf.DUMMYFUNCTION("""COMPUTED_VALUE"""),"NOFARA 35WG")</f>
        <v>NOFARA 35WG</v>
      </c>
      <c r="F5891" s="87" t="str">
        <f>IFERROR(__xludf.DUMMYFUNCTION("""COMPUTED_VALUE"""),"HH4917")</f>
        <v>HH4917</v>
      </c>
      <c r="G5891" s="87" t="str">
        <f>IFERROR(__xludf.DUMMYFUNCTION("""COMPUTED_VALUE"""),"GC - V - 4917 - AGRITECH - NOFARA 35WG (Dạng cốm màu trắng ngà) - 100gr - 100")</f>
        <v>GC - V - 4917 - AGRITECH - NOFARA 35WG (Dạng cốm màu trắng ngà) - 100gr - 100</v>
      </c>
    </row>
    <row r="5892">
      <c r="A5892" s="86">
        <f>IFERROR(__xludf.DUMMYFUNCTION("""COMPUTED_VALUE"""),5890.0)</f>
        <v>5890</v>
      </c>
      <c r="B5892" s="87" t="str">
        <f>IFERROR(__xludf.DUMMYFUNCTION("""COMPUTED_VALUE"""),"[Nhãn]")</f>
        <v>[Nhãn]</v>
      </c>
      <c r="C5892" s="87" t="str">
        <f>IFERROR(__xludf.DUMMYFUNCTION("""COMPUTED_VALUE"""),"NHD4914")</f>
        <v>NHD4914</v>
      </c>
      <c r="D5892" s="87" t="str">
        <f>IFERROR(__xludf.DUMMYFUNCTION("""COMPUTED_VALUE"""),"[Nhãn] IDA Global - I - 4914 - IDA ORGANIC FEED (Nước nâu đen) - 5L - 4")</f>
        <v>[Nhãn] IDA Global - I - 4914 - IDA ORGANIC FEED (Nước nâu đen) - 5L - 4</v>
      </c>
      <c r="E5892" s="87" t="str">
        <f>IFERROR(__xludf.DUMMYFUNCTION("""COMPUTED_VALUE"""),"Hữu cơ SH Agro Organic Fertilizer 20")</f>
        <v>Hữu cơ SH Agro Organic Fertilizer 20</v>
      </c>
      <c r="F5892" s="87" t="str">
        <f>IFERROR(__xludf.DUMMYFUNCTION("""COMPUTED_VALUE"""),"HH4914")</f>
        <v>HH4914</v>
      </c>
      <c r="G5892" s="87" t="str">
        <f>IFERROR(__xludf.DUMMYFUNCTION("""COMPUTED_VALUE"""),"IDA Global - I - 4914 - IDA ORGANIC FEED (Nước nâu đen) - 5L - 4")</f>
        <v>IDA Global - I - 4914 - IDA ORGANIC FEED (Nước nâu đen) - 5L - 4</v>
      </c>
    </row>
    <row r="5893">
      <c r="A5893" s="86">
        <f>IFERROR(__xludf.DUMMYFUNCTION("""COMPUTED_VALUE"""),5891.0)</f>
        <v>5891</v>
      </c>
      <c r="B5893" s="87" t="str">
        <f>IFERROR(__xludf.DUMMYFUNCTION("""COMPUTED_VALUE"""),"[Nhãn]")</f>
        <v>[Nhãn]</v>
      </c>
      <c r="C5893" s="87" t="str">
        <f>IFERROR(__xludf.DUMMYFUNCTION("""COMPUTED_VALUE"""),"NTN4918")</f>
        <v>NTN4918</v>
      </c>
      <c r="D5893" s="87" t="str">
        <f>IFERROR(__xludf.DUMMYFUNCTION("""COMPUTED_VALUE"""),"[Nhãn] GC - V - 4918 - HÓA NÔNG SHINO - BIM USA (Bột cam) - 100gr - 100")</f>
        <v>[Nhãn] GC - V - 4918 - HÓA NÔNG SHINO - BIM USA (Bột cam) - 100gr - 100</v>
      </c>
      <c r="E5893" s="87" t="str">
        <f>IFERROR(__xludf.DUMMYFUNCTION("""COMPUTED_VALUE"""),"NOFADA 822WP")</f>
        <v>NOFADA 822WP</v>
      </c>
      <c r="F5893" s="87" t="str">
        <f>IFERROR(__xludf.DUMMYFUNCTION("""COMPUTED_VALUE"""),"HH4918")</f>
        <v>HH4918</v>
      </c>
      <c r="G5893" s="87" t="str">
        <f>IFERROR(__xludf.DUMMYFUNCTION("""COMPUTED_VALUE"""),"GC - V - 4918 - HÓA NÔNG SHINO - BIM USA (Bột cam) - 100gr - 100")</f>
        <v>GC - V - 4918 - HÓA NÔNG SHINO - BIM USA (Bột cam) - 100gr - 100</v>
      </c>
    </row>
    <row r="5894">
      <c r="A5894" s="86">
        <f>IFERROR(__xludf.DUMMYFUNCTION("""COMPUTED_VALUE"""),5892.0)</f>
        <v>5892</v>
      </c>
      <c r="B5894" s="87" t="str">
        <f>IFERROR(__xludf.DUMMYFUNCTION("""COMPUTED_VALUE"""),"[Nhãn]")</f>
        <v>[Nhãn]</v>
      </c>
      <c r="C5894" s="87" t="str">
        <f>IFERROR(__xludf.DUMMYFUNCTION("""COMPUTED_VALUE"""),"NTN4919")</f>
        <v>NTN4919</v>
      </c>
      <c r="D5894" s="87" t="str">
        <f>IFERROR(__xludf.DUMMYFUNCTION("""COMPUTED_VALUE"""),"[Nhãn] GC - V - 4919 - CSSX An Khang (A.Dinh) - TAK12 (Bột màu trắng) - 1kg - 20")</f>
        <v>[Nhãn] GC - V - 4919 - CSSX An Khang (A.Dinh) - TAK12 (Bột màu trắng) - 1kg - 20</v>
      </c>
      <c r="E5894" s="87" t="str">
        <f>IFERROR(__xludf.DUMMYFUNCTION("""COMPUTED_VALUE"""),"Hỗn Hợp NPK NPK 10-60-10 NNV")</f>
        <v>Hỗn Hợp NPK NPK 10-60-10 NNV</v>
      </c>
      <c r="F5894" s="87" t="str">
        <f>IFERROR(__xludf.DUMMYFUNCTION("""COMPUTED_VALUE"""),"HH4919")</f>
        <v>HH4919</v>
      </c>
      <c r="G5894" s="87" t="str">
        <f>IFERROR(__xludf.DUMMYFUNCTION("""COMPUTED_VALUE"""),"GC - V - 4919 - CSSX An Khang (A.Dinh) - TAK12 (Bột màu trắng) - 1kg - 20")</f>
        <v>GC - V - 4919 - CSSX An Khang (A.Dinh) - TAK12 (Bột màu trắng) - 1kg - 20</v>
      </c>
    </row>
    <row r="5895">
      <c r="A5895" s="86">
        <f>IFERROR(__xludf.DUMMYFUNCTION("""COMPUTED_VALUE"""),5893.0)</f>
        <v>5893</v>
      </c>
      <c r="B5895" s="87" t="str">
        <f>IFERROR(__xludf.DUMMYFUNCTION("""COMPUTED_VALUE"""),"[Nhãn]")</f>
        <v>[Nhãn]</v>
      </c>
      <c r="C5895" s="87" t="str">
        <f>IFERROR(__xludf.DUMMYFUNCTION("""COMPUTED_VALUE"""),"NTN4914")</f>
        <v>NTN4914</v>
      </c>
      <c r="D5895" s="87" t="str">
        <f>IFERROR(__xludf.DUMMYFUNCTION("""COMPUTED_VALUE"""),"[Nhãn] IDA Global - I - 4914 - IDA ORGANIC FEED (Nước nâu đen) - 5L - 4")</f>
        <v>[Nhãn] IDA Global - I - 4914 - IDA ORGANIC FEED (Nước nâu đen) - 5L - 4</v>
      </c>
      <c r="E5895" s="87" t="str">
        <f>IFERROR(__xludf.DUMMYFUNCTION("""COMPUTED_VALUE"""),"Hữu cơ SH Agro Organic Fertilizer 20")</f>
        <v>Hữu cơ SH Agro Organic Fertilizer 20</v>
      </c>
      <c r="F5895" s="87" t="str">
        <f>IFERROR(__xludf.DUMMYFUNCTION("""COMPUTED_VALUE"""),"HH4914")</f>
        <v>HH4914</v>
      </c>
      <c r="G5895" s="87" t="str">
        <f>IFERROR(__xludf.DUMMYFUNCTION("""COMPUTED_VALUE"""),"IDA Global - I - 4914 - IDA ORGANIC FEED (Nước nâu đen) - 5L - 4")</f>
        <v>IDA Global - I - 4914 - IDA ORGANIC FEED (Nước nâu đen) - 5L - 4</v>
      </c>
    </row>
    <row r="5896">
      <c r="A5896" s="86">
        <f>IFERROR(__xludf.DUMMYFUNCTION("""COMPUTED_VALUE"""),5894.0)</f>
        <v>5894</v>
      </c>
      <c r="B5896" s="87" t="str">
        <f>IFERROR(__xludf.DUMMYFUNCTION("""COMPUTED_VALUE"""),"[Nhãn]")</f>
        <v>[Nhãn]</v>
      </c>
      <c r="C5896" s="87" t="str">
        <f>IFERROR(__xludf.DUMMYFUNCTION("""COMPUTED_VALUE"""),"NTN4918")</f>
        <v>NTN4918</v>
      </c>
      <c r="D5896" s="87" t="str">
        <f>IFERROR(__xludf.DUMMYFUNCTION("""COMPUTED_VALUE"""),"[Nhãn] GC - V - 4918 - HÓA NÔNG SHINO - BIM USA (Bột cam) - 100gr - 100")</f>
        <v>[Nhãn] GC - V - 4918 - HÓA NÔNG SHINO - BIM USA (Bột cam) - 100gr - 100</v>
      </c>
      <c r="E5896" s="87" t="str">
        <f>IFERROR(__xludf.DUMMYFUNCTION("""COMPUTED_VALUE"""),"NOFADA 822WP")</f>
        <v>NOFADA 822WP</v>
      </c>
      <c r="F5896" s="87" t="str">
        <f>IFERROR(__xludf.DUMMYFUNCTION("""COMPUTED_VALUE"""),"HH4918")</f>
        <v>HH4918</v>
      </c>
      <c r="G5896" s="87" t="str">
        <f>IFERROR(__xludf.DUMMYFUNCTION("""COMPUTED_VALUE"""),"GC - V - 4918 - HÓA NÔNG SHINO - BIM USA (Bột cam) - 100gr - 100")</f>
        <v>GC - V - 4918 - HÓA NÔNG SHINO - BIM USA (Bột cam) - 100gr - 100</v>
      </c>
    </row>
    <row r="5897">
      <c r="A5897" s="86">
        <f>IFERROR(__xludf.DUMMYFUNCTION("""COMPUTED_VALUE"""),5895.0)</f>
        <v>5895</v>
      </c>
      <c r="B5897" s="87" t="str">
        <f>IFERROR(__xludf.DUMMYFUNCTION("""COMPUTED_VALUE"""),"[Nhãn]")</f>
        <v>[Nhãn]</v>
      </c>
      <c r="C5897" s="87" t="str">
        <f>IFERROR(__xludf.DUMMYFUNCTION("""COMPUTED_VALUE"""),"NTN4919")</f>
        <v>NTN4919</v>
      </c>
      <c r="D5897" s="87" t="str">
        <f>IFERROR(__xludf.DUMMYFUNCTION("""COMPUTED_VALUE"""),"[Nhãn] GC - V - 4919 - CSSX An Khang (A.Dinh) - TAK12 (Bột màu trắng) - 1kg - 20")</f>
        <v>[Nhãn] GC - V - 4919 - CSSX An Khang (A.Dinh) - TAK12 (Bột màu trắng) - 1kg - 20</v>
      </c>
      <c r="E5897" s="87" t="str">
        <f>IFERROR(__xludf.DUMMYFUNCTION("""COMPUTED_VALUE"""),"Hỗn Hợp NPK NPK 10-60-10 NNV")</f>
        <v>Hỗn Hợp NPK NPK 10-60-10 NNV</v>
      </c>
      <c r="F5897" s="87" t="str">
        <f>IFERROR(__xludf.DUMMYFUNCTION("""COMPUTED_VALUE"""),"HH4919")</f>
        <v>HH4919</v>
      </c>
      <c r="G5897" s="87" t="str">
        <f>IFERROR(__xludf.DUMMYFUNCTION("""COMPUTED_VALUE"""),"GC - V - 4919 - CSSX An Khang (A.Dinh) - TAK12 (Bột màu trắng) - 1kg - 20")</f>
        <v>GC - V - 4919 - CSSX An Khang (A.Dinh) - TAK12 (Bột màu trắng) - 1kg - 20</v>
      </c>
    </row>
    <row r="5898">
      <c r="A5898" s="86">
        <f>IFERROR(__xludf.DUMMYFUNCTION("""COMPUTED_VALUE"""),5896.0)</f>
        <v>5896</v>
      </c>
      <c r="B5898" s="87" t="str">
        <f>IFERROR(__xludf.DUMMYFUNCTION("""COMPUTED_VALUE"""),"[Nhãn]")</f>
        <v>[Nhãn]</v>
      </c>
      <c r="C5898" s="87" t="str">
        <f>IFERROR(__xludf.DUMMYFUNCTION("""COMPUTED_VALUE"""),"NHG4911")</f>
        <v>NHG4911</v>
      </c>
      <c r="D5898" s="87" t="str">
        <f>IFERROR(__xludf.DUMMYFUNCTION("""COMPUTED_VALUE"""),"[Nhãn] GC - V - 4911 - WINDY ALS - 10-60-10 (Bột màu trắng) - 500gr - 24")</f>
        <v>[Nhãn] GC - V - 4911 - WINDY ALS - 10-60-10 (Bột màu trắng) - 500gr - 24</v>
      </c>
      <c r="E5898" s="87" t="str">
        <f>IFERROR(__xludf.DUMMYFUNCTION("""COMPUTED_VALUE"""),"Hỗn Hợp NPK NPK 10-60-10 NNV")</f>
        <v>Hỗn Hợp NPK NPK 10-60-10 NNV</v>
      </c>
      <c r="F5898" s="87" t="str">
        <f>IFERROR(__xludf.DUMMYFUNCTION("""COMPUTED_VALUE"""),"HH4911")</f>
        <v>HH4911</v>
      </c>
      <c r="G5898" s="87" t="str">
        <f>IFERROR(__xludf.DUMMYFUNCTION("""COMPUTED_VALUE"""),"GC - V - 4911 - WINDY ALS - 10-60-10 (Bột màu trắng) - 500gr - 24")</f>
        <v>GC - V - 4911 - WINDY ALS - 10-60-10 (Bột màu trắng) - 500gr - 24</v>
      </c>
    </row>
    <row r="5899">
      <c r="A5899" s="86">
        <f>IFERROR(__xludf.DUMMYFUNCTION("""COMPUTED_VALUE"""),5897.0)</f>
        <v>5897</v>
      </c>
      <c r="B5899" s="87" t="str">
        <f>IFERROR(__xludf.DUMMYFUNCTION("""COMPUTED_VALUE"""),"[Nhãn]")</f>
        <v>[Nhãn]</v>
      </c>
      <c r="C5899" s="87" t="str">
        <f>IFERROR(__xludf.DUMMYFUNCTION("""COMPUTED_VALUE"""),"NTN4913")</f>
        <v>NTN4913</v>
      </c>
      <c r="D5899" s="87" t="str">
        <f>IFERROR(__xludf.DUMMYFUNCTION("""COMPUTED_VALUE"""),"[Nhãn] IDA Global - I - 4913 - IDA 10-60-10 (Bột màu trắng) - 1kg - 20")</f>
        <v>[Nhãn] IDA Global - I - 4913 - IDA 10-60-10 (Bột màu trắng) - 1kg - 20</v>
      </c>
      <c r="E5899" s="87" t="str">
        <f>IFERROR(__xludf.DUMMYFUNCTION("""COMPUTED_VALUE"""),"Hỗn Hợp NPK NPK 10-60-10 NNV")</f>
        <v>Hỗn Hợp NPK NPK 10-60-10 NNV</v>
      </c>
      <c r="F5899" s="87" t="str">
        <f>IFERROR(__xludf.DUMMYFUNCTION("""COMPUTED_VALUE"""),"HH4913")</f>
        <v>HH4913</v>
      </c>
      <c r="G5899" s="87" t="str">
        <f>IFERROR(__xludf.DUMMYFUNCTION("""COMPUTED_VALUE"""),"IDA Global - I - 4913 - IDA 10-60-10 (Bột màu trắng) - 1kg - 20")</f>
        <v>IDA Global - I - 4913 - IDA 10-60-10 (Bột màu trắng) - 1kg - 20</v>
      </c>
    </row>
    <row r="5900">
      <c r="A5900" s="86">
        <f>IFERROR(__xludf.DUMMYFUNCTION("""COMPUTED_VALUE"""),5898.0)</f>
        <v>5898</v>
      </c>
      <c r="B5900" s="87" t="str">
        <f>IFERROR(__xludf.DUMMYFUNCTION("""COMPUTED_VALUE"""),"[Nhãn]")</f>
        <v>[Nhãn]</v>
      </c>
      <c r="C5900" s="87" t="str">
        <f>IFERROR(__xludf.DUMMYFUNCTION("""COMPUTED_VALUE"""),"NTN4912")</f>
        <v>NTN4912</v>
      </c>
      <c r="D5900" s="87" t="str">
        <f>IFERROR(__xludf.DUMMYFUNCTION("""COMPUTED_VALUE"""),"[Nhãn] IDA Global - I - 4912 - WINNER (Bột trắng hồng) - 50gr - 300")</f>
        <v>[Nhãn] IDA Global - I - 4912 - WINNER (Bột trắng hồng) - 50gr - 300</v>
      </c>
      <c r="E5900" s="87" t="str">
        <f>IFERROR(__xludf.DUMMYFUNCTION("""COMPUTED_VALUE"""),"Lá Hỗn Hợp NPK GNC 115 NPK 7-5-44")</f>
        <v>Lá Hỗn Hợp NPK GNC 115 NPK 7-5-44</v>
      </c>
      <c r="F5900" s="87" t="str">
        <f>IFERROR(__xludf.DUMMYFUNCTION("""COMPUTED_VALUE"""),"HH4912")</f>
        <v>HH4912</v>
      </c>
      <c r="G5900" s="87" t="str">
        <f>IFERROR(__xludf.DUMMYFUNCTION("""COMPUTED_VALUE"""),"IDA Global - I - 4912 - WINNER (Bột trắng hồng) - 50gr - 300")</f>
        <v>IDA Global - I - 4912 - WINNER (Bột trắng hồng) - 50gr - 300</v>
      </c>
    </row>
    <row r="5901">
      <c r="A5901" s="86">
        <f>IFERROR(__xludf.DUMMYFUNCTION("""COMPUTED_VALUE"""),5899.0)</f>
        <v>5899</v>
      </c>
      <c r="B5901" s="87" t="str">
        <f>IFERROR(__xludf.DUMMYFUNCTION("""COMPUTED_VALUE"""),"[Nhãn Thùng]")</f>
        <v>[Nhãn Thùng]</v>
      </c>
      <c r="C5901" s="87" t="str">
        <f>IFERROR(__xludf.DUMMYFUNCTION("""COMPUTED_VALUE"""),"NDT4914")</f>
        <v>NDT4914</v>
      </c>
      <c r="D5901" s="87" t="str">
        <f>IFERROR(__xludf.DUMMYFUNCTION("""COMPUTED_VALUE"""),"[Nhãn Thùng] IDA Global - I - 4914 - IDA ORGANIC FEED (Nước nâu đen) - 5L - 4")</f>
        <v>[Nhãn Thùng] IDA Global - I - 4914 - IDA ORGANIC FEED (Nước nâu đen) - 5L - 4</v>
      </c>
      <c r="E5901" s="87" t="str">
        <f>IFERROR(__xludf.DUMMYFUNCTION("""COMPUTED_VALUE"""),"Hữu cơ SH Agro Organic Fertilizer 20")</f>
        <v>Hữu cơ SH Agro Organic Fertilizer 20</v>
      </c>
      <c r="F5901" s="87" t="str">
        <f>IFERROR(__xludf.DUMMYFUNCTION("""COMPUTED_VALUE"""),"HH4914")</f>
        <v>HH4914</v>
      </c>
      <c r="G5901" s="87" t="str">
        <f>IFERROR(__xludf.DUMMYFUNCTION("""COMPUTED_VALUE"""),"IDA Global - I - 4914 - IDA ORGANIC FEED (Nước nâu đen) - 5L - 4")</f>
        <v>IDA Global - I - 4914 - IDA ORGANIC FEED (Nước nâu đen) - 5L - 4</v>
      </c>
    </row>
    <row r="5902">
      <c r="A5902" s="86">
        <f>IFERROR(__xludf.DUMMYFUNCTION("""COMPUTED_VALUE"""),5900.0)</f>
        <v>5900</v>
      </c>
      <c r="B5902" s="87" t="str">
        <f>IFERROR(__xludf.DUMMYFUNCTION("""COMPUTED_VALUE"""),"[Nhãn Thùng]")</f>
        <v>[Nhãn Thùng]</v>
      </c>
      <c r="C5902" s="87" t="str">
        <f>IFERROR(__xludf.DUMMYFUNCTION("""COMPUTED_VALUE"""),"NDT4918")</f>
        <v>NDT4918</v>
      </c>
      <c r="D5902" s="87" t="str">
        <f>IFERROR(__xludf.DUMMYFUNCTION("""COMPUTED_VALUE"""),"[Nhãn Thùng] GC - V - 4918 - HÓA NÔNG SHINO - BIM USA (Bột cam) - 100gr - 100")</f>
        <v>[Nhãn Thùng] GC - V - 4918 - HÓA NÔNG SHINO - BIM USA (Bột cam) - 100gr - 100</v>
      </c>
      <c r="E5902" s="87" t="str">
        <f>IFERROR(__xludf.DUMMYFUNCTION("""COMPUTED_VALUE"""),"NOFADA 822WP")</f>
        <v>NOFADA 822WP</v>
      </c>
      <c r="F5902" s="87" t="str">
        <f>IFERROR(__xludf.DUMMYFUNCTION("""COMPUTED_VALUE"""),"HH4918")</f>
        <v>HH4918</v>
      </c>
      <c r="G5902" s="87" t="str">
        <f>IFERROR(__xludf.DUMMYFUNCTION("""COMPUTED_VALUE"""),"GC - V - 4918 - HÓA NÔNG SHINO - BIM USA (Bột cam) - 100gr - 100")</f>
        <v>GC - V - 4918 - HÓA NÔNG SHINO - BIM USA (Bột cam) - 100gr - 100</v>
      </c>
    </row>
    <row r="5903">
      <c r="A5903" s="86">
        <f>IFERROR(__xludf.DUMMYFUNCTION("""COMPUTED_VALUE"""),5901.0)</f>
        <v>5901</v>
      </c>
      <c r="B5903" s="87" t="str">
        <f>IFERROR(__xludf.DUMMYFUNCTION("""COMPUTED_VALUE"""),"[Nhãn Thùng]")</f>
        <v>[Nhãn Thùng]</v>
      </c>
      <c r="C5903" s="87" t="str">
        <f>IFERROR(__xludf.DUMMYFUNCTION("""COMPUTED_VALUE"""),"NDT4919")</f>
        <v>NDT4919</v>
      </c>
      <c r="D5903" s="87" t="str">
        <f>IFERROR(__xludf.DUMMYFUNCTION("""COMPUTED_VALUE"""),"[Nhãn Thùng] GC - V - 4919 - CSSX An Khang (A.Dinh) - TAK12 (Bột màu trắng) - 1kg - 20")</f>
        <v>[Nhãn Thùng] GC - V - 4919 - CSSX An Khang (A.Dinh) - TAK12 (Bột màu trắng) - 1kg - 20</v>
      </c>
      <c r="E5903" s="87" t="str">
        <f>IFERROR(__xludf.DUMMYFUNCTION("""COMPUTED_VALUE"""),"Hỗn Hợp NPK NPK 10-60-10 NNV")</f>
        <v>Hỗn Hợp NPK NPK 10-60-10 NNV</v>
      </c>
      <c r="F5903" s="87" t="str">
        <f>IFERROR(__xludf.DUMMYFUNCTION("""COMPUTED_VALUE"""),"HH4919")</f>
        <v>HH4919</v>
      </c>
      <c r="G5903" s="87" t="str">
        <f>IFERROR(__xludf.DUMMYFUNCTION("""COMPUTED_VALUE"""),"GC - V - 4919 - CSSX An Khang (A.Dinh) - TAK12 (Bột màu trắng) - 1kg - 20")</f>
        <v>GC - V - 4919 - CSSX An Khang (A.Dinh) - TAK12 (Bột màu trắng) - 1kg - 20</v>
      </c>
    </row>
    <row r="5904">
      <c r="A5904" s="86">
        <f>IFERROR(__xludf.DUMMYFUNCTION("""COMPUTED_VALUE"""),5902.0)</f>
        <v>5902</v>
      </c>
      <c r="B5904" s="87" t="str">
        <f>IFERROR(__xludf.DUMMYFUNCTION("""COMPUTED_VALUE"""),"[Nhãn Thùng]")</f>
        <v>[Nhãn Thùng]</v>
      </c>
      <c r="C5904" s="87" t="str">
        <f>IFERROR(__xludf.DUMMYFUNCTION("""COMPUTED_VALUE"""),"NDT4911")</f>
        <v>NDT4911</v>
      </c>
      <c r="D5904" s="87" t="str">
        <f>IFERROR(__xludf.DUMMYFUNCTION("""COMPUTED_VALUE"""),"[Nhãn Thùng] GC - V - 4911 - WINDY ALS - 10-60-10 (Bột màu trắng) - 500gr - 24")</f>
        <v>[Nhãn Thùng] GC - V - 4911 - WINDY ALS - 10-60-10 (Bột màu trắng) - 500gr - 24</v>
      </c>
      <c r="E5904" s="87" t="str">
        <f>IFERROR(__xludf.DUMMYFUNCTION("""COMPUTED_VALUE"""),"Hỗn Hợp NPK NPK 10-60-10 NNV")</f>
        <v>Hỗn Hợp NPK NPK 10-60-10 NNV</v>
      </c>
      <c r="F5904" s="87" t="str">
        <f>IFERROR(__xludf.DUMMYFUNCTION("""COMPUTED_VALUE"""),"HH4911")</f>
        <v>HH4911</v>
      </c>
      <c r="G5904" s="87" t="str">
        <f>IFERROR(__xludf.DUMMYFUNCTION("""COMPUTED_VALUE"""),"GC - V - 4911 - WINDY ALS - 10-60-10 (Bột màu trắng) - 500gr - 24")</f>
        <v>GC - V - 4911 - WINDY ALS - 10-60-10 (Bột màu trắng) - 500gr - 24</v>
      </c>
    </row>
    <row r="5905">
      <c r="A5905" s="86">
        <f>IFERROR(__xludf.DUMMYFUNCTION("""COMPUTED_VALUE"""),5903.0)</f>
        <v>5903</v>
      </c>
      <c r="B5905" s="87" t="str">
        <f>IFERROR(__xludf.DUMMYFUNCTION("""COMPUTED_VALUE"""),"[Nhãn Thùng]")</f>
        <v>[Nhãn Thùng]</v>
      </c>
      <c r="C5905" s="87" t="str">
        <f>IFERROR(__xludf.DUMMYFUNCTION("""COMPUTED_VALUE"""),"NDT4913")</f>
        <v>NDT4913</v>
      </c>
      <c r="D5905" s="87" t="str">
        <f>IFERROR(__xludf.DUMMYFUNCTION("""COMPUTED_VALUE"""),"[Nhãn Thùng] IDA Global - I - 4913 - IDA 10-60-10 (Bột màu trắng) - 1kg - 20")</f>
        <v>[Nhãn Thùng] IDA Global - I - 4913 - IDA 10-60-10 (Bột màu trắng) - 1kg - 20</v>
      </c>
      <c r="E5905" s="87" t="str">
        <f>IFERROR(__xludf.DUMMYFUNCTION("""COMPUTED_VALUE"""),"Hỗn Hợp NPK NPK 10-60-10 NNV")</f>
        <v>Hỗn Hợp NPK NPK 10-60-10 NNV</v>
      </c>
      <c r="F5905" s="87" t="str">
        <f>IFERROR(__xludf.DUMMYFUNCTION("""COMPUTED_VALUE"""),"HH4913")</f>
        <v>HH4913</v>
      </c>
      <c r="G5905" s="87" t="str">
        <f>IFERROR(__xludf.DUMMYFUNCTION("""COMPUTED_VALUE"""),"IDA Global - I - 4913 - IDA 10-60-10 (Bột màu trắng) - 1kg - 20")</f>
        <v>IDA Global - I - 4913 - IDA 10-60-10 (Bột màu trắng) - 1kg - 20</v>
      </c>
    </row>
    <row r="5906">
      <c r="A5906" s="86">
        <f>IFERROR(__xludf.DUMMYFUNCTION("""COMPUTED_VALUE"""),5904.0)</f>
        <v>5904</v>
      </c>
      <c r="B5906" s="87" t="str">
        <f>IFERROR(__xludf.DUMMYFUNCTION("""COMPUTED_VALUE"""),"[Nhãn Thùng]")</f>
        <v>[Nhãn Thùng]</v>
      </c>
      <c r="C5906" s="87" t="str">
        <f>IFERROR(__xludf.DUMMYFUNCTION("""COMPUTED_VALUE"""),"NDT4912")</f>
        <v>NDT4912</v>
      </c>
      <c r="D5906" s="87" t="str">
        <f>IFERROR(__xludf.DUMMYFUNCTION("""COMPUTED_VALUE"""),"[Nhãn Thùng] IDA Global - I - 4912 - WINNER (Bột trắng hồng) - 50gr - 300")</f>
        <v>[Nhãn Thùng] IDA Global - I - 4912 - WINNER (Bột trắng hồng) - 50gr - 300</v>
      </c>
      <c r="E5906" s="87" t="str">
        <f>IFERROR(__xludf.DUMMYFUNCTION("""COMPUTED_VALUE"""),"Lá Hỗn Hợp NPK GNC 115 NPK 7-5-44")</f>
        <v>Lá Hỗn Hợp NPK GNC 115 NPK 7-5-44</v>
      </c>
      <c r="F5906" s="87" t="str">
        <f>IFERROR(__xludf.DUMMYFUNCTION("""COMPUTED_VALUE"""),"HH4912")</f>
        <v>HH4912</v>
      </c>
      <c r="G5906" s="87" t="str">
        <f>IFERROR(__xludf.DUMMYFUNCTION("""COMPUTED_VALUE"""),"IDA Global - I - 4912 - WINNER (Bột trắng hồng) - 50gr - 300")</f>
        <v>IDA Global - I - 4912 - WINNER (Bột trắng hồng) - 50gr - 300</v>
      </c>
    </row>
    <row r="5907">
      <c r="A5907" s="86">
        <f>IFERROR(__xludf.DUMMYFUNCTION("""COMPUTED_VALUE"""),5905.0)</f>
        <v>5905</v>
      </c>
      <c r="B5907" s="87" t="str">
        <f>IFERROR(__xludf.DUMMYFUNCTION("""COMPUTED_VALUE"""),"[Nhãn]")</f>
        <v>[Nhãn]</v>
      </c>
      <c r="C5907" s="87" t="str">
        <f>IFERROR(__xludf.DUMMYFUNCTION("""COMPUTED_VALUE"""),"NTN4922")</f>
        <v>NTN4922</v>
      </c>
      <c r="D5907" s="87" t="str">
        <f>IFERROR(__xludf.DUMMYFUNCTION("""COMPUTED_VALUE"""),"[Nhãn] GC - V - 4922 - CTY R3 - THIAMAX 35 (Dạng cốm màu trắng ngà) - 100gr - 100")</f>
        <v>[Nhãn] GC - V - 4922 - CTY R3 - THIAMAX 35 (Dạng cốm màu trắng ngà) - 100gr - 100</v>
      </c>
      <c r="E5907" s="87" t="str">
        <f>IFERROR(__xludf.DUMMYFUNCTION("""COMPUTED_VALUE"""),"NOFARA 35WG")</f>
        <v>NOFARA 35WG</v>
      </c>
      <c r="F5907" s="87" t="str">
        <f>IFERROR(__xludf.DUMMYFUNCTION("""COMPUTED_VALUE"""),"HH4922")</f>
        <v>HH4922</v>
      </c>
      <c r="G5907" s="87" t="str">
        <f>IFERROR(__xludf.DUMMYFUNCTION("""COMPUTED_VALUE"""),"GC - V - 4922 - CTY R3 - THIAMAX 35 (Dạng cốm màu trắng ngà) - 100gr - 100")</f>
        <v>GC - V - 4922 - CTY R3 - THIAMAX 35 (Dạng cốm màu trắng ngà) - 100gr - 100</v>
      </c>
    </row>
    <row r="5908">
      <c r="A5908" s="86">
        <f>IFERROR(__xludf.DUMMYFUNCTION("""COMPUTED_VALUE"""),5906.0)</f>
        <v>5906</v>
      </c>
      <c r="B5908" s="87" t="str">
        <f>IFERROR(__xludf.DUMMYFUNCTION("""COMPUTED_VALUE"""),"[Nhãn Thùng]")</f>
        <v>[Nhãn Thùng]</v>
      </c>
      <c r="C5908" s="87" t="str">
        <f>IFERROR(__xludf.DUMMYFUNCTION("""COMPUTED_VALUE"""),"NDT4922")</f>
        <v>NDT4922</v>
      </c>
      <c r="D5908" s="87" t="str">
        <f>IFERROR(__xludf.DUMMYFUNCTION("""COMPUTED_VALUE"""),"[Nhãn Thùng] GC - V - 4922 - CTY R3 - THIAMAX 35 (Dạng cốm màu trắng ngà) - 100gr - 100")</f>
        <v>[Nhãn Thùng] GC - V - 4922 - CTY R3 - THIAMAX 35 (Dạng cốm màu trắng ngà) - 100gr - 100</v>
      </c>
      <c r="E5908" s="87" t="str">
        <f>IFERROR(__xludf.DUMMYFUNCTION("""COMPUTED_VALUE"""),"NOFARA 35WG")</f>
        <v>NOFARA 35WG</v>
      </c>
      <c r="F5908" s="87" t="str">
        <f>IFERROR(__xludf.DUMMYFUNCTION("""COMPUTED_VALUE"""),"HH4922")</f>
        <v>HH4922</v>
      </c>
      <c r="G5908" s="87" t="str">
        <f>IFERROR(__xludf.DUMMYFUNCTION("""COMPUTED_VALUE"""),"GC - V - 4922 - CTY R3 - THIAMAX 35 (Dạng cốm màu trắng ngà) - 100gr - 100")</f>
        <v>GC - V - 4922 - CTY R3 - THIAMAX 35 (Dạng cốm màu trắng ngà) - 100gr - 100</v>
      </c>
    </row>
    <row r="5909">
      <c r="A5909" s="86">
        <f>IFERROR(__xludf.DUMMYFUNCTION("""COMPUTED_VALUE"""),5907.0)</f>
        <v>5907</v>
      </c>
      <c r="B5909" s="87" t="str">
        <f>IFERROR(__xludf.DUMMYFUNCTION("""COMPUTED_VALUE"""),"[Nhãn]")</f>
        <v>[Nhãn]</v>
      </c>
      <c r="C5909" s="87" t="str">
        <f>IFERROR(__xludf.DUMMYFUNCTION("""COMPUTED_VALUE"""),"NHG4925")</f>
        <v>NHG4925</v>
      </c>
      <c r="D5909" s="87" t="str">
        <f>IFERROR(__xludf.DUMMYFUNCTION("""COMPUTED_VALUE"""),"[Nhãn] LOT IDA - I - 4925 - CHITIN 3.6EC (nước nâu đen) - 450ml - 40")</f>
        <v>[Nhãn] LOT IDA - I - 4925 - CHITIN 3.6EC (nước nâu đen) - 450ml - 40</v>
      </c>
      <c r="E5909" s="87" t="str">
        <f>IFERROR(__xludf.DUMMYFUNCTION("""COMPUTED_VALUE"""),"Chitin 3.6EC")</f>
        <v>Chitin 3.6EC</v>
      </c>
      <c r="F5909" s="87" t="str">
        <f>IFERROR(__xludf.DUMMYFUNCTION("""COMPUTED_VALUE"""),"HH4925")</f>
        <v>HH4925</v>
      </c>
      <c r="G5909" s="87" t="str">
        <f>IFERROR(__xludf.DUMMYFUNCTION("""COMPUTED_VALUE"""),"LOT IDA - I - 4925 - CHITIN 3.6EC (nước nâu đen) - 450ml - 40")</f>
        <v>LOT IDA - I - 4925 - CHITIN 3.6EC (nước nâu đen) - 450ml - 40</v>
      </c>
    </row>
    <row r="5910">
      <c r="A5910" s="86">
        <f>IFERROR(__xludf.DUMMYFUNCTION("""COMPUTED_VALUE"""),5908.0)</f>
        <v>5908</v>
      </c>
      <c r="B5910" s="87" t="str">
        <f>IFERROR(__xludf.DUMMYFUNCTION("""COMPUTED_VALUE"""),"[Nhãn]")</f>
        <v>[Nhãn]</v>
      </c>
      <c r="C5910" s="87" t="str">
        <f>IFERROR(__xludf.DUMMYFUNCTION("""COMPUTED_VALUE"""),"NHG4926")</f>
        <v>NHG4926</v>
      </c>
      <c r="D5910" s="87" t="str">
        <f>IFERROR(__xludf.DUMMYFUNCTION("""COMPUTED_VALUE"""),"[Nhãn] LOT IDA - I - 4926 - CHITIN 3.6EC MỚI (nước nâu đen) - 450ml - 40")</f>
        <v>[Nhãn] LOT IDA - I - 4926 - CHITIN 3.6EC MỚI (nước nâu đen) - 450ml - 40</v>
      </c>
      <c r="E5910" s="87" t="str">
        <f>IFERROR(__xludf.DUMMYFUNCTION("""COMPUTED_VALUE"""),"Chitin 3.6EC")</f>
        <v>Chitin 3.6EC</v>
      </c>
      <c r="F5910" s="87" t="str">
        <f>IFERROR(__xludf.DUMMYFUNCTION("""COMPUTED_VALUE"""),"HH4926")</f>
        <v>HH4926</v>
      </c>
      <c r="G5910" s="87" t="str">
        <f>IFERROR(__xludf.DUMMYFUNCTION("""COMPUTED_VALUE"""),"LOT IDA - I - 4926 - CHITIN 3.6EC MỚI (nước nâu đen) - 450ml - 40")</f>
        <v>LOT IDA - I - 4926 - CHITIN 3.6EC MỚI (nước nâu đen) - 450ml - 40</v>
      </c>
    </row>
    <row r="5911">
      <c r="A5911" s="86">
        <f>IFERROR(__xludf.DUMMYFUNCTION("""COMPUTED_VALUE"""),5909.0)</f>
        <v>5909</v>
      </c>
      <c r="B5911" s="87" t="str">
        <f>IFERROR(__xludf.DUMMYFUNCTION("""COMPUTED_VALUE"""),"[Nhãn]")</f>
        <v>[Nhãn]</v>
      </c>
      <c r="C5911" s="87" t="str">
        <f>IFERROR(__xludf.DUMMYFUNCTION("""COMPUTED_VALUE"""),"NHG4927")</f>
        <v>NHG4927</v>
      </c>
      <c r="D5911" s="87" t="str">
        <f>IFERROR(__xludf.DUMMYFUNCTION("""COMPUTED_VALUE"""),"[Nhãn] LOT IDA - I - 4927 - HAIHAMEC 3.6C (AG1) (Nước nâu đen) - 450ml - 40")</f>
        <v>[Nhãn] LOT IDA - I - 4927 - HAIHAMEC 3.6C (AG1) (Nước nâu đen) - 450ml - 40</v>
      </c>
      <c r="E5911" s="87" t="str">
        <f>IFERROR(__xludf.DUMMYFUNCTION("""COMPUTED_VALUE"""),"HAIHAMEC 3.6EC")</f>
        <v>HAIHAMEC 3.6EC</v>
      </c>
      <c r="F5911" s="87" t="str">
        <f>IFERROR(__xludf.DUMMYFUNCTION("""COMPUTED_VALUE"""),"HH4927")</f>
        <v>HH4927</v>
      </c>
      <c r="G5911" s="87" t="str">
        <f>IFERROR(__xludf.DUMMYFUNCTION("""COMPUTED_VALUE"""),"LOT IDA - I - 4927 - HAIHAMEC 3.6C (AG1) (Nước nâu đen) - 450ml - 40")</f>
        <v>LOT IDA - I - 4927 - HAIHAMEC 3.6C (AG1) (Nước nâu đen) - 450ml - 40</v>
      </c>
    </row>
    <row r="5912">
      <c r="A5912" s="86">
        <f>IFERROR(__xludf.DUMMYFUNCTION("""COMPUTED_VALUE"""),5910.0)</f>
        <v>5910</v>
      </c>
      <c r="B5912" s="87" t="str">
        <f>IFERROR(__xludf.DUMMYFUNCTION("""COMPUTED_VALUE"""),"[Nhãn]")</f>
        <v>[Nhãn]</v>
      </c>
      <c r="C5912" s="87" t="str">
        <f>IFERROR(__xludf.DUMMYFUNCTION("""COMPUTED_VALUE"""),"NHG4450")</f>
        <v>NHG4450</v>
      </c>
      <c r="D5912" s="87" t="str">
        <f>IFERROR(__xludf.DUMMYFUNCTION("""COMPUTED_VALUE"""),"[Nhãn] GC - V - 4450 - CTY QUANG ĐĂNG AGRICULTURE - DOCTOR GREEN (Nước xanh bơ sữa) - 240ml - 40")</f>
        <v>[Nhãn] GC - V - 4450 - CTY QUANG ĐĂNG AGRICULTURE - DOCTOR GREEN (Nước xanh bơ sữa) - 240ml - 40</v>
      </c>
      <c r="E5912" s="87" t="str">
        <f>IFERROR(__xludf.DUMMYFUNCTION("""COMPUTED_VALUE"""),"MITOP ONE 390SC")</f>
        <v>MITOP ONE 390SC</v>
      </c>
      <c r="F5912" s="87" t="str">
        <f>IFERROR(__xludf.DUMMYFUNCTION("""COMPUTED_VALUE"""),"HH4450")</f>
        <v>HH4450</v>
      </c>
      <c r="G5912" s="87" t="str">
        <f>IFERROR(__xludf.DUMMYFUNCTION("""COMPUTED_VALUE"""),"GC - V - 4450 - CTY QUANG ĐĂNG AGRICULTURE - DOCTOR GREEN (Nước xanh bơ sữa) - 240ml - 40")</f>
        <v>GC - V - 4450 - CTY QUANG ĐĂNG AGRICULTURE - DOCTOR GREEN (Nước xanh bơ sữa) - 240ml - 40</v>
      </c>
    </row>
    <row r="5913">
      <c r="A5913" s="86">
        <f>IFERROR(__xludf.DUMMYFUNCTION("""COMPUTED_VALUE"""),5911.0)</f>
        <v>5911</v>
      </c>
      <c r="B5913" s="87" t="str">
        <f>IFERROR(__xludf.DUMMYFUNCTION("""COMPUTED_VALUE"""),"[Nhãn]")</f>
        <v>[Nhãn]</v>
      </c>
      <c r="C5913" s="87" t="str">
        <f>IFERROR(__xludf.DUMMYFUNCTION("""COMPUTED_VALUE"""),"NHG4923")</f>
        <v>NHG4923</v>
      </c>
      <c r="D5913" s="87" t="str">
        <f>IFERROR(__xludf.DUMMYFUNCTION("""COMPUTED_VALUE"""),"[Nhãn] GC - V - 4923 - ĐINH THẮNG ĐỒNG - HAIHAMEC 3.6EC (Nước nâu đen) - 450ml - 40")</f>
        <v>[Nhãn] GC - V - 4923 - ĐINH THẮNG ĐỒNG - HAIHAMEC 3.6EC (Nước nâu đen) - 450ml - 40</v>
      </c>
      <c r="E5913" s="87" t="str">
        <f>IFERROR(__xludf.DUMMYFUNCTION("""COMPUTED_VALUE"""),"HAIHAMEC 3.6EC")</f>
        <v>HAIHAMEC 3.6EC</v>
      </c>
      <c r="F5913" s="87" t="str">
        <f>IFERROR(__xludf.DUMMYFUNCTION("""COMPUTED_VALUE"""),"HH4923")</f>
        <v>HH4923</v>
      </c>
      <c r="G5913" s="87" t="str">
        <f>IFERROR(__xludf.DUMMYFUNCTION("""COMPUTED_VALUE"""),"GC - V - 4923 - ĐINH THẮNG ĐỒNG - HAIHAMEC 3.6EC (Nước nâu đen) - 450ml - 40")</f>
        <v>GC - V - 4923 - ĐINH THẮNG ĐỒNG - HAIHAMEC 3.6EC (Nước nâu đen) - 450ml - 40</v>
      </c>
    </row>
    <row r="5914">
      <c r="A5914" s="86">
        <f>IFERROR(__xludf.DUMMYFUNCTION("""COMPUTED_VALUE"""),5912.0)</f>
        <v>5912</v>
      </c>
      <c r="B5914" s="87" t="str">
        <f>IFERROR(__xludf.DUMMYFUNCTION("""COMPUTED_VALUE"""),"[Nhãn]")</f>
        <v>[Nhãn]</v>
      </c>
      <c r="C5914" s="87" t="str">
        <f>IFERROR(__xludf.DUMMYFUNCTION("""COMPUTED_VALUE"""),"NHG4930")</f>
        <v>NHG4930</v>
      </c>
      <c r="D5914" s="87" t="str">
        <f>IFERROR(__xludf.DUMMYFUNCTION("""COMPUTED_VALUE"""),"[Nhãn] LOT IDA Global - I - 4930 - ĐL HUỲNH THANH - CHITIN 3.6EC (nước nâu đen) - 450ml - 40")</f>
        <v>[Nhãn] LOT IDA Global - I - 4930 - ĐL HUỲNH THANH - CHITIN 3.6EC (nước nâu đen) - 450ml - 40</v>
      </c>
      <c r="E5914" s="87" t="str">
        <f>IFERROR(__xludf.DUMMYFUNCTION("""COMPUTED_VALUE"""),"Chitin 3.6EC")</f>
        <v>Chitin 3.6EC</v>
      </c>
      <c r="F5914" s="87" t="str">
        <f>IFERROR(__xludf.DUMMYFUNCTION("""COMPUTED_VALUE"""),"HH4930")</f>
        <v>HH4930</v>
      </c>
      <c r="G5914" s="87" t="str">
        <f>IFERROR(__xludf.DUMMYFUNCTION("""COMPUTED_VALUE"""),"LOT IDA Global - I - 4930 - ĐL HUỲNH THANH - CHITIN 3.6EC (nước nâu đen) - 450ml - 40")</f>
        <v>LOT IDA Global - I - 4930 - ĐL HUỲNH THANH - CHITIN 3.6EC (nước nâu đen) - 450ml - 40</v>
      </c>
    </row>
    <row r="5915">
      <c r="A5915" s="86">
        <f>IFERROR(__xludf.DUMMYFUNCTION("""COMPUTED_VALUE"""),5913.0)</f>
        <v>5913</v>
      </c>
      <c r="B5915" s="87" t="str">
        <f>IFERROR(__xludf.DUMMYFUNCTION("""COMPUTED_VALUE"""),"[Nhãn]")</f>
        <v>[Nhãn]</v>
      </c>
      <c r="C5915" s="87" t="str">
        <f>IFERROR(__xludf.DUMMYFUNCTION("""COMPUTED_VALUE"""),"NHG4931")</f>
        <v>NHG4931</v>
      </c>
      <c r="D5915" s="87" t="str">
        <f>IFERROR(__xludf.DUMMYFUNCTION("""COMPUTED_VALUE"""),"[Nhãn] LOT IDA Global - I - 4931 - ĐL LỆ HỒNG 2 - HAIHAMEC 3.6EC (Nước nâu đen) - 450ml - 40")</f>
        <v>[Nhãn] LOT IDA Global - I - 4931 - ĐL LỆ HỒNG 2 - HAIHAMEC 3.6EC (Nước nâu đen) - 450ml - 40</v>
      </c>
      <c r="E5915" s="87" t="str">
        <f>IFERROR(__xludf.DUMMYFUNCTION("""COMPUTED_VALUE"""),"HAIHAMEC 3.6EC")</f>
        <v>HAIHAMEC 3.6EC</v>
      </c>
      <c r="F5915" s="87" t="str">
        <f>IFERROR(__xludf.DUMMYFUNCTION("""COMPUTED_VALUE"""),"HH4931")</f>
        <v>HH4931</v>
      </c>
      <c r="G5915" s="87" t="str">
        <f>IFERROR(__xludf.DUMMYFUNCTION("""COMPUTED_VALUE"""),"LOT IDA Global - I - 4931 - ĐL LỆ HỒNG 2 - HAIHAMEC 3.6EC (Nước nâu đen) - 450ml - 40")</f>
        <v>LOT IDA Global - I - 4931 - ĐL LỆ HỒNG 2 - HAIHAMEC 3.6EC (Nước nâu đen) - 450ml - 40</v>
      </c>
    </row>
    <row r="5916">
      <c r="A5916" s="86">
        <f>IFERROR(__xludf.DUMMYFUNCTION("""COMPUTED_VALUE"""),5914.0)</f>
        <v>5914</v>
      </c>
      <c r="B5916" s="87" t="str">
        <f>IFERROR(__xludf.DUMMYFUNCTION("""COMPUTED_VALUE"""),"[Nhãn]")</f>
        <v>[Nhãn]</v>
      </c>
      <c r="C5916" s="87" t="str">
        <f>IFERROR(__xludf.DUMMYFUNCTION("""COMPUTED_VALUE"""),"NHG4932")</f>
        <v>NHG4932</v>
      </c>
      <c r="D5916" s="87" t="str">
        <f>IFERROR(__xludf.DUMMYFUNCTION("""COMPUTED_VALUE"""),"[Nhãn] LOT IDA Global - I - 4932 - ĐL TRUNG HIỀN - HAIHAMEC 3.6EC (Nước nâu đen) - 450ml - 40")</f>
        <v>[Nhãn] LOT IDA Global - I - 4932 - ĐL TRUNG HIỀN - HAIHAMEC 3.6EC (Nước nâu đen) - 450ml - 40</v>
      </c>
      <c r="E5916" s="87" t="str">
        <f>IFERROR(__xludf.DUMMYFUNCTION("""COMPUTED_VALUE"""),"HAIHAMEC 3.6EC")</f>
        <v>HAIHAMEC 3.6EC</v>
      </c>
      <c r="F5916" s="87" t="str">
        <f>IFERROR(__xludf.DUMMYFUNCTION("""COMPUTED_VALUE"""),"HH4932")</f>
        <v>HH4932</v>
      </c>
      <c r="G5916" s="87" t="str">
        <f>IFERROR(__xludf.DUMMYFUNCTION("""COMPUTED_VALUE"""),"LOT IDA Global - I - 4932 - ĐL TRUNG HIỀN - HAIHAMEC 3.6EC (Nước nâu đen) - 450ml - 40")</f>
        <v>LOT IDA Global - I - 4932 - ĐL TRUNG HIỀN - HAIHAMEC 3.6EC (Nước nâu đen) - 450ml - 40</v>
      </c>
    </row>
    <row r="5917">
      <c r="A5917" s="86">
        <f>IFERROR(__xludf.DUMMYFUNCTION("""COMPUTED_VALUE"""),5915.0)</f>
        <v>5915</v>
      </c>
      <c r="B5917" s="87" t="str">
        <f>IFERROR(__xludf.DUMMYFUNCTION("""COMPUTED_VALUE"""),"[Nhãn]")</f>
        <v>[Nhãn]</v>
      </c>
      <c r="C5917" s="87" t="str">
        <f>IFERROR(__xludf.DUMMYFUNCTION("""COMPUTED_VALUE"""),"NTN4933")</f>
        <v>NTN4933</v>
      </c>
      <c r="D5917" s="87" t="str">
        <f>IFERROR(__xludf.DUMMYFUNCTION("""COMPUTED_VALUE"""),"[Nhãn] GC - V - 4933 - HƯNG ĐIỀN AGRO - THIẾT ẤN (Bột trắng ngà) - 100gr - 100")</f>
        <v>[Nhãn] GC - V - 4933 - HƯNG ĐIỀN AGRO - THIẾT ẤN (Bột trắng ngà) - 100gr - 100</v>
      </c>
      <c r="E5917" s="87" t="str">
        <f>IFERROR(__xludf.DUMMYFUNCTION("""COMPUTED_VALUE"""),"KHONGRAY 54WP")</f>
        <v>KHONGRAY 54WP</v>
      </c>
      <c r="F5917" s="87" t="str">
        <f>IFERROR(__xludf.DUMMYFUNCTION("""COMPUTED_VALUE"""),"HH4933")</f>
        <v>HH4933</v>
      </c>
      <c r="G5917" s="87" t="str">
        <f>IFERROR(__xludf.DUMMYFUNCTION("""COMPUTED_VALUE"""),"GC - V - 4933 - HƯNG ĐIỀN AGRO - THIẾT ẤN (Bột trắng ngà) - 100gr - 100")</f>
        <v>GC - V - 4933 - HƯNG ĐIỀN AGRO - THIẾT ẤN (Bột trắng ngà) - 100gr - 100</v>
      </c>
    </row>
    <row r="5918">
      <c r="A5918" s="86">
        <f>IFERROR(__xludf.DUMMYFUNCTION("""COMPUTED_VALUE"""),5916.0)</f>
        <v>5916</v>
      </c>
      <c r="B5918" s="87" t="str">
        <f>IFERROR(__xludf.DUMMYFUNCTION("""COMPUTED_VALUE"""),"[Nhãn]")</f>
        <v>[Nhãn]</v>
      </c>
      <c r="C5918" s="87" t="str">
        <f>IFERROR(__xludf.DUMMYFUNCTION("""COMPUTED_VALUE"""),"NHG4934")</f>
        <v>NHG4934</v>
      </c>
      <c r="D5918" s="87" t="str">
        <f>IFERROR(__xludf.DUMMYFUNCTION("""COMPUTED_VALUE"""),"[Nhãn] GC - V - 4934 - CTY NHC - 3.6 (Nước nâu đen) - 450ml - 40")</f>
        <v>[Nhãn] GC - V - 4934 - CTY NHC - 3.6 (Nước nâu đen) - 450ml - 40</v>
      </c>
      <c r="E5918" s="87" t="str">
        <f>IFERROR(__xludf.DUMMYFUNCTION("""COMPUTED_VALUE"""),"Chitin 3.6EC")</f>
        <v>Chitin 3.6EC</v>
      </c>
      <c r="F5918" s="87" t="str">
        <f>IFERROR(__xludf.DUMMYFUNCTION("""COMPUTED_VALUE"""),"HH4934")</f>
        <v>HH4934</v>
      </c>
      <c r="G5918" s="87" t="str">
        <f>IFERROR(__xludf.DUMMYFUNCTION("""COMPUTED_VALUE"""),"GC - V - 4934 - CTY NHC - 3.6 (Nước nâu đen) - 450ml - 40")</f>
        <v>GC - V - 4934 - CTY NHC - 3.6 (Nước nâu đen) - 450ml - 40</v>
      </c>
    </row>
    <row r="5919">
      <c r="A5919" s="86">
        <f>IFERROR(__xludf.DUMMYFUNCTION("""COMPUTED_VALUE"""),5917.0)</f>
        <v>5917</v>
      </c>
      <c r="B5919" s="87" t="str">
        <f>IFERROR(__xludf.DUMMYFUNCTION("""COMPUTED_VALUE"""),"[Nhãn Thùng]")</f>
        <v>[Nhãn Thùng]</v>
      </c>
      <c r="C5919" s="87" t="str">
        <f>IFERROR(__xludf.DUMMYFUNCTION("""COMPUTED_VALUE"""),"NDT4933")</f>
        <v>NDT4933</v>
      </c>
      <c r="D5919" s="87" t="str">
        <f>IFERROR(__xludf.DUMMYFUNCTION("""COMPUTED_VALUE"""),"[Nhãn Thùng] GC - V - 4933 - HƯNG ĐIỀN AGRO - THIẾT ẤN (Bột trắng ngà) - 100gr - 100")</f>
        <v>[Nhãn Thùng] GC - V - 4933 - HƯNG ĐIỀN AGRO - THIẾT ẤN (Bột trắng ngà) - 100gr - 100</v>
      </c>
      <c r="E5919" s="87" t="str">
        <f>IFERROR(__xludf.DUMMYFUNCTION("""COMPUTED_VALUE"""),"KHONGRAY 54WP")</f>
        <v>KHONGRAY 54WP</v>
      </c>
      <c r="F5919" s="87" t="str">
        <f>IFERROR(__xludf.DUMMYFUNCTION("""COMPUTED_VALUE"""),"HH4933")</f>
        <v>HH4933</v>
      </c>
      <c r="G5919" s="87" t="str">
        <f>IFERROR(__xludf.DUMMYFUNCTION("""COMPUTED_VALUE"""),"GC - V - 4933 - HƯNG ĐIỀN AGRO - THIẾT ẤN (Bột trắng ngà) - 100gr - 100")</f>
        <v>GC - V - 4933 - HƯNG ĐIỀN AGRO - THIẾT ẤN (Bột trắng ngà) - 100gr - 100</v>
      </c>
    </row>
    <row r="5920">
      <c r="A5920" s="86">
        <f>IFERROR(__xludf.DUMMYFUNCTION("""COMPUTED_VALUE"""),5918.0)</f>
        <v>5918</v>
      </c>
      <c r="B5920" s="87" t="str">
        <f>IFERROR(__xludf.DUMMYFUNCTION("""COMPUTED_VALUE"""),"[Nhãn]")</f>
        <v>[Nhãn]</v>
      </c>
      <c r="C5920" s="87" t="str">
        <f>IFERROR(__xludf.DUMMYFUNCTION("""COMPUTED_VALUE"""),"NHD4442")</f>
        <v>NHD4442</v>
      </c>
      <c r="D5920" s="87" t="str">
        <f>IFERROR(__xludf.DUMMYFUNCTION("""COMPUTED_VALUE"""),"[Nhãn] GC - IX - 4442 - N2SBIO - N2 MG ZN-70 (Nước xanh lá) - 500ml - 40")</f>
        <v>[Nhãn] GC - IX - 4442 - N2SBIO - N2 MG ZN-70 (Nước xanh lá) - 500ml - 40</v>
      </c>
      <c r="E5920" s="87" t="str">
        <f>IFERROR(__xludf.DUMMYFUNCTION("""COMPUTED_VALUE"""),"vi lượng Phú Sĩ FJ-09 Kẽm Mg")</f>
        <v>vi lượng Phú Sĩ FJ-09 Kẽm Mg</v>
      </c>
      <c r="F5920" s="87" t="str">
        <f>IFERROR(__xludf.DUMMYFUNCTION("""COMPUTED_VALUE"""),"HH4442")</f>
        <v>HH4442</v>
      </c>
      <c r="G5920" s="87" t="str">
        <f>IFERROR(__xludf.DUMMYFUNCTION("""COMPUTED_VALUE"""),"GC - IX - 4442 - N2SBIO - N2 MG ZN-70 (Nước xanh lá) - 500ml - 40")</f>
        <v>GC - IX - 4442 - N2SBIO - N2 MG ZN-70 (Nước xanh lá) - 500ml - 40</v>
      </c>
    </row>
    <row r="5921">
      <c r="A5921" s="86">
        <f>IFERROR(__xludf.DUMMYFUNCTION("""COMPUTED_VALUE"""),5919.0)</f>
        <v>5919</v>
      </c>
      <c r="B5921" s="87" t="str">
        <f>IFERROR(__xludf.DUMMYFUNCTION("""COMPUTED_VALUE"""),"[Nhãn]")</f>
        <v>[Nhãn]</v>
      </c>
      <c r="C5921" s="87" t="str">
        <f>IFERROR(__xludf.DUMMYFUNCTION("""COMPUTED_VALUE"""),"NHD4921")</f>
        <v>NHD4921</v>
      </c>
      <c r="D5921" s="87" t="str">
        <f>IFERROR(__xludf.DUMMYFUNCTION("""COMPUTED_VALUE"""),"[Nhãn] GC - V - 4921 - AGRITECH - NUTI ROOTS 2 (Dạng viên màu đen) - 10kg - 1")</f>
        <v>[Nhãn] GC - V - 4921 - AGRITECH - NUTI ROOTS 2 (Dạng viên màu đen) - 10kg - 1</v>
      </c>
      <c r="E5921" s="87" t="str">
        <f>IFERROR(__xludf.DUMMYFUNCTION("""COMPUTED_VALUE"""),"Hữu Cơ PBHC ABA Organic Fertilizer 20")</f>
        <v>Hữu Cơ PBHC ABA Organic Fertilizer 20</v>
      </c>
      <c r="F5921" s="87" t="str">
        <f>IFERROR(__xludf.DUMMYFUNCTION("""COMPUTED_VALUE"""),"HH4921")</f>
        <v>HH4921</v>
      </c>
      <c r="G5921" s="87" t="str">
        <f>IFERROR(__xludf.DUMMYFUNCTION("""COMPUTED_VALUE"""),"GC - V - 4921 - AGRITECH - NUTI ROOTS 2 (Dạng viên màu đen) - 10kg - 1")</f>
        <v>GC - V - 4921 - AGRITECH - NUTI ROOTS 2 (Dạng viên màu đen) - 10kg - 1</v>
      </c>
    </row>
    <row r="5922">
      <c r="A5922" s="86">
        <f>IFERROR(__xludf.DUMMYFUNCTION("""COMPUTED_VALUE"""),5920.0)</f>
        <v>5920</v>
      </c>
      <c r="B5922" s="87" t="str">
        <f>IFERROR(__xludf.DUMMYFUNCTION("""COMPUTED_VALUE"""),"[Nhãn]")</f>
        <v>[Nhãn]</v>
      </c>
      <c r="C5922" s="87" t="str">
        <f>IFERROR(__xludf.DUMMYFUNCTION("""COMPUTED_VALUE"""),"NHG4611")</f>
        <v>NHG4611</v>
      </c>
      <c r="D5922" s="87" t="str">
        <f>IFERROR(__xludf.DUMMYFUNCTION("""COMPUTED_VALUE"""),"[Nhãn] GC - V - 4611 - CTY R3 - R3VIL 110 (Nước trắng sữa) - 1L - 20")</f>
        <v>[Nhãn] GC - V - 4611 - CTY R3 - R3VIL 110 (Nước trắng sữa) - 1L - 20</v>
      </c>
      <c r="E5922" s="87" t="str">
        <f>IFERROR(__xludf.DUMMYFUNCTION("""COMPUTED_VALUE"""),"JAPA VIL 110SC")</f>
        <v>JAPA VIL 110SC</v>
      </c>
      <c r="F5922" s="87" t="str">
        <f>IFERROR(__xludf.DUMMYFUNCTION("""COMPUTED_VALUE"""),"HH4611")</f>
        <v>HH4611</v>
      </c>
      <c r="G5922" s="87" t="str">
        <f>IFERROR(__xludf.DUMMYFUNCTION("""COMPUTED_VALUE"""),"GC - V - 4611 - CTY R3 - R3VIL 110 (Nước trắng sữa) - 1L - 20")</f>
        <v>GC - V - 4611 - CTY R3 - R3VIL 110 (Nước trắng sữa) - 1L - 20</v>
      </c>
    </row>
    <row r="5923">
      <c r="A5923" s="86">
        <f>IFERROR(__xludf.DUMMYFUNCTION("""COMPUTED_VALUE"""),5921.0)</f>
        <v>5921</v>
      </c>
      <c r="B5923" s="87" t="str">
        <f>IFERROR(__xludf.DUMMYFUNCTION("""COMPUTED_VALUE"""),"[Nhãn]")</f>
        <v>[Nhãn]</v>
      </c>
      <c r="C5923" s="87" t="str">
        <f>IFERROR(__xludf.DUMMYFUNCTION("""COMPUTED_VALUE"""),"NHG4942")</f>
        <v>NHG4942</v>
      </c>
      <c r="D5923" s="87" t="str">
        <f>IFERROR(__xludf.DUMMYFUNCTION("""COMPUTED_VALUE"""),"[Nhãn] LOT IDA Global - I - 4942 - ĐL Nhật Linh - HAIHAMEC 3.6EC (nước nâu đen) - 450ml - 40")</f>
        <v>[Nhãn] LOT IDA Global - I - 4942 - ĐL Nhật Linh - HAIHAMEC 3.6EC (nước nâu đen) - 450ml - 40</v>
      </c>
      <c r="E5923" s="87" t="str">
        <f>IFERROR(__xludf.DUMMYFUNCTION("""COMPUTED_VALUE"""),"HAIHAMEC 3.6EC")</f>
        <v>HAIHAMEC 3.6EC</v>
      </c>
      <c r="F5923" s="87" t="str">
        <f>IFERROR(__xludf.DUMMYFUNCTION("""COMPUTED_VALUE"""),"HH4942")</f>
        <v>HH4942</v>
      </c>
      <c r="G5923" s="87" t="str">
        <f>IFERROR(__xludf.DUMMYFUNCTION("""COMPUTED_VALUE"""),"LOT IDA Global - I - 4942 - ĐL Nhật Linh - HAIHAMEC 3.6EC (nước nâu đen) - 450ml - 40")</f>
        <v>LOT IDA Global - I - 4942 - ĐL Nhật Linh - HAIHAMEC 3.6EC (nước nâu đen) - 450ml - 40</v>
      </c>
    </row>
    <row r="5924">
      <c r="A5924" s="86">
        <f>IFERROR(__xludf.DUMMYFUNCTION("""COMPUTED_VALUE"""),5922.0)</f>
        <v>5922</v>
      </c>
      <c r="B5924" s="87" t="str">
        <f>IFERROR(__xludf.DUMMYFUNCTION("""COMPUTED_VALUE"""),"[Nhãn]")</f>
        <v>[Nhãn]</v>
      </c>
      <c r="C5924" s="87" t="str">
        <f>IFERROR(__xludf.DUMMYFUNCTION("""COMPUTED_VALUE"""),"NHD4943")</f>
        <v>NHD4943</v>
      </c>
      <c r="D5924" s="87" t="str">
        <f>IFERROR(__xludf.DUMMYFUNCTION("""COMPUTED_VALUE"""),"[Nhãn] LOT IDA Global - I - 4943 - ĐL PHAN THANH BƯỜN - 3.6 VỊT BẦU (Nước nâu đen) - 450ml - 40")</f>
        <v>[Nhãn] LOT IDA Global - I - 4943 - ĐL PHAN THANH BƯỜN - 3.6 VỊT BẦU (Nước nâu đen) - 450ml - 40</v>
      </c>
      <c r="E5924" s="87" t="str">
        <f>IFERROR(__xludf.DUMMYFUNCTION("""COMPUTED_VALUE"""),"HAIHAMEC 3.6EC")</f>
        <v>HAIHAMEC 3.6EC</v>
      </c>
      <c r="F5924" s="87" t="str">
        <f>IFERROR(__xludf.DUMMYFUNCTION("""COMPUTED_VALUE"""),"HH4943")</f>
        <v>HH4943</v>
      </c>
      <c r="G5924" s="87" t="str">
        <f>IFERROR(__xludf.DUMMYFUNCTION("""COMPUTED_VALUE"""),"LOT IDA Global - I - 4943 - ĐL PHAN THANH BƯỜN - 3.6 VỊT BẦU (Nước nâu đen) - 450ml - 40")</f>
        <v>LOT IDA Global - I - 4943 - ĐL PHAN THANH BƯỜN - 3.6 VỊT BẦU (Nước nâu đen) - 450ml - 40</v>
      </c>
    </row>
    <row r="5925">
      <c r="A5925" s="86">
        <f>IFERROR(__xludf.DUMMYFUNCTION("""COMPUTED_VALUE"""),5923.0)</f>
        <v>5923</v>
      </c>
      <c r="B5925" s="87" t="str">
        <f>IFERROR(__xludf.DUMMYFUNCTION("""COMPUTED_VALUE"""),"[Nhãn]")</f>
        <v>[Nhãn]</v>
      </c>
      <c r="C5925" s="87" t="str">
        <f>IFERROR(__xludf.DUMMYFUNCTION("""COMPUTED_VALUE"""),"NDT4943")</f>
        <v>NDT4943</v>
      </c>
      <c r="D5925" s="87" t="str">
        <f>IFERROR(__xludf.DUMMYFUNCTION("""COMPUTED_VALUE"""),"[Nhãn] LOT IDA Global - I - 4943 - ĐL PHAN THANH BƯỜN - 3.6 VỊT BẦU (Nước nâu đen) - 450ml - 40")</f>
        <v>[Nhãn] LOT IDA Global - I - 4943 - ĐL PHAN THANH BƯỜN - 3.6 VỊT BẦU (Nước nâu đen) - 450ml - 40</v>
      </c>
      <c r="E5925" s="87" t="str">
        <f>IFERROR(__xludf.DUMMYFUNCTION("""COMPUTED_VALUE"""),"HAIHAMEC 3.6EC")</f>
        <v>HAIHAMEC 3.6EC</v>
      </c>
      <c r="F5925" s="87" t="str">
        <f>IFERROR(__xludf.DUMMYFUNCTION("""COMPUTED_VALUE"""),"HH4943")</f>
        <v>HH4943</v>
      </c>
      <c r="G5925" s="87" t="str">
        <f>IFERROR(__xludf.DUMMYFUNCTION("""COMPUTED_VALUE"""),"LOT IDA Global - I - 4943 - ĐL PHAN THANH BƯỜN - 3.6 VỊT BẦU (Nước nâu đen) - 450ml - 40")</f>
        <v>LOT IDA Global - I - 4943 - ĐL PHAN THANH BƯỜN - 3.6 VỊT BẦU (Nước nâu đen) - 450ml - 40</v>
      </c>
    </row>
    <row r="5926">
      <c r="A5926" s="86">
        <f>IFERROR(__xludf.DUMMYFUNCTION("""COMPUTED_VALUE"""),5924.0)</f>
        <v>5924</v>
      </c>
      <c r="B5926" s="87" t="str">
        <f>IFERROR(__xludf.DUMMYFUNCTION("""COMPUTED_VALUE"""),"[Nhãn]")</f>
        <v>[Nhãn]</v>
      </c>
      <c r="C5926" s="87" t="str">
        <f>IFERROR(__xludf.DUMMYFUNCTION("""COMPUTED_VALUE"""),"NHD4944")</f>
        <v>NHD4944</v>
      </c>
      <c r="D5926" s="87" t="str">
        <f>IFERROR(__xludf.DUMMYFUNCTION("""COMPUTED_VALUE"""),"[Nhãn] LOT IDA Global - I - 4944 - ĐL Trịnh Thến - Sư Tử Gold (Nước nâu đen) - 450ml - 40")</f>
        <v>[Nhãn] LOT IDA Global - I - 4944 - ĐL Trịnh Thến - Sư Tử Gold (Nước nâu đen) - 450ml - 40</v>
      </c>
      <c r="E5926" s="87" t="str">
        <f>IFERROR(__xludf.DUMMYFUNCTION("""COMPUTED_VALUE"""),"Chitin 3.6EC")</f>
        <v>Chitin 3.6EC</v>
      </c>
      <c r="F5926" s="87" t="str">
        <f>IFERROR(__xludf.DUMMYFUNCTION("""COMPUTED_VALUE"""),"HH4944")</f>
        <v>HH4944</v>
      </c>
      <c r="G5926" s="87" t="str">
        <f>IFERROR(__xludf.DUMMYFUNCTION("""COMPUTED_VALUE"""),"LOT IDA Global - I - 4944 - ĐL Trịnh Thến - Sư Tử Gold (Nước nâu đen) - 450ml - 40")</f>
        <v>LOT IDA Global - I - 4944 - ĐL Trịnh Thến - Sư Tử Gold (Nước nâu đen) - 450ml - 40</v>
      </c>
    </row>
    <row r="5927">
      <c r="A5927" s="86">
        <f>IFERROR(__xludf.DUMMYFUNCTION("""COMPUTED_VALUE"""),5925.0)</f>
        <v>5925</v>
      </c>
      <c r="B5927" s="87" t="str">
        <f>IFERROR(__xludf.DUMMYFUNCTION("""COMPUTED_VALUE"""),"[Nhãn]")</f>
        <v>[Nhãn]</v>
      </c>
      <c r="C5927" s="87" t="str">
        <f>IFERROR(__xludf.DUMMYFUNCTION("""COMPUTED_VALUE"""),"NHG4939")</f>
        <v>NHG4939</v>
      </c>
      <c r="D5927" s="87" t="str">
        <f>IFERROR(__xludf.DUMMYFUNCTION("""COMPUTED_VALUE"""),"[Nhãn] GC - V - 4939 - CTY NEWTEX - T-REX 3X (Dạng SC - Trắng sữa) - 200ml - 40")</f>
        <v>[Nhãn] GC - V - 4939 - CTY NEWTEX - T-REX 3X (Dạng SC - Trắng sữa) - 200ml - 40</v>
      </c>
      <c r="E5927" s="87" t="str">
        <f>IFERROR(__xludf.DUMMYFUNCTION("""COMPUTED_VALUE"""),"ADU-Fenar 24SC")</f>
        <v>ADU-Fenar 24SC</v>
      </c>
      <c r="F5927" s="87" t="str">
        <f>IFERROR(__xludf.DUMMYFUNCTION("""COMPUTED_VALUE"""),"HH4939")</f>
        <v>HH4939</v>
      </c>
      <c r="G5927" s="87" t="str">
        <f>IFERROR(__xludf.DUMMYFUNCTION("""COMPUTED_VALUE"""),"GC - V - 4939 - CTY NEWTEX - T-REX 3X (Dạng SC - Trắng sữa) - 200ml - 40")</f>
        <v>GC - V - 4939 - CTY NEWTEX - T-REX 3X (Dạng SC - Trắng sữa) - 200ml - 40</v>
      </c>
    </row>
    <row r="5928">
      <c r="A5928" s="86">
        <f>IFERROR(__xludf.DUMMYFUNCTION("""COMPUTED_VALUE"""),5926.0)</f>
        <v>5926</v>
      </c>
      <c r="B5928" s="87" t="str">
        <f>IFERROR(__xludf.DUMMYFUNCTION("""COMPUTED_VALUE"""),"[Nhãn]")</f>
        <v>[Nhãn]</v>
      </c>
      <c r="C5928" s="87" t="str">
        <f>IFERROR(__xludf.DUMMYFUNCTION("""COMPUTED_VALUE"""),"NHG4940")</f>
        <v>NHG4940</v>
      </c>
      <c r="D5928" s="87" t="str">
        <f>IFERROR(__xludf.DUMMYFUNCTION("""COMPUTED_VALUE"""),"[Nhãn] GC - V - 4940 - CTY NEWTEX - SẠCH ĐẠO ÔN 3X (Nước cam sữa) - 450ml - 40")</f>
        <v>[Nhãn] GC - V - 4940 - CTY NEWTEX - SẠCH ĐẠO ÔN 3X (Nước cam sữa) - 450ml - 40</v>
      </c>
      <c r="E5928" s="87" t="str">
        <f>IFERROR(__xludf.DUMMYFUNCTION("""COMPUTED_VALUE"""),"CITTIZEN 333SC")</f>
        <v>CITTIZEN 333SC</v>
      </c>
      <c r="F5928" s="87" t="str">
        <f>IFERROR(__xludf.DUMMYFUNCTION("""COMPUTED_VALUE"""),"HH4940")</f>
        <v>HH4940</v>
      </c>
      <c r="G5928" s="87" t="str">
        <f>IFERROR(__xludf.DUMMYFUNCTION("""COMPUTED_VALUE"""),"GC - V - 4940 - CTY NEWTEX - SẠCH ĐẠO ÔN 3X (Nước cam sữa) - 450ml - 40")</f>
        <v>GC - V - 4940 - CTY NEWTEX - SẠCH ĐẠO ÔN 3X (Nước cam sữa) - 450ml - 40</v>
      </c>
    </row>
    <row r="5929">
      <c r="A5929" s="86">
        <f>IFERROR(__xludf.DUMMYFUNCTION("""COMPUTED_VALUE"""),5927.0)</f>
        <v>5927</v>
      </c>
      <c r="B5929" s="87" t="str">
        <f>IFERROR(__xludf.DUMMYFUNCTION("""COMPUTED_VALUE"""),"[Nhãn]")</f>
        <v>[Nhãn]</v>
      </c>
      <c r="C5929" s="87" t="str">
        <f>IFERROR(__xludf.DUMMYFUNCTION("""COMPUTED_VALUE"""),"NHG4945")</f>
        <v>NHG4945</v>
      </c>
      <c r="D5929" s="87" t="str">
        <f>IFERROR(__xludf.DUMMYFUNCTION("""COMPUTED_VALUE"""),"[Nhãn] GC - V - 4945 - CTY DONA VINA - GEL RA RỄ NỞ BỤI (Nước nâu đen) - 500ml - 40")</f>
        <v>[Nhãn] GC - V - 4945 - CTY DONA VINA - GEL RA RỄ NỞ BỤI (Nước nâu đen) - 500ml - 40</v>
      </c>
      <c r="E5929" s="87" t="str">
        <f>IFERROR(__xludf.DUMMYFUNCTION("""COMPUTED_VALUE"""),"Hữu Cơ Organic ĐGP 01")</f>
        <v>Hữu Cơ Organic ĐGP 01</v>
      </c>
      <c r="F5929" s="87" t="str">
        <f>IFERROR(__xludf.DUMMYFUNCTION("""COMPUTED_VALUE"""),"HH4945")</f>
        <v>HH4945</v>
      </c>
      <c r="G5929" s="87" t="str">
        <f>IFERROR(__xludf.DUMMYFUNCTION("""COMPUTED_VALUE"""),"GC - V - 4945 - CTY DONA VINA - GEL RA RỄ NỞ BỤI (Nước nâu đen) - 500ml - 40")</f>
        <v>GC - V - 4945 - CTY DONA VINA - GEL RA RỄ NỞ BỤI (Nước nâu đen) - 500ml - 40</v>
      </c>
    </row>
    <row r="5930">
      <c r="A5930" s="86">
        <f>IFERROR(__xludf.DUMMYFUNCTION("""COMPUTED_VALUE"""),5928.0)</f>
        <v>5928</v>
      </c>
      <c r="B5930" s="87" t="str">
        <f>IFERROR(__xludf.DUMMYFUNCTION("""COMPUTED_VALUE"""),"[Nhãn]")</f>
        <v>[Nhãn]</v>
      </c>
      <c r="C5930" s="87" t="str">
        <f>IFERROR(__xludf.DUMMYFUNCTION("""COMPUTED_VALUE"""),"NHG4485")</f>
        <v>NHG4485</v>
      </c>
      <c r="D5930" s="87" t="str">
        <f>IFERROR(__xludf.DUMMYFUNCTION("""COMPUTED_VALUE"""),"[Nhãn] IDA Global - I - 4485 - ĐL Phong Chi - BIGMAX (Nước trắng sữa) - 450ml - 40")</f>
        <v>[Nhãn] IDA Global - I - 4485 - ĐL Phong Chi - BIGMAX (Nước trắng sữa) - 450ml - 40</v>
      </c>
      <c r="E5930" s="87" t="str">
        <f>IFERROR(__xludf.DUMMYFUNCTION("""COMPUTED_VALUE"""),"Vi lượng Basel IDA 47")</f>
        <v>Vi lượng Basel IDA 47</v>
      </c>
      <c r="F5930" s="87" t="str">
        <f>IFERROR(__xludf.DUMMYFUNCTION("""COMPUTED_VALUE"""),"HH4485")</f>
        <v>HH4485</v>
      </c>
      <c r="G5930" s="87" t="str">
        <f>IFERROR(__xludf.DUMMYFUNCTION("""COMPUTED_VALUE"""),"IDA Global - I - 4485 - ĐL Phong Chi - BIGMAX (Nước trắng sữa) - 450ml - 40")</f>
        <v>IDA Global - I - 4485 - ĐL Phong Chi - BIGMAX (Nước trắng sữa) - 450ml - 40</v>
      </c>
    </row>
    <row r="5931">
      <c r="A5931" s="86">
        <f>IFERROR(__xludf.DUMMYFUNCTION("""COMPUTED_VALUE"""),5929.0)</f>
        <v>5929</v>
      </c>
      <c r="B5931" s="87" t="str">
        <f>IFERROR(__xludf.DUMMYFUNCTION("""COMPUTED_VALUE"""),"[Nhãn]")</f>
        <v>[Nhãn]</v>
      </c>
      <c r="C5931" s="87" t="str">
        <f>IFERROR(__xludf.DUMMYFUNCTION("""COMPUTED_VALUE"""),"NHG4946")</f>
        <v>NHG4946</v>
      </c>
      <c r="D5931" s="87" t="str">
        <f>IFERROR(__xludf.DUMMYFUNCTION("""COMPUTED_VALUE"""),"[Nhãn] IDA Global - I - 4946 - CHITO-M55 (Nước trắng sữa) - 500ml - 40")</f>
        <v>[Nhãn] IDA Global - I - 4946 - CHITO-M55 (Nước trắng sữa) - 500ml - 40</v>
      </c>
      <c r="E5931" s="87" t="str">
        <f>IFERROR(__xludf.DUMMYFUNCTION("""COMPUTED_VALUE"""),"Vi lượng Basel IDA 50")</f>
        <v>Vi lượng Basel IDA 50</v>
      </c>
      <c r="F5931" s="87" t="str">
        <f>IFERROR(__xludf.DUMMYFUNCTION("""COMPUTED_VALUE"""),"HH4946")</f>
        <v>HH4946</v>
      </c>
      <c r="G5931" s="87" t="str">
        <f>IFERROR(__xludf.DUMMYFUNCTION("""COMPUTED_VALUE"""),"IDA Global - I - 4946 - CHITO-M55 (Nước trắng sữa) - 500ml - 40")</f>
        <v>IDA Global - I - 4946 - CHITO-M55 (Nước trắng sữa) - 500ml - 40</v>
      </c>
    </row>
    <row r="5932">
      <c r="A5932" s="86">
        <f>IFERROR(__xludf.DUMMYFUNCTION("""COMPUTED_VALUE"""),5930.0)</f>
        <v>5930</v>
      </c>
      <c r="B5932" s="87" t="str">
        <f>IFERROR(__xludf.DUMMYFUNCTION("""COMPUTED_VALUE"""),"[Nhãn]")</f>
        <v>[Nhãn]</v>
      </c>
      <c r="C5932" s="87" t="str">
        <f>IFERROR(__xludf.DUMMYFUNCTION("""COMPUTED_VALUE"""),"NHG4929")</f>
        <v>NHG4929</v>
      </c>
      <c r="D5932" s="87" t="str">
        <f>IFERROR(__xludf.DUMMYFUNCTION("""COMPUTED_VALUE"""),"[Nhãn] IDA Global - I - 4929 - CTY TÂN THÀNH - POWER (Nước trắng sữa) - 500ml - 40")</f>
        <v>[Nhãn] IDA Global - I - 4929 - CTY TÂN THÀNH - POWER (Nước trắng sữa) - 500ml - 40</v>
      </c>
      <c r="E5932" s="87" t="str">
        <f>IFERROR(__xludf.DUMMYFUNCTION("""COMPUTED_VALUE"""),"Vi lượng Basel IDA 50")</f>
        <v>Vi lượng Basel IDA 50</v>
      </c>
      <c r="F5932" s="87" t="str">
        <f>IFERROR(__xludf.DUMMYFUNCTION("""COMPUTED_VALUE"""),"HH4929")</f>
        <v>HH4929</v>
      </c>
      <c r="G5932" s="87" t="str">
        <f>IFERROR(__xludf.DUMMYFUNCTION("""COMPUTED_VALUE"""),"IDA Global - I - 4929 - CTY TÂN THÀNH - POWER (Nước trắng sữa) - 500ml - 40")</f>
        <v>IDA Global - I - 4929 - CTY TÂN THÀNH - POWER (Nước trắng sữa) - 500ml - 40</v>
      </c>
    </row>
    <row r="5933">
      <c r="A5933" s="86">
        <f>IFERROR(__xludf.DUMMYFUNCTION("""COMPUTED_VALUE"""),5931.0)</f>
        <v>5931</v>
      </c>
      <c r="B5933" s="87" t="str">
        <f>IFERROR(__xludf.DUMMYFUNCTION("""COMPUTED_VALUE"""),"[Nhãn]")</f>
        <v>[Nhãn]</v>
      </c>
      <c r="C5933" s="87" t="str">
        <f>IFERROR(__xludf.DUMMYFUNCTION("""COMPUTED_VALUE"""),"NHG4928")</f>
        <v>NHG4928</v>
      </c>
      <c r="D5933" s="87" t="str">
        <f>IFERROR(__xludf.DUMMYFUNCTION("""COMPUTED_VALUE"""),"[Nhãn] IDA Global - I - 4928 - CTY TÂN THÀNH - FLOWER TOP SC (Nước trắng sữa) - 500ml - 40")</f>
        <v>[Nhãn] IDA Global - I - 4928 - CTY TÂN THÀNH - FLOWER TOP SC (Nước trắng sữa) - 500ml - 40</v>
      </c>
      <c r="E5933" s="87" t="str">
        <f>IFERROR(__xludf.DUMMYFUNCTION("""COMPUTED_VALUE"""),"Vi lượng Basel IDA 47")</f>
        <v>Vi lượng Basel IDA 47</v>
      </c>
      <c r="F5933" s="87" t="str">
        <f>IFERROR(__xludf.DUMMYFUNCTION("""COMPUTED_VALUE"""),"HH4928")</f>
        <v>HH4928</v>
      </c>
      <c r="G5933" s="87" t="str">
        <f>IFERROR(__xludf.DUMMYFUNCTION("""COMPUTED_VALUE"""),"IDA Global - I - 4928 - CTY TÂN THÀNH - FLOWER TOP SC (Nước trắng sữa) - 500ml - 40")</f>
        <v>IDA Global - I - 4928 - CTY TÂN THÀNH - FLOWER TOP SC (Nước trắng sữa) - 500ml - 40</v>
      </c>
    </row>
    <row r="5934">
      <c r="A5934" s="86">
        <f>IFERROR(__xludf.DUMMYFUNCTION("""COMPUTED_VALUE"""),5932.0)</f>
        <v>5932</v>
      </c>
      <c r="B5934" s="87" t="str">
        <f>IFERROR(__xludf.DUMMYFUNCTION("""COMPUTED_VALUE"""),"[Nhãn Thùng]")</f>
        <v>[Nhãn Thùng]</v>
      </c>
      <c r="C5934" s="87" t="str">
        <f>IFERROR(__xludf.DUMMYFUNCTION("""COMPUTED_VALUE"""),"NDT4485")</f>
        <v>NDT4485</v>
      </c>
      <c r="D5934" s="87" t="str">
        <f>IFERROR(__xludf.DUMMYFUNCTION("""COMPUTED_VALUE"""),"[Nhãn Thùng] IDA Global - I - 4485 - ĐL Phong Chi - BIGMAX (Nước trắng sữa) - 450ml - 40")</f>
        <v>[Nhãn Thùng] IDA Global - I - 4485 - ĐL Phong Chi - BIGMAX (Nước trắng sữa) - 450ml - 40</v>
      </c>
      <c r="E5934" s="87" t="str">
        <f>IFERROR(__xludf.DUMMYFUNCTION("""COMPUTED_VALUE"""),"Vi lượng Basel IDA 47")</f>
        <v>Vi lượng Basel IDA 47</v>
      </c>
      <c r="F5934" s="87" t="str">
        <f>IFERROR(__xludf.DUMMYFUNCTION("""COMPUTED_VALUE"""),"HH4485")</f>
        <v>HH4485</v>
      </c>
      <c r="G5934" s="87" t="str">
        <f>IFERROR(__xludf.DUMMYFUNCTION("""COMPUTED_VALUE"""),"IDA Global - I - 4485 - ĐL Phong Chi - BIGMAX (Nước trắng sữa) - 450ml - 40")</f>
        <v>IDA Global - I - 4485 - ĐL Phong Chi - BIGMAX (Nước trắng sữa) - 450ml - 40</v>
      </c>
    </row>
    <row r="5935">
      <c r="A5935" s="86">
        <f>IFERROR(__xludf.DUMMYFUNCTION("""COMPUTED_VALUE"""),5933.0)</f>
        <v>5933</v>
      </c>
      <c r="B5935" s="87" t="str">
        <f>IFERROR(__xludf.DUMMYFUNCTION("""COMPUTED_VALUE"""),"[Nhãn]")</f>
        <v>[Nhãn]</v>
      </c>
      <c r="C5935" s="87" t="str">
        <f>IFERROR(__xludf.DUMMYFUNCTION("""COMPUTED_VALUE"""),"NHD4950")</f>
        <v>NHD4950</v>
      </c>
      <c r="D5935" s="87" t="str">
        <f>IFERROR(__xludf.DUMMYFUNCTION("""COMPUTED_VALUE"""),"[Nhãn] GC - V - 4950 - CTY HƯNG ĐIỀN AGRO - SONG KÍCH (Nước vàng trà) - 450ml - 40")</f>
        <v>[Nhãn] GC - V - 4950 - CTY HƯNG ĐIỀN AGRO - SONG KÍCH (Nước vàng trà) - 450ml - 40</v>
      </c>
      <c r="E5935" s="87" t="str">
        <f>IFERROR(__xludf.DUMMYFUNCTION("""COMPUTED_VALUE"""),"Thipro 550EC")</f>
        <v>Thipro 550EC</v>
      </c>
      <c r="F5935" s="87" t="str">
        <f>IFERROR(__xludf.DUMMYFUNCTION("""COMPUTED_VALUE"""),"HH4950")</f>
        <v>HH4950</v>
      </c>
      <c r="G5935" s="87" t="str">
        <f>IFERROR(__xludf.DUMMYFUNCTION("""COMPUTED_VALUE"""),"GC - V - 4950 - CTY HƯNG ĐIỀN AGRO - SONG KÍCH (Nước vàng trà) - 450ml - 40")</f>
        <v>GC - V - 4950 - CTY HƯNG ĐIỀN AGRO - SONG KÍCH (Nước vàng trà) - 450ml - 40</v>
      </c>
    </row>
    <row r="5936">
      <c r="A5936" s="86">
        <f>IFERROR(__xludf.DUMMYFUNCTION("""COMPUTED_VALUE"""),5934.0)</f>
        <v>5934</v>
      </c>
      <c r="B5936" s="87" t="str">
        <f>IFERROR(__xludf.DUMMYFUNCTION("""COMPUTED_VALUE"""),"[Nhãn Thùng]")</f>
        <v>[Nhãn Thùng]</v>
      </c>
      <c r="C5936" s="87" t="str">
        <f>IFERROR(__xludf.DUMMYFUNCTION("""COMPUTED_VALUE"""),"NDT4950")</f>
        <v>NDT4950</v>
      </c>
      <c r="D5936" s="87" t="str">
        <f>IFERROR(__xludf.DUMMYFUNCTION("""COMPUTED_VALUE"""),"[Nhãn Thùng] GC - V - 4950 - CTY HƯNG ĐIỀN AGRO - SONG KÍCH (Nước vàng trà) - 450ml - 40")</f>
        <v>[Nhãn Thùng] GC - V - 4950 - CTY HƯNG ĐIỀN AGRO - SONG KÍCH (Nước vàng trà) - 450ml - 40</v>
      </c>
      <c r="E5936" s="87" t="str">
        <f>IFERROR(__xludf.DUMMYFUNCTION("""COMPUTED_VALUE"""),"Thipro 550EC")</f>
        <v>Thipro 550EC</v>
      </c>
      <c r="F5936" s="87" t="str">
        <f>IFERROR(__xludf.DUMMYFUNCTION("""COMPUTED_VALUE"""),"HH4950")</f>
        <v>HH4950</v>
      </c>
      <c r="G5936" s="87" t="str">
        <f>IFERROR(__xludf.DUMMYFUNCTION("""COMPUTED_VALUE"""),"GC - V - 4950 - CTY HƯNG ĐIỀN AGRO - SONG KÍCH (Nước vàng trà) - 450ml - 40")</f>
        <v>GC - V - 4950 - CTY HƯNG ĐIỀN AGRO - SONG KÍCH (Nước vàng trà) - 450ml - 40</v>
      </c>
    </row>
    <row r="5937">
      <c r="A5937" s="86">
        <f>IFERROR(__xludf.DUMMYFUNCTION("""COMPUTED_VALUE"""),5935.0)</f>
        <v>5935</v>
      </c>
      <c r="B5937" s="87" t="str">
        <f>IFERROR(__xludf.DUMMYFUNCTION("""COMPUTED_VALUE"""),"[Nhãn]")</f>
        <v>[Nhãn]</v>
      </c>
      <c r="C5937" s="87" t="str">
        <f>IFERROR(__xludf.DUMMYFUNCTION("""COMPUTED_VALUE"""),"NHG4952")</f>
        <v>NHG4952</v>
      </c>
      <c r="D5937" s="87" t="str">
        <f>IFERROR(__xludf.DUMMYFUNCTION("""COMPUTED_VALUE"""),"[Nhãn] GC - V - 4952 - CTY SK JAPAN - 3.6 DUC (Nước nâu đen) - 450ml - 40")</f>
        <v>[Nhãn] GC - V - 4952 - CTY SK JAPAN - 3.6 DUC (Nước nâu đen) - 450ml - 40</v>
      </c>
      <c r="E5937" s="87" t="str">
        <f>IFERROR(__xludf.DUMMYFUNCTION("""COMPUTED_VALUE"""),"HAIHAMEC 3.6EC")</f>
        <v>HAIHAMEC 3.6EC</v>
      </c>
      <c r="F5937" s="87" t="str">
        <f>IFERROR(__xludf.DUMMYFUNCTION("""COMPUTED_VALUE"""),"HH4952")</f>
        <v>HH4952</v>
      </c>
      <c r="G5937" s="87" t="str">
        <f>IFERROR(__xludf.DUMMYFUNCTION("""COMPUTED_VALUE"""),"GC - V - 4952 - CTY SK JAPAN - 3.6 DUC (Nước nâu đen) - 450ml - 40")</f>
        <v>GC - V - 4952 - CTY SK JAPAN - 3.6 DUC (Nước nâu đen) - 450ml - 40</v>
      </c>
    </row>
    <row r="5938">
      <c r="A5938" s="86">
        <f>IFERROR(__xludf.DUMMYFUNCTION("""COMPUTED_VALUE"""),5936.0)</f>
        <v>5936</v>
      </c>
      <c r="B5938" s="87" t="str">
        <f>IFERROR(__xludf.DUMMYFUNCTION("""COMPUTED_VALUE"""),"[Nhãn Thùng]")</f>
        <v>[Nhãn Thùng]</v>
      </c>
      <c r="C5938" s="87" t="str">
        <f>IFERROR(__xludf.DUMMYFUNCTION("""COMPUTED_VALUE"""),"NDT4944")</f>
        <v>NDT4944</v>
      </c>
      <c r="D5938" s="87" t="str">
        <f>IFERROR(__xludf.DUMMYFUNCTION("""COMPUTED_VALUE"""),"[Nhãn Thùng] LOT IDA Global - I - 4944 - ĐL Trịnh Thến - Sư Tử Gold (Nước nâu đen) - 450ml - 40")</f>
        <v>[Nhãn Thùng] LOT IDA Global - I - 4944 - ĐL Trịnh Thến - Sư Tử Gold (Nước nâu đen) - 450ml - 40</v>
      </c>
      <c r="E5938" s="87" t="str">
        <f>IFERROR(__xludf.DUMMYFUNCTION("""COMPUTED_VALUE"""),"Chitin 3.6EC")</f>
        <v>Chitin 3.6EC</v>
      </c>
      <c r="F5938" s="87" t="str">
        <f>IFERROR(__xludf.DUMMYFUNCTION("""COMPUTED_VALUE"""),"HH4944")</f>
        <v>HH4944</v>
      </c>
      <c r="G5938" s="87" t="str">
        <f>IFERROR(__xludf.DUMMYFUNCTION("""COMPUTED_VALUE"""),"LOT IDA Global - I - 4944 - ĐL Trịnh Thến - Sư Tử Gold (Nước nâu đen) - 450ml - 40")</f>
        <v>LOT IDA Global - I - 4944 - ĐL Trịnh Thến - Sư Tử Gold (Nước nâu đen) - 450ml - 40</v>
      </c>
    </row>
    <row r="5939">
      <c r="A5939" s="86">
        <f>IFERROR(__xludf.DUMMYFUNCTION("""COMPUTED_VALUE"""),5937.0)</f>
        <v>5937</v>
      </c>
      <c r="B5939" s="87" t="str">
        <f>IFERROR(__xludf.DUMMYFUNCTION("""COMPUTED_VALUE"""),"[Nhãn]")</f>
        <v>[Nhãn]</v>
      </c>
      <c r="C5939" s="87" t="str">
        <f>IFERROR(__xludf.DUMMYFUNCTION("""COMPUTED_VALUE"""),"NTN4954")</f>
        <v>NTN4954</v>
      </c>
      <c r="D5939" s="87" t="str">
        <f>IFERROR(__xludf.DUMMYFUNCTION("""COMPUTED_VALUE"""),"[Nhãn] IDA Global - I - 4954 - IDA VIL (Vàng) (nước vàng) - 1L - 20")</f>
        <v>[Nhãn] IDA Global - I - 4954 - IDA VIL (Vàng) (nước vàng) - 1L - 20</v>
      </c>
      <c r="E5939" s="87" t="str">
        <f>IFERROR(__xludf.DUMMYFUNCTION("""COMPUTED_VALUE"""),"Mekongvil 5SC")</f>
        <v>Mekongvil 5SC</v>
      </c>
      <c r="F5939" s="87" t="str">
        <f>IFERROR(__xludf.DUMMYFUNCTION("""COMPUTED_VALUE"""),"HH4954")</f>
        <v>HH4954</v>
      </c>
      <c r="G5939" s="87" t="str">
        <f>IFERROR(__xludf.DUMMYFUNCTION("""COMPUTED_VALUE"""),"IDA Global - I - 4954 - IDA VIL (Vàng) (nước vàng) - 1L - 20")</f>
        <v>IDA Global - I - 4954 - IDA VIL (Vàng) (nước vàng) - 1L - 20</v>
      </c>
    </row>
    <row r="5940">
      <c r="A5940" s="86">
        <f>IFERROR(__xludf.DUMMYFUNCTION("""COMPUTED_VALUE"""),5938.0)</f>
        <v>5938</v>
      </c>
      <c r="B5940" s="87" t="str">
        <f>IFERROR(__xludf.DUMMYFUNCTION("""COMPUTED_VALUE"""),"[Nhãn]")</f>
        <v>[Nhãn]</v>
      </c>
      <c r="C5940" s="87" t="str">
        <f>IFERROR(__xludf.DUMMYFUNCTION("""COMPUTED_VALUE"""),"NTN4955")</f>
        <v>NTN4955</v>
      </c>
      <c r="D5940" s="87" t="str">
        <f>IFERROR(__xludf.DUMMYFUNCTION("""COMPUTED_VALUE"""),"[Nhãn] LOT IDA - I - 4955 - MEKONGVIL 5SC (xanh lá)(nước trắng sữa) - 1L - 20")</f>
        <v>[Nhãn] LOT IDA - I - 4955 - MEKONGVIL 5SC (xanh lá)(nước trắng sữa) - 1L - 20</v>
      </c>
      <c r="E5940" s="87" t="str">
        <f>IFERROR(__xludf.DUMMYFUNCTION("""COMPUTED_VALUE"""),"Mekongvil 5SC")</f>
        <v>Mekongvil 5SC</v>
      </c>
      <c r="F5940" s="87" t="str">
        <f>IFERROR(__xludf.DUMMYFUNCTION("""COMPUTED_VALUE"""),"HH4955")</f>
        <v>HH4955</v>
      </c>
      <c r="G5940" s="87" t="str">
        <f>IFERROR(__xludf.DUMMYFUNCTION("""COMPUTED_VALUE"""),"LOT IDA - I - 4955 - MEKONGVIL 5SC (xanh lá)(nước trắng sữa) - 1L - 20")</f>
        <v>LOT IDA - I - 4955 - MEKONGVIL 5SC (xanh lá)(nước trắng sữa) - 1L - 20</v>
      </c>
    </row>
    <row r="5941">
      <c r="A5941" s="86">
        <f>IFERROR(__xludf.DUMMYFUNCTION("""COMPUTED_VALUE"""),5939.0)</f>
        <v>5939</v>
      </c>
      <c r="B5941" s="87" t="str">
        <f>IFERROR(__xludf.DUMMYFUNCTION("""COMPUTED_VALUE"""),"[Nhãn]")</f>
        <v>[Nhãn]</v>
      </c>
      <c r="C5941" s="87" t="str">
        <f>IFERROR(__xludf.DUMMYFUNCTION("""COMPUTED_VALUE"""),"NHG4956")</f>
        <v>NHG4956</v>
      </c>
      <c r="D5941" s="87" t="str">
        <f>IFERROR(__xludf.DUMMYFUNCTION("""COMPUTED_VALUE"""),"[Nhãn] GC - V - 4956 -  CTY JAPAN CROP SCIENCE - BÙ KẸP ĐEN (Nước nâu đen) - 450ml - 40")</f>
        <v>[Nhãn] GC - V - 4956 -  CTY JAPAN CROP SCIENCE - BÙ KẸP ĐEN (Nước nâu đen) - 450ml - 40</v>
      </c>
      <c r="E5941" s="87" t="str">
        <f>IFERROR(__xludf.DUMMYFUNCTION("""COMPUTED_VALUE"""),"HAIHAMEC 3.6EC")</f>
        <v>HAIHAMEC 3.6EC</v>
      </c>
      <c r="F5941" s="87" t="str">
        <f>IFERROR(__xludf.DUMMYFUNCTION("""COMPUTED_VALUE"""),"HH4956")</f>
        <v>HH4956</v>
      </c>
      <c r="G5941" s="87" t="str">
        <f>IFERROR(__xludf.DUMMYFUNCTION("""COMPUTED_VALUE"""),"GC - V - 4956 -  CTY JAPAN CROP SCIENCE - BÙ KẸP ĐEN (Nước nâu đen) - 450ml - 40")</f>
        <v>GC - V - 4956 -  CTY JAPAN CROP SCIENCE - BÙ KẸP ĐEN (Nước nâu đen) - 450ml - 40</v>
      </c>
    </row>
    <row r="5942">
      <c r="A5942" s="86">
        <f>IFERROR(__xludf.DUMMYFUNCTION("""COMPUTED_VALUE"""),5940.0)</f>
        <v>5940</v>
      </c>
      <c r="B5942" s="87" t="str">
        <f>IFERROR(__xludf.DUMMYFUNCTION("""COMPUTED_VALUE"""),"[Nhãn]")</f>
        <v>[Nhãn]</v>
      </c>
      <c r="C5942" s="87" t="str">
        <f>IFERROR(__xludf.DUMMYFUNCTION("""COMPUTED_VALUE"""),"NHG4127")</f>
        <v>NHG4127</v>
      </c>
      <c r="D5942" s="87" t="str">
        <f>IFERROR(__xludf.DUMMYFUNCTION("""COMPUTED_VALUE"""),"[Nhãn] IDA Global - I - 4127 - IDA Winner SC (Nước nâu đen) - 500ml - 40")</f>
        <v>[Nhãn] IDA Global - I - 4127 - IDA Winner SC (Nước nâu đen) - 500ml - 40</v>
      </c>
      <c r="E5942" s="87" t="str">
        <f>IFERROR(__xludf.DUMMYFUNCTION("""COMPUTED_VALUE"""),"Hữu Cơ Organic ĐGP 01")</f>
        <v>Hữu Cơ Organic ĐGP 01</v>
      </c>
      <c r="F5942" s="87" t="str">
        <f>IFERROR(__xludf.DUMMYFUNCTION("""COMPUTED_VALUE"""),"HH4127")</f>
        <v>HH4127</v>
      </c>
      <c r="G5942" s="87" t="str">
        <f>IFERROR(__xludf.DUMMYFUNCTION("""COMPUTED_VALUE"""),"IDA Global - I - 4127 - IDA Winner SC (Nước nâu đen) - 500ml - 40")</f>
        <v>IDA Global - I - 4127 - IDA Winner SC (Nước nâu đen) - 500ml - 40</v>
      </c>
    </row>
    <row r="5943">
      <c r="A5943" s="86">
        <f>IFERROR(__xludf.DUMMYFUNCTION("""COMPUTED_VALUE"""),5941.0)</f>
        <v>5941</v>
      </c>
      <c r="B5943" s="87" t="str">
        <f>IFERROR(__xludf.DUMMYFUNCTION("""COMPUTED_VALUE"""),"[Nhãn]")</f>
        <v>[Nhãn]</v>
      </c>
      <c r="C5943" s="87" t="str">
        <f>IFERROR(__xludf.DUMMYFUNCTION("""COMPUTED_VALUE"""),"NHG4957")</f>
        <v>NHG4957</v>
      </c>
      <c r="D5943" s="87" t="str">
        <f>IFERROR(__xludf.DUMMYFUNCTION("""COMPUTED_VALUE"""),"[Nhãn] GC - V - 4957 - CTY R3 - R3VIL 110 (Nước trắng sữa) - 1L - 20")</f>
        <v>[Nhãn] GC - V - 4957 - CTY R3 - R3VIL 110 (Nước trắng sữa) - 1L - 20</v>
      </c>
      <c r="E5943" s="87" t="str">
        <f>IFERROR(__xludf.DUMMYFUNCTION("""COMPUTED_VALUE"""),"JAPA VIL 110SC")</f>
        <v>JAPA VIL 110SC</v>
      </c>
      <c r="F5943" s="87" t="str">
        <f>IFERROR(__xludf.DUMMYFUNCTION("""COMPUTED_VALUE"""),"HH4957")</f>
        <v>HH4957</v>
      </c>
      <c r="G5943" s="87" t="str">
        <f>IFERROR(__xludf.DUMMYFUNCTION("""COMPUTED_VALUE"""),"GC - V - 4957 - CTY R3 - R3VIL 110 (Nước trắng sữa) - 1L - 20")</f>
        <v>GC - V - 4957 - CTY R3 - R3VIL 110 (Nước trắng sữa) - 1L - 20</v>
      </c>
    </row>
    <row r="5944">
      <c r="A5944" s="86">
        <f>IFERROR(__xludf.DUMMYFUNCTION("""COMPUTED_VALUE"""),5942.0)</f>
        <v>5942</v>
      </c>
      <c r="B5944" s="87" t="str">
        <f>IFERROR(__xludf.DUMMYFUNCTION("""COMPUTED_VALUE"""),"[Nhãn]")</f>
        <v>[Nhãn]</v>
      </c>
      <c r="C5944" s="87" t="str">
        <f>IFERROR(__xludf.DUMMYFUNCTION("""COMPUTED_VALUE"""),"NHG4948")</f>
        <v>NHG4948</v>
      </c>
      <c r="D5944" s="87" t="str">
        <f>IFERROR(__xludf.DUMMYFUNCTION("""COMPUTED_VALUE"""),"[Nhãn] GC - V - 4948 - AGROCHEM KOREA - ABA DIE - OC (Nước nâu đen) - 400ml - 40")</f>
        <v>[Nhãn] GC - V - 4948 - AGROCHEM KOREA - ABA DIE - OC (Nước nâu đen) - 400ml - 40</v>
      </c>
      <c r="E5944" s="87" t="str">
        <f>IFERROR(__xludf.DUMMYFUNCTION("""COMPUTED_VALUE"""),"HAIHAMEC 3.6EC")</f>
        <v>HAIHAMEC 3.6EC</v>
      </c>
      <c r="F5944" s="87" t="str">
        <f>IFERROR(__xludf.DUMMYFUNCTION("""COMPUTED_VALUE"""),"HH4948")</f>
        <v>HH4948</v>
      </c>
      <c r="G5944" s="87" t="str">
        <f>IFERROR(__xludf.DUMMYFUNCTION("""COMPUTED_VALUE"""),"GC - V - 4948 - AGROCHEM KOREA - ABA DIE - OC (Nước nâu đen) - 400ml - 40")</f>
        <v>GC - V - 4948 - AGROCHEM KOREA - ABA DIE - OC (Nước nâu đen) - 400ml - 40</v>
      </c>
    </row>
    <row r="5945">
      <c r="A5945" s="86">
        <f>IFERROR(__xludf.DUMMYFUNCTION("""COMPUTED_VALUE"""),5943.0)</f>
        <v>5943</v>
      </c>
      <c r="B5945" s="87" t="str">
        <f>IFERROR(__xludf.DUMMYFUNCTION("""COMPUTED_VALUE"""),"[Nhãn]")</f>
        <v>[Nhãn]</v>
      </c>
      <c r="C5945" s="87" t="str">
        <f>IFERROR(__xludf.DUMMYFUNCTION("""COMPUTED_VALUE"""),"NHG4949")</f>
        <v>NHG4949</v>
      </c>
      <c r="D5945" s="87" t="str">
        <f>IFERROR(__xludf.DUMMYFUNCTION("""COMPUTED_VALUE"""),"[Nhãn] GC - V - 4949 - AGROCHEM KOREA - TATOC 4.6 (Nước nâu đen) - 450ml - 40")</f>
        <v>[Nhãn] GC - V - 4949 - AGROCHEM KOREA - TATOC 4.6 (Nước nâu đen) - 450ml - 40</v>
      </c>
      <c r="E5945" s="87" t="str">
        <f>IFERROR(__xludf.DUMMYFUNCTION("""COMPUTED_VALUE"""),"HAIHAMEC 3.6EC")</f>
        <v>HAIHAMEC 3.6EC</v>
      </c>
      <c r="F5945" s="87" t="str">
        <f>IFERROR(__xludf.DUMMYFUNCTION("""COMPUTED_VALUE"""),"HH4949")</f>
        <v>HH4949</v>
      </c>
      <c r="G5945" s="87" t="str">
        <f>IFERROR(__xludf.DUMMYFUNCTION("""COMPUTED_VALUE"""),"GC - V - 4949 - AGROCHEM KOREA - TATOC 4.6 (Nước nâu đen) - 450ml - 40")</f>
        <v>GC - V - 4949 - AGROCHEM KOREA - TATOC 4.6 (Nước nâu đen) - 450ml - 40</v>
      </c>
    </row>
    <row r="5946">
      <c r="A5946" s="86">
        <f>IFERROR(__xludf.DUMMYFUNCTION("""COMPUTED_VALUE"""),5944.0)</f>
        <v>5944</v>
      </c>
      <c r="B5946" s="87" t="str">
        <f>IFERROR(__xludf.DUMMYFUNCTION("""COMPUTED_VALUE"""),"[Nhãn]")</f>
        <v>[Nhãn]</v>
      </c>
      <c r="C5946" s="87" t="str">
        <f>IFERROR(__xludf.DUMMYFUNCTION("""COMPUTED_VALUE"""),"NHG4941")</f>
        <v>NHG4941</v>
      </c>
      <c r="D5946" s="87" t="str">
        <f>IFERROR(__xludf.DUMMYFUNCTION("""COMPUTED_VALUE"""),"[Nhãn] GC - V - 4941 - CTY NEWTEX - SẠCH LEM LÉP 3X (Nước xanh dương) - 400ml - 40")</f>
        <v>[Nhãn] GC - V - 4941 - CTY NEWTEX - SẠCH LEM LÉP 3X (Nước xanh dương) - 400ml - 40</v>
      </c>
      <c r="E5946" s="87" t="str">
        <f>IFERROR(__xludf.DUMMYFUNCTION("""COMPUTED_VALUE"""),"Center super 333EC")</f>
        <v>Center super 333EC</v>
      </c>
      <c r="F5946" s="87" t="str">
        <f>IFERROR(__xludf.DUMMYFUNCTION("""COMPUTED_VALUE"""),"HH4941")</f>
        <v>HH4941</v>
      </c>
      <c r="G5946" s="87" t="str">
        <f>IFERROR(__xludf.DUMMYFUNCTION("""COMPUTED_VALUE"""),"GC - V - 4941 - CTY NEWTEX - SẠCH LEM LÉP 3X (Nước xanh dương) - 400ml - 40")</f>
        <v>GC - V - 4941 - CTY NEWTEX - SẠCH LEM LÉP 3X (Nước xanh dương) - 400ml - 40</v>
      </c>
    </row>
    <row r="5947">
      <c r="A5947" s="86">
        <f>IFERROR(__xludf.DUMMYFUNCTION("""COMPUTED_VALUE"""),5945.0)</f>
        <v>5945</v>
      </c>
      <c r="B5947" s="87" t="str">
        <f>IFERROR(__xludf.DUMMYFUNCTION("""COMPUTED_VALUE"""),"[Nhãn]")</f>
        <v>[Nhãn]</v>
      </c>
      <c r="C5947" s="87" t="str">
        <f>IFERROR(__xludf.DUMMYFUNCTION("""COMPUTED_VALUE"""),"NHG4908")</f>
        <v>NHG4908</v>
      </c>
      <c r="D5947" s="87" t="str">
        <f>IFERROR(__xludf.DUMMYFUNCTION("""COMPUTED_VALUE"""),"[Nhãn] GC - V - 4908 - HÓA NÔNG SHINO - CỨNG CÂY K40 (Nước nâu đen) - 450ml - 30")</f>
        <v>[Nhãn] GC - V - 4908 - HÓA NÔNG SHINO - CỨNG CÂY K40 (Nước nâu đen) - 450ml - 30</v>
      </c>
      <c r="E5947" s="87" t="str">
        <f>IFERROR(__xludf.DUMMYFUNCTION("""COMPUTED_VALUE"""),"Vi Lượng G.A 05")</f>
        <v>Vi Lượng G.A 05</v>
      </c>
      <c r="F5947" s="87" t="str">
        <f>IFERROR(__xludf.DUMMYFUNCTION("""COMPUTED_VALUE"""),"HH4908")</f>
        <v>HH4908</v>
      </c>
      <c r="G5947" s="87" t="str">
        <f>IFERROR(__xludf.DUMMYFUNCTION("""COMPUTED_VALUE"""),"GC - V - 4908 - HÓA NÔNG SHINO - CỨNG CÂY K40 (Nước nâu đen) - 450ml - 30")</f>
        <v>GC - V - 4908 - HÓA NÔNG SHINO - CỨNG CÂY K40 (Nước nâu đen) - 450ml - 30</v>
      </c>
    </row>
    <row r="5948">
      <c r="A5948" s="86">
        <f>IFERROR(__xludf.DUMMYFUNCTION("""COMPUTED_VALUE"""),5946.0)</f>
        <v>5946</v>
      </c>
      <c r="B5948" s="87" t="str">
        <f>IFERROR(__xludf.DUMMYFUNCTION("""COMPUTED_VALUE"""),"[Nhãn]")</f>
        <v>[Nhãn]</v>
      </c>
      <c r="C5948" s="87" t="str">
        <f>IFERROR(__xludf.DUMMYFUNCTION("""COMPUTED_VALUE"""),"NHG4953")</f>
        <v>NHG4953</v>
      </c>
      <c r="D5948" s="87" t="str">
        <f>IFERROR(__xludf.DUMMYFUNCTION("""COMPUTED_VALUE"""),"[Nhãn] IDA Global - I - 4953 - ĐL HOÀNG HOA - CỨNG CÂY GOLD (Nước nâu đen) - 500ml - 40")</f>
        <v>[Nhãn] IDA Global - I - 4953 - ĐL HOÀNG HOA - CỨNG CÂY GOLD (Nước nâu đen) - 500ml - 40</v>
      </c>
      <c r="E5948" s="87" t="str">
        <f>IFERROR(__xludf.DUMMYFUNCTION("""COMPUTED_VALUE"""),"Hữu cơ SH Agro Organic Fertilizer 20")</f>
        <v>Hữu cơ SH Agro Organic Fertilizer 20</v>
      </c>
      <c r="F5948" s="87" t="str">
        <f>IFERROR(__xludf.DUMMYFUNCTION("""COMPUTED_VALUE"""),"HH4953")</f>
        <v>HH4953</v>
      </c>
      <c r="G5948" s="87" t="str">
        <f>IFERROR(__xludf.DUMMYFUNCTION("""COMPUTED_VALUE"""),"IDA Global - I - 4953 - ĐL HOÀNG HOA - CỨNG CÂY GOLD (Nước nâu đen) - 500ml - 40")</f>
        <v>IDA Global - I - 4953 - ĐL HOÀNG HOA - CỨNG CÂY GOLD (Nước nâu đen) - 500ml - 40</v>
      </c>
    </row>
    <row r="5949">
      <c r="A5949" s="86">
        <f>IFERROR(__xludf.DUMMYFUNCTION("""COMPUTED_VALUE"""),5947.0)</f>
        <v>5947</v>
      </c>
      <c r="B5949" s="87" t="str">
        <f>IFERROR(__xludf.DUMMYFUNCTION("""COMPUTED_VALUE"""),"[Nhãn Thùng]")</f>
        <v>[Nhãn Thùng]</v>
      </c>
      <c r="C5949" s="87" t="str">
        <f>IFERROR(__xludf.DUMMYFUNCTION("""COMPUTED_VALUE"""),"NDT4963")</f>
        <v>NDT4963</v>
      </c>
      <c r="D5949" s="87" t="str">
        <f>IFERROR(__xludf.DUMMYFUNCTION("""COMPUTED_VALUE"""),"[Nhãn Thùng] GC - V - 4963 - CTY AGROCHEM KOREA - BÒ CẠP ĐEN (Nước nâu đen) - 450ml - 40")</f>
        <v>[Nhãn Thùng] GC - V - 4963 - CTY AGROCHEM KOREA - BÒ CẠP ĐEN (Nước nâu đen) - 450ml - 40</v>
      </c>
      <c r="E5949" s="87" t="str">
        <f>IFERROR(__xludf.DUMMYFUNCTION("""COMPUTED_VALUE"""),"HAIHAMEC 3.6EC")</f>
        <v>HAIHAMEC 3.6EC</v>
      </c>
      <c r="F5949" s="87" t="str">
        <f>IFERROR(__xludf.DUMMYFUNCTION("""COMPUTED_VALUE"""),"HH4963")</f>
        <v>HH4963</v>
      </c>
      <c r="G5949" s="87" t="str">
        <f>IFERROR(__xludf.DUMMYFUNCTION("""COMPUTED_VALUE"""),"GC - V - 4963 - CTY AGROCHEM KOREA - BÒ CẠP ĐEN (Nước nâu đen) - 450ml - 40")</f>
        <v>GC - V - 4963 - CTY AGROCHEM KOREA - BÒ CẠP ĐEN (Nước nâu đen) - 450ml - 40</v>
      </c>
    </row>
    <row r="5950">
      <c r="A5950" s="86">
        <f>IFERROR(__xludf.DUMMYFUNCTION("""COMPUTED_VALUE"""),5948.0)</f>
        <v>5948</v>
      </c>
      <c r="B5950" s="87" t="str">
        <f>IFERROR(__xludf.DUMMYFUNCTION("""COMPUTED_VALUE"""),"[Nhãn]")</f>
        <v>[Nhãn]</v>
      </c>
      <c r="C5950" s="87" t="str">
        <f>IFERROR(__xludf.DUMMYFUNCTION("""COMPUTED_VALUE"""),"NHD4963")</f>
        <v>NHD4963</v>
      </c>
      <c r="D5950" s="87" t="str">
        <f>IFERROR(__xludf.DUMMYFUNCTION("""COMPUTED_VALUE"""),"[Nhãn] GC - V - 4963 - CTY AGROCHEM KOREA - BÒ CẠP ĐEN (Nước nâu đen) - 450ml - 40")</f>
        <v>[Nhãn] GC - V - 4963 - CTY AGROCHEM KOREA - BÒ CẠP ĐEN (Nước nâu đen) - 450ml - 40</v>
      </c>
      <c r="E5950" s="87" t="str">
        <f>IFERROR(__xludf.DUMMYFUNCTION("""COMPUTED_VALUE"""),"HAIHAMEC 3.6EC")</f>
        <v>HAIHAMEC 3.6EC</v>
      </c>
      <c r="F5950" s="87" t="str">
        <f>IFERROR(__xludf.DUMMYFUNCTION("""COMPUTED_VALUE"""),"HH4963")</f>
        <v>HH4963</v>
      </c>
      <c r="G5950" s="87" t="str">
        <f>IFERROR(__xludf.DUMMYFUNCTION("""COMPUTED_VALUE"""),"GC - V - 4963 - CTY AGROCHEM KOREA - BÒ CẠP ĐEN (Nước nâu đen) - 450ml - 40")</f>
        <v>GC - V - 4963 - CTY AGROCHEM KOREA - BÒ CẠP ĐEN (Nước nâu đen) - 450ml - 40</v>
      </c>
    </row>
    <row r="5951">
      <c r="A5951" s="86">
        <f>IFERROR(__xludf.DUMMYFUNCTION("""COMPUTED_VALUE"""),5949.0)</f>
        <v>5949</v>
      </c>
      <c r="B5951" s="87" t="str">
        <f>IFERROR(__xludf.DUMMYFUNCTION("""COMPUTED_VALUE"""),"[Nhãn Thùng]")</f>
        <v>[Nhãn Thùng]</v>
      </c>
      <c r="C5951" s="87" t="str">
        <f>IFERROR(__xludf.DUMMYFUNCTION("""COMPUTED_VALUE"""),"NDT4962")</f>
        <v>NDT4962</v>
      </c>
      <c r="D5951" s="87" t="str">
        <f>IFERROR(__xludf.DUMMYFUNCTION("""COMPUTED_VALUE"""),"[Nhãn Thùng] GC - V - 4962 - CTY AGROCHEM KOREA - ABA THAI 5.0 (Nước nâu đen) - 450ml - 40")</f>
        <v>[Nhãn Thùng] GC - V - 4962 - CTY AGROCHEM KOREA - ABA THAI 5.0 (Nước nâu đen) - 450ml - 40</v>
      </c>
      <c r="E5951" s="87" t="str">
        <f>IFERROR(__xludf.DUMMYFUNCTION("""COMPUTED_VALUE"""),"HAIHAMEC 3.6EC")</f>
        <v>HAIHAMEC 3.6EC</v>
      </c>
      <c r="F5951" s="87" t="str">
        <f>IFERROR(__xludf.DUMMYFUNCTION("""COMPUTED_VALUE"""),"HH4962")</f>
        <v>HH4962</v>
      </c>
      <c r="G5951" s="87" t="str">
        <f>IFERROR(__xludf.DUMMYFUNCTION("""COMPUTED_VALUE"""),"GC - V - 4962 - CTY AGROCHEM KOREA - ABA THAI 5.0 (Nước nâu đen) - 450ml - 40")</f>
        <v>GC - V - 4962 - CTY AGROCHEM KOREA - ABA THAI 5.0 (Nước nâu đen) - 450ml - 40</v>
      </c>
    </row>
    <row r="5952">
      <c r="A5952" s="86">
        <f>IFERROR(__xludf.DUMMYFUNCTION("""COMPUTED_VALUE"""),5950.0)</f>
        <v>5950</v>
      </c>
      <c r="B5952" s="87" t="str">
        <f>IFERROR(__xludf.DUMMYFUNCTION("""COMPUTED_VALUE"""),"[Nhãn]")</f>
        <v>[Nhãn]</v>
      </c>
      <c r="C5952" s="87" t="str">
        <f>IFERROR(__xludf.DUMMYFUNCTION("""COMPUTED_VALUE"""),"NHD4962")</f>
        <v>NHD4962</v>
      </c>
      <c r="D5952" s="87" t="str">
        <f>IFERROR(__xludf.DUMMYFUNCTION("""COMPUTED_VALUE"""),"[Nhãn] GC - V - 4962 - CTY AGROCHEM KOREA - ABA THAI 5.0 (Nước nâu đen) - 450ml - 40")</f>
        <v>[Nhãn] GC - V - 4962 - CTY AGROCHEM KOREA - ABA THAI 5.0 (Nước nâu đen) - 450ml - 40</v>
      </c>
      <c r="E5952" s="87" t="str">
        <f>IFERROR(__xludf.DUMMYFUNCTION("""COMPUTED_VALUE"""),"HAIHAMEC 3.6EC")</f>
        <v>HAIHAMEC 3.6EC</v>
      </c>
      <c r="F5952" s="87" t="str">
        <f>IFERROR(__xludf.DUMMYFUNCTION("""COMPUTED_VALUE"""),"HH4962")</f>
        <v>HH4962</v>
      </c>
      <c r="G5952" s="87" t="str">
        <f>IFERROR(__xludf.DUMMYFUNCTION("""COMPUTED_VALUE"""),"GC - V - 4962 - CTY AGROCHEM KOREA - ABA THAI 5.0 (Nước nâu đen) - 450ml - 40")</f>
        <v>GC - V - 4962 - CTY AGROCHEM KOREA - ABA THAI 5.0 (Nước nâu đen) - 450ml - 40</v>
      </c>
    </row>
    <row r="5953">
      <c r="A5953" s="86">
        <f>IFERROR(__xludf.DUMMYFUNCTION("""COMPUTED_VALUE"""),5951.0)</f>
        <v>5951</v>
      </c>
      <c r="B5953" s="87" t="str">
        <f>IFERROR(__xludf.DUMMYFUNCTION("""COMPUTED_VALUE"""),"[Nhãn Thùng]")</f>
        <v>[Nhãn Thùng]</v>
      </c>
      <c r="C5953" s="87" t="str">
        <f>IFERROR(__xludf.DUMMYFUNCTION("""COMPUTED_VALUE"""),"NDT4961")</f>
        <v>NDT4961</v>
      </c>
      <c r="D5953" s="87" t="str">
        <f>IFERROR(__xludf.DUMMYFUNCTION("""COMPUTED_VALUE"""),"[Nhãn Thùng] GC - V - 4961 - CTY NÔNG NGHIỆP ĐĂNG KHOA - TO TRÁI ĐK VIP (Nước nâu đen) - 2L -10")</f>
        <v>[Nhãn Thùng] GC - V - 4961 - CTY NÔNG NGHIỆP ĐĂNG KHOA - TO TRÁI ĐK VIP (Nước nâu đen) - 2L -10</v>
      </c>
      <c r="E5953" s="87" t="str">
        <f>IFERROR(__xludf.DUMMYFUNCTION("""COMPUTED_VALUE"""),"Lá PK-Vi lượng SV 5-18")</f>
        <v>Lá PK-Vi lượng SV 5-18</v>
      </c>
      <c r="F5953" s="87" t="str">
        <f>IFERROR(__xludf.DUMMYFUNCTION("""COMPUTED_VALUE"""),"HH4961")</f>
        <v>HH4961</v>
      </c>
      <c r="G5953" s="87" t="str">
        <f>IFERROR(__xludf.DUMMYFUNCTION("""COMPUTED_VALUE"""),"GC - V - 4961 - CTY NÔNG NGHIỆP ĐĂNG KHOA - TO TRÁI ĐK VIP (Nước nâu đen) - 2L -10")</f>
        <v>GC - V - 4961 - CTY NÔNG NGHIỆP ĐĂNG KHOA - TO TRÁI ĐK VIP (Nước nâu đen) - 2L -10</v>
      </c>
    </row>
    <row r="5954">
      <c r="A5954" s="86">
        <f>IFERROR(__xludf.DUMMYFUNCTION("""COMPUTED_VALUE"""),5952.0)</f>
        <v>5952</v>
      </c>
      <c r="B5954" s="87" t="str">
        <f>IFERROR(__xludf.DUMMYFUNCTION("""COMPUTED_VALUE"""),"[Nhãn]")</f>
        <v>[Nhãn]</v>
      </c>
      <c r="C5954" s="87" t="str">
        <f>IFERROR(__xludf.DUMMYFUNCTION("""COMPUTED_VALUE"""),"NHD4961")</f>
        <v>NHD4961</v>
      </c>
      <c r="D5954" s="87" t="str">
        <f>IFERROR(__xludf.DUMMYFUNCTION("""COMPUTED_VALUE"""),"[Nhãn] GC - V - 4961 - CTY NÔNG NGHIỆP ĐĂNG KHOA - TO TRÁI ĐK VIP (Nước nâu đen) - 2L -10")</f>
        <v>[Nhãn] GC - V - 4961 - CTY NÔNG NGHIỆP ĐĂNG KHOA - TO TRÁI ĐK VIP (Nước nâu đen) - 2L -10</v>
      </c>
      <c r="E5954" s="87" t="str">
        <f>IFERROR(__xludf.DUMMYFUNCTION("""COMPUTED_VALUE"""),"Lá PK-Vi lượng SV 5-18")</f>
        <v>Lá PK-Vi lượng SV 5-18</v>
      </c>
      <c r="F5954" s="87" t="str">
        <f>IFERROR(__xludf.DUMMYFUNCTION("""COMPUTED_VALUE"""),"HH4961")</f>
        <v>HH4961</v>
      </c>
      <c r="G5954" s="87" t="str">
        <f>IFERROR(__xludf.DUMMYFUNCTION("""COMPUTED_VALUE"""),"GC - V - 4961 - CTY NÔNG NGHIỆP ĐĂNG KHOA - TO TRÁI ĐK VIP (Nước nâu đen) - 2L -10")</f>
        <v>GC - V - 4961 - CTY NÔNG NGHIỆP ĐĂNG KHOA - TO TRÁI ĐK VIP (Nước nâu đen) - 2L -10</v>
      </c>
    </row>
    <row r="5955">
      <c r="A5955" s="86">
        <f>IFERROR(__xludf.DUMMYFUNCTION("""COMPUTED_VALUE"""),5953.0)</f>
        <v>5953</v>
      </c>
      <c r="B5955" s="87" t="str">
        <f>IFERROR(__xludf.DUMMYFUNCTION("""COMPUTED_VALUE"""),"[Nhãn]")</f>
        <v>[Nhãn]</v>
      </c>
      <c r="C5955" s="87" t="str">
        <f>IFERROR(__xludf.DUMMYFUNCTION("""COMPUTED_VALUE"""),"NHG4631")</f>
        <v>NHG4631</v>
      </c>
      <c r="D5955" s="87" t="str">
        <f>IFERROR(__xludf.DUMMYFUNCTION("""COMPUTED_VALUE"""),"[Nhãn] GC - V - 4631 - GNH - SIÊU LỚN TRÁI (Nước nâu đen) - 500ml - 40")</f>
        <v>[Nhãn] GC - V - 4631 - GNH - SIÊU LỚN TRÁI (Nước nâu đen) - 500ml - 40</v>
      </c>
      <c r="E5955" s="87" t="str">
        <f>IFERROR(__xludf.DUMMYFUNCTION("""COMPUTED_VALUE"""),"Vi lượng Basel VA02")</f>
        <v>Vi lượng Basel VA02</v>
      </c>
      <c r="F5955" s="87" t="str">
        <f>IFERROR(__xludf.DUMMYFUNCTION("""COMPUTED_VALUE"""),"HH4631")</f>
        <v>HH4631</v>
      </c>
      <c r="G5955" s="87" t="str">
        <f>IFERROR(__xludf.DUMMYFUNCTION("""COMPUTED_VALUE"""),"GC - V - 4631 - GNH - SIÊU LỚN TRÁI (Nước nâu đen) - 500ml - 40")</f>
        <v>GC - V - 4631 - GNH - SIÊU LỚN TRÁI (Nước nâu đen) - 500ml - 40</v>
      </c>
    </row>
    <row r="5956">
      <c r="A5956" s="86">
        <f>IFERROR(__xludf.DUMMYFUNCTION("""COMPUTED_VALUE"""),5954.0)</f>
        <v>5954</v>
      </c>
      <c r="B5956" s="87" t="str">
        <f>IFERROR(__xludf.DUMMYFUNCTION("""COMPUTED_VALUE"""),"[Nhãn Thùng]")</f>
        <v>[Nhãn Thùng]</v>
      </c>
      <c r="C5956" s="87" t="str">
        <f>IFERROR(__xludf.DUMMYFUNCTION("""COMPUTED_VALUE"""),"NDT4959")</f>
        <v>NDT4959</v>
      </c>
      <c r="D5956" s="87" t="str">
        <f>IFERROR(__xludf.DUMMYFUNCTION("""COMPUTED_VALUE"""),"[Nhãn Thùng] GC - V - 4959 - CTY SEN HỒNG - HUMIIX (Dạng viên màu đen) - 1kg - 25")</f>
        <v>[Nhãn Thùng] GC - V - 4959 - CTY SEN HỒNG - HUMIIX (Dạng viên màu đen) - 1kg - 25</v>
      </c>
      <c r="E5956" s="87" t="str">
        <f>IFERROR(__xludf.DUMMYFUNCTION("""COMPUTED_VALUE"""),"Hữu cơ SH Agro Organic Fertilizer 20")</f>
        <v>Hữu cơ SH Agro Organic Fertilizer 20</v>
      </c>
      <c r="F5956" s="87" t="str">
        <f>IFERROR(__xludf.DUMMYFUNCTION("""COMPUTED_VALUE"""),"HH4959")</f>
        <v>HH4959</v>
      </c>
      <c r="G5956" s="87" t="str">
        <f>IFERROR(__xludf.DUMMYFUNCTION("""COMPUTED_VALUE"""),"GC - V - 4959 - CTY SEN HỒNG - HUMIIX (Dạng viên màu đen) - 1kg - 25")</f>
        <v>GC - V - 4959 - CTY SEN HỒNG - HUMIIX (Dạng viên màu đen) - 1kg - 25</v>
      </c>
    </row>
    <row r="5957">
      <c r="A5957" s="86">
        <f>IFERROR(__xludf.DUMMYFUNCTION("""COMPUTED_VALUE"""),5955.0)</f>
        <v>5955</v>
      </c>
      <c r="B5957" s="87" t="str">
        <f>IFERROR(__xludf.DUMMYFUNCTION("""COMPUTED_VALUE"""),"[Nhãn]")</f>
        <v>[Nhãn]</v>
      </c>
      <c r="C5957" s="87" t="str">
        <f>IFERROR(__xludf.DUMMYFUNCTION("""COMPUTED_VALUE"""),"NHG4947")</f>
        <v>NHG4947</v>
      </c>
      <c r="D5957" s="87" t="str">
        <f>IFERROR(__xludf.DUMMYFUNCTION("""COMPUTED_VALUE"""),"[Nhãn] GC - V - 4947 - CTY BIOCHEM TẤN PHÁT - AGAMA CANXI-BO (Nước trắng sữa) - 500ml - 40")</f>
        <v>[Nhãn] GC - V - 4947 - CTY BIOCHEM TẤN PHÁT - AGAMA CANXI-BO (Nước trắng sữa) - 500ml - 40</v>
      </c>
      <c r="E5957" s="87" t="str">
        <f>IFERROR(__xludf.DUMMYFUNCTION("""COMPUTED_VALUE"""),"Vi lượng AGAMA-CANXI BO")</f>
        <v>Vi lượng AGAMA-CANXI BO</v>
      </c>
      <c r="F5957" s="87" t="str">
        <f>IFERROR(__xludf.DUMMYFUNCTION("""COMPUTED_VALUE"""),"HH4947")</f>
        <v>HH4947</v>
      </c>
      <c r="G5957" s="87" t="str">
        <f>IFERROR(__xludf.DUMMYFUNCTION("""COMPUTED_VALUE"""),"GC - V - 4947 - CTY BIOCHEM TẤN PHÁT - AGAMA CANXI-BO (Nước trắng sữa) - 500ml - 40")</f>
        <v>GC - V - 4947 - CTY BIOCHEM TẤN PHÁT - AGAMA CANXI-BO (Nước trắng sữa) - 500ml - 40</v>
      </c>
    </row>
    <row r="5958">
      <c r="A5958" s="86">
        <f>IFERROR(__xludf.DUMMYFUNCTION("""COMPUTED_VALUE"""),5956.0)</f>
        <v>5956</v>
      </c>
      <c r="B5958" s="87" t="str">
        <f>IFERROR(__xludf.DUMMYFUNCTION("""COMPUTED_VALUE"""),"[Nhãn Thùng]")</f>
        <v>[Nhãn Thùng]</v>
      </c>
      <c r="C5958" s="87" t="str">
        <f>IFERROR(__xludf.DUMMYFUNCTION("""COMPUTED_VALUE"""),"NDT4947")</f>
        <v>NDT4947</v>
      </c>
      <c r="D5958" s="87" t="str">
        <f>IFERROR(__xludf.DUMMYFUNCTION("""COMPUTED_VALUE"""),"[Nhãn Thùng] GC - V - 4947 - CTY BIOCHEM TẤN PHÁT - AGAMA CANXI-BO (Nước trắng sữa) - 500ml - 40")</f>
        <v>[Nhãn Thùng] GC - V - 4947 - CTY BIOCHEM TẤN PHÁT - AGAMA CANXI-BO (Nước trắng sữa) - 500ml - 40</v>
      </c>
      <c r="E5958" s="87" t="str">
        <f>IFERROR(__xludf.DUMMYFUNCTION("""COMPUTED_VALUE"""),"Vi lượng AGAMA-CANXI BO")</f>
        <v>Vi lượng AGAMA-CANXI BO</v>
      </c>
      <c r="F5958" s="87" t="str">
        <f>IFERROR(__xludf.DUMMYFUNCTION("""COMPUTED_VALUE"""),"HH4947")</f>
        <v>HH4947</v>
      </c>
      <c r="G5958" s="87" t="str">
        <f>IFERROR(__xludf.DUMMYFUNCTION("""COMPUTED_VALUE"""),"GC - V - 4947 - CTY BIOCHEM TẤN PHÁT - AGAMA CANXI-BO (Nước trắng sữa) - 500ml - 40")</f>
        <v>GC - V - 4947 - CTY BIOCHEM TẤN PHÁT - AGAMA CANXI-BO (Nước trắng sữa) - 500ml - 40</v>
      </c>
    </row>
    <row r="5959">
      <c r="A5959" s="86">
        <f>IFERROR(__xludf.DUMMYFUNCTION("""COMPUTED_VALUE"""),5957.0)</f>
        <v>5957</v>
      </c>
      <c r="B5959" s="87" t="str">
        <f>IFERROR(__xludf.DUMMYFUNCTION("""COMPUTED_VALUE"""),"[Nhãn]")</f>
        <v>[Nhãn]</v>
      </c>
      <c r="C5959" s="87" t="str">
        <f>IFERROR(__xludf.DUMMYFUNCTION("""COMPUTED_VALUE"""),"NHG4958")</f>
        <v>NHG4958</v>
      </c>
      <c r="D5959" s="87" t="str">
        <f>IFERROR(__xludf.DUMMYFUNCTION("""COMPUTED_VALUE"""),"[Nhãn] GC - IV - 4958 - CTY USAFARM - FUSEMIN COMBI+ (Nước nâu đen) - 100ml - 50")</f>
        <v>[Nhãn] GC - IV - 4958 - CTY USAFARM - FUSEMIN COMBI+ (Nước nâu đen) - 100ml - 50</v>
      </c>
      <c r="E5959" s="87" t="str">
        <f>IFERROR(__xludf.DUMMYFUNCTION("""COMPUTED_VALUE"""),"Hữu cơ FUSEMIN COMBI+")</f>
        <v>Hữu cơ FUSEMIN COMBI+</v>
      </c>
      <c r="F5959" s="87" t="str">
        <f>IFERROR(__xludf.DUMMYFUNCTION("""COMPUTED_VALUE"""),"HH4958")</f>
        <v>HH4958</v>
      </c>
      <c r="G5959" s="87" t="str">
        <f>IFERROR(__xludf.DUMMYFUNCTION("""COMPUTED_VALUE"""),"GC - IV - 4958 - CTY USAFARM - FUSEMIN COMBI+ (Nước nâu đen) - 100ml - 50")</f>
        <v>GC - IV - 4958 - CTY USAFARM - FUSEMIN COMBI+ (Nước nâu đen) - 100ml - 50</v>
      </c>
    </row>
    <row r="5960">
      <c r="A5960" s="86">
        <f>IFERROR(__xludf.DUMMYFUNCTION("""COMPUTED_VALUE"""),5958.0)</f>
        <v>5958</v>
      </c>
      <c r="B5960" s="87" t="str">
        <f>IFERROR(__xludf.DUMMYFUNCTION("""COMPUTED_VALUE"""),"[Nhãn Thùng]")</f>
        <v>[Nhãn Thùng]</v>
      </c>
      <c r="C5960" s="87" t="str">
        <f>IFERROR(__xludf.DUMMYFUNCTION("""COMPUTED_VALUE"""),"NDT4968")</f>
        <v>NDT4968</v>
      </c>
      <c r="D5960" s="87" t="str">
        <f>IFERROR(__xludf.DUMMYFUNCTION("""COMPUTED_VALUE"""),"[Nhãn Thùng] GC - IX - 4968 - N2SBIO - N2 HYPER SHIELD (Nước hồng) - 50ml - 300")</f>
        <v>[Nhãn Thùng] GC - IX - 4968 - N2SBIO - N2 HYPER SHIELD (Nước hồng) - 50ml - 300</v>
      </c>
      <c r="E5960" s="87" t="str">
        <f>IFERROR(__xludf.DUMMYFUNCTION("""COMPUTED_VALUE"""),"Vi lượng Run Fast")</f>
        <v>Vi lượng Run Fast</v>
      </c>
      <c r="F5960" s="87" t="str">
        <f>IFERROR(__xludf.DUMMYFUNCTION("""COMPUTED_VALUE"""),"HH4968")</f>
        <v>HH4968</v>
      </c>
      <c r="G5960" s="87" t="str">
        <f>IFERROR(__xludf.DUMMYFUNCTION("""COMPUTED_VALUE"""),"GC - IX - 4968 - N2SBIO - N2 HYPER SHIELD (Nước hồng) - 50ml - 300")</f>
        <v>GC - IX - 4968 - N2SBIO - N2 HYPER SHIELD (Nước hồng) - 50ml - 300</v>
      </c>
    </row>
    <row r="5961">
      <c r="A5961" s="86">
        <f>IFERROR(__xludf.DUMMYFUNCTION("""COMPUTED_VALUE"""),5959.0)</f>
        <v>5959</v>
      </c>
      <c r="B5961" s="87" t="str">
        <f>IFERROR(__xludf.DUMMYFUNCTION("""COMPUTED_VALUE"""),"[Nhãn]")</f>
        <v>[Nhãn]</v>
      </c>
      <c r="C5961" s="87" t="str">
        <f>IFERROR(__xludf.DUMMYFUNCTION("""COMPUTED_VALUE"""),"NTN4968")</f>
        <v>NTN4968</v>
      </c>
      <c r="D5961" s="87" t="str">
        <f>IFERROR(__xludf.DUMMYFUNCTION("""COMPUTED_VALUE"""),"[Nhãn] GC - IX - 4968 - N2SBIO - N2 HYPER SHIELD (Nước hồng) - 50ml - 300")</f>
        <v>[Nhãn] GC - IX - 4968 - N2SBIO - N2 HYPER SHIELD (Nước hồng) - 50ml - 300</v>
      </c>
      <c r="E5961" s="87" t="str">
        <f>IFERROR(__xludf.DUMMYFUNCTION("""COMPUTED_VALUE"""),"Vi lượng Run Fast")</f>
        <v>Vi lượng Run Fast</v>
      </c>
      <c r="F5961" s="87" t="str">
        <f>IFERROR(__xludf.DUMMYFUNCTION("""COMPUTED_VALUE"""),"HH4968")</f>
        <v>HH4968</v>
      </c>
      <c r="G5961" s="87" t="str">
        <f>IFERROR(__xludf.DUMMYFUNCTION("""COMPUTED_VALUE"""),"GC - IX - 4968 - N2SBIO - N2 HYPER SHIELD (Nước hồng) - 50ml - 300")</f>
        <v>GC - IX - 4968 - N2SBIO - N2 HYPER SHIELD (Nước hồng) - 50ml - 300</v>
      </c>
    </row>
    <row r="5962">
      <c r="A5962" s="86">
        <f>IFERROR(__xludf.DUMMYFUNCTION("""COMPUTED_VALUE"""),5960.0)</f>
        <v>5960</v>
      </c>
      <c r="B5962" s="87" t="str">
        <f>IFERROR(__xludf.DUMMYFUNCTION("""COMPUTED_VALUE"""),"[Nhãn]")</f>
        <v>[Nhãn]</v>
      </c>
      <c r="C5962" s="87" t="str">
        <f>IFERROR(__xludf.DUMMYFUNCTION("""COMPUTED_VALUE"""),"NHG4967")</f>
        <v>NHG4967</v>
      </c>
      <c r="D5962" s="87" t="str">
        <f>IFERROR(__xludf.DUMMYFUNCTION("""COMPUTED_VALUE"""),"[Nhãn] GC - IX - 4967 - N2SBIO - N2 HYPER SHIELD (Nước hồng) - 250ml - 40")</f>
        <v>[Nhãn] GC - IX - 4967 - N2SBIO - N2 HYPER SHIELD (Nước hồng) - 250ml - 40</v>
      </c>
      <c r="E5962" s="87" t="str">
        <f>IFERROR(__xludf.DUMMYFUNCTION("""COMPUTED_VALUE"""),"Vi lượng Run Fast")</f>
        <v>Vi lượng Run Fast</v>
      </c>
      <c r="F5962" s="87" t="str">
        <f>IFERROR(__xludf.DUMMYFUNCTION("""COMPUTED_VALUE"""),"HH4967")</f>
        <v>HH4967</v>
      </c>
      <c r="G5962" s="87" t="str">
        <f>IFERROR(__xludf.DUMMYFUNCTION("""COMPUTED_VALUE"""),"GC - IX - 4967 - N2SBIO - N2 HYPER SHIELD (Nước hồng) - 250ml - 40")</f>
        <v>GC - IX - 4967 - N2SBIO - N2 HYPER SHIELD (Nước hồng) - 250ml - 40</v>
      </c>
    </row>
    <row r="5963">
      <c r="A5963" s="86">
        <f>IFERROR(__xludf.DUMMYFUNCTION("""COMPUTED_VALUE"""),5961.0)</f>
        <v>5961</v>
      </c>
      <c r="B5963" s="87" t="str">
        <f>IFERROR(__xludf.DUMMYFUNCTION("""COMPUTED_VALUE"""),"[Nhãn]")</f>
        <v>[Nhãn]</v>
      </c>
      <c r="C5963" s="87" t="str">
        <f>IFERROR(__xludf.DUMMYFUNCTION("""COMPUTED_VALUE"""),"NHG4975")</f>
        <v>NHG4975</v>
      </c>
      <c r="D5963" s="87" t="str">
        <f>IFERROR(__xludf.DUMMYFUNCTION("""COMPUTED_VALUE"""),"[Nhãn] GC - V - 4975 - CTY DONA VINA - GEL VÔ GẠO (Nước vàng) - 500ml - 40")</f>
        <v>[Nhãn] GC - V - 4975 - CTY DONA VINA - GEL VÔ GẠO (Nước vàng) - 500ml - 40</v>
      </c>
      <c r="E5963" s="87" t="str">
        <f>IFERROR(__xludf.DUMMYFUNCTION("""COMPUTED_VALUE"""),"Lá PK-Vi lượng SV 5-18")</f>
        <v>Lá PK-Vi lượng SV 5-18</v>
      </c>
      <c r="F5963" s="87" t="str">
        <f>IFERROR(__xludf.DUMMYFUNCTION("""COMPUTED_VALUE"""),"HH4975")</f>
        <v>HH4975</v>
      </c>
      <c r="G5963" s="87" t="str">
        <f>IFERROR(__xludf.DUMMYFUNCTION("""COMPUTED_VALUE"""),"GC - V - 4975 - CTY DONA VINA - GEL VÔ GẠO (Nước vàng) - 500ml - 40")</f>
        <v>GC - V - 4975 - CTY DONA VINA - GEL VÔ GẠO (Nước vàng) - 500ml - 40</v>
      </c>
    </row>
    <row r="5964">
      <c r="A5964" s="86">
        <f>IFERROR(__xludf.DUMMYFUNCTION("""COMPUTED_VALUE"""),5962.0)</f>
        <v>5962</v>
      </c>
      <c r="B5964" s="87" t="str">
        <f>IFERROR(__xludf.DUMMYFUNCTION("""COMPUTED_VALUE"""),"[Nhãn]")</f>
        <v>[Nhãn]</v>
      </c>
      <c r="C5964" s="87" t="str">
        <f>IFERROR(__xludf.DUMMYFUNCTION("""COMPUTED_VALUE"""),"NHG4965")</f>
        <v>NHG4965</v>
      </c>
      <c r="D5964" s="87" t="str">
        <f>IFERROR(__xludf.DUMMYFUNCTION("""COMPUTED_VALUE"""),"[Nhãn] GC - V - 4965 - CTY AN LẠC - TO HẠT (Nước nâu đen) - 500ml - 40")</f>
        <v>[Nhãn] GC - V - 4965 - CTY AN LẠC - TO HẠT (Nước nâu đen) - 500ml - 40</v>
      </c>
      <c r="E5964" s="87" t="str">
        <f>IFERROR(__xludf.DUMMYFUNCTION("""COMPUTED_VALUE"""),"HỖN HỢP NPK AGAMA-SRH")</f>
        <v>HỖN HỢP NPK AGAMA-SRH</v>
      </c>
      <c r="F5964" s="87" t="str">
        <f>IFERROR(__xludf.DUMMYFUNCTION("""COMPUTED_VALUE"""),"HH4965")</f>
        <v>HH4965</v>
      </c>
      <c r="G5964" s="87" t="str">
        <f>IFERROR(__xludf.DUMMYFUNCTION("""COMPUTED_VALUE"""),"GC - V - 4965 - CTY AN LẠC - TO HẠT (Nước nâu đen) - 500ml - 40")</f>
        <v>GC - V - 4965 - CTY AN LẠC - TO HẠT (Nước nâu đen) - 500ml - 40</v>
      </c>
    </row>
    <row r="5965">
      <c r="A5965" s="86">
        <f>IFERROR(__xludf.DUMMYFUNCTION("""COMPUTED_VALUE"""),5963.0)</f>
        <v>5963</v>
      </c>
      <c r="B5965" s="87" t="str">
        <f>IFERROR(__xludf.DUMMYFUNCTION("""COMPUTED_VALUE"""),"[Nhãn]")</f>
        <v>[Nhãn]</v>
      </c>
      <c r="C5965" s="87" t="str">
        <f>IFERROR(__xludf.DUMMYFUNCTION("""COMPUTED_VALUE"""),"NHG4960")</f>
        <v>NHG4960</v>
      </c>
      <c r="D5965" s="87" t="str">
        <f>IFERROR(__xludf.DUMMYFUNCTION("""COMPUTED_VALUE"""),"[Nhãn] GC - V - 4960 - CTY AN LẠC - RA RỄ - NỞ BỤI (Nước nâu đen) - 500ml - 40")</f>
        <v>[Nhãn] GC - V - 4960 - CTY AN LẠC - RA RỄ - NỞ BỤI (Nước nâu đen) - 500ml - 40</v>
      </c>
      <c r="E5965" s="87" t="str">
        <f>IFERROR(__xludf.DUMMYFUNCTION("""COMPUTED_VALUE"""),"Hỗn Hợp NP AGAMA-AP")</f>
        <v>Hỗn Hợp NP AGAMA-AP</v>
      </c>
      <c r="F5965" s="87" t="str">
        <f>IFERROR(__xludf.DUMMYFUNCTION("""COMPUTED_VALUE"""),"HH4960")</f>
        <v>HH4960</v>
      </c>
      <c r="G5965" s="87" t="str">
        <f>IFERROR(__xludf.DUMMYFUNCTION("""COMPUTED_VALUE"""),"GC - V - 4960 - CTY AN LẠC - RA RỄ - NỞ BỤI (Nước nâu đen) - 500ml - 40")</f>
        <v>GC - V - 4960 - CTY AN LẠC - RA RỄ - NỞ BỤI (Nước nâu đen) - 500ml - 40</v>
      </c>
    </row>
    <row r="5966">
      <c r="A5966" s="86">
        <f>IFERROR(__xludf.DUMMYFUNCTION("""COMPUTED_VALUE"""),5964.0)</f>
        <v>5964</v>
      </c>
      <c r="B5966" s="87" t="str">
        <f>IFERROR(__xludf.DUMMYFUNCTION("""COMPUTED_VALUE"""),"[Nhãn]")</f>
        <v>[Nhãn]</v>
      </c>
      <c r="C5966" s="87" t="str">
        <f>IFERROR(__xludf.DUMMYFUNCTION("""COMPUTED_VALUE"""),"NHG4970")</f>
        <v>NHG4970</v>
      </c>
      <c r="D5966" s="87" t="str">
        <f>IFERROR(__xludf.DUMMYFUNCTION("""COMPUTED_VALUE"""),"[Nhãn] GC - V - 4970 - CTY HÓA NÔNG SHINO - KHUẨN LẠNH (Nước xanh dương) - 450ml - 40")</f>
        <v>[Nhãn] GC - V - 4970 - CTY HÓA NÔNG SHINO - KHUẨN LẠNH (Nước xanh dương) - 450ml - 40</v>
      </c>
      <c r="E5966" s="87" t="str">
        <f>IFERROR(__xludf.DUMMYFUNCTION("""COMPUTED_VALUE"""),"Pyramos 40SL")</f>
        <v>Pyramos 40SL</v>
      </c>
      <c r="F5966" s="87" t="str">
        <f>IFERROR(__xludf.DUMMYFUNCTION("""COMPUTED_VALUE"""),"HH4970")</f>
        <v>HH4970</v>
      </c>
      <c r="G5966" s="87" t="str">
        <f>IFERROR(__xludf.DUMMYFUNCTION("""COMPUTED_VALUE"""),"GC - V - 4970 - CTY HÓA NÔNG SHINO - KHUẨN LẠNH (Nước xanh dương) - 450ml - 40")</f>
        <v>GC - V - 4970 - CTY HÓA NÔNG SHINO - KHUẨN LẠNH (Nước xanh dương) - 450ml - 40</v>
      </c>
    </row>
    <row r="5967">
      <c r="A5967" s="86">
        <f>IFERROR(__xludf.DUMMYFUNCTION("""COMPUTED_VALUE"""),5965.0)</f>
        <v>5965</v>
      </c>
      <c r="B5967" s="87" t="str">
        <f>IFERROR(__xludf.DUMMYFUNCTION("""COMPUTED_VALUE"""),"[Nhãn]")</f>
        <v>[Nhãn]</v>
      </c>
      <c r="C5967" s="87" t="str">
        <f>IFERROR(__xludf.DUMMYFUNCTION("""COMPUTED_VALUE"""),"NTN4959")</f>
        <v>NTN4959</v>
      </c>
      <c r="D5967" s="87" t="str">
        <f>IFERROR(__xludf.DUMMYFUNCTION("""COMPUTED_VALUE"""),"[Nhãn] GC - V - 4959 - CTY SEN HỒNG - HUMIIX (Dạng viên màu đen) - 1kg - 25")</f>
        <v>[Nhãn] GC - V - 4959 - CTY SEN HỒNG - HUMIIX (Dạng viên màu đen) - 1kg - 25</v>
      </c>
      <c r="E5967" s="87" t="str">
        <f>IFERROR(__xludf.DUMMYFUNCTION("""COMPUTED_VALUE"""),"Hữu cơ SH Agro Organic Fertilizer 20")</f>
        <v>Hữu cơ SH Agro Organic Fertilizer 20</v>
      </c>
      <c r="F5967" s="87" t="str">
        <f>IFERROR(__xludf.DUMMYFUNCTION("""COMPUTED_VALUE"""),"HH4959")</f>
        <v>HH4959</v>
      </c>
      <c r="G5967" s="87" t="str">
        <f>IFERROR(__xludf.DUMMYFUNCTION("""COMPUTED_VALUE"""),"GC - V - 4959 - CTY SEN HỒNG - HUMIIX (Dạng viên màu đen) - 1kg - 25")</f>
        <v>GC - V - 4959 - CTY SEN HỒNG - HUMIIX (Dạng viên màu đen) - 1kg - 25</v>
      </c>
    </row>
    <row r="5968">
      <c r="A5968" s="86">
        <f>IFERROR(__xludf.DUMMYFUNCTION("""COMPUTED_VALUE"""),5966.0)</f>
        <v>5966</v>
      </c>
      <c r="B5968" s="87" t="str">
        <f>IFERROR(__xludf.DUMMYFUNCTION("""COMPUTED_VALUE"""),"[Nhãn]")</f>
        <v>[Nhãn]</v>
      </c>
      <c r="C5968" s="87" t="str">
        <f>IFERROR(__xludf.DUMMYFUNCTION("""COMPUTED_VALUE"""),"NHG4078")</f>
        <v>NHG4078</v>
      </c>
      <c r="D5968" s="87" t="str">
        <f>IFERROR(__xludf.DUMMYFUNCTION("""COMPUTED_VALUE"""),"[Nhãn] DR.XANH - VIII - 4078 - DR.COMPLEX (Nước nâu đen) - 500ml - 40")</f>
        <v>[Nhãn] DR.XANH - VIII - 4078 - DR.COMPLEX (Nước nâu đen) - 500ml - 40</v>
      </c>
      <c r="E5968" s="87" t="str">
        <f>IFERROR(__xludf.DUMMYFUNCTION("""COMPUTED_VALUE"""),"Hữu cơ FUSEMIN COMBI+")</f>
        <v>Hữu cơ FUSEMIN COMBI+</v>
      </c>
      <c r="F5968" s="87" t="str">
        <f>IFERROR(__xludf.DUMMYFUNCTION("""COMPUTED_VALUE"""),"HH4078")</f>
        <v>HH4078</v>
      </c>
      <c r="G5968" s="87" t="str">
        <f>IFERROR(__xludf.DUMMYFUNCTION("""COMPUTED_VALUE"""),"DR.XANH - VIII - 4078 - DR.COMPLEX (Nước nâu đen) - 500ml - 40")</f>
        <v>DR.XANH - VIII - 4078 - DR.COMPLEX (Nước nâu đen) - 500ml - 40</v>
      </c>
    </row>
    <row r="5969">
      <c r="A5969" s="86">
        <f>IFERROR(__xludf.DUMMYFUNCTION("""COMPUTED_VALUE"""),5967.0)</f>
        <v>5967</v>
      </c>
      <c r="B5969" s="87" t="str">
        <f>IFERROR(__xludf.DUMMYFUNCTION("""COMPUTED_VALUE"""),"[Nhãn Thùng]")</f>
        <v>[Nhãn Thùng]</v>
      </c>
      <c r="C5969" s="87" t="str">
        <f>IFERROR(__xludf.DUMMYFUNCTION("""COMPUTED_VALUE"""),"NDT4693")</f>
        <v>NDT4693</v>
      </c>
      <c r="D5969" s="87" t="str">
        <f>IFERROR(__xludf.DUMMYFUNCTION("""COMPUTED_VALUE"""),"[Nhãn Thùng] GC - V - 4693 - Cty Newtex - OXYCIN 100WP (Bột trắng) - 100gr - 100")</f>
        <v>[Nhãn Thùng] GC - V - 4693 - Cty Newtex - OXYCIN 100WP (Bột trắng) - 100gr - 100</v>
      </c>
      <c r="E5969" s="87" t="str">
        <f>IFERROR(__xludf.DUMMYFUNCTION("""COMPUTED_VALUE"""),"Oxycin 100WP")</f>
        <v>Oxycin 100WP</v>
      </c>
      <c r="F5969" s="87" t="str">
        <f>IFERROR(__xludf.DUMMYFUNCTION("""COMPUTED_VALUE"""),"HH4693")</f>
        <v>HH4693</v>
      </c>
      <c r="G5969" s="87" t="str">
        <f>IFERROR(__xludf.DUMMYFUNCTION("""COMPUTED_VALUE"""),"GC - V - 4693 - Cty Newtex - OXYCIN 100WP (Bột trắng) - 100gr - 100")</f>
        <v>GC - V - 4693 - Cty Newtex - OXYCIN 100WP (Bột trắng) - 100gr - 100</v>
      </c>
    </row>
    <row r="5970">
      <c r="A5970" s="86">
        <f>IFERROR(__xludf.DUMMYFUNCTION("""COMPUTED_VALUE"""),5968.0)</f>
        <v>5968</v>
      </c>
      <c r="B5970" s="87" t="str">
        <f>IFERROR(__xludf.DUMMYFUNCTION("""COMPUTED_VALUE"""),"[Nhãn]")</f>
        <v>[Nhãn]</v>
      </c>
      <c r="C5970" s="87" t="str">
        <f>IFERROR(__xludf.DUMMYFUNCTION("""COMPUTED_VALUE"""),"NHG4981")</f>
        <v>NHG4981</v>
      </c>
      <c r="D5970" s="87" t="str">
        <f>IFERROR(__xludf.DUMMYFUNCTION("""COMPUTED_VALUE"""),"[Nhãn] GC - V - 4981 - CTY DONA VINA - GEL DƯỠNG ĐÒNG (Nước nâu đen) - 500ml - 40")</f>
        <v>[Nhãn] GC - V - 4981 - CTY DONA VINA - GEL DƯỠNG ĐÒNG (Nước nâu đen) - 500ml - 40</v>
      </c>
      <c r="E5970" s="87" t="str">
        <f>IFERROR(__xludf.DUMMYFUNCTION("""COMPUTED_VALUE"""),"Hữu Cơ PBHC Cabozinc A.B.A")</f>
        <v>Hữu Cơ PBHC Cabozinc A.B.A</v>
      </c>
      <c r="F5970" s="87" t="str">
        <f>IFERROR(__xludf.DUMMYFUNCTION("""COMPUTED_VALUE"""),"HH4981")</f>
        <v>HH4981</v>
      </c>
      <c r="G5970" s="87" t="str">
        <f>IFERROR(__xludf.DUMMYFUNCTION("""COMPUTED_VALUE"""),"GC - V - 4981 - CTY DONA VINA - GEL DƯỠNG ĐÒNG (Nước nâu đen) - 500ml - 40")</f>
        <v>GC - V - 4981 - CTY DONA VINA - GEL DƯỠNG ĐÒNG (Nước nâu đen) - 500ml - 40</v>
      </c>
    </row>
    <row r="5971">
      <c r="A5971" s="86">
        <f>IFERROR(__xludf.DUMMYFUNCTION("""COMPUTED_VALUE"""),5969.0)</f>
        <v>5969</v>
      </c>
      <c r="B5971" s="87" t="str">
        <f>IFERROR(__xludf.DUMMYFUNCTION("""COMPUTED_VALUE"""),"[Nhãn]")</f>
        <v>[Nhãn]</v>
      </c>
      <c r="C5971" s="87" t="str">
        <f>IFERROR(__xludf.DUMMYFUNCTION("""COMPUTED_VALUE"""),"NHG4977")</f>
        <v>NHG4977</v>
      </c>
      <c r="D5971" s="87" t="str">
        <f>IFERROR(__xludf.DUMMYFUNCTION("""COMPUTED_VALUE"""),"[Nhãn] GC - V - 4977 - CTY GNH - Vô Gạo Nhanh (Nước nâu đen) - 500ml - 40")</f>
        <v>[Nhãn] GC - V - 4977 - CTY GNH - Vô Gạo Nhanh (Nước nâu đen) - 500ml - 40</v>
      </c>
      <c r="E5971" s="87" t="str">
        <f>IFERROR(__xludf.DUMMYFUNCTION("""COMPUTED_VALUE"""),"Vi lượng Basel VA02")</f>
        <v>Vi lượng Basel VA02</v>
      </c>
      <c r="F5971" s="87" t="str">
        <f>IFERROR(__xludf.DUMMYFUNCTION("""COMPUTED_VALUE"""),"HH4977")</f>
        <v>HH4977</v>
      </c>
      <c r="G5971" s="87" t="str">
        <f>IFERROR(__xludf.DUMMYFUNCTION("""COMPUTED_VALUE"""),"GC - V - 4977 - CTY GNH - Vô Gạo Nhanh (Nước nâu đen) - 500ml - 40")</f>
        <v>GC - V - 4977 - CTY GNH - Vô Gạo Nhanh (Nước nâu đen) - 500ml - 40</v>
      </c>
    </row>
    <row r="5972">
      <c r="A5972" s="86">
        <f>IFERROR(__xludf.DUMMYFUNCTION("""COMPUTED_VALUE"""),5970.0)</f>
        <v>5970</v>
      </c>
      <c r="B5972" s="87" t="str">
        <f>IFERROR(__xludf.DUMMYFUNCTION("""COMPUTED_VALUE"""),"[Nhãn]")</f>
        <v>[Nhãn]</v>
      </c>
      <c r="C5972" s="87" t="str">
        <f>IFERROR(__xludf.DUMMYFUNCTION("""COMPUTED_VALUE"""),"NHG4966")</f>
        <v>NHG4966</v>
      </c>
      <c r="D5972" s="87" t="str">
        <f>IFERROR(__xludf.DUMMYFUNCTION("""COMPUTED_VALUE"""),"[Nhãn] GC - V - 4966 - CTY HƯNG ĐIỀN ARGO - HUYẾT GIÁP (Nước nâu đen) - 450ml - 40")</f>
        <v>[Nhãn] GC - V - 4966 - CTY HƯNG ĐIỀN ARGO - HUYẾT GIÁP (Nước nâu đen) - 450ml - 40</v>
      </c>
      <c r="E5972" s="87" t="str">
        <f>IFERROR(__xludf.DUMMYFUNCTION("""COMPUTED_VALUE"""),"HAIHAMEC 3.6EC")</f>
        <v>HAIHAMEC 3.6EC</v>
      </c>
      <c r="F5972" s="87" t="str">
        <f>IFERROR(__xludf.DUMMYFUNCTION("""COMPUTED_VALUE"""),"HH4966")</f>
        <v>HH4966</v>
      </c>
      <c r="G5972" s="87" t="str">
        <f>IFERROR(__xludf.DUMMYFUNCTION("""COMPUTED_VALUE"""),"GC - V - 4966 - CTY HƯNG ĐIỀN ARGO - HUYẾT GIÁP (Nước nâu đen) - 450ml - 40")</f>
        <v>GC - V - 4966 - CTY HƯNG ĐIỀN ARGO - HUYẾT GIÁP (Nước nâu đen) - 450ml - 40</v>
      </c>
    </row>
    <row r="5973">
      <c r="A5973" s="86">
        <f>IFERROR(__xludf.DUMMYFUNCTION("""COMPUTED_VALUE"""),5971.0)</f>
        <v>5971</v>
      </c>
      <c r="B5973" s="87" t="str">
        <f>IFERROR(__xludf.DUMMYFUNCTION("""COMPUTED_VALUE"""),"[Nhãn]")</f>
        <v>[Nhãn]</v>
      </c>
      <c r="C5973" s="87" t="str">
        <f>IFERROR(__xludf.DUMMYFUNCTION("""COMPUTED_VALUE"""),"NTN4979")</f>
        <v>NTN4979</v>
      </c>
      <c r="D5973" s="87" t="str">
        <f>IFERROR(__xludf.DUMMYFUNCTION("""COMPUTED_VALUE"""),"[Nhãn] IDA Global - I - 4979 - LA - FORTAZEB 72WP (Bột xanh) - 1kg - 20")</f>
        <v>[Nhãn] IDA Global - I - 4979 - LA - FORTAZEB 72WP (Bột xanh) - 1kg - 20</v>
      </c>
      <c r="E5973" s="87" t="str">
        <f>IFERROR(__xludf.DUMMYFUNCTION("""COMPUTED_VALUE"""),"FORTAZEB 72WP")</f>
        <v>FORTAZEB 72WP</v>
      </c>
      <c r="F5973" s="87" t="str">
        <f>IFERROR(__xludf.DUMMYFUNCTION("""COMPUTED_VALUE"""),"HH4979")</f>
        <v>HH4979</v>
      </c>
      <c r="G5973" s="87" t="str">
        <f>IFERROR(__xludf.DUMMYFUNCTION("""COMPUTED_VALUE"""),"IDA Global - I - 4979 - LA - FORTAZEB 72WP (Bột xanh) - 1kg - 20")</f>
        <v>IDA Global - I - 4979 - LA - FORTAZEB 72WP (Bột xanh) - 1kg - 20</v>
      </c>
    </row>
    <row r="5974">
      <c r="A5974" s="86">
        <f>IFERROR(__xludf.DUMMYFUNCTION("""COMPUTED_VALUE"""),5972.0)</f>
        <v>5972</v>
      </c>
      <c r="B5974" s="87" t="str">
        <f>IFERROR(__xludf.DUMMYFUNCTION("""COMPUTED_VALUE"""),"[Nhãn Thùng]")</f>
        <v>[Nhãn Thùng]</v>
      </c>
      <c r="C5974" s="87" t="str">
        <f>IFERROR(__xludf.DUMMYFUNCTION("""COMPUTED_VALUE"""),"NDT4979")</f>
        <v>NDT4979</v>
      </c>
      <c r="D5974" s="87" t="str">
        <f>IFERROR(__xludf.DUMMYFUNCTION("""COMPUTED_VALUE"""),"[Nhãn Thùng] IDA Global - I - 4979 - LA - FORTAZEB 72WP (Bột xanh) - 1kg - 20")</f>
        <v>[Nhãn Thùng] IDA Global - I - 4979 - LA - FORTAZEB 72WP (Bột xanh) - 1kg - 20</v>
      </c>
      <c r="E5974" s="87" t="str">
        <f>IFERROR(__xludf.DUMMYFUNCTION("""COMPUTED_VALUE"""),"FORTAZEB 72WP")</f>
        <v>FORTAZEB 72WP</v>
      </c>
      <c r="F5974" s="87" t="str">
        <f>IFERROR(__xludf.DUMMYFUNCTION("""COMPUTED_VALUE"""),"HH4979")</f>
        <v>HH4979</v>
      </c>
      <c r="G5974" s="87" t="str">
        <f>IFERROR(__xludf.DUMMYFUNCTION("""COMPUTED_VALUE"""),"IDA Global - I - 4979 - LA - FORTAZEB 72WP (Bột xanh) - 1kg - 20")</f>
        <v>IDA Global - I - 4979 - LA - FORTAZEB 72WP (Bột xanh) - 1kg - 20</v>
      </c>
    </row>
    <row r="5975">
      <c r="A5975" s="86">
        <f>IFERROR(__xludf.DUMMYFUNCTION("""COMPUTED_VALUE"""),5973.0)</f>
        <v>5973</v>
      </c>
      <c r="B5975" s="87" t="str">
        <f>IFERROR(__xludf.DUMMYFUNCTION("""COMPUTED_VALUE"""),"[Nhãn]")</f>
        <v>[Nhãn]</v>
      </c>
      <c r="C5975" s="87" t="str">
        <f>IFERROR(__xludf.DUMMYFUNCTION("""COMPUTED_VALUE"""),"NTN4980")</f>
        <v>NTN4980</v>
      </c>
      <c r="D5975" s="87" t="str">
        <f>IFERROR(__xludf.DUMMYFUNCTION("""COMPUTED_VALUE"""),"[Nhãn] GC - V - 4980 - CTY AGRITECH - FAST KILL SNAIL (Bột vàng nghệ) - 70gr - 150")</f>
        <v>[Nhãn] GC - V - 4980 - CTY AGRITECH - FAST KILL SNAIL (Bột vàng nghệ) - 70gr - 150</v>
      </c>
      <c r="E5975" s="87" t="str">
        <f>IFERROR(__xludf.DUMMYFUNCTION("""COMPUTED_VALUE"""),"NP SNAILICIDE 700WP")</f>
        <v>NP SNAILICIDE 700WP</v>
      </c>
      <c r="F5975" s="87" t="str">
        <f>IFERROR(__xludf.DUMMYFUNCTION("""COMPUTED_VALUE"""),"HH4980")</f>
        <v>HH4980</v>
      </c>
      <c r="G5975" s="87" t="str">
        <f>IFERROR(__xludf.DUMMYFUNCTION("""COMPUTED_VALUE"""),"GC - V - 4980 - CTY AGRITECH - FAST KILL SNAIL (Bột vàng nghệ) - 70gr - 150")</f>
        <v>GC - V - 4980 - CTY AGRITECH - FAST KILL SNAIL (Bột vàng nghệ) - 70gr - 150</v>
      </c>
    </row>
    <row r="5976">
      <c r="A5976" s="86">
        <f>IFERROR(__xludf.DUMMYFUNCTION("""COMPUTED_VALUE"""),5974.0)</f>
        <v>5974</v>
      </c>
      <c r="B5976" s="87" t="str">
        <f>IFERROR(__xludf.DUMMYFUNCTION("""COMPUTED_VALUE"""),"[Nhãn Thùng]")</f>
        <v>[Nhãn Thùng]</v>
      </c>
      <c r="C5976" s="87" t="str">
        <f>IFERROR(__xludf.DUMMYFUNCTION("""COMPUTED_VALUE"""),"NDT4980")</f>
        <v>NDT4980</v>
      </c>
      <c r="D5976" s="87" t="str">
        <f>IFERROR(__xludf.DUMMYFUNCTION("""COMPUTED_VALUE"""),"[Nhãn Thùng] GC - V - 4980 - CTY AGRITECH - FAST KILL SNAIL (Bột vàng nghệ) - 70gr - 150")</f>
        <v>[Nhãn Thùng] GC - V - 4980 - CTY AGRITECH - FAST KILL SNAIL (Bột vàng nghệ) - 70gr - 150</v>
      </c>
      <c r="E5976" s="87" t="str">
        <f>IFERROR(__xludf.DUMMYFUNCTION("""COMPUTED_VALUE"""),"NP SNAILICIDE 700WP")</f>
        <v>NP SNAILICIDE 700WP</v>
      </c>
      <c r="F5976" s="87" t="str">
        <f>IFERROR(__xludf.DUMMYFUNCTION("""COMPUTED_VALUE"""),"HH4980")</f>
        <v>HH4980</v>
      </c>
      <c r="G5976" s="87" t="str">
        <f>IFERROR(__xludf.DUMMYFUNCTION("""COMPUTED_VALUE"""),"GC - V - 4980 - CTY AGRITECH - FAST KILL SNAIL (Bột vàng nghệ) - 70gr - 150")</f>
        <v>GC - V - 4980 - CTY AGRITECH - FAST KILL SNAIL (Bột vàng nghệ) - 70gr - 150</v>
      </c>
    </row>
    <row r="5977">
      <c r="A5977" s="86">
        <f>IFERROR(__xludf.DUMMYFUNCTION("""COMPUTED_VALUE"""),5975.0)</f>
        <v>5975</v>
      </c>
      <c r="B5977" s="87" t="str">
        <f>IFERROR(__xludf.DUMMYFUNCTION("""COMPUTED_VALUE"""),"[Nhãn]")</f>
        <v>[Nhãn]</v>
      </c>
      <c r="C5977" s="87" t="str">
        <f>IFERROR(__xludf.DUMMYFUNCTION("""COMPUTED_VALUE"""),"NTN4976")</f>
        <v>NTN4976</v>
      </c>
      <c r="D5977" s="87" t="str">
        <f>IFERROR(__xludf.DUMMYFUNCTION("""COMPUTED_VALUE"""),"[Nhãn] GC - V - 4976 - CTY AN LẠC - GROW 7-7-7 + TE (Gel xanh lơ) - 50ml - 300")</f>
        <v>[Nhãn] GC - V - 4976 - CTY AN LẠC - GROW 7-7-7 + TE (Gel xanh lơ) - 50ml - 300</v>
      </c>
      <c r="E5977" s="87" t="str">
        <f>IFERROR(__xludf.DUMMYFUNCTION("""COMPUTED_VALUE"""),"lá NPK-vi lượng GNC19")</f>
        <v>lá NPK-vi lượng GNC19</v>
      </c>
      <c r="F5977" s="87" t="str">
        <f>IFERROR(__xludf.DUMMYFUNCTION("""COMPUTED_VALUE"""),"HH4976")</f>
        <v>HH4976</v>
      </c>
      <c r="G5977" s="87" t="str">
        <f>IFERROR(__xludf.DUMMYFUNCTION("""COMPUTED_VALUE"""),"GC - V - 4976 - CTY AN LẠC - GROW 7-7-7 + TE (Gel xanh lơ) - 50ml - 300")</f>
        <v>GC - V - 4976 - CTY AN LẠC - GROW 7-7-7 + TE (Gel xanh lơ) - 50ml - 300</v>
      </c>
    </row>
    <row r="5978">
      <c r="A5978" s="86">
        <f>IFERROR(__xludf.DUMMYFUNCTION("""COMPUTED_VALUE"""),5976.0)</f>
        <v>5976</v>
      </c>
      <c r="B5978" s="87" t="str">
        <f>IFERROR(__xludf.DUMMYFUNCTION("""COMPUTED_VALUE"""),"[Nhãn Thùng]")</f>
        <v>[Nhãn Thùng]</v>
      </c>
      <c r="C5978" s="87" t="str">
        <f>IFERROR(__xludf.DUMMYFUNCTION("""COMPUTED_VALUE"""),"NDT4976")</f>
        <v>NDT4976</v>
      </c>
      <c r="D5978" s="87" t="str">
        <f>IFERROR(__xludf.DUMMYFUNCTION("""COMPUTED_VALUE"""),"[Nhãn Thùng] GC - V - 4976 - CTY AN LẠC - GROW 7-7-7 + TE (Gel xanh lơ) - 50ml - 300")</f>
        <v>[Nhãn Thùng] GC - V - 4976 - CTY AN LẠC - GROW 7-7-7 + TE (Gel xanh lơ) - 50ml - 300</v>
      </c>
      <c r="E5978" s="87" t="str">
        <f>IFERROR(__xludf.DUMMYFUNCTION("""COMPUTED_VALUE"""),"lá NPK-vi lượng GNC19")</f>
        <v>lá NPK-vi lượng GNC19</v>
      </c>
      <c r="F5978" s="87" t="str">
        <f>IFERROR(__xludf.DUMMYFUNCTION("""COMPUTED_VALUE"""),"HH4976")</f>
        <v>HH4976</v>
      </c>
      <c r="G5978" s="87" t="str">
        <f>IFERROR(__xludf.DUMMYFUNCTION("""COMPUTED_VALUE"""),"GC - V - 4976 - CTY AN LẠC - GROW 7-7-7 + TE (Gel xanh lơ) - 50ml - 300")</f>
        <v>GC - V - 4976 - CTY AN LẠC - GROW 7-7-7 + TE (Gel xanh lơ) - 50ml - 300</v>
      </c>
    </row>
    <row r="5979">
      <c r="A5979" s="86">
        <f>IFERROR(__xludf.DUMMYFUNCTION("""COMPUTED_VALUE"""),5977.0)</f>
        <v>5977</v>
      </c>
      <c r="B5979" s="87" t="str">
        <f>IFERROR(__xludf.DUMMYFUNCTION("""COMPUTED_VALUE"""),"[Nhãn]")</f>
        <v>[Nhãn]</v>
      </c>
      <c r="C5979" s="87" t="str">
        <f>IFERROR(__xludf.DUMMYFUNCTION("""COMPUTED_VALUE"""),"NHD4982")</f>
        <v>NHD4982</v>
      </c>
      <c r="D5979" s="87" t="str">
        <f>IFERROR(__xludf.DUMMYFUNCTION("""COMPUTED_VALUE"""),"[Nhãn] GC - V - 4982 - GC WINDY ALS - TẠO MẦM HOA (Nước nâu vàng) - 15L - 1")</f>
        <v>[Nhãn] GC - V - 4982 - GC WINDY ALS - TẠO MẦM HOA (Nước nâu vàng) - 15L - 1</v>
      </c>
      <c r="E5979" s="87" t="str">
        <f>IFERROR(__xludf.DUMMYFUNCTION("""COMPUTED_VALUE"""),"Lá Hỗn Hợp PK AGRI FOS AB")</f>
        <v>Lá Hỗn Hợp PK AGRI FOS AB</v>
      </c>
      <c r="F5979" s="87" t="str">
        <f>IFERROR(__xludf.DUMMYFUNCTION("""COMPUTED_VALUE"""),"HH4982")</f>
        <v>HH4982</v>
      </c>
      <c r="G5979" s="87" t="str">
        <f>IFERROR(__xludf.DUMMYFUNCTION("""COMPUTED_VALUE"""),"GC - V - 4982 - GC WINDY ALS - TẠO MẦM HOA (Nước nâu vàng) - 15L - 1")</f>
        <v>GC - V - 4982 - GC WINDY ALS - TẠO MẦM HOA (Nước nâu vàng) - 15L - 1</v>
      </c>
    </row>
    <row r="5980">
      <c r="A5980" s="86">
        <f>IFERROR(__xludf.DUMMYFUNCTION("""COMPUTED_VALUE"""),5978.0)</f>
        <v>5978</v>
      </c>
      <c r="B5980" s="87" t="str">
        <f>IFERROR(__xludf.DUMMYFUNCTION("""COMPUTED_VALUE"""),"[Nhãn]")</f>
        <v>[Nhãn]</v>
      </c>
      <c r="C5980" s="87" t="str">
        <f>IFERROR(__xludf.DUMMYFUNCTION("""COMPUTED_VALUE"""),"NHG4983")</f>
        <v>NHG4983</v>
      </c>
      <c r="D5980" s="87" t="str">
        <f>IFERROR(__xludf.DUMMYFUNCTION("""COMPUTED_VALUE"""),"[Nhãn] GC - V - 4983 - CSSX An Khang (A.Dinh) - TAK09 (Nước nâu đen) - 500ml - 40")</f>
        <v>[Nhãn] GC - V - 4983 - CSSX An Khang (A.Dinh) - TAK09 (Nước nâu đen) - 500ml - 40</v>
      </c>
      <c r="E5980" s="87" t="str">
        <f>IFERROR(__xludf.DUMMYFUNCTION("""COMPUTED_VALUE"""),"Hữu Cơ PBHC ABA Organic Fertilizer 20")</f>
        <v>Hữu Cơ PBHC ABA Organic Fertilizer 20</v>
      </c>
      <c r="F5980" s="87" t="str">
        <f>IFERROR(__xludf.DUMMYFUNCTION("""COMPUTED_VALUE"""),"HH4983")</f>
        <v>HH4983</v>
      </c>
      <c r="G5980" s="87" t="str">
        <f>IFERROR(__xludf.DUMMYFUNCTION("""COMPUTED_VALUE"""),"GC - V - 4983 - CSSX An Khang (A.Dinh) - TAK09 (Nước nâu đen) - 500ml - 40")</f>
        <v>GC - V - 4983 - CSSX An Khang (A.Dinh) - TAK09 (Nước nâu đen) - 500ml - 40</v>
      </c>
    </row>
    <row r="5981">
      <c r="A5981" s="86">
        <f>IFERROR(__xludf.DUMMYFUNCTION("""COMPUTED_VALUE"""),5979.0)</f>
        <v>5979</v>
      </c>
      <c r="B5981" s="87" t="str">
        <f>IFERROR(__xludf.DUMMYFUNCTION("""COMPUTED_VALUE"""),"[Nhãn]")</f>
        <v>[Nhãn]</v>
      </c>
      <c r="C5981" s="87" t="str">
        <f>IFERROR(__xludf.DUMMYFUNCTION("""COMPUTED_VALUE"""),"NHD4974")</f>
        <v>NHD4974</v>
      </c>
      <c r="D5981" s="87" t="str">
        <f>IFERROR(__xludf.DUMMYFUNCTION("""COMPUTED_VALUE"""),"[Nhãn] GC - V - 4974 - CTY THIÊN DI - GLU 200 (nước đỏ) - 900ml - 20")</f>
        <v>[Nhãn] GC - V - 4974 - CTY THIÊN DI - GLU 200 (nước đỏ) - 900ml - 20</v>
      </c>
      <c r="E5981" s="87" t="str">
        <f>IFERROR(__xludf.DUMMYFUNCTION("""COMPUTED_VALUE"""),"GOODSIN 200SL")</f>
        <v>GOODSIN 200SL</v>
      </c>
      <c r="F5981" s="87" t="str">
        <f>IFERROR(__xludf.DUMMYFUNCTION("""COMPUTED_VALUE"""),"HH4974")</f>
        <v>HH4974</v>
      </c>
      <c r="G5981" s="87" t="str">
        <f>IFERROR(__xludf.DUMMYFUNCTION("""COMPUTED_VALUE"""),"GC - V - 4974 - CTY THIÊN DI - GLU 200 (nước đỏ) - 900ml - 20")</f>
        <v>GC - V - 4974 - CTY THIÊN DI - GLU 200 (nước đỏ) - 900ml - 20</v>
      </c>
    </row>
    <row r="5982">
      <c r="A5982" s="86">
        <f>IFERROR(__xludf.DUMMYFUNCTION("""COMPUTED_VALUE"""),5980.0)</f>
        <v>5980</v>
      </c>
      <c r="B5982" s="87" t="str">
        <f>IFERROR(__xludf.DUMMYFUNCTION("""COMPUTED_VALUE"""),"[Nhãn Thùng]")</f>
        <v>[Nhãn Thùng]</v>
      </c>
      <c r="C5982" s="87" t="str">
        <f>IFERROR(__xludf.DUMMYFUNCTION("""COMPUTED_VALUE"""),"NDT4974")</f>
        <v>NDT4974</v>
      </c>
      <c r="D5982" s="87" t="str">
        <f>IFERROR(__xludf.DUMMYFUNCTION("""COMPUTED_VALUE"""),"[Nhãn Thùng] GC - V - 4974 - CTY THIÊN DI - GLU 200 (nước đỏ) - 900ml - 20")</f>
        <v>[Nhãn Thùng] GC - V - 4974 - CTY THIÊN DI - GLU 200 (nước đỏ) - 900ml - 20</v>
      </c>
      <c r="E5982" s="87" t="str">
        <f>IFERROR(__xludf.DUMMYFUNCTION("""COMPUTED_VALUE"""),"GOODSIN 200SL")</f>
        <v>GOODSIN 200SL</v>
      </c>
      <c r="F5982" s="87" t="str">
        <f>IFERROR(__xludf.DUMMYFUNCTION("""COMPUTED_VALUE"""),"HH4974")</f>
        <v>HH4974</v>
      </c>
      <c r="G5982" s="87" t="str">
        <f>IFERROR(__xludf.DUMMYFUNCTION("""COMPUTED_VALUE"""),"GC - V - 4974 - CTY THIÊN DI - GLU 200 (nước đỏ) - 900ml - 20")</f>
        <v>GC - V - 4974 - CTY THIÊN DI - GLU 200 (nước đỏ) - 900ml - 20</v>
      </c>
    </row>
    <row r="5983">
      <c r="A5983" s="86">
        <f>IFERROR(__xludf.DUMMYFUNCTION("""COMPUTED_VALUE"""),5981.0)</f>
        <v>5981</v>
      </c>
      <c r="B5983" s="87" t="str">
        <f>IFERROR(__xludf.DUMMYFUNCTION("""COMPUTED_VALUE"""),"[Nhãn]")</f>
        <v>[Nhãn]</v>
      </c>
      <c r="C5983" s="87" t="str">
        <f>IFERROR(__xludf.DUMMYFUNCTION("""COMPUTED_VALUE"""),"NHG3874")</f>
        <v>NHG3874</v>
      </c>
      <c r="D5983" s="87" t="str">
        <f>IFERROR(__xludf.DUMMYFUNCTION("""COMPUTED_VALUE"""),"[Nhãn] GC - V - 3874 - Cty Hóa Nông Shino - VIL SHINO (Nước trắng sữa) - 1L - 20")</f>
        <v>[Nhãn] GC - V - 3874 - Cty Hóa Nông Shino - VIL SHINO (Nước trắng sữa) - 1L - 20</v>
      </c>
      <c r="E5983" s="87" t="str">
        <f>IFERROR(__xludf.DUMMYFUNCTION("""COMPUTED_VALUE"""),"JAPA VIL 110SC")</f>
        <v>JAPA VIL 110SC</v>
      </c>
      <c r="F5983" s="87" t="str">
        <f>IFERROR(__xludf.DUMMYFUNCTION("""COMPUTED_VALUE"""),"HH3874")</f>
        <v>HH3874</v>
      </c>
      <c r="G5983" s="87" t="str">
        <f>IFERROR(__xludf.DUMMYFUNCTION("""COMPUTED_VALUE"""),"GC - IV - 3874 - Cty Hóa Nông Shino - VIL SHINO (Nước trắng sữa) - 1L - 20")</f>
        <v>GC - IV - 3874 - Cty Hóa Nông Shino - VIL SHINO (Nước trắng sữa) - 1L - 20</v>
      </c>
    </row>
    <row r="5984">
      <c r="A5984" s="86">
        <f>IFERROR(__xludf.DUMMYFUNCTION("""COMPUTED_VALUE"""),5982.0)</f>
        <v>5982</v>
      </c>
      <c r="B5984" s="87" t="str">
        <f>IFERROR(__xludf.DUMMYFUNCTION("""COMPUTED_VALUE"""),"[Nhãn]")</f>
        <v>[Nhãn]</v>
      </c>
      <c r="C5984" s="87" t="str">
        <f>IFERROR(__xludf.DUMMYFUNCTION("""COMPUTED_VALUE"""),"NTN4920")</f>
        <v>NTN4920</v>
      </c>
      <c r="D5984" s="87" t="str">
        <f>IFERROR(__xludf.DUMMYFUNCTION("""COMPUTED_VALUE"""),"[Nhãn] GC - V - 4920 - CTY SEN HỒNG - HUMIIX (Dạng viên màu đen) - 1kg - 25")</f>
        <v>[Nhãn] GC - V - 4920 - CTY SEN HỒNG - HUMIIX (Dạng viên màu đen) - 1kg - 25</v>
      </c>
      <c r="E5984" s="87" t="str">
        <f>IFERROR(__xludf.DUMMYFUNCTION("""COMPUTED_VALUE"""),"Hữu Cơ PBHC ABA Organic Fertilizer 20")</f>
        <v>Hữu Cơ PBHC ABA Organic Fertilizer 20</v>
      </c>
      <c r="F5984" s="87" t="str">
        <f>IFERROR(__xludf.DUMMYFUNCTION("""COMPUTED_VALUE"""),"HH4920")</f>
        <v>HH4920</v>
      </c>
      <c r="G5984" s="87" t="str">
        <f>IFERROR(__xludf.DUMMYFUNCTION("""COMPUTED_VALUE"""),"GC - V - 4920 - CTY SEN HỒNG - HUMIIX (Dạng viên màu đen) - 1kg - 25")</f>
        <v>GC - V - 4920 - CTY SEN HỒNG - HUMIIX (Dạng viên màu đen) - 1kg - 25</v>
      </c>
    </row>
    <row r="5985">
      <c r="A5985" s="86">
        <f>IFERROR(__xludf.DUMMYFUNCTION("""COMPUTED_VALUE"""),5983.0)</f>
        <v>5983</v>
      </c>
      <c r="B5985" s="87" t="str">
        <f>IFERROR(__xludf.DUMMYFUNCTION("""COMPUTED_VALUE"""),"[Nhãn Thùng]")</f>
        <v>[Nhãn Thùng]</v>
      </c>
      <c r="C5985" s="87" t="str">
        <f>IFERROR(__xludf.DUMMYFUNCTION("""COMPUTED_VALUE"""),"NDT4920")</f>
        <v>NDT4920</v>
      </c>
      <c r="D5985" s="87" t="str">
        <f>IFERROR(__xludf.DUMMYFUNCTION("""COMPUTED_VALUE"""),"[Nhãn Thùng] GC - V - 4920 - CTY SEN HỒNG - HUMIIX (Dạng viên màu đen) - 1kg - 25")</f>
        <v>[Nhãn Thùng] GC - V - 4920 - CTY SEN HỒNG - HUMIIX (Dạng viên màu đen) - 1kg - 25</v>
      </c>
      <c r="E5985" s="87" t="str">
        <f>IFERROR(__xludf.DUMMYFUNCTION("""COMPUTED_VALUE"""),"Hữu Cơ PBHC ABA Organic Fertilizer 20")</f>
        <v>Hữu Cơ PBHC ABA Organic Fertilizer 20</v>
      </c>
      <c r="F5985" s="87" t="str">
        <f>IFERROR(__xludf.DUMMYFUNCTION("""COMPUTED_VALUE"""),"HH4920")</f>
        <v>HH4920</v>
      </c>
      <c r="G5985" s="87" t="str">
        <f>IFERROR(__xludf.DUMMYFUNCTION("""COMPUTED_VALUE"""),"GC - V - 4920 - CTY SEN HỒNG - HUMIIX (Dạng viên màu đen) - 1kg - 25")</f>
        <v>GC - V - 4920 - CTY SEN HỒNG - HUMIIX (Dạng viên màu đen) - 1kg - 25</v>
      </c>
    </row>
    <row r="5986">
      <c r="A5986" s="86">
        <f>IFERROR(__xludf.DUMMYFUNCTION("""COMPUTED_VALUE"""),5984.0)</f>
        <v>5984</v>
      </c>
      <c r="B5986" s="87" t="str">
        <f>IFERROR(__xludf.DUMMYFUNCTION("""COMPUTED_VALUE"""),"[Nhãn]")</f>
        <v>[Nhãn]</v>
      </c>
      <c r="C5986" s="87" t="str">
        <f>IFERROR(__xludf.DUMMYFUNCTION("""COMPUTED_VALUE"""),"NTN4987")</f>
        <v>NTN4987</v>
      </c>
      <c r="D5986" s="87" t="str">
        <f>IFERROR(__xludf.DUMMYFUNCTION("""COMPUTED_VALUE"""),"[Nhãn] GC - V - 4987 - CTY GNH - KHONGRAY 54WP (Bột trắng ngà) - 100gr - 100")</f>
        <v>[Nhãn] GC - V - 4987 - CTY GNH - KHONGRAY 54WP (Bột trắng ngà) - 100gr - 100</v>
      </c>
      <c r="E5986" s="87" t="str">
        <f>IFERROR(__xludf.DUMMYFUNCTION("""COMPUTED_VALUE"""),"KHONGRAY 54WP")</f>
        <v>KHONGRAY 54WP</v>
      </c>
      <c r="F5986" s="87" t="str">
        <f>IFERROR(__xludf.DUMMYFUNCTION("""COMPUTED_VALUE"""),"HH4987")</f>
        <v>HH4987</v>
      </c>
      <c r="G5986" s="87" t="str">
        <f>IFERROR(__xludf.DUMMYFUNCTION("""COMPUTED_VALUE"""),"GC - V - 4987 - CTY GNH - KHONGRAY 54WP (Bột trắng ngà) - 100gr - 100")</f>
        <v>GC - V - 4987 - CTY GNH - KHONGRAY 54WP (Bột trắng ngà) - 100gr - 100</v>
      </c>
    </row>
    <row r="5987">
      <c r="A5987" s="86">
        <f>IFERROR(__xludf.DUMMYFUNCTION("""COMPUTED_VALUE"""),5985.0)</f>
        <v>5985</v>
      </c>
      <c r="B5987" s="87" t="str">
        <f>IFERROR(__xludf.DUMMYFUNCTION("""COMPUTED_VALUE"""),"[Nhãn Thùng]")</f>
        <v>[Nhãn Thùng]</v>
      </c>
      <c r="C5987" s="87" t="str">
        <f>IFERROR(__xludf.DUMMYFUNCTION("""COMPUTED_VALUE"""),"NDT4987")</f>
        <v>NDT4987</v>
      </c>
      <c r="D5987" s="87" t="str">
        <f>IFERROR(__xludf.DUMMYFUNCTION("""COMPUTED_VALUE"""),"[Nhãn Thùng] GC - V - 4987 - CTY GNH - KHONGRAY 54WP (Bột trắng ngà) - 100gr - 100")</f>
        <v>[Nhãn Thùng] GC - V - 4987 - CTY GNH - KHONGRAY 54WP (Bột trắng ngà) - 100gr - 100</v>
      </c>
      <c r="E5987" s="87" t="str">
        <f>IFERROR(__xludf.DUMMYFUNCTION("""COMPUTED_VALUE"""),"KHONGRAY 54WP")</f>
        <v>KHONGRAY 54WP</v>
      </c>
      <c r="F5987" s="87" t="str">
        <f>IFERROR(__xludf.DUMMYFUNCTION("""COMPUTED_VALUE"""),"HH4987")</f>
        <v>HH4987</v>
      </c>
      <c r="G5987" s="87" t="str">
        <f>IFERROR(__xludf.DUMMYFUNCTION("""COMPUTED_VALUE"""),"GC - V - 4987 - CTY GNH - KHONGRAY 54WP (Bột trắng ngà) - 100gr - 100")</f>
        <v>GC - V - 4987 - CTY GNH - KHONGRAY 54WP (Bột trắng ngà) - 100gr - 100</v>
      </c>
    </row>
    <row r="5988">
      <c r="A5988" s="86">
        <f>IFERROR(__xludf.DUMMYFUNCTION("""COMPUTED_VALUE"""),5986.0)</f>
        <v>5986</v>
      </c>
      <c r="B5988" s="87" t="str">
        <f>IFERROR(__xludf.DUMMYFUNCTION("""COMPUTED_VALUE"""),"[Nhãn]")</f>
        <v>[Nhãn]</v>
      </c>
      <c r="C5988" s="87" t="str">
        <f>IFERROR(__xludf.DUMMYFUNCTION("""COMPUTED_VALUE"""),"NHG4984")</f>
        <v>NHG4984</v>
      </c>
      <c r="D5988" s="87" t="str">
        <f>IFERROR(__xludf.DUMMYFUNCTION("""COMPUTED_VALUE"""),"[Nhãn] GC - V - 4984 - CTY DONA VINA - GEL RA RỄ NỞ BỤI (Nước nâu đen) - 500ml - 40")</f>
        <v>[Nhãn] GC - V - 4984 - CTY DONA VINA - GEL RA RỄ NỞ BỤI (Nước nâu đen) - 500ml - 40</v>
      </c>
      <c r="E5988" s="87" t="str">
        <f>IFERROR(__xludf.DUMMYFUNCTION("""COMPUTED_VALUE"""),"Hữu Cơ Organic ĐGP 01")</f>
        <v>Hữu Cơ Organic ĐGP 01</v>
      </c>
      <c r="F5988" s="87" t="str">
        <f>IFERROR(__xludf.DUMMYFUNCTION("""COMPUTED_VALUE"""),"HH4984")</f>
        <v>HH4984</v>
      </c>
      <c r="G5988" s="87" t="str">
        <f>IFERROR(__xludf.DUMMYFUNCTION("""COMPUTED_VALUE"""),"GC - V - 4984 - CTY DONA VINA - GEL RA RỄ NỞ BỤI (Nước nâu đen) - 500ml - 40")</f>
        <v>GC - V - 4984 - CTY DONA VINA - GEL RA RỄ NỞ BỤI (Nước nâu đen) - 500ml - 40</v>
      </c>
    </row>
    <row r="5989">
      <c r="A5989" s="86">
        <f>IFERROR(__xludf.DUMMYFUNCTION("""COMPUTED_VALUE"""),5987.0)</f>
        <v>5987</v>
      </c>
      <c r="B5989" s="87" t="str">
        <f>IFERROR(__xludf.DUMMYFUNCTION("""COMPUTED_VALUE"""),"[Nhãn]")</f>
        <v>[Nhãn]</v>
      </c>
      <c r="C5989" s="87" t="str">
        <f>IFERROR(__xludf.DUMMYFUNCTION("""COMPUTED_VALUE"""),"NHG4985")</f>
        <v>NHG4985</v>
      </c>
      <c r="D5989" s="87" t="str">
        <f>IFERROR(__xludf.DUMMYFUNCTION("""COMPUTED_VALUE"""),"[Nhãn] GC - V - 4985 - CTY DONA VINA - GEL VÔ GẠO (Nước vàng) - 500ml - 40")</f>
        <v>[Nhãn] GC - V - 4985 - CTY DONA VINA - GEL VÔ GẠO (Nước vàng) - 500ml - 40</v>
      </c>
      <c r="E5989" s="87" t="str">
        <f>IFERROR(__xludf.DUMMYFUNCTION("""COMPUTED_VALUE"""),"Lá PK-Vi lượng SV 5-18")</f>
        <v>Lá PK-Vi lượng SV 5-18</v>
      </c>
      <c r="F5989" s="87" t="str">
        <f>IFERROR(__xludf.DUMMYFUNCTION("""COMPUTED_VALUE"""),"HH4985")</f>
        <v>HH4985</v>
      </c>
      <c r="G5989" s="87" t="str">
        <f>IFERROR(__xludf.DUMMYFUNCTION("""COMPUTED_VALUE"""),"GC - V - 4985 - CTY DONA VINA - GEL VÔ GẠO (Nước vàng) - 500ml - 40")</f>
        <v>GC - V - 4985 - CTY DONA VINA - GEL VÔ GẠO (Nước vàng) - 500ml - 40</v>
      </c>
    </row>
    <row r="5990">
      <c r="A5990" s="86">
        <f>IFERROR(__xludf.DUMMYFUNCTION("""COMPUTED_VALUE"""),5988.0)</f>
        <v>5988</v>
      </c>
      <c r="B5990" s="87" t="str">
        <f>IFERROR(__xludf.DUMMYFUNCTION("""COMPUTED_VALUE"""),"[Nhãn]")</f>
        <v>[Nhãn]</v>
      </c>
      <c r="C5990" s="87" t="str">
        <f>IFERROR(__xludf.DUMMYFUNCTION("""COMPUTED_VALUE"""),"NHG4986")</f>
        <v>NHG4986</v>
      </c>
      <c r="D5990" s="87" t="str">
        <f>IFERROR(__xludf.DUMMYFUNCTION("""COMPUTED_VALUE"""),"[Nhãn] GC - V - 4986 - CTY DONA VINA - GEL DƯỠNG ĐÒNG (Nước nâu đen) - 500ml - 40")</f>
        <v>[Nhãn] GC - V - 4986 - CTY DONA VINA - GEL DƯỠNG ĐÒNG (Nước nâu đen) - 500ml - 40</v>
      </c>
      <c r="E5990" s="87" t="str">
        <f>IFERROR(__xludf.DUMMYFUNCTION("""COMPUTED_VALUE"""),"Hữu Cơ PBHC Cabozinc A.B.A")</f>
        <v>Hữu Cơ PBHC Cabozinc A.B.A</v>
      </c>
      <c r="F5990" s="87" t="str">
        <f>IFERROR(__xludf.DUMMYFUNCTION("""COMPUTED_VALUE"""),"HH4986")</f>
        <v>HH4986</v>
      </c>
      <c r="G5990" s="87" t="str">
        <f>IFERROR(__xludf.DUMMYFUNCTION("""COMPUTED_VALUE"""),"GC - V - 4986 - CTY DONA VINA - GEL DƯỠNG ĐÒNG (Nước nâu đen) - 500ml - 40")</f>
        <v>GC - V - 4986 - CTY DONA VINA - GEL DƯỠNG ĐÒNG (Nước nâu đen) - 500ml - 40</v>
      </c>
    </row>
    <row r="5991">
      <c r="A5991" s="86">
        <f>IFERROR(__xludf.DUMMYFUNCTION("""COMPUTED_VALUE"""),5989.0)</f>
        <v>5989</v>
      </c>
      <c r="B5991" s="87" t="str">
        <f>IFERROR(__xludf.DUMMYFUNCTION("""COMPUTED_VALUE"""),"[Nhãn]")</f>
        <v>[Nhãn]</v>
      </c>
      <c r="C5991" s="87" t="str">
        <f>IFERROR(__xludf.DUMMYFUNCTION("""COMPUTED_VALUE"""),"NHG4973")</f>
        <v>NHG4973</v>
      </c>
      <c r="D5991" s="87" t="str">
        <f>IFERROR(__xludf.DUMMYFUNCTION("""COMPUTED_VALUE"""),"[Nhãn] GC - V - 4973 - SONG KIM AGRICULTURE - SK RA RỄ NỞ BỤI (Nước nâu đen) - 500ml - 40")</f>
        <v>[Nhãn] GC - V - 4973 - SONG KIM AGRICULTURE - SK RA RỄ NỞ BỤI (Nước nâu đen) - 500ml - 40</v>
      </c>
      <c r="E5991" s="87" t="str">
        <f>IFERROR(__xludf.DUMMYFUNCTION("""COMPUTED_VALUE"""),"Hữu Cơ Organic ĐGP 01")</f>
        <v>Hữu Cơ Organic ĐGP 01</v>
      </c>
      <c r="F5991" s="87" t="str">
        <f>IFERROR(__xludf.DUMMYFUNCTION("""COMPUTED_VALUE"""),"HH4973")</f>
        <v>HH4973</v>
      </c>
      <c r="G5991" s="87" t="str">
        <f>IFERROR(__xludf.DUMMYFUNCTION("""COMPUTED_VALUE"""),"GC - V - 4973 - SONG KIM AGRICULTURE - SK RA RỄ NỞ BỤI (Nước nâu đen) - 500ml - 40")</f>
        <v>GC - V - 4973 - SONG KIM AGRICULTURE - SK RA RỄ NỞ BỤI (Nước nâu đen) - 500ml - 40</v>
      </c>
    </row>
    <row r="5992">
      <c r="A5992" s="86">
        <f>IFERROR(__xludf.DUMMYFUNCTION("""COMPUTED_VALUE"""),5990.0)</f>
        <v>5990</v>
      </c>
      <c r="B5992" s="87" t="str">
        <f>IFERROR(__xludf.DUMMYFUNCTION("""COMPUTED_VALUE"""),"[Nhãn]")</f>
        <v>[Nhãn]</v>
      </c>
      <c r="C5992" s="87" t="str">
        <f>IFERROR(__xludf.DUMMYFUNCTION("""COMPUTED_VALUE"""),"NHG4995")</f>
        <v>NHG4995</v>
      </c>
      <c r="D5992" s="87" t="str">
        <f>IFERROR(__xludf.DUMMYFUNCTION("""COMPUTED_VALUE"""),"[Nhãn] GC - V - 4995 - Sen Hồng - HAIHAMEC 3.6EC (Nước nâu đen) - 450ml - 40")</f>
        <v>[Nhãn] GC - V - 4995 - Sen Hồng - HAIHAMEC 3.6EC (Nước nâu đen) - 450ml - 40</v>
      </c>
      <c r="E5992" s="87" t="str">
        <f>IFERROR(__xludf.DUMMYFUNCTION("""COMPUTED_VALUE"""),"HAIHAMEC 3.6EC")</f>
        <v>HAIHAMEC 3.6EC</v>
      </c>
      <c r="F5992" s="87" t="str">
        <f>IFERROR(__xludf.DUMMYFUNCTION("""COMPUTED_VALUE"""),"HH4995")</f>
        <v>HH4995</v>
      </c>
      <c r="G5992" s="87" t="str">
        <f>IFERROR(__xludf.DUMMYFUNCTION("""COMPUTED_VALUE"""),"GC - V - 4995 - Sen Hồng - HAIHAMEC 3.6EC (Nước nâu đen) - 450ml - 40")</f>
        <v>GC - V - 4995 - Sen Hồng - HAIHAMEC 3.6EC (Nước nâu đen) - 450ml - 40</v>
      </c>
    </row>
    <row r="5993">
      <c r="A5993" s="86">
        <f>IFERROR(__xludf.DUMMYFUNCTION("""COMPUTED_VALUE"""),5991.0)</f>
        <v>5991</v>
      </c>
      <c r="B5993" s="87" t="str">
        <f>IFERROR(__xludf.DUMMYFUNCTION("""COMPUTED_VALUE"""),"[Nhãn Thùng]")</f>
        <v>[Nhãn Thùng]</v>
      </c>
      <c r="C5993" s="87" t="str">
        <f>IFERROR(__xludf.DUMMYFUNCTION("""COMPUTED_VALUE"""),"NDT4993")</f>
        <v>NDT4993</v>
      </c>
      <c r="D5993" s="87" t="str">
        <f>IFERROR(__xludf.DUMMYFUNCTION("""COMPUTED_VALUE"""),"[Nhãn Thùng] GC - V - 4993 - THẾ DANH - HAIHAMEC 3.6EC (Nước nâu đen) - 450ml - 40")</f>
        <v>[Nhãn Thùng] GC - V - 4993 - THẾ DANH - HAIHAMEC 3.6EC (Nước nâu đen) - 450ml - 40</v>
      </c>
      <c r="E5993" s="87" t="str">
        <f>IFERROR(__xludf.DUMMYFUNCTION("""COMPUTED_VALUE"""),"HAIHAMEC 3.6EC")</f>
        <v>HAIHAMEC 3.6EC</v>
      </c>
      <c r="F5993" s="87" t="str">
        <f>IFERROR(__xludf.DUMMYFUNCTION("""COMPUTED_VALUE"""),"HH4993")</f>
        <v>HH4993</v>
      </c>
      <c r="G5993" s="87" t="str">
        <f>IFERROR(__xludf.DUMMYFUNCTION("""COMPUTED_VALUE"""),"GC - V - 4993 - THẾ DANH - HAIHAMEC 3.6EC (Nước nâu đen) - 450ml - 40")</f>
        <v>GC - V - 4993 - THẾ DANH - HAIHAMEC 3.6EC (Nước nâu đen) - 450ml - 40</v>
      </c>
    </row>
    <row r="5994">
      <c r="A5994" s="86">
        <f>IFERROR(__xludf.DUMMYFUNCTION("""COMPUTED_VALUE"""),5992.0)</f>
        <v>5992</v>
      </c>
      <c r="B5994" s="87" t="str">
        <f>IFERROR(__xludf.DUMMYFUNCTION("""COMPUTED_VALUE"""),"[Nhãn]")</f>
        <v>[Nhãn]</v>
      </c>
      <c r="C5994" s="87" t="str">
        <f>IFERROR(__xludf.DUMMYFUNCTION("""COMPUTED_VALUE"""),"NHD4993")</f>
        <v>NHD4993</v>
      </c>
      <c r="D5994" s="87" t="str">
        <f>IFERROR(__xludf.DUMMYFUNCTION("""COMPUTED_VALUE"""),"[Nhãn] GC - V - 4993 - THẾ DANH - HAIHAMEC 3.6EC (Nước nâu đen) - 450ml - 40")</f>
        <v>[Nhãn] GC - V - 4993 - THẾ DANH - HAIHAMEC 3.6EC (Nước nâu đen) - 450ml - 40</v>
      </c>
      <c r="E5994" s="87" t="str">
        <f>IFERROR(__xludf.DUMMYFUNCTION("""COMPUTED_VALUE"""),"HAIHAMEC 3.6EC")</f>
        <v>HAIHAMEC 3.6EC</v>
      </c>
      <c r="F5994" s="87" t="str">
        <f>IFERROR(__xludf.DUMMYFUNCTION("""COMPUTED_VALUE"""),"HH4993")</f>
        <v>HH4993</v>
      </c>
      <c r="G5994" s="87" t="str">
        <f>IFERROR(__xludf.DUMMYFUNCTION("""COMPUTED_VALUE"""),"GC - V - 4993 - THẾ DANH - HAIHAMEC 3.6EC (Nước nâu đen) - 450ml - 40")</f>
        <v>GC - V - 4993 - THẾ DANH - HAIHAMEC 3.6EC (Nước nâu đen) - 450ml - 40</v>
      </c>
    </row>
    <row r="5995">
      <c r="A5995" s="86">
        <f>IFERROR(__xludf.DUMMYFUNCTION("""COMPUTED_VALUE"""),5993.0)</f>
        <v>5993</v>
      </c>
      <c r="B5995" s="87" t="str">
        <f>IFERROR(__xludf.DUMMYFUNCTION("""COMPUTED_VALUE"""),"[Nhãn]")</f>
        <v>[Nhãn]</v>
      </c>
      <c r="C5995" s="87" t="str">
        <f>IFERROR(__xludf.DUMMYFUNCTION("""COMPUTED_VALUE"""),"NHD4978")</f>
        <v>NHD4978</v>
      </c>
      <c r="D5995" s="87" t="str">
        <f>IFERROR(__xludf.DUMMYFUNCTION("""COMPUTED_VALUE"""),"[Nhãn] GC - V - 4978 - CTY QUANG ĐĂNG AGRICULTURE - ORGA GROWING QĐ.FRUIT (Nước nâu đen) - 10L - 2")</f>
        <v>[Nhãn] GC - V - 4978 - CTY QUANG ĐĂNG AGRICULTURE - ORGA GROWING QĐ.FRUIT (Nước nâu đen) - 10L - 2</v>
      </c>
      <c r="E5995" s="87" t="str">
        <f>IFERROR(__xludf.DUMMYFUNCTION("""COMPUTED_VALUE"""),"HỖN HỢP NPK AGAMA-SRH")</f>
        <v>HỖN HỢP NPK AGAMA-SRH</v>
      </c>
      <c r="F5995" s="87" t="str">
        <f>IFERROR(__xludf.DUMMYFUNCTION("""COMPUTED_VALUE"""),"HH4978")</f>
        <v>HH4978</v>
      </c>
      <c r="G5995" s="87" t="str">
        <f>IFERROR(__xludf.DUMMYFUNCTION("""COMPUTED_VALUE"""),"GC - V - 4978 - CTY QUANG ĐĂNG AGRICULTURE - ORGA GROWING QĐ.FRUIT (Nước nâu đen) - 10L - 2")</f>
        <v>GC - V - 4978 - CTY QUANG ĐĂNG AGRICULTURE - ORGA GROWING QĐ.FRUIT (Nước nâu đen) - 10L - 2</v>
      </c>
    </row>
    <row r="5996">
      <c r="A5996" s="86">
        <f>IFERROR(__xludf.DUMMYFUNCTION("""COMPUTED_VALUE"""),5994.0)</f>
        <v>5994</v>
      </c>
      <c r="B5996" s="87" t="str">
        <f>IFERROR(__xludf.DUMMYFUNCTION("""COMPUTED_VALUE"""),"[Nhãn Thùng]")</f>
        <v>[Nhãn Thùng]</v>
      </c>
      <c r="C5996" s="87" t="str">
        <f>IFERROR(__xludf.DUMMYFUNCTION("""COMPUTED_VALUE"""),"NDT4978")</f>
        <v>NDT4978</v>
      </c>
      <c r="D5996" s="87" t="str">
        <f>IFERROR(__xludf.DUMMYFUNCTION("""COMPUTED_VALUE"""),"[Nhãn Thùng] GC - V - 4978 - CTY QUANG ĐĂNG AGRICULTURE - ORGA GROWING QĐ.FRUIT (Nước nâu đen) - 10L - 2")</f>
        <v>[Nhãn Thùng] GC - V - 4978 - CTY QUANG ĐĂNG AGRICULTURE - ORGA GROWING QĐ.FRUIT (Nước nâu đen) - 10L - 2</v>
      </c>
      <c r="E5996" s="87" t="str">
        <f>IFERROR(__xludf.DUMMYFUNCTION("""COMPUTED_VALUE"""),"HỖN HỢP NPK AGAMA-SRH")</f>
        <v>HỖN HỢP NPK AGAMA-SRH</v>
      </c>
      <c r="F5996" s="87" t="str">
        <f>IFERROR(__xludf.DUMMYFUNCTION("""COMPUTED_VALUE"""),"HH4978")</f>
        <v>HH4978</v>
      </c>
      <c r="G5996" s="87" t="str">
        <f>IFERROR(__xludf.DUMMYFUNCTION("""COMPUTED_VALUE"""),"GC - V - 4978 - CTY QUANG ĐĂNG AGRICULTURE - ORGA GROWING QĐ.FRUIT (Nước nâu đen) - 10L - 2")</f>
        <v>GC - V - 4978 - CTY QUANG ĐĂNG AGRICULTURE - ORGA GROWING QĐ.FRUIT (Nước nâu đen) - 10L - 2</v>
      </c>
    </row>
    <row r="5997">
      <c r="A5997" s="86">
        <f>IFERROR(__xludf.DUMMYFUNCTION("""COMPUTED_VALUE"""),5995.0)</f>
        <v>5995</v>
      </c>
      <c r="B5997" s="87" t="str">
        <f>IFERROR(__xludf.DUMMYFUNCTION("""COMPUTED_VALUE"""),"[Nhãn]")</f>
        <v>[Nhãn]</v>
      </c>
      <c r="C5997" s="87" t="str">
        <f>IFERROR(__xludf.DUMMYFUNCTION("""COMPUTED_VALUE"""),"NHD4971")</f>
        <v>NHD4971</v>
      </c>
      <c r="D5997" s="87" t="str">
        <f>IFERROR(__xludf.DUMMYFUNCTION("""COMPUTED_VALUE"""),"[Nhãn] GC - V - 4971 - CTY QUANG ĐĂNG AGRICULTURE - BIG FRUIT QĐ.KATO (Gel nâu đen) - 500ml - 40")</f>
        <v>[Nhãn] GC - V - 4971 - CTY QUANG ĐĂNG AGRICULTURE - BIG FRUIT QĐ.KATO (Gel nâu đen) - 500ml - 40</v>
      </c>
      <c r="E5997" s="87" t="str">
        <f>IFERROR(__xludf.DUMMYFUNCTION("""COMPUTED_VALUE"""),"lá NPK-vi lượng GNC19")</f>
        <v>lá NPK-vi lượng GNC19</v>
      </c>
      <c r="F5997" s="87" t="str">
        <f>IFERROR(__xludf.DUMMYFUNCTION("""COMPUTED_VALUE"""),"HH4971")</f>
        <v>HH4971</v>
      </c>
      <c r="G5997" s="87" t="str">
        <f>IFERROR(__xludf.DUMMYFUNCTION("""COMPUTED_VALUE"""),"GC - V - 4971 - CTY QUANG ĐĂNG AGRICULTURE - BIG FRUIT QĐ.KATO (Gel nâu đen) - 500ml - 40")</f>
        <v>GC - V - 4971 - CTY QUANG ĐĂNG AGRICULTURE - BIG FRUIT QĐ.KATO (Gel nâu đen) - 500ml - 40</v>
      </c>
    </row>
    <row r="5998">
      <c r="A5998" s="86">
        <f>IFERROR(__xludf.DUMMYFUNCTION("""COMPUTED_VALUE"""),5996.0)</f>
        <v>5996</v>
      </c>
      <c r="B5998" s="87" t="str">
        <f>IFERROR(__xludf.DUMMYFUNCTION("""COMPUTED_VALUE"""),"[Nhãn Thùng]")</f>
        <v>[Nhãn Thùng]</v>
      </c>
      <c r="C5998" s="87" t="str">
        <f>IFERROR(__xludf.DUMMYFUNCTION("""COMPUTED_VALUE"""),"NDT4971")</f>
        <v>NDT4971</v>
      </c>
      <c r="D5998" s="87" t="str">
        <f>IFERROR(__xludf.DUMMYFUNCTION("""COMPUTED_VALUE"""),"[Nhãn Thùng] GC - V - 4971 - CTY QUANG ĐĂNG AGRICULTURE - BIG FRUIT QĐ.KATO (Gel nâu đen) - 500ml - 40")</f>
        <v>[Nhãn Thùng] GC - V - 4971 - CTY QUANG ĐĂNG AGRICULTURE - BIG FRUIT QĐ.KATO (Gel nâu đen) - 500ml - 40</v>
      </c>
      <c r="E5998" s="87" t="str">
        <f>IFERROR(__xludf.DUMMYFUNCTION("""COMPUTED_VALUE"""),"lá NPK-vi lượng GNC19")</f>
        <v>lá NPK-vi lượng GNC19</v>
      </c>
      <c r="F5998" s="87" t="str">
        <f>IFERROR(__xludf.DUMMYFUNCTION("""COMPUTED_VALUE"""),"HH4971")</f>
        <v>HH4971</v>
      </c>
      <c r="G5998" s="87" t="str">
        <f>IFERROR(__xludf.DUMMYFUNCTION("""COMPUTED_VALUE"""),"GC - V - 4971 - CTY QUANG ĐĂNG AGRICULTURE - BIG FRUIT QĐ.KATO (Gel nâu đen) - 500ml - 40")</f>
        <v>GC - V - 4971 - CTY QUANG ĐĂNG AGRICULTURE - BIG FRUIT QĐ.KATO (Gel nâu đen) - 500ml - 40</v>
      </c>
    </row>
    <row r="5999">
      <c r="A5999" s="86">
        <f>IFERROR(__xludf.DUMMYFUNCTION("""COMPUTED_VALUE"""),5997.0)</f>
        <v>5997</v>
      </c>
      <c r="B5999" s="87" t="str">
        <f>IFERROR(__xludf.DUMMYFUNCTION("""COMPUTED_VALUE"""),"[Nhãn]")</f>
        <v>[Nhãn]</v>
      </c>
      <c r="C5999" s="87" t="str">
        <f>IFERROR(__xludf.DUMMYFUNCTION("""COMPUTED_VALUE"""),"NHG4997")</f>
        <v>NHG4997</v>
      </c>
      <c r="D5999" s="87" t="str">
        <f>IFERROR(__xludf.DUMMYFUNCTION("""COMPUTED_VALUE"""),"[Nhãn] GC - V - 4997 - HÓA NÔNG SHINO - THẦN ƯNG (Nước trắng sữa) - 240ml - 40")</f>
        <v>[Nhãn] GC - V - 4997 - HÓA NÔNG SHINO - THẦN ƯNG (Nước trắng sữa) - 240ml - 40</v>
      </c>
      <c r="E5999" s="87" t="str">
        <f>IFERROR(__xludf.DUMMYFUNCTION("""COMPUTED_VALUE"""),"VOTE 34.2SC")</f>
        <v>VOTE 34.2SC</v>
      </c>
      <c r="F5999" s="87" t="str">
        <f>IFERROR(__xludf.DUMMYFUNCTION("""COMPUTED_VALUE"""),"HH4997")</f>
        <v>HH4997</v>
      </c>
      <c r="G5999" s="87" t="str">
        <f>IFERROR(__xludf.DUMMYFUNCTION("""COMPUTED_VALUE"""),"GC - V - 4997 - HÓA NÔNG SHINO - THẦN ƯNG (Nước trắng sữa) - 240ml - 40")</f>
        <v>GC - V - 4997 - HÓA NÔNG SHINO - THẦN ƯNG (Nước trắng sữa) - 240ml - 40</v>
      </c>
    </row>
    <row r="6000">
      <c r="A6000" s="86">
        <f>IFERROR(__xludf.DUMMYFUNCTION("""COMPUTED_VALUE"""),5998.0)</f>
        <v>5998</v>
      </c>
      <c r="B6000" s="87" t="str">
        <f>IFERROR(__xludf.DUMMYFUNCTION("""COMPUTED_VALUE"""),"[Nhãn]")</f>
        <v>[Nhãn]</v>
      </c>
      <c r="C6000" s="87" t="str">
        <f>IFERROR(__xludf.DUMMYFUNCTION("""COMPUTED_VALUE"""),"NTN4994")</f>
        <v>NTN4994</v>
      </c>
      <c r="D6000" s="87" t="str">
        <f>IFERROR(__xludf.DUMMYFUNCTION("""COMPUTED_VALUE"""),"[Nhãn] GC - V - 4994 - CSSX An Khang - Metalaxyl (bột trắng) 100gr - 100")</f>
        <v>[Nhãn] GC - V - 4994 - CSSX An Khang - Metalaxyl (bột trắng) 100gr - 100</v>
      </c>
      <c r="E6000" s="87" t="str">
        <f>IFERROR(__xludf.DUMMYFUNCTION("""COMPUTED_VALUE"""),"Acodyl 35WP")</f>
        <v>Acodyl 35WP</v>
      </c>
      <c r="F6000" s="87" t="str">
        <f>IFERROR(__xludf.DUMMYFUNCTION("""COMPUTED_VALUE"""),"HH4994")</f>
        <v>HH4994</v>
      </c>
      <c r="G6000" s="87" t="str">
        <f>IFERROR(__xludf.DUMMYFUNCTION("""COMPUTED_VALUE"""),"GC - V - 4994 - CSSX An Khang - Metalaxyl (bột trắng) 100gr - 100")</f>
        <v>GC - V - 4994 - CSSX An Khang - Metalaxyl (bột trắng) 100gr - 100</v>
      </c>
    </row>
    <row r="6001">
      <c r="A6001" s="86">
        <f>IFERROR(__xludf.DUMMYFUNCTION("""COMPUTED_VALUE"""),5999.0)</f>
        <v>5999</v>
      </c>
      <c r="B6001" s="87" t="str">
        <f>IFERROR(__xludf.DUMMYFUNCTION("""COMPUTED_VALUE"""),"[Nhãn Thùng]")</f>
        <v>[Nhãn Thùng]</v>
      </c>
      <c r="C6001" s="87" t="str">
        <f>IFERROR(__xludf.DUMMYFUNCTION("""COMPUTED_VALUE"""),"NDT4994")</f>
        <v>NDT4994</v>
      </c>
      <c r="D6001" s="87" t="str">
        <f>IFERROR(__xludf.DUMMYFUNCTION("""COMPUTED_VALUE"""),"[Nhãn Thùng] GC - V - 4994 - CSSX An Khang - Metalaxyl (bột trắng) 100gr - 100")</f>
        <v>[Nhãn Thùng] GC - V - 4994 - CSSX An Khang - Metalaxyl (bột trắng) 100gr - 100</v>
      </c>
      <c r="E6001" s="87" t="str">
        <f>IFERROR(__xludf.DUMMYFUNCTION("""COMPUTED_VALUE"""),"Acodyl 35WP")</f>
        <v>Acodyl 35WP</v>
      </c>
      <c r="F6001" s="87" t="str">
        <f>IFERROR(__xludf.DUMMYFUNCTION("""COMPUTED_VALUE"""),"HH4994")</f>
        <v>HH4994</v>
      </c>
      <c r="G6001" s="87" t="str">
        <f>IFERROR(__xludf.DUMMYFUNCTION("""COMPUTED_VALUE"""),"GC - V - 4994 - CSSX An Khang - Metalaxyl (bột trắng) 100gr - 100")</f>
        <v>GC - V - 4994 - CSSX An Khang - Metalaxyl (bột trắng) 100gr - 100</v>
      </c>
    </row>
    <row r="6002">
      <c r="A6002" s="86">
        <f>IFERROR(__xludf.DUMMYFUNCTION("""COMPUTED_VALUE"""),6000.0)</f>
        <v>6000</v>
      </c>
      <c r="B6002" s="87" t="str">
        <f>IFERROR(__xludf.DUMMYFUNCTION("""COMPUTED_VALUE"""),"[Nhãn]")</f>
        <v>[Nhãn]</v>
      </c>
      <c r="C6002" s="87" t="str">
        <f>IFERROR(__xludf.DUMMYFUNCTION("""COMPUTED_VALUE"""),"NHG5005")</f>
        <v>NHG5005</v>
      </c>
      <c r="D6002" s="87" t="str">
        <f>IFERROR(__xludf.DUMMYFUNCTION("""COMPUTED_VALUE"""),"[Nhãn] GC - V - 5005 - CTY NHP GROUP (HTX NÔNG NGHIỆP MỸ THIỆN) - MT PACLO (Nước trắng sữa) - 1L - 20")</f>
        <v>[Nhãn] GC - V - 5005 - CTY NHP GROUP (HTX NÔNG NGHIỆP MỸ THIỆN) - MT PACLO (Nước trắng sữa) - 1L - 20</v>
      </c>
      <c r="E6002" s="87" t="str">
        <f>IFERROR(__xludf.DUMMYFUNCTION("""COMPUTED_VALUE"""),"VT-BUZZ 250SC")</f>
        <v>VT-BUZZ 250SC</v>
      </c>
      <c r="F6002" s="87" t="str">
        <f>IFERROR(__xludf.DUMMYFUNCTION("""COMPUTED_VALUE"""),"HH5005")</f>
        <v>HH5005</v>
      </c>
      <c r="G6002" s="87" t="str">
        <f>IFERROR(__xludf.DUMMYFUNCTION("""COMPUTED_VALUE"""),"GC - V - 5005 - CTY NHP GROUP (HTX NÔNG NGHIỆP MỸ THIỆN) - MT PACLO (Nước trắng sữa) - 1L - 20")</f>
        <v>GC - V - 5005 - CTY NHP GROUP (HTX NÔNG NGHIỆP MỸ THIỆN) - MT PACLO (Nước trắng sữa) - 1L - 20</v>
      </c>
    </row>
    <row r="6003">
      <c r="A6003" s="86">
        <f>IFERROR(__xludf.DUMMYFUNCTION("""COMPUTED_VALUE"""),6001.0)</f>
        <v>6001</v>
      </c>
      <c r="B6003" s="87" t="str">
        <f>IFERROR(__xludf.DUMMYFUNCTION("""COMPUTED_VALUE"""),"[Nhãn]")</f>
        <v>[Nhãn]</v>
      </c>
      <c r="C6003" s="87" t="str">
        <f>IFERROR(__xludf.DUMMYFUNCTION("""COMPUTED_VALUE"""),"NHG5006")</f>
        <v>NHG5006</v>
      </c>
      <c r="D6003" s="87" t="str">
        <f>IFERROR(__xludf.DUMMYFUNCTION("""COMPUTED_VALUE"""),"[Nhãn] GC - V - 5006 - Cty Sen Hồng - ROOT+ (Gel xanh dương) - 500ml - 40")</f>
        <v>[Nhãn] GC - V - 5006 - Cty Sen Hồng - ROOT+ (Gel xanh dương) - 500ml - 40</v>
      </c>
      <c r="E6003" s="87" t="str">
        <f>IFERROR(__xludf.DUMMYFUNCTION("""COMPUTED_VALUE"""),"Hỗn Hợp NP AGAMA-AP")</f>
        <v>Hỗn Hợp NP AGAMA-AP</v>
      </c>
      <c r="F6003" s="87" t="str">
        <f>IFERROR(__xludf.DUMMYFUNCTION("""COMPUTED_VALUE"""),"HH5006")</f>
        <v>HH5006</v>
      </c>
      <c r="G6003" s="87" t="str">
        <f>IFERROR(__xludf.DUMMYFUNCTION("""COMPUTED_VALUE"""),"GC - V - 5006 - Cty Sen Hồng - ROOT+ (Gel xanh dương) - 500ml - 40")</f>
        <v>GC - V - 5006 - Cty Sen Hồng - ROOT+ (Gel xanh dương) - 500ml - 40</v>
      </c>
    </row>
    <row r="6004">
      <c r="A6004" s="86">
        <f>IFERROR(__xludf.DUMMYFUNCTION("""COMPUTED_VALUE"""),6002.0)</f>
        <v>6002</v>
      </c>
      <c r="B6004" s="87" t="str">
        <f>IFERROR(__xludf.DUMMYFUNCTION("""COMPUTED_VALUE"""),"[Nhãn]")</f>
        <v>[Nhãn]</v>
      </c>
      <c r="C6004" s="87" t="str">
        <f>IFERROR(__xludf.DUMMYFUNCTION("""COMPUTED_VALUE"""),"NHG4996")</f>
        <v>NHG4996</v>
      </c>
      <c r="D6004" s="87" t="str">
        <f>IFERROR(__xludf.DUMMYFUNCTION("""COMPUTED_VALUE"""),"[Nhãn] GC - V - 4996 - CTY HƯNG ĐIỀN ARGO - GENOL 1.2SL (Nước đỏ) - 250ml - 40")</f>
        <v>[Nhãn] GC - V - 4996 - CTY HƯNG ĐIỀN ARGO - GENOL 1.2SL (Nước đỏ) - 250ml - 40</v>
      </c>
      <c r="E6004" s="87" t="str">
        <f>IFERROR(__xludf.DUMMYFUNCTION("""COMPUTED_VALUE"""),"GENOL 1.2SL")</f>
        <v>GENOL 1.2SL</v>
      </c>
      <c r="F6004" s="87" t="str">
        <f>IFERROR(__xludf.DUMMYFUNCTION("""COMPUTED_VALUE"""),"HH4996")</f>
        <v>HH4996</v>
      </c>
      <c r="G6004" s="87" t="str">
        <f>IFERROR(__xludf.DUMMYFUNCTION("""COMPUTED_VALUE"""),"GC - V - 4996 - CTY HƯNG ĐIỀN ARGO - GENOL 1.2SL (Nước đỏ) - 250ml - 40")</f>
        <v>GC - V - 4996 - CTY HƯNG ĐIỀN ARGO - GENOL 1.2SL (Nước đỏ) - 250ml - 40</v>
      </c>
    </row>
    <row r="6005">
      <c r="A6005" s="86">
        <f>IFERROR(__xludf.DUMMYFUNCTION("""COMPUTED_VALUE"""),6003.0)</f>
        <v>6003</v>
      </c>
      <c r="B6005" s="87" t="str">
        <f>IFERROR(__xludf.DUMMYFUNCTION("""COMPUTED_VALUE"""),"[Nhãn]")</f>
        <v>[Nhãn]</v>
      </c>
      <c r="C6005" s="87" t="str">
        <f>IFERROR(__xludf.DUMMYFUNCTION("""COMPUTED_VALUE"""),"NHG5011")</f>
        <v>NHG5011</v>
      </c>
      <c r="D6005" s="87" t="str">
        <f>IFERROR(__xludf.DUMMYFUNCTION("""COMPUTED_VALUE"""),"[Nhãn] GC - IV - 5011 - Cty Hóa Nông Shino - VIL SHINO (Nước trắng sữa) - 1L - 20")</f>
        <v>[Nhãn] GC - IV - 5011 - Cty Hóa Nông Shino - VIL SHINO (Nước trắng sữa) - 1L - 20</v>
      </c>
      <c r="E6005" s="87" t="str">
        <f>IFERROR(__xludf.DUMMYFUNCTION("""COMPUTED_VALUE"""),"JAPA VIL 110SC")</f>
        <v>JAPA VIL 110SC</v>
      </c>
      <c r="F6005" s="87" t="str">
        <f>IFERROR(__xludf.DUMMYFUNCTION("""COMPUTED_VALUE"""),"HH5011")</f>
        <v>HH5011</v>
      </c>
      <c r="G6005" s="87" t="str">
        <f>IFERROR(__xludf.DUMMYFUNCTION("""COMPUTED_VALUE"""),"GC - IV - 5011 - Cty Hóa Nông Shino - VIL SHINO (Nước trắng sữa) - 1L - 20")</f>
        <v>GC - IV - 5011 - Cty Hóa Nông Shino - VIL SHINO (Nước trắng sữa) - 1L - 20</v>
      </c>
    </row>
    <row r="6006">
      <c r="A6006" s="86">
        <f>IFERROR(__xludf.DUMMYFUNCTION("""COMPUTED_VALUE"""),6004.0)</f>
        <v>6004</v>
      </c>
      <c r="B6006" s="87" t="str">
        <f>IFERROR(__xludf.DUMMYFUNCTION("""COMPUTED_VALUE"""),"[Nhãn]")</f>
        <v>[Nhãn]</v>
      </c>
      <c r="C6006" s="87" t="str">
        <f>IFERROR(__xludf.DUMMYFUNCTION("""COMPUTED_VALUE"""),"NHG4613")</f>
        <v>NHG4613</v>
      </c>
      <c r="D6006" s="87" t="str">
        <f>IFERROR(__xludf.DUMMYFUNCTION("""COMPUTED_VALUE"""),"[Nhãn] GC - V - 4613 - CTY R3 - NINNA-MAX (Nước xanh dương) - 450ml - 40")</f>
        <v>[Nhãn] GC - V - 4613 - CTY R3 - NINNA-MAX (Nước xanh dương) - 450ml - 40</v>
      </c>
      <c r="E6006" s="87" t="str">
        <f>IFERROR(__xludf.DUMMYFUNCTION("""COMPUTED_VALUE"""),"Pyramos 40SL")</f>
        <v>Pyramos 40SL</v>
      </c>
      <c r="F6006" s="87" t="str">
        <f>IFERROR(__xludf.DUMMYFUNCTION("""COMPUTED_VALUE"""),"HH4613")</f>
        <v>HH4613</v>
      </c>
      <c r="G6006" s="87" t="str">
        <f>IFERROR(__xludf.DUMMYFUNCTION("""COMPUTED_VALUE"""),"GC - V - 4613 - CTY R3 - NINNA-MAX (Nước xanh dương) - 450ml - 40")</f>
        <v>GC - V - 4613 - CTY R3 - NINNA-MAX (Nước xanh dương) - 450ml - 40</v>
      </c>
    </row>
    <row r="6007">
      <c r="A6007" s="86">
        <f>IFERROR(__xludf.DUMMYFUNCTION("""COMPUTED_VALUE"""),6005.0)</f>
        <v>6005</v>
      </c>
      <c r="B6007" s="87" t="str">
        <f>IFERROR(__xludf.DUMMYFUNCTION("""COMPUTED_VALUE"""),"[Nhãn]")</f>
        <v>[Nhãn]</v>
      </c>
      <c r="C6007" s="87" t="str">
        <f>IFERROR(__xludf.DUMMYFUNCTION("""COMPUTED_VALUE"""),"NHD5000")</f>
        <v>NHD5000</v>
      </c>
      <c r="D6007" s="87" t="str">
        <f>IFERROR(__xludf.DUMMYFUNCTION("""COMPUTED_VALUE"""),"[Nhãn] GC - V - 5000 - CTY AN LẠC - K - HUMAX (Nước nâu đen) - 5L - 4")</f>
        <v>[Nhãn] GC - V - 5000 - CTY AN LẠC - K - HUMAX (Nước nâu đen) - 5L - 4</v>
      </c>
      <c r="E6007" s="87" t="str">
        <f>IFERROR(__xludf.DUMMYFUNCTION("""COMPUTED_VALUE"""),"Hữu Cơ Organic ĐGP 01")</f>
        <v>Hữu Cơ Organic ĐGP 01</v>
      </c>
      <c r="F6007" s="87" t="str">
        <f>IFERROR(__xludf.DUMMYFUNCTION("""COMPUTED_VALUE"""),"HH5000")</f>
        <v>HH5000</v>
      </c>
      <c r="G6007" s="87" t="str">
        <f>IFERROR(__xludf.DUMMYFUNCTION("""COMPUTED_VALUE"""),"GC - V - 5000 - CTY AN LẠC - K - HUMAX (Nước nâu đen) - 5L - 4")</f>
        <v>GC - V - 5000 - CTY AN LẠC - K - HUMAX (Nước nâu đen) - 5L - 4</v>
      </c>
    </row>
    <row r="6008">
      <c r="A6008" s="86">
        <f>IFERROR(__xludf.DUMMYFUNCTION("""COMPUTED_VALUE"""),6006.0)</f>
        <v>6006</v>
      </c>
      <c r="B6008" s="87" t="str">
        <f>IFERROR(__xludf.DUMMYFUNCTION("""COMPUTED_VALUE"""),"[Nhãn Thùng]")</f>
        <v>[Nhãn Thùng]</v>
      </c>
      <c r="C6008" s="87" t="str">
        <f>IFERROR(__xludf.DUMMYFUNCTION("""COMPUTED_VALUE"""),"NDT5000")</f>
        <v>NDT5000</v>
      </c>
      <c r="D6008" s="87" t="str">
        <f>IFERROR(__xludf.DUMMYFUNCTION("""COMPUTED_VALUE"""),"[Nhãn Thùng] GC - V - 5000 - CTY AN LẠC - K - HUMAX (Nước nâu đen) - 5L - 4")</f>
        <v>[Nhãn Thùng] GC - V - 5000 - CTY AN LẠC - K - HUMAX (Nước nâu đen) - 5L - 4</v>
      </c>
      <c r="E6008" s="87" t="str">
        <f>IFERROR(__xludf.DUMMYFUNCTION("""COMPUTED_VALUE"""),"Hữu Cơ Organic ĐGP 01")</f>
        <v>Hữu Cơ Organic ĐGP 01</v>
      </c>
      <c r="F6008" s="87" t="str">
        <f>IFERROR(__xludf.DUMMYFUNCTION("""COMPUTED_VALUE"""),"HH5000")</f>
        <v>HH5000</v>
      </c>
      <c r="G6008" s="87" t="str">
        <f>IFERROR(__xludf.DUMMYFUNCTION("""COMPUTED_VALUE"""),"GC - V - 5000 - CTY AN LẠC - K - HUMAX (Nước nâu đen) - 5L - 4")</f>
        <v>GC - V - 5000 - CTY AN LẠC - K - HUMAX (Nước nâu đen) - 5L - 4</v>
      </c>
    </row>
    <row r="6009">
      <c r="A6009" s="86">
        <f>IFERROR(__xludf.DUMMYFUNCTION("""COMPUTED_VALUE"""),6007.0)</f>
        <v>6007</v>
      </c>
      <c r="B6009" s="87" t="str">
        <f>IFERROR(__xludf.DUMMYFUNCTION("""COMPUTED_VALUE"""),"[Nhãn]")</f>
        <v>[Nhãn]</v>
      </c>
      <c r="C6009" s="87" t="str">
        <f>IFERROR(__xludf.DUMMYFUNCTION("""COMPUTED_VALUE"""),"NHD5001")</f>
        <v>NHD5001</v>
      </c>
      <c r="D6009" s="87" t="str">
        <f>IFERROR(__xludf.DUMMYFUNCTION("""COMPUTED_VALUE"""),"[Nhãn] GC - V - 5001 - CTY AN LẠC - K - HUMAX (Nước nâu đen) - 20L - 1")</f>
        <v>[Nhãn] GC - V - 5001 - CTY AN LẠC - K - HUMAX (Nước nâu đen) - 20L - 1</v>
      </c>
      <c r="E6009" s="87" t="str">
        <f>IFERROR(__xludf.DUMMYFUNCTION("""COMPUTED_VALUE"""),"Hữu Cơ Organic ĐGP 01")</f>
        <v>Hữu Cơ Organic ĐGP 01</v>
      </c>
      <c r="F6009" s="87" t="str">
        <f>IFERROR(__xludf.DUMMYFUNCTION("""COMPUTED_VALUE"""),"HH5001")</f>
        <v>HH5001</v>
      </c>
      <c r="G6009" s="87" t="str">
        <f>IFERROR(__xludf.DUMMYFUNCTION("""COMPUTED_VALUE"""),"GC - V - 5001 - CTY AN LẠC - K - HUMAX (Nước nâu đen) - 20L - 1")</f>
        <v>GC - V - 5001 - CTY AN LẠC - K - HUMAX (Nước nâu đen) - 20L - 1</v>
      </c>
    </row>
    <row r="6010">
      <c r="A6010" s="86">
        <f>IFERROR(__xludf.DUMMYFUNCTION("""COMPUTED_VALUE"""),6008.0)</f>
        <v>6008</v>
      </c>
      <c r="B6010" s="87" t="str">
        <f>IFERROR(__xludf.DUMMYFUNCTION("""COMPUTED_VALUE"""),"[Nhãn]")</f>
        <v>[Nhãn]</v>
      </c>
      <c r="C6010" s="87" t="str">
        <f>IFERROR(__xludf.DUMMYFUNCTION("""COMPUTED_VALUE"""),"NHG5002")</f>
        <v>NHG5002</v>
      </c>
      <c r="D6010" s="87" t="str">
        <f>IFERROR(__xludf.DUMMYFUNCTION("""COMPUTED_VALUE"""),"[Nhãn] GC - V - 5002 - CTY AN LẠC - TĂNG TRƯỞNG 3 THỜI KỲ (Nước nâu đen) - 500ml - 40")</f>
        <v>[Nhãn] GC - V - 5002 - CTY AN LẠC - TĂNG TRƯỞNG 3 THỜI KỲ (Nước nâu đen) - 500ml - 40</v>
      </c>
      <c r="E6010" s="87" t="str">
        <f>IFERROR(__xludf.DUMMYFUNCTION("""COMPUTED_VALUE"""),"HỖN HỢP NPK AGAMA-SRH")</f>
        <v>HỖN HỢP NPK AGAMA-SRH</v>
      </c>
      <c r="F6010" s="87" t="str">
        <f>IFERROR(__xludf.DUMMYFUNCTION("""COMPUTED_VALUE"""),"HH5002")</f>
        <v>HH5002</v>
      </c>
      <c r="G6010" s="87" t="str">
        <f>IFERROR(__xludf.DUMMYFUNCTION("""COMPUTED_VALUE"""),"GC - V - 5002 - CTY AN LẠC - TĂNG TRƯỞNG 3 THỜI KỲ (Nước nâu đen) - 500ml - 40")</f>
        <v>GC - V - 5002 - CTY AN LẠC - TĂNG TRƯỞNG 3 THỜI KỲ (Nước nâu đen) - 500ml - 40</v>
      </c>
    </row>
    <row r="6011">
      <c r="A6011" s="86">
        <f>IFERROR(__xludf.DUMMYFUNCTION("""COMPUTED_VALUE"""),6009.0)</f>
        <v>6009</v>
      </c>
      <c r="B6011" s="87" t="str">
        <f>IFERROR(__xludf.DUMMYFUNCTION("""COMPUTED_VALUE"""),"[Nhãn]")</f>
        <v>[Nhãn]</v>
      </c>
      <c r="C6011" s="87" t="str">
        <f>IFERROR(__xludf.DUMMYFUNCTION("""COMPUTED_VALUE"""),"NHG5003")</f>
        <v>NHG5003</v>
      </c>
      <c r="D6011" s="87" t="str">
        <f>IFERROR(__xludf.DUMMYFUNCTION("""COMPUTED_VALUE"""),"[Nhãn] GC - V - 5003 - CTY AN LẠC - RA HOA - ĐẬU TRÁI (Nước nâu đen) - 500ml - 40")</f>
        <v>[Nhãn] GC - V - 5003 - CTY AN LẠC - RA HOA - ĐẬU TRÁI (Nước nâu đen) - 500ml - 40</v>
      </c>
      <c r="E6011" s="87" t="str">
        <f>IFERROR(__xludf.DUMMYFUNCTION("""COMPUTED_VALUE"""),"Hữu Cơ PBHC Cabozinc A.B.A")</f>
        <v>Hữu Cơ PBHC Cabozinc A.B.A</v>
      </c>
      <c r="F6011" s="87" t="str">
        <f>IFERROR(__xludf.DUMMYFUNCTION("""COMPUTED_VALUE"""),"HH5003")</f>
        <v>HH5003</v>
      </c>
      <c r="G6011" s="87" t="str">
        <f>IFERROR(__xludf.DUMMYFUNCTION("""COMPUTED_VALUE"""),"GC - V - 5003 - CTY AN LẠC - RA HOA - ĐẬU TRÁI (Nước nâu đen) - 500ml - 40")</f>
        <v>GC - V - 5003 - CTY AN LẠC - RA HOA - ĐẬU TRÁI (Nước nâu đen) - 500ml - 40</v>
      </c>
    </row>
    <row r="6012">
      <c r="A6012" s="86">
        <f>IFERROR(__xludf.DUMMYFUNCTION("""COMPUTED_VALUE"""),6010.0)</f>
        <v>6010</v>
      </c>
      <c r="B6012" s="87" t="str">
        <f>IFERROR(__xludf.DUMMYFUNCTION("""COMPUTED_VALUE"""),"[Nhãn]")</f>
        <v>[Nhãn]</v>
      </c>
      <c r="C6012" s="87" t="str">
        <f>IFERROR(__xludf.DUMMYFUNCTION("""COMPUTED_VALUE"""),"NHG5004")</f>
        <v>NHG5004</v>
      </c>
      <c r="D6012" s="87" t="str">
        <f>IFERROR(__xludf.DUMMYFUNCTION("""COMPUTED_VALUE"""),"[Nhãn] GC - V - 5004 - CTY AN LẠC - TĂNG TRƯỞNG (Nước nâu đen) - 500ml - 40")</f>
        <v>[Nhãn] GC - V - 5004 - CTY AN LẠC - TĂNG TRƯỞNG (Nước nâu đen) - 500ml - 40</v>
      </c>
      <c r="E6012" s="87" t="str">
        <f>IFERROR(__xludf.DUMMYFUNCTION("""COMPUTED_VALUE"""),"Hỗn Hợp NP AGAMA-AP")</f>
        <v>Hỗn Hợp NP AGAMA-AP</v>
      </c>
      <c r="F6012" s="87" t="str">
        <f>IFERROR(__xludf.DUMMYFUNCTION("""COMPUTED_VALUE"""),"HH5004")</f>
        <v>HH5004</v>
      </c>
      <c r="G6012" s="87" t="str">
        <f>IFERROR(__xludf.DUMMYFUNCTION("""COMPUTED_VALUE"""),"GC - V - 5004 - CTY AN LẠC - TĂNG TRƯỞNG (Nước nâu đen) - 500ml - 40")</f>
        <v>GC - V - 5004 - CTY AN LẠC - TĂNG TRƯỞNG (Nước nâu đen) - 500ml - 40</v>
      </c>
    </row>
    <row r="6013">
      <c r="A6013" s="86">
        <f>IFERROR(__xludf.DUMMYFUNCTION("""COMPUTED_VALUE"""),6011.0)</f>
        <v>6011</v>
      </c>
      <c r="B6013" s="87" t="str">
        <f>IFERROR(__xludf.DUMMYFUNCTION("""COMPUTED_VALUE"""),"[Nhãn]")</f>
        <v>[Nhãn]</v>
      </c>
      <c r="C6013" s="87" t="str">
        <f>IFERROR(__xludf.DUMMYFUNCTION("""COMPUTED_VALUE"""),"NHG4992")</f>
        <v>NHG4992</v>
      </c>
      <c r="D6013" s="87" t="str">
        <f>IFERROR(__xludf.DUMMYFUNCTION("""COMPUTED_VALUE"""),"[Nhãn] GC - V - 4992 - CTY LUTA - JAPA VIL 110SC (Nước trắng sữa) - 1L - 20")</f>
        <v>[Nhãn] GC - V - 4992 - CTY LUTA - JAPA VIL 110SC (Nước trắng sữa) - 1L - 20</v>
      </c>
      <c r="E6013" s="87" t="str">
        <f>IFERROR(__xludf.DUMMYFUNCTION("""COMPUTED_VALUE"""),"JAPA VIL 110SC")</f>
        <v>JAPA VIL 110SC</v>
      </c>
      <c r="F6013" s="87" t="str">
        <f>IFERROR(__xludf.DUMMYFUNCTION("""COMPUTED_VALUE"""),"HH4992")</f>
        <v>HH4992</v>
      </c>
      <c r="G6013" s="87" t="str">
        <f>IFERROR(__xludf.DUMMYFUNCTION("""COMPUTED_VALUE"""),"GC - V - 4992 - CTY LUTA - JAPA VIL 110SC (Nước trắng sữa) - 1L - 20")</f>
        <v>GC - V - 4992 - CTY LUTA - JAPA VIL 110SC (Nước trắng sữa) - 1L - 20</v>
      </c>
    </row>
    <row r="6014">
      <c r="A6014" s="86">
        <f>IFERROR(__xludf.DUMMYFUNCTION("""COMPUTED_VALUE"""),6012.0)</f>
        <v>6012</v>
      </c>
      <c r="B6014" s="87" t="str">
        <f>IFERROR(__xludf.DUMMYFUNCTION("""COMPUTED_VALUE"""),"[Nhãn]")</f>
        <v>[Nhãn]</v>
      </c>
      <c r="C6014" s="87" t="str">
        <f>IFERROR(__xludf.DUMMYFUNCTION("""COMPUTED_VALUE"""),"NHG4964")</f>
        <v>NHG4964</v>
      </c>
      <c r="D6014" s="87" t="str">
        <f>IFERROR(__xludf.DUMMYFUNCTION("""COMPUTED_VALUE"""),"[Nhãn] GC - V - 4964 - CTY AN LẠC - RƯỚC ĐÒNG (Nước nâu đen) - 500ml - 40")</f>
        <v>[Nhãn] GC - V - 4964 - CTY AN LẠC - RƯỚC ĐÒNG (Nước nâu đen) - 500ml - 40</v>
      </c>
      <c r="E6014" s="87" t="str">
        <f>IFERROR(__xludf.DUMMYFUNCTION("""COMPUTED_VALUE"""),"Hữu Cơ Organic ĐGP 01")</f>
        <v>Hữu Cơ Organic ĐGP 01</v>
      </c>
      <c r="F6014" s="87" t="str">
        <f>IFERROR(__xludf.DUMMYFUNCTION("""COMPUTED_VALUE"""),"HH4964")</f>
        <v>HH4964</v>
      </c>
      <c r="G6014" s="87" t="str">
        <f>IFERROR(__xludf.DUMMYFUNCTION("""COMPUTED_VALUE"""),"GC - V - 4964 - CTY AN LẠC - RƯỚC ĐÒNG (Nước nâu đen) - 500ml - 40")</f>
        <v>GC - V - 4964 - CTY AN LẠC - RƯỚC ĐÒNG (Nước nâu đen) - 500ml - 40</v>
      </c>
    </row>
    <row r="6015">
      <c r="A6015" s="86">
        <f>IFERROR(__xludf.DUMMYFUNCTION("""COMPUTED_VALUE"""),6013.0)</f>
        <v>6013</v>
      </c>
      <c r="B6015" s="87" t="str">
        <f>IFERROR(__xludf.DUMMYFUNCTION("""COMPUTED_VALUE"""),"[Nhãn]")</f>
        <v>[Nhãn]</v>
      </c>
      <c r="C6015" s="87" t="str">
        <f>IFERROR(__xludf.DUMMYFUNCTION("""COMPUTED_VALUE"""),"NHG4988")</f>
        <v>NHG4988</v>
      </c>
      <c r="D6015" s="87" t="str">
        <f>IFERROR(__xludf.DUMMYFUNCTION("""COMPUTED_VALUE"""),"[Nhãn] GC - IX - 4988 - N2SBIO - N2 AMINO 100 (Gel nâu đen) - 250ml - 40")</f>
        <v>[Nhãn] GC - IX - 4988 - N2SBIO - N2 AMINO 100 (Gel nâu đen) - 250ml - 40</v>
      </c>
      <c r="E6015" s="87" t="str">
        <f>IFERROR(__xludf.DUMMYFUNCTION("""COMPUTED_VALUE"""),"LÁ VÔ CƠ NHIỀU THÀNH PHẦN NBC-ALCROP")</f>
        <v>LÁ VÔ CƠ NHIỀU THÀNH PHẦN NBC-ALCROP</v>
      </c>
      <c r="F6015" s="87" t="str">
        <f>IFERROR(__xludf.DUMMYFUNCTION("""COMPUTED_VALUE"""),"HH4988")</f>
        <v>HH4988</v>
      </c>
      <c r="G6015" s="87" t="str">
        <f>IFERROR(__xludf.DUMMYFUNCTION("""COMPUTED_VALUE"""),"GC - IX - 4988 - N2SBIO - N2 AMINO 100 (Gel nâu đen) - 250ml - 40")</f>
        <v>GC - IX - 4988 - N2SBIO - N2 AMINO 100 (Gel nâu đen) - 250ml - 40</v>
      </c>
    </row>
    <row r="6016">
      <c r="A6016" s="86">
        <f>IFERROR(__xludf.DUMMYFUNCTION("""COMPUTED_VALUE"""),6014.0)</f>
        <v>6014</v>
      </c>
      <c r="B6016" s="87" t="str">
        <f>IFERROR(__xludf.DUMMYFUNCTION("""COMPUTED_VALUE"""),"[Nhãn]")</f>
        <v>[Nhãn]</v>
      </c>
      <c r="C6016" s="87" t="str">
        <f>IFERROR(__xludf.DUMMYFUNCTION("""COMPUTED_VALUE"""),"NHG5014")</f>
        <v>NHG5014</v>
      </c>
      <c r="D6016" s="87" t="str">
        <f>IFERROR(__xludf.DUMMYFUNCTION("""COMPUTED_VALUE"""),"[Nhãn] GC - X - 5014 - CSSX An Khang - TAK12 (Nước nâu vàng) - 500ml - 40")</f>
        <v>[Nhãn] GC - X - 5014 - CSSX An Khang - TAK12 (Nước nâu vàng) - 500ml - 40</v>
      </c>
      <c r="E6016" s="87" t="str">
        <f>IFERROR(__xludf.DUMMYFUNCTION("""COMPUTED_VALUE"""),"Lá Hỗn Hợp PK AGRI FOS AB")</f>
        <v>Lá Hỗn Hợp PK AGRI FOS AB</v>
      </c>
      <c r="F6016" s="87" t="str">
        <f>IFERROR(__xludf.DUMMYFUNCTION("""COMPUTED_VALUE"""),"HH5014")</f>
        <v>HH5014</v>
      </c>
      <c r="G6016" s="87" t="str">
        <f>IFERROR(__xludf.DUMMYFUNCTION("""COMPUTED_VALUE"""),"GC - X - 5014 - CSSX An Khang - TAK12 (Nước nâu vàng) - 500ml - 40")</f>
        <v>GC - X - 5014 - CSSX An Khang - TAK12 (Nước nâu vàng) - 500ml - 40</v>
      </c>
    </row>
    <row r="6017">
      <c r="A6017" s="86">
        <f>IFERROR(__xludf.DUMMYFUNCTION("""COMPUTED_VALUE"""),6015.0)</f>
        <v>6015</v>
      </c>
      <c r="B6017" s="87" t="str">
        <f>IFERROR(__xludf.DUMMYFUNCTION("""COMPUTED_VALUE"""),"[Nhãn]")</f>
        <v>[Nhãn]</v>
      </c>
      <c r="C6017" s="87" t="str">
        <f>IFERROR(__xludf.DUMMYFUNCTION("""COMPUTED_VALUE"""),"NHD5017")</f>
        <v>NHD5017</v>
      </c>
      <c r="D6017" s="87" t="str">
        <f>IFERROR(__xludf.DUMMYFUNCTION("""COMPUTED_VALUE"""),"[Nhãn] GC - V - 5017 - CTY BIO GREEN SDB - SUPER ROOT (Nước nâu đen) - 20L - 1")</f>
        <v>[Nhãn] GC - V - 5017 - CTY BIO GREEN SDB - SUPER ROOT (Nước nâu đen) - 20L - 1</v>
      </c>
      <c r="E6017" s="87" t="str">
        <f>IFERROR(__xludf.DUMMYFUNCTION("""COMPUTED_VALUE"""),"Hữu Cơ Organic ĐGP 01")</f>
        <v>Hữu Cơ Organic ĐGP 01</v>
      </c>
      <c r="F6017" s="87" t="str">
        <f>IFERROR(__xludf.DUMMYFUNCTION("""COMPUTED_VALUE"""),"HH5017")</f>
        <v>HH5017</v>
      </c>
      <c r="G6017" s="87" t="str">
        <f>IFERROR(__xludf.DUMMYFUNCTION("""COMPUTED_VALUE"""),"GC - V - 5017 - CTY BIO GREEN SDB - SUPER ROOT (Nước nâu đen) - 20L - 1")</f>
        <v>GC - V - 5017 - CTY BIO GREEN SDB - SUPER ROOT (Nước nâu đen) - 20L - 1</v>
      </c>
    </row>
    <row r="6018">
      <c r="A6018" s="86">
        <f>IFERROR(__xludf.DUMMYFUNCTION("""COMPUTED_VALUE"""),6016.0)</f>
        <v>6016</v>
      </c>
      <c r="B6018" s="87" t="str">
        <f>IFERROR(__xludf.DUMMYFUNCTION("""COMPUTED_VALUE"""),"[Nhãn]")</f>
        <v>[Nhãn]</v>
      </c>
      <c r="C6018" s="87" t="str">
        <f>IFERROR(__xludf.DUMMYFUNCTION("""COMPUTED_VALUE"""),"NHG5010")</f>
        <v>NHG5010</v>
      </c>
      <c r="D6018" s="87" t="str">
        <f>IFERROR(__xludf.DUMMYFUNCTION("""COMPUTED_VALUE"""),"[Nhãn] GC - V - 5010 - CTY CAPY GLOBAL - SUPER CU (Nước xanh dương) - 500ml - 40")</f>
        <v>[Nhãn] GC - V - 5010 - CTY CAPY GLOBAL - SUPER CU (Nước xanh dương) - 500ml - 40</v>
      </c>
      <c r="E6018" s="87" t="str">
        <f>IFERROR(__xludf.DUMMYFUNCTION("""COMPUTED_VALUE"""),"Vi lượng Agama - Cu")</f>
        <v>Vi lượng Agama - Cu</v>
      </c>
      <c r="F6018" s="87" t="str">
        <f>IFERROR(__xludf.DUMMYFUNCTION("""COMPUTED_VALUE"""),"HH5010")</f>
        <v>HH5010</v>
      </c>
      <c r="G6018" s="87" t="str">
        <f>IFERROR(__xludf.DUMMYFUNCTION("""COMPUTED_VALUE"""),"GC - V - 5010 - CTY CAPY GLOBAL - SUPER CU (Nước xanh dương) - 500ml - 40")</f>
        <v>GC - V - 5010 - CTY CAPY GLOBAL - SUPER CU (Nước xanh dương) - 500ml - 40</v>
      </c>
    </row>
    <row r="6019">
      <c r="A6019" s="86">
        <f>IFERROR(__xludf.DUMMYFUNCTION("""COMPUTED_VALUE"""),6017.0)</f>
        <v>6017</v>
      </c>
      <c r="B6019" s="87" t="str">
        <f>IFERROR(__xludf.DUMMYFUNCTION("""COMPUTED_VALUE"""),"[Nhãn Thùng]")</f>
        <v>[Nhãn Thùng]</v>
      </c>
      <c r="C6019" s="87" t="str">
        <f>IFERROR(__xludf.DUMMYFUNCTION("""COMPUTED_VALUE"""),"NDT4569")</f>
        <v>NDT4569</v>
      </c>
      <c r="D6019" s="87" t="str">
        <f>IFERROR(__xludf.DUMMYFUNCTION("""COMPUTED_VALUE"""),"[Nhãn Thùng]  IDA Global - I - 4569 - Flower Top Chuyên Cây Ăn Trái (drone) - 450ml - 40")</f>
        <v>[Nhãn Thùng]  IDA Global - I - 4569 - Flower Top Chuyên Cây Ăn Trái (drone) - 450ml - 40</v>
      </c>
      <c r="E6019" s="87" t="str">
        <f>IFERROR(__xludf.DUMMYFUNCTION("""COMPUTED_VALUE"""),"Vi lượng Basel IDA 47")</f>
        <v>Vi lượng Basel IDA 47</v>
      </c>
      <c r="F6019" s="87" t="str">
        <f>IFERROR(__xludf.DUMMYFUNCTION("""COMPUTED_VALUE"""),"HH4569")</f>
        <v>HH4569</v>
      </c>
      <c r="G6019" s="87" t="str">
        <f>IFERROR(__xludf.DUMMYFUNCTION("""COMPUTED_VALUE"""),"IDA Global - I - 4569 - Flower Top Chuyên Cây Ăn Trái (drone) - 450ml - 40")</f>
        <v>IDA Global - I - 4569 - Flower Top Chuyên Cây Ăn Trái (drone) - 450ml - 40</v>
      </c>
    </row>
    <row r="6020">
      <c r="A6020" s="86">
        <f>IFERROR(__xludf.DUMMYFUNCTION("""COMPUTED_VALUE"""),6018.0)</f>
        <v>6018</v>
      </c>
      <c r="B6020" s="87" t="str">
        <f>IFERROR(__xludf.DUMMYFUNCTION("""COMPUTED_VALUE"""),"[Nhãn]")</f>
        <v>[Nhãn]</v>
      </c>
      <c r="C6020" s="87" t="str">
        <f>IFERROR(__xludf.DUMMYFUNCTION("""COMPUTED_VALUE"""),"NHG5018")</f>
        <v>NHG5018</v>
      </c>
      <c r="D6020" s="87" t="str">
        <f>IFERROR(__xludf.DUMMYFUNCTION("""COMPUTED_VALUE"""),"[Nhãn] GC - V - 5018 - CTY THẾ DANH (RIZE VIỆT NAM) - RP VI KHUẨN (Nước vàng) - 450ml - 30")</f>
        <v>[Nhãn] GC - V - 5018 - CTY THẾ DANH (RIZE VIỆT NAM) - RP VI KHUẨN (Nước vàng) - 450ml - 30</v>
      </c>
      <c r="E6020" s="87" t="str">
        <f>IFERROR(__xludf.DUMMYFUNCTION("""COMPUTED_VALUE"""),"Pyramos 40SL")</f>
        <v>Pyramos 40SL</v>
      </c>
      <c r="F6020" s="87" t="str">
        <f>IFERROR(__xludf.DUMMYFUNCTION("""COMPUTED_VALUE"""),"HH5018")</f>
        <v>HH5018</v>
      </c>
      <c r="G6020" s="87" t="str">
        <f>IFERROR(__xludf.DUMMYFUNCTION("""COMPUTED_VALUE"""),"GC - V - 5018 - CTY THẾ DANH (RIZE VIỆT NAM) - RP VI KHUẨN (Nước vàng) - 450ml - 30")</f>
        <v>GC - V - 5018 - CTY THẾ DANH (RIZE VIỆT NAM) - RP VI KHUẨN (Nước vàng) - 450ml - 30</v>
      </c>
    </row>
    <row r="6021">
      <c r="A6021" s="86">
        <f>IFERROR(__xludf.DUMMYFUNCTION("""COMPUTED_VALUE"""),6019.0)</f>
        <v>6019</v>
      </c>
      <c r="B6021" s="87" t="str">
        <f>IFERROR(__xludf.DUMMYFUNCTION("""COMPUTED_VALUE"""),"[Nhãn Thùng]")</f>
        <v>[Nhãn Thùng]</v>
      </c>
      <c r="C6021" s="87" t="str">
        <f>IFERROR(__xludf.DUMMYFUNCTION("""COMPUTED_VALUE"""),"NDT4952")</f>
        <v>NDT4952</v>
      </c>
      <c r="D6021" s="87" t="str">
        <f>IFERROR(__xludf.DUMMYFUNCTION("""COMPUTED_VALUE"""),"[Nhãn Thùng] GC - V - 4952 - CTY SK JAPAN - 3.6 DUC (Nước nâu đen) - 450ml - 40")</f>
        <v>[Nhãn Thùng] GC - V - 4952 - CTY SK JAPAN - 3.6 DUC (Nước nâu đen) - 450ml - 40</v>
      </c>
      <c r="E6021" s="87" t="str">
        <f>IFERROR(__xludf.DUMMYFUNCTION("""COMPUTED_VALUE"""),"HAIHAMEC 3.6EC")</f>
        <v>HAIHAMEC 3.6EC</v>
      </c>
      <c r="F6021" s="87" t="str">
        <f>IFERROR(__xludf.DUMMYFUNCTION("""COMPUTED_VALUE"""),"HH4952")</f>
        <v>HH4952</v>
      </c>
      <c r="G6021" s="87" t="str">
        <f>IFERROR(__xludf.DUMMYFUNCTION("""COMPUTED_VALUE"""),"GC - V - 4952 - CTY SK JAPAN - 3.6 DUC (Nước nâu đen) - 450ml - 40")</f>
        <v>GC - V - 4952 - CTY SK JAPAN - 3.6 DUC (Nước nâu đen) - 450ml - 40</v>
      </c>
    </row>
    <row r="6022">
      <c r="A6022" s="86">
        <f>IFERROR(__xludf.DUMMYFUNCTION("""COMPUTED_VALUE"""),6020.0)</f>
        <v>6020</v>
      </c>
      <c r="B6022" s="87" t="str">
        <f>IFERROR(__xludf.DUMMYFUNCTION("""COMPUTED_VALUE"""),"[Nhãn Thùng]")</f>
        <v>[Nhãn Thùng]</v>
      </c>
      <c r="C6022" s="87" t="str">
        <f>IFERROR(__xludf.DUMMYFUNCTION("""COMPUTED_VALUE"""),"NDT4479")</f>
        <v>NDT4479</v>
      </c>
      <c r="D6022" s="87" t="str">
        <f>IFERROR(__xludf.DUMMYFUNCTION("""COMPUTED_VALUE"""),"[Nhãn Thùng] GC - IV - 4479 - CTY QUANG ĐĂNG AGRICULTURE (ĐL ÚT TIỆP) - COMBI GREEN (Nước trắng sữa) - 250ml - 40")</f>
        <v>[Nhãn Thùng] GC - IV - 4479 - CTY QUANG ĐĂNG AGRICULTURE (ĐL ÚT TIỆP) - COMBI GREEN (Nước trắng sữa) - 250ml - 40</v>
      </c>
      <c r="E6022" s="87" t="str">
        <f>IFERROR(__xludf.DUMMYFUNCTION("""COMPUTED_VALUE"""),"vi lượng Phú Sĩ FJ-09 Kẽm Mg")</f>
        <v>vi lượng Phú Sĩ FJ-09 Kẽm Mg</v>
      </c>
      <c r="F6022" s="87" t="str">
        <f>IFERROR(__xludf.DUMMYFUNCTION("""COMPUTED_VALUE"""),"HH4479")</f>
        <v>HH4479</v>
      </c>
      <c r="G6022" s="87" t="str">
        <f>IFERROR(__xludf.DUMMYFUNCTION("""COMPUTED_VALUE"""),"GC - IV - 4479 - CTY QUANG ĐĂNG AGRICULTURE (ĐL ÚT TIỆP) - COMBI GREEN (Nước trắng sữa) - 250ml - 40")</f>
        <v>GC - IV - 4479 - CTY QUANG ĐĂNG AGRICULTURE (ĐL ÚT TIỆP) - COMBI GREEN (Nước trắng sữa) - 250ml - 40</v>
      </c>
    </row>
    <row r="6023">
      <c r="A6023" s="86">
        <f>IFERROR(__xludf.DUMMYFUNCTION("""COMPUTED_VALUE"""),6021.0)</f>
        <v>6021</v>
      </c>
      <c r="B6023" s="87" t="str">
        <f>IFERROR(__xludf.DUMMYFUNCTION("""COMPUTED_VALUE"""),"[Nhãn]")</f>
        <v>[Nhãn]</v>
      </c>
      <c r="C6023" s="87" t="str">
        <f>IFERROR(__xludf.DUMMYFUNCTION("""COMPUTED_VALUE"""),"NTN5012")</f>
        <v>NTN5012</v>
      </c>
      <c r="D6023" s="87" t="str">
        <f>IFERROR(__xludf.DUMMYFUNCTION("""COMPUTED_VALUE"""),"[Nhãn] GC - V - 5012 - CTY THIÊN DI - NOFARA 35WG (Dạng cốm màu trắng ngà) - 100gr - 100")</f>
        <v>[Nhãn] GC - V - 5012 - CTY THIÊN DI - NOFARA 35WG (Dạng cốm màu trắng ngà) - 100gr - 100</v>
      </c>
      <c r="E6023" s="87" t="str">
        <f>IFERROR(__xludf.DUMMYFUNCTION("""COMPUTED_VALUE"""),"NOFARA 35WG")</f>
        <v>NOFARA 35WG</v>
      </c>
      <c r="F6023" s="87" t="str">
        <f>IFERROR(__xludf.DUMMYFUNCTION("""COMPUTED_VALUE"""),"HH5012")</f>
        <v>HH5012</v>
      </c>
      <c r="G6023" s="87" t="str">
        <f>IFERROR(__xludf.DUMMYFUNCTION("""COMPUTED_VALUE"""),"GC - V - 5012 - CTY THIÊN DI - NOFARA 35WG (Dạng cốm màu trắng ngà) - 100gr - 100")</f>
        <v>GC - V - 5012 - CTY THIÊN DI - NOFARA 35WG (Dạng cốm màu trắng ngà) - 100gr - 100</v>
      </c>
    </row>
    <row r="6024">
      <c r="A6024" s="86">
        <f>IFERROR(__xludf.DUMMYFUNCTION("""COMPUTED_VALUE"""),6022.0)</f>
        <v>6022</v>
      </c>
      <c r="B6024" s="87" t="str">
        <f>IFERROR(__xludf.DUMMYFUNCTION("""COMPUTED_VALUE"""),"[Nhãn Thùng]")</f>
        <v>[Nhãn Thùng]</v>
      </c>
      <c r="C6024" s="87" t="str">
        <f>IFERROR(__xludf.DUMMYFUNCTION("""COMPUTED_VALUE"""),"NDT5012")</f>
        <v>NDT5012</v>
      </c>
      <c r="D6024" s="87" t="str">
        <f>IFERROR(__xludf.DUMMYFUNCTION("""COMPUTED_VALUE"""),"[Nhãn Thùng] GC - V - 5012 - CTY THIÊN DI - NOFARA 35WG (Dạng cốm màu trắng ngà) - 100gr - 100")</f>
        <v>[Nhãn Thùng] GC - V - 5012 - CTY THIÊN DI - NOFARA 35WG (Dạng cốm màu trắng ngà) - 100gr - 100</v>
      </c>
      <c r="E6024" s="87" t="str">
        <f>IFERROR(__xludf.DUMMYFUNCTION("""COMPUTED_VALUE"""),"NOFARA 35WG")</f>
        <v>NOFARA 35WG</v>
      </c>
      <c r="F6024" s="87" t="str">
        <f>IFERROR(__xludf.DUMMYFUNCTION("""COMPUTED_VALUE"""),"HH5012")</f>
        <v>HH5012</v>
      </c>
      <c r="G6024" s="87" t="str">
        <f>IFERROR(__xludf.DUMMYFUNCTION("""COMPUTED_VALUE"""),"GC - V - 5012 - CTY THIÊN DI - NOFARA 35WG (Dạng cốm màu trắng ngà) - 100gr - 100")</f>
        <v>GC - V - 5012 - CTY THIÊN DI - NOFARA 35WG (Dạng cốm màu trắng ngà) - 100gr - 100</v>
      </c>
    </row>
    <row r="6025">
      <c r="A6025" s="86">
        <f>IFERROR(__xludf.DUMMYFUNCTION("""COMPUTED_VALUE"""),6023.0)</f>
        <v>6023</v>
      </c>
      <c r="B6025" s="87" t="str">
        <f>IFERROR(__xludf.DUMMYFUNCTION("""COMPUTED_VALUE"""),"[Nhãn]")</f>
        <v>[Nhãn]</v>
      </c>
      <c r="C6025" s="87" t="str">
        <f>IFERROR(__xludf.DUMMYFUNCTION("""COMPUTED_VALUE"""),"NHG5021")</f>
        <v>NHG5021</v>
      </c>
      <c r="D6025" s="87" t="str">
        <f>IFERROR(__xludf.DUMMYFUNCTION("""COMPUTED_VALUE"""),"[Nhãn] GC - V - 5021 - CTY QUANG ĐĂNG AGRICULTURE - KALIMAX PLUS+ (Nước trắng sữa) - 1L - 20")</f>
        <v>[Nhãn] GC - V - 5021 - CTY QUANG ĐĂNG AGRICULTURE - KALIMAX PLUS+ (Nước trắng sữa) - 1L - 20</v>
      </c>
      <c r="E6025" s="87" t="str">
        <f>IFERROR(__xludf.DUMMYFUNCTION("""COMPUTED_VALUE"""),"Lá PK-Vi lượng SV 5-18")</f>
        <v>Lá PK-Vi lượng SV 5-18</v>
      </c>
      <c r="F6025" s="87" t="str">
        <f>IFERROR(__xludf.DUMMYFUNCTION("""COMPUTED_VALUE"""),"HH5021")</f>
        <v>HH5021</v>
      </c>
      <c r="G6025" s="87" t="str">
        <f>IFERROR(__xludf.DUMMYFUNCTION("""COMPUTED_VALUE"""),"GC - V - 5021 - CTY QUANG ĐĂNG AGRICULTURE - KALIMAX PLUS+ (Nước trắng sữa) - 1L - 20")</f>
        <v>GC - V - 5021 - CTY QUANG ĐĂNG AGRICULTURE - KALIMAX PLUS+ (Nước trắng sữa) - 1L - 20</v>
      </c>
    </row>
    <row r="6026">
      <c r="A6026" s="86">
        <f>IFERROR(__xludf.DUMMYFUNCTION("""COMPUTED_VALUE"""),6024.0)</f>
        <v>6024</v>
      </c>
      <c r="B6026" s="87" t="str">
        <f>IFERROR(__xludf.DUMMYFUNCTION("""COMPUTED_VALUE"""),"[Nhãn Thùng]")</f>
        <v>[Nhãn Thùng]</v>
      </c>
      <c r="C6026" s="87" t="str">
        <f>IFERROR(__xludf.DUMMYFUNCTION("""COMPUTED_VALUE"""),"NDT5019")</f>
        <v>NDT5019</v>
      </c>
      <c r="D6026" s="87" t="str">
        <f>IFERROR(__xludf.DUMMYFUNCTION("""COMPUTED_VALUE"""),"[Nhãn Thùng] GC - V - 5019 - Agritech - RAYMAX (Dạng cốm màu trắng ngà) - 100gr - 100")</f>
        <v>[Nhãn Thùng] GC - V - 5019 - Agritech - RAYMAX (Dạng cốm màu trắng ngà) - 100gr - 100</v>
      </c>
      <c r="E6026" s="87" t="str">
        <f>IFERROR(__xludf.DUMMYFUNCTION("""COMPUTED_VALUE"""),"NOFARA 35WG")</f>
        <v>NOFARA 35WG</v>
      </c>
      <c r="F6026" s="87" t="str">
        <f>IFERROR(__xludf.DUMMYFUNCTION("""COMPUTED_VALUE"""),"HH5019")</f>
        <v>HH5019</v>
      </c>
      <c r="G6026" s="87" t="str">
        <f>IFERROR(__xludf.DUMMYFUNCTION("""COMPUTED_VALUE"""),"GC - V - 5019 - Agritech - RAYMAX (Dạng cốm màu trắng ngà) - 100gr - 100")</f>
        <v>GC - V - 5019 - Agritech - RAYMAX (Dạng cốm màu trắng ngà) - 100gr - 100</v>
      </c>
    </row>
    <row r="6027">
      <c r="A6027" s="86">
        <f>IFERROR(__xludf.DUMMYFUNCTION("""COMPUTED_VALUE"""),6025.0)</f>
        <v>6025</v>
      </c>
      <c r="B6027" s="87" t="str">
        <f>IFERROR(__xludf.DUMMYFUNCTION("""COMPUTED_VALUE"""),"[Nhãn]")</f>
        <v>[Nhãn]</v>
      </c>
      <c r="C6027" s="87" t="str">
        <f>IFERROR(__xludf.DUMMYFUNCTION("""COMPUTED_VALUE"""),"NTN5019")</f>
        <v>NTN5019</v>
      </c>
      <c r="D6027" s="87" t="str">
        <f>IFERROR(__xludf.DUMMYFUNCTION("""COMPUTED_VALUE"""),"[Nhãn] GC - V - 5019 - Agritech - RAYMAX (Dạng cốm màu trắng ngà) - 100gr - 100")</f>
        <v>[Nhãn] GC - V - 5019 - Agritech - RAYMAX (Dạng cốm màu trắng ngà) - 100gr - 100</v>
      </c>
      <c r="E6027" s="87" t="str">
        <f>IFERROR(__xludf.DUMMYFUNCTION("""COMPUTED_VALUE"""),"NOFARA 35WG")</f>
        <v>NOFARA 35WG</v>
      </c>
      <c r="F6027" s="87" t="str">
        <f>IFERROR(__xludf.DUMMYFUNCTION("""COMPUTED_VALUE"""),"HH5019")</f>
        <v>HH5019</v>
      </c>
      <c r="G6027" s="87" t="str">
        <f>IFERROR(__xludf.DUMMYFUNCTION("""COMPUTED_VALUE"""),"GC - V - 5019 - Agritech - RAYMAX (Dạng cốm màu trắng ngà) - 100gr - 100")</f>
        <v>GC - V - 5019 - Agritech - RAYMAX (Dạng cốm màu trắng ngà) - 100gr - 100</v>
      </c>
    </row>
    <row r="6028">
      <c r="A6028" s="86">
        <f>IFERROR(__xludf.DUMMYFUNCTION("""COMPUTED_VALUE"""),6026.0)</f>
        <v>6026</v>
      </c>
      <c r="B6028" s="87" t="str">
        <f>IFERROR(__xludf.DUMMYFUNCTION("""COMPUTED_VALUE"""),"[Nhãn]")</f>
        <v>[Nhãn]</v>
      </c>
      <c r="C6028" s="87" t="str">
        <f>IFERROR(__xludf.DUMMYFUNCTION("""COMPUTED_VALUE"""),"NTN5022")</f>
        <v>NTN5022</v>
      </c>
      <c r="D6028" s="87" t="str">
        <f>IFERROR(__xludf.DUMMYFUNCTION("""COMPUTED_VALUE"""),"[Nhãn] GC - V - 5022 - Agritech - AGRI KILL (Dạng cốm màu trắng ngà) - 60gr - 100")</f>
        <v>[Nhãn] GC - V - 5022 - Agritech - AGRI KILL (Dạng cốm màu trắng ngà) - 60gr - 100</v>
      </c>
      <c r="E6028" s="87" t="str">
        <f>IFERROR(__xludf.DUMMYFUNCTION("""COMPUTED_VALUE"""),"NOMIDA 700WG")</f>
        <v>NOMIDA 700WG</v>
      </c>
      <c r="F6028" s="87" t="str">
        <f>IFERROR(__xludf.DUMMYFUNCTION("""COMPUTED_VALUE"""),"HH5022")</f>
        <v>HH5022</v>
      </c>
      <c r="G6028" s="87" t="str">
        <f>IFERROR(__xludf.DUMMYFUNCTION("""COMPUTED_VALUE"""),"GC - V - 5022 - Agritech - AGRI KILL (Dạng cốm màu trắng ngà) - 60gr - 100")</f>
        <v>GC - V - 5022 - Agritech - AGRI KILL (Dạng cốm màu trắng ngà) - 60gr - 100</v>
      </c>
    </row>
    <row r="6029">
      <c r="A6029" s="86">
        <f>IFERROR(__xludf.DUMMYFUNCTION("""COMPUTED_VALUE"""),6027.0)</f>
        <v>6027</v>
      </c>
      <c r="B6029" s="87" t="str">
        <f>IFERROR(__xludf.DUMMYFUNCTION("""COMPUTED_VALUE"""),"[Nhãn Thùng]")</f>
        <v>[Nhãn Thùng]</v>
      </c>
      <c r="C6029" s="87" t="str">
        <f>IFERROR(__xludf.DUMMYFUNCTION("""COMPUTED_VALUE"""),"NDT5022")</f>
        <v>NDT5022</v>
      </c>
      <c r="D6029" s="87" t="str">
        <f>IFERROR(__xludf.DUMMYFUNCTION("""COMPUTED_VALUE"""),"[Nhãn Thùng] GC - V - 5022 - Agritech - AGRI KILL (Dạng cốm màu trắng ngà) - 60gr - 100")</f>
        <v>[Nhãn Thùng] GC - V - 5022 - Agritech - AGRI KILL (Dạng cốm màu trắng ngà) - 60gr - 100</v>
      </c>
      <c r="E6029" s="87" t="str">
        <f>IFERROR(__xludf.DUMMYFUNCTION("""COMPUTED_VALUE"""),"NOMIDA 700WG")</f>
        <v>NOMIDA 700WG</v>
      </c>
      <c r="F6029" s="87" t="str">
        <f>IFERROR(__xludf.DUMMYFUNCTION("""COMPUTED_VALUE"""),"HH5022")</f>
        <v>HH5022</v>
      </c>
      <c r="G6029" s="87" t="str">
        <f>IFERROR(__xludf.DUMMYFUNCTION("""COMPUTED_VALUE"""),"GC - V - 5022 - Agritech - AGRI KILL (Dạng cốm màu trắng ngà) - 60gr - 100")</f>
        <v>GC - V - 5022 - Agritech - AGRI KILL (Dạng cốm màu trắng ngà) - 60gr - 100</v>
      </c>
    </row>
    <row r="6030">
      <c r="A6030" s="86">
        <f>IFERROR(__xludf.DUMMYFUNCTION("""COMPUTED_VALUE"""),6028.0)</f>
        <v>6028</v>
      </c>
      <c r="B6030" s="87" t="str">
        <f>IFERROR(__xludf.DUMMYFUNCTION("""COMPUTED_VALUE"""),"[Nhãn]")</f>
        <v>[Nhãn]</v>
      </c>
      <c r="C6030" s="87" t="str">
        <f>IFERROR(__xludf.DUMMYFUNCTION("""COMPUTED_VALUE"""),"NHD5020")</f>
        <v>NHD5020</v>
      </c>
      <c r="D6030" s="87" t="str">
        <f>IFERROR(__xludf.DUMMYFUNCTION("""COMPUTED_VALUE"""),"[Nhãn] GC - V - 5020 - Agritech - Bio Organo (Nước nâu đen) - 5L - 4")</f>
        <v>[Nhãn] GC - V - 5020 - Agritech - Bio Organo (Nước nâu đen) - 5L - 4</v>
      </c>
      <c r="E6030" s="87" t="str">
        <f>IFERROR(__xludf.DUMMYFUNCTION("""COMPUTED_VALUE"""),"Vi lượng Quantity New")</f>
        <v>Vi lượng Quantity New</v>
      </c>
      <c r="F6030" s="87" t="str">
        <f>IFERROR(__xludf.DUMMYFUNCTION("""COMPUTED_VALUE"""),"HH5020")</f>
        <v>HH5020</v>
      </c>
      <c r="G6030" s="87" t="str">
        <f>IFERROR(__xludf.DUMMYFUNCTION("""COMPUTED_VALUE"""),"GC - V - 5020 - Agritech - Bio Organo (Nước nâu đen) - 5L - 4")</f>
        <v>GC - V - 5020 - Agritech - Bio Organo (Nước nâu đen) - 5L - 4</v>
      </c>
    </row>
    <row r="6031">
      <c r="A6031" s="86">
        <f>IFERROR(__xludf.DUMMYFUNCTION("""COMPUTED_VALUE"""),6029.0)</f>
        <v>6029</v>
      </c>
      <c r="B6031" s="87" t="str">
        <f>IFERROR(__xludf.DUMMYFUNCTION("""COMPUTED_VALUE"""),"[Nhãn Thùng]")</f>
        <v>[Nhãn Thùng]</v>
      </c>
      <c r="C6031" s="87" t="str">
        <f>IFERROR(__xludf.DUMMYFUNCTION("""COMPUTED_VALUE"""),"NDT5020")</f>
        <v>NDT5020</v>
      </c>
      <c r="D6031" s="87" t="str">
        <f>IFERROR(__xludf.DUMMYFUNCTION("""COMPUTED_VALUE"""),"[Nhãn Thùng] GC - V - 5020 - Agritech - Bio Organo (Nước nâu đen) - 5L - 4")</f>
        <v>[Nhãn Thùng] GC - V - 5020 - Agritech - Bio Organo (Nước nâu đen) - 5L - 4</v>
      </c>
      <c r="E6031" s="87" t="str">
        <f>IFERROR(__xludf.DUMMYFUNCTION("""COMPUTED_VALUE"""),"Vi lượng Quantity New")</f>
        <v>Vi lượng Quantity New</v>
      </c>
      <c r="F6031" s="87" t="str">
        <f>IFERROR(__xludf.DUMMYFUNCTION("""COMPUTED_VALUE"""),"HH5020")</f>
        <v>HH5020</v>
      </c>
      <c r="G6031" s="87" t="str">
        <f>IFERROR(__xludf.DUMMYFUNCTION("""COMPUTED_VALUE"""),"GC - V - 5020 - Agritech - Bio Organo (Nước nâu đen) - 5L - 4")</f>
        <v>GC - V - 5020 - Agritech - Bio Organo (Nước nâu đen) - 5L - 4</v>
      </c>
    </row>
    <row r="6032">
      <c r="A6032" s="86">
        <f>IFERROR(__xludf.DUMMYFUNCTION("""COMPUTED_VALUE"""),6030.0)</f>
        <v>6030</v>
      </c>
      <c r="B6032" s="87" t="str">
        <f>IFERROR(__xludf.DUMMYFUNCTION("""COMPUTED_VALUE"""),"[Nhãn]")</f>
        <v>[Nhãn]</v>
      </c>
      <c r="C6032" s="87" t="str">
        <f>IFERROR(__xludf.DUMMYFUNCTION("""COMPUTED_VALUE"""),"NHG5023")</f>
        <v>NHG5023</v>
      </c>
      <c r="D6032" s="87" t="str">
        <f>IFERROR(__xludf.DUMMYFUNCTION("""COMPUTED_VALUE"""),"[Nhãn] GC - IV - 5023 - CTY DONA VINA - GEL CỨNG CÂY (Nước nâu đen) - 500ml - 40")</f>
        <v>[Nhãn] GC - IV - 5023 - CTY DONA VINA - GEL CỨNG CÂY (Nước nâu đen) - 500ml - 40</v>
      </c>
      <c r="E6032" s="87" t="str">
        <f>IFERROR(__xludf.DUMMYFUNCTION("""COMPUTED_VALUE"""),"Hữu Cơ Crops Care")</f>
        <v>Hữu Cơ Crops Care</v>
      </c>
      <c r="F6032" s="87" t="str">
        <f>IFERROR(__xludf.DUMMYFUNCTION("""COMPUTED_VALUE"""),"HH5023")</f>
        <v>HH5023</v>
      </c>
      <c r="G6032" s="87" t="str">
        <f>IFERROR(__xludf.DUMMYFUNCTION("""COMPUTED_VALUE"""),"GC - IV - 5023 - CTY DONA VINA - GEL CỨNG CÂY (Nước nâu đen) - 500ml - 40")</f>
        <v>GC - IV - 5023 - CTY DONA VINA - GEL CỨNG CÂY (Nước nâu đen) - 500ml - 40</v>
      </c>
    </row>
    <row r="6033">
      <c r="A6033" s="86">
        <f>IFERROR(__xludf.DUMMYFUNCTION("""COMPUTED_VALUE"""),6031.0)</f>
        <v>6031</v>
      </c>
      <c r="B6033" s="87" t="str">
        <f>IFERROR(__xludf.DUMMYFUNCTION("""COMPUTED_VALUE"""),"[Nhãn]")</f>
        <v>[Nhãn]</v>
      </c>
      <c r="C6033" s="87" t="str">
        <f>IFERROR(__xludf.DUMMYFUNCTION("""COMPUTED_VALUE"""),"NHG5024")</f>
        <v>NHG5024</v>
      </c>
      <c r="D6033" s="87" t="str">
        <f>IFERROR(__xludf.DUMMYFUNCTION("""COMPUTED_VALUE"""),"[Nhãn] LOT IDA Global - I - 5024 - CTY NÔNG NGHIỆP THỊNH VƯỢNG - Bò Cạp Vàng (nước nâu đen) - 450ml - 40")</f>
        <v>[Nhãn] LOT IDA Global - I - 5024 - CTY NÔNG NGHIỆP THỊNH VƯỢNG - Bò Cạp Vàng (nước nâu đen) - 450ml - 40</v>
      </c>
      <c r="E6033" s="87" t="str">
        <f>IFERROR(__xludf.DUMMYFUNCTION("""COMPUTED_VALUE"""),"HAIHAMEC 3.6EC")</f>
        <v>HAIHAMEC 3.6EC</v>
      </c>
      <c r="F6033" s="87" t="str">
        <f>IFERROR(__xludf.DUMMYFUNCTION("""COMPUTED_VALUE"""),"HH5024")</f>
        <v>HH5024</v>
      </c>
      <c r="G6033" s="87" t="str">
        <f>IFERROR(__xludf.DUMMYFUNCTION("""COMPUTED_VALUE"""),"LOT IDA Global - I - 5024 - CTY NÔNG NGHIỆP THỊNH VƯỢNG - Bò Cạp Vàng (nước nâu đen) - 450ml - 40")</f>
        <v>LOT IDA Global - I - 5024 - CTY NÔNG NGHIỆP THỊNH VƯỢNG - Bò Cạp Vàng (nước nâu đen) - 450ml - 40</v>
      </c>
    </row>
    <row r="6034">
      <c r="A6034" s="86">
        <f>IFERROR(__xludf.DUMMYFUNCTION("""COMPUTED_VALUE"""),6032.0)</f>
        <v>6032</v>
      </c>
      <c r="B6034" s="87" t="str">
        <f>IFERROR(__xludf.DUMMYFUNCTION("""COMPUTED_VALUE"""),"[Nhãn]")</f>
        <v>[Nhãn]</v>
      </c>
      <c r="C6034" s="87" t="str">
        <f>IFERROR(__xludf.DUMMYFUNCTION("""COMPUTED_VALUE"""),"NTN4306")</f>
        <v>NTN4306</v>
      </c>
      <c r="D6034" s="87" t="str">
        <f>IFERROR(__xludf.DUMMYFUNCTION("""COMPUTED_VALUE"""),"[Nhãn] GC - V - 4306 - CSSX AN KHANG - THALONIL 75WP (Bột màu trắng) - 100gr - 100")</f>
        <v>[Nhãn] GC - V - 4306 - CSSX AN KHANG - THALONIL 75WP (Bột màu trắng) - 100gr - 100</v>
      </c>
      <c r="E6034" s="87" t="str">
        <f>IFERROR(__xludf.DUMMYFUNCTION("""COMPUTED_VALUE"""),"THALONIL 75WP")</f>
        <v>THALONIL 75WP</v>
      </c>
      <c r="F6034" s="87" t="str">
        <f>IFERROR(__xludf.DUMMYFUNCTION("""COMPUTED_VALUE"""),"HH4306")</f>
        <v>HH4306</v>
      </c>
      <c r="G6034" s="87" t="str">
        <f>IFERROR(__xludf.DUMMYFUNCTION("""COMPUTED_VALUE"""),"GC - V - 4306 - CSSX AN KHANG - THALONIL 75WP (Bột màu trắng) - 100gr - 100")</f>
        <v>GC - V - 4306 - CSSX AN KHANG - THALONIL 75WP (Bột màu trắng) - 100gr - 100</v>
      </c>
    </row>
    <row r="6035">
      <c r="A6035" s="86">
        <f>IFERROR(__xludf.DUMMYFUNCTION("""COMPUTED_VALUE"""),6033.0)</f>
        <v>6033</v>
      </c>
      <c r="B6035" s="87" t="str">
        <f>IFERROR(__xludf.DUMMYFUNCTION("""COMPUTED_VALUE"""),"[Nhãn Thùng]")</f>
        <v>[Nhãn Thùng]</v>
      </c>
      <c r="C6035" s="87" t="str">
        <f>IFERROR(__xludf.DUMMYFUNCTION("""COMPUTED_VALUE"""),"NDT4306")</f>
        <v>NDT4306</v>
      </c>
      <c r="D6035" s="87" t="str">
        <f>IFERROR(__xludf.DUMMYFUNCTION("""COMPUTED_VALUE"""),"[Nhãn Thùng] GC - V - 4306 - CSSX AN KHANG - THALONIL 75WP (Bột màu trắng) - 100gr - 100")</f>
        <v>[Nhãn Thùng] GC - V - 4306 - CSSX AN KHANG - THALONIL 75WP (Bột màu trắng) - 100gr - 100</v>
      </c>
      <c r="E6035" s="87" t="str">
        <f>IFERROR(__xludf.DUMMYFUNCTION("""COMPUTED_VALUE"""),"THALONIL 75WP")</f>
        <v>THALONIL 75WP</v>
      </c>
      <c r="F6035" s="87" t="str">
        <f>IFERROR(__xludf.DUMMYFUNCTION("""COMPUTED_VALUE"""),"HH4306")</f>
        <v>HH4306</v>
      </c>
      <c r="G6035" s="87" t="str">
        <f>IFERROR(__xludf.DUMMYFUNCTION("""COMPUTED_VALUE"""),"GC - V - 4306 - CSSX AN KHANG - THALONIL 75WP (Bột màu trắng) - 100gr - 100")</f>
        <v>GC - V - 4306 - CSSX AN KHANG - THALONIL 75WP (Bột màu trắng) - 100gr - 100</v>
      </c>
    </row>
    <row r="6036">
      <c r="A6036" s="86">
        <f>IFERROR(__xludf.DUMMYFUNCTION("""COMPUTED_VALUE"""),6034.0)</f>
        <v>6034</v>
      </c>
      <c r="B6036" s="87" t="str">
        <f>IFERROR(__xludf.DUMMYFUNCTION("""COMPUTED_VALUE"""),"[Nhãn]")</f>
        <v>[Nhãn]</v>
      </c>
      <c r="C6036" s="87" t="str">
        <f>IFERROR(__xludf.DUMMYFUNCTION("""COMPUTED_VALUE"""),"NHG4845")</f>
        <v>NHG4845</v>
      </c>
      <c r="D6036" s="87" t="str">
        <f>IFERROR(__xludf.DUMMYFUNCTION("""COMPUTED_VALUE"""),"[Nhãn] GC - V - 4845 - CTY NEWTEX - SẠCH CỎ MẦN TRẦU (Nước đỏ) - 900ml - 20")</f>
        <v>[Nhãn] GC - V - 4845 - CTY NEWTEX - SẠCH CỎ MẦN TRẦU (Nước đỏ) - 900ml - 20</v>
      </c>
      <c r="E6036" s="87" t="str">
        <f>IFERROR(__xludf.DUMMYFUNCTION("""COMPUTED_VALUE"""),"GOODSIN 200SL")</f>
        <v>GOODSIN 200SL</v>
      </c>
      <c r="F6036" s="87" t="str">
        <f>IFERROR(__xludf.DUMMYFUNCTION("""COMPUTED_VALUE"""),"HH4845")</f>
        <v>HH4845</v>
      </c>
      <c r="G6036" s="87" t="str">
        <f>IFERROR(__xludf.DUMMYFUNCTION("""COMPUTED_VALUE"""),"GC - V - 4845 - CTY NEWTEX - SẠCH CỎ MẦN TRẦU (Nước đỏ) - 900ml - 20")</f>
        <v>GC - V - 4845 - CTY NEWTEX - SẠCH CỎ MẦN TRẦU (Nước đỏ) - 900ml - 20</v>
      </c>
    </row>
    <row r="6037">
      <c r="A6037" s="86">
        <f>IFERROR(__xludf.DUMMYFUNCTION("""COMPUTED_VALUE"""),6035.0)</f>
        <v>6035</v>
      </c>
      <c r="B6037" s="87" t="str">
        <f>IFERROR(__xludf.DUMMYFUNCTION("""COMPUTED_VALUE"""),"[Nhãn]")</f>
        <v>[Nhãn]</v>
      </c>
      <c r="C6037" s="87" t="str">
        <f>IFERROR(__xludf.DUMMYFUNCTION("""COMPUTED_VALUE"""),"NHG5025")</f>
        <v>NHG5025</v>
      </c>
      <c r="D6037" s="87" t="str">
        <f>IFERROR(__xludf.DUMMYFUNCTION("""COMPUTED_VALUE"""),"[Nhãn] GC - V - 5025 - THÀNH CÔNG AGRI - UT-MIDA (Nước trắng sữa) - 100ml - 50")</f>
        <v>[Nhãn] GC - V - 5025 - THÀNH CÔNG AGRI - UT-MIDA (Nước trắng sữa) - 100ml - 50</v>
      </c>
      <c r="E6037" s="87" t="str">
        <f>IFERROR(__xludf.DUMMYFUNCTION("""COMPUTED_VALUE"""),"MIKHADA 45ME")</f>
        <v>MIKHADA 45ME</v>
      </c>
      <c r="F6037" s="87" t="str">
        <f>IFERROR(__xludf.DUMMYFUNCTION("""COMPUTED_VALUE"""),"HH5025")</f>
        <v>HH5025</v>
      </c>
      <c r="G6037" s="87" t="str">
        <f>IFERROR(__xludf.DUMMYFUNCTION("""COMPUTED_VALUE"""),"GC - V - 5025 - THÀNH CÔNG AGRI - UT-MIDA (Nước trắng sữa) - 100ml - 50")</f>
        <v>GC - V - 5025 - THÀNH CÔNG AGRI - UT-MIDA (Nước trắng sữa) - 100ml - 50</v>
      </c>
    </row>
    <row r="6038">
      <c r="A6038" s="86">
        <f>IFERROR(__xludf.DUMMYFUNCTION("""COMPUTED_VALUE"""),6036.0)</f>
        <v>6036</v>
      </c>
      <c r="B6038" s="87" t="str">
        <f>IFERROR(__xludf.DUMMYFUNCTION("""COMPUTED_VALUE"""),"[Nhãn]")</f>
        <v>[Nhãn]</v>
      </c>
      <c r="C6038" s="87" t="str">
        <f>IFERROR(__xludf.DUMMYFUNCTION("""COMPUTED_VALUE"""),"NHG5027")</f>
        <v>NHG5027</v>
      </c>
      <c r="D6038" s="87" t="str">
        <f>IFERROR(__xludf.DUMMYFUNCTION("""COMPUTED_VALUE"""),"[Nhãn] GC - V - 5027 - HÓA NÔNG SHINO - ROOTS (Nước nâu đen) - 500ml - 40")</f>
        <v>[Nhãn] GC - V - 5027 - HÓA NÔNG SHINO - ROOTS (Nước nâu đen) - 500ml - 40</v>
      </c>
      <c r="E6038" s="87" t="str">
        <f>IFERROR(__xludf.DUMMYFUNCTION("""COMPUTED_VALUE"""),"Vi lượng Quantity New")</f>
        <v>Vi lượng Quantity New</v>
      </c>
      <c r="F6038" s="87" t="str">
        <f>IFERROR(__xludf.DUMMYFUNCTION("""COMPUTED_VALUE"""),"HH5027")</f>
        <v>HH5027</v>
      </c>
      <c r="G6038" s="87" t="str">
        <f>IFERROR(__xludf.DUMMYFUNCTION("""COMPUTED_VALUE"""),"GC - V - 5027 - HÓA NÔNG SHINO - ROOTS (Nước nâu đen) - 500ml - 40")</f>
        <v>GC - V - 5027 - HÓA NÔNG SHINO - ROOTS (Nước nâu đen) - 500ml - 40</v>
      </c>
    </row>
    <row r="6039">
      <c r="A6039" s="86">
        <f>IFERROR(__xludf.DUMMYFUNCTION("""COMPUTED_VALUE"""),6037.0)</f>
        <v>6037</v>
      </c>
      <c r="B6039" s="87" t="str">
        <f>IFERROR(__xludf.DUMMYFUNCTION("""COMPUTED_VALUE"""),"[Nhãn Thùng]")</f>
        <v>[Nhãn Thùng]</v>
      </c>
      <c r="C6039" s="87" t="str">
        <f>IFERROR(__xludf.DUMMYFUNCTION("""COMPUTED_VALUE"""),"NDT4894")</f>
        <v>NDT4894</v>
      </c>
      <c r="D6039" s="87" t="str">
        <f>IFERROR(__xludf.DUMMYFUNCTION("""COMPUTED_VALUE"""),"[Nhãn Thùng] GC - V - 4894 - TIẾN NÔNG AGRO - MAKEGREEN 55WG (Dạng cốm màu trắng ngà) - 20gr - 200")</f>
        <v>[Nhãn Thùng] GC - V - 4894 - TIẾN NÔNG AGRO - MAKEGREEN 55WG (Dạng cốm màu trắng ngà) - 20gr - 200</v>
      </c>
      <c r="E6039" s="87" t="str">
        <f>IFERROR(__xludf.DUMMYFUNCTION("""COMPUTED_VALUE"""),"MAKEGREEN 55WG")</f>
        <v>MAKEGREEN 55WG</v>
      </c>
      <c r="F6039" s="87" t="str">
        <f>IFERROR(__xludf.DUMMYFUNCTION("""COMPUTED_VALUE"""),"HH4894")</f>
        <v>HH4894</v>
      </c>
      <c r="G6039" s="87" t="str">
        <f>IFERROR(__xludf.DUMMYFUNCTION("""COMPUTED_VALUE"""),"GC - V - 4894 - TIẾN NÔNG AGRO - MAKEGREEN 55WG (Dạng cốm màu trắng ngà) - 20gr - 200")</f>
        <v>GC - V - 4894 - TIẾN NÔNG AGRO - MAKEGREEN 55WG (Dạng cốm màu trắng ngà) - 20gr - 200</v>
      </c>
    </row>
    <row r="6040">
      <c r="A6040" s="86">
        <f>IFERROR(__xludf.DUMMYFUNCTION("""COMPUTED_VALUE"""),6038.0)</f>
        <v>6038</v>
      </c>
      <c r="B6040" s="87" t="str">
        <f>IFERROR(__xludf.DUMMYFUNCTION("""COMPUTED_VALUE"""),"[Nhãn]")</f>
        <v>[Nhãn]</v>
      </c>
      <c r="C6040" s="87" t="str">
        <f>IFERROR(__xludf.DUMMYFUNCTION("""COMPUTED_VALUE"""),"NTN5026")</f>
        <v>NTN5026</v>
      </c>
      <c r="D6040" s="87" t="str">
        <f>IFERROR(__xludf.DUMMYFUNCTION("""COMPUTED_VALUE"""),"[Nhãn] GC - V - 5026 - CTY LUTA - 10-60-10 (Bột màu trắng) - 1kg - 25")</f>
        <v>[Nhãn] GC - V - 5026 - CTY LUTA - 10-60-10 (Bột màu trắng) - 1kg - 25</v>
      </c>
      <c r="E6040" s="87" t="str">
        <f>IFERROR(__xludf.DUMMYFUNCTION("""COMPUTED_VALUE"""),"Hỗn Hợp NPK NPK 10-60-10 NNV")</f>
        <v>Hỗn Hợp NPK NPK 10-60-10 NNV</v>
      </c>
      <c r="F6040" s="87" t="str">
        <f>IFERROR(__xludf.DUMMYFUNCTION("""COMPUTED_VALUE"""),"HH5026")</f>
        <v>HH5026</v>
      </c>
      <c r="G6040" s="87" t="str">
        <f>IFERROR(__xludf.DUMMYFUNCTION("""COMPUTED_VALUE"""),"GC - V - 5026 - CTY LUTA - 10-60-10 (Bột màu trắng) - 1kg - 25")</f>
        <v>GC - V - 5026 - CTY LUTA - 10-60-10 (Bột màu trắng) - 1kg - 25</v>
      </c>
    </row>
    <row r="6041">
      <c r="A6041" s="86">
        <f>IFERROR(__xludf.DUMMYFUNCTION("""COMPUTED_VALUE"""),6039.0)</f>
        <v>6039</v>
      </c>
      <c r="B6041" s="87" t="str">
        <f>IFERROR(__xludf.DUMMYFUNCTION("""COMPUTED_VALUE"""),"[Nhãn Thùng]")</f>
        <v>[Nhãn Thùng]</v>
      </c>
      <c r="C6041" s="87" t="str">
        <f>IFERROR(__xludf.DUMMYFUNCTION("""COMPUTED_VALUE"""),"NDT5026")</f>
        <v>NDT5026</v>
      </c>
      <c r="D6041" s="87" t="str">
        <f>IFERROR(__xludf.DUMMYFUNCTION("""COMPUTED_VALUE"""),"[Nhãn Thùng] GC - V - 5026 - CTY LUTA - 10-60-10 (Bột màu trắng) - 1kg - 25")</f>
        <v>[Nhãn Thùng] GC - V - 5026 - CTY LUTA - 10-60-10 (Bột màu trắng) - 1kg - 25</v>
      </c>
      <c r="E6041" s="87" t="str">
        <f>IFERROR(__xludf.DUMMYFUNCTION("""COMPUTED_VALUE"""),"Hỗn Hợp NPK NPK 10-60-10 NNV")</f>
        <v>Hỗn Hợp NPK NPK 10-60-10 NNV</v>
      </c>
      <c r="F6041" s="87" t="str">
        <f>IFERROR(__xludf.DUMMYFUNCTION("""COMPUTED_VALUE"""),"HH5026")</f>
        <v>HH5026</v>
      </c>
      <c r="G6041" s="87" t="str">
        <f>IFERROR(__xludf.DUMMYFUNCTION("""COMPUTED_VALUE"""),"GC - V - 5026 - CTY LUTA - 10-60-10 (Bột màu trắng) - 1kg - 25")</f>
        <v>GC - V - 5026 - CTY LUTA - 10-60-10 (Bột màu trắng) - 1kg - 25</v>
      </c>
    </row>
    <row r="6042">
      <c r="A6042" s="86">
        <f>IFERROR(__xludf.DUMMYFUNCTION("""COMPUTED_VALUE"""),6040.0)</f>
        <v>6040</v>
      </c>
      <c r="B6042" s="87" t="str">
        <f>IFERROR(__xludf.DUMMYFUNCTION("""COMPUTED_VALUE"""),"[Nhãn]")</f>
        <v>[Nhãn]</v>
      </c>
      <c r="C6042" s="87" t="str">
        <f>IFERROR(__xludf.DUMMYFUNCTION("""COMPUTED_VALUE"""),"NTN5029")</f>
        <v>NTN5029</v>
      </c>
      <c r="D6042" s="87" t="str">
        <f>IFERROR(__xludf.DUMMYFUNCTION("""COMPUTED_VALUE"""),"[Nhãn] GC - V - 5029 - CTY VTNN TRỌNG LÝ - FORVIN 85WP (Bột trắng) - 100gr - 100")</f>
        <v>[Nhãn] GC - V - 5029 - CTY VTNN TRỌNG LÝ - FORVIN 85WP (Bột trắng) - 100gr - 100</v>
      </c>
      <c r="E6042" s="87" t="str">
        <f>IFERROR(__xludf.DUMMYFUNCTION("""COMPUTED_VALUE"""),"FORVIN 85WP")</f>
        <v>FORVIN 85WP</v>
      </c>
      <c r="F6042" s="87" t="str">
        <f>IFERROR(__xludf.DUMMYFUNCTION("""COMPUTED_VALUE"""),"HH5029")</f>
        <v>HH5029</v>
      </c>
      <c r="G6042" s="87" t="str">
        <f>IFERROR(__xludf.DUMMYFUNCTION("""COMPUTED_VALUE"""),"GC - V - 5029 - CTY VTNN TRỌNG LÝ - FORVIN 85WP (Bột trắng) - 100gr - 100")</f>
        <v>GC - V - 5029 - CTY VTNN TRỌNG LÝ - FORVIN 85WP (Bột trắng) - 100gr - 100</v>
      </c>
    </row>
    <row r="6043">
      <c r="A6043" s="86">
        <f>IFERROR(__xludf.DUMMYFUNCTION("""COMPUTED_VALUE"""),6041.0)</f>
        <v>6041</v>
      </c>
      <c r="B6043" s="87" t="str">
        <f>IFERROR(__xludf.DUMMYFUNCTION("""COMPUTED_VALUE"""),"[Nhãn Thùng]")</f>
        <v>[Nhãn Thùng]</v>
      </c>
      <c r="C6043" s="87" t="str">
        <f>IFERROR(__xludf.DUMMYFUNCTION("""COMPUTED_VALUE"""),"NDT5029")</f>
        <v>NDT5029</v>
      </c>
      <c r="D6043" s="87" t="str">
        <f>IFERROR(__xludf.DUMMYFUNCTION("""COMPUTED_VALUE"""),"[Nhãn Thùng] GC - V - 5029 - CTY VTNN TRỌNG LÝ - FORVIN 85WP (Bột trắng) - 100gr - 100")</f>
        <v>[Nhãn Thùng] GC - V - 5029 - CTY VTNN TRỌNG LÝ - FORVIN 85WP (Bột trắng) - 100gr - 100</v>
      </c>
      <c r="E6043" s="87" t="str">
        <f>IFERROR(__xludf.DUMMYFUNCTION("""COMPUTED_VALUE"""),"FORVIN 85WP")</f>
        <v>FORVIN 85WP</v>
      </c>
      <c r="F6043" s="87" t="str">
        <f>IFERROR(__xludf.DUMMYFUNCTION("""COMPUTED_VALUE"""),"HH5029")</f>
        <v>HH5029</v>
      </c>
      <c r="G6043" s="87" t="str">
        <f>IFERROR(__xludf.DUMMYFUNCTION("""COMPUTED_VALUE"""),"GC - V - 5029 - CTY VTNN TRỌNG LÝ - FORVIN 85WP (Bột trắng) - 100gr - 100")</f>
        <v>GC - V - 5029 - CTY VTNN TRỌNG LÝ - FORVIN 85WP (Bột trắng) - 100gr - 100</v>
      </c>
    </row>
    <row r="6044">
      <c r="A6044" s="86">
        <f>IFERROR(__xludf.DUMMYFUNCTION("""COMPUTED_VALUE"""),6042.0)</f>
        <v>6042</v>
      </c>
      <c r="B6044" s="87" t="str">
        <f>IFERROR(__xludf.DUMMYFUNCTION("""COMPUTED_VALUE"""),"[Nhãn]")</f>
        <v>[Nhãn]</v>
      </c>
      <c r="C6044" s="87" t="str">
        <f>IFERROR(__xludf.DUMMYFUNCTION("""COMPUTED_VALUE"""),"NHG5030")</f>
        <v>NHG5030</v>
      </c>
      <c r="D6044" s="87" t="str">
        <f>IFERROR(__xludf.DUMMYFUNCTION("""COMPUTED_VALUE"""),"[Nhãn] GC - V - 5030 - AGRITECH - AGRI STOP (Nước nâu đen) - 1L - 20")</f>
        <v>[Nhãn] GC - V - 5030 - AGRITECH - AGRI STOP (Nước nâu đen) - 1L - 20</v>
      </c>
      <c r="E6044" s="87" t="str">
        <f>IFERROR(__xludf.DUMMYFUNCTION("""COMPUTED_VALUE"""),"Vi lượng Quantity New")</f>
        <v>Vi lượng Quantity New</v>
      </c>
      <c r="F6044" s="87" t="str">
        <f>IFERROR(__xludf.DUMMYFUNCTION("""COMPUTED_VALUE"""),"HH5030")</f>
        <v>HH5030</v>
      </c>
      <c r="G6044" s="87" t="str">
        <f>IFERROR(__xludf.DUMMYFUNCTION("""COMPUTED_VALUE"""),"GC - V - 5030 - AGRITECH - AGRI STOP (Nước nâu đen) - 1L - 20")</f>
        <v>GC - V - 5030 - AGRITECH - AGRI STOP (Nước nâu đen) - 1L - 20</v>
      </c>
    </row>
    <row r="6045">
      <c r="A6045" s="86">
        <f>IFERROR(__xludf.DUMMYFUNCTION("""COMPUTED_VALUE"""),6043.0)</f>
        <v>6043</v>
      </c>
      <c r="B6045" s="87" t="str">
        <f>IFERROR(__xludf.DUMMYFUNCTION("""COMPUTED_VALUE"""),"[Nhãn]")</f>
        <v>[Nhãn]</v>
      </c>
      <c r="C6045" s="87" t="str">
        <f>IFERROR(__xludf.DUMMYFUNCTION("""COMPUTED_VALUE"""),"NHG5036")</f>
        <v>NHG5036</v>
      </c>
      <c r="D6045" s="87" t="str">
        <f>IFERROR(__xludf.DUMMYFUNCTION("""COMPUTED_VALUE"""),"[Nhãn] IDA Global - I - 5036 - IDA VIL (Vàng) (nước vàng) - 1L - 20")</f>
        <v>[Nhãn] IDA Global - I - 5036 - IDA VIL (Vàng) (nước vàng) - 1L - 20</v>
      </c>
      <c r="E6045" s="87" t="str">
        <f>IFERROR(__xludf.DUMMYFUNCTION("""COMPUTED_VALUE"""),"Mekongvil 5SC")</f>
        <v>Mekongvil 5SC</v>
      </c>
      <c r="F6045" s="87" t="str">
        <f>IFERROR(__xludf.DUMMYFUNCTION("""COMPUTED_VALUE"""),"HH5036")</f>
        <v>HH5036</v>
      </c>
      <c r="G6045" s="87" t="str">
        <f>IFERROR(__xludf.DUMMYFUNCTION("""COMPUTED_VALUE"""),"IDA Global - I - 5036 - IDA VIL (Vàng) (nước vàng) - 1L - 20")</f>
        <v>IDA Global - I - 5036 - IDA VIL (Vàng) (nước vàng) - 1L - 20</v>
      </c>
    </row>
    <row r="6046">
      <c r="A6046" s="86">
        <f>IFERROR(__xludf.DUMMYFUNCTION("""COMPUTED_VALUE"""),6044.0)</f>
        <v>6044</v>
      </c>
      <c r="B6046" s="87" t="str">
        <f>IFERROR(__xludf.DUMMYFUNCTION("""COMPUTED_VALUE"""),"[Nhãn]")</f>
        <v>[Nhãn]</v>
      </c>
      <c r="C6046" s="87" t="str">
        <f>IFERROR(__xludf.DUMMYFUNCTION("""COMPUTED_VALUE"""),"NHD5015")</f>
        <v>NHD5015</v>
      </c>
      <c r="D6046" s="87" t="str">
        <f>IFERROR(__xludf.DUMMYFUNCTION("""COMPUTED_VALUE"""),"[Nhãn] GC - V - 5015 - CTY LUTA - RA RỄ - BUNG CHỒI (Nước nâu đen) - 10L - 1")</f>
        <v>[Nhãn] GC - V - 5015 - CTY LUTA - RA RỄ - BUNG CHỒI (Nước nâu đen) - 10L - 1</v>
      </c>
      <c r="E6046" s="87" t="str">
        <f>IFERROR(__xludf.DUMMYFUNCTION("""COMPUTED_VALUE"""),"Hữu Cơ Organic ĐGP 01")</f>
        <v>Hữu Cơ Organic ĐGP 01</v>
      </c>
      <c r="F6046" s="87" t="str">
        <f>IFERROR(__xludf.DUMMYFUNCTION("""COMPUTED_VALUE"""),"HH5015")</f>
        <v>HH5015</v>
      </c>
      <c r="G6046" s="87" t="str">
        <f>IFERROR(__xludf.DUMMYFUNCTION("""COMPUTED_VALUE"""),"GC - V - 5015 - CTY LUTA - RA RỄ - BUNG CHỒI (Nước nâu đen) - 10L - 1")</f>
        <v>GC - V - 5015 - CTY LUTA - RA RỄ - BUNG CHỒI (Nước nâu đen) - 10L - 1</v>
      </c>
    </row>
    <row r="6047">
      <c r="A6047" s="86">
        <f>IFERROR(__xludf.DUMMYFUNCTION("""COMPUTED_VALUE"""),6045.0)</f>
        <v>6045</v>
      </c>
      <c r="B6047" s="87" t="str">
        <f>IFERROR(__xludf.DUMMYFUNCTION("""COMPUTED_VALUE"""),"[Nhãn]")</f>
        <v>[Nhãn]</v>
      </c>
      <c r="C6047" s="87" t="str">
        <f>IFERROR(__xludf.DUMMYFUNCTION("""COMPUTED_VALUE"""),"NHG5016")</f>
        <v>NHG5016</v>
      </c>
      <c r="D6047" s="87" t="str">
        <f>IFERROR(__xludf.DUMMYFUNCTION("""COMPUTED_VALUE"""),"[Nhãn] GC - V - 5016 - CTY LUTA - LỚN TRÁI CAM - CHANH (Nước nâu đen) - 1L - 20")</f>
        <v>[Nhãn] GC - V - 5016 - CTY LUTA - LỚN TRÁI CAM - CHANH (Nước nâu đen) - 1L - 20</v>
      </c>
      <c r="E6047" s="87" t="str">
        <f>IFERROR(__xludf.DUMMYFUNCTION("""COMPUTED_VALUE"""),"Hữu Cơ Organic ĐGP 01")</f>
        <v>Hữu Cơ Organic ĐGP 01</v>
      </c>
      <c r="F6047" s="87" t="str">
        <f>IFERROR(__xludf.DUMMYFUNCTION("""COMPUTED_VALUE"""),"HH5016")</f>
        <v>HH5016</v>
      </c>
      <c r="G6047" s="87" t="str">
        <f>IFERROR(__xludf.DUMMYFUNCTION("""COMPUTED_VALUE"""),"GC - V - 5016 - CTY LUTA - LỚN TRÁI CAM - CHANH (Nước nâu đen) - 1L - 20")</f>
        <v>GC - V - 5016 - CTY LUTA - LỚN TRÁI CAM - CHANH (Nước nâu đen) - 1L - 20</v>
      </c>
    </row>
    <row r="6048">
      <c r="A6048" s="86">
        <f>IFERROR(__xludf.DUMMYFUNCTION("""COMPUTED_VALUE"""),6046.0)</f>
        <v>6046</v>
      </c>
      <c r="B6048" s="87" t="str">
        <f>IFERROR(__xludf.DUMMYFUNCTION("""COMPUTED_VALUE"""),"[Nhãn]")</f>
        <v>[Nhãn]</v>
      </c>
      <c r="C6048" s="87" t="str">
        <f>IFERROR(__xludf.DUMMYFUNCTION("""COMPUTED_VALUE"""),"NHG5034")</f>
        <v>NHG5034</v>
      </c>
      <c r="D6048" s="87" t="str">
        <f>IFERROR(__xludf.DUMMYFUNCTION("""COMPUTED_VALUE"""),"[Nhãn] GC - V - 5034 - CTY AGROCHEM KOREA - ABASIU (Nước nâu đen) - 450ml - 40")</f>
        <v>[Nhãn] GC - V - 5034 - CTY AGROCHEM KOREA - ABASIU (Nước nâu đen) - 450ml - 40</v>
      </c>
      <c r="E6048" s="87" t="str">
        <f>IFERROR(__xludf.DUMMYFUNCTION("""COMPUTED_VALUE"""),"HAIHAMEC 3.6EC")</f>
        <v>HAIHAMEC 3.6EC</v>
      </c>
      <c r="F6048" s="87" t="str">
        <f>IFERROR(__xludf.DUMMYFUNCTION("""COMPUTED_VALUE"""),"HH5034")</f>
        <v>HH5034</v>
      </c>
      <c r="G6048" s="87" t="str">
        <f>IFERROR(__xludf.DUMMYFUNCTION("""COMPUTED_VALUE"""),"GC - V - 5034 - CTY AGROCHEM KOREA - ABASIU (Nước nâu đen) - 450ml - 40")</f>
        <v>GC - V - 5034 - CTY AGROCHEM KOREA - ABASIU (Nước nâu đen) - 450ml - 40</v>
      </c>
    </row>
    <row r="6049">
      <c r="A6049" s="86">
        <f>IFERROR(__xludf.DUMMYFUNCTION("""COMPUTED_VALUE"""),6047.0)</f>
        <v>6047</v>
      </c>
      <c r="B6049" s="87" t="str">
        <f>IFERROR(__xludf.DUMMYFUNCTION("""COMPUTED_VALUE"""),"[Nhãn]")</f>
        <v>[Nhãn]</v>
      </c>
      <c r="C6049" s="87" t="str">
        <f>IFERROR(__xludf.DUMMYFUNCTION("""COMPUTED_VALUE"""),"NHG5013")</f>
        <v>NHG5013</v>
      </c>
      <c r="D6049" s="87" t="str">
        <f>IFERROR(__xludf.DUMMYFUNCTION("""COMPUTED_VALUE"""),"[Nhãn] GC - V - 5013 - CTY HƯNG ĐIỀN AGRO - TINGOL (Nước vàng trà) - 240ml - 40")</f>
        <v>[Nhãn] GC - V - 5013 - CTY HƯNG ĐIỀN AGRO - TINGOL (Nước vàng trà) - 240ml - 40</v>
      </c>
      <c r="E6049" s="87" t="str">
        <f>IFERROR(__xludf.DUMMYFUNCTION("""COMPUTED_VALUE"""),"BRETIL SUPER 300EC")</f>
        <v>BRETIL SUPER 300EC</v>
      </c>
      <c r="F6049" s="87" t="str">
        <f>IFERROR(__xludf.DUMMYFUNCTION("""COMPUTED_VALUE"""),"HH5013")</f>
        <v>HH5013</v>
      </c>
      <c r="G6049" s="87" t="str">
        <f>IFERROR(__xludf.DUMMYFUNCTION("""COMPUTED_VALUE"""),"GC - V - 5013 - CTY HƯNG ĐIỀN AGRO - TINGOL (Nước vàng trà) - 240ml - 40")</f>
        <v>GC - V - 5013 - CTY HƯNG ĐIỀN AGRO - TINGOL (Nước vàng trà) - 240ml - 40</v>
      </c>
    </row>
    <row r="6050">
      <c r="A6050" s="86">
        <f>IFERROR(__xludf.DUMMYFUNCTION("""COMPUTED_VALUE"""),6048.0)</f>
        <v>6048</v>
      </c>
      <c r="B6050" s="87" t="str">
        <f>IFERROR(__xludf.DUMMYFUNCTION("""COMPUTED_VALUE"""),"[Nhãn]")</f>
        <v>[Nhãn]</v>
      </c>
      <c r="C6050" s="87" t="str">
        <f>IFERROR(__xludf.DUMMYFUNCTION("""COMPUTED_VALUE"""),"NHG5028")</f>
        <v>NHG5028</v>
      </c>
      <c r="D6050" s="87" t="str">
        <f>IFERROR(__xludf.DUMMYFUNCTION("""COMPUTED_VALUE"""),"[Nhãn] GC - X - 5028 - CSSX An Khang - TAK03 (Nước nâu đen) - 250ml - 40")</f>
        <v>[Nhãn] GC - X - 5028 - CSSX An Khang - TAK03 (Nước nâu đen) - 250ml - 40</v>
      </c>
      <c r="E6050" s="87" t="str">
        <f>IFERROR(__xludf.DUMMYFUNCTION("""COMPUTED_VALUE"""),"Vi lượng Quantity New")</f>
        <v>Vi lượng Quantity New</v>
      </c>
      <c r="F6050" s="87" t="str">
        <f>IFERROR(__xludf.DUMMYFUNCTION("""COMPUTED_VALUE"""),"HH5028")</f>
        <v>HH5028</v>
      </c>
      <c r="G6050" s="87" t="str">
        <f>IFERROR(__xludf.DUMMYFUNCTION("""COMPUTED_VALUE"""),"GC - X - 5028 - CSSX An Khang - TAK03 (Nước nâu đen) - 250ml - 40")</f>
        <v>GC - X - 5028 - CSSX An Khang - TAK03 (Nước nâu đen) - 250ml - 40</v>
      </c>
    </row>
    <row r="6051">
      <c r="A6051" s="86">
        <f>IFERROR(__xludf.DUMMYFUNCTION("""COMPUTED_VALUE"""),6049.0)</f>
        <v>6049</v>
      </c>
      <c r="B6051" s="87" t="str">
        <f>IFERROR(__xludf.DUMMYFUNCTION("""COMPUTED_VALUE"""),"[Nhãn]")</f>
        <v>[Nhãn]</v>
      </c>
      <c r="C6051" s="87" t="str">
        <f>IFERROR(__xludf.DUMMYFUNCTION("""COMPUTED_VALUE"""),"NTN5039")</f>
        <v>NTN5039</v>
      </c>
      <c r="D6051" s="87" t="str">
        <f>IFERROR(__xludf.DUMMYFUNCTION("""COMPUTED_VALUE"""),"[Nhãn] GC - V - 5039 - CTY HÓA NÔNG SHINO - FENA-MAX 240 (Nước trắng sữa) - 30ml - 400")</f>
        <v>[Nhãn] GC - V - 5039 - CTY HÓA NÔNG SHINO - FENA-MAX 240 (Nước trắng sữa) - 30ml - 400</v>
      </c>
      <c r="E6051" s="87" t="str">
        <f>IFERROR(__xludf.DUMMYFUNCTION("""COMPUTED_VALUE"""),"ADU-Fenar 24SC")</f>
        <v>ADU-Fenar 24SC</v>
      </c>
      <c r="F6051" s="87" t="str">
        <f>IFERROR(__xludf.DUMMYFUNCTION("""COMPUTED_VALUE"""),"HH5039")</f>
        <v>HH5039</v>
      </c>
      <c r="G6051" s="87" t="str">
        <f>IFERROR(__xludf.DUMMYFUNCTION("""COMPUTED_VALUE"""),"GC - V - 5039 - CTY HÓA NÔNG SHINO - FENA-MAX 240 (Nước trắng sữa) - 30ml - 400")</f>
        <v>GC - V - 5039 - CTY HÓA NÔNG SHINO - FENA-MAX 240 (Nước trắng sữa) - 30ml - 400</v>
      </c>
    </row>
    <row r="6052">
      <c r="A6052" s="86">
        <f>IFERROR(__xludf.DUMMYFUNCTION("""COMPUTED_VALUE"""),6050.0)</f>
        <v>6050</v>
      </c>
      <c r="B6052" s="87" t="str">
        <f>IFERROR(__xludf.DUMMYFUNCTION("""COMPUTED_VALUE"""),"[Nhãn Thùng]")</f>
        <v>[Nhãn Thùng]</v>
      </c>
      <c r="C6052" s="87" t="str">
        <f>IFERROR(__xludf.DUMMYFUNCTION("""COMPUTED_VALUE"""),"NDT5039")</f>
        <v>NDT5039</v>
      </c>
      <c r="D6052" s="87" t="str">
        <f>IFERROR(__xludf.DUMMYFUNCTION("""COMPUTED_VALUE"""),"[Nhãn Thùng] GC - V - 5039 - CTY HÓA NÔNG SHINO - FENA-MAX 240 (Nước trắng sữa) - 30ml - 400")</f>
        <v>[Nhãn Thùng] GC - V - 5039 - CTY HÓA NÔNG SHINO - FENA-MAX 240 (Nước trắng sữa) - 30ml - 400</v>
      </c>
      <c r="E6052" s="87" t="str">
        <f>IFERROR(__xludf.DUMMYFUNCTION("""COMPUTED_VALUE"""),"ADU-Fenar 24SC")</f>
        <v>ADU-Fenar 24SC</v>
      </c>
      <c r="F6052" s="87" t="str">
        <f>IFERROR(__xludf.DUMMYFUNCTION("""COMPUTED_VALUE"""),"HH5039")</f>
        <v>HH5039</v>
      </c>
      <c r="G6052" s="87" t="str">
        <f>IFERROR(__xludf.DUMMYFUNCTION("""COMPUTED_VALUE"""),"GC - V - 5039 - CTY HÓA NÔNG SHINO - FENA-MAX 240 (Nước trắng sữa) - 30ml - 400")</f>
        <v>GC - V - 5039 - CTY HÓA NÔNG SHINO - FENA-MAX 240 (Nước trắng sữa) - 30ml - 400</v>
      </c>
    </row>
    <row r="6053">
      <c r="A6053" s="86">
        <f>IFERROR(__xludf.DUMMYFUNCTION("""COMPUTED_VALUE"""),6051.0)</f>
        <v>6051</v>
      </c>
      <c r="B6053" s="87" t="str">
        <f>IFERROR(__xludf.DUMMYFUNCTION("""COMPUTED_VALUE"""),"[Nhãn]")</f>
        <v>[Nhãn]</v>
      </c>
      <c r="C6053" s="87" t="str">
        <f>IFERROR(__xludf.DUMMYFUNCTION("""COMPUTED_VALUE"""),"NHD5043")</f>
        <v>NHD5043</v>
      </c>
      <c r="D6053" s="87" t="str">
        <f>IFERROR(__xludf.DUMMYFUNCTION("""COMPUTED_VALUE"""),"[Nhãn] GC - V - 5043 - CTY AGROCHEM KOREA - VOITHAI3.6 (Nước nâu đen) - 450ml - 40")</f>
        <v>[Nhãn] GC - V - 5043 - CTY AGROCHEM KOREA - VOITHAI3.6 (Nước nâu đen) - 450ml - 40</v>
      </c>
      <c r="E6053" s="87" t="str">
        <f>IFERROR(__xludf.DUMMYFUNCTION("""COMPUTED_VALUE"""),"HAIHAMEC 3.6EC")</f>
        <v>HAIHAMEC 3.6EC</v>
      </c>
      <c r="F6053" s="87" t="str">
        <f>IFERROR(__xludf.DUMMYFUNCTION("""COMPUTED_VALUE"""),"HH5043")</f>
        <v>HH5043</v>
      </c>
      <c r="G6053" s="87" t="str">
        <f>IFERROR(__xludf.DUMMYFUNCTION("""COMPUTED_VALUE"""),"GC - V - 5043 - CTY AGROCHEM KOREA - VOITHAI3.6 (Nước nâu đen) - 450ml - 40")</f>
        <v>GC - V - 5043 - CTY AGROCHEM KOREA - VOITHAI3.6 (Nước nâu đen) - 450ml - 40</v>
      </c>
    </row>
    <row r="6054">
      <c r="A6054" s="86">
        <f>IFERROR(__xludf.DUMMYFUNCTION("""COMPUTED_VALUE"""),6052.0)</f>
        <v>6052</v>
      </c>
      <c r="B6054" s="87" t="str">
        <f>IFERROR(__xludf.DUMMYFUNCTION("""COMPUTED_VALUE"""),"[Nhãn Thùng]")</f>
        <v>[Nhãn Thùng]</v>
      </c>
      <c r="C6054" s="87" t="str">
        <f>IFERROR(__xludf.DUMMYFUNCTION("""COMPUTED_VALUE"""),"NDT5043")</f>
        <v>NDT5043</v>
      </c>
      <c r="D6054" s="87" t="str">
        <f>IFERROR(__xludf.DUMMYFUNCTION("""COMPUTED_VALUE"""),"[Nhãn Thùng] GC - V - 5043 - CTY AGROCHEM KOREA - VOITHAI3.6 (Nước nâu đen) - 450ml - 40")</f>
        <v>[Nhãn Thùng] GC - V - 5043 - CTY AGROCHEM KOREA - VOITHAI3.6 (Nước nâu đen) - 450ml - 40</v>
      </c>
      <c r="E6054" s="87" t="str">
        <f>IFERROR(__xludf.DUMMYFUNCTION("""COMPUTED_VALUE"""),"HAIHAMEC 3.6EC")</f>
        <v>HAIHAMEC 3.6EC</v>
      </c>
      <c r="F6054" s="87" t="str">
        <f>IFERROR(__xludf.DUMMYFUNCTION("""COMPUTED_VALUE"""),"HH5043")</f>
        <v>HH5043</v>
      </c>
      <c r="G6054" s="87" t="str">
        <f>IFERROR(__xludf.DUMMYFUNCTION("""COMPUTED_VALUE"""),"GC - V - 5043 - CTY AGROCHEM KOREA - VOITHAI3.6 (Nước nâu đen) - 450ml - 40")</f>
        <v>GC - V - 5043 - CTY AGROCHEM KOREA - VOITHAI3.6 (Nước nâu đen) - 450ml - 40</v>
      </c>
    </row>
    <row r="6055">
      <c r="A6055" s="86">
        <f>IFERROR(__xludf.DUMMYFUNCTION("""COMPUTED_VALUE"""),6053.0)</f>
        <v>6053</v>
      </c>
      <c r="B6055" s="87" t="str">
        <f>IFERROR(__xludf.DUMMYFUNCTION("""COMPUTED_VALUE"""),"[Nhãn]")</f>
        <v>[Nhãn]</v>
      </c>
      <c r="C6055" s="87" t="str">
        <f>IFERROR(__xludf.DUMMYFUNCTION("""COMPUTED_VALUE"""),"NHG5045")</f>
        <v>NHG5045</v>
      </c>
      <c r="D6055" s="87" t="str">
        <f>IFERROR(__xludf.DUMMYFUNCTION("""COMPUTED_VALUE"""),"[Nhãn] GC - V - 5045 - CTY HÓA NÔNG CON ONG VÀNG - DAP SUPER (Nước nâu đen) - 500ml - 40")</f>
        <v>[Nhãn] GC - V - 5045 - CTY HÓA NÔNG CON ONG VÀNG - DAP SUPER (Nước nâu đen) - 500ml - 40</v>
      </c>
      <c r="E6055" s="87" t="str">
        <f>IFERROR(__xludf.DUMMYFUNCTION("""COMPUTED_VALUE"""),"Hỗn Hợp NP AGAMA-AP")</f>
        <v>Hỗn Hợp NP AGAMA-AP</v>
      </c>
      <c r="F6055" s="87" t="str">
        <f>IFERROR(__xludf.DUMMYFUNCTION("""COMPUTED_VALUE"""),"HH5045")</f>
        <v>HH5045</v>
      </c>
      <c r="G6055" s="87" t="str">
        <f>IFERROR(__xludf.DUMMYFUNCTION("""COMPUTED_VALUE"""),"GC - V - 5045 - CTY HÓA NÔNG CON ONG VÀNG - DAP SUPER (Nước nâu đen) - 500ml - 40")</f>
        <v>GC - V - 5045 - CTY HÓA NÔNG CON ONG VÀNG - DAP SUPER (Nước nâu đen) - 500ml - 40</v>
      </c>
    </row>
    <row r="6056">
      <c r="A6056" s="86">
        <f>IFERROR(__xludf.DUMMYFUNCTION("""COMPUTED_VALUE"""),6054.0)</f>
        <v>6054</v>
      </c>
      <c r="B6056" s="87" t="str">
        <f>IFERROR(__xludf.DUMMYFUNCTION("""COMPUTED_VALUE"""),"[Nhãn]")</f>
        <v>[Nhãn]</v>
      </c>
      <c r="C6056" s="87" t="str">
        <f>IFERROR(__xludf.DUMMYFUNCTION("""COMPUTED_VALUE"""),"NTN5044")</f>
        <v>NTN5044</v>
      </c>
      <c r="D6056" s="87" t="str">
        <f>IFERROR(__xludf.DUMMYFUNCTION("""COMPUTED_VALUE"""),"[Nhãn] GC - V - 5044 - CTY NEWTEX - NEW-LI-ET NEWTEX (Bột trắng ngà) - 500gr - 40")</f>
        <v>[Nhãn] GC - V - 5044 - CTY NEWTEX - NEW-LI-ET NEWTEX (Bột trắng ngà) - 500gr - 40</v>
      </c>
      <c r="E6056" s="87" t="str">
        <f>IFERROR(__xludf.DUMMYFUNCTION("""COMPUTED_VALUE"""),"Anlien-annong 800WP")</f>
        <v>Anlien-annong 800WP</v>
      </c>
      <c r="F6056" s="87" t="str">
        <f>IFERROR(__xludf.DUMMYFUNCTION("""COMPUTED_VALUE"""),"HH5044")</f>
        <v>HH5044</v>
      </c>
      <c r="G6056" s="87" t="str">
        <f>IFERROR(__xludf.DUMMYFUNCTION("""COMPUTED_VALUE"""),"GC - V - 5044 - CTY NEWTEX - NEW-LI-ET NEWTEX (Bột trắng ngà) - 500gr - 40")</f>
        <v>GC - V - 5044 - CTY NEWTEX - NEW-LI-ET NEWTEX (Bột trắng ngà) - 500gr - 40</v>
      </c>
    </row>
    <row r="6057">
      <c r="A6057" s="86">
        <f>IFERROR(__xludf.DUMMYFUNCTION("""COMPUTED_VALUE"""),6055.0)</f>
        <v>6055</v>
      </c>
      <c r="B6057" s="87" t="str">
        <f>IFERROR(__xludf.DUMMYFUNCTION("""COMPUTED_VALUE"""),"[Nhãn Thùng]")</f>
        <v>[Nhãn Thùng]</v>
      </c>
      <c r="C6057" s="87" t="str">
        <f>IFERROR(__xludf.DUMMYFUNCTION("""COMPUTED_VALUE"""),"NDT5044")</f>
        <v>NDT5044</v>
      </c>
      <c r="D6057" s="87" t="str">
        <f>IFERROR(__xludf.DUMMYFUNCTION("""COMPUTED_VALUE"""),"[Nhãn Thùng] GC - V - 5044 - CTY NEWTEX - NEW-LI-ET NEWTEX (Bột trắng ngà) - 500gr - 40")</f>
        <v>[Nhãn Thùng] GC - V - 5044 - CTY NEWTEX - NEW-LI-ET NEWTEX (Bột trắng ngà) - 500gr - 40</v>
      </c>
      <c r="E6057" s="87" t="str">
        <f>IFERROR(__xludf.DUMMYFUNCTION("""COMPUTED_VALUE"""),"Anlien-annong 800WP")</f>
        <v>Anlien-annong 800WP</v>
      </c>
      <c r="F6057" s="87" t="str">
        <f>IFERROR(__xludf.DUMMYFUNCTION("""COMPUTED_VALUE"""),"HH5044")</f>
        <v>HH5044</v>
      </c>
      <c r="G6057" s="87" t="str">
        <f>IFERROR(__xludf.DUMMYFUNCTION("""COMPUTED_VALUE"""),"GC - V - 5044 - CTY NEWTEX - NEW-LI-ET NEWTEX (Bột trắng ngà) - 500gr - 40")</f>
        <v>GC - V - 5044 - CTY NEWTEX - NEW-LI-ET NEWTEX (Bột trắng ngà) - 500gr - 40</v>
      </c>
    </row>
    <row r="6058">
      <c r="A6058" s="86">
        <f>IFERROR(__xludf.DUMMYFUNCTION("""COMPUTED_VALUE"""),6056.0)</f>
        <v>6056</v>
      </c>
      <c r="B6058" s="87" t="str">
        <f>IFERROR(__xludf.DUMMYFUNCTION("""COMPUTED_VALUE"""),"[Nhãn]")</f>
        <v>[Nhãn]</v>
      </c>
      <c r="C6058" s="87" t="str">
        <f>IFERROR(__xludf.DUMMYFUNCTION("""COMPUTED_VALUE"""),"NHD5031")</f>
        <v>NHD5031</v>
      </c>
      <c r="D6058" s="87" t="str">
        <f>IFERROR(__xludf.DUMMYFUNCTION("""COMPUTED_VALUE"""),"[Nhãn] GC - V - 5031 - SONG KIM AGRICULTURE - REBSGANT 3.6 (Nước nâu đen) - 450ml - 40")</f>
        <v>[Nhãn] GC - V - 5031 - SONG KIM AGRICULTURE - REBSGANT 3.6 (Nước nâu đen) - 450ml - 40</v>
      </c>
      <c r="E6058" s="87" t="str">
        <f>IFERROR(__xludf.DUMMYFUNCTION("""COMPUTED_VALUE"""),"HAIHAMEC 3.6EC")</f>
        <v>HAIHAMEC 3.6EC</v>
      </c>
      <c r="F6058" s="87" t="str">
        <f>IFERROR(__xludf.DUMMYFUNCTION("""COMPUTED_VALUE"""),"HH5031")</f>
        <v>HH5031</v>
      </c>
      <c r="G6058" s="87" t="str">
        <f>IFERROR(__xludf.DUMMYFUNCTION("""COMPUTED_VALUE"""),"GC - V - 5031 - SONG KIM AGRICULTURE - REBSGANT 3.6 (Nước nâu đen) - 450ml - 40")</f>
        <v>GC - V - 5031 - SONG KIM AGRICULTURE - REBSGANT 3.6 (Nước nâu đen) - 450ml - 40</v>
      </c>
    </row>
    <row r="6059">
      <c r="A6059" s="86">
        <f>IFERROR(__xludf.DUMMYFUNCTION("""COMPUTED_VALUE"""),6057.0)</f>
        <v>6057</v>
      </c>
      <c r="B6059" s="87" t="str">
        <f>IFERROR(__xludf.DUMMYFUNCTION("""COMPUTED_VALUE"""),"[Nhãn Thùng]")</f>
        <v>[Nhãn Thùng]</v>
      </c>
      <c r="C6059" s="87" t="str">
        <f>IFERROR(__xludf.DUMMYFUNCTION("""COMPUTED_VALUE"""),"NDT5031")</f>
        <v>NDT5031</v>
      </c>
      <c r="D6059" s="87" t="str">
        <f>IFERROR(__xludf.DUMMYFUNCTION("""COMPUTED_VALUE"""),"[Nhãn Thùng] GC - V - 5031 - SONG KIM AGRICULTURE - REBSGANT 3.6 (Nước nâu đen) - 450ml - 40")</f>
        <v>[Nhãn Thùng] GC - V - 5031 - SONG KIM AGRICULTURE - REBSGANT 3.6 (Nước nâu đen) - 450ml - 40</v>
      </c>
      <c r="E6059" s="87" t="str">
        <f>IFERROR(__xludf.DUMMYFUNCTION("""COMPUTED_VALUE"""),"HAIHAMEC 3.6EC")</f>
        <v>HAIHAMEC 3.6EC</v>
      </c>
      <c r="F6059" s="87" t="str">
        <f>IFERROR(__xludf.DUMMYFUNCTION("""COMPUTED_VALUE"""),"HH5031")</f>
        <v>HH5031</v>
      </c>
      <c r="G6059" s="87" t="str">
        <f>IFERROR(__xludf.DUMMYFUNCTION("""COMPUTED_VALUE"""),"GC - V - 5031 - SONG KIM AGRICULTURE - REBSGANT 3.6 (Nước nâu đen) - 450ml - 40")</f>
        <v>GC - V - 5031 - SONG KIM AGRICULTURE - REBSGANT 3.6 (Nước nâu đen) - 450ml - 40</v>
      </c>
    </row>
    <row r="6060">
      <c r="A6060" s="86">
        <f>IFERROR(__xludf.DUMMYFUNCTION("""COMPUTED_VALUE"""),6058.0)</f>
        <v>6058</v>
      </c>
      <c r="B6060" s="87" t="str">
        <f>IFERROR(__xludf.DUMMYFUNCTION("""COMPUTED_VALUE"""),"[Nhãn]")</f>
        <v>[Nhãn]</v>
      </c>
      <c r="C6060" s="87" t="str">
        <f>IFERROR(__xludf.DUMMYFUNCTION("""COMPUTED_VALUE"""),"NTN4689")</f>
        <v>NTN4689</v>
      </c>
      <c r="D6060" s="87" t="str">
        <f>IFERROR(__xludf.DUMMYFUNCTION("""COMPUTED_VALUE"""),"[Nhãn] GC - V - 4689 - CTY DRAGON AGROCHEM - CHESSIN 600WP (Bột trắng ngà) - 80gr - 100")</f>
        <v>[Nhãn] GC - V - 4689 - CTY DRAGON AGROCHEM - CHESSIN 600WP (Bột trắng ngà) - 80gr - 100</v>
      </c>
      <c r="E6060" s="87" t="str">
        <f>IFERROR(__xludf.DUMMYFUNCTION("""COMPUTED_VALUE"""),"CHESSIN 600WP")</f>
        <v>CHESSIN 600WP</v>
      </c>
      <c r="F6060" s="87" t="str">
        <f>IFERROR(__xludf.DUMMYFUNCTION("""COMPUTED_VALUE"""),"HH4689")</f>
        <v>HH4689</v>
      </c>
      <c r="G6060" s="87" t="str">
        <f>IFERROR(__xludf.DUMMYFUNCTION("""COMPUTED_VALUE"""),"GC - V - 4689 - CTY DRAGON AGROCHEM - CHESSIN 600WP (Bột trắng ngà) - 80gr - 100")</f>
        <v>GC - V - 4689 - CTY DRAGON AGROCHEM - CHESSIN 600WP (Bột trắng ngà) - 80gr - 100</v>
      </c>
    </row>
    <row r="6061">
      <c r="A6061" s="86">
        <f>IFERROR(__xludf.DUMMYFUNCTION("""COMPUTED_VALUE"""),6059.0)</f>
        <v>6059</v>
      </c>
      <c r="B6061" s="87" t="str">
        <f>IFERROR(__xludf.DUMMYFUNCTION("""COMPUTED_VALUE"""),"[Nhãn Thùng]")</f>
        <v>[Nhãn Thùng]</v>
      </c>
      <c r="C6061" s="87" t="str">
        <f>IFERROR(__xludf.DUMMYFUNCTION("""COMPUTED_VALUE"""),"NDT4689")</f>
        <v>NDT4689</v>
      </c>
      <c r="D6061" s="87" t="str">
        <f>IFERROR(__xludf.DUMMYFUNCTION("""COMPUTED_VALUE"""),"[Nhãn Thùng] GC - V - 4689 - CTY DRAGON AGROCHEM - CHESSIN 600WP (Bột trắng ngà) - 80gr - 100")</f>
        <v>[Nhãn Thùng] GC - V - 4689 - CTY DRAGON AGROCHEM - CHESSIN 600WP (Bột trắng ngà) - 80gr - 100</v>
      </c>
      <c r="E6061" s="87" t="str">
        <f>IFERROR(__xludf.DUMMYFUNCTION("""COMPUTED_VALUE"""),"CHESSIN 600WP")</f>
        <v>CHESSIN 600WP</v>
      </c>
      <c r="F6061" s="87" t="str">
        <f>IFERROR(__xludf.DUMMYFUNCTION("""COMPUTED_VALUE"""),"HH4689")</f>
        <v>HH4689</v>
      </c>
      <c r="G6061" s="87" t="str">
        <f>IFERROR(__xludf.DUMMYFUNCTION("""COMPUTED_VALUE"""),"GC - V - 4689 - CTY DRAGON AGROCHEM - CHESSIN 600WP (Bột trắng ngà) - 80gr - 100")</f>
        <v>GC - V - 4689 - CTY DRAGON AGROCHEM - CHESSIN 600WP (Bột trắng ngà) - 80gr - 100</v>
      </c>
    </row>
    <row r="6062">
      <c r="A6062" s="86">
        <f>IFERROR(__xludf.DUMMYFUNCTION("""COMPUTED_VALUE"""),6060.0)</f>
        <v>6060</v>
      </c>
      <c r="B6062" s="87" t="str">
        <f>IFERROR(__xludf.DUMMYFUNCTION("""COMPUTED_VALUE"""),"[Nhãn]")</f>
        <v>[Nhãn]</v>
      </c>
      <c r="C6062" s="87" t="str">
        <f>IFERROR(__xludf.DUMMYFUNCTION("""COMPUTED_VALUE"""),"NHG5049")</f>
        <v>NHG5049</v>
      </c>
      <c r="D6062" s="87" t="str">
        <f>IFERROR(__xludf.DUMMYFUNCTION("""COMPUTED_VALUE"""),"[Nhãn] GC - V - 5049 - CTY GNH - Ra Rễ Nở Bụi (Nước nâu đen) - 1L - 20")</f>
        <v>[Nhãn] GC - V - 5049 - CTY GNH - Ra Rễ Nở Bụi (Nước nâu đen) - 1L - 20</v>
      </c>
      <c r="E6062" s="87" t="str">
        <f>IFERROR(__xludf.DUMMYFUNCTION("""COMPUTED_VALUE"""),"Vi lượng Quantity New")</f>
        <v>Vi lượng Quantity New</v>
      </c>
      <c r="F6062" s="87" t="str">
        <f>IFERROR(__xludf.DUMMYFUNCTION("""COMPUTED_VALUE"""),"HH5049")</f>
        <v>HH5049</v>
      </c>
      <c r="G6062" s="87" t="str">
        <f>IFERROR(__xludf.DUMMYFUNCTION("""COMPUTED_VALUE"""),"GC - V - 5049 - CTY GNH - Ra Rễ Nở Bụi (Nước nâu đen) - 1L - 20")</f>
        <v>GC - V - 5049 - CTY GNH - Ra Rễ Nở Bụi (Nước nâu đen) - 1L - 20</v>
      </c>
    </row>
    <row r="6063">
      <c r="A6063" s="86">
        <f>IFERROR(__xludf.DUMMYFUNCTION("""COMPUTED_VALUE"""),6061.0)</f>
        <v>6061</v>
      </c>
      <c r="B6063" s="87" t="str">
        <f>IFERROR(__xludf.DUMMYFUNCTION("""COMPUTED_VALUE"""),"[Nhãn]")</f>
        <v>[Nhãn]</v>
      </c>
      <c r="C6063" s="87" t="str">
        <f>IFERROR(__xludf.DUMMYFUNCTION("""COMPUTED_VALUE"""),"NTN5051")</f>
        <v>NTN5051</v>
      </c>
      <c r="D6063" s="87" t="str">
        <f>IFERROR(__xludf.DUMMYFUNCTION("""COMPUTED_VALUE"""),"[Nhãn] GC - V - 5051 - NHP GROUP - MANCOBGO 80WP (Bột xanh) - 1kg - 20")</f>
        <v>[Nhãn] GC - V - 5051 - NHP GROUP - MANCOBGO 80WP (Bột xanh) - 1kg - 20</v>
      </c>
      <c r="E6063" s="87" t="str">
        <f>IFERROR(__xludf.DUMMYFUNCTION("""COMPUTED_VALUE"""),"MANCOBGO 80WP")</f>
        <v>MANCOBGO 80WP</v>
      </c>
      <c r="F6063" s="87" t="str">
        <f>IFERROR(__xludf.DUMMYFUNCTION("""COMPUTED_VALUE"""),"HH5051")</f>
        <v>HH5051</v>
      </c>
      <c r="G6063" s="87" t="str">
        <f>IFERROR(__xludf.DUMMYFUNCTION("""COMPUTED_VALUE"""),"GC - V - 5051 - NHP GROUP - MANCOBGO 80WP (Bột xanh) - 1kg - 20")</f>
        <v>GC - V - 5051 - NHP GROUP - MANCOBGO 80WP (Bột xanh) - 1kg - 20</v>
      </c>
    </row>
    <row r="6064">
      <c r="A6064" s="86">
        <f>IFERROR(__xludf.DUMMYFUNCTION("""COMPUTED_VALUE"""),6062.0)</f>
        <v>6062</v>
      </c>
      <c r="B6064" s="87" t="str">
        <f>IFERROR(__xludf.DUMMYFUNCTION("""COMPUTED_VALUE"""),"[Nhãn Thùng]")</f>
        <v>[Nhãn Thùng]</v>
      </c>
      <c r="C6064" s="87" t="str">
        <f>IFERROR(__xludf.DUMMYFUNCTION("""COMPUTED_VALUE"""),"NDT5051")</f>
        <v>NDT5051</v>
      </c>
      <c r="D6064" s="87" t="str">
        <f>IFERROR(__xludf.DUMMYFUNCTION("""COMPUTED_VALUE"""),"[Nhãn Thùng] GC - V - 5051 - NHP GROUP - MANCOBGO 80WP (Bột xanh) - 1kg - 20")</f>
        <v>[Nhãn Thùng] GC - V - 5051 - NHP GROUP - MANCOBGO 80WP (Bột xanh) - 1kg - 20</v>
      </c>
      <c r="E6064" s="87" t="str">
        <f>IFERROR(__xludf.DUMMYFUNCTION("""COMPUTED_VALUE"""),"MANCOBGO 80WP")</f>
        <v>MANCOBGO 80WP</v>
      </c>
      <c r="F6064" s="87" t="str">
        <f>IFERROR(__xludf.DUMMYFUNCTION("""COMPUTED_VALUE"""),"HH5051")</f>
        <v>HH5051</v>
      </c>
      <c r="G6064" s="87" t="str">
        <f>IFERROR(__xludf.DUMMYFUNCTION("""COMPUTED_VALUE"""),"GC - V - 5051 - NHP GROUP - MANCOBGO 80WP (Bột xanh) - 1kg - 20")</f>
        <v>GC - V - 5051 - NHP GROUP - MANCOBGO 80WP (Bột xanh) - 1kg - 20</v>
      </c>
    </row>
    <row r="6065">
      <c r="A6065" s="86">
        <f>IFERROR(__xludf.DUMMYFUNCTION("""COMPUTED_VALUE"""),6063.0)</f>
        <v>6063</v>
      </c>
      <c r="B6065" s="87" t="str">
        <f>IFERROR(__xludf.DUMMYFUNCTION("""COMPUTED_VALUE"""),"[Nhãn]")</f>
        <v>[Nhãn]</v>
      </c>
      <c r="C6065" s="87" t="str">
        <f>IFERROR(__xludf.DUMMYFUNCTION("""COMPUTED_VALUE"""),"NHG5046")</f>
        <v>NHG5046</v>
      </c>
      <c r="D6065" s="87" t="str">
        <f>IFERROR(__xludf.DUMMYFUNCTION("""COMPUTED_VALUE"""),"[Nhãn] GC - V - 5046 - CTY HÓA NÔNG CON ONG VÀNG - VÔ GẠO ONG VÀNG (Nước trắng sữa) - 500ml - 40")</f>
        <v>[Nhãn] GC - V - 5046 - CTY HÓA NÔNG CON ONG VÀNG - VÔ GẠO ONG VÀNG (Nước trắng sữa) - 500ml - 40</v>
      </c>
      <c r="E6065" s="87" t="str">
        <f>IFERROR(__xludf.DUMMYFUNCTION("""COMPUTED_VALUE"""),"Lá PK-Vi lượng SV 5-18")</f>
        <v>Lá PK-Vi lượng SV 5-18</v>
      </c>
      <c r="F6065" s="87" t="str">
        <f>IFERROR(__xludf.DUMMYFUNCTION("""COMPUTED_VALUE"""),"HH5046")</f>
        <v>HH5046</v>
      </c>
      <c r="G6065" s="87" t="str">
        <f>IFERROR(__xludf.DUMMYFUNCTION("""COMPUTED_VALUE"""),"GC - V - 5046 - CTY HÓA NÔNG CON ONG VÀNG - VÔ GẠO ONG VÀNG (Nước trắng sữa) - 500ml - 40")</f>
        <v>GC - V - 5046 - CTY HÓA NÔNG CON ONG VÀNG - VÔ GẠO ONG VÀNG (Nước trắng sữa) - 500ml - 40</v>
      </c>
    </row>
    <row r="6066">
      <c r="A6066" s="86">
        <f>IFERROR(__xludf.DUMMYFUNCTION("""COMPUTED_VALUE"""),6064.0)</f>
        <v>6064</v>
      </c>
      <c r="B6066" s="87" t="str">
        <f>IFERROR(__xludf.DUMMYFUNCTION("""COMPUTED_VALUE"""),"[Nhãn]")</f>
        <v>[Nhãn]</v>
      </c>
      <c r="C6066" s="87" t="str">
        <f>IFERROR(__xludf.DUMMYFUNCTION("""COMPUTED_VALUE"""),"NHG5052")</f>
        <v>NHG5052</v>
      </c>
      <c r="D6066" s="87" t="str">
        <f>IFERROR(__xludf.DUMMYFUNCTION("""COMPUTED_VALUE"""),"[Nhãn] GC - V - 5052 - HÓA NÔNG SHINO - CỨNG CÂY D345 (Nước nâu đen) - 450ml - 30")</f>
        <v>[Nhãn] GC - V - 5052 - HÓA NÔNG SHINO - CỨNG CÂY D345 (Nước nâu đen) - 450ml - 30</v>
      </c>
      <c r="E6066" s="87" t="str">
        <f>IFERROR(__xludf.DUMMYFUNCTION("""COMPUTED_VALUE"""),"Vi Lượng G.A 05")</f>
        <v>Vi Lượng G.A 05</v>
      </c>
      <c r="F6066" s="87" t="str">
        <f>IFERROR(__xludf.DUMMYFUNCTION("""COMPUTED_VALUE"""),"HH5052")</f>
        <v>HH5052</v>
      </c>
      <c r="G6066" s="87" t="str">
        <f>IFERROR(__xludf.DUMMYFUNCTION("""COMPUTED_VALUE"""),"GC - V - 5052 - HÓA NÔNG SHINO - CỨNG CÂY D345 (Nước nâu đen) - 450ml - 30")</f>
        <v>GC - V - 5052 - HÓA NÔNG SHINO - CỨNG CÂY D345 (Nước nâu đen) - 450ml - 30</v>
      </c>
    </row>
    <row r="6067">
      <c r="A6067" s="86">
        <f>IFERROR(__xludf.DUMMYFUNCTION("""COMPUTED_VALUE"""),6065.0)</f>
        <v>6065</v>
      </c>
      <c r="B6067" s="87" t="str">
        <f>IFERROR(__xludf.DUMMYFUNCTION("""COMPUTED_VALUE"""),"[Nhãn]")</f>
        <v>[Nhãn]</v>
      </c>
      <c r="C6067" s="87" t="str">
        <f>IFERROR(__xludf.DUMMYFUNCTION("""COMPUTED_VALUE"""),"NHD5035")</f>
        <v>NHD5035</v>
      </c>
      <c r="D6067" s="87" t="str">
        <f>IFERROR(__xludf.DUMMYFUNCTION("""COMPUTED_VALUE"""),"[Nhãn] GC - V - 5035 - CTY USAFARM - NPP Hi-ROOTS (Nước nâu đen) - 5L - 4")</f>
        <v>[Nhãn] GC - V - 5035 - CTY USAFARM - NPP Hi-ROOTS (Nước nâu đen) - 5L - 4</v>
      </c>
      <c r="E6067" s="87" t="str">
        <f>IFERROR(__xludf.DUMMYFUNCTION("""COMPUTED_VALUE"""),"Hữu cơ SH Agro Organic Fertilizer 20")</f>
        <v>Hữu cơ SH Agro Organic Fertilizer 20</v>
      </c>
      <c r="F6067" s="87" t="str">
        <f>IFERROR(__xludf.DUMMYFUNCTION("""COMPUTED_VALUE"""),"HH5035")</f>
        <v>HH5035</v>
      </c>
      <c r="G6067" s="87" t="str">
        <f>IFERROR(__xludf.DUMMYFUNCTION("""COMPUTED_VALUE"""),"GC - V - 5035 - CTY USAFARM - NPP Hi-ROOTS (Nước nâu đen) - 5L - 4")</f>
        <v>GC - V - 5035 - CTY USAFARM - NPP Hi-ROOTS (Nước nâu đen) - 5L - 4</v>
      </c>
    </row>
    <row r="6068">
      <c r="A6068" s="86">
        <f>IFERROR(__xludf.DUMMYFUNCTION("""COMPUTED_VALUE"""),6066.0)</f>
        <v>6066</v>
      </c>
      <c r="B6068" s="87" t="str">
        <f>IFERROR(__xludf.DUMMYFUNCTION("""COMPUTED_VALUE"""),"[Nhãn Thùng]")</f>
        <v>[Nhãn Thùng]</v>
      </c>
      <c r="C6068" s="87" t="str">
        <f>IFERROR(__xludf.DUMMYFUNCTION("""COMPUTED_VALUE"""),"NDT5035")</f>
        <v>NDT5035</v>
      </c>
      <c r="D6068" s="87" t="str">
        <f>IFERROR(__xludf.DUMMYFUNCTION("""COMPUTED_VALUE"""),"[Nhãn Thùng] GC - V - 5035 - CTY USAFARM - NPP Hi-ROOTS (Nước nâu đen) - 5L - 4")</f>
        <v>[Nhãn Thùng] GC - V - 5035 - CTY USAFARM - NPP Hi-ROOTS (Nước nâu đen) - 5L - 4</v>
      </c>
      <c r="E6068" s="87" t="str">
        <f>IFERROR(__xludf.DUMMYFUNCTION("""COMPUTED_VALUE"""),"Hữu cơ SH Agro Organic Fertilizer 20")</f>
        <v>Hữu cơ SH Agro Organic Fertilizer 20</v>
      </c>
      <c r="F6068" s="87" t="str">
        <f>IFERROR(__xludf.DUMMYFUNCTION("""COMPUTED_VALUE"""),"HH5035")</f>
        <v>HH5035</v>
      </c>
      <c r="G6068" s="87" t="str">
        <f>IFERROR(__xludf.DUMMYFUNCTION("""COMPUTED_VALUE"""),"GC - V - 5035 - CTY USAFARM - NPP Hi-ROOTS (Nước nâu đen) - 5L - 4")</f>
        <v>GC - V - 5035 - CTY USAFARM - NPP Hi-ROOTS (Nước nâu đen) - 5L - 4</v>
      </c>
    </row>
    <row r="6069">
      <c r="A6069" s="86">
        <f>IFERROR(__xludf.DUMMYFUNCTION("""COMPUTED_VALUE"""),6067.0)</f>
        <v>6067</v>
      </c>
      <c r="B6069" s="87" t="str">
        <f>IFERROR(__xludf.DUMMYFUNCTION("""COMPUTED_VALUE"""),"[Nhãn]")</f>
        <v>[Nhãn]</v>
      </c>
      <c r="C6069" s="87" t="str">
        <f>IFERROR(__xludf.DUMMYFUNCTION("""COMPUTED_VALUE"""),"NHG5065")</f>
        <v>NHG5065</v>
      </c>
      <c r="D6069" s="87" t="str">
        <f>IFERROR(__xludf.DUMMYFUNCTION("""COMPUTED_VALUE"""),"[Nhãn] GC - V - 5065 - AGRITECH - AGRI STOP (Nước nâu đen) - 1L - 20")</f>
        <v>[Nhãn] GC - V - 5065 - AGRITECH - AGRI STOP (Nước nâu đen) - 1L - 20</v>
      </c>
      <c r="E6069" s="87" t="str">
        <f>IFERROR(__xludf.DUMMYFUNCTION("""COMPUTED_VALUE"""),"Vi lượng Quantity New")</f>
        <v>Vi lượng Quantity New</v>
      </c>
      <c r="F6069" s="87" t="str">
        <f>IFERROR(__xludf.DUMMYFUNCTION("""COMPUTED_VALUE"""),"HH5065")</f>
        <v>HH5065</v>
      </c>
      <c r="G6069" s="87" t="str">
        <f>IFERROR(__xludf.DUMMYFUNCTION("""COMPUTED_VALUE"""),"GC - V - 5065 - AGRITECH - AGRI STOP (Nước nâu đen) - 1L - 20")</f>
        <v>GC - V - 5065 - AGRITECH - AGRI STOP (Nước nâu đen) - 1L - 20</v>
      </c>
    </row>
    <row r="6070">
      <c r="A6070" s="86">
        <f>IFERROR(__xludf.DUMMYFUNCTION("""COMPUTED_VALUE"""),6068.0)</f>
        <v>6068</v>
      </c>
      <c r="B6070" s="87" t="str">
        <f>IFERROR(__xludf.DUMMYFUNCTION("""COMPUTED_VALUE"""),"[Nhãn]")</f>
        <v>[Nhãn]</v>
      </c>
      <c r="C6070" s="87" t="str">
        <f>IFERROR(__xludf.DUMMYFUNCTION("""COMPUTED_VALUE"""),"NHG5066")</f>
        <v>NHG5066</v>
      </c>
      <c r="D6070" s="87" t="str">
        <f>IFERROR(__xludf.DUMMYFUNCTION("""COMPUTED_VALUE"""),"[Nhãn] GC - V - 5066 - AGRITECH - AGRI STOP (Nước nâu đen) - 1L - 20")</f>
        <v>[Nhãn] GC - V - 5066 - AGRITECH - AGRI STOP (Nước nâu đen) - 1L - 20</v>
      </c>
      <c r="E6070" s="87" t="str">
        <f>IFERROR(__xludf.DUMMYFUNCTION("""COMPUTED_VALUE"""),"Vi lượng Quantity New")</f>
        <v>Vi lượng Quantity New</v>
      </c>
      <c r="F6070" s="87" t="str">
        <f>IFERROR(__xludf.DUMMYFUNCTION("""COMPUTED_VALUE"""),"HH5066")</f>
        <v>HH5066</v>
      </c>
      <c r="G6070" s="87" t="str">
        <f>IFERROR(__xludf.DUMMYFUNCTION("""COMPUTED_VALUE"""),"GC - V - 5066 - AGRITECH - AGRI STOP (Nước nâu đen) - 1L - 20")</f>
        <v>GC - V - 5066 - AGRITECH - AGRI STOP (Nước nâu đen) - 1L - 20</v>
      </c>
    </row>
    <row r="6071">
      <c r="A6071" s="86">
        <f>IFERROR(__xludf.DUMMYFUNCTION("""COMPUTED_VALUE"""),6069.0)</f>
        <v>6069</v>
      </c>
      <c r="B6071" s="87" t="str">
        <f>IFERROR(__xludf.DUMMYFUNCTION("""COMPUTED_VALUE"""),"[Nhãn]")</f>
        <v>[Nhãn]</v>
      </c>
      <c r="C6071" s="87" t="str">
        <f>IFERROR(__xludf.DUMMYFUNCTION("""COMPUTED_VALUE"""),"NHG5063")</f>
        <v>NHG5063</v>
      </c>
      <c r="D6071" s="87" t="str">
        <f>IFERROR(__xludf.DUMMYFUNCTION("""COMPUTED_VALUE"""),"[Nhãn] IDA Global - I - 5063 - Cty Agronet - Genol 1.2SL (Nước đỏ) - 350ml - 40")</f>
        <v>[Nhãn] IDA Global - I - 5063 - Cty Agronet - Genol 1.2SL (Nước đỏ) - 350ml - 40</v>
      </c>
      <c r="E6071" s="87" t="str">
        <f>IFERROR(__xludf.DUMMYFUNCTION("""COMPUTED_VALUE"""),"GENOL 1.2SL")</f>
        <v>GENOL 1.2SL</v>
      </c>
      <c r="F6071" s="87" t="str">
        <f>IFERROR(__xludf.DUMMYFUNCTION("""COMPUTED_VALUE"""),"HH5063")</f>
        <v>HH5063</v>
      </c>
      <c r="G6071" s="87" t="str">
        <f>IFERROR(__xludf.DUMMYFUNCTION("""COMPUTED_VALUE"""),"IDA Global - I - 5063 - Cty Agronet - Genol 1.2SL (Nước đỏ) - 350ml - 40")</f>
        <v>IDA Global - I - 5063 - Cty Agronet - Genol 1.2SL (Nước đỏ) - 350ml - 40</v>
      </c>
    </row>
    <row r="6072">
      <c r="A6072" s="86">
        <f>IFERROR(__xludf.DUMMYFUNCTION("""COMPUTED_VALUE"""),6070.0)</f>
        <v>6070</v>
      </c>
      <c r="B6072" s="87" t="str">
        <f>IFERROR(__xludf.DUMMYFUNCTION("""COMPUTED_VALUE"""),"[Nhãn]")</f>
        <v>[Nhãn]</v>
      </c>
      <c r="C6072" s="87" t="str">
        <f>IFERROR(__xludf.DUMMYFUNCTION("""COMPUTED_VALUE"""),"NHD5062")</f>
        <v>NHD5062</v>
      </c>
      <c r="D6072" s="87" t="str">
        <f>IFERROR(__xludf.DUMMYFUNCTION("""COMPUTED_VALUE"""),"[Nhãn] GC - X - 5062 - CTY USAFARM - NPP Hi-ROOTS (Nước nâu đen) - 5L - 4")</f>
        <v>[Nhãn] GC - X - 5062 - CTY USAFARM - NPP Hi-ROOTS (Nước nâu đen) - 5L - 4</v>
      </c>
      <c r="E6072" s="87" t="str">
        <f>IFERROR(__xludf.DUMMYFUNCTION("""COMPUTED_VALUE"""),"Hữu Cơ PBHC ABA Organic Fertilizer 20")</f>
        <v>Hữu Cơ PBHC ABA Organic Fertilizer 20</v>
      </c>
      <c r="F6072" s="87" t="str">
        <f>IFERROR(__xludf.DUMMYFUNCTION("""COMPUTED_VALUE"""),"HH5062")</f>
        <v>HH5062</v>
      </c>
      <c r="G6072" s="87" t="str">
        <f>IFERROR(__xludf.DUMMYFUNCTION("""COMPUTED_VALUE"""),"GC - X - 5062 - CTY USAFARM - NPP Hi-ROOTS (Nước nâu đen) - 5L - 4")</f>
        <v>GC - X - 5062 - CTY USAFARM - NPP Hi-ROOTS (Nước nâu đen) - 5L - 4</v>
      </c>
    </row>
    <row r="6073">
      <c r="A6073" s="86">
        <f>IFERROR(__xludf.DUMMYFUNCTION("""COMPUTED_VALUE"""),6071.0)</f>
        <v>6071</v>
      </c>
      <c r="B6073" s="87" t="str">
        <f>IFERROR(__xludf.DUMMYFUNCTION("""COMPUTED_VALUE"""),"[Nhãn Thùng]")</f>
        <v>[Nhãn Thùng]</v>
      </c>
      <c r="C6073" s="87" t="str">
        <f>IFERROR(__xludf.DUMMYFUNCTION("""COMPUTED_VALUE"""),"NDT5062")</f>
        <v>NDT5062</v>
      </c>
      <c r="D6073" s="87" t="str">
        <f>IFERROR(__xludf.DUMMYFUNCTION("""COMPUTED_VALUE"""),"[Nhãn Thùng] GC - X - 5062 - CTY USAFARM - NPP Hi-ROOTS (Nước nâu đen) - 5L - 4")</f>
        <v>[Nhãn Thùng] GC - X - 5062 - CTY USAFARM - NPP Hi-ROOTS (Nước nâu đen) - 5L - 4</v>
      </c>
      <c r="E6073" s="87" t="str">
        <f>IFERROR(__xludf.DUMMYFUNCTION("""COMPUTED_VALUE"""),"Hữu Cơ PBHC ABA Organic Fertilizer 20")</f>
        <v>Hữu Cơ PBHC ABA Organic Fertilizer 20</v>
      </c>
      <c r="F6073" s="87" t="str">
        <f>IFERROR(__xludf.DUMMYFUNCTION("""COMPUTED_VALUE"""),"HH5062")</f>
        <v>HH5062</v>
      </c>
      <c r="G6073" s="87" t="str">
        <f>IFERROR(__xludf.DUMMYFUNCTION("""COMPUTED_VALUE"""),"GC - X - 5062 - CTY USAFARM - NPP Hi-ROOTS (Nước nâu đen) - 5L - 4")</f>
        <v>GC - X - 5062 - CTY USAFARM - NPP Hi-ROOTS (Nước nâu đen) - 5L - 4</v>
      </c>
    </row>
    <row r="6074">
      <c r="A6074" s="86">
        <f>IFERROR(__xludf.DUMMYFUNCTION("""COMPUTED_VALUE"""),6072.0)</f>
        <v>6072</v>
      </c>
      <c r="B6074" s="87" t="str">
        <f>IFERROR(__xludf.DUMMYFUNCTION("""COMPUTED_VALUE"""),"[Nhãn]")</f>
        <v>[Nhãn]</v>
      </c>
      <c r="C6074" s="87" t="str">
        <f>IFERROR(__xludf.DUMMYFUNCTION("""COMPUTED_VALUE"""),"NHG5061")</f>
        <v>NHG5061</v>
      </c>
      <c r="D6074" s="87" t="str">
        <f>IFERROR(__xludf.DUMMYFUNCTION("""COMPUTED_VALUE"""),"[Nhãn] GC - V - 5061 - CTY OLYMPUS - CITTIZEN 333SC (Nước cam sữa) - 250ml - 40")</f>
        <v>[Nhãn] GC - V - 5061 - CTY OLYMPUS - CITTIZEN 333SC (Nước cam sữa) - 250ml - 40</v>
      </c>
      <c r="E6074" s="87" t="str">
        <f>IFERROR(__xludf.DUMMYFUNCTION("""COMPUTED_VALUE"""),"CITTIZEN 333SC")</f>
        <v>CITTIZEN 333SC</v>
      </c>
      <c r="F6074" s="87" t="str">
        <f>IFERROR(__xludf.DUMMYFUNCTION("""COMPUTED_VALUE"""),"HH5061")</f>
        <v>HH5061</v>
      </c>
      <c r="G6074" s="87" t="str">
        <f>IFERROR(__xludf.DUMMYFUNCTION("""COMPUTED_VALUE"""),"GC - V - 5061 - CTY OLYMPUS - CITTIZEN 333SC (Nước cam sữa) - 250ml - 40")</f>
        <v>GC - V - 5061 - CTY OLYMPUS - CITTIZEN 333SC (Nước cam sữa) - 250ml - 40</v>
      </c>
    </row>
    <row r="6075">
      <c r="A6075" s="86">
        <f>IFERROR(__xludf.DUMMYFUNCTION("""COMPUTED_VALUE"""),6073.0)</f>
        <v>6073</v>
      </c>
      <c r="B6075" s="87" t="str">
        <f>IFERROR(__xludf.DUMMYFUNCTION("""COMPUTED_VALUE"""),"[Nhãn Thùng]")</f>
        <v>[Nhãn Thùng]</v>
      </c>
      <c r="C6075" s="87" t="str">
        <f>IFERROR(__xludf.DUMMYFUNCTION("""COMPUTED_VALUE"""),"NDT5061")</f>
        <v>NDT5061</v>
      </c>
      <c r="D6075" s="87" t="str">
        <f>IFERROR(__xludf.DUMMYFUNCTION("""COMPUTED_VALUE"""),"[Nhãn Thùng] GC - V - 5061 - CTY OLYMPUS - CITTIZEN 333SC (Nước cam sữa) - 250ml - 40")</f>
        <v>[Nhãn Thùng] GC - V - 5061 - CTY OLYMPUS - CITTIZEN 333SC (Nước cam sữa) - 250ml - 40</v>
      </c>
      <c r="E6075" s="87" t="str">
        <f>IFERROR(__xludf.DUMMYFUNCTION("""COMPUTED_VALUE"""),"CITTIZEN 333SC")</f>
        <v>CITTIZEN 333SC</v>
      </c>
      <c r="F6075" s="87" t="str">
        <f>IFERROR(__xludf.DUMMYFUNCTION("""COMPUTED_VALUE"""),"HH5061")</f>
        <v>HH5061</v>
      </c>
      <c r="G6075" s="87" t="str">
        <f>IFERROR(__xludf.DUMMYFUNCTION("""COMPUTED_VALUE"""),"GC - V - 5061 - CTY OLYMPUS - CITTIZEN 333SC (Nước cam sữa) - 250ml - 40")</f>
        <v>GC - V - 5061 - CTY OLYMPUS - CITTIZEN 333SC (Nước cam sữa) - 250ml - 40</v>
      </c>
    </row>
    <row r="6076">
      <c r="A6076" s="86">
        <f>IFERROR(__xludf.DUMMYFUNCTION("""COMPUTED_VALUE"""),6074.0)</f>
        <v>6074</v>
      </c>
      <c r="B6076" s="87" t="str">
        <f>IFERROR(__xludf.DUMMYFUNCTION("""COMPUTED_VALUE"""),"[Nhãn]")</f>
        <v>[Nhãn]</v>
      </c>
      <c r="C6076" s="87" t="str">
        <f>IFERROR(__xludf.DUMMYFUNCTION("""COMPUTED_VALUE"""),"NHG5050")</f>
        <v>NHG5050</v>
      </c>
      <c r="D6076" s="87" t="str">
        <f>IFERROR(__xludf.DUMMYFUNCTION("""COMPUTED_VALUE"""),"[Nhãn] GC - V - 5050 - AGRITECH -  ZINC CHELATE (Dạng SC - Xanh lá) - 500ml - 40")</f>
        <v>[Nhãn] GC - V - 5050 - AGRITECH -  ZINC CHELATE (Dạng SC - Xanh lá) - 500ml - 40</v>
      </c>
      <c r="E6076" s="87" t="str">
        <f>IFERROR(__xludf.DUMMYFUNCTION("""COMPUTED_VALUE"""),"Vi lượng MICKEY")</f>
        <v>Vi lượng MICKEY</v>
      </c>
      <c r="F6076" s="87" t="str">
        <f>IFERROR(__xludf.DUMMYFUNCTION("""COMPUTED_VALUE"""),"HH5050")</f>
        <v>HH5050</v>
      </c>
      <c r="G6076" s="87" t="str">
        <f>IFERROR(__xludf.DUMMYFUNCTION("""COMPUTED_VALUE"""),"GC - V - 5050 - AGRITECH -  ZINC CHELATE (Dạng SC - Xanh lá) - 500ml - 40")</f>
        <v>GC - V - 5050 - AGRITECH -  ZINC CHELATE (Dạng SC - Xanh lá) - 500ml - 40</v>
      </c>
    </row>
    <row r="6077">
      <c r="A6077" s="86">
        <f>IFERROR(__xludf.DUMMYFUNCTION("""COMPUTED_VALUE"""),6075.0)</f>
        <v>6075</v>
      </c>
      <c r="B6077" s="87" t="str">
        <f>IFERROR(__xludf.DUMMYFUNCTION("""COMPUTED_VALUE"""),"[Nhãn]")</f>
        <v>[Nhãn]</v>
      </c>
      <c r="C6077" s="87" t="str">
        <f>IFERROR(__xludf.DUMMYFUNCTION("""COMPUTED_VALUE"""),"NHG5064")</f>
        <v>NHG5064</v>
      </c>
      <c r="D6077" s="87" t="str">
        <f>IFERROR(__xludf.DUMMYFUNCTION("""COMPUTED_VALUE"""),"[Nhãn] GC - X - 5064 - CTY USAFARM - CASEMIN US80 (Nước nâu đen) - 500ml - 40")</f>
        <v>[Nhãn] GC - X - 5064 - CTY USAFARM - CASEMIN US80 (Nước nâu đen) - 500ml - 40</v>
      </c>
      <c r="E6077" s="87" t="str">
        <f>IFERROR(__xludf.DUMMYFUNCTION("""COMPUTED_VALUE"""),"Hữu cơ Casemin Us80")</f>
        <v>Hữu cơ Casemin Us80</v>
      </c>
      <c r="F6077" s="87" t="str">
        <f>IFERROR(__xludf.DUMMYFUNCTION("""COMPUTED_VALUE"""),"HH5064")</f>
        <v>HH5064</v>
      </c>
      <c r="G6077" s="87" t="str">
        <f>IFERROR(__xludf.DUMMYFUNCTION("""COMPUTED_VALUE"""),"GC - X - 5064 - CTY USAFARM - CASEMIN US80 (Nước nâu đen) - 500ml - 40")</f>
        <v>GC - X - 5064 - CTY USAFARM - CASEMIN US80 (Nước nâu đen) - 500ml - 40</v>
      </c>
    </row>
    <row r="6078">
      <c r="A6078" s="86">
        <f>IFERROR(__xludf.DUMMYFUNCTION("""COMPUTED_VALUE"""),6076.0)</f>
        <v>6076</v>
      </c>
      <c r="B6078" s="87" t="str">
        <f>IFERROR(__xludf.DUMMYFUNCTION("""COMPUTED_VALUE"""),"[Nhãn]")</f>
        <v>[Nhãn]</v>
      </c>
      <c r="C6078" s="87" t="str">
        <f>IFERROR(__xludf.DUMMYFUNCTION("""COMPUTED_VALUE"""),"NHG5069")</f>
        <v>NHG5069</v>
      </c>
      <c r="D6078" s="87" t="str">
        <f>IFERROR(__xludf.DUMMYFUNCTION("""COMPUTED_VALUE"""),"[Nhãn] GC - X - 5069 - CTY TAGO - KALIBO ZN++ (Dạng SC - Trắng sữa) - 500ml - 40")</f>
        <v>[Nhãn] GC - X - 5069 - CTY TAGO - KALIBO ZN++ (Dạng SC - Trắng sữa) - 500ml - 40</v>
      </c>
      <c r="E6078" s="87" t="str">
        <f>IFERROR(__xludf.DUMMYFUNCTION("""COMPUTED_VALUE"""),"Lá PK-Vi lượng SV 5-18")</f>
        <v>Lá PK-Vi lượng SV 5-18</v>
      </c>
      <c r="F6078" s="87" t="str">
        <f>IFERROR(__xludf.DUMMYFUNCTION("""COMPUTED_VALUE"""),"HH5069")</f>
        <v>HH5069</v>
      </c>
      <c r="G6078" s="87" t="str">
        <f>IFERROR(__xludf.DUMMYFUNCTION("""COMPUTED_VALUE"""),"GC - X - 5069 - CTY TAGO - KALIBO ZN++ (Dạng SC - Trắng sữa) - 500ml - 40")</f>
        <v>GC - X - 5069 - CTY TAGO - KALIBO ZN++ (Dạng SC - Trắng sữa) - 500ml - 40</v>
      </c>
    </row>
    <row r="6079">
      <c r="A6079" s="86">
        <f>IFERROR(__xludf.DUMMYFUNCTION("""COMPUTED_VALUE"""),6077.0)</f>
        <v>6077</v>
      </c>
      <c r="B6079" s="87" t="str">
        <f>IFERROR(__xludf.DUMMYFUNCTION("""COMPUTED_VALUE"""),"[Nhãn]")</f>
        <v>[Nhãn]</v>
      </c>
      <c r="C6079" s="87" t="str">
        <f>IFERROR(__xludf.DUMMYFUNCTION("""COMPUTED_VALUE"""),"NHG5038")</f>
        <v>NHG5038</v>
      </c>
      <c r="D6079" s="87" t="str">
        <f>IFERROR(__xludf.DUMMYFUNCTION("""COMPUTED_VALUE"""),"[Nhãn] GC - X - 5038 - CTY ACE VN - BOCAXI (Nước trắng sữa) - 50ml - 100")</f>
        <v>[Nhãn] GC - X - 5038 - CTY ACE VN - BOCAXI (Nước trắng sữa) - 50ml - 100</v>
      </c>
      <c r="E6079" s="87" t="str">
        <f>IFERROR(__xludf.DUMMYFUNCTION("""COMPUTED_VALUE"""),"Vi lượng AGAMA-CANXI BO")</f>
        <v>Vi lượng AGAMA-CANXI BO</v>
      </c>
      <c r="F6079" s="87" t="str">
        <f>IFERROR(__xludf.DUMMYFUNCTION("""COMPUTED_VALUE"""),"HH5038")</f>
        <v>HH5038</v>
      </c>
      <c r="G6079" s="87" t="str">
        <f>IFERROR(__xludf.DUMMYFUNCTION("""COMPUTED_VALUE"""),"GC - X - 5038 - CTY ACE VN - BOCAXI (Nước trắng sữa) - 50ml - 100")</f>
        <v>GC - X - 5038 - CTY ACE VN - BOCAXI (Nước trắng sữa) - 50ml - 100</v>
      </c>
    </row>
    <row r="6080">
      <c r="A6080" s="86">
        <f>IFERROR(__xludf.DUMMYFUNCTION("""COMPUTED_VALUE"""),6078.0)</f>
        <v>6078</v>
      </c>
      <c r="B6080" s="87" t="str">
        <f>IFERROR(__xludf.DUMMYFUNCTION("""COMPUTED_VALUE"""),"[Nhãn]")</f>
        <v>[Nhãn]</v>
      </c>
      <c r="C6080" s="87" t="str">
        <f>IFERROR(__xludf.DUMMYFUNCTION("""COMPUTED_VALUE"""),"NHG5070")</f>
        <v>NHG5070</v>
      </c>
      <c r="D6080" s="87" t="str">
        <f>IFERROR(__xludf.DUMMYFUNCTION("""COMPUTED_VALUE"""),"[Nhãn] LOT IDA Global - I - 5070 - ĐL ÚT TÈO - IDA VIL (Xanh Lá) (Nước trắng) - 1L - 20")</f>
        <v>[Nhãn] LOT IDA Global - I - 5070 - ĐL ÚT TÈO - IDA VIL (Xanh Lá) (Nước trắng) - 1L - 20</v>
      </c>
      <c r="E6080" s="87" t="str">
        <f>IFERROR(__xludf.DUMMYFUNCTION("""COMPUTED_VALUE"""),"Mekongvil 5SC")</f>
        <v>Mekongvil 5SC</v>
      </c>
      <c r="F6080" s="87" t="str">
        <f>IFERROR(__xludf.DUMMYFUNCTION("""COMPUTED_VALUE"""),"HH5070")</f>
        <v>HH5070</v>
      </c>
      <c r="G6080" s="87" t="str">
        <f>IFERROR(__xludf.DUMMYFUNCTION("""COMPUTED_VALUE"""),"LOT IDA Global - I - 5070 - ĐL ÚT TÈO - IDA VIL (Xanh Lá) (Nước trắng) - 1L - 20")</f>
        <v>LOT IDA Global - I - 5070 - ĐL ÚT TÈO - IDA VIL (Xanh Lá) (Nước trắng) - 1L - 20</v>
      </c>
    </row>
    <row r="6081">
      <c r="A6081" s="86">
        <f>IFERROR(__xludf.DUMMYFUNCTION("""COMPUTED_VALUE"""),6079.0)</f>
        <v>6079</v>
      </c>
      <c r="B6081" s="87" t="str">
        <f>IFERROR(__xludf.DUMMYFUNCTION("""COMPUTED_VALUE"""),"[Nhãn]")</f>
        <v>[Nhãn]</v>
      </c>
      <c r="C6081" s="87" t="str">
        <f>IFERROR(__xludf.DUMMYFUNCTION("""COMPUTED_VALUE"""),"NHG5071")</f>
        <v>NHG5071</v>
      </c>
      <c r="D6081" s="87" t="str">
        <f>IFERROR(__xludf.DUMMYFUNCTION("""COMPUTED_VALUE"""),"[Nhãn] IDA Global - I - 5071 - ĐL LỆ HỒNG - MEKONGVIL 5SC (Nước trắng sữa) - 1L - 20")</f>
        <v>[Nhãn] IDA Global - I - 5071 - ĐL LỆ HỒNG - MEKONGVIL 5SC (Nước trắng sữa) - 1L - 20</v>
      </c>
      <c r="E6081" s="87" t="str">
        <f>IFERROR(__xludf.DUMMYFUNCTION("""COMPUTED_VALUE"""),"Mekongvil 5SC")</f>
        <v>Mekongvil 5SC</v>
      </c>
      <c r="F6081" s="87" t="str">
        <f>IFERROR(__xludf.DUMMYFUNCTION("""COMPUTED_VALUE"""),"HH5071")</f>
        <v>HH5071</v>
      </c>
      <c r="G6081" s="87" t="str">
        <f>IFERROR(__xludf.DUMMYFUNCTION("""COMPUTED_VALUE"""),"IDA Global - I - 5071 - ĐL LỆ HỒNG - MEKONGVIL 5SC (Nước trắng sữa) - 1L - 20")</f>
        <v>IDA Global - I - 5071 - ĐL LỆ HỒNG - MEKONGVIL 5SC (Nước trắng sữa) - 1L - 20</v>
      </c>
    </row>
    <row r="6082">
      <c r="A6082" s="86">
        <f>IFERROR(__xludf.DUMMYFUNCTION("""COMPUTED_VALUE"""),6080.0)</f>
        <v>6080</v>
      </c>
      <c r="B6082" s="87" t="str">
        <f>IFERROR(__xludf.DUMMYFUNCTION("""COMPUTED_VALUE"""),"[Nhãn]")</f>
        <v>[Nhãn]</v>
      </c>
      <c r="C6082" s="87" t="str">
        <f>IFERROR(__xludf.DUMMYFUNCTION("""COMPUTED_VALUE"""),"NHG5073")</f>
        <v>NHG5073</v>
      </c>
      <c r="D6082" s="87" t="str">
        <f>IFERROR(__xludf.DUMMYFUNCTION("""COMPUTED_VALUE"""),"[Nhãn] GC - V - 5073 - CTY TÂY NAM - SPIDER REX (Nước xanh lá) - 240ml - 40")</f>
        <v>[Nhãn] GC - V - 5073 - CTY TÂY NAM - SPIDER REX (Nước xanh lá) - 240ml - 40</v>
      </c>
      <c r="E6082" s="87" t="str">
        <f>IFERROR(__xludf.DUMMYFUNCTION("""COMPUTED_VALUE"""),"Chitin 3.6EC")</f>
        <v>Chitin 3.6EC</v>
      </c>
      <c r="F6082" s="87" t="str">
        <f>IFERROR(__xludf.DUMMYFUNCTION("""COMPUTED_VALUE"""),"HH5073")</f>
        <v>HH5073</v>
      </c>
      <c r="G6082" s="87" t="str">
        <f>IFERROR(__xludf.DUMMYFUNCTION("""COMPUTED_VALUE"""),"GC - V - 5073 - CTY TÂY NAM - SPIDER REX (Nước xanh lá) - 240ml - 40")</f>
        <v>GC - V - 5073 - CTY TÂY NAM - SPIDER REX (Nước xanh lá) - 240ml - 40</v>
      </c>
    </row>
    <row r="6083">
      <c r="A6083" s="86">
        <f>IFERROR(__xludf.DUMMYFUNCTION("""COMPUTED_VALUE"""),6081.0)</f>
        <v>6081</v>
      </c>
      <c r="B6083" s="87" t="str">
        <f>IFERROR(__xludf.DUMMYFUNCTION("""COMPUTED_VALUE"""),"[Nhãn Thùng]")</f>
        <v>[Nhãn Thùng]</v>
      </c>
      <c r="C6083" s="87" t="str">
        <f>IFERROR(__xludf.DUMMYFUNCTION("""COMPUTED_VALUE"""),"NDT5073")</f>
        <v>NDT5073</v>
      </c>
      <c r="D6083" s="87" t="str">
        <f>IFERROR(__xludf.DUMMYFUNCTION("""COMPUTED_VALUE"""),"[Nhãn Thùng] GC - V - 5073 - CTY TÂY NAM - SPIDER REX (Nước xanh lá) - 240ml - 40")</f>
        <v>[Nhãn Thùng] GC - V - 5073 - CTY TÂY NAM - SPIDER REX (Nước xanh lá) - 240ml - 40</v>
      </c>
      <c r="E6083" s="87" t="str">
        <f>IFERROR(__xludf.DUMMYFUNCTION("""COMPUTED_VALUE"""),"Chitin 3.6EC")</f>
        <v>Chitin 3.6EC</v>
      </c>
      <c r="F6083" s="87" t="str">
        <f>IFERROR(__xludf.DUMMYFUNCTION("""COMPUTED_VALUE"""),"HH5073")</f>
        <v>HH5073</v>
      </c>
      <c r="G6083" s="87" t="str">
        <f>IFERROR(__xludf.DUMMYFUNCTION("""COMPUTED_VALUE"""),"GC - V - 5073 - CTY TÂY NAM - SPIDER REX (Nước xanh lá) - 240ml - 40")</f>
        <v>GC - V - 5073 - CTY TÂY NAM - SPIDER REX (Nước xanh lá) - 240ml - 40</v>
      </c>
    </row>
    <row r="6084">
      <c r="A6084" s="86">
        <f>IFERROR(__xludf.DUMMYFUNCTION("""COMPUTED_VALUE"""),6082.0)</f>
        <v>6082</v>
      </c>
      <c r="B6084" s="87" t="str">
        <f>IFERROR(__xludf.DUMMYFUNCTION("""COMPUTED_VALUE"""),"[Nhãn]")</f>
        <v>[Nhãn]</v>
      </c>
      <c r="C6084" s="87" t="str">
        <f>IFERROR(__xludf.DUMMYFUNCTION("""COMPUTED_VALUE"""),"NTN4110")</f>
        <v>NTN4110</v>
      </c>
      <c r="D6084" s="87" t="str">
        <f>IFERROR(__xludf.DUMMYFUNCTION("""COMPUTED_VALUE"""),"[Nhãn] GC - V - 4110 - SEN HỒNG - ĐỤC THÂN NEW (Bột trắng ngà) - 100gr - 100")</f>
        <v>[Nhãn] GC - V - 4110 - SEN HỒNG - ĐỤC THÂN NEW (Bột trắng ngà) - 100gr - 100</v>
      </c>
      <c r="E6084" s="87" t="str">
        <f>IFERROR(__xludf.DUMMYFUNCTION("""COMPUTED_VALUE"""),"FORVIN 85WP")</f>
        <v>FORVIN 85WP</v>
      </c>
      <c r="F6084" s="87" t="str">
        <f>IFERROR(__xludf.DUMMYFUNCTION("""COMPUTED_VALUE"""),"HH4110")</f>
        <v>HH4110</v>
      </c>
      <c r="G6084" s="87" t="str">
        <f>IFERROR(__xludf.DUMMYFUNCTION("""COMPUTED_VALUE"""),"GC - V - 4110 - SEN HỒNG - ĐỤC THÂN NEW (Bột trắng ngà) - 100gr - 100")</f>
        <v>GC - V - 4110 - SEN HỒNG - ĐỤC THÂN NEW (Bột trắng ngà) - 100gr - 100</v>
      </c>
    </row>
    <row r="6085">
      <c r="A6085" s="86">
        <f>IFERROR(__xludf.DUMMYFUNCTION("""COMPUTED_VALUE"""),6083.0)</f>
        <v>6083</v>
      </c>
      <c r="B6085" s="87" t="str">
        <f>IFERROR(__xludf.DUMMYFUNCTION("""COMPUTED_VALUE"""),"[Nhãn Thùng]")</f>
        <v>[Nhãn Thùng]</v>
      </c>
      <c r="C6085" s="87" t="str">
        <f>IFERROR(__xludf.DUMMYFUNCTION("""COMPUTED_VALUE"""),"NDT4110")</f>
        <v>NDT4110</v>
      </c>
      <c r="D6085" s="87" t="str">
        <f>IFERROR(__xludf.DUMMYFUNCTION("""COMPUTED_VALUE"""),"[Nhãn Thùng] GC - V - 4110 - SEN HỒNG - ĐỤC THÂN NEW (Bột trắng ngà) - 100gr - 100")</f>
        <v>[Nhãn Thùng] GC - V - 4110 - SEN HỒNG - ĐỤC THÂN NEW (Bột trắng ngà) - 100gr - 100</v>
      </c>
      <c r="E6085" s="87" t="str">
        <f>IFERROR(__xludf.DUMMYFUNCTION("""COMPUTED_VALUE"""),"FORVIN 85WP")</f>
        <v>FORVIN 85WP</v>
      </c>
      <c r="F6085" s="87" t="str">
        <f>IFERROR(__xludf.DUMMYFUNCTION("""COMPUTED_VALUE"""),"HH4110")</f>
        <v>HH4110</v>
      </c>
      <c r="G6085" s="87" t="str">
        <f>IFERROR(__xludf.DUMMYFUNCTION("""COMPUTED_VALUE"""),"GC - V - 4110 - SEN HỒNG - ĐỤC THÂN NEW (Bột trắng ngà) - 100gr - 100")</f>
        <v>GC - V - 4110 - SEN HỒNG - ĐỤC THÂN NEW (Bột trắng ngà) - 100gr - 100</v>
      </c>
    </row>
    <row r="6086">
      <c r="A6086" s="86">
        <f>IFERROR(__xludf.DUMMYFUNCTION("""COMPUTED_VALUE"""),6084.0)</f>
        <v>6084</v>
      </c>
      <c r="B6086" s="87" t="str">
        <f>IFERROR(__xludf.DUMMYFUNCTION("""COMPUTED_VALUE"""),"[Nhãn]")</f>
        <v>[Nhãn]</v>
      </c>
      <c r="C6086" s="87" t="str">
        <f>IFERROR(__xludf.DUMMYFUNCTION("""COMPUTED_VALUE"""),"NHG5076")</f>
        <v>NHG5076</v>
      </c>
      <c r="D6086" s="87" t="str">
        <f>IFERROR(__xludf.DUMMYFUNCTION("""COMPUTED_VALUE"""),"[Nhãn] GC - V - 5076 - Cty Hóa Nông Shino - OC 666 (Nước nâu đen) - 450ml - 30")</f>
        <v>[Nhãn] GC - V - 5076 - Cty Hóa Nông Shino - OC 666 (Nước nâu đen) - 450ml - 30</v>
      </c>
      <c r="E6086" s="87" t="str">
        <f>IFERROR(__xludf.DUMMYFUNCTION("""COMPUTED_VALUE"""),"HAIHAMEC 3.6EC")</f>
        <v>HAIHAMEC 3.6EC</v>
      </c>
      <c r="F6086" s="87" t="str">
        <f>IFERROR(__xludf.DUMMYFUNCTION("""COMPUTED_VALUE"""),"HH5076")</f>
        <v>HH5076</v>
      </c>
      <c r="G6086" s="87" t="str">
        <f>IFERROR(__xludf.DUMMYFUNCTION("""COMPUTED_VALUE"""),"GC - V - 5076 - Cty Hóa Nông Shino - OC 666 (Nước nâu đen) - 450ml - 30")</f>
        <v>GC - V - 5076 - Cty Hóa Nông Shino - OC 666 (Nước nâu đen) - 450ml - 30</v>
      </c>
    </row>
    <row r="6087">
      <c r="A6087" s="86">
        <f>IFERROR(__xludf.DUMMYFUNCTION("""COMPUTED_VALUE"""),6085.0)</f>
        <v>6085</v>
      </c>
      <c r="B6087" s="87" t="str">
        <f>IFERROR(__xludf.DUMMYFUNCTION("""COMPUTED_VALUE"""),"[Nhãn]")</f>
        <v>[Nhãn]</v>
      </c>
      <c r="C6087" s="87" t="str">
        <f>IFERROR(__xludf.DUMMYFUNCTION("""COMPUTED_VALUE"""),"NHG5079")</f>
        <v>NHG5079</v>
      </c>
      <c r="D6087" s="87" t="str">
        <f>IFERROR(__xludf.DUMMYFUNCTION("""COMPUTED_VALUE"""),"[Nhãn] GC - V - 5079 - NHP GROUP - NHỆN ĐỎ (Nước tím) - 240ml - 40")</f>
        <v>[Nhãn] GC - V - 5079 - NHP GROUP - NHỆN ĐỎ (Nước tím) - 240ml - 40</v>
      </c>
      <c r="E6087" s="87" t="str">
        <f>IFERROR(__xludf.DUMMYFUNCTION("""COMPUTED_VALUE"""),"Chitin 3.6EC")</f>
        <v>Chitin 3.6EC</v>
      </c>
      <c r="F6087" s="87" t="str">
        <f>IFERROR(__xludf.DUMMYFUNCTION("""COMPUTED_VALUE"""),"HH5079")</f>
        <v>HH5079</v>
      </c>
      <c r="G6087" s="87" t="str">
        <f>IFERROR(__xludf.DUMMYFUNCTION("""COMPUTED_VALUE"""),"GC - V - 5079 - NHP GROUP - NHỆN ĐỎ (Nước tím) - 240ml - 40")</f>
        <v>GC - V - 5079 - NHP GROUP - NHỆN ĐỎ (Nước tím) - 240ml - 40</v>
      </c>
    </row>
    <row r="6088">
      <c r="A6088" s="86">
        <f>IFERROR(__xludf.DUMMYFUNCTION("""COMPUTED_VALUE"""),6086.0)</f>
        <v>6086</v>
      </c>
      <c r="B6088" s="87" t="str">
        <f>IFERROR(__xludf.DUMMYFUNCTION("""COMPUTED_VALUE"""),"[Nhãn]")</f>
        <v>[Nhãn]</v>
      </c>
      <c r="C6088" s="87" t="str">
        <f>IFERROR(__xludf.DUMMYFUNCTION("""COMPUTED_VALUE"""),"NHG5072")</f>
        <v>NHG5072</v>
      </c>
      <c r="D6088" s="87" t="str">
        <f>IFERROR(__xludf.DUMMYFUNCTION("""COMPUTED_VALUE"""),"[Nhãn] IDA Global - I - 5072 - DIMETHOMORPH (Nước trắng sữa) - 100ml - 100")</f>
        <v>[Nhãn] IDA Global - I - 5072 - DIMETHOMORPH (Nước trắng sữa) - 100ml - 100</v>
      </c>
      <c r="E6088" s="87" t="str">
        <f>IFERROR(__xludf.DUMMYFUNCTION("""COMPUTED_VALUE"""),"DIMETHOR 500SC")</f>
        <v>DIMETHOR 500SC</v>
      </c>
      <c r="F6088" s="87" t="str">
        <f>IFERROR(__xludf.DUMMYFUNCTION("""COMPUTED_VALUE"""),"HH5072")</f>
        <v>HH5072</v>
      </c>
      <c r="G6088" s="87" t="str">
        <f>IFERROR(__xludf.DUMMYFUNCTION("""COMPUTED_VALUE"""),"IDA Global - I - 5072 - DIMETHOMORPH (Nước trắng sữa) - 100ml - 100")</f>
        <v>IDA Global - I - 5072 - DIMETHOMORPH (Nước trắng sữa) - 100ml - 100</v>
      </c>
    </row>
    <row r="6089">
      <c r="A6089" s="86">
        <f>IFERROR(__xludf.DUMMYFUNCTION("""COMPUTED_VALUE"""),6087.0)</f>
        <v>6087</v>
      </c>
      <c r="B6089" s="87" t="str">
        <f>IFERROR(__xludf.DUMMYFUNCTION("""COMPUTED_VALUE"""),"[Nhãn]")</f>
        <v>[Nhãn]</v>
      </c>
      <c r="C6089" s="87" t="str">
        <f>IFERROR(__xludf.DUMMYFUNCTION("""COMPUTED_VALUE"""),"NHG5083")</f>
        <v>NHG5083</v>
      </c>
      <c r="D6089" s="87" t="str">
        <f>IFERROR(__xludf.DUMMYFUNCTION("""COMPUTED_VALUE"""),"[Nhãn] GC - X - 5083 - CTY AGRITECH - NUTI BLOOM (Bột màu trắng) - 500gr - 24")</f>
        <v>[Nhãn] GC - X - 5083 - CTY AGRITECH - NUTI BLOOM (Bột màu trắng) - 500gr - 24</v>
      </c>
      <c r="E6089" s="87" t="str">
        <f>IFERROR(__xludf.DUMMYFUNCTION("""COMPUTED_VALUE"""),"Hỗn Hợp NPK NPK 10-60-10 NNV")</f>
        <v>Hỗn Hợp NPK NPK 10-60-10 NNV</v>
      </c>
      <c r="F6089" s="87" t="str">
        <f>IFERROR(__xludf.DUMMYFUNCTION("""COMPUTED_VALUE"""),"HH5083")</f>
        <v>HH5083</v>
      </c>
      <c r="G6089" s="87" t="str">
        <f>IFERROR(__xludf.DUMMYFUNCTION("""COMPUTED_VALUE"""),"GC - X - 5083 - CTY AGRITECH - NUTI BLOOM (Bột màu trắng) - 500gr - 24")</f>
        <v>GC - X - 5083 - CTY AGRITECH - NUTI BLOOM (Bột màu trắng) - 500gr - 24</v>
      </c>
    </row>
    <row r="6090">
      <c r="A6090" s="86">
        <f>IFERROR(__xludf.DUMMYFUNCTION("""COMPUTED_VALUE"""),6088.0)</f>
        <v>6088</v>
      </c>
      <c r="B6090" s="87" t="str">
        <f>IFERROR(__xludf.DUMMYFUNCTION("""COMPUTED_VALUE"""),"[Nhãn Thùng]")</f>
        <v>[Nhãn Thùng]</v>
      </c>
      <c r="C6090" s="87" t="str">
        <f>IFERROR(__xludf.DUMMYFUNCTION("""COMPUTED_VALUE"""),"NDT5083")</f>
        <v>NDT5083</v>
      </c>
      <c r="D6090" s="87" t="str">
        <f>IFERROR(__xludf.DUMMYFUNCTION("""COMPUTED_VALUE"""),"[Nhãn Thùng] GC - X - 5083 - CTY AGRITECH - NUTI BLOOM (Bột màu trắng) - 500gr - 24")</f>
        <v>[Nhãn Thùng] GC - X - 5083 - CTY AGRITECH - NUTI BLOOM (Bột màu trắng) - 500gr - 24</v>
      </c>
      <c r="E6090" s="87" t="str">
        <f>IFERROR(__xludf.DUMMYFUNCTION("""COMPUTED_VALUE"""),"Hỗn Hợp NPK NPK 10-60-10 NNV")</f>
        <v>Hỗn Hợp NPK NPK 10-60-10 NNV</v>
      </c>
      <c r="F6090" s="87" t="str">
        <f>IFERROR(__xludf.DUMMYFUNCTION("""COMPUTED_VALUE"""),"HH5083")</f>
        <v>HH5083</v>
      </c>
      <c r="G6090" s="87" t="str">
        <f>IFERROR(__xludf.DUMMYFUNCTION("""COMPUTED_VALUE"""),"GC - X - 5083 - CTY AGRITECH - NUTI BLOOM (Bột màu trắng) - 500gr - 24")</f>
        <v>GC - X - 5083 - CTY AGRITECH - NUTI BLOOM (Bột màu trắng) - 500gr - 24</v>
      </c>
    </row>
    <row r="6091">
      <c r="A6091" s="86">
        <f>IFERROR(__xludf.DUMMYFUNCTION("""COMPUTED_VALUE"""),6089.0)</f>
        <v>6089</v>
      </c>
      <c r="B6091" s="87" t="str">
        <f>IFERROR(__xludf.DUMMYFUNCTION("""COMPUTED_VALUE"""),"[Nhãn Thùng]")</f>
        <v>[Nhãn Thùng]</v>
      </c>
      <c r="C6091" s="87" t="str">
        <f>IFERROR(__xludf.DUMMYFUNCTION("""COMPUTED_VALUE"""),"NDT4152")</f>
        <v>NDT4152</v>
      </c>
      <c r="D6091" s="87" t="str">
        <f>IFERROR(__xludf.DUMMYFUNCTION("""COMPUTED_VALUE"""),"[Nhãn Thùng] GC - IV - 4152 - Thiên Di - Super 55 (dạng cốm màu trắng ngà) - 100gr - 100")</f>
        <v>[Nhãn Thùng] GC - IV - 4152 - Thiên Di - Super 55 (dạng cốm màu trắng ngà) - 100gr - 100</v>
      </c>
      <c r="E6091" s="87" t="str">
        <f>IFERROR(__xludf.DUMMYFUNCTION("""COMPUTED_VALUE"""),"MAKEGREEN 55WG")</f>
        <v>MAKEGREEN 55WG</v>
      </c>
      <c r="F6091" s="87" t="str">
        <f>IFERROR(__xludf.DUMMYFUNCTION("""COMPUTED_VALUE"""),"HH4152")</f>
        <v>HH4152</v>
      </c>
      <c r="G6091" s="87" t="str">
        <f>IFERROR(__xludf.DUMMYFUNCTION("""COMPUTED_VALUE"""),"GC - IV - 4152 - Thiên Di - Super 55 (dạng cốm màu trắng ngà) - 100gr - 100")</f>
        <v>GC - IV - 4152 - Thiên Di - Super 55 (dạng cốm màu trắng ngà) - 100gr - 100</v>
      </c>
    </row>
    <row r="6092">
      <c r="A6092" s="86">
        <f>IFERROR(__xludf.DUMMYFUNCTION("""COMPUTED_VALUE"""),6090.0)</f>
        <v>6090</v>
      </c>
      <c r="B6092" s="87" t="str">
        <f>IFERROR(__xludf.DUMMYFUNCTION("""COMPUTED_VALUE"""),"[Nhãn Thùng]")</f>
        <v>[Nhãn Thùng]</v>
      </c>
      <c r="C6092" s="87" t="str">
        <f>IFERROR(__xludf.DUMMYFUNCTION("""COMPUTED_VALUE"""),"NDT4053")</f>
        <v>NDT4053</v>
      </c>
      <c r="D6092" s="87" t="str">
        <f>IFERROR(__xludf.DUMMYFUNCTION("""COMPUTED_VALUE"""),"[Nhãn Thùng]  GC - IV - 4053 - NHP GROUP - BÒ CẠP (Nước đỏ) - 450ml - 40")</f>
        <v>[Nhãn Thùng]  GC - IV - 4053 - NHP GROUP - BÒ CẠP (Nước đỏ) - 450ml - 40</v>
      </c>
      <c r="E6092" s="87" t="str">
        <f>IFERROR(__xludf.DUMMYFUNCTION("""COMPUTED_VALUE"""),"Creek 2.1EC")</f>
        <v>Creek 2.1EC</v>
      </c>
      <c r="F6092" s="87" t="str">
        <f>IFERROR(__xludf.DUMMYFUNCTION("""COMPUTED_VALUE"""),"HH4053")</f>
        <v>HH4053</v>
      </c>
      <c r="G6092" s="87" t="str">
        <f>IFERROR(__xludf.DUMMYFUNCTION("""COMPUTED_VALUE"""),"GC - IV - 4053 - NHP GROUP - BÒ CẠP (Nước đỏ) - 450ml - 40")</f>
        <v>GC - IV - 4053 - NHP GROUP - BÒ CẠP (Nước đỏ) - 450ml - 40</v>
      </c>
    </row>
    <row r="6093">
      <c r="A6093" s="86">
        <f>IFERROR(__xludf.DUMMYFUNCTION("""COMPUTED_VALUE"""),6091.0)</f>
        <v>6091</v>
      </c>
      <c r="B6093" s="87" t="str">
        <f>IFERROR(__xludf.DUMMYFUNCTION("""COMPUTED_VALUE"""),"[Nhãn]")</f>
        <v>[Nhãn]</v>
      </c>
      <c r="C6093" s="87" t="str">
        <f>IFERROR(__xludf.DUMMYFUNCTION("""COMPUTED_VALUE"""),"NTN5077")</f>
        <v>NTN5077</v>
      </c>
      <c r="D6093" s="87" t="str">
        <f>IFERROR(__xludf.DUMMYFUNCTION("""COMPUTED_VALUE"""),"[Nhãn] GC - V - 5077 - CTY THIÊN DI - NOMIDA 700WG (Dạng cốm màu trắng ngà) - 100gr - 100")</f>
        <v>[Nhãn] GC - V - 5077 - CTY THIÊN DI - NOMIDA 700WG (Dạng cốm màu trắng ngà) - 100gr - 100</v>
      </c>
      <c r="E6093" s="87" t="str">
        <f>IFERROR(__xludf.DUMMYFUNCTION("""COMPUTED_VALUE"""),"NOMIDA 700WG")</f>
        <v>NOMIDA 700WG</v>
      </c>
      <c r="F6093" s="87" t="str">
        <f>IFERROR(__xludf.DUMMYFUNCTION("""COMPUTED_VALUE"""),"HH5077")</f>
        <v>HH5077</v>
      </c>
      <c r="G6093" s="87" t="str">
        <f>IFERROR(__xludf.DUMMYFUNCTION("""COMPUTED_VALUE"""),"GC - V - 5077 - CTY THIÊN DI - NOMIDA 700WG (Dạng cốm màu trắng ngà) - 100gr - 100")</f>
        <v>GC - V - 5077 - CTY THIÊN DI - NOMIDA 700WG (Dạng cốm màu trắng ngà) - 100gr - 100</v>
      </c>
    </row>
    <row r="6094">
      <c r="A6094" s="86">
        <f>IFERROR(__xludf.DUMMYFUNCTION("""COMPUTED_VALUE"""),6092.0)</f>
        <v>6092</v>
      </c>
      <c r="B6094" s="87" t="str">
        <f>IFERROR(__xludf.DUMMYFUNCTION("""COMPUTED_VALUE"""),"[Nhãn Thùng]")</f>
        <v>[Nhãn Thùng]</v>
      </c>
      <c r="C6094" s="87" t="str">
        <f>IFERROR(__xludf.DUMMYFUNCTION("""COMPUTED_VALUE"""),"NDT5077")</f>
        <v>NDT5077</v>
      </c>
      <c r="D6094" s="87" t="str">
        <f>IFERROR(__xludf.DUMMYFUNCTION("""COMPUTED_VALUE"""),"[Nhãn Thùng] GC - V - 5077 - CTY THIÊN DI - NOMIDA 700WG (Dạng cốm màu trắng ngà) - 100gr - 100")</f>
        <v>[Nhãn Thùng] GC - V - 5077 - CTY THIÊN DI - NOMIDA 700WG (Dạng cốm màu trắng ngà) - 100gr - 100</v>
      </c>
      <c r="E6094" s="87" t="str">
        <f>IFERROR(__xludf.DUMMYFUNCTION("""COMPUTED_VALUE"""),"NOMIDA 700WG")</f>
        <v>NOMIDA 700WG</v>
      </c>
      <c r="F6094" s="87" t="str">
        <f>IFERROR(__xludf.DUMMYFUNCTION("""COMPUTED_VALUE"""),"HH5077")</f>
        <v>HH5077</v>
      </c>
      <c r="G6094" s="87" t="str">
        <f>IFERROR(__xludf.DUMMYFUNCTION("""COMPUTED_VALUE"""),"GC - V - 5077 - CTY THIÊN DI - NOMIDA 700WG (Dạng cốm màu trắng ngà) - 100gr - 100")</f>
        <v>GC - V - 5077 - CTY THIÊN DI - NOMIDA 700WG (Dạng cốm màu trắng ngà) - 100gr - 100</v>
      </c>
    </row>
    <row r="6095">
      <c r="A6095" s="86">
        <f>IFERROR(__xludf.DUMMYFUNCTION("""COMPUTED_VALUE"""),6093.0)</f>
        <v>6093</v>
      </c>
      <c r="B6095" s="87" t="str">
        <f>IFERROR(__xludf.DUMMYFUNCTION("""COMPUTED_VALUE"""),"[Nhãn]")</f>
        <v>[Nhãn]</v>
      </c>
      <c r="C6095" s="87" t="str">
        <f>IFERROR(__xludf.DUMMYFUNCTION("""COMPUTED_VALUE"""),"NHG5081")</f>
        <v>NHG5081</v>
      </c>
      <c r="D6095" s="87" t="str">
        <f>IFERROR(__xludf.DUMMYFUNCTION("""COMPUTED_VALUE"""),"[Nhãn] GC - X - 5081 - CTY USAFARM - ROOTS US90 (Nước nâu đen) - 100ml - 50")</f>
        <v>[Nhãn] GC - X - 5081 - CTY USAFARM - ROOTS US90 (Nước nâu đen) - 100ml - 50</v>
      </c>
      <c r="E6095" s="87" t="str">
        <f>IFERROR(__xludf.DUMMYFUNCTION("""COMPUTED_VALUE"""),"Hữu cơ ROOTS US90")</f>
        <v>Hữu cơ ROOTS US90</v>
      </c>
      <c r="F6095" s="87" t="str">
        <f>IFERROR(__xludf.DUMMYFUNCTION("""COMPUTED_VALUE"""),"HH5081")</f>
        <v>HH5081</v>
      </c>
      <c r="G6095" s="87" t="str">
        <f>IFERROR(__xludf.DUMMYFUNCTION("""COMPUTED_VALUE"""),"GC - X - 5081 - CTY USAFARM - ROOTS US90 (Nước nâu đen) - 100ml - 50")</f>
        <v>GC - X - 5081 - CTY USAFARM - ROOTS US90 (Nước nâu đen) - 100ml - 50</v>
      </c>
    </row>
    <row r="6096">
      <c r="A6096" s="86">
        <f>IFERROR(__xludf.DUMMYFUNCTION("""COMPUTED_VALUE"""),6094.0)</f>
        <v>6094</v>
      </c>
      <c r="B6096" s="87" t="str">
        <f>IFERROR(__xludf.DUMMYFUNCTION("""COMPUTED_VALUE"""),"[Nhãn]")</f>
        <v>[Nhãn]</v>
      </c>
      <c r="C6096" s="87" t="str">
        <f>IFERROR(__xludf.DUMMYFUNCTION("""COMPUTED_VALUE"""),"NHG5083")</f>
        <v>NHG5083</v>
      </c>
      <c r="D6096" s="87" t="str">
        <f>IFERROR(__xludf.DUMMYFUNCTION("""COMPUTED_VALUE"""),"[Nhãn] GC - X - 5083 - CTY AGRITECH - NUTI BLOOM (Bột màu trắng) - 500gr - 24")</f>
        <v>[Nhãn] GC - X - 5083 - CTY AGRITECH - NUTI BLOOM (Bột màu trắng) - 500gr - 24</v>
      </c>
      <c r="E6096" s="87" t="str">
        <f>IFERROR(__xludf.DUMMYFUNCTION("""COMPUTED_VALUE"""),"Hỗn Hợp NPK NPK 10-60-10 NNV")</f>
        <v>Hỗn Hợp NPK NPK 10-60-10 NNV</v>
      </c>
      <c r="F6096" s="87" t="str">
        <f>IFERROR(__xludf.DUMMYFUNCTION("""COMPUTED_VALUE"""),"HH5083")</f>
        <v>HH5083</v>
      </c>
      <c r="G6096" s="87" t="str">
        <f>IFERROR(__xludf.DUMMYFUNCTION("""COMPUTED_VALUE"""),"GC - X - 5083 - CTY AGRITECH - NUTI BLOOM (Bột màu trắng) - 500gr - 24")</f>
        <v>GC - X - 5083 - CTY AGRITECH - NUTI BLOOM (Bột màu trắng) - 500gr - 24</v>
      </c>
    </row>
    <row r="6097">
      <c r="A6097" s="86">
        <f>IFERROR(__xludf.DUMMYFUNCTION("""COMPUTED_VALUE"""),6095.0)</f>
        <v>6095</v>
      </c>
      <c r="B6097" s="87" t="str">
        <f>IFERROR(__xludf.DUMMYFUNCTION("""COMPUTED_VALUE"""),"[Nhãn Thùng]")</f>
        <v>[Nhãn Thùng]</v>
      </c>
      <c r="C6097" s="87" t="str">
        <f>IFERROR(__xludf.DUMMYFUNCTION("""COMPUTED_VALUE"""),"NDT5083")</f>
        <v>NDT5083</v>
      </c>
      <c r="D6097" s="87" t="str">
        <f>IFERROR(__xludf.DUMMYFUNCTION("""COMPUTED_VALUE"""),"[Nhãn Thùng] GC - X - 5083 - CTY AGRITECH - NUTI BLOOM (Bột màu trắng) - 500gr - 24")</f>
        <v>[Nhãn Thùng] GC - X - 5083 - CTY AGRITECH - NUTI BLOOM (Bột màu trắng) - 500gr - 24</v>
      </c>
      <c r="E6097" s="87" t="str">
        <f>IFERROR(__xludf.DUMMYFUNCTION("""COMPUTED_VALUE"""),"Hỗn Hợp NPK NPK 10-60-10 NNV")</f>
        <v>Hỗn Hợp NPK NPK 10-60-10 NNV</v>
      </c>
      <c r="F6097" s="87" t="str">
        <f>IFERROR(__xludf.DUMMYFUNCTION("""COMPUTED_VALUE"""),"HH5083")</f>
        <v>HH5083</v>
      </c>
      <c r="G6097" s="87" t="str">
        <f>IFERROR(__xludf.DUMMYFUNCTION("""COMPUTED_VALUE"""),"GC - X - 5083 - CTY AGRITECH - NUTI BLOOM (Bột màu trắng) - 500gr - 24")</f>
        <v>GC - X - 5083 - CTY AGRITECH - NUTI BLOOM (Bột màu trắng) - 500gr - 24</v>
      </c>
    </row>
    <row r="6098">
      <c r="A6098" s="86">
        <f>IFERROR(__xludf.DUMMYFUNCTION("""COMPUTED_VALUE"""),6096.0)</f>
        <v>6096</v>
      </c>
      <c r="B6098" s="87" t="str">
        <f>IFERROR(__xludf.DUMMYFUNCTION("""COMPUTED_VALUE"""),"[Nhãn]")</f>
        <v>[Nhãn]</v>
      </c>
      <c r="C6098" s="87" t="str">
        <f>IFERROR(__xludf.DUMMYFUNCTION("""COMPUTED_VALUE"""),"NTN5084")</f>
        <v>NTN5084</v>
      </c>
      <c r="D6098" s="87" t="str">
        <f>IFERROR(__xludf.DUMMYFUNCTION("""COMPUTED_VALUE"""),"[Nhãn] GC - V - 5084 - Ngọc Bảo Long Agri - Pim.Pim 75WP (Bột cam) - 100gr - 100")</f>
        <v>[Nhãn] GC - V - 5084 - Ngọc Bảo Long Agri - Pim.Pim 75WP (Bột cam) - 100gr - 100</v>
      </c>
      <c r="E6098" s="87" t="str">
        <f>IFERROR(__xludf.DUMMYFUNCTION("""COMPUTED_VALUE"""),"Pim.Pim 75WP")</f>
        <v>Pim.Pim 75WP</v>
      </c>
      <c r="F6098" s="87" t="str">
        <f>IFERROR(__xludf.DUMMYFUNCTION("""COMPUTED_VALUE"""),"HH5084")</f>
        <v>HH5084</v>
      </c>
      <c r="G6098" s="87" t="str">
        <f>IFERROR(__xludf.DUMMYFUNCTION("""COMPUTED_VALUE"""),"GC - V - 5084 - Ngọc Bảo Long Agri - Pim.Pim 75WP (Bột cam) - 100gr - 100")</f>
        <v>GC - V - 5084 - Ngọc Bảo Long Agri - Pim.Pim 75WP (Bột cam) - 100gr - 100</v>
      </c>
    </row>
    <row r="6099">
      <c r="A6099" s="86">
        <f>IFERROR(__xludf.DUMMYFUNCTION("""COMPUTED_VALUE"""),6097.0)</f>
        <v>6097</v>
      </c>
      <c r="B6099" s="87" t="str">
        <f>IFERROR(__xludf.DUMMYFUNCTION("""COMPUTED_VALUE"""),"[Nhãn Thùng]")</f>
        <v>[Nhãn Thùng]</v>
      </c>
      <c r="C6099" s="87" t="str">
        <f>IFERROR(__xludf.DUMMYFUNCTION("""COMPUTED_VALUE"""),"NDT5084")</f>
        <v>NDT5084</v>
      </c>
      <c r="D6099" s="87" t="str">
        <f>IFERROR(__xludf.DUMMYFUNCTION("""COMPUTED_VALUE"""),"[Nhãn Thùng] GC - V - 5084 - Ngọc Bảo Long Agri - Pim.Pim 75WP (Bột cam) - 100gr - 100")</f>
        <v>[Nhãn Thùng] GC - V - 5084 - Ngọc Bảo Long Agri - Pim.Pim 75WP (Bột cam) - 100gr - 100</v>
      </c>
      <c r="E6099" s="87" t="str">
        <f>IFERROR(__xludf.DUMMYFUNCTION("""COMPUTED_VALUE"""),"Pim.Pim 75WP")</f>
        <v>Pim.Pim 75WP</v>
      </c>
      <c r="F6099" s="87" t="str">
        <f>IFERROR(__xludf.DUMMYFUNCTION("""COMPUTED_VALUE"""),"HH5084")</f>
        <v>HH5084</v>
      </c>
      <c r="G6099" s="87" t="str">
        <f>IFERROR(__xludf.DUMMYFUNCTION("""COMPUTED_VALUE"""),"GC - V - 5084 - Ngọc Bảo Long Agri - Pim.Pim 75WP (Bột cam) - 100gr - 100")</f>
        <v>GC - V - 5084 - Ngọc Bảo Long Agri - Pim.Pim 75WP (Bột cam) - 100gr - 100</v>
      </c>
    </row>
    <row r="6100">
      <c r="A6100" s="86">
        <f>IFERROR(__xludf.DUMMYFUNCTION("""COMPUTED_VALUE"""),6098.0)</f>
        <v>6098</v>
      </c>
      <c r="B6100" s="87" t="str">
        <f>IFERROR(__xludf.DUMMYFUNCTION("""COMPUTED_VALUE"""),"[Nhãn]")</f>
        <v>[Nhãn]</v>
      </c>
      <c r="C6100" s="87" t="str">
        <f>IFERROR(__xludf.DUMMYFUNCTION("""COMPUTED_VALUE"""),"NHG5074")</f>
        <v>NHG5074</v>
      </c>
      <c r="D6100" s="87" t="str">
        <f>IFERROR(__xludf.DUMMYFUNCTION("""COMPUTED_VALUE"""),"[Nhãn] GC - V - 5074 - CTY AGRITECH - VIL110 (Nước trắng sữa) - 1L - 20")</f>
        <v>[Nhãn] GC - V - 5074 - CTY AGRITECH - VIL110 (Nước trắng sữa) - 1L - 20</v>
      </c>
      <c r="E6100" s="87" t="str">
        <f>IFERROR(__xludf.DUMMYFUNCTION("""COMPUTED_VALUE"""),"JAPA VIL 110SC")</f>
        <v>JAPA VIL 110SC</v>
      </c>
      <c r="F6100" s="87" t="str">
        <f>IFERROR(__xludf.DUMMYFUNCTION("""COMPUTED_VALUE"""),"HH5074")</f>
        <v>HH5074</v>
      </c>
      <c r="G6100" s="87" t="str">
        <f>IFERROR(__xludf.DUMMYFUNCTION("""COMPUTED_VALUE"""),"GC - V - 5074 - CTY AGRITECH - VIL110 (Nước trắng sữa) - 1L - 20")</f>
        <v>GC - V - 5074 - CTY AGRITECH - VIL110 (Nước trắng sữa) - 1L - 20</v>
      </c>
    </row>
    <row r="6101">
      <c r="A6101" s="86">
        <f>IFERROR(__xludf.DUMMYFUNCTION("""COMPUTED_VALUE"""),6099.0)</f>
        <v>6099</v>
      </c>
      <c r="B6101" s="87" t="str">
        <f>IFERROR(__xludf.DUMMYFUNCTION("""COMPUTED_VALUE"""),"[Nhãn]")</f>
        <v>[Nhãn]</v>
      </c>
      <c r="C6101" s="87" t="str">
        <f>IFERROR(__xludf.DUMMYFUNCTION("""COMPUTED_VALUE"""),"NTN5047")</f>
        <v>NTN5047</v>
      </c>
      <c r="D6101" s="87" t="str">
        <f>IFERROR(__xludf.DUMMYFUNCTION("""COMPUTED_VALUE"""),"[Nhãn] GC - V - 5047 - AGRIPLANT - SIÊU RA HOA SẦU RIÊNG (Bột trắng xanh) - 250gr - 100")</f>
        <v>[Nhãn] GC - V - 5047 - AGRIPLANT - SIÊU RA HOA SẦU RIÊNG (Bột trắng xanh) - 250gr - 100</v>
      </c>
      <c r="E6101" s="87" t="str">
        <f>IFERROR(__xludf.DUMMYFUNCTION("""COMPUTED_VALUE"""),"Vi lượng AV4-BO633")</f>
        <v>Vi lượng AV4-BO633</v>
      </c>
      <c r="F6101" s="87" t="str">
        <f>IFERROR(__xludf.DUMMYFUNCTION("""COMPUTED_VALUE"""),"HH5047")</f>
        <v>HH5047</v>
      </c>
      <c r="G6101" s="87" t="str">
        <f>IFERROR(__xludf.DUMMYFUNCTION("""COMPUTED_VALUE"""),"GC - V - 5047 - AGRIPLANT - SIÊU RA HOA SẦU RIÊNG (Bột trắng xanh) - 250gr - 100")</f>
        <v>GC - V - 5047 - AGRIPLANT - SIÊU RA HOA SẦU RIÊNG (Bột trắng xanh) - 250gr - 100</v>
      </c>
    </row>
    <row r="6102">
      <c r="A6102" s="86">
        <f>IFERROR(__xludf.DUMMYFUNCTION("""COMPUTED_VALUE"""),6100.0)</f>
        <v>6100</v>
      </c>
      <c r="B6102" s="87" t="str">
        <f>IFERROR(__xludf.DUMMYFUNCTION("""COMPUTED_VALUE"""),"[Nhãn Thùng]")</f>
        <v>[Nhãn Thùng]</v>
      </c>
      <c r="C6102" s="87" t="str">
        <f>IFERROR(__xludf.DUMMYFUNCTION("""COMPUTED_VALUE"""),"NDT5047")</f>
        <v>NDT5047</v>
      </c>
      <c r="D6102" s="87" t="str">
        <f>IFERROR(__xludf.DUMMYFUNCTION("""COMPUTED_VALUE"""),"[Nhãn Thùng] GC - V - 5047 - AGRIPLANT - SIÊU RA HOA SẦU RIÊNG (Bột trắng xanh) - 250gr - 100")</f>
        <v>[Nhãn Thùng] GC - V - 5047 - AGRIPLANT - SIÊU RA HOA SẦU RIÊNG (Bột trắng xanh) - 250gr - 100</v>
      </c>
      <c r="E6102" s="87" t="str">
        <f>IFERROR(__xludf.DUMMYFUNCTION("""COMPUTED_VALUE"""),"Vi lượng AV4-BO633")</f>
        <v>Vi lượng AV4-BO633</v>
      </c>
      <c r="F6102" s="87" t="str">
        <f>IFERROR(__xludf.DUMMYFUNCTION("""COMPUTED_VALUE"""),"HH5047")</f>
        <v>HH5047</v>
      </c>
      <c r="G6102" s="87" t="str">
        <f>IFERROR(__xludf.DUMMYFUNCTION("""COMPUTED_VALUE"""),"GC - V - 5047 - AGRIPLANT - SIÊU RA HOA SẦU RIÊNG (Bột trắng xanh) - 250gr - 100")</f>
        <v>GC - V - 5047 - AGRIPLANT - SIÊU RA HOA SẦU RIÊNG (Bột trắng xanh) - 250gr - 100</v>
      </c>
    </row>
    <row r="6103">
      <c r="A6103" s="86">
        <f>IFERROR(__xludf.DUMMYFUNCTION("""COMPUTED_VALUE"""),6101.0)</f>
        <v>6101</v>
      </c>
      <c r="B6103" s="87" t="str">
        <f>IFERROR(__xludf.DUMMYFUNCTION("""COMPUTED_VALUE"""),"[Nhãn]")</f>
        <v>[Nhãn]</v>
      </c>
      <c r="C6103" s="87" t="str">
        <f>IFERROR(__xludf.DUMMYFUNCTION("""COMPUTED_VALUE"""),"NHG5059")</f>
        <v>NHG5059</v>
      </c>
      <c r="D6103" s="87" t="str">
        <f>IFERROR(__xludf.DUMMYFUNCTION("""COMPUTED_VALUE"""),"[Nhãn] GC - V - 5059 - CTY NÔNG DƯỢC BETA - DO OC (Nước nâu đen) - 450ml - 40")</f>
        <v>[Nhãn] GC - V - 5059 - CTY NÔNG DƯỢC BETA - DO OC (Nước nâu đen) - 450ml - 40</v>
      </c>
      <c r="E6103" s="87" t="str">
        <f>IFERROR(__xludf.DUMMYFUNCTION("""COMPUTED_VALUE"""),"HAIHAMEC 3.6EC")</f>
        <v>HAIHAMEC 3.6EC</v>
      </c>
      <c r="F6103" s="87" t="str">
        <f>IFERROR(__xludf.DUMMYFUNCTION("""COMPUTED_VALUE"""),"HH5059")</f>
        <v>HH5059</v>
      </c>
      <c r="G6103" s="87" t="str">
        <f>IFERROR(__xludf.DUMMYFUNCTION("""COMPUTED_VALUE"""),"GC - V - 5059 - CTY NÔNG DƯỢC BETA - DO OC (Nước nâu đen) - 450ml - 40")</f>
        <v>GC - V - 5059 - CTY NÔNG DƯỢC BETA - DO OC (Nước nâu đen) - 450ml - 40</v>
      </c>
    </row>
    <row r="6104">
      <c r="A6104" s="86">
        <f>IFERROR(__xludf.DUMMYFUNCTION("""COMPUTED_VALUE"""),6102.0)</f>
        <v>6102</v>
      </c>
      <c r="B6104" s="87" t="str">
        <f>IFERROR(__xludf.DUMMYFUNCTION("""COMPUTED_VALUE"""),"[Nhãn]")</f>
        <v>[Nhãn]</v>
      </c>
      <c r="C6104" s="87" t="str">
        <f>IFERROR(__xludf.DUMMYFUNCTION("""COMPUTED_VALUE"""),"NHG5058")</f>
        <v>NHG5058</v>
      </c>
      <c r="D6104" s="87" t="str">
        <f>IFERROR(__xludf.DUMMYFUNCTION("""COMPUTED_VALUE"""),"[Nhãn] GC - V - 5058 - CTY NÔNG DƯỢC BETA - DS1 (Nước vàng trà) - 250ml - 40")</f>
        <v>[Nhãn] GC - V - 5058 - CTY NÔNG DƯỢC BETA - DS1 (Nước vàng trà) - 250ml - 40</v>
      </c>
      <c r="E6104" s="87" t="str">
        <f>IFERROR(__xludf.DUMMYFUNCTION("""COMPUTED_VALUE"""),"AMICOL 360EC")</f>
        <v>AMICOL 360EC</v>
      </c>
      <c r="F6104" s="87" t="str">
        <f>IFERROR(__xludf.DUMMYFUNCTION("""COMPUTED_VALUE"""),"HH5058")</f>
        <v>HH5058</v>
      </c>
      <c r="G6104" s="87" t="str">
        <f>IFERROR(__xludf.DUMMYFUNCTION("""COMPUTED_VALUE"""),"GC - V - 5058 - CTY NÔNG DƯỢC BETA - DS1 (Nước vàng trà) - 250ml - 40")</f>
        <v>GC - V - 5058 - CTY NÔNG DƯỢC BETA - DS1 (Nước vàng trà) - 250ml - 40</v>
      </c>
    </row>
    <row r="6105">
      <c r="A6105" s="86">
        <f>IFERROR(__xludf.DUMMYFUNCTION("""COMPUTED_VALUE"""),6103.0)</f>
        <v>6103</v>
      </c>
      <c r="B6105" s="87" t="str">
        <f>IFERROR(__xludf.DUMMYFUNCTION("""COMPUTED_VALUE"""),"[Nhãn Thùng]")</f>
        <v>[Nhãn Thùng]</v>
      </c>
      <c r="C6105" s="87" t="str">
        <f>IFERROR(__xludf.DUMMYFUNCTION("""COMPUTED_VALUE"""),"NDT5060")</f>
        <v>NDT5060</v>
      </c>
      <c r="D6105" s="87" t="str">
        <f>IFERROR(__xludf.DUMMYFUNCTION("""COMPUTED_VALUE"""),"[Nhãn Thùng] GC - V - 5060 - Cty Tago - KING TOP (Nước gạch cam) - 250ml - 40")</f>
        <v>[Nhãn Thùng] GC - V - 5060 - Cty Tago - KING TOP (Nước gạch cam) - 250ml - 40</v>
      </c>
      <c r="E6105" s="87" t="str">
        <f>IFERROR(__xludf.DUMMYFUNCTION("""COMPUTED_VALUE"""),"KING-CIDE JAPAN 460SC")</f>
        <v>KING-CIDE JAPAN 460SC</v>
      </c>
      <c r="F6105" s="87" t="str">
        <f>IFERROR(__xludf.DUMMYFUNCTION("""COMPUTED_VALUE"""),"HH5060")</f>
        <v>HH5060</v>
      </c>
      <c r="G6105" s="87" t="str">
        <f>IFERROR(__xludf.DUMMYFUNCTION("""COMPUTED_VALUE"""),"GC - V - 5060 - Cty Tago - KING TOP (Nước gạch cam) - 250ml - 40")</f>
        <v>GC - V - 5060 - Cty Tago - KING TOP (Nước gạch cam) - 250ml - 40</v>
      </c>
    </row>
    <row r="6106">
      <c r="A6106" s="86">
        <f>IFERROR(__xludf.DUMMYFUNCTION("""COMPUTED_VALUE"""),6104.0)</f>
        <v>6104</v>
      </c>
      <c r="B6106" s="87" t="str">
        <f>IFERROR(__xludf.DUMMYFUNCTION("""COMPUTED_VALUE"""),"[Nhãn]")</f>
        <v>[Nhãn]</v>
      </c>
      <c r="C6106" s="87" t="str">
        <f>IFERROR(__xludf.DUMMYFUNCTION("""COMPUTED_VALUE"""),"NHG5060")</f>
        <v>NHG5060</v>
      </c>
      <c r="D6106" s="87" t="str">
        <f>IFERROR(__xludf.DUMMYFUNCTION("""COMPUTED_VALUE"""),"[Nhãn] GC - V - 5060 - Cty Tago - KING TOP (Nước gạch cam) - 250ml - 40")</f>
        <v>[Nhãn] GC - V - 5060 - Cty Tago - KING TOP (Nước gạch cam) - 250ml - 40</v>
      </c>
      <c r="E6106" s="87" t="str">
        <f>IFERROR(__xludf.DUMMYFUNCTION("""COMPUTED_VALUE"""),"KING-CIDE JAPAN 460SC")</f>
        <v>KING-CIDE JAPAN 460SC</v>
      </c>
      <c r="F6106" s="87" t="str">
        <f>IFERROR(__xludf.DUMMYFUNCTION("""COMPUTED_VALUE"""),"HH5060")</f>
        <v>HH5060</v>
      </c>
      <c r="G6106" s="87" t="str">
        <f>IFERROR(__xludf.DUMMYFUNCTION("""COMPUTED_VALUE"""),"GC - V - 5060 - Cty Tago - KING TOP (Nước gạch cam) - 250ml - 40")</f>
        <v>GC - V - 5060 - Cty Tago - KING TOP (Nước gạch cam) - 250ml - 40</v>
      </c>
    </row>
    <row r="6107">
      <c r="A6107" s="86">
        <f>IFERROR(__xludf.DUMMYFUNCTION("""COMPUTED_VALUE"""),6105.0)</f>
        <v>6105</v>
      </c>
      <c r="B6107" s="87" t="str">
        <f>IFERROR(__xludf.DUMMYFUNCTION("""COMPUTED_VALUE"""),"[Nhãn]")</f>
        <v>[Nhãn]</v>
      </c>
      <c r="C6107" s="87" t="str">
        <f>IFERROR(__xludf.DUMMYFUNCTION("""COMPUTED_VALUE"""),"NHG5075")</f>
        <v>NHG5075</v>
      </c>
      <c r="D6107" s="87" t="str">
        <f>IFERROR(__xludf.DUMMYFUNCTION("""COMPUTED_VALUE"""),"[Nhãn] GC - V - 5075 - CTY GNH - CHẮC HẠT (Nước nâu đen) - 1L - 20")</f>
        <v>[Nhãn] GC - V - 5075 - CTY GNH - CHẮC HẠT (Nước nâu đen) - 1L - 20</v>
      </c>
      <c r="E6107" s="87" t="str">
        <f>IFERROR(__xludf.DUMMYFUNCTION("""COMPUTED_VALUE"""),"Hữu Cơ Organic ĐGP 01")</f>
        <v>Hữu Cơ Organic ĐGP 01</v>
      </c>
      <c r="F6107" s="87" t="str">
        <f>IFERROR(__xludf.DUMMYFUNCTION("""COMPUTED_VALUE"""),"HH5075")</f>
        <v>HH5075</v>
      </c>
      <c r="G6107" s="87" t="str">
        <f>IFERROR(__xludf.DUMMYFUNCTION("""COMPUTED_VALUE"""),"GC - V - 5075 - CTY GNH - CHẮC HẠT (Nước nâu đen) - 1L - 20")</f>
        <v>GC - V - 5075 - CTY GNH - CHẮC HẠT (Nước nâu đen) - 1L - 20</v>
      </c>
    </row>
    <row r="6108">
      <c r="A6108" s="86">
        <f>IFERROR(__xludf.DUMMYFUNCTION("""COMPUTED_VALUE"""),6106.0)</f>
        <v>6106</v>
      </c>
      <c r="B6108" s="87" t="str">
        <f>IFERROR(__xludf.DUMMYFUNCTION("""COMPUTED_VALUE"""),"[Nhãn]")</f>
        <v>[Nhãn]</v>
      </c>
      <c r="C6108" s="87" t="str">
        <f>IFERROR(__xludf.DUMMYFUNCTION("""COMPUTED_VALUE"""),"NTN4951")</f>
        <v>NTN4951</v>
      </c>
      <c r="D6108" s="87" t="str">
        <f>IFERROR(__xludf.DUMMYFUNCTION("""COMPUTED_VALUE"""),"[Nhãn] GC - V - 4951 - TRẦN GIA - THỎI VÀNG (Dạng cốm màu trắng ngà) - 100gr - 100")</f>
        <v>[Nhãn] GC - V - 4951 - TRẦN GIA - THỎI VÀNG (Dạng cốm màu trắng ngà) - 100gr - 100</v>
      </c>
      <c r="E6108" s="87" t="str">
        <f>IFERROR(__xludf.DUMMYFUNCTION("""COMPUTED_VALUE"""),"MAKEGREEN 55WG")</f>
        <v>MAKEGREEN 55WG</v>
      </c>
      <c r="F6108" s="87" t="str">
        <f>IFERROR(__xludf.DUMMYFUNCTION("""COMPUTED_VALUE"""),"HH4951")</f>
        <v>HH4951</v>
      </c>
      <c r="G6108" s="87" t="str">
        <f>IFERROR(__xludf.DUMMYFUNCTION("""COMPUTED_VALUE"""),"GC - V - 4951 - TRẦN GIA - THỎI VÀNG (Dạng cốm màu trắng ngà) - 100gr - 100")</f>
        <v>GC - V - 4951 - TRẦN GIA - THỎI VÀNG (Dạng cốm màu trắng ngà) - 100gr - 100</v>
      </c>
    </row>
    <row r="6109">
      <c r="A6109" s="86">
        <f>IFERROR(__xludf.DUMMYFUNCTION("""COMPUTED_VALUE"""),6107.0)</f>
        <v>6107</v>
      </c>
      <c r="B6109" s="87" t="str">
        <f>IFERROR(__xludf.DUMMYFUNCTION("""COMPUTED_VALUE"""),"[Nhãn Thùng]")</f>
        <v>[Nhãn Thùng]</v>
      </c>
      <c r="C6109" s="87" t="str">
        <f>IFERROR(__xludf.DUMMYFUNCTION("""COMPUTED_VALUE"""),"NDT4951")</f>
        <v>NDT4951</v>
      </c>
      <c r="D6109" s="87" t="str">
        <f>IFERROR(__xludf.DUMMYFUNCTION("""COMPUTED_VALUE"""),"[Nhãn Thùng] GC - V - 4951 - TRẦN GIA - THỎI VÀNG (Dạng cốm màu trắng ngà) - 100gr - 100")</f>
        <v>[Nhãn Thùng] GC - V - 4951 - TRẦN GIA - THỎI VÀNG (Dạng cốm màu trắng ngà) - 100gr - 100</v>
      </c>
      <c r="E6109" s="87" t="str">
        <f>IFERROR(__xludf.DUMMYFUNCTION("""COMPUTED_VALUE"""),"MAKEGREEN 55WG")</f>
        <v>MAKEGREEN 55WG</v>
      </c>
      <c r="F6109" s="87" t="str">
        <f>IFERROR(__xludf.DUMMYFUNCTION("""COMPUTED_VALUE"""),"HH4951")</f>
        <v>HH4951</v>
      </c>
      <c r="G6109" s="87" t="str">
        <f>IFERROR(__xludf.DUMMYFUNCTION("""COMPUTED_VALUE"""),"GC - V - 4951 - TRẦN GIA - THỎI VÀNG (Dạng cốm màu trắng ngà) - 100gr - 100")</f>
        <v>GC - V - 4951 - TRẦN GIA - THỎI VÀNG (Dạng cốm màu trắng ngà) - 100gr - 100</v>
      </c>
    </row>
    <row r="6110">
      <c r="A6110" s="86">
        <f>IFERROR(__xludf.DUMMYFUNCTION("""COMPUTED_VALUE"""),6108.0)</f>
        <v>6108</v>
      </c>
      <c r="B6110" s="87" t="str">
        <f>IFERROR(__xludf.DUMMYFUNCTION("""COMPUTED_VALUE"""),"[Nhãn]")</f>
        <v>[Nhãn]</v>
      </c>
      <c r="C6110" s="87" t="str">
        <f>IFERROR(__xludf.DUMMYFUNCTION("""COMPUTED_VALUE"""),"NHG5053")</f>
        <v>NHG5053</v>
      </c>
      <c r="D6110" s="87" t="str">
        <f>IFERROR(__xludf.DUMMYFUNCTION("""COMPUTED_VALUE"""),"[Nhãn] GC - X - 5053 - CTY ĐỊA LONG - CANXI BO (Nước trắng sữa) - 250ml - 40")</f>
        <v>[Nhãn] GC - X - 5053 - CTY ĐỊA LONG - CANXI BO (Nước trắng sữa) - 250ml - 40</v>
      </c>
      <c r="E6110" s="87" t="str">
        <f>IFERROR(__xludf.DUMMYFUNCTION("""COMPUTED_VALUE"""),"Vi lượng AGAMA-CANXI BO")</f>
        <v>Vi lượng AGAMA-CANXI BO</v>
      </c>
      <c r="F6110" s="87" t="str">
        <f>IFERROR(__xludf.DUMMYFUNCTION("""COMPUTED_VALUE"""),"HH5053")</f>
        <v>HH5053</v>
      </c>
      <c r="G6110" s="87" t="str">
        <f>IFERROR(__xludf.DUMMYFUNCTION("""COMPUTED_VALUE"""),"GC - X - 5053 - CTY ĐỊA LONG - CANXI BO (Nước trắng sữa) - 250ml - 40")</f>
        <v>GC - X - 5053 - CTY ĐỊA LONG - CANXI BO (Nước trắng sữa) - 250ml - 40</v>
      </c>
    </row>
    <row r="6111">
      <c r="A6111" s="86">
        <f>IFERROR(__xludf.DUMMYFUNCTION("""COMPUTED_VALUE"""),6109.0)</f>
        <v>6109</v>
      </c>
      <c r="B6111" s="87" t="str">
        <f>IFERROR(__xludf.DUMMYFUNCTION("""COMPUTED_VALUE"""),"[Nhãn Thùng]")</f>
        <v>[Nhãn Thùng]</v>
      </c>
      <c r="C6111" s="87" t="str">
        <f>IFERROR(__xludf.DUMMYFUNCTION("""COMPUTED_VALUE"""),"NDT5053")</f>
        <v>NDT5053</v>
      </c>
      <c r="D6111" s="87" t="str">
        <f>IFERROR(__xludf.DUMMYFUNCTION("""COMPUTED_VALUE"""),"[Nhãn Thùng] GC - X - 5053 - CTY ĐỊA LONG - CANXI BO (Nước trắng sữa) - 250ml - 40")</f>
        <v>[Nhãn Thùng] GC - X - 5053 - CTY ĐỊA LONG - CANXI BO (Nước trắng sữa) - 250ml - 40</v>
      </c>
      <c r="E6111" s="87" t="str">
        <f>IFERROR(__xludf.DUMMYFUNCTION("""COMPUTED_VALUE"""),"Vi lượng AGAMA-CANXI BO")</f>
        <v>Vi lượng AGAMA-CANXI BO</v>
      </c>
      <c r="F6111" s="87" t="str">
        <f>IFERROR(__xludf.DUMMYFUNCTION("""COMPUTED_VALUE"""),"HH5053")</f>
        <v>HH5053</v>
      </c>
      <c r="G6111" s="87" t="str">
        <f>IFERROR(__xludf.DUMMYFUNCTION("""COMPUTED_VALUE"""),"GC - X - 5053 - CTY ĐỊA LONG - CANXI BO (Nước trắng sữa) - 250ml - 40")</f>
        <v>GC - X - 5053 - CTY ĐỊA LONG - CANXI BO (Nước trắng sữa) - 250ml - 40</v>
      </c>
    </row>
    <row r="6112">
      <c r="A6112" s="86">
        <f>IFERROR(__xludf.DUMMYFUNCTION("""COMPUTED_VALUE"""),6110.0)</f>
        <v>6110</v>
      </c>
      <c r="B6112" s="87" t="str">
        <f>IFERROR(__xludf.DUMMYFUNCTION("""COMPUTED_VALUE"""),"[Nhãn]")</f>
        <v>[Nhãn]</v>
      </c>
      <c r="C6112" s="87" t="str">
        <f>IFERROR(__xludf.DUMMYFUNCTION("""COMPUTED_VALUE"""),"NHG5078")</f>
        <v>NHG5078</v>
      </c>
      <c r="D6112" s="87" t="str">
        <f>IFERROR(__xludf.DUMMYFUNCTION("""COMPUTED_VALUE"""),"[Nhãn] GC - X - 5078 - CTY GNH - VÔ GẠO (Nước nâu đen) - 500ml - 40")</f>
        <v>[Nhãn] GC - X - 5078 - CTY GNH - VÔ GẠO (Nước nâu đen) - 500ml - 40</v>
      </c>
      <c r="E6112" s="87" t="str">
        <f>IFERROR(__xludf.DUMMYFUNCTION("""COMPUTED_VALUE"""),"Vi lượng Quantity New")</f>
        <v>Vi lượng Quantity New</v>
      </c>
      <c r="F6112" s="87" t="str">
        <f>IFERROR(__xludf.DUMMYFUNCTION("""COMPUTED_VALUE"""),"HH5078")</f>
        <v>HH5078</v>
      </c>
      <c r="G6112" s="87" t="str">
        <f>IFERROR(__xludf.DUMMYFUNCTION("""COMPUTED_VALUE"""),"GC - X - 5078 - CTY GNH - VÔ GẠO (Nước nâu đen) - 500ml - 40")</f>
        <v>GC - X - 5078 - CTY GNH - VÔ GẠO (Nước nâu đen) - 500ml - 40</v>
      </c>
    </row>
    <row r="6113">
      <c r="A6113" s="86">
        <f>IFERROR(__xludf.DUMMYFUNCTION("""COMPUTED_VALUE"""),6111.0)</f>
        <v>6111</v>
      </c>
      <c r="B6113" s="87" t="str">
        <f>IFERROR(__xludf.DUMMYFUNCTION("""COMPUTED_VALUE"""),"[Nhãn]")</f>
        <v>[Nhãn]</v>
      </c>
      <c r="C6113" s="87" t="str">
        <f>IFERROR(__xludf.DUMMYFUNCTION("""COMPUTED_VALUE"""),"NHG5088")</f>
        <v>NHG5088</v>
      </c>
      <c r="D6113" s="87" t="str">
        <f>IFERROR(__xludf.DUMMYFUNCTION("""COMPUTED_VALUE"""),"[Nhãn] GC - V - 5088 - CTY HOÀNG THẮNG - GENOL 1.2SL (Nước đỏ) - 450ml - 40")</f>
        <v>[Nhãn] GC - V - 5088 - CTY HOÀNG THẮNG - GENOL 1.2SL (Nước đỏ) - 450ml - 40</v>
      </c>
      <c r="E6113" s="87" t="str">
        <f>IFERROR(__xludf.DUMMYFUNCTION("""COMPUTED_VALUE"""),"GENOL 1.2SL")</f>
        <v>GENOL 1.2SL</v>
      </c>
      <c r="F6113" s="87" t="str">
        <f>IFERROR(__xludf.DUMMYFUNCTION("""COMPUTED_VALUE"""),"HH5088")</f>
        <v>HH5088</v>
      </c>
      <c r="G6113" s="87" t="str">
        <f>IFERROR(__xludf.DUMMYFUNCTION("""COMPUTED_VALUE"""),"GC - V - 5088 - CTY HOÀNG THẮNG - GENOL 1.2SL (Nước đỏ) - 450ml - 40")</f>
        <v>GC - V - 5088 - CTY HOÀNG THẮNG - GENOL 1.2SL (Nước đỏ) - 450ml - 40</v>
      </c>
    </row>
    <row r="6114">
      <c r="A6114" s="86">
        <f>IFERROR(__xludf.DUMMYFUNCTION("""COMPUTED_VALUE"""),6112.0)</f>
        <v>6112</v>
      </c>
      <c r="B6114" s="87" t="str">
        <f>IFERROR(__xludf.DUMMYFUNCTION("""COMPUTED_VALUE"""),"[Hộp]")</f>
        <v>[Hộp]</v>
      </c>
      <c r="C6114" s="87" t="str">
        <f>IFERROR(__xludf.DUMMYFUNCTION("""COMPUTED_VALUE"""),"HOP4775")</f>
        <v>HOP4775</v>
      </c>
      <c r="D6114" s="87" t="str">
        <f>IFERROR(__xludf.DUMMYFUNCTION("""COMPUTED_VALUE"""),"[Hộp] GC - V - 4775 - CTY NÔNG DƯỢC BETA - BETA VÔ GẠO 555 (Dạng SC - Hồng nhạt) - 500ml - 30")</f>
        <v>[Hộp] GC - V - 4775 - CTY NÔNG DƯỢC BETA - BETA VÔ GẠO 555 (Dạng SC - Hồng nhạt) - 500ml - 30</v>
      </c>
      <c r="E6114" s="87" t="str">
        <f>IFERROR(__xludf.DUMMYFUNCTION("""COMPUTED_VALUE"""),"NPK-Vi lượng MASSIVE-BLUE")</f>
        <v>NPK-Vi lượng MASSIVE-BLUE</v>
      </c>
      <c r="F6114" s="87" t="str">
        <f>IFERROR(__xludf.DUMMYFUNCTION("""COMPUTED_VALUE"""),"HH4775")</f>
        <v>HH4775</v>
      </c>
      <c r="G6114" s="87" t="str">
        <f>IFERROR(__xludf.DUMMYFUNCTION("""COMPUTED_VALUE"""),"GC - V - 4775 - CTY NÔNG DƯỢC BETA - BETA VÔ GẠO 555 (Dạng SC - Hồng nhạt) - 500ml - 30")</f>
        <v>GC - V - 4775 - CTY NÔNG DƯỢC BETA - BETA VÔ GẠO 555 (Dạng SC - Hồng nhạt) - 500ml - 30</v>
      </c>
    </row>
    <row r="6115">
      <c r="A6115" s="86">
        <f>IFERROR(__xludf.DUMMYFUNCTION("""COMPUTED_VALUE"""),6113.0)</f>
        <v>6113</v>
      </c>
      <c r="B6115" s="87" t="str">
        <f>IFERROR(__xludf.DUMMYFUNCTION("""COMPUTED_VALUE"""),"[Nhãn]")</f>
        <v>[Nhãn]</v>
      </c>
      <c r="C6115" s="87" t="str">
        <f>IFERROR(__xludf.DUMMYFUNCTION("""COMPUTED_VALUE"""),"NHG5067")</f>
        <v>NHG5067</v>
      </c>
      <c r="D6115" s="87" t="str">
        <f>IFERROR(__xludf.DUMMYFUNCTION("""COMPUTED_VALUE"""),"[Nhãn] GC - IX - 5067 - N2SBIO - SIÊU HỮU CƠ (Nước nâu đen) - 1L - 20")</f>
        <v>[Nhãn] GC - IX - 5067 - N2SBIO - SIÊU HỮU CƠ (Nước nâu đen) - 1L - 20</v>
      </c>
      <c r="E6115" s="87" t="str">
        <f>IFERROR(__xludf.DUMMYFUNCTION("""COMPUTED_VALUE"""),"Hữu cơ ROOTS US90")</f>
        <v>Hữu cơ ROOTS US90</v>
      </c>
      <c r="F6115" s="87" t="str">
        <f>IFERROR(__xludf.DUMMYFUNCTION("""COMPUTED_VALUE"""),"HH5067")</f>
        <v>HH5067</v>
      </c>
      <c r="G6115" s="87" t="str">
        <f>IFERROR(__xludf.DUMMYFUNCTION("""COMPUTED_VALUE"""),"GC - IX - 5067 - N2SBIO - SIÊU HỮU CƠ (Nước nâu đen) - 1L - 20")</f>
        <v>GC - IX - 5067 - N2SBIO - SIÊU HỮU CƠ (Nước nâu đen) - 1L - 20</v>
      </c>
    </row>
    <row r="6116">
      <c r="A6116" s="86">
        <f>IFERROR(__xludf.DUMMYFUNCTION("""COMPUTED_VALUE"""),6114.0)</f>
        <v>6114</v>
      </c>
      <c r="B6116" s="87" t="str">
        <f>IFERROR(__xludf.DUMMYFUNCTION("""COMPUTED_VALUE"""),"[Nhãn]")</f>
        <v>[Nhãn]</v>
      </c>
      <c r="C6116" s="87" t="str">
        <f>IFERROR(__xludf.DUMMYFUNCTION("""COMPUTED_VALUE"""),"NHD5090")</f>
        <v>NHD5090</v>
      </c>
      <c r="D6116" s="87" t="str">
        <f>IFERROR(__xludf.DUMMYFUNCTION("""COMPUTED_VALUE"""),"[Nhãn] GC - IX - 5090 - N2SBIO - SIÊU HỮU CƠ (Nước nâu đen) - 5L - 4")</f>
        <v>[Nhãn] GC - IX - 5090 - N2SBIO - SIÊU HỮU CƠ (Nước nâu đen) - 5L - 4</v>
      </c>
      <c r="E6116" s="87" t="str">
        <f>IFERROR(__xludf.DUMMYFUNCTION("""COMPUTED_VALUE"""),"Hữu cơ ROOTS US90")</f>
        <v>Hữu cơ ROOTS US90</v>
      </c>
      <c r="F6116" s="87" t="str">
        <f>IFERROR(__xludf.DUMMYFUNCTION("""COMPUTED_VALUE"""),"HH5090")</f>
        <v>HH5090</v>
      </c>
      <c r="G6116" s="87" t="str">
        <f>IFERROR(__xludf.DUMMYFUNCTION("""COMPUTED_VALUE"""),"GC - IX - 5090 - N2SBIO - SIÊU HỮU CƠ (Nước nâu đen) - 5L - 4")</f>
        <v>GC - IX - 5090 - N2SBIO - SIÊU HỮU CƠ (Nước nâu đen) - 5L - 4</v>
      </c>
    </row>
    <row r="6117">
      <c r="A6117" s="86">
        <f>IFERROR(__xludf.DUMMYFUNCTION("""COMPUTED_VALUE"""),6115.0)</f>
        <v>6115</v>
      </c>
      <c r="B6117" s="87" t="str">
        <f>IFERROR(__xludf.DUMMYFUNCTION("""COMPUTED_VALUE"""),"[Nhãn Thùng]")</f>
        <v>[Nhãn Thùng]</v>
      </c>
      <c r="C6117" s="87" t="str">
        <f>IFERROR(__xludf.DUMMYFUNCTION("""COMPUTED_VALUE"""),"NDT5090")</f>
        <v>NDT5090</v>
      </c>
      <c r="D6117" s="87" t="str">
        <f>IFERROR(__xludf.DUMMYFUNCTION("""COMPUTED_VALUE"""),"[Nhãn Thùng] GC - IX - 5090 - N2SBIO - SIÊU HỮU CƠ (Nước nâu đen) - 5L - 4")</f>
        <v>[Nhãn Thùng] GC - IX - 5090 - N2SBIO - SIÊU HỮU CƠ (Nước nâu đen) - 5L - 4</v>
      </c>
      <c r="E6117" s="87" t="str">
        <f>IFERROR(__xludf.DUMMYFUNCTION("""COMPUTED_VALUE"""),"Hữu cơ ROOTS US90")</f>
        <v>Hữu cơ ROOTS US90</v>
      </c>
      <c r="F6117" s="87" t="str">
        <f>IFERROR(__xludf.DUMMYFUNCTION("""COMPUTED_VALUE"""),"HH5090")</f>
        <v>HH5090</v>
      </c>
      <c r="G6117" s="87" t="str">
        <f>IFERROR(__xludf.DUMMYFUNCTION("""COMPUTED_VALUE"""),"GC - IX - 5090 - N2SBIO - SIÊU HỮU CƠ (Nước nâu đen) - 5L - 4")</f>
        <v>GC - IX - 5090 - N2SBIO - SIÊU HỮU CƠ (Nước nâu đen) - 5L - 4</v>
      </c>
    </row>
    <row r="6118">
      <c r="A6118" s="86">
        <f>IFERROR(__xludf.DUMMYFUNCTION("""COMPUTED_VALUE"""),6116.0)</f>
        <v>6116</v>
      </c>
      <c r="B6118" s="87" t="str">
        <f>IFERROR(__xludf.DUMMYFUNCTION("""COMPUTED_VALUE"""),"[Nhãn]")</f>
        <v>[Nhãn]</v>
      </c>
      <c r="C6118" s="87" t="str">
        <f>IFERROR(__xludf.DUMMYFUNCTION("""COMPUTED_VALUE"""),"NHG5087")</f>
        <v>NHG5087</v>
      </c>
      <c r="D6118" s="87" t="str">
        <f>IFERROR(__xludf.DUMMYFUNCTION("""COMPUTED_VALUE"""),"[Nhãn] GC - V - 5087 - CTY TAGO - MUỐI HẠT (Nước vàng trà) - 250ml - 40")</f>
        <v>[Nhãn] GC - V - 5087 - CTY TAGO - MUỐI HẠT (Nước vàng trà) - 250ml - 40</v>
      </c>
      <c r="E6118" s="87" t="str">
        <f>IFERROR(__xludf.DUMMYFUNCTION("""COMPUTED_VALUE"""),"AMICOL 360EC")</f>
        <v>AMICOL 360EC</v>
      </c>
      <c r="F6118" s="87" t="str">
        <f>IFERROR(__xludf.DUMMYFUNCTION("""COMPUTED_VALUE"""),"HH5087")</f>
        <v>HH5087</v>
      </c>
      <c r="G6118" s="87" t="str">
        <f>IFERROR(__xludf.DUMMYFUNCTION("""COMPUTED_VALUE"""),"GC - V - 5087 - CTY TAGO - MUỐI HẠT (Nước vàng trà) - 250ml - 40")</f>
        <v>GC - V - 5087 - CTY TAGO - MUỐI HẠT (Nước vàng trà) - 250ml - 40</v>
      </c>
    </row>
    <row r="6119">
      <c r="A6119" s="86">
        <f>IFERROR(__xludf.DUMMYFUNCTION("""COMPUTED_VALUE"""),6117.0)</f>
        <v>6117</v>
      </c>
      <c r="B6119" s="87" t="str">
        <f>IFERROR(__xludf.DUMMYFUNCTION("""COMPUTED_VALUE"""),"[Nhãn]")</f>
        <v>[Nhãn]</v>
      </c>
      <c r="C6119" s="87" t="str">
        <f>IFERROR(__xludf.DUMMYFUNCTION("""COMPUTED_VALUE"""),"NHD5091")</f>
        <v>NHD5091</v>
      </c>
      <c r="D6119" s="87" t="str">
        <f>IFERROR(__xludf.DUMMYFUNCTION("""COMPUTED_VALUE"""),"[Nhãn] GC - V - 5091 - CTY DRAGON AGROCHEM - DC.TOP (Nước đỏ) - 240ml - 40")</f>
        <v>[Nhãn] GC - V - 5091 - CTY DRAGON AGROCHEM - DC.TOP (Nước đỏ) - 240ml - 40</v>
      </c>
      <c r="E6119" s="87" t="str">
        <f>IFERROR(__xludf.DUMMYFUNCTION("""COMPUTED_VALUE"""),"GENOL 1.2SL")</f>
        <v>GENOL 1.2SL</v>
      </c>
      <c r="F6119" s="87" t="str">
        <f>IFERROR(__xludf.DUMMYFUNCTION("""COMPUTED_VALUE"""),"HH5091")</f>
        <v>HH5091</v>
      </c>
      <c r="G6119" s="87" t="str">
        <f>IFERROR(__xludf.DUMMYFUNCTION("""COMPUTED_VALUE"""),"GC - V - 5091 - CTY DRAGON AGROCHEM - DC.TOP (Nước đỏ) - 240ml - 40")</f>
        <v>GC - V - 5091 - CTY DRAGON AGROCHEM - DC.TOP (Nước đỏ) - 240ml - 40</v>
      </c>
    </row>
    <row r="6120">
      <c r="A6120" s="86">
        <f>IFERROR(__xludf.DUMMYFUNCTION("""COMPUTED_VALUE"""),6118.0)</f>
        <v>6118</v>
      </c>
      <c r="B6120" s="87" t="str">
        <f>IFERROR(__xludf.DUMMYFUNCTION("""COMPUTED_VALUE"""),"[Nhãn Thùng]")</f>
        <v>[Nhãn Thùng]</v>
      </c>
      <c r="C6120" s="87" t="str">
        <f>IFERROR(__xludf.DUMMYFUNCTION("""COMPUTED_VALUE"""),"NDT5091")</f>
        <v>NDT5091</v>
      </c>
      <c r="D6120" s="87" t="str">
        <f>IFERROR(__xludf.DUMMYFUNCTION("""COMPUTED_VALUE"""),"[Nhãn Thùng] GC - V - 5091 - CTY DRAGON AGROCHEM - DC.TOP (Nước đỏ) - 240ml - 40")</f>
        <v>[Nhãn Thùng] GC - V - 5091 - CTY DRAGON AGROCHEM - DC.TOP (Nước đỏ) - 240ml - 40</v>
      </c>
      <c r="E6120" s="87" t="str">
        <f>IFERROR(__xludf.DUMMYFUNCTION("""COMPUTED_VALUE"""),"GENOL 1.2SL")</f>
        <v>GENOL 1.2SL</v>
      </c>
      <c r="F6120" s="87" t="str">
        <f>IFERROR(__xludf.DUMMYFUNCTION("""COMPUTED_VALUE"""),"HH5091")</f>
        <v>HH5091</v>
      </c>
      <c r="G6120" s="87" t="str">
        <f>IFERROR(__xludf.DUMMYFUNCTION("""COMPUTED_VALUE"""),"GC - V - 5091 - CTY DRAGON AGROCHEM - DC.TOP (Nước đỏ) - 240ml - 40")</f>
        <v>GC - V - 5091 - CTY DRAGON AGROCHEM - DC.TOP (Nước đỏ) - 240ml - 40</v>
      </c>
    </row>
    <row r="6121">
      <c r="A6121" s="86">
        <f>IFERROR(__xludf.DUMMYFUNCTION("""COMPUTED_VALUE"""),6119.0)</f>
        <v>6119</v>
      </c>
      <c r="B6121" s="87" t="str">
        <f>IFERROR(__xludf.DUMMYFUNCTION("""COMPUTED_VALUE"""),"[Nhãn]")</f>
        <v>[Nhãn]</v>
      </c>
      <c r="C6121" s="87" t="str">
        <f>IFERROR(__xludf.DUMMYFUNCTION("""COMPUTED_VALUE"""),"NHG5092")</f>
        <v>NHG5092</v>
      </c>
      <c r="D6121" s="87" t="str">
        <f>IFERROR(__xludf.DUMMYFUNCTION("""COMPUTED_VALUE"""),"[Nhãn] IDA Global - I - 5092 - ĐL MƯỜI GIANG - GENOL 1.2SL (Nước đỏ) - 350ml - 40")</f>
        <v>[Nhãn] IDA Global - I - 5092 - ĐL MƯỜI GIANG - GENOL 1.2SL (Nước đỏ) - 350ml - 40</v>
      </c>
      <c r="E6121" s="87" t="str">
        <f>IFERROR(__xludf.DUMMYFUNCTION("""COMPUTED_VALUE"""),"GENOL 1.2SL")</f>
        <v>GENOL 1.2SL</v>
      </c>
      <c r="F6121" s="87" t="str">
        <f>IFERROR(__xludf.DUMMYFUNCTION("""COMPUTED_VALUE"""),"HH5092")</f>
        <v>HH5092</v>
      </c>
      <c r="G6121" s="87" t="str">
        <f>IFERROR(__xludf.DUMMYFUNCTION("""COMPUTED_VALUE"""),"IDA Global - I - 5092 - ĐL MƯỜI GIANG - GENOL 1.2SL (Nước đỏ) - 350ml - 40")</f>
        <v>IDA Global - I - 5092 - ĐL MƯỜI GIANG - GENOL 1.2SL (Nước đỏ) - 350ml - 40</v>
      </c>
    </row>
    <row r="6122">
      <c r="A6122" s="86">
        <f>IFERROR(__xludf.DUMMYFUNCTION("""COMPUTED_VALUE"""),6120.0)</f>
        <v>6120</v>
      </c>
      <c r="B6122" s="87" t="str">
        <f>IFERROR(__xludf.DUMMYFUNCTION("""COMPUTED_VALUE"""),"[Nhãn]")</f>
        <v>[Nhãn]</v>
      </c>
      <c r="C6122" s="87" t="str">
        <f>IFERROR(__xludf.DUMMYFUNCTION("""COMPUTED_VALUE"""),"NHD4187")</f>
        <v>NHD4187</v>
      </c>
      <c r="D6122" s="87" t="str">
        <f>IFERROR(__xludf.DUMMYFUNCTION("""COMPUTED_VALUE"""),"[Nhãn] GC - IX - 4187 - N2SBIO - N2 ULTRA LOCK (Dạng SC - Trắng sữa) - 500ml - 40")</f>
        <v>[Nhãn] GC - IX - 4187 - N2SBIO - N2 ULTRA LOCK (Dạng SC - Trắng sữa) - 500ml - 40</v>
      </c>
      <c r="E6122" s="87" t="str">
        <f>IFERROR(__xludf.DUMMYFUNCTION("""COMPUTED_VALUE"""),"Lá PK-Trung Lượng NBC-Photphonate")</f>
        <v>Lá PK-Trung Lượng NBC-Photphonate</v>
      </c>
      <c r="F6122" s="87" t="str">
        <f>IFERROR(__xludf.DUMMYFUNCTION("""COMPUTED_VALUE"""),"HH4187")</f>
        <v>HH4187</v>
      </c>
      <c r="G6122" s="87" t="str">
        <f>IFERROR(__xludf.DUMMYFUNCTION("""COMPUTED_VALUE"""),"GC - IX - 4187 - N2SBIO - N2 ULTRA LOCK (Dạng SC - Trắng sữa) - 500ml - 40")</f>
        <v>GC - IX - 4187 - N2SBIO - N2 ULTRA LOCK (Dạng SC - Trắng sữa) - 500ml - 40</v>
      </c>
    </row>
    <row r="6123">
      <c r="A6123" s="86">
        <f>IFERROR(__xludf.DUMMYFUNCTION("""COMPUTED_VALUE"""),6121.0)</f>
        <v>6121</v>
      </c>
      <c r="B6123" s="87" t="str">
        <f>IFERROR(__xludf.DUMMYFUNCTION("""COMPUTED_VALUE"""),"[Nhãn]")</f>
        <v>[Nhãn]</v>
      </c>
      <c r="C6123" s="87" t="str">
        <f>IFERROR(__xludf.DUMMYFUNCTION("""COMPUTED_VALUE"""),"NHG4550")</f>
        <v>NHG4550</v>
      </c>
      <c r="D6123" s="87" t="str">
        <f>IFERROR(__xludf.DUMMYFUNCTION("""COMPUTED_VALUE"""),"[Nhãn] IDA Global - I - 4550 - ĐL MƯỜI GIANG - CITTIZEN 333SC (Nước cam sữa) - 350ml - 40")</f>
        <v>[Nhãn] IDA Global - I - 4550 - ĐL MƯỜI GIANG - CITTIZEN 333SC (Nước cam sữa) - 350ml - 40</v>
      </c>
      <c r="E6123" s="87" t="str">
        <f>IFERROR(__xludf.DUMMYFUNCTION("""COMPUTED_VALUE"""),"CITTIZEN 333SC")</f>
        <v>CITTIZEN 333SC</v>
      </c>
      <c r="F6123" s="87" t="str">
        <f>IFERROR(__xludf.DUMMYFUNCTION("""COMPUTED_VALUE"""),"HH4550")</f>
        <v>HH4550</v>
      </c>
      <c r="G6123" s="87" t="str">
        <f>IFERROR(__xludf.DUMMYFUNCTION("""COMPUTED_VALUE"""),"IDA Global - I - 4550 - ĐL MƯỜI GIANG - CITTIZEN 333SC (Nước cam sữa) - 350ml - 40")</f>
        <v>IDA Global - I - 4550 - ĐL MƯỜI GIANG - CITTIZEN 333SC (Nước cam sữa) - 350ml - 40</v>
      </c>
    </row>
    <row r="6124">
      <c r="A6124" s="86">
        <f>IFERROR(__xludf.DUMMYFUNCTION("""COMPUTED_VALUE"""),6122.0)</f>
        <v>6122</v>
      </c>
      <c r="B6124" s="87" t="str">
        <f>IFERROR(__xludf.DUMMYFUNCTION("""COMPUTED_VALUE"""),"[Nhãn]")</f>
        <v>[Nhãn]</v>
      </c>
      <c r="C6124" s="87" t="str">
        <f>IFERROR(__xludf.DUMMYFUNCTION("""COMPUTED_VALUE"""),"NTN5089")</f>
        <v>NTN5089</v>
      </c>
      <c r="D6124" s="87" t="str">
        <f>IFERROR(__xludf.DUMMYFUNCTION("""COMPUTED_VALUE"""),"[Nhãn] GC - V - 5089 - CTY KIM NGỌC - Sạch Sâu (Dạng cốm màu trắng ngà) - 10gr - 400")</f>
        <v>[Nhãn] GC - V - 5089 - CTY KIM NGỌC - Sạch Sâu (Dạng cốm màu trắng ngà) - 10gr - 400</v>
      </c>
      <c r="E6124" s="87" t="str">
        <f>IFERROR(__xludf.DUMMYFUNCTION("""COMPUTED_VALUE"""),"MAKEGREEN 55WG")</f>
        <v>MAKEGREEN 55WG</v>
      </c>
      <c r="F6124" s="87" t="str">
        <f>IFERROR(__xludf.DUMMYFUNCTION("""COMPUTED_VALUE"""),"HH5089")</f>
        <v>HH5089</v>
      </c>
      <c r="G6124" s="87" t="str">
        <f>IFERROR(__xludf.DUMMYFUNCTION("""COMPUTED_VALUE"""),"GC - V - 5089 - CTY KIM NGỌC - Sạch Sâu (Dạng cốm màu trắng ngà) - 10gr - 400")</f>
        <v>GC - V - 5089 - CTY KIM NGỌC - Sạch Sâu (Dạng cốm màu trắng ngà) - 10gr - 400</v>
      </c>
    </row>
    <row r="6125">
      <c r="A6125" s="86">
        <f>IFERROR(__xludf.DUMMYFUNCTION("""COMPUTED_VALUE"""),6123.0)</f>
        <v>6123</v>
      </c>
      <c r="B6125" s="87" t="str">
        <f>IFERROR(__xludf.DUMMYFUNCTION("""COMPUTED_VALUE"""),"[Nhãn Thùng]")</f>
        <v>[Nhãn Thùng]</v>
      </c>
      <c r="C6125" s="87" t="str">
        <f>IFERROR(__xludf.DUMMYFUNCTION("""COMPUTED_VALUE"""),"NDT5089")</f>
        <v>NDT5089</v>
      </c>
      <c r="D6125" s="87" t="str">
        <f>IFERROR(__xludf.DUMMYFUNCTION("""COMPUTED_VALUE"""),"[Nhãn Thùng] GC - V - 5089 - CTY KIM NGỌC - Sạch Sâu (Dạng cốm màu trắng ngà) - 10gr - 400")</f>
        <v>[Nhãn Thùng] GC - V - 5089 - CTY KIM NGỌC - Sạch Sâu (Dạng cốm màu trắng ngà) - 10gr - 400</v>
      </c>
      <c r="E6125" s="87" t="str">
        <f>IFERROR(__xludf.DUMMYFUNCTION("""COMPUTED_VALUE"""),"MAKEGREEN 55WG")</f>
        <v>MAKEGREEN 55WG</v>
      </c>
      <c r="F6125" s="87" t="str">
        <f>IFERROR(__xludf.DUMMYFUNCTION("""COMPUTED_VALUE"""),"HH5089")</f>
        <v>HH5089</v>
      </c>
      <c r="G6125" s="87" t="str">
        <f>IFERROR(__xludf.DUMMYFUNCTION("""COMPUTED_VALUE"""),"GC - V - 5089 - CTY KIM NGỌC - Sạch Sâu (Dạng cốm màu trắng ngà) - 10gr - 400")</f>
        <v>GC - V - 5089 - CTY KIM NGỌC - Sạch Sâu (Dạng cốm màu trắng ngà) - 10gr - 400</v>
      </c>
    </row>
    <row r="6126">
      <c r="A6126" s="86">
        <f>IFERROR(__xludf.DUMMYFUNCTION("""COMPUTED_VALUE"""),6124.0)</f>
        <v>6124</v>
      </c>
      <c r="B6126" s="87" t="str">
        <f>IFERROR(__xludf.DUMMYFUNCTION("""COMPUTED_VALUE"""),"[Nhãn]")</f>
        <v>[Nhãn]</v>
      </c>
      <c r="C6126" s="87" t="str">
        <f>IFERROR(__xludf.DUMMYFUNCTION("""COMPUTED_VALUE"""),"NHG5007")</f>
        <v>NHG5007</v>
      </c>
      <c r="D6126" s="87" t="str">
        <f>IFERROR(__xludf.DUMMYFUNCTION("""COMPUTED_VALUE"""),"[Nhãn] GC - X - 5007 - CTY SEN HỒNG - MAGIE KẼM SH (Nước xanh ngọc) - 500ml - 40")</f>
        <v>[Nhãn] GC - X - 5007 - CTY SEN HỒNG - MAGIE KẼM SH (Nước xanh ngọc) - 500ml - 40</v>
      </c>
      <c r="E6126" s="87" t="str">
        <f>IFERROR(__xludf.DUMMYFUNCTION("""COMPUTED_VALUE"""),"vi lượng Phú Sĩ FJ-09 Kẽm Mg")</f>
        <v>vi lượng Phú Sĩ FJ-09 Kẽm Mg</v>
      </c>
      <c r="F6126" s="87" t="str">
        <f>IFERROR(__xludf.DUMMYFUNCTION("""COMPUTED_VALUE"""),"HH5007")</f>
        <v>HH5007</v>
      </c>
      <c r="G6126" s="87" t="str">
        <f>IFERROR(__xludf.DUMMYFUNCTION("""COMPUTED_VALUE"""),"GC - X - 5007 - CTY SEN HỒNG - MAGIE KẼM SH (Nước xanh ngọc) - 500ml - 40")</f>
        <v>GC - X - 5007 - CTY SEN HỒNG - MAGIE KẼM SH (Nước xanh ngọc) - 500ml - 40</v>
      </c>
    </row>
    <row r="6127">
      <c r="A6127" s="86">
        <f>IFERROR(__xludf.DUMMYFUNCTION("""COMPUTED_VALUE"""),6125.0)</f>
        <v>6125</v>
      </c>
      <c r="B6127" s="87" t="str">
        <f>IFERROR(__xludf.DUMMYFUNCTION("""COMPUTED_VALUE"""),"[Nhãn]")</f>
        <v>[Nhãn]</v>
      </c>
      <c r="C6127" s="87" t="str">
        <f>IFERROR(__xludf.DUMMYFUNCTION("""COMPUTED_VALUE"""),"NHG5093")</f>
        <v>NHG5093</v>
      </c>
      <c r="D6127" s="87" t="str">
        <f>IFERROR(__xludf.DUMMYFUNCTION("""COMPUTED_VALUE"""),"[Nhãn] GC - X - 5093 - HÓA NÔNG SHINO - CỨNG CÂY D345 (Nước nâu đen) - 450ml - 30")</f>
        <v>[Nhãn] GC - X - 5093 - HÓA NÔNG SHINO - CỨNG CÂY D345 (Nước nâu đen) - 450ml - 30</v>
      </c>
      <c r="E6127" s="87" t="str">
        <f>IFERROR(__xludf.DUMMYFUNCTION("""COMPUTED_VALUE"""),"Vi Lượng G.A 05")</f>
        <v>Vi Lượng G.A 05</v>
      </c>
      <c r="F6127" s="87" t="str">
        <f>IFERROR(__xludf.DUMMYFUNCTION("""COMPUTED_VALUE"""),"HH5093")</f>
        <v>HH5093</v>
      </c>
      <c r="G6127" s="87" t="str">
        <f>IFERROR(__xludf.DUMMYFUNCTION("""COMPUTED_VALUE"""),"GC - X - 5093 - HÓA NÔNG SHINO - CỨNG CÂY D345 (Nước nâu đen) - 450ml - 30")</f>
        <v>GC - X - 5093 - HÓA NÔNG SHINO - CỨNG CÂY D345 (Nước nâu đen) - 450ml - 30</v>
      </c>
    </row>
    <row r="6128">
      <c r="A6128" s="86">
        <f>IFERROR(__xludf.DUMMYFUNCTION("""COMPUTED_VALUE"""),6126.0)</f>
        <v>6126</v>
      </c>
      <c r="B6128" s="87" t="str">
        <f>IFERROR(__xludf.DUMMYFUNCTION("""COMPUTED_VALUE"""),"[Nhãn]")</f>
        <v>[Nhãn]</v>
      </c>
      <c r="C6128" s="87" t="str">
        <f>IFERROR(__xludf.DUMMYFUNCTION("""COMPUTED_VALUE"""),"NHG5095")</f>
        <v>NHG5095</v>
      </c>
      <c r="D6128" s="87" t="str">
        <f>IFERROR(__xludf.DUMMYFUNCTION("""COMPUTED_VALUE"""),"[Nhãn] IDA Global - I - 5095 - CAMAP PLUS (Nước trắng sữa) - 240ml - 40")</f>
        <v>[Nhãn] IDA Global - I - 5095 - CAMAP PLUS (Nước trắng sữa) - 240ml - 40</v>
      </c>
      <c r="E6128" s="87" t="str">
        <f>IFERROR(__xludf.DUMMYFUNCTION("""COMPUTED_VALUE"""),"ADU-Fenar 24SC")</f>
        <v>ADU-Fenar 24SC</v>
      </c>
      <c r="F6128" s="87" t="str">
        <f>IFERROR(__xludf.DUMMYFUNCTION("""COMPUTED_VALUE"""),"HH5095")</f>
        <v>HH5095</v>
      </c>
      <c r="G6128" s="87" t="str">
        <f>IFERROR(__xludf.DUMMYFUNCTION("""COMPUTED_VALUE"""),"IDA Global - I - 5095 - CAMAP PLUS (Nước trắng sữa) - 240ml - 40")</f>
        <v>IDA Global - I - 5095 - CAMAP PLUS (Nước trắng sữa) - 240ml - 40</v>
      </c>
    </row>
    <row r="6129">
      <c r="A6129" s="86">
        <f>IFERROR(__xludf.DUMMYFUNCTION("""COMPUTED_VALUE"""),6127.0)</f>
        <v>6127</v>
      </c>
      <c r="B6129" s="87" t="str">
        <f>IFERROR(__xludf.DUMMYFUNCTION("""COMPUTED_VALUE"""),"[Nhãn]")</f>
        <v>[Nhãn]</v>
      </c>
      <c r="C6129" s="87" t="str">
        <f>IFERROR(__xludf.DUMMYFUNCTION("""COMPUTED_VALUE"""),"NHG5096")</f>
        <v>NHG5096</v>
      </c>
      <c r="D6129" s="87" t="str">
        <f>IFERROR(__xludf.DUMMYFUNCTION("""COMPUTED_VALUE"""),"[Nhãn] GC - X - 5096 - CTY NÔNG NGHIỆP ĐĂNG KHOA - KÍCH RA HOA (Nước nâu đen) - 500ml - 40")</f>
        <v>[Nhãn] GC - X - 5096 - CTY NÔNG NGHIỆP ĐĂNG KHOA - KÍCH RA HOA (Nước nâu đen) - 500ml - 40</v>
      </c>
      <c r="E6129" s="87" t="str">
        <f>IFERROR(__xludf.DUMMYFUNCTION("""COMPUTED_VALUE"""),"Vi lượng Quantity New")</f>
        <v>Vi lượng Quantity New</v>
      </c>
      <c r="F6129" s="87" t="str">
        <f>IFERROR(__xludf.DUMMYFUNCTION("""COMPUTED_VALUE"""),"HH5096")</f>
        <v>HH5096</v>
      </c>
      <c r="G6129" s="87" t="str">
        <f>IFERROR(__xludf.DUMMYFUNCTION("""COMPUTED_VALUE"""),"GC - X - 5096 - CTY NÔNG NGHIỆP ĐĂNG KHOA - KÍCH RA HOA (Nước nâu đen) - 500ml - 40")</f>
        <v>GC - X - 5096 - CTY NÔNG NGHIỆP ĐĂNG KHOA - KÍCH RA HOA (Nước nâu đen) - 500ml - 40</v>
      </c>
    </row>
    <row r="6130">
      <c r="A6130" s="86">
        <f>IFERROR(__xludf.DUMMYFUNCTION("""COMPUTED_VALUE"""),6128.0)</f>
        <v>6128</v>
      </c>
      <c r="B6130" s="87" t="str">
        <f>IFERROR(__xludf.DUMMYFUNCTION("""COMPUTED_VALUE"""),"NL")</f>
        <v>NL</v>
      </c>
      <c r="C6130" s="87" t="str">
        <f>IFERROR(__xludf.DUMMYFUNCTION("""COMPUTED_VALUE"""),"NA0002")</f>
        <v>NA0002</v>
      </c>
      <c r="D6130" s="87" t="str">
        <f>IFERROR(__xludf.DUMMYFUNCTION("""COMPUTED_VALUE"""),"Phụ gia NA0002")</f>
        <v>Phụ gia NA0002</v>
      </c>
      <c r="E6130" s="87"/>
      <c r="F6130" s="87"/>
      <c r="G6130" s="87"/>
    </row>
    <row r="6131">
      <c r="A6131" s="86">
        <f>IFERROR(__xludf.DUMMYFUNCTION("""COMPUTED_VALUE"""),6129.0)</f>
        <v>6129</v>
      </c>
      <c r="B6131" s="87" t="str">
        <f>IFERROR(__xludf.DUMMYFUNCTION("""COMPUTED_VALUE"""),"NL")</f>
        <v>NL</v>
      </c>
      <c r="C6131" s="87" t="str">
        <f>IFERROR(__xludf.DUMMYFUNCTION("""COMPUTED_VALUE"""),"NA0003")</f>
        <v>NA0003</v>
      </c>
      <c r="D6131" s="87" t="str">
        <f>IFERROR(__xludf.DUMMYFUNCTION("""COMPUTED_VALUE"""),"Phụ gia NA0003")</f>
        <v>Phụ gia NA0003</v>
      </c>
      <c r="E6131" s="87"/>
      <c r="F6131" s="87"/>
      <c r="G6131" s="87"/>
    </row>
    <row r="6132">
      <c r="A6132" s="86">
        <f>IFERROR(__xludf.DUMMYFUNCTION("""COMPUTED_VALUE"""),6130.0)</f>
        <v>6130</v>
      </c>
      <c r="B6132" s="87" t="str">
        <f>IFERROR(__xludf.DUMMYFUNCTION("""COMPUTED_VALUE"""),"NL")</f>
        <v>NL</v>
      </c>
      <c r="C6132" s="87" t="str">
        <f>IFERROR(__xludf.DUMMYFUNCTION("""COMPUTED_VALUE"""),"NA0004")</f>
        <v>NA0004</v>
      </c>
      <c r="D6132" s="87" t="str">
        <f>IFERROR(__xludf.DUMMYFUNCTION("""COMPUTED_VALUE"""),"Phụ gia NA0004")</f>
        <v>Phụ gia NA0004</v>
      </c>
      <c r="E6132" s="87"/>
      <c r="F6132" s="87"/>
      <c r="G6132" s="87"/>
    </row>
    <row r="6133">
      <c r="A6133" s="86">
        <f>IFERROR(__xludf.DUMMYFUNCTION("""COMPUTED_VALUE"""),6131.0)</f>
        <v>6131</v>
      </c>
      <c r="B6133" s="87" t="str">
        <f>IFERROR(__xludf.DUMMYFUNCTION("""COMPUTED_VALUE"""),"NL")</f>
        <v>NL</v>
      </c>
      <c r="C6133" s="87" t="str">
        <f>IFERROR(__xludf.DUMMYFUNCTION("""COMPUTED_VALUE"""),"NA0005")</f>
        <v>NA0005</v>
      </c>
      <c r="D6133" s="87" t="str">
        <f>IFERROR(__xludf.DUMMYFUNCTION("""COMPUTED_VALUE"""),"Phụ gia NA0005")</f>
        <v>Phụ gia NA0005</v>
      </c>
      <c r="E6133" s="87"/>
      <c r="F6133" s="87"/>
      <c r="G6133" s="87"/>
    </row>
    <row r="6134">
      <c r="A6134" s="86">
        <f>IFERROR(__xludf.DUMMYFUNCTION("""COMPUTED_VALUE"""),6132.0)</f>
        <v>6132</v>
      </c>
      <c r="B6134" s="87" t="str">
        <f>IFERROR(__xludf.DUMMYFUNCTION("""COMPUTED_VALUE"""),"NL")</f>
        <v>NL</v>
      </c>
      <c r="C6134" s="87" t="str">
        <f>IFERROR(__xludf.DUMMYFUNCTION("""COMPUTED_VALUE"""),"NA0006")</f>
        <v>NA0006</v>
      </c>
      <c r="D6134" s="87" t="str">
        <f>IFERROR(__xludf.DUMMYFUNCTION("""COMPUTED_VALUE"""),"Phụ gia NA0006")</f>
        <v>Phụ gia NA0006</v>
      </c>
      <c r="E6134" s="87"/>
      <c r="F6134" s="87"/>
      <c r="G6134" s="87"/>
    </row>
    <row r="6135">
      <c r="A6135" s="86">
        <f>IFERROR(__xludf.DUMMYFUNCTION("""COMPUTED_VALUE"""),6133.0)</f>
        <v>6133</v>
      </c>
      <c r="B6135" s="87" t="str">
        <f>IFERROR(__xludf.DUMMYFUNCTION("""COMPUTED_VALUE"""),"NL")</f>
        <v>NL</v>
      </c>
      <c r="C6135" s="87" t="str">
        <f>IFERROR(__xludf.DUMMYFUNCTION("""COMPUTED_VALUE"""),"NA0007")</f>
        <v>NA0007</v>
      </c>
      <c r="D6135" s="87" t="str">
        <f>IFERROR(__xludf.DUMMYFUNCTION("""COMPUTED_VALUE"""),"Phụ gia NA0007")</f>
        <v>Phụ gia NA0007</v>
      </c>
      <c r="E6135" s="87"/>
      <c r="F6135" s="87"/>
      <c r="G6135" s="87"/>
    </row>
    <row r="6136">
      <c r="A6136" s="86">
        <f>IFERROR(__xludf.DUMMYFUNCTION("""COMPUTED_VALUE"""),6134.0)</f>
        <v>6134</v>
      </c>
      <c r="B6136" s="87" t="str">
        <f>IFERROR(__xludf.DUMMYFUNCTION("""COMPUTED_VALUE"""),"NL")</f>
        <v>NL</v>
      </c>
      <c r="C6136" s="87" t="str">
        <f>IFERROR(__xludf.DUMMYFUNCTION("""COMPUTED_VALUE"""),"NA0008")</f>
        <v>NA0008</v>
      </c>
      <c r="D6136" s="87" t="str">
        <f>IFERROR(__xludf.DUMMYFUNCTION("""COMPUTED_VALUE"""),"Phụ gia NA0008")</f>
        <v>Phụ gia NA0008</v>
      </c>
      <c r="E6136" s="87"/>
      <c r="F6136" s="87"/>
      <c r="G6136" s="87"/>
    </row>
    <row r="6137">
      <c r="A6137" s="86">
        <f>IFERROR(__xludf.DUMMYFUNCTION("""COMPUTED_VALUE"""),6135.0)</f>
        <v>6135</v>
      </c>
      <c r="B6137" s="87" t="str">
        <f>IFERROR(__xludf.DUMMYFUNCTION("""COMPUTED_VALUE"""),"NL")</f>
        <v>NL</v>
      </c>
      <c r="C6137" s="87" t="str">
        <f>IFERROR(__xludf.DUMMYFUNCTION("""COMPUTED_VALUE"""),"NA0009")</f>
        <v>NA0009</v>
      </c>
      <c r="D6137" s="87" t="str">
        <f>IFERROR(__xludf.DUMMYFUNCTION("""COMPUTED_VALUE"""),"Phụ gia NA0009")</f>
        <v>Phụ gia NA0009</v>
      </c>
      <c r="E6137" s="87"/>
      <c r="F6137" s="87"/>
      <c r="G6137" s="87"/>
    </row>
    <row r="6138">
      <c r="A6138" s="86">
        <f>IFERROR(__xludf.DUMMYFUNCTION("""COMPUTED_VALUE"""),6136.0)</f>
        <v>6136</v>
      </c>
      <c r="B6138" s="87" t="str">
        <f>IFERROR(__xludf.DUMMYFUNCTION("""COMPUTED_VALUE"""),"NL")</f>
        <v>NL</v>
      </c>
      <c r="C6138" s="87" t="str">
        <f>IFERROR(__xludf.DUMMYFUNCTION("""COMPUTED_VALUE"""),"NA0010")</f>
        <v>NA0010</v>
      </c>
      <c r="D6138" s="87" t="str">
        <f>IFERROR(__xludf.DUMMYFUNCTION("""COMPUTED_VALUE"""),"Phụ gia NA0010")</f>
        <v>Phụ gia NA0010</v>
      </c>
      <c r="E6138" s="87"/>
      <c r="F6138" s="87"/>
      <c r="G6138" s="87"/>
    </row>
    <row r="6139">
      <c r="A6139" s="86">
        <f>IFERROR(__xludf.DUMMYFUNCTION("""COMPUTED_VALUE"""),6137.0)</f>
        <v>6137</v>
      </c>
      <c r="B6139" s="87" t="str">
        <f>IFERROR(__xludf.DUMMYFUNCTION("""COMPUTED_VALUE"""),"NL")</f>
        <v>NL</v>
      </c>
      <c r="C6139" s="87" t="str">
        <f>IFERROR(__xludf.DUMMYFUNCTION("""COMPUTED_VALUE"""),"NA0011")</f>
        <v>NA0011</v>
      </c>
      <c r="D6139" s="87" t="str">
        <f>IFERROR(__xludf.DUMMYFUNCTION("""COMPUTED_VALUE"""),"Phụ gia NA0011")</f>
        <v>Phụ gia NA0011</v>
      </c>
      <c r="E6139" s="87"/>
      <c r="F6139" s="87"/>
      <c r="G6139" s="87"/>
    </row>
    <row r="6140">
      <c r="A6140" s="86">
        <f>IFERROR(__xludf.DUMMYFUNCTION("""COMPUTED_VALUE"""),6138.0)</f>
        <v>6138</v>
      </c>
      <c r="B6140" s="87" t="str">
        <f>IFERROR(__xludf.DUMMYFUNCTION("""COMPUTED_VALUE"""),"NL")</f>
        <v>NL</v>
      </c>
      <c r="C6140" s="87" t="str">
        <f>IFERROR(__xludf.DUMMYFUNCTION("""COMPUTED_VALUE"""),"NA0012")</f>
        <v>NA0012</v>
      </c>
      <c r="D6140" s="87" t="str">
        <f>IFERROR(__xludf.DUMMYFUNCTION("""COMPUTED_VALUE"""),"Phụ gia NA0012")</f>
        <v>Phụ gia NA0012</v>
      </c>
      <c r="E6140" s="87"/>
      <c r="F6140" s="87"/>
      <c r="G6140" s="87"/>
    </row>
    <row r="6141">
      <c r="A6141" s="86">
        <f>IFERROR(__xludf.DUMMYFUNCTION("""COMPUTED_VALUE"""),6139.0)</f>
        <v>6139</v>
      </c>
      <c r="B6141" s="87" t="str">
        <f>IFERROR(__xludf.DUMMYFUNCTION("""COMPUTED_VALUE"""),"NL")</f>
        <v>NL</v>
      </c>
      <c r="C6141" s="87" t="str">
        <f>IFERROR(__xludf.DUMMYFUNCTION("""COMPUTED_VALUE"""),"NA0012V1")</f>
        <v>NA0012V1</v>
      </c>
      <c r="D6141" s="87" t="str">
        <f>IFERROR(__xludf.DUMMYFUNCTION("""COMPUTED_VALUE"""),"Phụ gia NA0012V1")</f>
        <v>Phụ gia NA0012V1</v>
      </c>
      <c r="E6141" s="87"/>
      <c r="F6141" s="87"/>
      <c r="G6141" s="87"/>
    </row>
    <row r="6142">
      <c r="A6142" s="86">
        <f>IFERROR(__xludf.DUMMYFUNCTION("""COMPUTED_VALUE"""),6140.0)</f>
        <v>6140</v>
      </c>
      <c r="B6142" s="87" t="str">
        <f>IFERROR(__xludf.DUMMYFUNCTION("""COMPUTED_VALUE"""),"NL")</f>
        <v>NL</v>
      </c>
      <c r="C6142" s="87" t="str">
        <f>IFERROR(__xludf.DUMMYFUNCTION("""COMPUTED_VALUE"""),"NA0012V2")</f>
        <v>NA0012V2</v>
      </c>
      <c r="D6142" s="87" t="str">
        <f>IFERROR(__xludf.DUMMYFUNCTION("""COMPUTED_VALUE"""),"Phụ gia NA0012V2")</f>
        <v>Phụ gia NA0012V2</v>
      </c>
      <c r="E6142" s="87"/>
      <c r="F6142" s="87"/>
      <c r="G6142" s="87"/>
    </row>
    <row r="6143">
      <c r="A6143" s="86">
        <f>IFERROR(__xludf.DUMMYFUNCTION("""COMPUTED_VALUE"""),6141.0)</f>
        <v>6141</v>
      </c>
      <c r="B6143" s="87" t="str">
        <f>IFERROR(__xludf.DUMMYFUNCTION("""COMPUTED_VALUE"""),"NL")</f>
        <v>NL</v>
      </c>
      <c r="C6143" s="87" t="str">
        <f>IFERROR(__xludf.DUMMYFUNCTION("""COMPUTED_VALUE"""),"NA0013")</f>
        <v>NA0013</v>
      </c>
      <c r="D6143" s="87" t="str">
        <f>IFERROR(__xludf.DUMMYFUNCTION("""COMPUTED_VALUE"""),"Phụ gia NA0013")</f>
        <v>Phụ gia NA0013</v>
      </c>
      <c r="E6143" s="87"/>
      <c r="F6143" s="87"/>
      <c r="G6143" s="87"/>
    </row>
    <row r="6144">
      <c r="A6144" s="86">
        <f>IFERROR(__xludf.DUMMYFUNCTION("""COMPUTED_VALUE"""),6142.0)</f>
        <v>6142</v>
      </c>
      <c r="B6144" s="87" t="str">
        <f>IFERROR(__xludf.DUMMYFUNCTION("""COMPUTED_VALUE"""),"NL")</f>
        <v>NL</v>
      </c>
      <c r="C6144" s="87" t="str">
        <f>IFERROR(__xludf.DUMMYFUNCTION("""COMPUTED_VALUE"""),"NA0014")</f>
        <v>NA0014</v>
      </c>
      <c r="D6144" s="87" t="str">
        <f>IFERROR(__xludf.DUMMYFUNCTION("""COMPUTED_VALUE"""),"Phụ gia NA0014")</f>
        <v>Phụ gia NA0014</v>
      </c>
      <c r="E6144" s="87"/>
      <c r="F6144" s="87"/>
      <c r="G6144" s="87"/>
    </row>
    <row r="6145">
      <c r="A6145" s="86">
        <f>IFERROR(__xludf.DUMMYFUNCTION("""COMPUTED_VALUE"""),6143.0)</f>
        <v>6143</v>
      </c>
      <c r="B6145" s="87" t="str">
        <f>IFERROR(__xludf.DUMMYFUNCTION("""COMPUTED_VALUE"""),"NL")</f>
        <v>NL</v>
      </c>
      <c r="C6145" s="87" t="str">
        <f>IFERROR(__xludf.DUMMYFUNCTION("""COMPUTED_VALUE"""),"NA0015")</f>
        <v>NA0015</v>
      </c>
      <c r="D6145" s="87" t="str">
        <f>IFERROR(__xludf.DUMMYFUNCTION("""COMPUTED_VALUE"""),"Phụ gia NA0015")</f>
        <v>Phụ gia NA0015</v>
      </c>
      <c r="E6145" s="87"/>
      <c r="F6145" s="87"/>
      <c r="G6145" s="87"/>
    </row>
    <row r="6146">
      <c r="A6146" s="86">
        <f>IFERROR(__xludf.DUMMYFUNCTION("""COMPUTED_VALUE"""),6144.0)</f>
        <v>6144</v>
      </c>
      <c r="B6146" s="87" t="str">
        <f>IFERROR(__xludf.DUMMYFUNCTION("""COMPUTED_VALUE"""),"NL")</f>
        <v>NL</v>
      </c>
      <c r="C6146" s="87" t="str">
        <f>IFERROR(__xludf.DUMMYFUNCTION("""COMPUTED_VALUE"""),"NA0016")</f>
        <v>NA0016</v>
      </c>
      <c r="D6146" s="87" t="str">
        <f>IFERROR(__xludf.DUMMYFUNCTION("""COMPUTED_VALUE"""),"Phụ gia NA0016")</f>
        <v>Phụ gia NA0016</v>
      </c>
      <c r="E6146" s="87"/>
      <c r="F6146" s="87"/>
      <c r="G6146" s="87"/>
    </row>
    <row r="6147">
      <c r="A6147" s="86">
        <f>IFERROR(__xludf.DUMMYFUNCTION("""COMPUTED_VALUE"""),6145.0)</f>
        <v>6145</v>
      </c>
      <c r="B6147" s="87" t="str">
        <f>IFERROR(__xludf.DUMMYFUNCTION("""COMPUTED_VALUE"""),"NL")</f>
        <v>NL</v>
      </c>
      <c r="C6147" s="87" t="str">
        <f>IFERROR(__xludf.DUMMYFUNCTION("""COMPUTED_VALUE"""),"NA0017")</f>
        <v>NA0017</v>
      </c>
      <c r="D6147" s="87" t="str">
        <f>IFERROR(__xludf.DUMMYFUNCTION("""COMPUTED_VALUE"""),"Phụ gia NA0017")</f>
        <v>Phụ gia NA0017</v>
      </c>
      <c r="E6147" s="87"/>
      <c r="F6147" s="87"/>
      <c r="G6147" s="87"/>
    </row>
    <row r="6148">
      <c r="A6148" s="86">
        <f>IFERROR(__xludf.DUMMYFUNCTION("""COMPUTED_VALUE"""),6146.0)</f>
        <v>6146</v>
      </c>
      <c r="B6148" s="87" t="str">
        <f>IFERROR(__xludf.DUMMYFUNCTION("""COMPUTED_VALUE"""),"NL")</f>
        <v>NL</v>
      </c>
      <c r="C6148" s="87" t="str">
        <f>IFERROR(__xludf.DUMMYFUNCTION("""COMPUTED_VALUE"""),"NA0018")</f>
        <v>NA0018</v>
      </c>
      <c r="D6148" s="87" t="str">
        <f>IFERROR(__xludf.DUMMYFUNCTION("""COMPUTED_VALUE"""),"Phụ gia NA0018")</f>
        <v>Phụ gia NA0018</v>
      </c>
      <c r="E6148" s="87"/>
      <c r="F6148" s="87"/>
      <c r="G6148" s="87"/>
    </row>
    <row r="6149">
      <c r="A6149" s="86">
        <f>IFERROR(__xludf.DUMMYFUNCTION("""COMPUTED_VALUE"""),6147.0)</f>
        <v>6147</v>
      </c>
      <c r="B6149" s="87" t="str">
        <f>IFERROR(__xludf.DUMMYFUNCTION("""COMPUTED_VALUE"""),"NL")</f>
        <v>NL</v>
      </c>
      <c r="C6149" s="87" t="str">
        <f>IFERROR(__xludf.DUMMYFUNCTION("""COMPUTED_VALUE"""),"NA0019")</f>
        <v>NA0019</v>
      </c>
      <c r="D6149" s="87" t="str">
        <f>IFERROR(__xludf.DUMMYFUNCTION("""COMPUTED_VALUE"""),"Phụ gia NA0019")</f>
        <v>Phụ gia NA0019</v>
      </c>
      <c r="E6149" s="87"/>
      <c r="F6149" s="87"/>
      <c r="G6149" s="87"/>
    </row>
    <row r="6150">
      <c r="A6150" s="86">
        <f>IFERROR(__xludf.DUMMYFUNCTION("""COMPUTED_VALUE"""),6148.0)</f>
        <v>6148</v>
      </c>
      <c r="B6150" s="87" t="str">
        <f>IFERROR(__xludf.DUMMYFUNCTION("""COMPUTED_VALUE"""),"NL")</f>
        <v>NL</v>
      </c>
      <c r="C6150" s="87" t="str">
        <f>IFERROR(__xludf.DUMMYFUNCTION("""COMPUTED_VALUE"""),"NA0020")</f>
        <v>NA0020</v>
      </c>
      <c r="D6150" s="87" t="str">
        <f>IFERROR(__xludf.DUMMYFUNCTION("""COMPUTED_VALUE"""),"Phụ gia NA0020")</f>
        <v>Phụ gia NA0020</v>
      </c>
      <c r="E6150" s="87"/>
      <c r="F6150" s="87"/>
      <c r="G6150" s="87"/>
    </row>
    <row r="6151">
      <c r="A6151" s="86">
        <f>IFERROR(__xludf.DUMMYFUNCTION("""COMPUTED_VALUE"""),6149.0)</f>
        <v>6149</v>
      </c>
      <c r="B6151" s="87" t="str">
        <f>IFERROR(__xludf.DUMMYFUNCTION("""COMPUTED_VALUE"""),"NL")</f>
        <v>NL</v>
      </c>
      <c r="C6151" s="87" t="str">
        <f>IFERROR(__xludf.DUMMYFUNCTION("""COMPUTED_VALUE"""),"NA0021")</f>
        <v>NA0021</v>
      </c>
      <c r="D6151" s="87" t="str">
        <f>IFERROR(__xludf.DUMMYFUNCTION("""COMPUTED_VALUE"""),"Phụ gia NA0021")</f>
        <v>Phụ gia NA0021</v>
      </c>
      <c r="E6151" s="87"/>
      <c r="F6151" s="87"/>
      <c r="G6151" s="87"/>
    </row>
    <row r="6152">
      <c r="A6152" s="86">
        <f>IFERROR(__xludf.DUMMYFUNCTION("""COMPUTED_VALUE"""),6150.0)</f>
        <v>6150</v>
      </c>
      <c r="B6152" s="87" t="str">
        <f>IFERROR(__xludf.DUMMYFUNCTION("""COMPUTED_VALUE"""),"NL")</f>
        <v>NL</v>
      </c>
      <c r="C6152" s="87" t="str">
        <f>IFERROR(__xludf.DUMMYFUNCTION("""COMPUTED_VALUE"""),"NA0022")</f>
        <v>NA0022</v>
      </c>
      <c r="D6152" s="87" t="str">
        <f>IFERROR(__xludf.DUMMYFUNCTION("""COMPUTED_VALUE"""),"Phụ gia NA0022")</f>
        <v>Phụ gia NA0022</v>
      </c>
      <c r="E6152" s="87"/>
      <c r="F6152" s="87"/>
      <c r="G6152" s="87"/>
    </row>
    <row r="6153">
      <c r="A6153" s="86">
        <f>IFERROR(__xludf.DUMMYFUNCTION("""COMPUTED_VALUE"""),6151.0)</f>
        <v>6151</v>
      </c>
      <c r="B6153" s="87" t="str">
        <f>IFERROR(__xludf.DUMMYFUNCTION("""COMPUTED_VALUE"""),"NL")</f>
        <v>NL</v>
      </c>
      <c r="C6153" s="87" t="str">
        <f>IFERROR(__xludf.DUMMYFUNCTION("""COMPUTED_VALUE"""),"NA0023")</f>
        <v>NA0023</v>
      </c>
      <c r="D6153" s="87" t="str">
        <f>IFERROR(__xludf.DUMMYFUNCTION("""COMPUTED_VALUE"""),"Phụ gia NA0023")</f>
        <v>Phụ gia NA0023</v>
      </c>
      <c r="E6153" s="87"/>
      <c r="F6153" s="87"/>
      <c r="G6153" s="87"/>
    </row>
    <row r="6154">
      <c r="A6154" s="86">
        <f>IFERROR(__xludf.DUMMYFUNCTION("""COMPUTED_VALUE"""),6152.0)</f>
        <v>6152</v>
      </c>
      <c r="B6154" s="87" t="str">
        <f>IFERROR(__xludf.DUMMYFUNCTION("""COMPUTED_VALUE"""),"NL")</f>
        <v>NL</v>
      </c>
      <c r="C6154" s="87" t="str">
        <f>IFERROR(__xludf.DUMMYFUNCTION("""COMPUTED_VALUE"""),"NLT0127")</f>
        <v>NLT0127</v>
      </c>
      <c r="D6154" s="87" t="str">
        <f>IFERROR(__xludf.DUMMYFUNCTION("""COMPUTED_VALUE"""),"Imidacloprid 96% TC")</f>
        <v>Imidacloprid 96% TC</v>
      </c>
      <c r="E6154" s="87"/>
      <c r="F6154" s="87"/>
      <c r="G6154" s="87"/>
    </row>
    <row r="6155">
      <c r="A6155" s="86">
        <f>IFERROR(__xludf.DUMMYFUNCTION("""COMPUTED_VALUE"""),6153.0)</f>
        <v>6153</v>
      </c>
      <c r="B6155" s="87" t="str">
        <f>IFERROR(__xludf.DUMMYFUNCTION("""COMPUTED_VALUE"""),"NL")</f>
        <v>NL</v>
      </c>
      <c r="C6155" s="87" t="str">
        <f>IFERROR(__xludf.DUMMYFUNCTION("""COMPUTED_VALUE"""),"NLT0001")</f>
        <v>NLT0001</v>
      </c>
      <c r="D6155" s="87" t="str">
        <f>IFERROR(__xludf.DUMMYFUNCTION("""COMPUTED_VALUE"""),"Nguyên liệu Chlorfenapyr Tech 98% TC")</f>
        <v>Nguyên liệu Chlorfenapyr Tech 98% TC</v>
      </c>
      <c r="E6155" s="87"/>
      <c r="F6155" s="87"/>
      <c r="G6155" s="87"/>
    </row>
    <row r="6156">
      <c r="A6156" s="86">
        <f>IFERROR(__xludf.DUMMYFUNCTION("""COMPUTED_VALUE"""),6154.0)</f>
        <v>6154</v>
      </c>
      <c r="B6156" s="87" t="str">
        <f>IFERROR(__xludf.DUMMYFUNCTION("""COMPUTED_VALUE"""),"NL")</f>
        <v>NL</v>
      </c>
      <c r="C6156" s="87" t="str">
        <f>IFERROR(__xludf.DUMMYFUNCTION("""COMPUTED_VALUE"""),"NLT0002")</f>
        <v>NLT0002</v>
      </c>
      <c r="D6156" s="87" t="str">
        <f>IFERROR(__xludf.DUMMYFUNCTION("""COMPUTED_VALUE"""),"Nguyên liệu Indoxacarb 95% TC (S - Isomer 90%)")</f>
        <v>Nguyên liệu Indoxacarb 95% TC (S - Isomer 90%)</v>
      </c>
      <c r="E6156" s="87"/>
      <c r="F6156" s="87"/>
      <c r="G6156" s="87"/>
    </row>
    <row r="6157">
      <c r="A6157" s="86">
        <f>IFERROR(__xludf.DUMMYFUNCTION("""COMPUTED_VALUE"""),6155.0)</f>
        <v>6155</v>
      </c>
      <c r="B6157" s="87" t="str">
        <f>IFERROR(__xludf.DUMMYFUNCTION("""COMPUTED_VALUE"""),"NL")</f>
        <v>NL</v>
      </c>
      <c r="C6157" s="87" t="str">
        <f>IFERROR(__xludf.DUMMYFUNCTION("""COMPUTED_VALUE"""),"NLT0003")</f>
        <v>NLT0003</v>
      </c>
      <c r="D6157" s="87" t="str">
        <f>IFERROR(__xludf.DUMMYFUNCTION("""COMPUTED_VALUE"""),"Nguyên liệu Tech Pyriproxyfen 97% TC")</f>
        <v>Nguyên liệu Tech Pyriproxyfen 97% TC</v>
      </c>
      <c r="E6157" s="87"/>
      <c r="F6157" s="87"/>
      <c r="G6157" s="87"/>
    </row>
    <row r="6158">
      <c r="A6158" s="86">
        <f>IFERROR(__xludf.DUMMYFUNCTION("""COMPUTED_VALUE"""),6156.0)</f>
        <v>6156</v>
      </c>
      <c r="B6158" s="87" t="str">
        <f>IFERROR(__xludf.DUMMYFUNCTION("""COMPUTED_VALUE"""),"NL")</f>
        <v>NL</v>
      </c>
      <c r="C6158" s="87" t="str">
        <f>IFERROR(__xludf.DUMMYFUNCTION("""COMPUTED_VALUE"""),"NLT0004")</f>
        <v>NLT0004</v>
      </c>
      <c r="D6158" s="87" t="str">
        <f>IFERROR(__xludf.DUMMYFUNCTION("""COMPUTED_VALUE"""),"Nguyên liệu Abamectin 95% TC")</f>
        <v>Nguyên liệu Abamectin 95% TC</v>
      </c>
      <c r="E6158" s="87"/>
      <c r="F6158" s="87"/>
      <c r="G6158" s="87"/>
    </row>
    <row r="6159">
      <c r="A6159" s="86">
        <f>IFERROR(__xludf.DUMMYFUNCTION("""COMPUTED_VALUE"""),6157.0)</f>
        <v>6157</v>
      </c>
      <c r="B6159" s="87" t="str">
        <f>IFERROR(__xludf.DUMMYFUNCTION("""COMPUTED_VALUE"""),"NL")</f>
        <v>NL</v>
      </c>
      <c r="C6159" s="87" t="str">
        <f>IFERROR(__xludf.DUMMYFUNCTION("""COMPUTED_VALUE"""),"NLT0005")</f>
        <v>NLT0005</v>
      </c>
      <c r="D6159" s="87" t="str">
        <f>IFERROR(__xludf.DUMMYFUNCTION("""COMPUTED_VALUE"""),"Nguyên liệu Emamectin Benzoate Tech 70%")</f>
        <v>Nguyên liệu Emamectin Benzoate Tech 70%</v>
      </c>
      <c r="E6159" s="87"/>
      <c r="F6159" s="87"/>
      <c r="G6159" s="87"/>
    </row>
    <row r="6160">
      <c r="A6160" s="86">
        <f>IFERROR(__xludf.DUMMYFUNCTION("""COMPUTED_VALUE"""),6158.0)</f>
        <v>6158</v>
      </c>
      <c r="B6160" s="87" t="str">
        <f>IFERROR(__xludf.DUMMYFUNCTION("""COMPUTED_VALUE"""),"NL")</f>
        <v>NL</v>
      </c>
      <c r="C6160" s="87" t="str">
        <f>IFERROR(__xludf.DUMMYFUNCTION("""COMPUTED_VALUE"""),"NLT0006")</f>
        <v>NLT0006</v>
      </c>
      <c r="D6160" s="87" t="str">
        <f>IFERROR(__xludf.DUMMYFUNCTION("""COMPUTED_VALUE"""),"Nguyên liệu Tricylazole 95% TC")</f>
        <v>Nguyên liệu Tricylazole 95% TC</v>
      </c>
      <c r="E6160" s="87"/>
      <c r="F6160" s="87"/>
      <c r="G6160" s="87"/>
    </row>
    <row r="6161">
      <c r="A6161" s="86">
        <f>IFERROR(__xludf.DUMMYFUNCTION("""COMPUTED_VALUE"""),6159.0)</f>
        <v>6159</v>
      </c>
      <c r="B6161" s="87" t="str">
        <f>IFERROR(__xludf.DUMMYFUNCTION("""COMPUTED_VALUE"""),"NL")</f>
        <v>NL</v>
      </c>
      <c r="C6161" s="87" t="str">
        <f>IFERROR(__xludf.DUMMYFUNCTION("""COMPUTED_VALUE"""),"BTPR0006")</f>
        <v>BTPR0006</v>
      </c>
      <c r="D6161" s="87" t="str">
        <f>IFERROR(__xludf.DUMMYFUNCTION("""COMPUTED_VALUE"""),"Abamectin 3.6 EC")</f>
        <v>Abamectin 3.6 EC</v>
      </c>
      <c r="E6161" s="87"/>
      <c r="F6161" s="87"/>
      <c r="G6161" s="87"/>
    </row>
    <row r="6162">
      <c r="A6162" s="86">
        <f>IFERROR(__xludf.DUMMYFUNCTION("""COMPUTED_VALUE"""),6160.0)</f>
        <v>6160</v>
      </c>
      <c r="B6162" s="87" t="str">
        <f>IFERROR(__xludf.DUMMYFUNCTION("""COMPUTED_VALUE"""),"NL")</f>
        <v>NL</v>
      </c>
      <c r="C6162" s="87" t="str">
        <f>IFERROR(__xludf.DUMMYFUNCTION("""COMPUTED_VALUE"""),"NLT0007")</f>
        <v>NLT0007</v>
      </c>
      <c r="D6162" s="87" t="str">
        <f>IFERROR(__xludf.DUMMYFUNCTION("""COMPUTED_VALUE"""),"Nguyên liệu Nereistoxin 95% TC IDA (NLNK0004, CPNK004)")</f>
        <v>Nguyên liệu Nereistoxin 95% TC IDA (NLNK0004, CPNK004)</v>
      </c>
      <c r="E6162" s="87"/>
      <c r="F6162" s="87"/>
      <c r="G6162" s="87"/>
    </row>
    <row r="6163">
      <c r="A6163" s="86">
        <f>IFERROR(__xludf.DUMMYFUNCTION("""COMPUTED_VALUE"""),6161.0)</f>
        <v>6161</v>
      </c>
      <c r="B6163" s="87" t="str">
        <f>IFERROR(__xludf.DUMMYFUNCTION("""COMPUTED_VALUE"""),"NL")</f>
        <v>NL</v>
      </c>
      <c r="C6163" s="87" t="str">
        <f>IFERROR(__xludf.DUMMYFUNCTION("""COMPUTED_VALUE"""),"BTPR0077")</f>
        <v>BTPR0077</v>
      </c>
      <c r="D6163" s="87" t="str">
        <f>IFERROR(__xludf.DUMMYFUNCTION("""COMPUTED_VALUE"""),"Niclosamide 70wp")</f>
        <v>Niclosamide 70wp</v>
      </c>
      <c r="E6163" s="87"/>
      <c r="F6163" s="87"/>
      <c r="G6163" s="87"/>
    </row>
    <row r="6164">
      <c r="A6164" s="86">
        <f>IFERROR(__xludf.DUMMYFUNCTION("""COMPUTED_VALUE"""),6162.0)</f>
        <v>6162</v>
      </c>
      <c r="B6164" s="87" t="str">
        <f>IFERROR(__xludf.DUMMYFUNCTION("""COMPUTED_VALUE"""),"NL")</f>
        <v>NL</v>
      </c>
      <c r="C6164" s="87" t="str">
        <f>IFERROR(__xludf.DUMMYFUNCTION("""COMPUTED_VALUE"""),"NLT0008")</f>
        <v>NLT0008</v>
      </c>
      <c r="D6164" s="87" t="str">
        <f>IFERROR(__xludf.DUMMYFUNCTION("""COMPUTED_VALUE"""),"Nguyên liệu Nereistoxin 95% TC nhập hộ anh Tâm (NLNK0004, CPNK005)")</f>
        <v>Nguyên liệu Nereistoxin 95% TC nhập hộ anh Tâm (NLNK0004, CPNK005)</v>
      </c>
      <c r="E6164" s="87"/>
      <c r="F6164" s="87"/>
      <c r="G6164" s="87"/>
    </row>
    <row r="6165">
      <c r="A6165" s="86">
        <f>IFERROR(__xludf.DUMMYFUNCTION("""COMPUTED_VALUE"""),6163.0)</f>
        <v>6163</v>
      </c>
      <c r="B6165" s="87" t="str">
        <f>IFERROR(__xludf.DUMMYFUNCTION("""COMPUTED_VALUE"""),"NL")</f>
        <v>NL</v>
      </c>
      <c r="C6165" s="87" t="str">
        <f>IFERROR(__xludf.DUMMYFUNCTION("""COMPUTED_VALUE"""),"NLT0009")</f>
        <v>NLT0009</v>
      </c>
      <c r="D6165" s="87" t="str">
        <f>IFERROR(__xludf.DUMMYFUNCTION("""COMPUTED_VALUE"""),"Nguyên liệu PYRACLOSTROBIN 98% TC")</f>
        <v>Nguyên liệu PYRACLOSTROBIN 98% TC</v>
      </c>
      <c r="E6165" s="87"/>
      <c r="F6165" s="87"/>
      <c r="G6165" s="87"/>
    </row>
    <row r="6166">
      <c r="A6166" s="86">
        <f>IFERROR(__xludf.DUMMYFUNCTION("""COMPUTED_VALUE"""),6164.0)</f>
        <v>6164</v>
      </c>
      <c r="B6166" s="87" t="str">
        <f>IFERROR(__xludf.DUMMYFUNCTION("""COMPUTED_VALUE"""),"NL")</f>
        <v>NL</v>
      </c>
      <c r="C6166" s="87" t="str">
        <f>IFERROR(__xludf.DUMMYFUNCTION("""COMPUTED_VALUE"""),"NLT0010")</f>
        <v>NLT0010</v>
      </c>
      <c r="D6166" s="87" t="str">
        <f>IFERROR(__xludf.DUMMYFUNCTION("""COMPUTED_VALUE"""),"Nguyên liệu TEBUCONAZOLE 97%TC")</f>
        <v>Nguyên liệu TEBUCONAZOLE 97%TC</v>
      </c>
      <c r="E6166" s="87"/>
      <c r="F6166" s="87"/>
      <c r="G6166" s="87"/>
    </row>
    <row r="6167">
      <c r="A6167" s="86">
        <f>IFERROR(__xludf.DUMMYFUNCTION("""COMPUTED_VALUE"""),6165.0)</f>
        <v>6165</v>
      </c>
      <c r="B6167" s="87" t="str">
        <f>IFERROR(__xludf.DUMMYFUNCTION("""COMPUTED_VALUE"""),"NL")</f>
        <v>NL</v>
      </c>
      <c r="C6167" s="87" t="str">
        <f>IFERROR(__xludf.DUMMYFUNCTION("""COMPUTED_VALUE"""),"NLT0011")</f>
        <v>NLT0011</v>
      </c>
      <c r="D6167" s="87" t="str">
        <f>IFERROR(__xludf.DUMMYFUNCTION("""COMPUTED_VALUE"""),"Paclobutrazole 20% WP - 25kg - 1")</f>
        <v>Paclobutrazole 20% WP - 25kg - 1</v>
      </c>
      <c r="E6167" s="87"/>
      <c r="F6167" s="87"/>
      <c r="G6167" s="87"/>
    </row>
    <row r="6168">
      <c r="A6168" s="86">
        <f>IFERROR(__xludf.DUMMYFUNCTION("""COMPUTED_VALUE"""),6166.0)</f>
        <v>6166</v>
      </c>
      <c r="B6168" s="87" t="str">
        <f>IFERROR(__xludf.DUMMYFUNCTION("""COMPUTED_VALUE"""),"NL")</f>
        <v>NL</v>
      </c>
      <c r="C6168" s="87" t="str">
        <f>IFERROR(__xludf.DUMMYFUNCTION("""COMPUTED_VALUE"""),"NLT0012")</f>
        <v>NLT0012</v>
      </c>
      <c r="D6168" s="87" t="str">
        <f>IFERROR(__xludf.DUMMYFUNCTION("""COMPUTED_VALUE"""),"Nguyên liệu Tech Pyriproxyfen 98%")</f>
        <v>Nguyên liệu Tech Pyriproxyfen 98%</v>
      </c>
      <c r="E6168" s="87"/>
      <c r="F6168" s="87"/>
      <c r="G6168" s="87"/>
    </row>
    <row r="6169">
      <c r="A6169" s="86">
        <f>IFERROR(__xludf.DUMMYFUNCTION("""COMPUTED_VALUE"""),6167.0)</f>
        <v>6167</v>
      </c>
      <c r="B6169" s="87" t="str">
        <f>IFERROR(__xludf.DUMMYFUNCTION("""COMPUTED_VALUE"""),"NL")</f>
        <v>NL</v>
      </c>
      <c r="C6169" s="87" t="str">
        <f>IFERROR(__xludf.DUMMYFUNCTION("""COMPUTED_VALUE"""),"NLT0013")</f>
        <v>NLT0013</v>
      </c>
      <c r="D6169" s="87" t="str">
        <f>IFERROR(__xludf.DUMMYFUNCTION("""COMPUTED_VALUE"""),"Nguyên liệu Abamectin 6.5% W/W")</f>
        <v>Nguyên liệu Abamectin 6.5% W/W</v>
      </c>
      <c r="E6169" s="87"/>
      <c r="F6169" s="87"/>
      <c r="G6169" s="87"/>
    </row>
    <row r="6170">
      <c r="A6170" s="86">
        <f>IFERROR(__xludf.DUMMYFUNCTION("""COMPUTED_VALUE"""),6168.0)</f>
        <v>6168</v>
      </c>
      <c r="B6170" s="87" t="str">
        <f>IFERROR(__xludf.DUMMYFUNCTION("""COMPUTED_VALUE"""),"NL")</f>
        <v>NL</v>
      </c>
      <c r="C6170" s="87" t="str">
        <f>IFERROR(__xludf.DUMMYFUNCTION("""COMPUTED_VALUE"""),"NLT0014")</f>
        <v>NLT0014</v>
      </c>
      <c r="D6170" s="87" t="str">
        <f>IFERROR(__xludf.DUMMYFUNCTION("""COMPUTED_VALUE"""),"Nguyên liệu Emamectin Benzoate 5.55% W/W (55.5g/kg)")</f>
        <v>Nguyên liệu Emamectin Benzoate 5.55% W/W (55.5g/kg)</v>
      </c>
      <c r="E6170" s="87"/>
      <c r="F6170" s="87"/>
      <c r="G6170" s="87"/>
    </row>
    <row r="6171">
      <c r="A6171" s="86">
        <f>IFERROR(__xludf.DUMMYFUNCTION("""COMPUTED_VALUE"""),6169.0)</f>
        <v>6169</v>
      </c>
      <c r="B6171" s="87" t="str">
        <f>IFERROR(__xludf.DUMMYFUNCTION("""COMPUTED_VALUE"""),"NL")</f>
        <v>NL</v>
      </c>
      <c r="C6171" s="87" t="str">
        <f>IFERROR(__xludf.DUMMYFUNCTION("""COMPUTED_VALUE"""),"NLT0015")</f>
        <v>NLT0015</v>
      </c>
      <c r="D6171" s="87" t="str">
        <f>IFERROR(__xludf.DUMMYFUNCTION("""COMPUTED_VALUE"""),"KOH 90%")</f>
        <v>KOH 90%</v>
      </c>
      <c r="E6171" s="87"/>
      <c r="F6171" s="87"/>
      <c r="G6171" s="87"/>
    </row>
    <row r="6172">
      <c r="A6172" s="86">
        <f>IFERROR(__xludf.DUMMYFUNCTION("""COMPUTED_VALUE"""),6170.0)</f>
        <v>6170</v>
      </c>
      <c r="B6172" s="87" t="str">
        <f>IFERROR(__xludf.DUMMYFUNCTION("""COMPUTED_VALUE"""),"NL")</f>
        <v>NL</v>
      </c>
      <c r="C6172" s="87" t="str">
        <f>IFERROR(__xludf.DUMMYFUNCTION("""COMPUTED_VALUE"""),"NLT0016")</f>
        <v>NLT0016</v>
      </c>
      <c r="D6172" s="87" t="str">
        <f>IFERROR(__xludf.DUMMYFUNCTION("""COMPUTED_VALUE"""),"MAP (TQ)")</f>
        <v>MAP (TQ)</v>
      </c>
      <c r="E6172" s="87"/>
      <c r="F6172" s="87"/>
      <c r="G6172" s="87"/>
    </row>
    <row r="6173">
      <c r="A6173" s="86">
        <f>IFERROR(__xludf.DUMMYFUNCTION("""COMPUTED_VALUE"""),6171.0)</f>
        <v>6171</v>
      </c>
      <c r="B6173" s="87" t="str">
        <f>IFERROR(__xludf.DUMMYFUNCTION("""COMPUTED_VALUE"""),"NL")</f>
        <v>NL</v>
      </c>
      <c r="C6173" s="87" t="str">
        <f>IFERROR(__xludf.DUMMYFUNCTION("""COMPUTED_VALUE"""),"NLT0017")</f>
        <v>NLT0017</v>
      </c>
      <c r="D6173" s="87" t="str">
        <f>IFERROR(__xludf.DUMMYFUNCTION("""COMPUTED_VALUE"""),"MKP")</f>
        <v>MKP</v>
      </c>
      <c r="E6173" s="87"/>
      <c r="F6173" s="87"/>
      <c r="G6173" s="87"/>
    </row>
    <row r="6174">
      <c r="A6174" s="86">
        <f>IFERROR(__xludf.DUMMYFUNCTION("""COMPUTED_VALUE"""),6172.0)</f>
        <v>6172</v>
      </c>
      <c r="B6174" s="87" t="str">
        <f>IFERROR(__xludf.DUMMYFUNCTION("""COMPUTED_VALUE"""),"NL")</f>
        <v>NL</v>
      </c>
      <c r="C6174" s="87" t="str">
        <f>IFERROR(__xludf.DUMMYFUNCTION("""COMPUTED_VALUE"""),"NLT0018")</f>
        <v>NLT0018</v>
      </c>
      <c r="D6174" s="87" t="str">
        <f>IFERROR(__xludf.DUMMYFUNCTION("""COMPUTED_VALUE"""),"NITROPHENOL 99%")</f>
        <v>NITROPHENOL 99%</v>
      </c>
      <c r="E6174" s="87"/>
      <c r="F6174" s="87"/>
      <c r="G6174" s="87"/>
    </row>
    <row r="6175">
      <c r="A6175" s="86">
        <f>IFERROR(__xludf.DUMMYFUNCTION("""COMPUTED_VALUE"""),6173.0)</f>
        <v>6173</v>
      </c>
      <c r="B6175" s="87" t="str">
        <f>IFERROR(__xludf.DUMMYFUNCTION("""COMPUTED_VALUE"""),"NL")</f>
        <v>NL</v>
      </c>
      <c r="C6175" s="87" t="str">
        <f>IFERROR(__xludf.DUMMYFUNCTION("""COMPUTED_VALUE"""),"NLT0019")</f>
        <v>NLT0019</v>
      </c>
      <c r="D6175" s="87" t="str">
        <f>IFERROR(__xludf.DUMMYFUNCTION("""COMPUTED_VALUE"""),"HUMAT KALI HỮU CƠ 70% - 04F")</f>
        <v>HUMAT KALI HỮU CƠ 70% - 04F</v>
      </c>
      <c r="E6175" s="87"/>
      <c r="F6175" s="87"/>
      <c r="G6175" s="87"/>
    </row>
    <row r="6176">
      <c r="A6176" s="86">
        <f>IFERROR(__xludf.DUMMYFUNCTION("""COMPUTED_VALUE"""),6174.0)</f>
        <v>6174</v>
      </c>
      <c r="B6176" s="87" t="str">
        <f>IFERROR(__xludf.DUMMYFUNCTION("""COMPUTED_VALUE"""),"NL")</f>
        <v>NL</v>
      </c>
      <c r="C6176" s="87" t="str">
        <f>IFERROR(__xludf.DUMMYFUNCTION("""COMPUTED_VALUE"""),"NLT0021")</f>
        <v>NLT0021</v>
      </c>
      <c r="D6176" s="87" t="str">
        <f>IFERROR(__xludf.DUMMYFUNCTION("""COMPUTED_VALUE"""),"H3PO4 85%")</f>
        <v>H3PO4 85%</v>
      </c>
      <c r="E6176" s="87"/>
      <c r="F6176" s="87"/>
      <c r="G6176" s="87"/>
    </row>
    <row r="6177">
      <c r="A6177" s="86">
        <f>IFERROR(__xludf.DUMMYFUNCTION("""COMPUTED_VALUE"""),6175.0)</f>
        <v>6175</v>
      </c>
      <c r="B6177" s="87" t="str">
        <f>IFERROR(__xludf.DUMMYFUNCTION("""COMPUTED_VALUE"""),"NL")</f>
        <v>NL</v>
      </c>
      <c r="C6177" s="87" t="str">
        <f>IFERROR(__xludf.DUMMYFUNCTION("""COMPUTED_VALUE"""),"NLT0240")</f>
        <v>NLT0240</v>
      </c>
      <c r="D6177" s="87" t="str">
        <f>IFERROR(__xludf.DUMMYFUNCTION("""COMPUTED_VALUE"""),"hương Melon (dưa lưới) SJA11837")</f>
        <v>hương Melon (dưa lưới) SJA11837</v>
      </c>
      <c r="E6177" s="87"/>
      <c r="F6177" s="87"/>
      <c r="G6177" s="87"/>
    </row>
    <row r="6178">
      <c r="A6178" s="86">
        <f>IFERROR(__xludf.DUMMYFUNCTION("""COMPUTED_VALUE"""),6176.0)</f>
        <v>6176</v>
      </c>
      <c r="B6178" s="87" t="str">
        <f>IFERROR(__xludf.DUMMYFUNCTION("""COMPUTED_VALUE"""),"NL")</f>
        <v>NL</v>
      </c>
      <c r="C6178" s="87" t="str">
        <f>IFERROR(__xludf.DUMMYFUNCTION("""COMPUTED_VALUE"""),"NLT0022")</f>
        <v>NLT0022</v>
      </c>
      <c r="D6178" s="87" t="str">
        <f>IFERROR(__xludf.DUMMYFUNCTION("""COMPUTED_VALUE"""),"GLYCERIN")</f>
        <v>GLYCERIN</v>
      </c>
      <c r="E6178" s="87"/>
      <c r="F6178" s="87"/>
      <c r="G6178" s="87"/>
    </row>
    <row r="6179">
      <c r="A6179" s="86">
        <f>IFERROR(__xludf.DUMMYFUNCTION("""COMPUTED_VALUE"""),6177.0)</f>
        <v>6177</v>
      </c>
      <c r="B6179" s="87" t="str">
        <f>IFERROR(__xludf.DUMMYFUNCTION("""COMPUTED_VALUE"""),"NL")</f>
        <v>NL</v>
      </c>
      <c r="C6179" s="87" t="str">
        <f>IFERROR(__xludf.DUMMYFUNCTION("""COMPUTED_VALUE"""),"NLT0023")</f>
        <v>NLT0023</v>
      </c>
      <c r="D6179" s="87" t="str">
        <f>IFERROR(__xludf.DUMMYFUNCTION("""COMPUTED_VALUE"""),"Mg(NO3)2.6H2O")</f>
        <v>Mg(NO3)2.6H2O</v>
      </c>
      <c r="E6179" s="87"/>
      <c r="F6179" s="87"/>
      <c r="G6179" s="87"/>
    </row>
    <row r="6180">
      <c r="A6180" s="86">
        <f>IFERROR(__xludf.DUMMYFUNCTION("""COMPUTED_VALUE"""),6178.0)</f>
        <v>6178</v>
      </c>
      <c r="B6180" s="87" t="str">
        <f>IFERROR(__xludf.DUMMYFUNCTION("""COMPUTED_VALUE"""),"NL")</f>
        <v>NL</v>
      </c>
      <c r="C6180" s="87" t="str">
        <f>IFERROR(__xludf.DUMMYFUNCTION("""COMPUTED_VALUE"""),"NLT0024")</f>
        <v>NLT0024</v>
      </c>
      <c r="D6180" s="87" t="str">
        <f>IFERROR(__xludf.DUMMYFUNCTION("""COMPUTED_VALUE"""),"ZnSO4.7H2O")</f>
        <v>ZnSO4.7H2O</v>
      </c>
      <c r="E6180" s="87"/>
      <c r="F6180" s="87"/>
      <c r="G6180" s="87"/>
    </row>
    <row r="6181">
      <c r="A6181" s="86">
        <f>IFERROR(__xludf.DUMMYFUNCTION("""COMPUTED_VALUE"""),6179.0)</f>
        <v>6179</v>
      </c>
      <c r="B6181" s="87" t="str">
        <f>IFERROR(__xludf.DUMMYFUNCTION("""COMPUTED_VALUE"""),"NL")</f>
        <v>NL</v>
      </c>
      <c r="C6181" s="87" t="str">
        <f>IFERROR(__xludf.DUMMYFUNCTION("""COMPUTED_VALUE"""),"NLT0025")</f>
        <v>NLT0025</v>
      </c>
      <c r="D6181" s="87" t="str">
        <f>IFERROR(__xludf.DUMMYFUNCTION("""COMPUTED_VALUE"""),"Chelate Mg")</f>
        <v>Chelate Mg</v>
      </c>
      <c r="E6181" s="87"/>
      <c r="F6181" s="87"/>
      <c r="G6181" s="87"/>
    </row>
    <row r="6182">
      <c r="A6182" s="86">
        <f>IFERROR(__xludf.DUMMYFUNCTION("""COMPUTED_VALUE"""),6180.0)</f>
        <v>6180</v>
      </c>
      <c r="B6182" s="87" t="str">
        <f>IFERROR(__xludf.DUMMYFUNCTION("""COMPUTED_VALUE"""),"NL")</f>
        <v>NL</v>
      </c>
      <c r="C6182" s="87" t="str">
        <f>IFERROR(__xludf.DUMMYFUNCTION("""COMPUTED_VALUE"""),"NLT0026")</f>
        <v>NLT0026</v>
      </c>
      <c r="D6182" s="87" t="str">
        <f>IFERROR(__xludf.DUMMYFUNCTION("""COMPUTED_VALUE"""),"CuSO4.5H2O")</f>
        <v>CuSO4.5H2O</v>
      </c>
      <c r="E6182" s="87"/>
      <c r="F6182" s="87"/>
      <c r="G6182" s="87"/>
    </row>
    <row r="6183">
      <c r="A6183" s="86">
        <f>IFERROR(__xludf.DUMMYFUNCTION("""COMPUTED_VALUE"""),6181.0)</f>
        <v>6181</v>
      </c>
      <c r="B6183" s="87" t="str">
        <f>IFERROR(__xludf.DUMMYFUNCTION("""COMPUTED_VALUE"""),"NL")</f>
        <v>NL</v>
      </c>
      <c r="C6183" s="87" t="str">
        <f>IFERROR(__xludf.DUMMYFUNCTION("""COMPUTED_VALUE"""),"NLT0027")</f>
        <v>NLT0027</v>
      </c>
      <c r="D6183" s="87" t="str">
        <f>IFERROR(__xludf.DUMMYFUNCTION("""COMPUTED_VALUE"""),"FeSO4.7H2O")</f>
        <v>FeSO4.7H2O</v>
      </c>
      <c r="E6183" s="87"/>
      <c r="F6183" s="87"/>
      <c r="G6183" s="87"/>
    </row>
    <row r="6184">
      <c r="A6184" s="86">
        <f>IFERROR(__xludf.DUMMYFUNCTION("""COMPUTED_VALUE"""),6182.0)</f>
        <v>6182</v>
      </c>
      <c r="B6184" s="87" t="str">
        <f>IFERROR(__xludf.DUMMYFUNCTION("""COMPUTED_VALUE"""),"NL")</f>
        <v>NL</v>
      </c>
      <c r="C6184" s="87" t="str">
        <f>IFERROR(__xludf.DUMMYFUNCTION("""COMPUTED_VALUE"""),"NLT0028")</f>
        <v>NLT0028</v>
      </c>
      <c r="D6184" s="87" t="str">
        <f>IFERROR(__xludf.DUMMYFUNCTION("""COMPUTED_VALUE"""),"Ure hạt trong")</f>
        <v>Ure hạt trong</v>
      </c>
      <c r="E6184" s="87"/>
      <c r="F6184" s="87"/>
      <c r="G6184" s="87"/>
    </row>
    <row r="6185">
      <c r="A6185" s="86">
        <f>IFERROR(__xludf.DUMMYFUNCTION("""COMPUTED_VALUE"""),6183.0)</f>
        <v>6183</v>
      </c>
      <c r="B6185" s="87" t="str">
        <f>IFERROR(__xludf.DUMMYFUNCTION("""COMPUTED_VALUE"""),"NL")</f>
        <v>NL</v>
      </c>
      <c r="C6185" s="87" t="str">
        <f>IFERROR(__xludf.DUMMYFUNCTION("""COMPUTED_VALUE"""),"NLT0029")</f>
        <v>NLT0029</v>
      </c>
      <c r="D6185" s="87" t="str">
        <f>IFERROR(__xludf.DUMMYFUNCTION("""COMPUTED_VALUE"""),"Xathan Gum")</f>
        <v>Xathan Gum</v>
      </c>
      <c r="E6185" s="87"/>
      <c r="F6185" s="87"/>
      <c r="G6185" s="87"/>
    </row>
    <row r="6186">
      <c r="A6186" s="86">
        <f>IFERROR(__xludf.DUMMYFUNCTION("""COMPUTED_VALUE"""),6184.0)</f>
        <v>6184</v>
      </c>
      <c r="B6186" s="87" t="str">
        <f>IFERROR(__xludf.DUMMYFUNCTION("""COMPUTED_VALUE"""),"NL")</f>
        <v>NL</v>
      </c>
      <c r="C6186" s="87" t="str">
        <f>IFERROR(__xludf.DUMMYFUNCTION("""COMPUTED_VALUE"""),"NLT0030")</f>
        <v>NLT0030</v>
      </c>
      <c r="D6186" s="87" t="str">
        <f>IFERROR(__xludf.DUMMYFUNCTION("""COMPUTED_VALUE"""),"GA3")</f>
        <v>GA3</v>
      </c>
      <c r="E6186" s="87"/>
      <c r="F6186" s="87"/>
      <c r="G6186" s="87"/>
    </row>
    <row r="6187">
      <c r="A6187" s="86">
        <f>IFERROR(__xludf.DUMMYFUNCTION("""COMPUTED_VALUE"""),6185.0)</f>
        <v>6185</v>
      </c>
      <c r="B6187" s="87" t="str">
        <f>IFERROR(__xludf.DUMMYFUNCTION("""COMPUTED_VALUE"""),"NL")</f>
        <v>NL</v>
      </c>
      <c r="C6187" s="87" t="str">
        <f>IFERROR(__xludf.DUMMYFUNCTION("""COMPUTED_VALUE"""),"NLT0031")</f>
        <v>NLT0031</v>
      </c>
      <c r="D6187" s="87" t="str">
        <f>IFERROR(__xludf.DUMMYFUNCTION("""COMPUTED_VALUE"""),"TEA")</f>
        <v>TEA</v>
      </c>
      <c r="E6187" s="87"/>
      <c r="F6187" s="87"/>
      <c r="G6187" s="87"/>
    </row>
    <row r="6188">
      <c r="A6188" s="86">
        <f>IFERROR(__xludf.DUMMYFUNCTION("""COMPUTED_VALUE"""),6186.0)</f>
        <v>6186</v>
      </c>
      <c r="B6188" s="87" t="str">
        <f>IFERROR(__xludf.DUMMYFUNCTION("""COMPUTED_VALUE"""),"NL")</f>
        <v>NL</v>
      </c>
      <c r="C6188" s="87" t="str">
        <f>IFERROR(__xludf.DUMMYFUNCTION("""COMPUTED_VALUE"""),"NLT0032")</f>
        <v>NLT0032</v>
      </c>
      <c r="D6188" s="87" t="str">
        <f>IFERROR(__xludf.DUMMYFUNCTION("""COMPUTED_VALUE"""),"NAA")</f>
        <v>NAA</v>
      </c>
      <c r="E6188" s="87"/>
      <c r="F6188" s="87"/>
      <c r="G6188" s="87"/>
    </row>
    <row r="6189">
      <c r="A6189" s="86">
        <f>IFERROR(__xludf.DUMMYFUNCTION("""COMPUTED_VALUE"""),6187.0)</f>
        <v>6187</v>
      </c>
      <c r="B6189" s="87" t="str">
        <f>IFERROR(__xludf.DUMMYFUNCTION("""COMPUTED_VALUE"""),"NL")</f>
        <v>NL</v>
      </c>
      <c r="C6189" s="87" t="str">
        <f>IFERROR(__xludf.DUMMYFUNCTION("""COMPUTED_VALUE"""),"NLT0033")</f>
        <v>NLT0033</v>
      </c>
      <c r="D6189" s="87" t="str">
        <f>IFERROR(__xludf.DUMMYFUNCTION("""COMPUTED_VALUE"""),"K-Humate (Dạng vãy)")</f>
        <v>K-Humate (Dạng vãy)</v>
      </c>
      <c r="E6189" s="87"/>
      <c r="F6189" s="87"/>
      <c r="G6189" s="87"/>
    </row>
    <row r="6190">
      <c r="A6190" s="86">
        <f>IFERROR(__xludf.DUMMYFUNCTION("""COMPUTED_VALUE"""),6188.0)</f>
        <v>6188</v>
      </c>
      <c r="B6190" s="87" t="str">
        <f>IFERROR(__xludf.DUMMYFUNCTION("""COMPUTED_VALUE"""),"NL")</f>
        <v>NL</v>
      </c>
      <c r="C6190" s="87" t="str">
        <f>IFERROR(__xludf.DUMMYFUNCTION("""COMPUTED_VALUE"""),"NLT0034")</f>
        <v>NLT0034</v>
      </c>
      <c r="D6190" s="87" t="str">
        <f>IFERROR(__xludf.DUMMYFUNCTION("""COMPUTED_VALUE"""),"Solu Bo")</f>
        <v>Solu Bo</v>
      </c>
      <c r="E6190" s="87"/>
      <c r="F6190" s="87"/>
      <c r="G6190" s="87"/>
    </row>
    <row r="6191">
      <c r="A6191" s="86">
        <f>IFERROR(__xludf.DUMMYFUNCTION("""COMPUTED_VALUE"""),6189.0)</f>
        <v>6189</v>
      </c>
      <c r="B6191" s="87" t="str">
        <f>IFERROR(__xludf.DUMMYFUNCTION("""COMPUTED_VALUE"""),"NL")</f>
        <v>NL</v>
      </c>
      <c r="C6191" s="87" t="str">
        <f>IFERROR(__xludf.DUMMYFUNCTION("""COMPUTED_VALUE"""),"NLT0035")</f>
        <v>NLT0035</v>
      </c>
      <c r="D6191" s="87" t="str">
        <f>IFERROR(__xludf.DUMMYFUNCTION("""COMPUTED_VALUE"""),"Humate HP01S Plus")</f>
        <v>Humate HP01S Plus</v>
      </c>
      <c r="E6191" s="87"/>
      <c r="F6191" s="87"/>
      <c r="G6191" s="87"/>
    </row>
    <row r="6192">
      <c r="A6192" s="86">
        <f>IFERROR(__xludf.DUMMYFUNCTION("""COMPUTED_VALUE"""),6190.0)</f>
        <v>6190</v>
      </c>
      <c r="B6192" s="87" t="str">
        <f>IFERROR(__xludf.DUMMYFUNCTION("""COMPUTED_VALUE"""),"NL")</f>
        <v>NL</v>
      </c>
      <c r="C6192" s="87" t="str">
        <f>IFERROR(__xludf.DUMMYFUNCTION("""COMPUTED_VALUE"""),"NLT0037")</f>
        <v>NLT0037</v>
      </c>
      <c r="D6192" s="87" t="str">
        <f>IFERROR(__xludf.DUMMYFUNCTION("""COMPUTED_VALUE"""),"Amino 45%")</f>
        <v>Amino 45%</v>
      </c>
      <c r="E6192" s="87"/>
      <c r="F6192" s="87"/>
      <c r="G6192" s="87"/>
    </row>
    <row r="6193">
      <c r="A6193" s="86">
        <f>IFERROR(__xludf.DUMMYFUNCTION("""COMPUTED_VALUE"""),6191.0)</f>
        <v>6191</v>
      </c>
      <c r="B6193" s="87" t="str">
        <f>IFERROR(__xludf.DUMMYFUNCTION("""COMPUTED_VALUE"""),"NL")</f>
        <v>NL</v>
      </c>
      <c r="C6193" s="87" t="str">
        <f>IFERROR(__xludf.DUMMYFUNCTION("""COMPUTED_VALUE"""),"NLT0038")</f>
        <v>NLT0038</v>
      </c>
      <c r="D6193" s="87" t="str">
        <f>IFERROR(__xludf.DUMMYFUNCTION("""COMPUTED_VALUE"""),"Fulvic 90%")</f>
        <v>Fulvic 90%</v>
      </c>
      <c r="E6193" s="87"/>
      <c r="F6193" s="87"/>
      <c r="G6193" s="87"/>
    </row>
    <row r="6194">
      <c r="A6194" s="86">
        <f>IFERROR(__xludf.DUMMYFUNCTION("""COMPUTED_VALUE"""),6192.0)</f>
        <v>6192</v>
      </c>
      <c r="B6194" s="87" t="str">
        <f>IFERROR(__xludf.DUMMYFUNCTION("""COMPUTED_VALUE"""),"NL")</f>
        <v>NL</v>
      </c>
      <c r="C6194" s="87" t="str">
        <f>IFERROR(__xludf.DUMMYFUNCTION("""COMPUTED_VALUE"""),"NLT0039")</f>
        <v>NLT0039</v>
      </c>
      <c r="D6194" s="87" t="str">
        <f>IFERROR(__xludf.DUMMYFUNCTION("""COMPUTED_VALUE"""),"K2CO3")</f>
        <v>K2CO3</v>
      </c>
      <c r="E6194" s="87"/>
      <c r="F6194" s="87"/>
      <c r="G6194" s="87"/>
    </row>
    <row r="6195">
      <c r="A6195" s="86">
        <f>IFERROR(__xludf.DUMMYFUNCTION("""COMPUTED_VALUE"""),6193.0)</f>
        <v>6193</v>
      </c>
      <c r="B6195" s="87" t="str">
        <f>IFERROR(__xludf.DUMMYFUNCTION("""COMPUTED_VALUE"""),"NL")</f>
        <v>NL</v>
      </c>
      <c r="C6195" s="87" t="str">
        <f>IFERROR(__xludf.DUMMYFUNCTION("""COMPUTED_VALUE"""),"NLT0040")</f>
        <v>NLT0040</v>
      </c>
      <c r="D6195" s="87" t="str">
        <f>IFERROR(__xludf.DUMMYFUNCTION("""COMPUTED_VALUE"""),"Clomequate Cloride (CCC) 80%")</f>
        <v>Clomequate Cloride (CCC) 80%</v>
      </c>
      <c r="E6195" s="87"/>
      <c r="F6195" s="87"/>
      <c r="G6195" s="87"/>
    </row>
    <row r="6196">
      <c r="A6196" s="86">
        <f>IFERROR(__xludf.DUMMYFUNCTION("""COMPUTED_VALUE"""),6194.0)</f>
        <v>6194</v>
      </c>
      <c r="B6196" s="87" t="str">
        <f>IFERROR(__xludf.DUMMYFUNCTION("""COMPUTED_VALUE"""),"NL")</f>
        <v>NL</v>
      </c>
      <c r="C6196" s="87" t="str">
        <f>IFERROR(__xludf.DUMMYFUNCTION("""COMPUTED_VALUE"""),"NLT0041")</f>
        <v>NLT0041</v>
      </c>
      <c r="D6196" s="87" t="str">
        <f>IFERROR(__xludf.DUMMYFUNCTION("""COMPUTED_VALUE"""),"DA6")</f>
        <v>DA6</v>
      </c>
      <c r="E6196" s="87"/>
      <c r="F6196" s="87"/>
      <c r="G6196" s="87"/>
    </row>
    <row r="6197">
      <c r="A6197" s="86">
        <f>IFERROR(__xludf.DUMMYFUNCTION("""COMPUTED_VALUE"""),6195.0)</f>
        <v>6195</v>
      </c>
      <c r="B6197" s="87" t="str">
        <f>IFERROR(__xludf.DUMMYFUNCTION("""COMPUTED_VALUE"""),"NL")</f>
        <v>NL</v>
      </c>
      <c r="C6197" s="87" t="str">
        <f>IFERROR(__xludf.DUMMYFUNCTION("""COMPUTED_VALUE"""),"NLT0042")</f>
        <v>NLT0042</v>
      </c>
      <c r="D6197" s="87" t="str">
        <f>IFERROR(__xludf.DUMMYFUNCTION("""COMPUTED_VALUE"""),"Ethanol 96%")</f>
        <v>Ethanol 96%</v>
      </c>
      <c r="E6197" s="87"/>
      <c r="F6197" s="87"/>
      <c r="G6197" s="87"/>
    </row>
    <row r="6198">
      <c r="A6198" s="86">
        <f>IFERROR(__xludf.DUMMYFUNCTION("""COMPUTED_VALUE"""),6196.0)</f>
        <v>6196</v>
      </c>
      <c r="B6198" s="87" t="str">
        <f>IFERROR(__xludf.DUMMYFUNCTION("""COMPUTED_VALUE"""),"NL")</f>
        <v>NL</v>
      </c>
      <c r="C6198" s="87" t="str">
        <f>IFERROR(__xludf.DUMMYFUNCTION("""COMPUTED_VALUE"""),"NLT0043")</f>
        <v>NLT0043</v>
      </c>
      <c r="D6198" s="87" t="str">
        <f>IFERROR(__xludf.DUMMYFUNCTION("""COMPUTED_VALUE"""),"Phụ gia tạo sữa")</f>
        <v>Phụ gia tạo sữa</v>
      </c>
      <c r="E6198" s="87"/>
      <c r="F6198" s="87"/>
      <c r="G6198" s="87"/>
    </row>
    <row r="6199">
      <c r="A6199" s="86">
        <f>IFERROR(__xludf.DUMMYFUNCTION("""COMPUTED_VALUE"""),6197.0)</f>
        <v>6197</v>
      </c>
      <c r="B6199" s="87" t="str">
        <f>IFERROR(__xludf.DUMMYFUNCTION("""COMPUTED_VALUE"""),"NL")</f>
        <v>NL</v>
      </c>
      <c r="C6199" s="87" t="str">
        <f>IFERROR(__xludf.DUMMYFUNCTION("""COMPUTED_VALUE"""),"NLT0044")</f>
        <v>NLT0044</v>
      </c>
      <c r="D6199" s="87" t="str">
        <f>IFERROR(__xludf.DUMMYFUNCTION("""COMPUTED_VALUE"""),"Paclo 95% (kho khác BMI)")</f>
        <v>Paclo 95% (kho khác BMI)</v>
      </c>
      <c r="E6199" s="87"/>
      <c r="F6199" s="87"/>
      <c r="G6199" s="87"/>
    </row>
    <row r="6200">
      <c r="A6200" s="86">
        <f>IFERROR(__xludf.DUMMYFUNCTION("""COMPUTED_VALUE"""),6198.0)</f>
        <v>6198</v>
      </c>
      <c r="B6200" s="87" t="str">
        <f>IFERROR(__xludf.DUMMYFUNCTION("""COMPUTED_VALUE"""),"NL")</f>
        <v>NL</v>
      </c>
      <c r="C6200" s="87" t="str">
        <f>IFERROR(__xludf.DUMMYFUNCTION("""COMPUTED_VALUE"""),"NLT0045")</f>
        <v>NLT0045</v>
      </c>
      <c r="D6200" s="87" t="str">
        <f>IFERROR(__xludf.DUMMYFUNCTION("""COMPUTED_VALUE"""),"Humate HP01S Plus (đã gồm VC)")</f>
        <v>Humate HP01S Plus (đã gồm VC)</v>
      </c>
      <c r="E6200" s="87"/>
      <c r="F6200" s="87"/>
      <c r="G6200" s="87"/>
    </row>
    <row r="6201">
      <c r="A6201" s="86">
        <f>IFERROR(__xludf.DUMMYFUNCTION("""COMPUTED_VALUE"""),6199.0)</f>
        <v>6199</v>
      </c>
      <c r="B6201" s="87" t="str">
        <f>IFERROR(__xludf.DUMMYFUNCTION("""COMPUTED_VALUE"""),"NL")</f>
        <v>NL</v>
      </c>
      <c r="C6201" s="87" t="str">
        <f>IFERROR(__xludf.DUMMYFUNCTION("""COMPUTED_VALUE"""),"NLT0046")</f>
        <v>NLT0046</v>
      </c>
      <c r="D6201" s="87" t="str">
        <f>IFERROR(__xludf.DUMMYFUNCTION("""COMPUTED_VALUE"""),"Link silica (chống vón )")</f>
        <v>Link silica (chống vón )</v>
      </c>
      <c r="E6201" s="87"/>
      <c r="F6201" s="87"/>
      <c r="G6201" s="87"/>
    </row>
    <row r="6202">
      <c r="A6202" s="86">
        <f>IFERROR(__xludf.DUMMYFUNCTION("""COMPUTED_VALUE"""),6200.0)</f>
        <v>6200</v>
      </c>
      <c r="B6202" s="87" t="str">
        <f>IFERROR(__xludf.DUMMYFUNCTION("""COMPUTED_VALUE"""),"NL")</f>
        <v>NL</v>
      </c>
      <c r="C6202" s="87" t="str">
        <f>IFERROR(__xludf.DUMMYFUNCTION("""COMPUTED_VALUE"""),"NLT0047")</f>
        <v>NLT0047</v>
      </c>
      <c r="D6202" s="87" t="str">
        <f>IFERROR(__xludf.DUMMYFUNCTION("""COMPUTED_VALUE"""),"Chelate Zn")</f>
        <v>Chelate Zn</v>
      </c>
      <c r="E6202" s="87"/>
      <c r="F6202" s="87"/>
      <c r="G6202" s="87"/>
    </row>
    <row r="6203">
      <c r="A6203" s="86">
        <f>IFERROR(__xludf.DUMMYFUNCTION("""COMPUTED_VALUE"""),6201.0)</f>
        <v>6201</v>
      </c>
      <c r="B6203" s="87" t="str">
        <f>IFERROR(__xludf.DUMMYFUNCTION("""COMPUTED_VALUE"""),"NL")</f>
        <v>NL</v>
      </c>
      <c r="C6203" s="87" t="str">
        <f>IFERROR(__xludf.DUMMYFUNCTION("""COMPUTED_VALUE"""),"NLT0048")</f>
        <v>NLT0048</v>
      </c>
      <c r="D6203" s="87" t="str">
        <f>IFERROR(__xludf.DUMMYFUNCTION("""COMPUTED_VALUE"""),"Chelate Fe")</f>
        <v>Chelate Fe</v>
      </c>
      <c r="E6203" s="87"/>
      <c r="F6203" s="87"/>
      <c r="G6203" s="87"/>
    </row>
    <row r="6204">
      <c r="A6204" s="86">
        <f>IFERROR(__xludf.DUMMYFUNCTION("""COMPUTED_VALUE"""),6202.0)</f>
        <v>6202</v>
      </c>
      <c r="B6204" s="87" t="str">
        <f>IFERROR(__xludf.DUMMYFUNCTION("""COMPUTED_VALUE"""),"NL")</f>
        <v>NL</v>
      </c>
      <c r="C6204" s="87" t="str">
        <f>IFERROR(__xludf.DUMMYFUNCTION("""COMPUTED_VALUE"""),"NLT0049")</f>
        <v>NLT0049</v>
      </c>
      <c r="D6204" s="87" t="str">
        <f>IFERROR(__xludf.DUMMYFUNCTION("""COMPUTED_VALUE"""),"Chelate Cu")</f>
        <v>Chelate Cu</v>
      </c>
      <c r="E6204" s="87"/>
      <c r="F6204" s="87"/>
      <c r="G6204" s="87"/>
    </row>
    <row r="6205">
      <c r="A6205" s="86">
        <f>IFERROR(__xludf.DUMMYFUNCTION("""COMPUTED_VALUE"""),6203.0)</f>
        <v>6203</v>
      </c>
      <c r="B6205" s="87" t="str">
        <f>IFERROR(__xludf.DUMMYFUNCTION("""COMPUTED_VALUE"""),"NL")</f>
        <v>NL</v>
      </c>
      <c r="C6205" s="87" t="str">
        <f>IFERROR(__xludf.DUMMYFUNCTION("""COMPUTED_VALUE"""),"NLT0050")</f>
        <v>NLT0050</v>
      </c>
      <c r="D6205" s="87" t="str">
        <f>IFERROR(__xludf.DUMMYFUNCTION("""COMPUTED_VALUE"""),"Chelate Ca")</f>
        <v>Chelate Ca</v>
      </c>
      <c r="E6205" s="87"/>
      <c r="F6205" s="87"/>
      <c r="G6205" s="87"/>
    </row>
    <row r="6206">
      <c r="A6206" s="86">
        <f>IFERROR(__xludf.DUMMYFUNCTION("""COMPUTED_VALUE"""),6204.0)</f>
        <v>6204</v>
      </c>
      <c r="B6206" s="87" t="str">
        <f>IFERROR(__xludf.DUMMYFUNCTION("""COMPUTED_VALUE"""),"NL")</f>
        <v>NL</v>
      </c>
      <c r="C6206" s="87" t="str">
        <f>IFERROR(__xludf.DUMMYFUNCTION("""COMPUTED_VALUE"""),"NLT0051")</f>
        <v>NLT0051</v>
      </c>
      <c r="D6206" s="87" t="str">
        <f>IFERROR(__xludf.DUMMYFUNCTION("""COMPUTED_VALUE"""),"BKC 80%")</f>
        <v>BKC 80%</v>
      </c>
      <c r="E6206" s="87"/>
      <c r="F6206" s="87"/>
      <c r="G6206" s="87"/>
    </row>
    <row r="6207">
      <c r="A6207" s="86">
        <f>IFERROR(__xludf.DUMMYFUNCTION("""COMPUTED_VALUE"""),6205.0)</f>
        <v>6205</v>
      </c>
      <c r="B6207" s="87" t="str">
        <f>IFERROR(__xludf.DUMMYFUNCTION("""COMPUTED_VALUE"""),"NL")</f>
        <v>NL</v>
      </c>
      <c r="C6207" s="87" t="str">
        <f>IFERROR(__xludf.DUMMYFUNCTION("""COMPUTED_VALUE"""),"NLT0052")</f>
        <v>NLT0052</v>
      </c>
      <c r="D6207" s="87" t="str">
        <f>IFERROR(__xludf.DUMMYFUNCTION("""COMPUTED_VALUE"""),"NP9")</f>
        <v>NP9</v>
      </c>
      <c r="E6207" s="87"/>
      <c r="F6207" s="87"/>
      <c r="G6207" s="87"/>
    </row>
    <row r="6208">
      <c r="A6208" s="86">
        <f>IFERROR(__xludf.DUMMYFUNCTION("""COMPUTED_VALUE"""),6206.0)</f>
        <v>6206</v>
      </c>
      <c r="B6208" s="87" t="str">
        <f>IFERROR(__xludf.DUMMYFUNCTION("""COMPUTED_VALUE"""),"NL")</f>
        <v>NL</v>
      </c>
      <c r="C6208" s="87" t="str">
        <f>IFERROR(__xludf.DUMMYFUNCTION("""COMPUTED_VALUE"""),"NLT0053")</f>
        <v>NLT0053</v>
      </c>
      <c r="D6208" s="87" t="str">
        <f>IFERROR(__xludf.DUMMYFUNCTION("""COMPUTED_VALUE"""),"Màu xanh lá")</f>
        <v>Màu xanh lá</v>
      </c>
      <c r="E6208" s="87"/>
      <c r="F6208" s="87"/>
      <c r="G6208" s="87"/>
    </row>
    <row r="6209">
      <c r="A6209" s="86">
        <f>IFERROR(__xludf.DUMMYFUNCTION("""COMPUTED_VALUE"""),6207.0)</f>
        <v>6207</v>
      </c>
      <c r="B6209" s="87" t="str">
        <f>IFERROR(__xludf.DUMMYFUNCTION("""COMPUTED_VALUE"""),"NL")</f>
        <v>NL</v>
      </c>
      <c r="C6209" s="87" t="str">
        <f>IFERROR(__xludf.DUMMYFUNCTION("""COMPUTED_VALUE"""),"NLT0054")</f>
        <v>NLT0054</v>
      </c>
      <c r="D6209" s="87" t="str">
        <f>IFERROR(__xludf.DUMMYFUNCTION("""COMPUTED_VALUE"""),"Sodium benzoate")</f>
        <v>Sodium benzoate</v>
      </c>
      <c r="E6209" s="87"/>
      <c r="F6209" s="87"/>
      <c r="G6209" s="87"/>
    </row>
    <row r="6210">
      <c r="A6210" s="86">
        <f>IFERROR(__xludf.DUMMYFUNCTION("""COMPUTED_VALUE"""),6208.0)</f>
        <v>6208</v>
      </c>
      <c r="B6210" s="87" t="str">
        <f>IFERROR(__xludf.DUMMYFUNCTION("""COMPUTED_VALUE"""),"NL")</f>
        <v>NL</v>
      </c>
      <c r="C6210" s="87" t="str">
        <f>IFERROR(__xludf.DUMMYFUNCTION("""COMPUTED_VALUE"""),"NLT0056")</f>
        <v>NLT0056</v>
      </c>
      <c r="D6210" s="87" t="str">
        <f>IFERROR(__xludf.DUMMYFUNCTION("""COMPUTED_VALUE"""),"Sodium Para Nitrophenol")</f>
        <v>Sodium Para Nitrophenol</v>
      </c>
      <c r="E6210" s="87"/>
      <c r="F6210" s="87"/>
      <c r="G6210" s="87"/>
    </row>
    <row r="6211">
      <c r="A6211" s="86">
        <f>IFERROR(__xludf.DUMMYFUNCTION("""COMPUTED_VALUE"""),6209.0)</f>
        <v>6209</v>
      </c>
      <c r="B6211" s="87" t="str">
        <f>IFERROR(__xludf.DUMMYFUNCTION("""COMPUTED_VALUE"""),"NL")</f>
        <v>NL</v>
      </c>
      <c r="C6211" s="87" t="str">
        <f>IFERROR(__xludf.DUMMYFUNCTION("""COMPUTED_VALUE"""),"NLT0058")</f>
        <v>NLT0058</v>
      </c>
      <c r="D6211" s="87" t="str">
        <f>IFERROR(__xludf.DUMMYFUNCTION("""COMPUTED_VALUE"""),"Ethephon 40SL")</f>
        <v>Ethephon 40SL</v>
      </c>
      <c r="E6211" s="87"/>
      <c r="F6211" s="87"/>
      <c r="G6211" s="87"/>
    </row>
    <row r="6212">
      <c r="A6212" s="86">
        <f>IFERROR(__xludf.DUMMYFUNCTION("""COMPUTED_VALUE"""),6210.0)</f>
        <v>6210</v>
      </c>
      <c r="B6212" s="87" t="str">
        <f>IFERROR(__xludf.DUMMYFUNCTION("""COMPUTED_VALUE"""),"NL")</f>
        <v>NL</v>
      </c>
      <c r="C6212" s="87" t="str">
        <f>IFERROR(__xludf.DUMMYFUNCTION("""COMPUTED_VALUE"""),"NLT0059")</f>
        <v>NLT0059</v>
      </c>
      <c r="D6212" s="87" t="str">
        <f>IFERROR(__xludf.DUMMYFUNCTION("""COMPUTED_VALUE"""),"Compound Sodium Nitrophenolate 98% TC (ATONIK đậm đặc)")</f>
        <v>Compound Sodium Nitrophenolate 98% TC (ATONIK đậm đặc)</v>
      </c>
      <c r="E6212" s="87"/>
      <c r="F6212" s="87"/>
      <c r="G6212" s="87"/>
    </row>
    <row r="6213">
      <c r="A6213" s="86">
        <f>IFERROR(__xludf.DUMMYFUNCTION("""COMPUTED_VALUE"""),6211.0)</f>
        <v>6211</v>
      </c>
      <c r="B6213" s="87" t="str">
        <f>IFERROR(__xludf.DUMMYFUNCTION("""COMPUTED_VALUE"""),"NL")</f>
        <v>NL</v>
      </c>
      <c r="C6213" s="87" t="str">
        <f>IFERROR(__xludf.DUMMYFUNCTION("""COMPUTED_VALUE"""),"NLT0060")</f>
        <v>NLT0060</v>
      </c>
      <c r="D6213" s="87" t="str">
        <f>IFERROR(__xludf.DUMMYFUNCTION("""COMPUTED_VALUE"""),"PG")</f>
        <v>PG</v>
      </c>
      <c r="E6213" s="87"/>
      <c r="F6213" s="87"/>
      <c r="G6213" s="87"/>
    </row>
    <row r="6214">
      <c r="A6214" s="86">
        <f>IFERROR(__xludf.DUMMYFUNCTION("""COMPUTED_VALUE"""),6212.0)</f>
        <v>6212</v>
      </c>
      <c r="B6214" s="87" t="str">
        <f>IFERROR(__xludf.DUMMYFUNCTION("""COMPUTED_VALUE"""),"NL")</f>
        <v>NL</v>
      </c>
      <c r="C6214" s="87" t="str">
        <f>IFERROR(__xludf.DUMMYFUNCTION("""COMPUTED_VALUE"""),"NLT0061")</f>
        <v>NLT0061</v>
      </c>
      <c r="D6214" s="87" t="str">
        <f>IFERROR(__xludf.DUMMYFUNCTION("""COMPUTED_VALUE"""),"Fulvic Acid 50%")</f>
        <v>Fulvic Acid 50%</v>
      </c>
      <c r="E6214" s="87"/>
      <c r="F6214" s="87"/>
      <c r="G6214" s="87"/>
    </row>
    <row r="6215">
      <c r="A6215" s="86">
        <f>IFERROR(__xludf.DUMMYFUNCTION("""COMPUTED_VALUE"""),6213.0)</f>
        <v>6213</v>
      </c>
      <c r="B6215" s="87" t="str">
        <f>IFERROR(__xludf.DUMMYFUNCTION("""COMPUTED_VALUE"""),"NL")</f>
        <v>NL</v>
      </c>
      <c r="C6215" s="87" t="str">
        <f>IFERROR(__xludf.DUMMYFUNCTION("""COMPUTED_VALUE"""),"NLT0062")</f>
        <v>NLT0062</v>
      </c>
      <c r="D6215" s="87" t="str">
        <f>IFERROR(__xludf.DUMMYFUNCTION("""COMPUTED_VALUE"""),"Daminodize B9")</f>
        <v>Daminodize B9</v>
      </c>
      <c r="E6215" s="87"/>
      <c r="F6215" s="87"/>
      <c r="G6215" s="87"/>
    </row>
    <row r="6216">
      <c r="A6216" s="86">
        <f>IFERROR(__xludf.DUMMYFUNCTION("""COMPUTED_VALUE"""),6214.0)</f>
        <v>6214</v>
      </c>
      <c r="B6216" s="87" t="str">
        <f>IFERROR(__xludf.DUMMYFUNCTION("""COMPUTED_VALUE"""),"NL")</f>
        <v>NL</v>
      </c>
      <c r="C6216" s="87" t="str">
        <f>IFERROR(__xludf.DUMMYFUNCTION("""COMPUTED_VALUE"""),"NLT0063")</f>
        <v>NLT0063</v>
      </c>
      <c r="D6216" s="87" t="str">
        <f>IFERROR(__xludf.DUMMYFUNCTION("""COMPUTED_VALUE"""),"Phụ gia mùi thuốc (CYC)")</f>
        <v>Phụ gia mùi thuốc (CYC)</v>
      </c>
      <c r="E6216" s="87"/>
      <c r="F6216" s="87"/>
      <c r="G6216" s="87"/>
    </row>
    <row r="6217">
      <c r="A6217" s="86">
        <f>IFERROR(__xludf.DUMMYFUNCTION("""COMPUTED_VALUE"""),6215.0)</f>
        <v>6215</v>
      </c>
      <c r="B6217" s="87" t="str">
        <f>IFERROR(__xludf.DUMMYFUNCTION("""COMPUTED_VALUE"""),"NL")</f>
        <v>NL</v>
      </c>
      <c r="C6217" s="87" t="str">
        <f>IFERROR(__xludf.DUMMYFUNCTION("""COMPUTED_VALUE"""),"NLT0064")</f>
        <v>NLT0064</v>
      </c>
      <c r="D6217" s="87" t="str">
        <f>IFERROR(__xludf.DUMMYFUNCTION("""COMPUTED_VALUE"""),"Eugenol tech 99%")</f>
        <v>Eugenol tech 99%</v>
      </c>
      <c r="E6217" s="87"/>
      <c r="F6217" s="87"/>
      <c r="G6217" s="87"/>
    </row>
    <row r="6218">
      <c r="A6218" s="86">
        <f>IFERROR(__xludf.DUMMYFUNCTION("""COMPUTED_VALUE"""),6216.0)</f>
        <v>6216</v>
      </c>
      <c r="B6218" s="87" t="str">
        <f>IFERROR(__xludf.DUMMYFUNCTION("""COMPUTED_VALUE"""),"NL")</f>
        <v>NL</v>
      </c>
      <c r="C6218" s="87" t="str">
        <f>IFERROR(__xludf.DUMMYFUNCTION("""COMPUTED_VALUE"""),"NLT0066")</f>
        <v>NLT0066</v>
      </c>
      <c r="D6218" s="87" t="str">
        <f>IFERROR(__xludf.DUMMYFUNCTION("""COMPUTED_VALUE"""),"Sữa đặc")</f>
        <v>Sữa đặc</v>
      </c>
      <c r="E6218" s="87"/>
      <c r="F6218" s="87"/>
      <c r="G6218" s="87"/>
    </row>
    <row r="6219">
      <c r="A6219" s="86">
        <f>IFERROR(__xludf.DUMMYFUNCTION("""COMPUTED_VALUE"""),6217.0)</f>
        <v>6217</v>
      </c>
      <c r="B6219" s="87" t="str">
        <f>IFERROR(__xludf.DUMMYFUNCTION("""COMPUTED_VALUE"""),"NL")</f>
        <v>NL</v>
      </c>
      <c r="C6219" s="87" t="str">
        <f>IFERROR(__xludf.DUMMYFUNCTION("""COMPUTED_VALUE"""),"NLT0067")</f>
        <v>NLT0067</v>
      </c>
      <c r="D6219" s="87" t="str">
        <f>IFERROR(__xludf.DUMMYFUNCTION("""COMPUTED_VALUE"""),"Phối phụ gia SC")</f>
        <v>Phối phụ gia SC</v>
      </c>
      <c r="E6219" s="87"/>
      <c r="F6219" s="87"/>
      <c r="G6219" s="87"/>
    </row>
    <row r="6220">
      <c r="A6220" s="86">
        <f>IFERROR(__xludf.DUMMYFUNCTION("""COMPUTED_VALUE"""),6218.0)</f>
        <v>6218</v>
      </c>
      <c r="B6220" s="87" t="str">
        <f>IFERROR(__xludf.DUMMYFUNCTION("""COMPUTED_VALUE"""),"NL")</f>
        <v>NL</v>
      </c>
      <c r="C6220" s="87" t="str">
        <f>IFERROR(__xludf.DUMMYFUNCTION("""COMPUTED_VALUE"""),"NLT0068")</f>
        <v>NLT0068</v>
      </c>
      <c r="D6220" s="87" t="str">
        <f>IFERROR(__xludf.DUMMYFUNCTION("""COMPUTED_VALUE"""),"Phụ gia SC")</f>
        <v>Phụ gia SC</v>
      </c>
      <c r="E6220" s="87"/>
      <c r="F6220" s="87"/>
      <c r="G6220" s="87"/>
    </row>
    <row r="6221">
      <c r="A6221" s="86">
        <f>IFERROR(__xludf.DUMMYFUNCTION("""COMPUTED_VALUE"""),6219.0)</f>
        <v>6219</v>
      </c>
      <c r="B6221" s="87" t="str">
        <f>IFERROR(__xludf.DUMMYFUNCTION("""COMPUTED_VALUE"""),"NL")</f>
        <v>NL</v>
      </c>
      <c r="C6221" s="87" t="str">
        <f>IFERROR(__xludf.DUMMYFUNCTION("""COMPUTED_VALUE"""),"NLT0069")</f>
        <v>NLT0069</v>
      </c>
      <c r="D6221" s="87" t="str">
        <f>IFERROR(__xludf.DUMMYFUNCTION("""COMPUTED_VALUE"""),"MgSO4.7H2O")</f>
        <v>MgSO4.7H2O</v>
      </c>
      <c r="E6221" s="87"/>
      <c r="F6221" s="87"/>
      <c r="G6221" s="87"/>
    </row>
    <row r="6222">
      <c r="A6222" s="86">
        <f>IFERROR(__xludf.DUMMYFUNCTION("""COMPUTED_VALUE"""),6220.0)</f>
        <v>6220</v>
      </c>
      <c r="B6222" s="87" t="str">
        <f>IFERROR(__xludf.DUMMYFUNCTION("""COMPUTED_VALUE"""),"NL")</f>
        <v>NL</v>
      </c>
      <c r="C6222" s="87" t="str">
        <f>IFERROR(__xludf.DUMMYFUNCTION("""COMPUTED_VALUE"""),"NLT0071")</f>
        <v>NLT0071</v>
      </c>
      <c r="D6222" s="87" t="str">
        <f>IFERROR(__xludf.DUMMYFUNCTION("""COMPUTED_VALUE"""),"Đường cát")</f>
        <v>Đường cát</v>
      </c>
      <c r="E6222" s="87"/>
      <c r="F6222" s="87"/>
      <c r="G6222" s="87"/>
    </row>
    <row r="6223">
      <c r="A6223" s="86">
        <f>IFERROR(__xludf.DUMMYFUNCTION("""COMPUTED_VALUE"""),6221.0)</f>
        <v>6221</v>
      </c>
      <c r="B6223" s="87" t="str">
        <f>IFERROR(__xludf.DUMMYFUNCTION("""COMPUTED_VALUE"""),"NL")</f>
        <v>NL</v>
      </c>
      <c r="C6223" s="87" t="str">
        <f>IFERROR(__xludf.DUMMYFUNCTION("""COMPUTED_VALUE"""),"NLT0072")</f>
        <v>NLT0072</v>
      </c>
      <c r="D6223" s="87" t="str">
        <f>IFERROR(__xludf.DUMMYFUNCTION("""COMPUTED_VALUE"""),"Chelate Mn")</f>
        <v>Chelate Mn</v>
      </c>
      <c r="E6223" s="87"/>
      <c r="F6223" s="87"/>
      <c r="G6223" s="87"/>
    </row>
    <row r="6224">
      <c r="A6224" s="86">
        <f>IFERROR(__xludf.DUMMYFUNCTION("""COMPUTED_VALUE"""),6222.0)</f>
        <v>6222</v>
      </c>
      <c r="B6224" s="87" t="str">
        <f>IFERROR(__xludf.DUMMYFUNCTION("""COMPUTED_VALUE"""),"NL")</f>
        <v>NL</v>
      </c>
      <c r="C6224" s="87" t="str">
        <f>IFERROR(__xludf.DUMMYFUNCTION("""COMPUTED_VALUE"""),"NLT0073")</f>
        <v>NLT0073</v>
      </c>
      <c r="D6224" s="87" t="str">
        <f>IFERROR(__xludf.DUMMYFUNCTION("""COMPUTED_VALUE"""),"Màu đỏ")</f>
        <v>Màu đỏ</v>
      </c>
      <c r="E6224" s="87"/>
      <c r="F6224" s="87"/>
      <c r="G6224" s="87"/>
    </row>
    <row r="6225">
      <c r="A6225" s="86">
        <f>IFERROR(__xludf.DUMMYFUNCTION("""COMPUTED_VALUE"""),6223.0)</f>
        <v>6223</v>
      </c>
      <c r="B6225" s="87" t="str">
        <f>IFERROR(__xludf.DUMMYFUNCTION("""COMPUTED_VALUE"""),"NL")</f>
        <v>NL</v>
      </c>
      <c r="C6225" s="87" t="str">
        <f>IFERROR(__xludf.DUMMYFUNCTION("""COMPUTED_VALUE"""),"NLT0074")</f>
        <v>NLT0074</v>
      </c>
      <c r="D6225" s="87" t="str">
        <f>IFERROR(__xludf.DUMMYFUNCTION("""COMPUTED_VALUE"""),"Sodium Molybdate")</f>
        <v>Sodium Molybdate</v>
      </c>
      <c r="E6225" s="87"/>
      <c r="F6225" s="87"/>
      <c r="G6225" s="87"/>
    </row>
    <row r="6226">
      <c r="A6226" s="86">
        <f>IFERROR(__xludf.DUMMYFUNCTION("""COMPUTED_VALUE"""),6224.0)</f>
        <v>6224</v>
      </c>
      <c r="B6226" s="87" t="str">
        <f>IFERROR(__xludf.DUMMYFUNCTION("""COMPUTED_VALUE"""),"NL")</f>
        <v>NL</v>
      </c>
      <c r="C6226" s="87" t="str">
        <f>IFERROR(__xludf.DUMMYFUNCTION("""COMPUTED_VALUE"""),"NLT0076")</f>
        <v>NLT0076</v>
      </c>
      <c r="D6226" s="87" t="str">
        <f>IFERROR(__xludf.DUMMYFUNCTION("""COMPUTED_VALUE"""),"Ammonium Molybdate")</f>
        <v>Ammonium Molybdate</v>
      </c>
      <c r="E6226" s="87"/>
      <c r="F6226" s="87"/>
      <c r="G6226" s="87"/>
    </row>
    <row r="6227">
      <c r="A6227" s="86">
        <f>IFERROR(__xludf.DUMMYFUNCTION("""COMPUTED_VALUE"""),6225.0)</f>
        <v>6225</v>
      </c>
      <c r="B6227" s="87" t="str">
        <f>IFERROR(__xludf.DUMMYFUNCTION("""COMPUTED_VALUE"""),"NL")</f>
        <v>NL</v>
      </c>
      <c r="C6227" s="87" t="str">
        <f>IFERROR(__xludf.DUMMYFUNCTION("""COMPUTED_VALUE"""),"NLT0079")</f>
        <v>NLT0079</v>
      </c>
      <c r="D6227" s="87" t="str">
        <f>IFERROR(__xludf.DUMMYFUNCTION("""COMPUTED_VALUE"""),"Ure hạt đục")</f>
        <v>Ure hạt đục</v>
      </c>
      <c r="E6227" s="87"/>
      <c r="F6227" s="87"/>
      <c r="G6227" s="87"/>
    </row>
    <row r="6228">
      <c r="A6228" s="86">
        <f>IFERROR(__xludf.DUMMYFUNCTION("""COMPUTED_VALUE"""),6226.0)</f>
        <v>6226</v>
      </c>
      <c r="B6228" s="87" t="str">
        <f>IFERROR(__xludf.DUMMYFUNCTION("""COMPUTED_VALUE"""),"NL")</f>
        <v>NL</v>
      </c>
      <c r="C6228" s="87" t="str">
        <f>IFERROR(__xludf.DUMMYFUNCTION("""COMPUTED_VALUE"""),"NLT0080")</f>
        <v>NLT0080</v>
      </c>
      <c r="D6228" s="87" t="str">
        <f>IFERROR(__xludf.DUMMYFUNCTION("""COMPUTED_VALUE"""),"TiO2")</f>
        <v>TiO2</v>
      </c>
      <c r="E6228" s="87"/>
      <c r="F6228" s="87"/>
      <c r="G6228" s="87"/>
    </row>
    <row r="6229">
      <c r="A6229" s="86">
        <f>IFERROR(__xludf.DUMMYFUNCTION("""COMPUTED_VALUE"""),6227.0)</f>
        <v>6227</v>
      </c>
      <c r="B6229" s="87" t="str">
        <f>IFERROR(__xludf.DUMMYFUNCTION("""COMPUTED_VALUE"""),"NL")</f>
        <v>NL</v>
      </c>
      <c r="C6229" s="87" t="str">
        <f>IFERROR(__xludf.DUMMYFUNCTION("""COMPUTED_VALUE"""),"NLT0081")</f>
        <v>NLT0081</v>
      </c>
      <c r="D6229" s="87" t="str">
        <f>IFERROR(__xludf.DUMMYFUNCTION("""COMPUTED_VALUE"""),"Bột SA Capro")</f>
        <v>Bột SA Capro</v>
      </c>
      <c r="E6229" s="87"/>
      <c r="F6229" s="87"/>
      <c r="G6229" s="87"/>
    </row>
    <row r="6230">
      <c r="A6230" s="86">
        <f>IFERROR(__xludf.DUMMYFUNCTION("""COMPUTED_VALUE"""),6228.0)</f>
        <v>6228</v>
      </c>
      <c r="B6230" s="87" t="str">
        <f>IFERROR(__xludf.DUMMYFUNCTION("""COMPUTED_VALUE"""),"NL")</f>
        <v>NL</v>
      </c>
      <c r="C6230" s="87" t="str">
        <f>IFERROR(__xludf.DUMMYFUNCTION("""COMPUTED_VALUE"""),"NLT0082")</f>
        <v>NLT0082</v>
      </c>
      <c r="D6230" s="87" t="str">
        <f>IFERROR(__xludf.DUMMYFUNCTION("""COMPUTED_VALUE"""),"Nguyên liệu GLUFOSINATE AMMONIUM 95% TC (hàm lượng thực tế 98%)")</f>
        <v>Nguyên liệu GLUFOSINATE AMMONIUM 95% TC (hàm lượng thực tế 98%)</v>
      </c>
      <c r="E6230" s="87"/>
      <c r="F6230" s="87"/>
      <c r="G6230" s="87"/>
    </row>
    <row r="6231">
      <c r="A6231" s="86">
        <f>IFERROR(__xludf.DUMMYFUNCTION("""COMPUTED_VALUE"""),6229.0)</f>
        <v>6229</v>
      </c>
      <c r="B6231" s="87" t="str">
        <f>IFERROR(__xludf.DUMMYFUNCTION("""COMPUTED_VALUE"""),"NL")</f>
        <v>NL</v>
      </c>
      <c r="C6231" s="87" t="str">
        <f>IFERROR(__xludf.DUMMYFUNCTION("""COMPUTED_VALUE"""),"NLT0083")</f>
        <v>NLT0083</v>
      </c>
      <c r="D6231" s="87" t="str">
        <f>IFERROR(__xludf.DUMMYFUNCTION("""COMPUTED_VALUE"""),"Màu xanh dương")</f>
        <v>Màu xanh dương</v>
      </c>
      <c r="E6231" s="87"/>
      <c r="F6231" s="87"/>
      <c r="G6231" s="87"/>
    </row>
    <row r="6232">
      <c r="A6232" s="86">
        <f>IFERROR(__xludf.DUMMYFUNCTION("""COMPUTED_VALUE"""),6230.0)</f>
        <v>6230</v>
      </c>
      <c r="B6232" s="87" t="str">
        <f>IFERROR(__xludf.DUMMYFUNCTION("""COMPUTED_VALUE"""),"NL")</f>
        <v>NL</v>
      </c>
      <c r="C6232" s="87" t="str">
        <f>IFERROR(__xludf.DUMMYFUNCTION("""COMPUTED_VALUE"""),"NLT0084")</f>
        <v>NLT0084</v>
      </c>
      <c r="D6232" s="87" t="str">
        <f>IFERROR(__xludf.DUMMYFUNCTION("""COMPUTED_VALUE"""),"KCl")</f>
        <v>KCl</v>
      </c>
      <c r="E6232" s="87"/>
      <c r="F6232" s="87"/>
      <c r="G6232" s="87"/>
    </row>
    <row r="6233">
      <c r="A6233" s="86">
        <f>IFERROR(__xludf.DUMMYFUNCTION("""COMPUTED_VALUE"""),6231.0)</f>
        <v>6231</v>
      </c>
      <c r="B6233" s="87" t="str">
        <f>IFERROR(__xludf.DUMMYFUNCTION("""COMPUTED_VALUE"""),"NL")</f>
        <v>NL</v>
      </c>
      <c r="C6233" s="87" t="str">
        <f>IFERROR(__xludf.DUMMYFUNCTION("""COMPUTED_VALUE"""),"NLT0085")</f>
        <v>NLT0085</v>
      </c>
      <c r="D6233" s="87" t="str">
        <f>IFERROR(__xludf.DUMMYFUNCTION("""COMPUTED_VALUE"""),"Las")</f>
        <v>Las</v>
      </c>
      <c r="E6233" s="87"/>
      <c r="F6233" s="87"/>
      <c r="G6233" s="87"/>
    </row>
    <row r="6234">
      <c r="A6234" s="86">
        <f>IFERROR(__xludf.DUMMYFUNCTION("""COMPUTED_VALUE"""),6232.0)</f>
        <v>6232</v>
      </c>
      <c r="B6234" s="87" t="str">
        <f>IFERROR(__xludf.DUMMYFUNCTION("""COMPUTED_VALUE"""),"NL")</f>
        <v>NL</v>
      </c>
      <c r="C6234" s="87" t="str">
        <f>IFERROR(__xludf.DUMMYFUNCTION("""COMPUTED_VALUE"""),"NLT0086")</f>
        <v>NLT0086</v>
      </c>
      <c r="D6234" s="87" t="str">
        <f>IFERROR(__xludf.DUMMYFUNCTION("""COMPUTED_VALUE"""),"Cobalt Sulphate")</f>
        <v>Cobalt Sulphate</v>
      </c>
      <c r="E6234" s="87"/>
      <c r="F6234" s="87"/>
      <c r="G6234" s="87"/>
    </row>
    <row r="6235">
      <c r="A6235" s="86">
        <f>IFERROR(__xludf.DUMMYFUNCTION("""COMPUTED_VALUE"""),6233.0)</f>
        <v>6233</v>
      </c>
      <c r="B6235" s="87" t="str">
        <f>IFERROR(__xludf.DUMMYFUNCTION("""COMPUTED_VALUE"""),"NL")</f>
        <v>NL</v>
      </c>
      <c r="C6235" s="87" t="str">
        <f>IFERROR(__xludf.DUMMYFUNCTION("""COMPUTED_VALUE"""),"NLT0087")</f>
        <v>NLT0087</v>
      </c>
      <c r="D6235" s="87" t="str">
        <f>IFERROR(__xludf.DUMMYFUNCTION("""COMPUTED_VALUE"""),"KNO3")</f>
        <v>KNO3</v>
      </c>
      <c r="E6235" s="87"/>
      <c r="F6235" s="87"/>
      <c r="G6235" s="87"/>
    </row>
    <row r="6236">
      <c r="A6236" s="86">
        <f>IFERROR(__xludf.DUMMYFUNCTION("""COMPUTED_VALUE"""),6234.0)</f>
        <v>6234</v>
      </c>
      <c r="B6236" s="87" t="str">
        <f>IFERROR(__xludf.DUMMYFUNCTION("""COMPUTED_VALUE"""),"NL")</f>
        <v>NL</v>
      </c>
      <c r="C6236" s="87" t="str">
        <f>IFERROR(__xludf.DUMMYFUNCTION("""COMPUTED_VALUE"""),"NLT0088")</f>
        <v>NLT0088</v>
      </c>
      <c r="D6236" s="87" t="str">
        <f>IFERROR(__xludf.DUMMYFUNCTION("""COMPUTED_VALUE"""),"MnSO4.1H2O")</f>
        <v>MnSO4.1H2O</v>
      </c>
      <c r="E6236" s="87"/>
      <c r="F6236" s="87"/>
      <c r="G6236" s="87"/>
    </row>
    <row r="6237">
      <c r="A6237" s="86">
        <f>IFERROR(__xludf.DUMMYFUNCTION("""COMPUTED_VALUE"""),6235.0)</f>
        <v>6235</v>
      </c>
      <c r="B6237" s="87" t="str">
        <f>IFERROR(__xludf.DUMMYFUNCTION("""COMPUTED_VALUE"""),"NL")</f>
        <v>NL</v>
      </c>
      <c r="C6237" s="87" t="str">
        <f>IFERROR(__xludf.DUMMYFUNCTION("""COMPUTED_VALUE"""),"NLT0089")</f>
        <v>NLT0089</v>
      </c>
      <c r="D6237" s="87" t="str">
        <f>IFERROR(__xludf.DUMMYFUNCTION("""COMPUTED_VALUE"""),"H3BO3 (ACID BORIC)")</f>
        <v>H3BO3 (ACID BORIC)</v>
      </c>
      <c r="E6237" s="87"/>
      <c r="F6237" s="87"/>
      <c r="G6237" s="87"/>
    </row>
    <row r="6238">
      <c r="A6238" s="86">
        <f>IFERROR(__xludf.DUMMYFUNCTION("""COMPUTED_VALUE"""),6236.0)</f>
        <v>6236</v>
      </c>
      <c r="B6238" s="87" t="str">
        <f>IFERROR(__xludf.DUMMYFUNCTION("""COMPUTED_VALUE"""),"NL")</f>
        <v>NL</v>
      </c>
      <c r="C6238" s="87" t="str">
        <f>IFERROR(__xludf.DUMMYFUNCTION("""COMPUTED_VALUE"""),"NLT0090")</f>
        <v>NLT0090</v>
      </c>
      <c r="D6238" s="87" t="str">
        <f>IFERROR(__xludf.DUMMYFUNCTION("""COMPUTED_VALUE"""),"Màu vàng chanh tan trong nước")</f>
        <v>Màu vàng chanh tan trong nước</v>
      </c>
      <c r="E6238" s="87"/>
      <c r="F6238" s="87"/>
      <c r="G6238" s="87"/>
    </row>
    <row r="6239">
      <c r="A6239" s="86">
        <f>IFERROR(__xludf.DUMMYFUNCTION("""COMPUTED_VALUE"""),6237.0)</f>
        <v>6237</v>
      </c>
      <c r="B6239" s="87" t="str">
        <f>IFERROR(__xludf.DUMMYFUNCTION("""COMPUTED_VALUE"""),"NL")</f>
        <v>NL</v>
      </c>
      <c r="C6239" s="87" t="str">
        <f>IFERROR(__xludf.DUMMYFUNCTION("""COMPUTED_VALUE"""),"NLT0091")</f>
        <v>NLT0091</v>
      </c>
      <c r="D6239" s="87" t="str">
        <f>IFERROR(__xludf.DUMMYFUNCTION("""COMPUTED_VALUE"""),"Buprofezin 98% TC")</f>
        <v>Buprofezin 98% TC</v>
      </c>
      <c r="E6239" s="87"/>
      <c r="F6239" s="87"/>
      <c r="G6239" s="87"/>
    </row>
    <row r="6240">
      <c r="A6240" s="86">
        <f>IFERROR(__xludf.DUMMYFUNCTION("""COMPUTED_VALUE"""),6238.0)</f>
        <v>6238</v>
      </c>
      <c r="B6240" s="87" t="str">
        <f>IFERROR(__xludf.DUMMYFUNCTION("""COMPUTED_VALUE"""),"NL")</f>
        <v>NL</v>
      </c>
      <c r="C6240" s="87" t="str">
        <f>IFERROR(__xludf.DUMMYFUNCTION("""COMPUTED_VALUE"""),"NLT0092")</f>
        <v>NLT0092</v>
      </c>
      <c r="D6240" s="87" t="str">
        <f>IFERROR(__xludf.DUMMYFUNCTION("""COMPUTED_VALUE"""),"Imidacloprid 97% TC")</f>
        <v>Imidacloprid 97% TC</v>
      </c>
      <c r="E6240" s="87"/>
      <c r="F6240" s="87"/>
      <c r="G6240" s="87"/>
    </row>
    <row r="6241">
      <c r="A6241" s="86">
        <f>IFERROR(__xludf.DUMMYFUNCTION("""COMPUTED_VALUE"""),6239.0)</f>
        <v>6239</v>
      </c>
      <c r="B6241" s="87" t="str">
        <f>IFERROR(__xludf.DUMMYFUNCTION("""COMPUTED_VALUE"""),"NL")</f>
        <v>NL</v>
      </c>
      <c r="C6241" s="87" t="str">
        <f>IFERROR(__xludf.DUMMYFUNCTION("""COMPUTED_VALUE"""),"NLT0093")</f>
        <v>NLT0093</v>
      </c>
      <c r="D6241" s="87" t="str">
        <f>IFERROR(__xludf.DUMMYFUNCTION("""COMPUTED_VALUE"""),"SLES")</f>
        <v>SLES</v>
      </c>
      <c r="E6241" s="87"/>
      <c r="F6241" s="87"/>
      <c r="G6241" s="87"/>
    </row>
    <row r="6242">
      <c r="A6242" s="86">
        <f>IFERROR(__xludf.DUMMYFUNCTION("""COMPUTED_VALUE"""),6240.0)</f>
        <v>6240</v>
      </c>
      <c r="B6242" s="87" t="str">
        <f>IFERROR(__xludf.DUMMYFUNCTION("""COMPUTED_VALUE"""),"NL")</f>
        <v>NL</v>
      </c>
      <c r="C6242" s="87" t="str">
        <f>IFERROR(__xludf.DUMMYFUNCTION("""COMPUTED_VALUE"""),"NLT0094")</f>
        <v>NLT0094</v>
      </c>
      <c r="D6242" s="87" t="str">
        <f>IFERROR(__xludf.DUMMYFUNCTION("""COMPUTED_VALUE"""),"Methanol 96%")</f>
        <v>Methanol 96%</v>
      </c>
      <c r="E6242" s="87"/>
      <c r="F6242" s="87"/>
      <c r="G6242" s="87"/>
    </row>
    <row r="6243">
      <c r="A6243" s="86">
        <f>IFERROR(__xludf.DUMMYFUNCTION("""COMPUTED_VALUE"""),6241.0)</f>
        <v>6241</v>
      </c>
      <c r="B6243" s="87" t="str">
        <f>IFERROR(__xludf.DUMMYFUNCTION("""COMPUTED_VALUE"""),"NL")</f>
        <v>NL</v>
      </c>
      <c r="C6243" s="87" t="str">
        <f>IFERROR(__xludf.DUMMYFUNCTION("""COMPUTED_VALUE"""),"NLT0095")</f>
        <v>NLT0095</v>
      </c>
      <c r="D6243" s="87" t="str">
        <f>IFERROR(__xludf.DUMMYFUNCTION("""COMPUTED_VALUE"""),"NH4Cl")</f>
        <v>NH4Cl</v>
      </c>
      <c r="E6243" s="87"/>
      <c r="F6243" s="87"/>
      <c r="G6243" s="87"/>
    </row>
    <row r="6244">
      <c r="A6244" s="86">
        <f>IFERROR(__xludf.DUMMYFUNCTION("""COMPUTED_VALUE"""),6242.0)</f>
        <v>6242</v>
      </c>
      <c r="B6244" s="87" t="str">
        <f>IFERROR(__xludf.DUMMYFUNCTION("""COMPUTED_VALUE"""),"NL")</f>
        <v>NL</v>
      </c>
      <c r="C6244" s="87" t="str">
        <f>IFERROR(__xludf.DUMMYFUNCTION("""COMPUTED_VALUE"""),"NLT0096")</f>
        <v>NLT0096</v>
      </c>
      <c r="D6244" s="87" t="str">
        <f>IFERROR(__xludf.DUMMYFUNCTION("""COMPUTED_VALUE"""),"Acid humic 50%")</f>
        <v>Acid humic 50%</v>
      </c>
      <c r="E6244" s="87"/>
      <c r="F6244" s="87"/>
      <c r="G6244" s="87"/>
    </row>
    <row r="6245">
      <c r="A6245" s="86">
        <f>IFERROR(__xludf.DUMMYFUNCTION("""COMPUTED_VALUE"""),6243.0)</f>
        <v>6243</v>
      </c>
      <c r="B6245" s="87" t="str">
        <f>IFERROR(__xludf.DUMMYFUNCTION("""COMPUTED_VALUE"""),"NL")</f>
        <v>NL</v>
      </c>
      <c r="C6245" s="87" t="str">
        <f>IFERROR(__xludf.DUMMYFUNCTION("""COMPUTED_VALUE"""),"NLT0097")</f>
        <v>NLT0097</v>
      </c>
      <c r="D6245" s="87" t="str">
        <f>IFERROR(__xludf.DUMMYFUNCTION("""COMPUTED_VALUE"""),"Đường Dextrose")</f>
        <v>Đường Dextrose</v>
      </c>
      <c r="E6245" s="87"/>
      <c r="F6245" s="87"/>
      <c r="G6245" s="87"/>
    </row>
    <row r="6246">
      <c r="A6246" s="86">
        <f>IFERROR(__xludf.DUMMYFUNCTION("""COMPUTED_VALUE"""),6244.0)</f>
        <v>6244</v>
      </c>
      <c r="B6246" s="87" t="str">
        <f>IFERROR(__xludf.DUMMYFUNCTION("""COMPUTED_VALUE"""),"NL")</f>
        <v>NL</v>
      </c>
      <c r="C6246" s="87" t="str">
        <f>IFERROR(__xludf.DUMMYFUNCTION("""COMPUTED_VALUE"""),"NLT0098")</f>
        <v>NLT0098</v>
      </c>
      <c r="D6246" s="87" t="str">
        <f>IFERROR(__xludf.DUMMYFUNCTION("""COMPUTED_VALUE"""),"Nguyên Liệu Glufosinate ammonium 97% TC (hàm lượng thực tế 97,8%)")</f>
        <v>Nguyên Liệu Glufosinate ammonium 97% TC (hàm lượng thực tế 97,8%)</v>
      </c>
      <c r="E6246" s="87"/>
      <c r="F6246" s="87"/>
      <c r="G6246" s="87"/>
    </row>
    <row r="6247">
      <c r="A6247" s="86">
        <f>IFERROR(__xludf.DUMMYFUNCTION("""COMPUTED_VALUE"""),6245.0)</f>
        <v>6245</v>
      </c>
      <c r="B6247" s="87" t="str">
        <f>IFERROR(__xludf.DUMMYFUNCTION("""COMPUTED_VALUE"""),"NL")</f>
        <v>NL</v>
      </c>
      <c r="C6247" s="87" t="str">
        <f>IFERROR(__xludf.DUMMYFUNCTION("""COMPUTED_VALUE"""),"NLT0099")</f>
        <v>NLT0099</v>
      </c>
      <c r="D6247" s="87" t="str">
        <f>IFERROR(__xludf.DUMMYFUNCTION("""COMPUTED_VALUE"""),"Nguyên Liệu Tech Glufosinate ammonium 95% TC (hàm lượng thực tế 97,8%)")</f>
        <v>Nguyên Liệu Tech Glufosinate ammonium 95% TC (hàm lượng thực tế 97,8%)</v>
      </c>
      <c r="E6247" s="87"/>
      <c r="F6247" s="87"/>
      <c r="G6247" s="87"/>
    </row>
    <row r="6248">
      <c r="A6248" s="86">
        <f>IFERROR(__xludf.DUMMYFUNCTION("""COMPUTED_VALUE"""),6246.0)</f>
        <v>6246</v>
      </c>
      <c r="B6248" s="87" t="str">
        <f>IFERROR(__xludf.DUMMYFUNCTION("""COMPUTED_VALUE"""),"NL")</f>
        <v>NL</v>
      </c>
      <c r="C6248" s="87" t="str">
        <f>IFERROR(__xludf.DUMMYFUNCTION("""COMPUTED_VALUE"""),"NLT0100")</f>
        <v>NLT0100</v>
      </c>
      <c r="D6248" s="87" t="str">
        <f>IFERROR(__xludf.DUMMYFUNCTION("""COMPUTED_VALUE"""),"K-Humate (không có kali)")</f>
        <v>K-Humate (không có kali)</v>
      </c>
      <c r="E6248" s="87"/>
      <c r="F6248" s="87"/>
      <c r="G6248" s="87"/>
    </row>
    <row r="6249">
      <c r="A6249" s="86">
        <f>IFERROR(__xludf.DUMMYFUNCTION("""COMPUTED_VALUE"""),6247.0)</f>
        <v>6247</v>
      </c>
      <c r="B6249" s="87" t="str">
        <f>IFERROR(__xludf.DUMMYFUNCTION("""COMPUTED_VALUE"""),"NL")</f>
        <v>NL</v>
      </c>
      <c r="C6249" s="87" t="str">
        <f>IFERROR(__xludf.DUMMYFUNCTION("""COMPUTED_VALUE"""),"NLT0101")</f>
        <v>NLT0101</v>
      </c>
      <c r="D6249" s="87" t="str">
        <f>IFERROR(__xludf.DUMMYFUNCTION("""COMPUTED_VALUE"""),"K2SO4")</f>
        <v>K2SO4</v>
      </c>
      <c r="E6249" s="87"/>
      <c r="F6249" s="87"/>
      <c r="G6249" s="87"/>
    </row>
    <row r="6250">
      <c r="A6250" s="86">
        <f>IFERROR(__xludf.DUMMYFUNCTION("""COMPUTED_VALUE"""),6248.0)</f>
        <v>6248</v>
      </c>
      <c r="B6250" s="87" t="str">
        <f>IFERROR(__xludf.DUMMYFUNCTION("""COMPUTED_VALUE"""),"NL")</f>
        <v>NL</v>
      </c>
      <c r="C6250" s="87" t="str">
        <f>IFERROR(__xludf.DUMMYFUNCTION("""COMPUTED_VALUE"""),"NLT0102")</f>
        <v>NLT0102</v>
      </c>
      <c r="D6250" s="87" t="str">
        <f>IFERROR(__xludf.DUMMYFUNCTION("""COMPUTED_VALUE"""),"FeSO4.1H2O")</f>
        <v>FeSO4.1H2O</v>
      </c>
      <c r="E6250" s="87"/>
      <c r="F6250" s="87"/>
      <c r="G6250" s="87"/>
    </row>
    <row r="6251">
      <c r="A6251" s="86">
        <f>IFERROR(__xludf.DUMMYFUNCTION("""COMPUTED_VALUE"""),6249.0)</f>
        <v>6249</v>
      </c>
      <c r="B6251" s="87" t="str">
        <f>IFERROR(__xludf.DUMMYFUNCTION("""COMPUTED_VALUE"""),"NL")</f>
        <v>NL</v>
      </c>
      <c r="C6251" s="87" t="str">
        <f>IFERROR(__xludf.DUMMYFUNCTION("""COMPUTED_VALUE"""),"NLT0103")</f>
        <v>NLT0103</v>
      </c>
      <c r="D6251" s="87" t="str">
        <f>IFERROR(__xludf.DUMMYFUNCTION("""COMPUTED_VALUE"""),"MnSO7. 7H2O")</f>
        <v>MnSO7. 7H2O</v>
      </c>
      <c r="E6251" s="87"/>
      <c r="F6251" s="87"/>
      <c r="G6251" s="87"/>
    </row>
    <row r="6252">
      <c r="A6252" s="86">
        <f>IFERROR(__xludf.DUMMYFUNCTION("""COMPUTED_VALUE"""),6250.0)</f>
        <v>6250</v>
      </c>
      <c r="B6252" s="87" t="str">
        <f>IFERROR(__xludf.DUMMYFUNCTION("""COMPUTED_VALUE"""),"NL")</f>
        <v>NL</v>
      </c>
      <c r="C6252" s="87" t="str">
        <f>IFERROR(__xludf.DUMMYFUNCTION("""COMPUTED_VALUE"""),"NLT0104")</f>
        <v>NLT0104</v>
      </c>
      <c r="D6252" s="87" t="str">
        <f>IFERROR(__xludf.DUMMYFUNCTION("""COMPUTED_VALUE"""),"Phân 30-10-10")</f>
        <v>Phân 30-10-10</v>
      </c>
      <c r="E6252" s="87"/>
      <c r="F6252" s="87"/>
      <c r="G6252" s="87"/>
    </row>
    <row r="6253">
      <c r="A6253" s="86">
        <f>IFERROR(__xludf.DUMMYFUNCTION("""COMPUTED_VALUE"""),6251.0)</f>
        <v>6251</v>
      </c>
      <c r="B6253" s="87" t="str">
        <f>IFERROR(__xludf.DUMMYFUNCTION("""COMPUTED_VALUE"""),"NL")</f>
        <v>NL</v>
      </c>
      <c r="C6253" s="87" t="str">
        <f>IFERROR(__xludf.DUMMYFUNCTION("""COMPUTED_VALUE"""),"NLT0105")</f>
        <v>NLT0105</v>
      </c>
      <c r="D6253" s="87" t="str">
        <f>IFERROR(__xludf.DUMMYFUNCTION("""COMPUTED_VALUE"""),"Nguyên liệu GLUFOSINATE AMMONIUM 95% TC (hàm lượng thực tế 95%)")</f>
        <v>Nguyên liệu GLUFOSINATE AMMONIUM 95% TC (hàm lượng thực tế 95%)</v>
      </c>
      <c r="E6253" s="87"/>
      <c r="F6253" s="87"/>
      <c r="G6253" s="87"/>
    </row>
    <row r="6254">
      <c r="A6254" s="86">
        <f>IFERROR(__xludf.DUMMYFUNCTION("""COMPUTED_VALUE"""),6252.0)</f>
        <v>6252</v>
      </c>
      <c r="B6254" s="87" t="str">
        <f>IFERROR(__xludf.DUMMYFUNCTION("""COMPUTED_VALUE"""),"NL")</f>
        <v>NL</v>
      </c>
      <c r="C6254" s="87" t="str">
        <f>IFERROR(__xludf.DUMMYFUNCTION("""COMPUTED_VALUE"""),"NLT0106")</f>
        <v>NLT0106</v>
      </c>
      <c r="D6254" s="87" t="str">
        <f>IFERROR(__xludf.DUMMYFUNCTION("""COMPUTED_VALUE"""),"H2O")</f>
        <v>H2O</v>
      </c>
      <c r="E6254" s="87"/>
      <c r="F6254" s="87"/>
      <c r="G6254" s="87"/>
    </row>
    <row r="6255">
      <c r="A6255" s="86">
        <f>IFERROR(__xludf.DUMMYFUNCTION("""COMPUTED_VALUE"""),6253.0)</f>
        <v>6253</v>
      </c>
      <c r="B6255" s="87" t="str">
        <f>IFERROR(__xludf.DUMMYFUNCTION("""COMPUTED_VALUE"""),"NL")</f>
        <v>NL</v>
      </c>
      <c r="C6255" s="87" t="str">
        <f>IFERROR(__xludf.DUMMYFUNCTION("""COMPUTED_VALUE"""),"NLT0107")</f>
        <v>NLT0107</v>
      </c>
      <c r="D6255" s="87" t="str">
        <f>IFERROR(__xludf.DUMMYFUNCTION("""COMPUTED_VALUE"""),"Nguyên liệu GLUFOSINATE AMMONIUM 97% TC (hàm lượng thực tế 98%)")</f>
        <v>Nguyên liệu GLUFOSINATE AMMONIUM 97% TC (hàm lượng thực tế 98%)</v>
      </c>
      <c r="E6255" s="87"/>
      <c r="F6255" s="87"/>
      <c r="G6255" s="87"/>
    </row>
    <row r="6256">
      <c r="A6256" s="86">
        <f>IFERROR(__xludf.DUMMYFUNCTION("""COMPUTED_VALUE"""),6254.0)</f>
        <v>6254</v>
      </c>
      <c r="B6256" s="87" t="str">
        <f>IFERROR(__xludf.DUMMYFUNCTION("""COMPUTED_VALUE"""),"NL")</f>
        <v>NL</v>
      </c>
      <c r="C6256" s="87" t="str">
        <f>IFERROR(__xludf.DUMMYFUNCTION("""COMPUTED_VALUE"""),"NLT0108")</f>
        <v>NLT0108</v>
      </c>
      <c r="D6256" s="87" t="str">
        <f>IFERROR(__xludf.DUMMYFUNCTION("""COMPUTED_VALUE"""),"Humic mỏ")</f>
        <v>Humic mỏ</v>
      </c>
      <c r="E6256" s="87"/>
      <c r="F6256" s="87"/>
      <c r="G6256" s="87"/>
    </row>
    <row r="6257">
      <c r="A6257" s="86">
        <f>IFERROR(__xludf.DUMMYFUNCTION("""COMPUTED_VALUE"""),6255.0)</f>
        <v>6255</v>
      </c>
      <c r="B6257" s="87" t="str">
        <f>IFERROR(__xludf.DUMMYFUNCTION("""COMPUTED_VALUE"""),"NL")</f>
        <v>NL</v>
      </c>
      <c r="C6257" s="87" t="str">
        <f>IFERROR(__xludf.DUMMYFUNCTION("""COMPUTED_VALUE"""),"NLT0109")</f>
        <v>NLT0109</v>
      </c>
      <c r="D6257" s="87" t="str">
        <f>IFERROR(__xludf.DUMMYFUNCTION("""COMPUTED_VALUE"""),"Phân gà")</f>
        <v>Phân gà</v>
      </c>
      <c r="E6257" s="87"/>
      <c r="F6257" s="87"/>
      <c r="G6257" s="87"/>
    </row>
    <row r="6258">
      <c r="A6258" s="86">
        <f>IFERROR(__xludf.DUMMYFUNCTION("""COMPUTED_VALUE"""),6256.0)</f>
        <v>6256</v>
      </c>
      <c r="B6258" s="87" t="str">
        <f>IFERROR(__xludf.DUMMYFUNCTION("""COMPUTED_VALUE"""),"NL")</f>
        <v>NL</v>
      </c>
      <c r="C6258" s="87" t="str">
        <f>IFERROR(__xludf.DUMMYFUNCTION("""COMPUTED_VALUE"""),"NLT0110")</f>
        <v>NLT0110</v>
      </c>
      <c r="D6258" s="87" t="str">
        <f>IFERROR(__xludf.DUMMYFUNCTION("""COMPUTED_VALUE"""),"Nguyên liệu tech Glufosinate Ammonium 97% (hàm lượng thực tế 97,4%)")</f>
        <v>Nguyên liệu tech Glufosinate Ammonium 97% (hàm lượng thực tế 97,4%)</v>
      </c>
      <c r="E6258" s="87"/>
      <c r="F6258" s="87"/>
      <c r="G6258" s="87"/>
    </row>
    <row r="6259">
      <c r="A6259" s="86">
        <f>IFERROR(__xludf.DUMMYFUNCTION("""COMPUTED_VALUE"""),6257.0)</f>
        <v>6257</v>
      </c>
      <c r="B6259" s="87" t="str">
        <f>IFERROR(__xludf.DUMMYFUNCTION("""COMPUTED_VALUE"""),"NL")</f>
        <v>NL</v>
      </c>
      <c r="C6259" s="87" t="str">
        <f>IFERROR(__xludf.DUMMYFUNCTION("""COMPUTED_VALUE"""),"BTPR0010")</f>
        <v>BTPR0010</v>
      </c>
      <c r="D6259" s="87" t="str">
        <f>IFERROR(__xludf.DUMMYFUNCTION("""COMPUTED_VALUE"""),"Mancozeb 80WP xanh")</f>
        <v>Mancozeb 80WP xanh</v>
      </c>
      <c r="E6259" s="87"/>
      <c r="F6259" s="87"/>
      <c r="G6259" s="87"/>
    </row>
    <row r="6260">
      <c r="A6260" s="86">
        <f>IFERROR(__xludf.DUMMYFUNCTION("""COMPUTED_VALUE"""),6258.0)</f>
        <v>6258</v>
      </c>
      <c r="B6260" s="87" t="str">
        <f>IFERROR(__xludf.DUMMYFUNCTION("""COMPUTED_VALUE"""),"NL")</f>
        <v>NL</v>
      </c>
      <c r="C6260" s="87" t="str">
        <f>IFERROR(__xludf.DUMMYFUNCTION("""COMPUTED_VALUE"""),"NLT0111")</f>
        <v>NLT0111</v>
      </c>
      <c r="D6260" s="87" t="str">
        <f>IFERROR(__xludf.DUMMYFUNCTION("""COMPUTED_VALUE"""),"Amoni Molybdate")</f>
        <v>Amoni Molybdate</v>
      </c>
      <c r="E6260" s="87"/>
      <c r="F6260" s="87"/>
      <c r="G6260" s="87"/>
    </row>
    <row r="6261">
      <c r="A6261" s="86">
        <f>IFERROR(__xludf.DUMMYFUNCTION("""COMPUTED_VALUE"""),6259.0)</f>
        <v>6259</v>
      </c>
      <c r="B6261" s="87" t="str">
        <f>IFERROR(__xludf.DUMMYFUNCTION("""COMPUTED_VALUE"""),"NL")</f>
        <v>NL</v>
      </c>
      <c r="C6261" s="87" t="str">
        <f>IFERROR(__xludf.DUMMYFUNCTION("""COMPUTED_VALUE"""),"NLT0112")</f>
        <v>NLT0112</v>
      </c>
      <c r="D6261" s="87" t="str">
        <f>IFERROR(__xludf.DUMMYFUNCTION("""COMPUTED_VALUE"""),"Glufosinate Ammonium 95% (hàm lượng thực tế 97,2)")</f>
        <v>Glufosinate Ammonium 95% (hàm lượng thực tế 97,2)</v>
      </c>
      <c r="E6261" s="87"/>
      <c r="F6261" s="87"/>
      <c r="G6261" s="87"/>
    </row>
    <row r="6262">
      <c r="A6262" s="86">
        <f>IFERROR(__xludf.DUMMYFUNCTION("""COMPUTED_VALUE"""),6260.0)</f>
        <v>6260</v>
      </c>
      <c r="B6262" s="87" t="str">
        <f>IFERROR(__xludf.DUMMYFUNCTION("""COMPUTED_VALUE"""),"NL")</f>
        <v>NL</v>
      </c>
      <c r="C6262" s="87" t="str">
        <f>IFERROR(__xludf.DUMMYFUNCTION("""COMPUTED_VALUE"""),"NLT0113")</f>
        <v>NLT0113</v>
      </c>
      <c r="D6262" s="87" t="str">
        <f>IFERROR(__xludf.DUMMYFUNCTION("""COMPUTED_VALUE"""),"Màu xanh lá (tan trong dầu)")</f>
        <v>Màu xanh lá (tan trong dầu)</v>
      </c>
      <c r="E6262" s="87"/>
      <c r="F6262" s="87"/>
      <c r="G6262" s="87"/>
    </row>
    <row r="6263">
      <c r="A6263" s="86">
        <f>IFERROR(__xludf.DUMMYFUNCTION("""COMPUTED_VALUE"""),6261.0)</f>
        <v>6261</v>
      </c>
      <c r="B6263" s="87" t="str">
        <f>IFERROR(__xludf.DUMMYFUNCTION("""COMPUTED_VALUE"""),"NL")</f>
        <v>NL</v>
      </c>
      <c r="C6263" s="87" t="str">
        <f>IFERROR(__xludf.DUMMYFUNCTION("""COMPUTED_VALUE"""),"NLT0114")</f>
        <v>NLT0114</v>
      </c>
      <c r="D6263" s="87" t="str">
        <f>IFERROR(__xludf.DUMMYFUNCTION("""COMPUTED_VALUE"""),"Màu xanh dương (tan trong dầu)")</f>
        <v>Màu xanh dương (tan trong dầu)</v>
      </c>
      <c r="E6263" s="87"/>
      <c r="F6263" s="87"/>
      <c r="G6263" s="87"/>
    </row>
    <row r="6264">
      <c r="A6264" s="86">
        <f>IFERROR(__xludf.DUMMYFUNCTION("""COMPUTED_VALUE"""),6262.0)</f>
        <v>6262</v>
      </c>
      <c r="B6264" s="87" t="str">
        <f>IFERROR(__xludf.DUMMYFUNCTION("""COMPUTED_VALUE"""),"NL")</f>
        <v>NL</v>
      </c>
      <c r="C6264" s="87" t="str">
        <f>IFERROR(__xludf.DUMMYFUNCTION("""COMPUTED_VALUE"""),"NLT0115")</f>
        <v>NLT0115</v>
      </c>
      <c r="D6264" s="87" t="str">
        <f>IFERROR(__xludf.DUMMYFUNCTION("""COMPUTED_VALUE"""),"Nguyên liệu GLUFOSINATE AMMONIUM 95% TC (hàm lượng thực tế 98%) (Theo dõi Hitaco)")</f>
        <v>Nguyên liệu GLUFOSINATE AMMONIUM 95% TC (hàm lượng thực tế 98%) (Theo dõi Hitaco)</v>
      </c>
      <c r="E6264" s="87"/>
      <c r="F6264" s="87"/>
      <c r="G6264" s="87"/>
    </row>
    <row r="6265">
      <c r="A6265" s="86">
        <f>IFERROR(__xludf.DUMMYFUNCTION("""COMPUTED_VALUE"""),6263.0)</f>
        <v>6263</v>
      </c>
      <c r="B6265" s="87" t="str">
        <f>IFERROR(__xludf.DUMMYFUNCTION("""COMPUTED_VALUE"""),"NL")</f>
        <v>NL</v>
      </c>
      <c r="C6265" s="87" t="str">
        <f>IFERROR(__xludf.DUMMYFUNCTION("""COMPUTED_VALUE"""),"NLT0116")</f>
        <v>NLT0116</v>
      </c>
      <c r="D6265" s="87" t="str">
        <f>IFERROR(__xludf.DUMMYFUNCTION("""COMPUTED_VALUE"""),"Nguyên liệu GLUFOSINATE AMMONIUM 97% TC (hàm lượng thực tế 98%)(Khách Hitaco mang qua)")</f>
        <v>Nguyên liệu GLUFOSINATE AMMONIUM 97% TC (hàm lượng thực tế 98%)(Khách Hitaco mang qua)</v>
      </c>
      <c r="E6265" s="87"/>
      <c r="F6265" s="87"/>
      <c r="G6265" s="87"/>
    </row>
    <row r="6266">
      <c r="A6266" s="86">
        <f>IFERROR(__xludf.DUMMYFUNCTION("""COMPUTED_VALUE"""),6264.0)</f>
        <v>6264</v>
      </c>
      <c r="B6266" s="87" t="str">
        <f>IFERROR(__xludf.DUMMYFUNCTION("""COMPUTED_VALUE"""),"NL")</f>
        <v>NL</v>
      </c>
      <c r="C6266" s="87" t="str">
        <f>IFERROR(__xludf.DUMMYFUNCTION("""COMPUTED_VALUE"""),"NLT0117")</f>
        <v>NLT0117</v>
      </c>
      <c r="D6266" s="87" t="str">
        <f>IFERROR(__xludf.DUMMYFUNCTION("""COMPUTED_VALUE"""),"Nguyên liệu GLUFOSINATE AMMONIUM 95% TC (hàm lượng thực tế 97%)")</f>
        <v>Nguyên liệu GLUFOSINATE AMMONIUM 95% TC (hàm lượng thực tế 97%)</v>
      </c>
      <c r="E6266" s="87"/>
      <c r="F6266" s="87"/>
      <c r="G6266" s="87"/>
    </row>
    <row r="6267">
      <c r="A6267" s="86">
        <f>IFERROR(__xludf.DUMMYFUNCTION("""COMPUTED_VALUE"""),6265.0)</f>
        <v>6265</v>
      </c>
      <c r="B6267" s="87" t="str">
        <f>IFERROR(__xludf.DUMMYFUNCTION("""COMPUTED_VALUE"""),"NL")</f>
        <v>NL</v>
      </c>
      <c r="C6267" s="87" t="str">
        <f>IFERROR(__xludf.DUMMYFUNCTION("""COMPUTED_VALUE"""),"NLT0118")</f>
        <v>NLT0118</v>
      </c>
      <c r="D6267" s="87" t="str">
        <f>IFERROR(__xludf.DUMMYFUNCTION("""COMPUTED_VALUE"""),"Nguyên liệu GLUFOSINATE AMMONIUM 95% TC (hàm lượng thực tế 95%) (Khách Hitaco mang qua)")</f>
        <v>Nguyên liệu GLUFOSINATE AMMONIUM 95% TC (hàm lượng thực tế 95%) (Khách Hitaco mang qua)</v>
      </c>
      <c r="E6267" s="87"/>
      <c r="F6267" s="87"/>
      <c r="G6267" s="87"/>
    </row>
    <row r="6268">
      <c r="A6268" s="86">
        <f>IFERROR(__xludf.DUMMYFUNCTION("""COMPUTED_VALUE"""),6266.0)</f>
        <v>6266</v>
      </c>
      <c r="B6268" s="87" t="str">
        <f>IFERROR(__xludf.DUMMYFUNCTION("""COMPUTED_VALUE"""),"NL")</f>
        <v>NL</v>
      </c>
      <c r="C6268" s="87" t="str">
        <f>IFERROR(__xludf.DUMMYFUNCTION("""COMPUTED_VALUE"""),"NLT0119")</f>
        <v>NLT0119</v>
      </c>
      <c r="D6268" s="87" t="str">
        <f>IFERROR(__xludf.DUMMYFUNCTION("""COMPUTED_VALUE"""),"kasugamycin 70% TC")</f>
        <v>kasugamycin 70% TC</v>
      </c>
      <c r="E6268" s="87"/>
      <c r="F6268" s="87"/>
      <c r="G6268" s="87"/>
    </row>
    <row r="6269">
      <c r="A6269" s="86">
        <f>IFERROR(__xludf.DUMMYFUNCTION("""COMPUTED_VALUE"""),6267.0)</f>
        <v>6267</v>
      </c>
      <c r="B6269" s="87" t="str">
        <f>IFERROR(__xludf.DUMMYFUNCTION("""COMPUTED_VALUE"""),"NL")</f>
        <v>NL</v>
      </c>
      <c r="C6269" s="87" t="str">
        <f>IFERROR(__xludf.DUMMYFUNCTION("""COMPUTED_VALUE"""),"NLT0120")</f>
        <v>NLT0120</v>
      </c>
      <c r="D6269" s="87" t="str">
        <f>IFERROR(__xludf.DUMMYFUNCTION("""COMPUTED_VALUE"""),"Thiurea")</f>
        <v>Thiurea</v>
      </c>
      <c r="E6269" s="87"/>
      <c r="F6269" s="87"/>
      <c r="G6269" s="87"/>
    </row>
    <row r="6270">
      <c r="A6270" s="86">
        <f>IFERROR(__xludf.DUMMYFUNCTION("""COMPUTED_VALUE"""),6268.0)</f>
        <v>6268</v>
      </c>
      <c r="B6270" s="87" t="str">
        <f>IFERROR(__xludf.DUMMYFUNCTION("""COMPUTED_VALUE"""),"NL")</f>
        <v>NL</v>
      </c>
      <c r="C6270" s="87" t="str">
        <f>IFERROR(__xludf.DUMMYFUNCTION("""COMPUTED_VALUE"""),"NLT0121")</f>
        <v>NLT0121</v>
      </c>
      <c r="D6270" s="87" t="str">
        <f>IFERROR(__xludf.DUMMYFUNCTION("""COMPUTED_VALUE"""),"THIAMETHOXAM 98% TC")</f>
        <v>THIAMETHOXAM 98% TC</v>
      </c>
      <c r="E6270" s="87"/>
      <c r="F6270" s="87"/>
      <c r="G6270" s="87"/>
    </row>
    <row r="6271">
      <c r="A6271" s="86">
        <f>IFERROR(__xludf.DUMMYFUNCTION("""COMPUTED_VALUE"""),6269.0)</f>
        <v>6269</v>
      </c>
      <c r="B6271" s="87" t="str">
        <f>IFERROR(__xludf.DUMMYFUNCTION("""COMPUTED_VALUE"""),"NL")</f>
        <v>NL</v>
      </c>
      <c r="C6271" s="87" t="str">
        <f>IFERROR(__xludf.DUMMYFUNCTION("""COMPUTED_VALUE"""),"NLT0122")</f>
        <v>NLT0122</v>
      </c>
      <c r="D6271" s="87" t="str">
        <f>IFERROR(__xludf.DUMMYFUNCTION("""COMPUTED_VALUE"""),"EDTA.4H2O")</f>
        <v>EDTA.4H2O</v>
      </c>
      <c r="E6271" s="87"/>
      <c r="F6271" s="87"/>
      <c r="G6271" s="87"/>
    </row>
    <row r="6272">
      <c r="A6272" s="86">
        <f>IFERROR(__xludf.DUMMYFUNCTION("""COMPUTED_VALUE"""),6270.0)</f>
        <v>6270</v>
      </c>
      <c r="B6272" s="87" t="str">
        <f>IFERROR(__xludf.DUMMYFUNCTION("""COMPUTED_VALUE"""),"NL")</f>
        <v>NL</v>
      </c>
      <c r="C6272" s="87" t="str">
        <f>IFERROR(__xludf.DUMMYFUNCTION("""COMPUTED_VALUE"""),"NLT0123")</f>
        <v>NLT0123</v>
      </c>
      <c r="D6272" s="87" t="str">
        <f>IFERROR(__xludf.DUMMYFUNCTION("""COMPUTED_VALUE"""),"H2SO4")</f>
        <v>H2SO4</v>
      </c>
      <c r="E6272" s="87"/>
      <c r="F6272" s="87"/>
      <c r="G6272" s="87"/>
    </row>
    <row r="6273">
      <c r="A6273" s="86">
        <f>IFERROR(__xludf.DUMMYFUNCTION("""COMPUTED_VALUE"""),6271.0)</f>
        <v>6271</v>
      </c>
      <c r="B6273" s="87" t="str">
        <f>IFERROR(__xludf.DUMMYFUNCTION("""COMPUTED_VALUE"""),"NL")</f>
        <v>NL</v>
      </c>
      <c r="C6273" s="87" t="str">
        <f>IFERROR(__xludf.DUMMYFUNCTION("""COMPUTED_VALUE"""),"NLT0124")</f>
        <v>NLT0124</v>
      </c>
      <c r="D6273" s="87" t="str">
        <f>IFERROR(__xludf.DUMMYFUNCTION("""COMPUTED_VALUE"""),"Ca(NO3)2.4H2O")</f>
        <v>Ca(NO3)2.4H2O</v>
      </c>
      <c r="E6273" s="87"/>
      <c r="F6273" s="87"/>
      <c r="G6273" s="87"/>
    </row>
    <row r="6274">
      <c r="A6274" s="86">
        <f>IFERROR(__xludf.DUMMYFUNCTION("""COMPUTED_VALUE"""),6272.0)</f>
        <v>6272</v>
      </c>
      <c r="B6274" s="87" t="str">
        <f>IFERROR(__xludf.DUMMYFUNCTION("""COMPUTED_VALUE"""),"NL")</f>
        <v>NL</v>
      </c>
      <c r="C6274" s="87" t="str">
        <f>IFERROR(__xludf.DUMMYFUNCTION("""COMPUTED_VALUE"""),"NLT0125")</f>
        <v>NLT0125</v>
      </c>
      <c r="D6274" s="87" t="str">
        <f>IFERROR(__xludf.DUMMYFUNCTION("""COMPUTED_VALUE"""),"Thủy tinh lõng keo")</f>
        <v>Thủy tinh lõng keo</v>
      </c>
      <c r="E6274" s="87"/>
      <c r="F6274" s="87"/>
      <c r="G6274" s="87"/>
    </row>
    <row r="6275">
      <c r="A6275" s="86">
        <f>IFERROR(__xludf.DUMMYFUNCTION("""COMPUTED_VALUE"""),6273.0)</f>
        <v>6273</v>
      </c>
      <c r="B6275" s="87" t="str">
        <f>IFERROR(__xludf.DUMMYFUNCTION("""COMPUTED_VALUE"""),"NL")</f>
        <v>NL</v>
      </c>
      <c r="C6275" s="87" t="str">
        <f>IFERROR(__xludf.DUMMYFUNCTION("""COMPUTED_VALUE"""),"NLT0126")</f>
        <v>NLT0126</v>
      </c>
      <c r="D6275" s="87" t="str">
        <f>IFERROR(__xludf.DUMMYFUNCTION("""COMPUTED_VALUE"""),"CaCl2.2H2O")</f>
        <v>CaCl2.2H2O</v>
      </c>
      <c r="E6275" s="87"/>
      <c r="F6275" s="87"/>
      <c r="G6275" s="87"/>
    </row>
    <row r="6276">
      <c r="A6276" s="86">
        <f>IFERROR(__xludf.DUMMYFUNCTION("""COMPUTED_VALUE"""),6274.0)</f>
        <v>6274</v>
      </c>
      <c r="B6276" s="87" t="str">
        <f>IFERROR(__xludf.DUMMYFUNCTION("""COMPUTED_VALUE"""),"NL")</f>
        <v>NL</v>
      </c>
      <c r="C6276" s="87" t="str">
        <f>IFERROR(__xludf.DUMMYFUNCTION("""COMPUTED_VALUE"""),"NLT0128")</f>
        <v>NLT0128</v>
      </c>
      <c r="D6276" s="87" t="str">
        <f>IFERROR(__xludf.DUMMYFUNCTION("""COMPUTED_VALUE"""),"Dimethomorph 98% TC")</f>
        <v>Dimethomorph 98% TC</v>
      </c>
      <c r="E6276" s="87"/>
      <c r="F6276" s="87"/>
      <c r="G6276" s="87"/>
    </row>
    <row r="6277">
      <c r="A6277" s="86">
        <f>IFERROR(__xludf.DUMMYFUNCTION("""COMPUTED_VALUE"""),6275.0)</f>
        <v>6275</v>
      </c>
      <c r="B6277" s="87" t="str">
        <f>IFERROR(__xludf.DUMMYFUNCTION("""COMPUTED_VALUE"""),"NL")</f>
        <v>NL</v>
      </c>
      <c r="C6277" s="87" t="str">
        <f>IFERROR(__xludf.DUMMYFUNCTION("""COMPUTED_VALUE"""),"NLT0129")</f>
        <v>NLT0129</v>
      </c>
      <c r="D6277" s="87" t="str">
        <f>IFERROR(__xludf.DUMMYFUNCTION("""COMPUTED_VALUE"""),"Metalaxyl 98% TC")</f>
        <v>Metalaxyl 98% TC</v>
      </c>
      <c r="E6277" s="87"/>
      <c r="F6277" s="87"/>
      <c r="G6277" s="87"/>
    </row>
    <row r="6278">
      <c r="A6278" s="86">
        <f>IFERROR(__xludf.DUMMYFUNCTION("""COMPUTED_VALUE"""),6276.0)</f>
        <v>6276</v>
      </c>
      <c r="B6278" s="87" t="str">
        <f>IFERROR(__xludf.DUMMYFUNCTION("""COMPUTED_VALUE"""),"NL")</f>
        <v>NL</v>
      </c>
      <c r="C6278" s="87" t="str">
        <f>IFERROR(__xludf.DUMMYFUNCTION("""COMPUTED_VALUE"""),"NLT0130")</f>
        <v>NLT0130</v>
      </c>
      <c r="D6278" s="87" t="str">
        <f>IFERROR(__xludf.DUMMYFUNCTION("""COMPUTED_VALUE"""),"TiTan tan trong nước")</f>
        <v>TiTan tan trong nước</v>
      </c>
      <c r="E6278" s="87"/>
      <c r="F6278" s="87"/>
      <c r="G6278" s="87"/>
    </row>
    <row r="6279">
      <c r="A6279" s="86">
        <f>IFERROR(__xludf.DUMMYFUNCTION("""COMPUTED_VALUE"""),6277.0)</f>
        <v>6277</v>
      </c>
      <c r="B6279" s="87" t="str">
        <f>IFERROR(__xludf.DUMMYFUNCTION("""COMPUTED_VALUE"""),"NL")</f>
        <v>NL</v>
      </c>
      <c r="C6279" s="87" t="str">
        <f>IFERROR(__xludf.DUMMYFUNCTION("""COMPUTED_VALUE"""),"NLT0131")</f>
        <v>NLT0131</v>
      </c>
      <c r="D6279" s="87" t="str">
        <f>IFERROR(__xludf.DUMMYFUNCTION("""COMPUTED_VALUE"""),"Nguyên liệu GLUFOSINATE AMMONIUM 97% TC (hàm lượng thực tế 97,9%)")</f>
        <v>Nguyên liệu GLUFOSINATE AMMONIUM 97% TC (hàm lượng thực tế 97,9%)</v>
      </c>
      <c r="E6279" s="87"/>
      <c r="F6279" s="87"/>
      <c r="G6279" s="87"/>
    </row>
    <row r="6280">
      <c r="A6280" s="86">
        <f>IFERROR(__xludf.DUMMYFUNCTION("""COMPUTED_VALUE"""),6278.0)</f>
        <v>6278</v>
      </c>
      <c r="B6280" s="87" t="str">
        <f>IFERROR(__xludf.DUMMYFUNCTION("""COMPUTED_VALUE"""),"NL")</f>
        <v>NL</v>
      </c>
      <c r="C6280" s="87" t="str">
        <f>IFERROR(__xludf.DUMMYFUNCTION("""COMPUTED_VALUE"""),"NLT0132")</f>
        <v>NLT0132</v>
      </c>
      <c r="D6280" s="87" t="str">
        <f>IFERROR(__xludf.DUMMYFUNCTION("""COMPUTED_VALUE"""),"Nguyên liệu Glufosinate Ammonium 97% TC (hàm lượng thực tế 97,6%)")</f>
        <v>Nguyên liệu Glufosinate Ammonium 97% TC (hàm lượng thực tế 97,6%)</v>
      </c>
      <c r="E6280" s="87"/>
      <c r="F6280" s="87"/>
      <c r="G6280" s="87"/>
    </row>
    <row r="6281">
      <c r="A6281" s="86">
        <f>IFERROR(__xludf.DUMMYFUNCTION("""COMPUTED_VALUE"""),6279.0)</f>
        <v>6279</v>
      </c>
      <c r="B6281" s="87" t="str">
        <f>IFERROR(__xludf.DUMMYFUNCTION("""COMPUTED_VALUE"""),"NL")</f>
        <v>NL</v>
      </c>
      <c r="C6281" s="87" t="str">
        <f>IFERROR(__xludf.DUMMYFUNCTION("""COMPUTED_VALUE"""),"NLT0133")</f>
        <v>NLT0133</v>
      </c>
      <c r="D6281" s="87" t="str">
        <f>IFERROR(__xludf.DUMMYFUNCTION("""COMPUTED_VALUE"""),"Nguyên liệu Glufosinate Ammonium 97% TC (hàm lượng thực tế 97,6%) (Khách Hitaco mang qua)")</f>
        <v>Nguyên liệu Glufosinate Ammonium 97% TC (hàm lượng thực tế 97,6%) (Khách Hitaco mang qua)</v>
      </c>
      <c r="E6281" s="87"/>
      <c r="F6281" s="87"/>
      <c r="G6281" s="87"/>
    </row>
    <row r="6282">
      <c r="A6282" s="86">
        <f>IFERROR(__xludf.DUMMYFUNCTION("""COMPUTED_VALUE"""),6280.0)</f>
        <v>6280</v>
      </c>
      <c r="B6282" s="87" t="str">
        <f>IFERROR(__xludf.DUMMYFUNCTION("""COMPUTED_VALUE"""),"NL")</f>
        <v>NL</v>
      </c>
      <c r="C6282" s="87" t="str">
        <f>IFERROR(__xludf.DUMMYFUNCTION("""COMPUTED_VALUE"""),"NLT0134")</f>
        <v>NLT0134</v>
      </c>
      <c r="D6282" s="87" t="str">
        <f>IFERROR(__xludf.DUMMYFUNCTION("""COMPUTED_VALUE"""),"Nguyên liệu Glufosinate Ammonium 97% TC (hàm lượng thực tế 97,6%) (Anh Trúc mang qua)")</f>
        <v>Nguyên liệu Glufosinate Ammonium 97% TC (hàm lượng thực tế 97,6%) (Anh Trúc mang qua)</v>
      </c>
      <c r="E6282" s="87"/>
      <c r="F6282" s="87"/>
      <c r="G6282" s="87"/>
    </row>
    <row r="6283">
      <c r="A6283" s="86">
        <f>IFERROR(__xludf.DUMMYFUNCTION("""COMPUTED_VALUE"""),6281.0)</f>
        <v>6281</v>
      </c>
      <c r="B6283" s="87" t="str">
        <f>IFERROR(__xludf.DUMMYFUNCTION("""COMPUTED_VALUE"""),"NL")</f>
        <v>NL</v>
      </c>
      <c r="C6283" s="87" t="str">
        <f>IFERROR(__xludf.DUMMYFUNCTION("""COMPUTED_VALUE"""),"NLT0135")</f>
        <v>NLT0135</v>
      </c>
      <c r="D6283" s="87" t="str">
        <f>IFERROR(__xludf.DUMMYFUNCTION("""COMPUTED_VALUE"""),"Humic Viên")</f>
        <v>Humic Viên</v>
      </c>
      <c r="E6283" s="87"/>
      <c r="F6283" s="87"/>
      <c r="G6283" s="87"/>
    </row>
    <row r="6284">
      <c r="A6284" s="86">
        <f>IFERROR(__xludf.DUMMYFUNCTION("""COMPUTED_VALUE"""),6282.0)</f>
        <v>6282</v>
      </c>
      <c r="B6284" s="87" t="str">
        <f>IFERROR(__xludf.DUMMYFUNCTION("""COMPUTED_VALUE"""),"NL")</f>
        <v>NL</v>
      </c>
      <c r="C6284" s="87" t="str">
        <f>IFERROR(__xludf.DUMMYFUNCTION("""COMPUTED_VALUE"""),"NLT0136")</f>
        <v>NLT0136</v>
      </c>
      <c r="D6284" s="87" t="str">
        <f>IFERROR(__xludf.DUMMYFUNCTION("""COMPUTED_VALUE"""),"Nguyên liệu GLUFOSINATE AMMONIUM 95% TC (hàm lượng thực tế 98%) (Khách Hitaco mang qua")</f>
        <v>Nguyên liệu GLUFOSINATE AMMONIUM 95% TC (hàm lượng thực tế 98%) (Khách Hitaco mang qua</v>
      </c>
      <c r="E6284" s="87"/>
      <c r="F6284" s="87"/>
      <c r="G6284" s="87"/>
    </row>
    <row r="6285">
      <c r="A6285" s="86">
        <f>IFERROR(__xludf.DUMMYFUNCTION("""COMPUTED_VALUE"""),6283.0)</f>
        <v>6283</v>
      </c>
      <c r="B6285" s="87" t="str">
        <f>IFERROR(__xludf.DUMMYFUNCTION("""COMPUTED_VALUE"""),"NL")</f>
        <v>NL</v>
      </c>
      <c r="C6285" s="87" t="str">
        <f>IFERROR(__xludf.DUMMYFUNCTION("""COMPUTED_VALUE"""),"NLT0137")</f>
        <v>NLT0137</v>
      </c>
      <c r="D6285" s="87" t="str">
        <f>IFERROR(__xludf.DUMMYFUNCTION("""COMPUTED_VALUE"""),"Nguyên liệu GLUFOSINATE AMMONIUM 95% TC (hàm lượng thực tế 96,6%)")</f>
        <v>Nguyên liệu GLUFOSINATE AMMONIUM 95% TC (hàm lượng thực tế 96,6%)</v>
      </c>
      <c r="E6285" s="87"/>
      <c r="F6285" s="87"/>
      <c r="G6285" s="87"/>
    </row>
    <row r="6286">
      <c r="A6286" s="86">
        <f>IFERROR(__xludf.DUMMYFUNCTION("""COMPUTED_VALUE"""),6284.0)</f>
        <v>6284</v>
      </c>
      <c r="B6286" s="87" t="str">
        <f>IFERROR(__xludf.DUMMYFUNCTION("""COMPUTED_VALUE"""),"NL")</f>
        <v>NL</v>
      </c>
      <c r="C6286" s="87" t="str">
        <f>IFERROR(__xludf.DUMMYFUNCTION("""COMPUTED_VALUE"""),"NLT0138")</f>
        <v>NLT0138</v>
      </c>
      <c r="D6286" s="87" t="str">
        <f>IFERROR(__xludf.DUMMYFUNCTION("""COMPUTED_VALUE"""),"Nguyên liệu Emamectin 70% ( Hitaco mang qua)")</f>
        <v>Nguyên liệu Emamectin 70% ( Hitaco mang qua)</v>
      </c>
      <c r="E6286" s="87"/>
      <c r="F6286" s="87"/>
      <c r="G6286" s="87"/>
    </row>
    <row r="6287">
      <c r="A6287" s="86">
        <f>IFERROR(__xludf.DUMMYFUNCTION("""COMPUTED_VALUE"""),6285.0)</f>
        <v>6285</v>
      </c>
      <c r="B6287" s="87" t="str">
        <f>IFERROR(__xludf.DUMMYFUNCTION("""COMPUTED_VALUE"""),"NL")</f>
        <v>NL</v>
      </c>
      <c r="C6287" s="87" t="str">
        <f>IFERROR(__xludf.DUMMYFUNCTION("""COMPUTED_VALUE"""),"NLT0139")</f>
        <v>NLT0139</v>
      </c>
      <c r="D6287" s="87" t="str">
        <f>IFERROR(__xludf.DUMMYFUNCTION("""COMPUTED_VALUE"""),"Nguyên liệu GLUFOSINATE AMMONIUM 95% TC (hàm lượng thực tế 96,6%) (Anh Trúc mang qua)")</f>
        <v>Nguyên liệu GLUFOSINATE AMMONIUM 95% TC (hàm lượng thực tế 96,6%) (Anh Trúc mang qua)</v>
      </c>
      <c r="E6287" s="87"/>
      <c r="F6287" s="87"/>
      <c r="G6287" s="87"/>
    </row>
    <row r="6288">
      <c r="A6288" s="86">
        <f>IFERROR(__xludf.DUMMYFUNCTION("""COMPUTED_VALUE"""),6286.0)</f>
        <v>6286</v>
      </c>
      <c r="B6288" s="87" t="str">
        <f>IFERROR(__xludf.DUMMYFUNCTION("""COMPUTED_VALUE"""),"NL")</f>
        <v>NL</v>
      </c>
      <c r="C6288" s="87" t="str">
        <f>IFERROR(__xludf.DUMMYFUNCTION("""COMPUTED_VALUE"""),"NLT0140")</f>
        <v>NLT0140</v>
      </c>
      <c r="D6288" s="87" t="str">
        <f>IFERROR(__xludf.DUMMYFUNCTION("""COMPUTED_VALUE"""),"Cyproconazaole 95%")</f>
        <v>Cyproconazaole 95%</v>
      </c>
      <c r="E6288" s="87"/>
      <c r="F6288" s="87"/>
      <c r="G6288" s="87"/>
    </row>
    <row r="6289">
      <c r="A6289" s="86">
        <f>IFERROR(__xludf.DUMMYFUNCTION("""COMPUTED_VALUE"""),6287.0)</f>
        <v>6287</v>
      </c>
      <c r="B6289" s="87" t="str">
        <f>IFERROR(__xludf.DUMMYFUNCTION("""COMPUTED_VALUE"""),"NL")</f>
        <v>NL</v>
      </c>
      <c r="C6289" s="87" t="str">
        <f>IFERROR(__xludf.DUMMYFUNCTION("""COMPUTED_VALUE"""),"NLT0141")</f>
        <v>NLT0141</v>
      </c>
      <c r="D6289" s="87" t="str">
        <f>IFERROR(__xludf.DUMMYFUNCTION("""COMPUTED_VALUE"""),"Propiconazole 95% TC")</f>
        <v>Propiconazole 95% TC</v>
      </c>
      <c r="E6289" s="87"/>
      <c r="F6289" s="87"/>
      <c r="G6289" s="87"/>
    </row>
    <row r="6290">
      <c r="A6290" s="86">
        <f>IFERROR(__xludf.DUMMYFUNCTION("""COMPUTED_VALUE"""),6288.0)</f>
        <v>6288</v>
      </c>
      <c r="B6290" s="87" t="str">
        <f>IFERROR(__xludf.DUMMYFUNCTION("""COMPUTED_VALUE"""),"NL")</f>
        <v>NL</v>
      </c>
      <c r="C6290" s="87" t="str">
        <f>IFERROR(__xludf.DUMMYFUNCTION("""COMPUTED_VALUE"""),"NLT0143")</f>
        <v>NLT0143</v>
      </c>
      <c r="D6290" s="87" t="str">
        <f>IFERROR(__xludf.DUMMYFUNCTION("""COMPUTED_VALUE"""),"CaO")</f>
        <v>CaO</v>
      </c>
      <c r="E6290" s="87"/>
      <c r="F6290" s="87"/>
      <c r="G6290" s="87"/>
    </row>
    <row r="6291">
      <c r="A6291" s="86">
        <f>IFERROR(__xludf.DUMMYFUNCTION("""COMPUTED_VALUE"""),6289.0)</f>
        <v>6289</v>
      </c>
      <c r="B6291" s="87" t="str">
        <f>IFERROR(__xludf.DUMMYFUNCTION("""COMPUTED_VALUE"""),"NL")</f>
        <v>NL</v>
      </c>
      <c r="C6291" s="87" t="str">
        <f>IFERROR(__xludf.DUMMYFUNCTION("""COMPUTED_VALUE"""),"NLT0144")</f>
        <v>NLT0144</v>
      </c>
      <c r="D6291" s="87" t="str">
        <f>IFERROR(__xludf.DUMMYFUNCTION("""COMPUTED_VALUE"""),"Paclo 90%")</f>
        <v>Paclo 90%</v>
      </c>
      <c r="E6291" s="87"/>
      <c r="F6291" s="87"/>
      <c r="G6291" s="87"/>
    </row>
    <row r="6292">
      <c r="A6292" s="86">
        <f>IFERROR(__xludf.DUMMYFUNCTION("""COMPUTED_VALUE"""),6290.0)</f>
        <v>6290</v>
      </c>
      <c r="B6292" s="87" t="str">
        <f>IFERROR(__xludf.DUMMYFUNCTION("""COMPUTED_VALUE"""),"NL")</f>
        <v>NL</v>
      </c>
      <c r="C6292" s="87" t="str">
        <f>IFERROR(__xludf.DUMMYFUNCTION("""COMPUTED_VALUE"""),"NLT0145")</f>
        <v>NLT0145</v>
      </c>
      <c r="D6292" s="87" t="str">
        <f>IFERROR(__xludf.DUMMYFUNCTION("""COMPUTED_VALUE"""),"Cyclohexanone (Dầu ông già)")</f>
        <v>Cyclohexanone (Dầu ông già)</v>
      </c>
      <c r="E6292" s="87"/>
      <c r="F6292" s="87"/>
      <c r="G6292" s="87"/>
    </row>
    <row r="6293">
      <c r="A6293" s="86">
        <f>IFERROR(__xludf.DUMMYFUNCTION("""COMPUTED_VALUE"""),6291.0)</f>
        <v>6291</v>
      </c>
      <c r="B6293" s="87" t="str">
        <f>IFERROR(__xludf.DUMMYFUNCTION("""COMPUTED_VALUE"""),"NL")</f>
        <v>NL</v>
      </c>
      <c r="C6293" s="87" t="str">
        <f>IFERROR(__xludf.DUMMYFUNCTION("""COMPUTED_VALUE"""),"NLT0146")</f>
        <v>NLT0146</v>
      </c>
      <c r="D6293" s="87" t="str">
        <f>IFERROR(__xludf.DUMMYFUNCTION("""COMPUTED_VALUE"""),"Nitrobenzen")</f>
        <v>Nitrobenzen</v>
      </c>
      <c r="E6293" s="87"/>
      <c r="F6293" s="87"/>
      <c r="G6293" s="87"/>
    </row>
    <row r="6294">
      <c r="A6294" s="86">
        <f>IFERROR(__xludf.DUMMYFUNCTION("""COMPUTED_VALUE"""),6292.0)</f>
        <v>6292</v>
      </c>
      <c r="B6294" s="87" t="str">
        <f>IFERROR(__xludf.DUMMYFUNCTION("""COMPUTED_VALUE"""),"NL")</f>
        <v>NL</v>
      </c>
      <c r="C6294" s="87" t="str">
        <f>IFERROR(__xludf.DUMMYFUNCTION("""COMPUTED_VALUE"""),"NLT0147")</f>
        <v>NLT0147</v>
      </c>
      <c r="D6294" s="87" t="str">
        <f>IFERROR(__xludf.DUMMYFUNCTION("""COMPUTED_VALUE"""),"Ethonas FAE7 (Tergitol L-7 )")</f>
        <v>Ethonas FAE7 (Tergitol L-7 )</v>
      </c>
      <c r="E6294" s="87"/>
      <c r="F6294" s="87"/>
      <c r="G6294" s="87"/>
    </row>
    <row r="6295">
      <c r="A6295" s="86">
        <f>IFERROR(__xludf.DUMMYFUNCTION("""COMPUTED_VALUE"""),6293.0)</f>
        <v>6293</v>
      </c>
      <c r="B6295" s="87" t="str">
        <f>IFERROR(__xludf.DUMMYFUNCTION("""COMPUTED_VALUE"""),"NL")</f>
        <v>NL</v>
      </c>
      <c r="C6295" s="87" t="str">
        <f>IFERROR(__xludf.DUMMYFUNCTION("""COMPUTED_VALUE"""),"NLT0148")</f>
        <v>NLT0148</v>
      </c>
      <c r="D6295" s="87" t="str">
        <f>IFERROR(__xludf.DUMMYFUNCTION("""COMPUTED_VALUE"""),"Dung môi A100")</f>
        <v>Dung môi A100</v>
      </c>
      <c r="E6295" s="87"/>
      <c r="F6295" s="87"/>
      <c r="G6295" s="87"/>
    </row>
    <row r="6296">
      <c r="A6296" s="86">
        <f>IFERROR(__xludf.DUMMYFUNCTION("""COMPUTED_VALUE"""),6294.0)</f>
        <v>6294</v>
      </c>
      <c r="B6296" s="87" t="str">
        <f>IFERROR(__xludf.DUMMYFUNCTION("""COMPUTED_VALUE"""),"NL")</f>
        <v>NL</v>
      </c>
      <c r="C6296" s="87" t="str">
        <f>IFERROR(__xludf.DUMMYFUNCTION("""COMPUTED_VALUE"""),"NLT0149")</f>
        <v>NLT0149</v>
      </c>
      <c r="D6296" s="87" t="str">
        <f>IFERROR(__xludf.DUMMYFUNCTION("""COMPUTED_VALUE"""),"Sinopol 85")</f>
        <v>Sinopol 85</v>
      </c>
      <c r="E6296" s="87"/>
      <c r="F6296" s="87"/>
      <c r="G6296" s="87"/>
    </row>
    <row r="6297">
      <c r="A6297" s="86">
        <f>IFERROR(__xludf.DUMMYFUNCTION("""COMPUTED_VALUE"""),6295.0)</f>
        <v>6295</v>
      </c>
      <c r="B6297" s="87" t="str">
        <f>IFERROR(__xludf.DUMMYFUNCTION("""COMPUTED_VALUE"""),"NL")</f>
        <v>NL</v>
      </c>
      <c r="C6297" s="87" t="str">
        <f>IFERROR(__xludf.DUMMYFUNCTION("""COMPUTED_VALUE"""),"NLT0150")</f>
        <v>NLT0150</v>
      </c>
      <c r="D6297" s="87" t="str">
        <f>IFERROR(__xludf.DUMMYFUNCTION("""COMPUTED_VALUE"""),"Eugenol tech 85%")</f>
        <v>Eugenol tech 85%</v>
      </c>
      <c r="E6297" s="87"/>
      <c r="F6297" s="87"/>
      <c r="G6297" s="87"/>
    </row>
    <row r="6298">
      <c r="A6298" s="86">
        <f>IFERROR(__xludf.DUMMYFUNCTION("""COMPUTED_VALUE"""),6296.0)</f>
        <v>6296</v>
      </c>
      <c r="B6298" s="87" t="str">
        <f>IFERROR(__xludf.DUMMYFUNCTION("""COMPUTED_VALUE"""),"NL")</f>
        <v>NL</v>
      </c>
      <c r="C6298" s="87" t="str">
        <f>IFERROR(__xludf.DUMMYFUNCTION("""COMPUTED_VALUE"""),"NLT0151")</f>
        <v>NLT0151</v>
      </c>
      <c r="D6298" s="87" t="str">
        <f>IFERROR(__xludf.DUMMYFUNCTION("""COMPUTED_VALUE"""),"ISO PROPANOL")</f>
        <v>ISO PROPANOL</v>
      </c>
      <c r="E6298" s="87"/>
      <c r="F6298" s="87"/>
      <c r="G6298" s="87"/>
    </row>
    <row r="6299">
      <c r="A6299" s="86">
        <f>IFERROR(__xludf.DUMMYFUNCTION("""COMPUTED_VALUE"""),6297.0)</f>
        <v>6297</v>
      </c>
      <c r="B6299" s="87" t="str">
        <f>IFERROR(__xludf.DUMMYFUNCTION("""COMPUTED_VALUE"""),"NL")</f>
        <v>NL</v>
      </c>
      <c r="C6299" s="87" t="str">
        <f>IFERROR(__xludf.DUMMYFUNCTION("""COMPUTED_VALUE"""),"NLT0152")</f>
        <v>NLT0152</v>
      </c>
      <c r="D6299" s="87" t="str">
        <f>IFERROR(__xludf.DUMMYFUNCTION("""COMPUTED_VALUE"""),"Mật rỉ đường")</f>
        <v>Mật rỉ đường</v>
      </c>
      <c r="E6299" s="87"/>
      <c r="F6299" s="87"/>
      <c r="G6299" s="87"/>
    </row>
    <row r="6300">
      <c r="A6300" s="86">
        <f>IFERROR(__xludf.DUMMYFUNCTION("""COMPUTED_VALUE"""),6298.0)</f>
        <v>6298</v>
      </c>
      <c r="B6300" s="87" t="str">
        <f>IFERROR(__xludf.DUMMYFUNCTION("""COMPUTED_VALUE"""),"NL")</f>
        <v>NL</v>
      </c>
      <c r="C6300" s="87" t="str">
        <f>IFERROR(__xludf.DUMMYFUNCTION("""COMPUTED_VALUE"""),"NLT0153")</f>
        <v>NLT0153</v>
      </c>
      <c r="D6300" s="87" t="str">
        <f>IFERROR(__xludf.DUMMYFUNCTION("""COMPUTED_VALUE"""),"HEC")</f>
        <v>HEC</v>
      </c>
      <c r="E6300" s="87"/>
      <c r="F6300" s="87"/>
      <c r="G6300" s="87"/>
    </row>
    <row r="6301">
      <c r="A6301" s="86">
        <f>IFERROR(__xludf.DUMMYFUNCTION("""COMPUTED_VALUE"""),6299.0)</f>
        <v>6299</v>
      </c>
      <c r="B6301" s="87" t="str">
        <f>IFERROR(__xludf.DUMMYFUNCTION("""COMPUTED_VALUE"""),"NL")</f>
        <v>NL</v>
      </c>
      <c r="C6301" s="87" t="str">
        <f>IFERROR(__xludf.DUMMYFUNCTION("""COMPUTED_VALUE"""),"NLT0154")</f>
        <v>NLT0154</v>
      </c>
      <c r="D6301" s="87" t="str">
        <f>IFERROR(__xludf.DUMMYFUNCTION("""COMPUTED_VALUE"""),"CMI 1.5 Chất bảo quản nước")</f>
        <v>CMI 1.5 Chất bảo quản nước</v>
      </c>
      <c r="E6301" s="87"/>
      <c r="F6301" s="87"/>
      <c r="G6301" s="87"/>
    </row>
    <row r="6302">
      <c r="A6302" s="86">
        <f>IFERROR(__xludf.DUMMYFUNCTION("""COMPUTED_VALUE"""),6300.0)</f>
        <v>6300</v>
      </c>
      <c r="B6302" s="87" t="str">
        <f>IFERROR(__xludf.DUMMYFUNCTION("""COMPUTED_VALUE"""),"NL")</f>
        <v>NL</v>
      </c>
      <c r="C6302" s="87" t="str">
        <f>IFERROR(__xludf.DUMMYFUNCTION("""COMPUTED_VALUE"""),"NLT0155")</f>
        <v>NLT0155</v>
      </c>
      <c r="D6302" s="87" t="str">
        <f>IFERROR(__xludf.DUMMYFUNCTION("""COMPUTED_VALUE"""),"H3PO3")</f>
        <v>H3PO3</v>
      </c>
      <c r="E6302" s="87"/>
      <c r="F6302" s="87"/>
      <c r="G6302" s="87"/>
    </row>
    <row r="6303">
      <c r="A6303" s="86">
        <f>IFERROR(__xludf.DUMMYFUNCTION("""COMPUTED_VALUE"""),6301.0)</f>
        <v>6301</v>
      </c>
      <c r="B6303" s="87" t="str">
        <f>IFERROR(__xludf.DUMMYFUNCTION("""COMPUTED_VALUE"""),"NL")</f>
        <v>NL</v>
      </c>
      <c r="C6303" s="87" t="str">
        <f>IFERROR(__xludf.DUMMYFUNCTION("""COMPUTED_VALUE"""),"NLT0156")</f>
        <v>NLT0156</v>
      </c>
      <c r="D6303" s="87" t="str">
        <f>IFERROR(__xludf.DUMMYFUNCTION("""COMPUTED_VALUE"""),"Formaldehyde")</f>
        <v>Formaldehyde</v>
      </c>
      <c r="E6303" s="87"/>
      <c r="F6303" s="87"/>
      <c r="G6303" s="87"/>
    </row>
    <row r="6304">
      <c r="A6304" s="86">
        <f>IFERROR(__xludf.DUMMYFUNCTION("""COMPUTED_VALUE"""),6302.0)</f>
        <v>6302</v>
      </c>
      <c r="B6304" s="87" t="str">
        <f>IFERROR(__xludf.DUMMYFUNCTION("""COMPUTED_VALUE"""),"NL")</f>
        <v>NL</v>
      </c>
      <c r="C6304" s="87" t="str">
        <f>IFERROR(__xludf.DUMMYFUNCTION("""COMPUTED_VALUE"""),"NLT0157")</f>
        <v>NLT0157</v>
      </c>
      <c r="D6304" s="87" t="str">
        <f>IFERROR(__xludf.DUMMYFUNCTION("""COMPUTED_VALUE"""),"Hencide PG520 (SkyBio Kháng khuẩn)")</f>
        <v>Hencide PG520 (SkyBio Kháng khuẩn)</v>
      </c>
      <c r="E6304" s="87"/>
      <c r="F6304" s="87"/>
      <c r="G6304" s="87"/>
    </row>
    <row r="6305">
      <c r="A6305" s="86">
        <f>IFERROR(__xludf.DUMMYFUNCTION("""COMPUTED_VALUE"""),6303.0)</f>
        <v>6303</v>
      </c>
      <c r="B6305" s="87" t="str">
        <f>IFERROR(__xludf.DUMMYFUNCTION("""COMPUTED_VALUE"""),"NL")</f>
        <v>NL</v>
      </c>
      <c r="C6305" s="87" t="str">
        <f>IFERROR(__xludf.DUMMYFUNCTION("""COMPUTED_VALUE"""),"NLT0158")</f>
        <v>NLT0158</v>
      </c>
      <c r="D6305" s="87" t="str">
        <f>IFERROR(__xludf.DUMMYFUNCTION("""COMPUTED_VALUE"""),"(Sodium lauryl sulfate) SLS")</f>
        <v>(Sodium lauryl sulfate) SLS</v>
      </c>
      <c r="E6305" s="87"/>
      <c r="F6305" s="87"/>
      <c r="G6305" s="87"/>
    </row>
    <row r="6306">
      <c r="A6306" s="86">
        <f>IFERROR(__xludf.DUMMYFUNCTION("""COMPUTED_VALUE"""),6304.0)</f>
        <v>6304</v>
      </c>
      <c r="B6306" s="87" t="str">
        <f>IFERROR(__xludf.DUMMYFUNCTION("""COMPUTED_VALUE"""),"NL")</f>
        <v>NL</v>
      </c>
      <c r="C6306" s="87" t="str">
        <f>IFERROR(__xludf.DUMMYFUNCTION("""COMPUTED_VALUE"""),"NLT0159")</f>
        <v>NLT0159</v>
      </c>
      <c r="D6306" s="87" t="str">
        <f>IFERROR(__xludf.DUMMYFUNCTION("""COMPUTED_VALUE"""),"Bifenthrin 97% TC")</f>
        <v>Bifenthrin 97% TC</v>
      </c>
      <c r="E6306" s="87"/>
      <c r="F6306" s="87"/>
      <c r="G6306" s="87"/>
    </row>
    <row r="6307">
      <c r="A6307" s="86">
        <f>IFERROR(__xludf.DUMMYFUNCTION("""COMPUTED_VALUE"""),6305.0)</f>
        <v>6305</v>
      </c>
      <c r="B6307" s="87" t="str">
        <f>IFERROR(__xludf.DUMMYFUNCTION("""COMPUTED_VALUE"""),"NL")</f>
        <v>NL</v>
      </c>
      <c r="C6307" s="87" t="str">
        <f>IFERROR(__xludf.DUMMYFUNCTION("""COMPUTED_VALUE"""),"NLT0160")</f>
        <v>NLT0160</v>
      </c>
      <c r="D6307" s="87" t="str">
        <f>IFERROR(__xludf.DUMMYFUNCTION("""COMPUTED_VALUE"""),"SLSE (Sodium lauryl ether sulfate)")</f>
        <v>SLSE (Sodium lauryl ether sulfate)</v>
      </c>
      <c r="E6307" s="87"/>
      <c r="F6307" s="87"/>
      <c r="G6307" s="87"/>
    </row>
    <row r="6308">
      <c r="A6308" s="86">
        <f>IFERROR(__xludf.DUMMYFUNCTION("""COMPUTED_VALUE"""),6306.0)</f>
        <v>6306</v>
      </c>
      <c r="B6308" s="87" t="str">
        <f>IFERROR(__xludf.DUMMYFUNCTION("""COMPUTED_VALUE"""),"NL")</f>
        <v>NL</v>
      </c>
      <c r="C6308" s="87" t="str">
        <f>IFERROR(__xludf.DUMMYFUNCTION("""COMPUTED_VALUE"""),"NLT0161")</f>
        <v>NLT0161</v>
      </c>
      <c r="D6308" s="87" t="str">
        <f>IFERROR(__xludf.DUMMYFUNCTION("""COMPUTED_VALUE"""),"Copper Oxychlorride 98% TC (COC)")</f>
        <v>Copper Oxychlorride 98% TC (COC)</v>
      </c>
      <c r="E6308" s="87"/>
      <c r="F6308" s="87"/>
      <c r="G6308" s="87"/>
    </row>
    <row r="6309">
      <c r="A6309" s="86">
        <f>IFERROR(__xludf.DUMMYFUNCTION("""COMPUTED_VALUE"""),6307.0)</f>
        <v>6307</v>
      </c>
      <c r="B6309" s="87" t="str">
        <f>IFERROR(__xludf.DUMMYFUNCTION("""COMPUTED_VALUE"""),"NL")</f>
        <v>NL</v>
      </c>
      <c r="C6309" s="87" t="str">
        <f>IFERROR(__xludf.DUMMYFUNCTION("""COMPUTED_VALUE"""),"NLT0162")</f>
        <v>NLT0162</v>
      </c>
      <c r="D6309" s="87" t="str">
        <f>IFERROR(__xludf.DUMMYFUNCTION("""COMPUTED_VALUE"""),"Thiamine (Vitamin B1)")</f>
        <v>Thiamine (Vitamin B1)</v>
      </c>
      <c r="E6309" s="87"/>
      <c r="F6309" s="87"/>
      <c r="G6309" s="87"/>
    </row>
    <row r="6310">
      <c r="A6310" s="86">
        <f>IFERROR(__xludf.DUMMYFUNCTION("""COMPUTED_VALUE"""),6308.0)</f>
        <v>6308</v>
      </c>
      <c r="B6310" s="87" t="str">
        <f>IFERROR(__xludf.DUMMYFUNCTION("""COMPUTED_VALUE"""),"NL")</f>
        <v>NL</v>
      </c>
      <c r="C6310" s="87" t="str">
        <f>IFERROR(__xludf.DUMMYFUNCTION("""COMPUTED_VALUE"""),"NLT0163")</f>
        <v>NLT0163</v>
      </c>
      <c r="D6310" s="87" t="str">
        <f>IFERROR(__xludf.DUMMYFUNCTION("""COMPUTED_VALUE"""),"6-Benzylaminopurine 6-BA 98%")</f>
        <v>6-Benzylaminopurine 6-BA 98%</v>
      </c>
      <c r="E6310" s="87"/>
      <c r="F6310" s="87"/>
      <c r="G6310" s="87"/>
    </row>
    <row r="6311">
      <c r="A6311" s="86">
        <f>IFERROR(__xludf.DUMMYFUNCTION("""COMPUTED_VALUE"""),6309.0)</f>
        <v>6309</v>
      </c>
      <c r="B6311" s="87" t="str">
        <f>IFERROR(__xludf.DUMMYFUNCTION("""COMPUTED_VALUE"""),"NL")</f>
        <v>NL</v>
      </c>
      <c r="C6311" s="87" t="str">
        <f>IFERROR(__xludf.DUMMYFUNCTION("""COMPUTED_VALUE"""),"NLT0164")</f>
        <v>NLT0164</v>
      </c>
      <c r="D6311" s="87" t="str">
        <f>IFERROR(__xludf.DUMMYFUNCTION("""COMPUTED_VALUE"""),"Oligo Chitosan")</f>
        <v>Oligo Chitosan</v>
      </c>
      <c r="E6311" s="87"/>
      <c r="F6311" s="87"/>
      <c r="G6311" s="87"/>
    </row>
    <row r="6312">
      <c r="A6312" s="86">
        <f>IFERROR(__xludf.DUMMYFUNCTION("""COMPUTED_VALUE"""),6310.0)</f>
        <v>6310</v>
      </c>
      <c r="B6312" s="87" t="str">
        <f>IFERROR(__xludf.DUMMYFUNCTION("""COMPUTED_VALUE"""),"NL")</f>
        <v>NL</v>
      </c>
      <c r="C6312" s="87" t="str">
        <f>IFERROR(__xludf.DUMMYFUNCTION("""COMPUTED_VALUE"""),"NLT0165")</f>
        <v>NLT0165</v>
      </c>
      <c r="D6312" s="87" t="str">
        <f>IFERROR(__xludf.DUMMYFUNCTION("""COMPUTED_VALUE"""),"Ethephol 95%")</f>
        <v>Ethephol 95%</v>
      </c>
      <c r="E6312" s="87"/>
      <c r="F6312" s="87"/>
      <c r="G6312" s="87"/>
    </row>
    <row r="6313">
      <c r="A6313" s="86">
        <f>IFERROR(__xludf.DUMMYFUNCTION("""COMPUTED_VALUE"""),6311.0)</f>
        <v>6311</v>
      </c>
      <c r="B6313" s="87" t="str">
        <f>IFERROR(__xludf.DUMMYFUNCTION("""COMPUTED_VALUE"""),"NL")</f>
        <v>NL</v>
      </c>
      <c r="C6313" s="87" t="str">
        <f>IFERROR(__xludf.DUMMYFUNCTION("""COMPUTED_VALUE"""),"NLT0166")</f>
        <v>NLT0166</v>
      </c>
      <c r="D6313" s="87" t="str">
        <f>IFERROR(__xludf.DUMMYFUNCTION("""COMPUTED_VALUE"""),"K2SiO3")</f>
        <v>K2SiO3</v>
      </c>
      <c r="E6313" s="87"/>
      <c r="F6313" s="87"/>
      <c r="G6313" s="87"/>
    </row>
    <row r="6314">
      <c r="A6314" s="86">
        <f>IFERROR(__xludf.DUMMYFUNCTION("""COMPUTED_VALUE"""),6312.0)</f>
        <v>6312</v>
      </c>
      <c r="B6314" s="87" t="str">
        <f>IFERROR(__xludf.DUMMYFUNCTION("""COMPUTED_VALUE"""),"NL")</f>
        <v>NL</v>
      </c>
      <c r="C6314" s="87" t="str">
        <f>IFERROR(__xludf.DUMMYFUNCTION("""COMPUTED_VALUE"""),"NLT0167")</f>
        <v>NLT0167</v>
      </c>
      <c r="D6314" s="87" t="str">
        <f>IFERROR(__xludf.DUMMYFUNCTION("""COMPUTED_VALUE"""),"Ethephol 40%")</f>
        <v>Ethephol 40%</v>
      </c>
      <c r="E6314" s="87"/>
      <c r="F6314" s="87"/>
      <c r="G6314" s="87"/>
    </row>
    <row r="6315">
      <c r="A6315" s="86">
        <f>IFERROR(__xludf.DUMMYFUNCTION("""COMPUTED_VALUE"""),6313.0)</f>
        <v>6313</v>
      </c>
      <c r="B6315" s="87" t="str">
        <f>IFERROR(__xludf.DUMMYFUNCTION("""COMPUTED_VALUE"""),"NL")</f>
        <v>NL</v>
      </c>
      <c r="C6315" s="87" t="str">
        <f>IFERROR(__xludf.DUMMYFUNCTION("""COMPUTED_VALUE"""),"NLT0168")</f>
        <v>NLT0168</v>
      </c>
      <c r="D6315" s="87" t="str">
        <f>IFERROR(__xludf.DUMMYFUNCTION("""COMPUTED_VALUE"""),"Uniconazole 95%")</f>
        <v>Uniconazole 95%</v>
      </c>
      <c r="E6315" s="87"/>
      <c r="F6315" s="87"/>
      <c r="G6315" s="87"/>
    </row>
    <row r="6316">
      <c r="A6316" s="86">
        <f>IFERROR(__xludf.DUMMYFUNCTION("""COMPUTED_VALUE"""),6314.0)</f>
        <v>6314</v>
      </c>
      <c r="B6316" s="87" t="str">
        <f>IFERROR(__xludf.DUMMYFUNCTION("""COMPUTED_VALUE"""),"NL")</f>
        <v>NL</v>
      </c>
      <c r="C6316" s="87" t="str">
        <f>IFERROR(__xludf.DUMMYFUNCTION("""COMPUTED_VALUE"""),"NLT0169")</f>
        <v>NLT0169</v>
      </c>
      <c r="D6316" s="87" t="str">
        <f>IFERROR(__xludf.DUMMYFUNCTION("""COMPUTED_VALUE"""),"Mepiquat chloride 98%")</f>
        <v>Mepiquat chloride 98%</v>
      </c>
      <c r="E6316" s="87"/>
      <c r="F6316" s="87"/>
      <c r="G6316" s="87"/>
    </row>
    <row r="6317">
      <c r="A6317" s="86">
        <f>IFERROR(__xludf.DUMMYFUNCTION("""COMPUTED_VALUE"""),6315.0)</f>
        <v>6315</v>
      </c>
      <c r="B6317" s="87" t="str">
        <f>IFERROR(__xludf.DUMMYFUNCTION("""COMPUTED_VALUE"""),"NL")</f>
        <v>NL</v>
      </c>
      <c r="C6317" s="87" t="str">
        <f>IFERROR(__xludf.DUMMYFUNCTION("""COMPUTED_VALUE"""),"NLT0170")</f>
        <v>NLT0170</v>
      </c>
      <c r="D6317" s="87" t="str">
        <f>IFERROR(__xludf.DUMMYFUNCTION("""COMPUTED_VALUE"""),"ZnO hàm lượng 99,2%")</f>
        <v>ZnO hàm lượng 99,2%</v>
      </c>
      <c r="E6317" s="87"/>
      <c r="F6317" s="87"/>
      <c r="G6317" s="87"/>
    </row>
    <row r="6318">
      <c r="A6318" s="86">
        <f>IFERROR(__xludf.DUMMYFUNCTION("""COMPUTED_VALUE"""),6316.0)</f>
        <v>6316</v>
      </c>
      <c r="B6318" s="87" t="str">
        <f>IFERROR(__xludf.DUMMYFUNCTION("""COMPUTED_VALUE"""),"NL")</f>
        <v>NL</v>
      </c>
      <c r="C6318" s="87" t="str">
        <f>IFERROR(__xludf.DUMMYFUNCTION("""COMPUTED_VALUE"""),"NLT0171")</f>
        <v>NLT0171</v>
      </c>
      <c r="D6318" s="87" t="str">
        <f>IFERROR(__xludf.DUMMYFUNCTION("""COMPUTED_VALUE"""),"Takol 2000")</f>
        <v>Takol 2000</v>
      </c>
      <c r="E6318" s="87"/>
      <c r="F6318" s="87"/>
      <c r="G6318" s="87"/>
    </row>
    <row r="6319">
      <c r="A6319" s="86">
        <f>IFERROR(__xludf.DUMMYFUNCTION("""COMPUTED_VALUE"""),6317.0)</f>
        <v>6317</v>
      </c>
      <c r="B6319" s="87" t="str">
        <f>IFERROR(__xludf.DUMMYFUNCTION("""COMPUTED_VALUE"""),"NL")</f>
        <v>NL</v>
      </c>
      <c r="C6319" s="87" t="str">
        <f>IFERROR(__xludf.DUMMYFUNCTION("""COMPUTED_VALUE"""),"NLT0172")</f>
        <v>NLT0172</v>
      </c>
      <c r="D6319" s="87" t="str">
        <f>IFERROR(__xludf.DUMMYFUNCTION("""COMPUTED_VALUE"""),"Silicone 3500")</f>
        <v>Silicone 3500</v>
      </c>
      <c r="E6319" s="87"/>
      <c r="F6319" s="87"/>
      <c r="G6319" s="87"/>
    </row>
    <row r="6320">
      <c r="A6320" s="86">
        <f>IFERROR(__xludf.DUMMYFUNCTION("""COMPUTED_VALUE"""),6318.0)</f>
        <v>6318</v>
      </c>
      <c r="B6320" s="87" t="str">
        <f>IFERROR(__xludf.DUMMYFUNCTION("""COMPUTED_VALUE"""),"NL")</f>
        <v>NL</v>
      </c>
      <c r="C6320" s="87" t="str">
        <f>IFERROR(__xludf.DUMMYFUNCTION("""COMPUTED_VALUE"""),"NLT0173")</f>
        <v>NLT0173</v>
      </c>
      <c r="D6320" s="87" t="str">
        <f>IFERROR(__xludf.DUMMYFUNCTION("""COMPUTED_VALUE"""),"EDTA 2Na")</f>
        <v>EDTA 2Na</v>
      </c>
      <c r="E6320" s="87"/>
      <c r="F6320" s="87"/>
      <c r="G6320" s="87"/>
    </row>
    <row r="6321">
      <c r="A6321" s="86">
        <f>IFERROR(__xludf.DUMMYFUNCTION("""COMPUTED_VALUE"""),6319.0)</f>
        <v>6319</v>
      </c>
      <c r="B6321" s="87" t="str">
        <f>IFERROR(__xludf.DUMMYFUNCTION("""COMPUTED_VALUE"""),"NL")</f>
        <v>NL</v>
      </c>
      <c r="C6321" s="87" t="str">
        <f>IFERROR(__xludf.DUMMYFUNCTION("""COMPUTED_VALUE"""),"NLT0174")</f>
        <v>NLT0174</v>
      </c>
      <c r="D6321" s="87" t="str">
        <f>IFERROR(__xludf.DUMMYFUNCTION("""COMPUTED_VALUE"""),"EDTA 4Na")</f>
        <v>EDTA 4Na</v>
      </c>
      <c r="E6321" s="87"/>
      <c r="F6321" s="87"/>
      <c r="G6321" s="87"/>
    </row>
    <row r="6322">
      <c r="A6322" s="86">
        <f>IFERROR(__xludf.DUMMYFUNCTION("""COMPUTED_VALUE"""),6320.0)</f>
        <v>6320</v>
      </c>
      <c r="B6322" s="87" t="str">
        <f>IFERROR(__xludf.DUMMYFUNCTION("""COMPUTED_VALUE"""),"NL")</f>
        <v>NL</v>
      </c>
      <c r="C6322" s="87" t="str">
        <f>IFERROR(__xludf.DUMMYFUNCTION("""COMPUTED_VALUE"""),"NLT0175")</f>
        <v>NLT0175</v>
      </c>
      <c r="D6322" s="87" t="str">
        <f>IFERROR(__xludf.DUMMYFUNCTION("""COMPUTED_VALUE"""),"Dung dịch Amoniac")</f>
        <v>Dung dịch Amoniac</v>
      </c>
      <c r="E6322" s="87"/>
      <c r="F6322" s="87"/>
      <c r="G6322" s="87"/>
    </row>
    <row r="6323">
      <c r="A6323" s="86">
        <f>IFERROR(__xludf.DUMMYFUNCTION("""COMPUTED_VALUE"""),6321.0)</f>
        <v>6321</v>
      </c>
      <c r="B6323" s="87" t="str">
        <f>IFERROR(__xludf.DUMMYFUNCTION("""COMPUTED_VALUE"""),"NL")</f>
        <v>NL</v>
      </c>
      <c r="C6323" s="87" t="str">
        <f>IFERROR(__xludf.DUMMYFUNCTION("""COMPUTED_VALUE"""),"NLT0176")</f>
        <v>NLT0176</v>
      </c>
      <c r="D6323" s="87" t="str">
        <f>IFERROR(__xludf.DUMMYFUNCTION("""COMPUTED_VALUE"""),"MgO 85%")</f>
        <v>MgO 85%</v>
      </c>
      <c r="E6323" s="87"/>
      <c r="F6323" s="87"/>
      <c r="G6323" s="87"/>
    </row>
    <row r="6324">
      <c r="A6324" s="86">
        <f>IFERROR(__xludf.DUMMYFUNCTION("""COMPUTED_VALUE"""),6322.0)</f>
        <v>6322</v>
      </c>
      <c r="B6324" s="87" t="str">
        <f>IFERROR(__xludf.DUMMYFUNCTION("""COMPUTED_VALUE"""),"NL")</f>
        <v>NL</v>
      </c>
      <c r="C6324" s="87" t="str">
        <f>IFERROR(__xludf.DUMMYFUNCTION("""COMPUTED_VALUE"""),"NLT0178")</f>
        <v>NLT0178</v>
      </c>
      <c r="D6324" s="87" t="str">
        <f>IFERROR(__xludf.DUMMYFUNCTION("""COMPUTED_VALUE"""),"K-Humate dạng bột")</f>
        <v>K-Humate dạng bột</v>
      </c>
      <c r="E6324" s="87"/>
      <c r="F6324" s="87"/>
      <c r="G6324" s="87"/>
    </row>
    <row r="6325">
      <c r="A6325" s="86">
        <f>IFERROR(__xludf.DUMMYFUNCTION("""COMPUTED_VALUE"""),6323.0)</f>
        <v>6323</v>
      </c>
      <c r="B6325" s="87" t="str">
        <f>IFERROR(__xludf.DUMMYFUNCTION("""COMPUTED_VALUE"""),"NL")</f>
        <v>NL</v>
      </c>
      <c r="C6325" s="87" t="str">
        <f>IFERROR(__xludf.DUMMYFUNCTION("""COMPUTED_VALUE"""),"NLT0179")</f>
        <v>NLT0179</v>
      </c>
      <c r="D6325" s="87" t="str">
        <f>IFERROR(__xludf.DUMMYFUNCTION("""COMPUTED_VALUE"""),"Isobutanol")</f>
        <v>Isobutanol</v>
      </c>
      <c r="E6325" s="87"/>
      <c r="F6325" s="87"/>
      <c r="G6325" s="87"/>
    </row>
    <row r="6326">
      <c r="A6326" s="86">
        <f>IFERROR(__xludf.DUMMYFUNCTION("""COMPUTED_VALUE"""),6324.0)</f>
        <v>6324</v>
      </c>
      <c r="B6326" s="87" t="str">
        <f>IFERROR(__xludf.DUMMYFUNCTION("""COMPUTED_VALUE"""),"NL")</f>
        <v>NL</v>
      </c>
      <c r="C6326" s="87" t="str">
        <f>IFERROR(__xludf.DUMMYFUNCTION("""COMPUTED_VALUE"""),"NLT0180")</f>
        <v>NLT0180</v>
      </c>
      <c r="D6326" s="87" t="str">
        <f>IFERROR(__xludf.DUMMYFUNCTION("""COMPUTED_VALUE"""),"Nguyên liệu STREPTOMYCIN 91%")</f>
        <v>Nguyên liệu STREPTOMYCIN 91%</v>
      </c>
      <c r="E6326" s="87"/>
      <c r="F6326" s="87"/>
      <c r="G6326" s="87"/>
    </row>
    <row r="6327">
      <c r="A6327" s="86">
        <f>IFERROR(__xludf.DUMMYFUNCTION("""COMPUTED_VALUE"""),6325.0)</f>
        <v>6325</v>
      </c>
      <c r="B6327" s="87" t="str">
        <f>IFERROR(__xludf.DUMMYFUNCTION("""COMPUTED_VALUE"""),"NL")</f>
        <v>NL</v>
      </c>
      <c r="C6327" s="87" t="str">
        <f>IFERROR(__xludf.DUMMYFUNCTION("""COMPUTED_VALUE"""),"NLT0181")</f>
        <v>NLT0181</v>
      </c>
      <c r="D6327" s="87"/>
      <c r="E6327" s="87"/>
      <c r="F6327" s="87"/>
      <c r="G6327" s="87"/>
    </row>
    <row r="6328">
      <c r="A6328" s="86">
        <f>IFERROR(__xludf.DUMMYFUNCTION("""COMPUTED_VALUE"""),6326.0)</f>
        <v>6326</v>
      </c>
      <c r="B6328" s="87" t="str">
        <f>IFERROR(__xludf.DUMMYFUNCTION("""COMPUTED_VALUE"""),"NL")</f>
        <v>NL</v>
      </c>
      <c r="C6328" s="87" t="str">
        <f>IFERROR(__xludf.DUMMYFUNCTION("""COMPUTED_VALUE"""),"NLT0182")</f>
        <v>NLT0182</v>
      </c>
      <c r="D6328" s="87" t="str">
        <f>IFERROR(__xludf.DUMMYFUNCTION("""COMPUTED_VALUE"""),"Bột lưu huỳnh")</f>
        <v>Bột lưu huỳnh</v>
      </c>
      <c r="E6328" s="87"/>
      <c r="F6328" s="87"/>
      <c r="G6328" s="87"/>
    </row>
    <row r="6329">
      <c r="A6329" s="86">
        <f>IFERROR(__xludf.DUMMYFUNCTION("""COMPUTED_VALUE"""),6327.0)</f>
        <v>6327</v>
      </c>
      <c r="B6329" s="87" t="str">
        <f>IFERROR(__xludf.DUMMYFUNCTION("""COMPUTED_VALUE"""),"NL")</f>
        <v>NL</v>
      </c>
      <c r="C6329" s="87" t="str">
        <f>IFERROR(__xludf.DUMMYFUNCTION("""COMPUTED_VALUE"""),"NLT0183")</f>
        <v>NLT0183</v>
      </c>
      <c r="D6329" s="87" t="str">
        <f>IFERROR(__xludf.DUMMYFUNCTION("""COMPUTED_VALUE"""),"Amino 80%")</f>
        <v>Amino 80%</v>
      </c>
      <c r="E6329" s="87"/>
      <c r="F6329" s="87"/>
      <c r="G6329" s="87"/>
    </row>
    <row r="6330">
      <c r="A6330" s="86">
        <f>IFERROR(__xludf.DUMMYFUNCTION("""COMPUTED_VALUE"""),6328.0)</f>
        <v>6328</v>
      </c>
      <c r="B6330" s="87" t="str">
        <f>IFERROR(__xludf.DUMMYFUNCTION("""COMPUTED_VALUE"""),"NL")</f>
        <v>NL</v>
      </c>
      <c r="C6330" s="87" t="str">
        <f>IFERROR(__xludf.DUMMYFUNCTION("""COMPUTED_VALUE"""),"NLT0184")</f>
        <v>NLT0184</v>
      </c>
      <c r="D6330" s="87" t="str">
        <f>IFERROR(__xludf.DUMMYFUNCTION("""COMPUTED_VALUE"""),"IBA-K")</f>
        <v>IBA-K</v>
      </c>
      <c r="E6330" s="87"/>
      <c r="F6330" s="87"/>
      <c r="G6330" s="87"/>
    </row>
    <row r="6331">
      <c r="A6331" s="86">
        <f>IFERROR(__xludf.DUMMYFUNCTION("""COMPUTED_VALUE"""),6329.0)</f>
        <v>6329</v>
      </c>
      <c r="B6331" s="87" t="str">
        <f>IFERROR(__xludf.DUMMYFUNCTION("""COMPUTED_VALUE"""),"NL")</f>
        <v>NL</v>
      </c>
      <c r="C6331" s="87" t="str">
        <f>IFERROR(__xludf.DUMMYFUNCTION("""COMPUTED_VALUE"""),"NLT0185")</f>
        <v>NLT0185</v>
      </c>
      <c r="D6331" s="87" t="str">
        <f>IFERROR(__xludf.DUMMYFUNCTION("""COMPUTED_VALUE"""),"NAA-NA")</f>
        <v>NAA-NA</v>
      </c>
      <c r="E6331" s="87"/>
      <c r="F6331" s="87"/>
      <c r="G6331" s="87"/>
    </row>
    <row r="6332">
      <c r="A6332" s="86">
        <f>IFERROR(__xludf.DUMMYFUNCTION("""COMPUTED_VALUE"""),6330.0)</f>
        <v>6330</v>
      </c>
      <c r="B6332" s="87" t="str">
        <f>IFERROR(__xludf.DUMMYFUNCTION("""COMPUTED_VALUE"""),"NL")</f>
        <v>NL</v>
      </c>
      <c r="C6332" s="87" t="str">
        <f>IFERROR(__xludf.DUMMYFUNCTION("""COMPUTED_VALUE"""),"NLT0186")</f>
        <v>NLT0186</v>
      </c>
      <c r="D6332" s="87" t="str">
        <f>IFERROR(__xludf.DUMMYFUNCTION("""COMPUTED_VALUE"""),"CaSO4")</f>
        <v>CaSO4</v>
      </c>
      <c r="E6332" s="87"/>
      <c r="F6332" s="87"/>
      <c r="G6332" s="87"/>
    </row>
    <row r="6333">
      <c r="A6333" s="86">
        <f>IFERROR(__xludf.DUMMYFUNCTION("""COMPUTED_VALUE"""),6331.0)</f>
        <v>6331</v>
      </c>
      <c r="B6333" s="87" t="str">
        <f>IFERROR(__xludf.DUMMYFUNCTION("""COMPUTED_VALUE"""),"NL")</f>
        <v>NL</v>
      </c>
      <c r="C6333" s="87" t="str">
        <f>IFERROR(__xludf.DUMMYFUNCTION("""COMPUTED_VALUE"""),"NLT0187")</f>
        <v>NLT0187</v>
      </c>
      <c r="D6333" s="87" t="str">
        <f>IFERROR(__xludf.DUMMYFUNCTION("""COMPUTED_VALUE"""),"MgCO3")</f>
        <v>MgCO3</v>
      </c>
      <c r="E6333" s="87"/>
      <c r="F6333" s="87"/>
      <c r="G6333" s="87"/>
    </row>
    <row r="6334">
      <c r="A6334" s="86">
        <f>IFERROR(__xludf.DUMMYFUNCTION("""COMPUTED_VALUE"""),6332.0)</f>
        <v>6332</v>
      </c>
      <c r="B6334" s="87" t="str">
        <f>IFERROR(__xludf.DUMMYFUNCTION("""COMPUTED_VALUE"""),"NL")</f>
        <v>NL</v>
      </c>
      <c r="C6334" s="87" t="str">
        <f>IFERROR(__xludf.DUMMYFUNCTION("""COMPUTED_VALUE"""),"NLT0188")</f>
        <v>NLT0188</v>
      </c>
      <c r="D6334" s="87" t="str">
        <f>IFERROR(__xludf.DUMMYFUNCTION("""COMPUTED_VALUE"""),"Airtech 2121")</f>
        <v>Airtech 2121</v>
      </c>
      <c r="E6334" s="87"/>
      <c r="F6334" s="87"/>
      <c r="G6334" s="87"/>
    </row>
    <row r="6335">
      <c r="A6335" s="86">
        <f>IFERROR(__xludf.DUMMYFUNCTION("""COMPUTED_VALUE"""),6333.0)</f>
        <v>6333</v>
      </c>
      <c r="B6335" s="87" t="str">
        <f>IFERROR(__xludf.DUMMYFUNCTION("""COMPUTED_VALUE"""),"NL")</f>
        <v>NL</v>
      </c>
      <c r="C6335" s="87" t="str">
        <f>IFERROR(__xludf.DUMMYFUNCTION("""COMPUTED_VALUE"""),"NLT0189")</f>
        <v>NLT0189</v>
      </c>
      <c r="D6335" s="87" t="str">
        <f>IFERROR(__xludf.DUMMYFUNCTION("""COMPUTED_VALUE"""),"Viscotex HX")</f>
        <v>Viscotex HX</v>
      </c>
      <c r="E6335" s="87"/>
      <c r="F6335" s="87"/>
      <c r="G6335" s="87"/>
    </row>
    <row r="6336">
      <c r="A6336" s="86">
        <f>IFERROR(__xludf.DUMMYFUNCTION("""COMPUTED_VALUE"""),6334.0)</f>
        <v>6334</v>
      </c>
      <c r="B6336" s="87" t="str">
        <f>IFERROR(__xludf.DUMMYFUNCTION("""COMPUTED_VALUE"""),"NL")</f>
        <v>NL</v>
      </c>
      <c r="C6336" s="87" t="str">
        <f>IFERROR(__xludf.DUMMYFUNCTION("""COMPUTED_VALUE"""),"NLT0190")</f>
        <v>NLT0190</v>
      </c>
      <c r="D6336" s="87" t="str">
        <f>IFERROR(__xludf.DUMMYFUNCTION("""COMPUTED_VALUE"""),"Triacontanol 1,5% EP")</f>
        <v>Triacontanol 1,5% EP</v>
      </c>
      <c r="E6336" s="87"/>
      <c r="F6336" s="87"/>
      <c r="G6336" s="87"/>
    </row>
    <row r="6337">
      <c r="A6337" s="86">
        <f>IFERROR(__xludf.DUMMYFUNCTION("""COMPUTED_VALUE"""),6335.0)</f>
        <v>6335</v>
      </c>
      <c r="B6337" s="87" t="str">
        <f>IFERROR(__xludf.DUMMYFUNCTION("""COMPUTED_VALUE"""),"NL")</f>
        <v>NL</v>
      </c>
      <c r="C6337" s="87" t="str">
        <f>IFERROR(__xludf.DUMMYFUNCTION("""COMPUTED_VALUE"""),"NLT0191")</f>
        <v>NLT0191</v>
      </c>
      <c r="D6337" s="87" t="str">
        <f>IFERROR(__xludf.DUMMYFUNCTION("""COMPUTED_VALUE"""),"Phụ gia màu đỏ cam")</f>
        <v>Phụ gia màu đỏ cam</v>
      </c>
      <c r="E6337" s="87"/>
      <c r="F6337" s="87"/>
      <c r="G6337" s="87"/>
    </row>
    <row r="6338">
      <c r="A6338" s="86">
        <f>IFERROR(__xludf.DUMMYFUNCTION("""COMPUTED_VALUE"""),6336.0)</f>
        <v>6336</v>
      </c>
      <c r="B6338" s="87" t="str">
        <f>IFERROR(__xludf.DUMMYFUNCTION("""COMPUTED_VALUE"""),"NL")</f>
        <v>NL</v>
      </c>
      <c r="C6338" s="87" t="str">
        <f>IFERROR(__xludf.DUMMYFUNCTION("""COMPUTED_VALUE"""),"NLT0192")</f>
        <v>NLT0192</v>
      </c>
      <c r="D6338" s="87" t="str">
        <f>IFERROR(__xludf.DUMMYFUNCTION("""COMPUTED_VALUE"""),"Fenobucarb 98%TC")</f>
        <v>Fenobucarb 98%TC</v>
      </c>
      <c r="E6338" s="87"/>
      <c r="F6338" s="87"/>
      <c r="G6338" s="87"/>
    </row>
    <row r="6339">
      <c r="A6339" s="86">
        <f>IFERROR(__xludf.DUMMYFUNCTION("""COMPUTED_VALUE"""),6337.0)</f>
        <v>6337</v>
      </c>
      <c r="B6339" s="87" t="str">
        <f>IFERROR(__xludf.DUMMYFUNCTION("""COMPUTED_VALUE"""),"NL")</f>
        <v>NL</v>
      </c>
      <c r="C6339" s="87" t="str">
        <f>IFERROR(__xludf.DUMMYFUNCTION("""COMPUTED_VALUE"""),"NLT0193")</f>
        <v>NLT0193</v>
      </c>
      <c r="D6339" s="87" t="str">
        <f>IFERROR(__xludf.DUMMYFUNCTION("""COMPUTED_VALUE"""),"Bột dolomite")</f>
        <v>Bột dolomite</v>
      </c>
      <c r="E6339" s="87"/>
      <c r="F6339" s="87"/>
      <c r="G6339" s="87"/>
    </row>
    <row r="6340">
      <c r="A6340" s="86">
        <f>IFERROR(__xludf.DUMMYFUNCTION("""COMPUTED_VALUE"""),6338.0)</f>
        <v>6338</v>
      </c>
      <c r="B6340" s="87" t="str">
        <f>IFERROR(__xludf.DUMMYFUNCTION("""COMPUTED_VALUE"""),"NL")</f>
        <v>NL</v>
      </c>
      <c r="C6340" s="87" t="str">
        <f>IFERROR(__xludf.DUMMYFUNCTION("""COMPUTED_VALUE"""),"NLT0194")</f>
        <v>NLT0194</v>
      </c>
      <c r="D6340" s="87" t="str">
        <f>IFERROR(__xludf.DUMMYFUNCTION("""COMPUTED_VALUE"""),"Monoethanolamine (MEA)")</f>
        <v>Monoethanolamine (MEA)</v>
      </c>
      <c r="E6340" s="87"/>
      <c r="F6340" s="87"/>
      <c r="G6340" s="87"/>
    </row>
    <row r="6341">
      <c r="A6341" s="86">
        <f>IFERROR(__xludf.DUMMYFUNCTION("""COMPUTED_VALUE"""),6339.0)</f>
        <v>6339</v>
      </c>
      <c r="B6341" s="87" t="str">
        <f>IFERROR(__xludf.DUMMYFUNCTION("""COMPUTED_VALUE"""),"NL")</f>
        <v>NL</v>
      </c>
      <c r="C6341" s="87" t="str">
        <f>IFERROR(__xludf.DUMMYFUNCTION("""COMPUTED_VALUE"""),"NLT0195")</f>
        <v>NLT0195</v>
      </c>
      <c r="D6341" s="87" t="str">
        <f>IFERROR(__xludf.DUMMYFUNCTION("""COMPUTED_VALUE"""),"Natri nitrophenolate")</f>
        <v>Natri nitrophenolate</v>
      </c>
      <c r="E6341" s="87"/>
      <c r="F6341" s="87"/>
      <c r="G6341" s="87"/>
    </row>
    <row r="6342">
      <c r="A6342" s="86">
        <f>IFERROR(__xludf.DUMMYFUNCTION("""COMPUTED_VALUE"""),6340.0)</f>
        <v>6340</v>
      </c>
      <c r="B6342" s="87" t="str">
        <f>IFERROR(__xludf.DUMMYFUNCTION("""COMPUTED_VALUE"""),"NL")</f>
        <v>NL</v>
      </c>
      <c r="C6342" s="87" t="str">
        <f>IFERROR(__xludf.DUMMYFUNCTION("""COMPUTED_VALUE"""),"NLT0196")</f>
        <v>NLT0196</v>
      </c>
      <c r="D6342" s="87" t="str">
        <f>IFERROR(__xludf.DUMMYFUNCTION("""COMPUTED_VALUE"""),"MgCl2")</f>
        <v>MgCl2</v>
      </c>
      <c r="E6342" s="87"/>
      <c r="F6342" s="87"/>
      <c r="G6342" s="87"/>
    </row>
    <row r="6343">
      <c r="A6343" s="86">
        <f>IFERROR(__xludf.DUMMYFUNCTION("""COMPUTED_VALUE"""),6341.0)</f>
        <v>6341</v>
      </c>
      <c r="B6343" s="87" t="str">
        <f>IFERROR(__xludf.DUMMYFUNCTION("""COMPUTED_VALUE"""),"NL")</f>
        <v>NL</v>
      </c>
      <c r="C6343" s="87" t="str">
        <f>IFERROR(__xludf.DUMMYFUNCTION("""COMPUTED_VALUE"""),"NLT0197")</f>
        <v>NLT0197</v>
      </c>
      <c r="D6343" s="87" t="str">
        <f>IFERROR(__xludf.DUMMYFUNCTION("""COMPUTED_VALUE"""),"PASSION MOD E23173239 (Hương ngọt)")</f>
        <v>PASSION MOD E23173239 (Hương ngọt)</v>
      </c>
      <c r="E6343" s="87"/>
      <c r="F6343" s="87"/>
      <c r="G6343" s="87"/>
    </row>
    <row r="6344">
      <c r="A6344" s="86">
        <f>IFERROR(__xludf.DUMMYFUNCTION("""COMPUTED_VALUE"""),6342.0)</f>
        <v>6342</v>
      </c>
      <c r="B6344" s="87" t="str">
        <f>IFERROR(__xludf.DUMMYFUNCTION("""COMPUTED_VALUE"""),"NL")</f>
        <v>NL</v>
      </c>
      <c r="C6344" s="87" t="str">
        <f>IFERROR(__xludf.DUMMYFUNCTION("""COMPUTED_VALUE"""),"NLT0198")</f>
        <v>NLT0198</v>
      </c>
      <c r="D6344" s="87" t="str">
        <f>IFERROR(__xludf.DUMMYFUNCTION("""COMPUTED_VALUE"""),"Glutamate")</f>
        <v>Glutamate</v>
      </c>
      <c r="E6344" s="87"/>
      <c r="F6344" s="87"/>
      <c r="G6344" s="87"/>
    </row>
    <row r="6345">
      <c r="A6345" s="86">
        <f>IFERROR(__xludf.DUMMYFUNCTION("""COMPUTED_VALUE"""),6343.0)</f>
        <v>6343</v>
      </c>
      <c r="B6345" s="87" t="str">
        <f>IFERROR(__xludf.DUMMYFUNCTION("""COMPUTED_VALUE"""),"NL")</f>
        <v>NL</v>
      </c>
      <c r="C6345" s="87" t="str">
        <f>IFERROR(__xludf.DUMMYFUNCTION("""COMPUTED_VALUE"""),"NLT0199")</f>
        <v>NLT0199</v>
      </c>
      <c r="D6345" s="87" t="str">
        <f>IFERROR(__xludf.DUMMYFUNCTION("""COMPUTED_VALUE"""),"Borax")</f>
        <v>Borax</v>
      </c>
      <c r="E6345" s="87"/>
      <c r="F6345" s="87"/>
      <c r="G6345" s="87"/>
    </row>
    <row r="6346">
      <c r="A6346" s="86">
        <f>IFERROR(__xludf.DUMMYFUNCTION("""COMPUTED_VALUE"""),6344.0)</f>
        <v>6344</v>
      </c>
      <c r="B6346" s="87" t="str">
        <f>IFERROR(__xludf.DUMMYFUNCTION("""COMPUTED_VALUE"""),"NL")</f>
        <v>NL</v>
      </c>
      <c r="C6346" s="87" t="str">
        <f>IFERROR(__xludf.DUMMYFUNCTION("""COMPUTED_VALUE"""),"NLT0200")</f>
        <v>NLT0200</v>
      </c>
      <c r="D6346" s="87" t="str">
        <f>IFERROR(__xludf.DUMMYFUNCTION("""COMPUTED_VALUE"""),"Hữu cơ viên")</f>
        <v>Hữu cơ viên</v>
      </c>
      <c r="E6346" s="87"/>
      <c r="F6346" s="87"/>
      <c r="G6346" s="87"/>
    </row>
    <row r="6347">
      <c r="A6347" s="86">
        <f>IFERROR(__xludf.DUMMYFUNCTION("""COMPUTED_VALUE"""),6345.0)</f>
        <v>6345</v>
      </c>
      <c r="B6347" s="87" t="str">
        <f>IFERROR(__xludf.DUMMYFUNCTION("""COMPUTED_VALUE"""),"NL")</f>
        <v>NL</v>
      </c>
      <c r="C6347" s="87" t="str">
        <f>IFERROR(__xludf.DUMMYFUNCTION("""COMPUTED_VALUE"""),"NLT0201")</f>
        <v>NLT0201</v>
      </c>
      <c r="D6347" s="87" t="str">
        <f>IFERROR(__xludf.DUMMYFUNCTION("""COMPUTED_VALUE"""),"Chlorantraniprole 95%TC")</f>
        <v>Chlorantraniprole 95%TC</v>
      </c>
      <c r="E6347" s="87"/>
      <c r="F6347" s="87"/>
      <c r="G6347" s="87"/>
    </row>
    <row r="6348">
      <c r="A6348" s="86">
        <f>IFERROR(__xludf.DUMMYFUNCTION("""COMPUTED_VALUE"""),6346.0)</f>
        <v>6346</v>
      </c>
      <c r="B6348" s="87" t="str">
        <f>IFERROR(__xludf.DUMMYFUNCTION("""COMPUTED_VALUE"""),"NL")</f>
        <v>NL</v>
      </c>
      <c r="C6348" s="87" t="str">
        <f>IFERROR(__xludf.DUMMYFUNCTION("""COMPUTED_VALUE"""),"NLT0202")</f>
        <v>NLT0202</v>
      </c>
      <c r="D6348" s="87" t="str">
        <f>IFERROR(__xludf.DUMMYFUNCTION("""COMPUTED_VALUE"""),"Lambda-cyhalothrin96%TC")</f>
        <v>Lambda-cyhalothrin96%TC</v>
      </c>
      <c r="E6348" s="87"/>
      <c r="F6348" s="87"/>
      <c r="G6348" s="87"/>
    </row>
    <row r="6349">
      <c r="A6349" s="86">
        <f>IFERROR(__xludf.DUMMYFUNCTION("""COMPUTED_VALUE"""),6347.0)</f>
        <v>6347</v>
      </c>
      <c r="B6349" s="87" t="str">
        <f>IFERROR(__xludf.DUMMYFUNCTION("""COMPUTED_VALUE"""),"NL")</f>
        <v>NL</v>
      </c>
      <c r="C6349" s="87" t="str">
        <f>IFERROR(__xludf.DUMMYFUNCTION("""COMPUTED_VALUE"""),"NLT0203")</f>
        <v>NLT0203</v>
      </c>
      <c r="D6349" s="87" t="str">
        <f>IFERROR(__xludf.DUMMYFUNCTION("""COMPUTED_VALUE"""),"Thiamethoxam 97%TC")</f>
        <v>Thiamethoxam 97%TC</v>
      </c>
      <c r="E6349" s="87"/>
      <c r="F6349" s="87"/>
      <c r="G6349" s="87"/>
    </row>
    <row r="6350">
      <c r="A6350" s="86">
        <f>IFERROR(__xludf.DUMMYFUNCTION("""COMPUTED_VALUE"""),6348.0)</f>
        <v>6348</v>
      </c>
      <c r="B6350" s="87" t="str">
        <f>IFERROR(__xludf.DUMMYFUNCTION("""COMPUTED_VALUE"""),"NL")</f>
        <v>NL</v>
      </c>
      <c r="C6350" s="87" t="str">
        <f>IFERROR(__xludf.DUMMYFUNCTION("""COMPUTED_VALUE"""),"NLT0204")</f>
        <v>NLT0204</v>
      </c>
      <c r="D6350" s="87" t="str">
        <f>IFERROR(__xludf.DUMMYFUNCTION("""COMPUTED_VALUE"""),"Sobitol bột")</f>
        <v>Sobitol bột</v>
      </c>
      <c r="E6350" s="87"/>
      <c r="F6350" s="87"/>
      <c r="G6350" s="87"/>
    </row>
    <row r="6351">
      <c r="A6351" s="86">
        <f>IFERROR(__xludf.DUMMYFUNCTION("""COMPUTED_VALUE"""),6349.0)</f>
        <v>6349</v>
      </c>
      <c r="B6351" s="87" t="str">
        <f>IFERROR(__xludf.DUMMYFUNCTION("""COMPUTED_VALUE"""),"NL")</f>
        <v>NL</v>
      </c>
      <c r="C6351" s="87" t="str">
        <f>IFERROR(__xludf.DUMMYFUNCTION("""COMPUTED_VALUE"""),"BTPR0077")</f>
        <v>BTPR0077</v>
      </c>
      <c r="D6351" s="87" t="str">
        <f>IFERROR(__xludf.DUMMYFUNCTION("""COMPUTED_VALUE"""),"Bán thành phẩm ruột Niclosamide 70WP")</f>
        <v>Bán thành phẩm ruột Niclosamide 70WP</v>
      </c>
      <c r="E6351" s="87"/>
      <c r="F6351" s="87"/>
      <c r="G6351" s="87"/>
    </row>
    <row r="6352">
      <c r="A6352" s="86">
        <f>IFERROR(__xludf.DUMMYFUNCTION("""COMPUTED_VALUE"""),6350.0)</f>
        <v>6350</v>
      </c>
      <c r="B6352" s="87" t="str">
        <f>IFERROR(__xludf.DUMMYFUNCTION("""COMPUTED_VALUE"""),"NL")</f>
        <v>NL</v>
      </c>
      <c r="C6352" s="87" t="str">
        <f>IFERROR(__xludf.DUMMYFUNCTION("""COMPUTED_VALUE"""),"NLT0205")</f>
        <v>NLT0205</v>
      </c>
      <c r="D6352" s="87" t="str">
        <f>IFERROR(__xludf.DUMMYFUNCTION("""COMPUTED_VALUE"""),"CaCO3")</f>
        <v>CaCO3</v>
      </c>
      <c r="E6352" s="87"/>
      <c r="F6352" s="87"/>
      <c r="G6352" s="87"/>
    </row>
    <row r="6353">
      <c r="A6353" s="86">
        <f>IFERROR(__xludf.DUMMYFUNCTION("""COMPUTED_VALUE"""),6351.0)</f>
        <v>6351</v>
      </c>
      <c r="B6353" s="87" t="str">
        <f>IFERROR(__xludf.DUMMYFUNCTION("""COMPUTED_VALUE"""),"NL")</f>
        <v>NL</v>
      </c>
      <c r="C6353" s="87" t="str">
        <f>IFERROR(__xludf.DUMMYFUNCTION("""COMPUTED_VALUE"""),"NLT0257")</f>
        <v>NLT0257</v>
      </c>
      <c r="D6353" s="87" t="str">
        <f>IFERROR(__xludf.DUMMYFUNCTION("""COMPUTED_VALUE"""),"Bột cao lanh")</f>
        <v>Bột cao lanh</v>
      </c>
      <c r="E6353" s="87"/>
      <c r="F6353" s="87"/>
      <c r="G6353" s="87"/>
    </row>
    <row r="6354">
      <c r="A6354" s="86">
        <f>IFERROR(__xludf.DUMMYFUNCTION("""COMPUTED_VALUE"""),6352.0)</f>
        <v>6352</v>
      </c>
      <c r="B6354" s="87" t="str">
        <f>IFERROR(__xludf.DUMMYFUNCTION("""COMPUTED_VALUE"""),"NL")</f>
        <v>NL</v>
      </c>
      <c r="C6354" s="87" t="str">
        <f>IFERROR(__xludf.DUMMYFUNCTION("""COMPUTED_VALUE"""),"NLT0207")</f>
        <v>NLT0207</v>
      </c>
      <c r="D6354" s="87" t="str">
        <f>IFERROR(__xludf.DUMMYFUNCTION("""COMPUTED_VALUE"""),"Sunfua 99% (Lưu huỳnh)")</f>
        <v>Sunfua 99% (Lưu huỳnh)</v>
      </c>
      <c r="E6354" s="87"/>
      <c r="F6354" s="87"/>
      <c r="G6354" s="87"/>
    </row>
    <row r="6355">
      <c r="A6355" s="86">
        <f>IFERROR(__xludf.DUMMYFUNCTION("""COMPUTED_VALUE"""),6353.0)</f>
        <v>6353</v>
      </c>
      <c r="B6355" s="87" t="str">
        <f>IFERROR(__xludf.DUMMYFUNCTION("""COMPUTED_VALUE"""),"NL")</f>
        <v>NL</v>
      </c>
      <c r="C6355" s="87" t="str">
        <f>IFERROR(__xludf.DUMMYFUNCTION("""COMPUTED_VALUE"""),"NLT0208")</f>
        <v>NLT0208</v>
      </c>
      <c r="D6355" s="87" t="str">
        <f>IFERROR(__xludf.DUMMYFUNCTION("""COMPUTED_VALUE"""),"Oxytetracyline 96% TC")</f>
        <v>Oxytetracyline 96% TC</v>
      </c>
      <c r="E6355" s="87"/>
      <c r="F6355" s="87"/>
      <c r="G6355" s="87"/>
    </row>
    <row r="6356">
      <c r="A6356" s="86">
        <f>IFERROR(__xludf.DUMMYFUNCTION("""COMPUTED_VALUE"""),6354.0)</f>
        <v>6354</v>
      </c>
      <c r="B6356" s="87" t="str">
        <f>IFERROR(__xludf.DUMMYFUNCTION("""COMPUTED_VALUE"""),"NL")</f>
        <v>NL</v>
      </c>
      <c r="C6356" s="87" t="str">
        <f>IFERROR(__xludf.DUMMYFUNCTION("""COMPUTED_VALUE"""),"NLT0209")</f>
        <v>NLT0209</v>
      </c>
      <c r="D6356" s="87" t="str">
        <f>IFERROR(__xludf.DUMMYFUNCTION("""COMPUTED_VALUE"""),"MAP ( HQ )")</f>
        <v>MAP ( HQ )</v>
      </c>
      <c r="E6356" s="87"/>
      <c r="F6356" s="87"/>
      <c r="G6356" s="87"/>
    </row>
    <row r="6357">
      <c r="A6357" s="86">
        <f>IFERROR(__xludf.DUMMYFUNCTION("""COMPUTED_VALUE"""),6355.0)</f>
        <v>6355</v>
      </c>
      <c r="B6357" s="87" t="str">
        <f>IFERROR(__xludf.DUMMYFUNCTION("""COMPUTED_VALUE"""),"NL")</f>
        <v>NL</v>
      </c>
      <c r="C6357" s="87" t="str">
        <f>IFERROR(__xludf.DUMMYFUNCTION("""COMPUTED_VALUE"""),"NLT0210")</f>
        <v>NLT0210</v>
      </c>
      <c r="D6357" s="87" t="str">
        <f>IFERROR(__xludf.DUMMYFUNCTION("""COMPUTED_VALUE"""),"Yara Mila (Tristar)")</f>
        <v>Yara Mila (Tristar)</v>
      </c>
      <c r="E6357" s="87"/>
      <c r="F6357" s="87"/>
      <c r="G6357" s="87"/>
    </row>
    <row r="6358">
      <c r="A6358" s="86">
        <f>IFERROR(__xludf.DUMMYFUNCTION("""COMPUTED_VALUE"""),6356.0)</f>
        <v>6356</v>
      </c>
      <c r="B6358" s="87" t="str">
        <f>IFERROR(__xludf.DUMMYFUNCTION("""COMPUTED_VALUE"""),"NL")</f>
        <v>NL</v>
      </c>
      <c r="C6358" s="87" t="str">
        <f>IFERROR(__xludf.DUMMYFUNCTION("""COMPUTED_VALUE"""),"NLT0211")</f>
        <v>NLT0211</v>
      </c>
      <c r="D6358" s="87" t="str">
        <f>IFERROR(__xludf.DUMMYFUNCTION("""COMPUTED_VALUE"""),"Green LemonGrass (Hương xả)")</f>
        <v>Green LemonGrass (Hương xả)</v>
      </c>
      <c r="E6358" s="87"/>
      <c r="F6358" s="87"/>
      <c r="G6358" s="87"/>
    </row>
    <row r="6359">
      <c r="A6359" s="86">
        <f>IFERROR(__xludf.DUMMYFUNCTION("""COMPUTED_VALUE"""),6357.0)</f>
        <v>6357</v>
      </c>
      <c r="B6359" s="87" t="str">
        <f>IFERROR(__xludf.DUMMYFUNCTION("""COMPUTED_VALUE"""),"NL")</f>
        <v>NL</v>
      </c>
      <c r="C6359" s="87" t="str">
        <f>IFERROR(__xludf.DUMMYFUNCTION("""COMPUTED_VALUE"""),"NLT0212")</f>
        <v>NLT0212</v>
      </c>
      <c r="D6359" s="87" t="str">
        <f>IFERROR(__xludf.DUMMYFUNCTION("""COMPUTED_VALUE"""),"Methyl blue")</f>
        <v>Methyl blue</v>
      </c>
      <c r="E6359" s="87"/>
      <c r="F6359" s="87"/>
      <c r="G6359" s="87"/>
    </row>
    <row r="6360">
      <c r="A6360" s="86">
        <f>IFERROR(__xludf.DUMMYFUNCTION("""COMPUTED_VALUE"""),6358.0)</f>
        <v>6358</v>
      </c>
      <c r="B6360" s="87" t="str">
        <f>IFERROR(__xludf.DUMMYFUNCTION("""COMPUTED_VALUE"""),"NL")</f>
        <v>NL</v>
      </c>
      <c r="C6360" s="87" t="str">
        <f>IFERROR(__xludf.DUMMYFUNCTION("""COMPUTED_VALUE"""),"NLT0213")</f>
        <v>NLT0213</v>
      </c>
      <c r="D6360" s="87" t="str">
        <f>IFERROR(__xludf.DUMMYFUNCTION("""COMPUTED_VALUE"""),"Dung môi A200")</f>
        <v>Dung môi A200</v>
      </c>
      <c r="E6360" s="87"/>
      <c r="F6360" s="87"/>
      <c r="G6360" s="87"/>
    </row>
    <row r="6361">
      <c r="A6361" s="86">
        <f>IFERROR(__xludf.DUMMYFUNCTION("""COMPUTED_VALUE"""),6359.0)</f>
        <v>6359</v>
      </c>
      <c r="B6361" s="87" t="str">
        <f>IFERROR(__xludf.DUMMYFUNCTION("""COMPUTED_VALUE"""),"NL")</f>
        <v>NL</v>
      </c>
      <c r="C6361" s="87" t="str">
        <f>IFERROR(__xludf.DUMMYFUNCTION("""COMPUTED_VALUE"""),"NLT0214")</f>
        <v>NLT0214</v>
      </c>
      <c r="D6361" s="87" t="str">
        <f>IFERROR(__xludf.DUMMYFUNCTION("""COMPUTED_VALUE"""),"Permethrin 94%TC")</f>
        <v>Permethrin 94%TC</v>
      </c>
      <c r="E6361" s="87"/>
      <c r="F6361" s="87"/>
      <c r="G6361" s="87"/>
    </row>
    <row r="6362">
      <c r="A6362" s="86">
        <f>IFERROR(__xludf.DUMMYFUNCTION("""COMPUTED_VALUE"""),6360.0)</f>
        <v>6360</v>
      </c>
      <c r="B6362" s="87" t="str">
        <f>IFERROR(__xludf.DUMMYFUNCTION("""COMPUTED_VALUE"""),"NL")</f>
        <v>NL</v>
      </c>
      <c r="C6362" s="87" t="str">
        <f>IFERROR(__xludf.DUMMYFUNCTION("""COMPUTED_VALUE"""),"NLT0215")</f>
        <v>NLT0215</v>
      </c>
      <c r="D6362" s="87" t="str">
        <f>IFERROR(__xludf.DUMMYFUNCTION("""COMPUTED_VALUE"""),"APLUMUL-L")</f>
        <v>APLUMUL-L</v>
      </c>
      <c r="E6362" s="87"/>
      <c r="F6362" s="87"/>
      <c r="G6362" s="87"/>
    </row>
    <row r="6363">
      <c r="A6363" s="86">
        <f>IFERROR(__xludf.DUMMYFUNCTION("""COMPUTED_VALUE"""),6361.0)</f>
        <v>6361</v>
      </c>
      <c r="B6363" s="87" t="str">
        <f>IFERROR(__xludf.DUMMYFUNCTION("""COMPUTED_VALUE"""),"NL")</f>
        <v>NL</v>
      </c>
      <c r="C6363" s="87" t="str">
        <f>IFERROR(__xludf.DUMMYFUNCTION("""COMPUTED_VALUE"""),"NLT0216")</f>
        <v>NLT0216</v>
      </c>
      <c r="D6363" s="87" t="str">
        <f>IFERROR(__xludf.DUMMYFUNCTION("""COMPUTED_VALUE"""),"METALDEHYDE 99% TECH")</f>
        <v>METALDEHYDE 99% TECH</v>
      </c>
      <c r="E6363" s="87"/>
      <c r="F6363" s="87"/>
      <c r="G6363" s="87"/>
    </row>
    <row r="6364">
      <c r="A6364" s="86">
        <f>IFERROR(__xludf.DUMMYFUNCTION("""COMPUTED_VALUE"""),6362.0)</f>
        <v>6362</v>
      </c>
      <c r="B6364" s="87" t="str">
        <f>IFERROR(__xludf.DUMMYFUNCTION("""COMPUTED_VALUE"""),"NL")</f>
        <v>NL</v>
      </c>
      <c r="C6364" s="87" t="str">
        <f>IFERROR(__xludf.DUMMYFUNCTION("""COMPUTED_VALUE"""),"NLT0217")</f>
        <v>NLT0217</v>
      </c>
      <c r="D6364" s="87" t="str">
        <f>IFERROR(__xludf.DUMMYFUNCTION("""COMPUTED_VALUE"""),"Propineb 70 WP")</f>
        <v>Propineb 70 WP</v>
      </c>
      <c r="E6364" s="87"/>
      <c r="F6364" s="87"/>
      <c r="G6364" s="87"/>
    </row>
    <row r="6365">
      <c r="A6365" s="86">
        <f>IFERROR(__xludf.DUMMYFUNCTION("""COMPUTED_VALUE"""),6363.0)</f>
        <v>6363</v>
      </c>
      <c r="B6365" s="87" t="str">
        <f>IFERROR(__xludf.DUMMYFUNCTION("""COMPUTED_VALUE"""),"NL")</f>
        <v>NL</v>
      </c>
      <c r="C6365" s="87" t="str">
        <f>IFERROR(__xludf.DUMMYFUNCTION("""COMPUTED_VALUE"""),"NLT0218")</f>
        <v>NLT0218</v>
      </c>
      <c r="D6365" s="87" t="str">
        <f>IFERROR(__xludf.DUMMYFUNCTION("""COMPUTED_VALUE"""),"NICLOSAMIDE OLAMINE 98%TC")</f>
        <v>NICLOSAMIDE OLAMINE 98%TC</v>
      </c>
      <c r="E6365" s="87"/>
      <c r="F6365" s="87"/>
      <c r="G6365" s="87"/>
    </row>
    <row r="6366">
      <c r="A6366" s="86">
        <f>IFERROR(__xludf.DUMMYFUNCTION("""COMPUTED_VALUE"""),6364.0)</f>
        <v>6364</v>
      </c>
      <c r="B6366" s="87" t="str">
        <f>IFERROR(__xludf.DUMMYFUNCTION("""COMPUTED_VALUE"""),"NL")</f>
        <v>NL</v>
      </c>
      <c r="C6366" s="87" t="str">
        <f>IFERROR(__xludf.DUMMYFUNCTION("""COMPUTED_VALUE"""),"BTPR0061")</f>
        <v>BTPR0061</v>
      </c>
      <c r="D6366" s="87" t="str">
        <f>IFERROR(__xludf.DUMMYFUNCTION("""COMPUTED_VALUE"""),"Bán thành phẩm ruột Asupergras 200SL ( V2 - Chuẩn màu vàng trà)")</f>
        <v>Bán thành phẩm ruột Asupergras 200SL ( V2 - Chuẩn màu vàng trà)</v>
      </c>
      <c r="E6366" s="87"/>
      <c r="F6366" s="87"/>
      <c r="G6366" s="87"/>
    </row>
    <row r="6367">
      <c r="A6367" s="86">
        <f>IFERROR(__xludf.DUMMYFUNCTION("""COMPUTED_VALUE"""),6365.0)</f>
        <v>6365</v>
      </c>
      <c r="B6367" s="87" t="str">
        <f>IFERROR(__xludf.DUMMYFUNCTION("""COMPUTED_VALUE"""),"NL")</f>
        <v>NL</v>
      </c>
      <c r="C6367" s="87" t="str">
        <f>IFERROR(__xludf.DUMMYFUNCTION("""COMPUTED_VALUE"""),"BTPR0075")</f>
        <v>BTPR0075</v>
      </c>
      <c r="D6367" s="87" t="str">
        <f>IFERROR(__xludf.DUMMYFUNCTION("""COMPUTED_VALUE"""),"Bán thành phẩm ruột Asupergras 200SL ( V2 - Tím xanh)")</f>
        <v>Bán thành phẩm ruột Asupergras 200SL ( V2 - Tím xanh)</v>
      </c>
      <c r="E6367" s="87"/>
      <c r="F6367" s="87"/>
      <c r="G6367" s="87"/>
    </row>
    <row r="6368">
      <c r="A6368" s="86">
        <f>IFERROR(__xludf.DUMMYFUNCTION("""COMPUTED_VALUE"""),6366.0)</f>
        <v>6366</v>
      </c>
      <c r="B6368" s="87" t="str">
        <f>IFERROR(__xludf.DUMMYFUNCTION("""COMPUTED_VALUE"""),"NL")</f>
        <v>NL</v>
      </c>
      <c r="C6368" s="87" t="str">
        <f>IFERROR(__xludf.DUMMYFUNCTION("""COMPUTED_VALUE"""),"BTPR0056")</f>
        <v>BTPR0056</v>
      </c>
      <c r="D6368" s="87" t="str">
        <f>IFERROR(__xludf.DUMMYFUNCTION("""COMPUTED_VALUE"""),"Bán thành phẩm ruột NEWFOSINATE 150SL ( V2 - Nước đỏ)")</f>
        <v>Bán thành phẩm ruột NEWFOSINATE 150SL ( V2 - Nước đỏ)</v>
      </c>
      <c r="E6368" s="87"/>
      <c r="F6368" s="87"/>
      <c r="G6368" s="87"/>
    </row>
    <row r="6369">
      <c r="A6369" s="86">
        <f>IFERROR(__xludf.DUMMYFUNCTION("""COMPUTED_VALUE"""),6367.0)</f>
        <v>6367</v>
      </c>
      <c r="B6369" s="87" t="str">
        <f>IFERROR(__xludf.DUMMYFUNCTION("""COMPUTED_VALUE"""),"NL")</f>
        <v>NL</v>
      </c>
      <c r="C6369" s="87" t="str">
        <f>IFERROR(__xludf.DUMMYFUNCTION("""COMPUTED_VALUE"""),"BTPR0059")</f>
        <v>BTPR0059</v>
      </c>
      <c r="D6369" s="87" t="str">
        <f>IFERROR(__xludf.DUMMYFUNCTION("""COMPUTED_VALUE"""),"Bán thành phẩm ruột NEWFOSINATE 150SL (V2 - Nước tím)")</f>
        <v>Bán thành phẩm ruột NEWFOSINATE 150SL (V2 - Nước tím)</v>
      </c>
      <c r="E6369" s="87"/>
      <c r="F6369" s="87"/>
      <c r="G6369" s="87"/>
    </row>
    <row r="6370">
      <c r="A6370" s="86">
        <f>IFERROR(__xludf.DUMMYFUNCTION("""COMPUTED_VALUE"""),6368.0)</f>
        <v>6368</v>
      </c>
      <c r="B6370" s="87" t="str">
        <f>IFERROR(__xludf.DUMMYFUNCTION("""COMPUTED_VALUE"""),"NL")</f>
        <v>NL</v>
      </c>
      <c r="C6370" s="87" t="str">
        <f>IFERROR(__xludf.DUMMYFUNCTION("""COMPUTED_VALUE"""),"NLT0219")</f>
        <v>NLT0219</v>
      </c>
      <c r="D6370" s="87" t="str">
        <f>IFERROR(__xludf.DUMMYFUNCTION("""COMPUTED_VALUE"""),"Azoxystrobin 98%TC")</f>
        <v>Azoxystrobin 98%TC</v>
      </c>
      <c r="E6370" s="87"/>
      <c r="F6370" s="87"/>
      <c r="G6370" s="87"/>
    </row>
    <row r="6371">
      <c r="A6371" s="86">
        <f>IFERROR(__xludf.DUMMYFUNCTION("""COMPUTED_VALUE"""),6369.0)</f>
        <v>6369</v>
      </c>
      <c r="B6371" s="87" t="str">
        <f>IFERROR(__xludf.DUMMYFUNCTION("""COMPUTED_VALUE"""),"NL")</f>
        <v>NL</v>
      </c>
      <c r="C6371" s="87" t="str">
        <f>IFERROR(__xludf.DUMMYFUNCTION("""COMPUTED_VALUE"""),"NLT0220")</f>
        <v>NLT0220</v>
      </c>
      <c r="D6371" s="87" t="str">
        <f>IFERROR(__xludf.DUMMYFUNCTION("""COMPUTED_VALUE"""),"Polyvinyl pyrrolidone (PVA)")</f>
        <v>Polyvinyl pyrrolidone (PVA)</v>
      </c>
      <c r="E6371" s="87"/>
      <c r="F6371" s="87"/>
      <c r="G6371" s="87"/>
    </row>
    <row r="6372">
      <c r="A6372" s="86">
        <f>IFERROR(__xludf.DUMMYFUNCTION("""COMPUTED_VALUE"""),6370.0)</f>
        <v>6370</v>
      </c>
      <c r="B6372" s="87" t="str">
        <f>IFERROR(__xludf.DUMMYFUNCTION("""COMPUTED_VALUE"""),"NL")</f>
        <v>NL</v>
      </c>
      <c r="C6372" s="87" t="str">
        <f>IFERROR(__xludf.DUMMYFUNCTION("""COMPUTED_VALUE"""),"NLT0221")</f>
        <v>NLT0221</v>
      </c>
      <c r="D6372" s="87" t="str">
        <f>IFERROR(__xludf.DUMMYFUNCTION("""COMPUTED_VALUE"""),"Polyvinyl pyrrolidone (PVP)")</f>
        <v>Polyvinyl pyrrolidone (PVP)</v>
      </c>
      <c r="E6372" s="87"/>
      <c r="F6372" s="87"/>
      <c r="G6372" s="87"/>
    </row>
    <row r="6373">
      <c r="A6373" s="86">
        <f>IFERROR(__xludf.DUMMYFUNCTION("""COMPUTED_VALUE"""),6371.0)</f>
        <v>6371</v>
      </c>
      <c r="B6373" s="87" t="str">
        <f>IFERROR(__xludf.DUMMYFUNCTION("""COMPUTED_VALUE"""),"NL")</f>
        <v>NL</v>
      </c>
      <c r="C6373" s="87" t="str">
        <f>IFERROR(__xludf.DUMMYFUNCTION("""COMPUTED_VALUE"""),"NLT0222")</f>
        <v>NLT0222</v>
      </c>
      <c r="D6373" s="87" t="str">
        <f>IFERROR(__xludf.DUMMYFUNCTION("""COMPUTED_VALUE"""),"CARTAP HYDROCHLORIDE 98%TC")</f>
        <v>CARTAP HYDROCHLORIDE 98%TC</v>
      </c>
      <c r="E6373" s="87"/>
      <c r="F6373" s="87"/>
      <c r="G6373" s="87"/>
    </row>
    <row r="6374">
      <c r="A6374" s="86">
        <f>IFERROR(__xludf.DUMMYFUNCTION("""COMPUTED_VALUE"""),6372.0)</f>
        <v>6372</v>
      </c>
      <c r="B6374" s="87" t="str">
        <f>IFERROR(__xludf.DUMMYFUNCTION("""COMPUTED_VALUE"""),"NL")</f>
        <v>NL</v>
      </c>
      <c r="C6374" s="87" t="str">
        <f>IFERROR(__xludf.DUMMYFUNCTION("""COMPUTED_VALUE"""),"NLT0223")</f>
        <v>NLT0223</v>
      </c>
      <c r="D6374" s="87" t="str">
        <f>IFERROR(__xludf.DUMMYFUNCTION("""COMPUTED_VALUE"""),"Glufosinate Ammonium 95% (Hàm lượng thực tế 97%)")</f>
        <v>Glufosinate Ammonium 95% (Hàm lượng thực tế 97%)</v>
      </c>
      <c r="E6374" s="87"/>
      <c r="F6374" s="87"/>
      <c r="G6374" s="87"/>
    </row>
    <row r="6375">
      <c r="A6375" s="86">
        <f>IFERROR(__xludf.DUMMYFUNCTION("""COMPUTED_VALUE"""),6373.0)</f>
        <v>6373</v>
      </c>
      <c r="B6375" s="87" t="str">
        <f>IFERROR(__xludf.DUMMYFUNCTION("""COMPUTED_VALUE"""),"NL")</f>
        <v>NL</v>
      </c>
      <c r="C6375" s="87" t="str">
        <f>IFERROR(__xludf.DUMMYFUNCTION("""COMPUTED_VALUE"""),"NLT0224")</f>
        <v>NLT0224</v>
      </c>
      <c r="D6375" s="87" t="str">
        <f>IFERROR(__xludf.DUMMYFUNCTION("""COMPUTED_VALUE"""),"Acetamiprid 97%TC")</f>
        <v>Acetamiprid 97%TC</v>
      </c>
      <c r="E6375" s="87"/>
      <c r="F6375" s="87"/>
      <c r="G6375" s="87"/>
    </row>
    <row r="6376">
      <c r="A6376" s="86">
        <f>IFERROR(__xludf.DUMMYFUNCTION("""COMPUTED_VALUE"""),6374.0)</f>
        <v>6374</v>
      </c>
      <c r="B6376" s="87" t="str">
        <f>IFERROR(__xludf.DUMMYFUNCTION("""COMPUTED_VALUE"""),"NL")</f>
        <v>NL</v>
      </c>
      <c r="C6376" s="87" t="str">
        <f>IFERROR(__xludf.DUMMYFUNCTION("""COMPUTED_VALUE"""),"NLT0226")</f>
        <v>NLT0226</v>
      </c>
      <c r="D6376" s="87" t="str">
        <f>IFERROR(__xludf.DUMMYFUNCTION("""COMPUTED_VALUE"""),"Pymetrozine 97%TC")</f>
        <v>Pymetrozine 97%TC</v>
      </c>
      <c r="E6376" s="87"/>
      <c r="F6376" s="87"/>
      <c r="G6376" s="87"/>
    </row>
    <row r="6377">
      <c r="A6377" s="86">
        <f>IFERROR(__xludf.DUMMYFUNCTION("""COMPUTED_VALUE"""),6375.0)</f>
        <v>6375</v>
      </c>
      <c r="B6377" s="87" t="str">
        <f>IFERROR(__xludf.DUMMYFUNCTION("""COMPUTED_VALUE"""),"NL")</f>
        <v>NL</v>
      </c>
      <c r="C6377" s="87" t="str">
        <f>IFERROR(__xludf.DUMMYFUNCTION("""COMPUTED_VALUE"""),"NLT0227")</f>
        <v>NLT0227</v>
      </c>
      <c r="D6377" s="87" t="str">
        <f>IFERROR(__xludf.DUMMYFUNCTION("""COMPUTED_VALUE"""),"Bismerthiazol 95%TC")</f>
        <v>Bismerthiazol 95%TC</v>
      </c>
      <c r="E6377" s="87"/>
      <c r="F6377" s="87"/>
      <c r="G6377" s="87"/>
    </row>
    <row r="6378">
      <c r="A6378" s="86">
        <f>IFERROR(__xludf.DUMMYFUNCTION("""COMPUTED_VALUE"""),6376.0)</f>
        <v>6376</v>
      </c>
      <c r="B6378" s="87" t="str">
        <f>IFERROR(__xludf.DUMMYFUNCTION("""COMPUTED_VALUE"""),"NL")</f>
        <v>NL</v>
      </c>
      <c r="C6378" s="87" t="str">
        <f>IFERROR(__xludf.DUMMYFUNCTION("""COMPUTED_VALUE"""),"NLT0228")</f>
        <v>NLT0228</v>
      </c>
      <c r="D6378" s="87" t="str">
        <f>IFERROR(__xludf.DUMMYFUNCTION("""COMPUTED_VALUE"""),"Dinotefuran 98%TC")</f>
        <v>Dinotefuran 98%TC</v>
      </c>
      <c r="E6378" s="87"/>
      <c r="F6378" s="87"/>
      <c r="G6378" s="87"/>
    </row>
    <row r="6379">
      <c r="A6379" s="86">
        <f>IFERROR(__xludf.DUMMYFUNCTION("""COMPUTED_VALUE"""),6377.0)</f>
        <v>6377</v>
      </c>
      <c r="B6379" s="87" t="str">
        <f>IFERROR(__xludf.DUMMYFUNCTION("""COMPUTED_VALUE"""),"NL")</f>
        <v>NL</v>
      </c>
      <c r="C6379" s="87" t="str">
        <f>IFERROR(__xludf.DUMMYFUNCTION("""COMPUTED_VALUE"""),"NLT0229")</f>
        <v>NLT0229</v>
      </c>
      <c r="D6379" s="87" t="str">
        <f>IFERROR(__xludf.DUMMYFUNCTION("""COMPUTED_VALUE"""),"Isoprothiolane 97% TC")</f>
        <v>Isoprothiolane 97% TC</v>
      </c>
      <c r="E6379" s="87"/>
      <c r="F6379" s="87"/>
      <c r="G6379" s="87"/>
    </row>
    <row r="6380">
      <c r="A6380" s="86">
        <f>IFERROR(__xludf.DUMMYFUNCTION("""COMPUTED_VALUE"""),6378.0)</f>
        <v>6378</v>
      </c>
      <c r="B6380" s="87" t="str">
        <f>IFERROR(__xludf.DUMMYFUNCTION("""COMPUTED_VALUE"""),"NL")</f>
        <v>NL</v>
      </c>
      <c r="C6380" s="87" t="str">
        <f>IFERROR(__xludf.DUMMYFUNCTION("""COMPUTED_VALUE"""),"NLT0230")</f>
        <v>NLT0230</v>
      </c>
      <c r="D6380" s="87" t="str">
        <f>IFERROR(__xludf.DUMMYFUNCTION("""COMPUTED_VALUE"""),"Thiosultap Sodium 95WP")</f>
        <v>Thiosultap Sodium 95WP</v>
      </c>
      <c r="E6380" s="87"/>
      <c r="F6380" s="87"/>
      <c r="G6380" s="87"/>
    </row>
    <row r="6381">
      <c r="A6381" s="86">
        <f>IFERROR(__xludf.DUMMYFUNCTION("""COMPUTED_VALUE"""),6379.0)</f>
        <v>6379</v>
      </c>
      <c r="B6381" s="87" t="str">
        <f>IFERROR(__xludf.DUMMYFUNCTION("""COMPUTED_VALUE"""),"NL")</f>
        <v>NL</v>
      </c>
      <c r="C6381" s="87" t="str">
        <f>IFERROR(__xludf.DUMMYFUNCTION("""COMPUTED_VALUE"""),"NLT0231")</f>
        <v>NLT0231</v>
      </c>
      <c r="D6381" s="87" t="str">
        <f>IFERROR(__xludf.DUMMYFUNCTION("""COMPUTED_VALUE"""),"Matrine 98%TC")</f>
        <v>Matrine 98%TC</v>
      </c>
      <c r="E6381" s="87"/>
      <c r="F6381" s="87"/>
      <c r="G6381" s="87"/>
    </row>
    <row r="6382">
      <c r="A6382" s="86">
        <f>IFERROR(__xludf.DUMMYFUNCTION("""COMPUTED_VALUE"""),6380.0)</f>
        <v>6380</v>
      </c>
      <c r="B6382" s="87" t="str">
        <f>IFERROR(__xludf.DUMMYFUNCTION("""COMPUTED_VALUE"""),"NL")</f>
        <v>NL</v>
      </c>
      <c r="C6382" s="87" t="str">
        <f>IFERROR(__xludf.DUMMYFUNCTION("""COMPUTED_VALUE"""),"BTPR0011")</f>
        <v>BTPR0011</v>
      </c>
      <c r="D6382" s="87" t="str">
        <f>IFERROR(__xludf.DUMMYFUNCTION("""COMPUTED_VALUE"""),"Mancozeb 80WP vàng")</f>
        <v>Mancozeb 80WP vàng</v>
      </c>
      <c r="E6382" s="87"/>
      <c r="F6382" s="87"/>
      <c r="G6382" s="87"/>
    </row>
    <row r="6383">
      <c r="A6383" s="86">
        <f>IFERROR(__xludf.DUMMYFUNCTION("""COMPUTED_VALUE"""),6381.0)</f>
        <v>6381</v>
      </c>
      <c r="B6383" s="87" t="str">
        <f>IFERROR(__xludf.DUMMYFUNCTION("""COMPUTED_VALUE"""),"NL")</f>
        <v>NL</v>
      </c>
      <c r="C6383" s="87" t="str">
        <f>IFERROR(__xludf.DUMMYFUNCTION("""COMPUTED_VALUE"""),"BTPR0080")</f>
        <v>BTPR0080</v>
      </c>
      <c r="D6383" s="87" t="str">
        <f>IFERROR(__xludf.DUMMYFUNCTION("""COMPUTED_VALUE"""),"Phân bón hữu cơ lỏng Ý NK 27%")</f>
        <v>Phân bón hữu cơ lỏng Ý NK 27%</v>
      </c>
      <c r="E6383" s="87"/>
      <c r="F6383" s="87"/>
      <c r="G6383" s="87"/>
    </row>
    <row r="6384">
      <c r="A6384" s="86">
        <f>IFERROR(__xludf.DUMMYFUNCTION("""COMPUTED_VALUE"""),6382.0)</f>
        <v>6382</v>
      </c>
      <c r="B6384" s="87" t="str">
        <f>IFERROR(__xludf.DUMMYFUNCTION("""COMPUTED_VALUE"""),"NL")</f>
        <v>NL</v>
      </c>
      <c r="C6384" s="87" t="str">
        <f>IFERROR(__xludf.DUMMYFUNCTION("""COMPUTED_VALUE"""),"BTPR0081")</f>
        <v>BTPR0081</v>
      </c>
      <c r="D6384" s="87" t="str">
        <f>IFERROR(__xludf.DUMMYFUNCTION("""COMPUTED_VALUE"""),"Phân bón hữu cơ lỏng Ý NK 20%")</f>
        <v>Phân bón hữu cơ lỏng Ý NK 20%</v>
      </c>
      <c r="E6384" s="87"/>
      <c r="F6384" s="87"/>
      <c r="G6384" s="87"/>
    </row>
    <row r="6385">
      <c r="A6385" s="86">
        <f>IFERROR(__xludf.DUMMYFUNCTION("""COMPUTED_VALUE"""),6383.0)</f>
        <v>6383</v>
      </c>
      <c r="B6385" s="87" t="str">
        <f>IFERROR(__xludf.DUMMYFUNCTION("""COMPUTED_VALUE"""),"NL")</f>
        <v>NL</v>
      </c>
      <c r="C6385" s="87" t="str">
        <f>IFERROR(__xludf.DUMMYFUNCTION("""COMPUTED_VALUE"""),"NLT0232")</f>
        <v>NLT0232</v>
      </c>
      <c r="D6385" s="87" t="str">
        <f>IFERROR(__xludf.DUMMYFUNCTION("""COMPUTED_VALUE"""),"Profenofos  95% TC")</f>
        <v>Profenofos  95% TC</v>
      </c>
      <c r="E6385" s="87"/>
      <c r="F6385" s="87"/>
      <c r="G6385" s="87"/>
    </row>
    <row r="6386">
      <c r="A6386" s="86">
        <f>IFERROR(__xludf.DUMMYFUNCTION("""COMPUTED_VALUE"""),6384.0)</f>
        <v>6384</v>
      </c>
      <c r="B6386" s="87" t="str">
        <f>IFERROR(__xludf.DUMMYFUNCTION("""COMPUTED_VALUE"""),"NL")</f>
        <v>NL</v>
      </c>
      <c r="C6386" s="87" t="str">
        <f>IFERROR(__xludf.DUMMYFUNCTION("""COMPUTED_VALUE"""),"NLT0233")</f>
        <v>NLT0233</v>
      </c>
      <c r="D6386" s="87" t="str">
        <f>IFERROR(__xludf.DUMMYFUNCTION("""COMPUTED_VALUE"""),"Dầu nành tường An")</f>
        <v>Dầu nành tường An</v>
      </c>
      <c r="E6386" s="87"/>
      <c r="F6386" s="87"/>
      <c r="G6386" s="87"/>
    </row>
    <row r="6387">
      <c r="A6387" s="86">
        <f>IFERROR(__xludf.DUMMYFUNCTION("""COMPUTED_VALUE"""),6385.0)</f>
        <v>6385</v>
      </c>
      <c r="B6387" s="87" t="str">
        <f>IFERROR(__xludf.DUMMYFUNCTION("""COMPUTED_VALUE"""),"NL")</f>
        <v>NL</v>
      </c>
      <c r="C6387" s="87" t="str">
        <f>IFERROR(__xludf.DUMMYFUNCTION("""COMPUTED_VALUE"""),"NLT0225")</f>
        <v>NLT0225</v>
      </c>
      <c r="D6387" s="87" t="str">
        <f>IFERROR(__xludf.DUMMYFUNCTION("""COMPUTED_VALUE"""),"K-humate dạng miễng (KH3)")</f>
        <v>K-humate dạng miễng (KH3)</v>
      </c>
      <c r="E6387" s="87"/>
      <c r="F6387" s="87"/>
      <c r="G6387" s="87"/>
    </row>
    <row r="6388">
      <c r="A6388" s="86">
        <f>IFERROR(__xludf.DUMMYFUNCTION("""COMPUTED_VALUE"""),6386.0)</f>
        <v>6386</v>
      </c>
      <c r="B6388" s="87" t="str">
        <f>IFERROR(__xludf.DUMMYFUNCTION("""COMPUTED_VALUE"""),"NL")</f>
        <v>NL</v>
      </c>
      <c r="C6388" s="87" t="str">
        <f>IFERROR(__xludf.DUMMYFUNCTION("""COMPUTED_VALUE"""),"BTPR0090")</f>
        <v>BTPR0090</v>
      </c>
      <c r="D6388" s="87" t="str">
        <f>IFERROR(__xludf.DUMMYFUNCTION("""COMPUTED_VALUE"""),"Bán thành phẩm ruột NOMIDA 700g/kg")</f>
        <v>Bán thành phẩm ruột NOMIDA 700g/kg</v>
      </c>
      <c r="E6388" s="87"/>
      <c r="F6388" s="87"/>
      <c r="G6388" s="87"/>
    </row>
    <row r="6389">
      <c r="A6389" s="86">
        <f>IFERROR(__xludf.DUMMYFUNCTION("""COMPUTED_VALUE"""),6387.0)</f>
        <v>6387</v>
      </c>
      <c r="B6389" s="87" t="str">
        <f>IFERROR(__xludf.DUMMYFUNCTION("""COMPUTED_VALUE"""),"NL")</f>
        <v>NL</v>
      </c>
      <c r="C6389" s="87" t="str">
        <f>IFERROR(__xludf.DUMMYFUNCTION("""COMPUTED_VALUE"""),"NLT0243")</f>
        <v>NLT0243</v>
      </c>
      <c r="D6389" s="87" t="str">
        <f>IFERROR(__xludf.DUMMYFUNCTION("""COMPUTED_VALUE"""),"Nguyên liệu Đạm cá thuỷ phân (của Basel)")</f>
        <v>Nguyên liệu Đạm cá thuỷ phân (của Basel)</v>
      </c>
      <c r="E6389" s="87"/>
      <c r="F6389" s="87"/>
      <c r="G6389" s="87"/>
    </row>
    <row r="6390">
      <c r="A6390" s="86">
        <f>IFERROR(__xludf.DUMMYFUNCTION("""COMPUTED_VALUE"""),6388.0)</f>
        <v>6388</v>
      </c>
      <c r="B6390" s="87" t="str">
        <f>IFERROR(__xludf.DUMMYFUNCTION("""COMPUTED_VALUE"""),"NL")</f>
        <v>NL</v>
      </c>
      <c r="C6390" s="87" t="str">
        <f>IFERROR(__xludf.DUMMYFUNCTION("""COMPUTED_VALUE"""),"NLT0244")</f>
        <v>NLT0244</v>
      </c>
      <c r="D6390" s="87" t="str">
        <f>IFERROR(__xludf.DUMMYFUNCTION("""COMPUTED_VALUE"""),"Methyl blue (cas 28983-56-4)")</f>
        <v>Methyl blue (cas 28983-56-4)</v>
      </c>
      <c r="E6390" s="87"/>
      <c r="F6390" s="87"/>
      <c r="G6390" s="87"/>
    </row>
    <row r="6391">
      <c r="A6391" s="86">
        <f>IFERROR(__xludf.DUMMYFUNCTION("""COMPUTED_VALUE"""),6389.0)</f>
        <v>6389</v>
      </c>
      <c r="B6391" s="87" t="str">
        <f>IFERROR(__xludf.DUMMYFUNCTION("""COMPUTED_VALUE"""),"NL")</f>
        <v>NL</v>
      </c>
      <c r="C6391" s="87" t="str">
        <f>IFERROR(__xludf.DUMMYFUNCTION("""COMPUTED_VALUE"""),"NLT0245")</f>
        <v>NLT0245</v>
      </c>
      <c r="D6391" s="87" t="str">
        <f>IFERROR(__xludf.DUMMYFUNCTION("""COMPUTED_VALUE"""),"GLA 1349A (NCC SVC)")</f>
        <v>GLA 1349A (NCC SVC)</v>
      </c>
      <c r="E6391" s="87"/>
      <c r="F6391" s="87"/>
      <c r="G6391" s="87"/>
    </row>
    <row r="6392">
      <c r="A6392" s="86">
        <f>IFERROR(__xludf.DUMMYFUNCTION("""COMPUTED_VALUE"""),6390.0)</f>
        <v>6390</v>
      </c>
      <c r="B6392" s="87" t="str">
        <f>IFERROR(__xludf.DUMMYFUNCTION("""COMPUTED_VALUE"""),"NL")</f>
        <v>NL</v>
      </c>
      <c r="C6392" s="87" t="str">
        <f>IFERROR(__xludf.DUMMYFUNCTION("""COMPUTED_VALUE"""),"NLT0246")</f>
        <v>NLT0246</v>
      </c>
      <c r="D6392" s="87" t="str">
        <f>IFERROR(__xludf.DUMMYFUNCTION("""COMPUTED_VALUE"""),"Methyl blue (cas 72220-79-3)")</f>
        <v>Methyl blue (cas 72220-79-3)</v>
      </c>
      <c r="E6392" s="87"/>
      <c r="F6392" s="87"/>
      <c r="G6392" s="87"/>
    </row>
    <row r="6393">
      <c r="A6393" s="86">
        <f>IFERROR(__xludf.DUMMYFUNCTION("""COMPUTED_VALUE"""),6391.0)</f>
        <v>6391</v>
      </c>
      <c r="B6393" s="87" t="str">
        <f>IFERROR(__xludf.DUMMYFUNCTION("""COMPUTED_VALUE"""),"NL")</f>
        <v>NL</v>
      </c>
      <c r="C6393" s="87" t="str">
        <f>IFERROR(__xludf.DUMMYFUNCTION("""COMPUTED_VALUE"""),"NLT0247")</f>
        <v>NLT0247</v>
      </c>
      <c r="D6393" s="87" t="str">
        <f>IFERROR(__xludf.DUMMYFUNCTION("""COMPUTED_VALUE"""),"ZnSO4.1H2O")</f>
        <v>ZnSO4.1H2O</v>
      </c>
      <c r="E6393" s="87"/>
      <c r="F6393" s="87"/>
      <c r="G6393" s="87"/>
    </row>
    <row r="6394">
      <c r="A6394" s="86">
        <f>IFERROR(__xludf.DUMMYFUNCTION("""COMPUTED_VALUE"""),6392.0)</f>
        <v>6392</v>
      </c>
      <c r="B6394" s="87" t="str">
        <f>IFERROR(__xludf.DUMMYFUNCTION("""COMPUTED_VALUE"""),"NL")</f>
        <v>NL</v>
      </c>
      <c r="C6394" s="87" t="str">
        <f>IFERROR(__xludf.DUMMYFUNCTION("""COMPUTED_VALUE"""),"NLT0248")</f>
        <v>NLT0248</v>
      </c>
      <c r="D6394" s="87" t="str">
        <f>IFERROR(__xludf.DUMMYFUNCTION("""COMPUTED_VALUE"""),"Oxy già 50% (xuất xứ Thái Lan)")</f>
        <v>Oxy già 50% (xuất xứ Thái Lan)</v>
      </c>
      <c r="E6394" s="87"/>
      <c r="F6394" s="87"/>
      <c r="G6394" s="87"/>
    </row>
    <row r="6395">
      <c r="A6395" s="86">
        <f>IFERROR(__xludf.DUMMYFUNCTION("""COMPUTED_VALUE"""),6393.0)</f>
        <v>6393</v>
      </c>
      <c r="B6395" s="87" t="str">
        <f>IFERROR(__xludf.DUMMYFUNCTION("""COMPUTED_VALUE"""),"NL")</f>
        <v>NL</v>
      </c>
      <c r="C6395" s="87" t="str">
        <f>IFERROR(__xludf.DUMMYFUNCTION("""COMPUTED_VALUE"""),"NLT0249")</f>
        <v>NLT0249</v>
      </c>
      <c r="D6395" s="87" t="str">
        <f>IFERROR(__xludf.DUMMYFUNCTION("""COMPUTED_VALUE"""),"Poly ether trisiloxan")</f>
        <v>Poly ether trisiloxan</v>
      </c>
      <c r="E6395" s="87"/>
      <c r="F6395" s="87"/>
      <c r="G6395" s="87"/>
    </row>
    <row r="6396">
      <c r="A6396" s="86">
        <f>IFERROR(__xludf.DUMMYFUNCTION("""COMPUTED_VALUE"""),6394.0)</f>
        <v>6394</v>
      </c>
      <c r="B6396" s="87" t="str">
        <f>IFERROR(__xludf.DUMMYFUNCTION("""COMPUTED_VALUE"""),"NL")</f>
        <v>NL</v>
      </c>
      <c r="C6396" s="87" t="str">
        <f>IFERROR(__xludf.DUMMYFUNCTION("""COMPUTED_VALUE"""),"BTPR0092")</f>
        <v>BTPR0092</v>
      </c>
      <c r="D6396" s="87" t="str">
        <f>IFERROR(__xludf.DUMMYFUNCTION("""COMPUTED_VALUE"""),"PBHC Enriched Organic Fresh Flora (Đóng HH3368)")</f>
        <v>PBHC Enriched Organic Fresh Flora (Đóng HH3368)</v>
      </c>
      <c r="E6396" s="87"/>
      <c r="F6396" s="87"/>
      <c r="G6396" s="87"/>
    </row>
    <row r="6397">
      <c r="A6397" s="86">
        <f>IFERROR(__xludf.DUMMYFUNCTION("""COMPUTED_VALUE"""),6395.0)</f>
        <v>6395</v>
      </c>
      <c r="B6397" s="87" t="str">
        <f>IFERROR(__xludf.DUMMYFUNCTION("""COMPUTED_VALUE"""),"NL")</f>
        <v>NL</v>
      </c>
      <c r="C6397" s="87" t="str">
        <f>IFERROR(__xludf.DUMMYFUNCTION("""COMPUTED_VALUE"""),"BTPR0057")</f>
        <v>BTPR0057</v>
      </c>
      <c r="D6397" s="87" t="str">
        <f>IFERROR(__xludf.DUMMYFUNCTION("""COMPUTED_VALUE"""),"Bán thành phẩm ruột ABASBA 50EC (Nước tím)")</f>
        <v>Bán thành phẩm ruột ABASBA 50EC (Nước tím)</v>
      </c>
      <c r="E6397" s="87"/>
      <c r="F6397" s="87"/>
      <c r="G6397" s="87"/>
    </row>
    <row r="6398">
      <c r="A6398" s="86">
        <f>IFERROR(__xludf.DUMMYFUNCTION("""COMPUTED_VALUE"""),6396.0)</f>
        <v>6396</v>
      </c>
      <c r="B6398" s="87" t="str">
        <f>IFERROR(__xludf.DUMMYFUNCTION("""COMPUTED_VALUE"""),"NL")</f>
        <v>NL</v>
      </c>
      <c r="C6398" s="87" t="str">
        <f>IFERROR(__xludf.DUMMYFUNCTION("""COMPUTED_VALUE"""),"NLT0250")</f>
        <v>NLT0250</v>
      </c>
      <c r="D6398" s="87" t="str">
        <f>IFERROR(__xludf.DUMMYFUNCTION("""COMPUTED_VALUE"""),"Tinh dầu đàn hương")</f>
        <v>Tinh dầu đàn hương</v>
      </c>
      <c r="E6398" s="87"/>
      <c r="F6398" s="87"/>
      <c r="G6398" s="87"/>
    </row>
    <row r="6399">
      <c r="A6399" s="86">
        <f>IFERROR(__xludf.DUMMYFUNCTION("""COMPUTED_VALUE"""),6397.0)</f>
        <v>6397</v>
      </c>
      <c r="B6399" s="87" t="str">
        <f>IFERROR(__xludf.DUMMYFUNCTION("""COMPUTED_VALUE"""),"NL")</f>
        <v>NL</v>
      </c>
      <c r="C6399" s="87" t="str">
        <f>IFERROR(__xludf.DUMMYFUNCTION("""COMPUTED_VALUE"""),"BTPR0072")</f>
        <v>BTPR0072</v>
      </c>
      <c r="D6399" s="87" t="str">
        <f>IFERROR(__xludf.DUMMYFUNCTION("""COMPUTED_VALUE"""),"Bán thành phẩm ruột OXYCIN 100WP")</f>
        <v>Bán thành phẩm ruột OXYCIN 100WP</v>
      </c>
      <c r="E6399" s="87"/>
      <c r="F6399" s="87"/>
      <c r="G6399" s="87"/>
    </row>
    <row r="6400">
      <c r="A6400" s="86">
        <f>IFERROR(__xludf.DUMMYFUNCTION("""COMPUTED_VALUE"""),6398.0)</f>
        <v>6398</v>
      </c>
      <c r="B6400" s="87" t="str">
        <f>IFERROR(__xludf.DUMMYFUNCTION("""COMPUTED_VALUE"""),"NL")</f>
        <v>NL</v>
      </c>
      <c r="C6400" s="87" t="str">
        <f>IFERROR(__xludf.DUMMYFUNCTION("""COMPUTED_VALUE"""),"BTPR0073")</f>
        <v>BTPR0073</v>
      </c>
      <c r="D6400" s="87" t="str">
        <f>IFERROR(__xludf.DUMMYFUNCTION("""COMPUTED_VALUE"""),"Bán thành phẩm ruột CREEK 5,1WG")</f>
        <v>Bán thành phẩm ruột CREEK 5,1WG</v>
      </c>
      <c r="E6400" s="87"/>
      <c r="F6400" s="87"/>
      <c r="G6400" s="87"/>
    </row>
    <row r="6401">
      <c r="A6401" s="86">
        <f>IFERROR(__xludf.DUMMYFUNCTION("""COMPUTED_VALUE"""),6399.0)</f>
        <v>6399</v>
      </c>
      <c r="B6401" s="87" t="str">
        <f>IFERROR(__xludf.DUMMYFUNCTION("""COMPUTED_VALUE"""),"NL")</f>
        <v>NL</v>
      </c>
      <c r="C6401" s="87" t="str">
        <f>IFERROR(__xludf.DUMMYFUNCTION("""COMPUTED_VALUE"""),"NLT0253")</f>
        <v>NLT0253</v>
      </c>
      <c r="D6401" s="87" t="str">
        <f>IFERROR(__xludf.DUMMYFUNCTION("""COMPUTED_VALUE"""),"Màu nâu tan nước")</f>
        <v>Màu nâu tan nước</v>
      </c>
      <c r="E6401" s="87"/>
      <c r="F6401" s="87"/>
      <c r="G6401" s="87"/>
    </row>
    <row r="6402">
      <c r="A6402" s="86">
        <f>IFERROR(__xludf.DUMMYFUNCTION("""COMPUTED_VALUE"""),6400.0)</f>
        <v>6400</v>
      </c>
      <c r="B6402" s="87" t="str">
        <f>IFERROR(__xludf.DUMMYFUNCTION("""COMPUTED_VALUE"""),"NL")</f>
        <v>NL</v>
      </c>
      <c r="C6402" s="87" t="str">
        <f>IFERROR(__xludf.DUMMYFUNCTION("""COMPUTED_VALUE"""),"NLT0254")</f>
        <v>NLT0254</v>
      </c>
      <c r="D6402" s="87" t="str">
        <f>IFERROR(__xludf.DUMMYFUNCTION("""COMPUTED_VALUE"""),"Ametryn 97% TC")</f>
        <v>Ametryn 97% TC</v>
      </c>
      <c r="E6402" s="87"/>
      <c r="F6402" s="87"/>
      <c r="G6402" s="87"/>
    </row>
    <row r="6403">
      <c r="A6403" s="86">
        <f>IFERROR(__xludf.DUMMYFUNCTION("""COMPUTED_VALUE"""),6401.0)</f>
        <v>6401</v>
      </c>
      <c r="B6403" s="87" t="str">
        <f>IFERROR(__xludf.DUMMYFUNCTION("""COMPUTED_VALUE"""),"NL")</f>
        <v>NL</v>
      </c>
      <c r="C6403" s="87" t="str">
        <f>IFERROR(__xludf.DUMMYFUNCTION("""COMPUTED_VALUE"""),"NLT0256")</f>
        <v>NLT0256</v>
      </c>
      <c r="D6403" s="87" t="str">
        <f>IFERROR(__xludf.DUMMYFUNCTION("""COMPUTED_VALUE"""),"Alpha Cypermethrrin 97%")</f>
        <v>Alpha Cypermethrrin 97%</v>
      </c>
      <c r="E6403" s="87"/>
      <c r="F6403" s="87"/>
      <c r="G6403" s="87"/>
    </row>
    <row r="6404">
      <c r="A6404" s="86">
        <f>IFERROR(__xludf.DUMMYFUNCTION("""COMPUTED_VALUE"""),6402.0)</f>
        <v>6402</v>
      </c>
      <c r="B6404" s="87" t="str">
        <f>IFERROR(__xludf.DUMMYFUNCTION("""COMPUTED_VALUE"""),"NL")</f>
        <v>NL</v>
      </c>
      <c r="C6404" s="87" t="str">
        <f>IFERROR(__xludf.DUMMYFUNCTION("""COMPUTED_VALUE"""),"NLT0258")</f>
        <v>NLT0258</v>
      </c>
      <c r="D6404" s="87" t="str">
        <f>IFERROR(__xludf.DUMMYFUNCTION("""COMPUTED_VALUE"""),"Rong biển- vảy (seaweed extract)")</f>
        <v>Rong biển- vảy (seaweed extract)</v>
      </c>
      <c r="E6404" s="87"/>
      <c r="F6404" s="87"/>
      <c r="G6404" s="87"/>
    </row>
    <row r="6405">
      <c r="A6405" s="86">
        <f>IFERROR(__xludf.DUMMYFUNCTION("""COMPUTED_VALUE"""),6403.0)</f>
        <v>6403</v>
      </c>
      <c r="B6405" s="87" t="str">
        <f>IFERROR(__xludf.DUMMYFUNCTION("""COMPUTED_VALUE"""),"NL")</f>
        <v>NL</v>
      </c>
      <c r="C6405" s="87" t="str">
        <f>IFERROR(__xludf.DUMMYFUNCTION("""COMPUTED_VALUE"""),"NLT0259")</f>
        <v>NLT0259</v>
      </c>
      <c r="D6405" s="87" t="str">
        <f>IFERROR(__xludf.DUMMYFUNCTION("""COMPUTED_VALUE"""),"PEG-7 (Số CAS: 68201-46-7)")</f>
        <v>PEG-7 (Số CAS: 68201-46-7)</v>
      </c>
      <c r="E6405" s="87"/>
      <c r="F6405" s="87"/>
      <c r="G6405" s="87"/>
    </row>
    <row r="6406">
      <c r="A6406" s="86">
        <f>IFERROR(__xludf.DUMMYFUNCTION("""COMPUTED_VALUE"""),6404.0)</f>
        <v>6404</v>
      </c>
      <c r="B6406" s="87" t="str">
        <f>IFERROR(__xludf.DUMMYFUNCTION("""COMPUTED_VALUE"""),"NL")</f>
        <v>NL</v>
      </c>
      <c r="C6406" s="87" t="str">
        <f>IFERROR(__xludf.DUMMYFUNCTION("""COMPUTED_VALUE"""),"NLT0260")</f>
        <v>NLT0260</v>
      </c>
      <c r="D6406" s="87" t="str">
        <f>IFERROR(__xludf.DUMMYFUNCTION("""COMPUTED_VALUE"""),"Màu xanh lá đậm (Không tan nước)")</f>
        <v>Màu xanh lá đậm (Không tan nước)</v>
      </c>
      <c r="E6406" s="87"/>
      <c r="F6406" s="87"/>
      <c r="G6406" s="87"/>
    </row>
    <row r="6407">
      <c r="A6407" s="86">
        <f>IFERROR(__xludf.DUMMYFUNCTION("""COMPUTED_VALUE"""),6405.0)</f>
        <v>6405</v>
      </c>
      <c r="B6407" s="87" t="str">
        <f>IFERROR(__xludf.DUMMYFUNCTION("""COMPUTED_VALUE"""),"NL")</f>
        <v>NL</v>
      </c>
      <c r="C6407" s="87" t="str">
        <f>IFERROR(__xludf.DUMMYFUNCTION("""COMPUTED_VALUE"""),"NLT0261")</f>
        <v>NLT0261</v>
      </c>
      <c r="D6407" s="87" t="str">
        <f>IFERROR(__xludf.DUMMYFUNCTION("""COMPUTED_VALUE"""),"Màu xanh lá nhạt (Không tan nước)")</f>
        <v>Màu xanh lá nhạt (Không tan nước)</v>
      </c>
      <c r="E6407" s="87"/>
      <c r="F6407" s="87"/>
      <c r="G6407" s="87"/>
    </row>
    <row r="6408">
      <c r="A6408" s="86">
        <f>IFERROR(__xludf.DUMMYFUNCTION("""COMPUTED_VALUE"""),6406.0)</f>
        <v>6406</v>
      </c>
      <c r="B6408" s="87" t="str">
        <f>IFERROR(__xludf.DUMMYFUNCTION("""COMPUTED_VALUE"""),"NL")</f>
        <v>NL</v>
      </c>
      <c r="C6408" s="87" t="str">
        <f>IFERROR(__xludf.DUMMYFUNCTION("""COMPUTED_VALUE"""),"NLT0262")</f>
        <v>NLT0262</v>
      </c>
      <c r="D6408" s="87" t="str">
        <f>IFERROR(__xludf.DUMMYFUNCTION("""COMPUTED_VALUE"""),"Màu đỏ đậm (Không tan nước)")</f>
        <v>Màu đỏ đậm (Không tan nước)</v>
      </c>
      <c r="E6408" s="87"/>
      <c r="F6408" s="87"/>
      <c r="G6408" s="87"/>
    </row>
    <row r="6409">
      <c r="A6409" s="86">
        <f>IFERROR(__xludf.DUMMYFUNCTION("""COMPUTED_VALUE"""),6407.0)</f>
        <v>6407</v>
      </c>
      <c r="B6409" s="87" t="str">
        <f>IFERROR(__xludf.DUMMYFUNCTION("""COMPUTED_VALUE"""),"NL")</f>
        <v>NL</v>
      </c>
      <c r="C6409" s="87" t="str">
        <f>IFERROR(__xludf.DUMMYFUNCTION("""COMPUTED_VALUE"""),"NLT0263")</f>
        <v>NLT0263</v>
      </c>
      <c r="D6409" s="87" t="str">
        <f>IFERROR(__xludf.DUMMYFUNCTION("""COMPUTED_VALUE"""),"Màu đỏ tươi (Không tan nước)")</f>
        <v>Màu đỏ tươi (Không tan nước)</v>
      </c>
      <c r="E6409" s="87"/>
      <c r="F6409" s="87"/>
      <c r="G6409" s="87"/>
    </row>
    <row r="6410">
      <c r="A6410" s="86">
        <f>IFERROR(__xludf.DUMMYFUNCTION("""COMPUTED_VALUE"""),6408.0)</f>
        <v>6408</v>
      </c>
      <c r="B6410" s="87" t="str">
        <f>IFERROR(__xludf.DUMMYFUNCTION("""COMPUTED_VALUE"""),"NL")</f>
        <v>NL</v>
      </c>
      <c r="C6410" s="87" t="str">
        <f>IFERROR(__xludf.DUMMYFUNCTION("""COMPUTED_VALUE"""),"NLT0264")</f>
        <v>NLT0264</v>
      </c>
      <c r="D6410" s="87" t="str">
        <f>IFERROR(__xludf.DUMMYFUNCTION("""COMPUTED_VALUE"""),"Màu xanh dương đậm (Không tan nước)")</f>
        <v>Màu xanh dương đậm (Không tan nước)</v>
      </c>
      <c r="E6410" s="87"/>
      <c r="F6410" s="87"/>
      <c r="G6410" s="87"/>
    </row>
    <row r="6411">
      <c r="A6411" s="86">
        <f>IFERROR(__xludf.DUMMYFUNCTION("""COMPUTED_VALUE"""),6409.0)</f>
        <v>6409</v>
      </c>
      <c r="B6411" s="87" t="str">
        <f>IFERROR(__xludf.DUMMYFUNCTION("""COMPUTED_VALUE"""),"NL")</f>
        <v>NL</v>
      </c>
      <c r="C6411" s="87" t="str">
        <f>IFERROR(__xludf.DUMMYFUNCTION("""COMPUTED_VALUE"""),"NLT0265")</f>
        <v>NLT0265</v>
      </c>
      <c r="D6411" s="87" t="str">
        <f>IFERROR(__xludf.DUMMYFUNCTION("""COMPUTED_VALUE"""),"Màu xanh dương nhạt (Không tan nước)")</f>
        <v>Màu xanh dương nhạt (Không tan nước)</v>
      </c>
      <c r="E6411" s="87"/>
      <c r="F6411" s="87"/>
      <c r="G6411" s="87"/>
    </row>
    <row r="6412">
      <c r="A6412" s="86">
        <f>IFERROR(__xludf.DUMMYFUNCTION("""COMPUTED_VALUE"""),6410.0)</f>
        <v>6410</v>
      </c>
      <c r="B6412" s="87" t="str">
        <f>IFERROR(__xludf.DUMMYFUNCTION("""COMPUTED_VALUE"""),"NL")</f>
        <v>NL</v>
      </c>
      <c r="C6412" s="87" t="str">
        <f>IFERROR(__xludf.DUMMYFUNCTION("""COMPUTED_VALUE"""),"NLT0266")</f>
        <v>NLT0266</v>
      </c>
      <c r="D6412" s="87" t="str">
        <f>IFERROR(__xludf.DUMMYFUNCTION("""COMPUTED_VALUE"""),"Màu vàng đậm (Không tan nước)")</f>
        <v>Màu vàng đậm (Không tan nước)</v>
      </c>
      <c r="E6412" s="87"/>
      <c r="F6412" s="87"/>
      <c r="G6412" s="87"/>
    </row>
    <row r="6413">
      <c r="A6413" s="86">
        <f>IFERROR(__xludf.DUMMYFUNCTION("""COMPUTED_VALUE"""),6411.0)</f>
        <v>6411</v>
      </c>
      <c r="B6413" s="87" t="str">
        <f>IFERROR(__xludf.DUMMYFUNCTION("""COMPUTED_VALUE"""),"NL")</f>
        <v>NL</v>
      </c>
      <c r="C6413" s="87" t="str">
        <f>IFERROR(__xludf.DUMMYFUNCTION("""COMPUTED_VALUE"""),"NLT0267")</f>
        <v>NLT0267</v>
      </c>
      <c r="D6413" s="87" t="str">
        <f>IFERROR(__xludf.DUMMYFUNCTION("""COMPUTED_VALUE"""),"Màu vàng nhạt (Không tan nước)")</f>
        <v>Màu vàng nhạt (Không tan nước)</v>
      </c>
      <c r="E6413" s="87"/>
      <c r="F6413" s="87"/>
      <c r="G6413" s="87"/>
    </row>
    <row r="6414">
      <c r="A6414" s="86">
        <f>IFERROR(__xludf.DUMMYFUNCTION("""COMPUTED_VALUE"""),6412.0)</f>
        <v>6412</v>
      </c>
      <c r="B6414" s="87" t="str">
        <f>IFERROR(__xludf.DUMMYFUNCTION("""COMPUTED_VALUE"""),"NL")</f>
        <v>NL</v>
      </c>
      <c r="C6414" s="87" t="str">
        <f>IFERROR(__xludf.DUMMYFUNCTION("""COMPUTED_VALUE"""),"NLT0269")</f>
        <v>NLT0269</v>
      </c>
      <c r="D6414" s="87" t="str">
        <f>IFERROR(__xludf.DUMMYFUNCTION("""COMPUTED_VALUE"""),"MgCL2 Khan")</f>
        <v>MgCL2 Khan</v>
      </c>
      <c r="E6414" s="87"/>
      <c r="F6414" s="87"/>
      <c r="G6414" s="87"/>
    </row>
    <row r="6415">
      <c r="A6415" s="86">
        <f>IFERROR(__xludf.DUMMYFUNCTION("""COMPUTED_VALUE"""),6413.0)</f>
        <v>6413</v>
      </c>
      <c r="B6415" s="87" t="str">
        <f>IFERROR(__xludf.DUMMYFUNCTION("""COMPUTED_VALUE"""),"NL")</f>
        <v>NL</v>
      </c>
      <c r="C6415" s="87" t="str">
        <f>IFERROR(__xludf.DUMMYFUNCTION("""COMPUTED_VALUE"""),"NLT0270")</f>
        <v>NLT0270</v>
      </c>
      <c r="D6415" s="87" t="str">
        <f>IFERROR(__xludf.DUMMYFUNCTION("""COMPUTED_VALUE"""),"MgCl2.6H2O")</f>
        <v>MgCl2.6H2O</v>
      </c>
      <c r="E6415" s="87"/>
      <c r="F6415" s="87"/>
      <c r="G6415" s="87"/>
    </row>
    <row r="6416">
      <c r="A6416" s="86">
        <f>IFERROR(__xludf.DUMMYFUNCTION("""COMPUTED_VALUE"""),6414.0)</f>
        <v>6414</v>
      </c>
      <c r="B6416" s="87" t="str">
        <f>IFERROR(__xludf.DUMMYFUNCTION("""COMPUTED_VALUE"""),"NL")</f>
        <v>NL</v>
      </c>
      <c r="C6416" s="87" t="str">
        <f>IFERROR(__xludf.DUMMYFUNCTION("""COMPUTED_VALUE"""),"NLT0271")</f>
        <v>NLT0271</v>
      </c>
      <c r="D6416" s="87" t="str">
        <f>IFERROR(__xludf.DUMMYFUNCTION("""COMPUTED_VALUE"""),"PAC Việt Trì")</f>
        <v>PAC Việt Trì</v>
      </c>
      <c r="E6416" s="87"/>
      <c r="F6416" s="87"/>
      <c r="G6416" s="87"/>
    </row>
    <row r="6417">
      <c r="A6417" s="86">
        <f>IFERROR(__xludf.DUMMYFUNCTION("""COMPUTED_VALUE"""),6415.0)</f>
        <v>6415</v>
      </c>
      <c r="B6417" s="87" t="str">
        <f>IFERROR(__xludf.DUMMYFUNCTION("""COMPUTED_VALUE"""),"NL")</f>
        <v>NL</v>
      </c>
      <c r="C6417" s="87" t="str">
        <f>IFERROR(__xludf.DUMMYFUNCTION("""COMPUTED_VALUE"""),"NLT0272")</f>
        <v>NLT0272</v>
      </c>
      <c r="D6417" s="87" t="str">
        <f>IFERROR(__xludf.DUMMYFUNCTION("""COMPUTED_VALUE"""),"EDTA Molybdenum (Tên lấy hoá đơn: Phân bón vi lượng Micro Element Mn)")</f>
        <v>EDTA Molybdenum (Tên lấy hoá đơn: Phân bón vi lượng Micro Element Mn)</v>
      </c>
      <c r="E6417" s="87"/>
      <c r="F6417" s="87"/>
      <c r="G6417" s="87"/>
    </row>
    <row r="6418">
      <c r="A6418" s="86">
        <f>IFERROR(__xludf.DUMMYFUNCTION("""COMPUTED_VALUE"""),6416.0)</f>
        <v>6416</v>
      </c>
      <c r="B6418" s="87" t="str">
        <f>IFERROR(__xludf.DUMMYFUNCTION("""COMPUTED_VALUE"""),"NL")</f>
        <v>NL</v>
      </c>
      <c r="C6418" s="87" t="str">
        <f>IFERROR(__xludf.DUMMYFUNCTION("""COMPUTED_VALUE"""),"NLT0273")</f>
        <v>NLT0273</v>
      </c>
      <c r="D6418" s="87" t="str">
        <f>IFERROR(__xludf.DUMMYFUNCTION("""COMPUTED_VALUE"""),"EDTA Cobalt (Tên lấy hoá đơn: Phân bón vi lượng Micro Element Mn)")</f>
        <v>EDTA Cobalt (Tên lấy hoá đơn: Phân bón vi lượng Micro Element Mn)</v>
      </c>
      <c r="E6418" s="87"/>
      <c r="F6418" s="87"/>
      <c r="G6418" s="87"/>
    </row>
    <row r="6419">
      <c r="A6419" s="86">
        <f>IFERROR(__xludf.DUMMYFUNCTION("""COMPUTED_VALUE"""),6417.0)</f>
        <v>6417</v>
      </c>
      <c r="B6419" s="87" t="str">
        <f>IFERROR(__xludf.DUMMYFUNCTION("""COMPUTED_VALUE"""),"NL")</f>
        <v>NL</v>
      </c>
      <c r="C6419" s="87" t="str">
        <f>IFERROR(__xludf.DUMMYFUNCTION("""COMPUTED_VALUE"""),"COC150")</f>
        <v>COC150</v>
      </c>
      <c r="D6419" s="87" t="str">
        <f>IFERROR(__xludf.DUMMYFUNCTION("""COMPUTED_VALUE"""),"Cốc thuỷ tinh 150ml")</f>
        <v>Cốc thuỷ tinh 150ml</v>
      </c>
      <c r="E6419" s="87"/>
      <c r="F6419" s="87"/>
      <c r="G6419" s="87"/>
    </row>
    <row r="6420">
      <c r="A6420" s="86">
        <f>IFERROR(__xludf.DUMMYFUNCTION("""COMPUTED_VALUE"""),6418.0)</f>
        <v>6418</v>
      </c>
      <c r="B6420" s="87" t="str">
        <f>IFERROR(__xludf.DUMMYFUNCTION("""COMPUTED_VALUE"""),"NL")</f>
        <v>NL</v>
      </c>
      <c r="C6420" s="87" t="str">
        <f>IFERROR(__xludf.DUMMYFUNCTION("""COMPUTED_VALUE"""),"COC250")</f>
        <v>COC250</v>
      </c>
      <c r="D6420" s="87" t="str">
        <f>IFERROR(__xludf.DUMMYFUNCTION("""COMPUTED_VALUE"""),"Cốc thuỷ tinh 250ml")</f>
        <v>Cốc thuỷ tinh 250ml</v>
      </c>
      <c r="E6420" s="87"/>
      <c r="F6420" s="87"/>
      <c r="G6420" s="87"/>
    </row>
    <row r="6421">
      <c r="A6421" s="86">
        <f>IFERROR(__xludf.DUMMYFUNCTION("""COMPUTED_VALUE"""),6419.0)</f>
        <v>6419</v>
      </c>
      <c r="B6421" s="87" t="str">
        <f>IFERROR(__xludf.DUMMYFUNCTION("""COMPUTED_VALUE"""),"NL")</f>
        <v>NL</v>
      </c>
      <c r="C6421" s="87" t="str">
        <f>IFERROR(__xludf.DUMMYFUNCTION("""COMPUTED_VALUE"""),"COC500")</f>
        <v>COC500</v>
      </c>
      <c r="D6421" s="87" t="str">
        <f>IFERROR(__xludf.DUMMYFUNCTION("""COMPUTED_VALUE"""),"Cốc thuỷ tinh 500ml")</f>
        <v>Cốc thuỷ tinh 500ml</v>
      </c>
      <c r="E6421" s="87"/>
      <c r="F6421" s="87"/>
      <c r="G6421" s="87"/>
    </row>
    <row r="6422">
      <c r="A6422" s="86">
        <f>IFERROR(__xludf.DUMMYFUNCTION("""COMPUTED_VALUE"""),6420.0)</f>
        <v>6420</v>
      </c>
      <c r="B6422" s="87" t="str">
        <f>IFERROR(__xludf.DUMMYFUNCTION("""COMPUTED_VALUE"""),"NL")</f>
        <v>NL</v>
      </c>
      <c r="C6422" s="87" t="str">
        <f>IFERROR(__xludf.DUMMYFUNCTION("""COMPUTED_VALUE"""),"COC1000")</f>
        <v>COC1000</v>
      </c>
      <c r="D6422" s="87" t="str">
        <f>IFERROR(__xludf.DUMMYFUNCTION("""COMPUTED_VALUE"""),"Cốc thuỷ tinh 1000ml")</f>
        <v>Cốc thuỷ tinh 1000ml</v>
      </c>
      <c r="E6422" s="87"/>
      <c r="F6422" s="87"/>
      <c r="G6422" s="87"/>
    </row>
    <row r="6423">
      <c r="A6423" s="86">
        <f>IFERROR(__xludf.DUMMYFUNCTION("""COMPUTED_VALUE"""),6421.0)</f>
        <v>6421</v>
      </c>
      <c r="B6423" s="87" t="str">
        <f>IFERROR(__xludf.DUMMYFUNCTION("""COMPUTED_VALUE"""),"NL")</f>
        <v>NL</v>
      </c>
      <c r="C6423" s="87" t="str">
        <f>IFERROR(__xludf.DUMMYFUNCTION("""COMPUTED_VALUE"""),"DIA")</f>
        <v>DIA</v>
      </c>
      <c r="D6423" s="87" t="str">
        <f>IFERROR(__xludf.DUMMYFUNCTION("""COMPUTED_VALUE"""),"Dĩa Petri thuỷ tinh")</f>
        <v>Dĩa Petri thuỷ tinh</v>
      </c>
      <c r="E6423" s="87"/>
      <c r="F6423" s="87"/>
      <c r="G6423" s="87"/>
    </row>
    <row r="6424">
      <c r="A6424" s="86">
        <f>IFERROR(__xludf.DUMMYFUNCTION("""COMPUTED_VALUE"""),6422.0)</f>
        <v>6422</v>
      </c>
      <c r="B6424" s="87" t="str">
        <f>IFERROR(__xludf.DUMMYFUNCTION("""COMPUTED_VALUE"""),"NL")</f>
        <v>NL</v>
      </c>
      <c r="C6424" s="87" t="str">
        <f>IFERROR(__xludf.DUMMYFUNCTION("""COMPUTED_VALUE"""),"BINH")</f>
        <v>BINH</v>
      </c>
      <c r="D6424" s="87" t="str">
        <f>IFERROR(__xludf.DUMMYFUNCTION("""COMPUTED_VALUE"""),"Bình định mức 100ml")</f>
        <v>Bình định mức 100ml</v>
      </c>
      <c r="E6424" s="87"/>
      <c r="F6424" s="87"/>
      <c r="G6424" s="87"/>
    </row>
    <row r="6425">
      <c r="A6425" s="86">
        <f>IFERROR(__xludf.DUMMYFUNCTION("""COMPUTED_VALUE"""),6423.0)</f>
        <v>6423</v>
      </c>
      <c r="B6425" s="87" t="str">
        <f>IFERROR(__xludf.DUMMYFUNCTION("""COMPUTED_VALUE"""),"NL")</f>
        <v>NL</v>
      </c>
      <c r="C6425" s="87" t="str">
        <f>IFERROR(__xludf.DUMMYFUNCTION("""COMPUTED_VALUE"""),"COCN500")</f>
        <v>COCN500</v>
      </c>
      <c r="D6425" s="87" t="str">
        <f>IFERROR(__xludf.DUMMYFUNCTION("""COMPUTED_VALUE"""),"Cốc nhựa 500ml (Không quai)")</f>
        <v>Cốc nhựa 500ml (Không quai)</v>
      </c>
      <c r="E6425" s="87"/>
      <c r="F6425" s="87"/>
      <c r="G6425" s="87"/>
    </row>
    <row r="6426">
      <c r="A6426" s="86">
        <f>IFERROR(__xludf.DUMMYFUNCTION("""COMPUTED_VALUE"""),6424.0)</f>
        <v>6424</v>
      </c>
      <c r="B6426" s="87" t="str">
        <f>IFERROR(__xludf.DUMMYFUNCTION("""COMPUTED_VALUE"""),"NL")</f>
        <v>NL</v>
      </c>
      <c r="C6426" s="87" t="str">
        <f>IFERROR(__xludf.DUMMYFUNCTION("""COMPUTED_VALUE"""),"NLT0274")</f>
        <v>NLT0274</v>
      </c>
      <c r="D6426" s="87" t="str">
        <f>IFERROR(__xludf.DUMMYFUNCTION("""COMPUTED_VALUE"""),"Potassium Sorbate  CAS: 24634-61-5")</f>
        <v>Potassium Sorbate  CAS: 24634-61-5</v>
      </c>
      <c r="E6426" s="87"/>
      <c r="F6426" s="87"/>
      <c r="G6426" s="87"/>
    </row>
    <row r="6427">
      <c r="A6427" s="86">
        <f>IFERROR(__xludf.DUMMYFUNCTION("""COMPUTED_VALUE"""),6425.0)</f>
        <v>6425</v>
      </c>
      <c r="B6427" s="87" t="str">
        <f>IFERROR(__xludf.DUMMYFUNCTION("""COMPUTED_VALUE"""),"NL")</f>
        <v>NL</v>
      </c>
      <c r="C6427" s="87" t="str">
        <f>IFERROR(__xludf.DUMMYFUNCTION("""COMPUTED_VALUE"""),"NLT0275")</f>
        <v>NLT0275</v>
      </c>
      <c r="D6427" s="87" t="str">
        <f>IFERROR(__xludf.DUMMYFUNCTION("""COMPUTED_VALUE"""),"Polyvinyl Acetate")</f>
        <v>Polyvinyl Acetate</v>
      </c>
      <c r="E6427" s="87"/>
      <c r="F6427" s="87"/>
      <c r="G6427" s="87"/>
    </row>
    <row r="6428">
      <c r="A6428" s="86">
        <f>IFERROR(__xludf.DUMMYFUNCTION("""COMPUTED_VALUE"""),6426.0)</f>
        <v>6426</v>
      </c>
      <c r="B6428" s="87" t="str">
        <f>IFERROR(__xludf.DUMMYFUNCTION("""COMPUTED_VALUE"""),"NL")</f>
        <v>NL</v>
      </c>
      <c r="C6428" s="87" t="str">
        <f>IFERROR(__xludf.DUMMYFUNCTION("""COMPUTED_VALUE"""),"NLT0276")</f>
        <v>NLT0276</v>
      </c>
      <c r="D6428" s="87" t="str">
        <f>IFERROR(__xludf.DUMMYFUNCTION("""COMPUTED_VALUE"""),"P2O5")</f>
        <v>P2O5</v>
      </c>
      <c r="E6428" s="87"/>
      <c r="F6428" s="87"/>
      <c r="G6428" s="87"/>
    </row>
    <row r="6429">
      <c r="A6429" s="86">
        <f>IFERROR(__xludf.DUMMYFUNCTION("""COMPUTED_VALUE"""),6427.0)</f>
        <v>6427</v>
      </c>
      <c r="B6429" s="87" t="str">
        <f>IFERROR(__xludf.DUMMYFUNCTION("""COMPUTED_VALUE"""),"NL")</f>
        <v>NL</v>
      </c>
      <c r="C6429" s="87" t="str">
        <f>IFERROR(__xludf.DUMMYFUNCTION("""COMPUTED_VALUE"""),"NLT0277")</f>
        <v>NLT0277</v>
      </c>
      <c r="D6429" s="87" t="str">
        <f>IFERROR(__xludf.DUMMYFUNCTION("""COMPUTED_VALUE"""),"Alkyl PolyGlucoside")</f>
        <v>Alkyl PolyGlucoside</v>
      </c>
      <c r="E6429" s="87"/>
      <c r="F6429" s="87"/>
      <c r="G6429" s="87"/>
    </row>
    <row r="6430">
      <c r="A6430" s="86">
        <f>IFERROR(__xludf.DUMMYFUNCTION("""COMPUTED_VALUE"""),6428.0)</f>
        <v>6428</v>
      </c>
      <c r="B6430" s="87" t="str">
        <f>IFERROR(__xludf.DUMMYFUNCTION("""COMPUTED_VALUE"""),"NL")</f>
        <v>NL</v>
      </c>
      <c r="C6430" s="87" t="str">
        <f>IFERROR(__xludf.DUMMYFUNCTION("""COMPUTED_VALUE"""),"NA0024")</f>
        <v>NA0024</v>
      </c>
      <c r="D6430" s="87" t="str">
        <f>IFERROR(__xludf.DUMMYFUNCTION("""COMPUTED_VALUE"""),"Phụ gia NA0024")</f>
        <v>Phụ gia NA0024</v>
      </c>
      <c r="E6430" s="87"/>
      <c r="F6430" s="87"/>
      <c r="G6430" s="87"/>
    </row>
    <row r="6431">
      <c r="A6431" s="86">
        <f>IFERROR(__xludf.DUMMYFUNCTION("""COMPUTED_VALUE"""),6429.0)</f>
        <v>6429</v>
      </c>
      <c r="B6431" s="87" t="str">
        <f>IFERROR(__xludf.DUMMYFUNCTION("""COMPUTED_VALUE"""),"NL")</f>
        <v>NL</v>
      </c>
      <c r="C6431" s="87" t="str">
        <f>IFERROR(__xludf.DUMMYFUNCTION("""COMPUTED_VALUE"""),"NA0025")</f>
        <v>NA0025</v>
      </c>
      <c r="D6431" s="87" t="str">
        <f>IFERROR(__xludf.DUMMYFUNCTION("""COMPUTED_VALUE"""),"Phụ gia NA0025")</f>
        <v>Phụ gia NA0025</v>
      </c>
      <c r="E6431" s="87"/>
      <c r="F6431" s="87"/>
      <c r="G6431" s="87"/>
    </row>
    <row r="6432">
      <c r="A6432" s="86">
        <f>IFERROR(__xludf.DUMMYFUNCTION("""COMPUTED_VALUE"""),6430.0)</f>
        <v>6430</v>
      </c>
      <c r="B6432" s="87" t="str">
        <f>IFERROR(__xludf.DUMMYFUNCTION("""COMPUTED_VALUE"""),"NL")</f>
        <v>NL</v>
      </c>
      <c r="C6432" s="87" t="str">
        <f>IFERROR(__xludf.DUMMYFUNCTION("""COMPUTED_VALUE"""),"NA0026")</f>
        <v>NA0026</v>
      </c>
      <c r="D6432" s="87" t="str">
        <f>IFERROR(__xludf.DUMMYFUNCTION("""COMPUTED_VALUE"""),"Phụ gia NA0026")</f>
        <v>Phụ gia NA0026</v>
      </c>
      <c r="E6432" s="87"/>
      <c r="F6432" s="87"/>
      <c r="G6432" s="87"/>
    </row>
    <row r="6433">
      <c r="A6433" s="86">
        <f>IFERROR(__xludf.DUMMYFUNCTION("""COMPUTED_VALUE"""),6431.0)</f>
        <v>6431</v>
      </c>
      <c r="B6433" s="87" t="str">
        <f>IFERROR(__xludf.DUMMYFUNCTION("""COMPUTED_VALUE"""),"NL")</f>
        <v>NL</v>
      </c>
      <c r="C6433" s="87" t="str">
        <f>IFERROR(__xludf.DUMMYFUNCTION("""COMPUTED_VALUE"""),"NA0027")</f>
        <v>NA0027</v>
      </c>
      <c r="D6433" s="87" t="str">
        <f>IFERROR(__xludf.DUMMYFUNCTION("""COMPUTED_VALUE"""),"Phụ gia NA0027")</f>
        <v>Phụ gia NA0027</v>
      </c>
      <c r="E6433" s="87"/>
      <c r="F6433" s="87"/>
      <c r="G6433" s="87"/>
    </row>
    <row r="6434">
      <c r="A6434" s="86">
        <f>IFERROR(__xludf.DUMMYFUNCTION("""COMPUTED_VALUE"""),6432.0)</f>
        <v>6432</v>
      </c>
      <c r="B6434" s="87" t="str">
        <f>IFERROR(__xludf.DUMMYFUNCTION("""COMPUTED_VALUE"""),"NL")</f>
        <v>NL</v>
      </c>
      <c r="C6434" s="87" t="str">
        <f>IFERROR(__xludf.DUMMYFUNCTION("""COMPUTED_VALUE"""),"NA0028")</f>
        <v>NA0028</v>
      </c>
      <c r="D6434" s="87" t="str">
        <f>IFERROR(__xludf.DUMMYFUNCTION("""COMPUTED_VALUE"""),"Phụ gia NA0028")</f>
        <v>Phụ gia NA0028</v>
      </c>
      <c r="E6434" s="87"/>
      <c r="F6434" s="87"/>
      <c r="G6434" s="87"/>
    </row>
    <row r="6435">
      <c r="A6435" s="86">
        <f>IFERROR(__xludf.DUMMYFUNCTION("""COMPUTED_VALUE"""),6433.0)</f>
        <v>6433</v>
      </c>
      <c r="B6435" s="87" t="str">
        <f>IFERROR(__xludf.DUMMYFUNCTION("""COMPUTED_VALUE"""),"NL")</f>
        <v>NL</v>
      </c>
      <c r="C6435" s="87" t="str">
        <f>IFERROR(__xludf.DUMMYFUNCTION("""COMPUTED_VALUE"""),"NA0029")</f>
        <v>NA0029</v>
      </c>
      <c r="D6435" s="87" t="str">
        <f>IFERROR(__xludf.DUMMYFUNCTION("""COMPUTED_VALUE"""),"Phụ gia NA0029")</f>
        <v>Phụ gia NA0029</v>
      </c>
      <c r="E6435" s="87"/>
      <c r="F6435" s="87"/>
      <c r="G6435" s="87"/>
    </row>
    <row r="6436">
      <c r="A6436" s="86">
        <f>IFERROR(__xludf.DUMMYFUNCTION("""COMPUTED_VALUE"""),6434.0)</f>
        <v>6434</v>
      </c>
      <c r="B6436" s="87" t="str">
        <f>IFERROR(__xludf.DUMMYFUNCTION("""COMPUTED_VALUE"""),"NL")</f>
        <v>NL</v>
      </c>
      <c r="C6436" s="87" t="str">
        <f>IFERROR(__xludf.DUMMYFUNCTION("""COMPUTED_VALUE"""),"NA0030")</f>
        <v>NA0030</v>
      </c>
      <c r="D6436" s="87" t="str">
        <f>IFERROR(__xludf.DUMMYFUNCTION("""COMPUTED_VALUE"""),"Phụ gia NA0030")</f>
        <v>Phụ gia NA0030</v>
      </c>
      <c r="E6436" s="87"/>
      <c r="F6436" s="87"/>
      <c r="G6436" s="87"/>
    </row>
    <row r="6437">
      <c r="A6437" s="86">
        <f>IFERROR(__xludf.DUMMYFUNCTION("""COMPUTED_VALUE"""),6435.0)</f>
        <v>6435</v>
      </c>
      <c r="B6437" s="87" t="str">
        <f>IFERROR(__xludf.DUMMYFUNCTION("""COMPUTED_VALUE"""),"NL")</f>
        <v>NL</v>
      </c>
      <c r="C6437" s="87" t="str">
        <f>IFERROR(__xludf.DUMMYFUNCTION("""COMPUTED_VALUE"""),"NA0031")</f>
        <v>NA0031</v>
      </c>
      <c r="D6437" s="87" t="str">
        <f>IFERROR(__xludf.DUMMYFUNCTION("""COMPUTED_VALUE"""),"Phụ gia NA0031")</f>
        <v>Phụ gia NA0031</v>
      </c>
      <c r="E6437" s="87"/>
      <c r="F6437" s="87"/>
      <c r="G6437" s="87"/>
    </row>
    <row r="6438">
      <c r="A6438" s="86">
        <f>IFERROR(__xludf.DUMMYFUNCTION("""COMPUTED_VALUE"""),6436.0)</f>
        <v>6436</v>
      </c>
      <c r="B6438" s="87" t="str">
        <f>IFERROR(__xludf.DUMMYFUNCTION("""COMPUTED_VALUE"""),"NL")</f>
        <v>NL</v>
      </c>
      <c r="C6438" s="87" t="str">
        <f>IFERROR(__xludf.DUMMYFUNCTION("""COMPUTED_VALUE"""),"NLT0283")</f>
        <v>NLT0283</v>
      </c>
      <c r="D6438" s="87" t="str">
        <f>IFERROR(__xludf.DUMMYFUNCTION("""COMPUTED_VALUE"""),"Ure Cà Mau")</f>
        <v>Ure Cà Mau</v>
      </c>
      <c r="E6438" s="87"/>
      <c r="F6438" s="87"/>
      <c r="G6438" s="87"/>
    </row>
    <row r="6439">
      <c r="A6439" s="86">
        <f>IFERROR(__xludf.DUMMYFUNCTION("""COMPUTED_VALUE"""),6437.0)</f>
        <v>6437</v>
      </c>
      <c r="B6439" s="87" t="str">
        <f>IFERROR(__xludf.DUMMYFUNCTION("""COMPUTED_VALUE"""),"NL")</f>
        <v>NL</v>
      </c>
      <c r="C6439" s="87" t="str">
        <f>IFERROR(__xludf.DUMMYFUNCTION("""COMPUTED_VALUE"""),"NLT0284")</f>
        <v>NLT0284</v>
      </c>
      <c r="D6439" s="87" t="str">
        <f>IFERROR(__xludf.DUMMYFUNCTION("""COMPUTED_VALUE"""),"ure Phú Mỹ")</f>
        <v>ure Phú Mỹ</v>
      </c>
      <c r="E6439" s="87"/>
      <c r="F6439" s="87"/>
      <c r="G6439" s="87"/>
    </row>
    <row r="6440">
      <c r="A6440" s="86">
        <f>IFERROR(__xludf.DUMMYFUNCTION("""COMPUTED_VALUE"""),6438.0)</f>
        <v>6438</v>
      </c>
      <c r="B6440" s="87" t="str">
        <f>IFERROR(__xludf.DUMMYFUNCTION("""COMPUTED_VALUE"""),"NL")</f>
        <v>NL</v>
      </c>
      <c r="C6440" s="87" t="str">
        <f>IFERROR(__xludf.DUMMYFUNCTION("""COMPUTED_VALUE"""),"NLT0285")</f>
        <v>NLT0285</v>
      </c>
      <c r="D6440" s="87" t="str">
        <f>IFERROR(__xludf.DUMMYFUNCTION("""COMPUTED_VALUE"""),"Ure Ninh Bình")</f>
        <v>Ure Ninh Bình</v>
      </c>
      <c r="E6440" s="87"/>
      <c r="F6440" s="87"/>
      <c r="G6440" s="87"/>
    </row>
    <row r="6441">
      <c r="A6441" s="86">
        <f>IFERROR(__xludf.DUMMYFUNCTION("""COMPUTED_VALUE"""),6439.0)</f>
        <v>6439</v>
      </c>
      <c r="B6441" s="87" t="str">
        <f>IFERROR(__xludf.DUMMYFUNCTION("""COMPUTED_VALUE"""),"NL")</f>
        <v>NL</v>
      </c>
      <c r="C6441" s="87" t="str">
        <f>IFERROR(__xludf.DUMMYFUNCTION("""COMPUTED_VALUE"""),"NLT0286")</f>
        <v>NLT0286</v>
      </c>
      <c r="D6441" s="87" t="str">
        <f>IFERROR(__xludf.DUMMYFUNCTION("""COMPUTED_VALUE"""),"Ure TQ")</f>
        <v>Ure TQ</v>
      </c>
      <c r="E6441" s="87"/>
      <c r="F6441" s="87"/>
      <c r="G6441" s="87"/>
    </row>
    <row r="6442">
      <c r="A6442" s="86">
        <f>IFERROR(__xludf.DUMMYFUNCTION("""COMPUTED_VALUE"""),6440.0)</f>
        <v>6440</v>
      </c>
      <c r="B6442" s="87" t="str">
        <f>IFERROR(__xludf.DUMMYFUNCTION("""COMPUTED_VALUE"""),"NL")</f>
        <v>NL</v>
      </c>
      <c r="C6442" s="87" t="str">
        <f>IFERROR(__xludf.DUMMYFUNCTION("""COMPUTED_VALUE"""),"NLT0287")</f>
        <v>NLT0287</v>
      </c>
      <c r="D6442" s="87" t="str">
        <f>IFERROR(__xludf.DUMMYFUNCTION("""COMPUTED_VALUE"""),"Bột Màu Hồng")</f>
        <v>Bột Màu Hồng</v>
      </c>
      <c r="E6442" s="87"/>
      <c r="F6442" s="87"/>
      <c r="G6442" s="87"/>
    </row>
    <row r="6443">
      <c r="A6443" s="86">
        <f>IFERROR(__xludf.DUMMYFUNCTION("""COMPUTED_VALUE"""),6441.0)</f>
        <v>6441</v>
      </c>
      <c r="B6443" s="87" t="str">
        <f>IFERROR(__xludf.DUMMYFUNCTION("""COMPUTED_VALUE"""),"NL")</f>
        <v>NL</v>
      </c>
      <c r="C6443" s="87" t="str">
        <f>IFERROR(__xludf.DUMMYFUNCTION("""COMPUTED_VALUE"""),"NLT0288")</f>
        <v>NLT0288</v>
      </c>
      <c r="D6443" s="87" t="str">
        <f>IFERROR(__xludf.DUMMYFUNCTION("""COMPUTED_VALUE"""),"NPK 20.20.15")</f>
        <v>NPK 20.20.15</v>
      </c>
      <c r="E6443" s="87"/>
      <c r="F6443" s="87"/>
      <c r="G6443" s="87"/>
    </row>
    <row r="6444">
      <c r="A6444" s="86">
        <f>IFERROR(__xludf.DUMMYFUNCTION("""COMPUTED_VALUE"""),6442.0)</f>
        <v>6442</v>
      </c>
      <c r="B6444" s="87" t="str">
        <f>IFERROR(__xludf.DUMMYFUNCTION("""COMPUTED_VALUE"""),"NL")</f>
        <v>NL</v>
      </c>
      <c r="C6444" s="87" t="str">
        <f>IFERROR(__xludf.DUMMYFUNCTION("""COMPUTED_VALUE"""),"NLT0289")</f>
        <v>NLT0289</v>
      </c>
      <c r="D6444" s="87" t="str">
        <f>IFERROR(__xludf.DUMMYFUNCTION("""COMPUTED_VALUE"""),"XANTHAN GUM ZIBOXAN (F200) TQ")</f>
        <v>XANTHAN GUM ZIBOXAN (F200) TQ</v>
      </c>
      <c r="E6444" s="87"/>
      <c r="F6444" s="87"/>
      <c r="G6444" s="87"/>
    </row>
    <row r="6445">
      <c r="A6445" s="86">
        <f>IFERROR(__xludf.DUMMYFUNCTION("""COMPUTED_VALUE"""),6443.0)</f>
        <v>6443</v>
      </c>
      <c r="B6445" s="87" t="str">
        <f>IFERROR(__xludf.DUMMYFUNCTION("""COMPUTED_VALUE"""),"NL")</f>
        <v>NL</v>
      </c>
      <c r="C6445" s="87" t="str">
        <f>IFERROR(__xludf.DUMMYFUNCTION("""COMPUTED_VALUE"""),"NLT0290")</f>
        <v>NLT0290</v>
      </c>
      <c r="D6445" s="87" t="str">
        <f>IFERROR(__xludf.DUMMYFUNCTION("""COMPUTED_VALUE"""),"MgSO4.7H2O 99%")</f>
        <v>MgSO4.7H2O 99%</v>
      </c>
      <c r="E6445" s="87"/>
      <c r="F6445" s="87"/>
      <c r="G6445" s="87"/>
    </row>
    <row r="6446">
      <c r="A6446" s="86">
        <f>IFERROR(__xludf.DUMMYFUNCTION("""COMPUTED_VALUE"""),6444.0)</f>
        <v>6444</v>
      </c>
      <c r="B6446" s="87" t="str">
        <f>IFERROR(__xludf.DUMMYFUNCTION("""COMPUTED_VALUE"""),"NL")</f>
        <v>NL</v>
      </c>
      <c r="C6446" s="87" t="str">
        <f>IFERROR(__xludf.DUMMYFUNCTION("""COMPUTED_VALUE"""),"NLT0294")</f>
        <v>NLT0294</v>
      </c>
      <c r="D6446" s="87" t="str">
        <f>IFERROR(__xludf.DUMMYFUNCTION("""COMPUTED_VALUE"""),"MgCl2 khan")</f>
        <v>MgCl2 khan</v>
      </c>
      <c r="E6446" s="87"/>
      <c r="F6446" s="87"/>
      <c r="G6446" s="87"/>
    </row>
    <row r="6447">
      <c r="A6447" s="86">
        <f>IFERROR(__xludf.DUMMYFUNCTION("""COMPUTED_VALUE"""),6445.0)</f>
        <v>6445</v>
      </c>
      <c r="B6447" s="87" t="str">
        <f>IFERROR(__xludf.DUMMYFUNCTION("""COMPUTED_VALUE"""),"NL")</f>
        <v>NL</v>
      </c>
      <c r="C6447" s="87" t="str">
        <f>IFERROR(__xludf.DUMMYFUNCTION("""COMPUTED_VALUE"""),"NLT0295")</f>
        <v>NLT0295</v>
      </c>
      <c r="D6447" s="87" t="str">
        <f>IFERROR(__xludf.DUMMYFUNCTION("""COMPUTED_VALUE"""),"Passionate E24101692 ( hương ngọt)")</f>
        <v>Passionate E24101692 ( hương ngọt)</v>
      </c>
      <c r="E6447" s="87"/>
      <c r="F6447" s="87"/>
      <c r="G6447" s="87"/>
    </row>
    <row r="6448">
      <c r="A6448" s="86">
        <f>IFERROR(__xludf.DUMMYFUNCTION("""COMPUTED_VALUE"""),6446.0)</f>
        <v>6446</v>
      </c>
      <c r="B6448" s="87" t="str">
        <f>IFERROR(__xludf.DUMMYFUNCTION("""COMPUTED_VALUE"""),"NL")</f>
        <v>NL</v>
      </c>
      <c r="C6448" s="87" t="str">
        <f>IFERROR(__xludf.DUMMYFUNCTION("""COMPUTED_VALUE"""),"NLT0296")</f>
        <v>NLT0296</v>
      </c>
      <c r="D6448" s="87" t="str">
        <f>IFERROR(__xludf.DUMMYFUNCTION("""COMPUTED_VALUE"""),"H3PO3 super")</f>
        <v>H3PO3 super</v>
      </c>
      <c r="E6448" s="87"/>
      <c r="F6448" s="87"/>
      <c r="G6448" s="87"/>
    </row>
    <row r="6449">
      <c r="A6449" s="86">
        <f>IFERROR(__xludf.DUMMYFUNCTION("""COMPUTED_VALUE"""),6447.0)</f>
        <v>6447</v>
      </c>
      <c r="B6449" s="87" t="str">
        <f>IFERROR(__xludf.DUMMYFUNCTION("""COMPUTED_VALUE"""),"NL")</f>
        <v>NL</v>
      </c>
      <c r="C6449" s="87" t="str">
        <f>IFERROR(__xludf.DUMMYFUNCTION("""COMPUTED_VALUE"""),"NLT0297")</f>
        <v>NLT0297</v>
      </c>
      <c r="D6449" s="87" t="str">
        <f>IFERROR(__xludf.DUMMYFUNCTION("""COMPUTED_VALUE"""),"AKP (0-60-20) Acidic Potassium Phosphate")</f>
        <v>AKP (0-60-20) Acidic Potassium Phosphate</v>
      </c>
      <c r="E6449" s="87"/>
      <c r="F6449" s="87"/>
      <c r="G6449" s="87"/>
    </row>
    <row r="6450">
      <c r="A6450" s="86">
        <f>IFERROR(__xludf.DUMMYFUNCTION("""COMPUTED_VALUE"""),6448.0)</f>
        <v>6448</v>
      </c>
      <c r="B6450" s="87" t="str">
        <f>IFERROR(__xludf.DUMMYFUNCTION("""COMPUTED_VALUE"""),"NL")</f>
        <v>NL</v>
      </c>
      <c r="C6450" s="87" t="str">
        <f>IFERROR(__xludf.DUMMYFUNCTION("""COMPUTED_VALUE"""),"NLT0306")</f>
        <v>NLT0306</v>
      </c>
      <c r="D6450" s="87" t="str">
        <f>IFERROR(__xludf.DUMMYFUNCTION("""COMPUTED_VALUE"""),"Alcohol ethoxylate")</f>
        <v>Alcohol ethoxylate</v>
      </c>
      <c r="E6450" s="87"/>
      <c r="F6450" s="87"/>
      <c r="G6450" s="87"/>
    </row>
    <row r="6451">
      <c r="A6451" s="86">
        <f>IFERROR(__xludf.DUMMYFUNCTION("""COMPUTED_VALUE"""),6449.0)</f>
        <v>6449</v>
      </c>
      <c r="B6451" s="87" t="str">
        <f>IFERROR(__xludf.DUMMYFUNCTION("""COMPUTED_VALUE"""),"NL")</f>
        <v>NL</v>
      </c>
      <c r="C6451" s="87" t="str">
        <f>IFERROR(__xludf.DUMMYFUNCTION("""COMPUTED_VALUE"""),"NLT0305")</f>
        <v>NLT0305</v>
      </c>
      <c r="D6451" s="87" t="str">
        <f>IFERROR(__xludf.DUMMYFUNCTION("""COMPUTED_VALUE"""),"Bột màu Red 244")</f>
        <v>Bột màu Red 244</v>
      </c>
      <c r="E6451" s="87"/>
      <c r="F6451" s="87"/>
      <c r="G6451" s="87"/>
    </row>
    <row r="6452">
      <c r="A6452" s="86">
        <f>IFERROR(__xludf.DUMMYFUNCTION("""COMPUTED_VALUE"""),6450.0)</f>
        <v>6450</v>
      </c>
      <c r="B6452" s="87" t="str">
        <f>IFERROR(__xludf.DUMMYFUNCTION("""COMPUTED_VALUE"""),"NL")</f>
        <v>NL</v>
      </c>
      <c r="C6452" s="87" t="str">
        <f>IFERROR(__xludf.DUMMYFUNCTION("""COMPUTED_VALUE"""),"NLT0304")</f>
        <v>NLT0304</v>
      </c>
      <c r="D6452" s="87" t="str">
        <f>IFERROR(__xludf.DUMMYFUNCTION("""COMPUTED_VALUE"""),"Bột màu Blue 35")</f>
        <v>Bột màu Blue 35</v>
      </c>
      <c r="E6452" s="87"/>
      <c r="F6452" s="87"/>
      <c r="G6452" s="87"/>
    </row>
    <row r="6453">
      <c r="A6453" s="86">
        <f>IFERROR(__xludf.DUMMYFUNCTION("""COMPUTED_VALUE"""),6451.0)</f>
        <v>6451</v>
      </c>
      <c r="B6453" s="87" t="str">
        <f>IFERROR(__xludf.DUMMYFUNCTION("""COMPUTED_VALUE"""),"NL")</f>
        <v>NL</v>
      </c>
      <c r="C6453" s="87" t="str">
        <f>IFERROR(__xludf.DUMMYFUNCTION("""COMPUTED_VALUE"""),"NLT0303")</f>
        <v>NLT0303</v>
      </c>
      <c r="D6453" s="87" t="str">
        <f>IFERROR(__xludf.DUMMYFUNCTION("""COMPUTED_VALUE"""),"Thiacloprid 96%TC")</f>
        <v>Thiacloprid 96%TC</v>
      </c>
      <c r="E6453" s="87"/>
      <c r="F6453" s="87"/>
      <c r="G6453" s="87"/>
    </row>
    <row r="6454">
      <c r="A6454" s="86">
        <f>IFERROR(__xludf.DUMMYFUNCTION("""COMPUTED_VALUE"""),6452.0)</f>
        <v>6452</v>
      </c>
      <c r="B6454" s="87" t="str">
        <f>IFERROR(__xludf.DUMMYFUNCTION("""COMPUTED_VALUE"""),"NL")</f>
        <v>NL</v>
      </c>
      <c r="C6454" s="87" t="str">
        <f>IFERROR(__xludf.DUMMYFUNCTION("""COMPUTED_VALUE"""),"NLT0302")</f>
        <v>NLT0302</v>
      </c>
      <c r="D6454" s="87" t="str">
        <f>IFERROR(__xludf.DUMMYFUNCTION("""COMPUTED_VALUE"""),"Fenoxanil 97%TC")</f>
        <v>Fenoxanil 97%TC</v>
      </c>
      <c r="E6454" s="87"/>
      <c r="F6454" s="87"/>
      <c r="G6454" s="87"/>
    </row>
    <row r="6455">
      <c r="A6455" s="86">
        <f>IFERROR(__xludf.DUMMYFUNCTION("""COMPUTED_VALUE"""),6453.0)</f>
        <v>6453</v>
      </c>
      <c r="B6455" s="87" t="str">
        <f>IFERROR(__xludf.DUMMYFUNCTION("""COMPUTED_VALUE"""),"NL")</f>
        <v>NL</v>
      </c>
      <c r="C6455" s="87" t="str">
        <f>IFERROR(__xludf.DUMMYFUNCTION("""COMPUTED_VALUE"""),"NLT0300")</f>
        <v>NLT0300</v>
      </c>
      <c r="D6455" s="87" t="str">
        <f>IFERROR(__xludf.DUMMYFUNCTION("""COMPUTED_VALUE"""),"Hóa chất Copper Hydroxide chai 500g")</f>
        <v>Hóa chất Copper Hydroxide chai 500g</v>
      </c>
      <c r="E6455" s="87"/>
      <c r="F6455" s="87"/>
      <c r="G6455" s="87"/>
    </row>
    <row r="6456">
      <c r="A6456" s="86">
        <f>IFERROR(__xludf.DUMMYFUNCTION("""COMPUTED_VALUE"""),6454.0)</f>
        <v>6454</v>
      </c>
      <c r="B6456" s="87" t="str">
        <f>IFERROR(__xludf.DUMMYFUNCTION("""COMPUTED_VALUE"""),"NL")</f>
        <v>NL</v>
      </c>
      <c r="C6456" s="87" t="str">
        <f>IFERROR(__xludf.DUMMYFUNCTION("""COMPUTED_VALUE"""),"NA0020V1")</f>
        <v>NA0020V1</v>
      </c>
      <c r="D6456" s="87" t="str">
        <f>IFERROR(__xludf.DUMMYFUNCTION("""COMPUTED_VALUE"""),"Phụ gia NA0020V1")</f>
        <v>Phụ gia NA0020V1</v>
      </c>
      <c r="E6456" s="87"/>
      <c r="F6456" s="87"/>
      <c r="G6456" s="87"/>
    </row>
    <row r="6457">
      <c r="A6457" s="86">
        <f>IFERROR(__xludf.DUMMYFUNCTION("""COMPUTED_VALUE"""),6455.0)</f>
        <v>6455</v>
      </c>
      <c r="B6457" s="87" t="str">
        <f>IFERROR(__xludf.DUMMYFUNCTION("""COMPUTED_VALUE"""),"NL")</f>
        <v>NL</v>
      </c>
      <c r="C6457" s="87" t="str">
        <f>IFERROR(__xludf.DUMMYFUNCTION("""COMPUTED_VALUE"""),"10CR0001V1-251125")</f>
        <v>10CR0001V1-251125</v>
      </c>
      <c r="D6457" s="87" t="str">
        <f>IFERROR(__xludf.DUMMYFUNCTION("""COMPUTED_VALUE"""),"10CR0001V1-251125")</f>
        <v>10CR0001V1-251125</v>
      </c>
      <c r="E6457" s="87"/>
      <c r="F6457" s="87"/>
      <c r="G6457" s="87"/>
    </row>
    <row r="6458">
      <c r="A6458" s="86">
        <f>IFERROR(__xludf.DUMMYFUNCTION("""COMPUTED_VALUE"""),6456.0)</f>
        <v>6456</v>
      </c>
      <c r="B6458" s="87" t="str">
        <f>IFERROR(__xludf.DUMMYFUNCTION("""COMPUTED_VALUE"""),"NL")</f>
        <v>NL</v>
      </c>
      <c r="C6458" s="87" t="str">
        <f>IFERROR(__xludf.DUMMYFUNCTION("""COMPUTED_VALUE"""),"10CR0027V3-810126/1290126-1")</f>
        <v>10CR0027V3-810126/1290126-1</v>
      </c>
      <c r="D6458" s="87" t="str">
        <f>IFERROR(__xludf.DUMMYFUNCTION("""COMPUTED_VALUE"""),"10CR0027V3-810126/1290126-1")</f>
        <v>10CR0027V3-810126/1290126-1</v>
      </c>
      <c r="E6458" s="87"/>
      <c r="F6458" s="87"/>
      <c r="G6458" s="87"/>
    </row>
    <row r="6459">
      <c r="A6459" s="86">
        <f>IFERROR(__xludf.DUMMYFUNCTION("""COMPUTED_VALUE"""),6457.0)</f>
        <v>6457</v>
      </c>
      <c r="B6459" s="87" t="str">
        <f>IFERROR(__xludf.DUMMYFUNCTION("""COMPUTED_VALUE"""),"NL")</f>
        <v>NL</v>
      </c>
      <c r="C6459" s="87" t="str">
        <f>IFERROR(__xludf.DUMMYFUNCTION("""COMPUTED_VALUE"""),"10CR0027V5")</f>
        <v>10CR0027V5</v>
      </c>
      <c r="D6459" s="87" t="str">
        <f>IFERROR(__xludf.DUMMYFUNCTION("""COMPUTED_VALUE"""),"10CR0027V5")</f>
        <v>10CR0027V5</v>
      </c>
      <c r="E6459" s="87"/>
      <c r="F6459" s="87"/>
      <c r="G6459" s="87"/>
    </row>
    <row r="6460">
      <c r="A6460" s="86">
        <f>IFERROR(__xludf.DUMMYFUNCTION("""COMPUTED_VALUE"""),6458.0)</f>
        <v>6458</v>
      </c>
      <c r="B6460" s="87" t="str">
        <f>IFERROR(__xludf.DUMMYFUNCTION("""COMPUTED_VALUE"""),"NL")</f>
        <v>NL</v>
      </c>
      <c r="C6460" s="87" t="str">
        <f>IFERROR(__xludf.DUMMYFUNCTION("""COMPUTED_VALUE"""),"NLT0251")</f>
        <v>NLT0251</v>
      </c>
      <c r="D6460" s="87" t="str">
        <f>IFERROR(__xludf.DUMMYFUNCTION("""COMPUTED_VALUE"""),"Humic viên dòng 8-0-1")</f>
        <v>Humic viên dòng 8-0-1</v>
      </c>
      <c r="E6460" s="87"/>
      <c r="F6460" s="87"/>
      <c r="G6460" s="87"/>
    </row>
    <row r="6461">
      <c r="A6461" s="86">
        <f>IFERROR(__xludf.DUMMYFUNCTION("""COMPUTED_VALUE"""),6459.0)</f>
        <v>6459</v>
      </c>
      <c r="B6461" s="87" t="str">
        <f>IFERROR(__xludf.DUMMYFUNCTION("""COMPUTED_VALUE"""),"NL")</f>
        <v>NL</v>
      </c>
      <c r="C6461" s="87" t="str">
        <f>IFERROR(__xludf.DUMMYFUNCTION("""COMPUTED_VALUE"""),"NLT0309")</f>
        <v>NLT0309</v>
      </c>
      <c r="D6461" s="87" t="str">
        <f>IFERROR(__xludf.DUMMYFUNCTION("""COMPUTED_VALUE"""),"Solu Bo TNK (Phân bón vi lượng - Phân vi lượng bón rễ Boron Uni - Farm )")</f>
        <v>Solu Bo TNK (Phân bón vi lượng - Phân vi lượng bón rễ Boron Uni - Farm )</v>
      </c>
      <c r="E6461" s="87"/>
      <c r="F6461" s="87"/>
      <c r="G6461" s="87"/>
    </row>
    <row r="6462">
      <c r="A6462" s="86">
        <f>IFERROR(__xludf.DUMMYFUNCTION("""COMPUTED_VALUE"""),6460.0)</f>
        <v>6460</v>
      </c>
      <c r="B6462" s="87" t="str">
        <f>IFERROR(__xludf.DUMMYFUNCTION("""COMPUTED_VALUE"""),"NL")</f>
        <v>NL</v>
      </c>
      <c r="C6462" s="87" t="str">
        <f>IFERROR(__xludf.DUMMYFUNCTION("""COMPUTED_VALUE"""),"NLT0310")</f>
        <v>NLT0310</v>
      </c>
      <c r="D6462" s="87" t="str">
        <f>IFERROR(__xludf.DUMMYFUNCTION("""COMPUTED_VALUE"""),"Sodium metabisulfite hàng Thái")</f>
        <v>Sodium metabisulfite hàng Thái</v>
      </c>
      <c r="E6462" s="87"/>
      <c r="F6462" s="87"/>
      <c r="G6462" s="87"/>
    </row>
    <row r="6463">
      <c r="A6463" s="86">
        <f>IFERROR(__xludf.DUMMYFUNCTION("""COMPUTED_VALUE"""),6461.0)</f>
        <v>6461</v>
      </c>
      <c r="B6463" s="87" t="str">
        <f>IFERROR(__xludf.DUMMYFUNCTION("""COMPUTED_VALUE"""),"NL")</f>
        <v>NL</v>
      </c>
      <c r="C6463" s="87" t="str">
        <f>IFERROR(__xludf.DUMMYFUNCTION("""COMPUTED_VALUE"""),"NLT0311")</f>
        <v>NLT0311</v>
      </c>
      <c r="D6463" s="87" t="str">
        <f>IFERROR(__xludf.DUMMYFUNCTION("""COMPUTED_VALUE"""),"Sodium metabisulfite hàng Ý")</f>
        <v>Sodium metabisulfite hàng Ý</v>
      </c>
      <c r="E6463" s="87"/>
      <c r="F6463" s="87"/>
      <c r="G6463" s="87"/>
    </row>
    <row r="6464">
      <c r="A6464" s="86">
        <f>IFERROR(__xludf.DUMMYFUNCTION("""COMPUTED_VALUE"""),6462.0)</f>
        <v>6462</v>
      </c>
      <c r="B6464" s="87" t="str">
        <f>IFERROR(__xludf.DUMMYFUNCTION("""COMPUTED_VALUE"""),"NL")</f>
        <v>NL</v>
      </c>
      <c r="C6464" s="87" t="str">
        <f>IFERROR(__xludf.DUMMYFUNCTION("""COMPUTED_VALUE"""),"BTPR0086")</f>
        <v>BTPR0086</v>
      </c>
      <c r="D6464" s="87" t="str">
        <f>IFERROR(__xludf.DUMMYFUNCTION("""COMPUTED_VALUE"""),"NOMIDA 10WP (imidacloprid 100g/kg)")</f>
        <v>NOMIDA 10WP (imidacloprid 100g/kg)</v>
      </c>
      <c r="E6464" s="87"/>
      <c r="F6464" s="87"/>
      <c r="G6464" s="87"/>
    </row>
    <row r="6465">
      <c r="A6465" s="86">
        <f>IFERROR(__xludf.DUMMYFUNCTION("""COMPUTED_VALUE"""),6463.0)</f>
        <v>6463</v>
      </c>
      <c r="B6465" s="87" t="str">
        <f>IFERROR(__xludf.DUMMYFUNCTION("""COMPUTED_VALUE"""),"NL")</f>
        <v>NL</v>
      </c>
      <c r="C6465" s="87" t="str">
        <f>IFERROR(__xludf.DUMMYFUNCTION("""COMPUTED_VALUE"""),"NLT0317")</f>
        <v>NLT0317</v>
      </c>
      <c r="D6465" s="87" t="str">
        <f>IFERROR(__xludf.DUMMYFUNCTION("""COMPUTED_VALUE"""),"Fumed silica (Silica vô định hình)")</f>
        <v>Fumed silica (Silica vô định hình)</v>
      </c>
      <c r="E6465" s="87"/>
      <c r="F6465" s="87"/>
      <c r="G6465" s="87"/>
    </row>
    <row r="6466">
      <c r="A6466" s="86">
        <f>IFERROR(__xludf.DUMMYFUNCTION("""COMPUTED_VALUE"""),6464.0)</f>
        <v>6464</v>
      </c>
      <c r="B6466" s="87" t="str">
        <f>IFERROR(__xludf.DUMMYFUNCTION("""COMPUTED_VALUE"""),"NL")</f>
        <v>NL</v>
      </c>
      <c r="C6466" s="87" t="str">
        <f>IFERROR(__xludf.DUMMYFUNCTION("""COMPUTED_VALUE"""),"NLT0316")</f>
        <v>NLT0316</v>
      </c>
      <c r="D6466" s="87" t="str">
        <f>IFERROR(__xludf.DUMMYFUNCTION("""COMPUTED_VALUE"""),"Alcohol ethoxylate (AEO-9)")</f>
        <v>Alcohol ethoxylate (AEO-9)</v>
      </c>
      <c r="E6466" s="87"/>
      <c r="F6466" s="87"/>
      <c r="G6466" s="87"/>
    </row>
    <row r="6467">
      <c r="A6467" s="86">
        <f>IFERROR(__xludf.DUMMYFUNCTION("""COMPUTED_VALUE"""),6465.0)</f>
        <v>6465</v>
      </c>
      <c r="B6467" s="87" t="str">
        <f>IFERROR(__xludf.DUMMYFUNCTION("""COMPUTED_VALUE"""),"NL")</f>
        <v>NL</v>
      </c>
      <c r="C6467" s="87" t="str">
        <f>IFERROR(__xludf.DUMMYFUNCTION("""COMPUTED_VALUE"""),"NLT0315")</f>
        <v>NLT0315</v>
      </c>
      <c r="D6467" s="87" t="str">
        <f>IFERROR(__xludf.DUMMYFUNCTION("""COMPUTED_VALUE"""),"Sodium polyacrylate (Natri polyacrylat)")</f>
        <v>Sodium polyacrylate (Natri polyacrylat)</v>
      </c>
      <c r="E6467" s="87"/>
      <c r="F6467" s="87"/>
      <c r="G6467" s="87"/>
    </row>
    <row r="6468">
      <c r="A6468" s="86">
        <f>IFERROR(__xludf.DUMMYFUNCTION("""COMPUTED_VALUE"""),6466.0)</f>
        <v>6466</v>
      </c>
      <c r="B6468" s="87" t="str">
        <f>IFERROR(__xludf.DUMMYFUNCTION("""COMPUTED_VALUE"""),"NL")</f>
        <v>NL</v>
      </c>
      <c r="C6468" s="87" t="str">
        <f>IFERROR(__xludf.DUMMYFUNCTION("""COMPUTED_VALUE"""),"NLT0314")</f>
        <v>NLT0314</v>
      </c>
      <c r="D6468" s="87" t="str">
        <f>IFERROR(__xludf.DUMMYFUNCTION("""COMPUTED_VALUE"""),"Alcohol ethoxylate CAS 68131-39-5 AEO-9")</f>
        <v>Alcohol ethoxylate CAS 68131-39-5 AEO-9</v>
      </c>
      <c r="E6468" s="87"/>
      <c r="F6468" s="87"/>
      <c r="G6468" s="87"/>
    </row>
    <row r="6469">
      <c r="A6469" s="86">
        <f>IFERROR(__xludf.DUMMYFUNCTION("""COMPUTED_VALUE"""),6467.0)</f>
        <v>6467</v>
      </c>
      <c r="B6469" s="87" t="str">
        <f>IFERROR(__xludf.DUMMYFUNCTION("""COMPUTED_VALUE"""),"NL")</f>
        <v>NL</v>
      </c>
      <c r="C6469" s="87" t="str">
        <f>IFERROR(__xludf.DUMMYFUNCTION("""COMPUTED_VALUE"""),"NLT0312")</f>
        <v>NLT0312</v>
      </c>
      <c r="D6469" s="87" t="str">
        <f>IFERROR(__xludf.DUMMYFUNCTION("""COMPUTED_VALUE"""),"Phân bón hữu cơ AGP Super 20 ( humic 8 0 0)")</f>
        <v>Phân bón hữu cơ AGP Super 20 ( humic 8 0 0)</v>
      </c>
      <c r="E6469" s="87"/>
      <c r="F6469" s="87"/>
      <c r="G6469" s="87"/>
    </row>
    <row r="6470">
      <c r="A6470" s="86">
        <f>IFERROR(__xludf.DUMMYFUNCTION("""COMPUTED_VALUE"""),6468.0)</f>
        <v>6468</v>
      </c>
      <c r="B6470" s="87" t="str">
        <f>IFERROR(__xludf.DUMMYFUNCTION("""COMPUTED_VALUE"""),"NL")</f>
        <v>NL</v>
      </c>
      <c r="C6470" s="87" t="str">
        <f>IFERROR(__xludf.DUMMYFUNCTION("""COMPUTED_VALUE"""),"NLT0286")</f>
        <v>NLT0286</v>
      </c>
      <c r="D6470" s="87" t="str">
        <f>IFERROR(__xludf.DUMMYFUNCTION("""COMPUTED_VALUE"""),"Ure TQ")</f>
        <v>Ure TQ</v>
      </c>
      <c r="E6470" s="87"/>
      <c r="F6470" s="87"/>
      <c r="G6470" s="87"/>
    </row>
    <row r="6471">
      <c r="A6471" s="86">
        <f>IFERROR(__xludf.DUMMYFUNCTION("""COMPUTED_VALUE"""),6469.0)</f>
        <v>6469</v>
      </c>
      <c r="B6471" s="87" t="str">
        <f>IFERROR(__xludf.DUMMYFUNCTION("""COMPUTED_VALUE"""),"NL")</f>
        <v>NL</v>
      </c>
      <c r="C6471" s="87" t="str">
        <f>IFERROR(__xludf.DUMMYFUNCTION("""COMPUTED_VALUE"""),"11TT0010V1-450226")</f>
        <v>11TT0010V1-450226</v>
      </c>
      <c r="D6471" s="87" t="str">
        <f>IFERROR(__xludf.DUMMYFUNCTION("""COMPUTED_VALUE"""),"11TT0010V1-450226")</f>
        <v>11TT0010V1-450226</v>
      </c>
      <c r="E6471" s="87"/>
      <c r="F6471" s="87"/>
      <c r="G6471" s="87"/>
    </row>
    <row r="6472">
      <c r="A6472" s="86">
        <f>IFERROR(__xludf.DUMMYFUNCTION("""COMPUTED_VALUE"""),6470.0)</f>
        <v>6470</v>
      </c>
      <c r="B6472" s="87" t="str">
        <f>IFERROR(__xludf.DUMMYFUNCTION("""COMPUTED_VALUE"""),"NL")</f>
        <v>NL</v>
      </c>
      <c r="C6472" s="87" t="str">
        <f>IFERROR(__xludf.DUMMYFUNCTION("""COMPUTED_VALUE"""),"11TT0010V1-450226-1")</f>
        <v>11TT0010V1-450226-1</v>
      </c>
      <c r="D6472" s="87" t="str">
        <f>IFERROR(__xludf.DUMMYFUNCTION("""COMPUTED_VALUE"""),"11TT0010V1-450226-1")</f>
        <v>11TT0010V1-450226-1</v>
      </c>
      <c r="E6472" s="87"/>
      <c r="F6472" s="87"/>
      <c r="G6472" s="87"/>
    </row>
    <row r="6473">
      <c r="A6473" s="86">
        <f>IFERROR(__xludf.DUMMYFUNCTION("""COMPUTED_VALUE"""),6471.0)</f>
        <v>6471</v>
      </c>
      <c r="B6473" s="87" t="str">
        <f>IFERROR(__xludf.DUMMYFUNCTION("""COMPUTED_VALUE"""),"NL")</f>
        <v>NL</v>
      </c>
      <c r="C6473" s="87" t="str">
        <f>IFERROR(__xludf.DUMMYFUNCTION("""COMPUTED_VALUE"""),"01RR0071V5-340126-1")</f>
        <v>01RR0071V5-340126-1</v>
      </c>
      <c r="D6473" s="87" t="str">
        <f>IFERROR(__xludf.DUMMYFUNCTION("""COMPUTED_VALUE"""),"01RR0071V5-340126-1")</f>
        <v>01RR0071V5-340126-1</v>
      </c>
      <c r="E6473" s="87"/>
      <c r="F6473" s="87"/>
      <c r="G6473" s="87"/>
    </row>
    <row r="6474">
      <c r="A6474" s="86">
        <f>IFERROR(__xludf.DUMMYFUNCTION("""COMPUTED_VALUE"""),6472.0)</f>
        <v>6472</v>
      </c>
      <c r="B6474" s="87" t="str">
        <f>IFERROR(__xludf.DUMMYFUNCTION("""COMPUTED_VALUE"""),"NL")</f>
        <v>NL</v>
      </c>
      <c r="C6474" s="87" t="str">
        <f>IFERROR(__xludf.DUMMYFUNCTION("""COMPUTED_VALUE"""),"01RR0071V5-340126")</f>
        <v>01RR0071V5-340126</v>
      </c>
      <c r="D6474" s="87" t="str">
        <f>IFERROR(__xludf.DUMMYFUNCTION("""COMPUTED_VALUE"""),"01RR0071V5-340126")</f>
        <v>01RR0071V5-340126</v>
      </c>
      <c r="E6474" s="87"/>
      <c r="F6474" s="87"/>
      <c r="G6474" s="87"/>
    </row>
    <row r="6475">
      <c r="A6475" s="86">
        <f>IFERROR(__xludf.DUMMYFUNCTION("""COMPUTED_VALUE"""),6473.0)</f>
        <v>6473</v>
      </c>
      <c r="B6475" s="87" t="str">
        <f>IFERROR(__xludf.DUMMYFUNCTION("""COMPUTED_VALUE"""),"NL")</f>
        <v>NL</v>
      </c>
      <c r="C6475" s="87" t="str">
        <f>IFERROR(__xludf.DUMMYFUNCTION("""COMPUTED_VALUE"""),"10CR0021-020326")</f>
        <v>10CR0021-020326</v>
      </c>
      <c r="D6475" s="87" t="str">
        <f>IFERROR(__xludf.DUMMYFUNCTION("""COMPUTED_VALUE"""),"10CR0021-020326")</f>
        <v>10CR0021-020326</v>
      </c>
      <c r="E6475" s="87"/>
      <c r="F6475" s="87"/>
      <c r="G6475" s="87"/>
    </row>
    <row r="6476">
      <c r="A6476" s="86">
        <f>IFERROR(__xludf.DUMMYFUNCTION("""COMPUTED_VALUE"""),6474.0)</f>
        <v>6474</v>
      </c>
      <c r="B6476" s="87" t="str">
        <f>IFERROR(__xludf.DUMMYFUNCTION("""COMPUTED_VALUE"""),"NL")</f>
        <v>NL</v>
      </c>
      <c r="C6476" s="87" t="str">
        <f>IFERROR(__xludf.DUMMYFUNCTION("""COMPUTED_VALUE"""),"01RR0044V3-1450126")</f>
        <v>01RR0044V3-1450126</v>
      </c>
      <c r="D6476" s="87" t="str">
        <f>IFERROR(__xludf.DUMMYFUNCTION("""COMPUTED_VALUE"""),"01RR0044V3-1450126")</f>
        <v>01RR0044V3-1450126</v>
      </c>
      <c r="E6476" s="87"/>
      <c r="F6476" s="87"/>
      <c r="G6476" s="87"/>
    </row>
    <row r="6477">
      <c r="A6477" s="86">
        <f>IFERROR(__xludf.DUMMYFUNCTION("""COMPUTED_VALUE"""),6475.0)</f>
        <v>6475</v>
      </c>
      <c r="B6477" s="87" t="str">
        <f>IFERROR(__xludf.DUMMYFUNCTION("""COMPUTED_VALUE"""),"NL")</f>
        <v>NL</v>
      </c>
      <c r="C6477" s="87" t="str">
        <f>IFERROR(__xludf.DUMMYFUNCTION("""COMPUTED_VALUE"""),"BTPNK0001")</f>
        <v>BTPNK0001</v>
      </c>
      <c r="D6477" s="87" t="str">
        <f>IFERROR(__xludf.DUMMYFUNCTION("""COMPUTED_VALUE"""),"Bán thành phẩm nhập khẩu Abamectin 3.6% W/W EC nâu")</f>
        <v>Bán thành phẩm nhập khẩu Abamectin 3.6% W/W EC nâu</v>
      </c>
      <c r="E6477" s="87"/>
      <c r="F6477" s="87"/>
      <c r="G6477" s="87"/>
    </row>
    <row r="6478">
      <c r="A6478" s="86">
        <f>IFERROR(__xludf.DUMMYFUNCTION("""COMPUTED_VALUE"""),6476.0)</f>
        <v>6476</v>
      </c>
      <c r="B6478" s="87" t="str">
        <f>IFERROR(__xludf.DUMMYFUNCTION("""COMPUTED_VALUE"""),"NL")</f>
        <v>NL</v>
      </c>
      <c r="C6478" s="87" t="str">
        <f>IFERROR(__xludf.DUMMYFUNCTION("""COMPUTED_VALUE"""),"NLT0321")</f>
        <v>NLT0321</v>
      </c>
      <c r="D6478" s="87" t="str">
        <f>IFERROR(__xludf.DUMMYFUNCTION("""COMPUTED_VALUE"""),"Cocamidopropyl Betaine (CAPB)")</f>
        <v>Cocamidopropyl Betaine (CAPB)</v>
      </c>
      <c r="E6478" s="87"/>
      <c r="F6478" s="87"/>
      <c r="G6478" s="87"/>
    </row>
    <row r="6479">
      <c r="A6479" s="86">
        <f>IFERROR(__xludf.DUMMYFUNCTION("""COMPUTED_VALUE"""),6477.0)</f>
        <v>6477</v>
      </c>
      <c r="B6479" s="87" t="str">
        <f>IFERROR(__xludf.DUMMYFUNCTION("""COMPUTED_VALUE"""),"NL")</f>
        <v>NL</v>
      </c>
      <c r="C6479" s="87" t="str">
        <f>IFERROR(__xludf.DUMMYFUNCTION("""COMPUTED_VALUE"""),"NLT0320")</f>
        <v>NLT0320</v>
      </c>
      <c r="D6479" s="87" t="str">
        <f>IFERROR(__xludf.DUMMYFUNCTION("""COMPUTED_VALUE"""),"Hydroxypropyl methyl cellulose (HPMC)")</f>
        <v>Hydroxypropyl methyl cellulose (HPMC)</v>
      </c>
      <c r="E6479" s="87"/>
      <c r="F6479" s="87"/>
      <c r="G6479" s="87"/>
    </row>
    <row r="6480">
      <c r="A6480" s="86">
        <f>IFERROR(__xludf.DUMMYFUNCTION("""COMPUTED_VALUE"""),6478.0)</f>
        <v>6478</v>
      </c>
      <c r="B6480" s="87" t="str">
        <f>IFERROR(__xludf.DUMMYFUNCTION("""COMPUTED_VALUE"""),"NL")</f>
        <v>NL</v>
      </c>
      <c r="C6480" s="87" t="str">
        <f>IFERROR(__xludf.DUMMYFUNCTION("""COMPUTED_VALUE"""),"NLT0319")</f>
        <v>NLT0319</v>
      </c>
      <c r="D6480" s="87" t="str">
        <f>IFERROR(__xludf.DUMMYFUNCTION("""COMPUTED_VALUE"""),"Viscotex LX")</f>
        <v>Viscotex LX</v>
      </c>
      <c r="E6480" s="87"/>
      <c r="F6480" s="87"/>
      <c r="G6480" s="87"/>
    </row>
    <row r="6481">
      <c r="A6481" s="86">
        <f>IFERROR(__xludf.DUMMYFUNCTION("""COMPUTED_VALUE"""),6479.0)</f>
        <v>6479</v>
      </c>
      <c r="B6481" s="87" t="str">
        <f>IFERROR(__xludf.DUMMYFUNCTION("""COMPUTED_VALUE"""),"NL")</f>
        <v>NL</v>
      </c>
      <c r="C6481" s="87" t="str">
        <f>IFERROR(__xludf.DUMMYFUNCTION("""COMPUTED_VALUE"""),"NLT0318")</f>
        <v>NLT0318</v>
      </c>
      <c r="D6481" s="87" t="str">
        <f>IFERROR(__xludf.DUMMYFUNCTION("""COMPUTED_VALUE"""),"Coco betaine (CAB)")</f>
        <v>Coco betaine (CAB)</v>
      </c>
      <c r="E6481" s="87"/>
      <c r="F6481" s="87"/>
      <c r="G6481" s="87"/>
    </row>
    <row r="6482">
      <c r="A6482" s="86">
        <f>IFERROR(__xludf.DUMMYFUNCTION("""COMPUTED_VALUE"""),6480.0)</f>
        <v>6480</v>
      </c>
      <c r="B6482" s="87" t="str">
        <f>IFERROR(__xludf.DUMMYFUNCTION("""COMPUTED_VALUE"""),"NL")</f>
        <v>NL</v>
      </c>
      <c r="C6482" s="87" t="str">
        <f>IFERROR(__xludf.DUMMYFUNCTION("""COMPUTED_VALUE"""),"10CR0021-380226/180326/210326")</f>
        <v>10CR0021-380226/180326/210326</v>
      </c>
      <c r="D6482" s="87" t="str">
        <f>IFERROR(__xludf.DUMMYFUNCTION("""COMPUTED_VALUE"""),"10CR0021-380226/180326/210326")</f>
        <v>10CR0021-380226/180326/210326</v>
      </c>
      <c r="E6482" s="87"/>
      <c r="F6482" s="87"/>
      <c r="G6482" s="87"/>
    </row>
    <row r="6483">
      <c r="A6483" s="86">
        <f>IFERROR(__xludf.DUMMYFUNCTION("""COMPUTED_VALUE"""),6481.0)</f>
        <v>6481</v>
      </c>
      <c r="B6483" s="87" t="str">
        <f>IFERROR(__xludf.DUMMYFUNCTION("""COMPUTED_VALUE"""),"NL")</f>
        <v>NL</v>
      </c>
      <c r="C6483" s="87" t="str">
        <f>IFERROR(__xludf.DUMMYFUNCTION("""COMPUTED_VALUE"""),"10CR0015V1-1050126")</f>
        <v>10CR0015V1-1050126</v>
      </c>
      <c r="D6483" s="87" t="str">
        <f>IFERROR(__xludf.DUMMYFUNCTION("""COMPUTED_VALUE"""),"10CR0015V1-1050126")</f>
        <v>10CR0015V1-1050126</v>
      </c>
      <c r="E6483" s="87"/>
      <c r="F6483" s="87"/>
      <c r="G6483" s="87"/>
    </row>
    <row r="6484">
      <c r="A6484" s="86">
        <f>IFERROR(__xludf.DUMMYFUNCTION("""COMPUTED_VALUE"""),6482.0)</f>
        <v>6482</v>
      </c>
      <c r="B6484" s="87" t="str">
        <f>IFERROR(__xludf.DUMMYFUNCTION("""COMPUTED_VALUE"""),"NL")</f>
        <v>NL</v>
      </c>
      <c r="C6484" s="87" t="str">
        <f>IFERROR(__xludf.DUMMYFUNCTION("""COMPUTED_VALUE"""),"01RR0044V3-250126")</f>
        <v>01RR0044V3-250126</v>
      </c>
      <c r="D6484" s="87" t="str">
        <f>IFERROR(__xludf.DUMMYFUNCTION("""COMPUTED_VALUE"""),"01RR0044V3-250126")</f>
        <v>01RR0044V3-250126</v>
      </c>
      <c r="E6484" s="87"/>
      <c r="F6484" s="87"/>
      <c r="G6484" s="87"/>
    </row>
    <row r="6485">
      <c r="A6485" s="86">
        <f>IFERROR(__xludf.DUMMYFUNCTION("""COMPUTED_VALUE"""),6483.0)</f>
        <v>6483</v>
      </c>
      <c r="B6485" s="87" t="str">
        <f>IFERROR(__xludf.DUMMYFUNCTION("""COMPUTED_VALUE"""),"NL")</f>
        <v>NL</v>
      </c>
      <c r="C6485" s="87" t="str">
        <f>IFERROR(__xludf.DUMMYFUNCTION("""COMPUTED_VALUE"""),"01RR0044V3-300426")</f>
        <v>01RR0044V3-300426</v>
      </c>
      <c r="D6485" s="87" t="str">
        <f>IFERROR(__xludf.DUMMYFUNCTION("""COMPUTED_VALUE"""),"01RR0044V3-300426")</f>
        <v>01RR0044V3-300426</v>
      </c>
      <c r="E6485" s="87"/>
      <c r="F6485" s="87"/>
      <c r="G6485" s="87"/>
    </row>
    <row r="6486">
      <c r="A6486" s="86">
        <f>IFERROR(__xludf.DUMMYFUNCTION("""COMPUTED_VALUE"""),6484.0)</f>
        <v>6484</v>
      </c>
      <c r="B6486" s="87" t="str">
        <f>IFERROR(__xludf.DUMMYFUNCTION("""COMPUTED_VALUE"""),"NL")</f>
        <v>NL</v>
      </c>
      <c r="C6486" s="87" t="str">
        <f>IFERROR(__xludf.DUMMYFUNCTION("""COMPUTED_VALUE"""),"01RR0084-240426")</f>
        <v>01RR0084-240426</v>
      </c>
      <c r="D6486" s="87" t="str">
        <f>IFERROR(__xludf.DUMMYFUNCTION("""COMPUTED_VALUE"""),"01RR0084-240426")</f>
        <v>01RR0084-240426</v>
      </c>
      <c r="E6486" s="87"/>
      <c r="F6486" s="87"/>
      <c r="G6486" s="87"/>
    </row>
    <row r="6487">
      <c r="A6487" s="86">
        <f>IFERROR(__xludf.DUMMYFUNCTION("""COMPUTED_VALUE"""),6485.0)</f>
        <v>6485</v>
      </c>
      <c r="B6487" s="87" t="str">
        <f>IFERROR(__xludf.DUMMYFUNCTION("""COMPUTED_VALUE"""),"NL")</f>
        <v>NL</v>
      </c>
      <c r="C6487" s="87" t="str">
        <f>IFERROR(__xludf.DUMMYFUNCTION("""COMPUTED_VALUE"""),"10CR0015V2-100526-2")</f>
        <v>10CR0015V2-100526-2</v>
      </c>
      <c r="D6487" s="87" t="str">
        <f>IFERROR(__xludf.DUMMYFUNCTION("""COMPUTED_VALUE"""),"10CR0015V2-100526-2")</f>
        <v>10CR0015V2-100526-2</v>
      </c>
      <c r="E6487" s="87"/>
      <c r="F6487" s="87"/>
      <c r="G6487" s="87"/>
    </row>
    <row r="6488">
      <c r="A6488" s="86">
        <f>IFERROR(__xludf.DUMMYFUNCTION("""COMPUTED_VALUE"""),6486.0)</f>
        <v>6486</v>
      </c>
      <c r="B6488" s="87" t="str">
        <f>IFERROR(__xludf.DUMMYFUNCTION("""COMPUTED_VALUE"""),"NL")</f>
        <v>NL</v>
      </c>
      <c r="C6488" s="87" t="str">
        <f>IFERROR(__xludf.DUMMYFUNCTION("""COMPUTED_VALUE"""),"23GS0002V1-490226-2")</f>
        <v>23GS0002V1-490226-2</v>
      </c>
      <c r="D6488" s="87" t="str">
        <f>IFERROR(__xludf.DUMMYFUNCTION("""COMPUTED_VALUE"""),"23GS0002V1-490226-2")</f>
        <v>23GS0002V1-490226-2</v>
      </c>
      <c r="E6488" s="87"/>
      <c r="F6488" s="87"/>
      <c r="G6488" s="87"/>
    </row>
    <row r="6489">
      <c r="A6489" s="86">
        <f>IFERROR(__xludf.DUMMYFUNCTION("""COMPUTED_VALUE"""),6487.0)</f>
        <v>6487</v>
      </c>
      <c r="B6489" s="87" t="str">
        <f>IFERROR(__xludf.DUMMYFUNCTION("""COMPUTED_VALUE"""),"NL")</f>
        <v>NL</v>
      </c>
      <c r="C6489" s="87" t="str">
        <f>IFERROR(__xludf.DUMMYFUNCTION("""COMPUTED_VALUE"""),"01RR0035V3-170426")</f>
        <v>01RR0035V3-170426</v>
      </c>
      <c r="D6489" s="87" t="str">
        <f>IFERROR(__xludf.DUMMYFUNCTION("""COMPUTED_VALUE"""),"01RR0035V3-170426")</f>
        <v>01RR0035V3-170426</v>
      </c>
      <c r="E6489" s="87"/>
      <c r="F6489" s="87"/>
      <c r="G6489" s="87"/>
    </row>
    <row r="6490">
      <c r="A6490" s="86">
        <f>IFERROR(__xludf.DUMMYFUNCTION("""COMPUTED_VALUE"""),6488.0)</f>
        <v>6488</v>
      </c>
      <c r="B6490" s="87" t="str">
        <f>IFERROR(__xludf.DUMMYFUNCTION("""COMPUTED_VALUE"""),"NL")</f>
        <v>NL</v>
      </c>
      <c r="C6490" s="87" t="str">
        <f>IFERROR(__xludf.DUMMYFUNCTION("""COMPUTED_VALUE"""),"10CR0021-580126")</f>
        <v>10CR0021-580126</v>
      </c>
      <c r="D6490" s="87" t="str">
        <f>IFERROR(__xludf.DUMMYFUNCTION("""COMPUTED_VALUE"""),"10CR0021-580126")</f>
        <v>10CR0021-580126</v>
      </c>
      <c r="E6490" s="87"/>
      <c r="F6490" s="87"/>
      <c r="G6490" s="87"/>
    </row>
    <row r="6491">
      <c r="A6491" s="86">
        <f>IFERROR(__xludf.DUMMYFUNCTION("""COMPUTED_VALUE"""),6489.0)</f>
        <v>6489</v>
      </c>
      <c r="B6491" s="87" t="str">
        <f>IFERROR(__xludf.DUMMYFUNCTION("""COMPUTED_VALUE"""),"NL")</f>
        <v>NL</v>
      </c>
      <c r="C6491" s="87" t="str">
        <f>IFERROR(__xludf.DUMMYFUNCTION("""COMPUTED_VALUE"""),"06CD0016V1-060326-2")</f>
        <v>06CD0016V1-060326-2</v>
      </c>
      <c r="D6491" s="87" t="str">
        <f>IFERROR(__xludf.DUMMYFUNCTION("""COMPUTED_VALUE"""),"06CD0016V1-060326-2")</f>
        <v>06CD0016V1-060326-2</v>
      </c>
      <c r="E6491" s="87"/>
      <c r="F6491" s="87"/>
      <c r="G6491" s="87"/>
    </row>
    <row r="6492">
      <c r="A6492" s="86">
        <f>IFERROR(__xludf.DUMMYFUNCTION("""COMPUTED_VALUE"""),6490.0)</f>
        <v>6490</v>
      </c>
      <c r="B6492" s="87" t="str">
        <f>IFERROR(__xludf.DUMMYFUNCTION("""COMPUTED_VALUE"""),"NL")</f>
        <v>NL</v>
      </c>
      <c r="C6492" s="87" t="str">
        <f>IFERROR(__xludf.DUMMYFUNCTION("""COMPUTED_VALUE"""),"NA0029")</f>
        <v>NA0029</v>
      </c>
      <c r="D6492" s="87" t="str">
        <f>IFERROR(__xludf.DUMMYFUNCTION("""COMPUTED_VALUE"""),"Phụ gia NA0029")</f>
        <v>Phụ gia NA0029</v>
      </c>
      <c r="E6492" s="87"/>
      <c r="F6492" s="87"/>
      <c r="G6492" s="87"/>
    </row>
    <row r="6493">
      <c r="A6493" s="86">
        <f>IFERROR(__xludf.DUMMYFUNCTION("""COMPUTED_VALUE"""),6491.0)</f>
        <v>6491</v>
      </c>
      <c r="B6493" s="87" t="str">
        <f>IFERROR(__xludf.DUMMYFUNCTION("""COMPUTED_VALUE"""),"NL")</f>
        <v>NL</v>
      </c>
      <c r="C6493" s="87" t="str">
        <f>IFERROR(__xludf.DUMMYFUNCTION("""COMPUTED_VALUE"""),"NA0030")</f>
        <v>NA0030</v>
      </c>
      <c r="D6493" s="87" t="str">
        <f>IFERROR(__xludf.DUMMYFUNCTION("""COMPUTED_VALUE"""),"Phụ gia NA0030")</f>
        <v>Phụ gia NA0030</v>
      </c>
      <c r="E6493" s="87"/>
      <c r="F6493" s="87"/>
      <c r="G6493" s="87"/>
    </row>
    <row r="6494">
      <c r="A6494" s="86">
        <f>IFERROR(__xludf.DUMMYFUNCTION("""COMPUTED_VALUE"""),6492.0)</f>
        <v>6492</v>
      </c>
      <c r="B6494" s="87" t="str">
        <f>IFERROR(__xludf.DUMMYFUNCTION("""COMPUTED_VALUE"""),"NL")</f>
        <v>NL</v>
      </c>
      <c r="C6494" s="87" t="str">
        <f>IFERROR(__xludf.DUMMYFUNCTION("""COMPUTED_VALUE"""),"NA0031")</f>
        <v>NA0031</v>
      </c>
      <c r="D6494" s="87" t="str">
        <f>IFERROR(__xludf.DUMMYFUNCTION("""COMPUTED_VALUE"""),"Phụ gia NA0031")</f>
        <v>Phụ gia NA0031</v>
      </c>
      <c r="E6494" s="87"/>
      <c r="F6494" s="87"/>
      <c r="G6494" s="87"/>
    </row>
    <row r="6495">
      <c r="A6495" s="86">
        <f>IFERROR(__xludf.DUMMYFUNCTION("""COMPUTED_VALUE"""),6493.0)</f>
        <v>6493</v>
      </c>
      <c r="B6495" s="87" t="str">
        <f>IFERROR(__xludf.DUMMYFUNCTION("""COMPUTED_VALUE"""),"NL")</f>
        <v>NL</v>
      </c>
      <c r="C6495" s="87" t="str">
        <f>IFERROR(__xludf.DUMMYFUNCTION("""COMPUTED_VALUE"""),"NA0032")</f>
        <v>NA0032</v>
      </c>
      <c r="D6495" s="87" t="str">
        <f>IFERROR(__xludf.DUMMYFUNCTION("""COMPUTED_VALUE"""),"Phụ gia NA0032")</f>
        <v>Phụ gia NA0032</v>
      </c>
      <c r="E6495" s="87"/>
      <c r="F6495" s="87"/>
      <c r="G6495" s="87"/>
    </row>
    <row r="6496">
      <c r="A6496" s="86">
        <f>IFERROR(__xludf.DUMMYFUNCTION("""COMPUTED_VALUE"""),6494.0)</f>
        <v>6494</v>
      </c>
      <c r="B6496" s="87" t="str">
        <f>IFERROR(__xludf.DUMMYFUNCTION("""COMPUTED_VALUE"""),"NL")</f>
        <v>NL</v>
      </c>
      <c r="C6496" s="87" t="str">
        <f>IFERROR(__xludf.DUMMYFUNCTION("""COMPUTED_VALUE"""),"NA0033")</f>
        <v>NA0033</v>
      </c>
      <c r="D6496" s="87" t="str">
        <f>IFERROR(__xludf.DUMMYFUNCTION("""COMPUTED_VALUE"""),"Phụ gia NA0033")</f>
        <v>Phụ gia NA0033</v>
      </c>
      <c r="E6496" s="87"/>
      <c r="F6496" s="87"/>
      <c r="G6496" s="87"/>
    </row>
    <row r="6497">
      <c r="A6497" s="86">
        <f>IFERROR(__xludf.DUMMYFUNCTION("""COMPUTED_VALUE"""),6495.0)</f>
        <v>6495</v>
      </c>
      <c r="B6497" s="87" t="str">
        <f>IFERROR(__xludf.DUMMYFUNCTION("""COMPUTED_VALUE"""),"NL")</f>
        <v>NL</v>
      </c>
      <c r="C6497" s="87" t="str">
        <f>IFERROR(__xludf.DUMMYFUNCTION("""COMPUTED_VALUE"""),"06CD0016V1-420326")</f>
        <v>06CD0016V1-420326</v>
      </c>
      <c r="D6497" s="87" t="str">
        <f>IFERROR(__xludf.DUMMYFUNCTION("""COMPUTED_VALUE"""),"06CD0016V1-420326")</f>
        <v>06CD0016V1-420326</v>
      </c>
      <c r="E6497" s="87"/>
      <c r="F6497" s="87"/>
      <c r="G6497" s="87"/>
    </row>
    <row r="6498">
      <c r="A6498" s="86">
        <f>IFERROR(__xludf.DUMMYFUNCTION("""COMPUTED_VALUE"""),6496.0)</f>
        <v>6496</v>
      </c>
      <c r="B6498" s="87" t="str">
        <f>IFERROR(__xludf.DUMMYFUNCTION("""COMPUTED_VALUE"""),"NL")</f>
        <v>NL</v>
      </c>
      <c r="C6498" s="87" t="str">
        <f>IFERROR(__xludf.DUMMYFUNCTION("""COMPUTED_VALUE"""),"NLT0327")</f>
        <v>NLT0327</v>
      </c>
      <c r="D6498" s="87" t="str">
        <f>IFERROR(__xludf.DUMMYFUNCTION("""COMPUTED_VALUE"""),"Phụ gia CaO 40%")</f>
        <v>Phụ gia CaO 40%</v>
      </c>
      <c r="E6498" s="87"/>
      <c r="F6498" s="87"/>
      <c r="G6498" s="87"/>
    </row>
    <row r="6499">
      <c r="A6499" s="86">
        <f>IFERROR(__xludf.DUMMYFUNCTION("""COMPUTED_VALUE"""),6497.0)</f>
        <v>6497</v>
      </c>
      <c r="B6499" s="87" t="str">
        <f>IFERROR(__xludf.DUMMYFUNCTION("""COMPUTED_VALUE"""),"NL")</f>
        <v>NL</v>
      </c>
      <c r="C6499" s="87" t="str">
        <f>IFERROR(__xludf.DUMMYFUNCTION("""COMPUTED_VALUE"""),"NLT0322")</f>
        <v>NLT0322</v>
      </c>
      <c r="D6499" s="87" t="str">
        <f>IFERROR(__xludf.DUMMYFUNCTION("""COMPUTED_VALUE"""),"Phụ gia Titan 20%")</f>
        <v>Phụ gia Titan 20%</v>
      </c>
      <c r="E6499" s="87"/>
      <c r="F6499" s="87"/>
      <c r="G6499" s="87"/>
    </row>
    <row r="6500">
      <c r="A6500" s="86">
        <f>IFERROR(__xludf.DUMMYFUNCTION("""COMPUTED_VALUE"""),6498.0)</f>
        <v>6498</v>
      </c>
      <c r="B6500" s="87" t="str">
        <f>IFERROR(__xludf.DUMMYFUNCTION("""COMPUTED_VALUE"""),"NL")</f>
        <v>NL</v>
      </c>
      <c r="C6500" s="87" t="str">
        <f>IFERROR(__xludf.DUMMYFUNCTION("""COMPUTED_VALUE"""),"NLT0323")</f>
        <v>NLT0323</v>
      </c>
      <c r="D6500" s="87" t="str">
        <f>IFERROR(__xludf.DUMMYFUNCTION("""COMPUTED_VALUE"""),"Phụ gia Titan 40%")</f>
        <v>Phụ gia Titan 40%</v>
      </c>
      <c r="E6500" s="87"/>
      <c r="F6500" s="87"/>
      <c r="G6500" s="87"/>
    </row>
    <row r="6501">
      <c r="A6501" s="86">
        <f>IFERROR(__xludf.DUMMYFUNCTION("""COMPUTED_VALUE"""),6499.0)</f>
        <v>6499</v>
      </c>
      <c r="B6501" s="87" t="str">
        <f>IFERROR(__xludf.DUMMYFUNCTION("""COMPUTED_VALUE"""),"NL")</f>
        <v>NL</v>
      </c>
      <c r="C6501" s="87" t="str">
        <f>IFERROR(__xludf.DUMMYFUNCTION("""COMPUTED_VALUE"""),"NLT0324")</f>
        <v>NLT0324</v>
      </c>
      <c r="D6501" s="87" t="str">
        <f>IFERROR(__xludf.DUMMYFUNCTION("""COMPUTED_VALUE"""),"Polyvinyl Alcohol (PVA)")</f>
        <v>Polyvinyl Alcohol (PVA)</v>
      </c>
      <c r="E6501" s="87"/>
      <c r="F6501" s="87"/>
      <c r="G6501" s="87"/>
    </row>
    <row r="6502">
      <c r="A6502" s="86">
        <f>IFERROR(__xludf.DUMMYFUNCTION("""COMPUTED_VALUE"""),6500.0)</f>
        <v>6500</v>
      </c>
      <c r="B6502" s="87" t="str">
        <f>IFERROR(__xludf.DUMMYFUNCTION("""COMPUTED_VALUE"""),"NL")</f>
        <v>NL</v>
      </c>
      <c r="C6502" s="87" t="str">
        <f>IFERROR(__xludf.DUMMYFUNCTION("""COMPUTED_VALUE"""),"NLT0325")</f>
        <v>NLT0325</v>
      </c>
      <c r="D6502" s="87" t="str">
        <f>IFERROR(__xludf.DUMMYFUNCTION("""COMPUTED_VALUE"""),"Phụ gia PVA 10%")</f>
        <v>Phụ gia PVA 10%</v>
      </c>
      <c r="E6502" s="87"/>
      <c r="F6502" s="87"/>
      <c r="G6502" s="87"/>
    </row>
    <row r="6503">
      <c r="A6503" s="86">
        <f>IFERROR(__xludf.DUMMYFUNCTION("""COMPUTED_VALUE"""),6501.0)</f>
        <v>6501</v>
      </c>
      <c r="B6503" s="87" t="str">
        <f>IFERROR(__xludf.DUMMYFUNCTION("""COMPUTED_VALUE"""),"NL")</f>
        <v>NL</v>
      </c>
      <c r="C6503" s="87" t="str">
        <f>IFERROR(__xludf.DUMMYFUNCTION("""COMPUTED_VALUE"""),"NLT0326")</f>
        <v>NLT0326</v>
      </c>
      <c r="D6503" s="87" t="str">
        <f>IFERROR(__xludf.DUMMYFUNCTION("""COMPUTED_VALUE"""),"NL Brasinolide 15%")</f>
        <v>NL Brasinolide 15%</v>
      </c>
      <c r="E6503" s="87"/>
      <c r="F6503" s="87"/>
      <c r="G6503" s="87"/>
    </row>
    <row r="6504">
      <c r="A6504" s="86">
        <f>IFERROR(__xludf.DUMMYFUNCTION("""COMPUTED_VALUE"""),6502.0)</f>
        <v>6502</v>
      </c>
      <c r="B6504" s="87" t="str">
        <f>IFERROR(__xludf.DUMMYFUNCTION("""COMPUTED_VALUE"""),"NL")</f>
        <v>NL</v>
      </c>
      <c r="C6504" s="87" t="str">
        <f>IFERROR(__xludf.DUMMYFUNCTION("""COMPUTED_VALUE"""),"NLT0328")</f>
        <v>NLT0328</v>
      </c>
      <c r="D6504" s="87" t="str">
        <f>IFERROR(__xludf.DUMMYFUNCTION("""COMPUTED_VALUE"""),"NL Difenoconazole 96%TC")</f>
        <v>NL Difenoconazole 96%TC</v>
      </c>
      <c r="E6504" s="87"/>
      <c r="F6504" s="87"/>
      <c r="G6504" s="87"/>
    </row>
    <row r="6505">
      <c r="A6505" s="86">
        <f>IFERROR(__xludf.DUMMYFUNCTION("""COMPUTED_VALUE"""),6503.0)</f>
        <v>6503</v>
      </c>
      <c r="B6505" s="87" t="str">
        <f>IFERROR(__xludf.DUMMYFUNCTION("""COMPUTED_VALUE"""),"NL")</f>
        <v>NL</v>
      </c>
      <c r="C6505" s="87" t="str">
        <f>IFERROR(__xludf.DUMMYFUNCTION("""COMPUTED_VALUE"""),"NLT0329")</f>
        <v>NLT0329</v>
      </c>
      <c r="D6505" s="87" t="str">
        <f>IFERROR(__xludf.DUMMYFUNCTION("""COMPUTED_VALUE"""),"Hexaconazole 92%TC")</f>
        <v>Hexaconazole 92%TC</v>
      </c>
      <c r="E6505" s="87"/>
      <c r="F6505" s="87"/>
      <c r="G6505" s="87"/>
    </row>
    <row r="6506">
      <c r="A6506" s="86">
        <f>IFERROR(__xludf.DUMMYFUNCTION("""COMPUTED_VALUE"""),6504.0)</f>
        <v>6504</v>
      </c>
      <c r="B6506" s="87" t="str">
        <f>IFERROR(__xludf.DUMMYFUNCTION("""COMPUTED_VALUE"""),"NL")</f>
        <v>NL</v>
      </c>
      <c r="C6506" s="87" t="str">
        <f>IFERROR(__xludf.DUMMYFUNCTION("""COMPUTED_VALUE"""),"08TM0025-430226")</f>
        <v>08TM0025-430226</v>
      </c>
      <c r="D6506" s="87" t="str">
        <f>IFERROR(__xludf.DUMMYFUNCTION("""COMPUTED_VALUE"""),"08TM0025-430226")</f>
        <v>08TM0025-430226</v>
      </c>
      <c r="E6506" s="87"/>
      <c r="F6506" s="87"/>
      <c r="G6506" s="87"/>
    </row>
    <row r="6507">
      <c r="A6507" s="86">
        <f>IFERROR(__xludf.DUMMYFUNCTION("""COMPUTED_VALUE"""),6505.0)</f>
        <v>6505</v>
      </c>
      <c r="B6507" s="87" t="str">
        <f>IFERROR(__xludf.DUMMYFUNCTION("""COMPUTED_VALUE"""),"NL")</f>
        <v>NL</v>
      </c>
      <c r="C6507" s="87" t="str">
        <f>IFERROR(__xludf.DUMMYFUNCTION("""COMPUTED_VALUE"""),"01RR0036V2-230326")</f>
        <v>01RR0036V2-230326</v>
      </c>
      <c r="D6507" s="87" t="str">
        <f>IFERROR(__xludf.DUMMYFUNCTION("""COMPUTED_VALUE"""),"01RR0036V2-230326")</f>
        <v>01RR0036V2-230326</v>
      </c>
      <c r="E6507" s="87"/>
      <c r="F6507" s="87"/>
      <c r="G6507" s="87"/>
    </row>
    <row r="6508">
      <c r="A6508" s="86">
        <f>IFERROR(__xludf.DUMMYFUNCTION("""COMPUTED_VALUE"""),6506.0)</f>
        <v>6506</v>
      </c>
      <c r="B6508" s="87" t="str">
        <f>IFERROR(__xludf.DUMMYFUNCTION("""COMPUTED_VALUE"""),"NL")</f>
        <v>NL</v>
      </c>
      <c r="C6508" s="87" t="str">
        <f>IFERROR(__xludf.DUMMYFUNCTION("""COMPUTED_VALUE"""),"NLT0330")</f>
        <v>NLT0330</v>
      </c>
      <c r="D6508" s="87" t="str">
        <f>IFERROR(__xludf.DUMMYFUNCTION("""COMPUTED_VALUE"""),"Vitamin B2 (Riboflavin - Dạng bột màu vàng đến vàng cam)")</f>
        <v>Vitamin B2 (Riboflavin - Dạng bột màu vàng đến vàng cam)</v>
      </c>
      <c r="E6508" s="87"/>
      <c r="F6508" s="87"/>
      <c r="G6508" s="87"/>
    </row>
    <row r="6509">
      <c r="A6509" s="86">
        <f>IFERROR(__xludf.DUMMYFUNCTION("""COMPUTED_VALUE"""),6507.0)</f>
        <v>6507</v>
      </c>
      <c r="B6509" s="87" t="str">
        <f>IFERROR(__xludf.DUMMYFUNCTION("""COMPUTED_VALUE"""),"NL")</f>
        <v>NL</v>
      </c>
      <c r="C6509" s="87" t="str">
        <f>IFERROR(__xludf.DUMMYFUNCTION("""COMPUTED_VALUE"""),"NLT0331")</f>
        <v>NLT0331</v>
      </c>
      <c r="D6509" s="87" t="str">
        <f>IFERROR(__xludf.DUMMYFUNCTION("""COMPUTED_VALUE"""),"Vitamin B1 (Thiamine hydrochloride - Dạng bột màu trắng)")</f>
        <v>Vitamin B1 (Thiamine hydrochloride - Dạng bột màu trắng)</v>
      </c>
      <c r="E6509" s="87"/>
      <c r="F6509" s="87"/>
      <c r="G6509" s="87"/>
    </row>
    <row r="6510">
      <c r="A6510" s="86">
        <f>IFERROR(__xludf.DUMMYFUNCTION("""COMPUTED_VALUE"""),6508.0)</f>
        <v>6508</v>
      </c>
      <c r="B6510" s="87" t="str">
        <f>IFERROR(__xludf.DUMMYFUNCTION("""COMPUTED_VALUE"""),"NL")</f>
        <v>NL</v>
      </c>
      <c r="C6510" s="87" t="str">
        <f>IFERROR(__xludf.DUMMYFUNCTION("""COMPUTED_VALUE"""),"NLT0332")</f>
        <v>NLT0332</v>
      </c>
      <c r="D6510" s="87" t="str">
        <f>IFERROR(__xludf.DUMMYFUNCTION("""COMPUTED_VALUE"""),"Tween 80 = Polysorbate 80 Xi Long")</f>
        <v>Tween 80 = Polysorbate 80 Xi Long</v>
      </c>
      <c r="E6510" s="87"/>
      <c r="F6510" s="87"/>
      <c r="G6510" s="87"/>
    </row>
    <row r="6511">
      <c r="A6511" s="86">
        <f>IFERROR(__xludf.DUMMYFUNCTION("""COMPUTED_VALUE"""),6509.0)</f>
        <v>6509</v>
      </c>
      <c r="B6511" s="87" t="str">
        <f>IFERROR(__xludf.DUMMYFUNCTION("""COMPUTED_VALUE"""),"NL")</f>
        <v>NL</v>
      </c>
      <c r="C6511" s="87" t="str">
        <f>IFERROR(__xludf.DUMMYFUNCTION("""COMPUTED_VALUE"""),"NLT0333")</f>
        <v>NLT0333</v>
      </c>
      <c r="D6511" s="87" t="str">
        <f>IFERROR(__xludf.DUMMYFUNCTION("""COMPUTED_VALUE"""),"Alpha Cypermethrin 97% TC")</f>
        <v>Alpha Cypermethrin 97% TC</v>
      </c>
      <c r="E6511" s="87"/>
      <c r="F6511" s="87"/>
      <c r="G6511" s="87"/>
    </row>
    <row r="6512">
      <c r="A6512" s="86">
        <f>IFERROR(__xludf.DUMMYFUNCTION("""COMPUTED_VALUE"""),6510.0)</f>
        <v>6510</v>
      </c>
      <c r="B6512" s="87" t="str">
        <f>IFERROR(__xludf.DUMMYFUNCTION("""COMPUTED_VALUE"""),"Chai HDPE Tròn HG08 trắng Nắp trắng")</f>
        <v>Chai HDPE Tròn HG08 trắng Nắp trắng</v>
      </c>
      <c r="C6512" s="87" t="str">
        <f>IFERROR(__xludf.DUMMYFUNCTION("""COMPUTED_VALUE"""),"Thùng riêng KH")</f>
        <v>Thùng riêng KH</v>
      </c>
      <c r="D6512" s="87"/>
      <c r="E6512" s="87" t="str">
        <f>IFERROR(__xludf.DUMMYFUNCTION("""COMPUTED_VALUE"""),"Dùng nhãn chính")</f>
        <v>Dùng nhãn chính</v>
      </c>
      <c r="F6512" s="87"/>
      <c r="G6512" s="87"/>
    </row>
    <row r="6513">
      <c r="A6513" s="86">
        <f>IFERROR(__xludf.DUMMYFUNCTION("""COMPUTED_VALUE"""),6511.0)</f>
        <v>6511</v>
      </c>
      <c r="B6513" s="87" t="str">
        <f>IFERROR(__xludf.DUMMYFUNCTION("""COMPUTED_VALUE"""),"Chai nhôm đỏ")</f>
        <v>Chai nhôm đỏ</v>
      </c>
      <c r="C6513" s="87" t="str">
        <f>IFERROR(__xludf.DUMMYFUNCTION("""COMPUTED_VALUE"""),"thùng trắng IDA")</f>
        <v>thùng trắng IDA</v>
      </c>
      <c r="D6513" s="87"/>
      <c r="E6513" s="87" t="str">
        <f>IFERROR(__xludf.DUMMYFUNCTION("""COMPUTED_VALUE"""),"x")</f>
        <v>x</v>
      </c>
      <c r="F6513" s="87"/>
      <c r="G6513" s="87"/>
    </row>
    <row r="6514">
      <c r="A6514" s="86" t="str">
        <f>IFERROR(__xludf.DUMMYFUNCTION("""COMPUTED_VALUE"""),"")</f>
        <v/>
      </c>
      <c r="B6514" s="87"/>
      <c r="C6514" s="87" t="str">
        <f>IFERROR(__xludf.DUMMYFUNCTION("""COMPUTED_VALUE"""),"Thùng trắng chung HL")</f>
        <v>Thùng trắng chung HL</v>
      </c>
      <c r="D6514" s="87"/>
      <c r="E6514" s="87"/>
      <c r="F6514" s="87"/>
      <c r="G6514" s="87"/>
    </row>
    <row r="6515">
      <c r="A6515" s="86" t="str">
        <f>IFERROR(__xludf.DUMMYFUNCTION("""COMPUTED_VALUE"""),"")</f>
        <v/>
      </c>
      <c r="B6515" s="87"/>
      <c r="C6515" s="87" t="str">
        <f>IFERROR(__xludf.DUMMYFUNCTION("""COMPUTED_VALUE"""),"Thùng trắng chung ABA")</f>
        <v>Thùng trắng chung ABA</v>
      </c>
      <c r="D6515" s="87"/>
      <c r="E6515" s="87" t="str">
        <f>IFERROR(__xludf.DUMMYFUNCTION("""COMPUTED_VALUE"""),"Dùng nhãn chính")</f>
        <v>Dùng nhãn chính</v>
      </c>
      <c r="F6515" s="87"/>
      <c r="G6515" s="87"/>
    </row>
    <row r="6516">
      <c r="A6516" s="86" t="str">
        <f>IFERROR(__xludf.DUMMYFUNCTION("""COMPUTED_VALUE"""),"")</f>
        <v/>
      </c>
      <c r="B6516" s="87"/>
      <c r="C6516" s="87" t="str">
        <f>IFERROR(__xludf.DUMMYFUNCTION("""COMPUTED_VALUE"""),"Thùng trắng")</f>
        <v>Thùng trắng</v>
      </c>
      <c r="D6516" s="87"/>
      <c r="E6516" s="87" t="str">
        <f>IFERROR(__xludf.DUMMYFUNCTION("""COMPUTED_VALUE"""),"Dùng nhãn chinh")</f>
        <v>Dùng nhãn chinh</v>
      </c>
      <c r="F6516" s="87"/>
      <c r="G6516" s="87"/>
    </row>
    <row r="6517">
      <c r="A6517" s="86" t="str">
        <f>IFERROR(__xludf.DUMMYFUNCTION("""COMPUTED_VALUE"""),"")</f>
        <v/>
      </c>
      <c r="B6517" s="87"/>
      <c r="C6517" s="87" t="str">
        <f>IFERROR(__xludf.DUMMYFUNCTION("""COMPUTED_VALUE"""),"Thùng nâu chung Basel")</f>
        <v>Thùng nâu chung Basel</v>
      </c>
      <c r="D6517" s="87"/>
      <c r="E6517" s="87" t="str">
        <f>IFERROR(__xludf.DUMMYFUNCTION("""COMPUTED_VALUE"""),"Có")</f>
        <v>Có</v>
      </c>
      <c r="F6517" s="87"/>
      <c r="G6517" s="87"/>
    </row>
    <row r="6518">
      <c r="A6518" s="86" t="str">
        <f>IFERROR(__xludf.DUMMYFUNCTION("""COMPUTED_VALUE"""),"")</f>
        <v/>
      </c>
      <c r="B6518" s="87"/>
      <c r="C6518" s="87" t="str">
        <f>IFERROR(__xludf.DUMMYFUNCTION("""COMPUTED_VALUE"""),"Thùng nâu chung HL")</f>
        <v>Thùng nâu chung HL</v>
      </c>
      <c r="D6518" s="87"/>
      <c r="E6518" s="87"/>
      <c r="F6518" s="87"/>
      <c r="G6518" s="87"/>
    </row>
    <row r="6519">
      <c r="A6519" s="86" t="str">
        <f>IFERROR(__xludf.DUMMYFUNCTION("""COMPUTED_VALUE"""),"")</f>
        <v/>
      </c>
      <c r="B6519" s="87"/>
      <c r="C6519" s="87" t="str">
        <f>IFERROR(__xludf.DUMMYFUNCTION("""COMPUTED_VALUE"""),"Thùng chung Basel")</f>
        <v>Thùng chung Basel</v>
      </c>
      <c r="D6519" s="87"/>
      <c r="E6519" s="87" t="str">
        <f>IFERROR(__xludf.DUMMYFUNCTION("""COMPUTED_VALUE"""),"dùng nhãn chính")</f>
        <v>dùng nhãn chính</v>
      </c>
      <c r="F6519" s="87"/>
      <c r="G6519" s="87"/>
    </row>
    <row r="6520">
      <c r="A6520" s="86" t="str">
        <f>IFERROR(__xludf.DUMMYFUNCTION("""COMPUTED_VALUE"""),"")</f>
        <v/>
      </c>
      <c r="B6520" s="87"/>
      <c r="C6520" s="87" t="str">
        <f>IFERROR(__xludf.DUMMYFUNCTION("""COMPUTED_VALUE"""),"Thùng trắng chung ABA")</f>
        <v>Thùng trắng chung ABA</v>
      </c>
      <c r="D6520" s="87"/>
      <c r="E6520" s="87" t="str">
        <f>IFERROR(__xludf.DUMMYFUNCTION("""COMPUTED_VALUE"""),"Dùng nhãn chính")</f>
        <v>Dùng nhãn chính</v>
      </c>
      <c r="F6520" s="87"/>
      <c r="G6520" s="87"/>
    </row>
    <row r="6521">
      <c r="A6521" s="86">
        <f>IFERROR(__xludf.DUMMYFUNCTION("""COMPUTED_VALUE"""),6519.0)</f>
        <v>6519</v>
      </c>
      <c r="B6521" s="87" t="str">
        <f>IFERROR(__xludf.DUMMYFUNCTION("""COMPUTED_VALUE"""),"Chai PET tròn")</f>
        <v>Chai PET tròn</v>
      </c>
      <c r="C6521" s="87" t="str">
        <f>IFERROR(__xludf.DUMMYFUNCTION("""COMPUTED_VALUE"""),"Thùng chung RC")</f>
        <v>Thùng chung RC</v>
      </c>
      <c r="D6521" s="87"/>
      <c r="E6521" s="87"/>
      <c r="F6521" s="87"/>
      <c r="G6521" s="87"/>
    </row>
    <row r="6522">
      <c r="A6522" s="86">
        <f>IFERROR(__xludf.DUMMYFUNCTION("""COMPUTED_VALUE"""),6520.0)</f>
        <v>6520</v>
      </c>
      <c r="B6522" s="87" t="str">
        <f>IFERROR(__xludf.DUMMYFUNCTION("""COMPUTED_VALUE"""),"ICARE")</f>
        <v>ICARE</v>
      </c>
      <c r="C6522" s="87" t="str">
        <f>IFERROR(__xludf.DUMMYFUNCTION("""COMPUTED_VALUE"""),"BTPC00001")</f>
        <v>BTPC00001</v>
      </c>
      <c r="D6522" s="87" t="str">
        <f>IFERROR(__xludf.DUMMYFUNCTION("""COMPUTED_VALUE"""),"[BTPC] - ICARE - Anti Coro nCoV - Nano Ag+ - 100ml")</f>
        <v>[BTPC] - ICARE - Anti Coro nCoV - Nano Ag+ - 100ml</v>
      </c>
      <c r="E6522" s="87"/>
      <c r="F6522" s="87"/>
      <c r="G6522" s="87"/>
    </row>
    <row r="6523">
      <c r="A6523" s="86">
        <f>IFERROR(__xludf.DUMMYFUNCTION("""COMPUTED_VALUE"""),6521.0)</f>
        <v>6521</v>
      </c>
      <c r="B6523" s="87" t="str">
        <f>IFERROR(__xludf.DUMMYFUNCTION("""COMPUTED_VALUE"""),"ICARE")</f>
        <v>ICARE</v>
      </c>
      <c r="C6523" s="87" t="str">
        <f>IFERROR(__xludf.DUMMYFUNCTION("""COMPUTED_VALUE"""),"BTPC00002")</f>
        <v>BTPC00002</v>
      </c>
      <c r="D6523" s="87" t="str">
        <f>IFERROR(__xludf.DUMMYFUNCTION("""COMPUTED_VALUE"""),"[BTPC] - CARE - Anti Coro nCoV - Chanh Trà Xanh - 100ml")</f>
        <v>[BTPC] - CARE - Anti Coro nCoV - Chanh Trà Xanh - 100ml</v>
      </c>
      <c r="E6523" s="87"/>
      <c r="F6523" s="87"/>
      <c r="G6523" s="87"/>
    </row>
    <row r="6524">
      <c r="A6524" s="86">
        <f>IFERROR(__xludf.DUMMYFUNCTION("""COMPUTED_VALUE"""),6522.0)</f>
        <v>6522</v>
      </c>
      <c r="B6524" s="87" t="str">
        <f>IFERROR(__xludf.DUMMYFUNCTION("""COMPUTED_VALUE"""),"ICARE")</f>
        <v>ICARE</v>
      </c>
      <c r="C6524" s="87" t="str">
        <f>IFERROR(__xludf.DUMMYFUNCTION("""COMPUTED_VALUE"""),"BTPC00003")</f>
        <v>BTPC00003</v>
      </c>
      <c r="D6524" s="87" t="str">
        <f>IFERROR(__xludf.DUMMYFUNCTION("""COMPUTED_VALUE"""),"[BTPC] - ICARE - Anti Coro nCoV - Bạc Hà - 100ml")</f>
        <v>[BTPC] - ICARE - Anti Coro nCoV - Bạc Hà - 100ml</v>
      </c>
      <c r="E6524" s="87"/>
      <c r="F6524" s="87"/>
      <c r="G6524" s="87"/>
    </row>
    <row r="6525">
      <c r="A6525" s="86">
        <f>IFERROR(__xludf.DUMMYFUNCTION("""COMPUTED_VALUE"""),6523.0)</f>
        <v>6523</v>
      </c>
      <c r="B6525" s="87" t="str">
        <f>IFERROR(__xludf.DUMMYFUNCTION("""COMPUTED_VALUE"""),"ICARE")</f>
        <v>ICARE</v>
      </c>
      <c r="C6525" s="87" t="str">
        <f>IFERROR(__xludf.DUMMYFUNCTION("""COMPUTED_VALUE"""),"BTPC00004")</f>
        <v>BTPC00004</v>
      </c>
      <c r="D6525" s="87" t="str">
        <f>IFERROR(__xludf.DUMMYFUNCTION("""COMPUTED_VALUE"""),"[BTPC] - ICARE - Anti Coro nCoV - Xịt khuẩn _Nano Ag+ - 100ml")</f>
        <v>[BTPC] - ICARE - Anti Coro nCoV - Xịt khuẩn _Nano Ag+ - 100ml</v>
      </c>
      <c r="E6525" s="87"/>
      <c r="F6525" s="87"/>
      <c r="G6525" s="87"/>
    </row>
    <row r="6526">
      <c r="A6526" s="86">
        <f>IFERROR(__xludf.DUMMYFUNCTION("""COMPUTED_VALUE"""),6524.0)</f>
        <v>6524</v>
      </c>
      <c r="B6526" s="87" t="str">
        <f>IFERROR(__xludf.DUMMYFUNCTION("""COMPUTED_VALUE"""),"ICARE")</f>
        <v>ICARE</v>
      </c>
      <c r="C6526" s="87" t="str">
        <f>IFERROR(__xludf.DUMMYFUNCTION("""COMPUTED_VALUE"""),"BTPC00005")</f>
        <v>BTPC00005</v>
      </c>
      <c r="D6526" s="87" t="str">
        <f>IFERROR(__xludf.DUMMYFUNCTION("""COMPUTED_VALUE"""),"[BTPC] - ICARE - Anti Coro nCoV - Chanh Trà Xanh - 500ml")</f>
        <v>[BTPC] - ICARE - Anti Coro nCoV - Chanh Trà Xanh - 500ml</v>
      </c>
      <c r="E6526" s="87"/>
      <c r="F6526" s="87"/>
      <c r="G6526" s="87"/>
    </row>
    <row r="6527">
      <c r="A6527" s="86">
        <f>IFERROR(__xludf.DUMMYFUNCTION("""COMPUTED_VALUE"""),6525.0)</f>
        <v>6525</v>
      </c>
      <c r="B6527" s="87" t="str">
        <f>IFERROR(__xludf.DUMMYFUNCTION("""COMPUTED_VALUE"""),"ICARE")</f>
        <v>ICARE</v>
      </c>
      <c r="C6527" s="87" t="str">
        <f>IFERROR(__xludf.DUMMYFUNCTION("""COMPUTED_VALUE"""),"BTPC00006")</f>
        <v>BTPC00006</v>
      </c>
      <c r="D6527" s="87" t="str">
        <f>IFERROR(__xludf.DUMMYFUNCTION("""COMPUTED_VALUE"""),"[BTPC] - ICARE - Anti Coro nCoV - Bạc Hà - 500ml")</f>
        <v>[BTPC] - ICARE - Anti Coro nCoV - Bạc Hà - 500ml</v>
      </c>
      <c r="E6527" s="87"/>
      <c r="F6527" s="87"/>
      <c r="G6527" s="87"/>
    </row>
    <row r="6528">
      <c r="A6528" s="86">
        <f>IFERROR(__xludf.DUMMYFUNCTION("""COMPUTED_VALUE"""),6526.0)</f>
        <v>6526</v>
      </c>
      <c r="B6528" s="87" t="str">
        <f>IFERROR(__xludf.DUMMYFUNCTION("""COMPUTED_VALUE"""),"ICARE")</f>
        <v>ICARE</v>
      </c>
      <c r="C6528" s="87" t="str">
        <f>IFERROR(__xludf.DUMMYFUNCTION("""COMPUTED_VALUE"""),"BTPC00007")</f>
        <v>BTPC00007</v>
      </c>
      <c r="D6528" s="87" t="str">
        <f>IFERROR(__xludf.DUMMYFUNCTION("""COMPUTED_VALUE"""),"[BTPC] - ICARE - Anti Coro nCoV - Nano Ag+ - 500ml")</f>
        <v>[BTPC] - ICARE - Anti Coro nCoV - Nano Ag+ - 500ml</v>
      </c>
      <c r="E6528" s="87"/>
      <c r="F6528" s="87"/>
      <c r="G6528" s="87"/>
    </row>
    <row r="6529">
      <c r="A6529" s="86">
        <f>IFERROR(__xludf.DUMMYFUNCTION("""COMPUTED_VALUE"""),6527.0)</f>
        <v>6527</v>
      </c>
      <c r="B6529" s="87" t="str">
        <f>IFERROR(__xludf.DUMMYFUNCTION("""COMPUTED_VALUE"""),"ICARE")</f>
        <v>ICARE</v>
      </c>
      <c r="C6529" s="87" t="str">
        <f>IFERROR(__xludf.DUMMYFUNCTION("""COMPUTED_VALUE"""),"BTPC00008")</f>
        <v>BTPC00008</v>
      </c>
      <c r="D6529" s="87" t="str">
        <f>IFERROR(__xludf.DUMMYFUNCTION("""COMPUTED_VALUE"""),"[BTPC] - ICARE - Anti Coro nCoV - Chanh Trà Xanh - 4 lít")</f>
        <v>[BTPC] - ICARE - Anti Coro nCoV - Chanh Trà Xanh - 4 lít</v>
      </c>
      <c r="E6529" s="87"/>
      <c r="F6529" s="87"/>
      <c r="G6529" s="87"/>
    </row>
    <row r="6530">
      <c r="A6530" s="86">
        <f>IFERROR(__xludf.DUMMYFUNCTION("""COMPUTED_VALUE"""),6528.0)</f>
        <v>6528</v>
      </c>
      <c r="B6530" s="87" t="str">
        <f>IFERROR(__xludf.DUMMYFUNCTION("""COMPUTED_VALUE"""),"ICARE")</f>
        <v>ICARE</v>
      </c>
      <c r="C6530" s="87" t="str">
        <f>IFERROR(__xludf.DUMMYFUNCTION("""COMPUTED_VALUE"""),"BTPC00009")</f>
        <v>BTPC00009</v>
      </c>
      <c r="D6530" s="87" t="str">
        <f>IFERROR(__xludf.DUMMYFUNCTION("""COMPUTED_VALUE"""),"[BTPC] - ICARE - Anti Coro nCoV - Bạc Hà - 4 lít")</f>
        <v>[BTPC] - ICARE - Anti Coro nCoV - Bạc Hà - 4 lít</v>
      </c>
      <c r="E6530" s="87"/>
      <c r="F6530" s="87"/>
      <c r="G6530" s="87"/>
    </row>
    <row r="6531">
      <c r="A6531" s="86">
        <f>IFERROR(__xludf.DUMMYFUNCTION("""COMPUTED_VALUE"""),6529.0)</f>
        <v>6529</v>
      </c>
      <c r="B6531" s="87" t="str">
        <f>IFERROR(__xludf.DUMMYFUNCTION("""COMPUTED_VALUE"""),"ICARE")</f>
        <v>ICARE</v>
      </c>
      <c r="C6531" s="87" t="str">
        <f>IFERROR(__xludf.DUMMYFUNCTION("""COMPUTED_VALUE"""),"BTPC00010")</f>
        <v>BTPC00010</v>
      </c>
      <c r="D6531" s="87" t="str">
        <f>IFERROR(__xludf.DUMMYFUNCTION("""COMPUTED_VALUE"""),"[BTPC] - ICARE - Anti Coro nCoV - Nano Ag+ - 4 lít")</f>
        <v>[BTPC] - ICARE - Anti Coro nCoV - Nano Ag+ - 4 lít</v>
      </c>
      <c r="E6531" s="87"/>
      <c r="F6531" s="87"/>
      <c r="G6531" s="87"/>
    </row>
    <row r="6532">
      <c r="A6532" s="86">
        <f>IFERROR(__xludf.DUMMYFUNCTION("""COMPUTED_VALUE"""),6530.0)</f>
        <v>6530</v>
      </c>
      <c r="B6532" s="87" t="str">
        <f>IFERROR(__xludf.DUMMYFUNCTION("""COMPUTED_VALUE"""),"ICARE")</f>
        <v>ICARE</v>
      </c>
      <c r="C6532" s="87" t="str">
        <f>IFERROR(__xludf.DUMMYFUNCTION("""COMPUTED_VALUE"""),"BTPC00011")</f>
        <v>BTPC00011</v>
      </c>
      <c r="D6532" s="87" t="str">
        <f>IFERROR(__xludf.DUMMYFUNCTION("""COMPUTED_VALUE"""),"[BTPC] - ICARE - Anti Coro nCoV - Chanh Trà Xanh - 10 lít")</f>
        <v>[BTPC] - ICARE - Anti Coro nCoV - Chanh Trà Xanh - 10 lít</v>
      </c>
      <c r="E6532" s="87"/>
      <c r="F6532" s="87"/>
      <c r="G6532" s="87"/>
    </row>
    <row r="6533">
      <c r="A6533" s="86">
        <f>IFERROR(__xludf.DUMMYFUNCTION("""COMPUTED_VALUE"""),6531.0)</f>
        <v>6531</v>
      </c>
      <c r="B6533" s="87" t="str">
        <f>IFERROR(__xludf.DUMMYFUNCTION("""COMPUTED_VALUE"""),"ICARE")</f>
        <v>ICARE</v>
      </c>
      <c r="C6533" s="87" t="str">
        <f>IFERROR(__xludf.DUMMYFUNCTION("""COMPUTED_VALUE"""),"BTPC00012")</f>
        <v>BTPC00012</v>
      </c>
      <c r="D6533" s="87" t="str">
        <f>IFERROR(__xludf.DUMMYFUNCTION("""COMPUTED_VALUE"""),"[BTPC] - ICARE - Anti Coro nCoV - Bạc Hà - 10 lít")</f>
        <v>[BTPC] - ICARE - Anti Coro nCoV - Bạc Hà - 10 lít</v>
      </c>
      <c r="E6533" s="87"/>
      <c r="F6533" s="87"/>
      <c r="G6533" s="87"/>
    </row>
    <row r="6534">
      <c r="A6534" s="86">
        <f>IFERROR(__xludf.DUMMYFUNCTION("""COMPUTED_VALUE"""),6532.0)</f>
        <v>6532</v>
      </c>
      <c r="B6534" s="87" t="str">
        <f>IFERROR(__xludf.DUMMYFUNCTION("""COMPUTED_VALUE"""),"ICARE")</f>
        <v>ICARE</v>
      </c>
      <c r="C6534" s="87" t="str">
        <f>IFERROR(__xludf.DUMMYFUNCTION("""COMPUTED_VALUE"""),"BTPC00013")</f>
        <v>BTPC00013</v>
      </c>
      <c r="D6534" s="87" t="str">
        <f>IFERROR(__xludf.DUMMYFUNCTION("""COMPUTED_VALUE"""),"[BTPC] - ICARE - Anti Coro nCoV - Nano Ag+ - 10 lít")</f>
        <v>[BTPC] - ICARE - Anti Coro nCoV - Nano Ag+ - 10 lít</v>
      </c>
      <c r="E6534" s="87"/>
      <c r="F6534" s="87"/>
      <c r="G6534" s="87"/>
    </row>
    <row r="6535">
      <c r="A6535" s="86">
        <f>IFERROR(__xludf.DUMMYFUNCTION("""COMPUTED_VALUE"""),6533.0)</f>
        <v>6533</v>
      </c>
      <c r="B6535" s="87" t="str">
        <f>IFERROR(__xludf.DUMMYFUNCTION("""COMPUTED_VALUE"""),"ICARE")</f>
        <v>ICARE</v>
      </c>
      <c r="C6535" s="87" t="str">
        <f>IFERROR(__xludf.DUMMYFUNCTION("""COMPUTED_VALUE"""),"BTPC00014")</f>
        <v>BTPC00014</v>
      </c>
      <c r="D6535" s="87" t="str">
        <f>IFERROR(__xludf.DUMMYFUNCTION("""COMPUTED_VALUE"""),"[BTPC] - ICARE - Anti Coro nCoV - Xịt khuẩn _Nano Ag+ - 30ml")</f>
        <v>[BTPC] - ICARE - Anti Coro nCoV - Xịt khuẩn _Nano Ag+ - 30ml</v>
      </c>
      <c r="E6535" s="87"/>
      <c r="F6535" s="87"/>
      <c r="G6535" s="87"/>
    </row>
    <row r="6536">
      <c r="A6536" s="86">
        <f>IFERROR(__xludf.DUMMYFUNCTION("""COMPUTED_VALUE"""),6534.0)</f>
        <v>6534</v>
      </c>
      <c r="B6536" s="87" t="str">
        <f>IFERROR(__xludf.DUMMYFUNCTION("""COMPUTED_VALUE"""),"ICARE")</f>
        <v>ICARE</v>
      </c>
      <c r="C6536" s="87" t="str">
        <f>IFERROR(__xludf.DUMMYFUNCTION("""COMPUTED_VALUE"""),"BTPC00015")</f>
        <v>BTPC00015</v>
      </c>
      <c r="D6536" s="87" t="str">
        <f>IFERROR(__xludf.DUMMYFUNCTION("""COMPUTED_VALUE"""),"[BTPC] ICARE - Anti Coro nCoV - Xịt khuẩn _Nano Ag+ - 50ml")</f>
        <v>[BTPC] ICARE - Anti Coro nCoV - Xịt khuẩn _Nano Ag+ - 50ml</v>
      </c>
      <c r="E6536" s="87"/>
      <c r="F6536" s="87"/>
      <c r="G6536" s="87"/>
    </row>
    <row r="6537">
      <c r="A6537" s="86">
        <f>IFERROR(__xludf.DUMMYFUNCTION("""COMPUTED_VALUE"""),6535.0)</f>
        <v>6535</v>
      </c>
      <c r="B6537" s="87" t="str">
        <f>IFERROR(__xludf.DUMMYFUNCTION("""COMPUTED_VALUE"""),"ICARE")</f>
        <v>ICARE</v>
      </c>
      <c r="C6537" s="87" t="str">
        <f>IFERROR(__xludf.DUMMYFUNCTION("""COMPUTED_VALUE"""),"BTPC00016")</f>
        <v>BTPC00016</v>
      </c>
      <c r="D6537" s="87" t="str">
        <f>IFERROR(__xludf.DUMMYFUNCTION("""COMPUTED_VALUE"""),"[BTP_C] ICARE - Anti Coro nCoV - Bạc Hà - 01 lít")</f>
        <v>[BTP_C] ICARE - Anti Coro nCoV - Bạc Hà - 01 lít</v>
      </c>
      <c r="E6537" s="87"/>
      <c r="F6537" s="87"/>
      <c r="G6537" s="87"/>
    </row>
    <row r="6538">
      <c r="A6538" s="86">
        <f>IFERROR(__xludf.DUMMYFUNCTION("""COMPUTED_VALUE"""),6536.0)</f>
        <v>6536</v>
      </c>
      <c r="B6538" s="87" t="str">
        <f>IFERROR(__xludf.DUMMYFUNCTION("""COMPUTED_VALUE"""),"ICARE")</f>
        <v>ICARE</v>
      </c>
      <c r="C6538" s="87" t="str">
        <f>IFERROR(__xludf.DUMMYFUNCTION("""COMPUTED_VALUE"""),"BTPC00017")</f>
        <v>BTPC00017</v>
      </c>
      <c r="D6538" s="87" t="str">
        <f>IFERROR(__xludf.DUMMYFUNCTION("""COMPUTED_VALUE"""),"[BTP_C] ICARE - Anti Coro nCoV - Nano Ag+ - 01 lít")</f>
        <v>[BTP_C] ICARE - Anti Coro nCoV - Nano Ag+ - 01 lít</v>
      </c>
      <c r="E6538" s="87"/>
      <c r="F6538" s="87"/>
      <c r="G6538" s="87"/>
    </row>
    <row r="6539">
      <c r="A6539" s="86">
        <f>IFERROR(__xludf.DUMMYFUNCTION("""COMPUTED_VALUE"""),6537.0)</f>
        <v>6537</v>
      </c>
      <c r="B6539" s="87" t="str">
        <f>IFERROR(__xludf.DUMMYFUNCTION("""COMPUTED_VALUE"""),"ICARE")</f>
        <v>ICARE</v>
      </c>
      <c r="C6539" s="87" t="str">
        <f>IFERROR(__xludf.DUMMYFUNCTION("""COMPUTED_VALUE"""),"BTPC00018")</f>
        <v>BTPC00018</v>
      </c>
      <c r="D6539" s="87" t="str">
        <f>IFERROR(__xludf.DUMMYFUNCTION("""COMPUTED_VALUE"""),"[BTP_C] GC ICARE - Anti Coro nCoV - ICARE - 120 ml")</f>
        <v>[BTP_C] GC ICARE - Anti Coro nCoV - ICARE - 120 ml</v>
      </c>
      <c r="E6539" s="87"/>
      <c r="F6539" s="87"/>
      <c r="G6539" s="87"/>
    </row>
    <row r="6540">
      <c r="A6540" s="86">
        <f>IFERROR(__xludf.DUMMYFUNCTION("""COMPUTED_VALUE"""),6538.0)</f>
        <v>6538</v>
      </c>
      <c r="B6540" s="87" t="str">
        <f>IFERROR(__xludf.DUMMYFUNCTION("""COMPUTED_VALUE"""),"ICARE")</f>
        <v>ICARE</v>
      </c>
      <c r="C6540" s="87" t="str">
        <f>IFERROR(__xludf.DUMMYFUNCTION("""COMPUTED_VALUE"""),"BTPC00019")</f>
        <v>BTPC00019</v>
      </c>
      <c r="D6540" s="87" t="str">
        <f>IFERROR(__xludf.DUMMYFUNCTION("""COMPUTED_VALUE"""),"[BTPC] GC ICARE - HIDANO - OTN - Anti Coro nCoV - Nano Ag+- 500ml")</f>
        <v>[BTPC] GC ICARE - HIDANO - OTN - Anti Coro nCoV - Nano Ag+- 500ml</v>
      </c>
      <c r="E6540" s="87"/>
      <c r="F6540" s="87"/>
      <c r="G6540" s="87"/>
    </row>
    <row r="6541">
      <c r="A6541" s="86">
        <f>IFERROR(__xludf.DUMMYFUNCTION("""COMPUTED_VALUE"""),6539.0)</f>
        <v>6539</v>
      </c>
      <c r="B6541" s="87" t="str">
        <f>IFERROR(__xludf.DUMMYFUNCTION("""COMPUTED_VALUE"""),"ICARE")</f>
        <v>ICARE</v>
      </c>
      <c r="C6541" s="87" t="str">
        <f>IFERROR(__xludf.DUMMYFUNCTION("""COMPUTED_VALUE"""),"BTPC00020")</f>
        <v>BTPC00020</v>
      </c>
      <c r="D6541" s="87" t="str">
        <f>IFERROR(__xludf.DUMMYFUNCTION("""COMPUTED_VALUE"""),"[BTPC] GC ICARE - BASEL - Anti Coro nCoV - Nano Ag+- xịt 100ml")</f>
        <v>[BTPC] GC ICARE - BASEL - Anti Coro nCoV - Nano Ag+- xịt 100ml</v>
      </c>
      <c r="E6541" s="87"/>
      <c r="F6541" s="87"/>
      <c r="G6541" s="87"/>
    </row>
    <row r="6542">
      <c r="A6542" s="86">
        <f>IFERROR(__xludf.DUMMYFUNCTION("""COMPUTED_VALUE"""),6540.0)</f>
        <v>6540</v>
      </c>
      <c r="B6542" s="87" t="str">
        <f>IFERROR(__xludf.DUMMYFUNCTION("""COMPUTED_VALUE"""),"ICARE")</f>
        <v>ICARE</v>
      </c>
      <c r="C6542" s="87" t="str">
        <f>IFERROR(__xludf.DUMMYFUNCTION("""COMPUTED_VALUE"""),"BTPC00021")</f>
        <v>BTPC00021</v>
      </c>
      <c r="D6542" s="87" t="str">
        <f>IFERROR(__xludf.DUMMYFUNCTION("""COMPUTED_VALUE"""),"[BTPC]GC ICARE - BASEL- Anti Coro nCoV - Nano Ag+ (hương bạc hà)- 500ml")</f>
        <v>[BTPC]GC ICARE - BASEL- Anti Coro nCoV - Nano Ag+ (hương bạc hà)- 500ml</v>
      </c>
      <c r="E6542" s="87"/>
      <c r="F6542" s="87"/>
      <c r="G6542" s="87"/>
    </row>
    <row r="6543">
      <c r="A6543" s="86">
        <f>IFERROR(__xludf.DUMMYFUNCTION("""COMPUTED_VALUE"""),6541.0)</f>
        <v>6541</v>
      </c>
      <c r="B6543" s="87" t="str">
        <f>IFERROR(__xludf.DUMMYFUNCTION("""COMPUTED_VALUE"""),"ICARE")</f>
        <v>ICARE</v>
      </c>
      <c r="C6543" s="87" t="str">
        <f>IFERROR(__xludf.DUMMYFUNCTION("""COMPUTED_VALUE"""),"BTPC00022")</f>
        <v>BTPC00022</v>
      </c>
      <c r="D6543" s="87" t="str">
        <f>IFERROR(__xludf.DUMMYFUNCTION("""COMPUTED_VALUE"""),"[BTPC] ICARE - Anti Coro nCoV - 90ml")</f>
        <v>[BTPC] ICARE - Anti Coro nCoV - 90ml</v>
      </c>
      <c r="E6543" s="87"/>
      <c r="F6543" s="87"/>
      <c r="G6543" s="87"/>
    </row>
    <row r="6544">
      <c r="A6544" s="86">
        <f>IFERROR(__xludf.DUMMYFUNCTION("""COMPUTED_VALUE"""),6542.0)</f>
        <v>6542</v>
      </c>
      <c r="B6544" s="87" t="str">
        <f>IFERROR(__xludf.DUMMYFUNCTION("""COMPUTED_VALUE"""),"ICARE")</f>
        <v>ICARE</v>
      </c>
      <c r="C6544" s="87" t="str">
        <f>IFERROR(__xludf.DUMMYFUNCTION("""COMPUTED_VALUE"""),"BTPC00023")</f>
        <v>BTPC00023</v>
      </c>
      <c r="D6544" s="87" t="str">
        <f>IFERROR(__xludf.DUMMYFUNCTION("""COMPUTED_VALUE"""),"[BTPC] - GC ICARE - CAT - Anti Coro nCoV - Chanh trà xanh-100ml")</f>
        <v>[BTPC] - GC ICARE - CAT - Anti Coro nCoV - Chanh trà xanh-100ml</v>
      </c>
      <c r="E6544" s="87"/>
      <c r="F6544" s="87"/>
      <c r="G6544" s="87"/>
    </row>
    <row r="6545">
      <c r="A6545" s="86">
        <f>IFERROR(__xludf.DUMMYFUNCTION("""COMPUTED_VALUE"""),6543.0)</f>
        <v>6543</v>
      </c>
      <c r="B6545" s="87" t="str">
        <f>IFERROR(__xludf.DUMMYFUNCTION("""COMPUTED_VALUE"""),"ICARE")</f>
        <v>ICARE</v>
      </c>
      <c r="C6545" s="87" t="str">
        <f>IFERROR(__xludf.DUMMYFUNCTION("""COMPUTED_VALUE"""),"BTPC00024")</f>
        <v>BTPC00024</v>
      </c>
      <c r="D6545" s="87" t="str">
        <f>IFERROR(__xludf.DUMMYFUNCTION("""COMPUTED_VALUE"""),"[BTPC] - GC ICARE - CAT - Anti Coro nCoV - Bạc hà -100ml")</f>
        <v>[BTPC] - GC ICARE - CAT - Anti Coro nCoV - Bạc hà -100ml</v>
      </c>
      <c r="E6545" s="87"/>
      <c r="F6545" s="87"/>
      <c r="G6545" s="87"/>
    </row>
    <row r="6546">
      <c r="A6546" s="86">
        <f>IFERROR(__xludf.DUMMYFUNCTION("""COMPUTED_VALUE"""),6544.0)</f>
        <v>6544</v>
      </c>
      <c r="B6546" s="87" t="str">
        <f>IFERROR(__xludf.DUMMYFUNCTION("""COMPUTED_VALUE"""),"ICARE")</f>
        <v>ICARE</v>
      </c>
      <c r="C6546" s="87" t="str">
        <f>IFERROR(__xludf.DUMMYFUNCTION("""COMPUTED_VALUE"""),"BTPC00025")</f>
        <v>BTPC00025</v>
      </c>
      <c r="D6546" s="87" t="str">
        <f>IFERROR(__xludf.DUMMYFUNCTION("""COMPUTED_VALUE"""),"[BTPC] Antisol - 240ml")</f>
        <v>[BTPC] Antisol - 240ml</v>
      </c>
      <c r="E6546" s="87"/>
      <c r="F6546" s="87"/>
      <c r="G6546" s="87"/>
    </row>
    <row r="6547">
      <c r="A6547" s="86">
        <f>IFERROR(__xludf.DUMMYFUNCTION("""COMPUTED_VALUE"""),6545.0)</f>
        <v>6545</v>
      </c>
      <c r="B6547" s="87" t="str">
        <f>IFERROR(__xludf.DUMMYFUNCTION("""COMPUTED_VALUE"""),"ICARE")</f>
        <v>ICARE</v>
      </c>
      <c r="C6547" s="87" t="str">
        <f>IFERROR(__xludf.DUMMYFUNCTION("""COMPUTED_VALUE"""),"BTPC00026")</f>
        <v>BTPC00026</v>
      </c>
      <c r="D6547" s="87" t="str">
        <f>IFERROR(__xludf.DUMMYFUNCTION("""COMPUTED_VALUE"""),"[BTPC] GC ICARE - OTN - ICARE - 120 ml")</f>
        <v>[BTPC] GC ICARE - OTN - ICARE - 120 ml</v>
      </c>
      <c r="E6547" s="87"/>
      <c r="F6547" s="87"/>
      <c r="G6547" s="87"/>
    </row>
    <row r="6548">
      <c r="A6548" s="86">
        <f>IFERROR(__xludf.DUMMYFUNCTION("""COMPUTED_VALUE"""),6546.0)</f>
        <v>6546</v>
      </c>
      <c r="B6548" s="87" t="str">
        <f>IFERROR(__xludf.DUMMYFUNCTION("""COMPUTED_VALUE"""),"ICARE")</f>
        <v>ICARE</v>
      </c>
      <c r="C6548" s="87" t="str">
        <f>IFERROR(__xludf.DUMMYFUNCTION("""COMPUTED_VALUE"""),"BTPR_KM00019")</f>
        <v>BTPR_KM00019</v>
      </c>
      <c r="D6548" s="87" t="str">
        <f>IFERROR(__xludf.DUMMYFUNCTION("""COMPUTED_VALUE"""),"[BTP_R_KMKM] ICARE - 100ml")</f>
        <v>[BTP_R_KMKM] ICARE - 100ml</v>
      </c>
      <c r="E6548" s="87"/>
      <c r="F6548" s="87"/>
      <c r="G6548" s="87"/>
    </row>
    <row r="6549">
      <c r="A6549" s="86">
        <f>IFERROR(__xludf.DUMMYFUNCTION("""COMPUTED_VALUE"""),6547.0)</f>
        <v>6547</v>
      </c>
      <c r="B6549" s="87" t="str">
        <f>IFERROR(__xludf.DUMMYFUNCTION("""COMPUTED_VALUE"""),"ICARE")</f>
        <v>ICARE</v>
      </c>
      <c r="C6549" s="87" t="str">
        <f>IFERROR(__xludf.DUMMYFUNCTION("""COMPUTED_VALUE"""),"BTPR_KM00020")</f>
        <v>BTPR_KM00020</v>
      </c>
      <c r="D6549" s="87" t="str">
        <f>IFERROR(__xludf.DUMMYFUNCTION("""COMPUTED_VALUE"""),"[BTP_R_KMKM] ICARE - 500ml")</f>
        <v>[BTP_R_KMKM] ICARE - 500ml</v>
      </c>
      <c r="E6549" s="87"/>
      <c r="F6549" s="87"/>
      <c r="G6549" s="87"/>
    </row>
    <row r="6550">
      <c r="A6550" s="86">
        <f>IFERROR(__xludf.DUMMYFUNCTION("""COMPUTED_VALUE"""),6548.0)</f>
        <v>6548</v>
      </c>
      <c r="B6550" s="87" t="str">
        <f>IFERROR(__xludf.DUMMYFUNCTION("""COMPUTED_VALUE"""),"ICARE")</f>
        <v>ICARE</v>
      </c>
      <c r="C6550" s="87" t="str">
        <f>IFERROR(__xludf.DUMMYFUNCTION("""COMPUTED_VALUE"""),"BTPR_KM00021")</f>
        <v>BTPR_KM00021</v>
      </c>
      <c r="D6550" s="87" t="str">
        <f>IFERROR(__xludf.DUMMYFUNCTION("""COMPUTED_VALUE"""),"[BTP_R_KMKM] ICARE - xịt 100ml")</f>
        <v>[BTP_R_KMKM] ICARE - xịt 100ml</v>
      </c>
      <c r="E6550" s="87"/>
      <c r="F6550" s="87"/>
      <c r="G6550" s="87"/>
    </row>
    <row r="6551">
      <c r="A6551" s="86">
        <f>IFERROR(__xludf.DUMMYFUNCTION("""COMPUTED_VALUE"""),6549.0)</f>
        <v>6549</v>
      </c>
      <c r="B6551" s="87" t="str">
        <f>IFERROR(__xludf.DUMMYFUNCTION("""COMPUTED_VALUE"""),"ICARE")</f>
        <v>ICARE</v>
      </c>
      <c r="C6551" s="87" t="str">
        <f>IFERROR(__xludf.DUMMYFUNCTION("""COMPUTED_VALUE"""),"BTPR_KM00022")</f>
        <v>BTPR_KM00022</v>
      </c>
      <c r="D6551" s="87" t="str">
        <f>IFERROR(__xludf.DUMMYFUNCTION("""COMPUTED_VALUE"""),"[BTP_R_KMKM] ICARE - xịt 50mll")</f>
        <v>[BTP_R_KMKM] ICARE - xịt 50mll</v>
      </c>
      <c r="E6551" s="87"/>
      <c r="F6551" s="87"/>
      <c r="G6551" s="87"/>
    </row>
    <row r="6552">
      <c r="A6552" s="86">
        <f>IFERROR(__xludf.DUMMYFUNCTION("""COMPUTED_VALUE"""),6550.0)</f>
        <v>6550</v>
      </c>
      <c r="B6552" s="87" t="str">
        <f>IFERROR(__xludf.DUMMYFUNCTION("""COMPUTED_VALUE"""),"ICARE")</f>
        <v>ICARE</v>
      </c>
      <c r="C6552" s="87" t="str">
        <f>IFERROR(__xludf.DUMMYFUNCTION("""COMPUTED_VALUE"""),"BTPR00001")</f>
        <v>BTPR00001</v>
      </c>
      <c r="D6552" s="87" t="str">
        <f>IFERROR(__xludf.DUMMYFUNCTION("""COMPUTED_VALUE"""),"[BTPR] - ICARE - Anti Coro nCoV - Nano Ag+ - 100ml")</f>
        <v>[BTPR] - ICARE - Anti Coro nCoV - Nano Ag+ - 100ml</v>
      </c>
      <c r="E6552" s="87"/>
      <c r="F6552" s="87"/>
      <c r="G6552" s="87"/>
    </row>
    <row r="6553">
      <c r="A6553" s="86">
        <f>IFERROR(__xludf.DUMMYFUNCTION("""COMPUTED_VALUE"""),6551.0)</f>
        <v>6551</v>
      </c>
      <c r="B6553" s="87" t="str">
        <f>IFERROR(__xludf.DUMMYFUNCTION("""COMPUTED_VALUE"""),"ICARE")</f>
        <v>ICARE</v>
      </c>
      <c r="C6553" s="87" t="str">
        <f>IFERROR(__xludf.DUMMYFUNCTION("""COMPUTED_VALUE"""),"BTPR00002")</f>
        <v>BTPR00002</v>
      </c>
      <c r="D6553" s="87" t="str">
        <f>IFERROR(__xludf.DUMMYFUNCTION("""COMPUTED_VALUE"""),"[BTPR] - CARE - Anti Coro nCoV - Chanh Trà Xanh - 100ml")</f>
        <v>[BTPR] - CARE - Anti Coro nCoV - Chanh Trà Xanh - 100ml</v>
      </c>
      <c r="E6553" s="87"/>
      <c r="F6553" s="87"/>
      <c r="G6553" s="87"/>
    </row>
    <row r="6554">
      <c r="A6554" s="86">
        <f>IFERROR(__xludf.DUMMYFUNCTION("""COMPUTED_VALUE"""),6552.0)</f>
        <v>6552</v>
      </c>
      <c r="B6554" s="87" t="str">
        <f>IFERROR(__xludf.DUMMYFUNCTION("""COMPUTED_VALUE"""),"ICARE")</f>
        <v>ICARE</v>
      </c>
      <c r="C6554" s="87" t="str">
        <f>IFERROR(__xludf.DUMMYFUNCTION("""COMPUTED_VALUE"""),"BTPR00003")</f>
        <v>BTPR00003</v>
      </c>
      <c r="D6554" s="87" t="str">
        <f>IFERROR(__xludf.DUMMYFUNCTION("""COMPUTED_VALUE"""),"[BTPR] - ICARE - Anti Coro nCoV - Bạc Hà - 100ml")</f>
        <v>[BTPR] - ICARE - Anti Coro nCoV - Bạc Hà - 100ml</v>
      </c>
      <c r="E6554" s="87"/>
      <c r="F6554" s="87"/>
      <c r="G6554" s="87"/>
    </row>
    <row r="6555">
      <c r="A6555" s="86">
        <f>IFERROR(__xludf.DUMMYFUNCTION("""COMPUTED_VALUE"""),6553.0)</f>
        <v>6553</v>
      </c>
      <c r="B6555" s="87" t="str">
        <f>IFERROR(__xludf.DUMMYFUNCTION("""COMPUTED_VALUE"""),"ICARE")</f>
        <v>ICARE</v>
      </c>
      <c r="C6555" s="87" t="str">
        <f>IFERROR(__xludf.DUMMYFUNCTION("""COMPUTED_VALUE"""),"BTPR00004")</f>
        <v>BTPR00004</v>
      </c>
      <c r="D6555" s="87" t="str">
        <f>IFERROR(__xludf.DUMMYFUNCTION("""COMPUTED_VALUE"""),"[BTPR] - ICARE - Anti Coro nCoV - Xịt khuẩn _Nano Ag+ - 100ml")</f>
        <v>[BTPR] - ICARE - Anti Coro nCoV - Xịt khuẩn _Nano Ag+ - 100ml</v>
      </c>
      <c r="E6555" s="87"/>
      <c r="F6555" s="87"/>
      <c r="G6555" s="87"/>
    </row>
    <row r="6556">
      <c r="A6556" s="86">
        <f>IFERROR(__xludf.DUMMYFUNCTION("""COMPUTED_VALUE"""),6554.0)</f>
        <v>6554</v>
      </c>
      <c r="B6556" s="87" t="str">
        <f>IFERROR(__xludf.DUMMYFUNCTION("""COMPUTED_VALUE"""),"ICARE")</f>
        <v>ICARE</v>
      </c>
      <c r="C6556" s="87" t="str">
        <f>IFERROR(__xludf.DUMMYFUNCTION("""COMPUTED_VALUE"""),"BTPR00005")</f>
        <v>BTPR00005</v>
      </c>
      <c r="D6556" s="87" t="str">
        <f>IFERROR(__xludf.DUMMYFUNCTION("""COMPUTED_VALUE"""),"[BTPR] - ICARE - Anti Coro nCoV - Chanh Trà Xanh - 500ml")</f>
        <v>[BTPR] - ICARE - Anti Coro nCoV - Chanh Trà Xanh - 500ml</v>
      </c>
      <c r="E6556" s="87"/>
      <c r="F6556" s="87"/>
      <c r="G6556" s="87"/>
    </row>
    <row r="6557">
      <c r="A6557" s="86">
        <f>IFERROR(__xludf.DUMMYFUNCTION("""COMPUTED_VALUE"""),6555.0)</f>
        <v>6555</v>
      </c>
      <c r="B6557" s="87" t="str">
        <f>IFERROR(__xludf.DUMMYFUNCTION("""COMPUTED_VALUE"""),"ICARE")</f>
        <v>ICARE</v>
      </c>
      <c r="C6557" s="87" t="str">
        <f>IFERROR(__xludf.DUMMYFUNCTION("""COMPUTED_VALUE"""),"BTPR00006")</f>
        <v>BTPR00006</v>
      </c>
      <c r="D6557" s="87" t="str">
        <f>IFERROR(__xludf.DUMMYFUNCTION("""COMPUTED_VALUE"""),"[BTPR] - ICARE - Anti Coro nCoV - Bạc Hà - 500ml")</f>
        <v>[BTPR] - ICARE - Anti Coro nCoV - Bạc Hà - 500ml</v>
      </c>
      <c r="E6557" s="87"/>
      <c r="F6557" s="87"/>
      <c r="G6557" s="87"/>
    </row>
    <row r="6558">
      <c r="A6558" s="86">
        <f>IFERROR(__xludf.DUMMYFUNCTION("""COMPUTED_VALUE"""),6556.0)</f>
        <v>6556</v>
      </c>
      <c r="B6558" s="87" t="str">
        <f>IFERROR(__xludf.DUMMYFUNCTION("""COMPUTED_VALUE"""),"ICARE")</f>
        <v>ICARE</v>
      </c>
      <c r="C6558" s="87" t="str">
        <f>IFERROR(__xludf.DUMMYFUNCTION("""COMPUTED_VALUE"""),"BTPR00007")</f>
        <v>BTPR00007</v>
      </c>
      <c r="D6558" s="87" t="str">
        <f>IFERROR(__xludf.DUMMYFUNCTION("""COMPUTED_VALUE"""),"[BTPR] - ICARE - Anti Coro nCoV - Nano Ag+ - 500ml")</f>
        <v>[BTPR] - ICARE - Anti Coro nCoV - Nano Ag+ - 500ml</v>
      </c>
      <c r="E6558" s="87"/>
      <c r="F6558" s="87"/>
      <c r="G6558" s="87"/>
    </row>
    <row r="6559">
      <c r="A6559" s="86">
        <f>IFERROR(__xludf.DUMMYFUNCTION("""COMPUTED_VALUE"""),6557.0)</f>
        <v>6557</v>
      </c>
      <c r="B6559" s="87" t="str">
        <f>IFERROR(__xludf.DUMMYFUNCTION("""COMPUTED_VALUE"""),"ICARE")</f>
        <v>ICARE</v>
      </c>
      <c r="C6559" s="87" t="str">
        <f>IFERROR(__xludf.DUMMYFUNCTION("""COMPUTED_VALUE"""),"BTPR00008")</f>
        <v>BTPR00008</v>
      </c>
      <c r="D6559" s="87" t="str">
        <f>IFERROR(__xludf.DUMMYFUNCTION("""COMPUTED_VALUE"""),"[BTPR] - ICARE - Anti Coro nCoV - Chanh Trà Xanh - 4 lít")</f>
        <v>[BTPR] - ICARE - Anti Coro nCoV - Chanh Trà Xanh - 4 lít</v>
      </c>
      <c r="E6559" s="87"/>
      <c r="F6559" s="87"/>
      <c r="G6559" s="87"/>
    </row>
    <row r="6560">
      <c r="A6560" s="86">
        <f>IFERROR(__xludf.DUMMYFUNCTION("""COMPUTED_VALUE"""),6558.0)</f>
        <v>6558</v>
      </c>
      <c r="B6560" s="87" t="str">
        <f>IFERROR(__xludf.DUMMYFUNCTION("""COMPUTED_VALUE"""),"ICARE")</f>
        <v>ICARE</v>
      </c>
      <c r="C6560" s="87" t="str">
        <f>IFERROR(__xludf.DUMMYFUNCTION("""COMPUTED_VALUE"""),"BTPR00009")</f>
        <v>BTPR00009</v>
      </c>
      <c r="D6560" s="87" t="str">
        <f>IFERROR(__xludf.DUMMYFUNCTION("""COMPUTED_VALUE"""),"[BTPR] - ICARE - Anti Coro nCoV - Bạc Hà - 4 lít")</f>
        <v>[BTPR] - ICARE - Anti Coro nCoV - Bạc Hà - 4 lít</v>
      </c>
      <c r="E6560" s="87"/>
      <c r="F6560" s="87"/>
      <c r="G6560" s="87"/>
    </row>
    <row r="6561">
      <c r="A6561" s="86">
        <f>IFERROR(__xludf.DUMMYFUNCTION("""COMPUTED_VALUE"""),6559.0)</f>
        <v>6559</v>
      </c>
      <c r="B6561" s="87" t="str">
        <f>IFERROR(__xludf.DUMMYFUNCTION("""COMPUTED_VALUE"""),"ICARE")</f>
        <v>ICARE</v>
      </c>
      <c r="C6561" s="87" t="str">
        <f>IFERROR(__xludf.DUMMYFUNCTION("""COMPUTED_VALUE"""),"BTPR00010")</f>
        <v>BTPR00010</v>
      </c>
      <c r="D6561" s="87" t="str">
        <f>IFERROR(__xludf.DUMMYFUNCTION("""COMPUTED_VALUE"""),"[BTPR] - ICARE - Anti Coro nCoV - Nano Ag+ - 4 lít")</f>
        <v>[BTPR] - ICARE - Anti Coro nCoV - Nano Ag+ - 4 lít</v>
      </c>
      <c r="E6561" s="87"/>
      <c r="F6561" s="87"/>
      <c r="G6561" s="87"/>
    </row>
    <row r="6562">
      <c r="A6562" s="86">
        <f>IFERROR(__xludf.DUMMYFUNCTION("""COMPUTED_VALUE"""),6560.0)</f>
        <v>6560</v>
      </c>
      <c r="B6562" s="87" t="str">
        <f>IFERROR(__xludf.DUMMYFUNCTION("""COMPUTED_VALUE"""),"ICARE")</f>
        <v>ICARE</v>
      </c>
      <c r="C6562" s="87" t="str">
        <f>IFERROR(__xludf.DUMMYFUNCTION("""COMPUTED_VALUE"""),"BTPR00011")</f>
        <v>BTPR00011</v>
      </c>
      <c r="D6562" s="87" t="str">
        <f>IFERROR(__xludf.DUMMYFUNCTION("""COMPUTED_VALUE"""),"[BTPR] - ICARE - Anti Coro nCoV - Chanh Trà Xanh - 10 lít")</f>
        <v>[BTPR] - ICARE - Anti Coro nCoV - Chanh Trà Xanh - 10 lít</v>
      </c>
      <c r="E6562" s="87"/>
      <c r="F6562" s="87"/>
      <c r="G6562" s="87"/>
    </row>
    <row r="6563">
      <c r="A6563" s="86">
        <f>IFERROR(__xludf.DUMMYFUNCTION("""COMPUTED_VALUE"""),6561.0)</f>
        <v>6561</v>
      </c>
      <c r="B6563" s="87" t="str">
        <f>IFERROR(__xludf.DUMMYFUNCTION("""COMPUTED_VALUE"""),"ICARE")</f>
        <v>ICARE</v>
      </c>
      <c r="C6563" s="87" t="str">
        <f>IFERROR(__xludf.DUMMYFUNCTION("""COMPUTED_VALUE"""),"BTPR00012")</f>
        <v>BTPR00012</v>
      </c>
      <c r="D6563" s="87" t="str">
        <f>IFERROR(__xludf.DUMMYFUNCTION("""COMPUTED_VALUE"""),"[BTPR] - ICARE - Anti Coro nCoV - Bạc Hà - 10 lít")</f>
        <v>[BTPR] - ICARE - Anti Coro nCoV - Bạc Hà - 10 lít</v>
      </c>
      <c r="E6563" s="87"/>
      <c r="F6563" s="87"/>
      <c r="G6563" s="87"/>
    </row>
    <row r="6564">
      <c r="A6564" s="86">
        <f>IFERROR(__xludf.DUMMYFUNCTION("""COMPUTED_VALUE"""),6562.0)</f>
        <v>6562</v>
      </c>
      <c r="B6564" s="87" t="str">
        <f>IFERROR(__xludf.DUMMYFUNCTION("""COMPUTED_VALUE"""),"ICARE")</f>
        <v>ICARE</v>
      </c>
      <c r="C6564" s="87" t="str">
        <f>IFERROR(__xludf.DUMMYFUNCTION("""COMPUTED_VALUE"""),"BTPR00013")</f>
        <v>BTPR00013</v>
      </c>
      <c r="D6564" s="87" t="str">
        <f>IFERROR(__xludf.DUMMYFUNCTION("""COMPUTED_VALUE"""),"[BTPR] - ICARE - Anti Coro nCoV - Nano Ag+ - 10 lít")</f>
        <v>[BTPR] - ICARE - Anti Coro nCoV - Nano Ag+ - 10 lít</v>
      </c>
      <c r="E6564" s="87"/>
      <c r="F6564" s="87"/>
      <c r="G6564" s="87"/>
    </row>
    <row r="6565">
      <c r="A6565" s="86">
        <f>IFERROR(__xludf.DUMMYFUNCTION("""COMPUTED_VALUE"""),6563.0)</f>
        <v>6563</v>
      </c>
      <c r="B6565" s="87" t="str">
        <f>IFERROR(__xludf.DUMMYFUNCTION("""COMPUTED_VALUE"""),"ICARE")</f>
        <v>ICARE</v>
      </c>
      <c r="C6565" s="87" t="str">
        <f>IFERROR(__xludf.DUMMYFUNCTION("""COMPUTED_VALUE"""),"BTPR00014")</f>
        <v>BTPR00014</v>
      </c>
      <c r="D6565" s="87" t="str">
        <f>IFERROR(__xludf.DUMMYFUNCTION("""COMPUTED_VALUE"""),"[BTPR] - ICARE - Anti Coro nCoV - Xịt khuẩn _Nano Ag+ - 30ml")</f>
        <v>[BTPR] - ICARE - Anti Coro nCoV - Xịt khuẩn _Nano Ag+ - 30ml</v>
      </c>
      <c r="E6565" s="87"/>
      <c r="F6565" s="87"/>
      <c r="G6565" s="87"/>
    </row>
    <row r="6566">
      <c r="A6566" s="86">
        <f>IFERROR(__xludf.DUMMYFUNCTION("""COMPUTED_VALUE"""),6564.0)</f>
        <v>6564</v>
      </c>
      <c r="B6566" s="87" t="str">
        <f>IFERROR(__xludf.DUMMYFUNCTION("""COMPUTED_VALUE"""),"ICARE")</f>
        <v>ICARE</v>
      </c>
      <c r="C6566" s="87" t="str">
        <f>IFERROR(__xludf.DUMMYFUNCTION("""COMPUTED_VALUE"""),"BTPR00015")</f>
        <v>BTPR00015</v>
      </c>
      <c r="D6566" s="87" t="str">
        <f>IFERROR(__xludf.DUMMYFUNCTION("""COMPUTED_VALUE"""),"[BTPR] ICARE - Anti Coro nCoV - Xịt khuẩn _Nano Ag+ - 50ml")</f>
        <v>[BTPR] ICARE - Anti Coro nCoV - Xịt khuẩn _Nano Ag+ - 50ml</v>
      </c>
      <c r="E6566" s="87"/>
      <c r="F6566" s="87"/>
      <c r="G6566" s="87"/>
    </row>
    <row r="6567">
      <c r="A6567" s="86">
        <f>IFERROR(__xludf.DUMMYFUNCTION("""COMPUTED_VALUE"""),6565.0)</f>
        <v>6565</v>
      </c>
      <c r="B6567" s="87" t="str">
        <f>IFERROR(__xludf.DUMMYFUNCTION("""COMPUTED_VALUE"""),"ICARE")</f>
        <v>ICARE</v>
      </c>
      <c r="C6567" s="87" t="str">
        <f>IFERROR(__xludf.DUMMYFUNCTION("""COMPUTED_VALUE"""),"BTPR00016")</f>
        <v>BTPR00016</v>
      </c>
      <c r="D6567" s="87" t="str">
        <f>IFERROR(__xludf.DUMMYFUNCTION("""COMPUTED_VALUE"""),"[BTP_R] ICARE - Anti Coro nCoV - Bạc Hà - 01 lít")</f>
        <v>[BTP_R] ICARE - Anti Coro nCoV - Bạc Hà - 01 lít</v>
      </c>
      <c r="E6567" s="87"/>
      <c r="F6567" s="87"/>
      <c r="G6567" s="87"/>
    </row>
    <row r="6568">
      <c r="A6568" s="86">
        <f>IFERROR(__xludf.DUMMYFUNCTION("""COMPUTED_VALUE"""),6566.0)</f>
        <v>6566</v>
      </c>
      <c r="B6568" s="87" t="str">
        <f>IFERROR(__xludf.DUMMYFUNCTION("""COMPUTED_VALUE"""),"ICARE")</f>
        <v>ICARE</v>
      </c>
      <c r="C6568" s="87" t="str">
        <f>IFERROR(__xludf.DUMMYFUNCTION("""COMPUTED_VALUE"""),"BTPR00017")</f>
        <v>BTPR00017</v>
      </c>
      <c r="D6568" s="87" t="str">
        <f>IFERROR(__xludf.DUMMYFUNCTION("""COMPUTED_VALUE"""),"[BTP_R] ICARE - Anti Coro nCoV - Nano Ag+ - 01 lít")</f>
        <v>[BTP_R] ICARE - Anti Coro nCoV - Nano Ag+ - 01 lít</v>
      </c>
      <c r="E6568" s="87"/>
      <c r="F6568" s="87"/>
      <c r="G6568" s="87"/>
    </row>
    <row r="6569">
      <c r="A6569" s="86">
        <f>IFERROR(__xludf.DUMMYFUNCTION("""COMPUTED_VALUE"""),6567.0)</f>
        <v>6567</v>
      </c>
      <c r="B6569" s="87" t="str">
        <f>IFERROR(__xludf.DUMMYFUNCTION("""COMPUTED_VALUE"""),"ICARE")</f>
        <v>ICARE</v>
      </c>
      <c r="C6569" s="87" t="str">
        <f>IFERROR(__xludf.DUMMYFUNCTION("""COMPUTED_VALUE"""),"BTPR00018")</f>
        <v>BTPR00018</v>
      </c>
      <c r="D6569" s="87" t="str">
        <f>IFERROR(__xludf.DUMMYFUNCTION("""COMPUTED_VALUE"""),"[BTP_R] GC ICARE - Anti Coro nCoV - ICARE - 120 ml")</f>
        <v>[BTP_R] GC ICARE - Anti Coro nCoV - ICARE - 120 ml</v>
      </c>
      <c r="E6569" s="87"/>
      <c r="F6569" s="87"/>
      <c r="G6569" s="87"/>
    </row>
    <row r="6570">
      <c r="A6570" s="86">
        <f>IFERROR(__xludf.DUMMYFUNCTION("""COMPUTED_VALUE"""),6568.0)</f>
        <v>6568</v>
      </c>
      <c r="B6570" s="87" t="str">
        <f>IFERROR(__xludf.DUMMYFUNCTION("""COMPUTED_VALUE"""),"ICARE")</f>
        <v>ICARE</v>
      </c>
      <c r="C6570" s="87" t="str">
        <f>IFERROR(__xludf.DUMMYFUNCTION("""COMPUTED_VALUE"""),"BTPR00019")</f>
        <v>BTPR00019</v>
      </c>
      <c r="D6570" s="87" t="str">
        <f>IFERROR(__xludf.DUMMYFUNCTION("""COMPUTED_VALUE"""),"[BTPR] GC ICARE - BASEL - Anti Coro nCoV - Nano Ag+- xịt 100ml")</f>
        <v>[BTPR] GC ICARE - BASEL - Anti Coro nCoV - Nano Ag+- xịt 100ml</v>
      </c>
      <c r="E6570" s="87"/>
      <c r="F6570" s="87"/>
      <c r="G6570" s="87"/>
    </row>
    <row r="6571">
      <c r="A6571" s="86">
        <f>IFERROR(__xludf.DUMMYFUNCTION("""COMPUTED_VALUE"""),6569.0)</f>
        <v>6569</v>
      </c>
      <c r="B6571" s="87" t="str">
        <f>IFERROR(__xludf.DUMMYFUNCTION("""COMPUTED_VALUE"""),"ICARE")</f>
        <v>ICARE</v>
      </c>
      <c r="C6571" s="87" t="str">
        <f>IFERROR(__xludf.DUMMYFUNCTION("""COMPUTED_VALUE"""),"BTPR00020")</f>
        <v>BTPR00020</v>
      </c>
      <c r="D6571" s="87" t="str">
        <f>IFERROR(__xludf.DUMMYFUNCTION("""COMPUTED_VALUE"""),"[BTPR]GC ICARE - BASEL- Anti Coro nCoV - Nano Ag+ (hương bạc hà)- 500ml")</f>
        <v>[BTPR]GC ICARE - BASEL- Anti Coro nCoV - Nano Ag+ (hương bạc hà)- 500ml</v>
      </c>
      <c r="E6571" s="87"/>
      <c r="F6571" s="87"/>
      <c r="G6571" s="87"/>
    </row>
    <row r="6572">
      <c r="A6572" s="86">
        <f>IFERROR(__xludf.DUMMYFUNCTION("""COMPUTED_VALUE"""),6570.0)</f>
        <v>6570</v>
      </c>
      <c r="B6572" s="87" t="str">
        <f>IFERROR(__xludf.DUMMYFUNCTION("""COMPUTED_VALUE"""),"ICARE")</f>
        <v>ICARE</v>
      </c>
      <c r="C6572" s="87" t="str">
        <f>IFERROR(__xludf.DUMMYFUNCTION("""COMPUTED_VALUE"""),"BTPR00021")</f>
        <v>BTPR00021</v>
      </c>
      <c r="D6572" s="87" t="str">
        <f>IFERROR(__xludf.DUMMYFUNCTION("""COMPUTED_VALUE"""),"[BTPR] Antisol - 240ml")</f>
        <v>[BTPR] Antisol - 240ml</v>
      </c>
      <c r="E6572" s="87"/>
      <c r="F6572" s="87"/>
      <c r="G6572" s="87"/>
    </row>
    <row r="6573">
      <c r="A6573" s="86">
        <f>IFERROR(__xludf.DUMMYFUNCTION("""COMPUTED_VALUE"""),6571.0)</f>
        <v>6571</v>
      </c>
      <c r="B6573" s="87" t="str">
        <f>IFERROR(__xludf.DUMMYFUNCTION("""COMPUTED_VALUE"""),"ICARE")</f>
        <v>ICARE</v>
      </c>
      <c r="C6573" s="87" t="str">
        <f>IFERROR(__xludf.DUMMYFUNCTION("""COMPUTED_VALUE"""),"CCDC00001")</f>
        <v>CCDC00001</v>
      </c>
      <c r="D6573" s="87" t="str">
        <f>IFERROR(__xludf.DUMMYFUNCTION("""COMPUTED_VALUE"""),"Điện thoại di động Noika 220 4G")</f>
        <v>Điện thoại di động Noika 220 4G</v>
      </c>
      <c r="E6573" s="87"/>
      <c r="F6573" s="87"/>
      <c r="G6573" s="87"/>
    </row>
    <row r="6574">
      <c r="A6574" s="86">
        <f>IFERROR(__xludf.DUMMYFUNCTION("""COMPUTED_VALUE"""),6572.0)</f>
        <v>6572</v>
      </c>
      <c r="B6574" s="87" t="str">
        <f>IFERROR(__xludf.DUMMYFUNCTION("""COMPUTED_VALUE"""),"ICARE")</f>
        <v>ICARE</v>
      </c>
      <c r="C6574" s="87" t="str">
        <f>IFERROR(__xludf.DUMMYFUNCTION("""COMPUTED_VALUE"""),"CCDC00002")</f>
        <v>CCDC00002</v>
      </c>
      <c r="D6574" s="87" t="str">
        <f>IFERROR(__xludf.DUMMYFUNCTION("""COMPUTED_VALUE"""),"Sim số Mobifone")</f>
        <v>Sim số Mobifone</v>
      </c>
      <c r="E6574" s="87"/>
      <c r="F6574" s="87"/>
      <c r="G6574" s="87"/>
    </row>
    <row r="6575">
      <c r="A6575" s="86">
        <f>IFERROR(__xludf.DUMMYFUNCTION("""COMPUTED_VALUE"""),6573.0)</f>
        <v>6573</v>
      </c>
      <c r="B6575" s="87" t="str">
        <f>IFERROR(__xludf.DUMMYFUNCTION("""COMPUTED_VALUE"""),"ICARE")</f>
        <v>ICARE</v>
      </c>
      <c r="C6575" s="87" t="str">
        <f>IFERROR(__xludf.DUMMYFUNCTION("""COMPUTED_VALUE"""),"CPMH")</f>
        <v>CPMH</v>
      </c>
      <c r="D6575" s="87" t="str">
        <f>IFERROR(__xludf.DUMMYFUNCTION("""COMPUTED_VALUE"""),"Chi phí mua hàng")</f>
        <v>Chi phí mua hàng</v>
      </c>
      <c r="E6575" s="87"/>
      <c r="F6575" s="87"/>
      <c r="G6575" s="87"/>
    </row>
    <row r="6576">
      <c r="A6576" s="86">
        <f>IFERROR(__xludf.DUMMYFUNCTION("""COMPUTED_VALUE"""),6574.0)</f>
        <v>6574</v>
      </c>
      <c r="B6576" s="87" t="str">
        <f>IFERROR(__xludf.DUMMYFUNCTION("""COMPUTED_VALUE"""),"ICARE")</f>
        <v>ICARE</v>
      </c>
      <c r="C6576" s="87" t="str">
        <f>IFERROR(__xludf.DUMMYFUNCTION("""COMPUTED_VALUE"""),"HH00001")</f>
        <v>HH00001</v>
      </c>
      <c r="D6576" s="87" t="str">
        <f>IFERROR(__xludf.DUMMYFUNCTION("""COMPUTED_VALUE"""),"ICARE - Anti Coro nCoV - Nano Ag+ - 100ml")</f>
        <v>ICARE - Anti Coro nCoV - Nano Ag+ - 100ml</v>
      </c>
      <c r="E6576" s="87"/>
      <c r="F6576" s="87"/>
      <c r="G6576" s="87"/>
    </row>
    <row r="6577">
      <c r="A6577" s="86">
        <f>IFERROR(__xludf.DUMMYFUNCTION("""COMPUTED_VALUE"""),6575.0)</f>
        <v>6575</v>
      </c>
      <c r="B6577" s="87" t="str">
        <f>IFERROR(__xludf.DUMMYFUNCTION("""COMPUTED_VALUE"""),"ICARE")</f>
        <v>ICARE</v>
      </c>
      <c r="C6577" s="87" t="str">
        <f>IFERROR(__xludf.DUMMYFUNCTION("""COMPUTED_VALUE"""),"HH00002")</f>
        <v>HH00002</v>
      </c>
      <c r="D6577" s="87" t="str">
        <f>IFERROR(__xludf.DUMMYFUNCTION("""COMPUTED_VALUE"""),"ICARE - Anti Coro nCoV - Chanh Trà Xanh - 100ml")</f>
        <v>ICARE - Anti Coro nCoV - Chanh Trà Xanh - 100ml</v>
      </c>
      <c r="E6577" s="87"/>
      <c r="F6577" s="87"/>
      <c r="G6577" s="87"/>
    </row>
    <row r="6578">
      <c r="A6578" s="86">
        <f>IFERROR(__xludf.DUMMYFUNCTION("""COMPUTED_VALUE"""),6576.0)</f>
        <v>6576</v>
      </c>
      <c r="B6578" s="87" t="str">
        <f>IFERROR(__xludf.DUMMYFUNCTION("""COMPUTED_VALUE"""),"ICARE")</f>
        <v>ICARE</v>
      </c>
      <c r="C6578" s="87" t="str">
        <f>IFERROR(__xludf.DUMMYFUNCTION("""COMPUTED_VALUE"""),"HH00003")</f>
        <v>HH00003</v>
      </c>
      <c r="D6578" s="87" t="str">
        <f>IFERROR(__xludf.DUMMYFUNCTION("""COMPUTED_VALUE"""),"ICARE - Anti Coro nCoV - Bạc Hà - 100ml")</f>
        <v>ICARE - Anti Coro nCoV - Bạc Hà - 100ml</v>
      </c>
      <c r="E6578" s="87"/>
      <c r="F6578" s="87"/>
      <c r="G6578" s="87"/>
    </row>
    <row r="6579">
      <c r="A6579" s="86">
        <f>IFERROR(__xludf.DUMMYFUNCTION("""COMPUTED_VALUE"""),6577.0)</f>
        <v>6577</v>
      </c>
      <c r="B6579" s="87" t="str">
        <f>IFERROR(__xludf.DUMMYFUNCTION("""COMPUTED_VALUE"""),"ICARE")</f>
        <v>ICARE</v>
      </c>
      <c r="C6579" s="87" t="str">
        <f>IFERROR(__xludf.DUMMYFUNCTION("""COMPUTED_VALUE"""),"HH00004")</f>
        <v>HH00004</v>
      </c>
      <c r="D6579" s="87" t="str">
        <f>IFERROR(__xludf.DUMMYFUNCTION("""COMPUTED_VALUE"""),"ICARE - Anti Coro nCoV - Xịt khuẩn _Nano Ag+ - 100ml")</f>
        <v>ICARE - Anti Coro nCoV - Xịt khuẩn _Nano Ag+ - 100ml</v>
      </c>
      <c r="E6579" s="87"/>
      <c r="F6579" s="87"/>
      <c r="G6579" s="87"/>
    </row>
    <row r="6580">
      <c r="A6580" s="86">
        <f>IFERROR(__xludf.DUMMYFUNCTION("""COMPUTED_VALUE"""),6578.0)</f>
        <v>6578</v>
      </c>
      <c r="B6580" s="87" t="str">
        <f>IFERROR(__xludf.DUMMYFUNCTION("""COMPUTED_VALUE"""),"ICARE")</f>
        <v>ICARE</v>
      </c>
      <c r="C6580" s="87" t="str">
        <f>IFERROR(__xludf.DUMMYFUNCTION("""COMPUTED_VALUE"""),"HH00005")</f>
        <v>HH00005</v>
      </c>
      <c r="D6580" s="87" t="str">
        <f>IFERROR(__xludf.DUMMYFUNCTION("""COMPUTED_VALUE"""),"ICARE - Anti Coro nCoV - Chanh Trà Xanh - 500ml")</f>
        <v>ICARE - Anti Coro nCoV - Chanh Trà Xanh - 500ml</v>
      </c>
      <c r="E6580" s="87"/>
      <c r="F6580" s="87"/>
      <c r="G6580" s="87"/>
    </row>
    <row r="6581">
      <c r="A6581" s="86">
        <f>IFERROR(__xludf.DUMMYFUNCTION("""COMPUTED_VALUE"""),6579.0)</f>
        <v>6579</v>
      </c>
      <c r="B6581" s="87" t="str">
        <f>IFERROR(__xludf.DUMMYFUNCTION("""COMPUTED_VALUE"""),"ICARE")</f>
        <v>ICARE</v>
      </c>
      <c r="C6581" s="87" t="str">
        <f>IFERROR(__xludf.DUMMYFUNCTION("""COMPUTED_VALUE"""),"HH00006")</f>
        <v>HH00006</v>
      </c>
      <c r="D6581" s="87" t="str">
        <f>IFERROR(__xludf.DUMMYFUNCTION("""COMPUTED_VALUE"""),"ICARE - Anti Coro nCoV - Bạc Hà - 500ml")</f>
        <v>ICARE - Anti Coro nCoV - Bạc Hà - 500ml</v>
      </c>
      <c r="E6581" s="87"/>
      <c r="F6581" s="87"/>
      <c r="G6581" s="87"/>
    </row>
    <row r="6582">
      <c r="A6582" s="86">
        <f>IFERROR(__xludf.DUMMYFUNCTION("""COMPUTED_VALUE"""),6580.0)</f>
        <v>6580</v>
      </c>
      <c r="B6582" s="87" t="str">
        <f>IFERROR(__xludf.DUMMYFUNCTION("""COMPUTED_VALUE"""),"ICARE")</f>
        <v>ICARE</v>
      </c>
      <c r="C6582" s="87" t="str">
        <f>IFERROR(__xludf.DUMMYFUNCTION("""COMPUTED_VALUE"""),"HH00007")</f>
        <v>HH00007</v>
      </c>
      <c r="D6582" s="87" t="str">
        <f>IFERROR(__xludf.DUMMYFUNCTION("""COMPUTED_VALUE"""),"ICARE - Anti Coro nCoV - Nano Ag+ - 500ml")</f>
        <v>ICARE - Anti Coro nCoV - Nano Ag+ - 500ml</v>
      </c>
      <c r="E6582" s="87"/>
      <c r="F6582" s="87"/>
      <c r="G6582" s="87"/>
    </row>
    <row r="6583">
      <c r="A6583" s="86">
        <f>IFERROR(__xludf.DUMMYFUNCTION("""COMPUTED_VALUE"""),6581.0)</f>
        <v>6581</v>
      </c>
      <c r="B6583" s="87" t="str">
        <f>IFERROR(__xludf.DUMMYFUNCTION("""COMPUTED_VALUE"""),"ICARE")</f>
        <v>ICARE</v>
      </c>
      <c r="C6583" s="87" t="str">
        <f>IFERROR(__xludf.DUMMYFUNCTION("""COMPUTED_VALUE"""),"HH00008")</f>
        <v>HH00008</v>
      </c>
      <c r="D6583" s="87" t="str">
        <f>IFERROR(__xludf.DUMMYFUNCTION("""COMPUTED_VALUE"""),"ICARE - Anti Coro nCoV - Chanh Trà Xanh - 4 lít")</f>
        <v>ICARE - Anti Coro nCoV - Chanh Trà Xanh - 4 lít</v>
      </c>
      <c r="E6583" s="87"/>
      <c r="F6583" s="87"/>
      <c r="G6583" s="87"/>
    </row>
    <row r="6584">
      <c r="A6584" s="86">
        <f>IFERROR(__xludf.DUMMYFUNCTION("""COMPUTED_VALUE"""),6582.0)</f>
        <v>6582</v>
      </c>
      <c r="B6584" s="87" t="str">
        <f>IFERROR(__xludf.DUMMYFUNCTION("""COMPUTED_VALUE"""),"ICARE")</f>
        <v>ICARE</v>
      </c>
      <c r="C6584" s="87" t="str">
        <f>IFERROR(__xludf.DUMMYFUNCTION("""COMPUTED_VALUE"""),"HH00009")</f>
        <v>HH00009</v>
      </c>
      <c r="D6584" s="87" t="str">
        <f>IFERROR(__xludf.DUMMYFUNCTION("""COMPUTED_VALUE"""),"ICARE - Anti Coro nCoV - Bạc Hà - 4 lít")</f>
        <v>ICARE - Anti Coro nCoV - Bạc Hà - 4 lít</v>
      </c>
      <c r="E6584" s="87"/>
      <c r="F6584" s="87"/>
      <c r="G6584" s="87"/>
    </row>
    <row r="6585">
      <c r="A6585" s="86">
        <f>IFERROR(__xludf.DUMMYFUNCTION("""COMPUTED_VALUE"""),6583.0)</f>
        <v>6583</v>
      </c>
      <c r="B6585" s="87" t="str">
        <f>IFERROR(__xludf.DUMMYFUNCTION("""COMPUTED_VALUE"""),"ICARE")</f>
        <v>ICARE</v>
      </c>
      <c r="C6585" s="87" t="str">
        <f>IFERROR(__xludf.DUMMYFUNCTION("""COMPUTED_VALUE"""),"HH00010")</f>
        <v>HH00010</v>
      </c>
      <c r="D6585" s="87" t="str">
        <f>IFERROR(__xludf.DUMMYFUNCTION("""COMPUTED_VALUE"""),"ICARE - Anti Coro nCoV - Nano Ag+ - 4 lít")</f>
        <v>ICARE - Anti Coro nCoV - Nano Ag+ - 4 lít</v>
      </c>
      <c r="E6585" s="87"/>
      <c r="F6585" s="87"/>
      <c r="G6585" s="87"/>
    </row>
    <row r="6586">
      <c r="A6586" s="86">
        <f>IFERROR(__xludf.DUMMYFUNCTION("""COMPUTED_VALUE"""),6584.0)</f>
        <v>6584</v>
      </c>
      <c r="B6586" s="87" t="str">
        <f>IFERROR(__xludf.DUMMYFUNCTION("""COMPUTED_VALUE"""),"ICARE")</f>
        <v>ICARE</v>
      </c>
      <c r="C6586" s="87" t="str">
        <f>IFERROR(__xludf.DUMMYFUNCTION("""COMPUTED_VALUE"""),"HH00011")</f>
        <v>HH00011</v>
      </c>
      <c r="D6586" s="87" t="str">
        <f>IFERROR(__xludf.DUMMYFUNCTION("""COMPUTED_VALUE"""),"ICARE - Anti Coro nCoV - Chanh Trà Xanh - 10 lít")</f>
        <v>ICARE - Anti Coro nCoV - Chanh Trà Xanh - 10 lít</v>
      </c>
      <c r="E6586" s="87"/>
      <c r="F6586" s="87"/>
      <c r="G6586" s="87"/>
    </row>
    <row r="6587">
      <c r="A6587" s="86">
        <f>IFERROR(__xludf.DUMMYFUNCTION("""COMPUTED_VALUE"""),6585.0)</f>
        <v>6585</v>
      </c>
      <c r="B6587" s="87" t="str">
        <f>IFERROR(__xludf.DUMMYFUNCTION("""COMPUTED_VALUE"""),"ICARE")</f>
        <v>ICARE</v>
      </c>
      <c r="C6587" s="87" t="str">
        <f>IFERROR(__xludf.DUMMYFUNCTION("""COMPUTED_VALUE"""),"HH00012")</f>
        <v>HH00012</v>
      </c>
      <c r="D6587" s="87" t="str">
        <f>IFERROR(__xludf.DUMMYFUNCTION("""COMPUTED_VALUE"""),"ICARE - Anti Coro nCoV - Bạc Hà - 10 lít")</f>
        <v>ICARE - Anti Coro nCoV - Bạc Hà - 10 lít</v>
      </c>
      <c r="E6587" s="87"/>
      <c r="F6587" s="87"/>
      <c r="G6587" s="87"/>
    </row>
    <row r="6588">
      <c r="A6588" s="86">
        <f>IFERROR(__xludf.DUMMYFUNCTION("""COMPUTED_VALUE"""),6586.0)</f>
        <v>6586</v>
      </c>
      <c r="B6588" s="87" t="str">
        <f>IFERROR(__xludf.DUMMYFUNCTION("""COMPUTED_VALUE"""),"ICARE")</f>
        <v>ICARE</v>
      </c>
      <c r="C6588" s="87" t="str">
        <f>IFERROR(__xludf.DUMMYFUNCTION("""COMPUTED_VALUE"""),"HH00013")</f>
        <v>HH00013</v>
      </c>
      <c r="D6588" s="87" t="str">
        <f>IFERROR(__xludf.DUMMYFUNCTION("""COMPUTED_VALUE"""),"ICARE - Anti Coro nCoV - Nano Ag+ - 10 lít")</f>
        <v>ICARE - Anti Coro nCoV - Nano Ag+ - 10 lít</v>
      </c>
      <c r="E6588" s="87"/>
      <c r="F6588" s="87"/>
      <c r="G6588" s="87"/>
    </row>
    <row r="6589">
      <c r="A6589" s="86">
        <f>IFERROR(__xludf.DUMMYFUNCTION("""COMPUTED_VALUE"""),6587.0)</f>
        <v>6587</v>
      </c>
      <c r="B6589" s="87" t="str">
        <f>IFERROR(__xludf.DUMMYFUNCTION("""COMPUTED_VALUE"""),"ICARE")</f>
        <v>ICARE</v>
      </c>
      <c r="C6589" s="87" t="str">
        <f>IFERROR(__xludf.DUMMYFUNCTION("""COMPUTED_VALUE"""),"HH00014")</f>
        <v>HH00014</v>
      </c>
      <c r="D6589" s="87" t="str">
        <f>IFERROR(__xludf.DUMMYFUNCTION("""COMPUTED_VALUE"""),"ICARE - Anti Coro nCoV - Xịt khuẩn _Nano Ag+ - 30ml")</f>
        <v>ICARE - Anti Coro nCoV - Xịt khuẩn _Nano Ag+ - 30ml</v>
      </c>
      <c r="E6589" s="87"/>
      <c r="F6589" s="87"/>
      <c r="G6589" s="87"/>
    </row>
    <row r="6590">
      <c r="A6590" s="86">
        <f>IFERROR(__xludf.DUMMYFUNCTION("""COMPUTED_VALUE"""),6588.0)</f>
        <v>6588</v>
      </c>
      <c r="B6590" s="87" t="str">
        <f>IFERROR(__xludf.DUMMYFUNCTION("""COMPUTED_VALUE"""),"ICARE")</f>
        <v>ICARE</v>
      </c>
      <c r="C6590" s="87" t="str">
        <f>IFERROR(__xludf.DUMMYFUNCTION("""COMPUTED_VALUE"""),"HH00015")</f>
        <v>HH00015</v>
      </c>
      <c r="D6590" s="87" t="str">
        <f>IFERROR(__xludf.DUMMYFUNCTION("""COMPUTED_VALUE"""),"ICARE - Anti Coro nCoV - Xịt khuẩn _Nano Ag+ - 50ml")</f>
        <v>ICARE - Anti Coro nCoV - Xịt khuẩn _Nano Ag+ - 50ml</v>
      </c>
      <c r="E6590" s="87"/>
      <c r="F6590" s="87"/>
      <c r="G6590" s="87"/>
    </row>
    <row r="6591">
      <c r="A6591" s="86">
        <f>IFERROR(__xludf.DUMMYFUNCTION("""COMPUTED_VALUE"""),6589.0)</f>
        <v>6589</v>
      </c>
      <c r="B6591" s="87" t="str">
        <f>IFERROR(__xludf.DUMMYFUNCTION("""COMPUTED_VALUE"""),"ICARE")</f>
        <v>ICARE</v>
      </c>
      <c r="C6591" s="87" t="str">
        <f>IFERROR(__xludf.DUMMYFUNCTION("""COMPUTED_VALUE"""),"HH00016")</f>
        <v>HH00016</v>
      </c>
      <c r="D6591" s="87" t="str">
        <f>IFERROR(__xludf.DUMMYFUNCTION("""COMPUTED_VALUE"""),"ICARE - Anti Coro nCoV - Bạc Hà - 01 lít")</f>
        <v>ICARE - Anti Coro nCoV - Bạc Hà - 01 lít</v>
      </c>
      <c r="E6591" s="87"/>
      <c r="F6591" s="87"/>
      <c r="G6591" s="87"/>
    </row>
    <row r="6592">
      <c r="A6592" s="86">
        <f>IFERROR(__xludf.DUMMYFUNCTION("""COMPUTED_VALUE"""),6590.0)</f>
        <v>6590</v>
      </c>
      <c r="B6592" s="87" t="str">
        <f>IFERROR(__xludf.DUMMYFUNCTION("""COMPUTED_VALUE"""),"ICARE")</f>
        <v>ICARE</v>
      </c>
      <c r="C6592" s="87" t="str">
        <f>IFERROR(__xludf.DUMMYFUNCTION("""COMPUTED_VALUE"""),"HH00017")</f>
        <v>HH00017</v>
      </c>
      <c r="D6592" s="87" t="str">
        <f>IFERROR(__xludf.DUMMYFUNCTION("""COMPUTED_VALUE"""),"ICARE - Anti Coro nCoV - Nano Ag+ - 01 lít")</f>
        <v>ICARE - Anti Coro nCoV - Nano Ag+ - 01 lít</v>
      </c>
      <c r="E6592" s="87"/>
      <c r="F6592" s="87"/>
      <c r="G6592" s="87"/>
    </row>
    <row r="6593">
      <c r="A6593" s="86">
        <f>IFERROR(__xludf.DUMMYFUNCTION("""COMPUTED_VALUE"""),6591.0)</f>
        <v>6591</v>
      </c>
      <c r="B6593" s="87" t="str">
        <f>IFERROR(__xludf.DUMMYFUNCTION("""COMPUTED_VALUE"""),"ICARE")</f>
        <v>ICARE</v>
      </c>
      <c r="C6593" s="87" t="str">
        <f>IFERROR(__xludf.DUMMYFUNCTION("""COMPUTED_VALUE"""),"HH00018")</f>
        <v>HH00018</v>
      </c>
      <c r="D6593" s="87" t="str">
        <f>IFERROR(__xludf.DUMMYFUNCTION("""COMPUTED_VALUE"""),"GC ICARE - Anti Coro nCoV - ICARE - 120 ml")</f>
        <v>GC ICARE - Anti Coro nCoV - ICARE - 120 ml</v>
      </c>
      <c r="E6593" s="87"/>
      <c r="F6593" s="87"/>
      <c r="G6593" s="87"/>
    </row>
    <row r="6594">
      <c r="A6594" s="86">
        <f>IFERROR(__xludf.DUMMYFUNCTION("""COMPUTED_VALUE"""),6592.0)</f>
        <v>6592</v>
      </c>
      <c r="B6594" s="87" t="str">
        <f>IFERROR(__xludf.DUMMYFUNCTION("""COMPUTED_VALUE"""),"ICARE")</f>
        <v>ICARE</v>
      </c>
      <c r="C6594" s="87" t="str">
        <f>IFERROR(__xludf.DUMMYFUNCTION("""COMPUTED_VALUE"""),"HH00019")</f>
        <v>HH00019</v>
      </c>
      <c r="D6594" s="87" t="str">
        <f>IFERROR(__xludf.DUMMYFUNCTION("""COMPUTED_VALUE"""),"GC ICARE - CAT - Anti Coro nCoV - Chanh trà xanh-100ml")</f>
        <v>GC ICARE - CAT - Anti Coro nCoV - Chanh trà xanh-100ml</v>
      </c>
      <c r="E6594" s="87"/>
      <c r="F6594" s="87"/>
      <c r="G6594" s="87"/>
    </row>
    <row r="6595">
      <c r="A6595" s="86">
        <f>IFERROR(__xludf.DUMMYFUNCTION("""COMPUTED_VALUE"""),6593.0)</f>
        <v>6593</v>
      </c>
      <c r="B6595" s="87" t="str">
        <f>IFERROR(__xludf.DUMMYFUNCTION("""COMPUTED_VALUE"""),"ICARE")</f>
        <v>ICARE</v>
      </c>
      <c r="C6595" s="87" t="str">
        <f>IFERROR(__xludf.DUMMYFUNCTION("""COMPUTED_VALUE"""),"HH00020")</f>
        <v>HH00020</v>
      </c>
      <c r="D6595" s="87" t="str">
        <f>IFERROR(__xludf.DUMMYFUNCTION("""COMPUTED_VALUE"""),"GC ICARE - CAT - Anti Coro nCoV - Bạc hà - 100ml")</f>
        <v>GC ICARE - CAT - Anti Coro nCoV - Bạc hà - 100ml</v>
      </c>
      <c r="E6595" s="87"/>
      <c r="F6595" s="87"/>
      <c r="G6595" s="87"/>
    </row>
    <row r="6596">
      <c r="A6596" s="86">
        <f>IFERROR(__xludf.DUMMYFUNCTION("""COMPUTED_VALUE"""),6594.0)</f>
        <v>6594</v>
      </c>
      <c r="B6596" s="87" t="str">
        <f>IFERROR(__xludf.DUMMYFUNCTION("""COMPUTED_VALUE"""),"ICARE")</f>
        <v>ICARE</v>
      </c>
      <c r="C6596" s="87" t="str">
        <f>IFERROR(__xludf.DUMMYFUNCTION("""COMPUTED_VALUE"""),"HH00021")</f>
        <v>HH00021</v>
      </c>
      <c r="D6596" s="87" t="str">
        <f>IFERROR(__xludf.DUMMYFUNCTION("""COMPUTED_VALUE"""),"GC ICARE - CAT - Anti Coro nCoV - Chanh trà xanh - 500ml")</f>
        <v>GC ICARE - CAT - Anti Coro nCoV - Chanh trà xanh - 500ml</v>
      </c>
      <c r="E6596" s="87"/>
      <c r="F6596" s="87"/>
      <c r="G6596" s="87"/>
    </row>
    <row r="6597">
      <c r="A6597" s="86">
        <f>IFERROR(__xludf.DUMMYFUNCTION("""COMPUTED_VALUE"""),6595.0)</f>
        <v>6595</v>
      </c>
      <c r="B6597" s="87" t="str">
        <f>IFERROR(__xludf.DUMMYFUNCTION("""COMPUTED_VALUE"""),"ICARE")</f>
        <v>ICARE</v>
      </c>
      <c r="C6597" s="87" t="str">
        <f>IFERROR(__xludf.DUMMYFUNCTION("""COMPUTED_VALUE"""),"HH00022")</f>
        <v>HH00022</v>
      </c>
      <c r="D6597" s="87" t="str">
        <f>IFERROR(__xludf.DUMMYFUNCTION("""COMPUTED_VALUE"""),"GC ICARE - CAT - Anti Coro nCoV - Bạc hà- 500ml")</f>
        <v>GC ICARE - CAT - Anti Coro nCoV - Bạc hà- 500ml</v>
      </c>
      <c r="E6597" s="87"/>
      <c r="F6597" s="87"/>
      <c r="G6597" s="87"/>
    </row>
    <row r="6598">
      <c r="A6598" s="86">
        <f>IFERROR(__xludf.DUMMYFUNCTION("""COMPUTED_VALUE"""),6596.0)</f>
        <v>6596</v>
      </c>
      <c r="B6598" s="87" t="str">
        <f>IFERROR(__xludf.DUMMYFUNCTION("""COMPUTED_VALUE"""),"ICARE")</f>
        <v>ICARE</v>
      </c>
      <c r="C6598" s="87" t="str">
        <f>IFERROR(__xludf.DUMMYFUNCTION("""COMPUTED_VALUE"""),"HH00023")</f>
        <v>HH00023</v>
      </c>
      <c r="D6598" s="87" t="str">
        <f>IFERROR(__xludf.DUMMYFUNCTION("""COMPUTED_VALUE"""),"GC ICARE - HIDANO - OTN - Anti Coro nCoV - Nano Ag+- 500ml")</f>
        <v>GC ICARE - HIDANO - OTN - Anti Coro nCoV - Nano Ag+- 500ml</v>
      </c>
      <c r="E6598" s="87"/>
      <c r="F6598" s="87"/>
      <c r="G6598" s="87"/>
    </row>
    <row r="6599">
      <c r="A6599" s="86">
        <f>IFERROR(__xludf.DUMMYFUNCTION("""COMPUTED_VALUE"""),6597.0)</f>
        <v>6597</v>
      </c>
      <c r="B6599" s="87" t="str">
        <f>IFERROR(__xludf.DUMMYFUNCTION("""COMPUTED_VALUE"""),"ICARE")</f>
        <v>ICARE</v>
      </c>
      <c r="C6599" s="87" t="str">
        <f>IFERROR(__xludf.DUMMYFUNCTION("""COMPUTED_VALUE"""),"HH00024")</f>
        <v>HH00024</v>
      </c>
      <c r="D6599" s="87" t="str">
        <f>IFERROR(__xludf.DUMMYFUNCTION("""COMPUTED_VALUE"""),"GC ICARE - BASEL - Anti Coro nCoV - Nano Ag+- xịt 100ml")</f>
        <v>GC ICARE - BASEL - Anti Coro nCoV - Nano Ag+- xịt 100ml</v>
      </c>
      <c r="E6599" s="87"/>
      <c r="F6599" s="87"/>
      <c r="G6599" s="87"/>
    </row>
    <row r="6600">
      <c r="A6600" s="86">
        <f>IFERROR(__xludf.DUMMYFUNCTION("""COMPUTED_VALUE"""),6598.0)</f>
        <v>6598</v>
      </c>
      <c r="B6600" s="87" t="str">
        <f>IFERROR(__xludf.DUMMYFUNCTION("""COMPUTED_VALUE"""),"ICARE")</f>
        <v>ICARE</v>
      </c>
      <c r="C6600" s="87" t="str">
        <f>IFERROR(__xludf.DUMMYFUNCTION("""COMPUTED_VALUE"""),"HH00025")</f>
        <v>HH00025</v>
      </c>
      <c r="D6600" s="87" t="str">
        <f>IFERROR(__xludf.DUMMYFUNCTION("""COMPUTED_VALUE"""),"GC ICARE - BASEL- Anti Coro nCoV - Nano Ag+ (hương bạc hà)- 500ml")</f>
        <v>GC ICARE - BASEL- Anti Coro nCoV - Nano Ag+ (hương bạc hà)- 500ml</v>
      </c>
      <c r="E6600" s="87"/>
      <c r="F6600" s="87"/>
      <c r="G6600" s="87"/>
    </row>
    <row r="6601">
      <c r="A6601" s="86">
        <f>IFERROR(__xludf.DUMMYFUNCTION("""COMPUTED_VALUE"""),6599.0)</f>
        <v>6599</v>
      </c>
      <c r="B6601" s="87" t="str">
        <f>IFERROR(__xludf.DUMMYFUNCTION("""COMPUTED_VALUE"""),"ICARE")</f>
        <v>ICARE</v>
      </c>
      <c r="C6601" s="87" t="str">
        <f>IFERROR(__xludf.DUMMYFUNCTION("""COMPUTED_VALUE"""),"HH00026")</f>
        <v>HH00026</v>
      </c>
      <c r="D6601" s="87" t="str">
        <f>IFERROR(__xludf.DUMMYFUNCTION("""COMPUTED_VALUE"""),"GC ICARE - HIDANO - OTN - Anti Coro nCoV - Nano Ag+- 120ml")</f>
        <v>GC ICARE - HIDANO - OTN - Anti Coro nCoV - Nano Ag+- 120ml</v>
      </c>
      <c r="E6601" s="87"/>
      <c r="F6601" s="87"/>
      <c r="G6601" s="87"/>
    </row>
    <row r="6602">
      <c r="A6602" s="86">
        <f>IFERROR(__xludf.DUMMYFUNCTION("""COMPUTED_VALUE"""),6600.0)</f>
        <v>6600</v>
      </c>
      <c r="B6602" s="87" t="str">
        <f>IFERROR(__xludf.DUMMYFUNCTION("""COMPUTED_VALUE"""),"ICARE")</f>
        <v>ICARE</v>
      </c>
      <c r="C6602" s="87" t="str">
        <f>IFERROR(__xludf.DUMMYFUNCTION("""COMPUTED_VALUE"""),"HH00027")</f>
        <v>HH00027</v>
      </c>
      <c r="D6602" s="87" t="str">
        <f>IFERROR(__xludf.DUMMYFUNCTION("""COMPUTED_VALUE"""),"GC ICARE - A.Diệp Care World -- 120ml")</f>
        <v>GC ICARE - A.Diệp Care World -- 120ml</v>
      </c>
      <c r="E6602" s="87"/>
      <c r="F6602" s="87"/>
      <c r="G6602" s="87"/>
    </row>
    <row r="6603">
      <c r="A6603" s="86">
        <f>IFERROR(__xludf.DUMMYFUNCTION("""COMPUTED_VALUE"""),6601.0)</f>
        <v>6601</v>
      </c>
      <c r="B6603" s="87" t="str">
        <f>IFERROR(__xludf.DUMMYFUNCTION("""COMPUTED_VALUE"""),"ICARE")</f>
        <v>ICARE</v>
      </c>
      <c r="C6603" s="87" t="str">
        <f>IFERROR(__xludf.DUMMYFUNCTION("""COMPUTED_VALUE"""),"HH00028")</f>
        <v>HH00028</v>
      </c>
      <c r="D6603" s="87" t="str">
        <f>IFERROR(__xludf.DUMMYFUNCTION("""COMPUTED_VALUE"""),"ICARE - Antisol 240ml")</f>
        <v>ICARE - Antisol 240ml</v>
      </c>
      <c r="E6603" s="87"/>
      <c r="F6603" s="87"/>
      <c r="G6603" s="87"/>
    </row>
    <row r="6604">
      <c r="A6604" s="86">
        <f>IFERROR(__xludf.DUMMYFUNCTION("""COMPUTED_VALUE"""),6602.0)</f>
        <v>6602</v>
      </c>
      <c r="B6604" s="87" t="str">
        <f>IFERROR(__xludf.DUMMYFUNCTION("""COMPUTED_VALUE"""),"ICARE")</f>
        <v>ICARE</v>
      </c>
      <c r="C6604" s="87" t="str">
        <f>IFERROR(__xludf.DUMMYFUNCTION("""COMPUTED_VALUE"""),"HH00029")</f>
        <v>HH00029</v>
      </c>
      <c r="D6604" s="87" t="str">
        <f>IFERROR(__xludf.DUMMYFUNCTION("""COMPUTED_VALUE"""),"ICARE - Dermato 240ml")</f>
        <v>ICARE - Dermato 240ml</v>
      </c>
      <c r="E6604" s="87"/>
      <c r="F6604" s="87"/>
      <c r="G6604" s="87"/>
    </row>
    <row r="6605">
      <c r="A6605" s="86">
        <f>IFERROR(__xludf.DUMMYFUNCTION("""COMPUTED_VALUE"""),6603.0)</f>
        <v>6603</v>
      </c>
      <c r="B6605" s="87" t="str">
        <f>IFERROR(__xludf.DUMMYFUNCTION("""COMPUTED_VALUE"""),"ICARE")</f>
        <v>ICARE</v>
      </c>
      <c r="C6605" s="87" t="str">
        <f>IFERROR(__xludf.DUMMYFUNCTION("""COMPUTED_VALUE"""),"HH00030")</f>
        <v>HH00030</v>
      </c>
      <c r="D6605" s="87" t="str">
        <f>IFERROR(__xludf.DUMMYFUNCTION("""COMPUTED_VALUE"""),"ICARE - Ezema 50gr")</f>
        <v>ICARE - Ezema 50gr</v>
      </c>
      <c r="E6605" s="87"/>
      <c r="F6605" s="87"/>
      <c r="G6605" s="87"/>
    </row>
    <row r="6606">
      <c r="A6606" s="86">
        <f>IFERROR(__xludf.DUMMYFUNCTION("""COMPUTED_VALUE"""),6604.0)</f>
        <v>6604</v>
      </c>
      <c r="B6606" s="87" t="str">
        <f>IFERROR(__xludf.DUMMYFUNCTION("""COMPUTED_VALUE"""),"ICARE")</f>
        <v>ICARE</v>
      </c>
      <c r="C6606" s="87" t="str">
        <f>IFERROR(__xludf.DUMMYFUNCTION("""COMPUTED_VALUE"""),"HH00031")</f>
        <v>HH00031</v>
      </c>
      <c r="D6606" s="87" t="str">
        <f>IFERROR(__xludf.DUMMYFUNCTION("""COMPUTED_VALUE"""),"GC ICARE - IDA - Anti Coro nCoV - 90ml")</f>
        <v>GC ICARE - IDA - Anti Coro nCoV - 90ml</v>
      </c>
      <c r="E6606" s="87"/>
      <c r="F6606" s="87"/>
      <c r="G6606" s="87"/>
    </row>
    <row r="6607">
      <c r="A6607" s="86">
        <f>IFERROR(__xludf.DUMMYFUNCTION("""COMPUTED_VALUE"""),6605.0)</f>
        <v>6605</v>
      </c>
      <c r="B6607" s="87" t="str">
        <f>IFERROR(__xludf.DUMMYFUNCTION("""COMPUTED_VALUE"""),"ICARE")</f>
        <v>ICARE</v>
      </c>
      <c r="C6607" s="87" t="str">
        <f>IFERROR(__xludf.DUMMYFUNCTION("""COMPUTED_VALUE"""),"HH00032")</f>
        <v>HH00032</v>
      </c>
      <c r="D6607" s="87" t="str">
        <f>IFERROR(__xludf.DUMMYFUNCTION("""COMPUTED_VALUE"""),"ICARE - Anti Coro nCoV - Xịt khuẩn _Nano Ag+ - 4 lít")</f>
        <v>ICARE - Anti Coro nCoV - Xịt khuẩn _Nano Ag+ - 4 lít</v>
      </c>
      <c r="E6607" s="87"/>
      <c r="F6607" s="87"/>
      <c r="G6607" s="87"/>
    </row>
    <row r="6608">
      <c r="A6608" s="86">
        <f>IFERROR(__xludf.DUMMYFUNCTION("""COMPUTED_VALUE"""),6606.0)</f>
        <v>6606</v>
      </c>
      <c r="B6608" s="87" t="str">
        <f>IFERROR(__xludf.DUMMYFUNCTION("""COMPUTED_VALUE"""),"ICARE")</f>
        <v>ICARE</v>
      </c>
      <c r="C6608" s="87" t="str">
        <f>IFERROR(__xludf.DUMMYFUNCTION("""COMPUTED_VALUE"""),"HH00033")</f>
        <v>HH00033</v>
      </c>
      <c r="D6608" s="87" t="str">
        <f>IFERROR(__xludf.DUMMYFUNCTION("""COMPUTED_VALUE"""),"ICARE - Herbal Fresh 480ml")</f>
        <v>ICARE - Herbal Fresh 480ml</v>
      </c>
      <c r="E6608" s="87"/>
      <c r="F6608" s="87"/>
      <c r="G6608" s="87"/>
    </row>
    <row r="6609">
      <c r="A6609" s="86">
        <f>IFERROR(__xludf.DUMMYFUNCTION("""COMPUTED_VALUE"""),6607.0)</f>
        <v>6607</v>
      </c>
      <c r="B6609" s="87" t="str">
        <f>IFERROR(__xludf.DUMMYFUNCTION("""COMPUTED_VALUE"""),"ICARE")</f>
        <v>ICARE</v>
      </c>
      <c r="C6609" s="87" t="str">
        <f>IFERROR(__xludf.DUMMYFUNCTION("""COMPUTED_VALUE"""),"HH00034")</f>
        <v>HH00034</v>
      </c>
      <c r="D6609" s="87" t="str">
        <f>IFERROR(__xludf.DUMMYFUNCTION("""COMPUTED_VALUE"""),"ICARE - Antisol Plus 300ml")</f>
        <v>ICARE - Antisol Plus 300ml</v>
      </c>
      <c r="E6609" s="87"/>
      <c r="F6609" s="87"/>
      <c r="G6609" s="87"/>
    </row>
    <row r="6610">
      <c r="A6610" s="86">
        <f>IFERROR(__xludf.DUMMYFUNCTION("""COMPUTED_VALUE"""),6608.0)</f>
        <v>6608</v>
      </c>
      <c r="B6610" s="87" t="str">
        <f>IFERROR(__xludf.DUMMYFUNCTION("""COMPUTED_VALUE"""),"ICARE")</f>
        <v>ICARE</v>
      </c>
      <c r="C6610" s="87" t="str">
        <f>IFERROR(__xludf.DUMMYFUNCTION("""COMPUTED_VALUE"""),"HH00035")</f>
        <v>HH00035</v>
      </c>
      <c r="D6610" s="87" t="str">
        <f>IFERROR(__xludf.DUMMYFUNCTION("""COMPUTED_VALUE"""),"ICARE - Antisol Smooth 340ml")</f>
        <v>ICARE - Antisol Smooth 340ml</v>
      </c>
      <c r="E6610" s="87"/>
      <c r="F6610" s="87"/>
      <c r="G6610" s="87"/>
    </row>
    <row r="6611">
      <c r="A6611" s="86">
        <f>IFERROR(__xludf.DUMMYFUNCTION("""COMPUTED_VALUE"""),6609.0)</f>
        <v>6609</v>
      </c>
      <c r="B6611" s="87" t="str">
        <f>IFERROR(__xludf.DUMMYFUNCTION("""COMPUTED_VALUE"""),"ICARE")</f>
        <v>ICARE</v>
      </c>
      <c r="C6611" s="87" t="str">
        <f>IFERROR(__xludf.DUMMYFUNCTION("""COMPUTED_VALUE"""),"HL00001")</f>
        <v>HL00001</v>
      </c>
      <c r="D6611" s="87" t="str">
        <f>IFERROR(__xludf.DUMMYFUNCTION("""COMPUTED_VALUE"""),"[LỖI_N] ICARE - Anti Coro nCoV - Nano Ag+ - 01 lít")</f>
        <v>[LỖI_N] ICARE - Anti Coro nCoV - Nano Ag+ - 01 lít</v>
      </c>
      <c r="E6611" s="87"/>
      <c r="F6611" s="87"/>
      <c r="G6611" s="87"/>
    </row>
    <row r="6612">
      <c r="A6612" s="86">
        <f>IFERROR(__xludf.DUMMYFUNCTION("""COMPUTED_VALUE"""),6610.0)</f>
        <v>6610</v>
      </c>
      <c r="B6612" s="87" t="str">
        <f>IFERROR(__xludf.DUMMYFUNCTION("""COMPUTED_VALUE"""),"ICARE")</f>
        <v>ICARE</v>
      </c>
      <c r="C6612" s="87" t="str">
        <f>IFERROR(__xludf.DUMMYFUNCTION("""COMPUTED_VALUE"""),"HL00002")</f>
        <v>HL00002</v>
      </c>
      <c r="D6612" s="87" t="str">
        <f>IFERROR(__xludf.DUMMYFUNCTION("""COMPUTED_VALUE"""),"LỖI_C] ICARE - Anti Coro nCoV - Nano Ag+ - 01 lít")</f>
        <v>LỖI_C] ICARE - Anti Coro nCoV - Nano Ag+ - 01 lít</v>
      </c>
      <c r="E6612" s="87"/>
      <c r="F6612" s="87"/>
      <c r="G6612" s="87"/>
    </row>
    <row r="6613">
      <c r="A6613" s="86">
        <f>IFERROR(__xludf.DUMMYFUNCTION("""COMPUTED_VALUE"""),6611.0)</f>
        <v>6611</v>
      </c>
      <c r="B6613" s="87" t="str">
        <f>IFERROR(__xludf.DUMMYFUNCTION("""COMPUTED_VALUE"""),"ICARE")</f>
        <v>ICARE</v>
      </c>
      <c r="C6613" s="87" t="str">
        <f>IFERROR(__xludf.DUMMYFUNCTION("""COMPUTED_VALUE"""),"HL00003")</f>
        <v>HL00003</v>
      </c>
      <c r="D6613" s="87" t="str">
        <f>IFERROR(__xludf.DUMMYFUNCTION("""COMPUTED_VALUE"""),"[LỖI_C] ICARE - Anti Coro nCoV - Bạc Hà - 01 lít")</f>
        <v>[LỖI_C] ICARE - Anti Coro nCoV - Bạc Hà - 01 lít</v>
      </c>
      <c r="E6613" s="87"/>
      <c r="F6613" s="87"/>
      <c r="G6613" s="87"/>
    </row>
    <row r="6614">
      <c r="A6614" s="86">
        <f>IFERROR(__xludf.DUMMYFUNCTION("""COMPUTED_VALUE"""),6612.0)</f>
        <v>6612</v>
      </c>
      <c r="B6614" s="87" t="str">
        <f>IFERROR(__xludf.DUMMYFUNCTION("""COMPUTED_VALUE"""),"ICARE")</f>
        <v>ICARE</v>
      </c>
      <c r="C6614" s="87" t="str">
        <f>IFERROR(__xludf.DUMMYFUNCTION("""COMPUTED_VALUE"""),"HL00004")</f>
        <v>HL00004</v>
      </c>
      <c r="D6614" s="87" t="str">
        <f>IFERROR(__xludf.DUMMYFUNCTION("""COMPUTED_VALUE"""),"[LỖI_N] ICARE - Anti Coro nCoV - Bạc Hà - 01 lít")</f>
        <v>[LỖI_N] ICARE - Anti Coro nCoV - Bạc Hà - 01 lít</v>
      </c>
      <c r="E6614" s="87"/>
      <c r="F6614" s="87"/>
      <c r="G6614" s="87"/>
    </row>
    <row r="6615">
      <c r="A6615" s="86">
        <f>IFERROR(__xludf.DUMMYFUNCTION("""COMPUTED_VALUE"""),6613.0)</f>
        <v>6613</v>
      </c>
      <c r="B6615" s="87" t="str">
        <f>IFERROR(__xludf.DUMMYFUNCTION("""COMPUTED_VALUE"""),"ICARE")</f>
        <v>ICARE</v>
      </c>
      <c r="C6615" s="87" t="str">
        <f>IFERROR(__xludf.DUMMYFUNCTION("""COMPUTED_VALUE"""),"HL00005")</f>
        <v>HL00005</v>
      </c>
      <c r="D6615" s="87" t="str">
        <f>IFERROR(__xludf.DUMMYFUNCTION("""COMPUTED_VALUE"""),"[LỖI_C] - ICARE - Anti Coro nCoV - Nano Ag+ - 100ml")</f>
        <v>[LỖI_C] - ICARE - Anti Coro nCoV - Nano Ag+ - 100ml</v>
      </c>
      <c r="E6615" s="87"/>
      <c r="F6615" s="87"/>
      <c r="G6615" s="87"/>
    </row>
    <row r="6616">
      <c r="A6616" s="86">
        <f>IFERROR(__xludf.DUMMYFUNCTION("""COMPUTED_VALUE"""),6614.0)</f>
        <v>6614</v>
      </c>
      <c r="B6616" s="87" t="str">
        <f>IFERROR(__xludf.DUMMYFUNCTION("""COMPUTED_VALUE"""),"ICARE")</f>
        <v>ICARE</v>
      </c>
      <c r="C6616" s="87" t="str">
        <f>IFERROR(__xludf.DUMMYFUNCTION("""COMPUTED_VALUE"""),"HL00006")</f>
        <v>HL00006</v>
      </c>
      <c r="D6616" s="87" t="str">
        <f>IFERROR(__xludf.DUMMYFUNCTION("""COMPUTED_VALUE"""),"[LỖI_N] - ICARE - Anti Coro nCoV - Nano Ag+ - 100ml")</f>
        <v>[LỖI_N] - ICARE - Anti Coro nCoV - Nano Ag+ - 100ml</v>
      </c>
      <c r="E6616" s="87"/>
      <c r="F6616" s="87"/>
      <c r="G6616" s="87"/>
    </row>
    <row r="6617">
      <c r="A6617" s="86">
        <f>IFERROR(__xludf.DUMMYFUNCTION("""COMPUTED_VALUE"""),6615.0)</f>
        <v>6615</v>
      </c>
      <c r="B6617" s="87" t="str">
        <f>IFERROR(__xludf.DUMMYFUNCTION("""COMPUTED_VALUE"""),"ICARE")</f>
        <v>ICARE</v>
      </c>
      <c r="C6617" s="87" t="str">
        <f>IFERROR(__xludf.DUMMYFUNCTION("""COMPUTED_VALUE"""),"HL00007")</f>
        <v>HL00007</v>
      </c>
      <c r="D6617" s="87" t="str">
        <f>IFERROR(__xludf.DUMMYFUNCTION("""COMPUTED_VALUE"""),"[LỖI_C] - ICARE - Anti Coro nCoV - Bạc Hà - 100ml")</f>
        <v>[LỖI_C] - ICARE - Anti Coro nCoV - Bạc Hà - 100ml</v>
      </c>
      <c r="E6617" s="87"/>
      <c r="F6617" s="87"/>
      <c r="G6617" s="87"/>
    </row>
    <row r="6618">
      <c r="A6618" s="86">
        <f>IFERROR(__xludf.DUMMYFUNCTION("""COMPUTED_VALUE"""),6616.0)</f>
        <v>6616</v>
      </c>
      <c r="B6618" s="87" t="str">
        <f>IFERROR(__xludf.DUMMYFUNCTION("""COMPUTED_VALUE"""),"ICARE")</f>
        <v>ICARE</v>
      </c>
      <c r="C6618" s="87" t="str">
        <f>IFERROR(__xludf.DUMMYFUNCTION("""COMPUTED_VALUE"""),"HL00008")</f>
        <v>HL00008</v>
      </c>
      <c r="D6618" s="87" t="str">
        <f>IFERROR(__xludf.DUMMYFUNCTION("""COMPUTED_VALUE"""),"[LỖI_N] - ICARE - Anti Coro nCoV - Bạc Hà - 100ml")</f>
        <v>[LỖI_N] - ICARE - Anti Coro nCoV - Bạc Hà - 100ml</v>
      </c>
      <c r="E6618" s="87"/>
      <c r="F6618" s="87"/>
      <c r="G6618" s="87"/>
    </row>
    <row r="6619">
      <c r="A6619" s="86">
        <f>IFERROR(__xludf.DUMMYFUNCTION("""COMPUTED_VALUE"""),6617.0)</f>
        <v>6617</v>
      </c>
      <c r="B6619" s="87" t="str">
        <f>IFERROR(__xludf.DUMMYFUNCTION("""COMPUTED_VALUE"""),"ICARE")</f>
        <v>ICARE</v>
      </c>
      <c r="C6619" s="87" t="str">
        <f>IFERROR(__xludf.DUMMYFUNCTION("""COMPUTED_VALUE"""),"HL00009")</f>
        <v>HL00009</v>
      </c>
      <c r="D6619" s="87" t="str">
        <f>IFERROR(__xludf.DUMMYFUNCTION("""COMPUTED_VALUE"""),"[LỖI_C] - CARE - Anti Coro nCoV - Chanh Trà Xanh - 100ml")</f>
        <v>[LỖI_C] - CARE - Anti Coro nCoV - Chanh Trà Xanh - 100ml</v>
      </c>
      <c r="E6619" s="87"/>
      <c r="F6619" s="87"/>
      <c r="G6619" s="87"/>
    </row>
    <row r="6620">
      <c r="A6620" s="86">
        <f>IFERROR(__xludf.DUMMYFUNCTION("""COMPUTED_VALUE"""),6618.0)</f>
        <v>6618</v>
      </c>
      <c r="B6620" s="87" t="str">
        <f>IFERROR(__xludf.DUMMYFUNCTION("""COMPUTED_VALUE"""),"ICARE")</f>
        <v>ICARE</v>
      </c>
      <c r="C6620" s="87" t="str">
        <f>IFERROR(__xludf.DUMMYFUNCTION("""COMPUTED_VALUE"""),"HL00010")</f>
        <v>HL00010</v>
      </c>
      <c r="D6620" s="87" t="str">
        <f>IFERROR(__xludf.DUMMYFUNCTION("""COMPUTED_VALUE"""),"[LỖI_N] - CARE - Anti Coro nCoV - Chanh Trà Xanh - 100ml")</f>
        <v>[LỖI_N] - CARE - Anti Coro nCoV - Chanh Trà Xanh - 100ml</v>
      </c>
      <c r="E6620" s="87"/>
      <c r="F6620" s="87"/>
      <c r="G6620" s="87"/>
    </row>
    <row r="6621">
      <c r="A6621" s="86">
        <f>IFERROR(__xludf.DUMMYFUNCTION("""COMPUTED_VALUE"""),6619.0)</f>
        <v>6619</v>
      </c>
      <c r="B6621" s="87" t="str">
        <f>IFERROR(__xludf.DUMMYFUNCTION("""COMPUTED_VALUE"""),"ICARE")</f>
        <v>ICARE</v>
      </c>
      <c r="C6621" s="87" t="str">
        <f>IFERROR(__xludf.DUMMYFUNCTION("""COMPUTED_VALUE"""),"HL00011")</f>
        <v>HL00011</v>
      </c>
      <c r="D6621" s="87" t="str">
        <f>IFERROR(__xludf.DUMMYFUNCTION("""COMPUTED_VALUE"""),"[LỖI_C] - ICARE - Anti Coro nCoV - Nano Ag+ - 500ml")</f>
        <v>[LỖI_C] - ICARE - Anti Coro nCoV - Nano Ag+ - 500ml</v>
      </c>
      <c r="E6621" s="87"/>
      <c r="F6621" s="87"/>
      <c r="G6621" s="87"/>
    </row>
    <row r="6622">
      <c r="A6622" s="86">
        <f>IFERROR(__xludf.DUMMYFUNCTION("""COMPUTED_VALUE"""),6620.0)</f>
        <v>6620</v>
      </c>
      <c r="B6622" s="87" t="str">
        <f>IFERROR(__xludf.DUMMYFUNCTION("""COMPUTED_VALUE"""),"ICARE")</f>
        <v>ICARE</v>
      </c>
      <c r="C6622" s="87" t="str">
        <f>IFERROR(__xludf.DUMMYFUNCTION("""COMPUTED_VALUE"""),"HL00012")</f>
        <v>HL00012</v>
      </c>
      <c r="D6622" s="87" t="str">
        <f>IFERROR(__xludf.DUMMYFUNCTION("""COMPUTED_VALUE"""),"[LỖI_N] - ICARE - Anti Coro nCoV - Nano Ag+ - 500ml")</f>
        <v>[LỖI_N] - ICARE - Anti Coro nCoV - Nano Ag+ - 500ml</v>
      </c>
      <c r="E6622" s="87"/>
      <c r="F6622" s="87"/>
      <c r="G6622" s="87"/>
    </row>
    <row r="6623">
      <c r="A6623" s="86">
        <f>IFERROR(__xludf.DUMMYFUNCTION("""COMPUTED_VALUE"""),6621.0)</f>
        <v>6621</v>
      </c>
      <c r="B6623" s="87" t="str">
        <f>IFERROR(__xludf.DUMMYFUNCTION("""COMPUTED_VALUE"""),"ICARE")</f>
        <v>ICARE</v>
      </c>
      <c r="C6623" s="87" t="str">
        <f>IFERROR(__xludf.DUMMYFUNCTION("""COMPUTED_VALUE"""),"HL00013")</f>
        <v>HL00013</v>
      </c>
      <c r="D6623" s="87" t="str">
        <f>IFERROR(__xludf.DUMMYFUNCTION("""COMPUTED_VALUE"""),"[LỖI_C] - ICARE - Anti Coro nCoV - Bạc Hà - 500ml")</f>
        <v>[LỖI_C] - ICARE - Anti Coro nCoV - Bạc Hà - 500ml</v>
      </c>
      <c r="E6623" s="87"/>
      <c r="F6623" s="87"/>
      <c r="G6623" s="87"/>
    </row>
    <row r="6624">
      <c r="A6624" s="86">
        <f>IFERROR(__xludf.DUMMYFUNCTION("""COMPUTED_VALUE"""),6622.0)</f>
        <v>6622</v>
      </c>
      <c r="B6624" s="87" t="str">
        <f>IFERROR(__xludf.DUMMYFUNCTION("""COMPUTED_VALUE"""),"ICARE")</f>
        <v>ICARE</v>
      </c>
      <c r="C6624" s="87" t="str">
        <f>IFERROR(__xludf.DUMMYFUNCTION("""COMPUTED_VALUE"""),"HL00014")</f>
        <v>HL00014</v>
      </c>
      <c r="D6624" s="87" t="str">
        <f>IFERROR(__xludf.DUMMYFUNCTION("""COMPUTED_VALUE"""),"[LỖI_N] - ICARE - Anti Coro nCoV - Bạc Hà - 500ml")</f>
        <v>[LỖI_N] - ICARE - Anti Coro nCoV - Bạc Hà - 500ml</v>
      </c>
      <c r="E6624" s="87"/>
      <c r="F6624" s="87"/>
      <c r="G6624" s="87"/>
    </row>
    <row r="6625">
      <c r="A6625" s="86">
        <f>IFERROR(__xludf.DUMMYFUNCTION("""COMPUTED_VALUE"""),6623.0)</f>
        <v>6623</v>
      </c>
      <c r="B6625" s="87" t="str">
        <f>IFERROR(__xludf.DUMMYFUNCTION("""COMPUTED_VALUE"""),"ICARE")</f>
        <v>ICARE</v>
      </c>
      <c r="C6625" s="87" t="str">
        <f>IFERROR(__xludf.DUMMYFUNCTION("""COMPUTED_VALUE"""),"HL00015")</f>
        <v>HL00015</v>
      </c>
      <c r="D6625" s="87" t="str">
        <f>IFERROR(__xludf.DUMMYFUNCTION("""COMPUTED_VALUE"""),"[LỖI_C] - ICARE - Anti Coro nCoV - Chanh Trà Xanh - 500ml")</f>
        <v>[LỖI_C] - ICARE - Anti Coro nCoV - Chanh Trà Xanh - 500ml</v>
      </c>
      <c r="E6625" s="87"/>
      <c r="F6625" s="87"/>
      <c r="G6625" s="87"/>
    </row>
    <row r="6626">
      <c r="A6626" s="86">
        <f>IFERROR(__xludf.DUMMYFUNCTION("""COMPUTED_VALUE"""),6624.0)</f>
        <v>6624</v>
      </c>
      <c r="B6626" s="87" t="str">
        <f>IFERROR(__xludf.DUMMYFUNCTION("""COMPUTED_VALUE"""),"ICARE")</f>
        <v>ICARE</v>
      </c>
      <c r="C6626" s="87" t="str">
        <f>IFERROR(__xludf.DUMMYFUNCTION("""COMPUTED_VALUE"""),"HL00016")</f>
        <v>HL00016</v>
      </c>
      <c r="D6626" s="87" t="str">
        <f>IFERROR(__xludf.DUMMYFUNCTION("""COMPUTED_VALUE"""),"[LỖI_N] - ICARE - Anti Coro nCoV - Chanh Trà Xanh - 500ml")</f>
        <v>[LỖI_N] - ICARE - Anti Coro nCoV - Chanh Trà Xanh - 500ml</v>
      </c>
      <c r="E6626" s="87"/>
      <c r="F6626" s="87"/>
      <c r="G6626" s="87"/>
    </row>
    <row r="6627">
      <c r="A6627" s="86">
        <f>IFERROR(__xludf.DUMMYFUNCTION("""COMPUTED_VALUE"""),6625.0)</f>
        <v>6625</v>
      </c>
      <c r="B6627" s="87" t="str">
        <f>IFERROR(__xludf.DUMMYFUNCTION("""COMPUTED_VALUE"""),"ICARE")</f>
        <v>ICARE</v>
      </c>
      <c r="C6627" s="87" t="str">
        <f>IFERROR(__xludf.DUMMYFUNCTION("""COMPUTED_VALUE"""),"KHACHSAN_PHI_PHUCVU")</f>
        <v>KHACHSAN_PHI_PHUCVU</v>
      </c>
      <c r="D6627" s="87" t="str">
        <f>IFERROR(__xludf.DUMMYFUNCTION("""COMPUTED_VALUE"""),"Phí phục vụ")</f>
        <v>Phí phục vụ</v>
      </c>
      <c r="E6627" s="87"/>
      <c r="F6627" s="87"/>
      <c r="G6627" s="87"/>
    </row>
    <row r="6628">
      <c r="A6628" s="86">
        <f>IFERROR(__xludf.DUMMYFUNCTION("""COMPUTED_VALUE"""),6626.0)</f>
        <v>6626</v>
      </c>
      <c r="B6628" s="87" t="str">
        <f>IFERROR(__xludf.DUMMYFUNCTION("""COMPUTED_VALUE"""),"ICARE")</f>
        <v>ICARE</v>
      </c>
      <c r="C6628" s="87" t="str">
        <f>IFERROR(__xludf.DUMMYFUNCTION("""COMPUTED_VALUE"""),"LPXD")</f>
        <v>LPXD</v>
      </c>
      <c r="D6628" s="87" t="str">
        <f>IFERROR(__xludf.DUMMYFUNCTION("""COMPUTED_VALUE"""),"Lệ phí xăng dầu")</f>
        <v>Lệ phí xăng dầu</v>
      </c>
      <c r="E6628" s="87"/>
      <c r="F6628" s="87"/>
      <c r="G6628" s="87"/>
    </row>
    <row r="6629">
      <c r="A6629" s="86">
        <f>IFERROR(__xludf.DUMMYFUNCTION("""COMPUTED_VALUE"""),6627.0)</f>
        <v>6627</v>
      </c>
      <c r="B6629" s="87" t="str">
        <f>IFERROR(__xludf.DUMMYFUNCTION("""COMPUTED_VALUE"""),"ICARE")</f>
        <v>ICARE</v>
      </c>
      <c r="C6629" s="87" t="str">
        <f>IFERROR(__xludf.DUMMYFUNCTION("""COMPUTED_VALUE"""),"NVL00001")</f>
        <v>NVL00001</v>
      </c>
      <c r="D6629" s="87" t="str">
        <f>IFERROR(__xludf.DUMMYFUNCTION("""COMPUTED_VALUE"""),"[NHÃN_C] - ICARE - Anti Coro nCoV - Nano Ag+ - 100ml")</f>
        <v>[NHÃN_C] - ICARE - Anti Coro nCoV - Nano Ag+ - 100ml</v>
      </c>
      <c r="E6629" s="87"/>
      <c r="F6629" s="87"/>
      <c r="G6629" s="87"/>
    </row>
    <row r="6630">
      <c r="A6630" s="86">
        <f>IFERROR(__xludf.DUMMYFUNCTION("""COMPUTED_VALUE"""),6628.0)</f>
        <v>6628</v>
      </c>
      <c r="B6630" s="87" t="str">
        <f>IFERROR(__xludf.DUMMYFUNCTION("""COMPUTED_VALUE"""),"ICARE")</f>
        <v>ICARE</v>
      </c>
      <c r="C6630" s="87" t="str">
        <f>IFERROR(__xludf.DUMMYFUNCTION("""COMPUTED_VALUE"""),"NVL00002")</f>
        <v>NVL00002</v>
      </c>
      <c r="D6630" s="87" t="str">
        <f>IFERROR(__xludf.DUMMYFUNCTION("""COMPUTED_VALUE"""),"[NHÃN_C] - CARE - Anti Coro nCoV - Chanh Trà Xanh - 100ml")</f>
        <v>[NHÃN_C] - CARE - Anti Coro nCoV - Chanh Trà Xanh - 100ml</v>
      </c>
      <c r="E6630" s="87"/>
      <c r="F6630" s="87"/>
      <c r="G6630" s="87"/>
    </row>
    <row r="6631">
      <c r="A6631" s="86">
        <f>IFERROR(__xludf.DUMMYFUNCTION("""COMPUTED_VALUE"""),6629.0)</f>
        <v>6629</v>
      </c>
      <c r="B6631" s="87" t="str">
        <f>IFERROR(__xludf.DUMMYFUNCTION("""COMPUTED_VALUE"""),"ICARE")</f>
        <v>ICARE</v>
      </c>
      <c r="C6631" s="87" t="str">
        <f>IFERROR(__xludf.DUMMYFUNCTION("""COMPUTED_VALUE"""),"NVL00003")</f>
        <v>NVL00003</v>
      </c>
      <c r="D6631" s="87" t="str">
        <f>IFERROR(__xludf.DUMMYFUNCTION("""COMPUTED_VALUE"""),"[NHÃN_C] - ICARE - Anti Coro nCoV - Bạc Hà - 100ml")</f>
        <v>[NHÃN_C] - ICARE - Anti Coro nCoV - Bạc Hà - 100ml</v>
      </c>
      <c r="E6631" s="87"/>
      <c r="F6631" s="87"/>
      <c r="G6631" s="87"/>
    </row>
    <row r="6632">
      <c r="A6632" s="86">
        <f>IFERROR(__xludf.DUMMYFUNCTION("""COMPUTED_VALUE"""),6630.0)</f>
        <v>6630</v>
      </c>
      <c r="B6632" s="87" t="str">
        <f>IFERROR(__xludf.DUMMYFUNCTION("""COMPUTED_VALUE"""),"ICARE")</f>
        <v>ICARE</v>
      </c>
      <c r="C6632" s="87" t="str">
        <f>IFERROR(__xludf.DUMMYFUNCTION("""COMPUTED_VALUE"""),"NVL00004")</f>
        <v>NVL00004</v>
      </c>
      <c r="D6632" s="87" t="str">
        <f>IFERROR(__xludf.DUMMYFUNCTION("""COMPUTED_VALUE"""),"[NHÃN_C] - ICARE - Anti Coro nCoV - Xịt khuẩn _Nano Ag+ - 100ml")</f>
        <v>[NHÃN_C] - ICARE - Anti Coro nCoV - Xịt khuẩn _Nano Ag+ - 100ml</v>
      </c>
      <c r="E6632" s="87"/>
      <c r="F6632" s="87"/>
      <c r="G6632" s="87"/>
    </row>
    <row r="6633">
      <c r="A6633" s="86">
        <f>IFERROR(__xludf.DUMMYFUNCTION("""COMPUTED_VALUE"""),6631.0)</f>
        <v>6631</v>
      </c>
      <c r="B6633" s="87" t="str">
        <f>IFERROR(__xludf.DUMMYFUNCTION("""COMPUTED_VALUE"""),"ICARE")</f>
        <v>ICARE</v>
      </c>
      <c r="C6633" s="87" t="str">
        <f>IFERROR(__xludf.DUMMYFUNCTION("""COMPUTED_VALUE"""),"NVL00005")</f>
        <v>NVL00005</v>
      </c>
      <c r="D6633" s="87" t="str">
        <f>IFERROR(__xludf.DUMMYFUNCTION("""COMPUTED_VALUE"""),"[NHÃN_C] - ICARE - Anti Coro nCoV - Chanh Trà Xanh - 500ml")</f>
        <v>[NHÃN_C] - ICARE - Anti Coro nCoV - Chanh Trà Xanh - 500ml</v>
      </c>
      <c r="E6633" s="87"/>
      <c r="F6633" s="87"/>
      <c r="G6633" s="87"/>
    </row>
    <row r="6634">
      <c r="A6634" s="86">
        <f>IFERROR(__xludf.DUMMYFUNCTION("""COMPUTED_VALUE"""),6632.0)</f>
        <v>6632</v>
      </c>
      <c r="B6634" s="87" t="str">
        <f>IFERROR(__xludf.DUMMYFUNCTION("""COMPUTED_VALUE"""),"ICARE")</f>
        <v>ICARE</v>
      </c>
      <c r="C6634" s="87" t="str">
        <f>IFERROR(__xludf.DUMMYFUNCTION("""COMPUTED_VALUE"""),"NVL00006")</f>
        <v>NVL00006</v>
      </c>
      <c r="D6634" s="87" t="str">
        <f>IFERROR(__xludf.DUMMYFUNCTION("""COMPUTED_VALUE"""),"[NHÃN_C] - ICARE - Anti Coro nCoV - Bạc Hà - 500ml")</f>
        <v>[NHÃN_C] - ICARE - Anti Coro nCoV - Bạc Hà - 500ml</v>
      </c>
      <c r="E6634" s="87"/>
      <c r="F6634" s="87"/>
      <c r="G6634" s="87"/>
    </row>
    <row r="6635">
      <c r="A6635" s="86">
        <f>IFERROR(__xludf.DUMMYFUNCTION("""COMPUTED_VALUE"""),6633.0)</f>
        <v>6633</v>
      </c>
      <c r="B6635" s="87" t="str">
        <f>IFERROR(__xludf.DUMMYFUNCTION("""COMPUTED_VALUE"""),"ICARE")</f>
        <v>ICARE</v>
      </c>
      <c r="C6635" s="87" t="str">
        <f>IFERROR(__xludf.DUMMYFUNCTION("""COMPUTED_VALUE"""),"NVL00007")</f>
        <v>NVL00007</v>
      </c>
      <c r="D6635" s="87" t="str">
        <f>IFERROR(__xludf.DUMMYFUNCTION("""COMPUTED_VALUE"""),"[NHÃN_C] - ICARE - Anti Coro nCoV - Nano Ag+ - 500ml")</f>
        <v>[NHÃN_C] - ICARE - Anti Coro nCoV - Nano Ag+ - 500ml</v>
      </c>
      <c r="E6635" s="87"/>
      <c r="F6635" s="87"/>
      <c r="G6635" s="87"/>
    </row>
    <row r="6636">
      <c r="A6636" s="86">
        <f>IFERROR(__xludf.DUMMYFUNCTION("""COMPUTED_VALUE"""),6634.0)</f>
        <v>6634</v>
      </c>
      <c r="B6636" s="87" t="str">
        <f>IFERROR(__xludf.DUMMYFUNCTION("""COMPUTED_VALUE"""),"ICARE")</f>
        <v>ICARE</v>
      </c>
      <c r="C6636" s="87" t="str">
        <f>IFERROR(__xludf.DUMMYFUNCTION("""COMPUTED_VALUE"""),"NVL00008")</f>
        <v>NVL00008</v>
      </c>
      <c r="D6636" s="87" t="str">
        <f>IFERROR(__xludf.DUMMYFUNCTION("""COMPUTED_VALUE"""),"[NHÃN_C] - ICARE - Anti Coro nCoV - Chanh Trà Xanh - 4 lít")</f>
        <v>[NHÃN_C] - ICARE - Anti Coro nCoV - Chanh Trà Xanh - 4 lít</v>
      </c>
      <c r="E6636" s="87"/>
      <c r="F6636" s="87"/>
      <c r="G6636" s="87"/>
    </row>
    <row r="6637">
      <c r="A6637" s="86">
        <f>IFERROR(__xludf.DUMMYFUNCTION("""COMPUTED_VALUE"""),6635.0)</f>
        <v>6635</v>
      </c>
      <c r="B6637" s="87" t="str">
        <f>IFERROR(__xludf.DUMMYFUNCTION("""COMPUTED_VALUE"""),"ICARE")</f>
        <v>ICARE</v>
      </c>
      <c r="C6637" s="87" t="str">
        <f>IFERROR(__xludf.DUMMYFUNCTION("""COMPUTED_VALUE"""),"NVL00009")</f>
        <v>NVL00009</v>
      </c>
      <c r="D6637" s="87" t="str">
        <f>IFERROR(__xludf.DUMMYFUNCTION("""COMPUTED_VALUE"""),"[NHÃN_C] - ICARE - Anti Coro nCoV - Bạc Hà - 4 lít")</f>
        <v>[NHÃN_C] - ICARE - Anti Coro nCoV - Bạc Hà - 4 lít</v>
      </c>
      <c r="E6637" s="87"/>
      <c r="F6637" s="87"/>
      <c r="G6637" s="87"/>
    </row>
    <row r="6638">
      <c r="A6638" s="86">
        <f>IFERROR(__xludf.DUMMYFUNCTION("""COMPUTED_VALUE"""),6636.0)</f>
        <v>6636</v>
      </c>
      <c r="B6638" s="87" t="str">
        <f>IFERROR(__xludf.DUMMYFUNCTION("""COMPUTED_VALUE"""),"ICARE")</f>
        <v>ICARE</v>
      </c>
      <c r="C6638" s="87" t="str">
        <f>IFERROR(__xludf.DUMMYFUNCTION("""COMPUTED_VALUE"""),"NVL00010")</f>
        <v>NVL00010</v>
      </c>
      <c r="D6638" s="87" t="str">
        <f>IFERROR(__xludf.DUMMYFUNCTION("""COMPUTED_VALUE"""),"[NHÃN_C] - ICARE - Anti Coro nCoV - Nano Ag+ - 4 lít")</f>
        <v>[NHÃN_C] - ICARE - Anti Coro nCoV - Nano Ag+ - 4 lít</v>
      </c>
      <c r="E6638" s="87"/>
      <c r="F6638" s="87"/>
      <c r="G6638" s="87"/>
    </row>
    <row r="6639">
      <c r="A6639" s="86">
        <f>IFERROR(__xludf.DUMMYFUNCTION("""COMPUTED_VALUE"""),6637.0)</f>
        <v>6637</v>
      </c>
      <c r="B6639" s="87" t="str">
        <f>IFERROR(__xludf.DUMMYFUNCTION("""COMPUTED_VALUE"""),"ICARE")</f>
        <v>ICARE</v>
      </c>
      <c r="C6639" s="87" t="str">
        <f>IFERROR(__xludf.DUMMYFUNCTION("""COMPUTED_VALUE"""),"NVL00011")</f>
        <v>NVL00011</v>
      </c>
      <c r="D6639" s="87" t="str">
        <f>IFERROR(__xludf.DUMMYFUNCTION("""COMPUTED_VALUE"""),"[NHÃN_C] - ICARE - Anti Coro nCoV - Chanh Trà Xanh - 10 lít")</f>
        <v>[NHÃN_C] - ICARE - Anti Coro nCoV - Chanh Trà Xanh - 10 lít</v>
      </c>
      <c r="E6639" s="87"/>
      <c r="F6639" s="87"/>
      <c r="G6639" s="87"/>
    </row>
    <row r="6640">
      <c r="A6640" s="86">
        <f>IFERROR(__xludf.DUMMYFUNCTION("""COMPUTED_VALUE"""),6638.0)</f>
        <v>6638</v>
      </c>
      <c r="B6640" s="87" t="str">
        <f>IFERROR(__xludf.DUMMYFUNCTION("""COMPUTED_VALUE"""),"ICARE")</f>
        <v>ICARE</v>
      </c>
      <c r="C6640" s="87" t="str">
        <f>IFERROR(__xludf.DUMMYFUNCTION("""COMPUTED_VALUE"""),"NVL00012")</f>
        <v>NVL00012</v>
      </c>
      <c r="D6640" s="87" t="str">
        <f>IFERROR(__xludf.DUMMYFUNCTION("""COMPUTED_VALUE"""),"[NHÃN_C] - ICARE - Anti Coro nCoV - Bạc Hà - 10 lít")</f>
        <v>[NHÃN_C] - ICARE - Anti Coro nCoV - Bạc Hà - 10 lít</v>
      </c>
      <c r="E6640" s="87"/>
      <c r="F6640" s="87"/>
      <c r="G6640" s="87"/>
    </row>
    <row r="6641">
      <c r="A6641" s="86">
        <f>IFERROR(__xludf.DUMMYFUNCTION("""COMPUTED_VALUE"""),6639.0)</f>
        <v>6639</v>
      </c>
      <c r="B6641" s="87" t="str">
        <f>IFERROR(__xludf.DUMMYFUNCTION("""COMPUTED_VALUE"""),"ICARE")</f>
        <v>ICARE</v>
      </c>
      <c r="C6641" s="87" t="str">
        <f>IFERROR(__xludf.DUMMYFUNCTION("""COMPUTED_VALUE"""),"NVL00013")</f>
        <v>NVL00013</v>
      </c>
      <c r="D6641" s="87" t="str">
        <f>IFERROR(__xludf.DUMMYFUNCTION("""COMPUTED_VALUE"""),"[NHÃN_C] - ICARE - Anti Coro nCoV - Nano Ag+ - 10 lít")</f>
        <v>[NHÃN_C] - ICARE - Anti Coro nCoV - Nano Ag+ - 10 lít</v>
      </c>
      <c r="E6641" s="87"/>
      <c r="F6641" s="87"/>
      <c r="G6641" s="87"/>
    </row>
    <row r="6642">
      <c r="A6642" s="86">
        <f>IFERROR(__xludf.DUMMYFUNCTION("""COMPUTED_VALUE"""),6640.0)</f>
        <v>6640</v>
      </c>
      <c r="B6642" s="87" t="str">
        <f>IFERROR(__xludf.DUMMYFUNCTION("""COMPUTED_VALUE"""),"ICARE")</f>
        <v>ICARE</v>
      </c>
      <c r="C6642" s="87" t="str">
        <f>IFERROR(__xludf.DUMMYFUNCTION("""COMPUTED_VALUE"""),"NVL00014")</f>
        <v>NVL00014</v>
      </c>
      <c r="D6642" s="87" t="str">
        <f>IFERROR(__xludf.DUMMYFUNCTION("""COMPUTED_VALUE"""),"[NHÃN_C] - ICARE - Anti Coro nCoV - Xịt khuẩn _Nano Ag+ - 30ml")</f>
        <v>[NHÃN_C] - ICARE - Anti Coro nCoV - Xịt khuẩn _Nano Ag+ - 30ml</v>
      </c>
      <c r="E6642" s="87"/>
      <c r="F6642" s="87"/>
      <c r="G6642" s="87"/>
    </row>
    <row r="6643">
      <c r="A6643" s="86">
        <f>IFERROR(__xludf.DUMMYFUNCTION("""COMPUTED_VALUE"""),6641.0)</f>
        <v>6641</v>
      </c>
      <c r="B6643" s="87" t="str">
        <f>IFERROR(__xludf.DUMMYFUNCTION("""COMPUTED_VALUE"""),"ICARE")</f>
        <v>ICARE</v>
      </c>
      <c r="C6643" s="87" t="str">
        <f>IFERROR(__xludf.DUMMYFUNCTION("""COMPUTED_VALUE"""),"NVL00015")</f>
        <v>NVL00015</v>
      </c>
      <c r="D6643" s="87" t="str">
        <f>IFERROR(__xludf.DUMMYFUNCTION("""COMPUTED_VALUE"""),"[NHÃN_C] ICARE - Anti Coro nCoV - Xịt khuẩn _Nano Ag+ - 50ml")</f>
        <v>[NHÃN_C] ICARE - Anti Coro nCoV - Xịt khuẩn _Nano Ag+ - 50ml</v>
      </c>
      <c r="E6643" s="87"/>
      <c r="F6643" s="87"/>
      <c r="G6643" s="87"/>
    </row>
    <row r="6644">
      <c r="A6644" s="86">
        <f>IFERROR(__xludf.DUMMYFUNCTION("""COMPUTED_VALUE"""),6642.0)</f>
        <v>6642</v>
      </c>
      <c r="B6644" s="87" t="str">
        <f>IFERROR(__xludf.DUMMYFUNCTION("""COMPUTED_VALUE"""),"ICARE")</f>
        <v>ICARE</v>
      </c>
      <c r="C6644" s="87" t="str">
        <f>IFERROR(__xludf.DUMMYFUNCTION("""COMPUTED_VALUE"""),"NVL00016")</f>
        <v>NVL00016</v>
      </c>
      <c r="D6644" s="87" t="str">
        <f>IFERROR(__xludf.DUMMYFUNCTION("""COMPUTED_VALUE"""),"[NHÃN_C] ICARE - Anti Coro nCoV - Bạc Hà - 01 lít")</f>
        <v>[NHÃN_C] ICARE - Anti Coro nCoV - Bạc Hà - 01 lít</v>
      </c>
      <c r="E6644" s="87"/>
      <c r="F6644" s="87"/>
      <c r="G6644" s="87"/>
    </row>
    <row r="6645">
      <c r="A6645" s="86">
        <f>IFERROR(__xludf.DUMMYFUNCTION("""COMPUTED_VALUE"""),6643.0)</f>
        <v>6643</v>
      </c>
      <c r="B6645" s="87" t="str">
        <f>IFERROR(__xludf.DUMMYFUNCTION("""COMPUTED_VALUE"""),"ICARE")</f>
        <v>ICARE</v>
      </c>
      <c r="C6645" s="87" t="str">
        <f>IFERROR(__xludf.DUMMYFUNCTION("""COMPUTED_VALUE"""),"NVL00017")</f>
        <v>NVL00017</v>
      </c>
      <c r="D6645" s="87" t="str">
        <f>IFERROR(__xludf.DUMMYFUNCTION("""COMPUTED_VALUE"""),"[NHÃN_C] ICARE - Anti Coro nCoV - Nano Ag+ - 01 lít")</f>
        <v>[NHÃN_C] ICARE - Anti Coro nCoV - Nano Ag+ - 01 lít</v>
      </c>
      <c r="E6645" s="87"/>
      <c r="F6645" s="87"/>
      <c r="G6645" s="87"/>
    </row>
    <row r="6646">
      <c r="A6646" s="86">
        <f>IFERROR(__xludf.DUMMYFUNCTION("""COMPUTED_VALUE"""),6644.0)</f>
        <v>6644</v>
      </c>
      <c r="B6646" s="87" t="str">
        <f>IFERROR(__xludf.DUMMYFUNCTION("""COMPUTED_VALUE"""),"ICARE")</f>
        <v>ICARE</v>
      </c>
      <c r="C6646" s="87" t="str">
        <f>IFERROR(__xludf.DUMMYFUNCTION("""COMPUTED_VALUE"""),"NVL00018")</f>
        <v>NVL00018</v>
      </c>
      <c r="D6646" s="87" t="str">
        <f>IFERROR(__xludf.DUMMYFUNCTION("""COMPUTED_VALUE"""),"[NHÃN_C] GC ICARE - Anti Coro nCoV - ICARE - 120 ml")</f>
        <v>[NHÃN_C] GC ICARE - Anti Coro nCoV - ICARE - 120 ml</v>
      </c>
      <c r="E6646" s="87"/>
      <c r="F6646" s="87"/>
      <c r="G6646" s="87"/>
    </row>
    <row r="6647">
      <c r="A6647" s="86">
        <f>IFERROR(__xludf.DUMMYFUNCTION("""COMPUTED_VALUE"""),6645.0)</f>
        <v>6645</v>
      </c>
      <c r="B6647" s="87" t="str">
        <f>IFERROR(__xludf.DUMMYFUNCTION("""COMPUTED_VALUE"""),"ICARE")</f>
        <v>ICARE</v>
      </c>
      <c r="C6647" s="87" t="str">
        <f>IFERROR(__xludf.DUMMYFUNCTION("""COMPUTED_VALUE"""),"NVL00019")</f>
        <v>NVL00019</v>
      </c>
      <c r="D6647" s="87" t="str">
        <f>IFERROR(__xludf.DUMMYFUNCTION("""COMPUTED_VALUE"""),"[NHÃN_P] - ICARE - 100ml và 500ml")</f>
        <v>[NHÃN_P] - ICARE - 100ml và 500ml</v>
      </c>
      <c r="E6647" s="87"/>
      <c r="F6647" s="87"/>
      <c r="G6647" s="87"/>
    </row>
    <row r="6648">
      <c r="A6648" s="86">
        <f>IFERROR(__xludf.DUMMYFUNCTION("""COMPUTED_VALUE"""),6646.0)</f>
        <v>6646</v>
      </c>
      <c r="B6648" s="87" t="str">
        <f>IFERROR(__xludf.DUMMYFUNCTION("""COMPUTED_VALUE"""),"ICARE")</f>
        <v>ICARE</v>
      </c>
      <c r="C6648" s="87" t="str">
        <f>IFERROR(__xludf.DUMMYFUNCTION("""COMPUTED_VALUE"""),"NVL00020")</f>
        <v>NVL00020</v>
      </c>
      <c r="D6648" s="87" t="str">
        <f>IFERROR(__xludf.DUMMYFUNCTION("""COMPUTED_VALUE"""),"[NHÃN_P_XỊT] - ICARE 100ml")</f>
        <v>[NHÃN_P_XỊT] - ICARE 100ml</v>
      </c>
      <c r="E6648" s="87"/>
      <c r="F6648" s="87"/>
      <c r="G6648" s="87"/>
    </row>
    <row r="6649">
      <c r="A6649" s="86">
        <f>IFERROR(__xludf.DUMMYFUNCTION("""COMPUTED_VALUE"""),6647.0)</f>
        <v>6647</v>
      </c>
      <c r="B6649" s="87" t="str">
        <f>IFERROR(__xludf.DUMMYFUNCTION("""COMPUTED_VALUE"""),"ICARE")</f>
        <v>ICARE</v>
      </c>
      <c r="C6649" s="87" t="str">
        <f>IFERROR(__xludf.DUMMYFUNCTION("""COMPUTED_VALUE"""),"NVL00021")</f>
        <v>NVL00021</v>
      </c>
      <c r="D6649" s="87" t="str">
        <f>IFERROR(__xludf.DUMMYFUNCTION("""COMPUTED_VALUE"""),"[VỎ CHAI] ICARE - 100ml")</f>
        <v>[VỎ CHAI] ICARE - 100ml</v>
      </c>
      <c r="E6649" s="87"/>
      <c r="F6649" s="87"/>
      <c r="G6649" s="87"/>
    </row>
    <row r="6650">
      <c r="A6650" s="86">
        <f>IFERROR(__xludf.DUMMYFUNCTION("""COMPUTED_VALUE"""),6648.0)</f>
        <v>6648</v>
      </c>
      <c r="B6650" s="87" t="str">
        <f>IFERROR(__xludf.DUMMYFUNCTION("""COMPUTED_VALUE"""),"ICARE")</f>
        <v>ICARE</v>
      </c>
      <c r="C6650" s="87" t="str">
        <f>IFERROR(__xludf.DUMMYFUNCTION("""COMPUTED_VALUE"""),"NVL00022")</f>
        <v>NVL00022</v>
      </c>
      <c r="D6650" s="87" t="str">
        <f>IFERROR(__xludf.DUMMYFUNCTION("""COMPUTED_VALUE"""),"[NHÃN_P] gel dùng chung")</f>
        <v>[NHÃN_P] gel dùng chung</v>
      </c>
      <c r="E6650" s="87"/>
      <c r="F6650" s="87"/>
      <c r="G6650" s="87"/>
    </row>
    <row r="6651">
      <c r="A6651" s="86">
        <f>IFERROR(__xludf.DUMMYFUNCTION("""COMPUTED_VALUE"""),6649.0)</f>
        <v>6649</v>
      </c>
      <c r="B6651" s="87" t="str">
        <f>IFERROR(__xludf.DUMMYFUNCTION("""COMPUTED_VALUE"""),"ICARE")</f>
        <v>ICARE</v>
      </c>
      <c r="C6651" s="87" t="str">
        <f>IFERROR(__xludf.DUMMYFUNCTION("""COMPUTED_VALUE"""),"NVL00024")</f>
        <v>NVL00024</v>
      </c>
      <c r="D6651" s="87" t="str">
        <f>IFERROR(__xludf.DUMMYFUNCTION("""COMPUTED_VALUE"""),"[NHÃN_P] - ICARE - 4L")</f>
        <v>[NHÃN_P] - ICARE - 4L</v>
      </c>
      <c r="E6651" s="87"/>
      <c r="F6651" s="87"/>
      <c r="G6651" s="87"/>
    </row>
    <row r="6652">
      <c r="A6652" s="86">
        <f>IFERROR(__xludf.DUMMYFUNCTION("""COMPUTED_VALUE"""),6650.0)</f>
        <v>6650</v>
      </c>
      <c r="B6652" s="87" t="str">
        <f>IFERROR(__xludf.DUMMYFUNCTION("""COMPUTED_VALUE"""),"ICARE")</f>
        <v>ICARE</v>
      </c>
      <c r="C6652" s="87" t="str">
        <f>IFERROR(__xludf.DUMMYFUNCTION("""COMPUTED_VALUE"""),"NVL00025")</f>
        <v>NVL00025</v>
      </c>
      <c r="D6652" s="87" t="str">
        <f>IFERROR(__xludf.DUMMYFUNCTION("""COMPUTED_VALUE"""),"[VỎ CAN] - ICARE - 4 lít")</f>
        <v>[VỎ CAN] - ICARE - 4 lít</v>
      </c>
      <c r="E6652" s="87"/>
      <c r="F6652" s="87"/>
      <c r="G6652" s="87"/>
    </row>
    <row r="6653">
      <c r="A6653" s="86">
        <f>IFERROR(__xludf.DUMMYFUNCTION("""COMPUTED_VALUE"""),6651.0)</f>
        <v>6651</v>
      </c>
      <c r="B6653" s="87" t="str">
        <f>IFERROR(__xludf.DUMMYFUNCTION("""COMPUTED_VALUE"""),"ICARE")</f>
        <v>ICARE</v>
      </c>
      <c r="C6653" s="87" t="str">
        <f>IFERROR(__xludf.DUMMYFUNCTION("""COMPUTED_VALUE"""),"NVL00026")</f>
        <v>NVL00026</v>
      </c>
      <c r="D6653" s="87" t="str">
        <f>IFERROR(__xludf.DUMMYFUNCTION("""COMPUTED_VALUE"""),"[NHÃN - P] - ICARE - 10 lít")</f>
        <v>[NHÃN - P] - ICARE - 10 lít</v>
      </c>
      <c r="E6653" s="87"/>
      <c r="F6653" s="87"/>
      <c r="G6653" s="87"/>
    </row>
    <row r="6654">
      <c r="A6654" s="86">
        <f>IFERROR(__xludf.DUMMYFUNCTION("""COMPUTED_VALUE"""),6652.0)</f>
        <v>6652</v>
      </c>
      <c r="B6654" s="87" t="str">
        <f>IFERROR(__xludf.DUMMYFUNCTION("""COMPUTED_VALUE"""),"ICARE")</f>
        <v>ICARE</v>
      </c>
      <c r="C6654" s="87" t="str">
        <f>IFERROR(__xludf.DUMMYFUNCTION("""COMPUTED_VALUE"""),"NVL00027")</f>
        <v>NVL00027</v>
      </c>
      <c r="D6654" s="87" t="str">
        <f>IFERROR(__xludf.DUMMYFUNCTION("""COMPUTED_VALUE"""),"[VỎ CAN] - ICARE - 10 lít")</f>
        <v>[VỎ CAN] - ICARE - 10 lít</v>
      </c>
      <c r="E6654" s="87"/>
      <c r="F6654" s="87"/>
      <c r="G6654" s="87"/>
    </row>
    <row r="6655">
      <c r="A6655" s="86">
        <f>IFERROR(__xludf.DUMMYFUNCTION("""COMPUTED_VALUE"""),6653.0)</f>
        <v>6653</v>
      </c>
      <c r="B6655" s="87" t="str">
        <f>IFERROR(__xludf.DUMMYFUNCTION("""COMPUTED_VALUE"""),"ICARE")</f>
        <v>ICARE</v>
      </c>
      <c r="C6655" s="87" t="str">
        <f>IFERROR(__xludf.DUMMYFUNCTION("""COMPUTED_VALUE"""),"NVL00028")</f>
        <v>NVL00028</v>
      </c>
      <c r="D6655" s="87" t="str">
        <f>IFERROR(__xludf.DUMMYFUNCTION("""COMPUTED_VALUE"""),"[NHÃN_P] - ICARE - 1 lít")</f>
        <v>[NHÃN_P] - ICARE - 1 lít</v>
      </c>
      <c r="E6655" s="87"/>
      <c r="F6655" s="87"/>
      <c r="G6655" s="87"/>
    </row>
    <row r="6656">
      <c r="A6656" s="86">
        <f>IFERROR(__xludf.DUMMYFUNCTION("""COMPUTED_VALUE"""),6654.0)</f>
        <v>6654</v>
      </c>
      <c r="B6656" s="87" t="str">
        <f>IFERROR(__xludf.DUMMYFUNCTION("""COMPUTED_VALUE"""),"ICARE")</f>
        <v>ICARE</v>
      </c>
      <c r="C6656" s="87" t="str">
        <f>IFERROR(__xludf.DUMMYFUNCTION("""COMPUTED_VALUE"""),"NVL00029")</f>
        <v>NVL00029</v>
      </c>
      <c r="D6656" s="87" t="str">
        <f>IFERROR(__xludf.DUMMYFUNCTION("""COMPUTED_VALUE"""),"[VỎ CHAI] - ICARE - 1 lít")</f>
        <v>[VỎ CHAI] - ICARE - 1 lít</v>
      </c>
      <c r="E6656" s="87"/>
      <c r="F6656" s="87"/>
      <c r="G6656" s="87"/>
    </row>
    <row r="6657">
      <c r="A6657" s="86">
        <f>IFERROR(__xludf.DUMMYFUNCTION("""COMPUTED_VALUE"""),6655.0)</f>
        <v>6655</v>
      </c>
      <c r="B6657" s="87" t="str">
        <f>IFERROR(__xludf.DUMMYFUNCTION("""COMPUTED_VALUE"""),"ICARE")</f>
        <v>ICARE</v>
      </c>
      <c r="C6657" s="87" t="str">
        <f>IFERROR(__xludf.DUMMYFUNCTION("""COMPUTED_VALUE"""),"NVL00030")</f>
        <v>NVL00030</v>
      </c>
      <c r="D6657" s="87" t="str">
        <f>IFERROR(__xludf.DUMMYFUNCTION("""COMPUTED_VALUE"""),"[NHÃN_P] - ICARE - 120ml")</f>
        <v>[NHÃN_P] - ICARE - 120ml</v>
      </c>
      <c r="E6657" s="87"/>
      <c r="F6657" s="87"/>
      <c r="G6657" s="87"/>
    </row>
    <row r="6658">
      <c r="A6658" s="86">
        <f>IFERROR(__xludf.DUMMYFUNCTION("""COMPUTED_VALUE"""),6656.0)</f>
        <v>6656</v>
      </c>
      <c r="B6658" s="87" t="str">
        <f>IFERROR(__xludf.DUMMYFUNCTION("""COMPUTED_VALUE"""),"ICARE")</f>
        <v>ICARE</v>
      </c>
      <c r="C6658" s="87" t="str">
        <f>IFERROR(__xludf.DUMMYFUNCTION("""COMPUTED_VALUE"""),"NVL00032")</f>
        <v>NVL00032</v>
      </c>
      <c r="D6658" s="87" t="str">
        <f>IFERROR(__xludf.DUMMYFUNCTION("""COMPUTED_VALUE"""),"[NHÃN_P_XỊT] - ICARE - 30ml")</f>
        <v>[NHÃN_P_XỊT] - ICARE - 30ml</v>
      </c>
      <c r="E6658" s="87"/>
      <c r="F6658" s="87"/>
      <c r="G6658" s="87"/>
    </row>
    <row r="6659">
      <c r="A6659" s="86">
        <f>IFERROR(__xludf.DUMMYFUNCTION("""COMPUTED_VALUE"""),6657.0)</f>
        <v>6657</v>
      </c>
      <c r="B6659" s="87" t="str">
        <f>IFERROR(__xludf.DUMMYFUNCTION("""COMPUTED_VALUE"""),"ICARE")</f>
        <v>ICARE</v>
      </c>
      <c r="C6659" s="87" t="str">
        <f>IFERROR(__xludf.DUMMYFUNCTION("""COMPUTED_VALUE"""),"NVL00033")</f>
        <v>NVL00033</v>
      </c>
      <c r="D6659" s="87" t="str">
        <f>IFERROR(__xludf.DUMMYFUNCTION("""COMPUTED_VALUE"""),"[VỎ CHAI_XỊT] - ICARE - 30ml")</f>
        <v>[VỎ CHAI_XỊT] - ICARE - 30ml</v>
      </c>
      <c r="E6659" s="87"/>
      <c r="F6659" s="87"/>
      <c r="G6659" s="87"/>
    </row>
    <row r="6660">
      <c r="A6660" s="86">
        <f>IFERROR(__xludf.DUMMYFUNCTION("""COMPUTED_VALUE"""),6658.0)</f>
        <v>6658</v>
      </c>
      <c r="B6660" s="87" t="str">
        <f>IFERROR(__xludf.DUMMYFUNCTION("""COMPUTED_VALUE"""),"ICARE")</f>
        <v>ICARE</v>
      </c>
      <c r="C6660" s="87" t="str">
        <f>IFERROR(__xludf.DUMMYFUNCTION("""COMPUTED_VALUE"""),"NVL00034")</f>
        <v>NVL00034</v>
      </c>
      <c r="D6660" s="87" t="str">
        <f>IFERROR(__xludf.DUMMYFUNCTION("""COMPUTED_VALUE"""),"CHAI- ICARE - 30ml")</f>
        <v>CHAI- ICARE - 30ml</v>
      </c>
      <c r="E6660" s="87"/>
      <c r="F6660" s="87"/>
      <c r="G6660" s="87"/>
    </row>
    <row r="6661">
      <c r="A6661" s="86">
        <f>IFERROR(__xludf.DUMMYFUNCTION("""COMPUTED_VALUE"""),6659.0)</f>
        <v>6659</v>
      </c>
      <c r="B6661" s="87" t="str">
        <f>IFERROR(__xludf.DUMMYFUNCTION("""COMPUTED_VALUE"""),"ICARE")</f>
        <v>ICARE</v>
      </c>
      <c r="C6661" s="87" t="str">
        <f>IFERROR(__xludf.DUMMYFUNCTION("""COMPUTED_VALUE"""),"NVL00035")</f>
        <v>NVL00035</v>
      </c>
      <c r="D6661" s="87" t="str">
        <f>IFERROR(__xludf.DUMMYFUNCTION("""COMPUTED_VALUE"""),"[NHÃN_P_XỊT] - ICARE - 50ml")</f>
        <v>[NHÃN_P_XỊT] - ICARE - 50ml</v>
      </c>
      <c r="E6661" s="87"/>
      <c r="F6661" s="87"/>
      <c r="G6661" s="87"/>
    </row>
    <row r="6662">
      <c r="A6662" s="86">
        <f>IFERROR(__xludf.DUMMYFUNCTION("""COMPUTED_VALUE"""),6660.0)</f>
        <v>6660</v>
      </c>
      <c r="B6662" s="87" t="str">
        <f>IFERROR(__xludf.DUMMYFUNCTION("""COMPUTED_VALUE"""),"ICARE")</f>
        <v>ICARE</v>
      </c>
      <c r="C6662" s="87" t="str">
        <f>IFERROR(__xludf.DUMMYFUNCTION("""COMPUTED_VALUE"""),"NVL00037")</f>
        <v>NVL00037</v>
      </c>
      <c r="D6662" s="87" t="str">
        <f>IFERROR(__xludf.DUMMYFUNCTION("""COMPUTED_VALUE"""),"[VỎ CHAI_XỊT] - ICARE - 50ml")</f>
        <v>[VỎ CHAI_XỊT] - ICARE - 50ml</v>
      </c>
      <c r="E6662" s="87"/>
      <c r="F6662" s="87"/>
      <c r="G6662" s="87"/>
    </row>
    <row r="6663">
      <c r="A6663" s="86">
        <f>IFERROR(__xludf.DUMMYFUNCTION("""COMPUTED_VALUE"""),6661.0)</f>
        <v>6661</v>
      </c>
      <c r="B6663" s="87" t="str">
        <f>IFERROR(__xludf.DUMMYFUNCTION("""COMPUTED_VALUE"""),"ICARE")</f>
        <v>ICARE</v>
      </c>
      <c r="C6663" s="87" t="str">
        <f>IFERROR(__xludf.DUMMYFUNCTION("""COMPUTED_VALUE"""),"NVL00038")</f>
        <v>NVL00038</v>
      </c>
      <c r="D6663" s="87" t="str">
        <f>IFERROR(__xludf.DUMMYFUNCTION("""COMPUTED_VALUE"""),"[VỎ CHAI _ XỊT] - ICARE - 100ml")</f>
        <v>[VỎ CHAI _ XỊT] - ICARE - 100ml</v>
      </c>
      <c r="E6663" s="87"/>
      <c r="F6663" s="87"/>
      <c r="G6663" s="87"/>
    </row>
    <row r="6664">
      <c r="A6664" s="86">
        <f>IFERROR(__xludf.DUMMYFUNCTION("""COMPUTED_VALUE"""),6662.0)</f>
        <v>6662</v>
      </c>
      <c r="B6664" s="87" t="str">
        <f>IFERROR(__xludf.DUMMYFUNCTION("""COMPUTED_VALUE"""),"ICARE")</f>
        <v>ICARE</v>
      </c>
      <c r="C6664" s="87" t="str">
        <f>IFERROR(__xludf.DUMMYFUNCTION("""COMPUTED_VALUE"""),"NVL00039")</f>
        <v>NVL00039</v>
      </c>
      <c r="D6664" s="87" t="str">
        <f>IFERROR(__xludf.DUMMYFUNCTION("""COMPUTED_VALUE"""),"Màu xanh lá")</f>
        <v>Màu xanh lá</v>
      </c>
      <c r="E6664" s="87"/>
      <c r="F6664" s="87"/>
      <c r="G6664" s="87"/>
    </row>
    <row r="6665">
      <c r="A6665" s="86">
        <f>IFERROR(__xludf.DUMMYFUNCTION("""COMPUTED_VALUE"""),6663.0)</f>
        <v>6663</v>
      </c>
      <c r="B6665" s="87" t="str">
        <f>IFERROR(__xludf.DUMMYFUNCTION("""COMPUTED_VALUE"""),"ICARE")</f>
        <v>ICARE</v>
      </c>
      <c r="C6665" s="87" t="str">
        <f>IFERROR(__xludf.DUMMYFUNCTION("""COMPUTED_VALUE"""),"NVL00040")</f>
        <v>NVL00040</v>
      </c>
      <c r="D6665" s="87" t="str">
        <f>IFERROR(__xludf.DUMMYFUNCTION("""COMPUTED_VALUE"""),"Màu đỏ")</f>
        <v>Màu đỏ</v>
      </c>
      <c r="E6665" s="87"/>
      <c r="F6665" s="87"/>
      <c r="G6665" s="87"/>
    </row>
    <row r="6666">
      <c r="A6666" s="86">
        <f>IFERROR(__xludf.DUMMYFUNCTION("""COMPUTED_VALUE"""),6664.0)</f>
        <v>6664</v>
      </c>
      <c r="B6666" s="87" t="str">
        <f>IFERROR(__xludf.DUMMYFUNCTION("""COMPUTED_VALUE"""),"ICARE")</f>
        <v>ICARE</v>
      </c>
      <c r="C6666" s="87" t="str">
        <f>IFERROR(__xludf.DUMMYFUNCTION("""COMPUTED_VALUE"""),"NVL00041")</f>
        <v>NVL00041</v>
      </c>
      <c r="D6666" s="87" t="str">
        <f>IFERROR(__xludf.DUMMYFUNCTION("""COMPUTED_VALUE"""),"Màu cam")</f>
        <v>Màu cam</v>
      </c>
      <c r="E6666" s="87"/>
      <c r="F6666" s="87"/>
      <c r="G6666" s="87"/>
    </row>
    <row r="6667">
      <c r="A6667" s="86">
        <f>IFERROR(__xludf.DUMMYFUNCTION("""COMPUTED_VALUE"""),6665.0)</f>
        <v>6665</v>
      </c>
      <c r="B6667" s="87" t="str">
        <f>IFERROR(__xludf.DUMMYFUNCTION("""COMPUTED_VALUE"""),"ICARE")</f>
        <v>ICARE</v>
      </c>
      <c r="C6667" s="87" t="str">
        <f>IFERROR(__xludf.DUMMYFUNCTION("""COMPUTED_VALUE"""),"NVL00042")</f>
        <v>NVL00042</v>
      </c>
      <c r="D6667" s="87" t="str">
        <f>IFERROR(__xludf.DUMMYFUNCTION("""COMPUTED_VALUE"""),"Hương xá xị")</f>
        <v>Hương xá xị</v>
      </c>
      <c r="E6667" s="87"/>
      <c r="F6667" s="87"/>
      <c r="G6667" s="87"/>
    </row>
    <row r="6668">
      <c r="A6668" s="86">
        <f>IFERROR(__xludf.DUMMYFUNCTION("""COMPUTED_VALUE"""),6666.0)</f>
        <v>6666</v>
      </c>
      <c r="B6668" s="87" t="str">
        <f>IFERROR(__xludf.DUMMYFUNCTION("""COMPUTED_VALUE"""),"ICARE")</f>
        <v>ICARE</v>
      </c>
      <c r="C6668" s="87" t="str">
        <f>IFERROR(__xludf.DUMMYFUNCTION("""COMPUTED_VALUE"""),"NVL00043")</f>
        <v>NVL00043</v>
      </c>
      <c r="D6668" s="87" t="str">
        <f>IFERROR(__xludf.DUMMYFUNCTION("""COMPUTED_VALUE"""),"Hương sả")</f>
        <v>Hương sả</v>
      </c>
      <c r="E6668" s="87"/>
      <c r="F6668" s="87"/>
      <c r="G6668" s="87"/>
    </row>
    <row r="6669">
      <c r="A6669" s="86">
        <f>IFERROR(__xludf.DUMMYFUNCTION("""COMPUTED_VALUE"""),6667.0)</f>
        <v>6667</v>
      </c>
      <c r="B6669" s="87" t="str">
        <f>IFERROR(__xludf.DUMMYFUNCTION("""COMPUTED_VALUE"""),"ICARE")</f>
        <v>ICARE</v>
      </c>
      <c r="C6669" s="87" t="str">
        <f>IFERROR(__xludf.DUMMYFUNCTION("""COMPUTED_VALUE"""),"NVL00044")</f>
        <v>NVL00044</v>
      </c>
      <c r="D6669" s="87" t="str">
        <f>IFERROR(__xludf.DUMMYFUNCTION("""COMPUTED_VALUE"""),"Hương bạc hà")</f>
        <v>Hương bạc hà</v>
      </c>
      <c r="E6669" s="87"/>
      <c r="F6669" s="87"/>
      <c r="G6669" s="87"/>
    </row>
    <row r="6670">
      <c r="A6670" s="86">
        <f>IFERROR(__xludf.DUMMYFUNCTION("""COMPUTED_VALUE"""),6668.0)</f>
        <v>6668</v>
      </c>
      <c r="B6670" s="87" t="str">
        <f>IFERROR(__xludf.DUMMYFUNCTION("""COMPUTED_VALUE"""),"ICARE")</f>
        <v>ICARE</v>
      </c>
      <c r="C6670" s="87" t="str">
        <f>IFERROR(__xludf.DUMMYFUNCTION("""COMPUTED_VALUE"""),"NVL00045")</f>
        <v>NVL00045</v>
      </c>
      <c r="D6670" s="87" t="str">
        <f>IFERROR(__xludf.DUMMYFUNCTION("""COMPUTED_VALUE"""),"Hương Táo")</f>
        <v>Hương Táo</v>
      </c>
      <c r="E6670" s="87"/>
      <c r="F6670" s="87"/>
      <c r="G6670" s="87"/>
    </row>
    <row r="6671">
      <c r="A6671" s="86">
        <f>IFERROR(__xludf.DUMMYFUNCTION("""COMPUTED_VALUE"""),6669.0)</f>
        <v>6669</v>
      </c>
      <c r="B6671" s="87" t="str">
        <f>IFERROR(__xludf.DUMMYFUNCTION("""COMPUTED_VALUE"""),"ICARE")</f>
        <v>ICARE</v>
      </c>
      <c r="C6671" s="87" t="str">
        <f>IFERROR(__xludf.DUMMYFUNCTION("""COMPUTED_VALUE"""),"NVL00046")</f>
        <v>NVL00046</v>
      </c>
      <c r="D6671" s="87" t="str">
        <f>IFERROR(__xludf.DUMMYFUNCTION("""COMPUTED_VALUE"""),"Nano bạc")</f>
        <v>Nano bạc</v>
      </c>
      <c r="E6671" s="87"/>
      <c r="F6671" s="87"/>
      <c r="G6671" s="87"/>
    </row>
    <row r="6672">
      <c r="A6672" s="86">
        <f>IFERROR(__xludf.DUMMYFUNCTION("""COMPUTED_VALUE"""),6670.0)</f>
        <v>6670</v>
      </c>
      <c r="B6672" s="87" t="str">
        <f>IFERROR(__xludf.DUMMYFUNCTION("""COMPUTED_VALUE"""),"ICARE")</f>
        <v>ICARE</v>
      </c>
      <c r="C6672" s="87" t="str">
        <f>IFERROR(__xludf.DUMMYFUNCTION("""COMPUTED_VALUE"""),"NVL00047")</f>
        <v>NVL00047</v>
      </c>
      <c r="D6672" s="87" t="str">
        <f>IFERROR(__xludf.DUMMYFUNCTION("""COMPUTED_VALUE"""),"Hương chanh")</f>
        <v>Hương chanh</v>
      </c>
      <c r="E6672" s="87"/>
      <c r="F6672" s="87"/>
      <c r="G6672" s="87"/>
    </row>
    <row r="6673">
      <c r="A6673" s="86">
        <f>IFERROR(__xludf.DUMMYFUNCTION("""COMPUTED_VALUE"""),6671.0)</f>
        <v>6671</v>
      </c>
      <c r="B6673" s="87" t="str">
        <f>IFERROR(__xludf.DUMMYFUNCTION("""COMPUTED_VALUE"""),"ICARE")</f>
        <v>ICARE</v>
      </c>
      <c r="C6673" s="87" t="str">
        <f>IFERROR(__xludf.DUMMYFUNCTION("""COMPUTED_VALUE"""),"NVL00048")</f>
        <v>NVL00048</v>
      </c>
      <c r="D6673" s="87" t="str">
        <f>IFERROR(__xludf.DUMMYFUNCTION("""COMPUTED_VALUE"""),"Tinh dầu hoa kim ngân")</f>
        <v>Tinh dầu hoa kim ngân</v>
      </c>
      <c r="E6673" s="87"/>
      <c r="F6673" s="87"/>
      <c r="G6673" s="87"/>
    </row>
    <row r="6674">
      <c r="A6674" s="86">
        <f>IFERROR(__xludf.DUMMYFUNCTION("""COMPUTED_VALUE"""),6672.0)</f>
        <v>6672</v>
      </c>
      <c r="B6674" s="87" t="str">
        <f>IFERROR(__xludf.DUMMYFUNCTION("""COMPUTED_VALUE"""),"ICARE")</f>
        <v>ICARE</v>
      </c>
      <c r="C6674" s="87" t="str">
        <f>IFERROR(__xludf.DUMMYFUNCTION("""COMPUTED_VALUE"""),"NVL00049")</f>
        <v>NVL00049</v>
      </c>
      <c r="D6674" s="87" t="str">
        <f>IFERROR(__xludf.DUMMYFUNCTION("""COMPUTED_VALUE"""),"Tinh dầu tràm gỗ")</f>
        <v>Tinh dầu tràm gỗ</v>
      </c>
      <c r="E6674" s="87"/>
      <c r="F6674" s="87"/>
      <c r="G6674" s="87"/>
    </row>
    <row r="6675">
      <c r="A6675" s="86">
        <f>IFERROR(__xludf.DUMMYFUNCTION("""COMPUTED_VALUE"""),6673.0)</f>
        <v>6673</v>
      </c>
      <c r="B6675" s="87" t="str">
        <f>IFERROR(__xludf.DUMMYFUNCTION("""COMPUTED_VALUE"""),"ICARE")</f>
        <v>ICARE</v>
      </c>
      <c r="C6675" s="87" t="str">
        <f>IFERROR(__xludf.DUMMYFUNCTION("""COMPUTED_VALUE"""),"NVL00050")</f>
        <v>NVL00050</v>
      </c>
      <c r="D6675" s="87" t="str">
        <f>IFERROR(__xludf.DUMMYFUNCTION("""COMPUTED_VALUE"""),"Tinh dầu bưởi")</f>
        <v>Tinh dầu bưởi</v>
      </c>
      <c r="E6675" s="87"/>
      <c r="F6675" s="87"/>
      <c r="G6675" s="87"/>
    </row>
    <row r="6676">
      <c r="A6676" s="86">
        <f>IFERROR(__xludf.DUMMYFUNCTION("""COMPUTED_VALUE"""),6674.0)</f>
        <v>6674</v>
      </c>
      <c r="B6676" s="87" t="str">
        <f>IFERROR(__xludf.DUMMYFUNCTION("""COMPUTED_VALUE"""),"ICARE")</f>
        <v>ICARE</v>
      </c>
      <c r="C6676" s="87" t="str">
        <f>IFERROR(__xludf.DUMMYFUNCTION("""COMPUTED_VALUE"""),"NVL00051")</f>
        <v>NVL00051</v>
      </c>
      <c r="D6676" s="87" t="str">
        <f>IFERROR(__xludf.DUMMYFUNCTION("""COMPUTED_VALUE"""),"Tinh dầu sả")</f>
        <v>Tinh dầu sả</v>
      </c>
      <c r="E6676" s="87"/>
      <c r="F6676" s="87"/>
      <c r="G6676" s="87"/>
    </row>
    <row r="6677">
      <c r="A6677" s="86">
        <f>IFERROR(__xludf.DUMMYFUNCTION("""COMPUTED_VALUE"""),6675.0)</f>
        <v>6675</v>
      </c>
      <c r="B6677" s="87" t="str">
        <f>IFERROR(__xludf.DUMMYFUNCTION("""COMPUTED_VALUE"""),"ICARE")</f>
        <v>ICARE</v>
      </c>
      <c r="C6677" s="87" t="str">
        <f>IFERROR(__xludf.DUMMYFUNCTION("""COMPUTED_VALUE"""),"NVL00052")</f>
        <v>NVL00052</v>
      </c>
      <c r="D6677" s="87" t="str">
        <f>IFERROR(__xludf.DUMMYFUNCTION("""COMPUTED_VALUE"""),"Tinh dầu sả chanh")</f>
        <v>Tinh dầu sả chanh</v>
      </c>
      <c r="E6677" s="87"/>
      <c r="F6677" s="87"/>
      <c r="G6677" s="87"/>
    </row>
    <row r="6678">
      <c r="A6678" s="86">
        <f>IFERROR(__xludf.DUMMYFUNCTION("""COMPUTED_VALUE"""),6676.0)</f>
        <v>6676</v>
      </c>
      <c r="B6678" s="87" t="str">
        <f>IFERROR(__xludf.DUMMYFUNCTION("""COMPUTED_VALUE"""),"ICARE")</f>
        <v>ICARE</v>
      </c>
      <c r="C6678" s="87" t="str">
        <f>IFERROR(__xludf.DUMMYFUNCTION("""COMPUTED_VALUE"""),"NVL00053")</f>
        <v>NVL00053</v>
      </c>
      <c r="D6678" s="87" t="str">
        <f>IFERROR(__xludf.DUMMYFUNCTION("""COMPUTED_VALUE"""),"Tinh dầu bạc hà")</f>
        <v>Tinh dầu bạc hà</v>
      </c>
      <c r="E6678" s="87"/>
      <c r="F6678" s="87"/>
      <c r="G6678" s="87"/>
    </row>
    <row r="6679">
      <c r="A6679" s="86">
        <f>IFERROR(__xludf.DUMMYFUNCTION("""COMPUTED_VALUE"""),6677.0)</f>
        <v>6677</v>
      </c>
      <c r="B6679" s="87" t="str">
        <f>IFERROR(__xludf.DUMMYFUNCTION("""COMPUTED_VALUE"""),"ICARE")</f>
        <v>ICARE</v>
      </c>
      <c r="C6679" s="87" t="str">
        <f>IFERROR(__xludf.DUMMYFUNCTION("""COMPUTED_VALUE"""),"NVL00054")</f>
        <v>NVL00054</v>
      </c>
      <c r="D6679" s="87" t="str">
        <f>IFERROR(__xludf.DUMMYFUNCTION("""COMPUTED_VALUE"""),"Carnome")</f>
        <v>Carnome</v>
      </c>
      <c r="E6679" s="87"/>
      <c r="F6679" s="87"/>
      <c r="G6679" s="87"/>
    </row>
    <row r="6680">
      <c r="A6680" s="86">
        <f>IFERROR(__xludf.DUMMYFUNCTION("""COMPUTED_VALUE"""),6678.0)</f>
        <v>6678</v>
      </c>
      <c r="B6680" s="87" t="str">
        <f>IFERROR(__xludf.DUMMYFUNCTION("""COMPUTED_VALUE"""),"ICARE")</f>
        <v>ICARE</v>
      </c>
      <c r="C6680" s="87" t="str">
        <f>IFERROR(__xludf.DUMMYFUNCTION("""COMPUTED_VALUE"""),"NVL00055")</f>
        <v>NVL00055</v>
      </c>
      <c r="D6680" s="87" t="str">
        <f>IFERROR(__xludf.DUMMYFUNCTION("""COMPUTED_VALUE"""),"Cồn")</f>
        <v>Cồn</v>
      </c>
      <c r="E6680" s="87"/>
      <c r="F6680" s="87"/>
      <c r="G6680" s="87"/>
    </row>
    <row r="6681">
      <c r="A6681" s="86">
        <f>IFERROR(__xludf.DUMMYFUNCTION("""COMPUTED_VALUE"""),6679.0)</f>
        <v>6679</v>
      </c>
      <c r="B6681" s="87" t="str">
        <f>IFERROR(__xludf.DUMMYFUNCTION("""COMPUTED_VALUE"""),"ICARE")</f>
        <v>ICARE</v>
      </c>
      <c r="C6681" s="87" t="str">
        <f>IFERROR(__xludf.DUMMYFUNCTION("""COMPUTED_VALUE"""),"NVL00056")</f>
        <v>NVL00056</v>
      </c>
      <c r="D6681" s="87" t="str">
        <f>IFERROR(__xludf.DUMMYFUNCTION("""COMPUTED_VALUE"""),"Màu vàng")</f>
        <v>Màu vàng</v>
      </c>
      <c r="E6681" s="87"/>
      <c r="F6681" s="87"/>
      <c r="G6681" s="87"/>
    </row>
    <row r="6682">
      <c r="A6682" s="86">
        <f>IFERROR(__xludf.DUMMYFUNCTION("""COMPUTED_VALUE"""),6680.0)</f>
        <v>6680</v>
      </c>
      <c r="B6682" s="87" t="str">
        <f>IFERROR(__xludf.DUMMYFUNCTION("""COMPUTED_VALUE"""),"ICARE")</f>
        <v>ICARE</v>
      </c>
      <c r="C6682" s="87" t="str">
        <f>IFERROR(__xludf.DUMMYFUNCTION("""COMPUTED_VALUE"""),"NVL00057")</f>
        <v>NVL00057</v>
      </c>
      <c r="D6682" s="87" t="str">
        <f>IFERROR(__xludf.DUMMYFUNCTION("""COMPUTED_VALUE"""),"Màu xanh dương")</f>
        <v>Màu xanh dương</v>
      </c>
      <c r="E6682" s="87"/>
      <c r="F6682" s="87"/>
      <c r="G6682" s="87"/>
    </row>
    <row r="6683">
      <c r="A6683" s="86">
        <f>IFERROR(__xludf.DUMMYFUNCTION("""COMPUTED_VALUE"""),6681.0)</f>
        <v>6681</v>
      </c>
      <c r="B6683" s="87" t="str">
        <f>IFERROR(__xludf.DUMMYFUNCTION("""COMPUTED_VALUE"""),"ICARE")</f>
        <v>ICARE</v>
      </c>
      <c r="C6683" s="87" t="str">
        <f>IFERROR(__xludf.DUMMYFUNCTION("""COMPUTED_VALUE"""),"NVL00058")</f>
        <v>NVL00058</v>
      </c>
      <c r="D6683" s="87" t="str">
        <f>IFERROR(__xludf.DUMMYFUNCTION("""COMPUTED_VALUE"""),"Hương trà xanh")</f>
        <v>Hương trà xanh</v>
      </c>
      <c r="E6683" s="87"/>
      <c r="F6683" s="87"/>
      <c r="G6683" s="87"/>
    </row>
    <row r="6684">
      <c r="A6684" s="86">
        <f>IFERROR(__xludf.DUMMYFUNCTION("""COMPUTED_VALUE"""),6682.0)</f>
        <v>6682</v>
      </c>
      <c r="B6684" s="87" t="str">
        <f>IFERROR(__xludf.DUMMYFUNCTION("""COMPUTED_VALUE"""),"ICARE")</f>
        <v>ICARE</v>
      </c>
      <c r="C6684" s="87" t="str">
        <f>IFERROR(__xludf.DUMMYFUNCTION("""COMPUTED_VALUE"""),"NVL00059")</f>
        <v>NVL00059</v>
      </c>
      <c r="D6684" s="87" t="str">
        <f>IFERROR(__xludf.DUMMYFUNCTION("""COMPUTED_VALUE"""),"[NHÃN_C] GC ICARE - CAT - Anti Coro nCoV - Chanh trà xanh - 100ml")</f>
        <v>[NHÃN_C] GC ICARE - CAT - Anti Coro nCoV - Chanh trà xanh - 100ml</v>
      </c>
      <c r="E6684" s="87"/>
      <c r="F6684" s="87"/>
      <c r="G6684" s="87"/>
    </row>
    <row r="6685">
      <c r="A6685" s="86">
        <f>IFERROR(__xludf.DUMMYFUNCTION("""COMPUTED_VALUE"""),6683.0)</f>
        <v>6683</v>
      </c>
      <c r="B6685" s="87" t="str">
        <f>IFERROR(__xludf.DUMMYFUNCTION("""COMPUTED_VALUE"""),"ICARE")</f>
        <v>ICARE</v>
      </c>
      <c r="C6685" s="87" t="str">
        <f>IFERROR(__xludf.DUMMYFUNCTION("""COMPUTED_VALUE"""),"NVL00060")</f>
        <v>NVL00060</v>
      </c>
      <c r="D6685" s="87" t="str">
        <f>IFERROR(__xludf.DUMMYFUNCTION("""COMPUTED_VALUE"""),"[NHÃN_C] GC ICARE - CAT - Anti Coro nCoV - Bạc hà - 100ml")</f>
        <v>[NHÃN_C] GC ICARE - CAT - Anti Coro nCoV - Bạc hà - 100ml</v>
      </c>
      <c r="E6685" s="87"/>
      <c r="F6685" s="87"/>
      <c r="G6685" s="87"/>
    </row>
    <row r="6686">
      <c r="A6686" s="86">
        <f>IFERROR(__xludf.DUMMYFUNCTION("""COMPUTED_VALUE"""),6684.0)</f>
        <v>6684</v>
      </c>
      <c r="B6686" s="87" t="str">
        <f>IFERROR(__xludf.DUMMYFUNCTION("""COMPUTED_VALUE"""),"ICARE")</f>
        <v>ICARE</v>
      </c>
      <c r="C6686" s="87" t="str">
        <f>IFERROR(__xludf.DUMMYFUNCTION("""COMPUTED_VALUE"""),"NVL00061")</f>
        <v>NVL00061</v>
      </c>
      <c r="D6686" s="87" t="str">
        <f>IFERROR(__xludf.DUMMYFUNCTION("""COMPUTED_VALUE"""),"[NHÃN_C] GC ICARE - CAT - Anti Coro nCoV - Chanh trà xanh - 500ml")</f>
        <v>[NHÃN_C] GC ICARE - CAT - Anti Coro nCoV - Chanh trà xanh - 500ml</v>
      </c>
      <c r="E6686" s="87"/>
      <c r="F6686" s="87"/>
      <c r="G6686" s="87"/>
    </row>
    <row r="6687">
      <c r="A6687" s="86">
        <f>IFERROR(__xludf.DUMMYFUNCTION("""COMPUTED_VALUE"""),6685.0)</f>
        <v>6685</v>
      </c>
      <c r="B6687" s="87" t="str">
        <f>IFERROR(__xludf.DUMMYFUNCTION("""COMPUTED_VALUE"""),"ICARE")</f>
        <v>ICARE</v>
      </c>
      <c r="C6687" s="87" t="str">
        <f>IFERROR(__xludf.DUMMYFUNCTION("""COMPUTED_VALUE"""),"NVL00062")</f>
        <v>NVL00062</v>
      </c>
      <c r="D6687" s="87" t="str">
        <f>IFERROR(__xludf.DUMMYFUNCTION("""COMPUTED_VALUE"""),"[NHÃN_C] GC ICARE - CAT - Anti Coro nCoV - Bạc hà- 500ml")</f>
        <v>[NHÃN_C] GC ICARE - CAT - Anti Coro nCoV - Bạc hà- 500ml</v>
      </c>
      <c r="E6687" s="87"/>
      <c r="F6687" s="87"/>
      <c r="G6687" s="87"/>
    </row>
    <row r="6688">
      <c r="A6688" s="86">
        <f>IFERROR(__xludf.DUMMYFUNCTION("""COMPUTED_VALUE"""),6686.0)</f>
        <v>6686</v>
      </c>
      <c r="B6688" s="87" t="str">
        <f>IFERROR(__xludf.DUMMYFUNCTION("""COMPUTED_VALUE"""),"ICARE")</f>
        <v>ICARE</v>
      </c>
      <c r="C6688" s="87" t="str">
        <f>IFERROR(__xludf.DUMMYFUNCTION("""COMPUTED_VALUE"""),"NVL00063")</f>
        <v>NVL00063</v>
      </c>
      <c r="D6688" s="87" t="str">
        <f>IFERROR(__xludf.DUMMYFUNCTION("""COMPUTED_VALUE"""),"[CHAI_DẸP] - ICARE - 100ml (120m)l")</f>
        <v>[CHAI_DẸP] - ICARE - 100ml (120m)l</v>
      </c>
      <c r="E6688" s="87"/>
      <c r="F6688" s="87"/>
      <c r="G6688" s="87"/>
    </row>
    <row r="6689">
      <c r="A6689" s="86">
        <f>IFERROR(__xludf.DUMMYFUNCTION("""COMPUTED_VALUE"""),6687.0)</f>
        <v>6687</v>
      </c>
      <c r="B6689" s="87" t="str">
        <f>IFERROR(__xludf.DUMMYFUNCTION("""COMPUTED_VALUE"""),"ICARE")</f>
        <v>ICARE</v>
      </c>
      <c r="C6689" s="87" t="str">
        <f>IFERROR(__xludf.DUMMYFUNCTION("""COMPUTED_VALUE"""),"NVL00064")</f>
        <v>NVL00064</v>
      </c>
      <c r="D6689" s="87" t="str">
        <f>IFERROR(__xludf.DUMMYFUNCTION("""COMPUTED_VALUE"""),"[NẮP CHAI_D] ICARE 100ml")</f>
        <v>[NẮP CHAI_D] ICARE 100ml</v>
      </c>
      <c r="E6689" s="87"/>
      <c r="F6689" s="87"/>
      <c r="G6689" s="87"/>
    </row>
    <row r="6690">
      <c r="A6690" s="86">
        <f>IFERROR(__xludf.DUMMYFUNCTION("""COMPUTED_VALUE"""),6688.0)</f>
        <v>6688</v>
      </c>
      <c r="B6690" s="87" t="str">
        <f>IFERROR(__xludf.DUMMYFUNCTION("""COMPUTED_VALUE"""),"ICARE")</f>
        <v>ICARE</v>
      </c>
      <c r="C6690" s="87" t="str">
        <f>IFERROR(__xludf.DUMMYFUNCTION("""COMPUTED_VALUE"""),"NVL00065")</f>
        <v>NVL00065</v>
      </c>
      <c r="D6690" s="87" t="str">
        <f>IFERROR(__xludf.DUMMYFUNCTION("""COMPUTED_VALUE"""),"[CHAI_VÒI_NHẤN] ICARE - 500ml")</f>
        <v>[CHAI_VÒI_NHẤN] ICARE - 500ml</v>
      </c>
      <c r="E6690" s="87"/>
      <c r="F6690" s="87"/>
      <c r="G6690" s="87"/>
    </row>
    <row r="6691">
      <c r="A6691" s="86">
        <f>IFERROR(__xludf.DUMMYFUNCTION("""COMPUTED_VALUE"""),6689.0)</f>
        <v>6689</v>
      </c>
      <c r="B6691" s="87" t="str">
        <f>IFERROR(__xludf.DUMMYFUNCTION("""COMPUTED_VALUE"""),"ICARE")</f>
        <v>ICARE</v>
      </c>
      <c r="C6691" s="87" t="str">
        <f>IFERROR(__xludf.DUMMYFUNCTION("""COMPUTED_VALUE"""),"NVL00066")</f>
        <v>NVL00066</v>
      </c>
      <c r="D6691" s="87" t="str">
        <f>IFERROR(__xludf.DUMMYFUNCTION("""COMPUTED_VALUE"""),"[TUÝP NHỰA] ICARE - 50ml")</f>
        <v>[TUÝP NHỰA] ICARE - 50ml</v>
      </c>
      <c r="E6691" s="87"/>
      <c r="F6691" s="87"/>
      <c r="G6691" s="87"/>
    </row>
    <row r="6692">
      <c r="A6692" s="86">
        <f>IFERROR(__xludf.DUMMYFUNCTION("""COMPUTED_VALUE"""),6690.0)</f>
        <v>6690</v>
      </c>
      <c r="B6692" s="87" t="str">
        <f>IFERROR(__xludf.DUMMYFUNCTION("""COMPUTED_VALUE"""),"ICARE")</f>
        <v>ICARE</v>
      </c>
      <c r="C6692" s="87" t="str">
        <f>IFERROR(__xludf.DUMMYFUNCTION("""COMPUTED_VALUE"""),"NVL00067")</f>
        <v>NVL00067</v>
      </c>
      <c r="D6692" s="87" t="str">
        <f>IFERROR(__xludf.DUMMYFUNCTION("""COMPUTED_VALUE"""),"[CHAI_VÒI_NHẤN] ICARE 1L")</f>
        <v>[CHAI_VÒI_NHẤN] ICARE 1L</v>
      </c>
      <c r="E6692" s="87"/>
      <c r="F6692" s="87"/>
      <c r="G6692" s="87"/>
    </row>
    <row r="6693">
      <c r="A6693" s="86">
        <f>IFERROR(__xludf.DUMMYFUNCTION("""COMPUTED_VALUE"""),6691.0)</f>
        <v>6691</v>
      </c>
      <c r="B6693" s="87" t="str">
        <f>IFERROR(__xludf.DUMMYFUNCTION("""COMPUTED_VALUE"""),"ICARE")</f>
        <v>ICARE</v>
      </c>
      <c r="C6693" s="87" t="str">
        <f>IFERROR(__xludf.DUMMYFUNCTION("""COMPUTED_VALUE"""),"NVL00068")</f>
        <v>NVL00068</v>
      </c>
      <c r="D6693" s="87" t="str">
        <f>IFERROR(__xludf.DUMMYFUNCTION("""COMPUTED_VALUE"""),"[CHAI_BỘ CHIẾT (KIT)] ICARE - 30ml")</f>
        <v>[CHAI_BỘ CHIẾT (KIT)] ICARE - 30ml</v>
      </c>
      <c r="E6693" s="87"/>
      <c r="F6693" s="87"/>
      <c r="G6693" s="87"/>
    </row>
    <row r="6694">
      <c r="A6694" s="86">
        <f>IFERROR(__xludf.DUMMYFUNCTION("""COMPUTED_VALUE"""),6692.0)</f>
        <v>6692</v>
      </c>
      <c r="B6694" s="87" t="str">
        <f>IFERROR(__xludf.DUMMYFUNCTION("""COMPUTED_VALUE"""),"ICARE")</f>
        <v>ICARE</v>
      </c>
      <c r="C6694" s="87" t="str">
        <f>IFERROR(__xludf.DUMMYFUNCTION("""COMPUTED_VALUE"""),"NVL00069")</f>
        <v>NVL00069</v>
      </c>
      <c r="D6694" s="87" t="str">
        <f>IFERROR(__xludf.DUMMYFUNCTION("""COMPUTED_VALUE"""),"Tinh dầu táo")</f>
        <v>Tinh dầu táo</v>
      </c>
      <c r="E6694" s="87"/>
      <c r="F6694" s="87"/>
      <c r="G6694" s="87"/>
    </row>
    <row r="6695">
      <c r="A6695" s="86">
        <f>IFERROR(__xludf.DUMMYFUNCTION("""COMPUTED_VALUE"""),6693.0)</f>
        <v>6693</v>
      </c>
      <c r="B6695" s="87" t="str">
        <f>IFERROR(__xludf.DUMMYFUNCTION("""COMPUTED_VALUE"""),"ICARE")</f>
        <v>ICARE</v>
      </c>
      <c r="C6695" s="87" t="str">
        <f>IFERROR(__xludf.DUMMYFUNCTION("""COMPUTED_VALUE"""),"NVL00070")</f>
        <v>NVL00070</v>
      </c>
      <c r="D6695" s="87" t="str">
        <f>IFERROR(__xludf.DUMMYFUNCTION("""COMPUTED_VALUE"""),"Tinh dầu trà xanh")</f>
        <v>Tinh dầu trà xanh</v>
      </c>
      <c r="E6695" s="87"/>
      <c r="F6695" s="87"/>
      <c r="G6695" s="87"/>
    </row>
    <row r="6696">
      <c r="A6696" s="86">
        <f>IFERROR(__xludf.DUMMYFUNCTION("""COMPUTED_VALUE"""),6694.0)</f>
        <v>6694</v>
      </c>
      <c r="B6696" s="87" t="str">
        <f>IFERROR(__xludf.DUMMYFUNCTION("""COMPUTED_VALUE"""),"ICARE")</f>
        <v>ICARE</v>
      </c>
      <c r="C6696" s="87" t="str">
        <f>IFERROR(__xludf.DUMMYFUNCTION("""COMPUTED_VALUE"""),"NVL00071")</f>
        <v>NVL00071</v>
      </c>
      <c r="D6696" s="87" t="str">
        <f>IFERROR(__xludf.DUMMYFUNCTION("""COMPUTED_VALUE"""),"Carbomerx")</f>
        <v>Carbomerx</v>
      </c>
      <c r="E6696" s="87"/>
      <c r="F6696" s="87"/>
      <c r="G6696" s="87"/>
    </row>
    <row r="6697">
      <c r="A6697" s="86">
        <f>IFERROR(__xludf.DUMMYFUNCTION("""COMPUTED_VALUE"""),6695.0)</f>
        <v>6695</v>
      </c>
      <c r="B6697" s="87" t="str">
        <f>IFERROR(__xludf.DUMMYFUNCTION("""COMPUTED_VALUE"""),"ICARE")</f>
        <v>ICARE</v>
      </c>
      <c r="C6697" s="87" t="str">
        <f>IFERROR(__xludf.DUMMYFUNCTION("""COMPUTED_VALUE"""),"NVL00072")</f>
        <v>NVL00072</v>
      </c>
      <c r="D6697" s="87" t="str">
        <f>IFERROR(__xludf.DUMMYFUNCTION("""COMPUTED_VALUE"""),"Tinh dầu kim ngân")</f>
        <v>Tinh dầu kim ngân</v>
      </c>
      <c r="E6697" s="87"/>
      <c r="F6697" s="87"/>
      <c r="G6697" s="87"/>
    </row>
    <row r="6698">
      <c r="A6698" s="86">
        <f>IFERROR(__xludf.DUMMYFUNCTION("""COMPUTED_VALUE"""),6696.0)</f>
        <v>6696</v>
      </c>
      <c r="B6698" s="87" t="str">
        <f>IFERROR(__xludf.DUMMYFUNCTION("""COMPUTED_VALUE"""),"ICARE")</f>
        <v>ICARE</v>
      </c>
      <c r="C6698" s="87" t="str">
        <f>IFERROR(__xludf.DUMMYFUNCTION("""COMPUTED_VALUE"""),"NVL00073")</f>
        <v>NVL00073</v>
      </c>
      <c r="D6698" s="87" t="str">
        <f>IFERROR(__xludf.DUMMYFUNCTION("""COMPUTED_VALUE"""),"Tinh dầu nano Ag+")</f>
        <v>Tinh dầu nano Ag+</v>
      </c>
      <c r="E6698" s="87"/>
      <c r="F6698" s="87"/>
      <c r="G6698" s="87"/>
    </row>
    <row r="6699">
      <c r="A6699" s="86">
        <f>IFERROR(__xludf.DUMMYFUNCTION("""COMPUTED_VALUE"""),6697.0)</f>
        <v>6697</v>
      </c>
      <c r="B6699" s="87" t="str">
        <f>IFERROR(__xludf.DUMMYFUNCTION("""COMPUTED_VALUE"""),"ICARE")</f>
        <v>ICARE</v>
      </c>
      <c r="C6699" s="87" t="str">
        <f>IFERROR(__xludf.DUMMYFUNCTION("""COMPUTED_VALUE"""),"NVL00074")</f>
        <v>NVL00074</v>
      </c>
      <c r="D6699" s="87" t="str">
        <f>IFERROR(__xludf.DUMMYFUNCTION("""COMPUTED_VALUE"""),"GC_ICARE - Nhãn BASEL - XỊT -100ML")</f>
        <v>GC_ICARE - Nhãn BASEL - XỊT -100ML</v>
      </c>
      <c r="E6699" s="87"/>
      <c r="F6699" s="87"/>
      <c r="G6699" s="87"/>
    </row>
    <row r="6700">
      <c r="A6700" s="86">
        <f>IFERROR(__xludf.DUMMYFUNCTION("""COMPUTED_VALUE"""),6698.0)</f>
        <v>6698</v>
      </c>
      <c r="B6700" s="87" t="str">
        <f>IFERROR(__xludf.DUMMYFUNCTION("""COMPUTED_VALUE"""),"ICARE")</f>
        <v>ICARE</v>
      </c>
      <c r="C6700" s="87" t="str">
        <f>IFERROR(__xludf.DUMMYFUNCTION("""COMPUTED_VALUE"""),"NVL00075")</f>
        <v>NVL00075</v>
      </c>
      <c r="D6700" s="87" t="str">
        <f>IFERROR(__xludf.DUMMYFUNCTION("""COMPUTED_VALUE"""),"GC-ICARE Nhãn Basel -bạc hà - 500ml")</f>
        <v>GC-ICARE Nhãn Basel -bạc hà - 500ml</v>
      </c>
      <c r="E6700" s="87"/>
      <c r="F6700" s="87"/>
      <c r="G6700" s="87"/>
    </row>
    <row r="6701">
      <c r="A6701" s="86">
        <f>IFERROR(__xludf.DUMMYFUNCTION("""COMPUTED_VALUE"""),6699.0)</f>
        <v>6699</v>
      </c>
      <c r="B6701" s="87" t="str">
        <f>IFERROR(__xludf.DUMMYFUNCTION("""COMPUTED_VALUE"""),"ICARE")</f>
        <v>ICARE</v>
      </c>
      <c r="C6701" s="87" t="str">
        <f>IFERROR(__xludf.DUMMYFUNCTION("""COMPUTED_VALUE"""),"NVL00076")</f>
        <v>NVL00076</v>
      </c>
      <c r="D6701" s="87" t="str">
        <f>IFERROR(__xludf.DUMMYFUNCTION("""COMPUTED_VALUE"""),"[NHÃN_C] GC ICARE - CAT Anti Coro nCoV - Bạc hà - 100ml")</f>
        <v>[NHÃN_C] GC ICARE - CAT Anti Coro nCoV - Bạc hà - 100ml</v>
      </c>
      <c r="E6701" s="87"/>
      <c r="F6701" s="87"/>
      <c r="G6701" s="87"/>
    </row>
    <row r="6702">
      <c r="A6702" s="86">
        <f>IFERROR(__xludf.DUMMYFUNCTION("""COMPUTED_VALUE"""),6700.0)</f>
        <v>6700</v>
      </c>
      <c r="B6702" s="87" t="str">
        <f>IFERROR(__xludf.DUMMYFUNCTION("""COMPUTED_VALUE"""),"ICARE")</f>
        <v>ICARE</v>
      </c>
      <c r="C6702" s="87" t="str">
        <f>IFERROR(__xludf.DUMMYFUNCTION("""COMPUTED_VALUE"""),"NVL00077")</f>
        <v>NVL00077</v>
      </c>
      <c r="D6702" s="87" t="str">
        <f>IFERROR(__xludf.DUMMYFUNCTION("""COMPUTED_VALUE"""),"[NHÃN_C] GC ICARE - CAT Anti Coro nCoV - Bạc hà - 500ml")</f>
        <v>[NHÃN_C] GC ICARE - CAT Anti Coro nCoV - Bạc hà - 500ml</v>
      </c>
      <c r="E6702" s="87"/>
      <c r="F6702" s="87"/>
      <c r="G6702" s="87"/>
    </row>
    <row r="6703">
      <c r="A6703" s="86">
        <f>IFERROR(__xludf.DUMMYFUNCTION("""COMPUTED_VALUE"""),6701.0)</f>
        <v>6701</v>
      </c>
      <c r="B6703" s="87" t="str">
        <f>IFERROR(__xludf.DUMMYFUNCTION("""COMPUTED_VALUE"""),"ICARE")</f>
        <v>ICARE</v>
      </c>
      <c r="C6703" s="87" t="str">
        <f>IFERROR(__xludf.DUMMYFUNCTION("""COMPUTED_VALUE"""),"NVL00078")</f>
        <v>NVL00078</v>
      </c>
      <c r="D6703" s="87" t="str">
        <f>IFERROR(__xludf.DUMMYFUNCTION("""COMPUTED_VALUE"""),"[NHÃN_C] GC ICARE - CAT Anti Coro nCoV - Chanh trà xanh - 500ml")</f>
        <v>[NHÃN_C] GC ICARE - CAT Anti Coro nCoV - Chanh trà xanh - 500ml</v>
      </c>
      <c r="E6703" s="87"/>
      <c r="F6703" s="87"/>
      <c r="G6703" s="87"/>
    </row>
    <row r="6704">
      <c r="A6704" s="86">
        <f>IFERROR(__xludf.DUMMYFUNCTION("""COMPUTED_VALUE"""),6702.0)</f>
        <v>6702</v>
      </c>
      <c r="B6704" s="87" t="str">
        <f>IFERROR(__xludf.DUMMYFUNCTION("""COMPUTED_VALUE"""),"ICARE")</f>
        <v>ICARE</v>
      </c>
      <c r="C6704" s="87" t="str">
        <f>IFERROR(__xludf.DUMMYFUNCTION("""COMPUTED_VALUE"""),"NVL00079")</f>
        <v>NVL00079</v>
      </c>
      <c r="D6704" s="87" t="str">
        <f>IFERROR(__xludf.DUMMYFUNCTION("""COMPUTED_VALUE"""),"[NHÃN_C] GC ICARE - CAT Anti Coro nCoV - Chanh trà xanh - 100ml")</f>
        <v>[NHÃN_C] GC ICARE - CAT Anti Coro nCoV - Chanh trà xanh - 100ml</v>
      </c>
      <c r="E6704" s="87"/>
      <c r="F6704" s="87"/>
      <c r="G6704" s="87"/>
    </row>
    <row r="6705">
      <c r="A6705" s="86">
        <f>IFERROR(__xludf.DUMMYFUNCTION("""COMPUTED_VALUE"""),6703.0)</f>
        <v>6703</v>
      </c>
      <c r="B6705" s="87" t="str">
        <f>IFERROR(__xludf.DUMMYFUNCTION("""COMPUTED_VALUE"""),"ICARE")</f>
        <v>ICARE</v>
      </c>
      <c r="C6705" s="87" t="str">
        <f>IFERROR(__xludf.DUMMYFUNCTION("""COMPUTED_VALUE"""),"NVL00080")</f>
        <v>NVL00080</v>
      </c>
      <c r="D6705" s="87" t="str">
        <f>IFERROR(__xludf.DUMMYFUNCTION("""COMPUTED_VALUE"""),"[NHÃN_C] GC ICARE - HIDANO OTN Anti Coro nCoV - Nano Ag+ - 500ml")</f>
        <v>[NHÃN_C] GC ICARE - HIDANO OTN Anti Coro nCoV - Nano Ag+ - 500ml</v>
      </c>
      <c r="E6705" s="87"/>
      <c r="F6705" s="87"/>
      <c r="G6705" s="87"/>
    </row>
    <row r="6706">
      <c r="A6706" s="86">
        <f>IFERROR(__xludf.DUMMYFUNCTION("""COMPUTED_VALUE"""),6704.0)</f>
        <v>6704</v>
      </c>
      <c r="B6706" s="87" t="str">
        <f>IFERROR(__xludf.DUMMYFUNCTION("""COMPUTED_VALUE"""),"ICARE")</f>
        <v>ICARE</v>
      </c>
      <c r="C6706" s="87" t="str">
        <f>IFERROR(__xludf.DUMMYFUNCTION("""COMPUTED_VALUE"""),"NVL00081")</f>
        <v>NVL00081</v>
      </c>
      <c r="D6706" s="87" t="str">
        <f>IFERROR(__xludf.DUMMYFUNCTION("""COMPUTED_VALUE"""),"GEL")</f>
        <v>GEL</v>
      </c>
      <c r="E6706" s="87"/>
      <c r="F6706" s="87"/>
      <c r="G6706" s="87"/>
    </row>
    <row r="6707">
      <c r="A6707" s="86">
        <f>IFERROR(__xludf.DUMMYFUNCTION("""COMPUTED_VALUE"""),6705.0)</f>
        <v>6705</v>
      </c>
      <c r="B6707" s="87" t="str">
        <f>IFERROR(__xludf.DUMMYFUNCTION("""COMPUTED_VALUE"""),"ICARE")</f>
        <v>ICARE</v>
      </c>
      <c r="C6707" s="87" t="str">
        <f>IFERROR(__xludf.DUMMYFUNCTION("""COMPUTED_VALUE"""),"NVL00082")</f>
        <v>NVL00082</v>
      </c>
      <c r="D6707" s="87" t="str">
        <f>IFERROR(__xludf.DUMMYFUNCTION("""COMPUTED_VALUE"""),"[VÒI XỊT] _ICARE")</f>
        <v>[VÒI XỊT] _ICARE</v>
      </c>
      <c r="E6707" s="87"/>
      <c r="F6707" s="87"/>
      <c r="G6707" s="87"/>
    </row>
    <row r="6708">
      <c r="A6708" s="86">
        <f>IFERROR(__xludf.DUMMYFUNCTION("""COMPUTED_VALUE"""),6706.0)</f>
        <v>6706</v>
      </c>
      <c r="B6708" s="87" t="str">
        <f>IFERROR(__xludf.DUMMYFUNCTION("""COMPUTED_VALUE"""),"ICARE")</f>
        <v>ICARE</v>
      </c>
      <c r="C6708" s="87" t="str">
        <f>IFERROR(__xludf.DUMMYFUNCTION("""COMPUTED_VALUE"""),"NVL00083")</f>
        <v>NVL00083</v>
      </c>
      <c r="D6708" s="87" t="str">
        <f>IFERROR(__xludf.DUMMYFUNCTION("""COMPUTED_VALUE"""),"GC_ICARE - Nhãn phụ BASEL - XỊT -100ML")</f>
        <v>GC_ICARE - Nhãn phụ BASEL - XỊT -100ML</v>
      </c>
      <c r="E6708" s="87"/>
      <c r="F6708" s="87"/>
      <c r="G6708" s="87"/>
    </row>
    <row r="6709">
      <c r="A6709" s="86">
        <f>IFERROR(__xludf.DUMMYFUNCTION("""COMPUTED_VALUE"""),6707.0)</f>
        <v>6707</v>
      </c>
      <c r="B6709" s="87" t="str">
        <f>IFERROR(__xludf.DUMMYFUNCTION("""COMPUTED_VALUE"""),"ICARE")</f>
        <v>ICARE</v>
      </c>
      <c r="C6709" s="87" t="str">
        <f>IFERROR(__xludf.DUMMYFUNCTION("""COMPUTED_VALUE"""),"NVL00084")</f>
        <v>NVL00084</v>
      </c>
      <c r="D6709" s="87" t="str">
        <f>IFERROR(__xludf.DUMMYFUNCTION("""COMPUTED_VALUE"""),"GC-ICARE Nhãn phụ Basel -bạc hà - 500ml")</f>
        <v>GC-ICARE Nhãn phụ Basel -bạc hà - 500ml</v>
      </c>
      <c r="E6709" s="87"/>
      <c r="F6709" s="87"/>
      <c r="G6709" s="87"/>
    </row>
    <row r="6710">
      <c r="A6710" s="86">
        <f>IFERROR(__xludf.DUMMYFUNCTION("""COMPUTED_VALUE"""),6708.0)</f>
        <v>6708</v>
      </c>
      <c r="B6710" s="87" t="str">
        <f>IFERROR(__xludf.DUMMYFUNCTION("""COMPUTED_VALUE"""),"ICARE")</f>
        <v>ICARE</v>
      </c>
      <c r="C6710" s="87" t="str">
        <f>IFERROR(__xludf.DUMMYFUNCTION("""COMPUTED_VALUE"""),"NVL00085")</f>
        <v>NVL00085</v>
      </c>
      <c r="D6710" s="87" t="str">
        <f>IFERROR(__xludf.DUMMYFUNCTION("""COMPUTED_VALUE"""),"[NHÃN_P ] GC ICARE - HIDANO - OTN Anti Coro nCoV - Nano Ag+ - 500ml")</f>
        <v>[NHÃN_P ] GC ICARE - HIDANO - OTN Anti Coro nCoV - Nano Ag+ - 500ml</v>
      </c>
      <c r="E6710" s="87"/>
      <c r="F6710" s="87"/>
      <c r="G6710" s="87"/>
    </row>
    <row r="6711">
      <c r="A6711" s="86">
        <f>IFERROR(__xludf.DUMMYFUNCTION("""COMPUTED_VALUE"""),6709.0)</f>
        <v>6709</v>
      </c>
      <c r="B6711" s="87" t="str">
        <f>IFERROR(__xludf.DUMMYFUNCTION("""COMPUTED_VALUE"""),"ICARE")</f>
        <v>ICARE</v>
      </c>
      <c r="C6711" s="87" t="str">
        <f>IFERROR(__xludf.DUMMYFUNCTION("""COMPUTED_VALUE"""),"NVL00086")</f>
        <v>NVL00086</v>
      </c>
      <c r="D6711" s="87" t="str">
        <f>IFERROR(__xludf.DUMMYFUNCTION("""COMPUTED_VALUE"""),"[NHÃN_C] GC ICARE - HIDANO -OTN Anti Coro nCoV - Nano Ag+ - 120ml")</f>
        <v>[NHÃN_C] GC ICARE - HIDANO -OTN Anti Coro nCoV - Nano Ag+ - 120ml</v>
      </c>
      <c r="E6711" s="87"/>
      <c r="F6711" s="87"/>
      <c r="G6711" s="87"/>
    </row>
    <row r="6712">
      <c r="A6712" s="86">
        <f>IFERROR(__xludf.DUMMYFUNCTION("""COMPUTED_VALUE"""),6710.0)</f>
        <v>6710</v>
      </c>
      <c r="B6712" s="87" t="str">
        <f>IFERROR(__xludf.DUMMYFUNCTION("""COMPUTED_VALUE"""),"ICARE")</f>
        <v>ICARE</v>
      </c>
      <c r="C6712" s="87" t="str">
        <f>IFERROR(__xludf.DUMMYFUNCTION("""COMPUTED_VALUE"""),"NVL00087")</f>
        <v>NVL00087</v>
      </c>
      <c r="D6712" s="87" t="str">
        <f>IFERROR(__xludf.DUMMYFUNCTION("""COMPUTED_VALUE"""),"[NHÃN_P ] GC ICARE - HIDANO - OTN Anti Coro nCoV - Nano Ag+ - 120ml")</f>
        <v>[NHÃN_P ] GC ICARE - HIDANO - OTN Anti Coro nCoV - Nano Ag+ - 120ml</v>
      </c>
      <c r="E6712" s="87"/>
      <c r="F6712" s="87"/>
      <c r="G6712" s="87"/>
    </row>
    <row r="6713">
      <c r="A6713" s="86">
        <f>IFERROR(__xludf.DUMMYFUNCTION("""COMPUTED_VALUE"""),6711.0)</f>
        <v>6711</v>
      </c>
      <c r="B6713" s="87" t="str">
        <f>IFERROR(__xludf.DUMMYFUNCTION("""COMPUTED_VALUE"""),"ICARE")</f>
        <v>ICARE</v>
      </c>
      <c r="C6713" s="87" t="str">
        <f>IFERROR(__xludf.DUMMYFUNCTION("""COMPUTED_VALUE"""),"NVL00088")</f>
        <v>NVL00088</v>
      </c>
      <c r="D6713" s="87" t="str">
        <f>IFERROR(__xludf.DUMMYFUNCTION("""COMPUTED_VALUE"""),"[NHÃN_C] GC ICARE - A.Diệp Care World - 120ml")</f>
        <v>[NHÃN_C] GC ICARE - A.Diệp Care World - 120ml</v>
      </c>
      <c r="E6713" s="87"/>
      <c r="F6713" s="87"/>
      <c r="G6713" s="87"/>
    </row>
    <row r="6714">
      <c r="A6714" s="86">
        <f>IFERROR(__xludf.DUMMYFUNCTION("""COMPUTED_VALUE"""),6712.0)</f>
        <v>6712</v>
      </c>
      <c r="B6714" s="87" t="str">
        <f>IFERROR(__xludf.DUMMYFUNCTION("""COMPUTED_VALUE"""),"ICARE")</f>
        <v>ICARE</v>
      </c>
      <c r="C6714" s="87" t="str">
        <f>IFERROR(__xludf.DUMMYFUNCTION("""COMPUTED_VALUE"""),"NVL00089")</f>
        <v>NVL00089</v>
      </c>
      <c r="D6714" s="87" t="str">
        <f>IFERROR(__xludf.DUMMYFUNCTION("""COMPUTED_VALUE"""),"[VỎ CHAI] - ICARE - 90ml")</f>
        <v>[VỎ CHAI] - ICARE - 90ml</v>
      </c>
      <c r="E6714" s="87"/>
      <c r="F6714" s="87"/>
      <c r="G6714" s="87"/>
    </row>
    <row r="6715">
      <c r="A6715" s="86">
        <f>IFERROR(__xludf.DUMMYFUNCTION("""COMPUTED_VALUE"""),6713.0)</f>
        <v>6713</v>
      </c>
      <c r="B6715" s="87" t="str">
        <f>IFERROR(__xludf.DUMMYFUNCTION("""COMPUTED_VALUE"""),"ICARE")</f>
        <v>ICARE</v>
      </c>
      <c r="C6715" s="87" t="str">
        <f>IFERROR(__xludf.DUMMYFUNCTION("""COMPUTED_VALUE"""),"NVL00090")</f>
        <v>NVL00090</v>
      </c>
      <c r="D6715" s="87" t="str">
        <f>IFERROR(__xludf.DUMMYFUNCTION("""COMPUTED_VALUE"""),"[NHÃN_C] - ICARE - dẹp 90ml")</f>
        <v>[NHÃN_C] - ICARE - dẹp 90ml</v>
      </c>
      <c r="E6715" s="87"/>
      <c r="F6715" s="87"/>
      <c r="G6715" s="87"/>
    </row>
    <row r="6716">
      <c r="A6716" s="86">
        <f>IFERROR(__xludf.DUMMYFUNCTION("""COMPUTED_VALUE"""),6714.0)</f>
        <v>6714</v>
      </c>
      <c r="B6716" s="87" t="str">
        <f>IFERROR(__xludf.DUMMYFUNCTION("""COMPUTED_VALUE"""),"ICARE")</f>
        <v>ICARE</v>
      </c>
      <c r="C6716" s="87" t="str">
        <f>IFERROR(__xludf.DUMMYFUNCTION("""COMPUTED_VALUE"""),"NVL00091")</f>
        <v>NVL00091</v>
      </c>
      <c r="D6716" s="87" t="str">
        <f>IFERROR(__xludf.DUMMYFUNCTION("""COMPUTED_VALUE"""),"Dung dịch sx dầu gội")</f>
        <v>Dung dịch sx dầu gội</v>
      </c>
      <c r="E6716" s="87"/>
      <c r="F6716" s="87"/>
      <c r="G6716" s="87"/>
    </row>
    <row r="6717">
      <c r="A6717" s="86">
        <f>IFERROR(__xludf.DUMMYFUNCTION("""COMPUTED_VALUE"""),6715.0)</f>
        <v>6715</v>
      </c>
      <c r="B6717" s="87" t="str">
        <f>IFERROR(__xludf.DUMMYFUNCTION("""COMPUTED_VALUE"""),"ICARE")</f>
        <v>ICARE</v>
      </c>
      <c r="C6717" s="87" t="str">
        <f>IFERROR(__xludf.DUMMYFUNCTION("""COMPUTED_VALUE"""),"NVL00092")</f>
        <v>NVL00092</v>
      </c>
      <c r="D6717" s="87" t="str">
        <f>IFERROR(__xludf.DUMMYFUNCTION("""COMPUTED_VALUE"""),"Vòi nhấn đen")</f>
        <v>Vòi nhấn đen</v>
      </c>
      <c r="E6717" s="87"/>
      <c r="F6717" s="87"/>
      <c r="G6717" s="87"/>
    </row>
    <row r="6718">
      <c r="A6718" s="86">
        <f>IFERROR(__xludf.DUMMYFUNCTION("""COMPUTED_VALUE"""),6716.0)</f>
        <v>6716</v>
      </c>
      <c r="B6718" s="87" t="str">
        <f>IFERROR(__xludf.DUMMYFUNCTION("""COMPUTED_VALUE"""),"ICARE")</f>
        <v>ICARE</v>
      </c>
      <c r="C6718" s="87" t="str">
        <f>IFERROR(__xludf.DUMMYFUNCTION("""COMPUTED_VALUE"""),"NVL00093")</f>
        <v>NVL00093</v>
      </c>
      <c r="D6718" s="87" t="str">
        <f>IFERROR(__xludf.DUMMYFUNCTION("""COMPUTED_VALUE"""),"[NHÃN_C] Antisol - 240 ml")</f>
        <v>[NHÃN_C] Antisol - 240 ml</v>
      </c>
      <c r="E6718" s="87"/>
      <c r="F6718" s="87"/>
      <c r="G6718" s="87"/>
    </row>
    <row r="6719">
      <c r="A6719" s="86">
        <f>IFERROR(__xludf.DUMMYFUNCTION("""COMPUTED_VALUE"""),6717.0)</f>
        <v>6717</v>
      </c>
      <c r="B6719" s="87" t="str">
        <f>IFERROR(__xludf.DUMMYFUNCTION("""COMPUTED_VALUE"""),"ICARE")</f>
        <v>ICARE</v>
      </c>
      <c r="C6719" s="87" t="str">
        <f>IFERROR(__xludf.DUMMYFUNCTION("""COMPUTED_VALUE"""),"NVL00094")</f>
        <v>NVL00094</v>
      </c>
      <c r="D6719" s="87" t="str">
        <f>IFERROR(__xludf.DUMMYFUNCTION("""COMPUTED_VALUE"""),"[NHÃN_C] Ezema - 50g")</f>
        <v>[NHÃN_C] Ezema - 50g</v>
      </c>
      <c r="E6719" s="87"/>
      <c r="F6719" s="87"/>
      <c r="G6719" s="87"/>
    </row>
    <row r="6720">
      <c r="A6720" s="86">
        <f>IFERROR(__xludf.DUMMYFUNCTION("""COMPUTED_VALUE"""),6718.0)</f>
        <v>6718</v>
      </c>
      <c r="B6720" s="87" t="str">
        <f>IFERROR(__xludf.DUMMYFUNCTION("""COMPUTED_VALUE"""),"ICARE")</f>
        <v>ICARE</v>
      </c>
      <c r="C6720" s="87" t="str">
        <f>IFERROR(__xludf.DUMMYFUNCTION("""COMPUTED_VALUE"""),"NVL00095")</f>
        <v>NVL00095</v>
      </c>
      <c r="D6720" s="87" t="str">
        <f>IFERROR(__xludf.DUMMYFUNCTION("""COMPUTED_VALUE"""),"[NHÃN_C] Dermato - 240ml")</f>
        <v>[NHÃN_C] Dermato - 240ml</v>
      </c>
      <c r="E6720" s="87"/>
      <c r="F6720" s="87"/>
      <c r="G6720" s="87"/>
    </row>
    <row r="6721">
      <c r="A6721" s="86">
        <f>IFERROR(__xludf.DUMMYFUNCTION("""COMPUTED_VALUE"""),6719.0)</f>
        <v>6719</v>
      </c>
      <c r="B6721" s="87" t="str">
        <f>IFERROR(__xludf.DUMMYFUNCTION("""COMPUTED_VALUE"""),"ICARE")</f>
        <v>ICARE</v>
      </c>
      <c r="C6721" s="87" t="str">
        <f>IFERROR(__xludf.DUMMYFUNCTION("""COMPUTED_VALUE"""),"NVL00096")</f>
        <v>NVL00096</v>
      </c>
      <c r="D6721" s="87" t="str">
        <f>IFERROR(__xludf.DUMMYFUNCTION("""COMPUTED_VALUE"""),"[NHÃN_P] Antisol - 240 ml (tem mã vạch)")</f>
        <v>[NHÃN_P] Antisol - 240 ml (tem mã vạch)</v>
      </c>
      <c r="E6721" s="87"/>
      <c r="F6721" s="87"/>
      <c r="G6721" s="87"/>
    </row>
    <row r="6722">
      <c r="A6722" s="86">
        <f>IFERROR(__xludf.DUMMYFUNCTION("""COMPUTED_VALUE"""),6720.0)</f>
        <v>6720</v>
      </c>
      <c r="B6722" s="87" t="str">
        <f>IFERROR(__xludf.DUMMYFUNCTION("""COMPUTED_VALUE"""),"ICARE")</f>
        <v>ICARE</v>
      </c>
      <c r="C6722" s="87" t="str">
        <f>IFERROR(__xludf.DUMMYFUNCTION("""COMPUTED_VALUE"""),"NVL00097")</f>
        <v>NVL00097</v>
      </c>
      <c r="D6722" s="87" t="str">
        <f>IFERROR(__xludf.DUMMYFUNCTION("""COMPUTED_VALUE"""),"[NHÃN_P] Ezema - 50g (tem mã vạch)")</f>
        <v>[NHÃN_P] Ezema - 50g (tem mã vạch)</v>
      </c>
      <c r="E6722" s="87"/>
      <c r="F6722" s="87"/>
      <c r="G6722" s="87"/>
    </row>
    <row r="6723">
      <c r="A6723" s="86">
        <f>IFERROR(__xludf.DUMMYFUNCTION("""COMPUTED_VALUE"""),6721.0)</f>
        <v>6721</v>
      </c>
      <c r="B6723" s="87" t="str">
        <f>IFERROR(__xludf.DUMMYFUNCTION("""COMPUTED_VALUE"""),"ICARE")</f>
        <v>ICARE</v>
      </c>
      <c r="C6723" s="87" t="str">
        <f>IFERROR(__xludf.DUMMYFUNCTION("""COMPUTED_VALUE"""),"NVL00098")</f>
        <v>NVL00098</v>
      </c>
      <c r="D6723" s="87" t="str">
        <f>IFERROR(__xludf.DUMMYFUNCTION("""COMPUTED_VALUE"""),"[NHÃN_P] Dermato - 240ml (tem mã vạch)")</f>
        <v>[NHÃN_P] Dermato - 240ml (tem mã vạch)</v>
      </c>
      <c r="E6723" s="87"/>
      <c r="F6723" s="87"/>
      <c r="G6723" s="87"/>
    </row>
    <row r="6724">
      <c r="A6724" s="86">
        <f>IFERROR(__xludf.DUMMYFUNCTION("""COMPUTED_VALUE"""),6722.0)</f>
        <v>6722</v>
      </c>
      <c r="B6724" s="87" t="str">
        <f>IFERROR(__xludf.DUMMYFUNCTION("""COMPUTED_VALUE"""),"ICARE")</f>
        <v>ICARE</v>
      </c>
      <c r="C6724" s="87" t="str">
        <f>IFERROR(__xludf.DUMMYFUNCTION("""COMPUTED_VALUE"""),"NVL00099")</f>
        <v>NVL00099</v>
      </c>
      <c r="D6724" s="87" t="str">
        <f>IFERROR(__xludf.DUMMYFUNCTION("""COMPUTED_VALUE"""),"[HỘP] Antisol - 240 ml")</f>
        <v>[HỘP] Antisol - 240 ml</v>
      </c>
      <c r="E6724" s="87"/>
      <c r="F6724" s="87"/>
      <c r="G6724" s="87"/>
    </row>
    <row r="6725">
      <c r="A6725" s="86">
        <f>IFERROR(__xludf.DUMMYFUNCTION("""COMPUTED_VALUE"""),6723.0)</f>
        <v>6723</v>
      </c>
      <c r="B6725" s="87" t="str">
        <f>IFERROR(__xludf.DUMMYFUNCTION("""COMPUTED_VALUE"""),"ICARE")</f>
        <v>ICARE</v>
      </c>
      <c r="C6725" s="87" t="str">
        <f>IFERROR(__xludf.DUMMYFUNCTION("""COMPUTED_VALUE"""),"NVL00100")</f>
        <v>NVL00100</v>
      </c>
      <c r="D6725" s="87" t="str">
        <f>IFERROR(__xludf.DUMMYFUNCTION("""COMPUTED_VALUE"""),"[HỘP] Ezema - 50g")</f>
        <v>[HỘP] Ezema - 50g</v>
      </c>
      <c r="E6725" s="87"/>
      <c r="F6725" s="87"/>
      <c r="G6725" s="87"/>
    </row>
    <row r="6726">
      <c r="A6726" s="86">
        <f>IFERROR(__xludf.DUMMYFUNCTION("""COMPUTED_VALUE"""),6724.0)</f>
        <v>6724</v>
      </c>
      <c r="B6726" s="87" t="str">
        <f>IFERROR(__xludf.DUMMYFUNCTION("""COMPUTED_VALUE"""),"ICARE")</f>
        <v>ICARE</v>
      </c>
      <c r="C6726" s="87" t="str">
        <f>IFERROR(__xludf.DUMMYFUNCTION("""COMPUTED_VALUE"""),"NVL00101")</f>
        <v>NVL00101</v>
      </c>
      <c r="D6726" s="87" t="str">
        <f>IFERROR(__xludf.DUMMYFUNCTION("""COMPUTED_VALUE"""),"[HỘP] Dermato - 240ml")</f>
        <v>[HỘP] Dermato - 240ml</v>
      </c>
      <c r="E6726" s="87"/>
      <c r="F6726" s="87"/>
      <c r="G6726" s="87"/>
    </row>
    <row r="6727">
      <c r="A6727" s="86">
        <f>IFERROR(__xludf.DUMMYFUNCTION("""COMPUTED_VALUE"""),6725.0)</f>
        <v>6725</v>
      </c>
      <c r="B6727" s="87" t="str">
        <f>IFERROR(__xludf.DUMMYFUNCTION("""COMPUTED_VALUE"""),"ICARE")</f>
        <v>ICARE</v>
      </c>
      <c r="C6727" s="87" t="str">
        <f>IFERROR(__xludf.DUMMYFUNCTION("""COMPUTED_VALUE"""),"NVL00102")</f>
        <v>NVL00102</v>
      </c>
      <c r="D6727" s="87" t="str">
        <f>IFERROR(__xludf.DUMMYFUNCTION("""COMPUTED_VALUE"""),"[VỎ_CHAI] - ICARE - 240ml")</f>
        <v>[VỎ_CHAI] - ICARE - 240ml</v>
      </c>
      <c r="E6727" s="87"/>
      <c r="F6727" s="87"/>
      <c r="G6727" s="87"/>
    </row>
    <row r="6728">
      <c r="A6728" s="86">
        <f>IFERROR(__xludf.DUMMYFUNCTION("""COMPUTED_VALUE"""),6726.0)</f>
        <v>6726</v>
      </c>
      <c r="B6728" s="87" t="str">
        <f>IFERROR(__xludf.DUMMYFUNCTION("""COMPUTED_VALUE"""),"ICARE")</f>
        <v>ICARE</v>
      </c>
      <c r="C6728" s="87" t="str">
        <f>IFERROR(__xludf.DUMMYFUNCTION("""COMPUTED_VALUE"""),"NVL00103")</f>
        <v>NVL00103</v>
      </c>
      <c r="D6728" s="87" t="str">
        <f>IFERROR(__xludf.DUMMYFUNCTION("""COMPUTED_VALUE"""),"Selenium sulfide")</f>
        <v>Selenium sulfide</v>
      </c>
      <c r="E6728" s="87"/>
      <c r="F6728" s="87"/>
      <c r="G6728" s="87"/>
    </row>
    <row r="6729">
      <c r="A6729" s="86">
        <f>IFERROR(__xludf.DUMMYFUNCTION("""COMPUTED_VALUE"""),6727.0)</f>
        <v>6727</v>
      </c>
      <c r="B6729" s="87" t="str">
        <f>IFERROR(__xludf.DUMMYFUNCTION("""COMPUTED_VALUE"""),"ICARE")</f>
        <v>ICARE</v>
      </c>
      <c r="C6729" s="87" t="str">
        <f>IFERROR(__xludf.DUMMYFUNCTION("""COMPUTED_VALUE"""),"NVL00104")</f>
        <v>NVL00104</v>
      </c>
      <c r="D6729" s="87" t="str">
        <f>IFERROR(__xludf.DUMMYFUNCTION("""COMPUTED_VALUE"""),"Climbazole")</f>
        <v>Climbazole</v>
      </c>
      <c r="E6729" s="87"/>
      <c r="F6729" s="87"/>
      <c r="G6729" s="87"/>
    </row>
    <row r="6730">
      <c r="A6730" s="86">
        <f>IFERROR(__xludf.DUMMYFUNCTION("""COMPUTED_VALUE"""),6728.0)</f>
        <v>6728</v>
      </c>
      <c r="B6730" s="87" t="str">
        <f>IFERROR(__xludf.DUMMYFUNCTION("""COMPUTED_VALUE"""),"ICARE")</f>
        <v>ICARE</v>
      </c>
      <c r="C6730" s="87" t="str">
        <f>IFERROR(__xludf.DUMMYFUNCTION("""COMPUTED_VALUE"""),"NVL00105")</f>
        <v>NVL00105</v>
      </c>
      <c r="D6730" s="87" t="str">
        <f>IFERROR(__xludf.DUMMYFUNCTION("""COMPUTED_VALUE"""),"Lọ ezema - 50g")</f>
        <v>Lọ ezema - 50g</v>
      </c>
      <c r="E6730" s="87"/>
      <c r="F6730" s="87"/>
      <c r="G6730" s="87"/>
    </row>
    <row r="6731">
      <c r="A6731" s="86">
        <f>IFERROR(__xludf.DUMMYFUNCTION("""COMPUTED_VALUE"""),6729.0)</f>
        <v>6729</v>
      </c>
      <c r="B6731" s="87" t="str">
        <f>IFERROR(__xludf.DUMMYFUNCTION("""COMPUTED_VALUE"""),"ICARE")</f>
        <v>ICARE</v>
      </c>
      <c r="C6731" s="87" t="str">
        <f>IFERROR(__xludf.DUMMYFUNCTION("""COMPUTED_VALUE"""),"NVL00106")</f>
        <v>NVL00106</v>
      </c>
      <c r="D6731" s="87" t="str">
        <f>IFERROR(__xludf.DUMMYFUNCTION("""COMPUTED_VALUE"""),"Dung dịch ezema")</f>
        <v>Dung dịch ezema</v>
      </c>
      <c r="E6731" s="87"/>
      <c r="F6731" s="87"/>
      <c r="G6731" s="87"/>
    </row>
    <row r="6732">
      <c r="A6732" s="86">
        <f>IFERROR(__xludf.DUMMYFUNCTION("""COMPUTED_VALUE"""),6730.0)</f>
        <v>6730</v>
      </c>
      <c r="B6732" s="87" t="str">
        <f>IFERROR(__xludf.DUMMYFUNCTION("""COMPUTED_VALUE"""),"ICARE")</f>
        <v>ICARE</v>
      </c>
      <c r="C6732" s="87" t="str">
        <f>IFERROR(__xludf.DUMMYFUNCTION("""COMPUTED_VALUE"""),"NVL00107")</f>
        <v>NVL00107</v>
      </c>
      <c r="D6732" s="87" t="str">
        <f>IFERROR(__xludf.DUMMYFUNCTION("""COMPUTED_VALUE"""),"Dung dịch dermato")</f>
        <v>Dung dịch dermato</v>
      </c>
      <c r="E6732" s="87"/>
      <c r="F6732" s="87"/>
      <c r="G6732" s="87"/>
    </row>
    <row r="6733">
      <c r="A6733" s="86">
        <f>IFERROR(__xludf.DUMMYFUNCTION("""COMPUTED_VALUE"""),6731.0)</f>
        <v>6731</v>
      </c>
      <c r="B6733" s="87" t="str">
        <f>IFERROR(__xludf.DUMMYFUNCTION("""COMPUTED_VALUE"""),"ICARE")</f>
        <v>ICARE</v>
      </c>
      <c r="C6733" s="87" t="str">
        <f>IFERROR(__xludf.DUMMYFUNCTION("""COMPUTED_VALUE"""),"NVL00108")</f>
        <v>NVL00108</v>
      </c>
      <c r="D6733" s="87" t="str">
        <f>IFERROR(__xludf.DUMMYFUNCTION("""COMPUTED_VALUE"""),"[HDSD] Antisol - 240 ml")</f>
        <v>[HDSD] Antisol - 240 ml</v>
      </c>
      <c r="E6733" s="87"/>
      <c r="F6733" s="87"/>
      <c r="G6733" s="87"/>
    </row>
    <row r="6734">
      <c r="A6734" s="86">
        <f>IFERROR(__xludf.DUMMYFUNCTION("""COMPUTED_VALUE"""),6732.0)</f>
        <v>6732</v>
      </c>
      <c r="B6734" s="87" t="str">
        <f>IFERROR(__xludf.DUMMYFUNCTION("""COMPUTED_VALUE"""),"ICARE")</f>
        <v>ICARE</v>
      </c>
      <c r="C6734" s="87" t="str">
        <f>IFERROR(__xludf.DUMMYFUNCTION("""COMPUTED_VALUE"""),"NVL00109")</f>
        <v>NVL00109</v>
      </c>
      <c r="D6734" s="87" t="str">
        <f>IFERROR(__xludf.DUMMYFUNCTION("""COMPUTED_VALUE"""),"[NẮP] bạc (dermato)")</f>
        <v>[NẮP] bạc (dermato)</v>
      </c>
      <c r="E6734" s="87"/>
      <c r="F6734" s="87"/>
      <c r="G6734" s="87"/>
    </row>
    <row r="6735">
      <c r="A6735" s="86">
        <f>IFERROR(__xludf.DUMMYFUNCTION("""COMPUTED_VALUE"""),6733.0)</f>
        <v>6733</v>
      </c>
      <c r="B6735" s="87" t="str">
        <f>IFERROR(__xludf.DUMMYFUNCTION("""COMPUTED_VALUE"""),"ICARE")</f>
        <v>ICARE</v>
      </c>
      <c r="C6735" s="87" t="str">
        <f>IFERROR(__xludf.DUMMYFUNCTION("""COMPUTED_VALUE"""),"NVL00110")</f>
        <v>NVL00110</v>
      </c>
      <c r="D6735" s="87" t="str">
        <f>IFERROR(__xludf.DUMMYFUNCTION("""COMPUTED_VALUE"""),"[HDSD] Ezema - 50g")</f>
        <v>[HDSD] Ezema - 50g</v>
      </c>
      <c r="E6735" s="87"/>
      <c r="F6735" s="87"/>
      <c r="G6735" s="87"/>
    </row>
    <row r="6736">
      <c r="A6736" s="86">
        <f>IFERROR(__xludf.DUMMYFUNCTION("""COMPUTED_VALUE"""),6734.0)</f>
        <v>6734</v>
      </c>
      <c r="B6736" s="87" t="str">
        <f>IFERROR(__xludf.DUMMYFUNCTION("""COMPUTED_VALUE"""),"ICARE")</f>
        <v>ICARE</v>
      </c>
      <c r="C6736" s="87" t="str">
        <f>IFERROR(__xludf.DUMMYFUNCTION("""COMPUTED_VALUE"""),"NVL00111")</f>
        <v>NVL00111</v>
      </c>
      <c r="D6736" s="87" t="str">
        <f>IFERROR(__xludf.DUMMYFUNCTION("""COMPUTED_VALUE"""),"[HDSD] Dermato - 240ml")</f>
        <v>[HDSD] Dermato - 240ml</v>
      </c>
      <c r="E6736" s="87"/>
      <c r="F6736" s="87"/>
      <c r="G6736" s="87"/>
    </row>
    <row r="6737">
      <c r="A6737" s="86">
        <f>IFERROR(__xludf.DUMMYFUNCTION("""COMPUTED_VALUE"""),6735.0)</f>
        <v>6735</v>
      </c>
      <c r="B6737" s="87" t="str">
        <f>IFERROR(__xludf.DUMMYFUNCTION("""COMPUTED_VALUE"""),"ICARE")</f>
        <v>ICARE</v>
      </c>
      <c r="C6737" s="87" t="str">
        <f>IFERROR(__xludf.DUMMYFUNCTION("""COMPUTED_VALUE"""),"NVL00112")</f>
        <v>NVL00112</v>
      </c>
      <c r="D6737" s="87" t="str">
        <f>IFERROR(__xludf.DUMMYFUNCTION("""COMPUTED_VALUE"""),"Tinh dầu khuynh diệp")</f>
        <v>Tinh dầu khuynh diệp</v>
      </c>
      <c r="E6737" s="87"/>
      <c r="F6737" s="87"/>
      <c r="G6737" s="87"/>
    </row>
    <row r="6738">
      <c r="A6738" s="86">
        <f>IFERROR(__xludf.DUMMYFUNCTION("""COMPUTED_VALUE"""),6736.0)</f>
        <v>6736</v>
      </c>
      <c r="B6738" s="87" t="str">
        <f>IFERROR(__xludf.DUMMYFUNCTION("""COMPUTED_VALUE"""),"ICARE")</f>
        <v>ICARE</v>
      </c>
      <c r="C6738" s="87" t="str">
        <f>IFERROR(__xludf.DUMMYFUNCTION("""COMPUTED_VALUE"""),"NVL00113")</f>
        <v>NVL00113</v>
      </c>
      <c r="D6738" s="87" t="str">
        <f>IFERROR(__xludf.DUMMYFUNCTION("""COMPUTED_VALUE"""),"Tinh dầu Gừng")</f>
        <v>Tinh dầu Gừng</v>
      </c>
      <c r="E6738" s="87"/>
      <c r="F6738" s="87"/>
      <c r="G6738" s="87"/>
    </row>
    <row r="6739">
      <c r="A6739" s="86">
        <f>IFERROR(__xludf.DUMMYFUNCTION("""COMPUTED_VALUE"""),6737.0)</f>
        <v>6737</v>
      </c>
      <c r="B6739" s="87" t="str">
        <f>IFERROR(__xludf.DUMMYFUNCTION("""COMPUTED_VALUE"""),"ICARE")</f>
        <v>ICARE</v>
      </c>
      <c r="C6739" s="87" t="str">
        <f>IFERROR(__xludf.DUMMYFUNCTION("""COMPUTED_VALUE"""),"NVL00114")</f>
        <v>NVL00114</v>
      </c>
      <c r="D6739" s="87" t="str">
        <f>IFERROR(__xludf.DUMMYFUNCTION("""COMPUTED_VALUE"""),"Tinh dầu Nghệ")</f>
        <v>Tinh dầu Nghệ</v>
      </c>
      <c r="E6739" s="87"/>
      <c r="F6739" s="87"/>
      <c r="G6739" s="87"/>
    </row>
    <row r="6740">
      <c r="A6740" s="86">
        <f>IFERROR(__xludf.DUMMYFUNCTION("""COMPUTED_VALUE"""),6738.0)</f>
        <v>6738</v>
      </c>
      <c r="B6740" s="87" t="str">
        <f>IFERROR(__xludf.DUMMYFUNCTION("""COMPUTED_VALUE"""),"ICARE")</f>
        <v>ICARE</v>
      </c>
      <c r="C6740" s="87" t="str">
        <f>IFERROR(__xludf.DUMMYFUNCTION("""COMPUTED_VALUE"""),"NVL00115")</f>
        <v>NVL00115</v>
      </c>
      <c r="D6740" s="87" t="str">
        <f>IFERROR(__xludf.DUMMYFUNCTION("""COMPUTED_VALUE"""),"Tinh Dầu Hương Thảo")</f>
        <v>Tinh Dầu Hương Thảo</v>
      </c>
      <c r="E6740" s="87"/>
      <c r="F6740" s="87"/>
      <c r="G6740" s="87"/>
    </row>
    <row r="6741">
      <c r="A6741" s="86">
        <f>IFERROR(__xludf.DUMMYFUNCTION("""COMPUTED_VALUE"""),6739.0)</f>
        <v>6739</v>
      </c>
      <c r="B6741" s="87" t="str">
        <f>IFERROR(__xludf.DUMMYFUNCTION("""COMPUTED_VALUE"""),"ICARE")</f>
        <v>ICARE</v>
      </c>
      <c r="C6741" s="87" t="str">
        <f>IFERROR(__xludf.DUMMYFUNCTION("""COMPUTED_VALUE"""),"NVL00116")</f>
        <v>NVL00116</v>
      </c>
      <c r="D6741" s="87" t="str">
        <f>IFERROR(__xludf.DUMMYFUNCTION("""COMPUTED_VALUE"""),"Tinh Dầu Oải Hương")</f>
        <v>Tinh Dầu Oải Hương</v>
      </c>
      <c r="E6741" s="87"/>
      <c r="F6741" s="87"/>
      <c r="G6741" s="87"/>
    </row>
    <row r="6742">
      <c r="A6742" s="86">
        <f>IFERROR(__xludf.DUMMYFUNCTION("""COMPUTED_VALUE"""),6740.0)</f>
        <v>6740</v>
      </c>
      <c r="B6742" s="87" t="str">
        <f>IFERROR(__xludf.DUMMYFUNCTION("""COMPUTED_VALUE"""),"ICARE")</f>
        <v>ICARE</v>
      </c>
      <c r="C6742" s="87" t="str">
        <f>IFERROR(__xludf.DUMMYFUNCTION("""COMPUTED_VALUE"""),"NVL00117")</f>
        <v>NVL00117</v>
      </c>
      <c r="D6742" s="87" t="str">
        <f>IFERROR(__xludf.DUMMYFUNCTION("""COMPUTED_VALUE"""),"Tinh Dầu Lá Nguyệt Quế")</f>
        <v>Tinh Dầu Lá Nguyệt Quế</v>
      </c>
      <c r="E6742" s="87"/>
      <c r="F6742" s="87"/>
      <c r="G6742" s="87"/>
    </row>
    <row r="6743">
      <c r="A6743" s="86">
        <f>IFERROR(__xludf.DUMMYFUNCTION("""COMPUTED_VALUE"""),6741.0)</f>
        <v>6741</v>
      </c>
      <c r="B6743" s="87" t="str">
        <f>IFERROR(__xludf.DUMMYFUNCTION("""COMPUTED_VALUE"""),"ICARE")</f>
        <v>ICARE</v>
      </c>
      <c r="C6743" s="87" t="str">
        <f>IFERROR(__xludf.DUMMYFUNCTION("""COMPUTED_VALUE"""),"NVL00118")</f>
        <v>NVL00118</v>
      </c>
      <c r="D6743" s="87" t="str">
        <f>IFERROR(__xludf.DUMMYFUNCTION("""COMPUTED_VALUE"""),"Tinh Dầu Tràm Trà")</f>
        <v>Tinh Dầu Tràm Trà</v>
      </c>
      <c r="E6743" s="87"/>
      <c r="F6743" s="87"/>
      <c r="G6743" s="87"/>
    </row>
    <row r="6744">
      <c r="A6744" s="86">
        <f>IFERROR(__xludf.DUMMYFUNCTION("""COMPUTED_VALUE"""),6742.0)</f>
        <v>6742</v>
      </c>
      <c r="B6744" s="87" t="str">
        <f>IFERROR(__xludf.DUMMYFUNCTION("""COMPUTED_VALUE"""),"ICARE")</f>
        <v>ICARE</v>
      </c>
      <c r="C6744" s="87" t="str">
        <f>IFERROR(__xludf.DUMMYFUNCTION("""COMPUTED_VALUE"""),"NVL00119")</f>
        <v>NVL00119</v>
      </c>
      <c r="D6744" s="87" t="str">
        <f>IFERROR(__xludf.DUMMYFUNCTION("""COMPUTED_VALUE"""),"Tinh Dầu Hạt Neem")</f>
        <v>Tinh Dầu Hạt Neem</v>
      </c>
      <c r="E6744" s="87"/>
      <c r="F6744" s="87"/>
      <c r="G6744" s="87"/>
    </row>
    <row r="6745">
      <c r="A6745" s="86">
        <f>IFERROR(__xludf.DUMMYFUNCTION("""COMPUTED_VALUE"""),6743.0)</f>
        <v>6743</v>
      </c>
      <c r="B6745" s="87" t="str">
        <f>IFERROR(__xludf.DUMMYFUNCTION("""COMPUTED_VALUE"""),"ICARE")</f>
        <v>ICARE</v>
      </c>
      <c r="C6745" s="87" t="str">
        <f>IFERROR(__xludf.DUMMYFUNCTION("""COMPUTED_VALUE"""),"NVL00120")</f>
        <v>NVL00120</v>
      </c>
      <c r="D6745" s="87" t="str">
        <f>IFERROR(__xludf.DUMMYFUNCTION("""COMPUTED_VALUE"""),"Dầu dừa")</f>
        <v>Dầu dừa</v>
      </c>
      <c r="E6745" s="87"/>
      <c r="F6745" s="87"/>
      <c r="G6745" s="87"/>
    </row>
    <row r="6746">
      <c r="A6746" s="86">
        <f>IFERROR(__xludf.DUMMYFUNCTION("""COMPUTED_VALUE"""),6744.0)</f>
        <v>6744</v>
      </c>
      <c r="B6746" s="87" t="str">
        <f>IFERROR(__xludf.DUMMYFUNCTION("""COMPUTED_VALUE"""),"ICARE")</f>
        <v>ICARE</v>
      </c>
      <c r="C6746" s="87" t="str">
        <f>IFERROR(__xludf.DUMMYFUNCTION("""COMPUTED_VALUE"""),"NVL00121")</f>
        <v>NVL00121</v>
      </c>
      <c r="D6746" s="87" t="str">
        <f>IFERROR(__xludf.DUMMYFUNCTION("""COMPUTED_VALUE"""),"Tinh dầu trà trắng")</f>
        <v>Tinh dầu trà trắng</v>
      </c>
      <c r="E6746" s="87"/>
      <c r="F6746" s="87"/>
      <c r="G6746" s="87"/>
    </row>
    <row r="6747">
      <c r="A6747" s="86">
        <f>IFERROR(__xludf.DUMMYFUNCTION("""COMPUTED_VALUE"""),6745.0)</f>
        <v>6745</v>
      </c>
      <c r="B6747" s="87" t="str">
        <f>IFERROR(__xludf.DUMMYFUNCTION("""COMPUTED_VALUE"""),"ICARE")</f>
        <v>ICARE</v>
      </c>
      <c r="C6747" s="87" t="str">
        <f>IFERROR(__xludf.DUMMYFUNCTION("""COMPUTED_VALUE"""),"NVL00122")</f>
        <v>NVL00122</v>
      </c>
      <c r="D6747" s="87" t="str">
        <f>IFERROR(__xludf.DUMMYFUNCTION("""COMPUTED_VALUE"""),"Nút chặn màu trong Dermato")</f>
        <v>Nút chặn màu trong Dermato</v>
      </c>
      <c r="E6747" s="87"/>
      <c r="F6747" s="87"/>
      <c r="G6747" s="87"/>
    </row>
    <row r="6748">
      <c r="A6748" s="86">
        <f>IFERROR(__xludf.DUMMYFUNCTION("""COMPUTED_VALUE"""),6746.0)</f>
        <v>6746</v>
      </c>
      <c r="B6748" s="87" t="str">
        <f>IFERROR(__xludf.DUMMYFUNCTION("""COMPUTED_VALUE"""),"ICARE")</f>
        <v>ICARE</v>
      </c>
      <c r="C6748" s="87" t="str">
        <f>IFERROR(__xludf.DUMMYFUNCTION("""COMPUTED_VALUE"""),"NVL00123")</f>
        <v>NVL00123</v>
      </c>
      <c r="D6748" s="87" t="str">
        <f>IFERROR(__xludf.DUMMYFUNCTION("""COMPUTED_VALUE"""),"[VỎ_CHAI] - ICARE - 240ml (loại đợt đầu)")</f>
        <v>[VỎ_CHAI] - ICARE - 240ml (loại đợt đầu)</v>
      </c>
      <c r="E6748" s="87"/>
      <c r="F6748" s="87"/>
      <c r="G6748" s="87"/>
    </row>
    <row r="6749">
      <c r="A6749" s="86">
        <f>IFERROR(__xludf.DUMMYFUNCTION("""COMPUTED_VALUE"""),6747.0)</f>
        <v>6747</v>
      </c>
      <c r="B6749" s="87" t="str">
        <f>IFERROR(__xludf.DUMMYFUNCTION("""COMPUTED_VALUE"""),"ICARE")</f>
        <v>ICARE</v>
      </c>
      <c r="C6749" s="87" t="str">
        <f>IFERROR(__xludf.DUMMYFUNCTION("""COMPUTED_VALUE"""),"NVL00124")</f>
        <v>NVL00124</v>
      </c>
      <c r="D6749" s="87" t="str">
        <f>IFERROR(__xludf.DUMMYFUNCTION("""COMPUTED_VALUE"""),"Lọ ezema - 50g (không nắp)")</f>
        <v>Lọ ezema - 50g (không nắp)</v>
      </c>
      <c r="E6749" s="87"/>
      <c r="F6749" s="87"/>
      <c r="G6749" s="87"/>
    </row>
    <row r="6750">
      <c r="A6750" s="86">
        <f>IFERROR(__xludf.DUMMYFUNCTION("""COMPUTED_VALUE"""),6748.0)</f>
        <v>6748</v>
      </c>
      <c r="B6750" s="87" t="str">
        <f>IFERROR(__xludf.DUMMYFUNCTION("""COMPUTED_VALUE"""),"ICARE")</f>
        <v>ICARE</v>
      </c>
      <c r="C6750" s="87" t="str">
        <f>IFERROR(__xludf.DUMMYFUNCTION("""COMPUTED_VALUE"""),"NVL00125")</f>
        <v>NVL00125</v>
      </c>
      <c r="D6750" s="87" t="str">
        <f>IFERROR(__xludf.DUMMYFUNCTION("""COMPUTED_VALUE"""),"Sodium lauryl sulfate (Bọt Natrilaurylsulfate)")</f>
        <v>Sodium lauryl sulfate (Bọt Natrilaurylsulfate)</v>
      </c>
      <c r="E6750" s="87"/>
      <c r="F6750" s="87"/>
      <c r="G6750" s="87"/>
    </row>
    <row r="6751">
      <c r="A6751" s="86">
        <f>IFERROR(__xludf.DUMMYFUNCTION("""COMPUTED_VALUE"""),6749.0)</f>
        <v>6749</v>
      </c>
      <c r="B6751" s="87" t="str">
        <f>IFERROR(__xludf.DUMMYFUNCTION("""COMPUTED_VALUE"""),"ICARE")</f>
        <v>ICARE</v>
      </c>
      <c r="C6751" s="87" t="str">
        <f>IFERROR(__xludf.DUMMYFUNCTION("""COMPUTED_VALUE"""),"NVL00126")</f>
        <v>NVL00126</v>
      </c>
      <c r="D6751" s="87" t="str">
        <f>IFERROR(__xludf.DUMMYFUNCTION("""COMPUTED_VALUE"""),"Natri Benzoat")</f>
        <v>Natri Benzoat</v>
      </c>
      <c r="E6751" s="87"/>
      <c r="F6751" s="87"/>
      <c r="G6751" s="87"/>
    </row>
    <row r="6752">
      <c r="A6752" s="86">
        <f>IFERROR(__xludf.DUMMYFUNCTION("""COMPUTED_VALUE"""),6750.0)</f>
        <v>6750</v>
      </c>
      <c r="B6752" s="87" t="str">
        <f>IFERROR(__xludf.DUMMYFUNCTION("""COMPUTED_VALUE"""),"ICARE")</f>
        <v>ICARE</v>
      </c>
      <c r="C6752" s="87" t="str">
        <f>IFERROR(__xludf.DUMMYFUNCTION("""COMPUTED_VALUE"""),"NVL00127")</f>
        <v>NVL00127</v>
      </c>
      <c r="D6752" s="87" t="str">
        <f>IFERROR(__xludf.DUMMYFUNCTION("""COMPUTED_VALUE"""),"DMDM hydantoin")</f>
        <v>DMDM hydantoin</v>
      </c>
      <c r="E6752" s="87"/>
      <c r="F6752" s="87"/>
      <c r="G6752" s="87"/>
    </row>
    <row r="6753">
      <c r="A6753" s="86">
        <f>IFERROR(__xludf.DUMMYFUNCTION("""COMPUTED_VALUE"""),6751.0)</f>
        <v>6751</v>
      </c>
      <c r="B6753" s="87" t="str">
        <f>IFERROR(__xludf.DUMMYFUNCTION("""COMPUTED_VALUE"""),"ICARE")</f>
        <v>ICARE</v>
      </c>
      <c r="C6753" s="87" t="str">
        <f>IFERROR(__xludf.DUMMYFUNCTION("""COMPUTED_VALUE"""),"NVL00128")</f>
        <v>NVL00128</v>
      </c>
      <c r="D6753" s="87" t="str">
        <f>IFERROR(__xludf.DUMMYFUNCTION("""COMPUTED_VALUE"""),"Phenoxyethanol")</f>
        <v>Phenoxyethanol</v>
      </c>
      <c r="E6753" s="87"/>
      <c r="F6753" s="87"/>
      <c r="G6753" s="87"/>
    </row>
    <row r="6754">
      <c r="A6754" s="86">
        <f>IFERROR(__xludf.DUMMYFUNCTION("""COMPUTED_VALUE"""),6752.0)</f>
        <v>6752</v>
      </c>
      <c r="B6754" s="87" t="str">
        <f>IFERROR(__xludf.DUMMYFUNCTION("""COMPUTED_VALUE"""),"ICARE")</f>
        <v>ICARE</v>
      </c>
      <c r="C6754" s="87" t="str">
        <f>IFERROR(__xludf.DUMMYFUNCTION("""COMPUTED_VALUE"""),"NVL00129")</f>
        <v>NVL00129</v>
      </c>
      <c r="D6754" s="87" t="str">
        <f>IFERROR(__xludf.DUMMYFUNCTION("""COMPUTED_VALUE"""),"Cocamidopropyl betaine (viết tắt: CAB)")</f>
        <v>Cocamidopropyl betaine (viết tắt: CAB)</v>
      </c>
      <c r="E6754" s="87"/>
      <c r="F6754" s="87"/>
      <c r="G6754" s="87"/>
    </row>
    <row r="6755">
      <c r="A6755" s="86">
        <f>IFERROR(__xludf.DUMMYFUNCTION("""COMPUTED_VALUE"""),6753.0)</f>
        <v>6753</v>
      </c>
      <c r="B6755" s="87" t="str">
        <f>IFERROR(__xludf.DUMMYFUNCTION("""COMPUTED_VALUE"""),"ICARE")</f>
        <v>ICARE</v>
      </c>
      <c r="C6755" s="87" t="str">
        <f>IFERROR(__xludf.DUMMYFUNCTION("""COMPUTED_VALUE"""),"NVL00130")</f>
        <v>NVL00130</v>
      </c>
      <c r="D6755" s="87" t="str">
        <f>IFERROR(__xludf.DUMMYFUNCTION("""COMPUTED_VALUE"""),"Hydroxy Ethyl Cellulose (viết tắt: Hec)")</f>
        <v>Hydroxy Ethyl Cellulose (viết tắt: Hec)</v>
      </c>
      <c r="E6755" s="87"/>
      <c r="F6755" s="87"/>
      <c r="G6755" s="87"/>
    </row>
    <row r="6756">
      <c r="A6756" s="86">
        <f>IFERROR(__xludf.DUMMYFUNCTION("""COMPUTED_VALUE"""),6754.0)</f>
        <v>6754</v>
      </c>
      <c r="B6756" s="87" t="str">
        <f>IFERROR(__xludf.DUMMYFUNCTION("""COMPUTED_VALUE"""),"ICARE")</f>
        <v>ICARE</v>
      </c>
      <c r="C6756" s="87" t="str">
        <f>IFERROR(__xludf.DUMMYFUNCTION("""COMPUTED_VALUE"""),"NVL00131")</f>
        <v>NVL00131</v>
      </c>
      <c r="D6756" s="87" t="str">
        <f>IFERROR(__xludf.DUMMYFUNCTION("""COMPUTED_VALUE"""),"Xanthan gum")</f>
        <v>Xanthan gum</v>
      </c>
      <c r="E6756" s="87"/>
      <c r="F6756" s="87"/>
      <c r="G6756" s="87"/>
    </row>
    <row r="6757">
      <c r="A6757" s="86">
        <f>IFERROR(__xludf.DUMMYFUNCTION("""COMPUTED_VALUE"""),6755.0)</f>
        <v>6755</v>
      </c>
      <c r="B6757" s="87" t="str">
        <f>IFERROR(__xludf.DUMMYFUNCTION("""COMPUTED_VALUE"""),"ICARE")</f>
        <v>ICARE</v>
      </c>
      <c r="C6757" s="87" t="str">
        <f>IFERROR(__xludf.DUMMYFUNCTION("""COMPUTED_VALUE"""),"NVL00132")</f>
        <v>NVL00132</v>
      </c>
      <c r="D6757" s="87" t="str">
        <f>IFERROR(__xludf.DUMMYFUNCTION("""COMPUTED_VALUE"""),"Amonium Chlorua (NH4CL)")</f>
        <v>Amonium Chlorua (NH4CL)</v>
      </c>
      <c r="E6757" s="87"/>
      <c r="F6757" s="87"/>
      <c r="G6757" s="87"/>
    </row>
    <row r="6758">
      <c r="A6758" s="86">
        <f>IFERROR(__xludf.DUMMYFUNCTION("""COMPUTED_VALUE"""),6756.0)</f>
        <v>6756</v>
      </c>
      <c r="B6758" s="87" t="str">
        <f>IFERROR(__xludf.DUMMYFUNCTION("""COMPUTED_VALUE"""),"ICARE")</f>
        <v>ICARE</v>
      </c>
      <c r="C6758" s="87" t="str">
        <f>IFERROR(__xludf.DUMMYFUNCTION("""COMPUTED_VALUE"""),"NVL00133")</f>
        <v>NVL00133</v>
      </c>
      <c r="D6758" s="87" t="str">
        <f>IFERROR(__xludf.DUMMYFUNCTION("""COMPUTED_VALUE"""),"Polyquaternium 7")</f>
        <v>Polyquaternium 7</v>
      </c>
      <c r="E6758" s="87"/>
      <c r="F6758" s="87"/>
      <c r="G6758" s="87"/>
    </row>
    <row r="6759">
      <c r="A6759" s="86">
        <f>IFERROR(__xludf.DUMMYFUNCTION("""COMPUTED_VALUE"""),6757.0)</f>
        <v>6757</v>
      </c>
      <c r="B6759" s="87" t="str">
        <f>IFERROR(__xludf.DUMMYFUNCTION("""COMPUTED_VALUE"""),"ICARE")</f>
        <v>ICARE</v>
      </c>
      <c r="C6759" s="87" t="str">
        <f>IFERROR(__xludf.DUMMYFUNCTION("""COMPUTED_VALUE"""),"NVL00134")</f>
        <v>NVL00134</v>
      </c>
      <c r="D6759" s="87" t="str">
        <f>IFERROR(__xludf.DUMMYFUNCTION("""COMPUTED_VALUE"""),"Polyquaternium 10")</f>
        <v>Polyquaternium 10</v>
      </c>
      <c r="E6759" s="87"/>
      <c r="F6759" s="87"/>
      <c r="G6759" s="87"/>
    </row>
    <row r="6760">
      <c r="A6760" s="86">
        <f>IFERROR(__xludf.DUMMYFUNCTION("""COMPUTED_VALUE"""),6758.0)</f>
        <v>6758</v>
      </c>
      <c r="B6760" s="87" t="str">
        <f>IFERROR(__xludf.DUMMYFUNCTION("""COMPUTED_VALUE"""),"ICARE")</f>
        <v>ICARE</v>
      </c>
      <c r="C6760" s="87" t="str">
        <f>IFERROR(__xludf.DUMMYFUNCTION("""COMPUTED_VALUE"""),"NVL00135")</f>
        <v>NVL00135</v>
      </c>
      <c r="D6760" s="87" t="str">
        <f>IFERROR(__xludf.DUMMYFUNCTION("""COMPUTED_VALUE"""),"Acrylate Copolymer (Repoly 100)")</f>
        <v>Acrylate Copolymer (Repoly 100)</v>
      </c>
      <c r="E6760" s="87"/>
      <c r="F6760" s="87"/>
      <c r="G6760" s="87"/>
    </row>
    <row r="6761">
      <c r="A6761" s="86">
        <f>IFERROR(__xludf.DUMMYFUNCTION("""COMPUTED_VALUE"""),6759.0)</f>
        <v>6759</v>
      </c>
      <c r="B6761" s="87" t="str">
        <f>IFERROR(__xludf.DUMMYFUNCTION("""COMPUTED_VALUE"""),"ICARE")</f>
        <v>ICARE</v>
      </c>
      <c r="C6761" s="87" t="str">
        <f>IFERROR(__xludf.DUMMYFUNCTION("""COMPUTED_VALUE"""),"NVL00136")</f>
        <v>NVL00136</v>
      </c>
      <c r="D6761" s="87" t="str">
        <f>IFERROR(__xludf.DUMMYFUNCTION("""COMPUTED_VALUE"""),"Cetrimonium Chloride (viết tắt: ACA)")</f>
        <v>Cetrimonium Chloride (viết tắt: ACA)</v>
      </c>
      <c r="E6761" s="87"/>
      <c r="F6761" s="87"/>
      <c r="G6761" s="87"/>
    </row>
    <row r="6762">
      <c r="A6762" s="86">
        <f>IFERROR(__xludf.DUMMYFUNCTION("""COMPUTED_VALUE"""),6760.0)</f>
        <v>6760</v>
      </c>
      <c r="B6762" s="87" t="str">
        <f>IFERROR(__xludf.DUMMYFUNCTION("""COMPUTED_VALUE"""),"ICARE")</f>
        <v>ICARE</v>
      </c>
      <c r="C6762" s="87" t="str">
        <f>IFERROR(__xludf.DUMMYFUNCTION("""COMPUTED_VALUE"""),"NVL00137")</f>
        <v>NVL00137</v>
      </c>
      <c r="D6762" s="87" t="str">
        <f>IFERROR(__xludf.DUMMYFUNCTION("""COMPUTED_VALUE"""),"Vitamin E (DL alpha tocopheryl acetate)")</f>
        <v>Vitamin E (DL alpha tocopheryl acetate)</v>
      </c>
      <c r="E6762" s="87"/>
      <c r="F6762" s="87"/>
      <c r="G6762" s="87"/>
    </row>
    <row r="6763">
      <c r="A6763" s="86">
        <f>IFERROR(__xludf.DUMMYFUNCTION("""COMPUTED_VALUE"""),6761.0)</f>
        <v>6761</v>
      </c>
      <c r="B6763" s="87" t="str">
        <f>IFERROR(__xludf.DUMMYFUNCTION("""COMPUTED_VALUE"""),"ICARE")</f>
        <v>ICARE</v>
      </c>
      <c r="C6763" s="87" t="str">
        <f>IFERROR(__xludf.DUMMYFUNCTION("""COMPUTED_VALUE"""),"NVL00138")</f>
        <v>NVL00138</v>
      </c>
      <c r="D6763" s="87" t="str">
        <f>IFERROR(__xludf.DUMMYFUNCTION("""COMPUTED_VALUE"""),"Very Sexy (hương kana)")</f>
        <v>Very Sexy (hương kana)</v>
      </c>
      <c r="E6763" s="87"/>
      <c r="F6763" s="87"/>
      <c r="G6763" s="87"/>
    </row>
    <row r="6764">
      <c r="A6764" s="86">
        <f>IFERROR(__xludf.DUMMYFUNCTION("""COMPUTED_VALUE"""),6762.0)</f>
        <v>6762</v>
      </c>
      <c r="B6764" s="87" t="str">
        <f>IFERROR(__xludf.DUMMYFUNCTION("""COMPUTED_VALUE"""),"ICARE")</f>
        <v>ICARE</v>
      </c>
      <c r="C6764" s="87" t="str">
        <f>IFERROR(__xludf.DUMMYFUNCTION("""COMPUTED_VALUE"""),"NVL00139")</f>
        <v>NVL00139</v>
      </c>
      <c r="D6764" s="87" t="str">
        <f>IFERROR(__xludf.DUMMYFUNCTION("""COMPUTED_VALUE"""),"Gurjun balsam Extract")</f>
        <v>Gurjun balsam Extract</v>
      </c>
      <c r="E6764" s="87"/>
      <c r="F6764" s="87"/>
      <c r="G6764" s="87"/>
    </row>
    <row r="6765">
      <c r="A6765" s="86">
        <f>IFERROR(__xludf.DUMMYFUNCTION("""COMPUTED_VALUE"""),6763.0)</f>
        <v>6763</v>
      </c>
      <c r="B6765" s="87" t="str">
        <f>IFERROR(__xludf.DUMMYFUNCTION("""COMPUTED_VALUE"""),"ICARE")</f>
        <v>ICARE</v>
      </c>
      <c r="C6765" s="87" t="str">
        <f>IFERROR(__xludf.DUMMYFUNCTION("""COMPUTED_VALUE"""),"NVL00140")</f>
        <v>NVL00140</v>
      </c>
      <c r="D6765" s="87" t="str">
        <f>IFERROR(__xludf.DUMMYFUNCTION("""COMPUTED_VALUE"""),"Vaselin Đức")</f>
        <v>Vaselin Đức</v>
      </c>
      <c r="E6765" s="87"/>
      <c r="F6765" s="87"/>
      <c r="G6765" s="87"/>
    </row>
    <row r="6766">
      <c r="A6766" s="86">
        <f>IFERROR(__xludf.DUMMYFUNCTION("""COMPUTED_VALUE"""),6764.0)</f>
        <v>6764</v>
      </c>
      <c r="B6766" s="87" t="str">
        <f>IFERROR(__xludf.DUMMYFUNCTION("""COMPUTED_VALUE"""),"ICARE")</f>
        <v>ICARE</v>
      </c>
      <c r="C6766" s="87" t="str">
        <f>IFERROR(__xludf.DUMMYFUNCTION("""COMPUTED_VALUE"""),"NVL00141")</f>
        <v>NVL00141</v>
      </c>
      <c r="D6766" s="87" t="str">
        <f>IFERROR(__xludf.DUMMYFUNCTION("""COMPUTED_VALUE"""),"Aquagel 35S")</f>
        <v>Aquagel 35S</v>
      </c>
      <c r="E6766" s="87"/>
      <c r="F6766" s="87"/>
      <c r="G6766" s="87"/>
    </row>
    <row r="6767">
      <c r="A6767" s="86">
        <f>IFERROR(__xludf.DUMMYFUNCTION("""COMPUTED_VALUE"""),6765.0)</f>
        <v>6765</v>
      </c>
      <c r="B6767" s="87" t="str">
        <f>IFERROR(__xludf.DUMMYFUNCTION("""COMPUTED_VALUE"""),"ICARE")</f>
        <v>ICARE</v>
      </c>
      <c r="C6767" s="87" t="str">
        <f>IFERROR(__xludf.DUMMYFUNCTION("""COMPUTED_VALUE"""),"NVL00142")</f>
        <v>NVL00142</v>
      </c>
      <c r="D6767" s="87" t="str">
        <f>IFERROR(__xludf.DUMMYFUNCTION("""COMPUTED_VALUE"""),"Span 80")</f>
        <v>Span 80</v>
      </c>
      <c r="E6767" s="87"/>
      <c r="F6767" s="87"/>
      <c r="G6767" s="87"/>
    </row>
    <row r="6768">
      <c r="A6768" s="86">
        <f>IFERROR(__xludf.DUMMYFUNCTION("""COMPUTED_VALUE"""),6766.0)</f>
        <v>6766</v>
      </c>
      <c r="B6768" s="87" t="str">
        <f>IFERROR(__xludf.DUMMYFUNCTION("""COMPUTED_VALUE"""),"ICARE")</f>
        <v>ICARE</v>
      </c>
      <c r="C6768" s="87" t="str">
        <f>IFERROR(__xludf.DUMMYFUNCTION("""COMPUTED_VALUE"""),"NVL00143")</f>
        <v>NVL00143</v>
      </c>
      <c r="D6768" s="87" t="str">
        <f>IFERROR(__xludf.DUMMYFUNCTION("""COMPUTED_VALUE"""),"Tween 20 (Polysorbate 20)")</f>
        <v>Tween 20 (Polysorbate 20)</v>
      </c>
      <c r="E6768" s="87"/>
      <c r="F6768" s="87"/>
      <c r="G6768" s="87"/>
    </row>
    <row r="6769">
      <c r="A6769" s="86">
        <f>IFERROR(__xludf.DUMMYFUNCTION("""COMPUTED_VALUE"""),6767.0)</f>
        <v>6767</v>
      </c>
      <c r="B6769" s="87" t="str">
        <f>IFERROR(__xludf.DUMMYFUNCTION("""COMPUTED_VALUE"""),"ICARE")</f>
        <v>ICARE</v>
      </c>
      <c r="C6769" s="87" t="str">
        <f>IFERROR(__xludf.DUMMYFUNCTION("""COMPUTED_VALUE"""),"NVL00144")</f>
        <v>NVL00144</v>
      </c>
      <c r="D6769" s="87" t="str">
        <f>IFERROR(__xludf.DUMMYFUNCTION("""COMPUTED_VALUE"""),"Acid Salicylic")</f>
        <v>Acid Salicylic</v>
      </c>
      <c r="E6769" s="87"/>
      <c r="F6769" s="87"/>
      <c r="G6769" s="87"/>
    </row>
    <row r="6770">
      <c r="A6770" s="86">
        <f>IFERROR(__xludf.DUMMYFUNCTION("""COMPUTED_VALUE"""),6768.0)</f>
        <v>6768</v>
      </c>
      <c r="B6770" s="87" t="str">
        <f>IFERROR(__xludf.DUMMYFUNCTION("""COMPUTED_VALUE"""),"ICARE")</f>
        <v>ICARE</v>
      </c>
      <c r="C6770" s="87" t="str">
        <f>IFERROR(__xludf.DUMMYFUNCTION("""COMPUTED_VALUE"""),"NVL00145")</f>
        <v>NVL00145</v>
      </c>
      <c r="D6770" s="87" t="str">
        <f>IFERROR(__xludf.DUMMYFUNCTION("""COMPUTED_VALUE"""),"Triethanolamine 99% (TEA)")</f>
        <v>Triethanolamine 99% (TEA)</v>
      </c>
      <c r="E6770" s="87"/>
      <c r="F6770" s="87"/>
      <c r="G6770" s="87"/>
    </row>
    <row r="6771">
      <c r="A6771" s="86">
        <f>IFERROR(__xludf.DUMMYFUNCTION("""COMPUTED_VALUE"""),6769.0)</f>
        <v>6769</v>
      </c>
      <c r="B6771" s="87" t="str">
        <f>IFERROR(__xludf.DUMMYFUNCTION("""COMPUTED_VALUE"""),"ICARE")</f>
        <v>ICARE</v>
      </c>
      <c r="C6771" s="87" t="str">
        <f>IFERROR(__xludf.DUMMYFUNCTION("""COMPUTED_VALUE"""),"NVL00146")</f>
        <v>NVL00146</v>
      </c>
      <c r="D6771" s="87" t="str">
        <f>IFERROR(__xludf.DUMMYFUNCTION("""COMPUTED_VALUE"""),"Tinh dầu đàn hương")</f>
        <v>Tinh dầu đàn hương</v>
      </c>
      <c r="E6771" s="87"/>
      <c r="F6771" s="87"/>
      <c r="G6771" s="87"/>
    </row>
    <row r="6772">
      <c r="A6772" s="86">
        <f>IFERROR(__xludf.DUMMYFUNCTION("""COMPUTED_VALUE"""),6770.0)</f>
        <v>6770</v>
      </c>
      <c r="B6772" s="87" t="str">
        <f>IFERROR(__xludf.DUMMYFUNCTION("""COMPUTED_VALUE"""),"ICARE")</f>
        <v>ICARE</v>
      </c>
      <c r="C6772" s="87" t="str">
        <f>IFERROR(__xludf.DUMMYFUNCTION("""COMPUTED_VALUE"""),"NVL00147")</f>
        <v>NVL00147</v>
      </c>
      <c r="D6772" s="87" t="str">
        <f>IFERROR(__xludf.DUMMYFUNCTION("""COMPUTED_VALUE"""),"Tinh dầu gỗ hồng")</f>
        <v>Tinh dầu gỗ hồng</v>
      </c>
      <c r="E6772" s="87"/>
      <c r="F6772" s="87"/>
      <c r="G6772" s="87"/>
    </row>
    <row r="6773">
      <c r="A6773" s="86">
        <f>IFERROR(__xludf.DUMMYFUNCTION("""COMPUTED_VALUE"""),6771.0)</f>
        <v>6771</v>
      </c>
      <c r="B6773" s="87" t="str">
        <f>IFERROR(__xludf.DUMMYFUNCTION("""COMPUTED_VALUE"""),"ICARE")</f>
        <v>ICARE</v>
      </c>
      <c r="C6773" s="87" t="str">
        <f>IFERROR(__xludf.DUMMYFUNCTION("""COMPUTED_VALUE"""),"NVL00148")</f>
        <v>NVL00148</v>
      </c>
      <c r="D6773" s="87" t="str">
        <f>IFERROR(__xludf.DUMMYFUNCTION("""COMPUTED_VALUE"""),"Tinh dầu hoắc hương")</f>
        <v>Tinh dầu hoắc hương</v>
      </c>
      <c r="E6773" s="87"/>
      <c r="F6773" s="87"/>
      <c r="G6773" s="87"/>
    </row>
    <row r="6774">
      <c r="A6774" s="86">
        <f>IFERROR(__xludf.DUMMYFUNCTION("""COMPUTED_VALUE"""),6772.0)</f>
        <v>6772</v>
      </c>
      <c r="B6774" s="87" t="str">
        <f>IFERROR(__xludf.DUMMYFUNCTION("""COMPUTED_VALUE"""),"ICARE")</f>
        <v>ICARE</v>
      </c>
      <c r="C6774" s="87" t="str">
        <f>IFERROR(__xludf.DUMMYFUNCTION("""COMPUTED_VALUE"""),"NVL00149")</f>
        <v>NVL00149</v>
      </c>
      <c r="D6774" s="87" t="str">
        <f>IFERROR(__xludf.DUMMYFUNCTION("""COMPUTED_VALUE"""),"Tinh dầu nhũ hương")</f>
        <v>Tinh dầu nhũ hương</v>
      </c>
      <c r="E6774" s="87"/>
      <c r="F6774" s="87"/>
      <c r="G6774" s="87"/>
    </row>
    <row r="6775">
      <c r="A6775" s="86">
        <f>IFERROR(__xludf.DUMMYFUNCTION("""COMPUTED_VALUE"""),6773.0)</f>
        <v>6773</v>
      </c>
      <c r="B6775" s="87" t="str">
        <f>IFERROR(__xludf.DUMMYFUNCTION("""COMPUTED_VALUE"""),"ICARE")</f>
        <v>ICARE</v>
      </c>
      <c r="C6775" s="87" t="str">
        <f>IFERROR(__xludf.DUMMYFUNCTION("""COMPUTED_VALUE"""),"NVL00150")</f>
        <v>NVL00150</v>
      </c>
      <c r="D6775" s="87" t="str">
        <f>IFERROR(__xludf.DUMMYFUNCTION("""COMPUTED_VALUE"""),"Tinh dầu đỗ tùng")</f>
        <v>Tinh dầu đỗ tùng</v>
      </c>
      <c r="E6775" s="87"/>
      <c r="F6775" s="87"/>
      <c r="G6775" s="87"/>
    </row>
    <row r="6776">
      <c r="A6776" s="86">
        <f>IFERROR(__xludf.DUMMYFUNCTION("""COMPUTED_VALUE"""),6774.0)</f>
        <v>6774</v>
      </c>
      <c r="B6776" s="87" t="str">
        <f>IFERROR(__xludf.DUMMYFUNCTION("""COMPUTED_VALUE"""),"ICARE")</f>
        <v>ICARE</v>
      </c>
      <c r="C6776" s="87" t="str">
        <f>IFERROR(__xludf.DUMMYFUNCTION("""COMPUTED_VALUE"""),"NVL00151")</f>
        <v>NVL00151</v>
      </c>
      <c r="D6776" s="87" t="str">
        <f>IFERROR(__xludf.DUMMYFUNCTION("""COMPUTED_VALUE"""),"Tinh dầu ngãi cứu")</f>
        <v>Tinh dầu ngãi cứu</v>
      </c>
      <c r="E6776" s="87"/>
      <c r="F6776" s="87"/>
      <c r="G6776" s="87"/>
    </row>
    <row r="6777">
      <c r="A6777" s="86">
        <f>IFERROR(__xludf.DUMMYFUNCTION("""COMPUTED_VALUE"""),6775.0)</f>
        <v>6775</v>
      </c>
      <c r="B6777" s="87" t="str">
        <f>IFERROR(__xludf.DUMMYFUNCTION("""COMPUTED_VALUE"""),"ICARE")</f>
        <v>ICARE</v>
      </c>
      <c r="C6777" s="87" t="str">
        <f>IFERROR(__xludf.DUMMYFUNCTION("""COMPUTED_VALUE"""),"NVL00152")</f>
        <v>NVL00152</v>
      </c>
      <c r="D6777" s="87" t="str">
        <f>IFERROR(__xludf.DUMMYFUNCTION("""COMPUTED_VALUE"""),"Tinh dầu quế")</f>
        <v>Tinh dầu quế</v>
      </c>
      <c r="E6777" s="87"/>
      <c r="F6777" s="87"/>
      <c r="G6777" s="87"/>
    </row>
    <row r="6778">
      <c r="A6778" s="86">
        <f>IFERROR(__xludf.DUMMYFUNCTION("""COMPUTED_VALUE"""),6776.0)</f>
        <v>6776</v>
      </c>
      <c r="B6778" s="87" t="str">
        <f>IFERROR(__xludf.DUMMYFUNCTION("""COMPUTED_VALUE"""),"ICARE")</f>
        <v>ICARE</v>
      </c>
      <c r="C6778" s="87" t="str">
        <f>IFERROR(__xludf.DUMMYFUNCTION("""COMPUTED_VALUE"""),"NVL00153")</f>
        <v>NVL00153</v>
      </c>
      <c r="D6778" s="87" t="str">
        <f>IFERROR(__xludf.DUMMYFUNCTION("""COMPUTED_VALUE"""),"Tinh dầu long não")</f>
        <v>Tinh dầu long não</v>
      </c>
      <c r="E6778" s="87"/>
      <c r="F6778" s="87"/>
      <c r="G6778" s="87"/>
    </row>
    <row r="6779">
      <c r="A6779" s="86">
        <f>IFERROR(__xludf.DUMMYFUNCTION("""COMPUTED_VALUE"""),6777.0)</f>
        <v>6777</v>
      </c>
      <c r="B6779" s="87" t="str">
        <f>IFERROR(__xludf.DUMMYFUNCTION("""COMPUTED_VALUE"""),"ICARE")</f>
        <v>ICARE</v>
      </c>
      <c r="C6779" s="87" t="str">
        <f>IFERROR(__xludf.DUMMYFUNCTION("""COMPUTED_VALUE"""),"NVL00154")</f>
        <v>NVL00154</v>
      </c>
      <c r="D6779" s="87" t="str">
        <f>IFERROR(__xludf.DUMMYFUNCTION("""COMPUTED_VALUE"""),"Tinh dầu hương nhu trắng")</f>
        <v>Tinh dầu hương nhu trắng</v>
      </c>
      <c r="E6779" s="87"/>
      <c r="F6779" s="87"/>
      <c r="G6779" s="87"/>
    </row>
    <row r="6780">
      <c r="A6780" s="86">
        <f>IFERROR(__xludf.DUMMYFUNCTION("""COMPUTED_VALUE"""),6778.0)</f>
        <v>6778</v>
      </c>
      <c r="B6780" s="87" t="str">
        <f>IFERROR(__xludf.DUMMYFUNCTION("""COMPUTED_VALUE"""),"ICARE")</f>
        <v>ICARE</v>
      </c>
      <c r="C6780" s="87" t="str">
        <f>IFERROR(__xludf.DUMMYFUNCTION("""COMPUTED_VALUE"""),"NVL00155")</f>
        <v>NVL00155</v>
      </c>
      <c r="D6780" s="87" t="str">
        <f>IFERROR(__xludf.DUMMYFUNCTION("""COMPUTED_VALUE"""),"Tinh dầu hồi")</f>
        <v>Tinh dầu hồi</v>
      </c>
      <c r="E6780" s="87"/>
      <c r="F6780" s="87"/>
      <c r="G6780" s="87"/>
    </row>
    <row r="6781">
      <c r="A6781" s="86">
        <f>IFERROR(__xludf.DUMMYFUNCTION("""COMPUTED_VALUE"""),6779.0)</f>
        <v>6779</v>
      </c>
      <c r="B6781" s="87" t="str">
        <f>IFERROR(__xludf.DUMMYFUNCTION("""COMPUTED_VALUE"""),"ICARE")</f>
        <v>ICARE</v>
      </c>
      <c r="C6781" s="87" t="str">
        <f>IFERROR(__xludf.DUMMYFUNCTION("""COMPUTED_VALUE"""),"NVL00156")</f>
        <v>NVL00156</v>
      </c>
      <c r="D6781" s="87" t="str">
        <f>IFERROR(__xludf.DUMMYFUNCTION("""COMPUTED_VALUE"""),"Tinh dầu cam thảo")</f>
        <v>Tinh dầu cam thảo</v>
      </c>
      <c r="E6781" s="87"/>
      <c r="F6781" s="87"/>
      <c r="G6781" s="87"/>
    </row>
    <row r="6782">
      <c r="A6782" s="86">
        <f>IFERROR(__xludf.DUMMYFUNCTION("""COMPUTED_VALUE"""),6780.0)</f>
        <v>6780</v>
      </c>
      <c r="B6782" s="87" t="str">
        <f>IFERROR(__xludf.DUMMYFUNCTION("""COMPUTED_VALUE"""),"ICARE")</f>
        <v>ICARE</v>
      </c>
      <c r="C6782" s="87" t="str">
        <f>IFERROR(__xludf.DUMMYFUNCTION("""COMPUTED_VALUE"""),"NVL00157")</f>
        <v>NVL00157</v>
      </c>
      <c r="D6782" s="87" t="str">
        <f>IFERROR(__xludf.DUMMYFUNCTION("""COMPUTED_VALUE"""),"[NHÃN_P] Antisol - 240 ml (lô mới)")</f>
        <v>[NHÃN_P] Antisol - 240 ml (lô mới)</v>
      </c>
      <c r="E6782" s="87"/>
      <c r="F6782" s="87"/>
      <c r="G6782" s="87"/>
    </row>
    <row r="6783">
      <c r="A6783" s="86">
        <f>IFERROR(__xludf.DUMMYFUNCTION("""COMPUTED_VALUE"""),6781.0)</f>
        <v>6781</v>
      </c>
      <c r="B6783" s="87" t="str">
        <f>IFERROR(__xludf.DUMMYFUNCTION("""COMPUTED_VALUE"""),"ICARE")</f>
        <v>ICARE</v>
      </c>
      <c r="C6783" s="87" t="str">
        <f>IFERROR(__xludf.DUMMYFUNCTION("""COMPUTED_VALUE"""),"NVL00158")</f>
        <v>NVL00158</v>
      </c>
      <c r="D6783" s="87" t="str">
        <f>IFERROR(__xludf.DUMMYFUNCTION("""COMPUTED_VALUE"""),"[NHÃN_P] Ezema - 50g (lô mới)")</f>
        <v>[NHÃN_P] Ezema - 50g (lô mới)</v>
      </c>
      <c r="E6783" s="87"/>
      <c r="F6783" s="87"/>
      <c r="G6783" s="87"/>
    </row>
    <row r="6784">
      <c r="A6784" s="86">
        <f>IFERROR(__xludf.DUMMYFUNCTION("""COMPUTED_VALUE"""),6782.0)</f>
        <v>6782</v>
      </c>
      <c r="B6784" s="87" t="str">
        <f>IFERROR(__xludf.DUMMYFUNCTION("""COMPUTED_VALUE"""),"ICARE")</f>
        <v>ICARE</v>
      </c>
      <c r="C6784" s="87" t="str">
        <f>IFERROR(__xludf.DUMMYFUNCTION("""COMPUTED_VALUE"""),"NVL00159")</f>
        <v>NVL00159</v>
      </c>
      <c r="D6784" s="87" t="str">
        <f>IFERROR(__xludf.DUMMYFUNCTION("""COMPUTED_VALUE"""),"[NHÃN_P] Dermato - 240ml (lô mới)")</f>
        <v>[NHÃN_P] Dermato - 240ml (lô mới)</v>
      </c>
      <c r="E6784" s="87"/>
      <c r="F6784" s="87"/>
      <c r="G6784" s="87"/>
    </row>
    <row r="6785">
      <c r="A6785" s="86">
        <f>IFERROR(__xludf.DUMMYFUNCTION("""COMPUTED_VALUE"""),6783.0)</f>
        <v>6783</v>
      </c>
      <c r="B6785" s="87" t="str">
        <f>IFERROR(__xludf.DUMMYFUNCTION("""COMPUTED_VALUE"""),"ICARE")</f>
        <v>ICARE</v>
      </c>
      <c r="C6785" s="87" t="str">
        <f>IFERROR(__xludf.DUMMYFUNCTION("""COMPUTED_VALUE"""),"NVL00160")</f>
        <v>NVL00160</v>
      </c>
      <c r="D6785" s="87" t="str">
        <f>IFERROR(__xludf.DUMMYFUNCTION("""COMPUTED_VALUE"""),"[NHÃN_P] Antisol - 240 ml (thảnh phần sản phẩm)")</f>
        <v>[NHÃN_P] Antisol - 240 ml (thảnh phần sản phẩm)</v>
      </c>
      <c r="E6785" s="87"/>
      <c r="F6785" s="87"/>
      <c r="G6785" s="87"/>
    </row>
    <row r="6786">
      <c r="A6786" s="86">
        <f>IFERROR(__xludf.DUMMYFUNCTION("""COMPUTED_VALUE"""),6784.0)</f>
        <v>6784</v>
      </c>
      <c r="B6786" s="87" t="str">
        <f>IFERROR(__xludf.DUMMYFUNCTION("""COMPUTED_VALUE"""),"ICARE")</f>
        <v>ICARE</v>
      </c>
      <c r="C6786" s="87" t="str">
        <f>IFERROR(__xludf.DUMMYFUNCTION("""COMPUTED_VALUE"""),"PGC_Antisol")</f>
        <v>PGC_Antisol</v>
      </c>
      <c r="D6786" s="87" t="str">
        <f>IFERROR(__xludf.DUMMYFUNCTION("""COMPUTED_VALUE"""),"Phí gia công sang chai đóng gói/phối trộn - Antisol")</f>
        <v>Phí gia công sang chai đóng gói/phối trộn - Antisol</v>
      </c>
      <c r="E6786" s="87"/>
      <c r="F6786" s="87"/>
      <c r="G6786" s="87"/>
    </row>
    <row r="6787">
      <c r="A6787" s="86">
        <f>IFERROR(__xludf.DUMMYFUNCTION("""COMPUTED_VALUE"""),6785.0)</f>
        <v>6785</v>
      </c>
      <c r="B6787" s="87" t="str">
        <f>IFERROR(__xludf.DUMMYFUNCTION("""COMPUTED_VALUE"""),"ICARE")</f>
        <v>ICARE</v>
      </c>
      <c r="C6787" s="87" t="str">
        <f>IFERROR(__xludf.DUMMYFUNCTION("""COMPUTED_VALUE"""),"PGC_Derrmato")</f>
        <v>PGC_Derrmato</v>
      </c>
      <c r="D6787" s="87" t="str">
        <f>IFERROR(__xludf.DUMMYFUNCTION("""COMPUTED_VALUE"""),"Phí gia công sang chai đóng gói/phối trộn - Dermato")</f>
        <v>Phí gia công sang chai đóng gói/phối trộn - Dermato</v>
      </c>
      <c r="E6787" s="87"/>
      <c r="F6787" s="87"/>
      <c r="G6787" s="87"/>
    </row>
    <row r="6788">
      <c r="A6788" s="86">
        <f>IFERROR(__xludf.DUMMYFUNCTION("""COMPUTED_VALUE"""),6786.0)</f>
        <v>6786</v>
      </c>
      <c r="B6788" s="87" t="str">
        <f>IFERROR(__xludf.DUMMYFUNCTION("""COMPUTED_VALUE"""),"ICARE")</f>
        <v>ICARE</v>
      </c>
      <c r="C6788" s="87" t="str">
        <f>IFERROR(__xludf.DUMMYFUNCTION("""COMPUTED_VALUE"""),"QT0001")</f>
        <v>QT0001</v>
      </c>
      <c r="D6788" s="87" t="str">
        <f>IFERROR(__xludf.DUMMYFUNCTION("""COMPUTED_VALUE"""),"Lượt Massage")</f>
        <v>Lượt Massage</v>
      </c>
      <c r="E6788" s="87"/>
      <c r="F6788" s="87"/>
      <c r="G6788" s="87"/>
    </row>
    <row r="6789">
      <c r="A6789" s="86">
        <f>IFERROR(__xludf.DUMMYFUNCTION("""COMPUTED_VALUE"""),6787.0)</f>
        <v>6787</v>
      </c>
      <c r="B6789" s="87" t="str">
        <f>IFERROR(__xludf.DUMMYFUNCTION("""COMPUTED_VALUE"""),"ICARE")</f>
        <v>ICARE</v>
      </c>
      <c r="C6789" s="87" t="str">
        <f>IFERROR(__xludf.DUMMYFUNCTION("""COMPUTED_VALUE"""),"QT0002")</f>
        <v>QT0002</v>
      </c>
      <c r="D6789" s="87" t="str">
        <f>IFERROR(__xludf.DUMMYFUNCTION("""COMPUTED_VALUE"""),"Lượt gội đầu silicon")</f>
        <v>Lượt gội đầu silicon</v>
      </c>
      <c r="E6789" s="87"/>
      <c r="F6789" s="87"/>
      <c r="G6789" s="87"/>
    </row>
    <row r="6790">
      <c r="A6790" s="86">
        <f>IFERROR(__xludf.DUMMYFUNCTION("""COMPUTED_VALUE"""),6788.0)</f>
        <v>6788</v>
      </c>
      <c r="B6790" s="87" t="str">
        <f>IFERROR(__xludf.DUMMYFUNCTION("""COMPUTED_VALUE"""),"ICARE")</f>
        <v>ICARE</v>
      </c>
      <c r="C6790" s="87" t="str">
        <f>IFERROR(__xludf.DUMMYFUNCTION("""COMPUTED_VALUE"""),"VT00001")</f>
        <v>VT00001</v>
      </c>
      <c r="D6790" s="87" t="str">
        <f>IFERROR(__xludf.DUMMYFUNCTION("""COMPUTED_VALUE"""),"Khẩu trang 3D")</f>
        <v>Khẩu trang 3D</v>
      </c>
      <c r="E6790" s="87"/>
      <c r="F6790" s="87"/>
      <c r="G6790" s="87"/>
    </row>
    <row r="6791">
      <c r="A6791" s="86">
        <f>IFERROR(__xludf.DUMMYFUNCTION("""COMPUTED_VALUE"""),6789.0)</f>
        <v>6789</v>
      </c>
      <c r="B6791" s="87" t="str">
        <f>IFERROR(__xludf.DUMMYFUNCTION("""COMPUTED_VALUE"""),"ICARE")</f>
        <v>ICARE</v>
      </c>
      <c r="C6791" s="87" t="str">
        <f>IFERROR(__xludf.DUMMYFUNCTION("""COMPUTED_VALUE"""),"VT00002")</f>
        <v>VT00002</v>
      </c>
      <c r="D6791" s="87" t="str">
        <f>IFERROR(__xludf.DUMMYFUNCTION("""COMPUTED_VALUE"""),"Khẩu trang y tế")</f>
        <v>Khẩu trang y tế</v>
      </c>
      <c r="E6791" s="87"/>
      <c r="F6791" s="87"/>
      <c r="G6791" s="87"/>
    </row>
    <row r="6792">
      <c r="A6792" s="86">
        <f>IFERROR(__xludf.DUMMYFUNCTION("""COMPUTED_VALUE"""),6790.0)</f>
        <v>6790</v>
      </c>
      <c r="B6792" s="87" t="str">
        <f>IFERROR(__xludf.DUMMYFUNCTION("""COMPUTED_VALUE"""),"ICARE")</f>
        <v>ICARE</v>
      </c>
      <c r="C6792" s="87" t="str">
        <f>IFERROR(__xludf.DUMMYFUNCTION("""COMPUTED_VALUE"""),"VT00003")</f>
        <v>VT00003</v>
      </c>
      <c r="D6792" s="87" t="str">
        <f>IFERROR(__xludf.DUMMYFUNCTION("""COMPUTED_VALUE"""),"Áo thun")</f>
        <v>Áo thun</v>
      </c>
      <c r="E6792" s="87"/>
      <c r="F6792" s="87"/>
      <c r="G6792" s="87"/>
    </row>
    <row r="6793">
      <c r="A6793" s="86">
        <f>IFERROR(__xludf.DUMMYFUNCTION("""COMPUTED_VALUE"""),6791.0)</f>
        <v>6791</v>
      </c>
      <c r="B6793" s="87" t="str">
        <f>IFERROR(__xludf.DUMMYFUNCTION("""COMPUTED_VALUE"""),"ICARE")</f>
        <v>ICARE</v>
      </c>
      <c r="C6793" s="87" t="str">
        <f>IFERROR(__xludf.DUMMYFUNCTION("""COMPUTED_VALUE"""),"VT00004")</f>
        <v>VT00004</v>
      </c>
      <c r="D6793" s="87" t="str">
        <f>IFERROR(__xludf.DUMMYFUNCTION("""COMPUTED_VALUE"""),"Wobbler")</f>
        <v>Wobbler</v>
      </c>
      <c r="E6793" s="87"/>
      <c r="F6793" s="87"/>
      <c r="G6793" s="87"/>
    </row>
    <row r="6794">
      <c r="A6794" s="86">
        <f>IFERROR(__xludf.DUMMYFUNCTION("""COMPUTED_VALUE"""),6792.0)</f>
        <v>6792</v>
      </c>
      <c r="B6794" s="87" t="str">
        <f>IFERROR(__xludf.DUMMYFUNCTION("""COMPUTED_VALUE"""),"ICARE")</f>
        <v>ICARE</v>
      </c>
      <c r="C6794" s="87" t="str">
        <f>IFERROR(__xludf.DUMMYFUNCTION("""COMPUTED_VALUE"""),"VT00005")</f>
        <v>VT00005</v>
      </c>
      <c r="D6794" s="87" t="str">
        <f>IFERROR(__xludf.DUMMYFUNCTION("""COMPUTED_VALUE"""),"Thùng giấy 100ml")</f>
        <v>Thùng giấy 100ml</v>
      </c>
      <c r="E6794" s="87"/>
      <c r="F6794" s="87"/>
      <c r="G6794" s="87"/>
    </row>
    <row r="6795">
      <c r="A6795" s="86">
        <f>IFERROR(__xludf.DUMMYFUNCTION("""COMPUTED_VALUE"""),6793.0)</f>
        <v>6793</v>
      </c>
      <c r="B6795" s="87" t="str">
        <f>IFERROR(__xludf.DUMMYFUNCTION("""COMPUTED_VALUE"""),"ICARE")</f>
        <v>ICARE</v>
      </c>
      <c r="C6795" s="87" t="str">
        <f>IFERROR(__xludf.DUMMYFUNCTION("""COMPUTED_VALUE"""),"VT00006")</f>
        <v>VT00006</v>
      </c>
      <c r="D6795" s="87" t="str">
        <f>IFERROR(__xludf.DUMMYFUNCTION("""COMPUTED_VALUE"""),"Thùng giấy 500ml")</f>
        <v>Thùng giấy 500ml</v>
      </c>
      <c r="E6795" s="87"/>
      <c r="F6795" s="87"/>
      <c r="G6795" s="87"/>
    </row>
    <row r="6796">
      <c r="A6796" s="86">
        <f>IFERROR(__xludf.DUMMYFUNCTION("""COMPUTED_VALUE"""),6794.0)</f>
        <v>6794</v>
      </c>
      <c r="B6796" s="87" t="str">
        <f>IFERROR(__xludf.DUMMYFUNCTION("""COMPUTED_VALUE"""),"ICARE")</f>
        <v>ICARE</v>
      </c>
      <c r="C6796" s="87" t="str">
        <f>IFERROR(__xludf.DUMMYFUNCTION("""COMPUTED_VALUE"""),"VT00007")</f>
        <v>VT00007</v>
      </c>
      <c r="D6796" s="87" t="str">
        <f>IFERROR(__xludf.DUMMYFUNCTION("""COMPUTED_VALUE"""),"Pallet nhựa")</f>
        <v>Pallet nhựa</v>
      </c>
      <c r="E6796" s="87"/>
      <c r="F6796" s="87"/>
      <c r="G6796" s="87"/>
    </row>
    <row r="6797">
      <c r="A6797" s="86">
        <f>IFERROR(__xludf.DUMMYFUNCTION("""COMPUTED_VALUE"""),6795.0)</f>
        <v>6795</v>
      </c>
      <c r="B6797" s="87" t="str">
        <f>IFERROR(__xludf.DUMMYFUNCTION("""COMPUTED_VALUE"""),"ICARE")</f>
        <v>ICARE</v>
      </c>
      <c r="C6797" s="87" t="str">
        <f>IFERROR(__xludf.DUMMYFUNCTION("""COMPUTED_VALUE"""),"VT00008")</f>
        <v>VT00008</v>
      </c>
      <c r="D6797" s="87" t="str">
        <f>IFERROR(__xludf.DUMMYFUNCTION("""COMPUTED_VALUE"""),"Namcard Nguyễn Ngọc Anh")</f>
        <v>Namcard Nguyễn Ngọc Anh</v>
      </c>
      <c r="E6797" s="87"/>
      <c r="F6797" s="87"/>
      <c r="G6797" s="87"/>
    </row>
    <row r="6798">
      <c r="A6798" s="86">
        <f>IFERROR(__xludf.DUMMYFUNCTION("""COMPUTED_VALUE"""),6796.0)</f>
        <v>6796</v>
      </c>
      <c r="B6798" s="87" t="str">
        <f>IFERROR(__xludf.DUMMYFUNCTION("""COMPUTED_VALUE"""),"ICARE")</f>
        <v>ICARE</v>
      </c>
      <c r="C6798" s="87" t="str">
        <f>IFERROR(__xludf.DUMMYFUNCTION("""COMPUTED_VALUE"""),"VT00009")</f>
        <v>VT00009</v>
      </c>
      <c r="D6798" s="87" t="str">
        <f>IFERROR(__xludf.DUMMYFUNCTION("""COMPUTED_VALUE"""),"Tem giao hàng tiki")</f>
        <v>Tem giao hàng tiki</v>
      </c>
      <c r="E6798" s="87"/>
      <c r="F6798" s="87"/>
      <c r="G6798" s="87"/>
    </row>
    <row r="6799">
      <c r="A6799" s="86">
        <f>IFERROR(__xludf.DUMMYFUNCTION("""COMPUTED_VALUE"""),6797.0)</f>
        <v>6797</v>
      </c>
      <c r="B6799" s="87" t="str">
        <f>IFERROR(__xludf.DUMMYFUNCTION("""COMPUTED_VALUE"""),"ICARE")</f>
        <v>ICARE</v>
      </c>
      <c r="C6799" s="87" t="str">
        <f>IFERROR(__xludf.DUMMYFUNCTION("""COMPUTED_VALUE"""),"VT00010")</f>
        <v>VT00010</v>
      </c>
      <c r="D6799" s="87" t="str">
        <f>IFERROR(__xludf.DUMMYFUNCTION("""COMPUTED_VALUE"""),"Catologue")</f>
        <v>Catologue</v>
      </c>
      <c r="E6799" s="87"/>
      <c r="F6799" s="87"/>
      <c r="G6799" s="87"/>
    </row>
    <row r="6800">
      <c r="A6800" s="86">
        <f>IFERROR(__xludf.DUMMYFUNCTION("""COMPUTED_VALUE"""),6798.0)</f>
        <v>6798</v>
      </c>
      <c r="B6800" s="87" t="str">
        <f>IFERROR(__xludf.DUMMYFUNCTION("""COMPUTED_VALUE"""),"ICARE")</f>
        <v>ICARE</v>
      </c>
      <c r="C6800" s="87" t="str">
        <f>IFERROR(__xludf.DUMMYFUNCTION("""COMPUTED_VALUE"""),"VT00011")</f>
        <v>VT00011</v>
      </c>
      <c r="D6800" s="87" t="str">
        <f>IFERROR(__xludf.DUMMYFUNCTION("""COMPUTED_VALUE"""),"Tem logo iCare")</f>
        <v>Tem logo iCare</v>
      </c>
      <c r="E6800" s="87"/>
      <c r="F6800" s="87"/>
      <c r="G6800" s="87"/>
    </row>
    <row r="6801">
      <c r="A6801" s="86">
        <f>IFERROR(__xludf.DUMMYFUNCTION("""COMPUTED_VALUE"""),6799.0)</f>
        <v>6799</v>
      </c>
      <c r="B6801" s="87" t="str">
        <f>IFERROR(__xludf.DUMMYFUNCTION("""COMPUTED_VALUE"""),"ICARE")</f>
        <v>ICARE</v>
      </c>
      <c r="C6801" s="87" t="str">
        <f>IFERROR(__xludf.DUMMYFUNCTION("""COMPUTED_VALUE"""),"VT00012")</f>
        <v>VT00012</v>
      </c>
      <c r="D6801" s="87" t="str">
        <f>IFERROR(__xludf.DUMMYFUNCTION("""COMPUTED_VALUE"""),"Nhãn dán thùng A4")</f>
        <v>Nhãn dán thùng A4</v>
      </c>
      <c r="E6801" s="87"/>
      <c r="F6801" s="87"/>
      <c r="G6801" s="87"/>
    </row>
    <row r="6802">
      <c r="A6802" s="86">
        <f>IFERROR(__xludf.DUMMYFUNCTION("""COMPUTED_VALUE"""),6800.0)</f>
        <v>6800</v>
      </c>
      <c r="B6802" s="87" t="str">
        <f>IFERROR(__xludf.DUMMYFUNCTION("""COMPUTED_VALUE"""),"ICARE")</f>
        <v>ICARE</v>
      </c>
      <c r="C6802" s="87" t="str">
        <f>IFERROR(__xludf.DUMMYFUNCTION("""COMPUTED_VALUE"""),"VT00013")</f>
        <v>VT00013</v>
      </c>
      <c r="D6802" s="87" t="str">
        <f>IFERROR(__xludf.DUMMYFUNCTION("""COMPUTED_VALUE"""),"Nhãn dán thùng A5")</f>
        <v>Nhãn dán thùng A5</v>
      </c>
      <c r="E6802" s="87"/>
      <c r="F6802" s="87"/>
      <c r="G6802" s="87"/>
    </row>
    <row r="6803">
      <c r="A6803" s="86">
        <f>IFERROR(__xludf.DUMMYFUNCTION("""COMPUTED_VALUE"""),6801.0)</f>
        <v>6801</v>
      </c>
      <c r="B6803" s="87" t="str">
        <f>IFERROR(__xludf.DUMMYFUNCTION("""COMPUTED_VALUE"""),"ICARE")</f>
        <v>ICARE</v>
      </c>
      <c r="C6803" s="87" t="str">
        <f>IFERROR(__xludf.DUMMYFUNCTION("""COMPUTED_VALUE"""),"VT00014")</f>
        <v>VT00014</v>
      </c>
      <c r="D6803" s="87" t="str">
        <f>IFERROR(__xludf.DUMMYFUNCTION("""COMPUTED_VALUE"""),"Nhãn mẫu sữa tắm Herbal")</f>
        <v>Nhãn mẫu sữa tắm Herbal</v>
      </c>
      <c r="E6803" s="87"/>
      <c r="F6803" s="87"/>
      <c r="G6803" s="87"/>
    </row>
    <row r="6804">
      <c r="A6804" s="86">
        <f>IFERROR(__xludf.DUMMYFUNCTION("""COMPUTED_VALUE"""),6802.0)</f>
        <v>6802</v>
      </c>
      <c r="B6804" s="87" t="str">
        <f>IFERROR(__xludf.DUMMYFUNCTION("""COMPUTED_VALUE"""),"ICARE")</f>
        <v>ICARE</v>
      </c>
      <c r="C6804" s="87" t="str">
        <f>IFERROR(__xludf.DUMMYFUNCTION("""COMPUTED_VALUE"""),"VT00015")</f>
        <v>VT00015</v>
      </c>
      <c r="D6804" s="87" t="str">
        <f>IFERROR(__xludf.DUMMYFUNCTION("""COMPUTED_VALUE"""),"Tem chống giả")</f>
        <v>Tem chống giả</v>
      </c>
      <c r="E6804" s="87"/>
      <c r="F6804" s="87"/>
      <c r="G6804" s="87"/>
    </row>
    <row r="6805">
      <c r="A6805" s="86">
        <f>IFERROR(__xludf.DUMMYFUNCTION("""COMPUTED_VALUE"""),6803.0)</f>
        <v>6803</v>
      </c>
      <c r="B6805" s="87" t="str">
        <f>IFERROR(__xludf.DUMMYFUNCTION("""COMPUTED_VALUE"""),"ICARE")</f>
        <v>ICARE</v>
      </c>
      <c r="C6805" s="87" t="str">
        <f>IFERROR(__xludf.DUMMYFUNCTION("""COMPUTED_VALUE"""),"VT00016")</f>
        <v>VT00016</v>
      </c>
      <c r="D6805" s="87" t="str">
        <f>IFERROR(__xludf.DUMMYFUNCTION("""COMPUTED_VALUE"""),"Bao lì xì")</f>
        <v>Bao lì xì</v>
      </c>
      <c r="E6805" s="87"/>
      <c r="F6805" s="87"/>
      <c r="G6805" s="87"/>
    </row>
    <row r="6806">
      <c r="A6806" s="86">
        <f>IFERROR(__xludf.DUMMYFUNCTION("""COMPUTED_VALUE"""),6804.0)</f>
        <v>6804</v>
      </c>
      <c r="B6806" s="87" t="str">
        <f>IFERROR(__xludf.DUMMYFUNCTION("""COMPUTED_VALUE"""),"ICARE")</f>
        <v>ICARE</v>
      </c>
      <c r="C6806" s="87" t="str">
        <f>IFERROR(__xludf.DUMMYFUNCTION("""COMPUTED_VALUE"""),"VT00017")</f>
        <v>VT00017</v>
      </c>
      <c r="D6806" s="87" t="str">
        <f>IFERROR(__xludf.DUMMYFUNCTION("""COMPUTED_VALUE"""),"Thẻ cào")</f>
        <v>Thẻ cào</v>
      </c>
      <c r="E6806" s="87"/>
      <c r="F6806" s="87"/>
      <c r="G6806" s="87"/>
    </row>
    <row r="6807">
      <c r="A6807" s="86">
        <f>IFERROR(__xludf.DUMMYFUNCTION("""COMPUTED_VALUE"""),6805.0)</f>
        <v>6805</v>
      </c>
      <c r="B6807" s="87" t="str">
        <f>IFERROR(__xludf.DUMMYFUNCTION("""COMPUTED_VALUE"""),"ICARE")</f>
        <v>ICARE</v>
      </c>
      <c r="C6807" s="87" t="str">
        <f>IFERROR(__xludf.DUMMYFUNCTION("""COMPUTED_VALUE"""),"VT00018")</f>
        <v>VT00018</v>
      </c>
      <c r="D6807" s="87" t="str">
        <f>IFERROR(__xludf.DUMMYFUNCTION("""COMPUTED_VALUE"""),"Profile ICARE")</f>
        <v>Profile ICARE</v>
      </c>
      <c r="E6807" s="87"/>
      <c r="F6807" s="87"/>
      <c r="G6807" s="87"/>
    </row>
    <row r="6808">
      <c r="A6808" s="86">
        <f>IFERROR(__xludf.DUMMYFUNCTION("""COMPUTED_VALUE"""),6806.0)</f>
        <v>6806</v>
      </c>
      <c r="B6808" s="87" t="str">
        <f>IFERROR(__xludf.DUMMYFUNCTION("""COMPUTED_VALUE"""),"ICARE")</f>
        <v>ICARE</v>
      </c>
      <c r="C6808" s="87" t="str">
        <f>IFERROR(__xludf.DUMMYFUNCTION("""COMPUTED_VALUE"""),"VT00019")</f>
        <v>VT00019</v>
      </c>
      <c r="D6808" s="87" t="str">
        <f>IFERROR(__xludf.DUMMYFUNCTION("""COMPUTED_VALUE"""),"Thùng Carton (50x40x30)")</f>
        <v>Thùng Carton (50x40x30)</v>
      </c>
      <c r="E6808" s="87"/>
      <c r="F6808" s="87"/>
      <c r="G6808" s="87"/>
    </row>
    <row r="6809">
      <c r="A6809" s="86">
        <f>IFERROR(__xludf.DUMMYFUNCTION("""COMPUTED_VALUE"""),6807.0)</f>
        <v>6807</v>
      </c>
      <c r="B6809" s="87" t="str">
        <f>IFERROR(__xludf.DUMMYFUNCTION("""COMPUTED_VALUE"""),"ICARE")</f>
        <v>ICARE</v>
      </c>
      <c r="C6809" s="87" t="str">
        <f>IFERROR(__xludf.DUMMYFUNCTION("""COMPUTED_VALUE"""),"VT00020")</f>
        <v>VT00020</v>
      </c>
      <c r="D6809" s="87" t="str">
        <f>IFERROR(__xludf.DUMMYFUNCTION("""COMPUTED_VALUE"""),"Thùng Carton (32x32x35)")</f>
        <v>Thùng Carton (32x32x35)</v>
      </c>
      <c r="E6809" s="87"/>
      <c r="F6809" s="87"/>
      <c r="G6809" s="87"/>
    </row>
    <row r="6810">
      <c r="A6810" s="86">
        <f>IFERROR(__xludf.DUMMYFUNCTION("""COMPUTED_VALUE"""),6808.0)</f>
        <v>6808</v>
      </c>
      <c r="B6810" s="87" t="str">
        <f>IFERROR(__xludf.DUMMYFUNCTION("""COMPUTED_VALUE"""),"ICARE")</f>
        <v>ICARE</v>
      </c>
      <c r="C6810" s="87" t="str">
        <f>IFERROR(__xludf.DUMMYFUNCTION("""COMPUTED_VALUE"""),"VT00021")</f>
        <v>VT00021</v>
      </c>
      <c r="D6810" s="87" t="str">
        <f>IFERROR(__xludf.DUMMYFUNCTION("""COMPUTED_VALUE"""),"Thùng Carton 24x24x24")</f>
        <v>Thùng Carton 24x24x24</v>
      </c>
      <c r="E6810" s="87"/>
      <c r="F6810" s="87"/>
      <c r="G6810" s="87"/>
    </row>
    <row r="6811">
      <c r="A6811" s="86">
        <f>IFERROR(__xludf.DUMMYFUNCTION("""COMPUTED_VALUE"""),6809.0)</f>
        <v>6809</v>
      </c>
      <c r="B6811" s="87" t="str">
        <f>IFERROR(__xludf.DUMMYFUNCTION("""COMPUTED_VALUE"""),"ICARE")</f>
        <v>ICARE</v>
      </c>
      <c r="C6811" s="87" t="str">
        <f>IFERROR(__xludf.DUMMYFUNCTION("""COMPUTED_VALUE"""),"VT00022")</f>
        <v>VT00022</v>
      </c>
      <c r="D6811" s="87" t="str">
        <f>IFERROR(__xludf.DUMMYFUNCTION("""COMPUTED_VALUE"""),"Khăn 50x100cm trắng, thêu")</f>
        <v>Khăn 50x100cm trắng, thêu</v>
      </c>
      <c r="E6811" s="87"/>
      <c r="F6811" s="87"/>
      <c r="G6811" s="87"/>
    </row>
    <row r="6812">
      <c r="A6812" s="86">
        <f>IFERROR(__xludf.DUMMYFUNCTION("""COMPUTED_VALUE"""),6810.0)</f>
        <v>6810</v>
      </c>
      <c r="B6812" s="87" t="str">
        <f>IFERROR(__xludf.DUMMYFUNCTION("""COMPUTED_VALUE"""),"ICARE")</f>
        <v>ICARE</v>
      </c>
      <c r="C6812" s="87" t="str">
        <f>IFERROR(__xludf.DUMMYFUNCTION("""COMPUTED_VALUE"""),"VT00023")</f>
        <v>VT00023</v>
      </c>
      <c r="D6812" s="87" t="str">
        <f>IFERROR(__xludf.DUMMYFUNCTION("""COMPUTED_VALUE"""),"Lược gội đầu Muji trắng")</f>
        <v>Lược gội đầu Muji trắng</v>
      </c>
      <c r="E6812" s="87"/>
      <c r="F6812" s="87"/>
      <c r="G6812" s="87"/>
    </row>
    <row r="6813">
      <c r="A6813" s="86">
        <f>IFERROR(__xludf.DUMMYFUNCTION("""COMPUTED_VALUE"""),6811.0)</f>
        <v>6811</v>
      </c>
      <c r="B6813" s="87" t="str">
        <f>IFERROR(__xludf.DUMMYFUNCTION("""COMPUTED_VALUE"""),"ICARE")</f>
        <v>ICARE</v>
      </c>
      <c r="C6813" s="87" t="str">
        <f>IFERROR(__xludf.DUMMYFUNCTION("""COMPUTED_VALUE"""),"VT00024")</f>
        <v>VT00024</v>
      </c>
      <c r="D6813" s="87" t="str">
        <f>IFERROR(__xludf.DUMMYFUNCTION("""COMPUTED_VALUE"""),"Khăn quấn đầu")</f>
        <v>Khăn quấn đầu</v>
      </c>
      <c r="E6813" s="87"/>
      <c r="F6813" s="87"/>
      <c r="G6813" s="87"/>
    </row>
    <row r="6814">
      <c r="A6814" s="86">
        <f>IFERROR(__xludf.DUMMYFUNCTION("""COMPUTED_VALUE"""),6812.0)</f>
        <v>6812</v>
      </c>
      <c r="B6814" s="87" t="str">
        <f>IFERROR(__xludf.DUMMYFUNCTION("""COMPUTED_VALUE"""),"ICARE")</f>
        <v>ICARE</v>
      </c>
      <c r="C6814" s="87" t="str">
        <f>IFERROR(__xludf.DUMMYFUNCTION("""COMPUTED_VALUE"""),"VT00025")</f>
        <v>VT00025</v>
      </c>
      <c r="D6814" s="87" t="str">
        <f>IFERROR(__xludf.DUMMYFUNCTION("""COMPUTED_VALUE"""),"Khăn 50x100cm màu xám thêu logo")</f>
        <v>Khăn 50x100cm màu xám thêu logo</v>
      </c>
      <c r="E6814" s="87"/>
      <c r="F6814" s="87"/>
      <c r="G6814" s="87"/>
    </row>
    <row r="6815">
      <c r="A6815" s="86">
        <f>IFERROR(__xludf.DUMMYFUNCTION("""COMPUTED_VALUE"""),6813.0)</f>
        <v>6813</v>
      </c>
      <c r="B6815" s="87" t="str">
        <f>IFERROR(__xludf.DUMMYFUNCTION("""COMPUTED_VALUE"""),"ICARE")</f>
        <v>ICARE</v>
      </c>
      <c r="C6815" s="87" t="str">
        <f>IFERROR(__xludf.DUMMYFUNCTION("""COMPUTED_VALUE"""),"VT00026")</f>
        <v>VT00026</v>
      </c>
      <c r="D6815" s="87" t="str">
        <f>IFERROR(__xludf.DUMMYFUNCTION("""COMPUTED_VALUE"""),"Máy sấy tóc")</f>
        <v>Máy sấy tóc</v>
      </c>
      <c r="E6815" s="87"/>
      <c r="F6815" s="87"/>
      <c r="G6815" s="87"/>
    </row>
    <row r="6816">
      <c r="A6816" s="86">
        <f>IFERROR(__xludf.DUMMYFUNCTION("""COMPUTED_VALUE"""),6814.0)</f>
        <v>6814</v>
      </c>
      <c r="B6816" s="87" t="str">
        <f>IFERROR(__xludf.DUMMYFUNCTION("""COMPUTED_VALUE"""),"ICARE")</f>
        <v>ICARE</v>
      </c>
      <c r="C6816" s="87" t="str">
        <f>IFERROR(__xludf.DUMMYFUNCTION("""COMPUTED_VALUE"""),"VT00027")</f>
        <v>VT00027</v>
      </c>
      <c r="D6816" s="87" t="str">
        <f>IFERROR(__xludf.DUMMYFUNCTION("""COMPUTED_VALUE"""),"Túi vải Canvas")</f>
        <v>Túi vải Canvas</v>
      </c>
      <c r="E6816" s="87"/>
      <c r="F6816" s="87"/>
      <c r="G6816" s="87"/>
    </row>
    <row r="6817">
      <c r="A6817" s="86">
        <f>IFERROR(__xludf.DUMMYFUNCTION("""COMPUTED_VALUE"""),6815.0)</f>
        <v>6815</v>
      </c>
      <c r="B6817" s="87" t="str">
        <f>IFERROR(__xludf.DUMMYFUNCTION("""COMPUTED_VALUE"""),"ICARE")</f>
        <v>ICARE</v>
      </c>
      <c r="C6817" s="87" t="str">
        <f>IFERROR(__xludf.DUMMYFUNCTION("""COMPUTED_VALUE"""),"VT00028")</f>
        <v>VT00028</v>
      </c>
      <c r="D6817" s="87" t="str">
        <f>IFERROR(__xludf.DUMMYFUNCTION("""COMPUTED_VALUE"""),"Miếng lót mũ bảo hiểm")</f>
        <v>Miếng lót mũ bảo hiểm</v>
      </c>
      <c r="E6817" s="87"/>
      <c r="F6817" s="87"/>
      <c r="G6817" s="87"/>
    </row>
    <row r="6818">
      <c r="A6818" s="86">
        <f>IFERROR(__xludf.DUMMYFUNCTION("""COMPUTED_VALUE"""),6816.0)</f>
        <v>6816</v>
      </c>
      <c r="B6818" s="87" t="str">
        <f>IFERROR(__xludf.DUMMYFUNCTION("""COMPUTED_VALUE"""),"ICARE")</f>
        <v>ICARE</v>
      </c>
      <c r="C6818" s="87" t="str">
        <f>IFERROR(__xludf.DUMMYFUNCTION("""COMPUTED_VALUE"""),"VT00029")</f>
        <v>VT00029</v>
      </c>
      <c r="D6818" s="87" t="str">
        <f>IFERROR(__xludf.DUMMYFUNCTION("""COMPUTED_VALUE"""),"Cốc tạo bọt")</f>
        <v>Cốc tạo bọt</v>
      </c>
      <c r="E6818" s="87"/>
      <c r="F6818" s="87"/>
      <c r="G6818" s="87"/>
    </row>
    <row r="6819">
      <c r="A6819" s="86">
        <f>IFERROR(__xludf.DUMMYFUNCTION("""COMPUTED_VALUE"""),6817.0)</f>
        <v>6817</v>
      </c>
      <c r="B6819" s="87" t="str">
        <f>IFERROR(__xludf.DUMMYFUNCTION("""COMPUTED_VALUE"""),"ICARE")</f>
        <v>ICARE</v>
      </c>
      <c r="C6819" s="87" t="str">
        <f>IFERROR(__xludf.DUMMYFUNCTION("""COMPUTED_VALUE"""),"VT00030")</f>
        <v>VT00030</v>
      </c>
      <c r="D6819" s="87" t="str">
        <f>IFERROR(__xludf.DUMMYFUNCTION("""COMPUTED_VALUE"""),"Bông tắm")</f>
        <v>Bông tắm</v>
      </c>
      <c r="E6819" s="87"/>
      <c r="F6819" s="87"/>
      <c r="G6819" s="87"/>
    </row>
    <row r="6820">
      <c r="A6820" s="86">
        <f>IFERROR(__xludf.DUMMYFUNCTION("""COMPUTED_VALUE"""),6818.0)</f>
        <v>6818</v>
      </c>
      <c r="B6820" s="87" t="str">
        <f>IFERROR(__xludf.DUMMYFUNCTION("""COMPUTED_VALUE"""),"ICARE")</f>
        <v>ICARE</v>
      </c>
      <c r="C6820" s="87" t="str">
        <f>IFERROR(__xludf.DUMMYFUNCTION("""COMPUTED_VALUE"""),"XE_VF5")</f>
        <v>XE_VF5</v>
      </c>
      <c r="D6820" s="87" t="str">
        <f>IFERROR(__xludf.DUMMYFUNCTION("""COMPUTED_VALUE"""),"Xe Vinfast VF5")</f>
        <v>Xe Vinfast VF5</v>
      </c>
      <c r="E6820" s="87"/>
      <c r="F6820" s="87"/>
      <c r="G6820" s="87"/>
    </row>
    <row r="6821">
      <c r="A6821" s="86">
        <f>IFERROR(__xludf.DUMMYFUNCTION("""COMPUTED_VALUE"""),6819.0)</f>
        <v>6819</v>
      </c>
      <c r="B6821" s="87" t="str">
        <f>IFERROR(__xludf.DUMMYFUNCTION("""COMPUTED_VALUE"""),"ICARE")</f>
        <v>ICARE</v>
      </c>
      <c r="C6821" s="87" t="str">
        <f>IFERROR(__xludf.DUMMYFUNCTION("""COMPUTED_VALUE"""),"VT00031")</f>
        <v>VT00031</v>
      </c>
      <c r="D6821" s="87" t="str">
        <f>IFERROR(__xludf.DUMMYFUNCTION("""COMPUTED_VALUE"""),"Hộp KT: 20-10-10")</f>
        <v>Hộp KT: 20-10-10</v>
      </c>
      <c r="E6821" s="87"/>
      <c r="F6821" s="87"/>
      <c r="G6821" s="87"/>
    </row>
    <row r="6822">
      <c r="A6822" s="86">
        <f>IFERROR(__xludf.DUMMYFUNCTION("""COMPUTED_VALUE"""),6820.0)</f>
        <v>6820</v>
      </c>
      <c r="B6822" s="87" t="str">
        <f>IFERROR(__xludf.DUMMYFUNCTION("""COMPUTED_VALUE"""),"ICARE")</f>
        <v>ICARE</v>
      </c>
      <c r="C6822" s="87" t="str">
        <f>IFERROR(__xludf.DUMMYFUNCTION("""COMPUTED_VALUE"""),"VT00032")</f>
        <v>VT00032</v>
      </c>
      <c r="D6822" s="87" t="str">
        <f>IFERROR(__xludf.DUMMYFUNCTION("""COMPUTED_VALUE"""),"Hộp KT: 24-24-24")</f>
        <v>Hộp KT: 24-24-24</v>
      </c>
      <c r="E6822" s="87"/>
      <c r="F6822" s="87"/>
      <c r="G6822" s="87"/>
    </row>
    <row r="6823">
      <c r="A6823" s="86">
        <f>IFERROR(__xludf.DUMMYFUNCTION("""COMPUTED_VALUE"""),6821.0)</f>
        <v>6821</v>
      </c>
      <c r="B6823" s="87" t="str">
        <f>IFERROR(__xludf.DUMMYFUNCTION("""COMPUTED_VALUE"""),"ICARE")</f>
        <v>ICARE</v>
      </c>
      <c r="C6823" s="87" t="str">
        <f>IFERROR(__xludf.DUMMYFUNCTION("""COMPUTED_VALUE"""),"VT00033")</f>
        <v>VT00033</v>
      </c>
      <c r="D6823" s="87" t="str">
        <f>IFERROR(__xludf.DUMMYFUNCTION("""COMPUTED_VALUE"""),"Hộp KT: 25-20-10")</f>
        <v>Hộp KT: 25-20-10</v>
      </c>
      <c r="E6823" s="87"/>
      <c r="F6823" s="87"/>
      <c r="G6823" s="87"/>
    </row>
    <row r="6824">
      <c r="A6824" s="86">
        <f>IFERROR(__xludf.DUMMYFUNCTION("""COMPUTED_VALUE"""),6822.0)</f>
        <v>6822</v>
      </c>
      <c r="B6824" s="87" t="str">
        <f>IFERROR(__xludf.DUMMYFUNCTION("""COMPUTED_VALUE"""),"ICARE")</f>
        <v>ICARE</v>
      </c>
      <c r="C6824" s="87" t="str">
        <f>IFERROR(__xludf.DUMMYFUNCTION("""COMPUTED_VALUE"""),"VT00034")</f>
        <v>VT00034</v>
      </c>
      <c r="D6824" s="87" t="str">
        <f>IFERROR(__xludf.DUMMYFUNCTION("""COMPUTED_VALUE"""),"Màng co nhiệt KT: 120x197")</f>
        <v>Màng co nhiệt KT: 120x197</v>
      </c>
      <c r="E6824" s="87"/>
      <c r="F6824" s="87"/>
      <c r="G6824" s="87"/>
    </row>
    <row r="6825">
      <c r="A6825" s="86">
        <f>IFERROR(__xludf.DUMMYFUNCTION("""COMPUTED_VALUE"""),6823.0)</f>
        <v>6823</v>
      </c>
      <c r="B6825" s="87" t="str">
        <f>IFERROR(__xludf.DUMMYFUNCTION("""COMPUTED_VALUE"""),"ICARE")</f>
        <v>ICARE</v>
      </c>
      <c r="C6825" s="87" t="str">
        <f>IFERROR(__xludf.DUMMYFUNCTION("""COMPUTED_VALUE"""),"VT00035")</f>
        <v>VT00035</v>
      </c>
      <c r="D6825" s="87" t="str">
        <f>IFERROR(__xludf.DUMMYFUNCTION("""COMPUTED_VALUE"""),"Thùng carton nâu 5 lớp ,cán màng Icare (50.5x37.5x34cm) Phủ bì")</f>
        <v>Thùng carton nâu 5 lớp ,cán màng Icare (50.5x37.5x34cm) Phủ bì</v>
      </c>
      <c r="E6825" s="87"/>
      <c r="F6825" s="87"/>
      <c r="G6825" s="87"/>
    </row>
    <row r="6826">
      <c r="A6826" s="86" t="str">
        <f>IFERROR(__xludf.DUMMYFUNCTION("""COMPUTED_VALUE"""),"")</f>
        <v/>
      </c>
      <c r="B6826" s="87"/>
      <c r="C6826" s="87"/>
      <c r="D6826" s="87"/>
      <c r="E6826" s="87"/>
      <c r="F6826" s="87"/>
      <c r="G6826" s="87"/>
    </row>
    <row r="6827">
      <c r="A6827" s="86" t="str">
        <f>IFERROR(__xludf.DUMMYFUNCTION("""COMPUTED_VALUE"""),"")</f>
        <v/>
      </c>
      <c r="B6827" s="87"/>
      <c r="C6827" s="87"/>
      <c r="D6827" s="87"/>
      <c r="E6827" s="87"/>
      <c r="F6827" s="87"/>
      <c r="G6827" s="87"/>
    </row>
    <row r="6828">
      <c r="A6828" s="86" t="str">
        <f>IFERROR(__xludf.DUMMYFUNCTION("""COMPUTED_VALUE"""),"")</f>
        <v/>
      </c>
      <c r="B6828" s="87"/>
      <c r="C6828" s="87"/>
      <c r="D6828" s="87"/>
      <c r="E6828" s="87"/>
      <c r="F6828" s="87"/>
      <c r="G6828" s="87"/>
    </row>
    <row r="6829">
      <c r="A6829" s="86" t="str">
        <f>IFERROR(__xludf.DUMMYFUNCTION("""COMPUTED_VALUE"""),"")</f>
        <v/>
      </c>
      <c r="B6829" s="87"/>
      <c r="C6829" s="87"/>
      <c r="D6829" s="87"/>
      <c r="E6829" s="87"/>
      <c r="F6829" s="87"/>
      <c r="G6829" s="87"/>
    </row>
    <row r="6830">
      <c r="A6830" s="86" t="str">
        <f>IFERROR(__xludf.DUMMYFUNCTION("""COMPUTED_VALUE"""),"")</f>
        <v/>
      </c>
      <c r="B6830" s="87"/>
      <c r="C6830" s="87"/>
      <c r="D6830" s="87"/>
      <c r="E6830" s="87"/>
      <c r="F6830" s="87"/>
      <c r="G6830" s="87"/>
    </row>
    <row r="6831">
      <c r="A6831" s="86" t="str">
        <f>IFERROR(__xludf.DUMMYFUNCTION("""COMPUTED_VALUE"""),"")</f>
        <v/>
      </c>
      <c r="B6831" s="87"/>
      <c r="C6831" s="87"/>
      <c r="D6831" s="87"/>
      <c r="E6831" s="87"/>
      <c r="F6831" s="87"/>
      <c r="G6831" s="87"/>
    </row>
    <row r="6832">
      <c r="A6832" s="86" t="str">
        <f>IFERROR(__xludf.DUMMYFUNCTION("""COMPUTED_VALUE"""),"")</f>
        <v/>
      </c>
      <c r="B6832" s="87"/>
      <c r="C6832" s="87"/>
      <c r="D6832" s="87"/>
      <c r="E6832" s="87"/>
      <c r="F6832" s="87"/>
      <c r="G6832" s="87"/>
    </row>
    <row r="6833">
      <c r="A6833" s="86" t="str">
        <f>IFERROR(__xludf.DUMMYFUNCTION("""COMPUTED_VALUE"""),"")</f>
        <v/>
      </c>
      <c r="B6833" s="87"/>
      <c r="C6833" s="87"/>
      <c r="D6833" s="87"/>
      <c r="E6833" s="87"/>
      <c r="F6833" s="87"/>
      <c r="G6833" s="87"/>
    </row>
    <row r="6834">
      <c r="A6834" s="86" t="str">
        <f>IFERROR(__xludf.DUMMYFUNCTION("""COMPUTED_VALUE"""),"")</f>
        <v/>
      </c>
      <c r="B6834" s="87"/>
      <c r="C6834" s="87"/>
      <c r="D6834" s="87"/>
      <c r="E6834" s="87"/>
      <c r="F6834" s="87"/>
      <c r="G6834" s="87"/>
    </row>
    <row r="6835">
      <c r="A6835" s="86" t="str">
        <f>IFERROR(__xludf.DUMMYFUNCTION("""COMPUTED_VALUE"""),"")</f>
        <v/>
      </c>
      <c r="B6835" s="87"/>
      <c r="C6835" s="87"/>
      <c r="D6835" s="87"/>
      <c r="E6835" s="87"/>
      <c r="F6835" s="87"/>
      <c r="G6835" s="87"/>
    </row>
    <row r="6836">
      <c r="A6836" s="86" t="str">
        <f>IFERROR(__xludf.DUMMYFUNCTION("""COMPUTED_VALUE"""),"")</f>
        <v/>
      </c>
      <c r="B6836" s="87"/>
      <c r="C6836" s="87"/>
      <c r="D6836" s="87"/>
      <c r="E6836" s="87"/>
      <c r="F6836" s="87"/>
      <c r="G6836" s="87"/>
    </row>
    <row r="6837">
      <c r="A6837" s="86" t="str">
        <f>IFERROR(__xludf.DUMMYFUNCTION("""COMPUTED_VALUE"""),"")</f>
        <v/>
      </c>
      <c r="B6837" s="87"/>
      <c r="C6837" s="87"/>
      <c r="D6837" s="87"/>
      <c r="E6837" s="87"/>
      <c r="F6837" s="87"/>
      <c r="G6837" s="87"/>
    </row>
    <row r="6838">
      <c r="A6838" s="86" t="str">
        <f>IFERROR(__xludf.DUMMYFUNCTION("""COMPUTED_VALUE"""),"")</f>
        <v/>
      </c>
      <c r="B6838" s="87"/>
      <c r="C6838" s="87"/>
      <c r="D6838" s="87"/>
      <c r="E6838" s="87"/>
      <c r="F6838" s="87"/>
      <c r="G6838" s="87"/>
    </row>
    <row r="6839">
      <c r="A6839" s="86" t="str">
        <f>IFERROR(__xludf.DUMMYFUNCTION("""COMPUTED_VALUE"""),"")</f>
        <v/>
      </c>
      <c r="B6839" s="87"/>
      <c r="C6839" s="87"/>
      <c r="D6839" s="87"/>
      <c r="E6839" s="87"/>
      <c r="F6839" s="87"/>
      <c r="G6839" s="87"/>
    </row>
    <row r="6840">
      <c r="A6840" s="86" t="str">
        <f>IFERROR(__xludf.DUMMYFUNCTION("""COMPUTED_VALUE"""),"")</f>
        <v/>
      </c>
      <c r="B6840" s="87"/>
      <c r="C6840" s="87"/>
      <c r="D6840" s="87"/>
      <c r="E6840" s="87"/>
      <c r="F6840" s="87"/>
      <c r="G6840" s="87"/>
    </row>
    <row r="6841">
      <c r="A6841" s="86" t="str">
        <f>IFERROR(__xludf.DUMMYFUNCTION("""COMPUTED_VALUE"""),"")</f>
        <v/>
      </c>
      <c r="B6841" s="87"/>
      <c r="C6841" s="87"/>
      <c r="D6841" s="87"/>
      <c r="E6841" s="87"/>
      <c r="F6841" s="87"/>
      <c r="G6841" s="87"/>
    </row>
    <row r="6842">
      <c r="A6842" s="86" t="str">
        <f>IFERROR(__xludf.DUMMYFUNCTION("""COMPUTED_VALUE"""),"")</f>
        <v/>
      </c>
      <c r="B6842" s="87"/>
      <c r="C6842" s="87"/>
      <c r="D6842" s="87"/>
      <c r="E6842" s="87"/>
      <c r="F6842" s="87"/>
      <c r="G6842" s="87"/>
    </row>
    <row r="6843">
      <c r="A6843" s="86" t="str">
        <f>IFERROR(__xludf.DUMMYFUNCTION("""COMPUTED_VALUE"""),"")</f>
        <v/>
      </c>
      <c r="B6843" s="87"/>
      <c r="C6843" s="87"/>
      <c r="D6843" s="87"/>
      <c r="E6843" s="87"/>
      <c r="F6843" s="87"/>
      <c r="G6843" s="87"/>
    </row>
    <row r="6844">
      <c r="A6844" s="86" t="str">
        <f>IFERROR(__xludf.DUMMYFUNCTION("""COMPUTED_VALUE"""),"")</f>
        <v/>
      </c>
      <c r="B6844" s="87"/>
      <c r="C6844" s="87"/>
      <c r="D6844" s="87"/>
      <c r="E6844" s="87"/>
      <c r="F6844" s="87"/>
      <c r="G6844" s="87"/>
    </row>
    <row r="6845">
      <c r="A6845" s="86" t="str">
        <f>IFERROR(__xludf.DUMMYFUNCTION("""COMPUTED_VALUE"""),"")</f>
        <v/>
      </c>
      <c r="B6845" s="87"/>
      <c r="C6845" s="87"/>
      <c r="D6845" s="87"/>
      <c r="E6845" s="87"/>
      <c r="F6845" s="87"/>
      <c r="G6845" s="87"/>
    </row>
    <row r="6846">
      <c r="A6846" s="86" t="str">
        <f>IFERROR(__xludf.DUMMYFUNCTION("""COMPUTED_VALUE"""),"")</f>
        <v/>
      </c>
      <c r="B6846" s="87"/>
      <c r="C6846" s="87"/>
      <c r="D6846" s="87"/>
      <c r="E6846" s="87"/>
      <c r="F6846" s="87"/>
      <c r="G6846" s="87"/>
    </row>
    <row r="6847">
      <c r="A6847" s="86" t="str">
        <f>IFERROR(__xludf.DUMMYFUNCTION("""COMPUTED_VALUE"""),"")</f>
        <v/>
      </c>
      <c r="B6847" s="87"/>
      <c r="C6847" s="87"/>
      <c r="D6847" s="87"/>
      <c r="E6847" s="87"/>
      <c r="F6847" s="87"/>
      <c r="G6847" s="87"/>
    </row>
    <row r="6848">
      <c r="A6848" s="86" t="str">
        <f>IFERROR(__xludf.DUMMYFUNCTION("""COMPUTED_VALUE"""),"")</f>
        <v/>
      </c>
      <c r="B6848" s="87"/>
      <c r="C6848" s="87"/>
      <c r="D6848" s="87"/>
      <c r="E6848" s="87"/>
      <c r="F6848" s="87"/>
      <c r="G6848" s="87"/>
    </row>
    <row r="6849">
      <c r="A6849" s="86" t="str">
        <f>IFERROR(__xludf.DUMMYFUNCTION("""COMPUTED_VALUE"""),"")</f>
        <v/>
      </c>
      <c r="B6849" s="87"/>
      <c r="C6849" s="87"/>
      <c r="D6849" s="87"/>
      <c r="E6849" s="87"/>
      <c r="F6849" s="87"/>
      <c r="G6849" s="87"/>
    </row>
    <row r="6850">
      <c r="A6850" s="86" t="str">
        <f>IFERROR(__xludf.DUMMYFUNCTION("""COMPUTED_VALUE"""),"")</f>
        <v/>
      </c>
      <c r="B6850" s="87"/>
      <c r="C6850" s="87"/>
      <c r="D6850" s="87"/>
      <c r="E6850" s="87"/>
      <c r="F6850" s="87"/>
      <c r="G6850" s="87"/>
    </row>
    <row r="6851">
      <c r="A6851" s="86" t="str">
        <f>IFERROR(__xludf.DUMMYFUNCTION("""COMPUTED_VALUE"""),"")</f>
        <v/>
      </c>
      <c r="B6851" s="87"/>
      <c r="C6851" s="87"/>
      <c r="D6851" s="87"/>
      <c r="E6851" s="87"/>
      <c r="F6851" s="87"/>
      <c r="G6851" s="87"/>
    </row>
    <row r="6852">
      <c r="A6852" s="86" t="str">
        <f>IFERROR(__xludf.DUMMYFUNCTION("""COMPUTED_VALUE"""),"")</f>
        <v/>
      </c>
      <c r="B6852" s="87"/>
      <c r="C6852" s="87"/>
      <c r="D6852" s="87"/>
      <c r="E6852" s="87"/>
      <c r="F6852" s="87"/>
      <c r="G6852" s="87"/>
    </row>
    <row r="6853">
      <c r="A6853" s="86" t="str">
        <f>IFERROR(__xludf.DUMMYFUNCTION("""COMPUTED_VALUE"""),"")</f>
        <v/>
      </c>
      <c r="B6853" s="87"/>
      <c r="C6853" s="87"/>
      <c r="D6853" s="87"/>
      <c r="E6853" s="87"/>
      <c r="F6853" s="87"/>
      <c r="G6853" s="87"/>
    </row>
    <row r="6854">
      <c r="A6854" s="86" t="str">
        <f>IFERROR(__xludf.DUMMYFUNCTION("""COMPUTED_VALUE"""),"")</f>
        <v/>
      </c>
      <c r="B6854" s="87"/>
      <c r="C6854" s="87"/>
      <c r="D6854" s="87"/>
      <c r="E6854" s="87"/>
      <c r="F6854" s="87"/>
      <c r="G6854" s="87"/>
    </row>
    <row r="6855">
      <c r="A6855" s="86" t="str">
        <f>IFERROR(__xludf.DUMMYFUNCTION("""COMPUTED_VALUE"""),"")</f>
        <v/>
      </c>
      <c r="B6855" s="87"/>
      <c r="C6855" s="87"/>
      <c r="D6855" s="87"/>
      <c r="E6855" s="87"/>
      <c r="F6855" s="87"/>
      <c r="G6855" s="87"/>
    </row>
    <row r="6856">
      <c r="A6856" s="86" t="str">
        <f>IFERROR(__xludf.DUMMYFUNCTION("""COMPUTED_VALUE"""),"")</f>
        <v/>
      </c>
      <c r="B6856" s="87"/>
      <c r="C6856" s="87"/>
      <c r="D6856" s="87"/>
      <c r="E6856" s="87"/>
      <c r="F6856" s="87"/>
      <c r="G6856" s="87"/>
    </row>
    <row r="6857">
      <c r="A6857" s="86" t="str">
        <f>IFERROR(__xludf.DUMMYFUNCTION("""COMPUTED_VALUE"""),"")</f>
        <v/>
      </c>
      <c r="B6857" s="87"/>
      <c r="C6857" s="87"/>
      <c r="D6857" s="87"/>
      <c r="E6857" s="87"/>
      <c r="F6857" s="87"/>
      <c r="G6857" s="87"/>
    </row>
    <row r="6858">
      <c r="A6858" s="86" t="str">
        <f>IFERROR(__xludf.DUMMYFUNCTION("""COMPUTED_VALUE"""),"")</f>
        <v/>
      </c>
      <c r="B6858" s="87"/>
      <c r="C6858" s="87"/>
      <c r="D6858" s="87"/>
      <c r="E6858" s="87"/>
      <c r="F6858" s="87"/>
      <c r="G6858" s="87"/>
    </row>
    <row r="6859">
      <c r="A6859" s="86" t="str">
        <f>IFERROR(__xludf.DUMMYFUNCTION("""COMPUTED_VALUE"""),"")</f>
        <v/>
      </c>
      <c r="B6859" s="87"/>
      <c r="C6859" s="87"/>
      <c r="D6859" s="87"/>
      <c r="E6859" s="87"/>
      <c r="F6859" s="87"/>
      <c r="G6859" s="87"/>
    </row>
    <row r="6860">
      <c r="A6860" s="86" t="str">
        <f>IFERROR(__xludf.DUMMYFUNCTION("""COMPUTED_VALUE"""),"")</f>
        <v/>
      </c>
      <c r="B6860" s="87"/>
      <c r="C6860" s="87"/>
      <c r="D6860" s="87"/>
      <c r="E6860" s="87"/>
      <c r="F6860" s="87"/>
      <c r="G6860" s="87"/>
    </row>
    <row r="6861">
      <c r="A6861" s="86" t="str">
        <f>IFERROR(__xludf.DUMMYFUNCTION("""COMPUTED_VALUE"""),"")</f>
        <v/>
      </c>
      <c r="B6861" s="87"/>
      <c r="C6861" s="87"/>
      <c r="D6861" s="87"/>
      <c r="E6861" s="87"/>
      <c r="F6861" s="87"/>
      <c r="G6861" s="87"/>
    </row>
    <row r="6862">
      <c r="A6862" s="86" t="str">
        <f>IFERROR(__xludf.DUMMYFUNCTION("""COMPUTED_VALUE"""),"")</f>
        <v/>
      </c>
      <c r="B6862" s="87"/>
      <c r="C6862" s="87"/>
      <c r="D6862" s="87"/>
      <c r="E6862" s="87"/>
      <c r="F6862" s="87"/>
      <c r="G6862" s="87"/>
    </row>
    <row r="6863">
      <c r="A6863" s="86" t="str">
        <f>IFERROR(__xludf.DUMMYFUNCTION("""COMPUTED_VALUE"""),"")</f>
        <v/>
      </c>
      <c r="B6863" s="87"/>
      <c r="C6863" s="87"/>
      <c r="D6863" s="87"/>
      <c r="E6863" s="87"/>
      <c r="F6863" s="87"/>
      <c r="G6863" s="87"/>
    </row>
    <row r="6864">
      <c r="A6864" s="86" t="str">
        <f>IFERROR(__xludf.DUMMYFUNCTION("""COMPUTED_VALUE"""),"")</f>
        <v/>
      </c>
      <c r="B6864" s="87"/>
      <c r="C6864" s="87"/>
      <c r="D6864" s="87"/>
      <c r="E6864" s="87"/>
      <c r="F6864" s="87"/>
      <c r="G6864" s="87"/>
    </row>
    <row r="6865">
      <c r="A6865" s="86" t="str">
        <f>IFERROR(__xludf.DUMMYFUNCTION("""COMPUTED_VALUE"""),"")</f>
        <v/>
      </c>
      <c r="B6865" s="87"/>
      <c r="C6865" s="87"/>
      <c r="D6865" s="87"/>
      <c r="E6865" s="87"/>
      <c r="F6865" s="87"/>
      <c r="G6865" s="87"/>
    </row>
    <row r="6866">
      <c r="A6866" s="86" t="str">
        <f>IFERROR(__xludf.DUMMYFUNCTION("""COMPUTED_VALUE"""),"")</f>
        <v/>
      </c>
      <c r="B6866" s="87"/>
      <c r="C6866" s="87"/>
      <c r="D6866" s="87"/>
      <c r="E6866" s="87"/>
      <c r="F6866" s="87"/>
      <c r="G6866" s="87"/>
    </row>
    <row r="6867">
      <c r="A6867" s="86" t="str">
        <f>IFERROR(__xludf.DUMMYFUNCTION("""COMPUTED_VALUE"""),"")</f>
        <v/>
      </c>
      <c r="B6867" s="87"/>
      <c r="C6867" s="87"/>
      <c r="D6867" s="87"/>
      <c r="E6867" s="87"/>
      <c r="F6867" s="87"/>
      <c r="G6867" s="87"/>
    </row>
    <row r="6868">
      <c r="A6868" s="86" t="str">
        <f>IFERROR(__xludf.DUMMYFUNCTION("""COMPUTED_VALUE"""),"")</f>
        <v/>
      </c>
      <c r="B6868" s="87"/>
      <c r="C6868" s="87"/>
      <c r="D6868" s="87"/>
      <c r="E6868" s="87"/>
      <c r="F6868" s="87"/>
      <c r="G6868" s="87"/>
    </row>
    <row r="6869">
      <c r="A6869" s="86" t="str">
        <f>IFERROR(__xludf.DUMMYFUNCTION("""COMPUTED_VALUE"""),"")</f>
        <v/>
      </c>
      <c r="B6869" s="87"/>
      <c r="C6869" s="87"/>
      <c r="D6869" s="87"/>
      <c r="E6869" s="87"/>
      <c r="F6869" s="87"/>
      <c r="G6869" s="87"/>
    </row>
    <row r="6870">
      <c r="A6870" s="86" t="str">
        <f>IFERROR(__xludf.DUMMYFUNCTION("""COMPUTED_VALUE"""),"")</f>
        <v/>
      </c>
      <c r="B6870" s="87"/>
      <c r="C6870" s="87"/>
      <c r="D6870" s="87"/>
      <c r="E6870" s="87"/>
      <c r="F6870" s="87"/>
      <c r="G6870" s="87"/>
    </row>
    <row r="6871">
      <c r="A6871" s="86" t="str">
        <f>IFERROR(__xludf.DUMMYFUNCTION("""COMPUTED_VALUE"""),"")</f>
        <v/>
      </c>
      <c r="B6871" s="87"/>
      <c r="C6871" s="87"/>
      <c r="D6871" s="87"/>
      <c r="E6871" s="87"/>
      <c r="F6871" s="87"/>
      <c r="G6871" s="87"/>
    </row>
    <row r="6872">
      <c r="A6872" s="86" t="str">
        <f>IFERROR(__xludf.DUMMYFUNCTION("""COMPUTED_VALUE"""),"")</f>
        <v/>
      </c>
      <c r="B6872" s="87"/>
      <c r="C6872" s="87"/>
      <c r="D6872" s="87"/>
      <c r="E6872" s="87"/>
      <c r="F6872" s="87"/>
      <c r="G6872" s="87"/>
    </row>
    <row r="6873">
      <c r="A6873" s="86" t="str">
        <f>IFERROR(__xludf.DUMMYFUNCTION("""COMPUTED_VALUE"""),"")</f>
        <v/>
      </c>
      <c r="B6873" s="87"/>
      <c r="C6873" s="87"/>
      <c r="D6873" s="87"/>
      <c r="E6873" s="87"/>
      <c r="F6873" s="87"/>
      <c r="G6873" s="87"/>
    </row>
    <row r="6874">
      <c r="A6874" s="86" t="str">
        <f>IFERROR(__xludf.DUMMYFUNCTION("""COMPUTED_VALUE"""),"")</f>
        <v/>
      </c>
      <c r="B6874" s="87"/>
      <c r="C6874" s="87"/>
      <c r="D6874" s="87"/>
      <c r="E6874" s="87"/>
      <c r="F6874" s="87"/>
      <c r="G6874" s="87"/>
    </row>
    <row r="6875">
      <c r="A6875" s="86" t="str">
        <f>IFERROR(__xludf.DUMMYFUNCTION("""COMPUTED_VALUE"""),"")</f>
        <v/>
      </c>
      <c r="B6875" s="87"/>
      <c r="C6875" s="87"/>
      <c r="D6875" s="87"/>
      <c r="E6875" s="87"/>
      <c r="F6875" s="87"/>
      <c r="G6875" s="87"/>
    </row>
    <row r="6876">
      <c r="A6876" s="86" t="str">
        <f>IFERROR(__xludf.DUMMYFUNCTION("""COMPUTED_VALUE"""),"")</f>
        <v/>
      </c>
      <c r="B6876" s="87"/>
      <c r="C6876" s="87"/>
      <c r="D6876" s="87"/>
      <c r="E6876" s="87"/>
      <c r="F6876" s="87"/>
      <c r="G6876" s="87"/>
    </row>
    <row r="6877">
      <c r="A6877" s="86" t="str">
        <f>IFERROR(__xludf.DUMMYFUNCTION("""COMPUTED_VALUE"""),"")</f>
        <v/>
      </c>
      <c r="B6877" s="87"/>
      <c r="C6877" s="87"/>
      <c r="D6877" s="87"/>
      <c r="E6877" s="87"/>
      <c r="F6877" s="87"/>
      <c r="G6877" s="87"/>
    </row>
    <row r="6878">
      <c r="A6878" s="86" t="str">
        <f>IFERROR(__xludf.DUMMYFUNCTION("""COMPUTED_VALUE"""),"")</f>
        <v/>
      </c>
      <c r="B6878" s="87"/>
      <c r="C6878" s="87"/>
      <c r="D6878" s="87"/>
      <c r="E6878" s="87"/>
      <c r="F6878" s="87"/>
      <c r="G6878" s="87"/>
    </row>
    <row r="6879">
      <c r="A6879" s="86" t="str">
        <f>IFERROR(__xludf.DUMMYFUNCTION("""COMPUTED_VALUE"""),"")</f>
        <v/>
      </c>
      <c r="B6879" s="87"/>
      <c r="C6879" s="87"/>
      <c r="D6879" s="87"/>
      <c r="E6879" s="87"/>
      <c r="F6879" s="87"/>
      <c r="G6879" s="87"/>
    </row>
    <row r="6880">
      <c r="A6880" s="86" t="str">
        <f>IFERROR(__xludf.DUMMYFUNCTION("""COMPUTED_VALUE"""),"")</f>
        <v/>
      </c>
      <c r="B6880" s="87"/>
      <c r="C6880" s="87"/>
      <c r="D6880" s="87"/>
      <c r="E6880" s="87"/>
      <c r="F6880" s="87"/>
      <c r="G6880" s="87"/>
    </row>
    <row r="6881">
      <c r="A6881" s="86" t="str">
        <f>IFERROR(__xludf.DUMMYFUNCTION("""COMPUTED_VALUE"""),"")</f>
        <v/>
      </c>
      <c r="B6881" s="87"/>
      <c r="C6881" s="87"/>
      <c r="D6881" s="87"/>
      <c r="E6881" s="87"/>
      <c r="F6881" s="87"/>
      <c r="G6881" s="87"/>
    </row>
    <row r="6882">
      <c r="A6882" s="86" t="str">
        <f>IFERROR(__xludf.DUMMYFUNCTION("""COMPUTED_VALUE"""),"")</f>
        <v/>
      </c>
      <c r="B6882" s="87"/>
      <c r="C6882" s="87"/>
      <c r="D6882" s="87"/>
      <c r="E6882" s="87"/>
      <c r="F6882" s="87"/>
      <c r="G6882" s="87"/>
    </row>
    <row r="6883">
      <c r="A6883" s="86" t="str">
        <f>IFERROR(__xludf.DUMMYFUNCTION("""COMPUTED_VALUE"""),"")</f>
        <v/>
      </c>
      <c r="B6883" s="87"/>
      <c r="C6883" s="87"/>
      <c r="D6883" s="87"/>
      <c r="E6883" s="87"/>
      <c r="F6883" s="87"/>
      <c r="G6883" s="87"/>
    </row>
    <row r="6884">
      <c r="A6884" s="86" t="str">
        <f>IFERROR(__xludf.DUMMYFUNCTION("""COMPUTED_VALUE"""),"")</f>
        <v/>
      </c>
      <c r="B6884" s="87"/>
      <c r="C6884" s="87"/>
      <c r="D6884" s="87"/>
      <c r="E6884" s="87"/>
      <c r="F6884" s="87"/>
      <c r="G6884" s="87"/>
    </row>
    <row r="6885">
      <c r="A6885" s="86" t="str">
        <f>IFERROR(__xludf.DUMMYFUNCTION("""COMPUTED_VALUE"""),"")</f>
        <v/>
      </c>
      <c r="B6885" s="87"/>
      <c r="C6885" s="87"/>
      <c r="D6885" s="87"/>
      <c r="E6885" s="87"/>
      <c r="F6885" s="87"/>
      <c r="G6885" s="87"/>
    </row>
    <row r="6886">
      <c r="A6886" s="86" t="str">
        <f>IFERROR(__xludf.DUMMYFUNCTION("""COMPUTED_VALUE"""),"")</f>
        <v/>
      </c>
      <c r="B6886" s="87"/>
      <c r="C6886" s="87"/>
      <c r="D6886" s="87"/>
      <c r="E6886" s="87"/>
      <c r="F6886" s="87"/>
      <c r="G6886" s="87"/>
    </row>
    <row r="6887">
      <c r="A6887" s="86" t="str">
        <f>IFERROR(__xludf.DUMMYFUNCTION("""COMPUTED_VALUE"""),"")</f>
        <v/>
      </c>
      <c r="B6887" s="87"/>
      <c r="C6887" s="87"/>
      <c r="D6887" s="87"/>
      <c r="E6887" s="87"/>
      <c r="F6887" s="87"/>
      <c r="G6887" s="87"/>
    </row>
    <row r="6888">
      <c r="A6888" s="86" t="str">
        <f>IFERROR(__xludf.DUMMYFUNCTION("""COMPUTED_VALUE"""),"")</f>
        <v/>
      </c>
      <c r="B6888" s="87"/>
      <c r="C6888" s="87"/>
      <c r="D6888" s="87"/>
      <c r="E6888" s="87"/>
      <c r="F6888" s="87"/>
      <c r="G6888" s="87"/>
    </row>
    <row r="6889">
      <c r="A6889" s="86" t="str">
        <f>IFERROR(__xludf.DUMMYFUNCTION("""COMPUTED_VALUE"""),"")</f>
        <v/>
      </c>
      <c r="B6889" s="87"/>
      <c r="C6889" s="87"/>
      <c r="D6889" s="87"/>
      <c r="E6889" s="87"/>
      <c r="F6889" s="87"/>
      <c r="G6889" s="87"/>
    </row>
    <row r="6890">
      <c r="A6890" s="86" t="str">
        <f>IFERROR(__xludf.DUMMYFUNCTION("""COMPUTED_VALUE"""),"")</f>
        <v/>
      </c>
      <c r="B6890" s="87"/>
      <c r="C6890" s="87"/>
      <c r="D6890" s="87"/>
      <c r="E6890" s="87"/>
      <c r="F6890" s="87"/>
      <c r="G6890" s="87"/>
    </row>
    <row r="6891">
      <c r="A6891" s="86" t="str">
        <f>IFERROR(__xludf.DUMMYFUNCTION("""COMPUTED_VALUE"""),"")</f>
        <v/>
      </c>
      <c r="B6891" s="87"/>
      <c r="C6891" s="87"/>
      <c r="D6891" s="87"/>
      <c r="E6891" s="87"/>
      <c r="F6891" s="87"/>
      <c r="G6891" s="87"/>
    </row>
    <row r="6892">
      <c r="A6892" s="86" t="str">
        <f>IFERROR(__xludf.DUMMYFUNCTION("""COMPUTED_VALUE"""),"")</f>
        <v/>
      </c>
      <c r="B6892" s="87"/>
      <c r="C6892" s="87"/>
      <c r="D6892" s="87"/>
      <c r="E6892" s="87"/>
      <c r="F6892" s="87"/>
      <c r="G6892" s="87"/>
    </row>
    <row r="6893">
      <c r="A6893" s="86" t="str">
        <f>IFERROR(__xludf.DUMMYFUNCTION("""COMPUTED_VALUE"""),"")</f>
        <v/>
      </c>
      <c r="B6893" s="87"/>
      <c r="C6893" s="87"/>
      <c r="D6893" s="87"/>
      <c r="E6893" s="87"/>
      <c r="F6893" s="87"/>
      <c r="G6893" s="87"/>
    </row>
    <row r="6894">
      <c r="A6894" s="86" t="str">
        <f>IFERROR(__xludf.DUMMYFUNCTION("""COMPUTED_VALUE"""),"")</f>
        <v/>
      </c>
      <c r="B6894" s="87"/>
      <c r="C6894" s="87"/>
      <c r="D6894" s="87"/>
      <c r="E6894" s="87"/>
      <c r="F6894" s="87"/>
      <c r="G6894" s="87"/>
    </row>
    <row r="6895">
      <c r="A6895" s="86" t="str">
        <f>IFERROR(__xludf.DUMMYFUNCTION("""COMPUTED_VALUE"""),"")</f>
        <v/>
      </c>
      <c r="B6895" s="87"/>
      <c r="C6895" s="87"/>
      <c r="D6895" s="87"/>
      <c r="E6895" s="87"/>
      <c r="F6895" s="87"/>
      <c r="G6895" s="87"/>
    </row>
    <row r="6896">
      <c r="A6896" s="86" t="str">
        <f>IFERROR(__xludf.DUMMYFUNCTION("""COMPUTED_VALUE"""),"")</f>
        <v/>
      </c>
      <c r="B6896" s="87"/>
      <c r="C6896" s="87"/>
      <c r="D6896" s="87"/>
      <c r="E6896" s="87"/>
      <c r="F6896" s="87"/>
      <c r="G6896" s="87"/>
    </row>
    <row r="6897">
      <c r="A6897" s="86" t="str">
        <f>IFERROR(__xludf.DUMMYFUNCTION("""COMPUTED_VALUE"""),"")</f>
        <v/>
      </c>
      <c r="B6897" s="87"/>
      <c r="C6897" s="87"/>
      <c r="D6897" s="87"/>
      <c r="E6897" s="87"/>
      <c r="F6897" s="87"/>
      <c r="G6897" s="87"/>
    </row>
    <row r="6898">
      <c r="A6898" s="86" t="str">
        <f>IFERROR(__xludf.DUMMYFUNCTION("""COMPUTED_VALUE"""),"")</f>
        <v/>
      </c>
      <c r="B6898" s="87"/>
      <c r="C6898" s="87"/>
      <c r="D6898" s="87"/>
      <c r="E6898" s="87"/>
      <c r="F6898" s="87"/>
      <c r="G6898" s="87"/>
    </row>
    <row r="6899">
      <c r="A6899" s="86" t="str">
        <f>IFERROR(__xludf.DUMMYFUNCTION("""COMPUTED_VALUE"""),"")</f>
        <v/>
      </c>
      <c r="B6899" s="87"/>
      <c r="C6899" s="87"/>
      <c r="D6899" s="87"/>
      <c r="E6899" s="87"/>
      <c r="F6899" s="87"/>
      <c r="G6899" s="87"/>
    </row>
    <row r="6900">
      <c r="A6900" s="86" t="str">
        <f>IFERROR(__xludf.DUMMYFUNCTION("""COMPUTED_VALUE"""),"")</f>
        <v/>
      </c>
      <c r="B6900" s="87"/>
      <c r="C6900" s="87"/>
      <c r="D6900" s="87"/>
      <c r="E6900" s="87"/>
      <c r="F6900" s="87"/>
      <c r="G6900" s="87"/>
    </row>
    <row r="6901">
      <c r="A6901" s="86" t="str">
        <f>IFERROR(__xludf.DUMMYFUNCTION("""COMPUTED_VALUE"""),"")</f>
        <v/>
      </c>
      <c r="B6901" s="87"/>
      <c r="C6901" s="87"/>
      <c r="D6901" s="87"/>
      <c r="E6901" s="87"/>
      <c r="F6901" s="87"/>
      <c r="G6901" s="87"/>
    </row>
    <row r="6902">
      <c r="A6902" s="86" t="str">
        <f>IFERROR(__xludf.DUMMYFUNCTION("""COMPUTED_VALUE"""),"")</f>
        <v/>
      </c>
      <c r="B6902" s="87"/>
      <c r="C6902" s="87"/>
      <c r="D6902" s="87"/>
      <c r="E6902" s="87"/>
      <c r="F6902" s="87"/>
      <c r="G6902" s="87"/>
    </row>
    <row r="6903">
      <c r="A6903" s="86" t="str">
        <f>IFERROR(__xludf.DUMMYFUNCTION("""COMPUTED_VALUE"""),"")</f>
        <v/>
      </c>
      <c r="B6903" s="87"/>
      <c r="C6903" s="87"/>
      <c r="D6903" s="87"/>
      <c r="E6903" s="87"/>
      <c r="F6903" s="87"/>
      <c r="G6903" s="87"/>
    </row>
    <row r="6904">
      <c r="A6904" s="86" t="str">
        <f>IFERROR(__xludf.DUMMYFUNCTION("""COMPUTED_VALUE"""),"")</f>
        <v/>
      </c>
      <c r="B6904" s="87"/>
      <c r="C6904" s="87"/>
      <c r="D6904" s="87"/>
      <c r="E6904" s="87"/>
      <c r="F6904" s="87"/>
      <c r="G6904" s="87"/>
    </row>
    <row r="6905">
      <c r="A6905" s="86" t="str">
        <f>IFERROR(__xludf.DUMMYFUNCTION("""COMPUTED_VALUE"""),"")</f>
        <v/>
      </c>
      <c r="B6905" s="87"/>
      <c r="C6905" s="87"/>
      <c r="D6905" s="87"/>
      <c r="E6905" s="87"/>
      <c r="F6905" s="87"/>
      <c r="G6905" s="87"/>
    </row>
    <row r="6906">
      <c r="A6906" s="86" t="str">
        <f>IFERROR(__xludf.DUMMYFUNCTION("""COMPUTED_VALUE"""),"")</f>
        <v/>
      </c>
      <c r="B6906" s="87"/>
      <c r="C6906" s="87"/>
      <c r="D6906" s="87"/>
      <c r="E6906" s="87"/>
      <c r="F6906" s="87"/>
      <c r="G6906" s="87"/>
    </row>
    <row r="6907">
      <c r="A6907" s="86" t="str">
        <f>IFERROR(__xludf.DUMMYFUNCTION("""COMPUTED_VALUE"""),"")</f>
        <v/>
      </c>
      <c r="B6907" s="87"/>
      <c r="C6907" s="87"/>
      <c r="D6907" s="87"/>
      <c r="E6907" s="87"/>
      <c r="F6907" s="87"/>
      <c r="G6907" s="87"/>
    </row>
    <row r="6908">
      <c r="A6908" s="86" t="str">
        <f>IFERROR(__xludf.DUMMYFUNCTION("""COMPUTED_VALUE"""),"")</f>
        <v/>
      </c>
      <c r="B6908" s="87"/>
      <c r="C6908" s="87"/>
      <c r="D6908" s="87"/>
      <c r="E6908" s="87"/>
      <c r="F6908" s="87"/>
      <c r="G6908" s="87"/>
    </row>
    <row r="6909">
      <c r="A6909" s="86" t="str">
        <f>IFERROR(__xludf.DUMMYFUNCTION("""COMPUTED_VALUE"""),"")</f>
        <v/>
      </c>
      <c r="B6909" s="87"/>
      <c r="C6909" s="87"/>
      <c r="D6909" s="87"/>
      <c r="E6909" s="87"/>
      <c r="F6909" s="87"/>
      <c r="G6909" s="87"/>
    </row>
    <row r="6910">
      <c r="A6910" s="86" t="str">
        <f>IFERROR(__xludf.DUMMYFUNCTION("""COMPUTED_VALUE"""),"")</f>
        <v/>
      </c>
      <c r="B6910" s="87"/>
      <c r="C6910" s="87"/>
      <c r="D6910" s="87"/>
      <c r="E6910" s="87"/>
      <c r="F6910" s="87"/>
      <c r="G6910" s="87"/>
    </row>
    <row r="6911">
      <c r="A6911" s="86" t="str">
        <f>IFERROR(__xludf.DUMMYFUNCTION("""COMPUTED_VALUE"""),"")</f>
        <v/>
      </c>
      <c r="B6911" s="87"/>
      <c r="C6911" s="87"/>
      <c r="D6911" s="87"/>
      <c r="E6911" s="87"/>
      <c r="F6911" s="87"/>
      <c r="G6911" s="87"/>
    </row>
    <row r="6912">
      <c r="A6912" s="86" t="str">
        <f>IFERROR(__xludf.DUMMYFUNCTION("""COMPUTED_VALUE"""),"")</f>
        <v/>
      </c>
      <c r="B6912" s="87"/>
      <c r="C6912" s="87"/>
      <c r="D6912" s="87"/>
      <c r="E6912" s="87"/>
      <c r="F6912" s="87"/>
      <c r="G6912" s="87"/>
    </row>
    <row r="6913">
      <c r="A6913" s="86" t="str">
        <f>IFERROR(__xludf.DUMMYFUNCTION("""COMPUTED_VALUE"""),"")</f>
        <v/>
      </c>
      <c r="B6913" s="87"/>
      <c r="C6913" s="87"/>
      <c r="D6913" s="87"/>
      <c r="E6913" s="87"/>
      <c r="F6913" s="87"/>
      <c r="G6913" s="87"/>
    </row>
    <row r="6914">
      <c r="A6914" s="86" t="str">
        <f>IFERROR(__xludf.DUMMYFUNCTION("""COMPUTED_VALUE"""),"")</f>
        <v/>
      </c>
      <c r="B6914" s="87"/>
      <c r="C6914" s="87"/>
      <c r="D6914" s="87"/>
      <c r="E6914" s="87"/>
      <c r="F6914" s="87"/>
      <c r="G6914" s="87"/>
    </row>
    <row r="6915">
      <c r="A6915" s="86" t="str">
        <f>IFERROR(__xludf.DUMMYFUNCTION("""COMPUTED_VALUE"""),"")</f>
        <v/>
      </c>
      <c r="B6915" s="87"/>
      <c r="C6915" s="87"/>
      <c r="D6915" s="87"/>
      <c r="E6915" s="87"/>
      <c r="F6915" s="87"/>
      <c r="G6915" s="87"/>
    </row>
    <row r="6916">
      <c r="A6916" s="86" t="str">
        <f>IFERROR(__xludf.DUMMYFUNCTION("""COMPUTED_VALUE"""),"")</f>
        <v/>
      </c>
      <c r="B6916" s="87"/>
      <c r="C6916" s="87"/>
      <c r="D6916" s="87"/>
      <c r="E6916" s="87"/>
      <c r="F6916" s="87"/>
      <c r="G6916" s="87"/>
    </row>
    <row r="6917">
      <c r="A6917" s="86" t="str">
        <f>IFERROR(__xludf.DUMMYFUNCTION("""COMPUTED_VALUE"""),"")</f>
        <v/>
      </c>
      <c r="B6917" s="87"/>
      <c r="C6917" s="87"/>
      <c r="D6917" s="87"/>
      <c r="E6917" s="87"/>
      <c r="F6917" s="87"/>
      <c r="G6917" s="87"/>
    </row>
    <row r="6918">
      <c r="A6918" s="86" t="str">
        <f>IFERROR(__xludf.DUMMYFUNCTION("""COMPUTED_VALUE"""),"")</f>
        <v/>
      </c>
      <c r="B6918" s="87"/>
      <c r="C6918" s="87"/>
      <c r="D6918" s="87"/>
      <c r="E6918" s="87"/>
      <c r="F6918" s="87"/>
      <c r="G6918" s="87"/>
    </row>
    <row r="6919">
      <c r="A6919" s="86" t="str">
        <f>IFERROR(__xludf.DUMMYFUNCTION("""COMPUTED_VALUE"""),"")</f>
        <v/>
      </c>
      <c r="B6919" s="87"/>
      <c r="C6919" s="87"/>
      <c r="D6919" s="87"/>
      <c r="E6919" s="87"/>
      <c r="F6919" s="87"/>
      <c r="G6919" s="87"/>
    </row>
    <row r="6920">
      <c r="A6920" s="86" t="str">
        <f>IFERROR(__xludf.DUMMYFUNCTION("""COMPUTED_VALUE"""),"")</f>
        <v/>
      </c>
      <c r="B6920" s="87"/>
      <c r="C6920" s="87"/>
      <c r="D6920" s="87"/>
      <c r="E6920" s="87"/>
      <c r="F6920" s="87"/>
      <c r="G6920" s="87"/>
    </row>
    <row r="6921">
      <c r="A6921" s="86" t="str">
        <f>IFERROR(__xludf.DUMMYFUNCTION("""COMPUTED_VALUE"""),"")</f>
        <v/>
      </c>
      <c r="B6921" s="87"/>
      <c r="C6921" s="87"/>
      <c r="D6921" s="87"/>
      <c r="E6921" s="87"/>
      <c r="F6921" s="87"/>
      <c r="G6921" s="87"/>
    </row>
    <row r="6922">
      <c r="A6922" s="86" t="str">
        <f>IFERROR(__xludf.DUMMYFUNCTION("""COMPUTED_VALUE"""),"")</f>
        <v/>
      </c>
      <c r="B6922" s="87"/>
      <c r="C6922" s="87"/>
      <c r="D6922" s="87"/>
      <c r="E6922" s="87"/>
      <c r="F6922" s="87"/>
      <c r="G6922" s="87"/>
    </row>
    <row r="6923">
      <c r="A6923" s="86" t="str">
        <f>IFERROR(__xludf.DUMMYFUNCTION("""COMPUTED_VALUE"""),"")</f>
        <v/>
      </c>
      <c r="B6923" s="87"/>
      <c r="C6923" s="87"/>
      <c r="D6923" s="87"/>
      <c r="E6923" s="87"/>
      <c r="F6923" s="87"/>
      <c r="G6923" s="87"/>
    </row>
    <row r="6924">
      <c r="A6924" s="86" t="str">
        <f>IFERROR(__xludf.DUMMYFUNCTION("""COMPUTED_VALUE"""),"")</f>
        <v/>
      </c>
      <c r="B6924" s="87"/>
      <c r="C6924" s="87"/>
      <c r="D6924" s="87"/>
      <c r="E6924" s="87"/>
      <c r="F6924" s="87"/>
      <c r="G6924" s="87"/>
    </row>
    <row r="6925">
      <c r="A6925" s="86" t="str">
        <f>IFERROR(__xludf.DUMMYFUNCTION("""COMPUTED_VALUE"""),"")</f>
        <v/>
      </c>
      <c r="B6925" s="87"/>
      <c r="C6925" s="87"/>
      <c r="D6925" s="87"/>
      <c r="E6925" s="87"/>
      <c r="F6925" s="87"/>
      <c r="G6925" s="87"/>
    </row>
    <row r="6926">
      <c r="A6926" s="86" t="str">
        <f>IFERROR(__xludf.DUMMYFUNCTION("""COMPUTED_VALUE"""),"")</f>
        <v/>
      </c>
      <c r="B6926" s="87"/>
      <c r="C6926" s="87"/>
      <c r="D6926" s="87"/>
      <c r="E6926" s="87"/>
      <c r="F6926" s="87"/>
      <c r="G6926" s="87"/>
    </row>
    <row r="6927">
      <c r="A6927" s="86" t="str">
        <f>IFERROR(__xludf.DUMMYFUNCTION("""COMPUTED_VALUE"""),"")</f>
        <v/>
      </c>
      <c r="B6927" s="87"/>
      <c r="C6927" s="87"/>
      <c r="D6927" s="87"/>
      <c r="E6927" s="87"/>
      <c r="F6927" s="87"/>
      <c r="G6927" s="87"/>
    </row>
    <row r="6928">
      <c r="A6928" s="86" t="str">
        <f>IFERROR(__xludf.DUMMYFUNCTION("""COMPUTED_VALUE"""),"")</f>
        <v/>
      </c>
      <c r="B6928" s="87"/>
      <c r="C6928" s="87"/>
      <c r="D6928" s="87"/>
      <c r="E6928" s="87"/>
      <c r="F6928" s="87"/>
      <c r="G6928" s="87"/>
    </row>
    <row r="6929">
      <c r="A6929" s="86" t="str">
        <f>IFERROR(__xludf.DUMMYFUNCTION("""COMPUTED_VALUE"""),"")</f>
        <v/>
      </c>
      <c r="B6929" s="87"/>
      <c r="C6929" s="87"/>
      <c r="D6929" s="87"/>
      <c r="E6929" s="87"/>
      <c r="F6929" s="87"/>
      <c r="G6929" s="87"/>
    </row>
    <row r="6930">
      <c r="A6930" s="86" t="str">
        <f>IFERROR(__xludf.DUMMYFUNCTION("""COMPUTED_VALUE"""),"")</f>
        <v/>
      </c>
      <c r="B6930" s="87"/>
      <c r="C6930" s="87"/>
      <c r="D6930" s="87"/>
      <c r="E6930" s="87"/>
      <c r="F6930" s="87"/>
      <c r="G6930" s="87"/>
    </row>
    <row r="6931">
      <c r="A6931" s="86" t="str">
        <f>IFERROR(__xludf.DUMMYFUNCTION("""COMPUTED_VALUE"""),"")</f>
        <v/>
      </c>
      <c r="B6931" s="87"/>
      <c r="C6931" s="87"/>
      <c r="D6931" s="87"/>
      <c r="E6931" s="87"/>
      <c r="F6931" s="87"/>
      <c r="G6931" s="87"/>
    </row>
    <row r="6932">
      <c r="A6932" s="86" t="str">
        <f>IFERROR(__xludf.DUMMYFUNCTION("""COMPUTED_VALUE"""),"")</f>
        <v/>
      </c>
      <c r="B6932" s="87"/>
      <c r="C6932" s="87"/>
      <c r="D6932" s="87"/>
      <c r="E6932" s="87"/>
      <c r="F6932" s="87"/>
      <c r="G6932" s="87"/>
    </row>
    <row r="6933">
      <c r="A6933" s="86" t="str">
        <f>IFERROR(__xludf.DUMMYFUNCTION("""COMPUTED_VALUE"""),"")</f>
        <v/>
      </c>
      <c r="B6933" s="87"/>
      <c r="C6933" s="87"/>
      <c r="D6933" s="87"/>
      <c r="E6933" s="87"/>
      <c r="F6933" s="87"/>
      <c r="G6933" s="87"/>
    </row>
    <row r="6934">
      <c r="A6934" s="86" t="str">
        <f>IFERROR(__xludf.DUMMYFUNCTION("""COMPUTED_VALUE"""),"")</f>
        <v/>
      </c>
      <c r="B6934" s="87"/>
      <c r="C6934" s="87"/>
      <c r="D6934" s="87"/>
      <c r="E6934" s="87"/>
      <c r="F6934" s="87"/>
      <c r="G6934" s="87"/>
    </row>
    <row r="6935">
      <c r="A6935" s="86" t="str">
        <f>IFERROR(__xludf.DUMMYFUNCTION("""COMPUTED_VALUE"""),"")</f>
        <v/>
      </c>
      <c r="B6935" s="87"/>
      <c r="C6935" s="87"/>
      <c r="D6935" s="87"/>
      <c r="E6935" s="87"/>
      <c r="F6935" s="87"/>
      <c r="G6935" s="87"/>
    </row>
    <row r="6936">
      <c r="A6936" s="86" t="str">
        <f>IFERROR(__xludf.DUMMYFUNCTION("""COMPUTED_VALUE"""),"")</f>
        <v/>
      </c>
      <c r="B6936" s="87"/>
      <c r="C6936" s="87"/>
      <c r="D6936" s="87"/>
      <c r="E6936" s="87"/>
      <c r="F6936" s="87"/>
      <c r="G6936" s="87"/>
    </row>
    <row r="6937">
      <c r="A6937" s="86" t="str">
        <f>IFERROR(__xludf.DUMMYFUNCTION("""COMPUTED_VALUE"""),"")</f>
        <v/>
      </c>
      <c r="B6937" s="87"/>
      <c r="C6937" s="87"/>
      <c r="D6937" s="87"/>
      <c r="E6937" s="87"/>
      <c r="F6937" s="87"/>
      <c r="G6937" s="87"/>
    </row>
    <row r="6938">
      <c r="A6938" s="86" t="str">
        <f>IFERROR(__xludf.DUMMYFUNCTION("""COMPUTED_VALUE"""),"")</f>
        <v/>
      </c>
      <c r="B6938" s="87"/>
      <c r="C6938" s="87"/>
      <c r="D6938" s="87"/>
      <c r="E6938" s="87"/>
      <c r="F6938" s="87"/>
      <c r="G6938" s="87"/>
    </row>
    <row r="6939">
      <c r="A6939" s="86" t="str">
        <f>IFERROR(__xludf.DUMMYFUNCTION("""COMPUTED_VALUE"""),"")</f>
        <v/>
      </c>
      <c r="B6939" s="87"/>
      <c r="C6939" s="87"/>
      <c r="D6939" s="87"/>
      <c r="E6939" s="87"/>
      <c r="F6939" s="87"/>
      <c r="G6939" s="87"/>
    </row>
    <row r="6940">
      <c r="A6940" s="86" t="str">
        <f>IFERROR(__xludf.DUMMYFUNCTION("""COMPUTED_VALUE"""),"")</f>
        <v/>
      </c>
      <c r="B6940" s="87"/>
      <c r="C6940" s="87"/>
      <c r="D6940" s="87"/>
      <c r="E6940" s="87"/>
      <c r="F6940" s="87"/>
      <c r="G6940" s="87"/>
    </row>
    <row r="6941">
      <c r="A6941" s="86" t="str">
        <f>IFERROR(__xludf.DUMMYFUNCTION("""COMPUTED_VALUE"""),"")</f>
        <v/>
      </c>
      <c r="B6941" s="87"/>
      <c r="C6941" s="87"/>
      <c r="D6941" s="87"/>
      <c r="E6941" s="87"/>
      <c r="F6941" s="87"/>
      <c r="G6941" s="87"/>
    </row>
    <row r="6942">
      <c r="A6942" s="86" t="str">
        <f>IFERROR(__xludf.DUMMYFUNCTION("""COMPUTED_VALUE"""),"")</f>
        <v/>
      </c>
      <c r="B6942" s="87"/>
      <c r="C6942" s="87"/>
      <c r="D6942" s="87"/>
      <c r="E6942" s="87"/>
      <c r="F6942" s="87"/>
      <c r="G6942" s="87"/>
    </row>
    <row r="6943">
      <c r="A6943" s="86" t="str">
        <f>IFERROR(__xludf.DUMMYFUNCTION("""COMPUTED_VALUE"""),"")</f>
        <v/>
      </c>
      <c r="B6943" s="87"/>
      <c r="C6943" s="87"/>
      <c r="D6943" s="87"/>
      <c r="E6943" s="87"/>
      <c r="F6943" s="87"/>
      <c r="G6943" s="87"/>
    </row>
    <row r="6944">
      <c r="A6944" s="86" t="str">
        <f>IFERROR(__xludf.DUMMYFUNCTION("""COMPUTED_VALUE"""),"")</f>
        <v/>
      </c>
      <c r="B6944" s="87"/>
      <c r="C6944" s="87"/>
      <c r="D6944" s="87"/>
      <c r="E6944" s="87"/>
      <c r="F6944" s="87"/>
      <c r="G6944" s="87"/>
    </row>
    <row r="6945">
      <c r="A6945" s="86" t="str">
        <f>IFERROR(__xludf.DUMMYFUNCTION("""COMPUTED_VALUE"""),"")</f>
        <v/>
      </c>
      <c r="B6945" s="87"/>
      <c r="C6945" s="87"/>
      <c r="D6945" s="87"/>
      <c r="E6945" s="87"/>
      <c r="F6945" s="87"/>
      <c r="G6945" s="87"/>
    </row>
    <row r="6946">
      <c r="A6946" s="86" t="str">
        <f>IFERROR(__xludf.DUMMYFUNCTION("""COMPUTED_VALUE"""),"")</f>
        <v/>
      </c>
      <c r="B6946" s="87"/>
      <c r="C6946" s="87"/>
      <c r="D6946" s="87"/>
      <c r="E6946" s="87"/>
      <c r="F6946" s="87"/>
      <c r="G6946" s="87"/>
    </row>
    <row r="6947">
      <c r="A6947" s="86" t="str">
        <f>IFERROR(__xludf.DUMMYFUNCTION("""COMPUTED_VALUE"""),"")</f>
        <v/>
      </c>
      <c r="B6947" s="87"/>
      <c r="C6947" s="87"/>
      <c r="D6947" s="87"/>
      <c r="E6947" s="87"/>
      <c r="F6947" s="87"/>
      <c r="G6947" s="87"/>
    </row>
    <row r="6948">
      <c r="A6948" s="86" t="str">
        <f>IFERROR(__xludf.DUMMYFUNCTION("""COMPUTED_VALUE"""),"")</f>
        <v/>
      </c>
      <c r="B6948" s="87"/>
      <c r="C6948" s="87"/>
      <c r="D6948" s="87"/>
      <c r="E6948" s="87"/>
      <c r="F6948" s="87"/>
      <c r="G6948" s="87"/>
    </row>
    <row r="6949">
      <c r="A6949" s="86" t="str">
        <f>IFERROR(__xludf.DUMMYFUNCTION("""COMPUTED_VALUE"""),"")</f>
        <v/>
      </c>
      <c r="B6949" s="87"/>
      <c r="C6949" s="87"/>
      <c r="D6949" s="87"/>
      <c r="E6949" s="87"/>
      <c r="F6949" s="87"/>
      <c r="G6949" s="87"/>
    </row>
    <row r="6950">
      <c r="A6950" s="86" t="str">
        <f>IFERROR(__xludf.DUMMYFUNCTION("""COMPUTED_VALUE"""),"")</f>
        <v/>
      </c>
      <c r="B6950" s="87"/>
      <c r="C6950" s="87"/>
      <c r="D6950" s="87"/>
      <c r="E6950" s="87"/>
      <c r="F6950" s="87"/>
      <c r="G6950" s="87"/>
    </row>
    <row r="6951">
      <c r="A6951" s="86" t="str">
        <f>IFERROR(__xludf.DUMMYFUNCTION("""COMPUTED_VALUE"""),"")</f>
        <v/>
      </c>
      <c r="B6951" s="87"/>
      <c r="C6951" s="87"/>
      <c r="D6951" s="87"/>
      <c r="E6951" s="87"/>
      <c r="F6951" s="87"/>
      <c r="G6951" s="87"/>
    </row>
    <row r="6952">
      <c r="A6952" s="86" t="str">
        <f>IFERROR(__xludf.DUMMYFUNCTION("""COMPUTED_VALUE"""),"")</f>
        <v/>
      </c>
      <c r="B6952" s="87"/>
      <c r="C6952" s="87"/>
      <c r="D6952" s="87"/>
      <c r="E6952" s="87"/>
      <c r="F6952" s="87"/>
      <c r="G6952" s="87"/>
    </row>
    <row r="6953">
      <c r="A6953" s="86" t="str">
        <f>IFERROR(__xludf.DUMMYFUNCTION("""COMPUTED_VALUE"""),"")</f>
        <v/>
      </c>
      <c r="B6953" s="87"/>
      <c r="C6953" s="87"/>
      <c r="D6953" s="87"/>
      <c r="E6953" s="87"/>
      <c r="F6953" s="87"/>
      <c r="G6953" s="87"/>
    </row>
    <row r="6954">
      <c r="A6954" s="86" t="str">
        <f>IFERROR(__xludf.DUMMYFUNCTION("""COMPUTED_VALUE"""),"")</f>
        <v/>
      </c>
      <c r="B6954" s="87"/>
      <c r="C6954" s="87"/>
      <c r="D6954" s="87"/>
      <c r="E6954" s="87"/>
      <c r="F6954" s="87"/>
      <c r="G6954" s="87"/>
    </row>
    <row r="6955">
      <c r="A6955" s="86" t="str">
        <f>IFERROR(__xludf.DUMMYFUNCTION("""COMPUTED_VALUE"""),"")</f>
        <v/>
      </c>
      <c r="B6955" s="87"/>
      <c r="C6955" s="87"/>
      <c r="D6955" s="87"/>
      <c r="E6955" s="87"/>
      <c r="F6955" s="87"/>
      <c r="G6955" s="87"/>
    </row>
    <row r="6956">
      <c r="A6956" s="86" t="str">
        <f>IFERROR(__xludf.DUMMYFUNCTION("""COMPUTED_VALUE"""),"")</f>
        <v/>
      </c>
      <c r="B6956" s="87"/>
      <c r="C6956" s="87"/>
      <c r="D6956" s="87"/>
      <c r="E6956" s="87"/>
      <c r="F6956" s="87"/>
      <c r="G6956" s="87"/>
    </row>
    <row r="6957">
      <c r="A6957" s="86" t="str">
        <f>IFERROR(__xludf.DUMMYFUNCTION("""COMPUTED_VALUE"""),"")</f>
        <v/>
      </c>
      <c r="B6957" s="87"/>
      <c r="C6957" s="87"/>
      <c r="D6957" s="87"/>
      <c r="E6957" s="87"/>
      <c r="F6957" s="87"/>
      <c r="G6957" s="87"/>
    </row>
    <row r="6958">
      <c r="A6958" s="86" t="str">
        <f>IFERROR(__xludf.DUMMYFUNCTION("""COMPUTED_VALUE"""),"")</f>
        <v/>
      </c>
      <c r="B6958" s="87"/>
      <c r="C6958" s="87"/>
      <c r="D6958" s="87"/>
      <c r="E6958" s="87"/>
      <c r="F6958" s="87"/>
      <c r="G6958" s="87"/>
    </row>
    <row r="6959">
      <c r="A6959" s="86" t="str">
        <f>IFERROR(__xludf.DUMMYFUNCTION("""COMPUTED_VALUE"""),"")</f>
        <v/>
      </c>
      <c r="B6959" s="87"/>
      <c r="C6959" s="87"/>
      <c r="D6959" s="87"/>
      <c r="E6959" s="87"/>
      <c r="F6959" s="87"/>
      <c r="G6959" s="87"/>
    </row>
    <row r="6960">
      <c r="A6960" s="86" t="str">
        <f>IFERROR(__xludf.DUMMYFUNCTION("""COMPUTED_VALUE"""),"")</f>
        <v/>
      </c>
      <c r="B6960" s="87"/>
      <c r="C6960" s="87"/>
      <c r="D6960" s="87"/>
      <c r="E6960" s="87"/>
      <c r="F6960" s="87"/>
      <c r="G6960" s="87"/>
    </row>
    <row r="6961">
      <c r="A6961" s="86" t="str">
        <f>IFERROR(__xludf.DUMMYFUNCTION("""COMPUTED_VALUE"""),"")</f>
        <v/>
      </c>
      <c r="B6961" s="87"/>
      <c r="C6961" s="87"/>
      <c r="D6961" s="87"/>
      <c r="E6961" s="87"/>
      <c r="F6961" s="87"/>
      <c r="G6961" s="87"/>
    </row>
    <row r="6962">
      <c r="A6962" s="86" t="str">
        <f>IFERROR(__xludf.DUMMYFUNCTION("""COMPUTED_VALUE"""),"")</f>
        <v/>
      </c>
      <c r="B6962" s="87"/>
      <c r="C6962" s="87"/>
      <c r="D6962" s="87"/>
      <c r="E6962" s="87"/>
      <c r="F6962" s="87"/>
      <c r="G6962" s="87"/>
    </row>
    <row r="6963">
      <c r="A6963" s="86" t="str">
        <f>IFERROR(__xludf.DUMMYFUNCTION("""COMPUTED_VALUE"""),"")</f>
        <v/>
      </c>
      <c r="B6963" s="87"/>
      <c r="C6963" s="87"/>
      <c r="D6963" s="87"/>
      <c r="E6963" s="87"/>
      <c r="F6963" s="87"/>
      <c r="G6963" s="87"/>
    </row>
    <row r="6964">
      <c r="A6964" s="86" t="str">
        <f>IFERROR(__xludf.DUMMYFUNCTION("""COMPUTED_VALUE"""),"")</f>
        <v/>
      </c>
      <c r="B6964" s="87"/>
      <c r="C6964" s="87"/>
      <c r="D6964" s="87"/>
      <c r="E6964" s="87"/>
      <c r="F6964" s="87"/>
      <c r="G6964" s="87"/>
    </row>
    <row r="6965">
      <c r="A6965" s="86" t="str">
        <f>IFERROR(__xludf.DUMMYFUNCTION("""COMPUTED_VALUE"""),"")</f>
        <v/>
      </c>
      <c r="B6965" s="87"/>
      <c r="C6965" s="87"/>
      <c r="D6965" s="87"/>
      <c r="E6965" s="87"/>
      <c r="F6965" s="87"/>
      <c r="G6965" s="87"/>
    </row>
    <row r="6966">
      <c r="A6966" s="86" t="str">
        <f>IFERROR(__xludf.DUMMYFUNCTION("""COMPUTED_VALUE"""),"")</f>
        <v/>
      </c>
      <c r="B6966" s="87"/>
      <c r="C6966" s="87"/>
      <c r="D6966" s="87"/>
      <c r="E6966" s="87"/>
      <c r="F6966" s="87"/>
      <c r="G6966" s="87"/>
    </row>
    <row r="6967">
      <c r="A6967" s="86" t="str">
        <f>IFERROR(__xludf.DUMMYFUNCTION("""COMPUTED_VALUE"""),"")</f>
        <v/>
      </c>
      <c r="B6967" s="87"/>
      <c r="C6967" s="87"/>
      <c r="D6967" s="87"/>
      <c r="E6967" s="87"/>
      <c r="F6967" s="87"/>
      <c r="G6967" s="87"/>
    </row>
    <row r="6968">
      <c r="A6968" s="86" t="str">
        <f>IFERROR(__xludf.DUMMYFUNCTION("""COMPUTED_VALUE"""),"")</f>
        <v/>
      </c>
      <c r="B6968" s="87"/>
      <c r="C6968" s="87"/>
      <c r="D6968" s="87"/>
      <c r="E6968" s="87"/>
      <c r="F6968" s="87"/>
      <c r="G6968" s="87"/>
    </row>
    <row r="6969">
      <c r="A6969" s="86" t="str">
        <f>IFERROR(__xludf.DUMMYFUNCTION("""COMPUTED_VALUE"""),"")</f>
        <v/>
      </c>
      <c r="B6969" s="87"/>
      <c r="C6969" s="87"/>
      <c r="D6969" s="87"/>
      <c r="E6969" s="87"/>
      <c r="F6969" s="87"/>
      <c r="G6969" s="87"/>
    </row>
    <row r="6970">
      <c r="A6970" s="86" t="str">
        <f>IFERROR(__xludf.DUMMYFUNCTION("""COMPUTED_VALUE"""),"")</f>
        <v/>
      </c>
      <c r="B6970" s="87"/>
      <c r="C6970" s="87"/>
      <c r="D6970" s="87"/>
      <c r="E6970" s="87"/>
      <c r="F6970" s="87"/>
      <c r="G6970" s="87"/>
    </row>
    <row r="6971">
      <c r="A6971" s="86" t="str">
        <f>IFERROR(__xludf.DUMMYFUNCTION("""COMPUTED_VALUE"""),"")</f>
        <v/>
      </c>
      <c r="B6971" s="87"/>
      <c r="C6971" s="87"/>
      <c r="D6971" s="87"/>
      <c r="E6971" s="87"/>
      <c r="F6971" s="87"/>
      <c r="G6971" s="87"/>
    </row>
    <row r="6972">
      <c r="A6972" s="86" t="str">
        <f>IFERROR(__xludf.DUMMYFUNCTION("""COMPUTED_VALUE"""),"")</f>
        <v/>
      </c>
      <c r="B6972" s="87"/>
      <c r="C6972" s="87"/>
      <c r="D6972" s="87"/>
      <c r="E6972" s="87"/>
      <c r="F6972" s="87"/>
      <c r="G6972" s="87"/>
    </row>
    <row r="6973">
      <c r="A6973" s="86" t="str">
        <f>IFERROR(__xludf.DUMMYFUNCTION("""COMPUTED_VALUE"""),"")</f>
        <v/>
      </c>
      <c r="B6973" s="87"/>
      <c r="C6973" s="87"/>
      <c r="D6973" s="87"/>
      <c r="E6973" s="87"/>
      <c r="F6973" s="87"/>
      <c r="G6973" s="87"/>
    </row>
    <row r="6974">
      <c r="A6974" s="86" t="str">
        <f>IFERROR(__xludf.DUMMYFUNCTION("""COMPUTED_VALUE"""),"")</f>
        <v/>
      </c>
      <c r="B6974" s="87"/>
      <c r="C6974" s="87"/>
      <c r="D6974" s="87"/>
      <c r="E6974" s="87"/>
      <c r="F6974" s="87"/>
      <c r="G6974" s="87"/>
    </row>
    <row r="6975">
      <c r="A6975" s="86" t="str">
        <f>IFERROR(__xludf.DUMMYFUNCTION("""COMPUTED_VALUE"""),"")</f>
        <v/>
      </c>
      <c r="B6975" s="87"/>
      <c r="C6975" s="87"/>
      <c r="D6975" s="87"/>
      <c r="E6975" s="87"/>
      <c r="F6975" s="87"/>
      <c r="G6975" s="87"/>
    </row>
    <row r="6976">
      <c r="A6976" s="86" t="str">
        <f>IFERROR(__xludf.DUMMYFUNCTION("""COMPUTED_VALUE"""),"")</f>
        <v/>
      </c>
      <c r="B6976" s="87"/>
      <c r="C6976" s="87"/>
      <c r="D6976" s="87"/>
      <c r="E6976" s="87"/>
      <c r="F6976" s="87"/>
      <c r="G6976" s="87"/>
    </row>
    <row r="6977">
      <c r="A6977" s="86" t="str">
        <f>IFERROR(__xludf.DUMMYFUNCTION("""COMPUTED_VALUE"""),"")</f>
        <v/>
      </c>
      <c r="B6977" s="87"/>
      <c r="C6977" s="87"/>
      <c r="D6977" s="87"/>
      <c r="E6977" s="87"/>
      <c r="F6977" s="87"/>
      <c r="G6977" s="87"/>
    </row>
    <row r="6978">
      <c r="A6978" s="86" t="str">
        <f>IFERROR(__xludf.DUMMYFUNCTION("""COMPUTED_VALUE"""),"")</f>
        <v/>
      </c>
      <c r="B6978" s="87"/>
      <c r="C6978" s="87"/>
      <c r="D6978" s="87"/>
      <c r="E6978" s="87"/>
      <c r="F6978" s="87"/>
      <c r="G6978" s="87"/>
    </row>
    <row r="6979">
      <c r="A6979" s="86" t="str">
        <f>IFERROR(__xludf.DUMMYFUNCTION("""COMPUTED_VALUE"""),"")</f>
        <v/>
      </c>
      <c r="B6979" s="87"/>
      <c r="C6979" s="87"/>
      <c r="D6979" s="87"/>
      <c r="E6979" s="87"/>
      <c r="F6979" s="87"/>
      <c r="G6979" s="87"/>
    </row>
    <row r="6980">
      <c r="A6980" s="86" t="str">
        <f>IFERROR(__xludf.DUMMYFUNCTION("""COMPUTED_VALUE"""),"")</f>
        <v/>
      </c>
      <c r="B6980" s="87"/>
      <c r="C6980" s="87"/>
      <c r="D6980" s="87"/>
      <c r="E6980" s="87"/>
      <c r="F6980" s="87"/>
      <c r="G6980" s="87"/>
    </row>
    <row r="6981">
      <c r="A6981" s="86" t="str">
        <f>IFERROR(__xludf.DUMMYFUNCTION("""COMPUTED_VALUE"""),"")</f>
        <v/>
      </c>
      <c r="B6981" s="87"/>
      <c r="C6981" s="87"/>
      <c r="D6981" s="87"/>
      <c r="E6981" s="87"/>
      <c r="F6981" s="87"/>
      <c r="G6981" s="87"/>
    </row>
    <row r="6982">
      <c r="A6982" s="86" t="str">
        <f>IFERROR(__xludf.DUMMYFUNCTION("""COMPUTED_VALUE"""),"")</f>
        <v/>
      </c>
      <c r="B6982" s="87"/>
      <c r="C6982" s="87"/>
      <c r="D6982" s="87"/>
      <c r="E6982" s="87"/>
      <c r="F6982" s="87"/>
      <c r="G6982" s="87"/>
    </row>
    <row r="6983">
      <c r="A6983" s="86" t="str">
        <f>IFERROR(__xludf.DUMMYFUNCTION("""COMPUTED_VALUE"""),"")</f>
        <v/>
      </c>
      <c r="B6983" s="87"/>
      <c r="C6983" s="87"/>
      <c r="D6983" s="87"/>
      <c r="E6983" s="87"/>
      <c r="F6983" s="87"/>
      <c r="G6983" s="87"/>
    </row>
    <row r="6984">
      <c r="A6984" s="86" t="str">
        <f>IFERROR(__xludf.DUMMYFUNCTION("""COMPUTED_VALUE"""),"")</f>
        <v/>
      </c>
      <c r="B6984" s="87"/>
      <c r="C6984" s="87"/>
      <c r="D6984" s="87"/>
      <c r="E6984" s="87"/>
      <c r="F6984" s="87"/>
      <c r="G6984" s="87"/>
    </row>
    <row r="6985">
      <c r="A6985" s="86" t="str">
        <f>IFERROR(__xludf.DUMMYFUNCTION("""COMPUTED_VALUE"""),"")</f>
        <v/>
      </c>
      <c r="B6985" s="87"/>
      <c r="C6985" s="87"/>
      <c r="D6985" s="87"/>
      <c r="E6985" s="87"/>
      <c r="F6985" s="87"/>
      <c r="G6985" s="87"/>
    </row>
    <row r="6986">
      <c r="A6986" s="86" t="str">
        <f>IFERROR(__xludf.DUMMYFUNCTION("""COMPUTED_VALUE"""),"")</f>
        <v/>
      </c>
      <c r="B6986" s="87"/>
      <c r="C6986" s="87"/>
      <c r="D6986" s="87"/>
      <c r="E6986" s="87"/>
      <c r="F6986" s="87"/>
      <c r="G6986" s="87"/>
    </row>
    <row r="6987">
      <c r="A6987" s="86" t="str">
        <f>IFERROR(__xludf.DUMMYFUNCTION("""COMPUTED_VALUE"""),"")</f>
        <v/>
      </c>
      <c r="B6987" s="87"/>
      <c r="C6987" s="87"/>
      <c r="D6987" s="87"/>
      <c r="E6987" s="87"/>
      <c r="F6987" s="87"/>
      <c r="G6987" s="87"/>
    </row>
    <row r="6988">
      <c r="A6988" s="86" t="str">
        <f>IFERROR(__xludf.DUMMYFUNCTION("""COMPUTED_VALUE"""),"")</f>
        <v/>
      </c>
      <c r="B6988" s="87"/>
      <c r="C6988" s="87"/>
      <c r="D6988" s="87"/>
      <c r="E6988" s="87"/>
      <c r="F6988" s="87"/>
      <c r="G6988" s="87"/>
    </row>
    <row r="6989">
      <c r="A6989" s="86" t="str">
        <f>IFERROR(__xludf.DUMMYFUNCTION("""COMPUTED_VALUE"""),"")</f>
        <v/>
      </c>
      <c r="B6989" s="87"/>
      <c r="C6989" s="87"/>
      <c r="D6989" s="87"/>
      <c r="E6989" s="87"/>
      <c r="F6989" s="87"/>
      <c r="G6989" s="87"/>
    </row>
    <row r="6990">
      <c r="A6990" s="86" t="str">
        <f>IFERROR(__xludf.DUMMYFUNCTION("""COMPUTED_VALUE"""),"")</f>
        <v/>
      </c>
      <c r="B6990" s="87"/>
      <c r="C6990" s="87"/>
      <c r="D6990" s="87"/>
      <c r="E6990" s="87"/>
      <c r="F6990" s="87"/>
      <c r="G6990" s="87"/>
    </row>
    <row r="6991">
      <c r="A6991" s="86" t="str">
        <f>IFERROR(__xludf.DUMMYFUNCTION("""COMPUTED_VALUE"""),"")</f>
        <v/>
      </c>
      <c r="B6991" s="87"/>
      <c r="C6991" s="87"/>
      <c r="D6991" s="87"/>
      <c r="E6991" s="87"/>
      <c r="F6991" s="87"/>
      <c r="G6991" s="87"/>
    </row>
    <row r="6992">
      <c r="A6992" s="86" t="str">
        <f>IFERROR(__xludf.DUMMYFUNCTION("""COMPUTED_VALUE"""),"")</f>
        <v/>
      </c>
      <c r="B6992" s="87"/>
      <c r="C6992" s="87"/>
      <c r="D6992" s="87"/>
      <c r="E6992" s="87"/>
      <c r="F6992" s="87"/>
      <c r="G6992" s="87"/>
    </row>
    <row r="6993">
      <c r="A6993" s="86" t="str">
        <f>IFERROR(__xludf.DUMMYFUNCTION("""COMPUTED_VALUE"""),"")</f>
        <v/>
      </c>
      <c r="B6993" s="87"/>
      <c r="C6993" s="87"/>
      <c r="D6993" s="87"/>
      <c r="E6993" s="87"/>
      <c r="F6993" s="87"/>
      <c r="G6993" s="87"/>
    </row>
    <row r="6994">
      <c r="A6994" s="86" t="str">
        <f>IFERROR(__xludf.DUMMYFUNCTION("""COMPUTED_VALUE"""),"")</f>
        <v/>
      </c>
      <c r="B6994" s="87"/>
      <c r="C6994" s="87"/>
      <c r="D6994" s="87"/>
      <c r="E6994" s="87"/>
      <c r="F6994" s="87"/>
      <c r="G6994" s="87"/>
    </row>
    <row r="6995">
      <c r="A6995" s="86" t="str">
        <f>IFERROR(__xludf.DUMMYFUNCTION("""COMPUTED_VALUE"""),"")</f>
        <v/>
      </c>
      <c r="B6995" s="87"/>
      <c r="C6995" s="87"/>
      <c r="D6995" s="87"/>
      <c r="E6995" s="87"/>
      <c r="F6995" s="87"/>
      <c r="G6995" s="87"/>
    </row>
    <row r="6996">
      <c r="A6996" s="86" t="str">
        <f>IFERROR(__xludf.DUMMYFUNCTION("""COMPUTED_VALUE"""),"")</f>
        <v/>
      </c>
      <c r="B6996" s="87"/>
      <c r="C6996" s="87"/>
      <c r="D6996" s="87"/>
      <c r="E6996" s="87"/>
      <c r="F6996" s="87"/>
      <c r="G6996" s="87"/>
    </row>
    <row r="6997">
      <c r="A6997" s="86" t="str">
        <f>IFERROR(__xludf.DUMMYFUNCTION("""COMPUTED_VALUE"""),"")</f>
        <v/>
      </c>
      <c r="B6997" s="87"/>
      <c r="C6997" s="87"/>
      <c r="D6997" s="87"/>
      <c r="E6997" s="87"/>
      <c r="F6997" s="87"/>
      <c r="G6997" s="87"/>
    </row>
    <row r="6998">
      <c r="A6998" s="86" t="str">
        <f>IFERROR(__xludf.DUMMYFUNCTION("""COMPUTED_VALUE"""),"")</f>
        <v/>
      </c>
      <c r="B6998" s="87"/>
      <c r="C6998" s="87"/>
      <c r="D6998" s="87"/>
      <c r="E6998" s="87"/>
      <c r="F6998" s="87"/>
      <c r="G6998" s="87"/>
    </row>
    <row r="6999">
      <c r="A6999" s="86" t="str">
        <f>IFERROR(__xludf.DUMMYFUNCTION("""COMPUTED_VALUE"""),"")</f>
        <v/>
      </c>
      <c r="B6999" s="87"/>
      <c r="C6999" s="87"/>
      <c r="D6999" s="87"/>
      <c r="E6999" s="87"/>
      <c r="F6999" s="87"/>
      <c r="G6999" s="87"/>
    </row>
    <row r="7000">
      <c r="A7000" s="86" t="str">
        <f>IFERROR(__xludf.DUMMYFUNCTION("""COMPUTED_VALUE"""),"")</f>
        <v/>
      </c>
      <c r="B7000" s="87"/>
      <c r="C7000" s="87"/>
      <c r="D7000" s="87"/>
      <c r="E7000" s="87"/>
      <c r="F7000" s="87"/>
      <c r="G7000" s="87"/>
    </row>
    <row r="7001">
      <c r="A7001" s="86" t="str">
        <f>IFERROR(__xludf.DUMMYFUNCTION("""COMPUTED_VALUE"""),"")</f>
        <v/>
      </c>
      <c r="B7001" s="87"/>
      <c r="C7001" s="87"/>
      <c r="D7001" s="87"/>
      <c r="E7001" s="87"/>
      <c r="F7001" s="87"/>
      <c r="G7001" s="87"/>
    </row>
    <row r="7002">
      <c r="A7002" s="86" t="str">
        <f>IFERROR(__xludf.DUMMYFUNCTION("""COMPUTED_VALUE"""),"")</f>
        <v/>
      </c>
      <c r="B7002" s="87"/>
      <c r="C7002" s="87"/>
      <c r="D7002" s="87"/>
      <c r="E7002" s="87"/>
      <c r="F7002" s="87"/>
      <c r="G7002" s="87"/>
    </row>
    <row r="7003">
      <c r="A7003" s="86" t="str">
        <f>IFERROR(__xludf.DUMMYFUNCTION("""COMPUTED_VALUE"""),"")</f>
        <v/>
      </c>
      <c r="B7003" s="87"/>
      <c r="C7003" s="87"/>
      <c r="D7003" s="87"/>
      <c r="E7003" s="87"/>
      <c r="F7003" s="87"/>
      <c r="G7003" s="87"/>
    </row>
    <row r="7004">
      <c r="A7004" s="86" t="str">
        <f>IFERROR(__xludf.DUMMYFUNCTION("""COMPUTED_VALUE"""),"")</f>
        <v/>
      </c>
      <c r="B7004" s="87"/>
      <c r="C7004" s="87"/>
      <c r="D7004" s="87"/>
      <c r="E7004" s="87"/>
      <c r="F7004" s="87"/>
      <c r="G7004" s="87"/>
    </row>
    <row r="7005">
      <c r="A7005" s="86" t="str">
        <f>IFERROR(__xludf.DUMMYFUNCTION("""COMPUTED_VALUE"""),"")</f>
        <v/>
      </c>
      <c r="B7005" s="87"/>
      <c r="C7005" s="87"/>
      <c r="D7005" s="87"/>
      <c r="E7005" s="87"/>
      <c r="F7005" s="87"/>
      <c r="G7005" s="87"/>
    </row>
    <row r="7006">
      <c r="A7006" s="86" t="str">
        <f>IFERROR(__xludf.DUMMYFUNCTION("""COMPUTED_VALUE"""),"")</f>
        <v/>
      </c>
      <c r="B7006" s="87"/>
      <c r="C7006" s="87"/>
      <c r="D7006" s="87"/>
      <c r="E7006" s="87"/>
      <c r="F7006" s="87"/>
      <c r="G7006" s="87"/>
    </row>
    <row r="7007">
      <c r="A7007" s="86" t="str">
        <f>IFERROR(__xludf.DUMMYFUNCTION("""COMPUTED_VALUE"""),"")</f>
        <v/>
      </c>
      <c r="B7007" s="87"/>
      <c r="C7007" s="87"/>
      <c r="D7007" s="87"/>
      <c r="E7007" s="87"/>
      <c r="F7007" s="87"/>
      <c r="G7007" s="87"/>
    </row>
    <row r="7008">
      <c r="A7008" s="86" t="str">
        <f>IFERROR(__xludf.DUMMYFUNCTION("""COMPUTED_VALUE"""),"")</f>
        <v/>
      </c>
      <c r="B7008" s="87"/>
      <c r="C7008" s="87"/>
      <c r="D7008" s="87"/>
      <c r="E7008" s="87"/>
      <c r="F7008" s="87"/>
      <c r="G7008" s="87"/>
    </row>
    <row r="7009">
      <c r="A7009" s="86" t="str">
        <f>IFERROR(__xludf.DUMMYFUNCTION("""COMPUTED_VALUE"""),"")</f>
        <v/>
      </c>
      <c r="B7009" s="87"/>
      <c r="C7009" s="87"/>
      <c r="D7009" s="87"/>
      <c r="E7009" s="87"/>
      <c r="F7009" s="87"/>
      <c r="G7009" s="87"/>
    </row>
    <row r="7010">
      <c r="A7010" s="86" t="str">
        <f>IFERROR(__xludf.DUMMYFUNCTION("""COMPUTED_VALUE"""),"")</f>
        <v/>
      </c>
      <c r="B7010" s="87"/>
      <c r="C7010" s="87"/>
      <c r="D7010" s="87"/>
      <c r="E7010" s="87"/>
      <c r="F7010" s="87"/>
      <c r="G7010" s="87"/>
    </row>
    <row r="7011">
      <c r="A7011" s="86" t="str">
        <f>IFERROR(__xludf.DUMMYFUNCTION("""COMPUTED_VALUE"""),"")</f>
        <v/>
      </c>
      <c r="B7011" s="87"/>
      <c r="C7011" s="87"/>
      <c r="D7011" s="87"/>
      <c r="E7011" s="87"/>
      <c r="F7011" s="87"/>
      <c r="G7011" s="87"/>
    </row>
    <row r="7012">
      <c r="A7012" s="86" t="str">
        <f>IFERROR(__xludf.DUMMYFUNCTION("""COMPUTED_VALUE"""),"")</f>
        <v/>
      </c>
      <c r="B7012" s="87"/>
      <c r="C7012" s="87"/>
      <c r="D7012" s="87"/>
      <c r="E7012" s="87"/>
      <c r="F7012" s="87"/>
      <c r="G7012" s="87"/>
    </row>
    <row r="7013">
      <c r="A7013" s="86" t="str">
        <f>IFERROR(__xludf.DUMMYFUNCTION("""COMPUTED_VALUE"""),"")</f>
        <v/>
      </c>
      <c r="B7013" s="87"/>
      <c r="C7013" s="87"/>
      <c r="D7013" s="87"/>
      <c r="E7013" s="87"/>
      <c r="F7013" s="87"/>
      <c r="G7013" s="87"/>
    </row>
    <row r="7014">
      <c r="A7014" s="86" t="str">
        <f>IFERROR(__xludf.DUMMYFUNCTION("""COMPUTED_VALUE"""),"")</f>
        <v/>
      </c>
      <c r="B7014" s="87"/>
      <c r="C7014" s="87"/>
      <c r="D7014" s="87"/>
      <c r="E7014" s="87"/>
      <c r="F7014" s="87"/>
      <c r="G7014" s="87"/>
    </row>
    <row r="7015">
      <c r="A7015" s="86" t="str">
        <f>IFERROR(__xludf.DUMMYFUNCTION("""COMPUTED_VALUE"""),"")</f>
        <v/>
      </c>
      <c r="B7015" s="87"/>
      <c r="C7015" s="87"/>
      <c r="D7015" s="87"/>
      <c r="E7015" s="87"/>
      <c r="F7015" s="87"/>
      <c r="G7015" s="87"/>
    </row>
    <row r="7016">
      <c r="A7016" s="86" t="str">
        <f>IFERROR(__xludf.DUMMYFUNCTION("""COMPUTED_VALUE"""),"")</f>
        <v/>
      </c>
      <c r="B7016" s="87"/>
      <c r="C7016" s="87"/>
      <c r="D7016" s="87"/>
      <c r="E7016" s="87"/>
      <c r="F7016" s="87"/>
      <c r="G7016" s="87"/>
    </row>
    <row r="7017">
      <c r="A7017" s="86" t="str">
        <f>IFERROR(__xludf.DUMMYFUNCTION("""COMPUTED_VALUE"""),"")</f>
        <v/>
      </c>
      <c r="B7017" s="87"/>
      <c r="C7017" s="87"/>
      <c r="D7017" s="87"/>
      <c r="E7017" s="87"/>
      <c r="F7017" s="87"/>
      <c r="G7017" s="87"/>
    </row>
    <row r="7018">
      <c r="A7018" s="86" t="str">
        <f>IFERROR(__xludf.DUMMYFUNCTION("""COMPUTED_VALUE"""),"")</f>
        <v/>
      </c>
      <c r="B7018" s="87"/>
      <c r="C7018" s="87"/>
      <c r="D7018" s="87"/>
      <c r="E7018" s="87"/>
      <c r="F7018" s="87"/>
      <c r="G7018" s="87"/>
    </row>
    <row r="7019">
      <c r="A7019" s="86" t="str">
        <f>IFERROR(__xludf.DUMMYFUNCTION("""COMPUTED_VALUE"""),"")</f>
        <v/>
      </c>
      <c r="B7019" s="87"/>
      <c r="C7019" s="87"/>
      <c r="D7019" s="87"/>
      <c r="E7019" s="87"/>
      <c r="F7019" s="87"/>
      <c r="G7019" s="87"/>
    </row>
    <row r="7020">
      <c r="A7020" s="86" t="str">
        <f>IFERROR(__xludf.DUMMYFUNCTION("""COMPUTED_VALUE"""),"")</f>
        <v/>
      </c>
      <c r="B7020" s="87"/>
      <c r="C7020" s="87"/>
      <c r="D7020" s="87"/>
      <c r="E7020" s="87"/>
      <c r="F7020" s="87"/>
      <c r="G7020" s="87"/>
    </row>
    <row r="7021">
      <c r="A7021" s="86" t="str">
        <f>IFERROR(__xludf.DUMMYFUNCTION("""COMPUTED_VALUE"""),"")</f>
        <v/>
      </c>
      <c r="B7021" s="87"/>
      <c r="C7021" s="87"/>
      <c r="D7021" s="87"/>
      <c r="E7021" s="87"/>
      <c r="F7021" s="87"/>
      <c r="G7021" s="87"/>
    </row>
    <row r="7022">
      <c r="A7022" s="86" t="str">
        <f>IFERROR(__xludf.DUMMYFUNCTION("""COMPUTED_VALUE"""),"")</f>
        <v/>
      </c>
      <c r="B7022" s="87"/>
      <c r="C7022" s="87"/>
      <c r="D7022" s="87"/>
      <c r="E7022" s="87"/>
      <c r="F7022" s="87"/>
      <c r="G7022" s="87"/>
    </row>
    <row r="7023">
      <c r="A7023" s="86" t="str">
        <f>IFERROR(__xludf.DUMMYFUNCTION("""COMPUTED_VALUE"""),"")</f>
        <v/>
      </c>
      <c r="B7023" s="87"/>
      <c r="C7023" s="87"/>
      <c r="D7023" s="87"/>
      <c r="E7023" s="87"/>
      <c r="F7023" s="87"/>
      <c r="G7023" s="87"/>
    </row>
    <row r="7024">
      <c r="A7024" s="86" t="str">
        <f>IFERROR(__xludf.DUMMYFUNCTION("""COMPUTED_VALUE"""),"")</f>
        <v/>
      </c>
      <c r="B7024" s="87"/>
      <c r="C7024" s="87"/>
      <c r="D7024" s="87"/>
      <c r="E7024" s="87"/>
      <c r="F7024" s="87"/>
      <c r="G7024" s="87"/>
    </row>
    <row r="7025">
      <c r="A7025" s="86" t="str">
        <f>IFERROR(__xludf.DUMMYFUNCTION("""COMPUTED_VALUE"""),"")</f>
        <v/>
      </c>
      <c r="B7025" s="87"/>
      <c r="C7025" s="87"/>
      <c r="D7025" s="87"/>
      <c r="E7025" s="87"/>
      <c r="F7025" s="87"/>
      <c r="G7025" s="87"/>
    </row>
    <row r="7026">
      <c r="A7026" s="86" t="str">
        <f>IFERROR(__xludf.DUMMYFUNCTION("""COMPUTED_VALUE"""),"")</f>
        <v/>
      </c>
      <c r="B7026" s="87"/>
      <c r="C7026" s="87"/>
      <c r="D7026" s="87"/>
      <c r="E7026" s="87"/>
      <c r="F7026" s="87"/>
      <c r="G7026" s="87"/>
    </row>
    <row r="7027">
      <c r="A7027" s="86" t="str">
        <f>IFERROR(__xludf.DUMMYFUNCTION("""COMPUTED_VALUE"""),"")</f>
        <v/>
      </c>
      <c r="B7027" s="87"/>
      <c r="C7027" s="87"/>
      <c r="D7027" s="87"/>
      <c r="E7027" s="87"/>
      <c r="F7027" s="87"/>
      <c r="G7027" s="87"/>
    </row>
    <row r="7028">
      <c r="A7028" s="86" t="str">
        <f>IFERROR(__xludf.DUMMYFUNCTION("""COMPUTED_VALUE"""),"")</f>
        <v/>
      </c>
      <c r="B7028" s="87"/>
      <c r="C7028" s="87"/>
      <c r="D7028" s="87"/>
      <c r="E7028" s="87"/>
      <c r="F7028" s="87"/>
      <c r="G7028" s="87"/>
    </row>
    <row r="7029">
      <c r="A7029" s="86" t="str">
        <f>IFERROR(__xludf.DUMMYFUNCTION("""COMPUTED_VALUE"""),"")</f>
        <v/>
      </c>
      <c r="B7029" s="87"/>
      <c r="C7029" s="87"/>
      <c r="D7029" s="87"/>
      <c r="E7029" s="87"/>
      <c r="F7029" s="87"/>
      <c r="G7029" s="87"/>
    </row>
    <row r="7030">
      <c r="A7030" s="86" t="str">
        <f>IFERROR(__xludf.DUMMYFUNCTION("""COMPUTED_VALUE"""),"")</f>
        <v/>
      </c>
      <c r="B7030" s="87"/>
      <c r="C7030" s="87"/>
      <c r="D7030" s="87"/>
      <c r="E7030" s="87"/>
      <c r="F7030" s="87"/>
      <c r="G7030" s="87"/>
    </row>
    <row r="7031">
      <c r="A7031" s="86" t="str">
        <f>IFERROR(__xludf.DUMMYFUNCTION("""COMPUTED_VALUE"""),"")</f>
        <v/>
      </c>
      <c r="B7031" s="87"/>
      <c r="C7031" s="87"/>
      <c r="D7031" s="87"/>
      <c r="E7031" s="87"/>
      <c r="F7031" s="87"/>
      <c r="G7031" s="87"/>
    </row>
    <row r="7032">
      <c r="A7032" s="86" t="str">
        <f>IFERROR(__xludf.DUMMYFUNCTION("""COMPUTED_VALUE"""),"")</f>
        <v/>
      </c>
      <c r="B7032" s="87"/>
      <c r="C7032" s="87"/>
      <c r="D7032" s="87"/>
      <c r="E7032" s="87"/>
      <c r="F7032" s="87"/>
      <c r="G7032" s="87"/>
    </row>
    <row r="7033">
      <c r="A7033" s="86" t="str">
        <f>IFERROR(__xludf.DUMMYFUNCTION("""COMPUTED_VALUE"""),"")</f>
        <v/>
      </c>
      <c r="B7033" s="87"/>
      <c r="C7033" s="87"/>
      <c r="D7033" s="87"/>
      <c r="E7033" s="87"/>
      <c r="F7033" s="87"/>
      <c r="G7033" s="87"/>
    </row>
    <row r="7034">
      <c r="A7034" s="86" t="str">
        <f>IFERROR(__xludf.DUMMYFUNCTION("""COMPUTED_VALUE"""),"")</f>
        <v/>
      </c>
      <c r="B7034" s="87"/>
      <c r="C7034" s="87"/>
      <c r="D7034" s="87"/>
      <c r="E7034" s="87"/>
      <c r="F7034" s="87"/>
      <c r="G7034" s="87"/>
    </row>
    <row r="7035">
      <c r="A7035" s="86" t="str">
        <f>IFERROR(__xludf.DUMMYFUNCTION("""COMPUTED_VALUE"""),"")</f>
        <v/>
      </c>
      <c r="B7035" s="87"/>
      <c r="C7035" s="87"/>
      <c r="D7035" s="87"/>
      <c r="E7035" s="87"/>
      <c r="F7035" s="87"/>
      <c r="G7035" s="87"/>
    </row>
    <row r="7036">
      <c r="A7036" s="86" t="str">
        <f>IFERROR(__xludf.DUMMYFUNCTION("""COMPUTED_VALUE"""),"")</f>
        <v/>
      </c>
      <c r="B7036" s="87"/>
      <c r="C7036" s="87"/>
      <c r="D7036" s="87"/>
      <c r="E7036" s="87"/>
      <c r="F7036" s="87"/>
      <c r="G7036" s="87"/>
    </row>
    <row r="7037">
      <c r="A7037" s="86" t="str">
        <f>IFERROR(__xludf.DUMMYFUNCTION("""COMPUTED_VALUE"""),"")</f>
        <v/>
      </c>
      <c r="B7037" s="87"/>
      <c r="C7037" s="87"/>
      <c r="D7037" s="87"/>
      <c r="E7037" s="87"/>
      <c r="F7037" s="87"/>
      <c r="G7037" s="87"/>
    </row>
    <row r="7038">
      <c r="A7038" s="86" t="str">
        <f>IFERROR(__xludf.DUMMYFUNCTION("""COMPUTED_VALUE"""),"")</f>
        <v/>
      </c>
      <c r="B7038" s="87"/>
      <c r="C7038" s="87"/>
      <c r="D7038" s="87"/>
      <c r="E7038" s="87"/>
      <c r="F7038" s="87"/>
      <c r="G7038" s="87"/>
    </row>
    <row r="7039">
      <c r="A7039" s="86" t="str">
        <f>IFERROR(__xludf.DUMMYFUNCTION("""COMPUTED_VALUE"""),"")</f>
        <v/>
      </c>
      <c r="B7039" s="87"/>
      <c r="C7039" s="87"/>
      <c r="D7039" s="87"/>
      <c r="E7039" s="87"/>
      <c r="F7039" s="87"/>
      <c r="G7039" s="87"/>
    </row>
    <row r="7040">
      <c r="A7040" s="86" t="str">
        <f>IFERROR(__xludf.DUMMYFUNCTION("""COMPUTED_VALUE"""),"")</f>
        <v/>
      </c>
      <c r="B7040" s="87"/>
      <c r="C7040" s="87"/>
      <c r="D7040" s="87"/>
      <c r="E7040" s="87"/>
      <c r="F7040" s="87"/>
      <c r="G7040" s="87"/>
    </row>
    <row r="7041">
      <c r="A7041" s="86" t="str">
        <f>IFERROR(__xludf.DUMMYFUNCTION("""COMPUTED_VALUE"""),"")</f>
        <v/>
      </c>
      <c r="B7041" s="87"/>
      <c r="C7041" s="87"/>
      <c r="D7041" s="87"/>
      <c r="E7041" s="87"/>
      <c r="F7041" s="87"/>
      <c r="G7041" s="87"/>
    </row>
    <row r="7042">
      <c r="A7042" s="86" t="str">
        <f>IFERROR(__xludf.DUMMYFUNCTION("""COMPUTED_VALUE"""),"")</f>
        <v/>
      </c>
      <c r="B7042" s="87"/>
      <c r="C7042" s="87"/>
      <c r="D7042" s="87"/>
      <c r="E7042" s="87"/>
      <c r="F7042" s="87"/>
      <c r="G7042" s="87"/>
    </row>
    <row r="7043">
      <c r="A7043" s="86" t="str">
        <f>IFERROR(__xludf.DUMMYFUNCTION("""COMPUTED_VALUE"""),"")</f>
        <v/>
      </c>
      <c r="B7043" s="87"/>
      <c r="C7043" s="87"/>
      <c r="D7043" s="87"/>
      <c r="E7043" s="87"/>
      <c r="F7043" s="87"/>
      <c r="G7043" s="87"/>
    </row>
    <row r="7044">
      <c r="A7044" s="86" t="str">
        <f>IFERROR(__xludf.DUMMYFUNCTION("""COMPUTED_VALUE"""),"")</f>
        <v/>
      </c>
      <c r="B7044" s="87"/>
      <c r="C7044" s="87"/>
      <c r="D7044" s="87"/>
      <c r="E7044" s="87"/>
      <c r="F7044" s="87"/>
      <c r="G7044" s="87"/>
    </row>
    <row r="7045">
      <c r="A7045" s="86" t="str">
        <f>IFERROR(__xludf.DUMMYFUNCTION("""COMPUTED_VALUE"""),"")</f>
        <v/>
      </c>
      <c r="B7045" s="87"/>
      <c r="C7045" s="87"/>
      <c r="D7045" s="87"/>
      <c r="E7045" s="87"/>
      <c r="F7045" s="87"/>
      <c r="G7045" s="87"/>
    </row>
    <row r="7046">
      <c r="A7046" s="86" t="str">
        <f>IFERROR(__xludf.DUMMYFUNCTION("""COMPUTED_VALUE"""),"")</f>
        <v/>
      </c>
      <c r="B7046" s="87"/>
      <c r="C7046" s="87"/>
      <c r="D7046" s="87"/>
      <c r="E7046" s="87"/>
      <c r="F7046" s="87"/>
      <c r="G7046" s="87"/>
    </row>
    <row r="7047">
      <c r="A7047" s="86" t="str">
        <f>IFERROR(__xludf.DUMMYFUNCTION("""COMPUTED_VALUE"""),"")</f>
        <v/>
      </c>
      <c r="B7047" s="87"/>
      <c r="C7047" s="87"/>
      <c r="D7047" s="87"/>
      <c r="E7047" s="87"/>
      <c r="F7047" s="87"/>
      <c r="G7047" s="87"/>
    </row>
    <row r="7048">
      <c r="A7048" s="86" t="str">
        <f>IFERROR(__xludf.DUMMYFUNCTION("""COMPUTED_VALUE"""),"")</f>
        <v/>
      </c>
      <c r="B7048" s="87"/>
      <c r="C7048" s="87"/>
      <c r="D7048" s="87"/>
      <c r="E7048" s="87"/>
      <c r="F7048" s="87"/>
      <c r="G7048" s="87"/>
    </row>
    <row r="7049">
      <c r="A7049" s="86" t="str">
        <f>IFERROR(__xludf.DUMMYFUNCTION("""COMPUTED_VALUE"""),"")</f>
        <v/>
      </c>
      <c r="B7049" s="87"/>
      <c r="C7049" s="87"/>
      <c r="D7049" s="87"/>
      <c r="E7049" s="87"/>
      <c r="F7049" s="87"/>
      <c r="G7049" s="87"/>
    </row>
    <row r="7050">
      <c r="A7050" s="86" t="str">
        <f>IFERROR(__xludf.DUMMYFUNCTION("""COMPUTED_VALUE"""),"")</f>
        <v/>
      </c>
      <c r="B7050" s="87"/>
      <c r="C7050" s="87"/>
      <c r="D7050" s="87"/>
      <c r="E7050" s="87"/>
      <c r="F7050" s="87"/>
      <c r="G7050" s="87"/>
    </row>
    <row r="7051">
      <c r="A7051" s="86" t="str">
        <f>IFERROR(__xludf.DUMMYFUNCTION("""COMPUTED_VALUE"""),"")</f>
        <v/>
      </c>
      <c r="B7051" s="87"/>
      <c r="C7051" s="87"/>
      <c r="D7051" s="87"/>
      <c r="E7051" s="87"/>
      <c r="F7051" s="87"/>
      <c r="G7051" s="87"/>
    </row>
    <row r="7052">
      <c r="A7052" s="86" t="str">
        <f>IFERROR(__xludf.DUMMYFUNCTION("""COMPUTED_VALUE"""),"")</f>
        <v/>
      </c>
      <c r="B7052" s="87"/>
      <c r="C7052" s="87"/>
      <c r="D7052" s="87"/>
      <c r="E7052" s="87"/>
      <c r="F7052" s="87"/>
      <c r="G7052" s="87"/>
    </row>
    <row r="7053">
      <c r="A7053" s="86" t="str">
        <f>IFERROR(__xludf.DUMMYFUNCTION("""COMPUTED_VALUE"""),"")</f>
        <v/>
      </c>
      <c r="B7053" s="87"/>
      <c r="C7053" s="87"/>
      <c r="D7053" s="87"/>
      <c r="E7053" s="87"/>
      <c r="F7053" s="87"/>
      <c r="G7053" s="87"/>
    </row>
    <row r="7054">
      <c r="A7054" s="86" t="str">
        <f>IFERROR(__xludf.DUMMYFUNCTION("""COMPUTED_VALUE"""),"")</f>
        <v/>
      </c>
      <c r="B7054" s="87"/>
      <c r="C7054" s="87"/>
      <c r="D7054" s="87"/>
      <c r="E7054" s="87"/>
      <c r="F7054" s="87"/>
      <c r="G7054" s="87"/>
    </row>
    <row r="7055">
      <c r="A7055" s="86" t="str">
        <f>IFERROR(__xludf.DUMMYFUNCTION("""COMPUTED_VALUE"""),"")</f>
        <v/>
      </c>
      <c r="B7055" s="87"/>
      <c r="C7055" s="87"/>
      <c r="D7055" s="87"/>
      <c r="E7055" s="87"/>
      <c r="F7055" s="87"/>
      <c r="G7055" s="87"/>
    </row>
    <row r="7056">
      <c r="A7056" s="86" t="str">
        <f>IFERROR(__xludf.DUMMYFUNCTION("""COMPUTED_VALUE"""),"")</f>
        <v/>
      </c>
      <c r="B7056" s="87"/>
      <c r="C7056" s="87"/>
      <c r="D7056" s="87"/>
      <c r="E7056" s="87"/>
      <c r="F7056" s="87"/>
      <c r="G7056" s="87"/>
    </row>
    <row r="7057">
      <c r="A7057" s="86" t="str">
        <f>IFERROR(__xludf.DUMMYFUNCTION("""COMPUTED_VALUE"""),"")</f>
        <v/>
      </c>
      <c r="B7057" s="87"/>
      <c r="C7057" s="87"/>
      <c r="D7057" s="87"/>
      <c r="E7057" s="87"/>
      <c r="F7057" s="87"/>
      <c r="G7057" s="87"/>
    </row>
    <row r="7058">
      <c r="A7058" s="86" t="str">
        <f>IFERROR(__xludf.DUMMYFUNCTION("""COMPUTED_VALUE"""),"")</f>
        <v/>
      </c>
      <c r="B7058" s="87"/>
      <c r="C7058" s="87"/>
      <c r="D7058" s="87"/>
      <c r="E7058" s="87"/>
      <c r="F7058" s="87"/>
      <c r="G7058" s="87"/>
    </row>
    <row r="7059">
      <c r="A7059" s="86" t="str">
        <f>IFERROR(__xludf.DUMMYFUNCTION("""COMPUTED_VALUE"""),"")</f>
        <v/>
      </c>
      <c r="B7059" s="87"/>
      <c r="C7059" s="87"/>
      <c r="D7059" s="87"/>
      <c r="E7059" s="87"/>
      <c r="F7059" s="87"/>
      <c r="G7059" s="87"/>
    </row>
    <row r="7060">
      <c r="A7060" s="86" t="str">
        <f>IFERROR(__xludf.DUMMYFUNCTION("""COMPUTED_VALUE"""),"")</f>
        <v/>
      </c>
      <c r="B7060" s="87"/>
      <c r="C7060" s="87"/>
      <c r="D7060" s="87"/>
      <c r="E7060" s="87"/>
      <c r="F7060" s="87"/>
      <c r="G7060" s="87"/>
    </row>
    <row r="7061">
      <c r="A7061" s="86" t="str">
        <f>IFERROR(__xludf.DUMMYFUNCTION("""COMPUTED_VALUE"""),"")</f>
        <v/>
      </c>
      <c r="B7061" s="87"/>
      <c r="C7061" s="87"/>
      <c r="D7061" s="87"/>
      <c r="E7061" s="87"/>
      <c r="F7061" s="87"/>
      <c r="G7061" s="87"/>
    </row>
    <row r="7062">
      <c r="A7062" s="86" t="str">
        <f>IFERROR(__xludf.DUMMYFUNCTION("""COMPUTED_VALUE"""),"")</f>
        <v/>
      </c>
      <c r="B7062" s="87"/>
      <c r="C7062" s="87"/>
      <c r="D7062" s="87"/>
      <c r="E7062" s="87"/>
      <c r="F7062" s="87"/>
      <c r="G7062" s="87"/>
    </row>
    <row r="7063">
      <c r="A7063" s="86" t="str">
        <f>IFERROR(__xludf.DUMMYFUNCTION("""COMPUTED_VALUE"""),"")</f>
        <v/>
      </c>
      <c r="B7063" s="87"/>
      <c r="C7063" s="87"/>
      <c r="D7063" s="87"/>
      <c r="E7063" s="87"/>
      <c r="F7063" s="87"/>
      <c r="G7063" s="87"/>
    </row>
    <row r="7064">
      <c r="A7064" s="86" t="str">
        <f>IFERROR(__xludf.DUMMYFUNCTION("""COMPUTED_VALUE"""),"")</f>
        <v/>
      </c>
      <c r="B7064" s="87"/>
      <c r="C7064" s="87"/>
      <c r="D7064" s="87"/>
      <c r="E7064" s="87"/>
      <c r="F7064" s="87"/>
      <c r="G7064" s="87"/>
    </row>
    <row r="7065">
      <c r="A7065" s="86" t="str">
        <f>IFERROR(__xludf.DUMMYFUNCTION("""COMPUTED_VALUE"""),"")</f>
        <v/>
      </c>
      <c r="B7065" s="87"/>
      <c r="C7065" s="87"/>
      <c r="D7065" s="87"/>
      <c r="E7065" s="87"/>
      <c r="F7065" s="87"/>
      <c r="G7065" s="87"/>
    </row>
    <row r="7066">
      <c r="A7066" s="86" t="str">
        <f>IFERROR(__xludf.DUMMYFUNCTION("""COMPUTED_VALUE"""),"")</f>
        <v/>
      </c>
      <c r="B7066" s="87"/>
      <c r="C7066" s="87"/>
      <c r="D7066" s="87"/>
      <c r="E7066" s="87"/>
      <c r="F7066" s="87"/>
      <c r="G7066" s="87"/>
    </row>
    <row r="7067">
      <c r="A7067" s="86" t="str">
        <f>IFERROR(__xludf.DUMMYFUNCTION("""COMPUTED_VALUE"""),"")</f>
        <v/>
      </c>
      <c r="B7067" s="87"/>
      <c r="C7067" s="87"/>
      <c r="D7067" s="87"/>
      <c r="E7067" s="87"/>
      <c r="F7067" s="87"/>
      <c r="G7067" s="87"/>
    </row>
    <row r="7068">
      <c r="A7068" s="86" t="str">
        <f>IFERROR(__xludf.DUMMYFUNCTION("""COMPUTED_VALUE"""),"")</f>
        <v/>
      </c>
      <c r="B7068" s="87"/>
      <c r="C7068" s="87"/>
      <c r="D7068" s="87"/>
      <c r="E7068" s="87"/>
      <c r="F7068" s="87"/>
      <c r="G7068" s="87"/>
    </row>
    <row r="7069">
      <c r="A7069" s="86" t="str">
        <f>IFERROR(__xludf.DUMMYFUNCTION("""COMPUTED_VALUE"""),"")</f>
        <v/>
      </c>
      <c r="B7069" s="87"/>
      <c r="C7069" s="87"/>
      <c r="D7069" s="87"/>
      <c r="E7069" s="87"/>
      <c r="F7069" s="87"/>
      <c r="G7069" s="87"/>
    </row>
    <row r="7070">
      <c r="A7070" s="86" t="str">
        <f>IFERROR(__xludf.DUMMYFUNCTION("""COMPUTED_VALUE"""),"")</f>
        <v/>
      </c>
      <c r="B7070" s="87"/>
      <c r="C7070" s="87"/>
      <c r="D7070" s="87"/>
      <c r="E7070" s="87"/>
      <c r="F7070" s="87"/>
      <c r="G7070" s="87"/>
    </row>
    <row r="7071">
      <c r="A7071" s="86" t="str">
        <f>IFERROR(__xludf.DUMMYFUNCTION("""COMPUTED_VALUE"""),"")</f>
        <v/>
      </c>
      <c r="B7071" s="87"/>
      <c r="C7071" s="87"/>
      <c r="D7071" s="87"/>
      <c r="E7071" s="87"/>
      <c r="F7071" s="87"/>
      <c r="G7071" s="87"/>
    </row>
    <row r="7072">
      <c r="A7072" s="86" t="str">
        <f>IFERROR(__xludf.DUMMYFUNCTION("""COMPUTED_VALUE"""),"")</f>
        <v/>
      </c>
      <c r="B7072" s="87"/>
      <c r="C7072" s="87"/>
      <c r="D7072" s="87"/>
      <c r="E7072" s="87"/>
      <c r="F7072" s="87"/>
      <c r="G7072" s="87"/>
    </row>
    <row r="7073">
      <c r="A7073" s="86" t="str">
        <f>IFERROR(__xludf.DUMMYFUNCTION("""COMPUTED_VALUE"""),"")</f>
        <v/>
      </c>
      <c r="B7073" s="87"/>
      <c r="C7073" s="87"/>
      <c r="D7073" s="87"/>
      <c r="E7073" s="87"/>
      <c r="F7073" s="87"/>
      <c r="G7073" s="87"/>
    </row>
    <row r="7074">
      <c r="A7074" s="86" t="str">
        <f>IFERROR(__xludf.DUMMYFUNCTION("""COMPUTED_VALUE"""),"")</f>
        <v/>
      </c>
      <c r="B7074" s="87"/>
      <c r="C7074" s="87"/>
      <c r="D7074" s="87"/>
      <c r="E7074" s="87"/>
      <c r="F7074" s="87"/>
      <c r="G7074" s="87"/>
    </row>
    <row r="7075">
      <c r="A7075" s="86" t="str">
        <f>IFERROR(__xludf.DUMMYFUNCTION("""COMPUTED_VALUE"""),"")</f>
        <v/>
      </c>
      <c r="B7075" s="87"/>
      <c r="C7075" s="87"/>
      <c r="D7075" s="87"/>
      <c r="E7075" s="87"/>
      <c r="F7075" s="87"/>
      <c r="G7075" s="87"/>
    </row>
    <row r="7076">
      <c r="A7076" s="86" t="str">
        <f>IFERROR(__xludf.DUMMYFUNCTION("""COMPUTED_VALUE"""),"")</f>
        <v/>
      </c>
      <c r="B7076" s="87"/>
      <c r="C7076" s="87"/>
      <c r="D7076" s="87"/>
      <c r="E7076" s="87"/>
      <c r="F7076" s="87"/>
      <c r="G7076" s="87"/>
    </row>
    <row r="7077">
      <c r="A7077" s="86" t="str">
        <f>IFERROR(__xludf.DUMMYFUNCTION("""COMPUTED_VALUE"""),"")</f>
        <v/>
      </c>
      <c r="B7077" s="87"/>
      <c r="C7077" s="87"/>
      <c r="D7077" s="87"/>
      <c r="E7077" s="87"/>
      <c r="F7077" s="87"/>
      <c r="G7077" s="87"/>
    </row>
    <row r="7078">
      <c r="A7078" s="86" t="str">
        <f>IFERROR(__xludf.DUMMYFUNCTION("""COMPUTED_VALUE"""),"")</f>
        <v/>
      </c>
      <c r="B7078" s="87"/>
      <c r="C7078" s="87"/>
      <c r="D7078" s="87"/>
      <c r="E7078" s="87"/>
      <c r="F7078" s="87"/>
      <c r="G7078" s="87"/>
    </row>
    <row r="7079">
      <c r="A7079" s="86" t="str">
        <f>IFERROR(__xludf.DUMMYFUNCTION("""COMPUTED_VALUE"""),"")</f>
        <v/>
      </c>
      <c r="B7079" s="87"/>
      <c r="C7079" s="87"/>
      <c r="D7079" s="87"/>
      <c r="E7079" s="87"/>
      <c r="F7079" s="87"/>
      <c r="G7079" s="87"/>
    </row>
    <row r="7080">
      <c r="A7080" s="86" t="str">
        <f>IFERROR(__xludf.DUMMYFUNCTION("""COMPUTED_VALUE"""),"")</f>
        <v/>
      </c>
      <c r="B7080" s="87"/>
      <c r="C7080" s="87"/>
      <c r="D7080" s="87"/>
      <c r="E7080" s="87"/>
      <c r="F7080" s="87"/>
      <c r="G7080" s="87"/>
    </row>
    <row r="7081">
      <c r="A7081" s="86" t="str">
        <f>IFERROR(__xludf.DUMMYFUNCTION("""COMPUTED_VALUE"""),"")</f>
        <v/>
      </c>
      <c r="B7081" s="87"/>
      <c r="C7081" s="87"/>
      <c r="D7081" s="87"/>
      <c r="E7081" s="87"/>
      <c r="F7081" s="87"/>
      <c r="G7081" s="87"/>
    </row>
    <row r="7082">
      <c r="A7082" s="86" t="str">
        <f>IFERROR(__xludf.DUMMYFUNCTION("""COMPUTED_VALUE"""),"")</f>
        <v/>
      </c>
      <c r="B7082" s="87"/>
      <c r="C7082" s="87"/>
      <c r="D7082" s="87"/>
      <c r="E7082" s="87"/>
      <c r="F7082" s="87"/>
      <c r="G7082" s="87"/>
    </row>
    <row r="7083">
      <c r="A7083" s="86" t="str">
        <f>IFERROR(__xludf.DUMMYFUNCTION("""COMPUTED_VALUE"""),"")</f>
        <v/>
      </c>
      <c r="B7083" s="87"/>
      <c r="C7083" s="87"/>
      <c r="D7083" s="87"/>
      <c r="E7083" s="87"/>
      <c r="F7083" s="87"/>
      <c r="G7083" s="87"/>
    </row>
    <row r="7084">
      <c r="A7084" s="86" t="str">
        <f>IFERROR(__xludf.DUMMYFUNCTION("""COMPUTED_VALUE"""),"")</f>
        <v/>
      </c>
      <c r="B7084" s="87"/>
      <c r="C7084" s="87"/>
      <c r="D7084" s="87"/>
      <c r="E7084" s="87"/>
      <c r="F7084" s="87"/>
      <c r="G7084" s="87"/>
    </row>
    <row r="7085">
      <c r="A7085" s="86" t="str">
        <f>IFERROR(__xludf.DUMMYFUNCTION("""COMPUTED_VALUE"""),"")</f>
        <v/>
      </c>
      <c r="B7085" s="87"/>
      <c r="C7085" s="87"/>
      <c r="D7085" s="87"/>
      <c r="E7085" s="87"/>
      <c r="F7085" s="87"/>
      <c r="G7085" s="87"/>
    </row>
    <row r="7086">
      <c r="A7086" s="86" t="str">
        <f>IFERROR(__xludf.DUMMYFUNCTION("""COMPUTED_VALUE"""),"")</f>
        <v/>
      </c>
      <c r="B7086" s="87"/>
      <c r="C7086" s="87"/>
      <c r="D7086" s="87"/>
      <c r="E7086" s="87"/>
      <c r="F7086" s="87"/>
      <c r="G7086" s="87"/>
    </row>
    <row r="7087">
      <c r="A7087" s="86" t="str">
        <f>IFERROR(__xludf.DUMMYFUNCTION("""COMPUTED_VALUE"""),"")</f>
        <v/>
      </c>
      <c r="B7087" s="87"/>
      <c r="C7087" s="87"/>
      <c r="D7087" s="87"/>
      <c r="E7087" s="87"/>
      <c r="F7087" s="87"/>
      <c r="G7087" s="87"/>
    </row>
    <row r="7088">
      <c r="A7088" s="86" t="str">
        <f>IFERROR(__xludf.DUMMYFUNCTION("""COMPUTED_VALUE"""),"")</f>
        <v/>
      </c>
      <c r="B7088" s="87"/>
      <c r="C7088" s="87"/>
      <c r="D7088" s="87"/>
      <c r="E7088" s="87"/>
      <c r="F7088" s="87"/>
      <c r="G7088" s="87"/>
    </row>
    <row r="7089">
      <c r="A7089" s="86" t="str">
        <f>IFERROR(__xludf.DUMMYFUNCTION("""COMPUTED_VALUE"""),"")</f>
        <v/>
      </c>
      <c r="B7089" s="87"/>
      <c r="C7089" s="87"/>
      <c r="D7089" s="87"/>
      <c r="E7089" s="87"/>
      <c r="F7089" s="87"/>
      <c r="G7089" s="87"/>
    </row>
    <row r="7090">
      <c r="A7090" s="86" t="str">
        <f>IFERROR(__xludf.DUMMYFUNCTION("""COMPUTED_VALUE"""),"")</f>
        <v/>
      </c>
      <c r="B7090" s="87"/>
      <c r="C7090" s="87"/>
      <c r="D7090" s="87"/>
      <c r="E7090" s="87"/>
      <c r="F7090" s="87"/>
      <c r="G7090" s="87"/>
    </row>
    <row r="7091">
      <c r="A7091" s="86" t="str">
        <f>IFERROR(__xludf.DUMMYFUNCTION("""COMPUTED_VALUE"""),"")</f>
        <v/>
      </c>
      <c r="B7091" s="87"/>
      <c r="C7091" s="87"/>
      <c r="D7091" s="87"/>
      <c r="E7091" s="87"/>
      <c r="F7091" s="87"/>
      <c r="G7091" s="87"/>
    </row>
    <row r="7092">
      <c r="A7092" s="86" t="str">
        <f>IFERROR(__xludf.DUMMYFUNCTION("""COMPUTED_VALUE"""),"")</f>
        <v/>
      </c>
      <c r="B7092" s="87"/>
      <c r="C7092" s="87"/>
      <c r="D7092" s="87"/>
      <c r="E7092" s="87"/>
      <c r="F7092" s="87"/>
      <c r="G7092" s="87"/>
    </row>
    <row r="7093">
      <c r="A7093" s="86" t="str">
        <f>IFERROR(__xludf.DUMMYFUNCTION("""COMPUTED_VALUE"""),"")</f>
        <v/>
      </c>
      <c r="B7093" s="87"/>
      <c r="C7093" s="87"/>
      <c r="D7093" s="87"/>
      <c r="E7093" s="87"/>
      <c r="F7093" s="87"/>
      <c r="G7093" s="87"/>
    </row>
    <row r="7094">
      <c r="A7094" s="86" t="str">
        <f>IFERROR(__xludf.DUMMYFUNCTION("""COMPUTED_VALUE"""),"")</f>
        <v/>
      </c>
      <c r="B7094" s="87"/>
      <c r="C7094" s="87"/>
      <c r="D7094" s="87"/>
      <c r="E7094" s="87"/>
      <c r="F7094" s="87"/>
      <c r="G7094" s="87"/>
    </row>
    <row r="7095">
      <c r="A7095" s="86" t="str">
        <f>IFERROR(__xludf.DUMMYFUNCTION("""COMPUTED_VALUE"""),"")</f>
        <v/>
      </c>
      <c r="B7095" s="87"/>
      <c r="C7095" s="87"/>
      <c r="D7095" s="87"/>
      <c r="E7095" s="87"/>
      <c r="F7095" s="87"/>
      <c r="G7095" s="87"/>
    </row>
    <row r="7096">
      <c r="A7096" s="86" t="str">
        <f>IFERROR(__xludf.DUMMYFUNCTION("""COMPUTED_VALUE"""),"")</f>
        <v/>
      </c>
      <c r="B7096" s="87"/>
      <c r="C7096" s="87"/>
      <c r="D7096" s="87"/>
      <c r="E7096" s="87"/>
      <c r="F7096" s="87"/>
      <c r="G7096" s="87"/>
    </row>
    <row r="7097">
      <c r="A7097" s="86" t="str">
        <f>IFERROR(__xludf.DUMMYFUNCTION("""COMPUTED_VALUE"""),"")</f>
        <v/>
      </c>
      <c r="B7097" s="87"/>
      <c r="C7097" s="87"/>
      <c r="D7097" s="87"/>
      <c r="E7097" s="87"/>
      <c r="F7097" s="87"/>
      <c r="G7097" s="87"/>
    </row>
    <row r="7098">
      <c r="A7098" s="86" t="str">
        <f>IFERROR(__xludf.DUMMYFUNCTION("""COMPUTED_VALUE"""),"")</f>
        <v/>
      </c>
      <c r="B7098" s="87"/>
      <c r="C7098" s="87"/>
      <c r="D7098" s="87"/>
      <c r="E7098" s="87"/>
      <c r="F7098" s="87"/>
      <c r="G7098" s="87"/>
    </row>
    <row r="7099">
      <c r="A7099" s="86" t="str">
        <f>IFERROR(__xludf.DUMMYFUNCTION("""COMPUTED_VALUE"""),"")</f>
        <v/>
      </c>
      <c r="B7099" s="87"/>
      <c r="C7099" s="87"/>
      <c r="D7099" s="87"/>
      <c r="E7099" s="87"/>
      <c r="F7099" s="87"/>
      <c r="G7099" s="87"/>
    </row>
    <row r="7100">
      <c r="A7100" s="86" t="str">
        <f>IFERROR(__xludf.DUMMYFUNCTION("""COMPUTED_VALUE"""),"")</f>
        <v/>
      </c>
      <c r="B7100" s="87"/>
      <c r="C7100" s="87"/>
      <c r="D7100" s="87"/>
      <c r="E7100" s="87"/>
      <c r="F7100" s="87"/>
      <c r="G7100" s="87"/>
    </row>
    <row r="7101">
      <c r="A7101" s="86" t="str">
        <f>IFERROR(__xludf.DUMMYFUNCTION("""COMPUTED_VALUE"""),"")</f>
        <v/>
      </c>
      <c r="B7101" s="87"/>
      <c r="C7101" s="87"/>
      <c r="D7101" s="87"/>
      <c r="E7101" s="87"/>
      <c r="F7101" s="87"/>
      <c r="G7101" s="87"/>
    </row>
    <row r="7102">
      <c r="A7102" s="86" t="str">
        <f>IFERROR(__xludf.DUMMYFUNCTION("""COMPUTED_VALUE"""),"")</f>
        <v/>
      </c>
      <c r="B7102" s="87"/>
      <c r="C7102" s="87"/>
      <c r="D7102" s="87"/>
      <c r="E7102" s="87"/>
      <c r="F7102" s="87"/>
      <c r="G7102" s="87"/>
    </row>
    <row r="7103">
      <c r="A7103" s="86" t="str">
        <f>IFERROR(__xludf.DUMMYFUNCTION("""COMPUTED_VALUE"""),"")</f>
        <v/>
      </c>
      <c r="B7103" s="87"/>
      <c r="C7103" s="87"/>
      <c r="D7103" s="87"/>
      <c r="E7103" s="87"/>
      <c r="F7103" s="87"/>
      <c r="G7103" s="87"/>
    </row>
    <row r="7104">
      <c r="A7104" s="86" t="str">
        <f>IFERROR(__xludf.DUMMYFUNCTION("""COMPUTED_VALUE"""),"")</f>
        <v/>
      </c>
      <c r="B7104" s="87"/>
      <c r="C7104" s="87"/>
      <c r="D7104" s="87"/>
      <c r="E7104" s="87"/>
      <c r="F7104" s="87"/>
      <c r="G7104" s="87"/>
    </row>
    <row r="7105">
      <c r="A7105" s="86" t="str">
        <f>IFERROR(__xludf.DUMMYFUNCTION("""COMPUTED_VALUE"""),"")</f>
        <v/>
      </c>
      <c r="B7105" s="87"/>
      <c r="C7105" s="87"/>
      <c r="D7105" s="87"/>
      <c r="E7105" s="87"/>
      <c r="F7105" s="87"/>
      <c r="G7105" s="87"/>
    </row>
    <row r="7106">
      <c r="A7106" s="86" t="str">
        <f>IFERROR(__xludf.DUMMYFUNCTION("""COMPUTED_VALUE"""),"")</f>
        <v/>
      </c>
      <c r="B7106" s="87"/>
      <c r="C7106" s="87"/>
      <c r="D7106" s="87"/>
      <c r="E7106" s="87"/>
      <c r="F7106" s="87"/>
      <c r="G7106" s="87"/>
    </row>
    <row r="7107">
      <c r="A7107" s="86" t="str">
        <f>IFERROR(__xludf.DUMMYFUNCTION("""COMPUTED_VALUE"""),"")</f>
        <v/>
      </c>
      <c r="B7107" s="87"/>
      <c r="C7107" s="87"/>
      <c r="D7107" s="87"/>
      <c r="E7107" s="87"/>
      <c r="F7107" s="87"/>
      <c r="G7107" s="87"/>
    </row>
    <row r="7108">
      <c r="A7108" s="86" t="str">
        <f>IFERROR(__xludf.DUMMYFUNCTION("""COMPUTED_VALUE"""),"")</f>
        <v/>
      </c>
      <c r="B7108" s="87"/>
      <c r="C7108" s="87"/>
      <c r="D7108" s="87"/>
      <c r="E7108" s="87"/>
      <c r="F7108" s="87"/>
      <c r="G7108" s="87"/>
    </row>
    <row r="7109">
      <c r="A7109" s="86" t="str">
        <f>IFERROR(__xludf.DUMMYFUNCTION("""COMPUTED_VALUE"""),"")</f>
        <v/>
      </c>
      <c r="B7109" s="87"/>
      <c r="C7109" s="87"/>
      <c r="D7109" s="87"/>
      <c r="E7109" s="87"/>
      <c r="F7109" s="87"/>
      <c r="G7109" s="87"/>
    </row>
    <row r="7110">
      <c r="A7110" s="86" t="str">
        <f>IFERROR(__xludf.DUMMYFUNCTION("""COMPUTED_VALUE"""),"")</f>
        <v/>
      </c>
      <c r="B7110" s="87"/>
      <c r="C7110" s="87"/>
      <c r="D7110" s="87"/>
      <c r="E7110" s="87"/>
      <c r="F7110" s="87"/>
      <c r="G7110" s="87"/>
    </row>
    <row r="7111">
      <c r="A7111" s="86" t="str">
        <f>IFERROR(__xludf.DUMMYFUNCTION("""COMPUTED_VALUE"""),"")</f>
        <v/>
      </c>
      <c r="B7111" s="87"/>
      <c r="C7111" s="87"/>
      <c r="D7111" s="87"/>
      <c r="E7111" s="87"/>
      <c r="F7111" s="87"/>
      <c r="G7111" s="87"/>
    </row>
    <row r="7112">
      <c r="A7112" s="86" t="str">
        <f>IFERROR(__xludf.DUMMYFUNCTION("""COMPUTED_VALUE"""),"")</f>
        <v/>
      </c>
      <c r="B7112" s="87"/>
      <c r="C7112" s="87"/>
      <c r="D7112" s="87"/>
      <c r="E7112" s="87"/>
      <c r="F7112" s="87"/>
      <c r="G7112" s="87"/>
    </row>
    <row r="7113">
      <c r="A7113" s="86" t="str">
        <f>IFERROR(__xludf.DUMMYFUNCTION("""COMPUTED_VALUE"""),"")</f>
        <v/>
      </c>
      <c r="B7113" s="87"/>
      <c r="C7113" s="87"/>
      <c r="D7113" s="87"/>
      <c r="E7113" s="87"/>
      <c r="F7113" s="87"/>
      <c r="G7113" s="87"/>
    </row>
    <row r="7114">
      <c r="A7114" s="86" t="str">
        <f>IFERROR(__xludf.DUMMYFUNCTION("""COMPUTED_VALUE"""),"")</f>
        <v/>
      </c>
      <c r="B7114" s="87"/>
      <c r="C7114" s="87"/>
      <c r="D7114" s="87"/>
      <c r="E7114" s="87"/>
      <c r="F7114" s="87"/>
      <c r="G7114" s="87"/>
    </row>
    <row r="7115">
      <c r="A7115" s="86" t="str">
        <f>IFERROR(__xludf.DUMMYFUNCTION("""COMPUTED_VALUE"""),"")</f>
        <v/>
      </c>
      <c r="B7115" s="87"/>
      <c r="C7115" s="87"/>
      <c r="D7115" s="87"/>
      <c r="E7115" s="87"/>
      <c r="F7115" s="87"/>
      <c r="G7115" s="87"/>
    </row>
    <row r="7116">
      <c r="A7116" s="86" t="str">
        <f>IFERROR(__xludf.DUMMYFUNCTION("""COMPUTED_VALUE"""),"")</f>
        <v/>
      </c>
      <c r="B7116" s="87"/>
      <c r="C7116" s="87"/>
      <c r="D7116" s="87"/>
      <c r="E7116" s="87"/>
      <c r="F7116" s="87"/>
      <c r="G7116" s="87"/>
    </row>
    <row r="7117">
      <c r="A7117" s="86" t="str">
        <f>IFERROR(__xludf.DUMMYFUNCTION("""COMPUTED_VALUE"""),"")</f>
        <v/>
      </c>
      <c r="B7117" s="87"/>
      <c r="C7117" s="87"/>
      <c r="D7117" s="87"/>
      <c r="E7117" s="87"/>
      <c r="F7117" s="87"/>
      <c r="G7117" s="87"/>
    </row>
    <row r="7118">
      <c r="A7118" s="86" t="str">
        <f>IFERROR(__xludf.DUMMYFUNCTION("""COMPUTED_VALUE"""),"")</f>
        <v/>
      </c>
      <c r="B7118" s="87"/>
      <c r="C7118" s="87"/>
      <c r="D7118" s="87"/>
      <c r="E7118" s="87"/>
      <c r="F7118" s="87"/>
      <c r="G7118" s="87"/>
    </row>
    <row r="7119">
      <c r="A7119" s="86" t="str">
        <f>IFERROR(__xludf.DUMMYFUNCTION("""COMPUTED_VALUE"""),"")</f>
        <v/>
      </c>
      <c r="B7119" s="87"/>
      <c r="C7119" s="87"/>
      <c r="D7119" s="87"/>
      <c r="E7119" s="87"/>
      <c r="F7119" s="87"/>
      <c r="G7119" s="87"/>
    </row>
    <row r="7120">
      <c r="A7120" s="86" t="str">
        <f>IFERROR(__xludf.DUMMYFUNCTION("""COMPUTED_VALUE"""),"")</f>
        <v/>
      </c>
      <c r="B7120" s="87"/>
      <c r="C7120" s="87"/>
      <c r="D7120" s="87"/>
      <c r="E7120" s="87"/>
      <c r="F7120" s="87"/>
      <c r="G7120" s="87"/>
    </row>
    <row r="7121">
      <c r="A7121" s="86" t="str">
        <f>IFERROR(__xludf.DUMMYFUNCTION("""COMPUTED_VALUE"""),"")</f>
        <v/>
      </c>
      <c r="B7121" s="87"/>
      <c r="C7121" s="87"/>
      <c r="D7121" s="87"/>
      <c r="E7121" s="87"/>
      <c r="F7121" s="87"/>
      <c r="G7121" s="87"/>
    </row>
    <row r="7122">
      <c r="A7122" s="86" t="str">
        <f>IFERROR(__xludf.DUMMYFUNCTION("""COMPUTED_VALUE"""),"")</f>
        <v/>
      </c>
      <c r="B7122" s="87"/>
      <c r="C7122" s="87"/>
      <c r="D7122" s="87"/>
      <c r="E7122" s="87"/>
      <c r="F7122" s="87"/>
      <c r="G7122" s="87"/>
    </row>
    <row r="7123">
      <c r="A7123" s="86" t="str">
        <f>IFERROR(__xludf.DUMMYFUNCTION("""COMPUTED_VALUE"""),"")</f>
        <v/>
      </c>
      <c r="B7123" s="87"/>
      <c r="C7123" s="87"/>
      <c r="D7123" s="87"/>
      <c r="E7123" s="87"/>
      <c r="F7123" s="87"/>
      <c r="G7123" s="87"/>
    </row>
    <row r="7124">
      <c r="A7124" s="86" t="str">
        <f>IFERROR(__xludf.DUMMYFUNCTION("""COMPUTED_VALUE"""),"")</f>
        <v/>
      </c>
      <c r="B7124" s="87"/>
      <c r="C7124" s="87"/>
      <c r="D7124" s="87"/>
      <c r="E7124" s="87"/>
      <c r="F7124" s="87"/>
      <c r="G7124" s="87"/>
    </row>
    <row r="7125">
      <c r="A7125" s="86" t="str">
        <f>IFERROR(__xludf.DUMMYFUNCTION("""COMPUTED_VALUE"""),"")</f>
        <v/>
      </c>
      <c r="B7125" s="87"/>
      <c r="C7125" s="87"/>
      <c r="D7125" s="87"/>
      <c r="E7125" s="87"/>
      <c r="F7125" s="87"/>
      <c r="G7125" s="87"/>
    </row>
    <row r="7126">
      <c r="A7126" s="86" t="str">
        <f>IFERROR(__xludf.DUMMYFUNCTION("""COMPUTED_VALUE"""),"")</f>
        <v/>
      </c>
      <c r="B7126" s="87"/>
      <c r="C7126" s="87"/>
      <c r="D7126" s="87"/>
      <c r="E7126" s="87"/>
      <c r="F7126" s="87"/>
      <c r="G7126" s="87"/>
    </row>
    <row r="7127">
      <c r="A7127" s="86" t="str">
        <f>IFERROR(__xludf.DUMMYFUNCTION("""COMPUTED_VALUE"""),"")</f>
        <v/>
      </c>
      <c r="B7127" s="87"/>
      <c r="C7127" s="87"/>
      <c r="D7127" s="87"/>
      <c r="E7127" s="87"/>
      <c r="F7127" s="87"/>
      <c r="G7127" s="87"/>
    </row>
    <row r="7128">
      <c r="A7128" s="86" t="str">
        <f>IFERROR(__xludf.DUMMYFUNCTION("""COMPUTED_VALUE"""),"")</f>
        <v/>
      </c>
      <c r="B7128" s="87"/>
      <c r="C7128" s="87"/>
      <c r="D7128" s="87"/>
      <c r="E7128" s="87"/>
      <c r="F7128" s="87"/>
      <c r="G7128" s="87"/>
    </row>
    <row r="7129">
      <c r="A7129" s="86" t="str">
        <f>IFERROR(__xludf.DUMMYFUNCTION("""COMPUTED_VALUE"""),"")</f>
        <v/>
      </c>
      <c r="B7129" s="87"/>
      <c r="C7129" s="87"/>
      <c r="D7129" s="87"/>
      <c r="E7129" s="87"/>
      <c r="F7129" s="87"/>
      <c r="G7129" s="87"/>
    </row>
    <row r="7130">
      <c r="A7130" s="86" t="str">
        <f>IFERROR(__xludf.DUMMYFUNCTION("""COMPUTED_VALUE"""),"")</f>
        <v/>
      </c>
      <c r="B7130" s="87"/>
      <c r="C7130" s="87"/>
      <c r="D7130" s="87"/>
      <c r="E7130" s="87"/>
      <c r="F7130" s="87"/>
      <c r="G7130" s="87"/>
    </row>
    <row r="7131">
      <c r="A7131" s="86" t="str">
        <f>IFERROR(__xludf.DUMMYFUNCTION("""COMPUTED_VALUE"""),"")</f>
        <v/>
      </c>
      <c r="B7131" s="87"/>
      <c r="C7131" s="87"/>
      <c r="D7131" s="87"/>
      <c r="E7131" s="87"/>
      <c r="F7131" s="87"/>
      <c r="G7131" s="87"/>
    </row>
    <row r="7132">
      <c r="A7132" s="86" t="str">
        <f>IFERROR(__xludf.DUMMYFUNCTION("""COMPUTED_VALUE"""),"")</f>
        <v/>
      </c>
      <c r="B7132" s="87"/>
      <c r="C7132" s="87"/>
      <c r="D7132" s="87"/>
      <c r="E7132" s="87"/>
      <c r="F7132" s="87"/>
      <c r="G7132" s="87"/>
    </row>
    <row r="7133">
      <c r="A7133" s="86" t="str">
        <f>IFERROR(__xludf.DUMMYFUNCTION("""COMPUTED_VALUE"""),"")</f>
        <v/>
      </c>
      <c r="B7133" s="87"/>
      <c r="C7133" s="87"/>
      <c r="D7133" s="87"/>
      <c r="E7133" s="87"/>
      <c r="F7133" s="87"/>
      <c r="G7133" s="87"/>
    </row>
    <row r="7134">
      <c r="A7134" s="86" t="str">
        <f>IFERROR(__xludf.DUMMYFUNCTION("""COMPUTED_VALUE"""),"")</f>
        <v/>
      </c>
      <c r="B7134" s="87"/>
      <c r="C7134" s="87"/>
      <c r="D7134" s="87"/>
      <c r="E7134" s="87"/>
      <c r="F7134" s="87"/>
      <c r="G7134" s="87"/>
    </row>
    <row r="7135">
      <c r="A7135" s="86" t="str">
        <f>IFERROR(__xludf.DUMMYFUNCTION("""COMPUTED_VALUE"""),"")</f>
        <v/>
      </c>
      <c r="B7135" s="87"/>
      <c r="C7135" s="87"/>
      <c r="D7135" s="87"/>
      <c r="E7135" s="87"/>
      <c r="F7135" s="87"/>
      <c r="G7135" s="87"/>
    </row>
    <row r="7136">
      <c r="A7136" s="86" t="str">
        <f>IFERROR(__xludf.DUMMYFUNCTION("""COMPUTED_VALUE"""),"")</f>
        <v/>
      </c>
      <c r="B7136" s="87"/>
      <c r="C7136" s="87"/>
      <c r="D7136" s="87"/>
      <c r="E7136" s="87"/>
      <c r="F7136" s="87"/>
      <c r="G7136" s="87"/>
    </row>
    <row r="7137">
      <c r="A7137" s="86" t="str">
        <f>IFERROR(__xludf.DUMMYFUNCTION("""COMPUTED_VALUE"""),"")</f>
        <v/>
      </c>
      <c r="B7137" s="87"/>
      <c r="C7137" s="87"/>
      <c r="D7137" s="87"/>
      <c r="E7137" s="87"/>
      <c r="F7137" s="87"/>
      <c r="G7137" s="87"/>
    </row>
    <row r="7138">
      <c r="A7138" s="86" t="str">
        <f>IFERROR(__xludf.DUMMYFUNCTION("""COMPUTED_VALUE"""),"")</f>
        <v/>
      </c>
      <c r="B7138" s="87"/>
      <c r="C7138" s="87"/>
      <c r="D7138" s="87"/>
      <c r="E7138" s="87"/>
      <c r="F7138" s="87"/>
      <c r="G7138" s="87"/>
    </row>
    <row r="7139">
      <c r="A7139" s="86" t="str">
        <f>IFERROR(__xludf.DUMMYFUNCTION("""COMPUTED_VALUE"""),"")</f>
        <v/>
      </c>
      <c r="B7139" s="87"/>
      <c r="C7139" s="87"/>
      <c r="D7139" s="87"/>
      <c r="E7139" s="87"/>
      <c r="F7139" s="87"/>
      <c r="G7139" s="87"/>
    </row>
    <row r="7140">
      <c r="A7140" s="86" t="str">
        <f>IFERROR(__xludf.DUMMYFUNCTION("""COMPUTED_VALUE"""),"")</f>
        <v/>
      </c>
      <c r="B7140" s="87"/>
      <c r="C7140" s="87"/>
      <c r="D7140" s="87"/>
      <c r="E7140" s="87"/>
      <c r="F7140" s="87"/>
      <c r="G7140" s="87"/>
    </row>
    <row r="7141">
      <c r="A7141" s="86" t="str">
        <f>IFERROR(__xludf.DUMMYFUNCTION("""COMPUTED_VALUE"""),"")</f>
        <v/>
      </c>
      <c r="B7141" s="87"/>
      <c r="C7141" s="87"/>
      <c r="D7141" s="87"/>
      <c r="E7141" s="87"/>
      <c r="F7141" s="87"/>
      <c r="G7141" s="87"/>
    </row>
    <row r="7142">
      <c r="A7142" s="86" t="str">
        <f>IFERROR(__xludf.DUMMYFUNCTION("""COMPUTED_VALUE"""),"")</f>
        <v/>
      </c>
      <c r="B7142" s="87"/>
      <c r="C7142" s="87"/>
      <c r="D7142" s="87"/>
      <c r="E7142" s="87"/>
      <c r="F7142" s="87"/>
      <c r="G7142" s="87"/>
    </row>
    <row r="7143">
      <c r="A7143" s="86" t="str">
        <f>IFERROR(__xludf.DUMMYFUNCTION("""COMPUTED_VALUE"""),"")</f>
        <v/>
      </c>
      <c r="B7143" s="87"/>
      <c r="C7143" s="87"/>
      <c r="D7143" s="87"/>
      <c r="E7143" s="87"/>
      <c r="F7143" s="87"/>
      <c r="G7143" s="87"/>
    </row>
    <row r="7144">
      <c r="A7144" s="86" t="str">
        <f>IFERROR(__xludf.DUMMYFUNCTION("""COMPUTED_VALUE"""),"")</f>
        <v/>
      </c>
      <c r="B7144" s="87"/>
      <c r="C7144" s="87"/>
      <c r="D7144" s="87"/>
      <c r="E7144" s="87"/>
      <c r="F7144" s="87"/>
      <c r="G7144" s="87"/>
    </row>
    <row r="7145">
      <c r="A7145" s="86" t="str">
        <f>IFERROR(__xludf.DUMMYFUNCTION("""COMPUTED_VALUE"""),"")</f>
        <v/>
      </c>
      <c r="B7145" s="87"/>
      <c r="C7145" s="87"/>
      <c r="D7145" s="87"/>
      <c r="E7145" s="87"/>
      <c r="F7145" s="87"/>
      <c r="G7145" s="87"/>
    </row>
    <row r="7146">
      <c r="A7146" s="86" t="str">
        <f>IFERROR(__xludf.DUMMYFUNCTION("""COMPUTED_VALUE"""),"")</f>
        <v/>
      </c>
      <c r="B7146" s="87"/>
      <c r="C7146" s="87"/>
      <c r="D7146" s="87"/>
      <c r="E7146" s="87"/>
      <c r="F7146" s="87"/>
      <c r="G7146" s="87"/>
    </row>
    <row r="7147">
      <c r="A7147" s="86" t="str">
        <f>IFERROR(__xludf.DUMMYFUNCTION("""COMPUTED_VALUE"""),"")</f>
        <v/>
      </c>
      <c r="B7147" s="87"/>
      <c r="C7147" s="87"/>
      <c r="D7147" s="87"/>
      <c r="E7147" s="87"/>
      <c r="F7147" s="87"/>
      <c r="G7147" s="87"/>
    </row>
    <row r="7148">
      <c r="A7148" s="86" t="str">
        <f>IFERROR(__xludf.DUMMYFUNCTION("""COMPUTED_VALUE"""),"")</f>
        <v/>
      </c>
      <c r="B7148" s="87"/>
      <c r="C7148" s="87"/>
      <c r="D7148" s="87"/>
      <c r="E7148" s="87"/>
      <c r="F7148" s="87"/>
      <c r="G7148" s="87"/>
    </row>
    <row r="7149">
      <c r="A7149" s="86" t="str">
        <f>IFERROR(__xludf.DUMMYFUNCTION("""COMPUTED_VALUE"""),"")</f>
        <v/>
      </c>
      <c r="B7149" s="87"/>
      <c r="C7149" s="87"/>
      <c r="D7149" s="87"/>
      <c r="E7149" s="87"/>
      <c r="F7149" s="87"/>
      <c r="G7149" s="87"/>
    </row>
    <row r="7150">
      <c r="A7150" s="86" t="str">
        <f>IFERROR(__xludf.DUMMYFUNCTION("""COMPUTED_VALUE"""),"")</f>
        <v/>
      </c>
      <c r="B7150" s="87"/>
      <c r="C7150" s="87"/>
      <c r="D7150" s="87"/>
      <c r="E7150" s="87"/>
      <c r="F7150" s="87"/>
      <c r="G7150" s="87"/>
    </row>
    <row r="7151">
      <c r="A7151" s="86" t="str">
        <f>IFERROR(__xludf.DUMMYFUNCTION("""COMPUTED_VALUE"""),"")</f>
        <v/>
      </c>
      <c r="B7151" s="87"/>
      <c r="C7151" s="87"/>
      <c r="D7151" s="87"/>
      <c r="E7151" s="87"/>
      <c r="F7151" s="87"/>
      <c r="G7151" s="87"/>
    </row>
    <row r="7152">
      <c r="A7152" s="86" t="str">
        <f>IFERROR(__xludf.DUMMYFUNCTION("""COMPUTED_VALUE"""),"")</f>
        <v/>
      </c>
      <c r="B7152" s="87"/>
      <c r="C7152" s="87"/>
      <c r="D7152" s="87"/>
      <c r="E7152" s="87"/>
      <c r="F7152" s="87"/>
      <c r="G7152" s="87"/>
    </row>
    <row r="7153">
      <c r="A7153" s="86" t="str">
        <f>IFERROR(__xludf.DUMMYFUNCTION("""COMPUTED_VALUE"""),"")</f>
        <v/>
      </c>
      <c r="B7153" s="87"/>
      <c r="C7153" s="87"/>
      <c r="D7153" s="87"/>
      <c r="E7153" s="87"/>
      <c r="F7153" s="87"/>
      <c r="G7153" s="87"/>
    </row>
    <row r="7154">
      <c r="A7154" s="86" t="str">
        <f>IFERROR(__xludf.DUMMYFUNCTION("""COMPUTED_VALUE"""),"")</f>
        <v/>
      </c>
      <c r="B7154" s="87"/>
      <c r="C7154" s="87"/>
      <c r="D7154" s="87"/>
      <c r="E7154" s="87"/>
      <c r="F7154" s="87"/>
      <c r="G7154" s="87"/>
    </row>
    <row r="7155">
      <c r="A7155" s="86" t="str">
        <f>IFERROR(__xludf.DUMMYFUNCTION("""COMPUTED_VALUE"""),"")</f>
        <v/>
      </c>
      <c r="B7155" s="87"/>
      <c r="C7155" s="87"/>
      <c r="D7155" s="87"/>
      <c r="E7155" s="87"/>
      <c r="F7155" s="87"/>
      <c r="G7155" s="87"/>
    </row>
    <row r="7156">
      <c r="A7156" s="86" t="str">
        <f>IFERROR(__xludf.DUMMYFUNCTION("""COMPUTED_VALUE"""),"")</f>
        <v/>
      </c>
      <c r="B7156" s="87"/>
      <c r="C7156" s="87"/>
      <c r="D7156" s="87"/>
      <c r="E7156" s="87"/>
      <c r="F7156" s="87"/>
      <c r="G7156" s="87"/>
    </row>
    <row r="7157">
      <c r="A7157" s="86" t="str">
        <f>IFERROR(__xludf.DUMMYFUNCTION("""COMPUTED_VALUE"""),"")</f>
        <v/>
      </c>
      <c r="B7157" s="87"/>
      <c r="C7157" s="87"/>
      <c r="D7157" s="87"/>
      <c r="E7157" s="87"/>
      <c r="F7157" s="87"/>
      <c r="G7157" s="87"/>
    </row>
    <row r="7158">
      <c r="A7158" s="86" t="str">
        <f>IFERROR(__xludf.DUMMYFUNCTION("""COMPUTED_VALUE"""),"")</f>
        <v/>
      </c>
      <c r="B7158" s="87"/>
      <c r="C7158" s="87"/>
      <c r="D7158" s="87"/>
      <c r="E7158" s="87"/>
      <c r="F7158" s="87"/>
      <c r="G7158" s="87"/>
    </row>
    <row r="7159">
      <c r="A7159" s="86" t="str">
        <f>IFERROR(__xludf.DUMMYFUNCTION("""COMPUTED_VALUE"""),"")</f>
        <v/>
      </c>
      <c r="B7159" s="87"/>
      <c r="C7159" s="87"/>
      <c r="D7159" s="87"/>
      <c r="E7159" s="87"/>
      <c r="F7159" s="87"/>
      <c r="G7159" s="87"/>
    </row>
    <row r="7160">
      <c r="A7160" s="86" t="str">
        <f>IFERROR(__xludf.DUMMYFUNCTION("""COMPUTED_VALUE"""),"")</f>
        <v/>
      </c>
      <c r="B7160" s="87"/>
      <c r="C7160" s="87"/>
      <c r="D7160" s="87"/>
      <c r="E7160" s="87"/>
      <c r="F7160" s="87"/>
      <c r="G7160" s="87"/>
    </row>
    <row r="7161">
      <c r="A7161" s="86" t="str">
        <f>IFERROR(__xludf.DUMMYFUNCTION("""COMPUTED_VALUE"""),"")</f>
        <v/>
      </c>
      <c r="B7161" s="87"/>
      <c r="C7161" s="87"/>
      <c r="D7161" s="87"/>
      <c r="E7161" s="87"/>
      <c r="F7161" s="87"/>
      <c r="G7161" s="87"/>
    </row>
    <row r="7162">
      <c r="A7162" s="86" t="str">
        <f>IFERROR(__xludf.DUMMYFUNCTION("""COMPUTED_VALUE"""),"")</f>
        <v/>
      </c>
      <c r="B7162" s="87"/>
      <c r="C7162" s="87"/>
      <c r="D7162" s="87"/>
      <c r="E7162" s="87"/>
      <c r="F7162" s="87"/>
      <c r="G7162" s="87"/>
    </row>
    <row r="7163">
      <c r="A7163" s="86" t="str">
        <f>IFERROR(__xludf.DUMMYFUNCTION("""COMPUTED_VALUE"""),"")</f>
        <v/>
      </c>
      <c r="B7163" s="87"/>
      <c r="C7163" s="87"/>
      <c r="D7163" s="87"/>
      <c r="E7163" s="87"/>
      <c r="F7163" s="87"/>
      <c r="G7163" s="87"/>
    </row>
    <row r="7164">
      <c r="A7164" s="86" t="str">
        <f>IFERROR(__xludf.DUMMYFUNCTION("""COMPUTED_VALUE"""),"")</f>
        <v/>
      </c>
      <c r="B7164" s="87"/>
      <c r="C7164" s="87"/>
      <c r="D7164" s="87"/>
      <c r="E7164" s="87"/>
      <c r="F7164" s="87"/>
      <c r="G7164" s="87"/>
    </row>
    <row r="7165">
      <c r="A7165" s="86" t="str">
        <f>IFERROR(__xludf.DUMMYFUNCTION("""COMPUTED_VALUE"""),"")</f>
        <v/>
      </c>
      <c r="B7165" s="87"/>
      <c r="C7165" s="87"/>
      <c r="D7165" s="87"/>
      <c r="E7165" s="87"/>
      <c r="F7165" s="87"/>
      <c r="G7165" s="87"/>
    </row>
    <row r="7166">
      <c r="A7166" s="86" t="str">
        <f>IFERROR(__xludf.DUMMYFUNCTION("""COMPUTED_VALUE"""),"")</f>
        <v/>
      </c>
      <c r="B7166" s="87"/>
      <c r="C7166" s="87"/>
      <c r="D7166" s="87"/>
      <c r="E7166" s="87"/>
      <c r="F7166" s="87"/>
      <c r="G7166" s="87"/>
    </row>
    <row r="7167">
      <c r="A7167" s="86" t="str">
        <f>IFERROR(__xludf.DUMMYFUNCTION("""COMPUTED_VALUE"""),"")</f>
        <v/>
      </c>
      <c r="B7167" s="87"/>
      <c r="C7167" s="87"/>
      <c r="D7167" s="87"/>
      <c r="E7167" s="87"/>
      <c r="F7167" s="87"/>
      <c r="G7167" s="87"/>
    </row>
    <row r="7168">
      <c r="A7168" s="86" t="str">
        <f>IFERROR(__xludf.DUMMYFUNCTION("""COMPUTED_VALUE"""),"")</f>
        <v/>
      </c>
      <c r="B7168" s="87"/>
      <c r="C7168" s="87"/>
      <c r="D7168" s="87"/>
      <c r="E7168" s="87"/>
      <c r="F7168" s="87"/>
      <c r="G7168" s="87"/>
    </row>
    <row r="7169">
      <c r="A7169" s="86" t="str">
        <f>IFERROR(__xludf.DUMMYFUNCTION("""COMPUTED_VALUE"""),"")</f>
        <v/>
      </c>
      <c r="B7169" s="87"/>
      <c r="C7169" s="87"/>
      <c r="D7169" s="87"/>
      <c r="E7169" s="87"/>
      <c r="F7169" s="87"/>
      <c r="G7169" s="87"/>
    </row>
    <row r="7170">
      <c r="A7170" s="86" t="str">
        <f>IFERROR(__xludf.DUMMYFUNCTION("""COMPUTED_VALUE"""),"")</f>
        <v/>
      </c>
      <c r="B7170" s="87"/>
      <c r="C7170" s="87"/>
      <c r="D7170" s="87"/>
      <c r="E7170" s="87"/>
      <c r="F7170" s="87"/>
      <c r="G7170" s="87"/>
    </row>
    <row r="7171">
      <c r="A7171" s="86" t="str">
        <f>IFERROR(__xludf.DUMMYFUNCTION("""COMPUTED_VALUE"""),"")</f>
        <v/>
      </c>
      <c r="B7171" s="87"/>
      <c r="C7171" s="87"/>
      <c r="D7171" s="87"/>
      <c r="E7171" s="87"/>
      <c r="F7171" s="87"/>
      <c r="G7171" s="87"/>
    </row>
    <row r="7172">
      <c r="A7172" s="86" t="str">
        <f>IFERROR(__xludf.DUMMYFUNCTION("""COMPUTED_VALUE"""),"")</f>
        <v/>
      </c>
      <c r="B7172" s="87"/>
      <c r="C7172" s="87"/>
      <c r="D7172" s="87"/>
      <c r="E7172" s="87"/>
      <c r="F7172" s="87"/>
      <c r="G7172" s="87"/>
    </row>
    <row r="7173">
      <c r="A7173" s="86" t="str">
        <f>IFERROR(__xludf.DUMMYFUNCTION("""COMPUTED_VALUE"""),"")</f>
        <v/>
      </c>
      <c r="B7173" s="87"/>
      <c r="C7173" s="87"/>
      <c r="D7173" s="87"/>
      <c r="E7173" s="87"/>
      <c r="F7173" s="87"/>
      <c r="G7173" s="87"/>
    </row>
    <row r="7174">
      <c r="A7174" s="86" t="str">
        <f>IFERROR(__xludf.DUMMYFUNCTION("""COMPUTED_VALUE"""),"")</f>
        <v/>
      </c>
      <c r="B7174" s="87"/>
      <c r="C7174" s="87"/>
      <c r="D7174" s="87"/>
      <c r="E7174" s="87"/>
      <c r="F7174" s="87"/>
      <c r="G7174" s="87"/>
    </row>
    <row r="7175">
      <c r="A7175" s="86" t="str">
        <f>IFERROR(__xludf.DUMMYFUNCTION("""COMPUTED_VALUE"""),"")</f>
        <v/>
      </c>
      <c r="B7175" s="87"/>
      <c r="C7175" s="87"/>
      <c r="D7175" s="87"/>
      <c r="E7175" s="87"/>
      <c r="F7175" s="87"/>
      <c r="G7175" s="87"/>
    </row>
    <row r="7176">
      <c r="A7176" s="86" t="str">
        <f>IFERROR(__xludf.DUMMYFUNCTION("""COMPUTED_VALUE"""),"")</f>
        <v/>
      </c>
      <c r="B7176" s="87"/>
      <c r="C7176" s="87"/>
      <c r="D7176" s="87"/>
      <c r="E7176" s="87"/>
      <c r="F7176" s="87"/>
      <c r="G7176" s="87"/>
    </row>
    <row r="7177">
      <c r="A7177" s="86" t="str">
        <f>IFERROR(__xludf.DUMMYFUNCTION("""COMPUTED_VALUE"""),"")</f>
        <v/>
      </c>
      <c r="B7177" s="87"/>
      <c r="C7177" s="87"/>
      <c r="D7177" s="87"/>
      <c r="E7177" s="87"/>
      <c r="F7177" s="87"/>
      <c r="G7177" s="87"/>
    </row>
    <row r="7178">
      <c r="A7178" s="86" t="str">
        <f>IFERROR(__xludf.DUMMYFUNCTION("""COMPUTED_VALUE"""),"")</f>
        <v/>
      </c>
      <c r="B7178" s="87"/>
      <c r="C7178" s="87"/>
      <c r="D7178" s="87"/>
      <c r="E7178" s="87"/>
      <c r="F7178" s="87"/>
      <c r="G7178" s="87"/>
    </row>
    <row r="7179">
      <c r="A7179" s="86" t="str">
        <f>IFERROR(__xludf.DUMMYFUNCTION("""COMPUTED_VALUE"""),"")</f>
        <v/>
      </c>
      <c r="B7179" s="87"/>
      <c r="C7179" s="87"/>
      <c r="D7179" s="87"/>
      <c r="E7179" s="87"/>
      <c r="F7179" s="87"/>
      <c r="G7179" s="87"/>
    </row>
    <row r="7180">
      <c r="A7180" s="86" t="str">
        <f>IFERROR(__xludf.DUMMYFUNCTION("""COMPUTED_VALUE"""),"")</f>
        <v/>
      </c>
      <c r="B7180" s="87"/>
      <c r="C7180" s="87"/>
      <c r="D7180" s="87"/>
      <c r="E7180" s="87"/>
      <c r="F7180" s="87"/>
      <c r="G7180" s="87"/>
    </row>
    <row r="7181">
      <c r="A7181" s="86" t="str">
        <f>IFERROR(__xludf.DUMMYFUNCTION("""COMPUTED_VALUE"""),"")</f>
        <v/>
      </c>
      <c r="B7181" s="87"/>
      <c r="C7181" s="87"/>
      <c r="D7181" s="87"/>
      <c r="E7181" s="87"/>
      <c r="F7181" s="87"/>
      <c r="G7181" s="87"/>
    </row>
    <row r="7182">
      <c r="A7182" s="86" t="str">
        <f>IFERROR(__xludf.DUMMYFUNCTION("""COMPUTED_VALUE"""),"")</f>
        <v/>
      </c>
      <c r="B7182" s="87"/>
      <c r="C7182" s="87"/>
      <c r="D7182" s="87"/>
      <c r="E7182" s="87"/>
      <c r="F7182" s="87"/>
      <c r="G7182" s="87"/>
    </row>
    <row r="7183">
      <c r="A7183" s="86" t="str">
        <f>IFERROR(__xludf.DUMMYFUNCTION("""COMPUTED_VALUE"""),"")</f>
        <v/>
      </c>
      <c r="B7183" s="87"/>
      <c r="C7183" s="87"/>
      <c r="D7183" s="87"/>
      <c r="E7183" s="87"/>
      <c r="F7183" s="87"/>
      <c r="G7183" s="87"/>
    </row>
    <row r="7184">
      <c r="A7184" s="86" t="str">
        <f>IFERROR(__xludf.DUMMYFUNCTION("""COMPUTED_VALUE"""),"")</f>
        <v/>
      </c>
      <c r="B7184" s="87"/>
      <c r="C7184" s="87"/>
      <c r="D7184" s="87"/>
      <c r="E7184" s="87"/>
      <c r="F7184" s="87"/>
      <c r="G7184" s="87"/>
    </row>
    <row r="7185">
      <c r="A7185" s="86" t="str">
        <f>IFERROR(__xludf.DUMMYFUNCTION("""COMPUTED_VALUE"""),"")</f>
        <v/>
      </c>
      <c r="B7185" s="87"/>
      <c r="C7185" s="87"/>
      <c r="D7185" s="87"/>
      <c r="E7185" s="87"/>
      <c r="F7185" s="87"/>
      <c r="G7185" s="87"/>
    </row>
    <row r="7186">
      <c r="A7186" s="86" t="str">
        <f>IFERROR(__xludf.DUMMYFUNCTION("""COMPUTED_VALUE"""),"")</f>
        <v/>
      </c>
      <c r="B7186" s="87"/>
      <c r="C7186" s="87"/>
      <c r="D7186" s="87"/>
      <c r="E7186" s="87"/>
      <c r="F7186" s="87"/>
      <c r="G7186" s="87"/>
    </row>
    <row r="7187">
      <c r="A7187" s="86" t="str">
        <f>IFERROR(__xludf.DUMMYFUNCTION("""COMPUTED_VALUE"""),"")</f>
        <v/>
      </c>
      <c r="B7187" s="87"/>
      <c r="C7187" s="87"/>
      <c r="D7187" s="87"/>
      <c r="E7187" s="87"/>
      <c r="F7187" s="87"/>
      <c r="G7187" s="87"/>
    </row>
    <row r="7188">
      <c r="A7188" s="86" t="str">
        <f>IFERROR(__xludf.DUMMYFUNCTION("""COMPUTED_VALUE"""),"")</f>
        <v/>
      </c>
      <c r="B7188" s="87"/>
      <c r="C7188" s="87"/>
      <c r="D7188" s="87"/>
      <c r="E7188" s="87"/>
      <c r="F7188" s="87"/>
      <c r="G7188" s="87"/>
    </row>
    <row r="7189">
      <c r="A7189" s="86" t="str">
        <f>IFERROR(__xludf.DUMMYFUNCTION("""COMPUTED_VALUE"""),"")</f>
        <v/>
      </c>
      <c r="B7189" s="87"/>
      <c r="C7189" s="87"/>
      <c r="D7189" s="87"/>
      <c r="E7189" s="87"/>
      <c r="F7189" s="87"/>
      <c r="G7189" s="87"/>
    </row>
    <row r="7190">
      <c r="A7190" s="86" t="str">
        <f>IFERROR(__xludf.DUMMYFUNCTION("""COMPUTED_VALUE"""),"")</f>
        <v/>
      </c>
      <c r="B7190" s="87"/>
      <c r="C7190" s="87"/>
      <c r="D7190" s="87"/>
      <c r="E7190" s="87"/>
      <c r="F7190" s="87"/>
      <c r="G7190" s="87"/>
    </row>
    <row r="7191">
      <c r="A7191" s="86" t="str">
        <f>IFERROR(__xludf.DUMMYFUNCTION("""COMPUTED_VALUE"""),"")</f>
        <v/>
      </c>
      <c r="B7191" s="87"/>
      <c r="C7191" s="87"/>
      <c r="D7191" s="87"/>
      <c r="E7191" s="87"/>
      <c r="F7191" s="87"/>
      <c r="G7191" s="87"/>
    </row>
    <row r="7192">
      <c r="A7192" s="86" t="str">
        <f>IFERROR(__xludf.DUMMYFUNCTION("""COMPUTED_VALUE"""),"")</f>
        <v/>
      </c>
      <c r="B7192" s="87"/>
      <c r="C7192" s="87"/>
      <c r="D7192" s="87"/>
      <c r="E7192" s="87"/>
      <c r="F7192" s="87"/>
      <c r="G7192" s="87"/>
    </row>
    <row r="7193">
      <c r="A7193" s="86" t="str">
        <f>IFERROR(__xludf.DUMMYFUNCTION("""COMPUTED_VALUE"""),"")</f>
        <v/>
      </c>
      <c r="B7193" s="87"/>
      <c r="C7193" s="87"/>
      <c r="D7193" s="87"/>
      <c r="E7193" s="87"/>
      <c r="F7193" s="87"/>
      <c r="G7193" s="87"/>
    </row>
    <row r="7194">
      <c r="A7194" s="86" t="str">
        <f>IFERROR(__xludf.DUMMYFUNCTION("""COMPUTED_VALUE"""),"")</f>
        <v/>
      </c>
      <c r="B7194" s="87"/>
      <c r="C7194" s="87"/>
      <c r="D7194" s="87"/>
      <c r="E7194" s="87"/>
      <c r="F7194" s="87"/>
      <c r="G7194" s="87"/>
    </row>
    <row r="7195">
      <c r="A7195" s="86" t="str">
        <f>IFERROR(__xludf.DUMMYFUNCTION("""COMPUTED_VALUE"""),"")</f>
        <v/>
      </c>
      <c r="B7195" s="87"/>
      <c r="C7195" s="87"/>
      <c r="D7195" s="87"/>
      <c r="E7195" s="87"/>
      <c r="F7195" s="87"/>
      <c r="G7195" s="87"/>
    </row>
    <row r="7196">
      <c r="A7196" s="86" t="str">
        <f>IFERROR(__xludf.DUMMYFUNCTION("""COMPUTED_VALUE"""),"")</f>
        <v/>
      </c>
      <c r="B7196" s="87"/>
      <c r="C7196" s="87"/>
      <c r="D7196" s="87"/>
      <c r="E7196" s="87"/>
      <c r="F7196" s="87"/>
      <c r="G7196" s="87"/>
    </row>
    <row r="7197">
      <c r="A7197" s="86" t="str">
        <f>IFERROR(__xludf.DUMMYFUNCTION("""COMPUTED_VALUE"""),"")</f>
        <v/>
      </c>
      <c r="B7197" s="87"/>
      <c r="C7197" s="87"/>
      <c r="D7197" s="87"/>
      <c r="E7197" s="87"/>
      <c r="F7197" s="87"/>
      <c r="G7197" s="87"/>
    </row>
    <row r="7198">
      <c r="A7198" s="86" t="str">
        <f>IFERROR(__xludf.DUMMYFUNCTION("""COMPUTED_VALUE"""),"")</f>
        <v/>
      </c>
      <c r="B7198" s="87"/>
      <c r="C7198" s="87"/>
      <c r="D7198" s="87"/>
      <c r="E7198" s="87"/>
      <c r="F7198" s="87"/>
      <c r="G7198" s="87"/>
    </row>
    <row r="7199">
      <c r="A7199" s="86" t="str">
        <f>IFERROR(__xludf.DUMMYFUNCTION("""COMPUTED_VALUE"""),"")</f>
        <v/>
      </c>
      <c r="B7199" s="87"/>
      <c r="C7199" s="87"/>
      <c r="D7199" s="87"/>
      <c r="E7199" s="87"/>
      <c r="F7199" s="87"/>
      <c r="G7199" s="87"/>
    </row>
    <row r="7200">
      <c r="A7200" s="86" t="str">
        <f>IFERROR(__xludf.DUMMYFUNCTION("""COMPUTED_VALUE"""),"")</f>
        <v/>
      </c>
      <c r="B7200" s="87"/>
      <c r="C7200" s="87"/>
      <c r="D7200" s="87"/>
      <c r="E7200" s="87"/>
      <c r="F7200" s="87"/>
      <c r="G7200" s="87"/>
    </row>
    <row r="7201">
      <c r="A7201" s="86" t="str">
        <f>IFERROR(__xludf.DUMMYFUNCTION("""COMPUTED_VALUE"""),"")</f>
        <v/>
      </c>
      <c r="B7201" s="87"/>
      <c r="C7201" s="87"/>
      <c r="D7201" s="87"/>
      <c r="E7201" s="87"/>
      <c r="F7201" s="87"/>
      <c r="G7201" s="87"/>
    </row>
    <row r="7202">
      <c r="A7202" s="86" t="str">
        <f>IFERROR(__xludf.DUMMYFUNCTION("""COMPUTED_VALUE"""),"")</f>
        <v/>
      </c>
      <c r="B7202" s="87"/>
      <c r="C7202" s="87"/>
      <c r="D7202" s="87"/>
      <c r="E7202" s="87"/>
      <c r="F7202" s="87"/>
      <c r="G7202" s="87"/>
    </row>
    <row r="7203">
      <c r="A7203" s="86" t="str">
        <f>IFERROR(__xludf.DUMMYFUNCTION("""COMPUTED_VALUE"""),"")</f>
        <v/>
      </c>
      <c r="B7203" s="87"/>
      <c r="C7203" s="87"/>
      <c r="D7203" s="87"/>
      <c r="E7203" s="87"/>
      <c r="F7203" s="87"/>
      <c r="G7203" s="87"/>
    </row>
    <row r="7204">
      <c r="A7204" s="86" t="str">
        <f>IFERROR(__xludf.DUMMYFUNCTION("""COMPUTED_VALUE"""),"")</f>
        <v/>
      </c>
      <c r="B7204" s="87"/>
      <c r="C7204" s="87"/>
      <c r="D7204" s="87"/>
      <c r="E7204" s="87"/>
      <c r="F7204" s="87"/>
      <c r="G7204" s="87"/>
    </row>
    <row r="7205">
      <c r="A7205" s="86" t="str">
        <f>IFERROR(__xludf.DUMMYFUNCTION("""COMPUTED_VALUE"""),"")</f>
        <v/>
      </c>
      <c r="B7205" s="87"/>
      <c r="C7205" s="87"/>
      <c r="D7205" s="87"/>
      <c r="E7205" s="87"/>
      <c r="F7205" s="87"/>
      <c r="G7205" s="87"/>
    </row>
    <row r="7206">
      <c r="A7206" s="86" t="str">
        <f>IFERROR(__xludf.DUMMYFUNCTION("""COMPUTED_VALUE"""),"")</f>
        <v/>
      </c>
      <c r="B7206" s="87"/>
      <c r="C7206" s="87"/>
      <c r="D7206" s="87"/>
      <c r="E7206" s="87"/>
      <c r="F7206" s="87"/>
      <c r="G7206" s="87"/>
    </row>
    <row r="7207">
      <c r="A7207" s="86" t="str">
        <f>IFERROR(__xludf.DUMMYFUNCTION("""COMPUTED_VALUE"""),"")</f>
        <v/>
      </c>
      <c r="B7207" s="87"/>
      <c r="C7207" s="87"/>
      <c r="D7207" s="87"/>
      <c r="E7207" s="87"/>
      <c r="F7207" s="87"/>
      <c r="G7207" s="87"/>
    </row>
    <row r="7208">
      <c r="A7208" s="86" t="str">
        <f>IFERROR(__xludf.DUMMYFUNCTION("""COMPUTED_VALUE"""),"")</f>
        <v/>
      </c>
      <c r="B7208" s="87"/>
      <c r="C7208" s="87"/>
      <c r="D7208" s="87"/>
      <c r="E7208" s="87"/>
      <c r="F7208" s="87"/>
      <c r="G7208" s="87"/>
    </row>
    <row r="7209">
      <c r="A7209" s="86" t="str">
        <f>IFERROR(__xludf.DUMMYFUNCTION("""COMPUTED_VALUE"""),"")</f>
        <v/>
      </c>
      <c r="B7209" s="87"/>
      <c r="C7209" s="87"/>
      <c r="D7209" s="87"/>
      <c r="E7209" s="87"/>
      <c r="F7209" s="87"/>
      <c r="G7209" s="87"/>
    </row>
    <row r="7210">
      <c r="A7210" s="86" t="str">
        <f>IFERROR(__xludf.DUMMYFUNCTION("""COMPUTED_VALUE"""),"")</f>
        <v/>
      </c>
      <c r="B7210" s="87"/>
      <c r="C7210" s="87"/>
      <c r="D7210" s="87"/>
      <c r="E7210" s="87"/>
      <c r="F7210" s="87"/>
      <c r="G7210" s="87"/>
    </row>
    <row r="7211">
      <c r="A7211" s="86" t="str">
        <f>IFERROR(__xludf.DUMMYFUNCTION("""COMPUTED_VALUE"""),"")</f>
        <v/>
      </c>
      <c r="B7211" s="87"/>
      <c r="C7211" s="87"/>
      <c r="D7211" s="87"/>
      <c r="E7211" s="87"/>
      <c r="F7211" s="87"/>
      <c r="G7211" s="87"/>
    </row>
    <row r="7212">
      <c r="A7212" s="86" t="str">
        <f>IFERROR(__xludf.DUMMYFUNCTION("""COMPUTED_VALUE"""),"")</f>
        <v/>
      </c>
      <c r="B7212" s="87"/>
      <c r="C7212" s="87"/>
      <c r="D7212" s="87"/>
      <c r="E7212" s="87"/>
      <c r="F7212" s="87"/>
      <c r="G7212" s="87"/>
    </row>
    <row r="7213">
      <c r="A7213" s="86" t="str">
        <f>IFERROR(__xludf.DUMMYFUNCTION("""COMPUTED_VALUE"""),"")</f>
        <v/>
      </c>
      <c r="B7213" s="87"/>
      <c r="C7213" s="87"/>
      <c r="D7213" s="87"/>
      <c r="E7213" s="87"/>
      <c r="F7213" s="87"/>
      <c r="G7213" s="87"/>
    </row>
    <row r="7214">
      <c r="A7214" s="86" t="str">
        <f>IFERROR(__xludf.DUMMYFUNCTION("""COMPUTED_VALUE"""),"")</f>
        <v/>
      </c>
      <c r="B7214" s="87"/>
      <c r="C7214" s="87"/>
      <c r="D7214" s="87"/>
      <c r="E7214" s="87"/>
      <c r="F7214" s="87"/>
      <c r="G7214" s="87"/>
    </row>
    <row r="7215">
      <c r="A7215" s="86" t="str">
        <f>IFERROR(__xludf.DUMMYFUNCTION("""COMPUTED_VALUE"""),"")</f>
        <v/>
      </c>
      <c r="B7215" s="87"/>
      <c r="C7215" s="87"/>
      <c r="D7215" s="87"/>
      <c r="E7215" s="87"/>
      <c r="F7215" s="87"/>
      <c r="G7215" s="87"/>
    </row>
    <row r="7216">
      <c r="A7216" s="86" t="str">
        <f>IFERROR(__xludf.DUMMYFUNCTION("""COMPUTED_VALUE"""),"")</f>
        <v/>
      </c>
      <c r="B7216" s="87"/>
      <c r="C7216" s="87"/>
      <c r="D7216" s="87"/>
      <c r="E7216" s="87"/>
      <c r="F7216" s="87"/>
      <c r="G7216" s="87"/>
    </row>
    <row r="7217">
      <c r="A7217" s="86" t="str">
        <f>IFERROR(__xludf.DUMMYFUNCTION("""COMPUTED_VALUE"""),"")</f>
        <v/>
      </c>
      <c r="B7217" s="87"/>
      <c r="C7217" s="87"/>
      <c r="D7217" s="87"/>
      <c r="E7217" s="87"/>
      <c r="F7217" s="87"/>
      <c r="G7217" s="87"/>
    </row>
    <row r="7218">
      <c r="A7218" s="86" t="str">
        <f>IFERROR(__xludf.DUMMYFUNCTION("""COMPUTED_VALUE"""),"")</f>
        <v/>
      </c>
      <c r="B7218" s="87"/>
      <c r="C7218" s="87"/>
      <c r="D7218" s="87"/>
      <c r="E7218" s="87"/>
      <c r="F7218" s="87"/>
      <c r="G7218" s="87"/>
    </row>
    <row r="7219">
      <c r="A7219" s="86" t="str">
        <f>IFERROR(__xludf.DUMMYFUNCTION("""COMPUTED_VALUE"""),"")</f>
        <v/>
      </c>
      <c r="B7219" s="87"/>
      <c r="C7219" s="87"/>
      <c r="D7219" s="87"/>
      <c r="E7219" s="87"/>
      <c r="F7219" s="87"/>
      <c r="G7219" s="87"/>
    </row>
    <row r="7220">
      <c r="A7220" s="86" t="str">
        <f>IFERROR(__xludf.DUMMYFUNCTION("""COMPUTED_VALUE"""),"")</f>
        <v/>
      </c>
      <c r="B7220" s="87"/>
      <c r="C7220" s="87"/>
      <c r="D7220" s="87"/>
      <c r="E7220" s="87"/>
      <c r="F7220" s="87"/>
      <c r="G7220" s="87"/>
    </row>
    <row r="7221">
      <c r="A7221" s="86" t="str">
        <f>IFERROR(__xludf.DUMMYFUNCTION("""COMPUTED_VALUE"""),"")</f>
        <v/>
      </c>
      <c r="B7221" s="87"/>
      <c r="C7221" s="87"/>
      <c r="D7221" s="87"/>
      <c r="E7221" s="87"/>
      <c r="F7221" s="87"/>
      <c r="G7221" s="87"/>
    </row>
    <row r="7222">
      <c r="A7222" s="86" t="str">
        <f>IFERROR(__xludf.DUMMYFUNCTION("""COMPUTED_VALUE"""),"")</f>
        <v/>
      </c>
      <c r="B7222" s="87"/>
      <c r="C7222" s="87"/>
      <c r="D7222" s="87"/>
      <c r="E7222" s="87"/>
      <c r="F7222" s="87"/>
      <c r="G7222" s="87"/>
    </row>
    <row r="7223">
      <c r="A7223" s="86" t="str">
        <f>IFERROR(__xludf.DUMMYFUNCTION("""COMPUTED_VALUE"""),"")</f>
        <v/>
      </c>
      <c r="B7223" s="87"/>
      <c r="C7223" s="87"/>
      <c r="D7223" s="87"/>
      <c r="E7223" s="87"/>
      <c r="F7223" s="87"/>
      <c r="G7223" s="87"/>
    </row>
    <row r="7224">
      <c r="A7224" s="86" t="str">
        <f>IFERROR(__xludf.DUMMYFUNCTION("""COMPUTED_VALUE"""),"")</f>
        <v/>
      </c>
      <c r="B7224" s="87"/>
      <c r="C7224" s="87"/>
      <c r="D7224" s="87"/>
      <c r="E7224" s="87"/>
      <c r="F7224" s="87"/>
      <c r="G7224" s="87"/>
    </row>
    <row r="7225">
      <c r="A7225" s="86" t="str">
        <f>IFERROR(__xludf.DUMMYFUNCTION("""COMPUTED_VALUE"""),"")</f>
        <v/>
      </c>
      <c r="B7225" s="87"/>
      <c r="C7225" s="87"/>
      <c r="D7225" s="87"/>
      <c r="E7225" s="87"/>
      <c r="F7225" s="87"/>
      <c r="G7225" s="87"/>
    </row>
    <row r="7226">
      <c r="A7226" s="86" t="str">
        <f>IFERROR(__xludf.DUMMYFUNCTION("""COMPUTED_VALUE"""),"")</f>
        <v/>
      </c>
      <c r="B7226" s="87"/>
      <c r="C7226" s="87"/>
      <c r="D7226" s="87"/>
      <c r="E7226" s="87"/>
      <c r="F7226" s="87"/>
      <c r="G7226" s="87"/>
    </row>
    <row r="7227">
      <c r="A7227" s="86" t="str">
        <f>IFERROR(__xludf.DUMMYFUNCTION("""COMPUTED_VALUE"""),"")</f>
        <v/>
      </c>
      <c r="B7227" s="87"/>
      <c r="C7227" s="87"/>
      <c r="D7227" s="87"/>
      <c r="E7227" s="87"/>
      <c r="F7227" s="87"/>
      <c r="G7227" s="87"/>
    </row>
    <row r="7228">
      <c r="A7228" s="86" t="str">
        <f>IFERROR(__xludf.DUMMYFUNCTION("""COMPUTED_VALUE"""),"")</f>
        <v/>
      </c>
      <c r="B7228" s="87"/>
      <c r="C7228" s="87"/>
      <c r="D7228" s="87"/>
      <c r="E7228" s="87"/>
      <c r="F7228" s="87"/>
      <c r="G7228" s="87"/>
    </row>
    <row r="7229">
      <c r="A7229" s="86" t="str">
        <f>IFERROR(__xludf.DUMMYFUNCTION("""COMPUTED_VALUE"""),"")</f>
        <v/>
      </c>
      <c r="B7229" s="87"/>
      <c r="C7229" s="87"/>
      <c r="D7229" s="87"/>
      <c r="E7229" s="87"/>
      <c r="F7229" s="87"/>
      <c r="G7229" s="87"/>
    </row>
    <row r="7230">
      <c r="A7230" s="86" t="str">
        <f>IFERROR(__xludf.DUMMYFUNCTION("""COMPUTED_VALUE"""),"")</f>
        <v/>
      </c>
      <c r="B7230" s="87"/>
      <c r="C7230" s="87"/>
      <c r="D7230" s="87"/>
      <c r="E7230" s="87"/>
      <c r="F7230" s="87"/>
      <c r="G7230" s="87"/>
    </row>
    <row r="7231">
      <c r="A7231" s="86" t="str">
        <f>IFERROR(__xludf.DUMMYFUNCTION("""COMPUTED_VALUE"""),"")</f>
        <v/>
      </c>
      <c r="B7231" s="87"/>
      <c r="C7231" s="87"/>
      <c r="D7231" s="87"/>
      <c r="E7231" s="87"/>
      <c r="F7231" s="87"/>
      <c r="G7231" s="87"/>
    </row>
    <row r="7232">
      <c r="A7232" s="86" t="str">
        <f>IFERROR(__xludf.DUMMYFUNCTION("""COMPUTED_VALUE"""),"")</f>
        <v/>
      </c>
      <c r="B7232" s="87"/>
      <c r="C7232" s="87"/>
      <c r="D7232" s="87"/>
      <c r="E7232" s="87"/>
      <c r="F7232" s="87"/>
      <c r="G7232" s="87"/>
    </row>
    <row r="7233">
      <c r="A7233" s="86" t="str">
        <f>IFERROR(__xludf.DUMMYFUNCTION("""COMPUTED_VALUE"""),"")</f>
        <v/>
      </c>
      <c r="B7233" s="87"/>
      <c r="C7233" s="87"/>
      <c r="D7233" s="87"/>
      <c r="E7233" s="87"/>
      <c r="F7233" s="87"/>
      <c r="G7233" s="87"/>
    </row>
    <row r="7234">
      <c r="A7234" s="86" t="str">
        <f>IFERROR(__xludf.DUMMYFUNCTION("""COMPUTED_VALUE"""),"")</f>
        <v/>
      </c>
      <c r="B7234" s="87"/>
      <c r="C7234" s="87"/>
      <c r="D7234" s="87"/>
      <c r="E7234" s="87"/>
      <c r="F7234" s="87"/>
      <c r="G7234" s="87"/>
    </row>
    <row r="7235">
      <c r="A7235" s="86" t="str">
        <f>IFERROR(__xludf.DUMMYFUNCTION("""COMPUTED_VALUE"""),"")</f>
        <v/>
      </c>
      <c r="B7235" s="87"/>
      <c r="C7235" s="87"/>
      <c r="D7235" s="87"/>
      <c r="E7235" s="87"/>
      <c r="F7235" s="87"/>
      <c r="G7235" s="87"/>
    </row>
    <row r="7236">
      <c r="A7236" s="86" t="str">
        <f>IFERROR(__xludf.DUMMYFUNCTION("""COMPUTED_VALUE"""),"")</f>
        <v/>
      </c>
      <c r="B7236" s="87"/>
      <c r="C7236" s="87"/>
      <c r="D7236" s="87"/>
      <c r="E7236" s="87"/>
      <c r="F7236" s="87"/>
      <c r="G7236" s="87"/>
    </row>
    <row r="7237">
      <c r="A7237" s="86" t="str">
        <f>IFERROR(__xludf.DUMMYFUNCTION("""COMPUTED_VALUE"""),"")</f>
        <v/>
      </c>
      <c r="B7237" s="87"/>
      <c r="C7237" s="87"/>
      <c r="D7237" s="87"/>
      <c r="E7237" s="87"/>
      <c r="F7237" s="87"/>
      <c r="G7237" s="87"/>
    </row>
    <row r="7238">
      <c r="A7238" s="86" t="str">
        <f>IFERROR(__xludf.DUMMYFUNCTION("""COMPUTED_VALUE"""),"")</f>
        <v/>
      </c>
      <c r="B7238" s="87"/>
      <c r="C7238" s="87"/>
      <c r="D7238" s="87"/>
      <c r="E7238" s="87"/>
      <c r="F7238" s="87"/>
      <c r="G7238" s="87"/>
    </row>
    <row r="7239">
      <c r="A7239" s="86" t="str">
        <f>IFERROR(__xludf.DUMMYFUNCTION("""COMPUTED_VALUE"""),"")</f>
        <v/>
      </c>
      <c r="B7239" s="87"/>
      <c r="C7239" s="87"/>
      <c r="D7239" s="87"/>
      <c r="E7239" s="87"/>
      <c r="F7239" s="87"/>
      <c r="G7239" s="87"/>
    </row>
    <row r="7240">
      <c r="A7240" s="86" t="str">
        <f>IFERROR(__xludf.DUMMYFUNCTION("""COMPUTED_VALUE"""),"")</f>
        <v/>
      </c>
      <c r="B7240" s="87"/>
      <c r="C7240" s="87"/>
      <c r="D7240" s="87"/>
      <c r="E7240" s="87"/>
      <c r="F7240" s="87"/>
      <c r="G7240" s="87"/>
    </row>
    <row r="7241">
      <c r="A7241" s="86" t="str">
        <f>IFERROR(__xludf.DUMMYFUNCTION("""COMPUTED_VALUE"""),"")</f>
        <v/>
      </c>
      <c r="B7241" s="87"/>
      <c r="C7241" s="87"/>
      <c r="D7241" s="87"/>
      <c r="E7241" s="87"/>
      <c r="F7241" s="87"/>
      <c r="G7241" s="87"/>
    </row>
    <row r="7242">
      <c r="A7242" s="86" t="str">
        <f>IFERROR(__xludf.DUMMYFUNCTION("""COMPUTED_VALUE"""),"")</f>
        <v/>
      </c>
      <c r="B7242" s="87"/>
      <c r="C7242" s="87"/>
      <c r="D7242" s="87"/>
      <c r="E7242" s="87"/>
      <c r="F7242" s="87"/>
      <c r="G7242" s="87"/>
    </row>
    <row r="7243">
      <c r="A7243" s="86" t="str">
        <f>IFERROR(__xludf.DUMMYFUNCTION("""COMPUTED_VALUE"""),"")</f>
        <v/>
      </c>
      <c r="B7243" s="87"/>
      <c r="C7243" s="87"/>
      <c r="D7243" s="87"/>
      <c r="E7243" s="87"/>
      <c r="F7243" s="87"/>
      <c r="G7243" s="87"/>
    </row>
    <row r="7244">
      <c r="A7244" s="86" t="str">
        <f>IFERROR(__xludf.DUMMYFUNCTION("""COMPUTED_VALUE"""),"")</f>
        <v/>
      </c>
      <c r="B7244" s="87"/>
      <c r="C7244" s="87"/>
      <c r="D7244" s="87"/>
      <c r="E7244" s="87"/>
      <c r="F7244" s="87"/>
      <c r="G7244" s="87"/>
    </row>
    <row r="7245">
      <c r="A7245" s="86" t="str">
        <f>IFERROR(__xludf.DUMMYFUNCTION("""COMPUTED_VALUE"""),"")</f>
        <v/>
      </c>
      <c r="B7245" s="87"/>
      <c r="C7245" s="87"/>
      <c r="D7245" s="87"/>
      <c r="E7245" s="87"/>
      <c r="F7245" s="87"/>
      <c r="G7245" s="87"/>
    </row>
    <row r="7246">
      <c r="A7246" s="86" t="str">
        <f>IFERROR(__xludf.DUMMYFUNCTION("""COMPUTED_VALUE"""),"")</f>
        <v/>
      </c>
      <c r="B7246" s="87"/>
      <c r="C7246" s="87"/>
      <c r="D7246" s="87"/>
      <c r="E7246" s="87"/>
      <c r="F7246" s="87"/>
      <c r="G7246" s="87"/>
    </row>
    <row r="7247">
      <c r="A7247" s="86" t="str">
        <f>IFERROR(__xludf.DUMMYFUNCTION("""COMPUTED_VALUE"""),"")</f>
        <v/>
      </c>
      <c r="B7247" s="87"/>
      <c r="C7247" s="87"/>
      <c r="D7247" s="87"/>
      <c r="E7247" s="87"/>
      <c r="F7247" s="87"/>
      <c r="G7247" s="87"/>
    </row>
    <row r="7248">
      <c r="A7248" s="86" t="str">
        <f>IFERROR(__xludf.DUMMYFUNCTION("""COMPUTED_VALUE"""),"")</f>
        <v/>
      </c>
      <c r="B7248" s="87"/>
      <c r="C7248" s="87"/>
      <c r="D7248" s="87"/>
      <c r="E7248" s="87"/>
      <c r="F7248" s="87"/>
      <c r="G7248" s="87"/>
    </row>
    <row r="7249">
      <c r="A7249" s="86" t="str">
        <f>IFERROR(__xludf.DUMMYFUNCTION("""COMPUTED_VALUE"""),"")</f>
        <v/>
      </c>
      <c r="B7249" s="87"/>
      <c r="C7249" s="87"/>
      <c r="D7249" s="87"/>
      <c r="E7249" s="87"/>
      <c r="F7249" s="87"/>
      <c r="G7249" s="87"/>
    </row>
    <row r="7250">
      <c r="A7250" s="86" t="str">
        <f>IFERROR(__xludf.DUMMYFUNCTION("""COMPUTED_VALUE"""),"")</f>
        <v/>
      </c>
      <c r="B7250" s="87"/>
      <c r="C7250" s="87"/>
      <c r="D7250" s="87"/>
      <c r="E7250" s="87"/>
      <c r="F7250" s="87"/>
      <c r="G7250" s="87"/>
    </row>
    <row r="7251">
      <c r="A7251" s="86" t="str">
        <f>IFERROR(__xludf.DUMMYFUNCTION("""COMPUTED_VALUE"""),"")</f>
        <v/>
      </c>
      <c r="B7251" s="87"/>
      <c r="C7251" s="87"/>
      <c r="D7251" s="87"/>
      <c r="E7251" s="87"/>
      <c r="F7251" s="87"/>
      <c r="G7251" s="87"/>
    </row>
    <row r="7252">
      <c r="A7252" s="86" t="str">
        <f>IFERROR(__xludf.DUMMYFUNCTION("""COMPUTED_VALUE"""),"")</f>
        <v/>
      </c>
      <c r="B7252" s="87"/>
      <c r="C7252" s="87"/>
      <c r="D7252" s="87"/>
      <c r="E7252" s="87"/>
      <c r="F7252" s="87"/>
      <c r="G7252" s="87"/>
    </row>
    <row r="7253">
      <c r="A7253" s="86" t="str">
        <f>IFERROR(__xludf.DUMMYFUNCTION("""COMPUTED_VALUE"""),"")</f>
        <v/>
      </c>
      <c r="B7253" s="87"/>
      <c r="C7253" s="87"/>
      <c r="D7253" s="87"/>
      <c r="E7253" s="87"/>
      <c r="F7253" s="87"/>
      <c r="G7253" s="87"/>
    </row>
    <row r="7254">
      <c r="A7254" s="86" t="str">
        <f>IFERROR(__xludf.DUMMYFUNCTION("""COMPUTED_VALUE"""),"")</f>
        <v/>
      </c>
      <c r="B7254" s="87"/>
      <c r="C7254" s="87"/>
      <c r="D7254" s="87"/>
      <c r="E7254" s="87"/>
      <c r="F7254" s="87"/>
      <c r="G7254" s="87"/>
    </row>
    <row r="7255">
      <c r="A7255" s="86" t="str">
        <f>IFERROR(__xludf.DUMMYFUNCTION("""COMPUTED_VALUE"""),"")</f>
        <v/>
      </c>
      <c r="B7255" s="87"/>
      <c r="C7255" s="87"/>
      <c r="D7255" s="87"/>
      <c r="E7255" s="87"/>
      <c r="F7255" s="87"/>
      <c r="G7255" s="87"/>
    </row>
    <row r="7256">
      <c r="A7256" s="86" t="str">
        <f>IFERROR(__xludf.DUMMYFUNCTION("""COMPUTED_VALUE"""),"")</f>
        <v/>
      </c>
      <c r="B7256" s="87"/>
      <c r="C7256" s="87"/>
      <c r="D7256" s="87"/>
      <c r="E7256" s="87"/>
      <c r="F7256" s="87"/>
      <c r="G7256" s="87"/>
    </row>
    <row r="7257">
      <c r="A7257" s="86" t="str">
        <f>IFERROR(__xludf.DUMMYFUNCTION("""COMPUTED_VALUE"""),"")</f>
        <v/>
      </c>
      <c r="B7257" s="87"/>
      <c r="C7257" s="87"/>
      <c r="D7257" s="87"/>
      <c r="E7257" s="87"/>
      <c r="F7257" s="87"/>
      <c r="G7257" s="87"/>
    </row>
    <row r="7258">
      <c r="A7258" s="86" t="str">
        <f>IFERROR(__xludf.DUMMYFUNCTION("""COMPUTED_VALUE"""),"")</f>
        <v/>
      </c>
      <c r="B7258" s="87"/>
      <c r="C7258" s="87"/>
      <c r="D7258" s="87"/>
      <c r="E7258" s="87"/>
      <c r="F7258" s="87"/>
      <c r="G7258" s="87"/>
    </row>
    <row r="7259">
      <c r="A7259" s="86" t="str">
        <f>IFERROR(__xludf.DUMMYFUNCTION("""COMPUTED_VALUE"""),"")</f>
        <v/>
      </c>
      <c r="B7259" s="87"/>
      <c r="C7259" s="87"/>
      <c r="D7259" s="87"/>
      <c r="E7259" s="87"/>
      <c r="F7259" s="87"/>
      <c r="G7259" s="87"/>
    </row>
    <row r="7260">
      <c r="A7260" s="86" t="str">
        <f>IFERROR(__xludf.DUMMYFUNCTION("""COMPUTED_VALUE"""),"")</f>
        <v/>
      </c>
      <c r="B7260" s="87"/>
      <c r="C7260" s="87"/>
      <c r="D7260" s="87"/>
      <c r="E7260" s="87"/>
      <c r="F7260" s="87"/>
      <c r="G7260" s="87"/>
    </row>
    <row r="7261">
      <c r="A7261" s="86" t="str">
        <f>IFERROR(__xludf.DUMMYFUNCTION("""COMPUTED_VALUE"""),"")</f>
        <v/>
      </c>
      <c r="B7261" s="87"/>
      <c r="C7261" s="87"/>
      <c r="D7261" s="87"/>
      <c r="E7261" s="87"/>
      <c r="F7261" s="87"/>
      <c r="G7261" s="87"/>
    </row>
    <row r="7262">
      <c r="A7262" s="86" t="str">
        <f>IFERROR(__xludf.DUMMYFUNCTION("""COMPUTED_VALUE"""),"")</f>
        <v/>
      </c>
      <c r="B7262" s="87"/>
      <c r="C7262" s="87"/>
      <c r="D7262" s="87"/>
      <c r="E7262" s="87"/>
      <c r="F7262" s="87"/>
      <c r="G7262" s="87"/>
    </row>
    <row r="7263">
      <c r="A7263" s="86" t="str">
        <f>IFERROR(__xludf.DUMMYFUNCTION("""COMPUTED_VALUE"""),"")</f>
        <v/>
      </c>
      <c r="B7263" s="87"/>
      <c r="C7263" s="87"/>
      <c r="D7263" s="87"/>
      <c r="E7263" s="87"/>
      <c r="F7263" s="87"/>
      <c r="G7263" s="87"/>
    </row>
    <row r="7264">
      <c r="A7264" s="86" t="str">
        <f>IFERROR(__xludf.DUMMYFUNCTION("""COMPUTED_VALUE"""),"")</f>
        <v/>
      </c>
      <c r="B7264" s="87"/>
      <c r="C7264" s="87"/>
      <c r="D7264" s="87"/>
      <c r="E7264" s="87"/>
      <c r="F7264" s="87"/>
      <c r="G7264" s="87"/>
    </row>
    <row r="7265">
      <c r="A7265" s="86" t="str">
        <f>IFERROR(__xludf.DUMMYFUNCTION("""COMPUTED_VALUE"""),"")</f>
        <v/>
      </c>
      <c r="B7265" s="87"/>
      <c r="C7265" s="87"/>
      <c r="D7265" s="87"/>
      <c r="E7265" s="87"/>
      <c r="F7265" s="87"/>
      <c r="G7265" s="87"/>
    </row>
    <row r="7266">
      <c r="A7266" s="86" t="str">
        <f>IFERROR(__xludf.DUMMYFUNCTION("""COMPUTED_VALUE"""),"")</f>
        <v/>
      </c>
      <c r="B7266" s="87"/>
      <c r="C7266" s="87"/>
      <c r="D7266" s="87"/>
      <c r="E7266" s="87"/>
      <c r="F7266" s="87"/>
      <c r="G7266" s="87"/>
    </row>
    <row r="7267">
      <c r="A7267" s="86" t="str">
        <f>IFERROR(__xludf.DUMMYFUNCTION("""COMPUTED_VALUE"""),"")</f>
        <v/>
      </c>
      <c r="B7267" s="87"/>
      <c r="C7267" s="87"/>
      <c r="D7267" s="87"/>
      <c r="E7267" s="87"/>
      <c r="F7267" s="87"/>
      <c r="G7267" s="87"/>
    </row>
    <row r="7268">
      <c r="A7268" s="86" t="str">
        <f>IFERROR(__xludf.DUMMYFUNCTION("""COMPUTED_VALUE"""),"")</f>
        <v/>
      </c>
      <c r="B7268" s="87"/>
      <c r="C7268" s="87"/>
      <c r="D7268" s="87"/>
      <c r="E7268" s="87"/>
      <c r="F7268" s="87"/>
      <c r="G7268" s="87"/>
    </row>
    <row r="7269">
      <c r="A7269" s="86" t="str">
        <f>IFERROR(__xludf.DUMMYFUNCTION("""COMPUTED_VALUE"""),"")</f>
        <v/>
      </c>
      <c r="B7269" s="87"/>
      <c r="C7269" s="87"/>
      <c r="D7269" s="87"/>
      <c r="E7269" s="87"/>
      <c r="F7269" s="87"/>
      <c r="G7269" s="87"/>
    </row>
    <row r="7270">
      <c r="A7270" s="86" t="str">
        <f>IFERROR(__xludf.DUMMYFUNCTION("""COMPUTED_VALUE"""),"")</f>
        <v/>
      </c>
      <c r="B7270" s="87"/>
      <c r="C7270" s="87"/>
      <c r="D7270" s="87"/>
      <c r="E7270" s="87"/>
      <c r="F7270" s="87"/>
      <c r="G7270" s="87"/>
    </row>
    <row r="7271">
      <c r="A7271" s="86" t="str">
        <f>IFERROR(__xludf.DUMMYFUNCTION("""COMPUTED_VALUE"""),"")</f>
        <v/>
      </c>
      <c r="B7271" s="87"/>
      <c r="C7271" s="87"/>
      <c r="D7271" s="87"/>
      <c r="E7271" s="87"/>
      <c r="F7271" s="87"/>
      <c r="G7271" s="87"/>
    </row>
    <row r="7272">
      <c r="A7272" s="86" t="str">
        <f>IFERROR(__xludf.DUMMYFUNCTION("""COMPUTED_VALUE"""),"")</f>
        <v/>
      </c>
      <c r="B7272" s="87"/>
      <c r="C7272" s="87"/>
      <c r="D7272" s="87"/>
      <c r="E7272" s="87"/>
      <c r="F7272" s="87"/>
      <c r="G7272" s="87"/>
    </row>
    <row r="7273">
      <c r="A7273" s="86" t="str">
        <f>IFERROR(__xludf.DUMMYFUNCTION("""COMPUTED_VALUE"""),"")</f>
        <v/>
      </c>
      <c r="B7273" s="87"/>
      <c r="C7273" s="87"/>
      <c r="D7273" s="87"/>
      <c r="E7273" s="87"/>
      <c r="F7273" s="87"/>
      <c r="G7273" s="87"/>
    </row>
    <row r="7274">
      <c r="A7274" s="86" t="str">
        <f>IFERROR(__xludf.DUMMYFUNCTION("""COMPUTED_VALUE"""),"")</f>
        <v/>
      </c>
      <c r="B7274" s="87"/>
      <c r="C7274" s="87"/>
      <c r="D7274" s="87"/>
      <c r="E7274" s="87"/>
      <c r="F7274" s="87"/>
      <c r="G7274" s="87"/>
    </row>
    <row r="7275">
      <c r="A7275" s="86" t="str">
        <f>IFERROR(__xludf.DUMMYFUNCTION("""COMPUTED_VALUE"""),"")</f>
        <v/>
      </c>
      <c r="B7275" s="87"/>
      <c r="C7275" s="87"/>
      <c r="D7275" s="87"/>
      <c r="E7275" s="87"/>
      <c r="F7275" s="87"/>
      <c r="G7275" s="87"/>
    </row>
    <row r="7276">
      <c r="A7276" s="86" t="str">
        <f>IFERROR(__xludf.DUMMYFUNCTION("""COMPUTED_VALUE"""),"")</f>
        <v/>
      </c>
      <c r="B7276" s="87"/>
      <c r="C7276" s="87"/>
      <c r="D7276" s="87"/>
      <c r="E7276" s="87"/>
      <c r="F7276" s="87"/>
      <c r="G7276" s="87"/>
    </row>
    <row r="7277">
      <c r="A7277" s="86" t="str">
        <f>IFERROR(__xludf.DUMMYFUNCTION("""COMPUTED_VALUE"""),"")</f>
        <v/>
      </c>
      <c r="B7277" s="87"/>
      <c r="C7277" s="87"/>
      <c r="D7277" s="87"/>
      <c r="E7277" s="87"/>
      <c r="F7277" s="87"/>
      <c r="G7277" s="87"/>
    </row>
    <row r="7278">
      <c r="A7278" s="86" t="str">
        <f>IFERROR(__xludf.DUMMYFUNCTION("""COMPUTED_VALUE"""),"")</f>
        <v/>
      </c>
      <c r="B7278" s="87"/>
      <c r="C7278" s="87"/>
      <c r="D7278" s="87"/>
      <c r="E7278" s="87"/>
      <c r="F7278" s="87"/>
      <c r="G7278" s="87"/>
    </row>
    <row r="7279">
      <c r="A7279" s="86" t="str">
        <f>IFERROR(__xludf.DUMMYFUNCTION("""COMPUTED_VALUE"""),"")</f>
        <v/>
      </c>
      <c r="B7279" s="87"/>
      <c r="C7279" s="87"/>
      <c r="D7279" s="87"/>
      <c r="E7279" s="87"/>
      <c r="F7279" s="87"/>
      <c r="G7279" s="87"/>
    </row>
    <row r="7280">
      <c r="A7280" s="86" t="str">
        <f>IFERROR(__xludf.DUMMYFUNCTION("""COMPUTED_VALUE"""),"")</f>
        <v/>
      </c>
      <c r="B7280" s="87"/>
      <c r="C7280" s="87"/>
      <c r="D7280" s="87"/>
      <c r="E7280" s="87"/>
      <c r="F7280" s="87"/>
      <c r="G7280" s="87"/>
    </row>
    <row r="7281">
      <c r="A7281" s="86" t="str">
        <f>IFERROR(__xludf.DUMMYFUNCTION("""COMPUTED_VALUE"""),"")</f>
        <v/>
      </c>
      <c r="B7281" s="87"/>
      <c r="C7281" s="87"/>
      <c r="D7281" s="87"/>
      <c r="E7281" s="87"/>
      <c r="F7281" s="87"/>
      <c r="G7281" s="87"/>
    </row>
    <row r="7282">
      <c r="A7282" s="86" t="str">
        <f>IFERROR(__xludf.DUMMYFUNCTION("""COMPUTED_VALUE"""),"")</f>
        <v/>
      </c>
      <c r="B7282" s="87"/>
      <c r="C7282" s="87"/>
      <c r="D7282" s="87"/>
      <c r="E7282" s="87"/>
      <c r="F7282" s="87"/>
      <c r="G7282" s="87"/>
    </row>
    <row r="7283">
      <c r="A7283" s="86" t="str">
        <f>IFERROR(__xludf.DUMMYFUNCTION("""COMPUTED_VALUE"""),"")</f>
        <v/>
      </c>
      <c r="B7283" s="87"/>
      <c r="C7283" s="87"/>
      <c r="D7283" s="87"/>
      <c r="E7283" s="87"/>
      <c r="F7283" s="87"/>
      <c r="G7283" s="87"/>
    </row>
    <row r="7284">
      <c r="A7284" s="86" t="str">
        <f>IFERROR(__xludf.DUMMYFUNCTION("""COMPUTED_VALUE"""),"")</f>
        <v/>
      </c>
      <c r="B7284" s="87"/>
      <c r="C7284" s="87"/>
      <c r="D7284" s="87"/>
      <c r="E7284" s="87"/>
      <c r="F7284" s="87"/>
      <c r="G7284" s="87"/>
    </row>
    <row r="7285">
      <c r="A7285" s="86" t="str">
        <f>IFERROR(__xludf.DUMMYFUNCTION("""COMPUTED_VALUE"""),"")</f>
        <v/>
      </c>
      <c r="B7285" s="87"/>
      <c r="C7285" s="87"/>
      <c r="D7285" s="87"/>
      <c r="E7285" s="87"/>
      <c r="F7285" s="87"/>
      <c r="G7285" s="87"/>
    </row>
    <row r="7286">
      <c r="A7286" s="86" t="str">
        <f>IFERROR(__xludf.DUMMYFUNCTION("""COMPUTED_VALUE"""),"")</f>
        <v/>
      </c>
      <c r="B7286" s="87"/>
      <c r="C7286" s="87"/>
      <c r="D7286" s="87"/>
      <c r="E7286" s="87"/>
      <c r="F7286" s="87"/>
      <c r="G7286" s="87"/>
    </row>
    <row r="7287">
      <c r="A7287" s="86" t="str">
        <f>IFERROR(__xludf.DUMMYFUNCTION("""COMPUTED_VALUE"""),"")</f>
        <v/>
      </c>
      <c r="B7287" s="87"/>
      <c r="C7287" s="87"/>
      <c r="D7287" s="87"/>
      <c r="E7287" s="87"/>
      <c r="F7287" s="87"/>
      <c r="G7287" s="87"/>
    </row>
    <row r="7288">
      <c r="A7288" s="86" t="str">
        <f>IFERROR(__xludf.DUMMYFUNCTION("""COMPUTED_VALUE"""),"")</f>
        <v/>
      </c>
      <c r="B7288" s="87"/>
      <c r="C7288" s="87"/>
      <c r="D7288" s="87"/>
      <c r="E7288" s="87"/>
      <c r="F7288" s="87"/>
      <c r="G7288" s="87"/>
    </row>
    <row r="7289">
      <c r="A7289" s="86" t="str">
        <f>IFERROR(__xludf.DUMMYFUNCTION("""COMPUTED_VALUE"""),"")</f>
        <v/>
      </c>
      <c r="B7289" s="87"/>
      <c r="C7289" s="87"/>
      <c r="D7289" s="87"/>
      <c r="E7289" s="87"/>
      <c r="F7289" s="87"/>
      <c r="G7289" s="87"/>
    </row>
    <row r="7290">
      <c r="A7290" s="86" t="str">
        <f>IFERROR(__xludf.DUMMYFUNCTION("""COMPUTED_VALUE"""),"")</f>
        <v/>
      </c>
      <c r="B7290" s="87"/>
      <c r="C7290" s="87"/>
      <c r="D7290" s="87"/>
      <c r="E7290" s="87"/>
      <c r="F7290" s="87"/>
      <c r="G7290" s="87"/>
    </row>
    <row r="7291">
      <c r="A7291" s="86" t="str">
        <f>IFERROR(__xludf.DUMMYFUNCTION("""COMPUTED_VALUE"""),"")</f>
        <v/>
      </c>
      <c r="B7291" s="87"/>
      <c r="C7291" s="87"/>
      <c r="D7291" s="87"/>
      <c r="E7291" s="87"/>
      <c r="F7291" s="87"/>
      <c r="G7291" s="87"/>
    </row>
    <row r="7292">
      <c r="A7292" s="86" t="str">
        <f>IFERROR(__xludf.DUMMYFUNCTION("""COMPUTED_VALUE"""),"")</f>
        <v/>
      </c>
      <c r="B7292" s="87"/>
      <c r="C7292" s="87"/>
      <c r="D7292" s="87"/>
      <c r="E7292" s="87"/>
      <c r="F7292" s="87"/>
      <c r="G7292" s="87"/>
    </row>
    <row r="7293">
      <c r="A7293" s="86" t="str">
        <f>IFERROR(__xludf.DUMMYFUNCTION("""COMPUTED_VALUE"""),"")</f>
        <v/>
      </c>
      <c r="B7293" s="87"/>
      <c r="C7293" s="87"/>
      <c r="D7293" s="87"/>
      <c r="E7293" s="87"/>
      <c r="F7293" s="87"/>
      <c r="G7293" s="87"/>
    </row>
    <row r="7294">
      <c r="A7294" s="86" t="str">
        <f>IFERROR(__xludf.DUMMYFUNCTION("""COMPUTED_VALUE"""),"")</f>
        <v/>
      </c>
      <c r="B7294" s="87"/>
      <c r="C7294" s="87"/>
      <c r="D7294" s="87"/>
      <c r="E7294" s="87"/>
      <c r="F7294" s="87"/>
      <c r="G7294" s="87"/>
    </row>
    <row r="7295">
      <c r="A7295" s="86" t="str">
        <f>IFERROR(__xludf.DUMMYFUNCTION("""COMPUTED_VALUE"""),"")</f>
        <v/>
      </c>
      <c r="B7295" s="87"/>
      <c r="C7295" s="87"/>
      <c r="D7295" s="87"/>
      <c r="E7295" s="87"/>
      <c r="F7295" s="87"/>
      <c r="G7295" s="87"/>
    </row>
    <row r="7296">
      <c r="A7296" s="86" t="str">
        <f>IFERROR(__xludf.DUMMYFUNCTION("""COMPUTED_VALUE"""),"")</f>
        <v/>
      </c>
      <c r="B7296" s="87"/>
      <c r="C7296" s="87"/>
      <c r="D7296" s="87"/>
      <c r="E7296" s="87"/>
      <c r="F7296" s="87"/>
      <c r="G7296" s="87"/>
    </row>
    <row r="7297">
      <c r="A7297" s="86" t="str">
        <f>IFERROR(__xludf.DUMMYFUNCTION("""COMPUTED_VALUE"""),"")</f>
        <v/>
      </c>
      <c r="B7297" s="87"/>
      <c r="C7297" s="87"/>
      <c r="D7297" s="87"/>
      <c r="E7297" s="87"/>
      <c r="F7297" s="87"/>
      <c r="G7297" s="87"/>
    </row>
    <row r="7298">
      <c r="A7298" s="86" t="str">
        <f>IFERROR(__xludf.DUMMYFUNCTION("""COMPUTED_VALUE"""),"")</f>
        <v/>
      </c>
      <c r="B7298" s="87"/>
      <c r="C7298" s="87"/>
      <c r="D7298" s="87"/>
      <c r="E7298" s="87"/>
      <c r="F7298" s="87"/>
      <c r="G7298" s="87"/>
    </row>
    <row r="7299">
      <c r="A7299" s="86" t="str">
        <f>IFERROR(__xludf.DUMMYFUNCTION("""COMPUTED_VALUE"""),"")</f>
        <v/>
      </c>
      <c r="B7299" s="87"/>
      <c r="C7299" s="87"/>
      <c r="D7299" s="87"/>
      <c r="E7299" s="87"/>
      <c r="F7299" s="87"/>
      <c r="G7299" s="87"/>
    </row>
    <row r="7300">
      <c r="A7300" s="86" t="str">
        <f>IFERROR(__xludf.DUMMYFUNCTION("""COMPUTED_VALUE"""),"")</f>
        <v/>
      </c>
      <c r="B7300" s="87"/>
      <c r="C7300" s="87"/>
      <c r="D7300" s="87"/>
      <c r="E7300" s="87"/>
      <c r="F7300" s="87"/>
      <c r="G7300" s="87"/>
    </row>
    <row r="7301">
      <c r="A7301" s="86" t="str">
        <f>IFERROR(__xludf.DUMMYFUNCTION("""COMPUTED_VALUE"""),"")</f>
        <v/>
      </c>
      <c r="B7301" s="87"/>
      <c r="C7301" s="87"/>
      <c r="D7301" s="87"/>
      <c r="E7301" s="87"/>
      <c r="F7301" s="87"/>
      <c r="G7301" s="87"/>
    </row>
    <row r="7302">
      <c r="A7302" s="86" t="str">
        <f>IFERROR(__xludf.DUMMYFUNCTION("""COMPUTED_VALUE"""),"")</f>
        <v/>
      </c>
      <c r="B7302" s="87"/>
      <c r="C7302" s="87"/>
      <c r="D7302" s="87"/>
      <c r="E7302" s="87"/>
      <c r="F7302" s="87"/>
      <c r="G7302" s="87"/>
    </row>
    <row r="7303">
      <c r="A7303" s="86" t="str">
        <f>IFERROR(__xludf.DUMMYFUNCTION("""COMPUTED_VALUE"""),"")</f>
        <v/>
      </c>
      <c r="B7303" s="87"/>
      <c r="C7303" s="87"/>
      <c r="D7303" s="87"/>
      <c r="E7303" s="87"/>
      <c r="F7303" s="87"/>
      <c r="G7303" s="87"/>
    </row>
    <row r="7304">
      <c r="A7304" s="86" t="str">
        <f>IFERROR(__xludf.DUMMYFUNCTION("""COMPUTED_VALUE"""),"")</f>
        <v/>
      </c>
      <c r="B7304" s="87"/>
      <c r="C7304" s="87"/>
      <c r="D7304" s="87"/>
      <c r="E7304" s="87"/>
      <c r="F7304" s="87"/>
      <c r="G7304" s="87"/>
    </row>
    <row r="7305">
      <c r="A7305" s="86" t="str">
        <f>IFERROR(__xludf.DUMMYFUNCTION("""COMPUTED_VALUE"""),"")</f>
        <v/>
      </c>
      <c r="B7305" s="87"/>
      <c r="C7305" s="87"/>
      <c r="D7305" s="87"/>
      <c r="E7305" s="87"/>
      <c r="F7305" s="87"/>
      <c r="G7305" s="87"/>
    </row>
    <row r="7306">
      <c r="A7306" s="86" t="str">
        <f>IFERROR(__xludf.DUMMYFUNCTION("""COMPUTED_VALUE"""),"")</f>
        <v/>
      </c>
      <c r="B7306" s="87"/>
      <c r="C7306" s="87"/>
      <c r="D7306" s="87"/>
      <c r="E7306" s="87"/>
      <c r="F7306" s="87"/>
      <c r="G7306" s="87"/>
    </row>
    <row r="7307">
      <c r="A7307" s="86" t="str">
        <f>IFERROR(__xludf.DUMMYFUNCTION("""COMPUTED_VALUE"""),"")</f>
        <v/>
      </c>
      <c r="B7307" s="87"/>
      <c r="C7307" s="87"/>
      <c r="D7307" s="87"/>
      <c r="E7307" s="87"/>
      <c r="F7307" s="87"/>
      <c r="G7307" s="87"/>
    </row>
    <row r="7308">
      <c r="A7308" s="86" t="str">
        <f>IFERROR(__xludf.DUMMYFUNCTION("""COMPUTED_VALUE"""),"")</f>
        <v/>
      </c>
      <c r="B7308" s="87"/>
      <c r="C7308" s="87"/>
      <c r="D7308" s="87"/>
      <c r="E7308" s="87"/>
      <c r="F7308" s="87"/>
      <c r="G7308" s="87"/>
    </row>
    <row r="7309">
      <c r="A7309" s="86" t="str">
        <f>IFERROR(__xludf.DUMMYFUNCTION("""COMPUTED_VALUE"""),"")</f>
        <v/>
      </c>
      <c r="B7309" s="87"/>
      <c r="C7309" s="87"/>
      <c r="D7309" s="87"/>
      <c r="E7309" s="87"/>
      <c r="F7309" s="87"/>
      <c r="G7309" s="87"/>
    </row>
    <row r="7310">
      <c r="A7310" s="86" t="str">
        <f>IFERROR(__xludf.DUMMYFUNCTION("""COMPUTED_VALUE"""),"")</f>
        <v/>
      </c>
      <c r="B7310" s="87"/>
      <c r="C7310" s="87"/>
      <c r="D7310" s="87"/>
      <c r="E7310" s="87"/>
      <c r="F7310" s="87"/>
      <c r="G7310" s="87"/>
    </row>
    <row r="7311">
      <c r="A7311" s="86" t="str">
        <f>IFERROR(__xludf.DUMMYFUNCTION("""COMPUTED_VALUE"""),"")</f>
        <v/>
      </c>
      <c r="B7311" s="87"/>
      <c r="C7311" s="87"/>
      <c r="D7311" s="87"/>
      <c r="E7311" s="87"/>
      <c r="F7311" s="87"/>
      <c r="G7311" s="87"/>
    </row>
    <row r="7312">
      <c r="A7312" s="86" t="str">
        <f>IFERROR(__xludf.DUMMYFUNCTION("""COMPUTED_VALUE"""),"")</f>
        <v/>
      </c>
      <c r="B7312" s="87"/>
      <c r="C7312" s="87"/>
      <c r="D7312" s="87"/>
      <c r="E7312" s="87"/>
      <c r="F7312" s="87"/>
      <c r="G7312" s="87"/>
    </row>
    <row r="7313">
      <c r="A7313" s="86" t="str">
        <f>IFERROR(__xludf.DUMMYFUNCTION("""COMPUTED_VALUE"""),"")</f>
        <v/>
      </c>
      <c r="B7313" s="87"/>
      <c r="C7313" s="87"/>
      <c r="D7313" s="87"/>
      <c r="E7313" s="87"/>
      <c r="F7313" s="87"/>
      <c r="G7313" s="87"/>
    </row>
    <row r="7314">
      <c r="A7314" s="86" t="str">
        <f>IFERROR(__xludf.DUMMYFUNCTION("""COMPUTED_VALUE"""),"")</f>
        <v/>
      </c>
      <c r="B7314" s="87"/>
      <c r="C7314" s="87"/>
      <c r="D7314" s="87"/>
      <c r="E7314" s="87"/>
      <c r="F7314" s="87"/>
      <c r="G7314" s="87"/>
    </row>
    <row r="7315">
      <c r="A7315" s="86" t="str">
        <f>IFERROR(__xludf.DUMMYFUNCTION("""COMPUTED_VALUE"""),"")</f>
        <v/>
      </c>
      <c r="B7315" s="87"/>
      <c r="C7315" s="87"/>
      <c r="D7315" s="87"/>
      <c r="E7315" s="87"/>
      <c r="F7315" s="87"/>
      <c r="G7315" s="87"/>
    </row>
    <row r="7316">
      <c r="A7316" s="86" t="str">
        <f>IFERROR(__xludf.DUMMYFUNCTION("""COMPUTED_VALUE"""),"")</f>
        <v/>
      </c>
      <c r="B7316" s="87"/>
      <c r="C7316" s="87"/>
      <c r="D7316" s="87"/>
      <c r="E7316" s="87"/>
      <c r="F7316" s="87"/>
      <c r="G7316" s="87"/>
    </row>
    <row r="7317">
      <c r="A7317" s="86" t="str">
        <f>IFERROR(__xludf.DUMMYFUNCTION("""COMPUTED_VALUE"""),"")</f>
        <v/>
      </c>
      <c r="B7317" s="87"/>
      <c r="C7317" s="87"/>
      <c r="D7317" s="87"/>
      <c r="E7317" s="87"/>
      <c r="F7317" s="87"/>
      <c r="G7317" s="87"/>
    </row>
    <row r="7318">
      <c r="A7318" s="86" t="str">
        <f>IFERROR(__xludf.DUMMYFUNCTION("""COMPUTED_VALUE"""),"")</f>
        <v/>
      </c>
      <c r="B7318" s="87"/>
      <c r="C7318" s="87"/>
      <c r="D7318" s="87"/>
      <c r="E7318" s="87"/>
      <c r="F7318" s="87"/>
      <c r="G7318" s="87"/>
    </row>
    <row r="7319">
      <c r="A7319" s="86" t="str">
        <f>IFERROR(__xludf.DUMMYFUNCTION("""COMPUTED_VALUE"""),"")</f>
        <v/>
      </c>
      <c r="B7319" s="87"/>
      <c r="C7319" s="87"/>
      <c r="D7319" s="87"/>
      <c r="E7319" s="87"/>
      <c r="F7319" s="87"/>
      <c r="G7319" s="87"/>
    </row>
    <row r="7320">
      <c r="A7320" s="86" t="str">
        <f>IFERROR(__xludf.DUMMYFUNCTION("""COMPUTED_VALUE"""),"")</f>
        <v/>
      </c>
      <c r="B7320" s="87"/>
      <c r="C7320" s="87"/>
      <c r="D7320" s="87"/>
      <c r="E7320" s="87"/>
      <c r="F7320" s="87"/>
      <c r="G7320" s="87"/>
    </row>
    <row r="7321">
      <c r="A7321" s="86" t="str">
        <f>IFERROR(__xludf.DUMMYFUNCTION("""COMPUTED_VALUE"""),"")</f>
        <v/>
      </c>
      <c r="B7321" s="87"/>
      <c r="C7321" s="87"/>
      <c r="D7321" s="87"/>
      <c r="E7321" s="87"/>
      <c r="F7321" s="87"/>
      <c r="G7321" s="87"/>
    </row>
    <row r="7322">
      <c r="A7322" s="86" t="str">
        <f>IFERROR(__xludf.DUMMYFUNCTION("""COMPUTED_VALUE"""),"")</f>
        <v/>
      </c>
      <c r="B7322" s="87"/>
      <c r="C7322" s="87"/>
      <c r="D7322" s="87"/>
      <c r="E7322" s="87"/>
      <c r="F7322" s="87"/>
      <c r="G7322" s="87"/>
    </row>
    <row r="7323">
      <c r="A7323" s="86" t="str">
        <f>IFERROR(__xludf.DUMMYFUNCTION("""COMPUTED_VALUE"""),"")</f>
        <v/>
      </c>
      <c r="B7323" s="87"/>
      <c r="C7323" s="87"/>
      <c r="D7323" s="87"/>
      <c r="E7323" s="87"/>
      <c r="F7323" s="87"/>
      <c r="G7323" s="87"/>
    </row>
    <row r="7324">
      <c r="A7324" s="86" t="str">
        <f>IFERROR(__xludf.DUMMYFUNCTION("""COMPUTED_VALUE"""),"")</f>
        <v/>
      </c>
      <c r="B7324" s="87"/>
      <c r="C7324" s="87"/>
      <c r="D7324" s="87"/>
      <c r="E7324" s="87"/>
      <c r="F7324" s="87"/>
      <c r="G7324" s="87"/>
    </row>
    <row r="7325">
      <c r="A7325" s="86" t="str">
        <f>IFERROR(__xludf.DUMMYFUNCTION("""COMPUTED_VALUE"""),"")</f>
        <v/>
      </c>
      <c r="B7325" s="87"/>
      <c r="C7325" s="87"/>
      <c r="D7325" s="87"/>
      <c r="E7325" s="87"/>
      <c r="F7325" s="87"/>
      <c r="G7325" s="87"/>
    </row>
    <row r="7326">
      <c r="A7326" s="86" t="str">
        <f>IFERROR(__xludf.DUMMYFUNCTION("""COMPUTED_VALUE"""),"")</f>
        <v/>
      </c>
      <c r="B7326" s="87"/>
      <c r="C7326" s="87"/>
      <c r="D7326" s="87"/>
      <c r="E7326" s="87"/>
      <c r="F7326" s="87"/>
      <c r="G7326" s="87"/>
    </row>
    <row r="7327">
      <c r="A7327" s="86" t="str">
        <f>IFERROR(__xludf.DUMMYFUNCTION("""COMPUTED_VALUE"""),"")</f>
        <v/>
      </c>
      <c r="B7327" s="87"/>
      <c r="C7327" s="87"/>
      <c r="D7327" s="87"/>
      <c r="E7327" s="87"/>
      <c r="F7327" s="87"/>
      <c r="G7327" s="87"/>
    </row>
    <row r="7328">
      <c r="A7328" s="86" t="str">
        <f>IFERROR(__xludf.DUMMYFUNCTION("""COMPUTED_VALUE"""),"")</f>
        <v/>
      </c>
      <c r="B7328" s="87"/>
      <c r="C7328" s="87"/>
      <c r="D7328" s="87"/>
      <c r="E7328" s="87"/>
      <c r="F7328" s="87"/>
      <c r="G7328" s="87"/>
    </row>
    <row r="7329">
      <c r="A7329" s="86" t="str">
        <f>IFERROR(__xludf.DUMMYFUNCTION("""COMPUTED_VALUE"""),"")</f>
        <v/>
      </c>
      <c r="B7329" s="87"/>
      <c r="C7329" s="87"/>
      <c r="D7329" s="87"/>
      <c r="E7329" s="87"/>
      <c r="F7329" s="87"/>
      <c r="G7329" s="87"/>
    </row>
    <row r="7330">
      <c r="A7330" s="86" t="str">
        <f>IFERROR(__xludf.DUMMYFUNCTION("""COMPUTED_VALUE"""),"")</f>
        <v/>
      </c>
      <c r="B7330" s="87"/>
      <c r="C7330" s="87"/>
      <c r="D7330" s="87"/>
      <c r="E7330" s="87"/>
      <c r="F7330" s="87"/>
      <c r="G7330" s="87"/>
    </row>
    <row r="7331">
      <c r="A7331" s="86" t="str">
        <f>IFERROR(__xludf.DUMMYFUNCTION("""COMPUTED_VALUE"""),"")</f>
        <v/>
      </c>
      <c r="B7331" s="87"/>
      <c r="C7331" s="87"/>
      <c r="D7331" s="87"/>
      <c r="E7331" s="87"/>
      <c r="F7331" s="87"/>
      <c r="G7331" s="87"/>
    </row>
    <row r="7332">
      <c r="A7332" s="86" t="str">
        <f>IFERROR(__xludf.DUMMYFUNCTION("""COMPUTED_VALUE"""),"")</f>
        <v/>
      </c>
      <c r="B7332" s="87"/>
      <c r="C7332" s="87"/>
      <c r="D7332" s="87"/>
      <c r="E7332" s="87"/>
      <c r="F7332" s="87"/>
      <c r="G7332" s="87"/>
    </row>
    <row r="7333">
      <c r="A7333" s="86" t="str">
        <f>IFERROR(__xludf.DUMMYFUNCTION("""COMPUTED_VALUE"""),"")</f>
        <v/>
      </c>
      <c r="B7333" s="87"/>
      <c r="C7333" s="87"/>
      <c r="D7333" s="87"/>
      <c r="E7333" s="87"/>
      <c r="F7333" s="87"/>
      <c r="G7333" s="87"/>
    </row>
    <row r="7334">
      <c r="A7334" s="86" t="str">
        <f>IFERROR(__xludf.DUMMYFUNCTION("""COMPUTED_VALUE"""),"")</f>
        <v/>
      </c>
      <c r="B7334" s="87"/>
      <c r="C7334" s="87"/>
      <c r="D7334" s="87"/>
      <c r="E7334" s="87"/>
      <c r="F7334" s="87"/>
      <c r="G7334" s="87"/>
    </row>
    <row r="7335">
      <c r="A7335" s="86" t="str">
        <f>IFERROR(__xludf.DUMMYFUNCTION("""COMPUTED_VALUE"""),"")</f>
        <v/>
      </c>
      <c r="B7335" s="87"/>
      <c r="C7335" s="87"/>
      <c r="D7335" s="87"/>
      <c r="E7335" s="87"/>
      <c r="F7335" s="87"/>
      <c r="G7335" s="87"/>
    </row>
    <row r="7336">
      <c r="A7336" s="86" t="str">
        <f>IFERROR(__xludf.DUMMYFUNCTION("""COMPUTED_VALUE"""),"")</f>
        <v/>
      </c>
      <c r="B7336" s="87"/>
      <c r="C7336" s="87"/>
      <c r="D7336" s="87"/>
      <c r="E7336" s="87"/>
      <c r="F7336" s="87"/>
      <c r="G7336" s="87"/>
    </row>
    <row r="7337">
      <c r="A7337" s="86" t="str">
        <f>IFERROR(__xludf.DUMMYFUNCTION("""COMPUTED_VALUE"""),"")</f>
        <v/>
      </c>
      <c r="B7337" s="87"/>
      <c r="C7337" s="87"/>
      <c r="D7337" s="87"/>
      <c r="E7337" s="87"/>
      <c r="F7337" s="87"/>
      <c r="G7337" s="87"/>
    </row>
    <row r="7338">
      <c r="A7338" s="86" t="str">
        <f>IFERROR(__xludf.DUMMYFUNCTION("""COMPUTED_VALUE"""),"")</f>
        <v/>
      </c>
      <c r="B7338" s="87"/>
      <c r="C7338" s="87"/>
      <c r="D7338" s="87"/>
      <c r="E7338" s="87"/>
      <c r="F7338" s="87"/>
      <c r="G7338" s="87"/>
    </row>
    <row r="7339">
      <c r="A7339" s="86" t="str">
        <f>IFERROR(__xludf.DUMMYFUNCTION("""COMPUTED_VALUE"""),"")</f>
        <v/>
      </c>
      <c r="B7339" s="87"/>
      <c r="C7339" s="87"/>
      <c r="D7339" s="87"/>
      <c r="E7339" s="87"/>
      <c r="F7339" s="87"/>
      <c r="G7339" s="87"/>
    </row>
    <row r="7340">
      <c r="A7340" s="86" t="str">
        <f>IFERROR(__xludf.DUMMYFUNCTION("""COMPUTED_VALUE"""),"")</f>
        <v/>
      </c>
      <c r="B7340" s="87"/>
      <c r="C7340" s="87"/>
      <c r="D7340" s="87"/>
      <c r="E7340" s="87"/>
      <c r="F7340" s="87"/>
      <c r="G7340" s="87"/>
    </row>
    <row r="7341">
      <c r="A7341" s="86" t="str">
        <f>IFERROR(__xludf.DUMMYFUNCTION("""COMPUTED_VALUE"""),"")</f>
        <v/>
      </c>
      <c r="B7341" s="87"/>
      <c r="C7341" s="87"/>
      <c r="D7341" s="87"/>
      <c r="E7341" s="87"/>
      <c r="F7341" s="87"/>
      <c r="G7341" s="87"/>
    </row>
    <row r="7342">
      <c r="A7342" s="86" t="str">
        <f>IFERROR(__xludf.DUMMYFUNCTION("""COMPUTED_VALUE"""),"")</f>
        <v/>
      </c>
      <c r="B7342" s="87"/>
      <c r="C7342" s="87"/>
      <c r="D7342" s="87"/>
      <c r="E7342" s="87"/>
      <c r="F7342" s="87"/>
      <c r="G7342" s="87"/>
    </row>
    <row r="7343">
      <c r="A7343" s="86" t="str">
        <f>IFERROR(__xludf.DUMMYFUNCTION("""COMPUTED_VALUE"""),"")</f>
        <v/>
      </c>
      <c r="B7343" s="87"/>
      <c r="C7343" s="87"/>
      <c r="D7343" s="87"/>
      <c r="E7343" s="87"/>
      <c r="F7343" s="87"/>
      <c r="G7343" s="87"/>
    </row>
    <row r="7344">
      <c r="A7344" s="86" t="str">
        <f>IFERROR(__xludf.DUMMYFUNCTION("""COMPUTED_VALUE"""),"")</f>
        <v/>
      </c>
      <c r="B7344" s="87"/>
      <c r="C7344" s="87"/>
      <c r="D7344" s="87"/>
      <c r="E7344" s="87"/>
      <c r="F7344" s="87"/>
      <c r="G7344" s="87"/>
    </row>
    <row r="7345">
      <c r="A7345" s="86" t="str">
        <f>IFERROR(__xludf.DUMMYFUNCTION("""COMPUTED_VALUE"""),"")</f>
        <v/>
      </c>
      <c r="B7345" s="87"/>
      <c r="C7345" s="87"/>
      <c r="D7345" s="87"/>
      <c r="E7345" s="87"/>
      <c r="F7345" s="87"/>
      <c r="G7345" s="87"/>
    </row>
    <row r="7346">
      <c r="A7346" s="86" t="str">
        <f>IFERROR(__xludf.DUMMYFUNCTION("""COMPUTED_VALUE"""),"")</f>
        <v/>
      </c>
      <c r="B7346" s="87"/>
      <c r="C7346" s="87"/>
      <c r="D7346" s="87"/>
      <c r="E7346" s="87"/>
      <c r="F7346" s="87"/>
      <c r="G7346" s="87"/>
    </row>
    <row r="7347">
      <c r="A7347" s="86" t="str">
        <f>IFERROR(__xludf.DUMMYFUNCTION("""COMPUTED_VALUE"""),"")</f>
        <v/>
      </c>
      <c r="B7347" s="87"/>
      <c r="C7347" s="87"/>
      <c r="D7347" s="87"/>
      <c r="E7347" s="87"/>
      <c r="F7347" s="87"/>
      <c r="G7347" s="87"/>
    </row>
    <row r="7348">
      <c r="A7348" s="86" t="str">
        <f>IFERROR(__xludf.DUMMYFUNCTION("""COMPUTED_VALUE"""),"")</f>
        <v/>
      </c>
      <c r="B7348" s="87"/>
      <c r="C7348" s="87"/>
      <c r="D7348" s="87"/>
      <c r="E7348" s="87"/>
      <c r="F7348" s="87"/>
      <c r="G7348" s="87"/>
    </row>
    <row r="7349">
      <c r="A7349" s="86" t="str">
        <f>IFERROR(__xludf.DUMMYFUNCTION("""COMPUTED_VALUE"""),"")</f>
        <v/>
      </c>
      <c r="B7349" s="87"/>
      <c r="C7349" s="87"/>
      <c r="D7349" s="87"/>
      <c r="E7349" s="87"/>
      <c r="F7349" s="87"/>
      <c r="G7349" s="87"/>
    </row>
    <row r="7350">
      <c r="A7350" s="86" t="str">
        <f>IFERROR(__xludf.DUMMYFUNCTION("""COMPUTED_VALUE"""),"")</f>
        <v/>
      </c>
      <c r="B7350" s="87"/>
      <c r="C7350" s="87"/>
      <c r="D7350" s="87"/>
      <c r="E7350" s="87"/>
      <c r="F7350" s="87"/>
      <c r="G7350" s="87"/>
    </row>
    <row r="7351">
      <c r="A7351" s="86" t="str">
        <f>IFERROR(__xludf.DUMMYFUNCTION("""COMPUTED_VALUE"""),"")</f>
        <v/>
      </c>
      <c r="B7351" s="87"/>
      <c r="C7351" s="87"/>
      <c r="D7351" s="87"/>
      <c r="E7351" s="87"/>
      <c r="F7351" s="87"/>
      <c r="G7351" s="87"/>
    </row>
    <row r="7352">
      <c r="A7352" s="86" t="str">
        <f>IFERROR(__xludf.DUMMYFUNCTION("""COMPUTED_VALUE"""),"")</f>
        <v/>
      </c>
      <c r="B7352" s="87"/>
      <c r="C7352" s="87"/>
      <c r="D7352" s="87"/>
      <c r="E7352" s="87"/>
      <c r="F7352" s="87"/>
      <c r="G7352" s="87"/>
    </row>
    <row r="7353">
      <c r="A7353" s="86" t="str">
        <f>IFERROR(__xludf.DUMMYFUNCTION("""COMPUTED_VALUE"""),"")</f>
        <v/>
      </c>
      <c r="B7353" s="87"/>
      <c r="C7353" s="87"/>
      <c r="D7353" s="87"/>
      <c r="E7353" s="87"/>
      <c r="F7353" s="87"/>
      <c r="G7353" s="87"/>
    </row>
    <row r="7354">
      <c r="A7354" s="86" t="str">
        <f>IFERROR(__xludf.DUMMYFUNCTION("""COMPUTED_VALUE"""),"")</f>
        <v/>
      </c>
      <c r="B7354" s="87"/>
      <c r="C7354" s="87"/>
      <c r="D7354" s="87"/>
      <c r="E7354" s="87"/>
      <c r="F7354" s="87"/>
      <c r="G7354" s="87"/>
    </row>
    <row r="7355">
      <c r="A7355" s="86" t="str">
        <f>IFERROR(__xludf.DUMMYFUNCTION("""COMPUTED_VALUE"""),"")</f>
        <v/>
      </c>
      <c r="B7355" s="87"/>
      <c r="C7355" s="87"/>
      <c r="D7355" s="87"/>
      <c r="E7355" s="87"/>
      <c r="F7355" s="87"/>
      <c r="G7355" s="87"/>
    </row>
    <row r="7356">
      <c r="A7356" s="86" t="str">
        <f>IFERROR(__xludf.DUMMYFUNCTION("""COMPUTED_VALUE"""),"")</f>
        <v/>
      </c>
      <c r="B7356" s="87"/>
      <c r="C7356" s="87"/>
      <c r="D7356" s="87"/>
      <c r="E7356" s="87"/>
      <c r="F7356" s="87"/>
      <c r="G7356" s="87"/>
    </row>
    <row r="7357">
      <c r="A7357" s="86" t="str">
        <f>IFERROR(__xludf.DUMMYFUNCTION("""COMPUTED_VALUE"""),"")</f>
        <v/>
      </c>
      <c r="B7357" s="87"/>
      <c r="C7357" s="87"/>
      <c r="D7357" s="87"/>
      <c r="E7357" s="87"/>
      <c r="F7357" s="87"/>
      <c r="G7357" s="87"/>
    </row>
    <row r="7358">
      <c r="A7358" s="86" t="str">
        <f>IFERROR(__xludf.DUMMYFUNCTION("""COMPUTED_VALUE"""),"")</f>
        <v/>
      </c>
      <c r="B7358" s="87"/>
      <c r="C7358" s="87"/>
      <c r="D7358" s="87"/>
      <c r="E7358" s="87"/>
      <c r="F7358" s="87"/>
      <c r="G7358" s="87"/>
    </row>
    <row r="7359">
      <c r="A7359" s="86" t="str">
        <f>IFERROR(__xludf.DUMMYFUNCTION("""COMPUTED_VALUE"""),"")</f>
        <v/>
      </c>
      <c r="B7359" s="87"/>
      <c r="C7359" s="87"/>
      <c r="D7359" s="87"/>
      <c r="E7359" s="87"/>
      <c r="F7359" s="87"/>
      <c r="G7359" s="87"/>
    </row>
    <row r="7360">
      <c r="A7360" s="86" t="str">
        <f>IFERROR(__xludf.DUMMYFUNCTION("""COMPUTED_VALUE"""),"")</f>
        <v/>
      </c>
      <c r="B7360" s="87"/>
      <c r="C7360" s="87"/>
      <c r="D7360" s="87"/>
      <c r="E7360" s="87"/>
      <c r="F7360" s="87"/>
      <c r="G7360" s="87"/>
    </row>
    <row r="7361">
      <c r="A7361" s="86" t="str">
        <f>IFERROR(__xludf.DUMMYFUNCTION("""COMPUTED_VALUE"""),"")</f>
        <v/>
      </c>
      <c r="B7361" s="87"/>
      <c r="C7361" s="87"/>
      <c r="D7361" s="87"/>
      <c r="E7361" s="87"/>
      <c r="F7361" s="87"/>
      <c r="G7361" s="87"/>
    </row>
    <row r="7362">
      <c r="A7362" s="86" t="str">
        <f>IFERROR(__xludf.DUMMYFUNCTION("""COMPUTED_VALUE"""),"")</f>
        <v/>
      </c>
      <c r="B7362" s="87"/>
      <c r="C7362" s="87"/>
      <c r="D7362" s="87"/>
      <c r="E7362" s="87"/>
      <c r="F7362" s="87"/>
      <c r="G7362" s="87"/>
    </row>
    <row r="7363">
      <c r="A7363" s="86" t="str">
        <f>IFERROR(__xludf.DUMMYFUNCTION("""COMPUTED_VALUE"""),"")</f>
        <v/>
      </c>
      <c r="B7363" s="87"/>
      <c r="C7363" s="87"/>
      <c r="D7363" s="87"/>
      <c r="E7363" s="87"/>
      <c r="F7363" s="87"/>
      <c r="G7363" s="87"/>
    </row>
    <row r="7364">
      <c r="A7364" s="86" t="str">
        <f>IFERROR(__xludf.DUMMYFUNCTION("""COMPUTED_VALUE"""),"")</f>
        <v/>
      </c>
      <c r="B7364" s="87"/>
      <c r="C7364" s="87"/>
      <c r="D7364" s="87"/>
      <c r="E7364" s="87"/>
      <c r="F7364" s="87"/>
      <c r="G7364" s="87"/>
    </row>
    <row r="7365">
      <c r="A7365" s="86" t="str">
        <f>IFERROR(__xludf.DUMMYFUNCTION("""COMPUTED_VALUE"""),"")</f>
        <v/>
      </c>
      <c r="B7365" s="87"/>
      <c r="C7365" s="87"/>
      <c r="D7365" s="87"/>
      <c r="E7365" s="87"/>
      <c r="F7365" s="87"/>
      <c r="G7365" s="87"/>
    </row>
    <row r="7366">
      <c r="A7366" s="86" t="str">
        <f>IFERROR(__xludf.DUMMYFUNCTION("""COMPUTED_VALUE"""),"")</f>
        <v/>
      </c>
      <c r="B7366" s="87"/>
      <c r="C7366" s="87"/>
      <c r="D7366" s="87"/>
      <c r="E7366" s="87"/>
      <c r="F7366" s="87"/>
      <c r="G7366" s="87"/>
    </row>
    <row r="7367">
      <c r="A7367" s="86" t="str">
        <f>IFERROR(__xludf.DUMMYFUNCTION("""COMPUTED_VALUE"""),"")</f>
        <v/>
      </c>
      <c r="B7367" s="87"/>
      <c r="C7367" s="87"/>
      <c r="D7367" s="87"/>
      <c r="E7367" s="87"/>
      <c r="F7367" s="87"/>
      <c r="G7367" s="87"/>
    </row>
    <row r="7368">
      <c r="A7368" s="86" t="str">
        <f>IFERROR(__xludf.DUMMYFUNCTION("""COMPUTED_VALUE"""),"")</f>
        <v/>
      </c>
      <c r="B7368" s="87"/>
      <c r="C7368" s="87"/>
      <c r="D7368" s="87"/>
      <c r="E7368" s="87"/>
      <c r="F7368" s="87"/>
      <c r="G7368" s="87"/>
    </row>
    <row r="7369">
      <c r="A7369" s="86" t="str">
        <f>IFERROR(__xludf.DUMMYFUNCTION("""COMPUTED_VALUE"""),"")</f>
        <v/>
      </c>
      <c r="B7369" s="87"/>
      <c r="C7369" s="87"/>
      <c r="D7369" s="87"/>
      <c r="E7369" s="87"/>
      <c r="F7369" s="87"/>
      <c r="G7369" s="87"/>
    </row>
    <row r="7370">
      <c r="A7370" s="86" t="str">
        <f>IFERROR(__xludf.DUMMYFUNCTION("""COMPUTED_VALUE"""),"")</f>
        <v/>
      </c>
      <c r="B7370" s="87"/>
      <c r="C7370" s="87"/>
      <c r="D7370" s="87"/>
      <c r="E7370" s="87"/>
      <c r="F7370" s="87"/>
      <c r="G7370" s="87"/>
    </row>
    <row r="7371">
      <c r="A7371" s="86" t="str">
        <f>IFERROR(__xludf.DUMMYFUNCTION("""COMPUTED_VALUE"""),"")</f>
        <v/>
      </c>
      <c r="B7371" s="87"/>
      <c r="C7371" s="87"/>
      <c r="D7371" s="87"/>
      <c r="E7371" s="87"/>
      <c r="F7371" s="87"/>
      <c r="G7371" s="87"/>
    </row>
    <row r="7372">
      <c r="A7372" s="86" t="str">
        <f>IFERROR(__xludf.DUMMYFUNCTION("""COMPUTED_VALUE"""),"")</f>
        <v/>
      </c>
      <c r="B7372" s="87"/>
      <c r="C7372" s="87"/>
      <c r="D7372" s="87"/>
      <c r="E7372" s="87"/>
      <c r="F7372" s="87"/>
      <c r="G7372" s="87"/>
    </row>
    <row r="7373">
      <c r="A7373" s="86" t="str">
        <f>IFERROR(__xludf.DUMMYFUNCTION("""COMPUTED_VALUE"""),"")</f>
        <v/>
      </c>
      <c r="B7373" s="87"/>
      <c r="C7373" s="87"/>
      <c r="D7373" s="87"/>
      <c r="E7373" s="87"/>
      <c r="F7373" s="87"/>
      <c r="G7373" s="87"/>
    </row>
    <row r="7374">
      <c r="A7374" s="86" t="str">
        <f>IFERROR(__xludf.DUMMYFUNCTION("""COMPUTED_VALUE"""),"")</f>
        <v/>
      </c>
      <c r="B7374" s="87"/>
      <c r="C7374" s="87"/>
      <c r="D7374" s="87"/>
      <c r="E7374" s="87"/>
      <c r="F7374" s="87"/>
      <c r="G7374" s="87"/>
    </row>
    <row r="7375">
      <c r="A7375" s="86" t="str">
        <f>IFERROR(__xludf.DUMMYFUNCTION("""COMPUTED_VALUE"""),"")</f>
        <v/>
      </c>
      <c r="B7375" s="87"/>
      <c r="C7375" s="87"/>
      <c r="D7375" s="87"/>
      <c r="E7375" s="87"/>
      <c r="F7375" s="87"/>
      <c r="G7375" s="87"/>
    </row>
    <row r="7376">
      <c r="A7376" s="86" t="str">
        <f>IFERROR(__xludf.DUMMYFUNCTION("""COMPUTED_VALUE"""),"")</f>
        <v/>
      </c>
      <c r="B7376" s="87"/>
      <c r="C7376" s="87"/>
      <c r="D7376" s="87"/>
      <c r="E7376" s="87"/>
      <c r="F7376" s="87"/>
      <c r="G7376" s="87"/>
    </row>
    <row r="7377">
      <c r="A7377" s="86" t="str">
        <f>IFERROR(__xludf.DUMMYFUNCTION("""COMPUTED_VALUE"""),"")</f>
        <v/>
      </c>
      <c r="B7377" s="87"/>
      <c r="C7377" s="87"/>
      <c r="D7377" s="87"/>
      <c r="E7377" s="87"/>
      <c r="F7377" s="87"/>
      <c r="G7377" s="87"/>
    </row>
    <row r="7378">
      <c r="A7378" s="86" t="str">
        <f>IFERROR(__xludf.DUMMYFUNCTION("""COMPUTED_VALUE"""),"")</f>
        <v/>
      </c>
      <c r="B7378" s="87"/>
      <c r="C7378" s="87"/>
      <c r="D7378" s="87"/>
      <c r="E7378" s="87"/>
      <c r="F7378" s="87"/>
      <c r="G7378" s="87"/>
    </row>
    <row r="7379">
      <c r="A7379" s="86" t="str">
        <f>IFERROR(__xludf.DUMMYFUNCTION("""COMPUTED_VALUE"""),"")</f>
        <v/>
      </c>
      <c r="B7379" s="87"/>
      <c r="C7379" s="87"/>
      <c r="D7379" s="87"/>
      <c r="E7379" s="87"/>
      <c r="F7379" s="87"/>
      <c r="G7379" s="87"/>
    </row>
    <row r="7380">
      <c r="A7380" s="86" t="str">
        <f>IFERROR(__xludf.DUMMYFUNCTION("""COMPUTED_VALUE"""),"")</f>
        <v/>
      </c>
      <c r="B7380" s="87"/>
      <c r="C7380" s="87"/>
      <c r="D7380" s="87"/>
      <c r="E7380" s="87"/>
      <c r="F7380" s="87"/>
      <c r="G7380" s="87"/>
    </row>
    <row r="7381">
      <c r="A7381" s="86" t="str">
        <f>IFERROR(__xludf.DUMMYFUNCTION("""COMPUTED_VALUE"""),"")</f>
        <v/>
      </c>
      <c r="B7381" s="87"/>
      <c r="C7381" s="87"/>
      <c r="D7381" s="87"/>
      <c r="E7381" s="87"/>
      <c r="F7381" s="87"/>
      <c r="G7381" s="87"/>
    </row>
    <row r="7382">
      <c r="A7382" s="86" t="str">
        <f>IFERROR(__xludf.DUMMYFUNCTION("""COMPUTED_VALUE"""),"")</f>
        <v/>
      </c>
      <c r="B7382" s="87"/>
      <c r="C7382" s="87"/>
      <c r="D7382" s="87"/>
      <c r="E7382" s="87"/>
      <c r="F7382" s="87"/>
      <c r="G7382" s="87"/>
    </row>
    <row r="7383">
      <c r="A7383" s="86" t="str">
        <f>IFERROR(__xludf.DUMMYFUNCTION("""COMPUTED_VALUE"""),"")</f>
        <v/>
      </c>
      <c r="B7383" s="87"/>
      <c r="C7383" s="87"/>
      <c r="D7383" s="87"/>
      <c r="E7383" s="87"/>
      <c r="F7383" s="87"/>
      <c r="G7383" s="87"/>
    </row>
    <row r="7384">
      <c r="A7384" s="86" t="str">
        <f>IFERROR(__xludf.DUMMYFUNCTION("""COMPUTED_VALUE"""),"")</f>
        <v/>
      </c>
      <c r="B7384" s="87"/>
      <c r="C7384" s="87"/>
      <c r="D7384" s="87"/>
      <c r="E7384" s="87"/>
      <c r="F7384" s="87"/>
      <c r="G7384" s="87"/>
    </row>
    <row r="7385">
      <c r="A7385" s="86" t="str">
        <f>IFERROR(__xludf.DUMMYFUNCTION("""COMPUTED_VALUE"""),"")</f>
        <v/>
      </c>
      <c r="B7385" s="87"/>
      <c r="C7385" s="87"/>
      <c r="D7385" s="87"/>
      <c r="E7385" s="87"/>
      <c r="F7385" s="87"/>
      <c r="G7385" s="87"/>
    </row>
    <row r="7386">
      <c r="A7386" s="86" t="str">
        <f>IFERROR(__xludf.DUMMYFUNCTION("""COMPUTED_VALUE"""),"")</f>
        <v/>
      </c>
      <c r="B7386" s="87"/>
      <c r="C7386" s="87"/>
      <c r="D7386" s="87"/>
      <c r="E7386" s="87"/>
      <c r="F7386" s="87"/>
      <c r="G7386" s="87"/>
    </row>
    <row r="7387">
      <c r="A7387" s="86" t="str">
        <f>IFERROR(__xludf.DUMMYFUNCTION("""COMPUTED_VALUE"""),"")</f>
        <v/>
      </c>
      <c r="B7387" s="87"/>
      <c r="C7387" s="87"/>
      <c r="D7387" s="87"/>
      <c r="E7387" s="87"/>
      <c r="F7387" s="87"/>
      <c r="G7387" s="87"/>
    </row>
    <row r="7388">
      <c r="A7388" s="86" t="str">
        <f>IFERROR(__xludf.DUMMYFUNCTION("""COMPUTED_VALUE"""),"")</f>
        <v/>
      </c>
      <c r="B7388" s="87"/>
      <c r="C7388" s="87"/>
      <c r="D7388" s="87"/>
      <c r="E7388" s="87"/>
      <c r="F7388" s="87"/>
      <c r="G7388" s="87"/>
    </row>
    <row r="7389">
      <c r="A7389" s="86" t="str">
        <f>IFERROR(__xludf.DUMMYFUNCTION("""COMPUTED_VALUE"""),"")</f>
        <v/>
      </c>
      <c r="B7389" s="87"/>
      <c r="C7389" s="87"/>
      <c r="D7389" s="87"/>
      <c r="E7389" s="87"/>
      <c r="F7389" s="87"/>
      <c r="G7389" s="87"/>
    </row>
    <row r="7390">
      <c r="A7390" s="86" t="str">
        <f>IFERROR(__xludf.DUMMYFUNCTION("""COMPUTED_VALUE"""),"")</f>
        <v/>
      </c>
      <c r="B7390" s="87"/>
      <c r="C7390" s="87"/>
      <c r="D7390" s="87"/>
      <c r="E7390" s="87"/>
      <c r="F7390" s="87"/>
      <c r="G7390" s="87"/>
    </row>
    <row r="7391">
      <c r="A7391" s="86" t="str">
        <f>IFERROR(__xludf.DUMMYFUNCTION("""COMPUTED_VALUE"""),"")</f>
        <v/>
      </c>
      <c r="B7391" s="87"/>
      <c r="C7391" s="87"/>
      <c r="D7391" s="87"/>
      <c r="E7391" s="87"/>
      <c r="F7391" s="87"/>
      <c r="G7391" s="87"/>
    </row>
    <row r="7392">
      <c r="A7392" s="86" t="str">
        <f>IFERROR(__xludf.DUMMYFUNCTION("""COMPUTED_VALUE"""),"")</f>
        <v/>
      </c>
      <c r="B7392" s="87"/>
      <c r="C7392" s="87"/>
      <c r="D7392" s="87"/>
      <c r="E7392" s="87"/>
      <c r="F7392" s="87"/>
      <c r="G7392" s="87"/>
    </row>
    <row r="7393">
      <c r="A7393" s="86" t="str">
        <f>IFERROR(__xludf.DUMMYFUNCTION("""COMPUTED_VALUE"""),"")</f>
        <v/>
      </c>
      <c r="B7393" s="87"/>
      <c r="C7393" s="87"/>
      <c r="D7393" s="87"/>
      <c r="E7393" s="87"/>
      <c r="F7393" s="87"/>
      <c r="G7393" s="87"/>
    </row>
    <row r="7394">
      <c r="A7394" s="86" t="str">
        <f>IFERROR(__xludf.DUMMYFUNCTION("""COMPUTED_VALUE"""),"")</f>
        <v/>
      </c>
      <c r="B7394" s="87"/>
      <c r="C7394" s="87"/>
      <c r="D7394" s="87"/>
      <c r="E7394" s="87"/>
      <c r="F7394" s="87"/>
      <c r="G7394" s="87"/>
    </row>
    <row r="7395">
      <c r="A7395" s="86" t="str">
        <f>IFERROR(__xludf.DUMMYFUNCTION("""COMPUTED_VALUE"""),"")</f>
        <v/>
      </c>
      <c r="B7395" s="87"/>
      <c r="C7395" s="87"/>
      <c r="D7395" s="87"/>
      <c r="E7395" s="87"/>
      <c r="F7395" s="87"/>
      <c r="G7395" s="87"/>
    </row>
    <row r="7396">
      <c r="A7396" s="86" t="str">
        <f>IFERROR(__xludf.DUMMYFUNCTION("""COMPUTED_VALUE"""),"")</f>
        <v/>
      </c>
      <c r="B7396" s="87"/>
      <c r="C7396" s="87"/>
      <c r="D7396" s="87"/>
      <c r="E7396" s="87"/>
      <c r="F7396" s="87"/>
      <c r="G7396" s="87"/>
    </row>
    <row r="7397">
      <c r="A7397" s="86" t="str">
        <f>IFERROR(__xludf.DUMMYFUNCTION("""COMPUTED_VALUE"""),"")</f>
        <v/>
      </c>
      <c r="B7397" s="87"/>
      <c r="C7397" s="87"/>
      <c r="D7397" s="87"/>
      <c r="E7397" s="87"/>
      <c r="F7397" s="87"/>
      <c r="G7397" s="87"/>
    </row>
    <row r="7398">
      <c r="A7398" s="86" t="str">
        <f>IFERROR(__xludf.DUMMYFUNCTION("""COMPUTED_VALUE"""),"")</f>
        <v/>
      </c>
      <c r="B7398" s="87"/>
      <c r="C7398" s="87"/>
      <c r="D7398" s="87"/>
      <c r="E7398" s="87"/>
      <c r="F7398" s="87"/>
      <c r="G7398" s="87"/>
    </row>
    <row r="7399">
      <c r="A7399" s="86" t="str">
        <f>IFERROR(__xludf.DUMMYFUNCTION("""COMPUTED_VALUE"""),"")</f>
        <v/>
      </c>
      <c r="B7399" s="87"/>
      <c r="C7399" s="87"/>
      <c r="D7399" s="87"/>
      <c r="E7399" s="87"/>
      <c r="F7399" s="87"/>
      <c r="G7399" s="87"/>
    </row>
    <row r="7400">
      <c r="A7400" s="86" t="str">
        <f>IFERROR(__xludf.DUMMYFUNCTION("""COMPUTED_VALUE"""),"")</f>
        <v/>
      </c>
      <c r="B7400" s="87"/>
      <c r="C7400" s="87"/>
      <c r="D7400" s="87"/>
      <c r="E7400" s="87"/>
      <c r="F7400" s="87"/>
      <c r="G7400" s="87"/>
    </row>
    <row r="7401">
      <c r="A7401" s="86" t="str">
        <f>IFERROR(__xludf.DUMMYFUNCTION("""COMPUTED_VALUE"""),"")</f>
        <v/>
      </c>
      <c r="B7401" s="87"/>
      <c r="C7401" s="87"/>
      <c r="D7401" s="87"/>
      <c r="E7401" s="87"/>
      <c r="F7401" s="87"/>
      <c r="G7401" s="87"/>
    </row>
    <row r="7402">
      <c r="A7402" s="86" t="str">
        <f>IFERROR(__xludf.DUMMYFUNCTION("""COMPUTED_VALUE"""),"")</f>
        <v/>
      </c>
      <c r="B7402" s="87"/>
      <c r="C7402" s="87"/>
      <c r="D7402" s="87"/>
      <c r="E7402" s="87"/>
      <c r="F7402" s="87"/>
      <c r="G7402" s="87"/>
    </row>
    <row r="7403">
      <c r="A7403" s="86" t="str">
        <f>IFERROR(__xludf.DUMMYFUNCTION("""COMPUTED_VALUE"""),"")</f>
        <v/>
      </c>
      <c r="B7403" s="87"/>
      <c r="C7403" s="87"/>
      <c r="D7403" s="87"/>
      <c r="E7403" s="87"/>
      <c r="F7403" s="87"/>
      <c r="G7403" s="87"/>
    </row>
    <row r="7404">
      <c r="A7404" s="86" t="str">
        <f>IFERROR(__xludf.DUMMYFUNCTION("""COMPUTED_VALUE"""),"")</f>
        <v/>
      </c>
      <c r="B7404" s="87"/>
      <c r="C7404" s="87"/>
      <c r="D7404" s="87"/>
      <c r="E7404" s="87"/>
      <c r="F7404" s="87"/>
      <c r="G7404" s="87"/>
    </row>
    <row r="7405">
      <c r="A7405" s="86" t="str">
        <f>IFERROR(__xludf.DUMMYFUNCTION("""COMPUTED_VALUE"""),"")</f>
        <v/>
      </c>
      <c r="B7405" s="87"/>
      <c r="C7405" s="87"/>
      <c r="D7405" s="87"/>
      <c r="E7405" s="87"/>
      <c r="F7405" s="87"/>
      <c r="G7405" s="87"/>
    </row>
    <row r="7406">
      <c r="A7406" s="86" t="str">
        <f>IFERROR(__xludf.DUMMYFUNCTION("""COMPUTED_VALUE"""),"")</f>
        <v/>
      </c>
      <c r="B7406" s="87"/>
      <c r="C7406" s="87"/>
      <c r="D7406" s="87"/>
      <c r="E7406" s="87"/>
      <c r="F7406" s="87"/>
      <c r="G7406" s="87"/>
    </row>
    <row r="7407">
      <c r="A7407" s="86" t="str">
        <f>IFERROR(__xludf.DUMMYFUNCTION("""COMPUTED_VALUE"""),"")</f>
        <v/>
      </c>
      <c r="B7407" s="87"/>
      <c r="C7407" s="87"/>
      <c r="D7407" s="87"/>
      <c r="E7407" s="87"/>
      <c r="F7407" s="87"/>
      <c r="G7407" s="87"/>
    </row>
    <row r="7408">
      <c r="A7408" s="86" t="str">
        <f>IFERROR(__xludf.DUMMYFUNCTION("""COMPUTED_VALUE"""),"")</f>
        <v/>
      </c>
      <c r="B7408" s="87"/>
      <c r="C7408" s="87"/>
      <c r="D7408" s="87"/>
      <c r="E7408" s="87"/>
      <c r="F7408" s="87"/>
      <c r="G7408" s="87"/>
    </row>
    <row r="7409">
      <c r="A7409" s="86" t="str">
        <f>IFERROR(__xludf.DUMMYFUNCTION("""COMPUTED_VALUE"""),"")</f>
        <v/>
      </c>
      <c r="B7409" s="87"/>
      <c r="C7409" s="87"/>
      <c r="D7409" s="87"/>
      <c r="E7409" s="87"/>
      <c r="F7409" s="87"/>
      <c r="G7409" s="87"/>
    </row>
    <row r="7410">
      <c r="A7410" s="86" t="str">
        <f>IFERROR(__xludf.DUMMYFUNCTION("""COMPUTED_VALUE"""),"")</f>
        <v/>
      </c>
      <c r="B7410" s="87"/>
      <c r="C7410" s="87"/>
      <c r="D7410" s="87"/>
      <c r="E7410" s="87"/>
      <c r="F7410" s="87"/>
      <c r="G7410" s="87"/>
    </row>
    <row r="7411">
      <c r="A7411" s="86" t="str">
        <f>IFERROR(__xludf.DUMMYFUNCTION("""COMPUTED_VALUE"""),"")</f>
        <v/>
      </c>
      <c r="B7411" s="87"/>
      <c r="C7411" s="87"/>
      <c r="D7411" s="87"/>
      <c r="E7411" s="87"/>
      <c r="F7411" s="87"/>
      <c r="G7411" s="87"/>
    </row>
    <row r="7412">
      <c r="A7412" s="86" t="str">
        <f>IFERROR(__xludf.DUMMYFUNCTION("""COMPUTED_VALUE"""),"")</f>
        <v/>
      </c>
      <c r="B7412" s="87"/>
      <c r="C7412" s="87"/>
      <c r="D7412" s="87"/>
      <c r="E7412" s="87"/>
      <c r="F7412" s="87"/>
      <c r="G7412" s="87"/>
    </row>
    <row r="7413">
      <c r="A7413" s="86" t="str">
        <f>IFERROR(__xludf.DUMMYFUNCTION("""COMPUTED_VALUE"""),"")</f>
        <v/>
      </c>
      <c r="B7413" s="87"/>
      <c r="C7413" s="87"/>
      <c r="D7413" s="87"/>
      <c r="E7413" s="87"/>
      <c r="F7413" s="87"/>
      <c r="G7413" s="87"/>
    </row>
    <row r="7414">
      <c r="A7414" s="86" t="str">
        <f>IFERROR(__xludf.DUMMYFUNCTION("""COMPUTED_VALUE"""),"")</f>
        <v/>
      </c>
      <c r="B7414" s="87"/>
      <c r="C7414" s="87"/>
      <c r="D7414" s="87"/>
      <c r="E7414" s="87"/>
      <c r="F7414" s="87"/>
      <c r="G7414" s="87"/>
    </row>
    <row r="7415">
      <c r="A7415" s="86" t="str">
        <f>IFERROR(__xludf.DUMMYFUNCTION("""COMPUTED_VALUE"""),"")</f>
        <v/>
      </c>
      <c r="B7415" s="87"/>
      <c r="C7415" s="87"/>
      <c r="D7415" s="87"/>
      <c r="E7415" s="87"/>
      <c r="F7415" s="87"/>
      <c r="G7415" s="87"/>
    </row>
    <row r="7416">
      <c r="A7416" s="86" t="str">
        <f>IFERROR(__xludf.DUMMYFUNCTION("""COMPUTED_VALUE"""),"")</f>
        <v/>
      </c>
      <c r="B7416" s="87"/>
      <c r="C7416" s="87"/>
      <c r="D7416" s="87"/>
      <c r="E7416" s="87"/>
      <c r="F7416" s="87"/>
      <c r="G7416" s="87"/>
    </row>
    <row r="7417">
      <c r="A7417" s="86" t="str">
        <f>IFERROR(__xludf.DUMMYFUNCTION("""COMPUTED_VALUE"""),"")</f>
        <v/>
      </c>
      <c r="B7417" s="87"/>
      <c r="C7417" s="87"/>
      <c r="D7417" s="87"/>
      <c r="E7417" s="87"/>
      <c r="F7417" s="87"/>
      <c r="G7417" s="87"/>
    </row>
    <row r="7418">
      <c r="A7418" s="86" t="str">
        <f>IFERROR(__xludf.DUMMYFUNCTION("""COMPUTED_VALUE"""),"")</f>
        <v/>
      </c>
      <c r="B7418" s="87"/>
      <c r="C7418" s="87"/>
      <c r="D7418" s="87"/>
      <c r="E7418" s="87"/>
      <c r="F7418" s="87"/>
      <c r="G7418" s="87"/>
    </row>
    <row r="7419">
      <c r="A7419" s="86" t="str">
        <f>IFERROR(__xludf.DUMMYFUNCTION("""COMPUTED_VALUE"""),"")</f>
        <v/>
      </c>
      <c r="B7419" s="87"/>
      <c r="C7419" s="87"/>
      <c r="D7419" s="87"/>
      <c r="E7419" s="87"/>
      <c r="F7419" s="87"/>
      <c r="G7419" s="87"/>
    </row>
    <row r="7420">
      <c r="A7420" s="86" t="str">
        <f>IFERROR(__xludf.DUMMYFUNCTION("""COMPUTED_VALUE"""),"")</f>
        <v/>
      </c>
      <c r="B7420" s="87"/>
      <c r="C7420" s="87"/>
      <c r="D7420" s="87"/>
      <c r="E7420" s="87"/>
      <c r="F7420" s="87"/>
      <c r="G7420" s="87"/>
    </row>
    <row r="7421">
      <c r="A7421" s="86" t="str">
        <f>IFERROR(__xludf.DUMMYFUNCTION("""COMPUTED_VALUE"""),"")</f>
        <v/>
      </c>
      <c r="B7421" s="87"/>
      <c r="C7421" s="87"/>
      <c r="D7421" s="87"/>
      <c r="E7421" s="87"/>
      <c r="F7421" s="87"/>
      <c r="G7421" s="87"/>
    </row>
    <row r="7422">
      <c r="A7422" s="86" t="str">
        <f>IFERROR(__xludf.DUMMYFUNCTION("""COMPUTED_VALUE"""),"")</f>
        <v/>
      </c>
      <c r="B7422" s="87"/>
      <c r="C7422" s="87"/>
      <c r="D7422" s="87"/>
      <c r="E7422" s="87"/>
      <c r="F7422" s="87"/>
      <c r="G7422" s="87"/>
    </row>
    <row r="7423">
      <c r="A7423" s="86" t="str">
        <f>IFERROR(__xludf.DUMMYFUNCTION("""COMPUTED_VALUE"""),"")</f>
        <v/>
      </c>
      <c r="B7423" s="87"/>
      <c r="C7423" s="87"/>
      <c r="D7423" s="87"/>
      <c r="E7423" s="87"/>
      <c r="F7423" s="87"/>
      <c r="G7423" s="87"/>
    </row>
    <row r="7424">
      <c r="A7424" s="86" t="str">
        <f>IFERROR(__xludf.DUMMYFUNCTION("""COMPUTED_VALUE"""),"")</f>
        <v/>
      </c>
      <c r="B7424" s="87"/>
      <c r="C7424" s="87"/>
      <c r="D7424" s="87"/>
      <c r="E7424" s="87"/>
      <c r="F7424" s="87"/>
      <c r="G7424" s="87"/>
    </row>
    <row r="7425">
      <c r="A7425" s="86" t="str">
        <f>IFERROR(__xludf.DUMMYFUNCTION("""COMPUTED_VALUE"""),"")</f>
        <v/>
      </c>
      <c r="B7425" s="87"/>
      <c r="C7425" s="87"/>
      <c r="D7425" s="87"/>
      <c r="E7425" s="87"/>
      <c r="F7425" s="87"/>
      <c r="G7425" s="87"/>
    </row>
    <row r="7426">
      <c r="A7426" s="86" t="str">
        <f>IFERROR(__xludf.DUMMYFUNCTION("""COMPUTED_VALUE"""),"")</f>
        <v/>
      </c>
      <c r="B7426" s="87"/>
      <c r="C7426" s="87"/>
      <c r="D7426" s="87"/>
      <c r="E7426" s="87"/>
      <c r="F7426" s="87"/>
      <c r="G7426" s="87"/>
    </row>
    <row r="7427">
      <c r="A7427" s="86" t="str">
        <f>IFERROR(__xludf.DUMMYFUNCTION("""COMPUTED_VALUE"""),"")</f>
        <v/>
      </c>
      <c r="B7427" s="87"/>
      <c r="C7427" s="87"/>
      <c r="D7427" s="87"/>
      <c r="E7427" s="87"/>
      <c r="F7427" s="87"/>
      <c r="G7427" s="87"/>
    </row>
    <row r="7428">
      <c r="A7428" s="86" t="str">
        <f>IFERROR(__xludf.DUMMYFUNCTION("""COMPUTED_VALUE"""),"")</f>
        <v/>
      </c>
      <c r="B7428" s="87"/>
      <c r="C7428" s="87"/>
      <c r="D7428" s="87"/>
      <c r="E7428" s="87"/>
      <c r="F7428" s="87"/>
      <c r="G7428" s="87"/>
    </row>
    <row r="7429">
      <c r="A7429" s="86" t="str">
        <f>IFERROR(__xludf.DUMMYFUNCTION("""COMPUTED_VALUE"""),"")</f>
        <v/>
      </c>
      <c r="B7429" s="87"/>
      <c r="C7429" s="87"/>
      <c r="D7429" s="87"/>
      <c r="E7429" s="87"/>
      <c r="F7429" s="87"/>
      <c r="G7429" s="87"/>
    </row>
    <row r="7430">
      <c r="A7430" s="86" t="str">
        <f>IFERROR(__xludf.DUMMYFUNCTION("""COMPUTED_VALUE"""),"")</f>
        <v/>
      </c>
      <c r="B7430" s="87"/>
      <c r="C7430" s="87"/>
      <c r="D7430" s="87"/>
      <c r="E7430" s="87"/>
      <c r="F7430" s="87"/>
      <c r="G7430" s="87"/>
    </row>
    <row r="7431">
      <c r="A7431" s="86" t="str">
        <f>IFERROR(__xludf.DUMMYFUNCTION("""COMPUTED_VALUE"""),"")</f>
        <v/>
      </c>
      <c r="B7431" s="87"/>
      <c r="C7431" s="87"/>
      <c r="D7431" s="87"/>
      <c r="E7431" s="87"/>
      <c r="F7431" s="87"/>
      <c r="G7431" s="87"/>
    </row>
    <row r="7432">
      <c r="A7432" s="86" t="str">
        <f>IFERROR(__xludf.DUMMYFUNCTION("""COMPUTED_VALUE"""),"")</f>
        <v/>
      </c>
      <c r="B7432" s="87"/>
      <c r="C7432" s="87"/>
      <c r="D7432" s="87"/>
      <c r="E7432" s="87"/>
      <c r="F7432" s="87"/>
      <c r="G7432" s="87"/>
    </row>
    <row r="7433">
      <c r="A7433" s="86" t="str">
        <f>IFERROR(__xludf.DUMMYFUNCTION("""COMPUTED_VALUE"""),"")</f>
        <v/>
      </c>
      <c r="B7433" s="87"/>
      <c r="C7433" s="87"/>
      <c r="D7433" s="87"/>
      <c r="E7433" s="87"/>
      <c r="F7433" s="87"/>
      <c r="G7433" s="87"/>
    </row>
    <row r="7434">
      <c r="A7434" s="86" t="str">
        <f>IFERROR(__xludf.DUMMYFUNCTION("""COMPUTED_VALUE"""),"")</f>
        <v/>
      </c>
      <c r="B7434" s="87"/>
      <c r="C7434" s="87"/>
      <c r="D7434" s="87"/>
      <c r="E7434" s="87"/>
      <c r="F7434" s="87"/>
      <c r="G7434" s="87"/>
    </row>
    <row r="7435">
      <c r="A7435" s="86" t="str">
        <f>IFERROR(__xludf.DUMMYFUNCTION("""COMPUTED_VALUE"""),"")</f>
        <v/>
      </c>
      <c r="B7435" s="87"/>
      <c r="C7435" s="87"/>
      <c r="D7435" s="87"/>
      <c r="E7435" s="87"/>
      <c r="F7435" s="87"/>
      <c r="G7435" s="87"/>
    </row>
    <row r="7436">
      <c r="A7436" s="86" t="str">
        <f>IFERROR(__xludf.DUMMYFUNCTION("""COMPUTED_VALUE"""),"")</f>
        <v/>
      </c>
      <c r="B7436" s="87"/>
      <c r="C7436" s="87"/>
      <c r="D7436" s="87"/>
      <c r="E7436" s="87"/>
      <c r="F7436" s="87"/>
      <c r="G7436" s="87"/>
    </row>
    <row r="7437">
      <c r="A7437" s="86" t="str">
        <f>IFERROR(__xludf.DUMMYFUNCTION("""COMPUTED_VALUE"""),"")</f>
        <v/>
      </c>
      <c r="B7437" s="87"/>
      <c r="C7437" s="87"/>
      <c r="D7437" s="87"/>
      <c r="E7437" s="87"/>
      <c r="F7437" s="87"/>
      <c r="G7437" s="87"/>
    </row>
    <row r="7438">
      <c r="A7438" s="86" t="str">
        <f>IFERROR(__xludf.DUMMYFUNCTION("""COMPUTED_VALUE"""),"")</f>
        <v/>
      </c>
      <c r="B7438" s="87"/>
      <c r="C7438" s="87"/>
      <c r="D7438" s="87"/>
      <c r="E7438" s="87"/>
      <c r="F7438" s="87"/>
      <c r="G7438" s="87"/>
    </row>
    <row r="7439">
      <c r="A7439" s="86" t="str">
        <f>IFERROR(__xludf.DUMMYFUNCTION("""COMPUTED_VALUE"""),"")</f>
        <v/>
      </c>
      <c r="B7439" s="87"/>
      <c r="C7439" s="87"/>
      <c r="D7439" s="87"/>
      <c r="E7439" s="87"/>
      <c r="F7439" s="87"/>
      <c r="G7439" s="87"/>
    </row>
    <row r="7440">
      <c r="A7440" s="86" t="str">
        <f>IFERROR(__xludf.DUMMYFUNCTION("""COMPUTED_VALUE"""),"")</f>
        <v/>
      </c>
      <c r="B7440" s="87"/>
      <c r="C7440" s="87"/>
      <c r="D7440" s="87"/>
      <c r="E7440" s="87"/>
      <c r="F7440" s="87"/>
      <c r="G7440" s="87"/>
    </row>
    <row r="7441">
      <c r="A7441" s="86" t="str">
        <f>IFERROR(__xludf.DUMMYFUNCTION("""COMPUTED_VALUE"""),"")</f>
        <v/>
      </c>
      <c r="B7441" s="87"/>
      <c r="C7441" s="87"/>
      <c r="D7441" s="87"/>
      <c r="E7441" s="87"/>
      <c r="F7441" s="87"/>
      <c r="G7441" s="87"/>
    </row>
    <row r="7442">
      <c r="A7442" s="86" t="str">
        <f>IFERROR(__xludf.DUMMYFUNCTION("""COMPUTED_VALUE"""),"")</f>
        <v/>
      </c>
      <c r="B7442" s="87"/>
      <c r="C7442" s="87"/>
      <c r="D7442" s="87"/>
      <c r="E7442" s="87"/>
      <c r="F7442" s="87"/>
      <c r="G7442" s="87"/>
    </row>
    <row r="7443">
      <c r="A7443" s="86" t="str">
        <f>IFERROR(__xludf.DUMMYFUNCTION("""COMPUTED_VALUE"""),"")</f>
        <v/>
      </c>
      <c r="B7443" s="87"/>
      <c r="C7443" s="87"/>
      <c r="D7443" s="87"/>
      <c r="E7443" s="87"/>
      <c r="F7443" s="87"/>
      <c r="G7443" s="87"/>
    </row>
    <row r="7444">
      <c r="A7444" s="86" t="str">
        <f>IFERROR(__xludf.DUMMYFUNCTION("""COMPUTED_VALUE"""),"")</f>
        <v/>
      </c>
      <c r="B7444" s="87"/>
      <c r="C7444" s="87"/>
      <c r="D7444" s="87"/>
      <c r="E7444" s="87"/>
      <c r="F7444" s="87"/>
      <c r="G7444" s="87"/>
    </row>
    <row r="7445">
      <c r="A7445" s="86" t="str">
        <f>IFERROR(__xludf.DUMMYFUNCTION("""COMPUTED_VALUE"""),"")</f>
        <v/>
      </c>
      <c r="B7445" s="87"/>
      <c r="C7445" s="87"/>
      <c r="D7445" s="87"/>
      <c r="E7445" s="87"/>
      <c r="F7445" s="87"/>
      <c r="G7445" s="87"/>
    </row>
    <row r="7446">
      <c r="A7446" s="86" t="str">
        <f>IFERROR(__xludf.DUMMYFUNCTION("""COMPUTED_VALUE"""),"")</f>
        <v/>
      </c>
      <c r="B7446" s="87"/>
      <c r="C7446" s="87"/>
      <c r="D7446" s="87"/>
      <c r="E7446" s="87"/>
      <c r="F7446" s="87"/>
      <c r="G7446" s="87"/>
    </row>
    <row r="7447">
      <c r="A7447" s="86" t="str">
        <f>IFERROR(__xludf.DUMMYFUNCTION("""COMPUTED_VALUE"""),"")</f>
        <v/>
      </c>
      <c r="B7447" s="87"/>
      <c r="C7447" s="87"/>
      <c r="D7447" s="87"/>
      <c r="E7447" s="87"/>
      <c r="F7447" s="87"/>
      <c r="G7447" s="87"/>
    </row>
    <row r="7448">
      <c r="A7448" s="86" t="str">
        <f>IFERROR(__xludf.DUMMYFUNCTION("""COMPUTED_VALUE"""),"")</f>
        <v/>
      </c>
      <c r="B7448" s="87"/>
      <c r="C7448" s="87"/>
      <c r="D7448" s="87"/>
      <c r="E7448" s="87"/>
      <c r="F7448" s="87"/>
      <c r="G7448" s="87"/>
    </row>
    <row r="7449">
      <c r="A7449" s="86" t="str">
        <f>IFERROR(__xludf.DUMMYFUNCTION("""COMPUTED_VALUE"""),"")</f>
        <v/>
      </c>
      <c r="B7449" s="87"/>
      <c r="C7449" s="87"/>
      <c r="D7449" s="87"/>
      <c r="E7449" s="87"/>
      <c r="F7449" s="87"/>
      <c r="G7449" s="87"/>
    </row>
    <row r="7450">
      <c r="A7450" s="86" t="str">
        <f>IFERROR(__xludf.DUMMYFUNCTION("""COMPUTED_VALUE"""),"")</f>
        <v/>
      </c>
      <c r="B7450" s="87"/>
      <c r="C7450" s="87"/>
      <c r="D7450" s="87"/>
      <c r="E7450" s="87"/>
      <c r="F7450" s="87"/>
      <c r="G7450" s="87"/>
    </row>
    <row r="7451">
      <c r="A7451" s="86" t="str">
        <f>IFERROR(__xludf.DUMMYFUNCTION("""COMPUTED_VALUE"""),"")</f>
        <v/>
      </c>
      <c r="B7451" s="87"/>
      <c r="C7451" s="87"/>
      <c r="D7451" s="87"/>
      <c r="E7451" s="87"/>
      <c r="F7451" s="87"/>
      <c r="G7451" s="87"/>
    </row>
    <row r="7452">
      <c r="A7452" s="86" t="str">
        <f>IFERROR(__xludf.DUMMYFUNCTION("""COMPUTED_VALUE"""),"")</f>
        <v/>
      </c>
      <c r="B7452" s="87"/>
      <c r="C7452" s="87"/>
      <c r="D7452" s="87"/>
      <c r="E7452" s="87"/>
      <c r="F7452" s="87"/>
      <c r="G7452" s="87"/>
    </row>
    <row r="7453">
      <c r="A7453" s="86" t="str">
        <f>IFERROR(__xludf.DUMMYFUNCTION("""COMPUTED_VALUE"""),"")</f>
        <v/>
      </c>
      <c r="B7453" s="87"/>
      <c r="C7453" s="87"/>
      <c r="D7453" s="87"/>
      <c r="E7453" s="87"/>
      <c r="F7453" s="87"/>
      <c r="G7453" s="87"/>
    </row>
    <row r="7454">
      <c r="A7454" s="86" t="str">
        <f>IFERROR(__xludf.DUMMYFUNCTION("""COMPUTED_VALUE"""),"")</f>
        <v/>
      </c>
      <c r="B7454" s="87"/>
      <c r="C7454" s="87"/>
      <c r="D7454" s="87"/>
      <c r="E7454" s="87"/>
      <c r="F7454" s="87"/>
      <c r="G7454" s="87"/>
    </row>
    <row r="7455">
      <c r="A7455" s="86" t="str">
        <f>IFERROR(__xludf.DUMMYFUNCTION("""COMPUTED_VALUE"""),"")</f>
        <v/>
      </c>
      <c r="B7455" s="87"/>
      <c r="C7455" s="87"/>
      <c r="D7455" s="87"/>
      <c r="E7455" s="87"/>
      <c r="F7455" s="87"/>
      <c r="G7455" s="87"/>
    </row>
    <row r="7456">
      <c r="A7456" s="86" t="str">
        <f>IFERROR(__xludf.DUMMYFUNCTION("""COMPUTED_VALUE"""),"")</f>
        <v/>
      </c>
      <c r="B7456" s="87"/>
      <c r="C7456" s="87"/>
      <c r="D7456" s="87"/>
      <c r="E7456" s="87"/>
      <c r="F7456" s="87"/>
      <c r="G7456" s="87"/>
    </row>
    <row r="7457">
      <c r="A7457" s="86" t="str">
        <f>IFERROR(__xludf.DUMMYFUNCTION("""COMPUTED_VALUE"""),"")</f>
        <v/>
      </c>
      <c r="B7457" s="87"/>
      <c r="C7457" s="87"/>
      <c r="D7457" s="87"/>
      <c r="E7457" s="87"/>
      <c r="F7457" s="87"/>
      <c r="G7457" s="87"/>
    </row>
    <row r="7458">
      <c r="A7458" s="86" t="str">
        <f>IFERROR(__xludf.DUMMYFUNCTION("""COMPUTED_VALUE"""),"")</f>
        <v/>
      </c>
      <c r="B7458" s="87"/>
      <c r="C7458" s="87"/>
      <c r="D7458" s="87"/>
      <c r="E7458" s="87"/>
      <c r="F7458" s="87"/>
      <c r="G7458" s="87"/>
    </row>
    <row r="7459">
      <c r="A7459" s="86" t="str">
        <f>IFERROR(__xludf.DUMMYFUNCTION("""COMPUTED_VALUE"""),"")</f>
        <v/>
      </c>
      <c r="B7459" s="87"/>
      <c r="C7459" s="87"/>
      <c r="D7459" s="87"/>
      <c r="E7459" s="87"/>
      <c r="F7459" s="87"/>
      <c r="G7459" s="87"/>
    </row>
    <row r="7460">
      <c r="A7460" s="86" t="str">
        <f>IFERROR(__xludf.DUMMYFUNCTION("""COMPUTED_VALUE"""),"")</f>
        <v/>
      </c>
      <c r="B7460" s="87"/>
      <c r="C7460" s="87"/>
      <c r="D7460" s="87"/>
      <c r="E7460" s="87"/>
      <c r="F7460" s="87"/>
      <c r="G7460" s="87"/>
    </row>
    <row r="7461">
      <c r="A7461" s="86" t="str">
        <f>IFERROR(__xludf.DUMMYFUNCTION("""COMPUTED_VALUE"""),"")</f>
        <v/>
      </c>
      <c r="B7461" s="87"/>
      <c r="C7461" s="87"/>
      <c r="D7461" s="87"/>
      <c r="E7461" s="87"/>
      <c r="F7461" s="87"/>
      <c r="G7461" s="87"/>
    </row>
    <row r="7462">
      <c r="A7462" s="86" t="str">
        <f>IFERROR(__xludf.DUMMYFUNCTION("""COMPUTED_VALUE"""),"")</f>
        <v/>
      </c>
      <c r="B7462" s="87"/>
      <c r="C7462" s="87"/>
      <c r="D7462" s="87"/>
      <c r="E7462" s="87"/>
      <c r="F7462" s="87"/>
      <c r="G7462" s="87"/>
    </row>
    <row r="7463">
      <c r="A7463" s="86" t="str">
        <f>IFERROR(__xludf.DUMMYFUNCTION("""COMPUTED_VALUE"""),"")</f>
        <v/>
      </c>
      <c r="B7463" s="87"/>
      <c r="C7463" s="87"/>
      <c r="D7463" s="87"/>
      <c r="E7463" s="87"/>
      <c r="F7463" s="87"/>
      <c r="G7463" s="87"/>
    </row>
    <row r="7464">
      <c r="A7464" s="86" t="str">
        <f>IFERROR(__xludf.DUMMYFUNCTION("""COMPUTED_VALUE"""),"")</f>
        <v/>
      </c>
      <c r="B7464" s="87"/>
      <c r="C7464" s="87"/>
      <c r="D7464" s="87"/>
      <c r="E7464" s="87"/>
      <c r="F7464" s="87"/>
      <c r="G7464" s="87"/>
    </row>
    <row r="7465">
      <c r="A7465" s="86" t="str">
        <f>IFERROR(__xludf.DUMMYFUNCTION("""COMPUTED_VALUE"""),"")</f>
        <v/>
      </c>
      <c r="B7465" s="87"/>
      <c r="C7465" s="87"/>
      <c r="D7465" s="87"/>
      <c r="E7465" s="87"/>
      <c r="F7465" s="87"/>
      <c r="G7465" s="87"/>
    </row>
    <row r="7466">
      <c r="A7466" s="86" t="str">
        <f>IFERROR(__xludf.DUMMYFUNCTION("""COMPUTED_VALUE"""),"")</f>
        <v/>
      </c>
      <c r="B7466" s="87"/>
      <c r="C7466" s="87"/>
      <c r="D7466" s="87"/>
      <c r="E7466" s="87"/>
      <c r="F7466" s="87"/>
      <c r="G7466" s="87"/>
    </row>
    <row r="7467">
      <c r="A7467" s="86" t="str">
        <f>IFERROR(__xludf.DUMMYFUNCTION("""COMPUTED_VALUE"""),"")</f>
        <v/>
      </c>
      <c r="B7467" s="87"/>
      <c r="C7467" s="87"/>
      <c r="D7467" s="87"/>
      <c r="E7467" s="87"/>
      <c r="F7467" s="87"/>
      <c r="G7467" s="87"/>
    </row>
    <row r="7468">
      <c r="A7468" s="86" t="str">
        <f>IFERROR(__xludf.DUMMYFUNCTION("""COMPUTED_VALUE"""),"")</f>
        <v/>
      </c>
      <c r="B7468" s="87"/>
      <c r="C7468" s="87"/>
      <c r="D7468" s="87"/>
      <c r="E7468" s="87"/>
      <c r="F7468" s="87"/>
      <c r="G7468" s="87"/>
    </row>
    <row r="7469">
      <c r="A7469" s="86" t="str">
        <f>IFERROR(__xludf.DUMMYFUNCTION("""COMPUTED_VALUE"""),"")</f>
        <v/>
      </c>
      <c r="B7469" s="87"/>
      <c r="C7469" s="87"/>
      <c r="D7469" s="87"/>
      <c r="E7469" s="87"/>
      <c r="F7469" s="87"/>
      <c r="G7469" s="87"/>
    </row>
    <row r="7470">
      <c r="A7470" s="86" t="str">
        <f>IFERROR(__xludf.DUMMYFUNCTION("""COMPUTED_VALUE"""),"")</f>
        <v/>
      </c>
      <c r="B7470" s="87"/>
      <c r="C7470" s="87"/>
      <c r="D7470" s="87"/>
      <c r="E7470" s="87"/>
      <c r="F7470" s="87"/>
      <c r="G7470" s="87"/>
    </row>
    <row r="7471">
      <c r="A7471" s="86" t="str">
        <f>IFERROR(__xludf.DUMMYFUNCTION("""COMPUTED_VALUE"""),"")</f>
        <v/>
      </c>
      <c r="B7471" s="87"/>
      <c r="C7471" s="87"/>
      <c r="D7471" s="87"/>
      <c r="E7471" s="87"/>
      <c r="F7471" s="87"/>
      <c r="G7471" s="87"/>
    </row>
    <row r="7472">
      <c r="A7472" s="86" t="str">
        <f>IFERROR(__xludf.DUMMYFUNCTION("""COMPUTED_VALUE"""),"")</f>
        <v/>
      </c>
      <c r="B7472" s="87"/>
      <c r="C7472" s="87"/>
      <c r="D7472" s="87"/>
      <c r="E7472" s="87"/>
      <c r="F7472" s="87"/>
      <c r="G7472" s="87"/>
    </row>
    <row r="7473">
      <c r="A7473" s="86" t="str">
        <f>IFERROR(__xludf.DUMMYFUNCTION("""COMPUTED_VALUE"""),"")</f>
        <v/>
      </c>
      <c r="B7473" s="87"/>
      <c r="C7473" s="87"/>
      <c r="D7473" s="87"/>
      <c r="E7473" s="87"/>
      <c r="F7473" s="87"/>
      <c r="G7473" s="87"/>
    </row>
    <row r="7474">
      <c r="A7474" s="86" t="str">
        <f>IFERROR(__xludf.DUMMYFUNCTION("""COMPUTED_VALUE"""),"")</f>
        <v/>
      </c>
      <c r="B7474" s="87"/>
      <c r="C7474" s="87"/>
      <c r="D7474" s="87"/>
      <c r="E7474" s="87"/>
      <c r="F7474" s="87"/>
      <c r="G7474" s="87"/>
    </row>
    <row r="7475">
      <c r="A7475" s="86" t="str">
        <f>IFERROR(__xludf.DUMMYFUNCTION("""COMPUTED_VALUE"""),"")</f>
        <v/>
      </c>
      <c r="B7475" s="87"/>
      <c r="C7475" s="87"/>
      <c r="D7475" s="87"/>
      <c r="E7475" s="87"/>
      <c r="F7475" s="87"/>
      <c r="G7475" s="87"/>
    </row>
    <row r="7476">
      <c r="A7476" s="86" t="str">
        <f>IFERROR(__xludf.DUMMYFUNCTION("""COMPUTED_VALUE"""),"")</f>
        <v/>
      </c>
      <c r="B7476" s="87"/>
      <c r="C7476" s="87"/>
      <c r="D7476" s="87"/>
      <c r="E7476" s="87"/>
      <c r="F7476" s="87"/>
      <c r="G7476" s="87"/>
    </row>
    <row r="7477">
      <c r="A7477" s="86" t="str">
        <f>IFERROR(__xludf.DUMMYFUNCTION("""COMPUTED_VALUE"""),"")</f>
        <v/>
      </c>
      <c r="B7477" s="87"/>
      <c r="C7477" s="87"/>
      <c r="D7477" s="87"/>
      <c r="E7477" s="87"/>
      <c r="F7477" s="87"/>
      <c r="G7477" s="87"/>
    </row>
    <row r="7478">
      <c r="A7478" s="86" t="str">
        <f>IFERROR(__xludf.DUMMYFUNCTION("""COMPUTED_VALUE"""),"")</f>
        <v/>
      </c>
      <c r="B7478" s="87"/>
      <c r="C7478" s="87"/>
      <c r="D7478" s="87"/>
      <c r="E7478" s="87"/>
      <c r="F7478" s="87"/>
      <c r="G7478" s="87"/>
    </row>
    <row r="7479">
      <c r="A7479" s="86" t="str">
        <f>IFERROR(__xludf.DUMMYFUNCTION("""COMPUTED_VALUE"""),"")</f>
        <v/>
      </c>
      <c r="B7479" s="87"/>
      <c r="C7479" s="87"/>
      <c r="D7479" s="87"/>
      <c r="E7479" s="87"/>
      <c r="F7479" s="87"/>
      <c r="G7479" s="87"/>
    </row>
    <row r="7480">
      <c r="A7480" s="86" t="str">
        <f>IFERROR(__xludf.DUMMYFUNCTION("""COMPUTED_VALUE"""),"")</f>
        <v/>
      </c>
      <c r="B7480" s="87"/>
      <c r="C7480" s="87"/>
      <c r="D7480" s="87"/>
      <c r="E7480" s="87"/>
      <c r="F7480" s="87"/>
      <c r="G7480" s="87"/>
    </row>
    <row r="7481">
      <c r="A7481" s="86" t="str">
        <f>IFERROR(__xludf.DUMMYFUNCTION("""COMPUTED_VALUE"""),"")</f>
        <v/>
      </c>
      <c r="B7481" s="87"/>
      <c r="C7481" s="87"/>
      <c r="D7481" s="87"/>
      <c r="E7481" s="87"/>
      <c r="F7481" s="87"/>
      <c r="G7481" s="87"/>
    </row>
    <row r="7482">
      <c r="A7482" s="86" t="str">
        <f>IFERROR(__xludf.DUMMYFUNCTION("""COMPUTED_VALUE"""),"")</f>
        <v/>
      </c>
      <c r="B7482" s="87"/>
      <c r="C7482" s="87"/>
      <c r="D7482" s="87"/>
      <c r="E7482" s="87"/>
      <c r="F7482" s="87"/>
      <c r="G7482" s="87"/>
    </row>
    <row r="7483">
      <c r="A7483" s="86" t="str">
        <f>IFERROR(__xludf.DUMMYFUNCTION("""COMPUTED_VALUE"""),"")</f>
        <v/>
      </c>
      <c r="B7483" s="87"/>
      <c r="C7483" s="87"/>
      <c r="D7483" s="87"/>
      <c r="E7483" s="87"/>
      <c r="F7483" s="87"/>
      <c r="G7483" s="87"/>
    </row>
    <row r="7484">
      <c r="A7484" s="86" t="str">
        <f>IFERROR(__xludf.DUMMYFUNCTION("""COMPUTED_VALUE"""),"")</f>
        <v/>
      </c>
      <c r="B7484" s="87"/>
      <c r="C7484" s="87"/>
      <c r="D7484" s="87"/>
      <c r="E7484" s="87"/>
      <c r="F7484" s="87"/>
      <c r="G7484" s="87"/>
    </row>
    <row r="7485">
      <c r="A7485" s="86" t="str">
        <f>IFERROR(__xludf.DUMMYFUNCTION("""COMPUTED_VALUE"""),"")</f>
        <v/>
      </c>
      <c r="B7485" s="87"/>
      <c r="C7485" s="87"/>
      <c r="D7485" s="87"/>
      <c r="E7485" s="87"/>
      <c r="F7485" s="87"/>
      <c r="G7485" s="87"/>
    </row>
    <row r="7486">
      <c r="A7486" s="86" t="str">
        <f>IFERROR(__xludf.DUMMYFUNCTION("""COMPUTED_VALUE"""),"")</f>
        <v/>
      </c>
      <c r="B7486" s="87"/>
      <c r="C7486" s="87"/>
      <c r="D7486" s="87"/>
      <c r="E7486" s="87"/>
      <c r="F7486" s="87"/>
      <c r="G7486" s="87"/>
    </row>
    <row r="7487">
      <c r="A7487" s="86" t="str">
        <f>IFERROR(__xludf.DUMMYFUNCTION("""COMPUTED_VALUE"""),"")</f>
        <v/>
      </c>
      <c r="B7487" s="87"/>
      <c r="C7487" s="87"/>
      <c r="D7487" s="87"/>
      <c r="E7487" s="87"/>
      <c r="F7487" s="87"/>
      <c r="G7487" s="87"/>
    </row>
    <row r="7488">
      <c r="A7488" s="86" t="str">
        <f>IFERROR(__xludf.DUMMYFUNCTION("""COMPUTED_VALUE"""),"")</f>
        <v/>
      </c>
      <c r="B7488" s="87"/>
      <c r="C7488" s="87"/>
      <c r="D7488" s="87"/>
      <c r="E7488" s="87"/>
      <c r="F7488" s="87"/>
      <c r="G7488" s="87"/>
    </row>
    <row r="7489">
      <c r="A7489" s="86" t="str">
        <f>IFERROR(__xludf.DUMMYFUNCTION("""COMPUTED_VALUE"""),"")</f>
        <v/>
      </c>
      <c r="B7489" s="87"/>
      <c r="C7489" s="87"/>
      <c r="D7489" s="87"/>
      <c r="E7489" s="87"/>
      <c r="F7489" s="87"/>
      <c r="G7489" s="87"/>
    </row>
    <row r="7490">
      <c r="A7490" s="86" t="str">
        <f>IFERROR(__xludf.DUMMYFUNCTION("""COMPUTED_VALUE"""),"")</f>
        <v/>
      </c>
      <c r="B7490" s="87"/>
      <c r="C7490" s="87"/>
      <c r="D7490" s="87"/>
      <c r="E7490" s="87"/>
      <c r="F7490" s="87"/>
      <c r="G7490" s="87"/>
    </row>
    <row r="7491">
      <c r="A7491" s="86" t="str">
        <f>IFERROR(__xludf.DUMMYFUNCTION("""COMPUTED_VALUE"""),"")</f>
        <v/>
      </c>
      <c r="B7491" s="87"/>
      <c r="C7491" s="87"/>
      <c r="D7491" s="87"/>
      <c r="E7491" s="87"/>
      <c r="F7491" s="87"/>
      <c r="G7491" s="87"/>
    </row>
    <row r="7492">
      <c r="A7492" s="86" t="str">
        <f>IFERROR(__xludf.DUMMYFUNCTION("""COMPUTED_VALUE"""),"")</f>
        <v/>
      </c>
      <c r="B7492" s="87"/>
      <c r="C7492" s="87"/>
      <c r="D7492" s="87"/>
      <c r="E7492" s="87"/>
      <c r="F7492" s="87"/>
      <c r="G7492" s="87"/>
    </row>
    <row r="7493">
      <c r="A7493" s="86" t="str">
        <f>IFERROR(__xludf.DUMMYFUNCTION("""COMPUTED_VALUE"""),"")</f>
        <v/>
      </c>
      <c r="B7493" s="87"/>
      <c r="C7493" s="87"/>
      <c r="D7493" s="87"/>
      <c r="E7493" s="87"/>
      <c r="F7493" s="87"/>
      <c r="G7493" s="87"/>
    </row>
    <row r="7494">
      <c r="A7494" s="86" t="str">
        <f>IFERROR(__xludf.DUMMYFUNCTION("""COMPUTED_VALUE"""),"")</f>
        <v/>
      </c>
      <c r="B7494" s="87"/>
      <c r="C7494" s="87"/>
      <c r="D7494" s="87"/>
      <c r="E7494" s="87"/>
      <c r="F7494" s="87"/>
      <c r="G7494" s="87"/>
    </row>
    <row r="7495">
      <c r="A7495" s="86" t="str">
        <f>IFERROR(__xludf.DUMMYFUNCTION("""COMPUTED_VALUE"""),"")</f>
        <v/>
      </c>
      <c r="B7495" s="87"/>
      <c r="C7495" s="87"/>
      <c r="D7495" s="87"/>
      <c r="E7495" s="87"/>
      <c r="F7495" s="87"/>
      <c r="G7495" s="87"/>
    </row>
    <row r="7496">
      <c r="A7496" s="86" t="str">
        <f>IFERROR(__xludf.DUMMYFUNCTION("""COMPUTED_VALUE"""),"")</f>
        <v/>
      </c>
      <c r="B7496" s="87"/>
      <c r="C7496" s="87"/>
      <c r="D7496" s="87"/>
      <c r="E7496" s="87"/>
      <c r="F7496" s="87"/>
      <c r="G7496" s="87"/>
    </row>
    <row r="7497">
      <c r="A7497" s="86" t="str">
        <f>IFERROR(__xludf.DUMMYFUNCTION("""COMPUTED_VALUE"""),"")</f>
        <v/>
      </c>
      <c r="B7497" s="87"/>
      <c r="C7497" s="87"/>
      <c r="D7497" s="87"/>
      <c r="E7497" s="87"/>
      <c r="F7497" s="87"/>
      <c r="G7497" s="87"/>
    </row>
    <row r="7498">
      <c r="A7498" s="86" t="str">
        <f>IFERROR(__xludf.DUMMYFUNCTION("""COMPUTED_VALUE"""),"")</f>
        <v/>
      </c>
      <c r="B7498" s="87"/>
      <c r="C7498" s="87"/>
      <c r="D7498" s="87"/>
      <c r="E7498" s="87"/>
      <c r="F7498" s="87"/>
      <c r="G7498" s="87"/>
    </row>
    <row r="7499">
      <c r="A7499" s="86" t="str">
        <f>IFERROR(__xludf.DUMMYFUNCTION("""COMPUTED_VALUE"""),"")</f>
        <v/>
      </c>
      <c r="B7499" s="87"/>
      <c r="C7499" s="87"/>
      <c r="D7499" s="87"/>
      <c r="E7499" s="87"/>
      <c r="F7499" s="87"/>
      <c r="G7499" s="87"/>
    </row>
    <row r="7500">
      <c r="A7500" s="86" t="str">
        <f>IFERROR(__xludf.DUMMYFUNCTION("""COMPUTED_VALUE"""),"")</f>
        <v/>
      </c>
      <c r="B7500" s="87"/>
      <c r="C7500" s="87"/>
      <c r="D7500" s="87"/>
      <c r="E7500" s="87"/>
      <c r="F7500" s="87"/>
      <c r="G7500" s="87"/>
    </row>
    <row r="7501">
      <c r="A7501" s="86" t="str">
        <f>IFERROR(__xludf.DUMMYFUNCTION("""COMPUTED_VALUE"""),"")</f>
        <v/>
      </c>
      <c r="B7501" s="87"/>
      <c r="C7501" s="87"/>
      <c r="D7501" s="87"/>
      <c r="E7501" s="87"/>
      <c r="F7501" s="87"/>
      <c r="G7501" s="87"/>
    </row>
    <row r="7502">
      <c r="A7502" s="86" t="str">
        <f>IFERROR(__xludf.DUMMYFUNCTION("""COMPUTED_VALUE"""),"")</f>
        <v/>
      </c>
      <c r="B7502" s="87"/>
      <c r="C7502" s="87"/>
      <c r="D7502" s="87"/>
      <c r="E7502" s="87"/>
      <c r="F7502" s="87"/>
      <c r="G7502" s="87"/>
    </row>
    <row r="7503">
      <c r="A7503" s="86" t="str">
        <f>IFERROR(__xludf.DUMMYFUNCTION("""COMPUTED_VALUE"""),"")</f>
        <v/>
      </c>
      <c r="B7503" s="87"/>
      <c r="C7503" s="87"/>
      <c r="D7503" s="87"/>
      <c r="E7503" s="87"/>
      <c r="F7503" s="87"/>
      <c r="G7503" s="87"/>
    </row>
    <row r="7504">
      <c r="A7504" s="86" t="str">
        <f>IFERROR(__xludf.DUMMYFUNCTION("""COMPUTED_VALUE"""),"")</f>
        <v/>
      </c>
      <c r="B7504" s="87"/>
      <c r="C7504" s="87"/>
      <c r="D7504" s="87"/>
      <c r="E7504" s="87"/>
      <c r="F7504" s="87"/>
      <c r="G7504" s="87"/>
    </row>
    <row r="7505">
      <c r="A7505" s="86" t="str">
        <f>IFERROR(__xludf.DUMMYFUNCTION("""COMPUTED_VALUE"""),"")</f>
        <v/>
      </c>
      <c r="B7505" s="87"/>
      <c r="C7505" s="87"/>
      <c r="D7505" s="87"/>
      <c r="E7505" s="87"/>
      <c r="F7505" s="87"/>
      <c r="G7505" s="87"/>
    </row>
    <row r="7506">
      <c r="A7506" s="86" t="str">
        <f>IFERROR(__xludf.DUMMYFUNCTION("""COMPUTED_VALUE"""),"")</f>
        <v/>
      </c>
      <c r="B7506" s="87"/>
      <c r="C7506" s="87"/>
      <c r="D7506" s="87"/>
      <c r="E7506" s="87"/>
      <c r="F7506" s="87"/>
      <c r="G7506" s="87"/>
    </row>
    <row r="7507">
      <c r="A7507" s="86" t="str">
        <f>IFERROR(__xludf.DUMMYFUNCTION("""COMPUTED_VALUE"""),"")</f>
        <v/>
      </c>
      <c r="B7507" s="87"/>
      <c r="C7507" s="87"/>
      <c r="D7507" s="87"/>
      <c r="E7507" s="87"/>
      <c r="F7507" s="87"/>
      <c r="G7507" s="87"/>
    </row>
    <row r="7508">
      <c r="A7508" s="86" t="str">
        <f>IFERROR(__xludf.DUMMYFUNCTION("""COMPUTED_VALUE"""),"")</f>
        <v/>
      </c>
      <c r="B7508" s="87"/>
      <c r="C7508" s="87"/>
      <c r="D7508" s="87"/>
      <c r="E7508" s="87"/>
      <c r="F7508" s="87"/>
      <c r="G7508" s="87"/>
    </row>
    <row r="7509">
      <c r="A7509" s="86" t="str">
        <f>IFERROR(__xludf.DUMMYFUNCTION("""COMPUTED_VALUE"""),"")</f>
        <v/>
      </c>
      <c r="B7509" s="87"/>
      <c r="C7509" s="87"/>
      <c r="D7509" s="87"/>
      <c r="E7509" s="87"/>
      <c r="F7509" s="87"/>
      <c r="G7509" s="87"/>
    </row>
    <row r="7510">
      <c r="A7510" s="86" t="str">
        <f>IFERROR(__xludf.DUMMYFUNCTION("""COMPUTED_VALUE"""),"")</f>
        <v/>
      </c>
      <c r="B7510" s="87"/>
      <c r="C7510" s="87"/>
      <c r="D7510" s="87"/>
      <c r="E7510" s="87"/>
      <c r="F7510" s="87"/>
      <c r="G7510" s="87"/>
    </row>
    <row r="7511">
      <c r="A7511" s="86" t="str">
        <f>IFERROR(__xludf.DUMMYFUNCTION("""COMPUTED_VALUE"""),"")</f>
        <v/>
      </c>
      <c r="B7511" s="87"/>
      <c r="C7511" s="87"/>
      <c r="D7511" s="87"/>
      <c r="E7511" s="87"/>
      <c r="F7511" s="87"/>
      <c r="G7511" s="87"/>
    </row>
    <row r="7512">
      <c r="A7512" s="86" t="str">
        <f>IFERROR(__xludf.DUMMYFUNCTION("""COMPUTED_VALUE"""),"")</f>
        <v/>
      </c>
      <c r="B7512" s="87"/>
      <c r="C7512" s="87"/>
      <c r="D7512" s="87"/>
      <c r="E7512" s="87"/>
      <c r="F7512" s="87"/>
      <c r="G7512" s="87"/>
    </row>
    <row r="7513">
      <c r="A7513" s="86" t="str">
        <f>IFERROR(__xludf.DUMMYFUNCTION("""COMPUTED_VALUE"""),"")</f>
        <v/>
      </c>
      <c r="B7513" s="87"/>
      <c r="C7513" s="87"/>
      <c r="D7513" s="87"/>
      <c r="E7513" s="87"/>
      <c r="F7513" s="87"/>
      <c r="G7513" s="87"/>
    </row>
    <row r="7514">
      <c r="A7514" s="86" t="str">
        <f>IFERROR(__xludf.DUMMYFUNCTION("""COMPUTED_VALUE"""),"")</f>
        <v/>
      </c>
      <c r="B7514" s="87"/>
      <c r="C7514" s="87"/>
      <c r="D7514" s="87"/>
      <c r="E7514" s="87"/>
      <c r="F7514" s="87"/>
      <c r="G7514" s="87"/>
    </row>
    <row r="7515">
      <c r="A7515" s="86" t="str">
        <f>IFERROR(__xludf.DUMMYFUNCTION("""COMPUTED_VALUE"""),"")</f>
        <v/>
      </c>
      <c r="B7515" s="87"/>
      <c r="C7515" s="87"/>
      <c r="D7515" s="87"/>
      <c r="E7515" s="87"/>
      <c r="F7515" s="87"/>
      <c r="G7515" s="87"/>
    </row>
    <row r="7516">
      <c r="A7516" s="86" t="str">
        <f>IFERROR(__xludf.DUMMYFUNCTION("""COMPUTED_VALUE"""),"")</f>
        <v/>
      </c>
      <c r="B7516" s="87"/>
      <c r="C7516" s="87"/>
      <c r="D7516" s="87"/>
      <c r="E7516" s="87"/>
      <c r="F7516" s="87"/>
      <c r="G7516" s="87"/>
    </row>
    <row r="7517">
      <c r="A7517" s="86" t="str">
        <f>IFERROR(__xludf.DUMMYFUNCTION("""COMPUTED_VALUE"""),"")</f>
        <v/>
      </c>
      <c r="B7517" s="87"/>
      <c r="C7517" s="87"/>
      <c r="D7517" s="87"/>
      <c r="E7517" s="87"/>
      <c r="F7517" s="87"/>
      <c r="G7517" s="87"/>
    </row>
    <row r="7518">
      <c r="A7518" s="86" t="str">
        <f>IFERROR(__xludf.DUMMYFUNCTION("""COMPUTED_VALUE"""),"")</f>
        <v/>
      </c>
      <c r="B7518" s="87"/>
      <c r="C7518" s="87"/>
      <c r="D7518" s="87"/>
      <c r="E7518" s="87"/>
      <c r="F7518" s="87"/>
      <c r="G7518" s="87"/>
    </row>
    <row r="7519">
      <c r="A7519" s="86" t="str">
        <f>IFERROR(__xludf.DUMMYFUNCTION("""COMPUTED_VALUE"""),"")</f>
        <v/>
      </c>
      <c r="B7519" s="87"/>
      <c r="C7519" s="87"/>
      <c r="D7519" s="87"/>
      <c r="E7519" s="87"/>
      <c r="F7519" s="87"/>
      <c r="G7519" s="87"/>
    </row>
    <row r="7520">
      <c r="A7520" s="86" t="str">
        <f>IFERROR(__xludf.DUMMYFUNCTION("""COMPUTED_VALUE"""),"")</f>
        <v/>
      </c>
      <c r="B7520" s="87"/>
      <c r="C7520" s="87"/>
      <c r="D7520" s="87"/>
      <c r="E7520" s="87"/>
      <c r="F7520" s="87"/>
      <c r="G7520" s="87"/>
    </row>
    <row r="7521">
      <c r="A7521" s="86" t="str">
        <f>IFERROR(__xludf.DUMMYFUNCTION("""COMPUTED_VALUE"""),"")</f>
        <v/>
      </c>
      <c r="B7521" s="87"/>
      <c r="C7521" s="87"/>
      <c r="D7521" s="87"/>
      <c r="E7521" s="87"/>
      <c r="F7521" s="87"/>
      <c r="G7521" s="87"/>
    </row>
    <row r="7522">
      <c r="A7522" s="86" t="str">
        <f>IFERROR(__xludf.DUMMYFUNCTION("""COMPUTED_VALUE"""),"")</f>
        <v/>
      </c>
      <c r="B7522" s="87"/>
      <c r="C7522" s="87"/>
      <c r="D7522" s="87"/>
      <c r="E7522" s="87"/>
      <c r="F7522" s="87"/>
      <c r="G7522" s="87"/>
    </row>
    <row r="7523">
      <c r="A7523" s="86" t="str">
        <f>IFERROR(__xludf.DUMMYFUNCTION("""COMPUTED_VALUE"""),"")</f>
        <v/>
      </c>
      <c r="B7523" s="87"/>
      <c r="C7523" s="87"/>
      <c r="D7523" s="87"/>
      <c r="E7523" s="87"/>
      <c r="F7523" s="87"/>
      <c r="G7523" s="87"/>
    </row>
    <row r="7524">
      <c r="A7524" s="86" t="str">
        <f>IFERROR(__xludf.DUMMYFUNCTION("""COMPUTED_VALUE"""),"")</f>
        <v/>
      </c>
      <c r="B7524" s="87"/>
      <c r="C7524" s="87"/>
      <c r="D7524" s="87"/>
      <c r="E7524" s="87"/>
      <c r="F7524" s="87"/>
      <c r="G7524" s="87"/>
    </row>
    <row r="7525">
      <c r="A7525" s="86" t="str">
        <f>IFERROR(__xludf.DUMMYFUNCTION("""COMPUTED_VALUE"""),"")</f>
        <v/>
      </c>
      <c r="B7525" s="87"/>
      <c r="C7525" s="87"/>
      <c r="D7525" s="87"/>
      <c r="E7525" s="87"/>
      <c r="F7525" s="87"/>
      <c r="G7525" s="87"/>
    </row>
    <row r="7526">
      <c r="A7526" s="86" t="str">
        <f>IFERROR(__xludf.DUMMYFUNCTION("""COMPUTED_VALUE"""),"")</f>
        <v/>
      </c>
      <c r="B7526" s="87"/>
      <c r="C7526" s="87"/>
      <c r="D7526" s="87"/>
      <c r="E7526" s="87"/>
      <c r="F7526" s="87"/>
      <c r="G7526" s="87"/>
    </row>
    <row r="7527">
      <c r="A7527" s="86" t="str">
        <f>IFERROR(__xludf.DUMMYFUNCTION("""COMPUTED_VALUE"""),"")</f>
        <v/>
      </c>
      <c r="B7527" s="87"/>
      <c r="C7527" s="87"/>
      <c r="D7527" s="87"/>
      <c r="E7527" s="87"/>
      <c r="F7527" s="87"/>
      <c r="G7527" s="87"/>
    </row>
    <row r="7528">
      <c r="A7528" s="86" t="str">
        <f>IFERROR(__xludf.DUMMYFUNCTION("""COMPUTED_VALUE"""),"")</f>
        <v/>
      </c>
      <c r="B7528" s="87"/>
      <c r="C7528" s="87"/>
      <c r="D7528" s="87"/>
      <c r="E7528" s="87"/>
      <c r="F7528" s="87"/>
      <c r="G7528" s="87"/>
    </row>
    <row r="7529">
      <c r="A7529" s="86" t="str">
        <f>IFERROR(__xludf.DUMMYFUNCTION("""COMPUTED_VALUE"""),"")</f>
        <v/>
      </c>
      <c r="B7529" s="87"/>
      <c r="C7529" s="87"/>
      <c r="D7529" s="87"/>
      <c r="E7529" s="87"/>
      <c r="F7529" s="87"/>
      <c r="G7529" s="87"/>
    </row>
    <row r="7530">
      <c r="A7530" s="86" t="str">
        <f>IFERROR(__xludf.DUMMYFUNCTION("""COMPUTED_VALUE"""),"")</f>
        <v/>
      </c>
      <c r="B7530" s="87"/>
      <c r="C7530" s="87"/>
      <c r="D7530" s="87"/>
      <c r="E7530" s="87"/>
      <c r="F7530" s="87"/>
      <c r="G7530" s="87"/>
    </row>
    <row r="7531">
      <c r="A7531" s="86" t="str">
        <f>IFERROR(__xludf.DUMMYFUNCTION("""COMPUTED_VALUE"""),"")</f>
        <v/>
      </c>
      <c r="B7531" s="87"/>
      <c r="C7531" s="87"/>
      <c r="D7531" s="87"/>
      <c r="E7531" s="87"/>
      <c r="F7531" s="87"/>
      <c r="G7531" s="87"/>
    </row>
    <row r="7532">
      <c r="A7532" s="86" t="str">
        <f>IFERROR(__xludf.DUMMYFUNCTION("""COMPUTED_VALUE"""),"")</f>
        <v/>
      </c>
      <c r="B7532" s="87"/>
      <c r="C7532" s="87"/>
      <c r="D7532" s="87"/>
      <c r="E7532" s="87"/>
      <c r="F7532" s="87"/>
      <c r="G7532" s="87"/>
    </row>
    <row r="7533">
      <c r="A7533" s="86" t="str">
        <f>IFERROR(__xludf.DUMMYFUNCTION("""COMPUTED_VALUE"""),"")</f>
        <v/>
      </c>
      <c r="B7533" s="87"/>
      <c r="C7533" s="87"/>
      <c r="D7533" s="87"/>
      <c r="E7533" s="87"/>
      <c r="F7533" s="87"/>
      <c r="G7533" s="87"/>
    </row>
    <row r="7534">
      <c r="A7534" s="86" t="str">
        <f>IFERROR(__xludf.DUMMYFUNCTION("""COMPUTED_VALUE"""),"")</f>
        <v/>
      </c>
      <c r="B7534" s="87"/>
      <c r="C7534" s="87"/>
      <c r="D7534" s="87"/>
      <c r="E7534" s="87"/>
      <c r="F7534" s="87"/>
      <c r="G7534" s="87"/>
    </row>
    <row r="7535">
      <c r="A7535" s="86" t="str">
        <f>IFERROR(__xludf.DUMMYFUNCTION("""COMPUTED_VALUE"""),"")</f>
        <v/>
      </c>
      <c r="B7535" s="87"/>
      <c r="C7535" s="87"/>
      <c r="D7535" s="87"/>
      <c r="E7535" s="87"/>
      <c r="F7535" s="87"/>
      <c r="G7535" s="87"/>
    </row>
    <row r="7536">
      <c r="A7536" s="86" t="str">
        <f>IFERROR(__xludf.DUMMYFUNCTION("""COMPUTED_VALUE"""),"")</f>
        <v/>
      </c>
      <c r="B7536" s="87"/>
      <c r="C7536" s="87"/>
      <c r="D7536" s="87"/>
      <c r="E7536" s="87"/>
      <c r="F7536" s="87"/>
      <c r="G7536" s="87"/>
    </row>
    <row r="7537">
      <c r="A7537" s="86" t="str">
        <f>IFERROR(__xludf.DUMMYFUNCTION("""COMPUTED_VALUE"""),"")</f>
        <v/>
      </c>
      <c r="B7537" s="87"/>
      <c r="C7537" s="87"/>
      <c r="D7537" s="87"/>
      <c r="E7537" s="87"/>
      <c r="F7537" s="87"/>
      <c r="G7537" s="87"/>
    </row>
    <row r="7538">
      <c r="A7538" s="86" t="str">
        <f>IFERROR(__xludf.DUMMYFUNCTION("""COMPUTED_VALUE"""),"")</f>
        <v/>
      </c>
      <c r="B7538" s="87"/>
      <c r="C7538" s="87"/>
      <c r="D7538" s="87"/>
      <c r="E7538" s="87"/>
      <c r="F7538" s="87"/>
      <c r="G7538" s="87"/>
    </row>
    <row r="7539">
      <c r="A7539" s="86" t="str">
        <f>IFERROR(__xludf.DUMMYFUNCTION("""COMPUTED_VALUE"""),"")</f>
        <v/>
      </c>
      <c r="B7539" s="87"/>
      <c r="C7539" s="87"/>
      <c r="D7539" s="87"/>
      <c r="E7539" s="87"/>
      <c r="F7539" s="87"/>
      <c r="G7539" s="87"/>
    </row>
    <row r="7540">
      <c r="A7540" s="86" t="str">
        <f>IFERROR(__xludf.DUMMYFUNCTION("""COMPUTED_VALUE"""),"")</f>
        <v/>
      </c>
      <c r="B7540" s="87"/>
      <c r="C7540" s="87"/>
      <c r="D7540" s="87"/>
      <c r="E7540" s="87"/>
      <c r="F7540" s="87"/>
      <c r="G7540" s="87"/>
    </row>
    <row r="7541">
      <c r="A7541" s="86" t="str">
        <f>IFERROR(__xludf.DUMMYFUNCTION("""COMPUTED_VALUE"""),"")</f>
        <v/>
      </c>
      <c r="B7541" s="87"/>
      <c r="C7541" s="87"/>
      <c r="D7541" s="87"/>
      <c r="E7541" s="87"/>
      <c r="F7541" s="87"/>
      <c r="G7541" s="87"/>
    </row>
    <row r="7542">
      <c r="A7542" s="86" t="str">
        <f>IFERROR(__xludf.DUMMYFUNCTION("""COMPUTED_VALUE"""),"")</f>
        <v/>
      </c>
      <c r="B7542" s="87"/>
      <c r="C7542" s="87"/>
      <c r="D7542" s="87"/>
      <c r="E7542" s="87"/>
      <c r="F7542" s="87"/>
      <c r="G7542" s="87"/>
    </row>
    <row r="7543">
      <c r="A7543" s="86" t="str">
        <f>IFERROR(__xludf.DUMMYFUNCTION("""COMPUTED_VALUE"""),"")</f>
        <v/>
      </c>
      <c r="B7543" s="87"/>
      <c r="C7543" s="87"/>
      <c r="D7543" s="87"/>
      <c r="E7543" s="87"/>
      <c r="F7543" s="87"/>
      <c r="G7543" s="87"/>
    </row>
    <row r="7544">
      <c r="A7544" s="86" t="str">
        <f>IFERROR(__xludf.DUMMYFUNCTION("""COMPUTED_VALUE"""),"")</f>
        <v/>
      </c>
      <c r="B7544" s="87"/>
      <c r="C7544" s="87"/>
      <c r="D7544" s="87"/>
      <c r="E7544" s="87"/>
      <c r="F7544" s="87"/>
      <c r="G7544" s="87"/>
    </row>
    <row r="7545">
      <c r="A7545" s="86" t="str">
        <f>IFERROR(__xludf.DUMMYFUNCTION("""COMPUTED_VALUE"""),"")</f>
        <v/>
      </c>
      <c r="B7545" s="87"/>
      <c r="C7545" s="87"/>
      <c r="D7545" s="87"/>
      <c r="E7545" s="87"/>
      <c r="F7545" s="87"/>
      <c r="G7545" s="87"/>
    </row>
    <row r="7546">
      <c r="A7546" s="86" t="str">
        <f>IFERROR(__xludf.DUMMYFUNCTION("""COMPUTED_VALUE"""),"")</f>
        <v/>
      </c>
      <c r="B7546" s="87"/>
      <c r="C7546" s="87"/>
      <c r="D7546" s="87"/>
      <c r="E7546" s="87"/>
      <c r="F7546" s="87"/>
      <c r="G7546" s="87"/>
    </row>
    <row r="7547">
      <c r="A7547" s="86" t="str">
        <f>IFERROR(__xludf.DUMMYFUNCTION("""COMPUTED_VALUE"""),"")</f>
        <v/>
      </c>
      <c r="B7547" s="87"/>
      <c r="C7547" s="87"/>
      <c r="D7547" s="87"/>
      <c r="E7547" s="87"/>
      <c r="F7547" s="87"/>
      <c r="G7547" s="87"/>
    </row>
    <row r="7548">
      <c r="A7548" s="86" t="str">
        <f>IFERROR(__xludf.DUMMYFUNCTION("""COMPUTED_VALUE"""),"")</f>
        <v/>
      </c>
      <c r="B7548" s="87"/>
      <c r="C7548" s="87"/>
      <c r="D7548" s="87"/>
      <c r="E7548" s="87"/>
      <c r="F7548" s="87"/>
      <c r="G7548" s="87"/>
    </row>
    <row r="7549">
      <c r="A7549" s="86" t="str">
        <f>IFERROR(__xludf.DUMMYFUNCTION("""COMPUTED_VALUE"""),"")</f>
        <v/>
      </c>
      <c r="B7549" s="87"/>
      <c r="C7549" s="87"/>
      <c r="D7549" s="87"/>
      <c r="E7549" s="87"/>
      <c r="F7549" s="87"/>
      <c r="G7549" s="87"/>
    </row>
    <row r="7550">
      <c r="A7550" s="86" t="str">
        <f>IFERROR(__xludf.DUMMYFUNCTION("""COMPUTED_VALUE"""),"")</f>
        <v/>
      </c>
      <c r="B7550" s="87"/>
      <c r="C7550" s="87"/>
      <c r="D7550" s="87"/>
      <c r="E7550" s="87"/>
      <c r="F7550" s="87"/>
      <c r="G7550" s="87"/>
    </row>
    <row r="7551">
      <c r="A7551" s="86" t="str">
        <f>IFERROR(__xludf.DUMMYFUNCTION("""COMPUTED_VALUE"""),"")</f>
        <v/>
      </c>
      <c r="B7551" s="87"/>
      <c r="C7551" s="87"/>
      <c r="D7551" s="87"/>
      <c r="E7551" s="87"/>
      <c r="F7551" s="87"/>
      <c r="G7551" s="87"/>
    </row>
    <row r="7552">
      <c r="A7552" s="86" t="str">
        <f>IFERROR(__xludf.DUMMYFUNCTION("""COMPUTED_VALUE"""),"")</f>
        <v/>
      </c>
      <c r="B7552" s="87"/>
      <c r="C7552" s="87"/>
      <c r="D7552" s="87"/>
      <c r="E7552" s="87"/>
      <c r="F7552" s="87"/>
      <c r="G7552" s="87"/>
    </row>
    <row r="7553">
      <c r="A7553" s="86" t="str">
        <f>IFERROR(__xludf.DUMMYFUNCTION("""COMPUTED_VALUE"""),"")</f>
        <v/>
      </c>
      <c r="B7553" s="87"/>
      <c r="C7553" s="87"/>
      <c r="D7553" s="87"/>
      <c r="E7553" s="87"/>
      <c r="F7553" s="87"/>
      <c r="G7553" s="87"/>
    </row>
    <row r="7554">
      <c r="A7554" s="86" t="str">
        <f>IFERROR(__xludf.DUMMYFUNCTION("""COMPUTED_VALUE"""),"")</f>
        <v/>
      </c>
      <c r="B7554" s="87"/>
      <c r="C7554" s="87"/>
      <c r="D7554" s="87"/>
      <c r="E7554" s="87"/>
      <c r="F7554" s="87"/>
      <c r="G7554" s="87"/>
    </row>
    <row r="7555">
      <c r="A7555" s="86" t="str">
        <f>IFERROR(__xludf.DUMMYFUNCTION("""COMPUTED_VALUE"""),"")</f>
        <v/>
      </c>
      <c r="B7555" s="87"/>
      <c r="C7555" s="87"/>
      <c r="D7555" s="87"/>
      <c r="E7555" s="87"/>
      <c r="F7555" s="87"/>
      <c r="G7555" s="87"/>
    </row>
    <row r="7556">
      <c r="A7556" s="86" t="str">
        <f>IFERROR(__xludf.DUMMYFUNCTION("""COMPUTED_VALUE"""),"")</f>
        <v/>
      </c>
      <c r="B7556" s="87"/>
      <c r="C7556" s="87"/>
      <c r="D7556" s="87"/>
      <c r="E7556" s="87"/>
      <c r="F7556" s="87"/>
      <c r="G7556" s="87"/>
    </row>
    <row r="7557">
      <c r="A7557" s="86" t="str">
        <f>IFERROR(__xludf.DUMMYFUNCTION("""COMPUTED_VALUE"""),"")</f>
        <v/>
      </c>
      <c r="B7557" s="87"/>
      <c r="C7557" s="87"/>
      <c r="D7557" s="87"/>
      <c r="E7557" s="87"/>
      <c r="F7557" s="87"/>
      <c r="G7557" s="87"/>
    </row>
    <row r="7558">
      <c r="A7558" s="86" t="str">
        <f>IFERROR(__xludf.DUMMYFUNCTION("""COMPUTED_VALUE"""),"")</f>
        <v/>
      </c>
      <c r="B7558" s="87"/>
      <c r="C7558" s="87"/>
      <c r="D7558" s="87"/>
      <c r="E7558" s="87"/>
      <c r="F7558" s="87"/>
      <c r="G7558" s="87"/>
    </row>
    <row r="7559">
      <c r="A7559" s="86" t="str">
        <f>IFERROR(__xludf.DUMMYFUNCTION("""COMPUTED_VALUE"""),"")</f>
        <v/>
      </c>
      <c r="B7559" s="87"/>
      <c r="C7559" s="87"/>
      <c r="D7559" s="87"/>
      <c r="E7559" s="87"/>
      <c r="F7559" s="87"/>
      <c r="G7559" s="87"/>
    </row>
    <row r="7560">
      <c r="A7560" s="86" t="str">
        <f>IFERROR(__xludf.DUMMYFUNCTION("""COMPUTED_VALUE"""),"")</f>
        <v/>
      </c>
      <c r="B7560" s="87"/>
      <c r="C7560" s="87"/>
      <c r="D7560" s="87"/>
      <c r="E7560" s="87"/>
      <c r="F7560" s="87"/>
      <c r="G7560" s="87"/>
    </row>
    <row r="7561">
      <c r="A7561" s="86" t="str">
        <f>IFERROR(__xludf.DUMMYFUNCTION("""COMPUTED_VALUE"""),"")</f>
        <v/>
      </c>
      <c r="B7561" s="87"/>
      <c r="C7561" s="87"/>
      <c r="D7561" s="87"/>
      <c r="E7561" s="87"/>
      <c r="F7561" s="87"/>
      <c r="G7561" s="87"/>
    </row>
    <row r="7562">
      <c r="A7562" s="86" t="str">
        <f>IFERROR(__xludf.DUMMYFUNCTION("""COMPUTED_VALUE"""),"")</f>
        <v/>
      </c>
      <c r="B7562" s="87"/>
      <c r="C7562" s="87"/>
      <c r="D7562" s="87"/>
      <c r="E7562" s="87"/>
      <c r="F7562" s="87"/>
      <c r="G7562" s="87"/>
    </row>
    <row r="7563">
      <c r="A7563" s="86" t="str">
        <f>IFERROR(__xludf.DUMMYFUNCTION("""COMPUTED_VALUE"""),"")</f>
        <v/>
      </c>
      <c r="B7563" s="87"/>
      <c r="C7563" s="87"/>
      <c r="D7563" s="87"/>
      <c r="E7563" s="87"/>
      <c r="F7563" s="87"/>
      <c r="G7563" s="87"/>
    </row>
    <row r="7564">
      <c r="A7564" s="86" t="str">
        <f>IFERROR(__xludf.DUMMYFUNCTION("""COMPUTED_VALUE"""),"")</f>
        <v/>
      </c>
      <c r="B7564" s="87"/>
      <c r="C7564" s="87"/>
      <c r="D7564" s="87"/>
      <c r="E7564" s="87"/>
      <c r="F7564" s="87"/>
      <c r="G7564" s="87"/>
    </row>
    <row r="7565">
      <c r="A7565" s="86" t="str">
        <f>IFERROR(__xludf.DUMMYFUNCTION("""COMPUTED_VALUE"""),"")</f>
        <v/>
      </c>
      <c r="B7565" s="87"/>
      <c r="C7565" s="87"/>
      <c r="D7565" s="87"/>
      <c r="E7565" s="87"/>
      <c r="F7565" s="87"/>
      <c r="G7565" s="87"/>
    </row>
    <row r="7566">
      <c r="A7566" s="86" t="str">
        <f>IFERROR(__xludf.DUMMYFUNCTION("""COMPUTED_VALUE"""),"")</f>
        <v/>
      </c>
      <c r="B7566" s="87"/>
      <c r="C7566" s="87"/>
      <c r="D7566" s="87"/>
      <c r="E7566" s="87"/>
      <c r="F7566" s="87"/>
      <c r="G7566" s="87"/>
    </row>
    <row r="7567">
      <c r="A7567" s="86" t="str">
        <f>IFERROR(__xludf.DUMMYFUNCTION("""COMPUTED_VALUE"""),"")</f>
        <v/>
      </c>
      <c r="B7567" s="87"/>
      <c r="C7567" s="87"/>
      <c r="D7567" s="87"/>
      <c r="E7567" s="87"/>
      <c r="F7567" s="87"/>
      <c r="G7567" s="87"/>
    </row>
    <row r="7568">
      <c r="A7568" s="86" t="str">
        <f>IFERROR(__xludf.DUMMYFUNCTION("""COMPUTED_VALUE"""),"")</f>
        <v/>
      </c>
      <c r="B7568" s="87"/>
      <c r="C7568" s="87"/>
      <c r="D7568" s="87"/>
      <c r="E7568" s="87"/>
      <c r="F7568" s="87"/>
      <c r="G7568" s="87"/>
    </row>
    <row r="7569">
      <c r="A7569" s="86" t="str">
        <f>IFERROR(__xludf.DUMMYFUNCTION("""COMPUTED_VALUE"""),"")</f>
        <v/>
      </c>
      <c r="B7569" s="87"/>
      <c r="C7569" s="87"/>
      <c r="D7569" s="87"/>
      <c r="E7569" s="87"/>
      <c r="F7569" s="87"/>
      <c r="G7569" s="87"/>
    </row>
    <row r="7570">
      <c r="A7570" s="86" t="str">
        <f>IFERROR(__xludf.DUMMYFUNCTION("""COMPUTED_VALUE"""),"")</f>
        <v/>
      </c>
      <c r="B7570" s="87"/>
      <c r="C7570" s="87"/>
      <c r="D7570" s="87"/>
      <c r="E7570" s="87"/>
      <c r="F7570" s="87"/>
      <c r="G7570" s="87"/>
    </row>
    <row r="7571">
      <c r="A7571" s="86" t="str">
        <f>IFERROR(__xludf.DUMMYFUNCTION("""COMPUTED_VALUE"""),"")</f>
        <v/>
      </c>
      <c r="B7571" s="87"/>
      <c r="C7571" s="87"/>
      <c r="D7571" s="87"/>
      <c r="E7571" s="87"/>
      <c r="F7571" s="87"/>
      <c r="G7571" s="87"/>
    </row>
    <row r="7572">
      <c r="A7572" s="86" t="str">
        <f>IFERROR(__xludf.DUMMYFUNCTION("""COMPUTED_VALUE"""),"")</f>
        <v/>
      </c>
      <c r="B7572" s="87"/>
      <c r="C7572" s="87"/>
      <c r="D7572" s="87"/>
      <c r="E7572" s="87"/>
      <c r="F7572" s="87"/>
      <c r="G7572" s="87"/>
    </row>
    <row r="7573">
      <c r="A7573" s="86" t="str">
        <f>IFERROR(__xludf.DUMMYFUNCTION("""COMPUTED_VALUE"""),"")</f>
        <v/>
      </c>
      <c r="B7573" s="87"/>
      <c r="C7573" s="87"/>
      <c r="D7573" s="87"/>
      <c r="E7573" s="87"/>
      <c r="F7573" s="87"/>
      <c r="G7573" s="87"/>
    </row>
    <row r="7574">
      <c r="A7574" s="86" t="str">
        <f>IFERROR(__xludf.DUMMYFUNCTION("""COMPUTED_VALUE"""),"")</f>
        <v/>
      </c>
      <c r="B7574" s="87"/>
      <c r="C7574" s="87"/>
      <c r="D7574" s="87"/>
      <c r="E7574" s="87"/>
      <c r="F7574" s="87"/>
      <c r="G7574" s="87"/>
    </row>
    <row r="7575">
      <c r="A7575" s="86" t="str">
        <f>IFERROR(__xludf.DUMMYFUNCTION("""COMPUTED_VALUE"""),"")</f>
        <v/>
      </c>
      <c r="B7575" s="87"/>
      <c r="C7575" s="87"/>
      <c r="D7575" s="87"/>
      <c r="E7575" s="87"/>
      <c r="F7575" s="87"/>
      <c r="G7575" s="87"/>
    </row>
    <row r="7576">
      <c r="A7576" s="86" t="str">
        <f>IFERROR(__xludf.DUMMYFUNCTION("""COMPUTED_VALUE"""),"")</f>
        <v/>
      </c>
      <c r="B7576" s="87"/>
      <c r="C7576" s="87"/>
      <c r="D7576" s="87"/>
      <c r="E7576" s="87"/>
      <c r="F7576" s="87"/>
      <c r="G7576" s="87"/>
    </row>
    <row r="7577">
      <c r="A7577" s="86" t="str">
        <f>IFERROR(__xludf.DUMMYFUNCTION("""COMPUTED_VALUE"""),"")</f>
        <v/>
      </c>
      <c r="B7577" s="87"/>
      <c r="C7577" s="87"/>
      <c r="D7577" s="87"/>
      <c r="E7577" s="87"/>
      <c r="F7577" s="87"/>
      <c r="G7577" s="87"/>
    </row>
    <row r="7578">
      <c r="A7578" s="86" t="str">
        <f>IFERROR(__xludf.DUMMYFUNCTION("""COMPUTED_VALUE"""),"")</f>
        <v/>
      </c>
      <c r="B7578" s="87"/>
      <c r="C7578" s="87"/>
      <c r="D7578" s="87"/>
      <c r="E7578" s="87"/>
      <c r="F7578" s="87"/>
      <c r="G7578" s="87"/>
    </row>
    <row r="7579">
      <c r="A7579" s="86" t="str">
        <f>IFERROR(__xludf.DUMMYFUNCTION("""COMPUTED_VALUE"""),"")</f>
        <v/>
      </c>
      <c r="B7579" s="87"/>
      <c r="C7579" s="87"/>
      <c r="D7579" s="87"/>
      <c r="E7579" s="87"/>
      <c r="F7579" s="87"/>
      <c r="G7579" s="87"/>
    </row>
    <row r="7580">
      <c r="A7580" s="86" t="str">
        <f>IFERROR(__xludf.DUMMYFUNCTION("""COMPUTED_VALUE"""),"")</f>
        <v/>
      </c>
      <c r="B7580" s="87"/>
      <c r="C7580" s="87"/>
      <c r="D7580" s="87"/>
      <c r="E7580" s="87"/>
      <c r="F7580" s="87"/>
      <c r="G7580" s="87"/>
    </row>
    <row r="7581">
      <c r="A7581" s="86" t="str">
        <f>IFERROR(__xludf.DUMMYFUNCTION("""COMPUTED_VALUE"""),"")</f>
        <v/>
      </c>
      <c r="B7581" s="87"/>
      <c r="C7581" s="87"/>
      <c r="D7581" s="87"/>
      <c r="E7581" s="87"/>
      <c r="F7581" s="87"/>
      <c r="G7581" s="87"/>
    </row>
    <row r="7582">
      <c r="A7582" s="86" t="str">
        <f>IFERROR(__xludf.DUMMYFUNCTION("""COMPUTED_VALUE"""),"")</f>
        <v/>
      </c>
      <c r="B7582" s="87"/>
      <c r="C7582" s="87"/>
      <c r="D7582" s="87"/>
      <c r="E7582" s="87"/>
      <c r="F7582" s="87"/>
      <c r="G7582" s="87"/>
    </row>
    <row r="7583">
      <c r="A7583" s="86" t="str">
        <f>IFERROR(__xludf.DUMMYFUNCTION("""COMPUTED_VALUE"""),"")</f>
        <v/>
      </c>
      <c r="B7583" s="87"/>
      <c r="C7583" s="87"/>
      <c r="D7583" s="87"/>
      <c r="E7583" s="87"/>
      <c r="F7583" s="87"/>
      <c r="G7583" s="87"/>
    </row>
    <row r="7584">
      <c r="A7584" s="86" t="str">
        <f>IFERROR(__xludf.DUMMYFUNCTION("""COMPUTED_VALUE"""),"")</f>
        <v/>
      </c>
      <c r="B7584" s="87"/>
      <c r="C7584" s="87"/>
      <c r="D7584" s="87"/>
      <c r="E7584" s="87"/>
      <c r="F7584" s="87"/>
      <c r="G7584" s="87"/>
    </row>
    <row r="7585">
      <c r="A7585" s="86" t="str">
        <f>IFERROR(__xludf.DUMMYFUNCTION("""COMPUTED_VALUE"""),"")</f>
        <v/>
      </c>
      <c r="B7585" s="87"/>
      <c r="C7585" s="87"/>
      <c r="D7585" s="87"/>
      <c r="E7585" s="87"/>
      <c r="F7585" s="87"/>
      <c r="G7585" s="87"/>
    </row>
    <row r="7586">
      <c r="A7586" s="86" t="str">
        <f>IFERROR(__xludf.DUMMYFUNCTION("""COMPUTED_VALUE"""),"")</f>
        <v/>
      </c>
      <c r="B7586" s="87"/>
      <c r="C7586" s="87"/>
      <c r="D7586" s="87"/>
      <c r="E7586" s="87"/>
      <c r="F7586" s="87"/>
      <c r="G7586" s="87"/>
    </row>
    <row r="7587">
      <c r="A7587" s="86" t="str">
        <f>IFERROR(__xludf.DUMMYFUNCTION("""COMPUTED_VALUE"""),"")</f>
        <v/>
      </c>
      <c r="B7587" s="87"/>
      <c r="C7587" s="87"/>
      <c r="D7587" s="87"/>
      <c r="E7587" s="87"/>
      <c r="F7587" s="87"/>
      <c r="G7587" s="87"/>
    </row>
    <row r="7588">
      <c r="A7588" s="86" t="str">
        <f>IFERROR(__xludf.DUMMYFUNCTION("""COMPUTED_VALUE"""),"")</f>
        <v/>
      </c>
      <c r="B7588" s="87"/>
      <c r="C7588" s="87"/>
      <c r="D7588" s="87"/>
      <c r="E7588" s="87"/>
      <c r="F7588" s="87"/>
      <c r="G7588" s="87"/>
    </row>
    <row r="7589">
      <c r="A7589" s="86" t="str">
        <f>IFERROR(__xludf.DUMMYFUNCTION("""COMPUTED_VALUE"""),"")</f>
        <v/>
      </c>
      <c r="B7589" s="87"/>
      <c r="C7589" s="87"/>
      <c r="D7589" s="87"/>
      <c r="E7589" s="87"/>
      <c r="F7589" s="87"/>
      <c r="G7589" s="87"/>
    </row>
    <row r="7590">
      <c r="A7590" s="86" t="str">
        <f>IFERROR(__xludf.DUMMYFUNCTION("""COMPUTED_VALUE"""),"")</f>
        <v/>
      </c>
      <c r="B7590" s="87"/>
      <c r="C7590" s="87"/>
      <c r="D7590" s="87"/>
      <c r="E7590" s="87"/>
      <c r="F7590" s="87"/>
      <c r="G7590" s="87"/>
    </row>
    <row r="7591">
      <c r="A7591" s="86" t="str">
        <f>IFERROR(__xludf.DUMMYFUNCTION("""COMPUTED_VALUE"""),"")</f>
        <v/>
      </c>
      <c r="B7591" s="87"/>
      <c r="C7591" s="87"/>
      <c r="D7591" s="87"/>
      <c r="E7591" s="87"/>
      <c r="F7591" s="87"/>
      <c r="G7591" s="87"/>
    </row>
    <row r="7592">
      <c r="A7592" s="86" t="str">
        <f>IFERROR(__xludf.DUMMYFUNCTION("""COMPUTED_VALUE"""),"")</f>
        <v/>
      </c>
      <c r="B7592" s="87"/>
      <c r="C7592" s="87"/>
      <c r="D7592" s="87"/>
      <c r="E7592" s="87"/>
      <c r="F7592" s="87"/>
      <c r="G7592" s="87"/>
    </row>
    <row r="7593">
      <c r="A7593" s="86" t="str">
        <f>IFERROR(__xludf.DUMMYFUNCTION("""COMPUTED_VALUE"""),"")</f>
        <v/>
      </c>
      <c r="B7593" s="87"/>
      <c r="C7593" s="87"/>
      <c r="D7593" s="87"/>
      <c r="E7593" s="87"/>
      <c r="F7593" s="87"/>
      <c r="G7593" s="87"/>
    </row>
    <row r="7594">
      <c r="A7594" s="86" t="str">
        <f>IFERROR(__xludf.DUMMYFUNCTION("""COMPUTED_VALUE"""),"")</f>
        <v/>
      </c>
      <c r="B7594" s="87"/>
      <c r="C7594" s="87"/>
      <c r="D7594" s="87"/>
      <c r="E7594" s="87"/>
      <c r="F7594" s="87"/>
      <c r="G7594" s="87"/>
    </row>
    <row r="7595">
      <c r="A7595" s="86" t="str">
        <f>IFERROR(__xludf.DUMMYFUNCTION("""COMPUTED_VALUE"""),"")</f>
        <v/>
      </c>
      <c r="B7595" s="87"/>
      <c r="C7595" s="87"/>
      <c r="D7595" s="87"/>
      <c r="E7595" s="87"/>
      <c r="F7595" s="87"/>
      <c r="G7595" s="87"/>
    </row>
    <row r="7596">
      <c r="A7596" s="86" t="str">
        <f>IFERROR(__xludf.DUMMYFUNCTION("""COMPUTED_VALUE"""),"")</f>
        <v/>
      </c>
      <c r="B7596" s="87"/>
      <c r="C7596" s="87"/>
      <c r="D7596" s="87"/>
      <c r="E7596" s="87"/>
      <c r="F7596" s="87"/>
      <c r="G7596" s="87"/>
    </row>
    <row r="7597">
      <c r="A7597" s="86" t="str">
        <f>IFERROR(__xludf.DUMMYFUNCTION("""COMPUTED_VALUE"""),"")</f>
        <v/>
      </c>
      <c r="B7597" s="87"/>
      <c r="C7597" s="87"/>
      <c r="D7597" s="87"/>
      <c r="E7597" s="87"/>
      <c r="F7597" s="87"/>
      <c r="G7597" s="87"/>
    </row>
    <row r="7598">
      <c r="A7598" s="86" t="str">
        <f>IFERROR(__xludf.DUMMYFUNCTION("""COMPUTED_VALUE"""),"")</f>
        <v/>
      </c>
      <c r="B7598" s="87"/>
      <c r="C7598" s="87"/>
      <c r="D7598" s="87"/>
      <c r="E7598" s="87"/>
      <c r="F7598" s="87"/>
      <c r="G7598" s="87"/>
    </row>
    <row r="7599">
      <c r="A7599" s="86" t="str">
        <f>IFERROR(__xludf.DUMMYFUNCTION("""COMPUTED_VALUE"""),"")</f>
        <v/>
      </c>
      <c r="B7599" s="87"/>
      <c r="C7599" s="87"/>
      <c r="D7599" s="87"/>
      <c r="E7599" s="87"/>
      <c r="F7599" s="87"/>
      <c r="G7599" s="87"/>
    </row>
    <row r="7600">
      <c r="A7600" s="86" t="str">
        <f>IFERROR(__xludf.DUMMYFUNCTION("""COMPUTED_VALUE"""),"")</f>
        <v/>
      </c>
      <c r="B7600" s="87"/>
      <c r="C7600" s="87"/>
      <c r="D7600" s="87"/>
      <c r="E7600" s="87"/>
      <c r="F7600" s="87"/>
      <c r="G7600" s="87"/>
    </row>
    <row r="7601">
      <c r="A7601" s="86" t="str">
        <f>IFERROR(__xludf.DUMMYFUNCTION("""COMPUTED_VALUE"""),"")</f>
        <v/>
      </c>
      <c r="B7601" s="87"/>
      <c r="C7601" s="87"/>
      <c r="D7601" s="87"/>
      <c r="E7601" s="87"/>
      <c r="F7601" s="87"/>
      <c r="G7601" s="87"/>
    </row>
    <row r="7602">
      <c r="A7602" s="86" t="str">
        <f>IFERROR(__xludf.DUMMYFUNCTION("""COMPUTED_VALUE"""),"")</f>
        <v/>
      </c>
      <c r="B7602" s="87"/>
      <c r="C7602" s="87"/>
      <c r="D7602" s="87"/>
      <c r="E7602" s="87"/>
      <c r="F7602" s="87"/>
      <c r="G7602" s="87"/>
    </row>
    <row r="7603">
      <c r="A7603" s="86" t="str">
        <f>IFERROR(__xludf.DUMMYFUNCTION("""COMPUTED_VALUE"""),"")</f>
        <v/>
      </c>
      <c r="B7603" s="87"/>
      <c r="C7603" s="87"/>
      <c r="D7603" s="87"/>
      <c r="E7603" s="87"/>
      <c r="F7603" s="87"/>
      <c r="G7603" s="87"/>
    </row>
    <row r="7604">
      <c r="A7604" s="86" t="str">
        <f>IFERROR(__xludf.DUMMYFUNCTION("""COMPUTED_VALUE"""),"")</f>
        <v/>
      </c>
      <c r="B7604" s="87"/>
      <c r="C7604" s="87"/>
      <c r="D7604" s="87"/>
      <c r="E7604" s="87"/>
      <c r="F7604" s="87"/>
      <c r="G7604" s="87"/>
    </row>
    <row r="7605">
      <c r="A7605" s="86" t="str">
        <f>IFERROR(__xludf.DUMMYFUNCTION("""COMPUTED_VALUE"""),"")</f>
        <v/>
      </c>
      <c r="B7605" s="87"/>
      <c r="C7605" s="87"/>
      <c r="D7605" s="87"/>
      <c r="E7605" s="87"/>
      <c r="F7605" s="87"/>
      <c r="G7605" s="87"/>
    </row>
    <row r="7606">
      <c r="A7606" s="86" t="str">
        <f>IFERROR(__xludf.DUMMYFUNCTION("""COMPUTED_VALUE"""),"")</f>
        <v/>
      </c>
      <c r="B7606" s="87"/>
      <c r="C7606" s="87"/>
      <c r="D7606" s="87"/>
      <c r="E7606" s="87"/>
      <c r="F7606" s="87"/>
      <c r="G7606" s="87"/>
    </row>
    <row r="7607">
      <c r="A7607" s="86" t="str">
        <f>IFERROR(__xludf.DUMMYFUNCTION("""COMPUTED_VALUE"""),"")</f>
        <v/>
      </c>
      <c r="B7607" s="87"/>
      <c r="C7607" s="87"/>
      <c r="D7607" s="87"/>
      <c r="E7607" s="87"/>
      <c r="F7607" s="87"/>
      <c r="G7607" s="87"/>
    </row>
    <row r="7608">
      <c r="A7608" s="86" t="str">
        <f>IFERROR(__xludf.DUMMYFUNCTION("""COMPUTED_VALUE"""),"")</f>
        <v/>
      </c>
      <c r="B7608" s="87"/>
      <c r="C7608" s="87"/>
      <c r="D7608" s="87"/>
      <c r="E7608" s="87"/>
      <c r="F7608" s="87"/>
      <c r="G7608" s="87"/>
    </row>
    <row r="7609">
      <c r="A7609" s="86" t="str">
        <f>IFERROR(__xludf.DUMMYFUNCTION("""COMPUTED_VALUE"""),"")</f>
        <v/>
      </c>
      <c r="B7609" s="87"/>
      <c r="C7609" s="87"/>
      <c r="D7609" s="87"/>
      <c r="E7609" s="87"/>
      <c r="F7609" s="87"/>
      <c r="G7609" s="87"/>
    </row>
    <row r="7610">
      <c r="A7610" s="86" t="str">
        <f>IFERROR(__xludf.DUMMYFUNCTION("""COMPUTED_VALUE"""),"")</f>
        <v/>
      </c>
      <c r="B7610" s="87"/>
      <c r="C7610" s="87"/>
      <c r="D7610" s="87"/>
      <c r="E7610" s="87"/>
      <c r="F7610" s="87"/>
      <c r="G7610" s="87"/>
    </row>
    <row r="7611">
      <c r="A7611" s="86" t="str">
        <f>IFERROR(__xludf.DUMMYFUNCTION("""COMPUTED_VALUE"""),"")</f>
        <v/>
      </c>
      <c r="B7611" s="87"/>
      <c r="C7611" s="87"/>
      <c r="D7611" s="87"/>
      <c r="E7611" s="87"/>
      <c r="F7611" s="87"/>
      <c r="G7611" s="87"/>
    </row>
    <row r="7612">
      <c r="A7612" s="86" t="str">
        <f>IFERROR(__xludf.DUMMYFUNCTION("""COMPUTED_VALUE"""),"")</f>
        <v/>
      </c>
      <c r="B7612" s="87"/>
      <c r="C7612" s="87"/>
      <c r="D7612" s="87"/>
      <c r="E7612" s="87"/>
      <c r="F7612" s="87"/>
      <c r="G7612" s="87"/>
    </row>
    <row r="7613">
      <c r="A7613" s="86" t="str">
        <f>IFERROR(__xludf.DUMMYFUNCTION("""COMPUTED_VALUE"""),"")</f>
        <v/>
      </c>
      <c r="B7613" s="87"/>
      <c r="C7613" s="87"/>
      <c r="D7613" s="87"/>
      <c r="E7613" s="87"/>
      <c r="F7613" s="87"/>
      <c r="G7613" s="87"/>
    </row>
    <row r="7614">
      <c r="A7614" s="86" t="str">
        <f>IFERROR(__xludf.DUMMYFUNCTION("""COMPUTED_VALUE"""),"")</f>
        <v/>
      </c>
      <c r="B7614" s="87"/>
      <c r="C7614" s="87"/>
      <c r="D7614" s="87"/>
      <c r="E7614" s="87"/>
      <c r="F7614" s="87"/>
      <c r="G7614" s="87"/>
    </row>
    <row r="7615">
      <c r="A7615" s="86" t="str">
        <f>IFERROR(__xludf.DUMMYFUNCTION("""COMPUTED_VALUE"""),"")</f>
        <v/>
      </c>
      <c r="B7615" s="87"/>
      <c r="C7615" s="87"/>
      <c r="D7615" s="87"/>
      <c r="E7615" s="87"/>
      <c r="F7615" s="87"/>
      <c r="G7615" s="87"/>
    </row>
    <row r="7616">
      <c r="A7616" s="86" t="str">
        <f>IFERROR(__xludf.DUMMYFUNCTION("""COMPUTED_VALUE"""),"")</f>
        <v/>
      </c>
      <c r="B7616" s="87"/>
      <c r="C7616" s="87"/>
      <c r="D7616" s="87"/>
      <c r="E7616" s="87"/>
      <c r="F7616" s="87"/>
      <c r="G7616" s="87"/>
    </row>
    <row r="7617">
      <c r="A7617" s="86" t="str">
        <f>IFERROR(__xludf.DUMMYFUNCTION("""COMPUTED_VALUE"""),"")</f>
        <v/>
      </c>
      <c r="B7617" s="87"/>
      <c r="C7617" s="87"/>
      <c r="D7617" s="87"/>
      <c r="E7617" s="87"/>
      <c r="F7617" s="87"/>
      <c r="G7617" s="87"/>
    </row>
    <row r="7618">
      <c r="A7618" s="86" t="str">
        <f>IFERROR(__xludf.DUMMYFUNCTION("""COMPUTED_VALUE"""),"")</f>
        <v/>
      </c>
      <c r="B7618" s="87"/>
      <c r="C7618" s="87"/>
      <c r="D7618" s="87"/>
      <c r="E7618" s="87"/>
      <c r="F7618" s="87"/>
      <c r="G7618" s="87"/>
    </row>
    <row r="7619">
      <c r="A7619" s="86" t="str">
        <f>IFERROR(__xludf.DUMMYFUNCTION("""COMPUTED_VALUE"""),"")</f>
        <v/>
      </c>
      <c r="B7619" s="87"/>
      <c r="C7619" s="87"/>
      <c r="D7619" s="87"/>
      <c r="E7619" s="87"/>
      <c r="F7619" s="87"/>
      <c r="G7619" s="87"/>
    </row>
    <row r="7620">
      <c r="A7620" s="86" t="str">
        <f>IFERROR(__xludf.DUMMYFUNCTION("""COMPUTED_VALUE"""),"")</f>
        <v/>
      </c>
      <c r="B7620" s="87"/>
      <c r="C7620" s="87"/>
      <c r="D7620" s="87"/>
      <c r="E7620" s="87"/>
      <c r="F7620" s="87"/>
      <c r="G7620" s="87"/>
    </row>
    <row r="7621">
      <c r="A7621" s="86" t="str">
        <f>IFERROR(__xludf.DUMMYFUNCTION("""COMPUTED_VALUE"""),"")</f>
        <v/>
      </c>
      <c r="B7621" s="87"/>
      <c r="C7621" s="87"/>
      <c r="D7621" s="87"/>
      <c r="E7621" s="87"/>
      <c r="F7621" s="87"/>
      <c r="G7621" s="87"/>
    </row>
    <row r="7622">
      <c r="A7622" s="86" t="str">
        <f>IFERROR(__xludf.DUMMYFUNCTION("""COMPUTED_VALUE"""),"")</f>
        <v/>
      </c>
      <c r="B7622" s="87"/>
      <c r="C7622" s="87"/>
      <c r="D7622" s="87"/>
      <c r="E7622" s="87"/>
      <c r="F7622" s="87"/>
      <c r="G7622" s="87"/>
    </row>
    <row r="7623">
      <c r="A7623" s="86" t="str">
        <f>IFERROR(__xludf.DUMMYFUNCTION("""COMPUTED_VALUE"""),"")</f>
        <v/>
      </c>
      <c r="B7623" s="87"/>
      <c r="C7623" s="87"/>
      <c r="D7623" s="87"/>
      <c r="E7623" s="87"/>
      <c r="F7623" s="87"/>
      <c r="G7623" s="87"/>
    </row>
    <row r="7624">
      <c r="A7624" s="86" t="str">
        <f>IFERROR(__xludf.DUMMYFUNCTION("""COMPUTED_VALUE"""),"")</f>
        <v/>
      </c>
      <c r="B7624" s="87"/>
      <c r="C7624" s="87"/>
      <c r="D7624" s="87"/>
      <c r="E7624" s="87"/>
      <c r="F7624" s="87"/>
      <c r="G7624" s="87"/>
    </row>
    <row r="7625">
      <c r="A7625" s="86" t="str">
        <f>IFERROR(__xludf.DUMMYFUNCTION("""COMPUTED_VALUE"""),"")</f>
        <v/>
      </c>
      <c r="B7625" s="87"/>
      <c r="C7625" s="87"/>
      <c r="D7625" s="87"/>
      <c r="E7625" s="87"/>
      <c r="F7625" s="87"/>
      <c r="G7625" s="87"/>
    </row>
    <row r="7626">
      <c r="A7626" s="86" t="str">
        <f>IFERROR(__xludf.DUMMYFUNCTION("""COMPUTED_VALUE"""),"")</f>
        <v/>
      </c>
      <c r="B7626" s="87"/>
      <c r="C7626" s="87"/>
      <c r="D7626" s="87"/>
      <c r="E7626" s="87"/>
      <c r="F7626" s="87"/>
      <c r="G7626" s="87"/>
    </row>
    <row r="7627">
      <c r="A7627" s="86" t="str">
        <f>IFERROR(__xludf.DUMMYFUNCTION("""COMPUTED_VALUE"""),"")</f>
        <v/>
      </c>
      <c r="B7627" s="87"/>
      <c r="C7627" s="87"/>
      <c r="D7627" s="87"/>
      <c r="E7627" s="87"/>
      <c r="F7627" s="87"/>
      <c r="G7627" s="87"/>
    </row>
    <row r="7628">
      <c r="A7628" s="86" t="str">
        <f>IFERROR(__xludf.DUMMYFUNCTION("""COMPUTED_VALUE"""),"")</f>
        <v/>
      </c>
      <c r="B7628" s="87"/>
      <c r="C7628" s="87"/>
      <c r="D7628" s="87"/>
      <c r="E7628" s="87"/>
      <c r="F7628" s="87"/>
      <c r="G7628" s="87"/>
    </row>
    <row r="7629">
      <c r="A7629" s="86" t="str">
        <f>IFERROR(__xludf.DUMMYFUNCTION("""COMPUTED_VALUE"""),"")</f>
        <v/>
      </c>
      <c r="B7629" s="87"/>
      <c r="C7629" s="87"/>
      <c r="D7629" s="87"/>
      <c r="E7629" s="87"/>
      <c r="F7629" s="87"/>
      <c r="G7629" s="87"/>
    </row>
    <row r="7630">
      <c r="A7630" s="86" t="str">
        <f>IFERROR(__xludf.DUMMYFUNCTION("""COMPUTED_VALUE"""),"")</f>
        <v/>
      </c>
      <c r="B7630" s="87"/>
      <c r="C7630" s="87"/>
      <c r="D7630" s="87"/>
      <c r="E7630" s="87"/>
      <c r="F7630" s="87"/>
      <c r="G7630" s="87"/>
    </row>
    <row r="7631">
      <c r="A7631" s="86" t="str">
        <f>IFERROR(__xludf.DUMMYFUNCTION("""COMPUTED_VALUE"""),"")</f>
        <v/>
      </c>
      <c r="B7631" s="87"/>
      <c r="C7631" s="87"/>
      <c r="D7631" s="87"/>
      <c r="E7631" s="87"/>
      <c r="F7631" s="87"/>
      <c r="G7631" s="87"/>
    </row>
    <row r="7632">
      <c r="A7632" s="86" t="str">
        <f>IFERROR(__xludf.DUMMYFUNCTION("""COMPUTED_VALUE"""),"")</f>
        <v/>
      </c>
      <c r="B7632" s="87"/>
      <c r="C7632" s="87"/>
      <c r="D7632" s="87"/>
      <c r="E7632" s="87"/>
      <c r="F7632" s="87"/>
      <c r="G7632" s="87"/>
    </row>
    <row r="7633">
      <c r="A7633" s="86" t="str">
        <f>IFERROR(__xludf.DUMMYFUNCTION("""COMPUTED_VALUE"""),"")</f>
        <v/>
      </c>
      <c r="B7633" s="87"/>
      <c r="C7633" s="87"/>
      <c r="D7633" s="87"/>
      <c r="E7633" s="87"/>
      <c r="F7633" s="87"/>
      <c r="G7633" s="87"/>
    </row>
    <row r="7634">
      <c r="A7634" s="86" t="str">
        <f>IFERROR(__xludf.DUMMYFUNCTION("""COMPUTED_VALUE"""),"")</f>
        <v/>
      </c>
      <c r="B7634" s="87"/>
      <c r="C7634" s="87"/>
      <c r="D7634" s="87"/>
      <c r="E7634" s="87"/>
      <c r="F7634" s="87"/>
      <c r="G7634" s="87"/>
    </row>
    <row r="7635">
      <c r="A7635" s="86" t="str">
        <f>IFERROR(__xludf.DUMMYFUNCTION("""COMPUTED_VALUE"""),"")</f>
        <v/>
      </c>
      <c r="B7635" s="87"/>
      <c r="C7635" s="87"/>
      <c r="D7635" s="87"/>
      <c r="E7635" s="87"/>
      <c r="F7635" s="87"/>
      <c r="G7635" s="87"/>
    </row>
    <row r="7636">
      <c r="A7636" s="86" t="str">
        <f>IFERROR(__xludf.DUMMYFUNCTION("""COMPUTED_VALUE"""),"")</f>
        <v/>
      </c>
      <c r="B7636" s="87"/>
      <c r="C7636" s="87"/>
      <c r="D7636" s="87"/>
      <c r="E7636" s="87"/>
      <c r="F7636" s="87"/>
      <c r="G7636" s="87"/>
    </row>
    <row r="7637">
      <c r="A7637" s="86" t="str">
        <f>IFERROR(__xludf.DUMMYFUNCTION("""COMPUTED_VALUE"""),"")</f>
        <v/>
      </c>
      <c r="B7637" s="87"/>
      <c r="C7637" s="87"/>
      <c r="D7637" s="87"/>
      <c r="E7637" s="87"/>
      <c r="F7637" s="87"/>
      <c r="G7637" s="87"/>
    </row>
    <row r="7638">
      <c r="A7638" s="86" t="str">
        <f>IFERROR(__xludf.DUMMYFUNCTION("""COMPUTED_VALUE"""),"")</f>
        <v/>
      </c>
      <c r="B7638" s="87"/>
      <c r="C7638" s="87"/>
      <c r="D7638" s="87"/>
      <c r="E7638" s="87"/>
      <c r="F7638" s="87"/>
      <c r="G7638" s="87"/>
    </row>
    <row r="7639">
      <c r="A7639" s="86" t="str">
        <f>IFERROR(__xludf.DUMMYFUNCTION("""COMPUTED_VALUE"""),"")</f>
        <v/>
      </c>
      <c r="B7639" s="87"/>
      <c r="C7639" s="87"/>
      <c r="D7639" s="87"/>
      <c r="E7639" s="87"/>
      <c r="F7639" s="87"/>
      <c r="G7639" s="87"/>
    </row>
    <row r="7640">
      <c r="A7640" s="86" t="str">
        <f>IFERROR(__xludf.DUMMYFUNCTION("""COMPUTED_VALUE"""),"")</f>
        <v/>
      </c>
      <c r="B7640" s="87"/>
      <c r="C7640" s="87"/>
      <c r="D7640" s="87"/>
      <c r="E7640" s="87"/>
      <c r="F7640" s="87"/>
      <c r="G7640" s="87"/>
    </row>
    <row r="7641">
      <c r="A7641" s="86" t="str">
        <f>IFERROR(__xludf.DUMMYFUNCTION("""COMPUTED_VALUE"""),"")</f>
        <v/>
      </c>
      <c r="B7641" s="87"/>
      <c r="C7641" s="87"/>
      <c r="D7641" s="87"/>
      <c r="E7641" s="87"/>
      <c r="F7641" s="87"/>
      <c r="G7641" s="87"/>
    </row>
    <row r="7642">
      <c r="A7642" s="86" t="str">
        <f>IFERROR(__xludf.DUMMYFUNCTION("""COMPUTED_VALUE"""),"")</f>
        <v/>
      </c>
      <c r="B7642" s="87"/>
      <c r="C7642" s="87"/>
      <c r="D7642" s="87"/>
      <c r="E7642" s="87"/>
      <c r="F7642" s="87"/>
      <c r="G7642" s="87"/>
    </row>
    <row r="7643">
      <c r="A7643" s="86" t="str">
        <f>IFERROR(__xludf.DUMMYFUNCTION("""COMPUTED_VALUE"""),"")</f>
        <v/>
      </c>
      <c r="B7643" s="87"/>
      <c r="C7643" s="87"/>
      <c r="D7643" s="87"/>
      <c r="E7643" s="87"/>
      <c r="F7643" s="87"/>
      <c r="G7643" s="87"/>
    </row>
    <row r="7644">
      <c r="A7644" s="86" t="str">
        <f>IFERROR(__xludf.DUMMYFUNCTION("""COMPUTED_VALUE"""),"")</f>
        <v/>
      </c>
      <c r="B7644" s="87"/>
      <c r="C7644" s="87"/>
      <c r="D7644" s="87"/>
      <c r="E7644" s="87"/>
      <c r="F7644" s="87"/>
      <c r="G7644" s="87"/>
    </row>
    <row r="7645">
      <c r="A7645" s="86" t="str">
        <f>IFERROR(__xludf.DUMMYFUNCTION("""COMPUTED_VALUE"""),"")</f>
        <v/>
      </c>
      <c r="B7645" s="87"/>
      <c r="C7645" s="87"/>
      <c r="D7645" s="87"/>
      <c r="E7645" s="87"/>
      <c r="F7645" s="87"/>
      <c r="G7645" s="87"/>
    </row>
    <row r="7646">
      <c r="A7646" s="86" t="str">
        <f>IFERROR(__xludf.DUMMYFUNCTION("""COMPUTED_VALUE"""),"")</f>
        <v/>
      </c>
      <c r="B7646" s="87"/>
      <c r="C7646" s="87"/>
      <c r="D7646" s="87"/>
      <c r="E7646" s="87"/>
      <c r="F7646" s="87"/>
      <c r="G7646" s="87"/>
    </row>
    <row r="7647">
      <c r="A7647" s="86" t="str">
        <f>IFERROR(__xludf.DUMMYFUNCTION("""COMPUTED_VALUE"""),"")</f>
        <v/>
      </c>
      <c r="B7647" s="87"/>
      <c r="C7647" s="87"/>
      <c r="D7647" s="87"/>
      <c r="E7647" s="87"/>
      <c r="F7647" s="87"/>
      <c r="G7647" s="87"/>
    </row>
    <row r="7648">
      <c r="A7648" s="86" t="str">
        <f>IFERROR(__xludf.DUMMYFUNCTION("""COMPUTED_VALUE"""),"")</f>
        <v/>
      </c>
      <c r="B7648" s="87"/>
      <c r="C7648" s="87"/>
      <c r="D7648" s="87"/>
      <c r="E7648" s="87"/>
      <c r="F7648" s="87"/>
      <c r="G7648" s="87"/>
    </row>
    <row r="7649">
      <c r="A7649" s="86" t="str">
        <f>IFERROR(__xludf.DUMMYFUNCTION("""COMPUTED_VALUE"""),"")</f>
        <v/>
      </c>
      <c r="B7649" s="87"/>
      <c r="C7649" s="87"/>
      <c r="D7649" s="87"/>
      <c r="E7649" s="87"/>
      <c r="F7649" s="87"/>
      <c r="G7649" s="87"/>
    </row>
    <row r="7650">
      <c r="A7650" s="86" t="str">
        <f>IFERROR(__xludf.DUMMYFUNCTION("""COMPUTED_VALUE"""),"")</f>
        <v/>
      </c>
      <c r="B7650" s="87"/>
      <c r="C7650" s="87"/>
      <c r="D7650" s="87"/>
      <c r="E7650" s="87"/>
      <c r="F7650" s="87"/>
      <c r="G7650" s="87"/>
    </row>
    <row r="7651">
      <c r="A7651" s="86" t="str">
        <f>IFERROR(__xludf.DUMMYFUNCTION("""COMPUTED_VALUE"""),"")</f>
        <v/>
      </c>
      <c r="B7651" s="87"/>
      <c r="C7651" s="87"/>
      <c r="D7651" s="87"/>
      <c r="E7651" s="87"/>
      <c r="F7651" s="87"/>
      <c r="G7651" s="87"/>
    </row>
    <row r="7652">
      <c r="A7652" s="86" t="str">
        <f>IFERROR(__xludf.DUMMYFUNCTION("""COMPUTED_VALUE"""),"")</f>
        <v/>
      </c>
      <c r="B7652" s="87"/>
      <c r="C7652" s="87"/>
      <c r="D7652" s="87"/>
      <c r="E7652" s="87"/>
      <c r="F7652" s="87"/>
      <c r="G7652" s="87"/>
    </row>
    <row r="7653">
      <c r="A7653" s="86" t="str">
        <f>IFERROR(__xludf.DUMMYFUNCTION("""COMPUTED_VALUE"""),"")</f>
        <v/>
      </c>
      <c r="B7653" s="87"/>
      <c r="C7653" s="87"/>
      <c r="D7653" s="87"/>
      <c r="E7653" s="87"/>
      <c r="F7653" s="87"/>
      <c r="G7653" s="87"/>
    </row>
    <row r="7654">
      <c r="A7654" s="86" t="str">
        <f>IFERROR(__xludf.DUMMYFUNCTION("""COMPUTED_VALUE"""),"")</f>
        <v/>
      </c>
      <c r="B7654" s="87"/>
      <c r="C7654" s="87"/>
      <c r="D7654" s="87"/>
      <c r="E7654" s="87"/>
      <c r="F7654" s="87"/>
      <c r="G7654" s="87"/>
    </row>
    <row r="7655">
      <c r="A7655" s="86" t="str">
        <f>IFERROR(__xludf.DUMMYFUNCTION("""COMPUTED_VALUE"""),"")</f>
        <v/>
      </c>
      <c r="B7655" s="87"/>
      <c r="C7655" s="87"/>
      <c r="D7655" s="87"/>
      <c r="E7655" s="87"/>
      <c r="F7655" s="87"/>
      <c r="G7655" s="87"/>
    </row>
    <row r="7656">
      <c r="A7656" s="86" t="str">
        <f>IFERROR(__xludf.DUMMYFUNCTION("""COMPUTED_VALUE"""),"")</f>
        <v/>
      </c>
      <c r="B7656" s="87"/>
      <c r="C7656" s="87"/>
      <c r="D7656" s="87"/>
      <c r="E7656" s="87"/>
      <c r="F7656" s="87"/>
      <c r="G7656" s="87"/>
    </row>
    <row r="7657">
      <c r="A7657" s="86" t="str">
        <f>IFERROR(__xludf.DUMMYFUNCTION("""COMPUTED_VALUE"""),"")</f>
        <v/>
      </c>
      <c r="B7657" s="87"/>
      <c r="C7657" s="87"/>
      <c r="D7657" s="87"/>
      <c r="E7657" s="87"/>
      <c r="F7657" s="87"/>
      <c r="G7657" s="87"/>
    </row>
    <row r="7658">
      <c r="A7658" s="86" t="str">
        <f>IFERROR(__xludf.DUMMYFUNCTION("""COMPUTED_VALUE"""),"")</f>
        <v/>
      </c>
      <c r="B7658" s="87"/>
      <c r="C7658" s="87"/>
      <c r="D7658" s="87"/>
      <c r="E7658" s="87"/>
      <c r="F7658" s="87"/>
      <c r="G7658" s="87"/>
    </row>
    <row r="7659">
      <c r="A7659" s="86" t="str">
        <f>IFERROR(__xludf.DUMMYFUNCTION("""COMPUTED_VALUE"""),"")</f>
        <v/>
      </c>
      <c r="B7659" s="87"/>
      <c r="C7659" s="87"/>
      <c r="D7659" s="87"/>
      <c r="E7659" s="87"/>
      <c r="F7659" s="87"/>
      <c r="G7659" s="87"/>
    </row>
    <row r="7660">
      <c r="A7660" s="86" t="str">
        <f>IFERROR(__xludf.DUMMYFUNCTION("""COMPUTED_VALUE"""),"")</f>
        <v/>
      </c>
      <c r="B7660" s="87"/>
      <c r="C7660" s="87"/>
      <c r="D7660" s="87"/>
      <c r="E7660" s="87"/>
      <c r="F7660" s="87"/>
      <c r="G7660" s="87"/>
    </row>
    <row r="7661">
      <c r="A7661" s="86" t="str">
        <f>IFERROR(__xludf.DUMMYFUNCTION("""COMPUTED_VALUE"""),"")</f>
        <v/>
      </c>
      <c r="B7661" s="87"/>
      <c r="C7661" s="87"/>
      <c r="D7661" s="87"/>
      <c r="E7661" s="87"/>
      <c r="F7661" s="87"/>
      <c r="G7661" s="87"/>
    </row>
    <row r="7662">
      <c r="A7662" s="86" t="str">
        <f>IFERROR(__xludf.DUMMYFUNCTION("""COMPUTED_VALUE"""),"")</f>
        <v/>
      </c>
      <c r="B7662" s="87"/>
      <c r="C7662" s="87"/>
      <c r="D7662" s="87"/>
      <c r="E7662" s="87"/>
      <c r="F7662" s="87"/>
      <c r="G7662" s="87"/>
    </row>
    <row r="7663">
      <c r="A7663" s="86" t="str">
        <f>IFERROR(__xludf.DUMMYFUNCTION("""COMPUTED_VALUE"""),"")</f>
        <v/>
      </c>
      <c r="B7663" s="87"/>
      <c r="C7663" s="87"/>
      <c r="D7663" s="87"/>
      <c r="E7663" s="87"/>
      <c r="F7663" s="87"/>
      <c r="G7663" s="87"/>
    </row>
    <row r="7664">
      <c r="A7664" s="86" t="str">
        <f>IFERROR(__xludf.DUMMYFUNCTION("""COMPUTED_VALUE"""),"")</f>
        <v/>
      </c>
      <c r="B7664" s="87"/>
      <c r="C7664" s="87"/>
      <c r="D7664" s="87"/>
      <c r="E7664" s="87"/>
      <c r="F7664" s="87"/>
      <c r="G7664" s="87"/>
    </row>
    <row r="7665">
      <c r="A7665" s="86" t="str">
        <f>IFERROR(__xludf.DUMMYFUNCTION("""COMPUTED_VALUE"""),"")</f>
        <v/>
      </c>
      <c r="B7665" s="87"/>
      <c r="C7665" s="87"/>
      <c r="D7665" s="87"/>
      <c r="E7665" s="87"/>
      <c r="F7665" s="87"/>
      <c r="G7665" s="87"/>
    </row>
    <row r="7666">
      <c r="A7666" s="86" t="str">
        <f>IFERROR(__xludf.DUMMYFUNCTION("""COMPUTED_VALUE"""),"")</f>
        <v/>
      </c>
      <c r="B7666" s="87"/>
      <c r="C7666" s="87"/>
      <c r="D7666" s="87"/>
      <c r="E7666" s="87"/>
      <c r="F7666" s="87"/>
      <c r="G7666" s="87"/>
    </row>
    <row r="7667">
      <c r="A7667" s="86" t="str">
        <f>IFERROR(__xludf.DUMMYFUNCTION("""COMPUTED_VALUE"""),"")</f>
        <v/>
      </c>
      <c r="B7667" s="87"/>
      <c r="C7667" s="87"/>
      <c r="D7667" s="87"/>
      <c r="E7667" s="87"/>
      <c r="F7667" s="87"/>
      <c r="G7667" s="87"/>
    </row>
    <row r="7668">
      <c r="A7668" s="86" t="str">
        <f>IFERROR(__xludf.DUMMYFUNCTION("""COMPUTED_VALUE"""),"")</f>
        <v/>
      </c>
      <c r="B7668" s="87"/>
      <c r="C7668" s="87"/>
      <c r="D7668" s="87"/>
      <c r="E7668" s="87"/>
      <c r="F7668" s="87"/>
      <c r="G7668" s="87"/>
    </row>
    <row r="7669">
      <c r="A7669" s="86" t="str">
        <f>IFERROR(__xludf.DUMMYFUNCTION("""COMPUTED_VALUE"""),"")</f>
        <v/>
      </c>
      <c r="B7669" s="87"/>
      <c r="C7669" s="87"/>
      <c r="D7669" s="87"/>
      <c r="E7669" s="87"/>
      <c r="F7669" s="87"/>
      <c r="G7669" s="87"/>
    </row>
    <row r="7670">
      <c r="A7670" s="86" t="str">
        <f>IFERROR(__xludf.DUMMYFUNCTION("""COMPUTED_VALUE"""),"")</f>
        <v/>
      </c>
      <c r="B7670" s="87"/>
      <c r="C7670" s="87"/>
      <c r="D7670" s="87"/>
      <c r="E7670" s="87"/>
      <c r="F7670" s="87"/>
      <c r="G7670" s="87"/>
    </row>
    <row r="7671">
      <c r="A7671" s="86" t="str">
        <f>IFERROR(__xludf.DUMMYFUNCTION("""COMPUTED_VALUE"""),"")</f>
        <v/>
      </c>
      <c r="B7671" s="87"/>
      <c r="C7671" s="87"/>
      <c r="D7671" s="87"/>
      <c r="E7671" s="87"/>
      <c r="F7671" s="87"/>
      <c r="G7671" s="87"/>
    </row>
    <row r="7672">
      <c r="A7672" s="86" t="str">
        <f>IFERROR(__xludf.DUMMYFUNCTION("""COMPUTED_VALUE"""),"")</f>
        <v/>
      </c>
      <c r="B7672" s="87"/>
      <c r="C7672" s="87"/>
      <c r="D7672" s="87"/>
      <c r="E7672" s="87"/>
      <c r="F7672" s="87"/>
      <c r="G7672" s="87"/>
    </row>
    <row r="7673">
      <c r="A7673" s="86" t="str">
        <f>IFERROR(__xludf.DUMMYFUNCTION("""COMPUTED_VALUE"""),"")</f>
        <v/>
      </c>
      <c r="B7673" s="87"/>
      <c r="C7673" s="87"/>
      <c r="D7673" s="87"/>
      <c r="E7673" s="87"/>
      <c r="F7673" s="87"/>
      <c r="G7673" s="87"/>
    </row>
    <row r="7674">
      <c r="A7674" s="86" t="str">
        <f>IFERROR(__xludf.DUMMYFUNCTION("""COMPUTED_VALUE"""),"")</f>
        <v/>
      </c>
      <c r="B7674" s="87"/>
      <c r="C7674" s="87"/>
      <c r="D7674" s="87"/>
      <c r="E7674" s="87"/>
      <c r="F7674" s="87"/>
      <c r="G7674" s="87"/>
    </row>
    <row r="7675">
      <c r="A7675" s="86" t="str">
        <f>IFERROR(__xludf.DUMMYFUNCTION("""COMPUTED_VALUE"""),"")</f>
        <v/>
      </c>
      <c r="B7675" s="87"/>
      <c r="C7675" s="87"/>
      <c r="D7675" s="87"/>
      <c r="E7675" s="87"/>
      <c r="F7675" s="87"/>
      <c r="G7675" s="87"/>
    </row>
    <row r="7676">
      <c r="A7676" s="86" t="str">
        <f>IFERROR(__xludf.DUMMYFUNCTION("""COMPUTED_VALUE"""),"")</f>
        <v/>
      </c>
      <c r="B7676" s="87"/>
      <c r="C7676" s="87"/>
      <c r="D7676" s="87"/>
      <c r="E7676" s="87"/>
      <c r="F7676" s="87"/>
      <c r="G7676" s="87"/>
    </row>
    <row r="7677">
      <c r="A7677" s="86" t="str">
        <f>IFERROR(__xludf.DUMMYFUNCTION("""COMPUTED_VALUE"""),"")</f>
        <v/>
      </c>
      <c r="B7677" s="87"/>
      <c r="C7677" s="87"/>
      <c r="D7677" s="87"/>
      <c r="E7677" s="87"/>
      <c r="F7677" s="87"/>
      <c r="G7677" s="87"/>
    </row>
    <row r="7678">
      <c r="A7678" s="86" t="str">
        <f>IFERROR(__xludf.DUMMYFUNCTION("""COMPUTED_VALUE"""),"")</f>
        <v/>
      </c>
      <c r="B7678" s="87"/>
      <c r="C7678" s="87"/>
      <c r="D7678" s="87"/>
      <c r="E7678" s="87"/>
      <c r="F7678" s="87"/>
      <c r="G7678" s="87"/>
    </row>
    <row r="7679">
      <c r="A7679" s="86" t="str">
        <f>IFERROR(__xludf.DUMMYFUNCTION("""COMPUTED_VALUE"""),"")</f>
        <v/>
      </c>
      <c r="B7679" s="87"/>
      <c r="C7679" s="87"/>
      <c r="D7679" s="87"/>
      <c r="E7679" s="87"/>
      <c r="F7679" s="87"/>
      <c r="G7679" s="87"/>
    </row>
    <row r="7680">
      <c r="A7680" s="86" t="str">
        <f>IFERROR(__xludf.DUMMYFUNCTION("""COMPUTED_VALUE"""),"")</f>
        <v/>
      </c>
      <c r="B7680" s="87"/>
      <c r="C7680" s="87"/>
      <c r="D7680" s="87"/>
      <c r="E7680" s="87"/>
      <c r="F7680" s="87"/>
      <c r="G7680" s="87"/>
    </row>
    <row r="7681">
      <c r="A7681" s="86" t="str">
        <f>IFERROR(__xludf.DUMMYFUNCTION("""COMPUTED_VALUE"""),"")</f>
        <v/>
      </c>
      <c r="B7681" s="87"/>
      <c r="C7681" s="87"/>
      <c r="D7681" s="87"/>
      <c r="E7681" s="87"/>
      <c r="F7681" s="87"/>
      <c r="G7681" s="87"/>
    </row>
    <row r="7682">
      <c r="A7682" s="86" t="str">
        <f>IFERROR(__xludf.DUMMYFUNCTION("""COMPUTED_VALUE"""),"")</f>
        <v/>
      </c>
      <c r="B7682" s="87"/>
      <c r="C7682" s="87"/>
      <c r="D7682" s="87"/>
      <c r="E7682" s="87"/>
      <c r="F7682" s="87"/>
      <c r="G7682" s="87"/>
    </row>
    <row r="7683">
      <c r="A7683" s="86" t="str">
        <f>IFERROR(__xludf.DUMMYFUNCTION("""COMPUTED_VALUE"""),"")</f>
        <v/>
      </c>
      <c r="B7683" s="87"/>
      <c r="C7683" s="87"/>
      <c r="D7683" s="87"/>
      <c r="E7683" s="87"/>
      <c r="F7683" s="87"/>
      <c r="G7683" s="87"/>
    </row>
    <row r="7684">
      <c r="A7684" s="86" t="str">
        <f>IFERROR(__xludf.DUMMYFUNCTION("""COMPUTED_VALUE"""),"")</f>
        <v/>
      </c>
      <c r="B7684" s="87"/>
      <c r="C7684" s="87"/>
      <c r="D7684" s="87"/>
      <c r="E7684" s="87"/>
      <c r="F7684" s="87"/>
      <c r="G7684" s="87"/>
    </row>
    <row r="7685">
      <c r="A7685" s="86" t="str">
        <f>IFERROR(__xludf.DUMMYFUNCTION("""COMPUTED_VALUE"""),"")</f>
        <v/>
      </c>
      <c r="B7685" s="87"/>
      <c r="C7685" s="87"/>
      <c r="D7685" s="87"/>
      <c r="E7685" s="87"/>
      <c r="F7685" s="87"/>
      <c r="G7685" s="87"/>
    </row>
    <row r="7686">
      <c r="A7686" s="86" t="str">
        <f>IFERROR(__xludf.DUMMYFUNCTION("""COMPUTED_VALUE"""),"")</f>
        <v/>
      </c>
      <c r="B7686" s="87"/>
      <c r="C7686" s="87"/>
      <c r="D7686" s="87"/>
      <c r="E7686" s="87"/>
      <c r="F7686" s="87"/>
      <c r="G7686" s="87"/>
    </row>
    <row r="7687">
      <c r="A7687" s="86" t="str">
        <f>IFERROR(__xludf.DUMMYFUNCTION("""COMPUTED_VALUE"""),"")</f>
        <v/>
      </c>
      <c r="B7687" s="87"/>
      <c r="C7687" s="87"/>
      <c r="D7687" s="87"/>
      <c r="E7687" s="87"/>
      <c r="F7687" s="87"/>
      <c r="G7687" s="87"/>
    </row>
    <row r="7688">
      <c r="A7688" s="86" t="str">
        <f>IFERROR(__xludf.DUMMYFUNCTION("""COMPUTED_VALUE"""),"")</f>
        <v/>
      </c>
      <c r="B7688" s="87"/>
      <c r="C7688" s="87"/>
      <c r="D7688" s="87"/>
      <c r="E7688" s="87"/>
      <c r="F7688" s="87"/>
      <c r="G7688" s="87"/>
    </row>
    <row r="7689">
      <c r="A7689" s="86" t="str">
        <f>IFERROR(__xludf.DUMMYFUNCTION("""COMPUTED_VALUE"""),"")</f>
        <v/>
      </c>
      <c r="B7689" s="87"/>
      <c r="C7689" s="87"/>
      <c r="D7689" s="87"/>
      <c r="E7689" s="87"/>
      <c r="F7689" s="87"/>
      <c r="G7689" s="87"/>
    </row>
    <row r="7690">
      <c r="A7690" s="86" t="str">
        <f>IFERROR(__xludf.DUMMYFUNCTION("""COMPUTED_VALUE"""),"")</f>
        <v/>
      </c>
      <c r="B7690" s="87"/>
      <c r="C7690" s="87"/>
      <c r="D7690" s="87"/>
      <c r="E7690" s="87"/>
      <c r="F7690" s="87"/>
      <c r="G7690" s="87"/>
    </row>
    <row r="7691">
      <c r="A7691" s="86" t="str">
        <f>IFERROR(__xludf.DUMMYFUNCTION("""COMPUTED_VALUE"""),"")</f>
        <v/>
      </c>
      <c r="B7691" s="87"/>
      <c r="C7691" s="87"/>
      <c r="D7691" s="87"/>
      <c r="E7691" s="87"/>
      <c r="F7691" s="87"/>
      <c r="G7691" s="87"/>
    </row>
    <row r="7692">
      <c r="A7692" s="86" t="str">
        <f>IFERROR(__xludf.DUMMYFUNCTION("""COMPUTED_VALUE"""),"")</f>
        <v/>
      </c>
      <c r="B7692" s="87"/>
      <c r="C7692" s="87"/>
      <c r="D7692" s="87"/>
      <c r="E7692" s="87"/>
      <c r="F7692" s="87"/>
      <c r="G7692" s="87"/>
    </row>
    <row r="7693">
      <c r="A7693" s="86" t="str">
        <f>IFERROR(__xludf.DUMMYFUNCTION("""COMPUTED_VALUE"""),"")</f>
        <v/>
      </c>
      <c r="B7693" s="87"/>
      <c r="C7693" s="87"/>
      <c r="D7693" s="87"/>
      <c r="E7693" s="87"/>
      <c r="F7693" s="87"/>
      <c r="G7693" s="87"/>
    </row>
    <row r="7694">
      <c r="A7694" s="86" t="str">
        <f>IFERROR(__xludf.DUMMYFUNCTION("""COMPUTED_VALUE"""),"")</f>
        <v/>
      </c>
      <c r="B7694" s="87"/>
      <c r="C7694" s="87"/>
      <c r="D7694" s="87"/>
      <c r="E7694" s="87"/>
      <c r="F7694" s="87"/>
      <c r="G7694" s="87"/>
    </row>
    <row r="7695">
      <c r="A7695" s="86" t="str">
        <f>IFERROR(__xludf.DUMMYFUNCTION("""COMPUTED_VALUE"""),"")</f>
        <v/>
      </c>
      <c r="B7695" s="87"/>
      <c r="C7695" s="87"/>
      <c r="D7695" s="87"/>
      <c r="E7695" s="87"/>
      <c r="F7695" s="87"/>
      <c r="G7695" s="87"/>
    </row>
    <row r="7696">
      <c r="A7696" s="86" t="str">
        <f>IFERROR(__xludf.DUMMYFUNCTION("""COMPUTED_VALUE"""),"")</f>
        <v/>
      </c>
      <c r="B7696" s="87"/>
      <c r="C7696" s="87"/>
      <c r="D7696" s="87"/>
      <c r="E7696" s="87"/>
      <c r="F7696" s="87"/>
      <c r="G7696" s="87"/>
    </row>
    <row r="7697">
      <c r="A7697" s="86" t="str">
        <f>IFERROR(__xludf.DUMMYFUNCTION("""COMPUTED_VALUE"""),"")</f>
        <v/>
      </c>
      <c r="B7697" s="87"/>
      <c r="C7697" s="87"/>
      <c r="D7697" s="87"/>
      <c r="E7697" s="87"/>
      <c r="F7697" s="87"/>
      <c r="G7697" s="87"/>
    </row>
    <row r="7698">
      <c r="A7698" s="86" t="str">
        <f>IFERROR(__xludf.DUMMYFUNCTION("""COMPUTED_VALUE"""),"")</f>
        <v/>
      </c>
      <c r="B7698" s="87"/>
      <c r="C7698" s="87"/>
      <c r="D7698" s="87"/>
      <c r="E7698" s="87"/>
      <c r="F7698" s="87"/>
      <c r="G7698" s="87"/>
    </row>
    <row r="7699">
      <c r="A7699" s="86" t="str">
        <f>IFERROR(__xludf.DUMMYFUNCTION("""COMPUTED_VALUE"""),"")</f>
        <v/>
      </c>
      <c r="B7699" s="87"/>
      <c r="C7699" s="87"/>
      <c r="D7699" s="87"/>
      <c r="E7699" s="87"/>
      <c r="F7699" s="87"/>
      <c r="G7699" s="87"/>
    </row>
    <row r="7700">
      <c r="A7700" s="86" t="str">
        <f>IFERROR(__xludf.DUMMYFUNCTION("""COMPUTED_VALUE"""),"")</f>
        <v/>
      </c>
      <c r="B7700" s="87"/>
      <c r="C7700" s="87"/>
      <c r="D7700" s="87"/>
      <c r="E7700" s="87"/>
      <c r="F7700" s="87"/>
      <c r="G7700" s="87"/>
    </row>
    <row r="7701">
      <c r="A7701" s="86" t="str">
        <f>IFERROR(__xludf.DUMMYFUNCTION("""COMPUTED_VALUE"""),"")</f>
        <v/>
      </c>
      <c r="B7701" s="87"/>
      <c r="C7701" s="87"/>
      <c r="D7701" s="87"/>
      <c r="E7701" s="87"/>
      <c r="F7701" s="87"/>
      <c r="G7701" s="87"/>
    </row>
    <row r="7702">
      <c r="A7702" s="86" t="str">
        <f>IFERROR(__xludf.DUMMYFUNCTION("""COMPUTED_VALUE"""),"")</f>
        <v/>
      </c>
      <c r="B7702" s="87"/>
      <c r="C7702" s="87"/>
      <c r="D7702" s="87"/>
      <c r="E7702" s="87"/>
      <c r="F7702" s="87"/>
      <c r="G7702" s="87"/>
    </row>
    <row r="7703">
      <c r="A7703" s="86" t="str">
        <f>IFERROR(__xludf.DUMMYFUNCTION("""COMPUTED_VALUE"""),"")</f>
        <v/>
      </c>
      <c r="B7703" s="87"/>
      <c r="C7703" s="87"/>
      <c r="D7703" s="87"/>
      <c r="E7703" s="87"/>
      <c r="F7703" s="87"/>
      <c r="G7703" s="87"/>
    </row>
    <row r="7704">
      <c r="A7704" s="86" t="str">
        <f>IFERROR(__xludf.DUMMYFUNCTION("""COMPUTED_VALUE"""),"")</f>
        <v/>
      </c>
      <c r="B7704" s="87"/>
      <c r="C7704" s="87"/>
      <c r="D7704" s="87"/>
      <c r="E7704" s="87"/>
      <c r="F7704" s="87"/>
      <c r="G7704" s="87"/>
    </row>
    <row r="7705">
      <c r="A7705" s="86" t="str">
        <f>IFERROR(__xludf.DUMMYFUNCTION("""COMPUTED_VALUE"""),"")</f>
        <v/>
      </c>
      <c r="B7705" s="87"/>
      <c r="C7705" s="87"/>
      <c r="D7705" s="87"/>
      <c r="E7705" s="87"/>
      <c r="F7705" s="87"/>
      <c r="G7705" s="87"/>
    </row>
    <row r="7706">
      <c r="A7706" s="86" t="str">
        <f>IFERROR(__xludf.DUMMYFUNCTION("""COMPUTED_VALUE"""),"")</f>
        <v/>
      </c>
      <c r="B7706" s="87"/>
      <c r="C7706" s="87"/>
      <c r="D7706" s="87"/>
      <c r="E7706" s="87"/>
      <c r="F7706" s="87"/>
      <c r="G7706" s="87"/>
    </row>
    <row r="7707">
      <c r="A7707" s="86" t="str">
        <f>IFERROR(__xludf.DUMMYFUNCTION("""COMPUTED_VALUE"""),"")</f>
        <v/>
      </c>
      <c r="B7707" s="87"/>
      <c r="C7707" s="87"/>
      <c r="D7707" s="87"/>
      <c r="E7707" s="87"/>
      <c r="F7707" s="87"/>
      <c r="G7707" s="87"/>
    </row>
    <row r="7708">
      <c r="A7708" s="86" t="str">
        <f>IFERROR(__xludf.DUMMYFUNCTION("""COMPUTED_VALUE"""),"")</f>
        <v/>
      </c>
      <c r="B7708" s="87"/>
      <c r="C7708" s="87"/>
      <c r="D7708" s="87"/>
      <c r="E7708" s="87"/>
      <c r="F7708" s="87"/>
      <c r="G7708" s="87"/>
    </row>
    <row r="7709">
      <c r="A7709" s="86" t="str">
        <f>IFERROR(__xludf.DUMMYFUNCTION("""COMPUTED_VALUE"""),"")</f>
        <v/>
      </c>
      <c r="B7709" s="87"/>
      <c r="C7709" s="87"/>
      <c r="D7709" s="87"/>
      <c r="E7709" s="87"/>
      <c r="F7709" s="87"/>
      <c r="G7709" s="87"/>
    </row>
    <row r="7710">
      <c r="A7710" s="86" t="str">
        <f>IFERROR(__xludf.DUMMYFUNCTION("""COMPUTED_VALUE"""),"")</f>
        <v/>
      </c>
      <c r="B7710" s="87"/>
      <c r="C7710" s="87"/>
      <c r="D7710" s="87"/>
      <c r="E7710" s="87"/>
      <c r="F7710" s="87"/>
      <c r="G7710" s="87"/>
    </row>
    <row r="7711">
      <c r="A7711" s="86" t="str">
        <f>IFERROR(__xludf.DUMMYFUNCTION("""COMPUTED_VALUE"""),"")</f>
        <v/>
      </c>
      <c r="B7711" s="87"/>
      <c r="C7711" s="87"/>
      <c r="D7711" s="87"/>
      <c r="E7711" s="87"/>
      <c r="F7711" s="87"/>
      <c r="G7711" s="87"/>
    </row>
    <row r="7712">
      <c r="A7712" s="86" t="str">
        <f>IFERROR(__xludf.DUMMYFUNCTION("""COMPUTED_VALUE"""),"")</f>
        <v/>
      </c>
      <c r="B7712" s="87"/>
      <c r="C7712" s="87"/>
      <c r="D7712" s="87"/>
      <c r="E7712" s="87"/>
      <c r="F7712" s="87"/>
      <c r="G7712" s="87"/>
    </row>
    <row r="7713">
      <c r="A7713" s="86" t="str">
        <f>IFERROR(__xludf.DUMMYFUNCTION("""COMPUTED_VALUE"""),"")</f>
        <v/>
      </c>
      <c r="B7713" s="87"/>
      <c r="C7713" s="87"/>
      <c r="D7713" s="87"/>
      <c r="E7713" s="87"/>
      <c r="F7713" s="87"/>
      <c r="G7713" s="87"/>
    </row>
    <row r="7714">
      <c r="A7714" s="86" t="str">
        <f>IFERROR(__xludf.DUMMYFUNCTION("""COMPUTED_VALUE"""),"")</f>
        <v/>
      </c>
      <c r="B7714" s="87"/>
      <c r="C7714" s="87"/>
      <c r="D7714" s="87"/>
      <c r="E7714" s="87"/>
      <c r="F7714" s="87"/>
      <c r="G7714" s="87"/>
    </row>
    <row r="7715">
      <c r="A7715" s="86" t="str">
        <f>IFERROR(__xludf.DUMMYFUNCTION("""COMPUTED_VALUE"""),"")</f>
        <v/>
      </c>
      <c r="B7715" s="87"/>
      <c r="C7715" s="87"/>
      <c r="D7715" s="87"/>
      <c r="E7715" s="87"/>
      <c r="F7715" s="87"/>
      <c r="G7715" s="87"/>
    </row>
    <row r="7716">
      <c r="A7716" s="86" t="str">
        <f>IFERROR(__xludf.DUMMYFUNCTION("""COMPUTED_VALUE"""),"")</f>
        <v/>
      </c>
      <c r="B7716" s="87"/>
      <c r="C7716" s="87"/>
      <c r="D7716" s="87"/>
      <c r="E7716" s="87"/>
      <c r="F7716" s="87"/>
      <c r="G7716" s="87"/>
    </row>
    <row r="7717">
      <c r="A7717" s="86" t="str">
        <f>IFERROR(__xludf.DUMMYFUNCTION("""COMPUTED_VALUE"""),"")</f>
        <v/>
      </c>
      <c r="B7717" s="87"/>
      <c r="C7717" s="87"/>
      <c r="D7717" s="87"/>
      <c r="E7717" s="87"/>
      <c r="F7717" s="87"/>
      <c r="G7717" s="87"/>
    </row>
    <row r="7718">
      <c r="A7718" s="86" t="str">
        <f>IFERROR(__xludf.DUMMYFUNCTION("""COMPUTED_VALUE"""),"")</f>
        <v/>
      </c>
      <c r="B7718" s="87"/>
      <c r="C7718" s="87"/>
      <c r="D7718" s="87"/>
      <c r="E7718" s="87"/>
      <c r="F7718" s="87"/>
      <c r="G7718" s="87"/>
    </row>
    <row r="7719">
      <c r="A7719" s="86" t="str">
        <f>IFERROR(__xludf.DUMMYFUNCTION("""COMPUTED_VALUE"""),"")</f>
        <v/>
      </c>
      <c r="B7719" s="87"/>
      <c r="C7719" s="87"/>
      <c r="D7719" s="87"/>
      <c r="E7719" s="87"/>
      <c r="F7719" s="87"/>
      <c r="G7719" s="87"/>
    </row>
    <row r="7720">
      <c r="A7720" s="86" t="str">
        <f>IFERROR(__xludf.DUMMYFUNCTION("""COMPUTED_VALUE"""),"")</f>
        <v/>
      </c>
      <c r="B7720" s="87"/>
      <c r="C7720" s="87"/>
      <c r="D7720" s="87"/>
      <c r="E7720" s="87"/>
      <c r="F7720" s="87"/>
      <c r="G7720" s="87"/>
    </row>
    <row r="7721">
      <c r="A7721" s="86" t="str">
        <f>IFERROR(__xludf.DUMMYFUNCTION("""COMPUTED_VALUE"""),"")</f>
        <v/>
      </c>
      <c r="B7721" s="87"/>
      <c r="C7721" s="87"/>
      <c r="D7721" s="87"/>
      <c r="E7721" s="87"/>
      <c r="F7721" s="87"/>
      <c r="G7721" s="87"/>
    </row>
    <row r="7722">
      <c r="A7722" s="86" t="str">
        <f>IFERROR(__xludf.DUMMYFUNCTION("""COMPUTED_VALUE"""),"")</f>
        <v/>
      </c>
      <c r="B7722" s="87"/>
      <c r="C7722" s="87"/>
      <c r="D7722" s="87"/>
      <c r="E7722" s="87"/>
      <c r="F7722" s="87"/>
      <c r="G7722" s="87"/>
    </row>
    <row r="7723">
      <c r="A7723" s="86" t="str">
        <f>IFERROR(__xludf.DUMMYFUNCTION("""COMPUTED_VALUE"""),"")</f>
        <v/>
      </c>
      <c r="B7723" s="87"/>
      <c r="C7723" s="87"/>
      <c r="D7723" s="87"/>
      <c r="E7723" s="87"/>
      <c r="F7723" s="87"/>
      <c r="G7723" s="87"/>
    </row>
    <row r="7724">
      <c r="A7724" s="86" t="str">
        <f>IFERROR(__xludf.DUMMYFUNCTION("""COMPUTED_VALUE"""),"")</f>
        <v/>
      </c>
      <c r="B7724" s="87"/>
      <c r="C7724" s="87"/>
      <c r="D7724" s="87"/>
      <c r="E7724" s="87"/>
      <c r="F7724" s="87"/>
      <c r="G7724" s="87"/>
    </row>
    <row r="7725">
      <c r="A7725" s="86" t="str">
        <f>IFERROR(__xludf.DUMMYFUNCTION("""COMPUTED_VALUE"""),"")</f>
        <v/>
      </c>
      <c r="B7725" s="87"/>
      <c r="C7725" s="87"/>
      <c r="D7725" s="87"/>
      <c r="E7725" s="87"/>
      <c r="F7725" s="87"/>
      <c r="G7725" s="87"/>
    </row>
    <row r="7726">
      <c r="A7726" s="86" t="str">
        <f>IFERROR(__xludf.DUMMYFUNCTION("""COMPUTED_VALUE"""),"")</f>
        <v/>
      </c>
      <c r="B7726" s="87"/>
      <c r="C7726" s="87"/>
      <c r="D7726" s="87"/>
      <c r="E7726" s="87"/>
      <c r="F7726" s="87"/>
      <c r="G7726" s="87"/>
    </row>
    <row r="7727">
      <c r="A7727" s="86" t="str">
        <f>IFERROR(__xludf.DUMMYFUNCTION("""COMPUTED_VALUE"""),"")</f>
        <v/>
      </c>
      <c r="B7727" s="87"/>
      <c r="C7727" s="87"/>
      <c r="D7727" s="87"/>
      <c r="E7727" s="87"/>
      <c r="F7727" s="87"/>
      <c r="G7727" s="87"/>
    </row>
    <row r="7728">
      <c r="A7728" s="86" t="str">
        <f>IFERROR(__xludf.DUMMYFUNCTION("""COMPUTED_VALUE"""),"")</f>
        <v/>
      </c>
      <c r="B7728" s="87"/>
      <c r="C7728" s="87"/>
      <c r="D7728" s="87"/>
      <c r="E7728" s="87"/>
      <c r="F7728" s="87"/>
      <c r="G7728" s="87"/>
    </row>
    <row r="7729">
      <c r="A7729" s="86" t="str">
        <f>IFERROR(__xludf.DUMMYFUNCTION("""COMPUTED_VALUE"""),"")</f>
        <v/>
      </c>
      <c r="B7729" s="87"/>
      <c r="C7729" s="87"/>
      <c r="D7729" s="87"/>
      <c r="E7729" s="87"/>
      <c r="F7729" s="87"/>
      <c r="G7729" s="87"/>
    </row>
    <row r="7730">
      <c r="A7730" s="86" t="str">
        <f>IFERROR(__xludf.DUMMYFUNCTION("""COMPUTED_VALUE"""),"")</f>
        <v/>
      </c>
      <c r="B7730" s="87"/>
      <c r="C7730" s="87"/>
      <c r="D7730" s="87"/>
      <c r="E7730" s="87"/>
      <c r="F7730" s="87"/>
      <c r="G7730" s="87"/>
    </row>
    <row r="7731">
      <c r="A7731" s="86" t="str">
        <f>IFERROR(__xludf.DUMMYFUNCTION("""COMPUTED_VALUE"""),"")</f>
        <v/>
      </c>
      <c r="B7731" s="87"/>
      <c r="C7731" s="87"/>
      <c r="D7731" s="87"/>
      <c r="E7731" s="87"/>
      <c r="F7731" s="87"/>
      <c r="G7731" s="87"/>
    </row>
    <row r="7732">
      <c r="A7732" s="86" t="str">
        <f>IFERROR(__xludf.DUMMYFUNCTION("""COMPUTED_VALUE"""),"")</f>
        <v/>
      </c>
      <c r="B7732" s="87"/>
      <c r="C7732" s="87"/>
      <c r="D7732" s="87"/>
      <c r="E7732" s="87"/>
      <c r="F7732" s="87"/>
      <c r="G7732" s="87"/>
    </row>
    <row r="7733">
      <c r="A7733" s="86" t="str">
        <f>IFERROR(__xludf.DUMMYFUNCTION("""COMPUTED_VALUE"""),"")</f>
        <v/>
      </c>
      <c r="B7733" s="87"/>
      <c r="C7733" s="87"/>
      <c r="D7733" s="87"/>
      <c r="E7733" s="87"/>
      <c r="F7733" s="87"/>
      <c r="G7733" s="87"/>
    </row>
    <row r="7734">
      <c r="A7734" s="86" t="str">
        <f>IFERROR(__xludf.DUMMYFUNCTION("""COMPUTED_VALUE"""),"")</f>
        <v/>
      </c>
      <c r="B7734" s="87"/>
      <c r="C7734" s="87"/>
      <c r="D7734" s="87"/>
      <c r="E7734" s="87"/>
      <c r="F7734" s="87"/>
      <c r="G7734" s="87"/>
    </row>
    <row r="7735">
      <c r="A7735" s="86" t="str">
        <f>IFERROR(__xludf.DUMMYFUNCTION("""COMPUTED_VALUE"""),"")</f>
        <v/>
      </c>
      <c r="B7735" s="87"/>
      <c r="C7735" s="87"/>
      <c r="D7735" s="87"/>
      <c r="E7735" s="87"/>
      <c r="F7735" s="87"/>
      <c r="G7735" s="87"/>
    </row>
    <row r="7736">
      <c r="A7736" s="86" t="str">
        <f>IFERROR(__xludf.DUMMYFUNCTION("""COMPUTED_VALUE"""),"")</f>
        <v/>
      </c>
      <c r="B7736" s="87"/>
      <c r="C7736" s="87"/>
      <c r="D7736" s="87"/>
      <c r="E7736" s="87"/>
      <c r="F7736" s="87"/>
      <c r="G7736" s="87"/>
    </row>
    <row r="7737">
      <c r="A7737" s="86" t="str">
        <f>IFERROR(__xludf.DUMMYFUNCTION("""COMPUTED_VALUE"""),"")</f>
        <v/>
      </c>
      <c r="B7737" s="87"/>
      <c r="C7737" s="87"/>
      <c r="D7737" s="87"/>
      <c r="E7737" s="87"/>
      <c r="F7737" s="87"/>
      <c r="G7737" s="87"/>
    </row>
    <row r="7738">
      <c r="A7738" s="86" t="str">
        <f>IFERROR(__xludf.DUMMYFUNCTION("""COMPUTED_VALUE"""),"")</f>
        <v/>
      </c>
      <c r="B7738" s="87"/>
      <c r="C7738" s="87"/>
      <c r="D7738" s="87"/>
      <c r="E7738" s="87"/>
      <c r="F7738" s="87"/>
      <c r="G7738" s="87"/>
    </row>
    <row r="7739">
      <c r="A7739" s="86" t="str">
        <f>IFERROR(__xludf.DUMMYFUNCTION("""COMPUTED_VALUE"""),"")</f>
        <v/>
      </c>
      <c r="B7739" s="87"/>
      <c r="C7739" s="87"/>
      <c r="D7739" s="87"/>
      <c r="E7739" s="87"/>
      <c r="F7739" s="87"/>
      <c r="G7739" s="87"/>
    </row>
    <row r="7740">
      <c r="A7740" s="86" t="str">
        <f>IFERROR(__xludf.DUMMYFUNCTION("""COMPUTED_VALUE"""),"")</f>
        <v/>
      </c>
      <c r="B7740" s="87"/>
      <c r="C7740" s="87"/>
      <c r="D7740" s="87"/>
      <c r="E7740" s="87"/>
      <c r="F7740" s="87"/>
      <c r="G7740" s="87"/>
    </row>
    <row r="7741">
      <c r="A7741" s="86" t="str">
        <f>IFERROR(__xludf.DUMMYFUNCTION("""COMPUTED_VALUE"""),"")</f>
        <v/>
      </c>
      <c r="B7741" s="87"/>
      <c r="C7741" s="87"/>
      <c r="D7741" s="87"/>
      <c r="E7741" s="87"/>
      <c r="F7741" s="87"/>
      <c r="G7741" s="87"/>
    </row>
    <row r="7742">
      <c r="A7742" s="86" t="str">
        <f>IFERROR(__xludf.DUMMYFUNCTION("""COMPUTED_VALUE"""),"")</f>
        <v/>
      </c>
      <c r="B7742" s="87"/>
      <c r="C7742" s="87"/>
      <c r="D7742" s="87"/>
      <c r="E7742" s="87"/>
      <c r="F7742" s="87"/>
      <c r="G7742" s="87"/>
    </row>
    <row r="7743">
      <c r="A7743" s="86" t="str">
        <f>IFERROR(__xludf.DUMMYFUNCTION("""COMPUTED_VALUE"""),"")</f>
        <v/>
      </c>
      <c r="B7743" s="87"/>
      <c r="C7743" s="87"/>
      <c r="D7743" s="87"/>
      <c r="E7743" s="87"/>
      <c r="F7743" s="87"/>
      <c r="G7743" s="87"/>
    </row>
    <row r="7744">
      <c r="A7744" s="86" t="str">
        <f>IFERROR(__xludf.DUMMYFUNCTION("""COMPUTED_VALUE"""),"")</f>
        <v/>
      </c>
      <c r="B7744" s="87"/>
      <c r="C7744" s="87"/>
      <c r="D7744" s="87"/>
      <c r="E7744" s="87"/>
      <c r="F7744" s="87"/>
      <c r="G7744" s="87"/>
    </row>
    <row r="7745">
      <c r="A7745" s="86" t="str">
        <f>IFERROR(__xludf.DUMMYFUNCTION("""COMPUTED_VALUE"""),"")</f>
        <v/>
      </c>
      <c r="B7745" s="87"/>
      <c r="C7745" s="87"/>
      <c r="D7745" s="87"/>
      <c r="E7745" s="87"/>
      <c r="F7745" s="87"/>
      <c r="G7745" s="87"/>
    </row>
    <row r="7746">
      <c r="A7746" s="86" t="str">
        <f>IFERROR(__xludf.DUMMYFUNCTION("""COMPUTED_VALUE"""),"")</f>
        <v/>
      </c>
      <c r="B7746" s="87"/>
      <c r="C7746" s="87"/>
      <c r="D7746" s="87"/>
      <c r="E7746" s="87"/>
      <c r="F7746" s="87"/>
      <c r="G7746" s="87"/>
    </row>
    <row r="7747">
      <c r="A7747" s="86" t="str">
        <f>IFERROR(__xludf.DUMMYFUNCTION("""COMPUTED_VALUE"""),"")</f>
        <v/>
      </c>
      <c r="B7747" s="87"/>
      <c r="C7747" s="87"/>
      <c r="D7747" s="87"/>
      <c r="E7747" s="87"/>
      <c r="F7747" s="87"/>
      <c r="G7747" s="87"/>
    </row>
    <row r="7748">
      <c r="A7748" s="86" t="str">
        <f>IFERROR(__xludf.DUMMYFUNCTION("""COMPUTED_VALUE"""),"")</f>
        <v/>
      </c>
      <c r="B7748" s="87"/>
      <c r="C7748" s="87"/>
      <c r="D7748" s="87"/>
      <c r="E7748" s="87"/>
      <c r="F7748" s="87"/>
      <c r="G7748" s="87"/>
    </row>
    <row r="7749">
      <c r="A7749" s="86" t="str">
        <f>IFERROR(__xludf.DUMMYFUNCTION("""COMPUTED_VALUE"""),"")</f>
        <v/>
      </c>
      <c r="B7749" s="87"/>
      <c r="C7749" s="87"/>
      <c r="D7749" s="87"/>
      <c r="E7749" s="87"/>
      <c r="F7749" s="87"/>
      <c r="G7749" s="87"/>
    </row>
    <row r="7750">
      <c r="A7750" s="86" t="str">
        <f>IFERROR(__xludf.DUMMYFUNCTION("""COMPUTED_VALUE"""),"")</f>
        <v/>
      </c>
      <c r="B7750" s="87"/>
      <c r="C7750" s="87"/>
      <c r="D7750" s="87"/>
      <c r="E7750" s="87"/>
      <c r="F7750" s="87"/>
      <c r="G7750" s="87"/>
    </row>
    <row r="7751">
      <c r="A7751" s="86" t="str">
        <f>IFERROR(__xludf.DUMMYFUNCTION("""COMPUTED_VALUE"""),"")</f>
        <v/>
      </c>
      <c r="B7751" s="87"/>
      <c r="C7751" s="87"/>
      <c r="D7751" s="87"/>
      <c r="E7751" s="87"/>
      <c r="F7751" s="87"/>
      <c r="G7751" s="87"/>
    </row>
    <row r="7752">
      <c r="A7752" s="86" t="str">
        <f>IFERROR(__xludf.DUMMYFUNCTION("""COMPUTED_VALUE"""),"")</f>
        <v/>
      </c>
      <c r="B7752" s="87"/>
      <c r="C7752" s="87"/>
      <c r="D7752" s="87"/>
      <c r="E7752" s="87"/>
      <c r="F7752" s="87"/>
      <c r="G7752" s="87"/>
    </row>
    <row r="7753">
      <c r="A7753" s="86" t="str">
        <f>IFERROR(__xludf.DUMMYFUNCTION("""COMPUTED_VALUE"""),"")</f>
        <v/>
      </c>
      <c r="B7753" s="87"/>
      <c r="C7753" s="87"/>
      <c r="D7753" s="87"/>
      <c r="E7753" s="87"/>
      <c r="F7753" s="87"/>
      <c r="G7753" s="87"/>
    </row>
    <row r="7754">
      <c r="A7754" s="86" t="str">
        <f>IFERROR(__xludf.DUMMYFUNCTION("""COMPUTED_VALUE"""),"")</f>
        <v/>
      </c>
      <c r="B7754" s="87"/>
      <c r="C7754" s="87"/>
      <c r="D7754" s="87"/>
      <c r="E7754" s="87"/>
      <c r="F7754" s="87"/>
      <c r="G7754" s="87"/>
    </row>
    <row r="7755">
      <c r="A7755" s="86" t="str">
        <f>IFERROR(__xludf.DUMMYFUNCTION("""COMPUTED_VALUE"""),"")</f>
        <v/>
      </c>
      <c r="B7755" s="87"/>
      <c r="C7755" s="87"/>
      <c r="D7755" s="87"/>
      <c r="E7755" s="87"/>
      <c r="F7755" s="87"/>
      <c r="G7755" s="87"/>
    </row>
    <row r="7756">
      <c r="A7756" s="86" t="str">
        <f>IFERROR(__xludf.DUMMYFUNCTION("""COMPUTED_VALUE"""),"")</f>
        <v/>
      </c>
      <c r="B7756" s="87"/>
      <c r="C7756" s="87"/>
      <c r="D7756" s="87"/>
      <c r="E7756" s="87"/>
      <c r="F7756" s="87"/>
      <c r="G7756" s="87"/>
    </row>
    <row r="7757">
      <c r="A7757" s="86" t="str">
        <f>IFERROR(__xludf.DUMMYFUNCTION("""COMPUTED_VALUE"""),"")</f>
        <v/>
      </c>
      <c r="B7757" s="87"/>
      <c r="C7757" s="87"/>
      <c r="D7757" s="87"/>
      <c r="E7757" s="87"/>
      <c r="F7757" s="87"/>
      <c r="G7757" s="87"/>
    </row>
    <row r="7758">
      <c r="A7758" s="86" t="str">
        <f>IFERROR(__xludf.DUMMYFUNCTION("""COMPUTED_VALUE"""),"")</f>
        <v/>
      </c>
      <c r="B7758" s="87"/>
      <c r="C7758" s="87"/>
      <c r="D7758" s="87"/>
      <c r="E7758" s="87"/>
      <c r="F7758" s="87"/>
      <c r="G7758" s="87"/>
    </row>
    <row r="7759">
      <c r="A7759" s="86" t="str">
        <f>IFERROR(__xludf.DUMMYFUNCTION("""COMPUTED_VALUE"""),"")</f>
        <v/>
      </c>
      <c r="B7759" s="87"/>
      <c r="C7759" s="87"/>
      <c r="D7759" s="87"/>
      <c r="E7759" s="87"/>
      <c r="F7759" s="87"/>
      <c r="G7759" s="87"/>
    </row>
    <row r="7760">
      <c r="A7760" s="86" t="str">
        <f>IFERROR(__xludf.DUMMYFUNCTION("""COMPUTED_VALUE"""),"")</f>
        <v/>
      </c>
      <c r="B7760" s="87"/>
      <c r="C7760" s="87"/>
      <c r="D7760" s="87"/>
      <c r="E7760" s="87"/>
      <c r="F7760" s="87"/>
      <c r="G7760" s="87"/>
    </row>
    <row r="7761">
      <c r="A7761" s="86" t="str">
        <f>IFERROR(__xludf.DUMMYFUNCTION("""COMPUTED_VALUE"""),"")</f>
        <v/>
      </c>
      <c r="B7761" s="87"/>
      <c r="C7761" s="87"/>
      <c r="D7761" s="87"/>
      <c r="E7761" s="87"/>
      <c r="F7761" s="87"/>
      <c r="G7761" s="87"/>
    </row>
    <row r="7762">
      <c r="A7762" s="86" t="str">
        <f>IFERROR(__xludf.DUMMYFUNCTION("""COMPUTED_VALUE"""),"")</f>
        <v/>
      </c>
      <c r="B7762" s="87"/>
      <c r="C7762" s="87"/>
      <c r="D7762" s="87"/>
      <c r="E7762" s="87"/>
      <c r="F7762" s="87"/>
      <c r="G7762" s="87"/>
    </row>
    <row r="7763">
      <c r="A7763" s="86" t="str">
        <f>IFERROR(__xludf.DUMMYFUNCTION("""COMPUTED_VALUE"""),"")</f>
        <v/>
      </c>
      <c r="B7763" s="87"/>
      <c r="C7763" s="87"/>
      <c r="D7763" s="87"/>
      <c r="E7763" s="87"/>
      <c r="F7763" s="87"/>
      <c r="G7763" s="87"/>
    </row>
    <row r="7764">
      <c r="A7764" s="86" t="str">
        <f>IFERROR(__xludf.DUMMYFUNCTION("""COMPUTED_VALUE"""),"")</f>
        <v/>
      </c>
      <c r="B7764" s="87"/>
      <c r="C7764" s="87"/>
      <c r="D7764" s="87"/>
      <c r="E7764" s="87"/>
      <c r="F7764" s="87"/>
      <c r="G7764" s="87"/>
    </row>
    <row r="7765">
      <c r="A7765" s="86" t="str">
        <f>IFERROR(__xludf.DUMMYFUNCTION("""COMPUTED_VALUE"""),"")</f>
        <v/>
      </c>
      <c r="B7765" s="87"/>
      <c r="C7765" s="87"/>
      <c r="D7765" s="87"/>
      <c r="E7765" s="87"/>
      <c r="F7765" s="87"/>
      <c r="G7765" s="87"/>
    </row>
    <row r="7766">
      <c r="A7766" s="86" t="str">
        <f>IFERROR(__xludf.DUMMYFUNCTION("""COMPUTED_VALUE"""),"")</f>
        <v/>
      </c>
      <c r="B7766" s="87"/>
      <c r="C7766" s="87"/>
      <c r="D7766" s="87"/>
      <c r="E7766" s="87"/>
      <c r="F7766" s="87"/>
      <c r="G7766" s="87"/>
    </row>
    <row r="7767">
      <c r="A7767" s="86" t="str">
        <f>IFERROR(__xludf.DUMMYFUNCTION("""COMPUTED_VALUE"""),"")</f>
        <v/>
      </c>
      <c r="B7767" s="87"/>
      <c r="C7767" s="87"/>
      <c r="D7767" s="87"/>
      <c r="E7767" s="87"/>
      <c r="F7767" s="87"/>
      <c r="G7767" s="87"/>
    </row>
    <row r="7768">
      <c r="A7768" s="86" t="str">
        <f>IFERROR(__xludf.DUMMYFUNCTION("""COMPUTED_VALUE"""),"")</f>
        <v/>
      </c>
      <c r="B7768" s="87"/>
      <c r="C7768" s="87"/>
      <c r="D7768" s="87"/>
      <c r="E7768" s="87"/>
      <c r="F7768" s="87"/>
      <c r="G7768" s="87"/>
    </row>
    <row r="7769">
      <c r="A7769" s="86" t="str">
        <f>IFERROR(__xludf.DUMMYFUNCTION("""COMPUTED_VALUE"""),"")</f>
        <v/>
      </c>
      <c r="B7769" s="87"/>
      <c r="C7769" s="87"/>
      <c r="D7769" s="87"/>
      <c r="E7769" s="87"/>
      <c r="F7769" s="87"/>
      <c r="G7769" s="87"/>
    </row>
    <row r="7770">
      <c r="A7770" s="86" t="str">
        <f>IFERROR(__xludf.DUMMYFUNCTION("""COMPUTED_VALUE"""),"")</f>
        <v/>
      </c>
      <c r="B7770" s="87"/>
      <c r="C7770" s="87"/>
      <c r="D7770" s="87"/>
      <c r="E7770" s="87"/>
      <c r="F7770" s="87"/>
      <c r="G7770" s="87"/>
    </row>
    <row r="7771">
      <c r="A7771" s="86" t="str">
        <f>IFERROR(__xludf.DUMMYFUNCTION("""COMPUTED_VALUE"""),"")</f>
        <v/>
      </c>
      <c r="B7771" s="87"/>
      <c r="C7771" s="87"/>
      <c r="D7771" s="87"/>
      <c r="E7771" s="87"/>
      <c r="F7771" s="87"/>
      <c r="G7771" s="87"/>
    </row>
    <row r="7772">
      <c r="A7772" s="86" t="str">
        <f>IFERROR(__xludf.DUMMYFUNCTION("""COMPUTED_VALUE"""),"")</f>
        <v/>
      </c>
      <c r="B7772" s="87"/>
      <c r="C7772" s="87"/>
      <c r="D7772" s="87"/>
      <c r="E7772" s="87"/>
      <c r="F7772" s="87"/>
      <c r="G7772" s="87"/>
    </row>
    <row r="7773">
      <c r="A7773" s="86" t="str">
        <f>IFERROR(__xludf.DUMMYFUNCTION("""COMPUTED_VALUE"""),"")</f>
        <v/>
      </c>
      <c r="B7773" s="87"/>
      <c r="C7773" s="87"/>
      <c r="D7773" s="87"/>
      <c r="E7773" s="87"/>
      <c r="F7773" s="87"/>
      <c r="G7773" s="87"/>
    </row>
    <row r="7774">
      <c r="A7774" s="86" t="str">
        <f>IFERROR(__xludf.DUMMYFUNCTION("""COMPUTED_VALUE"""),"")</f>
        <v/>
      </c>
      <c r="B7774" s="87"/>
      <c r="C7774" s="87"/>
      <c r="D7774" s="87"/>
      <c r="E7774" s="87"/>
      <c r="F7774" s="87"/>
      <c r="G7774" s="87"/>
    </row>
    <row r="7775">
      <c r="A7775" s="86" t="str">
        <f>IFERROR(__xludf.DUMMYFUNCTION("""COMPUTED_VALUE"""),"")</f>
        <v/>
      </c>
      <c r="B7775" s="87"/>
      <c r="C7775" s="87"/>
      <c r="D7775" s="87"/>
      <c r="E7775" s="87"/>
      <c r="F7775" s="87"/>
      <c r="G7775" s="87"/>
    </row>
    <row r="7776">
      <c r="A7776" s="86" t="str">
        <f>IFERROR(__xludf.DUMMYFUNCTION("""COMPUTED_VALUE"""),"")</f>
        <v/>
      </c>
      <c r="B7776" s="87"/>
      <c r="C7776" s="87"/>
      <c r="D7776" s="87"/>
      <c r="E7776" s="87"/>
      <c r="F7776" s="87"/>
      <c r="G7776" s="87"/>
    </row>
    <row r="7777">
      <c r="A7777" s="86" t="str">
        <f>IFERROR(__xludf.DUMMYFUNCTION("""COMPUTED_VALUE"""),"")</f>
        <v/>
      </c>
      <c r="B7777" s="87"/>
      <c r="C7777" s="87"/>
      <c r="D7777" s="87"/>
      <c r="E7777" s="87"/>
      <c r="F7777" s="87"/>
      <c r="G7777" s="87"/>
    </row>
    <row r="7778">
      <c r="A7778" s="86" t="str">
        <f>IFERROR(__xludf.DUMMYFUNCTION("""COMPUTED_VALUE"""),"")</f>
        <v/>
      </c>
      <c r="B7778" s="87"/>
      <c r="C7778" s="87"/>
      <c r="D7778" s="87"/>
      <c r="E7778" s="87"/>
      <c r="F7778" s="87"/>
      <c r="G7778" s="87"/>
    </row>
    <row r="7779">
      <c r="A7779" s="86" t="str">
        <f>IFERROR(__xludf.DUMMYFUNCTION("""COMPUTED_VALUE"""),"")</f>
        <v/>
      </c>
      <c r="B7779" s="87"/>
      <c r="C7779" s="87"/>
      <c r="D7779" s="87"/>
      <c r="E7779" s="87"/>
      <c r="F7779" s="87"/>
      <c r="G7779" s="87"/>
    </row>
    <row r="7780">
      <c r="A7780" s="86" t="str">
        <f>IFERROR(__xludf.DUMMYFUNCTION("""COMPUTED_VALUE"""),"")</f>
        <v/>
      </c>
      <c r="B7780" s="87"/>
      <c r="C7780" s="87"/>
      <c r="D7780" s="87"/>
      <c r="E7780" s="87"/>
      <c r="F7780" s="87"/>
      <c r="G7780" s="87"/>
    </row>
    <row r="7781">
      <c r="A7781" s="86" t="str">
        <f>IFERROR(__xludf.DUMMYFUNCTION("""COMPUTED_VALUE"""),"")</f>
        <v/>
      </c>
      <c r="B7781" s="87"/>
      <c r="C7781" s="87"/>
      <c r="D7781" s="87"/>
      <c r="E7781" s="87"/>
      <c r="F7781" s="87"/>
      <c r="G7781" s="87"/>
    </row>
    <row r="7782">
      <c r="A7782" s="86" t="str">
        <f>IFERROR(__xludf.DUMMYFUNCTION("""COMPUTED_VALUE"""),"")</f>
        <v/>
      </c>
      <c r="B7782" s="87"/>
      <c r="C7782" s="87"/>
      <c r="D7782" s="87"/>
      <c r="E7782" s="87"/>
      <c r="F7782" s="87"/>
      <c r="G7782" s="87"/>
    </row>
    <row r="7783">
      <c r="A7783" s="86" t="str">
        <f>IFERROR(__xludf.DUMMYFUNCTION("""COMPUTED_VALUE"""),"")</f>
        <v/>
      </c>
      <c r="B7783" s="87"/>
      <c r="C7783" s="87"/>
      <c r="D7783" s="87"/>
      <c r="E7783" s="87"/>
      <c r="F7783" s="87"/>
      <c r="G7783" s="87"/>
    </row>
    <row r="7784">
      <c r="A7784" s="86" t="str">
        <f>IFERROR(__xludf.DUMMYFUNCTION("""COMPUTED_VALUE"""),"")</f>
        <v/>
      </c>
      <c r="B7784" s="87"/>
      <c r="C7784" s="87"/>
      <c r="D7784" s="87"/>
      <c r="E7784" s="87"/>
      <c r="F7784" s="87"/>
      <c r="G7784" s="87"/>
    </row>
    <row r="7785">
      <c r="A7785" s="86" t="str">
        <f>IFERROR(__xludf.DUMMYFUNCTION("""COMPUTED_VALUE"""),"")</f>
        <v/>
      </c>
      <c r="B7785" s="87"/>
      <c r="C7785" s="87"/>
      <c r="D7785" s="87"/>
      <c r="E7785" s="87"/>
      <c r="F7785" s="87"/>
      <c r="G7785" s="87"/>
    </row>
    <row r="7786">
      <c r="A7786" s="86" t="str">
        <f>IFERROR(__xludf.DUMMYFUNCTION("""COMPUTED_VALUE"""),"")</f>
        <v/>
      </c>
      <c r="B7786" s="87"/>
      <c r="C7786" s="87"/>
      <c r="D7786" s="87"/>
      <c r="E7786" s="87"/>
      <c r="F7786" s="87"/>
      <c r="G7786" s="87"/>
    </row>
    <row r="7787">
      <c r="A7787" s="86" t="str">
        <f>IFERROR(__xludf.DUMMYFUNCTION("""COMPUTED_VALUE"""),"")</f>
        <v/>
      </c>
      <c r="B7787" s="87"/>
      <c r="C7787" s="87"/>
      <c r="D7787" s="87"/>
      <c r="E7787" s="87"/>
      <c r="F7787" s="87"/>
      <c r="G7787" s="87"/>
    </row>
    <row r="7788">
      <c r="A7788" s="86" t="str">
        <f>IFERROR(__xludf.DUMMYFUNCTION("""COMPUTED_VALUE"""),"")</f>
        <v/>
      </c>
      <c r="B7788" s="87"/>
      <c r="C7788" s="87"/>
      <c r="D7788" s="87"/>
      <c r="E7788" s="87"/>
      <c r="F7788" s="87"/>
      <c r="G7788" s="87"/>
    </row>
    <row r="7789">
      <c r="A7789" s="86" t="str">
        <f>IFERROR(__xludf.DUMMYFUNCTION("""COMPUTED_VALUE"""),"")</f>
        <v/>
      </c>
      <c r="B7789" s="87"/>
      <c r="C7789" s="87"/>
      <c r="D7789" s="87"/>
      <c r="E7789" s="87"/>
      <c r="F7789" s="87"/>
      <c r="G7789" s="87"/>
    </row>
    <row r="7790">
      <c r="A7790" s="86" t="str">
        <f>IFERROR(__xludf.DUMMYFUNCTION("""COMPUTED_VALUE"""),"")</f>
        <v/>
      </c>
      <c r="B7790" s="87"/>
      <c r="C7790" s="87"/>
      <c r="D7790" s="87"/>
      <c r="E7790" s="87"/>
      <c r="F7790" s="87"/>
      <c r="G7790" s="87"/>
    </row>
    <row r="7791">
      <c r="A7791" s="86" t="str">
        <f>IFERROR(__xludf.DUMMYFUNCTION("""COMPUTED_VALUE"""),"")</f>
        <v/>
      </c>
      <c r="B7791" s="87"/>
      <c r="C7791" s="87"/>
      <c r="D7791" s="87"/>
      <c r="E7791" s="87"/>
      <c r="F7791" s="87"/>
      <c r="G7791" s="87"/>
    </row>
    <row r="7792">
      <c r="A7792" s="86" t="str">
        <f>IFERROR(__xludf.DUMMYFUNCTION("""COMPUTED_VALUE"""),"")</f>
        <v/>
      </c>
      <c r="B7792" s="87"/>
      <c r="C7792" s="87"/>
      <c r="D7792" s="87"/>
      <c r="E7792" s="87"/>
      <c r="F7792" s="87"/>
      <c r="G7792" s="87"/>
    </row>
    <row r="7793">
      <c r="A7793" s="86" t="str">
        <f>IFERROR(__xludf.DUMMYFUNCTION("""COMPUTED_VALUE"""),"")</f>
        <v/>
      </c>
      <c r="B7793" s="87"/>
      <c r="C7793" s="87"/>
      <c r="D7793" s="87"/>
      <c r="E7793" s="87"/>
      <c r="F7793" s="87"/>
      <c r="G7793" s="87"/>
    </row>
    <row r="7794">
      <c r="A7794" s="86" t="str">
        <f>IFERROR(__xludf.DUMMYFUNCTION("""COMPUTED_VALUE"""),"")</f>
        <v/>
      </c>
      <c r="B7794" s="87"/>
      <c r="C7794" s="87"/>
      <c r="D7794" s="87"/>
      <c r="E7794" s="87"/>
      <c r="F7794" s="87"/>
      <c r="G7794" s="87"/>
    </row>
    <row r="7795">
      <c r="A7795" s="86" t="str">
        <f>IFERROR(__xludf.DUMMYFUNCTION("""COMPUTED_VALUE"""),"")</f>
        <v/>
      </c>
      <c r="B7795" s="87"/>
      <c r="C7795" s="87"/>
      <c r="D7795" s="87"/>
      <c r="E7795" s="87"/>
      <c r="F7795" s="87"/>
      <c r="G7795" s="87"/>
    </row>
    <row r="7796">
      <c r="A7796" s="86" t="str">
        <f>IFERROR(__xludf.DUMMYFUNCTION("""COMPUTED_VALUE"""),"")</f>
        <v/>
      </c>
      <c r="B7796" s="87"/>
      <c r="C7796" s="87"/>
      <c r="D7796" s="87"/>
      <c r="E7796" s="87"/>
      <c r="F7796" s="87"/>
      <c r="G7796" s="87"/>
    </row>
    <row r="7797">
      <c r="A7797" s="86" t="str">
        <f>IFERROR(__xludf.DUMMYFUNCTION("""COMPUTED_VALUE"""),"")</f>
        <v/>
      </c>
      <c r="B7797" s="87"/>
      <c r="C7797" s="87"/>
      <c r="D7797" s="87"/>
      <c r="E7797" s="87"/>
      <c r="F7797" s="87"/>
      <c r="G7797" s="87"/>
    </row>
    <row r="7798">
      <c r="A7798" s="86" t="str">
        <f>IFERROR(__xludf.DUMMYFUNCTION("""COMPUTED_VALUE"""),"")</f>
        <v/>
      </c>
      <c r="B7798" s="87"/>
      <c r="C7798" s="87"/>
      <c r="D7798" s="87"/>
      <c r="E7798" s="87"/>
      <c r="F7798" s="87"/>
      <c r="G7798" s="87"/>
    </row>
    <row r="7799">
      <c r="A7799" s="86" t="str">
        <f>IFERROR(__xludf.DUMMYFUNCTION("""COMPUTED_VALUE"""),"")</f>
        <v/>
      </c>
      <c r="B7799" s="87"/>
      <c r="C7799" s="87"/>
      <c r="D7799" s="87"/>
      <c r="E7799" s="87"/>
      <c r="F7799" s="87"/>
      <c r="G7799" s="87"/>
    </row>
    <row r="7800">
      <c r="A7800" s="86" t="str">
        <f>IFERROR(__xludf.DUMMYFUNCTION("""COMPUTED_VALUE"""),"")</f>
        <v/>
      </c>
      <c r="B7800" s="87"/>
      <c r="C7800" s="87"/>
      <c r="D7800" s="87"/>
      <c r="E7800" s="87"/>
      <c r="F7800" s="87"/>
      <c r="G7800" s="87"/>
    </row>
    <row r="7801">
      <c r="A7801" s="86" t="str">
        <f>IFERROR(__xludf.DUMMYFUNCTION("""COMPUTED_VALUE"""),"")</f>
        <v/>
      </c>
      <c r="B7801" s="87"/>
      <c r="C7801" s="87"/>
      <c r="D7801" s="87"/>
      <c r="E7801" s="87"/>
      <c r="F7801" s="87"/>
      <c r="G7801" s="87"/>
    </row>
    <row r="7802">
      <c r="A7802" s="86" t="str">
        <f>IFERROR(__xludf.DUMMYFUNCTION("""COMPUTED_VALUE"""),"")</f>
        <v/>
      </c>
      <c r="B7802" s="87"/>
      <c r="C7802" s="87"/>
      <c r="D7802" s="87"/>
      <c r="E7802" s="87"/>
      <c r="F7802" s="87"/>
      <c r="G7802" s="87"/>
    </row>
    <row r="7803">
      <c r="A7803" s="86" t="str">
        <f>IFERROR(__xludf.DUMMYFUNCTION("""COMPUTED_VALUE"""),"")</f>
        <v/>
      </c>
      <c r="B7803" s="87"/>
      <c r="C7803" s="87"/>
      <c r="D7803" s="87"/>
      <c r="E7803" s="87"/>
      <c r="F7803" s="87"/>
      <c r="G7803" s="87"/>
    </row>
    <row r="7804">
      <c r="A7804" s="86" t="str">
        <f>IFERROR(__xludf.DUMMYFUNCTION("""COMPUTED_VALUE"""),"")</f>
        <v/>
      </c>
      <c r="B7804" s="87"/>
      <c r="C7804" s="87"/>
      <c r="D7804" s="87"/>
      <c r="E7804" s="87"/>
      <c r="F7804" s="87"/>
      <c r="G7804" s="87"/>
    </row>
    <row r="7805">
      <c r="A7805" s="86" t="str">
        <f>IFERROR(__xludf.DUMMYFUNCTION("""COMPUTED_VALUE"""),"")</f>
        <v/>
      </c>
      <c r="B7805" s="87"/>
      <c r="C7805" s="87"/>
      <c r="D7805" s="87"/>
      <c r="E7805" s="87"/>
      <c r="F7805" s="87"/>
      <c r="G7805" s="87"/>
    </row>
    <row r="7806">
      <c r="A7806" s="86" t="str">
        <f>IFERROR(__xludf.DUMMYFUNCTION("""COMPUTED_VALUE"""),"")</f>
        <v/>
      </c>
      <c r="B7806" s="87"/>
      <c r="C7806" s="87"/>
      <c r="D7806" s="87"/>
      <c r="E7806" s="87"/>
      <c r="F7806" s="87"/>
      <c r="G7806" s="87"/>
    </row>
    <row r="7807">
      <c r="A7807" s="86" t="str">
        <f>IFERROR(__xludf.DUMMYFUNCTION("""COMPUTED_VALUE"""),"")</f>
        <v/>
      </c>
      <c r="B7807" s="87"/>
      <c r="C7807" s="87"/>
      <c r="D7807" s="87"/>
      <c r="E7807" s="87"/>
      <c r="F7807" s="87"/>
      <c r="G7807" s="87"/>
    </row>
    <row r="7808">
      <c r="A7808" s="86" t="str">
        <f>IFERROR(__xludf.DUMMYFUNCTION("""COMPUTED_VALUE"""),"")</f>
        <v/>
      </c>
      <c r="B7808" s="87"/>
      <c r="C7808" s="87"/>
      <c r="D7808" s="87"/>
      <c r="E7808" s="87"/>
      <c r="F7808" s="87"/>
      <c r="G7808" s="87"/>
    </row>
    <row r="7809">
      <c r="A7809" s="86" t="str">
        <f>IFERROR(__xludf.DUMMYFUNCTION("""COMPUTED_VALUE"""),"")</f>
        <v/>
      </c>
      <c r="B7809" s="87"/>
      <c r="C7809" s="87"/>
      <c r="D7809" s="87"/>
      <c r="E7809" s="87"/>
      <c r="F7809" s="87"/>
      <c r="G7809" s="87"/>
    </row>
    <row r="7810">
      <c r="A7810" s="86" t="str">
        <f>IFERROR(__xludf.DUMMYFUNCTION("""COMPUTED_VALUE"""),"")</f>
        <v/>
      </c>
      <c r="B7810" s="87"/>
      <c r="C7810" s="87"/>
      <c r="D7810" s="87"/>
      <c r="E7810" s="87"/>
      <c r="F7810" s="87"/>
      <c r="G7810" s="87"/>
    </row>
    <row r="7811">
      <c r="A7811" s="86" t="str">
        <f>IFERROR(__xludf.DUMMYFUNCTION("""COMPUTED_VALUE"""),"")</f>
        <v/>
      </c>
      <c r="B7811" s="87"/>
      <c r="C7811" s="87"/>
      <c r="D7811" s="87"/>
      <c r="E7811" s="87"/>
      <c r="F7811" s="87"/>
      <c r="G7811" s="87"/>
    </row>
    <row r="7812">
      <c r="A7812" s="86" t="str">
        <f>IFERROR(__xludf.DUMMYFUNCTION("""COMPUTED_VALUE"""),"")</f>
        <v/>
      </c>
      <c r="B7812" s="87"/>
      <c r="C7812" s="87"/>
      <c r="D7812" s="87"/>
      <c r="E7812" s="87"/>
      <c r="F7812" s="87"/>
      <c r="G7812" s="87"/>
    </row>
    <row r="7813">
      <c r="A7813" s="86" t="str">
        <f>IFERROR(__xludf.DUMMYFUNCTION("""COMPUTED_VALUE"""),"")</f>
        <v/>
      </c>
      <c r="B7813" s="87"/>
      <c r="C7813" s="87"/>
      <c r="D7813" s="87"/>
      <c r="E7813" s="87"/>
      <c r="F7813" s="87"/>
      <c r="G7813" s="87"/>
    </row>
    <row r="7814">
      <c r="A7814" s="86" t="str">
        <f>IFERROR(__xludf.DUMMYFUNCTION("""COMPUTED_VALUE"""),"")</f>
        <v/>
      </c>
      <c r="B7814" s="87"/>
      <c r="C7814" s="87"/>
      <c r="D7814" s="87"/>
      <c r="E7814" s="87"/>
      <c r="F7814" s="87"/>
      <c r="G7814" s="87"/>
    </row>
    <row r="7815">
      <c r="A7815" s="86" t="str">
        <f>IFERROR(__xludf.DUMMYFUNCTION("""COMPUTED_VALUE"""),"")</f>
        <v/>
      </c>
      <c r="B7815" s="87"/>
      <c r="C7815" s="87"/>
      <c r="D7815" s="87"/>
      <c r="E7815" s="87"/>
      <c r="F7815" s="87"/>
      <c r="G7815" s="87"/>
    </row>
    <row r="7816">
      <c r="A7816" s="86" t="str">
        <f>IFERROR(__xludf.DUMMYFUNCTION("""COMPUTED_VALUE"""),"")</f>
        <v/>
      </c>
      <c r="B7816" s="87"/>
      <c r="C7816" s="87"/>
      <c r="D7816" s="87"/>
      <c r="E7816" s="87"/>
      <c r="F7816" s="87"/>
      <c r="G7816" s="87"/>
    </row>
    <row r="7817">
      <c r="A7817" s="86" t="str">
        <f>IFERROR(__xludf.DUMMYFUNCTION("""COMPUTED_VALUE"""),"")</f>
        <v/>
      </c>
      <c r="B7817" s="87"/>
      <c r="C7817" s="87"/>
      <c r="D7817" s="87"/>
      <c r="E7817" s="87"/>
      <c r="F7817" s="87"/>
      <c r="G7817" s="87"/>
    </row>
    <row r="7818">
      <c r="A7818" s="86" t="str">
        <f>IFERROR(__xludf.DUMMYFUNCTION("""COMPUTED_VALUE"""),"")</f>
        <v/>
      </c>
      <c r="B7818" s="87"/>
      <c r="C7818" s="87"/>
      <c r="D7818" s="87"/>
      <c r="E7818" s="87"/>
      <c r="F7818" s="87"/>
      <c r="G7818" s="87"/>
    </row>
    <row r="7819">
      <c r="A7819" s="86" t="str">
        <f>IFERROR(__xludf.DUMMYFUNCTION("""COMPUTED_VALUE"""),"")</f>
        <v/>
      </c>
      <c r="B7819" s="87"/>
      <c r="C7819" s="87"/>
      <c r="D7819" s="87"/>
      <c r="E7819" s="87"/>
      <c r="F7819" s="87"/>
      <c r="G7819" s="87"/>
    </row>
    <row r="7820">
      <c r="A7820" s="86" t="str">
        <f>IFERROR(__xludf.DUMMYFUNCTION("""COMPUTED_VALUE"""),"")</f>
        <v/>
      </c>
      <c r="B7820" s="87"/>
      <c r="C7820" s="87"/>
      <c r="D7820" s="87"/>
      <c r="E7820" s="87"/>
      <c r="F7820" s="87"/>
      <c r="G7820" s="87"/>
    </row>
    <row r="7821">
      <c r="A7821" s="86" t="str">
        <f>IFERROR(__xludf.DUMMYFUNCTION("""COMPUTED_VALUE"""),"")</f>
        <v/>
      </c>
      <c r="B7821" s="87"/>
      <c r="C7821" s="87"/>
      <c r="D7821" s="87"/>
      <c r="E7821" s="87"/>
      <c r="F7821" s="87"/>
      <c r="G7821" s="87"/>
    </row>
    <row r="7822">
      <c r="A7822" s="86" t="str">
        <f>IFERROR(__xludf.DUMMYFUNCTION("""COMPUTED_VALUE"""),"")</f>
        <v/>
      </c>
      <c r="B7822" s="87"/>
      <c r="C7822" s="87"/>
      <c r="D7822" s="87"/>
      <c r="E7822" s="87"/>
      <c r="F7822" s="87"/>
      <c r="G7822" s="87"/>
    </row>
    <row r="7823">
      <c r="A7823" s="86" t="str">
        <f>IFERROR(__xludf.DUMMYFUNCTION("""COMPUTED_VALUE"""),"")</f>
        <v/>
      </c>
      <c r="B7823" s="87"/>
      <c r="C7823" s="87"/>
      <c r="D7823" s="87"/>
      <c r="E7823" s="87"/>
      <c r="F7823" s="87"/>
      <c r="G7823" s="87"/>
    </row>
    <row r="7824">
      <c r="A7824" s="86" t="str">
        <f>IFERROR(__xludf.DUMMYFUNCTION("""COMPUTED_VALUE"""),"")</f>
        <v/>
      </c>
      <c r="B7824" s="87"/>
      <c r="C7824" s="87"/>
      <c r="D7824" s="87"/>
      <c r="E7824" s="87"/>
      <c r="F7824" s="87"/>
      <c r="G7824" s="87"/>
    </row>
    <row r="7825">
      <c r="A7825" s="86" t="str">
        <f>IFERROR(__xludf.DUMMYFUNCTION("""COMPUTED_VALUE"""),"")</f>
        <v/>
      </c>
      <c r="B7825" s="87"/>
      <c r="C7825" s="87"/>
      <c r="D7825" s="87"/>
      <c r="E7825" s="87"/>
      <c r="F7825" s="87"/>
      <c r="G7825" s="87"/>
    </row>
    <row r="7826">
      <c r="A7826" s="86" t="str">
        <f>IFERROR(__xludf.DUMMYFUNCTION("""COMPUTED_VALUE"""),"")</f>
        <v/>
      </c>
      <c r="B7826" s="87"/>
      <c r="C7826" s="87"/>
      <c r="D7826" s="87"/>
      <c r="E7826" s="87"/>
      <c r="F7826" s="87"/>
      <c r="G7826" s="87"/>
    </row>
    <row r="7827">
      <c r="A7827" s="86" t="str">
        <f>IFERROR(__xludf.DUMMYFUNCTION("""COMPUTED_VALUE"""),"")</f>
        <v/>
      </c>
      <c r="B7827" s="87"/>
      <c r="C7827" s="87"/>
      <c r="D7827" s="87"/>
      <c r="E7827" s="87"/>
      <c r="F7827" s="87"/>
      <c r="G7827" s="87"/>
    </row>
    <row r="7828">
      <c r="A7828" s="86" t="str">
        <f>IFERROR(__xludf.DUMMYFUNCTION("""COMPUTED_VALUE"""),"")</f>
        <v/>
      </c>
      <c r="B7828" s="87"/>
      <c r="C7828" s="87"/>
      <c r="D7828" s="87"/>
      <c r="E7828" s="87"/>
      <c r="F7828" s="87"/>
      <c r="G7828" s="87"/>
    </row>
    <row r="7829">
      <c r="A7829" s="86" t="str">
        <f>IFERROR(__xludf.DUMMYFUNCTION("""COMPUTED_VALUE"""),"")</f>
        <v/>
      </c>
      <c r="B7829" s="87"/>
      <c r="C7829" s="87"/>
      <c r="D7829" s="87"/>
      <c r="E7829" s="87"/>
      <c r="F7829" s="87"/>
      <c r="G7829" s="87"/>
    </row>
    <row r="7830">
      <c r="A7830" s="86" t="str">
        <f>IFERROR(__xludf.DUMMYFUNCTION("""COMPUTED_VALUE"""),"")</f>
        <v/>
      </c>
      <c r="B7830" s="87"/>
      <c r="C7830" s="87"/>
      <c r="D7830" s="87"/>
      <c r="E7830" s="87"/>
      <c r="F7830" s="87"/>
      <c r="G7830" s="87"/>
    </row>
    <row r="7831">
      <c r="A7831" s="86" t="str">
        <f>IFERROR(__xludf.DUMMYFUNCTION("""COMPUTED_VALUE"""),"")</f>
        <v/>
      </c>
      <c r="B7831" s="87"/>
      <c r="C7831" s="87"/>
      <c r="D7831" s="87"/>
      <c r="E7831" s="87"/>
      <c r="F7831" s="87"/>
      <c r="G7831" s="87"/>
    </row>
    <row r="7832">
      <c r="A7832" s="86" t="str">
        <f>IFERROR(__xludf.DUMMYFUNCTION("""COMPUTED_VALUE"""),"")</f>
        <v/>
      </c>
      <c r="B7832" s="87"/>
      <c r="C7832" s="87"/>
      <c r="D7832" s="87"/>
      <c r="E7832" s="87"/>
      <c r="F7832" s="87"/>
      <c r="G7832" s="87"/>
    </row>
    <row r="7833">
      <c r="A7833" s="86" t="str">
        <f>IFERROR(__xludf.DUMMYFUNCTION("""COMPUTED_VALUE"""),"")</f>
        <v/>
      </c>
      <c r="B7833" s="87"/>
      <c r="C7833" s="87"/>
      <c r="D7833" s="87"/>
      <c r="E7833" s="87"/>
      <c r="F7833" s="87"/>
      <c r="G7833" s="87"/>
    </row>
    <row r="7834">
      <c r="A7834" s="86" t="str">
        <f>IFERROR(__xludf.DUMMYFUNCTION("""COMPUTED_VALUE"""),"")</f>
        <v/>
      </c>
      <c r="B7834" s="87"/>
      <c r="C7834" s="87"/>
      <c r="D7834" s="87"/>
      <c r="E7834" s="87"/>
      <c r="F7834" s="87"/>
      <c r="G7834" s="87"/>
    </row>
    <row r="7835">
      <c r="A7835" s="86" t="str">
        <f>IFERROR(__xludf.DUMMYFUNCTION("""COMPUTED_VALUE"""),"")</f>
        <v/>
      </c>
      <c r="B7835" s="87"/>
      <c r="C7835" s="87"/>
      <c r="D7835" s="87"/>
      <c r="E7835" s="87"/>
      <c r="F7835" s="87"/>
      <c r="G7835" s="87"/>
    </row>
    <row r="7836">
      <c r="A7836" s="86" t="str">
        <f>IFERROR(__xludf.DUMMYFUNCTION("""COMPUTED_VALUE"""),"")</f>
        <v/>
      </c>
      <c r="B7836" s="87"/>
      <c r="C7836" s="87"/>
      <c r="D7836" s="87"/>
      <c r="E7836" s="87"/>
      <c r="F7836" s="87"/>
      <c r="G7836" s="87"/>
    </row>
    <row r="7837">
      <c r="A7837" s="86" t="str">
        <f>IFERROR(__xludf.DUMMYFUNCTION("""COMPUTED_VALUE"""),"")</f>
        <v/>
      </c>
      <c r="B7837" s="87"/>
      <c r="C7837" s="87"/>
      <c r="D7837" s="87"/>
      <c r="E7837" s="87"/>
      <c r="F7837" s="87"/>
      <c r="G7837" s="87"/>
    </row>
    <row r="7838">
      <c r="A7838" s="86" t="str">
        <f>IFERROR(__xludf.DUMMYFUNCTION("""COMPUTED_VALUE"""),"")</f>
        <v/>
      </c>
      <c r="B7838" s="87"/>
      <c r="C7838" s="87"/>
      <c r="D7838" s="87"/>
      <c r="E7838" s="87"/>
      <c r="F7838" s="87"/>
      <c r="G7838" s="87"/>
    </row>
    <row r="7839">
      <c r="A7839" s="86" t="str">
        <f>IFERROR(__xludf.DUMMYFUNCTION("""COMPUTED_VALUE"""),"")</f>
        <v/>
      </c>
      <c r="B7839" s="87"/>
      <c r="C7839" s="87"/>
      <c r="D7839" s="87"/>
      <c r="E7839" s="87"/>
      <c r="F7839" s="87"/>
      <c r="G7839" s="87"/>
    </row>
    <row r="7840">
      <c r="A7840" s="86" t="str">
        <f>IFERROR(__xludf.DUMMYFUNCTION("""COMPUTED_VALUE"""),"")</f>
        <v/>
      </c>
      <c r="B7840" s="87"/>
      <c r="C7840" s="87"/>
      <c r="D7840" s="87"/>
      <c r="E7840" s="87"/>
      <c r="F7840" s="87"/>
      <c r="G7840" s="87"/>
    </row>
    <row r="7841">
      <c r="A7841" s="86" t="str">
        <f>IFERROR(__xludf.DUMMYFUNCTION("""COMPUTED_VALUE"""),"")</f>
        <v/>
      </c>
      <c r="B7841" s="87"/>
      <c r="C7841" s="87"/>
      <c r="D7841" s="87"/>
      <c r="E7841" s="87"/>
      <c r="F7841" s="87"/>
      <c r="G7841" s="87"/>
    </row>
    <row r="7842">
      <c r="A7842" s="86" t="str">
        <f>IFERROR(__xludf.DUMMYFUNCTION("""COMPUTED_VALUE"""),"")</f>
        <v/>
      </c>
      <c r="B7842" s="87"/>
      <c r="C7842" s="87"/>
      <c r="D7842" s="87"/>
      <c r="E7842" s="87"/>
      <c r="F7842" s="87"/>
      <c r="G7842" s="87"/>
    </row>
    <row r="7843">
      <c r="A7843" s="86" t="str">
        <f>IFERROR(__xludf.DUMMYFUNCTION("""COMPUTED_VALUE"""),"")</f>
        <v/>
      </c>
      <c r="B7843" s="87"/>
      <c r="C7843" s="87"/>
      <c r="D7843" s="87"/>
      <c r="E7843" s="87"/>
      <c r="F7843" s="87"/>
      <c r="G7843" s="87"/>
    </row>
    <row r="7844">
      <c r="A7844" s="86" t="str">
        <f>IFERROR(__xludf.DUMMYFUNCTION("""COMPUTED_VALUE"""),"")</f>
        <v/>
      </c>
      <c r="B7844" s="87"/>
      <c r="C7844" s="87"/>
      <c r="D7844" s="87"/>
      <c r="E7844" s="87"/>
      <c r="F7844" s="87"/>
      <c r="G7844" s="87"/>
    </row>
    <row r="7845">
      <c r="A7845" s="86" t="str">
        <f>IFERROR(__xludf.DUMMYFUNCTION("""COMPUTED_VALUE"""),"")</f>
        <v/>
      </c>
      <c r="B7845" s="87"/>
      <c r="C7845" s="87"/>
      <c r="D7845" s="87"/>
      <c r="E7845" s="87"/>
      <c r="F7845" s="87"/>
      <c r="G7845" s="87"/>
    </row>
    <row r="7846">
      <c r="A7846" s="86" t="str">
        <f>IFERROR(__xludf.DUMMYFUNCTION("""COMPUTED_VALUE"""),"")</f>
        <v/>
      </c>
      <c r="B7846" s="87"/>
      <c r="C7846" s="87"/>
      <c r="D7846" s="87"/>
      <c r="E7846" s="87"/>
      <c r="F7846" s="87"/>
      <c r="G7846" s="87"/>
    </row>
    <row r="7847">
      <c r="A7847" s="86" t="str">
        <f>IFERROR(__xludf.DUMMYFUNCTION("""COMPUTED_VALUE"""),"")</f>
        <v/>
      </c>
      <c r="B7847" s="87"/>
      <c r="C7847" s="87"/>
      <c r="D7847" s="87"/>
      <c r="E7847" s="87"/>
      <c r="F7847" s="87"/>
      <c r="G7847" s="87"/>
    </row>
    <row r="7848">
      <c r="A7848" s="86" t="str">
        <f>IFERROR(__xludf.DUMMYFUNCTION("""COMPUTED_VALUE"""),"")</f>
        <v/>
      </c>
      <c r="B7848" s="87"/>
      <c r="C7848" s="87"/>
      <c r="D7848" s="87"/>
      <c r="E7848" s="87"/>
      <c r="F7848" s="87"/>
      <c r="G7848" s="87"/>
    </row>
    <row r="7849">
      <c r="A7849" s="86" t="str">
        <f>IFERROR(__xludf.DUMMYFUNCTION("""COMPUTED_VALUE"""),"")</f>
        <v/>
      </c>
      <c r="B7849" s="87"/>
      <c r="C7849" s="87"/>
      <c r="D7849" s="87"/>
      <c r="E7849" s="87"/>
      <c r="F7849" s="87"/>
      <c r="G7849" s="87"/>
    </row>
    <row r="7850">
      <c r="A7850" s="86" t="str">
        <f>IFERROR(__xludf.DUMMYFUNCTION("""COMPUTED_VALUE"""),"")</f>
        <v/>
      </c>
      <c r="B7850" s="87"/>
      <c r="C7850" s="87"/>
      <c r="D7850" s="87"/>
      <c r="E7850" s="87"/>
      <c r="F7850" s="87"/>
      <c r="G7850" s="87"/>
    </row>
    <row r="7851">
      <c r="A7851" s="86" t="str">
        <f>IFERROR(__xludf.DUMMYFUNCTION("""COMPUTED_VALUE"""),"")</f>
        <v/>
      </c>
      <c r="B7851" s="87"/>
      <c r="C7851" s="87"/>
      <c r="D7851" s="87"/>
      <c r="E7851" s="87"/>
      <c r="F7851" s="87"/>
      <c r="G7851" s="87"/>
    </row>
    <row r="7852">
      <c r="A7852" s="86" t="str">
        <f>IFERROR(__xludf.DUMMYFUNCTION("""COMPUTED_VALUE"""),"")</f>
        <v/>
      </c>
      <c r="B7852" s="87"/>
      <c r="C7852" s="87"/>
      <c r="D7852" s="87"/>
      <c r="E7852" s="87"/>
      <c r="F7852" s="87"/>
      <c r="G7852" s="87"/>
    </row>
    <row r="7853">
      <c r="A7853" s="86" t="str">
        <f>IFERROR(__xludf.DUMMYFUNCTION("""COMPUTED_VALUE"""),"")</f>
        <v/>
      </c>
      <c r="B7853" s="87"/>
      <c r="C7853" s="87"/>
      <c r="D7853" s="87"/>
      <c r="E7853" s="87"/>
      <c r="F7853" s="87"/>
      <c r="G7853" s="87"/>
    </row>
    <row r="7854">
      <c r="A7854" s="86" t="str">
        <f>IFERROR(__xludf.DUMMYFUNCTION("""COMPUTED_VALUE"""),"")</f>
        <v/>
      </c>
      <c r="B7854" s="87"/>
      <c r="C7854" s="87"/>
      <c r="D7854" s="87"/>
      <c r="E7854" s="87"/>
      <c r="F7854" s="87"/>
      <c r="G7854" s="87"/>
    </row>
    <row r="7855">
      <c r="A7855" s="86" t="str">
        <f>IFERROR(__xludf.DUMMYFUNCTION("""COMPUTED_VALUE"""),"")</f>
        <v/>
      </c>
      <c r="B7855" s="87"/>
      <c r="C7855" s="87"/>
      <c r="D7855" s="87"/>
      <c r="E7855" s="87"/>
      <c r="F7855" s="87"/>
      <c r="G7855" s="87"/>
    </row>
    <row r="7856">
      <c r="A7856" s="86" t="str">
        <f>IFERROR(__xludf.DUMMYFUNCTION("""COMPUTED_VALUE"""),"")</f>
        <v/>
      </c>
      <c r="B7856" s="87"/>
      <c r="C7856" s="87"/>
      <c r="D7856" s="87"/>
      <c r="E7856" s="87"/>
      <c r="F7856" s="87"/>
      <c r="G7856" s="87"/>
    </row>
    <row r="7857">
      <c r="A7857" s="86" t="str">
        <f>IFERROR(__xludf.DUMMYFUNCTION("""COMPUTED_VALUE"""),"")</f>
        <v/>
      </c>
      <c r="B7857" s="87"/>
      <c r="C7857" s="87"/>
      <c r="D7857" s="87"/>
      <c r="E7857" s="87"/>
      <c r="F7857" s="87"/>
      <c r="G7857" s="87"/>
    </row>
    <row r="7858">
      <c r="A7858" s="86" t="str">
        <f>IFERROR(__xludf.DUMMYFUNCTION("""COMPUTED_VALUE"""),"")</f>
        <v/>
      </c>
      <c r="B7858" s="87"/>
      <c r="C7858" s="87"/>
      <c r="D7858" s="87"/>
      <c r="E7858" s="87"/>
      <c r="F7858" s="87"/>
      <c r="G7858" s="87"/>
    </row>
    <row r="7859">
      <c r="A7859" s="86" t="str">
        <f>IFERROR(__xludf.DUMMYFUNCTION("""COMPUTED_VALUE"""),"")</f>
        <v/>
      </c>
      <c r="B7859" s="87"/>
      <c r="C7859" s="87"/>
      <c r="D7859" s="87"/>
      <c r="E7859" s="87"/>
      <c r="F7859" s="87"/>
      <c r="G7859" s="87"/>
    </row>
    <row r="7860">
      <c r="A7860" s="86" t="str">
        <f>IFERROR(__xludf.DUMMYFUNCTION("""COMPUTED_VALUE"""),"")</f>
        <v/>
      </c>
      <c r="B7860" s="87"/>
      <c r="C7860" s="87"/>
      <c r="D7860" s="87"/>
      <c r="E7860" s="87"/>
      <c r="F7860" s="87"/>
      <c r="G7860" s="87"/>
    </row>
    <row r="7861">
      <c r="A7861" s="86" t="str">
        <f>IFERROR(__xludf.DUMMYFUNCTION("""COMPUTED_VALUE"""),"")</f>
        <v/>
      </c>
      <c r="B7861" s="87"/>
      <c r="C7861" s="87"/>
      <c r="D7861" s="87"/>
      <c r="E7861" s="87"/>
      <c r="F7861" s="87"/>
      <c r="G7861" s="87"/>
    </row>
    <row r="7862">
      <c r="A7862" s="86" t="str">
        <f>IFERROR(__xludf.DUMMYFUNCTION("""COMPUTED_VALUE"""),"")</f>
        <v/>
      </c>
      <c r="B7862" s="87"/>
      <c r="C7862" s="87"/>
      <c r="D7862" s="87"/>
      <c r="E7862" s="87"/>
      <c r="F7862" s="87"/>
      <c r="G7862" s="87"/>
    </row>
    <row r="7863">
      <c r="A7863" s="86" t="str">
        <f>IFERROR(__xludf.DUMMYFUNCTION("""COMPUTED_VALUE"""),"")</f>
        <v/>
      </c>
      <c r="B7863" s="87"/>
      <c r="C7863" s="87"/>
      <c r="D7863" s="87"/>
      <c r="E7863" s="87"/>
      <c r="F7863" s="87"/>
      <c r="G7863" s="87"/>
    </row>
    <row r="7864">
      <c r="A7864" s="86" t="str">
        <f>IFERROR(__xludf.DUMMYFUNCTION("""COMPUTED_VALUE"""),"")</f>
        <v/>
      </c>
      <c r="B7864" s="87"/>
      <c r="C7864" s="87"/>
      <c r="D7864" s="87"/>
      <c r="E7864" s="87"/>
      <c r="F7864" s="87"/>
      <c r="G7864" s="87"/>
    </row>
    <row r="7865">
      <c r="A7865" s="86" t="str">
        <f>IFERROR(__xludf.DUMMYFUNCTION("""COMPUTED_VALUE"""),"")</f>
        <v/>
      </c>
      <c r="B7865" s="87"/>
      <c r="C7865" s="87"/>
      <c r="D7865" s="87"/>
      <c r="E7865" s="87"/>
      <c r="F7865" s="87"/>
      <c r="G7865" s="87"/>
    </row>
    <row r="7866">
      <c r="A7866" s="86" t="str">
        <f>IFERROR(__xludf.DUMMYFUNCTION("""COMPUTED_VALUE"""),"")</f>
        <v/>
      </c>
      <c r="B7866" s="87"/>
      <c r="C7866" s="87"/>
      <c r="D7866" s="87"/>
      <c r="E7866" s="87"/>
      <c r="F7866" s="87"/>
      <c r="G7866" s="87"/>
    </row>
    <row r="7867">
      <c r="A7867" s="86" t="str">
        <f>IFERROR(__xludf.DUMMYFUNCTION("""COMPUTED_VALUE"""),"")</f>
        <v/>
      </c>
      <c r="B7867" s="87"/>
      <c r="C7867" s="87"/>
      <c r="D7867" s="87"/>
      <c r="E7867" s="87"/>
      <c r="F7867" s="87"/>
      <c r="G7867" s="87"/>
    </row>
    <row r="7868">
      <c r="A7868" s="86" t="str">
        <f>IFERROR(__xludf.DUMMYFUNCTION("""COMPUTED_VALUE"""),"")</f>
        <v/>
      </c>
      <c r="B7868" s="87"/>
      <c r="C7868" s="87"/>
      <c r="D7868" s="87"/>
      <c r="E7868" s="87"/>
      <c r="F7868" s="87"/>
      <c r="G7868" s="87"/>
    </row>
    <row r="7869">
      <c r="A7869" s="86" t="str">
        <f>IFERROR(__xludf.DUMMYFUNCTION("""COMPUTED_VALUE"""),"")</f>
        <v/>
      </c>
      <c r="B7869" s="87"/>
      <c r="C7869" s="87"/>
      <c r="D7869" s="87"/>
      <c r="E7869" s="87"/>
      <c r="F7869" s="87"/>
      <c r="G7869" s="87"/>
    </row>
    <row r="7870">
      <c r="A7870" s="86" t="str">
        <f>IFERROR(__xludf.DUMMYFUNCTION("""COMPUTED_VALUE"""),"")</f>
        <v/>
      </c>
      <c r="B7870" s="87"/>
      <c r="C7870" s="87"/>
      <c r="D7870" s="87"/>
      <c r="E7870" s="87"/>
      <c r="F7870" s="87"/>
      <c r="G7870" s="87"/>
    </row>
    <row r="7871">
      <c r="A7871" s="86" t="str">
        <f>IFERROR(__xludf.DUMMYFUNCTION("""COMPUTED_VALUE"""),"")</f>
        <v/>
      </c>
      <c r="B7871" s="87"/>
      <c r="C7871" s="87"/>
      <c r="D7871" s="87"/>
      <c r="E7871" s="87"/>
      <c r="F7871" s="87"/>
      <c r="G7871" s="87"/>
    </row>
    <row r="7872">
      <c r="A7872" s="86" t="str">
        <f>IFERROR(__xludf.DUMMYFUNCTION("""COMPUTED_VALUE"""),"")</f>
        <v/>
      </c>
      <c r="B7872" s="87"/>
      <c r="C7872" s="87"/>
      <c r="D7872" s="87"/>
      <c r="E7872" s="87"/>
      <c r="F7872" s="87"/>
      <c r="G7872" s="87"/>
    </row>
    <row r="7873">
      <c r="A7873" s="86" t="str">
        <f>IFERROR(__xludf.DUMMYFUNCTION("""COMPUTED_VALUE"""),"")</f>
        <v/>
      </c>
      <c r="B7873" s="87"/>
      <c r="C7873" s="87"/>
      <c r="D7873" s="87"/>
      <c r="E7873" s="87"/>
      <c r="F7873" s="87"/>
      <c r="G7873" s="87"/>
    </row>
    <row r="7874">
      <c r="A7874" s="86" t="str">
        <f>IFERROR(__xludf.DUMMYFUNCTION("""COMPUTED_VALUE"""),"")</f>
        <v/>
      </c>
      <c r="B7874" s="87"/>
      <c r="C7874" s="87"/>
      <c r="D7874" s="87"/>
      <c r="E7874" s="87"/>
      <c r="F7874" s="87"/>
      <c r="G7874" s="87"/>
    </row>
    <row r="7875">
      <c r="A7875" s="86" t="str">
        <f>IFERROR(__xludf.DUMMYFUNCTION("""COMPUTED_VALUE"""),"")</f>
        <v/>
      </c>
      <c r="B7875" s="87"/>
      <c r="C7875" s="87"/>
      <c r="D7875" s="87"/>
      <c r="E7875" s="87"/>
      <c r="F7875" s="87"/>
      <c r="G7875" s="87"/>
    </row>
    <row r="7876">
      <c r="A7876" s="86" t="str">
        <f>IFERROR(__xludf.DUMMYFUNCTION("""COMPUTED_VALUE"""),"")</f>
        <v/>
      </c>
      <c r="B7876" s="87"/>
      <c r="C7876" s="87"/>
      <c r="D7876" s="87"/>
      <c r="E7876" s="87"/>
      <c r="F7876" s="87"/>
      <c r="G7876" s="87"/>
    </row>
    <row r="7877">
      <c r="A7877" s="86" t="str">
        <f>IFERROR(__xludf.DUMMYFUNCTION("""COMPUTED_VALUE"""),"")</f>
        <v/>
      </c>
      <c r="B7877" s="87"/>
      <c r="C7877" s="87"/>
      <c r="D7877" s="87"/>
      <c r="E7877" s="87"/>
      <c r="F7877" s="87"/>
      <c r="G7877" s="87"/>
    </row>
    <row r="7878">
      <c r="A7878" s="86" t="str">
        <f>IFERROR(__xludf.DUMMYFUNCTION("""COMPUTED_VALUE"""),"")</f>
        <v/>
      </c>
      <c r="B7878" s="87"/>
      <c r="C7878" s="87"/>
      <c r="D7878" s="87"/>
      <c r="E7878" s="87"/>
      <c r="F7878" s="87"/>
      <c r="G7878" s="87"/>
    </row>
    <row r="7879">
      <c r="A7879" s="86" t="str">
        <f>IFERROR(__xludf.DUMMYFUNCTION("""COMPUTED_VALUE"""),"")</f>
        <v/>
      </c>
      <c r="B7879" s="87"/>
      <c r="C7879" s="87"/>
      <c r="D7879" s="87"/>
      <c r="E7879" s="87"/>
      <c r="F7879" s="87"/>
      <c r="G7879" s="87"/>
    </row>
    <row r="7880">
      <c r="A7880" s="86" t="str">
        <f>IFERROR(__xludf.DUMMYFUNCTION("""COMPUTED_VALUE"""),"")</f>
        <v/>
      </c>
      <c r="B7880" s="87"/>
      <c r="C7880" s="87"/>
      <c r="D7880" s="87"/>
      <c r="E7880" s="87"/>
      <c r="F7880" s="87"/>
      <c r="G7880" s="87"/>
    </row>
    <row r="7881">
      <c r="A7881" s="86" t="str">
        <f>IFERROR(__xludf.DUMMYFUNCTION("""COMPUTED_VALUE"""),"")</f>
        <v/>
      </c>
      <c r="B7881" s="87"/>
      <c r="C7881" s="87"/>
      <c r="D7881" s="87"/>
      <c r="E7881" s="87"/>
      <c r="F7881" s="87"/>
      <c r="G7881" s="87"/>
    </row>
    <row r="7882">
      <c r="A7882" s="86" t="str">
        <f>IFERROR(__xludf.DUMMYFUNCTION("""COMPUTED_VALUE"""),"")</f>
        <v/>
      </c>
      <c r="B7882" s="87"/>
      <c r="C7882" s="87"/>
      <c r="D7882" s="87"/>
      <c r="E7882" s="87"/>
      <c r="F7882" s="87"/>
      <c r="G7882" s="87"/>
    </row>
    <row r="7883">
      <c r="A7883" s="86" t="str">
        <f>IFERROR(__xludf.DUMMYFUNCTION("""COMPUTED_VALUE"""),"")</f>
        <v/>
      </c>
      <c r="B7883" s="87"/>
      <c r="C7883" s="87"/>
      <c r="D7883" s="87"/>
      <c r="E7883" s="87"/>
      <c r="F7883" s="87"/>
      <c r="G7883" s="87"/>
    </row>
    <row r="7884">
      <c r="A7884" s="86" t="str">
        <f>IFERROR(__xludf.DUMMYFUNCTION("""COMPUTED_VALUE"""),"")</f>
        <v/>
      </c>
      <c r="B7884" s="87"/>
      <c r="C7884" s="87"/>
      <c r="D7884" s="87"/>
      <c r="E7884" s="87"/>
      <c r="F7884" s="87"/>
      <c r="G7884" s="87"/>
    </row>
    <row r="7885">
      <c r="A7885" s="86" t="str">
        <f>IFERROR(__xludf.DUMMYFUNCTION("""COMPUTED_VALUE"""),"")</f>
        <v/>
      </c>
      <c r="B7885" s="87"/>
      <c r="C7885" s="87"/>
      <c r="D7885" s="87"/>
      <c r="E7885" s="87"/>
      <c r="F7885" s="87"/>
      <c r="G7885" s="87"/>
    </row>
    <row r="7886">
      <c r="A7886" s="86" t="str">
        <f>IFERROR(__xludf.DUMMYFUNCTION("""COMPUTED_VALUE"""),"")</f>
        <v/>
      </c>
      <c r="B7886" s="87"/>
      <c r="C7886" s="87"/>
      <c r="D7886" s="87"/>
      <c r="E7886" s="87"/>
      <c r="F7886" s="87"/>
      <c r="G7886" s="87"/>
    </row>
    <row r="7887">
      <c r="A7887" s="86" t="str">
        <f>IFERROR(__xludf.DUMMYFUNCTION("""COMPUTED_VALUE"""),"")</f>
        <v/>
      </c>
      <c r="B7887" s="87"/>
      <c r="C7887" s="87"/>
      <c r="D7887" s="87"/>
      <c r="E7887" s="87"/>
      <c r="F7887" s="87"/>
      <c r="G7887" s="87"/>
    </row>
    <row r="7888">
      <c r="A7888" s="86" t="str">
        <f>IFERROR(__xludf.DUMMYFUNCTION("""COMPUTED_VALUE"""),"")</f>
        <v/>
      </c>
      <c r="B7888" s="87"/>
      <c r="C7888" s="87"/>
      <c r="D7888" s="87"/>
      <c r="E7888" s="87"/>
      <c r="F7888" s="87"/>
      <c r="G7888" s="87"/>
    </row>
    <row r="7889">
      <c r="A7889" s="86" t="str">
        <f>IFERROR(__xludf.DUMMYFUNCTION("""COMPUTED_VALUE"""),"")</f>
        <v/>
      </c>
      <c r="B7889" s="87"/>
      <c r="C7889" s="87"/>
      <c r="D7889" s="87"/>
      <c r="E7889" s="87"/>
      <c r="F7889" s="87"/>
      <c r="G7889" s="87"/>
    </row>
    <row r="7890">
      <c r="A7890" s="86" t="str">
        <f>IFERROR(__xludf.DUMMYFUNCTION("""COMPUTED_VALUE"""),"")</f>
        <v/>
      </c>
      <c r="B7890" s="87"/>
      <c r="C7890" s="87"/>
      <c r="D7890" s="87"/>
      <c r="E7890" s="87"/>
      <c r="F7890" s="87"/>
      <c r="G7890" s="87"/>
    </row>
    <row r="7891">
      <c r="A7891" s="86" t="str">
        <f>IFERROR(__xludf.DUMMYFUNCTION("""COMPUTED_VALUE"""),"")</f>
        <v/>
      </c>
      <c r="B7891" s="87"/>
      <c r="C7891" s="87"/>
      <c r="D7891" s="87"/>
      <c r="E7891" s="87"/>
      <c r="F7891" s="87"/>
      <c r="G7891" s="87"/>
    </row>
    <row r="7892">
      <c r="A7892" s="86" t="str">
        <f>IFERROR(__xludf.DUMMYFUNCTION("""COMPUTED_VALUE"""),"")</f>
        <v/>
      </c>
      <c r="B7892" s="87"/>
      <c r="C7892" s="87"/>
      <c r="D7892" s="87"/>
      <c r="E7892" s="87"/>
      <c r="F7892" s="87"/>
      <c r="G7892" s="87"/>
    </row>
    <row r="7893">
      <c r="A7893" s="86" t="str">
        <f>IFERROR(__xludf.DUMMYFUNCTION("""COMPUTED_VALUE"""),"")</f>
        <v/>
      </c>
      <c r="B7893" s="87"/>
      <c r="C7893" s="87"/>
      <c r="D7893" s="87"/>
      <c r="E7893" s="87"/>
      <c r="F7893" s="87"/>
      <c r="G7893" s="87"/>
    </row>
    <row r="7894">
      <c r="A7894" s="86" t="str">
        <f>IFERROR(__xludf.DUMMYFUNCTION("""COMPUTED_VALUE"""),"")</f>
        <v/>
      </c>
      <c r="B7894" s="87"/>
      <c r="C7894" s="87"/>
      <c r="D7894" s="87"/>
      <c r="E7894" s="87"/>
      <c r="F7894" s="87"/>
      <c r="G7894" s="87"/>
    </row>
    <row r="7895">
      <c r="A7895" s="86" t="str">
        <f>IFERROR(__xludf.DUMMYFUNCTION("""COMPUTED_VALUE"""),"")</f>
        <v/>
      </c>
      <c r="B7895" s="87"/>
      <c r="C7895" s="87"/>
      <c r="D7895" s="87"/>
      <c r="E7895" s="87"/>
      <c r="F7895" s="87"/>
      <c r="G7895" s="87"/>
    </row>
    <row r="7896">
      <c r="A7896" s="86" t="str">
        <f>IFERROR(__xludf.DUMMYFUNCTION("""COMPUTED_VALUE"""),"")</f>
        <v/>
      </c>
      <c r="B7896" s="87"/>
      <c r="C7896" s="87"/>
      <c r="D7896" s="87"/>
      <c r="E7896" s="87"/>
      <c r="F7896" s="87"/>
      <c r="G7896" s="87"/>
    </row>
    <row r="7897">
      <c r="A7897" s="86" t="str">
        <f>IFERROR(__xludf.DUMMYFUNCTION("""COMPUTED_VALUE"""),"")</f>
        <v/>
      </c>
      <c r="B7897" s="87"/>
      <c r="C7897" s="87"/>
      <c r="D7897" s="87"/>
      <c r="E7897" s="87"/>
      <c r="F7897" s="87"/>
      <c r="G7897" s="87"/>
    </row>
    <row r="7898">
      <c r="A7898" s="86" t="str">
        <f>IFERROR(__xludf.DUMMYFUNCTION("""COMPUTED_VALUE"""),"")</f>
        <v/>
      </c>
      <c r="B7898" s="87"/>
      <c r="C7898" s="87"/>
      <c r="D7898" s="87"/>
      <c r="E7898" s="87"/>
      <c r="F7898" s="87"/>
      <c r="G7898" s="87"/>
    </row>
    <row r="7899">
      <c r="A7899" s="86" t="str">
        <f>IFERROR(__xludf.DUMMYFUNCTION("""COMPUTED_VALUE"""),"")</f>
        <v/>
      </c>
      <c r="B7899" s="87"/>
      <c r="C7899" s="87"/>
      <c r="D7899" s="87"/>
      <c r="E7899" s="87"/>
      <c r="F7899" s="87"/>
      <c r="G7899" s="87"/>
    </row>
    <row r="7900">
      <c r="A7900" s="86" t="str">
        <f>IFERROR(__xludf.DUMMYFUNCTION("""COMPUTED_VALUE"""),"")</f>
        <v/>
      </c>
      <c r="B7900" s="87"/>
      <c r="C7900" s="87"/>
      <c r="D7900" s="87"/>
      <c r="E7900" s="87"/>
      <c r="F7900" s="87"/>
      <c r="G7900" s="87"/>
    </row>
    <row r="7901">
      <c r="A7901" s="86" t="str">
        <f>IFERROR(__xludf.DUMMYFUNCTION("""COMPUTED_VALUE"""),"")</f>
        <v/>
      </c>
      <c r="B7901" s="87"/>
      <c r="C7901" s="87"/>
      <c r="D7901" s="87"/>
      <c r="E7901" s="87"/>
      <c r="F7901" s="87"/>
      <c r="G7901" s="87"/>
    </row>
    <row r="7902">
      <c r="A7902" s="86" t="str">
        <f>IFERROR(__xludf.DUMMYFUNCTION("""COMPUTED_VALUE"""),"")</f>
        <v/>
      </c>
      <c r="B7902" s="87"/>
      <c r="C7902" s="87"/>
      <c r="D7902" s="87"/>
      <c r="E7902" s="87"/>
      <c r="F7902" s="87"/>
      <c r="G7902" s="87"/>
    </row>
    <row r="7903">
      <c r="A7903" s="86" t="str">
        <f>IFERROR(__xludf.DUMMYFUNCTION("""COMPUTED_VALUE"""),"")</f>
        <v/>
      </c>
      <c r="B7903" s="87"/>
      <c r="C7903" s="87"/>
      <c r="D7903" s="87"/>
      <c r="E7903" s="87"/>
      <c r="F7903" s="87"/>
      <c r="G7903" s="87"/>
    </row>
    <row r="7904">
      <c r="A7904" s="86" t="str">
        <f>IFERROR(__xludf.DUMMYFUNCTION("""COMPUTED_VALUE"""),"")</f>
        <v/>
      </c>
      <c r="B7904" s="87"/>
      <c r="C7904" s="87"/>
      <c r="D7904" s="87"/>
      <c r="E7904" s="87"/>
      <c r="F7904" s="87"/>
      <c r="G7904" s="87"/>
    </row>
    <row r="7905">
      <c r="A7905" s="86" t="str">
        <f>IFERROR(__xludf.DUMMYFUNCTION("""COMPUTED_VALUE"""),"")</f>
        <v/>
      </c>
      <c r="B7905" s="87"/>
      <c r="C7905" s="87"/>
      <c r="D7905" s="87"/>
      <c r="E7905" s="87"/>
      <c r="F7905" s="87"/>
      <c r="G7905" s="87"/>
    </row>
    <row r="7906">
      <c r="A7906" s="86" t="str">
        <f>IFERROR(__xludf.DUMMYFUNCTION("""COMPUTED_VALUE"""),"")</f>
        <v/>
      </c>
      <c r="B7906" s="87"/>
      <c r="C7906" s="87"/>
      <c r="D7906" s="87"/>
      <c r="E7906" s="87"/>
      <c r="F7906" s="87"/>
      <c r="G7906" s="87"/>
    </row>
    <row r="7907">
      <c r="A7907" s="86" t="str">
        <f>IFERROR(__xludf.DUMMYFUNCTION("""COMPUTED_VALUE"""),"")</f>
        <v/>
      </c>
      <c r="B7907" s="87"/>
      <c r="C7907" s="87"/>
      <c r="D7907" s="87"/>
      <c r="E7907" s="87"/>
      <c r="F7907" s="87"/>
      <c r="G7907" s="87"/>
    </row>
    <row r="7908">
      <c r="A7908" s="86" t="str">
        <f>IFERROR(__xludf.DUMMYFUNCTION("""COMPUTED_VALUE"""),"")</f>
        <v/>
      </c>
      <c r="B7908" s="87"/>
      <c r="C7908" s="87"/>
      <c r="D7908" s="87"/>
      <c r="E7908" s="87"/>
      <c r="F7908" s="87"/>
      <c r="G7908" s="87"/>
    </row>
    <row r="7909">
      <c r="A7909" s="86" t="str">
        <f>IFERROR(__xludf.DUMMYFUNCTION("""COMPUTED_VALUE"""),"")</f>
        <v/>
      </c>
      <c r="B7909" s="87"/>
      <c r="C7909" s="87"/>
      <c r="D7909" s="87"/>
      <c r="E7909" s="87"/>
      <c r="F7909" s="87"/>
      <c r="G7909" s="87"/>
    </row>
    <row r="7910">
      <c r="A7910" s="86" t="str">
        <f>IFERROR(__xludf.DUMMYFUNCTION("""COMPUTED_VALUE"""),"")</f>
        <v/>
      </c>
      <c r="B7910" s="87"/>
      <c r="C7910" s="87"/>
      <c r="D7910" s="87"/>
      <c r="E7910" s="87"/>
      <c r="F7910" s="87"/>
      <c r="G7910" s="87"/>
    </row>
    <row r="7911">
      <c r="A7911" s="86" t="str">
        <f>IFERROR(__xludf.DUMMYFUNCTION("""COMPUTED_VALUE"""),"")</f>
        <v/>
      </c>
      <c r="B7911" s="87"/>
      <c r="C7911" s="87"/>
      <c r="D7911" s="87"/>
      <c r="E7911" s="87"/>
      <c r="F7911" s="87"/>
      <c r="G7911" s="87"/>
    </row>
    <row r="7912">
      <c r="A7912" s="86" t="str">
        <f>IFERROR(__xludf.DUMMYFUNCTION("""COMPUTED_VALUE"""),"")</f>
        <v/>
      </c>
      <c r="B7912" s="87"/>
      <c r="C7912" s="87"/>
      <c r="D7912" s="87"/>
      <c r="E7912" s="87"/>
      <c r="F7912" s="87"/>
      <c r="G7912" s="87"/>
    </row>
    <row r="7913">
      <c r="A7913" s="86" t="str">
        <f>IFERROR(__xludf.DUMMYFUNCTION("""COMPUTED_VALUE"""),"")</f>
        <v/>
      </c>
      <c r="B7913" s="87"/>
      <c r="C7913" s="87"/>
      <c r="D7913" s="87"/>
      <c r="E7913" s="87"/>
      <c r="F7913" s="87"/>
      <c r="G7913" s="87"/>
    </row>
    <row r="7914">
      <c r="A7914" s="86" t="str">
        <f>IFERROR(__xludf.DUMMYFUNCTION("""COMPUTED_VALUE"""),"")</f>
        <v/>
      </c>
      <c r="B7914" s="87"/>
      <c r="C7914" s="87"/>
      <c r="D7914" s="87"/>
      <c r="E7914" s="87"/>
      <c r="F7914" s="87"/>
      <c r="G7914" s="87"/>
    </row>
    <row r="7915">
      <c r="A7915" s="86" t="str">
        <f>IFERROR(__xludf.DUMMYFUNCTION("""COMPUTED_VALUE"""),"")</f>
        <v/>
      </c>
      <c r="B7915" s="87"/>
      <c r="C7915" s="87"/>
      <c r="D7915" s="87"/>
      <c r="E7915" s="87"/>
      <c r="F7915" s="87"/>
      <c r="G7915" s="87"/>
    </row>
    <row r="7916">
      <c r="A7916" s="86" t="str">
        <f>IFERROR(__xludf.DUMMYFUNCTION("""COMPUTED_VALUE"""),"")</f>
        <v/>
      </c>
      <c r="B7916" s="87"/>
      <c r="C7916" s="87"/>
      <c r="D7916" s="87"/>
      <c r="E7916" s="87"/>
      <c r="F7916" s="87"/>
      <c r="G7916" s="87"/>
    </row>
    <row r="7917">
      <c r="A7917" s="86" t="str">
        <f>IFERROR(__xludf.DUMMYFUNCTION("""COMPUTED_VALUE"""),"")</f>
        <v/>
      </c>
      <c r="B7917" s="87"/>
      <c r="C7917" s="87"/>
      <c r="D7917" s="87"/>
      <c r="E7917" s="87"/>
      <c r="F7917" s="87"/>
      <c r="G7917" s="87"/>
    </row>
    <row r="7918">
      <c r="A7918" s="86" t="str">
        <f>IFERROR(__xludf.DUMMYFUNCTION("""COMPUTED_VALUE"""),"")</f>
        <v/>
      </c>
      <c r="B7918" s="87"/>
      <c r="C7918" s="87"/>
      <c r="D7918" s="87"/>
      <c r="E7918" s="87"/>
      <c r="F7918" s="87"/>
      <c r="G7918" s="87"/>
    </row>
    <row r="7919">
      <c r="A7919" s="86" t="str">
        <f>IFERROR(__xludf.DUMMYFUNCTION("""COMPUTED_VALUE"""),"")</f>
        <v/>
      </c>
      <c r="B7919" s="87"/>
      <c r="C7919" s="87"/>
      <c r="D7919" s="87"/>
      <c r="E7919" s="87"/>
      <c r="F7919" s="87"/>
      <c r="G7919" s="87"/>
    </row>
    <row r="7920">
      <c r="A7920" s="86" t="str">
        <f>IFERROR(__xludf.DUMMYFUNCTION("""COMPUTED_VALUE"""),"")</f>
        <v/>
      </c>
      <c r="B7920" s="87"/>
      <c r="C7920" s="87"/>
      <c r="D7920" s="87"/>
      <c r="E7920" s="87"/>
      <c r="F7920" s="87"/>
      <c r="G7920" s="87"/>
    </row>
    <row r="7921">
      <c r="A7921" s="86" t="str">
        <f>IFERROR(__xludf.DUMMYFUNCTION("""COMPUTED_VALUE"""),"")</f>
        <v/>
      </c>
      <c r="B7921" s="87"/>
      <c r="C7921" s="87"/>
      <c r="D7921" s="87"/>
      <c r="E7921" s="87"/>
      <c r="F7921" s="87"/>
      <c r="G7921" s="87"/>
    </row>
    <row r="7922">
      <c r="A7922" s="86" t="str">
        <f>IFERROR(__xludf.DUMMYFUNCTION("""COMPUTED_VALUE"""),"")</f>
        <v/>
      </c>
      <c r="B7922" s="87"/>
      <c r="C7922" s="87"/>
      <c r="D7922" s="87"/>
      <c r="E7922" s="87"/>
      <c r="F7922" s="87"/>
      <c r="G7922" s="87"/>
    </row>
    <row r="7923">
      <c r="A7923" s="86" t="str">
        <f>IFERROR(__xludf.DUMMYFUNCTION("""COMPUTED_VALUE"""),"")</f>
        <v/>
      </c>
      <c r="B7923" s="87"/>
      <c r="C7923" s="87"/>
      <c r="D7923" s="87"/>
      <c r="E7923" s="87"/>
      <c r="F7923" s="87"/>
      <c r="G7923" s="87"/>
    </row>
    <row r="7924">
      <c r="A7924" s="86" t="str">
        <f>IFERROR(__xludf.DUMMYFUNCTION("""COMPUTED_VALUE"""),"")</f>
        <v/>
      </c>
      <c r="B7924" s="87"/>
      <c r="C7924" s="87"/>
      <c r="D7924" s="87"/>
      <c r="E7924" s="87"/>
      <c r="F7924" s="87"/>
      <c r="G7924" s="87"/>
    </row>
    <row r="7925">
      <c r="A7925" s="86" t="str">
        <f>IFERROR(__xludf.DUMMYFUNCTION("""COMPUTED_VALUE"""),"")</f>
        <v/>
      </c>
      <c r="B7925" s="87"/>
      <c r="C7925" s="87"/>
      <c r="D7925" s="87"/>
      <c r="E7925" s="87"/>
      <c r="F7925" s="87"/>
      <c r="G7925" s="87"/>
    </row>
    <row r="7926">
      <c r="A7926" s="86" t="str">
        <f>IFERROR(__xludf.DUMMYFUNCTION("""COMPUTED_VALUE"""),"")</f>
        <v/>
      </c>
      <c r="B7926" s="87"/>
      <c r="C7926" s="87"/>
      <c r="D7926" s="87"/>
      <c r="E7926" s="87"/>
      <c r="F7926" s="87"/>
      <c r="G7926" s="87"/>
    </row>
    <row r="7927">
      <c r="A7927" s="86" t="str">
        <f>IFERROR(__xludf.DUMMYFUNCTION("""COMPUTED_VALUE"""),"")</f>
        <v/>
      </c>
      <c r="B7927" s="87"/>
      <c r="C7927" s="87"/>
      <c r="D7927" s="87"/>
      <c r="E7927" s="87"/>
      <c r="F7927" s="87"/>
      <c r="G7927" s="87"/>
    </row>
    <row r="7928">
      <c r="A7928" s="86" t="str">
        <f>IFERROR(__xludf.DUMMYFUNCTION("""COMPUTED_VALUE"""),"")</f>
        <v/>
      </c>
      <c r="B7928" s="87"/>
      <c r="C7928" s="87"/>
      <c r="D7928" s="87"/>
      <c r="E7928" s="87"/>
      <c r="F7928" s="87"/>
      <c r="G7928" s="87"/>
    </row>
    <row r="7929">
      <c r="A7929" s="86" t="str">
        <f>IFERROR(__xludf.DUMMYFUNCTION("""COMPUTED_VALUE"""),"")</f>
        <v/>
      </c>
      <c r="B7929" s="87"/>
      <c r="C7929" s="87"/>
      <c r="D7929" s="87"/>
      <c r="E7929" s="87"/>
      <c r="F7929" s="87"/>
      <c r="G7929" s="87"/>
    </row>
    <row r="7930">
      <c r="A7930" s="86" t="str">
        <f>IFERROR(__xludf.DUMMYFUNCTION("""COMPUTED_VALUE"""),"")</f>
        <v/>
      </c>
      <c r="B7930" s="87"/>
      <c r="C7930" s="87"/>
      <c r="D7930" s="87"/>
      <c r="E7930" s="87"/>
      <c r="F7930" s="87"/>
      <c r="G7930" s="87"/>
    </row>
    <row r="7931">
      <c r="A7931" s="86" t="str">
        <f>IFERROR(__xludf.DUMMYFUNCTION("""COMPUTED_VALUE"""),"")</f>
        <v/>
      </c>
      <c r="B7931" s="87"/>
      <c r="C7931" s="87"/>
      <c r="D7931" s="87"/>
      <c r="E7931" s="87"/>
      <c r="F7931" s="87"/>
      <c r="G7931" s="87"/>
    </row>
    <row r="7932">
      <c r="A7932" s="86" t="str">
        <f>IFERROR(__xludf.DUMMYFUNCTION("""COMPUTED_VALUE"""),"")</f>
        <v/>
      </c>
      <c r="B7932" s="87"/>
      <c r="C7932" s="87"/>
      <c r="D7932" s="87"/>
      <c r="E7932" s="87"/>
      <c r="F7932" s="87"/>
      <c r="G7932" s="87"/>
    </row>
    <row r="7933">
      <c r="A7933" s="86" t="str">
        <f>IFERROR(__xludf.DUMMYFUNCTION("""COMPUTED_VALUE"""),"")</f>
        <v/>
      </c>
      <c r="B7933" s="87"/>
      <c r="C7933" s="87"/>
      <c r="D7933" s="87"/>
      <c r="E7933" s="87"/>
      <c r="F7933" s="87"/>
      <c r="G7933" s="87"/>
    </row>
    <row r="7934">
      <c r="A7934" s="86" t="str">
        <f>IFERROR(__xludf.DUMMYFUNCTION("""COMPUTED_VALUE"""),"")</f>
        <v/>
      </c>
      <c r="B7934" s="87"/>
      <c r="C7934" s="87"/>
      <c r="D7934" s="87"/>
      <c r="E7934" s="87"/>
      <c r="F7934" s="87"/>
      <c r="G7934" s="87"/>
    </row>
    <row r="7935">
      <c r="A7935" s="86" t="str">
        <f>IFERROR(__xludf.DUMMYFUNCTION("""COMPUTED_VALUE"""),"")</f>
        <v/>
      </c>
      <c r="B7935" s="87"/>
      <c r="C7935" s="87"/>
      <c r="D7935" s="87"/>
      <c r="E7935" s="87"/>
      <c r="F7935" s="87"/>
      <c r="G7935" s="87"/>
    </row>
    <row r="7936">
      <c r="A7936" s="86" t="str">
        <f>IFERROR(__xludf.DUMMYFUNCTION("""COMPUTED_VALUE"""),"")</f>
        <v/>
      </c>
      <c r="B7936" s="87"/>
      <c r="C7936" s="87"/>
      <c r="D7936" s="87"/>
      <c r="E7936" s="87"/>
      <c r="F7936" s="87"/>
      <c r="G7936" s="87"/>
    </row>
    <row r="7937">
      <c r="A7937" s="86" t="str">
        <f>IFERROR(__xludf.DUMMYFUNCTION("""COMPUTED_VALUE"""),"")</f>
        <v/>
      </c>
      <c r="B7937" s="87"/>
      <c r="C7937" s="87"/>
      <c r="D7937" s="87"/>
      <c r="E7937" s="87"/>
      <c r="F7937" s="87"/>
      <c r="G7937" s="87"/>
    </row>
    <row r="7938">
      <c r="A7938" s="86" t="str">
        <f>IFERROR(__xludf.DUMMYFUNCTION("""COMPUTED_VALUE"""),"")</f>
        <v/>
      </c>
      <c r="B7938" s="87"/>
      <c r="C7938" s="87"/>
      <c r="D7938" s="87"/>
      <c r="E7938" s="87"/>
      <c r="F7938" s="87"/>
      <c r="G7938" s="87"/>
    </row>
    <row r="7939">
      <c r="A7939" s="86" t="str">
        <f>IFERROR(__xludf.DUMMYFUNCTION("""COMPUTED_VALUE"""),"")</f>
        <v/>
      </c>
      <c r="B7939" s="87"/>
      <c r="C7939" s="87"/>
      <c r="D7939" s="87"/>
      <c r="E7939" s="87"/>
      <c r="F7939" s="87"/>
      <c r="G7939" s="87"/>
    </row>
    <row r="7940">
      <c r="A7940" s="86" t="str">
        <f>IFERROR(__xludf.DUMMYFUNCTION("""COMPUTED_VALUE"""),"")</f>
        <v/>
      </c>
      <c r="B7940" s="87"/>
      <c r="C7940" s="87"/>
      <c r="D7940" s="87"/>
      <c r="E7940" s="87"/>
      <c r="F7940" s="87"/>
      <c r="G7940" s="87"/>
    </row>
    <row r="7941">
      <c r="A7941" s="86" t="str">
        <f>IFERROR(__xludf.DUMMYFUNCTION("""COMPUTED_VALUE"""),"")</f>
        <v/>
      </c>
      <c r="B7941" s="87"/>
      <c r="C7941" s="87"/>
      <c r="D7941" s="87"/>
      <c r="E7941" s="87"/>
      <c r="F7941" s="87"/>
      <c r="G7941" s="87"/>
    </row>
    <row r="7942">
      <c r="A7942" s="86" t="str">
        <f>IFERROR(__xludf.DUMMYFUNCTION("""COMPUTED_VALUE"""),"")</f>
        <v/>
      </c>
      <c r="B7942" s="87"/>
      <c r="C7942" s="87"/>
      <c r="D7942" s="87"/>
      <c r="E7942" s="87"/>
      <c r="F7942" s="87"/>
      <c r="G7942" s="87"/>
    </row>
    <row r="7943">
      <c r="A7943" s="86" t="str">
        <f>IFERROR(__xludf.DUMMYFUNCTION("""COMPUTED_VALUE"""),"")</f>
        <v/>
      </c>
      <c r="B7943" s="87"/>
      <c r="C7943" s="87"/>
      <c r="D7943" s="87"/>
      <c r="E7943" s="87"/>
      <c r="F7943" s="87"/>
      <c r="G7943" s="87"/>
    </row>
    <row r="7944">
      <c r="A7944" s="86" t="str">
        <f>IFERROR(__xludf.DUMMYFUNCTION("""COMPUTED_VALUE"""),"")</f>
        <v/>
      </c>
      <c r="B7944" s="87"/>
      <c r="C7944" s="87"/>
      <c r="D7944" s="87"/>
      <c r="E7944" s="87"/>
      <c r="F7944" s="87"/>
      <c r="G7944" s="87"/>
    </row>
    <row r="7945">
      <c r="A7945" s="86" t="str">
        <f>IFERROR(__xludf.DUMMYFUNCTION("""COMPUTED_VALUE"""),"")</f>
        <v/>
      </c>
      <c r="B7945" s="87"/>
      <c r="C7945" s="87"/>
      <c r="D7945" s="87"/>
      <c r="E7945" s="87"/>
      <c r="F7945" s="87"/>
      <c r="G7945" s="87"/>
    </row>
    <row r="7946">
      <c r="A7946" s="86" t="str">
        <f>IFERROR(__xludf.DUMMYFUNCTION("""COMPUTED_VALUE"""),"")</f>
        <v/>
      </c>
      <c r="B7946" s="87"/>
      <c r="C7946" s="87"/>
      <c r="D7946" s="87"/>
      <c r="E7946" s="87"/>
      <c r="F7946" s="87"/>
      <c r="G7946" s="87"/>
    </row>
    <row r="7947">
      <c r="A7947" s="86" t="str">
        <f>IFERROR(__xludf.DUMMYFUNCTION("""COMPUTED_VALUE"""),"")</f>
        <v/>
      </c>
      <c r="B7947" s="87"/>
      <c r="C7947" s="87"/>
      <c r="D7947" s="87"/>
      <c r="E7947" s="87"/>
      <c r="F7947" s="87"/>
      <c r="G7947" s="87"/>
    </row>
    <row r="7948">
      <c r="A7948" s="86" t="str">
        <f>IFERROR(__xludf.DUMMYFUNCTION("""COMPUTED_VALUE"""),"")</f>
        <v/>
      </c>
      <c r="B7948" s="87"/>
      <c r="C7948" s="87"/>
      <c r="D7948" s="87"/>
      <c r="E7948" s="87"/>
      <c r="F7948" s="87"/>
      <c r="G7948" s="87"/>
    </row>
    <row r="7949">
      <c r="A7949" s="86" t="str">
        <f>IFERROR(__xludf.DUMMYFUNCTION("""COMPUTED_VALUE"""),"")</f>
        <v/>
      </c>
      <c r="B7949" s="87"/>
      <c r="C7949" s="87"/>
      <c r="D7949" s="87"/>
      <c r="E7949" s="87"/>
      <c r="F7949" s="87"/>
      <c r="G7949" s="87"/>
    </row>
    <row r="7950">
      <c r="A7950" s="86" t="str">
        <f>IFERROR(__xludf.DUMMYFUNCTION("""COMPUTED_VALUE"""),"")</f>
        <v/>
      </c>
      <c r="B7950" s="87"/>
      <c r="C7950" s="87"/>
      <c r="D7950" s="87"/>
      <c r="E7950" s="87"/>
      <c r="F7950" s="87"/>
      <c r="G7950" s="87"/>
    </row>
    <row r="7951">
      <c r="A7951" s="86" t="str">
        <f>IFERROR(__xludf.DUMMYFUNCTION("""COMPUTED_VALUE"""),"")</f>
        <v/>
      </c>
      <c r="B7951" s="87"/>
      <c r="C7951" s="87"/>
      <c r="D7951" s="87"/>
      <c r="E7951" s="87"/>
      <c r="F7951" s="87"/>
      <c r="G7951" s="87"/>
    </row>
    <row r="7952">
      <c r="A7952" s="86" t="str">
        <f>IFERROR(__xludf.DUMMYFUNCTION("""COMPUTED_VALUE"""),"")</f>
        <v/>
      </c>
      <c r="B7952" s="87"/>
      <c r="C7952" s="87"/>
      <c r="D7952" s="87"/>
      <c r="E7952" s="87"/>
      <c r="F7952" s="87"/>
      <c r="G7952" s="87"/>
    </row>
    <row r="7953">
      <c r="A7953" s="86" t="str">
        <f>IFERROR(__xludf.DUMMYFUNCTION("""COMPUTED_VALUE"""),"")</f>
        <v/>
      </c>
      <c r="B7953" s="87"/>
      <c r="C7953" s="87"/>
      <c r="D7953" s="87"/>
      <c r="E7953" s="87"/>
      <c r="F7953" s="87"/>
      <c r="G7953" s="87"/>
    </row>
    <row r="7954">
      <c r="A7954" s="86" t="str">
        <f>IFERROR(__xludf.DUMMYFUNCTION("""COMPUTED_VALUE"""),"")</f>
        <v/>
      </c>
      <c r="B7954" s="87"/>
      <c r="C7954" s="87"/>
      <c r="D7954" s="87"/>
      <c r="E7954" s="87"/>
      <c r="F7954" s="87"/>
      <c r="G7954" s="87"/>
    </row>
    <row r="7955">
      <c r="A7955" s="86" t="str">
        <f>IFERROR(__xludf.DUMMYFUNCTION("""COMPUTED_VALUE"""),"")</f>
        <v/>
      </c>
      <c r="B7955" s="87"/>
      <c r="C7955" s="87"/>
      <c r="D7955" s="87"/>
      <c r="E7955" s="87"/>
      <c r="F7955" s="87"/>
      <c r="G7955" s="87"/>
    </row>
    <row r="7956">
      <c r="A7956" s="86" t="str">
        <f>IFERROR(__xludf.DUMMYFUNCTION("""COMPUTED_VALUE"""),"")</f>
        <v/>
      </c>
      <c r="B7956" s="87"/>
      <c r="C7956" s="87"/>
      <c r="D7956" s="87"/>
      <c r="E7956" s="87"/>
      <c r="F7956" s="87"/>
      <c r="G7956" s="87"/>
    </row>
    <row r="7957">
      <c r="A7957" s="86" t="str">
        <f>IFERROR(__xludf.DUMMYFUNCTION("""COMPUTED_VALUE"""),"")</f>
        <v/>
      </c>
      <c r="B7957" s="87"/>
      <c r="C7957" s="87"/>
      <c r="D7957" s="87"/>
      <c r="E7957" s="87"/>
      <c r="F7957" s="87"/>
      <c r="G7957" s="87"/>
    </row>
    <row r="7958">
      <c r="A7958" s="86" t="str">
        <f>IFERROR(__xludf.DUMMYFUNCTION("""COMPUTED_VALUE"""),"")</f>
        <v/>
      </c>
      <c r="B7958" s="87"/>
      <c r="C7958" s="87"/>
      <c r="D7958" s="87"/>
      <c r="E7958" s="87"/>
      <c r="F7958" s="87"/>
      <c r="G7958" s="87"/>
    </row>
    <row r="7959">
      <c r="A7959" s="86" t="str">
        <f>IFERROR(__xludf.DUMMYFUNCTION("""COMPUTED_VALUE"""),"")</f>
        <v/>
      </c>
      <c r="B7959" s="87"/>
      <c r="C7959" s="87"/>
      <c r="D7959" s="87"/>
      <c r="E7959" s="87"/>
      <c r="F7959" s="87"/>
      <c r="G7959" s="87"/>
    </row>
    <row r="7960">
      <c r="A7960" s="86" t="str">
        <f>IFERROR(__xludf.DUMMYFUNCTION("""COMPUTED_VALUE"""),"")</f>
        <v/>
      </c>
      <c r="B7960" s="87"/>
      <c r="C7960" s="87"/>
      <c r="D7960" s="87"/>
      <c r="E7960" s="87"/>
      <c r="F7960" s="87"/>
      <c r="G7960" s="87"/>
    </row>
    <row r="7961">
      <c r="A7961" s="86" t="str">
        <f>IFERROR(__xludf.DUMMYFUNCTION("""COMPUTED_VALUE"""),"")</f>
        <v/>
      </c>
      <c r="B7961" s="87"/>
      <c r="C7961" s="87"/>
      <c r="D7961" s="87"/>
      <c r="E7961" s="87"/>
      <c r="F7961" s="87"/>
      <c r="G7961" s="87"/>
    </row>
    <row r="7962">
      <c r="A7962" s="86" t="str">
        <f>IFERROR(__xludf.DUMMYFUNCTION("""COMPUTED_VALUE"""),"")</f>
        <v/>
      </c>
      <c r="B7962" s="87"/>
      <c r="C7962" s="87"/>
      <c r="D7962" s="87"/>
      <c r="E7962" s="87"/>
      <c r="F7962" s="87"/>
      <c r="G7962" s="87"/>
    </row>
    <row r="7963">
      <c r="A7963" s="86" t="str">
        <f>IFERROR(__xludf.DUMMYFUNCTION("""COMPUTED_VALUE"""),"")</f>
        <v/>
      </c>
      <c r="B7963" s="87"/>
      <c r="C7963" s="87"/>
      <c r="D7963" s="87"/>
      <c r="E7963" s="87"/>
      <c r="F7963" s="87"/>
      <c r="G7963" s="87"/>
    </row>
    <row r="7964">
      <c r="A7964" s="86" t="str">
        <f>IFERROR(__xludf.DUMMYFUNCTION("""COMPUTED_VALUE"""),"")</f>
        <v/>
      </c>
      <c r="B7964" s="87"/>
      <c r="C7964" s="87"/>
      <c r="D7964" s="87"/>
      <c r="E7964" s="87"/>
      <c r="F7964" s="87"/>
      <c r="G7964" s="87"/>
    </row>
    <row r="7965">
      <c r="A7965" s="86" t="str">
        <f>IFERROR(__xludf.DUMMYFUNCTION("""COMPUTED_VALUE"""),"")</f>
        <v/>
      </c>
      <c r="B7965" s="87"/>
      <c r="C7965" s="87"/>
      <c r="D7965" s="87"/>
      <c r="E7965" s="87"/>
      <c r="F7965" s="87"/>
      <c r="G7965" s="87"/>
    </row>
    <row r="7966">
      <c r="A7966" s="86" t="str">
        <f>IFERROR(__xludf.DUMMYFUNCTION("""COMPUTED_VALUE"""),"")</f>
        <v/>
      </c>
      <c r="B7966" s="87"/>
      <c r="C7966" s="87"/>
      <c r="D7966" s="87"/>
      <c r="E7966" s="87"/>
      <c r="F7966" s="87"/>
      <c r="G7966" s="87"/>
    </row>
    <row r="7967">
      <c r="A7967" s="86" t="str">
        <f>IFERROR(__xludf.DUMMYFUNCTION("""COMPUTED_VALUE"""),"")</f>
        <v/>
      </c>
      <c r="B7967" s="87"/>
      <c r="C7967" s="87"/>
      <c r="D7967" s="87"/>
      <c r="E7967" s="87"/>
      <c r="F7967" s="87"/>
      <c r="G7967" s="87"/>
    </row>
    <row r="7968">
      <c r="A7968" s="86" t="str">
        <f>IFERROR(__xludf.DUMMYFUNCTION("""COMPUTED_VALUE"""),"")</f>
        <v/>
      </c>
      <c r="B7968" s="87"/>
      <c r="C7968" s="87"/>
      <c r="D7968" s="87"/>
      <c r="E7968" s="87"/>
      <c r="F7968" s="87"/>
      <c r="G7968" s="87"/>
    </row>
    <row r="7969">
      <c r="A7969" s="86" t="str">
        <f>IFERROR(__xludf.DUMMYFUNCTION("""COMPUTED_VALUE"""),"")</f>
        <v/>
      </c>
      <c r="B7969" s="87"/>
      <c r="C7969" s="87"/>
      <c r="D7969" s="87"/>
      <c r="E7969" s="87"/>
      <c r="F7969" s="87"/>
      <c r="G7969" s="87"/>
    </row>
    <row r="7970">
      <c r="A7970" s="86" t="str">
        <f>IFERROR(__xludf.DUMMYFUNCTION("""COMPUTED_VALUE"""),"")</f>
        <v/>
      </c>
      <c r="B7970" s="87"/>
      <c r="C7970" s="87"/>
      <c r="D7970" s="87"/>
      <c r="E7970" s="87"/>
      <c r="F7970" s="87"/>
      <c r="G7970" s="87"/>
    </row>
    <row r="7971">
      <c r="A7971" s="86" t="str">
        <f>IFERROR(__xludf.DUMMYFUNCTION("""COMPUTED_VALUE"""),"")</f>
        <v/>
      </c>
      <c r="B7971" s="87"/>
      <c r="C7971" s="87"/>
      <c r="D7971" s="87"/>
      <c r="E7971" s="87"/>
      <c r="F7971" s="87"/>
      <c r="G7971" s="87"/>
    </row>
    <row r="7972">
      <c r="A7972" s="86" t="str">
        <f>IFERROR(__xludf.DUMMYFUNCTION("""COMPUTED_VALUE"""),"")</f>
        <v/>
      </c>
      <c r="B7972" s="87"/>
      <c r="C7972" s="87"/>
      <c r="D7972" s="87"/>
      <c r="E7972" s="87"/>
      <c r="F7972" s="87"/>
      <c r="G7972" s="87"/>
    </row>
    <row r="7973">
      <c r="A7973" s="86" t="str">
        <f>IFERROR(__xludf.DUMMYFUNCTION("""COMPUTED_VALUE"""),"")</f>
        <v/>
      </c>
      <c r="B7973" s="87"/>
      <c r="C7973" s="87"/>
      <c r="D7973" s="87"/>
      <c r="E7973" s="87"/>
      <c r="F7973" s="87"/>
      <c r="G7973" s="87"/>
    </row>
    <row r="7974">
      <c r="A7974" s="86" t="str">
        <f>IFERROR(__xludf.DUMMYFUNCTION("""COMPUTED_VALUE"""),"")</f>
        <v/>
      </c>
      <c r="B7974" s="87"/>
      <c r="C7974" s="87"/>
      <c r="D7974" s="87"/>
      <c r="E7974" s="87"/>
      <c r="F7974" s="87"/>
      <c r="G7974" s="87"/>
    </row>
    <row r="7975">
      <c r="A7975" s="86" t="str">
        <f>IFERROR(__xludf.DUMMYFUNCTION("""COMPUTED_VALUE"""),"")</f>
        <v/>
      </c>
      <c r="B7975" s="87"/>
      <c r="C7975" s="87"/>
      <c r="D7975" s="87"/>
      <c r="E7975" s="87"/>
      <c r="F7975" s="87"/>
      <c r="G7975" s="87"/>
    </row>
    <row r="7976">
      <c r="A7976" s="86" t="str">
        <f>IFERROR(__xludf.DUMMYFUNCTION("""COMPUTED_VALUE"""),"")</f>
        <v/>
      </c>
      <c r="B7976" s="87"/>
      <c r="C7976" s="87"/>
      <c r="D7976" s="87"/>
      <c r="E7976" s="87"/>
      <c r="F7976" s="87"/>
      <c r="G7976" s="87"/>
    </row>
    <row r="7977">
      <c r="A7977" s="86" t="str">
        <f>IFERROR(__xludf.DUMMYFUNCTION("""COMPUTED_VALUE"""),"")</f>
        <v/>
      </c>
      <c r="B7977" s="87"/>
      <c r="C7977" s="87"/>
      <c r="D7977" s="87"/>
      <c r="E7977" s="87"/>
      <c r="F7977" s="87"/>
      <c r="G7977" s="87"/>
    </row>
    <row r="7978">
      <c r="A7978" s="86" t="str">
        <f>IFERROR(__xludf.DUMMYFUNCTION("""COMPUTED_VALUE"""),"")</f>
        <v/>
      </c>
      <c r="B7978" s="87"/>
      <c r="C7978" s="87"/>
      <c r="D7978" s="87"/>
      <c r="E7978" s="87"/>
      <c r="F7978" s="87"/>
      <c r="G7978" s="87"/>
    </row>
    <row r="7979">
      <c r="A7979" s="86" t="str">
        <f>IFERROR(__xludf.DUMMYFUNCTION("""COMPUTED_VALUE"""),"")</f>
        <v/>
      </c>
      <c r="B7979" s="87"/>
      <c r="C7979" s="87"/>
      <c r="D7979" s="87"/>
      <c r="E7979" s="87"/>
      <c r="F7979" s="87"/>
      <c r="G7979" s="87"/>
    </row>
    <row r="7980">
      <c r="A7980" s="86" t="str">
        <f>IFERROR(__xludf.DUMMYFUNCTION("""COMPUTED_VALUE"""),"")</f>
        <v/>
      </c>
      <c r="B7980" s="87"/>
      <c r="C7980" s="87"/>
      <c r="D7980" s="87"/>
      <c r="E7980" s="87"/>
      <c r="F7980" s="87"/>
      <c r="G7980" s="87"/>
    </row>
    <row r="7981">
      <c r="A7981" s="86" t="str">
        <f>IFERROR(__xludf.DUMMYFUNCTION("""COMPUTED_VALUE"""),"")</f>
        <v/>
      </c>
      <c r="B7981" s="87"/>
      <c r="C7981" s="87"/>
      <c r="D7981" s="87"/>
      <c r="E7981" s="87"/>
      <c r="F7981" s="87"/>
      <c r="G7981" s="87"/>
    </row>
    <row r="7982">
      <c r="A7982" s="86" t="str">
        <f>IFERROR(__xludf.DUMMYFUNCTION("""COMPUTED_VALUE"""),"")</f>
        <v/>
      </c>
      <c r="B7982" s="87"/>
      <c r="C7982" s="87"/>
      <c r="D7982" s="87"/>
      <c r="E7982" s="87"/>
      <c r="F7982" s="87"/>
      <c r="G7982" s="87"/>
    </row>
    <row r="7983">
      <c r="A7983" s="86" t="str">
        <f>IFERROR(__xludf.DUMMYFUNCTION("""COMPUTED_VALUE"""),"")</f>
        <v/>
      </c>
      <c r="B7983" s="87"/>
      <c r="C7983" s="87"/>
      <c r="D7983" s="87"/>
      <c r="E7983" s="87"/>
      <c r="F7983" s="87"/>
      <c r="G7983" s="87"/>
    </row>
    <row r="7984">
      <c r="A7984" s="86" t="str">
        <f>IFERROR(__xludf.DUMMYFUNCTION("""COMPUTED_VALUE"""),"")</f>
        <v/>
      </c>
      <c r="B7984" s="87"/>
      <c r="C7984" s="87"/>
      <c r="D7984" s="87"/>
      <c r="E7984" s="87"/>
      <c r="F7984" s="87"/>
      <c r="G7984" s="87"/>
    </row>
    <row r="7985">
      <c r="A7985" s="86" t="str">
        <f>IFERROR(__xludf.DUMMYFUNCTION("""COMPUTED_VALUE"""),"")</f>
        <v/>
      </c>
      <c r="B7985" s="87"/>
      <c r="C7985" s="87"/>
      <c r="D7985" s="87"/>
      <c r="E7985" s="87"/>
      <c r="F7985" s="87"/>
      <c r="G7985" s="87"/>
    </row>
    <row r="7986">
      <c r="A7986" s="86" t="str">
        <f>IFERROR(__xludf.DUMMYFUNCTION("""COMPUTED_VALUE"""),"")</f>
        <v/>
      </c>
      <c r="B7986" s="87"/>
      <c r="C7986" s="87"/>
      <c r="D7986" s="87"/>
      <c r="E7986" s="87"/>
      <c r="F7986" s="87"/>
      <c r="G7986" s="87"/>
    </row>
    <row r="7987">
      <c r="A7987" s="86" t="str">
        <f>IFERROR(__xludf.DUMMYFUNCTION("""COMPUTED_VALUE"""),"")</f>
        <v/>
      </c>
      <c r="B7987" s="87"/>
      <c r="C7987" s="87"/>
      <c r="D7987" s="87"/>
      <c r="E7987" s="87"/>
      <c r="F7987" s="87"/>
      <c r="G7987" s="87"/>
    </row>
    <row r="7988">
      <c r="A7988" s="86" t="str">
        <f>IFERROR(__xludf.DUMMYFUNCTION("""COMPUTED_VALUE"""),"")</f>
        <v/>
      </c>
      <c r="B7988" s="87"/>
      <c r="C7988" s="87"/>
      <c r="D7988" s="87"/>
      <c r="E7988" s="87"/>
      <c r="F7988" s="87"/>
      <c r="G7988" s="87"/>
    </row>
    <row r="7989">
      <c r="A7989" s="86" t="str">
        <f>IFERROR(__xludf.DUMMYFUNCTION("""COMPUTED_VALUE"""),"")</f>
        <v/>
      </c>
      <c r="B7989" s="87"/>
      <c r="C7989" s="87"/>
      <c r="D7989" s="87"/>
      <c r="E7989" s="87"/>
      <c r="F7989" s="87"/>
      <c r="G7989" s="87"/>
    </row>
    <row r="7990">
      <c r="A7990" s="86" t="str">
        <f>IFERROR(__xludf.DUMMYFUNCTION("""COMPUTED_VALUE"""),"")</f>
        <v/>
      </c>
      <c r="B7990" s="87"/>
      <c r="C7990" s="87"/>
      <c r="D7990" s="87"/>
      <c r="E7990" s="87"/>
      <c r="F7990" s="87"/>
      <c r="G7990" s="87"/>
    </row>
    <row r="7991">
      <c r="A7991" s="86" t="str">
        <f>IFERROR(__xludf.DUMMYFUNCTION("""COMPUTED_VALUE"""),"")</f>
        <v/>
      </c>
      <c r="B7991" s="87"/>
      <c r="C7991" s="87"/>
      <c r="D7991" s="87"/>
      <c r="E7991" s="87"/>
      <c r="F7991" s="87"/>
      <c r="G7991" s="87"/>
    </row>
    <row r="7992">
      <c r="A7992" s="86" t="str">
        <f>IFERROR(__xludf.DUMMYFUNCTION("""COMPUTED_VALUE"""),"")</f>
        <v/>
      </c>
      <c r="B7992" s="87"/>
      <c r="C7992" s="87"/>
      <c r="D7992" s="87"/>
      <c r="E7992" s="87"/>
      <c r="F7992" s="87"/>
      <c r="G7992" s="87"/>
    </row>
    <row r="7993">
      <c r="A7993" s="86" t="str">
        <f>IFERROR(__xludf.DUMMYFUNCTION("""COMPUTED_VALUE"""),"")</f>
        <v/>
      </c>
      <c r="B7993" s="87"/>
      <c r="C7993" s="87"/>
      <c r="D7993" s="87"/>
      <c r="E7993" s="87"/>
      <c r="F7993" s="87"/>
      <c r="G7993" s="87"/>
    </row>
    <row r="7994">
      <c r="A7994" s="86" t="str">
        <f>IFERROR(__xludf.DUMMYFUNCTION("""COMPUTED_VALUE"""),"")</f>
        <v/>
      </c>
      <c r="B7994" s="87"/>
      <c r="C7994" s="87"/>
      <c r="D7994" s="87"/>
      <c r="E7994" s="87"/>
      <c r="F7994" s="87"/>
      <c r="G7994" s="87"/>
    </row>
    <row r="7995">
      <c r="A7995" s="86" t="str">
        <f>IFERROR(__xludf.DUMMYFUNCTION("""COMPUTED_VALUE"""),"")</f>
        <v/>
      </c>
      <c r="B7995" s="87"/>
      <c r="C7995" s="87"/>
      <c r="D7995" s="87"/>
      <c r="E7995" s="87"/>
      <c r="F7995" s="87"/>
      <c r="G7995" s="87"/>
    </row>
    <row r="7996">
      <c r="A7996" s="86" t="str">
        <f>IFERROR(__xludf.DUMMYFUNCTION("""COMPUTED_VALUE"""),"")</f>
        <v/>
      </c>
      <c r="B7996" s="87"/>
      <c r="C7996" s="87"/>
      <c r="D7996" s="87"/>
      <c r="E7996" s="87"/>
      <c r="F7996" s="87"/>
      <c r="G7996" s="87"/>
    </row>
    <row r="7997">
      <c r="A7997" s="86" t="str">
        <f>IFERROR(__xludf.DUMMYFUNCTION("""COMPUTED_VALUE"""),"")</f>
        <v/>
      </c>
      <c r="B7997" s="87"/>
      <c r="C7997" s="87"/>
      <c r="D7997" s="87"/>
      <c r="E7997" s="87"/>
      <c r="F7997" s="87"/>
      <c r="G7997" s="87"/>
    </row>
    <row r="7998">
      <c r="A7998" s="86" t="str">
        <f>IFERROR(__xludf.DUMMYFUNCTION("""COMPUTED_VALUE"""),"")</f>
        <v/>
      </c>
      <c r="B7998" s="87"/>
      <c r="C7998" s="87"/>
      <c r="D7998" s="87"/>
      <c r="E7998" s="87"/>
      <c r="F7998" s="87"/>
      <c r="G7998" s="87"/>
    </row>
    <row r="7999">
      <c r="A7999" s="86" t="str">
        <f>IFERROR(__xludf.DUMMYFUNCTION("""COMPUTED_VALUE"""),"")</f>
        <v/>
      </c>
      <c r="B7999" s="87"/>
      <c r="C7999" s="87"/>
      <c r="D7999" s="87"/>
      <c r="E7999" s="87"/>
      <c r="F7999" s="87"/>
      <c r="G7999" s="87"/>
    </row>
    <row r="8000">
      <c r="A8000" s="86" t="str">
        <f>IFERROR(__xludf.DUMMYFUNCTION("""COMPUTED_VALUE"""),"")</f>
        <v/>
      </c>
      <c r="B8000" s="87"/>
      <c r="C8000" s="87"/>
      <c r="D8000" s="87"/>
      <c r="E8000" s="87"/>
      <c r="F8000" s="87"/>
      <c r="G8000" s="87"/>
    </row>
    <row r="8001">
      <c r="A8001" s="86" t="str">
        <f>IFERROR(__xludf.DUMMYFUNCTION("""COMPUTED_VALUE"""),"")</f>
        <v/>
      </c>
      <c r="B8001" s="87"/>
      <c r="C8001" s="87"/>
      <c r="D8001" s="87"/>
      <c r="E8001" s="87"/>
      <c r="F8001" s="87"/>
      <c r="G8001" s="87"/>
    </row>
    <row r="8002">
      <c r="A8002" s="86" t="str">
        <f>IFERROR(__xludf.DUMMYFUNCTION("""COMPUTED_VALUE"""),"")</f>
        <v/>
      </c>
      <c r="B8002" s="87"/>
      <c r="C8002" s="87"/>
      <c r="D8002" s="87"/>
      <c r="E8002" s="87"/>
      <c r="F8002" s="87"/>
      <c r="G8002" s="87"/>
    </row>
    <row r="8003">
      <c r="A8003" s="86" t="str">
        <f>IFERROR(__xludf.DUMMYFUNCTION("""COMPUTED_VALUE"""),"")</f>
        <v/>
      </c>
      <c r="B8003" s="87"/>
      <c r="C8003" s="87"/>
      <c r="D8003" s="87"/>
      <c r="E8003" s="87"/>
      <c r="F8003" s="87"/>
      <c r="G8003" s="87"/>
    </row>
    <row r="8004">
      <c r="A8004" s="86" t="str">
        <f>IFERROR(__xludf.DUMMYFUNCTION("""COMPUTED_VALUE"""),"")</f>
        <v/>
      </c>
      <c r="B8004" s="87"/>
      <c r="C8004" s="87"/>
      <c r="D8004" s="87"/>
      <c r="E8004" s="87"/>
      <c r="F8004" s="87"/>
      <c r="G8004" s="87"/>
    </row>
    <row r="8005">
      <c r="A8005" s="86" t="str">
        <f>IFERROR(__xludf.DUMMYFUNCTION("""COMPUTED_VALUE"""),"")</f>
        <v/>
      </c>
      <c r="B8005" s="87"/>
      <c r="C8005" s="87"/>
      <c r="D8005" s="87"/>
      <c r="E8005" s="87"/>
      <c r="F8005" s="87"/>
      <c r="G8005" s="87"/>
    </row>
    <row r="8006">
      <c r="A8006" s="86" t="str">
        <f>IFERROR(__xludf.DUMMYFUNCTION("""COMPUTED_VALUE"""),"")</f>
        <v/>
      </c>
      <c r="B8006" s="87"/>
      <c r="C8006" s="87"/>
      <c r="D8006" s="87"/>
      <c r="E8006" s="87"/>
      <c r="F8006" s="87"/>
      <c r="G8006" s="87"/>
    </row>
    <row r="8007">
      <c r="A8007" s="86" t="str">
        <f>IFERROR(__xludf.DUMMYFUNCTION("""COMPUTED_VALUE"""),"")</f>
        <v/>
      </c>
      <c r="B8007" s="87"/>
      <c r="C8007" s="87"/>
      <c r="D8007" s="87"/>
      <c r="E8007" s="87"/>
      <c r="F8007" s="87"/>
      <c r="G8007" s="87"/>
    </row>
    <row r="8008">
      <c r="A8008" s="86" t="str">
        <f>IFERROR(__xludf.DUMMYFUNCTION("""COMPUTED_VALUE"""),"")</f>
        <v/>
      </c>
      <c r="B8008" s="87"/>
      <c r="C8008" s="87"/>
      <c r="D8008" s="87"/>
      <c r="E8008" s="87"/>
      <c r="F8008" s="87"/>
      <c r="G8008" s="87"/>
    </row>
    <row r="8009">
      <c r="A8009" s="86" t="str">
        <f>IFERROR(__xludf.DUMMYFUNCTION("""COMPUTED_VALUE"""),"")</f>
        <v/>
      </c>
      <c r="B8009" s="87"/>
      <c r="C8009" s="87"/>
      <c r="D8009" s="87"/>
      <c r="E8009" s="87"/>
      <c r="F8009" s="87"/>
      <c r="G8009" s="87"/>
    </row>
    <row r="8010">
      <c r="A8010" s="86" t="str">
        <f>IFERROR(__xludf.DUMMYFUNCTION("""COMPUTED_VALUE"""),"")</f>
        <v/>
      </c>
      <c r="B8010" s="87"/>
      <c r="C8010" s="87"/>
      <c r="D8010" s="87"/>
      <c r="E8010" s="87"/>
      <c r="F8010" s="87"/>
      <c r="G8010" s="87"/>
    </row>
    <row r="8011">
      <c r="A8011" s="86" t="str">
        <f>IFERROR(__xludf.DUMMYFUNCTION("""COMPUTED_VALUE"""),"")</f>
        <v/>
      </c>
      <c r="B8011" s="87"/>
      <c r="C8011" s="87"/>
      <c r="D8011" s="87"/>
      <c r="E8011" s="87"/>
      <c r="F8011" s="87"/>
      <c r="G8011" s="87"/>
    </row>
    <row r="8012">
      <c r="A8012" s="86" t="str">
        <f>IFERROR(__xludf.DUMMYFUNCTION("""COMPUTED_VALUE"""),"")</f>
        <v/>
      </c>
      <c r="B8012" s="87"/>
      <c r="C8012" s="87"/>
      <c r="D8012" s="87"/>
      <c r="E8012" s="87"/>
      <c r="F8012" s="87"/>
      <c r="G8012" s="87"/>
    </row>
    <row r="8013">
      <c r="A8013" s="86" t="str">
        <f>IFERROR(__xludf.DUMMYFUNCTION("""COMPUTED_VALUE"""),"")</f>
        <v/>
      </c>
      <c r="B8013" s="87"/>
      <c r="C8013" s="87"/>
      <c r="D8013" s="87"/>
      <c r="E8013" s="87"/>
      <c r="F8013" s="87"/>
      <c r="G8013" s="87"/>
    </row>
    <row r="8014">
      <c r="A8014" s="86" t="str">
        <f>IFERROR(__xludf.DUMMYFUNCTION("""COMPUTED_VALUE"""),"")</f>
        <v/>
      </c>
      <c r="B8014" s="87"/>
      <c r="C8014" s="87"/>
      <c r="D8014" s="87"/>
      <c r="E8014" s="87"/>
      <c r="F8014" s="87"/>
      <c r="G8014" s="87"/>
    </row>
    <row r="8015">
      <c r="A8015" s="86" t="str">
        <f>IFERROR(__xludf.DUMMYFUNCTION("""COMPUTED_VALUE"""),"")</f>
        <v/>
      </c>
      <c r="B8015" s="87"/>
      <c r="C8015" s="87"/>
      <c r="D8015" s="87"/>
      <c r="E8015" s="87"/>
      <c r="F8015" s="87"/>
      <c r="G8015" s="87"/>
    </row>
    <row r="8016">
      <c r="A8016" s="86" t="str">
        <f>IFERROR(__xludf.DUMMYFUNCTION("""COMPUTED_VALUE"""),"")</f>
        <v/>
      </c>
      <c r="B8016" s="87"/>
      <c r="C8016" s="87"/>
      <c r="D8016" s="87"/>
      <c r="E8016" s="87"/>
      <c r="F8016" s="87"/>
      <c r="G8016" s="87"/>
    </row>
    <row r="8017">
      <c r="A8017" s="86" t="str">
        <f>IFERROR(__xludf.DUMMYFUNCTION("""COMPUTED_VALUE"""),"")</f>
        <v/>
      </c>
      <c r="B8017" s="87"/>
      <c r="C8017" s="87"/>
      <c r="D8017" s="87"/>
      <c r="E8017" s="87"/>
      <c r="F8017" s="87"/>
      <c r="G8017" s="87"/>
    </row>
    <row r="8018">
      <c r="A8018" s="86" t="str">
        <f>IFERROR(__xludf.DUMMYFUNCTION("""COMPUTED_VALUE"""),"")</f>
        <v/>
      </c>
      <c r="B8018" s="87"/>
      <c r="C8018" s="87"/>
      <c r="D8018" s="87"/>
      <c r="E8018" s="87"/>
      <c r="F8018" s="87"/>
      <c r="G8018" s="87"/>
    </row>
    <row r="8019">
      <c r="A8019" s="86" t="str">
        <f>IFERROR(__xludf.DUMMYFUNCTION("""COMPUTED_VALUE"""),"")</f>
        <v/>
      </c>
      <c r="B8019" s="87"/>
      <c r="C8019" s="87"/>
      <c r="D8019" s="87"/>
      <c r="E8019" s="87"/>
      <c r="F8019" s="87"/>
      <c r="G8019" s="87"/>
    </row>
    <row r="8020">
      <c r="A8020" s="86" t="str">
        <f>IFERROR(__xludf.DUMMYFUNCTION("""COMPUTED_VALUE"""),"")</f>
        <v/>
      </c>
      <c r="B8020" s="87"/>
      <c r="C8020" s="87"/>
      <c r="D8020" s="87"/>
      <c r="E8020" s="87"/>
      <c r="F8020" s="87"/>
      <c r="G8020" s="87"/>
    </row>
    <row r="8021">
      <c r="A8021" s="86" t="str">
        <f>IFERROR(__xludf.DUMMYFUNCTION("""COMPUTED_VALUE"""),"")</f>
        <v/>
      </c>
      <c r="B8021" s="87"/>
      <c r="C8021" s="87"/>
      <c r="D8021" s="87"/>
      <c r="E8021" s="87"/>
      <c r="F8021" s="87"/>
      <c r="G8021" s="87"/>
    </row>
    <row r="8022">
      <c r="A8022" s="86" t="str">
        <f>IFERROR(__xludf.DUMMYFUNCTION("""COMPUTED_VALUE"""),"")</f>
        <v/>
      </c>
      <c r="B8022" s="87"/>
      <c r="C8022" s="87"/>
      <c r="D8022" s="87"/>
      <c r="E8022" s="87"/>
      <c r="F8022" s="87"/>
      <c r="G8022" s="87"/>
    </row>
    <row r="8023">
      <c r="A8023" s="86" t="str">
        <f>IFERROR(__xludf.DUMMYFUNCTION("""COMPUTED_VALUE"""),"")</f>
        <v/>
      </c>
      <c r="B8023" s="87"/>
      <c r="C8023" s="87"/>
      <c r="D8023" s="87"/>
      <c r="E8023" s="87"/>
      <c r="F8023" s="87"/>
      <c r="G8023" s="87"/>
    </row>
    <row r="8024">
      <c r="A8024" s="86" t="str">
        <f>IFERROR(__xludf.DUMMYFUNCTION("""COMPUTED_VALUE"""),"")</f>
        <v/>
      </c>
      <c r="B8024" s="87"/>
      <c r="C8024" s="87"/>
      <c r="D8024" s="87"/>
      <c r="E8024" s="87"/>
      <c r="F8024" s="87"/>
      <c r="G8024" s="87"/>
    </row>
    <row r="8025">
      <c r="A8025" s="86" t="str">
        <f>IFERROR(__xludf.DUMMYFUNCTION("""COMPUTED_VALUE"""),"")</f>
        <v/>
      </c>
      <c r="B8025" s="87"/>
      <c r="C8025" s="87"/>
      <c r="D8025" s="87"/>
      <c r="E8025" s="87"/>
      <c r="F8025" s="87"/>
      <c r="G8025" s="87"/>
    </row>
    <row r="8026">
      <c r="A8026" s="86" t="str">
        <f>IFERROR(__xludf.DUMMYFUNCTION("""COMPUTED_VALUE"""),"")</f>
        <v/>
      </c>
      <c r="B8026" s="87"/>
      <c r="C8026" s="87"/>
      <c r="D8026" s="87"/>
      <c r="E8026" s="87"/>
      <c r="F8026" s="87"/>
      <c r="G8026" s="87"/>
    </row>
    <row r="8027">
      <c r="A8027" s="86" t="str">
        <f>IFERROR(__xludf.DUMMYFUNCTION("""COMPUTED_VALUE"""),"")</f>
        <v/>
      </c>
      <c r="B8027" s="87"/>
      <c r="C8027" s="87"/>
      <c r="D8027" s="87"/>
      <c r="E8027" s="87"/>
      <c r="F8027" s="87"/>
      <c r="G8027" s="87"/>
    </row>
    <row r="8028">
      <c r="A8028" s="86" t="str">
        <f>IFERROR(__xludf.DUMMYFUNCTION("""COMPUTED_VALUE"""),"")</f>
        <v/>
      </c>
      <c r="B8028" s="87"/>
      <c r="C8028" s="87"/>
      <c r="D8028" s="87"/>
      <c r="E8028" s="87"/>
      <c r="F8028" s="87"/>
      <c r="G8028" s="87"/>
    </row>
    <row r="8029">
      <c r="A8029" s="86" t="str">
        <f>IFERROR(__xludf.DUMMYFUNCTION("""COMPUTED_VALUE"""),"")</f>
        <v/>
      </c>
      <c r="B8029" s="87"/>
      <c r="C8029" s="87"/>
      <c r="D8029" s="87"/>
      <c r="E8029" s="87"/>
      <c r="F8029" s="87"/>
      <c r="G8029" s="87"/>
    </row>
    <row r="8030">
      <c r="A8030" s="86" t="str">
        <f>IFERROR(__xludf.DUMMYFUNCTION("""COMPUTED_VALUE"""),"")</f>
        <v/>
      </c>
      <c r="B8030" s="87"/>
      <c r="C8030" s="87"/>
      <c r="D8030" s="87"/>
      <c r="E8030" s="87"/>
      <c r="F8030" s="87"/>
      <c r="G8030" s="87"/>
    </row>
    <row r="8031">
      <c r="A8031" s="86" t="str">
        <f>IFERROR(__xludf.DUMMYFUNCTION("""COMPUTED_VALUE"""),"")</f>
        <v/>
      </c>
      <c r="B8031" s="87"/>
      <c r="C8031" s="87"/>
      <c r="D8031" s="87"/>
      <c r="E8031" s="87"/>
      <c r="F8031" s="87"/>
      <c r="G8031" s="87"/>
    </row>
    <row r="8032">
      <c r="A8032" s="86" t="str">
        <f>IFERROR(__xludf.DUMMYFUNCTION("""COMPUTED_VALUE"""),"")</f>
        <v/>
      </c>
      <c r="B8032" s="87"/>
      <c r="C8032" s="87"/>
      <c r="D8032" s="87"/>
      <c r="E8032" s="87"/>
      <c r="F8032" s="87"/>
      <c r="G8032" s="87"/>
    </row>
    <row r="8033">
      <c r="A8033" s="86" t="str">
        <f>IFERROR(__xludf.DUMMYFUNCTION("""COMPUTED_VALUE"""),"")</f>
        <v/>
      </c>
      <c r="B8033" s="87"/>
      <c r="C8033" s="87"/>
      <c r="D8033" s="87"/>
      <c r="E8033" s="87"/>
      <c r="F8033" s="87"/>
      <c r="G8033" s="87"/>
    </row>
    <row r="8034">
      <c r="A8034" s="86" t="str">
        <f>IFERROR(__xludf.DUMMYFUNCTION("""COMPUTED_VALUE"""),"")</f>
        <v/>
      </c>
      <c r="B8034" s="87"/>
      <c r="C8034" s="87"/>
      <c r="D8034" s="87"/>
      <c r="E8034" s="87"/>
      <c r="F8034" s="87"/>
      <c r="G8034" s="87"/>
    </row>
    <row r="8035">
      <c r="A8035" s="86" t="str">
        <f>IFERROR(__xludf.DUMMYFUNCTION("""COMPUTED_VALUE"""),"")</f>
        <v/>
      </c>
      <c r="B8035" s="87"/>
      <c r="C8035" s="87"/>
      <c r="D8035" s="87"/>
      <c r="E8035" s="87"/>
      <c r="F8035" s="87"/>
      <c r="G8035" s="87"/>
    </row>
    <row r="8036">
      <c r="A8036" s="86" t="str">
        <f>IFERROR(__xludf.DUMMYFUNCTION("""COMPUTED_VALUE"""),"")</f>
        <v/>
      </c>
      <c r="B8036" s="87"/>
      <c r="C8036" s="87"/>
      <c r="D8036" s="87"/>
      <c r="E8036" s="87"/>
      <c r="F8036" s="87"/>
      <c r="G8036" s="87"/>
    </row>
    <row r="8037">
      <c r="A8037" s="86" t="str">
        <f>IFERROR(__xludf.DUMMYFUNCTION("""COMPUTED_VALUE"""),"")</f>
        <v/>
      </c>
      <c r="B8037" s="87"/>
      <c r="C8037" s="87"/>
      <c r="D8037" s="87"/>
      <c r="E8037" s="87"/>
      <c r="F8037" s="87"/>
      <c r="G8037" s="87"/>
    </row>
    <row r="8038">
      <c r="A8038" s="86" t="str">
        <f>IFERROR(__xludf.DUMMYFUNCTION("""COMPUTED_VALUE"""),"")</f>
        <v/>
      </c>
      <c r="B8038" s="87"/>
      <c r="C8038" s="87"/>
      <c r="D8038" s="87"/>
      <c r="E8038" s="87"/>
      <c r="F8038" s="87"/>
      <c r="G8038" s="87"/>
    </row>
    <row r="8039">
      <c r="A8039" s="86" t="str">
        <f>IFERROR(__xludf.DUMMYFUNCTION("""COMPUTED_VALUE"""),"")</f>
        <v/>
      </c>
      <c r="B8039" s="87"/>
      <c r="C8039" s="87"/>
      <c r="D8039" s="87"/>
      <c r="E8039" s="87"/>
      <c r="F8039" s="87"/>
      <c r="G8039" s="87"/>
    </row>
    <row r="8040">
      <c r="A8040" s="86" t="str">
        <f>IFERROR(__xludf.DUMMYFUNCTION("""COMPUTED_VALUE"""),"")</f>
        <v/>
      </c>
      <c r="B8040" s="87"/>
      <c r="C8040" s="87"/>
      <c r="D8040" s="87"/>
      <c r="E8040" s="87"/>
      <c r="F8040" s="87"/>
      <c r="G8040" s="87"/>
    </row>
    <row r="8041">
      <c r="A8041" s="86" t="str">
        <f>IFERROR(__xludf.DUMMYFUNCTION("""COMPUTED_VALUE"""),"")</f>
        <v/>
      </c>
      <c r="B8041" s="87"/>
      <c r="C8041" s="87"/>
      <c r="D8041" s="87"/>
      <c r="E8041" s="87"/>
      <c r="F8041" s="87"/>
      <c r="G8041" s="87"/>
    </row>
    <row r="8042">
      <c r="A8042" s="86" t="str">
        <f>IFERROR(__xludf.DUMMYFUNCTION("""COMPUTED_VALUE"""),"")</f>
        <v/>
      </c>
      <c r="B8042" s="87"/>
      <c r="C8042" s="87"/>
      <c r="D8042" s="87"/>
      <c r="E8042" s="87"/>
      <c r="F8042" s="87"/>
      <c r="G8042" s="87"/>
    </row>
    <row r="8043">
      <c r="A8043" s="86" t="str">
        <f>IFERROR(__xludf.DUMMYFUNCTION("""COMPUTED_VALUE"""),"")</f>
        <v/>
      </c>
      <c r="B8043" s="87"/>
      <c r="C8043" s="87"/>
      <c r="D8043" s="87"/>
      <c r="E8043" s="87"/>
      <c r="F8043" s="87"/>
      <c r="G8043" s="87"/>
    </row>
    <row r="8044">
      <c r="A8044" s="86" t="str">
        <f>IFERROR(__xludf.DUMMYFUNCTION("""COMPUTED_VALUE"""),"")</f>
        <v/>
      </c>
      <c r="B8044" s="87"/>
      <c r="C8044" s="87"/>
      <c r="D8044" s="87"/>
      <c r="E8044" s="87"/>
      <c r="F8044" s="87"/>
      <c r="G8044" s="87"/>
    </row>
    <row r="8045">
      <c r="A8045" s="86" t="str">
        <f>IFERROR(__xludf.DUMMYFUNCTION("""COMPUTED_VALUE"""),"")</f>
        <v/>
      </c>
      <c r="B8045" s="87"/>
      <c r="C8045" s="87"/>
      <c r="D8045" s="87"/>
      <c r="E8045" s="87"/>
      <c r="F8045" s="87"/>
      <c r="G8045" s="87"/>
    </row>
    <row r="8046">
      <c r="A8046" s="86" t="str">
        <f>IFERROR(__xludf.DUMMYFUNCTION("""COMPUTED_VALUE"""),"")</f>
        <v/>
      </c>
      <c r="B8046" s="87"/>
      <c r="C8046" s="87"/>
      <c r="D8046" s="87"/>
      <c r="E8046" s="87"/>
      <c r="F8046" s="87"/>
      <c r="G8046" s="87"/>
    </row>
    <row r="8047">
      <c r="A8047" s="86" t="str">
        <f>IFERROR(__xludf.DUMMYFUNCTION("""COMPUTED_VALUE"""),"")</f>
        <v/>
      </c>
      <c r="B8047" s="87"/>
      <c r="C8047" s="87"/>
      <c r="D8047" s="87"/>
      <c r="E8047" s="87"/>
      <c r="F8047" s="87"/>
      <c r="G8047" s="87"/>
    </row>
    <row r="8048">
      <c r="A8048" s="86" t="str">
        <f>IFERROR(__xludf.DUMMYFUNCTION("""COMPUTED_VALUE"""),"")</f>
        <v/>
      </c>
      <c r="B8048" s="87"/>
      <c r="C8048" s="87"/>
      <c r="D8048" s="87"/>
      <c r="E8048" s="87"/>
      <c r="F8048" s="87"/>
      <c r="G8048" s="87"/>
    </row>
    <row r="8049">
      <c r="A8049" s="86" t="str">
        <f>IFERROR(__xludf.DUMMYFUNCTION("""COMPUTED_VALUE"""),"")</f>
        <v/>
      </c>
      <c r="B8049" s="87"/>
      <c r="C8049" s="87"/>
      <c r="D8049" s="87"/>
      <c r="E8049" s="87"/>
      <c r="F8049" s="87"/>
      <c r="G8049" s="87"/>
    </row>
    <row r="8050">
      <c r="A8050" s="86" t="str">
        <f>IFERROR(__xludf.DUMMYFUNCTION("""COMPUTED_VALUE"""),"")</f>
        <v/>
      </c>
      <c r="B8050" s="87"/>
      <c r="C8050" s="87"/>
      <c r="D8050" s="87"/>
      <c r="E8050" s="87"/>
      <c r="F8050" s="87"/>
      <c r="G8050" s="87"/>
    </row>
    <row r="8051">
      <c r="A8051" s="86" t="str">
        <f>IFERROR(__xludf.DUMMYFUNCTION("""COMPUTED_VALUE"""),"")</f>
        <v/>
      </c>
      <c r="B8051" s="87"/>
      <c r="C8051" s="87"/>
      <c r="D8051" s="87"/>
      <c r="E8051" s="87"/>
      <c r="F8051" s="87"/>
      <c r="G8051" s="87"/>
    </row>
    <row r="8052">
      <c r="A8052" s="86" t="str">
        <f>IFERROR(__xludf.DUMMYFUNCTION("""COMPUTED_VALUE"""),"")</f>
        <v/>
      </c>
      <c r="B8052" s="87"/>
      <c r="C8052" s="87"/>
      <c r="D8052" s="87"/>
      <c r="E8052" s="87"/>
      <c r="F8052" s="87"/>
      <c r="G8052" s="87"/>
    </row>
    <row r="8053">
      <c r="A8053" s="86" t="str">
        <f>IFERROR(__xludf.DUMMYFUNCTION("""COMPUTED_VALUE"""),"")</f>
        <v/>
      </c>
      <c r="B8053" s="87"/>
      <c r="C8053" s="87"/>
      <c r="D8053" s="87"/>
      <c r="E8053" s="87"/>
      <c r="F8053" s="87"/>
      <c r="G8053" s="87"/>
    </row>
    <row r="8054">
      <c r="A8054" s="86" t="str">
        <f>IFERROR(__xludf.DUMMYFUNCTION("""COMPUTED_VALUE"""),"")</f>
        <v/>
      </c>
      <c r="B8054" s="87"/>
      <c r="C8054" s="87"/>
      <c r="D8054" s="87"/>
      <c r="E8054" s="87"/>
      <c r="F8054" s="87"/>
      <c r="G8054" s="87"/>
    </row>
    <row r="8055">
      <c r="A8055" s="86" t="str">
        <f>IFERROR(__xludf.DUMMYFUNCTION("""COMPUTED_VALUE"""),"")</f>
        <v/>
      </c>
      <c r="B8055" s="87"/>
      <c r="C8055" s="87"/>
      <c r="D8055" s="87"/>
      <c r="E8055" s="87"/>
      <c r="F8055" s="87"/>
      <c r="G8055" s="87"/>
    </row>
    <row r="8056">
      <c r="A8056" s="86" t="str">
        <f>IFERROR(__xludf.DUMMYFUNCTION("""COMPUTED_VALUE"""),"")</f>
        <v/>
      </c>
      <c r="B8056" s="87"/>
      <c r="C8056" s="87"/>
      <c r="D8056" s="87"/>
      <c r="E8056" s="87"/>
      <c r="F8056" s="87"/>
      <c r="G8056" s="87"/>
    </row>
    <row r="8057">
      <c r="A8057" s="86" t="str">
        <f>IFERROR(__xludf.DUMMYFUNCTION("""COMPUTED_VALUE"""),"")</f>
        <v/>
      </c>
      <c r="B8057" s="87"/>
      <c r="C8057" s="87"/>
      <c r="D8057" s="87"/>
      <c r="E8057" s="87"/>
      <c r="F8057" s="87"/>
      <c r="G8057" s="87"/>
    </row>
    <row r="8058">
      <c r="A8058" s="86" t="str">
        <f>IFERROR(__xludf.DUMMYFUNCTION("""COMPUTED_VALUE"""),"")</f>
        <v/>
      </c>
      <c r="B8058" s="87"/>
      <c r="C8058" s="87"/>
      <c r="D8058" s="87"/>
      <c r="E8058" s="87"/>
      <c r="F8058" s="87"/>
      <c r="G8058" s="87"/>
    </row>
    <row r="8059">
      <c r="A8059" s="86" t="str">
        <f>IFERROR(__xludf.DUMMYFUNCTION("""COMPUTED_VALUE"""),"")</f>
        <v/>
      </c>
      <c r="B8059" s="87"/>
      <c r="C8059" s="87"/>
      <c r="D8059" s="87"/>
      <c r="E8059" s="87"/>
      <c r="F8059" s="87"/>
      <c r="G8059" s="87"/>
    </row>
    <row r="8060">
      <c r="A8060" s="86" t="str">
        <f>IFERROR(__xludf.DUMMYFUNCTION("""COMPUTED_VALUE"""),"")</f>
        <v/>
      </c>
      <c r="B8060" s="87"/>
      <c r="C8060" s="87"/>
      <c r="D8060" s="87"/>
      <c r="E8060" s="87"/>
      <c r="F8060" s="87"/>
      <c r="G8060" s="87"/>
    </row>
    <row r="8061">
      <c r="A8061" s="86" t="str">
        <f>IFERROR(__xludf.DUMMYFUNCTION("""COMPUTED_VALUE"""),"")</f>
        <v/>
      </c>
      <c r="B8061" s="87"/>
      <c r="C8061" s="87"/>
      <c r="D8061" s="87"/>
      <c r="E8061" s="87"/>
      <c r="F8061" s="87"/>
      <c r="G8061" s="87"/>
    </row>
    <row r="8062">
      <c r="A8062" s="86" t="str">
        <f>IFERROR(__xludf.DUMMYFUNCTION("""COMPUTED_VALUE"""),"")</f>
        <v/>
      </c>
      <c r="B8062" s="87"/>
      <c r="C8062" s="87"/>
      <c r="D8062" s="87"/>
      <c r="E8062" s="87"/>
      <c r="F8062" s="87"/>
      <c r="G8062" s="87"/>
    </row>
    <row r="8063">
      <c r="A8063" s="86" t="str">
        <f>IFERROR(__xludf.DUMMYFUNCTION("""COMPUTED_VALUE"""),"")</f>
        <v/>
      </c>
      <c r="B8063" s="87"/>
      <c r="C8063" s="87"/>
      <c r="D8063" s="87"/>
      <c r="E8063" s="87"/>
      <c r="F8063" s="87"/>
      <c r="G8063" s="87"/>
    </row>
    <row r="8064">
      <c r="A8064" s="86" t="str">
        <f>IFERROR(__xludf.DUMMYFUNCTION("""COMPUTED_VALUE"""),"")</f>
        <v/>
      </c>
      <c r="B8064" s="87"/>
      <c r="C8064" s="87"/>
      <c r="D8064" s="87"/>
      <c r="E8064" s="87"/>
      <c r="F8064" s="87"/>
      <c r="G8064" s="87"/>
    </row>
    <row r="8065">
      <c r="A8065" s="86" t="str">
        <f>IFERROR(__xludf.DUMMYFUNCTION("""COMPUTED_VALUE"""),"")</f>
        <v/>
      </c>
      <c r="B8065" s="87"/>
      <c r="C8065" s="87"/>
      <c r="D8065" s="87"/>
      <c r="E8065" s="87"/>
      <c r="F8065" s="87"/>
      <c r="G8065" s="87"/>
    </row>
    <row r="8066">
      <c r="A8066" s="86" t="str">
        <f>IFERROR(__xludf.DUMMYFUNCTION("""COMPUTED_VALUE"""),"")</f>
        <v/>
      </c>
      <c r="B8066" s="87"/>
      <c r="C8066" s="87"/>
      <c r="D8066" s="87"/>
      <c r="E8066" s="87"/>
      <c r="F8066" s="87"/>
      <c r="G8066" s="87"/>
    </row>
    <row r="8067">
      <c r="A8067" s="86" t="str">
        <f>IFERROR(__xludf.DUMMYFUNCTION("""COMPUTED_VALUE"""),"")</f>
        <v/>
      </c>
      <c r="B8067" s="87"/>
      <c r="C8067" s="87"/>
      <c r="D8067" s="87"/>
      <c r="E8067" s="87"/>
      <c r="F8067" s="87"/>
      <c r="G8067" s="87"/>
    </row>
    <row r="8068">
      <c r="A8068" s="86" t="str">
        <f>IFERROR(__xludf.DUMMYFUNCTION("""COMPUTED_VALUE"""),"")</f>
        <v/>
      </c>
      <c r="B8068" s="87"/>
      <c r="C8068" s="87"/>
      <c r="D8068" s="87"/>
      <c r="E8068" s="87"/>
      <c r="F8068" s="87"/>
      <c r="G8068" s="87"/>
    </row>
    <row r="8069">
      <c r="A8069" s="86" t="str">
        <f>IFERROR(__xludf.DUMMYFUNCTION("""COMPUTED_VALUE"""),"")</f>
        <v/>
      </c>
      <c r="B8069" s="87"/>
      <c r="C8069" s="87"/>
      <c r="D8069" s="87"/>
      <c r="E8069" s="87"/>
      <c r="F8069" s="87"/>
      <c r="G8069" s="87"/>
    </row>
    <row r="8070">
      <c r="A8070" s="86" t="str">
        <f>IFERROR(__xludf.DUMMYFUNCTION("""COMPUTED_VALUE"""),"")</f>
        <v/>
      </c>
      <c r="B8070" s="87"/>
      <c r="C8070" s="87"/>
      <c r="D8070" s="87"/>
      <c r="E8070" s="87"/>
      <c r="F8070" s="87"/>
      <c r="G8070" s="87"/>
    </row>
    <row r="8071">
      <c r="A8071" s="86" t="str">
        <f>IFERROR(__xludf.DUMMYFUNCTION("""COMPUTED_VALUE"""),"")</f>
        <v/>
      </c>
      <c r="B8071" s="87"/>
      <c r="C8071" s="87"/>
      <c r="D8071" s="87"/>
      <c r="E8071" s="87"/>
      <c r="F8071" s="87"/>
      <c r="G8071" s="87"/>
    </row>
    <row r="8072">
      <c r="A8072" s="86" t="str">
        <f>IFERROR(__xludf.DUMMYFUNCTION("""COMPUTED_VALUE"""),"")</f>
        <v/>
      </c>
      <c r="B8072" s="87"/>
      <c r="C8072" s="87"/>
      <c r="D8072" s="87"/>
      <c r="E8072" s="87"/>
      <c r="F8072" s="87"/>
      <c r="G8072" s="87"/>
    </row>
    <row r="8073">
      <c r="A8073" s="86" t="str">
        <f>IFERROR(__xludf.DUMMYFUNCTION("""COMPUTED_VALUE"""),"")</f>
        <v/>
      </c>
      <c r="B8073" s="87"/>
      <c r="C8073" s="87"/>
      <c r="D8073" s="87"/>
      <c r="E8073" s="87"/>
      <c r="F8073" s="87"/>
      <c r="G8073" s="87"/>
    </row>
    <row r="8074">
      <c r="A8074" s="86" t="str">
        <f>IFERROR(__xludf.DUMMYFUNCTION("""COMPUTED_VALUE"""),"")</f>
        <v/>
      </c>
      <c r="B8074" s="87"/>
      <c r="C8074" s="87"/>
      <c r="D8074" s="87"/>
      <c r="E8074" s="87"/>
      <c r="F8074" s="87"/>
      <c r="G8074" s="87"/>
    </row>
    <row r="8075">
      <c r="A8075" s="86" t="str">
        <f>IFERROR(__xludf.DUMMYFUNCTION("""COMPUTED_VALUE"""),"")</f>
        <v/>
      </c>
      <c r="B8075" s="87"/>
      <c r="C8075" s="87"/>
      <c r="D8075" s="87"/>
      <c r="E8075" s="87"/>
      <c r="F8075" s="87"/>
      <c r="G8075" s="87"/>
    </row>
    <row r="8076">
      <c r="A8076" s="86" t="str">
        <f>IFERROR(__xludf.DUMMYFUNCTION("""COMPUTED_VALUE"""),"")</f>
        <v/>
      </c>
      <c r="B8076" s="87"/>
      <c r="C8076" s="87"/>
      <c r="D8076" s="87"/>
      <c r="E8076" s="87"/>
      <c r="F8076" s="87"/>
      <c r="G8076" s="87"/>
    </row>
    <row r="8077">
      <c r="A8077" s="86" t="str">
        <f>IFERROR(__xludf.DUMMYFUNCTION("""COMPUTED_VALUE"""),"")</f>
        <v/>
      </c>
      <c r="B8077" s="87"/>
      <c r="C8077" s="87"/>
      <c r="D8077" s="87"/>
      <c r="E8077" s="87"/>
      <c r="F8077" s="87"/>
      <c r="G8077" s="87"/>
    </row>
    <row r="8078">
      <c r="A8078" s="86" t="str">
        <f>IFERROR(__xludf.DUMMYFUNCTION("""COMPUTED_VALUE"""),"")</f>
        <v/>
      </c>
      <c r="B8078" s="87"/>
      <c r="C8078" s="87"/>
      <c r="D8078" s="87"/>
      <c r="E8078" s="87"/>
      <c r="F8078" s="87"/>
      <c r="G8078" s="87"/>
    </row>
    <row r="8079">
      <c r="A8079" s="86" t="str">
        <f>IFERROR(__xludf.DUMMYFUNCTION("""COMPUTED_VALUE"""),"")</f>
        <v/>
      </c>
      <c r="B8079" s="87"/>
      <c r="C8079" s="87"/>
      <c r="D8079" s="87"/>
      <c r="E8079" s="87"/>
      <c r="F8079" s="87"/>
      <c r="G8079" s="87"/>
    </row>
    <row r="8080">
      <c r="A8080" s="86" t="str">
        <f>IFERROR(__xludf.DUMMYFUNCTION("""COMPUTED_VALUE"""),"")</f>
        <v/>
      </c>
      <c r="B8080" s="87"/>
      <c r="C8080" s="87"/>
      <c r="D8080" s="87"/>
      <c r="E8080" s="87"/>
      <c r="F8080" s="87"/>
      <c r="G8080" s="87"/>
    </row>
    <row r="8081">
      <c r="A8081" s="86" t="str">
        <f>IFERROR(__xludf.DUMMYFUNCTION("""COMPUTED_VALUE"""),"")</f>
        <v/>
      </c>
      <c r="B8081" s="87"/>
      <c r="C8081" s="87"/>
      <c r="D8081" s="87"/>
      <c r="E8081" s="87"/>
      <c r="F8081" s="87"/>
      <c r="G8081" s="87"/>
    </row>
    <row r="8082">
      <c r="A8082" s="86" t="str">
        <f>IFERROR(__xludf.DUMMYFUNCTION("""COMPUTED_VALUE"""),"")</f>
        <v/>
      </c>
      <c r="B8082" s="87"/>
      <c r="C8082" s="87"/>
      <c r="D8082" s="87"/>
      <c r="E8082" s="87"/>
      <c r="F8082" s="87"/>
      <c r="G8082" s="87"/>
    </row>
    <row r="8083">
      <c r="A8083" s="86" t="str">
        <f>IFERROR(__xludf.DUMMYFUNCTION("""COMPUTED_VALUE"""),"")</f>
        <v/>
      </c>
      <c r="B8083" s="87"/>
      <c r="C8083" s="87"/>
      <c r="D8083" s="87"/>
      <c r="E8083" s="87"/>
      <c r="F8083" s="87"/>
      <c r="G8083" s="87"/>
    </row>
    <row r="8084">
      <c r="A8084" s="86" t="str">
        <f>IFERROR(__xludf.DUMMYFUNCTION("""COMPUTED_VALUE"""),"")</f>
        <v/>
      </c>
      <c r="B8084" s="87"/>
      <c r="C8084" s="87"/>
      <c r="D8084" s="87"/>
      <c r="E8084" s="87"/>
      <c r="F8084" s="87"/>
      <c r="G8084" s="87"/>
    </row>
    <row r="8085">
      <c r="A8085" s="86" t="str">
        <f>IFERROR(__xludf.DUMMYFUNCTION("""COMPUTED_VALUE"""),"")</f>
        <v/>
      </c>
      <c r="B8085" s="87"/>
      <c r="C8085" s="87"/>
      <c r="D8085" s="87"/>
      <c r="E8085" s="87"/>
      <c r="F8085" s="87"/>
      <c r="G8085" s="87"/>
    </row>
    <row r="8086">
      <c r="A8086" s="86" t="str">
        <f>IFERROR(__xludf.DUMMYFUNCTION("""COMPUTED_VALUE"""),"")</f>
        <v/>
      </c>
      <c r="B8086" s="87"/>
      <c r="C8086" s="87"/>
      <c r="D8086" s="87"/>
      <c r="E8086" s="87"/>
      <c r="F8086" s="87"/>
      <c r="G8086" s="87"/>
    </row>
    <row r="8087">
      <c r="A8087" s="86" t="str">
        <f>IFERROR(__xludf.DUMMYFUNCTION("""COMPUTED_VALUE"""),"")</f>
        <v/>
      </c>
      <c r="B8087" s="87"/>
      <c r="C8087" s="87"/>
      <c r="D8087" s="87"/>
      <c r="E8087" s="87"/>
      <c r="F8087" s="87"/>
      <c r="G8087" s="87"/>
    </row>
    <row r="8088">
      <c r="A8088" s="86" t="str">
        <f>IFERROR(__xludf.DUMMYFUNCTION("""COMPUTED_VALUE"""),"")</f>
        <v/>
      </c>
      <c r="B8088" s="87"/>
      <c r="C8088" s="87"/>
      <c r="D8088" s="87"/>
      <c r="E8088" s="87"/>
      <c r="F8088" s="87"/>
      <c r="G8088" s="87"/>
    </row>
    <row r="8089">
      <c r="A8089" s="86" t="str">
        <f>IFERROR(__xludf.DUMMYFUNCTION("""COMPUTED_VALUE"""),"")</f>
        <v/>
      </c>
      <c r="B8089" s="87"/>
      <c r="C8089" s="87"/>
      <c r="D8089" s="87"/>
      <c r="E8089" s="87"/>
      <c r="F8089" s="87"/>
      <c r="G8089" s="87"/>
    </row>
    <row r="8090">
      <c r="A8090" s="86" t="str">
        <f>IFERROR(__xludf.DUMMYFUNCTION("""COMPUTED_VALUE"""),"")</f>
        <v/>
      </c>
      <c r="B8090" s="87"/>
      <c r="C8090" s="87"/>
      <c r="D8090" s="87"/>
      <c r="E8090" s="87"/>
      <c r="F8090" s="87"/>
      <c r="G8090" s="87"/>
    </row>
    <row r="8091">
      <c r="A8091" s="86" t="str">
        <f>IFERROR(__xludf.DUMMYFUNCTION("""COMPUTED_VALUE"""),"")</f>
        <v/>
      </c>
      <c r="B8091" s="87"/>
      <c r="C8091" s="87"/>
      <c r="D8091" s="87"/>
      <c r="E8091" s="87"/>
      <c r="F8091" s="87"/>
      <c r="G8091" s="87"/>
    </row>
    <row r="8092">
      <c r="A8092" s="86" t="str">
        <f>IFERROR(__xludf.DUMMYFUNCTION("""COMPUTED_VALUE"""),"")</f>
        <v/>
      </c>
      <c r="B8092" s="87"/>
      <c r="C8092" s="87"/>
      <c r="D8092" s="87"/>
      <c r="E8092" s="87"/>
      <c r="F8092" s="87"/>
      <c r="G8092" s="87"/>
    </row>
    <row r="8093">
      <c r="A8093" s="86" t="str">
        <f>IFERROR(__xludf.DUMMYFUNCTION("""COMPUTED_VALUE"""),"")</f>
        <v/>
      </c>
      <c r="B8093" s="87"/>
      <c r="C8093" s="87"/>
      <c r="D8093" s="87"/>
      <c r="E8093" s="87"/>
      <c r="F8093" s="87"/>
      <c r="G8093" s="87"/>
    </row>
    <row r="8094">
      <c r="A8094" s="86" t="str">
        <f>IFERROR(__xludf.DUMMYFUNCTION("""COMPUTED_VALUE"""),"")</f>
        <v/>
      </c>
      <c r="B8094" s="87"/>
      <c r="C8094" s="87"/>
      <c r="D8094" s="87"/>
      <c r="E8094" s="87"/>
      <c r="F8094" s="87"/>
      <c r="G8094" s="87"/>
    </row>
    <row r="8095">
      <c r="A8095" s="86" t="str">
        <f>IFERROR(__xludf.DUMMYFUNCTION("""COMPUTED_VALUE"""),"")</f>
        <v/>
      </c>
      <c r="B8095" s="87"/>
      <c r="C8095" s="87"/>
      <c r="D8095" s="87"/>
      <c r="E8095" s="87"/>
      <c r="F8095" s="87"/>
      <c r="G8095" s="87"/>
    </row>
    <row r="8096">
      <c r="A8096" s="86" t="str">
        <f>IFERROR(__xludf.DUMMYFUNCTION("""COMPUTED_VALUE"""),"")</f>
        <v/>
      </c>
      <c r="B8096" s="87"/>
      <c r="C8096" s="87"/>
      <c r="D8096" s="87"/>
      <c r="E8096" s="87"/>
      <c r="F8096" s="87"/>
      <c r="G8096" s="87"/>
    </row>
    <row r="8097">
      <c r="A8097" s="86" t="str">
        <f>IFERROR(__xludf.DUMMYFUNCTION("""COMPUTED_VALUE"""),"")</f>
        <v/>
      </c>
      <c r="B8097" s="87"/>
      <c r="C8097" s="87"/>
      <c r="D8097" s="87"/>
      <c r="E8097" s="87"/>
      <c r="F8097" s="87"/>
      <c r="G8097" s="87"/>
    </row>
    <row r="8098">
      <c r="A8098" s="86" t="str">
        <f>IFERROR(__xludf.DUMMYFUNCTION("""COMPUTED_VALUE"""),"")</f>
        <v/>
      </c>
      <c r="B8098" s="87"/>
      <c r="C8098" s="87"/>
      <c r="D8098" s="87"/>
      <c r="E8098" s="87"/>
      <c r="F8098" s="87"/>
      <c r="G8098" s="87"/>
    </row>
    <row r="8099">
      <c r="A8099" s="86" t="str">
        <f>IFERROR(__xludf.DUMMYFUNCTION("""COMPUTED_VALUE"""),"")</f>
        <v/>
      </c>
      <c r="B8099" s="87"/>
      <c r="C8099" s="87"/>
      <c r="D8099" s="87"/>
      <c r="E8099" s="87"/>
      <c r="F8099" s="87"/>
      <c r="G8099" s="87"/>
    </row>
    <row r="8100">
      <c r="A8100" s="86" t="str">
        <f>IFERROR(__xludf.DUMMYFUNCTION("""COMPUTED_VALUE"""),"")</f>
        <v/>
      </c>
      <c r="B8100" s="87"/>
      <c r="C8100" s="87"/>
      <c r="D8100" s="87"/>
      <c r="E8100" s="87"/>
      <c r="F8100" s="87"/>
      <c r="G8100" s="87"/>
    </row>
    <row r="8101">
      <c r="A8101" s="86" t="str">
        <f>IFERROR(__xludf.DUMMYFUNCTION("""COMPUTED_VALUE"""),"")</f>
        <v/>
      </c>
      <c r="B8101" s="87"/>
      <c r="C8101" s="87"/>
      <c r="D8101" s="87"/>
      <c r="E8101" s="87"/>
      <c r="F8101" s="87"/>
      <c r="G8101" s="87"/>
    </row>
    <row r="8102">
      <c r="A8102" s="86" t="str">
        <f>IFERROR(__xludf.DUMMYFUNCTION("""COMPUTED_VALUE"""),"")</f>
        <v/>
      </c>
      <c r="B8102" s="87"/>
      <c r="C8102" s="87"/>
      <c r="D8102" s="87"/>
      <c r="E8102" s="87"/>
      <c r="F8102" s="87"/>
      <c r="G8102" s="87"/>
    </row>
    <row r="8103">
      <c r="A8103" s="86" t="str">
        <f>IFERROR(__xludf.DUMMYFUNCTION("""COMPUTED_VALUE"""),"")</f>
        <v/>
      </c>
      <c r="B8103" s="87"/>
      <c r="C8103" s="87"/>
      <c r="D8103" s="87"/>
      <c r="E8103" s="87"/>
      <c r="F8103" s="87"/>
      <c r="G8103" s="87"/>
    </row>
    <row r="8104">
      <c r="A8104" s="86" t="str">
        <f>IFERROR(__xludf.DUMMYFUNCTION("""COMPUTED_VALUE"""),"")</f>
        <v/>
      </c>
      <c r="B8104" s="87"/>
      <c r="C8104" s="87"/>
      <c r="D8104" s="87"/>
      <c r="E8104" s="87"/>
      <c r="F8104" s="87"/>
      <c r="G8104" s="87"/>
    </row>
    <row r="8105">
      <c r="A8105" s="86" t="str">
        <f>IFERROR(__xludf.DUMMYFUNCTION("""COMPUTED_VALUE"""),"")</f>
        <v/>
      </c>
      <c r="B8105" s="87"/>
      <c r="C8105" s="87"/>
      <c r="D8105" s="87"/>
      <c r="E8105" s="87"/>
      <c r="F8105" s="87"/>
      <c r="G8105" s="87"/>
    </row>
    <row r="8106">
      <c r="A8106" s="86" t="str">
        <f>IFERROR(__xludf.DUMMYFUNCTION("""COMPUTED_VALUE"""),"")</f>
        <v/>
      </c>
      <c r="B8106" s="87"/>
      <c r="C8106" s="87"/>
      <c r="D8106" s="87"/>
      <c r="E8106" s="87"/>
      <c r="F8106" s="87"/>
      <c r="G8106" s="87"/>
    </row>
    <row r="8107">
      <c r="A8107" s="86" t="str">
        <f>IFERROR(__xludf.DUMMYFUNCTION("""COMPUTED_VALUE"""),"")</f>
        <v/>
      </c>
      <c r="B8107" s="87"/>
      <c r="C8107" s="87"/>
      <c r="D8107" s="87"/>
      <c r="E8107" s="87"/>
      <c r="F8107" s="87"/>
      <c r="G8107" s="87"/>
    </row>
    <row r="8108">
      <c r="A8108" s="86" t="str">
        <f>IFERROR(__xludf.DUMMYFUNCTION("""COMPUTED_VALUE"""),"")</f>
        <v/>
      </c>
      <c r="B8108" s="87"/>
      <c r="C8108" s="87"/>
      <c r="D8108" s="87"/>
      <c r="E8108" s="87"/>
      <c r="F8108" s="87"/>
      <c r="G8108" s="87"/>
    </row>
    <row r="8109">
      <c r="A8109" s="86" t="str">
        <f>IFERROR(__xludf.DUMMYFUNCTION("""COMPUTED_VALUE"""),"")</f>
        <v/>
      </c>
      <c r="B8109" s="87"/>
      <c r="C8109" s="87"/>
      <c r="D8109" s="87"/>
      <c r="E8109" s="87"/>
      <c r="F8109" s="87"/>
      <c r="G8109" s="87"/>
    </row>
    <row r="8110">
      <c r="A8110" s="86" t="str">
        <f>IFERROR(__xludf.DUMMYFUNCTION("""COMPUTED_VALUE"""),"")</f>
        <v/>
      </c>
      <c r="B8110" s="87"/>
      <c r="C8110" s="87"/>
      <c r="D8110" s="87"/>
      <c r="E8110" s="87"/>
      <c r="F8110" s="87"/>
      <c r="G8110" s="87"/>
    </row>
    <row r="8111">
      <c r="A8111" s="86" t="str">
        <f>IFERROR(__xludf.DUMMYFUNCTION("""COMPUTED_VALUE"""),"")</f>
        <v/>
      </c>
      <c r="B8111" s="87"/>
      <c r="C8111" s="87"/>
      <c r="D8111" s="87"/>
      <c r="E8111" s="87"/>
      <c r="F8111" s="87"/>
      <c r="G8111" s="87"/>
    </row>
    <row r="8112">
      <c r="A8112" s="86" t="str">
        <f>IFERROR(__xludf.DUMMYFUNCTION("""COMPUTED_VALUE"""),"")</f>
        <v/>
      </c>
      <c r="B8112" s="87"/>
      <c r="C8112" s="87"/>
      <c r="D8112" s="87"/>
      <c r="E8112" s="87"/>
      <c r="F8112" s="87"/>
      <c r="G8112" s="87"/>
    </row>
    <row r="8113">
      <c r="A8113" s="86" t="str">
        <f>IFERROR(__xludf.DUMMYFUNCTION("""COMPUTED_VALUE"""),"")</f>
        <v/>
      </c>
      <c r="B8113" s="87"/>
      <c r="C8113" s="87"/>
      <c r="D8113" s="87"/>
      <c r="E8113" s="87"/>
      <c r="F8113" s="87"/>
      <c r="G8113" s="87"/>
    </row>
    <row r="8114">
      <c r="A8114" s="86" t="str">
        <f>IFERROR(__xludf.DUMMYFUNCTION("""COMPUTED_VALUE"""),"")</f>
        <v/>
      </c>
      <c r="B8114" s="87"/>
      <c r="C8114" s="87"/>
      <c r="D8114" s="87"/>
      <c r="E8114" s="87"/>
      <c r="F8114" s="87"/>
      <c r="G8114" s="87"/>
    </row>
    <row r="8115">
      <c r="A8115" s="86" t="str">
        <f>IFERROR(__xludf.DUMMYFUNCTION("""COMPUTED_VALUE"""),"")</f>
        <v/>
      </c>
      <c r="B8115" s="87"/>
      <c r="C8115" s="87"/>
      <c r="D8115" s="87"/>
      <c r="E8115" s="87"/>
      <c r="F8115" s="87"/>
      <c r="G8115" s="87"/>
    </row>
    <row r="8116">
      <c r="A8116" s="86" t="str">
        <f>IFERROR(__xludf.DUMMYFUNCTION("""COMPUTED_VALUE"""),"")</f>
        <v/>
      </c>
      <c r="B8116" s="87"/>
      <c r="C8116" s="87"/>
      <c r="D8116" s="87"/>
      <c r="E8116" s="87"/>
      <c r="F8116" s="87"/>
      <c r="G8116" s="87"/>
    </row>
    <row r="8117">
      <c r="A8117" s="86" t="str">
        <f>IFERROR(__xludf.DUMMYFUNCTION("""COMPUTED_VALUE"""),"")</f>
        <v/>
      </c>
      <c r="B8117" s="87"/>
      <c r="C8117" s="87"/>
      <c r="D8117" s="87"/>
      <c r="E8117" s="87"/>
      <c r="F8117" s="87"/>
      <c r="G8117" s="87"/>
    </row>
    <row r="8118">
      <c r="A8118" s="86" t="str">
        <f>IFERROR(__xludf.DUMMYFUNCTION("""COMPUTED_VALUE"""),"")</f>
        <v/>
      </c>
      <c r="B8118" s="87"/>
      <c r="C8118" s="87"/>
      <c r="D8118" s="87"/>
      <c r="E8118" s="87"/>
      <c r="F8118" s="87"/>
      <c r="G8118" s="87"/>
    </row>
    <row r="8119">
      <c r="A8119" s="86" t="str">
        <f>IFERROR(__xludf.DUMMYFUNCTION("""COMPUTED_VALUE"""),"")</f>
        <v/>
      </c>
      <c r="B8119" s="87"/>
      <c r="C8119" s="87"/>
      <c r="D8119" s="87"/>
      <c r="E8119" s="87"/>
      <c r="F8119" s="87"/>
      <c r="G8119" s="87"/>
    </row>
    <row r="8120">
      <c r="A8120" s="86" t="str">
        <f>IFERROR(__xludf.DUMMYFUNCTION("""COMPUTED_VALUE"""),"")</f>
        <v/>
      </c>
      <c r="B8120" s="87"/>
      <c r="C8120" s="87"/>
      <c r="D8120" s="87"/>
      <c r="E8120" s="87"/>
      <c r="F8120" s="87"/>
      <c r="G8120" s="87"/>
    </row>
    <row r="8121">
      <c r="A8121" s="86" t="str">
        <f>IFERROR(__xludf.DUMMYFUNCTION("""COMPUTED_VALUE"""),"")</f>
        <v/>
      </c>
      <c r="B8121" s="87"/>
      <c r="C8121" s="87"/>
      <c r="D8121" s="87"/>
      <c r="E8121" s="87"/>
      <c r="F8121" s="87"/>
      <c r="G8121" s="87"/>
    </row>
    <row r="8122">
      <c r="A8122" s="86" t="str">
        <f>IFERROR(__xludf.DUMMYFUNCTION("""COMPUTED_VALUE"""),"")</f>
        <v/>
      </c>
      <c r="B8122" s="87"/>
      <c r="C8122" s="87"/>
      <c r="D8122" s="87"/>
      <c r="E8122" s="87"/>
      <c r="F8122" s="87"/>
      <c r="G8122" s="87"/>
    </row>
    <row r="8123">
      <c r="A8123" s="86" t="str">
        <f>IFERROR(__xludf.DUMMYFUNCTION("""COMPUTED_VALUE"""),"")</f>
        <v/>
      </c>
      <c r="B8123" s="87"/>
      <c r="C8123" s="87"/>
      <c r="D8123" s="87"/>
      <c r="E8123" s="87"/>
      <c r="F8123" s="87"/>
      <c r="G8123" s="87"/>
    </row>
    <row r="8124">
      <c r="A8124" s="86" t="str">
        <f>IFERROR(__xludf.DUMMYFUNCTION("""COMPUTED_VALUE"""),"")</f>
        <v/>
      </c>
      <c r="B8124" s="87"/>
      <c r="C8124" s="87"/>
      <c r="D8124" s="87"/>
      <c r="E8124" s="87"/>
      <c r="F8124" s="87"/>
      <c r="G8124" s="87"/>
    </row>
    <row r="8125">
      <c r="A8125" s="86" t="str">
        <f>IFERROR(__xludf.DUMMYFUNCTION("""COMPUTED_VALUE"""),"")</f>
        <v/>
      </c>
      <c r="B8125" s="87"/>
      <c r="C8125" s="87"/>
      <c r="D8125" s="87"/>
      <c r="E8125" s="87"/>
      <c r="F8125" s="87"/>
      <c r="G8125" s="87"/>
    </row>
    <row r="8126">
      <c r="A8126" s="86" t="str">
        <f>IFERROR(__xludf.DUMMYFUNCTION("""COMPUTED_VALUE"""),"")</f>
        <v/>
      </c>
      <c r="B8126" s="87"/>
      <c r="C8126" s="87"/>
      <c r="D8126" s="87"/>
      <c r="E8126" s="87"/>
      <c r="F8126" s="87"/>
      <c r="G8126" s="87"/>
    </row>
    <row r="8127">
      <c r="A8127" s="86" t="str">
        <f>IFERROR(__xludf.DUMMYFUNCTION("""COMPUTED_VALUE"""),"")</f>
        <v/>
      </c>
      <c r="B8127" s="87"/>
      <c r="C8127" s="87"/>
      <c r="D8127" s="87"/>
      <c r="E8127" s="87"/>
      <c r="F8127" s="87"/>
      <c r="G8127" s="87"/>
    </row>
    <row r="8128">
      <c r="A8128" s="86" t="str">
        <f>IFERROR(__xludf.DUMMYFUNCTION("""COMPUTED_VALUE"""),"")</f>
        <v/>
      </c>
      <c r="B8128" s="87"/>
      <c r="C8128" s="87"/>
      <c r="D8128" s="87"/>
      <c r="E8128" s="87"/>
      <c r="F8128" s="87"/>
      <c r="G8128" s="87"/>
    </row>
    <row r="8129">
      <c r="A8129" s="86" t="str">
        <f>IFERROR(__xludf.DUMMYFUNCTION("""COMPUTED_VALUE"""),"")</f>
        <v/>
      </c>
      <c r="B8129" s="87"/>
      <c r="C8129" s="87"/>
      <c r="D8129" s="87"/>
      <c r="E8129" s="87"/>
      <c r="F8129" s="87"/>
      <c r="G8129" s="87"/>
    </row>
    <row r="8130">
      <c r="A8130" s="86" t="str">
        <f>IFERROR(__xludf.DUMMYFUNCTION("""COMPUTED_VALUE"""),"")</f>
        <v/>
      </c>
      <c r="B8130" s="87"/>
      <c r="C8130" s="87"/>
      <c r="D8130" s="87"/>
      <c r="E8130" s="87"/>
      <c r="F8130" s="87"/>
      <c r="G8130" s="87"/>
    </row>
    <row r="8131">
      <c r="A8131" s="86" t="str">
        <f>IFERROR(__xludf.DUMMYFUNCTION("""COMPUTED_VALUE"""),"")</f>
        <v/>
      </c>
      <c r="B8131" s="87"/>
      <c r="C8131" s="87"/>
      <c r="D8131" s="87"/>
      <c r="E8131" s="87"/>
      <c r="F8131" s="87"/>
      <c r="G8131" s="87"/>
    </row>
    <row r="8132">
      <c r="A8132" s="86" t="str">
        <f>IFERROR(__xludf.DUMMYFUNCTION("""COMPUTED_VALUE"""),"")</f>
        <v/>
      </c>
      <c r="B8132" s="87"/>
      <c r="C8132" s="87"/>
      <c r="D8132" s="87"/>
      <c r="E8132" s="87"/>
      <c r="F8132" s="87"/>
      <c r="G8132" s="87"/>
    </row>
    <row r="8133">
      <c r="A8133" s="86" t="str">
        <f>IFERROR(__xludf.DUMMYFUNCTION("""COMPUTED_VALUE"""),"")</f>
        <v/>
      </c>
      <c r="B8133" s="87"/>
      <c r="C8133" s="87"/>
      <c r="D8133" s="87"/>
      <c r="E8133" s="87"/>
      <c r="F8133" s="87"/>
      <c r="G8133" s="87"/>
    </row>
    <row r="8134">
      <c r="A8134" s="86" t="str">
        <f>IFERROR(__xludf.DUMMYFUNCTION("""COMPUTED_VALUE"""),"")</f>
        <v/>
      </c>
      <c r="B8134" s="87"/>
      <c r="C8134" s="87"/>
      <c r="D8134" s="87"/>
      <c r="E8134" s="87"/>
      <c r="F8134" s="87"/>
      <c r="G8134" s="87"/>
    </row>
    <row r="8135">
      <c r="A8135" s="86" t="str">
        <f>IFERROR(__xludf.DUMMYFUNCTION("""COMPUTED_VALUE"""),"")</f>
        <v/>
      </c>
      <c r="B8135" s="87"/>
      <c r="C8135" s="87"/>
      <c r="D8135" s="87"/>
      <c r="E8135" s="87"/>
      <c r="F8135" s="87"/>
      <c r="G8135" s="87"/>
    </row>
    <row r="8136">
      <c r="A8136" s="86" t="str">
        <f>IFERROR(__xludf.DUMMYFUNCTION("""COMPUTED_VALUE"""),"")</f>
        <v/>
      </c>
      <c r="B8136" s="87"/>
      <c r="C8136" s="87"/>
      <c r="D8136" s="87"/>
      <c r="E8136" s="87"/>
      <c r="F8136" s="87"/>
      <c r="G8136" s="87"/>
    </row>
    <row r="8137">
      <c r="A8137" s="86" t="str">
        <f>IFERROR(__xludf.DUMMYFUNCTION("""COMPUTED_VALUE"""),"")</f>
        <v/>
      </c>
      <c r="B8137" s="87"/>
      <c r="C8137" s="87"/>
      <c r="D8137" s="87"/>
      <c r="E8137" s="87"/>
      <c r="F8137" s="87"/>
      <c r="G8137" s="87"/>
    </row>
    <row r="8138">
      <c r="A8138" s="86" t="str">
        <f>IFERROR(__xludf.DUMMYFUNCTION("""COMPUTED_VALUE"""),"")</f>
        <v/>
      </c>
      <c r="B8138" s="87"/>
      <c r="C8138" s="87"/>
      <c r="D8138" s="87"/>
      <c r="E8138" s="87"/>
      <c r="F8138" s="87"/>
      <c r="G8138" s="87"/>
    </row>
    <row r="8139">
      <c r="A8139" s="86" t="str">
        <f>IFERROR(__xludf.DUMMYFUNCTION("""COMPUTED_VALUE"""),"")</f>
        <v/>
      </c>
      <c r="B8139" s="87"/>
      <c r="C8139" s="87"/>
      <c r="D8139" s="87"/>
      <c r="E8139" s="87"/>
      <c r="F8139" s="87"/>
      <c r="G8139" s="87"/>
    </row>
    <row r="8140">
      <c r="A8140" s="86" t="str">
        <f>IFERROR(__xludf.DUMMYFUNCTION("""COMPUTED_VALUE"""),"")</f>
        <v/>
      </c>
      <c r="B8140" s="87"/>
      <c r="C8140" s="87"/>
      <c r="D8140" s="87"/>
      <c r="E8140" s="87"/>
      <c r="F8140" s="87"/>
      <c r="G8140" s="87"/>
    </row>
    <row r="8141">
      <c r="A8141" s="86" t="str">
        <f>IFERROR(__xludf.DUMMYFUNCTION("""COMPUTED_VALUE"""),"")</f>
        <v/>
      </c>
      <c r="B8141" s="87"/>
      <c r="C8141" s="87"/>
      <c r="D8141" s="87"/>
      <c r="E8141" s="87"/>
      <c r="F8141" s="87"/>
      <c r="G8141" s="87"/>
    </row>
    <row r="8142">
      <c r="A8142" s="86" t="str">
        <f>IFERROR(__xludf.DUMMYFUNCTION("""COMPUTED_VALUE"""),"")</f>
        <v/>
      </c>
      <c r="B8142" s="87"/>
      <c r="C8142" s="87"/>
      <c r="D8142" s="87"/>
      <c r="E8142" s="87"/>
      <c r="F8142" s="87"/>
      <c r="G8142" s="87"/>
    </row>
    <row r="8143">
      <c r="A8143" s="86" t="str">
        <f>IFERROR(__xludf.DUMMYFUNCTION("""COMPUTED_VALUE"""),"")</f>
        <v/>
      </c>
      <c r="B8143" s="87"/>
      <c r="C8143" s="87"/>
      <c r="D8143" s="87"/>
      <c r="E8143" s="87"/>
      <c r="F8143" s="87"/>
      <c r="G8143" s="87"/>
    </row>
    <row r="8144">
      <c r="A8144" s="86" t="str">
        <f>IFERROR(__xludf.DUMMYFUNCTION("""COMPUTED_VALUE"""),"")</f>
        <v/>
      </c>
      <c r="B8144" s="87"/>
      <c r="C8144" s="87"/>
      <c r="D8144" s="87"/>
      <c r="E8144" s="87"/>
      <c r="F8144" s="87"/>
      <c r="G8144" s="87"/>
    </row>
    <row r="8145">
      <c r="A8145" s="86" t="str">
        <f>IFERROR(__xludf.DUMMYFUNCTION("""COMPUTED_VALUE"""),"")</f>
        <v/>
      </c>
      <c r="B8145" s="87"/>
      <c r="C8145" s="87"/>
      <c r="D8145" s="87"/>
      <c r="E8145" s="87"/>
      <c r="F8145" s="87"/>
      <c r="G8145" s="87"/>
    </row>
    <row r="8146">
      <c r="A8146" s="86" t="str">
        <f>IFERROR(__xludf.DUMMYFUNCTION("""COMPUTED_VALUE"""),"")</f>
        <v/>
      </c>
      <c r="B8146" s="87"/>
      <c r="C8146" s="87"/>
      <c r="D8146" s="87"/>
      <c r="E8146" s="87"/>
      <c r="F8146" s="87"/>
      <c r="G8146" s="87"/>
    </row>
    <row r="8147">
      <c r="A8147" s="86" t="str">
        <f>IFERROR(__xludf.DUMMYFUNCTION("""COMPUTED_VALUE"""),"")</f>
        <v/>
      </c>
      <c r="B8147" s="87"/>
      <c r="C8147" s="87"/>
      <c r="D8147" s="87"/>
      <c r="E8147" s="87"/>
      <c r="F8147" s="87"/>
      <c r="G8147" s="87"/>
    </row>
    <row r="8148">
      <c r="A8148" s="86" t="str">
        <f>IFERROR(__xludf.DUMMYFUNCTION("""COMPUTED_VALUE"""),"")</f>
        <v/>
      </c>
      <c r="B8148" s="87"/>
      <c r="C8148" s="87"/>
      <c r="D8148" s="87"/>
      <c r="E8148" s="87"/>
      <c r="F8148" s="87"/>
      <c r="G8148" s="87"/>
    </row>
    <row r="8149">
      <c r="A8149" s="86" t="str">
        <f>IFERROR(__xludf.DUMMYFUNCTION("""COMPUTED_VALUE"""),"")</f>
        <v/>
      </c>
      <c r="B8149" s="87"/>
      <c r="C8149" s="87"/>
      <c r="D8149" s="87"/>
      <c r="E8149" s="87"/>
      <c r="F8149" s="87"/>
      <c r="G8149" s="87"/>
    </row>
    <row r="8150">
      <c r="A8150" s="86" t="str">
        <f>IFERROR(__xludf.DUMMYFUNCTION("""COMPUTED_VALUE"""),"")</f>
        <v/>
      </c>
      <c r="B8150" s="87"/>
      <c r="C8150" s="87"/>
      <c r="D8150" s="87"/>
      <c r="E8150" s="87"/>
      <c r="F8150" s="87"/>
      <c r="G8150" s="87"/>
    </row>
    <row r="8151">
      <c r="A8151" s="86" t="str">
        <f>IFERROR(__xludf.DUMMYFUNCTION("""COMPUTED_VALUE"""),"")</f>
        <v/>
      </c>
      <c r="B8151" s="87"/>
      <c r="C8151" s="87"/>
      <c r="D8151" s="87"/>
      <c r="E8151" s="87"/>
      <c r="F8151" s="87"/>
      <c r="G8151" s="87"/>
    </row>
    <row r="8152">
      <c r="A8152" s="86" t="str">
        <f>IFERROR(__xludf.DUMMYFUNCTION("""COMPUTED_VALUE"""),"")</f>
        <v/>
      </c>
      <c r="B8152" s="87"/>
      <c r="C8152" s="87"/>
      <c r="D8152" s="87"/>
      <c r="E8152" s="87"/>
      <c r="F8152" s="87"/>
      <c r="G8152" s="87"/>
    </row>
    <row r="8153">
      <c r="A8153" s="86" t="str">
        <f>IFERROR(__xludf.DUMMYFUNCTION("""COMPUTED_VALUE"""),"")</f>
        <v/>
      </c>
      <c r="B8153" s="87"/>
      <c r="C8153" s="87"/>
      <c r="D8153" s="87"/>
      <c r="E8153" s="87"/>
      <c r="F8153" s="87"/>
      <c r="G8153" s="87"/>
    </row>
    <row r="8154">
      <c r="A8154" s="86" t="str">
        <f>IFERROR(__xludf.DUMMYFUNCTION("""COMPUTED_VALUE"""),"")</f>
        <v/>
      </c>
      <c r="B8154" s="87"/>
      <c r="C8154" s="87"/>
      <c r="D8154" s="87"/>
      <c r="E8154" s="87"/>
      <c r="F8154" s="87"/>
      <c r="G8154" s="87"/>
    </row>
    <row r="8155">
      <c r="A8155" s="86" t="str">
        <f>IFERROR(__xludf.DUMMYFUNCTION("""COMPUTED_VALUE"""),"")</f>
        <v/>
      </c>
      <c r="B8155" s="87"/>
      <c r="C8155" s="87"/>
      <c r="D8155" s="87"/>
      <c r="E8155" s="87"/>
      <c r="F8155" s="87"/>
      <c r="G8155" s="87"/>
    </row>
    <row r="8156">
      <c r="A8156" s="86" t="str">
        <f>IFERROR(__xludf.DUMMYFUNCTION("""COMPUTED_VALUE"""),"")</f>
        <v/>
      </c>
      <c r="B8156" s="87"/>
      <c r="C8156" s="87"/>
      <c r="D8156" s="87"/>
      <c r="E8156" s="87"/>
      <c r="F8156" s="87"/>
      <c r="G8156" s="87"/>
    </row>
    <row r="8157">
      <c r="A8157" s="86" t="str">
        <f>IFERROR(__xludf.DUMMYFUNCTION("""COMPUTED_VALUE"""),"")</f>
        <v/>
      </c>
      <c r="B8157" s="87"/>
      <c r="C8157" s="87"/>
      <c r="D8157" s="87"/>
      <c r="E8157" s="87"/>
      <c r="F8157" s="87"/>
      <c r="G8157" s="87"/>
    </row>
    <row r="8158">
      <c r="A8158" s="86" t="str">
        <f>IFERROR(__xludf.DUMMYFUNCTION("""COMPUTED_VALUE"""),"")</f>
        <v/>
      </c>
      <c r="B8158" s="87"/>
      <c r="C8158" s="87"/>
      <c r="D8158" s="87"/>
      <c r="E8158" s="87"/>
      <c r="F8158" s="87"/>
      <c r="G8158" s="87"/>
    </row>
    <row r="8159">
      <c r="A8159" s="86" t="str">
        <f>IFERROR(__xludf.DUMMYFUNCTION("""COMPUTED_VALUE"""),"")</f>
        <v/>
      </c>
      <c r="B8159" s="87"/>
      <c r="C8159" s="87"/>
      <c r="D8159" s="87"/>
      <c r="E8159" s="87"/>
      <c r="F8159" s="87"/>
      <c r="G8159" s="87"/>
    </row>
    <row r="8160">
      <c r="A8160" s="86" t="str">
        <f>IFERROR(__xludf.DUMMYFUNCTION("""COMPUTED_VALUE"""),"")</f>
        <v/>
      </c>
      <c r="B8160" s="87"/>
      <c r="C8160" s="87"/>
      <c r="D8160" s="87"/>
      <c r="E8160" s="87"/>
      <c r="F8160" s="87"/>
      <c r="G8160" s="87"/>
    </row>
    <row r="8161">
      <c r="A8161" s="86" t="str">
        <f>IFERROR(__xludf.DUMMYFUNCTION("""COMPUTED_VALUE"""),"")</f>
        <v/>
      </c>
      <c r="B8161" s="87"/>
      <c r="C8161" s="87"/>
      <c r="D8161" s="87"/>
      <c r="E8161" s="87"/>
      <c r="F8161" s="87"/>
      <c r="G8161" s="87"/>
    </row>
    <row r="8162">
      <c r="A8162" s="86" t="str">
        <f>IFERROR(__xludf.DUMMYFUNCTION("""COMPUTED_VALUE"""),"")</f>
        <v/>
      </c>
      <c r="B8162" s="87"/>
      <c r="C8162" s="87"/>
      <c r="D8162" s="87"/>
      <c r="E8162" s="87"/>
      <c r="F8162" s="87"/>
      <c r="G8162" s="87"/>
    </row>
    <row r="8163">
      <c r="A8163" s="86" t="str">
        <f>IFERROR(__xludf.DUMMYFUNCTION("""COMPUTED_VALUE"""),"")</f>
        <v/>
      </c>
      <c r="B8163" s="87"/>
      <c r="C8163" s="87"/>
      <c r="D8163" s="87"/>
      <c r="E8163" s="87"/>
      <c r="F8163" s="87"/>
      <c r="G8163" s="87"/>
    </row>
    <row r="8164">
      <c r="A8164" s="86" t="str">
        <f>IFERROR(__xludf.DUMMYFUNCTION("""COMPUTED_VALUE"""),"")</f>
        <v/>
      </c>
      <c r="B8164" s="87"/>
      <c r="C8164" s="87"/>
      <c r="D8164" s="87"/>
      <c r="E8164" s="87"/>
      <c r="F8164" s="87"/>
      <c r="G8164" s="87"/>
    </row>
    <row r="8165">
      <c r="A8165" s="86" t="str">
        <f>IFERROR(__xludf.DUMMYFUNCTION("""COMPUTED_VALUE"""),"")</f>
        <v/>
      </c>
      <c r="B8165" s="87"/>
      <c r="C8165" s="87"/>
      <c r="D8165" s="87"/>
      <c r="E8165" s="87"/>
      <c r="F8165" s="87"/>
      <c r="G8165" s="87"/>
    </row>
    <row r="8166">
      <c r="A8166" s="86" t="str">
        <f>IFERROR(__xludf.DUMMYFUNCTION("""COMPUTED_VALUE"""),"")</f>
        <v/>
      </c>
      <c r="B8166" s="87"/>
      <c r="C8166" s="87"/>
      <c r="D8166" s="87"/>
      <c r="E8166" s="87"/>
      <c r="F8166" s="87"/>
      <c r="G8166" s="87"/>
    </row>
    <row r="8167">
      <c r="A8167" s="86" t="str">
        <f>IFERROR(__xludf.DUMMYFUNCTION("""COMPUTED_VALUE"""),"")</f>
        <v/>
      </c>
      <c r="B8167" s="87"/>
      <c r="C8167" s="87"/>
      <c r="D8167" s="87"/>
      <c r="E8167" s="87"/>
      <c r="F8167" s="87"/>
      <c r="G8167" s="87"/>
    </row>
    <row r="8168">
      <c r="A8168" s="86" t="str">
        <f>IFERROR(__xludf.DUMMYFUNCTION("""COMPUTED_VALUE"""),"")</f>
        <v/>
      </c>
      <c r="B8168" s="87"/>
      <c r="C8168" s="87"/>
      <c r="D8168" s="87"/>
      <c r="E8168" s="87"/>
      <c r="F8168" s="87"/>
      <c r="G8168" s="87"/>
    </row>
    <row r="8169">
      <c r="A8169" s="86" t="str">
        <f>IFERROR(__xludf.DUMMYFUNCTION("""COMPUTED_VALUE"""),"")</f>
        <v/>
      </c>
      <c r="B8169" s="87"/>
      <c r="C8169" s="87"/>
      <c r="D8169" s="87"/>
      <c r="E8169" s="87"/>
      <c r="F8169" s="87"/>
      <c r="G8169" s="87"/>
    </row>
    <row r="8170">
      <c r="A8170" s="86" t="str">
        <f>IFERROR(__xludf.DUMMYFUNCTION("""COMPUTED_VALUE"""),"")</f>
        <v/>
      </c>
      <c r="B8170" s="87"/>
      <c r="C8170" s="87"/>
      <c r="D8170" s="87"/>
      <c r="E8170" s="87"/>
      <c r="F8170" s="87"/>
      <c r="G8170" s="87"/>
    </row>
    <row r="8171">
      <c r="A8171" s="86" t="str">
        <f>IFERROR(__xludf.DUMMYFUNCTION("""COMPUTED_VALUE"""),"")</f>
        <v/>
      </c>
      <c r="B8171" s="87"/>
      <c r="C8171" s="87"/>
      <c r="D8171" s="87"/>
      <c r="E8171" s="87"/>
      <c r="F8171" s="87"/>
      <c r="G8171" s="87"/>
    </row>
    <row r="8172">
      <c r="A8172" s="86" t="str">
        <f>IFERROR(__xludf.DUMMYFUNCTION("""COMPUTED_VALUE"""),"")</f>
        <v/>
      </c>
      <c r="B8172" s="87"/>
      <c r="C8172" s="87"/>
      <c r="D8172" s="87"/>
      <c r="E8172" s="87"/>
      <c r="F8172" s="87"/>
      <c r="G8172" s="87"/>
    </row>
    <row r="8173">
      <c r="A8173" s="86" t="str">
        <f>IFERROR(__xludf.DUMMYFUNCTION("""COMPUTED_VALUE"""),"")</f>
        <v/>
      </c>
      <c r="B8173" s="87"/>
      <c r="C8173" s="87"/>
      <c r="D8173" s="87"/>
      <c r="E8173" s="87"/>
      <c r="F8173" s="87"/>
      <c r="G8173" s="87"/>
    </row>
    <row r="8174">
      <c r="A8174" s="86" t="str">
        <f>IFERROR(__xludf.DUMMYFUNCTION("""COMPUTED_VALUE"""),"")</f>
        <v/>
      </c>
      <c r="B8174" s="87"/>
      <c r="C8174" s="87"/>
      <c r="D8174" s="87"/>
      <c r="E8174" s="87"/>
      <c r="F8174" s="87"/>
      <c r="G8174" s="87"/>
    </row>
    <row r="8175">
      <c r="A8175" s="86" t="str">
        <f>IFERROR(__xludf.DUMMYFUNCTION("""COMPUTED_VALUE"""),"")</f>
        <v/>
      </c>
      <c r="B8175" s="87"/>
      <c r="C8175" s="87"/>
      <c r="D8175" s="87"/>
      <c r="E8175" s="87"/>
      <c r="F8175" s="87"/>
      <c r="G8175" s="87"/>
    </row>
    <row r="8176">
      <c r="A8176" s="86" t="str">
        <f>IFERROR(__xludf.DUMMYFUNCTION("""COMPUTED_VALUE"""),"")</f>
        <v/>
      </c>
      <c r="B8176" s="87"/>
      <c r="C8176" s="87"/>
      <c r="D8176" s="87"/>
      <c r="E8176" s="87"/>
      <c r="F8176" s="87"/>
      <c r="G8176" s="87"/>
    </row>
    <row r="8177">
      <c r="A8177" s="86" t="str">
        <f>IFERROR(__xludf.DUMMYFUNCTION("""COMPUTED_VALUE"""),"")</f>
        <v/>
      </c>
      <c r="B8177" s="87"/>
      <c r="C8177" s="87"/>
      <c r="D8177" s="87"/>
      <c r="E8177" s="87"/>
      <c r="F8177" s="87"/>
      <c r="G8177" s="87"/>
    </row>
    <row r="8178">
      <c r="A8178" s="86" t="str">
        <f>IFERROR(__xludf.DUMMYFUNCTION("""COMPUTED_VALUE"""),"")</f>
        <v/>
      </c>
      <c r="B8178" s="87"/>
      <c r="C8178" s="87"/>
      <c r="D8178" s="87"/>
      <c r="E8178" s="87"/>
      <c r="F8178" s="87"/>
      <c r="G8178" s="87"/>
    </row>
    <row r="8179">
      <c r="A8179" s="86" t="str">
        <f>IFERROR(__xludf.DUMMYFUNCTION("""COMPUTED_VALUE"""),"")</f>
        <v/>
      </c>
      <c r="B8179" s="87"/>
      <c r="C8179" s="87"/>
      <c r="D8179" s="87"/>
      <c r="E8179" s="87"/>
      <c r="F8179" s="87"/>
      <c r="G8179" s="87"/>
    </row>
    <row r="8180">
      <c r="A8180" s="86" t="str">
        <f>IFERROR(__xludf.DUMMYFUNCTION("""COMPUTED_VALUE"""),"")</f>
        <v/>
      </c>
      <c r="B8180" s="87"/>
      <c r="C8180" s="87"/>
      <c r="D8180" s="87"/>
      <c r="E8180" s="87"/>
      <c r="F8180" s="87"/>
      <c r="G8180" s="87"/>
    </row>
    <row r="8181">
      <c r="A8181" s="86" t="str">
        <f>IFERROR(__xludf.DUMMYFUNCTION("""COMPUTED_VALUE"""),"")</f>
        <v/>
      </c>
      <c r="B8181" s="87"/>
      <c r="C8181" s="87"/>
      <c r="D8181" s="87"/>
      <c r="E8181" s="87"/>
      <c r="F8181" s="87"/>
      <c r="G8181" s="87"/>
    </row>
    <row r="8182">
      <c r="A8182" s="86" t="str">
        <f>IFERROR(__xludf.DUMMYFUNCTION("""COMPUTED_VALUE"""),"")</f>
        <v/>
      </c>
      <c r="B8182" s="87"/>
      <c r="C8182" s="87"/>
      <c r="D8182" s="87"/>
      <c r="E8182" s="87"/>
      <c r="F8182" s="87"/>
      <c r="G8182" s="87"/>
    </row>
    <row r="8183">
      <c r="A8183" s="86" t="str">
        <f>IFERROR(__xludf.DUMMYFUNCTION("""COMPUTED_VALUE"""),"")</f>
        <v/>
      </c>
      <c r="B8183" s="87"/>
      <c r="C8183" s="87"/>
      <c r="D8183" s="87"/>
      <c r="E8183" s="87"/>
      <c r="F8183" s="87"/>
      <c r="G8183" s="87"/>
    </row>
    <row r="8184">
      <c r="A8184" s="86" t="str">
        <f>IFERROR(__xludf.DUMMYFUNCTION("""COMPUTED_VALUE"""),"")</f>
        <v/>
      </c>
      <c r="B8184" s="87"/>
      <c r="C8184" s="87"/>
      <c r="D8184" s="87"/>
      <c r="E8184" s="87"/>
      <c r="F8184" s="87"/>
      <c r="G8184" s="87"/>
    </row>
    <row r="8185">
      <c r="A8185" s="86" t="str">
        <f>IFERROR(__xludf.DUMMYFUNCTION("""COMPUTED_VALUE"""),"")</f>
        <v/>
      </c>
      <c r="B8185" s="87"/>
      <c r="C8185" s="87"/>
      <c r="D8185" s="87"/>
      <c r="E8185" s="87"/>
      <c r="F8185" s="87"/>
      <c r="G8185" s="87"/>
    </row>
    <row r="8186">
      <c r="A8186" s="86" t="str">
        <f>IFERROR(__xludf.DUMMYFUNCTION("""COMPUTED_VALUE"""),"")</f>
        <v/>
      </c>
      <c r="B8186" s="87"/>
      <c r="C8186" s="87"/>
      <c r="D8186" s="87"/>
      <c r="E8186" s="87"/>
      <c r="F8186" s="87"/>
      <c r="G8186" s="87"/>
    </row>
    <row r="8187">
      <c r="A8187" s="86" t="str">
        <f>IFERROR(__xludf.DUMMYFUNCTION("""COMPUTED_VALUE"""),"")</f>
        <v/>
      </c>
      <c r="B8187" s="87"/>
      <c r="C8187" s="87"/>
      <c r="D8187" s="87"/>
      <c r="E8187" s="87"/>
      <c r="F8187" s="87"/>
      <c r="G8187" s="87"/>
    </row>
    <row r="8188">
      <c r="A8188" s="86" t="str">
        <f>IFERROR(__xludf.DUMMYFUNCTION("""COMPUTED_VALUE"""),"")</f>
        <v/>
      </c>
      <c r="B8188" s="87"/>
      <c r="C8188" s="87"/>
      <c r="D8188" s="87"/>
      <c r="E8188" s="87"/>
      <c r="F8188" s="87"/>
      <c r="G8188" s="87"/>
    </row>
    <row r="8189">
      <c r="A8189" s="86" t="str">
        <f>IFERROR(__xludf.DUMMYFUNCTION("""COMPUTED_VALUE"""),"")</f>
        <v/>
      </c>
      <c r="B8189" s="87"/>
      <c r="C8189" s="87"/>
      <c r="D8189" s="87"/>
      <c r="E8189" s="87"/>
      <c r="F8189" s="87"/>
      <c r="G8189" s="87"/>
    </row>
    <row r="8190">
      <c r="A8190" s="86" t="str">
        <f>IFERROR(__xludf.DUMMYFUNCTION("""COMPUTED_VALUE"""),"")</f>
        <v/>
      </c>
      <c r="B8190" s="87"/>
      <c r="C8190" s="87"/>
      <c r="D8190" s="87"/>
      <c r="E8190" s="87"/>
      <c r="F8190" s="87"/>
      <c r="G8190" s="87"/>
    </row>
    <row r="8191">
      <c r="A8191" s="86" t="str">
        <f>IFERROR(__xludf.DUMMYFUNCTION("""COMPUTED_VALUE"""),"")</f>
        <v/>
      </c>
      <c r="B8191" s="87"/>
      <c r="C8191" s="87"/>
      <c r="D8191" s="87"/>
      <c r="E8191" s="87"/>
      <c r="F8191" s="87"/>
      <c r="G8191" s="87"/>
    </row>
    <row r="8192">
      <c r="A8192" s="86" t="str">
        <f>IFERROR(__xludf.DUMMYFUNCTION("""COMPUTED_VALUE"""),"")</f>
        <v/>
      </c>
      <c r="B8192" s="87"/>
      <c r="C8192" s="87"/>
      <c r="D8192" s="87"/>
      <c r="E8192" s="87"/>
      <c r="F8192" s="87"/>
      <c r="G8192" s="87"/>
    </row>
    <row r="8193">
      <c r="A8193" s="86" t="str">
        <f>IFERROR(__xludf.DUMMYFUNCTION("""COMPUTED_VALUE"""),"")</f>
        <v/>
      </c>
      <c r="B8193" s="87"/>
      <c r="C8193" s="87"/>
      <c r="D8193" s="87"/>
      <c r="E8193" s="87"/>
      <c r="F8193" s="87"/>
      <c r="G8193" s="87"/>
    </row>
    <row r="8194">
      <c r="A8194" s="86" t="str">
        <f>IFERROR(__xludf.DUMMYFUNCTION("""COMPUTED_VALUE"""),"")</f>
        <v/>
      </c>
      <c r="B8194" s="87"/>
      <c r="C8194" s="87"/>
      <c r="D8194" s="87"/>
      <c r="E8194" s="87"/>
      <c r="F8194" s="87"/>
      <c r="G8194" s="87"/>
    </row>
    <row r="8195">
      <c r="A8195" s="86" t="str">
        <f>IFERROR(__xludf.DUMMYFUNCTION("""COMPUTED_VALUE"""),"")</f>
        <v/>
      </c>
      <c r="B8195" s="87"/>
      <c r="C8195" s="87"/>
      <c r="D8195" s="87"/>
      <c r="E8195" s="87"/>
      <c r="F8195" s="87"/>
      <c r="G8195" s="87"/>
    </row>
    <row r="8196">
      <c r="A8196" s="86" t="str">
        <f>IFERROR(__xludf.DUMMYFUNCTION("""COMPUTED_VALUE"""),"")</f>
        <v/>
      </c>
      <c r="B8196" s="87"/>
      <c r="C8196" s="87"/>
      <c r="D8196" s="87"/>
      <c r="E8196" s="87"/>
      <c r="F8196" s="87"/>
      <c r="G8196" s="87"/>
    </row>
    <row r="8197">
      <c r="A8197" s="86" t="str">
        <f>IFERROR(__xludf.DUMMYFUNCTION("""COMPUTED_VALUE"""),"")</f>
        <v/>
      </c>
      <c r="B8197" s="87"/>
      <c r="C8197" s="87"/>
      <c r="D8197" s="87"/>
      <c r="E8197" s="87"/>
      <c r="F8197" s="87"/>
      <c r="G8197" s="87"/>
    </row>
    <row r="8198">
      <c r="A8198" s="86" t="str">
        <f>IFERROR(__xludf.DUMMYFUNCTION("""COMPUTED_VALUE"""),"")</f>
        <v/>
      </c>
      <c r="B8198" s="87"/>
      <c r="C8198" s="87"/>
      <c r="D8198" s="87"/>
      <c r="E8198" s="87"/>
      <c r="F8198" s="87"/>
      <c r="G8198" s="87"/>
    </row>
    <row r="8199">
      <c r="A8199" s="86" t="str">
        <f>IFERROR(__xludf.DUMMYFUNCTION("""COMPUTED_VALUE"""),"")</f>
        <v/>
      </c>
      <c r="B8199" s="87"/>
      <c r="C8199" s="87"/>
      <c r="D8199" s="87"/>
      <c r="E8199" s="87"/>
      <c r="F8199" s="87"/>
      <c r="G8199" s="87"/>
    </row>
    <row r="8200">
      <c r="A8200" s="86" t="str">
        <f>IFERROR(__xludf.DUMMYFUNCTION("""COMPUTED_VALUE"""),"")</f>
        <v/>
      </c>
      <c r="B8200" s="87"/>
      <c r="C8200" s="87"/>
      <c r="D8200" s="87"/>
      <c r="E8200" s="87"/>
      <c r="F8200" s="87"/>
      <c r="G8200" s="87"/>
    </row>
    <row r="8201">
      <c r="A8201" s="86" t="str">
        <f>IFERROR(__xludf.DUMMYFUNCTION("""COMPUTED_VALUE"""),"")</f>
        <v/>
      </c>
      <c r="B8201" s="87"/>
      <c r="C8201" s="87"/>
      <c r="D8201" s="87"/>
      <c r="E8201" s="87"/>
      <c r="F8201" s="87"/>
      <c r="G8201" s="87"/>
    </row>
    <row r="8202">
      <c r="A8202" s="86" t="str">
        <f>IFERROR(__xludf.DUMMYFUNCTION("""COMPUTED_VALUE"""),"")</f>
        <v/>
      </c>
      <c r="B8202" s="87"/>
      <c r="C8202" s="87"/>
      <c r="D8202" s="87"/>
      <c r="E8202" s="87"/>
      <c r="F8202" s="87"/>
      <c r="G8202" s="87"/>
    </row>
    <row r="8203">
      <c r="A8203" s="86" t="str">
        <f>IFERROR(__xludf.DUMMYFUNCTION("""COMPUTED_VALUE"""),"")</f>
        <v/>
      </c>
      <c r="B8203" s="87"/>
      <c r="C8203" s="87"/>
      <c r="D8203" s="87"/>
      <c r="E8203" s="87"/>
      <c r="F8203" s="87"/>
      <c r="G8203" s="87"/>
    </row>
    <row r="8204">
      <c r="A8204" s="86" t="str">
        <f>IFERROR(__xludf.DUMMYFUNCTION("""COMPUTED_VALUE"""),"")</f>
        <v/>
      </c>
      <c r="B8204" s="87"/>
      <c r="C8204" s="87"/>
      <c r="D8204" s="87"/>
      <c r="E8204" s="87"/>
      <c r="F8204" s="87"/>
      <c r="G8204" s="87"/>
    </row>
    <row r="8205">
      <c r="A8205" s="86" t="str">
        <f>IFERROR(__xludf.DUMMYFUNCTION("""COMPUTED_VALUE"""),"")</f>
        <v/>
      </c>
      <c r="B8205" s="87"/>
      <c r="C8205" s="87"/>
      <c r="D8205" s="87"/>
      <c r="E8205" s="87"/>
      <c r="F8205" s="87"/>
      <c r="G8205" s="87"/>
    </row>
    <row r="8206">
      <c r="A8206" s="86" t="str">
        <f>IFERROR(__xludf.DUMMYFUNCTION("""COMPUTED_VALUE"""),"")</f>
        <v/>
      </c>
      <c r="B8206" s="87"/>
      <c r="C8206" s="87"/>
      <c r="D8206" s="87"/>
      <c r="E8206" s="87"/>
      <c r="F8206" s="87"/>
      <c r="G8206" s="87"/>
    </row>
    <row r="8207">
      <c r="A8207" s="86" t="str">
        <f>IFERROR(__xludf.DUMMYFUNCTION("""COMPUTED_VALUE"""),"")</f>
        <v/>
      </c>
      <c r="B8207" s="87"/>
      <c r="C8207" s="87"/>
      <c r="D8207" s="87"/>
      <c r="E8207" s="87"/>
      <c r="F8207" s="87"/>
      <c r="G8207" s="87"/>
    </row>
    <row r="8208">
      <c r="A8208" s="86" t="str">
        <f>IFERROR(__xludf.DUMMYFUNCTION("""COMPUTED_VALUE"""),"")</f>
        <v/>
      </c>
      <c r="B8208" s="87"/>
      <c r="C8208" s="87"/>
      <c r="D8208" s="87"/>
      <c r="E8208" s="87"/>
      <c r="F8208" s="87"/>
      <c r="G8208" s="87"/>
    </row>
    <row r="8209">
      <c r="A8209" s="86" t="str">
        <f>IFERROR(__xludf.DUMMYFUNCTION("""COMPUTED_VALUE"""),"")</f>
        <v/>
      </c>
      <c r="B8209" s="87"/>
      <c r="C8209" s="87"/>
      <c r="D8209" s="87"/>
      <c r="E8209" s="87"/>
      <c r="F8209" s="87"/>
      <c r="G8209" s="87"/>
    </row>
    <row r="8210">
      <c r="A8210" s="86" t="str">
        <f>IFERROR(__xludf.DUMMYFUNCTION("""COMPUTED_VALUE"""),"")</f>
        <v/>
      </c>
      <c r="B8210" s="87"/>
      <c r="C8210" s="87"/>
      <c r="D8210" s="87"/>
      <c r="E8210" s="87"/>
      <c r="F8210" s="87"/>
      <c r="G8210" s="87"/>
    </row>
    <row r="8211">
      <c r="A8211" s="86" t="str">
        <f>IFERROR(__xludf.DUMMYFUNCTION("""COMPUTED_VALUE"""),"")</f>
        <v/>
      </c>
      <c r="B8211" s="87"/>
      <c r="C8211" s="87"/>
      <c r="D8211" s="87"/>
      <c r="E8211" s="87"/>
      <c r="F8211" s="87"/>
      <c r="G8211" s="87"/>
    </row>
    <row r="8212">
      <c r="A8212" s="86" t="str">
        <f>IFERROR(__xludf.DUMMYFUNCTION("""COMPUTED_VALUE"""),"")</f>
        <v/>
      </c>
      <c r="B8212" s="87"/>
      <c r="C8212" s="87"/>
      <c r="D8212" s="87"/>
      <c r="E8212" s="87"/>
      <c r="F8212" s="87"/>
      <c r="G8212" s="87"/>
    </row>
    <row r="8213">
      <c r="A8213" s="86" t="str">
        <f>IFERROR(__xludf.DUMMYFUNCTION("""COMPUTED_VALUE"""),"")</f>
        <v/>
      </c>
      <c r="B8213" s="87"/>
      <c r="C8213" s="87"/>
      <c r="D8213" s="87"/>
      <c r="E8213" s="87"/>
      <c r="F8213" s="87"/>
      <c r="G8213" s="87"/>
    </row>
    <row r="8214">
      <c r="A8214" s="86" t="str">
        <f>IFERROR(__xludf.DUMMYFUNCTION("""COMPUTED_VALUE"""),"")</f>
        <v/>
      </c>
      <c r="B8214" s="87"/>
      <c r="C8214" s="87"/>
      <c r="D8214" s="87"/>
      <c r="E8214" s="87"/>
      <c r="F8214" s="87"/>
      <c r="G8214" s="87"/>
    </row>
    <row r="8215">
      <c r="A8215" s="86" t="str">
        <f>IFERROR(__xludf.DUMMYFUNCTION("""COMPUTED_VALUE"""),"")</f>
        <v/>
      </c>
      <c r="B8215" s="87"/>
      <c r="C8215" s="87"/>
      <c r="D8215" s="87"/>
      <c r="E8215" s="87"/>
      <c r="F8215" s="87"/>
      <c r="G8215" s="87"/>
    </row>
    <row r="8216">
      <c r="A8216" s="86" t="str">
        <f>IFERROR(__xludf.DUMMYFUNCTION("""COMPUTED_VALUE"""),"")</f>
        <v/>
      </c>
      <c r="B8216" s="87"/>
      <c r="C8216" s="87"/>
      <c r="D8216" s="87"/>
      <c r="E8216" s="87"/>
      <c r="F8216" s="87"/>
      <c r="G8216" s="87"/>
    </row>
    <row r="8217">
      <c r="A8217" s="86" t="str">
        <f>IFERROR(__xludf.DUMMYFUNCTION("""COMPUTED_VALUE"""),"")</f>
        <v/>
      </c>
      <c r="B8217" s="87"/>
      <c r="C8217" s="87"/>
      <c r="D8217" s="87"/>
      <c r="E8217" s="87"/>
      <c r="F8217" s="87"/>
      <c r="G8217" s="87"/>
    </row>
    <row r="8218">
      <c r="A8218" s="86" t="str">
        <f>IFERROR(__xludf.DUMMYFUNCTION("""COMPUTED_VALUE"""),"")</f>
        <v/>
      </c>
      <c r="B8218" s="87"/>
      <c r="C8218" s="87"/>
      <c r="D8218" s="87"/>
      <c r="E8218" s="87"/>
      <c r="F8218" s="87"/>
      <c r="G8218" s="87"/>
    </row>
    <row r="8219">
      <c r="A8219" s="86" t="str">
        <f>IFERROR(__xludf.DUMMYFUNCTION("""COMPUTED_VALUE"""),"")</f>
        <v/>
      </c>
      <c r="B8219" s="87"/>
      <c r="C8219" s="87"/>
      <c r="D8219" s="87"/>
      <c r="E8219" s="87"/>
      <c r="F8219" s="87"/>
      <c r="G8219" s="87"/>
    </row>
    <row r="8220">
      <c r="A8220" s="86" t="str">
        <f>IFERROR(__xludf.DUMMYFUNCTION("""COMPUTED_VALUE"""),"")</f>
        <v/>
      </c>
      <c r="B8220" s="87"/>
      <c r="C8220" s="87"/>
      <c r="D8220" s="87"/>
      <c r="E8220" s="87"/>
      <c r="F8220" s="87"/>
      <c r="G8220" s="87"/>
    </row>
    <row r="8221">
      <c r="A8221" s="86" t="str">
        <f>IFERROR(__xludf.DUMMYFUNCTION("""COMPUTED_VALUE"""),"")</f>
        <v/>
      </c>
      <c r="B8221" s="87"/>
      <c r="C8221" s="87"/>
      <c r="D8221" s="87"/>
      <c r="E8221" s="87"/>
      <c r="F8221" s="87"/>
      <c r="G8221" s="87"/>
    </row>
    <row r="8222">
      <c r="A8222" s="86" t="str">
        <f>IFERROR(__xludf.DUMMYFUNCTION("""COMPUTED_VALUE"""),"")</f>
        <v/>
      </c>
      <c r="B8222" s="87"/>
      <c r="C8222" s="87"/>
      <c r="D8222" s="87"/>
      <c r="E8222" s="87"/>
      <c r="F8222" s="87"/>
      <c r="G8222" s="87"/>
    </row>
    <row r="8223">
      <c r="A8223" s="86" t="str">
        <f>IFERROR(__xludf.DUMMYFUNCTION("""COMPUTED_VALUE"""),"")</f>
        <v/>
      </c>
      <c r="B8223" s="87"/>
      <c r="C8223" s="87"/>
      <c r="D8223" s="87"/>
      <c r="E8223" s="87"/>
      <c r="F8223" s="87"/>
      <c r="G8223" s="87"/>
    </row>
    <row r="8224">
      <c r="A8224" s="86" t="str">
        <f>IFERROR(__xludf.DUMMYFUNCTION("""COMPUTED_VALUE"""),"")</f>
        <v/>
      </c>
      <c r="B8224" s="87"/>
      <c r="C8224" s="87"/>
      <c r="D8224" s="87"/>
      <c r="E8224" s="87"/>
      <c r="F8224" s="87"/>
      <c r="G8224" s="87"/>
    </row>
    <row r="8225">
      <c r="A8225" s="86" t="str">
        <f>IFERROR(__xludf.DUMMYFUNCTION("""COMPUTED_VALUE"""),"")</f>
        <v/>
      </c>
      <c r="B8225" s="87"/>
      <c r="C8225" s="87"/>
      <c r="D8225" s="87"/>
      <c r="E8225" s="87"/>
      <c r="F8225" s="87"/>
      <c r="G8225" s="87"/>
    </row>
    <row r="8226">
      <c r="A8226" s="86" t="str">
        <f>IFERROR(__xludf.DUMMYFUNCTION("""COMPUTED_VALUE"""),"")</f>
        <v/>
      </c>
      <c r="B8226" s="87"/>
      <c r="C8226" s="87"/>
      <c r="D8226" s="87"/>
      <c r="E8226" s="87"/>
      <c r="F8226" s="87"/>
      <c r="G8226" s="87"/>
    </row>
    <row r="8227">
      <c r="A8227" s="86" t="str">
        <f>IFERROR(__xludf.DUMMYFUNCTION("""COMPUTED_VALUE"""),"")</f>
        <v/>
      </c>
      <c r="B8227" s="87"/>
      <c r="C8227" s="87"/>
      <c r="D8227" s="87"/>
      <c r="E8227" s="87"/>
      <c r="F8227" s="87"/>
      <c r="G8227" s="87"/>
    </row>
    <row r="8228">
      <c r="A8228" s="86" t="str">
        <f>IFERROR(__xludf.DUMMYFUNCTION("""COMPUTED_VALUE"""),"")</f>
        <v/>
      </c>
      <c r="B8228" s="87"/>
      <c r="C8228" s="87"/>
      <c r="D8228" s="87"/>
      <c r="E8228" s="87"/>
      <c r="F8228" s="87"/>
      <c r="G8228" s="87"/>
    </row>
    <row r="8229">
      <c r="A8229" s="86" t="str">
        <f>IFERROR(__xludf.DUMMYFUNCTION("""COMPUTED_VALUE"""),"")</f>
        <v/>
      </c>
      <c r="B8229" s="87"/>
      <c r="C8229" s="87"/>
      <c r="D8229" s="87"/>
      <c r="E8229" s="87"/>
      <c r="F8229" s="87"/>
      <c r="G8229" s="87"/>
    </row>
    <row r="8230">
      <c r="A8230" s="86" t="str">
        <f>IFERROR(__xludf.DUMMYFUNCTION("""COMPUTED_VALUE"""),"")</f>
        <v/>
      </c>
      <c r="B8230" s="87"/>
      <c r="C8230" s="87"/>
      <c r="D8230" s="87"/>
      <c r="E8230" s="87"/>
      <c r="F8230" s="87"/>
      <c r="G8230" s="87"/>
    </row>
    <row r="8231">
      <c r="A8231" s="86" t="str">
        <f>IFERROR(__xludf.DUMMYFUNCTION("""COMPUTED_VALUE"""),"")</f>
        <v/>
      </c>
      <c r="B8231" s="87"/>
      <c r="C8231" s="87"/>
      <c r="D8231" s="87"/>
      <c r="E8231" s="87"/>
      <c r="F8231" s="87"/>
      <c r="G8231" s="87"/>
    </row>
    <row r="8232">
      <c r="A8232" s="86" t="str">
        <f>IFERROR(__xludf.DUMMYFUNCTION("""COMPUTED_VALUE"""),"")</f>
        <v/>
      </c>
      <c r="B8232" s="87"/>
      <c r="C8232" s="87"/>
      <c r="D8232" s="87"/>
      <c r="E8232" s="87"/>
      <c r="F8232" s="87"/>
      <c r="G8232" s="87"/>
    </row>
    <row r="8233">
      <c r="A8233" s="86" t="str">
        <f>IFERROR(__xludf.DUMMYFUNCTION("""COMPUTED_VALUE"""),"")</f>
        <v/>
      </c>
      <c r="B8233" s="87"/>
      <c r="C8233" s="87"/>
      <c r="D8233" s="87"/>
      <c r="E8233" s="87"/>
      <c r="F8233" s="87"/>
      <c r="G8233" s="87"/>
    </row>
    <row r="8234">
      <c r="A8234" s="86" t="str">
        <f>IFERROR(__xludf.DUMMYFUNCTION("""COMPUTED_VALUE"""),"")</f>
        <v/>
      </c>
      <c r="B8234" s="87"/>
      <c r="C8234" s="87"/>
      <c r="D8234" s="87"/>
      <c r="E8234" s="87"/>
      <c r="F8234" s="87"/>
      <c r="G8234" s="87"/>
    </row>
    <row r="8235">
      <c r="A8235" s="86" t="str">
        <f>IFERROR(__xludf.DUMMYFUNCTION("""COMPUTED_VALUE"""),"")</f>
        <v/>
      </c>
      <c r="B8235" s="87"/>
      <c r="C8235" s="87"/>
      <c r="D8235" s="87"/>
      <c r="E8235" s="87"/>
      <c r="F8235" s="87"/>
      <c r="G8235" s="87"/>
    </row>
    <row r="8236">
      <c r="A8236" s="86" t="str">
        <f>IFERROR(__xludf.DUMMYFUNCTION("""COMPUTED_VALUE"""),"")</f>
        <v/>
      </c>
      <c r="B8236" s="87"/>
      <c r="C8236" s="87"/>
      <c r="D8236" s="87"/>
      <c r="E8236" s="87"/>
      <c r="F8236" s="87"/>
      <c r="G8236" s="87"/>
    </row>
    <row r="8237">
      <c r="A8237" s="86" t="str">
        <f>IFERROR(__xludf.DUMMYFUNCTION("""COMPUTED_VALUE"""),"")</f>
        <v/>
      </c>
      <c r="B8237" s="87"/>
      <c r="C8237" s="87"/>
      <c r="D8237" s="87"/>
      <c r="E8237" s="87"/>
      <c r="F8237" s="87"/>
      <c r="G8237" s="87"/>
    </row>
    <row r="8238">
      <c r="A8238" s="86" t="str">
        <f>IFERROR(__xludf.DUMMYFUNCTION("""COMPUTED_VALUE"""),"")</f>
        <v/>
      </c>
      <c r="B8238" s="87"/>
      <c r="C8238" s="87"/>
      <c r="D8238" s="87"/>
      <c r="E8238" s="87"/>
      <c r="F8238" s="87"/>
      <c r="G8238" s="87"/>
    </row>
    <row r="8239">
      <c r="A8239" s="86" t="str">
        <f>IFERROR(__xludf.DUMMYFUNCTION("""COMPUTED_VALUE"""),"")</f>
        <v/>
      </c>
      <c r="B8239" s="87"/>
      <c r="C8239" s="87"/>
      <c r="D8239" s="87"/>
      <c r="E8239" s="87"/>
      <c r="F8239" s="87"/>
      <c r="G8239" s="87"/>
    </row>
    <row r="8240">
      <c r="A8240" s="86" t="str">
        <f>IFERROR(__xludf.DUMMYFUNCTION("""COMPUTED_VALUE"""),"")</f>
        <v/>
      </c>
      <c r="B8240" s="87"/>
      <c r="C8240" s="87"/>
      <c r="D8240" s="87"/>
      <c r="E8240" s="87"/>
      <c r="F8240" s="87"/>
      <c r="G8240" s="87"/>
    </row>
    <row r="8241">
      <c r="A8241" s="86" t="str">
        <f>IFERROR(__xludf.DUMMYFUNCTION("""COMPUTED_VALUE"""),"")</f>
        <v/>
      </c>
      <c r="B8241" s="87"/>
      <c r="C8241" s="87"/>
      <c r="D8241" s="87"/>
      <c r="E8241" s="87"/>
      <c r="F8241" s="87"/>
      <c r="G8241" s="87"/>
    </row>
    <row r="8242">
      <c r="A8242" s="86" t="str">
        <f>IFERROR(__xludf.DUMMYFUNCTION("""COMPUTED_VALUE"""),"")</f>
        <v/>
      </c>
      <c r="B8242" s="87"/>
      <c r="C8242" s="87"/>
      <c r="D8242" s="87"/>
      <c r="E8242" s="87"/>
      <c r="F8242" s="87"/>
      <c r="G8242" s="87"/>
    </row>
    <row r="8243">
      <c r="A8243" s="86" t="str">
        <f>IFERROR(__xludf.DUMMYFUNCTION("""COMPUTED_VALUE"""),"")</f>
        <v/>
      </c>
      <c r="B8243" s="87"/>
      <c r="C8243" s="87"/>
      <c r="D8243" s="87"/>
      <c r="E8243" s="87"/>
      <c r="F8243" s="87"/>
      <c r="G8243" s="87"/>
    </row>
    <row r="8244">
      <c r="A8244" s="86" t="str">
        <f>IFERROR(__xludf.DUMMYFUNCTION("""COMPUTED_VALUE"""),"")</f>
        <v/>
      </c>
      <c r="B8244" s="87"/>
      <c r="C8244" s="87"/>
      <c r="D8244" s="87"/>
      <c r="E8244" s="87"/>
      <c r="F8244" s="87"/>
      <c r="G8244" s="87"/>
    </row>
    <row r="8245">
      <c r="A8245" s="86" t="str">
        <f>IFERROR(__xludf.DUMMYFUNCTION("""COMPUTED_VALUE"""),"")</f>
        <v/>
      </c>
      <c r="B8245" s="87"/>
      <c r="C8245" s="87"/>
      <c r="D8245" s="87"/>
      <c r="E8245" s="87"/>
      <c r="F8245" s="87"/>
      <c r="G8245" s="87"/>
    </row>
    <row r="8246">
      <c r="A8246" s="86" t="str">
        <f>IFERROR(__xludf.DUMMYFUNCTION("""COMPUTED_VALUE"""),"")</f>
        <v/>
      </c>
      <c r="B8246" s="87"/>
      <c r="C8246" s="87"/>
      <c r="D8246" s="87"/>
      <c r="E8246" s="87"/>
      <c r="F8246" s="87"/>
      <c r="G8246" s="87"/>
    </row>
    <row r="8247">
      <c r="A8247" s="86" t="str">
        <f>IFERROR(__xludf.DUMMYFUNCTION("""COMPUTED_VALUE"""),"")</f>
        <v/>
      </c>
      <c r="B8247" s="87"/>
      <c r="C8247" s="87"/>
      <c r="D8247" s="87"/>
      <c r="E8247" s="87"/>
      <c r="F8247" s="87"/>
      <c r="G8247" s="87"/>
    </row>
    <row r="8248">
      <c r="A8248" s="86" t="str">
        <f>IFERROR(__xludf.DUMMYFUNCTION("""COMPUTED_VALUE"""),"")</f>
        <v/>
      </c>
      <c r="B8248" s="87"/>
      <c r="C8248" s="87"/>
      <c r="D8248" s="87"/>
      <c r="E8248" s="87"/>
      <c r="F8248" s="87"/>
      <c r="G8248" s="87"/>
    </row>
    <row r="8249">
      <c r="A8249" s="86" t="str">
        <f>IFERROR(__xludf.DUMMYFUNCTION("""COMPUTED_VALUE"""),"")</f>
        <v/>
      </c>
      <c r="B8249" s="87"/>
      <c r="C8249" s="87"/>
      <c r="D8249" s="87"/>
      <c r="E8249" s="87"/>
      <c r="F8249" s="87"/>
      <c r="G8249" s="87"/>
    </row>
    <row r="8250">
      <c r="A8250" s="86" t="str">
        <f>IFERROR(__xludf.DUMMYFUNCTION("""COMPUTED_VALUE"""),"")</f>
        <v/>
      </c>
      <c r="B8250" s="87"/>
      <c r="C8250" s="87"/>
      <c r="D8250" s="87"/>
      <c r="E8250" s="87"/>
      <c r="F8250" s="87"/>
      <c r="G8250" s="87"/>
    </row>
    <row r="8251">
      <c r="A8251" s="86" t="str">
        <f>IFERROR(__xludf.DUMMYFUNCTION("""COMPUTED_VALUE"""),"")</f>
        <v/>
      </c>
      <c r="B8251" s="87"/>
      <c r="C8251" s="87"/>
      <c r="D8251" s="87"/>
      <c r="E8251" s="87"/>
      <c r="F8251" s="87"/>
      <c r="G8251" s="87"/>
    </row>
    <row r="8252">
      <c r="A8252" s="86" t="str">
        <f>IFERROR(__xludf.DUMMYFUNCTION("""COMPUTED_VALUE"""),"")</f>
        <v/>
      </c>
      <c r="B8252" s="87"/>
      <c r="C8252" s="87"/>
      <c r="D8252" s="87"/>
      <c r="E8252" s="87"/>
      <c r="F8252" s="87"/>
      <c r="G8252" s="87"/>
    </row>
    <row r="8253">
      <c r="A8253" s="86" t="str">
        <f>IFERROR(__xludf.DUMMYFUNCTION("""COMPUTED_VALUE"""),"")</f>
        <v/>
      </c>
      <c r="B8253" s="87"/>
      <c r="C8253" s="87"/>
      <c r="D8253" s="87"/>
      <c r="E8253" s="87"/>
      <c r="F8253" s="87"/>
      <c r="G8253" s="87"/>
    </row>
    <row r="8254">
      <c r="A8254" s="86" t="str">
        <f>IFERROR(__xludf.DUMMYFUNCTION("""COMPUTED_VALUE"""),"")</f>
        <v/>
      </c>
      <c r="B8254" s="87"/>
      <c r="C8254" s="87"/>
      <c r="D8254" s="87"/>
      <c r="E8254" s="87"/>
      <c r="F8254" s="87"/>
      <c r="G8254" s="87"/>
    </row>
    <row r="8255">
      <c r="A8255" s="86" t="str">
        <f>IFERROR(__xludf.DUMMYFUNCTION("""COMPUTED_VALUE"""),"")</f>
        <v/>
      </c>
      <c r="B8255" s="87"/>
      <c r="C8255" s="87"/>
      <c r="D8255" s="87"/>
      <c r="E8255" s="87"/>
      <c r="F8255" s="87"/>
      <c r="G8255" s="87"/>
    </row>
    <row r="8256">
      <c r="A8256" s="86" t="str">
        <f>IFERROR(__xludf.DUMMYFUNCTION("""COMPUTED_VALUE"""),"")</f>
        <v/>
      </c>
      <c r="B8256" s="87"/>
      <c r="C8256" s="87"/>
      <c r="D8256" s="87"/>
      <c r="E8256" s="87"/>
      <c r="F8256" s="87"/>
      <c r="G8256" s="87"/>
    </row>
    <row r="8257">
      <c r="A8257" s="86" t="str">
        <f>IFERROR(__xludf.DUMMYFUNCTION("""COMPUTED_VALUE"""),"")</f>
        <v/>
      </c>
      <c r="B8257" s="87"/>
      <c r="C8257" s="87"/>
      <c r="D8257" s="87"/>
      <c r="E8257" s="87"/>
      <c r="F8257" s="87"/>
      <c r="G8257" s="87"/>
    </row>
    <row r="8258">
      <c r="A8258" s="86" t="str">
        <f>IFERROR(__xludf.DUMMYFUNCTION("""COMPUTED_VALUE"""),"")</f>
        <v/>
      </c>
      <c r="B8258" s="87"/>
      <c r="C8258" s="87"/>
      <c r="D8258" s="87"/>
      <c r="E8258" s="87"/>
      <c r="F8258" s="87"/>
      <c r="G8258" s="87"/>
    </row>
    <row r="8259">
      <c r="A8259" s="86" t="str">
        <f>IFERROR(__xludf.DUMMYFUNCTION("""COMPUTED_VALUE"""),"")</f>
        <v/>
      </c>
      <c r="B8259" s="87"/>
      <c r="C8259" s="87"/>
      <c r="D8259" s="87"/>
      <c r="E8259" s="87"/>
      <c r="F8259" s="87"/>
      <c r="G8259" s="87"/>
    </row>
    <row r="8260">
      <c r="A8260" s="86" t="str">
        <f>IFERROR(__xludf.DUMMYFUNCTION("""COMPUTED_VALUE"""),"")</f>
        <v/>
      </c>
      <c r="B8260" s="87"/>
      <c r="C8260" s="87"/>
      <c r="D8260" s="87"/>
      <c r="E8260" s="87"/>
      <c r="F8260" s="87"/>
      <c r="G8260" s="87"/>
    </row>
    <row r="8261">
      <c r="A8261" s="86" t="str">
        <f>IFERROR(__xludf.DUMMYFUNCTION("""COMPUTED_VALUE"""),"")</f>
        <v/>
      </c>
      <c r="B8261" s="87"/>
      <c r="C8261" s="87"/>
      <c r="D8261" s="87"/>
      <c r="E8261" s="87"/>
      <c r="F8261" s="87"/>
      <c r="G8261" s="87"/>
    </row>
    <row r="8262">
      <c r="A8262" s="86" t="str">
        <f>IFERROR(__xludf.DUMMYFUNCTION("""COMPUTED_VALUE"""),"")</f>
        <v/>
      </c>
      <c r="B8262" s="87"/>
      <c r="C8262" s="87"/>
      <c r="D8262" s="87"/>
      <c r="E8262" s="87"/>
      <c r="F8262" s="87"/>
      <c r="G8262" s="87"/>
    </row>
    <row r="8263">
      <c r="A8263" s="86" t="str">
        <f>IFERROR(__xludf.DUMMYFUNCTION("""COMPUTED_VALUE"""),"")</f>
        <v/>
      </c>
      <c r="B8263" s="87"/>
      <c r="C8263" s="87"/>
      <c r="D8263" s="87"/>
      <c r="E8263" s="87"/>
      <c r="F8263" s="87"/>
      <c r="G8263" s="87"/>
    </row>
    <row r="8264">
      <c r="A8264" s="86" t="str">
        <f>IFERROR(__xludf.DUMMYFUNCTION("""COMPUTED_VALUE"""),"")</f>
        <v/>
      </c>
      <c r="B8264" s="87"/>
      <c r="C8264" s="87"/>
      <c r="D8264" s="87"/>
      <c r="E8264" s="87"/>
      <c r="F8264" s="87"/>
      <c r="G8264" s="87"/>
    </row>
    <row r="8265">
      <c r="A8265" s="86" t="str">
        <f>IFERROR(__xludf.DUMMYFUNCTION("""COMPUTED_VALUE"""),"")</f>
        <v/>
      </c>
      <c r="B8265" s="87"/>
      <c r="C8265" s="87"/>
      <c r="D8265" s="87"/>
      <c r="E8265" s="87"/>
      <c r="F8265" s="87"/>
      <c r="G8265" s="87"/>
    </row>
    <row r="8266">
      <c r="A8266" s="86" t="str">
        <f>IFERROR(__xludf.DUMMYFUNCTION("""COMPUTED_VALUE"""),"")</f>
        <v/>
      </c>
      <c r="B8266" s="87"/>
      <c r="C8266" s="87"/>
      <c r="D8266" s="87"/>
      <c r="E8266" s="87"/>
      <c r="F8266" s="87"/>
      <c r="G8266" s="87"/>
    </row>
    <row r="8267">
      <c r="A8267" s="86" t="str">
        <f>IFERROR(__xludf.DUMMYFUNCTION("""COMPUTED_VALUE"""),"")</f>
        <v/>
      </c>
      <c r="B8267" s="87"/>
      <c r="C8267" s="87"/>
      <c r="D8267" s="87"/>
      <c r="E8267" s="87"/>
      <c r="F8267" s="87"/>
      <c r="G8267" s="87"/>
    </row>
    <row r="8268">
      <c r="A8268" s="86" t="str">
        <f>IFERROR(__xludf.DUMMYFUNCTION("""COMPUTED_VALUE"""),"")</f>
        <v/>
      </c>
      <c r="B8268" s="87"/>
      <c r="C8268" s="87"/>
      <c r="D8268" s="87"/>
      <c r="E8268" s="87"/>
      <c r="F8268" s="87"/>
      <c r="G8268" s="87"/>
    </row>
    <row r="8269">
      <c r="A8269" s="86" t="str">
        <f>IFERROR(__xludf.DUMMYFUNCTION("""COMPUTED_VALUE"""),"")</f>
        <v/>
      </c>
      <c r="B8269" s="87"/>
      <c r="C8269" s="87"/>
      <c r="D8269" s="87"/>
      <c r="E8269" s="87"/>
      <c r="F8269" s="87"/>
      <c r="G8269" s="87"/>
    </row>
    <row r="8270">
      <c r="A8270" s="86" t="str">
        <f>IFERROR(__xludf.DUMMYFUNCTION("""COMPUTED_VALUE"""),"")</f>
        <v/>
      </c>
      <c r="B8270" s="87"/>
      <c r="C8270" s="87"/>
      <c r="D8270" s="87"/>
      <c r="E8270" s="87"/>
      <c r="F8270" s="87"/>
      <c r="G8270" s="87"/>
    </row>
    <row r="8271">
      <c r="A8271" s="86" t="str">
        <f>IFERROR(__xludf.DUMMYFUNCTION("""COMPUTED_VALUE"""),"")</f>
        <v/>
      </c>
      <c r="B8271" s="87"/>
      <c r="C8271" s="87"/>
      <c r="D8271" s="87"/>
      <c r="E8271" s="87"/>
      <c r="F8271" s="87"/>
      <c r="G8271" s="87"/>
    </row>
    <row r="8272">
      <c r="A8272" s="86" t="str">
        <f>IFERROR(__xludf.DUMMYFUNCTION("""COMPUTED_VALUE"""),"")</f>
        <v/>
      </c>
      <c r="B8272" s="87"/>
      <c r="C8272" s="87"/>
      <c r="D8272" s="87"/>
      <c r="E8272" s="87"/>
      <c r="F8272" s="87"/>
      <c r="G8272" s="87"/>
    </row>
    <row r="8273">
      <c r="A8273" s="86" t="str">
        <f>IFERROR(__xludf.DUMMYFUNCTION("""COMPUTED_VALUE"""),"")</f>
        <v/>
      </c>
      <c r="B8273" s="87"/>
      <c r="C8273" s="87"/>
      <c r="D8273" s="87"/>
      <c r="E8273" s="87"/>
      <c r="F8273" s="87"/>
      <c r="G8273" s="87"/>
    </row>
    <row r="8274">
      <c r="A8274" s="86" t="str">
        <f>IFERROR(__xludf.DUMMYFUNCTION("""COMPUTED_VALUE"""),"")</f>
        <v/>
      </c>
      <c r="B8274" s="87"/>
      <c r="C8274" s="87"/>
      <c r="D8274" s="87"/>
      <c r="E8274" s="87"/>
      <c r="F8274" s="87"/>
      <c r="G8274" s="87"/>
    </row>
    <row r="8275">
      <c r="A8275" s="86" t="str">
        <f>IFERROR(__xludf.DUMMYFUNCTION("""COMPUTED_VALUE"""),"")</f>
        <v/>
      </c>
      <c r="B8275" s="87"/>
      <c r="C8275" s="87"/>
      <c r="D8275" s="87"/>
      <c r="E8275" s="87"/>
      <c r="F8275" s="87"/>
      <c r="G8275" s="87"/>
    </row>
    <row r="8276">
      <c r="A8276" s="86" t="str">
        <f>IFERROR(__xludf.DUMMYFUNCTION("""COMPUTED_VALUE"""),"")</f>
        <v/>
      </c>
      <c r="B8276" s="87"/>
      <c r="C8276" s="87"/>
      <c r="D8276" s="87"/>
      <c r="E8276" s="87"/>
      <c r="F8276" s="87"/>
      <c r="G8276" s="87"/>
    </row>
    <row r="8277">
      <c r="A8277" s="86" t="str">
        <f>IFERROR(__xludf.DUMMYFUNCTION("""COMPUTED_VALUE"""),"")</f>
        <v/>
      </c>
      <c r="B8277" s="87"/>
      <c r="C8277" s="87"/>
      <c r="D8277" s="87"/>
      <c r="E8277" s="87"/>
      <c r="F8277" s="87"/>
      <c r="G8277" s="87"/>
    </row>
    <row r="8278">
      <c r="A8278" s="86" t="str">
        <f>IFERROR(__xludf.DUMMYFUNCTION("""COMPUTED_VALUE"""),"")</f>
        <v/>
      </c>
      <c r="B8278" s="87"/>
      <c r="C8278" s="87"/>
      <c r="D8278" s="87"/>
      <c r="E8278" s="87"/>
      <c r="F8278" s="87"/>
      <c r="G8278" s="87"/>
    </row>
    <row r="8279">
      <c r="A8279" s="86" t="str">
        <f>IFERROR(__xludf.DUMMYFUNCTION("""COMPUTED_VALUE"""),"")</f>
        <v/>
      </c>
      <c r="B8279" s="87"/>
      <c r="C8279" s="87"/>
      <c r="D8279" s="87"/>
      <c r="E8279" s="87"/>
      <c r="F8279" s="87"/>
      <c r="G8279" s="87"/>
    </row>
    <row r="8280">
      <c r="A8280" s="86" t="str">
        <f>IFERROR(__xludf.DUMMYFUNCTION("""COMPUTED_VALUE"""),"")</f>
        <v/>
      </c>
      <c r="B8280" s="87"/>
      <c r="C8280" s="87"/>
      <c r="D8280" s="87"/>
      <c r="E8280" s="87"/>
      <c r="F8280" s="87"/>
      <c r="G8280" s="87"/>
    </row>
    <row r="8281">
      <c r="A8281" s="86" t="str">
        <f>IFERROR(__xludf.DUMMYFUNCTION("""COMPUTED_VALUE"""),"")</f>
        <v/>
      </c>
      <c r="B8281" s="87"/>
      <c r="C8281" s="87"/>
      <c r="D8281" s="87"/>
      <c r="E8281" s="87"/>
      <c r="F8281" s="87"/>
      <c r="G8281" s="87"/>
    </row>
    <row r="8282">
      <c r="A8282" s="86" t="str">
        <f>IFERROR(__xludf.DUMMYFUNCTION("""COMPUTED_VALUE"""),"")</f>
        <v/>
      </c>
      <c r="B8282" s="87"/>
      <c r="C8282" s="87"/>
      <c r="D8282" s="87"/>
      <c r="E8282" s="87"/>
      <c r="F8282" s="87"/>
      <c r="G8282" s="87"/>
    </row>
    <row r="8283">
      <c r="A8283" s="86" t="str">
        <f>IFERROR(__xludf.DUMMYFUNCTION("""COMPUTED_VALUE"""),"")</f>
        <v/>
      </c>
      <c r="B8283" s="87"/>
      <c r="C8283" s="87"/>
      <c r="D8283" s="87"/>
      <c r="E8283" s="87"/>
      <c r="F8283" s="87"/>
      <c r="G8283" s="87"/>
    </row>
    <row r="8284">
      <c r="A8284" s="86" t="str">
        <f>IFERROR(__xludf.DUMMYFUNCTION("""COMPUTED_VALUE"""),"")</f>
        <v/>
      </c>
      <c r="B8284" s="87"/>
      <c r="C8284" s="87"/>
      <c r="D8284" s="87"/>
      <c r="E8284" s="87"/>
      <c r="F8284" s="87"/>
      <c r="G8284" s="87"/>
    </row>
    <row r="8285">
      <c r="A8285" s="86" t="str">
        <f>IFERROR(__xludf.DUMMYFUNCTION("""COMPUTED_VALUE"""),"")</f>
        <v/>
      </c>
      <c r="B8285" s="87"/>
      <c r="C8285" s="87"/>
      <c r="D8285" s="87"/>
      <c r="E8285" s="87"/>
      <c r="F8285" s="87"/>
      <c r="G8285" s="87"/>
    </row>
    <row r="8286">
      <c r="A8286" s="86" t="str">
        <f>IFERROR(__xludf.DUMMYFUNCTION("""COMPUTED_VALUE"""),"")</f>
        <v/>
      </c>
      <c r="B8286" s="87"/>
      <c r="C8286" s="87"/>
      <c r="D8286" s="87"/>
      <c r="E8286" s="87"/>
      <c r="F8286" s="87"/>
      <c r="G8286" s="87"/>
    </row>
    <row r="8287">
      <c r="A8287" s="86" t="str">
        <f>IFERROR(__xludf.DUMMYFUNCTION("""COMPUTED_VALUE"""),"")</f>
        <v/>
      </c>
      <c r="B8287" s="87"/>
      <c r="C8287" s="87"/>
      <c r="D8287" s="87"/>
      <c r="E8287" s="87"/>
      <c r="F8287" s="87"/>
      <c r="G8287" s="87"/>
    </row>
    <row r="8288">
      <c r="A8288" s="86" t="str">
        <f>IFERROR(__xludf.DUMMYFUNCTION("""COMPUTED_VALUE"""),"")</f>
        <v/>
      </c>
      <c r="B8288" s="87"/>
      <c r="C8288" s="87"/>
      <c r="D8288" s="87"/>
      <c r="E8288" s="87"/>
      <c r="F8288" s="87"/>
      <c r="G8288" s="87"/>
    </row>
    <row r="8289">
      <c r="A8289" s="86" t="str">
        <f>IFERROR(__xludf.DUMMYFUNCTION("""COMPUTED_VALUE"""),"")</f>
        <v/>
      </c>
      <c r="B8289" s="87"/>
      <c r="C8289" s="87"/>
      <c r="D8289" s="87"/>
      <c r="E8289" s="87"/>
      <c r="F8289" s="87"/>
      <c r="G8289" s="87"/>
    </row>
    <row r="8290">
      <c r="A8290" s="86" t="str">
        <f>IFERROR(__xludf.DUMMYFUNCTION("""COMPUTED_VALUE"""),"")</f>
        <v/>
      </c>
      <c r="B8290" s="87"/>
      <c r="C8290" s="87"/>
      <c r="D8290" s="87"/>
      <c r="E8290" s="87"/>
      <c r="F8290" s="87"/>
      <c r="G8290" s="87"/>
    </row>
    <row r="8291">
      <c r="A8291" s="86" t="str">
        <f>IFERROR(__xludf.DUMMYFUNCTION("""COMPUTED_VALUE"""),"")</f>
        <v/>
      </c>
      <c r="B8291" s="87"/>
      <c r="C8291" s="87"/>
      <c r="D8291" s="87"/>
      <c r="E8291" s="87"/>
      <c r="F8291" s="87"/>
      <c r="G8291" s="87"/>
    </row>
    <row r="8292">
      <c r="A8292" s="86" t="str">
        <f>IFERROR(__xludf.DUMMYFUNCTION("""COMPUTED_VALUE"""),"")</f>
        <v/>
      </c>
      <c r="B8292" s="87"/>
      <c r="C8292" s="87"/>
      <c r="D8292" s="87"/>
      <c r="E8292" s="87"/>
      <c r="F8292" s="87"/>
      <c r="G8292" s="87"/>
    </row>
    <row r="8293">
      <c r="A8293" s="86" t="str">
        <f>IFERROR(__xludf.DUMMYFUNCTION("""COMPUTED_VALUE"""),"")</f>
        <v/>
      </c>
      <c r="B8293" s="87"/>
      <c r="C8293" s="87"/>
      <c r="D8293" s="87"/>
      <c r="E8293" s="87"/>
      <c r="F8293" s="87"/>
      <c r="G8293" s="87"/>
    </row>
    <row r="8294">
      <c r="A8294" s="86" t="str">
        <f>IFERROR(__xludf.DUMMYFUNCTION("""COMPUTED_VALUE"""),"")</f>
        <v/>
      </c>
      <c r="B8294" s="87"/>
      <c r="C8294" s="87"/>
      <c r="D8294" s="87"/>
      <c r="E8294" s="87"/>
      <c r="F8294" s="87"/>
      <c r="G8294" s="87"/>
    </row>
    <row r="8295">
      <c r="A8295" s="86" t="str">
        <f>IFERROR(__xludf.DUMMYFUNCTION("""COMPUTED_VALUE"""),"")</f>
        <v/>
      </c>
      <c r="B8295" s="87"/>
      <c r="C8295" s="87"/>
      <c r="D8295" s="87"/>
      <c r="E8295" s="87"/>
      <c r="F8295" s="87"/>
      <c r="G8295" s="87"/>
    </row>
    <row r="8296">
      <c r="A8296" s="86" t="str">
        <f>IFERROR(__xludf.DUMMYFUNCTION("""COMPUTED_VALUE"""),"")</f>
        <v/>
      </c>
      <c r="B8296" s="87"/>
      <c r="C8296" s="87"/>
      <c r="D8296" s="87"/>
      <c r="E8296" s="87"/>
      <c r="F8296" s="87"/>
      <c r="G8296" s="87"/>
    </row>
    <row r="8297">
      <c r="A8297" s="86" t="str">
        <f>IFERROR(__xludf.DUMMYFUNCTION("""COMPUTED_VALUE"""),"")</f>
        <v/>
      </c>
      <c r="B8297" s="87"/>
      <c r="C8297" s="87"/>
      <c r="D8297" s="87"/>
      <c r="E8297" s="87"/>
      <c r="F8297" s="87"/>
      <c r="G8297" s="87"/>
    </row>
    <row r="8298">
      <c r="A8298" s="86" t="str">
        <f>IFERROR(__xludf.DUMMYFUNCTION("""COMPUTED_VALUE"""),"")</f>
        <v/>
      </c>
      <c r="B8298" s="87"/>
      <c r="C8298" s="87"/>
      <c r="D8298" s="87"/>
      <c r="E8298" s="87"/>
      <c r="F8298" s="87"/>
      <c r="G8298" s="87"/>
    </row>
    <row r="8299">
      <c r="A8299" s="86" t="str">
        <f>IFERROR(__xludf.DUMMYFUNCTION("""COMPUTED_VALUE"""),"")</f>
        <v/>
      </c>
      <c r="B8299" s="87"/>
      <c r="C8299" s="87"/>
      <c r="D8299" s="87"/>
      <c r="E8299" s="87"/>
      <c r="F8299" s="87"/>
      <c r="G8299" s="87"/>
    </row>
    <row r="8300">
      <c r="A8300" s="86" t="str">
        <f>IFERROR(__xludf.DUMMYFUNCTION("""COMPUTED_VALUE"""),"")</f>
        <v/>
      </c>
      <c r="B8300" s="87"/>
      <c r="C8300" s="87"/>
      <c r="D8300" s="87"/>
      <c r="E8300" s="87"/>
      <c r="F8300" s="87"/>
      <c r="G8300" s="87"/>
    </row>
    <row r="8301">
      <c r="A8301" s="86" t="str">
        <f>IFERROR(__xludf.DUMMYFUNCTION("""COMPUTED_VALUE"""),"")</f>
        <v/>
      </c>
      <c r="B8301" s="87"/>
      <c r="C8301" s="87"/>
      <c r="D8301" s="87"/>
      <c r="E8301" s="87"/>
      <c r="F8301" s="87"/>
      <c r="G8301" s="87"/>
    </row>
    <row r="8302">
      <c r="A8302" s="86" t="str">
        <f>IFERROR(__xludf.DUMMYFUNCTION("""COMPUTED_VALUE"""),"")</f>
        <v/>
      </c>
      <c r="B8302" s="87"/>
      <c r="C8302" s="87"/>
      <c r="D8302" s="87"/>
      <c r="E8302" s="87"/>
      <c r="F8302" s="87"/>
      <c r="G8302" s="87"/>
    </row>
    <row r="8303">
      <c r="A8303" s="86" t="str">
        <f>IFERROR(__xludf.DUMMYFUNCTION("""COMPUTED_VALUE"""),"")</f>
        <v/>
      </c>
      <c r="B8303" s="87"/>
      <c r="C8303" s="87"/>
      <c r="D8303" s="87"/>
      <c r="E8303" s="87"/>
      <c r="F8303" s="87"/>
      <c r="G8303" s="87"/>
    </row>
    <row r="8304">
      <c r="A8304" s="86" t="str">
        <f>IFERROR(__xludf.DUMMYFUNCTION("""COMPUTED_VALUE"""),"")</f>
        <v/>
      </c>
      <c r="B8304" s="87"/>
      <c r="C8304" s="87"/>
      <c r="D8304" s="87"/>
      <c r="E8304" s="87"/>
      <c r="F8304" s="87"/>
      <c r="G8304" s="87"/>
    </row>
    <row r="8305">
      <c r="A8305" s="86" t="str">
        <f>IFERROR(__xludf.DUMMYFUNCTION("""COMPUTED_VALUE"""),"")</f>
        <v/>
      </c>
      <c r="B8305" s="87"/>
      <c r="C8305" s="87"/>
      <c r="D8305" s="87"/>
      <c r="E8305" s="87"/>
      <c r="F8305" s="87"/>
      <c r="G8305" s="87"/>
    </row>
    <row r="8306">
      <c r="A8306" s="86" t="str">
        <f>IFERROR(__xludf.DUMMYFUNCTION("""COMPUTED_VALUE"""),"")</f>
        <v/>
      </c>
      <c r="B8306" s="87"/>
      <c r="C8306" s="87"/>
      <c r="D8306" s="87"/>
      <c r="E8306" s="87"/>
      <c r="F8306" s="87"/>
      <c r="G8306" s="87"/>
    </row>
    <row r="8307">
      <c r="A8307" s="86" t="str">
        <f>IFERROR(__xludf.DUMMYFUNCTION("""COMPUTED_VALUE"""),"")</f>
        <v/>
      </c>
      <c r="B8307" s="87"/>
      <c r="C8307" s="87"/>
      <c r="D8307" s="87"/>
      <c r="E8307" s="87"/>
      <c r="F8307" s="87"/>
      <c r="G8307" s="87"/>
    </row>
    <row r="8308">
      <c r="A8308" s="86" t="str">
        <f>IFERROR(__xludf.DUMMYFUNCTION("""COMPUTED_VALUE"""),"")</f>
        <v/>
      </c>
      <c r="B8308" s="87"/>
      <c r="C8308" s="87"/>
      <c r="D8308" s="87"/>
      <c r="E8308" s="87"/>
      <c r="F8308" s="87"/>
      <c r="G8308" s="87"/>
    </row>
    <row r="8309">
      <c r="A8309" s="86" t="str">
        <f>IFERROR(__xludf.DUMMYFUNCTION("""COMPUTED_VALUE"""),"")</f>
        <v/>
      </c>
      <c r="B8309" s="87"/>
      <c r="C8309" s="87"/>
      <c r="D8309" s="87"/>
      <c r="E8309" s="87"/>
      <c r="F8309" s="87"/>
      <c r="G8309" s="87"/>
    </row>
    <row r="8310">
      <c r="A8310" s="86" t="str">
        <f>IFERROR(__xludf.DUMMYFUNCTION("""COMPUTED_VALUE"""),"")</f>
        <v/>
      </c>
      <c r="B8310" s="87"/>
      <c r="C8310" s="87"/>
      <c r="D8310" s="87"/>
      <c r="E8310" s="87"/>
      <c r="F8310" s="87"/>
      <c r="G8310" s="87"/>
    </row>
    <row r="8311">
      <c r="A8311" s="86" t="str">
        <f>IFERROR(__xludf.DUMMYFUNCTION("""COMPUTED_VALUE"""),"")</f>
        <v/>
      </c>
      <c r="B8311" s="87"/>
      <c r="C8311" s="87"/>
      <c r="D8311" s="87"/>
      <c r="E8311" s="87"/>
      <c r="F8311" s="87"/>
      <c r="G8311" s="87"/>
    </row>
    <row r="8312">
      <c r="A8312" s="86" t="str">
        <f>IFERROR(__xludf.DUMMYFUNCTION("""COMPUTED_VALUE"""),"")</f>
        <v/>
      </c>
      <c r="B8312" s="87"/>
      <c r="C8312" s="87"/>
      <c r="D8312" s="87"/>
      <c r="E8312" s="87"/>
      <c r="F8312" s="87"/>
      <c r="G8312" s="87"/>
    </row>
    <row r="8313">
      <c r="A8313" s="86" t="str">
        <f>IFERROR(__xludf.DUMMYFUNCTION("""COMPUTED_VALUE"""),"")</f>
        <v/>
      </c>
      <c r="B8313" s="87"/>
      <c r="C8313" s="87"/>
      <c r="D8313" s="87"/>
      <c r="E8313" s="87"/>
      <c r="F8313" s="87"/>
      <c r="G8313" s="87"/>
    </row>
    <row r="8314">
      <c r="A8314" s="86" t="str">
        <f>IFERROR(__xludf.DUMMYFUNCTION("""COMPUTED_VALUE"""),"")</f>
        <v/>
      </c>
      <c r="B8314" s="87"/>
      <c r="C8314" s="87"/>
      <c r="D8314" s="87"/>
      <c r="E8314" s="87"/>
      <c r="F8314" s="87"/>
      <c r="G8314" s="87"/>
    </row>
    <row r="8315">
      <c r="A8315" s="86" t="str">
        <f>IFERROR(__xludf.DUMMYFUNCTION("""COMPUTED_VALUE"""),"")</f>
        <v/>
      </c>
      <c r="B8315" s="87"/>
      <c r="C8315" s="87"/>
      <c r="D8315" s="87"/>
      <c r="E8315" s="87"/>
      <c r="F8315" s="87"/>
      <c r="G8315" s="87"/>
    </row>
    <row r="8316">
      <c r="A8316" s="86" t="str">
        <f>IFERROR(__xludf.DUMMYFUNCTION("""COMPUTED_VALUE"""),"")</f>
        <v/>
      </c>
      <c r="B8316" s="87"/>
      <c r="C8316" s="87"/>
      <c r="D8316" s="87"/>
      <c r="E8316" s="87"/>
      <c r="F8316" s="87"/>
      <c r="G8316" s="87"/>
    </row>
    <row r="8317">
      <c r="A8317" s="86" t="str">
        <f>IFERROR(__xludf.DUMMYFUNCTION("""COMPUTED_VALUE"""),"")</f>
        <v/>
      </c>
      <c r="B8317" s="87"/>
      <c r="C8317" s="87"/>
      <c r="D8317" s="87"/>
      <c r="E8317" s="87"/>
      <c r="F8317" s="87"/>
      <c r="G8317" s="87"/>
    </row>
    <row r="8318">
      <c r="A8318" s="86" t="str">
        <f>IFERROR(__xludf.DUMMYFUNCTION("""COMPUTED_VALUE"""),"")</f>
        <v/>
      </c>
      <c r="B8318" s="87"/>
      <c r="C8318" s="87"/>
      <c r="D8318" s="87"/>
      <c r="E8318" s="87"/>
      <c r="F8318" s="87"/>
      <c r="G8318" s="87"/>
    </row>
    <row r="8319">
      <c r="A8319" s="86" t="str">
        <f>IFERROR(__xludf.DUMMYFUNCTION("""COMPUTED_VALUE"""),"")</f>
        <v/>
      </c>
      <c r="B8319" s="87"/>
      <c r="C8319" s="87"/>
      <c r="D8319" s="87"/>
      <c r="E8319" s="87"/>
      <c r="F8319" s="87"/>
      <c r="G8319" s="87"/>
    </row>
    <row r="8320">
      <c r="A8320" s="86" t="str">
        <f>IFERROR(__xludf.DUMMYFUNCTION("""COMPUTED_VALUE"""),"")</f>
        <v/>
      </c>
      <c r="B8320" s="87"/>
      <c r="C8320" s="87"/>
      <c r="D8320" s="87"/>
      <c r="E8320" s="87"/>
      <c r="F8320" s="87"/>
      <c r="G8320" s="87"/>
    </row>
    <row r="8321">
      <c r="A8321" s="86" t="str">
        <f>IFERROR(__xludf.DUMMYFUNCTION("""COMPUTED_VALUE"""),"")</f>
        <v/>
      </c>
      <c r="B8321" s="87"/>
      <c r="C8321" s="87"/>
      <c r="D8321" s="87"/>
      <c r="E8321" s="87"/>
      <c r="F8321" s="87"/>
      <c r="G8321" s="87"/>
    </row>
    <row r="8322">
      <c r="A8322" s="86" t="str">
        <f>IFERROR(__xludf.DUMMYFUNCTION("""COMPUTED_VALUE"""),"")</f>
        <v/>
      </c>
      <c r="B8322" s="87"/>
      <c r="C8322" s="87"/>
      <c r="D8322" s="87"/>
      <c r="E8322" s="87"/>
      <c r="F8322" s="87"/>
      <c r="G8322" s="87"/>
    </row>
    <row r="8323">
      <c r="A8323" s="86" t="str">
        <f>IFERROR(__xludf.DUMMYFUNCTION("""COMPUTED_VALUE"""),"")</f>
        <v/>
      </c>
      <c r="B8323" s="87"/>
      <c r="C8323" s="87"/>
      <c r="D8323" s="87"/>
      <c r="E8323" s="87"/>
      <c r="F8323" s="87"/>
      <c r="G8323" s="87"/>
    </row>
    <row r="8324">
      <c r="A8324" s="86" t="str">
        <f>IFERROR(__xludf.DUMMYFUNCTION("""COMPUTED_VALUE"""),"")</f>
        <v/>
      </c>
      <c r="B8324" s="87"/>
      <c r="C8324" s="87"/>
      <c r="D8324" s="87"/>
      <c r="E8324" s="87"/>
      <c r="F8324" s="87"/>
      <c r="G8324" s="87"/>
    </row>
    <row r="8325">
      <c r="A8325" s="86" t="str">
        <f>IFERROR(__xludf.DUMMYFUNCTION("""COMPUTED_VALUE"""),"")</f>
        <v/>
      </c>
      <c r="B8325" s="87"/>
      <c r="C8325" s="87"/>
      <c r="D8325" s="87"/>
      <c r="E8325" s="87"/>
      <c r="F8325" s="87"/>
      <c r="G8325" s="87"/>
    </row>
    <row r="8326">
      <c r="A8326" s="86" t="str">
        <f>IFERROR(__xludf.DUMMYFUNCTION("""COMPUTED_VALUE"""),"")</f>
        <v/>
      </c>
      <c r="B8326" s="87"/>
      <c r="C8326" s="87"/>
      <c r="D8326" s="87"/>
      <c r="E8326" s="87"/>
      <c r="F8326" s="87"/>
      <c r="G8326" s="87"/>
    </row>
    <row r="8327">
      <c r="A8327" s="86" t="str">
        <f>IFERROR(__xludf.DUMMYFUNCTION("""COMPUTED_VALUE"""),"")</f>
        <v/>
      </c>
      <c r="B8327" s="87"/>
      <c r="C8327" s="87"/>
      <c r="D8327" s="87"/>
      <c r="E8327" s="87"/>
      <c r="F8327" s="87"/>
      <c r="G8327" s="87"/>
    </row>
    <row r="8328">
      <c r="A8328" s="86" t="str">
        <f>IFERROR(__xludf.DUMMYFUNCTION("""COMPUTED_VALUE"""),"")</f>
        <v/>
      </c>
      <c r="B8328" s="87"/>
      <c r="C8328" s="87"/>
      <c r="D8328" s="87"/>
      <c r="E8328" s="87"/>
      <c r="F8328" s="87"/>
      <c r="G8328" s="87"/>
    </row>
    <row r="8329">
      <c r="A8329" s="86" t="str">
        <f>IFERROR(__xludf.DUMMYFUNCTION("""COMPUTED_VALUE"""),"")</f>
        <v/>
      </c>
      <c r="B8329" s="87"/>
      <c r="C8329" s="87"/>
      <c r="D8329" s="87"/>
      <c r="E8329" s="87"/>
      <c r="F8329" s="87"/>
      <c r="G8329" s="87"/>
    </row>
    <row r="8330">
      <c r="A8330" s="86" t="str">
        <f>IFERROR(__xludf.DUMMYFUNCTION("""COMPUTED_VALUE"""),"")</f>
        <v/>
      </c>
      <c r="B8330" s="87"/>
      <c r="C8330" s="87"/>
      <c r="D8330" s="87"/>
      <c r="E8330" s="87"/>
      <c r="F8330" s="87"/>
      <c r="G8330" s="87"/>
    </row>
    <row r="8331">
      <c r="A8331" s="86" t="str">
        <f>IFERROR(__xludf.DUMMYFUNCTION("""COMPUTED_VALUE"""),"")</f>
        <v/>
      </c>
      <c r="B8331" s="87"/>
      <c r="C8331" s="87"/>
      <c r="D8331" s="87"/>
      <c r="E8331" s="87"/>
      <c r="F8331" s="87"/>
      <c r="G8331" s="87"/>
    </row>
    <row r="8332">
      <c r="A8332" s="86" t="str">
        <f>IFERROR(__xludf.DUMMYFUNCTION("""COMPUTED_VALUE"""),"")</f>
        <v/>
      </c>
      <c r="B8332" s="87"/>
      <c r="C8332" s="87"/>
      <c r="D8332" s="87"/>
      <c r="E8332" s="87"/>
      <c r="F8332" s="87"/>
      <c r="G8332" s="87"/>
    </row>
    <row r="8333">
      <c r="A8333" s="86" t="str">
        <f>IFERROR(__xludf.DUMMYFUNCTION("""COMPUTED_VALUE"""),"")</f>
        <v/>
      </c>
      <c r="B8333" s="87"/>
      <c r="C8333" s="87"/>
      <c r="D8333" s="87"/>
      <c r="E8333" s="87"/>
      <c r="F8333" s="87"/>
      <c r="G8333" s="87"/>
    </row>
    <row r="8334">
      <c r="A8334" s="86" t="str">
        <f>IFERROR(__xludf.DUMMYFUNCTION("""COMPUTED_VALUE"""),"")</f>
        <v/>
      </c>
      <c r="B8334" s="87"/>
      <c r="C8334" s="87"/>
      <c r="D8334" s="87"/>
      <c r="E8334" s="87"/>
      <c r="F8334" s="87"/>
      <c r="G8334" s="87"/>
    </row>
    <row r="8335">
      <c r="A8335" s="86" t="str">
        <f>IFERROR(__xludf.DUMMYFUNCTION("""COMPUTED_VALUE"""),"")</f>
        <v/>
      </c>
      <c r="B8335" s="87"/>
      <c r="C8335" s="87"/>
      <c r="D8335" s="87"/>
      <c r="E8335" s="87"/>
      <c r="F8335" s="87"/>
      <c r="G8335" s="87"/>
    </row>
    <row r="8336">
      <c r="A8336" s="86" t="str">
        <f>IFERROR(__xludf.DUMMYFUNCTION("""COMPUTED_VALUE"""),"")</f>
        <v/>
      </c>
      <c r="B8336" s="87"/>
      <c r="C8336" s="87"/>
      <c r="D8336" s="87"/>
      <c r="E8336" s="87"/>
      <c r="F8336" s="87"/>
      <c r="G8336" s="87"/>
    </row>
    <row r="8337">
      <c r="A8337" s="86" t="str">
        <f>IFERROR(__xludf.DUMMYFUNCTION("""COMPUTED_VALUE"""),"")</f>
        <v/>
      </c>
      <c r="B8337" s="87"/>
      <c r="C8337" s="87"/>
      <c r="D8337" s="87"/>
      <c r="E8337" s="87"/>
      <c r="F8337" s="87"/>
      <c r="G8337" s="87"/>
    </row>
    <row r="8338">
      <c r="A8338" s="86" t="str">
        <f>IFERROR(__xludf.DUMMYFUNCTION("""COMPUTED_VALUE"""),"")</f>
        <v/>
      </c>
      <c r="B8338" s="87"/>
      <c r="C8338" s="87"/>
      <c r="D8338" s="87"/>
      <c r="E8338" s="87"/>
      <c r="F8338" s="87"/>
      <c r="G8338" s="87"/>
    </row>
    <row r="8339">
      <c r="A8339" s="86" t="str">
        <f>IFERROR(__xludf.DUMMYFUNCTION("""COMPUTED_VALUE"""),"")</f>
        <v/>
      </c>
      <c r="B8339" s="87"/>
      <c r="C8339" s="87"/>
      <c r="D8339" s="87"/>
      <c r="E8339" s="87"/>
      <c r="F8339" s="87"/>
      <c r="G8339" s="87"/>
    </row>
    <row r="8340">
      <c r="A8340" s="86" t="str">
        <f>IFERROR(__xludf.DUMMYFUNCTION("""COMPUTED_VALUE"""),"")</f>
        <v/>
      </c>
      <c r="B8340" s="87"/>
      <c r="C8340" s="87"/>
      <c r="D8340" s="87"/>
      <c r="E8340" s="87"/>
      <c r="F8340" s="87"/>
      <c r="G8340" s="87"/>
    </row>
    <row r="8341">
      <c r="A8341" s="86" t="str">
        <f>IFERROR(__xludf.DUMMYFUNCTION("""COMPUTED_VALUE"""),"")</f>
        <v/>
      </c>
      <c r="B8341" s="87"/>
      <c r="C8341" s="87"/>
      <c r="D8341" s="87"/>
      <c r="E8341" s="87"/>
      <c r="F8341" s="87"/>
      <c r="G8341" s="87"/>
    </row>
    <row r="8342">
      <c r="A8342" s="86" t="str">
        <f>IFERROR(__xludf.DUMMYFUNCTION("""COMPUTED_VALUE"""),"")</f>
        <v/>
      </c>
      <c r="B8342" s="87"/>
      <c r="C8342" s="87"/>
      <c r="D8342" s="87"/>
      <c r="E8342" s="87"/>
      <c r="F8342" s="87"/>
      <c r="G8342" s="87"/>
    </row>
    <row r="8343">
      <c r="A8343" s="86" t="str">
        <f>IFERROR(__xludf.DUMMYFUNCTION("""COMPUTED_VALUE"""),"")</f>
        <v/>
      </c>
      <c r="B8343" s="87"/>
      <c r="C8343" s="87"/>
      <c r="D8343" s="87"/>
      <c r="E8343" s="87"/>
      <c r="F8343" s="87"/>
      <c r="G8343" s="87"/>
    </row>
    <row r="8344">
      <c r="A8344" s="86" t="str">
        <f>IFERROR(__xludf.DUMMYFUNCTION("""COMPUTED_VALUE"""),"")</f>
        <v/>
      </c>
      <c r="B8344" s="87"/>
      <c r="C8344" s="87"/>
      <c r="D8344" s="87"/>
      <c r="E8344" s="87"/>
      <c r="F8344" s="87"/>
      <c r="G8344" s="87"/>
    </row>
    <row r="8345">
      <c r="A8345" s="86" t="str">
        <f>IFERROR(__xludf.DUMMYFUNCTION("""COMPUTED_VALUE"""),"")</f>
        <v/>
      </c>
      <c r="B8345" s="87"/>
      <c r="C8345" s="87"/>
      <c r="D8345" s="87"/>
      <c r="E8345" s="87"/>
      <c r="F8345" s="87"/>
      <c r="G8345" s="87"/>
    </row>
    <row r="8346">
      <c r="A8346" s="86" t="str">
        <f>IFERROR(__xludf.DUMMYFUNCTION("""COMPUTED_VALUE"""),"")</f>
        <v/>
      </c>
      <c r="B8346" s="87"/>
      <c r="C8346" s="87"/>
      <c r="D8346" s="87"/>
      <c r="E8346" s="87"/>
      <c r="F8346" s="87"/>
      <c r="G8346" s="87"/>
    </row>
    <row r="8347">
      <c r="A8347" s="86" t="str">
        <f>IFERROR(__xludf.DUMMYFUNCTION("""COMPUTED_VALUE"""),"")</f>
        <v/>
      </c>
      <c r="B8347" s="87"/>
      <c r="C8347" s="87"/>
      <c r="D8347" s="87"/>
      <c r="E8347" s="87"/>
      <c r="F8347" s="87"/>
      <c r="G8347" s="87"/>
    </row>
    <row r="8348">
      <c r="A8348" s="86" t="str">
        <f>IFERROR(__xludf.DUMMYFUNCTION("""COMPUTED_VALUE"""),"")</f>
        <v/>
      </c>
      <c r="B8348" s="87"/>
      <c r="C8348" s="87"/>
      <c r="D8348" s="87"/>
      <c r="E8348" s="87"/>
      <c r="F8348" s="87"/>
      <c r="G8348" s="87"/>
    </row>
    <row r="8349">
      <c r="A8349" s="86" t="str">
        <f>IFERROR(__xludf.DUMMYFUNCTION("""COMPUTED_VALUE"""),"")</f>
        <v/>
      </c>
      <c r="B8349" s="87"/>
      <c r="C8349" s="87"/>
      <c r="D8349" s="87"/>
      <c r="E8349" s="87"/>
      <c r="F8349" s="87"/>
      <c r="G8349" s="87"/>
    </row>
    <row r="8350">
      <c r="A8350" s="86" t="str">
        <f>IFERROR(__xludf.DUMMYFUNCTION("""COMPUTED_VALUE"""),"")</f>
        <v/>
      </c>
      <c r="B8350" s="87"/>
      <c r="C8350" s="87"/>
      <c r="D8350" s="87"/>
      <c r="E8350" s="87"/>
      <c r="F8350" s="87"/>
      <c r="G8350" s="87"/>
    </row>
    <row r="8351">
      <c r="A8351" s="86" t="str">
        <f>IFERROR(__xludf.DUMMYFUNCTION("""COMPUTED_VALUE"""),"")</f>
        <v/>
      </c>
      <c r="B8351" s="87"/>
      <c r="C8351" s="87"/>
      <c r="D8351" s="87"/>
      <c r="E8351" s="87"/>
      <c r="F8351" s="87"/>
      <c r="G8351" s="87"/>
    </row>
    <row r="8352">
      <c r="A8352" s="86" t="str">
        <f>IFERROR(__xludf.DUMMYFUNCTION("""COMPUTED_VALUE"""),"")</f>
        <v/>
      </c>
      <c r="B8352" s="87"/>
      <c r="C8352" s="87"/>
      <c r="D8352" s="87"/>
      <c r="E8352" s="87"/>
      <c r="F8352" s="87"/>
      <c r="G8352" s="87"/>
    </row>
    <row r="8353">
      <c r="A8353" s="86" t="str">
        <f>IFERROR(__xludf.DUMMYFUNCTION("""COMPUTED_VALUE"""),"")</f>
        <v/>
      </c>
      <c r="B8353" s="87"/>
      <c r="C8353" s="87"/>
      <c r="D8353" s="87"/>
      <c r="E8353" s="87"/>
      <c r="F8353" s="87"/>
      <c r="G8353" s="87"/>
    </row>
    <row r="8354">
      <c r="A8354" s="86" t="str">
        <f>IFERROR(__xludf.DUMMYFUNCTION("""COMPUTED_VALUE"""),"")</f>
        <v/>
      </c>
      <c r="B8354" s="87"/>
      <c r="C8354" s="87"/>
      <c r="D8354" s="87"/>
      <c r="E8354" s="87"/>
      <c r="F8354" s="87"/>
      <c r="G8354" s="87"/>
    </row>
    <row r="8355">
      <c r="A8355" s="86" t="str">
        <f>IFERROR(__xludf.DUMMYFUNCTION("""COMPUTED_VALUE"""),"")</f>
        <v/>
      </c>
      <c r="B8355" s="87"/>
      <c r="C8355" s="87"/>
      <c r="D8355" s="87"/>
      <c r="E8355" s="87"/>
      <c r="F8355" s="87"/>
      <c r="G8355" s="87"/>
    </row>
    <row r="8356">
      <c r="A8356" s="86" t="str">
        <f>IFERROR(__xludf.DUMMYFUNCTION("""COMPUTED_VALUE"""),"")</f>
        <v/>
      </c>
      <c r="B8356" s="87"/>
      <c r="C8356" s="87"/>
      <c r="D8356" s="87"/>
      <c r="E8356" s="87"/>
      <c r="F8356" s="87"/>
      <c r="G8356" s="87"/>
    </row>
    <row r="8357">
      <c r="A8357" s="86" t="str">
        <f>IFERROR(__xludf.DUMMYFUNCTION("""COMPUTED_VALUE"""),"")</f>
        <v/>
      </c>
      <c r="B8357" s="87"/>
      <c r="C8357" s="87"/>
      <c r="D8357" s="87"/>
      <c r="E8357" s="87"/>
      <c r="F8357" s="87"/>
      <c r="G8357" s="87"/>
    </row>
    <row r="8358">
      <c r="A8358" s="86" t="str">
        <f>IFERROR(__xludf.DUMMYFUNCTION("""COMPUTED_VALUE"""),"")</f>
        <v/>
      </c>
      <c r="B8358" s="87"/>
      <c r="C8358" s="87"/>
      <c r="D8358" s="87"/>
      <c r="E8358" s="87"/>
      <c r="F8358" s="87"/>
      <c r="G8358" s="87"/>
    </row>
    <row r="8359">
      <c r="A8359" s="86" t="str">
        <f>IFERROR(__xludf.DUMMYFUNCTION("""COMPUTED_VALUE"""),"")</f>
        <v/>
      </c>
      <c r="B8359" s="87"/>
      <c r="C8359" s="87"/>
      <c r="D8359" s="87"/>
      <c r="E8359" s="87"/>
      <c r="F8359" s="87"/>
      <c r="G8359" s="87"/>
    </row>
    <row r="8360">
      <c r="A8360" s="86" t="str">
        <f>IFERROR(__xludf.DUMMYFUNCTION("""COMPUTED_VALUE"""),"")</f>
        <v/>
      </c>
      <c r="B8360" s="87"/>
      <c r="C8360" s="87"/>
      <c r="D8360" s="87"/>
      <c r="E8360" s="87"/>
      <c r="F8360" s="87"/>
      <c r="G8360" s="87"/>
    </row>
    <row r="8361">
      <c r="A8361" s="86" t="str">
        <f>IFERROR(__xludf.DUMMYFUNCTION("""COMPUTED_VALUE"""),"")</f>
        <v/>
      </c>
      <c r="B8361" s="87"/>
      <c r="C8361" s="87"/>
      <c r="D8361" s="87"/>
      <c r="E8361" s="87"/>
      <c r="F8361" s="87"/>
      <c r="G8361" s="87"/>
    </row>
    <row r="8362">
      <c r="A8362" s="86" t="str">
        <f>IFERROR(__xludf.DUMMYFUNCTION("""COMPUTED_VALUE"""),"")</f>
        <v/>
      </c>
      <c r="B8362" s="87"/>
      <c r="C8362" s="87"/>
      <c r="D8362" s="87"/>
      <c r="E8362" s="87"/>
      <c r="F8362" s="87"/>
      <c r="G8362" s="87"/>
    </row>
    <row r="8363">
      <c r="A8363" s="86" t="str">
        <f>IFERROR(__xludf.DUMMYFUNCTION("""COMPUTED_VALUE"""),"")</f>
        <v/>
      </c>
      <c r="B8363" s="87"/>
      <c r="C8363" s="87"/>
      <c r="D8363" s="87"/>
      <c r="E8363" s="87"/>
      <c r="F8363" s="87"/>
      <c r="G8363" s="87"/>
    </row>
    <row r="8364">
      <c r="A8364" s="86" t="str">
        <f>IFERROR(__xludf.DUMMYFUNCTION("""COMPUTED_VALUE"""),"")</f>
        <v/>
      </c>
      <c r="B8364" s="87"/>
      <c r="C8364" s="87"/>
      <c r="D8364" s="87"/>
      <c r="E8364" s="87"/>
      <c r="F8364" s="87"/>
      <c r="G8364" s="87"/>
    </row>
    <row r="8365">
      <c r="A8365" s="86" t="str">
        <f>IFERROR(__xludf.DUMMYFUNCTION("""COMPUTED_VALUE"""),"")</f>
        <v/>
      </c>
      <c r="B8365" s="87"/>
      <c r="C8365" s="87"/>
      <c r="D8365" s="87"/>
      <c r="E8365" s="87"/>
      <c r="F8365" s="87"/>
      <c r="G8365" s="87"/>
    </row>
    <row r="8366">
      <c r="A8366" s="86" t="str">
        <f>IFERROR(__xludf.DUMMYFUNCTION("""COMPUTED_VALUE"""),"")</f>
        <v/>
      </c>
      <c r="B8366" s="87"/>
      <c r="C8366" s="87"/>
      <c r="D8366" s="87"/>
      <c r="E8366" s="87"/>
      <c r="F8366" s="87"/>
      <c r="G8366" s="87"/>
    </row>
    <row r="8367">
      <c r="A8367" s="86" t="str">
        <f>IFERROR(__xludf.DUMMYFUNCTION("""COMPUTED_VALUE"""),"")</f>
        <v/>
      </c>
      <c r="B8367" s="87"/>
      <c r="C8367" s="87"/>
      <c r="D8367" s="87"/>
      <c r="E8367" s="87"/>
      <c r="F8367" s="87"/>
      <c r="G8367" s="87"/>
    </row>
    <row r="8368">
      <c r="A8368" s="86" t="str">
        <f>IFERROR(__xludf.DUMMYFUNCTION("""COMPUTED_VALUE"""),"")</f>
        <v/>
      </c>
      <c r="B8368" s="87"/>
      <c r="C8368" s="87"/>
      <c r="D8368" s="87"/>
      <c r="E8368" s="87"/>
      <c r="F8368" s="87"/>
      <c r="G8368" s="87"/>
    </row>
    <row r="8369">
      <c r="A8369" s="86" t="str">
        <f>IFERROR(__xludf.DUMMYFUNCTION("""COMPUTED_VALUE"""),"")</f>
        <v/>
      </c>
      <c r="B8369" s="87"/>
      <c r="C8369" s="87"/>
      <c r="D8369" s="87"/>
      <c r="E8369" s="87"/>
      <c r="F8369" s="87"/>
      <c r="G8369" s="87"/>
    </row>
    <row r="8370">
      <c r="A8370" s="86" t="str">
        <f>IFERROR(__xludf.DUMMYFUNCTION("""COMPUTED_VALUE"""),"")</f>
        <v/>
      </c>
      <c r="B8370" s="87"/>
      <c r="C8370" s="87"/>
      <c r="D8370" s="87"/>
      <c r="E8370" s="87"/>
      <c r="F8370" s="87"/>
      <c r="G8370" s="87"/>
    </row>
    <row r="8371">
      <c r="A8371" s="86" t="str">
        <f>IFERROR(__xludf.DUMMYFUNCTION("""COMPUTED_VALUE"""),"")</f>
        <v/>
      </c>
      <c r="B8371" s="87"/>
      <c r="C8371" s="87"/>
      <c r="D8371" s="87"/>
      <c r="E8371" s="87"/>
      <c r="F8371" s="87"/>
      <c r="G8371" s="87"/>
    </row>
    <row r="8372">
      <c r="A8372" s="86" t="str">
        <f>IFERROR(__xludf.DUMMYFUNCTION("""COMPUTED_VALUE"""),"")</f>
        <v/>
      </c>
      <c r="B8372" s="87"/>
      <c r="C8372" s="87"/>
      <c r="D8372" s="87"/>
      <c r="E8372" s="87"/>
      <c r="F8372" s="87"/>
      <c r="G8372" s="87"/>
    </row>
    <row r="8373">
      <c r="A8373" s="86" t="str">
        <f>IFERROR(__xludf.DUMMYFUNCTION("""COMPUTED_VALUE"""),"")</f>
        <v/>
      </c>
      <c r="B8373" s="87"/>
      <c r="C8373" s="87"/>
      <c r="D8373" s="87"/>
      <c r="E8373" s="87"/>
      <c r="F8373" s="87"/>
      <c r="G8373" s="87"/>
    </row>
    <row r="8374">
      <c r="A8374" s="86" t="str">
        <f>IFERROR(__xludf.DUMMYFUNCTION("""COMPUTED_VALUE"""),"")</f>
        <v/>
      </c>
      <c r="B8374" s="87"/>
      <c r="C8374" s="87"/>
      <c r="D8374" s="87"/>
      <c r="E8374" s="87"/>
      <c r="F8374" s="87"/>
      <c r="G8374" s="87"/>
    </row>
    <row r="8375">
      <c r="A8375" s="86" t="str">
        <f>IFERROR(__xludf.DUMMYFUNCTION("""COMPUTED_VALUE"""),"")</f>
        <v/>
      </c>
      <c r="B8375" s="87"/>
      <c r="C8375" s="87"/>
      <c r="D8375" s="87"/>
      <c r="E8375" s="87"/>
      <c r="F8375" s="87"/>
      <c r="G8375" s="87"/>
    </row>
    <row r="8376">
      <c r="A8376" s="86" t="str">
        <f>IFERROR(__xludf.DUMMYFUNCTION("""COMPUTED_VALUE"""),"")</f>
        <v/>
      </c>
      <c r="B8376" s="87"/>
      <c r="C8376" s="87"/>
      <c r="D8376" s="87"/>
      <c r="E8376" s="87"/>
      <c r="F8376" s="87"/>
      <c r="G8376" s="87"/>
    </row>
    <row r="8377">
      <c r="A8377" s="86" t="str">
        <f>IFERROR(__xludf.DUMMYFUNCTION("""COMPUTED_VALUE"""),"")</f>
        <v/>
      </c>
      <c r="B8377" s="87"/>
      <c r="C8377" s="87"/>
      <c r="D8377" s="87"/>
      <c r="E8377" s="87"/>
      <c r="F8377" s="87"/>
      <c r="G8377" s="87"/>
    </row>
    <row r="8378">
      <c r="A8378" s="86" t="str">
        <f>IFERROR(__xludf.DUMMYFUNCTION("""COMPUTED_VALUE"""),"")</f>
        <v/>
      </c>
      <c r="B8378" s="87"/>
      <c r="C8378" s="87"/>
      <c r="D8378" s="87"/>
      <c r="E8378" s="87"/>
      <c r="F8378" s="87"/>
      <c r="G8378" s="87"/>
    </row>
    <row r="8379">
      <c r="A8379" s="86" t="str">
        <f>IFERROR(__xludf.DUMMYFUNCTION("""COMPUTED_VALUE"""),"")</f>
        <v/>
      </c>
      <c r="B8379" s="87"/>
      <c r="C8379" s="87"/>
      <c r="D8379" s="87"/>
      <c r="E8379" s="87"/>
      <c r="F8379" s="87"/>
      <c r="G8379" s="87"/>
    </row>
    <row r="8380">
      <c r="A8380" s="86" t="str">
        <f>IFERROR(__xludf.DUMMYFUNCTION("""COMPUTED_VALUE"""),"")</f>
        <v/>
      </c>
      <c r="B8380" s="87"/>
      <c r="C8380" s="87"/>
      <c r="D8380" s="87"/>
      <c r="E8380" s="87"/>
      <c r="F8380" s="87"/>
      <c r="G8380" s="87"/>
    </row>
    <row r="8381">
      <c r="A8381" s="86" t="str">
        <f>IFERROR(__xludf.DUMMYFUNCTION("""COMPUTED_VALUE"""),"")</f>
        <v/>
      </c>
      <c r="B8381" s="87"/>
      <c r="C8381" s="87"/>
      <c r="D8381" s="87"/>
      <c r="E8381" s="87"/>
      <c r="F8381" s="87"/>
      <c r="G8381" s="87"/>
    </row>
    <row r="8382">
      <c r="A8382" s="86" t="str">
        <f>IFERROR(__xludf.DUMMYFUNCTION("""COMPUTED_VALUE"""),"")</f>
        <v/>
      </c>
      <c r="B8382" s="87"/>
      <c r="C8382" s="87"/>
      <c r="D8382" s="87"/>
      <c r="E8382" s="87"/>
      <c r="F8382" s="87"/>
      <c r="G8382" s="87"/>
    </row>
    <row r="8383">
      <c r="A8383" s="86" t="str">
        <f>IFERROR(__xludf.DUMMYFUNCTION("""COMPUTED_VALUE"""),"")</f>
        <v/>
      </c>
      <c r="B8383" s="87"/>
      <c r="C8383" s="87"/>
      <c r="D8383" s="87"/>
      <c r="E8383" s="87"/>
      <c r="F8383" s="87"/>
      <c r="G8383" s="87"/>
    </row>
    <row r="8384">
      <c r="A8384" s="86" t="str">
        <f>IFERROR(__xludf.DUMMYFUNCTION("""COMPUTED_VALUE"""),"")</f>
        <v/>
      </c>
      <c r="B8384" s="87"/>
      <c r="C8384" s="87"/>
      <c r="D8384" s="87"/>
      <c r="E8384" s="87"/>
      <c r="F8384" s="87"/>
      <c r="G8384" s="87"/>
    </row>
    <row r="8385">
      <c r="A8385" s="86" t="str">
        <f>IFERROR(__xludf.DUMMYFUNCTION("""COMPUTED_VALUE"""),"")</f>
        <v/>
      </c>
      <c r="B8385" s="87"/>
      <c r="C8385" s="87"/>
      <c r="D8385" s="87"/>
      <c r="E8385" s="87"/>
      <c r="F8385" s="87"/>
      <c r="G8385" s="87"/>
    </row>
    <row r="8386">
      <c r="A8386" s="86" t="str">
        <f>IFERROR(__xludf.DUMMYFUNCTION("""COMPUTED_VALUE"""),"")</f>
        <v/>
      </c>
      <c r="B8386" s="87"/>
      <c r="C8386" s="87"/>
      <c r="D8386" s="87"/>
      <c r="E8386" s="87"/>
      <c r="F8386" s="87"/>
      <c r="G8386" s="87"/>
    </row>
    <row r="8387">
      <c r="A8387" s="86" t="str">
        <f>IFERROR(__xludf.DUMMYFUNCTION("""COMPUTED_VALUE"""),"")</f>
        <v/>
      </c>
      <c r="B8387" s="87"/>
      <c r="C8387" s="87"/>
      <c r="D8387" s="87"/>
      <c r="E8387" s="87"/>
      <c r="F8387" s="87"/>
      <c r="G8387" s="87"/>
    </row>
    <row r="8388">
      <c r="A8388" s="86" t="str">
        <f>IFERROR(__xludf.DUMMYFUNCTION("""COMPUTED_VALUE"""),"")</f>
        <v/>
      </c>
      <c r="B8388" s="87"/>
      <c r="C8388" s="87"/>
      <c r="D8388" s="87"/>
      <c r="E8388" s="87"/>
      <c r="F8388" s="87"/>
      <c r="G8388" s="87"/>
    </row>
    <row r="8389">
      <c r="A8389" s="86" t="str">
        <f>IFERROR(__xludf.DUMMYFUNCTION("""COMPUTED_VALUE"""),"")</f>
        <v/>
      </c>
      <c r="B8389" s="87"/>
      <c r="C8389" s="87"/>
      <c r="D8389" s="87"/>
      <c r="E8389" s="87"/>
      <c r="F8389" s="87"/>
      <c r="G8389" s="87"/>
    </row>
    <row r="8390">
      <c r="A8390" s="86" t="str">
        <f>IFERROR(__xludf.DUMMYFUNCTION("""COMPUTED_VALUE"""),"")</f>
        <v/>
      </c>
      <c r="B8390" s="87"/>
      <c r="C8390" s="87"/>
      <c r="D8390" s="87"/>
      <c r="E8390" s="87"/>
      <c r="F8390" s="87"/>
      <c r="G8390" s="87"/>
    </row>
    <row r="8391">
      <c r="A8391" s="86" t="str">
        <f>IFERROR(__xludf.DUMMYFUNCTION("""COMPUTED_VALUE"""),"")</f>
        <v/>
      </c>
      <c r="B8391" s="87"/>
      <c r="C8391" s="87"/>
      <c r="D8391" s="87"/>
      <c r="E8391" s="87"/>
      <c r="F8391" s="87"/>
      <c r="G8391" s="87"/>
    </row>
    <row r="8392">
      <c r="A8392" s="86" t="str">
        <f>IFERROR(__xludf.DUMMYFUNCTION("""COMPUTED_VALUE"""),"")</f>
        <v/>
      </c>
      <c r="B8392" s="87"/>
      <c r="C8392" s="87"/>
      <c r="D8392" s="87"/>
      <c r="E8392" s="87"/>
      <c r="F8392" s="87"/>
      <c r="G8392" s="87"/>
    </row>
    <row r="8393">
      <c r="A8393" s="86" t="str">
        <f>IFERROR(__xludf.DUMMYFUNCTION("""COMPUTED_VALUE"""),"")</f>
        <v/>
      </c>
      <c r="B8393" s="87"/>
      <c r="C8393" s="87"/>
      <c r="D8393" s="87"/>
      <c r="E8393" s="87"/>
      <c r="F8393" s="87"/>
      <c r="G8393" s="87"/>
    </row>
    <row r="8394">
      <c r="A8394" s="86" t="str">
        <f>IFERROR(__xludf.DUMMYFUNCTION("""COMPUTED_VALUE"""),"")</f>
        <v/>
      </c>
      <c r="B8394" s="87"/>
      <c r="C8394" s="87"/>
      <c r="D8394" s="87"/>
      <c r="E8394" s="87"/>
      <c r="F8394" s="87"/>
      <c r="G8394" s="87"/>
    </row>
    <row r="8395">
      <c r="A8395" s="86" t="str">
        <f>IFERROR(__xludf.DUMMYFUNCTION("""COMPUTED_VALUE"""),"")</f>
        <v/>
      </c>
      <c r="B8395" s="87"/>
      <c r="C8395" s="87"/>
      <c r="D8395" s="87"/>
      <c r="E8395" s="87"/>
      <c r="F8395" s="87"/>
      <c r="G8395" s="87"/>
    </row>
    <row r="8396">
      <c r="A8396" s="86" t="str">
        <f>IFERROR(__xludf.DUMMYFUNCTION("""COMPUTED_VALUE"""),"")</f>
        <v/>
      </c>
      <c r="B8396" s="87"/>
      <c r="C8396" s="87"/>
      <c r="D8396" s="87"/>
      <c r="E8396" s="87"/>
      <c r="F8396" s="87"/>
      <c r="G8396" s="87"/>
    </row>
    <row r="8397">
      <c r="A8397" s="86" t="str">
        <f>IFERROR(__xludf.DUMMYFUNCTION("""COMPUTED_VALUE"""),"")</f>
        <v/>
      </c>
      <c r="B8397" s="87"/>
      <c r="C8397" s="87"/>
      <c r="D8397" s="87"/>
      <c r="E8397" s="87"/>
      <c r="F8397" s="87"/>
      <c r="G8397" s="87"/>
    </row>
    <row r="8398">
      <c r="A8398" s="86" t="str">
        <f>IFERROR(__xludf.DUMMYFUNCTION("""COMPUTED_VALUE"""),"")</f>
        <v/>
      </c>
      <c r="B8398" s="87"/>
      <c r="C8398" s="87"/>
      <c r="D8398" s="87"/>
      <c r="E8398" s="87"/>
      <c r="F8398" s="87"/>
      <c r="G8398" s="87"/>
    </row>
    <row r="8399">
      <c r="A8399" s="86" t="str">
        <f>IFERROR(__xludf.DUMMYFUNCTION("""COMPUTED_VALUE"""),"")</f>
        <v/>
      </c>
      <c r="B8399" s="87"/>
      <c r="C8399" s="87"/>
      <c r="D8399" s="87"/>
      <c r="E8399" s="87"/>
      <c r="F8399" s="87"/>
      <c r="G8399" s="87"/>
    </row>
    <row r="8400">
      <c r="A8400" s="86" t="str">
        <f>IFERROR(__xludf.DUMMYFUNCTION("""COMPUTED_VALUE"""),"")</f>
        <v/>
      </c>
      <c r="B8400" s="87"/>
      <c r="C8400" s="87"/>
      <c r="D8400" s="87"/>
      <c r="E8400" s="87"/>
      <c r="F8400" s="87"/>
      <c r="G8400" s="87"/>
    </row>
    <row r="8401">
      <c r="A8401" s="86" t="str">
        <f>IFERROR(__xludf.DUMMYFUNCTION("""COMPUTED_VALUE"""),"")</f>
        <v/>
      </c>
      <c r="B8401" s="87"/>
      <c r="C8401" s="87"/>
      <c r="D8401" s="87"/>
      <c r="E8401" s="87"/>
      <c r="F8401" s="87"/>
      <c r="G8401" s="87"/>
    </row>
    <row r="8402">
      <c r="A8402" s="86" t="str">
        <f>IFERROR(__xludf.DUMMYFUNCTION("""COMPUTED_VALUE"""),"")</f>
        <v/>
      </c>
      <c r="B8402" s="87"/>
      <c r="C8402" s="87"/>
      <c r="D8402" s="87"/>
      <c r="E8402" s="87"/>
      <c r="F8402" s="87"/>
      <c r="G8402" s="87"/>
    </row>
    <row r="8403">
      <c r="A8403" s="86" t="str">
        <f>IFERROR(__xludf.DUMMYFUNCTION("""COMPUTED_VALUE"""),"")</f>
        <v/>
      </c>
      <c r="B8403" s="87"/>
      <c r="C8403" s="87"/>
      <c r="D8403" s="87"/>
      <c r="E8403" s="87"/>
      <c r="F8403" s="87"/>
      <c r="G8403" s="87"/>
    </row>
    <row r="8404">
      <c r="A8404" s="86" t="str">
        <f>IFERROR(__xludf.DUMMYFUNCTION("""COMPUTED_VALUE"""),"")</f>
        <v/>
      </c>
      <c r="B8404" s="87"/>
      <c r="C8404" s="87"/>
      <c r="D8404" s="87"/>
      <c r="E8404" s="87"/>
      <c r="F8404" s="87"/>
      <c r="G8404" s="87"/>
    </row>
    <row r="8405">
      <c r="A8405" s="86" t="str">
        <f>IFERROR(__xludf.DUMMYFUNCTION("""COMPUTED_VALUE"""),"")</f>
        <v/>
      </c>
      <c r="B8405" s="87"/>
      <c r="C8405" s="87"/>
      <c r="D8405" s="87"/>
      <c r="E8405" s="87"/>
      <c r="F8405" s="87"/>
      <c r="G8405" s="87"/>
    </row>
    <row r="8406">
      <c r="A8406" s="86" t="str">
        <f>IFERROR(__xludf.DUMMYFUNCTION("""COMPUTED_VALUE"""),"")</f>
        <v/>
      </c>
      <c r="B8406" s="87"/>
      <c r="C8406" s="87"/>
      <c r="D8406" s="87"/>
      <c r="E8406" s="87"/>
      <c r="F8406" s="87"/>
      <c r="G8406" s="87"/>
    </row>
    <row r="8407">
      <c r="A8407" s="86" t="str">
        <f>IFERROR(__xludf.DUMMYFUNCTION("""COMPUTED_VALUE"""),"")</f>
        <v/>
      </c>
      <c r="B8407" s="87"/>
      <c r="C8407" s="87"/>
      <c r="D8407" s="87"/>
      <c r="E8407" s="87"/>
      <c r="F8407" s="87"/>
      <c r="G8407" s="87"/>
    </row>
    <row r="8408">
      <c r="A8408" s="86" t="str">
        <f>IFERROR(__xludf.DUMMYFUNCTION("""COMPUTED_VALUE"""),"")</f>
        <v/>
      </c>
      <c r="B8408" s="87"/>
      <c r="C8408" s="87"/>
      <c r="D8408" s="87"/>
      <c r="E8408" s="87"/>
      <c r="F8408" s="87"/>
      <c r="G8408" s="87"/>
    </row>
    <row r="8409">
      <c r="A8409" s="86" t="str">
        <f>IFERROR(__xludf.DUMMYFUNCTION("""COMPUTED_VALUE"""),"")</f>
        <v/>
      </c>
      <c r="B8409" s="87"/>
      <c r="C8409" s="87"/>
      <c r="D8409" s="87"/>
      <c r="E8409" s="87"/>
      <c r="F8409" s="87"/>
      <c r="G8409" s="87"/>
    </row>
    <row r="8410">
      <c r="A8410" s="86" t="str">
        <f>IFERROR(__xludf.DUMMYFUNCTION("""COMPUTED_VALUE"""),"")</f>
        <v/>
      </c>
      <c r="B8410" s="87"/>
      <c r="C8410" s="87"/>
      <c r="D8410" s="87"/>
      <c r="E8410" s="87"/>
      <c r="F8410" s="87"/>
      <c r="G8410" s="87"/>
    </row>
    <row r="8411">
      <c r="A8411" s="86" t="str">
        <f>IFERROR(__xludf.DUMMYFUNCTION("""COMPUTED_VALUE"""),"")</f>
        <v/>
      </c>
      <c r="B8411" s="87"/>
      <c r="C8411" s="87"/>
      <c r="D8411" s="87"/>
      <c r="E8411" s="87"/>
      <c r="F8411" s="87"/>
      <c r="G8411" s="87"/>
    </row>
    <row r="8412">
      <c r="A8412" s="86" t="str">
        <f>IFERROR(__xludf.DUMMYFUNCTION("""COMPUTED_VALUE"""),"")</f>
        <v/>
      </c>
      <c r="B8412" s="87"/>
      <c r="C8412" s="87"/>
      <c r="D8412" s="87"/>
      <c r="E8412" s="87"/>
      <c r="F8412" s="87"/>
      <c r="G8412" s="87"/>
    </row>
    <row r="8413">
      <c r="A8413" s="86" t="str">
        <f>IFERROR(__xludf.DUMMYFUNCTION("""COMPUTED_VALUE"""),"")</f>
        <v/>
      </c>
      <c r="B8413" s="87"/>
      <c r="C8413" s="87"/>
      <c r="D8413" s="87"/>
      <c r="E8413" s="87"/>
      <c r="F8413" s="87"/>
      <c r="G8413" s="87"/>
    </row>
    <row r="8414">
      <c r="A8414" s="86" t="str">
        <f>IFERROR(__xludf.DUMMYFUNCTION("""COMPUTED_VALUE"""),"")</f>
        <v/>
      </c>
      <c r="B8414" s="87"/>
      <c r="C8414" s="87"/>
      <c r="D8414" s="87"/>
      <c r="E8414" s="87"/>
      <c r="F8414" s="87"/>
      <c r="G8414" s="87"/>
    </row>
    <row r="8415">
      <c r="A8415" s="86" t="str">
        <f>IFERROR(__xludf.DUMMYFUNCTION("""COMPUTED_VALUE"""),"")</f>
        <v/>
      </c>
      <c r="B8415" s="87"/>
      <c r="C8415" s="87"/>
      <c r="D8415" s="87"/>
      <c r="E8415" s="87"/>
      <c r="F8415" s="87"/>
      <c r="G8415" s="87"/>
    </row>
    <row r="8416">
      <c r="A8416" s="86" t="str">
        <f>IFERROR(__xludf.DUMMYFUNCTION("""COMPUTED_VALUE"""),"")</f>
        <v/>
      </c>
      <c r="B8416" s="87"/>
      <c r="C8416" s="87"/>
      <c r="D8416" s="87"/>
      <c r="E8416" s="87"/>
      <c r="F8416" s="87"/>
      <c r="G8416" s="87"/>
    </row>
    <row r="8417">
      <c r="A8417" s="86" t="str">
        <f>IFERROR(__xludf.DUMMYFUNCTION("""COMPUTED_VALUE"""),"")</f>
        <v/>
      </c>
      <c r="B8417" s="87"/>
      <c r="C8417" s="87"/>
      <c r="D8417" s="87"/>
      <c r="E8417" s="87"/>
      <c r="F8417" s="87"/>
      <c r="G8417" s="87"/>
    </row>
    <row r="8418">
      <c r="A8418" s="86" t="str">
        <f>IFERROR(__xludf.DUMMYFUNCTION("""COMPUTED_VALUE"""),"")</f>
        <v/>
      </c>
      <c r="B8418" s="87"/>
      <c r="C8418" s="87"/>
      <c r="D8418" s="87"/>
      <c r="E8418" s="87"/>
      <c r="F8418" s="87"/>
      <c r="G8418" s="87"/>
    </row>
    <row r="8419">
      <c r="A8419" s="86" t="str">
        <f>IFERROR(__xludf.DUMMYFUNCTION("""COMPUTED_VALUE"""),"")</f>
        <v/>
      </c>
      <c r="B8419" s="87"/>
      <c r="C8419" s="87"/>
      <c r="D8419" s="87"/>
      <c r="E8419" s="87"/>
      <c r="F8419" s="87"/>
      <c r="G8419" s="87"/>
    </row>
    <row r="8420">
      <c r="A8420" s="86" t="str">
        <f>IFERROR(__xludf.DUMMYFUNCTION("""COMPUTED_VALUE"""),"")</f>
        <v/>
      </c>
      <c r="B8420" s="87"/>
      <c r="C8420" s="87"/>
      <c r="D8420" s="87"/>
      <c r="E8420" s="87"/>
      <c r="F8420" s="87"/>
      <c r="G8420" s="87"/>
    </row>
    <row r="8421">
      <c r="A8421" s="86" t="str">
        <f>IFERROR(__xludf.DUMMYFUNCTION("""COMPUTED_VALUE"""),"")</f>
        <v/>
      </c>
      <c r="B8421" s="87"/>
      <c r="C8421" s="87"/>
      <c r="D8421" s="87"/>
      <c r="E8421" s="87"/>
      <c r="F8421" s="87"/>
      <c r="G8421" s="87"/>
    </row>
    <row r="8422">
      <c r="A8422" s="86" t="str">
        <f>IFERROR(__xludf.DUMMYFUNCTION("""COMPUTED_VALUE"""),"")</f>
        <v/>
      </c>
      <c r="B8422" s="87"/>
      <c r="C8422" s="87"/>
      <c r="D8422" s="87"/>
      <c r="E8422" s="87"/>
      <c r="F8422" s="87"/>
      <c r="G8422" s="87"/>
    </row>
    <row r="8423">
      <c r="A8423" s="86" t="str">
        <f>IFERROR(__xludf.DUMMYFUNCTION("""COMPUTED_VALUE"""),"")</f>
        <v/>
      </c>
      <c r="B8423" s="87"/>
      <c r="C8423" s="87"/>
      <c r="D8423" s="87"/>
      <c r="E8423" s="87"/>
      <c r="F8423" s="87"/>
      <c r="G8423" s="87"/>
    </row>
    <row r="8424">
      <c r="A8424" s="86" t="str">
        <f>IFERROR(__xludf.DUMMYFUNCTION("""COMPUTED_VALUE"""),"")</f>
        <v/>
      </c>
      <c r="B8424" s="87"/>
      <c r="C8424" s="87"/>
      <c r="D8424" s="87"/>
      <c r="E8424" s="87"/>
      <c r="F8424" s="87"/>
      <c r="G8424" s="87"/>
    </row>
    <row r="8425">
      <c r="A8425" s="86" t="str">
        <f>IFERROR(__xludf.DUMMYFUNCTION("""COMPUTED_VALUE"""),"")</f>
        <v/>
      </c>
      <c r="B8425" s="87"/>
      <c r="C8425" s="87"/>
      <c r="D8425" s="87"/>
      <c r="E8425" s="87"/>
      <c r="F8425" s="87"/>
      <c r="G8425" s="87"/>
    </row>
    <row r="8426">
      <c r="A8426" s="86" t="str">
        <f>IFERROR(__xludf.DUMMYFUNCTION("""COMPUTED_VALUE"""),"")</f>
        <v/>
      </c>
      <c r="B8426" s="87"/>
      <c r="C8426" s="87"/>
      <c r="D8426" s="87"/>
      <c r="E8426" s="87"/>
      <c r="F8426" s="87"/>
      <c r="G8426" s="87"/>
    </row>
    <row r="8427">
      <c r="A8427" s="86" t="str">
        <f>IFERROR(__xludf.DUMMYFUNCTION("""COMPUTED_VALUE"""),"")</f>
        <v/>
      </c>
      <c r="B8427" s="87"/>
      <c r="C8427" s="87"/>
      <c r="D8427" s="87"/>
      <c r="E8427" s="87"/>
      <c r="F8427" s="87"/>
      <c r="G8427" s="87"/>
    </row>
    <row r="8428">
      <c r="A8428" s="86" t="str">
        <f>IFERROR(__xludf.DUMMYFUNCTION("""COMPUTED_VALUE"""),"")</f>
        <v/>
      </c>
      <c r="B8428" s="87"/>
      <c r="C8428" s="87"/>
      <c r="D8428" s="87"/>
      <c r="E8428" s="87"/>
      <c r="F8428" s="87"/>
      <c r="G8428" s="87"/>
    </row>
    <row r="8429">
      <c r="A8429" s="86" t="str">
        <f>IFERROR(__xludf.DUMMYFUNCTION("""COMPUTED_VALUE"""),"")</f>
        <v/>
      </c>
      <c r="B8429" s="87"/>
      <c r="C8429" s="87"/>
      <c r="D8429" s="87"/>
      <c r="E8429" s="87"/>
      <c r="F8429" s="87"/>
      <c r="G8429" s="87"/>
    </row>
    <row r="8430">
      <c r="A8430" s="86" t="str">
        <f>IFERROR(__xludf.DUMMYFUNCTION("""COMPUTED_VALUE"""),"")</f>
        <v/>
      </c>
      <c r="B8430" s="87"/>
      <c r="C8430" s="87"/>
      <c r="D8430" s="87"/>
      <c r="E8430" s="87"/>
      <c r="F8430" s="87"/>
      <c r="G8430" s="87"/>
    </row>
    <row r="8431">
      <c r="A8431" s="86" t="str">
        <f>IFERROR(__xludf.DUMMYFUNCTION("""COMPUTED_VALUE"""),"")</f>
        <v/>
      </c>
      <c r="B8431" s="87"/>
      <c r="C8431" s="87"/>
      <c r="D8431" s="87"/>
      <c r="E8431" s="87"/>
      <c r="F8431" s="87"/>
      <c r="G8431" s="87"/>
    </row>
    <row r="8432">
      <c r="A8432" s="86" t="str">
        <f>IFERROR(__xludf.DUMMYFUNCTION("""COMPUTED_VALUE"""),"")</f>
        <v/>
      </c>
      <c r="B8432" s="87"/>
      <c r="C8432" s="87"/>
      <c r="D8432" s="87"/>
      <c r="E8432" s="87"/>
      <c r="F8432" s="87"/>
      <c r="G8432" s="87"/>
    </row>
    <row r="8433">
      <c r="A8433" s="86" t="str">
        <f>IFERROR(__xludf.DUMMYFUNCTION("""COMPUTED_VALUE"""),"")</f>
        <v/>
      </c>
      <c r="B8433" s="87"/>
      <c r="C8433" s="87"/>
      <c r="D8433" s="87"/>
      <c r="E8433" s="87"/>
      <c r="F8433" s="87"/>
      <c r="G8433" s="87"/>
    </row>
    <row r="8434">
      <c r="A8434" s="86" t="str">
        <f>IFERROR(__xludf.DUMMYFUNCTION("""COMPUTED_VALUE"""),"")</f>
        <v/>
      </c>
      <c r="B8434" s="87"/>
      <c r="C8434" s="87"/>
      <c r="D8434" s="87"/>
      <c r="E8434" s="87"/>
      <c r="F8434" s="87"/>
      <c r="G8434" s="87"/>
    </row>
    <row r="8435">
      <c r="A8435" s="86" t="str">
        <f>IFERROR(__xludf.DUMMYFUNCTION("""COMPUTED_VALUE"""),"")</f>
        <v/>
      </c>
      <c r="B8435" s="87"/>
      <c r="C8435" s="87"/>
      <c r="D8435" s="87"/>
      <c r="E8435" s="87"/>
      <c r="F8435" s="87"/>
      <c r="G8435" s="87"/>
    </row>
    <row r="8436">
      <c r="A8436" s="86" t="str">
        <f>IFERROR(__xludf.DUMMYFUNCTION("""COMPUTED_VALUE"""),"")</f>
        <v/>
      </c>
      <c r="B8436" s="87"/>
      <c r="C8436" s="87"/>
      <c r="D8436" s="87"/>
      <c r="E8436" s="87"/>
      <c r="F8436" s="87"/>
      <c r="G8436" s="87"/>
    </row>
    <row r="8437">
      <c r="A8437" s="86" t="str">
        <f>IFERROR(__xludf.DUMMYFUNCTION("""COMPUTED_VALUE"""),"")</f>
        <v/>
      </c>
      <c r="B8437" s="87"/>
      <c r="C8437" s="87"/>
      <c r="D8437" s="87"/>
      <c r="E8437" s="87"/>
      <c r="F8437" s="87"/>
      <c r="G8437" s="87"/>
    </row>
    <row r="8438">
      <c r="A8438" s="86" t="str">
        <f>IFERROR(__xludf.DUMMYFUNCTION("""COMPUTED_VALUE"""),"")</f>
        <v/>
      </c>
      <c r="B8438" s="87"/>
      <c r="C8438" s="87"/>
      <c r="D8438" s="87"/>
      <c r="E8438" s="87"/>
      <c r="F8438" s="87"/>
      <c r="G8438" s="87"/>
    </row>
    <row r="8439">
      <c r="A8439" s="86" t="str">
        <f>IFERROR(__xludf.DUMMYFUNCTION("""COMPUTED_VALUE"""),"")</f>
        <v/>
      </c>
      <c r="B8439" s="87"/>
      <c r="C8439" s="87"/>
      <c r="D8439" s="87"/>
      <c r="E8439" s="87"/>
      <c r="F8439" s="87"/>
      <c r="G8439" s="87"/>
    </row>
    <row r="8440">
      <c r="A8440" s="86" t="str">
        <f>IFERROR(__xludf.DUMMYFUNCTION("""COMPUTED_VALUE"""),"")</f>
        <v/>
      </c>
      <c r="B8440" s="87"/>
      <c r="C8440" s="87"/>
      <c r="D8440" s="87"/>
      <c r="E8440" s="87"/>
      <c r="F8440" s="87"/>
      <c r="G8440" s="87"/>
    </row>
    <row r="8441">
      <c r="A8441" s="86" t="str">
        <f>IFERROR(__xludf.DUMMYFUNCTION("""COMPUTED_VALUE"""),"")</f>
        <v/>
      </c>
      <c r="B8441" s="87"/>
      <c r="C8441" s="87"/>
      <c r="D8441" s="87"/>
      <c r="E8441" s="87"/>
      <c r="F8441" s="87"/>
      <c r="G8441" s="87"/>
    </row>
    <row r="8442">
      <c r="A8442" s="86" t="str">
        <f>IFERROR(__xludf.DUMMYFUNCTION("""COMPUTED_VALUE"""),"")</f>
        <v/>
      </c>
      <c r="B8442" s="87"/>
      <c r="C8442" s="87"/>
      <c r="D8442" s="87"/>
      <c r="E8442" s="87"/>
      <c r="F8442" s="87"/>
      <c r="G8442" s="87"/>
    </row>
    <row r="8443">
      <c r="A8443" s="86" t="str">
        <f>IFERROR(__xludf.DUMMYFUNCTION("""COMPUTED_VALUE"""),"")</f>
        <v/>
      </c>
      <c r="B8443" s="87"/>
      <c r="C8443" s="87"/>
      <c r="D8443" s="87"/>
      <c r="E8443" s="87"/>
      <c r="F8443" s="87"/>
      <c r="G8443" s="87"/>
    </row>
    <row r="8444">
      <c r="A8444" s="86" t="str">
        <f>IFERROR(__xludf.DUMMYFUNCTION("""COMPUTED_VALUE"""),"")</f>
        <v/>
      </c>
      <c r="B8444" s="87"/>
      <c r="C8444" s="87"/>
      <c r="D8444" s="87"/>
      <c r="E8444" s="87"/>
      <c r="F8444" s="87"/>
      <c r="G8444" s="87"/>
    </row>
    <row r="8445">
      <c r="A8445" s="86" t="str">
        <f>IFERROR(__xludf.DUMMYFUNCTION("""COMPUTED_VALUE"""),"")</f>
        <v/>
      </c>
      <c r="B8445" s="87"/>
      <c r="C8445" s="87"/>
      <c r="D8445" s="87"/>
      <c r="E8445" s="87"/>
      <c r="F8445" s="87"/>
      <c r="G8445" s="87"/>
    </row>
    <row r="8446">
      <c r="A8446" s="86" t="str">
        <f>IFERROR(__xludf.DUMMYFUNCTION("""COMPUTED_VALUE"""),"")</f>
        <v/>
      </c>
      <c r="B8446" s="87"/>
      <c r="C8446" s="87"/>
      <c r="D8446" s="87"/>
      <c r="E8446" s="87"/>
      <c r="F8446" s="87"/>
      <c r="G8446" s="87"/>
    </row>
    <row r="8447">
      <c r="A8447" s="86" t="str">
        <f>IFERROR(__xludf.DUMMYFUNCTION("""COMPUTED_VALUE"""),"")</f>
        <v/>
      </c>
      <c r="B8447" s="87"/>
      <c r="C8447" s="87"/>
      <c r="D8447" s="87"/>
      <c r="E8447" s="87"/>
      <c r="F8447" s="87"/>
      <c r="G8447" s="87"/>
    </row>
    <row r="8448">
      <c r="A8448" s="86" t="str">
        <f>IFERROR(__xludf.DUMMYFUNCTION("""COMPUTED_VALUE"""),"")</f>
        <v/>
      </c>
      <c r="B8448" s="87"/>
      <c r="C8448" s="87"/>
      <c r="D8448" s="87"/>
      <c r="E8448" s="87"/>
      <c r="F8448" s="87"/>
      <c r="G8448" s="87"/>
    </row>
    <row r="8449">
      <c r="A8449" s="86" t="str">
        <f>IFERROR(__xludf.DUMMYFUNCTION("""COMPUTED_VALUE"""),"")</f>
        <v/>
      </c>
      <c r="B8449" s="87"/>
      <c r="C8449" s="87"/>
      <c r="D8449" s="87"/>
      <c r="E8449" s="87"/>
      <c r="F8449" s="87"/>
      <c r="G8449" s="87"/>
    </row>
    <row r="8450">
      <c r="A8450" s="86" t="str">
        <f>IFERROR(__xludf.DUMMYFUNCTION("""COMPUTED_VALUE"""),"")</f>
        <v/>
      </c>
      <c r="B8450" s="87"/>
      <c r="C8450" s="87"/>
      <c r="D8450" s="87"/>
      <c r="E8450" s="87"/>
      <c r="F8450" s="87"/>
      <c r="G8450" s="87"/>
    </row>
    <row r="8451">
      <c r="A8451" s="86" t="str">
        <f>IFERROR(__xludf.DUMMYFUNCTION("""COMPUTED_VALUE"""),"")</f>
        <v/>
      </c>
      <c r="B8451" s="87"/>
      <c r="C8451" s="87"/>
      <c r="D8451" s="87"/>
      <c r="E8451" s="87"/>
      <c r="F8451" s="87"/>
      <c r="G8451" s="87"/>
    </row>
    <row r="8452">
      <c r="A8452" s="86" t="str">
        <f>IFERROR(__xludf.DUMMYFUNCTION("""COMPUTED_VALUE"""),"")</f>
        <v/>
      </c>
      <c r="B8452" s="87"/>
      <c r="C8452" s="87"/>
      <c r="D8452" s="87"/>
      <c r="E8452" s="87"/>
      <c r="F8452" s="87"/>
      <c r="G8452" s="87"/>
    </row>
    <row r="8453">
      <c r="A8453" s="86" t="str">
        <f>IFERROR(__xludf.DUMMYFUNCTION("""COMPUTED_VALUE"""),"")</f>
        <v/>
      </c>
      <c r="B8453" s="87"/>
      <c r="C8453" s="87"/>
      <c r="D8453" s="87"/>
      <c r="E8453" s="87"/>
      <c r="F8453" s="87"/>
      <c r="G8453" s="87"/>
    </row>
    <row r="8454">
      <c r="A8454" s="86" t="str">
        <f>IFERROR(__xludf.DUMMYFUNCTION("""COMPUTED_VALUE"""),"")</f>
        <v/>
      </c>
      <c r="B8454" s="87"/>
      <c r="C8454" s="87"/>
      <c r="D8454" s="87"/>
      <c r="E8454" s="87"/>
      <c r="F8454" s="87"/>
      <c r="G8454" s="87"/>
    </row>
    <row r="8455">
      <c r="A8455" s="86" t="str">
        <f>IFERROR(__xludf.DUMMYFUNCTION("""COMPUTED_VALUE"""),"")</f>
        <v/>
      </c>
      <c r="B8455" s="87"/>
      <c r="C8455" s="87"/>
      <c r="D8455" s="87"/>
      <c r="E8455" s="87"/>
      <c r="F8455" s="87"/>
      <c r="G8455" s="87"/>
    </row>
    <row r="8456">
      <c r="A8456" s="86" t="str">
        <f>IFERROR(__xludf.DUMMYFUNCTION("""COMPUTED_VALUE"""),"")</f>
        <v/>
      </c>
      <c r="B8456" s="87"/>
      <c r="C8456" s="87"/>
      <c r="D8456" s="87"/>
      <c r="E8456" s="87"/>
      <c r="F8456" s="87"/>
      <c r="G8456" s="87"/>
    </row>
    <row r="8457">
      <c r="A8457" s="86" t="str">
        <f>IFERROR(__xludf.DUMMYFUNCTION("""COMPUTED_VALUE"""),"")</f>
        <v/>
      </c>
      <c r="B8457" s="87"/>
      <c r="C8457" s="87"/>
      <c r="D8457" s="87"/>
      <c r="E8457" s="87"/>
      <c r="F8457" s="87"/>
      <c r="G8457" s="87"/>
    </row>
    <row r="8458">
      <c r="A8458" s="86" t="str">
        <f>IFERROR(__xludf.DUMMYFUNCTION("""COMPUTED_VALUE"""),"")</f>
        <v/>
      </c>
      <c r="B8458" s="87"/>
      <c r="C8458" s="87"/>
      <c r="D8458" s="87"/>
      <c r="E8458" s="87"/>
      <c r="F8458" s="87"/>
      <c r="G8458" s="87"/>
    </row>
    <row r="8459">
      <c r="A8459" s="86" t="str">
        <f>IFERROR(__xludf.DUMMYFUNCTION("""COMPUTED_VALUE"""),"")</f>
        <v/>
      </c>
      <c r="B8459" s="87"/>
      <c r="C8459" s="87"/>
      <c r="D8459" s="87"/>
      <c r="E8459" s="87"/>
      <c r="F8459" s="87"/>
      <c r="G8459" s="87"/>
    </row>
    <row r="8460">
      <c r="A8460" s="86" t="str">
        <f>IFERROR(__xludf.DUMMYFUNCTION("""COMPUTED_VALUE"""),"")</f>
        <v/>
      </c>
      <c r="B8460" s="87"/>
      <c r="C8460" s="87"/>
      <c r="D8460" s="87"/>
      <c r="E8460" s="87"/>
      <c r="F8460" s="87"/>
      <c r="G8460" s="87"/>
    </row>
    <row r="8461">
      <c r="A8461" s="86" t="str">
        <f>IFERROR(__xludf.DUMMYFUNCTION("""COMPUTED_VALUE"""),"")</f>
        <v/>
      </c>
      <c r="B8461" s="87"/>
      <c r="C8461" s="87"/>
      <c r="D8461" s="87"/>
      <c r="E8461" s="87"/>
      <c r="F8461" s="87"/>
      <c r="G8461" s="87"/>
    </row>
    <row r="8462">
      <c r="A8462" s="86" t="str">
        <f>IFERROR(__xludf.DUMMYFUNCTION("""COMPUTED_VALUE"""),"")</f>
        <v/>
      </c>
      <c r="B8462" s="87"/>
      <c r="C8462" s="87"/>
      <c r="D8462" s="87"/>
      <c r="E8462" s="87"/>
      <c r="F8462" s="87"/>
      <c r="G8462" s="87"/>
    </row>
    <row r="8463">
      <c r="A8463" s="86" t="str">
        <f>IFERROR(__xludf.DUMMYFUNCTION("""COMPUTED_VALUE"""),"")</f>
        <v/>
      </c>
      <c r="B8463" s="87"/>
      <c r="C8463" s="87"/>
      <c r="D8463" s="87"/>
      <c r="E8463" s="87"/>
      <c r="F8463" s="87"/>
      <c r="G8463" s="87"/>
    </row>
    <row r="8464">
      <c r="A8464" s="86" t="str">
        <f>IFERROR(__xludf.DUMMYFUNCTION("""COMPUTED_VALUE"""),"")</f>
        <v/>
      </c>
      <c r="B8464" s="87"/>
      <c r="C8464" s="87"/>
      <c r="D8464" s="87"/>
      <c r="E8464" s="87"/>
      <c r="F8464" s="87"/>
      <c r="G8464" s="87"/>
    </row>
    <row r="8465">
      <c r="A8465" s="86" t="str">
        <f>IFERROR(__xludf.DUMMYFUNCTION("""COMPUTED_VALUE"""),"")</f>
        <v/>
      </c>
      <c r="B8465" s="87"/>
      <c r="C8465" s="87"/>
      <c r="D8465" s="87"/>
      <c r="E8465" s="87"/>
      <c r="F8465" s="87"/>
      <c r="G8465" s="87"/>
    </row>
    <row r="8466">
      <c r="A8466" s="86" t="str">
        <f>IFERROR(__xludf.DUMMYFUNCTION("""COMPUTED_VALUE"""),"")</f>
        <v/>
      </c>
      <c r="B8466" s="87"/>
      <c r="C8466" s="87"/>
      <c r="D8466" s="87"/>
      <c r="E8466" s="87"/>
      <c r="F8466" s="87"/>
      <c r="G8466" s="87"/>
    </row>
    <row r="8467">
      <c r="A8467" s="86" t="str">
        <f>IFERROR(__xludf.DUMMYFUNCTION("""COMPUTED_VALUE"""),"")</f>
        <v/>
      </c>
      <c r="B8467" s="87"/>
      <c r="C8467" s="87"/>
      <c r="D8467" s="87"/>
      <c r="E8467" s="87"/>
      <c r="F8467" s="87"/>
      <c r="G8467" s="87"/>
    </row>
    <row r="8468">
      <c r="A8468" s="86" t="str">
        <f>IFERROR(__xludf.DUMMYFUNCTION("""COMPUTED_VALUE"""),"")</f>
        <v/>
      </c>
      <c r="B8468" s="87"/>
      <c r="C8468" s="87"/>
      <c r="D8468" s="87"/>
      <c r="E8468" s="87"/>
      <c r="F8468" s="87"/>
      <c r="G8468" s="87"/>
    </row>
    <row r="8469">
      <c r="A8469" s="86" t="str">
        <f>IFERROR(__xludf.DUMMYFUNCTION("""COMPUTED_VALUE"""),"")</f>
        <v/>
      </c>
      <c r="B8469" s="87"/>
      <c r="C8469" s="87"/>
      <c r="D8469" s="87"/>
      <c r="E8469" s="87"/>
      <c r="F8469" s="87"/>
      <c r="G8469" s="87"/>
    </row>
    <row r="8470">
      <c r="A8470" s="86" t="str">
        <f>IFERROR(__xludf.DUMMYFUNCTION("""COMPUTED_VALUE"""),"")</f>
        <v/>
      </c>
      <c r="B8470" s="87"/>
      <c r="C8470" s="87"/>
      <c r="D8470" s="87"/>
      <c r="E8470" s="87"/>
      <c r="F8470" s="87"/>
      <c r="G8470" s="87"/>
    </row>
    <row r="8471">
      <c r="A8471" s="86" t="str">
        <f>IFERROR(__xludf.DUMMYFUNCTION("""COMPUTED_VALUE"""),"")</f>
        <v/>
      </c>
      <c r="B8471" s="87"/>
      <c r="C8471" s="87"/>
      <c r="D8471" s="87"/>
      <c r="E8471" s="87"/>
      <c r="F8471" s="87"/>
      <c r="G8471" s="87"/>
    </row>
    <row r="8472">
      <c r="A8472" s="86" t="str">
        <f>IFERROR(__xludf.DUMMYFUNCTION("""COMPUTED_VALUE"""),"")</f>
        <v/>
      </c>
      <c r="B8472" s="87"/>
      <c r="C8472" s="87"/>
      <c r="D8472" s="87"/>
      <c r="E8472" s="87"/>
      <c r="F8472" s="87"/>
      <c r="G8472" s="87"/>
    </row>
    <row r="8473">
      <c r="A8473" s="86" t="str">
        <f>IFERROR(__xludf.DUMMYFUNCTION("""COMPUTED_VALUE"""),"")</f>
        <v/>
      </c>
      <c r="B8473" s="87"/>
      <c r="C8473" s="87"/>
      <c r="D8473" s="87"/>
      <c r="E8473" s="87"/>
      <c r="F8473" s="87"/>
      <c r="G8473" s="87"/>
    </row>
    <row r="8474">
      <c r="A8474" s="86" t="str">
        <f>IFERROR(__xludf.DUMMYFUNCTION("""COMPUTED_VALUE"""),"")</f>
        <v/>
      </c>
      <c r="B8474" s="87"/>
      <c r="C8474" s="87"/>
      <c r="D8474" s="87"/>
      <c r="E8474" s="87"/>
      <c r="F8474" s="87"/>
      <c r="G8474" s="87"/>
    </row>
    <row r="8475">
      <c r="A8475" s="86" t="str">
        <f>IFERROR(__xludf.DUMMYFUNCTION("""COMPUTED_VALUE"""),"")</f>
        <v/>
      </c>
      <c r="B8475" s="87"/>
      <c r="C8475" s="87"/>
      <c r="D8475" s="87"/>
      <c r="E8475" s="87"/>
      <c r="F8475" s="87"/>
      <c r="G8475" s="87"/>
    </row>
    <row r="8476">
      <c r="A8476" s="86" t="str">
        <f>IFERROR(__xludf.DUMMYFUNCTION("""COMPUTED_VALUE"""),"")</f>
        <v/>
      </c>
      <c r="B8476" s="87"/>
      <c r="C8476" s="87"/>
      <c r="D8476" s="87"/>
      <c r="E8476" s="87"/>
      <c r="F8476" s="87"/>
      <c r="G8476" s="87"/>
    </row>
    <row r="8477">
      <c r="A8477" s="86" t="str">
        <f>IFERROR(__xludf.DUMMYFUNCTION("""COMPUTED_VALUE"""),"")</f>
        <v/>
      </c>
      <c r="B8477" s="87"/>
      <c r="C8477" s="87"/>
      <c r="D8477" s="87"/>
      <c r="E8477" s="87"/>
      <c r="F8477" s="87"/>
      <c r="G8477" s="87"/>
    </row>
    <row r="8478">
      <c r="A8478" s="86" t="str">
        <f>IFERROR(__xludf.DUMMYFUNCTION("""COMPUTED_VALUE"""),"")</f>
        <v/>
      </c>
      <c r="B8478" s="87"/>
      <c r="C8478" s="87"/>
      <c r="D8478" s="87"/>
      <c r="E8478" s="87"/>
      <c r="F8478" s="87"/>
      <c r="G8478" s="87"/>
    </row>
    <row r="8479">
      <c r="A8479" s="86" t="str">
        <f>IFERROR(__xludf.DUMMYFUNCTION("""COMPUTED_VALUE"""),"")</f>
        <v/>
      </c>
      <c r="B8479" s="87"/>
      <c r="C8479" s="87"/>
      <c r="D8479" s="87"/>
      <c r="E8479" s="87"/>
      <c r="F8479" s="87"/>
      <c r="G8479" s="87"/>
    </row>
    <row r="8480">
      <c r="A8480" s="86" t="str">
        <f>IFERROR(__xludf.DUMMYFUNCTION("""COMPUTED_VALUE"""),"")</f>
        <v/>
      </c>
      <c r="B8480" s="87"/>
      <c r="C8480" s="87"/>
      <c r="D8480" s="87"/>
      <c r="E8480" s="87"/>
      <c r="F8480" s="87"/>
      <c r="G8480" s="87"/>
    </row>
    <row r="8481">
      <c r="A8481" s="86" t="str">
        <f>IFERROR(__xludf.DUMMYFUNCTION("""COMPUTED_VALUE"""),"")</f>
        <v/>
      </c>
      <c r="B8481" s="87"/>
      <c r="C8481" s="87"/>
      <c r="D8481" s="87"/>
      <c r="E8481" s="87"/>
      <c r="F8481" s="87"/>
      <c r="G8481" s="87"/>
    </row>
    <row r="8482">
      <c r="A8482" s="86" t="str">
        <f>IFERROR(__xludf.DUMMYFUNCTION("""COMPUTED_VALUE"""),"")</f>
        <v/>
      </c>
      <c r="B8482" s="87"/>
      <c r="C8482" s="87"/>
      <c r="D8482" s="87"/>
      <c r="E8482" s="87"/>
      <c r="F8482" s="87"/>
      <c r="G8482" s="87"/>
    </row>
    <row r="8483">
      <c r="A8483" s="86" t="str">
        <f>IFERROR(__xludf.DUMMYFUNCTION("""COMPUTED_VALUE"""),"")</f>
        <v/>
      </c>
      <c r="B8483" s="87"/>
      <c r="C8483" s="87"/>
      <c r="D8483" s="87"/>
      <c r="E8483" s="87"/>
      <c r="F8483" s="87"/>
      <c r="G8483" s="87"/>
    </row>
    <row r="8484">
      <c r="A8484" s="86" t="str">
        <f>IFERROR(__xludf.DUMMYFUNCTION("""COMPUTED_VALUE"""),"")</f>
        <v/>
      </c>
      <c r="B8484" s="87"/>
      <c r="C8484" s="87"/>
      <c r="D8484" s="87"/>
      <c r="E8484" s="87"/>
      <c r="F8484" s="87"/>
      <c r="G8484" s="87"/>
    </row>
    <row r="8485">
      <c r="A8485" s="86" t="str">
        <f>IFERROR(__xludf.DUMMYFUNCTION("""COMPUTED_VALUE"""),"")</f>
        <v/>
      </c>
      <c r="B8485" s="87"/>
      <c r="C8485" s="87"/>
      <c r="D8485" s="87"/>
      <c r="E8485" s="87"/>
      <c r="F8485" s="87"/>
      <c r="G8485" s="87"/>
    </row>
    <row r="8486">
      <c r="A8486" s="86" t="str">
        <f>IFERROR(__xludf.DUMMYFUNCTION("""COMPUTED_VALUE"""),"")</f>
        <v/>
      </c>
      <c r="B8486" s="87"/>
      <c r="C8486" s="87"/>
      <c r="D8486" s="87"/>
      <c r="E8486" s="87"/>
      <c r="F8486" s="87"/>
      <c r="G8486" s="87"/>
    </row>
    <row r="8487">
      <c r="A8487" s="86" t="str">
        <f>IFERROR(__xludf.DUMMYFUNCTION("""COMPUTED_VALUE"""),"")</f>
        <v/>
      </c>
      <c r="B8487" s="87"/>
      <c r="C8487" s="87"/>
      <c r="D8487" s="87"/>
      <c r="E8487" s="87"/>
      <c r="F8487" s="87"/>
      <c r="G8487" s="87"/>
    </row>
    <row r="8488">
      <c r="A8488" s="86" t="str">
        <f>IFERROR(__xludf.DUMMYFUNCTION("""COMPUTED_VALUE"""),"")</f>
        <v/>
      </c>
      <c r="B8488" s="87"/>
      <c r="C8488" s="87"/>
      <c r="D8488" s="87"/>
      <c r="E8488" s="87"/>
      <c r="F8488" s="87"/>
      <c r="G8488" s="87"/>
    </row>
    <row r="8489">
      <c r="A8489" s="86" t="str">
        <f>IFERROR(__xludf.DUMMYFUNCTION("""COMPUTED_VALUE"""),"")</f>
        <v/>
      </c>
      <c r="B8489" s="87"/>
      <c r="C8489" s="87"/>
      <c r="D8489" s="87"/>
      <c r="E8489" s="87"/>
      <c r="F8489" s="87"/>
      <c r="G8489" s="87"/>
    </row>
    <row r="8490">
      <c r="A8490" s="86" t="str">
        <f>IFERROR(__xludf.DUMMYFUNCTION("""COMPUTED_VALUE"""),"")</f>
        <v/>
      </c>
      <c r="B8490" s="87"/>
      <c r="C8490" s="87"/>
      <c r="D8490" s="87"/>
      <c r="E8490" s="87"/>
      <c r="F8490" s="87"/>
      <c r="G8490" s="87"/>
    </row>
    <row r="8491">
      <c r="A8491" s="86" t="str">
        <f>IFERROR(__xludf.DUMMYFUNCTION("""COMPUTED_VALUE"""),"")</f>
        <v/>
      </c>
      <c r="B8491" s="87"/>
      <c r="C8491" s="87"/>
      <c r="D8491" s="87"/>
      <c r="E8491" s="87"/>
      <c r="F8491" s="87"/>
      <c r="G8491" s="87"/>
    </row>
    <row r="8492">
      <c r="A8492" s="86" t="str">
        <f>IFERROR(__xludf.DUMMYFUNCTION("""COMPUTED_VALUE"""),"")</f>
        <v/>
      </c>
      <c r="B8492" s="87"/>
      <c r="C8492" s="87"/>
      <c r="D8492" s="87"/>
      <c r="E8492" s="87"/>
      <c r="F8492" s="87"/>
      <c r="G8492" s="87"/>
    </row>
    <row r="8493">
      <c r="A8493" s="86" t="str">
        <f>IFERROR(__xludf.DUMMYFUNCTION("""COMPUTED_VALUE"""),"")</f>
        <v/>
      </c>
      <c r="B8493" s="87"/>
      <c r="C8493" s="87"/>
      <c r="D8493" s="87"/>
      <c r="E8493" s="87"/>
      <c r="F8493" s="87"/>
      <c r="G8493" s="87"/>
    </row>
    <row r="8494">
      <c r="A8494" s="86" t="str">
        <f>IFERROR(__xludf.DUMMYFUNCTION("""COMPUTED_VALUE"""),"")</f>
        <v/>
      </c>
      <c r="B8494" s="87"/>
      <c r="C8494" s="87"/>
      <c r="D8494" s="87"/>
      <c r="E8494" s="87"/>
      <c r="F8494" s="87"/>
      <c r="G8494" s="87"/>
    </row>
    <row r="8495">
      <c r="A8495" s="86" t="str">
        <f>IFERROR(__xludf.DUMMYFUNCTION("""COMPUTED_VALUE"""),"")</f>
        <v/>
      </c>
      <c r="B8495" s="87"/>
      <c r="C8495" s="87"/>
      <c r="D8495" s="87"/>
      <c r="E8495" s="87"/>
      <c r="F8495" s="87"/>
      <c r="G8495" s="87"/>
    </row>
    <row r="8496">
      <c r="A8496" s="86" t="str">
        <f>IFERROR(__xludf.DUMMYFUNCTION("""COMPUTED_VALUE"""),"")</f>
        <v/>
      </c>
      <c r="B8496" s="87"/>
      <c r="C8496" s="87"/>
      <c r="D8496" s="87"/>
      <c r="E8496" s="87"/>
      <c r="F8496" s="87"/>
      <c r="G8496" s="87"/>
    </row>
    <row r="8497">
      <c r="A8497" s="86" t="str">
        <f>IFERROR(__xludf.DUMMYFUNCTION("""COMPUTED_VALUE"""),"")</f>
        <v/>
      </c>
      <c r="B8497" s="87"/>
      <c r="C8497" s="87"/>
      <c r="D8497" s="87"/>
      <c r="E8497" s="87"/>
      <c r="F8497" s="87"/>
      <c r="G8497" s="87"/>
    </row>
    <row r="8498">
      <c r="A8498" s="86" t="str">
        <f>IFERROR(__xludf.DUMMYFUNCTION("""COMPUTED_VALUE"""),"")</f>
        <v/>
      </c>
      <c r="B8498" s="87"/>
      <c r="C8498" s="87"/>
      <c r="D8498" s="87"/>
      <c r="E8498" s="87"/>
      <c r="F8498" s="87"/>
      <c r="G8498" s="87"/>
    </row>
    <row r="8499">
      <c r="A8499" s="86" t="str">
        <f>IFERROR(__xludf.DUMMYFUNCTION("""COMPUTED_VALUE"""),"")</f>
        <v/>
      </c>
      <c r="B8499" s="87"/>
      <c r="C8499" s="87"/>
      <c r="D8499" s="87"/>
      <c r="E8499" s="87"/>
      <c r="F8499" s="87"/>
      <c r="G8499" s="87"/>
    </row>
    <row r="8500">
      <c r="A8500" s="86" t="str">
        <f>IFERROR(__xludf.DUMMYFUNCTION("""COMPUTED_VALUE"""),"")</f>
        <v/>
      </c>
      <c r="B8500" s="87"/>
      <c r="C8500" s="87"/>
      <c r="D8500" s="87"/>
      <c r="E8500" s="87"/>
      <c r="F8500" s="87"/>
      <c r="G8500" s="87"/>
    </row>
    <row r="8501">
      <c r="A8501" s="86" t="str">
        <f>IFERROR(__xludf.DUMMYFUNCTION("""COMPUTED_VALUE"""),"")</f>
        <v/>
      </c>
      <c r="B8501" s="87"/>
      <c r="C8501" s="87"/>
      <c r="D8501" s="87"/>
      <c r="E8501" s="87"/>
      <c r="F8501" s="87"/>
      <c r="G8501" s="87"/>
    </row>
    <row r="8502">
      <c r="A8502" s="86" t="str">
        <f>IFERROR(__xludf.DUMMYFUNCTION("""COMPUTED_VALUE"""),"")</f>
        <v/>
      </c>
      <c r="B8502" s="87"/>
      <c r="C8502" s="87"/>
      <c r="D8502" s="87"/>
      <c r="E8502" s="87"/>
      <c r="F8502" s="87"/>
      <c r="G8502" s="87"/>
    </row>
    <row r="8503">
      <c r="A8503" s="86" t="str">
        <f>IFERROR(__xludf.DUMMYFUNCTION("""COMPUTED_VALUE"""),"")</f>
        <v/>
      </c>
      <c r="B8503" s="87"/>
      <c r="C8503" s="87"/>
      <c r="D8503" s="87"/>
      <c r="E8503" s="87"/>
      <c r="F8503" s="87"/>
      <c r="G8503" s="87"/>
    </row>
    <row r="8504">
      <c r="A8504" s="86" t="str">
        <f>IFERROR(__xludf.DUMMYFUNCTION("""COMPUTED_VALUE"""),"")</f>
        <v/>
      </c>
      <c r="B8504" s="87"/>
      <c r="C8504" s="87"/>
      <c r="D8504" s="87"/>
      <c r="E8504" s="87"/>
      <c r="F8504" s="87"/>
      <c r="G8504" s="87"/>
    </row>
    <row r="8505">
      <c r="A8505" s="86" t="str">
        <f>IFERROR(__xludf.DUMMYFUNCTION("""COMPUTED_VALUE"""),"")</f>
        <v/>
      </c>
      <c r="B8505" s="87"/>
      <c r="C8505" s="87"/>
      <c r="D8505" s="87"/>
      <c r="E8505" s="87"/>
      <c r="F8505" s="87"/>
      <c r="G8505" s="87"/>
    </row>
    <row r="8506">
      <c r="A8506" s="86" t="str">
        <f>IFERROR(__xludf.DUMMYFUNCTION("""COMPUTED_VALUE"""),"")</f>
        <v/>
      </c>
      <c r="B8506" s="87"/>
      <c r="C8506" s="87"/>
      <c r="D8506" s="87"/>
      <c r="E8506" s="87"/>
      <c r="F8506" s="87"/>
      <c r="G8506" s="87"/>
    </row>
    <row r="8507">
      <c r="A8507" s="86" t="str">
        <f>IFERROR(__xludf.DUMMYFUNCTION("""COMPUTED_VALUE"""),"")</f>
        <v/>
      </c>
      <c r="B8507" s="87"/>
      <c r="C8507" s="87"/>
      <c r="D8507" s="87"/>
      <c r="E8507" s="87"/>
      <c r="F8507" s="87"/>
      <c r="G8507" s="87"/>
    </row>
    <row r="8508">
      <c r="A8508" s="86" t="str">
        <f>IFERROR(__xludf.DUMMYFUNCTION("""COMPUTED_VALUE"""),"")</f>
        <v/>
      </c>
      <c r="B8508" s="87"/>
      <c r="C8508" s="87"/>
      <c r="D8508" s="87"/>
      <c r="E8508" s="87"/>
      <c r="F8508" s="87"/>
      <c r="G8508" s="87"/>
    </row>
    <row r="8509">
      <c r="A8509" s="86" t="str">
        <f>IFERROR(__xludf.DUMMYFUNCTION("""COMPUTED_VALUE"""),"")</f>
        <v/>
      </c>
      <c r="B8509" s="87"/>
      <c r="C8509" s="87"/>
      <c r="D8509" s="87"/>
      <c r="E8509" s="87"/>
      <c r="F8509" s="87"/>
      <c r="G8509" s="87"/>
    </row>
    <row r="8510">
      <c r="A8510" s="86" t="str">
        <f>IFERROR(__xludf.DUMMYFUNCTION("""COMPUTED_VALUE"""),"")</f>
        <v/>
      </c>
      <c r="B8510" s="87"/>
      <c r="C8510" s="87"/>
      <c r="D8510" s="87"/>
      <c r="E8510" s="87"/>
      <c r="F8510" s="87"/>
      <c r="G8510" s="87"/>
    </row>
    <row r="8511">
      <c r="A8511" s="86" t="str">
        <f>IFERROR(__xludf.DUMMYFUNCTION("""COMPUTED_VALUE"""),"")</f>
        <v/>
      </c>
      <c r="B8511" s="87"/>
      <c r="C8511" s="87"/>
      <c r="D8511" s="87"/>
      <c r="E8511" s="87"/>
      <c r="F8511" s="87"/>
      <c r="G8511" s="87"/>
    </row>
    <row r="8512">
      <c r="A8512" s="86" t="str">
        <f>IFERROR(__xludf.DUMMYFUNCTION("""COMPUTED_VALUE"""),"")</f>
        <v/>
      </c>
      <c r="B8512" s="87"/>
      <c r="C8512" s="87"/>
      <c r="D8512" s="87"/>
      <c r="E8512" s="87"/>
      <c r="F8512" s="87"/>
      <c r="G8512" s="87"/>
    </row>
    <row r="8513">
      <c r="A8513" s="86" t="str">
        <f>IFERROR(__xludf.DUMMYFUNCTION("""COMPUTED_VALUE"""),"")</f>
        <v/>
      </c>
      <c r="B8513" s="87"/>
      <c r="C8513" s="87"/>
      <c r="D8513" s="87"/>
      <c r="E8513" s="87"/>
      <c r="F8513" s="87"/>
      <c r="G8513" s="87"/>
    </row>
    <row r="8514">
      <c r="A8514" s="86" t="str">
        <f>IFERROR(__xludf.DUMMYFUNCTION("""COMPUTED_VALUE"""),"")</f>
        <v/>
      </c>
      <c r="B8514" s="87"/>
      <c r="C8514" s="87"/>
      <c r="D8514" s="87"/>
      <c r="E8514" s="87"/>
      <c r="F8514" s="87"/>
      <c r="G8514" s="87"/>
    </row>
    <row r="8515">
      <c r="A8515" s="86" t="str">
        <f>IFERROR(__xludf.DUMMYFUNCTION("""COMPUTED_VALUE"""),"")</f>
        <v/>
      </c>
      <c r="B8515" s="87"/>
      <c r="C8515" s="87"/>
      <c r="D8515" s="87"/>
      <c r="E8515" s="87"/>
      <c r="F8515" s="87"/>
      <c r="G8515" s="87"/>
    </row>
    <row r="8516">
      <c r="A8516" s="86" t="str">
        <f>IFERROR(__xludf.DUMMYFUNCTION("""COMPUTED_VALUE"""),"")</f>
        <v/>
      </c>
      <c r="B8516" s="87"/>
      <c r="C8516" s="87"/>
      <c r="D8516" s="87"/>
      <c r="E8516" s="87"/>
      <c r="F8516" s="87"/>
      <c r="G8516" s="87"/>
    </row>
    <row r="8517">
      <c r="A8517" s="86" t="str">
        <f>IFERROR(__xludf.DUMMYFUNCTION("""COMPUTED_VALUE"""),"")</f>
        <v/>
      </c>
      <c r="B8517" s="87"/>
      <c r="C8517" s="87"/>
      <c r="D8517" s="87"/>
      <c r="E8517" s="87"/>
      <c r="F8517" s="87"/>
      <c r="G8517" s="87"/>
    </row>
    <row r="8518">
      <c r="A8518" s="86" t="str">
        <f>IFERROR(__xludf.DUMMYFUNCTION("""COMPUTED_VALUE"""),"")</f>
        <v/>
      </c>
      <c r="B8518" s="87"/>
      <c r="C8518" s="87"/>
      <c r="D8518" s="87"/>
      <c r="E8518" s="87"/>
      <c r="F8518" s="87"/>
      <c r="G8518" s="87"/>
    </row>
    <row r="8519">
      <c r="A8519" s="86" t="str">
        <f>IFERROR(__xludf.DUMMYFUNCTION("""COMPUTED_VALUE"""),"")</f>
        <v/>
      </c>
      <c r="B8519" s="87"/>
      <c r="C8519" s="87"/>
      <c r="D8519" s="87"/>
      <c r="E8519" s="87"/>
      <c r="F8519" s="87"/>
      <c r="G8519" s="87"/>
    </row>
    <row r="8520">
      <c r="A8520" s="86" t="str">
        <f>IFERROR(__xludf.DUMMYFUNCTION("""COMPUTED_VALUE"""),"")</f>
        <v/>
      </c>
      <c r="B8520" s="87"/>
      <c r="C8520" s="87"/>
      <c r="D8520" s="87"/>
      <c r="E8520" s="87"/>
      <c r="F8520" s="87"/>
      <c r="G8520" s="87"/>
    </row>
    <row r="8521">
      <c r="A8521" s="86" t="str">
        <f>IFERROR(__xludf.DUMMYFUNCTION("""COMPUTED_VALUE"""),"")</f>
        <v/>
      </c>
      <c r="B8521" s="87"/>
      <c r="C8521" s="87"/>
      <c r="D8521" s="87"/>
      <c r="E8521" s="87"/>
      <c r="F8521" s="87"/>
      <c r="G8521" s="87"/>
    </row>
    <row r="8522">
      <c r="A8522" s="86" t="str">
        <f>IFERROR(__xludf.DUMMYFUNCTION("""COMPUTED_VALUE"""),"")</f>
        <v/>
      </c>
      <c r="B8522" s="87"/>
      <c r="C8522" s="87"/>
      <c r="D8522" s="87"/>
      <c r="E8522" s="87"/>
      <c r="F8522" s="87"/>
      <c r="G8522" s="87"/>
    </row>
    <row r="8523">
      <c r="A8523" s="86" t="str">
        <f>IFERROR(__xludf.DUMMYFUNCTION("""COMPUTED_VALUE"""),"")</f>
        <v/>
      </c>
      <c r="B8523" s="87"/>
      <c r="C8523" s="87"/>
      <c r="D8523" s="87"/>
      <c r="E8523" s="87"/>
      <c r="F8523" s="87"/>
      <c r="G8523" s="87"/>
    </row>
    <row r="8524">
      <c r="A8524" s="86" t="str">
        <f>IFERROR(__xludf.DUMMYFUNCTION("""COMPUTED_VALUE"""),"")</f>
        <v/>
      </c>
      <c r="B8524" s="87"/>
      <c r="C8524" s="87"/>
      <c r="D8524" s="87"/>
      <c r="E8524" s="87"/>
      <c r="F8524" s="87"/>
      <c r="G8524" s="87"/>
    </row>
    <row r="8525">
      <c r="A8525" s="86" t="str">
        <f>IFERROR(__xludf.DUMMYFUNCTION("""COMPUTED_VALUE"""),"")</f>
        <v/>
      </c>
      <c r="B8525" s="87"/>
      <c r="C8525" s="87"/>
      <c r="D8525" s="87"/>
      <c r="E8525" s="87"/>
      <c r="F8525" s="87"/>
      <c r="G8525" s="87"/>
    </row>
    <row r="8526">
      <c r="A8526" s="86" t="str">
        <f>IFERROR(__xludf.DUMMYFUNCTION("""COMPUTED_VALUE"""),"")</f>
        <v/>
      </c>
      <c r="B8526" s="87"/>
      <c r="C8526" s="87"/>
      <c r="D8526" s="87"/>
      <c r="E8526" s="87"/>
      <c r="F8526" s="87"/>
      <c r="G8526" s="87"/>
    </row>
    <row r="8527">
      <c r="A8527" s="86" t="str">
        <f>IFERROR(__xludf.DUMMYFUNCTION("""COMPUTED_VALUE"""),"")</f>
        <v/>
      </c>
      <c r="B8527" s="87"/>
      <c r="C8527" s="87"/>
      <c r="D8527" s="87"/>
      <c r="E8527" s="87"/>
      <c r="F8527" s="87"/>
      <c r="G8527" s="87"/>
    </row>
    <row r="8528">
      <c r="A8528" s="86" t="str">
        <f>IFERROR(__xludf.DUMMYFUNCTION("""COMPUTED_VALUE"""),"")</f>
        <v/>
      </c>
      <c r="B8528" s="87"/>
      <c r="C8528" s="87"/>
      <c r="D8528" s="87"/>
      <c r="E8528" s="87"/>
      <c r="F8528" s="87"/>
      <c r="G8528" s="87"/>
    </row>
    <row r="8529">
      <c r="A8529" s="86" t="str">
        <f>IFERROR(__xludf.DUMMYFUNCTION("""COMPUTED_VALUE"""),"")</f>
        <v/>
      </c>
      <c r="B8529" s="87"/>
      <c r="C8529" s="87"/>
      <c r="D8529" s="87"/>
      <c r="E8529" s="87"/>
      <c r="F8529" s="87"/>
      <c r="G8529" s="87"/>
    </row>
    <row r="8530">
      <c r="A8530" s="86" t="str">
        <f>IFERROR(__xludf.DUMMYFUNCTION("""COMPUTED_VALUE"""),"")</f>
        <v/>
      </c>
      <c r="B8530" s="87"/>
      <c r="C8530" s="87"/>
      <c r="D8530" s="87"/>
      <c r="E8530" s="87"/>
      <c r="F8530" s="87"/>
      <c r="G8530" s="87"/>
    </row>
    <row r="8531">
      <c r="A8531" s="86" t="str">
        <f>IFERROR(__xludf.DUMMYFUNCTION("""COMPUTED_VALUE"""),"")</f>
        <v/>
      </c>
      <c r="B8531" s="87"/>
      <c r="C8531" s="87"/>
      <c r="D8531" s="87"/>
      <c r="E8531" s="87"/>
      <c r="F8531" s="87"/>
      <c r="G8531" s="87"/>
    </row>
    <row r="8532">
      <c r="A8532" s="86" t="str">
        <f>IFERROR(__xludf.DUMMYFUNCTION("""COMPUTED_VALUE"""),"")</f>
        <v/>
      </c>
      <c r="B8532" s="87"/>
      <c r="C8532" s="87"/>
      <c r="D8532" s="87"/>
      <c r="E8532" s="87"/>
      <c r="F8532" s="87"/>
      <c r="G8532" s="87"/>
    </row>
    <row r="8533">
      <c r="A8533" s="86" t="str">
        <f>IFERROR(__xludf.DUMMYFUNCTION("""COMPUTED_VALUE"""),"")</f>
        <v/>
      </c>
      <c r="B8533" s="87"/>
      <c r="C8533" s="87"/>
      <c r="D8533" s="87"/>
      <c r="E8533" s="87"/>
      <c r="F8533" s="87"/>
      <c r="G8533" s="87"/>
    </row>
    <row r="8534">
      <c r="A8534" s="86" t="str">
        <f>IFERROR(__xludf.DUMMYFUNCTION("""COMPUTED_VALUE"""),"")</f>
        <v/>
      </c>
      <c r="B8534" s="87"/>
      <c r="C8534" s="87"/>
      <c r="D8534" s="87"/>
      <c r="E8534" s="87"/>
      <c r="F8534" s="87"/>
      <c r="G8534" s="87"/>
    </row>
    <row r="8535">
      <c r="A8535" s="86" t="str">
        <f>IFERROR(__xludf.DUMMYFUNCTION("""COMPUTED_VALUE"""),"")</f>
        <v/>
      </c>
      <c r="B8535" s="87"/>
      <c r="C8535" s="87"/>
      <c r="D8535" s="87"/>
      <c r="E8535" s="87"/>
      <c r="F8535" s="87"/>
      <c r="G8535" s="87"/>
    </row>
    <row r="8536">
      <c r="A8536" s="86" t="str">
        <f>IFERROR(__xludf.DUMMYFUNCTION("""COMPUTED_VALUE"""),"")</f>
        <v/>
      </c>
      <c r="B8536" s="87"/>
      <c r="C8536" s="87"/>
      <c r="D8536" s="87"/>
      <c r="E8536" s="87"/>
      <c r="F8536" s="87"/>
      <c r="G8536" s="87"/>
    </row>
    <row r="8537">
      <c r="A8537" s="86" t="str">
        <f>IFERROR(__xludf.DUMMYFUNCTION("""COMPUTED_VALUE"""),"")</f>
        <v/>
      </c>
      <c r="B8537" s="87"/>
      <c r="C8537" s="87"/>
      <c r="D8537" s="87"/>
      <c r="E8537" s="87"/>
      <c r="F8537" s="87"/>
      <c r="G8537" s="87"/>
    </row>
    <row r="8538">
      <c r="A8538" s="86" t="str">
        <f>IFERROR(__xludf.DUMMYFUNCTION("""COMPUTED_VALUE"""),"")</f>
        <v/>
      </c>
      <c r="B8538" s="87"/>
      <c r="C8538" s="87"/>
      <c r="D8538" s="87"/>
      <c r="E8538" s="87"/>
      <c r="F8538" s="87"/>
      <c r="G8538" s="87"/>
    </row>
    <row r="8539">
      <c r="A8539" s="86" t="str">
        <f>IFERROR(__xludf.DUMMYFUNCTION("""COMPUTED_VALUE"""),"")</f>
        <v/>
      </c>
      <c r="B8539" s="87"/>
      <c r="C8539" s="87"/>
      <c r="D8539" s="87"/>
      <c r="E8539" s="87"/>
      <c r="F8539" s="87"/>
      <c r="G8539" s="87"/>
    </row>
    <row r="8540">
      <c r="A8540" s="86" t="str">
        <f>IFERROR(__xludf.DUMMYFUNCTION("""COMPUTED_VALUE"""),"")</f>
        <v/>
      </c>
      <c r="B8540" s="87"/>
      <c r="C8540" s="87"/>
      <c r="D8540" s="87"/>
      <c r="E8540" s="87"/>
      <c r="F8540" s="87"/>
      <c r="G8540" s="87"/>
    </row>
    <row r="8541">
      <c r="A8541" s="86" t="str">
        <f>IFERROR(__xludf.DUMMYFUNCTION("""COMPUTED_VALUE"""),"")</f>
        <v/>
      </c>
      <c r="B8541" s="87"/>
      <c r="C8541" s="87"/>
      <c r="D8541" s="87"/>
      <c r="E8541" s="87"/>
      <c r="F8541" s="87"/>
      <c r="G8541" s="87"/>
    </row>
    <row r="8542">
      <c r="A8542" s="86" t="str">
        <f>IFERROR(__xludf.DUMMYFUNCTION("""COMPUTED_VALUE"""),"")</f>
        <v/>
      </c>
      <c r="B8542" s="87"/>
      <c r="C8542" s="87"/>
      <c r="D8542" s="87"/>
      <c r="E8542" s="87"/>
      <c r="F8542" s="87"/>
      <c r="G8542" s="87"/>
    </row>
    <row r="8543">
      <c r="A8543" s="86" t="str">
        <f>IFERROR(__xludf.DUMMYFUNCTION("""COMPUTED_VALUE"""),"")</f>
        <v/>
      </c>
      <c r="B8543" s="87"/>
      <c r="C8543" s="87"/>
      <c r="D8543" s="87"/>
      <c r="E8543" s="87"/>
      <c r="F8543" s="87"/>
      <c r="G8543" s="87"/>
    </row>
    <row r="8544">
      <c r="A8544" s="86" t="str">
        <f>IFERROR(__xludf.DUMMYFUNCTION("""COMPUTED_VALUE"""),"")</f>
        <v/>
      </c>
      <c r="B8544" s="87"/>
      <c r="C8544" s="87"/>
      <c r="D8544" s="87"/>
      <c r="E8544" s="87"/>
      <c r="F8544" s="87"/>
      <c r="G8544" s="87"/>
    </row>
    <row r="8545">
      <c r="A8545" s="86" t="str">
        <f>IFERROR(__xludf.DUMMYFUNCTION("""COMPUTED_VALUE"""),"")</f>
        <v/>
      </c>
      <c r="B8545" s="87"/>
      <c r="C8545" s="87"/>
      <c r="D8545" s="87"/>
      <c r="E8545" s="87"/>
      <c r="F8545" s="87"/>
      <c r="G8545" s="87"/>
    </row>
    <row r="8546">
      <c r="A8546" s="86" t="str">
        <f>IFERROR(__xludf.DUMMYFUNCTION("""COMPUTED_VALUE"""),"")</f>
        <v/>
      </c>
      <c r="B8546" s="87"/>
      <c r="C8546" s="87"/>
      <c r="D8546" s="87"/>
      <c r="E8546" s="87"/>
      <c r="F8546" s="87"/>
      <c r="G8546" s="87"/>
    </row>
    <row r="8547">
      <c r="A8547" s="86" t="str">
        <f>IFERROR(__xludf.DUMMYFUNCTION("""COMPUTED_VALUE"""),"")</f>
        <v/>
      </c>
      <c r="B8547" s="87"/>
      <c r="C8547" s="87"/>
      <c r="D8547" s="87"/>
      <c r="E8547" s="87"/>
      <c r="F8547" s="87"/>
      <c r="G8547" s="87"/>
    </row>
    <row r="8548">
      <c r="A8548" s="86" t="str">
        <f>IFERROR(__xludf.DUMMYFUNCTION("""COMPUTED_VALUE"""),"")</f>
        <v/>
      </c>
      <c r="B8548" s="87"/>
      <c r="C8548" s="87"/>
      <c r="D8548" s="87"/>
      <c r="E8548" s="87"/>
      <c r="F8548" s="87"/>
      <c r="G8548" s="87"/>
    </row>
    <row r="8549">
      <c r="A8549" s="86" t="str">
        <f>IFERROR(__xludf.DUMMYFUNCTION("""COMPUTED_VALUE"""),"")</f>
        <v/>
      </c>
      <c r="B8549" s="87"/>
      <c r="C8549" s="87"/>
      <c r="D8549" s="87"/>
      <c r="E8549" s="87"/>
      <c r="F8549" s="87"/>
      <c r="G8549" s="87"/>
    </row>
    <row r="8550">
      <c r="A8550" s="86" t="str">
        <f>IFERROR(__xludf.DUMMYFUNCTION("""COMPUTED_VALUE"""),"")</f>
        <v/>
      </c>
      <c r="B8550" s="87"/>
      <c r="C8550" s="87"/>
      <c r="D8550" s="87"/>
      <c r="E8550" s="87"/>
      <c r="F8550" s="87"/>
      <c r="G8550" s="87"/>
    </row>
    <row r="8551">
      <c r="A8551" s="86" t="str">
        <f>IFERROR(__xludf.DUMMYFUNCTION("""COMPUTED_VALUE"""),"")</f>
        <v/>
      </c>
      <c r="B8551" s="87"/>
      <c r="C8551" s="87"/>
      <c r="D8551" s="87"/>
      <c r="E8551" s="87"/>
      <c r="F8551" s="87"/>
      <c r="G8551" s="87"/>
    </row>
    <row r="8552">
      <c r="A8552" s="86" t="str">
        <f>IFERROR(__xludf.DUMMYFUNCTION("""COMPUTED_VALUE"""),"")</f>
        <v/>
      </c>
      <c r="B8552" s="87"/>
      <c r="C8552" s="87"/>
      <c r="D8552" s="87"/>
      <c r="E8552" s="87"/>
      <c r="F8552" s="87"/>
      <c r="G8552" s="87"/>
    </row>
    <row r="8553">
      <c r="A8553" s="86" t="str">
        <f>IFERROR(__xludf.DUMMYFUNCTION("""COMPUTED_VALUE"""),"")</f>
        <v/>
      </c>
      <c r="B8553" s="87"/>
      <c r="C8553" s="87"/>
      <c r="D8553" s="87"/>
      <c r="E8553" s="87"/>
      <c r="F8553" s="87"/>
      <c r="G8553" s="87"/>
    </row>
    <row r="8554">
      <c r="A8554" s="86" t="str">
        <f>IFERROR(__xludf.DUMMYFUNCTION("""COMPUTED_VALUE"""),"")</f>
        <v/>
      </c>
      <c r="B8554" s="87"/>
      <c r="C8554" s="87"/>
      <c r="D8554" s="87"/>
      <c r="E8554" s="87"/>
      <c r="F8554" s="87"/>
      <c r="G8554" s="87"/>
    </row>
    <row r="8555">
      <c r="A8555" s="86" t="str">
        <f>IFERROR(__xludf.DUMMYFUNCTION("""COMPUTED_VALUE"""),"")</f>
        <v/>
      </c>
      <c r="B8555" s="87"/>
      <c r="C8555" s="87"/>
      <c r="D8555" s="87"/>
      <c r="E8555" s="87"/>
      <c r="F8555" s="87"/>
      <c r="G8555" s="87"/>
    </row>
    <row r="8556">
      <c r="A8556" s="86" t="str">
        <f>IFERROR(__xludf.DUMMYFUNCTION("""COMPUTED_VALUE"""),"")</f>
        <v/>
      </c>
      <c r="B8556" s="87"/>
      <c r="C8556" s="87"/>
      <c r="D8556" s="87"/>
      <c r="E8556" s="87"/>
      <c r="F8556" s="87"/>
      <c r="G8556" s="87"/>
    </row>
    <row r="8557">
      <c r="A8557" s="86" t="str">
        <f>IFERROR(__xludf.DUMMYFUNCTION("""COMPUTED_VALUE"""),"")</f>
        <v/>
      </c>
      <c r="B8557" s="87"/>
      <c r="C8557" s="87"/>
      <c r="D8557" s="87"/>
      <c r="E8557" s="87"/>
      <c r="F8557" s="87"/>
      <c r="G8557" s="87"/>
    </row>
    <row r="8558">
      <c r="A8558" s="86" t="str">
        <f>IFERROR(__xludf.DUMMYFUNCTION("""COMPUTED_VALUE"""),"")</f>
        <v/>
      </c>
      <c r="B8558" s="87"/>
      <c r="C8558" s="87"/>
      <c r="D8558" s="87"/>
      <c r="E8558" s="87"/>
      <c r="F8558" s="87"/>
      <c r="G8558" s="87"/>
    </row>
    <row r="8559">
      <c r="A8559" s="86" t="str">
        <f>IFERROR(__xludf.DUMMYFUNCTION("""COMPUTED_VALUE"""),"")</f>
        <v/>
      </c>
      <c r="B8559" s="87"/>
      <c r="C8559" s="87"/>
      <c r="D8559" s="87"/>
      <c r="E8559" s="87"/>
      <c r="F8559" s="87"/>
      <c r="G8559" s="87"/>
    </row>
    <row r="8560">
      <c r="A8560" s="86" t="str">
        <f>IFERROR(__xludf.DUMMYFUNCTION("""COMPUTED_VALUE"""),"")</f>
        <v/>
      </c>
      <c r="B8560" s="87"/>
      <c r="C8560" s="87"/>
      <c r="D8560" s="87"/>
      <c r="E8560" s="87"/>
      <c r="F8560" s="87"/>
      <c r="G8560" s="87"/>
    </row>
    <row r="8561">
      <c r="A8561" s="86" t="str">
        <f>IFERROR(__xludf.DUMMYFUNCTION("""COMPUTED_VALUE"""),"")</f>
        <v/>
      </c>
      <c r="B8561" s="87"/>
      <c r="C8561" s="87"/>
      <c r="D8561" s="87"/>
      <c r="E8561" s="87"/>
      <c r="F8561" s="87"/>
      <c r="G8561" s="87"/>
    </row>
    <row r="8562">
      <c r="A8562" s="86" t="str">
        <f>IFERROR(__xludf.DUMMYFUNCTION("""COMPUTED_VALUE"""),"")</f>
        <v/>
      </c>
      <c r="B8562" s="87"/>
      <c r="C8562" s="87"/>
      <c r="D8562" s="87"/>
      <c r="E8562" s="87"/>
      <c r="F8562" s="87"/>
      <c r="G8562" s="87"/>
    </row>
    <row r="8563">
      <c r="A8563" s="86" t="str">
        <f>IFERROR(__xludf.DUMMYFUNCTION("""COMPUTED_VALUE"""),"")</f>
        <v/>
      </c>
      <c r="B8563" s="87"/>
      <c r="C8563" s="87"/>
      <c r="D8563" s="87"/>
      <c r="E8563" s="87"/>
      <c r="F8563" s="87"/>
      <c r="G8563" s="87"/>
    </row>
    <row r="8564">
      <c r="A8564" s="86" t="str">
        <f>IFERROR(__xludf.DUMMYFUNCTION("""COMPUTED_VALUE"""),"")</f>
        <v/>
      </c>
      <c r="B8564" s="87"/>
      <c r="C8564" s="87"/>
      <c r="D8564" s="87"/>
      <c r="E8564" s="87"/>
      <c r="F8564" s="87"/>
      <c r="G8564" s="87"/>
    </row>
    <row r="8565">
      <c r="A8565" s="86" t="str">
        <f>IFERROR(__xludf.DUMMYFUNCTION("""COMPUTED_VALUE"""),"")</f>
        <v/>
      </c>
      <c r="B8565" s="87"/>
      <c r="C8565" s="87"/>
      <c r="D8565" s="87"/>
      <c r="E8565" s="87"/>
      <c r="F8565" s="87"/>
      <c r="G8565" s="87"/>
    </row>
    <row r="8566">
      <c r="A8566" s="86" t="str">
        <f>IFERROR(__xludf.DUMMYFUNCTION("""COMPUTED_VALUE"""),"")</f>
        <v/>
      </c>
      <c r="B8566" s="87"/>
      <c r="C8566" s="87"/>
      <c r="D8566" s="87"/>
      <c r="E8566" s="87"/>
      <c r="F8566" s="87"/>
      <c r="G8566" s="87"/>
    </row>
    <row r="8567">
      <c r="A8567" s="86" t="str">
        <f>IFERROR(__xludf.DUMMYFUNCTION("""COMPUTED_VALUE"""),"")</f>
        <v/>
      </c>
      <c r="B8567" s="87"/>
      <c r="C8567" s="87"/>
      <c r="D8567" s="87"/>
      <c r="E8567" s="87"/>
      <c r="F8567" s="87"/>
      <c r="G8567" s="87"/>
    </row>
    <row r="8568">
      <c r="A8568" s="86" t="str">
        <f>IFERROR(__xludf.DUMMYFUNCTION("""COMPUTED_VALUE"""),"")</f>
        <v/>
      </c>
      <c r="B8568" s="87"/>
      <c r="C8568" s="87"/>
      <c r="D8568" s="87"/>
      <c r="E8568" s="87"/>
      <c r="F8568" s="87"/>
      <c r="G8568" s="87"/>
    </row>
    <row r="8569">
      <c r="A8569" s="86" t="str">
        <f>IFERROR(__xludf.DUMMYFUNCTION("""COMPUTED_VALUE"""),"")</f>
        <v/>
      </c>
      <c r="B8569" s="87"/>
      <c r="C8569" s="87"/>
      <c r="D8569" s="87"/>
      <c r="E8569" s="87"/>
      <c r="F8569" s="87"/>
      <c r="G8569" s="87"/>
    </row>
    <row r="8570">
      <c r="A8570" s="86" t="str">
        <f>IFERROR(__xludf.DUMMYFUNCTION("""COMPUTED_VALUE"""),"")</f>
        <v/>
      </c>
      <c r="B8570" s="87"/>
      <c r="C8570" s="87"/>
      <c r="D8570" s="87"/>
      <c r="E8570" s="87"/>
      <c r="F8570" s="87"/>
      <c r="G8570" s="87"/>
    </row>
    <row r="8571">
      <c r="A8571" s="86" t="str">
        <f>IFERROR(__xludf.DUMMYFUNCTION("""COMPUTED_VALUE"""),"")</f>
        <v/>
      </c>
      <c r="B8571" s="87"/>
      <c r="C8571" s="87"/>
      <c r="D8571" s="87"/>
      <c r="E8571" s="87"/>
      <c r="F8571" s="87"/>
      <c r="G8571" s="87"/>
    </row>
    <row r="8572">
      <c r="A8572" s="86" t="str">
        <f>IFERROR(__xludf.DUMMYFUNCTION("""COMPUTED_VALUE"""),"")</f>
        <v/>
      </c>
      <c r="B8572" s="87"/>
      <c r="C8572" s="87"/>
      <c r="D8572" s="87"/>
      <c r="E8572" s="87"/>
      <c r="F8572" s="87"/>
      <c r="G8572" s="87"/>
    </row>
    <row r="8573">
      <c r="A8573" s="86" t="str">
        <f>IFERROR(__xludf.DUMMYFUNCTION("""COMPUTED_VALUE"""),"")</f>
        <v/>
      </c>
      <c r="B8573" s="87"/>
      <c r="C8573" s="87"/>
      <c r="D8573" s="87"/>
      <c r="E8573" s="87"/>
      <c r="F8573" s="87"/>
      <c r="G8573" s="87"/>
    </row>
    <row r="8574">
      <c r="A8574" s="86" t="str">
        <f>IFERROR(__xludf.DUMMYFUNCTION("""COMPUTED_VALUE"""),"")</f>
        <v/>
      </c>
      <c r="B8574" s="87"/>
      <c r="C8574" s="87"/>
      <c r="D8574" s="87"/>
      <c r="E8574" s="87"/>
      <c r="F8574" s="87"/>
      <c r="G8574" s="87"/>
    </row>
    <row r="8575">
      <c r="A8575" s="86" t="str">
        <f>IFERROR(__xludf.DUMMYFUNCTION("""COMPUTED_VALUE"""),"")</f>
        <v/>
      </c>
      <c r="B8575" s="87"/>
      <c r="C8575" s="87"/>
      <c r="D8575" s="87"/>
      <c r="E8575" s="87"/>
      <c r="F8575" s="87"/>
      <c r="G8575" s="87"/>
    </row>
    <row r="8576">
      <c r="A8576" s="86" t="str">
        <f>IFERROR(__xludf.DUMMYFUNCTION("""COMPUTED_VALUE"""),"")</f>
        <v/>
      </c>
      <c r="B8576" s="87"/>
      <c r="C8576" s="87"/>
      <c r="D8576" s="87"/>
      <c r="E8576" s="87"/>
      <c r="F8576" s="87"/>
      <c r="G8576" s="87"/>
    </row>
    <row r="8577">
      <c r="A8577" s="86" t="str">
        <f>IFERROR(__xludf.DUMMYFUNCTION("""COMPUTED_VALUE"""),"")</f>
        <v/>
      </c>
      <c r="B8577" s="87"/>
      <c r="C8577" s="87"/>
      <c r="D8577" s="87"/>
      <c r="E8577" s="87"/>
      <c r="F8577" s="87"/>
      <c r="G8577" s="87"/>
    </row>
    <row r="8578">
      <c r="A8578" s="86" t="str">
        <f>IFERROR(__xludf.DUMMYFUNCTION("""COMPUTED_VALUE"""),"")</f>
        <v/>
      </c>
      <c r="B8578" s="87"/>
      <c r="C8578" s="87"/>
      <c r="D8578" s="87"/>
      <c r="E8578" s="87"/>
      <c r="F8578" s="87"/>
      <c r="G8578" s="87"/>
    </row>
    <row r="8579">
      <c r="A8579" s="86" t="str">
        <f>IFERROR(__xludf.DUMMYFUNCTION("""COMPUTED_VALUE"""),"")</f>
        <v/>
      </c>
      <c r="B8579" s="87"/>
      <c r="C8579" s="87"/>
      <c r="D8579" s="87"/>
      <c r="E8579" s="87"/>
      <c r="F8579" s="87"/>
      <c r="G8579" s="87"/>
    </row>
    <row r="8580">
      <c r="A8580" s="86" t="str">
        <f>IFERROR(__xludf.DUMMYFUNCTION("""COMPUTED_VALUE"""),"")</f>
        <v/>
      </c>
      <c r="B8580" s="87"/>
      <c r="C8580" s="87"/>
      <c r="D8580" s="87"/>
      <c r="E8580" s="87"/>
      <c r="F8580" s="87"/>
      <c r="G8580" s="87"/>
    </row>
    <row r="8581">
      <c r="A8581" s="86" t="str">
        <f>IFERROR(__xludf.DUMMYFUNCTION("""COMPUTED_VALUE"""),"")</f>
        <v/>
      </c>
      <c r="B8581" s="87"/>
      <c r="C8581" s="87"/>
      <c r="D8581" s="87"/>
      <c r="E8581" s="87"/>
      <c r="F8581" s="87"/>
      <c r="G8581" s="87"/>
    </row>
    <row r="8582">
      <c r="A8582" s="86" t="str">
        <f>IFERROR(__xludf.DUMMYFUNCTION("""COMPUTED_VALUE"""),"")</f>
        <v/>
      </c>
      <c r="B8582" s="87"/>
      <c r="C8582" s="87"/>
      <c r="D8582" s="87"/>
      <c r="E8582" s="87"/>
      <c r="F8582" s="87"/>
      <c r="G8582" s="87"/>
    </row>
    <row r="8583">
      <c r="A8583" s="86" t="str">
        <f>IFERROR(__xludf.DUMMYFUNCTION("""COMPUTED_VALUE"""),"")</f>
        <v/>
      </c>
      <c r="B8583" s="87"/>
      <c r="C8583" s="87"/>
      <c r="D8583" s="87"/>
      <c r="E8583" s="87"/>
      <c r="F8583" s="87"/>
      <c r="G8583" s="87"/>
    </row>
    <row r="8584">
      <c r="A8584" s="86" t="str">
        <f>IFERROR(__xludf.DUMMYFUNCTION("""COMPUTED_VALUE"""),"")</f>
        <v/>
      </c>
      <c r="B8584" s="87"/>
      <c r="C8584" s="87"/>
      <c r="D8584" s="87"/>
      <c r="E8584" s="87"/>
      <c r="F8584" s="87"/>
      <c r="G8584" s="87"/>
    </row>
    <row r="8585">
      <c r="A8585" s="86" t="str">
        <f>IFERROR(__xludf.DUMMYFUNCTION("""COMPUTED_VALUE"""),"")</f>
        <v/>
      </c>
      <c r="B8585" s="87"/>
      <c r="C8585" s="87"/>
      <c r="D8585" s="87"/>
      <c r="E8585" s="87"/>
      <c r="F8585" s="87"/>
      <c r="G8585" s="87"/>
    </row>
    <row r="8586">
      <c r="A8586" s="86" t="str">
        <f>IFERROR(__xludf.DUMMYFUNCTION("""COMPUTED_VALUE"""),"")</f>
        <v/>
      </c>
      <c r="B8586" s="87"/>
      <c r="C8586" s="87"/>
      <c r="D8586" s="87"/>
      <c r="E8586" s="87"/>
      <c r="F8586" s="87"/>
      <c r="G8586" s="87"/>
    </row>
    <row r="8587">
      <c r="A8587" s="86" t="str">
        <f>IFERROR(__xludf.DUMMYFUNCTION("""COMPUTED_VALUE"""),"")</f>
        <v/>
      </c>
      <c r="B8587" s="87"/>
      <c r="C8587" s="87"/>
      <c r="D8587" s="87"/>
      <c r="E8587" s="87"/>
      <c r="F8587" s="87"/>
      <c r="G8587" s="87"/>
    </row>
    <row r="8588">
      <c r="A8588" s="86" t="str">
        <f>IFERROR(__xludf.DUMMYFUNCTION("""COMPUTED_VALUE"""),"")</f>
        <v/>
      </c>
      <c r="B8588" s="87"/>
      <c r="C8588" s="87"/>
      <c r="D8588" s="87"/>
      <c r="E8588" s="87"/>
      <c r="F8588" s="87"/>
      <c r="G8588" s="87"/>
    </row>
    <row r="8589">
      <c r="A8589" s="86" t="str">
        <f>IFERROR(__xludf.DUMMYFUNCTION("""COMPUTED_VALUE"""),"")</f>
        <v/>
      </c>
      <c r="B8589" s="87"/>
      <c r="C8589" s="87"/>
      <c r="D8589" s="87"/>
      <c r="E8589" s="87"/>
      <c r="F8589" s="87"/>
      <c r="G8589" s="87"/>
    </row>
    <row r="8590">
      <c r="A8590" s="86" t="str">
        <f>IFERROR(__xludf.DUMMYFUNCTION("""COMPUTED_VALUE"""),"")</f>
        <v/>
      </c>
      <c r="B8590" s="87"/>
      <c r="C8590" s="87"/>
      <c r="D8590" s="87"/>
      <c r="E8590" s="87"/>
      <c r="F8590" s="87"/>
      <c r="G8590" s="87"/>
    </row>
    <row r="8591">
      <c r="A8591" s="86" t="str">
        <f>IFERROR(__xludf.DUMMYFUNCTION("""COMPUTED_VALUE"""),"")</f>
        <v/>
      </c>
      <c r="B8591" s="87"/>
      <c r="C8591" s="87"/>
      <c r="D8591" s="87"/>
      <c r="E8591" s="87"/>
      <c r="F8591" s="87"/>
      <c r="G8591" s="87"/>
    </row>
    <row r="8592">
      <c r="A8592" s="86" t="str">
        <f>IFERROR(__xludf.DUMMYFUNCTION("""COMPUTED_VALUE"""),"")</f>
        <v/>
      </c>
      <c r="B8592" s="87"/>
      <c r="C8592" s="87"/>
      <c r="D8592" s="87"/>
      <c r="E8592" s="87"/>
      <c r="F8592" s="87"/>
      <c r="G8592" s="87"/>
    </row>
    <row r="8593">
      <c r="A8593" s="86" t="str">
        <f>IFERROR(__xludf.DUMMYFUNCTION("""COMPUTED_VALUE"""),"")</f>
        <v/>
      </c>
      <c r="B8593" s="87"/>
      <c r="C8593" s="87"/>
      <c r="D8593" s="87"/>
      <c r="E8593" s="87"/>
      <c r="F8593" s="87"/>
      <c r="G8593" s="87"/>
    </row>
    <row r="8594">
      <c r="A8594" s="86" t="str">
        <f>IFERROR(__xludf.DUMMYFUNCTION("""COMPUTED_VALUE"""),"")</f>
        <v/>
      </c>
      <c r="B8594" s="87"/>
      <c r="C8594" s="87"/>
      <c r="D8594" s="87"/>
      <c r="E8594" s="87"/>
      <c r="F8594" s="87"/>
      <c r="G8594" s="87"/>
    </row>
    <row r="8595">
      <c r="A8595" s="86" t="str">
        <f>IFERROR(__xludf.DUMMYFUNCTION("""COMPUTED_VALUE"""),"")</f>
        <v/>
      </c>
      <c r="B8595" s="87"/>
      <c r="C8595" s="87"/>
      <c r="D8595" s="87"/>
      <c r="E8595" s="87"/>
      <c r="F8595" s="87"/>
      <c r="G8595" s="87"/>
    </row>
    <row r="8596">
      <c r="A8596" s="86" t="str">
        <f>IFERROR(__xludf.DUMMYFUNCTION("""COMPUTED_VALUE"""),"")</f>
        <v/>
      </c>
      <c r="B8596" s="87"/>
      <c r="C8596" s="87"/>
      <c r="D8596" s="87"/>
      <c r="E8596" s="87"/>
      <c r="F8596" s="87"/>
      <c r="G8596" s="87"/>
    </row>
    <row r="8597">
      <c r="A8597" s="86" t="str">
        <f>IFERROR(__xludf.DUMMYFUNCTION("""COMPUTED_VALUE"""),"")</f>
        <v/>
      </c>
      <c r="B8597" s="87"/>
      <c r="C8597" s="87"/>
      <c r="D8597" s="87"/>
      <c r="E8597" s="87"/>
      <c r="F8597" s="87"/>
      <c r="G8597" s="87"/>
    </row>
    <row r="8598">
      <c r="A8598" s="86" t="str">
        <f>IFERROR(__xludf.DUMMYFUNCTION("""COMPUTED_VALUE"""),"")</f>
        <v/>
      </c>
      <c r="B8598" s="87"/>
      <c r="C8598" s="87"/>
      <c r="D8598" s="87"/>
      <c r="E8598" s="87"/>
      <c r="F8598" s="87"/>
      <c r="G8598" s="87"/>
    </row>
    <row r="8599">
      <c r="A8599" s="86" t="str">
        <f>IFERROR(__xludf.DUMMYFUNCTION("""COMPUTED_VALUE"""),"")</f>
        <v/>
      </c>
      <c r="B8599" s="87"/>
      <c r="C8599" s="87"/>
      <c r="D8599" s="87"/>
      <c r="E8599" s="87"/>
      <c r="F8599" s="87"/>
      <c r="G8599" s="87"/>
    </row>
    <row r="8600">
      <c r="A8600" s="86" t="str">
        <f>IFERROR(__xludf.DUMMYFUNCTION("""COMPUTED_VALUE"""),"")</f>
        <v/>
      </c>
      <c r="B8600" s="87"/>
      <c r="C8600" s="87"/>
      <c r="D8600" s="87"/>
      <c r="E8600" s="87"/>
      <c r="F8600" s="87"/>
      <c r="G8600" s="87"/>
    </row>
    <row r="8601">
      <c r="A8601" s="86" t="str">
        <f>IFERROR(__xludf.DUMMYFUNCTION("""COMPUTED_VALUE"""),"")</f>
        <v/>
      </c>
      <c r="B8601" s="87"/>
      <c r="C8601" s="87"/>
      <c r="D8601" s="87"/>
      <c r="E8601" s="87"/>
      <c r="F8601" s="87"/>
      <c r="G8601" s="87"/>
    </row>
    <row r="8602">
      <c r="A8602" s="86" t="str">
        <f>IFERROR(__xludf.DUMMYFUNCTION("""COMPUTED_VALUE"""),"")</f>
        <v/>
      </c>
      <c r="B8602" s="87"/>
      <c r="C8602" s="87"/>
      <c r="D8602" s="87"/>
      <c r="E8602" s="87"/>
      <c r="F8602" s="87"/>
      <c r="G8602" s="87"/>
    </row>
    <row r="8603">
      <c r="A8603" s="86" t="str">
        <f>IFERROR(__xludf.DUMMYFUNCTION("""COMPUTED_VALUE"""),"")</f>
        <v/>
      </c>
      <c r="B8603" s="87"/>
      <c r="C8603" s="87"/>
      <c r="D8603" s="87"/>
      <c r="E8603" s="87"/>
      <c r="F8603" s="87"/>
      <c r="G8603" s="87"/>
    </row>
    <row r="8604">
      <c r="A8604" s="86" t="str">
        <f>IFERROR(__xludf.DUMMYFUNCTION("""COMPUTED_VALUE"""),"")</f>
        <v/>
      </c>
      <c r="B8604" s="87"/>
      <c r="C8604" s="87"/>
      <c r="D8604" s="87"/>
      <c r="E8604" s="87"/>
      <c r="F8604" s="87"/>
      <c r="G8604" s="87"/>
    </row>
    <row r="8605">
      <c r="A8605" s="86" t="str">
        <f>IFERROR(__xludf.DUMMYFUNCTION("""COMPUTED_VALUE"""),"")</f>
        <v/>
      </c>
      <c r="B8605" s="87"/>
      <c r="C8605" s="87"/>
      <c r="D8605" s="87"/>
      <c r="E8605" s="87"/>
      <c r="F8605" s="87"/>
      <c r="G8605" s="87"/>
    </row>
    <row r="8606">
      <c r="A8606" s="86" t="str">
        <f>IFERROR(__xludf.DUMMYFUNCTION("""COMPUTED_VALUE"""),"")</f>
        <v/>
      </c>
      <c r="B8606" s="87"/>
      <c r="C8606" s="87"/>
      <c r="D8606" s="87"/>
      <c r="E8606" s="87"/>
      <c r="F8606" s="87"/>
      <c r="G8606" s="87"/>
    </row>
    <row r="8607">
      <c r="A8607" s="86" t="str">
        <f>IFERROR(__xludf.DUMMYFUNCTION("""COMPUTED_VALUE"""),"")</f>
        <v/>
      </c>
      <c r="B8607" s="87"/>
      <c r="C8607" s="87"/>
      <c r="D8607" s="87"/>
      <c r="E8607" s="87"/>
      <c r="F8607" s="87"/>
      <c r="G8607" s="87"/>
    </row>
    <row r="8608">
      <c r="A8608" s="86" t="str">
        <f>IFERROR(__xludf.DUMMYFUNCTION("""COMPUTED_VALUE"""),"")</f>
        <v/>
      </c>
      <c r="B8608" s="87"/>
      <c r="C8608" s="87"/>
      <c r="D8608" s="87"/>
      <c r="E8608" s="87"/>
      <c r="F8608" s="87"/>
      <c r="G8608" s="87"/>
    </row>
    <row r="8609">
      <c r="A8609" s="86" t="str">
        <f>IFERROR(__xludf.DUMMYFUNCTION("""COMPUTED_VALUE"""),"")</f>
        <v/>
      </c>
      <c r="B8609" s="87"/>
      <c r="C8609" s="87"/>
      <c r="D8609" s="87"/>
      <c r="E8609" s="87"/>
      <c r="F8609" s="87"/>
      <c r="G8609" s="87"/>
    </row>
    <row r="8610">
      <c r="A8610" s="86" t="str">
        <f>IFERROR(__xludf.DUMMYFUNCTION("""COMPUTED_VALUE"""),"")</f>
        <v/>
      </c>
      <c r="B8610" s="87"/>
      <c r="C8610" s="87"/>
      <c r="D8610" s="87"/>
      <c r="E8610" s="87"/>
      <c r="F8610" s="87"/>
      <c r="G8610" s="87"/>
    </row>
    <row r="8611">
      <c r="A8611" s="86" t="str">
        <f>IFERROR(__xludf.DUMMYFUNCTION("""COMPUTED_VALUE"""),"")</f>
        <v/>
      </c>
      <c r="B8611" s="87"/>
      <c r="C8611" s="87"/>
      <c r="D8611" s="87"/>
      <c r="E8611" s="87"/>
      <c r="F8611" s="87"/>
      <c r="G8611" s="87"/>
    </row>
    <row r="8612">
      <c r="A8612" s="86" t="str">
        <f>IFERROR(__xludf.DUMMYFUNCTION("""COMPUTED_VALUE"""),"")</f>
        <v/>
      </c>
      <c r="B8612" s="87"/>
      <c r="C8612" s="87"/>
      <c r="D8612" s="87"/>
      <c r="E8612" s="87"/>
      <c r="F8612" s="87"/>
      <c r="G8612" s="87"/>
    </row>
    <row r="8613">
      <c r="A8613" s="86" t="str">
        <f>IFERROR(__xludf.DUMMYFUNCTION("""COMPUTED_VALUE"""),"")</f>
        <v/>
      </c>
      <c r="B8613" s="87"/>
      <c r="C8613" s="87"/>
      <c r="D8613" s="87"/>
      <c r="E8613" s="87"/>
      <c r="F8613" s="87"/>
      <c r="G8613" s="87"/>
    </row>
    <row r="8614">
      <c r="A8614" s="86" t="str">
        <f>IFERROR(__xludf.DUMMYFUNCTION("""COMPUTED_VALUE"""),"")</f>
        <v/>
      </c>
      <c r="B8614" s="87"/>
      <c r="C8614" s="87"/>
      <c r="D8614" s="87"/>
      <c r="E8614" s="87"/>
      <c r="F8614" s="87"/>
      <c r="G8614" s="87"/>
    </row>
    <row r="8615">
      <c r="A8615" s="86" t="str">
        <f>IFERROR(__xludf.DUMMYFUNCTION("""COMPUTED_VALUE"""),"")</f>
        <v/>
      </c>
      <c r="B8615" s="87"/>
      <c r="C8615" s="87"/>
      <c r="D8615" s="87"/>
      <c r="E8615" s="87"/>
      <c r="F8615" s="87"/>
      <c r="G8615" s="87"/>
    </row>
    <row r="8616">
      <c r="A8616" s="86" t="str">
        <f>IFERROR(__xludf.DUMMYFUNCTION("""COMPUTED_VALUE"""),"")</f>
        <v/>
      </c>
      <c r="B8616" s="87"/>
      <c r="C8616" s="87"/>
      <c r="D8616" s="87"/>
      <c r="E8616" s="87"/>
      <c r="F8616" s="87"/>
      <c r="G8616" s="87"/>
    </row>
    <row r="8617">
      <c r="A8617" s="86" t="str">
        <f>IFERROR(__xludf.DUMMYFUNCTION("""COMPUTED_VALUE"""),"")</f>
        <v/>
      </c>
      <c r="B8617" s="87"/>
      <c r="C8617" s="87"/>
      <c r="D8617" s="87"/>
      <c r="E8617" s="87"/>
      <c r="F8617" s="87"/>
      <c r="G8617" s="87"/>
    </row>
    <row r="8618">
      <c r="A8618" s="86" t="str">
        <f>IFERROR(__xludf.DUMMYFUNCTION("""COMPUTED_VALUE"""),"")</f>
        <v/>
      </c>
      <c r="B8618" s="87"/>
      <c r="C8618" s="87"/>
      <c r="D8618" s="87"/>
      <c r="E8618" s="87"/>
      <c r="F8618" s="87"/>
      <c r="G8618" s="87"/>
    </row>
    <row r="8619">
      <c r="A8619" s="86" t="str">
        <f>IFERROR(__xludf.DUMMYFUNCTION("""COMPUTED_VALUE"""),"")</f>
        <v/>
      </c>
      <c r="B8619" s="87"/>
      <c r="C8619" s="87"/>
      <c r="D8619" s="87"/>
      <c r="E8619" s="87"/>
      <c r="F8619" s="87"/>
      <c r="G8619" s="87"/>
    </row>
    <row r="8620">
      <c r="A8620" s="86" t="str">
        <f>IFERROR(__xludf.DUMMYFUNCTION("""COMPUTED_VALUE"""),"")</f>
        <v/>
      </c>
      <c r="B8620" s="87"/>
      <c r="C8620" s="87"/>
      <c r="D8620" s="87"/>
      <c r="E8620" s="87"/>
      <c r="F8620" s="87"/>
      <c r="G8620" s="87"/>
    </row>
    <row r="8621">
      <c r="A8621" s="86" t="str">
        <f>IFERROR(__xludf.DUMMYFUNCTION("""COMPUTED_VALUE"""),"")</f>
        <v/>
      </c>
      <c r="B8621" s="87"/>
      <c r="C8621" s="87"/>
      <c r="D8621" s="87"/>
      <c r="E8621" s="87"/>
      <c r="F8621" s="87"/>
      <c r="G8621" s="87"/>
    </row>
    <row r="8622">
      <c r="A8622" s="86" t="str">
        <f>IFERROR(__xludf.DUMMYFUNCTION("""COMPUTED_VALUE"""),"")</f>
        <v/>
      </c>
      <c r="B8622" s="87"/>
      <c r="C8622" s="87"/>
      <c r="D8622" s="87"/>
      <c r="E8622" s="87"/>
      <c r="F8622" s="87"/>
      <c r="G8622" s="87"/>
    </row>
    <row r="8623">
      <c r="A8623" s="86" t="str">
        <f>IFERROR(__xludf.DUMMYFUNCTION("""COMPUTED_VALUE"""),"")</f>
        <v/>
      </c>
      <c r="B8623" s="87"/>
      <c r="C8623" s="87"/>
      <c r="D8623" s="87"/>
      <c r="E8623" s="87"/>
      <c r="F8623" s="87"/>
      <c r="G8623" s="87"/>
    </row>
    <row r="8624">
      <c r="A8624" s="86" t="str">
        <f>IFERROR(__xludf.DUMMYFUNCTION("""COMPUTED_VALUE"""),"")</f>
        <v/>
      </c>
      <c r="B8624" s="87"/>
      <c r="C8624" s="87"/>
      <c r="D8624" s="87"/>
      <c r="E8624" s="87"/>
      <c r="F8624" s="87"/>
      <c r="G8624" s="87"/>
    </row>
    <row r="8625">
      <c r="A8625" s="86" t="str">
        <f>IFERROR(__xludf.DUMMYFUNCTION("""COMPUTED_VALUE"""),"")</f>
        <v/>
      </c>
      <c r="B8625" s="87"/>
      <c r="C8625" s="87"/>
      <c r="D8625" s="87"/>
      <c r="E8625" s="87"/>
      <c r="F8625" s="87"/>
      <c r="G8625" s="87"/>
    </row>
    <row r="8626">
      <c r="A8626" s="86" t="str">
        <f>IFERROR(__xludf.DUMMYFUNCTION("""COMPUTED_VALUE"""),"")</f>
        <v/>
      </c>
      <c r="B8626" s="87"/>
      <c r="C8626" s="87"/>
      <c r="D8626" s="87"/>
      <c r="E8626" s="87"/>
      <c r="F8626" s="87"/>
      <c r="G8626" s="87"/>
    </row>
    <row r="8627">
      <c r="A8627" s="86" t="str">
        <f>IFERROR(__xludf.DUMMYFUNCTION("""COMPUTED_VALUE"""),"")</f>
        <v/>
      </c>
      <c r="B8627" s="87"/>
      <c r="C8627" s="87"/>
      <c r="D8627" s="87"/>
      <c r="E8627" s="87"/>
      <c r="F8627" s="87"/>
      <c r="G8627" s="87"/>
    </row>
    <row r="8628">
      <c r="A8628" s="86" t="str">
        <f>IFERROR(__xludf.DUMMYFUNCTION("""COMPUTED_VALUE"""),"")</f>
        <v/>
      </c>
      <c r="B8628" s="87"/>
      <c r="C8628" s="87"/>
      <c r="D8628" s="87"/>
      <c r="E8628" s="87"/>
      <c r="F8628" s="87"/>
      <c r="G8628" s="87"/>
    </row>
    <row r="8629">
      <c r="A8629" s="86" t="str">
        <f>IFERROR(__xludf.DUMMYFUNCTION("""COMPUTED_VALUE"""),"")</f>
        <v/>
      </c>
      <c r="B8629" s="87"/>
      <c r="C8629" s="87"/>
      <c r="D8629" s="87"/>
      <c r="E8629" s="87"/>
      <c r="F8629" s="87"/>
      <c r="G8629" s="87"/>
    </row>
    <row r="8630">
      <c r="A8630" s="86" t="str">
        <f>IFERROR(__xludf.DUMMYFUNCTION("""COMPUTED_VALUE"""),"")</f>
        <v/>
      </c>
      <c r="B8630" s="87"/>
      <c r="C8630" s="87"/>
      <c r="D8630" s="87"/>
      <c r="E8630" s="87"/>
      <c r="F8630" s="87"/>
      <c r="G8630" s="87"/>
    </row>
    <row r="8631">
      <c r="A8631" s="86" t="str">
        <f>IFERROR(__xludf.DUMMYFUNCTION("""COMPUTED_VALUE"""),"")</f>
        <v/>
      </c>
      <c r="B8631" s="87"/>
      <c r="C8631" s="87"/>
      <c r="D8631" s="87"/>
      <c r="E8631" s="87"/>
      <c r="F8631" s="87"/>
      <c r="G8631" s="87"/>
    </row>
    <row r="8632">
      <c r="A8632" s="86" t="str">
        <f>IFERROR(__xludf.DUMMYFUNCTION("""COMPUTED_VALUE"""),"")</f>
        <v/>
      </c>
      <c r="B8632" s="87"/>
      <c r="C8632" s="87"/>
      <c r="D8632" s="87"/>
      <c r="E8632" s="87"/>
      <c r="F8632" s="87"/>
      <c r="G8632" s="87"/>
    </row>
    <row r="8633">
      <c r="A8633" s="86" t="str">
        <f>IFERROR(__xludf.DUMMYFUNCTION("""COMPUTED_VALUE"""),"")</f>
        <v/>
      </c>
      <c r="B8633" s="87"/>
      <c r="C8633" s="87"/>
      <c r="D8633" s="87"/>
      <c r="E8633" s="87"/>
      <c r="F8633" s="87"/>
      <c r="G8633" s="87"/>
    </row>
    <row r="8634">
      <c r="A8634" s="86" t="str">
        <f>IFERROR(__xludf.DUMMYFUNCTION("""COMPUTED_VALUE"""),"")</f>
        <v/>
      </c>
      <c r="B8634" s="87"/>
      <c r="C8634" s="87"/>
      <c r="D8634" s="87"/>
      <c r="E8634" s="87"/>
      <c r="F8634" s="87"/>
      <c r="G8634" s="87"/>
    </row>
    <row r="8635">
      <c r="A8635" s="86" t="str">
        <f>IFERROR(__xludf.DUMMYFUNCTION("""COMPUTED_VALUE"""),"")</f>
        <v/>
      </c>
      <c r="B8635" s="87"/>
      <c r="C8635" s="87"/>
      <c r="D8635" s="87"/>
      <c r="E8635" s="87"/>
      <c r="F8635" s="87"/>
      <c r="G8635" s="87"/>
    </row>
    <row r="8636">
      <c r="A8636" s="86" t="str">
        <f>IFERROR(__xludf.DUMMYFUNCTION("""COMPUTED_VALUE"""),"")</f>
        <v/>
      </c>
      <c r="B8636" s="87"/>
      <c r="C8636" s="87"/>
      <c r="D8636" s="87"/>
      <c r="E8636" s="87"/>
      <c r="F8636" s="87"/>
      <c r="G8636" s="87"/>
    </row>
    <row r="8637">
      <c r="A8637" s="86" t="str">
        <f>IFERROR(__xludf.DUMMYFUNCTION("""COMPUTED_VALUE"""),"")</f>
        <v/>
      </c>
      <c r="B8637" s="87"/>
      <c r="C8637" s="87"/>
      <c r="D8637" s="87"/>
      <c r="E8637" s="87"/>
      <c r="F8637" s="87"/>
      <c r="G8637" s="87"/>
    </row>
    <row r="8638">
      <c r="A8638" s="86" t="str">
        <f>IFERROR(__xludf.DUMMYFUNCTION("""COMPUTED_VALUE"""),"")</f>
        <v/>
      </c>
      <c r="B8638" s="87"/>
      <c r="C8638" s="87"/>
      <c r="D8638" s="87"/>
      <c r="E8638" s="87"/>
      <c r="F8638" s="87"/>
      <c r="G8638" s="87"/>
    </row>
    <row r="8639">
      <c r="A8639" s="86" t="str">
        <f>IFERROR(__xludf.DUMMYFUNCTION("""COMPUTED_VALUE"""),"")</f>
        <v/>
      </c>
      <c r="B8639" s="87"/>
      <c r="C8639" s="87"/>
      <c r="D8639" s="87"/>
      <c r="E8639" s="87"/>
      <c r="F8639" s="87"/>
      <c r="G8639" s="87"/>
    </row>
    <row r="8640">
      <c r="A8640" s="86" t="str">
        <f>IFERROR(__xludf.DUMMYFUNCTION("""COMPUTED_VALUE"""),"")</f>
        <v/>
      </c>
      <c r="B8640" s="87"/>
      <c r="C8640" s="87"/>
      <c r="D8640" s="87"/>
      <c r="E8640" s="87"/>
      <c r="F8640" s="87"/>
      <c r="G8640" s="87"/>
    </row>
    <row r="8641">
      <c r="A8641" s="86" t="str">
        <f>IFERROR(__xludf.DUMMYFUNCTION("""COMPUTED_VALUE"""),"")</f>
        <v/>
      </c>
      <c r="B8641" s="87"/>
      <c r="C8641" s="87"/>
      <c r="D8641" s="87"/>
      <c r="E8641" s="87"/>
      <c r="F8641" s="87"/>
      <c r="G8641" s="87"/>
    </row>
    <row r="8642">
      <c r="A8642" s="86" t="str">
        <f>IFERROR(__xludf.DUMMYFUNCTION("""COMPUTED_VALUE"""),"")</f>
        <v/>
      </c>
      <c r="B8642" s="87"/>
      <c r="C8642" s="87"/>
      <c r="D8642" s="87"/>
      <c r="E8642" s="87"/>
      <c r="F8642" s="87"/>
      <c r="G8642" s="87"/>
    </row>
    <row r="8643">
      <c r="A8643" s="86" t="str">
        <f>IFERROR(__xludf.DUMMYFUNCTION("""COMPUTED_VALUE"""),"")</f>
        <v/>
      </c>
      <c r="B8643" s="87"/>
      <c r="C8643" s="87"/>
      <c r="D8643" s="87"/>
      <c r="E8643" s="87"/>
      <c r="F8643" s="87"/>
      <c r="G8643" s="87"/>
    </row>
    <row r="8644">
      <c r="A8644" s="86" t="str">
        <f>IFERROR(__xludf.DUMMYFUNCTION("""COMPUTED_VALUE"""),"")</f>
        <v/>
      </c>
      <c r="B8644" s="87"/>
      <c r="C8644" s="87"/>
      <c r="D8644" s="87"/>
      <c r="E8644" s="87"/>
      <c r="F8644" s="87"/>
      <c r="G8644" s="87"/>
    </row>
    <row r="8645">
      <c r="A8645" s="86" t="str">
        <f>IFERROR(__xludf.DUMMYFUNCTION("""COMPUTED_VALUE"""),"")</f>
        <v/>
      </c>
      <c r="B8645" s="87"/>
      <c r="C8645" s="87"/>
      <c r="D8645" s="87"/>
      <c r="E8645" s="87"/>
      <c r="F8645" s="87"/>
      <c r="G8645" s="87"/>
    </row>
    <row r="8646">
      <c r="A8646" s="86" t="str">
        <f>IFERROR(__xludf.DUMMYFUNCTION("""COMPUTED_VALUE"""),"")</f>
        <v/>
      </c>
      <c r="B8646" s="87"/>
      <c r="C8646" s="87"/>
      <c r="D8646" s="87"/>
      <c r="E8646" s="87"/>
      <c r="F8646" s="87"/>
      <c r="G8646" s="87"/>
    </row>
    <row r="8647">
      <c r="A8647" s="86" t="str">
        <f>IFERROR(__xludf.DUMMYFUNCTION("""COMPUTED_VALUE"""),"")</f>
        <v/>
      </c>
      <c r="B8647" s="87"/>
      <c r="C8647" s="87"/>
      <c r="D8647" s="87"/>
      <c r="E8647" s="87"/>
      <c r="F8647" s="87"/>
      <c r="G8647" s="87"/>
    </row>
    <row r="8648">
      <c r="A8648" s="86" t="str">
        <f>IFERROR(__xludf.DUMMYFUNCTION("""COMPUTED_VALUE"""),"")</f>
        <v/>
      </c>
      <c r="B8648" s="87"/>
      <c r="C8648" s="87"/>
      <c r="D8648" s="87"/>
      <c r="E8648" s="87"/>
      <c r="F8648" s="87"/>
      <c r="G8648" s="87"/>
    </row>
    <row r="8649">
      <c r="A8649" s="86" t="str">
        <f>IFERROR(__xludf.DUMMYFUNCTION("""COMPUTED_VALUE"""),"")</f>
        <v/>
      </c>
      <c r="B8649" s="87"/>
      <c r="C8649" s="87"/>
      <c r="D8649" s="87"/>
      <c r="E8649" s="87"/>
      <c r="F8649" s="87"/>
      <c r="G8649" s="87"/>
    </row>
    <row r="8650">
      <c r="A8650" s="86" t="str">
        <f>IFERROR(__xludf.DUMMYFUNCTION("""COMPUTED_VALUE"""),"")</f>
        <v/>
      </c>
      <c r="B8650" s="87"/>
      <c r="C8650" s="87"/>
      <c r="D8650" s="87"/>
      <c r="E8650" s="87"/>
      <c r="F8650" s="87"/>
      <c r="G8650" s="87"/>
    </row>
    <row r="8651">
      <c r="A8651" s="86" t="str">
        <f>IFERROR(__xludf.DUMMYFUNCTION("""COMPUTED_VALUE"""),"")</f>
        <v/>
      </c>
      <c r="B8651" s="87"/>
      <c r="C8651" s="87"/>
      <c r="D8651" s="87"/>
      <c r="E8651" s="87"/>
      <c r="F8651" s="87"/>
      <c r="G8651" s="87"/>
    </row>
    <row r="8652">
      <c r="A8652" s="86" t="str">
        <f>IFERROR(__xludf.DUMMYFUNCTION("""COMPUTED_VALUE"""),"")</f>
        <v/>
      </c>
      <c r="B8652" s="87"/>
      <c r="C8652" s="87"/>
      <c r="D8652" s="87"/>
      <c r="E8652" s="87"/>
      <c r="F8652" s="87"/>
      <c r="G8652" s="87"/>
    </row>
    <row r="8653">
      <c r="A8653" s="86" t="str">
        <f>IFERROR(__xludf.DUMMYFUNCTION("""COMPUTED_VALUE"""),"")</f>
        <v/>
      </c>
      <c r="B8653" s="87"/>
      <c r="C8653" s="87"/>
      <c r="D8653" s="87"/>
      <c r="E8653" s="87"/>
      <c r="F8653" s="87"/>
      <c r="G8653" s="87"/>
    </row>
    <row r="8654">
      <c r="A8654" s="86" t="str">
        <f>IFERROR(__xludf.DUMMYFUNCTION("""COMPUTED_VALUE"""),"")</f>
        <v/>
      </c>
      <c r="B8654" s="87"/>
      <c r="C8654" s="87"/>
      <c r="D8654" s="87"/>
      <c r="E8654" s="87"/>
      <c r="F8654" s="87"/>
      <c r="G8654" s="87"/>
    </row>
    <row r="8655">
      <c r="A8655" s="86" t="str">
        <f>IFERROR(__xludf.DUMMYFUNCTION("""COMPUTED_VALUE"""),"")</f>
        <v/>
      </c>
      <c r="B8655" s="87"/>
      <c r="C8655" s="87"/>
      <c r="D8655" s="87"/>
      <c r="E8655" s="87"/>
      <c r="F8655" s="87"/>
      <c r="G8655" s="87"/>
    </row>
    <row r="8656">
      <c r="A8656" s="86" t="str">
        <f>IFERROR(__xludf.DUMMYFUNCTION("""COMPUTED_VALUE"""),"")</f>
        <v/>
      </c>
      <c r="B8656" s="87"/>
      <c r="C8656" s="87"/>
      <c r="D8656" s="87"/>
      <c r="E8656" s="87"/>
      <c r="F8656" s="87"/>
      <c r="G8656" s="87"/>
    </row>
    <row r="8657">
      <c r="A8657" s="86" t="str">
        <f>IFERROR(__xludf.DUMMYFUNCTION("""COMPUTED_VALUE"""),"")</f>
        <v/>
      </c>
      <c r="B8657" s="87"/>
      <c r="C8657" s="87"/>
      <c r="D8657" s="87"/>
      <c r="E8657" s="87"/>
      <c r="F8657" s="87"/>
      <c r="G8657" s="87"/>
    </row>
    <row r="8658">
      <c r="A8658" s="86" t="str">
        <f>IFERROR(__xludf.DUMMYFUNCTION("""COMPUTED_VALUE"""),"")</f>
        <v/>
      </c>
      <c r="B8658" s="87"/>
      <c r="C8658" s="87"/>
      <c r="D8658" s="87"/>
      <c r="E8658" s="87"/>
      <c r="F8658" s="87"/>
      <c r="G8658" s="87"/>
    </row>
    <row r="8659">
      <c r="A8659" s="86" t="str">
        <f>IFERROR(__xludf.DUMMYFUNCTION("""COMPUTED_VALUE"""),"")</f>
        <v/>
      </c>
      <c r="B8659" s="87"/>
      <c r="C8659" s="87"/>
      <c r="D8659" s="87"/>
      <c r="E8659" s="87"/>
      <c r="F8659" s="87"/>
      <c r="G8659" s="87"/>
    </row>
    <row r="8660">
      <c r="A8660" s="86" t="str">
        <f>IFERROR(__xludf.DUMMYFUNCTION("""COMPUTED_VALUE"""),"")</f>
        <v/>
      </c>
      <c r="B8660" s="87"/>
      <c r="C8660" s="87"/>
      <c r="D8660" s="87"/>
      <c r="E8660" s="87"/>
      <c r="F8660" s="87"/>
      <c r="G8660" s="87"/>
    </row>
    <row r="8661">
      <c r="A8661" s="86" t="str">
        <f>IFERROR(__xludf.DUMMYFUNCTION("""COMPUTED_VALUE"""),"")</f>
        <v/>
      </c>
      <c r="B8661" s="87"/>
      <c r="C8661" s="87"/>
      <c r="D8661" s="87"/>
      <c r="E8661" s="87"/>
      <c r="F8661" s="87"/>
      <c r="G8661" s="87"/>
    </row>
    <row r="8662">
      <c r="A8662" s="86" t="str">
        <f>IFERROR(__xludf.DUMMYFUNCTION("""COMPUTED_VALUE"""),"")</f>
        <v/>
      </c>
      <c r="B8662" s="87"/>
      <c r="C8662" s="87"/>
      <c r="D8662" s="87"/>
      <c r="E8662" s="87"/>
      <c r="F8662" s="87"/>
      <c r="G8662" s="87"/>
    </row>
    <row r="8663">
      <c r="A8663" s="86" t="str">
        <f>IFERROR(__xludf.DUMMYFUNCTION("""COMPUTED_VALUE"""),"")</f>
        <v/>
      </c>
      <c r="B8663" s="87"/>
      <c r="C8663" s="87"/>
      <c r="D8663" s="87"/>
      <c r="E8663" s="87"/>
      <c r="F8663" s="87"/>
      <c r="G8663" s="87"/>
    </row>
    <row r="8664">
      <c r="A8664" s="86" t="str">
        <f>IFERROR(__xludf.DUMMYFUNCTION("""COMPUTED_VALUE"""),"")</f>
        <v/>
      </c>
      <c r="B8664" s="87"/>
      <c r="C8664" s="87"/>
      <c r="D8664" s="87"/>
      <c r="E8664" s="87"/>
      <c r="F8664" s="87"/>
      <c r="G8664" s="87"/>
    </row>
    <row r="8665">
      <c r="A8665" s="86" t="str">
        <f>IFERROR(__xludf.DUMMYFUNCTION("""COMPUTED_VALUE"""),"")</f>
        <v/>
      </c>
      <c r="B8665" s="87"/>
      <c r="C8665" s="87"/>
      <c r="D8665" s="87"/>
      <c r="E8665" s="87"/>
      <c r="F8665" s="87"/>
      <c r="G8665" s="87"/>
    </row>
    <row r="8666">
      <c r="A8666" s="86" t="str">
        <f>IFERROR(__xludf.DUMMYFUNCTION("""COMPUTED_VALUE"""),"")</f>
        <v/>
      </c>
      <c r="B8666" s="87"/>
      <c r="C8666" s="87"/>
      <c r="D8666" s="87"/>
      <c r="E8666" s="87"/>
      <c r="F8666" s="87"/>
      <c r="G8666" s="87"/>
    </row>
    <row r="8667">
      <c r="A8667" s="86" t="str">
        <f>IFERROR(__xludf.DUMMYFUNCTION("""COMPUTED_VALUE"""),"")</f>
        <v/>
      </c>
      <c r="B8667" s="87"/>
      <c r="C8667" s="87"/>
      <c r="D8667" s="87"/>
      <c r="E8667" s="87"/>
      <c r="F8667" s="87"/>
      <c r="G8667" s="87"/>
    </row>
    <row r="8668">
      <c r="A8668" s="86" t="str">
        <f>IFERROR(__xludf.DUMMYFUNCTION("""COMPUTED_VALUE"""),"")</f>
        <v/>
      </c>
      <c r="B8668" s="87"/>
      <c r="C8668" s="87"/>
      <c r="D8668" s="87"/>
      <c r="E8668" s="87"/>
      <c r="F8668" s="87"/>
      <c r="G8668" s="87"/>
    </row>
    <row r="8669">
      <c r="A8669" s="86" t="str">
        <f>IFERROR(__xludf.DUMMYFUNCTION("""COMPUTED_VALUE"""),"")</f>
        <v/>
      </c>
      <c r="B8669" s="87"/>
      <c r="C8669" s="87"/>
      <c r="D8669" s="87"/>
      <c r="E8669" s="87"/>
      <c r="F8669" s="87"/>
      <c r="G8669" s="87"/>
    </row>
    <row r="8670">
      <c r="A8670" s="86" t="str">
        <f>IFERROR(__xludf.DUMMYFUNCTION("""COMPUTED_VALUE"""),"")</f>
        <v/>
      </c>
      <c r="B8670" s="87"/>
      <c r="C8670" s="87"/>
      <c r="D8670" s="87"/>
      <c r="E8670" s="87"/>
      <c r="F8670" s="87"/>
      <c r="G8670" s="87"/>
    </row>
    <row r="8671">
      <c r="A8671" s="86" t="str">
        <f>IFERROR(__xludf.DUMMYFUNCTION("""COMPUTED_VALUE"""),"")</f>
        <v/>
      </c>
      <c r="B8671" s="87"/>
      <c r="C8671" s="87"/>
      <c r="D8671" s="87"/>
      <c r="E8671" s="87"/>
      <c r="F8671" s="87"/>
      <c r="G8671" s="87"/>
    </row>
    <row r="8672">
      <c r="A8672" s="86" t="str">
        <f>IFERROR(__xludf.DUMMYFUNCTION("""COMPUTED_VALUE"""),"")</f>
        <v/>
      </c>
      <c r="B8672" s="87"/>
      <c r="C8672" s="87"/>
      <c r="D8672" s="87"/>
      <c r="E8672" s="87"/>
      <c r="F8672" s="87"/>
      <c r="G8672" s="87"/>
    </row>
    <row r="8673">
      <c r="A8673" s="86" t="str">
        <f>IFERROR(__xludf.DUMMYFUNCTION("""COMPUTED_VALUE"""),"")</f>
        <v/>
      </c>
      <c r="B8673" s="87"/>
      <c r="C8673" s="87"/>
      <c r="D8673" s="87"/>
      <c r="E8673" s="87"/>
      <c r="F8673" s="87"/>
      <c r="G8673" s="87"/>
    </row>
    <row r="8674">
      <c r="A8674" s="86" t="str">
        <f>IFERROR(__xludf.DUMMYFUNCTION("""COMPUTED_VALUE"""),"")</f>
        <v/>
      </c>
      <c r="B8674" s="87"/>
      <c r="C8674" s="87"/>
      <c r="D8674" s="87"/>
      <c r="E8674" s="87"/>
      <c r="F8674" s="87"/>
      <c r="G8674" s="87"/>
    </row>
    <row r="8675">
      <c r="A8675" s="86" t="str">
        <f>IFERROR(__xludf.DUMMYFUNCTION("""COMPUTED_VALUE"""),"")</f>
        <v/>
      </c>
      <c r="B8675" s="87"/>
      <c r="C8675" s="87"/>
      <c r="D8675" s="87"/>
      <c r="E8675" s="87"/>
      <c r="F8675" s="87"/>
      <c r="G8675" s="87"/>
    </row>
    <row r="8676">
      <c r="A8676" s="86" t="str">
        <f>IFERROR(__xludf.DUMMYFUNCTION("""COMPUTED_VALUE"""),"")</f>
        <v/>
      </c>
      <c r="B8676" s="87"/>
      <c r="C8676" s="87"/>
      <c r="D8676" s="87"/>
      <c r="E8676" s="87"/>
      <c r="F8676" s="87"/>
      <c r="G8676" s="87"/>
    </row>
    <row r="8677">
      <c r="A8677" s="86" t="str">
        <f>IFERROR(__xludf.DUMMYFUNCTION("""COMPUTED_VALUE"""),"")</f>
        <v/>
      </c>
      <c r="B8677" s="87"/>
      <c r="C8677" s="87"/>
      <c r="D8677" s="87"/>
      <c r="E8677" s="87"/>
      <c r="F8677" s="87"/>
      <c r="G8677" s="87"/>
    </row>
    <row r="8678">
      <c r="A8678" s="86" t="str">
        <f>IFERROR(__xludf.DUMMYFUNCTION("""COMPUTED_VALUE"""),"")</f>
        <v/>
      </c>
      <c r="B8678" s="87"/>
      <c r="C8678" s="87"/>
      <c r="D8678" s="87"/>
      <c r="E8678" s="87"/>
      <c r="F8678" s="87"/>
      <c r="G8678" s="87"/>
    </row>
    <row r="8679">
      <c r="A8679" s="86" t="str">
        <f>IFERROR(__xludf.DUMMYFUNCTION("""COMPUTED_VALUE"""),"")</f>
        <v/>
      </c>
      <c r="B8679" s="87"/>
      <c r="C8679" s="87"/>
      <c r="D8679" s="87"/>
      <c r="E8679" s="87"/>
      <c r="F8679" s="87"/>
      <c r="G8679" s="87"/>
    </row>
    <row r="8680">
      <c r="A8680" s="86" t="str">
        <f>IFERROR(__xludf.DUMMYFUNCTION("""COMPUTED_VALUE"""),"")</f>
        <v/>
      </c>
      <c r="B8680" s="87"/>
      <c r="C8680" s="87"/>
      <c r="D8680" s="87"/>
      <c r="E8680" s="87"/>
      <c r="F8680" s="87"/>
      <c r="G8680" s="87"/>
    </row>
    <row r="8681">
      <c r="A8681" s="86" t="str">
        <f>IFERROR(__xludf.DUMMYFUNCTION("""COMPUTED_VALUE"""),"")</f>
        <v/>
      </c>
      <c r="B8681" s="87"/>
      <c r="C8681" s="87"/>
      <c r="D8681" s="87"/>
      <c r="E8681" s="87"/>
      <c r="F8681" s="87"/>
      <c r="G8681" s="87"/>
    </row>
    <row r="8682">
      <c r="A8682" s="86" t="str">
        <f>IFERROR(__xludf.DUMMYFUNCTION("""COMPUTED_VALUE"""),"")</f>
        <v/>
      </c>
      <c r="B8682" s="87"/>
      <c r="C8682" s="87"/>
      <c r="D8682" s="87"/>
      <c r="E8682" s="87"/>
      <c r="F8682" s="87"/>
      <c r="G8682" s="87"/>
    </row>
    <row r="8683">
      <c r="A8683" s="86" t="str">
        <f>IFERROR(__xludf.DUMMYFUNCTION("""COMPUTED_VALUE"""),"")</f>
        <v/>
      </c>
      <c r="B8683" s="87"/>
      <c r="C8683" s="87"/>
      <c r="D8683" s="87"/>
      <c r="E8683" s="87"/>
      <c r="F8683" s="87"/>
      <c r="G8683" s="87"/>
    </row>
    <row r="8684">
      <c r="A8684" s="86" t="str">
        <f>IFERROR(__xludf.DUMMYFUNCTION("""COMPUTED_VALUE"""),"")</f>
        <v/>
      </c>
      <c r="B8684" s="87"/>
      <c r="C8684" s="87"/>
      <c r="D8684" s="87"/>
      <c r="E8684" s="87"/>
      <c r="F8684" s="87"/>
      <c r="G8684" s="87"/>
    </row>
    <row r="8685">
      <c r="A8685" s="86" t="str">
        <f>IFERROR(__xludf.DUMMYFUNCTION("""COMPUTED_VALUE"""),"")</f>
        <v/>
      </c>
      <c r="B8685" s="87"/>
      <c r="C8685" s="87"/>
      <c r="D8685" s="87"/>
      <c r="E8685" s="87"/>
      <c r="F8685" s="87"/>
      <c r="G8685" s="87"/>
    </row>
    <row r="8686">
      <c r="A8686" s="86" t="str">
        <f>IFERROR(__xludf.DUMMYFUNCTION("""COMPUTED_VALUE"""),"")</f>
        <v/>
      </c>
      <c r="B8686" s="87"/>
      <c r="C8686" s="87"/>
      <c r="D8686" s="87"/>
      <c r="E8686" s="87"/>
      <c r="F8686" s="87"/>
      <c r="G8686" s="87"/>
    </row>
    <row r="8687">
      <c r="A8687" s="86" t="str">
        <f>IFERROR(__xludf.DUMMYFUNCTION("""COMPUTED_VALUE"""),"")</f>
        <v/>
      </c>
      <c r="B8687" s="87"/>
      <c r="C8687" s="87"/>
      <c r="D8687" s="87"/>
      <c r="E8687" s="87"/>
      <c r="F8687" s="87"/>
      <c r="G8687" s="87"/>
    </row>
    <row r="8688">
      <c r="A8688" s="86" t="str">
        <f>IFERROR(__xludf.DUMMYFUNCTION("""COMPUTED_VALUE"""),"")</f>
        <v/>
      </c>
      <c r="B8688" s="87"/>
      <c r="C8688" s="87"/>
      <c r="D8688" s="87"/>
      <c r="E8688" s="87"/>
      <c r="F8688" s="87"/>
      <c r="G8688" s="87"/>
    </row>
    <row r="8689">
      <c r="A8689" s="86" t="str">
        <f>IFERROR(__xludf.DUMMYFUNCTION("""COMPUTED_VALUE"""),"")</f>
        <v/>
      </c>
      <c r="B8689" s="87"/>
      <c r="C8689" s="87"/>
      <c r="D8689" s="87"/>
      <c r="E8689" s="87"/>
      <c r="F8689" s="87"/>
      <c r="G8689" s="87"/>
    </row>
    <row r="8690">
      <c r="A8690" s="86" t="str">
        <f>IFERROR(__xludf.DUMMYFUNCTION("""COMPUTED_VALUE"""),"")</f>
        <v/>
      </c>
      <c r="B8690" s="87"/>
      <c r="C8690" s="87"/>
      <c r="D8690" s="87"/>
      <c r="E8690" s="87"/>
      <c r="F8690" s="87"/>
      <c r="G8690" s="87"/>
    </row>
    <row r="8691">
      <c r="A8691" s="86" t="str">
        <f>IFERROR(__xludf.DUMMYFUNCTION("""COMPUTED_VALUE"""),"")</f>
        <v/>
      </c>
      <c r="B8691" s="87"/>
      <c r="C8691" s="87"/>
      <c r="D8691" s="87"/>
      <c r="E8691" s="87"/>
      <c r="F8691" s="87"/>
      <c r="G8691" s="87"/>
    </row>
    <row r="8692">
      <c r="A8692" s="86" t="str">
        <f>IFERROR(__xludf.DUMMYFUNCTION("""COMPUTED_VALUE"""),"")</f>
        <v/>
      </c>
      <c r="B8692" s="87"/>
      <c r="C8692" s="87"/>
      <c r="D8692" s="87"/>
      <c r="E8692" s="87"/>
      <c r="F8692" s="87"/>
      <c r="G8692" s="87"/>
    </row>
    <row r="8693">
      <c r="A8693" s="86" t="str">
        <f>IFERROR(__xludf.DUMMYFUNCTION("""COMPUTED_VALUE"""),"")</f>
        <v/>
      </c>
      <c r="B8693" s="87"/>
      <c r="C8693" s="87"/>
      <c r="D8693" s="87"/>
      <c r="E8693" s="87"/>
      <c r="F8693" s="87"/>
      <c r="G8693" s="87"/>
    </row>
    <row r="8694">
      <c r="A8694" s="86" t="str">
        <f>IFERROR(__xludf.DUMMYFUNCTION("""COMPUTED_VALUE"""),"")</f>
        <v/>
      </c>
      <c r="B8694" s="87"/>
      <c r="C8694" s="87"/>
      <c r="D8694" s="87"/>
      <c r="E8694" s="87"/>
      <c r="F8694" s="87"/>
      <c r="G8694" s="87"/>
    </row>
    <row r="8695">
      <c r="A8695" s="86" t="str">
        <f>IFERROR(__xludf.DUMMYFUNCTION("""COMPUTED_VALUE"""),"")</f>
        <v/>
      </c>
      <c r="B8695" s="87"/>
      <c r="C8695" s="87"/>
      <c r="D8695" s="87"/>
      <c r="E8695" s="87"/>
      <c r="F8695" s="87"/>
      <c r="G8695" s="87"/>
    </row>
    <row r="8696">
      <c r="A8696" s="86" t="str">
        <f>IFERROR(__xludf.DUMMYFUNCTION("""COMPUTED_VALUE"""),"")</f>
        <v/>
      </c>
      <c r="B8696" s="87"/>
      <c r="C8696" s="87"/>
      <c r="D8696" s="87"/>
      <c r="E8696" s="87"/>
      <c r="F8696" s="87"/>
      <c r="G8696" s="87"/>
    </row>
    <row r="8697">
      <c r="A8697" s="86" t="str">
        <f>IFERROR(__xludf.DUMMYFUNCTION("""COMPUTED_VALUE"""),"")</f>
        <v/>
      </c>
      <c r="B8697" s="87"/>
      <c r="C8697" s="87"/>
      <c r="D8697" s="87"/>
      <c r="E8697" s="87"/>
      <c r="F8697" s="87"/>
      <c r="G8697" s="87"/>
    </row>
    <row r="8698">
      <c r="A8698" s="86" t="str">
        <f>IFERROR(__xludf.DUMMYFUNCTION("""COMPUTED_VALUE"""),"")</f>
        <v/>
      </c>
      <c r="B8698" s="87"/>
      <c r="C8698" s="87"/>
      <c r="D8698" s="87"/>
      <c r="E8698" s="87"/>
      <c r="F8698" s="87"/>
      <c r="G8698" s="87"/>
    </row>
    <row r="8699">
      <c r="A8699" s="86" t="str">
        <f>IFERROR(__xludf.DUMMYFUNCTION("""COMPUTED_VALUE"""),"")</f>
        <v/>
      </c>
      <c r="B8699" s="87"/>
      <c r="C8699" s="87"/>
      <c r="D8699" s="87"/>
      <c r="E8699" s="87"/>
      <c r="F8699" s="87"/>
      <c r="G8699" s="87"/>
    </row>
    <row r="8700">
      <c r="A8700" s="86" t="str">
        <f>IFERROR(__xludf.DUMMYFUNCTION("""COMPUTED_VALUE"""),"")</f>
        <v/>
      </c>
      <c r="B8700" s="87"/>
      <c r="C8700" s="87"/>
      <c r="D8700" s="87"/>
      <c r="E8700" s="87"/>
      <c r="F8700" s="87"/>
      <c r="G8700" s="87"/>
    </row>
    <row r="8701">
      <c r="A8701" s="86" t="str">
        <f>IFERROR(__xludf.DUMMYFUNCTION("""COMPUTED_VALUE"""),"")</f>
        <v/>
      </c>
      <c r="B8701" s="87"/>
      <c r="C8701" s="87"/>
      <c r="D8701" s="87"/>
      <c r="E8701" s="87"/>
      <c r="F8701" s="87"/>
      <c r="G8701" s="87"/>
    </row>
    <row r="8702">
      <c r="A8702" s="86" t="str">
        <f>IFERROR(__xludf.DUMMYFUNCTION("""COMPUTED_VALUE"""),"")</f>
        <v/>
      </c>
      <c r="B8702" s="87"/>
      <c r="C8702" s="87"/>
      <c r="D8702" s="87"/>
      <c r="E8702" s="87"/>
      <c r="F8702" s="87"/>
      <c r="G8702" s="87"/>
    </row>
    <row r="8703">
      <c r="A8703" s="86" t="str">
        <f>IFERROR(__xludf.DUMMYFUNCTION("""COMPUTED_VALUE"""),"")</f>
        <v/>
      </c>
      <c r="B8703" s="87"/>
      <c r="C8703" s="87"/>
      <c r="D8703" s="87"/>
      <c r="E8703" s="87"/>
      <c r="F8703" s="87"/>
      <c r="G8703" s="87"/>
    </row>
    <row r="8704">
      <c r="A8704" s="86" t="str">
        <f>IFERROR(__xludf.DUMMYFUNCTION("""COMPUTED_VALUE"""),"")</f>
        <v/>
      </c>
      <c r="B8704" s="87"/>
      <c r="C8704" s="87"/>
      <c r="D8704" s="87"/>
      <c r="E8704" s="87"/>
      <c r="F8704" s="87"/>
      <c r="G8704" s="87"/>
    </row>
    <row r="8705">
      <c r="A8705" s="86" t="str">
        <f>IFERROR(__xludf.DUMMYFUNCTION("""COMPUTED_VALUE"""),"")</f>
        <v/>
      </c>
      <c r="B8705" s="87"/>
      <c r="C8705" s="87"/>
      <c r="D8705" s="87"/>
      <c r="E8705" s="87"/>
      <c r="F8705" s="87"/>
      <c r="G8705" s="87"/>
    </row>
    <row r="8706">
      <c r="A8706" s="86" t="str">
        <f>IFERROR(__xludf.DUMMYFUNCTION("""COMPUTED_VALUE"""),"")</f>
        <v/>
      </c>
      <c r="B8706" s="87"/>
      <c r="C8706" s="87"/>
      <c r="D8706" s="87"/>
      <c r="E8706" s="87"/>
      <c r="F8706" s="87"/>
      <c r="G8706" s="87"/>
    </row>
    <row r="8707">
      <c r="A8707" s="86" t="str">
        <f>IFERROR(__xludf.DUMMYFUNCTION("""COMPUTED_VALUE"""),"")</f>
        <v/>
      </c>
      <c r="B8707" s="87"/>
      <c r="C8707" s="87"/>
      <c r="D8707" s="87"/>
      <c r="E8707" s="87"/>
      <c r="F8707" s="87"/>
      <c r="G8707" s="87"/>
    </row>
    <row r="8708">
      <c r="A8708" s="86" t="str">
        <f>IFERROR(__xludf.DUMMYFUNCTION("""COMPUTED_VALUE"""),"")</f>
        <v/>
      </c>
      <c r="B8708" s="87"/>
      <c r="C8708" s="87"/>
      <c r="D8708" s="87"/>
      <c r="E8708" s="87"/>
      <c r="F8708" s="87"/>
      <c r="G8708" s="87"/>
    </row>
    <row r="8709">
      <c r="A8709" s="86" t="str">
        <f>IFERROR(__xludf.DUMMYFUNCTION("""COMPUTED_VALUE"""),"")</f>
        <v/>
      </c>
      <c r="B8709" s="87"/>
      <c r="C8709" s="87"/>
      <c r="D8709" s="87"/>
      <c r="E8709" s="87"/>
      <c r="F8709" s="87"/>
      <c r="G8709" s="87"/>
    </row>
    <row r="8710">
      <c r="A8710" s="86" t="str">
        <f>IFERROR(__xludf.DUMMYFUNCTION("""COMPUTED_VALUE"""),"")</f>
        <v/>
      </c>
      <c r="B8710" s="87"/>
      <c r="C8710" s="87"/>
      <c r="D8710" s="87"/>
      <c r="E8710" s="87"/>
      <c r="F8710" s="87"/>
      <c r="G8710" s="87"/>
    </row>
    <row r="8711">
      <c r="A8711" s="86" t="str">
        <f>IFERROR(__xludf.DUMMYFUNCTION("""COMPUTED_VALUE"""),"")</f>
        <v/>
      </c>
      <c r="B8711" s="87"/>
      <c r="C8711" s="87"/>
      <c r="D8711" s="87"/>
      <c r="E8711" s="87"/>
      <c r="F8711" s="87"/>
      <c r="G8711" s="87"/>
    </row>
    <row r="8712">
      <c r="A8712" s="86" t="str">
        <f>IFERROR(__xludf.DUMMYFUNCTION("""COMPUTED_VALUE"""),"")</f>
        <v/>
      </c>
      <c r="B8712" s="87"/>
      <c r="C8712" s="87"/>
      <c r="D8712" s="87"/>
      <c r="E8712" s="87"/>
      <c r="F8712" s="87"/>
      <c r="G8712" s="87"/>
    </row>
    <row r="8713">
      <c r="A8713" s="86" t="str">
        <f>IFERROR(__xludf.DUMMYFUNCTION("""COMPUTED_VALUE"""),"")</f>
        <v/>
      </c>
      <c r="B8713" s="87"/>
      <c r="C8713" s="87"/>
      <c r="D8713" s="87"/>
      <c r="E8713" s="87"/>
      <c r="F8713" s="87"/>
      <c r="G8713" s="87"/>
    </row>
    <row r="8714">
      <c r="A8714" s="86" t="str">
        <f>IFERROR(__xludf.DUMMYFUNCTION("""COMPUTED_VALUE"""),"")</f>
        <v/>
      </c>
      <c r="B8714" s="87"/>
      <c r="C8714" s="87"/>
      <c r="D8714" s="87"/>
      <c r="E8714" s="87"/>
      <c r="F8714" s="87"/>
      <c r="G8714" s="87"/>
    </row>
    <row r="8715">
      <c r="A8715" s="86" t="str">
        <f>IFERROR(__xludf.DUMMYFUNCTION("""COMPUTED_VALUE"""),"")</f>
        <v/>
      </c>
      <c r="B8715" s="87"/>
      <c r="C8715" s="87"/>
      <c r="D8715" s="87"/>
      <c r="E8715" s="87"/>
      <c r="F8715" s="87"/>
      <c r="G8715" s="87"/>
    </row>
    <row r="8716">
      <c r="A8716" s="86" t="str">
        <f>IFERROR(__xludf.DUMMYFUNCTION("""COMPUTED_VALUE"""),"")</f>
        <v/>
      </c>
      <c r="B8716" s="87"/>
      <c r="C8716" s="87"/>
      <c r="D8716" s="87"/>
      <c r="E8716" s="87"/>
      <c r="F8716" s="87"/>
      <c r="G8716" s="87"/>
    </row>
    <row r="8717">
      <c r="A8717" s="86" t="str">
        <f>IFERROR(__xludf.DUMMYFUNCTION("""COMPUTED_VALUE"""),"")</f>
        <v/>
      </c>
      <c r="B8717" s="87"/>
      <c r="C8717" s="87"/>
      <c r="D8717" s="87"/>
      <c r="E8717" s="87"/>
      <c r="F8717" s="87"/>
      <c r="G8717" s="87"/>
    </row>
    <row r="8718">
      <c r="A8718" s="86" t="str">
        <f>IFERROR(__xludf.DUMMYFUNCTION("""COMPUTED_VALUE"""),"")</f>
        <v/>
      </c>
      <c r="B8718" s="87"/>
      <c r="C8718" s="87"/>
      <c r="D8718" s="87"/>
      <c r="E8718" s="87"/>
      <c r="F8718" s="87"/>
      <c r="G8718" s="87"/>
    </row>
    <row r="8719">
      <c r="A8719" s="86" t="str">
        <f>IFERROR(__xludf.DUMMYFUNCTION("""COMPUTED_VALUE"""),"")</f>
        <v/>
      </c>
      <c r="B8719" s="87"/>
      <c r="C8719" s="87"/>
      <c r="D8719" s="87"/>
      <c r="E8719" s="87"/>
      <c r="F8719" s="87"/>
      <c r="G8719" s="87"/>
    </row>
    <row r="8720">
      <c r="A8720" s="86" t="str">
        <f>IFERROR(__xludf.DUMMYFUNCTION("""COMPUTED_VALUE"""),"")</f>
        <v/>
      </c>
      <c r="B8720" s="87"/>
      <c r="C8720" s="87"/>
      <c r="D8720" s="87"/>
      <c r="E8720" s="87"/>
      <c r="F8720" s="87"/>
      <c r="G8720" s="87"/>
    </row>
    <row r="8721">
      <c r="A8721" s="86" t="str">
        <f>IFERROR(__xludf.DUMMYFUNCTION("""COMPUTED_VALUE"""),"")</f>
        <v/>
      </c>
      <c r="B8721" s="87"/>
      <c r="C8721" s="87"/>
      <c r="D8721" s="87"/>
      <c r="E8721" s="87"/>
      <c r="F8721" s="87"/>
      <c r="G8721" s="87"/>
    </row>
    <row r="8722">
      <c r="A8722" s="86" t="str">
        <f>IFERROR(__xludf.DUMMYFUNCTION("""COMPUTED_VALUE"""),"")</f>
        <v/>
      </c>
      <c r="B8722" s="87"/>
      <c r="C8722" s="87"/>
      <c r="D8722" s="87"/>
      <c r="E8722" s="87"/>
      <c r="F8722" s="87"/>
      <c r="G8722" s="87"/>
    </row>
    <row r="8723">
      <c r="A8723" s="86" t="str">
        <f>IFERROR(__xludf.DUMMYFUNCTION("""COMPUTED_VALUE"""),"")</f>
        <v/>
      </c>
      <c r="B8723" s="87"/>
      <c r="C8723" s="87"/>
      <c r="D8723" s="87"/>
      <c r="E8723" s="87"/>
      <c r="F8723" s="87"/>
      <c r="G8723" s="87"/>
    </row>
    <row r="8724">
      <c r="A8724" s="86" t="str">
        <f>IFERROR(__xludf.DUMMYFUNCTION("""COMPUTED_VALUE"""),"")</f>
        <v/>
      </c>
      <c r="B8724" s="87"/>
      <c r="C8724" s="87"/>
      <c r="D8724" s="87"/>
      <c r="E8724" s="87"/>
      <c r="F8724" s="87"/>
      <c r="G8724" s="87"/>
    </row>
    <row r="8725">
      <c r="A8725" s="86" t="str">
        <f>IFERROR(__xludf.DUMMYFUNCTION("""COMPUTED_VALUE"""),"")</f>
        <v/>
      </c>
      <c r="B8725" s="87"/>
      <c r="C8725" s="87"/>
      <c r="D8725" s="87"/>
      <c r="E8725" s="87"/>
      <c r="F8725" s="87"/>
      <c r="G8725" s="87"/>
    </row>
    <row r="8726">
      <c r="A8726" s="86" t="str">
        <f>IFERROR(__xludf.DUMMYFUNCTION("""COMPUTED_VALUE"""),"")</f>
        <v/>
      </c>
      <c r="B8726" s="87"/>
      <c r="C8726" s="87"/>
      <c r="D8726" s="87"/>
      <c r="E8726" s="87"/>
      <c r="F8726" s="87"/>
      <c r="G8726" s="87"/>
    </row>
    <row r="8727">
      <c r="A8727" s="86" t="str">
        <f>IFERROR(__xludf.DUMMYFUNCTION("""COMPUTED_VALUE"""),"")</f>
        <v/>
      </c>
      <c r="B8727" s="87"/>
      <c r="C8727" s="87"/>
      <c r="D8727" s="87"/>
      <c r="E8727" s="87"/>
      <c r="F8727" s="87"/>
      <c r="G8727" s="87"/>
    </row>
    <row r="8728">
      <c r="A8728" s="86" t="str">
        <f>IFERROR(__xludf.DUMMYFUNCTION("""COMPUTED_VALUE"""),"")</f>
        <v/>
      </c>
      <c r="B8728" s="87"/>
      <c r="C8728" s="87"/>
      <c r="D8728" s="87"/>
      <c r="E8728" s="87"/>
      <c r="F8728" s="87"/>
      <c r="G8728" s="87"/>
    </row>
    <row r="8729">
      <c r="A8729" s="86" t="str">
        <f>IFERROR(__xludf.DUMMYFUNCTION("""COMPUTED_VALUE"""),"")</f>
        <v/>
      </c>
      <c r="B8729" s="87"/>
      <c r="C8729" s="87"/>
      <c r="D8729" s="87"/>
      <c r="E8729" s="87"/>
      <c r="F8729" s="87"/>
      <c r="G8729" s="87"/>
    </row>
    <row r="8730">
      <c r="A8730" s="86" t="str">
        <f>IFERROR(__xludf.DUMMYFUNCTION("""COMPUTED_VALUE"""),"")</f>
        <v/>
      </c>
      <c r="B8730" s="87"/>
      <c r="C8730" s="87"/>
      <c r="D8730" s="87"/>
      <c r="E8730" s="87"/>
      <c r="F8730" s="87"/>
      <c r="G8730" s="87"/>
    </row>
    <row r="8731">
      <c r="A8731" s="86" t="str">
        <f>IFERROR(__xludf.DUMMYFUNCTION("""COMPUTED_VALUE"""),"")</f>
        <v/>
      </c>
      <c r="B8731" s="87"/>
      <c r="C8731" s="87"/>
      <c r="D8731" s="87"/>
      <c r="E8731" s="87"/>
      <c r="F8731" s="87"/>
      <c r="G8731" s="87"/>
    </row>
    <row r="8732">
      <c r="A8732" s="86" t="str">
        <f>IFERROR(__xludf.DUMMYFUNCTION("""COMPUTED_VALUE"""),"")</f>
        <v/>
      </c>
      <c r="B8732" s="87"/>
      <c r="C8732" s="87"/>
      <c r="D8732" s="87"/>
      <c r="E8732" s="87"/>
      <c r="F8732" s="87"/>
      <c r="G8732" s="87"/>
    </row>
    <row r="8733">
      <c r="A8733" s="86" t="str">
        <f>IFERROR(__xludf.DUMMYFUNCTION("""COMPUTED_VALUE"""),"")</f>
        <v/>
      </c>
      <c r="B8733" s="87"/>
      <c r="C8733" s="87"/>
      <c r="D8733" s="87"/>
      <c r="E8733" s="87"/>
      <c r="F8733" s="87"/>
      <c r="G8733" s="87"/>
    </row>
    <row r="8734">
      <c r="A8734" s="86" t="str">
        <f>IFERROR(__xludf.DUMMYFUNCTION("""COMPUTED_VALUE"""),"")</f>
        <v/>
      </c>
      <c r="B8734" s="87"/>
      <c r="C8734" s="87"/>
      <c r="D8734" s="87"/>
      <c r="E8734" s="87"/>
      <c r="F8734" s="87"/>
      <c r="G8734" s="87"/>
    </row>
    <row r="8735">
      <c r="A8735" s="86" t="str">
        <f>IFERROR(__xludf.DUMMYFUNCTION("""COMPUTED_VALUE"""),"")</f>
        <v/>
      </c>
      <c r="B8735" s="87"/>
      <c r="C8735" s="87"/>
      <c r="D8735" s="87"/>
      <c r="E8735" s="87"/>
      <c r="F8735" s="87"/>
      <c r="G8735" s="87"/>
    </row>
    <row r="8736">
      <c r="A8736" s="86" t="str">
        <f>IFERROR(__xludf.DUMMYFUNCTION("""COMPUTED_VALUE"""),"")</f>
        <v/>
      </c>
      <c r="B8736" s="87"/>
      <c r="C8736" s="87"/>
      <c r="D8736" s="87"/>
      <c r="E8736" s="87"/>
      <c r="F8736" s="87"/>
      <c r="G8736" s="87"/>
    </row>
    <row r="8737">
      <c r="A8737" s="86" t="str">
        <f>IFERROR(__xludf.DUMMYFUNCTION("""COMPUTED_VALUE"""),"")</f>
        <v/>
      </c>
      <c r="B8737" s="87"/>
      <c r="C8737" s="87"/>
      <c r="D8737" s="87"/>
      <c r="E8737" s="87"/>
      <c r="F8737" s="87"/>
      <c r="G8737" s="87"/>
    </row>
    <row r="8738">
      <c r="A8738" s="86" t="str">
        <f>IFERROR(__xludf.DUMMYFUNCTION("""COMPUTED_VALUE"""),"")</f>
        <v/>
      </c>
      <c r="B8738" s="87"/>
      <c r="C8738" s="87"/>
      <c r="D8738" s="87"/>
      <c r="E8738" s="87"/>
      <c r="F8738" s="87"/>
      <c r="G8738" s="87"/>
    </row>
    <row r="8739">
      <c r="A8739" s="86" t="str">
        <f>IFERROR(__xludf.DUMMYFUNCTION("""COMPUTED_VALUE"""),"")</f>
        <v/>
      </c>
      <c r="B8739" s="87"/>
      <c r="C8739" s="87"/>
      <c r="D8739" s="87"/>
      <c r="E8739" s="87"/>
      <c r="F8739" s="87"/>
      <c r="G8739" s="87"/>
    </row>
    <row r="8740">
      <c r="A8740" s="86" t="str">
        <f>IFERROR(__xludf.DUMMYFUNCTION("""COMPUTED_VALUE"""),"")</f>
        <v/>
      </c>
      <c r="B8740" s="87"/>
      <c r="C8740" s="87"/>
      <c r="D8740" s="87"/>
      <c r="E8740" s="87"/>
      <c r="F8740" s="87"/>
      <c r="G8740" s="87"/>
    </row>
    <row r="8741">
      <c r="A8741" s="86" t="str">
        <f>IFERROR(__xludf.DUMMYFUNCTION("""COMPUTED_VALUE"""),"")</f>
        <v/>
      </c>
      <c r="B8741" s="87"/>
      <c r="C8741" s="87"/>
      <c r="D8741" s="87"/>
      <c r="E8741" s="87"/>
      <c r="F8741" s="87"/>
      <c r="G8741" s="87"/>
    </row>
    <row r="8742">
      <c r="A8742" s="86" t="str">
        <f>IFERROR(__xludf.DUMMYFUNCTION("""COMPUTED_VALUE"""),"")</f>
        <v/>
      </c>
      <c r="B8742" s="87"/>
      <c r="C8742" s="87"/>
      <c r="D8742" s="87"/>
      <c r="E8742" s="87"/>
      <c r="F8742" s="87"/>
      <c r="G8742" s="87"/>
    </row>
    <row r="8743">
      <c r="A8743" s="86" t="str">
        <f>IFERROR(__xludf.DUMMYFUNCTION("""COMPUTED_VALUE"""),"")</f>
        <v/>
      </c>
      <c r="B8743" s="87"/>
      <c r="C8743" s="87"/>
      <c r="D8743" s="87"/>
      <c r="E8743" s="87"/>
      <c r="F8743" s="87"/>
      <c r="G8743" s="87"/>
    </row>
    <row r="8744">
      <c r="A8744" s="86" t="str">
        <f>IFERROR(__xludf.DUMMYFUNCTION("""COMPUTED_VALUE"""),"")</f>
        <v/>
      </c>
      <c r="B8744" s="87"/>
      <c r="C8744" s="87"/>
      <c r="D8744" s="87"/>
      <c r="E8744" s="87"/>
      <c r="F8744" s="87"/>
      <c r="G8744" s="87"/>
    </row>
    <row r="8745">
      <c r="A8745" s="86" t="str">
        <f>IFERROR(__xludf.DUMMYFUNCTION("""COMPUTED_VALUE"""),"")</f>
        <v/>
      </c>
      <c r="B8745" s="87"/>
      <c r="C8745" s="87"/>
      <c r="D8745" s="87"/>
      <c r="E8745" s="87"/>
      <c r="F8745" s="87"/>
      <c r="G8745" s="87"/>
    </row>
    <row r="8746">
      <c r="A8746" s="86" t="str">
        <f>IFERROR(__xludf.DUMMYFUNCTION("""COMPUTED_VALUE"""),"")</f>
        <v/>
      </c>
      <c r="B8746" s="87"/>
      <c r="C8746" s="87"/>
      <c r="D8746" s="87"/>
      <c r="E8746" s="87"/>
      <c r="F8746" s="87"/>
      <c r="G8746" s="87"/>
    </row>
    <row r="8747">
      <c r="A8747" s="86" t="str">
        <f>IFERROR(__xludf.DUMMYFUNCTION("""COMPUTED_VALUE"""),"")</f>
        <v/>
      </c>
      <c r="B8747" s="87"/>
      <c r="C8747" s="87"/>
      <c r="D8747" s="87"/>
      <c r="E8747" s="87"/>
      <c r="F8747" s="87"/>
      <c r="G8747" s="87"/>
    </row>
    <row r="8748">
      <c r="A8748" s="86" t="str">
        <f>IFERROR(__xludf.DUMMYFUNCTION("""COMPUTED_VALUE"""),"")</f>
        <v/>
      </c>
      <c r="B8748" s="87"/>
      <c r="C8748" s="87"/>
      <c r="D8748" s="87"/>
      <c r="E8748" s="87"/>
      <c r="F8748" s="87"/>
      <c r="G8748" s="87"/>
    </row>
    <row r="8749">
      <c r="A8749" s="86" t="str">
        <f>IFERROR(__xludf.DUMMYFUNCTION("""COMPUTED_VALUE"""),"")</f>
        <v/>
      </c>
      <c r="B8749" s="87"/>
      <c r="C8749" s="87"/>
      <c r="D8749" s="87"/>
      <c r="E8749" s="87"/>
      <c r="F8749" s="87"/>
      <c r="G8749" s="87"/>
    </row>
    <row r="8750">
      <c r="A8750" s="86" t="str">
        <f>IFERROR(__xludf.DUMMYFUNCTION("""COMPUTED_VALUE"""),"")</f>
        <v/>
      </c>
      <c r="B8750" s="87"/>
      <c r="C8750" s="87"/>
      <c r="D8750" s="87"/>
      <c r="E8750" s="87"/>
      <c r="F8750" s="87"/>
      <c r="G8750" s="87"/>
    </row>
    <row r="8751">
      <c r="A8751" s="86" t="str">
        <f>IFERROR(__xludf.DUMMYFUNCTION("""COMPUTED_VALUE"""),"")</f>
        <v/>
      </c>
      <c r="B8751" s="87"/>
      <c r="C8751" s="87"/>
      <c r="D8751" s="87"/>
      <c r="E8751" s="87"/>
      <c r="F8751" s="87"/>
      <c r="G8751" s="87"/>
    </row>
    <row r="8752">
      <c r="A8752" s="86" t="str">
        <f>IFERROR(__xludf.DUMMYFUNCTION("""COMPUTED_VALUE"""),"")</f>
        <v/>
      </c>
      <c r="B8752" s="87"/>
      <c r="C8752" s="87"/>
      <c r="D8752" s="87"/>
      <c r="E8752" s="87"/>
      <c r="F8752" s="87"/>
      <c r="G8752" s="87"/>
    </row>
    <row r="8753">
      <c r="A8753" s="86" t="str">
        <f>IFERROR(__xludf.DUMMYFUNCTION("""COMPUTED_VALUE"""),"")</f>
        <v/>
      </c>
      <c r="B8753" s="87"/>
      <c r="C8753" s="87"/>
      <c r="D8753" s="87"/>
      <c r="E8753" s="87"/>
      <c r="F8753" s="87"/>
      <c r="G8753" s="87"/>
    </row>
    <row r="8754">
      <c r="A8754" s="86" t="str">
        <f>IFERROR(__xludf.DUMMYFUNCTION("""COMPUTED_VALUE"""),"")</f>
        <v/>
      </c>
      <c r="B8754" s="87"/>
      <c r="C8754" s="87"/>
      <c r="D8754" s="87"/>
      <c r="E8754" s="87"/>
      <c r="F8754" s="87"/>
      <c r="G8754" s="87"/>
    </row>
    <row r="8755">
      <c r="A8755" s="86" t="str">
        <f>IFERROR(__xludf.DUMMYFUNCTION("""COMPUTED_VALUE"""),"")</f>
        <v/>
      </c>
      <c r="B8755" s="87"/>
      <c r="C8755" s="87"/>
      <c r="D8755" s="87"/>
      <c r="E8755" s="87"/>
      <c r="F8755" s="87"/>
      <c r="G8755" s="87"/>
    </row>
    <row r="8756">
      <c r="A8756" s="86" t="str">
        <f>IFERROR(__xludf.DUMMYFUNCTION("""COMPUTED_VALUE"""),"")</f>
        <v/>
      </c>
      <c r="B8756" s="87"/>
      <c r="C8756" s="87"/>
      <c r="D8756" s="87"/>
      <c r="E8756" s="87"/>
      <c r="F8756" s="87"/>
      <c r="G8756" s="87"/>
    </row>
    <row r="8757">
      <c r="A8757" s="86" t="str">
        <f>IFERROR(__xludf.DUMMYFUNCTION("""COMPUTED_VALUE"""),"")</f>
        <v/>
      </c>
      <c r="B8757" s="87"/>
      <c r="C8757" s="87"/>
      <c r="D8757" s="87"/>
      <c r="E8757" s="87"/>
      <c r="F8757" s="87"/>
      <c r="G8757" s="87"/>
    </row>
    <row r="8758">
      <c r="A8758" s="86" t="str">
        <f>IFERROR(__xludf.DUMMYFUNCTION("""COMPUTED_VALUE"""),"")</f>
        <v/>
      </c>
      <c r="B8758" s="87"/>
      <c r="C8758" s="87"/>
      <c r="D8758" s="87"/>
      <c r="E8758" s="87"/>
      <c r="F8758" s="87"/>
      <c r="G8758" s="87"/>
    </row>
    <row r="8759">
      <c r="A8759" s="86" t="str">
        <f>IFERROR(__xludf.DUMMYFUNCTION("""COMPUTED_VALUE"""),"")</f>
        <v/>
      </c>
      <c r="B8759" s="87"/>
      <c r="C8759" s="87"/>
      <c r="D8759" s="87"/>
      <c r="E8759" s="87"/>
      <c r="F8759" s="87"/>
      <c r="G8759" s="87"/>
    </row>
    <row r="8760">
      <c r="A8760" s="86" t="str">
        <f>IFERROR(__xludf.DUMMYFUNCTION("""COMPUTED_VALUE"""),"")</f>
        <v/>
      </c>
      <c r="B8760" s="87"/>
      <c r="C8760" s="87"/>
      <c r="D8760" s="87"/>
      <c r="E8760" s="87"/>
      <c r="F8760" s="87"/>
      <c r="G8760" s="87"/>
    </row>
    <row r="8761">
      <c r="A8761" s="86" t="str">
        <f>IFERROR(__xludf.DUMMYFUNCTION("""COMPUTED_VALUE"""),"")</f>
        <v/>
      </c>
      <c r="B8761" s="87"/>
      <c r="C8761" s="87"/>
      <c r="D8761" s="87"/>
      <c r="E8761" s="87"/>
      <c r="F8761" s="87"/>
      <c r="G8761" s="87"/>
    </row>
    <row r="8762">
      <c r="A8762" s="86" t="str">
        <f>IFERROR(__xludf.DUMMYFUNCTION("""COMPUTED_VALUE"""),"")</f>
        <v/>
      </c>
      <c r="B8762" s="87"/>
      <c r="C8762" s="87"/>
      <c r="D8762" s="87"/>
      <c r="E8762" s="87"/>
      <c r="F8762" s="87"/>
      <c r="G8762" s="87"/>
    </row>
    <row r="8763">
      <c r="A8763" s="86" t="str">
        <f>IFERROR(__xludf.DUMMYFUNCTION("""COMPUTED_VALUE"""),"")</f>
        <v/>
      </c>
      <c r="B8763" s="87"/>
      <c r="C8763" s="87"/>
      <c r="D8763" s="87"/>
      <c r="E8763" s="87"/>
      <c r="F8763" s="87"/>
      <c r="G8763" s="87"/>
    </row>
    <row r="8764">
      <c r="A8764" s="86" t="str">
        <f>IFERROR(__xludf.DUMMYFUNCTION("""COMPUTED_VALUE"""),"")</f>
        <v/>
      </c>
      <c r="B8764" s="87"/>
      <c r="C8764" s="87"/>
      <c r="D8764" s="87"/>
      <c r="E8764" s="87"/>
      <c r="F8764" s="87"/>
      <c r="G8764" s="87"/>
    </row>
    <row r="8765">
      <c r="A8765" s="86" t="str">
        <f>IFERROR(__xludf.DUMMYFUNCTION("""COMPUTED_VALUE"""),"")</f>
        <v/>
      </c>
      <c r="B8765" s="87"/>
      <c r="C8765" s="87"/>
      <c r="D8765" s="87"/>
      <c r="E8765" s="87"/>
      <c r="F8765" s="87"/>
      <c r="G8765" s="87"/>
    </row>
    <row r="8766">
      <c r="A8766" s="86" t="str">
        <f>IFERROR(__xludf.DUMMYFUNCTION("""COMPUTED_VALUE"""),"")</f>
        <v/>
      </c>
      <c r="B8766" s="87"/>
      <c r="C8766" s="87"/>
      <c r="D8766" s="87"/>
      <c r="E8766" s="87"/>
      <c r="F8766" s="87"/>
      <c r="G8766" s="87"/>
    </row>
    <row r="8767">
      <c r="A8767" s="86" t="str">
        <f>IFERROR(__xludf.DUMMYFUNCTION("""COMPUTED_VALUE"""),"")</f>
        <v/>
      </c>
      <c r="B8767" s="87"/>
      <c r="C8767" s="87"/>
      <c r="D8767" s="87"/>
      <c r="E8767" s="87"/>
      <c r="F8767" s="87"/>
      <c r="G8767" s="87"/>
    </row>
    <row r="8768">
      <c r="A8768" s="86" t="str">
        <f>IFERROR(__xludf.DUMMYFUNCTION("""COMPUTED_VALUE"""),"")</f>
        <v/>
      </c>
      <c r="B8768" s="87"/>
      <c r="C8768" s="87"/>
      <c r="D8768" s="87"/>
      <c r="E8768" s="87"/>
      <c r="F8768" s="87"/>
      <c r="G8768" s="87"/>
    </row>
    <row r="8769">
      <c r="A8769" s="86" t="str">
        <f>IFERROR(__xludf.DUMMYFUNCTION("""COMPUTED_VALUE"""),"")</f>
        <v/>
      </c>
      <c r="B8769" s="87"/>
      <c r="C8769" s="87"/>
      <c r="D8769" s="87"/>
      <c r="E8769" s="87"/>
      <c r="F8769" s="87"/>
      <c r="G8769" s="87"/>
    </row>
    <row r="8770">
      <c r="A8770" s="86" t="str">
        <f>IFERROR(__xludf.DUMMYFUNCTION("""COMPUTED_VALUE"""),"")</f>
        <v/>
      </c>
      <c r="B8770" s="87"/>
      <c r="C8770" s="87"/>
      <c r="D8770" s="87"/>
      <c r="E8770" s="87"/>
      <c r="F8770" s="87"/>
      <c r="G8770" s="87"/>
    </row>
    <row r="8771">
      <c r="A8771" s="86" t="str">
        <f>IFERROR(__xludf.DUMMYFUNCTION("""COMPUTED_VALUE"""),"")</f>
        <v/>
      </c>
      <c r="B8771" s="87"/>
      <c r="C8771" s="87"/>
      <c r="D8771" s="87"/>
      <c r="E8771" s="87"/>
      <c r="F8771" s="87"/>
      <c r="G8771" s="87"/>
    </row>
    <row r="8772">
      <c r="A8772" s="86" t="str">
        <f>IFERROR(__xludf.DUMMYFUNCTION("""COMPUTED_VALUE"""),"")</f>
        <v/>
      </c>
      <c r="B8772" s="87"/>
      <c r="C8772" s="87"/>
      <c r="D8772" s="87"/>
      <c r="E8772" s="87"/>
      <c r="F8772" s="87"/>
      <c r="G8772" s="87"/>
    </row>
    <row r="8773">
      <c r="A8773" s="86" t="str">
        <f>IFERROR(__xludf.DUMMYFUNCTION("""COMPUTED_VALUE"""),"")</f>
        <v/>
      </c>
      <c r="B8773" s="87"/>
      <c r="C8773" s="87"/>
      <c r="D8773" s="87"/>
      <c r="E8773" s="87"/>
      <c r="F8773" s="87"/>
      <c r="G8773" s="87"/>
    </row>
    <row r="8774">
      <c r="A8774" s="86" t="str">
        <f>IFERROR(__xludf.DUMMYFUNCTION("""COMPUTED_VALUE"""),"")</f>
        <v/>
      </c>
      <c r="B8774" s="87"/>
      <c r="C8774" s="87"/>
      <c r="D8774" s="87"/>
      <c r="E8774" s="87"/>
      <c r="F8774" s="87"/>
      <c r="G8774" s="87"/>
    </row>
    <row r="8775">
      <c r="A8775" s="86" t="str">
        <f>IFERROR(__xludf.DUMMYFUNCTION("""COMPUTED_VALUE"""),"")</f>
        <v/>
      </c>
      <c r="B8775" s="87"/>
      <c r="C8775" s="87"/>
      <c r="D8775" s="87"/>
      <c r="E8775" s="87"/>
      <c r="F8775" s="87"/>
      <c r="G8775" s="87"/>
    </row>
    <row r="8776">
      <c r="A8776" s="86" t="str">
        <f>IFERROR(__xludf.DUMMYFUNCTION("""COMPUTED_VALUE"""),"")</f>
        <v/>
      </c>
      <c r="B8776" s="87"/>
      <c r="C8776" s="87"/>
      <c r="D8776" s="87"/>
      <c r="E8776" s="87"/>
      <c r="F8776" s="87"/>
      <c r="G8776" s="87"/>
    </row>
    <row r="8777">
      <c r="A8777" s="86" t="str">
        <f>IFERROR(__xludf.DUMMYFUNCTION("""COMPUTED_VALUE"""),"")</f>
        <v/>
      </c>
      <c r="B8777" s="87"/>
      <c r="C8777" s="87"/>
      <c r="D8777" s="87"/>
      <c r="E8777" s="87"/>
      <c r="F8777" s="87"/>
      <c r="G8777" s="87"/>
    </row>
    <row r="8778">
      <c r="A8778" s="86" t="str">
        <f>IFERROR(__xludf.DUMMYFUNCTION("""COMPUTED_VALUE"""),"")</f>
        <v/>
      </c>
      <c r="B8778" s="87"/>
      <c r="C8778" s="87"/>
      <c r="D8778" s="87"/>
      <c r="E8778" s="87"/>
      <c r="F8778" s="87"/>
      <c r="G8778" s="87"/>
    </row>
    <row r="8779">
      <c r="A8779" s="86" t="str">
        <f>IFERROR(__xludf.DUMMYFUNCTION("""COMPUTED_VALUE"""),"")</f>
        <v/>
      </c>
      <c r="B8779" s="87"/>
      <c r="C8779" s="87"/>
      <c r="D8779" s="87"/>
      <c r="E8779" s="87"/>
      <c r="F8779" s="87"/>
      <c r="G8779" s="87"/>
    </row>
    <row r="8780">
      <c r="A8780" s="86" t="str">
        <f>IFERROR(__xludf.DUMMYFUNCTION("""COMPUTED_VALUE"""),"")</f>
        <v/>
      </c>
      <c r="B8780" s="87"/>
      <c r="C8780" s="87"/>
      <c r="D8780" s="87"/>
      <c r="E8780" s="87"/>
      <c r="F8780" s="87"/>
      <c r="G8780" s="87"/>
    </row>
    <row r="8781">
      <c r="A8781" s="86" t="str">
        <f>IFERROR(__xludf.DUMMYFUNCTION("""COMPUTED_VALUE"""),"")</f>
        <v/>
      </c>
      <c r="B8781" s="87"/>
      <c r="C8781" s="87"/>
      <c r="D8781" s="87"/>
      <c r="E8781" s="87"/>
      <c r="F8781" s="87"/>
      <c r="G8781" s="87"/>
    </row>
    <row r="8782">
      <c r="A8782" s="86" t="str">
        <f>IFERROR(__xludf.DUMMYFUNCTION("""COMPUTED_VALUE"""),"")</f>
        <v/>
      </c>
      <c r="B8782" s="87"/>
      <c r="C8782" s="87"/>
      <c r="D8782" s="87"/>
      <c r="E8782" s="87"/>
      <c r="F8782" s="87"/>
      <c r="G8782" s="87"/>
    </row>
    <row r="8783">
      <c r="A8783" s="86" t="str">
        <f>IFERROR(__xludf.DUMMYFUNCTION("""COMPUTED_VALUE"""),"")</f>
        <v/>
      </c>
      <c r="B8783" s="87"/>
      <c r="C8783" s="87"/>
      <c r="D8783" s="87"/>
      <c r="E8783" s="87"/>
      <c r="F8783" s="87"/>
      <c r="G8783" s="87"/>
    </row>
    <row r="8784">
      <c r="A8784" s="86" t="str">
        <f>IFERROR(__xludf.DUMMYFUNCTION("""COMPUTED_VALUE"""),"")</f>
        <v/>
      </c>
      <c r="B8784" s="87"/>
      <c r="C8784" s="87"/>
      <c r="D8784" s="87"/>
      <c r="E8784" s="87"/>
      <c r="F8784" s="87"/>
      <c r="G8784" s="87"/>
    </row>
    <row r="8785">
      <c r="A8785" s="86" t="str">
        <f>IFERROR(__xludf.DUMMYFUNCTION("""COMPUTED_VALUE"""),"")</f>
        <v/>
      </c>
      <c r="B8785" s="87"/>
      <c r="C8785" s="87"/>
      <c r="D8785" s="87"/>
      <c r="E8785" s="87"/>
      <c r="F8785" s="87"/>
      <c r="G8785" s="87"/>
    </row>
    <row r="8786">
      <c r="A8786" s="86" t="str">
        <f>IFERROR(__xludf.DUMMYFUNCTION("""COMPUTED_VALUE"""),"")</f>
        <v/>
      </c>
      <c r="B8786" s="87"/>
      <c r="C8786" s="87"/>
      <c r="D8786" s="87"/>
      <c r="E8786" s="87"/>
      <c r="F8786" s="87"/>
      <c r="G8786" s="87"/>
    </row>
    <row r="8787">
      <c r="A8787" s="86" t="str">
        <f>IFERROR(__xludf.DUMMYFUNCTION("""COMPUTED_VALUE"""),"")</f>
        <v/>
      </c>
      <c r="B8787" s="87"/>
      <c r="C8787" s="87"/>
      <c r="D8787" s="87"/>
      <c r="E8787" s="87"/>
      <c r="F8787" s="87"/>
      <c r="G8787" s="87"/>
    </row>
    <row r="8788">
      <c r="A8788" s="86" t="str">
        <f>IFERROR(__xludf.DUMMYFUNCTION("""COMPUTED_VALUE"""),"")</f>
        <v/>
      </c>
      <c r="B8788" s="87"/>
      <c r="C8788" s="87"/>
      <c r="D8788" s="87"/>
      <c r="E8788" s="87"/>
      <c r="F8788" s="87"/>
      <c r="G8788" s="87"/>
    </row>
    <row r="8789">
      <c r="A8789" s="86" t="str">
        <f>IFERROR(__xludf.DUMMYFUNCTION("""COMPUTED_VALUE"""),"")</f>
        <v/>
      </c>
      <c r="B8789" s="87"/>
      <c r="C8789" s="87"/>
      <c r="D8789" s="87"/>
      <c r="E8789" s="87"/>
      <c r="F8789" s="87"/>
      <c r="G8789" s="87"/>
    </row>
    <row r="8790">
      <c r="A8790" s="86" t="str">
        <f>IFERROR(__xludf.DUMMYFUNCTION("""COMPUTED_VALUE"""),"")</f>
        <v/>
      </c>
      <c r="B8790" s="87"/>
      <c r="C8790" s="87"/>
      <c r="D8790" s="87"/>
      <c r="E8790" s="87"/>
      <c r="F8790" s="87"/>
      <c r="G8790" s="87"/>
    </row>
    <row r="8791">
      <c r="A8791" s="86" t="str">
        <f>IFERROR(__xludf.DUMMYFUNCTION("""COMPUTED_VALUE"""),"")</f>
        <v/>
      </c>
      <c r="B8791" s="87"/>
      <c r="C8791" s="87"/>
      <c r="D8791" s="87"/>
      <c r="E8791" s="87"/>
      <c r="F8791" s="87"/>
      <c r="G8791" s="87"/>
    </row>
    <row r="8792">
      <c r="A8792" s="86" t="str">
        <f>IFERROR(__xludf.DUMMYFUNCTION("""COMPUTED_VALUE"""),"")</f>
        <v/>
      </c>
      <c r="B8792" s="87"/>
      <c r="C8792" s="87"/>
      <c r="D8792" s="87"/>
      <c r="E8792" s="87"/>
      <c r="F8792" s="87"/>
      <c r="G8792" s="87"/>
    </row>
    <row r="8793">
      <c r="A8793" s="86" t="str">
        <f>IFERROR(__xludf.DUMMYFUNCTION("""COMPUTED_VALUE"""),"")</f>
        <v/>
      </c>
      <c r="B8793" s="87"/>
      <c r="C8793" s="87"/>
      <c r="D8793" s="87"/>
      <c r="E8793" s="87"/>
      <c r="F8793" s="87"/>
      <c r="G8793" s="87"/>
    </row>
    <row r="8794">
      <c r="A8794" s="86" t="str">
        <f>IFERROR(__xludf.DUMMYFUNCTION("""COMPUTED_VALUE"""),"")</f>
        <v/>
      </c>
      <c r="B8794" s="87"/>
      <c r="C8794" s="87"/>
      <c r="D8794" s="87"/>
      <c r="E8794" s="87"/>
      <c r="F8794" s="87"/>
      <c r="G8794" s="87"/>
    </row>
    <row r="8795">
      <c r="A8795" s="86" t="str">
        <f>IFERROR(__xludf.DUMMYFUNCTION("""COMPUTED_VALUE"""),"")</f>
        <v/>
      </c>
      <c r="B8795" s="87"/>
      <c r="C8795" s="87"/>
      <c r="D8795" s="87"/>
      <c r="E8795" s="87"/>
      <c r="F8795" s="87"/>
      <c r="G8795" s="87"/>
    </row>
    <row r="8796">
      <c r="A8796" s="86" t="str">
        <f>IFERROR(__xludf.DUMMYFUNCTION("""COMPUTED_VALUE"""),"")</f>
        <v/>
      </c>
      <c r="B8796" s="87"/>
      <c r="C8796" s="87"/>
      <c r="D8796" s="87"/>
      <c r="E8796" s="87"/>
      <c r="F8796" s="87"/>
      <c r="G8796" s="87"/>
    </row>
    <row r="8797">
      <c r="A8797" s="86" t="str">
        <f>IFERROR(__xludf.DUMMYFUNCTION("""COMPUTED_VALUE"""),"")</f>
        <v/>
      </c>
      <c r="B8797" s="87"/>
      <c r="C8797" s="87"/>
      <c r="D8797" s="87"/>
      <c r="E8797" s="87"/>
      <c r="F8797" s="87"/>
      <c r="G8797" s="87"/>
    </row>
    <row r="8798">
      <c r="A8798" s="86" t="str">
        <f>IFERROR(__xludf.DUMMYFUNCTION("""COMPUTED_VALUE"""),"")</f>
        <v/>
      </c>
      <c r="B8798" s="87"/>
      <c r="C8798" s="87"/>
      <c r="D8798" s="87"/>
      <c r="E8798" s="87"/>
      <c r="F8798" s="87"/>
      <c r="G8798" s="87"/>
    </row>
    <row r="8799">
      <c r="A8799" s="86" t="str">
        <f>IFERROR(__xludf.DUMMYFUNCTION("""COMPUTED_VALUE"""),"")</f>
        <v/>
      </c>
      <c r="B8799" s="87"/>
      <c r="C8799" s="87"/>
      <c r="D8799" s="87"/>
      <c r="E8799" s="87"/>
      <c r="F8799" s="87"/>
      <c r="G8799" s="87"/>
    </row>
    <row r="8800">
      <c r="A8800" s="86" t="str">
        <f>IFERROR(__xludf.DUMMYFUNCTION("""COMPUTED_VALUE"""),"")</f>
        <v/>
      </c>
      <c r="B8800" s="87"/>
      <c r="C8800" s="87"/>
      <c r="D8800" s="87"/>
      <c r="E8800" s="87"/>
      <c r="F8800" s="87"/>
      <c r="G8800" s="87"/>
    </row>
    <row r="8801">
      <c r="A8801" s="86" t="str">
        <f>IFERROR(__xludf.DUMMYFUNCTION("""COMPUTED_VALUE"""),"")</f>
        <v/>
      </c>
      <c r="B8801" s="87"/>
      <c r="C8801" s="87"/>
      <c r="D8801" s="87"/>
      <c r="E8801" s="87"/>
      <c r="F8801" s="87"/>
      <c r="G8801" s="87"/>
    </row>
    <row r="8802">
      <c r="A8802" s="86" t="str">
        <f>IFERROR(__xludf.DUMMYFUNCTION("""COMPUTED_VALUE"""),"")</f>
        <v/>
      </c>
      <c r="B8802" s="87"/>
      <c r="C8802" s="87"/>
      <c r="D8802" s="87"/>
      <c r="E8802" s="87"/>
      <c r="F8802" s="87"/>
      <c r="G8802" s="87"/>
    </row>
    <row r="8803">
      <c r="A8803" s="86" t="str">
        <f>IFERROR(__xludf.DUMMYFUNCTION("""COMPUTED_VALUE"""),"")</f>
        <v/>
      </c>
      <c r="B8803" s="87"/>
      <c r="C8803" s="87"/>
      <c r="D8803" s="87"/>
      <c r="E8803" s="87"/>
      <c r="F8803" s="87"/>
      <c r="G8803" s="87"/>
    </row>
    <row r="8804">
      <c r="A8804" s="86" t="str">
        <f>IFERROR(__xludf.DUMMYFUNCTION("""COMPUTED_VALUE"""),"")</f>
        <v/>
      </c>
      <c r="B8804" s="87"/>
      <c r="C8804" s="87"/>
      <c r="D8804" s="87"/>
      <c r="E8804" s="87"/>
      <c r="F8804" s="87"/>
      <c r="G8804" s="87"/>
    </row>
    <row r="8805">
      <c r="A8805" s="86" t="str">
        <f>IFERROR(__xludf.DUMMYFUNCTION("""COMPUTED_VALUE"""),"")</f>
        <v/>
      </c>
      <c r="B8805" s="87"/>
      <c r="C8805" s="87"/>
      <c r="D8805" s="87"/>
      <c r="E8805" s="87"/>
      <c r="F8805" s="87"/>
      <c r="G8805" s="87"/>
    </row>
    <row r="8806">
      <c r="A8806" s="86" t="str">
        <f>IFERROR(__xludf.DUMMYFUNCTION("""COMPUTED_VALUE"""),"")</f>
        <v/>
      </c>
      <c r="B8806" s="87"/>
      <c r="C8806" s="87"/>
      <c r="D8806" s="87"/>
      <c r="E8806" s="87"/>
      <c r="F8806" s="87"/>
      <c r="G8806" s="87"/>
    </row>
    <row r="8807">
      <c r="A8807" s="86" t="str">
        <f>IFERROR(__xludf.DUMMYFUNCTION("""COMPUTED_VALUE"""),"")</f>
        <v/>
      </c>
      <c r="B8807" s="87"/>
      <c r="C8807" s="87"/>
      <c r="D8807" s="87"/>
      <c r="E8807" s="87"/>
      <c r="F8807" s="87"/>
      <c r="G8807" s="87"/>
    </row>
    <row r="8808">
      <c r="A8808" s="86" t="str">
        <f>IFERROR(__xludf.DUMMYFUNCTION("""COMPUTED_VALUE"""),"")</f>
        <v/>
      </c>
      <c r="B8808" s="87"/>
      <c r="C8808" s="87"/>
      <c r="D8808" s="87"/>
      <c r="E8808" s="87"/>
      <c r="F8808" s="87"/>
      <c r="G8808" s="87"/>
    </row>
    <row r="8809">
      <c r="A8809" s="86" t="str">
        <f>IFERROR(__xludf.DUMMYFUNCTION("""COMPUTED_VALUE"""),"")</f>
        <v/>
      </c>
      <c r="B8809" s="87"/>
      <c r="C8809" s="87"/>
      <c r="D8809" s="87"/>
      <c r="E8809" s="87"/>
      <c r="F8809" s="87"/>
      <c r="G8809" s="87"/>
    </row>
    <row r="8810">
      <c r="A8810" s="86" t="str">
        <f>IFERROR(__xludf.DUMMYFUNCTION("""COMPUTED_VALUE"""),"")</f>
        <v/>
      </c>
      <c r="B8810" s="87"/>
      <c r="C8810" s="87"/>
      <c r="D8810" s="87"/>
      <c r="E8810" s="87"/>
      <c r="F8810" s="87"/>
      <c r="G8810" s="87"/>
    </row>
    <row r="8811">
      <c r="A8811" s="86" t="str">
        <f>IFERROR(__xludf.DUMMYFUNCTION("""COMPUTED_VALUE"""),"")</f>
        <v/>
      </c>
      <c r="B8811" s="87"/>
      <c r="C8811" s="87"/>
      <c r="D8811" s="87"/>
      <c r="E8811" s="87"/>
      <c r="F8811" s="87"/>
      <c r="G8811" s="87"/>
    </row>
    <row r="8812">
      <c r="A8812" s="86" t="str">
        <f>IFERROR(__xludf.DUMMYFUNCTION("""COMPUTED_VALUE"""),"")</f>
        <v/>
      </c>
      <c r="B8812" s="87"/>
      <c r="C8812" s="87"/>
      <c r="D8812" s="87"/>
      <c r="E8812" s="87"/>
      <c r="F8812" s="87"/>
      <c r="G8812" s="87"/>
    </row>
    <row r="8813">
      <c r="A8813" s="86" t="str">
        <f>IFERROR(__xludf.DUMMYFUNCTION("""COMPUTED_VALUE"""),"")</f>
        <v/>
      </c>
      <c r="B8813" s="87"/>
      <c r="C8813" s="87"/>
      <c r="D8813" s="87"/>
      <c r="E8813" s="87"/>
      <c r="F8813" s="87"/>
      <c r="G8813" s="87"/>
    </row>
    <row r="8814">
      <c r="A8814" s="86" t="str">
        <f>IFERROR(__xludf.DUMMYFUNCTION("""COMPUTED_VALUE"""),"")</f>
        <v/>
      </c>
      <c r="B8814" s="87"/>
      <c r="C8814" s="87"/>
      <c r="D8814" s="87"/>
      <c r="E8814" s="87"/>
      <c r="F8814" s="87"/>
      <c r="G8814" s="87"/>
    </row>
    <row r="8815">
      <c r="A8815" s="86" t="str">
        <f>IFERROR(__xludf.DUMMYFUNCTION("""COMPUTED_VALUE"""),"")</f>
        <v/>
      </c>
      <c r="B8815" s="87"/>
      <c r="C8815" s="87"/>
      <c r="D8815" s="87"/>
      <c r="E8815" s="87"/>
      <c r="F8815" s="87"/>
      <c r="G8815" s="87"/>
    </row>
    <row r="8816">
      <c r="A8816" s="86" t="str">
        <f>IFERROR(__xludf.DUMMYFUNCTION("""COMPUTED_VALUE"""),"")</f>
        <v/>
      </c>
      <c r="B8816" s="87"/>
      <c r="C8816" s="87"/>
      <c r="D8816" s="87"/>
      <c r="E8816" s="87"/>
      <c r="F8816" s="87"/>
      <c r="G8816" s="87"/>
    </row>
    <row r="8817">
      <c r="A8817" s="86" t="str">
        <f>IFERROR(__xludf.DUMMYFUNCTION("""COMPUTED_VALUE"""),"")</f>
        <v/>
      </c>
      <c r="B8817" s="87"/>
      <c r="C8817" s="87"/>
      <c r="D8817" s="87"/>
      <c r="E8817" s="87"/>
      <c r="F8817" s="87"/>
      <c r="G8817" s="87"/>
    </row>
    <row r="8818">
      <c r="A8818" s="86" t="str">
        <f>IFERROR(__xludf.DUMMYFUNCTION("""COMPUTED_VALUE"""),"")</f>
        <v/>
      </c>
      <c r="B8818" s="87"/>
      <c r="C8818" s="87"/>
      <c r="D8818" s="87"/>
      <c r="E8818" s="87"/>
      <c r="F8818" s="87"/>
      <c r="G8818" s="87"/>
    </row>
    <row r="8819">
      <c r="A8819" s="86" t="str">
        <f>IFERROR(__xludf.DUMMYFUNCTION("""COMPUTED_VALUE"""),"")</f>
        <v/>
      </c>
      <c r="B8819" s="87"/>
      <c r="C8819" s="87"/>
      <c r="D8819" s="87"/>
      <c r="E8819" s="87"/>
      <c r="F8819" s="87"/>
      <c r="G8819" s="87"/>
    </row>
    <row r="8820">
      <c r="A8820" s="86" t="str">
        <f>IFERROR(__xludf.DUMMYFUNCTION("""COMPUTED_VALUE"""),"")</f>
        <v/>
      </c>
      <c r="B8820" s="87"/>
      <c r="C8820" s="87"/>
      <c r="D8820" s="87"/>
      <c r="E8820" s="87"/>
      <c r="F8820" s="87"/>
      <c r="G8820" s="87"/>
    </row>
    <row r="8821">
      <c r="A8821" s="86" t="str">
        <f>IFERROR(__xludf.DUMMYFUNCTION("""COMPUTED_VALUE"""),"")</f>
        <v/>
      </c>
      <c r="B8821" s="87"/>
      <c r="C8821" s="87"/>
      <c r="D8821" s="87"/>
      <c r="E8821" s="87"/>
      <c r="F8821" s="87"/>
      <c r="G8821" s="87"/>
    </row>
    <row r="8822">
      <c r="A8822" s="86" t="str">
        <f>IFERROR(__xludf.DUMMYFUNCTION("""COMPUTED_VALUE"""),"")</f>
        <v/>
      </c>
      <c r="B8822" s="87"/>
      <c r="C8822" s="87"/>
      <c r="D8822" s="87"/>
      <c r="E8822" s="87"/>
      <c r="F8822" s="87"/>
      <c r="G8822" s="87"/>
    </row>
    <row r="8823">
      <c r="A8823" s="86" t="str">
        <f>IFERROR(__xludf.DUMMYFUNCTION("""COMPUTED_VALUE"""),"")</f>
        <v/>
      </c>
      <c r="B8823" s="87"/>
      <c r="C8823" s="87"/>
      <c r="D8823" s="87"/>
      <c r="E8823" s="87"/>
      <c r="F8823" s="87"/>
      <c r="G8823" s="87"/>
    </row>
    <row r="8824">
      <c r="A8824" s="86" t="str">
        <f>IFERROR(__xludf.DUMMYFUNCTION("""COMPUTED_VALUE"""),"")</f>
        <v/>
      </c>
      <c r="B8824" s="87"/>
      <c r="C8824" s="87"/>
      <c r="D8824" s="87"/>
      <c r="E8824" s="87"/>
      <c r="F8824" s="87"/>
      <c r="G8824" s="87"/>
    </row>
    <row r="8825">
      <c r="A8825" s="86" t="str">
        <f>IFERROR(__xludf.DUMMYFUNCTION("""COMPUTED_VALUE"""),"")</f>
        <v/>
      </c>
      <c r="B8825" s="87"/>
      <c r="C8825" s="87"/>
      <c r="D8825" s="87"/>
      <c r="E8825" s="87"/>
      <c r="F8825" s="87"/>
      <c r="G8825" s="87"/>
    </row>
    <row r="8826">
      <c r="A8826" s="86" t="str">
        <f>IFERROR(__xludf.DUMMYFUNCTION("""COMPUTED_VALUE"""),"")</f>
        <v/>
      </c>
      <c r="B8826" s="87"/>
      <c r="C8826" s="87"/>
      <c r="D8826" s="87"/>
      <c r="E8826" s="87"/>
      <c r="F8826" s="87"/>
      <c r="G8826" s="87"/>
    </row>
    <row r="8827">
      <c r="A8827" s="86" t="str">
        <f>IFERROR(__xludf.DUMMYFUNCTION("""COMPUTED_VALUE"""),"")</f>
        <v/>
      </c>
      <c r="B8827" s="87"/>
      <c r="C8827" s="87"/>
      <c r="D8827" s="87"/>
      <c r="E8827" s="87"/>
      <c r="F8827" s="87"/>
      <c r="G8827" s="87"/>
    </row>
    <row r="8828">
      <c r="A8828" s="86" t="str">
        <f>IFERROR(__xludf.DUMMYFUNCTION("""COMPUTED_VALUE"""),"")</f>
        <v/>
      </c>
      <c r="B8828" s="87"/>
      <c r="C8828" s="87"/>
      <c r="D8828" s="87"/>
      <c r="E8828" s="87"/>
      <c r="F8828" s="87"/>
      <c r="G8828" s="87"/>
    </row>
    <row r="8829">
      <c r="A8829" s="86" t="str">
        <f>IFERROR(__xludf.DUMMYFUNCTION("""COMPUTED_VALUE"""),"")</f>
        <v/>
      </c>
      <c r="B8829" s="87"/>
      <c r="C8829" s="87"/>
      <c r="D8829" s="87"/>
      <c r="E8829" s="87"/>
      <c r="F8829" s="87"/>
      <c r="G8829" s="87"/>
    </row>
    <row r="8830">
      <c r="A8830" s="86" t="str">
        <f>IFERROR(__xludf.DUMMYFUNCTION("""COMPUTED_VALUE"""),"")</f>
        <v/>
      </c>
      <c r="B8830" s="87"/>
      <c r="C8830" s="87"/>
      <c r="D8830" s="87"/>
      <c r="E8830" s="87"/>
      <c r="F8830" s="87"/>
      <c r="G8830" s="87"/>
    </row>
    <row r="8831">
      <c r="A8831" s="86" t="str">
        <f>IFERROR(__xludf.DUMMYFUNCTION("""COMPUTED_VALUE"""),"")</f>
        <v/>
      </c>
      <c r="B8831" s="87"/>
      <c r="C8831" s="87"/>
      <c r="D8831" s="87"/>
      <c r="E8831" s="87"/>
      <c r="F8831" s="87"/>
      <c r="G8831" s="87"/>
    </row>
    <row r="8832">
      <c r="A8832" s="86" t="str">
        <f>IFERROR(__xludf.DUMMYFUNCTION("""COMPUTED_VALUE"""),"")</f>
        <v/>
      </c>
      <c r="B8832" s="87"/>
      <c r="C8832" s="87"/>
      <c r="D8832" s="87"/>
      <c r="E8832" s="87"/>
      <c r="F8832" s="87"/>
      <c r="G8832" s="87"/>
    </row>
    <row r="8833">
      <c r="A8833" s="86" t="str">
        <f>IFERROR(__xludf.DUMMYFUNCTION("""COMPUTED_VALUE"""),"")</f>
        <v/>
      </c>
      <c r="B8833" s="87"/>
      <c r="C8833" s="87"/>
      <c r="D8833" s="87"/>
      <c r="E8833" s="87"/>
      <c r="F8833" s="87"/>
      <c r="G8833" s="87"/>
    </row>
    <row r="8834">
      <c r="A8834" s="86" t="str">
        <f>IFERROR(__xludf.DUMMYFUNCTION("""COMPUTED_VALUE"""),"")</f>
        <v/>
      </c>
      <c r="B8834" s="87"/>
      <c r="C8834" s="87"/>
      <c r="D8834" s="87"/>
      <c r="E8834" s="87"/>
      <c r="F8834" s="87"/>
      <c r="G8834" s="87"/>
    </row>
    <row r="8835">
      <c r="A8835" s="86" t="str">
        <f>IFERROR(__xludf.DUMMYFUNCTION("""COMPUTED_VALUE"""),"")</f>
        <v/>
      </c>
      <c r="B8835" s="87"/>
      <c r="C8835" s="87"/>
      <c r="D8835" s="87"/>
      <c r="E8835" s="87"/>
      <c r="F8835" s="87"/>
      <c r="G8835" s="87"/>
    </row>
    <row r="8836">
      <c r="A8836" s="86" t="str">
        <f>IFERROR(__xludf.DUMMYFUNCTION("""COMPUTED_VALUE"""),"")</f>
        <v/>
      </c>
      <c r="B8836" s="87"/>
      <c r="C8836" s="87"/>
      <c r="D8836" s="87"/>
      <c r="E8836" s="87"/>
      <c r="F8836" s="87"/>
      <c r="G8836" s="87"/>
    </row>
    <row r="8837">
      <c r="A8837" s="86" t="str">
        <f>IFERROR(__xludf.DUMMYFUNCTION("""COMPUTED_VALUE"""),"")</f>
        <v/>
      </c>
      <c r="B8837" s="87"/>
      <c r="C8837" s="87"/>
      <c r="D8837" s="87"/>
      <c r="E8837" s="87"/>
      <c r="F8837" s="87"/>
      <c r="G8837" s="87"/>
    </row>
    <row r="8838">
      <c r="A8838" s="86" t="str">
        <f>IFERROR(__xludf.DUMMYFUNCTION("""COMPUTED_VALUE"""),"")</f>
        <v/>
      </c>
      <c r="B8838" s="87"/>
      <c r="C8838" s="87"/>
      <c r="D8838" s="87"/>
      <c r="E8838" s="87"/>
      <c r="F8838" s="87"/>
      <c r="G8838" s="87"/>
    </row>
    <row r="8839">
      <c r="A8839" s="86" t="str">
        <f>IFERROR(__xludf.DUMMYFUNCTION("""COMPUTED_VALUE"""),"")</f>
        <v/>
      </c>
      <c r="B8839" s="87"/>
      <c r="C8839" s="87"/>
      <c r="D8839" s="87"/>
      <c r="E8839" s="87"/>
      <c r="F8839" s="87"/>
      <c r="G8839" s="87"/>
    </row>
    <row r="8840">
      <c r="A8840" s="86" t="str">
        <f>IFERROR(__xludf.DUMMYFUNCTION("""COMPUTED_VALUE"""),"")</f>
        <v/>
      </c>
      <c r="B8840" s="87"/>
      <c r="C8840" s="87"/>
      <c r="D8840" s="87"/>
      <c r="E8840" s="87"/>
      <c r="F8840" s="87"/>
      <c r="G8840" s="87"/>
    </row>
    <row r="8841">
      <c r="A8841" s="86" t="str">
        <f>IFERROR(__xludf.DUMMYFUNCTION("""COMPUTED_VALUE"""),"")</f>
        <v/>
      </c>
      <c r="B8841" s="87"/>
      <c r="C8841" s="87"/>
      <c r="D8841" s="87"/>
      <c r="E8841" s="87"/>
      <c r="F8841" s="87"/>
      <c r="G8841" s="87"/>
    </row>
    <row r="8842">
      <c r="A8842" s="86" t="str">
        <f>IFERROR(__xludf.DUMMYFUNCTION("""COMPUTED_VALUE"""),"")</f>
        <v/>
      </c>
      <c r="B8842" s="87"/>
      <c r="C8842" s="87"/>
      <c r="D8842" s="87"/>
      <c r="E8842" s="87"/>
      <c r="F8842" s="87"/>
      <c r="G8842" s="87"/>
    </row>
    <row r="8843">
      <c r="A8843" s="86" t="str">
        <f>IFERROR(__xludf.DUMMYFUNCTION("""COMPUTED_VALUE"""),"")</f>
        <v/>
      </c>
      <c r="B8843" s="87"/>
      <c r="C8843" s="87"/>
      <c r="D8843" s="87"/>
      <c r="E8843" s="87"/>
      <c r="F8843" s="87"/>
      <c r="G8843" s="87"/>
    </row>
    <row r="8844">
      <c r="A8844" s="86" t="str">
        <f>IFERROR(__xludf.DUMMYFUNCTION("""COMPUTED_VALUE"""),"")</f>
        <v/>
      </c>
      <c r="B8844" s="87"/>
      <c r="C8844" s="87"/>
      <c r="D8844" s="87"/>
      <c r="E8844" s="87"/>
      <c r="F8844" s="87"/>
      <c r="G8844" s="87"/>
    </row>
    <row r="8845">
      <c r="A8845" s="86" t="str">
        <f>IFERROR(__xludf.DUMMYFUNCTION("""COMPUTED_VALUE"""),"")</f>
        <v/>
      </c>
      <c r="B8845" s="87"/>
      <c r="C8845" s="87"/>
      <c r="D8845" s="87"/>
      <c r="E8845" s="87"/>
      <c r="F8845" s="87"/>
      <c r="G8845" s="87"/>
    </row>
    <row r="8846">
      <c r="A8846" s="86" t="str">
        <f>IFERROR(__xludf.DUMMYFUNCTION("""COMPUTED_VALUE"""),"")</f>
        <v/>
      </c>
      <c r="B8846" s="87"/>
      <c r="C8846" s="87"/>
      <c r="D8846" s="87"/>
      <c r="E8846" s="87"/>
      <c r="F8846" s="87"/>
      <c r="G8846" s="87"/>
    </row>
    <row r="8847">
      <c r="A8847" s="86" t="str">
        <f>IFERROR(__xludf.DUMMYFUNCTION("""COMPUTED_VALUE"""),"")</f>
        <v/>
      </c>
      <c r="B8847" s="87"/>
      <c r="C8847" s="87"/>
      <c r="D8847" s="87"/>
      <c r="E8847" s="87"/>
      <c r="F8847" s="87"/>
      <c r="G8847" s="87"/>
    </row>
    <row r="8848">
      <c r="A8848" s="86" t="str">
        <f>IFERROR(__xludf.DUMMYFUNCTION("""COMPUTED_VALUE"""),"")</f>
        <v/>
      </c>
      <c r="B8848" s="87"/>
      <c r="C8848" s="87"/>
      <c r="D8848" s="87"/>
      <c r="E8848" s="87"/>
      <c r="F8848" s="87"/>
      <c r="G8848" s="87"/>
    </row>
    <row r="8849">
      <c r="A8849" s="86" t="str">
        <f>IFERROR(__xludf.DUMMYFUNCTION("""COMPUTED_VALUE"""),"")</f>
        <v/>
      </c>
      <c r="B8849" s="87"/>
      <c r="C8849" s="87"/>
      <c r="D8849" s="87"/>
      <c r="E8849" s="87"/>
      <c r="F8849" s="87"/>
      <c r="G8849" s="87"/>
    </row>
    <row r="8850">
      <c r="A8850" s="86" t="str">
        <f>IFERROR(__xludf.DUMMYFUNCTION("""COMPUTED_VALUE"""),"")</f>
        <v/>
      </c>
      <c r="B8850" s="87"/>
      <c r="C8850" s="87"/>
      <c r="D8850" s="87"/>
      <c r="E8850" s="87"/>
      <c r="F8850" s="87"/>
      <c r="G8850" s="87"/>
    </row>
    <row r="8851">
      <c r="A8851" s="86" t="str">
        <f>IFERROR(__xludf.DUMMYFUNCTION("""COMPUTED_VALUE"""),"")</f>
        <v/>
      </c>
      <c r="B8851" s="87"/>
      <c r="C8851" s="87"/>
      <c r="D8851" s="87"/>
      <c r="E8851" s="87"/>
      <c r="F8851" s="87"/>
      <c r="G8851" s="87"/>
    </row>
    <row r="8852">
      <c r="A8852" s="86" t="str">
        <f>IFERROR(__xludf.DUMMYFUNCTION("""COMPUTED_VALUE"""),"")</f>
        <v/>
      </c>
      <c r="B8852" s="87"/>
      <c r="C8852" s="87"/>
      <c r="D8852" s="87"/>
      <c r="E8852" s="87"/>
      <c r="F8852" s="87"/>
      <c r="G8852" s="87"/>
    </row>
    <row r="8853">
      <c r="A8853" s="86" t="str">
        <f>IFERROR(__xludf.DUMMYFUNCTION("""COMPUTED_VALUE"""),"")</f>
        <v/>
      </c>
      <c r="B8853" s="87"/>
      <c r="C8853" s="87"/>
      <c r="D8853" s="87"/>
      <c r="E8853" s="87"/>
      <c r="F8853" s="87"/>
      <c r="G8853" s="87"/>
    </row>
    <row r="8854">
      <c r="A8854" s="86" t="str">
        <f>IFERROR(__xludf.DUMMYFUNCTION("""COMPUTED_VALUE"""),"")</f>
        <v/>
      </c>
      <c r="B8854" s="87"/>
      <c r="C8854" s="87"/>
      <c r="D8854" s="87"/>
      <c r="E8854" s="87"/>
      <c r="F8854" s="87"/>
      <c r="G8854" s="87"/>
    </row>
    <row r="8855">
      <c r="A8855" s="86" t="str">
        <f>IFERROR(__xludf.DUMMYFUNCTION("""COMPUTED_VALUE"""),"")</f>
        <v/>
      </c>
      <c r="B8855" s="87"/>
      <c r="C8855" s="87"/>
      <c r="D8855" s="87"/>
      <c r="E8855" s="87"/>
      <c r="F8855" s="87"/>
      <c r="G8855" s="87"/>
    </row>
    <row r="8856">
      <c r="A8856" s="86" t="str">
        <f>IFERROR(__xludf.DUMMYFUNCTION("""COMPUTED_VALUE"""),"")</f>
        <v/>
      </c>
      <c r="B8856" s="87"/>
      <c r="C8856" s="87"/>
      <c r="D8856" s="87"/>
      <c r="E8856" s="87"/>
      <c r="F8856" s="87"/>
      <c r="G8856" s="87"/>
    </row>
    <row r="8857">
      <c r="A8857" s="86" t="str">
        <f>IFERROR(__xludf.DUMMYFUNCTION("""COMPUTED_VALUE"""),"")</f>
        <v/>
      </c>
      <c r="B8857" s="87"/>
      <c r="C8857" s="87"/>
      <c r="D8857" s="87"/>
      <c r="E8857" s="87"/>
      <c r="F8857" s="87"/>
      <c r="G8857" s="87"/>
    </row>
    <row r="8858">
      <c r="A8858" s="86" t="str">
        <f>IFERROR(__xludf.DUMMYFUNCTION("""COMPUTED_VALUE"""),"")</f>
        <v/>
      </c>
      <c r="B8858" s="87"/>
      <c r="C8858" s="87"/>
      <c r="D8858" s="87"/>
      <c r="E8858" s="87"/>
      <c r="F8858" s="87"/>
      <c r="G8858" s="87"/>
    </row>
    <row r="8859">
      <c r="A8859" s="86" t="str">
        <f>IFERROR(__xludf.DUMMYFUNCTION("""COMPUTED_VALUE"""),"")</f>
        <v/>
      </c>
      <c r="B8859" s="87"/>
      <c r="C8859" s="87"/>
      <c r="D8859" s="87"/>
      <c r="E8859" s="87"/>
      <c r="F8859" s="87"/>
      <c r="G8859" s="87"/>
    </row>
    <row r="8860">
      <c r="A8860" s="86" t="str">
        <f>IFERROR(__xludf.DUMMYFUNCTION("""COMPUTED_VALUE"""),"")</f>
        <v/>
      </c>
      <c r="B8860" s="87"/>
      <c r="C8860" s="87"/>
      <c r="D8860" s="87"/>
      <c r="E8860" s="87"/>
      <c r="F8860" s="87"/>
      <c r="G8860" s="87"/>
    </row>
    <row r="8861">
      <c r="A8861" s="86" t="str">
        <f>IFERROR(__xludf.DUMMYFUNCTION("""COMPUTED_VALUE"""),"")</f>
        <v/>
      </c>
      <c r="B8861" s="87"/>
      <c r="C8861" s="87"/>
      <c r="D8861" s="87"/>
      <c r="E8861" s="87"/>
      <c r="F8861" s="87"/>
      <c r="G8861" s="87"/>
    </row>
    <row r="8862">
      <c r="A8862" s="86" t="str">
        <f>IFERROR(__xludf.DUMMYFUNCTION("""COMPUTED_VALUE"""),"")</f>
        <v/>
      </c>
      <c r="B8862" s="87"/>
      <c r="C8862" s="87"/>
      <c r="D8862" s="87"/>
      <c r="E8862" s="87"/>
      <c r="F8862" s="87"/>
      <c r="G8862" s="87"/>
    </row>
    <row r="8863">
      <c r="A8863" s="86" t="str">
        <f>IFERROR(__xludf.DUMMYFUNCTION("""COMPUTED_VALUE"""),"")</f>
        <v/>
      </c>
      <c r="B8863" s="87"/>
      <c r="C8863" s="87"/>
      <c r="D8863" s="87"/>
      <c r="E8863" s="87"/>
      <c r="F8863" s="87"/>
      <c r="G8863" s="87"/>
    </row>
    <row r="8864">
      <c r="A8864" s="86" t="str">
        <f>IFERROR(__xludf.DUMMYFUNCTION("""COMPUTED_VALUE"""),"")</f>
        <v/>
      </c>
      <c r="B8864" s="87"/>
      <c r="C8864" s="87"/>
      <c r="D8864" s="87"/>
      <c r="E8864" s="87"/>
      <c r="F8864" s="87"/>
      <c r="G8864" s="87"/>
    </row>
    <row r="8865">
      <c r="A8865" s="86" t="str">
        <f>IFERROR(__xludf.DUMMYFUNCTION("""COMPUTED_VALUE"""),"")</f>
        <v/>
      </c>
      <c r="B8865" s="87"/>
      <c r="C8865" s="87"/>
      <c r="D8865" s="87"/>
      <c r="E8865" s="87"/>
      <c r="F8865" s="87"/>
      <c r="G8865" s="87"/>
    </row>
    <row r="8866">
      <c r="A8866" s="86" t="str">
        <f>IFERROR(__xludf.DUMMYFUNCTION("""COMPUTED_VALUE"""),"")</f>
        <v/>
      </c>
      <c r="B8866" s="87"/>
      <c r="C8866" s="87"/>
      <c r="D8866" s="87"/>
      <c r="E8866" s="87"/>
      <c r="F8866" s="87"/>
      <c r="G8866" s="87"/>
    </row>
    <row r="8867">
      <c r="A8867" s="86" t="str">
        <f>IFERROR(__xludf.DUMMYFUNCTION("""COMPUTED_VALUE"""),"")</f>
        <v/>
      </c>
      <c r="B8867" s="87"/>
      <c r="C8867" s="87"/>
      <c r="D8867" s="87"/>
      <c r="E8867" s="87"/>
      <c r="F8867" s="87"/>
      <c r="G8867" s="87"/>
    </row>
    <row r="8868">
      <c r="A8868" s="86" t="str">
        <f>IFERROR(__xludf.DUMMYFUNCTION("""COMPUTED_VALUE"""),"")</f>
        <v/>
      </c>
      <c r="B8868" s="87"/>
      <c r="C8868" s="87"/>
      <c r="D8868" s="87"/>
      <c r="E8868" s="87"/>
      <c r="F8868" s="87"/>
      <c r="G8868" s="87"/>
    </row>
    <row r="8869">
      <c r="A8869" s="86" t="str">
        <f>IFERROR(__xludf.DUMMYFUNCTION("""COMPUTED_VALUE"""),"")</f>
        <v/>
      </c>
      <c r="B8869" s="87"/>
      <c r="C8869" s="87"/>
      <c r="D8869" s="87"/>
      <c r="E8869" s="87"/>
      <c r="F8869" s="87"/>
      <c r="G8869" s="87"/>
    </row>
    <row r="8870">
      <c r="A8870" s="86" t="str">
        <f>IFERROR(__xludf.DUMMYFUNCTION("""COMPUTED_VALUE"""),"")</f>
        <v/>
      </c>
      <c r="B8870" s="87"/>
      <c r="C8870" s="87"/>
      <c r="D8870" s="87"/>
      <c r="E8870" s="87"/>
      <c r="F8870" s="87"/>
      <c r="G8870" s="87"/>
    </row>
    <row r="8871">
      <c r="A8871" s="86" t="str">
        <f>IFERROR(__xludf.DUMMYFUNCTION("""COMPUTED_VALUE"""),"")</f>
        <v/>
      </c>
      <c r="B8871" s="87"/>
      <c r="C8871" s="87"/>
      <c r="D8871" s="87"/>
      <c r="E8871" s="87"/>
      <c r="F8871" s="87"/>
      <c r="G8871" s="87"/>
    </row>
    <row r="8872">
      <c r="A8872" s="86" t="str">
        <f>IFERROR(__xludf.DUMMYFUNCTION("""COMPUTED_VALUE"""),"")</f>
        <v/>
      </c>
      <c r="B8872" s="87"/>
      <c r="C8872" s="87"/>
      <c r="D8872" s="87"/>
      <c r="E8872" s="87"/>
      <c r="F8872" s="87"/>
      <c r="G8872" s="87"/>
    </row>
    <row r="8873">
      <c r="A8873" s="86" t="str">
        <f>IFERROR(__xludf.DUMMYFUNCTION("""COMPUTED_VALUE"""),"")</f>
        <v/>
      </c>
      <c r="B8873" s="87"/>
      <c r="C8873" s="87"/>
      <c r="D8873" s="87"/>
      <c r="E8873" s="87"/>
      <c r="F8873" s="87"/>
      <c r="G8873" s="87"/>
    </row>
    <row r="8874">
      <c r="A8874" s="86" t="str">
        <f>IFERROR(__xludf.DUMMYFUNCTION("""COMPUTED_VALUE"""),"")</f>
        <v/>
      </c>
      <c r="B8874" s="87"/>
      <c r="C8874" s="87"/>
      <c r="D8874" s="87"/>
      <c r="E8874" s="87"/>
      <c r="F8874" s="87"/>
      <c r="G8874" s="87"/>
    </row>
    <row r="8875">
      <c r="A8875" s="86" t="str">
        <f>IFERROR(__xludf.DUMMYFUNCTION("""COMPUTED_VALUE"""),"")</f>
        <v/>
      </c>
      <c r="B8875" s="87"/>
      <c r="C8875" s="87"/>
      <c r="D8875" s="87"/>
      <c r="E8875" s="87"/>
      <c r="F8875" s="87"/>
      <c r="G8875" s="87"/>
    </row>
    <row r="8876">
      <c r="A8876" s="86" t="str">
        <f>IFERROR(__xludf.DUMMYFUNCTION("""COMPUTED_VALUE"""),"")</f>
        <v/>
      </c>
      <c r="B8876" s="87"/>
      <c r="C8876" s="87"/>
      <c r="D8876" s="87"/>
      <c r="E8876" s="87"/>
      <c r="F8876" s="87"/>
      <c r="G8876" s="87"/>
    </row>
    <row r="8877">
      <c r="A8877" s="86" t="str">
        <f>IFERROR(__xludf.DUMMYFUNCTION("""COMPUTED_VALUE"""),"")</f>
        <v/>
      </c>
      <c r="B8877" s="87"/>
      <c r="C8877" s="87"/>
      <c r="D8877" s="87"/>
      <c r="E8877" s="87"/>
      <c r="F8877" s="87"/>
      <c r="G8877" s="87"/>
    </row>
    <row r="8878">
      <c r="A8878" s="86" t="str">
        <f>IFERROR(__xludf.DUMMYFUNCTION("""COMPUTED_VALUE"""),"")</f>
        <v/>
      </c>
      <c r="B8878" s="87"/>
      <c r="C8878" s="87"/>
      <c r="D8878" s="87"/>
      <c r="E8878" s="87"/>
      <c r="F8878" s="87"/>
      <c r="G8878" s="87"/>
    </row>
    <row r="8879">
      <c r="A8879" s="86" t="str">
        <f>IFERROR(__xludf.DUMMYFUNCTION("""COMPUTED_VALUE"""),"")</f>
        <v/>
      </c>
      <c r="B8879" s="87"/>
      <c r="C8879" s="87"/>
      <c r="D8879" s="87"/>
      <c r="E8879" s="87"/>
      <c r="F8879" s="87"/>
      <c r="G8879" s="87"/>
    </row>
    <row r="8880">
      <c r="A8880" s="86" t="str">
        <f>IFERROR(__xludf.DUMMYFUNCTION("""COMPUTED_VALUE"""),"")</f>
        <v/>
      </c>
      <c r="B8880" s="87"/>
      <c r="C8880" s="87"/>
      <c r="D8880" s="87"/>
      <c r="E8880" s="87"/>
      <c r="F8880" s="87"/>
      <c r="G8880" s="87"/>
    </row>
    <row r="8881">
      <c r="A8881" s="86" t="str">
        <f>IFERROR(__xludf.DUMMYFUNCTION("""COMPUTED_VALUE"""),"")</f>
        <v/>
      </c>
      <c r="B8881" s="87"/>
      <c r="C8881" s="87"/>
      <c r="D8881" s="87"/>
      <c r="E8881" s="87"/>
      <c r="F8881" s="87"/>
      <c r="G8881" s="87"/>
    </row>
    <row r="8882">
      <c r="A8882" s="86" t="str">
        <f>IFERROR(__xludf.DUMMYFUNCTION("""COMPUTED_VALUE"""),"")</f>
        <v/>
      </c>
      <c r="B8882" s="87"/>
      <c r="C8882" s="87"/>
      <c r="D8882" s="87"/>
      <c r="E8882" s="87"/>
      <c r="F8882" s="87"/>
      <c r="G8882" s="87"/>
    </row>
    <row r="8883">
      <c r="A8883" s="86" t="str">
        <f>IFERROR(__xludf.DUMMYFUNCTION("""COMPUTED_VALUE"""),"")</f>
        <v/>
      </c>
      <c r="B8883" s="87"/>
      <c r="C8883" s="87"/>
      <c r="D8883" s="87"/>
      <c r="E8883" s="87"/>
      <c r="F8883" s="87"/>
      <c r="G8883" s="87"/>
    </row>
    <row r="8884">
      <c r="A8884" s="86" t="str">
        <f>IFERROR(__xludf.DUMMYFUNCTION("""COMPUTED_VALUE"""),"")</f>
        <v/>
      </c>
      <c r="B8884" s="87"/>
      <c r="C8884" s="87"/>
      <c r="D8884" s="87"/>
      <c r="E8884" s="87"/>
      <c r="F8884" s="87"/>
      <c r="G8884" s="87"/>
    </row>
    <row r="8885">
      <c r="A8885" s="86" t="str">
        <f>IFERROR(__xludf.DUMMYFUNCTION("""COMPUTED_VALUE"""),"")</f>
        <v/>
      </c>
      <c r="B8885" s="87"/>
      <c r="C8885" s="87"/>
      <c r="D8885" s="87"/>
      <c r="E8885" s="87"/>
      <c r="F8885" s="87"/>
      <c r="G8885" s="87"/>
    </row>
    <row r="8886">
      <c r="A8886" s="86" t="str">
        <f>IFERROR(__xludf.DUMMYFUNCTION("""COMPUTED_VALUE"""),"")</f>
        <v/>
      </c>
      <c r="B8886" s="87"/>
      <c r="C8886" s="87"/>
      <c r="D8886" s="87"/>
      <c r="E8886" s="87"/>
      <c r="F8886" s="87"/>
      <c r="G8886" s="87"/>
    </row>
    <row r="8887">
      <c r="A8887" s="86" t="str">
        <f>IFERROR(__xludf.DUMMYFUNCTION("""COMPUTED_VALUE"""),"")</f>
        <v/>
      </c>
      <c r="B8887" s="87"/>
      <c r="C8887" s="87"/>
      <c r="D8887" s="87"/>
      <c r="E8887" s="87"/>
      <c r="F8887" s="87"/>
      <c r="G8887" s="87"/>
    </row>
    <row r="8888">
      <c r="A8888" s="86" t="str">
        <f>IFERROR(__xludf.DUMMYFUNCTION("""COMPUTED_VALUE"""),"")</f>
        <v/>
      </c>
      <c r="B8888" s="87"/>
      <c r="C8888" s="87"/>
      <c r="D8888" s="87"/>
      <c r="E8888" s="87"/>
      <c r="F8888" s="87"/>
      <c r="G8888" s="87"/>
    </row>
    <row r="8889">
      <c r="A8889" s="86" t="str">
        <f>IFERROR(__xludf.DUMMYFUNCTION("""COMPUTED_VALUE"""),"")</f>
        <v/>
      </c>
      <c r="B8889" s="87"/>
      <c r="C8889" s="87"/>
      <c r="D8889" s="87"/>
      <c r="E8889" s="87"/>
      <c r="F8889" s="87"/>
      <c r="G8889" s="87"/>
    </row>
    <row r="8890">
      <c r="A8890" s="86" t="str">
        <f>IFERROR(__xludf.DUMMYFUNCTION("""COMPUTED_VALUE"""),"")</f>
        <v/>
      </c>
      <c r="B8890" s="87"/>
      <c r="C8890" s="87"/>
      <c r="D8890" s="87"/>
      <c r="E8890" s="87"/>
      <c r="F8890" s="87"/>
      <c r="G8890" s="87"/>
    </row>
    <row r="8891">
      <c r="A8891" s="86" t="str">
        <f>IFERROR(__xludf.DUMMYFUNCTION("""COMPUTED_VALUE"""),"")</f>
        <v/>
      </c>
      <c r="B8891" s="87"/>
      <c r="C8891" s="87"/>
      <c r="D8891" s="87"/>
      <c r="E8891" s="87"/>
      <c r="F8891" s="87"/>
      <c r="G8891" s="87"/>
    </row>
    <row r="8892">
      <c r="A8892" s="86" t="str">
        <f>IFERROR(__xludf.DUMMYFUNCTION("""COMPUTED_VALUE"""),"")</f>
        <v/>
      </c>
      <c r="B8892" s="87"/>
      <c r="C8892" s="87"/>
      <c r="D8892" s="87"/>
      <c r="E8892" s="87"/>
      <c r="F8892" s="87"/>
      <c r="G8892" s="87"/>
    </row>
    <row r="8893">
      <c r="A8893" s="86" t="str">
        <f>IFERROR(__xludf.DUMMYFUNCTION("""COMPUTED_VALUE"""),"")</f>
        <v/>
      </c>
      <c r="B8893" s="87"/>
      <c r="C8893" s="87"/>
      <c r="D8893" s="87"/>
      <c r="E8893" s="87"/>
      <c r="F8893" s="87"/>
      <c r="G8893" s="87"/>
    </row>
    <row r="8894">
      <c r="A8894" s="86" t="str">
        <f>IFERROR(__xludf.DUMMYFUNCTION("""COMPUTED_VALUE"""),"")</f>
        <v/>
      </c>
      <c r="B8894" s="87"/>
      <c r="C8894" s="87"/>
      <c r="D8894" s="87"/>
      <c r="E8894" s="87"/>
      <c r="F8894" s="87"/>
      <c r="G8894" s="87"/>
    </row>
    <row r="8895">
      <c r="A8895" s="86" t="str">
        <f>IFERROR(__xludf.DUMMYFUNCTION("""COMPUTED_VALUE"""),"")</f>
        <v/>
      </c>
      <c r="B8895" s="87"/>
      <c r="C8895" s="87"/>
      <c r="D8895" s="87"/>
      <c r="E8895" s="87"/>
      <c r="F8895" s="87"/>
      <c r="G8895" s="87"/>
    </row>
    <row r="8896">
      <c r="A8896" s="86" t="str">
        <f>IFERROR(__xludf.DUMMYFUNCTION("""COMPUTED_VALUE"""),"")</f>
        <v/>
      </c>
      <c r="B8896" s="87"/>
      <c r="C8896" s="87"/>
      <c r="D8896" s="87"/>
      <c r="E8896" s="87"/>
      <c r="F8896" s="87"/>
      <c r="G8896" s="87"/>
    </row>
    <row r="8897">
      <c r="A8897" s="86" t="str">
        <f>IFERROR(__xludf.DUMMYFUNCTION("""COMPUTED_VALUE"""),"")</f>
        <v/>
      </c>
      <c r="B8897" s="87"/>
      <c r="C8897" s="87"/>
      <c r="D8897" s="87"/>
      <c r="E8897" s="87"/>
      <c r="F8897" s="87"/>
      <c r="G8897" s="87"/>
    </row>
    <row r="8898">
      <c r="A8898" s="86" t="str">
        <f>IFERROR(__xludf.DUMMYFUNCTION("""COMPUTED_VALUE"""),"")</f>
        <v/>
      </c>
      <c r="B8898" s="87"/>
      <c r="C8898" s="87"/>
      <c r="D8898" s="87"/>
      <c r="E8898" s="87"/>
      <c r="F8898" s="87"/>
      <c r="G8898" s="87"/>
    </row>
    <row r="8899">
      <c r="A8899" s="86" t="str">
        <f>IFERROR(__xludf.DUMMYFUNCTION("""COMPUTED_VALUE"""),"")</f>
        <v/>
      </c>
      <c r="B8899" s="87"/>
      <c r="C8899" s="87"/>
      <c r="D8899" s="87"/>
      <c r="E8899" s="87"/>
      <c r="F8899" s="87"/>
      <c r="G8899" s="87"/>
    </row>
    <row r="8900">
      <c r="A8900" s="86" t="str">
        <f>IFERROR(__xludf.DUMMYFUNCTION("""COMPUTED_VALUE"""),"")</f>
        <v/>
      </c>
      <c r="B8900" s="87"/>
      <c r="C8900" s="87"/>
      <c r="D8900" s="87"/>
      <c r="E8900" s="87"/>
      <c r="F8900" s="87"/>
      <c r="G8900" s="87"/>
    </row>
    <row r="8901">
      <c r="A8901" s="86" t="str">
        <f>IFERROR(__xludf.DUMMYFUNCTION("""COMPUTED_VALUE"""),"")</f>
        <v/>
      </c>
      <c r="B8901" s="87"/>
      <c r="C8901" s="87"/>
      <c r="D8901" s="87"/>
      <c r="E8901" s="87"/>
      <c r="F8901" s="87"/>
      <c r="G8901" s="87"/>
    </row>
    <row r="8902">
      <c r="A8902" s="86" t="str">
        <f>IFERROR(__xludf.DUMMYFUNCTION("""COMPUTED_VALUE"""),"")</f>
        <v/>
      </c>
      <c r="B8902" s="87"/>
      <c r="C8902" s="87"/>
      <c r="D8902" s="87"/>
      <c r="E8902" s="87"/>
      <c r="F8902" s="87"/>
      <c r="G8902" s="87"/>
    </row>
    <row r="8903">
      <c r="A8903" s="86" t="str">
        <f>IFERROR(__xludf.DUMMYFUNCTION("""COMPUTED_VALUE"""),"")</f>
        <v/>
      </c>
      <c r="B8903" s="87"/>
      <c r="C8903" s="87"/>
      <c r="D8903" s="87"/>
      <c r="E8903" s="87"/>
      <c r="F8903" s="87"/>
      <c r="G8903" s="87"/>
    </row>
    <row r="8904">
      <c r="A8904" s="86" t="str">
        <f>IFERROR(__xludf.DUMMYFUNCTION("""COMPUTED_VALUE"""),"")</f>
        <v/>
      </c>
      <c r="B8904" s="87"/>
      <c r="C8904" s="87"/>
      <c r="D8904" s="87"/>
      <c r="E8904" s="87"/>
      <c r="F8904" s="87"/>
      <c r="G8904" s="87"/>
    </row>
    <row r="8905">
      <c r="A8905" s="86" t="str">
        <f>IFERROR(__xludf.DUMMYFUNCTION("""COMPUTED_VALUE"""),"")</f>
        <v/>
      </c>
      <c r="B8905" s="87"/>
      <c r="C8905" s="87"/>
      <c r="D8905" s="87"/>
      <c r="E8905" s="87"/>
      <c r="F8905" s="87"/>
      <c r="G8905" s="87"/>
    </row>
    <row r="8906">
      <c r="A8906" s="86" t="str">
        <f>IFERROR(__xludf.DUMMYFUNCTION("""COMPUTED_VALUE"""),"")</f>
        <v/>
      </c>
      <c r="B8906" s="87"/>
      <c r="C8906" s="87"/>
      <c r="D8906" s="87"/>
      <c r="E8906" s="87"/>
      <c r="F8906" s="87"/>
      <c r="G8906" s="87"/>
    </row>
    <row r="8907">
      <c r="A8907" s="86" t="str">
        <f>IFERROR(__xludf.DUMMYFUNCTION("""COMPUTED_VALUE"""),"")</f>
        <v/>
      </c>
      <c r="B8907" s="87"/>
      <c r="C8907" s="87"/>
      <c r="D8907" s="87"/>
      <c r="E8907" s="87"/>
      <c r="F8907" s="87"/>
      <c r="G8907" s="87"/>
    </row>
    <row r="8908">
      <c r="A8908" s="86" t="str">
        <f>IFERROR(__xludf.DUMMYFUNCTION("""COMPUTED_VALUE"""),"")</f>
        <v/>
      </c>
      <c r="B8908" s="87"/>
      <c r="C8908" s="87"/>
      <c r="D8908" s="87"/>
      <c r="E8908" s="87"/>
      <c r="F8908" s="87"/>
      <c r="G8908" s="87"/>
    </row>
    <row r="8909">
      <c r="A8909" s="86" t="str">
        <f>IFERROR(__xludf.DUMMYFUNCTION("""COMPUTED_VALUE"""),"")</f>
        <v/>
      </c>
      <c r="B8909" s="87"/>
      <c r="C8909" s="87"/>
      <c r="D8909" s="87"/>
      <c r="E8909" s="87"/>
      <c r="F8909" s="87"/>
      <c r="G8909" s="87"/>
    </row>
    <row r="8910">
      <c r="A8910" s="86" t="str">
        <f>IFERROR(__xludf.DUMMYFUNCTION("""COMPUTED_VALUE"""),"")</f>
        <v/>
      </c>
      <c r="B8910" s="87"/>
      <c r="C8910" s="87"/>
      <c r="D8910" s="87"/>
      <c r="E8910" s="87"/>
      <c r="F8910" s="87"/>
      <c r="G8910" s="87"/>
    </row>
    <row r="8911">
      <c r="A8911" s="86" t="str">
        <f>IFERROR(__xludf.DUMMYFUNCTION("""COMPUTED_VALUE"""),"")</f>
        <v/>
      </c>
      <c r="B8911" s="87"/>
      <c r="C8911" s="87"/>
      <c r="D8911" s="87"/>
      <c r="E8911" s="87"/>
      <c r="F8911" s="87"/>
      <c r="G8911" s="87"/>
    </row>
    <row r="8912">
      <c r="A8912" s="86" t="str">
        <f>IFERROR(__xludf.DUMMYFUNCTION("""COMPUTED_VALUE"""),"")</f>
        <v/>
      </c>
      <c r="B8912" s="87"/>
      <c r="C8912" s="87"/>
      <c r="D8912" s="87"/>
      <c r="E8912" s="87"/>
      <c r="F8912" s="87"/>
      <c r="G8912" s="87"/>
    </row>
    <row r="8913">
      <c r="A8913" s="86" t="str">
        <f>IFERROR(__xludf.DUMMYFUNCTION("""COMPUTED_VALUE"""),"")</f>
        <v/>
      </c>
      <c r="B8913" s="87"/>
      <c r="C8913" s="87"/>
      <c r="D8913" s="87"/>
      <c r="E8913" s="87"/>
      <c r="F8913" s="87"/>
      <c r="G8913" s="87"/>
    </row>
    <row r="8914">
      <c r="A8914" s="86" t="str">
        <f>IFERROR(__xludf.DUMMYFUNCTION("""COMPUTED_VALUE"""),"")</f>
        <v/>
      </c>
      <c r="B8914" s="87"/>
      <c r="C8914" s="87"/>
      <c r="D8914" s="87"/>
      <c r="E8914" s="87"/>
      <c r="F8914" s="87"/>
      <c r="G8914" s="87"/>
    </row>
    <row r="8915">
      <c r="A8915" s="86" t="str">
        <f>IFERROR(__xludf.DUMMYFUNCTION("""COMPUTED_VALUE"""),"")</f>
        <v/>
      </c>
      <c r="B8915" s="87"/>
      <c r="C8915" s="87"/>
      <c r="D8915" s="87"/>
      <c r="E8915" s="87"/>
      <c r="F8915" s="87"/>
      <c r="G8915" s="87"/>
    </row>
    <row r="8916">
      <c r="A8916" s="86" t="str">
        <f>IFERROR(__xludf.DUMMYFUNCTION("""COMPUTED_VALUE"""),"")</f>
        <v/>
      </c>
      <c r="B8916" s="87"/>
      <c r="C8916" s="87"/>
      <c r="D8916" s="87"/>
      <c r="E8916" s="87"/>
      <c r="F8916" s="87"/>
      <c r="G8916" s="87"/>
    </row>
    <row r="8917">
      <c r="A8917" s="86" t="str">
        <f>IFERROR(__xludf.DUMMYFUNCTION("""COMPUTED_VALUE"""),"")</f>
        <v/>
      </c>
      <c r="B8917" s="87"/>
      <c r="C8917" s="87"/>
      <c r="D8917" s="87"/>
      <c r="E8917" s="87"/>
      <c r="F8917" s="87"/>
      <c r="G8917" s="87"/>
    </row>
    <row r="8918">
      <c r="A8918" s="86" t="str">
        <f>IFERROR(__xludf.DUMMYFUNCTION("""COMPUTED_VALUE"""),"")</f>
        <v/>
      </c>
      <c r="B8918" s="87"/>
      <c r="C8918" s="87"/>
      <c r="D8918" s="87"/>
      <c r="E8918" s="87"/>
      <c r="F8918" s="87"/>
      <c r="G8918" s="87"/>
    </row>
    <row r="8919">
      <c r="A8919" s="86" t="str">
        <f>IFERROR(__xludf.DUMMYFUNCTION("""COMPUTED_VALUE"""),"")</f>
        <v/>
      </c>
      <c r="B8919" s="87"/>
      <c r="C8919" s="87"/>
      <c r="D8919" s="87"/>
      <c r="E8919" s="87"/>
      <c r="F8919" s="87"/>
      <c r="G8919" s="87"/>
    </row>
    <row r="8920">
      <c r="A8920" s="86" t="str">
        <f>IFERROR(__xludf.DUMMYFUNCTION("""COMPUTED_VALUE"""),"")</f>
        <v/>
      </c>
      <c r="B8920" s="87"/>
      <c r="C8920" s="87"/>
      <c r="D8920" s="87"/>
      <c r="E8920" s="87"/>
      <c r="F8920" s="87"/>
      <c r="G8920" s="87"/>
    </row>
    <row r="8921">
      <c r="A8921" s="86" t="str">
        <f>IFERROR(__xludf.DUMMYFUNCTION("""COMPUTED_VALUE"""),"")</f>
        <v/>
      </c>
      <c r="B8921" s="87"/>
      <c r="C8921" s="87"/>
      <c r="D8921" s="87"/>
      <c r="E8921" s="87"/>
      <c r="F8921" s="87"/>
      <c r="G8921" s="87"/>
    </row>
    <row r="8922">
      <c r="A8922" s="86" t="str">
        <f>IFERROR(__xludf.DUMMYFUNCTION("""COMPUTED_VALUE"""),"")</f>
        <v/>
      </c>
      <c r="B8922" s="87"/>
      <c r="C8922" s="87"/>
      <c r="D8922" s="87"/>
      <c r="E8922" s="87"/>
      <c r="F8922" s="87"/>
      <c r="G8922" s="87"/>
    </row>
    <row r="8923">
      <c r="A8923" s="86" t="str">
        <f>IFERROR(__xludf.DUMMYFUNCTION("""COMPUTED_VALUE"""),"")</f>
        <v/>
      </c>
      <c r="B8923" s="87"/>
      <c r="C8923" s="87"/>
      <c r="D8923" s="87"/>
      <c r="E8923" s="87"/>
      <c r="F8923" s="87"/>
      <c r="G8923" s="87"/>
    </row>
    <row r="8924">
      <c r="A8924" s="86" t="str">
        <f>IFERROR(__xludf.DUMMYFUNCTION("""COMPUTED_VALUE"""),"")</f>
        <v/>
      </c>
      <c r="B8924" s="87"/>
      <c r="C8924" s="87"/>
      <c r="D8924" s="87"/>
      <c r="E8924" s="87"/>
      <c r="F8924" s="87"/>
      <c r="G8924" s="87"/>
    </row>
    <row r="8925">
      <c r="A8925" s="86" t="str">
        <f>IFERROR(__xludf.DUMMYFUNCTION("""COMPUTED_VALUE"""),"")</f>
        <v/>
      </c>
      <c r="B8925" s="87"/>
      <c r="C8925" s="87"/>
      <c r="D8925" s="87"/>
      <c r="E8925" s="87"/>
      <c r="F8925" s="87"/>
      <c r="G8925" s="87"/>
    </row>
    <row r="8926">
      <c r="A8926" s="86" t="str">
        <f>IFERROR(__xludf.DUMMYFUNCTION("""COMPUTED_VALUE"""),"")</f>
        <v/>
      </c>
      <c r="B8926" s="87"/>
      <c r="C8926" s="87"/>
      <c r="D8926" s="87"/>
      <c r="E8926" s="87"/>
      <c r="F8926" s="87"/>
      <c r="G8926" s="87"/>
    </row>
    <row r="8927">
      <c r="A8927" s="86" t="str">
        <f>IFERROR(__xludf.DUMMYFUNCTION("""COMPUTED_VALUE"""),"")</f>
        <v/>
      </c>
      <c r="B8927" s="87"/>
      <c r="C8927" s="87"/>
      <c r="D8927" s="87"/>
      <c r="E8927" s="87"/>
      <c r="F8927" s="87"/>
      <c r="G8927" s="87"/>
    </row>
    <row r="8928">
      <c r="A8928" s="86" t="str">
        <f>IFERROR(__xludf.DUMMYFUNCTION("""COMPUTED_VALUE"""),"")</f>
        <v/>
      </c>
      <c r="B8928" s="87"/>
      <c r="C8928" s="87"/>
      <c r="D8928" s="87"/>
      <c r="E8928" s="87"/>
      <c r="F8928" s="87"/>
      <c r="G8928" s="87"/>
    </row>
    <row r="8929">
      <c r="A8929" s="86" t="str">
        <f>IFERROR(__xludf.DUMMYFUNCTION("""COMPUTED_VALUE"""),"")</f>
        <v/>
      </c>
      <c r="B8929" s="87"/>
      <c r="C8929" s="87"/>
      <c r="D8929" s="87"/>
      <c r="E8929" s="87"/>
      <c r="F8929" s="87"/>
      <c r="G8929" s="87"/>
    </row>
    <row r="8930">
      <c r="A8930" s="86" t="str">
        <f>IFERROR(__xludf.DUMMYFUNCTION("""COMPUTED_VALUE"""),"")</f>
        <v/>
      </c>
      <c r="B8930" s="87"/>
      <c r="C8930" s="87"/>
      <c r="D8930" s="87"/>
      <c r="E8930" s="87"/>
      <c r="F8930" s="87"/>
      <c r="G8930" s="87"/>
    </row>
    <row r="8931">
      <c r="A8931" s="86" t="str">
        <f>IFERROR(__xludf.DUMMYFUNCTION("""COMPUTED_VALUE"""),"")</f>
        <v/>
      </c>
      <c r="B8931" s="87"/>
      <c r="C8931" s="87"/>
      <c r="D8931" s="87"/>
      <c r="E8931" s="87"/>
      <c r="F8931" s="87"/>
      <c r="G8931" s="87"/>
    </row>
    <row r="8932">
      <c r="A8932" s="86" t="str">
        <f>IFERROR(__xludf.DUMMYFUNCTION("""COMPUTED_VALUE"""),"")</f>
        <v/>
      </c>
      <c r="B8932" s="87"/>
      <c r="C8932" s="87"/>
      <c r="D8932" s="87"/>
      <c r="E8932" s="87"/>
      <c r="F8932" s="87"/>
      <c r="G8932" s="87"/>
    </row>
    <row r="8933">
      <c r="A8933" s="86" t="str">
        <f>IFERROR(__xludf.DUMMYFUNCTION("""COMPUTED_VALUE"""),"")</f>
        <v/>
      </c>
      <c r="B8933" s="87"/>
      <c r="C8933" s="87"/>
      <c r="D8933" s="87"/>
      <c r="E8933" s="87"/>
      <c r="F8933" s="87"/>
      <c r="G8933" s="87"/>
    </row>
    <row r="8934">
      <c r="A8934" s="86" t="str">
        <f>IFERROR(__xludf.DUMMYFUNCTION("""COMPUTED_VALUE"""),"")</f>
        <v/>
      </c>
      <c r="B8934" s="87"/>
      <c r="C8934" s="87"/>
      <c r="D8934" s="87"/>
      <c r="E8934" s="87"/>
      <c r="F8934" s="87"/>
      <c r="G8934" s="87"/>
    </row>
    <row r="8935">
      <c r="A8935" s="86" t="str">
        <f>IFERROR(__xludf.DUMMYFUNCTION("""COMPUTED_VALUE"""),"")</f>
        <v/>
      </c>
      <c r="B8935" s="87"/>
      <c r="C8935" s="87"/>
      <c r="D8935" s="87"/>
      <c r="E8935" s="87"/>
      <c r="F8935" s="87"/>
      <c r="G8935" s="87"/>
    </row>
    <row r="8936">
      <c r="A8936" s="86" t="str">
        <f>IFERROR(__xludf.DUMMYFUNCTION("""COMPUTED_VALUE"""),"")</f>
        <v/>
      </c>
      <c r="B8936" s="87"/>
      <c r="C8936" s="87"/>
      <c r="D8936" s="87"/>
      <c r="E8936" s="87"/>
      <c r="F8936" s="87"/>
      <c r="G8936" s="87"/>
    </row>
    <row r="8937">
      <c r="A8937" s="86" t="str">
        <f>IFERROR(__xludf.DUMMYFUNCTION("""COMPUTED_VALUE"""),"")</f>
        <v/>
      </c>
      <c r="B8937" s="87"/>
      <c r="C8937" s="87"/>
      <c r="D8937" s="87"/>
      <c r="E8937" s="87"/>
      <c r="F8937" s="87"/>
      <c r="G8937" s="87"/>
    </row>
    <row r="8938">
      <c r="A8938" s="86" t="str">
        <f>IFERROR(__xludf.DUMMYFUNCTION("""COMPUTED_VALUE"""),"")</f>
        <v/>
      </c>
      <c r="B8938" s="87"/>
      <c r="C8938" s="87"/>
      <c r="D8938" s="87"/>
      <c r="E8938" s="87"/>
      <c r="F8938" s="87"/>
      <c r="G8938" s="87"/>
    </row>
    <row r="8939">
      <c r="A8939" s="86" t="str">
        <f>IFERROR(__xludf.DUMMYFUNCTION("""COMPUTED_VALUE"""),"")</f>
        <v/>
      </c>
      <c r="B8939" s="87"/>
      <c r="C8939" s="87"/>
      <c r="D8939" s="87"/>
      <c r="E8939" s="87"/>
      <c r="F8939" s="87"/>
      <c r="G8939" s="87"/>
    </row>
    <row r="8940">
      <c r="A8940" s="86" t="str">
        <f>IFERROR(__xludf.DUMMYFUNCTION("""COMPUTED_VALUE"""),"")</f>
        <v/>
      </c>
      <c r="B8940" s="87"/>
      <c r="C8940" s="87"/>
      <c r="D8940" s="87"/>
      <c r="E8940" s="87"/>
      <c r="F8940" s="87"/>
      <c r="G8940" s="87"/>
    </row>
    <row r="8941">
      <c r="A8941" s="86" t="str">
        <f>IFERROR(__xludf.DUMMYFUNCTION("""COMPUTED_VALUE"""),"")</f>
        <v/>
      </c>
      <c r="B8941" s="87"/>
      <c r="C8941" s="87"/>
      <c r="D8941" s="87"/>
      <c r="E8941" s="87"/>
      <c r="F8941" s="87"/>
      <c r="G8941" s="87"/>
    </row>
    <row r="8942">
      <c r="A8942" s="86" t="str">
        <f>IFERROR(__xludf.DUMMYFUNCTION("""COMPUTED_VALUE"""),"")</f>
        <v/>
      </c>
      <c r="B8942" s="87"/>
      <c r="C8942" s="87"/>
      <c r="D8942" s="87"/>
      <c r="E8942" s="87"/>
      <c r="F8942" s="87"/>
      <c r="G8942" s="87"/>
    </row>
    <row r="8943">
      <c r="A8943" s="86" t="str">
        <f>IFERROR(__xludf.DUMMYFUNCTION("""COMPUTED_VALUE"""),"")</f>
        <v/>
      </c>
      <c r="B8943" s="87"/>
      <c r="C8943" s="87"/>
      <c r="D8943" s="87"/>
      <c r="E8943" s="87"/>
      <c r="F8943" s="87"/>
      <c r="G8943" s="87"/>
    </row>
    <row r="8944">
      <c r="A8944" s="86" t="str">
        <f>IFERROR(__xludf.DUMMYFUNCTION("""COMPUTED_VALUE"""),"")</f>
        <v/>
      </c>
      <c r="B8944" s="87"/>
      <c r="C8944" s="87"/>
      <c r="D8944" s="87"/>
      <c r="E8944" s="87"/>
      <c r="F8944" s="87"/>
      <c r="G8944" s="87"/>
    </row>
    <row r="8945">
      <c r="A8945" s="86" t="str">
        <f>IFERROR(__xludf.DUMMYFUNCTION("""COMPUTED_VALUE"""),"")</f>
        <v/>
      </c>
      <c r="B8945" s="87"/>
      <c r="C8945" s="87"/>
      <c r="D8945" s="87"/>
      <c r="E8945" s="87"/>
      <c r="F8945" s="87"/>
      <c r="G8945" s="87"/>
    </row>
    <row r="8946">
      <c r="A8946" s="86" t="str">
        <f>IFERROR(__xludf.DUMMYFUNCTION("""COMPUTED_VALUE"""),"")</f>
        <v/>
      </c>
      <c r="B8946" s="87"/>
      <c r="C8946" s="87"/>
      <c r="D8946" s="87"/>
      <c r="E8946" s="87"/>
      <c r="F8946" s="87"/>
      <c r="G8946" s="87"/>
    </row>
    <row r="8947">
      <c r="A8947" s="86" t="str">
        <f>IFERROR(__xludf.DUMMYFUNCTION("""COMPUTED_VALUE"""),"")</f>
        <v/>
      </c>
      <c r="B8947" s="87"/>
      <c r="C8947" s="87"/>
      <c r="D8947" s="87"/>
      <c r="E8947" s="87"/>
      <c r="F8947" s="87"/>
      <c r="G8947" s="87"/>
    </row>
    <row r="8948">
      <c r="A8948" s="86" t="str">
        <f>IFERROR(__xludf.DUMMYFUNCTION("""COMPUTED_VALUE"""),"")</f>
        <v/>
      </c>
      <c r="B8948" s="87"/>
      <c r="C8948" s="87"/>
      <c r="D8948" s="87"/>
      <c r="E8948" s="87"/>
      <c r="F8948" s="87"/>
      <c r="G8948" s="87"/>
    </row>
    <row r="8949">
      <c r="A8949" s="86" t="str">
        <f>IFERROR(__xludf.DUMMYFUNCTION("""COMPUTED_VALUE"""),"")</f>
        <v/>
      </c>
      <c r="B8949" s="87"/>
      <c r="C8949" s="87"/>
      <c r="D8949" s="87"/>
      <c r="E8949" s="87"/>
      <c r="F8949" s="87"/>
      <c r="G8949" s="87"/>
    </row>
    <row r="8950">
      <c r="A8950" s="86" t="str">
        <f>IFERROR(__xludf.DUMMYFUNCTION("""COMPUTED_VALUE"""),"")</f>
        <v/>
      </c>
      <c r="B8950" s="87"/>
      <c r="C8950" s="87"/>
      <c r="D8950" s="87"/>
      <c r="E8950" s="87"/>
      <c r="F8950" s="87"/>
      <c r="G8950" s="87"/>
    </row>
    <row r="8951">
      <c r="A8951" s="86" t="str">
        <f>IFERROR(__xludf.DUMMYFUNCTION("""COMPUTED_VALUE"""),"")</f>
        <v/>
      </c>
      <c r="B8951" s="87"/>
      <c r="C8951" s="87"/>
      <c r="D8951" s="87"/>
      <c r="E8951" s="87"/>
      <c r="F8951" s="87"/>
      <c r="G8951" s="87"/>
    </row>
    <row r="8952">
      <c r="A8952" s="86" t="str">
        <f>IFERROR(__xludf.DUMMYFUNCTION("""COMPUTED_VALUE"""),"")</f>
        <v/>
      </c>
      <c r="B8952" s="87"/>
      <c r="C8952" s="87"/>
      <c r="D8952" s="87"/>
      <c r="E8952" s="87"/>
      <c r="F8952" s="87"/>
      <c r="G8952" s="87"/>
    </row>
    <row r="8953">
      <c r="A8953" s="86" t="str">
        <f>IFERROR(__xludf.DUMMYFUNCTION("""COMPUTED_VALUE"""),"")</f>
        <v/>
      </c>
      <c r="B8953" s="87"/>
      <c r="C8953" s="87"/>
      <c r="D8953" s="87"/>
      <c r="E8953" s="87"/>
      <c r="F8953" s="87"/>
      <c r="G8953" s="87"/>
    </row>
    <row r="8954">
      <c r="A8954" s="86" t="str">
        <f>IFERROR(__xludf.DUMMYFUNCTION("""COMPUTED_VALUE"""),"")</f>
        <v/>
      </c>
      <c r="B8954" s="87"/>
      <c r="C8954" s="87"/>
      <c r="D8954" s="87"/>
      <c r="E8954" s="87"/>
      <c r="F8954" s="87"/>
      <c r="G8954" s="87"/>
    </row>
    <row r="8955">
      <c r="A8955" s="86" t="str">
        <f>IFERROR(__xludf.DUMMYFUNCTION("""COMPUTED_VALUE"""),"")</f>
        <v/>
      </c>
      <c r="B8955" s="87"/>
      <c r="C8955" s="87"/>
      <c r="D8955" s="87"/>
      <c r="E8955" s="87"/>
      <c r="F8955" s="87"/>
      <c r="G8955" s="87"/>
    </row>
    <row r="8956">
      <c r="A8956" s="86" t="str">
        <f>IFERROR(__xludf.DUMMYFUNCTION("""COMPUTED_VALUE"""),"")</f>
        <v/>
      </c>
      <c r="B8956" s="87"/>
      <c r="C8956" s="87"/>
      <c r="D8956" s="87"/>
      <c r="E8956" s="87"/>
      <c r="F8956" s="87"/>
      <c r="G8956" s="87"/>
    </row>
    <row r="8957">
      <c r="A8957" s="86" t="str">
        <f>IFERROR(__xludf.DUMMYFUNCTION("""COMPUTED_VALUE"""),"")</f>
        <v/>
      </c>
      <c r="B8957" s="87"/>
      <c r="C8957" s="87"/>
      <c r="D8957" s="87"/>
      <c r="E8957" s="87"/>
      <c r="F8957" s="87"/>
      <c r="G8957" s="87"/>
    </row>
    <row r="8958">
      <c r="A8958" s="86" t="str">
        <f>IFERROR(__xludf.DUMMYFUNCTION("""COMPUTED_VALUE"""),"")</f>
        <v/>
      </c>
      <c r="B8958" s="87"/>
      <c r="C8958" s="87"/>
      <c r="D8958" s="87"/>
      <c r="E8958" s="87"/>
      <c r="F8958" s="87"/>
      <c r="G8958" s="87"/>
    </row>
    <row r="8959">
      <c r="A8959" s="86" t="str">
        <f>IFERROR(__xludf.DUMMYFUNCTION("""COMPUTED_VALUE"""),"")</f>
        <v/>
      </c>
      <c r="B8959" s="87"/>
      <c r="C8959" s="87"/>
      <c r="D8959" s="87"/>
      <c r="E8959" s="87"/>
      <c r="F8959" s="87"/>
      <c r="G8959" s="87"/>
    </row>
    <row r="8960">
      <c r="A8960" s="86" t="str">
        <f>IFERROR(__xludf.DUMMYFUNCTION("""COMPUTED_VALUE"""),"")</f>
        <v/>
      </c>
      <c r="B8960" s="87"/>
      <c r="C8960" s="87"/>
      <c r="D8960" s="87"/>
      <c r="E8960" s="87"/>
      <c r="F8960" s="87"/>
      <c r="G8960" s="87"/>
    </row>
    <row r="8961">
      <c r="A8961" s="86" t="str">
        <f>IFERROR(__xludf.DUMMYFUNCTION("""COMPUTED_VALUE"""),"")</f>
        <v/>
      </c>
      <c r="B8961" s="87"/>
      <c r="C8961" s="87"/>
      <c r="D8961" s="87"/>
      <c r="E8961" s="87"/>
      <c r="F8961" s="87"/>
      <c r="G8961" s="87"/>
    </row>
    <row r="8962">
      <c r="A8962" s="86" t="str">
        <f>IFERROR(__xludf.DUMMYFUNCTION("""COMPUTED_VALUE"""),"")</f>
        <v/>
      </c>
      <c r="B8962" s="87"/>
      <c r="C8962" s="87"/>
      <c r="D8962" s="87"/>
      <c r="E8962" s="87"/>
      <c r="F8962" s="87"/>
      <c r="G8962" s="87"/>
    </row>
    <row r="8963">
      <c r="A8963" s="86" t="str">
        <f>IFERROR(__xludf.DUMMYFUNCTION("""COMPUTED_VALUE"""),"")</f>
        <v/>
      </c>
      <c r="B8963" s="87"/>
      <c r="C8963" s="87"/>
      <c r="D8963" s="87"/>
      <c r="E8963" s="87"/>
      <c r="F8963" s="87"/>
      <c r="G8963" s="87"/>
    </row>
    <row r="8964">
      <c r="A8964" s="86" t="str">
        <f>IFERROR(__xludf.DUMMYFUNCTION("""COMPUTED_VALUE"""),"")</f>
        <v/>
      </c>
      <c r="B8964" s="87"/>
      <c r="C8964" s="87"/>
      <c r="D8964" s="87"/>
      <c r="E8964" s="87"/>
      <c r="F8964" s="87"/>
      <c r="G8964" s="87"/>
    </row>
    <row r="8965">
      <c r="A8965" s="86" t="str">
        <f>IFERROR(__xludf.DUMMYFUNCTION("""COMPUTED_VALUE"""),"")</f>
        <v/>
      </c>
      <c r="B8965" s="87"/>
      <c r="C8965" s="87"/>
      <c r="D8965" s="87"/>
      <c r="E8965" s="87"/>
      <c r="F8965" s="87"/>
      <c r="G8965" s="87"/>
    </row>
    <row r="8966">
      <c r="A8966" s="86" t="str">
        <f>IFERROR(__xludf.DUMMYFUNCTION("""COMPUTED_VALUE"""),"")</f>
        <v/>
      </c>
      <c r="B8966" s="87"/>
      <c r="C8966" s="87"/>
      <c r="D8966" s="87"/>
      <c r="E8966" s="87"/>
      <c r="F8966" s="87"/>
      <c r="G8966" s="87"/>
    </row>
    <row r="8967">
      <c r="A8967" s="86" t="str">
        <f>IFERROR(__xludf.DUMMYFUNCTION("""COMPUTED_VALUE"""),"")</f>
        <v/>
      </c>
      <c r="B8967" s="87"/>
      <c r="C8967" s="87"/>
      <c r="D8967" s="87"/>
      <c r="E8967" s="87"/>
      <c r="F8967" s="87"/>
      <c r="G8967" s="87"/>
    </row>
    <row r="8968">
      <c r="A8968" s="86" t="str">
        <f>IFERROR(__xludf.DUMMYFUNCTION("""COMPUTED_VALUE"""),"")</f>
        <v/>
      </c>
      <c r="B8968" s="87"/>
      <c r="C8968" s="87"/>
      <c r="D8968" s="87"/>
      <c r="E8968" s="87"/>
      <c r="F8968" s="87"/>
      <c r="G8968" s="87"/>
    </row>
    <row r="8969">
      <c r="A8969" s="86" t="str">
        <f>IFERROR(__xludf.DUMMYFUNCTION("""COMPUTED_VALUE"""),"")</f>
        <v/>
      </c>
      <c r="B8969" s="87"/>
      <c r="C8969" s="87"/>
      <c r="D8969" s="87"/>
      <c r="E8969" s="87"/>
      <c r="F8969" s="87"/>
      <c r="G8969" s="87"/>
    </row>
    <row r="8970">
      <c r="A8970" s="86" t="str">
        <f>IFERROR(__xludf.DUMMYFUNCTION("""COMPUTED_VALUE"""),"")</f>
        <v/>
      </c>
      <c r="B8970" s="87"/>
      <c r="C8970" s="87"/>
      <c r="D8970" s="87"/>
      <c r="E8970" s="87"/>
      <c r="F8970" s="87"/>
      <c r="G8970" s="87"/>
    </row>
    <row r="8971">
      <c r="A8971" s="86" t="str">
        <f>IFERROR(__xludf.DUMMYFUNCTION("""COMPUTED_VALUE"""),"")</f>
        <v/>
      </c>
      <c r="B8971" s="87"/>
      <c r="C8971" s="87"/>
      <c r="D8971" s="87"/>
      <c r="E8971" s="87"/>
      <c r="F8971" s="87"/>
      <c r="G8971" s="87"/>
    </row>
    <row r="8972">
      <c r="A8972" s="86" t="str">
        <f>IFERROR(__xludf.DUMMYFUNCTION("""COMPUTED_VALUE"""),"")</f>
        <v/>
      </c>
      <c r="B8972" s="87"/>
      <c r="C8972" s="87"/>
      <c r="D8972" s="87"/>
      <c r="E8972" s="87"/>
      <c r="F8972" s="87"/>
      <c r="G8972" s="87"/>
    </row>
    <row r="8973">
      <c r="A8973" s="86" t="str">
        <f>IFERROR(__xludf.DUMMYFUNCTION("""COMPUTED_VALUE"""),"")</f>
        <v/>
      </c>
      <c r="B8973" s="87"/>
      <c r="C8973" s="87"/>
      <c r="D8973" s="87"/>
      <c r="E8973" s="87"/>
      <c r="F8973" s="87"/>
      <c r="G8973" s="87"/>
    </row>
    <row r="8974">
      <c r="A8974" s="86" t="str">
        <f>IFERROR(__xludf.DUMMYFUNCTION("""COMPUTED_VALUE"""),"")</f>
        <v/>
      </c>
      <c r="B8974" s="87"/>
      <c r="C8974" s="87"/>
      <c r="D8974" s="87"/>
      <c r="E8974" s="87"/>
      <c r="F8974" s="87"/>
      <c r="G8974" s="87"/>
    </row>
    <row r="8975">
      <c r="A8975" s="86" t="str">
        <f>IFERROR(__xludf.DUMMYFUNCTION("""COMPUTED_VALUE"""),"")</f>
        <v/>
      </c>
      <c r="B8975" s="87"/>
      <c r="C8975" s="87"/>
      <c r="D8975" s="87"/>
      <c r="E8975" s="87"/>
      <c r="F8975" s="87"/>
      <c r="G8975" s="87"/>
    </row>
    <row r="8976">
      <c r="A8976" s="86" t="str">
        <f>IFERROR(__xludf.DUMMYFUNCTION("""COMPUTED_VALUE"""),"")</f>
        <v/>
      </c>
      <c r="B8976" s="87"/>
      <c r="C8976" s="87"/>
      <c r="D8976" s="87"/>
      <c r="E8976" s="87"/>
      <c r="F8976" s="87"/>
      <c r="G8976" s="87"/>
    </row>
    <row r="8977">
      <c r="A8977" s="86" t="str">
        <f>IFERROR(__xludf.DUMMYFUNCTION("""COMPUTED_VALUE"""),"")</f>
        <v/>
      </c>
      <c r="B8977" s="87"/>
      <c r="C8977" s="87"/>
      <c r="D8977" s="87"/>
      <c r="E8977" s="87"/>
      <c r="F8977" s="87"/>
      <c r="G8977" s="87"/>
    </row>
    <row r="8978">
      <c r="A8978" s="86" t="str">
        <f>IFERROR(__xludf.DUMMYFUNCTION("""COMPUTED_VALUE"""),"")</f>
        <v/>
      </c>
      <c r="B8978" s="87"/>
      <c r="C8978" s="87"/>
      <c r="D8978" s="87"/>
      <c r="E8978" s="87"/>
      <c r="F8978" s="87"/>
      <c r="G8978" s="87"/>
    </row>
    <row r="8979">
      <c r="A8979" s="86" t="str">
        <f>IFERROR(__xludf.DUMMYFUNCTION("""COMPUTED_VALUE"""),"")</f>
        <v/>
      </c>
      <c r="B8979" s="87"/>
      <c r="C8979" s="87"/>
      <c r="D8979" s="87"/>
      <c r="E8979" s="87"/>
      <c r="F8979" s="87"/>
      <c r="G8979" s="87"/>
    </row>
    <row r="8980">
      <c r="A8980" s="86" t="str">
        <f>IFERROR(__xludf.DUMMYFUNCTION("""COMPUTED_VALUE"""),"")</f>
        <v/>
      </c>
      <c r="B8980" s="87"/>
      <c r="C8980" s="87"/>
      <c r="D8980" s="87"/>
      <c r="E8980" s="87"/>
      <c r="F8980" s="87"/>
      <c r="G8980" s="87"/>
    </row>
    <row r="8981">
      <c r="A8981" s="86" t="str">
        <f>IFERROR(__xludf.DUMMYFUNCTION("""COMPUTED_VALUE"""),"")</f>
        <v/>
      </c>
      <c r="B8981" s="87"/>
      <c r="C8981" s="87"/>
      <c r="D8981" s="87"/>
      <c r="E8981" s="87"/>
      <c r="F8981" s="87"/>
      <c r="G8981" s="87"/>
    </row>
    <row r="8982">
      <c r="A8982" s="86" t="str">
        <f>IFERROR(__xludf.DUMMYFUNCTION("""COMPUTED_VALUE"""),"")</f>
        <v/>
      </c>
      <c r="B8982" s="87"/>
      <c r="C8982" s="87"/>
      <c r="D8982" s="87"/>
      <c r="E8982" s="87"/>
      <c r="F8982" s="87"/>
      <c r="G8982" s="87"/>
    </row>
    <row r="8983">
      <c r="A8983" s="86" t="str">
        <f>IFERROR(__xludf.DUMMYFUNCTION("""COMPUTED_VALUE"""),"")</f>
        <v/>
      </c>
      <c r="B8983" s="87"/>
      <c r="C8983" s="87"/>
      <c r="D8983" s="87"/>
      <c r="E8983" s="87"/>
      <c r="F8983" s="87"/>
      <c r="G8983" s="87"/>
    </row>
    <row r="8984">
      <c r="A8984" s="86" t="str">
        <f>IFERROR(__xludf.DUMMYFUNCTION("""COMPUTED_VALUE"""),"")</f>
        <v/>
      </c>
      <c r="B8984" s="87"/>
      <c r="C8984" s="87"/>
      <c r="D8984" s="87"/>
      <c r="E8984" s="87"/>
      <c r="F8984" s="87"/>
      <c r="G8984" s="87"/>
    </row>
    <row r="8985">
      <c r="A8985" s="86" t="str">
        <f>IFERROR(__xludf.DUMMYFUNCTION("""COMPUTED_VALUE"""),"")</f>
        <v/>
      </c>
      <c r="B8985" s="87"/>
      <c r="C8985" s="87"/>
      <c r="D8985" s="87"/>
      <c r="E8985" s="87"/>
      <c r="F8985" s="87"/>
      <c r="G8985" s="87"/>
    </row>
    <row r="8986">
      <c r="A8986" s="86" t="str">
        <f>IFERROR(__xludf.DUMMYFUNCTION("""COMPUTED_VALUE"""),"")</f>
        <v/>
      </c>
      <c r="B8986" s="87"/>
      <c r="C8986" s="87"/>
      <c r="D8986" s="87"/>
      <c r="E8986" s="87"/>
      <c r="F8986" s="87"/>
      <c r="G8986" s="87"/>
    </row>
    <row r="8987">
      <c r="A8987" s="86" t="str">
        <f>IFERROR(__xludf.DUMMYFUNCTION("""COMPUTED_VALUE"""),"")</f>
        <v/>
      </c>
      <c r="B8987" s="87"/>
      <c r="C8987" s="87"/>
      <c r="D8987" s="87"/>
      <c r="E8987" s="87"/>
      <c r="F8987" s="87"/>
      <c r="G8987" s="87"/>
    </row>
    <row r="8988">
      <c r="A8988" s="86" t="str">
        <f>IFERROR(__xludf.DUMMYFUNCTION("""COMPUTED_VALUE"""),"")</f>
        <v/>
      </c>
      <c r="B8988" s="87"/>
      <c r="C8988" s="87"/>
      <c r="D8988" s="87"/>
      <c r="E8988" s="87"/>
      <c r="F8988" s="87"/>
      <c r="G8988" s="87"/>
    </row>
    <row r="8989">
      <c r="A8989" s="86" t="str">
        <f>IFERROR(__xludf.DUMMYFUNCTION("""COMPUTED_VALUE"""),"")</f>
        <v/>
      </c>
      <c r="B8989" s="87"/>
      <c r="C8989" s="87"/>
      <c r="D8989" s="87"/>
      <c r="E8989" s="87"/>
      <c r="F8989" s="87"/>
      <c r="G8989" s="87"/>
    </row>
    <row r="8990">
      <c r="A8990" s="86" t="str">
        <f>IFERROR(__xludf.DUMMYFUNCTION("""COMPUTED_VALUE"""),"")</f>
        <v/>
      </c>
      <c r="B8990" s="87"/>
      <c r="C8990" s="87"/>
      <c r="D8990" s="87"/>
      <c r="E8990" s="87"/>
      <c r="F8990" s="87"/>
      <c r="G8990" s="87"/>
    </row>
    <row r="8991">
      <c r="A8991" s="86" t="str">
        <f>IFERROR(__xludf.DUMMYFUNCTION("""COMPUTED_VALUE"""),"")</f>
        <v/>
      </c>
      <c r="B8991" s="87"/>
      <c r="C8991" s="87"/>
      <c r="D8991" s="87"/>
      <c r="E8991" s="87"/>
      <c r="F8991" s="87"/>
      <c r="G8991" s="87"/>
    </row>
    <row r="8992">
      <c r="A8992" s="86" t="str">
        <f>IFERROR(__xludf.DUMMYFUNCTION("""COMPUTED_VALUE"""),"")</f>
        <v/>
      </c>
      <c r="B8992" s="87"/>
      <c r="C8992" s="87"/>
      <c r="D8992" s="87"/>
      <c r="E8992" s="87"/>
      <c r="F8992" s="87"/>
      <c r="G8992" s="87"/>
    </row>
    <row r="8993">
      <c r="A8993" s="86" t="str">
        <f>IFERROR(__xludf.DUMMYFUNCTION("""COMPUTED_VALUE"""),"")</f>
        <v/>
      </c>
      <c r="B8993" s="87"/>
      <c r="C8993" s="87"/>
      <c r="D8993" s="87"/>
      <c r="E8993" s="87"/>
      <c r="F8993" s="87"/>
      <c r="G8993" s="87"/>
    </row>
    <row r="8994">
      <c r="A8994" s="86" t="str">
        <f>IFERROR(__xludf.DUMMYFUNCTION("""COMPUTED_VALUE"""),"")</f>
        <v/>
      </c>
      <c r="B8994" s="87"/>
      <c r="C8994" s="87"/>
      <c r="D8994" s="87"/>
      <c r="E8994" s="87"/>
      <c r="F8994" s="87"/>
      <c r="G8994" s="87"/>
    </row>
    <row r="8995">
      <c r="A8995" s="86" t="str">
        <f>IFERROR(__xludf.DUMMYFUNCTION("""COMPUTED_VALUE"""),"")</f>
        <v/>
      </c>
      <c r="B8995" s="87"/>
      <c r="C8995" s="87"/>
      <c r="D8995" s="87"/>
      <c r="E8995" s="87"/>
      <c r="F8995" s="87"/>
      <c r="G8995" s="87"/>
    </row>
    <row r="8996">
      <c r="A8996" s="86" t="str">
        <f>IFERROR(__xludf.DUMMYFUNCTION("""COMPUTED_VALUE"""),"")</f>
        <v/>
      </c>
      <c r="B8996" s="87"/>
      <c r="C8996" s="87"/>
      <c r="D8996" s="87"/>
      <c r="E8996" s="87"/>
      <c r="F8996" s="87"/>
      <c r="G8996" s="87"/>
    </row>
    <row r="8997">
      <c r="A8997" s="86" t="str">
        <f>IFERROR(__xludf.DUMMYFUNCTION("""COMPUTED_VALUE"""),"")</f>
        <v/>
      </c>
      <c r="B8997" s="87"/>
      <c r="C8997" s="87"/>
      <c r="D8997" s="87"/>
      <c r="E8997" s="87"/>
      <c r="F8997" s="87"/>
      <c r="G8997" s="87"/>
    </row>
    <row r="8998">
      <c r="A8998" s="86" t="str">
        <f>IFERROR(__xludf.DUMMYFUNCTION("""COMPUTED_VALUE"""),"")</f>
        <v/>
      </c>
      <c r="B8998" s="87"/>
      <c r="C8998" s="87"/>
      <c r="D8998" s="87"/>
      <c r="E8998" s="87"/>
      <c r="F8998" s="87"/>
      <c r="G8998" s="87"/>
    </row>
    <row r="8999">
      <c r="A8999" s="86" t="str">
        <f>IFERROR(__xludf.DUMMYFUNCTION("""COMPUTED_VALUE"""),"")</f>
        <v/>
      </c>
      <c r="B8999" s="87"/>
      <c r="C8999" s="87"/>
      <c r="D8999" s="87"/>
      <c r="E8999" s="87"/>
      <c r="F8999" s="87"/>
      <c r="G8999" s="87"/>
    </row>
    <row r="9000">
      <c r="A9000" s="86" t="str">
        <f>IFERROR(__xludf.DUMMYFUNCTION("""COMPUTED_VALUE"""),"")</f>
        <v/>
      </c>
      <c r="B9000" s="87"/>
      <c r="C9000" s="87"/>
      <c r="D9000" s="87"/>
      <c r="E9000" s="87"/>
      <c r="F9000" s="87"/>
      <c r="G9000" s="87"/>
    </row>
    <row r="9001">
      <c r="A9001" s="86" t="str">
        <f>IFERROR(__xludf.DUMMYFUNCTION("""COMPUTED_VALUE"""),"")</f>
        <v/>
      </c>
      <c r="B9001" s="87"/>
      <c r="C9001" s="87"/>
      <c r="D9001" s="87"/>
      <c r="E9001" s="87"/>
      <c r="F9001" s="87"/>
      <c r="G9001" s="87"/>
    </row>
    <row r="9002">
      <c r="A9002" s="86" t="str">
        <f>IFERROR(__xludf.DUMMYFUNCTION("""COMPUTED_VALUE"""),"")</f>
        <v/>
      </c>
      <c r="B9002" s="87"/>
      <c r="C9002" s="87"/>
      <c r="D9002" s="87"/>
      <c r="E9002" s="87"/>
      <c r="F9002" s="87"/>
      <c r="G9002" s="87"/>
    </row>
    <row r="9003">
      <c r="A9003" s="86" t="str">
        <f>IFERROR(__xludf.DUMMYFUNCTION("""COMPUTED_VALUE"""),"")</f>
        <v/>
      </c>
      <c r="B9003" s="87"/>
      <c r="C9003" s="87"/>
      <c r="D9003" s="87"/>
      <c r="E9003" s="87"/>
      <c r="F9003" s="87"/>
      <c r="G9003" s="87"/>
    </row>
    <row r="9004">
      <c r="A9004" s="86" t="str">
        <f>IFERROR(__xludf.DUMMYFUNCTION("""COMPUTED_VALUE"""),"")</f>
        <v/>
      </c>
      <c r="B9004" s="87"/>
      <c r="C9004" s="87"/>
      <c r="D9004" s="87"/>
      <c r="E9004" s="87"/>
      <c r="F9004" s="87"/>
      <c r="G9004" s="87"/>
    </row>
    <row r="9005">
      <c r="A9005" s="86" t="str">
        <f>IFERROR(__xludf.DUMMYFUNCTION("""COMPUTED_VALUE"""),"")</f>
        <v/>
      </c>
      <c r="B9005" s="87"/>
      <c r="C9005" s="87"/>
      <c r="D9005" s="87"/>
      <c r="E9005" s="87"/>
      <c r="F9005" s="87"/>
      <c r="G9005" s="87"/>
    </row>
    <row r="9006">
      <c r="A9006" s="86" t="str">
        <f>IFERROR(__xludf.DUMMYFUNCTION("""COMPUTED_VALUE"""),"")</f>
        <v/>
      </c>
      <c r="B9006" s="87"/>
      <c r="C9006" s="87"/>
      <c r="D9006" s="87"/>
      <c r="E9006" s="87"/>
      <c r="F9006" s="87"/>
      <c r="G9006" s="87"/>
    </row>
    <row r="9007">
      <c r="A9007" s="86" t="str">
        <f>IFERROR(__xludf.DUMMYFUNCTION("""COMPUTED_VALUE"""),"")</f>
        <v/>
      </c>
      <c r="B9007" s="87"/>
      <c r="C9007" s="87"/>
      <c r="D9007" s="87"/>
      <c r="E9007" s="87"/>
      <c r="F9007" s="87"/>
      <c r="G9007" s="87"/>
    </row>
    <row r="9008">
      <c r="A9008" s="86" t="str">
        <f>IFERROR(__xludf.DUMMYFUNCTION("""COMPUTED_VALUE"""),"")</f>
        <v/>
      </c>
      <c r="B9008" s="87"/>
      <c r="C9008" s="87"/>
      <c r="D9008" s="87"/>
      <c r="E9008" s="87"/>
      <c r="F9008" s="87"/>
      <c r="G9008" s="87"/>
    </row>
    <row r="9009">
      <c r="A9009" s="86" t="str">
        <f>IFERROR(__xludf.DUMMYFUNCTION("""COMPUTED_VALUE"""),"")</f>
        <v/>
      </c>
      <c r="B9009" s="87"/>
      <c r="C9009" s="87"/>
      <c r="D9009" s="87"/>
      <c r="E9009" s="87"/>
      <c r="F9009" s="87"/>
      <c r="G9009" s="87"/>
    </row>
    <row r="9010">
      <c r="A9010" s="86" t="str">
        <f>IFERROR(__xludf.DUMMYFUNCTION("""COMPUTED_VALUE"""),"")</f>
        <v/>
      </c>
      <c r="B9010" s="87"/>
      <c r="C9010" s="87"/>
      <c r="D9010" s="87"/>
      <c r="E9010" s="87"/>
      <c r="F9010" s="87"/>
      <c r="G9010" s="87"/>
    </row>
    <row r="9011">
      <c r="A9011" s="86" t="str">
        <f>IFERROR(__xludf.DUMMYFUNCTION("""COMPUTED_VALUE"""),"")</f>
        <v/>
      </c>
      <c r="B9011" s="87"/>
      <c r="C9011" s="87"/>
      <c r="D9011" s="87"/>
      <c r="E9011" s="87"/>
      <c r="F9011" s="87"/>
      <c r="G9011" s="87"/>
    </row>
    <row r="9012">
      <c r="A9012" s="86" t="str">
        <f>IFERROR(__xludf.DUMMYFUNCTION("""COMPUTED_VALUE"""),"")</f>
        <v/>
      </c>
      <c r="B9012" s="87"/>
      <c r="C9012" s="87"/>
      <c r="D9012" s="87"/>
      <c r="E9012" s="87"/>
      <c r="F9012" s="87"/>
      <c r="G9012" s="87"/>
    </row>
    <row r="9013">
      <c r="A9013" s="86" t="str">
        <f>IFERROR(__xludf.DUMMYFUNCTION("""COMPUTED_VALUE"""),"")</f>
        <v/>
      </c>
      <c r="B9013" s="87"/>
      <c r="C9013" s="87"/>
      <c r="D9013" s="87"/>
      <c r="E9013" s="87"/>
      <c r="F9013" s="87"/>
      <c r="G9013" s="87"/>
    </row>
    <row r="9014">
      <c r="A9014" s="86" t="str">
        <f>IFERROR(__xludf.DUMMYFUNCTION("""COMPUTED_VALUE"""),"")</f>
        <v/>
      </c>
      <c r="B9014" s="87"/>
      <c r="C9014" s="87"/>
      <c r="D9014" s="87"/>
      <c r="E9014" s="87"/>
      <c r="F9014" s="87"/>
      <c r="G9014" s="87"/>
    </row>
    <row r="9015">
      <c r="A9015" s="86" t="str">
        <f>IFERROR(__xludf.DUMMYFUNCTION("""COMPUTED_VALUE"""),"")</f>
        <v/>
      </c>
      <c r="B9015" s="87"/>
      <c r="C9015" s="87"/>
      <c r="D9015" s="87"/>
      <c r="E9015" s="87"/>
      <c r="F9015" s="87"/>
      <c r="G9015" s="87"/>
    </row>
    <row r="9016">
      <c r="A9016" s="86" t="str">
        <f>IFERROR(__xludf.DUMMYFUNCTION("""COMPUTED_VALUE"""),"")</f>
        <v/>
      </c>
      <c r="B9016" s="87"/>
      <c r="C9016" s="87"/>
      <c r="D9016" s="87"/>
      <c r="E9016" s="87"/>
      <c r="F9016" s="87"/>
      <c r="G9016" s="87"/>
    </row>
    <row r="9017">
      <c r="A9017" s="86" t="str">
        <f>IFERROR(__xludf.DUMMYFUNCTION("""COMPUTED_VALUE"""),"")</f>
        <v/>
      </c>
      <c r="B9017" s="87"/>
      <c r="C9017" s="87"/>
      <c r="D9017" s="87"/>
      <c r="E9017" s="87"/>
      <c r="F9017" s="87"/>
      <c r="G9017" s="87"/>
    </row>
    <row r="9018">
      <c r="A9018" s="86" t="str">
        <f>IFERROR(__xludf.DUMMYFUNCTION("""COMPUTED_VALUE"""),"")</f>
        <v/>
      </c>
      <c r="B9018" s="87"/>
      <c r="C9018" s="87"/>
      <c r="D9018" s="87"/>
      <c r="E9018" s="87"/>
      <c r="F9018" s="87"/>
      <c r="G9018" s="87"/>
    </row>
    <row r="9019">
      <c r="A9019" s="86" t="str">
        <f>IFERROR(__xludf.DUMMYFUNCTION("""COMPUTED_VALUE"""),"")</f>
        <v/>
      </c>
      <c r="B9019" s="87"/>
      <c r="C9019" s="87"/>
      <c r="D9019" s="87"/>
      <c r="E9019" s="87"/>
      <c r="F9019" s="87"/>
      <c r="G9019" s="87"/>
    </row>
    <row r="9020">
      <c r="A9020" s="86" t="str">
        <f>IFERROR(__xludf.DUMMYFUNCTION("""COMPUTED_VALUE"""),"")</f>
        <v/>
      </c>
      <c r="B9020" s="87"/>
      <c r="C9020" s="87"/>
      <c r="D9020" s="87"/>
      <c r="E9020" s="87"/>
      <c r="F9020" s="87"/>
      <c r="G9020" s="87"/>
    </row>
    <row r="9021">
      <c r="A9021" s="86" t="str">
        <f>IFERROR(__xludf.DUMMYFUNCTION("""COMPUTED_VALUE"""),"")</f>
        <v/>
      </c>
      <c r="B9021" s="87"/>
      <c r="C9021" s="87"/>
      <c r="D9021" s="87"/>
      <c r="E9021" s="87"/>
      <c r="F9021" s="87"/>
      <c r="G9021" s="87"/>
    </row>
    <row r="9022">
      <c r="A9022" s="86" t="str">
        <f>IFERROR(__xludf.DUMMYFUNCTION("""COMPUTED_VALUE"""),"")</f>
        <v/>
      </c>
      <c r="B9022" s="87"/>
      <c r="C9022" s="87"/>
      <c r="D9022" s="87"/>
      <c r="E9022" s="87"/>
      <c r="F9022" s="87"/>
      <c r="G9022" s="87"/>
    </row>
    <row r="9023">
      <c r="A9023" s="86" t="str">
        <f>IFERROR(__xludf.DUMMYFUNCTION("""COMPUTED_VALUE"""),"")</f>
        <v/>
      </c>
      <c r="B9023" s="87"/>
      <c r="C9023" s="87"/>
      <c r="D9023" s="87"/>
      <c r="E9023" s="87"/>
      <c r="F9023" s="87"/>
      <c r="G9023" s="87"/>
    </row>
    <row r="9024">
      <c r="A9024" s="86" t="str">
        <f>IFERROR(__xludf.DUMMYFUNCTION("""COMPUTED_VALUE"""),"")</f>
        <v/>
      </c>
      <c r="B9024" s="87"/>
      <c r="C9024" s="87"/>
      <c r="D9024" s="87"/>
      <c r="E9024" s="87"/>
      <c r="F9024" s="87"/>
      <c r="G9024" s="87"/>
    </row>
    <row r="9025">
      <c r="A9025" s="86" t="str">
        <f>IFERROR(__xludf.DUMMYFUNCTION("""COMPUTED_VALUE"""),"")</f>
        <v/>
      </c>
      <c r="B9025" s="87"/>
      <c r="C9025" s="87"/>
      <c r="D9025" s="87"/>
      <c r="E9025" s="87"/>
      <c r="F9025" s="87"/>
      <c r="G9025" s="87"/>
    </row>
    <row r="9026">
      <c r="A9026" s="86" t="str">
        <f>IFERROR(__xludf.DUMMYFUNCTION("""COMPUTED_VALUE"""),"")</f>
        <v/>
      </c>
      <c r="B9026" s="87"/>
      <c r="C9026" s="87"/>
      <c r="D9026" s="87"/>
      <c r="E9026" s="87"/>
      <c r="F9026" s="87"/>
      <c r="G9026" s="87"/>
    </row>
    <row r="9027">
      <c r="A9027" s="86" t="str">
        <f>IFERROR(__xludf.DUMMYFUNCTION("""COMPUTED_VALUE"""),"")</f>
        <v/>
      </c>
      <c r="B9027" s="87"/>
      <c r="C9027" s="87"/>
      <c r="D9027" s="87"/>
      <c r="E9027" s="87"/>
      <c r="F9027" s="87"/>
      <c r="G9027" s="87"/>
    </row>
    <row r="9028">
      <c r="A9028" s="86" t="str">
        <f>IFERROR(__xludf.DUMMYFUNCTION("""COMPUTED_VALUE"""),"")</f>
        <v/>
      </c>
      <c r="B9028" s="87"/>
      <c r="C9028" s="87"/>
      <c r="D9028" s="87"/>
      <c r="E9028" s="87"/>
      <c r="F9028" s="87"/>
      <c r="G9028" s="87"/>
    </row>
    <row r="9029">
      <c r="A9029" s="86" t="str">
        <f>IFERROR(__xludf.DUMMYFUNCTION("""COMPUTED_VALUE"""),"")</f>
        <v/>
      </c>
      <c r="B9029" s="87"/>
      <c r="C9029" s="87"/>
      <c r="D9029" s="87"/>
      <c r="E9029" s="87"/>
      <c r="F9029" s="87"/>
      <c r="G9029" s="87"/>
    </row>
    <row r="9030">
      <c r="A9030" s="86" t="str">
        <f>IFERROR(__xludf.DUMMYFUNCTION("""COMPUTED_VALUE"""),"")</f>
        <v/>
      </c>
      <c r="B9030" s="87"/>
      <c r="C9030" s="87"/>
      <c r="D9030" s="87"/>
      <c r="E9030" s="87"/>
      <c r="F9030" s="87"/>
      <c r="G9030" s="87"/>
    </row>
    <row r="9031">
      <c r="A9031" s="86" t="str">
        <f>IFERROR(__xludf.DUMMYFUNCTION("""COMPUTED_VALUE"""),"")</f>
        <v/>
      </c>
      <c r="B9031" s="87"/>
      <c r="C9031" s="87"/>
      <c r="D9031" s="87"/>
      <c r="E9031" s="87"/>
      <c r="F9031" s="87"/>
      <c r="G9031" s="87"/>
    </row>
    <row r="9032">
      <c r="A9032" s="86" t="str">
        <f>IFERROR(__xludf.DUMMYFUNCTION("""COMPUTED_VALUE"""),"")</f>
        <v/>
      </c>
      <c r="B9032" s="87"/>
      <c r="C9032" s="87"/>
      <c r="D9032" s="87"/>
      <c r="E9032" s="87"/>
      <c r="F9032" s="87"/>
      <c r="G9032" s="87"/>
    </row>
    <row r="9033">
      <c r="A9033" s="86" t="str">
        <f>IFERROR(__xludf.DUMMYFUNCTION("""COMPUTED_VALUE"""),"")</f>
        <v/>
      </c>
      <c r="B9033" s="87"/>
      <c r="C9033" s="87"/>
      <c r="D9033" s="87"/>
      <c r="E9033" s="87"/>
      <c r="F9033" s="87"/>
      <c r="G9033" s="87"/>
    </row>
    <row r="9034">
      <c r="A9034" s="86" t="str">
        <f>IFERROR(__xludf.DUMMYFUNCTION("""COMPUTED_VALUE"""),"")</f>
        <v/>
      </c>
      <c r="B9034" s="87"/>
      <c r="C9034" s="87"/>
      <c r="D9034" s="87"/>
      <c r="E9034" s="87"/>
      <c r="F9034" s="87"/>
      <c r="G9034" s="87"/>
    </row>
    <row r="9035">
      <c r="A9035" s="86" t="str">
        <f>IFERROR(__xludf.DUMMYFUNCTION("""COMPUTED_VALUE"""),"")</f>
        <v/>
      </c>
      <c r="B9035" s="87"/>
      <c r="C9035" s="87"/>
      <c r="D9035" s="87"/>
      <c r="E9035" s="87"/>
      <c r="F9035" s="87"/>
      <c r="G9035" s="87"/>
    </row>
    <row r="9036">
      <c r="A9036" s="86" t="str">
        <f>IFERROR(__xludf.DUMMYFUNCTION("""COMPUTED_VALUE"""),"")</f>
        <v/>
      </c>
      <c r="B9036" s="87"/>
      <c r="C9036" s="87"/>
      <c r="D9036" s="87"/>
      <c r="E9036" s="87"/>
      <c r="F9036" s="87"/>
      <c r="G9036" s="87"/>
    </row>
    <row r="9037">
      <c r="A9037" s="86" t="str">
        <f>IFERROR(__xludf.DUMMYFUNCTION("""COMPUTED_VALUE"""),"")</f>
        <v/>
      </c>
      <c r="B9037" s="87"/>
      <c r="C9037" s="87"/>
      <c r="D9037" s="87"/>
      <c r="E9037" s="87"/>
      <c r="F9037" s="87"/>
      <c r="G9037" s="87"/>
    </row>
    <row r="9038">
      <c r="A9038" s="86" t="str">
        <f>IFERROR(__xludf.DUMMYFUNCTION("""COMPUTED_VALUE"""),"")</f>
        <v/>
      </c>
      <c r="B9038" s="87"/>
      <c r="C9038" s="87"/>
      <c r="D9038" s="87"/>
      <c r="E9038" s="87"/>
      <c r="F9038" s="87"/>
      <c r="G9038" s="87"/>
    </row>
    <row r="9039">
      <c r="A9039" s="86" t="str">
        <f>IFERROR(__xludf.DUMMYFUNCTION("""COMPUTED_VALUE"""),"")</f>
        <v/>
      </c>
      <c r="B9039" s="87"/>
      <c r="C9039" s="87"/>
      <c r="D9039" s="87"/>
      <c r="E9039" s="87"/>
      <c r="F9039" s="87"/>
      <c r="G9039" s="87"/>
    </row>
    <row r="9040">
      <c r="A9040" s="86" t="str">
        <f>IFERROR(__xludf.DUMMYFUNCTION("""COMPUTED_VALUE"""),"")</f>
        <v/>
      </c>
      <c r="B9040" s="87"/>
      <c r="C9040" s="87"/>
      <c r="D9040" s="87"/>
      <c r="E9040" s="87"/>
      <c r="F9040" s="87"/>
      <c r="G9040" s="87"/>
    </row>
    <row r="9041">
      <c r="A9041" s="86" t="str">
        <f>IFERROR(__xludf.DUMMYFUNCTION("""COMPUTED_VALUE"""),"")</f>
        <v/>
      </c>
      <c r="B9041" s="87"/>
      <c r="C9041" s="87"/>
      <c r="D9041" s="87"/>
      <c r="E9041" s="87"/>
      <c r="F9041" s="87"/>
      <c r="G9041" s="87"/>
    </row>
    <row r="9042">
      <c r="A9042" s="86" t="str">
        <f>IFERROR(__xludf.DUMMYFUNCTION("""COMPUTED_VALUE"""),"")</f>
        <v/>
      </c>
      <c r="B9042" s="87"/>
      <c r="C9042" s="87"/>
      <c r="D9042" s="87"/>
      <c r="E9042" s="87"/>
      <c r="F9042" s="87"/>
      <c r="G9042" s="87"/>
    </row>
    <row r="9043">
      <c r="A9043" s="86" t="str">
        <f>IFERROR(__xludf.DUMMYFUNCTION("""COMPUTED_VALUE"""),"")</f>
        <v/>
      </c>
      <c r="B9043" s="87"/>
      <c r="C9043" s="87"/>
      <c r="D9043" s="87"/>
      <c r="E9043" s="87"/>
      <c r="F9043" s="87"/>
      <c r="G9043" s="87"/>
    </row>
    <row r="9044">
      <c r="A9044" s="86" t="str">
        <f>IFERROR(__xludf.DUMMYFUNCTION("""COMPUTED_VALUE"""),"")</f>
        <v/>
      </c>
      <c r="B9044" s="87"/>
      <c r="C9044" s="87"/>
      <c r="D9044" s="87"/>
      <c r="E9044" s="87"/>
      <c r="F9044" s="87"/>
      <c r="G9044" s="87"/>
    </row>
    <row r="9045">
      <c r="A9045" s="86" t="str">
        <f>IFERROR(__xludf.DUMMYFUNCTION("""COMPUTED_VALUE"""),"")</f>
        <v/>
      </c>
      <c r="B9045" s="87"/>
      <c r="C9045" s="87"/>
      <c r="D9045" s="87"/>
      <c r="E9045" s="87"/>
      <c r="F9045" s="87"/>
      <c r="G9045" s="87"/>
    </row>
    <row r="9046">
      <c r="A9046" s="86" t="str">
        <f>IFERROR(__xludf.DUMMYFUNCTION("""COMPUTED_VALUE"""),"")</f>
        <v/>
      </c>
      <c r="B9046" s="87"/>
      <c r="C9046" s="87"/>
      <c r="D9046" s="87"/>
      <c r="E9046" s="87"/>
      <c r="F9046" s="87"/>
      <c r="G9046" s="87"/>
    </row>
    <row r="9047">
      <c r="A9047" s="86" t="str">
        <f>IFERROR(__xludf.DUMMYFUNCTION("""COMPUTED_VALUE"""),"")</f>
        <v/>
      </c>
      <c r="B9047" s="87"/>
      <c r="C9047" s="87"/>
      <c r="D9047" s="87"/>
      <c r="E9047" s="87"/>
      <c r="F9047" s="87"/>
      <c r="G9047" s="87"/>
    </row>
    <row r="9048">
      <c r="A9048" s="86" t="str">
        <f>IFERROR(__xludf.DUMMYFUNCTION("""COMPUTED_VALUE"""),"")</f>
        <v/>
      </c>
      <c r="B9048" s="87"/>
      <c r="C9048" s="87"/>
      <c r="D9048" s="87"/>
      <c r="E9048" s="87"/>
      <c r="F9048" s="87"/>
      <c r="G9048" s="87"/>
    </row>
    <row r="9049">
      <c r="A9049" s="86" t="str">
        <f>IFERROR(__xludf.DUMMYFUNCTION("""COMPUTED_VALUE"""),"")</f>
        <v/>
      </c>
      <c r="B9049" s="87"/>
      <c r="C9049" s="87"/>
      <c r="D9049" s="87"/>
      <c r="E9049" s="87"/>
      <c r="F9049" s="87"/>
      <c r="G9049" s="87"/>
    </row>
    <row r="9050">
      <c r="A9050" s="86" t="str">
        <f>IFERROR(__xludf.DUMMYFUNCTION("""COMPUTED_VALUE"""),"")</f>
        <v/>
      </c>
      <c r="B9050" s="87"/>
      <c r="C9050" s="87"/>
      <c r="D9050" s="87"/>
      <c r="E9050" s="87"/>
      <c r="F9050" s="87"/>
      <c r="G9050" s="87"/>
    </row>
    <row r="9051">
      <c r="A9051" s="86" t="str">
        <f>IFERROR(__xludf.DUMMYFUNCTION("""COMPUTED_VALUE"""),"")</f>
        <v/>
      </c>
      <c r="B9051" s="87"/>
      <c r="C9051" s="87"/>
      <c r="D9051" s="87"/>
      <c r="E9051" s="87"/>
      <c r="F9051" s="87"/>
      <c r="G9051" s="87"/>
    </row>
    <row r="9052">
      <c r="A9052" s="86" t="str">
        <f>IFERROR(__xludf.DUMMYFUNCTION("""COMPUTED_VALUE"""),"")</f>
        <v/>
      </c>
      <c r="B9052" s="87"/>
      <c r="C9052" s="87"/>
      <c r="D9052" s="87"/>
      <c r="E9052" s="87"/>
      <c r="F9052" s="87"/>
      <c r="G9052" s="87"/>
    </row>
    <row r="9053">
      <c r="A9053" s="86" t="str">
        <f>IFERROR(__xludf.DUMMYFUNCTION("""COMPUTED_VALUE"""),"")</f>
        <v/>
      </c>
      <c r="B9053" s="87"/>
      <c r="C9053" s="87"/>
      <c r="D9053" s="87"/>
      <c r="E9053" s="87"/>
      <c r="F9053" s="87"/>
      <c r="G9053" s="87"/>
    </row>
    <row r="9054">
      <c r="A9054" s="86" t="str">
        <f>IFERROR(__xludf.DUMMYFUNCTION("""COMPUTED_VALUE"""),"")</f>
        <v/>
      </c>
      <c r="B9054" s="87"/>
      <c r="C9054" s="87"/>
      <c r="D9054" s="87"/>
      <c r="E9054" s="87"/>
      <c r="F9054" s="87"/>
      <c r="G9054" s="87"/>
    </row>
    <row r="9055">
      <c r="A9055" s="86" t="str">
        <f>IFERROR(__xludf.DUMMYFUNCTION("""COMPUTED_VALUE"""),"")</f>
        <v/>
      </c>
      <c r="B9055" s="87"/>
      <c r="C9055" s="87"/>
      <c r="D9055" s="87"/>
      <c r="E9055" s="87"/>
      <c r="F9055" s="87"/>
      <c r="G9055" s="87"/>
    </row>
    <row r="9056">
      <c r="A9056" s="86" t="str">
        <f>IFERROR(__xludf.DUMMYFUNCTION("""COMPUTED_VALUE"""),"")</f>
        <v/>
      </c>
      <c r="B9056" s="87"/>
      <c r="C9056" s="87"/>
      <c r="D9056" s="87"/>
      <c r="E9056" s="87"/>
      <c r="F9056" s="87"/>
      <c r="G9056" s="87"/>
    </row>
    <row r="9057">
      <c r="A9057" s="86" t="str">
        <f>IFERROR(__xludf.DUMMYFUNCTION("""COMPUTED_VALUE"""),"")</f>
        <v/>
      </c>
      <c r="B9057" s="87"/>
      <c r="C9057" s="87"/>
      <c r="D9057" s="87"/>
      <c r="E9057" s="87"/>
      <c r="F9057" s="87"/>
      <c r="G9057" s="87"/>
    </row>
    <row r="9058">
      <c r="A9058" s="86" t="str">
        <f>IFERROR(__xludf.DUMMYFUNCTION("""COMPUTED_VALUE"""),"")</f>
        <v/>
      </c>
      <c r="B9058" s="87"/>
      <c r="C9058" s="87"/>
      <c r="D9058" s="87"/>
      <c r="E9058" s="87"/>
      <c r="F9058" s="87"/>
      <c r="G9058" s="87"/>
    </row>
    <row r="9059">
      <c r="A9059" s="86" t="str">
        <f>IFERROR(__xludf.DUMMYFUNCTION("""COMPUTED_VALUE"""),"")</f>
        <v/>
      </c>
      <c r="B9059" s="87"/>
      <c r="C9059" s="87"/>
      <c r="D9059" s="87"/>
      <c r="E9059" s="87"/>
      <c r="F9059" s="87"/>
      <c r="G9059" s="87"/>
    </row>
    <row r="9060">
      <c r="A9060" s="86" t="str">
        <f>IFERROR(__xludf.DUMMYFUNCTION("""COMPUTED_VALUE"""),"")</f>
        <v/>
      </c>
      <c r="B9060" s="87"/>
      <c r="C9060" s="87"/>
      <c r="D9060" s="87"/>
      <c r="E9060" s="87"/>
      <c r="F9060" s="87"/>
      <c r="G9060" s="87"/>
    </row>
    <row r="9061">
      <c r="A9061" s="86" t="str">
        <f>IFERROR(__xludf.DUMMYFUNCTION("""COMPUTED_VALUE"""),"")</f>
        <v/>
      </c>
      <c r="B9061" s="87"/>
      <c r="C9061" s="87"/>
      <c r="D9061" s="87"/>
      <c r="E9061" s="87"/>
      <c r="F9061" s="87"/>
      <c r="G9061" s="87"/>
    </row>
    <row r="9062">
      <c r="A9062" s="86" t="str">
        <f>IFERROR(__xludf.DUMMYFUNCTION("""COMPUTED_VALUE"""),"")</f>
        <v/>
      </c>
      <c r="B9062" s="87"/>
      <c r="C9062" s="87"/>
      <c r="D9062" s="87"/>
      <c r="E9062" s="87"/>
      <c r="F9062" s="87"/>
      <c r="G9062" s="87"/>
    </row>
    <row r="9063">
      <c r="A9063" s="86" t="str">
        <f>IFERROR(__xludf.DUMMYFUNCTION("""COMPUTED_VALUE"""),"")</f>
        <v/>
      </c>
      <c r="B9063" s="87"/>
      <c r="C9063" s="87"/>
      <c r="D9063" s="87"/>
      <c r="E9063" s="87"/>
      <c r="F9063" s="87"/>
      <c r="G9063" s="87"/>
    </row>
    <row r="9064">
      <c r="A9064" s="86" t="str">
        <f>IFERROR(__xludf.DUMMYFUNCTION("""COMPUTED_VALUE"""),"")</f>
        <v/>
      </c>
      <c r="B9064" s="87"/>
      <c r="C9064" s="87"/>
      <c r="D9064" s="87"/>
      <c r="E9064" s="87"/>
      <c r="F9064" s="87"/>
      <c r="G9064" s="87"/>
    </row>
    <row r="9065">
      <c r="A9065" s="86" t="str">
        <f>IFERROR(__xludf.DUMMYFUNCTION("""COMPUTED_VALUE"""),"")</f>
        <v/>
      </c>
      <c r="B9065" s="87"/>
      <c r="C9065" s="87"/>
      <c r="D9065" s="87"/>
      <c r="E9065" s="87"/>
      <c r="F9065" s="87"/>
      <c r="G9065" s="87"/>
    </row>
    <row r="9066">
      <c r="A9066" s="86" t="str">
        <f>IFERROR(__xludf.DUMMYFUNCTION("""COMPUTED_VALUE"""),"")</f>
        <v/>
      </c>
      <c r="B9066" s="87"/>
      <c r="C9066" s="87"/>
      <c r="D9066" s="87"/>
      <c r="E9066" s="87"/>
      <c r="F9066" s="87"/>
      <c r="G9066" s="87"/>
    </row>
    <row r="9067">
      <c r="A9067" s="86" t="str">
        <f>IFERROR(__xludf.DUMMYFUNCTION("""COMPUTED_VALUE"""),"")</f>
        <v/>
      </c>
      <c r="B9067" s="87"/>
      <c r="C9067" s="87"/>
      <c r="D9067" s="87"/>
      <c r="E9067" s="87"/>
      <c r="F9067" s="87"/>
      <c r="G9067" s="87"/>
    </row>
    <row r="9068">
      <c r="A9068" s="86" t="str">
        <f>IFERROR(__xludf.DUMMYFUNCTION("""COMPUTED_VALUE"""),"")</f>
        <v/>
      </c>
      <c r="B9068" s="87"/>
      <c r="C9068" s="87"/>
      <c r="D9068" s="87"/>
      <c r="E9068" s="87"/>
      <c r="F9068" s="87"/>
      <c r="G9068" s="87"/>
    </row>
    <row r="9069">
      <c r="A9069" s="86" t="str">
        <f>IFERROR(__xludf.DUMMYFUNCTION("""COMPUTED_VALUE"""),"")</f>
        <v/>
      </c>
      <c r="B9069" s="87"/>
      <c r="C9069" s="87"/>
      <c r="D9069" s="87"/>
      <c r="E9069" s="87"/>
      <c r="F9069" s="87"/>
      <c r="G9069" s="87"/>
    </row>
    <row r="9070">
      <c r="A9070" s="86" t="str">
        <f>IFERROR(__xludf.DUMMYFUNCTION("""COMPUTED_VALUE"""),"")</f>
        <v/>
      </c>
      <c r="B9070" s="87"/>
      <c r="C9070" s="87"/>
      <c r="D9070" s="87"/>
      <c r="E9070" s="87"/>
      <c r="F9070" s="87"/>
      <c r="G9070" s="87"/>
    </row>
    <row r="9071">
      <c r="A9071" s="86" t="str">
        <f>IFERROR(__xludf.DUMMYFUNCTION("""COMPUTED_VALUE"""),"")</f>
        <v/>
      </c>
      <c r="B9071" s="87"/>
      <c r="C9071" s="87"/>
      <c r="D9071" s="87"/>
      <c r="E9071" s="87"/>
      <c r="F9071" s="87"/>
      <c r="G9071" s="87"/>
    </row>
    <row r="9072">
      <c r="A9072" s="86" t="str">
        <f>IFERROR(__xludf.DUMMYFUNCTION("""COMPUTED_VALUE"""),"")</f>
        <v/>
      </c>
      <c r="B9072" s="87"/>
      <c r="C9072" s="87"/>
      <c r="D9072" s="87"/>
      <c r="E9072" s="87"/>
      <c r="F9072" s="87"/>
      <c r="G9072" s="87"/>
    </row>
    <row r="9073">
      <c r="A9073" s="86" t="str">
        <f>IFERROR(__xludf.DUMMYFUNCTION("""COMPUTED_VALUE"""),"")</f>
        <v/>
      </c>
      <c r="B9073" s="87"/>
      <c r="C9073" s="87"/>
      <c r="D9073" s="87"/>
      <c r="E9073" s="87"/>
      <c r="F9073" s="87"/>
      <c r="G9073" s="87"/>
    </row>
    <row r="9074">
      <c r="A9074" s="86" t="str">
        <f>IFERROR(__xludf.DUMMYFUNCTION("""COMPUTED_VALUE"""),"")</f>
        <v/>
      </c>
      <c r="B9074" s="87"/>
      <c r="C9074" s="87"/>
      <c r="D9074" s="87"/>
      <c r="E9074" s="87"/>
      <c r="F9074" s="87"/>
      <c r="G9074" s="87"/>
    </row>
    <row r="9075">
      <c r="A9075" s="86" t="str">
        <f>IFERROR(__xludf.DUMMYFUNCTION("""COMPUTED_VALUE"""),"")</f>
        <v/>
      </c>
      <c r="B9075" s="87"/>
      <c r="C9075" s="87"/>
      <c r="D9075" s="87"/>
      <c r="E9075" s="87"/>
      <c r="F9075" s="87"/>
      <c r="G9075" s="87"/>
    </row>
    <row r="9076">
      <c r="A9076" s="86" t="str">
        <f>IFERROR(__xludf.DUMMYFUNCTION("""COMPUTED_VALUE"""),"")</f>
        <v/>
      </c>
      <c r="B9076" s="87"/>
      <c r="C9076" s="87"/>
      <c r="D9076" s="87"/>
      <c r="E9076" s="87"/>
      <c r="F9076" s="87"/>
      <c r="G9076" s="87"/>
    </row>
    <row r="9077">
      <c r="A9077" s="86" t="str">
        <f>IFERROR(__xludf.DUMMYFUNCTION("""COMPUTED_VALUE"""),"")</f>
        <v/>
      </c>
      <c r="B9077" s="87"/>
      <c r="C9077" s="87"/>
      <c r="D9077" s="87"/>
      <c r="E9077" s="87"/>
      <c r="F9077" s="87"/>
      <c r="G9077" s="87"/>
    </row>
    <row r="9078">
      <c r="A9078" s="86" t="str">
        <f>IFERROR(__xludf.DUMMYFUNCTION("""COMPUTED_VALUE"""),"")</f>
        <v/>
      </c>
      <c r="B9078" s="87"/>
      <c r="C9078" s="87"/>
      <c r="D9078" s="87"/>
      <c r="E9078" s="87"/>
      <c r="F9078" s="87"/>
      <c r="G9078" s="87"/>
    </row>
    <row r="9079">
      <c r="A9079" s="86" t="str">
        <f>IFERROR(__xludf.DUMMYFUNCTION("""COMPUTED_VALUE"""),"")</f>
        <v/>
      </c>
      <c r="B9079" s="87"/>
      <c r="C9079" s="87"/>
      <c r="D9079" s="87"/>
      <c r="E9079" s="87"/>
      <c r="F9079" s="87"/>
      <c r="G9079" s="87"/>
    </row>
    <row r="9080">
      <c r="A9080" s="86" t="str">
        <f>IFERROR(__xludf.DUMMYFUNCTION("""COMPUTED_VALUE"""),"")</f>
        <v/>
      </c>
      <c r="B9080" s="87"/>
      <c r="C9080" s="87"/>
      <c r="D9080" s="87"/>
      <c r="E9080" s="87"/>
      <c r="F9080" s="87"/>
      <c r="G9080" s="87"/>
    </row>
    <row r="9081">
      <c r="A9081" s="86" t="str">
        <f>IFERROR(__xludf.DUMMYFUNCTION("""COMPUTED_VALUE"""),"")</f>
        <v/>
      </c>
      <c r="B9081" s="87"/>
      <c r="C9081" s="87"/>
      <c r="D9081" s="87"/>
      <c r="E9081" s="87"/>
      <c r="F9081" s="87"/>
      <c r="G9081" s="87"/>
    </row>
    <row r="9082">
      <c r="A9082" s="86" t="str">
        <f>IFERROR(__xludf.DUMMYFUNCTION("""COMPUTED_VALUE"""),"")</f>
        <v/>
      </c>
      <c r="B9082" s="87"/>
      <c r="C9082" s="87"/>
      <c r="D9082" s="87"/>
      <c r="E9082" s="87"/>
      <c r="F9082" s="87"/>
      <c r="G9082" s="87"/>
    </row>
    <row r="9083">
      <c r="A9083" s="86" t="str">
        <f>IFERROR(__xludf.DUMMYFUNCTION("""COMPUTED_VALUE"""),"")</f>
        <v/>
      </c>
      <c r="B9083" s="87"/>
      <c r="C9083" s="87"/>
      <c r="D9083" s="87"/>
      <c r="E9083" s="87"/>
      <c r="F9083" s="87"/>
      <c r="G9083" s="87"/>
    </row>
    <row r="9084">
      <c r="A9084" s="86" t="str">
        <f>IFERROR(__xludf.DUMMYFUNCTION("""COMPUTED_VALUE"""),"")</f>
        <v/>
      </c>
      <c r="B9084" s="87"/>
      <c r="C9084" s="87"/>
      <c r="D9084" s="87"/>
      <c r="E9084" s="87"/>
      <c r="F9084" s="87"/>
      <c r="G9084" s="87"/>
    </row>
    <row r="9085">
      <c r="A9085" s="86" t="str">
        <f>IFERROR(__xludf.DUMMYFUNCTION("""COMPUTED_VALUE"""),"")</f>
        <v/>
      </c>
      <c r="B9085" s="87"/>
      <c r="C9085" s="87"/>
      <c r="D9085" s="87"/>
      <c r="E9085" s="87"/>
      <c r="F9085" s="87"/>
      <c r="G9085" s="87"/>
    </row>
    <row r="9086">
      <c r="A9086" s="86" t="str">
        <f>IFERROR(__xludf.DUMMYFUNCTION("""COMPUTED_VALUE"""),"")</f>
        <v/>
      </c>
      <c r="B9086" s="87"/>
      <c r="C9086" s="87"/>
      <c r="D9086" s="87"/>
      <c r="E9086" s="87"/>
      <c r="F9086" s="87"/>
      <c r="G9086" s="87"/>
    </row>
    <row r="9087">
      <c r="A9087" s="86" t="str">
        <f>IFERROR(__xludf.DUMMYFUNCTION("""COMPUTED_VALUE"""),"")</f>
        <v/>
      </c>
      <c r="B9087" s="87"/>
      <c r="C9087" s="87"/>
      <c r="D9087" s="87"/>
      <c r="E9087" s="87"/>
      <c r="F9087" s="87"/>
      <c r="G9087" s="87"/>
    </row>
    <row r="9088">
      <c r="A9088" s="86" t="str">
        <f>IFERROR(__xludf.DUMMYFUNCTION("""COMPUTED_VALUE"""),"")</f>
        <v/>
      </c>
      <c r="B9088" s="87"/>
      <c r="C9088" s="87"/>
      <c r="D9088" s="87"/>
      <c r="E9088" s="87"/>
      <c r="F9088" s="87"/>
      <c r="G9088" s="87"/>
    </row>
    <row r="9089">
      <c r="A9089" s="86" t="str">
        <f>IFERROR(__xludf.DUMMYFUNCTION("""COMPUTED_VALUE"""),"")</f>
        <v/>
      </c>
      <c r="B9089" s="87"/>
      <c r="C9089" s="87"/>
      <c r="D9089" s="87"/>
      <c r="E9089" s="87"/>
      <c r="F9089" s="87"/>
      <c r="G9089" s="87"/>
    </row>
    <row r="9090">
      <c r="A9090" s="86" t="str">
        <f>IFERROR(__xludf.DUMMYFUNCTION("""COMPUTED_VALUE"""),"")</f>
        <v/>
      </c>
      <c r="B9090" s="87"/>
      <c r="C9090" s="87"/>
      <c r="D9090" s="87"/>
      <c r="E9090" s="87"/>
      <c r="F9090" s="87"/>
      <c r="G9090" s="87"/>
    </row>
    <row r="9091">
      <c r="A9091" s="86" t="str">
        <f>IFERROR(__xludf.DUMMYFUNCTION("""COMPUTED_VALUE"""),"")</f>
        <v/>
      </c>
      <c r="B9091" s="87"/>
      <c r="C9091" s="87"/>
      <c r="D9091" s="87"/>
      <c r="E9091" s="87"/>
      <c r="F9091" s="87"/>
      <c r="G9091" s="87"/>
    </row>
    <row r="9092">
      <c r="A9092" s="86" t="str">
        <f>IFERROR(__xludf.DUMMYFUNCTION("""COMPUTED_VALUE"""),"")</f>
        <v/>
      </c>
      <c r="B9092" s="87"/>
      <c r="C9092" s="87"/>
      <c r="D9092" s="87"/>
      <c r="E9092" s="87"/>
      <c r="F9092" s="87"/>
      <c r="G9092" s="87"/>
    </row>
    <row r="9093">
      <c r="A9093" s="86" t="str">
        <f>IFERROR(__xludf.DUMMYFUNCTION("""COMPUTED_VALUE"""),"")</f>
        <v/>
      </c>
      <c r="B9093" s="87"/>
      <c r="C9093" s="87"/>
      <c r="D9093" s="87"/>
      <c r="E9093" s="87"/>
      <c r="F9093" s="87"/>
      <c r="G9093" s="87"/>
    </row>
    <row r="9094">
      <c r="A9094" s="86" t="str">
        <f>IFERROR(__xludf.DUMMYFUNCTION("""COMPUTED_VALUE"""),"")</f>
        <v/>
      </c>
      <c r="B9094" s="87"/>
      <c r="C9094" s="87"/>
      <c r="D9094" s="87"/>
      <c r="E9094" s="87"/>
      <c r="F9094" s="87"/>
      <c r="G9094" s="87"/>
    </row>
    <row r="9095">
      <c r="A9095" s="86" t="str">
        <f>IFERROR(__xludf.DUMMYFUNCTION("""COMPUTED_VALUE"""),"")</f>
        <v/>
      </c>
      <c r="B9095" s="87"/>
      <c r="C9095" s="87"/>
      <c r="D9095" s="87"/>
      <c r="E9095" s="87"/>
      <c r="F9095" s="87"/>
      <c r="G9095" s="87"/>
    </row>
    <row r="9096">
      <c r="A9096" s="86" t="str">
        <f>IFERROR(__xludf.DUMMYFUNCTION("""COMPUTED_VALUE"""),"")</f>
        <v/>
      </c>
      <c r="B9096" s="87"/>
      <c r="C9096" s="87"/>
      <c r="D9096" s="87"/>
      <c r="E9096" s="87"/>
      <c r="F9096" s="87"/>
      <c r="G9096" s="87"/>
    </row>
    <row r="9097">
      <c r="A9097" s="86" t="str">
        <f>IFERROR(__xludf.DUMMYFUNCTION("""COMPUTED_VALUE"""),"")</f>
        <v/>
      </c>
      <c r="B9097" s="87"/>
      <c r="C9097" s="87"/>
      <c r="D9097" s="87"/>
      <c r="E9097" s="87"/>
      <c r="F9097" s="87"/>
      <c r="G9097" s="87"/>
    </row>
    <row r="9098">
      <c r="A9098" s="86" t="str">
        <f>IFERROR(__xludf.DUMMYFUNCTION("""COMPUTED_VALUE"""),"")</f>
        <v/>
      </c>
      <c r="B9098" s="87"/>
      <c r="C9098" s="87"/>
      <c r="D9098" s="87"/>
      <c r="E9098" s="87"/>
      <c r="F9098" s="87"/>
      <c r="G9098" s="87"/>
    </row>
    <row r="9099">
      <c r="A9099" s="86" t="str">
        <f>IFERROR(__xludf.DUMMYFUNCTION("""COMPUTED_VALUE"""),"")</f>
        <v/>
      </c>
      <c r="B9099" s="87"/>
      <c r="C9099" s="87"/>
      <c r="D9099" s="87"/>
      <c r="E9099" s="87"/>
      <c r="F9099" s="87"/>
      <c r="G9099" s="87"/>
    </row>
    <row r="9100">
      <c r="A9100" s="86" t="str">
        <f>IFERROR(__xludf.DUMMYFUNCTION("""COMPUTED_VALUE"""),"")</f>
        <v/>
      </c>
      <c r="B9100" s="87"/>
      <c r="C9100" s="87"/>
      <c r="D9100" s="87"/>
      <c r="E9100" s="87"/>
      <c r="F9100" s="87"/>
      <c r="G9100" s="87"/>
    </row>
    <row r="9101">
      <c r="A9101" s="86" t="str">
        <f>IFERROR(__xludf.DUMMYFUNCTION("""COMPUTED_VALUE"""),"")</f>
        <v/>
      </c>
      <c r="B9101" s="87"/>
      <c r="C9101" s="87"/>
      <c r="D9101" s="87"/>
      <c r="E9101" s="87"/>
      <c r="F9101" s="87"/>
      <c r="G9101" s="87"/>
    </row>
    <row r="9102">
      <c r="A9102" s="86" t="str">
        <f>IFERROR(__xludf.DUMMYFUNCTION("""COMPUTED_VALUE"""),"")</f>
        <v/>
      </c>
      <c r="B9102" s="87"/>
      <c r="C9102" s="87"/>
      <c r="D9102" s="87"/>
      <c r="E9102" s="87"/>
      <c r="F9102" s="87"/>
      <c r="G9102" s="87"/>
    </row>
    <row r="9103">
      <c r="A9103" s="86" t="str">
        <f>IFERROR(__xludf.DUMMYFUNCTION("""COMPUTED_VALUE"""),"")</f>
        <v/>
      </c>
      <c r="B9103" s="87"/>
      <c r="C9103" s="87"/>
      <c r="D9103" s="87"/>
      <c r="E9103" s="87"/>
      <c r="F9103" s="87"/>
      <c r="G9103" s="87"/>
    </row>
    <row r="9104">
      <c r="A9104" s="86" t="str">
        <f>IFERROR(__xludf.DUMMYFUNCTION("""COMPUTED_VALUE"""),"")</f>
        <v/>
      </c>
      <c r="B9104" s="87"/>
      <c r="C9104" s="87"/>
      <c r="D9104" s="87"/>
      <c r="E9104" s="87"/>
      <c r="F9104" s="87"/>
      <c r="G9104" s="87"/>
    </row>
    <row r="9105">
      <c r="A9105" s="86" t="str">
        <f>IFERROR(__xludf.DUMMYFUNCTION("""COMPUTED_VALUE"""),"")</f>
        <v/>
      </c>
      <c r="B9105" s="87"/>
      <c r="C9105" s="87"/>
      <c r="D9105" s="87"/>
      <c r="E9105" s="87"/>
      <c r="F9105" s="87"/>
      <c r="G9105" s="87"/>
    </row>
    <row r="9106">
      <c r="A9106" s="86" t="str">
        <f>IFERROR(__xludf.DUMMYFUNCTION("""COMPUTED_VALUE"""),"")</f>
        <v/>
      </c>
      <c r="B9106" s="87"/>
      <c r="C9106" s="87"/>
      <c r="D9106" s="87"/>
      <c r="E9106" s="87"/>
      <c r="F9106" s="87"/>
      <c r="G9106" s="87"/>
    </row>
    <row r="9107">
      <c r="A9107" s="86" t="str">
        <f>IFERROR(__xludf.DUMMYFUNCTION("""COMPUTED_VALUE"""),"")</f>
        <v/>
      </c>
      <c r="B9107" s="87"/>
      <c r="C9107" s="87"/>
      <c r="D9107" s="87"/>
      <c r="E9107" s="87"/>
      <c r="F9107" s="87"/>
      <c r="G9107" s="87"/>
    </row>
    <row r="9108">
      <c r="A9108" s="86" t="str">
        <f>IFERROR(__xludf.DUMMYFUNCTION("""COMPUTED_VALUE"""),"")</f>
        <v/>
      </c>
      <c r="B9108" s="87"/>
      <c r="C9108" s="87"/>
      <c r="D9108" s="87"/>
      <c r="E9108" s="87"/>
      <c r="F9108" s="87"/>
      <c r="G9108" s="87"/>
    </row>
    <row r="9109">
      <c r="A9109" s="86" t="str">
        <f>IFERROR(__xludf.DUMMYFUNCTION("""COMPUTED_VALUE"""),"")</f>
        <v/>
      </c>
      <c r="B9109" s="87"/>
      <c r="C9109" s="87"/>
      <c r="D9109" s="87"/>
      <c r="E9109" s="87"/>
      <c r="F9109" s="87"/>
      <c r="G9109" s="87"/>
    </row>
    <row r="9110">
      <c r="A9110" s="86" t="str">
        <f>IFERROR(__xludf.DUMMYFUNCTION("""COMPUTED_VALUE"""),"")</f>
        <v/>
      </c>
      <c r="B9110" s="87"/>
      <c r="C9110" s="87"/>
      <c r="D9110" s="87"/>
      <c r="E9110" s="87"/>
      <c r="F9110" s="87"/>
      <c r="G9110" s="87"/>
    </row>
    <row r="9111">
      <c r="A9111" s="86" t="str">
        <f>IFERROR(__xludf.DUMMYFUNCTION("""COMPUTED_VALUE"""),"")</f>
        <v/>
      </c>
      <c r="B9111" s="87"/>
      <c r="C9111" s="87"/>
      <c r="D9111" s="87"/>
      <c r="E9111" s="87"/>
      <c r="F9111" s="87"/>
      <c r="G9111" s="87"/>
    </row>
    <row r="9112">
      <c r="A9112" s="86" t="str">
        <f>IFERROR(__xludf.DUMMYFUNCTION("""COMPUTED_VALUE"""),"")</f>
        <v/>
      </c>
      <c r="B9112" s="87"/>
      <c r="C9112" s="87"/>
      <c r="D9112" s="87"/>
      <c r="E9112" s="87"/>
      <c r="F9112" s="87"/>
      <c r="G9112" s="87"/>
    </row>
    <row r="9113">
      <c r="A9113" s="86" t="str">
        <f>IFERROR(__xludf.DUMMYFUNCTION("""COMPUTED_VALUE"""),"")</f>
        <v/>
      </c>
      <c r="B9113" s="87"/>
      <c r="C9113" s="87"/>
      <c r="D9113" s="87"/>
      <c r="E9113" s="87"/>
      <c r="F9113" s="87"/>
      <c r="G9113" s="87"/>
    </row>
    <row r="9114">
      <c r="A9114" s="86" t="str">
        <f>IFERROR(__xludf.DUMMYFUNCTION("""COMPUTED_VALUE"""),"")</f>
        <v/>
      </c>
      <c r="B9114" s="87"/>
      <c r="C9114" s="87"/>
      <c r="D9114" s="87"/>
      <c r="E9114" s="87"/>
      <c r="F9114" s="87"/>
      <c r="G9114" s="87"/>
    </row>
    <row r="9115">
      <c r="A9115" s="86" t="str">
        <f>IFERROR(__xludf.DUMMYFUNCTION("""COMPUTED_VALUE"""),"")</f>
        <v/>
      </c>
      <c r="B9115" s="87"/>
      <c r="C9115" s="87"/>
      <c r="D9115" s="87"/>
      <c r="E9115" s="87"/>
      <c r="F9115" s="87"/>
      <c r="G9115" s="87"/>
    </row>
    <row r="9116">
      <c r="A9116" s="86" t="str">
        <f>IFERROR(__xludf.DUMMYFUNCTION("""COMPUTED_VALUE"""),"")</f>
        <v/>
      </c>
      <c r="B9116" s="87"/>
      <c r="C9116" s="87"/>
      <c r="D9116" s="87"/>
      <c r="E9116" s="87"/>
      <c r="F9116" s="87"/>
      <c r="G9116" s="87"/>
    </row>
    <row r="9117">
      <c r="A9117" s="86" t="str">
        <f>IFERROR(__xludf.DUMMYFUNCTION("""COMPUTED_VALUE"""),"")</f>
        <v/>
      </c>
      <c r="B9117" s="87"/>
      <c r="C9117" s="87"/>
      <c r="D9117" s="87"/>
      <c r="E9117" s="87"/>
      <c r="F9117" s="87"/>
      <c r="G9117" s="87"/>
    </row>
    <row r="9118">
      <c r="A9118" s="86" t="str">
        <f>IFERROR(__xludf.DUMMYFUNCTION("""COMPUTED_VALUE"""),"")</f>
        <v/>
      </c>
      <c r="B9118" s="87"/>
      <c r="C9118" s="87"/>
      <c r="D9118" s="87"/>
      <c r="E9118" s="87"/>
      <c r="F9118" s="87"/>
      <c r="G9118" s="87"/>
    </row>
    <row r="9119">
      <c r="A9119" s="86" t="str">
        <f>IFERROR(__xludf.DUMMYFUNCTION("""COMPUTED_VALUE"""),"")</f>
        <v/>
      </c>
      <c r="B9119" s="87"/>
      <c r="C9119" s="87"/>
      <c r="D9119" s="87"/>
      <c r="E9119" s="87"/>
      <c r="F9119" s="87"/>
      <c r="G9119" s="87"/>
    </row>
    <row r="9120">
      <c r="A9120" s="86" t="str">
        <f>IFERROR(__xludf.DUMMYFUNCTION("""COMPUTED_VALUE"""),"")</f>
        <v/>
      </c>
      <c r="B9120" s="87"/>
      <c r="C9120" s="87"/>
      <c r="D9120" s="87"/>
      <c r="E9120" s="87"/>
      <c r="F9120" s="87"/>
      <c r="G9120" s="87"/>
    </row>
    <row r="9121">
      <c r="A9121" s="86" t="str">
        <f>IFERROR(__xludf.DUMMYFUNCTION("""COMPUTED_VALUE"""),"")</f>
        <v/>
      </c>
      <c r="B9121" s="87"/>
      <c r="C9121" s="87"/>
      <c r="D9121" s="87"/>
      <c r="E9121" s="87"/>
      <c r="F9121" s="87"/>
      <c r="G9121" s="87"/>
    </row>
    <row r="9122">
      <c r="A9122" s="86" t="str">
        <f>IFERROR(__xludf.DUMMYFUNCTION("""COMPUTED_VALUE"""),"")</f>
        <v/>
      </c>
      <c r="B9122" s="87"/>
      <c r="C9122" s="87"/>
      <c r="D9122" s="87"/>
      <c r="E9122" s="87"/>
      <c r="F9122" s="87"/>
      <c r="G9122" s="87"/>
    </row>
    <row r="9123">
      <c r="A9123" s="86" t="str">
        <f>IFERROR(__xludf.DUMMYFUNCTION("""COMPUTED_VALUE"""),"")</f>
        <v/>
      </c>
      <c r="B9123" s="87"/>
      <c r="C9123" s="87"/>
      <c r="D9123" s="87"/>
      <c r="E9123" s="87"/>
      <c r="F9123" s="87"/>
      <c r="G9123" s="87"/>
    </row>
    <row r="9124">
      <c r="A9124" s="86" t="str">
        <f>IFERROR(__xludf.DUMMYFUNCTION("""COMPUTED_VALUE"""),"")</f>
        <v/>
      </c>
      <c r="B9124" s="87"/>
      <c r="C9124" s="87"/>
      <c r="D9124" s="87"/>
      <c r="E9124" s="87"/>
      <c r="F9124" s="87"/>
      <c r="G9124" s="87"/>
    </row>
    <row r="9125">
      <c r="A9125" s="86" t="str">
        <f>IFERROR(__xludf.DUMMYFUNCTION("""COMPUTED_VALUE"""),"")</f>
        <v/>
      </c>
      <c r="B9125" s="87"/>
      <c r="C9125" s="87"/>
      <c r="D9125" s="87"/>
      <c r="E9125" s="87"/>
      <c r="F9125" s="87"/>
      <c r="G9125" s="87"/>
    </row>
    <row r="9126">
      <c r="A9126" s="86" t="str">
        <f>IFERROR(__xludf.DUMMYFUNCTION("""COMPUTED_VALUE"""),"")</f>
        <v/>
      </c>
      <c r="B9126" s="87"/>
      <c r="C9126" s="87"/>
      <c r="D9126" s="87"/>
      <c r="E9126" s="87"/>
      <c r="F9126" s="87"/>
      <c r="G9126" s="87"/>
    </row>
    <row r="9127">
      <c r="A9127" s="86" t="str">
        <f>IFERROR(__xludf.DUMMYFUNCTION("""COMPUTED_VALUE"""),"")</f>
        <v/>
      </c>
      <c r="B9127" s="87"/>
      <c r="C9127" s="87"/>
      <c r="D9127" s="87"/>
      <c r="E9127" s="87"/>
      <c r="F9127" s="87"/>
      <c r="G9127" s="87"/>
    </row>
    <row r="9128">
      <c r="A9128" s="86" t="str">
        <f>IFERROR(__xludf.DUMMYFUNCTION("""COMPUTED_VALUE"""),"")</f>
        <v/>
      </c>
      <c r="B9128" s="87"/>
      <c r="C9128" s="87"/>
      <c r="D9128" s="87"/>
      <c r="E9128" s="87"/>
      <c r="F9128" s="87"/>
      <c r="G9128" s="87"/>
    </row>
    <row r="9129">
      <c r="A9129" s="86" t="str">
        <f>IFERROR(__xludf.DUMMYFUNCTION("""COMPUTED_VALUE"""),"")</f>
        <v/>
      </c>
      <c r="B9129" s="87"/>
      <c r="C9129" s="87"/>
      <c r="D9129" s="87"/>
      <c r="E9129" s="87"/>
      <c r="F9129" s="87"/>
      <c r="G9129" s="87"/>
    </row>
    <row r="9130">
      <c r="A9130" s="86" t="str">
        <f>IFERROR(__xludf.DUMMYFUNCTION("""COMPUTED_VALUE"""),"")</f>
        <v/>
      </c>
      <c r="B9130" s="87"/>
      <c r="C9130" s="87"/>
      <c r="D9130" s="87"/>
      <c r="E9130" s="87"/>
      <c r="F9130" s="87"/>
      <c r="G9130" s="87"/>
    </row>
    <row r="9131">
      <c r="A9131" s="86" t="str">
        <f>IFERROR(__xludf.DUMMYFUNCTION("""COMPUTED_VALUE"""),"")</f>
        <v/>
      </c>
      <c r="B9131" s="87"/>
      <c r="C9131" s="87"/>
      <c r="D9131" s="87"/>
      <c r="E9131" s="87"/>
      <c r="F9131" s="87"/>
      <c r="G9131" s="87"/>
    </row>
    <row r="9132">
      <c r="A9132" s="86" t="str">
        <f>IFERROR(__xludf.DUMMYFUNCTION("""COMPUTED_VALUE"""),"")</f>
        <v/>
      </c>
      <c r="B9132" s="87"/>
      <c r="C9132" s="87"/>
      <c r="D9132" s="87"/>
      <c r="E9132" s="87"/>
      <c r="F9132" s="87"/>
      <c r="G9132" s="87"/>
    </row>
    <row r="9133">
      <c r="A9133" s="86" t="str">
        <f>IFERROR(__xludf.DUMMYFUNCTION("""COMPUTED_VALUE"""),"")</f>
        <v/>
      </c>
      <c r="B9133" s="87"/>
      <c r="C9133" s="87"/>
      <c r="D9133" s="87"/>
      <c r="E9133" s="87"/>
      <c r="F9133" s="87"/>
      <c r="G9133" s="87"/>
    </row>
    <row r="9134">
      <c r="A9134" s="86" t="str">
        <f>IFERROR(__xludf.DUMMYFUNCTION("""COMPUTED_VALUE"""),"")</f>
        <v/>
      </c>
      <c r="B9134" s="87"/>
      <c r="C9134" s="87"/>
      <c r="D9134" s="87"/>
      <c r="E9134" s="87"/>
      <c r="F9134" s="87"/>
      <c r="G9134" s="87"/>
    </row>
    <row r="9135">
      <c r="A9135" s="86" t="str">
        <f>IFERROR(__xludf.DUMMYFUNCTION("""COMPUTED_VALUE"""),"")</f>
        <v/>
      </c>
      <c r="B9135" s="87"/>
      <c r="C9135" s="87"/>
      <c r="D9135" s="87"/>
      <c r="E9135" s="87"/>
      <c r="F9135" s="87"/>
      <c r="G9135" s="87"/>
    </row>
    <row r="9136">
      <c r="A9136" s="86" t="str">
        <f>IFERROR(__xludf.DUMMYFUNCTION("""COMPUTED_VALUE"""),"")</f>
        <v/>
      </c>
      <c r="B9136" s="87"/>
      <c r="C9136" s="87"/>
      <c r="D9136" s="87"/>
      <c r="E9136" s="87"/>
      <c r="F9136" s="87"/>
      <c r="G9136" s="87"/>
    </row>
    <row r="9137">
      <c r="A9137" s="86" t="str">
        <f>IFERROR(__xludf.DUMMYFUNCTION("""COMPUTED_VALUE"""),"")</f>
        <v/>
      </c>
      <c r="B9137" s="87"/>
      <c r="C9137" s="87"/>
      <c r="D9137" s="87"/>
      <c r="E9137" s="87"/>
      <c r="F9137" s="87"/>
      <c r="G9137" s="87"/>
    </row>
    <row r="9138">
      <c r="A9138" s="86" t="str">
        <f>IFERROR(__xludf.DUMMYFUNCTION("""COMPUTED_VALUE"""),"")</f>
        <v/>
      </c>
      <c r="B9138" s="87"/>
      <c r="C9138" s="87"/>
      <c r="D9138" s="87"/>
      <c r="E9138" s="87"/>
      <c r="F9138" s="87"/>
      <c r="G9138" s="87"/>
    </row>
    <row r="9139">
      <c r="A9139" s="86" t="str">
        <f>IFERROR(__xludf.DUMMYFUNCTION("""COMPUTED_VALUE"""),"")</f>
        <v/>
      </c>
      <c r="B9139" s="87"/>
      <c r="C9139" s="87"/>
      <c r="D9139" s="87"/>
      <c r="E9139" s="87"/>
      <c r="F9139" s="87"/>
      <c r="G9139" s="87"/>
    </row>
    <row r="9140">
      <c r="A9140" s="86" t="str">
        <f>IFERROR(__xludf.DUMMYFUNCTION("""COMPUTED_VALUE"""),"")</f>
        <v/>
      </c>
      <c r="B9140" s="87"/>
      <c r="C9140" s="87"/>
      <c r="D9140" s="87"/>
      <c r="E9140" s="87"/>
      <c r="F9140" s="87"/>
      <c r="G9140" s="87"/>
    </row>
    <row r="9141">
      <c r="A9141" s="86" t="str">
        <f>IFERROR(__xludf.DUMMYFUNCTION("""COMPUTED_VALUE"""),"")</f>
        <v/>
      </c>
      <c r="B9141" s="87"/>
      <c r="C9141" s="87"/>
      <c r="D9141" s="87"/>
      <c r="E9141" s="87"/>
      <c r="F9141" s="87"/>
      <c r="G9141" s="87"/>
    </row>
    <row r="9142">
      <c r="A9142" s="86" t="str">
        <f>IFERROR(__xludf.DUMMYFUNCTION("""COMPUTED_VALUE"""),"")</f>
        <v/>
      </c>
      <c r="B9142" s="87"/>
      <c r="C9142" s="87"/>
      <c r="D9142" s="87"/>
      <c r="E9142" s="87"/>
      <c r="F9142" s="87"/>
      <c r="G9142" s="87"/>
    </row>
    <row r="9143">
      <c r="A9143" s="86" t="str">
        <f>IFERROR(__xludf.DUMMYFUNCTION("""COMPUTED_VALUE"""),"")</f>
        <v/>
      </c>
      <c r="B9143" s="87"/>
      <c r="C9143" s="87"/>
      <c r="D9143" s="87"/>
      <c r="E9143" s="87"/>
      <c r="F9143" s="87"/>
      <c r="G9143" s="87"/>
    </row>
    <row r="9144">
      <c r="A9144" s="86" t="str">
        <f>IFERROR(__xludf.DUMMYFUNCTION("""COMPUTED_VALUE"""),"")</f>
        <v/>
      </c>
      <c r="B9144" s="87"/>
      <c r="C9144" s="87"/>
      <c r="D9144" s="87"/>
      <c r="E9144" s="87"/>
      <c r="F9144" s="87"/>
      <c r="G9144" s="87"/>
    </row>
    <row r="9145">
      <c r="A9145" s="86" t="str">
        <f>IFERROR(__xludf.DUMMYFUNCTION("""COMPUTED_VALUE"""),"")</f>
        <v/>
      </c>
      <c r="B9145" s="87"/>
      <c r="C9145" s="87"/>
      <c r="D9145" s="87"/>
      <c r="E9145" s="87"/>
      <c r="F9145" s="87"/>
      <c r="G9145" s="87"/>
    </row>
    <row r="9146">
      <c r="A9146" s="86" t="str">
        <f>IFERROR(__xludf.DUMMYFUNCTION("""COMPUTED_VALUE"""),"")</f>
        <v/>
      </c>
      <c r="B9146" s="87"/>
      <c r="C9146" s="87"/>
      <c r="D9146" s="87"/>
      <c r="E9146" s="87"/>
      <c r="F9146" s="87"/>
      <c r="G9146" s="87"/>
    </row>
    <row r="9147">
      <c r="A9147" s="86" t="str">
        <f>IFERROR(__xludf.DUMMYFUNCTION("""COMPUTED_VALUE"""),"")</f>
        <v/>
      </c>
      <c r="B9147" s="87"/>
      <c r="C9147" s="87"/>
      <c r="D9147" s="87"/>
      <c r="E9147" s="87"/>
      <c r="F9147" s="87"/>
      <c r="G9147" s="87"/>
    </row>
    <row r="9148">
      <c r="A9148" s="86" t="str">
        <f>IFERROR(__xludf.DUMMYFUNCTION("""COMPUTED_VALUE"""),"")</f>
        <v/>
      </c>
      <c r="B9148" s="87"/>
      <c r="C9148" s="87"/>
      <c r="D9148" s="87"/>
      <c r="E9148" s="87"/>
      <c r="F9148" s="87"/>
      <c r="G9148" s="87"/>
    </row>
    <row r="9149">
      <c r="A9149" s="86" t="str">
        <f>IFERROR(__xludf.DUMMYFUNCTION("""COMPUTED_VALUE"""),"")</f>
        <v/>
      </c>
      <c r="B9149" s="87"/>
      <c r="C9149" s="87"/>
      <c r="D9149" s="87"/>
      <c r="E9149" s="87"/>
      <c r="F9149" s="87"/>
      <c r="G9149" s="87"/>
    </row>
    <row r="9150">
      <c r="A9150" s="86" t="str">
        <f>IFERROR(__xludf.DUMMYFUNCTION("""COMPUTED_VALUE"""),"")</f>
        <v/>
      </c>
      <c r="B9150" s="87"/>
      <c r="C9150" s="87"/>
      <c r="D9150" s="87"/>
      <c r="E9150" s="87"/>
      <c r="F9150" s="87"/>
      <c r="G9150" s="87"/>
    </row>
    <row r="9151">
      <c r="A9151" s="86" t="str">
        <f>IFERROR(__xludf.DUMMYFUNCTION("""COMPUTED_VALUE"""),"")</f>
        <v/>
      </c>
      <c r="B9151" s="87"/>
      <c r="C9151" s="87"/>
      <c r="D9151" s="87"/>
      <c r="E9151" s="87"/>
      <c r="F9151" s="87"/>
      <c r="G9151" s="87"/>
    </row>
    <row r="9152">
      <c r="A9152" s="86" t="str">
        <f>IFERROR(__xludf.DUMMYFUNCTION("""COMPUTED_VALUE"""),"")</f>
        <v/>
      </c>
      <c r="B9152" s="87"/>
      <c r="C9152" s="87"/>
      <c r="D9152" s="87"/>
      <c r="E9152" s="87"/>
      <c r="F9152" s="87"/>
      <c r="G9152" s="87"/>
    </row>
    <row r="9153">
      <c r="A9153" s="86" t="str">
        <f>IFERROR(__xludf.DUMMYFUNCTION("""COMPUTED_VALUE"""),"")</f>
        <v/>
      </c>
      <c r="B9153" s="87"/>
      <c r="C9153" s="87"/>
      <c r="D9153" s="87"/>
      <c r="E9153" s="87"/>
      <c r="F9153" s="87"/>
      <c r="G9153" s="87"/>
    </row>
    <row r="9154">
      <c r="A9154" s="86" t="str">
        <f>IFERROR(__xludf.DUMMYFUNCTION("""COMPUTED_VALUE"""),"")</f>
        <v/>
      </c>
      <c r="B9154" s="87"/>
      <c r="C9154" s="87"/>
      <c r="D9154" s="87"/>
      <c r="E9154" s="87"/>
      <c r="F9154" s="87"/>
      <c r="G9154" s="87"/>
    </row>
    <row r="9155">
      <c r="A9155" s="86" t="str">
        <f>IFERROR(__xludf.DUMMYFUNCTION("""COMPUTED_VALUE"""),"")</f>
        <v/>
      </c>
      <c r="B9155" s="87"/>
      <c r="C9155" s="87"/>
      <c r="D9155" s="87"/>
      <c r="E9155" s="87"/>
      <c r="F9155" s="87"/>
      <c r="G9155" s="87"/>
    </row>
    <row r="9156">
      <c r="A9156" s="86" t="str">
        <f>IFERROR(__xludf.DUMMYFUNCTION("""COMPUTED_VALUE"""),"")</f>
        <v/>
      </c>
      <c r="B9156" s="87"/>
      <c r="C9156" s="87"/>
      <c r="D9156" s="87"/>
      <c r="E9156" s="87"/>
      <c r="F9156" s="87"/>
      <c r="G9156" s="87"/>
    </row>
    <row r="9157">
      <c r="A9157" s="86" t="str">
        <f>IFERROR(__xludf.DUMMYFUNCTION("""COMPUTED_VALUE"""),"")</f>
        <v/>
      </c>
      <c r="B9157" s="87"/>
      <c r="C9157" s="87"/>
      <c r="D9157" s="87"/>
      <c r="E9157" s="87"/>
      <c r="F9157" s="87"/>
      <c r="G9157" s="87"/>
    </row>
    <row r="9158">
      <c r="A9158" s="86" t="str">
        <f>IFERROR(__xludf.DUMMYFUNCTION("""COMPUTED_VALUE"""),"")</f>
        <v/>
      </c>
      <c r="B9158" s="87"/>
      <c r="C9158" s="87"/>
      <c r="D9158" s="87"/>
      <c r="E9158" s="87"/>
      <c r="F9158" s="87"/>
      <c r="G9158" s="87"/>
    </row>
    <row r="9159">
      <c r="A9159" s="86" t="str">
        <f>IFERROR(__xludf.DUMMYFUNCTION("""COMPUTED_VALUE"""),"")</f>
        <v/>
      </c>
      <c r="B9159" s="87"/>
      <c r="C9159" s="87"/>
      <c r="D9159" s="87"/>
      <c r="E9159" s="87"/>
      <c r="F9159" s="87"/>
      <c r="G9159" s="87"/>
    </row>
    <row r="9160">
      <c r="A9160" s="86" t="str">
        <f>IFERROR(__xludf.DUMMYFUNCTION("""COMPUTED_VALUE"""),"")</f>
        <v/>
      </c>
      <c r="B9160" s="87"/>
      <c r="C9160" s="87"/>
      <c r="D9160" s="87"/>
      <c r="E9160" s="87"/>
      <c r="F9160" s="87"/>
      <c r="G9160" s="87"/>
    </row>
    <row r="9161">
      <c r="A9161" s="86" t="str">
        <f>IFERROR(__xludf.DUMMYFUNCTION("""COMPUTED_VALUE"""),"")</f>
        <v/>
      </c>
      <c r="B9161" s="87"/>
      <c r="C9161" s="87"/>
      <c r="D9161" s="87"/>
      <c r="E9161" s="87"/>
      <c r="F9161" s="87"/>
      <c r="G9161" s="87"/>
    </row>
    <row r="9162">
      <c r="A9162" s="86" t="str">
        <f>IFERROR(__xludf.DUMMYFUNCTION("""COMPUTED_VALUE"""),"")</f>
        <v/>
      </c>
      <c r="B9162" s="87"/>
      <c r="C9162" s="87"/>
      <c r="D9162" s="87"/>
      <c r="E9162" s="87"/>
      <c r="F9162" s="87"/>
      <c r="G9162" s="87"/>
    </row>
    <row r="9163">
      <c r="A9163" s="86" t="str">
        <f>IFERROR(__xludf.DUMMYFUNCTION("""COMPUTED_VALUE"""),"")</f>
        <v/>
      </c>
      <c r="B9163" s="87"/>
      <c r="C9163" s="87"/>
      <c r="D9163" s="87"/>
      <c r="E9163" s="87"/>
      <c r="F9163" s="87"/>
      <c r="G9163" s="87"/>
    </row>
    <row r="9164">
      <c r="A9164" s="86" t="str">
        <f>IFERROR(__xludf.DUMMYFUNCTION("""COMPUTED_VALUE"""),"")</f>
        <v/>
      </c>
      <c r="B9164" s="87"/>
      <c r="C9164" s="87"/>
      <c r="D9164" s="87"/>
      <c r="E9164" s="87"/>
      <c r="F9164" s="87"/>
      <c r="G9164" s="87"/>
    </row>
    <row r="9165">
      <c r="A9165" s="86" t="str">
        <f>IFERROR(__xludf.DUMMYFUNCTION("""COMPUTED_VALUE"""),"")</f>
        <v/>
      </c>
      <c r="B9165" s="87"/>
      <c r="C9165" s="87"/>
      <c r="D9165" s="87"/>
      <c r="E9165" s="87"/>
      <c r="F9165" s="87"/>
      <c r="G9165" s="87"/>
    </row>
    <row r="9166">
      <c r="A9166" s="86" t="str">
        <f>IFERROR(__xludf.DUMMYFUNCTION("""COMPUTED_VALUE"""),"")</f>
        <v/>
      </c>
      <c r="B9166" s="87"/>
      <c r="C9166" s="87"/>
      <c r="D9166" s="87"/>
      <c r="E9166" s="87"/>
      <c r="F9166" s="87"/>
      <c r="G9166" s="87"/>
    </row>
    <row r="9167">
      <c r="A9167" s="86" t="str">
        <f>IFERROR(__xludf.DUMMYFUNCTION("""COMPUTED_VALUE"""),"")</f>
        <v/>
      </c>
      <c r="B9167" s="87"/>
      <c r="C9167" s="87"/>
      <c r="D9167" s="87"/>
      <c r="E9167" s="87"/>
      <c r="F9167" s="87"/>
      <c r="G9167" s="87"/>
    </row>
    <row r="9168">
      <c r="A9168" s="86" t="str">
        <f>IFERROR(__xludf.DUMMYFUNCTION("""COMPUTED_VALUE"""),"")</f>
        <v/>
      </c>
      <c r="B9168" s="87"/>
      <c r="C9168" s="87"/>
      <c r="D9168" s="87"/>
      <c r="E9168" s="87"/>
      <c r="F9168" s="87"/>
      <c r="G9168" s="87"/>
    </row>
    <row r="9169">
      <c r="A9169" s="86" t="str">
        <f>IFERROR(__xludf.DUMMYFUNCTION("""COMPUTED_VALUE"""),"")</f>
        <v/>
      </c>
      <c r="B9169" s="87"/>
      <c r="C9169" s="87"/>
      <c r="D9169" s="87"/>
      <c r="E9169" s="87"/>
      <c r="F9169" s="87"/>
      <c r="G9169" s="87"/>
    </row>
    <row r="9170">
      <c r="A9170" s="86" t="str">
        <f>IFERROR(__xludf.DUMMYFUNCTION("""COMPUTED_VALUE"""),"")</f>
        <v/>
      </c>
      <c r="B9170" s="87"/>
      <c r="C9170" s="87"/>
      <c r="D9170" s="87"/>
      <c r="E9170" s="87"/>
      <c r="F9170" s="87"/>
      <c r="G9170" s="87"/>
    </row>
    <row r="9171">
      <c r="A9171" s="86" t="str">
        <f>IFERROR(__xludf.DUMMYFUNCTION("""COMPUTED_VALUE"""),"")</f>
        <v/>
      </c>
      <c r="B9171" s="87"/>
      <c r="C9171" s="87"/>
      <c r="D9171" s="87"/>
      <c r="E9171" s="87"/>
      <c r="F9171" s="87"/>
      <c r="G9171" s="87"/>
    </row>
    <row r="9172">
      <c r="A9172" s="86" t="str">
        <f>IFERROR(__xludf.DUMMYFUNCTION("""COMPUTED_VALUE"""),"")</f>
        <v/>
      </c>
      <c r="B9172" s="87"/>
      <c r="C9172" s="87"/>
      <c r="D9172" s="87"/>
      <c r="E9172" s="87"/>
      <c r="F9172" s="87"/>
      <c r="G9172" s="87"/>
    </row>
    <row r="9173">
      <c r="A9173" s="86" t="str">
        <f>IFERROR(__xludf.DUMMYFUNCTION("""COMPUTED_VALUE"""),"")</f>
        <v/>
      </c>
      <c r="B9173" s="87"/>
      <c r="C9173" s="87"/>
      <c r="D9173" s="87"/>
      <c r="E9173" s="87"/>
      <c r="F9173" s="87"/>
      <c r="G9173" s="87"/>
    </row>
    <row r="9174">
      <c r="A9174" s="86" t="str">
        <f>IFERROR(__xludf.DUMMYFUNCTION("""COMPUTED_VALUE"""),"")</f>
        <v/>
      </c>
      <c r="B9174" s="87"/>
      <c r="C9174" s="87"/>
      <c r="D9174" s="87"/>
      <c r="E9174" s="87"/>
      <c r="F9174" s="87"/>
      <c r="G9174" s="87"/>
    </row>
    <row r="9175">
      <c r="A9175" s="86" t="str">
        <f>IFERROR(__xludf.DUMMYFUNCTION("""COMPUTED_VALUE"""),"")</f>
        <v/>
      </c>
      <c r="B9175" s="87"/>
      <c r="C9175" s="87"/>
      <c r="D9175" s="87"/>
      <c r="E9175" s="87"/>
      <c r="F9175" s="87"/>
      <c r="G9175" s="87"/>
    </row>
    <row r="9176">
      <c r="A9176" s="86" t="str">
        <f>IFERROR(__xludf.DUMMYFUNCTION("""COMPUTED_VALUE"""),"")</f>
        <v/>
      </c>
      <c r="B9176" s="87"/>
      <c r="C9176" s="87"/>
      <c r="D9176" s="87"/>
      <c r="E9176" s="87"/>
      <c r="F9176" s="87"/>
      <c r="G9176" s="87"/>
    </row>
    <row r="9177">
      <c r="A9177" s="86" t="str">
        <f>IFERROR(__xludf.DUMMYFUNCTION("""COMPUTED_VALUE"""),"")</f>
        <v/>
      </c>
      <c r="B9177" s="87"/>
      <c r="C9177" s="87"/>
      <c r="D9177" s="87"/>
      <c r="E9177" s="87"/>
      <c r="F9177" s="87"/>
      <c r="G9177" s="87"/>
    </row>
    <row r="9178">
      <c r="A9178" s="86" t="str">
        <f>IFERROR(__xludf.DUMMYFUNCTION("""COMPUTED_VALUE"""),"")</f>
        <v/>
      </c>
      <c r="B9178" s="87"/>
      <c r="C9178" s="87"/>
      <c r="D9178" s="87"/>
      <c r="E9178" s="87"/>
      <c r="F9178" s="87"/>
      <c r="G9178" s="87"/>
    </row>
    <row r="9179">
      <c r="A9179" s="86" t="str">
        <f>IFERROR(__xludf.DUMMYFUNCTION("""COMPUTED_VALUE"""),"")</f>
        <v/>
      </c>
      <c r="B9179" s="87"/>
      <c r="C9179" s="87"/>
      <c r="D9179" s="87"/>
      <c r="E9179" s="87"/>
      <c r="F9179" s="87"/>
      <c r="G9179" s="87"/>
    </row>
    <row r="9180">
      <c r="A9180" s="86" t="str">
        <f>IFERROR(__xludf.DUMMYFUNCTION("""COMPUTED_VALUE"""),"")</f>
        <v/>
      </c>
      <c r="B9180" s="87"/>
      <c r="C9180" s="87"/>
      <c r="D9180" s="87"/>
      <c r="E9180" s="87"/>
      <c r="F9180" s="87"/>
      <c r="G9180" s="87"/>
    </row>
    <row r="9181">
      <c r="A9181" s="86" t="str">
        <f>IFERROR(__xludf.DUMMYFUNCTION("""COMPUTED_VALUE"""),"")</f>
        <v/>
      </c>
      <c r="B9181" s="87"/>
      <c r="C9181" s="87"/>
      <c r="D9181" s="87"/>
      <c r="E9181" s="87"/>
      <c r="F9181" s="87"/>
      <c r="G9181" s="87"/>
    </row>
    <row r="9182">
      <c r="A9182" s="86" t="str">
        <f>IFERROR(__xludf.DUMMYFUNCTION("""COMPUTED_VALUE"""),"")</f>
        <v/>
      </c>
      <c r="B9182" s="87"/>
      <c r="C9182" s="87"/>
      <c r="D9182" s="87"/>
      <c r="E9182" s="87"/>
      <c r="F9182" s="87"/>
      <c r="G9182" s="87"/>
    </row>
    <row r="9183">
      <c r="A9183" s="86" t="str">
        <f>IFERROR(__xludf.DUMMYFUNCTION("""COMPUTED_VALUE"""),"")</f>
        <v/>
      </c>
      <c r="B9183" s="87"/>
      <c r="C9183" s="87"/>
      <c r="D9183" s="87"/>
      <c r="E9183" s="87"/>
      <c r="F9183" s="87"/>
      <c r="G9183" s="87"/>
    </row>
    <row r="9184">
      <c r="A9184" s="86" t="str">
        <f>IFERROR(__xludf.DUMMYFUNCTION("""COMPUTED_VALUE"""),"")</f>
        <v/>
      </c>
      <c r="B9184" s="87"/>
      <c r="C9184" s="87"/>
      <c r="D9184" s="87"/>
      <c r="E9184" s="87"/>
      <c r="F9184" s="87"/>
      <c r="G9184" s="87"/>
    </row>
    <row r="9185">
      <c r="A9185" s="86" t="str">
        <f>IFERROR(__xludf.DUMMYFUNCTION("""COMPUTED_VALUE"""),"")</f>
        <v/>
      </c>
      <c r="B9185" s="87"/>
      <c r="C9185" s="87"/>
      <c r="D9185" s="87"/>
      <c r="E9185" s="87"/>
      <c r="F9185" s="87"/>
      <c r="G9185" s="87"/>
    </row>
    <row r="9186">
      <c r="A9186" s="86" t="str">
        <f>IFERROR(__xludf.DUMMYFUNCTION("""COMPUTED_VALUE"""),"")</f>
        <v/>
      </c>
      <c r="B9186" s="87"/>
      <c r="C9186" s="87"/>
      <c r="D9186" s="87"/>
      <c r="E9186" s="87"/>
      <c r="F9186" s="87"/>
      <c r="G9186" s="87"/>
    </row>
    <row r="9187">
      <c r="A9187" s="86" t="str">
        <f>IFERROR(__xludf.DUMMYFUNCTION("""COMPUTED_VALUE"""),"")</f>
        <v/>
      </c>
      <c r="B9187" s="87"/>
      <c r="C9187" s="87"/>
      <c r="D9187" s="87"/>
      <c r="E9187" s="87"/>
      <c r="F9187" s="87"/>
      <c r="G9187" s="87"/>
    </row>
    <row r="9188">
      <c r="A9188" s="86" t="str">
        <f>IFERROR(__xludf.DUMMYFUNCTION("""COMPUTED_VALUE"""),"")</f>
        <v/>
      </c>
      <c r="B9188" s="87"/>
      <c r="C9188" s="87"/>
      <c r="D9188" s="87"/>
      <c r="E9188" s="87"/>
      <c r="F9188" s="87"/>
      <c r="G9188" s="87"/>
    </row>
    <row r="9189">
      <c r="A9189" s="86" t="str">
        <f>IFERROR(__xludf.DUMMYFUNCTION("""COMPUTED_VALUE"""),"")</f>
        <v/>
      </c>
      <c r="B9189" s="87"/>
      <c r="C9189" s="87"/>
      <c r="D9189" s="87"/>
      <c r="E9189" s="87"/>
      <c r="F9189" s="87"/>
      <c r="G9189" s="87"/>
    </row>
    <row r="9190">
      <c r="A9190" s="86" t="str">
        <f>IFERROR(__xludf.DUMMYFUNCTION("""COMPUTED_VALUE"""),"")</f>
        <v/>
      </c>
      <c r="B9190" s="87"/>
      <c r="C9190" s="87"/>
      <c r="D9190" s="87"/>
      <c r="E9190" s="87"/>
      <c r="F9190" s="87"/>
      <c r="G9190" s="87"/>
    </row>
    <row r="9191">
      <c r="A9191" s="86" t="str">
        <f>IFERROR(__xludf.DUMMYFUNCTION("""COMPUTED_VALUE"""),"")</f>
        <v/>
      </c>
      <c r="B9191" s="87"/>
      <c r="C9191" s="87"/>
      <c r="D9191" s="87"/>
      <c r="E9191" s="87"/>
      <c r="F9191" s="87"/>
      <c r="G9191" s="87"/>
    </row>
    <row r="9192">
      <c r="A9192" s="86" t="str">
        <f>IFERROR(__xludf.DUMMYFUNCTION("""COMPUTED_VALUE"""),"")</f>
        <v/>
      </c>
      <c r="B9192" s="87"/>
      <c r="C9192" s="87"/>
      <c r="D9192" s="87"/>
      <c r="E9192" s="87"/>
      <c r="F9192" s="87"/>
      <c r="G9192" s="87"/>
    </row>
    <row r="9193">
      <c r="A9193" s="86" t="str">
        <f>IFERROR(__xludf.DUMMYFUNCTION("""COMPUTED_VALUE"""),"")</f>
        <v/>
      </c>
      <c r="B9193" s="87"/>
      <c r="C9193" s="87"/>
      <c r="D9193" s="87"/>
      <c r="E9193" s="87"/>
      <c r="F9193" s="87"/>
      <c r="G9193" s="87"/>
    </row>
    <row r="9194">
      <c r="A9194" s="86" t="str">
        <f>IFERROR(__xludf.DUMMYFUNCTION("""COMPUTED_VALUE"""),"")</f>
        <v/>
      </c>
      <c r="B9194" s="87"/>
      <c r="C9194" s="87"/>
      <c r="D9194" s="87"/>
      <c r="E9194" s="87"/>
      <c r="F9194" s="87"/>
      <c r="G9194" s="87"/>
    </row>
    <row r="9195">
      <c r="A9195" s="86" t="str">
        <f>IFERROR(__xludf.DUMMYFUNCTION("""COMPUTED_VALUE"""),"")</f>
        <v/>
      </c>
      <c r="B9195" s="87"/>
      <c r="C9195" s="87"/>
      <c r="D9195" s="87"/>
      <c r="E9195" s="87"/>
      <c r="F9195" s="87"/>
      <c r="G9195" s="87"/>
    </row>
    <row r="9196">
      <c r="A9196" s="86" t="str">
        <f>IFERROR(__xludf.DUMMYFUNCTION("""COMPUTED_VALUE"""),"")</f>
        <v/>
      </c>
      <c r="B9196" s="87"/>
      <c r="C9196" s="87"/>
      <c r="D9196" s="87"/>
      <c r="E9196" s="87"/>
      <c r="F9196" s="87"/>
      <c r="G9196" s="87"/>
    </row>
    <row r="9197">
      <c r="A9197" s="86" t="str">
        <f>IFERROR(__xludf.DUMMYFUNCTION("""COMPUTED_VALUE"""),"")</f>
        <v/>
      </c>
      <c r="B9197" s="87"/>
      <c r="C9197" s="87"/>
      <c r="D9197" s="87"/>
      <c r="E9197" s="87"/>
      <c r="F9197" s="87"/>
      <c r="G9197" s="87"/>
    </row>
    <row r="9198">
      <c r="A9198" s="86" t="str">
        <f>IFERROR(__xludf.DUMMYFUNCTION("""COMPUTED_VALUE"""),"")</f>
        <v/>
      </c>
      <c r="B9198" s="87"/>
      <c r="C9198" s="87"/>
      <c r="D9198" s="87"/>
      <c r="E9198" s="87"/>
      <c r="F9198" s="87"/>
      <c r="G9198" s="87"/>
    </row>
    <row r="9199">
      <c r="A9199" s="86" t="str">
        <f>IFERROR(__xludf.DUMMYFUNCTION("""COMPUTED_VALUE"""),"")</f>
        <v/>
      </c>
      <c r="B9199" s="87"/>
      <c r="C9199" s="87"/>
      <c r="D9199" s="87"/>
      <c r="E9199" s="87"/>
      <c r="F9199" s="87"/>
      <c r="G9199" s="87"/>
    </row>
    <row r="9200">
      <c r="A9200" s="86" t="str">
        <f>IFERROR(__xludf.DUMMYFUNCTION("""COMPUTED_VALUE"""),"")</f>
        <v/>
      </c>
      <c r="B9200" s="87"/>
      <c r="C9200" s="87"/>
      <c r="D9200" s="87"/>
      <c r="E9200" s="87"/>
      <c r="F9200" s="87"/>
      <c r="G9200" s="87"/>
    </row>
    <row r="9201">
      <c r="A9201" s="86" t="str">
        <f>IFERROR(__xludf.DUMMYFUNCTION("""COMPUTED_VALUE"""),"")</f>
        <v/>
      </c>
      <c r="B9201" s="87"/>
      <c r="C9201" s="87"/>
      <c r="D9201" s="87"/>
      <c r="E9201" s="87"/>
      <c r="F9201" s="87"/>
      <c r="G9201" s="87"/>
    </row>
    <row r="9202">
      <c r="A9202" s="86" t="str">
        <f>IFERROR(__xludf.DUMMYFUNCTION("""COMPUTED_VALUE"""),"")</f>
        <v/>
      </c>
      <c r="B9202" s="87"/>
      <c r="C9202" s="87"/>
      <c r="D9202" s="87"/>
      <c r="E9202" s="87"/>
      <c r="F9202" s="87"/>
      <c r="G9202" s="87"/>
    </row>
    <row r="9203">
      <c r="A9203" s="86" t="str">
        <f>IFERROR(__xludf.DUMMYFUNCTION("""COMPUTED_VALUE"""),"")</f>
        <v/>
      </c>
      <c r="B9203" s="87"/>
      <c r="C9203" s="87"/>
      <c r="D9203" s="87"/>
      <c r="E9203" s="87"/>
      <c r="F9203" s="87"/>
      <c r="G9203" s="87"/>
    </row>
    <row r="9204">
      <c r="A9204" s="86" t="str">
        <f>IFERROR(__xludf.DUMMYFUNCTION("""COMPUTED_VALUE"""),"")</f>
        <v/>
      </c>
      <c r="B9204" s="87"/>
      <c r="C9204" s="87"/>
      <c r="D9204" s="87"/>
      <c r="E9204" s="87"/>
      <c r="F9204" s="87"/>
      <c r="G9204" s="87"/>
    </row>
    <row r="9205">
      <c r="A9205" s="86" t="str">
        <f>IFERROR(__xludf.DUMMYFUNCTION("""COMPUTED_VALUE"""),"")</f>
        <v/>
      </c>
      <c r="B9205" s="87"/>
      <c r="C9205" s="87"/>
      <c r="D9205" s="87"/>
      <c r="E9205" s="87"/>
      <c r="F9205" s="87"/>
      <c r="G9205" s="87"/>
    </row>
    <row r="9206">
      <c r="A9206" s="86" t="str">
        <f>IFERROR(__xludf.DUMMYFUNCTION("""COMPUTED_VALUE"""),"")</f>
        <v/>
      </c>
      <c r="B9206" s="87"/>
      <c r="C9206" s="87"/>
      <c r="D9206" s="87"/>
      <c r="E9206" s="87"/>
      <c r="F9206" s="87"/>
      <c r="G9206" s="87"/>
    </row>
    <row r="9207">
      <c r="A9207" s="86" t="str">
        <f>IFERROR(__xludf.DUMMYFUNCTION("""COMPUTED_VALUE"""),"")</f>
        <v/>
      </c>
      <c r="B9207" s="87"/>
      <c r="C9207" s="87"/>
      <c r="D9207" s="87"/>
      <c r="E9207" s="87"/>
      <c r="F9207" s="87"/>
      <c r="G9207" s="87"/>
    </row>
    <row r="9208">
      <c r="A9208" s="86" t="str">
        <f>IFERROR(__xludf.DUMMYFUNCTION("""COMPUTED_VALUE"""),"")</f>
        <v/>
      </c>
      <c r="B9208" s="87"/>
      <c r="C9208" s="87"/>
      <c r="D9208" s="87"/>
      <c r="E9208" s="87"/>
      <c r="F9208" s="87"/>
      <c r="G9208" s="87"/>
    </row>
    <row r="9209">
      <c r="A9209" s="86" t="str">
        <f>IFERROR(__xludf.DUMMYFUNCTION("""COMPUTED_VALUE"""),"")</f>
        <v/>
      </c>
      <c r="B9209" s="87"/>
      <c r="C9209" s="87"/>
      <c r="D9209" s="87"/>
      <c r="E9209" s="87"/>
      <c r="F9209" s="87"/>
      <c r="G9209" s="87"/>
    </row>
    <row r="9210">
      <c r="A9210" s="86" t="str">
        <f>IFERROR(__xludf.DUMMYFUNCTION("""COMPUTED_VALUE"""),"")</f>
        <v/>
      </c>
      <c r="B9210" s="87"/>
      <c r="C9210" s="87"/>
      <c r="D9210" s="87"/>
      <c r="E9210" s="87"/>
      <c r="F9210" s="87"/>
      <c r="G9210" s="87"/>
    </row>
    <row r="9211">
      <c r="A9211" s="86" t="str">
        <f>IFERROR(__xludf.DUMMYFUNCTION("""COMPUTED_VALUE"""),"")</f>
        <v/>
      </c>
      <c r="B9211" s="87"/>
      <c r="C9211" s="87"/>
      <c r="D9211" s="87"/>
      <c r="E9211" s="87"/>
      <c r="F9211" s="87"/>
      <c r="G9211" s="87"/>
    </row>
    <row r="9212">
      <c r="A9212" s="86" t="str">
        <f>IFERROR(__xludf.DUMMYFUNCTION("""COMPUTED_VALUE"""),"")</f>
        <v/>
      </c>
      <c r="B9212" s="87"/>
      <c r="C9212" s="87"/>
      <c r="D9212" s="87"/>
      <c r="E9212" s="87"/>
      <c r="F9212" s="87"/>
      <c r="G9212" s="87"/>
    </row>
    <row r="9213">
      <c r="A9213" s="86" t="str">
        <f>IFERROR(__xludf.DUMMYFUNCTION("""COMPUTED_VALUE"""),"")</f>
        <v/>
      </c>
      <c r="B9213" s="87"/>
      <c r="C9213" s="87"/>
      <c r="D9213" s="87"/>
      <c r="E9213" s="87"/>
      <c r="F9213" s="87"/>
      <c r="G9213" s="87"/>
    </row>
    <row r="9214">
      <c r="A9214" s="86" t="str">
        <f>IFERROR(__xludf.DUMMYFUNCTION("""COMPUTED_VALUE"""),"")</f>
        <v/>
      </c>
      <c r="B9214" s="87"/>
      <c r="C9214" s="87"/>
      <c r="D9214" s="87"/>
      <c r="E9214" s="87"/>
      <c r="F9214" s="87"/>
      <c r="G9214" s="87"/>
    </row>
    <row r="9215">
      <c r="A9215" s="86" t="str">
        <f>IFERROR(__xludf.DUMMYFUNCTION("""COMPUTED_VALUE"""),"")</f>
        <v/>
      </c>
      <c r="B9215" s="87"/>
      <c r="C9215" s="87"/>
      <c r="D9215" s="87"/>
      <c r="E9215" s="87"/>
      <c r="F9215" s="87"/>
      <c r="G9215" s="87"/>
    </row>
    <row r="9216">
      <c r="A9216" s="86" t="str">
        <f>IFERROR(__xludf.DUMMYFUNCTION("""COMPUTED_VALUE"""),"")</f>
        <v/>
      </c>
      <c r="B9216" s="87"/>
      <c r="C9216" s="87"/>
      <c r="D9216" s="87"/>
      <c r="E9216" s="87"/>
      <c r="F9216" s="87"/>
      <c r="G9216" s="87"/>
    </row>
    <row r="9217">
      <c r="A9217" s="86" t="str">
        <f>IFERROR(__xludf.DUMMYFUNCTION("""COMPUTED_VALUE"""),"")</f>
        <v/>
      </c>
      <c r="B9217" s="87"/>
      <c r="C9217" s="87"/>
      <c r="D9217" s="87"/>
      <c r="E9217" s="87"/>
      <c r="F9217" s="87"/>
      <c r="G9217" s="87"/>
    </row>
    <row r="9218">
      <c r="A9218" s="86" t="str">
        <f>IFERROR(__xludf.DUMMYFUNCTION("""COMPUTED_VALUE"""),"")</f>
        <v/>
      </c>
      <c r="B9218" s="87"/>
      <c r="C9218" s="87"/>
      <c r="D9218" s="87"/>
      <c r="E9218" s="87"/>
      <c r="F9218" s="87"/>
      <c r="G9218" s="87"/>
    </row>
    <row r="9219">
      <c r="A9219" s="86" t="str">
        <f>IFERROR(__xludf.DUMMYFUNCTION("""COMPUTED_VALUE"""),"")</f>
        <v/>
      </c>
      <c r="B9219" s="87"/>
      <c r="C9219" s="87"/>
      <c r="D9219" s="87"/>
      <c r="E9219" s="87"/>
      <c r="F9219" s="87"/>
      <c r="G9219" s="87"/>
    </row>
    <row r="9220">
      <c r="A9220" s="86" t="str">
        <f>IFERROR(__xludf.DUMMYFUNCTION("""COMPUTED_VALUE"""),"")</f>
        <v/>
      </c>
      <c r="B9220" s="87"/>
      <c r="C9220" s="87"/>
      <c r="D9220" s="87"/>
      <c r="E9220" s="87"/>
      <c r="F9220" s="87"/>
      <c r="G9220" s="87"/>
    </row>
    <row r="9221">
      <c r="A9221" s="86" t="str">
        <f>IFERROR(__xludf.DUMMYFUNCTION("""COMPUTED_VALUE"""),"")</f>
        <v/>
      </c>
      <c r="B9221" s="87"/>
      <c r="C9221" s="87"/>
      <c r="D9221" s="87"/>
      <c r="E9221" s="87"/>
      <c r="F9221" s="87"/>
      <c r="G9221" s="87"/>
    </row>
    <row r="9222">
      <c r="A9222" s="86" t="str">
        <f>IFERROR(__xludf.DUMMYFUNCTION("""COMPUTED_VALUE"""),"")</f>
        <v/>
      </c>
      <c r="B9222" s="87"/>
      <c r="C9222" s="87"/>
      <c r="D9222" s="87"/>
      <c r="E9222" s="87"/>
      <c r="F9222" s="87"/>
      <c r="G9222" s="87"/>
    </row>
    <row r="9223">
      <c r="A9223" s="86" t="str">
        <f>IFERROR(__xludf.DUMMYFUNCTION("""COMPUTED_VALUE"""),"")</f>
        <v/>
      </c>
      <c r="B9223" s="87"/>
      <c r="C9223" s="87"/>
      <c r="D9223" s="87"/>
      <c r="E9223" s="87"/>
      <c r="F9223" s="87"/>
      <c r="G9223" s="87"/>
    </row>
    <row r="9224">
      <c r="A9224" s="86" t="str">
        <f>IFERROR(__xludf.DUMMYFUNCTION("""COMPUTED_VALUE"""),"")</f>
        <v/>
      </c>
      <c r="B9224" s="87"/>
      <c r="C9224" s="87"/>
      <c r="D9224" s="87"/>
      <c r="E9224" s="87"/>
      <c r="F9224" s="87"/>
      <c r="G9224" s="87"/>
    </row>
    <row r="9225">
      <c r="A9225" s="86" t="str">
        <f>IFERROR(__xludf.DUMMYFUNCTION("""COMPUTED_VALUE"""),"")</f>
        <v/>
      </c>
      <c r="B9225" s="87"/>
      <c r="C9225" s="87"/>
      <c r="D9225" s="87"/>
      <c r="E9225" s="87"/>
      <c r="F9225" s="87"/>
      <c r="G9225" s="87"/>
    </row>
    <row r="9226">
      <c r="A9226" s="86" t="str">
        <f>IFERROR(__xludf.DUMMYFUNCTION("""COMPUTED_VALUE"""),"")</f>
        <v/>
      </c>
      <c r="B9226" s="87"/>
      <c r="C9226" s="87"/>
      <c r="D9226" s="87"/>
      <c r="E9226" s="87"/>
      <c r="F9226" s="87"/>
      <c r="G9226" s="87"/>
    </row>
    <row r="9227">
      <c r="A9227" s="86" t="str">
        <f>IFERROR(__xludf.DUMMYFUNCTION("""COMPUTED_VALUE"""),"")</f>
        <v/>
      </c>
      <c r="B9227" s="87"/>
      <c r="C9227" s="87"/>
      <c r="D9227" s="87"/>
      <c r="E9227" s="87"/>
      <c r="F9227" s="87"/>
      <c r="G9227" s="87"/>
    </row>
    <row r="9228">
      <c r="A9228" s="86" t="str">
        <f>IFERROR(__xludf.DUMMYFUNCTION("""COMPUTED_VALUE"""),"")</f>
        <v/>
      </c>
      <c r="B9228" s="87"/>
      <c r="C9228" s="87"/>
      <c r="D9228" s="87"/>
      <c r="E9228" s="87"/>
      <c r="F9228" s="87"/>
      <c r="G9228" s="87"/>
    </row>
    <row r="9229">
      <c r="A9229" s="86" t="str">
        <f>IFERROR(__xludf.DUMMYFUNCTION("""COMPUTED_VALUE"""),"")</f>
        <v/>
      </c>
      <c r="B9229" s="87"/>
      <c r="C9229" s="87"/>
      <c r="D9229" s="87"/>
      <c r="E9229" s="87"/>
      <c r="F9229" s="87"/>
      <c r="G9229" s="87"/>
    </row>
    <row r="9230">
      <c r="A9230" s="86" t="str">
        <f>IFERROR(__xludf.DUMMYFUNCTION("""COMPUTED_VALUE"""),"")</f>
        <v/>
      </c>
      <c r="B9230" s="87"/>
      <c r="C9230" s="87"/>
      <c r="D9230" s="87"/>
      <c r="E9230" s="87"/>
      <c r="F9230" s="87"/>
      <c r="G9230" s="87"/>
    </row>
    <row r="9231">
      <c r="A9231" s="86" t="str">
        <f>IFERROR(__xludf.DUMMYFUNCTION("""COMPUTED_VALUE"""),"")</f>
        <v/>
      </c>
      <c r="B9231" s="87"/>
      <c r="C9231" s="87"/>
      <c r="D9231" s="87"/>
      <c r="E9231" s="87"/>
      <c r="F9231" s="87"/>
      <c r="G9231" s="87"/>
    </row>
    <row r="9232">
      <c r="A9232" s="86" t="str">
        <f>IFERROR(__xludf.DUMMYFUNCTION("""COMPUTED_VALUE"""),"")</f>
        <v/>
      </c>
      <c r="B9232" s="87"/>
      <c r="C9232" s="87"/>
      <c r="D9232" s="87"/>
      <c r="E9232" s="87"/>
      <c r="F9232" s="87"/>
      <c r="G9232" s="87"/>
    </row>
    <row r="9233">
      <c r="A9233" s="86" t="str">
        <f>IFERROR(__xludf.DUMMYFUNCTION("""COMPUTED_VALUE"""),"")</f>
        <v/>
      </c>
      <c r="B9233" s="87"/>
      <c r="C9233" s="87"/>
      <c r="D9233" s="87"/>
      <c r="E9233" s="87"/>
      <c r="F9233" s="87"/>
      <c r="G9233" s="87"/>
    </row>
    <row r="9234">
      <c r="A9234" s="86" t="str">
        <f>IFERROR(__xludf.DUMMYFUNCTION("""COMPUTED_VALUE"""),"")</f>
        <v/>
      </c>
      <c r="B9234" s="87"/>
      <c r="C9234" s="87"/>
      <c r="D9234" s="87"/>
      <c r="E9234" s="87"/>
      <c r="F9234" s="87"/>
      <c r="G9234" s="87"/>
    </row>
    <row r="9235">
      <c r="A9235" s="86" t="str">
        <f>IFERROR(__xludf.DUMMYFUNCTION("""COMPUTED_VALUE"""),"")</f>
        <v/>
      </c>
      <c r="B9235" s="87"/>
      <c r="C9235" s="87"/>
      <c r="D9235" s="87"/>
      <c r="E9235" s="87"/>
      <c r="F9235" s="87"/>
      <c r="G9235" s="87"/>
    </row>
    <row r="9236">
      <c r="A9236" s="86" t="str">
        <f>IFERROR(__xludf.DUMMYFUNCTION("""COMPUTED_VALUE"""),"")</f>
        <v/>
      </c>
      <c r="B9236" s="87"/>
      <c r="C9236" s="87"/>
      <c r="D9236" s="87"/>
      <c r="E9236" s="87"/>
      <c r="F9236" s="87"/>
      <c r="G9236" s="87"/>
    </row>
    <row r="9237">
      <c r="A9237" s="86" t="str">
        <f>IFERROR(__xludf.DUMMYFUNCTION("""COMPUTED_VALUE"""),"")</f>
        <v/>
      </c>
      <c r="B9237" s="87"/>
      <c r="C9237" s="87"/>
      <c r="D9237" s="87"/>
      <c r="E9237" s="87"/>
      <c r="F9237" s="87"/>
      <c r="G9237" s="87"/>
    </row>
    <row r="9238">
      <c r="A9238" s="86" t="str">
        <f>IFERROR(__xludf.DUMMYFUNCTION("""COMPUTED_VALUE"""),"")</f>
        <v/>
      </c>
      <c r="B9238" s="87"/>
      <c r="C9238" s="87"/>
      <c r="D9238" s="87"/>
      <c r="E9238" s="87"/>
      <c r="F9238" s="87"/>
      <c r="G9238" s="87"/>
    </row>
    <row r="9239">
      <c r="A9239" s="86" t="str">
        <f>IFERROR(__xludf.DUMMYFUNCTION("""COMPUTED_VALUE"""),"")</f>
        <v/>
      </c>
      <c r="B9239" s="87"/>
      <c r="C9239" s="87"/>
      <c r="D9239" s="87"/>
      <c r="E9239" s="87"/>
      <c r="F9239" s="87"/>
      <c r="G9239" s="87"/>
    </row>
    <row r="9240">
      <c r="A9240" s="86" t="str">
        <f>IFERROR(__xludf.DUMMYFUNCTION("""COMPUTED_VALUE"""),"")</f>
        <v/>
      </c>
      <c r="B9240" s="87"/>
      <c r="C9240" s="87"/>
      <c r="D9240" s="87"/>
      <c r="E9240" s="87"/>
      <c r="F9240" s="87"/>
      <c r="G9240" s="87"/>
    </row>
    <row r="9241">
      <c r="A9241" s="86" t="str">
        <f>IFERROR(__xludf.DUMMYFUNCTION("""COMPUTED_VALUE"""),"")</f>
        <v/>
      </c>
      <c r="B9241" s="87"/>
      <c r="C9241" s="87"/>
      <c r="D9241" s="87"/>
      <c r="E9241" s="87"/>
      <c r="F9241" s="87"/>
      <c r="G9241" s="87"/>
    </row>
    <row r="9242">
      <c r="A9242" s="86" t="str">
        <f>IFERROR(__xludf.DUMMYFUNCTION("""COMPUTED_VALUE"""),"")</f>
        <v/>
      </c>
      <c r="B9242" s="87"/>
      <c r="C9242" s="87"/>
      <c r="D9242" s="87"/>
      <c r="E9242" s="87"/>
      <c r="F9242" s="87"/>
      <c r="G9242" s="87"/>
    </row>
    <row r="9243">
      <c r="A9243" s="86" t="str">
        <f>IFERROR(__xludf.DUMMYFUNCTION("""COMPUTED_VALUE"""),"")</f>
        <v/>
      </c>
      <c r="B9243" s="87"/>
      <c r="C9243" s="87"/>
      <c r="D9243" s="87"/>
      <c r="E9243" s="87"/>
      <c r="F9243" s="87"/>
      <c r="G9243" s="87"/>
    </row>
    <row r="9244">
      <c r="A9244" s="86" t="str">
        <f>IFERROR(__xludf.DUMMYFUNCTION("""COMPUTED_VALUE"""),"")</f>
        <v/>
      </c>
      <c r="B9244" s="87"/>
      <c r="C9244" s="87"/>
      <c r="D9244" s="87"/>
      <c r="E9244" s="87"/>
      <c r="F9244" s="87"/>
      <c r="G9244" s="87"/>
    </row>
    <row r="9245">
      <c r="A9245" s="86" t="str">
        <f>IFERROR(__xludf.DUMMYFUNCTION("""COMPUTED_VALUE"""),"")</f>
        <v/>
      </c>
      <c r="B9245" s="87"/>
      <c r="C9245" s="87"/>
      <c r="D9245" s="87"/>
      <c r="E9245" s="87"/>
      <c r="F9245" s="87"/>
      <c r="G9245" s="87"/>
    </row>
    <row r="9246">
      <c r="A9246" s="86" t="str">
        <f>IFERROR(__xludf.DUMMYFUNCTION("""COMPUTED_VALUE"""),"")</f>
        <v/>
      </c>
      <c r="B9246" s="87"/>
      <c r="C9246" s="87"/>
      <c r="D9246" s="87"/>
      <c r="E9246" s="87"/>
      <c r="F9246" s="87"/>
      <c r="G9246" s="87"/>
    </row>
    <row r="9247">
      <c r="A9247" s="86" t="str">
        <f>IFERROR(__xludf.DUMMYFUNCTION("""COMPUTED_VALUE"""),"")</f>
        <v/>
      </c>
      <c r="B9247" s="87"/>
      <c r="C9247" s="87"/>
      <c r="D9247" s="87"/>
      <c r="E9247" s="87"/>
      <c r="F9247" s="87"/>
      <c r="G9247" s="87"/>
    </row>
    <row r="9248">
      <c r="A9248" s="86" t="str">
        <f>IFERROR(__xludf.DUMMYFUNCTION("""COMPUTED_VALUE"""),"")</f>
        <v/>
      </c>
      <c r="B9248" s="87"/>
      <c r="C9248" s="87"/>
      <c r="D9248" s="87"/>
      <c r="E9248" s="87"/>
      <c r="F9248" s="87"/>
      <c r="G9248" s="87"/>
    </row>
    <row r="9249">
      <c r="A9249" s="86" t="str">
        <f>IFERROR(__xludf.DUMMYFUNCTION("""COMPUTED_VALUE"""),"")</f>
        <v/>
      </c>
      <c r="B9249" s="87"/>
      <c r="C9249" s="87"/>
      <c r="D9249" s="87"/>
      <c r="E9249" s="87"/>
      <c r="F9249" s="87"/>
      <c r="G9249" s="87"/>
    </row>
    <row r="9250">
      <c r="A9250" s="86" t="str">
        <f>IFERROR(__xludf.DUMMYFUNCTION("""COMPUTED_VALUE"""),"")</f>
        <v/>
      </c>
      <c r="B9250" s="87"/>
      <c r="C9250" s="87"/>
      <c r="D9250" s="87"/>
      <c r="E9250" s="87"/>
      <c r="F9250" s="87"/>
      <c r="G9250" s="87"/>
    </row>
    <row r="9251">
      <c r="A9251" s="86" t="str">
        <f>IFERROR(__xludf.DUMMYFUNCTION("""COMPUTED_VALUE"""),"")</f>
        <v/>
      </c>
      <c r="B9251" s="87"/>
      <c r="C9251" s="87"/>
      <c r="D9251" s="87"/>
      <c r="E9251" s="87"/>
      <c r="F9251" s="87"/>
      <c r="G9251" s="87"/>
    </row>
    <row r="9252">
      <c r="A9252" s="86" t="str">
        <f>IFERROR(__xludf.DUMMYFUNCTION("""COMPUTED_VALUE"""),"")</f>
        <v/>
      </c>
      <c r="B9252" s="87"/>
      <c r="C9252" s="87"/>
      <c r="D9252" s="87"/>
      <c r="E9252" s="87"/>
      <c r="F9252" s="87"/>
      <c r="G9252" s="87"/>
    </row>
    <row r="9253">
      <c r="A9253" s="86" t="str">
        <f>IFERROR(__xludf.DUMMYFUNCTION("""COMPUTED_VALUE"""),"")</f>
        <v/>
      </c>
      <c r="B9253" s="87"/>
      <c r="C9253" s="87"/>
      <c r="D9253" s="87"/>
      <c r="E9253" s="87"/>
      <c r="F9253" s="87"/>
      <c r="G9253" s="87"/>
    </row>
    <row r="9254">
      <c r="A9254" s="86" t="str">
        <f>IFERROR(__xludf.DUMMYFUNCTION("""COMPUTED_VALUE"""),"")</f>
        <v/>
      </c>
      <c r="B9254" s="87"/>
      <c r="C9254" s="87"/>
      <c r="D9254" s="87"/>
      <c r="E9254" s="87"/>
      <c r="F9254" s="87"/>
      <c r="G9254" s="87"/>
    </row>
    <row r="9255">
      <c r="A9255" s="86" t="str">
        <f>IFERROR(__xludf.DUMMYFUNCTION("""COMPUTED_VALUE"""),"")</f>
        <v/>
      </c>
      <c r="B9255" s="87"/>
      <c r="C9255" s="87"/>
      <c r="D9255" s="87"/>
      <c r="E9255" s="87"/>
      <c r="F9255" s="87"/>
      <c r="G9255" s="87"/>
    </row>
    <row r="9256">
      <c r="A9256" s="86" t="str">
        <f>IFERROR(__xludf.DUMMYFUNCTION("""COMPUTED_VALUE"""),"")</f>
        <v/>
      </c>
      <c r="B9256" s="87"/>
      <c r="C9256" s="87"/>
      <c r="D9256" s="87"/>
      <c r="E9256" s="87"/>
      <c r="F9256" s="87"/>
      <c r="G9256" s="87"/>
    </row>
    <row r="9257">
      <c r="A9257" s="86" t="str">
        <f>IFERROR(__xludf.DUMMYFUNCTION("""COMPUTED_VALUE"""),"")</f>
        <v/>
      </c>
      <c r="B9257" s="87"/>
      <c r="C9257" s="87"/>
      <c r="D9257" s="87"/>
      <c r="E9257" s="87"/>
      <c r="F9257" s="87"/>
      <c r="G9257" s="87"/>
    </row>
    <row r="9258">
      <c r="A9258" s="86" t="str">
        <f>IFERROR(__xludf.DUMMYFUNCTION("""COMPUTED_VALUE"""),"")</f>
        <v/>
      </c>
      <c r="B9258" s="87"/>
      <c r="C9258" s="87"/>
      <c r="D9258" s="87"/>
      <c r="E9258" s="87"/>
      <c r="F9258" s="87"/>
      <c r="G9258" s="87"/>
    </row>
    <row r="9259">
      <c r="A9259" s="86" t="str">
        <f>IFERROR(__xludf.DUMMYFUNCTION("""COMPUTED_VALUE"""),"")</f>
        <v/>
      </c>
      <c r="B9259" s="87"/>
      <c r="C9259" s="87"/>
      <c r="D9259" s="87"/>
      <c r="E9259" s="87"/>
      <c r="F9259" s="87"/>
      <c r="G9259" s="87"/>
    </row>
    <row r="9260">
      <c r="A9260" s="86" t="str">
        <f>IFERROR(__xludf.DUMMYFUNCTION("""COMPUTED_VALUE"""),"")</f>
        <v/>
      </c>
      <c r="B9260" s="87"/>
      <c r="C9260" s="87"/>
      <c r="D9260" s="87"/>
      <c r="E9260" s="87"/>
      <c r="F9260" s="87"/>
      <c r="G9260" s="87"/>
    </row>
    <row r="9261">
      <c r="A9261" s="86" t="str">
        <f>IFERROR(__xludf.DUMMYFUNCTION("""COMPUTED_VALUE"""),"")</f>
        <v/>
      </c>
      <c r="B9261" s="87"/>
      <c r="C9261" s="87"/>
      <c r="D9261" s="87"/>
      <c r="E9261" s="87"/>
      <c r="F9261" s="87"/>
      <c r="G9261" s="87"/>
    </row>
    <row r="9262">
      <c r="A9262" s="86" t="str">
        <f>IFERROR(__xludf.DUMMYFUNCTION("""COMPUTED_VALUE"""),"")</f>
        <v/>
      </c>
      <c r="B9262" s="87"/>
      <c r="C9262" s="87"/>
      <c r="D9262" s="87"/>
      <c r="E9262" s="87"/>
      <c r="F9262" s="87"/>
      <c r="G9262" s="87"/>
    </row>
    <row r="9263">
      <c r="A9263" s="86" t="str">
        <f>IFERROR(__xludf.DUMMYFUNCTION("""COMPUTED_VALUE"""),"")</f>
        <v/>
      </c>
      <c r="B9263" s="87"/>
      <c r="C9263" s="87"/>
      <c r="D9263" s="87"/>
      <c r="E9263" s="87"/>
      <c r="F9263" s="87"/>
      <c r="G9263" s="87"/>
    </row>
    <row r="9264">
      <c r="A9264" s="86" t="str">
        <f>IFERROR(__xludf.DUMMYFUNCTION("""COMPUTED_VALUE"""),"")</f>
        <v/>
      </c>
      <c r="B9264" s="87"/>
      <c r="C9264" s="87"/>
      <c r="D9264" s="87"/>
      <c r="E9264" s="87"/>
      <c r="F9264" s="87"/>
      <c r="G9264" s="87"/>
    </row>
    <row r="9265">
      <c r="A9265" s="86" t="str">
        <f>IFERROR(__xludf.DUMMYFUNCTION("""COMPUTED_VALUE"""),"")</f>
        <v/>
      </c>
      <c r="B9265" s="87"/>
      <c r="C9265" s="87"/>
      <c r="D9265" s="87"/>
      <c r="E9265" s="87"/>
      <c r="F9265" s="87"/>
      <c r="G9265" s="87"/>
    </row>
    <row r="9266">
      <c r="A9266" s="86" t="str">
        <f>IFERROR(__xludf.DUMMYFUNCTION("""COMPUTED_VALUE"""),"")</f>
        <v/>
      </c>
      <c r="B9266" s="87"/>
      <c r="C9266" s="87"/>
      <c r="D9266" s="87"/>
      <c r="E9266" s="87"/>
      <c r="F9266" s="87"/>
      <c r="G9266" s="87"/>
    </row>
    <row r="9267">
      <c r="A9267" s="86" t="str">
        <f>IFERROR(__xludf.DUMMYFUNCTION("""COMPUTED_VALUE"""),"")</f>
        <v/>
      </c>
      <c r="B9267" s="87"/>
      <c r="C9267" s="87"/>
      <c r="D9267" s="87"/>
      <c r="E9267" s="87"/>
      <c r="F9267" s="87"/>
      <c r="G9267" s="87"/>
    </row>
    <row r="9268">
      <c r="A9268" s="86" t="str">
        <f>IFERROR(__xludf.DUMMYFUNCTION("""COMPUTED_VALUE"""),"")</f>
        <v/>
      </c>
      <c r="B9268" s="87"/>
      <c r="C9268" s="87"/>
      <c r="D9268" s="87"/>
      <c r="E9268" s="87"/>
      <c r="F9268" s="87"/>
      <c r="G9268" s="87"/>
    </row>
    <row r="9269">
      <c r="A9269" s="86" t="str">
        <f>IFERROR(__xludf.DUMMYFUNCTION("""COMPUTED_VALUE"""),"")</f>
        <v/>
      </c>
      <c r="B9269" s="87"/>
      <c r="C9269" s="87"/>
      <c r="D9269" s="87"/>
      <c r="E9269" s="87"/>
      <c r="F9269" s="87"/>
      <c r="G9269" s="87"/>
    </row>
    <row r="9270">
      <c r="A9270" s="86" t="str">
        <f>IFERROR(__xludf.DUMMYFUNCTION("""COMPUTED_VALUE"""),"")</f>
        <v/>
      </c>
      <c r="B9270" s="87"/>
      <c r="C9270" s="87"/>
      <c r="D9270" s="87"/>
      <c r="E9270" s="87"/>
      <c r="F9270" s="87"/>
      <c r="G9270" s="87"/>
    </row>
    <row r="9271">
      <c r="A9271" s="86" t="str">
        <f>IFERROR(__xludf.DUMMYFUNCTION("""COMPUTED_VALUE"""),"")</f>
        <v/>
      </c>
      <c r="B9271" s="87"/>
      <c r="C9271" s="87"/>
      <c r="D9271" s="87"/>
      <c r="E9271" s="87"/>
      <c r="F9271" s="87"/>
      <c r="G9271" s="87"/>
    </row>
    <row r="9272">
      <c r="A9272" s="86" t="str">
        <f>IFERROR(__xludf.DUMMYFUNCTION("""COMPUTED_VALUE"""),"")</f>
        <v/>
      </c>
      <c r="B9272" s="87"/>
      <c r="C9272" s="87"/>
      <c r="D9272" s="87"/>
      <c r="E9272" s="87"/>
      <c r="F9272" s="87"/>
      <c r="G9272" s="87"/>
    </row>
    <row r="9273">
      <c r="A9273" s="86" t="str">
        <f>IFERROR(__xludf.DUMMYFUNCTION("""COMPUTED_VALUE"""),"")</f>
        <v/>
      </c>
      <c r="B9273" s="87"/>
      <c r="C9273" s="87"/>
      <c r="D9273" s="87"/>
      <c r="E9273" s="87"/>
      <c r="F9273" s="87"/>
      <c r="G9273" s="87"/>
    </row>
    <row r="9274">
      <c r="A9274" s="86" t="str">
        <f>IFERROR(__xludf.DUMMYFUNCTION("""COMPUTED_VALUE"""),"")</f>
        <v/>
      </c>
      <c r="B9274" s="87"/>
      <c r="C9274" s="87"/>
      <c r="D9274" s="87"/>
      <c r="E9274" s="87"/>
      <c r="F9274" s="87"/>
      <c r="G9274" s="87"/>
    </row>
    <row r="9275">
      <c r="A9275" s="86" t="str">
        <f>IFERROR(__xludf.DUMMYFUNCTION("""COMPUTED_VALUE"""),"")</f>
        <v/>
      </c>
      <c r="B9275" s="87"/>
      <c r="C9275" s="87"/>
      <c r="D9275" s="87"/>
      <c r="E9275" s="87"/>
      <c r="F9275" s="87"/>
      <c r="G9275" s="87"/>
    </row>
    <row r="9276">
      <c r="A9276" s="86" t="str">
        <f>IFERROR(__xludf.DUMMYFUNCTION("""COMPUTED_VALUE"""),"")</f>
        <v/>
      </c>
      <c r="B9276" s="87"/>
      <c r="C9276" s="87"/>
      <c r="D9276" s="87"/>
      <c r="E9276" s="87"/>
      <c r="F9276" s="87"/>
      <c r="G9276" s="87"/>
    </row>
    <row r="9277">
      <c r="A9277" s="86" t="str">
        <f>IFERROR(__xludf.DUMMYFUNCTION("""COMPUTED_VALUE"""),"")</f>
        <v/>
      </c>
      <c r="B9277" s="87"/>
      <c r="C9277" s="87"/>
      <c r="D9277" s="87"/>
      <c r="E9277" s="87"/>
      <c r="F9277" s="87"/>
      <c r="G9277" s="87"/>
    </row>
    <row r="9278">
      <c r="A9278" s="86" t="str">
        <f>IFERROR(__xludf.DUMMYFUNCTION("""COMPUTED_VALUE"""),"")</f>
        <v/>
      </c>
      <c r="B9278" s="87"/>
      <c r="C9278" s="87"/>
      <c r="D9278" s="87"/>
      <c r="E9278" s="87"/>
      <c r="F9278" s="87"/>
      <c r="G9278" s="87"/>
    </row>
    <row r="9279">
      <c r="A9279" s="86" t="str">
        <f>IFERROR(__xludf.DUMMYFUNCTION("""COMPUTED_VALUE"""),"")</f>
        <v/>
      </c>
      <c r="B9279" s="87"/>
      <c r="C9279" s="87"/>
      <c r="D9279" s="87"/>
      <c r="E9279" s="87"/>
      <c r="F9279" s="87"/>
      <c r="G9279" s="87"/>
    </row>
    <row r="9280">
      <c r="A9280" s="86" t="str">
        <f>IFERROR(__xludf.DUMMYFUNCTION("""COMPUTED_VALUE"""),"")</f>
        <v/>
      </c>
      <c r="B9280" s="87"/>
      <c r="C9280" s="87"/>
      <c r="D9280" s="87"/>
      <c r="E9280" s="87"/>
      <c r="F9280" s="87"/>
      <c r="G9280" s="87"/>
    </row>
    <row r="9281">
      <c r="A9281" s="86" t="str">
        <f>IFERROR(__xludf.DUMMYFUNCTION("""COMPUTED_VALUE"""),"")</f>
        <v/>
      </c>
      <c r="B9281" s="87"/>
      <c r="C9281" s="87"/>
      <c r="D9281" s="87"/>
      <c r="E9281" s="87"/>
      <c r="F9281" s="87"/>
      <c r="G9281" s="87"/>
    </row>
    <row r="9282">
      <c r="A9282" s="86" t="str">
        <f>IFERROR(__xludf.DUMMYFUNCTION("""COMPUTED_VALUE"""),"")</f>
        <v/>
      </c>
      <c r="B9282" s="87"/>
      <c r="C9282" s="87"/>
      <c r="D9282" s="87"/>
      <c r="E9282" s="87"/>
      <c r="F9282" s="87"/>
      <c r="G9282" s="87"/>
    </row>
    <row r="9283">
      <c r="A9283" s="86" t="str">
        <f>IFERROR(__xludf.DUMMYFUNCTION("""COMPUTED_VALUE"""),"")</f>
        <v/>
      </c>
      <c r="B9283" s="87"/>
      <c r="C9283" s="87"/>
      <c r="D9283" s="87"/>
      <c r="E9283" s="87"/>
      <c r="F9283" s="87"/>
      <c r="G9283" s="87"/>
    </row>
    <row r="9284">
      <c r="A9284" s="86" t="str">
        <f>IFERROR(__xludf.DUMMYFUNCTION("""COMPUTED_VALUE"""),"")</f>
        <v/>
      </c>
      <c r="B9284" s="87"/>
      <c r="C9284" s="87"/>
      <c r="D9284" s="87"/>
      <c r="E9284" s="87"/>
      <c r="F9284" s="87"/>
      <c r="G9284" s="87"/>
    </row>
    <row r="9285">
      <c r="A9285" s="86" t="str">
        <f>IFERROR(__xludf.DUMMYFUNCTION("""COMPUTED_VALUE"""),"")</f>
        <v/>
      </c>
      <c r="B9285" s="87"/>
      <c r="C9285" s="87"/>
      <c r="D9285" s="87"/>
      <c r="E9285" s="87"/>
      <c r="F9285" s="87"/>
      <c r="G9285" s="87"/>
    </row>
    <row r="9286">
      <c r="A9286" s="86" t="str">
        <f>IFERROR(__xludf.DUMMYFUNCTION("""COMPUTED_VALUE"""),"")</f>
        <v/>
      </c>
      <c r="B9286" s="87"/>
      <c r="C9286" s="87"/>
      <c r="D9286" s="87"/>
      <c r="E9286" s="87"/>
      <c r="F9286" s="87"/>
      <c r="G9286" s="87"/>
    </row>
    <row r="9287">
      <c r="A9287" s="86" t="str">
        <f>IFERROR(__xludf.DUMMYFUNCTION("""COMPUTED_VALUE"""),"")</f>
        <v/>
      </c>
      <c r="B9287" s="87"/>
      <c r="C9287" s="87"/>
      <c r="D9287" s="87"/>
      <c r="E9287" s="87"/>
      <c r="F9287" s="87"/>
      <c r="G9287" s="87"/>
    </row>
    <row r="9288">
      <c r="A9288" s="86" t="str">
        <f>IFERROR(__xludf.DUMMYFUNCTION("""COMPUTED_VALUE"""),"")</f>
        <v/>
      </c>
      <c r="B9288" s="87"/>
      <c r="C9288" s="87"/>
      <c r="D9288" s="87"/>
      <c r="E9288" s="87"/>
      <c r="F9288" s="87"/>
      <c r="G9288" s="87"/>
    </row>
    <row r="9289">
      <c r="A9289" s="86" t="str">
        <f>IFERROR(__xludf.DUMMYFUNCTION("""COMPUTED_VALUE"""),"")</f>
        <v/>
      </c>
      <c r="B9289" s="87"/>
      <c r="C9289" s="87"/>
      <c r="D9289" s="87"/>
      <c r="E9289" s="87"/>
      <c r="F9289" s="87"/>
      <c r="G9289" s="87"/>
    </row>
    <row r="9290">
      <c r="A9290" s="86" t="str">
        <f>IFERROR(__xludf.DUMMYFUNCTION("""COMPUTED_VALUE"""),"")</f>
        <v/>
      </c>
      <c r="B9290" s="87"/>
      <c r="C9290" s="87"/>
      <c r="D9290" s="87"/>
      <c r="E9290" s="87"/>
      <c r="F9290" s="87"/>
      <c r="G9290" s="87"/>
    </row>
    <row r="9291">
      <c r="A9291" s="86" t="str">
        <f>IFERROR(__xludf.DUMMYFUNCTION("""COMPUTED_VALUE"""),"")</f>
        <v/>
      </c>
      <c r="B9291" s="87"/>
      <c r="C9291" s="87"/>
      <c r="D9291" s="87"/>
      <c r="E9291" s="87"/>
      <c r="F9291" s="87"/>
      <c r="G9291" s="87"/>
    </row>
    <row r="9292">
      <c r="A9292" s="86" t="str">
        <f>IFERROR(__xludf.DUMMYFUNCTION("""COMPUTED_VALUE"""),"")</f>
        <v/>
      </c>
      <c r="B9292" s="87"/>
      <c r="C9292" s="87"/>
      <c r="D9292" s="87"/>
      <c r="E9292" s="87"/>
      <c r="F9292" s="87"/>
      <c r="G9292" s="87"/>
    </row>
    <row r="9293">
      <c r="A9293" s="86" t="str">
        <f>IFERROR(__xludf.DUMMYFUNCTION("""COMPUTED_VALUE"""),"")</f>
        <v/>
      </c>
      <c r="B9293" s="87"/>
      <c r="C9293" s="87"/>
      <c r="D9293" s="87"/>
      <c r="E9293" s="87"/>
      <c r="F9293" s="87"/>
      <c r="G9293" s="87"/>
    </row>
    <row r="9294">
      <c r="A9294" s="86" t="str">
        <f>IFERROR(__xludf.DUMMYFUNCTION("""COMPUTED_VALUE"""),"")</f>
        <v/>
      </c>
      <c r="B9294" s="87"/>
      <c r="C9294" s="87"/>
      <c r="D9294" s="87"/>
      <c r="E9294" s="87"/>
      <c r="F9294" s="87"/>
      <c r="G9294" s="87"/>
    </row>
    <row r="9295">
      <c r="A9295" s="86" t="str">
        <f>IFERROR(__xludf.DUMMYFUNCTION("""COMPUTED_VALUE"""),"")</f>
        <v/>
      </c>
      <c r="B9295" s="87"/>
      <c r="C9295" s="87"/>
      <c r="D9295" s="87"/>
      <c r="E9295" s="87"/>
      <c r="F9295" s="87"/>
      <c r="G9295" s="87"/>
    </row>
    <row r="9296">
      <c r="A9296" s="86" t="str">
        <f>IFERROR(__xludf.DUMMYFUNCTION("""COMPUTED_VALUE"""),"")</f>
        <v/>
      </c>
      <c r="B9296" s="87"/>
      <c r="C9296" s="87"/>
      <c r="D9296" s="87"/>
      <c r="E9296" s="87"/>
      <c r="F9296" s="87"/>
      <c r="G9296" s="87"/>
    </row>
    <row r="9297">
      <c r="A9297" s="86" t="str">
        <f>IFERROR(__xludf.DUMMYFUNCTION("""COMPUTED_VALUE"""),"")</f>
        <v/>
      </c>
      <c r="B9297" s="87"/>
      <c r="C9297" s="87"/>
      <c r="D9297" s="87"/>
      <c r="E9297" s="87"/>
      <c r="F9297" s="87"/>
      <c r="G9297" s="87"/>
    </row>
    <row r="9298">
      <c r="A9298" s="86" t="str">
        <f>IFERROR(__xludf.DUMMYFUNCTION("""COMPUTED_VALUE"""),"")</f>
        <v/>
      </c>
      <c r="B9298" s="87"/>
      <c r="C9298" s="87"/>
      <c r="D9298" s="87"/>
      <c r="E9298" s="87"/>
      <c r="F9298" s="87"/>
      <c r="G9298" s="87"/>
    </row>
    <row r="9299">
      <c r="A9299" s="86" t="str">
        <f>IFERROR(__xludf.DUMMYFUNCTION("""COMPUTED_VALUE"""),"")</f>
        <v/>
      </c>
      <c r="B9299" s="87"/>
      <c r="C9299" s="87"/>
      <c r="D9299" s="87"/>
      <c r="E9299" s="87"/>
      <c r="F9299" s="87"/>
      <c r="G9299" s="87"/>
    </row>
    <row r="9300">
      <c r="A9300" s="86" t="str">
        <f>IFERROR(__xludf.DUMMYFUNCTION("""COMPUTED_VALUE"""),"")</f>
        <v/>
      </c>
      <c r="B9300" s="87"/>
      <c r="C9300" s="87"/>
      <c r="D9300" s="87"/>
      <c r="E9300" s="87"/>
      <c r="F9300" s="87"/>
      <c r="G9300" s="87"/>
    </row>
    <row r="9301">
      <c r="A9301" s="86" t="str">
        <f>IFERROR(__xludf.DUMMYFUNCTION("""COMPUTED_VALUE"""),"")</f>
        <v/>
      </c>
      <c r="B9301" s="87"/>
      <c r="C9301" s="87"/>
      <c r="D9301" s="87"/>
      <c r="E9301" s="87"/>
      <c r="F9301" s="87"/>
      <c r="G9301" s="87"/>
    </row>
    <row r="9302">
      <c r="A9302" s="86" t="str">
        <f>IFERROR(__xludf.DUMMYFUNCTION("""COMPUTED_VALUE"""),"")</f>
        <v/>
      </c>
      <c r="B9302" s="87"/>
      <c r="C9302" s="87"/>
      <c r="D9302" s="87"/>
      <c r="E9302" s="87"/>
      <c r="F9302" s="87"/>
      <c r="G9302" s="87"/>
    </row>
    <row r="9303">
      <c r="A9303" s="86" t="str">
        <f>IFERROR(__xludf.DUMMYFUNCTION("""COMPUTED_VALUE"""),"")</f>
        <v/>
      </c>
      <c r="B9303" s="87"/>
      <c r="C9303" s="87"/>
      <c r="D9303" s="87"/>
      <c r="E9303" s="87"/>
      <c r="F9303" s="87"/>
      <c r="G9303" s="87"/>
    </row>
    <row r="9304">
      <c r="A9304" s="86" t="str">
        <f>IFERROR(__xludf.DUMMYFUNCTION("""COMPUTED_VALUE"""),"")</f>
        <v/>
      </c>
      <c r="B9304" s="87"/>
      <c r="C9304" s="87"/>
      <c r="D9304" s="87"/>
      <c r="E9304" s="87"/>
      <c r="F9304" s="87"/>
      <c r="G9304" s="87"/>
    </row>
    <row r="9305">
      <c r="A9305" s="86" t="str">
        <f>IFERROR(__xludf.DUMMYFUNCTION("""COMPUTED_VALUE"""),"")</f>
        <v/>
      </c>
      <c r="B9305" s="87"/>
      <c r="C9305" s="87"/>
      <c r="D9305" s="87"/>
      <c r="E9305" s="87"/>
      <c r="F9305" s="87"/>
      <c r="G9305" s="87"/>
    </row>
    <row r="9306">
      <c r="A9306" s="86" t="str">
        <f>IFERROR(__xludf.DUMMYFUNCTION("""COMPUTED_VALUE"""),"")</f>
        <v/>
      </c>
      <c r="B9306" s="87"/>
      <c r="C9306" s="87"/>
      <c r="D9306" s="87"/>
      <c r="E9306" s="87"/>
      <c r="F9306" s="87"/>
      <c r="G9306" s="87"/>
    </row>
    <row r="9307">
      <c r="A9307" s="86" t="str">
        <f>IFERROR(__xludf.DUMMYFUNCTION("""COMPUTED_VALUE"""),"")</f>
        <v/>
      </c>
      <c r="B9307" s="87"/>
      <c r="C9307" s="87"/>
      <c r="D9307" s="87"/>
      <c r="E9307" s="87"/>
      <c r="F9307" s="87"/>
      <c r="G9307" s="87"/>
    </row>
    <row r="9308">
      <c r="A9308" s="86" t="str">
        <f>IFERROR(__xludf.DUMMYFUNCTION("""COMPUTED_VALUE"""),"")</f>
        <v/>
      </c>
      <c r="B9308" s="87"/>
      <c r="C9308" s="87"/>
      <c r="D9308" s="87"/>
      <c r="E9308" s="87"/>
      <c r="F9308" s="87"/>
      <c r="G9308" s="87"/>
    </row>
    <row r="9309">
      <c r="A9309" s="86" t="str">
        <f>IFERROR(__xludf.DUMMYFUNCTION("""COMPUTED_VALUE"""),"")</f>
        <v/>
      </c>
      <c r="B9309" s="87"/>
      <c r="C9309" s="87"/>
      <c r="D9309" s="87"/>
      <c r="E9309" s="87"/>
      <c r="F9309" s="87"/>
      <c r="G9309" s="87"/>
    </row>
    <row r="9310">
      <c r="A9310" s="86" t="str">
        <f>IFERROR(__xludf.DUMMYFUNCTION("""COMPUTED_VALUE"""),"")</f>
        <v/>
      </c>
      <c r="B9310" s="87"/>
      <c r="C9310" s="87"/>
      <c r="D9310" s="87"/>
      <c r="E9310" s="87"/>
      <c r="F9310" s="87"/>
      <c r="G9310" s="87"/>
    </row>
    <row r="9311">
      <c r="A9311" s="86" t="str">
        <f>IFERROR(__xludf.DUMMYFUNCTION("""COMPUTED_VALUE"""),"")</f>
        <v/>
      </c>
      <c r="B9311" s="87"/>
      <c r="C9311" s="87"/>
      <c r="D9311" s="87"/>
      <c r="E9311" s="87"/>
      <c r="F9311" s="87"/>
      <c r="G9311" s="87"/>
    </row>
    <row r="9312">
      <c r="A9312" s="86" t="str">
        <f>IFERROR(__xludf.DUMMYFUNCTION("""COMPUTED_VALUE"""),"")</f>
        <v/>
      </c>
      <c r="B9312" s="87"/>
      <c r="C9312" s="87"/>
      <c r="D9312" s="87"/>
      <c r="E9312" s="87"/>
      <c r="F9312" s="87"/>
      <c r="G9312" s="87"/>
    </row>
    <row r="9313">
      <c r="A9313" s="86" t="str">
        <f>IFERROR(__xludf.DUMMYFUNCTION("""COMPUTED_VALUE"""),"")</f>
        <v/>
      </c>
      <c r="B9313" s="87"/>
      <c r="C9313" s="87"/>
      <c r="D9313" s="87"/>
      <c r="E9313" s="87"/>
      <c r="F9313" s="87"/>
      <c r="G9313" s="87"/>
    </row>
    <row r="9314">
      <c r="A9314" s="86" t="str">
        <f>IFERROR(__xludf.DUMMYFUNCTION("""COMPUTED_VALUE"""),"")</f>
        <v/>
      </c>
      <c r="B9314" s="87"/>
      <c r="C9314" s="87"/>
      <c r="D9314" s="87"/>
      <c r="E9314" s="87"/>
      <c r="F9314" s="87"/>
      <c r="G9314" s="87"/>
    </row>
    <row r="9315">
      <c r="A9315" s="86" t="str">
        <f>IFERROR(__xludf.DUMMYFUNCTION("""COMPUTED_VALUE"""),"")</f>
        <v/>
      </c>
      <c r="B9315" s="87"/>
      <c r="C9315" s="87"/>
      <c r="D9315" s="87"/>
      <c r="E9315" s="87"/>
      <c r="F9315" s="87"/>
      <c r="G9315" s="87"/>
    </row>
    <row r="9316">
      <c r="A9316" s="86" t="str">
        <f>IFERROR(__xludf.DUMMYFUNCTION("""COMPUTED_VALUE"""),"")</f>
        <v/>
      </c>
      <c r="B9316" s="87"/>
      <c r="C9316" s="87"/>
      <c r="D9316" s="87"/>
      <c r="E9316" s="87"/>
      <c r="F9316" s="87"/>
      <c r="G9316" s="87"/>
    </row>
    <row r="9317">
      <c r="A9317" s="86" t="str">
        <f>IFERROR(__xludf.DUMMYFUNCTION("""COMPUTED_VALUE"""),"")</f>
        <v/>
      </c>
      <c r="B9317" s="87"/>
      <c r="C9317" s="87"/>
      <c r="D9317" s="87"/>
      <c r="E9317" s="87"/>
      <c r="F9317" s="87"/>
      <c r="G9317" s="87"/>
    </row>
    <row r="9318">
      <c r="A9318" s="86" t="str">
        <f>IFERROR(__xludf.DUMMYFUNCTION("""COMPUTED_VALUE"""),"")</f>
        <v/>
      </c>
      <c r="B9318" s="87"/>
      <c r="C9318" s="87"/>
      <c r="D9318" s="87"/>
      <c r="E9318" s="87"/>
      <c r="F9318" s="87"/>
      <c r="G9318" s="87"/>
    </row>
    <row r="9319">
      <c r="A9319" s="86" t="str">
        <f>IFERROR(__xludf.DUMMYFUNCTION("""COMPUTED_VALUE"""),"")</f>
        <v/>
      </c>
      <c r="B9319" s="87"/>
      <c r="C9319" s="87"/>
      <c r="D9319" s="87"/>
      <c r="E9319" s="87"/>
      <c r="F9319" s="87"/>
      <c r="G9319" s="87"/>
    </row>
    <row r="9320">
      <c r="A9320" s="86" t="str">
        <f>IFERROR(__xludf.DUMMYFUNCTION("""COMPUTED_VALUE"""),"")</f>
        <v/>
      </c>
      <c r="B9320" s="87"/>
      <c r="C9320" s="87"/>
      <c r="D9320" s="87"/>
      <c r="E9320" s="87"/>
      <c r="F9320" s="87"/>
      <c r="G9320" s="87"/>
    </row>
    <row r="9321">
      <c r="A9321" s="86" t="str">
        <f>IFERROR(__xludf.DUMMYFUNCTION("""COMPUTED_VALUE"""),"")</f>
        <v/>
      </c>
      <c r="B9321" s="87"/>
      <c r="C9321" s="87"/>
      <c r="D9321" s="87"/>
      <c r="E9321" s="87"/>
      <c r="F9321" s="87"/>
      <c r="G9321" s="87"/>
    </row>
    <row r="9322">
      <c r="A9322" s="86" t="str">
        <f>IFERROR(__xludf.DUMMYFUNCTION("""COMPUTED_VALUE"""),"")</f>
        <v/>
      </c>
      <c r="B9322" s="87"/>
      <c r="C9322" s="87"/>
      <c r="D9322" s="87"/>
      <c r="E9322" s="87"/>
      <c r="F9322" s="87"/>
      <c r="G9322" s="87"/>
    </row>
    <row r="9323">
      <c r="A9323" s="86" t="str">
        <f>IFERROR(__xludf.DUMMYFUNCTION("""COMPUTED_VALUE"""),"")</f>
        <v/>
      </c>
      <c r="B9323" s="87"/>
      <c r="C9323" s="87"/>
      <c r="D9323" s="87"/>
      <c r="E9323" s="87"/>
      <c r="F9323" s="87"/>
      <c r="G9323" s="87"/>
    </row>
    <row r="9324">
      <c r="A9324" s="86" t="str">
        <f>IFERROR(__xludf.DUMMYFUNCTION("""COMPUTED_VALUE"""),"")</f>
        <v/>
      </c>
      <c r="B9324" s="87"/>
      <c r="C9324" s="87"/>
      <c r="D9324" s="87"/>
      <c r="E9324" s="87"/>
      <c r="F9324" s="87"/>
      <c r="G9324" s="87"/>
    </row>
    <row r="9325">
      <c r="A9325" s="86" t="str">
        <f>IFERROR(__xludf.DUMMYFUNCTION("""COMPUTED_VALUE"""),"")</f>
        <v/>
      </c>
      <c r="B9325" s="87"/>
      <c r="C9325" s="87"/>
      <c r="D9325" s="87"/>
      <c r="E9325" s="87"/>
      <c r="F9325" s="87"/>
      <c r="G9325" s="87"/>
    </row>
    <row r="9326">
      <c r="A9326" s="86" t="str">
        <f>IFERROR(__xludf.DUMMYFUNCTION("""COMPUTED_VALUE"""),"")</f>
        <v/>
      </c>
      <c r="B9326" s="87"/>
      <c r="C9326" s="87"/>
      <c r="D9326" s="87"/>
      <c r="E9326" s="87"/>
      <c r="F9326" s="87"/>
      <c r="G9326" s="87"/>
    </row>
    <row r="9327">
      <c r="A9327" s="86" t="str">
        <f>IFERROR(__xludf.DUMMYFUNCTION("""COMPUTED_VALUE"""),"")</f>
        <v/>
      </c>
      <c r="B9327" s="87"/>
      <c r="C9327" s="87"/>
      <c r="D9327" s="87"/>
      <c r="E9327" s="87"/>
      <c r="F9327" s="87"/>
      <c r="G9327" s="87"/>
    </row>
    <row r="9328">
      <c r="A9328" s="86" t="str">
        <f>IFERROR(__xludf.DUMMYFUNCTION("""COMPUTED_VALUE"""),"")</f>
        <v/>
      </c>
      <c r="B9328" s="87"/>
      <c r="C9328" s="87"/>
      <c r="D9328" s="87"/>
      <c r="E9328" s="87"/>
      <c r="F9328" s="87"/>
      <c r="G9328" s="87"/>
    </row>
    <row r="9329">
      <c r="A9329" s="86" t="str">
        <f>IFERROR(__xludf.DUMMYFUNCTION("""COMPUTED_VALUE"""),"")</f>
        <v/>
      </c>
      <c r="B9329" s="87"/>
      <c r="C9329" s="87"/>
      <c r="D9329" s="87"/>
      <c r="E9329" s="87"/>
      <c r="F9329" s="87"/>
      <c r="G9329" s="87"/>
    </row>
    <row r="9330">
      <c r="A9330" s="86" t="str">
        <f>IFERROR(__xludf.DUMMYFUNCTION("""COMPUTED_VALUE"""),"")</f>
        <v/>
      </c>
      <c r="B9330" s="87"/>
      <c r="C9330" s="87"/>
      <c r="D9330" s="87"/>
      <c r="E9330" s="87"/>
      <c r="F9330" s="87"/>
      <c r="G9330" s="87"/>
    </row>
    <row r="9331">
      <c r="A9331" s="86" t="str">
        <f>IFERROR(__xludf.DUMMYFUNCTION("""COMPUTED_VALUE"""),"")</f>
        <v/>
      </c>
      <c r="B9331" s="87"/>
      <c r="C9331" s="87"/>
      <c r="D9331" s="87"/>
      <c r="E9331" s="87"/>
      <c r="F9331" s="87"/>
      <c r="G9331" s="87"/>
    </row>
    <row r="9332">
      <c r="A9332" s="86" t="str">
        <f>IFERROR(__xludf.DUMMYFUNCTION("""COMPUTED_VALUE"""),"")</f>
        <v/>
      </c>
      <c r="B9332" s="87"/>
      <c r="C9332" s="87"/>
      <c r="D9332" s="87"/>
      <c r="E9332" s="87"/>
      <c r="F9332" s="87"/>
      <c r="G9332" s="87"/>
    </row>
    <row r="9333">
      <c r="A9333" s="86" t="str">
        <f>IFERROR(__xludf.DUMMYFUNCTION("""COMPUTED_VALUE"""),"")</f>
        <v/>
      </c>
      <c r="B9333" s="87"/>
      <c r="C9333" s="87"/>
      <c r="D9333" s="87"/>
      <c r="E9333" s="87"/>
      <c r="F9333" s="87"/>
      <c r="G9333" s="87"/>
    </row>
    <row r="9334">
      <c r="A9334" s="86" t="str">
        <f>IFERROR(__xludf.DUMMYFUNCTION("""COMPUTED_VALUE"""),"")</f>
        <v/>
      </c>
      <c r="B9334" s="87"/>
      <c r="C9334" s="87"/>
      <c r="D9334" s="87"/>
      <c r="E9334" s="87"/>
      <c r="F9334" s="87"/>
      <c r="G9334" s="87"/>
    </row>
    <row r="9335">
      <c r="A9335" s="86" t="str">
        <f>IFERROR(__xludf.DUMMYFUNCTION("""COMPUTED_VALUE"""),"")</f>
        <v/>
      </c>
      <c r="B9335" s="87"/>
      <c r="C9335" s="87"/>
      <c r="D9335" s="87"/>
      <c r="E9335" s="87"/>
      <c r="F9335" s="87"/>
      <c r="G9335" s="87"/>
    </row>
    <row r="9336">
      <c r="A9336" s="86" t="str">
        <f>IFERROR(__xludf.DUMMYFUNCTION("""COMPUTED_VALUE"""),"")</f>
        <v/>
      </c>
      <c r="B9336" s="87"/>
      <c r="C9336" s="87"/>
      <c r="D9336" s="87"/>
      <c r="E9336" s="87"/>
      <c r="F9336" s="87"/>
      <c r="G9336" s="87"/>
    </row>
    <row r="9337">
      <c r="A9337" s="86" t="str">
        <f>IFERROR(__xludf.DUMMYFUNCTION("""COMPUTED_VALUE"""),"")</f>
        <v/>
      </c>
      <c r="B9337" s="87"/>
      <c r="C9337" s="87"/>
      <c r="D9337" s="87"/>
      <c r="E9337" s="87"/>
      <c r="F9337" s="87"/>
      <c r="G9337" s="87"/>
    </row>
    <row r="9338">
      <c r="A9338" s="86" t="str">
        <f>IFERROR(__xludf.DUMMYFUNCTION("""COMPUTED_VALUE"""),"")</f>
        <v/>
      </c>
      <c r="B9338" s="87"/>
      <c r="C9338" s="87"/>
      <c r="D9338" s="87"/>
      <c r="E9338" s="87"/>
      <c r="F9338" s="87"/>
      <c r="G9338" s="87"/>
    </row>
    <row r="9339">
      <c r="A9339" s="86" t="str">
        <f>IFERROR(__xludf.DUMMYFUNCTION("""COMPUTED_VALUE"""),"")</f>
        <v/>
      </c>
      <c r="B9339" s="87"/>
      <c r="C9339" s="87"/>
      <c r="D9339" s="87"/>
      <c r="E9339" s="87"/>
      <c r="F9339" s="87"/>
      <c r="G9339" s="87"/>
    </row>
    <row r="9340">
      <c r="A9340" s="86" t="str">
        <f>IFERROR(__xludf.DUMMYFUNCTION("""COMPUTED_VALUE"""),"")</f>
        <v/>
      </c>
      <c r="B9340" s="87"/>
      <c r="C9340" s="87"/>
      <c r="D9340" s="87"/>
      <c r="E9340" s="87"/>
      <c r="F9340" s="87"/>
      <c r="G9340" s="87"/>
    </row>
    <row r="9341">
      <c r="A9341" s="86" t="str">
        <f>IFERROR(__xludf.DUMMYFUNCTION("""COMPUTED_VALUE"""),"")</f>
        <v/>
      </c>
      <c r="B9341" s="87"/>
      <c r="C9341" s="87"/>
      <c r="D9341" s="87"/>
      <c r="E9341" s="87"/>
      <c r="F9341" s="87"/>
      <c r="G9341" s="87"/>
    </row>
    <row r="9342">
      <c r="A9342" s="86" t="str">
        <f>IFERROR(__xludf.DUMMYFUNCTION("""COMPUTED_VALUE"""),"")</f>
        <v/>
      </c>
      <c r="B9342" s="87"/>
      <c r="C9342" s="87"/>
      <c r="D9342" s="87"/>
      <c r="E9342" s="87"/>
      <c r="F9342" s="87"/>
      <c r="G9342" s="87"/>
    </row>
    <row r="9343">
      <c r="A9343" s="86" t="str">
        <f>IFERROR(__xludf.DUMMYFUNCTION("""COMPUTED_VALUE"""),"")</f>
        <v/>
      </c>
      <c r="B9343" s="87"/>
      <c r="C9343" s="87"/>
      <c r="D9343" s="87"/>
      <c r="E9343" s="87"/>
      <c r="F9343" s="87"/>
      <c r="G9343" s="87"/>
    </row>
    <row r="9344">
      <c r="A9344" s="86" t="str">
        <f>IFERROR(__xludf.DUMMYFUNCTION("""COMPUTED_VALUE"""),"")</f>
        <v/>
      </c>
      <c r="B9344" s="87"/>
      <c r="C9344" s="87"/>
      <c r="D9344" s="87"/>
      <c r="E9344" s="87"/>
      <c r="F9344" s="87"/>
      <c r="G9344" s="87"/>
    </row>
    <row r="9345">
      <c r="A9345" s="86" t="str">
        <f>IFERROR(__xludf.DUMMYFUNCTION("""COMPUTED_VALUE"""),"")</f>
        <v/>
      </c>
      <c r="B9345" s="87"/>
      <c r="C9345" s="87"/>
      <c r="D9345" s="87"/>
      <c r="E9345" s="87"/>
      <c r="F9345" s="87"/>
      <c r="G9345" s="87"/>
    </row>
    <row r="9346">
      <c r="A9346" s="86" t="str">
        <f>IFERROR(__xludf.DUMMYFUNCTION("""COMPUTED_VALUE"""),"")</f>
        <v/>
      </c>
      <c r="B9346" s="87"/>
      <c r="C9346" s="87"/>
      <c r="D9346" s="87"/>
      <c r="E9346" s="87"/>
      <c r="F9346" s="87"/>
      <c r="G9346" s="87"/>
    </row>
    <row r="9347">
      <c r="A9347" s="86" t="str">
        <f>IFERROR(__xludf.DUMMYFUNCTION("""COMPUTED_VALUE"""),"")</f>
        <v/>
      </c>
      <c r="B9347" s="87"/>
      <c r="C9347" s="87"/>
      <c r="D9347" s="87"/>
      <c r="E9347" s="87"/>
      <c r="F9347" s="87"/>
      <c r="G9347" s="87"/>
    </row>
    <row r="9348">
      <c r="A9348" s="86" t="str">
        <f>IFERROR(__xludf.DUMMYFUNCTION("""COMPUTED_VALUE"""),"")</f>
        <v/>
      </c>
      <c r="B9348" s="87"/>
      <c r="C9348" s="87"/>
      <c r="D9348" s="87"/>
      <c r="E9348" s="87"/>
      <c r="F9348" s="87"/>
      <c r="G9348" s="87"/>
    </row>
    <row r="9349">
      <c r="A9349" s="86" t="str">
        <f>IFERROR(__xludf.DUMMYFUNCTION("""COMPUTED_VALUE"""),"")</f>
        <v/>
      </c>
      <c r="B9349" s="87"/>
      <c r="C9349" s="87"/>
      <c r="D9349" s="87"/>
      <c r="E9349" s="87"/>
      <c r="F9349" s="87"/>
      <c r="G9349" s="87"/>
    </row>
    <row r="9350">
      <c r="A9350" s="86" t="str">
        <f>IFERROR(__xludf.DUMMYFUNCTION("""COMPUTED_VALUE"""),"")</f>
        <v/>
      </c>
      <c r="B9350" s="87"/>
      <c r="C9350" s="87"/>
      <c r="D9350" s="87"/>
      <c r="E9350" s="87"/>
      <c r="F9350" s="87"/>
      <c r="G9350" s="87"/>
    </row>
    <row r="9351">
      <c r="A9351" s="86" t="str">
        <f>IFERROR(__xludf.DUMMYFUNCTION("""COMPUTED_VALUE"""),"")</f>
        <v/>
      </c>
      <c r="B9351" s="87"/>
      <c r="C9351" s="87"/>
      <c r="D9351" s="87"/>
      <c r="E9351" s="87"/>
      <c r="F9351" s="87"/>
      <c r="G9351" s="87"/>
    </row>
    <row r="9352">
      <c r="A9352" s="86" t="str">
        <f>IFERROR(__xludf.DUMMYFUNCTION("""COMPUTED_VALUE"""),"")</f>
        <v/>
      </c>
      <c r="B9352" s="87"/>
      <c r="C9352" s="87"/>
      <c r="D9352" s="87"/>
      <c r="E9352" s="87"/>
      <c r="F9352" s="87"/>
      <c r="G9352" s="87"/>
    </row>
    <row r="9353">
      <c r="A9353" s="86" t="str">
        <f>IFERROR(__xludf.DUMMYFUNCTION("""COMPUTED_VALUE"""),"")</f>
        <v/>
      </c>
      <c r="B9353" s="87"/>
      <c r="C9353" s="87"/>
      <c r="D9353" s="87"/>
      <c r="E9353" s="87"/>
      <c r="F9353" s="87"/>
      <c r="G9353" s="87"/>
    </row>
    <row r="9354">
      <c r="A9354" s="86" t="str">
        <f>IFERROR(__xludf.DUMMYFUNCTION("""COMPUTED_VALUE"""),"")</f>
        <v/>
      </c>
      <c r="B9354" s="87"/>
      <c r="C9354" s="87"/>
      <c r="D9354" s="87"/>
      <c r="E9354" s="87"/>
      <c r="F9354" s="87"/>
      <c r="G9354" s="87"/>
    </row>
    <row r="9355">
      <c r="A9355" s="86" t="str">
        <f>IFERROR(__xludf.DUMMYFUNCTION("""COMPUTED_VALUE"""),"")</f>
        <v/>
      </c>
      <c r="B9355" s="87"/>
      <c r="C9355" s="87"/>
      <c r="D9355" s="87"/>
      <c r="E9355" s="87"/>
      <c r="F9355" s="87"/>
      <c r="G9355" s="87"/>
    </row>
    <row r="9356">
      <c r="A9356" s="86" t="str">
        <f>IFERROR(__xludf.DUMMYFUNCTION("""COMPUTED_VALUE"""),"")</f>
        <v/>
      </c>
      <c r="B9356" s="87"/>
      <c r="C9356" s="87"/>
      <c r="D9356" s="87"/>
      <c r="E9356" s="87"/>
      <c r="F9356" s="87"/>
      <c r="G9356" s="87"/>
    </row>
    <row r="9357">
      <c r="A9357" s="86" t="str">
        <f>IFERROR(__xludf.DUMMYFUNCTION("""COMPUTED_VALUE"""),"")</f>
        <v/>
      </c>
      <c r="B9357" s="87"/>
      <c r="C9357" s="87"/>
      <c r="D9357" s="87"/>
      <c r="E9357" s="87"/>
      <c r="F9357" s="87"/>
      <c r="G9357" s="87"/>
    </row>
    <row r="9358">
      <c r="A9358" s="86" t="str">
        <f>IFERROR(__xludf.DUMMYFUNCTION("""COMPUTED_VALUE"""),"")</f>
        <v/>
      </c>
      <c r="B9358" s="87"/>
      <c r="C9358" s="87"/>
      <c r="D9358" s="87"/>
      <c r="E9358" s="87"/>
      <c r="F9358" s="87"/>
      <c r="G9358" s="87"/>
    </row>
    <row r="9359">
      <c r="A9359" s="86" t="str">
        <f>IFERROR(__xludf.DUMMYFUNCTION("""COMPUTED_VALUE"""),"")</f>
        <v/>
      </c>
      <c r="B9359" s="87"/>
      <c r="C9359" s="87"/>
      <c r="D9359" s="87"/>
      <c r="E9359" s="87"/>
      <c r="F9359" s="87"/>
      <c r="G9359" s="87"/>
    </row>
    <row r="9360">
      <c r="A9360" s="86" t="str">
        <f>IFERROR(__xludf.DUMMYFUNCTION("""COMPUTED_VALUE"""),"")</f>
        <v/>
      </c>
      <c r="B9360" s="87"/>
      <c r="C9360" s="87"/>
      <c r="D9360" s="87"/>
      <c r="E9360" s="87"/>
      <c r="F9360" s="87"/>
      <c r="G9360" s="87"/>
    </row>
    <row r="9361">
      <c r="A9361" s="86" t="str">
        <f>IFERROR(__xludf.DUMMYFUNCTION("""COMPUTED_VALUE"""),"")</f>
        <v/>
      </c>
      <c r="B9361" s="87"/>
      <c r="C9361" s="87"/>
      <c r="D9361" s="87"/>
      <c r="E9361" s="87"/>
      <c r="F9361" s="87"/>
      <c r="G9361" s="87"/>
    </row>
    <row r="9362">
      <c r="A9362" s="86" t="str">
        <f>IFERROR(__xludf.DUMMYFUNCTION("""COMPUTED_VALUE"""),"")</f>
        <v/>
      </c>
      <c r="B9362" s="87"/>
      <c r="C9362" s="87"/>
      <c r="D9362" s="87"/>
      <c r="E9362" s="87"/>
      <c r="F9362" s="87"/>
      <c r="G9362" s="87"/>
    </row>
    <row r="9363">
      <c r="A9363" s="86" t="str">
        <f>IFERROR(__xludf.DUMMYFUNCTION("""COMPUTED_VALUE"""),"")</f>
        <v/>
      </c>
      <c r="B9363" s="87"/>
      <c r="C9363" s="87"/>
      <c r="D9363" s="87"/>
      <c r="E9363" s="87"/>
      <c r="F9363" s="87"/>
      <c r="G9363" s="87"/>
    </row>
    <row r="9364">
      <c r="A9364" s="86" t="str">
        <f>IFERROR(__xludf.DUMMYFUNCTION("""COMPUTED_VALUE"""),"")</f>
        <v/>
      </c>
      <c r="B9364" s="87"/>
      <c r="C9364" s="87"/>
      <c r="D9364" s="87"/>
      <c r="E9364" s="87"/>
      <c r="F9364" s="87"/>
      <c r="G9364" s="87"/>
    </row>
    <row r="9365">
      <c r="A9365" s="86" t="str">
        <f>IFERROR(__xludf.DUMMYFUNCTION("""COMPUTED_VALUE"""),"")</f>
        <v/>
      </c>
      <c r="B9365" s="87"/>
      <c r="C9365" s="87"/>
      <c r="D9365" s="87"/>
      <c r="E9365" s="87"/>
      <c r="F9365" s="87"/>
      <c r="G9365" s="87"/>
    </row>
    <row r="9366">
      <c r="A9366" s="86" t="str">
        <f>IFERROR(__xludf.DUMMYFUNCTION("""COMPUTED_VALUE"""),"")</f>
        <v/>
      </c>
      <c r="B9366" s="87"/>
      <c r="C9366" s="87"/>
      <c r="D9366" s="87"/>
      <c r="E9366" s="87"/>
      <c r="F9366" s="87"/>
      <c r="G9366" s="87"/>
    </row>
    <row r="9367">
      <c r="A9367" s="86" t="str">
        <f>IFERROR(__xludf.DUMMYFUNCTION("""COMPUTED_VALUE"""),"")</f>
        <v/>
      </c>
      <c r="B9367" s="87"/>
      <c r="C9367" s="87"/>
      <c r="D9367" s="87"/>
      <c r="E9367" s="87"/>
      <c r="F9367" s="87"/>
      <c r="G9367" s="87"/>
    </row>
    <row r="9368">
      <c r="A9368" s="86" t="str">
        <f>IFERROR(__xludf.DUMMYFUNCTION("""COMPUTED_VALUE"""),"")</f>
        <v/>
      </c>
      <c r="B9368" s="87"/>
      <c r="C9368" s="87"/>
      <c r="D9368" s="87"/>
      <c r="E9368" s="87"/>
      <c r="F9368" s="87"/>
      <c r="G9368" s="87"/>
    </row>
    <row r="9369">
      <c r="A9369" s="86" t="str">
        <f>IFERROR(__xludf.DUMMYFUNCTION("""COMPUTED_VALUE"""),"")</f>
        <v/>
      </c>
      <c r="B9369" s="87"/>
      <c r="C9369" s="87"/>
      <c r="D9369" s="87"/>
      <c r="E9369" s="87"/>
      <c r="F9369" s="87"/>
      <c r="G9369" s="87"/>
    </row>
    <row r="9370">
      <c r="A9370" s="86" t="str">
        <f>IFERROR(__xludf.DUMMYFUNCTION("""COMPUTED_VALUE"""),"")</f>
        <v/>
      </c>
      <c r="B9370" s="87"/>
      <c r="C9370" s="87"/>
      <c r="D9370" s="87"/>
      <c r="E9370" s="87"/>
      <c r="F9370" s="87"/>
      <c r="G9370" s="87"/>
    </row>
    <row r="9371">
      <c r="A9371" s="86" t="str">
        <f>IFERROR(__xludf.DUMMYFUNCTION("""COMPUTED_VALUE"""),"")</f>
        <v/>
      </c>
      <c r="B9371" s="87"/>
      <c r="C9371" s="87"/>
      <c r="D9371" s="87"/>
      <c r="E9371" s="87"/>
      <c r="F9371" s="87"/>
      <c r="G9371" s="87"/>
    </row>
    <row r="9372">
      <c r="A9372" s="86" t="str">
        <f>IFERROR(__xludf.DUMMYFUNCTION("""COMPUTED_VALUE"""),"")</f>
        <v/>
      </c>
      <c r="B9372" s="87"/>
      <c r="C9372" s="87"/>
      <c r="D9372" s="87"/>
      <c r="E9372" s="87"/>
      <c r="F9372" s="87"/>
      <c r="G9372" s="87"/>
    </row>
    <row r="9373">
      <c r="A9373" s="86" t="str">
        <f>IFERROR(__xludf.DUMMYFUNCTION("""COMPUTED_VALUE"""),"")</f>
        <v/>
      </c>
      <c r="B9373" s="87"/>
      <c r="C9373" s="87"/>
      <c r="D9373" s="87"/>
      <c r="E9373" s="87"/>
      <c r="F9373" s="87"/>
      <c r="G9373" s="87"/>
    </row>
    <row r="9374">
      <c r="A9374" s="86" t="str">
        <f>IFERROR(__xludf.DUMMYFUNCTION("""COMPUTED_VALUE"""),"")</f>
        <v/>
      </c>
      <c r="B9374" s="87"/>
      <c r="C9374" s="87"/>
      <c r="D9374" s="87"/>
      <c r="E9374" s="87"/>
      <c r="F9374" s="87"/>
      <c r="G9374" s="87"/>
    </row>
    <row r="9375">
      <c r="A9375" s="86" t="str">
        <f>IFERROR(__xludf.DUMMYFUNCTION("""COMPUTED_VALUE"""),"")</f>
        <v/>
      </c>
      <c r="B9375" s="87"/>
      <c r="C9375" s="87"/>
      <c r="D9375" s="87"/>
      <c r="E9375" s="87"/>
      <c r="F9375" s="87"/>
      <c r="G9375" s="87"/>
    </row>
    <row r="9376">
      <c r="A9376" s="86" t="str">
        <f>IFERROR(__xludf.DUMMYFUNCTION("""COMPUTED_VALUE"""),"")</f>
        <v/>
      </c>
      <c r="B9376" s="87"/>
      <c r="C9376" s="87"/>
      <c r="D9376" s="87"/>
      <c r="E9376" s="87"/>
      <c r="F9376" s="87"/>
      <c r="G9376" s="87"/>
    </row>
    <row r="9377">
      <c r="A9377" s="86" t="str">
        <f>IFERROR(__xludf.DUMMYFUNCTION("""COMPUTED_VALUE"""),"")</f>
        <v/>
      </c>
      <c r="B9377" s="87"/>
      <c r="C9377" s="87"/>
      <c r="D9377" s="87"/>
      <c r="E9377" s="87"/>
      <c r="F9377" s="87"/>
      <c r="G9377" s="87"/>
    </row>
    <row r="9378">
      <c r="A9378" s="86" t="str">
        <f>IFERROR(__xludf.DUMMYFUNCTION("""COMPUTED_VALUE"""),"")</f>
        <v/>
      </c>
      <c r="B9378" s="87"/>
      <c r="C9378" s="87"/>
      <c r="D9378" s="87"/>
      <c r="E9378" s="87"/>
      <c r="F9378" s="87"/>
      <c r="G9378" s="87"/>
    </row>
    <row r="9379">
      <c r="A9379" s="86" t="str">
        <f>IFERROR(__xludf.DUMMYFUNCTION("""COMPUTED_VALUE"""),"")</f>
        <v/>
      </c>
      <c r="B9379" s="87"/>
      <c r="C9379" s="87"/>
      <c r="D9379" s="87"/>
      <c r="E9379" s="87"/>
      <c r="F9379" s="87"/>
      <c r="G9379" s="87"/>
    </row>
    <row r="9380">
      <c r="A9380" s="86" t="str">
        <f>IFERROR(__xludf.DUMMYFUNCTION("""COMPUTED_VALUE"""),"")</f>
        <v/>
      </c>
      <c r="B9380" s="87"/>
      <c r="C9380" s="87"/>
      <c r="D9380" s="87"/>
      <c r="E9380" s="87"/>
      <c r="F9380" s="87"/>
      <c r="G9380" s="87"/>
    </row>
    <row r="9381">
      <c r="A9381" s="86" t="str">
        <f>IFERROR(__xludf.DUMMYFUNCTION("""COMPUTED_VALUE"""),"")</f>
        <v/>
      </c>
      <c r="B9381" s="87"/>
      <c r="C9381" s="87"/>
      <c r="D9381" s="87"/>
      <c r="E9381" s="87"/>
      <c r="F9381" s="87"/>
      <c r="G9381" s="87"/>
    </row>
    <row r="9382">
      <c r="A9382" s="86" t="str">
        <f>IFERROR(__xludf.DUMMYFUNCTION("""COMPUTED_VALUE"""),"")</f>
        <v/>
      </c>
      <c r="B9382" s="87"/>
      <c r="C9382" s="87"/>
      <c r="D9382" s="87"/>
      <c r="E9382" s="87"/>
      <c r="F9382" s="87"/>
      <c r="G9382" s="87"/>
    </row>
    <row r="9383">
      <c r="A9383" s="86" t="str">
        <f>IFERROR(__xludf.DUMMYFUNCTION("""COMPUTED_VALUE"""),"")</f>
        <v/>
      </c>
      <c r="B9383" s="87"/>
      <c r="C9383" s="87"/>
      <c r="D9383" s="87"/>
      <c r="E9383" s="87"/>
      <c r="F9383" s="87"/>
      <c r="G9383" s="87"/>
    </row>
    <row r="9384">
      <c r="A9384" s="86" t="str">
        <f>IFERROR(__xludf.DUMMYFUNCTION("""COMPUTED_VALUE"""),"")</f>
        <v/>
      </c>
      <c r="B9384" s="87"/>
      <c r="C9384" s="87"/>
      <c r="D9384" s="87"/>
      <c r="E9384" s="87"/>
      <c r="F9384" s="87"/>
      <c r="G9384" s="87"/>
    </row>
    <row r="9385">
      <c r="A9385" s="86" t="str">
        <f>IFERROR(__xludf.DUMMYFUNCTION("""COMPUTED_VALUE"""),"")</f>
        <v/>
      </c>
      <c r="B9385" s="87"/>
      <c r="C9385" s="87"/>
      <c r="D9385" s="87"/>
      <c r="E9385" s="87"/>
      <c r="F9385" s="87"/>
      <c r="G9385" s="87"/>
    </row>
    <row r="9386">
      <c r="A9386" s="86" t="str">
        <f>IFERROR(__xludf.DUMMYFUNCTION("""COMPUTED_VALUE"""),"")</f>
        <v/>
      </c>
      <c r="B9386" s="87"/>
      <c r="C9386" s="87"/>
      <c r="D9386" s="87"/>
      <c r="E9386" s="87"/>
      <c r="F9386" s="87"/>
      <c r="G9386" s="87"/>
    </row>
    <row r="9387">
      <c r="A9387" s="86" t="str">
        <f>IFERROR(__xludf.DUMMYFUNCTION("""COMPUTED_VALUE"""),"")</f>
        <v/>
      </c>
      <c r="B9387" s="87"/>
      <c r="C9387" s="87"/>
      <c r="D9387" s="87"/>
      <c r="E9387" s="87"/>
      <c r="F9387" s="87"/>
      <c r="G9387" s="87"/>
    </row>
    <row r="9388">
      <c r="A9388" s="86" t="str">
        <f>IFERROR(__xludf.DUMMYFUNCTION("""COMPUTED_VALUE"""),"")</f>
        <v/>
      </c>
      <c r="B9388" s="87"/>
      <c r="C9388" s="87"/>
      <c r="D9388" s="87"/>
      <c r="E9388" s="87"/>
      <c r="F9388" s="87"/>
      <c r="G9388" s="87"/>
    </row>
    <row r="9389">
      <c r="A9389" s="86" t="str">
        <f>IFERROR(__xludf.DUMMYFUNCTION("""COMPUTED_VALUE"""),"")</f>
        <v/>
      </c>
      <c r="B9389" s="87"/>
      <c r="C9389" s="87"/>
      <c r="D9389" s="87"/>
      <c r="E9389" s="87"/>
      <c r="F9389" s="87"/>
      <c r="G9389" s="87"/>
    </row>
    <row r="9390">
      <c r="A9390" s="86" t="str">
        <f>IFERROR(__xludf.DUMMYFUNCTION("""COMPUTED_VALUE"""),"")</f>
        <v/>
      </c>
      <c r="B9390" s="87"/>
      <c r="C9390" s="87"/>
      <c r="D9390" s="87"/>
      <c r="E9390" s="87"/>
      <c r="F9390" s="87"/>
      <c r="G9390" s="87"/>
    </row>
    <row r="9391">
      <c r="A9391" s="86" t="str">
        <f>IFERROR(__xludf.DUMMYFUNCTION("""COMPUTED_VALUE"""),"")</f>
        <v/>
      </c>
      <c r="B9391" s="87"/>
      <c r="C9391" s="87"/>
      <c r="D9391" s="87"/>
      <c r="E9391" s="87"/>
      <c r="F9391" s="87"/>
      <c r="G9391" s="87"/>
    </row>
    <row r="9392">
      <c r="A9392" s="86" t="str">
        <f>IFERROR(__xludf.DUMMYFUNCTION("""COMPUTED_VALUE"""),"")</f>
        <v/>
      </c>
      <c r="B9392" s="87"/>
      <c r="C9392" s="87"/>
      <c r="D9392" s="87"/>
      <c r="E9392" s="87"/>
      <c r="F9392" s="87"/>
      <c r="G9392" s="87"/>
    </row>
    <row r="9393">
      <c r="A9393" s="86" t="str">
        <f>IFERROR(__xludf.DUMMYFUNCTION("""COMPUTED_VALUE"""),"")</f>
        <v/>
      </c>
      <c r="B9393" s="87"/>
      <c r="C9393" s="87"/>
      <c r="D9393" s="87"/>
      <c r="E9393" s="87"/>
      <c r="F9393" s="87"/>
      <c r="G9393" s="87"/>
    </row>
    <row r="9394">
      <c r="A9394" s="86" t="str">
        <f>IFERROR(__xludf.DUMMYFUNCTION("""COMPUTED_VALUE"""),"")</f>
        <v/>
      </c>
      <c r="B9394" s="87"/>
      <c r="C9394" s="87"/>
      <c r="D9394" s="87"/>
      <c r="E9394" s="87"/>
      <c r="F9394" s="87"/>
      <c r="G9394" s="87"/>
    </row>
    <row r="9395">
      <c r="A9395" s="86" t="str">
        <f>IFERROR(__xludf.DUMMYFUNCTION("""COMPUTED_VALUE"""),"")</f>
        <v/>
      </c>
      <c r="B9395" s="87"/>
      <c r="C9395" s="87"/>
      <c r="D9395" s="87"/>
      <c r="E9395" s="87"/>
      <c r="F9395" s="87"/>
      <c r="G9395" s="87"/>
    </row>
    <row r="9396">
      <c r="A9396" s="86" t="str">
        <f>IFERROR(__xludf.DUMMYFUNCTION("""COMPUTED_VALUE"""),"")</f>
        <v/>
      </c>
      <c r="B9396" s="87"/>
      <c r="C9396" s="87"/>
      <c r="D9396" s="87"/>
      <c r="E9396" s="87"/>
      <c r="F9396" s="87"/>
      <c r="G9396" s="87"/>
    </row>
    <row r="9397">
      <c r="A9397" s="86" t="str">
        <f>IFERROR(__xludf.DUMMYFUNCTION("""COMPUTED_VALUE"""),"")</f>
        <v/>
      </c>
      <c r="B9397" s="87"/>
      <c r="C9397" s="87"/>
      <c r="D9397" s="87"/>
      <c r="E9397" s="87"/>
      <c r="F9397" s="87"/>
      <c r="G9397" s="87"/>
    </row>
    <row r="9398">
      <c r="A9398" s="86" t="str">
        <f>IFERROR(__xludf.DUMMYFUNCTION("""COMPUTED_VALUE"""),"")</f>
        <v/>
      </c>
      <c r="B9398" s="87"/>
      <c r="C9398" s="87"/>
      <c r="D9398" s="87"/>
      <c r="E9398" s="87"/>
      <c r="F9398" s="87"/>
      <c r="G9398" s="87"/>
    </row>
    <row r="9399">
      <c r="A9399" s="86" t="str">
        <f>IFERROR(__xludf.DUMMYFUNCTION("""COMPUTED_VALUE"""),"")</f>
        <v/>
      </c>
      <c r="B9399" s="87"/>
      <c r="C9399" s="87"/>
      <c r="D9399" s="87"/>
      <c r="E9399" s="87"/>
      <c r="F9399" s="87"/>
      <c r="G9399" s="87"/>
    </row>
    <row r="9400">
      <c r="A9400" s="86" t="str">
        <f>IFERROR(__xludf.DUMMYFUNCTION("""COMPUTED_VALUE"""),"")</f>
        <v/>
      </c>
      <c r="B9400" s="87"/>
      <c r="C9400" s="87"/>
      <c r="D9400" s="87"/>
      <c r="E9400" s="87"/>
      <c r="F9400" s="87"/>
      <c r="G9400" s="87"/>
    </row>
    <row r="9401">
      <c r="A9401" s="86" t="str">
        <f>IFERROR(__xludf.DUMMYFUNCTION("""COMPUTED_VALUE"""),"")</f>
        <v/>
      </c>
      <c r="B9401" s="87"/>
      <c r="C9401" s="87"/>
      <c r="D9401" s="87"/>
      <c r="E9401" s="87"/>
      <c r="F9401" s="87"/>
      <c r="G9401" s="87"/>
    </row>
    <row r="9402">
      <c r="A9402" s="86" t="str">
        <f>IFERROR(__xludf.DUMMYFUNCTION("""COMPUTED_VALUE"""),"")</f>
        <v/>
      </c>
      <c r="B9402" s="87"/>
      <c r="C9402" s="87"/>
      <c r="D9402" s="87"/>
      <c r="E9402" s="87"/>
      <c r="F9402" s="87"/>
      <c r="G9402" s="87"/>
    </row>
    <row r="9403">
      <c r="A9403" s="86" t="str">
        <f>IFERROR(__xludf.DUMMYFUNCTION("""COMPUTED_VALUE"""),"")</f>
        <v/>
      </c>
      <c r="B9403" s="87"/>
      <c r="C9403" s="87"/>
      <c r="D9403" s="87"/>
      <c r="E9403" s="87"/>
      <c r="F9403" s="87"/>
      <c r="G9403" s="87"/>
    </row>
    <row r="9404">
      <c r="A9404" s="86" t="str">
        <f>IFERROR(__xludf.DUMMYFUNCTION("""COMPUTED_VALUE"""),"")</f>
        <v/>
      </c>
      <c r="B9404" s="87"/>
      <c r="C9404" s="87"/>
      <c r="D9404" s="87"/>
      <c r="E9404" s="87"/>
      <c r="F9404" s="87"/>
      <c r="G9404" s="87"/>
    </row>
    <row r="9405">
      <c r="A9405" s="86" t="str">
        <f>IFERROR(__xludf.DUMMYFUNCTION("""COMPUTED_VALUE"""),"")</f>
        <v/>
      </c>
      <c r="B9405" s="87"/>
      <c r="C9405" s="87"/>
      <c r="D9405" s="87"/>
      <c r="E9405" s="87"/>
      <c r="F9405" s="87"/>
      <c r="G9405" s="87"/>
    </row>
    <row r="9406">
      <c r="A9406" s="86" t="str">
        <f>IFERROR(__xludf.DUMMYFUNCTION("""COMPUTED_VALUE"""),"")</f>
        <v/>
      </c>
      <c r="B9406" s="87"/>
      <c r="C9406" s="87"/>
      <c r="D9406" s="87"/>
      <c r="E9406" s="87"/>
      <c r="F9406" s="87"/>
      <c r="G9406" s="87"/>
    </row>
    <row r="9407">
      <c r="A9407" s="86" t="str">
        <f>IFERROR(__xludf.DUMMYFUNCTION("""COMPUTED_VALUE"""),"")</f>
        <v/>
      </c>
      <c r="B9407" s="87"/>
      <c r="C9407" s="87"/>
      <c r="D9407" s="87"/>
      <c r="E9407" s="87"/>
      <c r="F9407" s="87"/>
      <c r="G9407" s="87"/>
    </row>
    <row r="9408">
      <c r="A9408" s="86" t="str">
        <f>IFERROR(__xludf.DUMMYFUNCTION("""COMPUTED_VALUE"""),"")</f>
        <v/>
      </c>
      <c r="B9408" s="87"/>
      <c r="C9408" s="87"/>
      <c r="D9408" s="87"/>
      <c r="E9408" s="87"/>
      <c r="F9408" s="87"/>
      <c r="G9408" s="87"/>
    </row>
    <row r="9409">
      <c r="A9409" s="86" t="str">
        <f>IFERROR(__xludf.DUMMYFUNCTION("""COMPUTED_VALUE"""),"")</f>
        <v/>
      </c>
      <c r="B9409" s="87"/>
      <c r="C9409" s="87"/>
      <c r="D9409" s="87"/>
      <c r="E9409" s="87"/>
      <c r="F9409" s="87"/>
      <c r="G9409" s="87"/>
    </row>
    <row r="9410">
      <c r="A9410" s="86" t="str">
        <f>IFERROR(__xludf.DUMMYFUNCTION("""COMPUTED_VALUE"""),"")</f>
        <v/>
      </c>
      <c r="B9410" s="87"/>
      <c r="C9410" s="87"/>
      <c r="D9410" s="87"/>
      <c r="E9410" s="87"/>
      <c r="F9410" s="87"/>
      <c r="G9410" s="87"/>
    </row>
    <row r="9411">
      <c r="A9411" s="86" t="str">
        <f>IFERROR(__xludf.DUMMYFUNCTION("""COMPUTED_VALUE"""),"")</f>
        <v/>
      </c>
      <c r="B9411" s="87"/>
      <c r="C9411" s="87"/>
      <c r="D9411" s="87"/>
      <c r="E9411" s="87"/>
      <c r="F9411" s="87"/>
      <c r="G9411" s="87"/>
    </row>
    <row r="9412">
      <c r="A9412" s="86" t="str">
        <f>IFERROR(__xludf.DUMMYFUNCTION("""COMPUTED_VALUE"""),"")</f>
        <v/>
      </c>
      <c r="B9412" s="87"/>
      <c r="C9412" s="87"/>
      <c r="D9412" s="87"/>
      <c r="E9412" s="87"/>
      <c r="F9412" s="87"/>
      <c r="G9412" s="87"/>
    </row>
    <row r="9413">
      <c r="A9413" s="86" t="str">
        <f>IFERROR(__xludf.DUMMYFUNCTION("""COMPUTED_VALUE"""),"")</f>
        <v/>
      </c>
      <c r="B9413" s="87"/>
      <c r="C9413" s="87"/>
      <c r="D9413" s="87"/>
      <c r="E9413" s="87"/>
      <c r="F9413" s="87"/>
      <c r="G9413" s="87"/>
    </row>
    <row r="9414">
      <c r="A9414" s="86" t="str">
        <f>IFERROR(__xludf.DUMMYFUNCTION("""COMPUTED_VALUE"""),"")</f>
        <v/>
      </c>
      <c r="B9414" s="87"/>
      <c r="C9414" s="87"/>
      <c r="D9414" s="87"/>
      <c r="E9414" s="87"/>
      <c r="F9414" s="87"/>
      <c r="G9414" s="87"/>
    </row>
    <row r="9415">
      <c r="A9415" s="86" t="str">
        <f>IFERROR(__xludf.DUMMYFUNCTION("""COMPUTED_VALUE"""),"")</f>
        <v/>
      </c>
      <c r="B9415" s="87"/>
      <c r="C9415" s="87"/>
      <c r="D9415" s="87"/>
      <c r="E9415" s="87"/>
      <c r="F9415" s="87"/>
      <c r="G9415" s="87"/>
    </row>
    <row r="9416">
      <c r="A9416" s="86" t="str">
        <f>IFERROR(__xludf.DUMMYFUNCTION("""COMPUTED_VALUE"""),"")</f>
        <v/>
      </c>
      <c r="B9416" s="87"/>
      <c r="C9416" s="87"/>
      <c r="D9416" s="87"/>
      <c r="E9416" s="87"/>
      <c r="F9416" s="87"/>
      <c r="G9416" s="87"/>
    </row>
    <row r="9417">
      <c r="A9417" s="86" t="str">
        <f>IFERROR(__xludf.DUMMYFUNCTION("""COMPUTED_VALUE"""),"")</f>
        <v/>
      </c>
      <c r="B9417" s="87"/>
      <c r="C9417" s="87"/>
      <c r="D9417" s="87"/>
      <c r="E9417" s="87"/>
      <c r="F9417" s="87"/>
      <c r="G9417" s="87"/>
    </row>
    <row r="9418">
      <c r="A9418" s="86" t="str">
        <f>IFERROR(__xludf.DUMMYFUNCTION("""COMPUTED_VALUE"""),"")</f>
        <v/>
      </c>
      <c r="B9418" s="87"/>
      <c r="C9418" s="87"/>
      <c r="D9418" s="87"/>
      <c r="E9418" s="87"/>
      <c r="F9418" s="87"/>
      <c r="G9418" s="87"/>
    </row>
    <row r="9419">
      <c r="A9419" s="86" t="str">
        <f>IFERROR(__xludf.DUMMYFUNCTION("""COMPUTED_VALUE"""),"")</f>
        <v/>
      </c>
      <c r="B9419" s="87"/>
      <c r="C9419" s="87"/>
      <c r="D9419" s="87"/>
      <c r="E9419" s="87"/>
      <c r="F9419" s="87"/>
      <c r="G9419" s="87"/>
    </row>
    <row r="9420">
      <c r="A9420" s="86" t="str">
        <f>IFERROR(__xludf.DUMMYFUNCTION("""COMPUTED_VALUE"""),"")</f>
        <v/>
      </c>
      <c r="B9420" s="87"/>
      <c r="C9420" s="87"/>
      <c r="D9420" s="87"/>
      <c r="E9420" s="87"/>
      <c r="F9420" s="87"/>
      <c r="G9420" s="87"/>
    </row>
    <row r="9421">
      <c r="A9421" s="86" t="str">
        <f>IFERROR(__xludf.DUMMYFUNCTION("""COMPUTED_VALUE"""),"")</f>
        <v/>
      </c>
      <c r="B9421" s="87"/>
      <c r="C9421" s="87"/>
      <c r="D9421" s="87"/>
      <c r="E9421" s="87"/>
      <c r="F9421" s="87"/>
      <c r="G9421" s="87"/>
    </row>
    <row r="9422">
      <c r="A9422" s="86" t="str">
        <f>IFERROR(__xludf.DUMMYFUNCTION("""COMPUTED_VALUE"""),"")</f>
        <v/>
      </c>
      <c r="B9422" s="87"/>
      <c r="C9422" s="87"/>
      <c r="D9422" s="87"/>
      <c r="E9422" s="87"/>
      <c r="F9422" s="87"/>
      <c r="G9422" s="87"/>
    </row>
    <row r="9423">
      <c r="A9423" s="86" t="str">
        <f>IFERROR(__xludf.DUMMYFUNCTION("""COMPUTED_VALUE"""),"")</f>
        <v/>
      </c>
      <c r="B9423" s="87"/>
      <c r="C9423" s="87"/>
      <c r="D9423" s="87"/>
      <c r="E9423" s="87"/>
      <c r="F9423" s="87"/>
      <c r="G9423" s="87"/>
    </row>
    <row r="9424">
      <c r="A9424" s="86" t="str">
        <f>IFERROR(__xludf.DUMMYFUNCTION("""COMPUTED_VALUE"""),"")</f>
        <v/>
      </c>
      <c r="B9424" s="87"/>
      <c r="C9424" s="87"/>
      <c r="D9424" s="87"/>
      <c r="E9424" s="87"/>
      <c r="F9424" s="87"/>
      <c r="G9424" s="87"/>
    </row>
    <row r="9425">
      <c r="A9425" s="86" t="str">
        <f>IFERROR(__xludf.DUMMYFUNCTION("""COMPUTED_VALUE"""),"")</f>
        <v/>
      </c>
      <c r="B9425" s="87"/>
      <c r="C9425" s="87"/>
      <c r="D9425" s="87"/>
      <c r="E9425" s="87"/>
      <c r="F9425" s="87"/>
      <c r="G9425" s="87"/>
    </row>
    <row r="9426">
      <c r="A9426" s="86" t="str">
        <f>IFERROR(__xludf.DUMMYFUNCTION("""COMPUTED_VALUE"""),"")</f>
        <v/>
      </c>
      <c r="B9426" s="87"/>
      <c r="C9426" s="87"/>
      <c r="D9426" s="87"/>
      <c r="E9426" s="87"/>
      <c r="F9426" s="87"/>
      <c r="G9426" s="87"/>
    </row>
    <row r="9427">
      <c r="A9427" s="86" t="str">
        <f>IFERROR(__xludf.DUMMYFUNCTION("""COMPUTED_VALUE"""),"")</f>
        <v/>
      </c>
      <c r="B9427" s="87"/>
      <c r="C9427" s="87"/>
      <c r="D9427" s="87"/>
      <c r="E9427" s="87"/>
      <c r="F9427" s="87"/>
      <c r="G9427" s="87"/>
    </row>
    <row r="9428">
      <c r="A9428" s="86" t="str">
        <f>IFERROR(__xludf.DUMMYFUNCTION("""COMPUTED_VALUE"""),"")</f>
        <v/>
      </c>
      <c r="B9428" s="87"/>
      <c r="C9428" s="87"/>
      <c r="D9428" s="87"/>
      <c r="E9428" s="87"/>
      <c r="F9428" s="87"/>
      <c r="G9428" s="87"/>
    </row>
    <row r="9429">
      <c r="A9429" s="86" t="str">
        <f>IFERROR(__xludf.DUMMYFUNCTION("""COMPUTED_VALUE"""),"")</f>
        <v/>
      </c>
      <c r="B9429" s="87"/>
      <c r="C9429" s="87"/>
      <c r="D9429" s="87"/>
      <c r="E9429" s="87"/>
      <c r="F9429" s="87"/>
      <c r="G9429" s="87"/>
    </row>
    <row r="9430">
      <c r="A9430" s="86" t="str">
        <f>IFERROR(__xludf.DUMMYFUNCTION("""COMPUTED_VALUE"""),"")</f>
        <v/>
      </c>
      <c r="B9430" s="87"/>
      <c r="C9430" s="87"/>
      <c r="D9430" s="87"/>
      <c r="E9430" s="87"/>
      <c r="F9430" s="87"/>
      <c r="G9430" s="87"/>
    </row>
    <row r="9431">
      <c r="A9431" s="86" t="str">
        <f>IFERROR(__xludf.DUMMYFUNCTION("""COMPUTED_VALUE"""),"")</f>
        <v/>
      </c>
      <c r="B9431" s="87"/>
      <c r="C9431" s="87"/>
      <c r="D9431" s="87"/>
      <c r="E9431" s="87"/>
      <c r="F9431" s="87"/>
      <c r="G9431" s="87"/>
    </row>
    <row r="9432">
      <c r="A9432" s="86" t="str">
        <f>IFERROR(__xludf.DUMMYFUNCTION("""COMPUTED_VALUE"""),"")</f>
        <v/>
      </c>
      <c r="B9432" s="87"/>
      <c r="C9432" s="87"/>
      <c r="D9432" s="87"/>
      <c r="E9432" s="87"/>
      <c r="F9432" s="87"/>
      <c r="G9432" s="87"/>
    </row>
    <row r="9433">
      <c r="A9433" s="86" t="str">
        <f>IFERROR(__xludf.DUMMYFUNCTION("""COMPUTED_VALUE"""),"")</f>
        <v/>
      </c>
      <c r="B9433" s="87"/>
      <c r="C9433" s="87"/>
      <c r="D9433" s="87"/>
      <c r="E9433" s="87"/>
      <c r="F9433" s="87"/>
      <c r="G9433" s="87"/>
    </row>
    <row r="9434">
      <c r="A9434" s="86" t="str">
        <f>IFERROR(__xludf.DUMMYFUNCTION("""COMPUTED_VALUE"""),"")</f>
        <v/>
      </c>
      <c r="B9434" s="87"/>
      <c r="C9434" s="87"/>
      <c r="D9434" s="87"/>
      <c r="E9434" s="87"/>
      <c r="F9434" s="87"/>
      <c r="G9434" s="87"/>
    </row>
    <row r="9435">
      <c r="A9435" s="86" t="str">
        <f>IFERROR(__xludf.DUMMYFUNCTION("""COMPUTED_VALUE"""),"")</f>
        <v/>
      </c>
      <c r="B9435" s="87"/>
      <c r="C9435" s="87"/>
      <c r="D9435" s="87"/>
      <c r="E9435" s="87"/>
      <c r="F9435" s="87"/>
      <c r="G9435" s="87"/>
    </row>
    <row r="9436">
      <c r="A9436" s="86" t="str">
        <f>IFERROR(__xludf.DUMMYFUNCTION("""COMPUTED_VALUE"""),"")</f>
        <v/>
      </c>
      <c r="B9436" s="87"/>
      <c r="C9436" s="87"/>
      <c r="D9436" s="87"/>
      <c r="E9436" s="87"/>
      <c r="F9436" s="87"/>
      <c r="G9436" s="87"/>
    </row>
    <row r="9437">
      <c r="A9437" s="86" t="str">
        <f>IFERROR(__xludf.DUMMYFUNCTION("""COMPUTED_VALUE"""),"")</f>
        <v/>
      </c>
      <c r="B9437" s="87"/>
      <c r="C9437" s="87"/>
      <c r="D9437" s="87"/>
      <c r="E9437" s="87"/>
      <c r="F9437" s="87"/>
      <c r="G9437" s="87"/>
    </row>
    <row r="9438">
      <c r="A9438" s="86" t="str">
        <f>IFERROR(__xludf.DUMMYFUNCTION("""COMPUTED_VALUE"""),"")</f>
        <v/>
      </c>
      <c r="B9438" s="87"/>
      <c r="C9438" s="87"/>
      <c r="D9438" s="87"/>
      <c r="E9438" s="87"/>
      <c r="F9438" s="87"/>
      <c r="G9438" s="87"/>
    </row>
    <row r="9439">
      <c r="A9439" s="86" t="str">
        <f>IFERROR(__xludf.DUMMYFUNCTION("""COMPUTED_VALUE"""),"")</f>
        <v/>
      </c>
      <c r="B9439" s="87"/>
      <c r="C9439" s="87"/>
      <c r="D9439" s="87"/>
      <c r="E9439" s="87"/>
      <c r="F9439" s="87"/>
      <c r="G9439" s="87"/>
    </row>
    <row r="9440">
      <c r="A9440" s="86" t="str">
        <f>IFERROR(__xludf.DUMMYFUNCTION("""COMPUTED_VALUE"""),"")</f>
        <v/>
      </c>
      <c r="B9440" s="87"/>
      <c r="C9440" s="87"/>
      <c r="D9440" s="87"/>
      <c r="E9440" s="87"/>
      <c r="F9440" s="87"/>
      <c r="G9440" s="87"/>
    </row>
    <row r="9441">
      <c r="A9441" s="86" t="str">
        <f>IFERROR(__xludf.DUMMYFUNCTION("""COMPUTED_VALUE"""),"")</f>
        <v/>
      </c>
      <c r="B9441" s="87"/>
      <c r="C9441" s="87"/>
      <c r="D9441" s="87"/>
      <c r="E9441" s="87"/>
      <c r="F9441" s="87"/>
      <c r="G9441" s="87"/>
    </row>
    <row r="9442">
      <c r="A9442" s="86" t="str">
        <f>IFERROR(__xludf.DUMMYFUNCTION("""COMPUTED_VALUE"""),"")</f>
        <v/>
      </c>
      <c r="B9442" s="87"/>
      <c r="C9442" s="87"/>
      <c r="D9442" s="87"/>
      <c r="E9442" s="87"/>
      <c r="F9442" s="87"/>
      <c r="G9442" s="87"/>
    </row>
    <row r="9443">
      <c r="A9443" s="86" t="str">
        <f>IFERROR(__xludf.DUMMYFUNCTION("""COMPUTED_VALUE"""),"")</f>
        <v/>
      </c>
      <c r="B9443" s="87"/>
      <c r="C9443" s="87"/>
      <c r="D9443" s="87"/>
      <c r="E9443" s="87"/>
      <c r="F9443" s="87"/>
      <c r="G9443" s="87"/>
    </row>
    <row r="9444">
      <c r="A9444" s="86" t="str">
        <f>IFERROR(__xludf.DUMMYFUNCTION("""COMPUTED_VALUE"""),"")</f>
        <v/>
      </c>
      <c r="B9444" s="87"/>
      <c r="C9444" s="87"/>
      <c r="D9444" s="87"/>
      <c r="E9444" s="87"/>
      <c r="F9444" s="87"/>
      <c r="G9444" s="87"/>
    </row>
    <row r="9445">
      <c r="A9445" s="86" t="str">
        <f>IFERROR(__xludf.DUMMYFUNCTION("""COMPUTED_VALUE"""),"")</f>
        <v/>
      </c>
      <c r="B9445" s="87"/>
      <c r="C9445" s="87"/>
      <c r="D9445" s="87"/>
      <c r="E9445" s="87"/>
      <c r="F9445" s="87"/>
      <c r="G9445" s="87"/>
    </row>
    <row r="9446">
      <c r="A9446" s="86" t="str">
        <f>IFERROR(__xludf.DUMMYFUNCTION("""COMPUTED_VALUE"""),"")</f>
        <v/>
      </c>
      <c r="B9446" s="87"/>
      <c r="C9446" s="87"/>
      <c r="D9446" s="87"/>
      <c r="E9446" s="87"/>
      <c r="F9446" s="87"/>
      <c r="G9446" s="87"/>
    </row>
    <row r="9447">
      <c r="A9447" s="86" t="str">
        <f>IFERROR(__xludf.DUMMYFUNCTION("""COMPUTED_VALUE"""),"")</f>
        <v/>
      </c>
      <c r="B9447" s="87"/>
      <c r="C9447" s="87"/>
      <c r="D9447" s="87"/>
      <c r="E9447" s="87"/>
      <c r="F9447" s="87"/>
      <c r="G9447" s="87"/>
    </row>
    <row r="9448">
      <c r="A9448" s="86" t="str">
        <f>IFERROR(__xludf.DUMMYFUNCTION("""COMPUTED_VALUE"""),"")</f>
        <v/>
      </c>
      <c r="B9448" s="87"/>
      <c r="C9448" s="87"/>
      <c r="D9448" s="87"/>
      <c r="E9448" s="87"/>
      <c r="F9448" s="87"/>
      <c r="G9448" s="87"/>
    </row>
    <row r="9449">
      <c r="A9449" s="86" t="str">
        <f>IFERROR(__xludf.DUMMYFUNCTION("""COMPUTED_VALUE"""),"")</f>
        <v/>
      </c>
      <c r="B9449" s="87"/>
      <c r="C9449" s="87"/>
      <c r="D9449" s="87"/>
      <c r="E9449" s="87"/>
      <c r="F9449" s="87"/>
      <c r="G9449" s="87"/>
    </row>
    <row r="9450">
      <c r="A9450" s="86" t="str">
        <f>IFERROR(__xludf.DUMMYFUNCTION("""COMPUTED_VALUE"""),"")</f>
        <v/>
      </c>
      <c r="B9450" s="87"/>
      <c r="C9450" s="87"/>
      <c r="D9450" s="87"/>
      <c r="E9450" s="87"/>
      <c r="F9450" s="87"/>
      <c r="G9450" s="87"/>
    </row>
    <row r="9451">
      <c r="A9451" s="86" t="str">
        <f>IFERROR(__xludf.DUMMYFUNCTION("""COMPUTED_VALUE"""),"")</f>
        <v/>
      </c>
      <c r="B9451" s="87"/>
      <c r="C9451" s="87"/>
      <c r="D9451" s="87"/>
      <c r="E9451" s="87"/>
      <c r="F9451" s="87"/>
      <c r="G9451" s="87"/>
    </row>
    <row r="9452">
      <c r="A9452" s="86" t="str">
        <f>IFERROR(__xludf.DUMMYFUNCTION("""COMPUTED_VALUE"""),"")</f>
        <v/>
      </c>
      <c r="B9452" s="87"/>
      <c r="C9452" s="87"/>
      <c r="D9452" s="87"/>
      <c r="E9452" s="87"/>
      <c r="F9452" s="87"/>
      <c r="G9452" s="87"/>
    </row>
    <row r="9453">
      <c r="A9453" s="86" t="str">
        <f>IFERROR(__xludf.DUMMYFUNCTION("""COMPUTED_VALUE"""),"")</f>
        <v/>
      </c>
      <c r="B9453" s="87"/>
      <c r="C9453" s="87"/>
      <c r="D9453" s="87"/>
      <c r="E9453" s="87"/>
      <c r="F9453" s="87"/>
      <c r="G9453" s="87"/>
    </row>
    <row r="9454">
      <c r="A9454" s="86" t="str">
        <f>IFERROR(__xludf.DUMMYFUNCTION("""COMPUTED_VALUE"""),"")</f>
        <v/>
      </c>
      <c r="B9454" s="87"/>
      <c r="C9454" s="87"/>
      <c r="D9454" s="87"/>
      <c r="E9454" s="87"/>
      <c r="F9454" s="87"/>
      <c r="G9454" s="87"/>
    </row>
    <row r="9455">
      <c r="A9455" s="86" t="str">
        <f>IFERROR(__xludf.DUMMYFUNCTION("""COMPUTED_VALUE"""),"")</f>
        <v/>
      </c>
      <c r="B9455" s="87"/>
      <c r="C9455" s="87"/>
      <c r="D9455" s="87"/>
      <c r="E9455" s="87"/>
      <c r="F9455" s="87"/>
      <c r="G9455" s="87"/>
    </row>
    <row r="9456">
      <c r="A9456" s="86" t="str">
        <f>IFERROR(__xludf.DUMMYFUNCTION("""COMPUTED_VALUE"""),"")</f>
        <v/>
      </c>
      <c r="B9456" s="87"/>
      <c r="C9456" s="87"/>
      <c r="D9456" s="87"/>
      <c r="E9456" s="87"/>
      <c r="F9456" s="87"/>
      <c r="G9456" s="87"/>
    </row>
    <row r="9457">
      <c r="A9457" s="86" t="str">
        <f>IFERROR(__xludf.DUMMYFUNCTION("""COMPUTED_VALUE"""),"")</f>
        <v/>
      </c>
      <c r="B9457" s="87"/>
      <c r="C9457" s="87"/>
      <c r="D9457" s="87"/>
      <c r="E9457" s="87"/>
      <c r="F9457" s="87"/>
      <c r="G9457" s="87"/>
    </row>
    <row r="9458">
      <c r="A9458" s="86" t="str">
        <f>IFERROR(__xludf.DUMMYFUNCTION("""COMPUTED_VALUE"""),"")</f>
        <v/>
      </c>
      <c r="B9458" s="87"/>
      <c r="C9458" s="87"/>
      <c r="D9458" s="87"/>
      <c r="E9458" s="87"/>
      <c r="F9458" s="87"/>
      <c r="G9458" s="87"/>
    </row>
    <row r="9459">
      <c r="A9459" s="86" t="str">
        <f>IFERROR(__xludf.DUMMYFUNCTION("""COMPUTED_VALUE"""),"")</f>
        <v/>
      </c>
      <c r="B9459" s="87"/>
      <c r="C9459" s="87"/>
      <c r="D9459" s="87"/>
      <c r="E9459" s="87"/>
      <c r="F9459" s="87"/>
      <c r="G9459" s="87"/>
    </row>
    <row r="9460">
      <c r="A9460" s="86" t="str">
        <f>IFERROR(__xludf.DUMMYFUNCTION("""COMPUTED_VALUE"""),"")</f>
        <v/>
      </c>
      <c r="B9460" s="87"/>
      <c r="C9460" s="87"/>
      <c r="D9460" s="87"/>
      <c r="E9460" s="87"/>
      <c r="F9460" s="87"/>
      <c r="G9460" s="87"/>
    </row>
    <row r="9461">
      <c r="A9461" s="86" t="str">
        <f>IFERROR(__xludf.DUMMYFUNCTION("""COMPUTED_VALUE"""),"")</f>
        <v/>
      </c>
      <c r="B9461" s="87"/>
      <c r="C9461" s="87"/>
      <c r="D9461" s="87"/>
      <c r="E9461" s="87"/>
      <c r="F9461" s="87"/>
      <c r="G9461" s="87"/>
    </row>
    <row r="9462">
      <c r="A9462" s="86" t="str">
        <f>IFERROR(__xludf.DUMMYFUNCTION("""COMPUTED_VALUE"""),"")</f>
        <v/>
      </c>
      <c r="B9462" s="87"/>
      <c r="C9462" s="87"/>
      <c r="D9462" s="87"/>
      <c r="E9462" s="87"/>
      <c r="F9462" s="87"/>
      <c r="G9462" s="87"/>
    </row>
    <row r="9463">
      <c r="A9463" s="86" t="str">
        <f>IFERROR(__xludf.DUMMYFUNCTION("""COMPUTED_VALUE"""),"")</f>
        <v/>
      </c>
      <c r="B9463" s="87"/>
      <c r="C9463" s="87"/>
      <c r="D9463" s="87"/>
      <c r="E9463" s="87"/>
      <c r="F9463" s="87"/>
      <c r="G9463" s="87"/>
    </row>
    <row r="9464">
      <c r="A9464" s="86" t="str">
        <f>IFERROR(__xludf.DUMMYFUNCTION("""COMPUTED_VALUE"""),"")</f>
        <v/>
      </c>
      <c r="B9464" s="87"/>
      <c r="C9464" s="87"/>
      <c r="D9464" s="87"/>
      <c r="E9464" s="87"/>
      <c r="F9464" s="87"/>
      <c r="G9464" s="87"/>
    </row>
    <row r="9465">
      <c r="A9465" s="86" t="str">
        <f>IFERROR(__xludf.DUMMYFUNCTION("""COMPUTED_VALUE"""),"")</f>
        <v/>
      </c>
      <c r="B9465" s="87"/>
      <c r="C9465" s="87"/>
      <c r="D9465" s="87"/>
      <c r="E9465" s="87"/>
      <c r="F9465" s="87"/>
      <c r="G9465" s="87"/>
    </row>
    <row r="9466">
      <c r="A9466" s="86" t="str">
        <f>IFERROR(__xludf.DUMMYFUNCTION("""COMPUTED_VALUE"""),"")</f>
        <v/>
      </c>
      <c r="B9466" s="87"/>
      <c r="C9466" s="87"/>
      <c r="D9466" s="87"/>
      <c r="E9466" s="87"/>
      <c r="F9466" s="87"/>
      <c r="G9466" s="87"/>
    </row>
    <row r="9467">
      <c r="A9467" s="86" t="str">
        <f>IFERROR(__xludf.DUMMYFUNCTION("""COMPUTED_VALUE"""),"")</f>
        <v/>
      </c>
      <c r="B9467" s="87"/>
      <c r="C9467" s="87"/>
      <c r="D9467" s="87"/>
      <c r="E9467" s="87"/>
      <c r="F9467" s="87"/>
      <c r="G9467" s="87"/>
    </row>
    <row r="9468">
      <c r="A9468" s="86" t="str">
        <f>IFERROR(__xludf.DUMMYFUNCTION("""COMPUTED_VALUE"""),"")</f>
        <v/>
      </c>
      <c r="B9468" s="87"/>
      <c r="C9468" s="87"/>
      <c r="D9468" s="87"/>
      <c r="E9468" s="87"/>
      <c r="F9468" s="87"/>
      <c r="G9468" s="87"/>
    </row>
    <row r="9469">
      <c r="A9469" s="86" t="str">
        <f>IFERROR(__xludf.DUMMYFUNCTION("""COMPUTED_VALUE"""),"")</f>
        <v/>
      </c>
      <c r="B9469" s="87"/>
      <c r="C9469" s="87"/>
      <c r="D9469" s="87"/>
      <c r="E9469" s="87"/>
      <c r="F9469" s="87"/>
      <c r="G9469" s="87"/>
    </row>
    <row r="9470">
      <c r="A9470" s="86" t="str">
        <f>IFERROR(__xludf.DUMMYFUNCTION("""COMPUTED_VALUE"""),"")</f>
        <v/>
      </c>
      <c r="B9470" s="87"/>
      <c r="C9470" s="87"/>
      <c r="D9470" s="87"/>
      <c r="E9470" s="87"/>
      <c r="F9470" s="87"/>
      <c r="G9470" s="87"/>
    </row>
    <row r="9471">
      <c r="A9471" s="86" t="str">
        <f>IFERROR(__xludf.DUMMYFUNCTION("""COMPUTED_VALUE"""),"")</f>
        <v/>
      </c>
      <c r="B9471" s="87"/>
      <c r="C9471" s="87"/>
      <c r="D9471" s="87"/>
      <c r="E9471" s="87"/>
      <c r="F9471" s="87"/>
      <c r="G9471" s="87"/>
    </row>
    <row r="9472">
      <c r="A9472" s="86" t="str">
        <f>IFERROR(__xludf.DUMMYFUNCTION("""COMPUTED_VALUE"""),"")</f>
        <v/>
      </c>
      <c r="B9472" s="87"/>
      <c r="C9472" s="87"/>
      <c r="D9472" s="87"/>
      <c r="E9472" s="87"/>
      <c r="F9472" s="87"/>
      <c r="G9472" s="87"/>
    </row>
    <row r="9473">
      <c r="A9473" s="86" t="str">
        <f>IFERROR(__xludf.DUMMYFUNCTION("""COMPUTED_VALUE"""),"")</f>
        <v/>
      </c>
      <c r="B9473" s="87"/>
      <c r="C9473" s="87"/>
      <c r="D9473" s="87"/>
      <c r="E9473" s="87"/>
      <c r="F9473" s="87"/>
      <c r="G9473" s="87"/>
    </row>
    <row r="9474">
      <c r="A9474" s="86" t="str">
        <f>IFERROR(__xludf.DUMMYFUNCTION("""COMPUTED_VALUE"""),"")</f>
        <v/>
      </c>
      <c r="B9474" s="87"/>
      <c r="C9474" s="87"/>
      <c r="D9474" s="87"/>
      <c r="E9474" s="87"/>
      <c r="F9474" s="87"/>
      <c r="G9474" s="87"/>
    </row>
    <row r="9475">
      <c r="A9475" s="86" t="str">
        <f>IFERROR(__xludf.DUMMYFUNCTION("""COMPUTED_VALUE"""),"")</f>
        <v/>
      </c>
      <c r="B9475" s="87"/>
      <c r="C9475" s="87"/>
      <c r="D9475" s="87"/>
      <c r="E9475" s="87"/>
      <c r="F9475" s="87"/>
      <c r="G9475" s="87"/>
    </row>
    <row r="9476">
      <c r="A9476" s="86" t="str">
        <f>IFERROR(__xludf.DUMMYFUNCTION("""COMPUTED_VALUE"""),"")</f>
        <v/>
      </c>
      <c r="B9476" s="87"/>
      <c r="C9476" s="87"/>
      <c r="D9476" s="87"/>
      <c r="E9476" s="87"/>
      <c r="F9476" s="87"/>
      <c r="G9476" s="87"/>
    </row>
    <row r="9477">
      <c r="A9477" s="86" t="str">
        <f>IFERROR(__xludf.DUMMYFUNCTION("""COMPUTED_VALUE"""),"")</f>
        <v/>
      </c>
      <c r="B9477" s="87"/>
      <c r="C9477" s="87"/>
      <c r="D9477" s="87"/>
      <c r="E9477" s="87"/>
      <c r="F9477" s="87"/>
      <c r="G9477" s="87"/>
    </row>
    <row r="9478">
      <c r="A9478" s="86" t="str">
        <f>IFERROR(__xludf.DUMMYFUNCTION("""COMPUTED_VALUE"""),"")</f>
        <v/>
      </c>
      <c r="B9478" s="87"/>
      <c r="C9478" s="87"/>
      <c r="D9478" s="87"/>
      <c r="E9478" s="87"/>
      <c r="F9478" s="87"/>
      <c r="G9478" s="87"/>
    </row>
    <row r="9479">
      <c r="A9479" s="86" t="str">
        <f>IFERROR(__xludf.DUMMYFUNCTION("""COMPUTED_VALUE"""),"")</f>
        <v/>
      </c>
      <c r="B9479" s="87"/>
      <c r="C9479" s="87"/>
      <c r="D9479" s="87"/>
      <c r="E9479" s="87"/>
      <c r="F9479" s="87"/>
      <c r="G9479" s="87"/>
    </row>
    <row r="9480">
      <c r="A9480" s="86" t="str">
        <f>IFERROR(__xludf.DUMMYFUNCTION("""COMPUTED_VALUE"""),"")</f>
        <v/>
      </c>
      <c r="B9480" s="87"/>
      <c r="C9480" s="87"/>
      <c r="D9480" s="87"/>
      <c r="E9480" s="87"/>
      <c r="F9480" s="87"/>
      <c r="G9480" s="87"/>
    </row>
    <row r="9481">
      <c r="A9481" s="86" t="str">
        <f>IFERROR(__xludf.DUMMYFUNCTION("""COMPUTED_VALUE"""),"")</f>
        <v/>
      </c>
      <c r="B9481" s="87"/>
      <c r="C9481" s="87"/>
      <c r="D9481" s="87"/>
      <c r="E9481" s="87"/>
      <c r="F9481" s="87"/>
      <c r="G9481" s="87"/>
    </row>
    <row r="9482">
      <c r="A9482" s="86" t="str">
        <f>IFERROR(__xludf.DUMMYFUNCTION("""COMPUTED_VALUE"""),"")</f>
        <v/>
      </c>
      <c r="B9482" s="87"/>
      <c r="C9482" s="87"/>
      <c r="D9482" s="87"/>
      <c r="E9482" s="87"/>
      <c r="F9482" s="87"/>
      <c r="G9482" s="87"/>
    </row>
    <row r="9483">
      <c r="A9483" s="86" t="str">
        <f>IFERROR(__xludf.DUMMYFUNCTION("""COMPUTED_VALUE"""),"")</f>
        <v/>
      </c>
      <c r="B9483" s="87"/>
      <c r="C9483" s="87"/>
      <c r="D9483" s="87"/>
      <c r="E9483" s="87"/>
      <c r="F9483" s="87"/>
      <c r="G9483" s="87"/>
    </row>
    <row r="9484">
      <c r="A9484" s="86" t="str">
        <f>IFERROR(__xludf.DUMMYFUNCTION("""COMPUTED_VALUE"""),"")</f>
        <v/>
      </c>
      <c r="B9484" s="87"/>
      <c r="C9484" s="87"/>
      <c r="D9484" s="87"/>
      <c r="E9484" s="87"/>
      <c r="F9484" s="87"/>
      <c r="G9484" s="87"/>
    </row>
    <row r="9485">
      <c r="A9485" s="86" t="str">
        <f>IFERROR(__xludf.DUMMYFUNCTION("""COMPUTED_VALUE"""),"")</f>
        <v/>
      </c>
      <c r="B9485" s="87"/>
      <c r="C9485" s="87"/>
      <c r="D9485" s="87"/>
      <c r="E9485" s="87"/>
      <c r="F9485" s="87"/>
      <c r="G9485" s="87"/>
    </row>
    <row r="9486">
      <c r="A9486" s="86" t="str">
        <f>IFERROR(__xludf.DUMMYFUNCTION("""COMPUTED_VALUE"""),"")</f>
        <v/>
      </c>
      <c r="B9486" s="87"/>
      <c r="C9486" s="87"/>
      <c r="D9486" s="87"/>
      <c r="E9486" s="87"/>
      <c r="F9486" s="87"/>
      <c r="G9486" s="87"/>
    </row>
    <row r="9487">
      <c r="A9487" s="86" t="str">
        <f>IFERROR(__xludf.DUMMYFUNCTION("""COMPUTED_VALUE"""),"")</f>
        <v/>
      </c>
      <c r="B9487" s="87"/>
      <c r="C9487" s="87"/>
      <c r="D9487" s="87"/>
      <c r="E9487" s="87"/>
      <c r="F9487" s="87"/>
      <c r="G9487" s="87"/>
    </row>
    <row r="9488">
      <c r="A9488" s="86" t="str">
        <f>IFERROR(__xludf.DUMMYFUNCTION("""COMPUTED_VALUE"""),"")</f>
        <v/>
      </c>
      <c r="B9488" s="87"/>
      <c r="C9488" s="87"/>
      <c r="D9488" s="87"/>
      <c r="E9488" s="87"/>
      <c r="F9488" s="87"/>
      <c r="G9488" s="87"/>
    </row>
    <row r="9489">
      <c r="A9489" s="86" t="str">
        <f>IFERROR(__xludf.DUMMYFUNCTION("""COMPUTED_VALUE"""),"")</f>
        <v/>
      </c>
      <c r="B9489" s="87"/>
      <c r="C9489" s="87"/>
      <c r="D9489" s="87"/>
      <c r="E9489" s="87"/>
      <c r="F9489" s="87"/>
      <c r="G9489" s="87"/>
    </row>
    <row r="9490">
      <c r="A9490" s="86" t="str">
        <f>IFERROR(__xludf.DUMMYFUNCTION("""COMPUTED_VALUE"""),"")</f>
        <v/>
      </c>
      <c r="B9490" s="87"/>
      <c r="C9490" s="87"/>
      <c r="D9490" s="87"/>
      <c r="E9490" s="87"/>
      <c r="F9490" s="87"/>
      <c r="G9490" s="87"/>
    </row>
    <row r="9491">
      <c r="A9491" s="86" t="str">
        <f>IFERROR(__xludf.DUMMYFUNCTION("""COMPUTED_VALUE"""),"")</f>
        <v/>
      </c>
      <c r="B9491" s="87"/>
      <c r="C9491" s="87"/>
      <c r="D9491" s="87"/>
      <c r="E9491" s="87"/>
      <c r="F9491" s="87"/>
      <c r="G9491" s="87"/>
    </row>
    <row r="9492">
      <c r="A9492" s="86" t="str">
        <f>IFERROR(__xludf.DUMMYFUNCTION("""COMPUTED_VALUE"""),"")</f>
        <v/>
      </c>
      <c r="B9492" s="87"/>
      <c r="C9492" s="87"/>
      <c r="D9492" s="87"/>
      <c r="E9492" s="87"/>
      <c r="F9492" s="87"/>
      <c r="G9492" s="87"/>
    </row>
    <row r="9493">
      <c r="A9493" s="86" t="str">
        <f>IFERROR(__xludf.DUMMYFUNCTION("""COMPUTED_VALUE"""),"")</f>
        <v/>
      </c>
      <c r="B9493" s="87"/>
      <c r="C9493" s="87"/>
      <c r="D9493" s="87"/>
      <c r="E9493" s="87"/>
      <c r="F9493" s="87"/>
      <c r="G9493" s="87"/>
    </row>
    <row r="9494">
      <c r="A9494" s="86" t="str">
        <f>IFERROR(__xludf.DUMMYFUNCTION("""COMPUTED_VALUE"""),"")</f>
        <v/>
      </c>
      <c r="B9494" s="87"/>
      <c r="C9494" s="87"/>
      <c r="D9494" s="87"/>
      <c r="E9494" s="87"/>
      <c r="F9494" s="87"/>
      <c r="G9494" s="87"/>
    </row>
    <row r="9495">
      <c r="A9495" s="86" t="str">
        <f>IFERROR(__xludf.DUMMYFUNCTION("""COMPUTED_VALUE"""),"")</f>
        <v/>
      </c>
      <c r="B9495" s="87"/>
      <c r="C9495" s="87"/>
      <c r="D9495" s="87"/>
      <c r="E9495" s="87"/>
      <c r="F9495" s="87"/>
      <c r="G9495" s="87"/>
    </row>
    <row r="9496">
      <c r="A9496" s="86" t="str">
        <f>IFERROR(__xludf.DUMMYFUNCTION("""COMPUTED_VALUE"""),"")</f>
        <v/>
      </c>
      <c r="B9496" s="87"/>
      <c r="C9496" s="87"/>
      <c r="D9496" s="87"/>
      <c r="E9496" s="87"/>
      <c r="F9496" s="87"/>
      <c r="G9496" s="87"/>
    </row>
    <row r="9497">
      <c r="A9497" s="86" t="str">
        <f>IFERROR(__xludf.DUMMYFUNCTION("""COMPUTED_VALUE"""),"")</f>
        <v/>
      </c>
      <c r="B9497" s="87"/>
      <c r="C9497" s="87"/>
      <c r="D9497" s="87"/>
      <c r="E9497" s="87"/>
      <c r="F9497" s="87"/>
      <c r="G9497" s="87"/>
    </row>
    <row r="9498">
      <c r="A9498" s="86" t="str">
        <f>IFERROR(__xludf.DUMMYFUNCTION("""COMPUTED_VALUE"""),"")</f>
        <v/>
      </c>
      <c r="B9498" s="87"/>
      <c r="C9498" s="87"/>
      <c r="D9498" s="87"/>
      <c r="E9498" s="87"/>
      <c r="F9498" s="87"/>
      <c r="G9498" s="87"/>
    </row>
    <row r="9499">
      <c r="A9499" s="86" t="str">
        <f>IFERROR(__xludf.DUMMYFUNCTION("""COMPUTED_VALUE"""),"")</f>
        <v/>
      </c>
      <c r="B9499" s="87"/>
      <c r="C9499" s="87"/>
      <c r="D9499" s="87"/>
      <c r="E9499" s="87"/>
      <c r="F9499" s="87"/>
      <c r="G9499" s="87"/>
    </row>
    <row r="9500">
      <c r="A9500" s="86" t="str">
        <f>IFERROR(__xludf.DUMMYFUNCTION("""COMPUTED_VALUE"""),"")</f>
        <v/>
      </c>
      <c r="B9500" s="87"/>
      <c r="C9500" s="87"/>
      <c r="D9500" s="87"/>
      <c r="E9500" s="87"/>
      <c r="F9500" s="87"/>
      <c r="G9500" s="87"/>
    </row>
    <row r="9501">
      <c r="A9501" s="86" t="str">
        <f>IFERROR(__xludf.DUMMYFUNCTION("""COMPUTED_VALUE"""),"")</f>
        <v/>
      </c>
      <c r="B9501" s="87"/>
      <c r="C9501" s="87"/>
      <c r="D9501" s="87"/>
      <c r="E9501" s="87"/>
      <c r="F9501" s="87"/>
      <c r="G9501" s="87"/>
    </row>
    <row r="9502">
      <c r="A9502" s="86" t="str">
        <f>IFERROR(__xludf.DUMMYFUNCTION("""COMPUTED_VALUE"""),"")</f>
        <v/>
      </c>
      <c r="B9502" s="87"/>
      <c r="C9502" s="87"/>
      <c r="D9502" s="87"/>
      <c r="E9502" s="87"/>
      <c r="F9502" s="87"/>
      <c r="G9502" s="87"/>
    </row>
    <row r="9503">
      <c r="A9503" s="86" t="str">
        <f>IFERROR(__xludf.DUMMYFUNCTION("""COMPUTED_VALUE"""),"")</f>
        <v/>
      </c>
      <c r="B9503" s="87"/>
      <c r="C9503" s="87"/>
      <c r="D9503" s="87"/>
      <c r="E9503" s="87"/>
      <c r="F9503" s="87"/>
      <c r="G9503" s="87"/>
    </row>
    <row r="9504">
      <c r="A9504" s="86" t="str">
        <f>IFERROR(__xludf.DUMMYFUNCTION("""COMPUTED_VALUE"""),"")</f>
        <v/>
      </c>
      <c r="B9504" s="87"/>
      <c r="C9504" s="87"/>
      <c r="D9504" s="87"/>
      <c r="E9504" s="87"/>
      <c r="F9504" s="87"/>
      <c r="G9504" s="87"/>
    </row>
    <row r="9505">
      <c r="A9505" s="86" t="str">
        <f>IFERROR(__xludf.DUMMYFUNCTION("""COMPUTED_VALUE"""),"")</f>
        <v/>
      </c>
      <c r="B9505" s="87"/>
      <c r="C9505" s="87"/>
      <c r="D9505" s="87"/>
      <c r="E9505" s="87"/>
      <c r="F9505" s="87"/>
      <c r="G9505" s="87"/>
    </row>
    <row r="9506">
      <c r="A9506" s="86" t="str">
        <f>IFERROR(__xludf.DUMMYFUNCTION("""COMPUTED_VALUE"""),"")</f>
        <v/>
      </c>
      <c r="B9506" s="87"/>
      <c r="C9506" s="87"/>
      <c r="D9506" s="87"/>
      <c r="E9506" s="87"/>
      <c r="F9506" s="87"/>
      <c r="G9506" s="87"/>
    </row>
    <row r="9507">
      <c r="A9507" s="86" t="str">
        <f>IFERROR(__xludf.DUMMYFUNCTION("""COMPUTED_VALUE"""),"")</f>
        <v/>
      </c>
      <c r="B9507" s="87"/>
      <c r="C9507" s="87"/>
      <c r="D9507" s="87"/>
      <c r="E9507" s="87"/>
      <c r="F9507" s="87"/>
      <c r="G9507" s="87"/>
    </row>
    <row r="9508">
      <c r="A9508" s="86" t="str">
        <f>IFERROR(__xludf.DUMMYFUNCTION("""COMPUTED_VALUE"""),"")</f>
        <v/>
      </c>
      <c r="B9508" s="87"/>
      <c r="C9508" s="87"/>
      <c r="D9508" s="87"/>
      <c r="E9508" s="87"/>
      <c r="F9508" s="87"/>
      <c r="G9508" s="87"/>
    </row>
    <row r="9509">
      <c r="A9509" s="86" t="str">
        <f>IFERROR(__xludf.DUMMYFUNCTION("""COMPUTED_VALUE"""),"")</f>
        <v/>
      </c>
      <c r="B9509" s="87"/>
      <c r="C9509" s="87"/>
      <c r="D9509" s="87"/>
      <c r="E9509" s="87"/>
      <c r="F9509" s="87"/>
      <c r="G9509" s="87"/>
    </row>
    <row r="9510">
      <c r="A9510" s="86" t="str">
        <f>IFERROR(__xludf.DUMMYFUNCTION("""COMPUTED_VALUE"""),"")</f>
        <v/>
      </c>
      <c r="B9510" s="87"/>
      <c r="C9510" s="87"/>
      <c r="D9510" s="87"/>
      <c r="E9510" s="87"/>
      <c r="F9510" s="87"/>
      <c r="G9510" s="87"/>
    </row>
    <row r="9511">
      <c r="A9511" s="86" t="str">
        <f>IFERROR(__xludf.DUMMYFUNCTION("""COMPUTED_VALUE"""),"")</f>
        <v/>
      </c>
      <c r="B9511" s="87"/>
      <c r="C9511" s="87"/>
      <c r="D9511" s="87"/>
      <c r="E9511" s="87"/>
      <c r="F9511" s="87"/>
      <c r="G9511" s="87"/>
    </row>
    <row r="9512">
      <c r="A9512" s="86" t="str">
        <f>IFERROR(__xludf.DUMMYFUNCTION("""COMPUTED_VALUE"""),"")</f>
        <v/>
      </c>
      <c r="B9512" s="87"/>
      <c r="C9512" s="87"/>
      <c r="D9512" s="87"/>
      <c r="E9512" s="87"/>
      <c r="F9512" s="87"/>
      <c r="G9512" s="87"/>
    </row>
    <row r="9513">
      <c r="A9513" s="86" t="str">
        <f>IFERROR(__xludf.DUMMYFUNCTION("""COMPUTED_VALUE"""),"")</f>
        <v/>
      </c>
      <c r="B9513" s="87"/>
      <c r="C9513" s="87"/>
      <c r="D9513" s="87"/>
      <c r="E9513" s="87"/>
      <c r="F9513" s="87"/>
      <c r="G9513" s="87"/>
    </row>
    <row r="9514">
      <c r="A9514" s="86" t="str">
        <f>IFERROR(__xludf.DUMMYFUNCTION("""COMPUTED_VALUE"""),"")</f>
        <v/>
      </c>
      <c r="B9514" s="87"/>
      <c r="C9514" s="87"/>
      <c r="D9514" s="87"/>
      <c r="E9514" s="87"/>
      <c r="F9514" s="87"/>
      <c r="G9514" s="87"/>
    </row>
    <row r="9515">
      <c r="A9515" s="86" t="str">
        <f>IFERROR(__xludf.DUMMYFUNCTION("""COMPUTED_VALUE"""),"")</f>
        <v/>
      </c>
      <c r="B9515" s="87"/>
      <c r="C9515" s="87"/>
      <c r="D9515" s="87"/>
      <c r="E9515" s="87"/>
      <c r="F9515" s="87"/>
      <c r="G9515" s="87"/>
    </row>
    <row r="9516">
      <c r="A9516" s="86" t="str">
        <f>IFERROR(__xludf.DUMMYFUNCTION("""COMPUTED_VALUE"""),"")</f>
        <v/>
      </c>
      <c r="B9516" s="87"/>
      <c r="C9516" s="87"/>
      <c r="D9516" s="87"/>
      <c r="E9516" s="87"/>
      <c r="F9516" s="87"/>
      <c r="G9516" s="87"/>
    </row>
    <row r="9517">
      <c r="A9517" s="86" t="str">
        <f>IFERROR(__xludf.DUMMYFUNCTION("""COMPUTED_VALUE"""),"")</f>
        <v/>
      </c>
      <c r="B9517" s="87"/>
      <c r="C9517" s="87"/>
      <c r="D9517" s="87"/>
      <c r="E9517" s="87"/>
      <c r="F9517" s="87"/>
      <c r="G9517" s="87"/>
    </row>
    <row r="9518">
      <c r="A9518" s="86" t="str">
        <f>IFERROR(__xludf.DUMMYFUNCTION("""COMPUTED_VALUE"""),"")</f>
        <v/>
      </c>
      <c r="B9518" s="87"/>
      <c r="C9518" s="87"/>
      <c r="D9518" s="87"/>
      <c r="E9518" s="87"/>
      <c r="F9518" s="87"/>
      <c r="G9518" s="87"/>
    </row>
    <row r="9519">
      <c r="A9519" s="86" t="str">
        <f>IFERROR(__xludf.DUMMYFUNCTION("""COMPUTED_VALUE"""),"")</f>
        <v/>
      </c>
      <c r="B9519" s="87"/>
      <c r="C9519" s="87"/>
      <c r="D9519" s="87"/>
      <c r="E9519" s="87"/>
      <c r="F9519" s="87"/>
      <c r="G9519" s="87"/>
    </row>
    <row r="9520">
      <c r="A9520" s="86" t="str">
        <f>IFERROR(__xludf.DUMMYFUNCTION("""COMPUTED_VALUE"""),"")</f>
        <v/>
      </c>
      <c r="B9520" s="87"/>
      <c r="C9520" s="87"/>
      <c r="D9520" s="87"/>
      <c r="E9520" s="87"/>
      <c r="F9520" s="87"/>
      <c r="G9520" s="87"/>
    </row>
    <row r="9521">
      <c r="A9521" s="86" t="str">
        <f>IFERROR(__xludf.DUMMYFUNCTION("""COMPUTED_VALUE"""),"")</f>
        <v/>
      </c>
      <c r="B9521" s="87"/>
      <c r="C9521" s="87"/>
      <c r="D9521" s="87"/>
      <c r="E9521" s="87"/>
      <c r="F9521" s="87"/>
      <c r="G9521" s="87"/>
    </row>
    <row r="9522">
      <c r="A9522" s="86" t="str">
        <f>IFERROR(__xludf.DUMMYFUNCTION("""COMPUTED_VALUE"""),"")</f>
        <v/>
      </c>
      <c r="B9522" s="87"/>
      <c r="C9522" s="87"/>
      <c r="D9522" s="87"/>
      <c r="E9522" s="87"/>
      <c r="F9522" s="87"/>
      <c r="G9522" s="87"/>
    </row>
    <row r="9523">
      <c r="A9523" s="86" t="str">
        <f>IFERROR(__xludf.DUMMYFUNCTION("""COMPUTED_VALUE"""),"")</f>
        <v/>
      </c>
      <c r="B9523" s="87"/>
      <c r="C9523" s="87"/>
      <c r="D9523" s="87"/>
      <c r="E9523" s="87"/>
      <c r="F9523" s="87"/>
      <c r="G9523" s="87"/>
    </row>
    <row r="9524">
      <c r="A9524" s="86" t="str">
        <f>IFERROR(__xludf.DUMMYFUNCTION("""COMPUTED_VALUE"""),"")</f>
        <v/>
      </c>
      <c r="B9524" s="87"/>
      <c r="C9524" s="87"/>
      <c r="D9524" s="87"/>
      <c r="E9524" s="87"/>
      <c r="F9524" s="87"/>
      <c r="G9524" s="87"/>
    </row>
    <row r="9525">
      <c r="A9525" s="86" t="str">
        <f>IFERROR(__xludf.DUMMYFUNCTION("""COMPUTED_VALUE"""),"")</f>
        <v/>
      </c>
      <c r="B9525" s="87"/>
      <c r="C9525" s="87"/>
      <c r="D9525" s="87"/>
      <c r="E9525" s="87"/>
      <c r="F9525" s="87"/>
      <c r="G9525" s="87"/>
    </row>
    <row r="9526">
      <c r="A9526" s="86" t="str">
        <f>IFERROR(__xludf.DUMMYFUNCTION("""COMPUTED_VALUE"""),"")</f>
        <v/>
      </c>
      <c r="B9526" s="87"/>
      <c r="C9526" s="87"/>
      <c r="D9526" s="87"/>
      <c r="E9526" s="87"/>
      <c r="F9526" s="87"/>
      <c r="G9526" s="87"/>
    </row>
    <row r="9527">
      <c r="A9527" s="86" t="str">
        <f>IFERROR(__xludf.DUMMYFUNCTION("""COMPUTED_VALUE"""),"")</f>
        <v/>
      </c>
      <c r="B9527" s="87"/>
      <c r="C9527" s="87"/>
      <c r="D9527" s="87"/>
      <c r="E9527" s="87"/>
      <c r="F9527" s="87"/>
      <c r="G9527" s="87"/>
    </row>
    <row r="9528">
      <c r="A9528" s="86" t="str">
        <f>IFERROR(__xludf.DUMMYFUNCTION("""COMPUTED_VALUE"""),"")</f>
        <v/>
      </c>
      <c r="B9528" s="87"/>
      <c r="C9528" s="87"/>
      <c r="D9528" s="87"/>
      <c r="E9528" s="87"/>
      <c r="F9528" s="87"/>
      <c r="G9528" s="87"/>
    </row>
    <row r="9529">
      <c r="A9529" s="86" t="str">
        <f>IFERROR(__xludf.DUMMYFUNCTION("""COMPUTED_VALUE"""),"")</f>
        <v/>
      </c>
      <c r="B9529" s="87"/>
      <c r="C9529" s="87"/>
      <c r="D9529" s="87"/>
      <c r="E9529" s="87"/>
      <c r="F9529" s="87"/>
      <c r="G9529" s="87"/>
    </row>
    <row r="9530">
      <c r="A9530" s="86" t="str">
        <f>IFERROR(__xludf.DUMMYFUNCTION("""COMPUTED_VALUE"""),"")</f>
        <v/>
      </c>
      <c r="B9530" s="87"/>
      <c r="C9530" s="87"/>
      <c r="D9530" s="87"/>
      <c r="E9530" s="87"/>
      <c r="F9530" s="87"/>
      <c r="G9530" s="87"/>
    </row>
    <row r="9531">
      <c r="A9531" s="86" t="str">
        <f>IFERROR(__xludf.DUMMYFUNCTION("""COMPUTED_VALUE"""),"")</f>
        <v/>
      </c>
      <c r="B9531" s="87"/>
      <c r="C9531" s="87"/>
      <c r="D9531" s="87"/>
      <c r="E9531" s="87"/>
      <c r="F9531" s="87"/>
      <c r="G9531" s="87"/>
    </row>
    <row r="9532">
      <c r="A9532" s="86" t="str">
        <f>IFERROR(__xludf.DUMMYFUNCTION("""COMPUTED_VALUE"""),"")</f>
        <v/>
      </c>
      <c r="B9532" s="87"/>
      <c r="C9532" s="87"/>
      <c r="D9532" s="87"/>
      <c r="E9532" s="87"/>
      <c r="F9532" s="87"/>
      <c r="G9532" s="87"/>
    </row>
    <row r="9533">
      <c r="A9533" s="86" t="str">
        <f>IFERROR(__xludf.DUMMYFUNCTION("""COMPUTED_VALUE"""),"")</f>
        <v/>
      </c>
      <c r="B9533" s="87"/>
      <c r="C9533" s="87"/>
      <c r="D9533" s="87"/>
      <c r="E9533" s="87"/>
      <c r="F9533" s="87"/>
      <c r="G9533" s="87"/>
    </row>
    <row r="9534">
      <c r="A9534" s="86" t="str">
        <f>IFERROR(__xludf.DUMMYFUNCTION("""COMPUTED_VALUE"""),"")</f>
        <v/>
      </c>
      <c r="B9534" s="87"/>
      <c r="C9534" s="87"/>
      <c r="D9534" s="87"/>
      <c r="E9534" s="87"/>
      <c r="F9534" s="87"/>
      <c r="G9534" s="87"/>
    </row>
    <row r="9535">
      <c r="A9535" s="86" t="str">
        <f>IFERROR(__xludf.DUMMYFUNCTION("""COMPUTED_VALUE"""),"")</f>
        <v/>
      </c>
      <c r="B9535" s="87"/>
      <c r="C9535" s="87"/>
      <c r="D9535" s="87"/>
      <c r="E9535" s="87"/>
      <c r="F9535" s="87"/>
      <c r="G9535" s="87"/>
    </row>
    <row r="9536">
      <c r="A9536" s="86" t="str">
        <f>IFERROR(__xludf.DUMMYFUNCTION("""COMPUTED_VALUE"""),"")</f>
        <v/>
      </c>
      <c r="B9536" s="87"/>
      <c r="C9536" s="87"/>
      <c r="D9536" s="87"/>
      <c r="E9536" s="87"/>
      <c r="F9536" s="87"/>
      <c r="G9536" s="87"/>
    </row>
    <row r="9537">
      <c r="A9537" s="86" t="str">
        <f>IFERROR(__xludf.DUMMYFUNCTION("""COMPUTED_VALUE"""),"")</f>
        <v/>
      </c>
      <c r="B9537" s="87"/>
      <c r="C9537" s="87"/>
      <c r="D9537" s="87"/>
      <c r="E9537" s="87"/>
      <c r="F9537" s="87"/>
      <c r="G9537" s="87"/>
    </row>
    <row r="9538">
      <c r="A9538" s="86" t="str">
        <f>IFERROR(__xludf.DUMMYFUNCTION("""COMPUTED_VALUE"""),"")</f>
        <v/>
      </c>
      <c r="B9538" s="87"/>
      <c r="C9538" s="87"/>
      <c r="D9538" s="87"/>
      <c r="E9538" s="87"/>
      <c r="F9538" s="87"/>
      <c r="G9538" s="87"/>
    </row>
    <row r="9539">
      <c r="A9539" s="86" t="str">
        <f>IFERROR(__xludf.DUMMYFUNCTION("""COMPUTED_VALUE"""),"")</f>
        <v/>
      </c>
      <c r="B9539" s="87"/>
      <c r="C9539" s="87"/>
      <c r="D9539" s="87"/>
      <c r="E9539" s="87"/>
      <c r="F9539" s="87"/>
      <c r="G9539" s="87"/>
    </row>
    <row r="9540">
      <c r="A9540" s="86" t="str">
        <f>IFERROR(__xludf.DUMMYFUNCTION("""COMPUTED_VALUE"""),"")</f>
        <v/>
      </c>
      <c r="B9540" s="87"/>
      <c r="C9540" s="87"/>
      <c r="D9540" s="87"/>
      <c r="E9540" s="87"/>
      <c r="F9540" s="87"/>
      <c r="G9540" s="87"/>
    </row>
    <row r="9541">
      <c r="A9541" s="86" t="str">
        <f>IFERROR(__xludf.DUMMYFUNCTION("""COMPUTED_VALUE"""),"")</f>
        <v/>
      </c>
      <c r="B9541" s="87"/>
      <c r="C9541" s="87"/>
      <c r="D9541" s="87"/>
      <c r="E9541" s="87"/>
      <c r="F9541" s="87"/>
      <c r="G9541" s="87"/>
    </row>
    <row r="9542">
      <c r="A9542" s="86" t="str">
        <f>IFERROR(__xludf.DUMMYFUNCTION("""COMPUTED_VALUE"""),"")</f>
        <v/>
      </c>
      <c r="B9542" s="87"/>
      <c r="C9542" s="87"/>
      <c r="D9542" s="87"/>
      <c r="E9542" s="87"/>
      <c r="F9542" s="87"/>
      <c r="G9542" s="87"/>
    </row>
    <row r="9543">
      <c r="A9543" s="86" t="str">
        <f>IFERROR(__xludf.DUMMYFUNCTION("""COMPUTED_VALUE"""),"")</f>
        <v/>
      </c>
      <c r="B9543" s="87"/>
      <c r="C9543" s="87"/>
      <c r="D9543" s="87"/>
      <c r="E9543" s="87"/>
      <c r="F9543" s="87"/>
      <c r="G9543" s="87"/>
    </row>
    <row r="9544">
      <c r="A9544" s="86" t="str">
        <f>IFERROR(__xludf.DUMMYFUNCTION("""COMPUTED_VALUE"""),"")</f>
        <v/>
      </c>
      <c r="B9544" s="87"/>
      <c r="C9544" s="87"/>
      <c r="D9544" s="87"/>
      <c r="E9544" s="87"/>
      <c r="F9544" s="87"/>
      <c r="G9544" s="87"/>
    </row>
    <row r="9545">
      <c r="A9545" s="86" t="str">
        <f>IFERROR(__xludf.DUMMYFUNCTION("""COMPUTED_VALUE"""),"")</f>
        <v/>
      </c>
      <c r="B9545" s="87"/>
      <c r="C9545" s="87"/>
      <c r="D9545" s="87"/>
      <c r="E9545" s="87"/>
      <c r="F9545" s="87"/>
      <c r="G9545" s="87"/>
    </row>
    <row r="9546">
      <c r="A9546" s="86" t="str">
        <f>IFERROR(__xludf.DUMMYFUNCTION("""COMPUTED_VALUE"""),"")</f>
        <v/>
      </c>
      <c r="B9546" s="87"/>
      <c r="C9546" s="87"/>
      <c r="D9546" s="87"/>
      <c r="E9546" s="87"/>
      <c r="F9546" s="87"/>
      <c r="G9546" s="87"/>
    </row>
    <row r="9547">
      <c r="A9547" s="86" t="str">
        <f>IFERROR(__xludf.DUMMYFUNCTION("""COMPUTED_VALUE"""),"")</f>
        <v/>
      </c>
      <c r="B9547" s="87"/>
      <c r="C9547" s="87"/>
      <c r="D9547" s="87"/>
      <c r="E9547" s="87"/>
      <c r="F9547" s="87"/>
      <c r="G9547" s="87"/>
    </row>
    <row r="9548">
      <c r="A9548" s="86" t="str">
        <f>IFERROR(__xludf.DUMMYFUNCTION("""COMPUTED_VALUE"""),"")</f>
        <v/>
      </c>
      <c r="B9548" s="87"/>
      <c r="C9548" s="87"/>
      <c r="D9548" s="87"/>
      <c r="E9548" s="87"/>
      <c r="F9548" s="87"/>
      <c r="G9548" s="87"/>
    </row>
    <row r="9549">
      <c r="A9549" s="86" t="str">
        <f>IFERROR(__xludf.DUMMYFUNCTION("""COMPUTED_VALUE"""),"")</f>
        <v/>
      </c>
      <c r="B9549" s="87"/>
      <c r="C9549" s="87"/>
      <c r="D9549" s="87"/>
      <c r="E9549" s="87"/>
      <c r="F9549" s="87"/>
      <c r="G9549" s="87"/>
    </row>
    <row r="9550">
      <c r="A9550" s="86" t="str">
        <f>IFERROR(__xludf.DUMMYFUNCTION("""COMPUTED_VALUE"""),"")</f>
        <v/>
      </c>
      <c r="B9550" s="87"/>
      <c r="C9550" s="87"/>
      <c r="D9550" s="87"/>
      <c r="E9550" s="87"/>
      <c r="F9550" s="87"/>
      <c r="G9550" s="87"/>
    </row>
    <row r="9551">
      <c r="A9551" s="86" t="str">
        <f>IFERROR(__xludf.DUMMYFUNCTION("""COMPUTED_VALUE"""),"")</f>
        <v/>
      </c>
      <c r="B9551" s="87"/>
      <c r="C9551" s="87"/>
      <c r="D9551" s="87"/>
      <c r="E9551" s="87"/>
      <c r="F9551" s="87"/>
      <c r="G9551" s="87"/>
    </row>
    <row r="9552">
      <c r="A9552" s="86" t="str">
        <f>IFERROR(__xludf.DUMMYFUNCTION("""COMPUTED_VALUE"""),"")</f>
        <v/>
      </c>
      <c r="B9552" s="87"/>
      <c r="C9552" s="87"/>
      <c r="D9552" s="87"/>
      <c r="E9552" s="87"/>
      <c r="F9552" s="87"/>
      <c r="G9552" s="87"/>
    </row>
    <row r="9553">
      <c r="A9553" s="86" t="str">
        <f>IFERROR(__xludf.DUMMYFUNCTION("""COMPUTED_VALUE"""),"")</f>
        <v/>
      </c>
      <c r="B9553" s="87"/>
      <c r="C9553" s="87"/>
      <c r="D9553" s="87"/>
      <c r="E9553" s="87"/>
      <c r="F9553" s="87"/>
      <c r="G9553" s="87"/>
    </row>
    <row r="9554">
      <c r="A9554" s="86" t="str">
        <f>IFERROR(__xludf.DUMMYFUNCTION("""COMPUTED_VALUE"""),"")</f>
        <v/>
      </c>
      <c r="B9554" s="87"/>
      <c r="C9554" s="87"/>
      <c r="D9554" s="87"/>
      <c r="E9554" s="87"/>
      <c r="F9554" s="87"/>
      <c r="G9554" s="87"/>
    </row>
    <row r="9555">
      <c r="A9555" s="86" t="str">
        <f>IFERROR(__xludf.DUMMYFUNCTION("""COMPUTED_VALUE"""),"")</f>
        <v/>
      </c>
      <c r="B9555" s="87"/>
      <c r="C9555" s="87"/>
      <c r="D9555" s="87"/>
      <c r="E9555" s="87"/>
      <c r="F9555" s="87"/>
      <c r="G9555" s="87"/>
    </row>
    <row r="9556">
      <c r="A9556" s="86" t="str">
        <f>IFERROR(__xludf.DUMMYFUNCTION("""COMPUTED_VALUE"""),"")</f>
        <v/>
      </c>
      <c r="B9556" s="87"/>
      <c r="C9556" s="87"/>
      <c r="D9556" s="87"/>
      <c r="E9556" s="87"/>
      <c r="F9556" s="87"/>
      <c r="G9556" s="87"/>
    </row>
    <row r="9557">
      <c r="A9557" s="86" t="str">
        <f>IFERROR(__xludf.DUMMYFUNCTION("""COMPUTED_VALUE"""),"")</f>
        <v/>
      </c>
      <c r="B9557" s="87"/>
      <c r="C9557" s="87"/>
      <c r="D9557" s="87"/>
      <c r="E9557" s="87"/>
      <c r="F9557" s="87"/>
      <c r="G9557" s="87"/>
    </row>
    <row r="9558">
      <c r="A9558" s="86" t="str">
        <f>IFERROR(__xludf.DUMMYFUNCTION("""COMPUTED_VALUE"""),"")</f>
        <v/>
      </c>
      <c r="B9558" s="87"/>
      <c r="C9558" s="87"/>
      <c r="D9558" s="87"/>
      <c r="E9558" s="87"/>
      <c r="F9558" s="87"/>
      <c r="G9558" s="87"/>
    </row>
    <row r="9559">
      <c r="A9559" s="86" t="str">
        <f>IFERROR(__xludf.DUMMYFUNCTION("""COMPUTED_VALUE"""),"")</f>
        <v/>
      </c>
      <c r="B9559" s="87"/>
      <c r="C9559" s="87"/>
      <c r="D9559" s="87"/>
      <c r="E9559" s="87"/>
      <c r="F9559" s="87"/>
      <c r="G9559" s="87"/>
    </row>
    <row r="9560">
      <c r="A9560" s="86" t="str">
        <f>IFERROR(__xludf.DUMMYFUNCTION("""COMPUTED_VALUE"""),"")</f>
        <v/>
      </c>
      <c r="B9560" s="87"/>
      <c r="C9560" s="87"/>
      <c r="D9560" s="87"/>
      <c r="E9560" s="87"/>
      <c r="F9560" s="87"/>
      <c r="G9560" s="87"/>
    </row>
    <row r="9561">
      <c r="A9561" s="86" t="str">
        <f>IFERROR(__xludf.DUMMYFUNCTION("""COMPUTED_VALUE"""),"")</f>
        <v/>
      </c>
      <c r="B9561" s="87"/>
      <c r="C9561" s="87"/>
      <c r="D9561" s="87"/>
      <c r="E9561" s="87"/>
      <c r="F9561" s="87"/>
      <c r="G9561" s="87"/>
    </row>
    <row r="9562">
      <c r="A9562" s="86" t="str">
        <f>IFERROR(__xludf.DUMMYFUNCTION("""COMPUTED_VALUE"""),"")</f>
        <v/>
      </c>
      <c r="B9562" s="87"/>
      <c r="C9562" s="87"/>
      <c r="D9562" s="87"/>
      <c r="E9562" s="87"/>
      <c r="F9562" s="87"/>
      <c r="G9562" s="87"/>
    </row>
    <row r="9563">
      <c r="A9563" s="86" t="str">
        <f>IFERROR(__xludf.DUMMYFUNCTION("""COMPUTED_VALUE"""),"")</f>
        <v/>
      </c>
      <c r="B9563" s="87"/>
      <c r="C9563" s="87"/>
      <c r="D9563" s="87"/>
      <c r="E9563" s="87"/>
      <c r="F9563" s="87"/>
      <c r="G9563" s="87"/>
    </row>
    <row r="9564">
      <c r="A9564" s="86" t="str">
        <f>IFERROR(__xludf.DUMMYFUNCTION("""COMPUTED_VALUE"""),"")</f>
        <v/>
      </c>
      <c r="B9564" s="87"/>
      <c r="C9564" s="87"/>
      <c r="D9564" s="87"/>
      <c r="E9564" s="87"/>
      <c r="F9564" s="87"/>
      <c r="G9564" s="87"/>
    </row>
    <row r="9565">
      <c r="A9565" s="86" t="str">
        <f>IFERROR(__xludf.DUMMYFUNCTION("""COMPUTED_VALUE"""),"")</f>
        <v/>
      </c>
      <c r="B9565" s="87"/>
      <c r="C9565" s="87"/>
      <c r="D9565" s="87"/>
      <c r="E9565" s="87"/>
      <c r="F9565" s="87"/>
      <c r="G9565" s="87"/>
    </row>
    <row r="9566">
      <c r="A9566" s="86" t="str">
        <f>IFERROR(__xludf.DUMMYFUNCTION("""COMPUTED_VALUE"""),"")</f>
        <v/>
      </c>
      <c r="B9566" s="87"/>
      <c r="C9566" s="87"/>
      <c r="D9566" s="87"/>
      <c r="E9566" s="87"/>
      <c r="F9566" s="87"/>
      <c r="G9566" s="87"/>
    </row>
    <row r="9567">
      <c r="A9567" s="86" t="str">
        <f>IFERROR(__xludf.DUMMYFUNCTION("""COMPUTED_VALUE"""),"")</f>
        <v/>
      </c>
      <c r="B9567" s="87"/>
      <c r="C9567" s="87"/>
      <c r="D9567" s="87"/>
      <c r="E9567" s="87"/>
      <c r="F9567" s="87"/>
      <c r="G9567" s="87"/>
    </row>
    <row r="9568">
      <c r="A9568" s="86" t="str">
        <f>IFERROR(__xludf.DUMMYFUNCTION("""COMPUTED_VALUE"""),"")</f>
        <v/>
      </c>
      <c r="B9568" s="87"/>
      <c r="C9568" s="87"/>
      <c r="D9568" s="87"/>
      <c r="E9568" s="87"/>
      <c r="F9568" s="87"/>
      <c r="G9568" s="87"/>
    </row>
    <row r="9569">
      <c r="A9569" s="86" t="str">
        <f>IFERROR(__xludf.DUMMYFUNCTION("""COMPUTED_VALUE"""),"")</f>
        <v/>
      </c>
      <c r="B9569" s="87"/>
      <c r="C9569" s="87"/>
      <c r="D9569" s="87"/>
      <c r="E9569" s="87"/>
      <c r="F9569" s="87"/>
      <c r="G9569" s="87"/>
    </row>
    <row r="9570">
      <c r="A9570" s="86" t="str">
        <f>IFERROR(__xludf.DUMMYFUNCTION("""COMPUTED_VALUE"""),"")</f>
        <v/>
      </c>
      <c r="B9570" s="87"/>
      <c r="C9570" s="87"/>
      <c r="D9570" s="87"/>
      <c r="E9570" s="87"/>
      <c r="F9570" s="87"/>
      <c r="G9570" s="87"/>
    </row>
    <row r="9571">
      <c r="A9571" s="86" t="str">
        <f>IFERROR(__xludf.DUMMYFUNCTION("""COMPUTED_VALUE"""),"")</f>
        <v/>
      </c>
      <c r="B9571" s="87"/>
      <c r="C9571" s="87"/>
      <c r="D9571" s="87"/>
      <c r="E9571" s="87"/>
      <c r="F9571" s="87"/>
      <c r="G9571" s="87"/>
    </row>
    <row r="9572">
      <c r="A9572" s="86" t="str">
        <f>IFERROR(__xludf.DUMMYFUNCTION("""COMPUTED_VALUE"""),"")</f>
        <v/>
      </c>
      <c r="B9572" s="87"/>
      <c r="C9572" s="87"/>
      <c r="D9572" s="87"/>
      <c r="E9572" s="87"/>
      <c r="F9572" s="87"/>
      <c r="G9572" s="87"/>
    </row>
    <row r="9573">
      <c r="A9573" s="86" t="str">
        <f>IFERROR(__xludf.DUMMYFUNCTION("""COMPUTED_VALUE"""),"")</f>
        <v/>
      </c>
      <c r="B9573" s="87"/>
      <c r="C9573" s="87"/>
      <c r="D9573" s="87"/>
      <c r="E9573" s="87"/>
      <c r="F9573" s="87"/>
      <c r="G9573" s="87"/>
    </row>
    <row r="9574">
      <c r="A9574" s="86" t="str">
        <f>IFERROR(__xludf.DUMMYFUNCTION("""COMPUTED_VALUE"""),"")</f>
        <v/>
      </c>
      <c r="B9574" s="87"/>
      <c r="C9574" s="87"/>
      <c r="D9574" s="87"/>
      <c r="E9574" s="87"/>
      <c r="F9574" s="87"/>
      <c r="G9574" s="87"/>
    </row>
    <row r="9575">
      <c r="A9575" s="86" t="str">
        <f>IFERROR(__xludf.DUMMYFUNCTION("""COMPUTED_VALUE"""),"")</f>
        <v/>
      </c>
      <c r="B9575" s="87"/>
      <c r="C9575" s="87"/>
      <c r="D9575" s="87"/>
      <c r="E9575" s="87"/>
      <c r="F9575" s="87"/>
      <c r="G9575" s="87"/>
    </row>
    <row r="9576">
      <c r="A9576" s="86" t="str">
        <f>IFERROR(__xludf.DUMMYFUNCTION("""COMPUTED_VALUE"""),"")</f>
        <v/>
      </c>
      <c r="B9576" s="87"/>
      <c r="C9576" s="87"/>
      <c r="D9576" s="87"/>
      <c r="E9576" s="87"/>
      <c r="F9576" s="87"/>
      <c r="G9576" s="87"/>
    </row>
    <row r="9577">
      <c r="A9577" s="86" t="str">
        <f>IFERROR(__xludf.DUMMYFUNCTION("""COMPUTED_VALUE"""),"")</f>
        <v/>
      </c>
      <c r="B9577" s="87"/>
      <c r="C9577" s="87"/>
      <c r="D9577" s="87"/>
      <c r="E9577" s="87"/>
      <c r="F9577" s="87"/>
      <c r="G9577" s="87"/>
    </row>
    <row r="9578">
      <c r="A9578" s="86" t="str">
        <f>IFERROR(__xludf.DUMMYFUNCTION("""COMPUTED_VALUE"""),"")</f>
        <v/>
      </c>
      <c r="B9578" s="87"/>
      <c r="C9578" s="87"/>
      <c r="D9578" s="87"/>
      <c r="E9578" s="87"/>
      <c r="F9578" s="87"/>
      <c r="G9578" s="87"/>
    </row>
    <row r="9579">
      <c r="A9579" s="86" t="str">
        <f>IFERROR(__xludf.DUMMYFUNCTION("""COMPUTED_VALUE"""),"")</f>
        <v/>
      </c>
      <c r="B9579" s="87"/>
      <c r="C9579" s="87"/>
      <c r="D9579" s="87"/>
      <c r="E9579" s="87"/>
      <c r="F9579" s="87"/>
      <c r="G9579" s="87"/>
    </row>
    <row r="9580">
      <c r="A9580" s="86" t="str">
        <f>IFERROR(__xludf.DUMMYFUNCTION("""COMPUTED_VALUE"""),"")</f>
        <v/>
      </c>
      <c r="B9580" s="87"/>
      <c r="C9580" s="87"/>
      <c r="D9580" s="87"/>
      <c r="E9580" s="87"/>
      <c r="F9580" s="87"/>
      <c r="G9580" s="87"/>
    </row>
    <row r="9581">
      <c r="A9581" s="86" t="str">
        <f>IFERROR(__xludf.DUMMYFUNCTION("""COMPUTED_VALUE"""),"")</f>
        <v/>
      </c>
      <c r="B9581" s="87"/>
      <c r="C9581" s="87"/>
      <c r="D9581" s="87"/>
      <c r="E9581" s="87"/>
      <c r="F9581" s="87"/>
      <c r="G9581" s="87"/>
    </row>
    <row r="9582">
      <c r="A9582" s="86" t="str">
        <f>IFERROR(__xludf.DUMMYFUNCTION("""COMPUTED_VALUE"""),"")</f>
        <v/>
      </c>
      <c r="B9582" s="87"/>
      <c r="C9582" s="87"/>
      <c r="D9582" s="87"/>
      <c r="E9582" s="87"/>
      <c r="F9582" s="87"/>
      <c r="G9582" s="87"/>
    </row>
    <row r="9583">
      <c r="A9583" s="86" t="str">
        <f>IFERROR(__xludf.DUMMYFUNCTION("""COMPUTED_VALUE"""),"")</f>
        <v/>
      </c>
      <c r="B9583" s="87"/>
      <c r="C9583" s="87"/>
      <c r="D9583" s="87"/>
      <c r="E9583" s="87"/>
      <c r="F9583" s="87"/>
      <c r="G9583" s="87"/>
    </row>
    <row r="9584">
      <c r="A9584" s="86" t="str">
        <f>IFERROR(__xludf.DUMMYFUNCTION("""COMPUTED_VALUE"""),"")</f>
        <v/>
      </c>
      <c r="B9584" s="87"/>
      <c r="C9584" s="87"/>
      <c r="D9584" s="87"/>
      <c r="E9584" s="87"/>
      <c r="F9584" s="87"/>
      <c r="G9584" s="87"/>
    </row>
    <row r="9585">
      <c r="A9585" s="86" t="str">
        <f>IFERROR(__xludf.DUMMYFUNCTION("""COMPUTED_VALUE"""),"")</f>
        <v/>
      </c>
      <c r="B9585" s="87"/>
      <c r="C9585" s="87"/>
      <c r="D9585" s="87"/>
      <c r="E9585" s="87"/>
      <c r="F9585" s="87"/>
      <c r="G9585" s="87"/>
    </row>
    <row r="9586">
      <c r="A9586" s="86" t="str">
        <f>IFERROR(__xludf.DUMMYFUNCTION("""COMPUTED_VALUE"""),"")</f>
        <v/>
      </c>
      <c r="B9586" s="87"/>
      <c r="C9586" s="87"/>
      <c r="D9586" s="87"/>
      <c r="E9586" s="87"/>
      <c r="F9586" s="87"/>
      <c r="G9586" s="87"/>
    </row>
    <row r="9587">
      <c r="A9587" s="86" t="str">
        <f>IFERROR(__xludf.DUMMYFUNCTION("""COMPUTED_VALUE"""),"")</f>
        <v/>
      </c>
      <c r="B9587" s="87"/>
      <c r="C9587" s="87"/>
      <c r="D9587" s="87"/>
      <c r="E9587" s="87"/>
      <c r="F9587" s="87"/>
      <c r="G9587" s="87"/>
    </row>
    <row r="9588">
      <c r="A9588" s="86" t="str">
        <f>IFERROR(__xludf.DUMMYFUNCTION("""COMPUTED_VALUE"""),"")</f>
        <v/>
      </c>
      <c r="B9588" s="87"/>
      <c r="C9588" s="87"/>
      <c r="D9588" s="87"/>
      <c r="E9588" s="87"/>
      <c r="F9588" s="87"/>
      <c r="G9588" s="87"/>
    </row>
    <row r="9589">
      <c r="A9589" s="86" t="str">
        <f>IFERROR(__xludf.DUMMYFUNCTION("""COMPUTED_VALUE"""),"")</f>
        <v/>
      </c>
      <c r="B9589" s="87"/>
      <c r="C9589" s="87"/>
      <c r="D9589" s="87"/>
      <c r="E9589" s="87"/>
      <c r="F9589" s="87"/>
      <c r="G9589" s="87"/>
    </row>
    <row r="9590">
      <c r="A9590" s="86" t="str">
        <f>IFERROR(__xludf.DUMMYFUNCTION("""COMPUTED_VALUE"""),"")</f>
        <v/>
      </c>
      <c r="B9590" s="87"/>
      <c r="C9590" s="87"/>
      <c r="D9590" s="87"/>
      <c r="E9590" s="87"/>
      <c r="F9590" s="87"/>
      <c r="G9590" s="87"/>
    </row>
    <row r="9591">
      <c r="A9591" s="86" t="str">
        <f>IFERROR(__xludf.DUMMYFUNCTION("""COMPUTED_VALUE"""),"")</f>
        <v/>
      </c>
      <c r="B9591" s="87"/>
      <c r="C9591" s="87"/>
      <c r="D9591" s="87"/>
      <c r="E9591" s="87"/>
      <c r="F9591" s="87"/>
      <c r="G9591" s="87"/>
    </row>
    <row r="9592">
      <c r="A9592" s="86" t="str">
        <f>IFERROR(__xludf.DUMMYFUNCTION("""COMPUTED_VALUE"""),"")</f>
        <v/>
      </c>
      <c r="B9592" s="87"/>
      <c r="C9592" s="87"/>
      <c r="D9592" s="87"/>
      <c r="E9592" s="87"/>
      <c r="F9592" s="87"/>
      <c r="G9592" s="87"/>
    </row>
    <row r="9593">
      <c r="A9593" s="86" t="str">
        <f>IFERROR(__xludf.DUMMYFUNCTION("""COMPUTED_VALUE"""),"")</f>
        <v/>
      </c>
      <c r="B9593" s="87"/>
      <c r="C9593" s="87"/>
      <c r="D9593" s="87"/>
      <c r="E9593" s="87"/>
      <c r="F9593" s="87"/>
      <c r="G9593" s="87"/>
    </row>
    <row r="9594">
      <c r="A9594" s="86" t="str">
        <f>IFERROR(__xludf.DUMMYFUNCTION("""COMPUTED_VALUE"""),"")</f>
        <v/>
      </c>
      <c r="B9594" s="87"/>
      <c r="C9594" s="87"/>
      <c r="D9594" s="87"/>
      <c r="E9594" s="87"/>
      <c r="F9594" s="87"/>
      <c r="G9594" s="87"/>
    </row>
    <row r="9595">
      <c r="A9595" s="86" t="str">
        <f>IFERROR(__xludf.DUMMYFUNCTION("""COMPUTED_VALUE"""),"")</f>
        <v/>
      </c>
      <c r="B9595" s="87"/>
      <c r="C9595" s="87"/>
      <c r="D9595" s="87"/>
      <c r="E9595" s="87"/>
      <c r="F9595" s="87"/>
      <c r="G9595" s="87"/>
    </row>
    <row r="9596">
      <c r="A9596" s="86" t="str">
        <f>IFERROR(__xludf.DUMMYFUNCTION("""COMPUTED_VALUE"""),"")</f>
        <v/>
      </c>
      <c r="B9596" s="87"/>
      <c r="C9596" s="87"/>
      <c r="D9596" s="87"/>
      <c r="E9596" s="87"/>
      <c r="F9596" s="87"/>
      <c r="G9596" s="87"/>
    </row>
    <row r="9597">
      <c r="A9597" s="86" t="str">
        <f>IFERROR(__xludf.DUMMYFUNCTION("""COMPUTED_VALUE"""),"")</f>
        <v/>
      </c>
      <c r="B9597" s="87"/>
      <c r="C9597" s="87"/>
      <c r="D9597" s="87"/>
      <c r="E9597" s="87"/>
      <c r="F9597" s="87"/>
      <c r="G9597" s="87"/>
    </row>
    <row r="9598">
      <c r="A9598" s="86" t="str">
        <f>IFERROR(__xludf.DUMMYFUNCTION("""COMPUTED_VALUE"""),"")</f>
        <v/>
      </c>
      <c r="B9598" s="87"/>
      <c r="C9598" s="87"/>
      <c r="D9598" s="87"/>
      <c r="E9598" s="87"/>
      <c r="F9598" s="87"/>
      <c r="G9598" s="87"/>
    </row>
    <row r="9599">
      <c r="A9599" s="86" t="str">
        <f>IFERROR(__xludf.DUMMYFUNCTION("""COMPUTED_VALUE"""),"")</f>
        <v/>
      </c>
      <c r="B9599" s="87"/>
      <c r="C9599" s="87"/>
      <c r="D9599" s="87"/>
      <c r="E9599" s="87"/>
      <c r="F9599" s="87"/>
      <c r="G9599" s="87"/>
    </row>
    <row r="9600">
      <c r="A9600" s="86" t="str">
        <f>IFERROR(__xludf.DUMMYFUNCTION("""COMPUTED_VALUE"""),"")</f>
        <v/>
      </c>
      <c r="B9600" s="87"/>
      <c r="C9600" s="87"/>
      <c r="D9600" s="87"/>
      <c r="E9600" s="87"/>
      <c r="F9600" s="87"/>
      <c r="G9600" s="87"/>
    </row>
    <row r="9601">
      <c r="A9601" s="86" t="str">
        <f>IFERROR(__xludf.DUMMYFUNCTION("""COMPUTED_VALUE"""),"")</f>
        <v/>
      </c>
      <c r="B9601" s="87"/>
      <c r="C9601" s="87"/>
      <c r="D9601" s="87"/>
      <c r="E9601" s="87"/>
      <c r="F9601" s="87"/>
      <c r="G9601" s="87"/>
    </row>
    <row r="9602">
      <c r="A9602" s="86" t="str">
        <f>IFERROR(__xludf.DUMMYFUNCTION("""COMPUTED_VALUE"""),"")</f>
        <v/>
      </c>
      <c r="B9602" s="87"/>
      <c r="C9602" s="87"/>
      <c r="D9602" s="87"/>
      <c r="E9602" s="87"/>
      <c r="F9602" s="87"/>
      <c r="G9602" s="87"/>
    </row>
    <row r="9603">
      <c r="A9603" s="86" t="str">
        <f>IFERROR(__xludf.DUMMYFUNCTION("""COMPUTED_VALUE"""),"")</f>
        <v/>
      </c>
      <c r="B9603" s="87"/>
      <c r="C9603" s="87"/>
      <c r="D9603" s="87"/>
      <c r="E9603" s="87"/>
      <c r="F9603" s="87"/>
      <c r="G9603" s="87"/>
    </row>
    <row r="9604">
      <c r="A9604" s="86" t="str">
        <f>IFERROR(__xludf.DUMMYFUNCTION("""COMPUTED_VALUE"""),"")</f>
        <v/>
      </c>
      <c r="B9604" s="87"/>
      <c r="C9604" s="87"/>
      <c r="D9604" s="87"/>
      <c r="E9604" s="87"/>
      <c r="F9604" s="87"/>
      <c r="G9604" s="87"/>
    </row>
    <row r="9605">
      <c r="A9605" s="86" t="str">
        <f>IFERROR(__xludf.DUMMYFUNCTION("""COMPUTED_VALUE"""),"")</f>
        <v/>
      </c>
      <c r="B9605" s="87"/>
      <c r="C9605" s="87"/>
      <c r="D9605" s="87"/>
      <c r="E9605" s="87"/>
      <c r="F9605" s="87"/>
      <c r="G9605" s="87"/>
    </row>
    <row r="9606">
      <c r="A9606" s="86" t="str">
        <f>IFERROR(__xludf.DUMMYFUNCTION("""COMPUTED_VALUE"""),"")</f>
        <v/>
      </c>
      <c r="B9606" s="87"/>
      <c r="C9606" s="87"/>
      <c r="D9606" s="87"/>
      <c r="E9606" s="87"/>
      <c r="F9606" s="87"/>
      <c r="G9606" s="87"/>
    </row>
    <row r="9607">
      <c r="A9607" s="86" t="str">
        <f>IFERROR(__xludf.DUMMYFUNCTION("""COMPUTED_VALUE"""),"")</f>
        <v/>
      </c>
      <c r="B9607" s="87"/>
      <c r="C9607" s="87"/>
      <c r="D9607" s="87"/>
      <c r="E9607" s="87"/>
      <c r="F9607" s="87"/>
      <c r="G9607" s="87"/>
    </row>
    <row r="9608">
      <c r="A9608" s="86" t="str">
        <f>IFERROR(__xludf.DUMMYFUNCTION("""COMPUTED_VALUE"""),"")</f>
        <v/>
      </c>
      <c r="B9608" s="87"/>
      <c r="C9608" s="87"/>
      <c r="D9608" s="87"/>
      <c r="E9608" s="87"/>
      <c r="F9608" s="87"/>
      <c r="G9608" s="87"/>
    </row>
    <row r="9609">
      <c r="A9609" s="86" t="str">
        <f>IFERROR(__xludf.DUMMYFUNCTION("""COMPUTED_VALUE"""),"")</f>
        <v/>
      </c>
      <c r="B9609" s="87"/>
      <c r="C9609" s="87"/>
      <c r="D9609" s="87"/>
      <c r="E9609" s="87"/>
      <c r="F9609" s="87"/>
      <c r="G9609" s="87"/>
    </row>
    <row r="9610">
      <c r="A9610" s="86" t="str">
        <f>IFERROR(__xludf.DUMMYFUNCTION("""COMPUTED_VALUE"""),"")</f>
        <v/>
      </c>
      <c r="B9610" s="87"/>
      <c r="C9610" s="87"/>
      <c r="D9610" s="87"/>
      <c r="E9610" s="87"/>
      <c r="F9610" s="87"/>
      <c r="G9610" s="87"/>
    </row>
    <row r="9611">
      <c r="A9611" s="86" t="str">
        <f>IFERROR(__xludf.DUMMYFUNCTION("""COMPUTED_VALUE"""),"")</f>
        <v/>
      </c>
      <c r="B9611" s="87"/>
      <c r="C9611" s="87"/>
      <c r="D9611" s="87"/>
      <c r="E9611" s="87"/>
      <c r="F9611" s="87"/>
      <c r="G9611" s="87"/>
    </row>
    <row r="9612">
      <c r="A9612" s="86" t="str">
        <f>IFERROR(__xludf.DUMMYFUNCTION("""COMPUTED_VALUE"""),"")</f>
        <v/>
      </c>
      <c r="B9612" s="87"/>
      <c r="C9612" s="87"/>
      <c r="D9612" s="87"/>
      <c r="E9612" s="87"/>
      <c r="F9612" s="87"/>
      <c r="G9612" s="87"/>
    </row>
    <row r="9613">
      <c r="A9613" s="86" t="str">
        <f>IFERROR(__xludf.DUMMYFUNCTION("""COMPUTED_VALUE"""),"")</f>
        <v/>
      </c>
      <c r="B9613" s="87"/>
      <c r="C9613" s="87"/>
      <c r="D9613" s="87"/>
      <c r="E9613" s="87"/>
      <c r="F9613" s="87"/>
      <c r="G9613" s="87"/>
    </row>
    <row r="9614">
      <c r="A9614" s="86" t="str">
        <f>IFERROR(__xludf.DUMMYFUNCTION("""COMPUTED_VALUE"""),"")</f>
        <v/>
      </c>
      <c r="B9614" s="87"/>
      <c r="C9614" s="87"/>
      <c r="D9614" s="87"/>
      <c r="E9614" s="87"/>
      <c r="F9614" s="87"/>
      <c r="G9614" s="87"/>
    </row>
    <row r="9615">
      <c r="A9615" s="86" t="str">
        <f>IFERROR(__xludf.DUMMYFUNCTION("""COMPUTED_VALUE"""),"")</f>
        <v/>
      </c>
      <c r="B9615" s="87"/>
      <c r="C9615" s="87"/>
      <c r="D9615" s="87"/>
      <c r="E9615" s="87"/>
      <c r="F9615" s="87"/>
      <c r="G9615" s="87"/>
    </row>
    <row r="9616">
      <c r="A9616" s="86" t="str">
        <f>IFERROR(__xludf.DUMMYFUNCTION("""COMPUTED_VALUE"""),"")</f>
        <v/>
      </c>
      <c r="B9616" s="87"/>
      <c r="C9616" s="87"/>
      <c r="D9616" s="87"/>
      <c r="E9616" s="87"/>
      <c r="F9616" s="87"/>
      <c r="G9616" s="87"/>
    </row>
    <row r="9617">
      <c r="A9617" s="86" t="str">
        <f>IFERROR(__xludf.DUMMYFUNCTION("""COMPUTED_VALUE"""),"")</f>
        <v/>
      </c>
      <c r="B9617" s="87"/>
      <c r="C9617" s="87"/>
      <c r="D9617" s="87"/>
      <c r="E9617" s="87"/>
      <c r="F9617" s="87"/>
      <c r="G9617" s="87"/>
    </row>
    <row r="9618">
      <c r="A9618" s="86" t="str">
        <f>IFERROR(__xludf.DUMMYFUNCTION("""COMPUTED_VALUE"""),"")</f>
        <v/>
      </c>
      <c r="B9618" s="87"/>
      <c r="C9618" s="87"/>
      <c r="D9618" s="87"/>
      <c r="E9618" s="87"/>
      <c r="F9618" s="87"/>
      <c r="G9618" s="87"/>
    </row>
    <row r="9619">
      <c r="A9619" s="86" t="str">
        <f>IFERROR(__xludf.DUMMYFUNCTION("""COMPUTED_VALUE"""),"")</f>
        <v/>
      </c>
      <c r="B9619" s="87"/>
      <c r="C9619" s="87"/>
      <c r="D9619" s="87"/>
      <c r="E9619" s="87"/>
      <c r="F9619" s="87"/>
      <c r="G9619" s="87"/>
    </row>
    <row r="9620">
      <c r="A9620" s="86" t="str">
        <f>IFERROR(__xludf.DUMMYFUNCTION("""COMPUTED_VALUE"""),"")</f>
        <v/>
      </c>
      <c r="B9620" s="87"/>
      <c r="C9620" s="87"/>
      <c r="D9620" s="87"/>
      <c r="E9620" s="87"/>
      <c r="F9620" s="87"/>
      <c r="G9620" s="87"/>
    </row>
    <row r="9621">
      <c r="A9621" s="86" t="str">
        <f>IFERROR(__xludf.DUMMYFUNCTION("""COMPUTED_VALUE"""),"")</f>
        <v/>
      </c>
      <c r="B9621" s="87"/>
      <c r="C9621" s="87"/>
      <c r="D9621" s="87"/>
      <c r="E9621" s="87"/>
      <c r="F9621" s="87"/>
      <c r="G9621" s="87"/>
    </row>
    <row r="9622">
      <c r="A9622" s="86" t="str">
        <f>IFERROR(__xludf.DUMMYFUNCTION("""COMPUTED_VALUE"""),"")</f>
        <v/>
      </c>
      <c r="B9622" s="87"/>
      <c r="C9622" s="87"/>
      <c r="D9622" s="87"/>
      <c r="E9622" s="87"/>
      <c r="F9622" s="87"/>
      <c r="G9622" s="87"/>
    </row>
    <row r="9623">
      <c r="A9623" s="86" t="str">
        <f>IFERROR(__xludf.DUMMYFUNCTION("""COMPUTED_VALUE"""),"")</f>
        <v/>
      </c>
      <c r="B9623" s="87"/>
      <c r="C9623" s="87"/>
      <c r="D9623" s="87"/>
      <c r="E9623" s="87"/>
      <c r="F9623" s="87"/>
      <c r="G9623" s="87"/>
    </row>
    <row r="9624">
      <c r="A9624" s="86" t="str">
        <f>IFERROR(__xludf.DUMMYFUNCTION("""COMPUTED_VALUE"""),"")</f>
        <v/>
      </c>
      <c r="B9624" s="87"/>
      <c r="C9624" s="87"/>
      <c r="D9624" s="87"/>
      <c r="E9624" s="87"/>
      <c r="F9624" s="87"/>
      <c r="G9624" s="87"/>
    </row>
    <row r="9625">
      <c r="A9625" s="86" t="str">
        <f>IFERROR(__xludf.DUMMYFUNCTION("""COMPUTED_VALUE"""),"")</f>
        <v/>
      </c>
      <c r="B9625" s="87"/>
      <c r="C9625" s="87"/>
      <c r="D9625" s="87"/>
      <c r="E9625" s="87"/>
      <c r="F9625" s="87"/>
      <c r="G9625" s="87"/>
    </row>
    <row r="9626">
      <c r="A9626" s="86" t="str">
        <f>IFERROR(__xludf.DUMMYFUNCTION("""COMPUTED_VALUE"""),"")</f>
        <v/>
      </c>
      <c r="B9626" s="87"/>
      <c r="C9626" s="87"/>
      <c r="D9626" s="87"/>
      <c r="E9626" s="87"/>
      <c r="F9626" s="87"/>
      <c r="G9626" s="87"/>
    </row>
    <row r="9627">
      <c r="A9627" s="86" t="str">
        <f>IFERROR(__xludf.DUMMYFUNCTION("""COMPUTED_VALUE"""),"")</f>
        <v/>
      </c>
      <c r="B9627" s="87"/>
      <c r="C9627" s="87"/>
      <c r="D9627" s="87"/>
      <c r="E9627" s="87"/>
      <c r="F9627" s="87"/>
      <c r="G9627" s="87"/>
    </row>
    <row r="9628">
      <c r="A9628" s="86" t="str">
        <f>IFERROR(__xludf.DUMMYFUNCTION("""COMPUTED_VALUE"""),"")</f>
        <v/>
      </c>
      <c r="B9628" s="87"/>
      <c r="C9628" s="87"/>
      <c r="D9628" s="87"/>
      <c r="E9628" s="87"/>
      <c r="F9628" s="87"/>
      <c r="G9628" s="87"/>
    </row>
    <row r="9629">
      <c r="A9629" s="86" t="str">
        <f>IFERROR(__xludf.DUMMYFUNCTION("""COMPUTED_VALUE"""),"")</f>
        <v/>
      </c>
      <c r="B9629" s="87"/>
      <c r="C9629" s="87"/>
      <c r="D9629" s="87"/>
      <c r="E9629" s="87"/>
      <c r="F9629" s="87"/>
      <c r="G9629" s="87"/>
    </row>
    <row r="9630">
      <c r="A9630" s="86" t="str">
        <f>IFERROR(__xludf.DUMMYFUNCTION("""COMPUTED_VALUE"""),"")</f>
        <v/>
      </c>
      <c r="B9630" s="87"/>
      <c r="C9630" s="87"/>
      <c r="D9630" s="87"/>
      <c r="E9630" s="87"/>
      <c r="F9630" s="87"/>
      <c r="G9630" s="87"/>
    </row>
    <row r="9631">
      <c r="A9631" s="86" t="str">
        <f>IFERROR(__xludf.DUMMYFUNCTION("""COMPUTED_VALUE"""),"")</f>
        <v/>
      </c>
      <c r="B9631" s="87"/>
      <c r="C9631" s="87"/>
      <c r="D9631" s="87"/>
      <c r="E9631" s="87"/>
      <c r="F9631" s="87"/>
      <c r="G9631" s="87"/>
    </row>
    <row r="9632">
      <c r="A9632" s="86" t="str">
        <f>IFERROR(__xludf.DUMMYFUNCTION("""COMPUTED_VALUE"""),"")</f>
        <v/>
      </c>
      <c r="B9632" s="87"/>
      <c r="C9632" s="87"/>
      <c r="D9632" s="87"/>
      <c r="E9632" s="87"/>
      <c r="F9632" s="87"/>
      <c r="G9632" s="87"/>
    </row>
    <row r="9633">
      <c r="A9633" s="86" t="str">
        <f>IFERROR(__xludf.DUMMYFUNCTION("""COMPUTED_VALUE"""),"")</f>
        <v/>
      </c>
      <c r="B9633" s="87"/>
      <c r="C9633" s="87"/>
      <c r="D9633" s="87"/>
      <c r="E9633" s="87"/>
      <c r="F9633" s="87"/>
      <c r="G9633" s="87"/>
    </row>
    <row r="9634">
      <c r="A9634" s="86" t="str">
        <f>IFERROR(__xludf.DUMMYFUNCTION("""COMPUTED_VALUE"""),"")</f>
        <v/>
      </c>
      <c r="B9634" s="87"/>
      <c r="C9634" s="87"/>
      <c r="D9634" s="87"/>
      <c r="E9634" s="87"/>
      <c r="F9634" s="87"/>
      <c r="G9634" s="87"/>
    </row>
    <row r="9635">
      <c r="A9635" s="86" t="str">
        <f>IFERROR(__xludf.DUMMYFUNCTION("""COMPUTED_VALUE"""),"")</f>
        <v/>
      </c>
      <c r="B9635" s="87"/>
      <c r="C9635" s="87"/>
      <c r="D9635" s="87"/>
      <c r="E9635" s="87"/>
      <c r="F9635" s="87"/>
      <c r="G9635" s="87"/>
    </row>
    <row r="9636">
      <c r="A9636" s="86" t="str">
        <f>IFERROR(__xludf.DUMMYFUNCTION("""COMPUTED_VALUE"""),"")</f>
        <v/>
      </c>
      <c r="B9636" s="87"/>
      <c r="C9636" s="87"/>
      <c r="D9636" s="87"/>
      <c r="E9636" s="87"/>
      <c r="F9636" s="87"/>
      <c r="G9636" s="87"/>
    </row>
    <row r="9637">
      <c r="A9637" s="86" t="str">
        <f>IFERROR(__xludf.DUMMYFUNCTION("""COMPUTED_VALUE"""),"")</f>
        <v/>
      </c>
      <c r="B9637" s="87"/>
      <c r="C9637" s="87"/>
      <c r="D9637" s="87"/>
      <c r="E9637" s="87"/>
      <c r="F9637" s="87"/>
      <c r="G9637" s="87"/>
    </row>
    <row r="9638">
      <c r="A9638" s="86" t="str">
        <f>IFERROR(__xludf.DUMMYFUNCTION("""COMPUTED_VALUE"""),"")</f>
        <v/>
      </c>
      <c r="B9638" s="87"/>
      <c r="C9638" s="87"/>
      <c r="D9638" s="87"/>
      <c r="E9638" s="87"/>
      <c r="F9638" s="87"/>
      <c r="G9638" s="87"/>
    </row>
    <row r="9639">
      <c r="A9639" s="86" t="str">
        <f>IFERROR(__xludf.DUMMYFUNCTION("""COMPUTED_VALUE"""),"")</f>
        <v/>
      </c>
      <c r="B9639" s="87"/>
      <c r="C9639" s="87"/>
      <c r="D9639" s="87"/>
      <c r="E9639" s="87"/>
      <c r="F9639" s="87"/>
      <c r="G9639" s="87"/>
    </row>
    <row r="9640">
      <c r="A9640" s="86" t="str">
        <f>IFERROR(__xludf.DUMMYFUNCTION("""COMPUTED_VALUE"""),"")</f>
        <v/>
      </c>
      <c r="B9640" s="87"/>
      <c r="C9640" s="87"/>
      <c r="D9640" s="87"/>
      <c r="E9640" s="87"/>
      <c r="F9640" s="87"/>
      <c r="G9640" s="87"/>
    </row>
    <row r="9641">
      <c r="A9641" s="86" t="str">
        <f>IFERROR(__xludf.DUMMYFUNCTION("""COMPUTED_VALUE"""),"")</f>
        <v/>
      </c>
      <c r="B9641" s="87"/>
      <c r="C9641" s="87"/>
      <c r="D9641" s="87"/>
      <c r="E9641" s="87"/>
      <c r="F9641" s="87"/>
      <c r="G9641" s="87"/>
    </row>
    <row r="9642">
      <c r="A9642" s="86" t="str">
        <f>IFERROR(__xludf.DUMMYFUNCTION("""COMPUTED_VALUE"""),"")</f>
        <v/>
      </c>
      <c r="B9642" s="87"/>
      <c r="C9642" s="87"/>
      <c r="D9642" s="87"/>
      <c r="E9642" s="87"/>
      <c r="F9642" s="87"/>
      <c r="G9642" s="87"/>
    </row>
    <row r="9643">
      <c r="A9643" s="86" t="str">
        <f>IFERROR(__xludf.DUMMYFUNCTION("""COMPUTED_VALUE"""),"")</f>
        <v/>
      </c>
      <c r="B9643" s="87"/>
      <c r="C9643" s="87"/>
      <c r="D9643" s="87"/>
      <c r="E9643" s="87"/>
      <c r="F9643" s="87"/>
      <c r="G9643" s="87"/>
    </row>
    <row r="9644">
      <c r="A9644" s="86" t="str">
        <f>IFERROR(__xludf.DUMMYFUNCTION("""COMPUTED_VALUE"""),"")</f>
        <v/>
      </c>
      <c r="B9644" s="87"/>
      <c r="C9644" s="87"/>
      <c r="D9644" s="87"/>
      <c r="E9644" s="87"/>
      <c r="F9644" s="87"/>
      <c r="G9644" s="87"/>
    </row>
    <row r="9645">
      <c r="A9645" s="86" t="str">
        <f>IFERROR(__xludf.DUMMYFUNCTION("""COMPUTED_VALUE"""),"")</f>
        <v/>
      </c>
      <c r="B9645" s="87"/>
      <c r="C9645" s="87"/>
      <c r="D9645" s="87"/>
      <c r="E9645" s="87"/>
      <c r="F9645" s="87"/>
      <c r="G9645" s="87"/>
    </row>
    <row r="9646">
      <c r="A9646" s="86" t="str">
        <f>IFERROR(__xludf.DUMMYFUNCTION("""COMPUTED_VALUE"""),"")</f>
        <v/>
      </c>
      <c r="B9646" s="87"/>
      <c r="C9646" s="87"/>
      <c r="D9646" s="87"/>
      <c r="E9646" s="87"/>
      <c r="F9646" s="87"/>
      <c r="G9646" s="87"/>
    </row>
    <row r="9647">
      <c r="A9647" s="86" t="str">
        <f>IFERROR(__xludf.DUMMYFUNCTION("""COMPUTED_VALUE"""),"")</f>
        <v/>
      </c>
      <c r="B9647" s="87"/>
      <c r="C9647" s="87"/>
      <c r="D9647" s="87"/>
      <c r="E9647" s="87"/>
      <c r="F9647" s="87"/>
      <c r="G9647" s="87"/>
    </row>
    <row r="9648">
      <c r="A9648" s="86" t="str">
        <f>IFERROR(__xludf.DUMMYFUNCTION("""COMPUTED_VALUE"""),"")</f>
        <v/>
      </c>
      <c r="B9648" s="87"/>
      <c r="C9648" s="87"/>
      <c r="D9648" s="87"/>
      <c r="E9648" s="87"/>
      <c r="F9648" s="87"/>
      <c r="G9648" s="87"/>
    </row>
    <row r="9649">
      <c r="A9649" s="86" t="str">
        <f>IFERROR(__xludf.DUMMYFUNCTION("""COMPUTED_VALUE"""),"")</f>
        <v/>
      </c>
      <c r="B9649" s="87"/>
      <c r="C9649" s="87"/>
      <c r="D9649" s="87"/>
      <c r="E9649" s="87"/>
      <c r="F9649" s="87"/>
      <c r="G9649" s="87"/>
    </row>
    <row r="9650">
      <c r="A9650" s="86" t="str">
        <f>IFERROR(__xludf.DUMMYFUNCTION("""COMPUTED_VALUE"""),"")</f>
        <v/>
      </c>
      <c r="B9650" s="87"/>
      <c r="C9650" s="87"/>
      <c r="D9650" s="87"/>
      <c r="E9650" s="87"/>
      <c r="F9650" s="87"/>
      <c r="G9650" s="87"/>
    </row>
    <row r="9651">
      <c r="A9651" s="86" t="str">
        <f>IFERROR(__xludf.DUMMYFUNCTION("""COMPUTED_VALUE"""),"")</f>
        <v/>
      </c>
      <c r="B9651" s="87"/>
      <c r="C9651" s="87"/>
      <c r="D9651" s="87"/>
      <c r="E9651" s="87"/>
      <c r="F9651" s="87"/>
      <c r="G9651" s="87"/>
    </row>
    <row r="9652">
      <c r="A9652" s="86" t="str">
        <f>IFERROR(__xludf.DUMMYFUNCTION("""COMPUTED_VALUE"""),"")</f>
        <v/>
      </c>
      <c r="B9652" s="87"/>
      <c r="C9652" s="87"/>
      <c r="D9652" s="87"/>
      <c r="E9652" s="87"/>
      <c r="F9652" s="87"/>
      <c r="G9652" s="87"/>
    </row>
    <row r="9653">
      <c r="A9653" s="86" t="str">
        <f>IFERROR(__xludf.DUMMYFUNCTION("""COMPUTED_VALUE"""),"")</f>
        <v/>
      </c>
      <c r="B9653" s="87"/>
      <c r="C9653" s="87"/>
      <c r="D9653" s="87"/>
      <c r="E9653" s="87"/>
      <c r="F9653" s="87"/>
      <c r="G9653" s="87"/>
    </row>
    <row r="9654">
      <c r="A9654" s="86" t="str">
        <f>IFERROR(__xludf.DUMMYFUNCTION("""COMPUTED_VALUE"""),"")</f>
        <v/>
      </c>
      <c r="B9654" s="87"/>
      <c r="C9654" s="87"/>
      <c r="D9654" s="87"/>
      <c r="E9654" s="87"/>
      <c r="F9654" s="87"/>
      <c r="G9654" s="87"/>
    </row>
    <row r="9655">
      <c r="A9655" s="86" t="str">
        <f>IFERROR(__xludf.DUMMYFUNCTION("""COMPUTED_VALUE"""),"")</f>
        <v/>
      </c>
      <c r="B9655" s="87"/>
      <c r="C9655" s="87"/>
      <c r="D9655" s="87"/>
      <c r="E9655" s="87"/>
      <c r="F9655" s="87"/>
      <c r="G9655" s="87"/>
    </row>
    <row r="9656">
      <c r="A9656" s="86" t="str">
        <f>IFERROR(__xludf.DUMMYFUNCTION("""COMPUTED_VALUE"""),"")</f>
        <v/>
      </c>
      <c r="B9656" s="87"/>
      <c r="C9656" s="87"/>
      <c r="D9656" s="87"/>
      <c r="E9656" s="87"/>
      <c r="F9656" s="87"/>
      <c r="G9656" s="87"/>
    </row>
    <row r="9657">
      <c r="A9657" s="86" t="str">
        <f>IFERROR(__xludf.DUMMYFUNCTION("""COMPUTED_VALUE"""),"")</f>
        <v/>
      </c>
      <c r="B9657" s="87"/>
      <c r="C9657" s="87"/>
      <c r="D9657" s="87"/>
      <c r="E9657" s="87"/>
      <c r="F9657" s="87"/>
      <c r="G9657" s="87"/>
    </row>
    <row r="9658">
      <c r="A9658" s="86" t="str">
        <f>IFERROR(__xludf.DUMMYFUNCTION("""COMPUTED_VALUE"""),"")</f>
        <v/>
      </c>
      <c r="B9658" s="87"/>
      <c r="C9658" s="87"/>
      <c r="D9658" s="87"/>
      <c r="E9658" s="87"/>
      <c r="F9658" s="87"/>
      <c r="G9658" s="87"/>
    </row>
    <row r="9659">
      <c r="A9659" s="86" t="str">
        <f>IFERROR(__xludf.DUMMYFUNCTION("""COMPUTED_VALUE"""),"")</f>
        <v/>
      </c>
      <c r="B9659" s="87"/>
      <c r="C9659" s="87"/>
      <c r="D9659" s="87"/>
      <c r="E9659" s="87"/>
      <c r="F9659" s="87"/>
      <c r="G9659" s="87"/>
    </row>
    <row r="9660">
      <c r="A9660" s="86" t="str">
        <f>IFERROR(__xludf.DUMMYFUNCTION("""COMPUTED_VALUE"""),"")</f>
        <v/>
      </c>
      <c r="B9660" s="87"/>
      <c r="C9660" s="87"/>
      <c r="D9660" s="87"/>
      <c r="E9660" s="87"/>
      <c r="F9660" s="87"/>
      <c r="G9660" s="87"/>
    </row>
    <row r="9661">
      <c r="A9661" s="86" t="str">
        <f>IFERROR(__xludf.DUMMYFUNCTION("""COMPUTED_VALUE"""),"")</f>
        <v/>
      </c>
      <c r="B9661" s="87"/>
      <c r="C9661" s="87"/>
      <c r="D9661" s="87"/>
      <c r="E9661" s="87"/>
      <c r="F9661" s="87"/>
      <c r="G9661" s="87"/>
    </row>
    <row r="9662">
      <c r="A9662" s="86" t="str">
        <f>IFERROR(__xludf.DUMMYFUNCTION("""COMPUTED_VALUE"""),"")</f>
        <v/>
      </c>
      <c r="B9662" s="87"/>
      <c r="C9662" s="87"/>
      <c r="D9662" s="87"/>
      <c r="E9662" s="87"/>
      <c r="F9662" s="87"/>
      <c r="G9662" s="87"/>
    </row>
    <row r="9663">
      <c r="A9663" s="86" t="str">
        <f>IFERROR(__xludf.DUMMYFUNCTION("""COMPUTED_VALUE"""),"")</f>
        <v/>
      </c>
      <c r="B9663" s="87"/>
      <c r="C9663" s="87"/>
      <c r="D9663" s="87"/>
      <c r="E9663" s="87"/>
      <c r="F9663" s="87"/>
      <c r="G9663" s="87"/>
    </row>
    <row r="9664">
      <c r="A9664" s="86" t="str">
        <f>IFERROR(__xludf.DUMMYFUNCTION("""COMPUTED_VALUE"""),"")</f>
        <v/>
      </c>
      <c r="B9664" s="87"/>
      <c r="C9664" s="87"/>
      <c r="D9664" s="87"/>
      <c r="E9664" s="87"/>
      <c r="F9664" s="87"/>
      <c r="G9664" s="87"/>
    </row>
    <row r="9665">
      <c r="A9665" s="86" t="str">
        <f>IFERROR(__xludf.DUMMYFUNCTION("""COMPUTED_VALUE"""),"")</f>
        <v/>
      </c>
      <c r="B9665" s="87"/>
      <c r="C9665" s="87"/>
      <c r="D9665" s="87"/>
      <c r="E9665" s="87"/>
      <c r="F9665" s="87"/>
      <c r="G9665" s="87"/>
    </row>
    <row r="9666">
      <c r="A9666" s="86" t="str">
        <f>IFERROR(__xludf.DUMMYFUNCTION("""COMPUTED_VALUE"""),"")</f>
        <v/>
      </c>
      <c r="B9666" s="87"/>
      <c r="C9666" s="87"/>
      <c r="D9666" s="87"/>
      <c r="E9666" s="87"/>
      <c r="F9666" s="87"/>
      <c r="G9666" s="87"/>
    </row>
    <row r="9667">
      <c r="A9667" s="86" t="str">
        <f>IFERROR(__xludf.DUMMYFUNCTION("""COMPUTED_VALUE"""),"")</f>
        <v/>
      </c>
      <c r="B9667" s="87"/>
      <c r="C9667" s="87"/>
      <c r="D9667" s="87"/>
      <c r="E9667" s="87"/>
      <c r="F9667" s="87"/>
      <c r="G9667" s="87"/>
    </row>
    <row r="9668">
      <c r="A9668" s="86" t="str">
        <f>IFERROR(__xludf.DUMMYFUNCTION("""COMPUTED_VALUE"""),"")</f>
        <v/>
      </c>
      <c r="B9668" s="87"/>
      <c r="C9668" s="87"/>
      <c r="D9668" s="87"/>
      <c r="E9668" s="87"/>
      <c r="F9668" s="87"/>
      <c r="G9668" s="87"/>
    </row>
    <row r="9669">
      <c r="A9669" s="86" t="str">
        <f>IFERROR(__xludf.DUMMYFUNCTION("""COMPUTED_VALUE"""),"")</f>
        <v/>
      </c>
      <c r="B9669" s="87"/>
      <c r="C9669" s="87"/>
      <c r="D9669" s="87"/>
      <c r="E9669" s="87"/>
      <c r="F9669" s="87"/>
      <c r="G9669" s="87"/>
    </row>
    <row r="9670">
      <c r="A9670" s="86" t="str">
        <f>IFERROR(__xludf.DUMMYFUNCTION("""COMPUTED_VALUE"""),"")</f>
        <v/>
      </c>
      <c r="B9670" s="87"/>
      <c r="C9670" s="87"/>
      <c r="D9670" s="87"/>
      <c r="E9670" s="87"/>
      <c r="F9670" s="87"/>
      <c r="G9670" s="87"/>
    </row>
    <row r="9671">
      <c r="A9671" s="86" t="str">
        <f>IFERROR(__xludf.DUMMYFUNCTION("""COMPUTED_VALUE"""),"")</f>
        <v/>
      </c>
      <c r="B9671" s="87"/>
      <c r="C9671" s="87"/>
      <c r="D9671" s="87"/>
      <c r="E9671" s="87"/>
      <c r="F9671" s="87"/>
      <c r="G9671" s="87"/>
    </row>
    <row r="9672">
      <c r="A9672" s="86" t="str">
        <f>IFERROR(__xludf.DUMMYFUNCTION("""COMPUTED_VALUE"""),"")</f>
        <v/>
      </c>
      <c r="B9672" s="87"/>
      <c r="C9672" s="87"/>
      <c r="D9672" s="87"/>
      <c r="E9672" s="87"/>
      <c r="F9672" s="87"/>
      <c r="G9672" s="87"/>
    </row>
    <row r="9673">
      <c r="A9673" s="86" t="str">
        <f>IFERROR(__xludf.DUMMYFUNCTION("""COMPUTED_VALUE"""),"")</f>
        <v/>
      </c>
      <c r="B9673" s="87"/>
      <c r="C9673" s="87"/>
      <c r="D9673" s="87"/>
      <c r="E9673" s="87"/>
      <c r="F9673" s="87"/>
      <c r="G9673" s="87"/>
    </row>
    <row r="9674">
      <c r="A9674" s="86" t="str">
        <f>IFERROR(__xludf.DUMMYFUNCTION("""COMPUTED_VALUE"""),"")</f>
        <v/>
      </c>
      <c r="B9674" s="87"/>
      <c r="C9674" s="87"/>
      <c r="D9674" s="87"/>
      <c r="E9674" s="87"/>
      <c r="F9674" s="87"/>
      <c r="G9674" s="87"/>
    </row>
    <row r="9675">
      <c r="A9675" s="86" t="str">
        <f>IFERROR(__xludf.DUMMYFUNCTION("""COMPUTED_VALUE"""),"")</f>
        <v/>
      </c>
      <c r="B9675" s="87"/>
      <c r="C9675" s="87"/>
      <c r="D9675" s="87"/>
      <c r="E9675" s="87"/>
      <c r="F9675" s="87"/>
      <c r="G9675" s="87"/>
    </row>
    <row r="9676">
      <c r="A9676" s="86" t="str">
        <f>IFERROR(__xludf.DUMMYFUNCTION("""COMPUTED_VALUE"""),"")</f>
        <v/>
      </c>
      <c r="B9676" s="87"/>
      <c r="C9676" s="87"/>
      <c r="D9676" s="87"/>
      <c r="E9676" s="87"/>
      <c r="F9676" s="87"/>
      <c r="G9676" s="87"/>
    </row>
    <row r="9677">
      <c r="A9677" s="86" t="str">
        <f>IFERROR(__xludf.DUMMYFUNCTION("""COMPUTED_VALUE"""),"")</f>
        <v/>
      </c>
      <c r="B9677" s="87"/>
      <c r="C9677" s="87"/>
      <c r="D9677" s="87"/>
      <c r="E9677" s="87"/>
      <c r="F9677" s="87"/>
      <c r="G9677" s="87"/>
    </row>
    <row r="9678">
      <c r="A9678" s="86" t="str">
        <f>IFERROR(__xludf.DUMMYFUNCTION("""COMPUTED_VALUE"""),"")</f>
        <v/>
      </c>
      <c r="B9678" s="87"/>
      <c r="C9678" s="87"/>
      <c r="D9678" s="87"/>
      <c r="E9678" s="87"/>
      <c r="F9678" s="87"/>
      <c r="G9678" s="87"/>
    </row>
    <row r="9679">
      <c r="A9679" s="86" t="str">
        <f>IFERROR(__xludf.DUMMYFUNCTION("""COMPUTED_VALUE"""),"")</f>
        <v/>
      </c>
      <c r="B9679" s="87"/>
      <c r="C9679" s="87"/>
      <c r="D9679" s="87"/>
      <c r="E9679" s="87"/>
      <c r="F9679" s="87"/>
      <c r="G9679" s="87"/>
    </row>
    <row r="9680">
      <c r="A9680" s="86" t="str">
        <f>IFERROR(__xludf.DUMMYFUNCTION("""COMPUTED_VALUE"""),"")</f>
        <v/>
      </c>
      <c r="B9680" s="87"/>
      <c r="C9680" s="87"/>
      <c r="D9680" s="87"/>
      <c r="E9680" s="87"/>
      <c r="F9680" s="87"/>
      <c r="G9680" s="87"/>
    </row>
    <row r="9681">
      <c r="A9681" s="86" t="str">
        <f>IFERROR(__xludf.DUMMYFUNCTION("""COMPUTED_VALUE"""),"")</f>
        <v/>
      </c>
      <c r="B9681" s="87"/>
      <c r="C9681" s="87"/>
      <c r="D9681" s="87"/>
      <c r="E9681" s="87"/>
      <c r="F9681" s="87"/>
      <c r="G9681" s="87"/>
    </row>
    <row r="9682">
      <c r="A9682" s="86" t="str">
        <f>IFERROR(__xludf.DUMMYFUNCTION("""COMPUTED_VALUE"""),"")</f>
        <v/>
      </c>
      <c r="B9682" s="87"/>
      <c r="C9682" s="87"/>
      <c r="D9682" s="87"/>
      <c r="E9682" s="87"/>
      <c r="F9682" s="87"/>
      <c r="G9682" s="87"/>
    </row>
    <row r="9683">
      <c r="A9683" s="86" t="str">
        <f>IFERROR(__xludf.DUMMYFUNCTION("""COMPUTED_VALUE"""),"")</f>
        <v/>
      </c>
      <c r="B9683" s="87"/>
      <c r="C9683" s="87"/>
      <c r="D9683" s="87"/>
      <c r="E9683" s="87"/>
      <c r="F9683" s="87"/>
      <c r="G9683" s="87"/>
    </row>
    <row r="9684">
      <c r="A9684" s="86" t="str">
        <f>IFERROR(__xludf.DUMMYFUNCTION("""COMPUTED_VALUE"""),"")</f>
        <v/>
      </c>
      <c r="B9684" s="87"/>
      <c r="C9684" s="87"/>
      <c r="D9684" s="87"/>
      <c r="E9684" s="87"/>
      <c r="F9684" s="87"/>
      <c r="G9684" s="87"/>
    </row>
    <row r="9685">
      <c r="A9685" s="86" t="str">
        <f>IFERROR(__xludf.DUMMYFUNCTION("""COMPUTED_VALUE"""),"")</f>
        <v/>
      </c>
      <c r="B9685" s="87"/>
      <c r="C9685" s="87"/>
      <c r="D9685" s="87"/>
      <c r="E9685" s="87"/>
      <c r="F9685" s="87"/>
      <c r="G9685" s="87"/>
    </row>
    <row r="9686">
      <c r="A9686" s="86" t="str">
        <f>IFERROR(__xludf.DUMMYFUNCTION("""COMPUTED_VALUE"""),"")</f>
        <v/>
      </c>
      <c r="B9686" s="87"/>
      <c r="C9686" s="87"/>
      <c r="D9686" s="87"/>
      <c r="E9686" s="87"/>
      <c r="F9686" s="87"/>
      <c r="G9686" s="87"/>
    </row>
    <row r="9687">
      <c r="A9687" s="86" t="str">
        <f>IFERROR(__xludf.DUMMYFUNCTION("""COMPUTED_VALUE"""),"")</f>
        <v/>
      </c>
      <c r="B9687" s="87"/>
      <c r="C9687" s="87"/>
      <c r="D9687" s="87"/>
      <c r="E9687" s="87"/>
      <c r="F9687" s="87"/>
      <c r="G9687" s="87"/>
    </row>
    <row r="9688">
      <c r="A9688" s="86" t="str">
        <f>IFERROR(__xludf.DUMMYFUNCTION("""COMPUTED_VALUE"""),"")</f>
        <v/>
      </c>
      <c r="B9688" s="87"/>
      <c r="C9688" s="87"/>
      <c r="D9688" s="87"/>
      <c r="E9688" s="87"/>
      <c r="F9688" s="87"/>
      <c r="G9688" s="87"/>
    </row>
    <row r="9689">
      <c r="A9689" s="86" t="str">
        <f>IFERROR(__xludf.DUMMYFUNCTION("""COMPUTED_VALUE"""),"")</f>
        <v/>
      </c>
      <c r="B9689" s="87"/>
      <c r="C9689" s="87"/>
      <c r="D9689" s="87"/>
      <c r="E9689" s="87"/>
      <c r="F9689" s="87"/>
      <c r="G9689" s="87"/>
    </row>
    <row r="9690">
      <c r="A9690" s="86" t="str">
        <f>IFERROR(__xludf.DUMMYFUNCTION("""COMPUTED_VALUE"""),"")</f>
        <v/>
      </c>
      <c r="B9690" s="87"/>
      <c r="C9690" s="87"/>
      <c r="D9690" s="87"/>
      <c r="E9690" s="87"/>
      <c r="F9690" s="87"/>
      <c r="G9690" s="87"/>
    </row>
    <row r="9691">
      <c r="A9691" s="86" t="str">
        <f>IFERROR(__xludf.DUMMYFUNCTION("""COMPUTED_VALUE"""),"")</f>
        <v/>
      </c>
      <c r="B9691" s="87"/>
      <c r="C9691" s="87"/>
      <c r="D9691" s="87"/>
      <c r="E9691" s="87"/>
      <c r="F9691" s="87"/>
      <c r="G9691" s="87"/>
    </row>
    <row r="9692">
      <c r="A9692" s="86" t="str">
        <f>IFERROR(__xludf.DUMMYFUNCTION("""COMPUTED_VALUE"""),"")</f>
        <v/>
      </c>
      <c r="B9692" s="87"/>
      <c r="C9692" s="87"/>
      <c r="D9692" s="87"/>
      <c r="E9692" s="87"/>
      <c r="F9692" s="87"/>
      <c r="G9692" s="87"/>
    </row>
    <row r="9693">
      <c r="A9693" s="86" t="str">
        <f>IFERROR(__xludf.DUMMYFUNCTION("""COMPUTED_VALUE"""),"")</f>
        <v/>
      </c>
      <c r="B9693" s="87"/>
      <c r="C9693" s="87"/>
      <c r="D9693" s="87"/>
      <c r="E9693" s="87"/>
      <c r="F9693" s="87"/>
      <c r="G9693" s="87"/>
    </row>
    <row r="9694">
      <c r="A9694" s="86" t="str">
        <f>IFERROR(__xludf.DUMMYFUNCTION("""COMPUTED_VALUE"""),"")</f>
        <v/>
      </c>
      <c r="B9694" s="87"/>
      <c r="C9694" s="87"/>
      <c r="D9694" s="87"/>
      <c r="E9694" s="87"/>
      <c r="F9694" s="87"/>
      <c r="G9694" s="87"/>
    </row>
    <row r="9695">
      <c r="A9695" s="86" t="str">
        <f>IFERROR(__xludf.DUMMYFUNCTION("""COMPUTED_VALUE"""),"")</f>
        <v/>
      </c>
      <c r="B9695" s="87"/>
      <c r="C9695" s="87"/>
      <c r="D9695" s="87"/>
      <c r="E9695" s="87"/>
      <c r="F9695" s="87"/>
      <c r="G9695" s="87"/>
    </row>
    <row r="9696">
      <c r="A9696" s="86" t="str">
        <f>IFERROR(__xludf.DUMMYFUNCTION("""COMPUTED_VALUE"""),"")</f>
        <v/>
      </c>
      <c r="B9696" s="87"/>
      <c r="C9696" s="87"/>
      <c r="D9696" s="87"/>
      <c r="E9696" s="87"/>
      <c r="F9696" s="87"/>
      <c r="G9696" s="87"/>
    </row>
    <row r="9697">
      <c r="A9697" s="86" t="str">
        <f>IFERROR(__xludf.DUMMYFUNCTION("""COMPUTED_VALUE"""),"")</f>
        <v/>
      </c>
      <c r="B9697" s="87"/>
      <c r="C9697" s="87"/>
      <c r="D9697" s="87"/>
      <c r="E9697" s="87"/>
      <c r="F9697" s="87"/>
      <c r="G9697" s="87"/>
    </row>
    <row r="9698">
      <c r="A9698" s="86" t="str">
        <f>IFERROR(__xludf.DUMMYFUNCTION("""COMPUTED_VALUE"""),"")</f>
        <v/>
      </c>
      <c r="B9698" s="87"/>
      <c r="C9698" s="87"/>
      <c r="D9698" s="87"/>
      <c r="E9698" s="87"/>
      <c r="F9698" s="87"/>
      <c r="G9698" s="87"/>
    </row>
    <row r="9699">
      <c r="A9699" s="86" t="str">
        <f>IFERROR(__xludf.DUMMYFUNCTION("""COMPUTED_VALUE"""),"")</f>
        <v/>
      </c>
      <c r="B9699" s="87"/>
      <c r="C9699" s="87"/>
      <c r="D9699" s="87"/>
      <c r="E9699" s="87"/>
      <c r="F9699" s="87"/>
      <c r="G9699" s="87"/>
    </row>
    <row r="9700">
      <c r="A9700" s="86" t="str">
        <f>IFERROR(__xludf.DUMMYFUNCTION("""COMPUTED_VALUE"""),"")</f>
        <v/>
      </c>
      <c r="B9700" s="87"/>
      <c r="C9700" s="87"/>
      <c r="D9700" s="87"/>
      <c r="E9700" s="87"/>
      <c r="F9700" s="87"/>
      <c r="G9700" s="87"/>
    </row>
    <row r="9701">
      <c r="A9701" s="86" t="str">
        <f>IFERROR(__xludf.DUMMYFUNCTION("""COMPUTED_VALUE"""),"")</f>
        <v/>
      </c>
      <c r="B9701" s="87"/>
      <c r="C9701" s="87"/>
      <c r="D9701" s="87"/>
      <c r="E9701" s="87"/>
      <c r="F9701" s="87"/>
      <c r="G9701" s="87"/>
    </row>
    <row r="9702">
      <c r="A9702" s="86" t="str">
        <f>IFERROR(__xludf.DUMMYFUNCTION("""COMPUTED_VALUE"""),"")</f>
        <v/>
      </c>
      <c r="B9702" s="87"/>
      <c r="C9702" s="87"/>
      <c r="D9702" s="87"/>
      <c r="E9702" s="87"/>
      <c r="F9702" s="87"/>
      <c r="G9702" s="87"/>
    </row>
    <row r="9703">
      <c r="A9703" s="86" t="str">
        <f>IFERROR(__xludf.DUMMYFUNCTION("""COMPUTED_VALUE"""),"")</f>
        <v/>
      </c>
      <c r="B9703" s="87"/>
      <c r="C9703" s="87"/>
      <c r="D9703" s="87"/>
      <c r="E9703" s="87"/>
      <c r="F9703" s="87"/>
      <c r="G9703" s="87"/>
    </row>
    <row r="9704">
      <c r="A9704" s="86" t="str">
        <f>IFERROR(__xludf.DUMMYFUNCTION("""COMPUTED_VALUE"""),"")</f>
        <v/>
      </c>
      <c r="B9704" s="87"/>
      <c r="C9704" s="87"/>
      <c r="D9704" s="87"/>
      <c r="E9704" s="87"/>
      <c r="F9704" s="87"/>
      <c r="G9704" s="87"/>
    </row>
    <row r="9705">
      <c r="A9705" s="86" t="str">
        <f>IFERROR(__xludf.DUMMYFUNCTION("""COMPUTED_VALUE"""),"")</f>
        <v/>
      </c>
      <c r="B9705" s="87"/>
      <c r="C9705" s="87"/>
      <c r="D9705" s="87"/>
      <c r="E9705" s="87"/>
      <c r="F9705" s="87"/>
      <c r="G9705" s="87"/>
    </row>
    <row r="9706">
      <c r="A9706" s="86" t="str">
        <f>IFERROR(__xludf.DUMMYFUNCTION("""COMPUTED_VALUE"""),"")</f>
        <v/>
      </c>
      <c r="B9706" s="87"/>
      <c r="C9706" s="87"/>
      <c r="D9706" s="87"/>
      <c r="E9706" s="87"/>
      <c r="F9706" s="87"/>
      <c r="G9706" s="87"/>
    </row>
    <row r="9707">
      <c r="A9707" s="86" t="str">
        <f>IFERROR(__xludf.DUMMYFUNCTION("""COMPUTED_VALUE"""),"")</f>
        <v/>
      </c>
      <c r="B9707" s="87"/>
      <c r="C9707" s="87"/>
      <c r="D9707" s="87"/>
      <c r="E9707" s="87"/>
      <c r="F9707" s="87"/>
      <c r="G9707" s="87"/>
    </row>
    <row r="9708">
      <c r="A9708" s="86" t="str">
        <f>IFERROR(__xludf.DUMMYFUNCTION("""COMPUTED_VALUE"""),"")</f>
        <v/>
      </c>
      <c r="B9708" s="87"/>
      <c r="C9708" s="87"/>
      <c r="D9708" s="87"/>
      <c r="E9708" s="87"/>
      <c r="F9708" s="87"/>
      <c r="G9708" s="87"/>
    </row>
    <row r="9709">
      <c r="A9709" s="86" t="str">
        <f>IFERROR(__xludf.DUMMYFUNCTION("""COMPUTED_VALUE"""),"")</f>
        <v/>
      </c>
      <c r="B9709" s="87"/>
      <c r="C9709" s="87"/>
      <c r="D9709" s="87"/>
      <c r="E9709" s="87"/>
      <c r="F9709" s="87"/>
      <c r="G9709" s="87"/>
    </row>
    <row r="9710">
      <c r="A9710" s="86" t="str">
        <f>IFERROR(__xludf.DUMMYFUNCTION("""COMPUTED_VALUE"""),"")</f>
        <v/>
      </c>
      <c r="B9710" s="87"/>
      <c r="C9710" s="87"/>
      <c r="D9710" s="87"/>
      <c r="E9710" s="87"/>
      <c r="F9710" s="87"/>
      <c r="G9710" s="87"/>
    </row>
    <row r="9711">
      <c r="A9711" s="86" t="str">
        <f>IFERROR(__xludf.DUMMYFUNCTION("""COMPUTED_VALUE"""),"")</f>
        <v/>
      </c>
      <c r="B9711" s="87"/>
      <c r="C9711" s="87"/>
      <c r="D9711" s="87"/>
      <c r="E9711" s="87"/>
      <c r="F9711" s="87"/>
      <c r="G9711" s="87"/>
    </row>
    <row r="9712">
      <c r="A9712" s="86" t="str">
        <f>IFERROR(__xludf.DUMMYFUNCTION("""COMPUTED_VALUE"""),"")</f>
        <v/>
      </c>
      <c r="B9712" s="87"/>
      <c r="C9712" s="87"/>
      <c r="D9712" s="87"/>
      <c r="E9712" s="87"/>
      <c r="F9712" s="87"/>
      <c r="G9712" s="87"/>
    </row>
    <row r="9713">
      <c r="A9713" s="86" t="str">
        <f>IFERROR(__xludf.DUMMYFUNCTION("""COMPUTED_VALUE"""),"")</f>
        <v/>
      </c>
      <c r="B9713" s="87"/>
      <c r="C9713" s="87"/>
      <c r="D9713" s="87"/>
      <c r="E9713" s="87"/>
      <c r="F9713" s="87"/>
      <c r="G9713" s="87"/>
    </row>
    <row r="9714">
      <c r="A9714" s="86" t="str">
        <f>IFERROR(__xludf.DUMMYFUNCTION("""COMPUTED_VALUE"""),"")</f>
        <v/>
      </c>
      <c r="B9714" s="87"/>
      <c r="C9714" s="87"/>
      <c r="D9714" s="87"/>
      <c r="E9714" s="87"/>
      <c r="F9714" s="87"/>
      <c r="G9714" s="87"/>
    </row>
    <row r="9715">
      <c r="A9715" s="86" t="str">
        <f>IFERROR(__xludf.DUMMYFUNCTION("""COMPUTED_VALUE"""),"")</f>
        <v/>
      </c>
      <c r="B9715" s="87"/>
      <c r="C9715" s="87"/>
      <c r="D9715" s="87"/>
      <c r="E9715" s="87"/>
      <c r="F9715" s="87"/>
      <c r="G9715" s="87"/>
    </row>
    <row r="9716">
      <c r="A9716" s="86" t="str">
        <f>IFERROR(__xludf.DUMMYFUNCTION("""COMPUTED_VALUE"""),"")</f>
        <v/>
      </c>
      <c r="B9716" s="87"/>
      <c r="C9716" s="87"/>
      <c r="D9716" s="87"/>
      <c r="E9716" s="87"/>
      <c r="F9716" s="87"/>
      <c r="G9716" s="87"/>
    </row>
    <row r="9717">
      <c r="A9717" s="86" t="str">
        <f>IFERROR(__xludf.DUMMYFUNCTION("""COMPUTED_VALUE"""),"")</f>
        <v/>
      </c>
      <c r="B9717" s="87"/>
      <c r="C9717" s="87"/>
      <c r="D9717" s="87"/>
      <c r="E9717" s="87"/>
      <c r="F9717" s="87"/>
      <c r="G9717" s="87"/>
    </row>
    <row r="9718">
      <c r="A9718" s="86" t="str">
        <f>IFERROR(__xludf.DUMMYFUNCTION("""COMPUTED_VALUE"""),"")</f>
        <v/>
      </c>
      <c r="B9718" s="87"/>
      <c r="C9718" s="87"/>
      <c r="D9718" s="87"/>
      <c r="E9718" s="87"/>
      <c r="F9718" s="87"/>
      <c r="G9718" s="87"/>
    </row>
    <row r="9719">
      <c r="A9719" s="86" t="str">
        <f>IFERROR(__xludf.DUMMYFUNCTION("""COMPUTED_VALUE"""),"")</f>
        <v/>
      </c>
      <c r="B9719" s="87"/>
      <c r="C9719" s="87"/>
      <c r="D9719" s="87"/>
      <c r="E9719" s="87"/>
      <c r="F9719" s="87"/>
      <c r="G9719" s="87"/>
    </row>
    <row r="9720">
      <c r="A9720" s="86" t="str">
        <f>IFERROR(__xludf.DUMMYFUNCTION("""COMPUTED_VALUE"""),"")</f>
        <v/>
      </c>
      <c r="B9720" s="87"/>
      <c r="C9720" s="87"/>
      <c r="D9720" s="87"/>
      <c r="E9720" s="87"/>
      <c r="F9720" s="87"/>
      <c r="G9720" s="87"/>
    </row>
    <row r="9721">
      <c r="A9721" s="86" t="str">
        <f>IFERROR(__xludf.DUMMYFUNCTION("""COMPUTED_VALUE"""),"")</f>
        <v/>
      </c>
      <c r="B9721" s="87"/>
      <c r="C9721" s="87"/>
      <c r="D9721" s="87"/>
      <c r="E9721" s="87"/>
      <c r="F9721" s="87"/>
      <c r="G9721" s="87"/>
    </row>
    <row r="9722">
      <c r="A9722" s="86" t="str">
        <f>IFERROR(__xludf.DUMMYFUNCTION("""COMPUTED_VALUE"""),"")</f>
        <v/>
      </c>
      <c r="B9722" s="87"/>
      <c r="C9722" s="87"/>
      <c r="D9722" s="87"/>
      <c r="E9722" s="87"/>
      <c r="F9722" s="87"/>
      <c r="G9722" s="87"/>
    </row>
    <row r="9723">
      <c r="A9723" s="86" t="str">
        <f>IFERROR(__xludf.DUMMYFUNCTION("""COMPUTED_VALUE"""),"")</f>
        <v/>
      </c>
      <c r="B9723" s="87"/>
      <c r="C9723" s="87"/>
      <c r="D9723" s="87"/>
      <c r="E9723" s="87"/>
      <c r="F9723" s="87"/>
      <c r="G9723" s="87"/>
    </row>
    <row r="9724">
      <c r="A9724" s="86" t="str">
        <f>IFERROR(__xludf.DUMMYFUNCTION("""COMPUTED_VALUE"""),"")</f>
        <v/>
      </c>
      <c r="B9724" s="87"/>
      <c r="C9724" s="87"/>
      <c r="D9724" s="87"/>
      <c r="E9724" s="87"/>
      <c r="F9724" s="87"/>
      <c r="G9724" s="87"/>
    </row>
    <row r="9725">
      <c r="A9725" s="86" t="str">
        <f>IFERROR(__xludf.DUMMYFUNCTION("""COMPUTED_VALUE"""),"")</f>
        <v/>
      </c>
      <c r="B9725" s="87"/>
      <c r="C9725" s="87"/>
      <c r="D9725" s="87"/>
      <c r="E9725" s="87"/>
      <c r="F9725" s="87"/>
      <c r="G9725" s="87"/>
    </row>
    <row r="9726">
      <c r="A9726" s="86" t="str">
        <f>IFERROR(__xludf.DUMMYFUNCTION("""COMPUTED_VALUE"""),"")</f>
        <v/>
      </c>
      <c r="B9726" s="87"/>
      <c r="C9726" s="87"/>
      <c r="D9726" s="87"/>
      <c r="E9726" s="87"/>
      <c r="F9726" s="87"/>
      <c r="G9726" s="87"/>
    </row>
    <row r="9727">
      <c r="A9727" s="86" t="str">
        <f>IFERROR(__xludf.DUMMYFUNCTION("""COMPUTED_VALUE"""),"")</f>
        <v/>
      </c>
      <c r="B9727" s="87"/>
      <c r="C9727" s="87"/>
      <c r="D9727" s="87"/>
      <c r="E9727" s="87"/>
      <c r="F9727" s="87"/>
      <c r="G9727" s="87"/>
    </row>
    <row r="9728">
      <c r="A9728" s="86" t="str">
        <f>IFERROR(__xludf.DUMMYFUNCTION("""COMPUTED_VALUE"""),"")</f>
        <v/>
      </c>
      <c r="B9728" s="87"/>
      <c r="C9728" s="87"/>
      <c r="D9728" s="87"/>
      <c r="E9728" s="87"/>
      <c r="F9728" s="87"/>
      <c r="G9728" s="87"/>
    </row>
    <row r="9729">
      <c r="A9729" s="86" t="str">
        <f>IFERROR(__xludf.DUMMYFUNCTION("""COMPUTED_VALUE"""),"")</f>
        <v/>
      </c>
      <c r="B9729" s="87"/>
      <c r="C9729" s="87"/>
      <c r="D9729" s="87"/>
      <c r="E9729" s="87"/>
      <c r="F9729" s="87"/>
      <c r="G9729" s="87"/>
    </row>
    <row r="9730">
      <c r="A9730" s="86" t="str">
        <f>IFERROR(__xludf.DUMMYFUNCTION("""COMPUTED_VALUE"""),"")</f>
        <v/>
      </c>
      <c r="B9730" s="87"/>
      <c r="C9730" s="87"/>
      <c r="D9730" s="87"/>
      <c r="E9730" s="87"/>
      <c r="F9730" s="87"/>
      <c r="G9730" s="87"/>
    </row>
    <row r="9731">
      <c r="A9731" s="86" t="str">
        <f>IFERROR(__xludf.DUMMYFUNCTION("""COMPUTED_VALUE"""),"")</f>
        <v/>
      </c>
      <c r="B9731" s="87"/>
      <c r="C9731" s="87"/>
      <c r="D9731" s="87"/>
      <c r="E9731" s="87"/>
      <c r="F9731" s="87"/>
      <c r="G9731" s="87"/>
    </row>
    <row r="9732">
      <c r="A9732" s="86" t="str">
        <f>IFERROR(__xludf.DUMMYFUNCTION("""COMPUTED_VALUE"""),"")</f>
        <v/>
      </c>
      <c r="B9732" s="87"/>
      <c r="C9732" s="87"/>
      <c r="D9732" s="87"/>
      <c r="E9732" s="87"/>
      <c r="F9732" s="87"/>
      <c r="G9732" s="87"/>
    </row>
    <row r="9733">
      <c r="A9733" s="86" t="str">
        <f>IFERROR(__xludf.DUMMYFUNCTION("""COMPUTED_VALUE"""),"")</f>
        <v/>
      </c>
      <c r="B9733" s="87"/>
      <c r="C9733" s="87"/>
      <c r="D9733" s="87"/>
      <c r="E9733" s="87"/>
      <c r="F9733" s="87"/>
      <c r="G9733" s="87"/>
    </row>
    <row r="9734">
      <c r="A9734" s="86" t="str">
        <f>IFERROR(__xludf.DUMMYFUNCTION("""COMPUTED_VALUE"""),"")</f>
        <v/>
      </c>
      <c r="B9734" s="87"/>
      <c r="C9734" s="87"/>
      <c r="D9734" s="87"/>
      <c r="E9734" s="87"/>
      <c r="F9734" s="87"/>
      <c r="G9734" s="87"/>
    </row>
    <row r="9735">
      <c r="A9735" s="86" t="str">
        <f>IFERROR(__xludf.DUMMYFUNCTION("""COMPUTED_VALUE"""),"")</f>
        <v/>
      </c>
      <c r="B9735" s="87"/>
      <c r="C9735" s="87"/>
      <c r="D9735" s="87"/>
      <c r="E9735" s="87"/>
      <c r="F9735" s="87"/>
      <c r="G9735" s="87"/>
    </row>
    <row r="9736">
      <c r="A9736" s="86" t="str">
        <f>IFERROR(__xludf.DUMMYFUNCTION("""COMPUTED_VALUE"""),"")</f>
        <v/>
      </c>
      <c r="B9736" s="87"/>
      <c r="C9736" s="87"/>
      <c r="D9736" s="87"/>
      <c r="E9736" s="87"/>
      <c r="F9736" s="87"/>
      <c r="G9736" s="87"/>
    </row>
    <row r="9737">
      <c r="A9737" s="86" t="str">
        <f>IFERROR(__xludf.DUMMYFUNCTION("""COMPUTED_VALUE"""),"")</f>
        <v/>
      </c>
      <c r="B9737" s="87"/>
      <c r="C9737" s="87"/>
      <c r="D9737" s="87"/>
      <c r="E9737" s="87"/>
      <c r="F9737" s="87"/>
      <c r="G9737" s="87"/>
    </row>
    <row r="9738">
      <c r="A9738" s="86" t="str">
        <f>IFERROR(__xludf.DUMMYFUNCTION("""COMPUTED_VALUE"""),"")</f>
        <v/>
      </c>
      <c r="B9738" s="87"/>
      <c r="C9738" s="87"/>
      <c r="D9738" s="87"/>
      <c r="E9738" s="87"/>
      <c r="F9738" s="87"/>
      <c r="G9738" s="87"/>
    </row>
    <row r="9739">
      <c r="A9739" s="86" t="str">
        <f>IFERROR(__xludf.DUMMYFUNCTION("""COMPUTED_VALUE"""),"")</f>
        <v/>
      </c>
      <c r="B9739" s="87"/>
      <c r="C9739" s="87"/>
      <c r="D9739" s="87"/>
      <c r="E9739" s="87"/>
      <c r="F9739" s="87"/>
      <c r="G9739" s="87"/>
    </row>
    <row r="9740">
      <c r="A9740" s="86" t="str">
        <f>IFERROR(__xludf.DUMMYFUNCTION("""COMPUTED_VALUE"""),"")</f>
        <v/>
      </c>
      <c r="B9740" s="87"/>
      <c r="C9740" s="87"/>
      <c r="D9740" s="87"/>
      <c r="E9740" s="87"/>
      <c r="F9740" s="87"/>
      <c r="G9740" s="87"/>
    </row>
    <row r="9741">
      <c r="A9741" s="86" t="str">
        <f>IFERROR(__xludf.DUMMYFUNCTION("""COMPUTED_VALUE"""),"")</f>
        <v/>
      </c>
      <c r="B9741" s="87"/>
      <c r="C9741" s="87"/>
      <c r="D9741" s="87"/>
      <c r="E9741" s="87"/>
      <c r="F9741" s="87"/>
      <c r="G9741" s="87"/>
    </row>
    <row r="9742">
      <c r="A9742" s="86" t="str">
        <f>IFERROR(__xludf.DUMMYFUNCTION("""COMPUTED_VALUE"""),"")</f>
        <v/>
      </c>
      <c r="B9742" s="87"/>
      <c r="C9742" s="87"/>
      <c r="D9742" s="87"/>
      <c r="E9742" s="87"/>
      <c r="F9742" s="87"/>
      <c r="G9742" s="87"/>
    </row>
    <row r="9743">
      <c r="A9743" s="86" t="str">
        <f>IFERROR(__xludf.DUMMYFUNCTION("""COMPUTED_VALUE"""),"")</f>
        <v/>
      </c>
      <c r="B9743" s="87"/>
      <c r="C9743" s="87"/>
      <c r="D9743" s="87"/>
      <c r="E9743" s="87"/>
      <c r="F9743" s="87"/>
      <c r="G9743" s="87"/>
    </row>
    <row r="9744">
      <c r="A9744" s="86" t="str">
        <f>IFERROR(__xludf.DUMMYFUNCTION("""COMPUTED_VALUE"""),"")</f>
        <v/>
      </c>
      <c r="B9744" s="87"/>
      <c r="C9744" s="87"/>
      <c r="D9744" s="87"/>
      <c r="E9744" s="87"/>
      <c r="F9744" s="87"/>
      <c r="G9744" s="87"/>
    </row>
    <row r="9745">
      <c r="A9745" s="86" t="str">
        <f>IFERROR(__xludf.DUMMYFUNCTION("""COMPUTED_VALUE"""),"")</f>
        <v/>
      </c>
      <c r="B9745" s="87"/>
      <c r="C9745" s="87"/>
      <c r="D9745" s="87"/>
      <c r="E9745" s="87"/>
      <c r="F9745" s="87"/>
      <c r="G9745" s="87"/>
    </row>
    <row r="9746">
      <c r="A9746" s="86" t="str">
        <f>IFERROR(__xludf.DUMMYFUNCTION("""COMPUTED_VALUE"""),"")</f>
        <v/>
      </c>
      <c r="B9746" s="87"/>
      <c r="C9746" s="87"/>
      <c r="D9746" s="87"/>
      <c r="E9746" s="87"/>
      <c r="F9746" s="87"/>
      <c r="G9746" s="87"/>
    </row>
    <row r="9747">
      <c r="A9747" s="86" t="str">
        <f>IFERROR(__xludf.DUMMYFUNCTION("""COMPUTED_VALUE"""),"")</f>
        <v/>
      </c>
      <c r="B9747" s="87"/>
      <c r="C9747" s="87"/>
      <c r="D9747" s="87"/>
      <c r="E9747" s="87"/>
      <c r="F9747" s="87"/>
      <c r="G9747" s="87"/>
    </row>
    <row r="9748">
      <c r="A9748" s="86" t="str">
        <f>IFERROR(__xludf.DUMMYFUNCTION("""COMPUTED_VALUE"""),"")</f>
        <v/>
      </c>
      <c r="B9748" s="87"/>
      <c r="C9748" s="87"/>
      <c r="D9748" s="87"/>
      <c r="E9748" s="87"/>
      <c r="F9748" s="87"/>
      <c r="G9748" s="87"/>
    </row>
    <row r="9749">
      <c r="A9749" s="86" t="str">
        <f>IFERROR(__xludf.DUMMYFUNCTION("""COMPUTED_VALUE"""),"")</f>
        <v/>
      </c>
      <c r="B9749" s="87"/>
      <c r="C9749" s="87"/>
      <c r="D9749" s="87"/>
      <c r="E9749" s="87"/>
      <c r="F9749" s="87"/>
      <c r="G9749" s="87"/>
    </row>
    <row r="9750">
      <c r="A9750" s="86" t="str">
        <f>IFERROR(__xludf.DUMMYFUNCTION("""COMPUTED_VALUE"""),"")</f>
        <v/>
      </c>
      <c r="B9750" s="87"/>
      <c r="C9750" s="87"/>
      <c r="D9750" s="87"/>
      <c r="E9750" s="87"/>
      <c r="F9750" s="87"/>
      <c r="G9750" s="87"/>
    </row>
    <row r="9751">
      <c r="A9751" s="86" t="str">
        <f>IFERROR(__xludf.DUMMYFUNCTION("""COMPUTED_VALUE"""),"")</f>
        <v/>
      </c>
      <c r="B9751" s="87"/>
      <c r="C9751" s="87"/>
      <c r="D9751" s="87"/>
      <c r="E9751" s="87"/>
      <c r="F9751" s="87"/>
      <c r="G9751" s="87"/>
    </row>
    <row r="9752">
      <c r="A9752" s="86" t="str">
        <f>IFERROR(__xludf.DUMMYFUNCTION("""COMPUTED_VALUE"""),"")</f>
        <v/>
      </c>
      <c r="B9752" s="87"/>
      <c r="C9752" s="87"/>
      <c r="D9752" s="87"/>
      <c r="E9752" s="87"/>
      <c r="F9752" s="87"/>
      <c r="G9752" s="87"/>
    </row>
    <row r="9753">
      <c r="A9753" s="86" t="str">
        <f>IFERROR(__xludf.DUMMYFUNCTION("""COMPUTED_VALUE"""),"")</f>
        <v/>
      </c>
      <c r="B9753" s="87"/>
      <c r="C9753" s="87"/>
      <c r="D9753" s="87"/>
      <c r="E9753" s="87"/>
      <c r="F9753" s="87"/>
      <c r="G9753" s="87"/>
    </row>
    <row r="9754">
      <c r="A9754" s="86" t="str">
        <f>IFERROR(__xludf.DUMMYFUNCTION("""COMPUTED_VALUE"""),"")</f>
        <v/>
      </c>
      <c r="B9754" s="87"/>
      <c r="C9754" s="87"/>
      <c r="D9754" s="87"/>
      <c r="E9754" s="87"/>
      <c r="F9754" s="87"/>
      <c r="G9754" s="87"/>
    </row>
    <row r="9755">
      <c r="A9755" s="86" t="str">
        <f>IFERROR(__xludf.DUMMYFUNCTION("""COMPUTED_VALUE"""),"")</f>
        <v/>
      </c>
      <c r="B9755" s="87"/>
      <c r="C9755" s="87"/>
      <c r="D9755" s="87"/>
      <c r="E9755" s="87"/>
      <c r="F9755" s="87"/>
      <c r="G9755" s="87"/>
    </row>
    <row r="9756">
      <c r="A9756" s="86" t="str">
        <f>IFERROR(__xludf.DUMMYFUNCTION("""COMPUTED_VALUE"""),"")</f>
        <v/>
      </c>
      <c r="B9756" s="87"/>
      <c r="C9756" s="87"/>
      <c r="D9756" s="87"/>
      <c r="E9756" s="87"/>
      <c r="F9756" s="87"/>
      <c r="G9756" s="87"/>
    </row>
    <row r="9757">
      <c r="A9757" s="86" t="str">
        <f>IFERROR(__xludf.DUMMYFUNCTION("""COMPUTED_VALUE"""),"")</f>
        <v/>
      </c>
      <c r="B9757" s="87"/>
      <c r="C9757" s="87"/>
      <c r="D9757" s="87"/>
      <c r="E9757" s="87"/>
      <c r="F9757" s="87"/>
      <c r="G9757" s="87"/>
    </row>
    <row r="9758">
      <c r="A9758" s="86" t="str">
        <f>IFERROR(__xludf.DUMMYFUNCTION("""COMPUTED_VALUE"""),"")</f>
        <v/>
      </c>
      <c r="B9758" s="87"/>
      <c r="C9758" s="87"/>
      <c r="D9758" s="87"/>
      <c r="E9758" s="87"/>
      <c r="F9758" s="87"/>
      <c r="G9758" s="87"/>
    </row>
    <row r="9759">
      <c r="A9759" s="86" t="str">
        <f>IFERROR(__xludf.DUMMYFUNCTION("""COMPUTED_VALUE"""),"")</f>
        <v/>
      </c>
      <c r="B9759" s="87"/>
      <c r="C9759" s="87"/>
      <c r="D9759" s="87"/>
      <c r="E9759" s="87"/>
      <c r="F9759" s="87"/>
      <c r="G9759" s="87"/>
    </row>
    <row r="9760">
      <c r="A9760" s="86" t="str">
        <f>IFERROR(__xludf.DUMMYFUNCTION("""COMPUTED_VALUE"""),"")</f>
        <v/>
      </c>
      <c r="B9760" s="87"/>
      <c r="C9760" s="87"/>
      <c r="D9760" s="87"/>
      <c r="E9760" s="87"/>
      <c r="F9760" s="87"/>
      <c r="G9760" s="87"/>
    </row>
    <row r="9761">
      <c r="A9761" s="86" t="str">
        <f>IFERROR(__xludf.DUMMYFUNCTION("""COMPUTED_VALUE"""),"")</f>
        <v/>
      </c>
      <c r="B9761" s="87"/>
      <c r="C9761" s="87"/>
      <c r="D9761" s="87"/>
      <c r="E9761" s="87"/>
      <c r="F9761" s="87"/>
      <c r="G9761" s="87"/>
    </row>
    <row r="9762">
      <c r="A9762" s="86" t="str">
        <f>IFERROR(__xludf.DUMMYFUNCTION("""COMPUTED_VALUE"""),"")</f>
        <v/>
      </c>
      <c r="B9762" s="87"/>
      <c r="C9762" s="87"/>
      <c r="D9762" s="87"/>
      <c r="E9762" s="87"/>
      <c r="F9762" s="87"/>
      <c r="G9762" s="87"/>
    </row>
    <row r="9763">
      <c r="A9763" s="86" t="str">
        <f>IFERROR(__xludf.DUMMYFUNCTION("""COMPUTED_VALUE"""),"")</f>
        <v/>
      </c>
      <c r="B9763" s="87"/>
      <c r="C9763" s="87"/>
      <c r="D9763" s="87"/>
      <c r="E9763" s="87"/>
      <c r="F9763" s="87"/>
      <c r="G9763" s="87"/>
    </row>
    <row r="9764">
      <c r="A9764" s="86" t="str">
        <f>IFERROR(__xludf.DUMMYFUNCTION("""COMPUTED_VALUE"""),"")</f>
        <v/>
      </c>
      <c r="B9764" s="87"/>
      <c r="C9764" s="87"/>
      <c r="D9764" s="87"/>
      <c r="E9764" s="87"/>
      <c r="F9764" s="87"/>
      <c r="G9764" s="87"/>
    </row>
    <row r="9765">
      <c r="A9765" s="86" t="str">
        <f>IFERROR(__xludf.DUMMYFUNCTION("""COMPUTED_VALUE"""),"")</f>
        <v/>
      </c>
      <c r="B9765" s="87"/>
      <c r="C9765" s="87"/>
      <c r="D9765" s="87"/>
      <c r="E9765" s="87"/>
      <c r="F9765" s="87"/>
      <c r="G9765" s="87"/>
    </row>
    <row r="9766">
      <c r="A9766" s="86" t="str">
        <f>IFERROR(__xludf.DUMMYFUNCTION("""COMPUTED_VALUE"""),"")</f>
        <v/>
      </c>
      <c r="B9766" s="87"/>
      <c r="C9766" s="87"/>
      <c r="D9766" s="87"/>
      <c r="E9766" s="87"/>
      <c r="F9766" s="87"/>
      <c r="G9766" s="87"/>
    </row>
    <row r="9767">
      <c r="A9767" s="86" t="str">
        <f>IFERROR(__xludf.DUMMYFUNCTION("""COMPUTED_VALUE"""),"")</f>
        <v/>
      </c>
      <c r="B9767" s="87"/>
      <c r="C9767" s="87"/>
      <c r="D9767" s="87"/>
      <c r="E9767" s="87"/>
      <c r="F9767" s="87"/>
      <c r="G9767" s="87"/>
    </row>
    <row r="9768">
      <c r="A9768" s="86" t="str">
        <f>IFERROR(__xludf.DUMMYFUNCTION("""COMPUTED_VALUE"""),"")</f>
        <v/>
      </c>
      <c r="B9768" s="87"/>
      <c r="C9768" s="87"/>
      <c r="D9768" s="87"/>
      <c r="E9768" s="87"/>
      <c r="F9768" s="87"/>
      <c r="G9768" s="87"/>
    </row>
    <row r="9769">
      <c r="A9769" s="86" t="str">
        <f>IFERROR(__xludf.DUMMYFUNCTION("""COMPUTED_VALUE"""),"")</f>
        <v/>
      </c>
      <c r="B9769" s="87"/>
      <c r="C9769" s="87"/>
      <c r="D9769" s="87"/>
      <c r="E9769" s="87"/>
      <c r="F9769" s="87"/>
      <c r="G9769" s="87"/>
    </row>
    <row r="9770">
      <c r="A9770" s="86" t="str">
        <f>IFERROR(__xludf.DUMMYFUNCTION("""COMPUTED_VALUE"""),"")</f>
        <v/>
      </c>
      <c r="B9770" s="87"/>
      <c r="C9770" s="87"/>
      <c r="D9770" s="87"/>
      <c r="E9770" s="87"/>
      <c r="F9770" s="87"/>
      <c r="G9770" s="87"/>
    </row>
    <row r="9771">
      <c r="A9771" s="86" t="str">
        <f>IFERROR(__xludf.DUMMYFUNCTION("""COMPUTED_VALUE"""),"")</f>
        <v/>
      </c>
      <c r="B9771" s="87"/>
      <c r="C9771" s="87"/>
      <c r="D9771" s="87"/>
      <c r="E9771" s="87"/>
      <c r="F9771" s="87"/>
      <c r="G9771" s="87"/>
    </row>
    <row r="9772">
      <c r="A9772" s="86" t="str">
        <f>IFERROR(__xludf.DUMMYFUNCTION("""COMPUTED_VALUE"""),"")</f>
        <v/>
      </c>
      <c r="B9772" s="87"/>
      <c r="C9772" s="87"/>
      <c r="D9772" s="87"/>
      <c r="E9772" s="87"/>
      <c r="F9772" s="87"/>
      <c r="G9772" s="87"/>
    </row>
    <row r="9773">
      <c r="A9773" s="86" t="str">
        <f>IFERROR(__xludf.DUMMYFUNCTION("""COMPUTED_VALUE"""),"")</f>
        <v/>
      </c>
      <c r="B9773" s="87"/>
      <c r="C9773" s="87"/>
      <c r="D9773" s="87"/>
      <c r="E9773" s="87"/>
      <c r="F9773" s="87"/>
      <c r="G9773" s="87"/>
    </row>
    <row r="9774">
      <c r="A9774" s="86" t="str">
        <f>IFERROR(__xludf.DUMMYFUNCTION("""COMPUTED_VALUE"""),"")</f>
        <v/>
      </c>
      <c r="B9774" s="87"/>
      <c r="C9774" s="87"/>
      <c r="D9774" s="87"/>
      <c r="E9774" s="87"/>
      <c r="F9774" s="87"/>
      <c r="G9774" s="87"/>
    </row>
    <row r="9775">
      <c r="A9775" s="86" t="str">
        <f>IFERROR(__xludf.DUMMYFUNCTION("""COMPUTED_VALUE"""),"")</f>
        <v/>
      </c>
      <c r="B9775" s="87"/>
      <c r="C9775" s="87"/>
      <c r="D9775" s="87"/>
      <c r="E9775" s="87"/>
      <c r="F9775" s="87"/>
      <c r="G9775" s="87"/>
    </row>
    <row r="9776">
      <c r="A9776" s="86" t="str">
        <f>IFERROR(__xludf.DUMMYFUNCTION("""COMPUTED_VALUE"""),"")</f>
        <v/>
      </c>
      <c r="B9776" s="87"/>
      <c r="C9776" s="87"/>
      <c r="D9776" s="87"/>
      <c r="E9776" s="87"/>
      <c r="F9776" s="87"/>
      <c r="G9776" s="87"/>
    </row>
    <row r="9777">
      <c r="A9777" s="86" t="str">
        <f>IFERROR(__xludf.DUMMYFUNCTION("""COMPUTED_VALUE"""),"")</f>
        <v/>
      </c>
      <c r="B9777" s="87"/>
      <c r="C9777" s="87"/>
      <c r="D9777" s="87"/>
      <c r="E9777" s="87"/>
      <c r="F9777" s="87"/>
      <c r="G9777" s="87"/>
    </row>
    <row r="9778">
      <c r="A9778" s="86" t="str">
        <f>IFERROR(__xludf.DUMMYFUNCTION("""COMPUTED_VALUE"""),"")</f>
        <v/>
      </c>
      <c r="B9778" s="87"/>
      <c r="C9778" s="87"/>
      <c r="D9778" s="87"/>
      <c r="E9778" s="87"/>
      <c r="F9778" s="87"/>
      <c r="G9778" s="87"/>
    </row>
    <row r="9779">
      <c r="A9779" s="86" t="str">
        <f>IFERROR(__xludf.DUMMYFUNCTION("""COMPUTED_VALUE"""),"")</f>
        <v/>
      </c>
      <c r="B9779" s="87"/>
      <c r="C9779" s="87"/>
      <c r="D9779" s="87"/>
      <c r="E9779" s="87"/>
      <c r="F9779" s="87"/>
      <c r="G9779" s="87"/>
    </row>
    <row r="9780">
      <c r="A9780" s="86" t="str">
        <f>IFERROR(__xludf.DUMMYFUNCTION("""COMPUTED_VALUE"""),"")</f>
        <v/>
      </c>
      <c r="B9780" s="87"/>
      <c r="C9780" s="87"/>
      <c r="D9780" s="87"/>
      <c r="E9780" s="87"/>
      <c r="F9780" s="87"/>
      <c r="G9780" s="87"/>
    </row>
    <row r="9781">
      <c r="A9781" s="86" t="str">
        <f>IFERROR(__xludf.DUMMYFUNCTION("""COMPUTED_VALUE"""),"")</f>
        <v/>
      </c>
      <c r="B9781" s="87"/>
      <c r="C9781" s="87"/>
      <c r="D9781" s="87"/>
      <c r="E9781" s="87"/>
      <c r="F9781" s="87"/>
      <c r="G9781" s="87"/>
    </row>
    <row r="9782">
      <c r="A9782" s="86" t="str">
        <f>IFERROR(__xludf.DUMMYFUNCTION("""COMPUTED_VALUE"""),"")</f>
        <v/>
      </c>
      <c r="B9782" s="87"/>
      <c r="C9782" s="87"/>
      <c r="D9782" s="87"/>
      <c r="E9782" s="87"/>
      <c r="F9782" s="87"/>
      <c r="G9782" s="87"/>
    </row>
    <row r="9783">
      <c r="A9783" s="86" t="str">
        <f>IFERROR(__xludf.DUMMYFUNCTION("""COMPUTED_VALUE"""),"")</f>
        <v/>
      </c>
      <c r="B9783" s="87"/>
      <c r="C9783" s="87"/>
      <c r="D9783" s="87"/>
      <c r="E9783" s="87"/>
      <c r="F9783" s="87"/>
      <c r="G9783" s="87"/>
    </row>
    <row r="9784">
      <c r="A9784" s="86" t="str">
        <f>IFERROR(__xludf.DUMMYFUNCTION("""COMPUTED_VALUE"""),"")</f>
        <v/>
      </c>
      <c r="B9784" s="87"/>
      <c r="C9784" s="87"/>
      <c r="D9784" s="87"/>
      <c r="E9784" s="87"/>
      <c r="F9784" s="87"/>
      <c r="G9784" s="87"/>
    </row>
    <row r="9785">
      <c r="A9785" s="86" t="str">
        <f>IFERROR(__xludf.DUMMYFUNCTION("""COMPUTED_VALUE"""),"")</f>
        <v/>
      </c>
      <c r="B9785" s="87"/>
      <c r="C9785" s="87"/>
      <c r="D9785" s="87"/>
      <c r="E9785" s="87"/>
      <c r="F9785" s="87"/>
      <c r="G9785" s="87"/>
    </row>
    <row r="9786">
      <c r="A9786" s="86" t="str">
        <f>IFERROR(__xludf.DUMMYFUNCTION("""COMPUTED_VALUE"""),"")</f>
        <v/>
      </c>
      <c r="B9786" s="87"/>
      <c r="C9786" s="87"/>
      <c r="D9786" s="87"/>
      <c r="E9786" s="87"/>
      <c r="F9786" s="87"/>
      <c r="G9786" s="87"/>
    </row>
    <row r="9787">
      <c r="A9787" s="86" t="str">
        <f>IFERROR(__xludf.DUMMYFUNCTION("""COMPUTED_VALUE"""),"")</f>
        <v/>
      </c>
      <c r="B9787" s="87"/>
      <c r="C9787" s="87"/>
      <c r="D9787" s="87"/>
      <c r="E9787" s="87"/>
      <c r="F9787" s="87"/>
      <c r="G9787" s="87"/>
    </row>
    <row r="9788">
      <c r="A9788" s="86" t="str">
        <f>IFERROR(__xludf.DUMMYFUNCTION("""COMPUTED_VALUE"""),"")</f>
        <v/>
      </c>
      <c r="B9788" s="87"/>
      <c r="C9788" s="87"/>
      <c r="D9788" s="87"/>
      <c r="E9788" s="87"/>
      <c r="F9788" s="87"/>
      <c r="G9788" s="87"/>
    </row>
    <row r="9789">
      <c r="A9789" s="86" t="str">
        <f>IFERROR(__xludf.DUMMYFUNCTION("""COMPUTED_VALUE"""),"")</f>
        <v/>
      </c>
      <c r="B9789" s="87"/>
      <c r="C9789" s="87"/>
      <c r="D9789" s="87"/>
      <c r="E9789" s="87"/>
      <c r="F9789" s="87"/>
      <c r="G9789" s="87"/>
    </row>
    <row r="9790">
      <c r="A9790" s="86" t="str">
        <f>IFERROR(__xludf.DUMMYFUNCTION("""COMPUTED_VALUE"""),"")</f>
        <v/>
      </c>
      <c r="B9790" s="87"/>
      <c r="C9790" s="87"/>
      <c r="D9790" s="87"/>
      <c r="E9790" s="87"/>
      <c r="F9790" s="87"/>
      <c r="G9790" s="87"/>
    </row>
    <row r="9791">
      <c r="A9791" s="86" t="str">
        <f>IFERROR(__xludf.DUMMYFUNCTION("""COMPUTED_VALUE"""),"")</f>
        <v/>
      </c>
      <c r="B9791" s="87"/>
      <c r="C9791" s="87"/>
      <c r="D9791" s="87"/>
      <c r="E9791" s="87"/>
      <c r="F9791" s="87"/>
      <c r="G9791" s="87"/>
    </row>
    <row r="9792">
      <c r="A9792" s="86" t="str">
        <f>IFERROR(__xludf.DUMMYFUNCTION("""COMPUTED_VALUE"""),"")</f>
        <v/>
      </c>
      <c r="B9792" s="87"/>
      <c r="C9792" s="87"/>
      <c r="D9792" s="87"/>
      <c r="E9792" s="87"/>
      <c r="F9792" s="87"/>
      <c r="G9792" s="87"/>
    </row>
    <row r="9793">
      <c r="A9793" s="86" t="str">
        <f>IFERROR(__xludf.DUMMYFUNCTION("""COMPUTED_VALUE"""),"")</f>
        <v/>
      </c>
      <c r="B9793" s="87"/>
      <c r="C9793" s="87"/>
      <c r="D9793" s="87"/>
      <c r="E9793" s="87"/>
      <c r="F9793" s="87"/>
      <c r="G9793" s="87"/>
    </row>
    <row r="9794">
      <c r="A9794" s="86" t="str">
        <f>IFERROR(__xludf.DUMMYFUNCTION("""COMPUTED_VALUE"""),"")</f>
        <v/>
      </c>
      <c r="B9794" s="87"/>
      <c r="C9794" s="87"/>
      <c r="D9794" s="87"/>
      <c r="E9794" s="87"/>
      <c r="F9794" s="87"/>
      <c r="G9794" s="87"/>
    </row>
    <row r="9795">
      <c r="A9795" s="86" t="str">
        <f>IFERROR(__xludf.DUMMYFUNCTION("""COMPUTED_VALUE"""),"")</f>
        <v/>
      </c>
      <c r="B9795" s="87"/>
      <c r="C9795" s="87"/>
      <c r="D9795" s="87"/>
      <c r="E9795" s="87"/>
      <c r="F9795" s="87"/>
      <c r="G9795" s="87"/>
    </row>
    <row r="9796">
      <c r="A9796" s="86" t="str">
        <f>IFERROR(__xludf.DUMMYFUNCTION("""COMPUTED_VALUE"""),"")</f>
        <v/>
      </c>
      <c r="B9796" s="87"/>
      <c r="C9796" s="87"/>
      <c r="D9796" s="87"/>
      <c r="E9796" s="87"/>
      <c r="F9796" s="87"/>
      <c r="G9796" s="87"/>
    </row>
    <row r="9797">
      <c r="A9797" s="86" t="str">
        <f>IFERROR(__xludf.DUMMYFUNCTION("""COMPUTED_VALUE"""),"")</f>
        <v/>
      </c>
      <c r="B9797" s="87"/>
      <c r="C9797" s="87"/>
      <c r="D9797" s="87"/>
      <c r="E9797" s="87"/>
      <c r="F9797" s="87"/>
      <c r="G9797" s="87"/>
    </row>
    <row r="9798">
      <c r="A9798" s="86" t="str">
        <f>IFERROR(__xludf.DUMMYFUNCTION("""COMPUTED_VALUE"""),"")</f>
        <v/>
      </c>
      <c r="B9798" s="87"/>
      <c r="C9798" s="87"/>
      <c r="D9798" s="87"/>
      <c r="E9798" s="87"/>
      <c r="F9798" s="87"/>
      <c r="G9798" s="87"/>
    </row>
    <row r="9799">
      <c r="A9799" s="86" t="str">
        <f>IFERROR(__xludf.DUMMYFUNCTION("""COMPUTED_VALUE"""),"")</f>
        <v/>
      </c>
      <c r="B9799" s="87"/>
      <c r="C9799" s="87"/>
      <c r="D9799" s="87"/>
      <c r="E9799" s="87"/>
      <c r="F9799" s="87"/>
      <c r="G9799" s="87"/>
    </row>
    <row r="9800">
      <c r="A9800" s="86" t="str">
        <f>IFERROR(__xludf.DUMMYFUNCTION("""COMPUTED_VALUE"""),"")</f>
        <v/>
      </c>
      <c r="B9800" s="87"/>
      <c r="C9800" s="87"/>
      <c r="D9800" s="87"/>
      <c r="E9800" s="87"/>
      <c r="F9800" s="87"/>
      <c r="G9800" s="87"/>
    </row>
    <row r="9801">
      <c r="A9801" s="86" t="str">
        <f>IFERROR(__xludf.DUMMYFUNCTION("""COMPUTED_VALUE"""),"")</f>
        <v/>
      </c>
      <c r="B9801" s="87"/>
      <c r="C9801" s="87"/>
      <c r="D9801" s="87"/>
      <c r="E9801" s="87"/>
      <c r="F9801" s="87"/>
      <c r="G9801" s="87"/>
    </row>
    <row r="9802">
      <c r="A9802" s="86" t="str">
        <f>IFERROR(__xludf.DUMMYFUNCTION("""COMPUTED_VALUE"""),"")</f>
        <v/>
      </c>
      <c r="B9802" s="87"/>
      <c r="C9802" s="87"/>
      <c r="D9802" s="87"/>
      <c r="E9802" s="87"/>
      <c r="F9802" s="87"/>
      <c r="G9802" s="87"/>
    </row>
    <row r="9803">
      <c r="A9803" s="86" t="str">
        <f>IFERROR(__xludf.DUMMYFUNCTION("""COMPUTED_VALUE"""),"")</f>
        <v/>
      </c>
      <c r="B9803" s="87"/>
      <c r="C9803" s="87"/>
      <c r="D9803" s="87"/>
      <c r="E9803" s="87"/>
      <c r="F9803" s="87"/>
      <c r="G9803" s="87"/>
    </row>
    <row r="9804">
      <c r="A9804" s="86" t="str">
        <f>IFERROR(__xludf.DUMMYFUNCTION("""COMPUTED_VALUE"""),"")</f>
        <v/>
      </c>
      <c r="B9804" s="87"/>
      <c r="C9804" s="87"/>
      <c r="D9804" s="87"/>
      <c r="E9804" s="87"/>
      <c r="F9804" s="87"/>
      <c r="G9804" s="87"/>
    </row>
    <row r="9805">
      <c r="A9805" s="86" t="str">
        <f>IFERROR(__xludf.DUMMYFUNCTION("""COMPUTED_VALUE"""),"")</f>
        <v/>
      </c>
      <c r="B9805" s="87"/>
      <c r="C9805" s="87"/>
      <c r="D9805" s="87"/>
      <c r="E9805" s="87"/>
      <c r="F9805" s="87"/>
      <c r="G9805" s="87"/>
    </row>
    <row r="9806">
      <c r="A9806" s="86" t="str">
        <f>IFERROR(__xludf.DUMMYFUNCTION("""COMPUTED_VALUE"""),"")</f>
        <v/>
      </c>
      <c r="B9806" s="87"/>
      <c r="C9806" s="87"/>
      <c r="D9806" s="87"/>
      <c r="E9806" s="87"/>
      <c r="F9806" s="87"/>
      <c r="G9806" s="87"/>
    </row>
    <row r="9807">
      <c r="A9807" s="86" t="str">
        <f>IFERROR(__xludf.DUMMYFUNCTION("""COMPUTED_VALUE"""),"")</f>
        <v/>
      </c>
      <c r="B9807" s="87"/>
      <c r="C9807" s="87"/>
      <c r="D9807" s="87"/>
      <c r="E9807" s="87"/>
      <c r="F9807" s="87"/>
      <c r="G9807" s="87"/>
    </row>
    <row r="9808">
      <c r="A9808" s="86" t="str">
        <f>IFERROR(__xludf.DUMMYFUNCTION("""COMPUTED_VALUE"""),"")</f>
        <v/>
      </c>
      <c r="B9808" s="87"/>
      <c r="C9808" s="87"/>
      <c r="D9808" s="87"/>
      <c r="E9808" s="87"/>
      <c r="F9808" s="87"/>
      <c r="G9808" s="87"/>
    </row>
    <row r="9809">
      <c r="A9809" s="86" t="str">
        <f>IFERROR(__xludf.DUMMYFUNCTION("""COMPUTED_VALUE"""),"")</f>
        <v/>
      </c>
      <c r="B9809" s="87"/>
      <c r="C9809" s="87"/>
      <c r="D9809" s="87"/>
      <c r="E9809" s="87"/>
      <c r="F9809" s="87"/>
      <c r="G9809" s="87"/>
    </row>
    <row r="9810">
      <c r="A9810" s="86" t="str">
        <f>IFERROR(__xludf.DUMMYFUNCTION("""COMPUTED_VALUE"""),"")</f>
        <v/>
      </c>
      <c r="B9810" s="87"/>
      <c r="C9810" s="87"/>
      <c r="D9810" s="87"/>
      <c r="E9810" s="87"/>
      <c r="F9810" s="87"/>
      <c r="G9810" s="87"/>
    </row>
    <row r="9811">
      <c r="A9811" s="86" t="str">
        <f>IFERROR(__xludf.DUMMYFUNCTION("""COMPUTED_VALUE"""),"")</f>
        <v/>
      </c>
      <c r="B9811" s="87"/>
      <c r="C9811" s="87"/>
      <c r="D9811" s="87"/>
      <c r="E9811" s="87"/>
      <c r="F9811" s="87"/>
      <c r="G9811" s="87"/>
    </row>
    <row r="9812">
      <c r="A9812" s="86" t="str">
        <f>IFERROR(__xludf.DUMMYFUNCTION("""COMPUTED_VALUE"""),"")</f>
        <v/>
      </c>
      <c r="B9812" s="87"/>
      <c r="C9812" s="87"/>
      <c r="D9812" s="87"/>
      <c r="E9812" s="87"/>
      <c r="F9812" s="87"/>
      <c r="G9812" s="87"/>
    </row>
    <row r="9813">
      <c r="A9813" s="86" t="str">
        <f>IFERROR(__xludf.DUMMYFUNCTION("""COMPUTED_VALUE"""),"")</f>
        <v/>
      </c>
      <c r="B9813" s="87"/>
      <c r="C9813" s="87"/>
      <c r="D9813" s="87"/>
      <c r="E9813" s="87"/>
      <c r="F9813" s="87"/>
      <c r="G9813" s="87"/>
    </row>
    <row r="9814">
      <c r="A9814" s="86" t="str">
        <f>IFERROR(__xludf.DUMMYFUNCTION("""COMPUTED_VALUE"""),"")</f>
        <v/>
      </c>
      <c r="B9814" s="87"/>
      <c r="C9814" s="87"/>
      <c r="D9814" s="87"/>
      <c r="E9814" s="87"/>
      <c r="F9814" s="87"/>
      <c r="G9814" s="87"/>
    </row>
    <row r="9815">
      <c r="A9815" s="86" t="str">
        <f>IFERROR(__xludf.DUMMYFUNCTION("""COMPUTED_VALUE"""),"")</f>
        <v/>
      </c>
      <c r="B9815" s="87"/>
      <c r="C9815" s="87"/>
      <c r="D9815" s="87"/>
      <c r="E9815" s="87"/>
      <c r="F9815" s="87"/>
      <c r="G9815" s="87"/>
    </row>
    <row r="9816">
      <c r="A9816" s="86" t="str">
        <f>IFERROR(__xludf.DUMMYFUNCTION("""COMPUTED_VALUE"""),"")</f>
        <v/>
      </c>
      <c r="B9816" s="87"/>
      <c r="C9816" s="87"/>
      <c r="D9816" s="87"/>
      <c r="E9816" s="87"/>
      <c r="F9816" s="87"/>
      <c r="G9816" s="87"/>
    </row>
    <row r="9817">
      <c r="A9817" s="86" t="str">
        <f>IFERROR(__xludf.DUMMYFUNCTION("""COMPUTED_VALUE"""),"")</f>
        <v/>
      </c>
      <c r="B9817" s="87"/>
      <c r="C9817" s="87"/>
      <c r="D9817" s="87"/>
      <c r="E9817" s="87"/>
      <c r="F9817" s="87"/>
      <c r="G9817" s="87"/>
    </row>
    <row r="9818">
      <c r="A9818" s="86" t="str">
        <f>IFERROR(__xludf.DUMMYFUNCTION("""COMPUTED_VALUE"""),"")</f>
        <v/>
      </c>
      <c r="B9818" s="87"/>
      <c r="C9818" s="87"/>
      <c r="D9818" s="87"/>
      <c r="E9818" s="87"/>
      <c r="F9818" s="87"/>
      <c r="G9818" s="87"/>
    </row>
    <row r="9819">
      <c r="A9819" s="86" t="str">
        <f>IFERROR(__xludf.DUMMYFUNCTION("""COMPUTED_VALUE"""),"")</f>
        <v/>
      </c>
      <c r="B9819" s="87"/>
      <c r="C9819" s="87"/>
      <c r="D9819" s="87"/>
      <c r="E9819" s="87"/>
      <c r="F9819" s="87"/>
      <c r="G9819" s="87"/>
    </row>
    <row r="9820">
      <c r="A9820" s="86" t="str">
        <f>IFERROR(__xludf.DUMMYFUNCTION("""COMPUTED_VALUE"""),"")</f>
        <v/>
      </c>
      <c r="B9820" s="87"/>
      <c r="C9820" s="87"/>
      <c r="D9820" s="87"/>
      <c r="E9820" s="87"/>
      <c r="F9820" s="87"/>
      <c r="G9820" s="87"/>
    </row>
    <row r="9821">
      <c r="A9821" s="86" t="str">
        <f>IFERROR(__xludf.DUMMYFUNCTION("""COMPUTED_VALUE"""),"")</f>
        <v/>
      </c>
      <c r="B9821" s="87"/>
      <c r="C9821" s="87"/>
      <c r="D9821" s="87"/>
      <c r="E9821" s="87"/>
      <c r="F9821" s="87"/>
      <c r="G9821" s="87"/>
    </row>
    <row r="9822">
      <c r="A9822" s="86" t="str">
        <f>IFERROR(__xludf.DUMMYFUNCTION("""COMPUTED_VALUE"""),"")</f>
        <v/>
      </c>
      <c r="B9822" s="87"/>
      <c r="C9822" s="87"/>
      <c r="D9822" s="87"/>
      <c r="E9822" s="87"/>
      <c r="F9822" s="87"/>
      <c r="G9822" s="87"/>
    </row>
    <row r="9823">
      <c r="A9823" s="86" t="str">
        <f>IFERROR(__xludf.DUMMYFUNCTION("""COMPUTED_VALUE"""),"")</f>
        <v/>
      </c>
      <c r="B9823" s="87"/>
      <c r="C9823" s="87"/>
      <c r="D9823" s="87"/>
      <c r="E9823" s="87"/>
      <c r="F9823" s="87"/>
      <c r="G9823" s="87"/>
    </row>
    <row r="9824">
      <c r="A9824" s="86" t="str">
        <f>IFERROR(__xludf.DUMMYFUNCTION("""COMPUTED_VALUE"""),"")</f>
        <v/>
      </c>
      <c r="B9824" s="87"/>
      <c r="C9824" s="87"/>
      <c r="D9824" s="87"/>
      <c r="E9824" s="87"/>
      <c r="F9824" s="87"/>
      <c r="G9824" s="87"/>
    </row>
    <row r="9825">
      <c r="A9825" s="86" t="str">
        <f>IFERROR(__xludf.DUMMYFUNCTION("""COMPUTED_VALUE"""),"")</f>
        <v/>
      </c>
      <c r="B9825" s="87"/>
      <c r="C9825" s="87"/>
      <c r="D9825" s="87"/>
      <c r="E9825" s="87"/>
      <c r="F9825" s="87"/>
      <c r="G9825" s="87"/>
    </row>
    <row r="9826">
      <c r="A9826" s="86" t="str">
        <f>IFERROR(__xludf.DUMMYFUNCTION("""COMPUTED_VALUE"""),"")</f>
        <v/>
      </c>
      <c r="B9826" s="87"/>
      <c r="C9826" s="87"/>
      <c r="D9826" s="87"/>
      <c r="E9826" s="87"/>
      <c r="F9826" s="87"/>
      <c r="G9826" s="87"/>
    </row>
    <row r="9827">
      <c r="A9827" s="86" t="str">
        <f>IFERROR(__xludf.DUMMYFUNCTION("""COMPUTED_VALUE"""),"")</f>
        <v/>
      </c>
      <c r="B9827" s="87"/>
      <c r="C9827" s="87"/>
      <c r="D9827" s="87"/>
      <c r="E9827" s="87"/>
      <c r="F9827" s="87"/>
      <c r="G9827" s="87"/>
    </row>
    <row r="9828">
      <c r="A9828" s="86" t="str">
        <f>IFERROR(__xludf.DUMMYFUNCTION("""COMPUTED_VALUE"""),"")</f>
        <v/>
      </c>
      <c r="B9828" s="87"/>
      <c r="C9828" s="87"/>
      <c r="D9828" s="87"/>
      <c r="E9828" s="87"/>
      <c r="F9828" s="87"/>
      <c r="G9828" s="87"/>
    </row>
    <row r="9829">
      <c r="A9829" s="86" t="str">
        <f>IFERROR(__xludf.DUMMYFUNCTION("""COMPUTED_VALUE"""),"")</f>
        <v/>
      </c>
      <c r="B9829" s="87"/>
      <c r="C9829" s="87"/>
      <c r="D9829" s="87"/>
      <c r="E9829" s="87"/>
      <c r="F9829" s="87"/>
      <c r="G9829" s="87"/>
    </row>
    <row r="9830">
      <c r="A9830" s="86" t="str">
        <f>IFERROR(__xludf.DUMMYFUNCTION("""COMPUTED_VALUE"""),"")</f>
        <v/>
      </c>
      <c r="B9830" s="87"/>
      <c r="C9830" s="87"/>
      <c r="D9830" s="87"/>
      <c r="E9830" s="87"/>
      <c r="F9830" s="87"/>
      <c r="G9830" s="87"/>
    </row>
    <row r="9831">
      <c r="A9831" s="86" t="str">
        <f>IFERROR(__xludf.DUMMYFUNCTION("""COMPUTED_VALUE"""),"")</f>
        <v/>
      </c>
      <c r="B9831" s="87"/>
      <c r="C9831" s="87"/>
      <c r="D9831" s="87"/>
      <c r="E9831" s="87"/>
      <c r="F9831" s="87"/>
      <c r="G9831" s="87"/>
    </row>
    <row r="9832">
      <c r="A9832" s="86" t="str">
        <f>IFERROR(__xludf.DUMMYFUNCTION("""COMPUTED_VALUE"""),"")</f>
        <v/>
      </c>
      <c r="B9832" s="87"/>
      <c r="C9832" s="87"/>
      <c r="D9832" s="87"/>
      <c r="E9832" s="87"/>
      <c r="F9832" s="87"/>
      <c r="G9832" s="87"/>
    </row>
    <row r="9833">
      <c r="A9833" s="86" t="str">
        <f>IFERROR(__xludf.DUMMYFUNCTION("""COMPUTED_VALUE"""),"")</f>
        <v/>
      </c>
      <c r="B9833" s="87"/>
      <c r="C9833" s="87"/>
      <c r="D9833" s="87"/>
      <c r="E9833" s="87"/>
      <c r="F9833" s="87"/>
      <c r="G9833" s="87"/>
    </row>
    <row r="9834">
      <c r="A9834" s="86" t="str">
        <f>IFERROR(__xludf.DUMMYFUNCTION("""COMPUTED_VALUE"""),"")</f>
        <v/>
      </c>
      <c r="B9834" s="87"/>
      <c r="C9834" s="87"/>
      <c r="D9834" s="87"/>
      <c r="E9834" s="87"/>
      <c r="F9834" s="87"/>
      <c r="G9834" s="87"/>
    </row>
    <row r="9835">
      <c r="A9835" s="86" t="str">
        <f>IFERROR(__xludf.DUMMYFUNCTION("""COMPUTED_VALUE"""),"")</f>
        <v/>
      </c>
      <c r="B9835" s="87"/>
      <c r="C9835" s="87"/>
      <c r="D9835" s="87"/>
      <c r="E9835" s="87"/>
      <c r="F9835" s="87"/>
      <c r="G9835" s="87"/>
    </row>
    <row r="9836">
      <c r="A9836" s="86" t="str">
        <f>IFERROR(__xludf.DUMMYFUNCTION("""COMPUTED_VALUE"""),"")</f>
        <v/>
      </c>
      <c r="B9836" s="87"/>
      <c r="C9836" s="87"/>
      <c r="D9836" s="87"/>
      <c r="E9836" s="87"/>
      <c r="F9836" s="87"/>
      <c r="G9836" s="87"/>
    </row>
    <row r="9837">
      <c r="A9837" s="86" t="str">
        <f>IFERROR(__xludf.DUMMYFUNCTION("""COMPUTED_VALUE"""),"")</f>
        <v/>
      </c>
      <c r="B9837" s="87"/>
      <c r="C9837" s="87"/>
      <c r="D9837" s="87"/>
      <c r="E9837" s="87"/>
      <c r="F9837" s="87"/>
      <c r="G9837" s="87"/>
    </row>
    <row r="9838">
      <c r="A9838" s="86" t="str">
        <f>IFERROR(__xludf.DUMMYFUNCTION("""COMPUTED_VALUE"""),"")</f>
        <v/>
      </c>
      <c r="B9838" s="87"/>
      <c r="C9838" s="87"/>
      <c r="D9838" s="87"/>
      <c r="E9838" s="87"/>
      <c r="F9838" s="87"/>
      <c r="G9838" s="87"/>
    </row>
    <row r="9839">
      <c r="A9839" s="86" t="str">
        <f>IFERROR(__xludf.DUMMYFUNCTION("""COMPUTED_VALUE"""),"")</f>
        <v/>
      </c>
      <c r="B9839" s="87"/>
      <c r="C9839" s="87"/>
      <c r="D9839" s="87"/>
      <c r="E9839" s="87"/>
      <c r="F9839" s="87"/>
      <c r="G9839" s="87"/>
    </row>
    <row r="9840">
      <c r="A9840" s="86" t="str">
        <f>IFERROR(__xludf.DUMMYFUNCTION("""COMPUTED_VALUE"""),"")</f>
        <v/>
      </c>
      <c r="B9840" s="87"/>
      <c r="C9840" s="87"/>
      <c r="D9840" s="87"/>
      <c r="E9840" s="87"/>
      <c r="F9840" s="87"/>
      <c r="G9840" s="87"/>
    </row>
    <row r="9841">
      <c r="A9841" s="86" t="str">
        <f>IFERROR(__xludf.DUMMYFUNCTION("""COMPUTED_VALUE"""),"")</f>
        <v/>
      </c>
      <c r="B9841" s="87"/>
      <c r="C9841" s="87"/>
      <c r="D9841" s="87"/>
      <c r="E9841" s="87"/>
      <c r="F9841" s="87"/>
      <c r="G9841" s="87"/>
    </row>
    <row r="9842">
      <c r="A9842" s="86" t="str">
        <f>IFERROR(__xludf.DUMMYFUNCTION("""COMPUTED_VALUE"""),"")</f>
        <v/>
      </c>
      <c r="B9842" s="87"/>
      <c r="C9842" s="87"/>
      <c r="D9842" s="87"/>
      <c r="E9842" s="87"/>
      <c r="F9842" s="87"/>
      <c r="G9842" s="87"/>
    </row>
    <row r="9843">
      <c r="A9843" s="86" t="str">
        <f>IFERROR(__xludf.DUMMYFUNCTION("""COMPUTED_VALUE"""),"")</f>
        <v/>
      </c>
      <c r="B9843" s="87"/>
      <c r="C9843" s="87"/>
      <c r="D9843" s="87"/>
      <c r="E9843" s="87"/>
      <c r="F9843" s="87"/>
      <c r="G9843" s="87"/>
    </row>
    <row r="9844">
      <c r="A9844" s="86" t="str">
        <f>IFERROR(__xludf.DUMMYFUNCTION("""COMPUTED_VALUE"""),"")</f>
        <v/>
      </c>
      <c r="B9844" s="87"/>
      <c r="C9844" s="87"/>
      <c r="D9844" s="87"/>
      <c r="E9844" s="87"/>
      <c r="F9844" s="87"/>
      <c r="G9844" s="87"/>
    </row>
    <row r="9845">
      <c r="A9845" s="86" t="str">
        <f>IFERROR(__xludf.DUMMYFUNCTION("""COMPUTED_VALUE"""),"")</f>
        <v/>
      </c>
      <c r="B9845" s="87"/>
      <c r="C9845" s="87"/>
      <c r="D9845" s="87"/>
      <c r="E9845" s="87"/>
      <c r="F9845" s="87"/>
      <c r="G9845" s="87"/>
    </row>
    <row r="9846">
      <c r="A9846" s="86" t="str">
        <f>IFERROR(__xludf.DUMMYFUNCTION("""COMPUTED_VALUE"""),"")</f>
        <v/>
      </c>
      <c r="B9846" s="87"/>
      <c r="C9846" s="87"/>
      <c r="D9846" s="87"/>
      <c r="E9846" s="87"/>
      <c r="F9846" s="87"/>
      <c r="G9846" s="87"/>
    </row>
    <row r="9847">
      <c r="A9847" s="86" t="str">
        <f>IFERROR(__xludf.DUMMYFUNCTION("""COMPUTED_VALUE"""),"")</f>
        <v/>
      </c>
      <c r="B9847" s="87"/>
      <c r="C9847" s="87"/>
      <c r="D9847" s="87"/>
      <c r="E9847" s="87"/>
      <c r="F9847" s="87"/>
      <c r="G9847" s="87"/>
    </row>
    <row r="9848">
      <c r="A9848" s="86" t="str">
        <f>IFERROR(__xludf.DUMMYFUNCTION("""COMPUTED_VALUE"""),"")</f>
        <v/>
      </c>
      <c r="B9848" s="87"/>
      <c r="C9848" s="87"/>
      <c r="D9848" s="87"/>
      <c r="E9848" s="87"/>
      <c r="F9848" s="87"/>
      <c r="G9848" s="87"/>
    </row>
    <row r="9849">
      <c r="A9849" s="86" t="str">
        <f>IFERROR(__xludf.DUMMYFUNCTION("""COMPUTED_VALUE"""),"")</f>
        <v/>
      </c>
      <c r="B9849" s="87"/>
      <c r="C9849" s="87"/>
      <c r="D9849" s="87"/>
      <c r="E9849" s="87"/>
      <c r="F9849" s="87"/>
      <c r="G9849" s="87"/>
    </row>
    <row r="9850">
      <c r="A9850" s="86" t="str">
        <f>IFERROR(__xludf.DUMMYFUNCTION("""COMPUTED_VALUE"""),"")</f>
        <v/>
      </c>
      <c r="B9850" s="87"/>
      <c r="C9850" s="87"/>
      <c r="D9850" s="87"/>
      <c r="E9850" s="87"/>
      <c r="F9850" s="87"/>
      <c r="G9850" s="87"/>
    </row>
    <row r="9851">
      <c r="A9851" s="86" t="str">
        <f>IFERROR(__xludf.DUMMYFUNCTION("""COMPUTED_VALUE"""),"")</f>
        <v/>
      </c>
      <c r="B9851" s="87"/>
      <c r="C9851" s="87"/>
      <c r="D9851" s="87"/>
      <c r="E9851" s="87"/>
      <c r="F9851" s="87"/>
      <c r="G9851" s="87"/>
    </row>
    <row r="9852">
      <c r="A9852" s="86" t="str">
        <f>IFERROR(__xludf.DUMMYFUNCTION("""COMPUTED_VALUE"""),"")</f>
        <v/>
      </c>
      <c r="B9852" s="87"/>
      <c r="C9852" s="87"/>
      <c r="D9852" s="87"/>
      <c r="E9852" s="87"/>
      <c r="F9852" s="87"/>
      <c r="G9852" s="87"/>
    </row>
    <row r="9853">
      <c r="A9853" s="86" t="str">
        <f>IFERROR(__xludf.DUMMYFUNCTION("""COMPUTED_VALUE"""),"")</f>
        <v/>
      </c>
      <c r="B9853" s="87"/>
      <c r="C9853" s="87"/>
      <c r="D9853" s="87"/>
      <c r="E9853" s="87"/>
      <c r="F9853" s="87"/>
      <c r="G9853" s="87"/>
    </row>
    <row r="9854">
      <c r="A9854" s="86" t="str">
        <f>IFERROR(__xludf.DUMMYFUNCTION("""COMPUTED_VALUE"""),"")</f>
        <v/>
      </c>
      <c r="B9854" s="87"/>
      <c r="C9854" s="87"/>
      <c r="D9854" s="87"/>
      <c r="E9854" s="87"/>
      <c r="F9854" s="87"/>
      <c r="G9854" s="87"/>
    </row>
    <row r="9855">
      <c r="A9855" s="86" t="str">
        <f>IFERROR(__xludf.DUMMYFUNCTION("""COMPUTED_VALUE"""),"")</f>
        <v/>
      </c>
      <c r="B9855" s="87"/>
      <c r="C9855" s="87"/>
      <c r="D9855" s="87"/>
      <c r="E9855" s="87"/>
      <c r="F9855" s="87"/>
      <c r="G9855" s="87"/>
    </row>
    <row r="9856">
      <c r="A9856" s="86" t="str">
        <f>IFERROR(__xludf.DUMMYFUNCTION("""COMPUTED_VALUE"""),"")</f>
        <v/>
      </c>
      <c r="B9856" s="87"/>
      <c r="C9856" s="87"/>
      <c r="D9856" s="87"/>
      <c r="E9856" s="87"/>
      <c r="F9856" s="87"/>
      <c r="G9856" s="87"/>
    </row>
    <row r="9857">
      <c r="A9857" s="86" t="str">
        <f>IFERROR(__xludf.DUMMYFUNCTION("""COMPUTED_VALUE"""),"")</f>
        <v/>
      </c>
      <c r="B9857" s="87"/>
      <c r="C9857" s="87"/>
      <c r="D9857" s="87"/>
      <c r="E9857" s="87"/>
      <c r="F9857" s="87"/>
      <c r="G9857" s="87"/>
    </row>
    <row r="9858">
      <c r="A9858" s="86" t="str">
        <f>IFERROR(__xludf.DUMMYFUNCTION("""COMPUTED_VALUE"""),"")</f>
        <v/>
      </c>
      <c r="B9858" s="87"/>
      <c r="C9858" s="87"/>
      <c r="D9858" s="87"/>
      <c r="E9858" s="87"/>
      <c r="F9858" s="87"/>
      <c r="G9858" s="87"/>
    </row>
    <row r="9859">
      <c r="A9859" s="86" t="str">
        <f>IFERROR(__xludf.DUMMYFUNCTION("""COMPUTED_VALUE"""),"")</f>
        <v/>
      </c>
      <c r="B9859" s="87"/>
      <c r="C9859" s="87"/>
      <c r="D9859" s="87"/>
      <c r="E9859" s="87"/>
      <c r="F9859" s="87"/>
      <c r="G9859" s="87"/>
    </row>
    <row r="9860">
      <c r="A9860" s="86" t="str">
        <f>IFERROR(__xludf.DUMMYFUNCTION("""COMPUTED_VALUE"""),"")</f>
        <v/>
      </c>
      <c r="B9860" s="87"/>
      <c r="C9860" s="87"/>
      <c r="D9860" s="87"/>
      <c r="E9860" s="87"/>
      <c r="F9860" s="87"/>
      <c r="G9860" s="87"/>
    </row>
    <row r="9861">
      <c r="A9861" s="86" t="str">
        <f>IFERROR(__xludf.DUMMYFUNCTION("""COMPUTED_VALUE"""),"")</f>
        <v/>
      </c>
      <c r="B9861" s="87"/>
      <c r="C9861" s="87"/>
      <c r="D9861" s="87"/>
      <c r="E9861" s="87"/>
      <c r="F9861" s="87"/>
      <c r="G9861" s="87"/>
    </row>
    <row r="9862">
      <c r="A9862" s="86" t="str">
        <f>IFERROR(__xludf.DUMMYFUNCTION("""COMPUTED_VALUE"""),"")</f>
        <v/>
      </c>
      <c r="B9862" s="87"/>
      <c r="C9862" s="87"/>
      <c r="D9862" s="87"/>
      <c r="E9862" s="87"/>
      <c r="F9862" s="87"/>
      <c r="G9862" s="87"/>
    </row>
    <row r="9863">
      <c r="A9863" s="86" t="str">
        <f>IFERROR(__xludf.DUMMYFUNCTION("""COMPUTED_VALUE"""),"")</f>
        <v/>
      </c>
      <c r="B9863" s="87"/>
      <c r="C9863" s="87"/>
      <c r="D9863" s="87"/>
      <c r="E9863" s="87"/>
      <c r="F9863" s="87"/>
      <c r="G9863" s="87"/>
    </row>
    <row r="9864">
      <c r="A9864" s="86" t="str">
        <f>IFERROR(__xludf.DUMMYFUNCTION("""COMPUTED_VALUE"""),"")</f>
        <v/>
      </c>
      <c r="B9864" s="87"/>
      <c r="C9864" s="87"/>
      <c r="D9864" s="87"/>
      <c r="E9864" s="87"/>
      <c r="F9864" s="87"/>
      <c r="G9864" s="87"/>
    </row>
    <row r="9865">
      <c r="A9865" s="86" t="str">
        <f>IFERROR(__xludf.DUMMYFUNCTION("""COMPUTED_VALUE"""),"")</f>
        <v/>
      </c>
      <c r="B9865" s="87"/>
      <c r="C9865" s="87"/>
      <c r="D9865" s="87"/>
      <c r="E9865" s="87"/>
      <c r="F9865" s="87"/>
      <c r="G9865" s="87"/>
    </row>
    <row r="9866">
      <c r="A9866" s="86" t="str">
        <f>IFERROR(__xludf.DUMMYFUNCTION("""COMPUTED_VALUE"""),"")</f>
        <v/>
      </c>
      <c r="B9866" s="87"/>
      <c r="C9866" s="87"/>
      <c r="D9866" s="87"/>
      <c r="E9866" s="87"/>
      <c r="F9866" s="87"/>
      <c r="G9866" s="87"/>
    </row>
    <row r="9867">
      <c r="A9867" s="86" t="str">
        <f>IFERROR(__xludf.DUMMYFUNCTION("""COMPUTED_VALUE"""),"")</f>
        <v/>
      </c>
      <c r="B9867" s="87"/>
      <c r="C9867" s="87"/>
      <c r="D9867" s="87"/>
      <c r="E9867" s="87"/>
      <c r="F9867" s="87"/>
      <c r="G9867" s="87"/>
    </row>
    <row r="9868">
      <c r="A9868" s="86" t="str">
        <f>IFERROR(__xludf.DUMMYFUNCTION("""COMPUTED_VALUE"""),"")</f>
        <v/>
      </c>
      <c r="B9868" s="87"/>
      <c r="C9868" s="87"/>
      <c r="D9868" s="87"/>
      <c r="E9868" s="87"/>
      <c r="F9868" s="87"/>
      <c r="G9868" s="87"/>
    </row>
    <row r="9869">
      <c r="A9869" s="86" t="str">
        <f>IFERROR(__xludf.DUMMYFUNCTION("""COMPUTED_VALUE"""),"")</f>
        <v/>
      </c>
      <c r="B9869" s="87"/>
      <c r="C9869" s="87"/>
      <c r="D9869" s="87"/>
      <c r="E9869" s="87"/>
      <c r="F9869" s="87"/>
      <c r="G9869" s="87"/>
    </row>
    <row r="9870">
      <c r="A9870" s="86" t="str">
        <f>IFERROR(__xludf.DUMMYFUNCTION("""COMPUTED_VALUE"""),"")</f>
        <v/>
      </c>
      <c r="B9870" s="87"/>
      <c r="C9870" s="87"/>
      <c r="D9870" s="87"/>
      <c r="E9870" s="87"/>
      <c r="F9870" s="87"/>
      <c r="G9870" s="87"/>
    </row>
    <row r="9871">
      <c r="A9871" s="86" t="str">
        <f>IFERROR(__xludf.DUMMYFUNCTION("""COMPUTED_VALUE"""),"")</f>
        <v/>
      </c>
      <c r="B9871" s="87"/>
      <c r="C9871" s="87"/>
      <c r="D9871" s="87"/>
      <c r="E9871" s="87"/>
      <c r="F9871" s="87"/>
      <c r="G9871" s="87"/>
    </row>
    <row r="9872">
      <c r="A9872" s="86" t="str">
        <f>IFERROR(__xludf.DUMMYFUNCTION("""COMPUTED_VALUE"""),"")</f>
        <v/>
      </c>
      <c r="B9872" s="87"/>
      <c r="C9872" s="87"/>
      <c r="D9872" s="87"/>
      <c r="E9872" s="87"/>
      <c r="F9872" s="87"/>
      <c r="G9872" s="87"/>
    </row>
    <row r="9873">
      <c r="A9873" s="86" t="str">
        <f>IFERROR(__xludf.DUMMYFUNCTION("""COMPUTED_VALUE"""),"")</f>
        <v/>
      </c>
      <c r="B9873" s="87"/>
      <c r="C9873" s="87"/>
      <c r="D9873" s="87"/>
      <c r="E9873" s="87"/>
      <c r="F9873" s="87"/>
      <c r="G9873" s="87"/>
    </row>
    <row r="9874">
      <c r="A9874" s="86" t="str">
        <f>IFERROR(__xludf.DUMMYFUNCTION("""COMPUTED_VALUE"""),"")</f>
        <v/>
      </c>
      <c r="B9874" s="87"/>
      <c r="C9874" s="87"/>
      <c r="D9874" s="87"/>
      <c r="E9874" s="87"/>
      <c r="F9874" s="87"/>
      <c r="G9874" s="87"/>
    </row>
    <row r="9875">
      <c r="A9875" s="86" t="str">
        <f>IFERROR(__xludf.DUMMYFUNCTION("""COMPUTED_VALUE"""),"")</f>
        <v/>
      </c>
      <c r="B9875" s="87"/>
      <c r="C9875" s="87"/>
      <c r="D9875" s="87"/>
      <c r="E9875" s="87"/>
      <c r="F9875" s="87"/>
      <c r="G9875" s="87"/>
    </row>
    <row r="9876">
      <c r="A9876" s="86" t="str">
        <f>IFERROR(__xludf.DUMMYFUNCTION("""COMPUTED_VALUE"""),"")</f>
        <v/>
      </c>
      <c r="B9876" s="87"/>
      <c r="C9876" s="87"/>
      <c r="D9876" s="87"/>
      <c r="E9876" s="87"/>
      <c r="F9876" s="87"/>
      <c r="G9876" s="87"/>
    </row>
    <row r="9877">
      <c r="A9877" s="86" t="str">
        <f>IFERROR(__xludf.DUMMYFUNCTION("""COMPUTED_VALUE"""),"")</f>
        <v/>
      </c>
      <c r="B9877" s="87"/>
      <c r="C9877" s="87"/>
      <c r="D9877" s="87"/>
      <c r="E9877" s="87"/>
      <c r="F9877" s="87"/>
      <c r="G9877" s="87"/>
    </row>
    <row r="9878">
      <c r="A9878" s="86" t="str">
        <f>IFERROR(__xludf.DUMMYFUNCTION("""COMPUTED_VALUE"""),"")</f>
        <v/>
      </c>
      <c r="B9878" s="87"/>
      <c r="C9878" s="87"/>
      <c r="D9878" s="87"/>
      <c r="E9878" s="87"/>
      <c r="F9878" s="87"/>
      <c r="G9878" s="87"/>
    </row>
    <row r="9879">
      <c r="A9879" s="86" t="str">
        <f>IFERROR(__xludf.DUMMYFUNCTION("""COMPUTED_VALUE"""),"")</f>
        <v/>
      </c>
      <c r="B9879" s="87"/>
      <c r="C9879" s="87"/>
      <c r="D9879" s="87"/>
      <c r="E9879" s="87"/>
      <c r="F9879" s="87"/>
      <c r="G9879" s="87"/>
    </row>
    <row r="9880">
      <c r="A9880" s="86" t="str">
        <f>IFERROR(__xludf.DUMMYFUNCTION("""COMPUTED_VALUE"""),"")</f>
        <v/>
      </c>
      <c r="B9880" s="87"/>
      <c r="C9880" s="87"/>
      <c r="D9880" s="87"/>
      <c r="E9880" s="87"/>
      <c r="F9880" s="87"/>
      <c r="G9880" s="87"/>
    </row>
    <row r="9881">
      <c r="A9881" s="86" t="str">
        <f>IFERROR(__xludf.DUMMYFUNCTION("""COMPUTED_VALUE"""),"")</f>
        <v/>
      </c>
      <c r="B9881" s="87"/>
      <c r="C9881" s="87"/>
      <c r="D9881" s="87"/>
      <c r="E9881" s="87"/>
      <c r="F9881" s="87"/>
      <c r="G9881" s="87"/>
    </row>
    <row r="9882">
      <c r="A9882" s="86" t="str">
        <f>IFERROR(__xludf.DUMMYFUNCTION("""COMPUTED_VALUE"""),"")</f>
        <v/>
      </c>
      <c r="B9882" s="87"/>
      <c r="C9882" s="87"/>
      <c r="D9882" s="87"/>
      <c r="E9882" s="87"/>
      <c r="F9882" s="87"/>
      <c r="G9882" s="87"/>
    </row>
    <row r="9883">
      <c r="A9883" s="86" t="str">
        <f>IFERROR(__xludf.DUMMYFUNCTION("""COMPUTED_VALUE"""),"")</f>
        <v/>
      </c>
      <c r="B9883" s="87"/>
      <c r="C9883" s="87"/>
      <c r="D9883" s="87"/>
      <c r="E9883" s="87"/>
      <c r="F9883" s="87"/>
      <c r="G9883" s="87"/>
    </row>
    <row r="9884">
      <c r="A9884" s="86" t="str">
        <f>IFERROR(__xludf.DUMMYFUNCTION("""COMPUTED_VALUE"""),"")</f>
        <v/>
      </c>
      <c r="B9884" s="87"/>
      <c r="C9884" s="87"/>
      <c r="D9884" s="87"/>
      <c r="E9884" s="87"/>
      <c r="F9884" s="87"/>
      <c r="G9884" s="87"/>
    </row>
    <row r="9885">
      <c r="A9885" s="86" t="str">
        <f>IFERROR(__xludf.DUMMYFUNCTION("""COMPUTED_VALUE"""),"")</f>
        <v/>
      </c>
      <c r="B9885" s="87"/>
      <c r="C9885" s="87"/>
      <c r="D9885" s="87"/>
      <c r="E9885" s="87"/>
      <c r="F9885" s="87"/>
      <c r="G9885" s="87"/>
    </row>
    <row r="9886">
      <c r="A9886" s="86" t="str">
        <f>IFERROR(__xludf.DUMMYFUNCTION("""COMPUTED_VALUE"""),"")</f>
        <v/>
      </c>
      <c r="B9886" s="87"/>
      <c r="C9886" s="87"/>
      <c r="D9886" s="87"/>
      <c r="E9886" s="87"/>
      <c r="F9886" s="87"/>
      <c r="G9886" s="87"/>
    </row>
    <row r="9887">
      <c r="A9887" s="86" t="str">
        <f>IFERROR(__xludf.DUMMYFUNCTION("""COMPUTED_VALUE"""),"")</f>
        <v/>
      </c>
      <c r="B9887" s="87"/>
      <c r="C9887" s="87"/>
      <c r="D9887" s="87"/>
      <c r="E9887" s="87"/>
      <c r="F9887" s="87"/>
      <c r="G9887" s="87"/>
    </row>
    <row r="9888">
      <c r="A9888" s="86" t="str">
        <f>IFERROR(__xludf.DUMMYFUNCTION("""COMPUTED_VALUE"""),"")</f>
        <v/>
      </c>
      <c r="B9888" s="87"/>
      <c r="C9888" s="87"/>
      <c r="D9888" s="87"/>
      <c r="E9888" s="87"/>
      <c r="F9888" s="87"/>
      <c r="G9888" s="87"/>
    </row>
    <row r="9889">
      <c r="A9889" s="86" t="str">
        <f>IFERROR(__xludf.DUMMYFUNCTION("""COMPUTED_VALUE"""),"")</f>
        <v/>
      </c>
      <c r="B9889" s="87"/>
      <c r="C9889" s="87"/>
      <c r="D9889" s="87"/>
      <c r="E9889" s="87"/>
      <c r="F9889" s="87"/>
      <c r="G9889" s="87"/>
    </row>
    <row r="9890">
      <c r="A9890" s="86" t="str">
        <f>IFERROR(__xludf.DUMMYFUNCTION("""COMPUTED_VALUE"""),"")</f>
        <v/>
      </c>
      <c r="B9890" s="87"/>
      <c r="C9890" s="87"/>
      <c r="D9890" s="87"/>
      <c r="E9890" s="87"/>
      <c r="F9890" s="87"/>
      <c r="G9890" s="87"/>
    </row>
    <row r="9891">
      <c r="A9891" s="86" t="str">
        <f>IFERROR(__xludf.DUMMYFUNCTION("""COMPUTED_VALUE"""),"")</f>
        <v/>
      </c>
      <c r="B9891" s="87"/>
      <c r="C9891" s="87"/>
      <c r="D9891" s="87"/>
      <c r="E9891" s="87"/>
      <c r="F9891" s="87"/>
      <c r="G9891" s="87"/>
    </row>
    <row r="9892">
      <c r="A9892" s="86" t="str">
        <f>IFERROR(__xludf.DUMMYFUNCTION("""COMPUTED_VALUE"""),"")</f>
        <v/>
      </c>
      <c r="B9892" s="87"/>
      <c r="C9892" s="87"/>
      <c r="D9892" s="87"/>
      <c r="E9892" s="87"/>
      <c r="F9892" s="87"/>
      <c r="G9892" s="87"/>
    </row>
    <row r="9893">
      <c r="A9893" s="86" t="str">
        <f>IFERROR(__xludf.DUMMYFUNCTION("""COMPUTED_VALUE"""),"")</f>
        <v/>
      </c>
      <c r="B9893" s="87"/>
      <c r="C9893" s="87"/>
      <c r="D9893" s="87"/>
      <c r="E9893" s="87"/>
      <c r="F9893" s="87"/>
      <c r="G9893" s="87"/>
    </row>
    <row r="9894">
      <c r="A9894" s="86" t="str">
        <f>IFERROR(__xludf.DUMMYFUNCTION("""COMPUTED_VALUE"""),"")</f>
        <v/>
      </c>
      <c r="B9894" s="87"/>
      <c r="C9894" s="87"/>
      <c r="D9894" s="87"/>
      <c r="E9894" s="87"/>
      <c r="F9894" s="87"/>
      <c r="G9894" s="87"/>
    </row>
    <row r="9895">
      <c r="A9895" s="86" t="str">
        <f>IFERROR(__xludf.DUMMYFUNCTION("""COMPUTED_VALUE"""),"")</f>
        <v/>
      </c>
      <c r="B9895" s="87"/>
      <c r="C9895" s="87"/>
      <c r="D9895" s="87"/>
      <c r="E9895" s="87"/>
      <c r="F9895" s="87"/>
      <c r="G9895" s="87"/>
    </row>
    <row r="9896">
      <c r="A9896" s="86" t="str">
        <f>IFERROR(__xludf.DUMMYFUNCTION("""COMPUTED_VALUE"""),"")</f>
        <v/>
      </c>
      <c r="B9896" s="87"/>
      <c r="C9896" s="87"/>
      <c r="D9896" s="87"/>
      <c r="E9896" s="87"/>
      <c r="F9896" s="87"/>
      <c r="G9896" s="87"/>
    </row>
    <row r="9897">
      <c r="A9897" s="86" t="str">
        <f>IFERROR(__xludf.DUMMYFUNCTION("""COMPUTED_VALUE"""),"")</f>
        <v/>
      </c>
      <c r="B9897" s="87"/>
      <c r="C9897" s="87"/>
      <c r="D9897" s="87"/>
      <c r="E9897" s="87"/>
      <c r="F9897" s="87"/>
      <c r="G9897" s="87"/>
    </row>
    <row r="9898">
      <c r="A9898" s="86" t="str">
        <f>IFERROR(__xludf.DUMMYFUNCTION("""COMPUTED_VALUE"""),"")</f>
        <v/>
      </c>
      <c r="B9898" s="87"/>
      <c r="C9898" s="87"/>
      <c r="D9898" s="87"/>
      <c r="E9898" s="87"/>
      <c r="F9898" s="87"/>
      <c r="G9898" s="87"/>
    </row>
    <row r="9899">
      <c r="A9899" s="86" t="str">
        <f>IFERROR(__xludf.DUMMYFUNCTION("""COMPUTED_VALUE"""),"")</f>
        <v/>
      </c>
      <c r="B9899" s="87"/>
      <c r="C9899" s="87"/>
      <c r="D9899" s="87"/>
      <c r="E9899" s="87"/>
      <c r="F9899" s="87"/>
      <c r="G9899" s="87"/>
    </row>
    <row r="9900">
      <c r="A9900" s="86" t="str">
        <f>IFERROR(__xludf.DUMMYFUNCTION("""COMPUTED_VALUE"""),"")</f>
        <v/>
      </c>
      <c r="B9900" s="87"/>
      <c r="C9900" s="87"/>
      <c r="D9900" s="87"/>
      <c r="E9900" s="87"/>
      <c r="F9900" s="87"/>
      <c r="G9900" s="87"/>
    </row>
    <row r="9901">
      <c r="A9901" s="86" t="str">
        <f>IFERROR(__xludf.DUMMYFUNCTION("""COMPUTED_VALUE"""),"")</f>
        <v/>
      </c>
      <c r="B9901" s="87"/>
      <c r="C9901" s="87"/>
      <c r="D9901" s="87"/>
      <c r="E9901" s="87"/>
      <c r="F9901" s="87"/>
      <c r="G9901" s="87"/>
    </row>
    <row r="9902">
      <c r="A9902" s="86" t="str">
        <f>IFERROR(__xludf.DUMMYFUNCTION("""COMPUTED_VALUE"""),"")</f>
        <v/>
      </c>
      <c r="B9902" s="87"/>
      <c r="C9902" s="87"/>
      <c r="D9902" s="87"/>
      <c r="E9902" s="87"/>
      <c r="F9902" s="87"/>
      <c r="G9902" s="87"/>
    </row>
    <row r="9903">
      <c r="A9903" s="86" t="str">
        <f>IFERROR(__xludf.DUMMYFUNCTION("""COMPUTED_VALUE"""),"")</f>
        <v/>
      </c>
      <c r="B9903" s="87"/>
      <c r="C9903" s="87"/>
      <c r="D9903" s="87"/>
      <c r="E9903" s="87"/>
      <c r="F9903" s="87"/>
      <c r="G9903" s="87"/>
    </row>
    <row r="9904">
      <c r="A9904" s="86" t="str">
        <f>IFERROR(__xludf.DUMMYFUNCTION("""COMPUTED_VALUE"""),"")</f>
        <v/>
      </c>
      <c r="B9904" s="87"/>
      <c r="C9904" s="87"/>
      <c r="D9904" s="87"/>
      <c r="E9904" s="87"/>
      <c r="F9904" s="87"/>
      <c r="G9904" s="87"/>
    </row>
    <row r="9905">
      <c r="A9905" s="86" t="str">
        <f>IFERROR(__xludf.DUMMYFUNCTION("""COMPUTED_VALUE"""),"")</f>
        <v/>
      </c>
      <c r="B9905" s="87"/>
      <c r="C9905" s="87"/>
      <c r="D9905" s="87"/>
      <c r="E9905" s="87"/>
      <c r="F9905" s="87"/>
      <c r="G9905" s="87"/>
    </row>
    <row r="9906">
      <c r="A9906" s="86" t="str">
        <f>IFERROR(__xludf.DUMMYFUNCTION("""COMPUTED_VALUE"""),"")</f>
        <v/>
      </c>
      <c r="B9906" s="87"/>
      <c r="C9906" s="87"/>
      <c r="D9906" s="87"/>
      <c r="E9906" s="87"/>
      <c r="F9906" s="87"/>
      <c r="G9906" s="87"/>
    </row>
    <row r="9907">
      <c r="A9907" s="86" t="str">
        <f>IFERROR(__xludf.DUMMYFUNCTION("""COMPUTED_VALUE"""),"")</f>
        <v/>
      </c>
      <c r="B9907" s="87"/>
      <c r="C9907" s="87"/>
      <c r="D9907" s="87"/>
      <c r="E9907" s="87"/>
      <c r="F9907" s="87"/>
      <c r="G9907" s="87"/>
    </row>
    <row r="9908">
      <c r="A9908" s="86" t="str">
        <f>IFERROR(__xludf.DUMMYFUNCTION("""COMPUTED_VALUE"""),"")</f>
        <v/>
      </c>
      <c r="B9908" s="87"/>
      <c r="C9908" s="87"/>
      <c r="D9908" s="87"/>
      <c r="E9908" s="87"/>
      <c r="F9908" s="87"/>
      <c r="G9908" s="87"/>
    </row>
    <row r="9909">
      <c r="A9909" s="86" t="str">
        <f>IFERROR(__xludf.DUMMYFUNCTION("""COMPUTED_VALUE"""),"")</f>
        <v/>
      </c>
      <c r="B9909" s="87"/>
      <c r="C9909" s="87"/>
      <c r="D9909" s="87"/>
      <c r="E9909" s="87"/>
      <c r="F9909" s="87"/>
      <c r="G9909" s="87"/>
    </row>
    <row r="9910">
      <c r="A9910" s="86" t="str">
        <f>IFERROR(__xludf.DUMMYFUNCTION("""COMPUTED_VALUE"""),"")</f>
        <v/>
      </c>
      <c r="B9910" s="87"/>
      <c r="C9910" s="87"/>
      <c r="D9910" s="87"/>
      <c r="E9910" s="87"/>
      <c r="F9910" s="87"/>
      <c r="G9910" s="87"/>
    </row>
    <row r="9911">
      <c r="A9911" s="86" t="str">
        <f>IFERROR(__xludf.DUMMYFUNCTION("""COMPUTED_VALUE"""),"")</f>
        <v/>
      </c>
      <c r="B9911" s="87"/>
      <c r="C9911" s="87"/>
      <c r="D9911" s="87"/>
      <c r="E9911" s="87"/>
      <c r="F9911" s="87"/>
      <c r="G9911" s="87"/>
    </row>
    <row r="9912">
      <c r="A9912" s="86" t="str">
        <f>IFERROR(__xludf.DUMMYFUNCTION("""COMPUTED_VALUE"""),"")</f>
        <v/>
      </c>
      <c r="B9912" s="87"/>
      <c r="C9912" s="87"/>
      <c r="D9912" s="87"/>
      <c r="E9912" s="87"/>
      <c r="F9912" s="87"/>
      <c r="G9912" s="87"/>
    </row>
    <row r="9913">
      <c r="A9913" s="86" t="str">
        <f>IFERROR(__xludf.DUMMYFUNCTION("""COMPUTED_VALUE"""),"")</f>
        <v/>
      </c>
      <c r="B9913" s="87"/>
      <c r="C9913" s="87"/>
      <c r="D9913" s="87"/>
      <c r="E9913" s="87"/>
      <c r="F9913" s="87"/>
      <c r="G9913" s="87"/>
    </row>
    <row r="9914">
      <c r="A9914" s="86" t="str">
        <f>IFERROR(__xludf.DUMMYFUNCTION("""COMPUTED_VALUE"""),"")</f>
        <v/>
      </c>
      <c r="B9914" s="87"/>
      <c r="C9914" s="87"/>
      <c r="D9914" s="87"/>
      <c r="E9914" s="87"/>
      <c r="F9914" s="87"/>
      <c r="G9914" s="87"/>
    </row>
    <row r="9915">
      <c r="A9915" s="86" t="str">
        <f>IFERROR(__xludf.DUMMYFUNCTION("""COMPUTED_VALUE"""),"")</f>
        <v/>
      </c>
      <c r="B9915" s="87"/>
      <c r="C9915" s="87"/>
      <c r="D9915" s="87"/>
      <c r="E9915" s="87"/>
      <c r="F9915" s="87"/>
      <c r="G9915" s="87"/>
    </row>
    <row r="9916">
      <c r="A9916" s="86" t="str">
        <f>IFERROR(__xludf.DUMMYFUNCTION("""COMPUTED_VALUE"""),"")</f>
        <v/>
      </c>
      <c r="B9916" s="87"/>
      <c r="C9916" s="87"/>
      <c r="D9916" s="87"/>
      <c r="E9916" s="87"/>
      <c r="F9916" s="87"/>
      <c r="G9916" s="87"/>
    </row>
    <row r="9917">
      <c r="A9917" s="86" t="str">
        <f>IFERROR(__xludf.DUMMYFUNCTION("""COMPUTED_VALUE"""),"")</f>
        <v/>
      </c>
      <c r="B9917" s="87"/>
      <c r="C9917" s="87"/>
      <c r="D9917" s="87"/>
      <c r="E9917" s="87"/>
      <c r="F9917" s="87"/>
      <c r="G9917" s="87"/>
    </row>
    <row r="9918">
      <c r="A9918" s="86" t="str">
        <f>IFERROR(__xludf.DUMMYFUNCTION("""COMPUTED_VALUE"""),"")</f>
        <v/>
      </c>
      <c r="B9918" s="87"/>
      <c r="C9918" s="87"/>
      <c r="D9918" s="87"/>
      <c r="E9918" s="87"/>
      <c r="F9918" s="87"/>
      <c r="G9918" s="87"/>
    </row>
    <row r="9919">
      <c r="A9919" s="86" t="str">
        <f>IFERROR(__xludf.DUMMYFUNCTION("""COMPUTED_VALUE"""),"")</f>
        <v/>
      </c>
      <c r="B9919" s="87"/>
      <c r="C9919" s="87"/>
      <c r="D9919" s="87"/>
      <c r="E9919" s="87"/>
      <c r="F9919" s="87"/>
      <c r="G9919" s="87"/>
    </row>
    <row r="9920">
      <c r="A9920" s="86" t="str">
        <f>IFERROR(__xludf.DUMMYFUNCTION("""COMPUTED_VALUE"""),"")</f>
        <v/>
      </c>
      <c r="B9920" s="87"/>
      <c r="C9920" s="87"/>
      <c r="D9920" s="87"/>
      <c r="E9920" s="87"/>
      <c r="F9920" s="87"/>
      <c r="G9920" s="87"/>
    </row>
    <row r="9921">
      <c r="A9921" s="86" t="str">
        <f>IFERROR(__xludf.DUMMYFUNCTION("""COMPUTED_VALUE"""),"")</f>
        <v/>
      </c>
      <c r="B9921" s="87"/>
      <c r="C9921" s="87"/>
      <c r="D9921" s="87"/>
      <c r="E9921" s="87"/>
      <c r="F9921" s="87"/>
      <c r="G9921" s="87"/>
    </row>
    <row r="9922">
      <c r="A9922" s="86" t="str">
        <f>IFERROR(__xludf.DUMMYFUNCTION("""COMPUTED_VALUE"""),"")</f>
        <v/>
      </c>
      <c r="B9922" s="87"/>
      <c r="C9922" s="87"/>
      <c r="D9922" s="87"/>
      <c r="E9922" s="87"/>
      <c r="F9922" s="87"/>
      <c r="G9922" s="87"/>
    </row>
    <row r="9923">
      <c r="A9923" s="86" t="str">
        <f>IFERROR(__xludf.DUMMYFUNCTION("""COMPUTED_VALUE"""),"")</f>
        <v/>
      </c>
      <c r="B9923" s="87"/>
      <c r="C9923" s="87"/>
      <c r="D9923" s="87"/>
      <c r="E9923" s="87"/>
      <c r="F9923" s="87"/>
      <c r="G9923" s="87"/>
    </row>
    <row r="9924">
      <c r="A9924" s="86" t="str">
        <f>IFERROR(__xludf.DUMMYFUNCTION("""COMPUTED_VALUE"""),"")</f>
        <v/>
      </c>
      <c r="B9924" s="87"/>
      <c r="C9924" s="87"/>
      <c r="D9924" s="87"/>
      <c r="E9924" s="87"/>
      <c r="F9924" s="87"/>
      <c r="G9924" s="87"/>
    </row>
    <row r="9925">
      <c r="A9925" s="86" t="str">
        <f>IFERROR(__xludf.DUMMYFUNCTION("""COMPUTED_VALUE"""),"")</f>
        <v/>
      </c>
      <c r="B9925" s="87"/>
      <c r="C9925" s="87"/>
      <c r="D9925" s="87"/>
      <c r="E9925" s="87"/>
      <c r="F9925" s="87"/>
      <c r="G9925" s="87"/>
    </row>
    <row r="9926">
      <c r="A9926" s="86" t="str">
        <f>IFERROR(__xludf.DUMMYFUNCTION("""COMPUTED_VALUE"""),"")</f>
        <v/>
      </c>
      <c r="B9926" s="87"/>
      <c r="C9926" s="87"/>
      <c r="D9926" s="87"/>
      <c r="E9926" s="87"/>
      <c r="F9926" s="87"/>
      <c r="G9926" s="87"/>
    </row>
    <row r="9927">
      <c r="A9927" s="86" t="str">
        <f>IFERROR(__xludf.DUMMYFUNCTION("""COMPUTED_VALUE"""),"")</f>
        <v/>
      </c>
      <c r="B9927" s="87"/>
      <c r="C9927" s="87"/>
      <c r="D9927" s="87"/>
      <c r="E9927" s="87"/>
      <c r="F9927" s="87"/>
      <c r="G9927" s="87"/>
    </row>
    <row r="9928">
      <c r="A9928" s="86" t="str">
        <f>IFERROR(__xludf.DUMMYFUNCTION("""COMPUTED_VALUE"""),"")</f>
        <v/>
      </c>
      <c r="B9928" s="87"/>
      <c r="C9928" s="87"/>
      <c r="D9928" s="87"/>
      <c r="E9928" s="87"/>
      <c r="F9928" s="87"/>
      <c r="G9928" s="87"/>
    </row>
    <row r="9929">
      <c r="A9929" s="86" t="str">
        <f>IFERROR(__xludf.DUMMYFUNCTION("""COMPUTED_VALUE"""),"")</f>
        <v/>
      </c>
      <c r="B9929" s="87"/>
      <c r="C9929" s="87"/>
      <c r="D9929" s="87"/>
      <c r="E9929" s="87"/>
      <c r="F9929" s="87"/>
      <c r="G9929" s="87"/>
    </row>
    <row r="9930">
      <c r="A9930" s="86" t="str">
        <f>IFERROR(__xludf.DUMMYFUNCTION("""COMPUTED_VALUE"""),"")</f>
        <v/>
      </c>
      <c r="B9930" s="87"/>
      <c r="C9930" s="87"/>
      <c r="D9930" s="87"/>
      <c r="E9930" s="87"/>
      <c r="F9930" s="87"/>
      <c r="G9930" s="87"/>
    </row>
    <row r="9931">
      <c r="A9931" s="86" t="str">
        <f>IFERROR(__xludf.DUMMYFUNCTION("""COMPUTED_VALUE"""),"")</f>
        <v/>
      </c>
      <c r="B9931" s="87"/>
      <c r="C9931" s="87"/>
      <c r="D9931" s="87"/>
      <c r="E9931" s="87"/>
      <c r="F9931" s="87"/>
      <c r="G9931" s="87"/>
    </row>
    <row r="9932">
      <c r="A9932" s="86" t="str">
        <f>IFERROR(__xludf.DUMMYFUNCTION("""COMPUTED_VALUE"""),"")</f>
        <v/>
      </c>
      <c r="B9932" s="87"/>
      <c r="C9932" s="87"/>
      <c r="D9932" s="87"/>
      <c r="E9932" s="87"/>
      <c r="F9932" s="87"/>
      <c r="G9932" s="87"/>
    </row>
    <row r="9933">
      <c r="A9933" s="86" t="str">
        <f>IFERROR(__xludf.DUMMYFUNCTION("""COMPUTED_VALUE"""),"")</f>
        <v/>
      </c>
      <c r="B9933" s="87"/>
      <c r="C9933" s="87"/>
      <c r="D9933" s="87"/>
      <c r="E9933" s="87"/>
      <c r="F9933" s="87"/>
      <c r="G9933" s="87"/>
    </row>
    <row r="9934">
      <c r="A9934" s="86" t="str">
        <f>IFERROR(__xludf.DUMMYFUNCTION("""COMPUTED_VALUE"""),"")</f>
        <v/>
      </c>
      <c r="B9934" s="87"/>
      <c r="C9934" s="87"/>
      <c r="D9934" s="87"/>
      <c r="E9934" s="87"/>
      <c r="F9934" s="87"/>
      <c r="G9934" s="87"/>
    </row>
    <row r="9935">
      <c r="A9935" s="86" t="str">
        <f>IFERROR(__xludf.DUMMYFUNCTION("""COMPUTED_VALUE"""),"")</f>
        <v/>
      </c>
      <c r="B9935" s="87"/>
      <c r="C9935" s="87"/>
      <c r="D9935" s="87"/>
      <c r="E9935" s="87"/>
      <c r="F9935" s="87"/>
      <c r="G9935" s="87"/>
    </row>
    <row r="9936">
      <c r="A9936" s="86" t="str">
        <f>IFERROR(__xludf.DUMMYFUNCTION("""COMPUTED_VALUE"""),"")</f>
        <v/>
      </c>
      <c r="B9936" s="87"/>
      <c r="C9936" s="87"/>
      <c r="D9936" s="87"/>
      <c r="E9936" s="87"/>
      <c r="F9936" s="87"/>
      <c r="G9936" s="87"/>
    </row>
    <row r="9937">
      <c r="A9937" s="86" t="str">
        <f>IFERROR(__xludf.DUMMYFUNCTION("""COMPUTED_VALUE"""),"")</f>
        <v/>
      </c>
      <c r="B9937" s="87"/>
      <c r="C9937" s="87"/>
      <c r="D9937" s="87"/>
      <c r="E9937" s="87"/>
      <c r="F9937" s="87"/>
      <c r="G9937" s="87"/>
    </row>
    <row r="9938">
      <c r="A9938" s="86" t="str">
        <f>IFERROR(__xludf.DUMMYFUNCTION("""COMPUTED_VALUE"""),"")</f>
        <v/>
      </c>
      <c r="B9938" s="87"/>
      <c r="C9938" s="87"/>
      <c r="D9938" s="87"/>
      <c r="E9938" s="87"/>
      <c r="F9938" s="87"/>
      <c r="G9938" s="87"/>
    </row>
    <row r="9939">
      <c r="A9939" s="86" t="str">
        <f>IFERROR(__xludf.DUMMYFUNCTION("""COMPUTED_VALUE"""),"")</f>
        <v/>
      </c>
      <c r="B9939" s="87"/>
      <c r="C9939" s="87"/>
      <c r="D9939" s="87"/>
      <c r="E9939" s="87"/>
      <c r="F9939" s="87"/>
      <c r="G9939" s="87"/>
    </row>
    <row r="9940">
      <c r="A9940" s="86" t="str">
        <f>IFERROR(__xludf.DUMMYFUNCTION("""COMPUTED_VALUE"""),"")</f>
        <v/>
      </c>
      <c r="B9940" s="87"/>
      <c r="C9940" s="87"/>
      <c r="D9940" s="87"/>
      <c r="E9940" s="87"/>
      <c r="F9940" s="87"/>
      <c r="G9940" s="87"/>
    </row>
    <row r="9941">
      <c r="A9941" s="86" t="str">
        <f>IFERROR(__xludf.DUMMYFUNCTION("""COMPUTED_VALUE"""),"")</f>
        <v/>
      </c>
      <c r="B9941" s="87"/>
      <c r="C9941" s="87"/>
      <c r="D9941" s="87"/>
      <c r="E9941" s="87"/>
      <c r="F9941" s="87"/>
      <c r="G9941" s="87"/>
    </row>
    <row r="9942">
      <c r="A9942" s="86" t="str">
        <f>IFERROR(__xludf.DUMMYFUNCTION("""COMPUTED_VALUE"""),"")</f>
        <v/>
      </c>
      <c r="B9942" s="87"/>
      <c r="C9942" s="87"/>
      <c r="D9942" s="87"/>
      <c r="E9942" s="87"/>
      <c r="F9942" s="87"/>
      <c r="G9942" s="87"/>
    </row>
    <row r="9943">
      <c r="A9943" s="86" t="str">
        <f>IFERROR(__xludf.DUMMYFUNCTION("""COMPUTED_VALUE"""),"")</f>
        <v/>
      </c>
      <c r="B9943" s="87"/>
      <c r="C9943" s="87"/>
      <c r="D9943" s="87"/>
      <c r="E9943" s="87"/>
      <c r="F9943" s="87"/>
      <c r="G9943" s="87"/>
    </row>
    <row r="9944">
      <c r="A9944" s="86" t="str">
        <f>IFERROR(__xludf.DUMMYFUNCTION("""COMPUTED_VALUE"""),"")</f>
        <v/>
      </c>
      <c r="B9944" s="87"/>
      <c r="C9944" s="87"/>
      <c r="D9944" s="87"/>
      <c r="E9944" s="87"/>
      <c r="F9944" s="87"/>
      <c r="G9944" s="87"/>
    </row>
    <row r="9945">
      <c r="A9945" s="86" t="str">
        <f>IFERROR(__xludf.DUMMYFUNCTION("""COMPUTED_VALUE"""),"")</f>
        <v/>
      </c>
      <c r="B9945" s="87"/>
      <c r="C9945" s="87"/>
      <c r="D9945" s="87"/>
      <c r="E9945" s="87"/>
      <c r="F9945" s="87"/>
      <c r="G9945" s="87"/>
    </row>
    <row r="9946">
      <c r="A9946" s="86" t="str">
        <f>IFERROR(__xludf.DUMMYFUNCTION("""COMPUTED_VALUE"""),"")</f>
        <v/>
      </c>
      <c r="B9946" s="87"/>
      <c r="C9946" s="87"/>
      <c r="D9946" s="87"/>
      <c r="E9946" s="87"/>
      <c r="F9946" s="87"/>
      <c r="G9946" s="87"/>
    </row>
    <row r="9947">
      <c r="A9947" s="86" t="str">
        <f>IFERROR(__xludf.DUMMYFUNCTION("""COMPUTED_VALUE"""),"")</f>
        <v/>
      </c>
      <c r="B9947" s="87"/>
      <c r="C9947" s="87"/>
      <c r="D9947" s="87"/>
      <c r="E9947" s="87"/>
      <c r="F9947" s="87"/>
      <c r="G9947" s="87"/>
    </row>
    <row r="9948">
      <c r="A9948" s="86" t="str">
        <f>IFERROR(__xludf.DUMMYFUNCTION("""COMPUTED_VALUE"""),"")</f>
        <v/>
      </c>
      <c r="B9948" s="87"/>
      <c r="C9948" s="87"/>
      <c r="D9948" s="87"/>
      <c r="E9948" s="87"/>
      <c r="F9948" s="87"/>
      <c r="G9948" s="87"/>
    </row>
    <row r="9949">
      <c r="A9949" s="86" t="str">
        <f>IFERROR(__xludf.DUMMYFUNCTION("""COMPUTED_VALUE"""),"")</f>
        <v/>
      </c>
      <c r="B9949" s="87"/>
      <c r="C9949" s="87"/>
      <c r="D9949" s="87"/>
      <c r="E9949" s="87"/>
      <c r="F9949" s="87"/>
      <c r="G9949" s="87"/>
    </row>
    <row r="9950">
      <c r="A9950" s="86" t="str">
        <f>IFERROR(__xludf.DUMMYFUNCTION("""COMPUTED_VALUE"""),"")</f>
        <v/>
      </c>
      <c r="B9950" s="87"/>
      <c r="C9950" s="87"/>
      <c r="D9950" s="87"/>
      <c r="E9950" s="87"/>
      <c r="F9950" s="87"/>
      <c r="G9950" s="87"/>
    </row>
    <row r="9951">
      <c r="A9951" s="86" t="str">
        <f>IFERROR(__xludf.DUMMYFUNCTION("""COMPUTED_VALUE"""),"")</f>
        <v/>
      </c>
      <c r="B9951" s="87"/>
      <c r="C9951" s="87"/>
      <c r="D9951" s="87"/>
      <c r="E9951" s="87"/>
      <c r="F9951" s="87"/>
      <c r="G9951" s="87"/>
    </row>
    <row r="9952">
      <c r="A9952" s="86" t="str">
        <f>IFERROR(__xludf.DUMMYFUNCTION("""COMPUTED_VALUE"""),"")</f>
        <v/>
      </c>
      <c r="B9952" s="87"/>
      <c r="C9952" s="87"/>
      <c r="D9952" s="87"/>
      <c r="E9952" s="87"/>
      <c r="F9952" s="87"/>
      <c r="G9952" s="87"/>
    </row>
    <row r="9953">
      <c r="A9953" s="86" t="str">
        <f>IFERROR(__xludf.DUMMYFUNCTION("""COMPUTED_VALUE"""),"")</f>
        <v/>
      </c>
      <c r="B9953" s="87"/>
      <c r="C9953" s="87"/>
      <c r="D9953" s="87"/>
      <c r="E9953" s="87"/>
      <c r="F9953" s="87"/>
      <c r="G9953" s="87"/>
    </row>
    <row r="9954">
      <c r="A9954" s="86" t="str">
        <f>IFERROR(__xludf.DUMMYFUNCTION("""COMPUTED_VALUE"""),"")</f>
        <v/>
      </c>
      <c r="B9954" s="87"/>
      <c r="C9954" s="87"/>
      <c r="D9954" s="87"/>
      <c r="E9954" s="87"/>
      <c r="F9954" s="87"/>
      <c r="G9954" s="87"/>
    </row>
    <row r="9955">
      <c r="A9955" s="86" t="str">
        <f>IFERROR(__xludf.DUMMYFUNCTION("""COMPUTED_VALUE"""),"")</f>
        <v/>
      </c>
      <c r="B9955" s="87"/>
      <c r="C9955" s="87"/>
      <c r="D9955" s="87"/>
      <c r="E9955" s="87"/>
      <c r="F9955" s="87"/>
      <c r="G9955" s="87"/>
    </row>
    <row r="9956">
      <c r="A9956" s="86" t="str">
        <f>IFERROR(__xludf.DUMMYFUNCTION("""COMPUTED_VALUE"""),"")</f>
        <v/>
      </c>
      <c r="B9956" s="87"/>
      <c r="C9956" s="87"/>
      <c r="D9956" s="87"/>
      <c r="E9956" s="87"/>
      <c r="F9956" s="87"/>
      <c r="G9956" s="87"/>
    </row>
    <row r="9957">
      <c r="A9957" s="86" t="str">
        <f>IFERROR(__xludf.DUMMYFUNCTION("""COMPUTED_VALUE"""),"")</f>
        <v/>
      </c>
      <c r="B9957" s="87"/>
      <c r="C9957" s="87"/>
      <c r="D9957" s="87"/>
      <c r="E9957" s="87"/>
      <c r="F9957" s="87"/>
      <c r="G9957" s="87"/>
    </row>
    <row r="9958">
      <c r="A9958" s="86" t="str">
        <f>IFERROR(__xludf.DUMMYFUNCTION("""COMPUTED_VALUE"""),"")</f>
        <v/>
      </c>
      <c r="B9958" s="87"/>
      <c r="C9958" s="87"/>
      <c r="D9958" s="87"/>
      <c r="E9958" s="87"/>
      <c r="F9958" s="87"/>
      <c r="G9958" s="87"/>
    </row>
    <row r="9959">
      <c r="A9959" s="86" t="str">
        <f>IFERROR(__xludf.DUMMYFUNCTION("""COMPUTED_VALUE"""),"")</f>
        <v/>
      </c>
      <c r="B9959" s="87"/>
      <c r="C9959" s="87"/>
      <c r="D9959" s="87"/>
      <c r="E9959" s="87"/>
      <c r="F9959" s="87"/>
      <c r="G9959" s="87"/>
    </row>
    <row r="9960">
      <c r="A9960" s="86" t="str">
        <f>IFERROR(__xludf.DUMMYFUNCTION("""COMPUTED_VALUE"""),"")</f>
        <v/>
      </c>
      <c r="B9960" s="87"/>
      <c r="C9960" s="87"/>
      <c r="D9960" s="87"/>
      <c r="E9960" s="87"/>
      <c r="F9960" s="87"/>
      <c r="G9960" s="87"/>
    </row>
    <row r="9961">
      <c r="A9961" s="86" t="str">
        <f>IFERROR(__xludf.DUMMYFUNCTION("""COMPUTED_VALUE"""),"")</f>
        <v/>
      </c>
      <c r="B9961" s="87"/>
      <c r="C9961" s="87"/>
      <c r="D9961" s="87"/>
      <c r="E9961" s="87"/>
      <c r="F9961" s="87"/>
      <c r="G9961" s="87"/>
    </row>
    <row r="9962">
      <c r="A9962" s="86" t="str">
        <f>IFERROR(__xludf.DUMMYFUNCTION("""COMPUTED_VALUE"""),"")</f>
        <v/>
      </c>
      <c r="B9962" s="87"/>
      <c r="C9962" s="87"/>
      <c r="D9962" s="87"/>
      <c r="E9962" s="87"/>
      <c r="F9962" s="87"/>
      <c r="G9962" s="87"/>
    </row>
    <row r="9963">
      <c r="A9963" s="86" t="str">
        <f>IFERROR(__xludf.DUMMYFUNCTION("""COMPUTED_VALUE"""),"")</f>
        <v/>
      </c>
      <c r="B9963" s="87"/>
      <c r="C9963" s="87"/>
      <c r="D9963" s="87"/>
      <c r="E9963" s="87"/>
      <c r="F9963" s="87"/>
      <c r="G9963" s="87"/>
    </row>
    <row r="9964">
      <c r="A9964" s="86" t="str">
        <f>IFERROR(__xludf.DUMMYFUNCTION("""COMPUTED_VALUE"""),"")</f>
        <v/>
      </c>
      <c r="B9964" s="87"/>
      <c r="C9964" s="87"/>
      <c r="D9964" s="87"/>
      <c r="E9964" s="87"/>
      <c r="F9964" s="87"/>
      <c r="G9964" s="87"/>
    </row>
    <row r="9965">
      <c r="A9965" s="86" t="str">
        <f>IFERROR(__xludf.DUMMYFUNCTION("""COMPUTED_VALUE"""),"")</f>
        <v/>
      </c>
      <c r="B9965" s="87"/>
      <c r="C9965" s="87"/>
      <c r="D9965" s="87"/>
      <c r="E9965" s="87"/>
      <c r="F9965" s="87"/>
      <c r="G9965" s="87"/>
    </row>
    <row r="9966">
      <c r="A9966" s="86" t="str">
        <f>IFERROR(__xludf.DUMMYFUNCTION("""COMPUTED_VALUE"""),"")</f>
        <v/>
      </c>
      <c r="B9966" s="87"/>
      <c r="C9966" s="87"/>
      <c r="D9966" s="87"/>
      <c r="E9966" s="87"/>
      <c r="F9966" s="87"/>
      <c r="G9966" s="87"/>
    </row>
    <row r="9967">
      <c r="A9967" s="86" t="str">
        <f>IFERROR(__xludf.DUMMYFUNCTION("""COMPUTED_VALUE"""),"")</f>
        <v/>
      </c>
      <c r="B9967" s="87"/>
      <c r="C9967" s="87"/>
      <c r="D9967" s="87"/>
      <c r="E9967" s="87"/>
      <c r="F9967" s="87"/>
      <c r="G9967" s="87"/>
    </row>
    <row r="9968">
      <c r="A9968" s="86" t="str">
        <f>IFERROR(__xludf.DUMMYFUNCTION("""COMPUTED_VALUE"""),"")</f>
        <v/>
      </c>
      <c r="B9968" s="87"/>
      <c r="C9968" s="87"/>
      <c r="D9968" s="87"/>
      <c r="E9968" s="87"/>
      <c r="F9968" s="87"/>
      <c r="G9968" s="87"/>
    </row>
    <row r="9969">
      <c r="A9969" s="86" t="str">
        <f>IFERROR(__xludf.DUMMYFUNCTION("""COMPUTED_VALUE"""),"")</f>
        <v/>
      </c>
      <c r="B9969" s="87"/>
      <c r="C9969" s="87"/>
      <c r="D9969" s="87"/>
      <c r="E9969" s="87"/>
      <c r="F9969" s="87"/>
      <c r="G9969" s="87"/>
    </row>
    <row r="9970">
      <c r="A9970" s="86" t="str">
        <f>IFERROR(__xludf.DUMMYFUNCTION("""COMPUTED_VALUE"""),"")</f>
        <v/>
      </c>
      <c r="B9970" s="87"/>
      <c r="C9970" s="87"/>
      <c r="D9970" s="87"/>
      <c r="E9970" s="87"/>
      <c r="F9970" s="87"/>
      <c r="G9970" s="87"/>
    </row>
    <row r="9971">
      <c r="A9971" s="86" t="str">
        <f>IFERROR(__xludf.DUMMYFUNCTION("""COMPUTED_VALUE"""),"")</f>
        <v/>
      </c>
      <c r="B9971" s="87"/>
      <c r="C9971" s="87"/>
      <c r="D9971" s="87"/>
      <c r="E9971" s="87"/>
      <c r="F9971" s="87"/>
      <c r="G9971" s="87"/>
    </row>
    <row r="9972">
      <c r="A9972" s="86" t="str">
        <f>IFERROR(__xludf.DUMMYFUNCTION("""COMPUTED_VALUE"""),"")</f>
        <v/>
      </c>
      <c r="B9972" s="87"/>
      <c r="C9972" s="87"/>
      <c r="D9972" s="87"/>
      <c r="E9972" s="87"/>
      <c r="F9972" s="87"/>
      <c r="G9972" s="87"/>
    </row>
    <row r="9973">
      <c r="A9973" s="86" t="str">
        <f>IFERROR(__xludf.DUMMYFUNCTION("""COMPUTED_VALUE"""),"")</f>
        <v/>
      </c>
      <c r="B9973" s="87"/>
      <c r="C9973" s="87"/>
      <c r="D9973" s="87"/>
      <c r="E9973" s="87"/>
      <c r="F9973" s="87"/>
      <c r="G9973" s="87"/>
    </row>
    <row r="9974">
      <c r="A9974" s="86" t="str">
        <f>IFERROR(__xludf.DUMMYFUNCTION("""COMPUTED_VALUE"""),"")</f>
        <v/>
      </c>
      <c r="B9974" s="87"/>
      <c r="C9974" s="87"/>
      <c r="D9974" s="87"/>
      <c r="E9974" s="87"/>
      <c r="F9974" s="87"/>
      <c r="G9974" s="87"/>
    </row>
    <row r="9975">
      <c r="A9975" s="86" t="str">
        <f>IFERROR(__xludf.DUMMYFUNCTION("""COMPUTED_VALUE"""),"")</f>
        <v/>
      </c>
      <c r="B9975" s="87"/>
      <c r="C9975" s="87"/>
      <c r="D9975" s="87"/>
      <c r="E9975" s="87"/>
      <c r="F9975" s="87"/>
      <c r="G9975" s="87"/>
    </row>
    <row r="9976">
      <c r="A9976" s="86" t="str">
        <f>IFERROR(__xludf.DUMMYFUNCTION("""COMPUTED_VALUE"""),"")</f>
        <v/>
      </c>
      <c r="B9976" s="87"/>
      <c r="C9976" s="87"/>
      <c r="D9976" s="87"/>
      <c r="E9976" s="87"/>
      <c r="F9976" s="87"/>
      <c r="G9976" s="87"/>
    </row>
    <row r="9977">
      <c r="A9977" s="86" t="str">
        <f>IFERROR(__xludf.DUMMYFUNCTION("""COMPUTED_VALUE"""),"")</f>
        <v/>
      </c>
      <c r="B9977" s="87"/>
      <c r="C9977" s="87"/>
      <c r="D9977" s="87"/>
      <c r="E9977" s="87"/>
      <c r="F9977" s="87"/>
      <c r="G9977" s="87"/>
    </row>
    <row r="9978">
      <c r="A9978" s="86" t="str">
        <f>IFERROR(__xludf.DUMMYFUNCTION("""COMPUTED_VALUE"""),"")</f>
        <v/>
      </c>
      <c r="B9978" s="87"/>
      <c r="C9978" s="87"/>
      <c r="D9978" s="87"/>
      <c r="E9978" s="87"/>
      <c r="F9978" s="87"/>
      <c r="G9978" s="87"/>
    </row>
    <row r="9979">
      <c r="A9979" s="86" t="str">
        <f>IFERROR(__xludf.DUMMYFUNCTION("""COMPUTED_VALUE"""),"")</f>
        <v/>
      </c>
      <c r="B9979" s="87"/>
      <c r="C9979" s="87"/>
      <c r="D9979" s="87"/>
      <c r="E9979" s="87"/>
      <c r="F9979" s="87"/>
      <c r="G9979" s="87"/>
    </row>
    <row r="9980">
      <c r="A9980" s="86" t="str">
        <f>IFERROR(__xludf.DUMMYFUNCTION("""COMPUTED_VALUE"""),"")</f>
        <v/>
      </c>
      <c r="B9980" s="87"/>
      <c r="C9980" s="87"/>
      <c r="D9980" s="87"/>
      <c r="E9980" s="87"/>
      <c r="F9980" s="87"/>
      <c r="G9980" s="87"/>
    </row>
    <row r="9981">
      <c r="A9981" s="86" t="str">
        <f>IFERROR(__xludf.DUMMYFUNCTION("""COMPUTED_VALUE"""),"")</f>
        <v/>
      </c>
      <c r="B9981" s="87"/>
      <c r="C9981" s="87"/>
      <c r="D9981" s="87"/>
      <c r="E9981" s="87"/>
      <c r="F9981" s="87"/>
      <c r="G9981" s="87"/>
    </row>
    <row r="9982">
      <c r="A9982" s="86" t="str">
        <f>IFERROR(__xludf.DUMMYFUNCTION("""COMPUTED_VALUE"""),"")</f>
        <v/>
      </c>
      <c r="B9982" s="87"/>
      <c r="C9982" s="87"/>
      <c r="D9982" s="87"/>
      <c r="E9982" s="87"/>
      <c r="F9982" s="87"/>
      <c r="G9982" s="87"/>
    </row>
    <row r="9983">
      <c r="A9983" s="86" t="str">
        <f>IFERROR(__xludf.DUMMYFUNCTION("""COMPUTED_VALUE"""),"")</f>
        <v/>
      </c>
      <c r="B9983" s="87"/>
      <c r="C9983" s="87"/>
      <c r="D9983" s="87"/>
      <c r="E9983" s="87"/>
      <c r="F9983" s="87"/>
      <c r="G9983" s="87"/>
    </row>
    <row r="9984">
      <c r="A9984" s="86" t="str">
        <f>IFERROR(__xludf.DUMMYFUNCTION("""COMPUTED_VALUE"""),"")</f>
        <v/>
      </c>
      <c r="B9984" s="87"/>
      <c r="C9984" s="87"/>
      <c r="D9984" s="87"/>
      <c r="E9984" s="87"/>
      <c r="F9984" s="87"/>
      <c r="G9984" s="87"/>
    </row>
    <row r="9985">
      <c r="A9985" s="86" t="str">
        <f>IFERROR(__xludf.DUMMYFUNCTION("""COMPUTED_VALUE"""),"")</f>
        <v/>
      </c>
      <c r="B9985" s="87"/>
      <c r="C9985" s="87"/>
      <c r="D9985" s="87"/>
      <c r="E9985" s="87"/>
      <c r="F9985" s="87"/>
      <c r="G9985" s="87"/>
    </row>
    <row r="9986">
      <c r="A9986" s="86" t="str">
        <f>IFERROR(__xludf.DUMMYFUNCTION("""COMPUTED_VALUE"""),"")</f>
        <v/>
      </c>
      <c r="B9986" s="87"/>
      <c r="C9986" s="87"/>
      <c r="D9986" s="87"/>
      <c r="E9986" s="87"/>
      <c r="F9986" s="87"/>
      <c r="G9986" s="87"/>
    </row>
    <row r="9987">
      <c r="A9987" s="86" t="str">
        <f>IFERROR(__xludf.DUMMYFUNCTION("""COMPUTED_VALUE"""),"")</f>
        <v/>
      </c>
      <c r="B9987" s="87"/>
      <c r="C9987" s="87"/>
      <c r="D9987" s="87"/>
      <c r="E9987" s="87"/>
      <c r="F9987" s="87"/>
      <c r="G9987" s="87"/>
    </row>
    <row r="9988">
      <c r="A9988" s="86" t="str">
        <f>IFERROR(__xludf.DUMMYFUNCTION("""COMPUTED_VALUE"""),"")</f>
        <v/>
      </c>
      <c r="B9988" s="87"/>
      <c r="C9988" s="87"/>
      <c r="D9988" s="87"/>
      <c r="E9988" s="87"/>
      <c r="F9988" s="87"/>
      <c r="G9988" s="87"/>
    </row>
    <row r="9989">
      <c r="A9989" s="86" t="str">
        <f>IFERROR(__xludf.DUMMYFUNCTION("""COMPUTED_VALUE"""),"")</f>
        <v/>
      </c>
      <c r="B9989" s="87"/>
      <c r="C9989" s="87"/>
      <c r="D9989" s="87"/>
      <c r="E9989" s="87"/>
      <c r="F9989" s="87"/>
      <c r="G9989" s="87"/>
    </row>
    <row r="9990">
      <c r="A9990" s="86" t="str">
        <f>IFERROR(__xludf.DUMMYFUNCTION("""COMPUTED_VALUE"""),"")</f>
        <v/>
      </c>
      <c r="B9990" s="87"/>
      <c r="C9990" s="87"/>
      <c r="D9990" s="87"/>
      <c r="E9990" s="87"/>
      <c r="F9990" s="87"/>
      <c r="G9990" s="87"/>
    </row>
    <row r="9991">
      <c r="A9991" s="86" t="str">
        <f>IFERROR(__xludf.DUMMYFUNCTION("""COMPUTED_VALUE"""),"")</f>
        <v/>
      </c>
      <c r="B9991" s="87"/>
      <c r="C9991" s="87"/>
      <c r="D9991" s="87"/>
      <c r="E9991" s="87"/>
      <c r="F9991" s="87"/>
      <c r="G9991" s="87"/>
    </row>
    <row r="9992">
      <c r="A9992" s="86" t="str">
        <f>IFERROR(__xludf.DUMMYFUNCTION("""COMPUTED_VALUE"""),"")</f>
        <v/>
      </c>
      <c r="B9992" s="87"/>
      <c r="C9992" s="87"/>
      <c r="D9992" s="87"/>
      <c r="E9992" s="87"/>
      <c r="F9992" s="87"/>
      <c r="G9992" s="87"/>
    </row>
    <row r="9993">
      <c r="A9993" s="86" t="str">
        <f>IFERROR(__xludf.DUMMYFUNCTION("""COMPUTED_VALUE"""),"")</f>
        <v/>
      </c>
      <c r="B9993" s="87"/>
      <c r="C9993" s="87"/>
      <c r="D9993" s="87"/>
      <c r="E9993" s="87"/>
      <c r="F9993" s="87"/>
      <c r="G9993" s="87"/>
    </row>
    <row r="9994">
      <c r="A9994" s="86" t="str">
        <f>IFERROR(__xludf.DUMMYFUNCTION("""COMPUTED_VALUE"""),"")</f>
        <v/>
      </c>
      <c r="B9994" s="87"/>
      <c r="C9994" s="87"/>
      <c r="D9994" s="87"/>
      <c r="E9994" s="87"/>
      <c r="F9994" s="87"/>
      <c r="G9994" s="87"/>
    </row>
    <row r="9995">
      <c r="A9995" s="86" t="str">
        <f>IFERROR(__xludf.DUMMYFUNCTION("""COMPUTED_VALUE"""),"")</f>
        <v/>
      </c>
      <c r="B9995" s="87"/>
      <c r="C9995" s="87"/>
      <c r="D9995" s="87"/>
      <c r="E9995" s="87"/>
      <c r="F9995" s="87"/>
      <c r="G9995" s="87"/>
    </row>
    <row r="9996">
      <c r="A9996" s="86" t="str">
        <f>IFERROR(__xludf.DUMMYFUNCTION("""COMPUTED_VALUE"""),"")</f>
        <v/>
      </c>
      <c r="B9996" s="87"/>
      <c r="C9996" s="87"/>
      <c r="D9996" s="87"/>
      <c r="E9996" s="87"/>
      <c r="F9996" s="87"/>
      <c r="G9996" s="87"/>
    </row>
    <row r="9997">
      <c r="A9997" s="86" t="str">
        <f>IFERROR(__xludf.DUMMYFUNCTION("""COMPUTED_VALUE"""),"")</f>
        <v/>
      </c>
      <c r="B9997" s="87"/>
      <c r="C9997" s="87"/>
      <c r="D9997" s="87"/>
      <c r="E9997" s="87"/>
      <c r="F9997" s="87"/>
      <c r="G9997" s="87"/>
    </row>
    <row r="9998">
      <c r="A9998" s="86" t="str">
        <f>IFERROR(__xludf.DUMMYFUNCTION("""COMPUTED_VALUE"""),"")</f>
        <v/>
      </c>
      <c r="B9998" s="87"/>
      <c r="C9998" s="87"/>
      <c r="D9998" s="87"/>
      <c r="E9998" s="87"/>
      <c r="F9998" s="87"/>
      <c r="G9998" s="87"/>
    </row>
    <row r="9999">
      <c r="A9999" s="86" t="str">
        <f>IFERROR(__xludf.DUMMYFUNCTION("""COMPUTED_VALUE"""),"")</f>
        <v/>
      </c>
      <c r="B9999" s="87"/>
      <c r="C9999" s="87"/>
      <c r="D9999" s="87"/>
      <c r="E9999" s="87"/>
      <c r="F9999" s="87"/>
      <c r="G9999" s="87"/>
    </row>
    <row r="10000">
      <c r="A10000" s="86" t="str">
        <f>IFERROR(__xludf.DUMMYFUNCTION("""COMPUTED_VALUE"""),"")</f>
        <v/>
      </c>
      <c r="B10000" s="87"/>
      <c r="C10000" s="87"/>
      <c r="D10000" s="87"/>
      <c r="E10000" s="87"/>
      <c r="F10000" s="87"/>
      <c r="G10000" s="87"/>
    </row>
    <row r="10001">
      <c r="A10001" s="86" t="str">
        <f>IFERROR(__xludf.DUMMYFUNCTION("""COMPUTED_VALUE"""),"")</f>
        <v/>
      </c>
      <c r="B10001" s="87"/>
      <c r="C10001" s="87"/>
      <c r="D10001" s="87"/>
      <c r="E10001" s="87"/>
      <c r="F10001" s="87"/>
      <c r="G10001" s="87"/>
    </row>
    <row r="10002">
      <c r="A10002" s="86" t="str">
        <f>IFERROR(__xludf.DUMMYFUNCTION("""COMPUTED_VALUE"""),"")</f>
        <v/>
      </c>
      <c r="B10002" s="87"/>
      <c r="C10002" s="87"/>
      <c r="D10002" s="87"/>
      <c r="E10002" s="87"/>
      <c r="F10002" s="87"/>
      <c r="G10002" s="87"/>
    </row>
    <row r="10003">
      <c r="A10003" s="86" t="str">
        <f>IFERROR(__xludf.DUMMYFUNCTION("""COMPUTED_VALUE"""),"")</f>
        <v/>
      </c>
      <c r="B10003" s="87"/>
      <c r="C10003" s="87"/>
      <c r="D10003" s="87"/>
      <c r="E10003" s="87"/>
      <c r="F10003" s="87"/>
      <c r="G10003" s="87"/>
    </row>
    <row r="10004">
      <c r="A10004" s="86" t="str">
        <f>IFERROR(__xludf.DUMMYFUNCTION("""COMPUTED_VALUE"""),"")</f>
        <v/>
      </c>
      <c r="B10004" s="87"/>
      <c r="C10004" s="87"/>
      <c r="D10004" s="87"/>
      <c r="E10004" s="87"/>
      <c r="F10004" s="87"/>
      <c r="G10004" s="87"/>
    </row>
    <row r="10005">
      <c r="A10005" s="86" t="str">
        <f>IFERROR(__xludf.DUMMYFUNCTION("""COMPUTED_VALUE"""),"")</f>
        <v/>
      </c>
      <c r="B10005" s="87"/>
      <c r="C10005" s="87"/>
      <c r="D10005" s="87"/>
      <c r="E10005" s="87"/>
      <c r="F10005" s="87"/>
      <c r="G10005" s="87"/>
    </row>
    <row r="10006">
      <c r="A10006" s="86" t="str">
        <f>IFERROR(__xludf.DUMMYFUNCTION("""COMPUTED_VALUE"""),"")</f>
        <v/>
      </c>
      <c r="B10006" s="87"/>
      <c r="C10006" s="87"/>
      <c r="D10006" s="87"/>
      <c r="E10006" s="87"/>
      <c r="F10006" s="87"/>
      <c r="G10006" s="87"/>
    </row>
    <row r="10007">
      <c r="A10007" s="86" t="str">
        <f>IFERROR(__xludf.DUMMYFUNCTION("""COMPUTED_VALUE"""),"")</f>
        <v/>
      </c>
      <c r="B10007" s="87"/>
      <c r="C10007" s="87"/>
      <c r="D10007" s="87"/>
      <c r="E10007" s="87"/>
      <c r="F10007" s="87"/>
      <c r="G10007" s="87"/>
    </row>
    <row r="10008">
      <c r="A10008" s="86" t="str">
        <f>IFERROR(__xludf.DUMMYFUNCTION("""COMPUTED_VALUE"""),"")</f>
        <v/>
      </c>
      <c r="B10008" s="87"/>
      <c r="C10008" s="87"/>
      <c r="D10008" s="87"/>
      <c r="E10008" s="87"/>
      <c r="F10008" s="87"/>
      <c r="G10008" s="87"/>
    </row>
    <row r="10009">
      <c r="A10009" s="86" t="str">
        <f>IFERROR(__xludf.DUMMYFUNCTION("""COMPUTED_VALUE"""),"")</f>
        <v/>
      </c>
      <c r="B10009" s="87"/>
      <c r="C10009" s="87"/>
      <c r="D10009" s="87"/>
      <c r="E10009" s="87"/>
      <c r="F10009" s="87"/>
      <c r="G10009" s="87"/>
    </row>
    <row r="10010">
      <c r="A10010" s="86" t="str">
        <f>IFERROR(__xludf.DUMMYFUNCTION("""COMPUTED_VALUE"""),"")</f>
        <v/>
      </c>
      <c r="B10010" s="87"/>
      <c r="C10010" s="87"/>
      <c r="D10010" s="87"/>
      <c r="E10010" s="87"/>
      <c r="F10010" s="87"/>
      <c r="G10010" s="87"/>
    </row>
    <row r="10011">
      <c r="A10011" s="86" t="str">
        <f>IFERROR(__xludf.DUMMYFUNCTION("""COMPUTED_VALUE"""),"")</f>
        <v/>
      </c>
      <c r="B10011" s="87"/>
      <c r="C10011" s="87"/>
      <c r="D10011" s="87"/>
      <c r="E10011" s="87"/>
      <c r="F10011" s="87"/>
      <c r="G10011" s="87"/>
    </row>
    <row r="10012">
      <c r="A10012" s="86" t="str">
        <f>IFERROR(__xludf.DUMMYFUNCTION("""COMPUTED_VALUE"""),"")</f>
        <v/>
      </c>
      <c r="B10012" s="87"/>
      <c r="C10012" s="87"/>
      <c r="D10012" s="87"/>
      <c r="E10012" s="87"/>
      <c r="F10012" s="87"/>
      <c r="G10012" s="87"/>
    </row>
    <row r="10013">
      <c r="A10013" s="86" t="str">
        <f>IFERROR(__xludf.DUMMYFUNCTION("""COMPUTED_VALUE"""),"")</f>
        <v/>
      </c>
      <c r="B10013" s="87"/>
      <c r="C10013" s="87"/>
      <c r="D10013" s="87"/>
      <c r="E10013" s="87"/>
      <c r="F10013" s="87"/>
      <c r="G10013" s="87"/>
    </row>
    <row r="10014">
      <c r="A10014" s="86" t="str">
        <f>IFERROR(__xludf.DUMMYFUNCTION("""COMPUTED_VALUE"""),"")</f>
        <v/>
      </c>
      <c r="B10014" s="87"/>
      <c r="C10014" s="87"/>
      <c r="D10014" s="87"/>
      <c r="E10014" s="87"/>
      <c r="F10014" s="87"/>
      <c r="G10014" s="87"/>
    </row>
    <row r="10015">
      <c r="A10015" s="86" t="str">
        <f>IFERROR(__xludf.DUMMYFUNCTION("""COMPUTED_VALUE"""),"")</f>
        <v/>
      </c>
      <c r="B10015" s="87"/>
      <c r="C10015" s="87"/>
      <c r="D10015" s="87"/>
      <c r="E10015" s="87"/>
      <c r="F10015" s="87"/>
      <c r="G10015" s="87"/>
    </row>
    <row r="10016">
      <c r="A10016" s="86" t="str">
        <f>IFERROR(__xludf.DUMMYFUNCTION("""COMPUTED_VALUE"""),"")</f>
        <v/>
      </c>
      <c r="B10016" s="87"/>
      <c r="C10016" s="87"/>
      <c r="D10016" s="87"/>
      <c r="E10016" s="87"/>
      <c r="F10016" s="87"/>
      <c r="G10016" s="87"/>
    </row>
    <row r="10017">
      <c r="A10017" s="86" t="str">
        <f>IFERROR(__xludf.DUMMYFUNCTION("""COMPUTED_VALUE"""),"")</f>
        <v/>
      </c>
      <c r="B10017" s="87"/>
      <c r="C10017" s="87"/>
      <c r="D10017" s="87"/>
      <c r="E10017" s="87"/>
      <c r="F10017" s="87"/>
      <c r="G10017" s="87"/>
    </row>
    <row r="10018">
      <c r="A10018" s="86" t="str">
        <f>IFERROR(__xludf.DUMMYFUNCTION("""COMPUTED_VALUE"""),"")</f>
        <v/>
      </c>
      <c r="B10018" s="87"/>
      <c r="C10018" s="87"/>
      <c r="D10018" s="87"/>
      <c r="E10018" s="87"/>
      <c r="F10018" s="87"/>
      <c r="G10018" s="87"/>
    </row>
    <row r="10019">
      <c r="A10019" s="86" t="str">
        <f>IFERROR(__xludf.DUMMYFUNCTION("""COMPUTED_VALUE"""),"")</f>
        <v/>
      </c>
      <c r="B10019" s="87"/>
      <c r="C10019" s="87"/>
      <c r="D10019" s="87"/>
      <c r="E10019" s="87"/>
      <c r="F10019" s="87"/>
      <c r="G10019" s="87"/>
    </row>
    <row r="10020">
      <c r="A10020" s="86" t="str">
        <f>IFERROR(__xludf.DUMMYFUNCTION("""COMPUTED_VALUE"""),"")</f>
        <v/>
      </c>
      <c r="B10020" s="87"/>
      <c r="C10020" s="87"/>
      <c r="D10020" s="87"/>
      <c r="E10020" s="87"/>
      <c r="F10020" s="87"/>
      <c r="G10020" s="87"/>
    </row>
    <row r="10021">
      <c r="A10021" s="86" t="str">
        <f>IFERROR(__xludf.DUMMYFUNCTION("""COMPUTED_VALUE"""),"")</f>
        <v/>
      </c>
      <c r="B10021" s="87"/>
      <c r="C10021" s="87"/>
      <c r="D10021" s="87"/>
      <c r="E10021" s="87"/>
      <c r="F10021" s="87"/>
      <c r="G10021" s="87"/>
    </row>
    <row r="10022">
      <c r="A10022" s="86" t="str">
        <f>IFERROR(__xludf.DUMMYFUNCTION("""COMPUTED_VALUE"""),"")</f>
        <v/>
      </c>
      <c r="B10022" s="87"/>
      <c r="C10022" s="87"/>
      <c r="D10022" s="87"/>
      <c r="E10022" s="87"/>
      <c r="F10022" s="87"/>
      <c r="G10022" s="87"/>
    </row>
    <row r="10023">
      <c r="A10023" s="86" t="str">
        <f>IFERROR(__xludf.DUMMYFUNCTION("""COMPUTED_VALUE"""),"")</f>
        <v/>
      </c>
      <c r="B10023" s="87"/>
      <c r="C10023" s="87"/>
      <c r="D10023" s="87"/>
      <c r="E10023" s="87"/>
      <c r="F10023" s="87"/>
      <c r="G10023" s="87"/>
    </row>
    <row r="10024">
      <c r="A10024" s="86" t="str">
        <f>IFERROR(__xludf.DUMMYFUNCTION("""COMPUTED_VALUE"""),"")</f>
        <v/>
      </c>
      <c r="B10024" s="87"/>
      <c r="C10024" s="87"/>
      <c r="D10024" s="87"/>
      <c r="E10024" s="87"/>
      <c r="F10024" s="87"/>
      <c r="G10024" s="87"/>
    </row>
    <row r="10025">
      <c r="A10025" s="86" t="str">
        <f>IFERROR(__xludf.DUMMYFUNCTION("""COMPUTED_VALUE"""),"")</f>
        <v/>
      </c>
      <c r="B10025" s="87"/>
      <c r="C10025" s="87"/>
      <c r="D10025" s="87"/>
      <c r="E10025" s="87"/>
      <c r="F10025" s="87"/>
      <c r="G10025" s="87"/>
    </row>
    <row r="10026">
      <c r="A10026" s="86" t="str">
        <f>IFERROR(__xludf.DUMMYFUNCTION("""COMPUTED_VALUE"""),"")</f>
        <v/>
      </c>
      <c r="B10026" s="87"/>
      <c r="C10026" s="87"/>
      <c r="D10026" s="87"/>
      <c r="E10026" s="87"/>
      <c r="F10026" s="87"/>
      <c r="G10026" s="87"/>
    </row>
    <row r="10027">
      <c r="A10027" s="86" t="str">
        <f>IFERROR(__xludf.DUMMYFUNCTION("""COMPUTED_VALUE"""),"")</f>
        <v/>
      </c>
      <c r="B10027" s="87"/>
      <c r="C10027" s="87"/>
      <c r="D10027" s="87"/>
      <c r="E10027" s="87"/>
      <c r="F10027" s="87"/>
      <c r="G10027" s="87"/>
    </row>
    <row r="10028">
      <c r="A10028" s="86" t="str">
        <f>IFERROR(__xludf.DUMMYFUNCTION("""COMPUTED_VALUE"""),"")</f>
        <v/>
      </c>
      <c r="B10028" s="87"/>
      <c r="C10028" s="87"/>
      <c r="D10028" s="87"/>
      <c r="E10028" s="87"/>
      <c r="F10028" s="87"/>
      <c r="G10028" s="87"/>
    </row>
    <row r="10029">
      <c r="A10029" s="86" t="str">
        <f>IFERROR(__xludf.DUMMYFUNCTION("""COMPUTED_VALUE"""),"")</f>
        <v/>
      </c>
      <c r="B10029" s="87"/>
      <c r="C10029" s="87"/>
      <c r="D10029" s="87"/>
      <c r="E10029" s="87"/>
      <c r="F10029" s="87"/>
      <c r="G10029" s="87"/>
    </row>
    <row r="10030">
      <c r="A10030" s="86" t="str">
        <f>IFERROR(__xludf.DUMMYFUNCTION("""COMPUTED_VALUE"""),"")</f>
        <v/>
      </c>
      <c r="B10030" s="87"/>
      <c r="C10030" s="87"/>
      <c r="D10030" s="87"/>
      <c r="E10030" s="87"/>
      <c r="F10030" s="87"/>
      <c r="G10030" s="87"/>
    </row>
    <row r="10031">
      <c r="A10031" s="86" t="str">
        <f>IFERROR(__xludf.DUMMYFUNCTION("""COMPUTED_VALUE"""),"")</f>
        <v/>
      </c>
      <c r="B10031" s="87"/>
      <c r="C10031" s="87"/>
      <c r="D10031" s="87"/>
      <c r="E10031" s="87"/>
      <c r="F10031" s="87"/>
      <c r="G10031" s="87"/>
    </row>
    <row r="10032">
      <c r="A10032" s="86" t="str">
        <f>IFERROR(__xludf.DUMMYFUNCTION("""COMPUTED_VALUE"""),"")</f>
        <v/>
      </c>
      <c r="B10032" s="87"/>
      <c r="C10032" s="87"/>
      <c r="D10032" s="87"/>
      <c r="E10032" s="87"/>
      <c r="F10032" s="87"/>
      <c r="G10032" s="87"/>
    </row>
    <row r="10033">
      <c r="A10033" s="86" t="str">
        <f>IFERROR(__xludf.DUMMYFUNCTION("""COMPUTED_VALUE"""),"")</f>
        <v/>
      </c>
      <c r="B10033" s="87"/>
      <c r="C10033" s="87"/>
      <c r="D10033" s="87"/>
      <c r="E10033" s="87"/>
      <c r="F10033" s="87"/>
      <c r="G10033" s="87"/>
    </row>
    <row r="10034">
      <c r="A10034" s="86" t="str">
        <f>IFERROR(__xludf.DUMMYFUNCTION("""COMPUTED_VALUE"""),"")</f>
        <v/>
      </c>
      <c r="B10034" s="87"/>
      <c r="C10034" s="87"/>
      <c r="D10034" s="87"/>
      <c r="E10034" s="87"/>
      <c r="F10034" s="87"/>
      <c r="G10034" s="87"/>
    </row>
    <row r="10035">
      <c r="A10035" s="86" t="str">
        <f>IFERROR(__xludf.DUMMYFUNCTION("""COMPUTED_VALUE"""),"")</f>
        <v/>
      </c>
      <c r="B10035" s="87"/>
      <c r="C10035" s="87"/>
      <c r="D10035" s="87"/>
      <c r="E10035" s="87"/>
      <c r="F10035" s="87"/>
      <c r="G10035" s="87"/>
    </row>
    <row r="10036">
      <c r="A10036" s="86" t="str">
        <f>IFERROR(__xludf.DUMMYFUNCTION("""COMPUTED_VALUE"""),"")</f>
        <v/>
      </c>
      <c r="B10036" s="87"/>
      <c r="C10036" s="87"/>
      <c r="D10036" s="87"/>
      <c r="E10036" s="87"/>
      <c r="F10036" s="87"/>
      <c r="G10036" s="87"/>
    </row>
    <row r="10037">
      <c r="A10037" s="86" t="str">
        <f>IFERROR(__xludf.DUMMYFUNCTION("""COMPUTED_VALUE"""),"")</f>
        <v/>
      </c>
      <c r="B10037" s="87"/>
      <c r="C10037" s="87"/>
      <c r="D10037" s="87"/>
      <c r="E10037" s="87"/>
      <c r="F10037" s="87"/>
      <c r="G10037" s="87"/>
    </row>
    <row r="10038">
      <c r="A10038" s="86" t="str">
        <f>IFERROR(__xludf.DUMMYFUNCTION("""COMPUTED_VALUE"""),"")</f>
        <v/>
      </c>
      <c r="B10038" s="87"/>
      <c r="C10038" s="87"/>
      <c r="D10038" s="87"/>
      <c r="E10038" s="87"/>
      <c r="F10038" s="87"/>
      <c r="G10038" s="87"/>
    </row>
    <row r="10039">
      <c r="A10039" s="86" t="str">
        <f>IFERROR(__xludf.DUMMYFUNCTION("""COMPUTED_VALUE"""),"")</f>
        <v/>
      </c>
      <c r="B10039" s="87"/>
      <c r="C10039" s="87"/>
      <c r="D10039" s="87"/>
      <c r="E10039" s="87"/>
      <c r="F10039" s="87"/>
      <c r="G10039" s="87"/>
    </row>
    <row r="10040">
      <c r="A10040" s="86" t="str">
        <f>IFERROR(__xludf.DUMMYFUNCTION("""COMPUTED_VALUE"""),"")</f>
        <v/>
      </c>
      <c r="B10040" s="87"/>
      <c r="C10040" s="87"/>
      <c r="D10040" s="87"/>
      <c r="E10040" s="87"/>
      <c r="F10040" s="87"/>
      <c r="G10040" s="87"/>
    </row>
    <row r="10041">
      <c r="A10041" s="86" t="str">
        <f>IFERROR(__xludf.DUMMYFUNCTION("""COMPUTED_VALUE"""),"")</f>
        <v/>
      </c>
      <c r="B10041" s="87"/>
      <c r="C10041" s="87"/>
      <c r="D10041" s="87"/>
      <c r="E10041" s="87"/>
      <c r="F10041" s="87"/>
      <c r="G10041" s="87"/>
    </row>
    <row r="10042">
      <c r="A10042" s="86" t="str">
        <f>IFERROR(__xludf.DUMMYFUNCTION("""COMPUTED_VALUE"""),"")</f>
        <v/>
      </c>
      <c r="B10042" s="87"/>
      <c r="C10042" s="87"/>
      <c r="D10042" s="87"/>
      <c r="E10042" s="87"/>
      <c r="F10042" s="87"/>
      <c r="G10042" s="87"/>
    </row>
    <row r="10043">
      <c r="A10043" s="86" t="str">
        <f>IFERROR(__xludf.DUMMYFUNCTION("""COMPUTED_VALUE"""),"")</f>
        <v/>
      </c>
      <c r="B10043" s="87"/>
      <c r="C10043" s="87"/>
      <c r="D10043" s="87"/>
      <c r="E10043" s="87"/>
      <c r="F10043" s="87"/>
      <c r="G10043" s="87"/>
    </row>
    <row r="10044">
      <c r="A10044" s="86" t="str">
        <f>IFERROR(__xludf.DUMMYFUNCTION("""COMPUTED_VALUE"""),"")</f>
        <v/>
      </c>
      <c r="B10044" s="87"/>
      <c r="C10044" s="87"/>
      <c r="D10044" s="87"/>
      <c r="E10044" s="87"/>
      <c r="F10044" s="87"/>
      <c r="G10044" s="87"/>
    </row>
    <row r="10045">
      <c r="A10045" s="86" t="str">
        <f>IFERROR(__xludf.DUMMYFUNCTION("""COMPUTED_VALUE"""),"")</f>
        <v/>
      </c>
      <c r="B10045" s="87"/>
      <c r="C10045" s="87"/>
      <c r="D10045" s="87"/>
      <c r="E10045" s="87"/>
      <c r="F10045" s="87"/>
      <c r="G10045" s="87"/>
    </row>
    <row r="10046">
      <c r="A10046" s="86" t="str">
        <f>IFERROR(__xludf.DUMMYFUNCTION("""COMPUTED_VALUE"""),"")</f>
        <v/>
      </c>
      <c r="B10046" s="87"/>
      <c r="C10046" s="87"/>
      <c r="D10046" s="87"/>
      <c r="E10046" s="87"/>
      <c r="F10046" s="87"/>
      <c r="G10046" s="87"/>
    </row>
    <row r="10047">
      <c r="A10047" s="86" t="str">
        <f>IFERROR(__xludf.DUMMYFUNCTION("""COMPUTED_VALUE"""),"")</f>
        <v/>
      </c>
      <c r="B10047" s="87"/>
      <c r="C10047" s="87"/>
      <c r="D10047" s="87"/>
      <c r="E10047" s="87"/>
      <c r="F10047" s="87"/>
      <c r="G10047" s="87"/>
    </row>
    <row r="10048">
      <c r="A10048" s="86" t="str">
        <f>IFERROR(__xludf.DUMMYFUNCTION("""COMPUTED_VALUE"""),"")</f>
        <v/>
      </c>
      <c r="B10048" s="87"/>
      <c r="C10048" s="87"/>
      <c r="D10048" s="87"/>
      <c r="E10048" s="87"/>
      <c r="F10048" s="87"/>
      <c r="G10048" s="87"/>
    </row>
    <row r="10049">
      <c r="A10049" s="86" t="str">
        <f>IFERROR(__xludf.DUMMYFUNCTION("""COMPUTED_VALUE"""),"")</f>
        <v/>
      </c>
      <c r="B10049" s="87"/>
      <c r="C10049" s="87"/>
      <c r="D10049" s="87"/>
      <c r="E10049" s="87"/>
      <c r="F10049" s="87"/>
      <c r="G10049" s="87"/>
    </row>
    <row r="10050">
      <c r="A10050" s="86" t="str">
        <f>IFERROR(__xludf.DUMMYFUNCTION("""COMPUTED_VALUE"""),"")</f>
        <v/>
      </c>
      <c r="B10050" s="87"/>
      <c r="C10050" s="87"/>
      <c r="D10050" s="87"/>
      <c r="E10050" s="87"/>
      <c r="F10050" s="87"/>
      <c r="G10050" s="87"/>
    </row>
    <row r="10051">
      <c r="A10051" s="86" t="str">
        <f>IFERROR(__xludf.DUMMYFUNCTION("""COMPUTED_VALUE"""),"")</f>
        <v/>
      </c>
      <c r="B10051" s="87"/>
      <c r="C10051" s="87"/>
      <c r="D10051" s="87"/>
      <c r="E10051" s="87"/>
      <c r="F10051" s="87"/>
      <c r="G10051" s="87"/>
    </row>
    <row r="10052">
      <c r="A10052" s="86" t="str">
        <f>IFERROR(__xludf.DUMMYFUNCTION("""COMPUTED_VALUE"""),"")</f>
        <v/>
      </c>
      <c r="B10052" s="87"/>
      <c r="C10052" s="87"/>
      <c r="D10052" s="87"/>
      <c r="E10052" s="87"/>
      <c r="F10052" s="87"/>
      <c r="G10052" s="87"/>
    </row>
    <row r="10053">
      <c r="A10053" s="86" t="str">
        <f>IFERROR(__xludf.DUMMYFUNCTION("""COMPUTED_VALUE"""),"")</f>
        <v/>
      </c>
      <c r="B10053" s="87"/>
      <c r="C10053" s="87"/>
      <c r="D10053" s="87"/>
      <c r="E10053" s="87"/>
      <c r="F10053" s="87"/>
      <c r="G10053" s="87"/>
    </row>
    <row r="10054">
      <c r="A10054" s="86" t="str">
        <f>IFERROR(__xludf.DUMMYFUNCTION("""COMPUTED_VALUE"""),"")</f>
        <v/>
      </c>
      <c r="B10054" s="87"/>
      <c r="C10054" s="87"/>
      <c r="D10054" s="87"/>
      <c r="E10054" s="87"/>
      <c r="F10054" s="87"/>
      <c r="G10054" s="87"/>
    </row>
    <row r="10055">
      <c r="A10055" s="86" t="str">
        <f>IFERROR(__xludf.DUMMYFUNCTION("""COMPUTED_VALUE"""),"")</f>
        <v/>
      </c>
      <c r="B10055" s="87"/>
      <c r="C10055" s="87"/>
      <c r="D10055" s="87"/>
      <c r="E10055" s="87"/>
      <c r="F10055" s="87"/>
      <c r="G10055" s="87"/>
    </row>
    <row r="10056">
      <c r="A10056" s="86" t="str">
        <f>IFERROR(__xludf.DUMMYFUNCTION("""COMPUTED_VALUE"""),"")</f>
        <v/>
      </c>
      <c r="B10056" s="87"/>
      <c r="C10056" s="87"/>
      <c r="D10056" s="87"/>
      <c r="E10056" s="87"/>
      <c r="F10056" s="87"/>
      <c r="G10056" s="87"/>
    </row>
    <row r="10057">
      <c r="A10057" s="86" t="str">
        <f>IFERROR(__xludf.DUMMYFUNCTION("""COMPUTED_VALUE"""),"")</f>
        <v/>
      </c>
      <c r="B10057" s="87"/>
      <c r="C10057" s="87"/>
      <c r="D10057" s="87"/>
      <c r="E10057" s="87"/>
      <c r="F10057" s="87"/>
      <c r="G10057" s="87"/>
    </row>
    <row r="10058">
      <c r="A10058" s="86" t="str">
        <f>IFERROR(__xludf.DUMMYFUNCTION("""COMPUTED_VALUE"""),"")</f>
        <v/>
      </c>
      <c r="B10058" s="87"/>
      <c r="C10058" s="87"/>
      <c r="D10058" s="87"/>
      <c r="E10058" s="87"/>
      <c r="F10058" s="87"/>
      <c r="G10058" s="87"/>
    </row>
    <row r="10059">
      <c r="A10059" s="86" t="str">
        <f>IFERROR(__xludf.DUMMYFUNCTION("""COMPUTED_VALUE"""),"")</f>
        <v/>
      </c>
      <c r="B10059" s="87"/>
      <c r="C10059" s="87"/>
      <c r="D10059" s="87"/>
      <c r="E10059" s="87"/>
      <c r="F10059" s="87"/>
      <c r="G10059" s="87"/>
    </row>
    <row r="10060">
      <c r="A10060" s="86" t="str">
        <f>IFERROR(__xludf.DUMMYFUNCTION("""COMPUTED_VALUE"""),"")</f>
        <v/>
      </c>
      <c r="B10060" s="87"/>
      <c r="C10060" s="87"/>
      <c r="D10060" s="87"/>
      <c r="E10060" s="87"/>
      <c r="F10060" s="87"/>
      <c r="G10060" s="87"/>
    </row>
    <row r="10061">
      <c r="A10061" s="86" t="str">
        <f>IFERROR(__xludf.DUMMYFUNCTION("""COMPUTED_VALUE"""),"")</f>
        <v/>
      </c>
      <c r="B10061" s="87"/>
      <c r="C10061" s="87"/>
      <c r="D10061" s="87"/>
      <c r="E10061" s="87"/>
      <c r="F10061" s="87"/>
      <c r="G10061" s="87"/>
    </row>
    <row r="10062">
      <c r="A10062" s="86" t="str">
        <f>IFERROR(__xludf.DUMMYFUNCTION("""COMPUTED_VALUE"""),"")</f>
        <v/>
      </c>
      <c r="B10062" s="87"/>
      <c r="C10062" s="87"/>
      <c r="D10062" s="87"/>
      <c r="E10062" s="87"/>
      <c r="F10062" s="87"/>
      <c r="G10062" s="87"/>
    </row>
    <row r="10063">
      <c r="A10063" s="86" t="str">
        <f>IFERROR(__xludf.DUMMYFUNCTION("""COMPUTED_VALUE"""),"")</f>
        <v/>
      </c>
      <c r="B10063" s="87"/>
      <c r="C10063" s="87"/>
      <c r="D10063" s="87"/>
      <c r="E10063" s="87"/>
      <c r="F10063" s="87"/>
      <c r="G10063" s="87"/>
    </row>
    <row r="10064">
      <c r="A10064" s="86" t="str">
        <f>IFERROR(__xludf.DUMMYFUNCTION("""COMPUTED_VALUE"""),"")</f>
        <v/>
      </c>
      <c r="B10064" s="87"/>
      <c r="C10064" s="87"/>
      <c r="D10064" s="87"/>
      <c r="E10064" s="87"/>
      <c r="F10064" s="87"/>
      <c r="G10064" s="87"/>
    </row>
    <row r="10065">
      <c r="A10065" s="86" t="str">
        <f>IFERROR(__xludf.DUMMYFUNCTION("""COMPUTED_VALUE"""),"")</f>
        <v/>
      </c>
      <c r="B10065" s="87"/>
      <c r="C10065" s="87"/>
      <c r="D10065" s="87"/>
      <c r="E10065" s="87"/>
      <c r="F10065" s="87"/>
      <c r="G10065" s="87"/>
    </row>
    <row r="10066">
      <c r="A10066" s="86" t="str">
        <f>IFERROR(__xludf.DUMMYFUNCTION("""COMPUTED_VALUE"""),"")</f>
        <v/>
      </c>
      <c r="B10066" s="87"/>
      <c r="C10066" s="87"/>
      <c r="D10066" s="87"/>
      <c r="E10066" s="87"/>
      <c r="F10066" s="87"/>
      <c r="G10066" s="87"/>
    </row>
    <row r="10067">
      <c r="A10067" s="86" t="str">
        <f>IFERROR(__xludf.DUMMYFUNCTION("""COMPUTED_VALUE"""),"")</f>
        <v/>
      </c>
      <c r="B10067" s="87"/>
      <c r="C10067" s="87"/>
      <c r="D10067" s="87"/>
      <c r="E10067" s="87"/>
      <c r="F10067" s="87"/>
      <c r="G10067" s="87"/>
    </row>
    <row r="10068">
      <c r="A10068" s="86" t="str">
        <f>IFERROR(__xludf.DUMMYFUNCTION("""COMPUTED_VALUE"""),"")</f>
        <v/>
      </c>
      <c r="B10068" s="87"/>
      <c r="C10068" s="87"/>
      <c r="D10068" s="87"/>
      <c r="E10068" s="87"/>
      <c r="F10068" s="87"/>
      <c r="G10068" s="87"/>
    </row>
    <row r="10069">
      <c r="A10069" s="86" t="str">
        <f>IFERROR(__xludf.DUMMYFUNCTION("""COMPUTED_VALUE"""),"")</f>
        <v/>
      </c>
      <c r="B10069" s="87"/>
      <c r="C10069" s="87"/>
      <c r="D10069" s="87"/>
      <c r="E10069" s="87"/>
      <c r="F10069" s="87"/>
      <c r="G10069" s="87"/>
    </row>
    <row r="10070">
      <c r="A10070" s="86" t="str">
        <f>IFERROR(__xludf.DUMMYFUNCTION("""COMPUTED_VALUE"""),"")</f>
        <v/>
      </c>
      <c r="B10070" s="87"/>
      <c r="C10070" s="87"/>
      <c r="D10070" s="87"/>
      <c r="E10070" s="87"/>
      <c r="F10070" s="87"/>
      <c r="G10070" s="87"/>
    </row>
    <row r="10071">
      <c r="A10071" s="86" t="str">
        <f>IFERROR(__xludf.DUMMYFUNCTION("""COMPUTED_VALUE"""),"")</f>
        <v/>
      </c>
      <c r="B10071" s="87"/>
      <c r="C10071" s="87"/>
      <c r="D10071" s="87"/>
      <c r="E10071" s="87"/>
      <c r="F10071" s="87"/>
      <c r="G10071" s="87"/>
    </row>
    <row r="10072">
      <c r="A10072" s="86" t="str">
        <f>IFERROR(__xludf.DUMMYFUNCTION("""COMPUTED_VALUE"""),"")</f>
        <v/>
      </c>
      <c r="B10072" s="87"/>
      <c r="C10072" s="87"/>
      <c r="D10072" s="87"/>
      <c r="E10072" s="87"/>
      <c r="F10072" s="87"/>
      <c r="G10072" s="87"/>
    </row>
    <row r="10073">
      <c r="A10073" s="86" t="str">
        <f>IFERROR(__xludf.DUMMYFUNCTION("""COMPUTED_VALUE"""),"")</f>
        <v/>
      </c>
      <c r="B10073" s="87"/>
      <c r="C10073" s="87"/>
      <c r="D10073" s="87"/>
      <c r="E10073" s="87"/>
      <c r="F10073" s="87"/>
      <c r="G10073" s="87"/>
    </row>
    <row r="10074">
      <c r="A10074" s="86" t="str">
        <f>IFERROR(__xludf.DUMMYFUNCTION("""COMPUTED_VALUE"""),"")</f>
        <v/>
      </c>
      <c r="B10074" s="87"/>
      <c r="C10074" s="87"/>
      <c r="D10074" s="87"/>
      <c r="E10074" s="87"/>
      <c r="F10074" s="87"/>
      <c r="G10074" s="87"/>
    </row>
    <row r="10075">
      <c r="A10075" s="86" t="str">
        <f>IFERROR(__xludf.DUMMYFUNCTION("""COMPUTED_VALUE"""),"")</f>
        <v/>
      </c>
      <c r="B10075" s="87"/>
      <c r="C10075" s="87"/>
      <c r="D10075" s="87"/>
      <c r="E10075" s="87"/>
      <c r="F10075" s="87"/>
      <c r="G10075" s="87"/>
    </row>
    <row r="10076">
      <c r="A10076" s="86" t="str">
        <f>IFERROR(__xludf.DUMMYFUNCTION("""COMPUTED_VALUE"""),"")</f>
        <v/>
      </c>
      <c r="B10076" s="87"/>
      <c r="C10076" s="87"/>
      <c r="D10076" s="87"/>
      <c r="E10076" s="87"/>
      <c r="F10076" s="87"/>
      <c r="G10076" s="87"/>
    </row>
    <row r="10077">
      <c r="A10077" s="86" t="str">
        <f>IFERROR(__xludf.DUMMYFUNCTION("""COMPUTED_VALUE"""),"")</f>
        <v/>
      </c>
      <c r="B10077" s="87"/>
      <c r="C10077" s="87"/>
      <c r="D10077" s="87"/>
      <c r="E10077" s="87"/>
      <c r="F10077" s="87"/>
      <c r="G10077" s="87"/>
    </row>
    <row r="10078">
      <c r="A10078" s="86" t="str">
        <f>IFERROR(__xludf.DUMMYFUNCTION("""COMPUTED_VALUE"""),"")</f>
        <v/>
      </c>
      <c r="B10078" s="87"/>
      <c r="C10078" s="87"/>
      <c r="D10078" s="87"/>
      <c r="E10078" s="87"/>
      <c r="F10078" s="87"/>
      <c r="G10078" s="87"/>
    </row>
    <row r="10079">
      <c r="A10079" s="86" t="str">
        <f>IFERROR(__xludf.DUMMYFUNCTION("""COMPUTED_VALUE"""),"")</f>
        <v/>
      </c>
      <c r="B10079" s="87"/>
      <c r="C10079" s="87"/>
      <c r="D10079" s="87"/>
      <c r="E10079" s="87"/>
      <c r="F10079" s="87"/>
      <c r="G10079" s="87"/>
    </row>
    <row r="10080">
      <c r="A10080" s="86" t="str">
        <f>IFERROR(__xludf.DUMMYFUNCTION("""COMPUTED_VALUE"""),"")</f>
        <v/>
      </c>
      <c r="B10080" s="87"/>
      <c r="C10080" s="87"/>
      <c r="D10080" s="87"/>
      <c r="E10080" s="87"/>
      <c r="F10080" s="87"/>
      <c r="G10080" s="87"/>
    </row>
    <row r="10081">
      <c r="A10081" s="86" t="str">
        <f>IFERROR(__xludf.DUMMYFUNCTION("""COMPUTED_VALUE"""),"")</f>
        <v/>
      </c>
      <c r="B10081" s="87"/>
      <c r="C10081" s="87"/>
      <c r="D10081" s="87"/>
      <c r="E10081" s="87"/>
      <c r="F10081" s="87"/>
      <c r="G10081" s="87"/>
    </row>
    <row r="10082">
      <c r="A10082" s="86" t="str">
        <f>IFERROR(__xludf.DUMMYFUNCTION("""COMPUTED_VALUE"""),"")</f>
        <v/>
      </c>
      <c r="B10082" s="87"/>
      <c r="C10082" s="87"/>
      <c r="D10082" s="87"/>
      <c r="E10082" s="87"/>
      <c r="F10082" s="87"/>
      <c r="G10082" s="87"/>
    </row>
    <row r="10083">
      <c r="A10083" s="86" t="str">
        <f>IFERROR(__xludf.DUMMYFUNCTION("""COMPUTED_VALUE"""),"")</f>
        <v/>
      </c>
      <c r="B10083" s="87"/>
      <c r="C10083" s="87"/>
      <c r="D10083" s="87"/>
      <c r="E10083" s="87"/>
      <c r="F10083" s="87"/>
      <c r="G10083" s="87"/>
    </row>
    <row r="10084">
      <c r="A10084" s="86" t="str">
        <f>IFERROR(__xludf.DUMMYFUNCTION("""COMPUTED_VALUE"""),"")</f>
        <v/>
      </c>
      <c r="B10084" s="87"/>
      <c r="C10084" s="87"/>
      <c r="D10084" s="87"/>
      <c r="E10084" s="87"/>
      <c r="F10084" s="87"/>
      <c r="G10084" s="87"/>
    </row>
    <row r="10085">
      <c r="A10085" s="86" t="str">
        <f>IFERROR(__xludf.DUMMYFUNCTION("""COMPUTED_VALUE"""),"")</f>
        <v/>
      </c>
      <c r="B10085" s="87"/>
      <c r="C10085" s="87"/>
      <c r="D10085" s="87"/>
      <c r="E10085" s="87"/>
      <c r="F10085" s="87"/>
      <c r="G10085" s="87"/>
    </row>
    <row r="10086">
      <c r="A10086" s="86" t="str">
        <f>IFERROR(__xludf.DUMMYFUNCTION("""COMPUTED_VALUE"""),"")</f>
        <v/>
      </c>
      <c r="B10086" s="87"/>
      <c r="C10086" s="87"/>
      <c r="D10086" s="87"/>
      <c r="E10086" s="87"/>
      <c r="F10086" s="87"/>
      <c r="G10086" s="87"/>
    </row>
    <row r="10087">
      <c r="A10087" s="86" t="str">
        <f>IFERROR(__xludf.DUMMYFUNCTION("""COMPUTED_VALUE"""),"")</f>
        <v/>
      </c>
      <c r="B10087" s="87"/>
      <c r="C10087" s="87"/>
      <c r="D10087" s="87"/>
      <c r="E10087" s="87"/>
      <c r="F10087" s="87"/>
      <c r="G10087" s="87"/>
    </row>
    <row r="10088">
      <c r="A10088" s="86" t="str">
        <f>IFERROR(__xludf.DUMMYFUNCTION("""COMPUTED_VALUE"""),"")</f>
        <v/>
      </c>
      <c r="B10088" s="87"/>
      <c r="C10088" s="87"/>
      <c r="D10088" s="87"/>
      <c r="E10088" s="87"/>
      <c r="F10088" s="87"/>
      <c r="G10088" s="87"/>
    </row>
    <row r="10089">
      <c r="A10089" s="86" t="str">
        <f>IFERROR(__xludf.DUMMYFUNCTION("""COMPUTED_VALUE"""),"")</f>
        <v/>
      </c>
      <c r="B10089" s="87"/>
      <c r="C10089" s="87"/>
      <c r="D10089" s="87"/>
      <c r="E10089" s="87"/>
      <c r="F10089" s="87"/>
      <c r="G10089" s="87"/>
    </row>
    <row r="10090">
      <c r="A10090" s="86" t="str">
        <f>IFERROR(__xludf.DUMMYFUNCTION("""COMPUTED_VALUE"""),"")</f>
        <v/>
      </c>
      <c r="B10090" s="87"/>
      <c r="C10090" s="87"/>
      <c r="D10090" s="87"/>
      <c r="E10090" s="87"/>
      <c r="F10090" s="87"/>
      <c r="G10090" s="87"/>
    </row>
    <row r="10091">
      <c r="A10091" s="86" t="str">
        <f>IFERROR(__xludf.DUMMYFUNCTION("""COMPUTED_VALUE"""),"")</f>
        <v/>
      </c>
      <c r="B10091" s="87"/>
      <c r="C10091" s="87"/>
      <c r="D10091" s="87"/>
      <c r="E10091" s="87"/>
      <c r="F10091" s="87"/>
      <c r="G10091" s="87"/>
    </row>
    <row r="10092">
      <c r="A10092" s="86" t="str">
        <f>IFERROR(__xludf.DUMMYFUNCTION("""COMPUTED_VALUE"""),"")</f>
        <v/>
      </c>
      <c r="B10092" s="87"/>
      <c r="C10092" s="87"/>
      <c r="D10092" s="87"/>
      <c r="E10092" s="87"/>
      <c r="F10092" s="87"/>
      <c r="G10092" s="87"/>
    </row>
    <row r="10093">
      <c r="A10093" s="86" t="str">
        <f>IFERROR(__xludf.DUMMYFUNCTION("""COMPUTED_VALUE"""),"")</f>
        <v/>
      </c>
      <c r="B10093" s="87"/>
      <c r="C10093" s="87"/>
      <c r="D10093" s="87"/>
      <c r="E10093" s="87"/>
      <c r="F10093" s="87"/>
      <c r="G10093" s="87"/>
    </row>
    <row r="10094">
      <c r="A10094" s="86" t="str">
        <f>IFERROR(__xludf.DUMMYFUNCTION("""COMPUTED_VALUE"""),"")</f>
        <v/>
      </c>
      <c r="B10094" s="87"/>
      <c r="C10094" s="87"/>
      <c r="D10094" s="87"/>
      <c r="E10094" s="87"/>
      <c r="F10094" s="87"/>
      <c r="G10094" s="87"/>
    </row>
    <row r="10095">
      <c r="A10095" s="86" t="str">
        <f>IFERROR(__xludf.DUMMYFUNCTION("""COMPUTED_VALUE"""),"")</f>
        <v/>
      </c>
      <c r="B10095" s="87"/>
      <c r="C10095" s="87"/>
      <c r="D10095" s="87"/>
      <c r="E10095" s="87"/>
      <c r="F10095" s="87"/>
      <c r="G10095" s="87"/>
    </row>
    <row r="10096">
      <c r="A10096" s="86" t="str">
        <f>IFERROR(__xludf.DUMMYFUNCTION("""COMPUTED_VALUE"""),"")</f>
        <v/>
      </c>
      <c r="B10096" s="87"/>
      <c r="C10096" s="87"/>
      <c r="D10096" s="87"/>
      <c r="E10096" s="87"/>
      <c r="F10096" s="87"/>
      <c r="G10096" s="87"/>
    </row>
    <row r="10097">
      <c r="A10097" s="86" t="str">
        <f>IFERROR(__xludf.DUMMYFUNCTION("""COMPUTED_VALUE"""),"")</f>
        <v/>
      </c>
      <c r="B10097" s="87"/>
      <c r="C10097" s="87"/>
      <c r="D10097" s="87"/>
      <c r="E10097" s="87"/>
      <c r="F10097" s="87"/>
      <c r="G10097" s="87"/>
    </row>
    <row r="10098">
      <c r="A10098" s="86" t="str">
        <f>IFERROR(__xludf.DUMMYFUNCTION("""COMPUTED_VALUE"""),"")</f>
        <v/>
      </c>
      <c r="B10098" s="87"/>
      <c r="C10098" s="87"/>
      <c r="D10098" s="87"/>
      <c r="E10098" s="87"/>
      <c r="F10098" s="87"/>
      <c r="G10098" s="87"/>
    </row>
    <row r="10099">
      <c r="A10099" s="86" t="str">
        <f>IFERROR(__xludf.DUMMYFUNCTION("""COMPUTED_VALUE"""),"")</f>
        <v/>
      </c>
      <c r="B10099" s="87"/>
      <c r="C10099" s="87"/>
      <c r="D10099" s="87"/>
      <c r="E10099" s="87"/>
      <c r="F10099" s="87"/>
      <c r="G10099" s="87"/>
    </row>
    <row r="10100">
      <c r="A10100" s="86" t="str">
        <f>IFERROR(__xludf.DUMMYFUNCTION("""COMPUTED_VALUE"""),"")</f>
        <v/>
      </c>
      <c r="B10100" s="87"/>
      <c r="C10100" s="87"/>
      <c r="D10100" s="87"/>
      <c r="E10100" s="87"/>
      <c r="F10100" s="87"/>
      <c r="G10100" s="87"/>
    </row>
    <row r="10101">
      <c r="A10101" s="86" t="str">
        <f>IFERROR(__xludf.DUMMYFUNCTION("""COMPUTED_VALUE"""),"")</f>
        <v/>
      </c>
      <c r="B10101" s="87"/>
      <c r="C10101" s="87"/>
      <c r="D10101" s="87"/>
      <c r="E10101" s="87"/>
      <c r="F10101" s="87"/>
      <c r="G10101" s="87"/>
    </row>
    <row r="10102">
      <c r="A10102" s="86" t="str">
        <f>IFERROR(__xludf.DUMMYFUNCTION("""COMPUTED_VALUE"""),"")</f>
        <v/>
      </c>
      <c r="B10102" s="87"/>
      <c r="C10102" s="87"/>
      <c r="D10102" s="87"/>
      <c r="E10102" s="87"/>
      <c r="F10102" s="87"/>
      <c r="G10102" s="87"/>
    </row>
    <row r="10103">
      <c r="A10103" s="86" t="str">
        <f>IFERROR(__xludf.DUMMYFUNCTION("""COMPUTED_VALUE"""),"")</f>
        <v/>
      </c>
      <c r="B10103" s="87"/>
      <c r="C10103" s="87"/>
      <c r="D10103" s="87"/>
      <c r="E10103" s="87"/>
      <c r="F10103" s="87"/>
      <c r="G10103" s="87"/>
    </row>
    <row r="10104">
      <c r="A10104" s="86" t="str">
        <f>IFERROR(__xludf.DUMMYFUNCTION("""COMPUTED_VALUE"""),"")</f>
        <v/>
      </c>
      <c r="B10104" s="87"/>
      <c r="C10104" s="87"/>
      <c r="D10104" s="87"/>
      <c r="E10104" s="87"/>
      <c r="F10104" s="87"/>
      <c r="G10104" s="87"/>
    </row>
    <row r="10105">
      <c r="A10105" s="86" t="str">
        <f>IFERROR(__xludf.DUMMYFUNCTION("""COMPUTED_VALUE"""),"")</f>
        <v/>
      </c>
      <c r="B10105" s="87"/>
      <c r="C10105" s="87"/>
      <c r="D10105" s="87"/>
      <c r="E10105" s="87"/>
      <c r="F10105" s="87"/>
      <c r="G10105" s="87"/>
    </row>
    <row r="10106">
      <c r="A10106" s="86" t="str">
        <f>IFERROR(__xludf.DUMMYFUNCTION("""COMPUTED_VALUE"""),"")</f>
        <v/>
      </c>
      <c r="B10106" s="87"/>
      <c r="C10106" s="87"/>
      <c r="D10106" s="87"/>
      <c r="E10106" s="87"/>
      <c r="F10106" s="87"/>
      <c r="G10106" s="87"/>
    </row>
    <row r="10107">
      <c r="A10107" s="86" t="str">
        <f>IFERROR(__xludf.DUMMYFUNCTION("""COMPUTED_VALUE"""),"")</f>
        <v/>
      </c>
      <c r="B10107" s="87"/>
      <c r="C10107" s="87"/>
      <c r="D10107" s="87"/>
      <c r="E10107" s="87"/>
      <c r="F10107" s="87"/>
      <c r="G10107" s="87"/>
    </row>
    <row r="10108">
      <c r="A10108" s="86" t="str">
        <f>IFERROR(__xludf.DUMMYFUNCTION("""COMPUTED_VALUE"""),"")</f>
        <v/>
      </c>
      <c r="B10108" s="87"/>
      <c r="C10108" s="87"/>
      <c r="D10108" s="87"/>
      <c r="E10108" s="87"/>
      <c r="F10108" s="87"/>
      <c r="G10108" s="87"/>
    </row>
    <row r="10109">
      <c r="A10109" s="86" t="str">
        <f>IFERROR(__xludf.DUMMYFUNCTION("""COMPUTED_VALUE"""),"")</f>
        <v/>
      </c>
      <c r="B10109" s="87"/>
      <c r="C10109" s="87"/>
      <c r="D10109" s="87"/>
      <c r="E10109" s="87"/>
      <c r="F10109" s="87"/>
      <c r="G10109" s="87"/>
    </row>
    <row r="10110">
      <c r="A10110" s="86" t="str">
        <f>IFERROR(__xludf.DUMMYFUNCTION("""COMPUTED_VALUE"""),"")</f>
        <v/>
      </c>
      <c r="B10110" s="87"/>
      <c r="C10110" s="87"/>
      <c r="D10110" s="87"/>
      <c r="E10110" s="87"/>
      <c r="F10110" s="87"/>
      <c r="G10110" s="87"/>
    </row>
    <row r="10111">
      <c r="A10111" s="86" t="str">
        <f>IFERROR(__xludf.DUMMYFUNCTION("""COMPUTED_VALUE"""),"")</f>
        <v/>
      </c>
      <c r="B10111" s="87"/>
      <c r="C10111" s="87"/>
      <c r="D10111" s="87"/>
      <c r="E10111" s="87"/>
      <c r="F10111" s="87"/>
      <c r="G10111" s="87"/>
    </row>
    <row r="10112">
      <c r="A10112" s="86" t="str">
        <f>IFERROR(__xludf.DUMMYFUNCTION("""COMPUTED_VALUE"""),"")</f>
        <v/>
      </c>
      <c r="B10112" s="87"/>
      <c r="C10112" s="87"/>
      <c r="D10112" s="87"/>
      <c r="E10112" s="87"/>
      <c r="F10112" s="87"/>
      <c r="G10112" s="87"/>
    </row>
    <row r="10113">
      <c r="A10113" s="86" t="str">
        <f>IFERROR(__xludf.DUMMYFUNCTION("""COMPUTED_VALUE"""),"")</f>
        <v/>
      </c>
      <c r="B10113" s="87"/>
      <c r="C10113" s="87"/>
      <c r="D10113" s="87"/>
      <c r="E10113" s="87"/>
      <c r="F10113" s="87"/>
      <c r="G10113" s="87"/>
    </row>
    <row r="10114">
      <c r="A10114" s="86" t="str">
        <f>IFERROR(__xludf.DUMMYFUNCTION("""COMPUTED_VALUE"""),"")</f>
        <v/>
      </c>
      <c r="B10114" s="87"/>
      <c r="C10114" s="87"/>
      <c r="D10114" s="87"/>
      <c r="E10114" s="87"/>
      <c r="F10114" s="87"/>
      <c r="G10114" s="87"/>
    </row>
    <row r="10115">
      <c r="A10115" s="86" t="str">
        <f>IFERROR(__xludf.DUMMYFUNCTION("""COMPUTED_VALUE"""),"")</f>
        <v/>
      </c>
      <c r="B10115" s="87"/>
      <c r="C10115" s="87"/>
      <c r="D10115" s="87"/>
      <c r="E10115" s="87"/>
      <c r="F10115" s="87"/>
      <c r="G10115" s="87"/>
    </row>
    <row r="10116">
      <c r="A10116" s="86" t="str">
        <f>IFERROR(__xludf.DUMMYFUNCTION("""COMPUTED_VALUE"""),"")</f>
        <v/>
      </c>
      <c r="B10116" s="87"/>
      <c r="C10116" s="87"/>
      <c r="D10116" s="87"/>
      <c r="E10116" s="87"/>
      <c r="F10116" s="87"/>
      <c r="G10116" s="87"/>
    </row>
    <row r="10117">
      <c r="A10117" s="86" t="str">
        <f>IFERROR(__xludf.DUMMYFUNCTION("""COMPUTED_VALUE"""),"")</f>
        <v/>
      </c>
      <c r="B10117" s="87"/>
      <c r="C10117" s="87"/>
      <c r="D10117" s="87"/>
      <c r="E10117" s="87"/>
      <c r="F10117" s="87"/>
      <c r="G10117" s="87"/>
    </row>
    <row r="10118">
      <c r="A10118" s="86" t="str">
        <f>IFERROR(__xludf.DUMMYFUNCTION("""COMPUTED_VALUE"""),"")</f>
        <v/>
      </c>
      <c r="B10118" s="87"/>
      <c r="C10118" s="87"/>
      <c r="D10118" s="87"/>
      <c r="E10118" s="87"/>
      <c r="F10118" s="87"/>
      <c r="G10118" s="87"/>
    </row>
    <row r="10119">
      <c r="A10119" s="86" t="str">
        <f>IFERROR(__xludf.DUMMYFUNCTION("""COMPUTED_VALUE"""),"")</f>
        <v/>
      </c>
      <c r="B10119" s="87"/>
      <c r="C10119" s="87"/>
      <c r="D10119" s="87"/>
      <c r="E10119" s="87"/>
      <c r="F10119" s="87"/>
      <c r="G10119" s="87"/>
    </row>
    <row r="10120">
      <c r="A10120" s="86" t="str">
        <f>IFERROR(__xludf.DUMMYFUNCTION("""COMPUTED_VALUE"""),"")</f>
        <v/>
      </c>
      <c r="B10120" s="87"/>
      <c r="C10120" s="87"/>
      <c r="D10120" s="87"/>
      <c r="E10120" s="87"/>
      <c r="F10120" s="87"/>
      <c r="G10120" s="87"/>
    </row>
    <row r="10121">
      <c r="A10121" s="86" t="str">
        <f>IFERROR(__xludf.DUMMYFUNCTION("""COMPUTED_VALUE"""),"")</f>
        <v/>
      </c>
      <c r="B10121" s="87"/>
      <c r="C10121" s="87"/>
      <c r="D10121" s="87"/>
      <c r="E10121" s="87"/>
      <c r="F10121" s="87"/>
      <c r="G10121" s="87"/>
    </row>
    <row r="10122">
      <c r="A10122" s="86" t="str">
        <f>IFERROR(__xludf.DUMMYFUNCTION("""COMPUTED_VALUE"""),"")</f>
        <v/>
      </c>
      <c r="B10122" s="87"/>
      <c r="C10122" s="87"/>
      <c r="D10122" s="87"/>
      <c r="E10122" s="87"/>
      <c r="F10122" s="87"/>
      <c r="G10122" s="87"/>
    </row>
    <row r="10123">
      <c r="A10123" s="86" t="str">
        <f>IFERROR(__xludf.DUMMYFUNCTION("""COMPUTED_VALUE"""),"")</f>
        <v/>
      </c>
      <c r="B10123" s="87"/>
      <c r="C10123" s="87"/>
      <c r="D10123" s="87"/>
      <c r="E10123" s="87"/>
      <c r="F10123" s="87"/>
      <c r="G10123" s="87"/>
    </row>
    <row r="10124">
      <c r="A10124" s="86" t="str">
        <f>IFERROR(__xludf.DUMMYFUNCTION("""COMPUTED_VALUE"""),"")</f>
        <v/>
      </c>
      <c r="B10124" s="87"/>
      <c r="C10124" s="87"/>
      <c r="D10124" s="87"/>
      <c r="E10124" s="87"/>
      <c r="F10124" s="87"/>
      <c r="G10124" s="87"/>
    </row>
    <row r="10125">
      <c r="A10125" s="86" t="str">
        <f>IFERROR(__xludf.DUMMYFUNCTION("""COMPUTED_VALUE"""),"")</f>
        <v/>
      </c>
      <c r="B10125" s="87"/>
      <c r="C10125" s="87"/>
      <c r="D10125" s="87"/>
      <c r="E10125" s="87"/>
      <c r="F10125" s="87"/>
      <c r="G10125" s="87"/>
    </row>
    <row r="10126">
      <c r="A10126" s="86" t="str">
        <f>IFERROR(__xludf.DUMMYFUNCTION("""COMPUTED_VALUE"""),"")</f>
        <v/>
      </c>
      <c r="B10126" s="87"/>
      <c r="C10126" s="87"/>
      <c r="D10126" s="87"/>
      <c r="E10126" s="87"/>
      <c r="F10126" s="87"/>
      <c r="G10126" s="87"/>
    </row>
    <row r="10127">
      <c r="A10127" s="86" t="str">
        <f>IFERROR(__xludf.DUMMYFUNCTION("""COMPUTED_VALUE"""),"")</f>
        <v/>
      </c>
      <c r="B10127" s="87"/>
      <c r="C10127" s="87"/>
      <c r="D10127" s="87"/>
      <c r="E10127" s="87"/>
      <c r="F10127" s="87"/>
      <c r="G10127" s="87"/>
    </row>
    <row r="10128">
      <c r="A10128" s="86" t="str">
        <f>IFERROR(__xludf.DUMMYFUNCTION("""COMPUTED_VALUE"""),"")</f>
        <v/>
      </c>
      <c r="B10128" s="87"/>
      <c r="C10128" s="87"/>
      <c r="D10128" s="87"/>
      <c r="E10128" s="87"/>
      <c r="F10128" s="87"/>
      <c r="G10128" s="87"/>
    </row>
    <row r="10129">
      <c r="A10129" s="86" t="str">
        <f>IFERROR(__xludf.DUMMYFUNCTION("""COMPUTED_VALUE"""),"")</f>
        <v/>
      </c>
      <c r="B10129" s="87"/>
      <c r="C10129" s="87"/>
      <c r="D10129" s="87"/>
      <c r="E10129" s="87"/>
      <c r="F10129" s="87"/>
      <c r="G10129" s="87"/>
    </row>
    <row r="10130">
      <c r="A10130" s="86" t="str">
        <f>IFERROR(__xludf.DUMMYFUNCTION("""COMPUTED_VALUE"""),"")</f>
        <v/>
      </c>
      <c r="B10130" s="87"/>
      <c r="C10130" s="87"/>
      <c r="D10130" s="87"/>
      <c r="E10130" s="87"/>
      <c r="F10130" s="87"/>
      <c r="G10130" s="87"/>
    </row>
    <row r="10131">
      <c r="A10131" s="86" t="str">
        <f>IFERROR(__xludf.DUMMYFUNCTION("""COMPUTED_VALUE"""),"")</f>
        <v/>
      </c>
      <c r="B10131" s="87"/>
      <c r="C10131" s="87"/>
      <c r="D10131" s="87"/>
      <c r="E10131" s="87"/>
      <c r="F10131" s="87"/>
      <c r="G10131" s="87"/>
    </row>
    <row r="10132">
      <c r="A10132" s="86" t="str">
        <f>IFERROR(__xludf.DUMMYFUNCTION("""COMPUTED_VALUE"""),"")</f>
        <v/>
      </c>
      <c r="B10132" s="87"/>
      <c r="C10132" s="87"/>
      <c r="D10132" s="87"/>
      <c r="E10132" s="87"/>
      <c r="F10132" s="87"/>
      <c r="G10132" s="87"/>
    </row>
    <row r="10133">
      <c r="A10133" s="86" t="str">
        <f>IFERROR(__xludf.DUMMYFUNCTION("""COMPUTED_VALUE"""),"")</f>
        <v/>
      </c>
      <c r="B10133" s="87"/>
      <c r="C10133" s="87"/>
      <c r="D10133" s="87"/>
      <c r="E10133" s="87"/>
      <c r="F10133" s="87"/>
      <c r="G10133" s="87"/>
    </row>
    <row r="10134">
      <c r="A10134" s="86" t="str">
        <f>IFERROR(__xludf.DUMMYFUNCTION("""COMPUTED_VALUE"""),"")</f>
        <v/>
      </c>
      <c r="B10134" s="87"/>
      <c r="C10134" s="87"/>
      <c r="D10134" s="87"/>
      <c r="E10134" s="87"/>
      <c r="F10134" s="87"/>
      <c r="G10134" s="87"/>
    </row>
    <row r="10135">
      <c r="A10135" s="86" t="str">
        <f>IFERROR(__xludf.DUMMYFUNCTION("""COMPUTED_VALUE"""),"")</f>
        <v/>
      </c>
      <c r="B10135" s="87"/>
      <c r="C10135" s="87"/>
      <c r="D10135" s="87"/>
      <c r="E10135" s="87"/>
      <c r="F10135" s="87"/>
      <c r="G10135" s="87"/>
    </row>
    <row r="10136">
      <c r="A10136" s="86" t="str">
        <f>IFERROR(__xludf.DUMMYFUNCTION("""COMPUTED_VALUE"""),"")</f>
        <v/>
      </c>
      <c r="B10136" s="87"/>
      <c r="C10136" s="87"/>
      <c r="D10136" s="87"/>
      <c r="E10136" s="87"/>
      <c r="F10136" s="87"/>
      <c r="G10136" s="87"/>
    </row>
    <row r="10137">
      <c r="A10137" s="86" t="str">
        <f>IFERROR(__xludf.DUMMYFUNCTION("""COMPUTED_VALUE"""),"")</f>
        <v/>
      </c>
      <c r="B10137" s="87"/>
      <c r="C10137" s="87"/>
      <c r="D10137" s="87"/>
      <c r="E10137" s="87"/>
      <c r="F10137" s="87"/>
      <c r="G10137" s="87"/>
    </row>
    <row r="10138">
      <c r="A10138" s="86" t="str">
        <f>IFERROR(__xludf.DUMMYFUNCTION("""COMPUTED_VALUE"""),"")</f>
        <v/>
      </c>
      <c r="B10138" s="87"/>
      <c r="C10138" s="87"/>
      <c r="D10138" s="87"/>
      <c r="E10138" s="87"/>
      <c r="F10138" s="87"/>
      <c r="G10138" s="87"/>
    </row>
    <row r="10139">
      <c r="A10139" s="86" t="str">
        <f>IFERROR(__xludf.DUMMYFUNCTION("""COMPUTED_VALUE"""),"")</f>
        <v/>
      </c>
      <c r="B10139" s="87"/>
      <c r="C10139" s="87"/>
      <c r="D10139" s="87"/>
      <c r="E10139" s="87"/>
      <c r="F10139" s="87"/>
      <c r="G10139" s="87"/>
    </row>
    <row r="10140">
      <c r="A10140" s="86" t="str">
        <f>IFERROR(__xludf.DUMMYFUNCTION("""COMPUTED_VALUE"""),"")</f>
        <v/>
      </c>
      <c r="B10140" s="87"/>
      <c r="C10140" s="87"/>
      <c r="D10140" s="87"/>
      <c r="E10140" s="87"/>
      <c r="F10140" s="87"/>
      <c r="G10140" s="87"/>
    </row>
    <row r="10141">
      <c r="A10141" s="86" t="str">
        <f>IFERROR(__xludf.DUMMYFUNCTION("""COMPUTED_VALUE"""),"")</f>
        <v/>
      </c>
      <c r="B10141" s="87"/>
      <c r="C10141" s="87"/>
      <c r="D10141" s="87"/>
      <c r="E10141" s="87"/>
      <c r="F10141" s="87"/>
      <c r="G10141" s="87"/>
    </row>
    <row r="10142">
      <c r="A10142" s="86" t="str">
        <f>IFERROR(__xludf.DUMMYFUNCTION("""COMPUTED_VALUE"""),"")</f>
        <v/>
      </c>
      <c r="B10142" s="87"/>
      <c r="C10142" s="87"/>
      <c r="D10142" s="87"/>
      <c r="E10142" s="87"/>
      <c r="F10142" s="87"/>
      <c r="G10142" s="87"/>
    </row>
    <row r="10143">
      <c r="A10143" s="86" t="str">
        <f>IFERROR(__xludf.DUMMYFUNCTION("""COMPUTED_VALUE"""),"")</f>
        <v/>
      </c>
      <c r="B10143" s="87"/>
      <c r="C10143" s="87"/>
      <c r="D10143" s="87"/>
      <c r="E10143" s="87"/>
      <c r="F10143" s="87"/>
      <c r="G10143" s="87"/>
    </row>
    <row r="10144">
      <c r="A10144" s="86" t="str">
        <f>IFERROR(__xludf.DUMMYFUNCTION("""COMPUTED_VALUE"""),"")</f>
        <v/>
      </c>
      <c r="B10144" s="87"/>
      <c r="C10144" s="87"/>
      <c r="D10144" s="87"/>
      <c r="E10144" s="87"/>
      <c r="F10144" s="87"/>
      <c r="G10144" s="87"/>
    </row>
    <row r="10145">
      <c r="A10145" s="86" t="str">
        <f>IFERROR(__xludf.DUMMYFUNCTION("""COMPUTED_VALUE"""),"")</f>
        <v/>
      </c>
      <c r="B10145" s="87"/>
      <c r="C10145" s="87"/>
      <c r="D10145" s="87"/>
      <c r="E10145" s="87"/>
      <c r="F10145" s="87"/>
      <c r="G10145" s="87"/>
    </row>
    <row r="10146">
      <c r="A10146" s="86" t="str">
        <f>IFERROR(__xludf.DUMMYFUNCTION("""COMPUTED_VALUE"""),"")</f>
        <v/>
      </c>
      <c r="B10146" s="87"/>
      <c r="C10146" s="87"/>
      <c r="D10146" s="87"/>
      <c r="E10146" s="87"/>
      <c r="F10146" s="87"/>
      <c r="G10146" s="87"/>
    </row>
    <row r="10147">
      <c r="A10147" s="86" t="str">
        <f>IFERROR(__xludf.DUMMYFUNCTION("""COMPUTED_VALUE"""),"")</f>
        <v/>
      </c>
      <c r="B10147" s="87"/>
      <c r="C10147" s="87"/>
      <c r="D10147" s="87"/>
      <c r="E10147" s="87"/>
      <c r="F10147" s="87"/>
      <c r="G10147" s="87"/>
    </row>
    <row r="10148">
      <c r="A10148" s="86" t="str">
        <f>IFERROR(__xludf.DUMMYFUNCTION("""COMPUTED_VALUE"""),"")</f>
        <v/>
      </c>
      <c r="B10148" s="87"/>
      <c r="C10148" s="87"/>
      <c r="D10148" s="87"/>
      <c r="E10148" s="87"/>
      <c r="F10148" s="87"/>
      <c r="G10148" s="87"/>
    </row>
    <row r="10149">
      <c r="A10149" s="86" t="str">
        <f>IFERROR(__xludf.DUMMYFUNCTION("""COMPUTED_VALUE"""),"")</f>
        <v/>
      </c>
      <c r="B10149" s="87"/>
      <c r="C10149" s="87"/>
      <c r="D10149" s="87"/>
      <c r="E10149" s="87"/>
      <c r="F10149" s="87"/>
      <c r="G10149" s="87"/>
    </row>
    <row r="10150">
      <c r="A10150" s="86" t="str">
        <f>IFERROR(__xludf.DUMMYFUNCTION("""COMPUTED_VALUE"""),"")</f>
        <v/>
      </c>
      <c r="B10150" s="87"/>
      <c r="C10150" s="87"/>
      <c r="D10150" s="87"/>
      <c r="E10150" s="87"/>
      <c r="F10150" s="87"/>
      <c r="G10150" s="87"/>
    </row>
    <row r="10151">
      <c r="A10151" s="86" t="str">
        <f>IFERROR(__xludf.DUMMYFUNCTION("""COMPUTED_VALUE"""),"")</f>
        <v/>
      </c>
      <c r="B10151" s="87"/>
      <c r="C10151" s="87"/>
      <c r="D10151" s="87"/>
      <c r="E10151" s="87"/>
      <c r="F10151" s="87"/>
      <c r="G10151" s="87"/>
    </row>
    <row r="10152">
      <c r="A10152" s="86" t="str">
        <f>IFERROR(__xludf.DUMMYFUNCTION("""COMPUTED_VALUE"""),"")</f>
        <v/>
      </c>
      <c r="B10152" s="87"/>
      <c r="C10152" s="87"/>
      <c r="D10152" s="87"/>
      <c r="E10152" s="87"/>
      <c r="F10152" s="87"/>
      <c r="G10152" s="87"/>
    </row>
    <row r="10153">
      <c r="A10153" s="86" t="str">
        <f>IFERROR(__xludf.DUMMYFUNCTION("""COMPUTED_VALUE"""),"")</f>
        <v/>
      </c>
      <c r="B10153" s="87"/>
      <c r="C10153" s="87"/>
      <c r="D10153" s="87"/>
      <c r="E10153" s="87"/>
      <c r="F10153" s="87"/>
      <c r="G10153" s="87"/>
    </row>
    <row r="10154">
      <c r="A10154" s="86" t="str">
        <f>IFERROR(__xludf.DUMMYFUNCTION("""COMPUTED_VALUE"""),"")</f>
        <v/>
      </c>
      <c r="B10154" s="87"/>
      <c r="C10154" s="87"/>
      <c r="D10154" s="87"/>
      <c r="E10154" s="87"/>
      <c r="F10154" s="87"/>
      <c r="G10154" s="87"/>
    </row>
    <row r="10155">
      <c r="A10155" s="86" t="str">
        <f>IFERROR(__xludf.DUMMYFUNCTION("""COMPUTED_VALUE"""),"")</f>
        <v/>
      </c>
      <c r="B10155" s="87"/>
      <c r="C10155" s="87"/>
      <c r="D10155" s="87"/>
      <c r="E10155" s="87"/>
      <c r="F10155" s="87"/>
      <c r="G10155" s="87"/>
    </row>
    <row r="10156">
      <c r="A10156" s="86" t="str">
        <f>IFERROR(__xludf.DUMMYFUNCTION("""COMPUTED_VALUE"""),"")</f>
        <v/>
      </c>
      <c r="B10156" s="87"/>
      <c r="C10156" s="87"/>
      <c r="D10156" s="87"/>
      <c r="E10156" s="87"/>
      <c r="F10156" s="87"/>
      <c r="G10156" s="87"/>
    </row>
    <row r="10157">
      <c r="A10157" s="86" t="str">
        <f>IFERROR(__xludf.DUMMYFUNCTION("""COMPUTED_VALUE"""),"")</f>
        <v/>
      </c>
      <c r="B10157" s="87"/>
      <c r="C10157" s="87"/>
      <c r="D10157" s="87"/>
      <c r="E10157" s="87"/>
      <c r="F10157" s="87"/>
      <c r="G10157" s="87"/>
    </row>
    <row r="10158">
      <c r="A10158" s="86" t="str">
        <f>IFERROR(__xludf.DUMMYFUNCTION("""COMPUTED_VALUE"""),"")</f>
        <v/>
      </c>
      <c r="B10158" s="87"/>
      <c r="C10158" s="87"/>
      <c r="D10158" s="87"/>
      <c r="E10158" s="87"/>
      <c r="F10158" s="87"/>
      <c r="G10158" s="87"/>
    </row>
    <row r="10159">
      <c r="A10159" s="86" t="str">
        <f>IFERROR(__xludf.DUMMYFUNCTION("""COMPUTED_VALUE"""),"")</f>
        <v/>
      </c>
      <c r="B10159" s="87"/>
      <c r="C10159" s="87"/>
      <c r="D10159" s="87"/>
      <c r="E10159" s="87"/>
      <c r="F10159" s="87"/>
      <c r="G10159" s="87"/>
    </row>
    <row r="10160">
      <c r="A10160" s="86" t="str">
        <f>IFERROR(__xludf.DUMMYFUNCTION("""COMPUTED_VALUE"""),"")</f>
        <v/>
      </c>
      <c r="B10160" s="87"/>
      <c r="C10160" s="87"/>
      <c r="D10160" s="87"/>
      <c r="E10160" s="87"/>
      <c r="F10160" s="87"/>
      <c r="G10160" s="87"/>
    </row>
    <row r="10161">
      <c r="A10161" s="86" t="str">
        <f>IFERROR(__xludf.DUMMYFUNCTION("""COMPUTED_VALUE"""),"")</f>
        <v/>
      </c>
      <c r="B10161" s="87"/>
      <c r="C10161" s="87"/>
      <c r="D10161" s="87"/>
      <c r="E10161" s="87"/>
      <c r="F10161" s="87"/>
      <c r="G10161" s="87"/>
    </row>
    <row r="10162">
      <c r="A10162" s="86" t="str">
        <f>IFERROR(__xludf.DUMMYFUNCTION("""COMPUTED_VALUE"""),"")</f>
        <v/>
      </c>
      <c r="B10162" s="87"/>
      <c r="C10162" s="87"/>
      <c r="D10162" s="87"/>
      <c r="E10162" s="87"/>
      <c r="F10162" s="87"/>
      <c r="G10162" s="87"/>
    </row>
    <row r="10163">
      <c r="A10163" s="86" t="str">
        <f>IFERROR(__xludf.DUMMYFUNCTION("""COMPUTED_VALUE"""),"")</f>
        <v/>
      </c>
      <c r="B10163" s="87"/>
      <c r="C10163" s="87"/>
      <c r="D10163" s="87"/>
      <c r="E10163" s="87"/>
      <c r="F10163" s="87"/>
      <c r="G10163" s="87"/>
    </row>
    <row r="10164">
      <c r="A10164" s="86" t="str">
        <f>IFERROR(__xludf.DUMMYFUNCTION("""COMPUTED_VALUE"""),"")</f>
        <v/>
      </c>
      <c r="B10164" s="87"/>
      <c r="C10164" s="87"/>
      <c r="D10164" s="87"/>
      <c r="E10164" s="87"/>
      <c r="F10164" s="87"/>
      <c r="G10164" s="87"/>
    </row>
    <row r="10165">
      <c r="A10165" s="86" t="str">
        <f>IFERROR(__xludf.DUMMYFUNCTION("""COMPUTED_VALUE"""),"")</f>
        <v/>
      </c>
      <c r="B10165" s="87"/>
      <c r="C10165" s="87"/>
      <c r="D10165" s="87"/>
      <c r="E10165" s="87"/>
      <c r="F10165" s="87"/>
      <c r="G10165" s="87"/>
    </row>
    <row r="10166">
      <c r="A10166" s="86" t="str">
        <f>IFERROR(__xludf.DUMMYFUNCTION("""COMPUTED_VALUE"""),"")</f>
        <v/>
      </c>
      <c r="B10166" s="87"/>
      <c r="C10166" s="87"/>
      <c r="D10166" s="87"/>
      <c r="E10166" s="87"/>
      <c r="F10166" s="87"/>
      <c r="G10166" s="87"/>
    </row>
    <row r="10167">
      <c r="A10167" s="86" t="str">
        <f>IFERROR(__xludf.DUMMYFUNCTION("""COMPUTED_VALUE"""),"")</f>
        <v/>
      </c>
      <c r="B10167" s="87"/>
      <c r="C10167" s="87"/>
      <c r="D10167" s="87"/>
      <c r="E10167" s="87"/>
      <c r="F10167" s="87"/>
      <c r="G10167" s="87"/>
    </row>
    <row r="10168">
      <c r="A10168" s="86" t="str">
        <f>IFERROR(__xludf.DUMMYFUNCTION("""COMPUTED_VALUE"""),"")</f>
        <v/>
      </c>
      <c r="B10168" s="87"/>
      <c r="C10168" s="87"/>
      <c r="D10168" s="87"/>
      <c r="E10168" s="87"/>
      <c r="F10168" s="87"/>
      <c r="G10168" s="87"/>
    </row>
    <row r="10169">
      <c r="A10169" s="86" t="str">
        <f>IFERROR(__xludf.DUMMYFUNCTION("""COMPUTED_VALUE"""),"")</f>
        <v/>
      </c>
      <c r="B10169" s="87"/>
      <c r="C10169" s="87"/>
      <c r="D10169" s="87"/>
      <c r="E10169" s="87"/>
      <c r="F10169" s="87"/>
      <c r="G10169" s="87"/>
    </row>
    <row r="10170">
      <c r="A10170" s="86" t="str">
        <f>IFERROR(__xludf.DUMMYFUNCTION("""COMPUTED_VALUE"""),"")</f>
        <v/>
      </c>
      <c r="B10170" s="87"/>
      <c r="C10170" s="87"/>
      <c r="D10170" s="87"/>
      <c r="E10170" s="87"/>
      <c r="F10170" s="87"/>
      <c r="G10170" s="87"/>
    </row>
    <row r="10171">
      <c r="A10171" s="86" t="str">
        <f>IFERROR(__xludf.DUMMYFUNCTION("""COMPUTED_VALUE"""),"")</f>
        <v/>
      </c>
      <c r="B10171" s="87"/>
      <c r="C10171" s="87"/>
      <c r="D10171" s="87"/>
      <c r="E10171" s="87"/>
      <c r="F10171" s="87"/>
      <c r="G10171" s="87"/>
    </row>
    <row r="10172">
      <c r="A10172" s="86" t="str">
        <f>IFERROR(__xludf.DUMMYFUNCTION("""COMPUTED_VALUE"""),"")</f>
        <v/>
      </c>
      <c r="B10172" s="87"/>
      <c r="C10172" s="87"/>
      <c r="D10172" s="87"/>
      <c r="E10172" s="87"/>
      <c r="F10172" s="87"/>
      <c r="G10172" s="87"/>
    </row>
    <row r="10173">
      <c r="A10173" s="86" t="str">
        <f>IFERROR(__xludf.DUMMYFUNCTION("""COMPUTED_VALUE"""),"")</f>
        <v/>
      </c>
      <c r="B10173" s="87"/>
      <c r="C10173" s="87"/>
      <c r="D10173" s="87"/>
      <c r="E10173" s="87"/>
      <c r="F10173" s="87"/>
      <c r="G10173" s="87"/>
    </row>
    <row r="10174">
      <c r="A10174" s="86" t="str">
        <f>IFERROR(__xludf.DUMMYFUNCTION("""COMPUTED_VALUE"""),"")</f>
        <v/>
      </c>
      <c r="B10174" s="87"/>
      <c r="C10174" s="87"/>
      <c r="D10174" s="87"/>
      <c r="E10174" s="87"/>
      <c r="F10174" s="87"/>
      <c r="G10174" s="87"/>
    </row>
    <row r="10175">
      <c r="A10175" s="86" t="str">
        <f>IFERROR(__xludf.DUMMYFUNCTION("""COMPUTED_VALUE"""),"")</f>
        <v/>
      </c>
      <c r="B10175" s="87"/>
      <c r="C10175" s="87"/>
      <c r="D10175" s="87"/>
      <c r="E10175" s="87"/>
      <c r="F10175" s="87"/>
      <c r="G10175" s="87"/>
    </row>
    <row r="10176">
      <c r="A10176" s="86" t="str">
        <f>IFERROR(__xludf.DUMMYFUNCTION("""COMPUTED_VALUE"""),"")</f>
        <v/>
      </c>
      <c r="B10176" s="87"/>
      <c r="C10176" s="87"/>
      <c r="D10176" s="87"/>
      <c r="E10176" s="87"/>
      <c r="F10176" s="87"/>
      <c r="G10176" s="87"/>
    </row>
    <row r="10177">
      <c r="A10177" s="86" t="str">
        <f>IFERROR(__xludf.DUMMYFUNCTION("""COMPUTED_VALUE"""),"")</f>
        <v/>
      </c>
      <c r="B10177" s="87"/>
      <c r="C10177" s="87"/>
      <c r="D10177" s="87"/>
      <c r="E10177" s="87"/>
      <c r="F10177" s="87"/>
      <c r="G10177" s="87"/>
    </row>
    <row r="10178">
      <c r="A10178" s="86" t="str">
        <f>IFERROR(__xludf.DUMMYFUNCTION("""COMPUTED_VALUE"""),"")</f>
        <v/>
      </c>
      <c r="B10178" s="87"/>
      <c r="C10178" s="87"/>
      <c r="D10178" s="87"/>
      <c r="E10178" s="87"/>
      <c r="F10178" s="87"/>
      <c r="G10178" s="87"/>
    </row>
    <row r="10179">
      <c r="A10179" s="86" t="str">
        <f>IFERROR(__xludf.DUMMYFUNCTION("""COMPUTED_VALUE"""),"")</f>
        <v/>
      </c>
      <c r="B10179" s="87"/>
      <c r="C10179" s="87"/>
      <c r="D10179" s="87"/>
      <c r="E10179" s="87"/>
      <c r="F10179" s="87"/>
      <c r="G10179" s="87"/>
    </row>
    <row r="10180">
      <c r="A10180" s="86" t="str">
        <f>IFERROR(__xludf.DUMMYFUNCTION("""COMPUTED_VALUE"""),"")</f>
        <v/>
      </c>
      <c r="B10180" s="87"/>
      <c r="C10180" s="87"/>
      <c r="D10180" s="87"/>
      <c r="E10180" s="87"/>
      <c r="F10180" s="87"/>
      <c r="G10180" s="87"/>
    </row>
    <row r="10181">
      <c r="A10181" s="86" t="str">
        <f>IFERROR(__xludf.DUMMYFUNCTION("""COMPUTED_VALUE"""),"")</f>
        <v/>
      </c>
      <c r="B10181" s="87"/>
      <c r="C10181" s="87"/>
      <c r="D10181" s="87"/>
      <c r="E10181" s="87"/>
      <c r="F10181" s="87"/>
      <c r="G10181" s="87"/>
    </row>
    <row r="10182">
      <c r="A10182" s="86" t="str">
        <f>IFERROR(__xludf.DUMMYFUNCTION("""COMPUTED_VALUE"""),"")</f>
        <v/>
      </c>
      <c r="B10182" s="87"/>
      <c r="C10182" s="87"/>
      <c r="D10182" s="87"/>
      <c r="E10182" s="87"/>
      <c r="F10182" s="87"/>
      <c r="G10182" s="87"/>
    </row>
    <row r="10183">
      <c r="A10183" s="86" t="str">
        <f>IFERROR(__xludf.DUMMYFUNCTION("""COMPUTED_VALUE"""),"")</f>
        <v/>
      </c>
      <c r="B10183" s="87"/>
      <c r="C10183" s="87"/>
      <c r="D10183" s="87"/>
      <c r="E10183" s="87"/>
      <c r="F10183" s="87"/>
      <c r="G10183" s="87"/>
    </row>
    <row r="10184">
      <c r="A10184" s="86" t="str">
        <f>IFERROR(__xludf.DUMMYFUNCTION("""COMPUTED_VALUE"""),"")</f>
        <v/>
      </c>
      <c r="B10184" s="87"/>
      <c r="C10184" s="87"/>
      <c r="D10184" s="87"/>
      <c r="E10184" s="87"/>
      <c r="F10184" s="87"/>
      <c r="G10184" s="87"/>
    </row>
    <row r="10185">
      <c r="A10185" s="86" t="str">
        <f>IFERROR(__xludf.DUMMYFUNCTION("""COMPUTED_VALUE"""),"")</f>
        <v/>
      </c>
      <c r="B10185" s="87"/>
      <c r="C10185" s="87"/>
      <c r="D10185" s="87"/>
      <c r="E10185" s="87"/>
      <c r="F10185" s="87"/>
      <c r="G10185" s="87"/>
    </row>
    <row r="10186">
      <c r="A10186" s="86" t="str">
        <f>IFERROR(__xludf.DUMMYFUNCTION("""COMPUTED_VALUE"""),"")</f>
        <v/>
      </c>
      <c r="B10186" s="87"/>
      <c r="C10186" s="87"/>
      <c r="D10186" s="87"/>
      <c r="E10186" s="87"/>
      <c r="F10186" s="87"/>
      <c r="G10186" s="87"/>
    </row>
    <row r="10187">
      <c r="A10187" s="86" t="str">
        <f>IFERROR(__xludf.DUMMYFUNCTION("""COMPUTED_VALUE"""),"")</f>
        <v/>
      </c>
      <c r="B10187" s="87"/>
      <c r="C10187" s="87"/>
      <c r="D10187" s="87"/>
      <c r="E10187" s="87"/>
      <c r="F10187" s="87"/>
      <c r="G10187" s="87"/>
    </row>
    <row r="10188">
      <c r="A10188" s="86" t="str">
        <f>IFERROR(__xludf.DUMMYFUNCTION("""COMPUTED_VALUE"""),"")</f>
        <v/>
      </c>
      <c r="B10188" s="87"/>
      <c r="C10188" s="87"/>
      <c r="D10188" s="87"/>
      <c r="E10188" s="87"/>
      <c r="F10188" s="87"/>
      <c r="G10188" s="87"/>
    </row>
    <row r="10189">
      <c r="A10189" s="86" t="str">
        <f>IFERROR(__xludf.DUMMYFUNCTION("""COMPUTED_VALUE"""),"")</f>
        <v/>
      </c>
      <c r="B10189" s="87"/>
      <c r="C10189" s="87"/>
      <c r="D10189" s="87"/>
      <c r="E10189" s="87"/>
      <c r="F10189" s="87"/>
      <c r="G10189" s="87"/>
    </row>
    <row r="10190">
      <c r="A10190" s="86" t="str">
        <f>IFERROR(__xludf.DUMMYFUNCTION("""COMPUTED_VALUE"""),"")</f>
        <v/>
      </c>
      <c r="B10190" s="87"/>
      <c r="C10190" s="87"/>
      <c r="D10190" s="87"/>
      <c r="E10190" s="87"/>
      <c r="F10190" s="87"/>
      <c r="G10190" s="87"/>
    </row>
    <row r="10191">
      <c r="A10191" s="86" t="str">
        <f>IFERROR(__xludf.DUMMYFUNCTION("""COMPUTED_VALUE"""),"")</f>
        <v/>
      </c>
      <c r="B10191" s="87"/>
      <c r="C10191" s="87"/>
      <c r="D10191" s="87"/>
      <c r="E10191" s="87"/>
      <c r="F10191" s="87"/>
      <c r="G10191" s="87"/>
    </row>
    <row r="10192">
      <c r="A10192" s="86" t="str">
        <f>IFERROR(__xludf.DUMMYFUNCTION("""COMPUTED_VALUE"""),"")</f>
        <v/>
      </c>
      <c r="B10192" s="87"/>
      <c r="C10192" s="87"/>
      <c r="D10192" s="87"/>
      <c r="E10192" s="87"/>
      <c r="F10192" s="87"/>
      <c r="G10192" s="87"/>
    </row>
    <row r="10193">
      <c r="A10193" s="86" t="str">
        <f>IFERROR(__xludf.DUMMYFUNCTION("""COMPUTED_VALUE"""),"")</f>
        <v/>
      </c>
      <c r="B10193" s="87"/>
      <c r="C10193" s="87"/>
      <c r="D10193" s="87"/>
      <c r="E10193" s="87"/>
      <c r="F10193" s="87"/>
      <c r="G10193" s="87"/>
    </row>
    <row r="10194">
      <c r="A10194" s="86" t="str">
        <f>IFERROR(__xludf.DUMMYFUNCTION("""COMPUTED_VALUE"""),"")</f>
        <v/>
      </c>
      <c r="B10194" s="87"/>
      <c r="C10194" s="87"/>
      <c r="D10194" s="87"/>
      <c r="E10194" s="87"/>
      <c r="F10194" s="87"/>
      <c r="G10194" s="87"/>
    </row>
    <row r="10195">
      <c r="A10195" s="86" t="str">
        <f>IFERROR(__xludf.DUMMYFUNCTION("""COMPUTED_VALUE"""),"")</f>
        <v/>
      </c>
      <c r="B10195" s="87"/>
      <c r="C10195" s="87"/>
      <c r="D10195" s="87"/>
      <c r="E10195" s="87"/>
      <c r="F10195" s="87"/>
      <c r="G10195" s="87"/>
    </row>
    <row r="10196">
      <c r="A10196" s="86" t="str">
        <f>IFERROR(__xludf.DUMMYFUNCTION("""COMPUTED_VALUE"""),"")</f>
        <v/>
      </c>
      <c r="B10196" s="87"/>
      <c r="C10196" s="87"/>
      <c r="D10196" s="87"/>
      <c r="E10196" s="87"/>
      <c r="F10196" s="87"/>
      <c r="G10196" s="87"/>
    </row>
    <row r="10197">
      <c r="A10197" s="86" t="str">
        <f>IFERROR(__xludf.DUMMYFUNCTION("""COMPUTED_VALUE"""),"")</f>
        <v/>
      </c>
      <c r="B10197" s="87"/>
      <c r="C10197" s="87"/>
      <c r="D10197" s="87"/>
      <c r="E10197" s="87"/>
      <c r="F10197" s="87"/>
      <c r="G10197" s="87"/>
    </row>
    <row r="10198">
      <c r="A10198" s="86" t="str">
        <f>IFERROR(__xludf.DUMMYFUNCTION("""COMPUTED_VALUE"""),"")</f>
        <v/>
      </c>
      <c r="B10198" s="87"/>
      <c r="C10198" s="87"/>
      <c r="D10198" s="87"/>
      <c r="E10198" s="87"/>
      <c r="F10198" s="87"/>
      <c r="G10198" s="87"/>
    </row>
    <row r="10199">
      <c r="A10199" s="86" t="str">
        <f>IFERROR(__xludf.DUMMYFUNCTION("""COMPUTED_VALUE"""),"")</f>
        <v/>
      </c>
      <c r="B10199" s="87"/>
      <c r="C10199" s="87"/>
      <c r="D10199" s="87"/>
      <c r="E10199" s="87"/>
      <c r="F10199" s="87"/>
      <c r="G10199" s="87"/>
    </row>
    <row r="10200">
      <c r="A10200" s="86" t="str">
        <f>IFERROR(__xludf.DUMMYFUNCTION("""COMPUTED_VALUE"""),"")</f>
        <v/>
      </c>
      <c r="B10200" s="87"/>
      <c r="C10200" s="87"/>
      <c r="D10200" s="87"/>
      <c r="E10200" s="87"/>
      <c r="F10200" s="87"/>
      <c r="G10200" s="87"/>
    </row>
    <row r="10201">
      <c r="A10201" s="86" t="str">
        <f>IFERROR(__xludf.DUMMYFUNCTION("""COMPUTED_VALUE"""),"")</f>
        <v/>
      </c>
      <c r="B10201" s="87"/>
      <c r="C10201" s="87"/>
      <c r="D10201" s="87"/>
      <c r="E10201" s="87"/>
      <c r="F10201" s="87"/>
      <c r="G10201" s="87"/>
    </row>
    <row r="10202">
      <c r="A10202" s="86" t="str">
        <f>IFERROR(__xludf.DUMMYFUNCTION("""COMPUTED_VALUE"""),"")</f>
        <v/>
      </c>
      <c r="B10202" s="87"/>
      <c r="C10202" s="87"/>
      <c r="D10202" s="87"/>
      <c r="E10202" s="87"/>
      <c r="F10202" s="87"/>
      <c r="G10202" s="87"/>
    </row>
    <row r="10203">
      <c r="A10203" s="86" t="str">
        <f>IFERROR(__xludf.DUMMYFUNCTION("""COMPUTED_VALUE"""),"")</f>
        <v/>
      </c>
      <c r="B10203" s="87"/>
      <c r="C10203" s="87"/>
      <c r="D10203" s="87"/>
      <c r="E10203" s="87"/>
      <c r="F10203" s="87"/>
      <c r="G10203" s="87"/>
    </row>
    <row r="10204">
      <c r="A10204" s="86" t="str">
        <f>IFERROR(__xludf.DUMMYFUNCTION("""COMPUTED_VALUE"""),"")</f>
        <v/>
      </c>
      <c r="B10204" s="87"/>
      <c r="C10204" s="87"/>
      <c r="D10204" s="87"/>
      <c r="E10204" s="87"/>
      <c r="F10204" s="87"/>
      <c r="G10204" s="87"/>
    </row>
    <row r="10205">
      <c r="A10205" s="86" t="str">
        <f>IFERROR(__xludf.DUMMYFUNCTION("""COMPUTED_VALUE"""),"")</f>
        <v/>
      </c>
      <c r="B10205" s="87"/>
      <c r="C10205" s="87"/>
      <c r="D10205" s="87"/>
      <c r="E10205" s="87"/>
      <c r="F10205" s="87"/>
      <c r="G10205" s="87"/>
    </row>
    <row r="10206">
      <c r="A10206" s="86" t="str">
        <f>IFERROR(__xludf.DUMMYFUNCTION("""COMPUTED_VALUE"""),"")</f>
        <v/>
      </c>
      <c r="B10206" s="87"/>
      <c r="C10206" s="87"/>
      <c r="D10206" s="87"/>
      <c r="E10206" s="87"/>
      <c r="F10206" s="87"/>
      <c r="G10206" s="87"/>
    </row>
    <row r="10207">
      <c r="A10207" s="86" t="str">
        <f>IFERROR(__xludf.DUMMYFUNCTION("""COMPUTED_VALUE"""),"")</f>
        <v/>
      </c>
      <c r="B10207" s="87"/>
      <c r="C10207" s="87"/>
      <c r="D10207" s="87"/>
      <c r="E10207" s="87"/>
      <c r="F10207" s="87"/>
      <c r="G10207" s="87"/>
    </row>
    <row r="10208">
      <c r="A10208" s="86" t="str">
        <f>IFERROR(__xludf.DUMMYFUNCTION("""COMPUTED_VALUE"""),"")</f>
        <v/>
      </c>
      <c r="B10208" s="87"/>
      <c r="C10208" s="87"/>
      <c r="D10208" s="87"/>
      <c r="E10208" s="87"/>
      <c r="F10208" s="87"/>
      <c r="G10208" s="87"/>
    </row>
    <row r="10209">
      <c r="A10209" s="86" t="str">
        <f>IFERROR(__xludf.DUMMYFUNCTION("""COMPUTED_VALUE"""),"")</f>
        <v/>
      </c>
      <c r="B10209" s="87"/>
      <c r="C10209" s="87"/>
      <c r="D10209" s="87"/>
      <c r="E10209" s="87"/>
      <c r="F10209" s="87"/>
      <c r="G10209" s="87"/>
    </row>
    <row r="10210">
      <c r="A10210" s="86" t="str">
        <f>IFERROR(__xludf.DUMMYFUNCTION("""COMPUTED_VALUE"""),"")</f>
        <v/>
      </c>
      <c r="B10210" s="87"/>
      <c r="C10210" s="87"/>
      <c r="D10210" s="87"/>
      <c r="E10210" s="87"/>
      <c r="F10210" s="87"/>
      <c r="G10210" s="87"/>
    </row>
    <row r="10211">
      <c r="A10211" s="86" t="str">
        <f>IFERROR(__xludf.DUMMYFUNCTION("""COMPUTED_VALUE"""),"")</f>
        <v/>
      </c>
      <c r="B10211" s="87"/>
      <c r="C10211" s="87"/>
      <c r="D10211" s="87"/>
      <c r="E10211" s="87"/>
      <c r="F10211" s="87"/>
      <c r="G10211" s="87"/>
    </row>
    <row r="10212">
      <c r="A10212" s="86" t="str">
        <f>IFERROR(__xludf.DUMMYFUNCTION("""COMPUTED_VALUE"""),"")</f>
        <v/>
      </c>
      <c r="B10212" s="87"/>
      <c r="C10212" s="87"/>
      <c r="D10212" s="87"/>
      <c r="E10212" s="87"/>
      <c r="F10212" s="87"/>
      <c r="G10212" s="87"/>
    </row>
    <row r="10213">
      <c r="A10213" s="86" t="str">
        <f>IFERROR(__xludf.DUMMYFUNCTION("""COMPUTED_VALUE"""),"")</f>
        <v/>
      </c>
      <c r="B10213" s="87"/>
      <c r="C10213" s="87"/>
      <c r="D10213" s="87"/>
      <c r="E10213" s="87"/>
      <c r="F10213" s="87"/>
      <c r="G10213" s="87"/>
    </row>
    <row r="10214">
      <c r="A10214" s="86" t="str">
        <f>IFERROR(__xludf.DUMMYFUNCTION("""COMPUTED_VALUE"""),"")</f>
        <v/>
      </c>
      <c r="B10214" s="87"/>
      <c r="C10214" s="87"/>
      <c r="D10214" s="87"/>
      <c r="E10214" s="87"/>
      <c r="F10214" s="87"/>
      <c r="G10214" s="87"/>
    </row>
    <row r="10215">
      <c r="A10215" s="86" t="str">
        <f>IFERROR(__xludf.DUMMYFUNCTION("""COMPUTED_VALUE"""),"")</f>
        <v/>
      </c>
      <c r="B10215" s="87"/>
      <c r="C10215" s="87"/>
      <c r="D10215" s="87"/>
      <c r="E10215" s="87"/>
      <c r="F10215" s="87"/>
      <c r="G10215" s="87"/>
    </row>
    <row r="10216">
      <c r="A10216" s="86" t="str">
        <f>IFERROR(__xludf.DUMMYFUNCTION("""COMPUTED_VALUE"""),"")</f>
        <v/>
      </c>
      <c r="B10216" s="87"/>
      <c r="C10216" s="87"/>
      <c r="D10216" s="87"/>
      <c r="E10216" s="87"/>
      <c r="F10216" s="87"/>
      <c r="G10216" s="87"/>
    </row>
    <row r="10217">
      <c r="A10217" s="86" t="str">
        <f>IFERROR(__xludf.DUMMYFUNCTION("""COMPUTED_VALUE"""),"")</f>
        <v/>
      </c>
      <c r="B10217" s="87"/>
      <c r="C10217" s="87"/>
      <c r="D10217" s="87"/>
      <c r="E10217" s="87"/>
      <c r="F10217" s="87"/>
      <c r="G10217" s="87"/>
    </row>
    <row r="10218">
      <c r="A10218" s="86" t="str">
        <f>IFERROR(__xludf.DUMMYFUNCTION("""COMPUTED_VALUE"""),"")</f>
        <v/>
      </c>
      <c r="B10218" s="87"/>
      <c r="C10218" s="87"/>
      <c r="D10218" s="87"/>
      <c r="E10218" s="87"/>
      <c r="F10218" s="87"/>
      <c r="G10218" s="87"/>
    </row>
    <row r="10219">
      <c r="A10219" s="86" t="str">
        <f>IFERROR(__xludf.DUMMYFUNCTION("""COMPUTED_VALUE"""),"")</f>
        <v/>
      </c>
      <c r="B10219" s="87"/>
      <c r="C10219" s="87"/>
      <c r="D10219" s="87"/>
      <c r="E10219" s="87"/>
      <c r="F10219" s="87"/>
      <c r="G10219" s="87"/>
    </row>
    <row r="10220">
      <c r="A10220" s="86" t="str">
        <f>IFERROR(__xludf.DUMMYFUNCTION("""COMPUTED_VALUE"""),"")</f>
        <v/>
      </c>
      <c r="B10220" s="87"/>
      <c r="C10220" s="87"/>
      <c r="D10220" s="87"/>
      <c r="E10220" s="87"/>
      <c r="F10220" s="87"/>
      <c r="G10220" s="87"/>
    </row>
    <row r="10221">
      <c r="A10221" s="86" t="str">
        <f>IFERROR(__xludf.DUMMYFUNCTION("""COMPUTED_VALUE"""),"")</f>
        <v/>
      </c>
      <c r="B10221" s="87"/>
      <c r="C10221" s="87"/>
      <c r="D10221" s="87"/>
      <c r="E10221" s="87"/>
      <c r="F10221" s="87"/>
      <c r="G10221" s="87"/>
    </row>
    <row r="10222">
      <c r="A10222" s="86" t="str">
        <f>IFERROR(__xludf.DUMMYFUNCTION("""COMPUTED_VALUE"""),"")</f>
        <v/>
      </c>
      <c r="B10222" s="87"/>
      <c r="C10222" s="87"/>
      <c r="D10222" s="87"/>
      <c r="E10222" s="87"/>
      <c r="F10222" s="87"/>
      <c r="G10222" s="87"/>
    </row>
    <row r="10223">
      <c r="A10223" s="86" t="str">
        <f>IFERROR(__xludf.DUMMYFUNCTION("""COMPUTED_VALUE"""),"")</f>
        <v/>
      </c>
      <c r="B10223" s="87"/>
      <c r="C10223" s="87"/>
      <c r="D10223" s="87"/>
      <c r="E10223" s="87"/>
      <c r="F10223" s="87"/>
      <c r="G10223" s="87"/>
    </row>
    <row r="10224">
      <c r="A10224" s="86" t="str">
        <f>IFERROR(__xludf.DUMMYFUNCTION("""COMPUTED_VALUE"""),"")</f>
        <v/>
      </c>
      <c r="B10224" s="87"/>
      <c r="C10224" s="87"/>
      <c r="D10224" s="87"/>
      <c r="E10224" s="87"/>
      <c r="F10224" s="87"/>
      <c r="G10224" s="87"/>
    </row>
    <row r="10225">
      <c r="A10225" s="86" t="str">
        <f>IFERROR(__xludf.DUMMYFUNCTION("""COMPUTED_VALUE"""),"")</f>
        <v/>
      </c>
      <c r="B10225" s="87"/>
      <c r="C10225" s="87"/>
      <c r="D10225" s="87"/>
      <c r="E10225" s="87"/>
      <c r="F10225" s="87"/>
      <c r="G10225" s="87"/>
    </row>
    <row r="10226">
      <c r="A10226" s="86" t="str">
        <f>IFERROR(__xludf.DUMMYFUNCTION("""COMPUTED_VALUE"""),"")</f>
        <v/>
      </c>
      <c r="B10226" s="87"/>
      <c r="C10226" s="87"/>
      <c r="D10226" s="87"/>
      <c r="E10226" s="87"/>
      <c r="F10226" s="87"/>
      <c r="G10226" s="87"/>
    </row>
    <row r="10227">
      <c r="A10227" s="86" t="str">
        <f>IFERROR(__xludf.DUMMYFUNCTION("""COMPUTED_VALUE"""),"")</f>
        <v/>
      </c>
      <c r="B10227" s="87"/>
      <c r="C10227" s="87"/>
      <c r="D10227" s="87"/>
      <c r="E10227" s="87"/>
      <c r="F10227" s="87"/>
      <c r="G10227" s="87"/>
    </row>
    <row r="10228">
      <c r="A10228" s="86" t="str">
        <f>IFERROR(__xludf.DUMMYFUNCTION("""COMPUTED_VALUE"""),"")</f>
        <v/>
      </c>
      <c r="B10228" s="87"/>
      <c r="C10228" s="87"/>
      <c r="D10228" s="87"/>
      <c r="E10228" s="87"/>
      <c r="F10228" s="87"/>
      <c r="G10228" s="87"/>
    </row>
    <row r="10229">
      <c r="A10229" s="86" t="str">
        <f>IFERROR(__xludf.DUMMYFUNCTION("""COMPUTED_VALUE"""),"")</f>
        <v/>
      </c>
      <c r="B10229" s="87"/>
      <c r="C10229" s="87"/>
      <c r="D10229" s="87"/>
      <c r="E10229" s="87"/>
      <c r="F10229" s="87"/>
      <c r="G10229" s="87"/>
    </row>
    <row r="10230">
      <c r="A10230" s="86" t="str">
        <f>IFERROR(__xludf.DUMMYFUNCTION("""COMPUTED_VALUE"""),"")</f>
        <v/>
      </c>
      <c r="B10230" s="87"/>
      <c r="C10230" s="87"/>
      <c r="D10230" s="87"/>
      <c r="E10230" s="87"/>
      <c r="F10230" s="87"/>
      <c r="G10230" s="87"/>
    </row>
    <row r="10231">
      <c r="A10231" s="86" t="str">
        <f>IFERROR(__xludf.DUMMYFUNCTION("""COMPUTED_VALUE"""),"")</f>
        <v/>
      </c>
      <c r="B10231" s="87"/>
      <c r="C10231" s="87"/>
      <c r="D10231" s="87"/>
      <c r="E10231" s="87"/>
      <c r="F10231" s="87"/>
      <c r="G10231" s="87"/>
    </row>
    <row r="10232">
      <c r="A10232" s="86" t="str">
        <f>IFERROR(__xludf.DUMMYFUNCTION("""COMPUTED_VALUE"""),"")</f>
        <v/>
      </c>
      <c r="B10232" s="87"/>
      <c r="C10232" s="87"/>
      <c r="D10232" s="87"/>
      <c r="E10232" s="87"/>
      <c r="F10232" s="87"/>
      <c r="G10232" s="87"/>
    </row>
    <row r="10233">
      <c r="A10233" s="86" t="str">
        <f>IFERROR(__xludf.DUMMYFUNCTION("""COMPUTED_VALUE"""),"")</f>
        <v/>
      </c>
      <c r="B10233" s="87"/>
      <c r="C10233" s="87"/>
      <c r="D10233" s="87"/>
      <c r="E10233" s="87"/>
      <c r="F10233" s="87"/>
      <c r="G10233" s="87"/>
    </row>
    <row r="10234">
      <c r="A10234" s="86" t="str">
        <f>IFERROR(__xludf.DUMMYFUNCTION("""COMPUTED_VALUE"""),"")</f>
        <v/>
      </c>
      <c r="B10234" s="87"/>
      <c r="C10234" s="87"/>
      <c r="D10234" s="87"/>
      <c r="E10234" s="87"/>
      <c r="F10234" s="87"/>
      <c r="G10234" s="87"/>
    </row>
    <row r="10235">
      <c r="A10235" s="86" t="str">
        <f>IFERROR(__xludf.DUMMYFUNCTION("""COMPUTED_VALUE"""),"")</f>
        <v/>
      </c>
      <c r="B10235" s="87"/>
      <c r="C10235" s="87"/>
      <c r="D10235" s="87"/>
      <c r="E10235" s="87"/>
      <c r="F10235" s="87"/>
      <c r="G10235" s="87"/>
    </row>
    <row r="10236">
      <c r="A10236" s="86" t="str">
        <f>IFERROR(__xludf.DUMMYFUNCTION("""COMPUTED_VALUE"""),"")</f>
        <v/>
      </c>
      <c r="B10236" s="87"/>
      <c r="C10236" s="87"/>
      <c r="D10236" s="87"/>
      <c r="E10236" s="87"/>
      <c r="F10236" s="87"/>
      <c r="G10236" s="87"/>
    </row>
    <row r="10237">
      <c r="A10237" s="86" t="str">
        <f>IFERROR(__xludf.DUMMYFUNCTION("""COMPUTED_VALUE"""),"")</f>
        <v/>
      </c>
      <c r="B10237" s="87"/>
      <c r="C10237" s="87"/>
      <c r="D10237" s="87"/>
      <c r="E10237" s="87"/>
      <c r="F10237" s="87"/>
      <c r="G10237" s="87"/>
    </row>
    <row r="10238">
      <c r="A10238" s="86" t="str">
        <f>IFERROR(__xludf.DUMMYFUNCTION("""COMPUTED_VALUE"""),"")</f>
        <v/>
      </c>
      <c r="B10238" s="87"/>
      <c r="C10238" s="87"/>
      <c r="D10238" s="87"/>
      <c r="E10238" s="87"/>
      <c r="F10238" s="87"/>
      <c r="G10238" s="87"/>
    </row>
    <row r="10239">
      <c r="A10239" s="86" t="str">
        <f>IFERROR(__xludf.DUMMYFUNCTION("""COMPUTED_VALUE"""),"")</f>
        <v/>
      </c>
      <c r="B10239" s="87"/>
      <c r="C10239" s="87"/>
      <c r="D10239" s="87"/>
      <c r="E10239" s="87"/>
      <c r="F10239" s="87"/>
      <c r="G10239" s="87"/>
    </row>
    <row r="10240">
      <c r="A10240" s="86" t="str">
        <f>IFERROR(__xludf.DUMMYFUNCTION("""COMPUTED_VALUE"""),"")</f>
        <v/>
      </c>
      <c r="B10240" s="87"/>
      <c r="C10240" s="87"/>
      <c r="D10240" s="87"/>
      <c r="E10240" s="87"/>
      <c r="F10240" s="87"/>
      <c r="G10240" s="87"/>
    </row>
    <row r="10241">
      <c r="A10241" s="86" t="str">
        <f>IFERROR(__xludf.DUMMYFUNCTION("""COMPUTED_VALUE"""),"")</f>
        <v/>
      </c>
      <c r="B10241" s="87"/>
      <c r="C10241" s="87"/>
      <c r="D10241" s="87"/>
      <c r="E10241" s="87"/>
      <c r="F10241" s="87"/>
      <c r="G10241" s="87"/>
    </row>
    <row r="10242">
      <c r="A10242" s="86" t="str">
        <f>IFERROR(__xludf.DUMMYFUNCTION("""COMPUTED_VALUE"""),"")</f>
        <v/>
      </c>
      <c r="B10242" s="87"/>
      <c r="C10242" s="87"/>
      <c r="D10242" s="87"/>
      <c r="E10242" s="87"/>
      <c r="F10242" s="87"/>
      <c r="G10242" s="87"/>
    </row>
    <row r="10243">
      <c r="A10243" s="86" t="str">
        <f>IFERROR(__xludf.DUMMYFUNCTION("""COMPUTED_VALUE"""),"")</f>
        <v/>
      </c>
      <c r="B10243" s="87"/>
      <c r="C10243" s="87"/>
      <c r="D10243" s="87"/>
      <c r="E10243" s="87"/>
      <c r="F10243" s="87"/>
      <c r="G10243" s="87"/>
    </row>
    <row r="10244">
      <c r="A10244" s="86" t="str">
        <f>IFERROR(__xludf.DUMMYFUNCTION("""COMPUTED_VALUE"""),"")</f>
        <v/>
      </c>
      <c r="B10244" s="87"/>
      <c r="C10244" s="87"/>
      <c r="D10244" s="87"/>
      <c r="E10244" s="87"/>
      <c r="F10244" s="87"/>
      <c r="G10244" s="87"/>
    </row>
    <row r="10245">
      <c r="A10245" s="86" t="str">
        <f>IFERROR(__xludf.DUMMYFUNCTION("""COMPUTED_VALUE"""),"")</f>
        <v/>
      </c>
      <c r="B10245" s="87"/>
      <c r="C10245" s="87"/>
      <c r="D10245" s="87"/>
      <c r="E10245" s="87"/>
      <c r="F10245" s="87"/>
      <c r="G10245" s="87"/>
    </row>
    <row r="10246">
      <c r="A10246" s="86" t="str">
        <f>IFERROR(__xludf.DUMMYFUNCTION("""COMPUTED_VALUE"""),"")</f>
        <v/>
      </c>
      <c r="B10246" s="87"/>
      <c r="C10246" s="87"/>
      <c r="D10246" s="87"/>
      <c r="E10246" s="87"/>
      <c r="F10246" s="87"/>
      <c r="G10246" s="87"/>
    </row>
    <row r="10247">
      <c r="A10247" s="86" t="str">
        <f>IFERROR(__xludf.DUMMYFUNCTION("""COMPUTED_VALUE"""),"")</f>
        <v/>
      </c>
      <c r="B10247" s="87"/>
      <c r="C10247" s="87"/>
      <c r="D10247" s="87"/>
      <c r="E10247" s="87"/>
      <c r="F10247" s="87"/>
      <c r="G10247" s="87"/>
    </row>
    <row r="10248">
      <c r="A10248" s="86" t="str">
        <f>IFERROR(__xludf.DUMMYFUNCTION("""COMPUTED_VALUE"""),"")</f>
        <v/>
      </c>
      <c r="B10248" s="87"/>
      <c r="C10248" s="87"/>
      <c r="D10248" s="87"/>
      <c r="E10248" s="87"/>
      <c r="F10248" s="87"/>
      <c r="G10248" s="87"/>
    </row>
    <row r="10249">
      <c r="A10249" s="86" t="str">
        <f>IFERROR(__xludf.DUMMYFUNCTION("""COMPUTED_VALUE"""),"")</f>
        <v/>
      </c>
      <c r="B10249" s="87"/>
      <c r="C10249" s="87"/>
      <c r="D10249" s="87"/>
      <c r="E10249" s="87"/>
      <c r="F10249" s="87"/>
      <c r="G10249" s="87"/>
    </row>
    <row r="10250">
      <c r="A10250" s="86" t="str">
        <f>IFERROR(__xludf.DUMMYFUNCTION("""COMPUTED_VALUE"""),"")</f>
        <v/>
      </c>
      <c r="B10250" s="87"/>
      <c r="C10250" s="87"/>
      <c r="D10250" s="87"/>
      <c r="E10250" s="87"/>
      <c r="F10250" s="87"/>
      <c r="G10250" s="87"/>
    </row>
    <row r="10251">
      <c r="A10251" s="86" t="str">
        <f>IFERROR(__xludf.DUMMYFUNCTION("""COMPUTED_VALUE"""),"")</f>
        <v/>
      </c>
      <c r="B10251" s="87"/>
      <c r="C10251" s="87"/>
      <c r="D10251" s="87"/>
      <c r="E10251" s="87"/>
      <c r="F10251" s="87"/>
      <c r="G10251" s="87"/>
    </row>
    <row r="10252">
      <c r="A10252" s="86" t="str">
        <f>IFERROR(__xludf.DUMMYFUNCTION("""COMPUTED_VALUE"""),"")</f>
        <v/>
      </c>
      <c r="B10252" s="87"/>
      <c r="C10252" s="87"/>
      <c r="D10252" s="87"/>
      <c r="E10252" s="87"/>
      <c r="F10252" s="87"/>
      <c r="G10252" s="87"/>
    </row>
    <row r="10253">
      <c r="A10253" s="86" t="str">
        <f>IFERROR(__xludf.DUMMYFUNCTION("""COMPUTED_VALUE"""),"")</f>
        <v/>
      </c>
      <c r="B10253" s="87"/>
      <c r="C10253" s="87"/>
      <c r="D10253" s="87"/>
      <c r="E10253" s="87"/>
      <c r="F10253" s="87"/>
      <c r="G10253" s="87"/>
    </row>
    <row r="10254">
      <c r="A10254" s="86" t="str">
        <f>IFERROR(__xludf.DUMMYFUNCTION("""COMPUTED_VALUE"""),"")</f>
        <v/>
      </c>
      <c r="B10254" s="87"/>
      <c r="C10254" s="87"/>
      <c r="D10254" s="87"/>
      <c r="E10254" s="87"/>
      <c r="F10254" s="87"/>
      <c r="G10254" s="87"/>
    </row>
    <row r="10255">
      <c r="A10255" s="86" t="str">
        <f>IFERROR(__xludf.DUMMYFUNCTION("""COMPUTED_VALUE"""),"")</f>
        <v/>
      </c>
      <c r="B10255" s="87"/>
      <c r="C10255" s="87"/>
      <c r="D10255" s="87"/>
      <c r="E10255" s="87"/>
      <c r="F10255" s="87"/>
      <c r="G10255" s="87"/>
    </row>
    <row r="10256">
      <c r="A10256" s="86" t="str">
        <f>IFERROR(__xludf.DUMMYFUNCTION("""COMPUTED_VALUE"""),"")</f>
        <v/>
      </c>
      <c r="B10256" s="87"/>
      <c r="C10256" s="87"/>
      <c r="D10256" s="87"/>
      <c r="E10256" s="87"/>
      <c r="F10256" s="87"/>
      <c r="G10256" s="87"/>
    </row>
    <row r="10257">
      <c r="A10257" s="86" t="str">
        <f>IFERROR(__xludf.DUMMYFUNCTION("""COMPUTED_VALUE"""),"")</f>
        <v/>
      </c>
      <c r="B10257" s="87"/>
      <c r="C10257" s="87"/>
      <c r="D10257" s="87"/>
      <c r="E10257" s="87"/>
      <c r="F10257" s="87"/>
      <c r="G10257" s="87"/>
    </row>
    <row r="10258">
      <c r="A10258" s="86" t="str">
        <f>IFERROR(__xludf.DUMMYFUNCTION("""COMPUTED_VALUE"""),"")</f>
        <v/>
      </c>
      <c r="B10258" s="87"/>
      <c r="C10258" s="87"/>
      <c r="D10258" s="87"/>
      <c r="E10258" s="87"/>
      <c r="F10258" s="87"/>
      <c r="G10258" s="87"/>
    </row>
    <row r="10259">
      <c r="A10259" s="86" t="str">
        <f>IFERROR(__xludf.DUMMYFUNCTION("""COMPUTED_VALUE"""),"")</f>
        <v/>
      </c>
      <c r="B10259" s="87"/>
      <c r="C10259" s="87"/>
      <c r="D10259" s="87"/>
      <c r="E10259" s="87"/>
      <c r="F10259" s="87"/>
      <c r="G10259" s="87"/>
    </row>
    <row r="10260">
      <c r="A10260" s="86" t="str">
        <f>IFERROR(__xludf.DUMMYFUNCTION("""COMPUTED_VALUE"""),"")</f>
        <v/>
      </c>
      <c r="B10260" s="87"/>
      <c r="C10260" s="87"/>
      <c r="D10260" s="87"/>
      <c r="E10260" s="87"/>
      <c r="F10260" s="87"/>
      <c r="G10260" s="87"/>
    </row>
    <row r="10261">
      <c r="A10261" s="86" t="str">
        <f>IFERROR(__xludf.DUMMYFUNCTION("""COMPUTED_VALUE"""),"")</f>
        <v/>
      </c>
      <c r="B10261" s="87"/>
      <c r="C10261" s="87"/>
      <c r="D10261" s="87"/>
      <c r="E10261" s="87"/>
      <c r="F10261" s="87"/>
      <c r="G10261" s="87"/>
    </row>
    <row r="10262">
      <c r="A10262" s="86" t="str">
        <f>IFERROR(__xludf.DUMMYFUNCTION("""COMPUTED_VALUE"""),"")</f>
        <v/>
      </c>
      <c r="B10262" s="87"/>
      <c r="C10262" s="87"/>
      <c r="D10262" s="87"/>
      <c r="E10262" s="87"/>
      <c r="F10262" s="87"/>
      <c r="G10262" s="87"/>
    </row>
    <row r="10263">
      <c r="A10263" s="86" t="str">
        <f>IFERROR(__xludf.DUMMYFUNCTION("""COMPUTED_VALUE"""),"")</f>
        <v/>
      </c>
      <c r="B10263" s="87"/>
      <c r="C10263" s="87"/>
      <c r="D10263" s="87"/>
      <c r="E10263" s="87"/>
      <c r="F10263" s="87"/>
      <c r="G10263" s="87"/>
    </row>
    <row r="10264">
      <c r="A10264" s="86" t="str">
        <f>IFERROR(__xludf.DUMMYFUNCTION("""COMPUTED_VALUE"""),"")</f>
        <v/>
      </c>
      <c r="B10264" s="87"/>
      <c r="C10264" s="87"/>
      <c r="D10264" s="87"/>
      <c r="E10264" s="87"/>
      <c r="F10264" s="87"/>
      <c r="G10264" s="87"/>
    </row>
    <row r="10265">
      <c r="A10265" s="86" t="str">
        <f>IFERROR(__xludf.DUMMYFUNCTION("""COMPUTED_VALUE"""),"")</f>
        <v/>
      </c>
      <c r="B10265" s="87"/>
      <c r="C10265" s="87"/>
      <c r="D10265" s="87"/>
      <c r="E10265" s="87"/>
      <c r="F10265" s="87"/>
      <c r="G10265" s="87"/>
    </row>
    <row r="10266">
      <c r="A10266" s="86" t="str">
        <f>IFERROR(__xludf.DUMMYFUNCTION("""COMPUTED_VALUE"""),"")</f>
        <v/>
      </c>
      <c r="B10266" s="87"/>
      <c r="C10266" s="87"/>
      <c r="D10266" s="87"/>
      <c r="E10266" s="87"/>
      <c r="F10266" s="87"/>
      <c r="G10266" s="87"/>
    </row>
    <row r="10267">
      <c r="A10267" s="86" t="str">
        <f>IFERROR(__xludf.DUMMYFUNCTION("""COMPUTED_VALUE"""),"")</f>
        <v/>
      </c>
      <c r="B10267" s="87"/>
      <c r="C10267" s="87"/>
      <c r="D10267" s="87"/>
      <c r="E10267" s="87"/>
      <c r="F10267" s="87"/>
      <c r="G10267" s="87"/>
    </row>
    <row r="10268">
      <c r="A10268" s="86" t="str">
        <f>IFERROR(__xludf.DUMMYFUNCTION("""COMPUTED_VALUE"""),"")</f>
        <v/>
      </c>
      <c r="B10268" s="87"/>
      <c r="C10268" s="87"/>
      <c r="D10268" s="87"/>
      <c r="E10268" s="87"/>
      <c r="F10268" s="87"/>
      <c r="G10268" s="87"/>
    </row>
    <row r="10269">
      <c r="A10269" s="86" t="str">
        <f>IFERROR(__xludf.DUMMYFUNCTION("""COMPUTED_VALUE"""),"")</f>
        <v/>
      </c>
      <c r="B10269" s="87"/>
      <c r="C10269" s="87"/>
      <c r="D10269" s="87"/>
      <c r="E10269" s="87"/>
      <c r="F10269" s="87"/>
      <c r="G10269" s="87"/>
    </row>
    <row r="10270">
      <c r="A10270" s="86" t="str">
        <f>IFERROR(__xludf.DUMMYFUNCTION("""COMPUTED_VALUE"""),"")</f>
        <v/>
      </c>
      <c r="B10270" s="87"/>
      <c r="C10270" s="87"/>
      <c r="D10270" s="87"/>
      <c r="E10270" s="87"/>
      <c r="F10270" s="87"/>
      <c r="G10270" s="87"/>
    </row>
    <row r="10271">
      <c r="A10271" s="86" t="str">
        <f>IFERROR(__xludf.DUMMYFUNCTION("""COMPUTED_VALUE"""),"")</f>
        <v/>
      </c>
      <c r="B10271" s="87"/>
      <c r="C10271" s="87"/>
      <c r="D10271" s="87"/>
      <c r="E10271" s="87"/>
      <c r="F10271" s="87"/>
      <c r="G10271" s="87"/>
    </row>
    <row r="10272">
      <c r="A10272" s="86" t="str">
        <f>IFERROR(__xludf.DUMMYFUNCTION("""COMPUTED_VALUE"""),"")</f>
        <v/>
      </c>
      <c r="B10272" s="87"/>
      <c r="C10272" s="87"/>
      <c r="D10272" s="87"/>
      <c r="E10272" s="87"/>
      <c r="F10272" s="87"/>
      <c r="G10272" s="87"/>
    </row>
    <row r="10273">
      <c r="A10273" s="86" t="str">
        <f>IFERROR(__xludf.DUMMYFUNCTION("""COMPUTED_VALUE"""),"")</f>
        <v/>
      </c>
      <c r="B10273" s="87"/>
      <c r="C10273" s="87"/>
      <c r="D10273" s="87"/>
      <c r="E10273" s="87"/>
      <c r="F10273" s="87"/>
      <c r="G10273" s="87"/>
    </row>
    <row r="10274">
      <c r="A10274" s="86" t="str">
        <f>IFERROR(__xludf.DUMMYFUNCTION("""COMPUTED_VALUE"""),"")</f>
        <v/>
      </c>
      <c r="B10274" s="87"/>
      <c r="C10274" s="87"/>
      <c r="D10274" s="87"/>
      <c r="E10274" s="87"/>
      <c r="F10274" s="87"/>
      <c r="G10274" s="87"/>
    </row>
    <row r="10275">
      <c r="A10275" s="86" t="str">
        <f>IFERROR(__xludf.DUMMYFUNCTION("""COMPUTED_VALUE"""),"")</f>
        <v/>
      </c>
      <c r="B10275" s="87"/>
      <c r="C10275" s="87"/>
      <c r="D10275" s="87"/>
      <c r="E10275" s="87"/>
      <c r="F10275" s="87"/>
      <c r="G10275" s="87"/>
    </row>
    <row r="10276">
      <c r="A10276" s="86" t="str">
        <f>IFERROR(__xludf.DUMMYFUNCTION("""COMPUTED_VALUE"""),"")</f>
        <v/>
      </c>
      <c r="B10276" s="87"/>
      <c r="C10276" s="87"/>
      <c r="D10276" s="87"/>
      <c r="E10276" s="87"/>
      <c r="F10276" s="87"/>
      <c r="G10276" s="87"/>
    </row>
    <row r="10277">
      <c r="A10277" s="86" t="str">
        <f>IFERROR(__xludf.DUMMYFUNCTION("""COMPUTED_VALUE"""),"")</f>
        <v/>
      </c>
      <c r="B10277" s="87"/>
      <c r="C10277" s="87"/>
      <c r="D10277" s="87"/>
      <c r="E10277" s="87"/>
      <c r="F10277" s="87"/>
      <c r="G10277" s="87"/>
    </row>
    <row r="10278">
      <c r="A10278" s="86" t="str">
        <f>IFERROR(__xludf.DUMMYFUNCTION("""COMPUTED_VALUE"""),"")</f>
        <v/>
      </c>
      <c r="B10278" s="87"/>
      <c r="C10278" s="87"/>
      <c r="D10278" s="87"/>
      <c r="E10278" s="87"/>
      <c r="F10278" s="87"/>
      <c r="G10278" s="87"/>
    </row>
    <row r="10279">
      <c r="A10279" s="86" t="str">
        <f>IFERROR(__xludf.DUMMYFUNCTION("""COMPUTED_VALUE"""),"")</f>
        <v/>
      </c>
      <c r="B10279" s="87"/>
      <c r="C10279" s="87"/>
      <c r="D10279" s="87"/>
      <c r="E10279" s="87"/>
      <c r="F10279" s="87"/>
      <c r="G10279" s="87"/>
    </row>
    <row r="10280">
      <c r="A10280" s="86" t="str">
        <f>IFERROR(__xludf.DUMMYFUNCTION("""COMPUTED_VALUE"""),"")</f>
        <v/>
      </c>
      <c r="B10280" s="87"/>
      <c r="C10280" s="87"/>
      <c r="D10280" s="87"/>
      <c r="E10280" s="87"/>
      <c r="F10280" s="87"/>
      <c r="G10280" s="87"/>
    </row>
    <row r="10281">
      <c r="A10281" s="86" t="str">
        <f>IFERROR(__xludf.DUMMYFUNCTION("""COMPUTED_VALUE"""),"")</f>
        <v/>
      </c>
      <c r="B10281" s="87"/>
      <c r="C10281" s="87"/>
      <c r="D10281" s="87"/>
      <c r="E10281" s="87"/>
      <c r="F10281" s="87"/>
      <c r="G10281" s="87"/>
    </row>
    <row r="10282">
      <c r="A10282" s="86" t="str">
        <f>IFERROR(__xludf.DUMMYFUNCTION("""COMPUTED_VALUE"""),"")</f>
        <v/>
      </c>
      <c r="B10282" s="87"/>
      <c r="C10282" s="87"/>
      <c r="D10282" s="87"/>
      <c r="E10282" s="87"/>
      <c r="F10282" s="87"/>
      <c r="G10282" s="87"/>
    </row>
    <row r="10283">
      <c r="A10283" s="86" t="str">
        <f>IFERROR(__xludf.DUMMYFUNCTION("""COMPUTED_VALUE"""),"")</f>
        <v/>
      </c>
      <c r="B10283" s="87"/>
      <c r="C10283" s="87"/>
      <c r="D10283" s="87"/>
      <c r="E10283" s="87"/>
      <c r="F10283" s="87"/>
      <c r="G10283" s="87"/>
    </row>
    <row r="10284">
      <c r="A10284" s="86" t="str">
        <f>IFERROR(__xludf.DUMMYFUNCTION("""COMPUTED_VALUE"""),"")</f>
        <v/>
      </c>
      <c r="B10284" s="87"/>
      <c r="C10284" s="87"/>
      <c r="D10284" s="87"/>
      <c r="E10284" s="87"/>
      <c r="F10284" s="87"/>
      <c r="G10284" s="87"/>
    </row>
    <row r="10285">
      <c r="A10285" s="86" t="str">
        <f>IFERROR(__xludf.DUMMYFUNCTION("""COMPUTED_VALUE"""),"")</f>
        <v/>
      </c>
      <c r="B10285" s="87"/>
      <c r="C10285" s="87"/>
      <c r="D10285" s="87"/>
      <c r="E10285" s="87"/>
      <c r="F10285" s="87"/>
      <c r="G10285" s="87"/>
    </row>
    <row r="10286">
      <c r="A10286" s="86" t="str">
        <f>IFERROR(__xludf.DUMMYFUNCTION("""COMPUTED_VALUE"""),"")</f>
        <v/>
      </c>
      <c r="B10286" s="87"/>
      <c r="C10286" s="87"/>
      <c r="D10286" s="87"/>
      <c r="E10286" s="87"/>
      <c r="F10286" s="87"/>
      <c r="G10286" s="87"/>
    </row>
    <row r="10287">
      <c r="A10287" s="86" t="str">
        <f>IFERROR(__xludf.DUMMYFUNCTION("""COMPUTED_VALUE"""),"")</f>
        <v/>
      </c>
      <c r="B10287" s="87"/>
      <c r="C10287" s="87"/>
      <c r="D10287" s="87"/>
      <c r="E10287" s="87"/>
      <c r="F10287" s="87"/>
      <c r="G10287" s="87"/>
    </row>
    <row r="10288">
      <c r="A10288" s="86" t="str">
        <f>IFERROR(__xludf.DUMMYFUNCTION("""COMPUTED_VALUE"""),"")</f>
        <v/>
      </c>
      <c r="B10288" s="87"/>
      <c r="C10288" s="87"/>
      <c r="D10288" s="87"/>
      <c r="E10288" s="87"/>
      <c r="F10288" s="87"/>
      <c r="G10288" s="87"/>
    </row>
    <row r="10289">
      <c r="A10289" s="86" t="str">
        <f>IFERROR(__xludf.DUMMYFUNCTION("""COMPUTED_VALUE"""),"")</f>
        <v/>
      </c>
      <c r="B10289" s="87"/>
      <c r="C10289" s="87"/>
      <c r="D10289" s="87"/>
      <c r="E10289" s="87"/>
      <c r="F10289" s="87"/>
      <c r="G10289" s="87"/>
    </row>
    <row r="10290">
      <c r="A10290" s="86" t="str">
        <f>IFERROR(__xludf.DUMMYFUNCTION("""COMPUTED_VALUE"""),"")</f>
        <v/>
      </c>
      <c r="B10290" s="87"/>
      <c r="C10290" s="87"/>
      <c r="D10290" s="87"/>
      <c r="E10290" s="87"/>
      <c r="F10290" s="87"/>
      <c r="G10290" s="87"/>
    </row>
    <row r="10291">
      <c r="A10291" s="86" t="str">
        <f>IFERROR(__xludf.DUMMYFUNCTION("""COMPUTED_VALUE"""),"")</f>
        <v/>
      </c>
      <c r="B10291" s="87"/>
      <c r="C10291" s="87"/>
      <c r="D10291" s="87"/>
      <c r="E10291" s="87"/>
      <c r="F10291" s="87"/>
      <c r="G10291" s="87"/>
    </row>
    <row r="10292">
      <c r="A10292" s="86" t="str">
        <f>IFERROR(__xludf.DUMMYFUNCTION("""COMPUTED_VALUE"""),"")</f>
        <v/>
      </c>
      <c r="B10292" s="87"/>
      <c r="C10292" s="87"/>
      <c r="D10292" s="87"/>
      <c r="E10292" s="87"/>
      <c r="F10292" s="87"/>
      <c r="G10292" s="87"/>
    </row>
    <row r="10293">
      <c r="A10293" s="86" t="str">
        <f>IFERROR(__xludf.DUMMYFUNCTION("""COMPUTED_VALUE"""),"")</f>
        <v/>
      </c>
      <c r="B10293" s="87"/>
      <c r="C10293" s="87"/>
      <c r="D10293" s="87"/>
      <c r="E10293" s="87"/>
      <c r="F10293" s="87"/>
      <c r="G10293" s="87"/>
    </row>
    <row r="10294">
      <c r="A10294" s="86" t="str">
        <f>IFERROR(__xludf.DUMMYFUNCTION("""COMPUTED_VALUE"""),"")</f>
        <v/>
      </c>
      <c r="B10294" s="87"/>
      <c r="C10294" s="87"/>
      <c r="D10294" s="87"/>
      <c r="E10294" s="87"/>
      <c r="F10294" s="87"/>
      <c r="G10294" s="87"/>
    </row>
    <row r="10295">
      <c r="A10295" s="86" t="str">
        <f>IFERROR(__xludf.DUMMYFUNCTION("""COMPUTED_VALUE"""),"")</f>
        <v/>
      </c>
      <c r="B10295" s="87"/>
      <c r="C10295" s="87"/>
      <c r="D10295" s="87"/>
      <c r="E10295" s="87"/>
      <c r="F10295" s="87"/>
      <c r="G10295" s="87"/>
    </row>
    <row r="10296">
      <c r="A10296" s="86" t="str">
        <f>IFERROR(__xludf.DUMMYFUNCTION("""COMPUTED_VALUE"""),"")</f>
        <v/>
      </c>
      <c r="B10296" s="87"/>
      <c r="C10296" s="87"/>
      <c r="D10296" s="87"/>
      <c r="E10296" s="87"/>
      <c r="F10296" s="87"/>
      <c r="G10296" s="87"/>
    </row>
    <row r="10297">
      <c r="A10297" s="86" t="str">
        <f>IFERROR(__xludf.DUMMYFUNCTION("""COMPUTED_VALUE"""),"")</f>
        <v/>
      </c>
      <c r="B10297" s="87"/>
      <c r="C10297" s="87"/>
      <c r="D10297" s="87"/>
      <c r="E10297" s="87"/>
      <c r="F10297" s="87"/>
      <c r="G10297" s="87"/>
    </row>
    <row r="10298">
      <c r="A10298" s="86" t="str">
        <f>IFERROR(__xludf.DUMMYFUNCTION("""COMPUTED_VALUE"""),"")</f>
        <v/>
      </c>
      <c r="B10298" s="87"/>
      <c r="C10298" s="87"/>
      <c r="D10298" s="87"/>
      <c r="E10298" s="87"/>
      <c r="F10298" s="87"/>
      <c r="G10298" s="87"/>
    </row>
    <row r="10299">
      <c r="A10299" s="86" t="str">
        <f>IFERROR(__xludf.DUMMYFUNCTION("""COMPUTED_VALUE"""),"")</f>
        <v/>
      </c>
      <c r="B10299" s="87"/>
      <c r="C10299" s="87"/>
      <c r="D10299" s="87"/>
      <c r="E10299" s="87"/>
      <c r="F10299" s="87"/>
      <c r="G10299" s="87"/>
    </row>
    <row r="10300">
      <c r="A10300" s="86" t="str">
        <f>IFERROR(__xludf.DUMMYFUNCTION("""COMPUTED_VALUE"""),"")</f>
        <v/>
      </c>
      <c r="B10300" s="87"/>
      <c r="C10300" s="87"/>
      <c r="D10300" s="87"/>
      <c r="E10300" s="87"/>
      <c r="F10300" s="87"/>
      <c r="G10300" s="87"/>
    </row>
    <row r="10301">
      <c r="A10301" s="86" t="str">
        <f>IFERROR(__xludf.DUMMYFUNCTION("""COMPUTED_VALUE"""),"")</f>
        <v/>
      </c>
      <c r="B10301" s="87"/>
      <c r="C10301" s="87"/>
      <c r="D10301" s="87"/>
      <c r="E10301" s="87"/>
      <c r="F10301" s="87"/>
      <c r="G10301" s="87"/>
    </row>
    <row r="10302">
      <c r="A10302" s="86" t="str">
        <f>IFERROR(__xludf.DUMMYFUNCTION("""COMPUTED_VALUE"""),"")</f>
        <v/>
      </c>
      <c r="B10302" s="87"/>
      <c r="C10302" s="87"/>
      <c r="D10302" s="87"/>
      <c r="E10302" s="87"/>
      <c r="F10302" s="87"/>
      <c r="G10302" s="87"/>
    </row>
    <row r="10303">
      <c r="A10303" s="86" t="str">
        <f>IFERROR(__xludf.DUMMYFUNCTION("""COMPUTED_VALUE"""),"")</f>
        <v/>
      </c>
      <c r="B10303" s="87"/>
      <c r="C10303" s="87"/>
      <c r="D10303" s="87"/>
      <c r="E10303" s="87"/>
      <c r="F10303" s="87"/>
      <c r="G10303" s="87"/>
    </row>
    <row r="10304">
      <c r="A10304" s="86" t="str">
        <f>IFERROR(__xludf.DUMMYFUNCTION("""COMPUTED_VALUE"""),"")</f>
        <v/>
      </c>
      <c r="B10304" s="87"/>
      <c r="C10304" s="87"/>
      <c r="D10304" s="87"/>
      <c r="E10304" s="87"/>
      <c r="F10304" s="87"/>
      <c r="G10304" s="87"/>
    </row>
    <row r="10305">
      <c r="A10305" s="86" t="str">
        <f>IFERROR(__xludf.DUMMYFUNCTION("""COMPUTED_VALUE"""),"")</f>
        <v/>
      </c>
      <c r="B10305" s="87"/>
      <c r="C10305" s="87"/>
      <c r="D10305" s="87"/>
      <c r="E10305" s="87"/>
      <c r="F10305" s="87"/>
      <c r="G10305" s="87"/>
    </row>
    <row r="10306">
      <c r="A10306" s="86" t="str">
        <f>IFERROR(__xludf.DUMMYFUNCTION("""COMPUTED_VALUE"""),"")</f>
        <v/>
      </c>
      <c r="B10306" s="87"/>
      <c r="C10306" s="87"/>
      <c r="D10306" s="87"/>
      <c r="E10306" s="87"/>
      <c r="F10306" s="87"/>
      <c r="G10306" s="87"/>
    </row>
    <row r="10307">
      <c r="A10307" s="86" t="str">
        <f>IFERROR(__xludf.DUMMYFUNCTION("""COMPUTED_VALUE"""),"")</f>
        <v/>
      </c>
      <c r="B10307" s="87"/>
      <c r="C10307" s="87"/>
      <c r="D10307" s="87"/>
      <c r="E10307" s="87"/>
      <c r="F10307" s="87"/>
      <c r="G10307" s="87"/>
    </row>
    <row r="10308">
      <c r="A10308" s="86" t="str">
        <f>IFERROR(__xludf.DUMMYFUNCTION("""COMPUTED_VALUE"""),"")</f>
        <v/>
      </c>
      <c r="B10308" s="87"/>
      <c r="C10308" s="87"/>
      <c r="D10308" s="87"/>
      <c r="E10308" s="87"/>
      <c r="F10308" s="87"/>
      <c r="G10308" s="87"/>
    </row>
    <row r="10309">
      <c r="A10309" s="86" t="str">
        <f>IFERROR(__xludf.DUMMYFUNCTION("""COMPUTED_VALUE"""),"")</f>
        <v/>
      </c>
      <c r="B10309" s="87"/>
      <c r="C10309" s="87"/>
      <c r="D10309" s="87"/>
      <c r="E10309" s="87"/>
      <c r="F10309" s="87"/>
      <c r="G10309" s="87"/>
    </row>
    <row r="10310">
      <c r="A10310" s="86" t="str">
        <f>IFERROR(__xludf.DUMMYFUNCTION("""COMPUTED_VALUE"""),"")</f>
        <v/>
      </c>
      <c r="B10310" s="87"/>
      <c r="C10310" s="87"/>
      <c r="D10310" s="87"/>
      <c r="E10310" s="87"/>
      <c r="F10310" s="87"/>
      <c r="G10310" s="87"/>
    </row>
    <row r="10311">
      <c r="A10311" s="86" t="str">
        <f>IFERROR(__xludf.DUMMYFUNCTION("""COMPUTED_VALUE"""),"")</f>
        <v/>
      </c>
      <c r="B10311" s="87"/>
      <c r="C10311" s="87"/>
      <c r="D10311" s="87"/>
      <c r="E10311" s="87"/>
      <c r="F10311" s="87"/>
      <c r="G10311" s="87"/>
    </row>
    <row r="10312">
      <c r="A10312" s="86" t="str">
        <f>IFERROR(__xludf.DUMMYFUNCTION("""COMPUTED_VALUE"""),"")</f>
        <v/>
      </c>
      <c r="B10312" s="87"/>
      <c r="C10312" s="87"/>
      <c r="D10312" s="87"/>
      <c r="E10312" s="87"/>
      <c r="F10312" s="87"/>
      <c r="G10312" s="87"/>
    </row>
    <row r="10313">
      <c r="A10313" s="86" t="str">
        <f>IFERROR(__xludf.DUMMYFUNCTION("""COMPUTED_VALUE"""),"")</f>
        <v/>
      </c>
      <c r="B10313" s="87"/>
      <c r="C10313" s="87"/>
      <c r="D10313" s="87"/>
      <c r="E10313" s="87"/>
      <c r="F10313" s="87"/>
      <c r="G10313" s="87"/>
    </row>
    <row r="10314">
      <c r="A10314" s="86" t="str">
        <f>IFERROR(__xludf.DUMMYFUNCTION("""COMPUTED_VALUE"""),"")</f>
        <v/>
      </c>
      <c r="B10314" s="87"/>
      <c r="C10314" s="87"/>
      <c r="D10314" s="87"/>
      <c r="E10314" s="87"/>
      <c r="F10314" s="87"/>
      <c r="G10314" s="87"/>
    </row>
    <row r="10315">
      <c r="A10315" s="86" t="str">
        <f>IFERROR(__xludf.DUMMYFUNCTION("""COMPUTED_VALUE"""),"")</f>
        <v/>
      </c>
      <c r="B10315" s="87"/>
      <c r="C10315" s="87"/>
      <c r="D10315" s="87"/>
      <c r="E10315" s="87"/>
      <c r="F10315" s="87"/>
      <c r="G10315" s="87"/>
    </row>
    <row r="10316">
      <c r="A10316" s="86" t="str">
        <f>IFERROR(__xludf.DUMMYFUNCTION("""COMPUTED_VALUE"""),"")</f>
        <v/>
      </c>
      <c r="B10316" s="87"/>
      <c r="C10316" s="87"/>
      <c r="D10316" s="87"/>
      <c r="E10316" s="87"/>
      <c r="F10316" s="87"/>
      <c r="G10316" s="87"/>
    </row>
    <row r="10317">
      <c r="A10317" s="86" t="str">
        <f>IFERROR(__xludf.DUMMYFUNCTION("""COMPUTED_VALUE"""),"")</f>
        <v/>
      </c>
      <c r="B10317" s="87"/>
      <c r="C10317" s="87"/>
      <c r="D10317" s="87"/>
      <c r="E10317" s="87"/>
      <c r="F10317" s="87"/>
      <c r="G10317" s="87"/>
    </row>
    <row r="10318">
      <c r="A10318" s="86" t="str">
        <f>IFERROR(__xludf.DUMMYFUNCTION("""COMPUTED_VALUE"""),"")</f>
        <v/>
      </c>
      <c r="B10318" s="87"/>
      <c r="C10318" s="87"/>
      <c r="D10318" s="87"/>
      <c r="E10318" s="87"/>
      <c r="F10318" s="87"/>
      <c r="G10318" s="87"/>
    </row>
    <row r="10319">
      <c r="A10319" s="86" t="str">
        <f>IFERROR(__xludf.DUMMYFUNCTION("""COMPUTED_VALUE"""),"")</f>
        <v/>
      </c>
      <c r="B10319" s="87"/>
      <c r="C10319" s="87"/>
      <c r="D10319" s="87"/>
      <c r="E10319" s="87"/>
      <c r="F10319" s="87"/>
      <c r="G10319" s="87"/>
    </row>
    <row r="10320">
      <c r="A10320" s="86" t="str">
        <f>IFERROR(__xludf.DUMMYFUNCTION("""COMPUTED_VALUE"""),"")</f>
        <v/>
      </c>
      <c r="B10320" s="87"/>
      <c r="C10320" s="87"/>
      <c r="D10320" s="87"/>
      <c r="E10320" s="87"/>
      <c r="F10320" s="87"/>
      <c r="G10320" s="87"/>
    </row>
    <row r="10321">
      <c r="A10321" s="86" t="str">
        <f>IFERROR(__xludf.DUMMYFUNCTION("""COMPUTED_VALUE"""),"")</f>
        <v/>
      </c>
      <c r="B10321" s="87"/>
      <c r="C10321" s="87"/>
      <c r="D10321" s="87"/>
      <c r="E10321" s="87"/>
      <c r="F10321" s="87"/>
      <c r="G10321" s="87"/>
    </row>
    <row r="10322">
      <c r="A10322" s="86" t="str">
        <f>IFERROR(__xludf.DUMMYFUNCTION("""COMPUTED_VALUE"""),"")</f>
        <v/>
      </c>
      <c r="B10322" s="87"/>
      <c r="C10322" s="87"/>
      <c r="D10322" s="87"/>
      <c r="E10322" s="87"/>
      <c r="F10322" s="87"/>
      <c r="G10322" s="87"/>
    </row>
    <row r="10323">
      <c r="A10323" s="86" t="str">
        <f>IFERROR(__xludf.DUMMYFUNCTION("""COMPUTED_VALUE"""),"")</f>
        <v/>
      </c>
      <c r="B10323" s="87"/>
      <c r="C10323" s="87"/>
      <c r="D10323" s="87"/>
      <c r="E10323" s="87"/>
      <c r="F10323" s="87"/>
      <c r="G10323" s="87"/>
    </row>
    <row r="10324">
      <c r="A10324" s="86" t="str">
        <f>IFERROR(__xludf.DUMMYFUNCTION("""COMPUTED_VALUE"""),"")</f>
        <v/>
      </c>
      <c r="B10324" s="87"/>
      <c r="C10324" s="87"/>
      <c r="D10324" s="87"/>
      <c r="E10324" s="87"/>
      <c r="F10324" s="87"/>
      <c r="G10324" s="87"/>
    </row>
    <row r="10325">
      <c r="A10325" s="86" t="str">
        <f>IFERROR(__xludf.DUMMYFUNCTION("""COMPUTED_VALUE"""),"")</f>
        <v/>
      </c>
      <c r="B10325" s="87"/>
      <c r="C10325" s="87"/>
      <c r="D10325" s="87"/>
      <c r="E10325" s="87"/>
      <c r="F10325" s="87"/>
      <c r="G10325" s="87"/>
    </row>
    <row r="10326">
      <c r="A10326" s="86" t="str">
        <f>IFERROR(__xludf.DUMMYFUNCTION("""COMPUTED_VALUE"""),"")</f>
        <v/>
      </c>
      <c r="B10326" s="87"/>
      <c r="C10326" s="87"/>
      <c r="D10326" s="87"/>
      <c r="E10326" s="87"/>
      <c r="F10326" s="87"/>
      <c r="G10326" s="87"/>
    </row>
    <row r="10327">
      <c r="A10327" s="86" t="str">
        <f>IFERROR(__xludf.DUMMYFUNCTION("""COMPUTED_VALUE"""),"")</f>
        <v/>
      </c>
      <c r="B10327" s="87"/>
      <c r="C10327" s="87"/>
      <c r="D10327" s="87"/>
      <c r="E10327" s="87"/>
      <c r="F10327" s="87"/>
      <c r="G10327" s="87"/>
    </row>
    <row r="10328">
      <c r="A10328" s="86" t="str">
        <f>IFERROR(__xludf.DUMMYFUNCTION("""COMPUTED_VALUE"""),"")</f>
        <v/>
      </c>
      <c r="B10328" s="87"/>
      <c r="C10328" s="87"/>
      <c r="D10328" s="87"/>
      <c r="E10328" s="87"/>
      <c r="F10328" s="87"/>
      <c r="G10328" s="87"/>
    </row>
    <row r="10329">
      <c r="A10329" s="86" t="str">
        <f>IFERROR(__xludf.DUMMYFUNCTION("""COMPUTED_VALUE"""),"")</f>
        <v/>
      </c>
      <c r="B10329" s="87"/>
      <c r="C10329" s="87"/>
      <c r="D10329" s="87"/>
      <c r="E10329" s="87"/>
      <c r="F10329" s="87"/>
      <c r="G10329" s="87"/>
    </row>
    <row r="10330">
      <c r="A10330" s="86" t="str">
        <f>IFERROR(__xludf.DUMMYFUNCTION("""COMPUTED_VALUE"""),"")</f>
        <v/>
      </c>
      <c r="B10330" s="87"/>
      <c r="C10330" s="87"/>
      <c r="D10330" s="87"/>
      <c r="E10330" s="87"/>
      <c r="F10330" s="87"/>
      <c r="G10330" s="87"/>
    </row>
    <row r="10331">
      <c r="A10331" s="86" t="str">
        <f>IFERROR(__xludf.DUMMYFUNCTION("""COMPUTED_VALUE"""),"")</f>
        <v/>
      </c>
      <c r="B10331" s="87"/>
      <c r="C10331" s="87"/>
      <c r="D10331" s="87"/>
      <c r="E10331" s="87"/>
      <c r="F10331" s="87"/>
      <c r="G10331" s="87"/>
    </row>
    <row r="10332">
      <c r="A10332" s="86" t="str">
        <f>IFERROR(__xludf.DUMMYFUNCTION("""COMPUTED_VALUE"""),"")</f>
        <v/>
      </c>
      <c r="B10332" s="87"/>
      <c r="C10332" s="87"/>
      <c r="D10332" s="87"/>
      <c r="E10332" s="87"/>
      <c r="F10332" s="87"/>
      <c r="G10332" s="87"/>
    </row>
    <row r="10333">
      <c r="A10333" s="86" t="str">
        <f>IFERROR(__xludf.DUMMYFUNCTION("""COMPUTED_VALUE"""),"")</f>
        <v/>
      </c>
      <c r="B10333" s="87"/>
      <c r="C10333" s="87"/>
      <c r="D10333" s="87"/>
      <c r="E10333" s="87"/>
      <c r="F10333" s="87"/>
      <c r="G10333" s="87"/>
    </row>
    <row r="10334">
      <c r="A10334" s="86" t="str">
        <f>IFERROR(__xludf.DUMMYFUNCTION("""COMPUTED_VALUE"""),"")</f>
        <v/>
      </c>
      <c r="B10334" s="87"/>
      <c r="C10334" s="87"/>
      <c r="D10334" s="87"/>
      <c r="E10334" s="87"/>
      <c r="F10334" s="87"/>
      <c r="G10334" s="87"/>
    </row>
    <row r="10335">
      <c r="A10335" s="86" t="str">
        <f>IFERROR(__xludf.DUMMYFUNCTION("""COMPUTED_VALUE"""),"")</f>
        <v/>
      </c>
      <c r="B10335" s="87"/>
      <c r="C10335" s="87"/>
      <c r="D10335" s="87"/>
      <c r="E10335" s="87"/>
      <c r="F10335" s="87"/>
      <c r="G10335" s="87"/>
    </row>
    <row r="10336">
      <c r="A10336" s="86" t="str">
        <f>IFERROR(__xludf.DUMMYFUNCTION("""COMPUTED_VALUE"""),"")</f>
        <v/>
      </c>
      <c r="B10336" s="87"/>
      <c r="C10336" s="87"/>
      <c r="D10336" s="87"/>
      <c r="E10336" s="87"/>
      <c r="F10336" s="87"/>
      <c r="G10336" s="87"/>
    </row>
    <row r="10337">
      <c r="A10337" s="86" t="str">
        <f>IFERROR(__xludf.DUMMYFUNCTION("""COMPUTED_VALUE"""),"")</f>
        <v/>
      </c>
      <c r="B10337" s="87"/>
      <c r="C10337" s="87"/>
      <c r="D10337" s="87"/>
      <c r="E10337" s="87"/>
      <c r="F10337" s="87"/>
      <c r="G10337" s="87"/>
    </row>
    <row r="10338">
      <c r="A10338" s="86" t="str">
        <f>IFERROR(__xludf.DUMMYFUNCTION("""COMPUTED_VALUE"""),"")</f>
        <v/>
      </c>
      <c r="B10338" s="87"/>
      <c r="C10338" s="87"/>
      <c r="D10338" s="87"/>
      <c r="E10338" s="87"/>
      <c r="F10338" s="87"/>
      <c r="G10338" s="87"/>
    </row>
    <row r="10339">
      <c r="A10339" s="86" t="str">
        <f>IFERROR(__xludf.DUMMYFUNCTION("""COMPUTED_VALUE"""),"")</f>
        <v/>
      </c>
      <c r="B10339" s="87"/>
      <c r="C10339" s="87"/>
      <c r="D10339" s="87"/>
      <c r="E10339" s="87"/>
      <c r="F10339" s="87"/>
      <c r="G10339" s="87"/>
    </row>
    <row r="10340">
      <c r="A10340" s="86" t="str">
        <f>IFERROR(__xludf.DUMMYFUNCTION("""COMPUTED_VALUE"""),"")</f>
        <v/>
      </c>
      <c r="B10340" s="87"/>
      <c r="C10340" s="87"/>
      <c r="D10340" s="87"/>
      <c r="E10340" s="87"/>
      <c r="F10340" s="87"/>
      <c r="G10340" s="87"/>
    </row>
    <row r="10341">
      <c r="A10341" s="86" t="str">
        <f>IFERROR(__xludf.DUMMYFUNCTION("""COMPUTED_VALUE"""),"")</f>
        <v/>
      </c>
      <c r="B10341" s="87"/>
      <c r="C10341" s="87"/>
      <c r="D10341" s="87"/>
      <c r="E10341" s="87"/>
      <c r="F10341" s="87"/>
      <c r="G10341" s="87"/>
    </row>
    <row r="10342">
      <c r="A10342" s="86" t="str">
        <f>IFERROR(__xludf.DUMMYFUNCTION("""COMPUTED_VALUE"""),"")</f>
        <v/>
      </c>
      <c r="B10342" s="87"/>
      <c r="C10342" s="87"/>
      <c r="D10342" s="87"/>
      <c r="E10342" s="87"/>
      <c r="F10342" s="87"/>
      <c r="G10342" s="87"/>
    </row>
    <row r="10343">
      <c r="A10343" s="86" t="str">
        <f>IFERROR(__xludf.DUMMYFUNCTION("""COMPUTED_VALUE"""),"")</f>
        <v/>
      </c>
      <c r="B10343" s="87"/>
      <c r="C10343" s="87"/>
      <c r="D10343" s="87"/>
      <c r="E10343" s="87"/>
      <c r="F10343" s="87"/>
      <c r="G10343" s="87"/>
    </row>
    <row r="10344">
      <c r="A10344" s="86" t="str">
        <f>IFERROR(__xludf.DUMMYFUNCTION("""COMPUTED_VALUE"""),"")</f>
        <v/>
      </c>
      <c r="B10344" s="87"/>
      <c r="C10344" s="87"/>
      <c r="D10344" s="87"/>
      <c r="E10344" s="87"/>
      <c r="F10344" s="87"/>
      <c r="G10344" s="87"/>
    </row>
    <row r="10345">
      <c r="A10345" s="86" t="str">
        <f>IFERROR(__xludf.DUMMYFUNCTION("""COMPUTED_VALUE"""),"")</f>
        <v/>
      </c>
      <c r="B10345" s="87"/>
      <c r="C10345" s="87"/>
      <c r="D10345" s="87"/>
      <c r="E10345" s="87"/>
      <c r="F10345" s="87"/>
      <c r="G10345" s="87"/>
    </row>
    <row r="10346">
      <c r="A10346" s="86" t="str">
        <f>IFERROR(__xludf.DUMMYFUNCTION("""COMPUTED_VALUE"""),"")</f>
        <v/>
      </c>
      <c r="B10346" s="87"/>
      <c r="C10346" s="87"/>
      <c r="D10346" s="87"/>
      <c r="E10346" s="87"/>
      <c r="F10346" s="87"/>
      <c r="G10346" s="87"/>
    </row>
    <row r="10347">
      <c r="A10347" s="86" t="str">
        <f>IFERROR(__xludf.DUMMYFUNCTION("""COMPUTED_VALUE"""),"")</f>
        <v/>
      </c>
      <c r="B10347" s="87"/>
      <c r="C10347" s="87"/>
      <c r="D10347" s="87"/>
      <c r="E10347" s="87"/>
      <c r="F10347" s="87"/>
      <c r="G10347" s="87"/>
    </row>
    <row r="10348">
      <c r="A10348" s="86" t="str">
        <f>IFERROR(__xludf.DUMMYFUNCTION("""COMPUTED_VALUE"""),"")</f>
        <v/>
      </c>
      <c r="B10348" s="87"/>
      <c r="C10348" s="87"/>
      <c r="D10348" s="87"/>
      <c r="E10348" s="87"/>
      <c r="F10348" s="87"/>
      <c r="G10348" s="87"/>
    </row>
    <row r="10349">
      <c r="A10349" s="86" t="str">
        <f>IFERROR(__xludf.DUMMYFUNCTION("""COMPUTED_VALUE"""),"")</f>
        <v/>
      </c>
      <c r="B10349" s="87"/>
      <c r="C10349" s="87"/>
      <c r="D10349" s="87"/>
      <c r="E10349" s="87"/>
      <c r="F10349" s="87"/>
      <c r="G10349" s="87"/>
    </row>
    <row r="10350">
      <c r="A10350" s="86" t="str">
        <f>IFERROR(__xludf.DUMMYFUNCTION("""COMPUTED_VALUE"""),"")</f>
        <v/>
      </c>
      <c r="B10350" s="87"/>
      <c r="C10350" s="87"/>
      <c r="D10350" s="87"/>
      <c r="E10350" s="87"/>
      <c r="F10350" s="87"/>
      <c r="G10350" s="87"/>
    </row>
    <row r="10351">
      <c r="A10351" s="86" t="str">
        <f>IFERROR(__xludf.DUMMYFUNCTION("""COMPUTED_VALUE"""),"")</f>
        <v/>
      </c>
      <c r="B10351" s="87"/>
      <c r="C10351" s="87"/>
      <c r="D10351" s="87"/>
      <c r="E10351" s="87"/>
      <c r="F10351" s="87"/>
      <c r="G10351" s="87"/>
    </row>
    <row r="10352">
      <c r="A10352" s="86" t="str">
        <f>IFERROR(__xludf.DUMMYFUNCTION("""COMPUTED_VALUE"""),"")</f>
        <v/>
      </c>
      <c r="B10352" s="87"/>
      <c r="C10352" s="87"/>
      <c r="D10352" s="87"/>
      <c r="E10352" s="87"/>
      <c r="F10352" s="87"/>
      <c r="G10352" s="87"/>
    </row>
    <row r="10353">
      <c r="A10353" s="86" t="str">
        <f>IFERROR(__xludf.DUMMYFUNCTION("""COMPUTED_VALUE"""),"")</f>
        <v/>
      </c>
      <c r="B10353" s="87"/>
      <c r="C10353" s="87"/>
      <c r="D10353" s="87"/>
      <c r="E10353" s="87"/>
      <c r="F10353" s="87"/>
      <c r="G10353" s="87"/>
    </row>
    <row r="10354">
      <c r="A10354" s="86" t="str">
        <f>IFERROR(__xludf.DUMMYFUNCTION("""COMPUTED_VALUE"""),"")</f>
        <v/>
      </c>
      <c r="B10354" s="87"/>
      <c r="C10354" s="87"/>
      <c r="D10354" s="87"/>
      <c r="E10354" s="87"/>
      <c r="F10354" s="87"/>
      <c r="G10354" s="87"/>
    </row>
    <row r="10355">
      <c r="A10355" s="86" t="str">
        <f>IFERROR(__xludf.DUMMYFUNCTION("""COMPUTED_VALUE"""),"")</f>
        <v/>
      </c>
      <c r="B10355" s="87"/>
      <c r="C10355" s="87"/>
      <c r="D10355" s="87"/>
      <c r="E10355" s="87"/>
      <c r="F10355" s="87"/>
      <c r="G10355" s="87"/>
    </row>
    <row r="10356">
      <c r="A10356" s="86" t="str">
        <f>IFERROR(__xludf.DUMMYFUNCTION("""COMPUTED_VALUE"""),"")</f>
        <v/>
      </c>
      <c r="B10356" s="87"/>
      <c r="C10356" s="87"/>
      <c r="D10356" s="87"/>
      <c r="E10356" s="87"/>
      <c r="F10356" s="87"/>
      <c r="G10356" s="87"/>
    </row>
    <row r="10357">
      <c r="A10357" s="86" t="str">
        <f>IFERROR(__xludf.DUMMYFUNCTION("""COMPUTED_VALUE"""),"")</f>
        <v/>
      </c>
      <c r="B10357" s="87"/>
      <c r="C10357" s="87"/>
      <c r="D10357" s="87"/>
      <c r="E10357" s="87"/>
      <c r="F10357" s="87"/>
      <c r="G10357" s="87"/>
    </row>
    <row r="10358">
      <c r="A10358" s="86" t="str">
        <f>IFERROR(__xludf.DUMMYFUNCTION("""COMPUTED_VALUE"""),"")</f>
        <v/>
      </c>
      <c r="B10358" s="87"/>
      <c r="C10358" s="87"/>
      <c r="D10358" s="87"/>
      <c r="E10358" s="87"/>
      <c r="F10358" s="87"/>
      <c r="G10358" s="87"/>
    </row>
    <row r="10359">
      <c r="A10359" s="86" t="str">
        <f>IFERROR(__xludf.DUMMYFUNCTION("""COMPUTED_VALUE"""),"")</f>
        <v/>
      </c>
      <c r="B10359" s="87"/>
      <c r="C10359" s="87"/>
      <c r="D10359" s="87"/>
      <c r="E10359" s="87"/>
      <c r="F10359" s="87"/>
      <c r="G10359" s="87"/>
    </row>
    <row r="10360">
      <c r="A10360" s="86" t="str">
        <f>IFERROR(__xludf.DUMMYFUNCTION("""COMPUTED_VALUE"""),"")</f>
        <v/>
      </c>
      <c r="B10360" s="87"/>
      <c r="C10360" s="87"/>
      <c r="D10360" s="87"/>
      <c r="E10360" s="87"/>
      <c r="F10360" s="87"/>
      <c r="G10360" s="87"/>
    </row>
    <row r="10361">
      <c r="A10361" s="86" t="str">
        <f>IFERROR(__xludf.DUMMYFUNCTION("""COMPUTED_VALUE"""),"")</f>
        <v/>
      </c>
      <c r="B10361" s="87"/>
      <c r="C10361" s="87"/>
      <c r="D10361" s="87"/>
      <c r="E10361" s="87"/>
      <c r="F10361" s="87"/>
      <c r="G10361" s="87"/>
    </row>
    <row r="10362">
      <c r="A10362" s="86" t="str">
        <f>IFERROR(__xludf.DUMMYFUNCTION("""COMPUTED_VALUE"""),"")</f>
        <v/>
      </c>
      <c r="B10362" s="87"/>
      <c r="C10362" s="87"/>
      <c r="D10362" s="87"/>
      <c r="E10362" s="87"/>
      <c r="F10362" s="87"/>
      <c r="G10362" s="87"/>
    </row>
    <row r="10363">
      <c r="A10363" s="86" t="str">
        <f>IFERROR(__xludf.DUMMYFUNCTION("""COMPUTED_VALUE"""),"")</f>
        <v/>
      </c>
      <c r="B10363" s="87"/>
      <c r="C10363" s="87"/>
      <c r="D10363" s="87"/>
      <c r="E10363" s="87"/>
      <c r="F10363" s="87"/>
      <c r="G10363" s="87"/>
    </row>
    <row r="10364">
      <c r="A10364" s="86" t="str">
        <f>IFERROR(__xludf.DUMMYFUNCTION("""COMPUTED_VALUE"""),"")</f>
        <v/>
      </c>
      <c r="B10364" s="87"/>
      <c r="C10364" s="87"/>
      <c r="D10364" s="87"/>
      <c r="E10364" s="87"/>
      <c r="F10364" s="87"/>
      <c r="G10364" s="87"/>
    </row>
    <row r="10365">
      <c r="A10365" s="86" t="str">
        <f>IFERROR(__xludf.DUMMYFUNCTION("""COMPUTED_VALUE"""),"")</f>
        <v/>
      </c>
      <c r="B10365" s="87"/>
      <c r="C10365" s="87"/>
      <c r="D10365" s="87"/>
      <c r="E10365" s="87"/>
      <c r="F10365" s="87"/>
      <c r="G10365" s="87"/>
    </row>
    <row r="10366">
      <c r="A10366" s="86" t="str">
        <f>IFERROR(__xludf.DUMMYFUNCTION("""COMPUTED_VALUE"""),"")</f>
        <v/>
      </c>
      <c r="B10366" s="87"/>
      <c r="C10366" s="87"/>
      <c r="D10366" s="87"/>
      <c r="E10366" s="87"/>
      <c r="F10366" s="87"/>
      <c r="G10366" s="87"/>
    </row>
    <row r="10367">
      <c r="A10367" s="86" t="str">
        <f>IFERROR(__xludf.DUMMYFUNCTION("""COMPUTED_VALUE"""),"")</f>
        <v/>
      </c>
      <c r="B10367" s="87"/>
      <c r="C10367" s="87"/>
      <c r="D10367" s="87"/>
      <c r="E10367" s="87"/>
      <c r="F10367" s="87"/>
      <c r="G10367" s="87"/>
    </row>
    <row r="10368">
      <c r="A10368" s="86" t="str">
        <f>IFERROR(__xludf.DUMMYFUNCTION("""COMPUTED_VALUE"""),"")</f>
        <v/>
      </c>
      <c r="B10368" s="87"/>
      <c r="C10368" s="87"/>
      <c r="D10368" s="87"/>
      <c r="E10368" s="87"/>
      <c r="F10368" s="87"/>
      <c r="G10368" s="87"/>
    </row>
    <row r="10369">
      <c r="A10369" s="86" t="str">
        <f>IFERROR(__xludf.DUMMYFUNCTION("""COMPUTED_VALUE"""),"")</f>
        <v/>
      </c>
      <c r="B10369" s="87"/>
      <c r="C10369" s="87"/>
      <c r="D10369" s="87"/>
      <c r="E10369" s="87"/>
      <c r="F10369" s="87"/>
      <c r="G10369" s="87"/>
    </row>
    <row r="10370">
      <c r="A10370" s="86" t="str">
        <f>IFERROR(__xludf.DUMMYFUNCTION("""COMPUTED_VALUE"""),"")</f>
        <v/>
      </c>
      <c r="B10370" s="87"/>
      <c r="C10370" s="87"/>
      <c r="D10370" s="87"/>
      <c r="E10370" s="87"/>
      <c r="F10370" s="87"/>
      <c r="G10370" s="87"/>
    </row>
    <row r="10371">
      <c r="A10371" s="86" t="str">
        <f>IFERROR(__xludf.DUMMYFUNCTION("""COMPUTED_VALUE"""),"")</f>
        <v/>
      </c>
      <c r="B10371" s="87"/>
      <c r="C10371" s="87"/>
      <c r="D10371" s="87"/>
      <c r="E10371" s="87"/>
      <c r="F10371" s="87"/>
      <c r="G10371" s="87"/>
    </row>
    <row r="10372">
      <c r="A10372" s="86" t="str">
        <f>IFERROR(__xludf.DUMMYFUNCTION("""COMPUTED_VALUE"""),"")</f>
        <v/>
      </c>
      <c r="B10372" s="87"/>
      <c r="C10372" s="87"/>
      <c r="D10372" s="87"/>
      <c r="E10372" s="87"/>
      <c r="F10372" s="87"/>
      <c r="G10372" s="87"/>
    </row>
    <row r="10373">
      <c r="A10373" s="86" t="str">
        <f>IFERROR(__xludf.DUMMYFUNCTION("""COMPUTED_VALUE"""),"")</f>
        <v/>
      </c>
      <c r="B10373" s="87"/>
      <c r="C10373" s="87"/>
      <c r="D10373" s="87"/>
      <c r="E10373" s="87"/>
      <c r="F10373" s="87"/>
      <c r="G10373" s="87"/>
    </row>
    <row r="10374">
      <c r="A10374" s="86" t="str">
        <f>IFERROR(__xludf.DUMMYFUNCTION("""COMPUTED_VALUE"""),"")</f>
        <v/>
      </c>
      <c r="B10374" s="87"/>
      <c r="C10374" s="87"/>
      <c r="D10374" s="87"/>
      <c r="E10374" s="87"/>
      <c r="F10374" s="87"/>
      <c r="G10374" s="87"/>
    </row>
    <row r="10375">
      <c r="A10375" s="86" t="str">
        <f>IFERROR(__xludf.DUMMYFUNCTION("""COMPUTED_VALUE"""),"")</f>
        <v/>
      </c>
      <c r="B10375" s="87"/>
      <c r="C10375" s="87"/>
      <c r="D10375" s="87"/>
      <c r="E10375" s="87"/>
      <c r="F10375" s="87"/>
      <c r="G10375" s="87"/>
    </row>
    <row r="10376">
      <c r="A10376" s="86" t="str">
        <f>IFERROR(__xludf.DUMMYFUNCTION("""COMPUTED_VALUE"""),"")</f>
        <v/>
      </c>
      <c r="B10376" s="87"/>
      <c r="C10376" s="87"/>
      <c r="D10376" s="87"/>
      <c r="E10376" s="87"/>
      <c r="F10376" s="87"/>
      <c r="G10376" s="87"/>
    </row>
    <row r="10377">
      <c r="A10377" s="86" t="str">
        <f>IFERROR(__xludf.DUMMYFUNCTION("""COMPUTED_VALUE"""),"")</f>
        <v/>
      </c>
      <c r="B10377" s="87"/>
      <c r="C10377" s="87"/>
      <c r="D10377" s="87"/>
      <c r="E10377" s="87"/>
      <c r="F10377" s="87"/>
      <c r="G10377" s="87"/>
    </row>
    <row r="10378">
      <c r="A10378" s="86" t="str">
        <f>IFERROR(__xludf.DUMMYFUNCTION("""COMPUTED_VALUE"""),"")</f>
        <v/>
      </c>
      <c r="B10378" s="87"/>
      <c r="C10378" s="87"/>
      <c r="D10378" s="87"/>
      <c r="E10378" s="87"/>
      <c r="F10378" s="87"/>
      <c r="G10378" s="87"/>
    </row>
    <row r="10379">
      <c r="A10379" s="86" t="str">
        <f>IFERROR(__xludf.DUMMYFUNCTION("""COMPUTED_VALUE"""),"")</f>
        <v/>
      </c>
      <c r="B10379" s="87"/>
      <c r="C10379" s="87"/>
      <c r="D10379" s="87"/>
      <c r="E10379" s="87"/>
      <c r="F10379" s="87"/>
      <c r="G10379" s="87"/>
    </row>
    <row r="10380">
      <c r="A10380" s="86" t="str">
        <f>IFERROR(__xludf.DUMMYFUNCTION("""COMPUTED_VALUE"""),"")</f>
        <v/>
      </c>
      <c r="B10380" s="87"/>
      <c r="C10380" s="87"/>
      <c r="D10380" s="87"/>
      <c r="E10380" s="87"/>
      <c r="F10380" s="87"/>
      <c r="G10380" s="87"/>
    </row>
    <row r="10381">
      <c r="A10381" s="86" t="str">
        <f>IFERROR(__xludf.DUMMYFUNCTION("""COMPUTED_VALUE"""),"")</f>
        <v/>
      </c>
      <c r="B10381" s="87"/>
      <c r="C10381" s="87"/>
      <c r="D10381" s="87"/>
      <c r="E10381" s="87"/>
      <c r="F10381" s="87"/>
      <c r="G10381" s="87"/>
    </row>
    <row r="10382">
      <c r="A10382" s="86" t="str">
        <f>IFERROR(__xludf.DUMMYFUNCTION("""COMPUTED_VALUE"""),"")</f>
        <v/>
      </c>
      <c r="B10382" s="87"/>
      <c r="C10382" s="87"/>
      <c r="D10382" s="87"/>
      <c r="E10382" s="87"/>
      <c r="F10382" s="87"/>
      <c r="G10382" s="87"/>
    </row>
    <row r="10383">
      <c r="A10383" s="86" t="str">
        <f>IFERROR(__xludf.DUMMYFUNCTION("""COMPUTED_VALUE"""),"")</f>
        <v/>
      </c>
      <c r="B10383" s="87"/>
      <c r="C10383" s="87"/>
      <c r="D10383" s="87"/>
      <c r="E10383" s="87"/>
      <c r="F10383" s="87"/>
      <c r="G10383" s="87"/>
    </row>
    <row r="10384">
      <c r="A10384" s="86" t="str">
        <f>IFERROR(__xludf.DUMMYFUNCTION("""COMPUTED_VALUE"""),"")</f>
        <v/>
      </c>
      <c r="B10384" s="87"/>
      <c r="C10384" s="87"/>
      <c r="D10384" s="87"/>
      <c r="E10384" s="87"/>
      <c r="F10384" s="87"/>
      <c r="G10384" s="87"/>
    </row>
    <row r="10385">
      <c r="A10385" s="86" t="str">
        <f>IFERROR(__xludf.DUMMYFUNCTION("""COMPUTED_VALUE"""),"")</f>
        <v/>
      </c>
      <c r="B10385" s="87"/>
      <c r="C10385" s="87"/>
      <c r="D10385" s="87"/>
      <c r="E10385" s="87"/>
      <c r="F10385" s="87"/>
      <c r="G10385" s="87"/>
    </row>
    <row r="10386">
      <c r="A10386" s="86" t="str">
        <f>IFERROR(__xludf.DUMMYFUNCTION("""COMPUTED_VALUE"""),"")</f>
        <v/>
      </c>
      <c r="B10386" s="87"/>
      <c r="C10386" s="87"/>
      <c r="D10386" s="87"/>
      <c r="E10386" s="87"/>
      <c r="F10386" s="87"/>
      <c r="G10386" s="87"/>
    </row>
    <row r="10387">
      <c r="A10387" s="86" t="str">
        <f>IFERROR(__xludf.DUMMYFUNCTION("""COMPUTED_VALUE"""),"")</f>
        <v/>
      </c>
      <c r="B10387" s="87"/>
      <c r="C10387" s="87"/>
      <c r="D10387" s="87"/>
      <c r="E10387" s="87"/>
      <c r="F10387" s="87"/>
      <c r="G10387" s="87"/>
    </row>
    <row r="10388">
      <c r="A10388" s="86" t="str">
        <f>IFERROR(__xludf.DUMMYFUNCTION("""COMPUTED_VALUE"""),"")</f>
        <v/>
      </c>
      <c r="B10388" s="87"/>
      <c r="C10388" s="87"/>
      <c r="D10388" s="87"/>
      <c r="E10388" s="87"/>
      <c r="F10388" s="87"/>
      <c r="G10388" s="87"/>
    </row>
    <row r="10389">
      <c r="A10389" s="86" t="str">
        <f>IFERROR(__xludf.DUMMYFUNCTION("""COMPUTED_VALUE"""),"")</f>
        <v/>
      </c>
      <c r="B10389" s="87"/>
      <c r="C10389" s="87"/>
      <c r="D10389" s="87"/>
      <c r="E10389" s="87"/>
      <c r="F10389" s="87"/>
      <c r="G10389" s="87"/>
    </row>
    <row r="10390">
      <c r="A10390" s="86" t="str">
        <f>IFERROR(__xludf.DUMMYFUNCTION("""COMPUTED_VALUE"""),"")</f>
        <v/>
      </c>
      <c r="B10390" s="87"/>
      <c r="C10390" s="87"/>
      <c r="D10390" s="87"/>
      <c r="E10390" s="87"/>
      <c r="F10390" s="87"/>
      <c r="G10390" s="87"/>
    </row>
    <row r="10391">
      <c r="A10391" s="86" t="str">
        <f>IFERROR(__xludf.DUMMYFUNCTION("""COMPUTED_VALUE"""),"")</f>
        <v/>
      </c>
      <c r="B10391" s="87"/>
      <c r="C10391" s="87"/>
      <c r="D10391" s="87"/>
      <c r="E10391" s="87"/>
      <c r="F10391" s="87"/>
      <c r="G10391" s="87"/>
    </row>
    <row r="10392">
      <c r="A10392" s="86" t="str">
        <f>IFERROR(__xludf.DUMMYFUNCTION("""COMPUTED_VALUE"""),"")</f>
        <v/>
      </c>
      <c r="B10392" s="87"/>
      <c r="C10392" s="87"/>
      <c r="D10392" s="87"/>
      <c r="E10392" s="87"/>
      <c r="F10392" s="87"/>
      <c r="G10392" s="87"/>
    </row>
    <row r="10393">
      <c r="A10393" s="86" t="str">
        <f>IFERROR(__xludf.DUMMYFUNCTION("""COMPUTED_VALUE"""),"")</f>
        <v/>
      </c>
      <c r="B10393" s="87"/>
      <c r="C10393" s="87"/>
      <c r="D10393" s="87"/>
      <c r="E10393" s="87"/>
      <c r="F10393" s="87"/>
      <c r="G10393" s="87"/>
    </row>
    <row r="10394">
      <c r="A10394" s="86" t="str">
        <f>IFERROR(__xludf.DUMMYFUNCTION("""COMPUTED_VALUE"""),"")</f>
        <v/>
      </c>
      <c r="B10394" s="87"/>
      <c r="C10394" s="87"/>
      <c r="D10394" s="87"/>
      <c r="E10394" s="87"/>
      <c r="F10394" s="87"/>
      <c r="G10394" s="87"/>
    </row>
    <row r="10395">
      <c r="A10395" s="86" t="str">
        <f>IFERROR(__xludf.DUMMYFUNCTION("""COMPUTED_VALUE"""),"")</f>
        <v/>
      </c>
      <c r="B10395" s="87"/>
      <c r="C10395" s="87"/>
      <c r="D10395" s="87"/>
      <c r="E10395" s="87"/>
      <c r="F10395" s="87"/>
      <c r="G10395" s="87"/>
    </row>
    <row r="10396">
      <c r="A10396" s="86" t="str">
        <f>IFERROR(__xludf.DUMMYFUNCTION("""COMPUTED_VALUE"""),"")</f>
        <v/>
      </c>
      <c r="B10396" s="87"/>
      <c r="C10396" s="87"/>
      <c r="D10396" s="87"/>
      <c r="E10396" s="87"/>
      <c r="F10396" s="87"/>
      <c r="G10396" s="87"/>
    </row>
    <row r="10397">
      <c r="A10397" s="86" t="str">
        <f>IFERROR(__xludf.DUMMYFUNCTION("""COMPUTED_VALUE"""),"")</f>
        <v/>
      </c>
      <c r="B10397" s="87"/>
      <c r="C10397" s="87"/>
      <c r="D10397" s="87"/>
      <c r="E10397" s="87"/>
      <c r="F10397" s="87"/>
      <c r="G10397" s="87"/>
    </row>
    <row r="10398">
      <c r="A10398" s="86" t="str">
        <f>IFERROR(__xludf.DUMMYFUNCTION("""COMPUTED_VALUE"""),"")</f>
        <v/>
      </c>
      <c r="B10398" s="87"/>
      <c r="C10398" s="87"/>
      <c r="D10398" s="87"/>
      <c r="E10398" s="87"/>
      <c r="F10398" s="87"/>
      <c r="G10398" s="87"/>
    </row>
    <row r="10399">
      <c r="A10399" s="86" t="str">
        <f>IFERROR(__xludf.DUMMYFUNCTION("""COMPUTED_VALUE"""),"")</f>
        <v/>
      </c>
      <c r="B10399" s="87"/>
      <c r="C10399" s="87"/>
      <c r="D10399" s="87"/>
      <c r="E10399" s="87"/>
      <c r="F10399" s="87"/>
      <c r="G10399" s="87"/>
    </row>
    <row r="10400">
      <c r="A10400" s="86" t="str">
        <f>IFERROR(__xludf.DUMMYFUNCTION("""COMPUTED_VALUE"""),"")</f>
        <v/>
      </c>
      <c r="B10400" s="87"/>
      <c r="C10400" s="87"/>
      <c r="D10400" s="87"/>
      <c r="E10400" s="87"/>
      <c r="F10400" s="87"/>
      <c r="G10400" s="87"/>
    </row>
    <row r="10401">
      <c r="A10401" s="86" t="str">
        <f>IFERROR(__xludf.DUMMYFUNCTION("""COMPUTED_VALUE"""),"")</f>
        <v/>
      </c>
      <c r="B10401" s="87"/>
      <c r="C10401" s="87"/>
      <c r="D10401" s="87"/>
      <c r="E10401" s="87"/>
      <c r="F10401" s="87"/>
      <c r="G10401" s="87"/>
    </row>
    <row r="10402">
      <c r="A10402" s="86" t="str">
        <f>IFERROR(__xludf.DUMMYFUNCTION("""COMPUTED_VALUE"""),"")</f>
        <v/>
      </c>
      <c r="B10402" s="87"/>
      <c r="C10402" s="87"/>
      <c r="D10402" s="87"/>
      <c r="E10402" s="87"/>
      <c r="F10402" s="87"/>
      <c r="G10402" s="87"/>
    </row>
    <row r="10403">
      <c r="A10403" s="86" t="str">
        <f>IFERROR(__xludf.DUMMYFUNCTION("""COMPUTED_VALUE"""),"")</f>
        <v/>
      </c>
      <c r="B10403" s="87"/>
      <c r="C10403" s="87"/>
      <c r="D10403" s="87"/>
      <c r="E10403" s="87"/>
      <c r="F10403" s="87"/>
      <c r="G10403" s="87"/>
    </row>
    <row r="10404">
      <c r="A10404" s="86" t="str">
        <f>IFERROR(__xludf.DUMMYFUNCTION("""COMPUTED_VALUE"""),"")</f>
        <v/>
      </c>
      <c r="B10404" s="87"/>
      <c r="C10404" s="87"/>
      <c r="D10404" s="87"/>
      <c r="E10404" s="87"/>
      <c r="F10404" s="87"/>
      <c r="G10404" s="87"/>
    </row>
    <row r="10405">
      <c r="A10405" s="86" t="str">
        <f>IFERROR(__xludf.DUMMYFUNCTION("""COMPUTED_VALUE"""),"")</f>
        <v/>
      </c>
      <c r="B10405" s="87"/>
      <c r="C10405" s="87"/>
      <c r="D10405" s="87"/>
      <c r="E10405" s="87"/>
      <c r="F10405" s="87"/>
      <c r="G10405" s="87"/>
    </row>
    <row r="10406">
      <c r="A10406" s="86" t="str">
        <f>IFERROR(__xludf.DUMMYFUNCTION("""COMPUTED_VALUE"""),"")</f>
        <v/>
      </c>
      <c r="B10406" s="87"/>
      <c r="C10406" s="87"/>
      <c r="D10406" s="87"/>
      <c r="E10406" s="87"/>
      <c r="F10406" s="87"/>
      <c r="G10406" s="87"/>
    </row>
    <row r="10407">
      <c r="A10407" s="86" t="str">
        <f>IFERROR(__xludf.DUMMYFUNCTION("""COMPUTED_VALUE"""),"")</f>
        <v/>
      </c>
      <c r="B10407" s="87"/>
      <c r="C10407" s="87"/>
      <c r="D10407" s="87"/>
      <c r="E10407" s="87"/>
      <c r="F10407" s="87"/>
      <c r="G10407" s="87"/>
    </row>
    <row r="10408">
      <c r="A10408" s="86" t="str">
        <f>IFERROR(__xludf.DUMMYFUNCTION("""COMPUTED_VALUE"""),"")</f>
        <v/>
      </c>
      <c r="B10408" s="87"/>
      <c r="C10408" s="87"/>
      <c r="D10408" s="87"/>
      <c r="E10408" s="87"/>
      <c r="F10408" s="87"/>
      <c r="G10408" s="87"/>
    </row>
    <row r="10409">
      <c r="A10409" s="86" t="str">
        <f>IFERROR(__xludf.DUMMYFUNCTION("""COMPUTED_VALUE"""),"")</f>
        <v/>
      </c>
      <c r="B10409" s="87"/>
      <c r="C10409" s="87"/>
      <c r="D10409" s="87"/>
      <c r="E10409" s="87"/>
      <c r="F10409" s="87"/>
      <c r="G10409" s="87"/>
    </row>
    <row r="10410">
      <c r="A10410" s="86" t="str">
        <f>IFERROR(__xludf.DUMMYFUNCTION("""COMPUTED_VALUE"""),"")</f>
        <v/>
      </c>
      <c r="B10410" s="87"/>
      <c r="C10410" s="87"/>
      <c r="D10410" s="87"/>
      <c r="E10410" s="87"/>
      <c r="F10410" s="87"/>
      <c r="G10410" s="87"/>
    </row>
    <row r="10411">
      <c r="A10411" s="86" t="str">
        <f>IFERROR(__xludf.DUMMYFUNCTION("""COMPUTED_VALUE"""),"")</f>
        <v/>
      </c>
      <c r="B10411" s="87"/>
      <c r="C10411" s="87"/>
      <c r="D10411" s="87"/>
      <c r="E10411" s="87"/>
      <c r="F10411" s="87"/>
      <c r="G10411" s="87"/>
    </row>
    <row r="10412">
      <c r="A10412" s="86" t="str">
        <f>IFERROR(__xludf.DUMMYFUNCTION("""COMPUTED_VALUE"""),"")</f>
        <v/>
      </c>
      <c r="B10412" s="87"/>
      <c r="C10412" s="87"/>
      <c r="D10412" s="87"/>
      <c r="E10412" s="87"/>
      <c r="F10412" s="87"/>
      <c r="G10412" s="87"/>
    </row>
    <row r="10413">
      <c r="A10413" s="86" t="str">
        <f>IFERROR(__xludf.DUMMYFUNCTION("""COMPUTED_VALUE"""),"")</f>
        <v/>
      </c>
      <c r="B10413" s="87"/>
      <c r="C10413" s="87"/>
      <c r="D10413" s="87"/>
      <c r="E10413" s="87"/>
      <c r="F10413" s="87"/>
      <c r="G10413" s="87"/>
    </row>
    <row r="10414">
      <c r="A10414" s="86" t="str">
        <f>IFERROR(__xludf.DUMMYFUNCTION("""COMPUTED_VALUE"""),"")</f>
        <v/>
      </c>
      <c r="B10414" s="87"/>
      <c r="C10414" s="87"/>
      <c r="D10414" s="87"/>
      <c r="E10414" s="87"/>
      <c r="F10414" s="87"/>
      <c r="G10414" s="87"/>
    </row>
    <row r="10415">
      <c r="A10415" s="86" t="str">
        <f>IFERROR(__xludf.DUMMYFUNCTION("""COMPUTED_VALUE"""),"")</f>
        <v/>
      </c>
      <c r="B10415" s="87"/>
      <c r="C10415" s="87"/>
      <c r="D10415" s="87"/>
      <c r="E10415" s="87"/>
      <c r="F10415" s="87"/>
      <c r="G10415" s="87"/>
    </row>
    <row r="10416">
      <c r="A10416" s="86" t="str">
        <f>IFERROR(__xludf.DUMMYFUNCTION("""COMPUTED_VALUE"""),"")</f>
        <v/>
      </c>
      <c r="B10416" s="87"/>
      <c r="C10416" s="87"/>
      <c r="D10416" s="87"/>
      <c r="E10416" s="87"/>
      <c r="F10416" s="87"/>
      <c r="G10416" s="87"/>
    </row>
    <row r="10417">
      <c r="A10417" s="86" t="str">
        <f>IFERROR(__xludf.DUMMYFUNCTION("""COMPUTED_VALUE"""),"")</f>
        <v/>
      </c>
      <c r="B10417" s="87"/>
      <c r="C10417" s="87"/>
      <c r="D10417" s="87"/>
      <c r="E10417" s="87"/>
      <c r="F10417" s="87"/>
      <c r="G10417" s="87"/>
    </row>
    <row r="10418">
      <c r="A10418" s="86" t="str">
        <f>IFERROR(__xludf.DUMMYFUNCTION("""COMPUTED_VALUE"""),"")</f>
        <v/>
      </c>
      <c r="B10418" s="87"/>
      <c r="C10418" s="87"/>
      <c r="D10418" s="87"/>
      <c r="E10418" s="87"/>
      <c r="F10418" s="87"/>
      <c r="G10418" s="87"/>
    </row>
    <row r="10419">
      <c r="A10419" s="86" t="str">
        <f>IFERROR(__xludf.DUMMYFUNCTION("""COMPUTED_VALUE"""),"")</f>
        <v/>
      </c>
      <c r="B10419" s="87"/>
      <c r="C10419" s="87"/>
      <c r="D10419" s="87"/>
      <c r="E10419" s="87"/>
      <c r="F10419" s="87"/>
      <c r="G10419" s="87"/>
    </row>
    <row r="10420">
      <c r="A10420" s="86" t="str">
        <f>IFERROR(__xludf.DUMMYFUNCTION("""COMPUTED_VALUE"""),"")</f>
        <v/>
      </c>
      <c r="B10420" s="87"/>
      <c r="C10420" s="87"/>
      <c r="D10420" s="87"/>
      <c r="E10420" s="87"/>
      <c r="F10420" s="87"/>
      <c r="G10420" s="87"/>
    </row>
    <row r="10421">
      <c r="A10421" s="86" t="str">
        <f>IFERROR(__xludf.DUMMYFUNCTION("""COMPUTED_VALUE"""),"")</f>
        <v/>
      </c>
      <c r="B10421" s="87"/>
      <c r="C10421" s="87"/>
      <c r="D10421" s="87"/>
      <c r="E10421" s="87"/>
      <c r="F10421" s="87"/>
      <c r="G10421" s="87"/>
    </row>
    <row r="10422">
      <c r="A10422" s="86" t="str">
        <f>IFERROR(__xludf.DUMMYFUNCTION("""COMPUTED_VALUE"""),"")</f>
        <v/>
      </c>
      <c r="B10422" s="87"/>
      <c r="C10422" s="87"/>
      <c r="D10422" s="87"/>
      <c r="E10422" s="87"/>
      <c r="F10422" s="87"/>
      <c r="G10422" s="87"/>
    </row>
    <row r="10423">
      <c r="A10423" s="86" t="str">
        <f>IFERROR(__xludf.DUMMYFUNCTION("""COMPUTED_VALUE"""),"")</f>
        <v/>
      </c>
      <c r="B10423" s="87"/>
      <c r="C10423" s="87"/>
      <c r="D10423" s="87"/>
      <c r="E10423" s="87"/>
      <c r="F10423" s="87"/>
      <c r="G10423" s="87"/>
    </row>
    <row r="10424">
      <c r="A10424" s="86" t="str">
        <f>IFERROR(__xludf.DUMMYFUNCTION("""COMPUTED_VALUE"""),"")</f>
        <v/>
      </c>
      <c r="B10424" s="87"/>
      <c r="C10424" s="87"/>
      <c r="D10424" s="87"/>
      <c r="E10424" s="87"/>
      <c r="F10424" s="87"/>
      <c r="G10424" s="87"/>
    </row>
    <row r="10425">
      <c r="A10425" s="86" t="str">
        <f>IFERROR(__xludf.DUMMYFUNCTION("""COMPUTED_VALUE"""),"")</f>
        <v/>
      </c>
      <c r="B10425" s="87"/>
      <c r="C10425" s="87"/>
      <c r="D10425" s="87"/>
      <c r="E10425" s="87"/>
      <c r="F10425" s="87"/>
      <c r="G10425" s="87"/>
    </row>
    <row r="10426">
      <c r="A10426" s="86" t="str">
        <f>IFERROR(__xludf.DUMMYFUNCTION("""COMPUTED_VALUE"""),"")</f>
        <v/>
      </c>
      <c r="B10426" s="87"/>
      <c r="C10426" s="87"/>
      <c r="D10426" s="87"/>
      <c r="E10426" s="87"/>
      <c r="F10426" s="87"/>
      <c r="G10426" s="87"/>
    </row>
    <row r="10427">
      <c r="A10427" s="86" t="str">
        <f>IFERROR(__xludf.DUMMYFUNCTION("""COMPUTED_VALUE"""),"")</f>
        <v/>
      </c>
      <c r="B10427" s="87"/>
      <c r="C10427" s="87"/>
      <c r="D10427" s="87"/>
      <c r="E10427" s="87"/>
      <c r="F10427" s="87"/>
      <c r="G10427" s="87"/>
    </row>
    <row r="10428">
      <c r="A10428" s="86" t="str">
        <f>IFERROR(__xludf.DUMMYFUNCTION("""COMPUTED_VALUE"""),"")</f>
        <v/>
      </c>
      <c r="B10428" s="87"/>
      <c r="C10428" s="87"/>
      <c r="D10428" s="87"/>
      <c r="E10428" s="87"/>
      <c r="F10428" s="87"/>
      <c r="G10428" s="87"/>
    </row>
    <row r="10429">
      <c r="A10429" s="86" t="str">
        <f>IFERROR(__xludf.DUMMYFUNCTION("""COMPUTED_VALUE"""),"")</f>
        <v/>
      </c>
      <c r="B10429" s="87"/>
      <c r="C10429" s="87"/>
      <c r="D10429" s="87"/>
      <c r="E10429" s="87"/>
      <c r="F10429" s="87"/>
      <c r="G10429" s="87"/>
    </row>
    <row r="10430">
      <c r="A10430" s="86" t="str">
        <f>IFERROR(__xludf.DUMMYFUNCTION("""COMPUTED_VALUE"""),"")</f>
        <v/>
      </c>
      <c r="B10430" s="87"/>
      <c r="C10430" s="87"/>
      <c r="D10430" s="87"/>
      <c r="E10430" s="87"/>
      <c r="F10430" s="87"/>
      <c r="G10430" s="87"/>
    </row>
    <row r="10431">
      <c r="A10431" s="86" t="str">
        <f>IFERROR(__xludf.DUMMYFUNCTION("""COMPUTED_VALUE"""),"")</f>
        <v/>
      </c>
      <c r="B10431" s="87"/>
      <c r="C10431" s="87"/>
      <c r="D10431" s="87"/>
      <c r="E10431" s="87"/>
      <c r="F10431" s="87"/>
      <c r="G10431" s="87"/>
    </row>
    <row r="10432">
      <c r="A10432" s="86" t="str">
        <f>IFERROR(__xludf.DUMMYFUNCTION("""COMPUTED_VALUE"""),"")</f>
        <v/>
      </c>
      <c r="B10432" s="87"/>
      <c r="C10432" s="87"/>
      <c r="D10432" s="87"/>
      <c r="E10432" s="87"/>
      <c r="F10432" s="87"/>
      <c r="G10432" s="87"/>
    </row>
    <row r="10433">
      <c r="A10433" s="86" t="str">
        <f>IFERROR(__xludf.DUMMYFUNCTION("""COMPUTED_VALUE"""),"")</f>
        <v/>
      </c>
      <c r="B10433" s="87"/>
      <c r="C10433" s="87"/>
      <c r="D10433" s="87"/>
      <c r="E10433" s="87"/>
      <c r="F10433" s="87"/>
      <c r="G10433" s="87"/>
    </row>
    <row r="10434">
      <c r="A10434" s="86" t="str">
        <f>IFERROR(__xludf.DUMMYFUNCTION("""COMPUTED_VALUE"""),"")</f>
        <v/>
      </c>
      <c r="B10434" s="87"/>
      <c r="C10434" s="87"/>
      <c r="D10434" s="87"/>
      <c r="E10434" s="87"/>
      <c r="F10434" s="87"/>
      <c r="G10434" s="87"/>
    </row>
    <row r="10435">
      <c r="A10435" s="86" t="str">
        <f>IFERROR(__xludf.DUMMYFUNCTION("""COMPUTED_VALUE"""),"")</f>
        <v/>
      </c>
      <c r="B10435" s="87"/>
      <c r="C10435" s="87"/>
      <c r="D10435" s="87"/>
      <c r="E10435" s="87"/>
      <c r="F10435" s="87"/>
      <c r="G10435" s="87"/>
    </row>
    <row r="10436">
      <c r="A10436" s="86" t="str">
        <f>IFERROR(__xludf.DUMMYFUNCTION("""COMPUTED_VALUE"""),"")</f>
        <v/>
      </c>
      <c r="B10436" s="87"/>
      <c r="C10436" s="87"/>
      <c r="D10436" s="87"/>
      <c r="E10436" s="87"/>
      <c r="F10436" s="87"/>
      <c r="G10436" s="87"/>
    </row>
    <row r="10437">
      <c r="A10437" s="86" t="str">
        <f>IFERROR(__xludf.DUMMYFUNCTION("""COMPUTED_VALUE"""),"")</f>
        <v/>
      </c>
      <c r="B10437" s="87"/>
      <c r="C10437" s="87"/>
      <c r="D10437" s="87"/>
      <c r="E10437" s="87"/>
      <c r="F10437" s="87"/>
      <c r="G10437" s="87"/>
    </row>
    <row r="10438">
      <c r="A10438" s="86" t="str">
        <f>IFERROR(__xludf.DUMMYFUNCTION("""COMPUTED_VALUE"""),"")</f>
        <v/>
      </c>
      <c r="B10438" s="87"/>
      <c r="C10438" s="87"/>
      <c r="D10438" s="87"/>
      <c r="E10438" s="87"/>
      <c r="F10438" s="87"/>
      <c r="G10438" s="87"/>
    </row>
    <row r="10439">
      <c r="A10439" s="86" t="str">
        <f>IFERROR(__xludf.DUMMYFUNCTION("""COMPUTED_VALUE"""),"")</f>
        <v/>
      </c>
      <c r="B10439" s="87"/>
      <c r="C10439" s="87"/>
      <c r="D10439" s="87"/>
      <c r="E10439" s="87"/>
      <c r="F10439" s="87"/>
      <c r="G10439" s="87"/>
    </row>
    <row r="10440">
      <c r="A10440" s="86" t="str">
        <f>IFERROR(__xludf.DUMMYFUNCTION("""COMPUTED_VALUE"""),"")</f>
        <v/>
      </c>
      <c r="B10440" s="87"/>
      <c r="C10440" s="87"/>
      <c r="D10440" s="87"/>
      <c r="E10440" s="87"/>
      <c r="F10440" s="87"/>
      <c r="G10440" s="87"/>
    </row>
    <row r="10441">
      <c r="A10441" s="86" t="str">
        <f>IFERROR(__xludf.DUMMYFUNCTION("""COMPUTED_VALUE"""),"")</f>
        <v/>
      </c>
      <c r="B10441" s="87"/>
      <c r="C10441" s="87"/>
      <c r="D10441" s="87"/>
      <c r="E10441" s="87"/>
      <c r="F10441" s="87"/>
      <c r="G10441" s="87"/>
    </row>
    <row r="10442">
      <c r="A10442" s="86" t="str">
        <f>IFERROR(__xludf.DUMMYFUNCTION("""COMPUTED_VALUE"""),"")</f>
        <v/>
      </c>
      <c r="B10442" s="87"/>
      <c r="C10442" s="87"/>
      <c r="D10442" s="87"/>
      <c r="E10442" s="87"/>
      <c r="F10442" s="87"/>
      <c r="G10442" s="87"/>
    </row>
    <row r="10443">
      <c r="A10443" s="86" t="str">
        <f>IFERROR(__xludf.DUMMYFUNCTION("""COMPUTED_VALUE"""),"")</f>
        <v/>
      </c>
      <c r="B10443" s="87"/>
      <c r="C10443" s="87"/>
      <c r="D10443" s="87"/>
      <c r="E10443" s="87"/>
      <c r="F10443" s="87"/>
      <c r="G10443" s="87"/>
    </row>
    <row r="10444">
      <c r="A10444" s="86" t="str">
        <f>IFERROR(__xludf.DUMMYFUNCTION("""COMPUTED_VALUE"""),"")</f>
        <v/>
      </c>
      <c r="B10444" s="87"/>
      <c r="C10444" s="87"/>
      <c r="D10444" s="87"/>
      <c r="E10444" s="87"/>
      <c r="F10444" s="87"/>
      <c r="G10444" s="87"/>
    </row>
    <row r="10445">
      <c r="A10445" s="86" t="str">
        <f>IFERROR(__xludf.DUMMYFUNCTION("""COMPUTED_VALUE"""),"")</f>
        <v/>
      </c>
      <c r="B10445" s="87"/>
      <c r="C10445" s="87"/>
      <c r="D10445" s="87"/>
      <c r="E10445" s="87"/>
      <c r="F10445" s="87"/>
      <c r="G10445" s="87"/>
    </row>
    <row r="10446">
      <c r="A10446" s="86" t="str">
        <f>IFERROR(__xludf.DUMMYFUNCTION("""COMPUTED_VALUE"""),"")</f>
        <v/>
      </c>
      <c r="B10446" s="87"/>
      <c r="C10446" s="87"/>
      <c r="D10446" s="87"/>
      <c r="E10446" s="87"/>
      <c r="F10446" s="87"/>
      <c r="G10446" s="87"/>
    </row>
    <row r="10447">
      <c r="A10447" s="86" t="str">
        <f>IFERROR(__xludf.DUMMYFUNCTION("""COMPUTED_VALUE"""),"")</f>
        <v/>
      </c>
      <c r="B10447" s="87"/>
      <c r="C10447" s="87"/>
      <c r="D10447" s="87"/>
      <c r="E10447" s="87"/>
      <c r="F10447" s="87"/>
      <c r="G10447" s="87"/>
    </row>
    <row r="10448">
      <c r="A10448" s="86" t="str">
        <f>IFERROR(__xludf.DUMMYFUNCTION("""COMPUTED_VALUE"""),"")</f>
        <v/>
      </c>
      <c r="B10448" s="87"/>
      <c r="C10448" s="87"/>
      <c r="D10448" s="87"/>
      <c r="E10448" s="87"/>
      <c r="F10448" s="87"/>
      <c r="G10448" s="87"/>
    </row>
    <row r="10449">
      <c r="A10449" s="86" t="str">
        <f>IFERROR(__xludf.DUMMYFUNCTION("""COMPUTED_VALUE"""),"")</f>
        <v/>
      </c>
      <c r="B10449" s="87"/>
      <c r="C10449" s="87"/>
      <c r="D10449" s="87"/>
      <c r="E10449" s="87"/>
      <c r="F10449" s="87"/>
      <c r="G10449" s="87"/>
    </row>
    <row r="10450">
      <c r="A10450" s="86" t="str">
        <f>IFERROR(__xludf.DUMMYFUNCTION("""COMPUTED_VALUE"""),"")</f>
        <v/>
      </c>
      <c r="B10450" s="87"/>
      <c r="C10450" s="87"/>
      <c r="D10450" s="87"/>
      <c r="E10450" s="87"/>
      <c r="F10450" s="87"/>
      <c r="G10450" s="87"/>
    </row>
    <row r="10451">
      <c r="A10451" s="86" t="str">
        <f>IFERROR(__xludf.DUMMYFUNCTION("""COMPUTED_VALUE"""),"")</f>
        <v/>
      </c>
      <c r="B10451" s="87"/>
      <c r="C10451" s="87"/>
      <c r="D10451" s="87"/>
      <c r="E10451" s="87"/>
      <c r="F10451" s="87"/>
      <c r="G10451" s="87"/>
    </row>
    <row r="10452">
      <c r="A10452" s="86" t="str">
        <f>IFERROR(__xludf.DUMMYFUNCTION("""COMPUTED_VALUE"""),"")</f>
        <v/>
      </c>
      <c r="B10452" s="87"/>
      <c r="C10452" s="87"/>
      <c r="D10452" s="87"/>
      <c r="E10452" s="87"/>
      <c r="F10452" s="87"/>
      <c r="G10452" s="87"/>
    </row>
    <row r="10453">
      <c r="A10453" s="86" t="str">
        <f>IFERROR(__xludf.DUMMYFUNCTION("""COMPUTED_VALUE"""),"")</f>
        <v/>
      </c>
      <c r="B10453" s="87"/>
      <c r="C10453" s="87"/>
      <c r="D10453" s="87"/>
      <c r="E10453" s="87"/>
      <c r="F10453" s="87"/>
      <c r="G10453" s="87"/>
    </row>
    <row r="10454">
      <c r="A10454" s="86" t="str">
        <f>IFERROR(__xludf.DUMMYFUNCTION("""COMPUTED_VALUE"""),"")</f>
        <v/>
      </c>
      <c r="B10454" s="87"/>
      <c r="C10454" s="87"/>
      <c r="D10454" s="87"/>
      <c r="E10454" s="87"/>
      <c r="F10454" s="87"/>
      <c r="G10454" s="87"/>
    </row>
    <row r="10455">
      <c r="A10455" s="86" t="str">
        <f>IFERROR(__xludf.DUMMYFUNCTION("""COMPUTED_VALUE"""),"")</f>
        <v/>
      </c>
      <c r="B10455" s="87"/>
      <c r="C10455" s="87"/>
      <c r="D10455" s="87"/>
      <c r="E10455" s="87"/>
      <c r="F10455" s="87"/>
      <c r="G10455" s="87"/>
    </row>
    <row r="10456">
      <c r="A10456" s="86" t="str">
        <f>IFERROR(__xludf.DUMMYFUNCTION("""COMPUTED_VALUE"""),"")</f>
        <v/>
      </c>
      <c r="B10456" s="87"/>
      <c r="C10456" s="87"/>
      <c r="D10456" s="87"/>
      <c r="E10456" s="87"/>
      <c r="F10456" s="87"/>
      <c r="G10456" s="87"/>
    </row>
    <row r="10457">
      <c r="A10457" s="86" t="str">
        <f>IFERROR(__xludf.DUMMYFUNCTION("""COMPUTED_VALUE"""),"")</f>
        <v/>
      </c>
      <c r="B10457" s="87"/>
      <c r="C10457" s="87"/>
      <c r="D10457" s="87"/>
      <c r="E10457" s="87"/>
      <c r="F10457" s="87"/>
      <c r="G10457" s="87"/>
    </row>
    <row r="10458">
      <c r="A10458" s="86" t="str">
        <f>IFERROR(__xludf.DUMMYFUNCTION("""COMPUTED_VALUE"""),"")</f>
        <v/>
      </c>
      <c r="B10458" s="87"/>
      <c r="C10458" s="87"/>
      <c r="D10458" s="87"/>
      <c r="E10458" s="87"/>
      <c r="F10458" s="87"/>
      <c r="G10458" s="87"/>
    </row>
    <row r="10459">
      <c r="A10459" s="86" t="str">
        <f>IFERROR(__xludf.DUMMYFUNCTION("""COMPUTED_VALUE"""),"")</f>
        <v/>
      </c>
      <c r="B10459" s="87"/>
      <c r="C10459" s="87"/>
      <c r="D10459" s="87"/>
      <c r="E10459" s="87"/>
      <c r="F10459" s="87"/>
      <c r="G10459" s="87"/>
    </row>
    <row r="10460">
      <c r="A10460" s="86" t="str">
        <f>IFERROR(__xludf.DUMMYFUNCTION("""COMPUTED_VALUE"""),"")</f>
        <v/>
      </c>
      <c r="B10460" s="87"/>
      <c r="C10460" s="87"/>
      <c r="D10460" s="87"/>
      <c r="E10460" s="87"/>
      <c r="F10460" s="87"/>
      <c r="G10460" s="87"/>
    </row>
    <row r="10461">
      <c r="A10461" s="86" t="str">
        <f>IFERROR(__xludf.DUMMYFUNCTION("""COMPUTED_VALUE"""),"")</f>
        <v/>
      </c>
      <c r="B10461" s="87"/>
      <c r="C10461" s="87"/>
      <c r="D10461" s="87"/>
      <c r="E10461" s="87"/>
      <c r="F10461" s="87"/>
      <c r="G10461" s="87"/>
    </row>
    <row r="10462">
      <c r="A10462" s="86" t="str">
        <f>IFERROR(__xludf.DUMMYFUNCTION("""COMPUTED_VALUE"""),"")</f>
        <v/>
      </c>
      <c r="B10462" s="87"/>
      <c r="C10462" s="87"/>
      <c r="D10462" s="87"/>
      <c r="E10462" s="87"/>
      <c r="F10462" s="87"/>
      <c r="G10462" s="87"/>
    </row>
    <row r="10463">
      <c r="A10463" s="86" t="str">
        <f>IFERROR(__xludf.DUMMYFUNCTION("""COMPUTED_VALUE"""),"")</f>
        <v/>
      </c>
      <c r="B10463" s="87"/>
      <c r="C10463" s="87"/>
      <c r="D10463" s="87"/>
      <c r="E10463" s="87"/>
      <c r="F10463" s="87"/>
      <c r="G10463" s="87"/>
    </row>
    <row r="10464">
      <c r="A10464" s="86" t="str">
        <f>IFERROR(__xludf.DUMMYFUNCTION("""COMPUTED_VALUE"""),"")</f>
        <v/>
      </c>
      <c r="B10464" s="87"/>
      <c r="C10464" s="87"/>
      <c r="D10464" s="87"/>
      <c r="E10464" s="87"/>
      <c r="F10464" s="87"/>
      <c r="G10464" s="87"/>
    </row>
    <row r="10465">
      <c r="A10465" s="86" t="str">
        <f>IFERROR(__xludf.DUMMYFUNCTION("""COMPUTED_VALUE"""),"")</f>
        <v/>
      </c>
      <c r="B10465" s="87"/>
      <c r="C10465" s="87"/>
      <c r="D10465" s="87"/>
      <c r="E10465" s="87"/>
      <c r="F10465" s="87"/>
      <c r="G10465" s="87"/>
    </row>
    <row r="10466">
      <c r="A10466" s="86" t="str">
        <f>IFERROR(__xludf.DUMMYFUNCTION("""COMPUTED_VALUE"""),"")</f>
        <v/>
      </c>
      <c r="B10466" s="87"/>
      <c r="C10466" s="87"/>
      <c r="D10466" s="87"/>
      <c r="E10466" s="87"/>
      <c r="F10466" s="87"/>
      <c r="G10466" s="87"/>
    </row>
    <row r="10467">
      <c r="A10467" s="86" t="str">
        <f>IFERROR(__xludf.DUMMYFUNCTION("""COMPUTED_VALUE"""),"")</f>
        <v/>
      </c>
      <c r="B10467" s="87"/>
      <c r="C10467" s="87"/>
      <c r="D10467" s="87"/>
      <c r="E10467" s="87"/>
      <c r="F10467" s="87"/>
      <c r="G10467" s="87"/>
    </row>
    <row r="10468">
      <c r="A10468" s="86" t="str">
        <f>IFERROR(__xludf.DUMMYFUNCTION("""COMPUTED_VALUE"""),"")</f>
        <v/>
      </c>
      <c r="B10468" s="87"/>
      <c r="C10468" s="87"/>
      <c r="D10468" s="87"/>
      <c r="E10468" s="87"/>
      <c r="F10468" s="87"/>
      <c r="G10468" s="87"/>
    </row>
    <row r="10469">
      <c r="A10469" s="86" t="str">
        <f>IFERROR(__xludf.DUMMYFUNCTION("""COMPUTED_VALUE"""),"")</f>
        <v/>
      </c>
      <c r="B10469" s="87"/>
      <c r="C10469" s="87"/>
      <c r="D10469" s="87"/>
      <c r="E10469" s="87"/>
      <c r="F10469" s="87"/>
      <c r="G10469" s="87"/>
    </row>
    <row r="10470">
      <c r="A10470" s="86" t="str">
        <f>IFERROR(__xludf.DUMMYFUNCTION("""COMPUTED_VALUE"""),"")</f>
        <v/>
      </c>
      <c r="B10470" s="87"/>
      <c r="C10470" s="87"/>
      <c r="D10470" s="87"/>
      <c r="E10470" s="87"/>
      <c r="F10470" s="87"/>
      <c r="G10470" s="87"/>
    </row>
    <row r="10471">
      <c r="A10471" s="86" t="str">
        <f>IFERROR(__xludf.DUMMYFUNCTION("""COMPUTED_VALUE"""),"")</f>
        <v/>
      </c>
      <c r="B10471" s="87"/>
      <c r="C10471" s="87"/>
      <c r="D10471" s="87"/>
      <c r="E10471" s="87"/>
      <c r="F10471" s="87"/>
      <c r="G10471" s="87"/>
    </row>
    <row r="10472">
      <c r="A10472" s="86" t="str">
        <f>IFERROR(__xludf.DUMMYFUNCTION("""COMPUTED_VALUE"""),"")</f>
        <v/>
      </c>
      <c r="B10472" s="87"/>
      <c r="C10472" s="87"/>
      <c r="D10472" s="87"/>
      <c r="E10472" s="87"/>
      <c r="F10472" s="87"/>
      <c r="G10472" s="87"/>
    </row>
    <row r="10473">
      <c r="A10473" s="86" t="str">
        <f>IFERROR(__xludf.DUMMYFUNCTION("""COMPUTED_VALUE"""),"")</f>
        <v/>
      </c>
      <c r="B10473" s="87"/>
      <c r="C10473" s="87"/>
      <c r="D10473" s="87"/>
      <c r="E10473" s="87"/>
      <c r="F10473" s="87"/>
      <c r="G10473" s="87"/>
    </row>
    <row r="10474">
      <c r="A10474" s="86" t="str">
        <f>IFERROR(__xludf.DUMMYFUNCTION("""COMPUTED_VALUE"""),"")</f>
        <v/>
      </c>
      <c r="B10474" s="87"/>
      <c r="C10474" s="87"/>
      <c r="D10474" s="87"/>
      <c r="E10474" s="87"/>
      <c r="F10474" s="87"/>
      <c r="G10474" s="87"/>
    </row>
    <row r="10475">
      <c r="A10475" s="86" t="str">
        <f>IFERROR(__xludf.DUMMYFUNCTION("""COMPUTED_VALUE"""),"")</f>
        <v/>
      </c>
      <c r="B10475" s="87"/>
      <c r="C10475" s="87"/>
      <c r="D10475" s="87"/>
      <c r="E10475" s="87"/>
      <c r="F10475" s="87"/>
      <c r="G10475" s="87"/>
    </row>
    <row r="10476">
      <c r="A10476" s="86" t="str">
        <f>IFERROR(__xludf.DUMMYFUNCTION("""COMPUTED_VALUE"""),"")</f>
        <v/>
      </c>
      <c r="B10476" s="87"/>
      <c r="C10476" s="87"/>
      <c r="D10476" s="87"/>
      <c r="E10476" s="87"/>
      <c r="F10476" s="87"/>
      <c r="G10476" s="87"/>
    </row>
    <row r="10477">
      <c r="A10477" s="86" t="str">
        <f>IFERROR(__xludf.DUMMYFUNCTION("""COMPUTED_VALUE"""),"")</f>
        <v/>
      </c>
      <c r="B10477" s="87"/>
      <c r="C10477" s="87"/>
      <c r="D10477" s="87"/>
      <c r="E10477" s="87"/>
      <c r="F10477" s="87"/>
      <c r="G10477" s="87"/>
    </row>
    <row r="10478">
      <c r="A10478" s="86" t="str">
        <f>IFERROR(__xludf.DUMMYFUNCTION("""COMPUTED_VALUE"""),"")</f>
        <v/>
      </c>
      <c r="B10478" s="87"/>
      <c r="C10478" s="87"/>
      <c r="D10478" s="87"/>
      <c r="E10478" s="87"/>
      <c r="F10478" s="87"/>
      <c r="G10478" s="87"/>
    </row>
    <row r="10479">
      <c r="A10479" s="86" t="str">
        <f>IFERROR(__xludf.DUMMYFUNCTION("""COMPUTED_VALUE"""),"")</f>
        <v/>
      </c>
      <c r="B10479" s="87"/>
      <c r="C10479" s="87"/>
      <c r="D10479" s="87"/>
      <c r="E10479" s="87"/>
      <c r="F10479" s="87"/>
      <c r="G10479" s="87"/>
    </row>
    <row r="10480">
      <c r="A10480" s="86" t="str">
        <f>IFERROR(__xludf.DUMMYFUNCTION("""COMPUTED_VALUE"""),"")</f>
        <v/>
      </c>
      <c r="B10480" s="87"/>
      <c r="C10480" s="87"/>
      <c r="D10480" s="87"/>
      <c r="E10480" s="87"/>
      <c r="F10480" s="87"/>
      <c r="G10480" s="87"/>
    </row>
    <row r="10481">
      <c r="A10481" s="86" t="str">
        <f>IFERROR(__xludf.DUMMYFUNCTION("""COMPUTED_VALUE"""),"")</f>
        <v/>
      </c>
      <c r="B10481" s="87"/>
      <c r="C10481" s="87"/>
      <c r="D10481" s="87"/>
      <c r="E10481" s="87"/>
      <c r="F10481" s="87"/>
      <c r="G10481" s="87"/>
    </row>
    <row r="10482">
      <c r="A10482" s="86" t="str">
        <f>IFERROR(__xludf.DUMMYFUNCTION("""COMPUTED_VALUE"""),"")</f>
        <v/>
      </c>
      <c r="B10482" s="87"/>
      <c r="C10482" s="87"/>
      <c r="D10482" s="87"/>
      <c r="E10482" s="87"/>
      <c r="F10482" s="87"/>
      <c r="G10482" s="87"/>
    </row>
    <row r="10483">
      <c r="A10483" s="86" t="str">
        <f>IFERROR(__xludf.DUMMYFUNCTION("""COMPUTED_VALUE"""),"")</f>
        <v/>
      </c>
      <c r="B10483" s="87"/>
      <c r="C10483" s="87"/>
      <c r="D10483" s="87"/>
      <c r="E10483" s="87"/>
      <c r="F10483" s="87"/>
      <c r="G10483" s="87"/>
    </row>
    <row r="10484">
      <c r="A10484" s="86" t="str">
        <f>IFERROR(__xludf.DUMMYFUNCTION("""COMPUTED_VALUE"""),"")</f>
        <v/>
      </c>
      <c r="B10484" s="87"/>
      <c r="C10484" s="87"/>
      <c r="D10484" s="87"/>
      <c r="E10484" s="87"/>
      <c r="F10484" s="87"/>
      <c r="G10484" s="87"/>
    </row>
    <row r="10485">
      <c r="A10485" s="86" t="str">
        <f>IFERROR(__xludf.DUMMYFUNCTION("""COMPUTED_VALUE"""),"")</f>
        <v/>
      </c>
      <c r="B10485" s="87"/>
      <c r="C10485" s="87"/>
      <c r="D10485" s="87"/>
      <c r="E10485" s="87"/>
      <c r="F10485" s="87"/>
      <c r="G10485" s="87"/>
    </row>
    <row r="10486">
      <c r="A10486" s="86" t="str">
        <f>IFERROR(__xludf.DUMMYFUNCTION("""COMPUTED_VALUE"""),"")</f>
        <v/>
      </c>
      <c r="B10486" s="87"/>
      <c r="C10486" s="87"/>
      <c r="D10486" s="87"/>
      <c r="E10486" s="87"/>
      <c r="F10486" s="87"/>
      <c r="G10486" s="87"/>
    </row>
    <row r="10487">
      <c r="A10487" s="86" t="str">
        <f>IFERROR(__xludf.DUMMYFUNCTION("""COMPUTED_VALUE"""),"")</f>
        <v/>
      </c>
      <c r="B10487" s="87"/>
      <c r="C10487" s="87"/>
      <c r="D10487" s="87"/>
      <c r="E10487" s="87"/>
      <c r="F10487" s="87"/>
      <c r="G10487" s="87"/>
    </row>
    <row r="10488">
      <c r="A10488" s="86" t="str">
        <f>IFERROR(__xludf.DUMMYFUNCTION("""COMPUTED_VALUE"""),"")</f>
        <v/>
      </c>
      <c r="B10488" s="87"/>
      <c r="C10488" s="87"/>
      <c r="D10488" s="87"/>
      <c r="E10488" s="87"/>
      <c r="F10488" s="87"/>
      <c r="G10488" s="87"/>
    </row>
    <row r="10489">
      <c r="A10489" s="86" t="str">
        <f>IFERROR(__xludf.DUMMYFUNCTION("""COMPUTED_VALUE"""),"")</f>
        <v/>
      </c>
      <c r="B10489" s="87"/>
      <c r="C10489" s="87"/>
      <c r="D10489" s="87"/>
      <c r="E10489" s="87"/>
      <c r="F10489" s="87"/>
      <c r="G10489" s="87"/>
    </row>
    <row r="10490">
      <c r="A10490" s="86" t="str">
        <f>IFERROR(__xludf.DUMMYFUNCTION("""COMPUTED_VALUE"""),"")</f>
        <v/>
      </c>
      <c r="B10490" s="87"/>
      <c r="C10490" s="87"/>
      <c r="D10490" s="87"/>
      <c r="E10490" s="87"/>
      <c r="F10490" s="87"/>
      <c r="G10490" s="87"/>
    </row>
    <row r="10491">
      <c r="A10491" s="86" t="str">
        <f>IFERROR(__xludf.DUMMYFUNCTION("""COMPUTED_VALUE"""),"")</f>
        <v/>
      </c>
      <c r="B10491" s="87"/>
      <c r="C10491" s="87"/>
      <c r="D10491" s="87"/>
      <c r="E10491" s="87"/>
      <c r="F10491" s="87"/>
      <c r="G10491" s="87"/>
    </row>
    <row r="10492">
      <c r="A10492" s="86" t="str">
        <f>IFERROR(__xludf.DUMMYFUNCTION("""COMPUTED_VALUE"""),"")</f>
        <v/>
      </c>
      <c r="B10492" s="87"/>
      <c r="C10492" s="87"/>
      <c r="D10492" s="87"/>
      <c r="E10492" s="87"/>
      <c r="F10492" s="87"/>
      <c r="G10492" s="87"/>
    </row>
    <row r="10493">
      <c r="A10493" s="86" t="str">
        <f>IFERROR(__xludf.DUMMYFUNCTION("""COMPUTED_VALUE"""),"")</f>
        <v/>
      </c>
      <c r="B10493" s="87"/>
      <c r="C10493" s="87"/>
      <c r="D10493" s="87"/>
      <c r="E10493" s="87"/>
      <c r="F10493" s="87"/>
      <c r="G10493" s="87"/>
    </row>
    <row r="10494">
      <c r="A10494" s="86" t="str">
        <f>IFERROR(__xludf.DUMMYFUNCTION("""COMPUTED_VALUE"""),"")</f>
        <v/>
      </c>
      <c r="B10494" s="87"/>
      <c r="C10494" s="87"/>
      <c r="D10494" s="87"/>
      <c r="E10494" s="87"/>
      <c r="F10494" s="87"/>
      <c r="G10494" s="87"/>
    </row>
    <row r="10495">
      <c r="A10495" s="86" t="str">
        <f>IFERROR(__xludf.DUMMYFUNCTION("""COMPUTED_VALUE"""),"")</f>
        <v/>
      </c>
      <c r="B10495" s="87"/>
      <c r="C10495" s="87"/>
      <c r="D10495" s="87"/>
      <c r="E10495" s="87"/>
      <c r="F10495" s="87"/>
      <c r="G10495" s="87"/>
    </row>
    <row r="10496">
      <c r="A10496" s="86" t="str">
        <f>IFERROR(__xludf.DUMMYFUNCTION("""COMPUTED_VALUE"""),"")</f>
        <v/>
      </c>
      <c r="B10496" s="87"/>
      <c r="C10496" s="87"/>
      <c r="D10496" s="87"/>
      <c r="E10496" s="87"/>
      <c r="F10496" s="87"/>
      <c r="G10496" s="87"/>
    </row>
    <row r="10497">
      <c r="A10497" s="86" t="str">
        <f>IFERROR(__xludf.DUMMYFUNCTION("""COMPUTED_VALUE"""),"")</f>
        <v/>
      </c>
      <c r="B10497" s="87"/>
      <c r="C10497" s="87"/>
      <c r="D10497" s="87"/>
      <c r="E10497" s="87"/>
      <c r="F10497" s="87"/>
      <c r="G10497" s="87"/>
    </row>
    <row r="10498">
      <c r="A10498" s="86" t="str">
        <f>IFERROR(__xludf.DUMMYFUNCTION("""COMPUTED_VALUE"""),"")</f>
        <v/>
      </c>
      <c r="B10498" s="87"/>
      <c r="C10498" s="87"/>
      <c r="D10498" s="87"/>
      <c r="E10498" s="87"/>
      <c r="F10498" s="87"/>
      <c r="G10498" s="87"/>
    </row>
    <row r="10499">
      <c r="A10499" s="86" t="str">
        <f>IFERROR(__xludf.DUMMYFUNCTION("""COMPUTED_VALUE"""),"")</f>
        <v/>
      </c>
      <c r="B10499" s="87"/>
      <c r="C10499" s="87"/>
      <c r="D10499" s="87"/>
      <c r="E10499" s="87"/>
      <c r="F10499" s="87"/>
      <c r="G10499" s="87"/>
    </row>
    <row r="10500">
      <c r="A10500" s="86" t="str">
        <f>IFERROR(__xludf.DUMMYFUNCTION("""COMPUTED_VALUE"""),"")</f>
        <v/>
      </c>
      <c r="B10500" s="87"/>
      <c r="C10500" s="87"/>
      <c r="D10500" s="87"/>
      <c r="E10500" s="87"/>
      <c r="F10500" s="87"/>
      <c r="G10500" s="87"/>
    </row>
    <row r="10501">
      <c r="A10501" s="86" t="str">
        <f>IFERROR(__xludf.DUMMYFUNCTION("""COMPUTED_VALUE"""),"")</f>
        <v/>
      </c>
      <c r="B10501" s="87"/>
      <c r="C10501" s="87"/>
      <c r="D10501" s="87"/>
      <c r="E10501" s="87"/>
      <c r="F10501" s="87"/>
      <c r="G10501" s="87"/>
    </row>
    <row r="10502">
      <c r="A10502" s="86" t="str">
        <f>IFERROR(__xludf.DUMMYFUNCTION("""COMPUTED_VALUE"""),"")</f>
        <v/>
      </c>
      <c r="B10502" s="87"/>
      <c r="C10502" s="87"/>
      <c r="D10502" s="87"/>
      <c r="E10502" s="87"/>
      <c r="F10502" s="87"/>
      <c r="G10502" s="87"/>
    </row>
    <row r="10503">
      <c r="A10503" s="86" t="str">
        <f>IFERROR(__xludf.DUMMYFUNCTION("""COMPUTED_VALUE"""),"")</f>
        <v/>
      </c>
      <c r="B10503" s="87"/>
      <c r="C10503" s="87"/>
      <c r="D10503" s="87"/>
      <c r="E10503" s="87"/>
      <c r="F10503" s="87"/>
      <c r="G10503" s="87"/>
    </row>
    <row r="10504">
      <c r="A10504" s="86" t="str">
        <f>IFERROR(__xludf.DUMMYFUNCTION("""COMPUTED_VALUE"""),"")</f>
        <v/>
      </c>
      <c r="B10504" s="87"/>
      <c r="C10504" s="87"/>
      <c r="D10504" s="87"/>
      <c r="E10504" s="87"/>
      <c r="F10504" s="87"/>
      <c r="G10504" s="87"/>
    </row>
    <row r="10505">
      <c r="A10505" s="86" t="str">
        <f>IFERROR(__xludf.DUMMYFUNCTION("""COMPUTED_VALUE"""),"")</f>
        <v/>
      </c>
      <c r="B10505" s="87"/>
      <c r="C10505" s="87"/>
      <c r="D10505" s="87"/>
      <c r="E10505" s="87"/>
      <c r="F10505" s="87"/>
      <c r="G10505" s="87"/>
    </row>
    <row r="10506">
      <c r="A10506" s="86" t="str">
        <f>IFERROR(__xludf.DUMMYFUNCTION("""COMPUTED_VALUE"""),"")</f>
        <v/>
      </c>
      <c r="B10506" s="87"/>
      <c r="C10506" s="87"/>
      <c r="D10506" s="87"/>
      <c r="E10506" s="87"/>
      <c r="F10506" s="87"/>
      <c r="G10506" s="87"/>
    </row>
    <row r="10507">
      <c r="A10507" s="86" t="str">
        <f>IFERROR(__xludf.DUMMYFUNCTION("""COMPUTED_VALUE"""),"")</f>
        <v/>
      </c>
      <c r="B10507" s="87"/>
      <c r="C10507" s="87"/>
      <c r="D10507" s="87"/>
      <c r="E10507" s="87"/>
      <c r="F10507" s="87"/>
      <c r="G10507" s="87"/>
    </row>
    <row r="10508">
      <c r="A10508" s="86" t="str">
        <f>IFERROR(__xludf.DUMMYFUNCTION("""COMPUTED_VALUE"""),"")</f>
        <v/>
      </c>
      <c r="B10508" s="87"/>
      <c r="C10508" s="87"/>
      <c r="D10508" s="87"/>
      <c r="E10508" s="87"/>
      <c r="F10508" s="87"/>
      <c r="G10508" s="87"/>
    </row>
    <row r="10509">
      <c r="A10509" s="86" t="str">
        <f>IFERROR(__xludf.DUMMYFUNCTION("""COMPUTED_VALUE"""),"")</f>
        <v/>
      </c>
      <c r="B10509" s="87"/>
      <c r="C10509" s="87"/>
      <c r="D10509" s="87"/>
      <c r="E10509" s="87"/>
      <c r="F10509" s="87"/>
      <c r="G10509" s="87"/>
    </row>
    <row r="10510">
      <c r="A10510" s="86" t="str">
        <f>IFERROR(__xludf.DUMMYFUNCTION("""COMPUTED_VALUE"""),"")</f>
        <v/>
      </c>
      <c r="B10510" s="87"/>
      <c r="C10510" s="87"/>
      <c r="D10510" s="87"/>
      <c r="E10510" s="87"/>
      <c r="F10510" s="87"/>
      <c r="G10510" s="87"/>
    </row>
    <row r="10511">
      <c r="A10511" s="86" t="str">
        <f>IFERROR(__xludf.DUMMYFUNCTION("""COMPUTED_VALUE"""),"")</f>
        <v/>
      </c>
      <c r="B10511" s="87"/>
      <c r="C10511" s="87"/>
      <c r="D10511" s="87"/>
      <c r="E10511" s="87"/>
      <c r="F10511" s="87"/>
      <c r="G10511" s="87"/>
    </row>
    <row r="10512">
      <c r="A10512" s="86" t="str">
        <f>IFERROR(__xludf.DUMMYFUNCTION("""COMPUTED_VALUE"""),"")</f>
        <v/>
      </c>
      <c r="B10512" s="87"/>
      <c r="C10512" s="87"/>
      <c r="D10512" s="87"/>
      <c r="E10512" s="87"/>
      <c r="F10512" s="87"/>
      <c r="G10512" s="87"/>
    </row>
    <row r="10513">
      <c r="A10513" s="86" t="str">
        <f>IFERROR(__xludf.DUMMYFUNCTION("""COMPUTED_VALUE"""),"")</f>
        <v/>
      </c>
      <c r="B10513" s="87"/>
      <c r="C10513" s="87"/>
      <c r="D10513" s="87"/>
      <c r="E10513" s="87"/>
      <c r="F10513" s="87"/>
      <c r="G10513" s="87"/>
    </row>
    <row r="10514">
      <c r="A10514" s="86" t="str">
        <f>IFERROR(__xludf.DUMMYFUNCTION("""COMPUTED_VALUE"""),"")</f>
        <v/>
      </c>
      <c r="B10514" s="87"/>
      <c r="C10514" s="87"/>
      <c r="D10514" s="87"/>
      <c r="E10514" s="87"/>
      <c r="F10514" s="87"/>
      <c r="G10514" s="87"/>
    </row>
    <row r="10515">
      <c r="A10515" s="86" t="str">
        <f>IFERROR(__xludf.DUMMYFUNCTION("""COMPUTED_VALUE"""),"")</f>
        <v/>
      </c>
      <c r="B10515" s="87"/>
      <c r="C10515" s="87"/>
      <c r="D10515" s="87"/>
      <c r="E10515" s="87"/>
      <c r="F10515" s="87"/>
      <c r="G10515" s="87"/>
    </row>
    <row r="10516">
      <c r="A10516" s="86" t="str">
        <f>IFERROR(__xludf.DUMMYFUNCTION("""COMPUTED_VALUE"""),"")</f>
        <v/>
      </c>
      <c r="B10516" s="87"/>
      <c r="C10516" s="87"/>
      <c r="D10516" s="87"/>
      <c r="E10516" s="87"/>
      <c r="F10516" s="87"/>
      <c r="G10516" s="87"/>
    </row>
    <row r="10517">
      <c r="A10517" s="86" t="str">
        <f>IFERROR(__xludf.DUMMYFUNCTION("""COMPUTED_VALUE"""),"")</f>
        <v/>
      </c>
      <c r="B10517" s="87"/>
      <c r="C10517" s="87"/>
      <c r="D10517" s="87"/>
      <c r="E10517" s="87"/>
      <c r="F10517" s="87"/>
      <c r="G10517" s="87"/>
    </row>
    <row r="10518">
      <c r="A10518" s="86" t="str">
        <f>IFERROR(__xludf.DUMMYFUNCTION("""COMPUTED_VALUE"""),"")</f>
        <v/>
      </c>
      <c r="B10518" s="87"/>
      <c r="C10518" s="87"/>
      <c r="D10518" s="87"/>
      <c r="E10518" s="87"/>
      <c r="F10518" s="87"/>
      <c r="G10518" s="87"/>
    </row>
    <row r="10519">
      <c r="A10519" s="86" t="str">
        <f>IFERROR(__xludf.DUMMYFUNCTION("""COMPUTED_VALUE"""),"")</f>
        <v/>
      </c>
      <c r="B10519" s="87"/>
      <c r="C10519" s="87"/>
      <c r="D10519" s="87"/>
      <c r="E10519" s="87"/>
      <c r="F10519" s="87"/>
      <c r="G10519" s="87"/>
    </row>
    <row r="10520">
      <c r="A10520" s="86" t="str">
        <f>IFERROR(__xludf.DUMMYFUNCTION("""COMPUTED_VALUE"""),"")</f>
        <v/>
      </c>
      <c r="B10520" s="87"/>
      <c r="C10520" s="87"/>
      <c r="D10520" s="87"/>
      <c r="E10520" s="87"/>
      <c r="F10520" s="87"/>
      <c r="G10520" s="87"/>
    </row>
    <row r="10521">
      <c r="A10521" s="86" t="str">
        <f>IFERROR(__xludf.DUMMYFUNCTION("""COMPUTED_VALUE"""),"")</f>
        <v/>
      </c>
      <c r="B10521" s="87"/>
      <c r="C10521" s="87"/>
      <c r="D10521" s="87"/>
      <c r="E10521" s="87"/>
      <c r="F10521" s="87"/>
      <c r="G10521" s="87"/>
    </row>
    <row r="10522">
      <c r="A10522" s="86" t="str">
        <f>IFERROR(__xludf.DUMMYFUNCTION("""COMPUTED_VALUE"""),"")</f>
        <v/>
      </c>
      <c r="B10522" s="87"/>
      <c r="C10522" s="87"/>
      <c r="D10522" s="87"/>
      <c r="E10522" s="87"/>
      <c r="F10522" s="87"/>
      <c r="G10522" s="87"/>
    </row>
    <row r="10523">
      <c r="A10523" s="86" t="str">
        <f>IFERROR(__xludf.DUMMYFUNCTION("""COMPUTED_VALUE"""),"")</f>
        <v/>
      </c>
      <c r="B10523" s="87"/>
      <c r="C10523" s="87"/>
      <c r="D10523" s="87"/>
      <c r="E10523" s="87"/>
      <c r="F10523" s="87"/>
      <c r="G10523" s="87"/>
    </row>
    <row r="10524">
      <c r="A10524" s="86" t="str">
        <f>IFERROR(__xludf.DUMMYFUNCTION("""COMPUTED_VALUE"""),"")</f>
        <v/>
      </c>
      <c r="B10524" s="87"/>
      <c r="C10524" s="87"/>
      <c r="D10524" s="87"/>
      <c r="E10524" s="87"/>
      <c r="F10524" s="87"/>
      <c r="G10524" s="87"/>
    </row>
    <row r="10525">
      <c r="A10525" s="86" t="str">
        <f>IFERROR(__xludf.DUMMYFUNCTION("""COMPUTED_VALUE"""),"")</f>
        <v/>
      </c>
      <c r="B10525" s="87"/>
      <c r="C10525" s="87"/>
      <c r="D10525" s="87"/>
      <c r="E10525" s="87"/>
      <c r="F10525" s="87"/>
      <c r="G10525" s="87"/>
    </row>
    <row r="10526">
      <c r="A10526" s="86" t="str">
        <f>IFERROR(__xludf.DUMMYFUNCTION("""COMPUTED_VALUE"""),"")</f>
        <v/>
      </c>
      <c r="B10526" s="87"/>
      <c r="C10526" s="87"/>
      <c r="D10526" s="87"/>
      <c r="E10526" s="87"/>
      <c r="F10526" s="87"/>
      <c r="G10526" s="87"/>
    </row>
    <row r="10527">
      <c r="A10527" s="86" t="str">
        <f>IFERROR(__xludf.DUMMYFUNCTION("""COMPUTED_VALUE"""),"")</f>
        <v/>
      </c>
      <c r="B10527" s="87"/>
      <c r="C10527" s="87"/>
      <c r="D10527" s="87"/>
      <c r="E10527" s="87"/>
      <c r="F10527" s="87"/>
      <c r="G10527" s="87"/>
    </row>
    <row r="10528">
      <c r="A10528" s="86" t="str">
        <f>IFERROR(__xludf.DUMMYFUNCTION("""COMPUTED_VALUE"""),"")</f>
        <v/>
      </c>
      <c r="B10528" s="87"/>
      <c r="C10528" s="87"/>
      <c r="D10528" s="87"/>
      <c r="E10528" s="87"/>
      <c r="F10528" s="87"/>
      <c r="G10528" s="87"/>
    </row>
    <row r="10529">
      <c r="A10529" s="86" t="str">
        <f>IFERROR(__xludf.DUMMYFUNCTION("""COMPUTED_VALUE"""),"")</f>
        <v/>
      </c>
      <c r="B10529" s="87"/>
      <c r="C10529" s="87"/>
      <c r="D10529" s="87"/>
      <c r="E10529" s="87"/>
      <c r="F10529" s="87"/>
      <c r="G10529" s="87"/>
    </row>
    <row r="10530">
      <c r="A10530" s="86" t="str">
        <f>IFERROR(__xludf.DUMMYFUNCTION("""COMPUTED_VALUE"""),"")</f>
        <v/>
      </c>
      <c r="B10530" s="87"/>
      <c r="C10530" s="87"/>
      <c r="D10530" s="87"/>
      <c r="E10530" s="87"/>
      <c r="F10530" s="87"/>
      <c r="G10530" s="87"/>
    </row>
    <row r="10531">
      <c r="A10531" s="86" t="str">
        <f>IFERROR(__xludf.DUMMYFUNCTION("""COMPUTED_VALUE"""),"")</f>
        <v/>
      </c>
      <c r="B10531" s="87"/>
      <c r="C10531" s="87"/>
      <c r="D10531" s="87"/>
      <c r="E10531" s="87"/>
      <c r="F10531" s="87"/>
      <c r="G10531" s="87"/>
    </row>
    <row r="10532">
      <c r="A10532" s="86" t="str">
        <f>IFERROR(__xludf.DUMMYFUNCTION("""COMPUTED_VALUE"""),"")</f>
        <v/>
      </c>
      <c r="B10532" s="87"/>
      <c r="C10532" s="87"/>
      <c r="D10532" s="87"/>
      <c r="E10532" s="87"/>
      <c r="F10532" s="87"/>
      <c r="G10532" s="87"/>
    </row>
    <row r="10533">
      <c r="A10533" s="86" t="str">
        <f>IFERROR(__xludf.DUMMYFUNCTION("""COMPUTED_VALUE"""),"")</f>
        <v/>
      </c>
      <c r="B10533" s="87"/>
      <c r="C10533" s="87"/>
      <c r="D10533" s="87"/>
      <c r="E10533" s="87"/>
      <c r="F10533" s="87"/>
      <c r="G10533" s="87"/>
    </row>
    <row r="10534">
      <c r="A10534" s="86" t="str">
        <f>IFERROR(__xludf.DUMMYFUNCTION("""COMPUTED_VALUE"""),"")</f>
        <v/>
      </c>
      <c r="B10534" s="87"/>
      <c r="C10534" s="87"/>
      <c r="D10534" s="87"/>
      <c r="E10534" s="87"/>
      <c r="F10534" s="87"/>
      <c r="G10534" s="87"/>
    </row>
    <row r="10535">
      <c r="A10535" s="86" t="str">
        <f>IFERROR(__xludf.DUMMYFUNCTION("""COMPUTED_VALUE"""),"")</f>
        <v/>
      </c>
      <c r="B10535" s="87"/>
      <c r="C10535" s="87"/>
      <c r="D10535" s="87"/>
      <c r="E10535" s="87"/>
      <c r="F10535" s="87"/>
      <c r="G10535" s="87"/>
    </row>
    <row r="10536">
      <c r="A10536" s="86" t="str">
        <f>IFERROR(__xludf.DUMMYFUNCTION("""COMPUTED_VALUE"""),"")</f>
        <v/>
      </c>
      <c r="B10536" s="87"/>
      <c r="C10536" s="87"/>
      <c r="D10536" s="87"/>
      <c r="E10536" s="87"/>
      <c r="F10536" s="87"/>
      <c r="G10536" s="87"/>
    </row>
    <row r="10537">
      <c r="A10537" s="86" t="str">
        <f>IFERROR(__xludf.DUMMYFUNCTION("""COMPUTED_VALUE"""),"")</f>
        <v/>
      </c>
      <c r="B10537" s="87"/>
      <c r="C10537" s="87"/>
      <c r="D10537" s="87"/>
      <c r="E10537" s="87"/>
      <c r="F10537" s="87"/>
      <c r="G10537" s="87"/>
    </row>
    <row r="10538">
      <c r="A10538" s="86" t="str">
        <f>IFERROR(__xludf.DUMMYFUNCTION("""COMPUTED_VALUE"""),"")</f>
        <v/>
      </c>
      <c r="B10538" s="87"/>
      <c r="C10538" s="87"/>
      <c r="D10538" s="87"/>
      <c r="E10538" s="87"/>
      <c r="F10538" s="87"/>
      <c r="G10538" s="87"/>
    </row>
    <row r="10539">
      <c r="A10539" s="86" t="str">
        <f>IFERROR(__xludf.DUMMYFUNCTION("""COMPUTED_VALUE"""),"")</f>
        <v/>
      </c>
      <c r="B10539" s="87"/>
      <c r="C10539" s="87"/>
      <c r="D10539" s="87"/>
      <c r="E10539" s="87"/>
      <c r="F10539" s="87"/>
      <c r="G10539" s="87"/>
    </row>
    <row r="10540">
      <c r="A10540" s="86" t="str">
        <f>IFERROR(__xludf.DUMMYFUNCTION("""COMPUTED_VALUE"""),"")</f>
        <v/>
      </c>
      <c r="B10540" s="87"/>
      <c r="C10540" s="87"/>
      <c r="D10540" s="87"/>
      <c r="E10540" s="87"/>
      <c r="F10540" s="87"/>
      <c r="G10540" s="87"/>
    </row>
    <row r="10541">
      <c r="A10541" s="86" t="str">
        <f>IFERROR(__xludf.DUMMYFUNCTION("""COMPUTED_VALUE"""),"")</f>
        <v/>
      </c>
      <c r="B10541" s="87"/>
      <c r="C10541" s="87"/>
      <c r="D10541" s="87"/>
      <c r="E10541" s="87"/>
      <c r="F10541" s="87"/>
      <c r="G10541" s="87"/>
    </row>
    <row r="10542">
      <c r="A10542" s="86" t="str">
        <f>IFERROR(__xludf.DUMMYFUNCTION("""COMPUTED_VALUE"""),"")</f>
        <v/>
      </c>
      <c r="B10542" s="87"/>
      <c r="C10542" s="87"/>
      <c r="D10542" s="87"/>
      <c r="E10542" s="87"/>
      <c r="F10542" s="87"/>
      <c r="G10542" s="87"/>
    </row>
    <row r="10543">
      <c r="A10543" s="86" t="str">
        <f>IFERROR(__xludf.DUMMYFUNCTION("""COMPUTED_VALUE"""),"")</f>
        <v/>
      </c>
      <c r="B10543" s="87"/>
      <c r="C10543" s="87"/>
      <c r="D10543" s="87"/>
      <c r="E10543" s="87"/>
      <c r="F10543" s="87"/>
      <c r="G10543" s="87"/>
    </row>
    <row r="10544">
      <c r="A10544" s="86" t="str">
        <f>IFERROR(__xludf.DUMMYFUNCTION("""COMPUTED_VALUE"""),"")</f>
        <v/>
      </c>
      <c r="B10544" s="87"/>
      <c r="C10544" s="87"/>
      <c r="D10544" s="87"/>
      <c r="E10544" s="87"/>
      <c r="F10544" s="87"/>
      <c r="G10544" s="87"/>
    </row>
    <row r="10545">
      <c r="A10545" s="86" t="str">
        <f>IFERROR(__xludf.DUMMYFUNCTION("""COMPUTED_VALUE"""),"")</f>
        <v/>
      </c>
      <c r="B10545" s="87"/>
      <c r="C10545" s="87"/>
      <c r="D10545" s="87"/>
      <c r="E10545" s="87"/>
      <c r="F10545" s="87"/>
      <c r="G10545" s="87"/>
    </row>
    <row r="10546">
      <c r="A10546" s="86" t="str">
        <f>IFERROR(__xludf.DUMMYFUNCTION("""COMPUTED_VALUE"""),"")</f>
        <v/>
      </c>
      <c r="B10546" s="87"/>
      <c r="C10546" s="87"/>
      <c r="D10546" s="87"/>
      <c r="E10546" s="87"/>
      <c r="F10546" s="87"/>
      <c r="G10546" s="87"/>
    </row>
    <row r="10547">
      <c r="A10547" s="86" t="str">
        <f>IFERROR(__xludf.DUMMYFUNCTION("""COMPUTED_VALUE"""),"")</f>
        <v/>
      </c>
      <c r="B10547" s="87"/>
      <c r="C10547" s="87"/>
      <c r="D10547" s="87"/>
      <c r="E10547" s="87"/>
      <c r="F10547" s="87"/>
      <c r="G10547" s="87"/>
    </row>
    <row r="10548">
      <c r="A10548" s="86" t="str">
        <f>IFERROR(__xludf.DUMMYFUNCTION("""COMPUTED_VALUE"""),"")</f>
        <v/>
      </c>
      <c r="B10548" s="87"/>
      <c r="C10548" s="87"/>
      <c r="D10548" s="87"/>
      <c r="E10548" s="87"/>
      <c r="F10548" s="87"/>
      <c r="G10548" s="87"/>
    </row>
    <row r="10549">
      <c r="A10549" s="86" t="str">
        <f>IFERROR(__xludf.DUMMYFUNCTION("""COMPUTED_VALUE"""),"")</f>
        <v/>
      </c>
      <c r="B10549" s="87"/>
      <c r="C10549" s="87"/>
      <c r="D10549" s="87"/>
      <c r="E10549" s="87"/>
      <c r="F10549" s="87"/>
      <c r="G10549" s="87"/>
    </row>
    <row r="10550">
      <c r="A10550" s="86" t="str">
        <f>IFERROR(__xludf.DUMMYFUNCTION("""COMPUTED_VALUE"""),"")</f>
        <v/>
      </c>
      <c r="B10550" s="87"/>
      <c r="C10550" s="87"/>
      <c r="D10550" s="87"/>
      <c r="E10550" s="87"/>
      <c r="F10550" s="87"/>
      <c r="G10550" s="87"/>
    </row>
    <row r="10551">
      <c r="A10551" s="86" t="str">
        <f>IFERROR(__xludf.DUMMYFUNCTION("""COMPUTED_VALUE"""),"")</f>
        <v/>
      </c>
      <c r="B10551" s="87"/>
      <c r="C10551" s="87"/>
      <c r="D10551" s="87"/>
      <c r="E10551" s="87"/>
      <c r="F10551" s="87"/>
      <c r="G10551" s="87"/>
    </row>
    <row r="10552">
      <c r="A10552" s="86" t="str">
        <f>IFERROR(__xludf.DUMMYFUNCTION("""COMPUTED_VALUE"""),"")</f>
        <v/>
      </c>
      <c r="B10552" s="87"/>
      <c r="C10552" s="87"/>
      <c r="D10552" s="87"/>
      <c r="E10552" s="87"/>
      <c r="F10552" s="87"/>
      <c r="G10552" s="87"/>
    </row>
    <row r="10553">
      <c r="A10553" s="86" t="str">
        <f>IFERROR(__xludf.DUMMYFUNCTION("""COMPUTED_VALUE"""),"")</f>
        <v/>
      </c>
      <c r="B10553" s="87"/>
      <c r="C10553" s="87"/>
      <c r="D10553" s="87"/>
      <c r="E10553" s="87"/>
      <c r="F10553" s="87"/>
      <c r="G10553" s="87"/>
    </row>
    <row r="10554">
      <c r="A10554" s="86" t="str">
        <f>IFERROR(__xludf.DUMMYFUNCTION("""COMPUTED_VALUE"""),"")</f>
        <v/>
      </c>
      <c r="B10554" s="87"/>
      <c r="C10554" s="87"/>
      <c r="D10554" s="87"/>
      <c r="E10554" s="87"/>
      <c r="F10554" s="87"/>
      <c r="G10554" s="87"/>
    </row>
    <row r="10555">
      <c r="A10555" s="86" t="str">
        <f>IFERROR(__xludf.DUMMYFUNCTION("""COMPUTED_VALUE"""),"")</f>
        <v/>
      </c>
      <c r="B10555" s="87"/>
      <c r="C10555" s="87"/>
      <c r="D10555" s="87"/>
      <c r="E10555" s="87"/>
      <c r="F10555" s="87"/>
      <c r="G10555" s="87"/>
    </row>
    <row r="10556">
      <c r="A10556" s="86" t="str">
        <f>IFERROR(__xludf.DUMMYFUNCTION("""COMPUTED_VALUE"""),"")</f>
        <v/>
      </c>
      <c r="B10556" s="87"/>
      <c r="C10556" s="87"/>
      <c r="D10556" s="87"/>
      <c r="E10556" s="87"/>
      <c r="F10556" s="87"/>
      <c r="G10556" s="87"/>
    </row>
    <row r="10557">
      <c r="A10557" s="86" t="str">
        <f>IFERROR(__xludf.DUMMYFUNCTION("""COMPUTED_VALUE"""),"")</f>
        <v/>
      </c>
      <c r="B10557" s="87"/>
      <c r="C10557" s="87"/>
      <c r="D10557" s="87"/>
      <c r="E10557" s="87"/>
      <c r="F10557" s="87"/>
      <c r="G10557" s="87"/>
    </row>
    <row r="10558">
      <c r="A10558" s="86" t="str">
        <f>IFERROR(__xludf.DUMMYFUNCTION("""COMPUTED_VALUE"""),"")</f>
        <v/>
      </c>
      <c r="B10558" s="87"/>
      <c r="C10558" s="87"/>
      <c r="D10558" s="87"/>
      <c r="E10558" s="87"/>
      <c r="F10558" s="87"/>
      <c r="G10558" s="87"/>
    </row>
    <row r="10559">
      <c r="A10559" s="86" t="str">
        <f>IFERROR(__xludf.DUMMYFUNCTION("""COMPUTED_VALUE"""),"")</f>
        <v/>
      </c>
      <c r="B10559" s="87"/>
      <c r="C10559" s="87"/>
      <c r="D10559" s="87"/>
      <c r="E10559" s="87"/>
      <c r="F10559" s="87"/>
      <c r="G10559" s="87"/>
    </row>
    <row r="10560">
      <c r="A10560" s="86" t="str">
        <f>IFERROR(__xludf.DUMMYFUNCTION("""COMPUTED_VALUE"""),"")</f>
        <v/>
      </c>
      <c r="B10560" s="87"/>
      <c r="C10560" s="87"/>
      <c r="D10560" s="87"/>
      <c r="E10560" s="87"/>
      <c r="F10560" s="87"/>
      <c r="G10560" s="87"/>
    </row>
    <row r="10561">
      <c r="A10561" s="86" t="str">
        <f>IFERROR(__xludf.DUMMYFUNCTION("""COMPUTED_VALUE"""),"")</f>
        <v/>
      </c>
      <c r="B10561" s="87"/>
      <c r="C10561" s="87"/>
      <c r="D10561" s="87"/>
      <c r="E10561" s="87"/>
      <c r="F10561" s="87"/>
      <c r="G10561" s="87"/>
    </row>
    <row r="10562">
      <c r="A10562" s="86" t="str">
        <f>IFERROR(__xludf.DUMMYFUNCTION("""COMPUTED_VALUE"""),"")</f>
        <v/>
      </c>
      <c r="B10562" s="87"/>
      <c r="C10562" s="87"/>
      <c r="D10562" s="87"/>
      <c r="E10562" s="87"/>
      <c r="F10562" s="87"/>
      <c r="G10562" s="87"/>
    </row>
    <row r="10563">
      <c r="A10563" s="86" t="str">
        <f>IFERROR(__xludf.DUMMYFUNCTION("""COMPUTED_VALUE"""),"")</f>
        <v/>
      </c>
      <c r="B10563" s="87"/>
      <c r="C10563" s="87"/>
      <c r="D10563" s="87"/>
      <c r="E10563" s="87"/>
      <c r="F10563" s="87"/>
      <c r="G10563" s="87"/>
    </row>
    <row r="10564">
      <c r="A10564" s="86" t="str">
        <f>IFERROR(__xludf.DUMMYFUNCTION("""COMPUTED_VALUE"""),"")</f>
        <v/>
      </c>
      <c r="B10564" s="87"/>
      <c r="C10564" s="87"/>
      <c r="D10564" s="87"/>
      <c r="E10564" s="87"/>
      <c r="F10564" s="87"/>
      <c r="G10564" s="87"/>
    </row>
    <row r="10565">
      <c r="A10565" s="86" t="str">
        <f>IFERROR(__xludf.DUMMYFUNCTION("""COMPUTED_VALUE"""),"")</f>
        <v/>
      </c>
      <c r="B10565" s="87"/>
      <c r="C10565" s="87"/>
      <c r="D10565" s="87"/>
      <c r="E10565" s="87"/>
      <c r="F10565" s="87"/>
      <c r="G10565" s="87"/>
    </row>
    <row r="10566">
      <c r="A10566" s="86" t="str">
        <f>IFERROR(__xludf.DUMMYFUNCTION("""COMPUTED_VALUE"""),"")</f>
        <v/>
      </c>
      <c r="B10566" s="87"/>
      <c r="C10566" s="87"/>
      <c r="D10566" s="87"/>
      <c r="E10566" s="87"/>
      <c r="F10566" s="87"/>
      <c r="G10566" s="87"/>
    </row>
    <row r="10567">
      <c r="A10567" s="86" t="str">
        <f>IFERROR(__xludf.DUMMYFUNCTION("""COMPUTED_VALUE"""),"")</f>
        <v/>
      </c>
      <c r="B10567" s="87"/>
      <c r="C10567" s="87"/>
      <c r="D10567" s="87"/>
      <c r="E10567" s="87"/>
      <c r="F10567" s="87"/>
      <c r="G10567" s="87"/>
    </row>
    <row r="10568">
      <c r="A10568" s="86" t="str">
        <f>IFERROR(__xludf.DUMMYFUNCTION("""COMPUTED_VALUE"""),"")</f>
        <v/>
      </c>
      <c r="B10568" s="87"/>
      <c r="C10568" s="87"/>
      <c r="D10568" s="87"/>
      <c r="E10568" s="87"/>
      <c r="F10568" s="87"/>
      <c r="G10568" s="87"/>
    </row>
    <row r="10569">
      <c r="A10569" s="86" t="str">
        <f>IFERROR(__xludf.DUMMYFUNCTION("""COMPUTED_VALUE"""),"")</f>
        <v/>
      </c>
      <c r="B10569" s="87"/>
      <c r="C10569" s="87"/>
      <c r="D10569" s="87"/>
      <c r="E10569" s="87"/>
      <c r="F10569" s="87"/>
      <c r="G10569" s="87"/>
    </row>
    <row r="10570">
      <c r="A10570" s="86" t="str">
        <f>IFERROR(__xludf.DUMMYFUNCTION("""COMPUTED_VALUE"""),"")</f>
        <v/>
      </c>
      <c r="B10570" s="87"/>
      <c r="C10570" s="87"/>
      <c r="D10570" s="87"/>
      <c r="E10570" s="87"/>
      <c r="F10570" s="87"/>
      <c r="G10570" s="87"/>
    </row>
    <row r="10571">
      <c r="A10571" s="86" t="str">
        <f>IFERROR(__xludf.DUMMYFUNCTION("""COMPUTED_VALUE"""),"")</f>
        <v/>
      </c>
      <c r="B10571" s="87"/>
      <c r="C10571" s="87"/>
      <c r="D10571" s="87"/>
      <c r="E10571" s="87"/>
      <c r="F10571" s="87"/>
      <c r="G10571" s="87"/>
    </row>
    <row r="10572">
      <c r="A10572" s="86" t="str">
        <f>IFERROR(__xludf.DUMMYFUNCTION("""COMPUTED_VALUE"""),"")</f>
        <v/>
      </c>
      <c r="B10572" s="87"/>
      <c r="C10572" s="87"/>
      <c r="D10572" s="87"/>
      <c r="E10572" s="87"/>
      <c r="F10572" s="87"/>
      <c r="G10572" s="87"/>
    </row>
    <row r="10573">
      <c r="A10573" s="86" t="str">
        <f>IFERROR(__xludf.DUMMYFUNCTION("""COMPUTED_VALUE"""),"")</f>
        <v/>
      </c>
      <c r="B10573" s="87"/>
      <c r="C10573" s="87"/>
      <c r="D10573" s="87"/>
      <c r="E10573" s="87"/>
      <c r="F10573" s="87"/>
      <c r="G10573" s="87"/>
    </row>
    <row r="10574">
      <c r="A10574" s="86" t="str">
        <f>IFERROR(__xludf.DUMMYFUNCTION("""COMPUTED_VALUE"""),"")</f>
        <v/>
      </c>
      <c r="B10574" s="87"/>
      <c r="C10574" s="87"/>
      <c r="D10574" s="87"/>
      <c r="E10574" s="87"/>
      <c r="F10574" s="87"/>
      <c r="G10574" s="87"/>
    </row>
    <row r="10575">
      <c r="A10575" s="86" t="str">
        <f>IFERROR(__xludf.DUMMYFUNCTION("""COMPUTED_VALUE"""),"")</f>
        <v/>
      </c>
      <c r="B10575" s="87"/>
      <c r="C10575" s="87"/>
      <c r="D10575" s="87"/>
      <c r="E10575" s="87"/>
      <c r="F10575" s="87"/>
      <c r="G10575" s="87"/>
    </row>
    <row r="10576">
      <c r="A10576" s="86" t="str">
        <f>IFERROR(__xludf.DUMMYFUNCTION("""COMPUTED_VALUE"""),"")</f>
        <v/>
      </c>
      <c r="B10576" s="87"/>
      <c r="C10576" s="87"/>
      <c r="D10576" s="87"/>
      <c r="E10576" s="87"/>
      <c r="F10576" s="87"/>
      <c r="G10576" s="87"/>
    </row>
    <row r="10577">
      <c r="A10577" s="86" t="str">
        <f>IFERROR(__xludf.DUMMYFUNCTION("""COMPUTED_VALUE"""),"")</f>
        <v/>
      </c>
      <c r="B10577" s="87"/>
      <c r="C10577" s="87"/>
      <c r="D10577" s="87"/>
      <c r="E10577" s="87"/>
      <c r="F10577" s="87"/>
      <c r="G10577" s="87"/>
    </row>
    <row r="10578">
      <c r="A10578" s="86" t="str">
        <f>IFERROR(__xludf.DUMMYFUNCTION("""COMPUTED_VALUE"""),"")</f>
        <v/>
      </c>
      <c r="B10578" s="87"/>
      <c r="C10578" s="87"/>
      <c r="D10578" s="87"/>
      <c r="E10578" s="87"/>
      <c r="F10578" s="87"/>
      <c r="G10578" s="87"/>
    </row>
    <row r="10579">
      <c r="A10579" s="86" t="str">
        <f>IFERROR(__xludf.DUMMYFUNCTION("""COMPUTED_VALUE"""),"")</f>
        <v/>
      </c>
      <c r="B10579" s="87"/>
      <c r="C10579" s="87"/>
      <c r="D10579" s="87"/>
      <c r="E10579" s="87"/>
      <c r="F10579" s="87"/>
      <c r="G10579" s="87"/>
    </row>
    <row r="10580">
      <c r="A10580" s="86" t="str">
        <f>IFERROR(__xludf.DUMMYFUNCTION("""COMPUTED_VALUE"""),"")</f>
        <v/>
      </c>
      <c r="B10580" s="87"/>
      <c r="C10580" s="87"/>
      <c r="D10580" s="87"/>
      <c r="E10580" s="87"/>
      <c r="F10580" s="87"/>
      <c r="G10580" s="87"/>
    </row>
    <row r="10581">
      <c r="A10581" s="86" t="str">
        <f>IFERROR(__xludf.DUMMYFUNCTION("""COMPUTED_VALUE"""),"")</f>
        <v/>
      </c>
      <c r="B10581" s="87"/>
      <c r="C10581" s="87"/>
      <c r="D10581" s="87"/>
      <c r="E10581" s="87"/>
      <c r="F10581" s="87"/>
      <c r="G10581" s="87"/>
    </row>
    <row r="10582">
      <c r="A10582" s="86" t="str">
        <f>IFERROR(__xludf.DUMMYFUNCTION("""COMPUTED_VALUE"""),"")</f>
        <v/>
      </c>
      <c r="B10582" s="87"/>
      <c r="C10582" s="87"/>
      <c r="D10582" s="87"/>
      <c r="E10582" s="87"/>
      <c r="F10582" s="87"/>
      <c r="G10582" s="87"/>
    </row>
    <row r="10583">
      <c r="A10583" s="86" t="str">
        <f>IFERROR(__xludf.DUMMYFUNCTION("""COMPUTED_VALUE"""),"")</f>
        <v/>
      </c>
      <c r="B10583" s="87"/>
      <c r="C10583" s="87"/>
      <c r="D10583" s="87"/>
      <c r="E10583" s="87"/>
      <c r="F10583" s="87"/>
      <c r="G10583" s="87"/>
    </row>
    <row r="10584">
      <c r="A10584" s="86" t="str">
        <f>IFERROR(__xludf.DUMMYFUNCTION("""COMPUTED_VALUE"""),"")</f>
        <v/>
      </c>
      <c r="B10584" s="87"/>
      <c r="C10584" s="87"/>
      <c r="D10584" s="87"/>
      <c r="E10584" s="87"/>
      <c r="F10584" s="87"/>
      <c r="G10584" s="87"/>
    </row>
    <row r="10585">
      <c r="A10585" s="86" t="str">
        <f>IFERROR(__xludf.DUMMYFUNCTION("""COMPUTED_VALUE"""),"")</f>
        <v/>
      </c>
      <c r="B10585" s="87"/>
      <c r="C10585" s="87"/>
      <c r="D10585" s="87"/>
      <c r="E10585" s="87"/>
      <c r="F10585" s="87"/>
      <c r="G10585" s="87"/>
    </row>
    <row r="10586">
      <c r="A10586" s="86" t="str">
        <f>IFERROR(__xludf.DUMMYFUNCTION("""COMPUTED_VALUE"""),"")</f>
        <v/>
      </c>
      <c r="B10586" s="87"/>
      <c r="C10586" s="87"/>
      <c r="D10586" s="87"/>
      <c r="E10586" s="87"/>
      <c r="F10586" s="87"/>
      <c r="G10586" s="87"/>
    </row>
    <row r="10587">
      <c r="A10587" s="86" t="str">
        <f>IFERROR(__xludf.DUMMYFUNCTION("""COMPUTED_VALUE"""),"")</f>
        <v/>
      </c>
      <c r="B10587" s="87"/>
      <c r="C10587" s="87"/>
      <c r="D10587" s="87"/>
      <c r="E10587" s="87"/>
      <c r="F10587" s="87"/>
      <c r="G10587" s="87"/>
    </row>
    <row r="10588">
      <c r="A10588" s="86" t="str">
        <f>IFERROR(__xludf.DUMMYFUNCTION("""COMPUTED_VALUE"""),"")</f>
        <v/>
      </c>
      <c r="B10588" s="87"/>
      <c r="C10588" s="87"/>
      <c r="D10588" s="87"/>
      <c r="E10588" s="87"/>
      <c r="F10588" s="87"/>
      <c r="G10588" s="87"/>
    </row>
    <row r="10589">
      <c r="A10589" s="86" t="str">
        <f>IFERROR(__xludf.DUMMYFUNCTION("""COMPUTED_VALUE"""),"")</f>
        <v/>
      </c>
      <c r="B10589" s="87"/>
      <c r="C10589" s="87"/>
      <c r="D10589" s="87"/>
      <c r="E10589" s="87"/>
      <c r="F10589" s="87"/>
      <c r="G10589" s="87"/>
    </row>
    <row r="10590">
      <c r="A10590" s="86" t="str">
        <f>IFERROR(__xludf.DUMMYFUNCTION("""COMPUTED_VALUE"""),"")</f>
        <v/>
      </c>
      <c r="B10590" s="87"/>
      <c r="C10590" s="87"/>
      <c r="D10590" s="87"/>
      <c r="E10590" s="87"/>
      <c r="F10590" s="87"/>
      <c r="G10590" s="87"/>
    </row>
    <row r="10591">
      <c r="A10591" s="86" t="str">
        <f>IFERROR(__xludf.DUMMYFUNCTION("""COMPUTED_VALUE"""),"")</f>
        <v/>
      </c>
      <c r="B10591" s="87"/>
      <c r="C10591" s="87"/>
      <c r="D10591" s="87"/>
      <c r="E10591" s="87"/>
      <c r="F10591" s="87"/>
      <c r="G10591" s="87"/>
    </row>
    <row r="10592">
      <c r="A10592" s="86" t="str">
        <f>IFERROR(__xludf.DUMMYFUNCTION("""COMPUTED_VALUE"""),"")</f>
        <v/>
      </c>
      <c r="B10592" s="87"/>
      <c r="C10592" s="87"/>
      <c r="D10592" s="87"/>
      <c r="E10592" s="87"/>
      <c r="F10592" s="87"/>
      <c r="G10592" s="87"/>
    </row>
    <row r="10593">
      <c r="A10593" s="86" t="str">
        <f>IFERROR(__xludf.DUMMYFUNCTION("""COMPUTED_VALUE"""),"")</f>
        <v/>
      </c>
      <c r="B10593" s="87"/>
      <c r="C10593" s="87"/>
      <c r="D10593" s="87"/>
      <c r="E10593" s="87"/>
      <c r="F10593" s="87"/>
      <c r="G10593" s="87"/>
    </row>
    <row r="10594">
      <c r="A10594" s="86" t="str">
        <f>IFERROR(__xludf.DUMMYFUNCTION("""COMPUTED_VALUE"""),"")</f>
        <v/>
      </c>
      <c r="B10594" s="87"/>
      <c r="C10594" s="87"/>
      <c r="D10594" s="87"/>
      <c r="E10594" s="87"/>
      <c r="F10594" s="87"/>
      <c r="G10594" s="87"/>
    </row>
    <row r="10595">
      <c r="A10595" s="86" t="str">
        <f>IFERROR(__xludf.DUMMYFUNCTION("""COMPUTED_VALUE"""),"")</f>
        <v/>
      </c>
      <c r="B10595" s="87"/>
      <c r="C10595" s="87"/>
      <c r="D10595" s="87"/>
      <c r="E10595" s="87"/>
      <c r="F10595" s="87"/>
      <c r="G10595" s="87"/>
    </row>
    <row r="10596">
      <c r="A10596" s="86" t="str">
        <f>IFERROR(__xludf.DUMMYFUNCTION("""COMPUTED_VALUE"""),"")</f>
        <v/>
      </c>
      <c r="B10596" s="87"/>
      <c r="C10596" s="87"/>
      <c r="D10596" s="87"/>
      <c r="E10596" s="87"/>
      <c r="F10596" s="87"/>
      <c r="G10596" s="87"/>
    </row>
    <row r="10597">
      <c r="A10597" s="86" t="str">
        <f>IFERROR(__xludf.DUMMYFUNCTION("""COMPUTED_VALUE"""),"")</f>
        <v/>
      </c>
      <c r="B10597" s="87"/>
      <c r="C10597" s="87"/>
      <c r="D10597" s="87"/>
      <c r="E10597" s="87"/>
      <c r="F10597" s="87"/>
      <c r="G10597" s="87"/>
    </row>
    <row r="10598">
      <c r="A10598" s="86" t="str">
        <f>IFERROR(__xludf.DUMMYFUNCTION("""COMPUTED_VALUE"""),"")</f>
        <v/>
      </c>
      <c r="B10598" s="87"/>
      <c r="C10598" s="87"/>
      <c r="D10598" s="87"/>
      <c r="E10598" s="87"/>
      <c r="F10598" s="87"/>
      <c r="G10598" s="87"/>
    </row>
    <row r="10599">
      <c r="A10599" s="86" t="str">
        <f>IFERROR(__xludf.DUMMYFUNCTION("""COMPUTED_VALUE"""),"")</f>
        <v/>
      </c>
      <c r="B10599" s="87"/>
      <c r="C10599" s="87"/>
      <c r="D10599" s="87"/>
      <c r="E10599" s="87"/>
      <c r="F10599" s="87"/>
      <c r="G10599" s="87"/>
    </row>
    <row r="10600">
      <c r="A10600" s="86" t="str">
        <f>IFERROR(__xludf.DUMMYFUNCTION("""COMPUTED_VALUE"""),"")</f>
        <v/>
      </c>
      <c r="B10600" s="87"/>
      <c r="C10600" s="87"/>
      <c r="D10600" s="87"/>
      <c r="E10600" s="87"/>
      <c r="F10600" s="87"/>
      <c r="G10600" s="87"/>
    </row>
    <row r="10601">
      <c r="A10601" s="86" t="str">
        <f>IFERROR(__xludf.DUMMYFUNCTION("""COMPUTED_VALUE"""),"")</f>
        <v/>
      </c>
      <c r="B10601" s="87"/>
      <c r="C10601" s="87"/>
      <c r="D10601" s="87"/>
      <c r="E10601" s="87"/>
      <c r="F10601" s="87"/>
      <c r="G10601" s="87"/>
    </row>
    <row r="10602">
      <c r="A10602" s="86" t="str">
        <f>IFERROR(__xludf.DUMMYFUNCTION("""COMPUTED_VALUE"""),"")</f>
        <v/>
      </c>
      <c r="B10602" s="87"/>
      <c r="C10602" s="87"/>
      <c r="D10602" s="87"/>
      <c r="E10602" s="87"/>
      <c r="F10602" s="87"/>
      <c r="G10602" s="87"/>
    </row>
    <row r="10603">
      <c r="A10603" s="86" t="str">
        <f>IFERROR(__xludf.DUMMYFUNCTION("""COMPUTED_VALUE"""),"")</f>
        <v/>
      </c>
      <c r="B10603" s="87"/>
      <c r="C10603" s="87"/>
      <c r="D10603" s="87"/>
      <c r="E10603" s="87"/>
      <c r="F10603" s="87"/>
      <c r="G10603" s="87"/>
    </row>
    <row r="10604">
      <c r="A10604" s="86" t="str">
        <f>IFERROR(__xludf.DUMMYFUNCTION("""COMPUTED_VALUE"""),"")</f>
        <v/>
      </c>
      <c r="B10604" s="87"/>
      <c r="C10604" s="87"/>
      <c r="D10604" s="87"/>
      <c r="E10604" s="87"/>
      <c r="F10604" s="87"/>
      <c r="G10604" s="87"/>
    </row>
    <row r="10605">
      <c r="A10605" s="86" t="str">
        <f>IFERROR(__xludf.DUMMYFUNCTION("""COMPUTED_VALUE"""),"")</f>
        <v/>
      </c>
      <c r="B10605" s="87"/>
      <c r="C10605" s="87"/>
      <c r="D10605" s="87"/>
      <c r="E10605" s="87"/>
      <c r="F10605" s="87"/>
      <c r="G10605" s="87"/>
    </row>
    <row r="10606">
      <c r="A10606" s="86" t="str">
        <f>IFERROR(__xludf.DUMMYFUNCTION("""COMPUTED_VALUE"""),"")</f>
        <v/>
      </c>
      <c r="B10606" s="87"/>
      <c r="C10606" s="87"/>
      <c r="D10606" s="87"/>
      <c r="E10606" s="87"/>
      <c r="F10606" s="87"/>
      <c r="G10606" s="87"/>
    </row>
    <row r="10607">
      <c r="A10607" s="86" t="str">
        <f>IFERROR(__xludf.DUMMYFUNCTION("""COMPUTED_VALUE"""),"")</f>
        <v/>
      </c>
      <c r="B10607" s="87"/>
      <c r="C10607" s="87"/>
      <c r="D10607" s="87"/>
      <c r="E10607" s="87"/>
      <c r="F10607" s="87"/>
      <c r="G10607" s="87"/>
    </row>
    <row r="10608">
      <c r="A10608" s="86" t="str">
        <f>IFERROR(__xludf.DUMMYFUNCTION("""COMPUTED_VALUE"""),"")</f>
        <v/>
      </c>
      <c r="B10608" s="87"/>
      <c r="C10608" s="87"/>
      <c r="D10608" s="87"/>
      <c r="E10608" s="87"/>
      <c r="F10608" s="87"/>
      <c r="G10608" s="87"/>
    </row>
    <row r="10609">
      <c r="A10609" s="86" t="str">
        <f>IFERROR(__xludf.DUMMYFUNCTION("""COMPUTED_VALUE"""),"")</f>
        <v/>
      </c>
      <c r="B10609" s="87"/>
      <c r="C10609" s="87"/>
      <c r="D10609" s="87"/>
      <c r="E10609" s="87"/>
      <c r="F10609" s="87"/>
      <c r="G10609" s="87"/>
    </row>
    <row r="10610">
      <c r="A10610" s="86" t="str">
        <f>IFERROR(__xludf.DUMMYFUNCTION("""COMPUTED_VALUE"""),"")</f>
        <v/>
      </c>
      <c r="B10610" s="87"/>
      <c r="C10610" s="87"/>
      <c r="D10610" s="87"/>
      <c r="E10610" s="87"/>
      <c r="F10610" s="87"/>
      <c r="G10610" s="87"/>
    </row>
    <row r="10611">
      <c r="A10611" s="86" t="str">
        <f>IFERROR(__xludf.DUMMYFUNCTION("""COMPUTED_VALUE"""),"")</f>
        <v/>
      </c>
      <c r="B10611" s="87"/>
      <c r="C10611" s="87"/>
      <c r="D10611" s="87"/>
      <c r="E10611" s="87"/>
      <c r="F10611" s="87"/>
      <c r="G10611" s="87"/>
    </row>
    <row r="10612">
      <c r="A10612" s="86" t="str">
        <f>IFERROR(__xludf.DUMMYFUNCTION("""COMPUTED_VALUE"""),"")</f>
        <v/>
      </c>
      <c r="B10612" s="87"/>
      <c r="C10612" s="87"/>
      <c r="D10612" s="87"/>
      <c r="E10612" s="87"/>
      <c r="F10612" s="87"/>
      <c r="G10612" s="87"/>
    </row>
    <row r="10613">
      <c r="A10613" s="86" t="str">
        <f>IFERROR(__xludf.DUMMYFUNCTION("""COMPUTED_VALUE"""),"")</f>
        <v/>
      </c>
      <c r="B10613" s="87"/>
      <c r="C10613" s="87"/>
      <c r="D10613" s="87"/>
      <c r="E10613" s="87"/>
      <c r="F10613" s="87"/>
      <c r="G10613" s="87"/>
    </row>
    <row r="10614">
      <c r="A10614" s="86" t="str">
        <f>IFERROR(__xludf.DUMMYFUNCTION("""COMPUTED_VALUE"""),"")</f>
        <v/>
      </c>
      <c r="B10614" s="87"/>
      <c r="C10614" s="87"/>
      <c r="D10614" s="87"/>
      <c r="E10614" s="87"/>
      <c r="F10614" s="87"/>
      <c r="G10614" s="87"/>
    </row>
    <row r="10615">
      <c r="A10615" s="86" t="str">
        <f>IFERROR(__xludf.DUMMYFUNCTION("""COMPUTED_VALUE"""),"")</f>
        <v/>
      </c>
      <c r="B10615" s="87"/>
      <c r="C10615" s="87"/>
      <c r="D10615" s="87"/>
      <c r="E10615" s="87"/>
      <c r="F10615" s="87"/>
      <c r="G10615" s="87"/>
    </row>
    <row r="10616">
      <c r="A10616" s="86" t="str">
        <f>IFERROR(__xludf.DUMMYFUNCTION("""COMPUTED_VALUE"""),"")</f>
        <v/>
      </c>
      <c r="B10616" s="87"/>
      <c r="C10616" s="87"/>
      <c r="D10616" s="87"/>
      <c r="E10616" s="87"/>
      <c r="F10616" s="87"/>
      <c r="G10616" s="87"/>
    </row>
    <row r="10617">
      <c r="A10617" s="86" t="str">
        <f>IFERROR(__xludf.DUMMYFUNCTION("""COMPUTED_VALUE"""),"")</f>
        <v/>
      </c>
      <c r="B10617" s="87"/>
      <c r="C10617" s="87"/>
      <c r="D10617" s="87"/>
      <c r="E10617" s="87"/>
      <c r="F10617" s="87"/>
      <c r="G10617" s="87"/>
    </row>
    <row r="10618">
      <c r="A10618" s="86" t="str">
        <f>IFERROR(__xludf.DUMMYFUNCTION("""COMPUTED_VALUE"""),"")</f>
        <v/>
      </c>
      <c r="B10618" s="87"/>
      <c r="C10618" s="87"/>
      <c r="D10618" s="87"/>
      <c r="E10618" s="87"/>
      <c r="F10618" s="87"/>
      <c r="G10618" s="87"/>
    </row>
    <row r="10619">
      <c r="A10619" s="86" t="str">
        <f>IFERROR(__xludf.DUMMYFUNCTION("""COMPUTED_VALUE"""),"")</f>
        <v/>
      </c>
      <c r="B10619" s="87"/>
      <c r="C10619" s="87"/>
      <c r="D10619" s="87"/>
      <c r="E10619" s="87"/>
      <c r="F10619" s="87"/>
      <c r="G10619" s="87"/>
    </row>
    <row r="10620">
      <c r="A10620" s="86" t="str">
        <f>IFERROR(__xludf.DUMMYFUNCTION("""COMPUTED_VALUE"""),"")</f>
        <v/>
      </c>
      <c r="B10620" s="87"/>
      <c r="C10620" s="87"/>
      <c r="D10620" s="87"/>
      <c r="E10620" s="87"/>
      <c r="F10620" s="87"/>
      <c r="G10620" s="87"/>
    </row>
    <row r="10621">
      <c r="A10621" s="86" t="str">
        <f>IFERROR(__xludf.DUMMYFUNCTION("""COMPUTED_VALUE"""),"")</f>
        <v/>
      </c>
      <c r="B10621" s="87"/>
      <c r="C10621" s="87"/>
      <c r="D10621" s="87"/>
      <c r="E10621" s="87"/>
      <c r="F10621" s="87"/>
      <c r="G10621" s="87"/>
    </row>
    <row r="10622">
      <c r="A10622" s="86" t="str">
        <f>IFERROR(__xludf.DUMMYFUNCTION("""COMPUTED_VALUE"""),"")</f>
        <v/>
      </c>
      <c r="B10622" s="87"/>
      <c r="C10622" s="87"/>
      <c r="D10622" s="87"/>
      <c r="E10622" s="87"/>
      <c r="F10622" s="87"/>
      <c r="G10622" s="87"/>
    </row>
    <row r="10623">
      <c r="A10623" s="86" t="str">
        <f>IFERROR(__xludf.DUMMYFUNCTION("""COMPUTED_VALUE"""),"")</f>
        <v/>
      </c>
      <c r="B10623" s="87"/>
      <c r="C10623" s="87"/>
      <c r="D10623" s="87"/>
      <c r="E10623" s="87"/>
      <c r="F10623" s="87"/>
      <c r="G10623" s="87"/>
    </row>
    <row r="10624">
      <c r="A10624" s="86" t="str">
        <f>IFERROR(__xludf.DUMMYFUNCTION("""COMPUTED_VALUE"""),"")</f>
        <v/>
      </c>
      <c r="B10624" s="87"/>
      <c r="C10624" s="87"/>
      <c r="D10624" s="87"/>
      <c r="E10624" s="87"/>
      <c r="F10624" s="87"/>
      <c r="G10624" s="87"/>
    </row>
    <row r="10625">
      <c r="A10625" s="86" t="str">
        <f>IFERROR(__xludf.DUMMYFUNCTION("""COMPUTED_VALUE"""),"")</f>
        <v/>
      </c>
      <c r="B10625" s="87"/>
      <c r="C10625" s="87"/>
      <c r="D10625" s="87"/>
      <c r="E10625" s="87"/>
      <c r="F10625" s="87"/>
      <c r="G10625" s="87"/>
    </row>
    <row r="10626">
      <c r="A10626" s="86" t="str">
        <f>IFERROR(__xludf.DUMMYFUNCTION("""COMPUTED_VALUE"""),"")</f>
        <v/>
      </c>
      <c r="B10626" s="87"/>
      <c r="C10626" s="87"/>
      <c r="D10626" s="87"/>
      <c r="E10626" s="87"/>
      <c r="F10626" s="87"/>
      <c r="G10626" s="87"/>
    </row>
    <row r="10627">
      <c r="A10627" s="86" t="str">
        <f>IFERROR(__xludf.DUMMYFUNCTION("""COMPUTED_VALUE"""),"")</f>
        <v/>
      </c>
      <c r="B10627" s="87"/>
      <c r="C10627" s="87"/>
      <c r="D10627" s="87"/>
      <c r="E10627" s="87"/>
      <c r="F10627" s="87"/>
      <c r="G10627" s="87"/>
    </row>
    <row r="10628">
      <c r="A10628" s="86" t="str">
        <f>IFERROR(__xludf.DUMMYFUNCTION("""COMPUTED_VALUE"""),"")</f>
        <v/>
      </c>
      <c r="B10628" s="87"/>
      <c r="C10628" s="87"/>
      <c r="D10628" s="87"/>
      <c r="E10628" s="87"/>
      <c r="F10628" s="87"/>
      <c r="G10628" s="87"/>
    </row>
    <row r="10629">
      <c r="A10629" s="86" t="str">
        <f>IFERROR(__xludf.DUMMYFUNCTION("""COMPUTED_VALUE"""),"")</f>
        <v/>
      </c>
      <c r="B10629" s="87"/>
      <c r="C10629" s="87"/>
      <c r="D10629" s="87"/>
      <c r="E10629" s="87"/>
      <c r="F10629" s="87"/>
      <c r="G10629" s="87"/>
    </row>
    <row r="10630">
      <c r="A10630" s="86" t="str">
        <f>IFERROR(__xludf.DUMMYFUNCTION("""COMPUTED_VALUE"""),"")</f>
        <v/>
      </c>
      <c r="B10630" s="87"/>
      <c r="C10630" s="87"/>
      <c r="D10630" s="87"/>
      <c r="E10630" s="87"/>
      <c r="F10630" s="87"/>
      <c r="G10630" s="87"/>
    </row>
    <row r="10631">
      <c r="A10631" s="86" t="str">
        <f>IFERROR(__xludf.DUMMYFUNCTION("""COMPUTED_VALUE"""),"")</f>
        <v/>
      </c>
      <c r="B10631" s="87"/>
      <c r="C10631" s="87"/>
      <c r="D10631" s="87"/>
      <c r="E10631" s="87"/>
      <c r="F10631" s="87"/>
      <c r="G10631" s="87"/>
    </row>
    <row r="10632">
      <c r="A10632" s="86" t="str">
        <f>IFERROR(__xludf.DUMMYFUNCTION("""COMPUTED_VALUE"""),"")</f>
        <v/>
      </c>
      <c r="B10632" s="87"/>
      <c r="C10632" s="87"/>
      <c r="D10632" s="87"/>
      <c r="E10632" s="87"/>
      <c r="F10632" s="87"/>
      <c r="G10632" s="87"/>
    </row>
    <row r="10633">
      <c r="A10633" s="86" t="str">
        <f>IFERROR(__xludf.DUMMYFUNCTION("""COMPUTED_VALUE"""),"")</f>
        <v/>
      </c>
      <c r="B10633" s="87"/>
      <c r="C10633" s="87"/>
      <c r="D10633" s="87"/>
      <c r="E10633" s="87"/>
      <c r="F10633" s="87"/>
      <c r="G10633" s="87"/>
    </row>
    <row r="10634">
      <c r="A10634" s="86" t="str">
        <f>IFERROR(__xludf.DUMMYFUNCTION("""COMPUTED_VALUE"""),"")</f>
        <v/>
      </c>
      <c r="B10634" s="87"/>
      <c r="C10634" s="87"/>
      <c r="D10634" s="87"/>
      <c r="E10634" s="87"/>
      <c r="F10634" s="87"/>
      <c r="G10634" s="87"/>
    </row>
    <row r="10635">
      <c r="A10635" s="86" t="str">
        <f>IFERROR(__xludf.DUMMYFUNCTION("""COMPUTED_VALUE"""),"")</f>
        <v/>
      </c>
      <c r="B10635" s="87"/>
      <c r="C10635" s="87"/>
      <c r="D10635" s="87"/>
      <c r="E10635" s="87"/>
      <c r="F10635" s="87"/>
      <c r="G10635" s="87"/>
    </row>
    <row r="10636">
      <c r="A10636" s="86" t="str">
        <f>IFERROR(__xludf.DUMMYFUNCTION("""COMPUTED_VALUE"""),"")</f>
        <v/>
      </c>
      <c r="B10636" s="87"/>
      <c r="C10636" s="87"/>
      <c r="D10636" s="87"/>
      <c r="E10636" s="87"/>
      <c r="F10636" s="87"/>
      <c r="G10636" s="87"/>
    </row>
    <row r="10637">
      <c r="A10637" s="86" t="str">
        <f>IFERROR(__xludf.DUMMYFUNCTION("""COMPUTED_VALUE"""),"")</f>
        <v/>
      </c>
      <c r="B10637" s="87"/>
      <c r="C10637" s="87"/>
      <c r="D10637" s="87"/>
      <c r="E10637" s="87"/>
      <c r="F10637" s="87"/>
      <c r="G10637" s="87"/>
    </row>
    <row r="10638">
      <c r="A10638" s="86" t="str">
        <f>IFERROR(__xludf.DUMMYFUNCTION("""COMPUTED_VALUE"""),"")</f>
        <v/>
      </c>
      <c r="B10638" s="87"/>
      <c r="C10638" s="87"/>
      <c r="D10638" s="87"/>
      <c r="E10638" s="87"/>
      <c r="F10638" s="87"/>
      <c r="G10638" s="87"/>
    </row>
    <row r="10639">
      <c r="A10639" s="86" t="str">
        <f>IFERROR(__xludf.DUMMYFUNCTION("""COMPUTED_VALUE"""),"")</f>
        <v/>
      </c>
      <c r="B10639" s="87"/>
      <c r="C10639" s="87"/>
      <c r="D10639" s="87"/>
      <c r="E10639" s="87"/>
      <c r="F10639" s="87"/>
      <c r="G10639" s="87"/>
    </row>
    <row r="10640">
      <c r="A10640" s="86" t="str">
        <f>IFERROR(__xludf.DUMMYFUNCTION("""COMPUTED_VALUE"""),"")</f>
        <v/>
      </c>
      <c r="B10640" s="87"/>
      <c r="C10640" s="87"/>
      <c r="D10640" s="87"/>
      <c r="E10640" s="87"/>
      <c r="F10640" s="87"/>
      <c r="G10640" s="87"/>
    </row>
    <row r="10641">
      <c r="A10641" s="86" t="str">
        <f>IFERROR(__xludf.DUMMYFUNCTION("""COMPUTED_VALUE"""),"")</f>
        <v/>
      </c>
      <c r="B10641" s="87"/>
      <c r="C10641" s="87"/>
      <c r="D10641" s="87"/>
      <c r="E10641" s="87"/>
      <c r="F10641" s="87"/>
      <c r="G10641" s="87"/>
    </row>
    <row r="10642">
      <c r="A10642" s="86" t="str">
        <f>IFERROR(__xludf.DUMMYFUNCTION("""COMPUTED_VALUE"""),"")</f>
        <v/>
      </c>
      <c r="B10642" s="87"/>
      <c r="C10642" s="87"/>
      <c r="D10642" s="87"/>
      <c r="E10642" s="87"/>
      <c r="F10642" s="87"/>
      <c r="G10642" s="87"/>
    </row>
    <row r="10643">
      <c r="A10643" s="86" t="str">
        <f>IFERROR(__xludf.DUMMYFUNCTION("""COMPUTED_VALUE"""),"")</f>
        <v/>
      </c>
      <c r="B10643" s="87"/>
      <c r="C10643" s="87"/>
      <c r="D10643" s="87"/>
      <c r="E10643" s="87"/>
      <c r="F10643" s="87"/>
      <c r="G10643" s="87"/>
    </row>
    <row r="10644">
      <c r="A10644" s="86" t="str">
        <f>IFERROR(__xludf.DUMMYFUNCTION("""COMPUTED_VALUE"""),"")</f>
        <v/>
      </c>
      <c r="B10644" s="87"/>
      <c r="C10644" s="87"/>
      <c r="D10644" s="87"/>
      <c r="E10644" s="87"/>
      <c r="F10644" s="87"/>
      <c r="G10644" s="87"/>
    </row>
    <row r="10645">
      <c r="A10645" s="86" t="str">
        <f>IFERROR(__xludf.DUMMYFUNCTION("""COMPUTED_VALUE"""),"")</f>
        <v/>
      </c>
      <c r="B10645" s="87"/>
      <c r="C10645" s="87"/>
      <c r="D10645" s="87"/>
      <c r="E10645" s="87"/>
      <c r="F10645" s="87"/>
      <c r="G10645" s="87"/>
    </row>
    <row r="10646">
      <c r="A10646" s="86" t="str">
        <f>IFERROR(__xludf.DUMMYFUNCTION("""COMPUTED_VALUE"""),"")</f>
        <v/>
      </c>
      <c r="B10646" s="87"/>
      <c r="C10646" s="87"/>
      <c r="D10646" s="87"/>
      <c r="E10646" s="87"/>
      <c r="F10646" s="87"/>
      <c r="G10646" s="87"/>
    </row>
    <row r="10647">
      <c r="A10647" s="86" t="str">
        <f>IFERROR(__xludf.DUMMYFUNCTION("""COMPUTED_VALUE"""),"")</f>
        <v/>
      </c>
      <c r="B10647" s="87"/>
      <c r="C10647" s="87"/>
      <c r="D10647" s="87"/>
      <c r="E10647" s="87"/>
      <c r="F10647" s="87"/>
      <c r="G10647" s="87"/>
    </row>
    <row r="10648">
      <c r="A10648" s="86" t="str">
        <f>IFERROR(__xludf.DUMMYFUNCTION("""COMPUTED_VALUE"""),"")</f>
        <v/>
      </c>
      <c r="B10648" s="87"/>
      <c r="C10648" s="87"/>
      <c r="D10648" s="87"/>
      <c r="E10648" s="87"/>
      <c r="F10648" s="87"/>
      <c r="G10648" s="87"/>
    </row>
    <row r="10649">
      <c r="A10649" s="86" t="str">
        <f>IFERROR(__xludf.DUMMYFUNCTION("""COMPUTED_VALUE"""),"")</f>
        <v/>
      </c>
      <c r="B10649" s="87"/>
      <c r="C10649" s="87"/>
      <c r="D10649" s="87"/>
      <c r="E10649" s="87"/>
      <c r="F10649" s="87"/>
      <c r="G10649" s="87"/>
    </row>
    <row r="10650">
      <c r="A10650" s="86" t="str">
        <f>IFERROR(__xludf.DUMMYFUNCTION("""COMPUTED_VALUE"""),"")</f>
        <v/>
      </c>
      <c r="B10650" s="87"/>
      <c r="C10650" s="87"/>
      <c r="D10650" s="87"/>
      <c r="E10650" s="87"/>
      <c r="F10650" s="87"/>
      <c r="G10650" s="87"/>
    </row>
    <row r="10651">
      <c r="A10651" s="86" t="str">
        <f>IFERROR(__xludf.DUMMYFUNCTION("""COMPUTED_VALUE"""),"")</f>
        <v/>
      </c>
      <c r="B10651" s="87"/>
      <c r="C10651" s="87"/>
      <c r="D10651" s="87"/>
      <c r="E10651" s="87"/>
      <c r="F10651" s="87"/>
      <c r="G10651" s="87"/>
    </row>
    <row r="10652">
      <c r="A10652" s="86" t="str">
        <f>IFERROR(__xludf.DUMMYFUNCTION("""COMPUTED_VALUE"""),"")</f>
        <v/>
      </c>
      <c r="B10652" s="87"/>
      <c r="C10652" s="87"/>
      <c r="D10652" s="87"/>
      <c r="E10652" s="87"/>
      <c r="F10652" s="87"/>
      <c r="G10652" s="87"/>
    </row>
    <row r="10653">
      <c r="A10653" s="86" t="str">
        <f>IFERROR(__xludf.DUMMYFUNCTION("""COMPUTED_VALUE"""),"")</f>
        <v/>
      </c>
      <c r="B10653" s="87"/>
      <c r="C10653" s="87"/>
      <c r="D10653" s="87"/>
      <c r="E10653" s="87"/>
      <c r="F10653" s="87"/>
      <c r="G10653" s="87"/>
    </row>
    <row r="10654">
      <c r="A10654" s="86" t="str">
        <f>IFERROR(__xludf.DUMMYFUNCTION("""COMPUTED_VALUE"""),"")</f>
        <v/>
      </c>
      <c r="B10654" s="87"/>
      <c r="C10654" s="87"/>
      <c r="D10654" s="87"/>
      <c r="E10654" s="87"/>
      <c r="F10654" s="87"/>
      <c r="G10654" s="87"/>
    </row>
    <row r="10655">
      <c r="A10655" s="86" t="str">
        <f>IFERROR(__xludf.DUMMYFUNCTION("""COMPUTED_VALUE"""),"")</f>
        <v/>
      </c>
      <c r="B10655" s="87"/>
      <c r="C10655" s="87"/>
      <c r="D10655" s="87"/>
      <c r="E10655" s="87"/>
      <c r="F10655" s="87"/>
      <c r="G10655" s="87"/>
    </row>
    <row r="10656">
      <c r="A10656" s="86" t="str">
        <f>IFERROR(__xludf.DUMMYFUNCTION("""COMPUTED_VALUE"""),"")</f>
        <v/>
      </c>
      <c r="B10656" s="87"/>
      <c r="C10656" s="87"/>
      <c r="D10656" s="87"/>
      <c r="E10656" s="87"/>
      <c r="F10656" s="87"/>
      <c r="G10656" s="87"/>
    </row>
    <row r="10657">
      <c r="A10657" s="86" t="str">
        <f>IFERROR(__xludf.DUMMYFUNCTION("""COMPUTED_VALUE"""),"")</f>
        <v/>
      </c>
      <c r="B10657" s="87"/>
      <c r="C10657" s="87"/>
      <c r="D10657" s="87"/>
      <c r="E10657" s="87"/>
      <c r="F10657" s="87"/>
      <c r="G10657" s="87"/>
    </row>
    <row r="10658">
      <c r="A10658" s="86" t="str">
        <f>IFERROR(__xludf.DUMMYFUNCTION("""COMPUTED_VALUE"""),"")</f>
        <v/>
      </c>
      <c r="B10658" s="87"/>
      <c r="C10658" s="87"/>
      <c r="D10658" s="87"/>
      <c r="E10658" s="87"/>
      <c r="F10658" s="87"/>
      <c r="G10658" s="87"/>
    </row>
    <row r="10659">
      <c r="A10659" s="86" t="str">
        <f>IFERROR(__xludf.DUMMYFUNCTION("""COMPUTED_VALUE"""),"")</f>
        <v/>
      </c>
      <c r="B10659" s="87"/>
      <c r="C10659" s="87"/>
      <c r="D10659" s="87"/>
      <c r="E10659" s="87"/>
      <c r="F10659" s="87"/>
      <c r="G10659" s="87"/>
    </row>
    <row r="10660">
      <c r="A10660" s="86" t="str">
        <f>IFERROR(__xludf.DUMMYFUNCTION("""COMPUTED_VALUE"""),"")</f>
        <v/>
      </c>
      <c r="B10660" s="87"/>
      <c r="C10660" s="87"/>
      <c r="D10660" s="87"/>
      <c r="E10660" s="87"/>
      <c r="F10660" s="87"/>
      <c r="G10660" s="87"/>
    </row>
    <row r="10661">
      <c r="A10661" s="86" t="str">
        <f>IFERROR(__xludf.DUMMYFUNCTION("""COMPUTED_VALUE"""),"")</f>
        <v/>
      </c>
      <c r="B10661" s="87"/>
      <c r="C10661" s="87"/>
      <c r="D10661" s="87"/>
      <c r="E10661" s="87"/>
      <c r="F10661" s="87"/>
      <c r="G10661" s="87"/>
    </row>
    <row r="10662">
      <c r="A10662" s="86" t="str">
        <f>IFERROR(__xludf.DUMMYFUNCTION("""COMPUTED_VALUE"""),"")</f>
        <v/>
      </c>
      <c r="B10662" s="87"/>
      <c r="C10662" s="87"/>
      <c r="D10662" s="87"/>
      <c r="E10662" s="87"/>
      <c r="F10662" s="87"/>
      <c r="G10662" s="87"/>
    </row>
    <row r="10663">
      <c r="A10663" s="86" t="str">
        <f>IFERROR(__xludf.DUMMYFUNCTION("""COMPUTED_VALUE"""),"")</f>
        <v/>
      </c>
      <c r="B10663" s="87"/>
      <c r="C10663" s="87"/>
      <c r="D10663" s="87"/>
      <c r="E10663" s="87"/>
      <c r="F10663" s="87"/>
      <c r="G10663" s="87"/>
    </row>
    <row r="10664">
      <c r="A10664" s="86" t="str">
        <f>IFERROR(__xludf.DUMMYFUNCTION("""COMPUTED_VALUE"""),"")</f>
        <v/>
      </c>
      <c r="B10664" s="87"/>
      <c r="C10664" s="87"/>
      <c r="D10664" s="87"/>
      <c r="E10664" s="87"/>
      <c r="F10664" s="87"/>
      <c r="G10664" s="87"/>
    </row>
    <row r="10665">
      <c r="A10665" s="86" t="str">
        <f>IFERROR(__xludf.DUMMYFUNCTION("""COMPUTED_VALUE"""),"")</f>
        <v/>
      </c>
      <c r="B10665" s="87"/>
      <c r="C10665" s="87"/>
      <c r="D10665" s="87"/>
      <c r="E10665" s="87"/>
      <c r="F10665" s="87"/>
      <c r="G10665" s="87"/>
    </row>
    <row r="10666">
      <c r="A10666" s="86" t="str">
        <f>IFERROR(__xludf.DUMMYFUNCTION("""COMPUTED_VALUE"""),"")</f>
        <v/>
      </c>
      <c r="B10666" s="87"/>
      <c r="C10666" s="87"/>
      <c r="D10666" s="87"/>
      <c r="E10666" s="87"/>
      <c r="F10666" s="87"/>
      <c r="G10666" s="87"/>
    </row>
    <row r="10667">
      <c r="A10667" s="86" t="str">
        <f>IFERROR(__xludf.DUMMYFUNCTION("""COMPUTED_VALUE"""),"")</f>
        <v/>
      </c>
      <c r="B10667" s="87"/>
      <c r="C10667" s="87"/>
      <c r="D10667" s="87"/>
      <c r="E10667" s="87"/>
      <c r="F10667" s="87"/>
      <c r="G10667" s="87"/>
    </row>
    <row r="10668">
      <c r="A10668" s="86" t="str">
        <f>IFERROR(__xludf.DUMMYFUNCTION("""COMPUTED_VALUE"""),"")</f>
        <v/>
      </c>
      <c r="B10668" s="87"/>
      <c r="C10668" s="87"/>
      <c r="D10668" s="87"/>
      <c r="E10668" s="87"/>
      <c r="F10668" s="87"/>
      <c r="G10668" s="87"/>
    </row>
    <row r="10669">
      <c r="A10669" s="86" t="str">
        <f>IFERROR(__xludf.DUMMYFUNCTION("""COMPUTED_VALUE"""),"")</f>
        <v/>
      </c>
      <c r="B10669" s="87"/>
      <c r="C10669" s="87"/>
      <c r="D10669" s="87"/>
      <c r="E10669" s="87"/>
      <c r="F10669" s="87"/>
      <c r="G10669" s="87"/>
    </row>
    <row r="10670">
      <c r="A10670" s="86" t="str">
        <f>IFERROR(__xludf.DUMMYFUNCTION("""COMPUTED_VALUE"""),"")</f>
        <v/>
      </c>
      <c r="B10670" s="87"/>
      <c r="C10670" s="87"/>
      <c r="D10670" s="87"/>
      <c r="E10670" s="87"/>
      <c r="F10670" s="87"/>
      <c r="G10670" s="87"/>
    </row>
    <row r="10671">
      <c r="A10671" s="86" t="str">
        <f>IFERROR(__xludf.DUMMYFUNCTION("""COMPUTED_VALUE"""),"")</f>
        <v/>
      </c>
      <c r="B10671" s="87"/>
      <c r="C10671" s="87"/>
      <c r="D10671" s="87"/>
      <c r="E10671" s="87"/>
      <c r="F10671" s="87"/>
      <c r="G10671" s="87"/>
    </row>
    <row r="10672">
      <c r="A10672" s="86" t="str">
        <f>IFERROR(__xludf.DUMMYFUNCTION("""COMPUTED_VALUE"""),"")</f>
        <v/>
      </c>
      <c r="B10672" s="87"/>
      <c r="C10672" s="87"/>
      <c r="D10672" s="87"/>
      <c r="E10672" s="87"/>
      <c r="F10672" s="87"/>
      <c r="G10672" s="87"/>
    </row>
    <row r="10673">
      <c r="A10673" s="86" t="str">
        <f>IFERROR(__xludf.DUMMYFUNCTION("""COMPUTED_VALUE"""),"")</f>
        <v/>
      </c>
      <c r="B10673" s="87"/>
      <c r="C10673" s="87"/>
      <c r="D10673" s="87"/>
      <c r="E10673" s="87"/>
      <c r="F10673" s="87"/>
      <c r="G10673" s="87"/>
    </row>
    <row r="10674">
      <c r="A10674" s="86" t="str">
        <f>IFERROR(__xludf.DUMMYFUNCTION("""COMPUTED_VALUE"""),"")</f>
        <v/>
      </c>
      <c r="B10674" s="87"/>
      <c r="C10674" s="87"/>
      <c r="D10674" s="87"/>
      <c r="E10674" s="87"/>
      <c r="F10674" s="87"/>
      <c r="G10674" s="87"/>
    </row>
    <row r="10675">
      <c r="A10675" s="86" t="str">
        <f>IFERROR(__xludf.DUMMYFUNCTION("""COMPUTED_VALUE"""),"")</f>
        <v/>
      </c>
      <c r="B10675" s="87"/>
      <c r="C10675" s="87"/>
      <c r="D10675" s="87"/>
      <c r="E10675" s="87"/>
      <c r="F10675" s="87"/>
      <c r="G10675" s="87"/>
    </row>
    <row r="10676">
      <c r="A10676" s="86" t="str">
        <f>IFERROR(__xludf.DUMMYFUNCTION("""COMPUTED_VALUE"""),"")</f>
        <v/>
      </c>
      <c r="B10676" s="87"/>
      <c r="C10676" s="87"/>
      <c r="D10676" s="87"/>
      <c r="E10676" s="87"/>
      <c r="F10676" s="87"/>
      <c r="G10676" s="87"/>
    </row>
    <row r="10677">
      <c r="A10677" s="86" t="str">
        <f>IFERROR(__xludf.DUMMYFUNCTION("""COMPUTED_VALUE"""),"")</f>
        <v/>
      </c>
      <c r="B10677" s="87"/>
      <c r="C10677" s="87"/>
      <c r="D10677" s="87"/>
      <c r="E10677" s="87"/>
      <c r="F10677" s="87"/>
      <c r="G10677" s="87"/>
    </row>
    <row r="10678">
      <c r="A10678" s="86" t="str">
        <f>IFERROR(__xludf.DUMMYFUNCTION("""COMPUTED_VALUE"""),"")</f>
        <v/>
      </c>
      <c r="B10678" s="87"/>
      <c r="C10678" s="87"/>
      <c r="D10678" s="87"/>
      <c r="E10678" s="87"/>
      <c r="F10678" s="87"/>
      <c r="G10678" s="87"/>
    </row>
    <row r="10679">
      <c r="A10679" s="86" t="str">
        <f>IFERROR(__xludf.DUMMYFUNCTION("""COMPUTED_VALUE"""),"")</f>
        <v/>
      </c>
      <c r="B10679" s="87"/>
      <c r="C10679" s="87"/>
      <c r="D10679" s="87"/>
      <c r="E10679" s="87"/>
      <c r="F10679" s="87"/>
      <c r="G10679" s="87"/>
    </row>
    <row r="10680">
      <c r="A10680" s="86" t="str">
        <f>IFERROR(__xludf.DUMMYFUNCTION("""COMPUTED_VALUE"""),"")</f>
        <v/>
      </c>
      <c r="B10680" s="87"/>
      <c r="C10680" s="87"/>
      <c r="D10680" s="87"/>
      <c r="E10680" s="87"/>
      <c r="F10680" s="87"/>
      <c r="G10680" s="87"/>
    </row>
    <row r="10681">
      <c r="A10681" s="86" t="str">
        <f>IFERROR(__xludf.DUMMYFUNCTION("""COMPUTED_VALUE"""),"")</f>
        <v/>
      </c>
      <c r="B10681" s="87"/>
      <c r="C10681" s="87"/>
      <c r="D10681" s="87"/>
      <c r="E10681" s="87"/>
      <c r="F10681" s="87"/>
      <c r="G10681" s="87"/>
    </row>
    <row r="10682">
      <c r="A10682" s="86" t="str">
        <f>IFERROR(__xludf.DUMMYFUNCTION("""COMPUTED_VALUE"""),"")</f>
        <v/>
      </c>
      <c r="B10682" s="87"/>
      <c r="C10682" s="87"/>
      <c r="D10682" s="87"/>
      <c r="E10682" s="87"/>
      <c r="F10682" s="87"/>
      <c r="G10682" s="87"/>
    </row>
    <row r="10683">
      <c r="A10683" s="86" t="str">
        <f>IFERROR(__xludf.DUMMYFUNCTION("""COMPUTED_VALUE"""),"")</f>
        <v/>
      </c>
      <c r="B10683" s="87"/>
      <c r="C10683" s="87"/>
      <c r="D10683" s="87"/>
      <c r="E10683" s="87"/>
      <c r="F10683" s="87"/>
      <c r="G10683" s="87"/>
    </row>
    <row r="10684">
      <c r="A10684" s="86" t="str">
        <f>IFERROR(__xludf.DUMMYFUNCTION("""COMPUTED_VALUE"""),"")</f>
        <v/>
      </c>
      <c r="B10684" s="87"/>
      <c r="C10684" s="87"/>
      <c r="D10684" s="87"/>
      <c r="E10684" s="87"/>
      <c r="F10684" s="87"/>
      <c r="G10684" s="87"/>
    </row>
    <row r="10685">
      <c r="A10685" s="86" t="str">
        <f>IFERROR(__xludf.DUMMYFUNCTION("""COMPUTED_VALUE"""),"")</f>
        <v/>
      </c>
      <c r="B10685" s="87"/>
      <c r="C10685" s="87"/>
      <c r="D10685" s="87"/>
      <c r="E10685" s="87"/>
      <c r="F10685" s="87"/>
      <c r="G10685" s="87"/>
    </row>
    <row r="10686">
      <c r="A10686" s="86" t="str">
        <f>IFERROR(__xludf.DUMMYFUNCTION("""COMPUTED_VALUE"""),"")</f>
        <v/>
      </c>
      <c r="B10686" s="87"/>
      <c r="C10686" s="87"/>
      <c r="D10686" s="87"/>
      <c r="E10686" s="87"/>
      <c r="F10686" s="87"/>
      <c r="G10686" s="87"/>
    </row>
    <row r="10687">
      <c r="A10687" s="86" t="str">
        <f>IFERROR(__xludf.DUMMYFUNCTION("""COMPUTED_VALUE"""),"")</f>
        <v/>
      </c>
      <c r="B10687" s="87"/>
      <c r="C10687" s="87"/>
      <c r="D10687" s="87"/>
      <c r="E10687" s="87"/>
      <c r="F10687" s="87"/>
      <c r="G10687" s="87"/>
    </row>
    <row r="10688">
      <c r="A10688" s="86" t="str">
        <f>IFERROR(__xludf.DUMMYFUNCTION("""COMPUTED_VALUE"""),"")</f>
        <v/>
      </c>
      <c r="B10688" s="87"/>
      <c r="C10688" s="87"/>
      <c r="D10688" s="87"/>
      <c r="E10688" s="87"/>
      <c r="F10688" s="87"/>
      <c r="G10688" s="87"/>
    </row>
    <row r="10689">
      <c r="A10689" s="86" t="str">
        <f>IFERROR(__xludf.DUMMYFUNCTION("""COMPUTED_VALUE"""),"")</f>
        <v/>
      </c>
      <c r="B10689" s="87"/>
      <c r="C10689" s="87"/>
      <c r="D10689" s="87"/>
      <c r="E10689" s="87"/>
      <c r="F10689" s="87"/>
      <c r="G10689" s="87"/>
    </row>
    <row r="10690">
      <c r="A10690" s="86" t="str">
        <f>IFERROR(__xludf.DUMMYFUNCTION("""COMPUTED_VALUE"""),"")</f>
        <v/>
      </c>
      <c r="B10690" s="87"/>
      <c r="C10690" s="87"/>
      <c r="D10690" s="87"/>
      <c r="E10690" s="87"/>
      <c r="F10690" s="87"/>
      <c r="G10690" s="87"/>
    </row>
    <row r="10691">
      <c r="A10691" s="86" t="str">
        <f>IFERROR(__xludf.DUMMYFUNCTION("""COMPUTED_VALUE"""),"")</f>
        <v/>
      </c>
      <c r="B10691" s="87"/>
      <c r="C10691" s="87"/>
      <c r="D10691" s="87"/>
      <c r="E10691" s="87"/>
      <c r="F10691" s="87"/>
      <c r="G10691" s="87"/>
    </row>
    <row r="10692">
      <c r="A10692" s="86" t="str">
        <f>IFERROR(__xludf.DUMMYFUNCTION("""COMPUTED_VALUE"""),"")</f>
        <v/>
      </c>
      <c r="B10692" s="87"/>
      <c r="C10692" s="87"/>
      <c r="D10692" s="87"/>
      <c r="E10692" s="87"/>
      <c r="F10692" s="87"/>
      <c r="G10692" s="87"/>
    </row>
    <row r="10693">
      <c r="A10693" s="86" t="str">
        <f>IFERROR(__xludf.DUMMYFUNCTION("""COMPUTED_VALUE"""),"")</f>
        <v/>
      </c>
      <c r="B10693" s="87"/>
      <c r="C10693" s="87"/>
      <c r="D10693" s="87"/>
      <c r="E10693" s="87"/>
      <c r="F10693" s="87"/>
      <c r="G10693" s="87"/>
    </row>
    <row r="10694">
      <c r="A10694" s="86" t="str">
        <f>IFERROR(__xludf.DUMMYFUNCTION("""COMPUTED_VALUE"""),"")</f>
        <v/>
      </c>
      <c r="B10694" s="87"/>
      <c r="C10694" s="87"/>
      <c r="D10694" s="87"/>
      <c r="E10694" s="87"/>
      <c r="F10694" s="87"/>
      <c r="G10694" s="87"/>
    </row>
    <row r="10695">
      <c r="A10695" s="86" t="str">
        <f>IFERROR(__xludf.DUMMYFUNCTION("""COMPUTED_VALUE"""),"")</f>
        <v/>
      </c>
      <c r="B10695" s="87"/>
      <c r="C10695" s="87"/>
      <c r="D10695" s="87"/>
      <c r="E10695" s="87"/>
      <c r="F10695" s="87"/>
      <c r="G10695" s="87"/>
    </row>
    <row r="10696">
      <c r="A10696" s="86" t="str">
        <f>IFERROR(__xludf.DUMMYFUNCTION("""COMPUTED_VALUE"""),"")</f>
        <v/>
      </c>
      <c r="B10696" s="87"/>
      <c r="C10696" s="87"/>
      <c r="D10696" s="87"/>
      <c r="E10696" s="87"/>
      <c r="F10696" s="87"/>
      <c r="G10696" s="87"/>
    </row>
    <row r="10697">
      <c r="A10697" s="86" t="str">
        <f>IFERROR(__xludf.DUMMYFUNCTION("""COMPUTED_VALUE"""),"")</f>
        <v/>
      </c>
      <c r="B10697" s="87"/>
      <c r="C10697" s="87"/>
      <c r="D10697" s="87"/>
      <c r="E10697" s="87"/>
      <c r="F10697" s="87"/>
      <c r="G10697" s="87"/>
    </row>
    <row r="10698">
      <c r="A10698" s="86" t="str">
        <f>IFERROR(__xludf.DUMMYFUNCTION("""COMPUTED_VALUE"""),"")</f>
        <v/>
      </c>
      <c r="B10698" s="87"/>
      <c r="C10698" s="87"/>
      <c r="D10698" s="87"/>
      <c r="E10698" s="87"/>
      <c r="F10698" s="87"/>
      <c r="G10698" s="87"/>
    </row>
    <row r="10699">
      <c r="A10699" s="86" t="str">
        <f>IFERROR(__xludf.DUMMYFUNCTION("""COMPUTED_VALUE"""),"")</f>
        <v/>
      </c>
      <c r="B10699" s="87"/>
      <c r="C10699" s="87"/>
      <c r="D10699" s="87"/>
      <c r="E10699" s="87"/>
      <c r="F10699" s="87"/>
      <c r="G10699" s="87"/>
    </row>
    <row r="10700">
      <c r="A10700" s="86" t="str">
        <f>IFERROR(__xludf.DUMMYFUNCTION("""COMPUTED_VALUE"""),"")</f>
        <v/>
      </c>
      <c r="B10700" s="87"/>
      <c r="C10700" s="87"/>
      <c r="D10700" s="87"/>
      <c r="E10700" s="87"/>
      <c r="F10700" s="87"/>
      <c r="G10700" s="87"/>
    </row>
    <row r="10701">
      <c r="A10701" s="86" t="str">
        <f>IFERROR(__xludf.DUMMYFUNCTION("""COMPUTED_VALUE"""),"")</f>
        <v/>
      </c>
      <c r="B10701" s="87"/>
      <c r="C10701" s="87"/>
      <c r="D10701" s="87"/>
      <c r="E10701" s="87"/>
      <c r="F10701" s="87"/>
      <c r="G10701" s="87"/>
    </row>
    <row r="10702">
      <c r="A10702" s="86" t="str">
        <f>IFERROR(__xludf.DUMMYFUNCTION("""COMPUTED_VALUE"""),"")</f>
        <v/>
      </c>
      <c r="B10702" s="87"/>
      <c r="C10702" s="87"/>
      <c r="D10702" s="87"/>
      <c r="E10702" s="87"/>
      <c r="F10702" s="87"/>
      <c r="G10702" s="87"/>
    </row>
    <row r="10703">
      <c r="A10703" s="86" t="str">
        <f>IFERROR(__xludf.DUMMYFUNCTION("""COMPUTED_VALUE"""),"")</f>
        <v/>
      </c>
      <c r="B10703" s="87"/>
      <c r="C10703" s="87"/>
      <c r="D10703" s="87"/>
      <c r="E10703" s="87"/>
      <c r="F10703" s="87"/>
      <c r="G10703" s="87"/>
    </row>
    <row r="10704">
      <c r="A10704" s="86" t="str">
        <f>IFERROR(__xludf.DUMMYFUNCTION("""COMPUTED_VALUE"""),"")</f>
        <v/>
      </c>
      <c r="B10704" s="87"/>
      <c r="C10704" s="87"/>
      <c r="D10704" s="87"/>
      <c r="E10704" s="87"/>
      <c r="F10704" s="87"/>
      <c r="G10704" s="87"/>
    </row>
    <row r="10705">
      <c r="A10705" s="86" t="str">
        <f>IFERROR(__xludf.DUMMYFUNCTION("""COMPUTED_VALUE"""),"")</f>
        <v/>
      </c>
      <c r="B10705" s="87"/>
      <c r="C10705" s="87"/>
      <c r="D10705" s="87"/>
      <c r="E10705" s="87"/>
      <c r="F10705" s="87"/>
      <c r="G10705" s="87"/>
    </row>
    <row r="10706">
      <c r="A10706" s="86" t="str">
        <f>IFERROR(__xludf.DUMMYFUNCTION("""COMPUTED_VALUE"""),"")</f>
        <v/>
      </c>
      <c r="B10706" s="87"/>
      <c r="C10706" s="87"/>
      <c r="D10706" s="87"/>
      <c r="E10706" s="87"/>
      <c r="F10706" s="87"/>
      <c r="G10706" s="87"/>
    </row>
    <row r="10707">
      <c r="A10707" s="86" t="str">
        <f>IFERROR(__xludf.DUMMYFUNCTION("""COMPUTED_VALUE"""),"")</f>
        <v/>
      </c>
      <c r="B10707" s="87"/>
      <c r="C10707" s="87"/>
      <c r="D10707" s="87"/>
      <c r="E10707" s="87"/>
      <c r="F10707" s="87"/>
      <c r="G10707" s="87"/>
    </row>
    <row r="10708">
      <c r="A10708" s="86" t="str">
        <f>IFERROR(__xludf.DUMMYFUNCTION("""COMPUTED_VALUE"""),"")</f>
        <v/>
      </c>
      <c r="B10708" s="87"/>
      <c r="C10708" s="87"/>
      <c r="D10708" s="87"/>
      <c r="E10708" s="87"/>
      <c r="F10708" s="87"/>
      <c r="G10708" s="87"/>
    </row>
    <row r="10709">
      <c r="A10709" s="86" t="str">
        <f>IFERROR(__xludf.DUMMYFUNCTION("""COMPUTED_VALUE"""),"")</f>
        <v/>
      </c>
      <c r="B10709" s="87"/>
      <c r="C10709" s="87"/>
      <c r="D10709" s="87"/>
      <c r="E10709" s="87"/>
      <c r="F10709" s="87"/>
      <c r="G10709" s="87"/>
    </row>
    <row r="10710">
      <c r="A10710" s="86" t="str">
        <f>IFERROR(__xludf.DUMMYFUNCTION("""COMPUTED_VALUE"""),"")</f>
        <v/>
      </c>
      <c r="B10710" s="87"/>
      <c r="C10710" s="87"/>
      <c r="D10710" s="87"/>
      <c r="E10710" s="87"/>
      <c r="F10710" s="87"/>
      <c r="G10710" s="87"/>
    </row>
    <row r="10711">
      <c r="A10711" s="86" t="str">
        <f>IFERROR(__xludf.DUMMYFUNCTION("""COMPUTED_VALUE"""),"")</f>
        <v/>
      </c>
      <c r="B10711" s="87"/>
      <c r="C10711" s="87"/>
      <c r="D10711" s="87"/>
      <c r="E10711" s="87"/>
      <c r="F10711" s="87"/>
      <c r="G10711" s="87"/>
    </row>
    <row r="10712">
      <c r="A10712" s="86" t="str">
        <f>IFERROR(__xludf.DUMMYFUNCTION("""COMPUTED_VALUE"""),"")</f>
        <v/>
      </c>
      <c r="B10712" s="87"/>
      <c r="C10712" s="87"/>
      <c r="D10712" s="87"/>
      <c r="E10712" s="87"/>
      <c r="F10712" s="87"/>
      <c r="G10712" s="87"/>
    </row>
    <row r="10713">
      <c r="A10713" s="86" t="str">
        <f>IFERROR(__xludf.DUMMYFUNCTION("""COMPUTED_VALUE"""),"")</f>
        <v/>
      </c>
      <c r="B10713" s="87"/>
      <c r="C10713" s="87"/>
      <c r="D10713" s="87"/>
      <c r="E10713" s="87"/>
      <c r="F10713" s="87"/>
      <c r="G10713" s="87"/>
    </row>
    <row r="10714">
      <c r="A10714" s="86" t="str">
        <f>IFERROR(__xludf.DUMMYFUNCTION("""COMPUTED_VALUE"""),"")</f>
        <v/>
      </c>
      <c r="B10714" s="87"/>
      <c r="C10714" s="87"/>
      <c r="D10714" s="87"/>
      <c r="E10714" s="87"/>
      <c r="F10714" s="87"/>
      <c r="G10714" s="87"/>
    </row>
    <row r="10715">
      <c r="A10715" s="86" t="str">
        <f>IFERROR(__xludf.DUMMYFUNCTION("""COMPUTED_VALUE"""),"")</f>
        <v/>
      </c>
      <c r="B10715" s="87"/>
      <c r="C10715" s="87"/>
      <c r="D10715" s="87"/>
      <c r="E10715" s="87"/>
      <c r="F10715" s="87"/>
      <c r="G10715" s="87"/>
    </row>
    <row r="10716">
      <c r="A10716" s="86" t="str">
        <f>IFERROR(__xludf.DUMMYFUNCTION("""COMPUTED_VALUE"""),"")</f>
        <v/>
      </c>
      <c r="B10716" s="87"/>
      <c r="C10716" s="87"/>
      <c r="D10716" s="87"/>
      <c r="E10716" s="87"/>
      <c r="F10716" s="87"/>
      <c r="G10716" s="87"/>
    </row>
    <row r="10717">
      <c r="A10717" s="86" t="str">
        <f>IFERROR(__xludf.DUMMYFUNCTION("""COMPUTED_VALUE"""),"")</f>
        <v/>
      </c>
      <c r="B10717" s="87"/>
      <c r="C10717" s="87"/>
      <c r="D10717" s="87"/>
      <c r="E10717" s="87"/>
      <c r="F10717" s="87"/>
      <c r="G10717" s="87"/>
    </row>
    <row r="10718">
      <c r="A10718" s="86" t="str">
        <f>IFERROR(__xludf.DUMMYFUNCTION("""COMPUTED_VALUE"""),"")</f>
        <v/>
      </c>
      <c r="B10718" s="87"/>
      <c r="C10718" s="87"/>
      <c r="D10718" s="87"/>
      <c r="E10718" s="87"/>
      <c r="F10718" s="87"/>
      <c r="G10718" s="87"/>
    </row>
    <row r="10719">
      <c r="A10719" s="86" t="str">
        <f>IFERROR(__xludf.DUMMYFUNCTION("""COMPUTED_VALUE"""),"")</f>
        <v/>
      </c>
      <c r="B10719" s="87"/>
      <c r="C10719" s="87"/>
      <c r="D10719" s="87"/>
      <c r="E10719" s="87"/>
      <c r="F10719" s="87"/>
      <c r="G10719" s="87"/>
    </row>
    <row r="10720">
      <c r="A10720" s="86" t="str">
        <f>IFERROR(__xludf.DUMMYFUNCTION("""COMPUTED_VALUE"""),"")</f>
        <v/>
      </c>
      <c r="B10720" s="87"/>
      <c r="C10720" s="87"/>
      <c r="D10720" s="87"/>
      <c r="E10720" s="87"/>
      <c r="F10720" s="87"/>
      <c r="G10720" s="87"/>
    </row>
    <row r="10721">
      <c r="A10721" s="86" t="str">
        <f>IFERROR(__xludf.DUMMYFUNCTION("""COMPUTED_VALUE"""),"")</f>
        <v/>
      </c>
      <c r="B10721" s="87"/>
      <c r="C10721" s="87"/>
      <c r="D10721" s="87"/>
      <c r="E10721" s="87"/>
      <c r="F10721" s="87"/>
      <c r="G10721" s="87"/>
    </row>
    <row r="10722">
      <c r="A10722" s="86" t="str">
        <f>IFERROR(__xludf.DUMMYFUNCTION("""COMPUTED_VALUE"""),"")</f>
        <v/>
      </c>
      <c r="B10722" s="87"/>
      <c r="C10722" s="87"/>
      <c r="D10722" s="87"/>
      <c r="E10722" s="87"/>
      <c r="F10722" s="87"/>
      <c r="G10722" s="87"/>
    </row>
    <row r="10723">
      <c r="A10723" s="86" t="str">
        <f>IFERROR(__xludf.DUMMYFUNCTION("""COMPUTED_VALUE"""),"")</f>
        <v/>
      </c>
      <c r="B10723" s="87"/>
      <c r="C10723" s="87"/>
      <c r="D10723" s="87"/>
      <c r="E10723" s="87"/>
      <c r="F10723" s="87"/>
      <c r="G10723" s="87"/>
    </row>
    <row r="10724">
      <c r="A10724" s="86" t="str">
        <f>IFERROR(__xludf.DUMMYFUNCTION("""COMPUTED_VALUE"""),"")</f>
        <v/>
      </c>
      <c r="B10724" s="87"/>
      <c r="C10724" s="87"/>
      <c r="D10724" s="87"/>
      <c r="E10724" s="87"/>
      <c r="F10724" s="87"/>
      <c r="G10724" s="87"/>
    </row>
    <row r="10725">
      <c r="A10725" s="86" t="str">
        <f>IFERROR(__xludf.DUMMYFUNCTION("""COMPUTED_VALUE"""),"")</f>
        <v/>
      </c>
      <c r="B10725" s="87"/>
      <c r="C10725" s="87"/>
      <c r="D10725" s="87"/>
      <c r="E10725" s="87"/>
      <c r="F10725" s="87"/>
      <c r="G10725" s="87"/>
    </row>
    <row r="10726">
      <c r="A10726" s="86" t="str">
        <f>IFERROR(__xludf.DUMMYFUNCTION("""COMPUTED_VALUE"""),"")</f>
        <v/>
      </c>
      <c r="B10726" s="87"/>
      <c r="C10726" s="87"/>
      <c r="D10726" s="87"/>
      <c r="E10726" s="87"/>
      <c r="F10726" s="87"/>
      <c r="G10726" s="87"/>
    </row>
    <row r="10727">
      <c r="A10727" s="86" t="str">
        <f>IFERROR(__xludf.DUMMYFUNCTION("""COMPUTED_VALUE"""),"")</f>
        <v/>
      </c>
      <c r="B10727" s="87"/>
      <c r="C10727" s="87"/>
      <c r="D10727" s="87"/>
      <c r="E10727" s="87"/>
      <c r="F10727" s="87"/>
      <c r="G10727" s="87"/>
    </row>
    <row r="10728">
      <c r="A10728" s="86" t="str">
        <f>IFERROR(__xludf.DUMMYFUNCTION("""COMPUTED_VALUE"""),"")</f>
        <v/>
      </c>
      <c r="B10728" s="87"/>
      <c r="C10728" s="87"/>
      <c r="D10728" s="87"/>
      <c r="E10728" s="87"/>
      <c r="F10728" s="87"/>
      <c r="G10728" s="87"/>
    </row>
    <row r="10729">
      <c r="A10729" s="86" t="str">
        <f>IFERROR(__xludf.DUMMYFUNCTION("""COMPUTED_VALUE"""),"")</f>
        <v/>
      </c>
      <c r="B10729" s="87"/>
      <c r="C10729" s="87"/>
      <c r="D10729" s="87"/>
      <c r="E10729" s="87"/>
      <c r="F10729" s="87"/>
      <c r="G10729" s="87"/>
    </row>
    <row r="10730">
      <c r="A10730" s="86" t="str">
        <f>IFERROR(__xludf.DUMMYFUNCTION("""COMPUTED_VALUE"""),"")</f>
        <v/>
      </c>
      <c r="B10730" s="87"/>
      <c r="C10730" s="87"/>
      <c r="D10730" s="87"/>
      <c r="E10730" s="87"/>
      <c r="F10730" s="87"/>
      <c r="G10730" s="87"/>
    </row>
    <row r="10731">
      <c r="A10731" s="86" t="str">
        <f>IFERROR(__xludf.DUMMYFUNCTION("""COMPUTED_VALUE"""),"")</f>
        <v/>
      </c>
      <c r="B10731" s="87"/>
      <c r="C10731" s="87"/>
      <c r="D10731" s="87"/>
      <c r="E10731" s="87"/>
      <c r="F10731" s="87"/>
      <c r="G10731" s="87"/>
    </row>
    <row r="10732">
      <c r="A10732" s="86" t="str">
        <f>IFERROR(__xludf.DUMMYFUNCTION("""COMPUTED_VALUE"""),"")</f>
        <v/>
      </c>
      <c r="B10732" s="87"/>
      <c r="C10732" s="87"/>
      <c r="D10732" s="87"/>
      <c r="E10732" s="87"/>
      <c r="F10732" s="87"/>
      <c r="G10732" s="87"/>
    </row>
    <row r="10733">
      <c r="A10733" s="86" t="str">
        <f>IFERROR(__xludf.DUMMYFUNCTION("""COMPUTED_VALUE"""),"")</f>
        <v/>
      </c>
      <c r="B10733" s="87"/>
      <c r="C10733" s="87"/>
      <c r="D10733" s="87"/>
      <c r="E10733" s="87"/>
      <c r="F10733" s="87"/>
      <c r="G10733" s="87"/>
    </row>
    <row r="10734">
      <c r="A10734" s="86" t="str">
        <f>IFERROR(__xludf.DUMMYFUNCTION("""COMPUTED_VALUE"""),"")</f>
        <v/>
      </c>
      <c r="B10734" s="87"/>
      <c r="C10734" s="87"/>
      <c r="D10734" s="87"/>
      <c r="E10734" s="87"/>
      <c r="F10734" s="87"/>
      <c r="G10734" s="87"/>
    </row>
    <row r="10735">
      <c r="A10735" s="86" t="str">
        <f>IFERROR(__xludf.DUMMYFUNCTION("""COMPUTED_VALUE"""),"")</f>
        <v/>
      </c>
      <c r="B10735" s="87"/>
      <c r="C10735" s="87"/>
      <c r="D10735" s="87"/>
      <c r="E10735" s="87"/>
      <c r="F10735" s="87"/>
      <c r="G10735" s="87"/>
    </row>
    <row r="10736">
      <c r="A10736" s="86" t="str">
        <f>IFERROR(__xludf.DUMMYFUNCTION("""COMPUTED_VALUE"""),"")</f>
        <v/>
      </c>
      <c r="B10736" s="87"/>
      <c r="C10736" s="87"/>
      <c r="D10736" s="87"/>
      <c r="E10736" s="87"/>
      <c r="F10736" s="87"/>
      <c r="G10736" s="87"/>
    </row>
    <row r="10737">
      <c r="A10737" s="86" t="str">
        <f>IFERROR(__xludf.DUMMYFUNCTION("""COMPUTED_VALUE"""),"")</f>
        <v/>
      </c>
      <c r="B10737" s="87"/>
      <c r="C10737" s="87"/>
      <c r="D10737" s="87"/>
      <c r="E10737" s="87"/>
      <c r="F10737" s="87"/>
      <c r="G10737" s="87"/>
    </row>
    <row r="10738">
      <c r="A10738" s="86" t="str">
        <f>IFERROR(__xludf.DUMMYFUNCTION("""COMPUTED_VALUE"""),"")</f>
        <v/>
      </c>
      <c r="B10738" s="87"/>
      <c r="C10738" s="87"/>
      <c r="D10738" s="87"/>
      <c r="E10738" s="87"/>
      <c r="F10738" s="87"/>
      <c r="G10738" s="87"/>
    </row>
    <row r="10739">
      <c r="A10739" s="86" t="str">
        <f>IFERROR(__xludf.DUMMYFUNCTION("""COMPUTED_VALUE"""),"")</f>
        <v/>
      </c>
      <c r="B10739" s="87"/>
      <c r="C10739" s="87"/>
      <c r="D10739" s="87"/>
      <c r="E10739" s="87"/>
      <c r="F10739" s="87"/>
      <c r="G10739" s="87"/>
    </row>
    <row r="10740">
      <c r="A10740" s="86" t="str">
        <f>IFERROR(__xludf.DUMMYFUNCTION("""COMPUTED_VALUE"""),"")</f>
        <v/>
      </c>
      <c r="B10740" s="87"/>
      <c r="C10740" s="87"/>
      <c r="D10740" s="87"/>
      <c r="E10740" s="87"/>
      <c r="F10740" s="87"/>
      <c r="G10740" s="87"/>
    </row>
    <row r="10741">
      <c r="A10741" s="86" t="str">
        <f>IFERROR(__xludf.DUMMYFUNCTION("""COMPUTED_VALUE"""),"")</f>
        <v/>
      </c>
      <c r="B10741" s="87"/>
      <c r="C10741" s="87"/>
      <c r="D10741" s="87"/>
      <c r="E10741" s="87"/>
      <c r="F10741" s="87"/>
      <c r="G10741" s="87"/>
    </row>
    <row r="10742">
      <c r="A10742" s="86" t="str">
        <f>IFERROR(__xludf.DUMMYFUNCTION("""COMPUTED_VALUE"""),"")</f>
        <v/>
      </c>
      <c r="B10742" s="87"/>
      <c r="C10742" s="87"/>
      <c r="D10742" s="87"/>
      <c r="E10742" s="87"/>
      <c r="F10742" s="87"/>
      <c r="G10742" s="87"/>
    </row>
    <row r="10743">
      <c r="A10743" s="86" t="str">
        <f>IFERROR(__xludf.DUMMYFUNCTION("""COMPUTED_VALUE"""),"")</f>
        <v/>
      </c>
      <c r="B10743" s="87"/>
      <c r="C10743" s="87"/>
      <c r="D10743" s="87"/>
      <c r="E10743" s="87"/>
      <c r="F10743" s="87"/>
      <c r="G10743" s="87"/>
    </row>
    <row r="10744">
      <c r="A10744" s="86" t="str">
        <f>IFERROR(__xludf.DUMMYFUNCTION("""COMPUTED_VALUE"""),"")</f>
        <v/>
      </c>
      <c r="B10744" s="87"/>
      <c r="C10744" s="87"/>
      <c r="D10744" s="87"/>
      <c r="E10744" s="87"/>
      <c r="F10744" s="87"/>
      <c r="G10744" s="87"/>
    </row>
    <row r="10745">
      <c r="A10745" s="86" t="str">
        <f>IFERROR(__xludf.DUMMYFUNCTION("""COMPUTED_VALUE"""),"")</f>
        <v/>
      </c>
      <c r="B10745" s="87"/>
      <c r="C10745" s="87"/>
      <c r="D10745" s="87"/>
      <c r="E10745" s="87"/>
      <c r="F10745" s="87"/>
      <c r="G10745" s="87"/>
    </row>
    <row r="10746">
      <c r="A10746" s="86" t="str">
        <f>IFERROR(__xludf.DUMMYFUNCTION("""COMPUTED_VALUE"""),"")</f>
        <v/>
      </c>
      <c r="B10746" s="87"/>
      <c r="C10746" s="87"/>
      <c r="D10746" s="87"/>
      <c r="E10746" s="87"/>
      <c r="F10746" s="87"/>
      <c r="G10746" s="87"/>
    </row>
    <row r="10747">
      <c r="A10747" s="86" t="str">
        <f>IFERROR(__xludf.DUMMYFUNCTION("""COMPUTED_VALUE"""),"")</f>
        <v/>
      </c>
      <c r="B10747" s="87"/>
      <c r="C10747" s="87"/>
      <c r="D10747" s="87"/>
      <c r="E10747" s="87"/>
      <c r="F10747" s="87"/>
      <c r="G10747" s="87"/>
    </row>
    <row r="10748">
      <c r="A10748" s="86" t="str">
        <f>IFERROR(__xludf.DUMMYFUNCTION("""COMPUTED_VALUE"""),"")</f>
        <v/>
      </c>
      <c r="B10748" s="87"/>
      <c r="C10748" s="87"/>
      <c r="D10748" s="87"/>
      <c r="E10748" s="87"/>
      <c r="F10748" s="87"/>
      <c r="G10748" s="87"/>
    </row>
    <row r="10749">
      <c r="A10749" s="86" t="str">
        <f>IFERROR(__xludf.DUMMYFUNCTION("""COMPUTED_VALUE"""),"")</f>
        <v/>
      </c>
      <c r="B10749" s="87"/>
      <c r="C10749" s="87"/>
      <c r="D10749" s="87"/>
      <c r="E10749" s="87"/>
      <c r="F10749" s="87"/>
      <c r="G10749" s="87"/>
    </row>
    <row r="10750">
      <c r="A10750" s="86" t="str">
        <f>IFERROR(__xludf.DUMMYFUNCTION("""COMPUTED_VALUE"""),"")</f>
        <v/>
      </c>
      <c r="B10750" s="87"/>
      <c r="C10750" s="87"/>
      <c r="D10750" s="87"/>
      <c r="E10750" s="87"/>
      <c r="F10750" s="87"/>
      <c r="G10750" s="87"/>
    </row>
    <row r="10751">
      <c r="A10751" s="86" t="str">
        <f>IFERROR(__xludf.DUMMYFUNCTION("""COMPUTED_VALUE"""),"")</f>
        <v/>
      </c>
      <c r="B10751" s="87"/>
      <c r="C10751" s="87"/>
      <c r="D10751" s="87"/>
      <c r="E10751" s="87"/>
      <c r="F10751" s="87"/>
      <c r="G10751" s="87"/>
    </row>
    <row r="10752">
      <c r="A10752" s="86" t="str">
        <f>IFERROR(__xludf.DUMMYFUNCTION("""COMPUTED_VALUE"""),"")</f>
        <v/>
      </c>
      <c r="B10752" s="87"/>
      <c r="C10752" s="87"/>
      <c r="D10752" s="87"/>
      <c r="E10752" s="87"/>
      <c r="F10752" s="87"/>
      <c r="G10752" s="87"/>
    </row>
    <row r="10753">
      <c r="A10753" s="86" t="str">
        <f>IFERROR(__xludf.DUMMYFUNCTION("""COMPUTED_VALUE"""),"")</f>
        <v/>
      </c>
      <c r="B10753" s="87"/>
      <c r="C10753" s="87"/>
      <c r="D10753" s="87"/>
      <c r="E10753" s="87"/>
      <c r="F10753" s="87"/>
      <c r="G10753" s="87"/>
    </row>
    <row r="10754">
      <c r="A10754" s="86" t="str">
        <f>IFERROR(__xludf.DUMMYFUNCTION("""COMPUTED_VALUE"""),"")</f>
        <v/>
      </c>
      <c r="B10754" s="87"/>
      <c r="C10754" s="87"/>
      <c r="D10754" s="87"/>
      <c r="E10754" s="87"/>
      <c r="F10754" s="87"/>
      <c r="G10754" s="87"/>
    </row>
    <row r="10755">
      <c r="A10755" s="86" t="str">
        <f>IFERROR(__xludf.DUMMYFUNCTION("""COMPUTED_VALUE"""),"")</f>
        <v/>
      </c>
      <c r="B10755" s="87"/>
      <c r="C10755" s="87"/>
      <c r="D10755" s="87"/>
      <c r="E10755" s="87"/>
      <c r="F10755" s="87"/>
      <c r="G10755" s="87"/>
    </row>
    <row r="10756">
      <c r="A10756" s="86" t="str">
        <f>IFERROR(__xludf.DUMMYFUNCTION("""COMPUTED_VALUE"""),"")</f>
        <v/>
      </c>
      <c r="B10756" s="87"/>
      <c r="C10756" s="87"/>
      <c r="D10756" s="87"/>
      <c r="E10756" s="87"/>
      <c r="F10756" s="87"/>
      <c r="G10756" s="87"/>
    </row>
    <row r="10757">
      <c r="A10757" s="86" t="str">
        <f>IFERROR(__xludf.DUMMYFUNCTION("""COMPUTED_VALUE"""),"")</f>
        <v/>
      </c>
      <c r="B10757" s="87"/>
      <c r="C10757" s="87"/>
      <c r="D10757" s="87"/>
      <c r="E10757" s="87"/>
      <c r="F10757" s="87"/>
      <c r="G10757" s="87"/>
    </row>
    <row r="10758">
      <c r="A10758" s="86" t="str">
        <f>IFERROR(__xludf.DUMMYFUNCTION("""COMPUTED_VALUE"""),"")</f>
        <v/>
      </c>
      <c r="B10758" s="87"/>
      <c r="C10758" s="87"/>
      <c r="D10758" s="87"/>
      <c r="E10758" s="87"/>
      <c r="F10758" s="87"/>
      <c r="G10758" s="87"/>
    </row>
    <row r="10759">
      <c r="A10759" s="86" t="str">
        <f>IFERROR(__xludf.DUMMYFUNCTION("""COMPUTED_VALUE"""),"")</f>
        <v/>
      </c>
      <c r="B10759" s="87"/>
      <c r="C10759" s="87"/>
      <c r="D10759" s="87"/>
      <c r="E10759" s="87"/>
      <c r="F10759" s="87"/>
      <c r="G10759" s="87"/>
    </row>
    <row r="10760">
      <c r="A10760" s="86" t="str">
        <f>IFERROR(__xludf.DUMMYFUNCTION("""COMPUTED_VALUE"""),"")</f>
        <v/>
      </c>
      <c r="B10760" s="87"/>
      <c r="C10760" s="87"/>
      <c r="D10760" s="87"/>
      <c r="E10760" s="87"/>
      <c r="F10760" s="87"/>
      <c r="G10760" s="87"/>
    </row>
    <row r="10761">
      <c r="A10761" s="86" t="str">
        <f>IFERROR(__xludf.DUMMYFUNCTION("""COMPUTED_VALUE"""),"")</f>
        <v/>
      </c>
      <c r="B10761" s="87"/>
      <c r="C10761" s="87"/>
      <c r="D10761" s="87"/>
      <c r="E10761" s="87"/>
      <c r="F10761" s="87"/>
      <c r="G10761" s="87"/>
    </row>
    <row r="10762">
      <c r="A10762" s="86" t="str">
        <f>IFERROR(__xludf.DUMMYFUNCTION("""COMPUTED_VALUE"""),"")</f>
        <v/>
      </c>
      <c r="B10762" s="87"/>
      <c r="C10762" s="87"/>
      <c r="D10762" s="87"/>
      <c r="E10762" s="87"/>
      <c r="F10762" s="87"/>
      <c r="G10762" s="87"/>
    </row>
    <row r="10763">
      <c r="A10763" s="86" t="str">
        <f>IFERROR(__xludf.DUMMYFUNCTION("""COMPUTED_VALUE"""),"")</f>
        <v/>
      </c>
      <c r="B10763" s="87"/>
      <c r="C10763" s="87"/>
      <c r="D10763" s="87"/>
      <c r="E10763" s="87"/>
      <c r="F10763" s="87"/>
      <c r="G10763" s="87"/>
    </row>
    <row r="10764">
      <c r="A10764" s="86" t="str">
        <f>IFERROR(__xludf.DUMMYFUNCTION("""COMPUTED_VALUE"""),"")</f>
        <v/>
      </c>
      <c r="B10764" s="87"/>
      <c r="C10764" s="87"/>
      <c r="D10764" s="87"/>
      <c r="E10764" s="87"/>
      <c r="F10764" s="87"/>
      <c r="G10764" s="87"/>
    </row>
    <row r="10765">
      <c r="A10765" s="86" t="str">
        <f>IFERROR(__xludf.DUMMYFUNCTION("""COMPUTED_VALUE"""),"")</f>
        <v/>
      </c>
      <c r="B10765" s="87"/>
      <c r="C10765" s="87"/>
      <c r="D10765" s="87"/>
      <c r="E10765" s="87"/>
      <c r="F10765" s="87"/>
      <c r="G10765" s="87"/>
    </row>
    <row r="10766">
      <c r="A10766" s="86" t="str">
        <f>IFERROR(__xludf.DUMMYFUNCTION("""COMPUTED_VALUE"""),"")</f>
        <v/>
      </c>
      <c r="B10766" s="87"/>
      <c r="C10766" s="87"/>
      <c r="D10766" s="87"/>
      <c r="E10766" s="87"/>
      <c r="F10766" s="87"/>
      <c r="G10766" s="87"/>
    </row>
    <row r="10767">
      <c r="A10767" s="86" t="str">
        <f>IFERROR(__xludf.DUMMYFUNCTION("""COMPUTED_VALUE"""),"")</f>
        <v/>
      </c>
      <c r="B10767" s="87"/>
      <c r="C10767" s="87"/>
      <c r="D10767" s="87"/>
      <c r="E10767" s="87"/>
      <c r="F10767" s="87"/>
      <c r="G10767" s="87"/>
    </row>
    <row r="10768">
      <c r="A10768" s="86" t="str">
        <f>IFERROR(__xludf.DUMMYFUNCTION("""COMPUTED_VALUE"""),"")</f>
        <v/>
      </c>
      <c r="B10768" s="87"/>
      <c r="C10768" s="87"/>
      <c r="D10768" s="87"/>
      <c r="E10768" s="87"/>
      <c r="F10768" s="87"/>
      <c r="G10768" s="87"/>
    </row>
    <row r="10769">
      <c r="A10769" s="86" t="str">
        <f>IFERROR(__xludf.DUMMYFUNCTION("""COMPUTED_VALUE"""),"")</f>
        <v/>
      </c>
      <c r="B10769" s="87"/>
      <c r="C10769" s="87"/>
      <c r="D10769" s="87"/>
      <c r="E10769" s="87"/>
      <c r="F10769" s="87"/>
      <c r="G10769" s="87"/>
    </row>
    <row r="10770">
      <c r="A10770" s="86" t="str">
        <f>IFERROR(__xludf.DUMMYFUNCTION("""COMPUTED_VALUE"""),"")</f>
        <v/>
      </c>
      <c r="B10770" s="87"/>
      <c r="C10770" s="87"/>
      <c r="D10770" s="87"/>
      <c r="E10770" s="87"/>
      <c r="F10770" s="87"/>
      <c r="G10770" s="87"/>
    </row>
    <row r="10771">
      <c r="A10771" s="86" t="str">
        <f>IFERROR(__xludf.DUMMYFUNCTION("""COMPUTED_VALUE"""),"")</f>
        <v/>
      </c>
      <c r="B10771" s="87"/>
      <c r="C10771" s="87"/>
      <c r="D10771" s="87"/>
      <c r="E10771" s="87"/>
      <c r="F10771" s="87"/>
      <c r="G10771" s="87"/>
    </row>
    <row r="10772">
      <c r="A10772" s="86" t="str">
        <f>IFERROR(__xludf.DUMMYFUNCTION("""COMPUTED_VALUE"""),"")</f>
        <v/>
      </c>
      <c r="B10772" s="87"/>
      <c r="C10772" s="87"/>
      <c r="D10772" s="87"/>
      <c r="E10772" s="87"/>
      <c r="F10772" s="87"/>
      <c r="G10772" s="87"/>
    </row>
    <row r="10773">
      <c r="A10773" s="86" t="str">
        <f>IFERROR(__xludf.DUMMYFUNCTION("""COMPUTED_VALUE"""),"")</f>
        <v/>
      </c>
      <c r="B10773" s="87"/>
      <c r="C10773" s="87"/>
      <c r="D10773" s="87"/>
      <c r="E10773" s="87"/>
      <c r="F10773" s="87"/>
      <c r="G10773" s="87"/>
    </row>
    <row r="10774">
      <c r="A10774" s="86" t="str">
        <f>IFERROR(__xludf.DUMMYFUNCTION("""COMPUTED_VALUE"""),"")</f>
        <v/>
      </c>
      <c r="B10774" s="87"/>
      <c r="C10774" s="87"/>
      <c r="D10774" s="87"/>
      <c r="E10774" s="87"/>
      <c r="F10774" s="87"/>
      <c r="G10774" s="87"/>
    </row>
    <row r="10775">
      <c r="A10775" s="86" t="str">
        <f>IFERROR(__xludf.DUMMYFUNCTION("""COMPUTED_VALUE"""),"")</f>
        <v/>
      </c>
      <c r="B10775" s="87"/>
      <c r="C10775" s="87"/>
      <c r="D10775" s="87"/>
      <c r="E10775" s="87"/>
      <c r="F10775" s="87"/>
      <c r="G10775" s="87"/>
    </row>
    <row r="10776">
      <c r="A10776" s="86" t="str">
        <f>IFERROR(__xludf.DUMMYFUNCTION("""COMPUTED_VALUE"""),"")</f>
        <v/>
      </c>
      <c r="B10776" s="87"/>
      <c r="C10776" s="87"/>
      <c r="D10776" s="87"/>
      <c r="E10776" s="87"/>
      <c r="F10776" s="87"/>
      <c r="G10776" s="87"/>
    </row>
    <row r="10777">
      <c r="A10777" s="86" t="str">
        <f>IFERROR(__xludf.DUMMYFUNCTION("""COMPUTED_VALUE"""),"")</f>
        <v/>
      </c>
      <c r="B10777" s="87"/>
      <c r="C10777" s="87"/>
      <c r="D10777" s="87"/>
      <c r="E10777" s="87"/>
      <c r="F10777" s="87"/>
      <c r="G10777" s="87"/>
    </row>
    <row r="10778">
      <c r="A10778" s="86" t="str">
        <f>IFERROR(__xludf.DUMMYFUNCTION("""COMPUTED_VALUE"""),"")</f>
        <v/>
      </c>
      <c r="B10778" s="87"/>
      <c r="C10778" s="87"/>
      <c r="D10778" s="87"/>
      <c r="E10778" s="87"/>
      <c r="F10778" s="87"/>
      <c r="G10778" s="87"/>
    </row>
    <row r="10779">
      <c r="A10779" s="86" t="str">
        <f>IFERROR(__xludf.DUMMYFUNCTION("""COMPUTED_VALUE"""),"")</f>
        <v/>
      </c>
      <c r="B10779" s="87"/>
      <c r="C10779" s="87"/>
      <c r="D10779" s="87"/>
      <c r="E10779" s="87"/>
      <c r="F10779" s="87"/>
      <c r="G10779" s="87"/>
    </row>
    <row r="10780">
      <c r="A10780" s="86" t="str">
        <f>IFERROR(__xludf.DUMMYFUNCTION("""COMPUTED_VALUE"""),"")</f>
        <v/>
      </c>
      <c r="B10780" s="87"/>
      <c r="C10780" s="87"/>
      <c r="D10780" s="87"/>
      <c r="E10780" s="87"/>
      <c r="F10780" s="87"/>
      <c r="G10780" s="87"/>
    </row>
    <row r="10781">
      <c r="A10781" s="86" t="str">
        <f>IFERROR(__xludf.DUMMYFUNCTION("""COMPUTED_VALUE"""),"")</f>
        <v/>
      </c>
      <c r="B10781" s="87"/>
      <c r="C10781" s="87"/>
      <c r="D10781" s="87"/>
      <c r="E10781" s="87"/>
      <c r="F10781" s="87"/>
      <c r="G10781" s="87"/>
    </row>
    <row r="10782">
      <c r="A10782" s="86" t="str">
        <f>IFERROR(__xludf.DUMMYFUNCTION("""COMPUTED_VALUE"""),"")</f>
        <v/>
      </c>
      <c r="B10782" s="87"/>
      <c r="C10782" s="87"/>
      <c r="D10782" s="87"/>
      <c r="E10782" s="87"/>
      <c r="F10782" s="87"/>
      <c r="G10782" s="87"/>
    </row>
    <row r="10783">
      <c r="A10783" s="86" t="str">
        <f>IFERROR(__xludf.DUMMYFUNCTION("""COMPUTED_VALUE"""),"")</f>
        <v/>
      </c>
      <c r="B10783" s="87"/>
      <c r="C10783" s="87"/>
      <c r="D10783" s="87"/>
      <c r="E10783" s="87"/>
      <c r="F10783" s="87"/>
      <c r="G10783" s="87"/>
    </row>
    <row r="10784">
      <c r="A10784" s="86" t="str">
        <f>IFERROR(__xludf.DUMMYFUNCTION("""COMPUTED_VALUE"""),"")</f>
        <v/>
      </c>
      <c r="B10784" s="87"/>
      <c r="C10784" s="87"/>
      <c r="D10784" s="87"/>
      <c r="E10784" s="87"/>
      <c r="F10784" s="87"/>
      <c r="G10784" s="87"/>
    </row>
    <row r="10785">
      <c r="A10785" s="86" t="str">
        <f>IFERROR(__xludf.DUMMYFUNCTION("""COMPUTED_VALUE"""),"")</f>
        <v/>
      </c>
      <c r="B10785" s="87"/>
      <c r="C10785" s="87"/>
      <c r="D10785" s="87"/>
      <c r="E10785" s="87"/>
      <c r="F10785" s="87"/>
      <c r="G10785" s="87"/>
    </row>
    <row r="10786">
      <c r="A10786" s="86" t="str">
        <f>IFERROR(__xludf.DUMMYFUNCTION("""COMPUTED_VALUE"""),"")</f>
        <v/>
      </c>
      <c r="B10786" s="87"/>
      <c r="C10786" s="87"/>
      <c r="D10786" s="87"/>
      <c r="E10786" s="87"/>
      <c r="F10786" s="87"/>
      <c r="G10786" s="87"/>
    </row>
    <row r="10787">
      <c r="A10787" s="86" t="str">
        <f>IFERROR(__xludf.DUMMYFUNCTION("""COMPUTED_VALUE"""),"")</f>
        <v/>
      </c>
      <c r="B10787" s="87"/>
      <c r="C10787" s="87"/>
      <c r="D10787" s="87"/>
      <c r="E10787" s="87"/>
      <c r="F10787" s="87"/>
      <c r="G10787" s="87"/>
    </row>
    <row r="10788">
      <c r="A10788" s="86" t="str">
        <f>IFERROR(__xludf.DUMMYFUNCTION("""COMPUTED_VALUE"""),"")</f>
        <v/>
      </c>
      <c r="B10788" s="87"/>
      <c r="C10788" s="87"/>
      <c r="D10788" s="87"/>
      <c r="E10788" s="87"/>
      <c r="F10788" s="87"/>
      <c r="G10788" s="87"/>
    </row>
    <row r="10789">
      <c r="A10789" s="86" t="str">
        <f>IFERROR(__xludf.DUMMYFUNCTION("""COMPUTED_VALUE"""),"")</f>
        <v/>
      </c>
      <c r="B10789" s="87"/>
      <c r="C10789" s="87"/>
      <c r="D10789" s="87"/>
      <c r="E10789" s="87"/>
      <c r="F10789" s="87"/>
      <c r="G10789" s="87"/>
    </row>
    <row r="10790">
      <c r="A10790" s="86" t="str">
        <f>IFERROR(__xludf.DUMMYFUNCTION("""COMPUTED_VALUE"""),"")</f>
        <v/>
      </c>
      <c r="B10790" s="87"/>
      <c r="C10790" s="87"/>
      <c r="D10790" s="87"/>
      <c r="E10790" s="87"/>
      <c r="F10790" s="87"/>
      <c r="G10790" s="87"/>
    </row>
    <row r="10791">
      <c r="A10791" s="86" t="str">
        <f>IFERROR(__xludf.DUMMYFUNCTION("""COMPUTED_VALUE"""),"")</f>
        <v/>
      </c>
      <c r="B10791" s="87"/>
      <c r="C10791" s="87"/>
      <c r="D10791" s="87"/>
      <c r="E10791" s="87"/>
      <c r="F10791" s="87"/>
      <c r="G10791" s="87"/>
    </row>
    <row r="10792">
      <c r="A10792" s="86" t="str">
        <f>IFERROR(__xludf.DUMMYFUNCTION("""COMPUTED_VALUE"""),"")</f>
        <v/>
      </c>
      <c r="B10792" s="87"/>
      <c r="C10792" s="87"/>
      <c r="D10792" s="87"/>
      <c r="E10792" s="87"/>
      <c r="F10792" s="87"/>
      <c r="G10792" s="87"/>
    </row>
    <row r="10793">
      <c r="A10793" s="86" t="str">
        <f>IFERROR(__xludf.DUMMYFUNCTION("""COMPUTED_VALUE"""),"")</f>
        <v/>
      </c>
      <c r="B10793" s="87"/>
      <c r="C10793" s="87"/>
      <c r="D10793" s="87"/>
      <c r="E10793" s="87"/>
      <c r="F10793" s="87"/>
      <c r="G10793" s="87"/>
    </row>
    <row r="10794">
      <c r="A10794" s="86" t="str">
        <f>IFERROR(__xludf.DUMMYFUNCTION("""COMPUTED_VALUE"""),"")</f>
        <v/>
      </c>
      <c r="B10794" s="87"/>
      <c r="C10794" s="87"/>
      <c r="D10794" s="87"/>
      <c r="E10794" s="87"/>
      <c r="F10794" s="87"/>
      <c r="G10794" s="87"/>
    </row>
    <row r="10795">
      <c r="A10795" s="86" t="str">
        <f>IFERROR(__xludf.DUMMYFUNCTION("""COMPUTED_VALUE"""),"")</f>
        <v/>
      </c>
      <c r="B10795" s="87"/>
      <c r="C10795" s="87"/>
      <c r="D10795" s="87"/>
      <c r="E10795" s="87"/>
      <c r="F10795" s="87"/>
      <c r="G10795" s="87"/>
    </row>
    <row r="10796">
      <c r="A10796" s="86" t="str">
        <f>IFERROR(__xludf.DUMMYFUNCTION("""COMPUTED_VALUE"""),"")</f>
        <v/>
      </c>
      <c r="B10796" s="87"/>
      <c r="C10796" s="87"/>
      <c r="D10796" s="87"/>
      <c r="E10796" s="87"/>
      <c r="F10796" s="87"/>
      <c r="G10796" s="87"/>
    </row>
    <row r="10797">
      <c r="A10797" s="86" t="str">
        <f>IFERROR(__xludf.DUMMYFUNCTION("""COMPUTED_VALUE"""),"")</f>
        <v/>
      </c>
      <c r="B10797" s="87"/>
      <c r="C10797" s="87"/>
      <c r="D10797" s="87"/>
      <c r="E10797" s="87"/>
      <c r="F10797" s="87"/>
      <c r="G10797" s="87"/>
    </row>
    <row r="10798">
      <c r="A10798" s="86" t="str">
        <f>IFERROR(__xludf.DUMMYFUNCTION("""COMPUTED_VALUE"""),"")</f>
        <v/>
      </c>
      <c r="B10798" s="87"/>
      <c r="C10798" s="87"/>
      <c r="D10798" s="87"/>
      <c r="E10798" s="87"/>
      <c r="F10798" s="87"/>
      <c r="G10798" s="87"/>
    </row>
    <row r="10799">
      <c r="A10799" s="86" t="str">
        <f>IFERROR(__xludf.DUMMYFUNCTION("""COMPUTED_VALUE"""),"")</f>
        <v/>
      </c>
      <c r="B10799" s="87"/>
      <c r="C10799" s="87"/>
      <c r="D10799" s="87"/>
      <c r="E10799" s="87"/>
      <c r="F10799" s="87"/>
      <c r="G10799" s="87"/>
    </row>
    <row r="10800">
      <c r="A10800" s="86" t="str">
        <f>IFERROR(__xludf.DUMMYFUNCTION("""COMPUTED_VALUE"""),"")</f>
        <v/>
      </c>
      <c r="B10800" s="87"/>
      <c r="C10800" s="87"/>
      <c r="D10800" s="87"/>
      <c r="E10800" s="87"/>
      <c r="F10800" s="87"/>
      <c r="G10800" s="87"/>
    </row>
    <row r="10801">
      <c r="A10801" s="86" t="str">
        <f>IFERROR(__xludf.DUMMYFUNCTION("""COMPUTED_VALUE"""),"")</f>
        <v/>
      </c>
      <c r="B10801" s="87"/>
      <c r="C10801" s="87"/>
      <c r="D10801" s="87"/>
      <c r="E10801" s="87"/>
      <c r="F10801" s="87"/>
      <c r="G10801" s="87"/>
    </row>
    <row r="10802">
      <c r="A10802" s="86" t="str">
        <f>IFERROR(__xludf.DUMMYFUNCTION("""COMPUTED_VALUE"""),"")</f>
        <v/>
      </c>
      <c r="B10802" s="87"/>
      <c r="C10802" s="87"/>
      <c r="D10802" s="87"/>
      <c r="E10802" s="87"/>
      <c r="F10802" s="87"/>
      <c r="G10802" s="87"/>
    </row>
    <row r="10803">
      <c r="A10803" s="86" t="str">
        <f>IFERROR(__xludf.DUMMYFUNCTION("""COMPUTED_VALUE"""),"")</f>
        <v/>
      </c>
      <c r="B10803" s="87"/>
      <c r="C10803" s="87"/>
      <c r="D10803" s="87"/>
      <c r="E10803" s="87"/>
      <c r="F10803" s="87"/>
      <c r="G10803" s="87"/>
    </row>
    <row r="10804">
      <c r="A10804" s="86" t="str">
        <f>IFERROR(__xludf.DUMMYFUNCTION("""COMPUTED_VALUE"""),"")</f>
        <v/>
      </c>
      <c r="B10804" s="87"/>
      <c r="C10804" s="87"/>
      <c r="D10804" s="87"/>
      <c r="E10804" s="87"/>
      <c r="F10804" s="87"/>
      <c r="G10804" s="87"/>
    </row>
    <row r="10805">
      <c r="A10805" s="86" t="str">
        <f>IFERROR(__xludf.DUMMYFUNCTION("""COMPUTED_VALUE"""),"")</f>
        <v/>
      </c>
      <c r="B10805" s="87"/>
      <c r="C10805" s="87"/>
      <c r="D10805" s="87"/>
      <c r="E10805" s="87"/>
      <c r="F10805" s="87"/>
      <c r="G10805" s="87"/>
    </row>
    <row r="10806">
      <c r="A10806" s="86" t="str">
        <f>IFERROR(__xludf.DUMMYFUNCTION("""COMPUTED_VALUE"""),"")</f>
        <v/>
      </c>
      <c r="B10806" s="87"/>
      <c r="C10806" s="87"/>
      <c r="D10806" s="87"/>
      <c r="E10806" s="87"/>
      <c r="F10806" s="87"/>
      <c r="G10806" s="87"/>
    </row>
    <row r="10807">
      <c r="A10807" s="86" t="str">
        <f>IFERROR(__xludf.DUMMYFUNCTION("""COMPUTED_VALUE"""),"")</f>
        <v/>
      </c>
      <c r="B10807" s="87"/>
      <c r="C10807" s="87"/>
      <c r="D10807" s="87"/>
      <c r="E10807" s="87"/>
      <c r="F10807" s="87"/>
      <c r="G10807" s="87"/>
    </row>
    <row r="10808">
      <c r="A10808" s="86" t="str">
        <f>IFERROR(__xludf.DUMMYFUNCTION("""COMPUTED_VALUE"""),"")</f>
        <v/>
      </c>
      <c r="B10808" s="87"/>
      <c r="C10808" s="87"/>
      <c r="D10808" s="87"/>
      <c r="E10808" s="87"/>
      <c r="F10808" s="87"/>
      <c r="G10808" s="87"/>
    </row>
    <row r="10809">
      <c r="A10809" s="86" t="str">
        <f>IFERROR(__xludf.DUMMYFUNCTION("""COMPUTED_VALUE"""),"")</f>
        <v/>
      </c>
      <c r="B10809" s="87"/>
      <c r="C10809" s="87"/>
      <c r="D10809" s="87"/>
      <c r="E10809" s="87"/>
      <c r="F10809" s="87"/>
      <c r="G10809" s="87"/>
    </row>
    <row r="10810">
      <c r="A10810" s="86" t="str">
        <f>IFERROR(__xludf.DUMMYFUNCTION("""COMPUTED_VALUE"""),"")</f>
        <v/>
      </c>
      <c r="B10810" s="87"/>
      <c r="C10810" s="87"/>
      <c r="D10810" s="87"/>
      <c r="E10810" s="87"/>
      <c r="F10810" s="87"/>
      <c r="G10810" s="87"/>
    </row>
    <row r="10811">
      <c r="A10811" s="86" t="str">
        <f>IFERROR(__xludf.DUMMYFUNCTION("""COMPUTED_VALUE"""),"")</f>
        <v/>
      </c>
      <c r="B10811" s="87"/>
      <c r="C10811" s="87"/>
      <c r="D10811" s="87"/>
      <c r="E10811" s="87"/>
      <c r="F10811" s="87"/>
      <c r="G10811" s="87"/>
    </row>
    <row r="10812">
      <c r="A10812" s="86" t="str">
        <f>IFERROR(__xludf.DUMMYFUNCTION("""COMPUTED_VALUE"""),"")</f>
        <v/>
      </c>
      <c r="B10812" s="87"/>
      <c r="C10812" s="87"/>
      <c r="D10812" s="87"/>
      <c r="E10812" s="87"/>
      <c r="F10812" s="87"/>
      <c r="G10812" s="87"/>
    </row>
    <row r="10813">
      <c r="A10813" s="86" t="str">
        <f>IFERROR(__xludf.DUMMYFUNCTION("""COMPUTED_VALUE"""),"")</f>
        <v/>
      </c>
      <c r="B10813" s="87"/>
      <c r="C10813" s="87"/>
      <c r="D10813" s="87"/>
      <c r="E10813" s="87"/>
      <c r="F10813" s="87"/>
      <c r="G10813" s="87"/>
    </row>
    <row r="10814">
      <c r="A10814" s="86" t="str">
        <f>IFERROR(__xludf.DUMMYFUNCTION("""COMPUTED_VALUE"""),"")</f>
        <v/>
      </c>
      <c r="B10814" s="87"/>
      <c r="C10814" s="87"/>
      <c r="D10814" s="87"/>
      <c r="E10814" s="87"/>
      <c r="F10814" s="87"/>
      <c r="G10814" s="87"/>
    </row>
    <row r="10815">
      <c r="A10815" s="86" t="str">
        <f>IFERROR(__xludf.DUMMYFUNCTION("""COMPUTED_VALUE"""),"")</f>
        <v/>
      </c>
      <c r="B10815" s="87"/>
      <c r="C10815" s="87"/>
      <c r="D10815" s="87"/>
      <c r="E10815" s="87"/>
      <c r="F10815" s="87"/>
      <c r="G10815" s="87"/>
    </row>
    <row r="10816">
      <c r="A10816" s="86" t="str">
        <f>IFERROR(__xludf.DUMMYFUNCTION("""COMPUTED_VALUE"""),"")</f>
        <v/>
      </c>
      <c r="B10816" s="87"/>
      <c r="C10816" s="87"/>
      <c r="D10816" s="87"/>
      <c r="E10816" s="87"/>
      <c r="F10816" s="87"/>
      <c r="G10816" s="87"/>
    </row>
    <row r="10817">
      <c r="A10817" s="86" t="str">
        <f>IFERROR(__xludf.DUMMYFUNCTION("""COMPUTED_VALUE"""),"")</f>
        <v/>
      </c>
      <c r="B10817" s="87"/>
      <c r="C10817" s="87"/>
      <c r="D10817" s="87"/>
      <c r="E10817" s="87"/>
      <c r="F10817" s="87"/>
      <c r="G10817" s="87"/>
    </row>
    <row r="10818">
      <c r="A10818" s="86" t="str">
        <f>IFERROR(__xludf.DUMMYFUNCTION("""COMPUTED_VALUE"""),"")</f>
        <v/>
      </c>
      <c r="B10818" s="87"/>
      <c r="C10818" s="87"/>
      <c r="D10818" s="87"/>
      <c r="E10818" s="87"/>
      <c r="F10818" s="87"/>
      <c r="G10818" s="87"/>
    </row>
    <row r="10819">
      <c r="A10819" s="86" t="str">
        <f>IFERROR(__xludf.DUMMYFUNCTION("""COMPUTED_VALUE"""),"")</f>
        <v/>
      </c>
      <c r="B10819" s="87"/>
      <c r="C10819" s="87"/>
      <c r="D10819" s="87"/>
      <c r="E10819" s="87"/>
      <c r="F10819" s="87"/>
      <c r="G10819" s="87"/>
    </row>
    <row r="10820">
      <c r="A10820" s="86" t="str">
        <f>IFERROR(__xludf.DUMMYFUNCTION("""COMPUTED_VALUE"""),"")</f>
        <v/>
      </c>
      <c r="B10820" s="87"/>
      <c r="C10820" s="87"/>
      <c r="D10820" s="87"/>
      <c r="E10820" s="87"/>
      <c r="F10820" s="87"/>
      <c r="G10820" s="87"/>
    </row>
    <row r="10821">
      <c r="A10821" s="86" t="str">
        <f>IFERROR(__xludf.DUMMYFUNCTION("""COMPUTED_VALUE"""),"")</f>
        <v/>
      </c>
      <c r="B10821" s="87"/>
      <c r="C10821" s="87"/>
      <c r="D10821" s="87"/>
      <c r="E10821" s="87"/>
      <c r="F10821" s="87"/>
      <c r="G10821" s="87"/>
    </row>
    <row r="10822">
      <c r="A10822" s="86" t="str">
        <f>IFERROR(__xludf.DUMMYFUNCTION("""COMPUTED_VALUE"""),"")</f>
        <v/>
      </c>
      <c r="B10822" s="87"/>
      <c r="C10822" s="87"/>
      <c r="D10822" s="87"/>
      <c r="E10822" s="87"/>
      <c r="F10822" s="87"/>
      <c r="G10822" s="87"/>
    </row>
    <row r="10823">
      <c r="A10823" s="86" t="str">
        <f>IFERROR(__xludf.DUMMYFUNCTION("""COMPUTED_VALUE"""),"")</f>
        <v/>
      </c>
      <c r="B10823" s="87"/>
      <c r="C10823" s="87"/>
      <c r="D10823" s="87"/>
      <c r="E10823" s="87"/>
      <c r="F10823" s="87"/>
      <c r="G10823" s="87"/>
    </row>
    <row r="10824">
      <c r="A10824" s="86" t="str">
        <f>IFERROR(__xludf.DUMMYFUNCTION("""COMPUTED_VALUE"""),"")</f>
        <v/>
      </c>
      <c r="B10824" s="87"/>
      <c r="C10824" s="87"/>
      <c r="D10824" s="87"/>
      <c r="E10824" s="87"/>
      <c r="F10824" s="87"/>
      <c r="G10824" s="87"/>
    </row>
    <row r="10825">
      <c r="A10825" s="86" t="str">
        <f>IFERROR(__xludf.DUMMYFUNCTION("""COMPUTED_VALUE"""),"")</f>
        <v/>
      </c>
      <c r="B10825" s="87"/>
      <c r="C10825" s="87"/>
      <c r="D10825" s="87"/>
      <c r="E10825" s="87"/>
      <c r="F10825" s="87"/>
      <c r="G10825" s="87"/>
    </row>
    <row r="10826">
      <c r="A10826" s="86" t="str">
        <f>IFERROR(__xludf.DUMMYFUNCTION("""COMPUTED_VALUE"""),"")</f>
        <v/>
      </c>
      <c r="B10826" s="87"/>
      <c r="C10826" s="87"/>
      <c r="D10826" s="87"/>
      <c r="E10826" s="87"/>
      <c r="F10826" s="87"/>
      <c r="G10826" s="87"/>
    </row>
    <row r="10827">
      <c r="A10827" s="86" t="str">
        <f>IFERROR(__xludf.DUMMYFUNCTION("""COMPUTED_VALUE"""),"")</f>
        <v/>
      </c>
      <c r="B10827" s="87"/>
      <c r="C10827" s="87"/>
      <c r="D10827" s="87"/>
      <c r="E10827" s="87"/>
      <c r="F10827" s="87"/>
      <c r="G10827" s="87"/>
    </row>
    <row r="10828">
      <c r="A10828" s="86" t="str">
        <f>IFERROR(__xludf.DUMMYFUNCTION("""COMPUTED_VALUE"""),"")</f>
        <v/>
      </c>
      <c r="B10828" s="87"/>
      <c r="C10828" s="87"/>
      <c r="D10828" s="87"/>
      <c r="E10828" s="87"/>
      <c r="F10828" s="87"/>
      <c r="G10828" s="87"/>
    </row>
    <row r="10829">
      <c r="A10829" s="86" t="str">
        <f>IFERROR(__xludf.DUMMYFUNCTION("""COMPUTED_VALUE"""),"")</f>
        <v/>
      </c>
      <c r="B10829" s="87"/>
      <c r="C10829" s="87"/>
      <c r="D10829" s="87"/>
      <c r="E10829" s="87"/>
      <c r="F10829" s="87"/>
      <c r="G10829" s="87"/>
    </row>
    <row r="10830">
      <c r="A10830" s="86" t="str">
        <f>IFERROR(__xludf.DUMMYFUNCTION("""COMPUTED_VALUE"""),"")</f>
        <v/>
      </c>
      <c r="B10830" s="87"/>
      <c r="C10830" s="87"/>
      <c r="D10830" s="87"/>
      <c r="E10830" s="87"/>
      <c r="F10830" s="87"/>
      <c r="G10830" s="87"/>
    </row>
    <row r="10831">
      <c r="A10831" s="86" t="str">
        <f>IFERROR(__xludf.DUMMYFUNCTION("""COMPUTED_VALUE"""),"")</f>
        <v/>
      </c>
      <c r="B10831" s="87"/>
      <c r="C10831" s="87"/>
      <c r="D10831" s="87"/>
      <c r="E10831" s="87"/>
      <c r="F10831" s="87"/>
      <c r="G10831" s="87"/>
    </row>
    <row r="10832">
      <c r="A10832" s="86" t="str">
        <f>IFERROR(__xludf.DUMMYFUNCTION("""COMPUTED_VALUE"""),"")</f>
        <v/>
      </c>
      <c r="B10832" s="87"/>
      <c r="C10832" s="87"/>
      <c r="D10832" s="87"/>
      <c r="E10832" s="87"/>
      <c r="F10832" s="87"/>
      <c r="G10832" s="87"/>
    </row>
    <row r="10833">
      <c r="A10833" s="86" t="str">
        <f>IFERROR(__xludf.DUMMYFUNCTION("""COMPUTED_VALUE"""),"")</f>
        <v/>
      </c>
      <c r="B10833" s="87"/>
      <c r="C10833" s="87"/>
      <c r="D10833" s="87"/>
      <c r="E10833" s="87"/>
      <c r="F10833" s="87"/>
      <c r="G10833" s="87"/>
    </row>
    <row r="10834">
      <c r="A10834" s="86" t="str">
        <f>IFERROR(__xludf.DUMMYFUNCTION("""COMPUTED_VALUE"""),"")</f>
        <v/>
      </c>
      <c r="B10834" s="87"/>
      <c r="C10834" s="87"/>
      <c r="D10834" s="87"/>
      <c r="E10834" s="87"/>
      <c r="F10834" s="87"/>
      <c r="G10834" s="87"/>
    </row>
    <row r="10835">
      <c r="A10835" s="86" t="str">
        <f>IFERROR(__xludf.DUMMYFUNCTION("""COMPUTED_VALUE"""),"")</f>
        <v/>
      </c>
      <c r="B10835" s="87"/>
      <c r="C10835" s="87"/>
      <c r="D10835" s="87"/>
      <c r="E10835" s="87"/>
      <c r="F10835" s="87"/>
      <c r="G10835" s="87"/>
    </row>
    <row r="10836">
      <c r="A10836" s="86" t="str">
        <f>IFERROR(__xludf.DUMMYFUNCTION("""COMPUTED_VALUE"""),"")</f>
        <v/>
      </c>
      <c r="B10836" s="87"/>
      <c r="C10836" s="87"/>
      <c r="D10836" s="87"/>
      <c r="E10836" s="87"/>
      <c r="F10836" s="87"/>
      <c r="G10836" s="87"/>
    </row>
    <row r="10837">
      <c r="A10837" s="86" t="str">
        <f>IFERROR(__xludf.DUMMYFUNCTION("""COMPUTED_VALUE"""),"")</f>
        <v/>
      </c>
      <c r="B10837" s="87"/>
      <c r="C10837" s="87"/>
      <c r="D10837" s="87"/>
      <c r="E10837" s="87"/>
      <c r="F10837" s="87"/>
      <c r="G10837" s="87"/>
    </row>
    <row r="10838">
      <c r="A10838" s="86" t="str">
        <f>IFERROR(__xludf.DUMMYFUNCTION("""COMPUTED_VALUE"""),"")</f>
        <v/>
      </c>
      <c r="B10838" s="87"/>
      <c r="C10838" s="87"/>
      <c r="D10838" s="87"/>
      <c r="E10838" s="87"/>
      <c r="F10838" s="87"/>
      <c r="G10838" s="87"/>
    </row>
    <row r="10839">
      <c r="A10839" s="86" t="str">
        <f>IFERROR(__xludf.DUMMYFUNCTION("""COMPUTED_VALUE"""),"")</f>
        <v/>
      </c>
      <c r="B10839" s="87"/>
      <c r="C10839" s="87"/>
      <c r="D10839" s="87"/>
      <c r="E10839" s="87"/>
      <c r="F10839" s="87"/>
      <c r="G10839" s="87"/>
    </row>
    <row r="10840">
      <c r="A10840" s="86" t="str">
        <f>IFERROR(__xludf.DUMMYFUNCTION("""COMPUTED_VALUE"""),"")</f>
        <v/>
      </c>
      <c r="B10840" s="87"/>
      <c r="C10840" s="87"/>
      <c r="D10840" s="87"/>
      <c r="E10840" s="87"/>
      <c r="F10840" s="87"/>
      <c r="G10840" s="87"/>
    </row>
    <row r="10841">
      <c r="A10841" s="86" t="str">
        <f>IFERROR(__xludf.DUMMYFUNCTION("""COMPUTED_VALUE"""),"")</f>
        <v/>
      </c>
      <c r="B10841" s="87"/>
      <c r="C10841" s="87"/>
      <c r="D10841" s="87"/>
      <c r="E10841" s="87"/>
      <c r="F10841" s="87"/>
      <c r="G10841" s="87"/>
    </row>
    <row r="10842">
      <c r="A10842" s="86" t="str">
        <f>IFERROR(__xludf.DUMMYFUNCTION("""COMPUTED_VALUE"""),"")</f>
        <v/>
      </c>
      <c r="B10842" s="87"/>
      <c r="C10842" s="87"/>
      <c r="D10842" s="87"/>
      <c r="E10842" s="87"/>
      <c r="F10842" s="87"/>
      <c r="G10842" s="87"/>
    </row>
    <row r="10843">
      <c r="A10843" s="86" t="str">
        <f>IFERROR(__xludf.DUMMYFUNCTION("""COMPUTED_VALUE"""),"")</f>
        <v/>
      </c>
      <c r="B10843" s="87"/>
      <c r="C10843" s="87"/>
      <c r="D10843" s="87"/>
      <c r="E10843" s="87"/>
      <c r="F10843" s="87"/>
      <c r="G10843" s="87"/>
    </row>
    <row r="10844">
      <c r="A10844" s="86" t="str">
        <f>IFERROR(__xludf.DUMMYFUNCTION("""COMPUTED_VALUE"""),"")</f>
        <v/>
      </c>
      <c r="B10844" s="87"/>
      <c r="C10844" s="87"/>
      <c r="D10844" s="87"/>
      <c r="E10844" s="87"/>
      <c r="F10844" s="87"/>
      <c r="G10844" s="87"/>
    </row>
    <row r="10845">
      <c r="A10845" s="86" t="str">
        <f>IFERROR(__xludf.DUMMYFUNCTION("""COMPUTED_VALUE"""),"")</f>
        <v/>
      </c>
      <c r="B10845" s="87"/>
      <c r="C10845" s="87"/>
      <c r="D10845" s="87"/>
      <c r="E10845" s="87"/>
      <c r="F10845" s="87"/>
      <c r="G10845" s="87"/>
    </row>
    <row r="10846">
      <c r="A10846" s="86" t="str">
        <f>IFERROR(__xludf.DUMMYFUNCTION("""COMPUTED_VALUE"""),"")</f>
        <v/>
      </c>
      <c r="B10846" s="87"/>
      <c r="C10846" s="87"/>
      <c r="D10846" s="87"/>
      <c r="E10846" s="87"/>
      <c r="F10846" s="87"/>
      <c r="G10846" s="87"/>
    </row>
    <row r="10847">
      <c r="A10847" s="86" t="str">
        <f>IFERROR(__xludf.DUMMYFUNCTION("""COMPUTED_VALUE"""),"")</f>
        <v/>
      </c>
      <c r="B10847" s="87"/>
      <c r="C10847" s="87"/>
      <c r="D10847" s="87"/>
      <c r="E10847" s="87"/>
      <c r="F10847" s="87"/>
      <c r="G10847" s="87"/>
    </row>
    <row r="10848">
      <c r="A10848" s="86" t="str">
        <f>IFERROR(__xludf.DUMMYFUNCTION("""COMPUTED_VALUE"""),"")</f>
        <v/>
      </c>
      <c r="B10848" s="87"/>
      <c r="C10848" s="87"/>
      <c r="D10848" s="87"/>
      <c r="E10848" s="87"/>
      <c r="F10848" s="87"/>
      <c r="G10848" s="87"/>
    </row>
    <row r="10849">
      <c r="A10849" s="86" t="str">
        <f>IFERROR(__xludf.DUMMYFUNCTION("""COMPUTED_VALUE"""),"")</f>
        <v/>
      </c>
      <c r="B10849" s="87"/>
      <c r="C10849" s="87"/>
      <c r="D10849" s="87"/>
      <c r="E10849" s="87"/>
      <c r="F10849" s="87"/>
      <c r="G10849" s="87"/>
    </row>
    <row r="10850">
      <c r="A10850" s="86" t="str">
        <f>IFERROR(__xludf.DUMMYFUNCTION("""COMPUTED_VALUE"""),"")</f>
        <v/>
      </c>
      <c r="B10850" s="87"/>
      <c r="C10850" s="87"/>
      <c r="D10850" s="87"/>
      <c r="E10850" s="87"/>
      <c r="F10850" s="87"/>
      <c r="G10850" s="87"/>
    </row>
    <row r="10851">
      <c r="A10851" s="86" t="str">
        <f>IFERROR(__xludf.DUMMYFUNCTION("""COMPUTED_VALUE"""),"")</f>
        <v/>
      </c>
      <c r="B10851" s="87"/>
      <c r="C10851" s="87"/>
      <c r="D10851" s="87"/>
      <c r="E10851" s="87"/>
      <c r="F10851" s="87"/>
      <c r="G10851" s="87"/>
    </row>
    <row r="10852">
      <c r="A10852" s="86" t="str">
        <f>IFERROR(__xludf.DUMMYFUNCTION("""COMPUTED_VALUE"""),"")</f>
        <v/>
      </c>
      <c r="B10852" s="87"/>
      <c r="C10852" s="87"/>
      <c r="D10852" s="87"/>
      <c r="E10852" s="87"/>
      <c r="F10852" s="87"/>
      <c r="G10852" s="87"/>
    </row>
    <row r="10853">
      <c r="A10853" s="86" t="str">
        <f>IFERROR(__xludf.DUMMYFUNCTION("""COMPUTED_VALUE"""),"")</f>
        <v/>
      </c>
      <c r="B10853" s="87"/>
      <c r="C10853" s="87"/>
      <c r="D10853" s="87"/>
      <c r="E10853" s="87"/>
      <c r="F10853" s="87"/>
      <c r="G10853" s="87"/>
    </row>
    <row r="10854">
      <c r="A10854" s="86" t="str">
        <f>IFERROR(__xludf.DUMMYFUNCTION("""COMPUTED_VALUE"""),"")</f>
        <v/>
      </c>
      <c r="B10854" s="87"/>
      <c r="C10854" s="87"/>
      <c r="D10854" s="87"/>
      <c r="E10854" s="87"/>
      <c r="F10854" s="87"/>
      <c r="G10854" s="87"/>
    </row>
    <row r="10855">
      <c r="A10855" s="86" t="str">
        <f>IFERROR(__xludf.DUMMYFUNCTION("""COMPUTED_VALUE"""),"")</f>
        <v/>
      </c>
      <c r="B10855" s="87"/>
      <c r="C10855" s="87"/>
      <c r="D10855" s="87"/>
      <c r="E10855" s="87"/>
      <c r="F10855" s="87"/>
      <c r="G10855" s="87"/>
    </row>
    <row r="10856">
      <c r="A10856" s="86" t="str">
        <f>IFERROR(__xludf.DUMMYFUNCTION("""COMPUTED_VALUE"""),"")</f>
        <v/>
      </c>
      <c r="B10856" s="87"/>
      <c r="C10856" s="87"/>
      <c r="D10856" s="87"/>
      <c r="E10856" s="87"/>
      <c r="F10856" s="87"/>
      <c r="G10856" s="87"/>
    </row>
    <row r="10857">
      <c r="A10857" s="86" t="str">
        <f>IFERROR(__xludf.DUMMYFUNCTION("""COMPUTED_VALUE"""),"")</f>
        <v/>
      </c>
      <c r="B10857" s="87"/>
      <c r="C10857" s="87"/>
      <c r="D10857" s="87"/>
      <c r="E10857" s="87"/>
      <c r="F10857" s="87"/>
      <c r="G10857" s="87"/>
    </row>
    <row r="10858">
      <c r="A10858" s="86" t="str">
        <f>IFERROR(__xludf.DUMMYFUNCTION("""COMPUTED_VALUE"""),"")</f>
        <v/>
      </c>
      <c r="B10858" s="87"/>
      <c r="C10858" s="87"/>
      <c r="D10858" s="87"/>
      <c r="E10858" s="87"/>
      <c r="F10858" s="87"/>
      <c r="G10858" s="87"/>
    </row>
    <row r="10859">
      <c r="A10859" s="86" t="str">
        <f>IFERROR(__xludf.DUMMYFUNCTION("""COMPUTED_VALUE"""),"")</f>
        <v/>
      </c>
      <c r="B10859" s="87"/>
      <c r="C10859" s="87"/>
      <c r="D10859" s="87"/>
      <c r="E10859" s="87"/>
      <c r="F10859" s="87"/>
      <c r="G10859" s="87"/>
    </row>
    <row r="10860">
      <c r="A10860" s="86" t="str">
        <f>IFERROR(__xludf.DUMMYFUNCTION("""COMPUTED_VALUE"""),"")</f>
        <v/>
      </c>
      <c r="B10860" s="87"/>
      <c r="C10860" s="87"/>
      <c r="D10860" s="87"/>
      <c r="E10860" s="87"/>
      <c r="F10860" s="87"/>
      <c r="G10860" s="87"/>
    </row>
    <row r="10861">
      <c r="A10861" s="86" t="str">
        <f>IFERROR(__xludf.DUMMYFUNCTION("""COMPUTED_VALUE"""),"")</f>
        <v/>
      </c>
      <c r="B10861" s="87"/>
      <c r="C10861" s="87"/>
      <c r="D10861" s="87"/>
      <c r="E10861" s="87"/>
      <c r="F10861" s="87"/>
      <c r="G10861" s="87"/>
    </row>
    <row r="10862">
      <c r="A10862" s="86" t="str">
        <f>IFERROR(__xludf.DUMMYFUNCTION("""COMPUTED_VALUE"""),"")</f>
        <v/>
      </c>
      <c r="B10862" s="87"/>
      <c r="C10862" s="87"/>
      <c r="D10862" s="87"/>
      <c r="E10862" s="87"/>
      <c r="F10862" s="87"/>
      <c r="G10862" s="87"/>
    </row>
    <row r="10863">
      <c r="A10863" s="86" t="str">
        <f>IFERROR(__xludf.DUMMYFUNCTION("""COMPUTED_VALUE"""),"")</f>
        <v/>
      </c>
      <c r="B10863" s="87"/>
      <c r="C10863" s="87"/>
      <c r="D10863" s="87"/>
      <c r="E10863" s="87"/>
      <c r="F10863" s="87"/>
      <c r="G10863" s="87"/>
    </row>
    <row r="10864">
      <c r="A10864" s="86" t="str">
        <f>IFERROR(__xludf.DUMMYFUNCTION("""COMPUTED_VALUE"""),"")</f>
        <v/>
      </c>
      <c r="B10864" s="87"/>
      <c r="C10864" s="87"/>
      <c r="D10864" s="87"/>
      <c r="E10864" s="87"/>
      <c r="F10864" s="87"/>
      <c r="G10864" s="87"/>
    </row>
    <row r="10865">
      <c r="A10865" s="86" t="str">
        <f>IFERROR(__xludf.DUMMYFUNCTION("""COMPUTED_VALUE"""),"")</f>
        <v/>
      </c>
      <c r="B10865" s="87"/>
      <c r="C10865" s="87"/>
      <c r="D10865" s="87"/>
      <c r="E10865" s="87"/>
      <c r="F10865" s="87"/>
      <c r="G10865" s="87"/>
    </row>
    <row r="10866">
      <c r="A10866" s="86" t="str">
        <f>IFERROR(__xludf.DUMMYFUNCTION("""COMPUTED_VALUE"""),"")</f>
        <v/>
      </c>
      <c r="B10866" s="87"/>
      <c r="C10866" s="87"/>
      <c r="D10866" s="87"/>
      <c r="E10866" s="87"/>
      <c r="F10866" s="87"/>
      <c r="G10866" s="87"/>
    </row>
    <row r="10867">
      <c r="A10867" s="86" t="str">
        <f>IFERROR(__xludf.DUMMYFUNCTION("""COMPUTED_VALUE"""),"")</f>
        <v/>
      </c>
      <c r="B10867" s="87"/>
      <c r="C10867" s="87"/>
      <c r="D10867" s="87"/>
      <c r="E10867" s="87"/>
      <c r="F10867" s="87"/>
      <c r="G10867" s="87"/>
    </row>
    <row r="10868">
      <c r="A10868" s="86" t="str">
        <f>IFERROR(__xludf.DUMMYFUNCTION("""COMPUTED_VALUE"""),"")</f>
        <v/>
      </c>
      <c r="B10868" s="87"/>
      <c r="C10868" s="87"/>
      <c r="D10868" s="87"/>
      <c r="E10868" s="87"/>
      <c r="F10868" s="87"/>
      <c r="G10868" s="87"/>
    </row>
    <row r="10869">
      <c r="A10869" s="86" t="str">
        <f>IFERROR(__xludf.DUMMYFUNCTION("""COMPUTED_VALUE"""),"")</f>
        <v/>
      </c>
      <c r="B10869" s="87"/>
      <c r="C10869" s="87"/>
      <c r="D10869" s="87"/>
      <c r="E10869" s="87"/>
      <c r="F10869" s="87"/>
      <c r="G10869" s="87"/>
    </row>
    <row r="10870">
      <c r="A10870" s="86" t="str">
        <f>IFERROR(__xludf.DUMMYFUNCTION("""COMPUTED_VALUE"""),"")</f>
        <v/>
      </c>
      <c r="B10870" s="87"/>
      <c r="C10870" s="87"/>
      <c r="D10870" s="87"/>
      <c r="E10870" s="87"/>
      <c r="F10870" s="87"/>
      <c r="G10870" s="87"/>
    </row>
    <row r="10871">
      <c r="A10871" s="86" t="str">
        <f>IFERROR(__xludf.DUMMYFUNCTION("""COMPUTED_VALUE"""),"")</f>
        <v/>
      </c>
      <c r="B10871" s="87"/>
      <c r="C10871" s="87"/>
      <c r="D10871" s="87"/>
      <c r="E10871" s="87"/>
      <c r="F10871" s="87"/>
      <c r="G10871" s="87"/>
    </row>
    <row r="10872">
      <c r="A10872" s="86" t="str">
        <f>IFERROR(__xludf.DUMMYFUNCTION("""COMPUTED_VALUE"""),"")</f>
        <v/>
      </c>
      <c r="B10872" s="87"/>
      <c r="C10872" s="87"/>
      <c r="D10872" s="87"/>
      <c r="E10872" s="87"/>
      <c r="F10872" s="87"/>
      <c r="G10872" s="87"/>
    </row>
    <row r="10873">
      <c r="A10873" s="86" t="str">
        <f>IFERROR(__xludf.DUMMYFUNCTION("""COMPUTED_VALUE"""),"")</f>
        <v/>
      </c>
      <c r="B10873" s="87"/>
      <c r="C10873" s="87"/>
      <c r="D10873" s="87"/>
      <c r="E10873" s="87"/>
      <c r="F10873" s="87"/>
      <c r="G10873" s="87"/>
    </row>
    <row r="10874">
      <c r="A10874" s="86" t="str">
        <f>IFERROR(__xludf.DUMMYFUNCTION("""COMPUTED_VALUE"""),"")</f>
        <v/>
      </c>
      <c r="B10874" s="87"/>
      <c r="C10874" s="87"/>
      <c r="D10874" s="87"/>
      <c r="E10874" s="87"/>
      <c r="F10874" s="87"/>
      <c r="G10874" s="87"/>
    </row>
    <row r="10875">
      <c r="A10875" s="86" t="str">
        <f>IFERROR(__xludf.DUMMYFUNCTION("""COMPUTED_VALUE"""),"")</f>
        <v/>
      </c>
      <c r="B10875" s="87"/>
      <c r="C10875" s="87"/>
      <c r="D10875" s="87"/>
      <c r="E10875" s="87"/>
      <c r="F10875" s="87"/>
      <c r="G10875" s="87"/>
    </row>
    <row r="10876">
      <c r="A10876" s="86" t="str">
        <f>IFERROR(__xludf.DUMMYFUNCTION("""COMPUTED_VALUE"""),"")</f>
        <v/>
      </c>
      <c r="B10876" s="87"/>
      <c r="C10876" s="87"/>
      <c r="D10876" s="87"/>
      <c r="E10876" s="87"/>
      <c r="F10876" s="87"/>
      <c r="G10876" s="87"/>
    </row>
    <row r="10877">
      <c r="A10877" s="86" t="str">
        <f>IFERROR(__xludf.DUMMYFUNCTION("""COMPUTED_VALUE"""),"")</f>
        <v/>
      </c>
      <c r="B10877" s="87"/>
      <c r="C10877" s="87"/>
      <c r="D10877" s="87"/>
      <c r="E10877" s="87"/>
      <c r="F10877" s="87"/>
      <c r="G10877" s="87"/>
    </row>
    <row r="10878">
      <c r="A10878" s="86" t="str">
        <f>IFERROR(__xludf.DUMMYFUNCTION("""COMPUTED_VALUE"""),"")</f>
        <v/>
      </c>
      <c r="B10878" s="87"/>
      <c r="C10878" s="87"/>
      <c r="D10878" s="87"/>
      <c r="E10878" s="87"/>
      <c r="F10878" s="87"/>
      <c r="G10878" s="87"/>
    </row>
    <row r="10879">
      <c r="A10879" s="86" t="str">
        <f>IFERROR(__xludf.DUMMYFUNCTION("""COMPUTED_VALUE"""),"")</f>
        <v/>
      </c>
      <c r="B10879" s="87"/>
      <c r="C10879" s="87"/>
      <c r="D10879" s="87"/>
      <c r="E10879" s="87"/>
      <c r="F10879" s="87"/>
      <c r="G10879" s="87"/>
    </row>
    <row r="10880">
      <c r="A10880" s="86" t="str">
        <f>IFERROR(__xludf.DUMMYFUNCTION("""COMPUTED_VALUE"""),"")</f>
        <v/>
      </c>
      <c r="B10880" s="87"/>
      <c r="C10880" s="87"/>
      <c r="D10880" s="87"/>
      <c r="E10880" s="87"/>
      <c r="F10880" s="87"/>
      <c r="G10880" s="87"/>
    </row>
    <row r="10881">
      <c r="A10881" s="86" t="str">
        <f>IFERROR(__xludf.DUMMYFUNCTION("""COMPUTED_VALUE"""),"")</f>
        <v/>
      </c>
      <c r="B10881" s="87"/>
      <c r="C10881" s="87"/>
      <c r="D10881" s="87"/>
      <c r="E10881" s="87"/>
      <c r="F10881" s="87"/>
      <c r="G10881" s="87"/>
    </row>
    <row r="10882">
      <c r="A10882" s="86" t="str">
        <f>IFERROR(__xludf.DUMMYFUNCTION("""COMPUTED_VALUE"""),"")</f>
        <v/>
      </c>
      <c r="B10882" s="87"/>
      <c r="C10882" s="87"/>
      <c r="D10882" s="87"/>
      <c r="E10882" s="87"/>
      <c r="F10882" s="87"/>
      <c r="G10882" s="87"/>
    </row>
    <row r="10883">
      <c r="A10883" s="86" t="str">
        <f>IFERROR(__xludf.DUMMYFUNCTION("""COMPUTED_VALUE"""),"")</f>
        <v/>
      </c>
      <c r="B10883" s="87"/>
      <c r="C10883" s="87"/>
      <c r="D10883" s="87"/>
      <c r="E10883" s="87"/>
      <c r="F10883" s="87"/>
      <c r="G10883" s="87"/>
    </row>
    <row r="10884">
      <c r="A10884" s="86" t="str">
        <f>IFERROR(__xludf.DUMMYFUNCTION("""COMPUTED_VALUE"""),"")</f>
        <v/>
      </c>
      <c r="B10884" s="87"/>
      <c r="C10884" s="87"/>
      <c r="D10884" s="87"/>
      <c r="E10884" s="87"/>
      <c r="F10884" s="87"/>
      <c r="G10884" s="87"/>
    </row>
    <row r="10885">
      <c r="A10885" s="86" t="str">
        <f>IFERROR(__xludf.DUMMYFUNCTION("""COMPUTED_VALUE"""),"")</f>
        <v/>
      </c>
      <c r="B10885" s="87"/>
      <c r="C10885" s="87"/>
      <c r="D10885" s="87"/>
      <c r="E10885" s="87"/>
      <c r="F10885" s="87"/>
      <c r="G10885" s="87"/>
    </row>
    <row r="10886">
      <c r="A10886" s="86" t="str">
        <f>IFERROR(__xludf.DUMMYFUNCTION("""COMPUTED_VALUE"""),"")</f>
        <v/>
      </c>
      <c r="B10886" s="87"/>
      <c r="C10886" s="87"/>
      <c r="D10886" s="87"/>
      <c r="E10886" s="87"/>
      <c r="F10886" s="87"/>
      <c r="G10886" s="87"/>
    </row>
    <row r="10887">
      <c r="A10887" s="86" t="str">
        <f>IFERROR(__xludf.DUMMYFUNCTION("""COMPUTED_VALUE"""),"")</f>
        <v/>
      </c>
      <c r="B10887" s="87"/>
      <c r="C10887" s="87"/>
      <c r="D10887" s="87"/>
      <c r="E10887" s="87"/>
      <c r="F10887" s="87"/>
      <c r="G10887" s="87"/>
    </row>
    <row r="10888">
      <c r="A10888" s="86" t="str">
        <f>IFERROR(__xludf.DUMMYFUNCTION("""COMPUTED_VALUE"""),"")</f>
        <v/>
      </c>
      <c r="B10888" s="87"/>
      <c r="C10888" s="87"/>
      <c r="D10888" s="87"/>
      <c r="E10888" s="87"/>
      <c r="F10888" s="87"/>
      <c r="G10888" s="87"/>
    </row>
    <row r="10889">
      <c r="A10889" s="86" t="str">
        <f>IFERROR(__xludf.DUMMYFUNCTION("""COMPUTED_VALUE"""),"")</f>
        <v/>
      </c>
      <c r="B10889" s="87"/>
      <c r="C10889" s="87"/>
      <c r="D10889" s="87"/>
      <c r="E10889" s="87"/>
      <c r="F10889" s="87"/>
      <c r="G10889" s="87"/>
    </row>
    <row r="10890">
      <c r="A10890" s="86" t="str">
        <f>IFERROR(__xludf.DUMMYFUNCTION("""COMPUTED_VALUE"""),"")</f>
        <v/>
      </c>
      <c r="B10890" s="87"/>
      <c r="C10890" s="87"/>
      <c r="D10890" s="87"/>
      <c r="E10890" s="87"/>
      <c r="F10890" s="87"/>
      <c r="G10890" s="87"/>
    </row>
    <row r="10891">
      <c r="A10891" s="86" t="str">
        <f>IFERROR(__xludf.DUMMYFUNCTION("""COMPUTED_VALUE"""),"")</f>
        <v/>
      </c>
      <c r="B10891" s="87"/>
      <c r="C10891" s="87"/>
      <c r="D10891" s="87"/>
      <c r="E10891" s="87"/>
      <c r="F10891" s="87"/>
      <c r="G10891" s="87"/>
    </row>
    <row r="10892">
      <c r="A10892" s="86" t="str">
        <f>IFERROR(__xludf.DUMMYFUNCTION("""COMPUTED_VALUE"""),"")</f>
        <v/>
      </c>
      <c r="B10892" s="87"/>
      <c r="C10892" s="87"/>
      <c r="D10892" s="87"/>
      <c r="E10892" s="87"/>
      <c r="F10892" s="87"/>
      <c r="G10892" s="87"/>
    </row>
    <row r="10893">
      <c r="A10893" s="86" t="str">
        <f>IFERROR(__xludf.DUMMYFUNCTION("""COMPUTED_VALUE"""),"")</f>
        <v/>
      </c>
      <c r="B10893" s="87"/>
      <c r="C10893" s="87"/>
      <c r="D10893" s="87"/>
      <c r="E10893" s="87"/>
      <c r="F10893" s="87"/>
      <c r="G10893" s="87"/>
    </row>
    <row r="10894">
      <c r="A10894" s="86" t="str">
        <f>IFERROR(__xludf.DUMMYFUNCTION("""COMPUTED_VALUE"""),"")</f>
        <v/>
      </c>
      <c r="B10894" s="87"/>
      <c r="C10894" s="87"/>
      <c r="D10894" s="87"/>
      <c r="E10894" s="87"/>
      <c r="F10894" s="87"/>
      <c r="G10894" s="87"/>
    </row>
    <row r="10895">
      <c r="A10895" s="86" t="str">
        <f>IFERROR(__xludf.DUMMYFUNCTION("""COMPUTED_VALUE"""),"")</f>
        <v/>
      </c>
      <c r="B10895" s="87"/>
      <c r="C10895" s="87"/>
      <c r="D10895" s="87"/>
      <c r="E10895" s="87"/>
      <c r="F10895" s="87"/>
      <c r="G10895" s="87"/>
    </row>
    <row r="10896">
      <c r="A10896" s="86" t="str">
        <f>IFERROR(__xludf.DUMMYFUNCTION("""COMPUTED_VALUE"""),"")</f>
        <v/>
      </c>
      <c r="B10896" s="87"/>
      <c r="C10896" s="87"/>
      <c r="D10896" s="87"/>
      <c r="E10896" s="87"/>
      <c r="F10896" s="87"/>
      <c r="G10896" s="87"/>
    </row>
    <row r="10897">
      <c r="A10897" s="86" t="str">
        <f>IFERROR(__xludf.DUMMYFUNCTION("""COMPUTED_VALUE"""),"")</f>
        <v/>
      </c>
      <c r="B10897" s="87"/>
      <c r="C10897" s="87"/>
      <c r="D10897" s="87"/>
      <c r="E10897" s="87"/>
      <c r="F10897" s="87"/>
      <c r="G10897" s="87"/>
    </row>
    <row r="10898">
      <c r="A10898" s="86" t="str">
        <f>IFERROR(__xludf.DUMMYFUNCTION("""COMPUTED_VALUE"""),"")</f>
        <v/>
      </c>
      <c r="B10898" s="87"/>
      <c r="C10898" s="87"/>
      <c r="D10898" s="87"/>
      <c r="E10898" s="87"/>
      <c r="F10898" s="87"/>
      <c r="G10898" s="87"/>
    </row>
    <row r="10899">
      <c r="A10899" s="86" t="str">
        <f>IFERROR(__xludf.DUMMYFUNCTION("""COMPUTED_VALUE"""),"")</f>
        <v/>
      </c>
      <c r="B10899" s="87"/>
      <c r="C10899" s="87"/>
      <c r="D10899" s="87"/>
      <c r="E10899" s="87"/>
      <c r="F10899" s="87"/>
      <c r="G10899" s="87"/>
    </row>
    <row r="10900">
      <c r="A10900" s="86" t="str">
        <f>IFERROR(__xludf.DUMMYFUNCTION("""COMPUTED_VALUE"""),"")</f>
        <v/>
      </c>
      <c r="B10900" s="87"/>
      <c r="C10900" s="87"/>
      <c r="D10900" s="87"/>
      <c r="E10900" s="87"/>
      <c r="F10900" s="87"/>
      <c r="G10900" s="87"/>
    </row>
    <row r="10901">
      <c r="A10901" s="86" t="str">
        <f>IFERROR(__xludf.DUMMYFUNCTION("""COMPUTED_VALUE"""),"")</f>
        <v/>
      </c>
      <c r="B10901" s="87"/>
      <c r="C10901" s="87"/>
      <c r="D10901" s="87"/>
      <c r="E10901" s="87"/>
      <c r="F10901" s="87"/>
      <c r="G10901" s="87"/>
    </row>
    <row r="10902">
      <c r="A10902" s="86" t="str">
        <f>IFERROR(__xludf.DUMMYFUNCTION("""COMPUTED_VALUE"""),"")</f>
        <v/>
      </c>
      <c r="B10902" s="87"/>
      <c r="C10902" s="87"/>
      <c r="D10902" s="87"/>
      <c r="E10902" s="87"/>
      <c r="F10902" s="87"/>
      <c r="G10902" s="87"/>
    </row>
    <row r="10903">
      <c r="A10903" s="86" t="str">
        <f>IFERROR(__xludf.DUMMYFUNCTION("""COMPUTED_VALUE"""),"")</f>
        <v/>
      </c>
      <c r="B10903" s="87"/>
      <c r="C10903" s="87"/>
      <c r="D10903" s="87"/>
      <c r="E10903" s="87"/>
      <c r="F10903" s="87"/>
      <c r="G10903" s="87"/>
    </row>
    <row r="10904">
      <c r="A10904" s="86" t="str">
        <f>IFERROR(__xludf.DUMMYFUNCTION("""COMPUTED_VALUE"""),"")</f>
        <v/>
      </c>
      <c r="B10904" s="87"/>
      <c r="C10904" s="87"/>
      <c r="D10904" s="87"/>
      <c r="E10904" s="87"/>
      <c r="F10904" s="87"/>
      <c r="G10904" s="87"/>
    </row>
    <row r="10905">
      <c r="A10905" s="86" t="str">
        <f>IFERROR(__xludf.DUMMYFUNCTION("""COMPUTED_VALUE"""),"")</f>
        <v/>
      </c>
      <c r="B10905" s="87"/>
      <c r="C10905" s="87"/>
      <c r="D10905" s="87"/>
      <c r="E10905" s="87"/>
      <c r="F10905" s="87"/>
      <c r="G10905" s="87"/>
    </row>
    <row r="10906">
      <c r="A10906" s="86" t="str">
        <f>IFERROR(__xludf.DUMMYFUNCTION("""COMPUTED_VALUE"""),"")</f>
        <v/>
      </c>
      <c r="B10906" s="87"/>
      <c r="C10906" s="87"/>
      <c r="D10906" s="87"/>
      <c r="E10906" s="87"/>
      <c r="F10906" s="87"/>
      <c r="G10906" s="87"/>
    </row>
    <row r="10907">
      <c r="A10907" s="86" t="str">
        <f>IFERROR(__xludf.DUMMYFUNCTION("""COMPUTED_VALUE"""),"")</f>
        <v/>
      </c>
      <c r="B10907" s="87"/>
      <c r="C10907" s="87"/>
      <c r="D10907" s="87"/>
      <c r="E10907" s="87"/>
      <c r="F10907" s="87"/>
      <c r="G10907" s="87"/>
    </row>
    <row r="10908">
      <c r="A10908" s="86" t="str">
        <f>IFERROR(__xludf.DUMMYFUNCTION("""COMPUTED_VALUE"""),"")</f>
        <v/>
      </c>
      <c r="B10908" s="87"/>
      <c r="C10908" s="87"/>
      <c r="D10908" s="87"/>
      <c r="E10908" s="87"/>
      <c r="F10908" s="87"/>
      <c r="G10908" s="87"/>
    </row>
    <row r="10909">
      <c r="A10909" s="86" t="str">
        <f>IFERROR(__xludf.DUMMYFUNCTION("""COMPUTED_VALUE"""),"")</f>
        <v/>
      </c>
      <c r="B10909" s="87"/>
      <c r="C10909" s="87"/>
      <c r="D10909" s="87"/>
      <c r="E10909" s="87"/>
      <c r="F10909" s="87"/>
      <c r="G10909" s="87"/>
    </row>
    <row r="10910">
      <c r="A10910" s="86" t="str">
        <f>IFERROR(__xludf.DUMMYFUNCTION("""COMPUTED_VALUE"""),"")</f>
        <v/>
      </c>
      <c r="B10910" s="87"/>
      <c r="C10910" s="87"/>
      <c r="D10910" s="87"/>
      <c r="E10910" s="87"/>
      <c r="F10910" s="87"/>
      <c r="G10910" s="87"/>
    </row>
    <row r="10911">
      <c r="A10911" s="86" t="str">
        <f>IFERROR(__xludf.DUMMYFUNCTION("""COMPUTED_VALUE"""),"")</f>
        <v/>
      </c>
      <c r="B10911" s="87"/>
      <c r="C10911" s="87"/>
      <c r="D10911" s="87"/>
      <c r="E10911" s="87"/>
      <c r="F10911" s="87"/>
      <c r="G10911" s="87"/>
    </row>
    <row r="10912">
      <c r="A10912" s="86" t="str">
        <f>IFERROR(__xludf.DUMMYFUNCTION("""COMPUTED_VALUE"""),"")</f>
        <v/>
      </c>
      <c r="B10912" s="87"/>
      <c r="C10912" s="87"/>
      <c r="D10912" s="87"/>
      <c r="E10912" s="87"/>
      <c r="F10912" s="87"/>
      <c r="G10912" s="87"/>
    </row>
    <row r="10913">
      <c r="A10913" s="86" t="str">
        <f>IFERROR(__xludf.DUMMYFUNCTION("""COMPUTED_VALUE"""),"")</f>
        <v/>
      </c>
      <c r="B10913" s="87"/>
      <c r="C10913" s="87"/>
      <c r="D10913" s="87"/>
      <c r="E10913" s="87"/>
      <c r="F10913" s="87"/>
      <c r="G10913" s="87"/>
    </row>
    <row r="10914">
      <c r="A10914" s="86" t="str">
        <f>IFERROR(__xludf.DUMMYFUNCTION("""COMPUTED_VALUE"""),"")</f>
        <v/>
      </c>
      <c r="B10914" s="87"/>
      <c r="C10914" s="87"/>
      <c r="D10914" s="87"/>
      <c r="E10914" s="87"/>
      <c r="F10914" s="87"/>
      <c r="G10914" s="87"/>
    </row>
    <row r="10915">
      <c r="A10915" s="86" t="str">
        <f>IFERROR(__xludf.DUMMYFUNCTION("""COMPUTED_VALUE"""),"")</f>
        <v/>
      </c>
      <c r="B10915" s="87"/>
      <c r="C10915" s="87"/>
      <c r="D10915" s="87"/>
      <c r="E10915" s="87"/>
      <c r="F10915" s="87"/>
      <c r="G10915" s="87"/>
    </row>
    <row r="10916">
      <c r="A10916" s="86" t="str">
        <f>IFERROR(__xludf.DUMMYFUNCTION("""COMPUTED_VALUE"""),"")</f>
        <v/>
      </c>
      <c r="B10916" s="87"/>
      <c r="C10916" s="87"/>
      <c r="D10916" s="87"/>
      <c r="E10916" s="87"/>
      <c r="F10916" s="87"/>
      <c r="G10916" s="87"/>
    </row>
    <row r="10917">
      <c r="A10917" s="86" t="str">
        <f>IFERROR(__xludf.DUMMYFUNCTION("""COMPUTED_VALUE"""),"")</f>
        <v/>
      </c>
      <c r="B10917" s="87"/>
      <c r="C10917" s="87"/>
      <c r="D10917" s="87"/>
      <c r="E10917" s="87"/>
      <c r="F10917" s="87"/>
      <c r="G10917" s="87"/>
    </row>
    <row r="10918">
      <c r="A10918" s="86" t="str">
        <f>IFERROR(__xludf.DUMMYFUNCTION("""COMPUTED_VALUE"""),"")</f>
        <v/>
      </c>
      <c r="B10918" s="87"/>
      <c r="C10918" s="87"/>
      <c r="D10918" s="87"/>
      <c r="E10918" s="87"/>
      <c r="F10918" s="87"/>
      <c r="G10918" s="87"/>
    </row>
    <row r="10919">
      <c r="A10919" s="86" t="str">
        <f>IFERROR(__xludf.DUMMYFUNCTION("""COMPUTED_VALUE"""),"")</f>
        <v/>
      </c>
      <c r="B10919" s="87"/>
      <c r="C10919" s="87"/>
      <c r="D10919" s="87"/>
      <c r="E10919" s="87"/>
      <c r="F10919" s="87"/>
      <c r="G10919" s="87"/>
    </row>
    <row r="10920">
      <c r="A10920" s="86" t="str">
        <f>IFERROR(__xludf.DUMMYFUNCTION("""COMPUTED_VALUE"""),"")</f>
        <v/>
      </c>
      <c r="B10920" s="87"/>
      <c r="C10920" s="87"/>
      <c r="D10920" s="87"/>
      <c r="E10920" s="87"/>
      <c r="F10920" s="87"/>
      <c r="G10920" s="87"/>
    </row>
    <row r="10921">
      <c r="A10921" s="86" t="str">
        <f>IFERROR(__xludf.DUMMYFUNCTION("""COMPUTED_VALUE"""),"")</f>
        <v/>
      </c>
      <c r="B10921" s="87"/>
      <c r="C10921" s="87"/>
      <c r="D10921" s="87"/>
      <c r="E10921" s="87"/>
      <c r="F10921" s="87"/>
      <c r="G10921" s="87"/>
    </row>
    <row r="10922">
      <c r="A10922" s="86" t="str">
        <f>IFERROR(__xludf.DUMMYFUNCTION("""COMPUTED_VALUE"""),"")</f>
        <v/>
      </c>
      <c r="B10922" s="87"/>
      <c r="C10922" s="87"/>
      <c r="D10922" s="87"/>
      <c r="E10922" s="87"/>
      <c r="F10922" s="87"/>
      <c r="G10922" s="87"/>
    </row>
    <row r="10923">
      <c r="A10923" s="86" t="str">
        <f>IFERROR(__xludf.DUMMYFUNCTION("""COMPUTED_VALUE"""),"")</f>
        <v/>
      </c>
      <c r="B10923" s="87"/>
      <c r="C10923" s="87"/>
      <c r="D10923" s="87"/>
      <c r="E10923" s="87"/>
      <c r="F10923" s="87"/>
      <c r="G10923" s="87"/>
    </row>
    <row r="10924">
      <c r="A10924" s="86" t="str">
        <f>IFERROR(__xludf.DUMMYFUNCTION("""COMPUTED_VALUE"""),"")</f>
        <v/>
      </c>
      <c r="B10924" s="87"/>
      <c r="C10924" s="87"/>
      <c r="D10924" s="87"/>
      <c r="E10924" s="87"/>
      <c r="F10924" s="87"/>
      <c r="G10924" s="87"/>
    </row>
    <row r="10925">
      <c r="A10925" s="86" t="str">
        <f>IFERROR(__xludf.DUMMYFUNCTION("""COMPUTED_VALUE"""),"")</f>
        <v/>
      </c>
      <c r="B10925" s="87"/>
      <c r="C10925" s="87"/>
      <c r="D10925" s="87"/>
      <c r="E10925" s="87"/>
      <c r="F10925" s="87"/>
      <c r="G10925" s="87"/>
    </row>
    <row r="10926">
      <c r="A10926" s="86" t="str">
        <f>IFERROR(__xludf.DUMMYFUNCTION("""COMPUTED_VALUE"""),"")</f>
        <v/>
      </c>
      <c r="B10926" s="87"/>
      <c r="C10926" s="87"/>
      <c r="D10926" s="87"/>
      <c r="E10926" s="87"/>
      <c r="F10926" s="87"/>
      <c r="G10926" s="87"/>
    </row>
    <row r="10927">
      <c r="A10927" s="86" t="str">
        <f>IFERROR(__xludf.DUMMYFUNCTION("""COMPUTED_VALUE"""),"")</f>
        <v/>
      </c>
      <c r="B10927" s="87"/>
      <c r="C10927" s="87"/>
      <c r="D10927" s="87"/>
      <c r="E10927" s="87"/>
      <c r="F10927" s="87"/>
      <c r="G10927" s="87"/>
    </row>
    <row r="10928">
      <c r="A10928" s="86" t="str">
        <f>IFERROR(__xludf.DUMMYFUNCTION("""COMPUTED_VALUE"""),"")</f>
        <v/>
      </c>
      <c r="B10928" s="87"/>
      <c r="C10928" s="87"/>
      <c r="D10928" s="87"/>
      <c r="E10928" s="87"/>
      <c r="F10928" s="87"/>
      <c r="G10928" s="87"/>
    </row>
    <row r="10929">
      <c r="A10929" s="86" t="str">
        <f>IFERROR(__xludf.DUMMYFUNCTION("""COMPUTED_VALUE"""),"")</f>
        <v/>
      </c>
      <c r="B10929" s="87"/>
      <c r="C10929" s="87"/>
      <c r="D10929" s="87"/>
      <c r="E10929" s="87"/>
      <c r="F10929" s="87"/>
      <c r="G10929" s="87"/>
    </row>
    <row r="10930">
      <c r="A10930" s="86" t="str">
        <f>IFERROR(__xludf.DUMMYFUNCTION("""COMPUTED_VALUE"""),"")</f>
        <v/>
      </c>
      <c r="B10930" s="87"/>
      <c r="C10930" s="87"/>
      <c r="D10930" s="87"/>
      <c r="E10930" s="87"/>
      <c r="F10930" s="87"/>
      <c r="G10930" s="87"/>
    </row>
    <row r="10931">
      <c r="A10931" s="86" t="str">
        <f>IFERROR(__xludf.DUMMYFUNCTION("""COMPUTED_VALUE"""),"")</f>
        <v/>
      </c>
      <c r="B10931" s="87"/>
      <c r="C10931" s="87"/>
      <c r="D10931" s="87"/>
      <c r="E10931" s="87"/>
      <c r="F10931" s="87"/>
      <c r="G10931" s="87"/>
    </row>
    <row r="10932">
      <c r="A10932" s="86" t="str">
        <f>IFERROR(__xludf.DUMMYFUNCTION("""COMPUTED_VALUE"""),"")</f>
        <v/>
      </c>
      <c r="B10932" s="87"/>
      <c r="C10932" s="87"/>
      <c r="D10932" s="87"/>
      <c r="E10932" s="87"/>
      <c r="F10932" s="87"/>
      <c r="G10932" s="87"/>
    </row>
    <row r="10933">
      <c r="A10933" s="86" t="str">
        <f>IFERROR(__xludf.DUMMYFUNCTION("""COMPUTED_VALUE"""),"")</f>
        <v/>
      </c>
      <c r="B10933" s="87"/>
      <c r="C10933" s="87"/>
      <c r="D10933" s="87"/>
      <c r="E10933" s="87"/>
      <c r="F10933" s="87"/>
      <c r="G10933" s="87"/>
    </row>
    <row r="10934">
      <c r="A10934" s="86" t="str">
        <f>IFERROR(__xludf.DUMMYFUNCTION("""COMPUTED_VALUE"""),"")</f>
        <v/>
      </c>
      <c r="B10934" s="87"/>
      <c r="C10934" s="87"/>
      <c r="D10934" s="87"/>
      <c r="E10934" s="87"/>
      <c r="F10934" s="87"/>
      <c r="G10934" s="87"/>
    </row>
    <row r="10935">
      <c r="A10935" s="86" t="str">
        <f>IFERROR(__xludf.DUMMYFUNCTION("""COMPUTED_VALUE"""),"")</f>
        <v/>
      </c>
      <c r="B10935" s="87"/>
      <c r="C10935" s="87"/>
      <c r="D10935" s="87"/>
      <c r="E10935" s="87"/>
      <c r="F10935" s="87"/>
      <c r="G10935" s="87"/>
    </row>
    <row r="10936">
      <c r="A10936" s="86" t="str">
        <f>IFERROR(__xludf.DUMMYFUNCTION("""COMPUTED_VALUE"""),"")</f>
        <v/>
      </c>
      <c r="B10936" s="87"/>
      <c r="C10936" s="87"/>
      <c r="D10936" s="87"/>
      <c r="E10936" s="87"/>
      <c r="F10936" s="87"/>
      <c r="G10936" s="87"/>
    </row>
    <row r="10937">
      <c r="A10937" s="86" t="str">
        <f>IFERROR(__xludf.DUMMYFUNCTION("""COMPUTED_VALUE"""),"")</f>
        <v/>
      </c>
      <c r="B10937" s="87"/>
      <c r="C10937" s="87"/>
      <c r="D10937" s="87"/>
      <c r="E10937" s="87"/>
      <c r="F10937" s="87"/>
      <c r="G10937" s="87"/>
    </row>
    <row r="10938">
      <c r="A10938" s="86" t="str">
        <f>IFERROR(__xludf.DUMMYFUNCTION("""COMPUTED_VALUE"""),"")</f>
        <v/>
      </c>
      <c r="B10938" s="87"/>
      <c r="C10938" s="87"/>
      <c r="D10938" s="87"/>
      <c r="E10938" s="87"/>
      <c r="F10938" s="87"/>
      <c r="G10938" s="87"/>
    </row>
    <row r="10939">
      <c r="A10939" s="86" t="str">
        <f>IFERROR(__xludf.DUMMYFUNCTION("""COMPUTED_VALUE"""),"")</f>
        <v/>
      </c>
      <c r="B10939" s="87"/>
      <c r="C10939" s="87"/>
      <c r="D10939" s="87"/>
      <c r="E10939" s="87"/>
      <c r="F10939" s="87"/>
      <c r="G10939" s="87"/>
    </row>
    <row r="10940">
      <c r="A10940" s="86" t="str">
        <f>IFERROR(__xludf.DUMMYFUNCTION("""COMPUTED_VALUE"""),"")</f>
        <v/>
      </c>
      <c r="B10940" s="87"/>
      <c r="C10940" s="87"/>
      <c r="D10940" s="87"/>
      <c r="E10940" s="87"/>
      <c r="F10940" s="87"/>
      <c r="G10940" s="87"/>
    </row>
    <row r="10941">
      <c r="A10941" s="86" t="str">
        <f>IFERROR(__xludf.DUMMYFUNCTION("""COMPUTED_VALUE"""),"")</f>
        <v/>
      </c>
      <c r="B10941" s="87"/>
      <c r="C10941" s="87"/>
      <c r="D10941" s="87"/>
      <c r="E10941" s="87"/>
      <c r="F10941" s="87"/>
      <c r="G10941" s="87"/>
    </row>
    <row r="10942">
      <c r="A10942" s="86" t="str">
        <f>IFERROR(__xludf.DUMMYFUNCTION("""COMPUTED_VALUE"""),"")</f>
        <v/>
      </c>
      <c r="B10942" s="87"/>
      <c r="C10942" s="87"/>
      <c r="D10942" s="87"/>
      <c r="E10942" s="87"/>
      <c r="F10942" s="87"/>
      <c r="G10942" s="87"/>
    </row>
    <row r="10943">
      <c r="A10943" s="86" t="str">
        <f>IFERROR(__xludf.DUMMYFUNCTION("""COMPUTED_VALUE"""),"")</f>
        <v/>
      </c>
      <c r="B10943" s="87"/>
      <c r="C10943" s="87"/>
      <c r="D10943" s="87"/>
      <c r="E10943" s="87"/>
      <c r="F10943" s="87"/>
      <c r="G10943" s="87"/>
    </row>
    <row r="10944">
      <c r="A10944" s="86" t="str">
        <f>IFERROR(__xludf.DUMMYFUNCTION("""COMPUTED_VALUE"""),"")</f>
        <v/>
      </c>
      <c r="B10944" s="87"/>
      <c r="C10944" s="87"/>
      <c r="D10944" s="87"/>
      <c r="E10944" s="87"/>
      <c r="F10944" s="87"/>
      <c r="G10944" s="87"/>
    </row>
    <row r="10945">
      <c r="A10945" s="86" t="str">
        <f>IFERROR(__xludf.DUMMYFUNCTION("""COMPUTED_VALUE"""),"")</f>
        <v/>
      </c>
      <c r="B10945" s="87"/>
      <c r="C10945" s="87"/>
      <c r="D10945" s="87"/>
      <c r="E10945" s="87"/>
      <c r="F10945" s="87"/>
      <c r="G10945" s="87"/>
    </row>
    <row r="10946">
      <c r="A10946" s="86" t="str">
        <f>IFERROR(__xludf.DUMMYFUNCTION("""COMPUTED_VALUE"""),"")</f>
        <v/>
      </c>
      <c r="B10946" s="87"/>
      <c r="C10946" s="87"/>
      <c r="D10946" s="87"/>
      <c r="E10946" s="87"/>
      <c r="F10946" s="87"/>
      <c r="G10946" s="87"/>
    </row>
    <row r="10947">
      <c r="A10947" s="86" t="str">
        <f>IFERROR(__xludf.DUMMYFUNCTION("""COMPUTED_VALUE"""),"")</f>
        <v/>
      </c>
      <c r="B10947" s="87"/>
      <c r="C10947" s="87"/>
      <c r="D10947" s="87"/>
      <c r="E10947" s="87"/>
      <c r="F10947" s="87"/>
      <c r="G10947" s="87"/>
    </row>
    <row r="10948">
      <c r="A10948" s="86" t="str">
        <f>IFERROR(__xludf.DUMMYFUNCTION("""COMPUTED_VALUE"""),"")</f>
        <v/>
      </c>
      <c r="B10948" s="87"/>
      <c r="C10948" s="87"/>
      <c r="D10948" s="87"/>
      <c r="E10948" s="87"/>
      <c r="F10948" s="87"/>
      <c r="G10948" s="87"/>
    </row>
    <row r="10949">
      <c r="A10949" s="86" t="str">
        <f>IFERROR(__xludf.DUMMYFUNCTION("""COMPUTED_VALUE"""),"")</f>
        <v/>
      </c>
      <c r="B10949" s="87"/>
      <c r="C10949" s="87"/>
      <c r="D10949" s="87"/>
      <c r="E10949" s="87"/>
      <c r="F10949" s="87"/>
      <c r="G10949" s="87"/>
    </row>
    <row r="10950">
      <c r="A10950" s="86" t="str">
        <f>IFERROR(__xludf.DUMMYFUNCTION("""COMPUTED_VALUE"""),"")</f>
        <v/>
      </c>
      <c r="B10950" s="87"/>
      <c r="C10950" s="87"/>
      <c r="D10950" s="87"/>
      <c r="E10950" s="87"/>
      <c r="F10950" s="87"/>
      <c r="G10950" s="87"/>
    </row>
    <row r="10951">
      <c r="A10951" s="86" t="str">
        <f>IFERROR(__xludf.DUMMYFUNCTION("""COMPUTED_VALUE"""),"")</f>
        <v/>
      </c>
      <c r="B10951" s="87"/>
      <c r="C10951" s="87"/>
      <c r="D10951" s="87"/>
      <c r="E10951" s="87"/>
      <c r="F10951" s="87"/>
      <c r="G10951" s="87"/>
    </row>
    <row r="10952">
      <c r="A10952" s="86" t="str">
        <f>IFERROR(__xludf.DUMMYFUNCTION("""COMPUTED_VALUE"""),"")</f>
        <v/>
      </c>
      <c r="B10952" s="87"/>
      <c r="C10952" s="87"/>
      <c r="D10952" s="87"/>
      <c r="E10952" s="87"/>
      <c r="F10952" s="87"/>
      <c r="G10952" s="87"/>
    </row>
    <row r="10953">
      <c r="A10953" s="86" t="str">
        <f>IFERROR(__xludf.DUMMYFUNCTION("""COMPUTED_VALUE"""),"")</f>
        <v/>
      </c>
      <c r="B10953" s="87"/>
      <c r="C10953" s="87"/>
      <c r="D10953" s="87"/>
      <c r="E10953" s="87"/>
      <c r="F10953" s="87"/>
      <c r="G10953" s="87"/>
    </row>
    <row r="10954">
      <c r="A10954" s="86" t="str">
        <f>IFERROR(__xludf.DUMMYFUNCTION("""COMPUTED_VALUE"""),"")</f>
        <v/>
      </c>
      <c r="B10954" s="87"/>
      <c r="C10954" s="87"/>
      <c r="D10954" s="87"/>
      <c r="E10954" s="87"/>
      <c r="F10954" s="87"/>
      <c r="G10954" s="87"/>
    </row>
    <row r="10955">
      <c r="A10955" s="86" t="str">
        <f>IFERROR(__xludf.DUMMYFUNCTION("""COMPUTED_VALUE"""),"")</f>
        <v/>
      </c>
      <c r="B10955" s="87"/>
      <c r="C10955" s="87"/>
      <c r="D10955" s="87"/>
      <c r="E10955" s="87"/>
      <c r="F10955" s="87"/>
      <c r="G10955" s="87"/>
    </row>
    <row r="10956">
      <c r="A10956" s="86" t="str">
        <f>IFERROR(__xludf.DUMMYFUNCTION("""COMPUTED_VALUE"""),"")</f>
        <v/>
      </c>
      <c r="B10956" s="87"/>
      <c r="C10956" s="87"/>
      <c r="D10956" s="87"/>
      <c r="E10956" s="87"/>
      <c r="F10956" s="87"/>
      <c r="G10956" s="87"/>
    </row>
    <row r="10957">
      <c r="A10957" s="86" t="str">
        <f>IFERROR(__xludf.DUMMYFUNCTION("""COMPUTED_VALUE"""),"")</f>
        <v/>
      </c>
      <c r="B10957" s="87"/>
      <c r="C10957" s="87"/>
      <c r="D10957" s="87"/>
      <c r="E10957" s="87"/>
      <c r="F10957" s="87"/>
      <c r="G10957" s="87"/>
    </row>
    <row r="10958">
      <c r="A10958" s="86" t="str">
        <f>IFERROR(__xludf.DUMMYFUNCTION("""COMPUTED_VALUE"""),"")</f>
        <v/>
      </c>
      <c r="B10958" s="87"/>
      <c r="C10958" s="87"/>
      <c r="D10958" s="87"/>
      <c r="E10958" s="87"/>
      <c r="F10958" s="87"/>
      <c r="G10958" s="87"/>
    </row>
    <row r="10959">
      <c r="A10959" s="86" t="str">
        <f>IFERROR(__xludf.DUMMYFUNCTION("""COMPUTED_VALUE"""),"")</f>
        <v/>
      </c>
      <c r="B10959" s="87"/>
      <c r="C10959" s="87"/>
      <c r="D10959" s="87"/>
      <c r="E10959" s="87"/>
      <c r="F10959" s="87"/>
      <c r="G10959" s="87"/>
    </row>
    <row r="10960">
      <c r="A10960" s="86" t="str">
        <f>IFERROR(__xludf.DUMMYFUNCTION("""COMPUTED_VALUE"""),"")</f>
        <v/>
      </c>
      <c r="B10960" s="87"/>
      <c r="C10960" s="87"/>
      <c r="D10960" s="87"/>
      <c r="E10960" s="87"/>
      <c r="F10960" s="87"/>
      <c r="G10960" s="87"/>
    </row>
    <row r="10961">
      <c r="A10961" s="86" t="str">
        <f>IFERROR(__xludf.DUMMYFUNCTION("""COMPUTED_VALUE"""),"")</f>
        <v/>
      </c>
      <c r="B10961" s="87"/>
      <c r="C10961" s="87"/>
      <c r="D10961" s="87"/>
      <c r="E10961" s="87"/>
      <c r="F10961" s="87"/>
      <c r="G10961" s="87"/>
    </row>
    <row r="10962">
      <c r="A10962" s="86" t="str">
        <f>IFERROR(__xludf.DUMMYFUNCTION("""COMPUTED_VALUE"""),"")</f>
        <v/>
      </c>
      <c r="B10962" s="87"/>
      <c r="C10962" s="87"/>
      <c r="D10962" s="87"/>
      <c r="E10962" s="87"/>
      <c r="F10962" s="87"/>
      <c r="G10962" s="87"/>
    </row>
    <row r="10963">
      <c r="A10963" s="86" t="str">
        <f>IFERROR(__xludf.DUMMYFUNCTION("""COMPUTED_VALUE"""),"")</f>
        <v/>
      </c>
      <c r="B10963" s="87"/>
      <c r="C10963" s="87"/>
      <c r="D10963" s="87"/>
      <c r="E10963" s="87"/>
      <c r="F10963" s="87"/>
      <c r="G10963" s="87"/>
    </row>
    <row r="10964">
      <c r="A10964" s="86" t="str">
        <f>IFERROR(__xludf.DUMMYFUNCTION("""COMPUTED_VALUE"""),"")</f>
        <v/>
      </c>
      <c r="B10964" s="87"/>
      <c r="C10964" s="87"/>
      <c r="D10964" s="87"/>
      <c r="E10964" s="87"/>
      <c r="F10964" s="87"/>
      <c r="G10964" s="87"/>
    </row>
    <row r="10965">
      <c r="A10965" s="86" t="str">
        <f>IFERROR(__xludf.DUMMYFUNCTION("""COMPUTED_VALUE"""),"")</f>
        <v/>
      </c>
      <c r="B10965" s="87"/>
      <c r="C10965" s="87"/>
      <c r="D10965" s="87"/>
      <c r="E10965" s="87"/>
      <c r="F10965" s="87"/>
      <c r="G10965" s="87"/>
    </row>
    <row r="10966">
      <c r="A10966" s="86" t="str">
        <f>IFERROR(__xludf.DUMMYFUNCTION("""COMPUTED_VALUE"""),"")</f>
        <v/>
      </c>
      <c r="B10966" s="87"/>
      <c r="C10966" s="87"/>
      <c r="D10966" s="87"/>
      <c r="E10966" s="87"/>
      <c r="F10966" s="87"/>
      <c r="G10966" s="87"/>
    </row>
    <row r="10967">
      <c r="A10967" s="86" t="str">
        <f>IFERROR(__xludf.DUMMYFUNCTION("""COMPUTED_VALUE"""),"")</f>
        <v/>
      </c>
      <c r="B10967" s="87"/>
      <c r="C10967" s="87"/>
      <c r="D10967" s="87"/>
      <c r="E10967" s="87"/>
      <c r="F10967" s="87"/>
      <c r="G10967" s="87"/>
    </row>
    <row r="10968">
      <c r="A10968" s="86" t="str">
        <f>IFERROR(__xludf.DUMMYFUNCTION("""COMPUTED_VALUE"""),"")</f>
        <v/>
      </c>
      <c r="B10968" s="87"/>
      <c r="C10968" s="87"/>
      <c r="D10968" s="87"/>
      <c r="E10968" s="87"/>
      <c r="F10968" s="87"/>
      <c r="G10968" s="87"/>
    </row>
    <row r="10969">
      <c r="A10969" s="86" t="str">
        <f>IFERROR(__xludf.DUMMYFUNCTION("""COMPUTED_VALUE"""),"")</f>
        <v/>
      </c>
      <c r="B10969" s="87"/>
      <c r="C10969" s="87"/>
      <c r="D10969" s="87"/>
      <c r="E10969" s="87"/>
      <c r="F10969" s="87"/>
      <c r="G10969" s="87"/>
    </row>
    <row r="10970">
      <c r="A10970" s="86" t="str">
        <f>IFERROR(__xludf.DUMMYFUNCTION("""COMPUTED_VALUE"""),"")</f>
        <v/>
      </c>
      <c r="B10970" s="87"/>
      <c r="C10970" s="87"/>
      <c r="D10970" s="87"/>
      <c r="E10970" s="87"/>
      <c r="F10970" s="87"/>
      <c r="G10970" s="87"/>
    </row>
    <row r="10971">
      <c r="A10971" s="86" t="str">
        <f>IFERROR(__xludf.DUMMYFUNCTION("""COMPUTED_VALUE"""),"")</f>
        <v/>
      </c>
      <c r="B10971" s="87"/>
      <c r="C10971" s="87"/>
      <c r="D10971" s="87"/>
      <c r="E10971" s="87"/>
      <c r="F10971" s="87"/>
      <c r="G10971" s="87"/>
    </row>
    <row r="10972">
      <c r="A10972" s="86" t="str">
        <f>IFERROR(__xludf.DUMMYFUNCTION("""COMPUTED_VALUE"""),"")</f>
        <v/>
      </c>
      <c r="B10972" s="87"/>
      <c r="C10972" s="87"/>
      <c r="D10972" s="87"/>
      <c r="E10972" s="87"/>
      <c r="F10972" s="87"/>
      <c r="G10972" s="87"/>
    </row>
    <row r="10973">
      <c r="A10973" s="86" t="str">
        <f>IFERROR(__xludf.DUMMYFUNCTION("""COMPUTED_VALUE"""),"")</f>
        <v/>
      </c>
      <c r="B10973" s="87"/>
      <c r="C10973" s="87"/>
      <c r="D10973" s="87"/>
      <c r="E10973" s="87"/>
      <c r="F10973" s="87"/>
      <c r="G10973" s="87"/>
    </row>
    <row r="10974">
      <c r="A10974" s="86" t="str">
        <f>IFERROR(__xludf.DUMMYFUNCTION("""COMPUTED_VALUE"""),"")</f>
        <v/>
      </c>
      <c r="B10974" s="87"/>
      <c r="C10974" s="87"/>
      <c r="D10974" s="87"/>
      <c r="E10974" s="87"/>
      <c r="F10974" s="87"/>
      <c r="G10974" s="87"/>
    </row>
    <row r="10975">
      <c r="A10975" s="86" t="str">
        <f>IFERROR(__xludf.DUMMYFUNCTION("""COMPUTED_VALUE"""),"")</f>
        <v/>
      </c>
      <c r="B10975" s="87"/>
      <c r="C10975" s="87"/>
      <c r="D10975" s="87"/>
      <c r="E10975" s="87"/>
      <c r="F10975" s="87"/>
      <c r="G10975" s="87"/>
    </row>
    <row r="10976">
      <c r="A10976" s="86" t="str">
        <f>IFERROR(__xludf.DUMMYFUNCTION("""COMPUTED_VALUE"""),"")</f>
        <v/>
      </c>
      <c r="B10976" s="87"/>
      <c r="C10976" s="87"/>
      <c r="D10976" s="87"/>
      <c r="E10976" s="87"/>
      <c r="F10976" s="87"/>
      <c r="G10976" s="87"/>
    </row>
    <row r="10977">
      <c r="A10977" s="86" t="str">
        <f>IFERROR(__xludf.DUMMYFUNCTION("""COMPUTED_VALUE"""),"")</f>
        <v/>
      </c>
      <c r="B10977" s="87"/>
      <c r="C10977" s="87"/>
      <c r="D10977" s="87"/>
      <c r="E10977" s="87"/>
      <c r="F10977" s="87"/>
      <c r="G10977" s="87"/>
    </row>
    <row r="10978">
      <c r="A10978" s="86" t="str">
        <f>IFERROR(__xludf.DUMMYFUNCTION("""COMPUTED_VALUE"""),"")</f>
        <v/>
      </c>
      <c r="B10978" s="87"/>
      <c r="C10978" s="87"/>
      <c r="D10978" s="87"/>
      <c r="E10978" s="87"/>
      <c r="F10978" s="87"/>
      <c r="G10978" s="87"/>
    </row>
    <row r="10979">
      <c r="A10979" s="86" t="str">
        <f>IFERROR(__xludf.DUMMYFUNCTION("""COMPUTED_VALUE"""),"")</f>
        <v/>
      </c>
      <c r="B10979" s="87"/>
      <c r="C10979" s="87"/>
      <c r="D10979" s="87"/>
      <c r="E10979" s="87"/>
      <c r="F10979" s="87"/>
      <c r="G10979" s="87"/>
    </row>
    <row r="10980">
      <c r="A10980" s="86" t="str">
        <f>IFERROR(__xludf.DUMMYFUNCTION("""COMPUTED_VALUE"""),"")</f>
        <v/>
      </c>
      <c r="B10980" s="87"/>
      <c r="C10980" s="87"/>
      <c r="D10980" s="87"/>
      <c r="E10980" s="87"/>
      <c r="F10980" s="87"/>
      <c r="G10980" s="87"/>
    </row>
    <row r="10981">
      <c r="A10981" s="86" t="str">
        <f>IFERROR(__xludf.DUMMYFUNCTION("""COMPUTED_VALUE"""),"")</f>
        <v/>
      </c>
      <c r="B10981" s="87"/>
      <c r="C10981" s="87"/>
      <c r="D10981" s="87"/>
      <c r="E10981" s="87"/>
      <c r="F10981" s="87"/>
      <c r="G10981" s="87"/>
    </row>
    <row r="10982">
      <c r="A10982" s="86" t="str">
        <f>IFERROR(__xludf.DUMMYFUNCTION("""COMPUTED_VALUE"""),"")</f>
        <v/>
      </c>
      <c r="B10982" s="87"/>
      <c r="C10982" s="87"/>
      <c r="D10982" s="87"/>
      <c r="E10982" s="87"/>
      <c r="F10982" s="87"/>
      <c r="G10982" s="87"/>
    </row>
    <row r="10983">
      <c r="A10983" s="86" t="str">
        <f>IFERROR(__xludf.DUMMYFUNCTION("""COMPUTED_VALUE"""),"")</f>
        <v/>
      </c>
      <c r="B10983" s="87"/>
      <c r="C10983" s="87"/>
      <c r="D10983" s="87"/>
      <c r="E10983" s="87"/>
      <c r="F10983" s="87"/>
      <c r="G10983" s="87"/>
    </row>
    <row r="10984">
      <c r="A10984" s="86" t="str">
        <f>IFERROR(__xludf.DUMMYFUNCTION("""COMPUTED_VALUE"""),"")</f>
        <v/>
      </c>
      <c r="B10984" s="87"/>
      <c r="C10984" s="87"/>
      <c r="D10984" s="87"/>
      <c r="E10984" s="87"/>
      <c r="F10984" s="87"/>
      <c r="G10984" s="87"/>
    </row>
    <row r="10985">
      <c r="A10985" s="86" t="str">
        <f>IFERROR(__xludf.DUMMYFUNCTION("""COMPUTED_VALUE"""),"")</f>
        <v/>
      </c>
      <c r="B10985" s="87"/>
      <c r="C10985" s="87"/>
      <c r="D10985" s="87"/>
      <c r="E10985" s="87"/>
      <c r="F10985" s="87"/>
      <c r="G10985" s="87"/>
    </row>
    <row r="10986">
      <c r="A10986" s="86" t="str">
        <f>IFERROR(__xludf.DUMMYFUNCTION("""COMPUTED_VALUE"""),"")</f>
        <v/>
      </c>
      <c r="B10986" s="87"/>
      <c r="C10986" s="87"/>
      <c r="D10986" s="87"/>
      <c r="E10986" s="87"/>
      <c r="F10986" s="87"/>
      <c r="G10986" s="87"/>
    </row>
    <row r="10987">
      <c r="A10987" s="86" t="str">
        <f>IFERROR(__xludf.DUMMYFUNCTION("""COMPUTED_VALUE"""),"")</f>
        <v/>
      </c>
      <c r="B10987" s="87"/>
      <c r="C10987" s="87"/>
      <c r="D10987" s="87"/>
      <c r="E10987" s="87"/>
      <c r="F10987" s="87"/>
      <c r="G10987" s="87"/>
    </row>
    <row r="10988">
      <c r="A10988" s="86" t="str">
        <f>IFERROR(__xludf.DUMMYFUNCTION("""COMPUTED_VALUE"""),"")</f>
        <v/>
      </c>
      <c r="B10988" s="87"/>
      <c r="C10988" s="87"/>
      <c r="D10988" s="87"/>
      <c r="E10988" s="87"/>
      <c r="F10988" s="87"/>
      <c r="G10988" s="87"/>
    </row>
    <row r="10989">
      <c r="A10989" s="86" t="str">
        <f>IFERROR(__xludf.DUMMYFUNCTION("""COMPUTED_VALUE"""),"")</f>
        <v/>
      </c>
      <c r="B10989" s="87"/>
      <c r="C10989" s="87"/>
      <c r="D10989" s="87"/>
      <c r="E10989" s="87"/>
      <c r="F10989" s="87"/>
      <c r="G10989" s="87"/>
    </row>
    <row r="10990">
      <c r="A10990" s="86" t="str">
        <f>IFERROR(__xludf.DUMMYFUNCTION("""COMPUTED_VALUE"""),"")</f>
        <v/>
      </c>
      <c r="B10990" s="87"/>
      <c r="C10990" s="87"/>
      <c r="D10990" s="87"/>
      <c r="E10990" s="87"/>
      <c r="F10990" s="87"/>
      <c r="G10990" s="87"/>
    </row>
    <row r="10991">
      <c r="A10991" s="86" t="str">
        <f>IFERROR(__xludf.DUMMYFUNCTION("""COMPUTED_VALUE"""),"")</f>
        <v/>
      </c>
      <c r="B10991" s="87"/>
      <c r="C10991" s="87"/>
      <c r="D10991" s="87"/>
      <c r="E10991" s="87"/>
      <c r="F10991" s="87"/>
      <c r="G10991" s="87"/>
    </row>
    <row r="10992">
      <c r="A10992" s="86" t="str">
        <f>IFERROR(__xludf.DUMMYFUNCTION("""COMPUTED_VALUE"""),"")</f>
        <v/>
      </c>
      <c r="B10992" s="87"/>
      <c r="C10992" s="87"/>
      <c r="D10992" s="87"/>
      <c r="E10992" s="87"/>
      <c r="F10992" s="87"/>
      <c r="G10992" s="87"/>
    </row>
    <row r="10993">
      <c r="A10993" s="86" t="str">
        <f>IFERROR(__xludf.DUMMYFUNCTION("""COMPUTED_VALUE"""),"")</f>
        <v/>
      </c>
      <c r="B10993" s="87"/>
      <c r="C10993" s="87"/>
      <c r="D10993" s="87"/>
      <c r="E10993" s="87"/>
      <c r="F10993" s="87"/>
      <c r="G10993" s="87"/>
    </row>
    <row r="10994">
      <c r="A10994" s="86" t="str">
        <f>IFERROR(__xludf.DUMMYFUNCTION("""COMPUTED_VALUE"""),"")</f>
        <v/>
      </c>
      <c r="B10994" s="87"/>
      <c r="C10994" s="87"/>
      <c r="D10994" s="87"/>
      <c r="E10994" s="87"/>
      <c r="F10994" s="87"/>
      <c r="G10994" s="87"/>
    </row>
    <row r="10995">
      <c r="A10995" s="86" t="str">
        <f>IFERROR(__xludf.DUMMYFUNCTION("""COMPUTED_VALUE"""),"")</f>
        <v/>
      </c>
      <c r="B10995" s="87"/>
      <c r="C10995" s="87"/>
      <c r="D10995" s="87"/>
      <c r="E10995" s="87"/>
      <c r="F10995" s="87"/>
      <c r="G10995" s="87"/>
    </row>
    <row r="10996">
      <c r="A10996" s="86" t="str">
        <f>IFERROR(__xludf.DUMMYFUNCTION("""COMPUTED_VALUE"""),"")</f>
        <v/>
      </c>
      <c r="B10996" s="87"/>
      <c r="C10996" s="87"/>
      <c r="D10996" s="87"/>
      <c r="E10996" s="87"/>
      <c r="F10996" s="87"/>
      <c r="G10996" s="87"/>
    </row>
    <row r="10997">
      <c r="A10997" s="86" t="str">
        <f>IFERROR(__xludf.DUMMYFUNCTION("""COMPUTED_VALUE"""),"")</f>
        <v/>
      </c>
      <c r="B10997" s="87"/>
      <c r="C10997" s="87"/>
      <c r="D10997" s="87"/>
      <c r="E10997" s="87"/>
      <c r="F10997" s="87"/>
      <c r="G10997" s="87"/>
    </row>
    <row r="10998">
      <c r="A10998" s="86" t="str">
        <f>IFERROR(__xludf.DUMMYFUNCTION("""COMPUTED_VALUE"""),"")</f>
        <v/>
      </c>
      <c r="B10998" s="87"/>
      <c r="C10998" s="87"/>
      <c r="D10998" s="87"/>
      <c r="E10998" s="87"/>
      <c r="F10998" s="87"/>
      <c r="G10998" s="87"/>
    </row>
    <row r="10999">
      <c r="A10999" s="86" t="str">
        <f>IFERROR(__xludf.DUMMYFUNCTION("""COMPUTED_VALUE"""),"")</f>
        <v/>
      </c>
      <c r="B10999" s="87"/>
      <c r="C10999" s="87"/>
      <c r="D10999" s="87"/>
      <c r="E10999" s="87"/>
      <c r="F10999" s="87"/>
      <c r="G10999" s="87"/>
    </row>
    <row r="11000">
      <c r="A11000" s="86" t="str">
        <f>IFERROR(__xludf.DUMMYFUNCTION("""COMPUTED_VALUE"""),"")</f>
        <v/>
      </c>
      <c r="B11000" s="87"/>
      <c r="C11000" s="87"/>
      <c r="D11000" s="87"/>
      <c r="E11000" s="87"/>
      <c r="F11000" s="87"/>
      <c r="G11000" s="87"/>
    </row>
    <row r="11001">
      <c r="A11001" s="86" t="str">
        <f>IFERROR(__xludf.DUMMYFUNCTION("""COMPUTED_VALUE"""),"")</f>
        <v/>
      </c>
      <c r="B11001" s="87"/>
      <c r="C11001" s="87"/>
      <c r="D11001" s="87"/>
      <c r="E11001" s="87"/>
      <c r="F11001" s="87"/>
      <c r="G11001" s="87"/>
    </row>
    <row r="11002">
      <c r="A11002" s="86" t="str">
        <f>IFERROR(__xludf.DUMMYFUNCTION("""COMPUTED_VALUE"""),"")</f>
        <v/>
      </c>
      <c r="B11002" s="87"/>
      <c r="C11002" s="87"/>
      <c r="D11002" s="87"/>
      <c r="E11002" s="87"/>
      <c r="F11002" s="87"/>
      <c r="G11002" s="87"/>
    </row>
    <row r="11003">
      <c r="A11003" s="86" t="str">
        <f>IFERROR(__xludf.DUMMYFUNCTION("""COMPUTED_VALUE"""),"")</f>
        <v/>
      </c>
      <c r="B11003" s="87"/>
      <c r="C11003" s="87"/>
      <c r="D11003" s="87"/>
      <c r="E11003" s="87"/>
      <c r="F11003" s="87"/>
      <c r="G11003" s="87"/>
    </row>
    <row r="11004">
      <c r="A11004" s="86" t="str">
        <f>IFERROR(__xludf.DUMMYFUNCTION("""COMPUTED_VALUE"""),"")</f>
        <v/>
      </c>
      <c r="B11004" s="87"/>
      <c r="C11004" s="87"/>
      <c r="D11004" s="87"/>
      <c r="E11004" s="87"/>
      <c r="F11004" s="87"/>
      <c r="G11004" s="87"/>
    </row>
    <row r="11005">
      <c r="A11005" s="86" t="str">
        <f>IFERROR(__xludf.DUMMYFUNCTION("""COMPUTED_VALUE"""),"")</f>
        <v/>
      </c>
      <c r="B11005" s="87"/>
      <c r="C11005" s="87"/>
      <c r="D11005" s="87"/>
      <c r="E11005" s="87"/>
      <c r="F11005" s="87"/>
      <c r="G11005" s="87"/>
    </row>
    <row r="11006">
      <c r="A11006" s="86" t="str">
        <f>IFERROR(__xludf.DUMMYFUNCTION("""COMPUTED_VALUE"""),"")</f>
        <v/>
      </c>
      <c r="B11006" s="87"/>
      <c r="C11006" s="87"/>
      <c r="D11006" s="87"/>
      <c r="E11006" s="87"/>
      <c r="F11006" s="87"/>
      <c r="G11006" s="87"/>
    </row>
    <row r="11007">
      <c r="A11007" s="86" t="str">
        <f>IFERROR(__xludf.DUMMYFUNCTION("""COMPUTED_VALUE"""),"")</f>
        <v/>
      </c>
      <c r="B11007" s="87"/>
      <c r="C11007" s="87"/>
      <c r="D11007" s="87"/>
      <c r="E11007" s="87"/>
      <c r="F11007" s="87"/>
      <c r="G11007" s="87"/>
    </row>
    <row r="11008">
      <c r="A11008" s="86" t="str">
        <f>IFERROR(__xludf.DUMMYFUNCTION("""COMPUTED_VALUE"""),"")</f>
        <v/>
      </c>
      <c r="B11008" s="87"/>
      <c r="C11008" s="87"/>
      <c r="D11008" s="87"/>
      <c r="E11008" s="87"/>
      <c r="F11008" s="87"/>
      <c r="G11008" s="87"/>
    </row>
    <row r="11009">
      <c r="A11009" s="86" t="str">
        <f>IFERROR(__xludf.DUMMYFUNCTION("""COMPUTED_VALUE"""),"")</f>
        <v/>
      </c>
      <c r="B11009" s="87"/>
      <c r="C11009" s="87"/>
      <c r="D11009" s="87"/>
      <c r="E11009" s="87"/>
      <c r="F11009" s="87"/>
      <c r="G11009" s="87"/>
    </row>
    <row r="11010">
      <c r="A11010" s="86" t="str">
        <f>IFERROR(__xludf.DUMMYFUNCTION("""COMPUTED_VALUE"""),"")</f>
        <v/>
      </c>
      <c r="B11010" s="87"/>
      <c r="C11010" s="87"/>
      <c r="D11010" s="87"/>
      <c r="E11010" s="87"/>
      <c r="F11010" s="87"/>
      <c r="G11010" s="87"/>
    </row>
    <row r="11011">
      <c r="A11011" s="86" t="str">
        <f>IFERROR(__xludf.DUMMYFUNCTION("""COMPUTED_VALUE"""),"")</f>
        <v/>
      </c>
      <c r="B11011" s="87"/>
      <c r="C11011" s="87"/>
      <c r="D11011" s="87"/>
      <c r="E11011" s="87"/>
      <c r="F11011" s="87"/>
      <c r="G11011" s="87"/>
    </row>
    <row r="11012">
      <c r="A11012" s="86" t="str">
        <f>IFERROR(__xludf.DUMMYFUNCTION("""COMPUTED_VALUE"""),"")</f>
        <v/>
      </c>
      <c r="B11012" s="87"/>
      <c r="C11012" s="87"/>
      <c r="D11012" s="87"/>
      <c r="E11012" s="87"/>
      <c r="F11012" s="87"/>
      <c r="G11012" s="87"/>
    </row>
    <row r="11013">
      <c r="A11013" s="86" t="str">
        <f>IFERROR(__xludf.DUMMYFUNCTION("""COMPUTED_VALUE"""),"")</f>
        <v/>
      </c>
      <c r="B11013" s="87"/>
      <c r="C11013" s="87"/>
      <c r="D11013" s="87"/>
      <c r="E11013" s="87"/>
      <c r="F11013" s="87"/>
      <c r="G11013" s="87"/>
    </row>
    <row r="11014">
      <c r="A11014" s="86" t="str">
        <f>IFERROR(__xludf.DUMMYFUNCTION("""COMPUTED_VALUE"""),"")</f>
        <v/>
      </c>
      <c r="B11014" s="87"/>
      <c r="C11014" s="87"/>
      <c r="D11014" s="87"/>
      <c r="E11014" s="87"/>
      <c r="F11014" s="87"/>
      <c r="G11014" s="87"/>
    </row>
    <row r="11015">
      <c r="A11015" s="86" t="str">
        <f>IFERROR(__xludf.DUMMYFUNCTION("""COMPUTED_VALUE"""),"")</f>
        <v/>
      </c>
      <c r="B11015" s="87"/>
      <c r="C11015" s="87"/>
      <c r="D11015" s="87"/>
      <c r="E11015" s="87"/>
      <c r="F11015" s="87"/>
      <c r="G11015" s="87"/>
    </row>
    <row r="11016">
      <c r="A11016" s="86" t="str">
        <f>IFERROR(__xludf.DUMMYFUNCTION("""COMPUTED_VALUE"""),"")</f>
        <v/>
      </c>
      <c r="B11016" s="87"/>
      <c r="C11016" s="87"/>
      <c r="D11016" s="87"/>
      <c r="E11016" s="87"/>
      <c r="F11016" s="87"/>
      <c r="G11016" s="87"/>
    </row>
    <row r="11017">
      <c r="A11017" s="86" t="str">
        <f>IFERROR(__xludf.DUMMYFUNCTION("""COMPUTED_VALUE"""),"")</f>
        <v/>
      </c>
      <c r="B11017" s="87"/>
      <c r="C11017" s="87"/>
      <c r="D11017" s="87"/>
      <c r="E11017" s="87"/>
      <c r="F11017" s="87"/>
      <c r="G11017" s="87"/>
    </row>
    <row r="11018">
      <c r="A11018" s="86" t="str">
        <f>IFERROR(__xludf.DUMMYFUNCTION("""COMPUTED_VALUE"""),"")</f>
        <v/>
      </c>
      <c r="B11018" s="87"/>
      <c r="C11018" s="87"/>
      <c r="D11018" s="87"/>
      <c r="E11018" s="87"/>
      <c r="F11018" s="87"/>
      <c r="G11018" s="87"/>
    </row>
    <row r="11019">
      <c r="A11019" s="86" t="str">
        <f>IFERROR(__xludf.DUMMYFUNCTION("""COMPUTED_VALUE"""),"")</f>
        <v/>
      </c>
      <c r="B11019" s="87"/>
      <c r="C11019" s="87"/>
      <c r="D11019" s="87"/>
      <c r="E11019" s="87"/>
      <c r="F11019" s="87"/>
      <c r="G11019" s="87"/>
    </row>
    <row r="11020">
      <c r="A11020" s="86" t="str">
        <f>IFERROR(__xludf.DUMMYFUNCTION("""COMPUTED_VALUE"""),"")</f>
        <v/>
      </c>
      <c r="B11020" s="87"/>
      <c r="C11020" s="87"/>
      <c r="D11020" s="87"/>
      <c r="E11020" s="87"/>
      <c r="F11020" s="87"/>
      <c r="G11020" s="87"/>
    </row>
    <row r="11021">
      <c r="A11021" s="86" t="str">
        <f>IFERROR(__xludf.DUMMYFUNCTION("""COMPUTED_VALUE"""),"")</f>
        <v/>
      </c>
      <c r="B11021" s="87"/>
      <c r="C11021" s="87"/>
      <c r="D11021" s="87"/>
      <c r="E11021" s="87"/>
      <c r="F11021" s="87"/>
      <c r="G11021" s="87"/>
    </row>
    <row r="11022">
      <c r="A11022" s="86" t="str">
        <f>IFERROR(__xludf.DUMMYFUNCTION("""COMPUTED_VALUE"""),"")</f>
        <v/>
      </c>
      <c r="B11022" s="87"/>
      <c r="C11022" s="87"/>
      <c r="D11022" s="87"/>
      <c r="E11022" s="87"/>
      <c r="F11022" s="87"/>
      <c r="G11022" s="87"/>
    </row>
    <row r="11023">
      <c r="A11023" s="86" t="str">
        <f>IFERROR(__xludf.DUMMYFUNCTION("""COMPUTED_VALUE"""),"")</f>
        <v/>
      </c>
      <c r="B11023" s="87"/>
      <c r="C11023" s="87"/>
      <c r="D11023" s="87"/>
      <c r="E11023" s="87"/>
      <c r="F11023" s="87"/>
      <c r="G11023" s="87"/>
    </row>
    <row r="11024">
      <c r="A11024" s="86" t="str">
        <f>IFERROR(__xludf.DUMMYFUNCTION("""COMPUTED_VALUE"""),"")</f>
        <v/>
      </c>
      <c r="B11024" s="87"/>
      <c r="C11024" s="87"/>
      <c r="D11024" s="87"/>
      <c r="E11024" s="87"/>
      <c r="F11024" s="87"/>
      <c r="G11024" s="87"/>
    </row>
    <row r="11025">
      <c r="A11025" s="86" t="str">
        <f>IFERROR(__xludf.DUMMYFUNCTION("""COMPUTED_VALUE"""),"")</f>
        <v/>
      </c>
      <c r="B11025" s="87"/>
      <c r="C11025" s="87"/>
      <c r="D11025" s="87"/>
      <c r="E11025" s="87"/>
      <c r="F11025" s="87"/>
      <c r="G11025" s="87"/>
    </row>
    <row r="11026">
      <c r="A11026" s="86" t="str">
        <f>IFERROR(__xludf.DUMMYFUNCTION("""COMPUTED_VALUE"""),"")</f>
        <v/>
      </c>
      <c r="B11026" s="87"/>
      <c r="C11026" s="87"/>
      <c r="D11026" s="87"/>
      <c r="E11026" s="87"/>
      <c r="F11026" s="87"/>
      <c r="G11026" s="87"/>
    </row>
    <row r="11027">
      <c r="A11027" s="86" t="str">
        <f>IFERROR(__xludf.DUMMYFUNCTION("""COMPUTED_VALUE"""),"")</f>
        <v/>
      </c>
      <c r="B11027" s="87"/>
      <c r="C11027" s="87"/>
      <c r="D11027" s="87"/>
      <c r="E11027" s="87"/>
      <c r="F11027" s="87"/>
      <c r="G11027" s="87"/>
    </row>
    <row r="11028">
      <c r="A11028" s="86" t="str">
        <f>IFERROR(__xludf.DUMMYFUNCTION("""COMPUTED_VALUE"""),"")</f>
        <v/>
      </c>
      <c r="B11028" s="87"/>
      <c r="C11028" s="87"/>
      <c r="D11028" s="87"/>
      <c r="E11028" s="87"/>
      <c r="F11028" s="87"/>
      <c r="G11028" s="87"/>
    </row>
    <row r="11029">
      <c r="A11029" s="86" t="str">
        <f>IFERROR(__xludf.DUMMYFUNCTION("""COMPUTED_VALUE"""),"")</f>
        <v/>
      </c>
      <c r="B11029" s="87"/>
      <c r="C11029" s="87"/>
      <c r="D11029" s="87"/>
      <c r="E11029" s="87"/>
      <c r="F11029" s="87"/>
      <c r="G11029" s="87"/>
    </row>
    <row r="11030">
      <c r="A11030" s="86" t="str">
        <f>IFERROR(__xludf.DUMMYFUNCTION("""COMPUTED_VALUE"""),"")</f>
        <v/>
      </c>
      <c r="B11030" s="87"/>
      <c r="C11030" s="87"/>
      <c r="D11030" s="87"/>
      <c r="E11030" s="87"/>
      <c r="F11030" s="87"/>
      <c r="G11030" s="87"/>
    </row>
    <row r="11031">
      <c r="A11031" s="86" t="str">
        <f>IFERROR(__xludf.DUMMYFUNCTION("""COMPUTED_VALUE"""),"")</f>
        <v/>
      </c>
      <c r="B11031" s="87"/>
      <c r="C11031" s="87"/>
      <c r="D11031" s="87"/>
      <c r="E11031" s="87"/>
      <c r="F11031" s="87"/>
      <c r="G11031" s="87"/>
    </row>
    <row r="11032">
      <c r="A11032" s="86" t="str">
        <f>IFERROR(__xludf.DUMMYFUNCTION("""COMPUTED_VALUE"""),"")</f>
        <v/>
      </c>
      <c r="B11032" s="87"/>
      <c r="C11032" s="87"/>
      <c r="D11032" s="87"/>
      <c r="E11032" s="87"/>
      <c r="F11032" s="87"/>
      <c r="G11032" s="87"/>
    </row>
    <row r="11033">
      <c r="A11033" s="86" t="str">
        <f>IFERROR(__xludf.DUMMYFUNCTION("""COMPUTED_VALUE"""),"")</f>
        <v/>
      </c>
      <c r="B11033" s="87"/>
      <c r="C11033" s="87"/>
      <c r="D11033" s="87"/>
      <c r="E11033" s="87"/>
      <c r="F11033" s="87"/>
      <c r="G11033" s="87"/>
    </row>
    <row r="11034">
      <c r="A11034" s="86" t="str">
        <f>IFERROR(__xludf.DUMMYFUNCTION("""COMPUTED_VALUE"""),"")</f>
        <v/>
      </c>
      <c r="B11034" s="87"/>
      <c r="C11034" s="87"/>
      <c r="D11034" s="87"/>
      <c r="E11034" s="87"/>
      <c r="F11034" s="87"/>
      <c r="G11034" s="87"/>
    </row>
    <row r="11035">
      <c r="A11035" s="86" t="str">
        <f>IFERROR(__xludf.DUMMYFUNCTION("""COMPUTED_VALUE"""),"")</f>
        <v/>
      </c>
      <c r="B11035" s="87"/>
      <c r="C11035" s="87"/>
      <c r="D11035" s="87"/>
      <c r="E11035" s="87"/>
      <c r="F11035" s="87"/>
      <c r="G11035" s="87"/>
    </row>
    <row r="11036">
      <c r="A11036" s="86" t="str">
        <f>IFERROR(__xludf.DUMMYFUNCTION("""COMPUTED_VALUE"""),"")</f>
        <v/>
      </c>
      <c r="B11036" s="87"/>
      <c r="C11036" s="87"/>
      <c r="D11036" s="87"/>
      <c r="E11036" s="87"/>
      <c r="F11036" s="87"/>
      <c r="G11036" s="87"/>
    </row>
    <row r="11037">
      <c r="A11037" s="86" t="str">
        <f>IFERROR(__xludf.DUMMYFUNCTION("""COMPUTED_VALUE"""),"")</f>
        <v/>
      </c>
      <c r="B11037" s="87"/>
      <c r="C11037" s="87"/>
      <c r="D11037" s="87"/>
      <c r="E11037" s="87"/>
      <c r="F11037" s="87"/>
      <c r="G11037" s="87"/>
    </row>
    <row r="11038">
      <c r="A11038" s="86" t="str">
        <f>IFERROR(__xludf.DUMMYFUNCTION("""COMPUTED_VALUE"""),"")</f>
        <v/>
      </c>
      <c r="B11038" s="87"/>
      <c r="C11038" s="87"/>
      <c r="D11038" s="87"/>
      <c r="E11038" s="87"/>
      <c r="F11038" s="87"/>
      <c r="G11038" s="87"/>
    </row>
    <row r="11039">
      <c r="A11039" s="86" t="str">
        <f>IFERROR(__xludf.DUMMYFUNCTION("""COMPUTED_VALUE"""),"")</f>
        <v/>
      </c>
      <c r="B11039" s="87"/>
      <c r="C11039" s="87"/>
      <c r="D11039" s="87"/>
      <c r="E11039" s="87"/>
      <c r="F11039" s="87"/>
      <c r="G11039" s="87"/>
    </row>
    <row r="11040">
      <c r="A11040" s="86" t="str">
        <f>IFERROR(__xludf.DUMMYFUNCTION("""COMPUTED_VALUE"""),"")</f>
        <v/>
      </c>
      <c r="B11040" s="87"/>
      <c r="C11040" s="87"/>
      <c r="D11040" s="87"/>
      <c r="E11040" s="87"/>
      <c r="F11040" s="87"/>
      <c r="G11040" s="87"/>
    </row>
    <row r="11041">
      <c r="A11041" s="86" t="str">
        <f>IFERROR(__xludf.DUMMYFUNCTION("""COMPUTED_VALUE"""),"")</f>
        <v/>
      </c>
      <c r="B11041" s="87"/>
      <c r="C11041" s="87"/>
      <c r="D11041" s="87"/>
      <c r="E11041" s="87"/>
      <c r="F11041" s="87"/>
      <c r="G11041" s="87"/>
    </row>
    <row r="11042">
      <c r="A11042" s="86" t="str">
        <f>IFERROR(__xludf.DUMMYFUNCTION("""COMPUTED_VALUE"""),"")</f>
        <v/>
      </c>
      <c r="B11042" s="87"/>
      <c r="C11042" s="87"/>
      <c r="D11042" s="87"/>
      <c r="E11042" s="87"/>
      <c r="F11042" s="87"/>
      <c r="G11042" s="87"/>
    </row>
    <row r="11043">
      <c r="A11043" s="86" t="str">
        <f>IFERROR(__xludf.DUMMYFUNCTION("""COMPUTED_VALUE"""),"")</f>
        <v/>
      </c>
      <c r="B11043" s="87"/>
      <c r="C11043" s="87"/>
      <c r="D11043" s="87"/>
      <c r="E11043" s="87"/>
      <c r="F11043" s="87"/>
      <c r="G11043" s="87"/>
    </row>
    <row r="11044">
      <c r="A11044" s="86" t="str">
        <f>IFERROR(__xludf.DUMMYFUNCTION("""COMPUTED_VALUE"""),"")</f>
        <v/>
      </c>
      <c r="B11044" s="87"/>
      <c r="C11044" s="87"/>
      <c r="D11044" s="87"/>
      <c r="E11044" s="87"/>
      <c r="F11044" s="87"/>
      <c r="G11044" s="87"/>
    </row>
    <row r="11045">
      <c r="A11045" s="86" t="str">
        <f>IFERROR(__xludf.DUMMYFUNCTION("""COMPUTED_VALUE"""),"")</f>
        <v/>
      </c>
      <c r="B11045" s="87"/>
      <c r="C11045" s="87"/>
      <c r="D11045" s="87"/>
      <c r="E11045" s="87"/>
      <c r="F11045" s="87"/>
      <c r="G11045" s="87"/>
    </row>
    <row r="11046">
      <c r="A11046" s="86" t="str">
        <f>IFERROR(__xludf.DUMMYFUNCTION("""COMPUTED_VALUE"""),"")</f>
        <v/>
      </c>
      <c r="B11046" s="87"/>
      <c r="C11046" s="87"/>
      <c r="D11046" s="87"/>
      <c r="E11046" s="87"/>
      <c r="F11046" s="87"/>
      <c r="G11046" s="87"/>
    </row>
    <row r="11047">
      <c r="A11047" s="86" t="str">
        <f>IFERROR(__xludf.DUMMYFUNCTION("""COMPUTED_VALUE"""),"")</f>
        <v/>
      </c>
      <c r="B11047" s="87"/>
      <c r="C11047" s="87"/>
      <c r="D11047" s="87"/>
      <c r="E11047" s="87"/>
      <c r="F11047" s="87"/>
      <c r="G11047" s="87"/>
    </row>
    <row r="11048">
      <c r="A11048" s="86" t="str">
        <f>IFERROR(__xludf.DUMMYFUNCTION("""COMPUTED_VALUE"""),"")</f>
        <v/>
      </c>
      <c r="B11048" s="87"/>
      <c r="C11048" s="87"/>
      <c r="D11048" s="87"/>
      <c r="E11048" s="87"/>
      <c r="F11048" s="87"/>
      <c r="G11048" s="87"/>
    </row>
    <row r="11049">
      <c r="A11049" s="86" t="str">
        <f>IFERROR(__xludf.DUMMYFUNCTION("""COMPUTED_VALUE"""),"")</f>
        <v/>
      </c>
      <c r="B11049" s="87"/>
      <c r="C11049" s="87"/>
      <c r="D11049" s="87"/>
      <c r="E11049" s="87"/>
      <c r="F11049" s="87"/>
      <c r="G11049" s="87"/>
    </row>
    <row r="11050">
      <c r="A11050" s="86" t="str">
        <f>IFERROR(__xludf.DUMMYFUNCTION("""COMPUTED_VALUE"""),"")</f>
        <v/>
      </c>
      <c r="B11050" s="87"/>
      <c r="C11050" s="87"/>
      <c r="D11050" s="87"/>
      <c r="E11050" s="87"/>
      <c r="F11050" s="87"/>
      <c r="G11050" s="87"/>
    </row>
    <row r="11051">
      <c r="A11051" s="86" t="str">
        <f>IFERROR(__xludf.DUMMYFUNCTION("""COMPUTED_VALUE"""),"")</f>
        <v/>
      </c>
      <c r="B11051" s="87"/>
      <c r="C11051" s="87"/>
      <c r="D11051" s="87"/>
      <c r="E11051" s="87"/>
      <c r="F11051" s="87"/>
      <c r="G11051" s="87"/>
    </row>
    <row r="11052">
      <c r="A11052" s="86" t="str">
        <f>IFERROR(__xludf.DUMMYFUNCTION("""COMPUTED_VALUE"""),"")</f>
        <v/>
      </c>
      <c r="B11052" s="87"/>
      <c r="C11052" s="87"/>
      <c r="D11052" s="87"/>
      <c r="E11052" s="87"/>
      <c r="F11052" s="87"/>
      <c r="G11052" s="87"/>
    </row>
    <row r="11053">
      <c r="A11053" s="86" t="str">
        <f>IFERROR(__xludf.DUMMYFUNCTION("""COMPUTED_VALUE"""),"")</f>
        <v/>
      </c>
      <c r="B11053" s="87"/>
      <c r="C11053" s="87"/>
      <c r="D11053" s="87"/>
      <c r="E11053" s="87"/>
      <c r="F11053" s="87"/>
      <c r="G11053" s="87"/>
    </row>
    <row r="11054">
      <c r="A11054" s="86" t="str">
        <f>IFERROR(__xludf.DUMMYFUNCTION("""COMPUTED_VALUE"""),"")</f>
        <v/>
      </c>
      <c r="B11054" s="87"/>
      <c r="C11054" s="87"/>
      <c r="D11054" s="87"/>
      <c r="E11054" s="87"/>
      <c r="F11054" s="87"/>
      <c r="G11054" s="87"/>
    </row>
    <row r="11055">
      <c r="A11055" s="86" t="str">
        <f>IFERROR(__xludf.DUMMYFUNCTION("""COMPUTED_VALUE"""),"")</f>
        <v/>
      </c>
      <c r="B11055" s="87"/>
      <c r="C11055" s="87"/>
      <c r="D11055" s="87"/>
      <c r="E11055" s="87"/>
      <c r="F11055" s="87"/>
      <c r="G11055" s="87"/>
    </row>
    <row r="11056">
      <c r="A11056" s="86" t="str">
        <f>IFERROR(__xludf.DUMMYFUNCTION("""COMPUTED_VALUE"""),"")</f>
        <v/>
      </c>
      <c r="B11056" s="87"/>
      <c r="C11056" s="87"/>
      <c r="D11056" s="87"/>
      <c r="E11056" s="87"/>
      <c r="F11056" s="87"/>
      <c r="G11056" s="87"/>
    </row>
    <row r="11057">
      <c r="A11057" s="86" t="str">
        <f>IFERROR(__xludf.DUMMYFUNCTION("""COMPUTED_VALUE"""),"")</f>
        <v/>
      </c>
      <c r="B11057" s="87"/>
      <c r="C11057" s="87"/>
      <c r="D11057" s="87"/>
      <c r="E11057" s="87"/>
      <c r="F11057" s="87"/>
      <c r="G11057" s="87"/>
    </row>
    <row r="11058">
      <c r="A11058" s="86" t="str">
        <f>IFERROR(__xludf.DUMMYFUNCTION("""COMPUTED_VALUE"""),"")</f>
        <v/>
      </c>
      <c r="B11058" s="87"/>
      <c r="C11058" s="87"/>
      <c r="D11058" s="87"/>
      <c r="E11058" s="87"/>
      <c r="F11058" s="87"/>
      <c r="G11058" s="87"/>
    </row>
    <row r="11059">
      <c r="A11059" s="86" t="str">
        <f>IFERROR(__xludf.DUMMYFUNCTION("""COMPUTED_VALUE"""),"")</f>
        <v/>
      </c>
      <c r="B11059" s="87"/>
      <c r="C11059" s="87"/>
      <c r="D11059" s="87"/>
      <c r="E11059" s="87"/>
      <c r="F11059" s="87"/>
      <c r="G11059" s="87"/>
    </row>
    <row r="11060">
      <c r="A11060" s="86" t="str">
        <f>IFERROR(__xludf.DUMMYFUNCTION("""COMPUTED_VALUE"""),"")</f>
        <v/>
      </c>
      <c r="B11060" s="87"/>
      <c r="C11060" s="87"/>
      <c r="D11060" s="87"/>
      <c r="E11060" s="87"/>
      <c r="F11060" s="87"/>
      <c r="G11060" s="87"/>
    </row>
    <row r="11061">
      <c r="A11061" s="86" t="str">
        <f>IFERROR(__xludf.DUMMYFUNCTION("""COMPUTED_VALUE"""),"")</f>
        <v/>
      </c>
      <c r="B11061" s="87"/>
      <c r="C11061" s="87"/>
      <c r="D11061" s="87"/>
      <c r="E11061" s="87"/>
      <c r="F11061" s="87"/>
      <c r="G11061" s="87"/>
    </row>
    <row r="11062">
      <c r="A11062" s="86" t="str">
        <f>IFERROR(__xludf.DUMMYFUNCTION("""COMPUTED_VALUE"""),"")</f>
        <v/>
      </c>
      <c r="B11062" s="87"/>
      <c r="C11062" s="87"/>
      <c r="D11062" s="87"/>
      <c r="E11062" s="87"/>
      <c r="F11062" s="87"/>
      <c r="G11062" s="87"/>
    </row>
    <row r="11063">
      <c r="A11063" s="86" t="str">
        <f>IFERROR(__xludf.DUMMYFUNCTION("""COMPUTED_VALUE"""),"")</f>
        <v/>
      </c>
      <c r="B11063" s="87"/>
      <c r="C11063" s="87"/>
      <c r="D11063" s="87"/>
      <c r="E11063" s="87"/>
      <c r="F11063" s="87"/>
      <c r="G11063" s="87"/>
    </row>
    <row r="11064">
      <c r="A11064" s="86" t="str">
        <f>IFERROR(__xludf.DUMMYFUNCTION("""COMPUTED_VALUE"""),"")</f>
        <v/>
      </c>
      <c r="B11064" s="87"/>
      <c r="C11064" s="87"/>
      <c r="D11064" s="87"/>
      <c r="E11064" s="87"/>
      <c r="F11064" s="87"/>
      <c r="G11064" s="87"/>
    </row>
    <row r="11065">
      <c r="A11065" s="86" t="str">
        <f>IFERROR(__xludf.DUMMYFUNCTION("""COMPUTED_VALUE"""),"")</f>
        <v/>
      </c>
      <c r="B11065" s="87"/>
      <c r="C11065" s="87"/>
      <c r="D11065" s="87"/>
      <c r="E11065" s="87"/>
      <c r="F11065" s="87"/>
      <c r="G11065" s="87"/>
    </row>
    <row r="11066">
      <c r="A11066" s="86" t="str">
        <f>IFERROR(__xludf.DUMMYFUNCTION("""COMPUTED_VALUE"""),"")</f>
        <v/>
      </c>
      <c r="B11066" s="87"/>
      <c r="C11066" s="87"/>
      <c r="D11066" s="87"/>
      <c r="E11066" s="87"/>
      <c r="F11066" s="87"/>
      <c r="G11066" s="87"/>
    </row>
    <row r="11067">
      <c r="A11067" s="86" t="str">
        <f>IFERROR(__xludf.DUMMYFUNCTION("""COMPUTED_VALUE"""),"")</f>
        <v/>
      </c>
      <c r="B11067" s="87"/>
      <c r="C11067" s="87"/>
      <c r="D11067" s="87"/>
      <c r="E11067" s="87"/>
      <c r="F11067" s="87"/>
      <c r="G11067" s="87"/>
    </row>
    <row r="11068">
      <c r="A11068" s="86" t="str">
        <f>IFERROR(__xludf.DUMMYFUNCTION("""COMPUTED_VALUE"""),"")</f>
        <v/>
      </c>
      <c r="B11068" s="87"/>
      <c r="C11068" s="87"/>
      <c r="D11068" s="87"/>
      <c r="E11068" s="87"/>
      <c r="F11068" s="87"/>
      <c r="G11068" s="87"/>
    </row>
    <row r="11069">
      <c r="A11069" s="86" t="str">
        <f>IFERROR(__xludf.DUMMYFUNCTION("""COMPUTED_VALUE"""),"")</f>
        <v/>
      </c>
      <c r="B11069" s="87"/>
      <c r="C11069" s="87"/>
      <c r="D11069" s="87"/>
      <c r="E11069" s="87"/>
      <c r="F11069" s="87"/>
      <c r="G11069" s="87"/>
    </row>
    <row r="11070">
      <c r="A11070" s="86" t="str">
        <f>IFERROR(__xludf.DUMMYFUNCTION("""COMPUTED_VALUE"""),"")</f>
        <v/>
      </c>
      <c r="B11070" s="87"/>
      <c r="C11070" s="87"/>
      <c r="D11070" s="87"/>
      <c r="E11070" s="87"/>
      <c r="F11070" s="87"/>
      <c r="G11070" s="87"/>
    </row>
    <row r="11071">
      <c r="A11071" s="86" t="str">
        <f>IFERROR(__xludf.DUMMYFUNCTION("""COMPUTED_VALUE"""),"")</f>
        <v/>
      </c>
      <c r="B11071" s="87"/>
      <c r="C11071" s="87"/>
      <c r="D11071" s="87"/>
      <c r="E11071" s="87"/>
      <c r="F11071" s="87"/>
      <c r="G11071" s="87"/>
    </row>
    <row r="11072">
      <c r="A11072" s="86" t="str">
        <f>IFERROR(__xludf.DUMMYFUNCTION("""COMPUTED_VALUE"""),"")</f>
        <v/>
      </c>
      <c r="B11072" s="87"/>
      <c r="C11072" s="87"/>
      <c r="D11072" s="87"/>
      <c r="E11072" s="87"/>
      <c r="F11072" s="87"/>
      <c r="G11072" s="87"/>
    </row>
    <row r="11073">
      <c r="A11073" s="86" t="str">
        <f>IFERROR(__xludf.DUMMYFUNCTION("""COMPUTED_VALUE"""),"")</f>
        <v/>
      </c>
      <c r="B11073" s="87"/>
      <c r="C11073" s="87"/>
      <c r="D11073" s="87"/>
      <c r="E11073" s="87"/>
      <c r="F11073" s="87"/>
      <c r="G11073" s="87"/>
    </row>
    <row r="11074">
      <c r="A11074" s="86" t="str">
        <f>IFERROR(__xludf.DUMMYFUNCTION("""COMPUTED_VALUE"""),"")</f>
        <v/>
      </c>
      <c r="B11074" s="87"/>
      <c r="C11074" s="87"/>
      <c r="D11074" s="87"/>
      <c r="E11074" s="87"/>
      <c r="F11074" s="87"/>
      <c r="G11074" s="87"/>
    </row>
    <row r="11075">
      <c r="A11075" s="86" t="str">
        <f>IFERROR(__xludf.DUMMYFUNCTION("""COMPUTED_VALUE"""),"")</f>
        <v/>
      </c>
      <c r="B11075" s="87"/>
      <c r="C11075" s="87"/>
      <c r="D11075" s="87"/>
      <c r="E11075" s="87"/>
      <c r="F11075" s="87"/>
      <c r="G11075" s="87"/>
    </row>
    <row r="11076">
      <c r="A11076" s="86" t="str">
        <f>IFERROR(__xludf.DUMMYFUNCTION("""COMPUTED_VALUE"""),"")</f>
        <v/>
      </c>
      <c r="B11076" s="87"/>
      <c r="C11076" s="87"/>
      <c r="D11076" s="87"/>
      <c r="E11076" s="87"/>
      <c r="F11076" s="87"/>
      <c r="G11076" s="87"/>
    </row>
    <row r="11077">
      <c r="A11077" s="86" t="str">
        <f>IFERROR(__xludf.DUMMYFUNCTION("""COMPUTED_VALUE"""),"")</f>
        <v/>
      </c>
      <c r="B11077" s="87"/>
      <c r="C11077" s="87"/>
      <c r="D11077" s="87"/>
      <c r="E11077" s="87"/>
      <c r="F11077" s="87"/>
      <c r="G11077" s="87"/>
    </row>
    <row r="11078">
      <c r="A11078" s="86" t="str">
        <f>IFERROR(__xludf.DUMMYFUNCTION("""COMPUTED_VALUE"""),"")</f>
        <v/>
      </c>
      <c r="B11078" s="87"/>
      <c r="C11078" s="87"/>
      <c r="D11078" s="87"/>
      <c r="E11078" s="87"/>
      <c r="F11078" s="87"/>
      <c r="G11078" s="87"/>
    </row>
    <row r="11079">
      <c r="A11079" s="86" t="str">
        <f>IFERROR(__xludf.DUMMYFUNCTION("""COMPUTED_VALUE"""),"")</f>
        <v/>
      </c>
      <c r="B11079" s="87"/>
      <c r="C11079" s="87"/>
      <c r="D11079" s="87"/>
      <c r="E11079" s="87"/>
      <c r="F11079" s="87"/>
      <c r="G11079" s="87"/>
    </row>
    <row r="11080">
      <c r="A11080" s="86" t="str">
        <f>IFERROR(__xludf.DUMMYFUNCTION("""COMPUTED_VALUE"""),"")</f>
        <v/>
      </c>
      <c r="B11080" s="87"/>
      <c r="C11080" s="87"/>
      <c r="D11080" s="87"/>
      <c r="E11080" s="87"/>
      <c r="F11080" s="87"/>
      <c r="G11080" s="87"/>
    </row>
    <row r="11081">
      <c r="A11081" s="86" t="str">
        <f>IFERROR(__xludf.DUMMYFUNCTION("""COMPUTED_VALUE"""),"")</f>
        <v/>
      </c>
      <c r="B11081" s="87"/>
      <c r="C11081" s="87"/>
      <c r="D11081" s="87"/>
      <c r="E11081" s="87"/>
      <c r="F11081" s="87"/>
      <c r="G11081" s="87"/>
    </row>
    <row r="11082">
      <c r="A11082" s="86" t="str">
        <f>IFERROR(__xludf.DUMMYFUNCTION("""COMPUTED_VALUE"""),"")</f>
        <v/>
      </c>
      <c r="B11082" s="87"/>
      <c r="C11082" s="87"/>
      <c r="D11082" s="87"/>
      <c r="E11082" s="87"/>
      <c r="F11082" s="87"/>
      <c r="G11082" s="87"/>
    </row>
    <row r="11083">
      <c r="A11083" s="86" t="str">
        <f>IFERROR(__xludf.DUMMYFUNCTION("""COMPUTED_VALUE"""),"")</f>
        <v/>
      </c>
      <c r="B11083" s="87"/>
      <c r="C11083" s="87"/>
      <c r="D11083" s="87"/>
      <c r="E11083" s="87"/>
      <c r="F11083" s="87"/>
      <c r="G11083" s="87"/>
    </row>
    <row r="11084">
      <c r="A11084" s="86" t="str">
        <f>IFERROR(__xludf.DUMMYFUNCTION("""COMPUTED_VALUE"""),"")</f>
        <v/>
      </c>
      <c r="B11084" s="87"/>
      <c r="C11084" s="87"/>
      <c r="D11084" s="87"/>
      <c r="E11084" s="87"/>
      <c r="F11084" s="87"/>
      <c r="G11084" s="87"/>
    </row>
    <row r="11085">
      <c r="A11085" s="86" t="str">
        <f>IFERROR(__xludf.DUMMYFUNCTION("""COMPUTED_VALUE"""),"")</f>
        <v/>
      </c>
      <c r="B11085" s="87"/>
      <c r="C11085" s="87"/>
      <c r="D11085" s="87"/>
      <c r="E11085" s="87"/>
      <c r="F11085" s="87"/>
      <c r="G11085" s="87"/>
    </row>
    <row r="11086">
      <c r="A11086" s="86" t="str">
        <f>IFERROR(__xludf.DUMMYFUNCTION("""COMPUTED_VALUE"""),"")</f>
        <v/>
      </c>
      <c r="B11086" s="87"/>
      <c r="C11086" s="87"/>
      <c r="D11086" s="87"/>
      <c r="E11086" s="87"/>
      <c r="F11086" s="87"/>
      <c r="G11086" s="87"/>
    </row>
    <row r="11087">
      <c r="A11087" s="86" t="str">
        <f>IFERROR(__xludf.DUMMYFUNCTION("""COMPUTED_VALUE"""),"")</f>
        <v/>
      </c>
      <c r="B11087" s="87"/>
      <c r="C11087" s="87"/>
      <c r="D11087" s="87"/>
      <c r="E11087" s="87"/>
      <c r="F11087" s="87"/>
      <c r="G11087" s="87"/>
    </row>
    <row r="11088">
      <c r="A11088" s="86" t="str">
        <f>IFERROR(__xludf.DUMMYFUNCTION("""COMPUTED_VALUE"""),"")</f>
        <v/>
      </c>
      <c r="B11088" s="87"/>
      <c r="C11088" s="87"/>
      <c r="D11088" s="87"/>
      <c r="E11088" s="87"/>
      <c r="F11088" s="87"/>
      <c r="G11088" s="87"/>
    </row>
    <row r="11089">
      <c r="A11089" s="86" t="str">
        <f>IFERROR(__xludf.DUMMYFUNCTION("""COMPUTED_VALUE"""),"")</f>
        <v/>
      </c>
      <c r="B11089" s="87"/>
      <c r="C11089" s="87"/>
      <c r="D11089" s="87"/>
      <c r="E11089" s="87"/>
      <c r="F11089" s="87"/>
      <c r="G11089" s="87"/>
    </row>
    <row r="11090">
      <c r="A11090" s="86" t="str">
        <f>IFERROR(__xludf.DUMMYFUNCTION("""COMPUTED_VALUE"""),"")</f>
        <v/>
      </c>
      <c r="B11090" s="87"/>
      <c r="C11090" s="87"/>
      <c r="D11090" s="87"/>
      <c r="E11090" s="87"/>
      <c r="F11090" s="87"/>
      <c r="G11090" s="87"/>
    </row>
    <row r="11091">
      <c r="A11091" s="86" t="str">
        <f>IFERROR(__xludf.DUMMYFUNCTION("""COMPUTED_VALUE"""),"")</f>
        <v/>
      </c>
      <c r="B11091" s="87"/>
      <c r="C11091" s="87"/>
      <c r="D11091" s="87"/>
      <c r="E11091" s="87"/>
      <c r="F11091" s="87"/>
      <c r="G11091" s="87"/>
    </row>
    <row r="11092">
      <c r="A11092" s="86" t="str">
        <f>IFERROR(__xludf.DUMMYFUNCTION("""COMPUTED_VALUE"""),"")</f>
        <v/>
      </c>
      <c r="B11092" s="87"/>
      <c r="C11092" s="87"/>
      <c r="D11092" s="87"/>
      <c r="E11092" s="87"/>
      <c r="F11092" s="87"/>
      <c r="G11092" s="87"/>
    </row>
    <row r="11093">
      <c r="A11093" s="86" t="str">
        <f>IFERROR(__xludf.DUMMYFUNCTION("""COMPUTED_VALUE"""),"")</f>
        <v/>
      </c>
      <c r="B11093" s="87"/>
      <c r="C11093" s="87"/>
      <c r="D11093" s="87"/>
      <c r="E11093" s="87"/>
      <c r="F11093" s="87"/>
      <c r="G11093" s="87"/>
    </row>
    <row r="11094">
      <c r="A11094" s="86" t="str">
        <f>IFERROR(__xludf.DUMMYFUNCTION("""COMPUTED_VALUE"""),"")</f>
        <v/>
      </c>
      <c r="B11094" s="87"/>
      <c r="C11094" s="87"/>
      <c r="D11094" s="87"/>
      <c r="E11094" s="87"/>
      <c r="F11094" s="87"/>
      <c r="G11094" s="87"/>
    </row>
    <row r="11095">
      <c r="A11095" s="86" t="str">
        <f>IFERROR(__xludf.DUMMYFUNCTION("""COMPUTED_VALUE"""),"")</f>
        <v/>
      </c>
      <c r="B11095" s="87"/>
      <c r="C11095" s="87"/>
      <c r="D11095" s="87"/>
      <c r="E11095" s="87"/>
      <c r="F11095" s="87"/>
      <c r="G11095" s="87"/>
    </row>
    <row r="11096">
      <c r="A11096" s="86" t="str">
        <f>IFERROR(__xludf.DUMMYFUNCTION("""COMPUTED_VALUE"""),"")</f>
        <v/>
      </c>
      <c r="B11096" s="87"/>
      <c r="C11096" s="87"/>
      <c r="D11096" s="87"/>
      <c r="E11096" s="87"/>
      <c r="F11096" s="87"/>
      <c r="G11096" s="87"/>
    </row>
    <row r="11097">
      <c r="A11097" s="86" t="str">
        <f>IFERROR(__xludf.DUMMYFUNCTION("""COMPUTED_VALUE"""),"")</f>
        <v/>
      </c>
      <c r="B11097" s="87"/>
      <c r="C11097" s="87"/>
      <c r="D11097" s="87"/>
      <c r="E11097" s="87"/>
      <c r="F11097" s="87"/>
      <c r="G11097" s="87"/>
    </row>
    <row r="11098">
      <c r="A11098" s="86" t="str">
        <f>IFERROR(__xludf.DUMMYFUNCTION("""COMPUTED_VALUE"""),"")</f>
        <v/>
      </c>
      <c r="B11098" s="87"/>
      <c r="C11098" s="87"/>
      <c r="D11098" s="87"/>
      <c r="E11098" s="87"/>
      <c r="F11098" s="87"/>
      <c r="G11098" s="87"/>
    </row>
    <row r="11099">
      <c r="A11099" s="86" t="str">
        <f>IFERROR(__xludf.DUMMYFUNCTION("""COMPUTED_VALUE"""),"")</f>
        <v/>
      </c>
      <c r="B11099" s="87"/>
      <c r="C11099" s="87"/>
      <c r="D11099" s="87"/>
      <c r="E11099" s="87"/>
      <c r="F11099" s="87"/>
      <c r="G11099" s="87"/>
    </row>
    <row r="11100">
      <c r="A11100" s="86" t="str">
        <f>IFERROR(__xludf.DUMMYFUNCTION("""COMPUTED_VALUE"""),"")</f>
        <v/>
      </c>
      <c r="B11100" s="87"/>
      <c r="C11100" s="87"/>
      <c r="D11100" s="87"/>
      <c r="E11100" s="87"/>
      <c r="F11100" s="87"/>
      <c r="G11100" s="87"/>
    </row>
    <row r="11101">
      <c r="A11101" s="86" t="str">
        <f>IFERROR(__xludf.DUMMYFUNCTION("""COMPUTED_VALUE"""),"")</f>
        <v/>
      </c>
      <c r="B11101" s="87"/>
      <c r="C11101" s="87"/>
      <c r="D11101" s="87"/>
      <c r="E11101" s="87"/>
      <c r="F11101" s="87"/>
      <c r="G11101" s="87"/>
    </row>
    <row r="11102">
      <c r="A11102" s="86" t="str">
        <f>IFERROR(__xludf.DUMMYFUNCTION("""COMPUTED_VALUE"""),"")</f>
        <v/>
      </c>
      <c r="B11102" s="87"/>
      <c r="C11102" s="87"/>
      <c r="D11102" s="87"/>
      <c r="E11102" s="87"/>
      <c r="F11102" s="87"/>
      <c r="G11102" s="87"/>
    </row>
    <row r="11103">
      <c r="A11103" s="86" t="str">
        <f>IFERROR(__xludf.DUMMYFUNCTION("""COMPUTED_VALUE"""),"")</f>
        <v/>
      </c>
      <c r="B11103" s="87"/>
      <c r="C11103" s="87"/>
      <c r="D11103" s="87"/>
      <c r="E11103" s="87"/>
      <c r="F11103" s="87"/>
      <c r="G11103" s="87"/>
    </row>
    <row r="11104">
      <c r="A11104" s="86" t="str">
        <f>IFERROR(__xludf.DUMMYFUNCTION("""COMPUTED_VALUE"""),"")</f>
        <v/>
      </c>
      <c r="B11104" s="87"/>
      <c r="C11104" s="87"/>
      <c r="D11104" s="87"/>
      <c r="E11104" s="87"/>
      <c r="F11104" s="87"/>
      <c r="G11104" s="87"/>
    </row>
    <row r="11105">
      <c r="A11105" s="86" t="str">
        <f>IFERROR(__xludf.DUMMYFUNCTION("""COMPUTED_VALUE"""),"")</f>
        <v/>
      </c>
      <c r="B11105" s="87"/>
      <c r="C11105" s="87"/>
      <c r="D11105" s="87"/>
      <c r="E11105" s="87"/>
      <c r="F11105" s="87"/>
      <c r="G11105" s="87"/>
    </row>
    <row r="11106">
      <c r="A11106" s="86" t="str">
        <f>IFERROR(__xludf.DUMMYFUNCTION("""COMPUTED_VALUE"""),"")</f>
        <v/>
      </c>
      <c r="B11106" s="87"/>
      <c r="C11106" s="87"/>
      <c r="D11106" s="87"/>
      <c r="E11106" s="87"/>
      <c r="F11106" s="87"/>
      <c r="G11106" s="87"/>
    </row>
    <row r="11107">
      <c r="A11107" s="86" t="str">
        <f>IFERROR(__xludf.DUMMYFUNCTION("""COMPUTED_VALUE"""),"")</f>
        <v/>
      </c>
      <c r="B11107" s="87"/>
      <c r="C11107" s="87"/>
      <c r="D11107" s="87"/>
      <c r="E11107" s="87"/>
      <c r="F11107" s="87"/>
      <c r="G11107" s="87"/>
    </row>
    <row r="11108">
      <c r="A11108" s="86" t="str">
        <f>IFERROR(__xludf.DUMMYFUNCTION("""COMPUTED_VALUE"""),"")</f>
        <v/>
      </c>
      <c r="B11108" s="87"/>
      <c r="C11108" s="87"/>
      <c r="D11108" s="87"/>
      <c r="E11108" s="87"/>
      <c r="F11108" s="87"/>
      <c r="G11108" s="87"/>
    </row>
    <row r="11109">
      <c r="A11109" s="86" t="str">
        <f>IFERROR(__xludf.DUMMYFUNCTION("""COMPUTED_VALUE"""),"")</f>
        <v/>
      </c>
      <c r="B11109" s="87"/>
      <c r="C11109" s="87"/>
      <c r="D11109" s="87"/>
      <c r="E11109" s="87"/>
      <c r="F11109" s="87"/>
      <c r="G11109" s="87"/>
    </row>
    <row r="11110">
      <c r="A11110" s="86" t="str">
        <f>IFERROR(__xludf.DUMMYFUNCTION("""COMPUTED_VALUE"""),"")</f>
        <v/>
      </c>
      <c r="B11110" s="87"/>
      <c r="C11110" s="87"/>
      <c r="D11110" s="87"/>
      <c r="E11110" s="87"/>
      <c r="F11110" s="87"/>
      <c r="G11110" s="87"/>
    </row>
    <row r="11111">
      <c r="A11111" s="86" t="str">
        <f>IFERROR(__xludf.DUMMYFUNCTION("""COMPUTED_VALUE"""),"")</f>
        <v/>
      </c>
      <c r="B11111" s="87"/>
      <c r="C11111" s="87"/>
      <c r="D11111" s="87"/>
      <c r="E11111" s="87"/>
      <c r="F11111" s="87"/>
      <c r="G11111" s="87"/>
    </row>
    <row r="11112">
      <c r="A11112" s="86" t="str">
        <f>IFERROR(__xludf.DUMMYFUNCTION("""COMPUTED_VALUE"""),"")</f>
        <v/>
      </c>
      <c r="B11112" s="87"/>
      <c r="C11112" s="87"/>
      <c r="D11112" s="87"/>
      <c r="E11112" s="87"/>
      <c r="F11112" s="87"/>
      <c r="G11112" s="87"/>
    </row>
    <row r="11113">
      <c r="A11113" s="86" t="str">
        <f>IFERROR(__xludf.DUMMYFUNCTION("""COMPUTED_VALUE"""),"")</f>
        <v/>
      </c>
      <c r="B11113" s="87"/>
      <c r="C11113" s="87"/>
      <c r="D11113" s="87"/>
      <c r="E11113" s="87"/>
      <c r="F11113" s="87"/>
      <c r="G11113" s="87"/>
    </row>
    <row r="11114">
      <c r="A11114" s="86" t="str">
        <f>IFERROR(__xludf.DUMMYFUNCTION("""COMPUTED_VALUE"""),"")</f>
        <v/>
      </c>
      <c r="B11114" s="87"/>
      <c r="C11114" s="87"/>
      <c r="D11114" s="87"/>
      <c r="E11114" s="87"/>
      <c r="F11114" s="87"/>
      <c r="G11114" s="87"/>
    </row>
    <row r="11115">
      <c r="A11115" s="86" t="str">
        <f>IFERROR(__xludf.DUMMYFUNCTION("""COMPUTED_VALUE"""),"")</f>
        <v/>
      </c>
      <c r="B11115" s="87"/>
      <c r="C11115" s="87"/>
      <c r="D11115" s="87"/>
      <c r="E11115" s="87"/>
      <c r="F11115" s="87"/>
      <c r="G11115" s="87"/>
    </row>
    <row r="11116">
      <c r="A11116" s="86" t="str">
        <f>IFERROR(__xludf.DUMMYFUNCTION("""COMPUTED_VALUE"""),"")</f>
        <v/>
      </c>
      <c r="B11116" s="87"/>
      <c r="C11116" s="87"/>
      <c r="D11116" s="87"/>
      <c r="E11116" s="87"/>
      <c r="F11116" s="87"/>
      <c r="G11116" s="87"/>
    </row>
    <row r="11117">
      <c r="A11117" s="86" t="str">
        <f>IFERROR(__xludf.DUMMYFUNCTION("""COMPUTED_VALUE"""),"")</f>
        <v/>
      </c>
      <c r="B11117" s="87"/>
      <c r="C11117" s="87"/>
      <c r="D11117" s="87"/>
      <c r="E11117" s="87"/>
      <c r="F11117" s="87"/>
      <c r="G11117" s="87"/>
    </row>
    <row r="11118">
      <c r="A11118" s="86" t="str">
        <f>IFERROR(__xludf.DUMMYFUNCTION("""COMPUTED_VALUE"""),"")</f>
        <v/>
      </c>
      <c r="B11118" s="87"/>
      <c r="C11118" s="87"/>
      <c r="D11118" s="87"/>
      <c r="E11118" s="87"/>
      <c r="F11118" s="87"/>
      <c r="G11118" s="87"/>
    </row>
    <row r="11119">
      <c r="A11119" s="86" t="str">
        <f>IFERROR(__xludf.DUMMYFUNCTION("""COMPUTED_VALUE"""),"")</f>
        <v/>
      </c>
      <c r="B11119" s="87"/>
      <c r="C11119" s="87"/>
      <c r="D11119" s="87"/>
      <c r="E11119" s="87"/>
      <c r="F11119" s="87"/>
      <c r="G11119" s="87"/>
    </row>
    <row r="11120">
      <c r="A11120" s="86" t="str">
        <f>IFERROR(__xludf.DUMMYFUNCTION("""COMPUTED_VALUE"""),"")</f>
        <v/>
      </c>
      <c r="B11120" s="87"/>
      <c r="C11120" s="87"/>
      <c r="D11120" s="87"/>
      <c r="E11120" s="87"/>
      <c r="F11120" s="87"/>
      <c r="G11120" s="87"/>
    </row>
    <row r="11121">
      <c r="A11121" s="86" t="str">
        <f>IFERROR(__xludf.DUMMYFUNCTION("""COMPUTED_VALUE"""),"")</f>
        <v/>
      </c>
      <c r="B11121" s="87"/>
      <c r="C11121" s="87"/>
      <c r="D11121" s="87"/>
      <c r="E11121" s="87"/>
      <c r="F11121" s="87"/>
      <c r="G11121" s="87"/>
    </row>
    <row r="11122">
      <c r="A11122" s="86" t="str">
        <f>IFERROR(__xludf.DUMMYFUNCTION("""COMPUTED_VALUE"""),"")</f>
        <v/>
      </c>
      <c r="B11122" s="87"/>
      <c r="C11122" s="87"/>
      <c r="D11122" s="87"/>
      <c r="E11122" s="87"/>
      <c r="F11122" s="87"/>
      <c r="G11122" s="87"/>
    </row>
    <row r="11123">
      <c r="A11123" s="86" t="str">
        <f>IFERROR(__xludf.DUMMYFUNCTION("""COMPUTED_VALUE"""),"")</f>
        <v/>
      </c>
      <c r="B11123" s="87"/>
      <c r="C11123" s="87"/>
      <c r="D11123" s="87"/>
      <c r="E11123" s="87"/>
      <c r="F11123" s="87"/>
      <c r="G11123" s="87"/>
    </row>
    <row r="11124">
      <c r="A11124" s="86" t="str">
        <f>IFERROR(__xludf.DUMMYFUNCTION("""COMPUTED_VALUE"""),"")</f>
        <v/>
      </c>
      <c r="B11124" s="87"/>
      <c r="C11124" s="87"/>
      <c r="D11124" s="87"/>
      <c r="E11124" s="87"/>
      <c r="F11124" s="87"/>
      <c r="G11124" s="87"/>
    </row>
    <row r="11125">
      <c r="A11125" s="86" t="str">
        <f>IFERROR(__xludf.DUMMYFUNCTION("""COMPUTED_VALUE"""),"")</f>
        <v/>
      </c>
      <c r="B11125" s="87"/>
      <c r="C11125" s="87"/>
      <c r="D11125" s="87"/>
      <c r="E11125" s="87"/>
      <c r="F11125" s="87"/>
      <c r="G11125" s="87"/>
    </row>
    <row r="11126">
      <c r="A11126" s="86" t="str">
        <f>IFERROR(__xludf.DUMMYFUNCTION("""COMPUTED_VALUE"""),"")</f>
        <v/>
      </c>
      <c r="B11126" s="87"/>
      <c r="C11126" s="87"/>
      <c r="D11126" s="87"/>
      <c r="E11126" s="87"/>
      <c r="F11126" s="87"/>
      <c r="G11126" s="87"/>
    </row>
    <row r="11127">
      <c r="A11127" s="86" t="str">
        <f>IFERROR(__xludf.DUMMYFUNCTION("""COMPUTED_VALUE"""),"")</f>
        <v/>
      </c>
      <c r="B11127" s="87"/>
      <c r="C11127" s="87"/>
      <c r="D11127" s="87"/>
      <c r="E11127" s="87"/>
      <c r="F11127" s="87"/>
      <c r="G11127" s="87"/>
    </row>
    <row r="11128">
      <c r="A11128" s="86" t="str">
        <f>IFERROR(__xludf.DUMMYFUNCTION("""COMPUTED_VALUE"""),"")</f>
        <v/>
      </c>
      <c r="B11128" s="87"/>
      <c r="C11128" s="87"/>
      <c r="D11128" s="87"/>
      <c r="E11128" s="87"/>
      <c r="F11128" s="87"/>
      <c r="G11128" s="87"/>
    </row>
    <row r="11129">
      <c r="A11129" s="86" t="str">
        <f>IFERROR(__xludf.DUMMYFUNCTION("""COMPUTED_VALUE"""),"")</f>
        <v/>
      </c>
      <c r="B11129" s="87"/>
      <c r="C11129" s="87"/>
      <c r="D11129" s="87"/>
      <c r="E11129" s="87"/>
      <c r="F11129" s="87"/>
      <c r="G11129" s="87"/>
    </row>
    <row r="11130">
      <c r="A11130" s="86" t="str">
        <f>IFERROR(__xludf.DUMMYFUNCTION("""COMPUTED_VALUE"""),"")</f>
        <v/>
      </c>
      <c r="B11130" s="87"/>
      <c r="C11130" s="87"/>
      <c r="D11130" s="87"/>
      <c r="E11130" s="87"/>
      <c r="F11130" s="87"/>
      <c r="G11130" s="87"/>
    </row>
    <row r="11131">
      <c r="A11131" s="86" t="str">
        <f>IFERROR(__xludf.DUMMYFUNCTION("""COMPUTED_VALUE"""),"")</f>
        <v/>
      </c>
      <c r="B11131" s="87"/>
      <c r="C11131" s="87"/>
      <c r="D11131" s="87"/>
      <c r="E11131" s="87"/>
      <c r="F11131" s="87"/>
      <c r="G11131" s="87"/>
    </row>
    <row r="11132">
      <c r="A11132" s="86" t="str">
        <f>IFERROR(__xludf.DUMMYFUNCTION("""COMPUTED_VALUE"""),"")</f>
        <v/>
      </c>
      <c r="B11132" s="87"/>
      <c r="C11132" s="87"/>
      <c r="D11132" s="87"/>
      <c r="E11132" s="87"/>
      <c r="F11132" s="87"/>
      <c r="G11132" s="87"/>
    </row>
    <row r="11133">
      <c r="A11133" s="86" t="str">
        <f>IFERROR(__xludf.DUMMYFUNCTION("""COMPUTED_VALUE"""),"")</f>
        <v/>
      </c>
      <c r="B11133" s="87"/>
      <c r="C11133" s="87"/>
      <c r="D11133" s="87"/>
      <c r="E11133" s="87"/>
      <c r="F11133" s="87"/>
      <c r="G11133" s="87"/>
    </row>
    <row r="11134">
      <c r="A11134" s="86" t="str">
        <f>IFERROR(__xludf.DUMMYFUNCTION("""COMPUTED_VALUE"""),"")</f>
        <v/>
      </c>
      <c r="B11134" s="87"/>
      <c r="C11134" s="87"/>
      <c r="D11134" s="87"/>
      <c r="E11134" s="87"/>
      <c r="F11134" s="87"/>
      <c r="G11134" s="87"/>
    </row>
    <row r="11135">
      <c r="A11135" s="86" t="str">
        <f>IFERROR(__xludf.DUMMYFUNCTION("""COMPUTED_VALUE"""),"")</f>
        <v/>
      </c>
      <c r="B11135" s="87"/>
      <c r="C11135" s="87"/>
      <c r="D11135" s="87"/>
      <c r="E11135" s="87"/>
      <c r="F11135" s="87"/>
      <c r="G11135" s="87"/>
    </row>
    <row r="11136">
      <c r="A11136" s="86" t="str">
        <f>IFERROR(__xludf.DUMMYFUNCTION("""COMPUTED_VALUE"""),"")</f>
        <v/>
      </c>
      <c r="B11136" s="87"/>
      <c r="C11136" s="87"/>
      <c r="D11136" s="87"/>
      <c r="E11136" s="87"/>
      <c r="F11136" s="87"/>
      <c r="G11136" s="87"/>
    </row>
    <row r="11137">
      <c r="A11137" s="86" t="str">
        <f>IFERROR(__xludf.DUMMYFUNCTION("""COMPUTED_VALUE"""),"")</f>
        <v/>
      </c>
      <c r="B11137" s="87"/>
      <c r="C11137" s="87"/>
      <c r="D11137" s="87"/>
      <c r="E11137" s="87"/>
      <c r="F11137" s="87"/>
      <c r="G11137" s="87"/>
    </row>
    <row r="11138">
      <c r="A11138" s="86" t="str">
        <f>IFERROR(__xludf.DUMMYFUNCTION("""COMPUTED_VALUE"""),"")</f>
        <v/>
      </c>
      <c r="B11138" s="87"/>
      <c r="C11138" s="87"/>
      <c r="D11138" s="87"/>
      <c r="E11138" s="87"/>
      <c r="F11138" s="87"/>
      <c r="G11138" s="87"/>
    </row>
    <row r="11139">
      <c r="A11139" s="86" t="str">
        <f>IFERROR(__xludf.DUMMYFUNCTION("""COMPUTED_VALUE"""),"")</f>
        <v/>
      </c>
      <c r="B11139" s="87"/>
      <c r="C11139" s="87"/>
      <c r="D11139" s="87"/>
      <c r="E11139" s="87"/>
      <c r="F11139" s="87"/>
      <c r="G11139" s="87"/>
    </row>
    <row r="11140">
      <c r="A11140" s="86" t="str">
        <f>IFERROR(__xludf.DUMMYFUNCTION("""COMPUTED_VALUE"""),"")</f>
        <v/>
      </c>
      <c r="B11140" s="87"/>
      <c r="C11140" s="87"/>
      <c r="D11140" s="87"/>
      <c r="E11140" s="87"/>
      <c r="F11140" s="87"/>
      <c r="G11140" s="87"/>
    </row>
    <row r="11141">
      <c r="A11141" s="86" t="str">
        <f>IFERROR(__xludf.DUMMYFUNCTION("""COMPUTED_VALUE"""),"")</f>
        <v/>
      </c>
      <c r="B11141" s="87"/>
      <c r="C11141" s="87"/>
      <c r="D11141" s="87"/>
      <c r="E11141" s="87"/>
      <c r="F11141" s="87"/>
      <c r="G11141" s="87"/>
    </row>
    <row r="11142">
      <c r="A11142" s="86" t="str">
        <f>IFERROR(__xludf.DUMMYFUNCTION("""COMPUTED_VALUE"""),"")</f>
        <v/>
      </c>
      <c r="B11142" s="87"/>
      <c r="C11142" s="87"/>
      <c r="D11142" s="87"/>
      <c r="E11142" s="87"/>
      <c r="F11142" s="87"/>
      <c r="G11142" s="87"/>
    </row>
    <row r="11143">
      <c r="A11143" s="86" t="str">
        <f>IFERROR(__xludf.DUMMYFUNCTION("""COMPUTED_VALUE"""),"")</f>
        <v/>
      </c>
      <c r="B11143" s="87"/>
      <c r="C11143" s="87"/>
      <c r="D11143" s="87"/>
      <c r="E11143" s="87"/>
      <c r="F11143" s="87"/>
      <c r="G11143" s="87"/>
    </row>
    <row r="11144">
      <c r="A11144" s="86" t="str">
        <f>IFERROR(__xludf.DUMMYFUNCTION("""COMPUTED_VALUE"""),"")</f>
        <v/>
      </c>
      <c r="B11144" s="87"/>
      <c r="C11144" s="87"/>
      <c r="D11144" s="87"/>
      <c r="E11144" s="87"/>
      <c r="F11144" s="87"/>
      <c r="G11144" s="87"/>
    </row>
    <row r="11145">
      <c r="A11145" s="86" t="str">
        <f>IFERROR(__xludf.DUMMYFUNCTION("""COMPUTED_VALUE"""),"")</f>
        <v/>
      </c>
      <c r="B11145" s="87"/>
      <c r="C11145" s="87"/>
      <c r="D11145" s="87"/>
      <c r="E11145" s="87"/>
      <c r="F11145" s="87"/>
      <c r="G11145" s="87"/>
    </row>
    <row r="11146">
      <c r="A11146" s="86" t="str">
        <f>IFERROR(__xludf.DUMMYFUNCTION("""COMPUTED_VALUE"""),"")</f>
        <v/>
      </c>
      <c r="B11146" s="87"/>
      <c r="C11146" s="87"/>
      <c r="D11146" s="87"/>
      <c r="E11146" s="87"/>
      <c r="F11146" s="87"/>
      <c r="G11146" s="87"/>
    </row>
    <row r="11147">
      <c r="A11147" s="86" t="str">
        <f>IFERROR(__xludf.DUMMYFUNCTION("""COMPUTED_VALUE"""),"")</f>
        <v/>
      </c>
      <c r="B11147" s="87"/>
      <c r="C11147" s="87"/>
      <c r="D11147" s="87"/>
      <c r="E11147" s="87"/>
      <c r="F11147" s="87"/>
      <c r="G11147" s="87"/>
    </row>
    <row r="11148">
      <c r="A11148" s="86" t="str">
        <f>IFERROR(__xludf.DUMMYFUNCTION("""COMPUTED_VALUE"""),"")</f>
        <v/>
      </c>
      <c r="B11148" s="87"/>
      <c r="C11148" s="87"/>
      <c r="D11148" s="87"/>
      <c r="E11148" s="87"/>
      <c r="F11148" s="87"/>
      <c r="G11148" s="87"/>
    </row>
    <row r="11149">
      <c r="A11149" s="86" t="str">
        <f>IFERROR(__xludf.DUMMYFUNCTION("""COMPUTED_VALUE"""),"")</f>
        <v/>
      </c>
      <c r="B11149" s="87"/>
      <c r="C11149" s="87"/>
      <c r="D11149" s="87"/>
      <c r="E11149" s="87"/>
      <c r="F11149" s="87"/>
      <c r="G11149" s="87"/>
    </row>
    <row r="11150">
      <c r="A11150" s="86" t="str">
        <f>IFERROR(__xludf.DUMMYFUNCTION("""COMPUTED_VALUE"""),"")</f>
        <v/>
      </c>
      <c r="B11150" s="87"/>
      <c r="C11150" s="87"/>
      <c r="D11150" s="87"/>
      <c r="E11150" s="87"/>
      <c r="F11150" s="87"/>
      <c r="G11150" s="87"/>
    </row>
    <row r="11151">
      <c r="A11151" s="86" t="str">
        <f>IFERROR(__xludf.DUMMYFUNCTION("""COMPUTED_VALUE"""),"")</f>
        <v/>
      </c>
      <c r="B11151" s="87"/>
      <c r="C11151" s="87"/>
      <c r="D11151" s="87"/>
      <c r="E11151" s="87"/>
      <c r="F11151" s="87"/>
      <c r="G11151" s="87"/>
    </row>
    <row r="11152">
      <c r="A11152" s="86" t="str">
        <f>IFERROR(__xludf.DUMMYFUNCTION("""COMPUTED_VALUE"""),"")</f>
        <v/>
      </c>
      <c r="B11152" s="87"/>
      <c r="C11152" s="87"/>
      <c r="D11152" s="87"/>
      <c r="E11152" s="87"/>
      <c r="F11152" s="87"/>
      <c r="G11152" s="87"/>
    </row>
    <row r="11153">
      <c r="A11153" s="86" t="str">
        <f>IFERROR(__xludf.DUMMYFUNCTION("""COMPUTED_VALUE"""),"")</f>
        <v/>
      </c>
      <c r="B11153" s="87"/>
      <c r="C11153" s="87"/>
      <c r="D11153" s="87"/>
      <c r="E11153" s="87"/>
      <c r="F11153" s="87"/>
      <c r="G11153" s="87"/>
    </row>
    <row r="11154">
      <c r="A11154" s="86" t="str">
        <f>IFERROR(__xludf.DUMMYFUNCTION("""COMPUTED_VALUE"""),"")</f>
        <v/>
      </c>
      <c r="B11154" s="87"/>
      <c r="C11154" s="87"/>
      <c r="D11154" s="87"/>
      <c r="E11154" s="87"/>
      <c r="F11154" s="87"/>
      <c r="G11154" s="87"/>
    </row>
    <row r="11155">
      <c r="A11155" s="86" t="str">
        <f>IFERROR(__xludf.DUMMYFUNCTION("""COMPUTED_VALUE"""),"")</f>
        <v/>
      </c>
      <c r="B11155" s="87"/>
      <c r="C11155" s="87"/>
      <c r="D11155" s="87"/>
      <c r="E11155" s="87"/>
      <c r="F11155" s="87"/>
      <c r="G11155" s="87"/>
    </row>
    <row r="11156">
      <c r="A11156" s="86" t="str">
        <f>IFERROR(__xludf.DUMMYFUNCTION("""COMPUTED_VALUE"""),"")</f>
        <v/>
      </c>
      <c r="B11156" s="87"/>
      <c r="C11156" s="87"/>
      <c r="D11156" s="87"/>
      <c r="E11156" s="87"/>
      <c r="F11156" s="87"/>
      <c r="G11156" s="87"/>
    </row>
    <row r="11157">
      <c r="A11157" s="86" t="str">
        <f>IFERROR(__xludf.DUMMYFUNCTION("""COMPUTED_VALUE"""),"")</f>
        <v/>
      </c>
      <c r="B11157" s="87"/>
      <c r="C11157" s="87"/>
      <c r="D11157" s="87"/>
      <c r="E11157" s="87"/>
      <c r="F11157" s="87"/>
      <c r="G11157" s="87"/>
    </row>
    <row r="11158">
      <c r="A11158" s="86" t="str">
        <f>IFERROR(__xludf.DUMMYFUNCTION("""COMPUTED_VALUE"""),"")</f>
        <v/>
      </c>
      <c r="B11158" s="87"/>
      <c r="C11158" s="87"/>
      <c r="D11158" s="87"/>
      <c r="E11158" s="87"/>
      <c r="F11158" s="87"/>
      <c r="G11158" s="87"/>
    </row>
    <row r="11159">
      <c r="A11159" s="86" t="str">
        <f>IFERROR(__xludf.DUMMYFUNCTION("""COMPUTED_VALUE"""),"")</f>
        <v/>
      </c>
      <c r="B11159" s="87"/>
      <c r="C11159" s="87"/>
      <c r="D11159" s="87"/>
      <c r="E11159" s="87"/>
      <c r="F11159" s="87"/>
      <c r="G11159" s="87"/>
    </row>
    <row r="11160">
      <c r="A11160" s="86" t="str">
        <f>IFERROR(__xludf.DUMMYFUNCTION("""COMPUTED_VALUE"""),"")</f>
        <v/>
      </c>
      <c r="B11160" s="87"/>
      <c r="C11160" s="87"/>
      <c r="D11160" s="87"/>
      <c r="E11160" s="87"/>
      <c r="F11160" s="87"/>
      <c r="G11160" s="87"/>
    </row>
    <row r="11161">
      <c r="A11161" s="86" t="str">
        <f>IFERROR(__xludf.DUMMYFUNCTION("""COMPUTED_VALUE"""),"")</f>
        <v/>
      </c>
      <c r="B11161" s="87"/>
      <c r="C11161" s="87"/>
      <c r="D11161" s="87"/>
      <c r="E11161" s="87"/>
      <c r="F11161" s="87"/>
      <c r="G11161" s="87"/>
    </row>
    <row r="11162">
      <c r="A11162" s="86" t="str">
        <f>IFERROR(__xludf.DUMMYFUNCTION("""COMPUTED_VALUE"""),"")</f>
        <v/>
      </c>
      <c r="B11162" s="87"/>
      <c r="C11162" s="87"/>
      <c r="D11162" s="87"/>
      <c r="E11162" s="87"/>
      <c r="F11162" s="87"/>
      <c r="G11162" s="87"/>
    </row>
    <row r="11163">
      <c r="A11163" s="86" t="str">
        <f>IFERROR(__xludf.DUMMYFUNCTION("""COMPUTED_VALUE"""),"")</f>
        <v/>
      </c>
      <c r="B11163" s="87"/>
      <c r="C11163" s="87"/>
      <c r="D11163" s="87"/>
      <c r="E11163" s="87"/>
      <c r="F11163" s="87"/>
      <c r="G11163" s="87"/>
    </row>
    <row r="11164">
      <c r="A11164" s="86" t="str">
        <f>IFERROR(__xludf.DUMMYFUNCTION("""COMPUTED_VALUE"""),"")</f>
        <v/>
      </c>
      <c r="B11164" s="87"/>
      <c r="C11164" s="87"/>
      <c r="D11164" s="87"/>
      <c r="E11164" s="87"/>
      <c r="F11164" s="87"/>
      <c r="G11164" s="87"/>
    </row>
    <row r="11165">
      <c r="A11165" s="86" t="str">
        <f>IFERROR(__xludf.DUMMYFUNCTION("""COMPUTED_VALUE"""),"")</f>
        <v/>
      </c>
      <c r="B11165" s="87"/>
      <c r="C11165" s="87"/>
      <c r="D11165" s="87"/>
      <c r="E11165" s="87"/>
      <c r="F11165" s="87"/>
      <c r="G11165" s="87"/>
    </row>
    <row r="11166">
      <c r="A11166" s="86" t="str">
        <f>IFERROR(__xludf.DUMMYFUNCTION("""COMPUTED_VALUE"""),"")</f>
        <v/>
      </c>
      <c r="B11166" s="87"/>
      <c r="C11166" s="87"/>
      <c r="D11166" s="87"/>
      <c r="E11166" s="87"/>
      <c r="F11166" s="87"/>
      <c r="G11166" s="87"/>
    </row>
    <row r="11167">
      <c r="A11167" s="86" t="str">
        <f>IFERROR(__xludf.DUMMYFUNCTION("""COMPUTED_VALUE"""),"")</f>
        <v/>
      </c>
      <c r="B11167" s="87"/>
      <c r="C11167" s="87"/>
      <c r="D11167" s="87"/>
      <c r="E11167" s="87"/>
      <c r="F11167" s="87"/>
      <c r="G11167" s="87"/>
    </row>
    <row r="11168">
      <c r="A11168" s="86" t="str">
        <f>IFERROR(__xludf.DUMMYFUNCTION("""COMPUTED_VALUE"""),"")</f>
        <v/>
      </c>
      <c r="B11168" s="87"/>
      <c r="C11168" s="87"/>
      <c r="D11168" s="87"/>
      <c r="E11168" s="87"/>
      <c r="F11168" s="87"/>
      <c r="G11168" s="87"/>
    </row>
    <row r="11169">
      <c r="A11169" s="86" t="str">
        <f>IFERROR(__xludf.DUMMYFUNCTION("""COMPUTED_VALUE"""),"")</f>
        <v/>
      </c>
      <c r="B11169" s="87"/>
      <c r="C11169" s="87"/>
      <c r="D11169" s="87"/>
      <c r="E11169" s="87"/>
      <c r="F11169" s="87"/>
      <c r="G11169" s="87"/>
    </row>
    <row r="11170">
      <c r="A11170" s="86" t="str">
        <f>IFERROR(__xludf.DUMMYFUNCTION("""COMPUTED_VALUE"""),"")</f>
        <v/>
      </c>
      <c r="B11170" s="87"/>
      <c r="C11170" s="87"/>
      <c r="D11170" s="87"/>
      <c r="E11170" s="87"/>
      <c r="F11170" s="87"/>
      <c r="G11170" s="87"/>
    </row>
    <row r="11171">
      <c r="A11171" s="86" t="str">
        <f>IFERROR(__xludf.DUMMYFUNCTION("""COMPUTED_VALUE"""),"")</f>
        <v/>
      </c>
      <c r="B11171" s="87"/>
      <c r="C11171" s="87"/>
      <c r="D11171" s="87"/>
      <c r="E11171" s="87"/>
      <c r="F11171" s="87"/>
      <c r="G11171" s="87"/>
    </row>
    <row r="11172">
      <c r="A11172" s="86" t="str">
        <f>IFERROR(__xludf.DUMMYFUNCTION("""COMPUTED_VALUE"""),"")</f>
        <v/>
      </c>
      <c r="B11172" s="87"/>
      <c r="C11172" s="87"/>
      <c r="D11172" s="87"/>
      <c r="E11172" s="87"/>
      <c r="F11172" s="87"/>
      <c r="G11172" s="87"/>
    </row>
    <row r="11173">
      <c r="A11173" s="86" t="str">
        <f>IFERROR(__xludf.DUMMYFUNCTION("""COMPUTED_VALUE"""),"")</f>
        <v/>
      </c>
      <c r="B11173" s="87"/>
      <c r="C11173" s="87"/>
      <c r="D11173" s="87"/>
      <c r="E11173" s="87"/>
      <c r="F11173" s="87"/>
      <c r="G11173" s="87"/>
    </row>
    <row r="11174">
      <c r="A11174" s="86" t="str">
        <f>IFERROR(__xludf.DUMMYFUNCTION("""COMPUTED_VALUE"""),"")</f>
        <v/>
      </c>
      <c r="B11174" s="87"/>
      <c r="C11174" s="87"/>
      <c r="D11174" s="87"/>
      <c r="E11174" s="87"/>
      <c r="F11174" s="87"/>
      <c r="G11174" s="87"/>
    </row>
    <row r="11175">
      <c r="A11175" s="86" t="str">
        <f>IFERROR(__xludf.DUMMYFUNCTION("""COMPUTED_VALUE"""),"")</f>
        <v/>
      </c>
      <c r="B11175" s="87"/>
      <c r="C11175" s="87"/>
      <c r="D11175" s="87"/>
      <c r="E11175" s="87"/>
      <c r="F11175" s="87"/>
      <c r="G11175" s="87"/>
    </row>
    <row r="11176">
      <c r="A11176" s="86" t="str">
        <f>IFERROR(__xludf.DUMMYFUNCTION("""COMPUTED_VALUE"""),"")</f>
        <v/>
      </c>
      <c r="B11176" s="87"/>
      <c r="C11176" s="87"/>
      <c r="D11176" s="87"/>
      <c r="E11176" s="87"/>
      <c r="F11176" s="87"/>
      <c r="G11176" s="87"/>
    </row>
    <row r="11177">
      <c r="A11177" s="86" t="str">
        <f>IFERROR(__xludf.DUMMYFUNCTION("""COMPUTED_VALUE"""),"")</f>
        <v/>
      </c>
      <c r="B11177" s="87"/>
      <c r="C11177" s="87"/>
      <c r="D11177" s="87"/>
      <c r="E11177" s="87"/>
      <c r="F11177" s="87"/>
      <c r="G11177" s="87"/>
    </row>
    <row r="11178">
      <c r="A11178" s="86" t="str">
        <f>IFERROR(__xludf.DUMMYFUNCTION("""COMPUTED_VALUE"""),"")</f>
        <v/>
      </c>
      <c r="B11178" s="87"/>
      <c r="C11178" s="87"/>
      <c r="D11178" s="87"/>
      <c r="E11178" s="87"/>
      <c r="F11178" s="87"/>
      <c r="G11178" s="87"/>
    </row>
    <row r="11179">
      <c r="A11179" s="86" t="str">
        <f>IFERROR(__xludf.DUMMYFUNCTION("""COMPUTED_VALUE"""),"")</f>
        <v/>
      </c>
      <c r="B11179" s="87"/>
      <c r="C11179" s="87"/>
      <c r="D11179" s="87"/>
      <c r="E11179" s="87"/>
      <c r="F11179" s="87"/>
      <c r="G11179" s="87"/>
    </row>
    <row r="11180">
      <c r="A11180" s="86" t="str">
        <f>IFERROR(__xludf.DUMMYFUNCTION("""COMPUTED_VALUE"""),"")</f>
        <v/>
      </c>
      <c r="B11180" s="87"/>
      <c r="C11180" s="87"/>
      <c r="D11180" s="87"/>
      <c r="E11180" s="87"/>
      <c r="F11180" s="87"/>
      <c r="G11180" s="87"/>
    </row>
    <row r="11181">
      <c r="A11181" s="86" t="str">
        <f>IFERROR(__xludf.DUMMYFUNCTION("""COMPUTED_VALUE"""),"")</f>
        <v/>
      </c>
      <c r="B11181" s="87"/>
      <c r="C11181" s="87"/>
      <c r="D11181" s="87"/>
      <c r="E11181" s="87"/>
      <c r="F11181" s="87"/>
      <c r="G11181" s="87"/>
    </row>
    <row r="11182">
      <c r="A11182" s="86" t="str">
        <f>IFERROR(__xludf.DUMMYFUNCTION("""COMPUTED_VALUE"""),"")</f>
        <v/>
      </c>
      <c r="B11182" s="87"/>
      <c r="C11182" s="87"/>
      <c r="D11182" s="87"/>
      <c r="E11182" s="87"/>
      <c r="F11182" s="87"/>
      <c r="G11182" s="87"/>
    </row>
    <row r="11183">
      <c r="A11183" s="86" t="str">
        <f>IFERROR(__xludf.DUMMYFUNCTION("""COMPUTED_VALUE"""),"")</f>
        <v/>
      </c>
      <c r="B11183" s="87"/>
      <c r="C11183" s="87"/>
      <c r="D11183" s="87"/>
      <c r="E11183" s="87"/>
      <c r="F11183" s="87"/>
      <c r="G11183" s="87"/>
    </row>
    <row r="11184">
      <c r="A11184" s="86" t="str">
        <f>IFERROR(__xludf.DUMMYFUNCTION("""COMPUTED_VALUE"""),"")</f>
        <v/>
      </c>
      <c r="B11184" s="87"/>
      <c r="C11184" s="87"/>
      <c r="D11184" s="87"/>
      <c r="E11184" s="87"/>
      <c r="F11184" s="87"/>
      <c r="G11184" s="87"/>
    </row>
    <row r="11185">
      <c r="A11185" s="86" t="str">
        <f>IFERROR(__xludf.DUMMYFUNCTION("""COMPUTED_VALUE"""),"")</f>
        <v/>
      </c>
      <c r="B11185" s="87"/>
      <c r="C11185" s="87"/>
      <c r="D11185" s="87"/>
      <c r="E11185" s="87"/>
      <c r="F11185" s="87"/>
      <c r="G11185" s="87"/>
    </row>
    <row r="11186">
      <c r="A11186" s="86" t="str">
        <f>IFERROR(__xludf.DUMMYFUNCTION("""COMPUTED_VALUE"""),"")</f>
        <v/>
      </c>
      <c r="B11186" s="87"/>
      <c r="C11186" s="87"/>
      <c r="D11186" s="87"/>
      <c r="E11186" s="87"/>
      <c r="F11186" s="87"/>
      <c r="G11186" s="87"/>
    </row>
    <row r="11187">
      <c r="A11187" s="86" t="str">
        <f>IFERROR(__xludf.DUMMYFUNCTION("""COMPUTED_VALUE"""),"")</f>
        <v/>
      </c>
      <c r="B11187" s="87"/>
      <c r="C11187" s="87"/>
      <c r="D11187" s="87"/>
      <c r="E11187" s="87"/>
      <c r="F11187" s="87"/>
      <c r="G11187" s="87"/>
    </row>
    <row r="11188">
      <c r="A11188" s="86" t="str">
        <f>IFERROR(__xludf.DUMMYFUNCTION("""COMPUTED_VALUE"""),"")</f>
        <v/>
      </c>
      <c r="B11188" s="87"/>
      <c r="C11188" s="87"/>
      <c r="D11188" s="87"/>
      <c r="E11188" s="87"/>
      <c r="F11188" s="87"/>
      <c r="G11188" s="87"/>
    </row>
    <row r="11189">
      <c r="A11189" s="86" t="str">
        <f>IFERROR(__xludf.DUMMYFUNCTION("""COMPUTED_VALUE"""),"")</f>
        <v/>
      </c>
      <c r="B11189" s="87"/>
      <c r="C11189" s="87"/>
      <c r="D11189" s="87"/>
      <c r="E11189" s="87"/>
      <c r="F11189" s="87"/>
      <c r="G11189" s="87"/>
    </row>
    <row r="11190">
      <c r="A11190" s="86" t="str">
        <f>IFERROR(__xludf.DUMMYFUNCTION("""COMPUTED_VALUE"""),"")</f>
        <v/>
      </c>
      <c r="B11190" s="87"/>
      <c r="C11190" s="87"/>
      <c r="D11190" s="87"/>
      <c r="E11190" s="87"/>
      <c r="F11190" s="87"/>
      <c r="G11190" s="87"/>
    </row>
    <row r="11191">
      <c r="A11191" s="86" t="str">
        <f>IFERROR(__xludf.DUMMYFUNCTION("""COMPUTED_VALUE"""),"")</f>
        <v/>
      </c>
      <c r="B11191" s="87"/>
      <c r="C11191" s="87"/>
      <c r="D11191" s="87"/>
      <c r="E11191" s="87"/>
      <c r="F11191" s="87"/>
      <c r="G11191" s="87"/>
    </row>
    <row r="11192">
      <c r="A11192" s="86" t="str">
        <f>IFERROR(__xludf.DUMMYFUNCTION("""COMPUTED_VALUE"""),"")</f>
        <v/>
      </c>
      <c r="B11192" s="87"/>
      <c r="C11192" s="87"/>
      <c r="D11192" s="87"/>
      <c r="E11192" s="87"/>
      <c r="F11192" s="87"/>
      <c r="G11192" s="87"/>
    </row>
    <row r="11193">
      <c r="A11193" s="86" t="str">
        <f>IFERROR(__xludf.DUMMYFUNCTION("""COMPUTED_VALUE"""),"")</f>
        <v/>
      </c>
      <c r="B11193" s="87"/>
      <c r="C11193" s="87"/>
      <c r="D11193" s="87"/>
      <c r="E11193" s="87"/>
      <c r="F11193" s="87"/>
      <c r="G11193" s="87"/>
    </row>
    <row r="11194">
      <c r="A11194" s="86" t="str">
        <f>IFERROR(__xludf.DUMMYFUNCTION("""COMPUTED_VALUE"""),"")</f>
        <v/>
      </c>
      <c r="B11194" s="87"/>
      <c r="C11194" s="87"/>
      <c r="D11194" s="87"/>
      <c r="E11194" s="87"/>
      <c r="F11194" s="87"/>
      <c r="G11194" s="87"/>
    </row>
    <row r="11195">
      <c r="A11195" s="86" t="str">
        <f>IFERROR(__xludf.DUMMYFUNCTION("""COMPUTED_VALUE"""),"")</f>
        <v/>
      </c>
      <c r="B11195" s="87"/>
      <c r="C11195" s="87"/>
      <c r="D11195" s="87"/>
      <c r="E11195" s="87"/>
      <c r="F11195" s="87"/>
      <c r="G11195" s="87"/>
    </row>
    <row r="11196">
      <c r="A11196" s="86" t="str">
        <f>IFERROR(__xludf.DUMMYFUNCTION("""COMPUTED_VALUE"""),"")</f>
        <v/>
      </c>
      <c r="B11196" s="87"/>
      <c r="C11196" s="87"/>
      <c r="D11196" s="87"/>
      <c r="E11196" s="87"/>
      <c r="F11196" s="87"/>
      <c r="G11196" s="87"/>
    </row>
    <row r="11197">
      <c r="A11197" s="86" t="str">
        <f>IFERROR(__xludf.DUMMYFUNCTION("""COMPUTED_VALUE"""),"")</f>
        <v/>
      </c>
      <c r="B11197" s="87"/>
      <c r="C11197" s="87"/>
      <c r="D11197" s="87"/>
      <c r="E11197" s="87"/>
      <c r="F11197" s="87"/>
      <c r="G11197" s="87"/>
    </row>
    <row r="11198">
      <c r="A11198" s="86" t="str">
        <f>IFERROR(__xludf.DUMMYFUNCTION("""COMPUTED_VALUE"""),"")</f>
        <v/>
      </c>
      <c r="B11198" s="87"/>
      <c r="C11198" s="87"/>
      <c r="D11198" s="87"/>
      <c r="E11198" s="87"/>
      <c r="F11198" s="87"/>
      <c r="G11198" s="87"/>
    </row>
    <row r="11199">
      <c r="A11199" s="86" t="str">
        <f>IFERROR(__xludf.DUMMYFUNCTION("""COMPUTED_VALUE"""),"")</f>
        <v/>
      </c>
      <c r="B11199" s="87"/>
      <c r="C11199" s="87"/>
      <c r="D11199" s="87"/>
      <c r="E11199" s="87"/>
      <c r="F11199" s="87"/>
      <c r="G11199" s="87"/>
    </row>
    <row r="11200">
      <c r="A11200" s="86" t="str">
        <f>IFERROR(__xludf.DUMMYFUNCTION("""COMPUTED_VALUE"""),"")</f>
        <v/>
      </c>
      <c r="B11200" s="87"/>
      <c r="C11200" s="87"/>
      <c r="D11200" s="87"/>
      <c r="E11200" s="87"/>
      <c r="F11200" s="87"/>
      <c r="G11200" s="87"/>
    </row>
    <row r="11201">
      <c r="A11201" s="86" t="str">
        <f>IFERROR(__xludf.DUMMYFUNCTION("""COMPUTED_VALUE"""),"")</f>
        <v/>
      </c>
      <c r="B11201" s="87"/>
      <c r="C11201" s="87"/>
      <c r="D11201" s="87"/>
      <c r="E11201" s="87"/>
      <c r="F11201" s="87"/>
      <c r="G11201" s="87"/>
    </row>
    <row r="11202">
      <c r="A11202" s="86" t="str">
        <f>IFERROR(__xludf.DUMMYFUNCTION("""COMPUTED_VALUE"""),"")</f>
        <v/>
      </c>
      <c r="B11202" s="87"/>
      <c r="C11202" s="87"/>
      <c r="D11202" s="87"/>
      <c r="E11202" s="87"/>
      <c r="F11202" s="87"/>
      <c r="G11202" s="87"/>
    </row>
    <row r="11203">
      <c r="A11203" s="86" t="str">
        <f>IFERROR(__xludf.DUMMYFUNCTION("""COMPUTED_VALUE"""),"")</f>
        <v/>
      </c>
      <c r="B11203" s="87"/>
      <c r="C11203" s="87"/>
      <c r="D11203" s="87"/>
      <c r="E11203" s="87"/>
      <c r="F11203" s="87"/>
      <c r="G11203" s="87"/>
    </row>
    <row r="11204">
      <c r="A11204" s="86" t="str">
        <f>IFERROR(__xludf.DUMMYFUNCTION("""COMPUTED_VALUE"""),"")</f>
        <v/>
      </c>
      <c r="B11204" s="87"/>
      <c r="C11204" s="87"/>
      <c r="D11204" s="87"/>
      <c r="E11204" s="87"/>
      <c r="F11204" s="87"/>
      <c r="G11204" s="87"/>
    </row>
    <row r="11205">
      <c r="A11205" s="86" t="str">
        <f>IFERROR(__xludf.DUMMYFUNCTION("""COMPUTED_VALUE"""),"")</f>
        <v/>
      </c>
      <c r="B11205" s="87"/>
      <c r="C11205" s="87"/>
      <c r="D11205" s="87"/>
      <c r="E11205" s="87"/>
      <c r="F11205" s="87"/>
      <c r="G11205" s="87"/>
    </row>
    <row r="11206">
      <c r="A11206" s="86" t="str">
        <f>IFERROR(__xludf.DUMMYFUNCTION("""COMPUTED_VALUE"""),"")</f>
        <v/>
      </c>
      <c r="B11206" s="87"/>
      <c r="C11206" s="87"/>
      <c r="D11206" s="87"/>
      <c r="E11206" s="87"/>
      <c r="F11206" s="87"/>
      <c r="G11206" s="87"/>
    </row>
    <row r="11207">
      <c r="A11207" s="86" t="str">
        <f>IFERROR(__xludf.DUMMYFUNCTION("""COMPUTED_VALUE"""),"")</f>
        <v/>
      </c>
      <c r="B11207" s="87"/>
      <c r="C11207" s="87"/>
      <c r="D11207" s="87"/>
      <c r="E11207" s="87"/>
      <c r="F11207" s="87"/>
      <c r="G11207" s="87"/>
    </row>
    <row r="11208">
      <c r="A11208" s="86" t="str">
        <f>IFERROR(__xludf.DUMMYFUNCTION("""COMPUTED_VALUE"""),"")</f>
        <v/>
      </c>
      <c r="B11208" s="87"/>
      <c r="C11208" s="87"/>
      <c r="D11208" s="87"/>
      <c r="E11208" s="87"/>
      <c r="F11208" s="87"/>
      <c r="G11208" s="87"/>
    </row>
    <row r="11209">
      <c r="A11209" s="86" t="str">
        <f>IFERROR(__xludf.DUMMYFUNCTION("""COMPUTED_VALUE"""),"")</f>
        <v/>
      </c>
      <c r="B11209" s="87"/>
      <c r="C11209" s="87"/>
      <c r="D11209" s="87"/>
      <c r="E11209" s="87"/>
      <c r="F11209" s="87"/>
      <c r="G11209" s="87"/>
    </row>
    <row r="11210">
      <c r="A11210" s="86" t="str">
        <f>IFERROR(__xludf.DUMMYFUNCTION("""COMPUTED_VALUE"""),"")</f>
        <v/>
      </c>
      <c r="B11210" s="87"/>
      <c r="C11210" s="87"/>
      <c r="D11210" s="87"/>
      <c r="E11210" s="87"/>
      <c r="F11210" s="87"/>
      <c r="G11210" s="87"/>
    </row>
    <row r="11211">
      <c r="A11211" s="86" t="str">
        <f>IFERROR(__xludf.DUMMYFUNCTION("""COMPUTED_VALUE"""),"")</f>
        <v/>
      </c>
      <c r="B11211" s="87"/>
      <c r="C11211" s="87"/>
      <c r="D11211" s="87"/>
      <c r="E11211" s="87"/>
      <c r="F11211" s="87"/>
      <c r="G11211" s="87"/>
    </row>
    <row r="11212">
      <c r="A11212" s="86" t="str">
        <f>IFERROR(__xludf.DUMMYFUNCTION("""COMPUTED_VALUE"""),"")</f>
        <v/>
      </c>
      <c r="B11212" s="87"/>
      <c r="C11212" s="87"/>
      <c r="D11212" s="87"/>
      <c r="E11212" s="87"/>
      <c r="F11212" s="87"/>
      <c r="G11212" s="87"/>
    </row>
    <row r="11213">
      <c r="A11213" s="86" t="str">
        <f>IFERROR(__xludf.DUMMYFUNCTION("""COMPUTED_VALUE"""),"")</f>
        <v/>
      </c>
      <c r="B11213" s="87"/>
      <c r="C11213" s="87"/>
      <c r="D11213" s="87"/>
      <c r="E11213" s="87"/>
      <c r="F11213" s="87"/>
      <c r="G11213" s="87"/>
    </row>
    <row r="11214">
      <c r="A11214" s="86" t="str">
        <f>IFERROR(__xludf.DUMMYFUNCTION("""COMPUTED_VALUE"""),"")</f>
        <v/>
      </c>
      <c r="B11214" s="87"/>
      <c r="C11214" s="87"/>
      <c r="D11214" s="87"/>
      <c r="E11214" s="87"/>
      <c r="F11214" s="87"/>
      <c r="G11214" s="87"/>
    </row>
    <row r="11215">
      <c r="A11215" s="86" t="str">
        <f>IFERROR(__xludf.DUMMYFUNCTION("""COMPUTED_VALUE"""),"")</f>
        <v/>
      </c>
      <c r="B11215" s="87"/>
      <c r="C11215" s="87"/>
      <c r="D11215" s="87"/>
      <c r="E11215" s="87"/>
      <c r="F11215" s="87"/>
      <c r="G11215" s="87"/>
    </row>
    <row r="11216">
      <c r="A11216" s="86" t="str">
        <f>IFERROR(__xludf.DUMMYFUNCTION("""COMPUTED_VALUE"""),"")</f>
        <v/>
      </c>
      <c r="B11216" s="87"/>
      <c r="C11216" s="87"/>
      <c r="D11216" s="87"/>
      <c r="E11216" s="87"/>
      <c r="F11216" s="87"/>
      <c r="G11216" s="87"/>
    </row>
    <row r="11217">
      <c r="A11217" s="86" t="str">
        <f>IFERROR(__xludf.DUMMYFUNCTION("""COMPUTED_VALUE"""),"")</f>
        <v/>
      </c>
      <c r="B11217" s="87"/>
      <c r="C11217" s="87"/>
      <c r="D11217" s="87"/>
      <c r="E11217" s="87"/>
      <c r="F11217" s="87"/>
      <c r="G11217" s="87"/>
    </row>
    <row r="11218">
      <c r="A11218" s="86" t="str">
        <f>IFERROR(__xludf.DUMMYFUNCTION("""COMPUTED_VALUE"""),"")</f>
        <v/>
      </c>
      <c r="B11218" s="87"/>
      <c r="C11218" s="87"/>
      <c r="D11218" s="87"/>
      <c r="E11218" s="87"/>
      <c r="F11218" s="87"/>
      <c r="G11218" s="87"/>
    </row>
    <row r="11219">
      <c r="A11219" s="86" t="str">
        <f>IFERROR(__xludf.DUMMYFUNCTION("""COMPUTED_VALUE"""),"")</f>
        <v/>
      </c>
      <c r="B11219" s="87"/>
      <c r="C11219" s="87"/>
      <c r="D11219" s="87"/>
      <c r="E11219" s="87"/>
      <c r="F11219" s="87"/>
      <c r="G11219" s="87"/>
    </row>
    <row r="11220">
      <c r="A11220" s="86" t="str">
        <f>IFERROR(__xludf.DUMMYFUNCTION("""COMPUTED_VALUE"""),"")</f>
        <v/>
      </c>
      <c r="B11220" s="87"/>
      <c r="C11220" s="87"/>
      <c r="D11220" s="87"/>
      <c r="E11220" s="87"/>
      <c r="F11220" s="87"/>
      <c r="G11220" s="87"/>
    </row>
    <row r="11221">
      <c r="A11221" s="86" t="str">
        <f>IFERROR(__xludf.DUMMYFUNCTION("""COMPUTED_VALUE"""),"")</f>
        <v/>
      </c>
      <c r="B11221" s="87"/>
      <c r="C11221" s="87"/>
      <c r="D11221" s="87"/>
      <c r="E11221" s="87"/>
      <c r="F11221" s="87"/>
      <c r="G11221" s="87"/>
    </row>
    <row r="11222">
      <c r="A11222" s="86" t="str">
        <f>IFERROR(__xludf.DUMMYFUNCTION("""COMPUTED_VALUE"""),"")</f>
        <v/>
      </c>
      <c r="B11222" s="87"/>
      <c r="C11222" s="87"/>
      <c r="D11222" s="87"/>
      <c r="E11222" s="87"/>
      <c r="F11222" s="87"/>
      <c r="G11222" s="87"/>
    </row>
    <row r="11223">
      <c r="A11223" s="86" t="str">
        <f>IFERROR(__xludf.DUMMYFUNCTION("""COMPUTED_VALUE"""),"")</f>
        <v/>
      </c>
      <c r="B11223" s="87"/>
      <c r="C11223" s="87"/>
      <c r="D11223" s="87"/>
      <c r="E11223" s="87"/>
      <c r="F11223" s="87"/>
      <c r="G11223" s="87"/>
    </row>
    <row r="11224">
      <c r="A11224" s="86" t="str">
        <f>IFERROR(__xludf.DUMMYFUNCTION("""COMPUTED_VALUE"""),"")</f>
        <v/>
      </c>
      <c r="B11224" s="87"/>
      <c r="C11224" s="87"/>
      <c r="D11224" s="87"/>
      <c r="E11224" s="87"/>
      <c r="F11224" s="87"/>
      <c r="G11224" s="87"/>
    </row>
    <row r="11225">
      <c r="A11225" s="86" t="str">
        <f>IFERROR(__xludf.DUMMYFUNCTION("""COMPUTED_VALUE"""),"")</f>
        <v/>
      </c>
      <c r="B11225" s="87"/>
      <c r="C11225" s="87"/>
      <c r="D11225" s="87"/>
      <c r="E11225" s="87"/>
      <c r="F11225" s="87"/>
      <c r="G11225" s="87"/>
    </row>
    <row r="11226">
      <c r="A11226" s="86" t="str">
        <f>IFERROR(__xludf.DUMMYFUNCTION("""COMPUTED_VALUE"""),"")</f>
        <v/>
      </c>
      <c r="B11226" s="87"/>
      <c r="C11226" s="87"/>
      <c r="D11226" s="87"/>
      <c r="E11226" s="87"/>
      <c r="F11226" s="87"/>
      <c r="G11226" s="87"/>
    </row>
    <row r="11227">
      <c r="A11227" s="86" t="str">
        <f>IFERROR(__xludf.DUMMYFUNCTION("""COMPUTED_VALUE"""),"")</f>
        <v/>
      </c>
      <c r="B11227" s="87"/>
      <c r="C11227" s="87"/>
      <c r="D11227" s="87"/>
      <c r="E11227" s="87"/>
      <c r="F11227" s="87"/>
      <c r="G11227" s="87"/>
    </row>
    <row r="11228">
      <c r="A11228" s="86" t="str">
        <f>IFERROR(__xludf.DUMMYFUNCTION("""COMPUTED_VALUE"""),"")</f>
        <v/>
      </c>
      <c r="B11228" s="87"/>
      <c r="C11228" s="87"/>
      <c r="D11228" s="87"/>
      <c r="E11228" s="87"/>
      <c r="F11228" s="87"/>
      <c r="G11228" s="87"/>
    </row>
    <row r="11229">
      <c r="A11229" s="86" t="str">
        <f>IFERROR(__xludf.DUMMYFUNCTION("""COMPUTED_VALUE"""),"")</f>
        <v/>
      </c>
      <c r="B11229" s="87"/>
      <c r="C11229" s="87"/>
      <c r="D11229" s="87"/>
      <c r="E11229" s="87"/>
      <c r="F11229" s="87"/>
      <c r="G11229" s="87"/>
    </row>
    <row r="11230">
      <c r="A11230" s="86" t="str">
        <f>IFERROR(__xludf.DUMMYFUNCTION("""COMPUTED_VALUE"""),"")</f>
        <v/>
      </c>
      <c r="B11230" s="87"/>
      <c r="C11230" s="87"/>
      <c r="D11230" s="87"/>
      <c r="E11230" s="87"/>
      <c r="F11230" s="87"/>
      <c r="G11230" s="87"/>
    </row>
    <row r="11231">
      <c r="A11231" s="86" t="str">
        <f>IFERROR(__xludf.DUMMYFUNCTION("""COMPUTED_VALUE"""),"")</f>
        <v/>
      </c>
      <c r="B11231" s="87"/>
      <c r="C11231" s="87"/>
      <c r="D11231" s="87"/>
      <c r="E11231" s="87"/>
      <c r="F11231" s="87"/>
      <c r="G11231" s="87"/>
    </row>
    <row r="11232">
      <c r="A11232" s="86" t="str">
        <f>IFERROR(__xludf.DUMMYFUNCTION("""COMPUTED_VALUE"""),"")</f>
        <v/>
      </c>
      <c r="B11232" s="87"/>
      <c r="C11232" s="87"/>
      <c r="D11232" s="87"/>
      <c r="E11232" s="87"/>
      <c r="F11232" s="87"/>
      <c r="G11232" s="87"/>
    </row>
    <row r="11233">
      <c r="A11233" s="86" t="str">
        <f>IFERROR(__xludf.DUMMYFUNCTION("""COMPUTED_VALUE"""),"")</f>
        <v/>
      </c>
      <c r="B11233" s="87"/>
      <c r="C11233" s="87"/>
      <c r="D11233" s="87"/>
      <c r="E11233" s="87"/>
      <c r="F11233" s="87"/>
      <c r="G11233" s="87"/>
    </row>
    <row r="11234">
      <c r="A11234" s="86" t="str">
        <f>IFERROR(__xludf.DUMMYFUNCTION("""COMPUTED_VALUE"""),"")</f>
        <v/>
      </c>
      <c r="B11234" s="87"/>
      <c r="C11234" s="87"/>
      <c r="D11234" s="87"/>
      <c r="E11234" s="87"/>
      <c r="F11234" s="87"/>
      <c r="G11234" s="87"/>
    </row>
    <row r="11235">
      <c r="A11235" s="86" t="str">
        <f>IFERROR(__xludf.DUMMYFUNCTION("""COMPUTED_VALUE"""),"")</f>
        <v/>
      </c>
      <c r="B11235" s="87"/>
      <c r="C11235" s="87"/>
      <c r="D11235" s="87"/>
      <c r="E11235" s="87"/>
      <c r="F11235" s="87"/>
      <c r="G11235" s="87"/>
    </row>
    <row r="11236">
      <c r="A11236" s="86" t="str">
        <f>IFERROR(__xludf.DUMMYFUNCTION("""COMPUTED_VALUE"""),"")</f>
        <v/>
      </c>
      <c r="B11236" s="87"/>
      <c r="C11236" s="87"/>
      <c r="D11236" s="87"/>
      <c r="E11236" s="87"/>
      <c r="F11236" s="87"/>
      <c r="G11236" s="87"/>
    </row>
    <row r="11237">
      <c r="A11237" s="86" t="str">
        <f>IFERROR(__xludf.DUMMYFUNCTION("""COMPUTED_VALUE"""),"")</f>
        <v/>
      </c>
      <c r="B11237" s="87"/>
      <c r="C11237" s="87"/>
      <c r="D11237" s="87"/>
      <c r="E11237" s="87"/>
      <c r="F11237" s="87"/>
      <c r="G11237" s="87"/>
    </row>
    <row r="11238">
      <c r="A11238" s="86" t="str">
        <f>IFERROR(__xludf.DUMMYFUNCTION("""COMPUTED_VALUE"""),"")</f>
        <v/>
      </c>
      <c r="B11238" s="87"/>
      <c r="C11238" s="87"/>
      <c r="D11238" s="87"/>
      <c r="E11238" s="87"/>
      <c r="F11238" s="87"/>
      <c r="G11238" s="87"/>
    </row>
    <row r="11239">
      <c r="A11239" s="86" t="str">
        <f>IFERROR(__xludf.DUMMYFUNCTION("""COMPUTED_VALUE"""),"")</f>
        <v/>
      </c>
      <c r="B11239" s="87"/>
      <c r="C11239" s="87"/>
      <c r="D11239" s="87"/>
      <c r="E11239" s="87"/>
      <c r="F11239" s="87"/>
      <c r="G11239" s="87"/>
    </row>
    <row r="11240">
      <c r="A11240" s="86" t="str">
        <f>IFERROR(__xludf.DUMMYFUNCTION("""COMPUTED_VALUE"""),"")</f>
        <v/>
      </c>
      <c r="B11240" s="87"/>
      <c r="C11240" s="87"/>
      <c r="D11240" s="87"/>
      <c r="E11240" s="87"/>
      <c r="F11240" s="87"/>
      <c r="G11240" s="87"/>
    </row>
    <row r="11241">
      <c r="A11241" s="86" t="str">
        <f>IFERROR(__xludf.DUMMYFUNCTION("""COMPUTED_VALUE"""),"")</f>
        <v/>
      </c>
      <c r="B11241" s="87"/>
      <c r="C11241" s="87"/>
      <c r="D11241" s="87"/>
      <c r="E11241" s="87"/>
      <c r="F11241" s="87"/>
      <c r="G11241" s="87"/>
    </row>
    <row r="11242">
      <c r="A11242" s="86" t="str">
        <f>IFERROR(__xludf.DUMMYFUNCTION("""COMPUTED_VALUE"""),"")</f>
        <v/>
      </c>
      <c r="B11242" s="87"/>
      <c r="C11242" s="87"/>
      <c r="D11242" s="87"/>
      <c r="E11242" s="87"/>
      <c r="F11242" s="87"/>
      <c r="G11242" s="87"/>
    </row>
    <row r="11243">
      <c r="A11243" s="86" t="str">
        <f>IFERROR(__xludf.DUMMYFUNCTION("""COMPUTED_VALUE"""),"")</f>
        <v/>
      </c>
      <c r="B11243" s="87"/>
      <c r="C11243" s="87"/>
      <c r="D11243" s="87"/>
      <c r="E11243" s="87"/>
      <c r="F11243" s="87"/>
      <c r="G11243" s="87"/>
    </row>
    <row r="11244">
      <c r="A11244" s="86" t="str">
        <f>IFERROR(__xludf.DUMMYFUNCTION("""COMPUTED_VALUE"""),"")</f>
        <v/>
      </c>
      <c r="B11244" s="87"/>
      <c r="C11244" s="87"/>
      <c r="D11244" s="87"/>
      <c r="E11244" s="87"/>
      <c r="F11244" s="87"/>
      <c r="G11244" s="87"/>
    </row>
    <row r="11245">
      <c r="A11245" s="86" t="str">
        <f>IFERROR(__xludf.DUMMYFUNCTION("""COMPUTED_VALUE"""),"")</f>
        <v/>
      </c>
      <c r="B11245" s="87"/>
      <c r="C11245" s="87"/>
      <c r="D11245" s="87"/>
      <c r="E11245" s="87"/>
      <c r="F11245" s="87"/>
      <c r="G11245" s="87"/>
    </row>
    <row r="11246">
      <c r="A11246" s="86" t="str">
        <f>IFERROR(__xludf.DUMMYFUNCTION("""COMPUTED_VALUE"""),"")</f>
        <v/>
      </c>
      <c r="B11246" s="87"/>
      <c r="C11246" s="87"/>
      <c r="D11246" s="87"/>
      <c r="E11246" s="87"/>
      <c r="F11246" s="87"/>
      <c r="G11246" s="87"/>
    </row>
    <row r="11247">
      <c r="A11247" s="86" t="str">
        <f>IFERROR(__xludf.DUMMYFUNCTION("""COMPUTED_VALUE"""),"")</f>
        <v/>
      </c>
      <c r="B11247" s="87"/>
      <c r="C11247" s="87"/>
      <c r="D11247" s="87"/>
      <c r="E11247" s="87"/>
      <c r="F11247" s="87"/>
      <c r="G11247" s="87"/>
    </row>
    <row r="11248">
      <c r="A11248" s="86" t="str">
        <f>IFERROR(__xludf.DUMMYFUNCTION("""COMPUTED_VALUE"""),"")</f>
        <v/>
      </c>
      <c r="B11248" s="87"/>
      <c r="C11248" s="87"/>
      <c r="D11248" s="87"/>
      <c r="E11248" s="87"/>
      <c r="F11248" s="87"/>
      <c r="G11248" s="87"/>
    </row>
    <row r="11249">
      <c r="A11249" s="86" t="str">
        <f>IFERROR(__xludf.DUMMYFUNCTION("""COMPUTED_VALUE"""),"")</f>
        <v/>
      </c>
      <c r="B11249" s="87"/>
      <c r="C11249" s="87"/>
      <c r="D11249" s="87"/>
      <c r="E11249" s="87"/>
      <c r="F11249" s="87"/>
      <c r="G11249" s="87"/>
    </row>
    <row r="11250">
      <c r="A11250" s="86" t="str">
        <f>IFERROR(__xludf.DUMMYFUNCTION("""COMPUTED_VALUE"""),"")</f>
        <v/>
      </c>
      <c r="B11250" s="87"/>
      <c r="C11250" s="87"/>
      <c r="D11250" s="87"/>
      <c r="E11250" s="87"/>
      <c r="F11250" s="87"/>
      <c r="G11250" s="87"/>
    </row>
    <row r="11251">
      <c r="A11251" s="86" t="str">
        <f>IFERROR(__xludf.DUMMYFUNCTION("""COMPUTED_VALUE"""),"")</f>
        <v/>
      </c>
      <c r="B11251" s="87"/>
      <c r="C11251" s="87"/>
      <c r="D11251" s="87"/>
      <c r="E11251" s="87"/>
      <c r="F11251" s="87"/>
      <c r="G11251" s="87"/>
    </row>
    <row r="11252">
      <c r="A11252" s="86" t="str">
        <f>IFERROR(__xludf.DUMMYFUNCTION("""COMPUTED_VALUE"""),"")</f>
        <v/>
      </c>
      <c r="B11252" s="87"/>
      <c r="C11252" s="87"/>
      <c r="D11252" s="87"/>
      <c r="E11252" s="87"/>
      <c r="F11252" s="87"/>
      <c r="G11252" s="87"/>
    </row>
    <row r="11253">
      <c r="A11253" s="86" t="str">
        <f>IFERROR(__xludf.DUMMYFUNCTION("""COMPUTED_VALUE"""),"")</f>
        <v/>
      </c>
      <c r="B11253" s="87"/>
      <c r="C11253" s="87"/>
      <c r="D11253" s="87"/>
      <c r="E11253" s="87"/>
      <c r="F11253" s="87"/>
      <c r="G11253" s="87"/>
    </row>
    <row r="11254">
      <c r="A11254" s="86" t="str">
        <f>IFERROR(__xludf.DUMMYFUNCTION("""COMPUTED_VALUE"""),"")</f>
        <v/>
      </c>
      <c r="B11254" s="87"/>
      <c r="C11254" s="87"/>
      <c r="D11254" s="87"/>
      <c r="E11254" s="87"/>
      <c r="F11254" s="87"/>
      <c r="G11254" s="87"/>
    </row>
    <row r="11255">
      <c r="A11255" s="86" t="str">
        <f>IFERROR(__xludf.DUMMYFUNCTION("""COMPUTED_VALUE"""),"")</f>
        <v/>
      </c>
      <c r="B11255" s="87"/>
      <c r="C11255" s="87"/>
      <c r="D11255" s="87"/>
      <c r="E11255" s="87"/>
      <c r="F11255" s="87"/>
      <c r="G11255" s="87"/>
    </row>
    <row r="11256">
      <c r="A11256" s="86" t="str">
        <f>IFERROR(__xludf.DUMMYFUNCTION("""COMPUTED_VALUE"""),"")</f>
        <v/>
      </c>
      <c r="B11256" s="87"/>
      <c r="C11256" s="87"/>
      <c r="D11256" s="87"/>
      <c r="E11256" s="87"/>
      <c r="F11256" s="87"/>
      <c r="G11256" s="87"/>
    </row>
    <row r="11257">
      <c r="A11257" s="86" t="str">
        <f>IFERROR(__xludf.DUMMYFUNCTION("""COMPUTED_VALUE"""),"")</f>
        <v/>
      </c>
      <c r="B11257" s="87"/>
      <c r="C11257" s="87"/>
      <c r="D11257" s="87"/>
      <c r="E11257" s="87"/>
      <c r="F11257" s="87"/>
      <c r="G11257" s="87"/>
    </row>
    <row r="11258">
      <c r="A11258" s="86" t="str">
        <f>IFERROR(__xludf.DUMMYFUNCTION("""COMPUTED_VALUE"""),"")</f>
        <v/>
      </c>
      <c r="B11258" s="87"/>
      <c r="C11258" s="87"/>
      <c r="D11258" s="87"/>
      <c r="E11258" s="87"/>
      <c r="F11258" s="87"/>
      <c r="G11258" s="87"/>
    </row>
    <row r="11259">
      <c r="A11259" s="86" t="str">
        <f>IFERROR(__xludf.DUMMYFUNCTION("""COMPUTED_VALUE"""),"")</f>
        <v/>
      </c>
      <c r="B11259" s="87"/>
      <c r="C11259" s="87"/>
      <c r="D11259" s="87"/>
      <c r="E11259" s="87"/>
      <c r="F11259" s="87"/>
      <c r="G11259" s="87"/>
    </row>
    <row r="11260">
      <c r="A11260" s="86" t="str">
        <f>IFERROR(__xludf.DUMMYFUNCTION("""COMPUTED_VALUE"""),"")</f>
        <v/>
      </c>
      <c r="B11260" s="87"/>
      <c r="C11260" s="87"/>
      <c r="D11260" s="87"/>
      <c r="E11260" s="87"/>
      <c r="F11260" s="87"/>
      <c r="G11260" s="87"/>
    </row>
    <row r="11261">
      <c r="A11261" s="86" t="str">
        <f>IFERROR(__xludf.DUMMYFUNCTION("""COMPUTED_VALUE"""),"")</f>
        <v/>
      </c>
      <c r="B11261" s="87"/>
      <c r="C11261" s="87"/>
      <c r="D11261" s="87"/>
      <c r="E11261" s="87"/>
      <c r="F11261" s="87"/>
      <c r="G11261" s="87"/>
    </row>
    <row r="11262">
      <c r="A11262" s="86" t="str">
        <f>IFERROR(__xludf.DUMMYFUNCTION("""COMPUTED_VALUE"""),"")</f>
        <v/>
      </c>
      <c r="B11262" s="87"/>
      <c r="C11262" s="87"/>
      <c r="D11262" s="87"/>
      <c r="E11262" s="87"/>
      <c r="F11262" s="87"/>
      <c r="G11262" s="87"/>
    </row>
    <row r="11263">
      <c r="A11263" s="86" t="str">
        <f>IFERROR(__xludf.DUMMYFUNCTION("""COMPUTED_VALUE"""),"")</f>
        <v/>
      </c>
      <c r="B11263" s="87"/>
      <c r="C11263" s="87"/>
      <c r="D11263" s="87"/>
      <c r="E11263" s="87"/>
      <c r="F11263" s="87"/>
      <c r="G11263" s="87"/>
    </row>
    <row r="11264">
      <c r="A11264" s="86" t="str">
        <f>IFERROR(__xludf.DUMMYFUNCTION("""COMPUTED_VALUE"""),"")</f>
        <v/>
      </c>
      <c r="B11264" s="87"/>
      <c r="C11264" s="87"/>
      <c r="D11264" s="87"/>
      <c r="E11264" s="87"/>
      <c r="F11264" s="87"/>
      <c r="G11264" s="87"/>
    </row>
    <row r="11265">
      <c r="A11265" s="86" t="str">
        <f>IFERROR(__xludf.DUMMYFUNCTION("""COMPUTED_VALUE"""),"")</f>
        <v/>
      </c>
      <c r="B11265" s="87"/>
      <c r="C11265" s="87"/>
      <c r="D11265" s="87"/>
      <c r="E11265" s="87"/>
      <c r="F11265" s="87"/>
      <c r="G11265" s="87"/>
    </row>
    <row r="11266">
      <c r="A11266" s="86" t="str">
        <f>IFERROR(__xludf.DUMMYFUNCTION("""COMPUTED_VALUE"""),"")</f>
        <v/>
      </c>
      <c r="B11266" s="87"/>
      <c r="C11266" s="87"/>
      <c r="D11266" s="87"/>
      <c r="E11266" s="87"/>
      <c r="F11266" s="87"/>
      <c r="G11266" s="87"/>
    </row>
    <row r="11267">
      <c r="A11267" s="86" t="str">
        <f>IFERROR(__xludf.DUMMYFUNCTION("""COMPUTED_VALUE"""),"")</f>
        <v/>
      </c>
      <c r="B11267" s="87"/>
      <c r="C11267" s="87"/>
      <c r="D11267" s="87"/>
      <c r="E11267" s="87"/>
      <c r="F11267" s="87"/>
      <c r="G11267" s="87"/>
    </row>
    <row r="11268">
      <c r="A11268" s="86" t="str">
        <f>IFERROR(__xludf.DUMMYFUNCTION("""COMPUTED_VALUE"""),"")</f>
        <v/>
      </c>
      <c r="B11268" s="87"/>
      <c r="C11268" s="87"/>
      <c r="D11268" s="87"/>
      <c r="E11268" s="87"/>
      <c r="F11268" s="87"/>
      <c r="G11268" s="87"/>
    </row>
    <row r="11269">
      <c r="A11269" s="86" t="str">
        <f>IFERROR(__xludf.DUMMYFUNCTION("""COMPUTED_VALUE"""),"")</f>
        <v/>
      </c>
      <c r="B11269" s="87"/>
      <c r="C11269" s="87"/>
      <c r="D11269" s="87"/>
      <c r="E11269" s="87"/>
      <c r="F11269" s="87"/>
      <c r="G11269" s="87"/>
    </row>
    <row r="11270">
      <c r="A11270" s="86" t="str">
        <f>IFERROR(__xludf.DUMMYFUNCTION("""COMPUTED_VALUE"""),"")</f>
        <v/>
      </c>
      <c r="B11270" s="87"/>
      <c r="C11270" s="87"/>
      <c r="D11270" s="87"/>
      <c r="E11270" s="87"/>
      <c r="F11270" s="87"/>
      <c r="G11270" s="87"/>
    </row>
    <row r="11271">
      <c r="A11271" s="86" t="str">
        <f>IFERROR(__xludf.DUMMYFUNCTION("""COMPUTED_VALUE"""),"")</f>
        <v/>
      </c>
      <c r="B11271" s="87"/>
      <c r="C11271" s="87"/>
      <c r="D11271" s="87"/>
      <c r="E11271" s="87"/>
      <c r="F11271" s="87"/>
      <c r="G11271" s="87"/>
    </row>
    <row r="11272">
      <c r="A11272" s="86" t="str">
        <f>IFERROR(__xludf.DUMMYFUNCTION("""COMPUTED_VALUE"""),"")</f>
        <v/>
      </c>
      <c r="B11272" s="87"/>
      <c r="C11272" s="87"/>
      <c r="D11272" s="87"/>
      <c r="E11272" s="87"/>
      <c r="F11272" s="87"/>
      <c r="G11272" s="87"/>
    </row>
    <row r="11273">
      <c r="A11273" s="86" t="str">
        <f>IFERROR(__xludf.DUMMYFUNCTION("""COMPUTED_VALUE"""),"")</f>
        <v/>
      </c>
      <c r="B11273" s="87"/>
      <c r="C11273" s="87"/>
      <c r="D11273" s="87"/>
      <c r="E11273" s="87"/>
      <c r="F11273" s="87"/>
      <c r="G11273" s="87"/>
    </row>
    <row r="11274">
      <c r="A11274" s="86" t="str">
        <f>IFERROR(__xludf.DUMMYFUNCTION("""COMPUTED_VALUE"""),"")</f>
        <v/>
      </c>
      <c r="B11274" s="87"/>
      <c r="C11274" s="87"/>
      <c r="D11274" s="87"/>
      <c r="E11274" s="87"/>
      <c r="F11274" s="87"/>
      <c r="G11274" s="87"/>
    </row>
    <row r="11275">
      <c r="A11275" s="86" t="str">
        <f>IFERROR(__xludf.DUMMYFUNCTION("""COMPUTED_VALUE"""),"")</f>
        <v/>
      </c>
      <c r="B11275" s="87"/>
      <c r="C11275" s="87"/>
      <c r="D11275" s="87"/>
      <c r="E11275" s="87"/>
      <c r="F11275" s="87"/>
      <c r="G11275" s="87"/>
    </row>
    <row r="11276">
      <c r="A11276" s="86" t="str">
        <f>IFERROR(__xludf.DUMMYFUNCTION("""COMPUTED_VALUE"""),"")</f>
        <v/>
      </c>
      <c r="B11276" s="87"/>
      <c r="C11276" s="87"/>
      <c r="D11276" s="87"/>
      <c r="E11276" s="87"/>
      <c r="F11276" s="87"/>
      <c r="G11276" s="87"/>
    </row>
    <row r="11277">
      <c r="A11277" s="86" t="str">
        <f>IFERROR(__xludf.DUMMYFUNCTION("""COMPUTED_VALUE"""),"")</f>
        <v/>
      </c>
      <c r="B11277" s="87"/>
      <c r="C11277" s="87"/>
      <c r="D11277" s="87"/>
      <c r="E11277" s="87"/>
      <c r="F11277" s="87"/>
      <c r="G11277" s="87"/>
    </row>
    <row r="11278">
      <c r="A11278" s="86" t="str">
        <f>IFERROR(__xludf.DUMMYFUNCTION("""COMPUTED_VALUE"""),"")</f>
        <v/>
      </c>
      <c r="B11278" s="87"/>
      <c r="C11278" s="87"/>
      <c r="D11278" s="87"/>
      <c r="E11278" s="87"/>
      <c r="F11278" s="87"/>
      <c r="G11278" s="87"/>
    </row>
    <row r="11279">
      <c r="A11279" s="86" t="str">
        <f>IFERROR(__xludf.DUMMYFUNCTION("""COMPUTED_VALUE"""),"")</f>
        <v/>
      </c>
      <c r="B11279" s="87"/>
      <c r="C11279" s="87"/>
      <c r="D11279" s="87"/>
      <c r="E11279" s="87"/>
      <c r="F11279" s="87"/>
      <c r="G11279" s="87"/>
    </row>
    <row r="11280">
      <c r="A11280" s="86" t="str">
        <f>IFERROR(__xludf.DUMMYFUNCTION("""COMPUTED_VALUE"""),"")</f>
        <v/>
      </c>
      <c r="B11280" s="87"/>
      <c r="C11280" s="87"/>
      <c r="D11280" s="87"/>
      <c r="E11280" s="87"/>
      <c r="F11280" s="87"/>
      <c r="G11280" s="87"/>
    </row>
    <row r="11281">
      <c r="A11281" s="86" t="str">
        <f>IFERROR(__xludf.DUMMYFUNCTION("""COMPUTED_VALUE"""),"")</f>
        <v/>
      </c>
      <c r="B11281" s="87"/>
      <c r="C11281" s="87"/>
      <c r="D11281" s="87"/>
      <c r="E11281" s="87"/>
      <c r="F11281" s="87"/>
      <c r="G11281" s="87"/>
    </row>
    <row r="11282">
      <c r="A11282" s="86" t="str">
        <f>IFERROR(__xludf.DUMMYFUNCTION("""COMPUTED_VALUE"""),"")</f>
        <v/>
      </c>
      <c r="B11282" s="87"/>
      <c r="C11282" s="87"/>
      <c r="D11282" s="87"/>
      <c r="E11282" s="87"/>
      <c r="F11282" s="87"/>
      <c r="G11282" s="87"/>
    </row>
    <row r="11283">
      <c r="A11283" s="86" t="str">
        <f>IFERROR(__xludf.DUMMYFUNCTION("""COMPUTED_VALUE"""),"")</f>
        <v/>
      </c>
      <c r="B11283" s="87"/>
      <c r="C11283" s="87"/>
      <c r="D11283" s="87"/>
      <c r="E11283" s="87"/>
      <c r="F11283" s="87"/>
      <c r="G11283" s="87"/>
    </row>
    <row r="11284">
      <c r="A11284" s="86" t="str">
        <f>IFERROR(__xludf.DUMMYFUNCTION("""COMPUTED_VALUE"""),"")</f>
        <v/>
      </c>
      <c r="B11284" s="87"/>
      <c r="C11284" s="87"/>
      <c r="D11284" s="87"/>
      <c r="E11284" s="87"/>
      <c r="F11284" s="87"/>
      <c r="G11284" s="87"/>
    </row>
    <row r="11285">
      <c r="A11285" s="86" t="str">
        <f>IFERROR(__xludf.DUMMYFUNCTION("""COMPUTED_VALUE"""),"")</f>
        <v/>
      </c>
      <c r="B11285" s="87"/>
      <c r="C11285" s="87"/>
      <c r="D11285" s="87"/>
      <c r="E11285" s="87"/>
      <c r="F11285" s="87"/>
      <c r="G11285" s="87"/>
    </row>
    <row r="11286">
      <c r="A11286" s="86" t="str">
        <f>IFERROR(__xludf.DUMMYFUNCTION("""COMPUTED_VALUE"""),"")</f>
        <v/>
      </c>
      <c r="B11286" s="87"/>
      <c r="C11286" s="87"/>
      <c r="D11286" s="87"/>
      <c r="E11286" s="87"/>
      <c r="F11286" s="87"/>
      <c r="G11286" s="87"/>
    </row>
    <row r="11287">
      <c r="A11287" s="86" t="str">
        <f>IFERROR(__xludf.DUMMYFUNCTION("""COMPUTED_VALUE"""),"")</f>
        <v/>
      </c>
      <c r="B11287" s="87"/>
      <c r="C11287" s="87"/>
      <c r="D11287" s="87"/>
      <c r="E11287" s="87"/>
      <c r="F11287" s="87"/>
      <c r="G11287" s="87"/>
    </row>
    <row r="11288">
      <c r="A11288" s="86" t="str">
        <f>IFERROR(__xludf.DUMMYFUNCTION("""COMPUTED_VALUE"""),"")</f>
        <v/>
      </c>
      <c r="B11288" s="87"/>
      <c r="C11288" s="87"/>
      <c r="D11288" s="87"/>
      <c r="E11288" s="87"/>
      <c r="F11288" s="87"/>
      <c r="G11288" s="87"/>
    </row>
    <row r="11289">
      <c r="A11289" s="86" t="str">
        <f>IFERROR(__xludf.DUMMYFUNCTION("""COMPUTED_VALUE"""),"")</f>
        <v/>
      </c>
      <c r="B11289" s="87"/>
      <c r="C11289" s="87"/>
      <c r="D11289" s="87"/>
      <c r="E11289" s="87"/>
      <c r="F11289" s="87"/>
      <c r="G11289" s="87"/>
    </row>
    <row r="11290">
      <c r="A11290" s="86" t="str">
        <f>IFERROR(__xludf.DUMMYFUNCTION("""COMPUTED_VALUE"""),"")</f>
        <v/>
      </c>
      <c r="B11290" s="87"/>
      <c r="C11290" s="87"/>
      <c r="D11290" s="87"/>
      <c r="E11290" s="87"/>
      <c r="F11290" s="87"/>
      <c r="G11290" s="87"/>
    </row>
    <row r="11291">
      <c r="A11291" s="86" t="str">
        <f>IFERROR(__xludf.DUMMYFUNCTION("""COMPUTED_VALUE"""),"")</f>
        <v/>
      </c>
      <c r="B11291" s="87"/>
      <c r="C11291" s="87"/>
      <c r="D11291" s="87"/>
      <c r="E11291" s="87"/>
      <c r="F11291" s="87"/>
      <c r="G11291" s="87"/>
    </row>
    <row r="11292">
      <c r="A11292" s="86" t="str">
        <f>IFERROR(__xludf.DUMMYFUNCTION("""COMPUTED_VALUE"""),"")</f>
        <v/>
      </c>
      <c r="B11292" s="87"/>
      <c r="C11292" s="87"/>
      <c r="D11292" s="87"/>
      <c r="E11292" s="87"/>
      <c r="F11292" s="87"/>
      <c r="G11292" s="87"/>
    </row>
    <row r="11293">
      <c r="A11293" s="86" t="str">
        <f>IFERROR(__xludf.DUMMYFUNCTION("""COMPUTED_VALUE"""),"")</f>
        <v/>
      </c>
      <c r="B11293" s="87"/>
      <c r="C11293" s="87"/>
      <c r="D11293" s="87"/>
      <c r="E11293" s="87"/>
      <c r="F11293" s="87"/>
      <c r="G11293" s="87"/>
    </row>
    <row r="11294">
      <c r="A11294" s="86" t="str">
        <f>IFERROR(__xludf.DUMMYFUNCTION("""COMPUTED_VALUE"""),"")</f>
        <v/>
      </c>
      <c r="B11294" s="87"/>
      <c r="C11294" s="87"/>
      <c r="D11294" s="87"/>
      <c r="E11294" s="87"/>
      <c r="F11294" s="87"/>
      <c r="G11294" s="87"/>
    </row>
    <row r="11295">
      <c r="A11295" s="86" t="str">
        <f>IFERROR(__xludf.DUMMYFUNCTION("""COMPUTED_VALUE"""),"")</f>
        <v/>
      </c>
      <c r="B11295" s="87"/>
      <c r="C11295" s="87"/>
      <c r="D11295" s="87"/>
      <c r="E11295" s="87"/>
      <c r="F11295" s="87"/>
      <c r="G11295" s="87"/>
    </row>
    <row r="11296">
      <c r="A11296" s="86" t="str">
        <f>IFERROR(__xludf.DUMMYFUNCTION("""COMPUTED_VALUE"""),"")</f>
        <v/>
      </c>
      <c r="B11296" s="87"/>
      <c r="C11296" s="87"/>
      <c r="D11296" s="87"/>
      <c r="E11296" s="87"/>
      <c r="F11296" s="87"/>
      <c r="G11296" s="87"/>
    </row>
    <row r="11297">
      <c r="A11297" s="86" t="str">
        <f>IFERROR(__xludf.DUMMYFUNCTION("""COMPUTED_VALUE"""),"")</f>
        <v/>
      </c>
      <c r="B11297" s="87"/>
      <c r="C11297" s="87"/>
      <c r="D11297" s="87"/>
      <c r="E11297" s="87"/>
      <c r="F11297" s="87"/>
      <c r="G11297" s="87"/>
    </row>
    <row r="11298">
      <c r="A11298" s="86" t="str">
        <f>IFERROR(__xludf.DUMMYFUNCTION("""COMPUTED_VALUE"""),"")</f>
        <v/>
      </c>
      <c r="B11298" s="87"/>
      <c r="C11298" s="87"/>
      <c r="D11298" s="87"/>
      <c r="E11298" s="87"/>
      <c r="F11298" s="87"/>
      <c r="G11298" s="87"/>
    </row>
    <row r="11299">
      <c r="A11299" s="86" t="str">
        <f>IFERROR(__xludf.DUMMYFUNCTION("""COMPUTED_VALUE"""),"")</f>
        <v/>
      </c>
      <c r="B11299" s="87"/>
      <c r="C11299" s="87"/>
      <c r="D11299" s="87"/>
      <c r="E11299" s="87"/>
      <c r="F11299" s="87"/>
      <c r="G11299" s="87"/>
    </row>
    <row r="11300">
      <c r="A11300" s="86" t="str">
        <f>IFERROR(__xludf.DUMMYFUNCTION("""COMPUTED_VALUE"""),"")</f>
        <v/>
      </c>
      <c r="B11300" s="87"/>
      <c r="C11300" s="87"/>
      <c r="D11300" s="87"/>
      <c r="E11300" s="87"/>
      <c r="F11300" s="87"/>
      <c r="G11300" s="87"/>
    </row>
    <row r="11301">
      <c r="A11301" s="86" t="str">
        <f>IFERROR(__xludf.DUMMYFUNCTION("""COMPUTED_VALUE"""),"")</f>
        <v/>
      </c>
      <c r="B11301" s="87"/>
      <c r="C11301" s="87"/>
      <c r="D11301" s="87"/>
      <c r="E11301" s="87"/>
      <c r="F11301" s="87"/>
      <c r="G11301" s="87"/>
    </row>
    <row r="11302">
      <c r="A11302" s="86" t="str">
        <f>IFERROR(__xludf.DUMMYFUNCTION("""COMPUTED_VALUE"""),"")</f>
        <v/>
      </c>
      <c r="B11302" s="87"/>
      <c r="C11302" s="87"/>
      <c r="D11302" s="87"/>
      <c r="E11302" s="87"/>
      <c r="F11302" s="87"/>
      <c r="G11302" s="87"/>
    </row>
    <row r="11303">
      <c r="A11303" s="86" t="str">
        <f>IFERROR(__xludf.DUMMYFUNCTION("""COMPUTED_VALUE"""),"")</f>
        <v/>
      </c>
      <c r="B11303" s="87"/>
      <c r="C11303" s="87"/>
      <c r="D11303" s="87"/>
      <c r="E11303" s="87"/>
      <c r="F11303" s="87"/>
      <c r="G11303" s="87"/>
    </row>
    <row r="11304">
      <c r="A11304" s="86" t="str">
        <f>IFERROR(__xludf.DUMMYFUNCTION("""COMPUTED_VALUE"""),"")</f>
        <v/>
      </c>
      <c r="B11304" s="87"/>
      <c r="C11304" s="87"/>
      <c r="D11304" s="87"/>
      <c r="E11304" s="87"/>
      <c r="F11304" s="87"/>
      <c r="G11304" s="87"/>
    </row>
    <row r="11305">
      <c r="A11305" s="86" t="str">
        <f>IFERROR(__xludf.DUMMYFUNCTION("""COMPUTED_VALUE"""),"")</f>
        <v/>
      </c>
      <c r="B11305" s="87"/>
      <c r="C11305" s="87"/>
      <c r="D11305" s="87"/>
      <c r="E11305" s="87"/>
      <c r="F11305" s="87"/>
      <c r="G11305" s="87"/>
    </row>
    <row r="11306">
      <c r="A11306" s="86" t="str">
        <f>IFERROR(__xludf.DUMMYFUNCTION("""COMPUTED_VALUE"""),"")</f>
        <v/>
      </c>
      <c r="B11306" s="87"/>
      <c r="C11306" s="87"/>
      <c r="D11306" s="87"/>
      <c r="E11306" s="87"/>
      <c r="F11306" s="87"/>
      <c r="G11306" s="87"/>
    </row>
    <row r="11307">
      <c r="A11307" s="86" t="str">
        <f>IFERROR(__xludf.DUMMYFUNCTION("""COMPUTED_VALUE"""),"")</f>
        <v/>
      </c>
      <c r="B11307" s="87"/>
      <c r="C11307" s="87"/>
      <c r="D11307" s="87"/>
      <c r="E11307" s="87"/>
      <c r="F11307" s="87"/>
      <c r="G11307" s="87"/>
    </row>
    <row r="11308">
      <c r="A11308" s="86" t="str">
        <f>IFERROR(__xludf.DUMMYFUNCTION("""COMPUTED_VALUE"""),"")</f>
        <v/>
      </c>
      <c r="B11308" s="87"/>
      <c r="C11308" s="87"/>
      <c r="D11308" s="87"/>
      <c r="E11308" s="87"/>
      <c r="F11308" s="87"/>
      <c r="G11308" s="87"/>
    </row>
    <row r="11309">
      <c r="A11309" s="86" t="str">
        <f>IFERROR(__xludf.DUMMYFUNCTION("""COMPUTED_VALUE"""),"")</f>
        <v/>
      </c>
      <c r="B11309" s="87"/>
      <c r="C11309" s="87"/>
      <c r="D11309" s="87"/>
      <c r="E11309" s="87"/>
      <c r="F11309" s="87"/>
      <c r="G11309" s="87"/>
    </row>
    <row r="11310">
      <c r="A11310" s="86" t="str">
        <f>IFERROR(__xludf.DUMMYFUNCTION("""COMPUTED_VALUE"""),"")</f>
        <v/>
      </c>
      <c r="B11310" s="87"/>
      <c r="C11310" s="87"/>
      <c r="D11310" s="87"/>
      <c r="E11310" s="87"/>
      <c r="F11310" s="87"/>
      <c r="G11310" s="87"/>
    </row>
    <row r="11311">
      <c r="A11311" s="86" t="str">
        <f>IFERROR(__xludf.DUMMYFUNCTION("""COMPUTED_VALUE"""),"")</f>
        <v/>
      </c>
      <c r="B11311" s="87"/>
      <c r="C11311" s="87"/>
      <c r="D11311" s="87"/>
      <c r="E11311" s="87"/>
      <c r="F11311" s="87"/>
      <c r="G11311" s="87"/>
    </row>
    <row r="11312">
      <c r="A11312" s="86" t="str">
        <f>IFERROR(__xludf.DUMMYFUNCTION("""COMPUTED_VALUE"""),"")</f>
        <v/>
      </c>
      <c r="B11312" s="87"/>
      <c r="C11312" s="87"/>
      <c r="D11312" s="87"/>
      <c r="E11312" s="87"/>
      <c r="F11312" s="87"/>
      <c r="G11312" s="87"/>
    </row>
    <row r="11313">
      <c r="A11313" s="86" t="str">
        <f>IFERROR(__xludf.DUMMYFUNCTION("""COMPUTED_VALUE"""),"")</f>
        <v/>
      </c>
      <c r="B11313" s="87"/>
      <c r="C11313" s="87"/>
      <c r="D11313" s="87"/>
      <c r="E11313" s="87"/>
      <c r="F11313" s="87"/>
      <c r="G11313" s="87"/>
    </row>
    <row r="11314">
      <c r="A11314" s="86" t="str">
        <f>IFERROR(__xludf.DUMMYFUNCTION("""COMPUTED_VALUE"""),"")</f>
        <v/>
      </c>
      <c r="B11314" s="87"/>
      <c r="C11314" s="87"/>
      <c r="D11314" s="87"/>
      <c r="E11314" s="87"/>
      <c r="F11314" s="87"/>
      <c r="G11314" s="87"/>
    </row>
    <row r="11315">
      <c r="A11315" s="86" t="str">
        <f>IFERROR(__xludf.DUMMYFUNCTION("""COMPUTED_VALUE"""),"")</f>
        <v/>
      </c>
      <c r="B11315" s="87"/>
      <c r="C11315" s="87"/>
      <c r="D11315" s="87"/>
      <c r="E11315" s="87"/>
      <c r="F11315" s="87"/>
      <c r="G11315" s="87"/>
    </row>
    <row r="11316">
      <c r="A11316" s="86" t="str">
        <f>IFERROR(__xludf.DUMMYFUNCTION("""COMPUTED_VALUE"""),"")</f>
        <v/>
      </c>
      <c r="B11316" s="87"/>
      <c r="C11316" s="87"/>
      <c r="D11316" s="87"/>
      <c r="E11316" s="87"/>
      <c r="F11316" s="87"/>
      <c r="G11316" s="87"/>
    </row>
    <row r="11317">
      <c r="A11317" s="86" t="str">
        <f>IFERROR(__xludf.DUMMYFUNCTION("""COMPUTED_VALUE"""),"")</f>
        <v/>
      </c>
      <c r="B11317" s="87"/>
      <c r="C11317" s="87"/>
      <c r="D11317" s="87"/>
      <c r="E11317" s="87"/>
      <c r="F11317" s="87"/>
      <c r="G11317" s="87"/>
    </row>
    <row r="11318">
      <c r="A11318" s="86" t="str">
        <f>IFERROR(__xludf.DUMMYFUNCTION("""COMPUTED_VALUE"""),"")</f>
        <v/>
      </c>
      <c r="B11318" s="87"/>
      <c r="C11318" s="87"/>
      <c r="D11318" s="87"/>
      <c r="E11318" s="87"/>
      <c r="F11318" s="87"/>
      <c r="G11318" s="87"/>
    </row>
    <row r="11319">
      <c r="A11319" s="86" t="str">
        <f>IFERROR(__xludf.DUMMYFUNCTION("""COMPUTED_VALUE"""),"")</f>
        <v/>
      </c>
      <c r="B11319" s="87"/>
      <c r="C11319" s="87"/>
      <c r="D11319" s="87"/>
      <c r="E11319" s="87"/>
      <c r="F11319" s="87"/>
      <c r="G11319" s="87"/>
    </row>
    <row r="11320">
      <c r="A11320" s="86" t="str">
        <f>IFERROR(__xludf.DUMMYFUNCTION("""COMPUTED_VALUE"""),"")</f>
        <v/>
      </c>
      <c r="B11320" s="87"/>
      <c r="C11320" s="87"/>
      <c r="D11320" s="87"/>
      <c r="E11320" s="87"/>
      <c r="F11320" s="87"/>
      <c r="G11320" s="87"/>
    </row>
    <row r="11321">
      <c r="A11321" s="86" t="str">
        <f>IFERROR(__xludf.DUMMYFUNCTION("""COMPUTED_VALUE"""),"")</f>
        <v/>
      </c>
      <c r="B11321" s="87"/>
      <c r="C11321" s="87"/>
      <c r="D11321" s="87"/>
      <c r="E11321" s="87"/>
      <c r="F11321" s="87"/>
      <c r="G11321" s="87"/>
    </row>
    <row r="11322">
      <c r="A11322" s="86" t="str">
        <f>IFERROR(__xludf.DUMMYFUNCTION("""COMPUTED_VALUE"""),"")</f>
        <v/>
      </c>
      <c r="B11322" s="87"/>
      <c r="C11322" s="87"/>
      <c r="D11322" s="87"/>
      <c r="E11322" s="87"/>
      <c r="F11322" s="87"/>
      <c r="G11322" s="87"/>
    </row>
    <row r="11323">
      <c r="A11323" s="86" t="str">
        <f>IFERROR(__xludf.DUMMYFUNCTION("""COMPUTED_VALUE"""),"")</f>
        <v/>
      </c>
      <c r="B11323" s="87"/>
      <c r="C11323" s="87"/>
      <c r="D11323" s="87"/>
      <c r="E11323" s="87"/>
      <c r="F11323" s="87"/>
      <c r="G11323" s="87"/>
    </row>
    <row r="11324">
      <c r="A11324" s="86" t="str">
        <f>IFERROR(__xludf.DUMMYFUNCTION("""COMPUTED_VALUE"""),"")</f>
        <v/>
      </c>
      <c r="B11324" s="87"/>
      <c r="C11324" s="87"/>
      <c r="D11324" s="87"/>
      <c r="E11324" s="87"/>
      <c r="F11324" s="87"/>
      <c r="G11324" s="87"/>
    </row>
    <row r="11325">
      <c r="A11325" s="86" t="str">
        <f>IFERROR(__xludf.DUMMYFUNCTION("""COMPUTED_VALUE"""),"")</f>
        <v/>
      </c>
      <c r="B11325" s="87"/>
      <c r="C11325" s="87"/>
      <c r="D11325" s="87"/>
      <c r="E11325" s="87"/>
      <c r="F11325" s="87"/>
      <c r="G11325" s="87"/>
    </row>
    <row r="11326">
      <c r="A11326" s="86" t="str">
        <f>IFERROR(__xludf.DUMMYFUNCTION("""COMPUTED_VALUE"""),"")</f>
        <v/>
      </c>
      <c r="B11326" s="87"/>
      <c r="C11326" s="87"/>
      <c r="D11326" s="87"/>
      <c r="E11326" s="87"/>
      <c r="F11326" s="87"/>
      <c r="G11326" s="87"/>
    </row>
    <row r="11327">
      <c r="A11327" s="86" t="str">
        <f>IFERROR(__xludf.DUMMYFUNCTION("""COMPUTED_VALUE"""),"")</f>
        <v/>
      </c>
      <c r="B11327" s="87"/>
      <c r="C11327" s="87"/>
      <c r="D11327" s="87"/>
      <c r="E11327" s="87"/>
      <c r="F11327" s="87"/>
      <c r="G11327" s="87"/>
    </row>
    <row r="11328">
      <c r="A11328" s="86" t="str">
        <f>IFERROR(__xludf.DUMMYFUNCTION("""COMPUTED_VALUE"""),"")</f>
        <v/>
      </c>
      <c r="B11328" s="87"/>
      <c r="C11328" s="87"/>
      <c r="D11328" s="87"/>
      <c r="E11328" s="87"/>
      <c r="F11328" s="87"/>
      <c r="G11328" s="87"/>
    </row>
    <row r="11329">
      <c r="A11329" s="86" t="str">
        <f>IFERROR(__xludf.DUMMYFUNCTION("""COMPUTED_VALUE"""),"")</f>
        <v/>
      </c>
      <c r="B11329" s="87"/>
      <c r="C11329" s="87"/>
      <c r="D11329" s="87"/>
      <c r="E11329" s="87"/>
      <c r="F11329" s="87"/>
      <c r="G11329" s="87"/>
    </row>
    <row r="11330">
      <c r="A11330" s="86" t="str">
        <f>IFERROR(__xludf.DUMMYFUNCTION("""COMPUTED_VALUE"""),"")</f>
        <v/>
      </c>
      <c r="B11330" s="87"/>
      <c r="C11330" s="87"/>
      <c r="D11330" s="87"/>
      <c r="E11330" s="87"/>
      <c r="F11330" s="87"/>
      <c r="G11330" s="87"/>
    </row>
    <row r="11331">
      <c r="A11331" s="86" t="str">
        <f>IFERROR(__xludf.DUMMYFUNCTION("""COMPUTED_VALUE"""),"")</f>
        <v/>
      </c>
      <c r="B11331" s="87"/>
      <c r="C11331" s="87"/>
      <c r="D11331" s="87"/>
      <c r="E11331" s="87"/>
      <c r="F11331" s="87"/>
      <c r="G11331" s="87"/>
    </row>
    <row r="11332">
      <c r="A11332" s="86" t="str">
        <f>IFERROR(__xludf.DUMMYFUNCTION("""COMPUTED_VALUE"""),"")</f>
        <v/>
      </c>
      <c r="B11332" s="87"/>
      <c r="C11332" s="87"/>
      <c r="D11332" s="87"/>
      <c r="E11332" s="87"/>
      <c r="F11332" s="87"/>
      <c r="G11332" s="87"/>
    </row>
    <row r="11333">
      <c r="A11333" s="86" t="str">
        <f>IFERROR(__xludf.DUMMYFUNCTION("""COMPUTED_VALUE"""),"")</f>
        <v/>
      </c>
      <c r="B11333" s="87"/>
      <c r="C11333" s="87"/>
      <c r="D11333" s="87"/>
      <c r="E11333" s="87"/>
      <c r="F11333" s="87"/>
      <c r="G11333" s="87"/>
    </row>
    <row r="11334">
      <c r="A11334" s="86" t="str">
        <f>IFERROR(__xludf.DUMMYFUNCTION("""COMPUTED_VALUE"""),"")</f>
        <v/>
      </c>
      <c r="B11334" s="87"/>
      <c r="C11334" s="87"/>
      <c r="D11334" s="87"/>
      <c r="E11334" s="87"/>
      <c r="F11334" s="87"/>
      <c r="G11334" s="87"/>
    </row>
    <row r="11335">
      <c r="A11335" s="86" t="str">
        <f>IFERROR(__xludf.DUMMYFUNCTION("""COMPUTED_VALUE"""),"")</f>
        <v/>
      </c>
      <c r="B11335" s="87"/>
      <c r="C11335" s="87"/>
      <c r="D11335" s="87"/>
      <c r="E11335" s="87"/>
      <c r="F11335" s="87"/>
      <c r="G11335" s="87"/>
    </row>
    <row r="11336">
      <c r="A11336" s="86" t="str">
        <f>IFERROR(__xludf.DUMMYFUNCTION("""COMPUTED_VALUE"""),"")</f>
        <v/>
      </c>
      <c r="B11336" s="87"/>
      <c r="C11336" s="87"/>
      <c r="D11336" s="87"/>
      <c r="E11336" s="87"/>
      <c r="F11336" s="87"/>
      <c r="G11336" s="87"/>
    </row>
    <row r="11337">
      <c r="A11337" s="86" t="str">
        <f>IFERROR(__xludf.DUMMYFUNCTION("""COMPUTED_VALUE"""),"")</f>
        <v/>
      </c>
      <c r="B11337" s="87"/>
      <c r="C11337" s="87"/>
      <c r="D11337" s="87"/>
      <c r="E11337" s="87"/>
      <c r="F11337" s="87"/>
      <c r="G11337" s="87"/>
    </row>
    <row r="11338">
      <c r="A11338" s="86" t="str">
        <f>IFERROR(__xludf.DUMMYFUNCTION("""COMPUTED_VALUE"""),"")</f>
        <v/>
      </c>
      <c r="B11338" s="87"/>
      <c r="C11338" s="87"/>
      <c r="D11338" s="87"/>
      <c r="E11338" s="87"/>
      <c r="F11338" s="87"/>
      <c r="G11338" s="87"/>
    </row>
    <row r="11339">
      <c r="A11339" s="86" t="str">
        <f>IFERROR(__xludf.DUMMYFUNCTION("""COMPUTED_VALUE"""),"")</f>
        <v/>
      </c>
      <c r="B11339" s="87"/>
      <c r="C11339" s="87"/>
      <c r="D11339" s="87"/>
      <c r="E11339" s="87"/>
      <c r="F11339" s="87"/>
      <c r="G11339" s="87"/>
    </row>
    <row r="11340">
      <c r="A11340" s="86" t="str">
        <f>IFERROR(__xludf.DUMMYFUNCTION("""COMPUTED_VALUE"""),"")</f>
        <v/>
      </c>
      <c r="B11340" s="87"/>
      <c r="C11340" s="87"/>
      <c r="D11340" s="87"/>
      <c r="E11340" s="87"/>
      <c r="F11340" s="87"/>
      <c r="G11340" s="87"/>
    </row>
    <row r="11341">
      <c r="A11341" s="86" t="str">
        <f>IFERROR(__xludf.DUMMYFUNCTION("""COMPUTED_VALUE"""),"")</f>
        <v/>
      </c>
      <c r="B11341" s="87"/>
      <c r="C11341" s="87"/>
      <c r="D11341" s="87"/>
      <c r="E11341" s="87"/>
      <c r="F11341" s="87"/>
      <c r="G11341" s="87"/>
    </row>
    <row r="11342">
      <c r="A11342" s="86" t="str">
        <f>IFERROR(__xludf.DUMMYFUNCTION("""COMPUTED_VALUE"""),"")</f>
        <v/>
      </c>
      <c r="B11342" s="87"/>
      <c r="C11342" s="87"/>
      <c r="D11342" s="87"/>
      <c r="E11342" s="87"/>
      <c r="F11342" s="87"/>
      <c r="G11342" s="87"/>
    </row>
    <row r="11343">
      <c r="A11343" s="86" t="str">
        <f>IFERROR(__xludf.DUMMYFUNCTION("""COMPUTED_VALUE"""),"")</f>
        <v/>
      </c>
      <c r="B11343" s="87"/>
      <c r="C11343" s="87"/>
      <c r="D11343" s="87"/>
      <c r="E11343" s="87"/>
      <c r="F11343" s="87"/>
      <c r="G11343" s="87"/>
    </row>
    <row r="11344">
      <c r="A11344" s="86" t="str">
        <f>IFERROR(__xludf.DUMMYFUNCTION("""COMPUTED_VALUE"""),"")</f>
        <v/>
      </c>
      <c r="B11344" s="87"/>
      <c r="C11344" s="87"/>
      <c r="D11344" s="87"/>
      <c r="E11344" s="87"/>
      <c r="F11344" s="87"/>
      <c r="G11344" s="87"/>
    </row>
    <row r="11345">
      <c r="A11345" s="86" t="str">
        <f>IFERROR(__xludf.DUMMYFUNCTION("""COMPUTED_VALUE"""),"")</f>
        <v/>
      </c>
      <c r="B11345" s="87"/>
      <c r="C11345" s="87"/>
      <c r="D11345" s="87"/>
      <c r="E11345" s="87"/>
      <c r="F11345" s="87"/>
      <c r="G11345" s="87"/>
    </row>
    <row r="11346">
      <c r="A11346" s="86" t="str">
        <f>IFERROR(__xludf.DUMMYFUNCTION("""COMPUTED_VALUE"""),"")</f>
        <v/>
      </c>
      <c r="B11346" s="87"/>
      <c r="C11346" s="87"/>
      <c r="D11346" s="87"/>
      <c r="E11346" s="87"/>
      <c r="F11346" s="87"/>
      <c r="G11346" s="87"/>
    </row>
    <row r="11347">
      <c r="A11347" s="86" t="str">
        <f>IFERROR(__xludf.DUMMYFUNCTION("""COMPUTED_VALUE"""),"")</f>
        <v/>
      </c>
      <c r="B11347" s="87"/>
      <c r="C11347" s="87"/>
      <c r="D11347" s="87"/>
      <c r="E11347" s="87"/>
      <c r="F11347" s="87"/>
      <c r="G11347" s="87"/>
    </row>
    <row r="11348">
      <c r="A11348" s="86" t="str">
        <f>IFERROR(__xludf.DUMMYFUNCTION("""COMPUTED_VALUE"""),"")</f>
        <v/>
      </c>
      <c r="B11348" s="87"/>
      <c r="C11348" s="87"/>
      <c r="D11348" s="87"/>
      <c r="E11348" s="87"/>
      <c r="F11348" s="87"/>
      <c r="G11348" s="87"/>
    </row>
    <row r="11349">
      <c r="A11349" s="86" t="str">
        <f>IFERROR(__xludf.DUMMYFUNCTION("""COMPUTED_VALUE"""),"")</f>
        <v/>
      </c>
      <c r="B11349" s="87"/>
      <c r="C11349" s="87"/>
      <c r="D11349" s="87"/>
      <c r="E11349" s="87"/>
      <c r="F11349" s="87"/>
      <c r="G11349" s="87"/>
    </row>
    <row r="11350">
      <c r="A11350" s="86" t="str">
        <f>IFERROR(__xludf.DUMMYFUNCTION("""COMPUTED_VALUE"""),"")</f>
        <v/>
      </c>
      <c r="B11350" s="87"/>
      <c r="C11350" s="87"/>
      <c r="D11350" s="87"/>
      <c r="E11350" s="87"/>
      <c r="F11350" s="87"/>
      <c r="G11350" s="87"/>
    </row>
    <row r="11351">
      <c r="A11351" s="86" t="str">
        <f>IFERROR(__xludf.DUMMYFUNCTION("""COMPUTED_VALUE"""),"")</f>
        <v/>
      </c>
      <c r="B11351" s="87"/>
      <c r="C11351" s="87"/>
      <c r="D11351" s="87"/>
      <c r="E11351" s="87"/>
      <c r="F11351" s="87"/>
      <c r="G11351" s="87"/>
    </row>
    <row r="11352">
      <c r="A11352" s="86" t="str">
        <f>IFERROR(__xludf.DUMMYFUNCTION("""COMPUTED_VALUE"""),"")</f>
        <v/>
      </c>
      <c r="B11352" s="87"/>
      <c r="C11352" s="87"/>
      <c r="D11352" s="87"/>
      <c r="E11352" s="87"/>
      <c r="F11352" s="87"/>
      <c r="G11352" s="87"/>
    </row>
    <row r="11353">
      <c r="A11353" s="86" t="str">
        <f>IFERROR(__xludf.DUMMYFUNCTION("""COMPUTED_VALUE"""),"")</f>
        <v/>
      </c>
      <c r="B11353" s="87"/>
      <c r="C11353" s="87"/>
      <c r="D11353" s="87"/>
      <c r="E11353" s="87"/>
      <c r="F11353" s="87"/>
      <c r="G11353" s="87"/>
    </row>
    <row r="11354">
      <c r="A11354" s="86" t="str">
        <f>IFERROR(__xludf.DUMMYFUNCTION("""COMPUTED_VALUE"""),"")</f>
        <v/>
      </c>
      <c r="B11354" s="87"/>
      <c r="C11354" s="87"/>
      <c r="D11354" s="87"/>
      <c r="E11354" s="87"/>
      <c r="F11354" s="87"/>
      <c r="G11354" s="87"/>
    </row>
    <row r="11355">
      <c r="A11355" s="86" t="str">
        <f>IFERROR(__xludf.DUMMYFUNCTION("""COMPUTED_VALUE"""),"")</f>
        <v/>
      </c>
      <c r="B11355" s="87"/>
      <c r="C11355" s="87"/>
      <c r="D11355" s="87"/>
      <c r="E11355" s="87"/>
      <c r="F11355" s="87"/>
      <c r="G11355" s="87"/>
    </row>
    <row r="11356">
      <c r="A11356" s="86" t="str">
        <f>IFERROR(__xludf.DUMMYFUNCTION("""COMPUTED_VALUE"""),"")</f>
        <v/>
      </c>
      <c r="B11356" s="87"/>
      <c r="C11356" s="87"/>
      <c r="D11356" s="87"/>
      <c r="E11356" s="87"/>
      <c r="F11356" s="87"/>
      <c r="G11356" s="87"/>
    </row>
    <row r="11357">
      <c r="A11357" s="86" t="str">
        <f>IFERROR(__xludf.DUMMYFUNCTION("""COMPUTED_VALUE"""),"")</f>
        <v/>
      </c>
      <c r="B11357" s="87"/>
      <c r="C11357" s="87"/>
      <c r="D11357" s="87"/>
      <c r="E11357" s="87"/>
      <c r="F11357" s="87"/>
      <c r="G11357" s="87"/>
    </row>
    <row r="11358">
      <c r="A11358" s="86" t="str">
        <f>IFERROR(__xludf.DUMMYFUNCTION("""COMPUTED_VALUE"""),"")</f>
        <v/>
      </c>
      <c r="B11358" s="87"/>
      <c r="C11358" s="87"/>
      <c r="D11358" s="87"/>
      <c r="E11358" s="87"/>
      <c r="F11358" s="87"/>
      <c r="G11358" s="87"/>
    </row>
    <row r="11359">
      <c r="A11359" s="86" t="str">
        <f>IFERROR(__xludf.DUMMYFUNCTION("""COMPUTED_VALUE"""),"")</f>
        <v/>
      </c>
      <c r="B11359" s="87"/>
      <c r="C11359" s="87"/>
      <c r="D11359" s="87"/>
      <c r="E11359" s="87"/>
      <c r="F11359" s="87"/>
      <c r="G11359" s="87"/>
    </row>
    <row r="11360">
      <c r="A11360" s="86" t="str">
        <f>IFERROR(__xludf.DUMMYFUNCTION("""COMPUTED_VALUE"""),"")</f>
        <v/>
      </c>
      <c r="B11360" s="87"/>
      <c r="C11360" s="87"/>
      <c r="D11360" s="87"/>
      <c r="E11360" s="87"/>
      <c r="F11360" s="87"/>
      <c r="G11360" s="87"/>
    </row>
    <row r="11361">
      <c r="A11361" s="86" t="str">
        <f>IFERROR(__xludf.DUMMYFUNCTION("""COMPUTED_VALUE"""),"")</f>
        <v/>
      </c>
      <c r="B11361" s="87"/>
      <c r="C11361" s="87"/>
      <c r="D11361" s="87"/>
      <c r="E11361" s="87"/>
      <c r="F11361" s="87"/>
      <c r="G11361" s="87"/>
    </row>
    <row r="11362">
      <c r="A11362" s="86" t="str">
        <f>IFERROR(__xludf.DUMMYFUNCTION("""COMPUTED_VALUE"""),"")</f>
        <v/>
      </c>
      <c r="B11362" s="87"/>
      <c r="C11362" s="87"/>
      <c r="D11362" s="87"/>
      <c r="E11362" s="87"/>
      <c r="F11362" s="87"/>
      <c r="G11362" s="87"/>
    </row>
    <row r="11363">
      <c r="A11363" s="86" t="str">
        <f>IFERROR(__xludf.DUMMYFUNCTION("""COMPUTED_VALUE"""),"")</f>
        <v/>
      </c>
      <c r="B11363" s="87"/>
      <c r="C11363" s="87"/>
      <c r="D11363" s="87"/>
      <c r="E11363" s="87"/>
      <c r="F11363" s="87"/>
      <c r="G11363" s="87"/>
    </row>
    <row r="11364">
      <c r="A11364" s="86" t="str">
        <f>IFERROR(__xludf.DUMMYFUNCTION("""COMPUTED_VALUE"""),"")</f>
        <v/>
      </c>
      <c r="B11364" s="87"/>
      <c r="C11364" s="87"/>
      <c r="D11364" s="87"/>
      <c r="E11364" s="87"/>
      <c r="F11364" s="87"/>
      <c r="G11364" s="87"/>
    </row>
    <row r="11365">
      <c r="A11365" s="86" t="str">
        <f>IFERROR(__xludf.DUMMYFUNCTION("""COMPUTED_VALUE"""),"")</f>
        <v/>
      </c>
      <c r="B11365" s="87"/>
      <c r="C11365" s="87"/>
      <c r="D11365" s="87"/>
      <c r="E11365" s="87"/>
      <c r="F11365" s="87"/>
      <c r="G11365" s="87"/>
    </row>
    <row r="11366">
      <c r="A11366" s="86" t="str">
        <f>IFERROR(__xludf.DUMMYFUNCTION("""COMPUTED_VALUE"""),"")</f>
        <v/>
      </c>
      <c r="B11366" s="87"/>
      <c r="C11366" s="87"/>
      <c r="D11366" s="87"/>
      <c r="E11366" s="87"/>
      <c r="F11366" s="87"/>
      <c r="G11366" s="87"/>
    </row>
    <row r="11367">
      <c r="A11367" s="86" t="str">
        <f>IFERROR(__xludf.DUMMYFUNCTION("""COMPUTED_VALUE"""),"")</f>
        <v/>
      </c>
      <c r="B11367" s="87"/>
      <c r="C11367" s="87"/>
      <c r="D11367" s="87"/>
      <c r="E11367" s="87"/>
      <c r="F11367" s="87"/>
      <c r="G11367" s="87"/>
    </row>
    <row r="11368">
      <c r="A11368" s="86" t="str">
        <f>IFERROR(__xludf.DUMMYFUNCTION("""COMPUTED_VALUE"""),"")</f>
        <v/>
      </c>
      <c r="B11368" s="87"/>
      <c r="C11368" s="87"/>
      <c r="D11368" s="87"/>
      <c r="E11368" s="87"/>
      <c r="F11368" s="87"/>
      <c r="G11368" s="87"/>
    </row>
    <row r="11369">
      <c r="A11369" s="86" t="str">
        <f>IFERROR(__xludf.DUMMYFUNCTION("""COMPUTED_VALUE"""),"")</f>
        <v/>
      </c>
      <c r="B11369" s="87"/>
      <c r="C11369" s="87"/>
      <c r="D11369" s="87"/>
      <c r="E11369" s="87"/>
      <c r="F11369" s="87"/>
      <c r="G11369" s="87"/>
    </row>
    <row r="11370">
      <c r="A11370" s="86" t="str">
        <f>IFERROR(__xludf.DUMMYFUNCTION("""COMPUTED_VALUE"""),"")</f>
        <v/>
      </c>
      <c r="B11370" s="87"/>
      <c r="C11370" s="87"/>
      <c r="D11370" s="87"/>
      <c r="E11370" s="87"/>
      <c r="F11370" s="87"/>
      <c r="G11370" s="87"/>
    </row>
    <row r="11371">
      <c r="A11371" s="86" t="str">
        <f>IFERROR(__xludf.DUMMYFUNCTION("""COMPUTED_VALUE"""),"")</f>
        <v/>
      </c>
      <c r="B11371" s="87"/>
      <c r="C11371" s="87"/>
      <c r="D11371" s="87"/>
      <c r="E11371" s="87"/>
      <c r="F11371" s="87"/>
      <c r="G11371" s="87"/>
    </row>
    <row r="11372">
      <c r="A11372" s="86" t="str">
        <f>IFERROR(__xludf.DUMMYFUNCTION("""COMPUTED_VALUE"""),"")</f>
        <v/>
      </c>
      <c r="B11372" s="87"/>
      <c r="C11372" s="87"/>
      <c r="D11372" s="87"/>
      <c r="E11372" s="87"/>
      <c r="F11372" s="87"/>
      <c r="G11372" s="87"/>
    </row>
    <row r="11373">
      <c r="A11373" s="86" t="str">
        <f>IFERROR(__xludf.DUMMYFUNCTION("""COMPUTED_VALUE"""),"")</f>
        <v/>
      </c>
      <c r="B11373" s="87"/>
      <c r="C11373" s="87"/>
      <c r="D11373" s="87"/>
      <c r="E11373" s="87"/>
      <c r="F11373" s="87"/>
      <c r="G11373" s="87"/>
    </row>
    <row r="11374">
      <c r="A11374" s="86" t="str">
        <f>IFERROR(__xludf.DUMMYFUNCTION("""COMPUTED_VALUE"""),"")</f>
        <v/>
      </c>
      <c r="B11374" s="87"/>
      <c r="C11374" s="87"/>
      <c r="D11374" s="87"/>
      <c r="E11374" s="87"/>
      <c r="F11374" s="87"/>
      <c r="G11374" s="87"/>
    </row>
    <row r="11375">
      <c r="A11375" s="86" t="str">
        <f>IFERROR(__xludf.DUMMYFUNCTION("""COMPUTED_VALUE"""),"")</f>
        <v/>
      </c>
      <c r="B11375" s="87"/>
      <c r="C11375" s="87"/>
      <c r="D11375" s="87"/>
      <c r="E11375" s="87"/>
      <c r="F11375" s="87"/>
      <c r="G11375" s="87"/>
    </row>
    <row r="11376">
      <c r="A11376" s="86" t="str">
        <f>IFERROR(__xludf.DUMMYFUNCTION("""COMPUTED_VALUE"""),"")</f>
        <v/>
      </c>
      <c r="B11376" s="87"/>
      <c r="C11376" s="87"/>
      <c r="D11376" s="87"/>
      <c r="E11376" s="87"/>
      <c r="F11376" s="87"/>
      <c r="G11376" s="87"/>
    </row>
    <row r="11377">
      <c r="A11377" s="86" t="str">
        <f>IFERROR(__xludf.DUMMYFUNCTION("""COMPUTED_VALUE"""),"")</f>
        <v/>
      </c>
      <c r="B11377" s="87"/>
      <c r="C11377" s="87"/>
      <c r="D11377" s="87"/>
      <c r="E11377" s="87"/>
      <c r="F11377" s="87"/>
      <c r="G11377" s="87"/>
    </row>
    <row r="11378">
      <c r="A11378" s="86" t="str">
        <f>IFERROR(__xludf.DUMMYFUNCTION("""COMPUTED_VALUE"""),"")</f>
        <v/>
      </c>
      <c r="B11378" s="87"/>
      <c r="C11378" s="87"/>
      <c r="D11378" s="87"/>
      <c r="E11378" s="87"/>
      <c r="F11378" s="87"/>
      <c r="G11378" s="87"/>
    </row>
    <row r="11379">
      <c r="A11379" s="86" t="str">
        <f>IFERROR(__xludf.DUMMYFUNCTION("""COMPUTED_VALUE"""),"")</f>
        <v/>
      </c>
      <c r="B11379" s="87"/>
      <c r="C11379" s="87"/>
      <c r="D11379" s="87"/>
      <c r="E11379" s="87"/>
      <c r="F11379" s="87"/>
      <c r="G11379" s="87"/>
    </row>
    <row r="11380">
      <c r="A11380" s="86" t="str">
        <f>IFERROR(__xludf.DUMMYFUNCTION("""COMPUTED_VALUE"""),"")</f>
        <v/>
      </c>
      <c r="B11380" s="87"/>
      <c r="C11380" s="87"/>
      <c r="D11380" s="87"/>
      <c r="E11380" s="87"/>
      <c r="F11380" s="87"/>
      <c r="G11380" s="87"/>
    </row>
    <row r="11381">
      <c r="A11381" s="86" t="str">
        <f>IFERROR(__xludf.DUMMYFUNCTION("""COMPUTED_VALUE"""),"")</f>
        <v/>
      </c>
      <c r="B11381" s="87"/>
      <c r="C11381" s="87"/>
      <c r="D11381" s="87"/>
      <c r="E11381" s="87"/>
      <c r="F11381" s="87"/>
      <c r="G11381" s="87"/>
    </row>
    <row r="11382">
      <c r="A11382" s="86" t="str">
        <f>IFERROR(__xludf.DUMMYFUNCTION("""COMPUTED_VALUE"""),"")</f>
        <v/>
      </c>
      <c r="B11382" s="87"/>
      <c r="C11382" s="87"/>
      <c r="D11382" s="87"/>
      <c r="E11382" s="87"/>
      <c r="F11382" s="87"/>
      <c r="G11382" s="87"/>
    </row>
    <row r="11383">
      <c r="A11383" s="86" t="str">
        <f>IFERROR(__xludf.DUMMYFUNCTION("""COMPUTED_VALUE"""),"")</f>
        <v/>
      </c>
      <c r="B11383" s="87"/>
      <c r="C11383" s="87"/>
      <c r="D11383" s="87"/>
      <c r="E11383" s="87"/>
      <c r="F11383" s="87"/>
      <c r="G11383" s="87"/>
    </row>
    <row r="11384">
      <c r="A11384" s="86" t="str">
        <f>IFERROR(__xludf.DUMMYFUNCTION("""COMPUTED_VALUE"""),"")</f>
        <v/>
      </c>
      <c r="B11384" s="87"/>
      <c r="C11384" s="87"/>
      <c r="D11384" s="87"/>
      <c r="E11384" s="87"/>
      <c r="F11384" s="87"/>
      <c r="G11384" s="87"/>
    </row>
    <row r="11385">
      <c r="A11385" s="86" t="str">
        <f>IFERROR(__xludf.DUMMYFUNCTION("""COMPUTED_VALUE"""),"")</f>
        <v/>
      </c>
      <c r="B11385" s="87"/>
      <c r="C11385" s="87"/>
      <c r="D11385" s="87"/>
      <c r="E11385" s="87"/>
      <c r="F11385" s="87"/>
      <c r="G11385" s="87"/>
    </row>
    <row r="11386">
      <c r="A11386" s="86" t="str">
        <f>IFERROR(__xludf.DUMMYFUNCTION("""COMPUTED_VALUE"""),"")</f>
        <v/>
      </c>
      <c r="B11386" s="87"/>
      <c r="C11386" s="87"/>
      <c r="D11386" s="87"/>
      <c r="E11386" s="87"/>
      <c r="F11386" s="87"/>
      <c r="G11386" s="87"/>
    </row>
    <row r="11387">
      <c r="A11387" s="86" t="str">
        <f>IFERROR(__xludf.DUMMYFUNCTION("""COMPUTED_VALUE"""),"")</f>
        <v/>
      </c>
      <c r="B11387" s="87"/>
      <c r="C11387" s="87"/>
      <c r="D11387" s="87"/>
      <c r="E11387" s="87"/>
      <c r="F11387" s="87"/>
      <c r="G11387" s="87"/>
    </row>
    <row r="11388">
      <c r="A11388" s="86" t="str">
        <f>IFERROR(__xludf.DUMMYFUNCTION("""COMPUTED_VALUE"""),"")</f>
        <v/>
      </c>
      <c r="B11388" s="87"/>
      <c r="C11388" s="87"/>
      <c r="D11388" s="87"/>
      <c r="E11388" s="87"/>
      <c r="F11388" s="87"/>
      <c r="G11388" s="87"/>
    </row>
    <row r="11389">
      <c r="A11389" s="86" t="str">
        <f>IFERROR(__xludf.DUMMYFUNCTION("""COMPUTED_VALUE"""),"")</f>
        <v/>
      </c>
      <c r="B11389" s="87"/>
      <c r="C11389" s="87"/>
      <c r="D11389" s="87"/>
      <c r="E11389" s="87"/>
      <c r="F11389" s="87"/>
      <c r="G11389" s="87"/>
    </row>
    <row r="11390">
      <c r="A11390" s="86" t="str">
        <f>IFERROR(__xludf.DUMMYFUNCTION("""COMPUTED_VALUE"""),"")</f>
        <v/>
      </c>
      <c r="B11390" s="87"/>
      <c r="C11390" s="87"/>
      <c r="D11390" s="87"/>
      <c r="E11390" s="87"/>
      <c r="F11390" s="87"/>
      <c r="G11390" s="87"/>
    </row>
    <row r="11391">
      <c r="A11391" s="86" t="str">
        <f>IFERROR(__xludf.DUMMYFUNCTION("""COMPUTED_VALUE"""),"")</f>
        <v/>
      </c>
      <c r="B11391" s="87"/>
      <c r="C11391" s="87"/>
      <c r="D11391" s="87"/>
      <c r="E11391" s="87"/>
      <c r="F11391" s="87"/>
      <c r="G11391" s="87"/>
    </row>
    <row r="11392">
      <c r="A11392" s="86" t="str">
        <f>IFERROR(__xludf.DUMMYFUNCTION("""COMPUTED_VALUE"""),"")</f>
        <v/>
      </c>
      <c r="B11392" s="87"/>
      <c r="C11392" s="87"/>
      <c r="D11392" s="87"/>
      <c r="E11392" s="87"/>
      <c r="F11392" s="87"/>
      <c r="G11392" s="87"/>
    </row>
    <row r="11393">
      <c r="A11393" s="86" t="str">
        <f>IFERROR(__xludf.DUMMYFUNCTION("""COMPUTED_VALUE"""),"")</f>
        <v/>
      </c>
      <c r="B11393" s="87"/>
      <c r="C11393" s="87"/>
      <c r="D11393" s="87"/>
      <c r="E11393" s="87"/>
      <c r="F11393" s="87"/>
      <c r="G11393" s="87"/>
    </row>
    <row r="11394">
      <c r="A11394" s="86" t="str">
        <f>IFERROR(__xludf.DUMMYFUNCTION("""COMPUTED_VALUE"""),"")</f>
        <v/>
      </c>
      <c r="B11394" s="87"/>
      <c r="C11394" s="87"/>
      <c r="D11394" s="87"/>
      <c r="E11394" s="87"/>
      <c r="F11394" s="87"/>
      <c r="G11394" s="87"/>
    </row>
    <row r="11395">
      <c r="A11395" s="86" t="str">
        <f>IFERROR(__xludf.DUMMYFUNCTION("""COMPUTED_VALUE"""),"")</f>
        <v/>
      </c>
      <c r="B11395" s="87"/>
      <c r="C11395" s="87"/>
      <c r="D11395" s="87"/>
      <c r="E11395" s="87"/>
      <c r="F11395" s="87"/>
      <c r="G11395" s="87"/>
    </row>
    <row r="11396">
      <c r="A11396" s="86" t="str">
        <f>IFERROR(__xludf.DUMMYFUNCTION("""COMPUTED_VALUE"""),"")</f>
        <v/>
      </c>
      <c r="B11396" s="87"/>
      <c r="C11396" s="87"/>
      <c r="D11396" s="87"/>
      <c r="E11396" s="87"/>
      <c r="F11396" s="87"/>
      <c r="G11396" s="87"/>
    </row>
    <row r="11397">
      <c r="A11397" s="86" t="str">
        <f>IFERROR(__xludf.DUMMYFUNCTION("""COMPUTED_VALUE"""),"")</f>
        <v/>
      </c>
      <c r="B11397" s="87"/>
      <c r="C11397" s="87"/>
      <c r="D11397" s="87"/>
      <c r="E11397" s="87"/>
      <c r="F11397" s="87"/>
      <c r="G11397" s="87"/>
    </row>
    <row r="11398">
      <c r="A11398" s="86" t="str">
        <f>IFERROR(__xludf.DUMMYFUNCTION("""COMPUTED_VALUE"""),"")</f>
        <v/>
      </c>
      <c r="B11398" s="87"/>
      <c r="C11398" s="87"/>
      <c r="D11398" s="87"/>
      <c r="E11398" s="87"/>
      <c r="F11398" s="87"/>
      <c r="G11398" s="87"/>
    </row>
    <row r="11399">
      <c r="A11399" s="86" t="str">
        <f>IFERROR(__xludf.DUMMYFUNCTION("""COMPUTED_VALUE"""),"")</f>
        <v/>
      </c>
      <c r="B11399" s="87"/>
      <c r="C11399" s="87"/>
      <c r="D11399" s="87"/>
      <c r="E11399" s="87"/>
      <c r="F11399" s="87"/>
      <c r="G11399" s="87"/>
    </row>
    <row r="11400">
      <c r="A11400" s="86" t="str">
        <f>IFERROR(__xludf.DUMMYFUNCTION("""COMPUTED_VALUE"""),"")</f>
        <v/>
      </c>
      <c r="B11400" s="87"/>
      <c r="C11400" s="87"/>
      <c r="D11400" s="87"/>
      <c r="E11400" s="87"/>
      <c r="F11400" s="87"/>
      <c r="G11400" s="87"/>
    </row>
    <row r="11401">
      <c r="A11401" s="86" t="str">
        <f>IFERROR(__xludf.DUMMYFUNCTION("""COMPUTED_VALUE"""),"")</f>
        <v/>
      </c>
      <c r="B11401" s="87"/>
      <c r="C11401" s="87"/>
      <c r="D11401" s="87"/>
      <c r="E11401" s="87"/>
      <c r="F11401" s="87"/>
      <c r="G11401" s="87"/>
    </row>
    <row r="11402">
      <c r="A11402" s="86" t="str">
        <f>IFERROR(__xludf.DUMMYFUNCTION("""COMPUTED_VALUE"""),"")</f>
        <v/>
      </c>
      <c r="B11402" s="87"/>
      <c r="C11402" s="87"/>
      <c r="D11402" s="87"/>
      <c r="E11402" s="87"/>
      <c r="F11402" s="87"/>
      <c r="G11402" s="87"/>
    </row>
    <row r="11403">
      <c r="A11403" s="86" t="str">
        <f>IFERROR(__xludf.DUMMYFUNCTION("""COMPUTED_VALUE"""),"")</f>
        <v/>
      </c>
      <c r="B11403" s="87"/>
      <c r="C11403" s="87"/>
      <c r="D11403" s="87"/>
      <c r="E11403" s="87"/>
      <c r="F11403" s="87"/>
      <c r="G11403" s="87"/>
    </row>
    <row r="11404">
      <c r="A11404" s="86" t="str">
        <f>IFERROR(__xludf.DUMMYFUNCTION("""COMPUTED_VALUE"""),"")</f>
        <v/>
      </c>
      <c r="B11404" s="87"/>
      <c r="C11404" s="87"/>
      <c r="D11404" s="87"/>
      <c r="E11404" s="87"/>
      <c r="F11404" s="87"/>
      <c r="G11404" s="87"/>
    </row>
    <row r="11405">
      <c r="A11405" s="86" t="str">
        <f>IFERROR(__xludf.DUMMYFUNCTION("""COMPUTED_VALUE"""),"")</f>
        <v/>
      </c>
      <c r="B11405" s="87"/>
      <c r="C11405" s="87"/>
      <c r="D11405" s="87"/>
      <c r="E11405" s="87"/>
      <c r="F11405" s="87"/>
      <c r="G11405" s="87"/>
    </row>
    <row r="11406">
      <c r="A11406" s="86" t="str">
        <f>IFERROR(__xludf.DUMMYFUNCTION("""COMPUTED_VALUE"""),"")</f>
        <v/>
      </c>
      <c r="B11406" s="87"/>
      <c r="C11406" s="87"/>
      <c r="D11406" s="87"/>
      <c r="E11406" s="87"/>
      <c r="F11406" s="87"/>
      <c r="G11406" s="87"/>
    </row>
    <row r="11407">
      <c r="A11407" s="86" t="str">
        <f>IFERROR(__xludf.DUMMYFUNCTION("""COMPUTED_VALUE"""),"")</f>
        <v/>
      </c>
      <c r="B11407" s="87"/>
      <c r="C11407" s="87"/>
      <c r="D11407" s="87"/>
      <c r="E11407" s="87"/>
      <c r="F11407" s="87"/>
      <c r="G11407" s="87"/>
    </row>
    <row r="11408">
      <c r="A11408" s="86" t="str">
        <f>IFERROR(__xludf.DUMMYFUNCTION("""COMPUTED_VALUE"""),"")</f>
        <v/>
      </c>
      <c r="B11408" s="87"/>
      <c r="C11408" s="87"/>
      <c r="D11408" s="87"/>
      <c r="E11408" s="87"/>
      <c r="F11408" s="87"/>
      <c r="G11408" s="87"/>
    </row>
    <row r="11409">
      <c r="A11409" s="86" t="str">
        <f>IFERROR(__xludf.DUMMYFUNCTION("""COMPUTED_VALUE"""),"")</f>
        <v/>
      </c>
      <c r="B11409" s="87"/>
      <c r="C11409" s="87"/>
      <c r="D11409" s="87"/>
      <c r="E11409" s="87"/>
      <c r="F11409" s="87"/>
      <c r="G11409" s="87"/>
    </row>
    <row r="11410">
      <c r="A11410" s="86" t="str">
        <f>IFERROR(__xludf.DUMMYFUNCTION("""COMPUTED_VALUE"""),"")</f>
        <v/>
      </c>
      <c r="B11410" s="87"/>
      <c r="C11410" s="87"/>
      <c r="D11410" s="87"/>
      <c r="E11410" s="87"/>
      <c r="F11410" s="87"/>
      <c r="G11410" s="87"/>
    </row>
    <row r="11411">
      <c r="A11411" s="86" t="str">
        <f>IFERROR(__xludf.DUMMYFUNCTION("""COMPUTED_VALUE"""),"")</f>
        <v/>
      </c>
      <c r="B11411" s="87"/>
      <c r="C11411" s="87"/>
      <c r="D11411" s="87"/>
      <c r="E11411" s="87"/>
      <c r="F11411" s="87"/>
      <c r="G11411" s="87"/>
    </row>
    <row r="11412">
      <c r="A11412" s="86" t="str">
        <f>IFERROR(__xludf.DUMMYFUNCTION("""COMPUTED_VALUE"""),"")</f>
        <v/>
      </c>
      <c r="B11412" s="87"/>
      <c r="C11412" s="87"/>
      <c r="D11412" s="87"/>
      <c r="E11412" s="87"/>
      <c r="F11412" s="87"/>
      <c r="G11412" s="87"/>
    </row>
    <row r="11413">
      <c r="A11413" s="86" t="str">
        <f>IFERROR(__xludf.DUMMYFUNCTION("""COMPUTED_VALUE"""),"")</f>
        <v/>
      </c>
      <c r="B11413" s="87"/>
      <c r="C11413" s="87"/>
      <c r="D11413" s="87"/>
      <c r="E11413" s="87"/>
      <c r="F11413" s="87"/>
      <c r="G11413" s="87"/>
    </row>
    <row r="11414">
      <c r="A11414" s="86" t="str">
        <f>IFERROR(__xludf.DUMMYFUNCTION("""COMPUTED_VALUE"""),"")</f>
        <v/>
      </c>
      <c r="B11414" s="87"/>
      <c r="C11414" s="87"/>
      <c r="D11414" s="87"/>
      <c r="E11414" s="87"/>
      <c r="F11414" s="87"/>
      <c r="G11414" s="87"/>
    </row>
    <row r="11415">
      <c r="A11415" s="86" t="str">
        <f>IFERROR(__xludf.DUMMYFUNCTION("""COMPUTED_VALUE"""),"")</f>
        <v/>
      </c>
      <c r="B11415" s="87"/>
      <c r="C11415" s="87"/>
      <c r="D11415" s="87"/>
      <c r="E11415" s="87"/>
      <c r="F11415" s="87"/>
      <c r="G11415" s="87"/>
    </row>
    <row r="11416">
      <c r="A11416" s="86" t="str">
        <f>IFERROR(__xludf.DUMMYFUNCTION("""COMPUTED_VALUE"""),"")</f>
        <v/>
      </c>
      <c r="B11416" s="87"/>
      <c r="C11416" s="87"/>
      <c r="D11416" s="87"/>
      <c r="E11416" s="87"/>
      <c r="F11416" s="87"/>
      <c r="G11416" s="87"/>
    </row>
    <row r="11417">
      <c r="A11417" s="86" t="str">
        <f>IFERROR(__xludf.DUMMYFUNCTION("""COMPUTED_VALUE"""),"")</f>
        <v/>
      </c>
      <c r="B11417" s="87"/>
      <c r="C11417" s="87"/>
      <c r="D11417" s="87"/>
      <c r="E11417" s="87"/>
      <c r="F11417" s="87"/>
      <c r="G11417" s="87"/>
    </row>
    <row r="11418">
      <c r="A11418" s="86" t="str">
        <f>IFERROR(__xludf.DUMMYFUNCTION("""COMPUTED_VALUE"""),"")</f>
        <v/>
      </c>
      <c r="B11418" s="87"/>
      <c r="C11418" s="87"/>
      <c r="D11418" s="87"/>
      <c r="E11418" s="87"/>
      <c r="F11418" s="87"/>
      <c r="G11418" s="87"/>
    </row>
    <row r="11419">
      <c r="A11419" s="86" t="str">
        <f>IFERROR(__xludf.DUMMYFUNCTION("""COMPUTED_VALUE"""),"")</f>
        <v/>
      </c>
      <c r="B11419" s="87"/>
      <c r="C11419" s="87"/>
      <c r="D11419" s="87"/>
      <c r="E11419" s="87"/>
      <c r="F11419" s="87"/>
      <c r="G11419" s="87"/>
    </row>
    <row r="11420">
      <c r="A11420" s="86" t="str">
        <f>IFERROR(__xludf.DUMMYFUNCTION("""COMPUTED_VALUE"""),"")</f>
        <v/>
      </c>
      <c r="B11420" s="87"/>
      <c r="C11420" s="87"/>
      <c r="D11420" s="87"/>
      <c r="E11420" s="87"/>
      <c r="F11420" s="87"/>
      <c r="G11420" s="87"/>
    </row>
    <row r="11421">
      <c r="A11421" s="86" t="str">
        <f>IFERROR(__xludf.DUMMYFUNCTION("""COMPUTED_VALUE"""),"")</f>
        <v/>
      </c>
      <c r="B11421" s="87"/>
      <c r="C11421" s="87"/>
      <c r="D11421" s="87"/>
      <c r="E11421" s="87"/>
      <c r="F11421" s="87"/>
      <c r="G11421" s="87"/>
    </row>
    <row r="11422">
      <c r="A11422" s="86" t="str">
        <f>IFERROR(__xludf.DUMMYFUNCTION("""COMPUTED_VALUE"""),"")</f>
        <v/>
      </c>
      <c r="B11422" s="87"/>
      <c r="C11422" s="87"/>
      <c r="D11422" s="87"/>
      <c r="E11422" s="87"/>
      <c r="F11422" s="87"/>
      <c r="G11422" s="87"/>
    </row>
    <row r="11423">
      <c r="A11423" s="86" t="str">
        <f>IFERROR(__xludf.DUMMYFUNCTION("""COMPUTED_VALUE"""),"")</f>
        <v/>
      </c>
      <c r="B11423" s="87"/>
      <c r="C11423" s="87"/>
      <c r="D11423" s="87"/>
      <c r="E11423" s="87"/>
      <c r="F11423" s="87"/>
      <c r="G11423" s="87"/>
    </row>
    <row r="11424">
      <c r="A11424" s="86" t="str">
        <f>IFERROR(__xludf.DUMMYFUNCTION("""COMPUTED_VALUE"""),"")</f>
        <v/>
      </c>
      <c r="B11424" s="87"/>
      <c r="C11424" s="87"/>
      <c r="D11424" s="87"/>
      <c r="E11424" s="87"/>
      <c r="F11424" s="87"/>
      <c r="G11424" s="87"/>
    </row>
    <row r="11425">
      <c r="A11425" s="86" t="str">
        <f>IFERROR(__xludf.DUMMYFUNCTION("""COMPUTED_VALUE"""),"")</f>
        <v/>
      </c>
      <c r="B11425" s="87"/>
      <c r="C11425" s="87"/>
      <c r="D11425" s="87"/>
      <c r="E11425" s="87"/>
      <c r="F11425" s="87"/>
      <c r="G11425" s="87"/>
    </row>
    <row r="11426">
      <c r="A11426" s="86" t="str">
        <f>IFERROR(__xludf.DUMMYFUNCTION("""COMPUTED_VALUE"""),"")</f>
        <v/>
      </c>
      <c r="B11426" s="87"/>
      <c r="C11426" s="87"/>
      <c r="D11426" s="87"/>
      <c r="E11426" s="87"/>
      <c r="F11426" s="87"/>
      <c r="G11426" s="87"/>
    </row>
    <row r="11427">
      <c r="A11427" s="86" t="str">
        <f>IFERROR(__xludf.DUMMYFUNCTION("""COMPUTED_VALUE"""),"")</f>
        <v/>
      </c>
      <c r="B11427" s="87"/>
      <c r="C11427" s="87"/>
      <c r="D11427" s="87"/>
      <c r="E11427" s="87"/>
      <c r="F11427" s="87"/>
      <c r="G11427" s="87"/>
    </row>
    <row r="11428">
      <c r="A11428" s="86" t="str">
        <f>IFERROR(__xludf.DUMMYFUNCTION("""COMPUTED_VALUE"""),"")</f>
        <v/>
      </c>
      <c r="B11428" s="87"/>
      <c r="C11428" s="87"/>
      <c r="D11428" s="87"/>
      <c r="E11428" s="87"/>
      <c r="F11428" s="87"/>
      <c r="G11428" s="87"/>
    </row>
    <row r="11429">
      <c r="A11429" s="86" t="str">
        <f>IFERROR(__xludf.DUMMYFUNCTION("""COMPUTED_VALUE"""),"")</f>
        <v/>
      </c>
      <c r="B11429" s="87"/>
      <c r="C11429" s="87"/>
      <c r="D11429" s="87"/>
      <c r="E11429" s="87"/>
      <c r="F11429" s="87"/>
      <c r="G11429" s="87"/>
    </row>
    <row r="11430">
      <c r="A11430" s="86" t="str">
        <f>IFERROR(__xludf.DUMMYFUNCTION("""COMPUTED_VALUE"""),"")</f>
        <v/>
      </c>
      <c r="B11430" s="87"/>
      <c r="C11430" s="87"/>
      <c r="D11430" s="87"/>
      <c r="E11430" s="87"/>
      <c r="F11430" s="87"/>
      <c r="G11430" s="87"/>
    </row>
    <row r="11431">
      <c r="A11431" s="86" t="str">
        <f>IFERROR(__xludf.DUMMYFUNCTION("""COMPUTED_VALUE"""),"")</f>
        <v/>
      </c>
      <c r="B11431" s="87"/>
      <c r="C11431" s="87"/>
      <c r="D11431" s="87"/>
      <c r="E11431" s="87"/>
      <c r="F11431" s="87"/>
      <c r="G11431" s="87"/>
    </row>
    <row r="11432">
      <c r="A11432" s="86" t="str">
        <f>IFERROR(__xludf.DUMMYFUNCTION("""COMPUTED_VALUE"""),"")</f>
        <v/>
      </c>
      <c r="B11432" s="87"/>
      <c r="C11432" s="87"/>
      <c r="D11432" s="87"/>
      <c r="E11432" s="87"/>
      <c r="F11432" s="87"/>
      <c r="G11432" s="87"/>
    </row>
    <row r="11433">
      <c r="A11433" s="86" t="str">
        <f>IFERROR(__xludf.DUMMYFUNCTION("""COMPUTED_VALUE"""),"")</f>
        <v/>
      </c>
      <c r="B11433" s="87"/>
      <c r="C11433" s="87"/>
      <c r="D11433" s="87"/>
      <c r="E11433" s="87"/>
      <c r="F11433" s="87"/>
      <c r="G11433" s="87"/>
    </row>
    <row r="11434">
      <c r="A11434" s="86" t="str">
        <f>IFERROR(__xludf.DUMMYFUNCTION("""COMPUTED_VALUE"""),"")</f>
        <v/>
      </c>
      <c r="B11434" s="87"/>
      <c r="C11434" s="87"/>
      <c r="D11434" s="87"/>
      <c r="E11434" s="87"/>
      <c r="F11434" s="87"/>
      <c r="G11434" s="87"/>
    </row>
    <row r="11435">
      <c r="A11435" s="86" t="str">
        <f>IFERROR(__xludf.DUMMYFUNCTION("""COMPUTED_VALUE"""),"")</f>
        <v/>
      </c>
      <c r="B11435" s="87"/>
      <c r="C11435" s="87"/>
      <c r="D11435" s="87"/>
      <c r="E11435" s="87"/>
      <c r="F11435" s="87"/>
      <c r="G11435" s="87"/>
    </row>
    <row r="11436">
      <c r="A11436" s="86" t="str">
        <f>IFERROR(__xludf.DUMMYFUNCTION("""COMPUTED_VALUE"""),"")</f>
        <v/>
      </c>
      <c r="B11436" s="87"/>
      <c r="C11436" s="87"/>
      <c r="D11436" s="87"/>
      <c r="E11436" s="87"/>
      <c r="F11436" s="87"/>
      <c r="G11436" s="87"/>
    </row>
    <row r="11437">
      <c r="A11437" s="86" t="str">
        <f>IFERROR(__xludf.DUMMYFUNCTION("""COMPUTED_VALUE"""),"")</f>
        <v/>
      </c>
      <c r="B11437" s="87"/>
      <c r="C11437" s="87"/>
      <c r="D11437" s="87"/>
      <c r="E11437" s="87"/>
      <c r="F11437" s="87"/>
      <c r="G11437" s="87"/>
    </row>
    <row r="11438">
      <c r="A11438" s="86" t="str">
        <f>IFERROR(__xludf.DUMMYFUNCTION("""COMPUTED_VALUE"""),"")</f>
        <v/>
      </c>
      <c r="B11438" s="87"/>
      <c r="C11438" s="87"/>
      <c r="D11438" s="87"/>
      <c r="E11438" s="87"/>
      <c r="F11438" s="87"/>
      <c r="G11438" s="87"/>
    </row>
    <row r="11439">
      <c r="A11439" s="86" t="str">
        <f>IFERROR(__xludf.DUMMYFUNCTION("""COMPUTED_VALUE"""),"")</f>
        <v/>
      </c>
      <c r="B11439" s="87"/>
      <c r="C11439" s="87"/>
      <c r="D11439" s="87"/>
      <c r="E11439" s="87"/>
      <c r="F11439" s="87"/>
      <c r="G11439" s="87"/>
    </row>
    <row r="11440">
      <c r="A11440" s="86" t="str">
        <f>IFERROR(__xludf.DUMMYFUNCTION("""COMPUTED_VALUE"""),"")</f>
        <v/>
      </c>
      <c r="B11440" s="87"/>
      <c r="C11440" s="87"/>
      <c r="D11440" s="87"/>
      <c r="E11440" s="87"/>
      <c r="F11440" s="87"/>
      <c r="G11440" s="87"/>
    </row>
    <row r="11441">
      <c r="A11441" s="86" t="str">
        <f>IFERROR(__xludf.DUMMYFUNCTION("""COMPUTED_VALUE"""),"")</f>
        <v/>
      </c>
      <c r="B11441" s="87"/>
      <c r="C11441" s="87"/>
      <c r="D11441" s="87"/>
      <c r="E11441" s="87"/>
      <c r="F11441" s="87"/>
      <c r="G11441" s="87"/>
    </row>
    <row r="11442">
      <c r="A11442" s="86" t="str">
        <f>IFERROR(__xludf.DUMMYFUNCTION("""COMPUTED_VALUE"""),"")</f>
        <v/>
      </c>
      <c r="B11442" s="87"/>
      <c r="C11442" s="87"/>
      <c r="D11442" s="87"/>
      <c r="E11442" s="87"/>
      <c r="F11442" s="87"/>
      <c r="G11442" s="87"/>
    </row>
    <row r="11443">
      <c r="A11443" s="86" t="str">
        <f>IFERROR(__xludf.DUMMYFUNCTION("""COMPUTED_VALUE"""),"")</f>
        <v/>
      </c>
      <c r="B11443" s="87"/>
      <c r="C11443" s="87"/>
      <c r="D11443" s="87"/>
      <c r="E11443" s="87"/>
      <c r="F11443" s="87"/>
      <c r="G11443" s="87"/>
    </row>
    <row r="11444">
      <c r="A11444" s="86" t="str">
        <f>IFERROR(__xludf.DUMMYFUNCTION("""COMPUTED_VALUE"""),"")</f>
        <v/>
      </c>
      <c r="B11444" s="87"/>
      <c r="C11444" s="87"/>
      <c r="D11444" s="87"/>
      <c r="E11444" s="87"/>
      <c r="F11444" s="87"/>
      <c r="G11444" s="87"/>
    </row>
    <row r="11445">
      <c r="A11445" s="86" t="str">
        <f>IFERROR(__xludf.DUMMYFUNCTION("""COMPUTED_VALUE"""),"")</f>
        <v/>
      </c>
      <c r="B11445" s="87"/>
      <c r="C11445" s="87"/>
      <c r="D11445" s="87"/>
      <c r="E11445" s="87"/>
      <c r="F11445" s="87"/>
      <c r="G11445" s="87"/>
    </row>
    <row r="11446">
      <c r="A11446" s="86" t="str">
        <f>IFERROR(__xludf.DUMMYFUNCTION("""COMPUTED_VALUE"""),"")</f>
        <v/>
      </c>
      <c r="B11446" s="87"/>
      <c r="C11446" s="87"/>
      <c r="D11446" s="87"/>
      <c r="E11446" s="87"/>
      <c r="F11446" s="87"/>
      <c r="G11446" s="87"/>
    </row>
    <row r="11447">
      <c r="A11447" s="86" t="str">
        <f>IFERROR(__xludf.DUMMYFUNCTION("""COMPUTED_VALUE"""),"")</f>
        <v/>
      </c>
      <c r="B11447" s="87"/>
      <c r="C11447" s="87"/>
      <c r="D11447" s="87"/>
      <c r="E11447" s="87"/>
      <c r="F11447" s="87"/>
      <c r="G11447" s="87"/>
    </row>
    <row r="11448">
      <c r="A11448" s="86" t="str">
        <f>IFERROR(__xludf.DUMMYFUNCTION("""COMPUTED_VALUE"""),"")</f>
        <v/>
      </c>
      <c r="B11448" s="87"/>
      <c r="C11448" s="87"/>
      <c r="D11448" s="87"/>
      <c r="E11448" s="87"/>
      <c r="F11448" s="87"/>
      <c r="G11448" s="87"/>
    </row>
    <row r="11449">
      <c r="A11449" s="86" t="str">
        <f>IFERROR(__xludf.DUMMYFUNCTION("""COMPUTED_VALUE"""),"")</f>
        <v/>
      </c>
      <c r="B11449" s="87"/>
      <c r="C11449" s="87"/>
      <c r="D11449" s="87"/>
      <c r="E11449" s="87"/>
      <c r="F11449" s="87"/>
      <c r="G11449" s="87"/>
    </row>
    <row r="11450">
      <c r="A11450" s="86" t="str">
        <f>IFERROR(__xludf.DUMMYFUNCTION("""COMPUTED_VALUE"""),"")</f>
        <v/>
      </c>
      <c r="B11450" s="87"/>
      <c r="C11450" s="87"/>
      <c r="D11450" s="87"/>
      <c r="E11450" s="87"/>
      <c r="F11450" s="87"/>
      <c r="G11450" s="87"/>
    </row>
    <row r="11451">
      <c r="A11451" s="86" t="str">
        <f>IFERROR(__xludf.DUMMYFUNCTION("""COMPUTED_VALUE"""),"")</f>
        <v/>
      </c>
      <c r="B11451" s="87"/>
      <c r="C11451" s="87"/>
      <c r="D11451" s="87"/>
      <c r="E11451" s="87"/>
      <c r="F11451" s="87"/>
      <c r="G11451" s="87"/>
    </row>
    <row r="11452">
      <c r="A11452" s="86" t="str">
        <f>IFERROR(__xludf.DUMMYFUNCTION("""COMPUTED_VALUE"""),"")</f>
        <v/>
      </c>
      <c r="B11452" s="87"/>
      <c r="C11452" s="87"/>
      <c r="D11452" s="87"/>
      <c r="E11452" s="87"/>
      <c r="F11452" s="87"/>
      <c r="G11452" s="87"/>
    </row>
    <row r="11453">
      <c r="A11453" s="86" t="str">
        <f>IFERROR(__xludf.DUMMYFUNCTION("""COMPUTED_VALUE"""),"")</f>
        <v/>
      </c>
      <c r="B11453" s="87"/>
      <c r="C11453" s="87"/>
      <c r="D11453" s="87"/>
      <c r="E11453" s="87"/>
      <c r="F11453" s="87"/>
      <c r="G11453" s="87"/>
    </row>
    <row r="11454">
      <c r="A11454" s="86" t="str">
        <f>IFERROR(__xludf.DUMMYFUNCTION("""COMPUTED_VALUE"""),"")</f>
        <v/>
      </c>
      <c r="B11454" s="87"/>
      <c r="C11454" s="87"/>
      <c r="D11454" s="87"/>
      <c r="E11454" s="87"/>
      <c r="F11454" s="87"/>
      <c r="G11454" s="87"/>
    </row>
    <row r="11455">
      <c r="A11455" s="86" t="str">
        <f>IFERROR(__xludf.DUMMYFUNCTION("""COMPUTED_VALUE"""),"")</f>
        <v/>
      </c>
      <c r="B11455" s="87"/>
      <c r="C11455" s="87"/>
      <c r="D11455" s="87"/>
      <c r="E11455" s="87"/>
      <c r="F11455" s="87"/>
      <c r="G11455" s="87"/>
    </row>
    <row r="11456">
      <c r="A11456" s="86" t="str">
        <f>IFERROR(__xludf.DUMMYFUNCTION("""COMPUTED_VALUE"""),"")</f>
        <v/>
      </c>
      <c r="B11456" s="87"/>
      <c r="C11456" s="87"/>
      <c r="D11456" s="87"/>
      <c r="E11456" s="87"/>
      <c r="F11456" s="87"/>
      <c r="G11456" s="87"/>
    </row>
    <row r="11457">
      <c r="A11457" s="86" t="str">
        <f>IFERROR(__xludf.DUMMYFUNCTION("""COMPUTED_VALUE"""),"")</f>
        <v/>
      </c>
      <c r="B11457" s="87"/>
      <c r="C11457" s="87"/>
      <c r="D11457" s="87"/>
      <c r="E11457" s="87"/>
      <c r="F11457" s="87"/>
      <c r="G11457" s="87"/>
    </row>
    <row r="11458">
      <c r="A11458" s="86" t="str">
        <f>IFERROR(__xludf.DUMMYFUNCTION("""COMPUTED_VALUE"""),"")</f>
        <v/>
      </c>
      <c r="B11458" s="87"/>
      <c r="C11458" s="87"/>
      <c r="D11458" s="87"/>
      <c r="E11458" s="87"/>
      <c r="F11458" s="87"/>
      <c r="G11458" s="87"/>
    </row>
    <row r="11459">
      <c r="A11459" s="86" t="str">
        <f>IFERROR(__xludf.DUMMYFUNCTION("""COMPUTED_VALUE"""),"")</f>
        <v/>
      </c>
      <c r="B11459" s="87"/>
      <c r="C11459" s="87"/>
      <c r="D11459" s="87"/>
      <c r="E11459" s="87"/>
      <c r="F11459" s="87"/>
      <c r="G11459" s="87"/>
    </row>
    <row r="11460">
      <c r="A11460" s="86" t="str">
        <f>IFERROR(__xludf.DUMMYFUNCTION("""COMPUTED_VALUE"""),"")</f>
        <v/>
      </c>
      <c r="B11460" s="87"/>
      <c r="C11460" s="87"/>
      <c r="D11460" s="87"/>
      <c r="E11460" s="87"/>
      <c r="F11460" s="87"/>
      <c r="G11460" s="87"/>
    </row>
    <row r="11461">
      <c r="A11461" s="86" t="str">
        <f>IFERROR(__xludf.DUMMYFUNCTION("""COMPUTED_VALUE"""),"")</f>
        <v/>
      </c>
      <c r="B11461" s="87"/>
      <c r="C11461" s="87"/>
      <c r="D11461" s="87"/>
      <c r="E11461" s="87"/>
      <c r="F11461" s="87"/>
      <c r="G11461" s="87"/>
    </row>
    <row r="11462">
      <c r="A11462" s="86" t="str">
        <f>IFERROR(__xludf.DUMMYFUNCTION("""COMPUTED_VALUE"""),"")</f>
        <v/>
      </c>
      <c r="B11462" s="87"/>
      <c r="C11462" s="87"/>
      <c r="D11462" s="87"/>
      <c r="E11462" s="87"/>
      <c r="F11462" s="87"/>
      <c r="G11462" s="87"/>
    </row>
    <row r="11463">
      <c r="A11463" s="86" t="str">
        <f>IFERROR(__xludf.DUMMYFUNCTION("""COMPUTED_VALUE"""),"")</f>
        <v/>
      </c>
      <c r="B11463" s="87"/>
      <c r="C11463" s="87"/>
      <c r="D11463" s="87"/>
      <c r="E11463" s="87"/>
      <c r="F11463" s="87"/>
      <c r="G11463" s="87"/>
    </row>
    <row r="11464">
      <c r="A11464" s="86" t="str">
        <f>IFERROR(__xludf.DUMMYFUNCTION("""COMPUTED_VALUE"""),"")</f>
        <v/>
      </c>
      <c r="B11464" s="87"/>
      <c r="C11464" s="87"/>
      <c r="D11464" s="87"/>
      <c r="E11464" s="87"/>
      <c r="F11464" s="87"/>
      <c r="G11464" s="87"/>
    </row>
    <row r="11465">
      <c r="A11465" s="86" t="str">
        <f>IFERROR(__xludf.DUMMYFUNCTION("""COMPUTED_VALUE"""),"")</f>
        <v/>
      </c>
      <c r="B11465" s="87"/>
      <c r="C11465" s="87"/>
      <c r="D11465" s="87"/>
      <c r="E11465" s="87"/>
      <c r="F11465" s="87"/>
      <c r="G11465" s="87"/>
    </row>
    <row r="11466">
      <c r="A11466" s="86" t="str">
        <f>IFERROR(__xludf.DUMMYFUNCTION("""COMPUTED_VALUE"""),"")</f>
        <v/>
      </c>
      <c r="B11466" s="87"/>
      <c r="C11466" s="87"/>
      <c r="D11466" s="87"/>
      <c r="E11466" s="87"/>
      <c r="F11466" s="87"/>
      <c r="G11466" s="87"/>
    </row>
    <row r="11467">
      <c r="A11467" s="86" t="str">
        <f>IFERROR(__xludf.DUMMYFUNCTION("""COMPUTED_VALUE"""),"")</f>
        <v/>
      </c>
      <c r="B11467" s="87"/>
      <c r="C11467" s="87"/>
      <c r="D11467" s="87"/>
      <c r="E11467" s="87"/>
      <c r="F11467" s="87"/>
      <c r="G11467" s="87"/>
    </row>
    <row r="11468">
      <c r="A11468" s="86" t="str">
        <f>IFERROR(__xludf.DUMMYFUNCTION("""COMPUTED_VALUE"""),"")</f>
        <v/>
      </c>
      <c r="B11468" s="87"/>
      <c r="C11468" s="87"/>
      <c r="D11468" s="87"/>
      <c r="E11468" s="87"/>
      <c r="F11468" s="87"/>
      <c r="G11468" s="87"/>
    </row>
    <row r="11469">
      <c r="A11469" s="86" t="str">
        <f>IFERROR(__xludf.DUMMYFUNCTION("""COMPUTED_VALUE"""),"")</f>
        <v/>
      </c>
      <c r="B11469" s="87"/>
      <c r="C11469" s="87"/>
      <c r="D11469" s="87"/>
      <c r="E11469" s="87"/>
      <c r="F11469" s="87"/>
      <c r="G11469" s="87"/>
    </row>
    <row r="11470">
      <c r="A11470" s="86" t="str">
        <f>IFERROR(__xludf.DUMMYFUNCTION("""COMPUTED_VALUE"""),"")</f>
        <v/>
      </c>
      <c r="B11470" s="87"/>
      <c r="C11470" s="87"/>
      <c r="D11470" s="87"/>
      <c r="E11470" s="87"/>
      <c r="F11470" s="87"/>
      <c r="G11470" s="87"/>
    </row>
    <row r="11471">
      <c r="A11471" s="86" t="str">
        <f>IFERROR(__xludf.DUMMYFUNCTION("""COMPUTED_VALUE"""),"")</f>
        <v/>
      </c>
      <c r="B11471" s="87"/>
      <c r="C11471" s="87"/>
      <c r="D11471" s="87"/>
      <c r="E11471" s="87"/>
      <c r="F11471" s="87"/>
      <c r="G11471" s="87"/>
    </row>
    <row r="11472">
      <c r="A11472" s="86" t="str">
        <f>IFERROR(__xludf.DUMMYFUNCTION("""COMPUTED_VALUE"""),"")</f>
        <v/>
      </c>
      <c r="B11472" s="87"/>
      <c r="C11472" s="87"/>
      <c r="D11472" s="87"/>
      <c r="E11472" s="87"/>
      <c r="F11472" s="87"/>
      <c r="G11472" s="87"/>
    </row>
    <row r="11473">
      <c r="A11473" s="86" t="str">
        <f>IFERROR(__xludf.DUMMYFUNCTION("""COMPUTED_VALUE"""),"")</f>
        <v/>
      </c>
      <c r="B11473" s="87"/>
      <c r="C11473" s="87"/>
      <c r="D11473" s="87"/>
      <c r="E11473" s="87"/>
      <c r="F11473" s="87"/>
      <c r="G11473" s="87"/>
    </row>
    <row r="11474">
      <c r="A11474" s="86" t="str">
        <f>IFERROR(__xludf.DUMMYFUNCTION("""COMPUTED_VALUE"""),"")</f>
        <v/>
      </c>
      <c r="B11474" s="87"/>
      <c r="C11474" s="87"/>
      <c r="D11474" s="87"/>
      <c r="E11474" s="87"/>
      <c r="F11474" s="87"/>
      <c r="G11474" s="87"/>
    </row>
    <row r="11475">
      <c r="A11475" s="86" t="str">
        <f>IFERROR(__xludf.DUMMYFUNCTION("""COMPUTED_VALUE"""),"")</f>
        <v/>
      </c>
      <c r="B11475" s="87"/>
      <c r="C11475" s="87"/>
      <c r="D11475" s="87"/>
      <c r="E11475" s="87"/>
      <c r="F11475" s="87"/>
      <c r="G11475" s="87"/>
    </row>
    <row r="11476">
      <c r="A11476" s="86" t="str">
        <f>IFERROR(__xludf.DUMMYFUNCTION("""COMPUTED_VALUE"""),"")</f>
        <v/>
      </c>
      <c r="B11476" s="87"/>
      <c r="C11476" s="87"/>
      <c r="D11476" s="87"/>
      <c r="E11476" s="87"/>
      <c r="F11476" s="87"/>
      <c r="G11476" s="87"/>
    </row>
    <row r="11477">
      <c r="A11477" s="86" t="str">
        <f>IFERROR(__xludf.DUMMYFUNCTION("""COMPUTED_VALUE"""),"")</f>
        <v/>
      </c>
      <c r="B11477" s="87"/>
      <c r="C11477" s="87"/>
      <c r="D11477" s="87"/>
      <c r="E11477" s="87"/>
      <c r="F11477" s="87"/>
      <c r="G11477" s="87"/>
    </row>
    <row r="11478">
      <c r="A11478" s="86" t="str">
        <f>IFERROR(__xludf.DUMMYFUNCTION("""COMPUTED_VALUE"""),"")</f>
        <v/>
      </c>
      <c r="B11478" s="87"/>
      <c r="C11478" s="87"/>
      <c r="D11478" s="87"/>
      <c r="E11478" s="87"/>
      <c r="F11478" s="87"/>
      <c r="G11478" s="87"/>
    </row>
    <row r="11479">
      <c r="A11479" s="86" t="str">
        <f>IFERROR(__xludf.DUMMYFUNCTION("""COMPUTED_VALUE"""),"")</f>
        <v/>
      </c>
      <c r="B11479" s="87"/>
      <c r="C11479" s="87"/>
      <c r="D11479" s="87"/>
      <c r="E11479" s="87"/>
      <c r="F11479" s="87"/>
      <c r="G11479" s="87"/>
    </row>
    <row r="11480">
      <c r="A11480" s="86" t="str">
        <f>IFERROR(__xludf.DUMMYFUNCTION("""COMPUTED_VALUE"""),"")</f>
        <v/>
      </c>
      <c r="B11480" s="87"/>
      <c r="C11480" s="87"/>
      <c r="D11480" s="87"/>
      <c r="E11480" s="87"/>
      <c r="F11480" s="87"/>
      <c r="G11480" s="87"/>
    </row>
    <row r="11481">
      <c r="A11481" s="86" t="str">
        <f>IFERROR(__xludf.DUMMYFUNCTION("""COMPUTED_VALUE"""),"")</f>
        <v/>
      </c>
      <c r="B11481" s="87"/>
      <c r="C11481" s="87"/>
      <c r="D11481" s="87"/>
      <c r="E11481" s="87"/>
      <c r="F11481" s="87"/>
      <c r="G11481" s="87"/>
    </row>
    <row r="11482">
      <c r="A11482" s="86" t="str">
        <f>IFERROR(__xludf.DUMMYFUNCTION("""COMPUTED_VALUE"""),"")</f>
        <v/>
      </c>
      <c r="B11482" s="87"/>
      <c r="C11482" s="87"/>
      <c r="D11482" s="87"/>
      <c r="E11482" s="87"/>
      <c r="F11482" s="87"/>
      <c r="G11482" s="87"/>
    </row>
    <row r="11483">
      <c r="A11483" s="86" t="str">
        <f>IFERROR(__xludf.DUMMYFUNCTION("""COMPUTED_VALUE"""),"")</f>
        <v/>
      </c>
      <c r="B11483" s="87"/>
      <c r="C11483" s="87"/>
      <c r="D11483" s="87"/>
      <c r="E11483" s="87"/>
      <c r="F11483" s="87"/>
      <c r="G11483" s="87"/>
    </row>
    <row r="11484">
      <c r="A11484" s="86" t="str">
        <f>IFERROR(__xludf.DUMMYFUNCTION("""COMPUTED_VALUE"""),"")</f>
        <v/>
      </c>
      <c r="B11484" s="87"/>
      <c r="C11484" s="87"/>
      <c r="D11484" s="87"/>
      <c r="E11484" s="87"/>
      <c r="F11484" s="87"/>
      <c r="G11484" s="87"/>
    </row>
    <row r="11485">
      <c r="A11485" s="86" t="str">
        <f>IFERROR(__xludf.DUMMYFUNCTION("""COMPUTED_VALUE"""),"")</f>
        <v/>
      </c>
      <c r="B11485" s="87"/>
      <c r="C11485" s="87"/>
      <c r="D11485" s="87"/>
      <c r="E11485" s="87"/>
      <c r="F11485" s="87"/>
      <c r="G11485" s="87"/>
    </row>
    <row r="11486">
      <c r="A11486" s="86" t="str">
        <f>IFERROR(__xludf.DUMMYFUNCTION("""COMPUTED_VALUE"""),"")</f>
        <v/>
      </c>
      <c r="B11486" s="87"/>
      <c r="C11486" s="87"/>
      <c r="D11486" s="87"/>
      <c r="E11486" s="87"/>
      <c r="F11486" s="87"/>
      <c r="G11486" s="87"/>
    </row>
    <row r="11487">
      <c r="A11487" s="86" t="str">
        <f>IFERROR(__xludf.DUMMYFUNCTION("""COMPUTED_VALUE"""),"")</f>
        <v/>
      </c>
      <c r="B11487" s="87"/>
      <c r="C11487" s="87"/>
      <c r="D11487" s="87"/>
      <c r="E11487" s="87"/>
      <c r="F11487" s="87"/>
      <c r="G11487" s="87"/>
    </row>
    <row r="11488">
      <c r="A11488" s="86" t="str">
        <f>IFERROR(__xludf.DUMMYFUNCTION("""COMPUTED_VALUE"""),"")</f>
        <v/>
      </c>
      <c r="B11488" s="87"/>
      <c r="C11488" s="87"/>
      <c r="D11488" s="87"/>
      <c r="E11488" s="87"/>
      <c r="F11488" s="87"/>
      <c r="G11488" s="87"/>
    </row>
    <row r="11489">
      <c r="A11489" s="86" t="str">
        <f>IFERROR(__xludf.DUMMYFUNCTION("""COMPUTED_VALUE"""),"")</f>
        <v/>
      </c>
      <c r="B11489" s="87"/>
      <c r="C11489" s="87"/>
      <c r="D11489" s="87"/>
      <c r="E11489" s="87"/>
      <c r="F11489" s="87"/>
      <c r="G11489" s="87"/>
    </row>
    <row r="11490">
      <c r="A11490" s="86" t="str">
        <f>IFERROR(__xludf.DUMMYFUNCTION("""COMPUTED_VALUE"""),"")</f>
        <v/>
      </c>
      <c r="B11490" s="87"/>
      <c r="C11490" s="87"/>
      <c r="D11490" s="87"/>
      <c r="E11490" s="87"/>
      <c r="F11490" s="87"/>
      <c r="G11490" s="87"/>
    </row>
    <row r="11491">
      <c r="A11491" s="86" t="str">
        <f>IFERROR(__xludf.DUMMYFUNCTION("""COMPUTED_VALUE"""),"")</f>
        <v/>
      </c>
      <c r="B11491" s="87"/>
      <c r="C11491" s="87"/>
      <c r="D11491" s="87"/>
      <c r="E11491" s="87"/>
      <c r="F11491" s="87"/>
      <c r="G11491" s="87"/>
    </row>
    <row r="11492">
      <c r="A11492" s="86" t="str">
        <f>IFERROR(__xludf.DUMMYFUNCTION("""COMPUTED_VALUE"""),"")</f>
        <v/>
      </c>
      <c r="B11492" s="87"/>
      <c r="C11492" s="87"/>
      <c r="D11492" s="87"/>
      <c r="E11492" s="87"/>
      <c r="F11492" s="87"/>
      <c r="G11492" s="87"/>
    </row>
    <row r="11493">
      <c r="A11493" s="86" t="str">
        <f>IFERROR(__xludf.DUMMYFUNCTION("""COMPUTED_VALUE"""),"")</f>
        <v/>
      </c>
      <c r="B11493" s="87"/>
      <c r="C11493" s="87"/>
      <c r="D11493" s="87"/>
      <c r="E11493" s="87"/>
      <c r="F11493" s="87"/>
      <c r="G11493" s="87"/>
    </row>
    <row r="11494">
      <c r="A11494" s="86" t="str">
        <f>IFERROR(__xludf.DUMMYFUNCTION("""COMPUTED_VALUE"""),"")</f>
        <v/>
      </c>
      <c r="B11494" s="87"/>
      <c r="C11494" s="87"/>
      <c r="D11494" s="87"/>
      <c r="E11494" s="87"/>
      <c r="F11494" s="87"/>
      <c r="G11494" s="87"/>
    </row>
    <row r="11495">
      <c r="A11495" s="86" t="str">
        <f>IFERROR(__xludf.DUMMYFUNCTION("""COMPUTED_VALUE"""),"")</f>
        <v/>
      </c>
      <c r="B11495" s="87"/>
      <c r="C11495" s="87"/>
      <c r="D11495" s="87"/>
      <c r="E11495" s="87"/>
      <c r="F11495" s="87"/>
      <c r="G11495" s="87"/>
    </row>
    <row r="11496">
      <c r="A11496" s="86" t="str">
        <f>IFERROR(__xludf.DUMMYFUNCTION("""COMPUTED_VALUE"""),"")</f>
        <v/>
      </c>
      <c r="B11496" s="87"/>
      <c r="C11496" s="87"/>
      <c r="D11496" s="87"/>
      <c r="E11496" s="87"/>
      <c r="F11496" s="87"/>
      <c r="G11496" s="87"/>
    </row>
    <row r="11497">
      <c r="A11497" s="86" t="str">
        <f>IFERROR(__xludf.DUMMYFUNCTION("""COMPUTED_VALUE"""),"")</f>
        <v/>
      </c>
      <c r="B11497" s="87"/>
      <c r="C11497" s="87"/>
      <c r="D11497" s="87"/>
      <c r="E11497" s="87"/>
      <c r="F11497" s="87"/>
      <c r="G11497" s="87"/>
    </row>
    <row r="11498">
      <c r="A11498" s="86" t="str">
        <f>IFERROR(__xludf.DUMMYFUNCTION("""COMPUTED_VALUE"""),"")</f>
        <v/>
      </c>
      <c r="B11498" s="87"/>
      <c r="C11498" s="87"/>
      <c r="D11498" s="87"/>
      <c r="E11498" s="87"/>
      <c r="F11498" s="87"/>
      <c r="G11498" s="87"/>
    </row>
    <row r="11499">
      <c r="A11499" s="86" t="str">
        <f>IFERROR(__xludf.DUMMYFUNCTION("""COMPUTED_VALUE"""),"")</f>
        <v/>
      </c>
      <c r="B11499" s="87"/>
      <c r="C11499" s="87"/>
      <c r="D11499" s="87"/>
      <c r="E11499" s="87"/>
      <c r="F11499" s="87"/>
      <c r="G11499" s="87"/>
    </row>
    <row r="11500">
      <c r="A11500" s="86" t="str">
        <f>IFERROR(__xludf.DUMMYFUNCTION("""COMPUTED_VALUE"""),"")</f>
        <v/>
      </c>
      <c r="B11500" s="87"/>
      <c r="C11500" s="87"/>
      <c r="D11500" s="87"/>
      <c r="E11500" s="87"/>
      <c r="F11500" s="87"/>
      <c r="G11500" s="87"/>
    </row>
    <row r="11501">
      <c r="A11501" s="86" t="str">
        <f>IFERROR(__xludf.DUMMYFUNCTION("""COMPUTED_VALUE"""),"")</f>
        <v/>
      </c>
      <c r="B11501" s="87"/>
      <c r="C11501" s="87"/>
      <c r="D11501" s="87"/>
      <c r="E11501" s="87"/>
      <c r="F11501" s="87"/>
      <c r="G11501" s="87"/>
    </row>
    <row r="11502">
      <c r="A11502" s="86" t="str">
        <f>IFERROR(__xludf.DUMMYFUNCTION("""COMPUTED_VALUE"""),"")</f>
        <v/>
      </c>
      <c r="B11502" s="87"/>
      <c r="C11502" s="87"/>
      <c r="D11502" s="87"/>
      <c r="E11502" s="87"/>
      <c r="F11502" s="87"/>
      <c r="G11502" s="87"/>
    </row>
    <row r="11503">
      <c r="A11503" s="86" t="str">
        <f>IFERROR(__xludf.DUMMYFUNCTION("""COMPUTED_VALUE"""),"")</f>
        <v/>
      </c>
      <c r="B11503" s="87"/>
      <c r="C11503" s="87"/>
      <c r="D11503" s="87"/>
      <c r="E11503" s="87"/>
      <c r="F11503" s="87"/>
      <c r="G11503" s="87"/>
    </row>
    <row r="11504">
      <c r="A11504" s="86" t="str">
        <f>IFERROR(__xludf.DUMMYFUNCTION("""COMPUTED_VALUE"""),"")</f>
        <v/>
      </c>
      <c r="B11504" s="87"/>
      <c r="C11504" s="87"/>
      <c r="D11504" s="87"/>
      <c r="E11504" s="87"/>
      <c r="F11504" s="87"/>
      <c r="G11504" s="87"/>
    </row>
    <row r="11505">
      <c r="A11505" s="86" t="str">
        <f>IFERROR(__xludf.DUMMYFUNCTION("""COMPUTED_VALUE"""),"")</f>
        <v/>
      </c>
      <c r="B11505" s="87"/>
      <c r="C11505" s="87"/>
      <c r="D11505" s="87"/>
      <c r="E11505" s="87"/>
      <c r="F11505" s="87"/>
      <c r="G11505" s="87"/>
    </row>
    <row r="11506">
      <c r="A11506" s="86" t="str">
        <f>IFERROR(__xludf.DUMMYFUNCTION("""COMPUTED_VALUE"""),"")</f>
        <v/>
      </c>
      <c r="B11506" s="87"/>
      <c r="C11506" s="87"/>
      <c r="D11506" s="87"/>
      <c r="E11506" s="87"/>
      <c r="F11506" s="87"/>
      <c r="G11506" s="87"/>
    </row>
    <row r="11507">
      <c r="A11507" s="86" t="str">
        <f>IFERROR(__xludf.DUMMYFUNCTION("""COMPUTED_VALUE"""),"")</f>
        <v/>
      </c>
      <c r="B11507" s="87"/>
      <c r="C11507" s="87"/>
      <c r="D11507" s="87"/>
      <c r="E11507" s="87"/>
      <c r="F11507" s="87"/>
      <c r="G11507" s="87"/>
    </row>
    <row r="11508">
      <c r="A11508" s="86" t="str">
        <f>IFERROR(__xludf.DUMMYFUNCTION("""COMPUTED_VALUE"""),"")</f>
        <v/>
      </c>
      <c r="B11508" s="87"/>
      <c r="C11508" s="87"/>
      <c r="D11508" s="87"/>
      <c r="E11508" s="87"/>
      <c r="F11508" s="87"/>
      <c r="G11508" s="87"/>
    </row>
    <row r="11509">
      <c r="A11509" s="86" t="str">
        <f>IFERROR(__xludf.DUMMYFUNCTION("""COMPUTED_VALUE"""),"")</f>
        <v/>
      </c>
      <c r="B11509" s="87"/>
      <c r="C11509" s="87"/>
      <c r="D11509" s="87"/>
      <c r="E11509" s="87"/>
      <c r="F11509" s="87"/>
      <c r="G11509" s="87"/>
    </row>
    <row r="11510">
      <c r="A11510" s="86" t="str">
        <f>IFERROR(__xludf.DUMMYFUNCTION("""COMPUTED_VALUE"""),"")</f>
        <v/>
      </c>
      <c r="B11510" s="87"/>
      <c r="C11510" s="87"/>
      <c r="D11510" s="87"/>
      <c r="E11510" s="87"/>
      <c r="F11510" s="87"/>
      <c r="G11510" s="87"/>
    </row>
    <row r="11511">
      <c r="A11511" s="86" t="str">
        <f>IFERROR(__xludf.DUMMYFUNCTION("""COMPUTED_VALUE"""),"")</f>
        <v/>
      </c>
      <c r="B11511" s="87"/>
      <c r="C11511" s="87"/>
      <c r="D11511" s="87"/>
      <c r="E11511" s="87"/>
      <c r="F11511" s="87"/>
      <c r="G11511" s="87"/>
    </row>
    <row r="11512">
      <c r="A11512" s="86" t="str">
        <f>IFERROR(__xludf.DUMMYFUNCTION("""COMPUTED_VALUE"""),"")</f>
        <v/>
      </c>
      <c r="B11512" s="87"/>
      <c r="C11512" s="87"/>
      <c r="D11512" s="87"/>
      <c r="E11512" s="87"/>
      <c r="F11512" s="87"/>
      <c r="G11512" s="87"/>
    </row>
    <row r="11513">
      <c r="A11513" s="86" t="str">
        <f>IFERROR(__xludf.DUMMYFUNCTION("""COMPUTED_VALUE"""),"")</f>
        <v/>
      </c>
      <c r="B11513" s="87"/>
      <c r="C11513" s="87"/>
      <c r="D11513" s="87"/>
      <c r="E11513" s="87"/>
      <c r="F11513" s="87"/>
      <c r="G11513" s="87"/>
    </row>
    <row r="11514">
      <c r="A11514" s="86" t="str">
        <f>IFERROR(__xludf.DUMMYFUNCTION("""COMPUTED_VALUE"""),"")</f>
        <v/>
      </c>
      <c r="B11514" s="87"/>
      <c r="C11514" s="87"/>
      <c r="D11514" s="87"/>
      <c r="E11514" s="87"/>
      <c r="F11514" s="87"/>
      <c r="G11514" s="87"/>
    </row>
    <row r="11515">
      <c r="A11515" s="86" t="str">
        <f>IFERROR(__xludf.DUMMYFUNCTION("""COMPUTED_VALUE"""),"")</f>
        <v/>
      </c>
      <c r="B11515" s="87"/>
      <c r="C11515" s="87"/>
      <c r="D11515" s="87"/>
      <c r="E11515" s="87"/>
      <c r="F11515" s="87"/>
      <c r="G11515" s="87"/>
    </row>
    <row r="11516">
      <c r="A11516" s="86" t="str">
        <f>IFERROR(__xludf.DUMMYFUNCTION("""COMPUTED_VALUE"""),"")</f>
        <v/>
      </c>
      <c r="B11516" s="87"/>
      <c r="C11516" s="87"/>
      <c r="D11516" s="87"/>
      <c r="E11516" s="87"/>
      <c r="F11516" s="87"/>
      <c r="G11516" s="87"/>
    </row>
    <row r="11517">
      <c r="A11517" s="86" t="str">
        <f>IFERROR(__xludf.DUMMYFUNCTION("""COMPUTED_VALUE"""),"")</f>
        <v/>
      </c>
      <c r="B11517" s="87"/>
      <c r="C11517" s="87"/>
      <c r="D11517" s="87"/>
      <c r="E11517" s="87"/>
      <c r="F11517" s="87"/>
      <c r="G11517" s="87"/>
    </row>
    <row r="11518">
      <c r="A11518" s="86" t="str">
        <f>IFERROR(__xludf.DUMMYFUNCTION("""COMPUTED_VALUE"""),"")</f>
        <v/>
      </c>
      <c r="B11518" s="87"/>
      <c r="C11518" s="87"/>
      <c r="D11518" s="87"/>
      <c r="E11518" s="87"/>
      <c r="F11518" s="87"/>
      <c r="G11518" s="87"/>
    </row>
    <row r="11519">
      <c r="A11519" s="86" t="str">
        <f>IFERROR(__xludf.DUMMYFUNCTION("""COMPUTED_VALUE"""),"")</f>
        <v/>
      </c>
      <c r="B11519" s="87"/>
      <c r="C11519" s="87"/>
      <c r="D11519" s="87"/>
      <c r="E11519" s="87"/>
      <c r="F11519" s="87"/>
      <c r="G11519" s="87"/>
    </row>
    <row r="11520">
      <c r="A11520" s="86" t="str">
        <f>IFERROR(__xludf.DUMMYFUNCTION("""COMPUTED_VALUE"""),"")</f>
        <v/>
      </c>
      <c r="B11520" s="87"/>
      <c r="C11520" s="87"/>
      <c r="D11520" s="87"/>
      <c r="E11520" s="87"/>
      <c r="F11520" s="87"/>
      <c r="G11520" s="87"/>
    </row>
    <row r="11521">
      <c r="A11521" s="86" t="str">
        <f>IFERROR(__xludf.DUMMYFUNCTION("""COMPUTED_VALUE"""),"")</f>
        <v/>
      </c>
      <c r="B11521" s="87"/>
      <c r="C11521" s="87"/>
      <c r="D11521" s="87"/>
      <c r="E11521" s="87"/>
      <c r="F11521" s="87"/>
      <c r="G11521" s="87"/>
    </row>
    <row r="11522">
      <c r="A11522" s="86" t="str">
        <f>IFERROR(__xludf.DUMMYFUNCTION("""COMPUTED_VALUE"""),"")</f>
        <v/>
      </c>
      <c r="B11522" s="87"/>
      <c r="C11522" s="87"/>
      <c r="D11522" s="87"/>
      <c r="E11522" s="87"/>
      <c r="F11522" s="87"/>
      <c r="G11522" s="87"/>
    </row>
    <row r="11523">
      <c r="A11523" s="86" t="str">
        <f>IFERROR(__xludf.DUMMYFUNCTION("""COMPUTED_VALUE"""),"")</f>
        <v/>
      </c>
      <c r="B11523" s="87"/>
      <c r="C11523" s="87"/>
      <c r="D11523" s="87"/>
      <c r="E11523" s="87"/>
      <c r="F11523" s="87"/>
      <c r="G11523" s="87"/>
    </row>
    <row r="11524">
      <c r="A11524" s="86" t="str">
        <f>IFERROR(__xludf.DUMMYFUNCTION("""COMPUTED_VALUE"""),"")</f>
        <v/>
      </c>
      <c r="B11524" s="87"/>
      <c r="C11524" s="87"/>
      <c r="D11524" s="87"/>
      <c r="E11524" s="87"/>
      <c r="F11524" s="87"/>
      <c r="G11524" s="87"/>
    </row>
    <row r="11525">
      <c r="A11525" s="86" t="str">
        <f>IFERROR(__xludf.DUMMYFUNCTION("""COMPUTED_VALUE"""),"")</f>
        <v/>
      </c>
      <c r="B11525" s="87"/>
      <c r="C11525" s="87"/>
      <c r="D11525" s="87"/>
      <c r="E11525" s="87"/>
      <c r="F11525" s="87"/>
      <c r="G11525" s="87"/>
    </row>
    <row r="11526">
      <c r="A11526" s="86" t="str">
        <f>IFERROR(__xludf.DUMMYFUNCTION("""COMPUTED_VALUE"""),"")</f>
        <v/>
      </c>
      <c r="B11526" s="87"/>
      <c r="C11526" s="87"/>
      <c r="D11526" s="87"/>
      <c r="E11526" s="87"/>
      <c r="F11526" s="87"/>
      <c r="G11526" s="87"/>
    </row>
    <row r="11527">
      <c r="A11527" s="86" t="str">
        <f>IFERROR(__xludf.DUMMYFUNCTION("""COMPUTED_VALUE"""),"")</f>
        <v/>
      </c>
      <c r="B11527" s="87"/>
      <c r="C11527" s="87"/>
      <c r="D11527" s="87"/>
      <c r="E11527" s="87"/>
      <c r="F11527" s="87"/>
      <c r="G11527" s="87"/>
    </row>
    <row r="11528">
      <c r="A11528" s="86" t="str">
        <f>IFERROR(__xludf.DUMMYFUNCTION("""COMPUTED_VALUE"""),"")</f>
        <v/>
      </c>
      <c r="B11528" s="87"/>
      <c r="C11528" s="87"/>
      <c r="D11528" s="87"/>
      <c r="E11528" s="87"/>
      <c r="F11528" s="87"/>
      <c r="G11528" s="87"/>
    </row>
    <row r="11529">
      <c r="A11529" s="86" t="str">
        <f>IFERROR(__xludf.DUMMYFUNCTION("""COMPUTED_VALUE"""),"")</f>
        <v/>
      </c>
      <c r="B11529" s="87"/>
      <c r="C11529" s="87"/>
      <c r="D11529" s="87"/>
      <c r="E11529" s="87"/>
      <c r="F11529" s="87"/>
      <c r="G11529" s="87"/>
    </row>
    <row r="11530">
      <c r="A11530" s="86" t="str">
        <f>IFERROR(__xludf.DUMMYFUNCTION("""COMPUTED_VALUE"""),"")</f>
        <v/>
      </c>
      <c r="B11530" s="87"/>
      <c r="C11530" s="87"/>
      <c r="D11530" s="87"/>
      <c r="E11530" s="87"/>
      <c r="F11530" s="87"/>
      <c r="G11530" s="87"/>
    </row>
    <row r="11531">
      <c r="A11531" s="86" t="str">
        <f>IFERROR(__xludf.DUMMYFUNCTION("""COMPUTED_VALUE"""),"")</f>
        <v/>
      </c>
      <c r="B11531" s="87"/>
      <c r="C11531" s="87"/>
      <c r="D11531" s="87"/>
      <c r="E11531" s="87"/>
      <c r="F11531" s="87"/>
      <c r="G11531" s="87"/>
    </row>
    <row r="11532">
      <c r="A11532" s="86" t="str">
        <f>IFERROR(__xludf.DUMMYFUNCTION("""COMPUTED_VALUE"""),"")</f>
        <v/>
      </c>
      <c r="B11532" s="87"/>
      <c r="C11532" s="87"/>
      <c r="D11532" s="87"/>
      <c r="E11532" s="87"/>
      <c r="F11532" s="87"/>
      <c r="G11532" s="87"/>
    </row>
    <row r="11533">
      <c r="A11533" s="86" t="str">
        <f>IFERROR(__xludf.DUMMYFUNCTION("""COMPUTED_VALUE"""),"")</f>
        <v/>
      </c>
      <c r="B11533" s="87"/>
      <c r="C11533" s="87"/>
      <c r="D11533" s="87"/>
      <c r="E11533" s="87"/>
      <c r="F11533" s="87"/>
      <c r="G11533" s="87"/>
    </row>
    <row r="11534">
      <c r="A11534" s="86" t="str">
        <f>IFERROR(__xludf.DUMMYFUNCTION("""COMPUTED_VALUE"""),"")</f>
        <v/>
      </c>
      <c r="B11534" s="87"/>
      <c r="C11534" s="87"/>
      <c r="D11534" s="87"/>
      <c r="E11534" s="87"/>
      <c r="F11534" s="87"/>
      <c r="G11534" s="87"/>
    </row>
    <row r="11535">
      <c r="A11535" s="86" t="str">
        <f>IFERROR(__xludf.DUMMYFUNCTION("""COMPUTED_VALUE"""),"")</f>
        <v/>
      </c>
      <c r="B11535" s="87"/>
      <c r="C11535" s="87"/>
      <c r="D11535" s="87"/>
      <c r="E11535" s="87"/>
      <c r="F11535" s="87"/>
      <c r="G11535" s="87"/>
    </row>
    <row r="11536">
      <c r="A11536" s="86" t="str">
        <f>IFERROR(__xludf.DUMMYFUNCTION("""COMPUTED_VALUE"""),"")</f>
        <v/>
      </c>
      <c r="B11536" s="87"/>
      <c r="C11536" s="87"/>
      <c r="D11536" s="87"/>
      <c r="E11536" s="87"/>
      <c r="F11536" s="87"/>
      <c r="G11536" s="87"/>
    </row>
    <row r="11537">
      <c r="A11537" s="86" t="str">
        <f>IFERROR(__xludf.DUMMYFUNCTION("""COMPUTED_VALUE"""),"")</f>
        <v/>
      </c>
      <c r="B11537" s="87"/>
      <c r="C11537" s="87"/>
      <c r="D11537" s="87"/>
      <c r="E11537" s="87"/>
      <c r="F11537" s="87"/>
      <c r="G11537" s="87"/>
    </row>
    <row r="11538">
      <c r="A11538" s="86" t="str">
        <f>IFERROR(__xludf.DUMMYFUNCTION("""COMPUTED_VALUE"""),"")</f>
        <v/>
      </c>
      <c r="B11538" s="87"/>
      <c r="C11538" s="87"/>
      <c r="D11538" s="87"/>
      <c r="E11538" s="87"/>
      <c r="F11538" s="87"/>
      <c r="G11538" s="87"/>
    </row>
    <row r="11539">
      <c r="A11539" s="86" t="str">
        <f>IFERROR(__xludf.DUMMYFUNCTION("""COMPUTED_VALUE"""),"")</f>
        <v/>
      </c>
      <c r="B11539" s="87"/>
      <c r="C11539" s="87"/>
      <c r="D11539" s="87"/>
      <c r="E11539" s="87"/>
      <c r="F11539" s="87"/>
      <c r="G11539" s="87"/>
    </row>
    <row r="11540">
      <c r="A11540" s="86" t="str">
        <f>IFERROR(__xludf.DUMMYFUNCTION("""COMPUTED_VALUE"""),"")</f>
        <v/>
      </c>
      <c r="B11540" s="87"/>
      <c r="C11540" s="87"/>
      <c r="D11540" s="87"/>
      <c r="E11540" s="87"/>
      <c r="F11540" s="87"/>
      <c r="G11540" s="87"/>
    </row>
    <row r="11541">
      <c r="A11541" s="86" t="str">
        <f>IFERROR(__xludf.DUMMYFUNCTION("""COMPUTED_VALUE"""),"")</f>
        <v/>
      </c>
      <c r="B11541" s="87"/>
      <c r="C11541" s="87"/>
      <c r="D11541" s="87"/>
      <c r="E11541" s="87"/>
      <c r="F11541" s="87"/>
      <c r="G11541" s="87"/>
    </row>
    <row r="11542">
      <c r="A11542" s="86" t="str">
        <f>IFERROR(__xludf.DUMMYFUNCTION("""COMPUTED_VALUE"""),"")</f>
        <v/>
      </c>
      <c r="B11542" s="87"/>
      <c r="C11542" s="87"/>
      <c r="D11542" s="87"/>
      <c r="E11542" s="87"/>
      <c r="F11542" s="87"/>
      <c r="G11542" s="87"/>
    </row>
    <row r="11543">
      <c r="A11543" s="86" t="str">
        <f>IFERROR(__xludf.DUMMYFUNCTION("""COMPUTED_VALUE"""),"")</f>
        <v/>
      </c>
      <c r="B11543" s="87"/>
      <c r="C11543" s="87"/>
      <c r="D11543" s="87"/>
      <c r="E11543" s="87"/>
      <c r="F11543" s="87"/>
      <c r="G11543" s="87"/>
    </row>
    <row r="11544">
      <c r="A11544" s="86" t="str">
        <f>IFERROR(__xludf.DUMMYFUNCTION("""COMPUTED_VALUE"""),"")</f>
        <v/>
      </c>
      <c r="B11544" s="87"/>
      <c r="C11544" s="87"/>
      <c r="D11544" s="87"/>
      <c r="E11544" s="87"/>
      <c r="F11544" s="87"/>
      <c r="G11544" s="87"/>
    </row>
    <row r="11545">
      <c r="A11545" s="86" t="str">
        <f>IFERROR(__xludf.DUMMYFUNCTION("""COMPUTED_VALUE"""),"")</f>
        <v/>
      </c>
      <c r="B11545" s="87"/>
      <c r="C11545" s="87"/>
      <c r="D11545" s="87"/>
      <c r="E11545" s="87"/>
      <c r="F11545" s="87"/>
      <c r="G11545" s="87"/>
    </row>
    <row r="11546">
      <c r="A11546" s="86" t="str">
        <f>IFERROR(__xludf.DUMMYFUNCTION("""COMPUTED_VALUE"""),"")</f>
        <v/>
      </c>
      <c r="B11546" s="87"/>
      <c r="C11546" s="87"/>
      <c r="D11546" s="87"/>
      <c r="E11546" s="87"/>
      <c r="F11546" s="87"/>
      <c r="G11546" s="87"/>
    </row>
    <row r="11547">
      <c r="A11547" s="86" t="str">
        <f>IFERROR(__xludf.DUMMYFUNCTION("""COMPUTED_VALUE"""),"")</f>
        <v/>
      </c>
      <c r="B11547" s="87"/>
      <c r="C11547" s="87"/>
      <c r="D11547" s="87"/>
      <c r="E11547" s="87"/>
      <c r="F11547" s="87"/>
      <c r="G11547" s="87"/>
    </row>
    <row r="11548">
      <c r="A11548" s="86" t="str">
        <f>IFERROR(__xludf.DUMMYFUNCTION("""COMPUTED_VALUE"""),"")</f>
        <v/>
      </c>
      <c r="B11548" s="87"/>
      <c r="C11548" s="87"/>
      <c r="D11548" s="87"/>
      <c r="E11548" s="87"/>
      <c r="F11548" s="87"/>
      <c r="G11548" s="87"/>
    </row>
    <row r="11549">
      <c r="A11549" s="86" t="str">
        <f>IFERROR(__xludf.DUMMYFUNCTION("""COMPUTED_VALUE"""),"")</f>
        <v/>
      </c>
      <c r="B11549" s="87"/>
      <c r="C11549" s="87"/>
      <c r="D11549" s="87"/>
      <c r="E11549" s="87"/>
      <c r="F11549" s="87"/>
      <c r="G11549" s="87"/>
    </row>
    <row r="11550">
      <c r="A11550" s="86" t="str">
        <f>IFERROR(__xludf.DUMMYFUNCTION("""COMPUTED_VALUE"""),"")</f>
        <v/>
      </c>
      <c r="B11550" s="87"/>
      <c r="C11550" s="87"/>
      <c r="D11550" s="87"/>
      <c r="E11550" s="87"/>
      <c r="F11550" s="87"/>
      <c r="G11550" s="87"/>
    </row>
    <row r="11551">
      <c r="A11551" s="86" t="str">
        <f>IFERROR(__xludf.DUMMYFUNCTION("""COMPUTED_VALUE"""),"")</f>
        <v/>
      </c>
      <c r="B11551" s="87"/>
      <c r="C11551" s="87"/>
      <c r="D11551" s="87"/>
      <c r="E11551" s="87"/>
      <c r="F11551" s="87"/>
      <c r="G11551" s="87"/>
    </row>
    <row r="11552">
      <c r="A11552" s="86" t="str">
        <f>IFERROR(__xludf.DUMMYFUNCTION("""COMPUTED_VALUE"""),"")</f>
        <v/>
      </c>
      <c r="B11552" s="87"/>
      <c r="C11552" s="87"/>
      <c r="D11552" s="87"/>
      <c r="E11552" s="87"/>
      <c r="F11552" s="87"/>
      <c r="G11552" s="87"/>
    </row>
    <row r="11553">
      <c r="A11553" s="86" t="str">
        <f>IFERROR(__xludf.DUMMYFUNCTION("""COMPUTED_VALUE"""),"")</f>
        <v/>
      </c>
      <c r="B11553" s="87"/>
      <c r="C11553" s="87"/>
      <c r="D11553" s="87"/>
      <c r="E11553" s="87"/>
      <c r="F11553" s="87"/>
      <c r="G11553" s="87"/>
    </row>
    <row r="11554">
      <c r="A11554" s="86" t="str">
        <f>IFERROR(__xludf.DUMMYFUNCTION("""COMPUTED_VALUE"""),"")</f>
        <v/>
      </c>
      <c r="B11554" s="87"/>
      <c r="C11554" s="87"/>
      <c r="D11554" s="87"/>
      <c r="E11554" s="87"/>
      <c r="F11554" s="87"/>
      <c r="G11554" s="87"/>
    </row>
    <row r="11555">
      <c r="A11555" s="86" t="str">
        <f>IFERROR(__xludf.DUMMYFUNCTION("""COMPUTED_VALUE"""),"")</f>
        <v/>
      </c>
      <c r="B11555" s="87"/>
      <c r="C11555" s="87"/>
      <c r="D11555" s="87"/>
      <c r="E11555" s="87"/>
      <c r="F11555" s="87"/>
      <c r="G11555" s="87"/>
    </row>
    <row r="11556">
      <c r="A11556" s="86" t="str">
        <f>IFERROR(__xludf.DUMMYFUNCTION("""COMPUTED_VALUE"""),"")</f>
        <v/>
      </c>
      <c r="B11556" s="87"/>
      <c r="C11556" s="87"/>
      <c r="D11556" s="87"/>
      <c r="E11556" s="87"/>
      <c r="F11556" s="87"/>
      <c r="G11556" s="87"/>
    </row>
    <row r="11557">
      <c r="A11557" s="86" t="str">
        <f>IFERROR(__xludf.DUMMYFUNCTION("""COMPUTED_VALUE"""),"")</f>
        <v/>
      </c>
      <c r="B11557" s="87"/>
      <c r="C11557" s="87"/>
      <c r="D11557" s="87"/>
      <c r="E11557" s="87"/>
      <c r="F11557" s="87"/>
      <c r="G11557" s="87"/>
    </row>
    <row r="11558">
      <c r="A11558" s="86" t="str">
        <f>IFERROR(__xludf.DUMMYFUNCTION("""COMPUTED_VALUE"""),"")</f>
        <v/>
      </c>
      <c r="B11558" s="87"/>
      <c r="C11558" s="87"/>
      <c r="D11558" s="87"/>
      <c r="E11558" s="87"/>
      <c r="F11558" s="87"/>
      <c r="G11558" s="87"/>
    </row>
    <row r="11559">
      <c r="A11559" s="86" t="str">
        <f>IFERROR(__xludf.DUMMYFUNCTION("""COMPUTED_VALUE"""),"")</f>
        <v/>
      </c>
      <c r="B11559" s="87"/>
      <c r="C11559" s="87"/>
      <c r="D11559" s="87"/>
      <c r="E11559" s="87"/>
      <c r="F11559" s="87"/>
      <c r="G11559" s="87"/>
    </row>
    <row r="11560">
      <c r="A11560" s="86" t="str">
        <f>IFERROR(__xludf.DUMMYFUNCTION("""COMPUTED_VALUE"""),"")</f>
        <v/>
      </c>
      <c r="B11560" s="87"/>
      <c r="C11560" s="87"/>
      <c r="D11560" s="87"/>
      <c r="E11560" s="87"/>
      <c r="F11560" s="87"/>
      <c r="G11560" s="87"/>
    </row>
    <row r="11561">
      <c r="A11561" s="86" t="str">
        <f>IFERROR(__xludf.DUMMYFUNCTION("""COMPUTED_VALUE"""),"")</f>
        <v/>
      </c>
      <c r="B11561" s="87"/>
      <c r="C11561" s="87"/>
      <c r="D11561" s="87"/>
      <c r="E11561" s="87"/>
      <c r="F11561" s="87"/>
      <c r="G11561" s="87"/>
    </row>
    <row r="11562">
      <c r="A11562" s="86" t="str">
        <f>IFERROR(__xludf.DUMMYFUNCTION("""COMPUTED_VALUE"""),"")</f>
        <v/>
      </c>
      <c r="B11562" s="87"/>
      <c r="C11562" s="87"/>
      <c r="D11562" s="87"/>
      <c r="E11562" s="87"/>
      <c r="F11562" s="87"/>
      <c r="G11562" s="87"/>
    </row>
    <row r="11563">
      <c r="A11563" s="86" t="str">
        <f>IFERROR(__xludf.DUMMYFUNCTION("""COMPUTED_VALUE"""),"")</f>
        <v/>
      </c>
      <c r="B11563" s="87"/>
      <c r="C11563" s="87"/>
      <c r="D11563" s="87"/>
      <c r="E11563" s="87"/>
      <c r="F11563" s="87"/>
      <c r="G11563" s="87"/>
    </row>
    <row r="11564">
      <c r="A11564" s="86" t="str">
        <f>IFERROR(__xludf.DUMMYFUNCTION("""COMPUTED_VALUE"""),"")</f>
        <v/>
      </c>
      <c r="B11564" s="87"/>
      <c r="C11564" s="87"/>
      <c r="D11564" s="87"/>
      <c r="E11564" s="87"/>
      <c r="F11564" s="87"/>
      <c r="G11564" s="87"/>
    </row>
    <row r="11565">
      <c r="A11565" s="86" t="str">
        <f>IFERROR(__xludf.DUMMYFUNCTION("""COMPUTED_VALUE"""),"")</f>
        <v/>
      </c>
      <c r="B11565" s="87"/>
      <c r="C11565" s="87"/>
      <c r="D11565" s="87"/>
      <c r="E11565" s="87"/>
      <c r="F11565" s="87"/>
      <c r="G11565" s="87"/>
    </row>
    <row r="11566">
      <c r="A11566" s="86" t="str">
        <f>IFERROR(__xludf.DUMMYFUNCTION("""COMPUTED_VALUE"""),"")</f>
        <v/>
      </c>
      <c r="B11566" s="87"/>
      <c r="C11566" s="87"/>
      <c r="D11566" s="87"/>
      <c r="E11566" s="87"/>
      <c r="F11566" s="87"/>
      <c r="G11566" s="87"/>
    </row>
    <row r="11567">
      <c r="A11567" s="86" t="str">
        <f>IFERROR(__xludf.DUMMYFUNCTION("""COMPUTED_VALUE"""),"")</f>
        <v/>
      </c>
      <c r="B11567" s="87"/>
      <c r="C11567" s="87"/>
      <c r="D11567" s="87"/>
      <c r="E11567" s="87"/>
      <c r="F11567" s="87"/>
      <c r="G11567" s="87"/>
    </row>
    <row r="11568">
      <c r="A11568" s="86" t="str">
        <f>IFERROR(__xludf.DUMMYFUNCTION("""COMPUTED_VALUE"""),"")</f>
        <v/>
      </c>
      <c r="B11568" s="87"/>
      <c r="C11568" s="87"/>
      <c r="D11568" s="87"/>
      <c r="E11568" s="87"/>
      <c r="F11568" s="87"/>
      <c r="G11568" s="87"/>
    </row>
    <row r="11569">
      <c r="A11569" s="86" t="str">
        <f>IFERROR(__xludf.DUMMYFUNCTION("""COMPUTED_VALUE"""),"")</f>
        <v/>
      </c>
      <c r="B11569" s="87"/>
      <c r="C11569" s="87"/>
      <c r="D11569" s="87"/>
      <c r="E11569" s="87"/>
      <c r="F11569" s="87"/>
      <c r="G11569" s="87"/>
    </row>
    <row r="11570">
      <c r="A11570" s="86" t="str">
        <f>IFERROR(__xludf.DUMMYFUNCTION("""COMPUTED_VALUE"""),"")</f>
        <v/>
      </c>
      <c r="B11570" s="87"/>
      <c r="C11570" s="87"/>
      <c r="D11570" s="87"/>
      <c r="E11570" s="87"/>
      <c r="F11570" s="87"/>
      <c r="G11570" s="87"/>
    </row>
    <row r="11571">
      <c r="A11571" s="86" t="str">
        <f>IFERROR(__xludf.DUMMYFUNCTION("""COMPUTED_VALUE"""),"")</f>
        <v/>
      </c>
      <c r="B11571" s="87"/>
      <c r="C11571" s="87"/>
      <c r="D11571" s="87"/>
      <c r="E11571" s="87"/>
      <c r="F11571" s="87"/>
      <c r="G11571" s="87"/>
    </row>
    <row r="11572">
      <c r="A11572" s="86" t="str">
        <f>IFERROR(__xludf.DUMMYFUNCTION("""COMPUTED_VALUE"""),"")</f>
        <v/>
      </c>
      <c r="B11572" s="87"/>
      <c r="C11572" s="87"/>
      <c r="D11572" s="87"/>
      <c r="E11572" s="87"/>
      <c r="F11572" s="87"/>
      <c r="G11572" s="87"/>
    </row>
    <row r="11573">
      <c r="A11573" s="86" t="str">
        <f>IFERROR(__xludf.DUMMYFUNCTION("""COMPUTED_VALUE"""),"")</f>
        <v/>
      </c>
      <c r="B11573" s="87"/>
      <c r="C11573" s="87"/>
      <c r="D11573" s="87"/>
      <c r="E11573" s="87"/>
      <c r="F11573" s="87"/>
      <c r="G11573" s="87"/>
    </row>
    <row r="11574">
      <c r="A11574" s="86" t="str">
        <f>IFERROR(__xludf.DUMMYFUNCTION("""COMPUTED_VALUE"""),"")</f>
        <v/>
      </c>
      <c r="B11574" s="87"/>
      <c r="C11574" s="87"/>
      <c r="D11574" s="87"/>
      <c r="E11574" s="87"/>
      <c r="F11574" s="87"/>
      <c r="G11574" s="87"/>
    </row>
    <row r="11575">
      <c r="A11575" s="86" t="str">
        <f>IFERROR(__xludf.DUMMYFUNCTION("""COMPUTED_VALUE"""),"")</f>
        <v/>
      </c>
      <c r="B11575" s="87"/>
      <c r="C11575" s="87"/>
      <c r="D11575" s="87"/>
      <c r="E11575" s="87"/>
      <c r="F11575" s="87"/>
      <c r="G11575" s="87"/>
    </row>
    <row r="11576">
      <c r="A11576" s="86" t="str">
        <f>IFERROR(__xludf.DUMMYFUNCTION("""COMPUTED_VALUE"""),"")</f>
        <v/>
      </c>
      <c r="B11576" s="87"/>
      <c r="C11576" s="87"/>
      <c r="D11576" s="87"/>
      <c r="E11576" s="87"/>
      <c r="F11576" s="87"/>
      <c r="G11576" s="87"/>
    </row>
    <row r="11577">
      <c r="A11577" s="86" t="str">
        <f>IFERROR(__xludf.DUMMYFUNCTION("""COMPUTED_VALUE"""),"")</f>
        <v/>
      </c>
      <c r="B11577" s="87"/>
      <c r="C11577" s="87"/>
      <c r="D11577" s="87"/>
      <c r="E11577" s="87"/>
      <c r="F11577" s="87"/>
      <c r="G11577" s="87"/>
    </row>
    <row r="11578">
      <c r="A11578" s="86" t="str">
        <f>IFERROR(__xludf.DUMMYFUNCTION("""COMPUTED_VALUE"""),"")</f>
        <v/>
      </c>
      <c r="B11578" s="87"/>
      <c r="C11578" s="87"/>
      <c r="D11578" s="87"/>
      <c r="E11578" s="87"/>
      <c r="F11578" s="87"/>
      <c r="G11578" s="87"/>
    </row>
    <row r="11579">
      <c r="A11579" s="86" t="str">
        <f>IFERROR(__xludf.DUMMYFUNCTION("""COMPUTED_VALUE"""),"")</f>
        <v/>
      </c>
      <c r="B11579" s="87"/>
      <c r="C11579" s="87"/>
      <c r="D11579" s="87"/>
      <c r="E11579" s="87"/>
      <c r="F11579" s="87"/>
      <c r="G11579" s="87"/>
    </row>
    <row r="11580">
      <c r="A11580" s="86" t="str">
        <f>IFERROR(__xludf.DUMMYFUNCTION("""COMPUTED_VALUE"""),"")</f>
        <v/>
      </c>
      <c r="B11580" s="87"/>
      <c r="C11580" s="87"/>
      <c r="D11580" s="87"/>
      <c r="E11580" s="87"/>
      <c r="F11580" s="87"/>
      <c r="G11580" s="87"/>
    </row>
    <row r="11581">
      <c r="A11581" s="86" t="str">
        <f>IFERROR(__xludf.DUMMYFUNCTION("""COMPUTED_VALUE"""),"")</f>
        <v/>
      </c>
      <c r="B11581" s="87"/>
      <c r="C11581" s="87"/>
      <c r="D11581" s="87"/>
      <c r="E11581" s="87"/>
      <c r="F11581" s="87"/>
      <c r="G11581" s="87"/>
    </row>
    <row r="11582">
      <c r="A11582" s="86" t="str">
        <f>IFERROR(__xludf.DUMMYFUNCTION("""COMPUTED_VALUE"""),"")</f>
        <v/>
      </c>
      <c r="B11582" s="87"/>
      <c r="C11582" s="87"/>
      <c r="D11582" s="87"/>
      <c r="E11582" s="87"/>
      <c r="F11582" s="87"/>
      <c r="G11582" s="87"/>
    </row>
    <row r="11583">
      <c r="A11583" s="86" t="str">
        <f>IFERROR(__xludf.DUMMYFUNCTION("""COMPUTED_VALUE"""),"")</f>
        <v/>
      </c>
      <c r="B11583" s="87"/>
      <c r="C11583" s="87"/>
      <c r="D11583" s="87"/>
      <c r="E11583" s="87"/>
      <c r="F11583" s="87"/>
      <c r="G11583" s="87"/>
    </row>
    <row r="11584">
      <c r="A11584" s="86" t="str">
        <f>IFERROR(__xludf.DUMMYFUNCTION("""COMPUTED_VALUE"""),"")</f>
        <v/>
      </c>
      <c r="B11584" s="87"/>
      <c r="C11584" s="87"/>
      <c r="D11584" s="87"/>
      <c r="E11584" s="87"/>
      <c r="F11584" s="87"/>
      <c r="G11584" s="87"/>
    </row>
    <row r="11585">
      <c r="A11585" s="86" t="str">
        <f>IFERROR(__xludf.DUMMYFUNCTION("""COMPUTED_VALUE"""),"")</f>
        <v/>
      </c>
      <c r="B11585" s="87"/>
      <c r="C11585" s="87"/>
      <c r="D11585" s="87"/>
      <c r="E11585" s="87"/>
      <c r="F11585" s="87"/>
      <c r="G11585" s="87"/>
    </row>
    <row r="11586">
      <c r="A11586" s="86" t="str">
        <f>IFERROR(__xludf.DUMMYFUNCTION("""COMPUTED_VALUE"""),"")</f>
        <v/>
      </c>
      <c r="B11586" s="87"/>
      <c r="C11586" s="87"/>
      <c r="D11586" s="87"/>
      <c r="E11586" s="87"/>
      <c r="F11586" s="87"/>
      <c r="G11586" s="87"/>
    </row>
    <row r="11587">
      <c r="A11587" s="86" t="str">
        <f>IFERROR(__xludf.DUMMYFUNCTION("""COMPUTED_VALUE"""),"")</f>
        <v/>
      </c>
      <c r="B11587" s="87"/>
      <c r="C11587" s="87"/>
      <c r="D11587" s="87"/>
      <c r="E11587" s="87"/>
      <c r="F11587" s="87"/>
      <c r="G11587" s="87"/>
    </row>
    <row r="11588">
      <c r="A11588" s="86" t="str">
        <f>IFERROR(__xludf.DUMMYFUNCTION("""COMPUTED_VALUE"""),"")</f>
        <v/>
      </c>
      <c r="B11588" s="87"/>
      <c r="C11588" s="87"/>
      <c r="D11588" s="87"/>
      <c r="E11588" s="87"/>
      <c r="F11588" s="87"/>
      <c r="G11588" s="87"/>
    </row>
    <row r="11589">
      <c r="A11589" s="86" t="str">
        <f>IFERROR(__xludf.DUMMYFUNCTION("""COMPUTED_VALUE"""),"")</f>
        <v/>
      </c>
      <c r="B11589" s="87"/>
      <c r="C11589" s="87"/>
      <c r="D11589" s="87"/>
      <c r="E11589" s="87"/>
      <c r="F11589" s="87"/>
      <c r="G11589" s="87"/>
    </row>
    <row r="11590">
      <c r="A11590" s="86" t="str">
        <f>IFERROR(__xludf.DUMMYFUNCTION("""COMPUTED_VALUE"""),"")</f>
        <v/>
      </c>
      <c r="B11590" s="87"/>
      <c r="C11590" s="87"/>
      <c r="D11590" s="87"/>
      <c r="E11590" s="87"/>
      <c r="F11590" s="87"/>
      <c r="G11590" s="87"/>
    </row>
    <row r="11591">
      <c r="A11591" s="86" t="str">
        <f>IFERROR(__xludf.DUMMYFUNCTION("""COMPUTED_VALUE"""),"")</f>
        <v/>
      </c>
      <c r="B11591" s="87"/>
      <c r="C11591" s="87"/>
      <c r="D11591" s="87"/>
      <c r="E11591" s="87"/>
      <c r="F11591" s="87"/>
      <c r="G11591" s="87"/>
    </row>
    <row r="11592">
      <c r="A11592" s="86" t="str">
        <f>IFERROR(__xludf.DUMMYFUNCTION("""COMPUTED_VALUE"""),"")</f>
        <v/>
      </c>
      <c r="B11592" s="87"/>
      <c r="C11592" s="87"/>
      <c r="D11592" s="87"/>
      <c r="E11592" s="87"/>
      <c r="F11592" s="87"/>
      <c r="G11592" s="87"/>
    </row>
    <row r="11593">
      <c r="A11593" s="86" t="str">
        <f>IFERROR(__xludf.DUMMYFUNCTION("""COMPUTED_VALUE"""),"")</f>
        <v/>
      </c>
      <c r="B11593" s="87"/>
      <c r="C11593" s="87"/>
      <c r="D11593" s="87"/>
      <c r="E11593" s="87"/>
      <c r="F11593" s="87"/>
      <c r="G11593" s="87"/>
    </row>
    <row r="11594">
      <c r="A11594" s="86" t="str">
        <f>IFERROR(__xludf.DUMMYFUNCTION("""COMPUTED_VALUE"""),"")</f>
        <v/>
      </c>
      <c r="B11594" s="87"/>
      <c r="C11594" s="87"/>
      <c r="D11594" s="87"/>
      <c r="E11594" s="87"/>
      <c r="F11594" s="87"/>
      <c r="G11594" s="87"/>
    </row>
    <row r="11595">
      <c r="A11595" s="86" t="str">
        <f>IFERROR(__xludf.DUMMYFUNCTION("""COMPUTED_VALUE"""),"")</f>
        <v/>
      </c>
      <c r="B11595" s="87"/>
      <c r="C11595" s="87"/>
      <c r="D11595" s="87"/>
      <c r="E11595" s="87"/>
      <c r="F11595" s="87"/>
      <c r="G11595" s="87"/>
    </row>
    <row r="11596">
      <c r="A11596" s="86" t="str">
        <f>IFERROR(__xludf.DUMMYFUNCTION("""COMPUTED_VALUE"""),"")</f>
        <v/>
      </c>
      <c r="B11596" s="87"/>
      <c r="C11596" s="87"/>
      <c r="D11596" s="87"/>
      <c r="E11596" s="87"/>
      <c r="F11596" s="87"/>
      <c r="G11596" s="87"/>
    </row>
    <row r="11597">
      <c r="A11597" s="86" t="str">
        <f>IFERROR(__xludf.DUMMYFUNCTION("""COMPUTED_VALUE"""),"")</f>
        <v/>
      </c>
      <c r="B11597" s="87"/>
      <c r="C11597" s="87"/>
      <c r="D11597" s="87"/>
      <c r="E11597" s="87"/>
      <c r="F11597" s="87"/>
      <c r="G11597" s="87"/>
    </row>
    <row r="11598">
      <c r="A11598" s="86" t="str">
        <f>IFERROR(__xludf.DUMMYFUNCTION("""COMPUTED_VALUE"""),"")</f>
        <v/>
      </c>
      <c r="B11598" s="87"/>
      <c r="C11598" s="87"/>
      <c r="D11598" s="87"/>
      <c r="E11598" s="87"/>
      <c r="F11598" s="87"/>
      <c r="G11598" s="87"/>
    </row>
    <row r="11599">
      <c r="A11599" s="86" t="str">
        <f>IFERROR(__xludf.DUMMYFUNCTION("""COMPUTED_VALUE"""),"")</f>
        <v/>
      </c>
      <c r="B11599" s="87"/>
      <c r="C11599" s="87"/>
      <c r="D11599" s="87"/>
      <c r="E11599" s="87"/>
      <c r="F11599" s="87"/>
      <c r="G11599" s="87"/>
    </row>
    <row r="11600">
      <c r="A11600" s="86" t="str">
        <f>IFERROR(__xludf.DUMMYFUNCTION("""COMPUTED_VALUE"""),"")</f>
        <v/>
      </c>
      <c r="B11600" s="87"/>
      <c r="C11600" s="87"/>
      <c r="D11600" s="87"/>
      <c r="E11600" s="87"/>
      <c r="F11600" s="87"/>
      <c r="G11600" s="87"/>
    </row>
    <row r="11601">
      <c r="A11601" s="86" t="str">
        <f>IFERROR(__xludf.DUMMYFUNCTION("""COMPUTED_VALUE"""),"")</f>
        <v/>
      </c>
      <c r="B11601" s="87"/>
      <c r="C11601" s="87"/>
      <c r="D11601" s="87"/>
      <c r="E11601" s="87"/>
      <c r="F11601" s="87"/>
      <c r="G11601" s="87"/>
    </row>
    <row r="11602">
      <c r="A11602" s="86" t="str">
        <f>IFERROR(__xludf.DUMMYFUNCTION("""COMPUTED_VALUE"""),"")</f>
        <v/>
      </c>
      <c r="B11602" s="87"/>
      <c r="C11602" s="87"/>
      <c r="D11602" s="87"/>
      <c r="E11602" s="87"/>
      <c r="F11602" s="87"/>
      <c r="G11602" s="87"/>
    </row>
    <row r="11603">
      <c r="A11603" s="86" t="str">
        <f>IFERROR(__xludf.DUMMYFUNCTION("""COMPUTED_VALUE"""),"")</f>
        <v/>
      </c>
      <c r="B11603" s="87"/>
      <c r="C11603" s="87"/>
      <c r="D11603" s="87"/>
      <c r="E11603" s="87"/>
      <c r="F11603" s="87"/>
      <c r="G11603" s="87"/>
    </row>
    <row r="11604">
      <c r="A11604" s="86" t="str">
        <f>IFERROR(__xludf.DUMMYFUNCTION("""COMPUTED_VALUE"""),"")</f>
        <v/>
      </c>
      <c r="B11604" s="87"/>
      <c r="C11604" s="87"/>
      <c r="D11604" s="87"/>
      <c r="E11604" s="87"/>
      <c r="F11604" s="87"/>
      <c r="G11604" s="87"/>
    </row>
    <row r="11605">
      <c r="A11605" s="86" t="str">
        <f>IFERROR(__xludf.DUMMYFUNCTION("""COMPUTED_VALUE"""),"")</f>
        <v/>
      </c>
      <c r="B11605" s="87"/>
      <c r="C11605" s="87"/>
      <c r="D11605" s="87"/>
      <c r="E11605" s="87"/>
      <c r="F11605" s="87"/>
      <c r="G11605" s="87"/>
    </row>
    <row r="11606">
      <c r="A11606" s="86" t="str">
        <f>IFERROR(__xludf.DUMMYFUNCTION("""COMPUTED_VALUE"""),"")</f>
        <v/>
      </c>
      <c r="B11606" s="87"/>
      <c r="C11606" s="87"/>
      <c r="D11606" s="87"/>
      <c r="E11606" s="87"/>
      <c r="F11606" s="87"/>
      <c r="G11606" s="87"/>
    </row>
    <row r="11607">
      <c r="A11607" s="86" t="str">
        <f>IFERROR(__xludf.DUMMYFUNCTION("""COMPUTED_VALUE"""),"")</f>
        <v/>
      </c>
      <c r="B11607" s="87"/>
      <c r="C11607" s="87"/>
      <c r="D11607" s="87"/>
      <c r="E11607" s="87"/>
      <c r="F11607" s="87"/>
      <c r="G11607" s="87"/>
    </row>
    <row r="11608">
      <c r="A11608" s="86" t="str">
        <f>IFERROR(__xludf.DUMMYFUNCTION("""COMPUTED_VALUE"""),"")</f>
        <v/>
      </c>
      <c r="B11608" s="87"/>
      <c r="C11608" s="87"/>
      <c r="D11608" s="87"/>
      <c r="E11608" s="87"/>
      <c r="F11608" s="87"/>
      <c r="G11608" s="87"/>
    </row>
    <row r="11609">
      <c r="A11609" s="86" t="str">
        <f>IFERROR(__xludf.DUMMYFUNCTION("""COMPUTED_VALUE"""),"")</f>
        <v/>
      </c>
      <c r="B11609" s="87"/>
      <c r="C11609" s="87"/>
      <c r="D11609" s="87"/>
      <c r="E11609" s="87"/>
      <c r="F11609" s="87"/>
      <c r="G11609" s="87"/>
    </row>
    <row r="11610">
      <c r="A11610" s="86" t="str">
        <f>IFERROR(__xludf.DUMMYFUNCTION("""COMPUTED_VALUE"""),"")</f>
        <v/>
      </c>
      <c r="B11610" s="87"/>
      <c r="C11610" s="87"/>
      <c r="D11610" s="87"/>
      <c r="E11610" s="87"/>
      <c r="F11610" s="87"/>
      <c r="G11610" s="87"/>
    </row>
    <row r="11611">
      <c r="A11611" s="86" t="str">
        <f>IFERROR(__xludf.DUMMYFUNCTION("""COMPUTED_VALUE"""),"")</f>
        <v/>
      </c>
      <c r="B11611" s="87"/>
      <c r="C11611" s="87"/>
      <c r="D11611" s="87"/>
      <c r="E11611" s="87"/>
      <c r="F11611" s="87"/>
      <c r="G11611" s="87"/>
    </row>
    <row r="11612">
      <c r="A11612" s="86" t="str">
        <f>IFERROR(__xludf.DUMMYFUNCTION("""COMPUTED_VALUE"""),"")</f>
        <v/>
      </c>
      <c r="B11612" s="87"/>
      <c r="C11612" s="87"/>
      <c r="D11612" s="87"/>
      <c r="E11612" s="87"/>
      <c r="F11612" s="87"/>
      <c r="G11612" s="87"/>
    </row>
    <row r="11613">
      <c r="A11613" s="86" t="str">
        <f>IFERROR(__xludf.DUMMYFUNCTION("""COMPUTED_VALUE"""),"")</f>
        <v/>
      </c>
      <c r="B11613" s="87"/>
      <c r="C11613" s="87"/>
      <c r="D11613" s="87"/>
      <c r="E11613" s="87"/>
      <c r="F11613" s="87"/>
      <c r="G11613" s="87"/>
    </row>
    <row r="11614">
      <c r="A11614" s="86" t="str">
        <f>IFERROR(__xludf.DUMMYFUNCTION("""COMPUTED_VALUE"""),"")</f>
        <v/>
      </c>
      <c r="B11614" s="87"/>
      <c r="C11614" s="87"/>
      <c r="D11614" s="87"/>
      <c r="E11614" s="87"/>
      <c r="F11614" s="87"/>
      <c r="G11614" s="87"/>
    </row>
    <row r="11615">
      <c r="A11615" s="86" t="str">
        <f>IFERROR(__xludf.DUMMYFUNCTION("""COMPUTED_VALUE"""),"")</f>
        <v/>
      </c>
      <c r="B11615" s="87"/>
      <c r="C11615" s="87"/>
      <c r="D11615" s="87"/>
      <c r="E11615" s="87"/>
      <c r="F11615" s="87"/>
      <c r="G11615" s="87"/>
    </row>
    <row r="11616">
      <c r="A11616" s="86" t="str">
        <f>IFERROR(__xludf.DUMMYFUNCTION("""COMPUTED_VALUE"""),"")</f>
        <v/>
      </c>
      <c r="B11616" s="87"/>
      <c r="C11616" s="87"/>
      <c r="D11616" s="87"/>
      <c r="E11616" s="87"/>
      <c r="F11616" s="87"/>
      <c r="G11616" s="87"/>
    </row>
    <row r="11617">
      <c r="A11617" s="86" t="str">
        <f>IFERROR(__xludf.DUMMYFUNCTION("""COMPUTED_VALUE"""),"")</f>
        <v/>
      </c>
      <c r="B11617" s="87"/>
      <c r="C11617" s="87"/>
      <c r="D11617" s="87"/>
      <c r="E11617" s="87"/>
      <c r="F11617" s="87"/>
      <c r="G11617" s="87"/>
    </row>
    <row r="11618">
      <c r="A11618" s="86" t="str">
        <f>IFERROR(__xludf.DUMMYFUNCTION("""COMPUTED_VALUE"""),"")</f>
        <v/>
      </c>
      <c r="B11618" s="87"/>
      <c r="C11618" s="87"/>
      <c r="D11618" s="87"/>
      <c r="E11618" s="87"/>
      <c r="F11618" s="87"/>
      <c r="G11618" s="87"/>
    </row>
    <row r="11619">
      <c r="A11619" s="86" t="str">
        <f>IFERROR(__xludf.DUMMYFUNCTION("""COMPUTED_VALUE"""),"")</f>
        <v/>
      </c>
      <c r="B11619" s="87"/>
      <c r="C11619" s="87"/>
      <c r="D11619" s="87"/>
      <c r="E11619" s="87"/>
      <c r="F11619" s="87"/>
      <c r="G11619" s="87"/>
    </row>
    <row r="11620">
      <c r="A11620" s="86" t="str">
        <f>IFERROR(__xludf.DUMMYFUNCTION("""COMPUTED_VALUE"""),"")</f>
        <v/>
      </c>
      <c r="B11620" s="87"/>
      <c r="C11620" s="87"/>
      <c r="D11620" s="87"/>
      <c r="E11620" s="87"/>
      <c r="F11620" s="87"/>
      <c r="G11620" s="87"/>
    </row>
    <row r="11621">
      <c r="A11621" s="86" t="str">
        <f>IFERROR(__xludf.DUMMYFUNCTION("""COMPUTED_VALUE"""),"")</f>
        <v/>
      </c>
      <c r="B11621" s="87"/>
      <c r="C11621" s="87"/>
      <c r="D11621" s="87"/>
      <c r="E11621" s="87"/>
      <c r="F11621" s="87"/>
      <c r="G11621" s="87"/>
    </row>
    <row r="11622">
      <c r="A11622" s="86" t="str">
        <f>IFERROR(__xludf.DUMMYFUNCTION("""COMPUTED_VALUE"""),"")</f>
        <v/>
      </c>
      <c r="B11622" s="87"/>
      <c r="C11622" s="87"/>
      <c r="D11622" s="87"/>
      <c r="E11622" s="87"/>
      <c r="F11622" s="87"/>
      <c r="G11622" s="87"/>
    </row>
    <row r="11623">
      <c r="A11623" s="86" t="str">
        <f>IFERROR(__xludf.DUMMYFUNCTION("""COMPUTED_VALUE"""),"")</f>
        <v/>
      </c>
      <c r="B11623" s="87"/>
      <c r="C11623" s="87"/>
      <c r="D11623" s="87"/>
      <c r="E11623" s="87"/>
      <c r="F11623" s="87"/>
      <c r="G11623" s="87"/>
    </row>
    <row r="11624">
      <c r="A11624" s="86" t="str">
        <f>IFERROR(__xludf.DUMMYFUNCTION("""COMPUTED_VALUE"""),"")</f>
        <v/>
      </c>
      <c r="B11624" s="87"/>
      <c r="C11624" s="87"/>
      <c r="D11624" s="87"/>
      <c r="E11624" s="87"/>
      <c r="F11624" s="87"/>
      <c r="G11624" s="87"/>
    </row>
    <row r="11625">
      <c r="A11625" s="86" t="str">
        <f>IFERROR(__xludf.DUMMYFUNCTION("""COMPUTED_VALUE"""),"")</f>
        <v/>
      </c>
      <c r="B11625" s="87"/>
      <c r="C11625" s="87"/>
      <c r="D11625" s="87"/>
      <c r="E11625" s="87"/>
      <c r="F11625" s="87"/>
      <c r="G11625" s="87"/>
    </row>
    <row r="11626">
      <c r="A11626" s="86" t="str">
        <f>IFERROR(__xludf.DUMMYFUNCTION("""COMPUTED_VALUE"""),"")</f>
        <v/>
      </c>
      <c r="B11626" s="87"/>
      <c r="C11626" s="87"/>
      <c r="D11626" s="87"/>
      <c r="E11626" s="87"/>
      <c r="F11626" s="87"/>
      <c r="G11626" s="87"/>
    </row>
    <row r="11627">
      <c r="A11627" s="86" t="str">
        <f>IFERROR(__xludf.DUMMYFUNCTION("""COMPUTED_VALUE"""),"")</f>
        <v/>
      </c>
      <c r="B11627" s="87"/>
      <c r="C11627" s="87"/>
      <c r="D11627" s="87"/>
      <c r="E11627" s="87"/>
      <c r="F11627" s="87"/>
      <c r="G11627" s="87"/>
    </row>
    <row r="11628">
      <c r="A11628" s="86" t="str">
        <f>IFERROR(__xludf.DUMMYFUNCTION("""COMPUTED_VALUE"""),"")</f>
        <v/>
      </c>
      <c r="B11628" s="87"/>
      <c r="C11628" s="87"/>
      <c r="D11628" s="87"/>
      <c r="E11628" s="87"/>
      <c r="F11628" s="87"/>
      <c r="G11628" s="87"/>
    </row>
    <row r="11629">
      <c r="A11629" s="86" t="str">
        <f>IFERROR(__xludf.DUMMYFUNCTION("""COMPUTED_VALUE"""),"")</f>
        <v/>
      </c>
      <c r="B11629" s="87"/>
      <c r="C11629" s="87"/>
      <c r="D11629" s="87"/>
      <c r="E11629" s="87"/>
      <c r="F11629" s="87"/>
      <c r="G11629" s="87"/>
    </row>
    <row r="11630">
      <c r="A11630" s="86" t="str">
        <f>IFERROR(__xludf.DUMMYFUNCTION("""COMPUTED_VALUE"""),"")</f>
        <v/>
      </c>
      <c r="B11630" s="87"/>
      <c r="C11630" s="87"/>
      <c r="D11630" s="87"/>
      <c r="E11630" s="87"/>
      <c r="F11630" s="87"/>
      <c r="G11630" s="87"/>
    </row>
    <row r="11631">
      <c r="A11631" s="86" t="str">
        <f>IFERROR(__xludf.DUMMYFUNCTION("""COMPUTED_VALUE"""),"")</f>
        <v/>
      </c>
      <c r="B11631" s="87"/>
      <c r="C11631" s="87"/>
      <c r="D11631" s="87"/>
      <c r="E11631" s="87"/>
      <c r="F11631" s="87"/>
      <c r="G11631" s="87"/>
    </row>
    <row r="11632">
      <c r="A11632" s="86" t="str">
        <f>IFERROR(__xludf.DUMMYFUNCTION("""COMPUTED_VALUE"""),"")</f>
        <v/>
      </c>
      <c r="B11632" s="87"/>
      <c r="C11632" s="87"/>
      <c r="D11632" s="87"/>
      <c r="E11632" s="87"/>
      <c r="F11632" s="87"/>
      <c r="G11632" s="87"/>
    </row>
    <row r="11633">
      <c r="A11633" s="86" t="str">
        <f>IFERROR(__xludf.DUMMYFUNCTION("""COMPUTED_VALUE"""),"")</f>
        <v/>
      </c>
      <c r="B11633" s="87"/>
      <c r="C11633" s="87"/>
      <c r="D11633" s="87"/>
      <c r="E11633" s="87"/>
      <c r="F11633" s="87"/>
      <c r="G11633" s="87"/>
    </row>
    <row r="11634">
      <c r="A11634" s="86" t="str">
        <f>IFERROR(__xludf.DUMMYFUNCTION("""COMPUTED_VALUE"""),"")</f>
        <v/>
      </c>
      <c r="B11634" s="87"/>
      <c r="C11634" s="87"/>
      <c r="D11634" s="87"/>
      <c r="E11634" s="87"/>
      <c r="F11634" s="87"/>
      <c r="G11634" s="87"/>
    </row>
    <row r="11635">
      <c r="A11635" s="86" t="str">
        <f>IFERROR(__xludf.DUMMYFUNCTION("""COMPUTED_VALUE"""),"")</f>
        <v/>
      </c>
      <c r="B11635" s="87"/>
      <c r="C11635" s="87"/>
      <c r="D11635" s="87"/>
      <c r="E11635" s="87"/>
      <c r="F11635" s="87"/>
      <c r="G11635" s="87"/>
    </row>
    <row r="11636">
      <c r="A11636" s="86" t="str">
        <f>IFERROR(__xludf.DUMMYFUNCTION("""COMPUTED_VALUE"""),"")</f>
        <v/>
      </c>
      <c r="B11636" s="87"/>
      <c r="C11636" s="87"/>
      <c r="D11636" s="87"/>
      <c r="E11636" s="87"/>
      <c r="F11636" s="87"/>
      <c r="G11636" s="87"/>
    </row>
    <row r="11637">
      <c r="A11637" s="86" t="str">
        <f>IFERROR(__xludf.DUMMYFUNCTION("""COMPUTED_VALUE"""),"")</f>
        <v/>
      </c>
      <c r="B11637" s="87"/>
      <c r="C11637" s="87"/>
      <c r="D11637" s="87"/>
      <c r="E11637" s="87"/>
      <c r="F11637" s="87"/>
      <c r="G11637" s="87"/>
    </row>
    <row r="11638">
      <c r="A11638" s="86" t="str">
        <f>IFERROR(__xludf.DUMMYFUNCTION("""COMPUTED_VALUE"""),"")</f>
        <v/>
      </c>
      <c r="B11638" s="87"/>
      <c r="C11638" s="87"/>
      <c r="D11638" s="87"/>
      <c r="E11638" s="87"/>
      <c r="F11638" s="87"/>
      <c r="G11638" s="87"/>
    </row>
    <row r="11639">
      <c r="A11639" s="86" t="str">
        <f>IFERROR(__xludf.DUMMYFUNCTION("""COMPUTED_VALUE"""),"")</f>
        <v/>
      </c>
      <c r="B11639" s="87"/>
      <c r="C11639" s="87"/>
      <c r="D11639" s="87"/>
      <c r="E11639" s="87"/>
      <c r="F11639" s="87"/>
      <c r="G11639" s="87"/>
    </row>
    <row r="11640">
      <c r="A11640" s="86" t="str">
        <f>IFERROR(__xludf.DUMMYFUNCTION("""COMPUTED_VALUE"""),"")</f>
        <v/>
      </c>
      <c r="B11640" s="87"/>
      <c r="C11640" s="87"/>
      <c r="D11640" s="87"/>
      <c r="E11640" s="87"/>
      <c r="F11640" s="87"/>
      <c r="G11640" s="87"/>
    </row>
    <row r="11641">
      <c r="A11641" s="86" t="str">
        <f>IFERROR(__xludf.DUMMYFUNCTION("""COMPUTED_VALUE"""),"")</f>
        <v/>
      </c>
      <c r="B11641" s="87"/>
      <c r="C11641" s="87"/>
      <c r="D11641" s="87"/>
      <c r="E11641" s="87"/>
      <c r="F11641" s="87"/>
      <c r="G11641" s="87"/>
    </row>
    <row r="11642">
      <c r="A11642" s="86" t="str">
        <f>IFERROR(__xludf.DUMMYFUNCTION("""COMPUTED_VALUE"""),"")</f>
        <v/>
      </c>
      <c r="B11642" s="87"/>
      <c r="C11642" s="87"/>
      <c r="D11642" s="87"/>
      <c r="E11642" s="87"/>
      <c r="F11642" s="87"/>
      <c r="G11642" s="87"/>
    </row>
    <row r="11643">
      <c r="A11643" s="86" t="str">
        <f>IFERROR(__xludf.DUMMYFUNCTION("""COMPUTED_VALUE"""),"")</f>
        <v/>
      </c>
      <c r="B11643" s="87"/>
      <c r="C11643" s="87"/>
      <c r="D11643" s="87"/>
      <c r="E11643" s="87"/>
      <c r="F11643" s="87"/>
      <c r="G11643" s="87"/>
    </row>
    <row r="11644">
      <c r="A11644" s="86" t="str">
        <f>IFERROR(__xludf.DUMMYFUNCTION("""COMPUTED_VALUE"""),"")</f>
        <v/>
      </c>
      <c r="B11644" s="87"/>
      <c r="C11644" s="87"/>
      <c r="D11644" s="87"/>
      <c r="E11644" s="87"/>
      <c r="F11644" s="87"/>
      <c r="G11644" s="87"/>
    </row>
    <row r="11645">
      <c r="A11645" s="86" t="str">
        <f>IFERROR(__xludf.DUMMYFUNCTION("""COMPUTED_VALUE"""),"")</f>
        <v/>
      </c>
      <c r="B11645" s="87"/>
      <c r="C11645" s="87"/>
      <c r="D11645" s="87"/>
      <c r="E11645" s="87"/>
      <c r="F11645" s="87"/>
      <c r="G11645" s="87"/>
    </row>
    <row r="11646">
      <c r="A11646" s="86" t="str">
        <f>IFERROR(__xludf.DUMMYFUNCTION("""COMPUTED_VALUE"""),"")</f>
        <v/>
      </c>
      <c r="B11646" s="87"/>
      <c r="C11646" s="87"/>
      <c r="D11646" s="87"/>
      <c r="E11646" s="87"/>
      <c r="F11646" s="87"/>
      <c r="G11646" s="87"/>
    </row>
    <row r="11647">
      <c r="A11647" s="86" t="str">
        <f>IFERROR(__xludf.DUMMYFUNCTION("""COMPUTED_VALUE"""),"")</f>
        <v/>
      </c>
      <c r="B11647" s="87"/>
      <c r="C11647" s="87"/>
      <c r="D11647" s="87"/>
      <c r="E11647" s="87"/>
      <c r="F11647" s="87"/>
      <c r="G11647" s="87"/>
    </row>
    <row r="11648">
      <c r="A11648" s="86" t="str">
        <f>IFERROR(__xludf.DUMMYFUNCTION("""COMPUTED_VALUE"""),"")</f>
        <v/>
      </c>
      <c r="B11648" s="87"/>
      <c r="C11648" s="87"/>
      <c r="D11648" s="87"/>
      <c r="E11648" s="87"/>
      <c r="F11648" s="87"/>
      <c r="G11648" s="87"/>
    </row>
    <row r="11649">
      <c r="A11649" s="86" t="str">
        <f>IFERROR(__xludf.DUMMYFUNCTION("""COMPUTED_VALUE"""),"")</f>
        <v/>
      </c>
      <c r="B11649" s="87"/>
      <c r="C11649" s="87"/>
      <c r="D11649" s="87"/>
      <c r="E11649" s="87"/>
      <c r="F11649" s="87"/>
      <c r="G11649" s="87"/>
    </row>
    <row r="11650">
      <c r="A11650" s="86" t="str">
        <f>IFERROR(__xludf.DUMMYFUNCTION("""COMPUTED_VALUE"""),"")</f>
        <v/>
      </c>
      <c r="B11650" s="87"/>
      <c r="C11650" s="87"/>
      <c r="D11650" s="87"/>
      <c r="E11650" s="87"/>
      <c r="F11650" s="87"/>
      <c r="G11650" s="87"/>
    </row>
    <row r="11651">
      <c r="A11651" s="86" t="str">
        <f>IFERROR(__xludf.DUMMYFUNCTION("""COMPUTED_VALUE"""),"")</f>
        <v/>
      </c>
      <c r="B11651" s="87"/>
      <c r="C11651" s="87"/>
      <c r="D11651" s="87"/>
      <c r="E11651" s="87"/>
      <c r="F11651" s="87"/>
      <c r="G11651" s="87"/>
    </row>
    <row r="11652">
      <c r="A11652" s="86" t="str">
        <f>IFERROR(__xludf.DUMMYFUNCTION("""COMPUTED_VALUE"""),"")</f>
        <v/>
      </c>
      <c r="B11652" s="87"/>
      <c r="C11652" s="87"/>
      <c r="D11652" s="87"/>
      <c r="E11652" s="87"/>
      <c r="F11652" s="87"/>
      <c r="G11652" s="87"/>
    </row>
    <row r="11653">
      <c r="A11653" s="86" t="str">
        <f>IFERROR(__xludf.DUMMYFUNCTION("""COMPUTED_VALUE"""),"")</f>
        <v/>
      </c>
      <c r="B11653" s="87"/>
      <c r="C11653" s="87"/>
      <c r="D11653" s="87"/>
      <c r="E11653" s="87"/>
      <c r="F11653" s="87"/>
      <c r="G11653" s="87"/>
    </row>
    <row r="11654">
      <c r="A11654" s="86" t="str">
        <f>IFERROR(__xludf.DUMMYFUNCTION("""COMPUTED_VALUE"""),"")</f>
        <v/>
      </c>
      <c r="B11654" s="87"/>
      <c r="C11654" s="87"/>
      <c r="D11654" s="87"/>
      <c r="E11654" s="87"/>
      <c r="F11654" s="87"/>
      <c r="G11654" s="87"/>
    </row>
    <row r="11655">
      <c r="A11655" s="86" t="str">
        <f>IFERROR(__xludf.DUMMYFUNCTION("""COMPUTED_VALUE"""),"")</f>
        <v/>
      </c>
      <c r="B11655" s="87"/>
      <c r="C11655" s="87"/>
      <c r="D11655" s="87"/>
      <c r="E11655" s="87"/>
      <c r="F11655" s="87"/>
      <c r="G11655" s="87"/>
    </row>
    <row r="11656">
      <c r="A11656" s="86" t="str">
        <f>IFERROR(__xludf.DUMMYFUNCTION("""COMPUTED_VALUE"""),"")</f>
        <v/>
      </c>
      <c r="B11656" s="87"/>
      <c r="C11656" s="87"/>
      <c r="D11656" s="87"/>
      <c r="E11656" s="87"/>
      <c r="F11656" s="87"/>
      <c r="G11656" s="87"/>
    </row>
    <row r="11657">
      <c r="A11657" s="86" t="str">
        <f>IFERROR(__xludf.DUMMYFUNCTION("""COMPUTED_VALUE"""),"")</f>
        <v/>
      </c>
      <c r="B11657" s="87"/>
      <c r="C11657" s="87"/>
      <c r="D11657" s="87"/>
      <c r="E11657" s="87"/>
      <c r="F11657" s="87"/>
      <c r="G11657" s="87"/>
    </row>
    <row r="11658">
      <c r="A11658" s="86" t="str">
        <f>IFERROR(__xludf.DUMMYFUNCTION("""COMPUTED_VALUE"""),"")</f>
        <v/>
      </c>
      <c r="B11658" s="87"/>
      <c r="C11658" s="87"/>
      <c r="D11658" s="87"/>
      <c r="E11658" s="87"/>
      <c r="F11658" s="87"/>
      <c r="G11658" s="87"/>
    </row>
    <row r="11659">
      <c r="A11659" s="86" t="str">
        <f>IFERROR(__xludf.DUMMYFUNCTION("""COMPUTED_VALUE"""),"")</f>
        <v/>
      </c>
      <c r="B11659" s="87"/>
      <c r="C11659" s="87"/>
      <c r="D11659" s="87"/>
      <c r="E11659" s="87"/>
      <c r="F11659" s="87"/>
      <c r="G11659" s="87"/>
    </row>
    <row r="11660">
      <c r="A11660" s="86" t="str">
        <f>IFERROR(__xludf.DUMMYFUNCTION("""COMPUTED_VALUE"""),"")</f>
        <v/>
      </c>
      <c r="B11660" s="87"/>
      <c r="C11660" s="87"/>
      <c r="D11660" s="87"/>
      <c r="E11660" s="87"/>
      <c r="F11660" s="87"/>
      <c r="G11660" s="87"/>
    </row>
    <row r="11661">
      <c r="A11661" s="86" t="str">
        <f>IFERROR(__xludf.DUMMYFUNCTION("""COMPUTED_VALUE"""),"")</f>
        <v/>
      </c>
      <c r="B11661" s="87"/>
      <c r="C11661" s="87"/>
      <c r="D11661" s="87"/>
      <c r="E11661" s="87"/>
      <c r="F11661" s="87"/>
      <c r="G11661" s="87"/>
    </row>
    <row r="11662">
      <c r="A11662" s="86" t="str">
        <f>IFERROR(__xludf.DUMMYFUNCTION("""COMPUTED_VALUE"""),"")</f>
        <v/>
      </c>
      <c r="B11662" s="87"/>
      <c r="C11662" s="87"/>
      <c r="D11662" s="87"/>
      <c r="E11662" s="87"/>
      <c r="F11662" s="87"/>
      <c r="G11662" s="87"/>
    </row>
    <row r="11663">
      <c r="A11663" s="86" t="str">
        <f>IFERROR(__xludf.DUMMYFUNCTION("""COMPUTED_VALUE"""),"")</f>
        <v/>
      </c>
      <c r="B11663" s="87"/>
      <c r="C11663" s="87"/>
      <c r="D11663" s="87"/>
      <c r="E11663" s="87"/>
      <c r="F11663" s="87"/>
      <c r="G11663" s="87"/>
    </row>
    <row r="11664">
      <c r="A11664" s="86" t="str">
        <f>IFERROR(__xludf.DUMMYFUNCTION("""COMPUTED_VALUE"""),"")</f>
        <v/>
      </c>
      <c r="B11664" s="87"/>
      <c r="C11664" s="87"/>
      <c r="D11664" s="87"/>
      <c r="E11664" s="87"/>
      <c r="F11664" s="87"/>
      <c r="G11664" s="87"/>
    </row>
    <row r="11665">
      <c r="A11665" s="86" t="str">
        <f>IFERROR(__xludf.DUMMYFUNCTION("""COMPUTED_VALUE"""),"")</f>
        <v/>
      </c>
      <c r="B11665" s="87"/>
      <c r="C11665" s="87"/>
      <c r="D11665" s="87"/>
      <c r="E11665" s="87"/>
      <c r="F11665" s="87"/>
      <c r="G11665" s="87"/>
    </row>
    <row r="11666">
      <c r="A11666" s="86" t="str">
        <f>IFERROR(__xludf.DUMMYFUNCTION("""COMPUTED_VALUE"""),"")</f>
        <v/>
      </c>
      <c r="B11666" s="87"/>
      <c r="C11666" s="87"/>
      <c r="D11666" s="87"/>
      <c r="E11666" s="87"/>
      <c r="F11666" s="87"/>
      <c r="G11666" s="87"/>
    </row>
    <row r="11667">
      <c r="A11667" s="86" t="str">
        <f>IFERROR(__xludf.DUMMYFUNCTION("""COMPUTED_VALUE"""),"")</f>
        <v/>
      </c>
      <c r="B11667" s="87"/>
      <c r="C11667" s="87"/>
      <c r="D11667" s="87"/>
      <c r="E11667" s="87"/>
      <c r="F11667" s="87"/>
      <c r="G11667" s="87"/>
    </row>
    <row r="11668">
      <c r="A11668" s="86" t="str">
        <f>IFERROR(__xludf.DUMMYFUNCTION("""COMPUTED_VALUE"""),"")</f>
        <v/>
      </c>
      <c r="B11668" s="87"/>
      <c r="C11668" s="87"/>
      <c r="D11668" s="87"/>
      <c r="E11668" s="87"/>
      <c r="F11668" s="87"/>
      <c r="G11668" s="87"/>
    </row>
    <row r="11669">
      <c r="A11669" s="86" t="str">
        <f>IFERROR(__xludf.DUMMYFUNCTION("""COMPUTED_VALUE"""),"")</f>
        <v/>
      </c>
      <c r="B11669" s="87"/>
      <c r="C11669" s="87"/>
      <c r="D11669" s="87"/>
      <c r="E11669" s="87"/>
      <c r="F11669" s="87"/>
      <c r="G11669" s="87"/>
    </row>
    <row r="11670">
      <c r="A11670" s="86" t="str">
        <f>IFERROR(__xludf.DUMMYFUNCTION("""COMPUTED_VALUE"""),"")</f>
        <v/>
      </c>
      <c r="B11670" s="87"/>
      <c r="C11670" s="87"/>
      <c r="D11670" s="87"/>
      <c r="E11670" s="87"/>
      <c r="F11670" s="87"/>
      <c r="G11670" s="87"/>
    </row>
    <row r="11671">
      <c r="A11671" s="86" t="str">
        <f>IFERROR(__xludf.DUMMYFUNCTION("""COMPUTED_VALUE"""),"")</f>
        <v/>
      </c>
      <c r="B11671" s="87"/>
      <c r="C11671" s="87"/>
      <c r="D11671" s="87"/>
      <c r="E11671" s="87"/>
      <c r="F11671" s="87"/>
      <c r="G11671" s="87"/>
    </row>
    <row r="11672">
      <c r="A11672" s="86" t="str">
        <f>IFERROR(__xludf.DUMMYFUNCTION("""COMPUTED_VALUE"""),"")</f>
        <v/>
      </c>
      <c r="B11672" s="87"/>
      <c r="C11672" s="87"/>
      <c r="D11672" s="87"/>
      <c r="E11672" s="87"/>
      <c r="F11672" s="87"/>
      <c r="G11672" s="87"/>
    </row>
    <row r="11673">
      <c r="A11673" s="86" t="str">
        <f>IFERROR(__xludf.DUMMYFUNCTION("""COMPUTED_VALUE"""),"")</f>
        <v/>
      </c>
      <c r="B11673" s="87"/>
      <c r="C11673" s="87"/>
      <c r="D11673" s="87"/>
      <c r="E11673" s="87"/>
      <c r="F11673" s="87"/>
      <c r="G11673" s="87"/>
    </row>
    <row r="11674">
      <c r="A11674" s="86" t="str">
        <f>IFERROR(__xludf.DUMMYFUNCTION("""COMPUTED_VALUE"""),"")</f>
        <v/>
      </c>
      <c r="B11674" s="87"/>
      <c r="C11674" s="87"/>
      <c r="D11674" s="87"/>
      <c r="E11674" s="87"/>
      <c r="F11674" s="87"/>
      <c r="G11674" s="87"/>
    </row>
    <row r="11675">
      <c r="A11675" s="86" t="str">
        <f>IFERROR(__xludf.DUMMYFUNCTION("""COMPUTED_VALUE"""),"")</f>
        <v/>
      </c>
      <c r="B11675" s="87"/>
      <c r="C11675" s="87"/>
      <c r="D11675" s="87"/>
      <c r="E11675" s="87"/>
      <c r="F11675" s="87"/>
      <c r="G11675" s="87"/>
    </row>
    <row r="11676">
      <c r="A11676" s="86" t="str">
        <f>IFERROR(__xludf.DUMMYFUNCTION("""COMPUTED_VALUE"""),"")</f>
        <v/>
      </c>
      <c r="B11676" s="87"/>
      <c r="C11676" s="87"/>
      <c r="D11676" s="87"/>
      <c r="E11676" s="87"/>
      <c r="F11676" s="87"/>
      <c r="G11676" s="87"/>
    </row>
    <row r="11677">
      <c r="A11677" s="86" t="str">
        <f>IFERROR(__xludf.DUMMYFUNCTION("""COMPUTED_VALUE"""),"")</f>
        <v/>
      </c>
      <c r="B11677" s="87"/>
      <c r="C11677" s="87"/>
      <c r="D11677" s="87"/>
      <c r="E11677" s="87"/>
      <c r="F11677" s="87"/>
      <c r="G11677" s="87"/>
    </row>
    <row r="11678">
      <c r="A11678" s="86" t="str">
        <f>IFERROR(__xludf.DUMMYFUNCTION("""COMPUTED_VALUE"""),"")</f>
        <v/>
      </c>
      <c r="B11678" s="87"/>
      <c r="C11678" s="87"/>
      <c r="D11678" s="87"/>
      <c r="E11678" s="87"/>
      <c r="F11678" s="87"/>
      <c r="G11678" s="87"/>
    </row>
    <row r="11679">
      <c r="A11679" s="86" t="str">
        <f>IFERROR(__xludf.DUMMYFUNCTION("""COMPUTED_VALUE"""),"")</f>
        <v/>
      </c>
      <c r="B11679" s="87"/>
      <c r="C11679" s="87"/>
      <c r="D11679" s="87"/>
      <c r="E11679" s="87"/>
      <c r="F11679" s="87"/>
      <c r="G11679" s="87"/>
    </row>
    <row r="11680">
      <c r="A11680" s="86" t="str">
        <f>IFERROR(__xludf.DUMMYFUNCTION("""COMPUTED_VALUE"""),"")</f>
        <v/>
      </c>
      <c r="B11680" s="87"/>
      <c r="C11680" s="87"/>
      <c r="D11680" s="87"/>
      <c r="E11680" s="87"/>
      <c r="F11680" s="87"/>
      <c r="G11680" s="87"/>
    </row>
    <row r="11681">
      <c r="A11681" s="86" t="str">
        <f>IFERROR(__xludf.DUMMYFUNCTION("""COMPUTED_VALUE"""),"")</f>
        <v/>
      </c>
      <c r="B11681" s="87"/>
      <c r="C11681" s="87"/>
      <c r="D11681" s="87"/>
      <c r="E11681" s="87"/>
      <c r="F11681" s="87"/>
      <c r="G11681" s="87"/>
    </row>
    <row r="11682">
      <c r="A11682" s="86" t="str">
        <f>IFERROR(__xludf.DUMMYFUNCTION("""COMPUTED_VALUE"""),"")</f>
        <v/>
      </c>
      <c r="B11682" s="87"/>
      <c r="C11682" s="87"/>
      <c r="D11682" s="87"/>
      <c r="E11682" s="87"/>
      <c r="F11682" s="87"/>
      <c r="G11682" s="87"/>
    </row>
    <row r="11683">
      <c r="A11683" s="86" t="str">
        <f>IFERROR(__xludf.DUMMYFUNCTION("""COMPUTED_VALUE"""),"")</f>
        <v/>
      </c>
      <c r="B11683" s="87"/>
      <c r="C11683" s="87"/>
      <c r="D11683" s="87"/>
      <c r="E11683" s="87"/>
      <c r="F11683" s="87"/>
      <c r="G11683" s="87"/>
    </row>
    <row r="11684">
      <c r="A11684" s="86" t="str">
        <f>IFERROR(__xludf.DUMMYFUNCTION("""COMPUTED_VALUE"""),"")</f>
        <v/>
      </c>
      <c r="B11684" s="87"/>
      <c r="C11684" s="87"/>
      <c r="D11684" s="87"/>
      <c r="E11684" s="87"/>
      <c r="F11684" s="87"/>
      <c r="G11684" s="87"/>
    </row>
    <row r="11685">
      <c r="A11685" s="86" t="str">
        <f>IFERROR(__xludf.DUMMYFUNCTION("""COMPUTED_VALUE"""),"")</f>
        <v/>
      </c>
      <c r="B11685" s="87"/>
      <c r="C11685" s="87"/>
      <c r="D11685" s="87"/>
      <c r="E11685" s="87"/>
      <c r="F11685" s="87"/>
      <c r="G11685" s="87"/>
    </row>
    <row r="11686">
      <c r="A11686" s="86" t="str">
        <f>IFERROR(__xludf.DUMMYFUNCTION("""COMPUTED_VALUE"""),"")</f>
        <v/>
      </c>
      <c r="B11686" s="87"/>
      <c r="C11686" s="87"/>
      <c r="D11686" s="87"/>
      <c r="E11686" s="87"/>
      <c r="F11686" s="87"/>
      <c r="G11686" s="87"/>
    </row>
    <row r="11687">
      <c r="A11687" s="86" t="str">
        <f>IFERROR(__xludf.DUMMYFUNCTION("""COMPUTED_VALUE"""),"")</f>
        <v/>
      </c>
      <c r="B11687" s="87"/>
      <c r="C11687" s="87"/>
      <c r="D11687" s="87"/>
      <c r="E11687" s="87"/>
      <c r="F11687" s="87"/>
      <c r="G11687" s="87"/>
    </row>
    <row r="11688">
      <c r="A11688" s="86" t="str">
        <f>IFERROR(__xludf.DUMMYFUNCTION("""COMPUTED_VALUE"""),"")</f>
        <v/>
      </c>
      <c r="B11688" s="87"/>
      <c r="C11688" s="87"/>
      <c r="D11688" s="87"/>
      <c r="E11688" s="87"/>
      <c r="F11688" s="87"/>
      <c r="G11688" s="87"/>
    </row>
    <row r="11689">
      <c r="A11689" s="86" t="str">
        <f>IFERROR(__xludf.DUMMYFUNCTION("""COMPUTED_VALUE"""),"")</f>
        <v/>
      </c>
      <c r="B11689" s="87"/>
      <c r="C11689" s="87"/>
      <c r="D11689" s="87"/>
      <c r="E11689" s="87"/>
      <c r="F11689" s="87"/>
      <c r="G11689" s="87"/>
    </row>
    <row r="11690">
      <c r="A11690" s="86" t="str">
        <f>IFERROR(__xludf.DUMMYFUNCTION("""COMPUTED_VALUE"""),"")</f>
        <v/>
      </c>
      <c r="B11690" s="87"/>
      <c r="C11690" s="87"/>
      <c r="D11690" s="87"/>
      <c r="E11690" s="87"/>
      <c r="F11690" s="87"/>
      <c r="G11690" s="87"/>
    </row>
    <row r="11691">
      <c r="A11691" s="86" t="str">
        <f>IFERROR(__xludf.DUMMYFUNCTION("""COMPUTED_VALUE"""),"")</f>
        <v/>
      </c>
      <c r="B11691" s="87"/>
      <c r="C11691" s="87"/>
      <c r="D11691" s="87"/>
      <c r="E11691" s="87"/>
      <c r="F11691" s="87"/>
      <c r="G11691" s="87"/>
    </row>
    <row r="11692">
      <c r="A11692" s="86" t="str">
        <f>IFERROR(__xludf.DUMMYFUNCTION("""COMPUTED_VALUE"""),"")</f>
        <v/>
      </c>
      <c r="B11692" s="87"/>
      <c r="C11692" s="87"/>
      <c r="D11692" s="87"/>
      <c r="E11692" s="87"/>
      <c r="F11692" s="87"/>
      <c r="G11692" s="87"/>
    </row>
    <row r="11693">
      <c r="A11693" s="86" t="str">
        <f>IFERROR(__xludf.DUMMYFUNCTION("""COMPUTED_VALUE"""),"")</f>
        <v/>
      </c>
      <c r="B11693" s="87"/>
      <c r="C11693" s="87"/>
      <c r="D11693" s="87"/>
      <c r="E11693" s="87"/>
      <c r="F11693" s="87"/>
      <c r="G11693" s="87"/>
    </row>
    <row r="11694">
      <c r="A11694" s="86" t="str">
        <f>IFERROR(__xludf.DUMMYFUNCTION("""COMPUTED_VALUE"""),"")</f>
        <v/>
      </c>
      <c r="B11694" s="87"/>
      <c r="C11694" s="87"/>
      <c r="D11694" s="87"/>
      <c r="E11694" s="87"/>
      <c r="F11694" s="87"/>
      <c r="G11694" s="87"/>
    </row>
    <row r="11695">
      <c r="A11695" s="86" t="str">
        <f>IFERROR(__xludf.DUMMYFUNCTION("""COMPUTED_VALUE"""),"")</f>
        <v/>
      </c>
      <c r="B11695" s="87"/>
      <c r="C11695" s="87"/>
      <c r="D11695" s="87"/>
      <c r="E11695" s="87"/>
      <c r="F11695" s="87"/>
      <c r="G11695" s="87"/>
    </row>
    <row r="11696">
      <c r="A11696" s="86" t="str">
        <f>IFERROR(__xludf.DUMMYFUNCTION("""COMPUTED_VALUE"""),"")</f>
        <v/>
      </c>
      <c r="B11696" s="87"/>
      <c r="C11696" s="87"/>
      <c r="D11696" s="87"/>
      <c r="E11696" s="87"/>
      <c r="F11696" s="87"/>
      <c r="G11696" s="87"/>
    </row>
    <row r="11697">
      <c r="A11697" s="86" t="str">
        <f>IFERROR(__xludf.DUMMYFUNCTION("""COMPUTED_VALUE"""),"")</f>
        <v/>
      </c>
      <c r="B11697" s="87"/>
      <c r="C11697" s="87"/>
      <c r="D11697" s="87"/>
      <c r="E11697" s="87"/>
      <c r="F11697" s="87"/>
      <c r="G11697" s="87"/>
    </row>
    <row r="11698">
      <c r="A11698" s="86" t="str">
        <f>IFERROR(__xludf.DUMMYFUNCTION("""COMPUTED_VALUE"""),"")</f>
        <v/>
      </c>
      <c r="B11698" s="87"/>
      <c r="C11698" s="87"/>
      <c r="D11698" s="87"/>
      <c r="E11698" s="87"/>
      <c r="F11698" s="87"/>
      <c r="G11698" s="87"/>
    </row>
    <row r="11699">
      <c r="A11699" s="86" t="str">
        <f>IFERROR(__xludf.DUMMYFUNCTION("""COMPUTED_VALUE"""),"")</f>
        <v/>
      </c>
      <c r="B11699" s="87"/>
      <c r="C11699" s="87"/>
      <c r="D11699" s="87"/>
      <c r="E11699" s="87"/>
      <c r="F11699" s="87"/>
      <c r="G11699" s="87"/>
    </row>
    <row r="11700">
      <c r="A11700" s="86" t="str">
        <f>IFERROR(__xludf.DUMMYFUNCTION("""COMPUTED_VALUE"""),"")</f>
        <v/>
      </c>
      <c r="B11700" s="87"/>
      <c r="C11700" s="87"/>
      <c r="D11700" s="87"/>
      <c r="E11700" s="87"/>
      <c r="F11700" s="87"/>
      <c r="G11700" s="87"/>
    </row>
    <row r="11701">
      <c r="A11701" s="86" t="str">
        <f>IFERROR(__xludf.DUMMYFUNCTION("""COMPUTED_VALUE"""),"")</f>
        <v/>
      </c>
      <c r="B11701" s="87"/>
      <c r="C11701" s="87"/>
      <c r="D11701" s="87"/>
      <c r="E11701" s="87"/>
      <c r="F11701" s="87"/>
      <c r="G11701" s="87"/>
    </row>
    <row r="11702">
      <c r="A11702" s="86" t="str">
        <f>IFERROR(__xludf.DUMMYFUNCTION("""COMPUTED_VALUE"""),"")</f>
        <v/>
      </c>
      <c r="B11702" s="87"/>
      <c r="C11702" s="87"/>
      <c r="D11702" s="87"/>
      <c r="E11702" s="87"/>
      <c r="F11702" s="87"/>
      <c r="G11702" s="87"/>
    </row>
    <row r="11703">
      <c r="A11703" s="86" t="str">
        <f>IFERROR(__xludf.DUMMYFUNCTION("""COMPUTED_VALUE"""),"")</f>
        <v/>
      </c>
      <c r="B11703" s="87"/>
      <c r="C11703" s="87"/>
      <c r="D11703" s="87"/>
      <c r="E11703" s="87"/>
      <c r="F11703" s="87"/>
      <c r="G11703" s="87"/>
    </row>
    <row r="11704">
      <c r="A11704" s="86" t="str">
        <f>IFERROR(__xludf.DUMMYFUNCTION("""COMPUTED_VALUE"""),"")</f>
        <v/>
      </c>
      <c r="B11704" s="87"/>
      <c r="C11704" s="87"/>
      <c r="D11704" s="87"/>
      <c r="E11704" s="87"/>
      <c r="F11704" s="87"/>
      <c r="G11704" s="87"/>
    </row>
    <row r="11705">
      <c r="A11705" s="86" t="str">
        <f>IFERROR(__xludf.DUMMYFUNCTION("""COMPUTED_VALUE"""),"")</f>
        <v/>
      </c>
      <c r="B11705" s="87"/>
      <c r="C11705" s="87"/>
      <c r="D11705" s="87"/>
      <c r="E11705" s="87"/>
      <c r="F11705" s="87"/>
      <c r="G11705" s="87"/>
    </row>
    <row r="11706">
      <c r="A11706" s="86" t="str">
        <f>IFERROR(__xludf.DUMMYFUNCTION("""COMPUTED_VALUE"""),"")</f>
        <v/>
      </c>
      <c r="B11706" s="87"/>
      <c r="C11706" s="87"/>
      <c r="D11706" s="87"/>
      <c r="E11706" s="87"/>
      <c r="F11706" s="87"/>
      <c r="G11706" s="87"/>
    </row>
    <row r="11707">
      <c r="A11707" s="86" t="str">
        <f>IFERROR(__xludf.DUMMYFUNCTION("""COMPUTED_VALUE"""),"")</f>
        <v/>
      </c>
      <c r="B11707" s="87"/>
      <c r="C11707" s="87"/>
      <c r="D11707" s="87"/>
      <c r="E11707" s="87"/>
      <c r="F11707" s="87"/>
      <c r="G11707" s="87"/>
    </row>
    <row r="11708">
      <c r="A11708" s="86" t="str">
        <f>IFERROR(__xludf.DUMMYFUNCTION("""COMPUTED_VALUE"""),"")</f>
        <v/>
      </c>
      <c r="B11708" s="87"/>
      <c r="C11708" s="87"/>
      <c r="D11708" s="87"/>
      <c r="E11708" s="87"/>
      <c r="F11708" s="87"/>
      <c r="G11708" s="87"/>
    </row>
    <row r="11709">
      <c r="A11709" s="86" t="str">
        <f>IFERROR(__xludf.DUMMYFUNCTION("""COMPUTED_VALUE"""),"")</f>
        <v/>
      </c>
      <c r="B11709" s="87"/>
      <c r="C11709" s="87"/>
      <c r="D11709" s="87"/>
      <c r="E11709" s="87"/>
      <c r="F11709" s="87"/>
      <c r="G11709" s="87"/>
    </row>
    <row r="11710">
      <c r="A11710" s="86" t="str">
        <f>IFERROR(__xludf.DUMMYFUNCTION("""COMPUTED_VALUE"""),"")</f>
        <v/>
      </c>
      <c r="B11710" s="87"/>
      <c r="C11710" s="87"/>
      <c r="D11710" s="87"/>
      <c r="E11710" s="87"/>
      <c r="F11710" s="87"/>
      <c r="G11710" s="87"/>
    </row>
    <row r="11711">
      <c r="A11711" s="86" t="str">
        <f>IFERROR(__xludf.DUMMYFUNCTION("""COMPUTED_VALUE"""),"")</f>
        <v/>
      </c>
      <c r="B11711" s="87"/>
      <c r="C11711" s="87"/>
      <c r="D11711" s="87"/>
      <c r="E11711" s="87"/>
      <c r="F11711" s="87"/>
      <c r="G11711" s="87"/>
    </row>
    <row r="11712">
      <c r="A11712" s="86" t="str">
        <f>IFERROR(__xludf.DUMMYFUNCTION("""COMPUTED_VALUE"""),"")</f>
        <v/>
      </c>
      <c r="B11712" s="87"/>
      <c r="C11712" s="87"/>
      <c r="D11712" s="87"/>
      <c r="E11712" s="87"/>
      <c r="F11712" s="87"/>
      <c r="G11712" s="87"/>
    </row>
    <row r="11713">
      <c r="A11713" s="86" t="str">
        <f>IFERROR(__xludf.DUMMYFUNCTION("""COMPUTED_VALUE"""),"")</f>
        <v/>
      </c>
      <c r="B11713" s="87"/>
      <c r="C11713" s="87"/>
      <c r="D11713" s="87"/>
      <c r="E11713" s="87"/>
      <c r="F11713" s="87"/>
      <c r="G11713" s="87"/>
    </row>
    <row r="11714">
      <c r="A11714" s="86" t="str">
        <f>IFERROR(__xludf.DUMMYFUNCTION("""COMPUTED_VALUE"""),"")</f>
        <v/>
      </c>
      <c r="B11714" s="87"/>
      <c r="C11714" s="87"/>
      <c r="D11714" s="87"/>
      <c r="E11714" s="87"/>
      <c r="F11714" s="87"/>
      <c r="G11714" s="87"/>
    </row>
    <row r="11715">
      <c r="A11715" s="86" t="str">
        <f>IFERROR(__xludf.DUMMYFUNCTION("""COMPUTED_VALUE"""),"")</f>
        <v/>
      </c>
      <c r="B11715" s="87"/>
      <c r="C11715" s="87"/>
      <c r="D11715" s="87"/>
      <c r="E11715" s="87"/>
      <c r="F11715" s="87"/>
      <c r="G11715" s="87"/>
    </row>
    <row r="11716">
      <c r="A11716" s="86" t="str">
        <f>IFERROR(__xludf.DUMMYFUNCTION("""COMPUTED_VALUE"""),"")</f>
        <v/>
      </c>
      <c r="B11716" s="87"/>
      <c r="C11716" s="87"/>
      <c r="D11716" s="87"/>
      <c r="E11716" s="87"/>
      <c r="F11716" s="87"/>
      <c r="G11716" s="87"/>
    </row>
    <row r="11717">
      <c r="A11717" s="86" t="str">
        <f>IFERROR(__xludf.DUMMYFUNCTION("""COMPUTED_VALUE"""),"")</f>
        <v/>
      </c>
      <c r="B11717" s="87"/>
      <c r="C11717" s="87"/>
      <c r="D11717" s="87"/>
      <c r="E11717" s="87"/>
      <c r="F11717" s="87"/>
      <c r="G11717" s="87"/>
    </row>
    <row r="11718">
      <c r="A11718" s="86" t="str">
        <f>IFERROR(__xludf.DUMMYFUNCTION("""COMPUTED_VALUE"""),"")</f>
        <v/>
      </c>
      <c r="B11718" s="87"/>
      <c r="C11718" s="87"/>
      <c r="D11718" s="87"/>
      <c r="E11718" s="87"/>
      <c r="F11718" s="87"/>
      <c r="G11718" s="87"/>
    </row>
    <row r="11719">
      <c r="A11719" s="86" t="str">
        <f>IFERROR(__xludf.DUMMYFUNCTION("""COMPUTED_VALUE"""),"")</f>
        <v/>
      </c>
      <c r="B11719" s="87"/>
      <c r="C11719" s="87"/>
      <c r="D11719" s="87"/>
      <c r="E11719" s="87"/>
      <c r="F11719" s="87"/>
      <c r="G11719" s="87"/>
    </row>
    <row r="11720">
      <c r="A11720" s="86" t="str">
        <f>IFERROR(__xludf.DUMMYFUNCTION("""COMPUTED_VALUE"""),"")</f>
        <v/>
      </c>
      <c r="B11720" s="87"/>
      <c r="C11720" s="87"/>
      <c r="D11720" s="87"/>
      <c r="E11720" s="87"/>
      <c r="F11720" s="87"/>
      <c r="G11720" s="87"/>
    </row>
    <row r="11721">
      <c r="A11721" s="86" t="str">
        <f>IFERROR(__xludf.DUMMYFUNCTION("""COMPUTED_VALUE"""),"")</f>
        <v/>
      </c>
      <c r="B11721" s="87"/>
      <c r="C11721" s="87"/>
      <c r="D11721" s="87"/>
      <c r="E11721" s="87"/>
      <c r="F11721" s="87"/>
      <c r="G11721" s="87"/>
    </row>
    <row r="11722">
      <c r="A11722" s="86" t="str">
        <f>IFERROR(__xludf.DUMMYFUNCTION("""COMPUTED_VALUE"""),"")</f>
        <v/>
      </c>
      <c r="B11722" s="87"/>
      <c r="C11722" s="87"/>
      <c r="D11722" s="87"/>
      <c r="E11722" s="87"/>
      <c r="F11722" s="87"/>
      <c r="G11722" s="87"/>
    </row>
    <row r="11723">
      <c r="A11723" s="86" t="str">
        <f>IFERROR(__xludf.DUMMYFUNCTION("""COMPUTED_VALUE"""),"")</f>
        <v/>
      </c>
      <c r="B11723" s="87"/>
      <c r="C11723" s="87"/>
      <c r="D11723" s="87"/>
      <c r="E11723" s="87"/>
      <c r="F11723" s="87"/>
      <c r="G11723" s="87"/>
    </row>
    <row r="11724">
      <c r="A11724" s="86" t="str">
        <f>IFERROR(__xludf.DUMMYFUNCTION("""COMPUTED_VALUE"""),"")</f>
        <v/>
      </c>
      <c r="B11724" s="87"/>
      <c r="C11724" s="87"/>
      <c r="D11724" s="87"/>
      <c r="E11724" s="87"/>
      <c r="F11724" s="87"/>
      <c r="G11724" s="87"/>
    </row>
    <row r="11725">
      <c r="A11725" s="86" t="str">
        <f>IFERROR(__xludf.DUMMYFUNCTION("""COMPUTED_VALUE"""),"")</f>
        <v/>
      </c>
      <c r="B11725" s="87"/>
      <c r="C11725" s="87"/>
      <c r="D11725" s="87"/>
      <c r="E11725" s="87"/>
      <c r="F11725" s="87"/>
      <c r="G11725" s="87"/>
    </row>
    <row r="11726">
      <c r="A11726" s="86" t="str">
        <f>IFERROR(__xludf.DUMMYFUNCTION("""COMPUTED_VALUE"""),"")</f>
        <v/>
      </c>
      <c r="B11726" s="87"/>
      <c r="C11726" s="87"/>
      <c r="D11726" s="87"/>
      <c r="E11726" s="87"/>
      <c r="F11726" s="87"/>
      <c r="G11726" s="87"/>
    </row>
    <row r="11727">
      <c r="A11727" s="86" t="str">
        <f>IFERROR(__xludf.DUMMYFUNCTION("""COMPUTED_VALUE"""),"")</f>
        <v/>
      </c>
      <c r="B11727" s="87"/>
      <c r="C11727" s="87"/>
      <c r="D11727" s="87"/>
      <c r="E11727" s="87"/>
      <c r="F11727" s="87"/>
      <c r="G11727" s="87"/>
    </row>
    <row r="11728">
      <c r="A11728" s="86" t="str">
        <f>IFERROR(__xludf.DUMMYFUNCTION("""COMPUTED_VALUE"""),"")</f>
        <v/>
      </c>
      <c r="B11728" s="87"/>
      <c r="C11728" s="87"/>
      <c r="D11728" s="87"/>
      <c r="E11728" s="87"/>
      <c r="F11728" s="87"/>
      <c r="G11728" s="87"/>
    </row>
    <row r="11729">
      <c r="A11729" s="86" t="str">
        <f>IFERROR(__xludf.DUMMYFUNCTION("""COMPUTED_VALUE"""),"")</f>
        <v/>
      </c>
      <c r="B11729" s="87"/>
      <c r="C11729" s="87"/>
      <c r="D11729" s="87"/>
      <c r="E11729" s="87"/>
      <c r="F11729" s="87"/>
      <c r="G11729" s="87"/>
    </row>
    <row r="11730">
      <c r="A11730" s="86" t="str">
        <f>IFERROR(__xludf.DUMMYFUNCTION("""COMPUTED_VALUE"""),"")</f>
        <v/>
      </c>
      <c r="B11730" s="87"/>
      <c r="C11730" s="87"/>
      <c r="D11730" s="87"/>
      <c r="E11730" s="87"/>
      <c r="F11730" s="87"/>
      <c r="G11730" s="87"/>
    </row>
    <row r="11731">
      <c r="A11731" s="86" t="str">
        <f>IFERROR(__xludf.DUMMYFUNCTION("""COMPUTED_VALUE"""),"")</f>
        <v/>
      </c>
      <c r="B11731" s="87"/>
      <c r="C11731" s="87"/>
      <c r="D11731" s="87"/>
      <c r="E11731" s="87"/>
      <c r="F11731" s="87"/>
      <c r="G11731" s="87"/>
    </row>
    <row r="11732">
      <c r="A11732" s="86" t="str">
        <f>IFERROR(__xludf.DUMMYFUNCTION("""COMPUTED_VALUE"""),"")</f>
        <v/>
      </c>
      <c r="B11732" s="87"/>
      <c r="C11732" s="87"/>
      <c r="D11732" s="87"/>
      <c r="E11732" s="87"/>
      <c r="F11732" s="87"/>
      <c r="G11732" s="87"/>
    </row>
    <row r="11733">
      <c r="A11733" s="86" t="str">
        <f>IFERROR(__xludf.DUMMYFUNCTION("""COMPUTED_VALUE"""),"")</f>
        <v/>
      </c>
      <c r="B11733" s="87"/>
      <c r="C11733" s="87"/>
      <c r="D11733" s="87"/>
      <c r="E11733" s="87"/>
      <c r="F11733" s="87"/>
      <c r="G11733" s="87"/>
    </row>
    <row r="11734">
      <c r="A11734" s="86" t="str">
        <f>IFERROR(__xludf.DUMMYFUNCTION("""COMPUTED_VALUE"""),"")</f>
        <v/>
      </c>
      <c r="B11734" s="87"/>
      <c r="C11734" s="87"/>
      <c r="D11734" s="87"/>
      <c r="E11734" s="87"/>
      <c r="F11734" s="87"/>
      <c r="G11734" s="87"/>
    </row>
    <row r="11735">
      <c r="A11735" s="86" t="str">
        <f>IFERROR(__xludf.DUMMYFUNCTION("""COMPUTED_VALUE"""),"")</f>
        <v/>
      </c>
      <c r="B11735" s="87"/>
      <c r="C11735" s="87"/>
      <c r="D11735" s="87"/>
      <c r="E11735" s="87"/>
      <c r="F11735" s="87"/>
      <c r="G11735" s="87"/>
    </row>
    <row r="11736">
      <c r="A11736" s="86" t="str">
        <f>IFERROR(__xludf.DUMMYFUNCTION("""COMPUTED_VALUE"""),"")</f>
        <v/>
      </c>
      <c r="B11736" s="87"/>
      <c r="C11736" s="87"/>
      <c r="D11736" s="87"/>
      <c r="E11736" s="87"/>
      <c r="F11736" s="87"/>
      <c r="G11736" s="87"/>
    </row>
    <row r="11737">
      <c r="A11737" s="86" t="str">
        <f>IFERROR(__xludf.DUMMYFUNCTION("""COMPUTED_VALUE"""),"")</f>
        <v/>
      </c>
      <c r="B11737" s="87"/>
      <c r="C11737" s="87"/>
      <c r="D11737" s="87"/>
      <c r="E11737" s="87"/>
      <c r="F11737" s="87"/>
      <c r="G11737" s="87"/>
    </row>
    <row r="11738">
      <c r="A11738" s="86" t="str">
        <f>IFERROR(__xludf.DUMMYFUNCTION("""COMPUTED_VALUE"""),"")</f>
        <v/>
      </c>
      <c r="B11738" s="87"/>
      <c r="C11738" s="87"/>
      <c r="D11738" s="87"/>
      <c r="E11738" s="87"/>
      <c r="F11738" s="87"/>
      <c r="G11738" s="87"/>
    </row>
    <row r="11739">
      <c r="A11739" s="86" t="str">
        <f>IFERROR(__xludf.DUMMYFUNCTION("""COMPUTED_VALUE"""),"")</f>
        <v/>
      </c>
      <c r="B11739" s="87"/>
      <c r="C11739" s="87"/>
      <c r="D11739" s="87"/>
      <c r="E11739" s="87"/>
      <c r="F11739" s="87"/>
      <c r="G11739" s="87"/>
    </row>
    <row r="11740">
      <c r="A11740" s="86" t="str">
        <f>IFERROR(__xludf.DUMMYFUNCTION("""COMPUTED_VALUE"""),"")</f>
        <v/>
      </c>
      <c r="B11740" s="87"/>
      <c r="C11740" s="87"/>
      <c r="D11740" s="87"/>
      <c r="E11740" s="87"/>
      <c r="F11740" s="87"/>
      <c r="G11740" s="87"/>
    </row>
    <row r="11741">
      <c r="A11741" s="86" t="str">
        <f>IFERROR(__xludf.DUMMYFUNCTION("""COMPUTED_VALUE"""),"")</f>
        <v/>
      </c>
      <c r="B11741" s="87"/>
      <c r="C11741" s="87"/>
      <c r="D11741" s="87"/>
      <c r="E11741" s="87"/>
      <c r="F11741" s="87"/>
      <c r="G11741" s="87"/>
    </row>
    <row r="11742">
      <c r="A11742" s="86" t="str">
        <f>IFERROR(__xludf.DUMMYFUNCTION("""COMPUTED_VALUE"""),"")</f>
        <v/>
      </c>
      <c r="B11742" s="87"/>
      <c r="C11742" s="87"/>
      <c r="D11742" s="87"/>
      <c r="E11742" s="87"/>
      <c r="F11742" s="87"/>
      <c r="G11742" s="87"/>
    </row>
    <row r="11743">
      <c r="A11743" s="86" t="str">
        <f>IFERROR(__xludf.DUMMYFUNCTION("""COMPUTED_VALUE"""),"")</f>
        <v/>
      </c>
      <c r="B11743" s="87"/>
      <c r="C11743" s="87"/>
      <c r="D11743" s="87"/>
      <c r="E11743" s="87"/>
      <c r="F11743" s="87"/>
      <c r="G11743" s="87"/>
    </row>
    <row r="11744">
      <c r="A11744" s="86" t="str">
        <f>IFERROR(__xludf.DUMMYFUNCTION("""COMPUTED_VALUE"""),"")</f>
        <v/>
      </c>
      <c r="B11744" s="87"/>
      <c r="C11744" s="87"/>
      <c r="D11744" s="87"/>
      <c r="E11744" s="87"/>
      <c r="F11744" s="87"/>
      <c r="G11744" s="87"/>
    </row>
    <row r="11745">
      <c r="A11745" s="86" t="str">
        <f>IFERROR(__xludf.DUMMYFUNCTION("""COMPUTED_VALUE"""),"")</f>
        <v/>
      </c>
      <c r="B11745" s="87"/>
      <c r="C11745" s="87"/>
      <c r="D11745" s="87"/>
      <c r="E11745" s="87"/>
      <c r="F11745" s="87"/>
      <c r="G11745" s="87"/>
    </row>
    <row r="11746">
      <c r="A11746" s="86" t="str">
        <f>IFERROR(__xludf.DUMMYFUNCTION("""COMPUTED_VALUE"""),"")</f>
        <v/>
      </c>
      <c r="B11746" s="87"/>
      <c r="C11746" s="87"/>
      <c r="D11746" s="87"/>
      <c r="E11746" s="87"/>
      <c r="F11746" s="87"/>
      <c r="G11746" s="87"/>
    </row>
    <row r="11747">
      <c r="A11747" s="86" t="str">
        <f>IFERROR(__xludf.DUMMYFUNCTION("""COMPUTED_VALUE"""),"")</f>
        <v/>
      </c>
      <c r="B11747" s="87"/>
      <c r="C11747" s="87"/>
      <c r="D11747" s="87"/>
      <c r="E11747" s="87"/>
      <c r="F11747" s="87"/>
      <c r="G11747" s="87"/>
    </row>
    <row r="11748">
      <c r="A11748" s="86" t="str">
        <f>IFERROR(__xludf.DUMMYFUNCTION("""COMPUTED_VALUE"""),"")</f>
        <v/>
      </c>
      <c r="B11748" s="87"/>
      <c r="C11748" s="87"/>
      <c r="D11748" s="87"/>
      <c r="E11748" s="87"/>
      <c r="F11748" s="87"/>
      <c r="G11748" s="87"/>
    </row>
    <row r="11749">
      <c r="A11749" s="86" t="str">
        <f>IFERROR(__xludf.DUMMYFUNCTION("""COMPUTED_VALUE"""),"")</f>
        <v/>
      </c>
      <c r="B11749" s="87"/>
      <c r="C11749" s="87"/>
      <c r="D11749" s="87"/>
      <c r="E11749" s="87"/>
      <c r="F11749" s="87"/>
      <c r="G11749" s="87"/>
    </row>
    <row r="11750">
      <c r="A11750" s="86" t="str">
        <f>IFERROR(__xludf.DUMMYFUNCTION("""COMPUTED_VALUE"""),"")</f>
        <v/>
      </c>
      <c r="B11750" s="87"/>
      <c r="C11750" s="87"/>
      <c r="D11750" s="87"/>
      <c r="E11750" s="87"/>
      <c r="F11750" s="87"/>
      <c r="G11750" s="87"/>
    </row>
    <row r="11751">
      <c r="A11751" s="86" t="str">
        <f>IFERROR(__xludf.DUMMYFUNCTION("""COMPUTED_VALUE"""),"")</f>
        <v/>
      </c>
      <c r="B11751" s="87"/>
      <c r="C11751" s="87"/>
      <c r="D11751" s="87"/>
      <c r="E11751" s="87"/>
      <c r="F11751" s="87"/>
      <c r="G11751" s="87"/>
    </row>
    <row r="11752">
      <c r="A11752" s="86" t="str">
        <f>IFERROR(__xludf.DUMMYFUNCTION("""COMPUTED_VALUE"""),"")</f>
        <v/>
      </c>
      <c r="B11752" s="87"/>
      <c r="C11752" s="87"/>
      <c r="D11752" s="87"/>
      <c r="E11752" s="87"/>
      <c r="F11752" s="87"/>
      <c r="G11752" s="87"/>
    </row>
    <row r="11753">
      <c r="A11753" s="86" t="str">
        <f>IFERROR(__xludf.DUMMYFUNCTION("""COMPUTED_VALUE"""),"")</f>
        <v/>
      </c>
      <c r="B11753" s="87"/>
      <c r="C11753" s="87"/>
      <c r="D11753" s="87"/>
      <c r="E11753" s="87"/>
      <c r="F11753" s="87"/>
      <c r="G11753" s="87"/>
    </row>
    <row r="11754">
      <c r="A11754" s="86" t="str">
        <f>IFERROR(__xludf.DUMMYFUNCTION("""COMPUTED_VALUE"""),"")</f>
        <v/>
      </c>
      <c r="B11754" s="87"/>
      <c r="C11754" s="87"/>
      <c r="D11754" s="87"/>
      <c r="E11754" s="87"/>
      <c r="F11754" s="87"/>
      <c r="G11754" s="87"/>
    </row>
    <row r="11755">
      <c r="A11755" s="86" t="str">
        <f>IFERROR(__xludf.DUMMYFUNCTION("""COMPUTED_VALUE"""),"")</f>
        <v/>
      </c>
      <c r="B11755" s="87"/>
      <c r="C11755" s="87"/>
      <c r="D11755" s="87"/>
      <c r="E11755" s="87"/>
      <c r="F11755" s="87"/>
      <c r="G11755" s="87"/>
    </row>
    <row r="11756">
      <c r="A11756" s="86" t="str">
        <f>IFERROR(__xludf.DUMMYFUNCTION("""COMPUTED_VALUE"""),"")</f>
        <v/>
      </c>
      <c r="B11756" s="87"/>
      <c r="C11756" s="87"/>
      <c r="D11756" s="87"/>
      <c r="E11756" s="87"/>
      <c r="F11756" s="87"/>
      <c r="G11756" s="87"/>
    </row>
    <row r="11757">
      <c r="A11757" s="86" t="str">
        <f>IFERROR(__xludf.DUMMYFUNCTION("""COMPUTED_VALUE"""),"")</f>
        <v/>
      </c>
      <c r="B11757" s="87"/>
      <c r="C11757" s="87"/>
      <c r="D11757" s="87"/>
      <c r="E11757" s="87"/>
      <c r="F11757" s="87"/>
      <c r="G11757" s="87"/>
    </row>
    <row r="11758">
      <c r="A11758" s="86" t="str">
        <f>IFERROR(__xludf.DUMMYFUNCTION("""COMPUTED_VALUE"""),"")</f>
        <v/>
      </c>
      <c r="B11758" s="87"/>
      <c r="C11758" s="87"/>
      <c r="D11758" s="87"/>
      <c r="E11758" s="87"/>
      <c r="F11758" s="87"/>
      <c r="G11758" s="87"/>
    </row>
    <row r="11759">
      <c r="A11759" s="86" t="str">
        <f>IFERROR(__xludf.DUMMYFUNCTION("""COMPUTED_VALUE"""),"")</f>
        <v/>
      </c>
      <c r="B11759" s="87"/>
      <c r="C11759" s="87"/>
      <c r="D11759" s="87"/>
      <c r="E11759" s="87"/>
      <c r="F11759" s="87"/>
      <c r="G11759" s="87"/>
    </row>
    <row r="11760">
      <c r="A11760" s="86" t="str">
        <f>IFERROR(__xludf.DUMMYFUNCTION("""COMPUTED_VALUE"""),"")</f>
        <v/>
      </c>
      <c r="B11760" s="87"/>
      <c r="C11760" s="87"/>
      <c r="D11760" s="87"/>
      <c r="E11760" s="87"/>
      <c r="F11760" s="87"/>
      <c r="G11760" s="87"/>
    </row>
    <row r="11761">
      <c r="A11761" s="86" t="str">
        <f>IFERROR(__xludf.DUMMYFUNCTION("""COMPUTED_VALUE"""),"")</f>
        <v/>
      </c>
      <c r="B11761" s="87"/>
      <c r="C11761" s="87"/>
      <c r="D11761" s="87"/>
      <c r="E11761" s="87"/>
      <c r="F11761" s="87"/>
      <c r="G11761" s="87"/>
    </row>
    <row r="11762">
      <c r="A11762" s="86" t="str">
        <f>IFERROR(__xludf.DUMMYFUNCTION("""COMPUTED_VALUE"""),"")</f>
        <v/>
      </c>
      <c r="B11762" s="87"/>
      <c r="C11762" s="87"/>
      <c r="D11762" s="87"/>
      <c r="E11762" s="87"/>
      <c r="F11762" s="87"/>
      <c r="G11762" s="87"/>
    </row>
    <row r="11763">
      <c r="A11763" s="86" t="str">
        <f>IFERROR(__xludf.DUMMYFUNCTION("""COMPUTED_VALUE"""),"")</f>
        <v/>
      </c>
      <c r="B11763" s="87"/>
      <c r="C11763" s="87"/>
      <c r="D11763" s="87"/>
      <c r="E11763" s="87"/>
      <c r="F11763" s="87"/>
      <c r="G11763" s="87"/>
    </row>
    <row r="11764">
      <c r="A11764" s="86" t="str">
        <f>IFERROR(__xludf.DUMMYFUNCTION("""COMPUTED_VALUE"""),"")</f>
        <v/>
      </c>
      <c r="B11764" s="87"/>
      <c r="C11764" s="87"/>
      <c r="D11764" s="87"/>
      <c r="E11764" s="87"/>
      <c r="F11764" s="87"/>
      <c r="G11764" s="87"/>
    </row>
    <row r="11765">
      <c r="A11765" s="86" t="str">
        <f>IFERROR(__xludf.DUMMYFUNCTION("""COMPUTED_VALUE"""),"")</f>
        <v/>
      </c>
      <c r="B11765" s="87"/>
      <c r="C11765" s="87"/>
      <c r="D11765" s="87"/>
      <c r="E11765" s="87"/>
      <c r="F11765" s="87"/>
      <c r="G11765" s="87"/>
    </row>
    <row r="11766">
      <c r="A11766" s="86" t="str">
        <f>IFERROR(__xludf.DUMMYFUNCTION("""COMPUTED_VALUE"""),"")</f>
        <v/>
      </c>
      <c r="B11766" s="87"/>
      <c r="C11766" s="87"/>
      <c r="D11766" s="87"/>
      <c r="E11766" s="87"/>
      <c r="F11766" s="87"/>
      <c r="G11766" s="87"/>
    </row>
    <row r="11767">
      <c r="A11767" s="86" t="str">
        <f>IFERROR(__xludf.DUMMYFUNCTION("""COMPUTED_VALUE"""),"")</f>
        <v/>
      </c>
      <c r="B11767" s="87"/>
      <c r="C11767" s="87"/>
      <c r="D11767" s="87"/>
      <c r="E11767" s="87"/>
      <c r="F11767" s="87"/>
      <c r="G11767" s="87"/>
    </row>
    <row r="11768">
      <c r="A11768" s="86" t="str">
        <f>IFERROR(__xludf.DUMMYFUNCTION("""COMPUTED_VALUE"""),"")</f>
        <v/>
      </c>
      <c r="B11768" s="87"/>
      <c r="C11768" s="87"/>
      <c r="D11768" s="87"/>
      <c r="E11768" s="87"/>
      <c r="F11768" s="87"/>
      <c r="G11768" s="87"/>
    </row>
    <row r="11769">
      <c r="A11769" s="86" t="str">
        <f>IFERROR(__xludf.DUMMYFUNCTION("""COMPUTED_VALUE"""),"")</f>
        <v/>
      </c>
      <c r="B11769" s="87"/>
      <c r="C11769" s="87"/>
      <c r="D11769" s="87"/>
      <c r="E11769" s="87"/>
      <c r="F11769" s="87"/>
      <c r="G11769" s="87"/>
    </row>
    <row r="11770">
      <c r="A11770" s="86" t="str">
        <f>IFERROR(__xludf.DUMMYFUNCTION("""COMPUTED_VALUE"""),"")</f>
        <v/>
      </c>
      <c r="B11770" s="87"/>
      <c r="C11770" s="87"/>
      <c r="D11770" s="87"/>
      <c r="E11770" s="87"/>
      <c r="F11770" s="87"/>
      <c r="G11770" s="87"/>
    </row>
    <row r="11771">
      <c r="A11771" s="86" t="str">
        <f>IFERROR(__xludf.DUMMYFUNCTION("""COMPUTED_VALUE"""),"")</f>
        <v/>
      </c>
      <c r="B11771" s="87"/>
      <c r="C11771" s="87"/>
      <c r="D11771" s="87"/>
      <c r="E11771" s="87"/>
      <c r="F11771" s="87"/>
      <c r="G11771" s="87"/>
    </row>
    <row r="11772">
      <c r="A11772" s="86" t="str">
        <f>IFERROR(__xludf.DUMMYFUNCTION("""COMPUTED_VALUE"""),"")</f>
        <v/>
      </c>
      <c r="B11772" s="87"/>
      <c r="C11772" s="87"/>
      <c r="D11772" s="87"/>
      <c r="E11772" s="87"/>
      <c r="F11772" s="87"/>
      <c r="G11772" s="87"/>
    </row>
    <row r="11773">
      <c r="A11773" s="86" t="str">
        <f>IFERROR(__xludf.DUMMYFUNCTION("""COMPUTED_VALUE"""),"")</f>
        <v/>
      </c>
      <c r="B11773" s="87"/>
      <c r="C11773" s="87"/>
      <c r="D11773" s="87"/>
      <c r="E11773" s="87"/>
      <c r="F11773" s="87"/>
      <c r="G11773" s="87"/>
    </row>
    <row r="11774">
      <c r="A11774" s="86" t="str">
        <f>IFERROR(__xludf.DUMMYFUNCTION("""COMPUTED_VALUE"""),"")</f>
        <v/>
      </c>
      <c r="B11774" s="87"/>
      <c r="C11774" s="87"/>
      <c r="D11774" s="87"/>
      <c r="E11774" s="87"/>
      <c r="F11774" s="87"/>
      <c r="G11774" s="87"/>
    </row>
    <row r="11775">
      <c r="A11775" s="86" t="str">
        <f>IFERROR(__xludf.DUMMYFUNCTION("""COMPUTED_VALUE"""),"")</f>
        <v/>
      </c>
      <c r="B11775" s="87"/>
      <c r="C11775" s="87"/>
      <c r="D11775" s="87"/>
      <c r="E11775" s="87"/>
      <c r="F11775" s="87"/>
      <c r="G11775" s="87"/>
    </row>
    <row r="11776">
      <c r="A11776" s="86" t="str">
        <f>IFERROR(__xludf.DUMMYFUNCTION("""COMPUTED_VALUE"""),"")</f>
        <v/>
      </c>
      <c r="B11776" s="87"/>
      <c r="C11776" s="87"/>
      <c r="D11776" s="87"/>
      <c r="E11776" s="87"/>
      <c r="F11776" s="87"/>
      <c r="G11776" s="87"/>
    </row>
    <row r="11777">
      <c r="A11777" s="86" t="str">
        <f>IFERROR(__xludf.DUMMYFUNCTION("""COMPUTED_VALUE"""),"")</f>
        <v/>
      </c>
      <c r="B11777" s="87"/>
      <c r="C11777" s="87"/>
      <c r="D11777" s="87"/>
      <c r="E11777" s="87"/>
      <c r="F11777" s="87"/>
      <c r="G11777" s="87"/>
    </row>
    <row r="11778">
      <c r="A11778" s="86" t="str">
        <f>IFERROR(__xludf.DUMMYFUNCTION("""COMPUTED_VALUE"""),"")</f>
        <v/>
      </c>
      <c r="B11778" s="87"/>
      <c r="C11778" s="87"/>
      <c r="D11778" s="87"/>
      <c r="E11778" s="87"/>
      <c r="F11778" s="87"/>
      <c r="G11778" s="87"/>
    </row>
    <row r="11779">
      <c r="A11779" s="86" t="str">
        <f>IFERROR(__xludf.DUMMYFUNCTION("""COMPUTED_VALUE"""),"")</f>
        <v/>
      </c>
      <c r="B11779" s="87"/>
      <c r="C11779" s="87"/>
      <c r="D11779" s="87"/>
      <c r="E11779" s="87"/>
      <c r="F11779" s="87"/>
      <c r="G11779" s="87"/>
    </row>
    <row r="11780">
      <c r="A11780" s="86" t="str">
        <f>IFERROR(__xludf.DUMMYFUNCTION("""COMPUTED_VALUE"""),"")</f>
        <v/>
      </c>
      <c r="B11780" s="87"/>
      <c r="C11780" s="87"/>
      <c r="D11780" s="87"/>
      <c r="E11780" s="87"/>
      <c r="F11780" s="87"/>
      <c r="G11780" s="87"/>
    </row>
    <row r="11781">
      <c r="A11781" s="86" t="str">
        <f>IFERROR(__xludf.DUMMYFUNCTION("""COMPUTED_VALUE"""),"")</f>
        <v/>
      </c>
      <c r="B11781" s="87"/>
      <c r="C11781" s="87"/>
      <c r="D11781" s="87"/>
      <c r="E11781" s="87"/>
      <c r="F11781" s="87"/>
      <c r="G11781" s="87"/>
    </row>
    <row r="11782">
      <c r="A11782" s="86" t="str">
        <f>IFERROR(__xludf.DUMMYFUNCTION("""COMPUTED_VALUE"""),"")</f>
        <v/>
      </c>
      <c r="B11782" s="87"/>
      <c r="C11782" s="87"/>
      <c r="D11782" s="87"/>
      <c r="E11782" s="87"/>
      <c r="F11782" s="87"/>
      <c r="G11782" s="87"/>
    </row>
    <row r="11783">
      <c r="A11783" s="86" t="str">
        <f>IFERROR(__xludf.DUMMYFUNCTION("""COMPUTED_VALUE"""),"")</f>
        <v/>
      </c>
      <c r="B11783" s="87"/>
      <c r="C11783" s="87"/>
      <c r="D11783" s="87"/>
      <c r="E11783" s="87"/>
      <c r="F11783" s="87"/>
      <c r="G11783" s="87"/>
    </row>
    <row r="11784">
      <c r="A11784" s="86" t="str">
        <f>IFERROR(__xludf.DUMMYFUNCTION("""COMPUTED_VALUE"""),"")</f>
        <v/>
      </c>
      <c r="B11784" s="87"/>
      <c r="C11784" s="87"/>
      <c r="D11784" s="87"/>
      <c r="E11784" s="87"/>
      <c r="F11784" s="87"/>
      <c r="G11784" s="87"/>
    </row>
    <row r="11785">
      <c r="A11785" s="86" t="str">
        <f>IFERROR(__xludf.DUMMYFUNCTION("""COMPUTED_VALUE"""),"")</f>
        <v/>
      </c>
      <c r="B11785" s="87"/>
      <c r="C11785" s="87"/>
      <c r="D11785" s="87"/>
      <c r="E11785" s="87"/>
      <c r="F11785" s="87"/>
      <c r="G11785" s="87"/>
    </row>
    <row r="11786">
      <c r="A11786" s="86" t="str">
        <f>IFERROR(__xludf.DUMMYFUNCTION("""COMPUTED_VALUE"""),"")</f>
        <v/>
      </c>
      <c r="B11786" s="87"/>
      <c r="C11786" s="87"/>
      <c r="D11786" s="87"/>
      <c r="E11786" s="87"/>
      <c r="F11786" s="87"/>
      <c r="G11786" s="87"/>
    </row>
    <row r="11787">
      <c r="A11787" s="86" t="str">
        <f>IFERROR(__xludf.DUMMYFUNCTION("""COMPUTED_VALUE"""),"")</f>
        <v/>
      </c>
      <c r="B11787" s="87"/>
      <c r="C11787" s="87"/>
      <c r="D11787" s="87"/>
      <c r="E11787" s="87"/>
      <c r="F11787" s="87"/>
      <c r="G11787" s="87"/>
    </row>
    <row r="11788">
      <c r="A11788" s="86" t="str">
        <f>IFERROR(__xludf.DUMMYFUNCTION("""COMPUTED_VALUE"""),"")</f>
        <v/>
      </c>
      <c r="B11788" s="87"/>
      <c r="C11788" s="87"/>
      <c r="D11788" s="87"/>
      <c r="E11788" s="87"/>
      <c r="F11788" s="87"/>
      <c r="G11788" s="87"/>
    </row>
    <row r="11789">
      <c r="A11789" s="86" t="str">
        <f>IFERROR(__xludf.DUMMYFUNCTION("""COMPUTED_VALUE"""),"")</f>
        <v/>
      </c>
      <c r="B11789" s="87"/>
      <c r="C11789" s="87"/>
      <c r="D11789" s="87"/>
      <c r="E11789" s="87"/>
      <c r="F11789" s="87"/>
      <c r="G11789" s="87"/>
    </row>
    <row r="11790">
      <c r="A11790" s="86" t="str">
        <f>IFERROR(__xludf.DUMMYFUNCTION("""COMPUTED_VALUE"""),"")</f>
        <v/>
      </c>
      <c r="B11790" s="87"/>
      <c r="C11790" s="87"/>
      <c r="D11790" s="87"/>
      <c r="E11790" s="87"/>
      <c r="F11790" s="87"/>
      <c r="G11790" s="87"/>
    </row>
    <row r="11791">
      <c r="A11791" s="86" t="str">
        <f>IFERROR(__xludf.DUMMYFUNCTION("""COMPUTED_VALUE"""),"")</f>
        <v/>
      </c>
      <c r="B11791" s="87"/>
      <c r="C11791" s="87"/>
      <c r="D11791" s="87"/>
      <c r="E11791" s="87"/>
      <c r="F11791" s="87"/>
      <c r="G11791" s="87"/>
    </row>
    <row r="11792">
      <c r="A11792" s="86" t="str">
        <f>IFERROR(__xludf.DUMMYFUNCTION("""COMPUTED_VALUE"""),"")</f>
        <v/>
      </c>
      <c r="B11792" s="87"/>
      <c r="C11792" s="87"/>
      <c r="D11792" s="87"/>
      <c r="E11792" s="87"/>
      <c r="F11792" s="87"/>
      <c r="G11792" s="87"/>
    </row>
    <row r="11793">
      <c r="A11793" s="86" t="str">
        <f>IFERROR(__xludf.DUMMYFUNCTION("""COMPUTED_VALUE"""),"")</f>
        <v/>
      </c>
      <c r="B11793" s="87"/>
      <c r="C11793" s="87"/>
      <c r="D11793" s="87"/>
      <c r="E11793" s="87"/>
      <c r="F11793" s="87"/>
      <c r="G11793" s="87"/>
    </row>
    <row r="11794">
      <c r="A11794" s="86" t="str">
        <f>IFERROR(__xludf.DUMMYFUNCTION("""COMPUTED_VALUE"""),"")</f>
        <v/>
      </c>
      <c r="B11794" s="87"/>
      <c r="C11794" s="87"/>
      <c r="D11794" s="87"/>
      <c r="E11794" s="87"/>
      <c r="F11794" s="87"/>
      <c r="G11794" s="87"/>
    </row>
    <row r="11795">
      <c r="A11795" s="86" t="str">
        <f>IFERROR(__xludf.DUMMYFUNCTION("""COMPUTED_VALUE"""),"")</f>
        <v/>
      </c>
      <c r="B11795" s="87"/>
      <c r="C11795" s="87"/>
      <c r="D11795" s="87"/>
      <c r="E11795" s="87"/>
      <c r="F11795" s="87"/>
      <c r="G11795" s="87"/>
    </row>
    <row r="11796">
      <c r="A11796" s="86" t="str">
        <f>IFERROR(__xludf.DUMMYFUNCTION("""COMPUTED_VALUE"""),"")</f>
        <v/>
      </c>
      <c r="B11796" s="87"/>
      <c r="C11796" s="87"/>
      <c r="D11796" s="87"/>
      <c r="E11796" s="87"/>
      <c r="F11796" s="87"/>
      <c r="G11796" s="87"/>
    </row>
    <row r="11797">
      <c r="A11797" s="86" t="str">
        <f>IFERROR(__xludf.DUMMYFUNCTION("""COMPUTED_VALUE"""),"")</f>
        <v/>
      </c>
      <c r="B11797" s="87"/>
      <c r="C11797" s="87"/>
      <c r="D11797" s="87"/>
      <c r="E11797" s="87"/>
      <c r="F11797" s="87"/>
      <c r="G11797" s="87"/>
    </row>
    <row r="11798">
      <c r="A11798" s="86" t="str">
        <f>IFERROR(__xludf.DUMMYFUNCTION("""COMPUTED_VALUE"""),"")</f>
        <v/>
      </c>
      <c r="B11798" s="87"/>
      <c r="C11798" s="87"/>
      <c r="D11798" s="87"/>
      <c r="E11798" s="87"/>
      <c r="F11798" s="87"/>
      <c r="G11798" s="87"/>
    </row>
    <row r="11799">
      <c r="A11799" s="86" t="str">
        <f>IFERROR(__xludf.DUMMYFUNCTION("""COMPUTED_VALUE"""),"")</f>
        <v/>
      </c>
      <c r="B11799" s="87"/>
      <c r="C11799" s="87"/>
      <c r="D11799" s="87"/>
      <c r="E11799" s="87"/>
      <c r="F11799" s="87"/>
      <c r="G11799" s="87"/>
    </row>
    <row r="11800">
      <c r="A11800" s="86" t="str">
        <f>IFERROR(__xludf.DUMMYFUNCTION("""COMPUTED_VALUE"""),"")</f>
        <v/>
      </c>
      <c r="B11800" s="87"/>
      <c r="C11800" s="87"/>
      <c r="D11800" s="87"/>
      <c r="E11800" s="87"/>
      <c r="F11800" s="87"/>
      <c r="G11800" s="87"/>
    </row>
    <row r="11801">
      <c r="A11801" s="86" t="str">
        <f>IFERROR(__xludf.DUMMYFUNCTION("""COMPUTED_VALUE"""),"")</f>
        <v/>
      </c>
      <c r="B11801" s="87"/>
      <c r="C11801" s="87"/>
      <c r="D11801" s="87"/>
      <c r="E11801" s="87"/>
      <c r="F11801" s="87"/>
      <c r="G11801" s="87"/>
    </row>
    <row r="11802">
      <c r="A11802" s="86" t="str">
        <f>IFERROR(__xludf.DUMMYFUNCTION("""COMPUTED_VALUE"""),"")</f>
        <v/>
      </c>
      <c r="B11802" s="87"/>
      <c r="C11802" s="87"/>
      <c r="D11802" s="87"/>
      <c r="E11802" s="87"/>
      <c r="F11802" s="87"/>
      <c r="G11802" s="87"/>
    </row>
    <row r="11803">
      <c r="A11803" s="86" t="str">
        <f>IFERROR(__xludf.DUMMYFUNCTION("""COMPUTED_VALUE"""),"")</f>
        <v/>
      </c>
      <c r="B11803" s="87"/>
      <c r="C11803" s="87"/>
      <c r="D11803" s="87"/>
      <c r="E11803" s="87"/>
      <c r="F11803" s="87"/>
      <c r="G11803" s="87"/>
    </row>
    <row r="11804">
      <c r="A11804" s="86" t="str">
        <f>IFERROR(__xludf.DUMMYFUNCTION("""COMPUTED_VALUE"""),"")</f>
        <v/>
      </c>
      <c r="B11804" s="87"/>
      <c r="C11804" s="87"/>
      <c r="D11804" s="87"/>
      <c r="E11804" s="87"/>
      <c r="F11804" s="87"/>
      <c r="G11804" s="87"/>
    </row>
    <row r="11805">
      <c r="A11805" s="86" t="str">
        <f>IFERROR(__xludf.DUMMYFUNCTION("""COMPUTED_VALUE"""),"")</f>
        <v/>
      </c>
      <c r="B11805" s="87"/>
      <c r="C11805" s="87"/>
      <c r="D11805" s="87"/>
      <c r="E11805" s="87"/>
      <c r="F11805" s="87"/>
      <c r="G11805" s="87"/>
    </row>
    <row r="11806">
      <c r="A11806" s="86" t="str">
        <f>IFERROR(__xludf.DUMMYFUNCTION("""COMPUTED_VALUE"""),"")</f>
        <v/>
      </c>
      <c r="B11806" s="87"/>
      <c r="C11806" s="87"/>
      <c r="D11806" s="87"/>
      <c r="E11806" s="87"/>
      <c r="F11806" s="87"/>
      <c r="G11806" s="87"/>
    </row>
    <row r="11807">
      <c r="A11807" s="86" t="str">
        <f>IFERROR(__xludf.DUMMYFUNCTION("""COMPUTED_VALUE"""),"")</f>
        <v/>
      </c>
      <c r="B11807" s="87"/>
      <c r="C11807" s="87"/>
      <c r="D11807" s="87"/>
      <c r="E11807" s="87"/>
      <c r="F11807" s="87"/>
      <c r="G11807" s="87"/>
    </row>
    <row r="11808">
      <c r="A11808" s="86" t="str">
        <f>IFERROR(__xludf.DUMMYFUNCTION("""COMPUTED_VALUE"""),"")</f>
        <v/>
      </c>
      <c r="B11808" s="87"/>
      <c r="C11808" s="87"/>
      <c r="D11808" s="87"/>
      <c r="E11808" s="87"/>
      <c r="F11808" s="87"/>
      <c r="G11808" s="87"/>
    </row>
    <row r="11809">
      <c r="A11809" s="86" t="str">
        <f>IFERROR(__xludf.DUMMYFUNCTION("""COMPUTED_VALUE"""),"")</f>
        <v/>
      </c>
      <c r="B11809" s="87"/>
      <c r="C11809" s="87"/>
      <c r="D11809" s="87"/>
      <c r="E11809" s="87"/>
      <c r="F11809" s="87"/>
      <c r="G11809" s="87"/>
    </row>
    <row r="11810">
      <c r="A11810" s="86" t="str">
        <f>IFERROR(__xludf.DUMMYFUNCTION("""COMPUTED_VALUE"""),"")</f>
        <v/>
      </c>
      <c r="B11810" s="87"/>
      <c r="C11810" s="87"/>
      <c r="D11810" s="87"/>
      <c r="E11810" s="87"/>
      <c r="F11810" s="87"/>
      <c r="G11810" s="87"/>
    </row>
    <row r="11811">
      <c r="A11811" s="86" t="str">
        <f>IFERROR(__xludf.DUMMYFUNCTION("""COMPUTED_VALUE"""),"")</f>
        <v/>
      </c>
      <c r="B11811" s="87"/>
      <c r="C11811" s="87"/>
      <c r="D11811" s="87"/>
      <c r="E11811" s="87"/>
      <c r="F11811" s="87"/>
      <c r="G11811" s="87"/>
    </row>
    <row r="11812">
      <c r="A11812" s="86" t="str">
        <f>IFERROR(__xludf.DUMMYFUNCTION("""COMPUTED_VALUE"""),"")</f>
        <v/>
      </c>
      <c r="B11812" s="87"/>
      <c r="C11812" s="87"/>
      <c r="D11812" s="87"/>
      <c r="E11812" s="87"/>
      <c r="F11812" s="87"/>
      <c r="G11812" s="87"/>
    </row>
    <row r="11813">
      <c r="A11813" s="86" t="str">
        <f>IFERROR(__xludf.DUMMYFUNCTION("""COMPUTED_VALUE"""),"")</f>
        <v/>
      </c>
      <c r="B11813" s="87"/>
      <c r="C11813" s="87"/>
      <c r="D11813" s="87"/>
      <c r="E11813" s="87"/>
      <c r="F11813" s="87"/>
      <c r="G11813" s="87"/>
    </row>
    <row r="11814">
      <c r="A11814" s="86" t="str">
        <f>IFERROR(__xludf.DUMMYFUNCTION("""COMPUTED_VALUE"""),"")</f>
        <v/>
      </c>
      <c r="B11814" s="87"/>
      <c r="C11814" s="87"/>
      <c r="D11814" s="87"/>
      <c r="E11814" s="87"/>
      <c r="F11814" s="87"/>
      <c r="G11814" s="87"/>
    </row>
    <row r="11815">
      <c r="A11815" s="86" t="str">
        <f>IFERROR(__xludf.DUMMYFUNCTION("""COMPUTED_VALUE"""),"")</f>
        <v/>
      </c>
      <c r="B11815" s="87"/>
      <c r="C11815" s="87"/>
      <c r="D11815" s="87"/>
      <c r="E11815" s="87"/>
      <c r="F11815" s="87"/>
      <c r="G11815" s="87"/>
    </row>
    <row r="11816">
      <c r="A11816" s="86" t="str">
        <f>IFERROR(__xludf.DUMMYFUNCTION("""COMPUTED_VALUE"""),"")</f>
        <v/>
      </c>
      <c r="B11816" s="87"/>
      <c r="C11816" s="87"/>
      <c r="D11816" s="87"/>
      <c r="E11816" s="87"/>
      <c r="F11816" s="87"/>
      <c r="G11816" s="87"/>
    </row>
    <row r="11817">
      <c r="A11817" s="86" t="str">
        <f>IFERROR(__xludf.DUMMYFUNCTION("""COMPUTED_VALUE"""),"")</f>
        <v/>
      </c>
      <c r="B11817" s="87"/>
      <c r="C11817" s="87"/>
      <c r="D11817" s="87"/>
      <c r="E11817" s="87"/>
      <c r="F11817" s="87"/>
      <c r="G11817" s="87"/>
    </row>
    <row r="11818">
      <c r="A11818" s="86" t="str">
        <f>IFERROR(__xludf.DUMMYFUNCTION("""COMPUTED_VALUE"""),"")</f>
        <v/>
      </c>
      <c r="B11818" s="87"/>
      <c r="C11818" s="87"/>
      <c r="D11818" s="87"/>
      <c r="E11818" s="87"/>
      <c r="F11818" s="87"/>
      <c r="G11818" s="87"/>
    </row>
    <row r="11819">
      <c r="A11819" s="86" t="str">
        <f>IFERROR(__xludf.DUMMYFUNCTION("""COMPUTED_VALUE"""),"")</f>
        <v/>
      </c>
      <c r="B11819" s="87"/>
      <c r="C11819" s="87"/>
      <c r="D11819" s="87"/>
      <c r="E11819" s="87"/>
      <c r="F11819" s="87"/>
      <c r="G11819" s="87"/>
    </row>
    <row r="11820">
      <c r="A11820" s="86" t="str">
        <f>IFERROR(__xludf.DUMMYFUNCTION("""COMPUTED_VALUE"""),"")</f>
        <v/>
      </c>
      <c r="B11820" s="87"/>
      <c r="C11820" s="87"/>
      <c r="D11820" s="87"/>
      <c r="E11820" s="87"/>
      <c r="F11820" s="87"/>
      <c r="G11820" s="87"/>
    </row>
    <row r="11821">
      <c r="A11821" s="86" t="str">
        <f>IFERROR(__xludf.DUMMYFUNCTION("""COMPUTED_VALUE"""),"")</f>
        <v/>
      </c>
      <c r="B11821" s="87"/>
      <c r="C11821" s="87"/>
      <c r="D11821" s="87"/>
      <c r="E11821" s="87"/>
      <c r="F11821" s="87"/>
      <c r="G11821" s="87"/>
    </row>
    <row r="11822">
      <c r="A11822" s="86" t="str">
        <f>IFERROR(__xludf.DUMMYFUNCTION("""COMPUTED_VALUE"""),"")</f>
        <v/>
      </c>
      <c r="B11822" s="87"/>
      <c r="C11822" s="87"/>
      <c r="D11822" s="87"/>
      <c r="E11822" s="87"/>
      <c r="F11822" s="87"/>
      <c r="G11822" s="87"/>
    </row>
    <row r="11823">
      <c r="A11823" s="86" t="str">
        <f>IFERROR(__xludf.DUMMYFUNCTION("""COMPUTED_VALUE"""),"")</f>
        <v/>
      </c>
      <c r="B11823" s="87"/>
      <c r="C11823" s="87"/>
      <c r="D11823" s="87"/>
      <c r="E11823" s="87"/>
      <c r="F11823" s="87"/>
      <c r="G11823" s="87"/>
    </row>
    <row r="11824">
      <c r="A11824" s="86" t="str">
        <f>IFERROR(__xludf.DUMMYFUNCTION("""COMPUTED_VALUE"""),"")</f>
        <v/>
      </c>
      <c r="B11824" s="87"/>
      <c r="C11824" s="87"/>
      <c r="D11824" s="87"/>
      <c r="E11824" s="87"/>
      <c r="F11824" s="87"/>
      <c r="G11824" s="87"/>
    </row>
    <row r="11825">
      <c r="A11825" s="86" t="str">
        <f>IFERROR(__xludf.DUMMYFUNCTION("""COMPUTED_VALUE"""),"")</f>
        <v/>
      </c>
      <c r="B11825" s="87"/>
      <c r="C11825" s="87"/>
      <c r="D11825" s="87"/>
      <c r="E11825" s="87"/>
      <c r="F11825" s="87"/>
      <c r="G11825" s="87"/>
    </row>
    <row r="11826">
      <c r="A11826" s="86" t="str">
        <f>IFERROR(__xludf.DUMMYFUNCTION("""COMPUTED_VALUE"""),"")</f>
        <v/>
      </c>
      <c r="B11826" s="87"/>
      <c r="C11826" s="87"/>
      <c r="D11826" s="87"/>
      <c r="E11826" s="87"/>
      <c r="F11826" s="87"/>
      <c r="G11826" s="87"/>
    </row>
    <row r="11827">
      <c r="A11827" s="86" t="str">
        <f>IFERROR(__xludf.DUMMYFUNCTION("""COMPUTED_VALUE"""),"")</f>
        <v/>
      </c>
      <c r="B11827" s="87"/>
      <c r="C11827" s="87"/>
      <c r="D11827" s="87"/>
      <c r="E11827" s="87"/>
      <c r="F11827" s="87"/>
      <c r="G11827" s="87"/>
    </row>
    <row r="11828">
      <c r="A11828" s="86" t="str">
        <f>IFERROR(__xludf.DUMMYFUNCTION("""COMPUTED_VALUE"""),"")</f>
        <v/>
      </c>
      <c r="B11828" s="87"/>
      <c r="C11828" s="87"/>
      <c r="D11828" s="87"/>
      <c r="E11828" s="87"/>
      <c r="F11828" s="87"/>
      <c r="G11828" s="87"/>
    </row>
    <row r="11829">
      <c r="A11829" s="86" t="str">
        <f>IFERROR(__xludf.DUMMYFUNCTION("""COMPUTED_VALUE"""),"")</f>
        <v/>
      </c>
      <c r="B11829" s="87"/>
      <c r="C11829" s="87"/>
      <c r="D11829" s="87"/>
      <c r="E11829" s="87"/>
      <c r="F11829" s="87"/>
      <c r="G11829" s="87"/>
    </row>
    <row r="11830">
      <c r="A11830" s="86" t="str">
        <f>IFERROR(__xludf.DUMMYFUNCTION("""COMPUTED_VALUE"""),"")</f>
        <v/>
      </c>
      <c r="B11830" s="87"/>
      <c r="C11830" s="87"/>
      <c r="D11830" s="87"/>
      <c r="E11830" s="87"/>
      <c r="F11830" s="87"/>
      <c r="G11830" s="87"/>
    </row>
    <row r="11831">
      <c r="A11831" s="86" t="str">
        <f>IFERROR(__xludf.DUMMYFUNCTION("""COMPUTED_VALUE"""),"")</f>
        <v/>
      </c>
      <c r="B11831" s="87"/>
      <c r="C11831" s="87"/>
      <c r="D11831" s="87"/>
      <c r="E11831" s="87"/>
      <c r="F11831" s="87"/>
      <c r="G11831" s="87"/>
    </row>
    <row r="11832">
      <c r="A11832" s="86" t="str">
        <f>IFERROR(__xludf.DUMMYFUNCTION("""COMPUTED_VALUE"""),"")</f>
        <v/>
      </c>
      <c r="B11832" s="87"/>
      <c r="C11832" s="87"/>
      <c r="D11832" s="87"/>
      <c r="E11832" s="87"/>
      <c r="F11832" s="87"/>
      <c r="G11832" s="87"/>
    </row>
    <row r="11833">
      <c r="A11833" s="86" t="str">
        <f>IFERROR(__xludf.DUMMYFUNCTION("""COMPUTED_VALUE"""),"")</f>
        <v/>
      </c>
      <c r="B11833" s="87"/>
      <c r="C11833" s="87"/>
      <c r="D11833" s="87"/>
      <c r="E11833" s="87"/>
      <c r="F11833" s="87"/>
      <c r="G11833" s="87"/>
    </row>
    <row r="11834">
      <c r="A11834" s="86" t="str">
        <f>IFERROR(__xludf.DUMMYFUNCTION("""COMPUTED_VALUE"""),"")</f>
        <v/>
      </c>
      <c r="B11834" s="87"/>
      <c r="C11834" s="87"/>
      <c r="D11834" s="87"/>
      <c r="E11834" s="87"/>
      <c r="F11834" s="87"/>
      <c r="G11834" s="87"/>
    </row>
    <row r="11835">
      <c r="A11835" s="86" t="str">
        <f>IFERROR(__xludf.DUMMYFUNCTION("""COMPUTED_VALUE"""),"")</f>
        <v/>
      </c>
      <c r="B11835" s="87"/>
      <c r="C11835" s="87"/>
      <c r="D11835" s="87"/>
      <c r="E11835" s="87"/>
      <c r="F11835" s="87"/>
      <c r="G11835" s="87"/>
    </row>
    <row r="11836">
      <c r="A11836" s="86" t="str">
        <f>IFERROR(__xludf.DUMMYFUNCTION("""COMPUTED_VALUE"""),"")</f>
        <v/>
      </c>
      <c r="B11836" s="87"/>
      <c r="C11836" s="87"/>
      <c r="D11836" s="87"/>
      <c r="E11836" s="87"/>
      <c r="F11836" s="87"/>
      <c r="G11836" s="87"/>
    </row>
    <row r="11837">
      <c r="A11837" s="86" t="str">
        <f>IFERROR(__xludf.DUMMYFUNCTION("""COMPUTED_VALUE"""),"")</f>
        <v/>
      </c>
      <c r="B11837" s="87"/>
      <c r="C11837" s="87"/>
      <c r="D11837" s="87"/>
      <c r="E11837" s="87"/>
      <c r="F11837" s="87"/>
      <c r="G11837" s="87"/>
    </row>
    <row r="11838">
      <c r="A11838" s="86" t="str">
        <f>IFERROR(__xludf.DUMMYFUNCTION("""COMPUTED_VALUE"""),"")</f>
        <v/>
      </c>
      <c r="B11838" s="87"/>
      <c r="C11838" s="87"/>
      <c r="D11838" s="87"/>
      <c r="E11838" s="87"/>
      <c r="F11838" s="87"/>
      <c r="G11838" s="87"/>
    </row>
    <row r="11839">
      <c r="A11839" s="86" t="str">
        <f>IFERROR(__xludf.DUMMYFUNCTION("""COMPUTED_VALUE"""),"")</f>
        <v/>
      </c>
      <c r="B11839" s="87"/>
      <c r="C11839" s="87"/>
      <c r="D11839" s="87"/>
      <c r="E11839" s="87"/>
      <c r="F11839" s="87"/>
      <c r="G11839" s="87"/>
    </row>
    <row r="11840">
      <c r="A11840" s="86" t="str">
        <f>IFERROR(__xludf.DUMMYFUNCTION("""COMPUTED_VALUE"""),"")</f>
        <v/>
      </c>
      <c r="B11840" s="87"/>
      <c r="C11840" s="87"/>
      <c r="D11840" s="87"/>
      <c r="E11840" s="87"/>
      <c r="F11840" s="87"/>
      <c r="G11840" s="87"/>
    </row>
    <row r="11841">
      <c r="A11841" s="86" t="str">
        <f>IFERROR(__xludf.DUMMYFUNCTION("""COMPUTED_VALUE"""),"")</f>
        <v/>
      </c>
      <c r="B11841" s="87"/>
      <c r="C11841" s="87"/>
      <c r="D11841" s="87"/>
      <c r="E11841" s="87"/>
      <c r="F11841" s="87"/>
      <c r="G11841" s="87"/>
    </row>
    <row r="11842">
      <c r="A11842" s="86" t="str">
        <f>IFERROR(__xludf.DUMMYFUNCTION("""COMPUTED_VALUE"""),"")</f>
        <v/>
      </c>
      <c r="B11842" s="87"/>
      <c r="C11842" s="87"/>
      <c r="D11842" s="87"/>
      <c r="E11842" s="87"/>
      <c r="F11842" s="87"/>
      <c r="G11842" s="87"/>
    </row>
    <row r="11843">
      <c r="A11843" s="86" t="str">
        <f>IFERROR(__xludf.DUMMYFUNCTION("""COMPUTED_VALUE"""),"")</f>
        <v/>
      </c>
      <c r="B11843" s="87"/>
      <c r="C11843" s="87"/>
      <c r="D11843" s="87"/>
      <c r="E11843" s="87"/>
      <c r="F11843" s="87"/>
      <c r="G11843" s="87"/>
    </row>
    <row r="11844">
      <c r="A11844" s="86" t="str">
        <f>IFERROR(__xludf.DUMMYFUNCTION("""COMPUTED_VALUE"""),"")</f>
        <v/>
      </c>
      <c r="B11844" s="87"/>
      <c r="C11844" s="87"/>
      <c r="D11844" s="87"/>
      <c r="E11844" s="87"/>
      <c r="F11844" s="87"/>
      <c r="G11844" s="87"/>
    </row>
    <row r="11845">
      <c r="A11845" s="86" t="str">
        <f>IFERROR(__xludf.DUMMYFUNCTION("""COMPUTED_VALUE"""),"")</f>
        <v/>
      </c>
      <c r="B11845" s="87"/>
      <c r="C11845" s="87"/>
      <c r="D11845" s="87"/>
      <c r="E11845" s="87"/>
      <c r="F11845" s="87"/>
      <c r="G11845" s="87"/>
    </row>
    <row r="11846">
      <c r="A11846" s="86" t="str">
        <f>IFERROR(__xludf.DUMMYFUNCTION("""COMPUTED_VALUE"""),"")</f>
        <v/>
      </c>
      <c r="B11846" s="87"/>
      <c r="C11846" s="87"/>
      <c r="D11846" s="87"/>
      <c r="E11846" s="87"/>
      <c r="F11846" s="87"/>
      <c r="G11846" s="87"/>
    </row>
    <row r="11847">
      <c r="A11847" s="86" t="str">
        <f>IFERROR(__xludf.DUMMYFUNCTION("""COMPUTED_VALUE"""),"")</f>
        <v/>
      </c>
      <c r="B11847" s="87"/>
      <c r="C11847" s="87"/>
      <c r="D11847" s="87"/>
      <c r="E11847" s="87"/>
      <c r="F11847" s="87"/>
      <c r="G11847" s="87"/>
    </row>
    <row r="11848">
      <c r="A11848" s="86" t="str">
        <f>IFERROR(__xludf.DUMMYFUNCTION("""COMPUTED_VALUE"""),"")</f>
        <v/>
      </c>
      <c r="B11848" s="87"/>
      <c r="C11848" s="87"/>
      <c r="D11848" s="87"/>
      <c r="E11848" s="87"/>
      <c r="F11848" s="87"/>
      <c r="G11848" s="87"/>
    </row>
    <row r="11849">
      <c r="A11849" s="86" t="str">
        <f>IFERROR(__xludf.DUMMYFUNCTION("""COMPUTED_VALUE"""),"")</f>
        <v/>
      </c>
      <c r="B11849" s="87"/>
      <c r="C11849" s="87"/>
      <c r="D11849" s="87"/>
      <c r="E11849" s="87"/>
      <c r="F11849" s="87"/>
      <c r="G11849" s="87"/>
    </row>
    <row r="11850">
      <c r="A11850" s="86" t="str">
        <f>IFERROR(__xludf.DUMMYFUNCTION("""COMPUTED_VALUE"""),"")</f>
        <v/>
      </c>
      <c r="B11850" s="87"/>
      <c r="C11850" s="87"/>
      <c r="D11850" s="87"/>
      <c r="E11850" s="87"/>
      <c r="F11850" s="87"/>
      <c r="G11850" s="87"/>
    </row>
    <row r="11851">
      <c r="A11851" s="86" t="str">
        <f>IFERROR(__xludf.DUMMYFUNCTION("""COMPUTED_VALUE"""),"")</f>
        <v/>
      </c>
      <c r="B11851" s="87"/>
      <c r="C11851" s="87"/>
      <c r="D11851" s="87"/>
      <c r="E11851" s="87"/>
      <c r="F11851" s="87"/>
      <c r="G11851" s="87"/>
    </row>
    <row r="11852">
      <c r="A11852" s="86" t="str">
        <f>IFERROR(__xludf.DUMMYFUNCTION("""COMPUTED_VALUE"""),"")</f>
        <v/>
      </c>
      <c r="B11852" s="87"/>
      <c r="C11852" s="87"/>
      <c r="D11852" s="87"/>
      <c r="E11852" s="87"/>
      <c r="F11852" s="87"/>
      <c r="G11852" s="87"/>
    </row>
    <row r="11853">
      <c r="A11853" s="86" t="str">
        <f>IFERROR(__xludf.DUMMYFUNCTION("""COMPUTED_VALUE"""),"")</f>
        <v/>
      </c>
      <c r="B11853" s="87"/>
      <c r="C11853" s="87"/>
      <c r="D11853" s="87"/>
      <c r="E11853" s="87"/>
      <c r="F11853" s="87"/>
      <c r="G11853" s="87"/>
    </row>
    <row r="11854">
      <c r="A11854" s="86" t="str">
        <f>IFERROR(__xludf.DUMMYFUNCTION("""COMPUTED_VALUE"""),"")</f>
        <v/>
      </c>
      <c r="B11854" s="87"/>
      <c r="C11854" s="87"/>
      <c r="D11854" s="87"/>
      <c r="E11854" s="87"/>
      <c r="F11854" s="87"/>
      <c r="G11854" s="87"/>
    </row>
    <row r="11855">
      <c r="A11855" s="86" t="str">
        <f>IFERROR(__xludf.DUMMYFUNCTION("""COMPUTED_VALUE"""),"")</f>
        <v/>
      </c>
      <c r="B11855" s="87"/>
      <c r="C11855" s="87"/>
      <c r="D11855" s="87"/>
      <c r="E11855" s="87"/>
      <c r="F11855" s="87"/>
      <c r="G11855" s="87"/>
    </row>
    <row r="11856">
      <c r="A11856" s="86" t="str">
        <f>IFERROR(__xludf.DUMMYFUNCTION("""COMPUTED_VALUE"""),"")</f>
        <v/>
      </c>
      <c r="B11856" s="87"/>
      <c r="C11856" s="87"/>
      <c r="D11856" s="87"/>
      <c r="E11856" s="87"/>
      <c r="F11856" s="87"/>
      <c r="G11856" s="87"/>
    </row>
    <row r="11857">
      <c r="A11857" s="86" t="str">
        <f>IFERROR(__xludf.DUMMYFUNCTION("""COMPUTED_VALUE"""),"")</f>
        <v/>
      </c>
      <c r="B11857" s="87"/>
      <c r="C11857" s="87"/>
      <c r="D11857" s="87"/>
      <c r="E11857" s="87"/>
      <c r="F11857" s="87"/>
      <c r="G11857" s="87"/>
    </row>
    <row r="11858">
      <c r="A11858" s="86" t="str">
        <f>IFERROR(__xludf.DUMMYFUNCTION("""COMPUTED_VALUE"""),"")</f>
        <v/>
      </c>
      <c r="B11858" s="87"/>
      <c r="C11858" s="87"/>
      <c r="D11858" s="87"/>
      <c r="E11858" s="87"/>
      <c r="F11858" s="87"/>
      <c r="G11858" s="87"/>
    </row>
    <row r="11859">
      <c r="A11859" s="86" t="str">
        <f>IFERROR(__xludf.DUMMYFUNCTION("""COMPUTED_VALUE"""),"")</f>
        <v/>
      </c>
      <c r="B11859" s="87"/>
      <c r="C11859" s="87"/>
      <c r="D11859" s="87"/>
      <c r="E11859" s="87"/>
      <c r="F11859" s="87"/>
      <c r="G11859" s="87"/>
    </row>
    <row r="11860">
      <c r="A11860" s="86" t="str">
        <f>IFERROR(__xludf.DUMMYFUNCTION("""COMPUTED_VALUE"""),"")</f>
        <v/>
      </c>
      <c r="B11860" s="87"/>
      <c r="C11860" s="87"/>
      <c r="D11860" s="87"/>
      <c r="E11860" s="87"/>
      <c r="F11860" s="87"/>
      <c r="G11860" s="87"/>
    </row>
    <row r="11861">
      <c r="A11861" s="86" t="str">
        <f>IFERROR(__xludf.DUMMYFUNCTION("""COMPUTED_VALUE"""),"")</f>
        <v/>
      </c>
      <c r="B11861" s="87"/>
      <c r="C11861" s="87"/>
      <c r="D11861" s="87"/>
      <c r="E11861" s="87"/>
      <c r="F11861" s="87"/>
      <c r="G11861" s="87"/>
    </row>
    <row r="11862">
      <c r="A11862" s="86" t="str">
        <f>IFERROR(__xludf.DUMMYFUNCTION("""COMPUTED_VALUE"""),"")</f>
        <v/>
      </c>
      <c r="B11862" s="87"/>
      <c r="C11862" s="87"/>
      <c r="D11862" s="87"/>
      <c r="E11862" s="87"/>
      <c r="F11862" s="87"/>
      <c r="G11862" s="87"/>
    </row>
    <row r="11863">
      <c r="A11863" s="86" t="str">
        <f>IFERROR(__xludf.DUMMYFUNCTION("""COMPUTED_VALUE"""),"")</f>
        <v/>
      </c>
      <c r="B11863" s="87"/>
      <c r="C11863" s="87"/>
      <c r="D11863" s="87"/>
      <c r="E11863" s="87"/>
      <c r="F11863" s="87"/>
      <c r="G11863" s="87"/>
    </row>
    <row r="11864">
      <c r="A11864" s="86" t="str">
        <f>IFERROR(__xludf.DUMMYFUNCTION("""COMPUTED_VALUE"""),"")</f>
        <v/>
      </c>
      <c r="B11864" s="87"/>
      <c r="C11864" s="87"/>
      <c r="D11864" s="87"/>
      <c r="E11864" s="87"/>
      <c r="F11864" s="87"/>
      <c r="G11864" s="87"/>
    </row>
    <row r="11865">
      <c r="A11865" s="86" t="str">
        <f>IFERROR(__xludf.DUMMYFUNCTION("""COMPUTED_VALUE"""),"")</f>
        <v/>
      </c>
      <c r="B11865" s="87"/>
      <c r="C11865" s="87"/>
      <c r="D11865" s="87"/>
      <c r="E11865" s="87"/>
      <c r="F11865" s="87"/>
      <c r="G11865" s="87"/>
    </row>
    <row r="11866">
      <c r="A11866" s="86" t="str">
        <f>IFERROR(__xludf.DUMMYFUNCTION("""COMPUTED_VALUE"""),"")</f>
        <v/>
      </c>
      <c r="B11866" s="87"/>
      <c r="C11866" s="87"/>
      <c r="D11866" s="87"/>
      <c r="E11866" s="87"/>
      <c r="F11866" s="87"/>
      <c r="G11866" s="87"/>
    </row>
    <row r="11867">
      <c r="A11867" s="86" t="str">
        <f>IFERROR(__xludf.DUMMYFUNCTION("""COMPUTED_VALUE"""),"")</f>
        <v/>
      </c>
      <c r="B11867" s="87"/>
      <c r="C11867" s="87"/>
      <c r="D11867" s="87"/>
      <c r="E11867" s="87"/>
      <c r="F11867" s="87"/>
      <c r="G11867" s="87"/>
    </row>
    <row r="11868">
      <c r="A11868" s="86" t="str">
        <f>IFERROR(__xludf.DUMMYFUNCTION("""COMPUTED_VALUE"""),"")</f>
        <v/>
      </c>
      <c r="B11868" s="87"/>
      <c r="C11868" s="87"/>
      <c r="D11868" s="87"/>
      <c r="E11868" s="87"/>
      <c r="F11868" s="87"/>
      <c r="G11868" s="87"/>
    </row>
    <row r="11869">
      <c r="A11869" s="86" t="str">
        <f>IFERROR(__xludf.DUMMYFUNCTION("""COMPUTED_VALUE"""),"")</f>
        <v/>
      </c>
      <c r="B11869" s="87"/>
      <c r="C11869" s="87"/>
      <c r="D11869" s="87"/>
      <c r="E11869" s="87"/>
      <c r="F11869" s="87"/>
      <c r="G11869" s="87"/>
    </row>
    <row r="11870">
      <c r="A11870" s="86" t="str">
        <f>IFERROR(__xludf.DUMMYFUNCTION("""COMPUTED_VALUE"""),"")</f>
        <v/>
      </c>
      <c r="B11870" s="87"/>
      <c r="C11870" s="87"/>
      <c r="D11870" s="87"/>
      <c r="E11870" s="87"/>
      <c r="F11870" s="87"/>
      <c r="G11870" s="87"/>
    </row>
    <row r="11871">
      <c r="A11871" s="86" t="str">
        <f>IFERROR(__xludf.DUMMYFUNCTION("""COMPUTED_VALUE"""),"")</f>
        <v/>
      </c>
      <c r="B11871" s="87"/>
      <c r="C11871" s="87"/>
      <c r="D11871" s="87"/>
      <c r="E11871" s="87"/>
      <c r="F11871" s="87"/>
      <c r="G11871" s="87"/>
    </row>
    <row r="11872">
      <c r="A11872" s="86" t="str">
        <f>IFERROR(__xludf.DUMMYFUNCTION("""COMPUTED_VALUE"""),"")</f>
        <v/>
      </c>
      <c r="B11872" s="87"/>
      <c r="C11872" s="87"/>
      <c r="D11872" s="87"/>
      <c r="E11872" s="87"/>
      <c r="F11872" s="87"/>
      <c r="G11872" s="87"/>
    </row>
    <row r="11873">
      <c r="A11873" s="86" t="str">
        <f>IFERROR(__xludf.DUMMYFUNCTION("""COMPUTED_VALUE"""),"")</f>
        <v/>
      </c>
      <c r="B11873" s="87"/>
      <c r="C11873" s="87"/>
      <c r="D11873" s="87"/>
      <c r="E11873" s="87"/>
      <c r="F11873" s="87"/>
      <c r="G11873" s="87"/>
    </row>
    <row r="11874">
      <c r="A11874" s="86" t="str">
        <f>IFERROR(__xludf.DUMMYFUNCTION("""COMPUTED_VALUE"""),"")</f>
        <v/>
      </c>
      <c r="B11874" s="87"/>
      <c r="C11874" s="87"/>
      <c r="D11874" s="87"/>
      <c r="E11874" s="87"/>
      <c r="F11874" s="87"/>
      <c r="G11874" s="87"/>
    </row>
    <row r="11875">
      <c r="A11875" s="86" t="str">
        <f>IFERROR(__xludf.DUMMYFUNCTION("""COMPUTED_VALUE"""),"")</f>
        <v/>
      </c>
      <c r="B11875" s="87"/>
      <c r="C11875" s="87"/>
      <c r="D11875" s="87"/>
      <c r="E11875" s="87"/>
      <c r="F11875" s="87"/>
      <c r="G11875" s="87"/>
    </row>
    <row r="11876">
      <c r="A11876" s="86" t="str">
        <f>IFERROR(__xludf.DUMMYFUNCTION("""COMPUTED_VALUE"""),"")</f>
        <v/>
      </c>
      <c r="B11876" s="87"/>
      <c r="C11876" s="87"/>
      <c r="D11876" s="87"/>
      <c r="E11876" s="87"/>
      <c r="F11876" s="87"/>
      <c r="G11876" s="87"/>
    </row>
    <row r="11877">
      <c r="A11877" s="86" t="str">
        <f>IFERROR(__xludf.DUMMYFUNCTION("""COMPUTED_VALUE"""),"")</f>
        <v/>
      </c>
      <c r="B11877" s="87"/>
      <c r="C11877" s="87"/>
      <c r="D11877" s="87"/>
      <c r="E11877" s="87"/>
      <c r="F11877" s="87"/>
      <c r="G11877" s="87"/>
    </row>
    <row r="11878">
      <c r="A11878" s="86" t="str">
        <f>IFERROR(__xludf.DUMMYFUNCTION("""COMPUTED_VALUE"""),"")</f>
        <v/>
      </c>
      <c r="B11878" s="87"/>
      <c r="C11878" s="87"/>
      <c r="D11878" s="87"/>
      <c r="E11878" s="87"/>
      <c r="F11878" s="87"/>
      <c r="G11878" s="87"/>
    </row>
    <row r="11879">
      <c r="A11879" s="86" t="str">
        <f>IFERROR(__xludf.DUMMYFUNCTION("""COMPUTED_VALUE"""),"")</f>
        <v/>
      </c>
      <c r="B11879" s="87"/>
      <c r="C11879" s="87"/>
      <c r="D11879" s="87"/>
      <c r="E11879" s="87"/>
      <c r="F11879" s="87"/>
      <c r="G11879" s="87"/>
    </row>
    <row r="11880">
      <c r="A11880" s="86" t="str">
        <f>IFERROR(__xludf.DUMMYFUNCTION("""COMPUTED_VALUE"""),"")</f>
        <v/>
      </c>
      <c r="B11880" s="87"/>
      <c r="C11880" s="87"/>
      <c r="D11880" s="87"/>
      <c r="E11880" s="87"/>
      <c r="F11880" s="87"/>
      <c r="G11880" s="87"/>
    </row>
    <row r="11881">
      <c r="A11881" s="86" t="str">
        <f>IFERROR(__xludf.DUMMYFUNCTION("""COMPUTED_VALUE"""),"")</f>
        <v/>
      </c>
      <c r="B11881" s="87"/>
      <c r="C11881" s="87"/>
      <c r="D11881" s="87"/>
      <c r="E11881" s="87"/>
      <c r="F11881" s="87"/>
      <c r="G11881" s="87"/>
    </row>
    <row r="11882">
      <c r="A11882" s="86" t="str">
        <f>IFERROR(__xludf.DUMMYFUNCTION("""COMPUTED_VALUE"""),"")</f>
        <v/>
      </c>
      <c r="B11882" s="87"/>
      <c r="C11882" s="87"/>
      <c r="D11882" s="87"/>
      <c r="E11882" s="87"/>
      <c r="F11882" s="87"/>
      <c r="G11882" s="87"/>
    </row>
    <row r="11883">
      <c r="A11883" s="86" t="str">
        <f>IFERROR(__xludf.DUMMYFUNCTION("""COMPUTED_VALUE"""),"")</f>
        <v/>
      </c>
      <c r="B11883" s="87"/>
      <c r="C11883" s="87"/>
      <c r="D11883" s="87"/>
      <c r="E11883" s="87"/>
      <c r="F11883" s="87"/>
      <c r="G11883" s="87"/>
    </row>
    <row r="11884">
      <c r="A11884" s="86" t="str">
        <f>IFERROR(__xludf.DUMMYFUNCTION("""COMPUTED_VALUE"""),"")</f>
        <v/>
      </c>
      <c r="B11884" s="87"/>
      <c r="C11884" s="87"/>
      <c r="D11884" s="87"/>
      <c r="E11884" s="87"/>
      <c r="F11884" s="87"/>
      <c r="G11884" s="87"/>
    </row>
    <row r="11885">
      <c r="A11885" s="86" t="str">
        <f>IFERROR(__xludf.DUMMYFUNCTION("""COMPUTED_VALUE"""),"")</f>
        <v/>
      </c>
      <c r="B11885" s="87"/>
      <c r="C11885" s="87"/>
      <c r="D11885" s="87"/>
      <c r="E11885" s="87"/>
      <c r="F11885" s="87"/>
      <c r="G11885" s="87"/>
    </row>
    <row r="11886">
      <c r="A11886" s="86" t="str">
        <f>IFERROR(__xludf.DUMMYFUNCTION("""COMPUTED_VALUE"""),"")</f>
        <v/>
      </c>
      <c r="B11886" s="87"/>
      <c r="C11886" s="87"/>
      <c r="D11886" s="87"/>
      <c r="E11886" s="87"/>
      <c r="F11886" s="87"/>
      <c r="G11886" s="87"/>
    </row>
    <row r="11887">
      <c r="A11887" s="86" t="str">
        <f>IFERROR(__xludf.DUMMYFUNCTION("""COMPUTED_VALUE"""),"")</f>
        <v/>
      </c>
      <c r="B11887" s="87"/>
      <c r="C11887" s="87"/>
      <c r="D11887" s="87"/>
      <c r="E11887" s="87"/>
      <c r="F11887" s="87"/>
      <c r="G11887" s="87"/>
    </row>
    <row r="11888">
      <c r="A11888" s="86" t="str">
        <f>IFERROR(__xludf.DUMMYFUNCTION("""COMPUTED_VALUE"""),"")</f>
        <v/>
      </c>
      <c r="B11888" s="87"/>
      <c r="C11888" s="87"/>
      <c r="D11888" s="87"/>
      <c r="E11888" s="87"/>
      <c r="F11888" s="87"/>
      <c r="G11888" s="87"/>
    </row>
    <row r="11889">
      <c r="A11889" s="86" t="str">
        <f>IFERROR(__xludf.DUMMYFUNCTION("""COMPUTED_VALUE"""),"")</f>
        <v/>
      </c>
      <c r="B11889" s="87"/>
      <c r="C11889" s="87"/>
      <c r="D11889" s="87"/>
      <c r="E11889" s="87"/>
      <c r="F11889" s="87"/>
      <c r="G11889" s="87"/>
    </row>
    <row r="11890">
      <c r="A11890" s="86" t="str">
        <f>IFERROR(__xludf.DUMMYFUNCTION("""COMPUTED_VALUE"""),"")</f>
        <v/>
      </c>
      <c r="B11890" s="87"/>
      <c r="C11890" s="87"/>
      <c r="D11890" s="87"/>
      <c r="E11890" s="87"/>
      <c r="F11890" s="87"/>
      <c r="G11890" s="87"/>
    </row>
    <row r="11891">
      <c r="A11891" s="86" t="str">
        <f>IFERROR(__xludf.DUMMYFUNCTION("""COMPUTED_VALUE"""),"")</f>
        <v/>
      </c>
      <c r="B11891" s="87"/>
      <c r="C11891" s="87"/>
      <c r="D11891" s="87"/>
      <c r="E11891" s="87"/>
      <c r="F11891" s="87"/>
      <c r="G11891" s="87"/>
    </row>
    <row r="11892">
      <c r="A11892" s="86" t="str">
        <f>IFERROR(__xludf.DUMMYFUNCTION("""COMPUTED_VALUE"""),"")</f>
        <v/>
      </c>
      <c r="B11892" s="87"/>
      <c r="C11892" s="87"/>
      <c r="D11892" s="87"/>
      <c r="E11892" s="87"/>
      <c r="F11892" s="87"/>
      <c r="G11892" s="87"/>
    </row>
    <row r="11893">
      <c r="A11893" s="86" t="str">
        <f>IFERROR(__xludf.DUMMYFUNCTION("""COMPUTED_VALUE"""),"")</f>
        <v/>
      </c>
      <c r="B11893" s="87"/>
      <c r="C11893" s="87"/>
      <c r="D11893" s="87"/>
      <c r="E11893" s="87"/>
      <c r="F11893" s="87"/>
      <c r="G11893" s="87"/>
    </row>
    <row r="11894">
      <c r="A11894" s="86" t="str">
        <f>IFERROR(__xludf.DUMMYFUNCTION("""COMPUTED_VALUE"""),"")</f>
        <v/>
      </c>
      <c r="B11894" s="87"/>
      <c r="C11894" s="87"/>
      <c r="D11894" s="87"/>
      <c r="E11894" s="87"/>
      <c r="F11894" s="87"/>
      <c r="G11894" s="87"/>
    </row>
    <row r="11895">
      <c r="A11895" s="86" t="str">
        <f>IFERROR(__xludf.DUMMYFUNCTION("""COMPUTED_VALUE"""),"")</f>
        <v/>
      </c>
      <c r="B11895" s="87"/>
      <c r="C11895" s="87"/>
      <c r="D11895" s="87"/>
      <c r="E11895" s="87"/>
      <c r="F11895" s="87"/>
      <c r="G11895" s="87"/>
    </row>
    <row r="11896">
      <c r="A11896" s="86" t="str">
        <f>IFERROR(__xludf.DUMMYFUNCTION("""COMPUTED_VALUE"""),"")</f>
        <v/>
      </c>
      <c r="B11896" s="87"/>
      <c r="C11896" s="87"/>
      <c r="D11896" s="87"/>
      <c r="E11896" s="87"/>
      <c r="F11896" s="87"/>
      <c r="G11896" s="87"/>
    </row>
    <row r="11897">
      <c r="A11897" s="86" t="str">
        <f>IFERROR(__xludf.DUMMYFUNCTION("""COMPUTED_VALUE"""),"")</f>
        <v/>
      </c>
      <c r="B11897" s="87"/>
      <c r="C11897" s="87"/>
      <c r="D11897" s="87"/>
      <c r="E11897" s="87"/>
      <c r="F11897" s="87"/>
      <c r="G11897" s="87"/>
    </row>
    <row r="11898">
      <c r="A11898" s="86" t="str">
        <f>IFERROR(__xludf.DUMMYFUNCTION("""COMPUTED_VALUE"""),"")</f>
        <v/>
      </c>
      <c r="B11898" s="87"/>
      <c r="C11898" s="87"/>
      <c r="D11898" s="87"/>
      <c r="E11898" s="87"/>
      <c r="F11898" s="87"/>
      <c r="G11898" s="87"/>
    </row>
    <row r="11899">
      <c r="A11899" s="86" t="str">
        <f>IFERROR(__xludf.DUMMYFUNCTION("""COMPUTED_VALUE"""),"")</f>
        <v/>
      </c>
      <c r="B11899" s="87"/>
      <c r="C11899" s="87"/>
      <c r="D11899" s="87"/>
      <c r="E11899" s="87"/>
      <c r="F11899" s="87"/>
      <c r="G11899" s="87"/>
    </row>
    <row r="11900">
      <c r="A11900" s="86" t="str">
        <f>IFERROR(__xludf.DUMMYFUNCTION("""COMPUTED_VALUE"""),"")</f>
        <v/>
      </c>
      <c r="B11900" s="87"/>
      <c r="C11900" s="87"/>
      <c r="D11900" s="87"/>
      <c r="E11900" s="87"/>
      <c r="F11900" s="87"/>
      <c r="G11900" s="87"/>
    </row>
    <row r="11901">
      <c r="A11901" s="86" t="str">
        <f>IFERROR(__xludf.DUMMYFUNCTION("""COMPUTED_VALUE"""),"")</f>
        <v/>
      </c>
      <c r="B11901" s="87"/>
      <c r="C11901" s="87"/>
      <c r="D11901" s="87"/>
      <c r="E11901" s="87"/>
      <c r="F11901" s="87"/>
      <c r="G11901" s="87"/>
    </row>
    <row r="11902">
      <c r="A11902" s="86" t="str">
        <f>IFERROR(__xludf.DUMMYFUNCTION("""COMPUTED_VALUE"""),"")</f>
        <v/>
      </c>
      <c r="B11902" s="87"/>
      <c r="C11902" s="87"/>
      <c r="D11902" s="87"/>
      <c r="E11902" s="87"/>
      <c r="F11902" s="87"/>
      <c r="G11902" s="87"/>
    </row>
    <row r="11903">
      <c r="A11903" s="86" t="str">
        <f>IFERROR(__xludf.DUMMYFUNCTION("""COMPUTED_VALUE"""),"")</f>
        <v/>
      </c>
      <c r="B11903" s="87"/>
      <c r="C11903" s="87"/>
      <c r="D11903" s="87"/>
      <c r="E11903" s="87"/>
      <c r="F11903" s="87"/>
      <c r="G11903" s="87"/>
    </row>
    <row r="11904">
      <c r="A11904" s="86" t="str">
        <f>IFERROR(__xludf.DUMMYFUNCTION("""COMPUTED_VALUE"""),"")</f>
        <v/>
      </c>
      <c r="B11904" s="87"/>
      <c r="C11904" s="87"/>
      <c r="D11904" s="87"/>
      <c r="E11904" s="87"/>
      <c r="F11904" s="87"/>
      <c r="G11904" s="87"/>
    </row>
    <row r="11905">
      <c r="A11905" s="86" t="str">
        <f>IFERROR(__xludf.DUMMYFUNCTION("""COMPUTED_VALUE"""),"")</f>
        <v/>
      </c>
      <c r="B11905" s="87"/>
      <c r="C11905" s="87"/>
      <c r="D11905" s="87"/>
      <c r="E11905" s="87"/>
      <c r="F11905" s="87"/>
      <c r="G11905" s="87"/>
    </row>
    <row r="11906">
      <c r="A11906" s="86" t="str">
        <f>IFERROR(__xludf.DUMMYFUNCTION("""COMPUTED_VALUE"""),"")</f>
        <v/>
      </c>
      <c r="B11906" s="87"/>
      <c r="C11906" s="87"/>
      <c r="D11906" s="87"/>
      <c r="E11906" s="87"/>
      <c r="F11906" s="87"/>
      <c r="G11906" s="87"/>
    </row>
    <row r="11907">
      <c r="A11907" s="86" t="str">
        <f>IFERROR(__xludf.DUMMYFUNCTION("""COMPUTED_VALUE"""),"")</f>
        <v/>
      </c>
      <c r="B11907" s="87"/>
      <c r="C11907" s="87"/>
      <c r="D11907" s="87"/>
      <c r="E11907" s="87"/>
      <c r="F11907" s="87"/>
      <c r="G11907" s="87"/>
    </row>
    <row r="11908">
      <c r="A11908" s="86" t="str">
        <f>IFERROR(__xludf.DUMMYFUNCTION("""COMPUTED_VALUE"""),"")</f>
        <v/>
      </c>
      <c r="B11908" s="87"/>
      <c r="C11908" s="87"/>
      <c r="D11908" s="87"/>
      <c r="E11908" s="87"/>
      <c r="F11908" s="87"/>
      <c r="G11908" s="87"/>
    </row>
    <row r="11909">
      <c r="A11909" s="86" t="str">
        <f>IFERROR(__xludf.DUMMYFUNCTION("""COMPUTED_VALUE"""),"")</f>
        <v/>
      </c>
      <c r="B11909" s="87"/>
      <c r="C11909" s="87"/>
      <c r="D11909" s="87"/>
      <c r="E11909" s="87"/>
      <c r="F11909" s="87"/>
      <c r="G11909" s="87"/>
    </row>
    <row r="11910">
      <c r="A11910" s="86" t="str">
        <f>IFERROR(__xludf.DUMMYFUNCTION("""COMPUTED_VALUE"""),"")</f>
        <v/>
      </c>
      <c r="B11910" s="87"/>
      <c r="C11910" s="87"/>
      <c r="D11910" s="87"/>
      <c r="E11910" s="87"/>
      <c r="F11910" s="87"/>
      <c r="G11910" s="87"/>
    </row>
    <row r="11911">
      <c r="A11911" s="86" t="str">
        <f>IFERROR(__xludf.DUMMYFUNCTION("""COMPUTED_VALUE"""),"")</f>
        <v/>
      </c>
      <c r="B11911" s="87"/>
      <c r="C11911" s="87"/>
      <c r="D11911" s="87"/>
      <c r="E11911" s="87"/>
      <c r="F11911" s="87"/>
      <c r="G11911" s="87"/>
    </row>
    <row r="11912">
      <c r="A11912" s="86" t="str">
        <f>IFERROR(__xludf.DUMMYFUNCTION("""COMPUTED_VALUE"""),"")</f>
        <v/>
      </c>
      <c r="B11912" s="87"/>
      <c r="C11912" s="87"/>
      <c r="D11912" s="87"/>
      <c r="E11912" s="87"/>
      <c r="F11912" s="87"/>
      <c r="G11912" s="87"/>
    </row>
    <row r="11913">
      <c r="A11913" s="86" t="str">
        <f>IFERROR(__xludf.DUMMYFUNCTION("""COMPUTED_VALUE"""),"")</f>
        <v/>
      </c>
      <c r="B11913" s="87"/>
      <c r="C11913" s="87"/>
      <c r="D11913" s="87"/>
      <c r="E11913" s="87"/>
      <c r="F11913" s="87"/>
      <c r="G11913" s="87"/>
    </row>
    <row r="11914">
      <c r="A11914" s="86" t="str">
        <f>IFERROR(__xludf.DUMMYFUNCTION("""COMPUTED_VALUE"""),"")</f>
        <v/>
      </c>
      <c r="B11914" s="87"/>
      <c r="C11914" s="87"/>
      <c r="D11914" s="87"/>
      <c r="E11914" s="87"/>
      <c r="F11914" s="87"/>
      <c r="G11914" s="87"/>
    </row>
    <row r="11915">
      <c r="A11915" s="86" t="str">
        <f>IFERROR(__xludf.DUMMYFUNCTION("""COMPUTED_VALUE"""),"")</f>
        <v/>
      </c>
      <c r="B11915" s="87"/>
      <c r="C11915" s="87"/>
      <c r="D11915" s="87"/>
      <c r="E11915" s="87"/>
      <c r="F11915" s="87"/>
      <c r="G11915" s="87"/>
    </row>
    <row r="11916">
      <c r="A11916" s="86" t="str">
        <f>IFERROR(__xludf.DUMMYFUNCTION("""COMPUTED_VALUE"""),"")</f>
        <v/>
      </c>
      <c r="B11916" s="87"/>
      <c r="C11916" s="87"/>
      <c r="D11916" s="87"/>
      <c r="E11916" s="87"/>
      <c r="F11916" s="87"/>
      <c r="G11916" s="87"/>
    </row>
    <row r="11917">
      <c r="A11917" s="86" t="str">
        <f>IFERROR(__xludf.DUMMYFUNCTION("""COMPUTED_VALUE"""),"")</f>
        <v/>
      </c>
      <c r="B11917" s="87"/>
      <c r="C11917" s="87"/>
      <c r="D11917" s="87"/>
      <c r="E11917" s="87"/>
      <c r="F11917" s="87"/>
      <c r="G11917" s="87"/>
    </row>
    <row r="11918">
      <c r="A11918" s="86" t="str">
        <f>IFERROR(__xludf.DUMMYFUNCTION("""COMPUTED_VALUE"""),"")</f>
        <v/>
      </c>
      <c r="B11918" s="87"/>
      <c r="C11918" s="87"/>
      <c r="D11918" s="87"/>
      <c r="E11918" s="87"/>
      <c r="F11918" s="87"/>
      <c r="G11918" s="87"/>
    </row>
    <row r="11919">
      <c r="A11919" s="86" t="str">
        <f>IFERROR(__xludf.DUMMYFUNCTION("""COMPUTED_VALUE"""),"")</f>
        <v/>
      </c>
      <c r="B11919" s="87"/>
      <c r="C11919" s="87"/>
      <c r="D11919" s="87"/>
      <c r="E11919" s="87"/>
      <c r="F11919" s="87"/>
      <c r="G11919" s="87"/>
    </row>
    <row r="11920">
      <c r="A11920" s="86" t="str">
        <f>IFERROR(__xludf.DUMMYFUNCTION("""COMPUTED_VALUE"""),"")</f>
        <v/>
      </c>
      <c r="B11920" s="87"/>
      <c r="C11920" s="87"/>
      <c r="D11920" s="87"/>
      <c r="E11920" s="87"/>
      <c r="F11920" s="87"/>
      <c r="G11920" s="87"/>
    </row>
    <row r="11921">
      <c r="A11921" s="86" t="str">
        <f>IFERROR(__xludf.DUMMYFUNCTION("""COMPUTED_VALUE"""),"")</f>
        <v/>
      </c>
      <c r="B11921" s="87"/>
      <c r="C11921" s="87"/>
      <c r="D11921" s="87"/>
      <c r="E11921" s="87"/>
      <c r="F11921" s="87"/>
      <c r="G11921" s="87"/>
    </row>
    <row r="11922">
      <c r="A11922" s="86" t="str">
        <f>IFERROR(__xludf.DUMMYFUNCTION("""COMPUTED_VALUE"""),"")</f>
        <v/>
      </c>
      <c r="B11922" s="87"/>
      <c r="C11922" s="87"/>
      <c r="D11922" s="87"/>
      <c r="E11922" s="87"/>
      <c r="F11922" s="87"/>
      <c r="G11922" s="87"/>
    </row>
    <row r="11923">
      <c r="A11923" s="86" t="str">
        <f>IFERROR(__xludf.DUMMYFUNCTION("""COMPUTED_VALUE"""),"")</f>
        <v/>
      </c>
      <c r="B11923" s="87"/>
      <c r="C11923" s="87"/>
      <c r="D11923" s="87"/>
      <c r="E11923" s="87"/>
      <c r="F11923" s="87"/>
      <c r="G11923" s="87"/>
    </row>
    <row r="11924">
      <c r="A11924" s="86" t="str">
        <f>IFERROR(__xludf.DUMMYFUNCTION("""COMPUTED_VALUE"""),"")</f>
        <v/>
      </c>
      <c r="B11924" s="87"/>
      <c r="C11924" s="87"/>
      <c r="D11924" s="87"/>
      <c r="E11924" s="87"/>
      <c r="F11924" s="87"/>
      <c r="G11924" s="87"/>
    </row>
    <row r="11925">
      <c r="A11925" s="86" t="str">
        <f>IFERROR(__xludf.DUMMYFUNCTION("""COMPUTED_VALUE"""),"")</f>
        <v/>
      </c>
      <c r="B11925" s="87"/>
      <c r="C11925" s="87"/>
      <c r="D11925" s="87"/>
      <c r="E11925" s="87"/>
      <c r="F11925" s="87"/>
      <c r="G11925" s="87"/>
    </row>
    <row r="11926">
      <c r="A11926" s="86" t="str">
        <f>IFERROR(__xludf.DUMMYFUNCTION("""COMPUTED_VALUE"""),"")</f>
        <v/>
      </c>
      <c r="B11926" s="87"/>
      <c r="C11926" s="87"/>
      <c r="D11926" s="87"/>
      <c r="E11926" s="87"/>
      <c r="F11926" s="87"/>
      <c r="G11926" s="87"/>
    </row>
    <row r="11927">
      <c r="A11927" s="86" t="str">
        <f>IFERROR(__xludf.DUMMYFUNCTION("""COMPUTED_VALUE"""),"")</f>
        <v/>
      </c>
      <c r="B11927" s="87"/>
      <c r="C11927" s="87"/>
      <c r="D11927" s="87"/>
      <c r="E11927" s="87"/>
      <c r="F11927" s="87"/>
      <c r="G11927" s="87"/>
    </row>
    <row r="11928">
      <c r="A11928" s="86" t="str">
        <f>IFERROR(__xludf.DUMMYFUNCTION("""COMPUTED_VALUE"""),"")</f>
        <v/>
      </c>
      <c r="B11928" s="87"/>
      <c r="C11928" s="87"/>
      <c r="D11928" s="87"/>
      <c r="E11928" s="87"/>
      <c r="F11928" s="87"/>
      <c r="G11928" s="87"/>
    </row>
    <row r="11929">
      <c r="A11929" s="86" t="str">
        <f>IFERROR(__xludf.DUMMYFUNCTION("""COMPUTED_VALUE"""),"")</f>
        <v/>
      </c>
      <c r="B11929" s="87"/>
      <c r="C11929" s="87"/>
      <c r="D11929" s="87"/>
      <c r="E11929" s="87"/>
      <c r="F11929" s="87"/>
      <c r="G11929" s="87"/>
    </row>
    <row r="11930">
      <c r="A11930" s="86" t="str">
        <f>IFERROR(__xludf.DUMMYFUNCTION("""COMPUTED_VALUE"""),"")</f>
        <v/>
      </c>
      <c r="B11930" s="87"/>
      <c r="C11930" s="87"/>
      <c r="D11930" s="87"/>
      <c r="E11930" s="87"/>
      <c r="F11930" s="87"/>
      <c r="G11930" s="87"/>
    </row>
    <row r="11931">
      <c r="A11931" s="86" t="str">
        <f>IFERROR(__xludf.DUMMYFUNCTION("""COMPUTED_VALUE"""),"")</f>
        <v/>
      </c>
      <c r="B11931" s="87"/>
      <c r="C11931" s="87"/>
      <c r="D11931" s="87"/>
      <c r="E11931" s="87"/>
      <c r="F11931" s="87"/>
      <c r="G11931" s="87"/>
    </row>
    <row r="11932">
      <c r="A11932" s="86" t="str">
        <f>IFERROR(__xludf.DUMMYFUNCTION("""COMPUTED_VALUE"""),"")</f>
        <v/>
      </c>
      <c r="B11932" s="87"/>
      <c r="C11932" s="87"/>
      <c r="D11932" s="87"/>
      <c r="E11932" s="87"/>
      <c r="F11932" s="87"/>
      <c r="G11932" s="87"/>
    </row>
    <row r="11933">
      <c r="A11933" s="86" t="str">
        <f>IFERROR(__xludf.DUMMYFUNCTION("""COMPUTED_VALUE"""),"")</f>
        <v/>
      </c>
      <c r="B11933" s="87"/>
      <c r="C11933" s="87"/>
      <c r="D11933" s="87"/>
      <c r="E11933" s="87"/>
      <c r="F11933" s="87"/>
      <c r="G11933" s="87"/>
    </row>
    <row r="11934">
      <c r="A11934" s="86" t="str">
        <f>IFERROR(__xludf.DUMMYFUNCTION("""COMPUTED_VALUE"""),"")</f>
        <v/>
      </c>
      <c r="B11934" s="87"/>
      <c r="C11934" s="87"/>
      <c r="D11934" s="87"/>
      <c r="E11934" s="87"/>
      <c r="F11934" s="87"/>
      <c r="G11934" s="87"/>
    </row>
    <row r="11935">
      <c r="A11935" s="86" t="str">
        <f>IFERROR(__xludf.DUMMYFUNCTION("""COMPUTED_VALUE"""),"")</f>
        <v/>
      </c>
      <c r="B11935" s="87"/>
      <c r="C11935" s="87"/>
      <c r="D11935" s="87"/>
      <c r="E11935" s="87"/>
      <c r="F11935" s="87"/>
      <c r="G11935" s="87"/>
    </row>
    <row r="11936">
      <c r="A11936" s="86" t="str">
        <f>IFERROR(__xludf.DUMMYFUNCTION("""COMPUTED_VALUE"""),"")</f>
        <v/>
      </c>
      <c r="B11936" s="87"/>
      <c r="C11936" s="87"/>
      <c r="D11936" s="87"/>
      <c r="E11936" s="87"/>
      <c r="F11936" s="87"/>
      <c r="G11936" s="87"/>
    </row>
    <row r="11937">
      <c r="A11937" s="86" t="str">
        <f>IFERROR(__xludf.DUMMYFUNCTION("""COMPUTED_VALUE"""),"")</f>
        <v/>
      </c>
      <c r="B11937" s="87"/>
      <c r="C11937" s="87"/>
      <c r="D11937" s="87"/>
      <c r="E11937" s="87"/>
      <c r="F11937" s="87"/>
      <c r="G11937" s="87"/>
    </row>
    <row r="11938">
      <c r="A11938" s="86" t="str">
        <f>IFERROR(__xludf.DUMMYFUNCTION("""COMPUTED_VALUE"""),"")</f>
        <v/>
      </c>
      <c r="B11938" s="87"/>
      <c r="C11938" s="87"/>
      <c r="D11938" s="87"/>
      <c r="E11938" s="87"/>
      <c r="F11938" s="87"/>
      <c r="G11938" s="87"/>
    </row>
    <row r="11939">
      <c r="A11939" s="86" t="str">
        <f>IFERROR(__xludf.DUMMYFUNCTION("""COMPUTED_VALUE"""),"")</f>
        <v/>
      </c>
      <c r="B11939" s="87"/>
      <c r="C11939" s="87"/>
      <c r="D11939" s="87"/>
      <c r="E11939" s="87"/>
      <c r="F11939" s="87"/>
      <c r="G11939" s="87"/>
    </row>
    <row r="11940">
      <c r="A11940" s="86" t="str">
        <f>IFERROR(__xludf.DUMMYFUNCTION("""COMPUTED_VALUE"""),"")</f>
        <v/>
      </c>
      <c r="B11940" s="87"/>
      <c r="C11940" s="87"/>
      <c r="D11940" s="87"/>
      <c r="E11940" s="87"/>
      <c r="F11940" s="87"/>
      <c r="G11940" s="87"/>
    </row>
    <row r="11941">
      <c r="A11941" s="86" t="str">
        <f>IFERROR(__xludf.DUMMYFUNCTION("""COMPUTED_VALUE"""),"")</f>
        <v/>
      </c>
      <c r="B11941" s="87"/>
      <c r="C11941" s="87"/>
      <c r="D11941" s="87"/>
      <c r="E11941" s="87"/>
      <c r="F11941" s="87"/>
      <c r="G11941" s="87"/>
    </row>
    <row r="11942">
      <c r="A11942" s="86" t="str">
        <f>IFERROR(__xludf.DUMMYFUNCTION("""COMPUTED_VALUE"""),"")</f>
        <v/>
      </c>
      <c r="B11942" s="87"/>
      <c r="C11942" s="87"/>
      <c r="D11942" s="87"/>
      <c r="E11942" s="87"/>
      <c r="F11942" s="87"/>
      <c r="G11942" s="87"/>
    </row>
    <row r="11943">
      <c r="A11943" s="86" t="str">
        <f>IFERROR(__xludf.DUMMYFUNCTION("""COMPUTED_VALUE"""),"")</f>
        <v/>
      </c>
      <c r="B11943" s="87"/>
      <c r="C11943" s="87"/>
      <c r="D11943" s="87"/>
      <c r="E11943" s="87"/>
      <c r="F11943" s="87"/>
      <c r="G11943" s="87"/>
    </row>
    <row r="11944">
      <c r="A11944" s="86" t="str">
        <f>IFERROR(__xludf.DUMMYFUNCTION("""COMPUTED_VALUE"""),"")</f>
        <v/>
      </c>
      <c r="B11944" s="87"/>
      <c r="C11944" s="87"/>
      <c r="D11944" s="87"/>
      <c r="E11944" s="87"/>
      <c r="F11944" s="87"/>
      <c r="G11944" s="87"/>
    </row>
    <row r="11945">
      <c r="A11945" s="86" t="str">
        <f>IFERROR(__xludf.DUMMYFUNCTION("""COMPUTED_VALUE"""),"")</f>
        <v/>
      </c>
      <c r="B11945" s="87"/>
      <c r="C11945" s="87"/>
      <c r="D11945" s="87"/>
      <c r="E11945" s="87"/>
      <c r="F11945" s="87"/>
      <c r="G11945" s="87"/>
    </row>
    <row r="11946">
      <c r="A11946" s="86" t="str">
        <f>IFERROR(__xludf.DUMMYFUNCTION("""COMPUTED_VALUE"""),"")</f>
        <v/>
      </c>
      <c r="B11946" s="87"/>
      <c r="C11946" s="87"/>
      <c r="D11946" s="87"/>
      <c r="E11946" s="87"/>
      <c r="F11946" s="87"/>
      <c r="G11946" s="87"/>
    </row>
    <row r="11947">
      <c r="A11947" s="86" t="str">
        <f>IFERROR(__xludf.DUMMYFUNCTION("""COMPUTED_VALUE"""),"")</f>
        <v/>
      </c>
      <c r="B11947" s="87"/>
      <c r="C11947" s="87"/>
      <c r="D11947" s="87"/>
      <c r="E11947" s="87"/>
      <c r="F11947" s="87"/>
      <c r="G11947" s="87"/>
    </row>
    <row r="11948">
      <c r="A11948" s="86" t="str">
        <f>IFERROR(__xludf.DUMMYFUNCTION("""COMPUTED_VALUE"""),"")</f>
        <v/>
      </c>
      <c r="B11948" s="87"/>
      <c r="C11948" s="87"/>
      <c r="D11948" s="87"/>
      <c r="E11948" s="87"/>
      <c r="F11948" s="87"/>
      <c r="G11948" s="87"/>
    </row>
    <row r="11949">
      <c r="A11949" s="86" t="str">
        <f>IFERROR(__xludf.DUMMYFUNCTION("""COMPUTED_VALUE"""),"")</f>
        <v/>
      </c>
      <c r="B11949" s="87"/>
      <c r="C11949" s="87"/>
      <c r="D11949" s="87"/>
      <c r="E11949" s="87"/>
      <c r="F11949" s="87"/>
      <c r="G11949" s="87"/>
    </row>
    <row r="11950">
      <c r="A11950" s="86" t="str">
        <f>IFERROR(__xludf.DUMMYFUNCTION("""COMPUTED_VALUE"""),"")</f>
        <v/>
      </c>
      <c r="B11950" s="87"/>
      <c r="C11950" s="87"/>
      <c r="D11950" s="87"/>
      <c r="E11950" s="87"/>
      <c r="F11950" s="87"/>
      <c r="G11950" s="87"/>
    </row>
    <row r="11951">
      <c r="A11951" s="86" t="str">
        <f>IFERROR(__xludf.DUMMYFUNCTION("""COMPUTED_VALUE"""),"")</f>
        <v/>
      </c>
      <c r="B11951" s="87"/>
      <c r="C11951" s="87"/>
      <c r="D11951" s="87"/>
      <c r="E11951" s="87"/>
      <c r="F11951" s="87"/>
      <c r="G11951" s="87"/>
    </row>
    <row r="11952">
      <c r="A11952" s="86" t="str">
        <f>IFERROR(__xludf.DUMMYFUNCTION("""COMPUTED_VALUE"""),"")</f>
        <v/>
      </c>
      <c r="B11952" s="87"/>
      <c r="C11952" s="87"/>
      <c r="D11952" s="87"/>
      <c r="E11952" s="87"/>
      <c r="F11952" s="87"/>
      <c r="G11952" s="87"/>
    </row>
    <row r="11953">
      <c r="A11953" s="86" t="str">
        <f>IFERROR(__xludf.DUMMYFUNCTION("""COMPUTED_VALUE"""),"")</f>
        <v/>
      </c>
      <c r="B11953" s="87"/>
      <c r="C11953" s="87"/>
      <c r="D11953" s="87"/>
      <c r="E11953" s="87"/>
      <c r="F11953" s="87"/>
      <c r="G11953" s="87"/>
    </row>
    <row r="11954">
      <c r="A11954" s="86" t="str">
        <f>IFERROR(__xludf.DUMMYFUNCTION("""COMPUTED_VALUE"""),"")</f>
        <v/>
      </c>
      <c r="B11954" s="87"/>
      <c r="C11954" s="87"/>
      <c r="D11954" s="87"/>
      <c r="E11954" s="87"/>
      <c r="F11954" s="87"/>
      <c r="G11954" s="87"/>
    </row>
    <row r="11955">
      <c r="A11955" s="86" t="str">
        <f>IFERROR(__xludf.DUMMYFUNCTION("""COMPUTED_VALUE"""),"")</f>
        <v/>
      </c>
      <c r="B11955" s="87"/>
      <c r="C11955" s="87"/>
      <c r="D11955" s="87"/>
      <c r="E11955" s="87"/>
      <c r="F11955" s="87"/>
      <c r="G11955" s="87"/>
    </row>
    <row r="11956">
      <c r="A11956" s="86" t="str">
        <f>IFERROR(__xludf.DUMMYFUNCTION("""COMPUTED_VALUE"""),"")</f>
        <v/>
      </c>
      <c r="B11956" s="87"/>
      <c r="C11956" s="87"/>
      <c r="D11956" s="87"/>
      <c r="E11956" s="87"/>
      <c r="F11956" s="87"/>
      <c r="G11956" s="87"/>
    </row>
    <row r="11957">
      <c r="A11957" s="86" t="str">
        <f>IFERROR(__xludf.DUMMYFUNCTION("""COMPUTED_VALUE"""),"")</f>
        <v/>
      </c>
      <c r="B11957" s="87"/>
      <c r="C11957" s="87"/>
      <c r="D11957" s="87"/>
      <c r="E11957" s="87"/>
      <c r="F11957" s="87"/>
      <c r="G11957" s="87"/>
    </row>
    <row r="11958">
      <c r="A11958" s="86" t="str">
        <f>IFERROR(__xludf.DUMMYFUNCTION("""COMPUTED_VALUE"""),"")</f>
        <v/>
      </c>
      <c r="B11958" s="87"/>
      <c r="C11958" s="87"/>
      <c r="D11958" s="87"/>
      <c r="E11958" s="87"/>
      <c r="F11958" s="87"/>
      <c r="G11958" s="87"/>
    </row>
    <row r="11959">
      <c r="A11959" s="86" t="str">
        <f>IFERROR(__xludf.DUMMYFUNCTION("""COMPUTED_VALUE"""),"")</f>
        <v/>
      </c>
      <c r="B11959" s="87"/>
      <c r="C11959" s="87"/>
      <c r="D11959" s="87"/>
      <c r="E11959" s="87"/>
      <c r="F11959" s="87"/>
      <c r="G11959" s="87"/>
    </row>
    <row r="11960">
      <c r="A11960" s="86" t="str">
        <f>IFERROR(__xludf.DUMMYFUNCTION("""COMPUTED_VALUE"""),"")</f>
        <v/>
      </c>
      <c r="B11960" s="87"/>
      <c r="C11960" s="87"/>
      <c r="D11960" s="87"/>
      <c r="E11960" s="87"/>
      <c r="F11960" s="87"/>
      <c r="G11960" s="87"/>
    </row>
    <row r="11961">
      <c r="A11961" s="86" t="str">
        <f>IFERROR(__xludf.DUMMYFUNCTION("""COMPUTED_VALUE"""),"")</f>
        <v/>
      </c>
      <c r="B11961" s="87"/>
      <c r="C11961" s="87"/>
      <c r="D11961" s="87"/>
      <c r="E11961" s="87"/>
      <c r="F11961" s="87"/>
      <c r="G11961" s="87"/>
    </row>
    <row r="11962">
      <c r="A11962" s="86" t="str">
        <f>IFERROR(__xludf.DUMMYFUNCTION("""COMPUTED_VALUE"""),"")</f>
        <v/>
      </c>
      <c r="B11962" s="87"/>
      <c r="C11962" s="87"/>
      <c r="D11962" s="87"/>
      <c r="E11962" s="87"/>
      <c r="F11962" s="87"/>
      <c r="G11962" s="87"/>
    </row>
    <row r="11963">
      <c r="A11963" s="86" t="str">
        <f>IFERROR(__xludf.DUMMYFUNCTION("""COMPUTED_VALUE"""),"")</f>
        <v/>
      </c>
      <c r="B11963" s="87"/>
      <c r="C11963" s="87"/>
      <c r="D11963" s="87"/>
      <c r="E11963" s="87"/>
      <c r="F11963" s="87"/>
      <c r="G11963" s="87"/>
    </row>
    <row r="11964">
      <c r="A11964" s="86" t="str">
        <f>IFERROR(__xludf.DUMMYFUNCTION("""COMPUTED_VALUE"""),"")</f>
        <v/>
      </c>
      <c r="B11964" s="87"/>
      <c r="C11964" s="87"/>
      <c r="D11964" s="87"/>
      <c r="E11964" s="87"/>
      <c r="F11964" s="87"/>
      <c r="G11964" s="87"/>
    </row>
    <row r="11965">
      <c r="A11965" s="86" t="str">
        <f>IFERROR(__xludf.DUMMYFUNCTION("""COMPUTED_VALUE"""),"")</f>
        <v/>
      </c>
      <c r="B11965" s="87"/>
      <c r="C11965" s="87"/>
      <c r="D11965" s="87"/>
      <c r="E11965" s="87"/>
      <c r="F11965" s="87"/>
      <c r="G11965" s="87"/>
    </row>
    <row r="11966">
      <c r="A11966" s="86" t="str">
        <f>IFERROR(__xludf.DUMMYFUNCTION("""COMPUTED_VALUE"""),"")</f>
        <v/>
      </c>
      <c r="B11966" s="87"/>
      <c r="C11966" s="87"/>
      <c r="D11966" s="87"/>
      <c r="E11966" s="87"/>
      <c r="F11966" s="87"/>
      <c r="G11966" s="87"/>
    </row>
    <row r="11967">
      <c r="A11967" s="86" t="str">
        <f>IFERROR(__xludf.DUMMYFUNCTION("""COMPUTED_VALUE"""),"")</f>
        <v/>
      </c>
      <c r="B11967" s="87"/>
      <c r="C11967" s="87"/>
      <c r="D11967" s="87"/>
      <c r="E11967" s="87"/>
      <c r="F11967" s="87"/>
      <c r="G11967" s="87"/>
    </row>
    <row r="11968">
      <c r="A11968" s="86" t="str">
        <f>IFERROR(__xludf.DUMMYFUNCTION("""COMPUTED_VALUE"""),"")</f>
        <v/>
      </c>
      <c r="B11968" s="87"/>
      <c r="C11968" s="87"/>
      <c r="D11968" s="87"/>
      <c r="E11968" s="87"/>
      <c r="F11968" s="87"/>
      <c r="G11968" s="87"/>
    </row>
    <row r="11969">
      <c r="A11969" s="86" t="str">
        <f>IFERROR(__xludf.DUMMYFUNCTION("""COMPUTED_VALUE"""),"")</f>
        <v/>
      </c>
      <c r="B11969" s="87"/>
      <c r="C11969" s="87"/>
      <c r="D11969" s="87"/>
      <c r="E11969" s="87"/>
      <c r="F11969" s="87"/>
      <c r="G11969" s="87"/>
    </row>
    <row r="11970">
      <c r="A11970" s="86" t="str">
        <f>IFERROR(__xludf.DUMMYFUNCTION("""COMPUTED_VALUE"""),"")</f>
        <v/>
      </c>
      <c r="B11970" s="87"/>
      <c r="C11970" s="87"/>
      <c r="D11970" s="87"/>
      <c r="E11970" s="87"/>
      <c r="F11970" s="87"/>
      <c r="G11970" s="87"/>
    </row>
    <row r="11971">
      <c r="A11971" s="86" t="str">
        <f>IFERROR(__xludf.DUMMYFUNCTION("""COMPUTED_VALUE"""),"")</f>
        <v/>
      </c>
      <c r="B11971" s="87"/>
      <c r="C11971" s="87"/>
      <c r="D11971" s="87"/>
      <c r="E11971" s="87"/>
      <c r="F11971" s="87"/>
      <c r="G11971" s="87"/>
    </row>
    <row r="11972">
      <c r="A11972" s="86" t="str">
        <f>IFERROR(__xludf.DUMMYFUNCTION("""COMPUTED_VALUE"""),"")</f>
        <v/>
      </c>
      <c r="B11972" s="87"/>
      <c r="C11972" s="87"/>
      <c r="D11972" s="87"/>
      <c r="E11972" s="87"/>
      <c r="F11972" s="87"/>
      <c r="G11972" s="87"/>
    </row>
    <row r="11973">
      <c r="A11973" s="86" t="str">
        <f>IFERROR(__xludf.DUMMYFUNCTION("""COMPUTED_VALUE"""),"")</f>
        <v/>
      </c>
      <c r="B11973" s="87"/>
      <c r="C11973" s="87"/>
      <c r="D11973" s="87"/>
      <c r="E11973" s="87"/>
      <c r="F11973" s="87"/>
      <c r="G11973" s="87"/>
    </row>
    <row r="11974">
      <c r="A11974" s="86" t="str">
        <f>IFERROR(__xludf.DUMMYFUNCTION("""COMPUTED_VALUE"""),"")</f>
        <v/>
      </c>
      <c r="B11974" s="87"/>
      <c r="C11974" s="87"/>
      <c r="D11974" s="87"/>
      <c r="E11974" s="87"/>
      <c r="F11974" s="87"/>
      <c r="G11974" s="87"/>
    </row>
    <row r="11975">
      <c r="A11975" s="86" t="str">
        <f>IFERROR(__xludf.DUMMYFUNCTION("""COMPUTED_VALUE"""),"")</f>
        <v/>
      </c>
      <c r="B11975" s="87"/>
      <c r="C11975" s="87"/>
      <c r="D11975" s="87"/>
      <c r="E11975" s="87"/>
      <c r="F11975" s="87"/>
      <c r="G11975" s="87"/>
    </row>
    <row r="11976">
      <c r="A11976" s="86" t="str">
        <f>IFERROR(__xludf.DUMMYFUNCTION("""COMPUTED_VALUE"""),"")</f>
        <v/>
      </c>
      <c r="B11976" s="87"/>
      <c r="C11976" s="87"/>
      <c r="D11976" s="87"/>
      <c r="E11976" s="87"/>
      <c r="F11976" s="87"/>
      <c r="G11976" s="87"/>
    </row>
    <row r="11977">
      <c r="A11977" s="86" t="str">
        <f>IFERROR(__xludf.DUMMYFUNCTION("""COMPUTED_VALUE"""),"")</f>
        <v/>
      </c>
      <c r="B11977" s="87"/>
      <c r="C11977" s="87"/>
      <c r="D11977" s="87"/>
      <c r="E11977" s="87"/>
      <c r="F11977" s="87"/>
      <c r="G11977" s="87"/>
    </row>
    <row r="11978">
      <c r="A11978" s="86" t="str">
        <f>IFERROR(__xludf.DUMMYFUNCTION("""COMPUTED_VALUE"""),"")</f>
        <v/>
      </c>
      <c r="B11978" s="87"/>
      <c r="C11978" s="87"/>
      <c r="D11978" s="87"/>
      <c r="E11978" s="87"/>
      <c r="F11978" s="87"/>
      <c r="G11978" s="87"/>
    </row>
    <row r="11979">
      <c r="A11979" s="86" t="str">
        <f>IFERROR(__xludf.DUMMYFUNCTION("""COMPUTED_VALUE"""),"")</f>
        <v/>
      </c>
      <c r="B11979" s="87"/>
      <c r="C11979" s="87"/>
      <c r="D11979" s="87"/>
      <c r="E11979" s="87"/>
      <c r="F11979" s="87"/>
      <c r="G11979" s="87"/>
    </row>
    <row r="11980">
      <c r="A11980" s="86" t="str">
        <f>IFERROR(__xludf.DUMMYFUNCTION("""COMPUTED_VALUE"""),"")</f>
        <v/>
      </c>
      <c r="B11980" s="87"/>
      <c r="C11980" s="87"/>
      <c r="D11980" s="87"/>
      <c r="E11980" s="87"/>
      <c r="F11980" s="87"/>
      <c r="G11980" s="87"/>
    </row>
    <row r="11981">
      <c r="A11981" s="86" t="str">
        <f>IFERROR(__xludf.DUMMYFUNCTION("""COMPUTED_VALUE"""),"")</f>
        <v/>
      </c>
      <c r="B11981" s="87"/>
      <c r="C11981" s="87"/>
      <c r="D11981" s="87"/>
      <c r="E11981" s="87"/>
      <c r="F11981" s="87"/>
      <c r="G11981" s="87"/>
    </row>
    <row r="11982">
      <c r="A11982" s="86" t="str">
        <f>IFERROR(__xludf.DUMMYFUNCTION("""COMPUTED_VALUE"""),"")</f>
        <v/>
      </c>
      <c r="B11982" s="87"/>
      <c r="C11982" s="87"/>
      <c r="D11982" s="87"/>
      <c r="E11982" s="87"/>
      <c r="F11982" s="87"/>
      <c r="G11982" s="87"/>
    </row>
    <row r="11983">
      <c r="A11983" s="86" t="str">
        <f>IFERROR(__xludf.DUMMYFUNCTION("""COMPUTED_VALUE"""),"")</f>
        <v/>
      </c>
      <c r="B11983" s="87"/>
      <c r="C11983" s="87"/>
      <c r="D11983" s="87"/>
      <c r="E11983" s="87"/>
      <c r="F11983" s="87"/>
      <c r="G11983" s="87"/>
    </row>
    <row r="11984">
      <c r="A11984" s="86" t="str">
        <f>IFERROR(__xludf.DUMMYFUNCTION("""COMPUTED_VALUE"""),"")</f>
        <v/>
      </c>
      <c r="B11984" s="87"/>
      <c r="C11984" s="87"/>
      <c r="D11984" s="87"/>
      <c r="E11984" s="87"/>
      <c r="F11984" s="87"/>
      <c r="G11984" s="87"/>
    </row>
    <row r="11985">
      <c r="A11985" s="86" t="str">
        <f>IFERROR(__xludf.DUMMYFUNCTION("""COMPUTED_VALUE"""),"")</f>
        <v/>
      </c>
      <c r="B11985" s="87"/>
      <c r="C11985" s="87"/>
      <c r="D11985" s="87"/>
      <c r="E11985" s="87"/>
      <c r="F11985" s="87"/>
      <c r="G11985" s="87"/>
    </row>
    <row r="11986">
      <c r="A11986" s="86" t="str">
        <f>IFERROR(__xludf.DUMMYFUNCTION("""COMPUTED_VALUE"""),"")</f>
        <v/>
      </c>
      <c r="B11986" s="87"/>
      <c r="C11986" s="87"/>
      <c r="D11986" s="87"/>
      <c r="E11986" s="87"/>
      <c r="F11986" s="87"/>
      <c r="G11986" s="87"/>
    </row>
    <row r="11987">
      <c r="A11987" s="86" t="str">
        <f>IFERROR(__xludf.DUMMYFUNCTION("""COMPUTED_VALUE"""),"")</f>
        <v/>
      </c>
      <c r="B11987" s="87"/>
      <c r="C11987" s="87"/>
      <c r="D11987" s="87"/>
      <c r="E11987" s="87"/>
      <c r="F11987" s="87"/>
      <c r="G11987" s="87"/>
    </row>
    <row r="11988">
      <c r="A11988" s="86" t="str">
        <f>IFERROR(__xludf.DUMMYFUNCTION("""COMPUTED_VALUE"""),"")</f>
        <v/>
      </c>
      <c r="B11988" s="87"/>
      <c r="C11988" s="87"/>
      <c r="D11988" s="87"/>
      <c r="E11988" s="87"/>
      <c r="F11988" s="87"/>
      <c r="G11988" s="87"/>
    </row>
    <row r="11989">
      <c r="A11989" s="86" t="str">
        <f>IFERROR(__xludf.DUMMYFUNCTION("""COMPUTED_VALUE"""),"")</f>
        <v/>
      </c>
      <c r="B11989" s="87"/>
      <c r="C11989" s="87"/>
      <c r="D11989" s="87"/>
      <c r="E11989" s="87"/>
      <c r="F11989" s="87"/>
      <c r="G11989" s="87"/>
    </row>
    <row r="11990">
      <c r="A11990" s="86" t="str">
        <f>IFERROR(__xludf.DUMMYFUNCTION("""COMPUTED_VALUE"""),"")</f>
        <v/>
      </c>
      <c r="B11990" s="87"/>
      <c r="C11990" s="87"/>
      <c r="D11990" s="87"/>
      <c r="E11990" s="87"/>
      <c r="F11990" s="87"/>
      <c r="G11990" s="87"/>
    </row>
    <row r="11991">
      <c r="A11991" s="86" t="str">
        <f>IFERROR(__xludf.DUMMYFUNCTION("""COMPUTED_VALUE"""),"")</f>
        <v/>
      </c>
      <c r="B11991" s="87"/>
      <c r="C11991" s="87"/>
      <c r="D11991" s="87"/>
      <c r="E11991" s="87"/>
      <c r="F11991" s="87"/>
      <c r="G11991" s="87"/>
    </row>
    <row r="11992">
      <c r="A11992" s="86" t="str">
        <f>IFERROR(__xludf.DUMMYFUNCTION("""COMPUTED_VALUE"""),"")</f>
        <v/>
      </c>
      <c r="B11992" s="87"/>
      <c r="C11992" s="87"/>
      <c r="D11992" s="87"/>
      <c r="E11992" s="87"/>
      <c r="F11992" s="87"/>
      <c r="G11992" s="87"/>
    </row>
    <row r="11993">
      <c r="A11993" s="86" t="str">
        <f>IFERROR(__xludf.DUMMYFUNCTION("""COMPUTED_VALUE"""),"")</f>
        <v/>
      </c>
      <c r="B11993" s="87"/>
      <c r="C11993" s="87"/>
      <c r="D11993" s="87"/>
      <c r="E11993" s="87"/>
      <c r="F11993" s="87"/>
      <c r="G11993" s="87"/>
    </row>
    <row r="11994">
      <c r="A11994" s="86" t="str">
        <f>IFERROR(__xludf.DUMMYFUNCTION("""COMPUTED_VALUE"""),"")</f>
        <v/>
      </c>
      <c r="B11994" s="87"/>
      <c r="C11994" s="87"/>
      <c r="D11994" s="87"/>
      <c r="E11994" s="87"/>
      <c r="F11994" s="87"/>
      <c r="G11994" s="87"/>
    </row>
    <row r="11995">
      <c r="A11995" s="86" t="str">
        <f>IFERROR(__xludf.DUMMYFUNCTION("""COMPUTED_VALUE"""),"")</f>
        <v/>
      </c>
      <c r="B11995" s="87"/>
      <c r="C11995" s="87"/>
      <c r="D11995" s="87"/>
      <c r="E11995" s="87"/>
      <c r="F11995" s="87"/>
      <c r="G11995" s="87"/>
    </row>
    <row r="11996">
      <c r="A11996" s="86" t="str">
        <f>IFERROR(__xludf.DUMMYFUNCTION("""COMPUTED_VALUE"""),"")</f>
        <v/>
      </c>
      <c r="B11996" s="87"/>
      <c r="C11996" s="87"/>
      <c r="D11996" s="87"/>
      <c r="E11996" s="87"/>
      <c r="F11996" s="87"/>
      <c r="G11996" s="87"/>
    </row>
    <row r="11997">
      <c r="A11997" s="86" t="str">
        <f>IFERROR(__xludf.DUMMYFUNCTION("""COMPUTED_VALUE"""),"")</f>
        <v/>
      </c>
      <c r="B11997" s="87"/>
      <c r="C11997" s="87"/>
      <c r="D11997" s="87"/>
      <c r="E11997" s="87"/>
      <c r="F11997" s="87"/>
      <c r="G11997" s="87"/>
    </row>
    <row r="11998">
      <c r="A11998" s="86" t="str">
        <f>IFERROR(__xludf.DUMMYFUNCTION("""COMPUTED_VALUE"""),"")</f>
        <v/>
      </c>
      <c r="B11998" s="87"/>
      <c r="C11998" s="87"/>
      <c r="D11998" s="87"/>
      <c r="E11998" s="87"/>
      <c r="F11998" s="87"/>
      <c r="G11998" s="87"/>
    </row>
    <row r="11999">
      <c r="A11999" s="86" t="str">
        <f>IFERROR(__xludf.DUMMYFUNCTION("""COMPUTED_VALUE"""),"")</f>
        <v/>
      </c>
      <c r="B11999" s="87"/>
      <c r="C11999" s="87"/>
      <c r="D11999" s="87"/>
      <c r="E11999" s="87"/>
      <c r="F11999" s="87"/>
      <c r="G11999" s="87"/>
    </row>
    <row r="12000">
      <c r="A12000" s="86" t="str">
        <f>IFERROR(__xludf.DUMMYFUNCTION("""COMPUTED_VALUE"""),"")</f>
        <v/>
      </c>
      <c r="B12000" s="87"/>
      <c r="C12000" s="87"/>
      <c r="D12000" s="87"/>
      <c r="E12000" s="87"/>
      <c r="F12000" s="87"/>
      <c r="G12000" s="87"/>
    </row>
    <row r="12001">
      <c r="A12001" s="86" t="str">
        <f>IFERROR(__xludf.DUMMYFUNCTION("""COMPUTED_VALUE"""),"")</f>
        <v/>
      </c>
      <c r="B12001" s="87"/>
      <c r="C12001" s="87"/>
      <c r="D12001" s="87"/>
      <c r="E12001" s="87"/>
      <c r="F12001" s="87"/>
      <c r="G12001" s="87"/>
    </row>
    <row r="12002">
      <c r="A12002" s="86" t="str">
        <f>IFERROR(__xludf.DUMMYFUNCTION("""COMPUTED_VALUE"""),"")</f>
        <v/>
      </c>
      <c r="B12002" s="87"/>
      <c r="C12002" s="87"/>
      <c r="D12002" s="87"/>
      <c r="E12002" s="87"/>
      <c r="F12002" s="87"/>
      <c r="G12002" s="87"/>
    </row>
    <row r="12003">
      <c r="A12003" s="86" t="str">
        <f>IFERROR(__xludf.DUMMYFUNCTION("""COMPUTED_VALUE"""),"")</f>
        <v/>
      </c>
      <c r="B12003" s="87"/>
      <c r="C12003" s="87"/>
      <c r="D12003" s="87"/>
      <c r="E12003" s="87"/>
      <c r="F12003" s="87"/>
      <c r="G12003" s="87"/>
    </row>
    <row r="12004">
      <c r="A12004" s="86" t="str">
        <f>IFERROR(__xludf.DUMMYFUNCTION("""COMPUTED_VALUE"""),"")</f>
        <v/>
      </c>
      <c r="B12004" s="87"/>
      <c r="C12004" s="87"/>
      <c r="D12004" s="87"/>
      <c r="E12004" s="87"/>
      <c r="F12004" s="87"/>
      <c r="G12004" s="87"/>
    </row>
    <row r="12005">
      <c r="A12005" s="86" t="str">
        <f>IFERROR(__xludf.DUMMYFUNCTION("""COMPUTED_VALUE"""),"")</f>
        <v/>
      </c>
      <c r="B12005" s="87"/>
      <c r="C12005" s="87"/>
      <c r="D12005" s="87"/>
      <c r="E12005" s="87"/>
      <c r="F12005" s="87"/>
      <c r="G12005" s="87"/>
    </row>
    <row r="12006">
      <c r="A12006" s="86" t="str">
        <f>IFERROR(__xludf.DUMMYFUNCTION("""COMPUTED_VALUE"""),"")</f>
        <v/>
      </c>
      <c r="B12006" s="87"/>
      <c r="C12006" s="87"/>
      <c r="D12006" s="87"/>
      <c r="E12006" s="87"/>
      <c r="F12006" s="87"/>
      <c r="G12006" s="87"/>
    </row>
    <row r="12007">
      <c r="A12007" s="86" t="str">
        <f>IFERROR(__xludf.DUMMYFUNCTION("""COMPUTED_VALUE"""),"")</f>
        <v/>
      </c>
      <c r="B12007" s="87"/>
      <c r="C12007" s="87"/>
      <c r="D12007" s="87"/>
      <c r="E12007" s="87"/>
      <c r="F12007" s="87"/>
      <c r="G12007" s="87"/>
    </row>
    <row r="12008">
      <c r="A12008" s="86" t="str">
        <f>IFERROR(__xludf.DUMMYFUNCTION("""COMPUTED_VALUE"""),"")</f>
        <v/>
      </c>
      <c r="B12008" s="87"/>
      <c r="C12008" s="87"/>
      <c r="D12008" s="87"/>
      <c r="E12008" s="87"/>
      <c r="F12008" s="87"/>
      <c r="G12008" s="87"/>
    </row>
    <row r="12009">
      <c r="A12009" s="86" t="str">
        <f>IFERROR(__xludf.DUMMYFUNCTION("""COMPUTED_VALUE"""),"")</f>
        <v/>
      </c>
      <c r="B12009" s="87"/>
      <c r="C12009" s="87"/>
      <c r="D12009" s="87"/>
      <c r="E12009" s="87"/>
      <c r="F12009" s="87"/>
      <c r="G12009" s="87"/>
    </row>
    <row r="12010">
      <c r="A12010" s="86" t="str">
        <f>IFERROR(__xludf.DUMMYFUNCTION("""COMPUTED_VALUE"""),"")</f>
        <v/>
      </c>
      <c r="B12010" s="87"/>
      <c r="C12010" s="87"/>
      <c r="D12010" s="87"/>
      <c r="E12010" s="87"/>
      <c r="F12010" s="87"/>
      <c r="G12010" s="87"/>
    </row>
    <row r="12011">
      <c r="A12011" s="86" t="str">
        <f>IFERROR(__xludf.DUMMYFUNCTION("""COMPUTED_VALUE"""),"")</f>
        <v/>
      </c>
      <c r="B12011" s="87"/>
      <c r="C12011" s="87"/>
      <c r="D12011" s="87"/>
      <c r="E12011" s="87"/>
      <c r="F12011" s="87"/>
      <c r="G12011" s="87"/>
    </row>
    <row r="12012">
      <c r="A12012" s="86" t="str">
        <f>IFERROR(__xludf.DUMMYFUNCTION("""COMPUTED_VALUE"""),"")</f>
        <v/>
      </c>
      <c r="B12012" s="87"/>
      <c r="C12012" s="87"/>
      <c r="D12012" s="87"/>
      <c r="E12012" s="87"/>
      <c r="F12012" s="87"/>
      <c r="G12012" s="87"/>
    </row>
    <row r="12013">
      <c r="A12013" s="86" t="str">
        <f>IFERROR(__xludf.DUMMYFUNCTION("""COMPUTED_VALUE"""),"")</f>
        <v/>
      </c>
      <c r="B12013" s="87"/>
      <c r="C12013" s="87"/>
      <c r="D12013" s="87"/>
      <c r="E12013" s="87"/>
      <c r="F12013" s="87"/>
      <c r="G12013" s="87"/>
    </row>
    <row r="12014">
      <c r="A12014" s="86" t="str">
        <f>IFERROR(__xludf.DUMMYFUNCTION("""COMPUTED_VALUE"""),"")</f>
        <v/>
      </c>
      <c r="B12014" s="87"/>
      <c r="C12014" s="87"/>
      <c r="D12014" s="87"/>
      <c r="E12014" s="87"/>
      <c r="F12014" s="87"/>
      <c r="G12014" s="87"/>
    </row>
    <row r="12015">
      <c r="A12015" s="86" t="str">
        <f>IFERROR(__xludf.DUMMYFUNCTION("""COMPUTED_VALUE"""),"")</f>
        <v/>
      </c>
      <c r="B12015" s="87"/>
      <c r="C12015" s="87"/>
      <c r="D12015" s="87"/>
      <c r="E12015" s="87"/>
      <c r="F12015" s="87"/>
      <c r="G12015" s="87"/>
    </row>
    <row r="12016">
      <c r="A12016" s="86" t="str">
        <f>IFERROR(__xludf.DUMMYFUNCTION("""COMPUTED_VALUE"""),"")</f>
        <v/>
      </c>
      <c r="B12016" s="87"/>
      <c r="C12016" s="87"/>
      <c r="D12016" s="87"/>
      <c r="E12016" s="87"/>
      <c r="F12016" s="87"/>
      <c r="G12016" s="87"/>
    </row>
    <row r="12017">
      <c r="A12017" s="86" t="str">
        <f>IFERROR(__xludf.DUMMYFUNCTION("""COMPUTED_VALUE"""),"")</f>
        <v/>
      </c>
      <c r="B12017" s="87"/>
      <c r="C12017" s="87"/>
      <c r="D12017" s="87"/>
      <c r="E12017" s="87"/>
      <c r="F12017" s="87"/>
      <c r="G12017" s="87"/>
    </row>
    <row r="12018">
      <c r="A12018" s="86" t="str">
        <f>IFERROR(__xludf.DUMMYFUNCTION("""COMPUTED_VALUE"""),"")</f>
        <v/>
      </c>
      <c r="B12018" s="87"/>
      <c r="C12018" s="87"/>
      <c r="D12018" s="87"/>
      <c r="E12018" s="87"/>
      <c r="F12018" s="87"/>
      <c r="G12018" s="87"/>
    </row>
    <row r="12019">
      <c r="A12019" s="86" t="str">
        <f>IFERROR(__xludf.DUMMYFUNCTION("""COMPUTED_VALUE"""),"")</f>
        <v/>
      </c>
      <c r="B12019" s="87"/>
      <c r="C12019" s="87"/>
      <c r="D12019" s="87"/>
      <c r="E12019" s="87"/>
      <c r="F12019" s="87"/>
      <c r="G12019" s="87"/>
    </row>
    <row r="12020">
      <c r="A12020" s="86" t="str">
        <f>IFERROR(__xludf.DUMMYFUNCTION("""COMPUTED_VALUE"""),"")</f>
        <v/>
      </c>
      <c r="B12020" s="87"/>
      <c r="C12020" s="87"/>
      <c r="D12020" s="87"/>
      <c r="E12020" s="87"/>
      <c r="F12020" s="87"/>
      <c r="G12020" s="87"/>
    </row>
    <row r="12021">
      <c r="A12021" s="86" t="str">
        <f>IFERROR(__xludf.DUMMYFUNCTION("""COMPUTED_VALUE"""),"")</f>
        <v/>
      </c>
      <c r="B12021" s="87"/>
      <c r="C12021" s="87"/>
      <c r="D12021" s="87"/>
      <c r="E12021" s="87"/>
      <c r="F12021" s="87"/>
      <c r="G12021" s="87"/>
    </row>
    <row r="12022">
      <c r="A12022" s="86" t="str">
        <f>IFERROR(__xludf.DUMMYFUNCTION("""COMPUTED_VALUE"""),"")</f>
        <v/>
      </c>
      <c r="B12022" s="87"/>
      <c r="C12022" s="87"/>
      <c r="D12022" s="87"/>
      <c r="E12022" s="87"/>
      <c r="F12022" s="87"/>
      <c r="G12022" s="87"/>
    </row>
    <row r="12023">
      <c r="A12023" s="86" t="str">
        <f>IFERROR(__xludf.DUMMYFUNCTION("""COMPUTED_VALUE"""),"")</f>
        <v/>
      </c>
      <c r="B12023" s="87"/>
      <c r="C12023" s="87"/>
      <c r="D12023" s="87"/>
      <c r="E12023" s="87"/>
      <c r="F12023" s="87"/>
      <c r="G12023" s="87"/>
    </row>
    <row r="12024">
      <c r="A12024" s="86" t="str">
        <f>IFERROR(__xludf.DUMMYFUNCTION("""COMPUTED_VALUE"""),"")</f>
        <v/>
      </c>
      <c r="B12024" s="87"/>
      <c r="C12024" s="87"/>
      <c r="D12024" s="87"/>
      <c r="E12024" s="87"/>
      <c r="F12024" s="87"/>
      <c r="G12024" s="87"/>
    </row>
    <row r="12025">
      <c r="A12025" s="86" t="str">
        <f>IFERROR(__xludf.DUMMYFUNCTION("""COMPUTED_VALUE"""),"")</f>
        <v/>
      </c>
      <c r="B12025" s="87"/>
      <c r="C12025" s="87"/>
      <c r="D12025" s="87"/>
      <c r="E12025" s="87"/>
      <c r="F12025" s="87"/>
      <c r="G12025" s="87"/>
    </row>
    <row r="12026">
      <c r="A12026" s="86" t="str">
        <f>IFERROR(__xludf.DUMMYFUNCTION("""COMPUTED_VALUE"""),"")</f>
        <v/>
      </c>
      <c r="B12026" s="87"/>
      <c r="C12026" s="87"/>
      <c r="D12026" s="87"/>
      <c r="E12026" s="87"/>
      <c r="F12026" s="87"/>
      <c r="G12026" s="87"/>
    </row>
    <row r="12027">
      <c r="A12027" s="86" t="str">
        <f>IFERROR(__xludf.DUMMYFUNCTION("""COMPUTED_VALUE"""),"")</f>
        <v/>
      </c>
      <c r="B12027" s="87"/>
      <c r="C12027" s="87"/>
      <c r="D12027" s="87"/>
      <c r="E12027" s="87"/>
      <c r="F12027" s="87"/>
      <c r="G12027" s="87"/>
    </row>
    <row r="12028">
      <c r="A12028" s="86" t="str">
        <f>IFERROR(__xludf.DUMMYFUNCTION("""COMPUTED_VALUE"""),"")</f>
        <v/>
      </c>
      <c r="B12028" s="87"/>
      <c r="C12028" s="87"/>
      <c r="D12028" s="87"/>
      <c r="E12028" s="87"/>
      <c r="F12028" s="87"/>
      <c r="G12028" s="87"/>
    </row>
    <row r="12029">
      <c r="A12029" s="86" t="str">
        <f>IFERROR(__xludf.DUMMYFUNCTION("""COMPUTED_VALUE"""),"")</f>
        <v/>
      </c>
      <c r="B12029" s="87"/>
      <c r="C12029" s="87"/>
      <c r="D12029" s="87"/>
      <c r="E12029" s="87"/>
      <c r="F12029" s="87"/>
      <c r="G12029" s="87"/>
    </row>
    <row r="12030">
      <c r="A12030" s="86" t="str">
        <f>IFERROR(__xludf.DUMMYFUNCTION("""COMPUTED_VALUE"""),"")</f>
        <v/>
      </c>
      <c r="B12030" s="87"/>
      <c r="C12030" s="87"/>
      <c r="D12030" s="87"/>
      <c r="E12030" s="87"/>
      <c r="F12030" s="87"/>
      <c r="G12030" s="87"/>
    </row>
    <row r="12031">
      <c r="A12031" s="86" t="str">
        <f>IFERROR(__xludf.DUMMYFUNCTION("""COMPUTED_VALUE"""),"")</f>
        <v/>
      </c>
      <c r="B12031" s="87"/>
      <c r="C12031" s="87"/>
      <c r="D12031" s="87"/>
      <c r="E12031" s="87"/>
      <c r="F12031" s="87"/>
      <c r="G12031" s="87"/>
    </row>
    <row r="12032">
      <c r="A12032" s="86" t="str">
        <f>IFERROR(__xludf.DUMMYFUNCTION("""COMPUTED_VALUE"""),"")</f>
        <v/>
      </c>
      <c r="B12032" s="87"/>
      <c r="C12032" s="87"/>
      <c r="D12032" s="87"/>
      <c r="E12032" s="87"/>
      <c r="F12032" s="87"/>
      <c r="G12032" s="87"/>
    </row>
    <row r="12033">
      <c r="A12033" s="86" t="str">
        <f>IFERROR(__xludf.DUMMYFUNCTION("""COMPUTED_VALUE"""),"")</f>
        <v/>
      </c>
      <c r="B12033" s="87"/>
      <c r="C12033" s="87"/>
      <c r="D12033" s="87"/>
      <c r="E12033" s="87"/>
      <c r="F12033" s="87"/>
      <c r="G12033" s="87"/>
    </row>
    <row r="12034">
      <c r="A12034" s="86" t="str">
        <f>IFERROR(__xludf.DUMMYFUNCTION("""COMPUTED_VALUE"""),"")</f>
        <v/>
      </c>
      <c r="B12034" s="87"/>
      <c r="C12034" s="87"/>
      <c r="D12034" s="87"/>
      <c r="E12034" s="87"/>
      <c r="F12034" s="87"/>
      <c r="G12034" s="87"/>
    </row>
    <row r="12035">
      <c r="A12035" s="86" t="str">
        <f>IFERROR(__xludf.DUMMYFUNCTION("""COMPUTED_VALUE"""),"")</f>
        <v/>
      </c>
      <c r="B12035" s="87"/>
      <c r="C12035" s="87"/>
      <c r="D12035" s="87"/>
      <c r="E12035" s="87"/>
      <c r="F12035" s="87"/>
      <c r="G12035" s="87"/>
    </row>
    <row r="12036">
      <c r="A12036" s="86" t="str">
        <f>IFERROR(__xludf.DUMMYFUNCTION("""COMPUTED_VALUE"""),"")</f>
        <v/>
      </c>
      <c r="B12036" s="87"/>
      <c r="C12036" s="87"/>
      <c r="D12036" s="87"/>
      <c r="E12036" s="87"/>
      <c r="F12036" s="87"/>
      <c r="G12036" s="87"/>
    </row>
    <row r="12037">
      <c r="A12037" s="86" t="str">
        <f>IFERROR(__xludf.DUMMYFUNCTION("""COMPUTED_VALUE"""),"")</f>
        <v/>
      </c>
      <c r="B12037" s="87"/>
      <c r="C12037" s="87"/>
      <c r="D12037" s="87"/>
      <c r="E12037" s="87"/>
      <c r="F12037" s="87"/>
      <c r="G12037" s="87"/>
    </row>
    <row r="12038">
      <c r="A12038" s="86" t="str">
        <f>IFERROR(__xludf.DUMMYFUNCTION("""COMPUTED_VALUE"""),"")</f>
        <v/>
      </c>
      <c r="B12038" s="87"/>
      <c r="C12038" s="87"/>
      <c r="D12038" s="87"/>
      <c r="E12038" s="87"/>
      <c r="F12038" s="87"/>
      <c r="G12038" s="87"/>
    </row>
    <row r="12039">
      <c r="A12039" s="86" t="str">
        <f>IFERROR(__xludf.DUMMYFUNCTION("""COMPUTED_VALUE"""),"")</f>
        <v/>
      </c>
      <c r="B12039" s="87"/>
      <c r="C12039" s="87"/>
      <c r="D12039" s="87"/>
      <c r="E12039" s="87"/>
      <c r="F12039" s="87"/>
      <c r="G12039" s="87"/>
    </row>
    <row r="12040">
      <c r="A12040" s="86" t="str">
        <f>IFERROR(__xludf.DUMMYFUNCTION("""COMPUTED_VALUE"""),"")</f>
        <v/>
      </c>
      <c r="B12040" s="87"/>
      <c r="C12040" s="87"/>
      <c r="D12040" s="87"/>
      <c r="E12040" s="87"/>
      <c r="F12040" s="87"/>
      <c r="G12040" s="87"/>
    </row>
    <row r="12041">
      <c r="A12041" s="86" t="str">
        <f>IFERROR(__xludf.DUMMYFUNCTION("""COMPUTED_VALUE"""),"")</f>
        <v/>
      </c>
      <c r="B12041" s="87"/>
      <c r="C12041" s="87"/>
      <c r="D12041" s="87"/>
      <c r="E12041" s="87"/>
      <c r="F12041" s="87"/>
      <c r="G12041" s="87"/>
    </row>
    <row r="12042">
      <c r="A12042" s="86" t="str">
        <f>IFERROR(__xludf.DUMMYFUNCTION("""COMPUTED_VALUE"""),"")</f>
        <v/>
      </c>
      <c r="B12042" s="87"/>
      <c r="C12042" s="87"/>
      <c r="D12042" s="87"/>
      <c r="E12042" s="87"/>
      <c r="F12042" s="87"/>
      <c r="G12042" s="87"/>
    </row>
    <row r="12043">
      <c r="A12043" s="86" t="str">
        <f>IFERROR(__xludf.DUMMYFUNCTION("""COMPUTED_VALUE"""),"")</f>
        <v/>
      </c>
      <c r="B12043" s="87"/>
      <c r="C12043" s="87"/>
      <c r="D12043" s="87"/>
      <c r="E12043" s="87"/>
      <c r="F12043" s="87"/>
      <c r="G12043" s="87"/>
    </row>
    <row r="12044">
      <c r="A12044" s="86" t="str">
        <f>IFERROR(__xludf.DUMMYFUNCTION("""COMPUTED_VALUE"""),"")</f>
        <v/>
      </c>
      <c r="B12044" s="87"/>
      <c r="C12044" s="87"/>
      <c r="D12044" s="87"/>
      <c r="E12044" s="87"/>
      <c r="F12044" s="87"/>
      <c r="G12044" s="87"/>
    </row>
    <row r="12045">
      <c r="A12045" s="86" t="str">
        <f>IFERROR(__xludf.DUMMYFUNCTION("""COMPUTED_VALUE"""),"")</f>
        <v/>
      </c>
      <c r="B12045" s="87"/>
      <c r="C12045" s="87"/>
      <c r="D12045" s="87"/>
      <c r="E12045" s="87"/>
      <c r="F12045" s="87"/>
      <c r="G12045" s="87"/>
    </row>
    <row r="12046">
      <c r="A12046" s="86" t="str">
        <f>IFERROR(__xludf.DUMMYFUNCTION("""COMPUTED_VALUE"""),"")</f>
        <v/>
      </c>
      <c r="B12046" s="87"/>
      <c r="C12046" s="87"/>
      <c r="D12046" s="87"/>
      <c r="E12046" s="87"/>
      <c r="F12046" s="87"/>
      <c r="G12046" s="87"/>
    </row>
    <row r="12047">
      <c r="A12047" s="86" t="str">
        <f>IFERROR(__xludf.DUMMYFUNCTION("""COMPUTED_VALUE"""),"")</f>
        <v/>
      </c>
      <c r="B12047" s="87"/>
      <c r="C12047" s="87"/>
      <c r="D12047" s="87"/>
      <c r="E12047" s="87"/>
      <c r="F12047" s="87"/>
      <c r="G12047" s="87"/>
    </row>
    <row r="12048">
      <c r="A12048" s="86" t="str">
        <f>IFERROR(__xludf.DUMMYFUNCTION("""COMPUTED_VALUE"""),"")</f>
        <v/>
      </c>
      <c r="B12048" s="87"/>
      <c r="C12048" s="87"/>
      <c r="D12048" s="87"/>
      <c r="E12048" s="87"/>
      <c r="F12048" s="87"/>
      <c r="G12048" s="87"/>
    </row>
    <row r="12049">
      <c r="A12049" s="86" t="str">
        <f>IFERROR(__xludf.DUMMYFUNCTION("""COMPUTED_VALUE"""),"")</f>
        <v/>
      </c>
      <c r="B12049" s="87"/>
      <c r="C12049" s="87"/>
      <c r="D12049" s="87"/>
      <c r="E12049" s="87"/>
      <c r="F12049" s="87"/>
      <c r="G12049" s="87"/>
    </row>
    <row r="12050">
      <c r="A12050" s="86" t="str">
        <f>IFERROR(__xludf.DUMMYFUNCTION("""COMPUTED_VALUE"""),"")</f>
        <v/>
      </c>
      <c r="B12050" s="87"/>
      <c r="C12050" s="87"/>
      <c r="D12050" s="87"/>
      <c r="E12050" s="87"/>
      <c r="F12050" s="87"/>
      <c r="G12050" s="87"/>
    </row>
    <row r="12051">
      <c r="A12051" s="86" t="str">
        <f>IFERROR(__xludf.DUMMYFUNCTION("""COMPUTED_VALUE"""),"")</f>
        <v/>
      </c>
      <c r="B12051" s="87"/>
      <c r="C12051" s="87"/>
      <c r="D12051" s="87"/>
      <c r="E12051" s="87"/>
      <c r="F12051" s="87"/>
      <c r="G12051" s="87"/>
    </row>
    <row r="12052">
      <c r="A12052" s="86" t="str">
        <f>IFERROR(__xludf.DUMMYFUNCTION("""COMPUTED_VALUE"""),"")</f>
        <v/>
      </c>
      <c r="B12052" s="87"/>
      <c r="C12052" s="87"/>
      <c r="D12052" s="87"/>
      <c r="E12052" s="87"/>
      <c r="F12052" s="87"/>
      <c r="G12052" s="87"/>
    </row>
    <row r="12053">
      <c r="A12053" s="86" t="str">
        <f>IFERROR(__xludf.DUMMYFUNCTION("""COMPUTED_VALUE"""),"")</f>
        <v/>
      </c>
      <c r="B12053" s="87"/>
      <c r="C12053" s="87"/>
      <c r="D12053" s="87"/>
      <c r="E12053" s="87"/>
      <c r="F12053" s="87"/>
      <c r="G12053" s="87"/>
    </row>
    <row r="12054">
      <c r="A12054" s="86" t="str">
        <f>IFERROR(__xludf.DUMMYFUNCTION("""COMPUTED_VALUE"""),"")</f>
        <v/>
      </c>
      <c r="B12054" s="87"/>
      <c r="C12054" s="87"/>
      <c r="D12054" s="87"/>
      <c r="E12054" s="87"/>
      <c r="F12054" s="87"/>
      <c r="G12054" s="87"/>
    </row>
    <row r="12055">
      <c r="A12055" s="86" t="str">
        <f>IFERROR(__xludf.DUMMYFUNCTION("""COMPUTED_VALUE"""),"")</f>
        <v/>
      </c>
      <c r="B12055" s="87"/>
      <c r="C12055" s="87"/>
      <c r="D12055" s="87"/>
      <c r="E12055" s="87"/>
      <c r="F12055" s="87"/>
      <c r="G12055" s="87"/>
    </row>
    <row r="12056">
      <c r="A12056" s="86" t="str">
        <f>IFERROR(__xludf.DUMMYFUNCTION("""COMPUTED_VALUE"""),"")</f>
        <v/>
      </c>
      <c r="B12056" s="87"/>
      <c r="C12056" s="87"/>
      <c r="D12056" s="87"/>
      <c r="E12056" s="87"/>
      <c r="F12056" s="87"/>
      <c r="G12056" s="87"/>
    </row>
    <row r="12057">
      <c r="A12057" s="86" t="str">
        <f>IFERROR(__xludf.DUMMYFUNCTION("""COMPUTED_VALUE"""),"")</f>
        <v/>
      </c>
      <c r="B12057" s="87"/>
      <c r="C12057" s="87"/>
      <c r="D12057" s="87"/>
      <c r="E12057" s="87"/>
      <c r="F12057" s="87"/>
      <c r="G12057" s="87"/>
    </row>
    <row r="12058">
      <c r="A12058" s="86" t="str">
        <f>IFERROR(__xludf.DUMMYFUNCTION("""COMPUTED_VALUE"""),"")</f>
        <v/>
      </c>
      <c r="B12058" s="87"/>
      <c r="C12058" s="87"/>
      <c r="D12058" s="87"/>
      <c r="E12058" s="87"/>
      <c r="F12058" s="87"/>
      <c r="G12058" s="87"/>
    </row>
    <row r="12059">
      <c r="A12059" s="86" t="str">
        <f>IFERROR(__xludf.DUMMYFUNCTION("""COMPUTED_VALUE"""),"")</f>
        <v/>
      </c>
      <c r="B12059" s="87"/>
      <c r="C12059" s="87"/>
      <c r="D12059" s="87"/>
      <c r="E12059" s="87"/>
      <c r="F12059" s="87"/>
      <c r="G12059" s="87"/>
    </row>
    <row r="12060">
      <c r="A12060" s="86" t="str">
        <f>IFERROR(__xludf.DUMMYFUNCTION("""COMPUTED_VALUE"""),"")</f>
        <v/>
      </c>
      <c r="B12060" s="87"/>
      <c r="C12060" s="87"/>
      <c r="D12060" s="87"/>
      <c r="E12060" s="87"/>
      <c r="F12060" s="87"/>
      <c r="G12060" s="87"/>
    </row>
    <row r="12061">
      <c r="A12061" s="86" t="str">
        <f>IFERROR(__xludf.DUMMYFUNCTION("""COMPUTED_VALUE"""),"")</f>
        <v/>
      </c>
      <c r="B12061" s="87"/>
      <c r="C12061" s="87"/>
      <c r="D12061" s="87"/>
      <c r="E12061" s="87"/>
      <c r="F12061" s="87"/>
      <c r="G12061" s="87"/>
    </row>
    <row r="12062">
      <c r="A12062" s="86" t="str">
        <f>IFERROR(__xludf.DUMMYFUNCTION("""COMPUTED_VALUE"""),"")</f>
        <v/>
      </c>
      <c r="B12062" s="87"/>
      <c r="C12062" s="87"/>
      <c r="D12062" s="87"/>
      <c r="E12062" s="87"/>
      <c r="F12062" s="87"/>
      <c r="G12062" s="87"/>
    </row>
    <row r="12063">
      <c r="A12063" s="86" t="str">
        <f>IFERROR(__xludf.DUMMYFUNCTION("""COMPUTED_VALUE"""),"")</f>
        <v/>
      </c>
      <c r="B12063" s="87"/>
      <c r="C12063" s="87"/>
      <c r="D12063" s="87"/>
      <c r="E12063" s="87"/>
      <c r="F12063" s="87"/>
      <c r="G12063" s="87"/>
    </row>
    <row r="12064">
      <c r="A12064" s="86" t="str">
        <f>IFERROR(__xludf.DUMMYFUNCTION("""COMPUTED_VALUE"""),"")</f>
        <v/>
      </c>
      <c r="B12064" s="87"/>
      <c r="C12064" s="87"/>
      <c r="D12064" s="87"/>
      <c r="E12064" s="87"/>
      <c r="F12064" s="87"/>
      <c r="G12064" s="87"/>
    </row>
    <row r="12065">
      <c r="A12065" s="86" t="str">
        <f>IFERROR(__xludf.DUMMYFUNCTION("""COMPUTED_VALUE"""),"")</f>
        <v/>
      </c>
      <c r="B12065" s="87"/>
      <c r="C12065" s="87"/>
      <c r="D12065" s="87"/>
      <c r="E12065" s="87"/>
      <c r="F12065" s="87"/>
      <c r="G12065" s="87"/>
    </row>
    <row r="12066">
      <c r="A12066" s="86" t="str">
        <f>IFERROR(__xludf.DUMMYFUNCTION("""COMPUTED_VALUE"""),"")</f>
        <v/>
      </c>
      <c r="B12066" s="87"/>
      <c r="C12066" s="87"/>
      <c r="D12066" s="87"/>
      <c r="E12066" s="87"/>
      <c r="F12066" s="87"/>
      <c r="G12066" s="87"/>
    </row>
    <row r="12067">
      <c r="A12067" s="86" t="str">
        <f>IFERROR(__xludf.DUMMYFUNCTION("""COMPUTED_VALUE"""),"")</f>
        <v/>
      </c>
      <c r="B12067" s="87"/>
      <c r="C12067" s="87"/>
      <c r="D12067" s="87"/>
      <c r="E12067" s="87"/>
      <c r="F12067" s="87"/>
      <c r="G12067" s="87"/>
    </row>
    <row r="12068">
      <c r="A12068" s="86" t="str">
        <f>IFERROR(__xludf.DUMMYFUNCTION("""COMPUTED_VALUE"""),"")</f>
        <v/>
      </c>
      <c r="B12068" s="87"/>
      <c r="C12068" s="87"/>
      <c r="D12068" s="87"/>
      <c r="E12068" s="87"/>
      <c r="F12068" s="87"/>
      <c r="G12068" s="87"/>
    </row>
    <row r="12069">
      <c r="A12069" s="86" t="str">
        <f>IFERROR(__xludf.DUMMYFUNCTION("""COMPUTED_VALUE"""),"")</f>
        <v/>
      </c>
      <c r="B12069" s="87"/>
      <c r="C12069" s="87"/>
      <c r="D12069" s="87"/>
      <c r="E12069" s="87"/>
      <c r="F12069" s="87"/>
      <c r="G12069" s="87"/>
    </row>
    <row r="12070">
      <c r="A12070" s="86" t="str">
        <f>IFERROR(__xludf.DUMMYFUNCTION("""COMPUTED_VALUE"""),"")</f>
        <v/>
      </c>
      <c r="B12070" s="87"/>
      <c r="C12070" s="87"/>
      <c r="D12070" s="87"/>
      <c r="E12070" s="87"/>
      <c r="F12070" s="87"/>
      <c r="G12070" s="87"/>
    </row>
    <row r="12071">
      <c r="A12071" s="86" t="str">
        <f>IFERROR(__xludf.DUMMYFUNCTION("""COMPUTED_VALUE"""),"")</f>
        <v/>
      </c>
      <c r="B12071" s="87"/>
      <c r="C12071" s="87"/>
      <c r="D12071" s="87"/>
      <c r="E12071" s="87"/>
      <c r="F12071" s="87"/>
      <c r="G12071" s="87"/>
    </row>
    <row r="12072">
      <c r="A12072" s="86" t="str">
        <f>IFERROR(__xludf.DUMMYFUNCTION("""COMPUTED_VALUE"""),"")</f>
        <v/>
      </c>
      <c r="B12072" s="87"/>
      <c r="C12072" s="87"/>
      <c r="D12072" s="87"/>
      <c r="E12072" s="87"/>
      <c r="F12072" s="87"/>
      <c r="G12072" s="87"/>
    </row>
    <row r="12073">
      <c r="A12073" s="86" t="str">
        <f>IFERROR(__xludf.DUMMYFUNCTION("""COMPUTED_VALUE"""),"")</f>
        <v/>
      </c>
      <c r="B12073" s="87"/>
      <c r="C12073" s="87"/>
      <c r="D12073" s="87"/>
      <c r="E12073" s="87"/>
      <c r="F12073" s="87"/>
      <c r="G12073" s="87"/>
    </row>
    <row r="12074">
      <c r="A12074" s="86" t="str">
        <f>IFERROR(__xludf.DUMMYFUNCTION("""COMPUTED_VALUE"""),"")</f>
        <v/>
      </c>
      <c r="B12074" s="87"/>
      <c r="C12074" s="87"/>
      <c r="D12074" s="87"/>
      <c r="E12074" s="87"/>
      <c r="F12074" s="87"/>
      <c r="G12074" s="87"/>
    </row>
    <row r="12075">
      <c r="A12075" s="86" t="str">
        <f>IFERROR(__xludf.DUMMYFUNCTION("""COMPUTED_VALUE"""),"")</f>
        <v/>
      </c>
      <c r="B12075" s="87"/>
      <c r="C12075" s="87"/>
      <c r="D12075" s="87"/>
      <c r="E12075" s="87"/>
      <c r="F12075" s="87"/>
      <c r="G12075" s="87"/>
    </row>
    <row r="12076">
      <c r="A12076" s="86" t="str">
        <f>IFERROR(__xludf.DUMMYFUNCTION("""COMPUTED_VALUE"""),"")</f>
        <v/>
      </c>
      <c r="B12076" s="87"/>
      <c r="C12076" s="87"/>
      <c r="D12076" s="87"/>
      <c r="E12076" s="87"/>
      <c r="F12076" s="87"/>
      <c r="G12076" s="87"/>
    </row>
    <row r="12077">
      <c r="A12077" s="86" t="str">
        <f>IFERROR(__xludf.DUMMYFUNCTION("""COMPUTED_VALUE"""),"")</f>
        <v/>
      </c>
      <c r="B12077" s="87"/>
      <c r="C12077" s="87"/>
      <c r="D12077" s="87"/>
      <c r="E12077" s="87"/>
      <c r="F12077" s="87"/>
      <c r="G12077" s="87"/>
    </row>
    <row r="12078">
      <c r="A12078" s="86" t="str">
        <f>IFERROR(__xludf.DUMMYFUNCTION("""COMPUTED_VALUE"""),"")</f>
        <v/>
      </c>
      <c r="B12078" s="87"/>
      <c r="C12078" s="87"/>
      <c r="D12078" s="87"/>
      <c r="E12078" s="87"/>
      <c r="F12078" s="87"/>
      <c r="G12078" s="87"/>
    </row>
    <row r="12079">
      <c r="A12079" s="86" t="str">
        <f>IFERROR(__xludf.DUMMYFUNCTION("""COMPUTED_VALUE"""),"")</f>
        <v/>
      </c>
      <c r="B12079" s="87"/>
      <c r="C12079" s="87"/>
      <c r="D12079" s="87"/>
      <c r="E12079" s="87"/>
      <c r="F12079" s="87"/>
      <c r="G12079" s="87"/>
    </row>
    <row r="12080">
      <c r="A12080" s="86" t="str">
        <f>IFERROR(__xludf.DUMMYFUNCTION("""COMPUTED_VALUE"""),"")</f>
        <v/>
      </c>
      <c r="B12080" s="87"/>
      <c r="C12080" s="87"/>
      <c r="D12080" s="87"/>
      <c r="E12080" s="87"/>
      <c r="F12080" s="87"/>
      <c r="G12080" s="87"/>
    </row>
    <row r="12081">
      <c r="A12081" s="86" t="str">
        <f>IFERROR(__xludf.DUMMYFUNCTION("""COMPUTED_VALUE"""),"")</f>
        <v/>
      </c>
      <c r="B12081" s="87"/>
      <c r="C12081" s="87"/>
      <c r="D12081" s="87"/>
      <c r="E12081" s="87"/>
      <c r="F12081" s="87"/>
      <c r="G12081" s="87"/>
    </row>
    <row r="12082">
      <c r="A12082" s="86" t="str">
        <f>IFERROR(__xludf.DUMMYFUNCTION("""COMPUTED_VALUE"""),"")</f>
        <v/>
      </c>
      <c r="B12082" s="87"/>
      <c r="C12082" s="87"/>
      <c r="D12082" s="87"/>
      <c r="E12082" s="87"/>
      <c r="F12082" s="87"/>
      <c r="G12082" s="87"/>
    </row>
    <row r="12083">
      <c r="A12083" s="86" t="str">
        <f>IFERROR(__xludf.DUMMYFUNCTION("""COMPUTED_VALUE"""),"")</f>
        <v/>
      </c>
      <c r="B12083" s="87"/>
      <c r="C12083" s="87"/>
      <c r="D12083" s="87"/>
      <c r="E12083" s="87"/>
      <c r="F12083" s="87"/>
      <c r="G12083" s="87"/>
    </row>
    <row r="12084">
      <c r="A12084" s="86" t="str">
        <f>IFERROR(__xludf.DUMMYFUNCTION("""COMPUTED_VALUE"""),"")</f>
        <v/>
      </c>
      <c r="B12084" s="87"/>
      <c r="C12084" s="87"/>
      <c r="D12084" s="87"/>
      <c r="E12084" s="87"/>
      <c r="F12084" s="87"/>
      <c r="G12084" s="87"/>
    </row>
    <row r="12085">
      <c r="A12085" s="86" t="str">
        <f>IFERROR(__xludf.DUMMYFUNCTION("""COMPUTED_VALUE"""),"")</f>
        <v/>
      </c>
      <c r="B12085" s="87"/>
      <c r="C12085" s="87"/>
      <c r="D12085" s="87"/>
      <c r="E12085" s="87"/>
      <c r="F12085" s="87"/>
      <c r="G12085" s="87"/>
    </row>
    <row r="12086">
      <c r="A12086" s="86" t="str">
        <f>IFERROR(__xludf.DUMMYFUNCTION("""COMPUTED_VALUE"""),"")</f>
        <v/>
      </c>
      <c r="B12086" s="87"/>
      <c r="C12086" s="87"/>
      <c r="D12086" s="87"/>
      <c r="E12086" s="87"/>
      <c r="F12086" s="87"/>
      <c r="G12086" s="87"/>
    </row>
    <row r="12087">
      <c r="A12087" s="86" t="str">
        <f>IFERROR(__xludf.DUMMYFUNCTION("""COMPUTED_VALUE"""),"")</f>
        <v/>
      </c>
      <c r="B12087" s="87"/>
      <c r="C12087" s="87"/>
      <c r="D12087" s="87"/>
      <c r="E12087" s="87"/>
      <c r="F12087" s="87"/>
      <c r="G12087" s="87"/>
    </row>
    <row r="12088">
      <c r="A12088" s="86" t="str">
        <f>IFERROR(__xludf.DUMMYFUNCTION("""COMPUTED_VALUE"""),"")</f>
        <v/>
      </c>
      <c r="B12088" s="87"/>
      <c r="C12088" s="87"/>
      <c r="D12088" s="87"/>
      <c r="E12088" s="87"/>
      <c r="F12088" s="87"/>
      <c r="G12088" s="87"/>
    </row>
    <row r="12089">
      <c r="A12089" s="86" t="str">
        <f>IFERROR(__xludf.DUMMYFUNCTION("""COMPUTED_VALUE"""),"")</f>
        <v/>
      </c>
      <c r="B12089" s="87"/>
      <c r="C12089" s="87"/>
      <c r="D12089" s="87"/>
      <c r="E12089" s="87"/>
      <c r="F12089" s="87"/>
      <c r="G12089" s="87"/>
    </row>
    <row r="12090">
      <c r="A12090" s="86" t="str">
        <f>IFERROR(__xludf.DUMMYFUNCTION("""COMPUTED_VALUE"""),"")</f>
        <v/>
      </c>
      <c r="B12090" s="87"/>
      <c r="C12090" s="87"/>
      <c r="D12090" s="87"/>
      <c r="E12090" s="87"/>
      <c r="F12090" s="87"/>
      <c r="G12090" s="87"/>
    </row>
    <row r="12091">
      <c r="A12091" s="86" t="str">
        <f>IFERROR(__xludf.DUMMYFUNCTION("""COMPUTED_VALUE"""),"")</f>
        <v/>
      </c>
      <c r="B12091" s="87"/>
      <c r="C12091" s="87"/>
      <c r="D12091" s="87"/>
      <c r="E12091" s="87"/>
      <c r="F12091" s="87"/>
      <c r="G12091" s="87"/>
    </row>
    <row r="12092">
      <c r="A12092" s="86" t="str">
        <f>IFERROR(__xludf.DUMMYFUNCTION("""COMPUTED_VALUE"""),"")</f>
        <v/>
      </c>
      <c r="B12092" s="87"/>
      <c r="C12092" s="87"/>
      <c r="D12092" s="87"/>
      <c r="E12092" s="87"/>
      <c r="F12092" s="87"/>
      <c r="G12092" s="87"/>
    </row>
    <row r="12093">
      <c r="A12093" s="86" t="str">
        <f>IFERROR(__xludf.DUMMYFUNCTION("""COMPUTED_VALUE"""),"")</f>
        <v/>
      </c>
      <c r="B12093" s="87"/>
      <c r="C12093" s="87"/>
      <c r="D12093" s="87"/>
      <c r="E12093" s="87"/>
      <c r="F12093" s="87"/>
      <c r="G12093" s="87"/>
    </row>
    <row r="12094">
      <c r="A12094" s="86" t="str">
        <f>IFERROR(__xludf.DUMMYFUNCTION("""COMPUTED_VALUE"""),"")</f>
        <v/>
      </c>
      <c r="B12094" s="87"/>
      <c r="C12094" s="87"/>
      <c r="D12094" s="87"/>
      <c r="E12094" s="87"/>
      <c r="F12094" s="87"/>
      <c r="G12094" s="87"/>
    </row>
    <row r="12095">
      <c r="A12095" s="86" t="str">
        <f>IFERROR(__xludf.DUMMYFUNCTION("""COMPUTED_VALUE"""),"")</f>
        <v/>
      </c>
      <c r="B12095" s="87"/>
      <c r="C12095" s="87"/>
      <c r="D12095" s="87"/>
      <c r="E12095" s="87"/>
      <c r="F12095" s="87"/>
      <c r="G12095" s="87"/>
    </row>
    <row r="12096">
      <c r="A12096" s="86" t="str">
        <f>IFERROR(__xludf.DUMMYFUNCTION("""COMPUTED_VALUE"""),"")</f>
        <v/>
      </c>
      <c r="B12096" s="87"/>
      <c r="C12096" s="87"/>
      <c r="D12096" s="87"/>
      <c r="E12096" s="87"/>
      <c r="F12096" s="87"/>
      <c r="G12096" s="87"/>
    </row>
    <row r="12097">
      <c r="A12097" s="86" t="str">
        <f>IFERROR(__xludf.DUMMYFUNCTION("""COMPUTED_VALUE"""),"")</f>
        <v/>
      </c>
      <c r="B12097" s="87"/>
      <c r="C12097" s="87"/>
      <c r="D12097" s="87"/>
      <c r="E12097" s="87"/>
      <c r="F12097" s="87"/>
      <c r="G12097" s="87"/>
    </row>
    <row r="12098">
      <c r="A12098" s="86" t="str">
        <f>IFERROR(__xludf.DUMMYFUNCTION("""COMPUTED_VALUE"""),"")</f>
        <v/>
      </c>
      <c r="B12098" s="87"/>
      <c r="C12098" s="87"/>
      <c r="D12098" s="87"/>
      <c r="E12098" s="87"/>
      <c r="F12098" s="87"/>
      <c r="G12098" s="87"/>
    </row>
    <row r="12099">
      <c r="A12099" s="86" t="str">
        <f>IFERROR(__xludf.DUMMYFUNCTION("""COMPUTED_VALUE"""),"")</f>
        <v/>
      </c>
      <c r="B12099" s="87"/>
      <c r="C12099" s="87"/>
      <c r="D12099" s="87"/>
      <c r="E12099" s="87"/>
      <c r="F12099" s="87"/>
      <c r="G12099" s="87"/>
    </row>
    <row r="12100">
      <c r="A12100" s="86" t="str">
        <f>IFERROR(__xludf.DUMMYFUNCTION("""COMPUTED_VALUE"""),"")</f>
        <v/>
      </c>
      <c r="B12100" s="87"/>
      <c r="C12100" s="87"/>
      <c r="D12100" s="87"/>
      <c r="E12100" s="87"/>
      <c r="F12100" s="87"/>
      <c r="G12100" s="87"/>
    </row>
    <row r="12101">
      <c r="A12101" s="86" t="str">
        <f>IFERROR(__xludf.DUMMYFUNCTION("""COMPUTED_VALUE"""),"")</f>
        <v/>
      </c>
      <c r="B12101" s="87"/>
      <c r="C12101" s="87"/>
      <c r="D12101" s="87"/>
      <c r="E12101" s="87"/>
      <c r="F12101" s="87"/>
      <c r="G12101" s="87"/>
    </row>
    <row r="12102">
      <c r="A12102" s="86" t="str">
        <f>IFERROR(__xludf.DUMMYFUNCTION("""COMPUTED_VALUE"""),"")</f>
        <v/>
      </c>
      <c r="B12102" s="87"/>
      <c r="C12102" s="87"/>
      <c r="D12102" s="87"/>
      <c r="E12102" s="87"/>
      <c r="F12102" s="87"/>
      <c r="G12102" s="87"/>
    </row>
    <row r="12103">
      <c r="A12103" s="86" t="str">
        <f>IFERROR(__xludf.DUMMYFUNCTION("""COMPUTED_VALUE"""),"")</f>
        <v/>
      </c>
      <c r="B12103" s="87"/>
      <c r="C12103" s="87"/>
      <c r="D12103" s="87"/>
      <c r="E12103" s="87"/>
      <c r="F12103" s="87"/>
      <c r="G12103" s="87"/>
    </row>
    <row r="12104">
      <c r="A12104" s="86" t="str">
        <f>IFERROR(__xludf.DUMMYFUNCTION("""COMPUTED_VALUE"""),"")</f>
        <v/>
      </c>
      <c r="B12104" s="87"/>
      <c r="C12104" s="87"/>
      <c r="D12104" s="87"/>
      <c r="E12104" s="87"/>
      <c r="F12104" s="87"/>
      <c r="G12104" s="87"/>
    </row>
    <row r="12105">
      <c r="A12105" s="86" t="str">
        <f>IFERROR(__xludf.DUMMYFUNCTION("""COMPUTED_VALUE"""),"")</f>
        <v/>
      </c>
      <c r="B12105" s="87"/>
      <c r="C12105" s="87"/>
      <c r="D12105" s="87"/>
      <c r="E12105" s="87"/>
      <c r="F12105" s="87"/>
      <c r="G12105" s="87"/>
    </row>
    <row r="12106">
      <c r="A12106" s="86" t="str">
        <f>IFERROR(__xludf.DUMMYFUNCTION("""COMPUTED_VALUE"""),"")</f>
        <v/>
      </c>
      <c r="B12106" s="87"/>
      <c r="C12106" s="87"/>
      <c r="D12106" s="87"/>
      <c r="E12106" s="87"/>
      <c r="F12106" s="87"/>
      <c r="G12106" s="87"/>
    </row>
    <row r="12107">
      <c r="A12107" s="86" t="str">
        <f>IFERROR(__xludf.DUMMYFUNCTION("""COMPUTED_VALUE"""),"")</f>
        <v/>
      </c>
      <c r="B12107" s="87"/>
      <c r="C12107" s="87"/>
      <c r="D12107" s="87"/>
      <c r="E12107" s="87"/>
      <c r="F12107" s="87"/>
      <c r="G12107" s="87"/>
    </row>
    <row r="12108">
      <c r="A12108" s="86" t="str">
        <f>IFERROR(__xludf.DUMMYFUNCTION("""COMPUTED_VALUE"""),"")</f>
        <v/>
      </c>
      <c r="B12108" s="87"/>
      <c r="C12108" s="87"/>
      <c r="D12108" s="87"/>
      <c r="E12108" s="87"/>
      <c r="F12108" s="87"/>
      <c r="G12108" s="87"/>
    </row>
    <row r="12109">
      <c r="A12109" s="86" t="str">
        <f>IFERROR(__xludf.DUMMYFUNCTION("""COMPUTED_VALUE"""),"")</f>
        <v/>
      </c>
      <c r="B12109" s="87"/>
      <c r="C12109" s="87"/>
      <c r="D12109" s="87"/>
      <c r="E12109" s="87"/>
      <c r="F12109" s="87"/>
      <c r="G12109" s="87"/>
    </row>
    <row r="12110">
      <c r="A12110" s="86" t="str">
        <f>IFERROR(__xludf.DUMMYFUNCTION("""COMPUTED_VALUE"""),"")</f>
        <v/>
      </c>
      <c r="B12110" s="87"/>
      <c r="C12110" s="87"/>
      <c r="D12110" s="87"/>
      <c r="E12110" s="87"/>
      <c r="F12110" s="87"/>
      <c r="G12110" s="87"/>
    </row>
    <row r="12111">
      <c r="A12111" s="86" t="str">
        <f>IFERROR(__xludf.DUMMYFUNCTION("""COMPUTED_VALUE"""),"")</f>
        <v/>
      </c>
      <c r="B12111" s="87"/>
      <c r="C12111" s="87"/>
      <c r="D12111" s="87"/>
      <c r="E12111" s="87"/>
      <c r="F12111" s="87"/>
      <c r="G12111" s="87"/>
    </row>
    <row r="12112">
      <c r="A12112" s="86" t="str">
        <f>IFERROR(__xludf.DUMMYFUNCTION("""COMPUTED_VALUE"""),"")</f>
        <v/>
      </c>
      <c r="B12112" s="87"/>
      <c r="C12112" s="87"/>
      <c r="D12112" s="87"/>
      <c r="E12112" s="87"/>
      <c r="F12112" s="87"/>
      <c r="G12112" s="87"/>
    </row>
    <row r="12113">
      <c r="A12113" s="86" t="str">
        <f>IFERROR(__xludf.DUMMYFUNCTION("""COMPUTED_VALUE"""),"")</f>
        <v/>
      </c>
      <c r="B12113" s="87"/>
      <c r="C12113" s="87"/>
      <c r="D12113" s="87"/>
      <c r="E12113" s="87"/>
      <c r="F12113" s="87"/>
      <c r="G12113" s="87"/>
    </row>
    <row r="12114">
      <c r="A12114" s="86" t="str">
        <f>IFERROR(__xludf.DUMMYFUNCTION("""COMPUTED_VALUE"""),"")</f>
        <v/>
      </c>
      <c r="B12114" s="87"/>
      <c r="C12114" s="87"/>
      <c r="D12114" s="87"/>
      <c r="E12114" s="87"/>
      <c r="F12114" s="87"/>
      <c r="G12114" s="87"/>
    </row>
    <row r="12115">
      <c r="A12115" s="86" t="str">
        <f>IFERROR(__xludf.DUMMYFUNCTION("""COMPUTED_VALUE"""),"")</f>
        <v/>
      </c>
      <c r="B12115" s="87"/>
      <c r="C12115" s="87"/>
      <c r="D12115" s="87"/>
      <c r="E12115" s="87"/>
      <c r="F12115" s="87"/>
      <c r="G12115" s="87"/>
    </row>
    <row r="12116">
      <c r="A12116" s="86" t="str">
        <f>IFERROR(__xludf.DUMMYFUNCTION("""COMPUTED_VALUE"""),"")</f>
        <v/>
      </c>
      <c r="B12116" s="87"/>
      <c r="C12116" s="87"/>
      <c r="D12116" s="87"/>
      <c r="E12116" s="87"/>
      <c r="F12116" s="87"/>
      <c r="G12116" s="87"/>
    </row>
    <row r="12117">
      <c r="A12117" s="86" t="str">
        <f>IFERROR(__xludf.DUMMYFUNCTION("""COMPUTED_VALUE"""),"")</f>
        <v/>
      </c>
      <c r="B12117" s="87"/>
      <c r="C12117" s="87"/>
      <c r="D12117" s="87"/>
      <c r="E12117" s="87"/>
      <c r="F12117" s="87"/>
      <c r="G12117" s="87"/>
    </row>
    <row r="12118">
      <c r="A12118" s="86" t="str">
        <f>IFERROR(__xludf.DUMMYFUNCTION("""COMPUTED_VALUE"""),"")</f>
        <v/>
      </c>
      <c r="B12118" s="87"/>
      <c r="C12118" s="87"/>
      <c r="D12118" s="87"/>
      <c r="E12118" s="87"/>
      <c r="F12118" s="87"/>
      <c r="G12118" s="87"/>
    </row>
    <row r="12119">
      <c r="A12119" s="86" t="str">
        <f>IFERROR(__xludf.DUMMYFUNCTION("""COMPUTED_VALUE"""),"")</f>
        <v/>
      </c>
      <c r="B12119" s="87"/>
      <c r="C12119" s="87"/>
      <c r="D12119" s="87"/>
      <c r="E12119" s="87"/>
      <c r="F12119" s="87"/>
      <c r="G12119" s="87"/>
    </row>
    <row r="12120">
      <c r="A12120" s="86" t="str">
        <f>IFERROR(__xludf.DUMMYFUNCTION("""COMPUTED_VALUE"""),"")</f>
        <v/>
      </c>
      <c r="B12120" s="87"/>
      <c r="C12120" s="87"/>
      <c r="D12120" s="87"/>
      <c r="E12120" s="87"/>
      <c r="F12120" s="87"/>
      <c r="G12120" s="87"/>
    </row>
    <row r="12121">
      <c r="A12121" s="86" t="str">
        <f>IFERROR(__xludf.DUMMYFUNCTION("""COMPUTED_VALUE"""),"")</f>
        <v/>
      </c>
      <c r="B12121" s="87"/>
      <c r="C12121" s="87"/>
      <c r="D12121" s="87"/>
      <c r="E12121" s="87"/>
      <c r="F12121" s="87"/>
      <c r="G12121" s="87"/>
    </row>
    <row r="12122">
      <c r="A12122" s="86" t="str">
        <f>IFERROR(__xludf.DUMMYFUNCTION("""COMPUTED_VALUE"""),"")</f>
        <v/>
      </c>
      <c r="B12122" s="87"/>
      <c r="C12122" s="87"/>
      <c r="D12122" s="87"/>
      <c r="E12122" s="87"/>
      <c r="F12122" s="87"/>
      <c r="G12122" s="87"/>
    </row>
    <row r="12123">
      <c r="A12123" s="86" t="str">
        <f>IFERROR(__xludf.DUMMYFUNCTION("""COMPUTED_VALUE"""),"")</f>
        <v/>
      </c>
      <c r="B12123" s="87"/>
      <c r="C12123" s="87"/>
      <c r="D12123" s="87"/>
      <c r="E12123" s="87"/>
      <c r="F12123" s="87"/>
      <c r="G12123" s="87"/>
    </row>
    <row r="12124">
      <c r="A12124" s="86" t="str">
        <f>IFERROR(__xludf.DUMMYFUNCTION("""COMPUTED_VALUE"""),"")</f>
        <v/>
      </c>
      <c r="B12124" s="87"/>
      <c r="C12124" s="87"/>
      <c r="D12124" s="87"/>
      <c r="E12124" s="87"/>
      <c r="F12124" s="87"/>
      <c r="G12124" s="87"/>
    </row>
    <row r="12125">
      <c r="A12125" s="86" t="str">
        <f>IFERROR(__xludf.DUMMYFUNCTION("""COMPUTED_VALUE"""),"")</f>
        <v/>
      </c>
      <c r="B12125" s="87"/>
      <c r="C12125" s="87"/>
      <c r="D12125" s="87"/>
      <c r="E12125" s="87"/>
      <c r="F12125" s="87"/>
      <c r="G12125" s="87"/>
    </row>
    <row r="12126">
      <c r="A12126" s="86" t="str">
        <f>IFERROR(__xludf.DUMMYFUNCTION("""COMPUTED_VALUE"""),"")</f>
        <v/>
      </c>
      <c r="B12126" s="87"/>
      <c r="C12126" s="87"/>
      <c r="D12126" s="87"/>
      <c r="E12126" s="87"/>
      <c r="F12126" s="87"/>
      <c r="G12126" s="87"/>
    </row>
    <row r="12127">
      <c r="A12127" s="86" t="str">
        <f>IFERROR(__xludf.DUMMYFUNCTION("""COMPUTED_VALUE"""),"")</f>
        <v/>
      </c>
      <c r="B12127" s="87"/>
      <c r="C12127" s="87"/>
      <c r="D12127" s="87"/>
      <c r="E12127" s="87"/>
      <c r="F12127" s="87"/>
      <c r="G12127" s="87"/>
    </row>
    <row r="12128">
      <c r="A12128" s="86" t="str">
        <f>IFERROR(__xludf.DUMMYFUNCTION("""COMPUTED_VALUE"""),"")</f>
        <v/>
      </c>
      <c r="B12128" s="87"/>
      <c r="C12128" s="87"/>
      <c r="D12128" s="87"/>
      <c r="E12128" s="87"/>
      <c r="F12128" s="87"/>
      <c r="G12128" s="87"/>
    </row>
    <row r="12129">
      <c r="A12129" s="86" t="str">
        <f>IFERROR(__xludf.DUMMYFUNCTION("""COMPUTED_VALUE"""),"")</f>
        <v/>
      </c>
      <c r="B12129" s="87"/>
      <c r="C12129" s="87"/>
      <c r="D12129" s="87"/>
      <c r="E12129" s="87"/>
      <c r="F12129" s="87"/>
      <c r="G12129" s="87"/>
    </row>
    <row r="12130">
      <c r="A12130" s="86" t="str">
        <f>IFERROR(__xludf.DUMMYFUNCTION("""COMPUTED_VALUE"""),"")</f>
        <v/>
      </c>
      <c r="B12130" s="87"/>
      <c r="C12130" s="87"/>
      <c r="D12130" s="87"/>
      <c r="E12130" s="87"/>
      <c r="F12130" s="87"/>
      <c r="G12130" s="87"/>
    </row>
    <row r="12131">
      <c r="A12131" s="86" t="str">
        <f>IFERROR(__xludf.DUMMYFUNCTION("""COMPUTED_VALUE"""),"")</f>
        <v/>
      </c>
      <c r="B12131" s="87"/>
      <c r="C12131" s="87"/>
      <c r="D12131" s="87"/>
      <c r="E12131" s="87"/>
      <c r="F12131" s="87"/>
      <c r="G12131" s="87"/>
    </row>
    <row r="12132">
      <c r="A12132" s="86" t="str">
        <f>IFERROR(__xludf.DUMMYFUNCTION("""COMPUTED_VALUE"""),"")</f>
        <v/>
      </c>
      <c r="B12132" s="87"/>
      <c r="C12132" s="87"/>
      <c r="D12132" s="87"/>
      <c r="E12132" s="87"/>
      <c r="F12132" s="87"/>
      <c r="G12132" s="87"/>
    </row>
    <row r="12133">
      <c r="A12133" s="86" t="str">
        <f>IFERROR(__xludf.DUMMYFUNCTION("""COMPUTED_VALUE"""),"")</f>
        <v/>
      </c>
      <c r="B12133" s="87"/>
      <c r="C12133" s="87"/>
      <c r="D12133" s="87"/>
      <c r="E12133" s="87"/>
      <c r="F12133" s="87"/>
      <c r="G12133" s="87"/>
    </row>
    <row r="12134">
      <c r="A12134" s="86" t="str">
        <f>IFERROR(__xludf.DUMMYFUNCTION("""COMPUTED_VALUE"""),"")</f>
        <v/>
      </c>
      <c r="B12134" s="87"/>
      <c r="C12134" s="87"/>
      <c r="D12134" s="87"/>
      <c r="E12134" s="87"/>
      <c r="F12134" s="87"/>
      <c r="G12134" s="87"/>
    </row>
    <row r="12135">
      <c r="A12135" s="86" t="str">
        <f>IFERROR(__xludf.DUMMYFUNCTION("""COMPUTED_VALUE"""),"")</f>
        <v/>
      </c>
      <c r="B12135" s="87"/>
      <c r="C12135" s="87"/>
      <c r="D12135" s="87"/>
      <c r="E12135" s="87"/>
      <c r="F12135" s="87"/>
      <c r="G12135" s="87"/>
    </row>
    <row r="12136">
      <c r="A12136" s="86" t="str">
        <f>IFERROR(__xludf.DUMMYFUNCTION("""COMPUTED_VALUE"""),"")</f>
        <v/>
      </c>
      <c r="B12136" s="87"/>
      <c r="C12136" s="87"/>
      <c r="D12136" s="87"/>
      <c r="E12136" s="87"/>
      <c r="F12136" s="87"/>
      <c r="G12136" s="87"/>
    </row>
    <row r="12137">
      <c r="A12137" s="86" t="str">
        <f>IFERROR(__xludf.DUMMYFUNCTION("""COMPUTED_VALUE"""),"")</f>
        <v/>
      </c>
      <c r="B12137" s="87"/>
      <c r="C12137" s="87"/>
      <c r="D12137" s="87"/>
      <c r="E12137" s="87"/>
      <c r="F12137" s="87"/>
      <c r="G12137" s="87"/>
    </row>
    <row r="12138">
      <c r="A12138" s="86" t="str">
        <f>IFERROR(__xludf.DUMMYFUNCTION("""COMPUTED_VALUE"""),"")</f>
        <v/>
      </c>
      <c r="B12138" s="87"/>
      <c r="C12138" s="87"/>
      <c r="D12138" s="87"/>
      <c r="E12138" s="87"/>
      <c r="F12138" s="87"/>
      <c r="G12138" s="87"/>
    </row>
    <row r="12139">
      <c r="A12139" s="86" t="str">
        <f>IFERROR(__xludf.DUMMYFUNCTION("""COMPUTED_VALUE"""),"")</f>
        <v/>
      </c>
      <c r="B12139" s="87"/>
      <c r="C12139" s="87"/>
      <c r="D12139" s="87"/>
      <c r="E12139" s="87"/>
      <c r="F12139" s="87"/>
      <c r="G12139" s="87"/>
    </row>
    <row r="12140">
      <c r="A12140" s="86" t="str">
        <f>IFERROR(__xludf.DUMMYFUNCTION("""COMPUTED_VALUE"""),"")</f>
        <v/>
      </c>
      <c r="B12140" s="87"/>
      <c r="C12140" s="87"/>
      <c r="D12140" s="87"/>
      <c r="E12140" s="87"/>
      <c r="F12140" s="87"/>
      <c r="G12140" s="87"/>
    </row>
    <row r="12141">
      <c r="A12141" s="86" t="str">
        <f>IFERROR(__xludf.DUMMYFUNCTION("""COMPUTED_VALUE"""),"")</f>
        <v/>
      </c>
      <c r="B12141" s="87"/>
      <c r="C12141" s="87"/>
      <c r="D12141" s="87"/>
      <c r="E12141" s="87"/>
      <c r="F12141" s="87"/>
      <c r="G12141" s="87"/>
    </row>
    <row r="12142">
      <c r="A12142" s="86" t="str">
        <f>IFERROR(__xludf.DUMMYFUNCTION("""COMPUTED_VALUE"""),"")</f>
        <v/>
      </c>
      <c r="B12142" s="87"/>
      <c r="C12142" s="87"/>
      <c r="D12142" s="87"/>
      <c r="E12142" s="87"/>
      <c r="F12142" s="87"/>
      <c r="G12142" s="87"/>
    </row>
    <row r="12143">
      <c r="A12143" s="86" t="str">
        <f>IFERROR(__xludf.DUMMYFUNCTION("""COMPUTED_VALUE"""),"")</f>
        <v/>
      </c>
      <c r="B12143" s="87"/>
      <c r="C12143" s="87"/>
      <c r="D12143" s="87"/>
      <c r="E12143" s="87"/>
      <c r="F12143" s="87"/>
      <c r="G12143" s="87"/>
    </row>
    <row r="12144">
      <c r="A12144" s="86" t="str">
        <f>IFERROR(__xludf.DUMMYFUNCTION("""COMPUTED_VALUE"""),"")</f>
        <v/>
      </c>
      <c r="B12144" s="87"/>
      <c r="C12144" s="87"/>
      <c r="D12144" s="87"/>
      <c r="E12144" s="87"/>
      <c r="F12144" s="87"/>
      <c r="G12144" s="87"/>
    </row>
    <row r="12145">
      <c r="A12145" s="86" t="str">
        <f>IFERROR(__xludf.DUMMYFUNCTION("""COMPUTED_VALUE"""),"")</f>
        <v/>
      </c>
      <c r="B12145" s="87"/>
      <c r="C12145" s="87"/>
      <c r="D12145" s="87"/>
      <c r="E12145" s="87"/>
      <c r="F12145" s="87"/>
      <c r="G12145" s="87"/>
    </row>
    <row r="12146">
      <c r="A12146" s="86" t="str">
        <f>IFERROR(__xludf.DUMMYFUNCTION("""COMPUTED_VALUE"""),"")</f>
        <v/>
      </c>
      <c r="B12146" s="87"/>
      <c r="C12146" s="87"/>
      <c r="D12146" s="87"/>
      <c r="E12146" s="87"/>
      <c r="F12146" s="87"/>
      <c r="G12146" s="87"/>
    </row>
    <row r="12147">
      <c r="A12147" s="86" t="str">
        <f>IFERROR(__xludf.DUMMYFUNCTION("""COMPUTED_VALUE"""),"")</f>
        <v/>
      </c>
      <c r="B12147" s="87"/>
      <c r="C12147" s="87"/>
      <c r="D12147" s="87"/>
      <c r="E12147" s="87"/>
      <c r="F12147" s="87"/>
      <c r="G12147" s="87"/>
    </row>
    <row r="12148">
      <c r="A12148" s="86" t="str">
        <f>IFERROR(__xludf.DUMMYFUNCTION("""COMPUTED_VALUE"""),"")</f>
        <v/>
      </c>
      <c r="B12148" s="87"/>
      <c r="C12148" s="87"/>
      <c r="D12148" s="87"/>
      <c r="E12148" s="87"/>
      <c r="F12148" s="87"/>
      <c r="G12148" s="87"/>
    </row>
    <row r="12149">
      <c r="A12149" s="86" t="str">
        <f>IFERROR(__xludf.DUMMYFUNCTION("""COMPUTED_VALUE"""),"")</f>
        <v/>
      </c>
      <c r="B12149" s="87"/>
      <c r="C12149" s="87"/>
      <c r="D12149" s="87"/>
      <c r="E12149" s="87"/>
      <c r="F12149" s="87"/>
      <c r="G12149" s="87"/>
    </row>
    <row r="12150">
      <c r="A12150" s="86" t="str">
        <f>IFERROR(__xludf.DUMMYFUNCTION("""COMPUTED_VALUE"""),"")</f>
        <v/>
      </c>
      <c r="B12150" s="87"/>
      <c r="C12150" s="87"/>
      <c r="D12150" s="87"/>
      <c r="E12150" s="87"/>
      <c r="F12150" s="87"/>
      <c r="G12150" s="87"/>
    </row>
    <row r="12151">
      <c r="A12151" s="86" t="str">
        <f>IFERROR(__xludf.DUMMYFUNCTION("""COMPUTED_VALUE"""),"")</f>
        <v/>
      </c>
      <c r="B12151" s="87"/>
      <c r="C12151" s="87"/>
      <c r="D12151" s="87"/>
      <c r="E12151" s="87"/>
      <c r="F12151" s="87"/>
      <c r="G12151" s="87"/>
    </row>
    <row r="12152">
      <c r="A12152" s="86" t="str">
        <f>IFERROR(__xludf.DUMMYFUNCTION("""COMPUTED_VALUE"""),"")</f>
        <v/>
      </c>
      <c r="B12152" s="87"/>
      <c r="C12152" s="87"/>
      <c r="D12152" s="87"/>
      <c r="E12152" s="87"/>
      <c r="F12152" s="87"/>
      <c r="G12152" s="87"/>
    </row>
    <row r="12153">
      <c r="A12153" s="86" t="str">
        <f>IFERROR(__xludf.DUMMYFUNCTION("""COMPUTED_VALUE"""),"")</f>
        <v/>
      </c>
      <c r="B12153" s="87"/>
      <c r="C12153" s="87"/>
      <c r="D12153" s="87"/>
      <c r="E12153" s="87"/>
      <c r="F12153" s="87"/>
      <c r="G12153" s="87"/>
    </row>
    <row r="12154">
      <c r="A12154" s="86" t="str">
        <f>IFERROR(__xludf.DUMMYFUNCTION("""COMPUTED_VALUE"""),"")</f>
        <v/>
      </c>
      <c r="B12154" s="87"/>
      <c r="C12154" s="87"/>
      <c r="D12154" s="87"/>
      <c r="E12154" s="87"/>
      <c r="F12154" s="87"/>
      <c r="G12154" s="87"/>
    </row>
    <row r="12155">
      <c r="A12155" s="86" t="str">
        <f>IFERROR(__xludf.DUMMYFUNCTION("""COMPUTED_VALUE"""),"")</f>
        <v/>
      </c>
      <c r="B12155" s="87"/>
      <c r="C12155" s="87"/>
      <c r="D12155" s="87"/>
      <c r="E12155" s="87"/>
      <c r="F12155" s="87"/>
      <c r="G12155" s="87"/>
    </row>
    <row r="12156">
      <c r="A12156" s="86" t="str">
        <f>IFERROR(__xludf.DUMMYFUNCTION("""COMPUTED_VALUE"""),"")</f>
        <v/>
      </c>
      <c r="B12156" s="87"/>
      <c r="C12156" s="87"/>
      <c r="D12156" s="87"/>
      <c r="E12156" s="87"/>
      <c r="F12156" s="87"/>
      <c r="G12156" s="87"/>
    </row>
    <row r="12157">
      <c r="A12157" s="86" t="str">
        <f>IFERROR(__xludf.DUMMYFUNCTION("""COMPUTED_VALUE"""),"")</f>
        <v/>
      </c>
      <c r="B12157" s="87"/>
      <c r="C12157" s="87"/>
      <c r="D12157" s="87"/>
      <c r="E12157" s="87"/>
      <c r="F12157" s="87"/>
      <c r="G12157" s="87"/>
    </row>
    <row r="12158">
      <c r="A12158" s="86" t="str">
        <f>IFERROR(__xludf.DUMMYFUNCTION("""COMPUTED_VALUE"""),"")</f>
        <v/>
      </c>
      <c r="B12158" s="87"/>
      <c r="C12158" s="87"/>
      <c r="D12158" s="87"/>
      <c r="E12158" s="87"/>
      <c r="F12158" s="87"/>
      <c r="G12158" s="87"/>
    </row>
    <row r="12159">
      <c r="A12159" s="86" t="str">
        <f>IFERROR(__xludf.DUMMYFUNCTION("""COMPUTED_VALUE"""),"")</f>
        <v/>
      </c>
      <c r="B12159" s="87"/>
      <c r="C12159" s="87"/>
      <c r="D12159" s="87"/>
      <c r="E12159" s="87"/>
      <c r="F12159" s="87"/>
      <c r="G12159" s="87"/>
    </row>
    <row r="12160">
      <c r="A12160" s="86" t="str">
        <f>IFERROR(__xludf.DUMMYFUNCTION("""COMPUTED_VALUE"""),"")</f>
        <v/>
      </c>
      <c r="B12160" s="87"/>
      <c r="C12160" s="87"/>
      <c r="D12160" s="87"/>
      <c r="E12160" s="87"/>
      <c r="F12160" s="87"/>
      <c r="G12160" s="87"/>
    </row>
    <row r="12161">
      <c r="A12161" s="86" t="str">
        <f>IFERROR(__xludf.DUMMYFUNCTION("""COMPUTED_VALUE"""),"")</f>
        <v/>
      </c>
      <c r="B12161" s="87"/>
      <c r="C12161" s="87"/>
      <c r="D12161" s="87"/>
      <c r="E12161" s="87"/>
      <c r="F12161" s="87"/>
      <c r="G12161" s="87"/>
    </row>
    <row r="12162">
      <c r="A12162" s="86" t="str">
        <f>IFERROR(__xludf.DUMMYFUNCTION("""COMPUTED_VALUE"""),"")</f>
        <v/>
      </c>
      <c r="B12162" s="87"/>
      <c r="C12162" s="87"/>
      <c r="D12162" s="87"/>
      <c r="E12162" s="87"/>
      <c r="F12162" s="87"/>
      <c r="G12162" s="87"/>
    </row>
    <row r="12163">
      <c r="A12163" s="86" t="str">
        <f>IFERROR(__xludf.DUMMYFUNCTION("""COMPUTED_VALUE"""),"")</f>
        <v/>
      </c>
      <c r="B12163" s="87"/>
      <c r="C12163" s="87"/>
      <c r="D12163" s="87"/>
      <c r="E12163" s="87"/>
      <c r="F12163" s="87"/>
      <c r="G12163" s="87"/>
    </row>
    <row r="12164">
      <c r="A12164" s="86" t="str">
        <f>IFERROR(__xludf.DUMMYFUNCTION("""COMPUTED_VALUE"""),"")</f>
        <v/>
      </c>
      <c r="B12164" s="87"/>
      <c r="C12164" s="87"/>
      <c r="D12164" s="87"/>
      <c r="E12164" s="87"/>
      <c r="F12164" s="87"/>
      <c r="G12164" s="87"/>
    </row>
    <row r="12165">
      <c r="A12165" s="86" t="str">
        <f>IFERROR(__xludf.DUMMYFUNCTION("""COMPUTED_VALUE"""),"")</f>
        <v/>
      </c>
      <c r="B12165" s="87"/>
      <c r="C12165" s="87"/>
      <c r="D12165" s="87"/>
      <c r="E12165" s="87"/>
      <c r="F12165" s="87"/>
      <c r="G12165" s="87"/>
    </row>
    <row r="12166">
      <c r="A12166" s="86" t="str">
        <f>IFERROR(__xludf.DUMMYFUNCTION("""COMPUTED_VALUE"""),"")</f>
        <v/>
      </c>
      <c r="B12166" s="87"/>
      <c r="C12166" s="87"/>
      <c r="D12166" s="87"/>
      <c r="E12166" s="87"/>
      <c r="F12166" s="87"/>
      <c r="G12166" s="87"/>
    </row>
    <row r="12167">
      <c r="A12167" s="86" t="str">
        <f>IFERROR(__xludf.DUMMYFUNCTION("""COMPUTED_VALUE"""),"")</f>
        <v/>
      </c>
      <c r="B12167" s="87"/>
      <c r="C12167" s="87"/>
      <c r="D12167" s="87"/>
      <c r="E12167" s="87"/>
      <c r="F12167" s="87"/>
      <c r="G12167" s="87"/>
    </row>
    <row r="12168">
      <c r="A12168" s="86" t="str">
        <f>IFERROR(__xludf.DUMMYFUNCTION("""COMPUTED_VALUE"""),"")</f>
        <v/>
      </c>
      <c r="B12168" s="87"/>
      <c r="C12168" s="87"/>
      <c r="D12168" s="87"/>
      <c r="E12168" s="87"/>
      <c r="F12168" s="87"/>
      <c r="G12168" s="87"/>
    </row>
    <row r="12169">
      <c r="A12169" s="86" t="str">
        <f>IFERROR(__xludf.DUMMYFUNCTION("""COMPUTED_VALUE"""),"")</f>
        <v/>
      </c>
      <c r="B12169" s="87"/>
      <c r="C12169" s="87"/>
      <c r="D12169" s="87"/>
      <c r="E12169" s="87"/>
      <c r="F12169" s="87"/>
      <c r="G12169" s="87"/>
    </row>
    <row r="12170">
      <c r="A12170" s="86" t="str">
        <f>IFERROR(__xludf.DUMMYFUNCTION("""COMPUTED_VALUE"""),"")</f>
        <v/>
      </c>
      <c r="B12170" s="87"/>
      <c r="C12170" s="87"/>
      <c r="D12170" s="87"/>
      <c r="E12170" s="87"/>
      <c r="F12170" s="87"/>
      <c r="G12170" s="87"/>
    </row>
    <row r="12171">
      <c r="A12171" s="86" t="str">
        <f>IFERROR(__xludf.DUMMYFUNCTION("""COMPUTED_VALUE"""),"")</f>
        <v/>
      </c>
      <c r="B12171" s="87"/>
      <c r="C12171" s="87"/>
      <c r="D12171" s="87"/>
      <c r="E12171" s="87"/>
      <c r="F12171" s="87"/>
      <c r="G12171" s="87"/>
    </row>
    <row r="12172">
      <c r="A12172" s="86" t="str">
        <f>IFERROR(__xludf.DUMMYFUNCTION("""COMPUTED_VALUE"""),"")</f>
        <v/>
      </c>
      <c r="B12172" s="87"/>
      <c r="C12172" s="87"/>
      <c r="D12172" s="87"/>
      <c r="E12172" s="87"/>
      <c r="F12172" s="87"/>
      <c r="G12172" s="87"/>
    </row>
    <row r="12173">
      <c r="A12173" s="86" t="str">
        <f>IFERROR(__xludf.DUMMYFUNCTION("""COMPUTED_VALUE"""),"")</f>
        <v/>
      </c>
      <c r="B12173" s="87"/>
      <c r="C12173" s="87"/>
      <c r="D12173" s="87"/>
      <c r="E12173" s="87"/>
      <c r="F12173" s="87"/>
      <c r="G12173" s="87"/>
    </row>
    <row r="12174">
      <c r="A12174" s="86" t="str">
        <f>IFERROR(__xludf.DUMMYFUNCTION("""COMPUTED_VALUE"""),"")</f>
        <v/>
      </c>
      <c r="B12174" s="87"/>
      <c r="C12174" s="87"/>
      <c r="D12174" s="87"/>
      <c r="E12174" s="87"/>
      <c r="F12174" s="87"/>
      <c r="G12174" s="87"/>
    </row>
    <row r="12175">
      <c r="A12175" s="86" t="str">
        <f>IFERROR(__xludf.DUMMYFUNCTION("""COMPUTED_VALUE"""),"")</f>
        <v/>
      </c>
      <c r="B12175" s="87"/>
      <c r="C12175" s="87"/>
      <c r="D12175" s="87"/>
      <c r="E12175" s="87"/>
      <c r="F12175" s="87"/>
      <c r="G12175" s="87"/>
    </row>
    <row r="12176">
      <c r="A12176" s="86" t="str">
        <f>IFERROR(__xludf.DUMMYFUNCTION("""COMPUTED_VALUE"""),"")</f>
        <v/>
      </c>
      <c r="B12176" s="87"/>
      <c r="C12176" s="87"/>
      <c r="D12176" s="87"/>
      <c r="E12176" s="87"/>
      <c r="F12176" s="87"/>
      <c r="G12176" s="87"/>
    </row>
    <row r="12177">
      <c r="A12177" s="86" t="str">
        <f>IFERROR(__xludf.DUMMYFUNCTION("""COMPUTED_VALUE"""),"")</f>
        <v/>
      </c>
      <c r="B12177" s="87"/>
      <c r="C12177" s="87"/>
      <c r="D12177" s="87"/>
      <c r="E12177" s="87"/>
      <c r="F12177" s="87"/>
      <c r="G12177" s="87"/>
    </row>
    <row r="12178">
      <c r="A12178" s="86" t="str">
        <f>IFERROR(__xludf.DUMMYFUNCTION("""COMPUTED_VALUE"""),"")</f>
        <v/>
      </c>
      <c r="B12178" s="87"/>
      <c r="C12178" s="87"/>
      <c r="D12178" s="87"/>
      <c r="E12178" s="87"/>
      <c r="F12178" s="87"/>
      <c r="G12178" s="87"/>
    </row>
    <row r="12179">
      <c r="A12179" s="86" t="str">
        <f>IFERROR(__xludf.DUMMYFUNCTION("""COMPUTED_VALUE"""),"")</f>
        <v/>
      </c>
      <c r="B12179" s="87"/>
      <c r="C12179" s="87"/>
      <c r="D12179" s="87"/>
      <c r="E12179" s="87"/>
      <c r="F12179" s="87"/>
      <c r="G12179" s="87"/>
    </row>
    <row r="12180">
      <c r="A12180" s="86" t="str">
        <f>IFERROR(__xludf.DUMMYFUNCTION("""COMPUTED_VALUE"""),"")</f>
        <v/>
      </c>
      <c r="B12180" s="87"/>
      <c r="C12180" s="87"/>
      <c r="D12180" s="87"/>
      <c r="E12180" s="87"/>
      <c r="F12180" s="87"/>
      <c r="G12180" s="87"/>
    </row>
    <row r="12181">
      <c r="A12181" s="86" t="str">
        <f>IFERROR(__xludf.DUMMYFUNCTION("""COMPUTED_VALUE"""),"")</f>
        <v/>
      </c>
      <c r="B12181" s="87"/>
      <c r="C12181" s="87"/>
      <c r="D12181" s="87"/>
      <c r="E12181" s="87"/>
      <c r="F12181" s="87"/>
      <c r="G12181" s="87"/>
    </row>
    <row r="12182">
      <c r="A12182" s="86" t="str">
        <f>IFERROR(__xludf.DUMMYFUNCTION("""COMPUTED_VALUE"""),"")</f>
        <v/>
      </c>
      <c r="B12182" s="87"/>
      <c r="C12182" s="87"/>
      <c r="D12182" s="87"/>
      <c r="E12182" s="87"/>
      <c r="F12182" s="87"/>
      <c r="G12182" s="87"/>
    </row>
    <row r="12183">
      <c r="A12183" s="86" t="str">
        <f>IFERROR(__xludf.DUMMYFUNCTION("""COMPUTED_VALUE"""),"")</f>
        <v/>
      </c>
      <c r="B12183" s="87"/>
      <c r="C12183" s="87"/>
      <c r="D12183" s="87"/>
      <c r="E12183" s="87"/>
      <c r="F12183" s="87"/>
      <c r="G12183" s="87"/>
    </row>
    <row r="12184">
      <c r="A12184" s="86" t="str">
        <f>IFERROR(__xludf.DUMMYFUNCTION("""COMPUTED_VALUE"""),"")</f>
        <v/>
      </c>
      <c r="B12184" s="87"/>
      <c r="C12184" s="87"/>
      <c r="D12184" s="87"/>
      <c r="E12184" s="87"/>
      <c r="F12184" s="87"/>
      <c r="G12184" s="87"/>
    </row>
    <row r="12185">
      <c r="A12185" s="86" t="str">
        <f>IFERROR(__xludf.DUMMYFUNCTION("""COMPUTED_VALUE"""),"")</f>
        <v/>
      </c>
      <c r="B12185" s="87"/>
      <c r="C12185" s="87"/>
      <c r="D12185" s="87"/>
      <c r="E12185" s="87"/>
      <c r="F12185" s="87"/>
      <c r="G12185" s="87"/>
    </row>
    <row r="12186">
      <c r="A12186" s="86" t="str">
        <f>IFERROR(__xludf.DUMMYFUNCTION("""COMPUTED_VALUE"""),"")</f>
        <v/>
      </c>
      <c r="B12186" s="87"/>
      <c r="C12186" s="87"/>
      <c r="D12186" s="87"/>
      <c r="E12186" s="87"/>
      <c r="F12186" s="87"/>
      <c r="G12186" s="87"/>
    </row>
    <row r="12187">
      <c r="A12187" s="86" t="str">
        <f>IFERROR(__xludf.DUMMYFUNCTION("""COMPUTED_VALUE"""),"")</f>
        <v/>
      </c>
      <c r="B12187" s="87"/>
      <c r="C12187" s="87"/>
      <c r="D12187" s="87"/>
      <c r="E12187" s="87"/>
      <c r="F12187" s="87"/>
      <c r="G12187" s="87"/>
    </row>
    <row r="12188">
      <c r="A12188" s="86" t="str">
        <f>IFERROR(__xludf.DUMMYFUNCTION("""COMPUTED_VALUE"""),"")</f>
        <v/>
      </c>
      <c r="B12188" s="87"/>
      <c r="C12188" s="87"/>
      <c r="D12188" s="87"/>
      <c r="E12188" s="87"/>
      <c r="F12188" s="87"/>
      <c r="G12188" s="87"/>
    </row>
    <row r="12189">
      <c r="A12189" s="86" t="str">
        <f>IFERROR(__xludf.DUMMYFUNCTION("""COMPUTED_VALUE"""),"")</f>
        <v/>
      </c>
      <c r="B12189" s="87"/>
      <c r="C12189" s="87"/>
      <c r="D12189" s="87"/>
      <c r="E12189" s="87"/>
      <c r="F12189" s="87"/>
      <c r="G12189" s="87"/>
    </row>
    <row r="12190">
      <c r="A12190" s="86" t="str">
        <f>IFERROR(__xludf.DUMMYFUNCTION("""COMPUTED_VALUE"""),"")</f>
        <v/>
      </c>
      <c r="B12190" s="87"/>
      <c r="C12190" s="87"/>
      <c r="D12190" s="87"/>
      <c r="E12190" s="87"/>
      <c r="F12190" s="87"/>
      <c r="G12190" s="87"/>
    </row>
    <row r="12191">
      <c r="A12191" s="86" t="str">
        <f>IFERROR(__xludf.DUMMYFUNCTION("""COMPUTED_VALUE"""),"")</f>
        <v/>
      </c>
      <c r="B12191" s="87"/>
      <c r="C12191" s="87"/>
      <c r="D12191" s="87"/>
      <c r="E12191" s="87"/>
      <c r="F12191" s="87"/>
      <c r="G12191" s="87"/>
    </row>
    <row r="12192">
      <c r="A12192" s="86" t="str">
        <f>IFERROR(__xludf.DUMMYFUNCTION("""COMPUTED_VALUE"""),"")</f>
        <v/>
      </c>
      <c r="B12192" s="87"/>
      <c r="C12192" s="87"/>
      <c r="D12192" s="87"/>
      <c r="E12192" s="87"/>
      <c r="F12192" s="87"/>
      <c r="G12192" s="87"/>
    </row>
    <row r="12193">
      <c r="A12193" s="86" t="str">
        <f>IFERROR(__xludf.DUMMYFUNCTION("""COMPUTED_VALUE"""),"")</f>
        <v/>
      </c>
      <c r="B12193" s="87"/>
      <c r="C12193" s="87"/>
      <c r="D12193" s="87"/>
      <c r="E12193" s="87"/>
      <c r="F12193" s="87"/>
      <c r="G12193" s="87"/>
    </row>
    <row r="12194">
      <c r="A12194" s="86" t="str">
        <f>IFERROR(__xludf.DUMMYFUNCTION("""COMPUTED_VALUE"""),"")</f>
        <v/>
      </c>
      <c r="B12194" s="87"/>
      <c r="C12194" s="87"/>
      <c r="D12194" s="87"/>
      <c r="E12194" s="87"/>
      <c r="F12194" s="87"/>
      <c r="G12194" s="87"/>
    </row>
    <row r="12195">
      <c r="A12195" s="86" t="str">
        <f>IFERROR(__xludf.DUMMYFUNCTION("""COMPUTED_VALUE"""),"")</f>
        <v/>
      </c>
      <c r="B12195" s="87"/>
      <c r="C12195" s="87"/>
      <c r="D12195" s="87"/>
      <c r="E12195" s="87"/>
      <c r="F12195" s="87"/>
      <c r="G12195" s="87"/>
    </row>
    <row r="12196">
      <c r="A12196" s="86" t="str">
        <f>IFERROR(__xludf.DUMMYFUNCTION("""COMPUTED_VALUE"""),"")</f>
        <v/>
      </c>
      <c r="B12196" s="87"/>
      <c r="C12196" s="87"/>
      <c r="D12196" s="87"/>
      <c r="E12196" s="87"/>
      <c r="F12196" s="87"/>
      <c r="G12196" s="87"/>
    </row>
    <row r="12197">
      <c r="A12197" s="86" t="str">
        <f>IFERROR(__xludf.DUMMYFUNCTION("""COMPUTED_VALUE"""),"")</f>
        <v/>
      </c>
      <c r="B12197" s="87"/>
      <c r="C12197" s="87"/>
      <c r="D12197" s="87"/>
      <c r="E12197" s="87"/>
      <c r="F12197" s="87"/>
      <c r="G12197" s="87"/>
    </row>
    <row r="12198">
      <c r="A12198" s="86" t="str">
        <f>IFERROR(__xludf.DUMMYFUNCTION("""COMPUTED_VALUE"""),"")</f>
        <v/>
      </c>
      <c r="B12198" s="87"/>
      <c r="C12198" s="87"/>
      <c r="D12198" s="87"/>
      <c r="E12198" s="87"/>
      <c r="F12198" s="87"/>
      <c r="G12198" s="87"/>
    </row>
    <row r="12199">
      <c r="A12199" s="86" t="str">
        <f>IFERROR(__xludf.DUMMYFUNCTION("""COMPUTED_VALUE"""),"")</f>
        <v/>
      </c>
      <c r="B12199" s="87"/>
      <c r="C12199" s="87"/>
      <c r="D12199" s="87"/>
      <c r="E12199" s="87"/>
      <c r="F12199" s="87"/>
      <c r="G12199" s="87"/>
    </row>
    <row r="12200">
      <c r="A12200" s="86" t="str">
        <f>IFERROR(__xludf.DUMMYFUNCTION("""COMPUTED_VALUE"""),"")</f>
        <v/>
      </c>
      <c r="B12200" s="87"/>
      <c r="C12200" s="87"/>
      <c r="D12200" s="87"/>
      <c r="E12200" s="87"/>
      <c r="F12200" s="87"/>
      <c r="G12200" s="87"/>
    </row>
    <row r="12201">
      <c r="A12201" s="86" t="str">
        <f>IFERROR(__xludf.DUMMYFUNCTION("""COMPUTED_VALUE"""),"")</f>
        <v/>
      </c>
      <c r="B12201" s="87"/>
      <c r="C12201" s="87"/>
      <c r="D12201" s="87"/>
      <c r="E12201" s="87"/>
      <c r="F12201" s="87"/>
      <c r="G12201" s="87"/>
    </row>
    <row r="12202">
      <c r="A12202" s="86" t="str">
        <f>IFERROR(__xludf.DUMMYFUNCTION("""COMPUTED_VALUE"""),"")</f>
        <v/>
      </c>
      <c r="B12202" s="87"/>
      <c r="C12202" s="87"/>
      <c r="D12202" s="87"/>
      <c r="E12202" s="87"/>
      <c r="F12202" s="87"/>
      <c r="G12202" s="87"/>
    </row>
    <row r="12203">
      <c r="A12203" s="86" t="str">
        <f>IFERROR(__xludf.DUMMYFUNCTION("""COMPUTED_VALUE"""),"")</f>
        <v/>
      </c>
      <c r="B12203" s="87"/>
      <c r="C12203" s="87"/>
      <c r="D12203" s="87"/>
      <c r="E12203" s="87"/>
      <c r="F12203" s="87"/>
      <c r="G12203" s="87"/>
    </row>
    <row r="12204">
      <c r="A12204" s="86" t="str">
        <f>IFERROR(__xludf.DUMMYFUNCTION("""COMPUTED_VALUE"""),"")</f>
        <v/>
      </c>
      <c r="B12204" s="87"/>
      <c r="C12204" s="87"/>
      <c r="D12204" s="87"/>
      <c r="E12204" s="87"/>
      <c r="F12204" s="87"/>
      <c r="G12204" s="87"/>
    </row>
    <row r="12205">
      <c r="A12205" s="86" t="str">
        <f>IFERROR(__xludf.DUMMYFUNCTION("""COMPUTED_VALUE"""),"")</f>
        <v/>
      </c>
      <c r="B12205" s="87"/>
      <c r="C12205" s="87"/>
      <c r="D12205" s="87"/>
      <c r="E12205" s="87"/>
      <c r="F12205" s="87"/>
      <c r="G12205" s="87"/>
    </row>
    <row r="12206">
      <c r="A12206" s="86" t="str">
        <f>IFERROR(__xludf.DUMMYFUNCTION("""COMPUTED_VALUE"""),"")</f>
        <v/>
      </c>
      <c r="B12206" s="87"/>
      <c r="C12206" s="87"/>
      <c r="D12206" s="87"/>
      <c r="E12206" s="87"/>
      <c r="F12206" s="87"/>
      <c r="G12206" s="87"/>
    </row>
    <row r="12207">
      <c r="A12207" s="86" t="str">
        <f>IFERROR(__xludf.DUMMYFUNCTION("""COMPUTED_VALUE"""),"")</f>
        <v/>
      </c>
      <c r="B12207" s="87"/>
      <c r="C12207" s="87"/>
      <c r="D12207" s="87"/>
      <c r="E12207" s="87"/>
      <c r="F12207" s="87"/>
      <c r="G12207" s="87"/>
    </row>
    <row r="12208">
      <c r="A12208" s="86" t="str">
        <f>IFERROR(__xludf.DUMMYFUNCTION("""COMPUTED_VALUE"""),"")</f>
        <v/>
      </c>
      <c r="B12208" s="87"/>
      <c r="C12208" s="87"/>
      <c r="D12208" s="87"/>
      <c r="E12208" s="87"/>
      <c r="F12208" s="87"/>
      <c r="G12208" s="87"/>
    </row>
    <row r="12209">
      <c r="A12209" s="86" t="str">
        <f>IFERROR(__xludf.DUMMYFUNCTION("""COMPUTED_VALUE"""),"")</f>
        <v/>
      </c>
      <c r="B12209" s="87"/>
      <c r="C12209" s="87"/>
      <c r="D12209" s="87"/>
      <c r="E12209" s="87"/>
      <c r="F12209" s="87"/>
      <c r="G12209" s="87"/>
    </row>
    <row r="12210">
      <c r="A12210" s="86" t="str">
        <f>IFERROR(__xludf.DUMMYFUNCTION("""COMPUTED_VALUE"""),"")</f>
        <v/>
      </c>
      <c r="B12210" s="87"/>
      <c r="C12210" s="87"/>
      <c r="D12210" s="87"/>
      <c r="E12210" s="87"/>
      <c r="F12210" s="87"/>
      <c r="G12210" s="87"/>
    </row>
    <row r="12211">
      <c r="A12211" s="86" t="str">
        <f>IFERROR(__xludf.DUMMYFUNCTION("""COMPUTED_VALUE"""),"")</f>
        <v/>
      </c>
      <c r="B12211" s="87"/>
      <c r="C12211" s="87"/>
      <c r="D12211" s="87"/>
      <c r="E12211" s="87"/>
      <c r="F12211" s="87"/>
      <c r="G12211" s="87"/>
    </row>
    <row r="12212">
      <c r="A12212" s="86" t="str">
        <f>IFERROR(__xludf.DUMMYFUNCTION("""COMPUTED_VALUE"""),"")</f>
        <v/>
      </c>
      <c r="B12212" s="87"/>
      <c r="C12212" s="87"/>
      <c r="D12212" s="87"/>
      <c r="E12212" s="87"/>
      <c r="F12212" s="87"/>
      <c r="G12212" s="87"/>
    </row>
    <row r="12213">
      <c r="A12213" s="86" t="str">
        <f>IFERROR(__xludf.DUMMYFUNCTION("""COMPUTED_VALUE"""),"")</f>
        <v/>
      </c>
      <c r="B12213" s="87"/>
      <c r="C12213" s="87"/>
      <c r="D12213" s="87"/>
      <c r="E12213" s="87"/>
      <c r="F12213" s="87"/>
      <c r="G12213" s="87"/>
    </row>
    <row r="12214">
      <c r="A12214" s="86" t="str">
        <f>IFERROR(__xludf.DUMMYFUNCTION("""COMPUTED_VALUE"""),"")</f>
        <v/>
      </c>
      <c r="B12214" s="87"/>
      <c r="C12214" s="87"/>
      <c r="D12214" s="87"/>
      <c r="E12214" s="87"/>
      <c r="F12214" s="87"/>
      <c r="G12214" s="87"/>
    </row>
    <row r="12215">
      <c r="A12215" s="86" t="str">
        <f>IFERROR(__xludf.DUMMYFUNCTION("""COMPUTED_VALUE"""),"")</f>
        <v/>
      </c>
      <c r="B12215" s="87"/>
      <c r="C12215" s="87"/>
      <c r="D12215" s="87"/>
      <c r="E12215" s="87"/>
      <c r="F12215" s="87"/>
      <c r="G12215" s="87"/>
    </row>
    <row r="12216">
      <c r="A12216" s="86" t="str">
        <f>IFERROR(__xludf.DUMMYFUNCTION("""COMPUTED_VALUE"""),"")</f>
        <v/>
      </c>
      <c r="B12216" s="87"/>
      <c r="C12216" s="87"/>
      <c r="D12216" s="87"/>
      <c r="E12216" s="87"/>
      <c r="F12216" s="87"/>
      <c r="G12216" s="87"/>
    </row>
    <row r="12217">
      <c r="A12217" s="86" t="str">
        <f>IFERROR(__xludf.DUMMYFUNCTION("""COMPUTED_VALUE"""),"")</f>
        <v/>
      </c>
      <c r="B12217" s="87"/>
      <c r="C12217" s="87"/>
      <c r="D12217" s="87"/>
      <c r="E12217" s="87"/>
      <c r="F12217" s="87"/>
      <c r="G12217" s="87"/>
    </row>
    <row r="12218">
      <c r="A12218" s="86" t="str">
        <f>IFERROR(__xludf.DUMMYFUNCTION("""COMPUTED_VALUE"""),"")</f>
        <v/>
      </c>
      <c r="B12218" s="87"/>
      <c r="C12218" s="87"/>
      <c r="D12218" s="87"/>
      <c r="E12218" s="87"/>
      <c r="F12218" s="87"/>
      <c r="G12218" s="87"/>
    </row>
    <row r="12219">
      <c r="A12219" s="86" t="str">
        <f>IFERROR(__xludf.DUMMYFUNCTION("""COMPUTED_VALUE"""),"")</f>
        <v/>
      </c>
      <c r="B12219" s="87"/>
      <c r="C12219" s="87"/>
      <c r="D12219" s="87"/>
      <c r="E12219" s="87"/>
      <c r="F12219" s="87"/>
      <c r="G12219" s="87"/>
    </row>
    <row r="12220">
      <c r="A12220" s="86" t="str">
        <f>IFERROR(__xludf.DUMMYFUNCTION("""COMPUTED_VALUE"""),"")</f>
        <v/>
      </c>
      <c r="B12220" s="87"/>
      <c r="C12220" s="87"/>
      <c r="D12220" s="87"/>
      <c r="E12220" s="87"/>
      <c r="F12220" s="87"/>
      <c r="G12220" s="87"/>
    </row>
    <row r="12221">
      <c r="A12221" s="86" t="str">
        <f>IFERROR(__xludf.DUMMYFUNCTION("""COMPUTED_VALUE"""),"")</f>
        <v/>
      </c>
      <c r="B12221" s="87"/>
      <c r="C12221" s="87"/>
      <c r="D12221" s="87"/>
      <c r="E12221" s="87"/>
      <c r="F12221" s="87"/>
      <c r="G12221" s="87"/>
    </row>
    <row r="12222">
      <c r="A12222" s="86" t="str">
        <f>IFERROR(__xludf.DUMMYFUNCTION("""COMPUTED_VALUE"""),"")</f>
        <v/>
      </c>
      <c r="B12222" s="87"/>
      <c r="C12222" s="87"/>
      <c r="D12222" s="87"/>
      <c r="E12222" s="87"/>
      <c r="F12222" s="87"/>
      <c r="G12222" s="87"/>
    </row>
    <row r="12223">
      <c r="A12223" s="86" t="str">
        <f>IFERROR(__xludf.DUMMYFUNCTION("""COMPUTED_VALUE"""),"")</f>
        <v/>
      </c>
      <c r="B12223" s="87"/>
      <c r="C12223" s="87"/>
      <c r="D12223" s="87"/>
      <c r="E12223" s="87"/>
      <c r="F12223" s="87"/>
      <c r="G12223" s="87"/>
    </row>
    <row r="12224">
      <c r="A12224" s="86" t="str">
        <f>IFERROR(__xludf.DUMMYFUNCTION("""COMPUTED_VALUE"""),"")</f>
        <v/>
      </c>
      <c r="B12224" s="87"/>
      <c r="C12224" s="87"/>
      <c r="D12224" s="87"/>
      <c r="E12224" s="87"/>
      <c r="F12224" s="87"/>
      <c r="G12224" s="87"/>
    </row>
    <row r="12225">
      <c r="A12225" s="86" t="str">
        <f>IFERROR(__xludf.DUMMYFUNCTION("""COMPUTED_VALUE"""),"")</f>
        <v/>
      </c>
      <c r="B12225" s="87"/>
      <c r="C12225" s="87"/>
      <c r="D12225" s="87"/>
      <c r="E12225" s="87"/>
      <c r="F12225" s="87"/>
      <c r="G12225" s="87"/>
    </row>
    <row r="12226">
      <c r="A12226" s="86" t="str">
        <f>IFERROR(__xludf.DUMMYFUNCTION("""COMPUTED_VALUE"""),"")</f>
        <v/>
      </c>
      <c r="B12226" s="87"/>
      <c r="C12226" s="87"/>
      <c r="D12226" s="87"/>
      <c r="E12226" s="87"/>
      <c r="F12226" s="87"/>
      <c r="G12226" s="87"/>
    </row>
    <row r="12227">
      <c r="A12227" s="86" t="str">
        <f>IFERROR(__xludf.DUMMYFUNCTION("""COMPUTED_VALUE"""),"")</f>
        <v/>
      </c>
      <c r="B12227" s="87"/>
      <c r="C12227" s="87"/>
      <c r="D12227" s="87"/>
      <c r="E12227" s="87"/>
      <c r="F12227" s="87"/>
      <c r="G12227" s="87"/>
    </row>
    <row r="12228">
      <c r="A12228" s="86" t="str">
        <f>IFERROR(__xludf.DUMMYFUNCTION("""COMPUTED_VALUE"""),"")</f>
        <v/>
      </c>
      <c r="B12228" s="87"/>
      <c r="C12228" s="87"/>
      <c r="D12228" s="87"/>
      <c r="E12228" s="87"/>
      <c r="F12228" s="87"/>
      <c r="G12228" s="87"/>
    </row>
    <row r="12229">
      <c r="A12229" s="86" t="str">
        <f>IFERROR(__xludf.DUMMYFUNCTION("""COMPUTED_VALUE"""),"")</f>
        <v/>
      </c>
      <c r="B12229" s="87"/>
      <c r="C12229" s="87"/>
      <c r="D12229" s="87"/>
      <c r="E12229" s="87"/>
      <c r="F12229" s="87"/>
      <c r="G12229" s="87"/>
    </row>
    <row r="12230">
      <c r="A12230" s="86" t="str">
        <f>IFERROR(__xludf.DUMMYFUNCTION("""COMPUTED_VALUE"""),"")</f>
        <v/>
      </c>
      <c r="B12230" s="87"/>
      <c r="C12230" s="87"/>
      <c r="D12230" s="87"/>
      <c r="E12230" s="87"/>
      <c r="F12230" s="87"/>
      <c r="G12230" s="87"/>
    </row>
    <row r="12231">
      <c r="A12231" s="86" t="str">
        <f>IFERROR(__xludf.DUMMYFUNCTION("""COMPUTED_VALUE"""),"")</f>
        <v/>
      </c>
      <c r="B12231" s="87"/>
      <c r="C12231" s="87"/>
      <c r="D12231" s="87"/>
      <c r="E12231" s="87"/>
      <c r="F12231" s="87"/>
      <c r="G12231" s="87"/>
    </row>
    <row r="12232">
      <c r="A12232" s="86" t="str">
        <f>IFERROR(__xludf.DUMMYFUNCTION("""COMPUTED_VALUE"""),"")</f>
        <v/>
      </c>
      <c r="B12232" s="87"/>
      <c r="C12232" s="87"/>
      <c r="D12232" s="87"/>
      <c r="E12232" s="87"/>
      <c r="F12232" s="87"/>
      <c r="G12232" s="87"/>
    </row>
    <row r="12233">
      <c r="A12233" s="86" t="str">
        <f>IFERROR(__xludf.DUMMYFUNCTION("""COMPUTED_VALUE"""),"")</f>
        <v/>
      </c>
      <c r="B12233" s="87"/>
      <c r="C12233" s="87"/>
      <c r="D12233" s="87"/>
      <c r="E12233" s="87"/>
      <c r="F12233" s="87"/>
      <c r="G12233" s="87"/>
    </row>
    <row r="12234">
      <c r="A12234" s="86" t="str">
        <f>IFERROR(__xludf.DUMMYFUNCTION("""COMPUTED_VALUE"""),"")</f>
        <v/>
      </c>
      <c r="B12234" s="87"/>
      <c r="C12234" s="87"/>
      <c r="D12234" s="87"/>
      <c r="E12234" s="87"/>
      <c r="F12234" s="87"/>
      <c r="G12234" s="87"/>
    </row>
    <row r="12235">
      <c r="A12235" s="86" t="str">
        <f>IFERROR(__xludf.DUMMYFUNCTION("""COMPUTED_VALUE"""),"")</f>
        <v/>
      </c>
      <c r="B12235" s="87"/>
      <c r="C12235" s="87"/>
      <c r="D12235" s="87"/>
      <c r="E12235" s="87"/>
      <c r="F12235" s="87"/>
      <c r="G12235" s="87"/>
    </row>
    <row r="12236">
      <c r="A12236" s="86" t="str">
        <f>IFERROR(__xludf.DUMMYFUNCTION("""COMPUTED_VALUE"""),"")</f>
        <v/>
      </c>
      <c r="B12236" s="87"/>
      <c r="C12236" s="87"/>
      <c r="D12236" s="87"/>
      <c r="E12236" s="87"/>
      <c r="F12236" s="87"/>
      <c r="G12236" s="87"/>
    </row>
    <row r="12237">
      <c r="A12237" s="86" t="str">
        <f>IFERROR(__xludf.DUMMYFUNCTION("""COMPUTED_VALUE"""),"")</f>
        <v/>
      </c>
      <c r="B12237" s="87"/>
      <c r="C12237" s="87"/>
      <c r="D12237" s="87"/>
      <c r="E12237" s="87"/>
      <c r="F12237" s="87"/>
      <c r="G12237" s="87"/>
    </row>
    <row r="12238">
      <c r="A12238" s="86" t="str">
        <f>IFERROR(__xludf.DUMMYFUNCTION("""COMPUTED_VALUE"""),"")</f>
        <v/>
      </c>
      <c r="B12238" s="87"/>
      <c r="C12238" s="87"/>
      <c r="D12238" s="87"/>
      <c r="E12238" s="87"/>
      <c r="F12238" s="87"/>
      <c r="G12238" s="87"/>
    </row>
    <row r="12239">
      <c r="A12239" s="86" t="str">
        <f>IFERROR(__xludf.DUMMYFUNCTION("""COMPUTED_VALUE"""),"")</f>
        <v/>
      </c>
      <c r="B12239" s="87"/>
      <c r="C12239" s="87"/>
      <c r="D12239" s="87"/>
      <c r="E12239" s="87"/>
      <c r="F12239" s="87"/>
      <c r="G12239" s="87"/>
    </row>
    <row r="12240">
      <c r="A12240" s="86" t="str">
        <f>IFERROR(__xludf.DUMMYFUNCTION("""COMPUTED_VALUE"""),"")</f>
        <v/>
      </c>
      <c r="B12240" s="87"/>
      <c r="C12240" s="87"/>
      <c r="D12240" s="87"/>
      <c r="E12240" s="87"/>
      <c r="F12240" s="87"/>
      <c r="G12240" s="87"/>
    </row>
    <row r="12241">
      <c r="A12241" s="86" t="str">
        <f>IFERROR(__xludf.DUMMYFUNCTION("""COMPUTED_VALUE"""),"")</f>
        <v/>
      </c>
      <c r="B12241" s="87"/>
      <c r="C12241" s="87"/>
      <c r="D12241" s="87"/>
      <c r="E12241" s="87"/>
      <c r="F12241" s="87"/>
      <c r="G12241" s="87"/>
    </row>
    <row r="12242">
      <c r="A12242" s="86" t="str">
        <f>IFERROR(__xludf.DUMMYFUNCTION("""COMPUTED_VALUE"""),"")</f>
        <v/>
      </c>
      <c r="B12242" s="87"/>
      <c r="C12242" s="87"/>
      <c r="D12242" s="87"/>
      <c r="E12242" s="87"/>
      <c r="F12242" s="87"/>
      <c r="G12242" s="87"/>
    </row>
    <row r="12243">
      <c r="A12243" s="86" t="str">
        <f>IFERROR(__xludf.DUMMYFUNCTION("""COMPUTED_VALUE"""),"")</f>
        <v/>
      </c>
      <c r="B12243" s="87"/>
      <c r="C12243" s="87"/>
      <c r="D12243" s="87"/>
      <c r="E12243" s="87"/>
      <c r="F12243" s="87"/>
      <c r="G12243" s="87"/>
    </row>
    <row r="12244">
      <c r="A12244" s="86" t="str">
        <f>IFERROR(__xludf.DUMMYFUNCTION("""COMPUTED_VALUE"""),"")</f>
        <v/>
      </c>
      <c r="B12244" s="87"/>
      <c r="C12244" s="87"/>
      <c r="D12244" s="87"/>
      <c r="E12244" s="87"/>
      <c r="F12244" s="87"/>
      <c r="G12244" s="87"/>
    </row>
    <row r="12245">
      <c r="A12245" s="86" t="str">
        <f>IFERROR(__xludf.DUMMYFUNCTION("""COMPUTED_VALUE"""),"")</f>
        <v/>
      </c>
      <c r="B12245" s="87"/>
      <c r="C12245" s="87"/>
      <c r="D12245" s="87"/>
      <c r="E12245" s="87"/>
      <c r="F12245" s="87"/>
      <c r="G12245" s="87"/>
    </row>
    <row r="12246">
      <c r="A12246" s="86" t="str">
        <f>IFERROR(__xludf.DUMMYFUNCTION("""COMPUTED_VALUE"""),"")</f>
        <v/>
      </c>
      <c r="B12246" s="87"/>
      <c r="C12246" s="87"/>
      <c r="D12246" s="87"/>
      <c r="E12246" s="87"/>
      <c r="F12246" s="87"/>
      <c r="G12246" s="87"/>
    </row>
    <row r="12247">
      <c r="A12247" s="86" t="str">
        <f>IFERROR(__xludf.DUMMYFUNCTION("""COMPUTED_VALUE"""),"")</f>
        <v/>
      </c>
      <c r="B12247" s="87"/>
      <c r="C12247" s="87"/>
      <c r="D12247" s="87"/>
      <c r="E12247" s="87"/>
      <c r="F12247" s="87"/>
      <c r="G12247" s="87"/>
    </row>
    <row r="12248">
      <c r="A12248" s="86" t="str">
        <f>IFERROR(__xludf.DUMMYFUNCTION("""COMPUTED_VALUE"""),"")</f>
        <v/>
      </c>
      <c r="B12248" s="87"/>
      <c r="C12248" s="87"/>
      <c r="D12248" s="87"/>
      <c r="E12248" s="87"/>
      <c r="F12248" s="87"/>
      <c r="G12248" s="87"/>
    </row>
    <row r="12249">
      <c r="A12249" s="86" t="str">
        <f>IFERROR(__xludf.DUMMYFUNCTION("""COMPUTED_VALUE"""),"")</f>
        <v/>
      </c>
      <c r="B12249" s="87"/>
      <c r="C12249" s="87"/>
      <c r="D12249" s="87"/>
      <c r="E12249" s="87"/>
      <c r="F12249" s="87"/>
      <c r="G12249" s="87"/>
    </row>
    <row r="12250">
      <c r="A12250" s="86" t="str">
        <f>IFERROR(__xludf.DUMMYFUNCTION("""COMPUTED_VALUE"""),"")</f>
        <v/>
      </c>
      <c r="B12250" s="87"/>
      <c r="C12250" s="87"/>
      <c r="D12250" s="87"/>
      <c r="E12250" s="87"/>
      <c r="F12250" s="87"/>
      <c r="G12250" s="87"/>
    </row>
    <row r="12251">
      <c r="A12251" s="86" t="str">
        <f>IFERROR(__xludf.DUMMYFUNCTION("""COMPUTED_VALUE"""),"")</f>
        <v/>
      </c>
      <c r="B12251" s="87"/>
      <c r="C12251" s="87"/>
      <c r="D12251" s="87"/>
      <c r="E12251" s="87"/>
      <c r="F12251" s="87"/>
      <c r="G12251" s="87"/>
    </row>
    <row r="12252">
      <c r="A12252" s="86" t="str">
        <f>IFERROR(__xludf.DUMMYFUNCTION("""COMPUTED_VALUE"""),"")</f>
        <v/>
      </c>
      <c r="B12252" s="87"/>
      <c r="C12252" s="87"/>
      <c r="D12252" s="87"/>
      <c r="E12252" s="87"/>
      <c r="F12252" s="87"/>
      <c r="G12252" s="87"/>
    </row>
    <row r="12253">
      <c r="A12253" s="86" t="str">
        <f>IFERROR(__xludf.DUMMYFUNCTION("""COMPUTED_VALUE"""),"")</f>
        <v/>
      </c>
      <c r="B12253" s="87"/>
      <c r="C12253" s="87"/>
      <c r="D12253" s="87"/>
      <c r="E12253" s="87"/>
      <c r="F12253" s="87"/>
      <c r="G12253" s="87"/>
    </row>
    <row r="12254">
      <c r="A12254" s="86" t="str">
        <f>IFERROR(__xludf.DUMMYFUNCTION("""COMPUTED_VALUE"""),"")</f>
        <v/>
      </c>
      <c r="B12254" s="87"/>
      <c r="C12254" s="87"/>
      <c r="D12254" s="87"/>
      <c r="E12254" s="87"/>
      <c r="F12254" s="87"/>
      <c r="G12254" s="87"/>
    </row>
    <row r="12255">
      <c r="A12255" s="86" t="str">
        <f>IFERROR(__xludf.DUMMYFUNCTION("""COMPUTED_VALUE"""),"")</f>
        <v/>
      </c>
      <c r="B12255" s="87"/>
      <c r="C12255" s="87"/>
      <c r="D12255" s="87"/>
      <c r="E12255" s="87"/>
      <c r="F12255" s="87"/>
      <c r="G12255" s="87"/>
    </row>
    <row r="12256">
      <c r="A12256" s="86" t="str">
        <f>IFERROR(__xludf.DUMMYFUNCTION("""COMPUTED_VALUE"""),"")</f>
        <v/>
      </c>
      <c r="B12256" s="87"/>
      <c r="C12256" s="87"/>
      <c r="D12256" s="87"/>
      <c r="E12256" s="87"/>
      <c r="F12256" s="87"/>
      <c r="G12256" s="87"/>
    </row>
    <row r="12257">
      <c r="A12257" s="86" t="str">
        <f>IFERROR(__xludf.DUMMYFUNCTION("""COMPUTED_VALUE"""),"")</f>
        <v/>
      </c>
      <c r="B12257" s="87"/>
      <c r="C12257" s="87"/>
      <c r="D12257" s="87"/>
      <c r="E12257" s="87"/>
      <c r="F12257" s="87"/>
      <c r="G12257" s="87"/>
    </row>
    <row r="12258">
      <c r="A12258" s="86" t="str">
        <f>IFERROR(__xludf.DUMMYFUNCTION("""COMPUTED_VALUE"""),"")</f>
        <v/>
      </c>
      <c r="B12258" s="87"/>
      <c r="C12258" s="87"/>
      <c r="D12258" s="87"/>
      <c r="E12258" s="87"/>
      <c r="F12258" s="87"/>
      <c r="G12258" s="87"/>
    </row>
    <row r="12259">
      <c r="A12259" s="86" t="str">
        <f>IFERROR(__xludf.DUMMYFUNCTION("""COMPUTED_VALUE"""),"")</f>
        <v/>
      </c>
      <c r="B12259" s="87"/>
      <c r="C12259" s="87"/>
      <c r="D12259" s="87"/>
      <c r="E12259" s="87"/>
      <c r="F12259" s="87"/>
      <c r="G12259" s="87"/>
    </row>
    <row r="12260">
      <c r="A12260" s="86" t="str">
        <f>IFERROR(__xludf.DUMMYFUNCTION("""COMPUTED_VALUE"""),"")</f>
        <v/>
      </c>
      <c r="B12260" s="87"/>
      <c r="C12260" s="87"/>
      <c r="D12260" s="87"/>
      <c r="E12260" s="87"/>
      <c r="F12260" s="87"/>
      <c r="G12260" s="87"/>
    </row>
    <row r="12261">
      <c r="A12261" s="86" t="str">
        <f>IFERROR(__xludf.DUMMYFUNCTION("""COMPUTED_VALUE"""),"")</f>
        <v/>
      </c>
      <c r="B12261" s="87"/>
      <c r="C12261" s="87"/>
      <c r="D12261" s="87"/>
      <c r="E12261" s="87"/>
      <c r="F12261" s="87"/>
      <c r="G12261" s="87"/>
    </row>
    <row r="12262">
      <c r="A12262" s="86" t="str">
        <f>IFERROR(__xludf.DUMMYFUNCTION("""COMPUTED_VALUE"""),"")</f>
        <v/>
      </c>
      <c r="B12262" s="87"/>
      <c r="C12262" s="87"/>
      <c r="D12262" s="87"/>
      <c r="E12262" s="87"/>
      <c r="F12262" s="87"/>
      <c r="G12262" s="87"/>
    </row>
    <row r="12263">
      <c r="A12263" s="86" t="str">
        <f>IFERROR(__xludf.DUMMYFUNCTION("""COMPUTED_VALUE"""),"")</f>
        <v/>
      </c>
      <c r="B12263" s="87"/>
      <c r="C12263" s="87"/>
      <c r="D12263" s="87"/>
      <c r="E12263" s="87"/>
      <c r="F12263" s="87"/>
      <c r="G12263" s="87"/>
    </row>
    <row r="12264">
      <c r="A12264" s="86" t="str">
        <f>IFERROR(__xludf.DUMMYFUNCTION("""COMPUTED_VALUE"""),"")</f>
        <v/>
      </c>
      <c r="B12264" s="87"/>
      <c r="C12264" s="87"/>
      <c r="D12264" s="87"/>
      <c r="E12264" s="87"/>
      <c r="F12264" s="87"/>
      <c r="G12264" s="87"/>
    </row>
    <row r="12265">
      <c r="A12265" s="86" t="str">
        <f>IFERROR(__xludf.DUMMYFUNCTION("""COMPUTED_VALUE"""),"")</f>
        <v/>
      </c>
      <c r="B12265" s="87"/>
      <c r="C12265" s="87"/>
      <c r="D12265" s="87"/>
      <c r="E12265" s="87"/>
      <c r="F12265" s="87"/>
      <c r="G12265" s="87"/>
    </row>
    <row r="12266">
      <c r="A12266" s="86" t="str">
        <f>IFERROR(__xludf.DUMMYFUNCTION("""COMPUTED_VALUE"""),"")</f>
        <v/>
      </c>
      <c r="B12266" s="87"/>
      <c r="C12266" s="87"/>
      <c r="D12266" s="87"/>
      <c r="E12266" s="87"/>
      <c r="F12266" s="87"/>
      <c r="G12266" s="87"/>
    </row>
    <row r="12267">
      <c r="A12267" s="86" t="str">
        <f>IFERROR(__xludf.DUMMYFUNCTION("""COMPUTED_VALUE"""),"")</f>
        <v/>
      </c>
      <c r="B12267" s="87"/>
      <c r="C12267" s="87"/>
      <c r="D12267" s="87"/>
      <c r="E12267" s="87"/>
      <c r="F12267" s="87"/>
      <c r="G12267" s="87"/>
    </row>
    <row r="12268">
      <c r="A12268" s="86" t="str">
        <f>IFERROR(__xludf.DUMMYFUNCTION("""COMPUTED_VALUE"""),"")</f>
        <v/>
      </c>
      <c r="B12268" s="87"/>
      <c r="C12268" s="87"/>
      <c r="D12268" s="87"/>
      <c r="E12268" s="87"/>
      <c r="F12268" s="87"/>
      <c r="G12268" s="87"/>
    </row>
    <row r="12269">
      <c r="A12269" s="86" t="str">
        <f>IFERROR(__xludf.DUMMYFUNCTION("""COMPUTED_VALUE"""),"")</f>
        <v/>
      </c>
      <c r="B12269" s="87"/>
      <c r="C12269" s="87"/>
      <c r="D12269" s="87"/>
      <c r="E12269" s="87"/>
      <c r="F12269" s="87"/>
      <c r="G12269" s="87"/>
    </row>
    <row r="12270">
      <c r="A12270" s="86" t="str">
        <f>IFERROR(__xludf.DUMMYFUNCTION("""COMPUTED_VALUE"""),"")</f>
        <v/>
      </c>
      <c r="B12270" s="87"/>
      <c r="C12270" s="87"/>
      <c r="D12270" s="87"/>
      <c r="E12270" s="87"/>
      <c r="F12270" s="87"/>
      <c r="G12270" s="87"/>
    </row>
    <row r="12271">
      <c r="A12271" s="86" t="str">
        <f>IFERROR(__xludf.DUMMYFUNCTION("""COMPUTED_VALUE"""),"")</f>
        <v/>
      </c>
      <c r="B12271" s="87"/>
      <c r="C12271" s="87"/>
      <c r="D12271" s="87"/>
      <c r="E12271" s="87"/>
      <c r="F12271" s="87"/>
      <c r="G12271" s="87"/>
    </row>
    <row r="12272">
      <c r="A12272" s="86" t="str">
        <f>IFERROR(__xludf.DUMMYFUNCTION("""COMPUTED_VALUE"""),"")</f>
        <v/>
      </c>
      <c r="B12272" s="87"/>
      <c r="C12272" s="87"/>
      <c r="D12272" s="87"/>
      <c r="E12272" s="87"/>
      <c r="F12272" s="87"/>
      <c r="G12272" s="87"/>
    </row>
    <row r="12273">
      <c r="A12273" s="86" t="str">
        <f>IFERROR(__xludf.DUMMYFUNCTION("""COMPUTED_VALUE"""),"")</f>
        <v/>
      </c>
      <c r="B12273" s="87"/>
      <c r="C12273" s="87"/>
      <c r="D12273" s="87"/>
      <c r="E12273" s="87"/>
      <c r="F12273" s="87"/>
      <c r="G12273" s="87"/>
    </row>
    <row r="12274">
      <c r="A12274" s="86" t="str">
        <f>IFERROR(__xludf.DUMMYFUNCTION("""COMPUTED_VALUE"""),"")</f>
        <v/>
      </c>
      <c r="B12274" s="87"/>
      <c r="C12274" s="87"/>
      <c r="D12274" s="87"/>
      <c r="E12274" s="87"/>
      <c r="F12274" s="87"/>
      <c r="G12274" s="87"/>
    </row>
    <row r="12275">
      <c r="A12275" s="86" t="str">
        <f>IFERROR(__xludf.DUMMYFUNCTION("""COMPUTED_VALUE"""),"")</f>
        <v/>
      </c>
      <c r="B12275" s="87"/>
      <c r="C12275" s="87"/>
      <c r="D12275" s="87"/>
      <c r="E12275" s="87"/>
      <c r="F12275" s="87"/>
      <c r="G12275" s="87"/>
    </row>
    <row r="12276">
      <c r="A12276" s="86" t="str">
        <f>IFERROR(__xludf.DUMMYFUNCTION("""COMPUTED_VALUE"""),"")</f>
        <v/>
      </c>
      <c r="B12276" s="87"/>
      <c r="C12276" s="87"/>
      <c r="D12276" s="87"/>
      <c r="E12276" s="87"/>
      <c r="F12276" s="87"/>
      <c r="G12276" s="87"/>
    </row>
    <row r="12277">
      <c r="A12277" s="86" t="str">
        <f>IFERROR(__xludf.DUMMYFUNCTION("""COMPUTED_VALUE"""),"")</f>
        <v/>
      </c>
      <c r="B12277" s="87"/>
      <c r="C12277" s="87"/>
      <c r="D12277" s="87"/>
      <c r="E12277" s="87"/>
      <c r="F12277" s="87"/>
      <c r="G12277" s="87"/>
    </row>
    <row r="12278">
      <c r="A12278" s="86" t="str">
        <f>IFERROR(__xludf.DUMMYFUNCTION("""COMPUTED_VALUE"""),"")</f>
        <v/>
      </c>
      <c r="B12278" s="87"/>
      <c r="C12278" s="87"/>
      <c r="D12278" s="87"/>
      <c r="E12278" s="87"/>
      <c r="F12278" s="87"/>
      <c r="G12278" s="87"/>
    </row>
    <row r="12279">
      <c r="A12279" s="86" t="str">
        <f>IFERROR(__xludf.DUMMYFUNCTION("""COMPUTED_VALUE"""),"")</f>
        <v/>
      </c>
      <c r="B12279" s="87"/>
      <c r="C12279" s="87"/>
      <c r="D12279" s="87"/>
      <c r="E12279" s="87"/>
      <c r="F12279" s="87"/>
      <c r="G12279" s="87"/>
    </row>
    <row r="12280">
      <c r="A12280" s="86" t="str">
        <f>IFERROR(__xludf.DUMMYFUNCTION("""COMPUTED_VALUE"""),"")</f>
        <v/>
      </c>
      <c r="B12280" s="87"/>
      <c r="C12280" s="87"/>
      <c r="D12280" s="87"/>
      <c r="E12280" s="87"/>
      <c r="F12280" s="87"/>
      <c r="G12280" s="87"/>
    </row>
    <row r="12281">
      <c r="A12281" s="86" t="str">
        <f>IFERROR(__xludf.DUMMYFUNCTION("""COMPUTED_VALUE"""),"")</f>
        <v/>
      </c>
      <c r="B12281" s="87"/>
      <c r="C12281" s="87"/>
      <c r="D12281" s="87"/>
      <c r="E12281" s="87"/>
      <c r="F12281" s="87"/>
      <c r="G12281" s="87"/>
    </row>
    <row r="12282">
      <c r="A12282" s="86" t="str">
        <f>IFERROR(__xludf.DUMMYFUNCTION("""COMPUTED_VALUE"""),"")</f>
        <v/>
      </c>
      <c r="B12282" s="87"/>
      <c r="C12282" s="87"/>
      <c r="D12282" s="87"/>
      <c r="E12282" s="87"/>
      <c r="F12282" s="87"/>
      <c r="G12282" s="87"/>
    </row>
    <row r="12283">
      <c r="A12283" s="86" t="str">
        <f>IFERROR(__xludf.DUMMYFUNCTION("""COMPUTED_VALUE"""),"")</f>
        <v/>
      </c>
      <c r="B12283" s="87"/>
      <c r="C12283" s="87"/>
      <c r="D12283" s="87"/>
      <c r="E12283" s="87"/>
      <c r="F12283" s="87"/>
      <c r="G12283" s="87"/>
    </row>
    <row r="12284">
      <c r="A12284" s="86" t="str">
        <f>IFERROR(__xludf.DUMMYFUNCTION("""COMPUTED_VALUE"""),"")</f>
        <v/>
      </c>
      <c r="B12284" s="87"/>
      <c r="C12284" s="87"/>
      <c r="D12284" s="87"/>
      <c r="E12284" s="87"/>
      <c r="F12284" s="87"/>
      <c r="G12284" s="87"/>
    </row>
    <row r="12285">
      <c r="A12285" s="86" t="str">
        <f>IFERROR(__xludf.DUMMYFUNCTION("""COMPUTED_VALUE"""),"")</f>
        <v/>
      </c>
      <c r="B12285" s="87"/>
      <c r="C12285" s="87"/>
      <c r="D12285" s="87"/>
      <c r="E12285" s="87"/>
      <c r="F12285" s="87"/>
      <c r="G12285" s="87"/>
    </row>
    <row r="12286">
      <c r="A12286" s="86" t="str">
        <f>IFERROR(__xludf.DUMMYFUNCTION("""COMPUTED_VALUE"""),"")</f>
        <v/>
      </c>
      <c r="B12286" s="87"/>
      <c r="C12286" s="87"/>
      <c r="D12286" s="87"/>
      <c r="E12286" s="87"/>
      <c r="F12286" s="87"/>
      <c r="G12286" s="87"/>
    </row>
    <row r="12287">
      <c r="A12287" s="86" t="str">
        <f>IFERROR(__xludf.DUMMYFUNCTION("""COMPUTED_VALUE"""),"")</f>
        <v/>
      </c>
      <c r="B12287" s="87"/>
      <c r="C12287" s="87"/>
      <c r="D12287" s="87"/>
      <c r="E12287" s="87"/>
      <c r="F12287" s="87"/>
      <c r="G12287" s="87"/>
    </row>
    <row r="12288">
      <c r="A12288" s="86" t="str">
        <f>IFERROR(__xludf.DUMMYFUNCTION("""COMPUTED_VALUE"""),"")</f>
        <v/>
      </c>
      <c r="B12288" s="87"/>
      <c r="C12288" s="87"/>
      <c r="D12288" s="87"/>
      <c r="E12288" s="87"/>
      <c r="F12288" s="87"/>
      <c r="G12288" s="87"/>
    </row>
    <row r="12289">
      <c r="A12289" s="86" t="str">
        <f>IFERROR(__xludf.DUMMYFUNCTION("""COMPUTED_VALUE"""),"")</f>
        <v/>
      </c>
      <c r="B12289" s="87"/>
      <c r="C12289" s="87"/>
      <c r="D12289" s="87"/>
      <c r="E12289" s="87"/>
      <c r="F12289" s="87"/>
      <c r="G12289" s="87"/>
    </row>
    <row r="12290">
      <c r="A12290" s="86" t="str">
        <f>IFERROR(__xludf.DUMMYFUNCTION("""COMPUTED_VALUE"""),"")</f>
        <v/>
      </c>
      <c r="B12290" s="87"/>
      <c r="C12290" s="87"/>
      <c r="D12290" s="87"/>
      <c r="E12290" s="87"/>
      <c r="F12290" s="87"/>
      <c r="G12290" s="87"/>
    </row>
    <row r="12291">
      <c r="A12291" s="86" t="str">
        <f>IFERROR(__xludf.DUMMYFUNCTION("""COMPUTED_VALUE"""),"")</f>
        <v/>
      </c>
      <c r="B12291" s="87"/>
      <c r="C12291" s="87"/>
      <c r="D12291" s="87"/>
      <c r="E12291" s="87"/>
      <c r="F12291" s="87"/>
      <c r="G12291" s="87"/>
    </row>
    <row r="12292">
      <c r="A12292" s="86" t="str">
        <f>IFERROR(__xludf.DUMMYFUNCTION("""COMPUTED_VALUE"""),"")</f>
        <v/>
      </c>
      <c r="B12292" s="87"/>
      <c r="C12292" s="87"/>
      <c r="D12292" s="87"/>
      <c r="E12292" s="87"/>
      <c r="F12292" s="87"/>
      <c r="G12292" s="87"/>
    </row>
    <row r="12293">
      <c r="A12293" s="86" t="str">
        <f>IFERROR(__xludf.DUMMYFUNCTION("""COMPUTED_VALUE"""),"")</f>
        <v/>
      </c>
      <c r="B12293" s="87"/>
      <c r="C12293" s="87"/>
      <c r="D12293" s="87"/>
      <c r="E12293" s="87"/>
      <c r="F12293" s="87"/>
      <c r="G12293" s="87"/>
    </row>
    <row r="12294">
      <c r="A12294" s="86" t="str">
        <f>IFERROR(__xludf.DUMMYFUNCTION("""COMPUTED_VALUE"""),"")</f>
        <v/>
      </c>
      <c r="B12294" s="87"/>
      <c r="C12294" s="87"/>
      <c r="D12294" s="87"/>
      <c r="E12294" s="87"/>
      <c r="F12294" s="87"/>
      <c r="G12294" s="87"/>
    </row>
    <row r="12295">
      <c r="A12295" s="86" t="str">
        <f>IFERROR(__xludf.DUMMYFUNCTION("""COMPUTED_VALUE"""),"")</f>
        <v/>
      </c>
      <c r="B12295" s="87"/>
      <c r="C12295" s="87"/>
      <c r="D12295" s="87"/>
      <c r="E12295" s="87"/>
      <c r="F12295" s="87"/>
      <c r="G12295" s="87"/>
    </row>
    <row r="12296">
      <c r="A12296" s="86" t="str">
        <f>IFERROR(__xludf.DUMMYFUNCTION("""COMPUTED_VALUE"""),"")</f>
        <v/>
      </c>
      <c r="B12296" s="87"/>
      <c r="C12296" s="87"/>
      <c r="D12296" s="87"/>
      <c r="E12296" s="87"/>
      <c r="F12296" s="87"/>
      <c r="G12296" s="87"/>
    </row>
    <row r="12297">
      <c r="A12297" s="86" t="str">
        <f>IFERROR(__xludf.DUMMYFUNCTION("""COMPUTED_VALUE"""),"")</f>
        <v/>
      </c>
      <c r="B12297" s="87"/>
      <c r="C12297" s="87"/>
      <c r="D12297" s="87"/>
      <c r="E12297" s="87"/>
      <c r="F12297" s="87"/>
      <c r="G12297" s="87"/>
    </row>
    <row r="12298">
      <c r="A12298" s="86" t="str">
        <f>IFERROR(__xludf.DUMMYFUNCTION("""COMPUTED_VALUE"""),"")</f>
        <v/>
      </c>
      <c r="B12298" s="87"/>
      <c r="C12298" s="87"/>
      <c r="D12298" s="87"/>
      <c r="E12298" s="87"/>
      <c r="F12298" s="87"/>
      <c r="G12298" s="87"/>
    </row>
    <row r="12299">
      <c r="A12299" s="86" t="str">
        <f>IFERROR(__xludf.DUMMYFUNCTION("""COMPUTED_VALUE"""),"")</f>
        <v/>
      </c>
      <c r="B12299" s="87"/>
      <c r="C12299" s="87"/>
      <c r="D12299" s="87"/>
      <c r="E12299" s="87"/>
      <c r="F12299" s="87"/>
      <c r="G12299" s="87"/>
    </row>
    <row r="12300">
      <c r="A12300" s="86" t="str">
        <f>IFERROR(__xludf.DUMMYFUNCTION("""COMPUTED_VALUE"""),"")</f>
        <v/>
      </c>
      <c r="B12300" s="87"/>
      <c r="C12300" s="87"/>
      <c r="D12300" s="87"/>
      <c r="E12300" s="87"/>
      <c r="F12300" s="87"/>
      <c r="G12300" s="87"/>
    </row>
    <row r="12301">
      <c r="A12301" s="86" t="str">
        <f>IFERROR(__xludf.DUMMYFUNCTION("""COMPUTED_VALUE"""),"")</f>
        <v/>
      </c>
      <c r="B12301" s="87"/>
      <c r="C12301" s="87"/>
      <c r="D12301" s="87"/>
      <c r="E12301" s="87"/>
      <c r="F12301" s="87"/>
      <c r="G12301" s="87"/>
    </row>
    <row r="12302">
      <c r="A12302" s="86" t="str">
        <f>IFERROR(__xludf.DUMMYFUNCTION("""COMPUTED_VALUE"""),"")</f>
        <v/>
      </c>
      <c r="B12302" s="87"/>
      <c r="C12302" s="87"/>
      <c r="D12302" s="87"/>
      <c r="E12302" s="87"/>
      <c r="F12302" s="87"/>
      <c r="G12302" s="87"/>
    </row>
    <row r="12303">
      <c r="A12303" s="86" t="str">
        <f>IFERROR(__xludf.DUMMYFUNCTION("""COMPUTED_VALUE"""),"")</f>
        <v/>
      </c>
      <c r="B12303" s="87"/>
      <c r="C12303" s="87"/>
      <c r="D12303" s="87"/>
      <c r="E12303" s="87"/>
      <c r="F12303" s="87"/>
      <c r="G12303" s="87"/>
    </row>
    <row r="12304">
      <c r="A12304" s="86" t="str">
        <f>IFERROR(__xludf.DUMMYFUNCTION("""COMPUTED_VALUE"""),"")</f>
        <v/>
      </c>
      <c r="B12304" s="87"/>
      <c r="C12304" s="87"/>
      <c r="D12304" s="87"/>
      <c r="E12304" s="87"/>
      <c r="F12304" s="87"/>
      <c r="G12304" s="87"/>
    </row>
    <row r="12305">
      <c r="A12305" s="86" t="str">
        <f>IFERROR(__xludf.DUMMYFUNCTION("""COMPUTED_VALUE"""),"")</f>
        <v/>
      </c>
      <c r="B12305" s="87"/>
      <c r="C12305" s="87"/>
      <c r="D12305" s="87"/>
      <c r="E12305" s="87"/>
      <c r="F12305" s="87"/>
      <c r="G12305" s="87"/>
    </row>
    <row r="12306">
      <c r="A12306" s="86" t="str">
        <f>IFERROR(__xludf.DUMMYFUNCTION("""COMPUTED_VALUE"""),"")</f>
        <v/>
      </c>
      <c r="B12306" s="87"/>
      <c r="C12306" s="87"/>
      <c r="D12306" s="87"/>
      <c r="E12306" s="87"/>
      <c r="F12306" s="87"/>
      <c r="G12306" s="87"/>
    </row>
    <row r="12307">
      <c r="A12307" s="86" t="str">
        <f>IFERROR(__xludf.DUMMYFUNCTION("""COMPUTED_VALUE"""),"")</f>
        <v/>
      </c>
      <c r="B12307" s="87"/>
      <c r="C12307" s="87"/>
      <c r="D12307" s="87"/>
      <c r="E12307" s="87"/>
      <c r="F12307" s="87"/>
      <c r="G12307" s="87"/>
    </row>
    <row r="12308">
      <c r="A12308" s="86" t="str">
        <f>IFERROR(__xludf.DUMMYFUNCTION("""COMPUTED_VALUE"""),"")</f>
        <v/>
      </c>
      <c r="B12308" s="87"/>
      <c r="C12308" s="87"/>
      <c r="D12308" s="87"/>
      <c r="E12308" s="87"/>
      <c r="F12308" s="87"/>
      <c r="G12308" s="87"/>
    </row>
    <row r="12309">
      <c r="A12309" s="86" t="str">
        <f>IFERROR(__xludf.DUMMYFUNCTION("""COMPUTED_VALUE"""),"")</f>
        <v/>
      </c>
      <c r="B12309" s="87"/>
      <c r="C12309" s="87"/>
      <c r="D12309" s="87"/>
      <c r="E12309" s="87"/>
      <c r="F12309" s="87"/>
      <c r="G12309" s="87"/>
    </row>
    <row r="12310">
      <c r="A12310" s="86" t="str">
        <f>IFERROR(__xludf.DUMMYFUNCTION("""COMPUTED_VALUE"""),"")</f>
        <v/>
      </c>
      <c r="B12310" s="87"/>
      <c r="C12310" s="87"/>
      <c r="D12310" s="87"/>
      <c r="E12310" s="87"/>
      <c r="F12310" s="87"/>
      <c r="G12310" s="87"/>
    </row>
    <row r="12311">
      <c r="A12311" s="86" t="str">
        <f>IFERROR(__xludf.DUMMYFUNCTION("""COMPUTED_VALUE"""),"")</f>
        <v/>
      </c>
      <c r="B12311" s="87"/>
      <c r="C12311" s="87"/>
      <c r="D12311" s="87"/>
      <c r="E12311" s="87"/>
      <c r="F12311" s="87"/>
      <c r="G12311" s="87"/>
    </row>
    <row r="12312">
      <c r="A12312" s="86" t="str">
        <f>IFERROR(__xludf.DUMMYFUNCTION("""COMPUTED_VALUE"""),"")</f>
        <v/>
      </c>
      <c r="B12312" s="87"/>
      <c r="C12312" s="87"/>
      <c r="D12312" s="87"/>
      <c r="E12312" s="87"/>
      <c r="F12312" s="87"/>
      <c r="G12312" s="87"/>
    </row>
    <row r="12313">
      <c r="A12313" s="86" t="str">
        <f>IFERROR(__xludf.DUMMYFUNCTION("""COMPUTED_VALUE"""),"")</f>
        <v/>
      </c>
      <c r="B12313" s="87"/>
      <c r="C12313" s="87"/>
      <c r="D12313" s="87"/>
      <c r="E12313" s="87"/>
      <c r="F12313" s="87"/>
      <c r="G12313" s="87"/>
    </row>
    <row r="12314">
      <c r="A12314" s="86" t="str">
        <f>IFERROR(__xludf.DUMMYFUNCTION("""COMPUTED_VALUE"""),"")</f>
        <v/>
      </c>
      <c r="B12314" s="87"/>
      <c r="C12314" s="87"/>
      <c r="D12314" s="87"/>
      <c r="E12314" s="87"/>
      <c r="F12314" s="87"/>
      <c r="G12314" s="87"/>
    </row>
    <row r="12315">
      <c r="A12315" s="86" t="str">
        <f>IFERROR(__xludf.DUMMYFUNCTION("""COMPUTED_VALUE"""),"")</f>
        <v/>
      </c>
      <c r="B12315" s="87"/>
      <c r="C12315" s="87"/>
      <c r="D12315" s="87"/>
      <c r="E12315" s="87"/>
      <c r="F12315" s="87"/>
      <c r="G12315" s="87"/>
    </row>
    <row r="12316">
      <c r="A12316" s="86" t="str">
        <f>IFERROR(__xludf.DUMMYFUNCTION("""COMPUTED_VALUE"""),"")</f>
        <v/>
      </c>
      <c r="B12316" s="87"/>
      <c r="C12316" s="87"/>
      <c r="D12316" s="87"/>
      <c r="E12316" s="87"/>
      <c r="F12316" s="87"/>
      <c r="G12316" s="87"/>
    </row>
    <row r="12317">
      <c r="A12317" s="86" t="str">
        <f>IFERROR(__xludf.DUMMYFUNCTION("""COMPUTED_VALUE"""),"")</f>
        <v/>
      </c>
      <c r="B12317" s="87"/>
      <c r="C12317" s="87"/>
      <c r="D12317" s="87"/>
      <c r="E12317" s="87"/>
      <c r="F12317" s="87"/>
      <c r="G12317" s="87"/>
    </row>
    <row r="12318">
      <c r="A12318" s="86" t="str">
        <f>IFERROR(__xludf.DUMMYFUNCTION("""COMPUTED_VALUE"""),"")</f>
        <v/>
      </c>
      <c r="B12318" s="87"/>
      <c r="C12318" s="87"/>
      <c r="D12318" s="87"/>
      <c r="E12318" s="87"/>
      <c r="F12318" s="87"/>
      <c r="G12318" s="87"/>
    </row>
    <row r="12319">
      <c r="A12319" s="86" t="str">
        <f>IFERROR(__xludf.DUMMYFUNCTION("""COMPUTED_VALUE"""),"")</f>
        <v/>
      </c>
      <c r="B12319" s="87"/>
      <c r="C12319" s="87"/>
      <c r="D12319" s="87"/>
      <c r="E12319" s="87"/>
      <c r="F12319" s="87"/>
      <c r="G12319" s="87"/>
    </row>
    <row r="12320">
      <c r="A12320" s="86" t="str">
        <f>IFERROR(__xludf.DUMMYFUNCTION("""COMPUTED_VALUE"""),"")</f>
        <v/>
      </c>
      <c r="B12320" s="87"/>
      <c r="C12320" s="87"/>
      <c r="D12320" s="87"/>
      <c r="E12320" s="87"/>
      <c r="F12320" s="87"/>
      <c r="G12320" s="87"/>
    </row>
    <row r="12321">
      <c r="A12321" s="86" t="str">
        <f>IFERROR(__xludf.DUMMYFUNCTION("""COMPUTED_VALUE"""),"")</f>
        <v/>
      </c>
      <c r="B12321" s="87"/>
      <c r="C12321" s="87"/>
      <c r="D12321" s="87"/>
      <c r="E12321" s="87"/>
      <c r="F12321" s="87"/>
      <c r="G12321" s="87"/>
    </row>
    <row r="12322">
      <c r="A12322" s="86" t="str">
        <f>IFERROR(__xludf.DUMMYFUNCTION("""COMPUTED_VALUE"""),"")</f>
        <v/>
      </c>
      <c r="B12322" s="87"/>
      <c r="C12322" s="87"/>
      <c r="D12322" s="87"/>
      <c r="E12322" s="87"/>
      <c r="F12322" s="87"/>
      <c r="G12322" s="87"/>
    </row>
    <row r="12323">
      <c r="A12323" s="86" t="str">
        <f>IFERROR(__xludf.DUMMYFUNCTION("""COMPUTED_VALUE"""),"")</f>
        <v/>
      </c>
      <c r="B12323" s="87"/>
      <c r="C12323" s="87"/>
      <c r="D12323" s="87"/>
      <c r="E12323" s="87"/>
      <c r="F12323" s="87"/>
      <c r="G12323" s="87"/>
    </row>
    <row r="12324">
      <c r="A12324" s="86" t="str">
        <f>IFERROR(__xludf.DUMMYFUNCTION("""COMPUTED_VALUE"""),"")</f>
        <v/>
      </c>
      <c r="B12324" s="87"/>
      <c r="C12324" s="87"/>
      <c r="D12324" s="87"/>
      <c r="E12324" s="87"/>
      <c r="F12324" s="87"/>
      <c r="G12324" s="87"/>
    </row>
    <row r="12325">
      <c r="A12325" s="86" t="str">
        <f>IFERROR(__xludf.DUMMYFUNCTION("""COMPUTED_VALUE"""),"")</f>
        <v/>
      </c>
      <c r="B12325" s="87"/>
      <c r="C12325" s="87"/>
      <c r="D12325" s="87"/>
      <c r="E12325" s="87"/>
      <c r="F12325" s="87"/>
      <c r="G12325" s="87"/>
    </row>
    <row r="12326">
      <c r="A12326" s="86" t="str">
        <f>IFERROR(__xludf.DUMMYFUNCTION("""COMPUTED_VALUE"""),"")</f>
        <v/>
      </c>
      <c r="B12326" s="87"/>
      <c r="C12326" s="87"/>
      <c r="D12326" s="87"/>
      <c r="E12326" s="87"/>
      <c r="F12326" s="87"/>
      <c r="G12326" s="87"/>
    </row>
    <row r="12327">
      <c r="A12327" s="86" t="str">
        <f>IFERROR(__xludf.DUMMYFUNCTION("""COMPUTED_VALUE"""),"")</f>
        <v/>
      </c>
      <c r="B12327" s="87"/>
      <c r="C12327" s="87"/>
      <c r="D12327" s="87"/>
      <c r="E12327" s="87"/>
      <c r="F12327" s="87"/>
      <c r="G12327" s="87"/>
    </row>
    <row r="12328">
      <c r="A12328" s="86" t="str">
        <f>IFERROR(__xludf.DUMMYFUNCTION("""COMPUTED_VALUE"""),"")</f>
        <v/>
      </c>
      <c r="B12328" s="87"/>
      <c r="C12328" s="87"/>
      <c r="D12328" s="87"/>
      <c r="E12328" s="87"/>
      <c r="F12328" s="87"/>
      <c r="G12328" s="87"/>
    </row>
    <row r="12329">
      <c r="A12329" s="86" t="str">
        <f>IFERROR(__xludf.DUMMYFUNCTION("""COMPUTED_VALUE"""),"")</f>
        <v/>
      </c>
      <c r="B12329" s="87"/>
      <c r="C12329" s="87"/>
      <c r="D12329" s="87"/>
      <c r="E12329" s="87"/>
      <c r="F12329" s="87"/>
      <c r="G12329" s="87"/>
    </row>
    <row r="12330">
      <c r="A12330" s="86" t="str">
        <f>IFERROR(__xludf.DUMMYFUNCTION("""COMPUTED_VALUE"""),"")</f>
        <v/>
      </c>
      <c r="B12330" s="87"/>
      <c r="C12330" s="87"/>
      <c r="D12330" s="87"/>
      <c r="E12330" s="87"/>
      <c r="F12330" s="87"/>
      <c r="G12330" s="87"/>
    </row>
    <row r="12331">
      <c r="A12331" s="86" t="str">
        <f>IFERROR(__xludf.DUMMYFUNCTION("""COMPUTED_VALUE"""),"")</f>
        <v/>
      </c>
      <c r="B12331" s="87"/>
      <c r="C12331" s="87"/>
      <c r="D12331" s="87"/>
      <c r="E12331" s="87"/>
      <c r="F12331" s="87"/>
      <c r="G12331" s="87"/>
    </row>
    <row r="12332">
      <c r="A12332" s="86" t="str">
        <f>IFERROR(__xludf.DUMMYFUNCTION("""COMPUTED_VALUE"""),"")</f>
        <v/>
      </c>
      <c r="B12332" s="87"/>
      <c r="C12332" s="87"/>
      <c r="D12332" s="87"/>
      <c r="E12332" s="87"/>
      <c r="F12332" s="87"/>
      <c r="G12332" s="87"/>
    </row>
    <row r="12333">
      <c r="A12333" s="86" t="str">
        <f>IFERROR(__xludf.DUMMYFUNCTION("""COMPUTED_VALUE"""),"")</f>
        <v/>
      </c>
      <c r="B12333" s="87"/>
      <c r="C12333" s="87"/>
      <c r="D12333" s="87"/>
      <c r="E12333" s="87"/>
      <c r="F12333" s="87"/>
      <c r="G12333" s="87"/>
    </row>
    <row r="12334">
      <c r="A12334" s="86" t="str">
        <f>IFERROR(__xludf.DUMMYFUNCTION("""COMPUTED_VALUE"""),"")</f>
        <v/>
      </c>
      <c r="B12334" s="87"/>
      <c r="C12334" s="87"/>
      <c r="D12334" s="87"/>
      <c r="E12334" s="87"/>
      <c r="F12334" s="87"/>
      <c r="G12334" s="87"/>
    </row>
    <row r="12335">
      <c r="A12335" s="86" t="str">
        <f>IFERROR(__xludf.DUMMYFUNCTION("""COMPUTED_VALUE"""),"")</f>
        <v/>
      </c>
      <c r="B12335" s="87"/>
      <c r="C12335" s="87"/>
      <c r="D12335" s="87"/>
      <c r="E12335" s="87"/>
      <c r="F12335" s="87"/>
      <c r="G12335" s="87"/>
    </row>
    <row r="12336">
      <c r="A12336" s="86" t="str">
        <f>IFERROR(__xludf.DUMMYFUNCTION("""COMPUTED_VALUE"""),"")</f>
        <v/>
      </c>
      <c r="B12336" s="87"/>
      <c r="C12336" s="87"/>
      <c r="D12336" s="87"/>
      <c r="E12336" s="87"/>
      <c r="F12336" s="87"/>
      <c r="G12336" s="87"/>
    </row>
    <row r="12337">
      <c r="A12337" s="86" t="str">
        <f>IFERROR(__xludf.DUMMYFUNCTION("""COMPUTED_VALUE"""),"")</f>
        <v/>
      </c>
      <c r="B12337" s="87"/>
      <c r="C12337" s="87"/>
      <c r="D12337" s="87"/>
      <c r="E12337" s="87"/>
      <c r="F12337" s="87"/>
      <c r="G12337" s="87"/>
    </row>
    <row r="12338">
      <c r="A12338" s="86" t="str">
        <f>IFERROR(__xludf.DUMMYFUNCTION("""COMPUTED_VALUE"""),"")</f>
        <v/>
      </c>
      <c r="B12338" s="87"/>
      <c r="C12338" s="87"/>
      <c r="D12338" s="87"/>
      <c r="E12338" s="87"/>
      <c r="F12338" s="87"/>
      <c r="G12338" s="87"/>
    </row>
    <row r="12339">
      <c r="A12339" s="86" t="str">
        <f>IFERROR(__xludf.DUMMYFUNCTION("""COMPUTED_VALUE"""),"")</f>
        <v/>
      </c>
      <c r="B12339" s="87"/>
      <c r="C12339" s="87"/>
      <c r="D12339" s="87"/>
      <c r="E12339" s="87"/>
      <c r="F12339" s="87"/>
      <c r="G12339" s="87"/>
    </row>
    <row r="12340">
      <c r="A12340" s="86" t="str">
        <f>IFERROR(__xludf.DUMMYFUNCTION("""COMPUTED_VALUE"""),"")</f>
        <v/>
      </c>
      <c r="B12340" s="87"/>
      <c r="C12340" s="87"/>
      <c r="D12340" s="87"/>
      <c r="E12340" s="87"/>
      <c r="F12340" s="87"/>
      <c r="G12340" s="87"/>
    </row>
    <row r="12341">
      <c r="A12341" s="86" t="str">
        <f>IFERROR(__xludf.DUMMYFUNCTION("""COMPUTED_VALUE"""),"")</f>
        <v/>
      </c>
      <c r="B12341" s="87"/>
      <c r="C12341" s="87"/>
      <c r="D12341" s="87"/>
      <c r="E12341" s="87"/>
      <c r="F12341" s="87"/>
      <c r="G12341" s="87"/>
    </row>
    <row r="12342">
      <c r="A12342" s="86" t="str">
        <f>IFERROR(__xludf.DUMMYFUNCTION("""COMPUTED_VALUE"""),"")</f>
        <v/>
      </c>
      <c r="B12342" s="87"/>
      <c r="C12342" s="87"/>
      <c r="D12342" s="87"/>
      <c r="E12342" s="87"/>
      <c r="F12342" s="87"/>
      <c r="G12342" s="87"/>
    </row>
    <row r="12343">
      <c r="A12343" s="86" t="str">
        <f>IFERROR(__xludf.DUMMYFUNCTION("""COMPUTED_VALUE"""),"")</f>
        <v/>
      </c>
      <c r="B12343" s="87"/>
      <c r="C12343" s="87"/>
      <c r="D12343" s="87"/>
      <c r="E12343" s="87"/>
      <c r="F12343" s="87"/>
      <c r="G12343" s="87"/>
    </row>
    <row r="12344">
      <c r="A12344" s="86" t="str">
        <f>IFERROR(__xludf.DUMMYFUNCTION("""COMPUTED_VALUE"""),"")</f>
        <v/>
      </c>
      <c r="B12344" s="87"/>
      <c r="C12344" s="87"/>
      <c r="D12344" s="87"/>
      <c r="E12344" s="87"/>
      <c r="F12344" s="87"/>
      <c r="G12344" s="87"/>
    </row>
    <row r="12345">
      <c r="A12345" s="86" t="str">
        <f>IFERROR(__xludf.DUMMYFUNCTION("""COMPUTED_VALUE"""),"")</f>
        <v/>
      </c>
      <c r="B12345" s="87"/>
      <c r="C12345" s="87"/>
      <c r="D12345" s="87"/>
      <c r="E12345" s="87"/>
      <c r="F12345" s="87"/>
      <c r="G12345" s="87"/>
    </row>
    <row r="12346">
      <c r="A12346" s="86" t="str">
        <f>IFERROR(__xludf.DUMMYFUNCTION("""COMPUTED_VALUE"""),"")</f>
        <v/>
      </c>
      <c r="B12346" s="87"/>
      <c r="C12346" s="87"/>
      <c r="D12346" s="87"/>
      <c r="E12346" s="87"/>
      <c r="F12346" s="87"/>
      <c r="G12346" s="87"/>
    </row>
    <row r="12347">
      <c r="A12347" s="86" t="str">
        <f>IFERROR(__xludf.DUMMYFUNCTION("""COMPUTED_VALUE"""),"")</f>
        <v/>
      </c>
      <c r="B12347" s="87"/>
      <c r="C12347" s="87"/>
      <c r="D12347" s="87"/>
      <c r="E12347" s="87"/>
      <c r="F12347" s="87"/>
      <c r="G12347" s="87"/>
    </row>
    <row r="12348">
      <c r="A12348" s="86" t="str">
        <f>IFERROR(__xludf.DUMMYFUNCTION("""COMPUTED_VALUE"""),"")</f>
        <v/>
      </c>
      <c r="B12348" s="87"/>
      <c r="C12348" s="87"/>
      <c r="D12348" s="87"/>
      <c r="E12348" s="87"/>
      <c r="F12348" s="87"/>
      <c r="G12348" s="87"/>
    </row>
    <row r="12349">
      <c r="A12349" s="86" t="str">
        <f>IFERROR(__xludf.DUMMYFUNCTION("""COMPUTED_VALUE"""),"")</f>
        <v/>
      </c>
      <c r="B12349" s="87"/>
      <c r="C12349" s="87"/>
      <c r="D12349" s="87"/>
      <c r="E12349" s="87"/>
      <c r="F12349" s="87"/>
      <c r="G12349" s="87"/>
    </row>
    <row r="12350">
      <c r="A12350" s="86" t="str">
        <f>IFERROR(__xludf.DUMMYFUNCTION("""COMPUTED_VALUE"""),"")</f>
        <v/>
      </c>
      <c r="B12350" s="87"/>
      <c r="C12350" s="87"/>
      <c r="D12350" s="87"/>
      <c r="E12350" s="87"/>
      <c r="F12350" s="87"/>
      <c r="G12350" s="87"/>
    </row>
    <row r="12351">
      <c r="A12351" s="86" t="str">
        <f>IFERROR(__xludf.DUMMYFUNCTION("""COMPUTED_VALUE"""),"")</f>
        <v/>
      </c>
      <c r="B12351" s="87"/>
      <c r="C12351" s="87"/>
      <c r="D12351" s="87"/>
      <c r="E12351" s="87"/>
      <c r="F12351" s="87"/>
      <c r="G12351" s="87"/>
    </row>
    <row r="12352">
      <c r="A12352" s="86" t="str">
        <f>IFERROR(__xludf.DUMMYFUNCTION("""COMPUTED_VALUE"""),"")</f>
        <v/>
      </c>
      <c r="B12352" s="87"/>
      <c r="C12352" s="87"/>
      <c r="D12352" s="87"/>
      <c r="E12352" s="87"/>
      <c r="F12352" s="87"/>
      <c r="G12352" s="87"/>
    </row>
    <row r="12353">
      <c r="A12353" s="86" t="str">
        <f>IFERROR(__xludf.DUMMYFUNCTION("""COMPUTED_VALUE"""),"")</f>
        <v/>
      </c>
      <c r="B12353" s="87"/>
      <c r="C12353" s="87"/>
      <c r="D12353" s="87"/>
      <c r="E12353" s="87"/>
      <c r="F12353" s="87"/>
      <c r="G12353" s="87"/>
    </row>
    <row r="12354">
      <c r="A12354" s="86" t="str">
        <f>IFERROR(__xludf.DUMMYFUNCTION("""COMPUTED_VALUE"""),"")</f>
        <v/>
      </c>
      <c r="B12354" s="87"/>
      <c r="C12354" s="87"/>
      <c r="D12354" s="87"/>
      <c r="E12354" s="87"/>
      <c r="F12354" s="87"/>
      <c r="G12354" s="87"/>
    </row>
    <row r="12355">
      <c r="A12355" s="86" t="str">
        <f>IFERROR(__xludf.DUMMYFUNCTION("""COMPUTED_VALUE"""),"")</f>
        <v/>
      </c>
      <c r="B12355" s="87"/>
      <c r="C12355" s="87"/>
      <c r="D12355" s="87"/>
      <c r="E12355" s="87"/>
      <c r="F12355" s="87"/>
      <c r="G12355" s="87"/>
    </row>
    <row r="12356">
      <c r="A12356" s="86" t="str">
        <f>IFERROR(__xludf.DUMMYFUNCTION("""COMPUTED_VALUE"""),"")</f>
        <v/>
      </c>
      <c r="B12356" s="87"/>
      <c r="C12356" s="87"/>
      <c r="D12356" s="87"/>
      <c r="E12356" s="87"/>
      <c r="F12356" s="87"/>
      <c r="G12356" s="87"/>
    </row>
    <row r="12357">
      <c r="A12357" s="86" t="str">
        <f>IFERROR(__xludf.DUMMYFUNCTION("""COMPUTED_VALUE"""),"")</f>
        <v/>
      </c>
      <c r="B12357" s="87"/>
      <c r="C12357" s="87"/>
      <c r="D12357" s="87"/>
      <c r="E12357" s="87"/>
      <c r="F12357" s="87"/>
      <c r="G12357" s="87"/>
    </row>
    <row r="12358">
      <c r="A12358" s="86" t="str">
        <f>IFERROR(__xludf.DUMMYFUNCTION("""COMPUTED_VALUE"""),"")</f>
        <v/>
      </c>
      <c r="B12358" s="87"/>
      <c r="C12358" s="87"/>
      <c r="D12358" s="87"/>
      <c r="E12358" s="87"/>
      <c r="F12358" s="87"/>
      <c r="G12358" s="87"/>
    </row>
    <row r="12359">
      <c r="A12359" s="86" t="str">
        <f>IFERROR(__xludf.DUMMYFUNCTION("""COMPUTED_VALUE"""),"")</f>
        <v/>
      </c>
      <c r="B12359" s="87"/>
      <c r="C12359" s="87"/>
      <c r="D12359" s="87"/>
      <c r="E12359" s="87"/>
      <c r="F12359" s="87"/>
      <c r="G12359" s="87"/>
    </row>
    <row r="12360">
      <c r="A12360" s="86" t="str">
        <f>IFERROR(__xludf.DUMMYFUNCTION("""COMPUTED_VALUE"""),"")</f>
        <v/>
      </c>
      <c r="B12360" s="87"/>
      <c r="C12360" s="87"/>
      <c r="D12360" s="87"/>
      <c r="E12360" s="87"/>
      <c r="F12360" s="87"/>
      <c r="G12360" s="87"/>
    </row>
    <row r="12361">
      <c r="A12361" s="86" t="str">
        <f>IFERROR(__xludf.DUMMYFUNCTION("""COMPUTED_VALUE"""),"")</f>
        <v/>
      </c>
      <c r="B12361" s="87"/>
      <c r="C12361" s="87"/>
      <c r="D12361" s="87"/>
      <c r="E12361" s="87"/>
      <c r="F12361" s="87"/>
      <c r="G12361" s="87"/>
    </row>
    <row r="12362">
      <c r="A12362" s="86" t="str">
        <f>IFERROR(__xludf.DUMMYFUNCTION("""COMPUTED_VALUE"""),"")</f>
        <v/>
      </c>
      <c r="B12362" s="87"/>
      <c r="C12362" s="87"/>
      <c r="D12362" s="87"/>
      <c r="E12362" s="87"/>
      <c r="F12362" s="87"/>
      <c r="G12362" s="87"/>
    </row>
    <row r="12363">
      <c r="A12363" s="86" t="str">
        <f>IFERROR(__xludf.DUMMYFUNCTION("""COMPUTED_VALUE"""),"")</f>
        <v/>
      </c>
      <c r="B12363" s="87"/>
      <c r="C12363" s="87"/>
      <c r="D12363" s="87"/>
      <c r="E12363" s="87"/>
      <c r="F12363" s="87"/>
      <c r="G12363" s="87"/>
    </row>
    <row r="12364">
      <c r="A12364" s="86" t="str">
        <f>IFERROR(__xludf.DUMMYFUNCTION("""COMPUTED_VALUE"""),"")</f>
        <v/>
      </c>
      <c r="B12364" s="87"/>
      <c r="C12364" s="87"/>
      <c r="D12364" s="87"/>
      <c r="E12364" s="87"/>
      <c r="F12364" s="87"/>
      <c r="G12364" s="87"/>
    </row>
    <row r="12365">
      <c r="A12365" s="86" t="str">
        <f>IFERROR(__xludf.DUMMYFUNCTION("""COMPUTED_VALUE"""),"")</f>
        <v/>
      </c>
      <c r="B12365" s="87"/>
      <c r="C12365" s="87"/>
      <c r="D12365" s="87"/>
      <c r="E12365" s="87"/>
      <c r="F12365" s="87"/>
      <c r="G12365" s="87"/>
    </row>
    <row r="12366">
      <c r="A12366" s="86" t="str">
        <f>IFERROR(__xludf.DUMMYFUNCTION("""COMPUTED_VALUE"""),"")</f>
        <v/>
      </c>
      <c r="B12366" s="87"/>
      <c r="C12366" s="87"/>
      <c r="D12366" s="87"/>
      <c r="E12366" s="87"/>
      <c r="F12366" s="87"/>
      <c r="G12366" s="87"/>
    </row>
    <row r="12367">
      <c r="A12367" s="86" t="str">
        <f>IFERROR(__xludf.DUMMYFUNCTION("""COMPUTED_VALUE"""),"")</f>
        <v/>
      </c>
      <c r="B12367" s="87"/>
      <c r="C12367" s="87"/>
      <c r="D12367" s="87"/>
      <c r="E12367" s="87"/>
      <c r="F12367" s="87"/>
      <c r="G12367" s="87"/>
    </row>
    <row r="12368">
      <c r="A12368" s="86" t="str">
        <f>IFERROR(__xludf.DUMMYFUNCTION("""COMPUTED_VALUE"""),"")</f>
        <v/>
      </c>
      <c r="B12368" s="87"/>
      <c r="C12368" s="87"/>
      <c r="D12368" s="87"/>
      <c r="E12368" s="87"/>
      <c r="F12368" s="87"/>
      <c r="G12368" s="87"/>
    </row>
    <row r="12369">
      <c r="A12369" s="86" t="str">
        <f>IFERROR(__xludf.DUMMYFUNCTION("""COMPUTED_VALUE"""),"")</f>
        <v/>
      </c>
      <c r="B12369" s="87"/>
      <c r="C12369" s="87"/>
      <c r="D12369" s="87"/>
      <c r="E12369" s="87"/>
      <c r="F12369" s="87"/>
      <c r="G12369" s="87"/>
    </row>
    <row r="12370">
      <c r="A12370" s="86" t="str">
        <f>IFERROR(__xludf.DUMMYFUNCTION("""COMPUTED_VALUE"""),"")</f>
        <v/>
      </c>
      <c r="B12370" s="87"/>
      <c r="C12370" s="87"/>
      <c r="D12370" s="87"/>
      <c r="E12370" s="87"/>
      <c r="F12370" s="87"/>
      <c r="G12370" s="87"/>
    </row>
    <row r="12371">
      <c r="A12371" s="86" t="str">
        <f>IFERROR(__xludf.DUMMYFUNCTION("""COMPUTED_VALUE"""),"")</f>
        <v/>
      </c>
      <c r="B12371" s="87"/>
      <c r="C12371" s="87"/>
      <c r="D12371" s="87"/>
      <c r="E12371" s="87"/>
      <c r="F12371" s="87"/>
      <c r="G12371" s="87"/>
    </row>
    <row r="12372">
      <c r="A12372" s="86" t="str">
        <f>IFERROR(__xludf.DUMMYFUNCTION("""COMPUTED_VALUE"""),"")</f>
        <v/>
      </c>
      <c r="B12372" s="87"/>
      <c r="C12372" s="87"/>
      <c r="D12372" s="87"/>
      <c r="E12372" s="87"/>
      <c r="F12372" s="87"/>
      <c r="G12372" s="87"/>
    </row>
    <row r="12373">
      <c r="A12373" s="86" t="str">
        <f>IFERROR(__xludf.DUMMYFUNCTION("""COMPUTED_VALUE"""),"")</f>
        <v/>
      </c>
      <c r="B12373" s="87"/>
      <c r="C12373" s="87"/>
      <c r="D12373" s="87"/>
      <c r="E12373" s="87"/>
      <c r="F12373" s="87"/>
      <c r="G12373" s="87"/>
    </row>
    <row r="12374">
      <c r="A12374" s="86" t="str">
        <f>IFERROR(__xludf.DUMMYFUNCTION("""COMPUTED_VALUE"""),"")</f>
        <v/>
      </c>
      <c r="B12374" s="87"/>
      <c r="C12374" s="87"/>
      <c r="D12374" s="87"/>
      <c r="E12374" s="87"/>
      <c r="F12374" s="87"/>
      <c r="G12374" s="87"/>
    </row>
    <row r="12375">
      <c r="A12375" s="86" t="str">
        <f>IFERROR(__xludf.DUMMYFUNCTION("""COMPUTED_VALUE"""),"")</f>
        <v/>
      </c>
      <c r="B12375" s="87"/>
      <c r="C12375" s="87"/>
      <c r="D12375" s="87"/>
      <c r="E12375" s="87"/>
      <c r="F12375" s="87"/>
      <c r="G12375" s="87"/>
    </row>
    <row r="12376">
      <c r="A12376" s="86" t="str">
        <f>IFERROR(__xludf.DUMMYFUNCTION("""COMPUTED_VALUE"""),"")</f>
        <v/>
      </c>
      <c r="B12376" s="87"/>
      <c r="C12376" s="87"/>
      <c r="D12376" s="87"/>
      <c r="E12376" s="87"/>
      <c r="F12376" s="87"/>
      <c r="G12376" s="87"/>
    </row>
    <row r="12377">
      <c r="A12377" s="86" t="str">
        <f>IFERROR(__xludf.DUMMYFUNCTION("""COMPUTED_VALUE"""),"")</f>
        <v/>
      </c>
      <c r="B12377" s="87"/>
      <c r="C12377" s="87"/>
      <c r="D12377" s="87"/>
      <c r="E12377" s="87"/>
      <c r="F12377" s="87"/>
      <c r="G12377" s="87"/>
    </row>
    <row r="12378">
      <c r="A12378" s="86" t="str">
        <f>IFERROR(__xludf.DUMMYFUNCTION("""COMPUTED_VALUE"""),"")</f>
        <v/>
      </c>
      <c r="B12378" s="87"/>
      <c r="C12378" s="87"/>
      <c r="D12378" s="87"/>
      <c r="E12378" s="87"/>
      <c r="F12378" s="87"/>
      <c r="G12378" s="87"/>
    </row>
    <row r="12379">
      <c r="A12379" s="86" t="str">
        <f>IFERROR(__xludf.DUMMYFUNCTION("""COMPUTED_VALUE"""),"")</f>
        <v/>
      </c>
      <c r="B12379" s="87"/>
      <c r="C12379" s="87"/>
      <c r="D12379" s="87"/>
      <c r="E12379" s="87"/>
      <c r="F12379" s="87"/>
      <c r="G12379" s="87"/>
    </row>
    <row r="12380">
      <c r="A12380" s="86" t="str">
        <f>IFERROR(__xludf.DUMMYFUNCTION("""COMPUTED_VALUE"""),"")</f>
        <v/>
      </c>
      <c r="B12380" s="87"/>
      <c r="C12380" s="87"/>
      <c r="D12380" s="87"/>
      <c r="E12380" s="87"/>
      <c r="F12380" s="87"/>
      <c r="G12380" s="87"/>
    </row>
    <row r="12381">
      <c r="A12381" s="86" t="str">
        <f>IFERROR(__xludf.DUMMYFUNCTION("""COMPUTED_VALUE"""),"")</f>
        <v/>
      </c>
      <c r="B12381" s="87"/>
      <c r="C12381" s="87"/>
      <c r="D12381" s="87"/>
      <c r="E12381" s="87"/>
      <c r="F12381" s="87"/>
      <c r="G12381" s="87"/>
    </row>
    <row r="12382">
      <c r="A12382" s="86" t="str">
        <f>IFERROR(__xludf.DUMMYFUNCTION("""COMPUTED_VALUE"""),"")</f>
        <v/>
      </c>
      <c r="B12382" s="87"/>
      <c r="C12382" s="87"/>
      <c r="D12382" s="87"/>
      <c r="E12382" s="87"/>
      <c r="F12382" s="87"/>
      <c r="G12382" s="87"/>
    </row>
    <row r="12383">
      <c r="A12383" s="86" t="str">
        <f>IFERROR(__xludf.DUMMYFUNCTION("""COMPUTED_VALUE"""),"")</f>
        <v/>
      </c>
      <c r="B12383" s="87"/>
      <c r="C12383" s="87"/>
      <c r="D12383" s="87"/>
      <c r="E12383" s="87"/>
      <c r="F12383" s="87"/>
      <c r="G12383" s="87"/>
    </row>
    <row r="12384">
      <c r="A12384" s="86" t="str">
        <f>IFERROR(__xludf.DUMMYFUNCTION("""COMPUTED_VALUE"""),"")</f>
        <v/>
      </c>
      <c r="B12384" s="87"/>
      <c r="C12384" s="87"/>
      <c r="D12384" s="87"/>
      <c r="E12384" s="87"/>
      <c r="F12384" s="87"/>
      <c r="G12384" s="87"/>
    </row>
    <row r="12385">
      <c r="A12385" s="86" t="str">
        <f>IFERROR(__xludf.DUMMYFUNCTION("""COMPUTED_VALUE"""),"")</f>
        <v/>
      </c>
      <c r="B12385" s="87"/>
      <c r="C12385" s="87"/>
      <c r="D12385" s="87"/>
      <c r="E12385" s="87"/>
      <c r="F12385" s="87"/>
      <c r="G12385" s="87"/>
    </row>
    <row r="12386">
      <c r="A12386" s="86" t="str">
        <f>IFERROR(__xludf.DUMMYFUNCTION("""COMPUTED_VALUE"""),"")</f>
        <v/>
      </c>
      <c r="B12386" s="87"/>
      <c r="C12386" s="87"/>
      <c r="D12386" s="87"/>
      <c r="E12386" s="87"/>
      <c r="F12386" s="87"/>
      <c r="G12386" s="87"/>
    </row>
    <row r="12387">
      <c r="A12387" s="86" t="str">
        <f>IFERROR(__xludf.DUMMYFUNCTION("""COMPUTED_VALUE"""),"")</f>
        <v/>
      </c>
      <c r="B12387" s="87"/>
      <c r="C12387" s="87"/>
      <c r="D12387" s="87"/>
      <c r="E12387" s="87"/>
      <c r="F12387" s="87"/>
      <c r="G12387" s="87"/>
    </row>
    <row r="12388">
      <c r="A12388" s="86" t="str">
        <f>IFERROR(__xludf.DUMMYFUNCTION("""COMPUTED_VALUE"""),"")</f>
        <v/>
      </c>
      <c r="B12388" s="87"/>
      <c r="C12388" s="87"/>
      <c r="D12388" s="87"/>
      <c r="E12388" s="87"/>
      <c r="F12388" s="87"/>
      <c r="G12388" s="87"/>
    </row>
    <row r="12389">
      <c r="A12389" s="86" t="str">
        <f>IFERROR(__xludf.DUMMYFUNCTION("""COMPUTED_VALUE"""),"")</f>
        <v/>
      </c>
      <c r="B12389" s="87"/>
      <c r="C12389" s="87"/>
      <c r="D12389" s="87"/>
      <c r="E12389" s="87"/>
      <c r="F12389" s="87"/>
      <c r="G12389" s="87"/>
    </row>
    <row r="12390">
      <c r="A12390" s="86" t="str">
        <f>IFERROR(__xludf.DUMMYFUNCTION("""COMPUTED_VALUE"""),"")</f>
        <v/>
      </c>
      <c r="B12390" s="87"/>
      <c r="C12390" s="87"/>
      <c r="D12390" s="87"/>
      <c r="E12390" s="87"/>
      <c r="F12390" s="87"/>
      <c r="G12390" s="87"/>
    </row>
    <row r="12391">
      <c r="A12391" s="86" t="str">
        <f>IFERROR(__xludf.DUMMYFUNCTION("""COMPUTED_VALUE"""),"")</f>
        <v/>
      </c>
      <c r="B12391" s="87"/>
      <c r="C12391" s="87"/>
      <c r="D12391" s="87"/>
      <c r="E12391" s="87"/>
      <c r="F12391" s="87"/>
      <c r="G12391" s="87"/>
    </row>
    <row r="12392">
      <c r="A12392" s="86" t="str">
        <f>IFERROR(__xludf.DUMMYFUNCTION("""COMPUTED_VALUE"""),"")</f>
        <v/>
      </c>
      <c r="B12392" s="87"/>
      <c r="C12392" s="87"/>
      <c r="D12392" s="87"/>
      <c r="E12392" s="87"/>
      <c r="F12392" s="87"/>
      <c r="G12392" s="87"/>
    </row>
    <row r="12393">
      <c r="A12393" s="86" t="str">
        <f>IFERROR(__xludf.DUMMYFUNCTION("""COMPUTED_VALUE"""),"")</f>
        <v/>
      </c>
      <c r="B12393" s="87"/>
      <c r="C12393" s="87"/>
      <c r="D12393" s="87"/>
      <c r="E12393" s="87"/>
      <c r="F12393" s="87"/>
      <c r="G12393" s="87"/>
    </row>
    <row r="12394">
      <c r="A12394" s="86" t="str">
        <f>IFERROR(__xludf.DUMMYFUNCTION("""COMPUTED_VALUE"""),"")</f>
        <v/>
      </c>
      <c r="B12394" s="87"/>
      <c r="C12394" s="87"/>
      <c r="D12394" s="87"/>
      <c r="E12394" s="87"/>
      <c r="F12394" s="87"/>
      <c r="G12394" s="87"/>
    </row>
    <row r="12395">
      <c r="A12395" s="86" t="str">
        <f>IFERROR(__xludf.DUMMYFUNCTION("""COMPUTED_VALUE"""),"")</f>
        <v/>
      </c>
      <c r="B12395" s="87"/>
      <c r="C12395" s="87"/>
      <c r="D12395" s="87"/>
      <c r="E12395" s="87"/>
      <c r="F12395" s="87"/>
      <c r="G12395" s="87"/>
    </row>
    <row r="12396">
      <c r="A12396" s="86" t="str">
        <f>IFERROR(__xludf.DUMMYFUNCTION("""COMPUTED_VALUE"""),"")</f>
        <v/>
      </c>
      <c r="B12396" s="87"/>
      <c r="C12396" s="87"/>
      <c r="D12396" s="87"/>
      <c r="E12396" s="87"/>
      <c r="F12396" s="87"/>
      <c r="G12396" s="87"/>
    </row>
    <row r="12397">
      <c r="A12397" s="86" t="str">
        <f>IFERROR(__xludf.DUMMYFUNCTION("""COMPUTED_VALUE"""),"")</f>
        <v/>
      </c>
      <c r="B12397" s="87"/>
      <c r="C12397" s="87"/>
      <c r="D12397" s="87"/>
      <c r="E12397" s="87"/>
      <c r="F12397" s="87"/>
      <c r="G12397" s="87"/>
    </row>
    <row r="12398">
      <c r="A12398" s="86" t="str">
        <f>IFERROR(__xludf.DUMMYFUNCTION("""COMPUTED_VALUE"""),"")</f>
        <v/>
      </c>
      <c r="B12398" s="87"/>
      <c r="C12398" s="87"/>
      <c r="D12398" s="87"/>
      <c r="E12398" s="87"/>
      <c r="F12398" s="87"/>
      <c r="G12398" s="87"/>
    </row>
    <row r="12399">
      <c r="A12399" s="86" t="str">
        <f>IFERROR(__xludf.DUMMYFUNCTION("""COMPUTED_VALUE"""),"")</f>
        <v/>
      </c>
      <c r="B12399" s="87"/>
      <c r="C12399" s="87"/>
      <c r="D12399" s="87"/>
      <c r="E12399" s="87"/>
      <c r="F12399" s="87"/>
      <c r="G12399" s="87"/>
    </row>
    <row r="12400">
      <c r="A12400" s="86" t="str">
        <f>IFERROR(__xludf.DUMMYFUNCTION("""COMPUTED_VALUE"""),"")</f>
        <v/>
      </c>
      <c r="B12400" s="87"/>
      <c r="C12400" s="87"/>
      <c r="D12400" s="87"/>
      <c r="E12400" s="87"/>
      <c r="F12400" s="87"/>
      <c r="G12400" s="87"/>
    </row>
    <row r="12401">
      <c r="A12401" s="86" t="str">
        <f>IFERROR(__xludf.DUMMYFUNCTION("""COMPUTED_VALUE"""),"")</f>
        <v/>
      </c>
      <c r="B12401" s="87"/>
      <c r="C12401" s="87"/>
      <c r="D12401" s="87"/>
      <c r="E12401" s="87"/>
      <c r="F12401" s="87"/>
      <c r="G12401" s="87"/>
    </row>
    <row r="12402">
      <c r="A12402" s="86" t="str">
        <f>IFERROR(__xludf.DUMMYFUNCTION("""COMPUTED_VALUE"""),"")</f>
        <v/>
      </c>
      <c r="B12402" s="87"/>
      <c r="C12402" s="87"/>
      <c r="D12402" s="87"/>
      <c r="E12402" s="87"/>
      <c r="F12402" s="87"/>
      <c r="G12402" s="87"/>
    </row>
    <row r="12403">
      <c r="A12403" s="86" t="str">
        <f>IFERROR(__xludf.DUMMYFUNCTION("""COMPUTED_VALUE"""),"")</f>
        <v/>
      </c>
      <c r="B12403" s="87"/>
      <c r="C12403" s="87"/>
      <c r="D12403" s="87"/>
      <c r="E12403" s="87"/>
      <c r="F12403" s="87"/>
      <c r="G12403" s="87"/>
    </row>
    <row r="12404">
      <c r="A12404" s="86" t="str">
        <f>IFERROR(__xludf.DUMMYFUNCTION("""COMPUTED_VALUE"""),"")</f>
        <v/>
      </c>
      <c r="B12404" s="87"/>
      <c r="C12404" s="87"/>
      <c r="D12404" s="87"/>
      <c r="E12404" s="87"/>
      <c r="F12404" s="87"/>
      <c r="G12404" s="87"/>
    </row>
    <row r="12405">
      <c r="A12405" s="86" t="str">
        <f>IFERROR(__xludf.DUMMYFUNCTION("""COMPUTED_VALUE"""),"")</f>
        <v/>
      </c>
      <c r="B12405" s="87"/>
      <c r="C12405" s="87"/>
      <c r="D12405" s="87"/>
      <c r="E12405" s="87"/>
      <c r="F12405" s="87"/>
      <c r="G12405" s="87"/>
    </row>
    <row r="12406">
      <c r="A12406" s="86" t="str">
        <f>IFERROR(__xludf.DUMMYFUNCTION("""COMPUTED_VALUE"""),"")</f>
        <v/>
      </c>
      <c r="B12406" s="87"/>
      <c r="C12406" s="87"/>
      <c r="D12406" s="87"/>
      <c r="E12406" s="87"/>
      <c r="F12406" s="87"/>
      <c r="G12406" s="87"/>
    </row>
    <row r="12407">
      <c r="A12407" s="86" t="str">
        <f>IFERROR(__xludf.DUMMYFUNCTION("""COMPUTED_VALUE"""),"")</f>
        <v/>
      </c>
      <c r="B12407" s="87"/>
      <c r="C12407" s="87"/>
      <c r="D12407" s="87"/>
      <c r="E12407" s="87"/>
      <c r="F12407" s="87"/>
      <c r="G12407" s="87"/>
    </row>
    <row r="12408">
      <c r="A12408" s="86" t="str">
        <f>IFERROR(__xludf.DUMMYFUNCTION("""COMPUTED_VALUE"""),"")</f>
        <v/>
      </c>
      <c r="B12408" s="87"/>
      <c r="C12408" s="87"/>
      <c r="D12408" s="87"/>
      <c r="E12408" s="87"/>
      <c r="F12408" s="87"/>
      <c r="G12408" s="87"/>
    </row>
    <row r="12409">
      <c r="A12409" s="86" t="str">
        <f>IFERROR(__xludf.DUMMYFUNCTION("""COMPUTED_VALUE"""),"")</f>
        <v/>
      </c>
      <c r="B12409" s="87"/>
      <c r="C12409" s="87"/>
      <c r="D12409" s="87"/>
      <c r="E12409" s="87"/>
      <c r="F12409" s="87"/>
      <c r="G12409" s="87"/>
    </row>
    <row r="12410">
      <c r="A12410" s="86" t="str">
        <f>IFERROR(__xludf.DUMMYFUNCTION("""COMPUTED_VALUE"""),"")</f>
        <v/>
      </c>
      <c r="B12410" s="87"/>
      <c r="C12410" s="87"/>
      <c r="D12410" s="87"/>
      <c r="E12410" s="87"/>
      <c r="F12410" s="87"/>
      <c r="G12410" s="87"/>
    </row>
    <row r="12411">
      <c r="A12411" s="86" t="str">
        <f>IFERROR(__xludf.DUMMYFUNCTION("""COMPUTED_VALUE"""),"")</f>
        <v/>
      </c>
      <c r="B12411" s="87"/>
      <c r="C12411" s="87"/>
      <c r="D12411" s="87"/>
      <c r="E12411" s="87"/>
      <c r="F12411" s="87"/>
      <c r="G12411" s="87"/>
    </row>
    <row r="12412">
      <c r="A12412" s="86" t="str">
        <f>IFERROR(__xludf.DUMMYFUNCTION("""COMPUTED_VALUE"""),"")</f>
        <v/>
      </c>
      <c r="B12412" s="87"/>
      <c r="C12412" s="87"/>
      <c r="D12412" s="87"/>
      <c r="E12412" s="87"/>
      <c r="F12412" s="87"/>
      <c r="G12412" s="87"/>
    </row>
    <row r="12413">
      <c r="A12413" s="86" t="str">
        <f>IFERROR(__xludf.DUMMYFUNCTION("""COMPUTED_VALUE"""),"")</f>
        <v/>
      </c>
      <c r="B12413" s="87"/>
      <c r="C12413" s="87"/>
      <c r="D12413" s="87"/>
      <c r="E12413" s="87"/>
      <c r="F12413" s="87"/>
      <c r="G12413" s="87"/>
    </row>
    <row r="12414">
      <c r="A12414" s="86" t="str">
        <f>IFERROR(__xludf.DUMMYFUNCTION("""COMPUTED_VALUE"""),"")</f>
        <v/>
      </c>
      <c r="B12414" s="87"/>
      <c r="C12414" s="87"/>
      <c r="D12414" s="87"/>
      <c r="E12414" s="87"/>
      <c r="F12414" s="87"/>
      <c r="G12414" s="87"/>
    </row>
    <row r="12415">
      <c r="A12415" s="86" t="str">
        <f>IFERROR(__xludf.DUMMYFUNCTION("""COMPUTED_VALUE"""),"")</f>
        <v/>
      </c>
      <c r="B12415" s="87"/>
      <c r="C12415" s="87"/>
      <c r="D12415" s="87"/>
      <c r="E12415" s="87"/>
      <c r="F12415" s="87"/>
      <c r="G12415" s="87"/>
    </row>
    <row r="12416">
      <c r="A12416" s="86" t="str">
        <f>IFERROR(__xludf.DUMMYFUNCTION("""COMPUTED_VALUE"""),"")</f>
        <v/>
      </c>
      <c r="B12416" s="87"/>
      <c r="C12416" s="87"/>
      <c r="D12416" s="87"/>
      <c r="E12416" s="87"/>
      <c r="F12416" s="87"/>
      <c r="G12416" s="87"/>
    </row>
    <row r="12417">
      <c r="A12417" s="86" t="str">
        <f>IFERROR(__xludf.DUMMYFUNCTION("""COMPUTED_VALUE"""),"")</f>
        <v/>
      </c>
      <c r="B12417" s="87"/>
      <c r="C12417" s="87"/>
      <c r="D12417" s="87"/>
      <c r="E12417" s="87"/>
      <c r="F12417" s="87"/>
      <c r="G12417" s="87"/>
    </row>
    <row r="12418">
      <c r="A12418" s="86" t="str">
        <f>IFERROR(__xludf.DUMMYFUNCTION("""COMPUTED_VALUE"""),"")</f>
        <v/>
      </c>
      <c r="B12418" s="87"/>
      <c r="C12418" s="87"/>
      <c r="D12418" s="87"/>
      <c r="E12418" s="87"/>
      <c r="F12418" s="87"/>
      <c r="G12418" s="87"/>
    </row>
    <row r="12419">
      <c r="A12419" s="86" t="str">
        <f>IFERROR(__xludf.DUMMYFUNCTION("""COMPUTED_VALUE"""),"")</f>
        <v/>
      </c>
      <c r="B12419" s="87"/>
      <c r="C12419" s="87"/>
      <c r="D12419" s="87"/>
      <c r="E12419" s="87"/>
      <c r="F12419" s="87"/>
      <c r="G12419" s="87"/>
    </row>
    <row r="12420">
      <c r="A12420" s="86" t="str">
        <f>IFERROR(__xludf.DUMMYFUNCTION("""COMPUTED_VALUE"""),"")</f>
        <v/>
      </c>
      <c r="B12420" s="87"/>
      <c r="C12420" s="87"/>
      <c r="D12420" s="87"/>
      <c r="E12420" s="87"/>
      <c r="F12420" s="87"/>
      <c r="G12420" s="87"/>
    </row>
    <row r="12421">
      <c r="A12421" s="86" t="str">
        <f>IFERROR(__xludf.DUMMYFUNCTION("""COMPUTED_VALUE"""),"")</f>
        <v/>
      </c>
      <c r="B12421" s="87"/>
      <c r="C12421" s="87"/>
      <c r="D12421" s="87"/>
      <c r="E12421" s="87"/>
      <c r="F12421" s="87"/>
      <c r="G12421" s="87"/>
    </row>
    <row r="12422">
      <c r="A12422" s="86" t="str">
        <f>IFERROR(__xludf.DUMMYFUNCTION("""COMPUTED_VALUE"""),"")</f>
        <v/>
      </c>
      <c r="B12422" s="87"/>
      <c r="C12422" s="87"/>
      <c r="D12422" s="87"/>
      <c r="E12422" s="87"/>
      <c r="F12422" s="87"/>
      <c r="G12422" s="87"/>
    </row>
    <row r="12423">
      <c r="A12423" s="86" t="str">
        <f>IFERROR(__xludf.DUMMYFUNCTION("""COMPUTED_VALUE"""),"")</f>
        <v/>
      </c>
      <c r="B12423" s="87"/>
      <c r="C12423" s="87"/>
      <c r="D12423" s="87"/>
      <c r="E12423" s="87"/>
      <c r="F12423" s="87"/>
      <c r="G12423" s="87"/>
    </row>
    <row r="12424">
      <c r="A12424" s="86" t="str">
        <f>IFERROR(__xludf.DUMMYFUNCTION("""COMPUTED_VALUE"""),"")</f>
        <v/>
      </c>
      <c r="B12424" s="87"/>
      <c r="C12424" s="87"/>
      <c r="D12424" s="87"/>
      <c r="E12424" s="87"/>
      <c r="F12424" s="87"/>
      <c r="G12424" s="87"/>
    </row>
    <row r="12425">
      <c r="A12425" s="86" t="str">
        <f>IFERROR(__xludf.DUMMYFUNCTION("""COMPUTED_VALUE"""),"")</f>
        <v/>
      </c>
      <c r="B12425" s="87"/>
      <c r="C12425" s="87"/>
      <c r="D12425" s="87"/>
      <c r="E12425" s="87"/>
      <c r="F12425" s="87"/>
      <c r="G12425" s="87"/>
    </row>
    <row r="12426">
      <c r="A12426" s="86" t="str">
        <f>IFERROR(__xludf.DUMMYFUNCTION("""COMPUTED_VALUE"""),"")</f>
        <v/>
      </c>
      <c r="B12426" s="87"/>
      <c r="C12426" s="87"/>
      <c r="D12426" s="87"/>
      <c r="E12426" s="87"/>
      <c r="F12426" s="87"/>
      <c r="G12426" s="87"/>
    </row>
    <row r="12427">
      <c r="A12427" s="86" t="str">
        <f>IFERROR(__xludf.DUMMYFUNCTION("""COMPUTED_VALUE"""),"")</f>
        <v/>
      </c>
      <c r="B12427" s="87"/>
      <c r="C12427" s="87"/>
      <c r="D12427" s="87"/>
      <c r="E12427" s="87"/>
      <c r="F12427" s="87"/>
      <c r="G12427" s="87"/>
    </row>
    <row r="12428">
      <c r="A12428" s="86" t="str">
        <f>IFERROR(__xludf.DUMMYFUNCTION("""COMPUTED_VALUE"""),"")</f>
        <v/>
      </c>
      <c r="B12428" s="87"/>
      <c r="C12428" s="87"/>
      <c r="D12428" s="87"/>
      <c r="E12428" s="87"/>
      <c r="F12428" s="87"/>
      <c r="G12428" s="87"/>
    </row>
    <row r="12429">
      <c r="A12429" s="86" t="str">
        <f>IFERROR(__xludf.DUMMYFUNCTION("""COMPUTED_VALUE"""),"")</f>
        <v/>
      </c>
      <c r="B12429" s="87"/>
      <c r="C12429" s="87"/>
      <c r="D12429" s="87"/>
      <c r="E12429" s="87"/>
      <c r="F12429" s="87"/>
      <c r="G12429" s="87"/>
    </row>
    <row r="12430">
      <c r="A12430" s="86" t="str">
        <f>IFERROR(__xludf.DUMMYFUNCTION("""COMPUTED_VALUE"""),"")</f>
        <v/>
      </c>
      <c r="B12430" s="87"/>
      <c r="C12430" s="87"/>
      <c r="D12430" s="87"/>
      <c r="E12430" s="87"/>
      <c r="F12430" s="87"/>
      <c r="G12430" s="87"/>
    </row>
    <row r="12431">
      <c r="A12431" s="86" t="str">
        <f>IFERROR(__xludf.DUMMYFUNCTION("""COMPUTED_VALUE"""),"")</f>
        <v/>
      </c>
      <c r="B12431" s="87"/>
      <c r="C12431" s="87"/>
      <c r="D12431" s="87"/>
      <c r="E12431" s="87"/>
      <c r="F12431" s="87"/>
      <c r="G12431" s="87"/>
    </row>
    <row r="12432">
      <c r="A12432" s="86" t="str">
        <f>IFERROR(__xludf.DUMMYFUNCTION("""COMPUTED_VALUE"""),"")</f>
        <v/>
      </c>
      <c r="B12432" s="87"/>
      <c r="C12432" s="87"/>
      <c r="D12432" s="87"/>
      <c r="E12432" s="87"/>
      <c r="F12432" s="87"/>
      <c r="G12432" s="87"/>
    </row>
    <row r="12433">
      <c r="A12433" s="86" t="str">
        <f>IFERROR(__xludf.DUMMYFUNCTION("""COMPUTED_VALUE"""),"")</f>
        <v/>
      </c>
      <c r="B12433" s="87"/>
      <c r="C12433" s="87"/>
      <c r="D12433" s="87"/>
      <c r="E12433" s="87"/>
      <c r="F12433" s="87"/>
      <c r="G12433" s="87"/>
    </row>
    <row r="12434">
      <c r="A12434" s="86" t="str">
        <f>IFERROR(__xludf.DUMMYFUNCTION("""COMPUTED_VALUE"""),"")</f>
        <v/>
      </c>
      <c r="B12434" s="87"/>
      <c r="C12434" s="87"/>
      <c r="D12434" s="87"/>
      <c r="E12434" s="87"/>
      <c r="F12434" s="87"/>
      <c r="G12434" s="87"/>
    </row>
    <row r="12435">
      <c r="A12435" s="86" t="str">
        <f>IFERROR(__xludf.DUMMYFUNCTION("""COMPUTED_VALUE"""),"")</f>
        <v/>
      </c>
      <c r="B12435" s="87"/>
      <c r="C12435" s="87"/>
      <c r="D12435" s="87"/>
      <c r="E12435" s="87"/>
      <c r="F12435" s="87"/>
      <c r="G12435" s="87"/>
    </row>
    <row r="12436">
      <c r="A12436" s="86" t="str">
        <f>IFERROR(__xludf.DUMMYFUNCTION("""COMPUTED_VALUE"""),"")</f>
        <v/>
      </c>
      <c r="B12436" s="87"/>
      <c r="C12436" s="87"/>
      <c r="D12436" s="87"/>
      <c r="E12436" s="87"/>
      <c r="F12436" s="87"/>
      <c r="G12436" s="87"/>
    </row>
    <row r="12437">
      <c r="A12437" s="86" t="str">
        <f>IFERROR(__xludf.DUMMYFUNCTION("""COMPUTED_VALUE"""),"")</f>
        <v/>
      </c>
      <c r="B12437" s="87"/>
      <c r="C12437" s="87"/>
      <c r="D12437" s="87"/>
      <c r="E12437" s="87"/>
      <c r="F12437" s="87"/>
      <c r="G12437" s="87"/>
    </row>
    <row r="12438">
      <c r="A12438" s="86" t="str">
        <f>IFERROR(__xludf.DUMMYFUNCTION("""COMPUTED_VALUE"""),"")</f>
        <v/>
      </c>
      <c r="B12438" s="87"/>
      <c r="C12438" s="87"/>
      <c r="D12438" s="87"/>
      <c r="E12438" s="87"/>
      <c r="F12438" s="87"/>
      <c r="G12438" s="87"/>
    </row>
    <row r="12439">
      <c r="A12439" s="86" t="str">
        <f>IFERROR(__xludf.DUMMYFUNCTION("""COMPUTED_VALUE"""),"")</f>
        <v/>
      </c>
      <c r="B12439" s="87"/>
      <c r="C12439" s="87"/>
      <c r="D12439" s="87"/>
      <c r="E12439" s="87"/>
      <c r="F12439" s="87"/>
      <c r="G12439" s="87"/>
    </row>
    <row r="12440">
      <c r="A12440" s="86" t="str">
        <f>IFERROR(__xludf.DUMMYFUNCTION("""COMPUTED_VALUE"""),"")</f>
        <v/>
      </c>
      <c r="B12440" s="87"/>
      <c r="C12440" s="87"/>
      <c r="D12440" s="87"/>
      <c r="E12440" s="87"/>
      <c r="F12440" s="87"/>
      <c r="G12440" s="87"/>
    </row>
    <row r="12441">
      <c r="A12441" s="86" t="str">
        <f>IFERROR(__xludf.DUMMYFUNCTION("""COMPUTED_VALUE"""),"")</f>
        <v/>
      </c>
      <c r="B12441" s="87"/>
      <c r="C12441" s="87"/>
      <c r="D12441" s="87"/>
      <c r="E12441" s="87"/>
      <c r="F12441" s="87"/>
      <c r="G12441" s="87"/>
    </row>
    <row r="12442">
      <c r="A12442" s="86" t="str">
        <f>IFERROR(__xludf.DUMMYFUNCTION("""COMPUTED_VALUE"""),"")</f>
        <v/>
      </c>
      <c r="B12442" s="87"/>
      <c r="C12442" s="87"/>
      <c r="D12442" s="87"/>
      <c r="E12442" s="87"/>
      <c r="F12442" s="87"/>
      <c r="G12442" s="87"/>
    </row>
    <row r="12443">
      <c r="A12443" s="86" t="str">
        <f>IFERROR(__xludf.DUMMYFUNCTION("""COMPUTED_VALUE"""),"")</f>
        <v/>
      </c>
      <c r="B12443" s="87"/>
      <c r="C12443" s="87"/>
      <c r="D12443" s="87"/>
      <c r="E12443" s="87"/>
      <c r="F12443" s="87"/>
      <c r="G12443" s="87"/>
    </row>
    <row r="12444">
      <c r="A12444" s="86" t="str">
        <f>IFERROR(__xludf.DUMMYFUNCTION("""COMPUTED_VALUE"""),"")</f>
        <v/>
      </c>
      <c r="B12444" s="87"/>
      <c r="C12444" s="87"/>
      <c r="D12444" s="87"/>
      <c r="E12444" s="87"/>
      <c r="F12444" s="87"/>
      <c r="G12444" s="87"/>
    </row>
    <row r="12445">
      <c r="A12445" s="86" t="str">
        <f>IFERROR(__xludf.DUMMYFUNCTION("""COMPUTED_VALUE"""),"")</f>
        <v/>
      </c>
      <c r="B12445" s="87"/>
      <c r="C12445" s="87"/>
      <c r="D12445" s="87"/>
      <c r="E12445" s="87"/>
      <c r="F12445" s="87"/>
      <c r="G12445" s="87"/>
    </row>
    <row r="12446">
      <c r="A12446" s="86" t="str">
        <f>IFERROR(__xludf.DUMMYFUNCTION("""COMPUTED_VALUE"""),"")</f>
        <v/>
      </c>
      <c r="B12446" s="87"/>
      <c r="C12446" s="87"/>
      <c r="D12446" s="87"/>
      <c r="E12446" s="87"/>
      <c r="F12446" s="87"/>
      <c r="G12446" s="87"/>
    </row>
    <row r="12447">
      <c r="A12447" s="86" t="str">
        <f>IFERROR(__xludf.DUMMYFUNCTION("""COMPUTED_VALUE"""),"")</f>
        <v/>
      </c>
      <c r="B12447" s="87"/>
      <c r="C12447" s="87"/>
      <c r="D12447" s="87"/>
      <c r="E12447" s="87"/>
      <c r="F12447" s="87"/>
      <c r="G12447" s="87"/>
    </row>
    <row r="12448">
      <c r="A12448" s="86" t="str">
        <f>IFERROR(__xludf.DUMMYFUNCTION("""COMPUTED_VALUE"""),"")</f>
        <v/>
      </c>
      <c r="B12448" s="87"/>
      <c r="C12448" s="87"/>
      <c r="D12448" s="87"/>
      <c r="E12448" s="87"/>
      <c r="F12448" s="87"/>
      <c r="G12448" s="87"/>
    </row>
    <row r="12449">
      <c r="A12449" s="86" t="str">
        <f>IFERROR(__xludf.DUMMYFUNCTION("""COMPUTED_VALUE"""),"")</f>
        <v/>
      </c>
      <c r="B12449" s="87"/>
      <c r="C12449" s="87"/>
      <c r="D12449" s="87"/>
      <c r="E12449" s="87"/>
      <c r="F12449" s="87"/>
      <c r="G12449" s="87"/>
    </row>
    <row r="12450">
      <c r="A12450" s="86" t="str">
        <f>IFERROR(__xludf.DUMMYFUNCTION("""COMPUTED_VALUE"""),"")</f>
        <v/>
      </c>
      <c r="B12450" s="87"/>
      <c r="C12450" s="87"/>
      <c r="D12450" s="87"/>
      <c r="E12450" s="87"/>
      <c r="F12450" s="87"/>
      <c r="G12450" s="87"/>
    </row>
    <row r="12451">
      <c r="A12451" s="86" t="str">
        <f>IFERROR(__xludf.DUMMYFUNCTION("""COMPUTED_VALUE"""),"")</f>
        <v/>
      </c>
      <c r="B12451" s="87"/>
      <c r="C12451" s="87"/>
      <c r="D12451" s="87"/>
      <c r="E12451" s="87"/>
      <c r="F12451" s="87"/>
      <c r="G12451" s="87"/>
    </row>
    <row r="12452">
      <c r="A12452" s="86" t="str">
        <f>IFERROR(__xludf.DUMMYFUNCTION("""COMPUTED_VALUE"""),"")</f>
        <v/>
      </c>
      <c r="B12452" s="87"/>
      <c r="C12452" s="87"/>
      <c r="D12452" s="87"/>
      <c r="E12452" s="87"/>
      <c r="F12452" s="87"/>
      <c r="G12452" s="87"/>
    </row>
    <row r="12453">
      <c r="A12453" s="86" t="str">
        <f>IFERROR(__xludf.DUMMYFUNCTION("""COMPUTED_VALUE"""),"")</f>
        <v/>
      </c>
      <c r="B12453" s="87"/>
      <c r="C12453" s="87"/>
      <c r="D12453" s="87"/>
      <c r="E12453" s="87"/>
      <c r="F12453" s="87"/>
      <c r="G12453" s="87"/>
    </row>
    <row r="12454">
      <c r="A12454" s="86" t="str">
        <f>IFERROR(__xludf.DUMMYFUNCTION("""COMPUTED_VALUE"""),"")</f>
        <v/>
      </c>
      <c r="B12454" s="87"/>
      <c r="C12454" s="87"/>
      <c r="D12454" s="87"/>
      <c r="E12454" s="87"/>
      <c r="F12454" s="87"/>
      <c r="G12454" s="87"/>
    </row>
    <row r="12455">
      <c r="A12455" s="86" t="str">
        <f>IFERROR(__xludf.DUMMYFUNCTION("""COMPUTED_VALUE"""),"")</f>
        <v/>
      </c>
      <c r="B12455" s="87"/>
      <c r="C12455" s="87"/>
      <c r="D12455" s="87"/>
      <c r="E12455" s="87"/>
      <c r="F12455" s="87"/>
      <c r="G12455" s="87"/>
    </row>
    <row r="12456">
      <c r="A12456" s="86" t="str">
        <f>IFERROR(__xludf.DUMMYFUNCTION("""COMPUTED_VALUE"""),"")</f>
        <v/>
      </c>
      <c r="B12456" s="87"/>
      <c r="C12456" s="87"/>
      <c r="D12456" s="87"/>
      <c r="E12456" s="87"/>
      <c r="F12456" s="87"/>
      <c r="G12456" s="87"/>
    </row>
    <row r="12457">
      <c r="A12457" s="86" t="str">
        <f>IFERROR(__xludf.DUMMYFUNCTION("""COMPUTED_VALUE"""),"")</f>
        <v/>
      </c>
      <c r="B12457" s="87"/>
      <c r="C12457" s="87"/>
      <c r="D12457" s="87"/>
      <c r="E12457" s="87"/>
      <c r="F12457" s="87"/>
      <c r="G12457" s="87"/>
    </row>
    <row r="12458">
      <c r="A12458" s="86" t="str">
        <f>IFERROR(__xludf.DUMMYFUNCTION("""COMPUTED_VALUE"""),"")</f>
        <v/>
      </c>
      <c r="B12458" s="87"/>
      <c r="C12458" s="87"/>
      <c r="D12458" s="87"/>
      <c r="E12458" s="87"/>
      <c r="F12458" s="87"/>
      <c r="G12458" s="87"/>
    </row>
    <row r="12459">
      <c r="A12459" s="86" t="str">
        <f>IFERROR(__xludf.DUMMYFUNCTION("""COMPUTED_VALUE"""),"")</f>
        <v/>
      </c>
      <c r="B12459" s="87"/>
      <c r="C12459" s="87"/>
      <c r="D12459" s="87"/>
      <c r="E12459" s="87"/>
      <c r="F12459" s="87"/>
      <c r="G12459" s="87"/>
    </row>
    <row r="12460">
      <c r="A12460" s="86" t="str">
        <f>IFERROR(__xludf.DUMMYFUNCTION("""COMPUTED_VALUE"""),"")</f>
        <v/>
      </c>
      <c r="B12460" s="87"/>
      <c r="C12460" s="87"/>
      <c r="D12460" s="87"/>
      <c r="E12460" s="87"/>
      <c r="F12460" s="87"/>
      <c r="G12460" s="87"/>
    </row>
    <row r="12461">
      <c r="A12461" s="86" t="str">
        <f>IFERROR(__xludf.DUMMYFUNCTION("""COMPUTED_VALUE"""),"")</f>
        <v/>
      </c>
      <c r="B12461" s="87"/>
      <c r="C12461" s="87"/>
      <c r="D12461" s="87"/>
      <c r="E12461" s="87"/>
      <c r="F12461" s="87"/>
      <c r="G12461" s="87"/>
    </row>
    <row r="12462">
      <c r="A12462" s="86" t="str">
        <f>IFERROR(__xludf.DUMMYFUNCTION("""COMPUTED_VALUE"""),"")</f>
        <v/>
      </c>
      <c r="B12462" s="87"/>
      <c r="C12462" s="87"/>
      <c r="D12462" s="87"/>
      <c r="E12462" s="87"/>
      <c r="F12462" s="87"/>
      <c r="G12462" s="87"/>
    </row>
    <row r="12463">
      <c r="A12463" s="86" t="str">
        <f>IFERROR(__xludf.DUMMYFUNCTION("""COMPUTED_VALUE"""),"")</f>
        <v/>
      </c>
      <c r="B12463" s="87"/>
      <c r="C12463" s="87"/>
      <c r="D12463" s="87"/>
      <c r="E12463" s="87"/>
      <c r="F12463" s="87"/>
      <c r="G12463" s="87"/>
    </row>
    <row r="12464">
      <c r="A12464" s="86" t="str">
        <f>IFERROR(__xludf.DUMMYFUNCTION("""COMPUTED_VALUE"""),"")</f>
        <v/>
      </c>
      <c r="B12464" s="87"/>
      <c r="C12464" s="87"/>
      <c r="D12464" s="87"/>
      <c r="E12464" s="87"/>
      <c r="F12464" s="87"/>
      <c r="G12464" s="87"/>
    </row>
    <row r="12465">
      <c r="A12465" s="86" t="str">
        <f>IFERROR(__xludf.DUMMYFUNCTION("""COMPUTED_VALUE"""),"")</f>
        <v/>
      </c>
      <c r="B12465" s="87"/>
      <c r="C12465" s="87"/>
      <c r="D12465" s="87"/>
      <c r="E12465" s="87"/>
      <c r="F12465" s="87"/>
      <c r="G12465" s="87"/>
    </row>
    <row r="12466">
      <c r="A12466" s="86" t="str">
        <f>IFERROR(__xludf.DUMMYFUNCTION("""COMPUTED_VALUE"""),"")</f>
        <v/>
      </c>
      <c r="B12466" s="87"/>
      <c r="C12466" s="87"/>
      <c r="D12466" s="87"/>
      <c r="E12466" s="87"/>
      <c r="F12466" s="87"/>
      <c r="G12466" s="87"/>
    </row>
    <row r="12467">
      <c r="A12467" s="86" t="str">
        <f>IFERROR(__xludf.DUMMYFUNCTION("""COMPUTED_VALUE"""),"")</f>
        <v/>
      </c>
      <c r="B12467" s="87"/>
      <c r="C12467" s="87"/>
      <c r="D12467" s="87"/>
      <c r="E12467" s="87"/>
      <c r="F12467" s="87"/>
      <c r="G12467" s="87"/>
    </row>
    <row r="12468">
      <c r="A12468" s="86" t="str">
        <f>IFERROR(__xludf.DUMMYFUNCTION("""COMPUTED_VALUE"""),"")</f>
        <v/>
      </c>
      <c r="B12468" s="87"/>
      <c r="C12468" s="87"/>
      <c r="D12468" s="87"/>
      <c r="E12468" s="87"/>
      <c r="F12468" s="87"/>
      <c r="G12468" s="87"/>
    </row>
    <row r="12469">
      <c r="A12469" s="86" t="str">
        <f>IFERROR(__xludf.DUMMYFUNCTION("""COMPUTED_VALUE"""),"")</f>
        <v/>
      </c>
      <c r="B12469" s="87"/>
      <c r="C12469" s="87"/>
      <c r="D12469" s="87"/>
      <c r="E12469" s="87"/>
      <c r="F12469" s="87"/>
      <c r="G12469" s="87"/>
    </row>
    <row r="12470">
      <c r="A12470" s="86" t="str">
        <f>IFERROR(__xludf.DUMMYFUNCTION("""COMPUTED_VALUE"""),"")</f>
        <v/>
      </c>
      <c r="B12470" s="87"/>
      <c r="C12470" s="87"/>
      <c r="D12470" s="87"/>
      <c r="E12470" s="87"/>
      <c r="F12470" s="87"/>
      <c r="G12470" s="87"/>
    </row>
    <row r="12471">
      <c r="A12471" s="86" t="str">
        <f>IFERROR(__xludf.DUMMYFUNCTION("""COMPUTED_VALUE"""),"")</f>
        <v/>
      </c>
      <c r="B12471" s="87"/>
      <c r="C12471" s="87"/>
      <c r="D12471" s="87"/>
      <c r="E12471" s="87"/>
      <c r="F12471" s="87"/>
      <c r="G12471" s="87"/>
    </row>
    <row r="12472">
      <c r="A12472" s="86" t="str">
        <f>IFERROR(__xludf.DUMMYFUNCTION("""COMPUTED_VALUE"""),"")</f>
        <v/>
      </c>
      <c r="B12472" s="87"/>
      <c r="C12472" s="87"/>
      <c r="D12472" s="87"/>
      <c r="E12472" s="87"/>
      <c r="F12472" s="87"/>
      <c r="G12472" s="87"/>
    </row>
    <row r="12473">
      <c r="A12473" s="86" t="str">
        <f>IFERROR(__xludf.DUMMYFUNCTION("""COMPUTED_VALUE"""),"")</f>
        <v/>
      </c>
      <c r="B12473" s="87"/>
      <c r="C12473" s="87"/>
      <c r="D12473" s="87"/>
      <c r="E12473" s="87"/>
      <c r="F12473" s="87"/>
      <c r="G12473" s="87"/>
    </row>
    <row r="12474">
      <c r="A12474" s="86" t="str">
        <f>IFERROR(__xludf.DUMMYFUNCTION("""COMPUTED_VALUE"""),"")</f>
        <v/>
      </c>
      <c r="B12474" s="87"/>
      <c r="C12474" s="87"/>
      <c r="D12474" s="87"/>
      <c r="E12474" s="87"/>
      <c r="F12474" s="87"/>
      <c r="G12474" s="87"/>
    </row>
    <row r="12475">
      <c r="A12475" s="86" t="str">
        <f>IFERROR(__xludf.DUMMYFUNCTION("""COMPUTED_VALUE"""),"")</f>
        <v/>
      </c>
      <c r="B12475" s="87"/>
      <c r="C12475" s="87"/>
      <c r="D12475" s="87"/>
      <c r="E12475" s="87"/>
      <c r="F12475" s="87"/>
      <c r="G12475" s="87"/>
    </row>
    <row r="12476">
      <c r="A12476" s="86" t="str">
        <f>IFERROR(__xludf.DUMMYFUNCTION("""COMPUTED_VALUE"""),"")</f>
        <v/>
      </c>
      <c r="B12476" s="87"/>
      <c r="C12476" s="87"/>
      <c r="D12476" s="87"/>
      <c r="E12476" s="87"/>
      <c r="F12476" s="87"/>
      <c r="G12476" s="87"/>
    </row>
    <row r="12477">
      <c r="A12477" s="86" t="str">
        <f>IFERROR(__xludf.DUMMYFUNCTION("""COMPUTED_VALUE"""),"")</f>
        <v/>
      </c>
      <c r="B12477" s="87"/>
      <c r="C12477" s="87"/>
      <c r="D12477" s="87"/>
      <c r="E12477" s="87"/>
      <c r="F12477" s="87"/>
      <c r="G12477" s="87"/>
    </row>
    <row r="12478">
      <c r="A12478" s="86" t="str">
        <f>IFERROR(__xludf.DUMMYFUNCTION("""COMPUTED_VALUE"""),"")</f>
        <v/>
      </c>
      <c r="B12478" s="87"/>
      <c r="C12478" s="87"/>
      <c r="D12478" s="87"/>
      <c r="E12478" s="87"/>
      <c r="F12478" s="87"/>
      <c r="G12478" s="87"/>
    </row>
    <row r="12479">
      <c r="A12479" s="86" t="str">
        <f>IFERROR(__xludf.DUMMYFUNCTION("""COMPUTED_VALUE"""),"")</f>
        <v/>
      </c>
      <c r="B12479" s="87"/>
      <c r="C12479" s="87"/>
      <c r="D12479" s="87"/>
      <c r="E12479" s="87"/>
      <c r="F12479" s="87"/>
      <c r="G12479" s="87"/>
    </row>
    <row r="12480">
      <c r="A12480" s="86" t="str">
        <f>IFERROR(__xludf.DUMMYFUNCTION("""COMPUTED_VALUE"""),"")</f>
        <v/>
      </c>
      <c r="B12480" s="87"/>
      <c r="C12480" s="87"/>
      <c r="D12480" s="87"/>
      <c r="E12480" s="87"/>
      <c r="F12480" s="87"/>
      <c r="G12480" s="87"/>
    </row>
    <row r="12481">
      <c r="A12481" s="86" t="str">
        <f>IFERROR(__xludf.DUMMYFUNCTION("""COMPUTED_VALUE"""),"")</f>
        <v/>
      </c>
      <c r="B12481" s="87"/>
      <c r="C12481" s="87"/>
      <c r="D12481" s="87"/>
      <c r="E12481" s="87"/>
      <c r="F12481" s="87"/>
      <c r="G12481" s="87"/>
    </row>
    <row r="12482">
      <c r="A12482" s="86" t="str">
        <f>IFERROR(__xludf.DUMMYFUNCTION("""COMPUTED_VALUE"""),"")</f>
        <v/>
      </c>
      <c r="B12482" s="87"/>
      <c r="C12482" s="87"/>
      <c r="D12482" s="87"/>
      <c r="E12482" s="87"/>
      <c r="F12482" s="87"/>
      <c r="G12482" s="87"/>
    </row>
    <row r="12483">
      <c r="A12483" s="86" t="str">
        <f>IFERROR(__xludf.DUMMYFUNCTION("""COMPUTED_VALUE"""),"")</f>
        <v/>
      </c>
      <c r="B12483" s="87"/>
      <c r="C12483" s="87"/>
      <c r="D12483" s="87"/>
      <c r="E12483" s="87"/>
      <c r="F12483" s="87"/>
      <c r="G12483" s="87"/>
    </row>
    <row r="12484">
      <c r="A12484" s="86" t="str">
        <f>IFERROR(__xludf.DUMMYFUNCTION("""COMPUTED_VALUE"""),"")</f>
        <v/>
      </c>
      <c r="B12484" s="87"/>
      <c r="C12484" s="87"/>
      <c r="D12484" s="87"/>
      <c r="E12484" s="87"/>
      <c r="F12484" s="87"/>
      <c r="G12484" s="87"/>
    </row>
    <row r="12485">
      <c r="A12485" s="86" t="str">
        <f>IFERROR(__xludf.DUMMYFUNCTION("""COMPUTED_VALUE"""),"")</f>
        <v/>
      </c>
      <c r="B12485" s="87"/>
      <c r="C12485" s="87"/>
      <c r="D12485" s="87"/>
      <c r="E12485" s="87"/>
      <c r="F12485" s="87"/>
      <c r="G12485" s="87"/>
    </row>
    <row r="12486">
      <c r="A12486" s="86" t="str">
        <f>IFERROR(__xludf.DUMMYFUNCTION("""COMPUTED_VALUE"""),"")</f>
        <v/>
      </c>
      <c r="B12486" s="87"/>
      <c r="C12486" s="87"/>
      <c r="D12486" s="87"/>
      <c r="E12486" s="87"/>
      <c r="F12486" s="87"/>
      <c r="G12486" s="87"/>
    </row>
    <row r="12487">
      <c r="A12487" s="86" t="str">
        <f>IFERROR(__xludf.DUMMYFUNCTION("""COMPUTED_VALUE"""),"")</f>
        <v/>
      </c>
      <c r="B12487" s="87"/>
      <c r="C12487" s="87"/>
      <c r="D12487" s="87"/>
      <c r="E12487" s="87"/>
      <c r="F12487" s="87"/>
      <c r="G12487" s="87"/>
    </row>
    <row r="12488">
      <c r="A12488" s="86" t="str">
        <f>IFERROR(__xludf.DUMMYFUNCTION("""COMPUTED_VALUE"""),"")</f>
        <v/>
      </c>
      <c r="B12488" s="87"/>
      <c r="C12488" s="87"/>
      <c r="D12488" s="87"/>
      <c r="E12488" s="87"/>
      <c r="F12488" s="87"/>
      <c r="G12488" s="87"/>
    </row>
    <row r="12489">
      <c r="A12489" s="86" t="str">
        <f>IFERROR(__xludf.DUMMYFUNCTION("""COMPUTED_VALUE"""),"")</f>
        <v/>
      </c>
      <c r="B12489" s="87"/>
      <c r="C12489" s="87"/>
      <c r="D12489" s="87"/>
      <c r="E12489" s="87"/>
      <c r="F12489" s="87"/>
      <c r="G12489" s="87"/>
    </row>
    <row r="12490">
      <c r="A12490" s="86" t="str">
        <f>IFERROR(__xludf.DUMMYFUNCTION("""COMPUTED_VALUE"""),"")</f>
        <v/>
      </c>
      <c r="B12490" s="87"/>
      <c r="C12490" s="87"/>
      <c r="D12490" s="87"/>
      <c r="E12490" s="87"/>
      <c r="F12490" s="87"/>
      <c r="G12490" s="87"/>
    </row>
    <row r="12491">
      <c r="A12491" s="86" t="str">
        <f>IFERROR(__xludf.DUMMYFUNCTION("""COMPUTED_VALUE"""),"")</f>
        <v/>
      </c>
      <c r="B12491" s="87"/>
      <c r="C12491" s="87"/>
      <c r="D12491" s="87"/>
      <c r="E12491" s="87"/>
      <c r="F12491" s="87"/>
      <c r="G12491" s="87"/>
    </row>
    <row r="12492">
      <c r="A12492" s="86" t="str">
        <f>IFERROR(__xludf.DUMMYFUNCTION("""COMPUTED_VALUE"""),"")</f>
        <v/>
      </c>
      <c r="B12492" s="87"/>
      <c r="C12492" s="87"/>
      <c r="D12492" s="87"/>
      <c r="E12492" s="87"/>
      <c r="F12492" s="87"/>
      <c r="G12492" s="87"/>
    </row>
    <row r="12493">
      <c r="A12493" s="86" t="str">
        <f>IFERROR(__xludf.DUMMYFUNCTION("""COMPUTED_VALUE"""),"")</f>
        <v/>
      </c>
      <c r="B12493" s="87"/>
      <c r="C12493" s="87"/>
      <c r="D12493" s="87"/>
      <c r="E12493" s="87"/>
      <c r="F12493" s="87"/>
      <c r="G12493" s="87"/>
    </row>
    <row r="12494">
      <c r="A12494" s="86" t="str">
        <f>IFERROR(__xludf.DUMMYFUNCTION("""COMPUTED_VALUE"""),"")</f>
        <v/>
      </c>
      <c r="B12494" s="87"/>
      <c r="C12494" s="87"/>
      <c r="D12494" s="87"/>
      <c r="E12494" s="87"/>
      <c r="F12494" s="87"/>
      <c r="G12494" s="87"/>
    </row>
    <row r="12495">
      <c r="A12495" s="86" t="str">
        <f>IFERROR(__xludf.DUMMYFUNCTION("""COMPUTED_VALUE"""),"")</f>
        <v/>
      </c>
      <c r="B12495" s="87"/>
      <c r="C12495" s="87"/>
      <c r="D12495" s="87"/>
      <c r="E12495" s="87"/>
      <c r="F12495" s="87"/>
      <c r="G12495" s="87"/>
    </row>
    <row r="12496">
      <c r="A12496" s="86" t="str">
        <f>IFERROR(__xludf.DUMMYFUNCTION("""COMPUTED_VALUE"""),"")</f>
        <v/>
      </c>
      <c r="B12496" s="87"/>
      <c r="C12496" s="87"/>
      <c r="D12496" s="87"/>
      <c r="E12496" s="87"/>
      <c r="F12496" s="87"/>
      <c r="G12496" s="87"/>
    </row>
    <row r="12497">
      <c r="A12497" s="86" t="str">
        <f>IFERROR(__xludf.DUMMYFUNCTION("""COMPUTED_VALUE"""),"")</f>
        <v/>
      </c>
      <c r="B12497" s="87"/>
      <c r="C12497" s="87"/>
      <c r="D12497" s="87"/>
      <c r="E12497" s="87"/>
      <c r="F12497" s="87"/>
      <c r="G12497" s="87"/>
    </row>
    <row r="12498">
      <c r="A12498" s="86" t="str">
        <f>IFERROR(__xludf.DUMMYFUNCTION("""COMPUTED_VALUE"""),"")</f>
        <v/>
      </c>
      <c r="B12498" s="87"/>
      <c r="C12498" s="87"/>
      <c r="D12498" s="87"/>
      <c r="E12498" s="87"/>
      <c r="F12498" s="87"/>
      <c r="G12498" s="87"/>
    </row>
    <row r="12499">
      <c r="A12499" s="86" t="str">
        <f>IFERROR(__xludf.DUMMYFUNCTION("""COMPUTED_VALUE"""),"")</f>
        <v/>
      </c>
      <c r="B12499" s="87"/>
      <c r="C12499" s="87"/>
      <c r="D12499" s="87"/>
      <c r="E12499" s="87"/>
      <c r="F12499" s="87"/>
      <c r="G12499" s="87"/>
    </row>
    <row r="12500">
      <c r="A12500" s="86" t="str">
        <f>IFERROR(__xludf.DUMMYFUNCTION("""COMPUTED_VALUE"""),"")</f>
        <v/>
      </c>
      <c r="B12500" s="87"/>
      <c r="C12500" s="87"/>
      <c r="D12500" s="87"/>
      <c r="E12500" s="87"/>
      <c r="F12500" s="87"/>
      <c r="G12500" s="87"/>
    </row>
    <row r="12501">
      <c r="A12501" s="86" t="str">
        <f>IFERROR(__xludf.DUMMYFUNCTION("""COMPUTED_VALUE"""),"")</f>
        <v/>
      </c>
      <c r="B12501" s="87"/>
      <c r="C12501" s="87"/>
      <c r="D12501" s="87"/>
      <c r="E12501" s="87"/>
      <c r="F12501" s="87"/>
      <c r="G12501" s="87"/>
    </row>
    <row r="12502">
      <c r="A12502" s="86" t="str">
        <f>IFERROR(__xludf.DUMMYFUNCTION("""COMPUTED_VALUE"""),"")</f>
        <v/>
      </c>
      <c r="B12502" s="87"/>
      <c r="C12502" s="87"/>
      <c r="D12502" s="87"/>
      <c r="E12502" s="87"/>
      <c r="F12502" s="87"/>
      <c r="G12502" s="87"/>
    </row>
    <row r="12503">
      <c r="A12503" s="86" t="str">
        <f>IFERROR(__xludf.DUMMYFUNCTION("""COMPUTED_VALUE"""),"")</f>
        <v/>
      </c>
      <c r="B12503" s="87"/>
      <c r="C12503" s="87"/>
      <c r="D12503" s="87"/>
      <c r="E12503" s="87"/>
      <c r="F12503" s="87"/>
      <c r="G12503" s="87"/>
    </row>
    <row r="12504">
      <c r="A12504" s="86" t="str">
        <f>IFERROR(__xludf.DUMMYFUNCTION("""COMPUTED_VALUE"""),"")</f>
        <v/>
      </c>
      <c r="B12504" s="87"/>
      <c r="C12504" s="87"/>
      <c r="D12504" s="87"/>
      <c r="E12504" s="87"/>
      <c r="F12504" s="87"/>
      <c r="G12504" s="87"/>
    </row>
    <row r="12505">
      <c r="A12505" s="86" t="str">
        <f>IFERROR(__xludf.DUMMYFUNCTION("""COMPUTED_VALUE"""),"")</f>
        <v/>
      </c>
      <c r="B12505" s="87"/>
      <c r="C12505" s="87"/>
      <c r="D12505" s="87"/>
      <c r="E12505" s="87"/>
      <c r="F12505" s="87"/>
      <c r="G12505" s="87"/>
    </row>
    <row r="12506">
      <c r="A12506" s="86" t="str">
        <f>IFERROR(__xludf.DUMMYFUNCTION("""COMPUTED_VALUE"""),"")</f>
        <v/>
      </c>
      <c r="B12506" s="87"/>
      <c r="C12506" s="87"/>
      <c r="D12506" s="87"/>
      <c r="E12506" s="87"/>
      <c r="F12506" s="87"/>
      <c r="G12506" s="87"/>
    </row>
    <row r="12507">
      <c r="A12507" s="86" t="str">
        <f>IFERROR(__xludf.DUMMYFUNCTION("""COMPUTED_VALUE"""),"")</f>
        <v/>
      </c>
      <c r="B12507" s="87"/>
      <c r="C12507" s="87"/>
      <c r="D12507" s="87"/>
      <c r="E12507" s="87"/>
      <c r="F12507" s="87"/>
      <c r="G12507" s="87"/>
    </row>
    <row r="12508">
      <c r="A12508" s="86" t="str">
        <f>IFERROR(__xludf.DUMMYFUNCTION("""COMPUTED_VALUE"""),"")</f>
        <v/>
      </c>
      <c r="B12508" s="87"/>
      <c r="C12508" s="87"/>
      <c r="D12508" s="87"/>
      <c r="E12508" s="87"/>
      <c r="F12508" s="87"/>
      <c r="G12508" s="87"/>
    </row>
    <row r="12509">
      <c r="A12509" s="86" t="str">
        <f>IFERROR(__xludf.DUMMYFUNCTION("""COMPUTED_VALUE"""),"")</f>
        <v/>
      </c>
      <c r="B12509" s="87"/>
      <c r="C12509" s="87"/>
      <c r="D12509" s="87"/>
      <c r="E12509" s="87"/>
      <c r="F12509" s="87"/>
      <c r="G12509" s="87"/>
    </row>
    <row r="12510">
      <c r="A12510" s="86" t="str">
        <f>IFERROR(__xludf.DUMMYFUNCTION("""COMPUTED_VALUE"""),"")</f>
        <v/>
      </c>
      <c r="B12510" s="87"/>
      <c r="C12510" s="87"/>
      <c r="D12510" s="87"/>
      <c r="E12510" s="87"/>
      <c r="F12510" s="87"/>
      <c r="G12510" s="87"/>
    </row>
    <row r="12511">
      <c r="A12511" s="86" t="str">
        <f>IFERROR(__xludf.DUMMYFUNCTION("""COMPUTED_VALUE"""),"")</f>
        <v/>
      </c>
      <c r="B12511" s="87"/>
      <c r="C12511" s="87"/>
      <c r="D12511" s="87"/>
      <c r="E12511" s="87"/>
      <c r="F12511" s="87"/>
      <c r="G12511" s="87"/>
    </row>
    <row r="12512">
      <c r="A12512" s="86" t="str">
        <f>IFERROR(__xludf.DUMMYFUNCTION("""COMPUTED_VALUE"""),"")</f>
        <v/>
      </c>
      <c r="B12512" s="87"/>
      <c r="C12512" s="87"/>
      <c r="D12512" s="87"/>
      <c r="E12512" s="87"/>
      <c r="F12512" s="87"/>
      <c r="G12512" s="87"/>
    </row>
    <row r="12513">
      <c r="A12513" s="86" t="str">
        <f>IFERROR(__xludf.DUMMYFUNCTION("""COMPUTED_VALUE"""),"")</f>
        <v/>
      </c>
      <c r="B12513" s="87"/>
      <c r="C12513" s="87"/>
      <c r="D12513" s="87"/>
      <c r="E12513" s="87"/>
      <c r="F12513" s="87"/>
      <c r="G12513" s="87"/>
    </row>
    <row r="12514">
      <c r="A12514" s="86" t="str">
        <f>IFERROR(__xludf.DUMMYFUNCTION("""COMPUTED_VALUE"""),"")</f>
        <v/>
      </c>
      <c r="B12514" s="87"/>
      <c r="C12514" s="87"/>
      <c r="D12514" s="87"/>
      <c r="E12514" s="87"/>
      <c r="F12514" s="87"/>
      <c r="G12514" s="87"/>
    </row>
    <row r="12515">
      <c r="A12515" s="86" t="str">
        <f>IFERROR(__xludf.DUMMYFUNCTION("""COMPUTED_VALUE"""),"")</f>
        <v/>
      </c>
      <c r="B12515" s="87"/>
      <c r="C12515" s="87"/>
      <c r="D12515" s="87"/>
      <c r="E12515" s="87"/>
      <c r="F12515" s="87"/>
      <c r="G12515" s="87"/>
    </row>
    <row r="12516">
      <c r="A12516" s="86" t="str">
        <f>IFERROR(__xludf.DUMMYFUNCTION("""COMPUTED_VALUE"""),"")</f>
        <v/>
      </c>
      <c r="B12516" s="87"/>
      <c r="C12516" s="87"/>
      <c r="D12516" s="87"/>
      <c r="E12516" s="87"/>
      <c r="F12516" s="87"/>
      <c r="G12516" s="87"/>
    </row>
    <row r="12517">
      <c r="A12517" s="86" t="str">
        <f>IFERROR(__xludf.DUMMYFUNCTION("""COMPUTED_VALUE"""),"")</f>
        <v/>
      </c>
      <c r="B12517" s="87"/>
      <c r="C12517" s="87"/>
      <c r="D12517" s="87"/>
      <c r="E12517" s="87"/>
      <c r="F12517" s="87"/>
      <c r="G12517" s="87"/>
    </row>
    <row r="12518">
      <c r="A12518" s="86" t="str">
        <f>IFERROR(__xludf.DUMMYFUNCTION("""COMPUTED_VALUE"""),"")</f>
        <v/>
      </c>
      <c r="B12518" s="87"/>
      <c r="C12518" s="87"/>
      <c r="D12518" s="87"/>
      <c r="E12518" s="87"/>
      <c r="F12518" s="87"/>
      <c r="G12518" s="87"/>
    </row>
    <row r="12519">
      <c r="A12519" s="86" t="str">
        <f>IFERROR(__xludf.DUMMYFUNCTION("""COMPUTED_VALUE"""),"")</f>
        <v/>
      </c>
      <c r="B12519" s="87"/>
      <c r="C12519" s="87"/>
      <c r="D12519" s="87"/>
      <c r="E12519" s="87"/>
      <c r="F12519" s="87"/>
      <c r="G12519" s="87"/>
    </row>
    <row r="12520">
      <c r="A12520" s="86" t="str">
        <f>IFERROR(__xludf.DUMMYFUNCTION("""COMPUTED_VALUE"""),"")</f>
        <v/>
      </c>
      <c r="B12520" s="87"/>
      <c r="C12520" s="87"/>
      <c r="D12520" s="87"/>
      <c r="E12520" s="87"/>
      <c r="F12520" s="87"/>
      <c r="G12520" s="87"/>
    </row>
    <row r="12521">
      <c r="A12521" s="86" t="str">
        <f>IFERROR(__xludf.DUMMYFUNCTION("""COMPUTED_VALUE"""),"")</f>
        <v/>
      </c>
      <c r="B12521" s="87"/>
      <c r="C12521" s="87"/>
      <c r="D12521" s="87"/>
      <c r="E12521" s="87"/>
      <c r="F12521" s="87"/>
      <c r="G12521" s="87"/>
    </row>
    <row r="12522">
      <c r="A12522" s="86" t="str">
        <f>IFERROR(__xludf.DUMMYFUNCTION("""COMPUTED_VALUE"""),"")</f>
        <v/>
      </c>
      <c r="B12522" s="87"/>
      <c r="C12522" s="87"/>
      <c r="D12522" s="87"/>
      <c r="E12522" s="87"/>
      <c r="F12522" s="87"/>
      <c r="G12522" s="87"/>
    </row>
    <row r="12523">
      <c r="A12523" s="86" t="str">
        <f>IFERROR(__xludf.DUMMYFUNCTION("""COMPUTED_VALUE"""),"")</f>
        <v/>
      </c>
      <c r="B12523" s="87"/>
      <c r="C12523" s="87"/>
      <c r="D12523" s="87"/>
      <c r="E12523" s="87"/>
      <c r="F12523" s="87"/>
      <c r="G12523" s="87"/>
    </row>
    <row r="12524">
      <c r="A12524" s="86" t="str">
        <f>IFERROR(__xludf.DUMMYFUNCTION("""COMPUTED_VALUE"""),"")</f>
        <v/>
      </c>
      <c r="B12524" s="87"/>
      <c r="C12524" s="87"/>
      <c r="D12524" s="87"/>
      <c r="E12524" s="87"/>
      <c r="F12524" s="87"/>
      <c r="G12524" s="87"/>
    </row>
    <row r="12525">
      <c r="A12525" s="86" t="str">
        <f>IFERROR(__xludf.DUMMYFUNCTION("""COMPUTED_VALUE"""),"")</f>
        <v/>
      </c>
      <c r="B12525" s="87"/>
      <c r="C12525" s="87"/>
      <c r="D12525" s="87"/>
      <c r="E12525" s="87"/>
      <c r="F12525" s="87"/>
      <c r="G12525" s="87"/>
    </row>
    <row r="12526">
      <c r="A12526" s="86" t="str">
        <f>IFERROR(__xludf.DUMMYFUNCTION("""COMPUTED_VALUE"""),"")</f>
        <v/>
      </c>
      <c r="B12526" s="87"/>
      <c r="C12526" s="87"/>
      <c r="D12526" s="87"/>
      <c r="E12526" s="87"/>
      <c r="F12526" s="87"/>
      <c r="G12526" s="87"/>
    </row>
    <row r="12527">
      <c r="A12527" s="86" t="str">
        <f>IFERROR(__xludf.DUMMYFUNCTION("""COMPUTED_VALUE"""),"")</f>
        <v/>
      </c>
      <c r="B12527" s="87"/>
      <c r="C12527" s="87"/>
      <c r="D12527" s="87"/>
      <c r="E12527" s="87"/>
      <c r="F12527" s="87"/>
      <c r="G12527" s="87"/>
    </row>
    <row r="12528">
      <c r="A12528" s="86" t="str">
        <f>IFERROR(__xludf.DUMMYFUNCTION("""COMPUTED_VALUE"""),"")</f>
        <v/>
      </c>
      <c r="B12528" s="87"/>
      <c r="C12528" s="87"/>
      <c r="D12528" s="87"/>
      <c r="E12528" s="87"/>
      <c r="F12528" s="87"/>
      <c r="G12528" s="87"/>
    </row>
    <row r="12529">
      <c r="A12529" s="86" t="str">
        <f>IFERROR(__xludf.DUMMYFUNCTION("""COMPUTED_VALUE"""),"")</f>
        <v/>
      </c>
      <c r="B12529" s="87"/>
      <c r="C12529" s="87"/>
      <c r="D12529" s="87"/>
      <c r="E12529" s="87"/>
      <c r="F12529" s="87"/>
      <c r="G12529" s="87"/>
    </row>
    <row r="12530">
      <c r="A12530" s="86" t="str">
        <f>IFERROR(__xludf.DUMMYFUNCTION("""COMPUTED_VALUE"""),"")</f>
        <v/>
      </c>
      <c r="B12530" s="87"/>
      <c r="C12530" s="87"/>
      <c r="D12530" s="87"/>
      <c r="E12530" s="87"/>
      <c r="F12530" s="87"/>
      <c r="G12530" s="87"/>
    </row>
    <row r="12531">
      <c r="A12531" s="86" t="str">
        <f>IFERROR(__xludf.DUMMYFUNCTION("""COMPUTED_VALUE"""),"")</f>
        <v/>
      </c>
      <c r="B12531" s="87"/>
      <c r="C12531" s="87"/>
      <c r="D12531" s="87"/>
      <c r="E12531" s="87"/>
      <c r="F12531" s="87"/>
      <c r="G12531" s="87"/>
    </row>
    <row r="12532">
      <c r="A12532" s="86" t="str">
        <f>IFERROR(__xludf.DUMMYFUNCTION("""COMPUTED_VALUE"""),"")</f>
        <v/>
      </c>
      <c r="B12532" s="87"/>
      <c r="C12532" s="87"/>
      <c r="D12532" s="87"/>
      <c r="E12532" s="87"/>
      <c r="F12532" s="87"/>
      <c r="G12532" s="87"/>
    </row>
    <row r="12533">
      <c r="A12533" s="86" t="str">
        <f>IFERROR(__xludf.DUMMYFUNCTION("""COMPUTED_VALUE"""),"")</f>
        <v/>
      </c>
      <c r="B12533" s="87"/>
      <c r="C12533" s="87"/>
      <c r="D12533" s="87"/>
      <c r="E12533" s="87"/>
      <c r="F12533" s="87"/>
      <c r="G12533" s="87"/>
    </row>
    <row r="12534">
      <c r="A12534" s="86" t="str">
        <f>IFERROR(__xludf.DUMMYFUNCTION("""COMPUTED_VALUE"""),"")</f>
        <v/>
      </c>
      <c r="B12534" s="87"/>
      <c r="C12534" s="87"/>
      <c r="D12534" s="87"/>
      <c r="E12534" s="87"/>
      <c r="F12534" s="87"/>
      <c r="G12534" s="87"/>
    </row>
    <row r="12535">
      <c r="A12535" s="86" t="str">
        <f>IFERROR(__xludf.DUMMYFUNCTION("""COMPUTED_VALUE"""),"")</f>
        <v/>
      </c>
      <c r="B12535" s="87"/>
      <c r="C12535" s="87"/>
      <c r="D12535" s="87"/>
      <c r="E12535" s="87"/>
      <c r="F12535" s="87"/>
      <c r="G12535" s="87"/>
    </row>
    <row r="12536">
      <c r="A12536" s="86" t="str">
        <f>IFERROR(__xludf.DUMMYFUNCTION("""COMPUTED_VALUE"""),"")</f>
        <v/>
      </c>
      <c r="B12536" s="87"/>
      <c r="C12536" s="87"/>
      <c r="D12536" s="87"/>
      <c r="E12536" s="87"/>
      <c r="F12536" s="87"/>
      <c r="G12536" s="87"/>
    </row>
    <row r="12537">
      <c r="A12537" s="86" t="str">
        <f>IFERROR(__xludf.DUMMYFUNCTION("""COMPUTED_VALUE"""),"")</f>
        <v/>
      </c>
      <c r="B12537" s="87"/>
      <c r="C12537" s="87"/>
      <c r="D12537" s="87"/>
      <c r="E12537" s="87"/>
      <c r="F12537" s="87"/>
      <c r="G12537" s="87"/>
    </row>
    <row r="12538">
      <c r="A12538" s="86" t="str">
        <f>IFERROR(__xludf.DUMMYFUNCTION("""COMPUTED_VALUE"""),"")</f>
        <v/>
      </c>
      <c r="B12538" s="87"/>
      <c r="C12538" s="87"/>
      <c r="D12538" s="87"/>
      <c r="E12538" s="87"/>
      <c r="F12538" s="87"/>
      <c r="G12538" s="87"/>
    </row>
    <row r="12539">
      <c r="A12539" s="86" t="str">
        <f>IFERROR(__xludf.DUMMYFUNCTION("""COMPUTED_VALUE"""),"")</f>
        <v/>
      </c>
      <c r="B12539" s="87"/>
      <c r="C12539" s="87"/>
      <c r="D12539" s="87"/>
      <c r="E12539" s="87"/>
      <c r="F12539" s="87"/>
      <c r="G12539" s="87"/>
    </row>
    <row r="12540">
      <c r="A12540" s="86" t="str">
        <f>IFERROR(__xludf.DUMMYFUNCTION("""COMPUTED_VALUE"""),"")</f>
        <v/>
      </c>
      <c r="B12540" s="87"/>
      <c r="C12540" s="87"/>
      <c r="D12540" s="87"/>
      <c r="E12540" s="87"/>
      <c r="F12540" s="87"/>
      <c r="G12540" s="87"/>
    </row>
    <row r="12541">
      <c r="A12541" s="86" t="str">
        <f>IFERROR(__xludf.DUMMYFUNCTION("""COMPUTED_VALUE"""),"")</f>
        <v/>
      </c>
      <c r="B12541" s="87"/>
      <c r="C12541" s="87"/>
      <c r="D12541" s="87"/>
      <c r="E12541" s="87"/>
      <c r="F12541" s="87"/>
      <c r="G12541" s="87"/>
    </row>
    <row r="12542">
      <c r="A12542" s="86" t="str">
        <f>IFERROR(__xludf.DUMMYFUNCTION("""COMPUTED_VALUE"""),"")</f>
        <v/>
      </c>
      <c r="B12542" s="87"/>
      <c r="C12542" s="87"/>
      <c r="D12542" s="87"/>
      <c r="E12542" s="87"/>
      <c r="F12542" s="87"/>
      <c r="G12542" s="87"/>
    </row>
    <row r="12543">
      <c r="A12543" s="86" t="str">
        <f>IFERROR(__xludf.DUMMYFUNCTION("""COMPUTED_VALUE"""),"")</f>
        <v/>
      </c>
      <c r="B12543" s="87"/>
      <c r="C12543" s="87"/>
      <c r="D12543" s="87"/>
      <c r="E12543" s="87"/>
      <c r="F12543" s="87"/>
      <c r="G12543" s="87"/>
    </row>
    <row r="12544">
      <c r="A12544" s="86" t="str">
        <f>IFERROR(__xludf.DUMMYFUNCTION("""COMPUTED_VALUE"""),"")</f>
        <v/>
      </c>
      <c r="B12544" s="87"/>
      <c r="C12544" s="87"/>
      <c r="D12544" s="87"/>
      <c r="E12544" s="87"/>
      <c r="F12544" s="87"/>
      <c r="G12544" s="87"/>
    </row>
    <row r="12545">
      <c r="A12545" s="86" t="str">
        <f>IFERROR(__xludf.DUMMYFUNCTION("""COMPUTED_VALUE"""),"")</f>
        <v/>
      </c>
      <c r="B12545" s="87"/>
      <c r="C12545" s="87"/>
      <c r="D12545" s="87"/>
      <c r="E12545" s="87"/>
      <c r="F12545" s="87"/>
      <c r="G12545" s="87"/>
    </row>
    <row r="12546">
      <c r="A12546" s="86" t="str">
        <f>IFERROR(__xludf.DUMMYFUNCTION("""COMPUTED_VALUE"""),"")</f>
        <v/>
      </c>
      <c r="B12546" s="87"/>
      <c r="C12546" s="87"/>
      <c r="D12546" s="87"/>
      <c r="E12546" s="87"/>
      <c r="F12546" s="87"/>
      <c r="G12546" s="87"/>
    </row>
    <row r="12547">
      <c r="A12547" s="86" t="str">
        <f>IFERROR(__xludf.DUMMYFUNCTION("""COMPUTED_VALUE"""),"")</f>
        <v/>
      </c>
      <c r="B12547" s="87"/>
      <c r="C12547" s="87"/>
      <c r="D12547" s="87"/>
      <c r="E12547" s="87"/>
      <c r="F12547" s="87"/>
      <c r="G12547" s="87"/>
    </row>
    <row r="12548">
      <c r="A12548" s="86" t="str">
        <f>IFERROR(__xludf.DUMMYFUNCTION("""COMPUTED_VALUE"""),"")</f>
        <v/>
      </c>
      <c r="B12548" s="87"/>
      <c r="C12548" s="87"/>
      <c r="D12548" s="87"/>
      <c r="E12548" s="87"/>
      <c r="F12548" s="87"/>
      <c r="G12548" s="87"/>
    </row>
    <row r="12549">
      <c r="A12549" s="86" t="str">
        <f>IFERROR(__xludf.DUMMYFUNCTION("""COMPUTED_VALUE"""),"")</f>
        <v/>
      </c>
      <c r="B12549" s="87"/>
      <c r="C12549" s="87"/>
      <c r="D12549" s="87"/>
      <c r="E12549" s="87"/>
      <c r="F12549" s="87"/>
      <c r="G12549" s="87"/>
    </row>
    <row r="12550">
      <c r="A12550" s="86" t="str">
        <f>IFERROR(__xludf.DUMMYFUNCTION("""COMPUTED_VALUE"""),"")</f>
        <v/>
      </c>
      <c r="B12550" s="87"/>
      <c r="C12550" s="87"/>
      <c r="D12550" s="87"/>
      <c r="E12550" s="87"/>
      <c r="F12550" s="87"/>
      <c r="G12550" s="87"/>
    </row>
    <row r="12551">
      <c r="A12551" s="86" t="str">
        <f>IFERROR(__xludf.DUMMYFUNCTION("""COMPUTED_VALUE"""),"")</f>
        <v/>
      </c>
      <c r="B12551" s="87"/>
      <c r="C12551" s="87"/>
      <c r="D12551" s="87"/>
      <c r="E12551" s="87"/>
      <c r="F12551" s="87"/>
      <c r="G12551" s="87"/>
    </row>
    <row r="12552">
      <c r="A12552" s="86" t="str">
        <f>IFERROR(__xludf.DUMMYFUNCTION("""COMPUTED_VALUE"""),"")</f>
        <v/>
      </c>
      <c r="B12552" s="87"/>
      <c r="C12552" s="87"/>
      <c r="D12552" s="87"/>
      <c r="E12552" s="87"/>
      <c r="F12552" s="87"/>
      <c r="G12552" s="87"/>
    </row>
    <row r="12553">
      <c r="A12553" s="86" t="str">
        <f>IFERROR(__xludf.DUMMYFUNCTION("""COMPUTED_VALUE"""),"")</f>
        <v/>
      </c>
      <c r="B12553" s="87"/>
      <c r="C12553" s="87"/>
      <c r="D12553" s="87"/>
      <c r="E12553" s="87"/>
      <c r="F12553" s="87"/>
      <c r="G12553" s="87"/>
    </row>
    <row r="12554">
      <c r="A12554" s="86" t="str">
        <f>IFERROR(__xludf.DUMMYFUNCTION("""COMPUTED_VALUE"""),"")</f>
        <v/>
      </c>
      <c r="B12554" s="87"/>
      <c r="C12554" s="87"/>
      <c r="D12554" s="87"/>
      <c r="E12554" s="87"/>
      <c r="F12554" s="87"/>
      <c r="G12554" s="87"/>
    </row>
    <row r="12555">
      <c r="A12555" s="86" t="str">
        <f>IFERROR(__xludf.DUMMYFUNCTION("""COMPUTED_VALUE"""),"")</f>
        <v/>
      </c>
      <c r="B12555" s="87"/>
      <c r="C12555" s="87"/>
      <c r="D12555" s="87"/>
      <c r="E12555" s="87"/>
      <c r="F12555" s="87"/>
      <c r="G12555" s="87"/>
    </row>
    <row r="12556">
      <c r="A12556" s="86" t="str">
        <f>IFERROR(__xludf.DUMMYFUNCTION("""COMPUTED_VALUE"""),"")</f>
        <v/>
      </c>
      <c r="B12556" s="87"/>
      <c r="C12556" s="87"/>
      <c r="D12556" s="87"/>
      <c r="E12556" s="87"/>
      <c r="F12556" s="87"/>
      <c r="G12556" s="87"/>
    </row>
    <row r="12557">
      <c r="A12557" s="86" t="str">
        <f>IFERROR(__xludf.DUMMYFUNCTION("""COMPUTED_VALUE"""),"")</f>
        <v/>
      </c>
      <c r="B12557" s="87"/>
      <c r="C12557" s="87"/>
      <c r="D12557" s="87"/>
      <c r="E12557" s="87"/>
      <c r="F12557" s="87"/>
      <c r="G12557" s="87"/>
    </row>
    <row r="12558">
      <c r="A12558" s="86" t="str">
        <f>IFERROR(__xludf.DUMMYFUNCTION("""COMPUTED_VALUE"""),"")</f>
        <v/>
      </c>
      <c r="B12558" s="87"/>
      <c r="C12558" s="87"/>
      <c r="D12558" s="87"/>
      <c r="E12558" s="87"/>
      <c r="F12558" s="87"/>
      <c r="G12558" s="87"/>
    </row>
    <row r="12559">
      <c r="A12559" s="86" t="str">
        <f>IFERROR(__xludf.DUMMYFUNCTION("""COMPUTED_VALUE"""),"")</f>
        <v/>
      </c>
      <c r="B12559" s="87"/>
      <c r="C12559" s="87"/>
      <c r="D12559" s="87"/>
      <c r="E12559" s="87"/>
      <c r="F12559" s="87"/>
      <c r="G12559" s="87"/>
    </row>
    <row r="12560">
      <c r="A12560" s="86" t="str">
        <f>IFERROR(__xludf.DUMMYFUNCTION("""COMPUTED_VALUE"""),"")</f>
        <v/>
      </c>
      <c r="B12560" s="87"/>
      <c r="C12560" s="87"/>
      <c r="D12560" s="87"/>
      <c r="E12560" s="87"/>
      <c r="F12560" s="87"/>
      <c r="G12560" s="87"/>
    </row>
    <row r="12561">
      <c r="A12561" s="86" t="str">
        <f>IFERROR(__xludf.DUMMYFUNCTION("""COMPUTED_VALUE"""),"")</f>
        <v/>
      </c>
      <c r="B12561" s="87"/>
      <c r="C12561" s="87"/>
      <c r="D12561" s="87"/>
      <c r="E12561" s="87"/>
      <c r="F12561" s="87"/>
      <c r="G12561" s="87"/>
    </row>
    <row r="12562">
      <c r="A12562" s="86" t="str">
        <f>IFERROR(__xludf.DUMMYFUNCTION("""COMPUTED_VALUE"""),"")</f>
        <v/>
      </c>
      <c r="B12562" s="87"/>
      <c r="C12562" s="87"/>
      <c r="D12562" s="87"/>
      <c r="E12562" s="87"/>
      <c r="F12562" s="87"/>
      <c r="G12562" s="87"/>
    </row>
    <row r="12563">
      <c r="A12563" s="86" t="str">
        <f>IFERROR(__xludf.DUMMYFUNCTION("""COMPUTED_VALUE"""),"")</f>
        <v/>
      </c>
      <c r="B12563" s="87"/>
      <c r="C12563" s="87"/>
      <c r="D12563" s="87"/>
      <c r="E12563" s="87"/>
      <c r="F12563" s="87"/>
      <c r="G12563" s="87"/>
    </row>
    <row r="12564">
      <c r="A12564" s="86" t="str">
        <f>IFERROR(__xludf.DUMMYFUNCTION("""COMPUTED_VALUE"""),"")</f>
        <v/>
      </c>
      <c r="B12564" s="87"/>
      <c r="C12564" s="87"/>
      <c r="D12564" s="87"/>
      <c r="E12564" s="87"/>
      <c r="F12564" s="87"/>
      <c r="G12564" s="87"/>
    </row>
    <row r="12565">
      <c r="A12565" s="86" t="str">
        <f>IFERROR(__xludf.DUMMYFUNCTION("""COMPUTED_VALUE"""),"")</f>
        <v/>
      </c>
      <c r="B12565" s="87"/>
      <c r="C12565" s="87"/>
      <c r="D12565" s="87"/>
      <c r="E12565" s="87"/>
      <c r="F12565" s="87"/>
      <c r="G12565" s="87"/>
    </row>
    <row r="12566">
      <c r="A12566" s="86" t="str">
        <f>IFERROR(__xludf.DUMMYFUNCTION("""COMPUTED_VALUE"""),"")</f>
        <v/>
      </c>
      <c r="B12566" s="87"/>
      <c r="C12566" s="87"/>
      <c r="D12566" s="87"/>
      <c r="E12566" s="87"/>
      <c r="F12566" s="87"/>
      <c r="G12566" s="87"/>
    </row>
    <row r="12567">
      <c r="A12567" s="86" t="str">
        <f>IFERROR(__xludf.DUMMYFUNCTION("""COMPUTED_VALUE"""),"")</f>
        <v/>
      </c>
      <c r="B12567" s="87"/>
      <c r="C12567" s="87"/>
      <c r="D12567" s="87"/>
      <c r="E12567" s="87"/>
      <c r="F12567" s="87"/>
      <c r="G12567" s="87"/>
    </row>
    <row r="12568">
      <c r="A12568" s="86" t="str">
        <f>IFERROR(__xludf.DUMMYFUNCTION("""COMPUTED_VALUE"""),"")</f>
        <v/>
      </c>
      <c r="B12568" s="87"/>
      <c r="C12568" s="87"/>
      <c r="D12568" s="87"/>
      <c r="E12568" s="87"/>
      <c r="F12568" s="87"/>
      <c r="G12568" s="87"/>
    </row>
    <row r="12569">
      <c r="A12569" s="86" t="str">
        <f>IFERROR(__xludf.DUMMYFUNCTION("""COMPUTED_VALUE"""),"")</f>
        <v/>
      </c>
      <c r="B12569" s="87"/>
      <c r="C12569" s="87"/>
      <c r="D12569" s="87"/>
      <c r="E12569" s="87"/>
      <c r="F12569" s="87"/>
      <c r="G12569" s="87"/>
    </row>
    <row r="12570">
      <c r="A12570" s="86" t="str">
        <f>IFERROR(__xludf.DUMMYFUNCTION("""COMPUTED_VALUE"""),"")</f>
        <v/>
      </c>
      <c r="B12570" s="87"/>
      <c r="C12570" s="87"/>
      <c r="D12570" s="87"/>
      <c r="E12570" s="87"/>
      <c r="F12570" s="87"/>
      <c r="G12570" s="87"/>
    </row>
    <row r="12571">
      <c r="A12571" s="86" t="str">
        <f>IFERROR(__xludf.DUMMYFUNCTION("""COMPUTED_VALUE"""),"")</f>
        <v/>
      </c>
      <c r="B12571" s="87"/>
      <c r="C12571" s="87"/>
      <c r="D12571" s="87"/>
      <c r="E12571" s="87"/>
      <c r="F12571" s="87"/>
      <c r="G12571" s="87"/>
    </row>
    <row r="12572">
      <c r="A12572" s="86" t="str">
        <f>IFERROR(__xludf.DUMMYFUNCTION("""COMPUTED_VALUE"""),"")</f>
        <v/>
      </c>
      <c r="B12572" s="87"/>
      <c r="C12572" s="87"/>
      <c r="D12572" s="87"/>
      <c r="E12572" s="87"/>
      <c r="F12572" s="87"/>
      <c r="G12572" s="87"/>
    </row>
    <row r="12573">
      <c r="A12573" s="86" t="str">
        <f>IFERROR(__xludf.DUMMYFUNCTION("""COMPUTED_VALUE"""),"")</f>
        <v/>
      </c>
      <c r="B12573" s="87"/>
      <c r="C12573" s="87"/>
      <c r="D12573" s="87"/>
      <c r="E12573" s="87"/>
      <c r="F12573" s="87"/>
      <c r="G12573" s="87"/>
    </row>
    <row r="12574">
      <c r="A12574" s="86" t="str">
        <f>IFERROR(__xludf.DUMMYFUNCTION("""COMPUTED_VALUE"""),"")</f>
        <v/>
      </c>
      <c r="B12574" s="87"/>
      <c r="C12574" s="87"/>
      <c r="D12574" s="87"/>
      <c r="E12574" s="87"/>
      <c r="F12574" s="87"/>
      <c r="G12574" s="87"/>
    </row>
    <row r="12575">
      <c r="A12575" s="86" t="str">
        <f>IFERROR(__xludf.DUMMYFUNCTION("""COMPUTED_VALUE"""),"")</f>
        <v/>
      </c>
      <c r="B12575" s="87"/>
      <c r="C12575" s="87"/>
      <c r="D12575" s="87"/>
      <c r="E12575" s="87"/>
      <c r="F12575" s="87"/>
      <c r="G12575" s="87"/>
    </row>
    <row r="12576">
      <c r="A12576" s="86" t="str">
        <f>IFERROR(__xludf.DUMMYFUNCTION("""COMPUTED_VALUE"""),"")</f>
        <v/>
      </c>
      <c r="B12576" s="87"/>
      <c r="C12576" s="87"/>
      <c r="D12576" s="87"/>
      <c r="E12576" s="87"/>
      <c r="F12576" s="87"/>
      <c r="G12576" s="87"/>
    </row>
    <row r="12577">
      <c r="A12577" s="86" t="str">
        <f>IFERROR(__xludf.DUMMYFUNCTION("""COMPUTED_VALUE"""),"")</f>
        <v/>
      </c>
      <c r="B12577" s="87"/>
      <c r="C12577" s="87"/>
      <c r="D12577" s="87"/>
      <c r="E12577" s="87"/>
      <c r="F12577" s="87"/>
      <c r="G12577" s="87"/>
    </row>
    <row r="12578">
      <c r="A12578" s="86" t="str">
        <f>IFERROR(__xludf.DUMMYFUNCTION("""COMPUTED_VALUE"""),"")</f>
        <v/>
      </c>
      <c r="B12578" s="87"/>
      <c r="C12578" s="87"/>
      <c r="D12578" s="87"/>
      <c r="E12578" s="87"/>
      <c r="F12578" s="87"/>
      <c r="G12578" s="87"/>
    </row>
    <row r="12579">
      <c r="A12579" s="86" t="str">
        <f>IFERROR(__xludf.DUMMYFUNCTION("""COMPUTED_VALUE"""),"")</f>
        <v/>
      </c>
      <c r="B12579" s="87"/>
      <c r="C12579" s="87"/>
      <c r="D12579" s="87"/>
      <c r="E12579" s="87"/>
      <c r="F12579" s="87"/>
      <c r="G12579" s="87"/>
    </row>
    <row r="12580">
      <c r="A12580" s="86" t="str">
        <f>IFERROR(__xludf.DUMMYFUNCTION("""COMPUTED_VALUE"""),"")</f>
        <v/>
      </c>
      <c r="B12580" s="87"/>
      <c r="C12580" s="87"/>
      <c r="D12580" s="87"/>
      <c r="E12580" s="87"/>
      <c r="F12580" s="87"/>
      <c r="G12580" s="87"/>
    </row>
    <row r="12581">
      <c r="A12581" s="86" t="str">
        <f>IFERROR(__xludf.DUMMYFUNCTION("""COMPUTED_VALUE"""),"")</f>
        <v/>
      </c>
      <c r="B12581" s="87"/>
      <c r="C12581" s="87"/>
      <c r="D12581" s="87"/>
      <c r="E12581" s="87"/>
      <c r="F12581" s="87"/>
      <c r="G12581" s="87"/>
    </row>
    <row r="12582">
      <c r="A12582" s="86" t="str">
        <f>IFERROR(__xludf.DUMMYFUNCTION("""COMPUTED_VALUE"""),"")</f>
        <v/>
      </c>
      <c r="B12582" s="87"/>
      <c r="C12582" s="87"/>
      <c r="D12582" s="87"/>
      <c r="E12582" s="87"/>
      <c r="F12582" s="87"/>
      <c r="G12582" s="87"/>
    </row>
    <row r="12583">
      <c r="A12583" s="86" t="str">
        <f>IFERROR(__xludf.DUMMYFUNCTION("""COMPUTED_VALUE"""),"")</f>
        <v/>
      </c>
      <c r="B12583" s="87"/>
      <c r="C12583" s="87"/>
      <c r="D12583" s="87"/>
      <c r="E12583" s="87"/>
      <c r="F12583" s="87"/>
      <c r="G12583" s="87"/>
    </row>
    <row r="12584">
      <c r="A12584" s="86" t="str">
        <f>IFERROR(__xludf.DUMMYFUNCTION("""COMPUTED_VALUE"""),"")</f>
        <v/>
      </c>
      <c r="B12584" s="87"/>
      <c r="C12584" s="87"/>
      <c r="D12584" s="87"/>
      <c r="E12584" s="87"/>
      <c r="F12584" s="87"/>
      <c r="G12584" s="87"/>
    </row>
    <row r="12585">
      <c r="A12585" s="86" t="str">
        <f>IFERROR(__xludf.DUMMYFUNCTION("""COMPUTED_VALUE"""),"")</f>
        <v/>
      </c>
      <c r="B12585" s="87"/>
      <c r="C12585" s="87"/>
      <c r="D12585" s="87"/>
      <c r="E12585" s="87"/>
      <c r="F12585" s="87"/>
      <c r="G12585" s="87"/>
    </row>
    <row r="12586">
      <c r="A12586" s="86" t="str">
        <f>IFERROR(__xludf.DUMMYFUNCTION("""COMPUTED_VALUE"""),"")</f>
        <v/>
      </c>
      <c r="B12586" s="87"/>
      <c r="C12586" s="87"/>
      <c r="D12586" s="87"/>
      <c r="E12586" s="87"/>
      <c r="F12586" s="87"/>
      <c r="G12586" s="87"/>
    </row>
    <row r="12587">
      <c r="A12587" s="86" t="str">
        <f>IFERROR(__xludf.DUMMYFUNCTION("""COMPUTED_VALUE"""),"")</f>
        <v/>
      </c>
      <c r="B12587" s="87"/>
      <c r="C12587" s="87"/>
      <c r="D12587" s="87"/>
      <c r="E12587" s="87"/>
      <c r="F12587" s="87"/>
      <c r="G12587" s="87"/>
    </row>
    <row r="12588">
      <c r="A12588" s="86" t="str">
        <f>IFERROR(__xludf.DUMMYFUNCTION("""COMPUTED_VALUE"""),"")</f>
        <v/>
      </c>
      <c r="B12588" s="87"/>
      <c r="C12588" s="87"/>
      <c r="D12588" s="87"/>
      <c r="E12588" s="87"/>
      <c r="F12588" s="87"/>
      <c r="G12588" s="87"/>
    </row>
    <row r="12589">
      <c r="A12589" s="86" t="str">
        <f>IFERROR(__xludf.DUMMYFUNCTION("""COMPUTED_VALUE"""),"")</f>
        <v/>
      </c>
      <c r="B12589" s="87"/>
      <c r="C12589" s="87"/>
      <c r="D12589" s="87"/>
      <c r="E12589" s="87"/>
      <c r="F12589" s="87"/>
      <c r="G12589" s="87"/>
    </row>
    <row r="12590">
      <c r="A12590" s="86" t="str">
        <f>IFERROR(__xludf.DUMMYFUNCTION("""COMPUTED_VALUE"""),"")</f>
        <v/>
      </c>
      <c r="B12590" s="87"/>
      <c r="C12590" s="87"/>
      <c r="D12590" s="87"/>
      <c r="E12590" s="87"/>
      <c r="F12590" s="87"/>
      <c r="G12590" s="87"/>
    </row>
    <row r="12591">
      <c r="A12591" s="86" t="str">
        <f>IFERROR(__xludf.DUMMYFUNCTION("""COMPUTED_VALUE"""),"")</f>
        <v/>
      </c>
      <c r="B12591" s="87"/>
      <c r="C12591" s="87"/>
      <c r="D12591" s="87"/>
      <c r="E12591" s="87"/>
      <c r="F12591" s="87"/>
      <c r="G12591" s="87"/>
    </row>
    <row r="12592">
      <c r="A12592" s="86" t="str">
        <f>IFERROR(__xludf.DUMMYFUNCTION("""COMPUTED_VALUE"""),"")</f>
        <v/>
      </c>
      <c r="B12592" s="87"/>
      <c r="C12592" s="87"/>
      <c r="D12592" s="87"/>
      <c r="E12592" s="87"/>
      <c r="F12592" s="87"/>
      <c r="G12592" s="87"/>
    </row>
    <row r="12593">
      <c r="A12593" s="86" t="str">
        <f>IFERROR(__xludf.DUMMYFUNCTION("""COMPUTED_VALUE"""),"")</f>
        <v/>
      </c>
      <c r="B12593" s="87"/>
      <c r="C12593" s="87"/>
      <c r="D12593" s="87"/>
      <c r="E12593" s="87"/>
      <c r="F12593" s="87"/>
      <c r="G12593" s="87"/>
    </row>
    <row r="12594">
      <c r="A12594" s="86" t="str">
        <f>IFERROR(__xludf.DUMMYFUNCTION("""COMPUTED_VALUE"""),"")</f>
        <v/>
      </c>
      <c r="B12594" s="87"/>
      <c r="C12594" s="87"/>
      <c r="D12594" s="87"/>
      <c r="E12594" s="87"/>
      <c r="F12594" s="87"/>
      <c r="G12594" s="87"/>
    </row>
    <row r="12595">
      <c r="A12595" s="86" t="str">
        <f>IFERROR(__xludf.DUMMYFUNCTION("""COMPUTED_VALUE"""),"")</f>
        <v/>
      </c>
      <c r="B12595" s="87"/>
      <c r="C12595" s="87"/>
      <c r="D12595" s="87"/>
      <c r="E12595" s="87"/>
      <c r="F12595" s="87"/>
      <c r="G12595" s="87"/>
    </row>
    <row r="12596">
      <c r="A12596" s="86" t="str">
        <f>IFERROR(__xludf.DUMMYFUNCTION("""COMPUTED_VALUE"""),"")</f>
        <v/>
      </c>
      <c r="B12596" s="87"/>
      <c r="C12596" s="87"/>
      <c r="D12596" s="87"/>
      <c r="E12596" s="87"/>
      <c r="F12596" s="87"/>
      <c r="G12596" s="87"/>
    </row>
    <row r="12597">
      <c r="A12597" s="86" t="str">
        <f>IFERROR(__xludf.DUMMYFUNCTION("""COMPUTED_VALUE"""),"")</f>
        <v/>
      </c>
      <c r="B12597" s="87"/>
      <c r="C12597" s="87"/>
      <c r="D12597" s="87"/>
      <c r="E12597" s="87"/>
      <c r="F12597" s="87"/>
      <c r="G12597" s="87"/>
    </row>
    <row r="12598">
      <c r="A12598" s="86" t="str">
        <f>IFERROR(__xludf.DUMMYFUNCTION("""COMPUTED_VALUE"""),"")</f>
        <v/>
      </c>
      <c r="B12598" s="87"/>
      <c r="C12598" s="87"/>
      <c r="D12598" s="87"/>
      <c r="E12598" s="87"/>
      <c r="F12598" s="87"/>
      <c r="G12598" s="87"/>
    </row>
    <row r="12599">
      <c r="A12599" s="86" t="str">
        <f>IFERROR(__xludf.DUMMYFUNCTION("""COMPUTED_VALUE"""),"")</f>
        <v/>
      </c>
      <c r="B12599" s="87"/>
      <c r="C12599" s="87"/>
      <c r="D12599" s="87"/>
      <c r="E12599" s="87"/>
      <c r="F12599" s="87"/>
      <c r="G12599" s="87"/>
    </row>
    <row r="12600">
      <c r="A12600" s="86" t="str">
        <f>IFERROR(__xludf.DUMMYFUNCTION("""COMPUTED_VALUE"""),"")</f>
        <v/>
      </c>
      <c r="B12600" s="87"/>
      <c r="C12600" s="87"/>
      <c r="D12600" s="87"/>
      <c r="E12600" s="87"/>
      <c r="F12600" s="87"/>
      <c r="G12600" s="87"/>
    </row>
    <row r="12601">
      <c r="A12601" s="86" t="str">
        <f>IFERROR(__xludf.DUMMYFUNCTION("""COMPUTED_VALUE"""),"")</f>
        <v/>
      </c>
      <c r="B12601" s="87"/>
      <c r="C12601" s="87"/>
      <c r="D12601" s="87"/>
      <c r="E12601" s="87"/>
      <c r="F12601" s="87"/>
      <c r="G12601" s="87"/>
    </row>
    <row r="12602">
      <c r="A12602" s="86" t="str">
        <f>IFERROR(__xludf.DUMMYFUNCTION("""COMPUTED_VALUE"""),"")</f>
        <v/>
      </c>
      <c r="B12602" s="87"/>
      <c r="C12602" s="87"/>
      <c r="D12602" s="87"/>
      <c r="E12602" s="87"/>
      <c r="F12602" s="87"/>
      <c r="G12602" s="87"/>
    </row>
    <row r="12603">
      <c r="A12603" s="86" t="str">
        <f>IFERROR(__xludf.DUMMYFUNCTION("""COMPUTED_VALUE"""),"")</f>
        <v/>
      </c>
      <c r="B12603" s="87"/>
      <c r="C12603" s="87"/>
      <c r="D12603" s="87"/>
      <c r="E12603" s="87"/>
      <c r="F12603" s="87"/>
      <c r="G12603" s="87"/>
    </row>
    <row r="12604">
      <c r="A12604" s="86" t="str">
        <f>IFERROR(__xludf.DUMMYFUNCTION("""COMPUTED_VALUE"""),"")</f>
        <v/>
      </c>
      <c r="B12604" s="87"/>
      <c r="C12604" s="87"/>
      <c r="D12604" s="87"/>
      <c r="E12604" s="87"/>
      <c r="F12604" s="87"/>
      <c r="G12604" s="87"/>
    </row>
    <row r="12605">
      <c r="A12605" s="86" t="str">
        <f>IFERROR(__xludf.DUMMYFUNCTION("""COMPUTED_VALUE"""),"")</f>
        <v/>
      </c>
      <c r="B12605" s="87"/>
      <c r="C12605" s="87"/>
      <c r="D12605" s="87"/>
      <c r="E12605" s="87"/>
      <c r="F12605" s="87"/>
      <c r="G12605" s="87"/>
    </row>
    <row r="12606">
      <c r="A12606" s="86" t="str">
        <f>IFERROR(__xludf.DUMMYFUNCTION("""COMPUTED_VALUE"""),"")</f>
        <v/>
      </c>
      <c r="B12606" s="87"/>
      <c r="C12606" s="87"/>
      <c r="D12606" s="87"/>
      <c r="E12606" s="87"/>
      <c r="F12606" s="87"/>
      <c r="G12606" s="87"/>
    </row>
    <row r="12607">
      <c r="A12607" s="86" t="str">
        <f>IFERROR(__xludf.DUMMYFUNCTION("""COMPUTED_VALUE"""),"")</f>
        <v/>
      </c>
      <c r="B12607" s="87"/>
      <c r="C12607" s="87"/>
      <c r="D12607" s="87"/>
      <c r="E12607" s="87"/>
      <c r="F12607" s="87"/>
      <c r="G12607" s="87"/>
    </row>
    <row r="12608">
      <c r="A12608" s="86" t="str">
        <f>IFERROR(__xludf.DUMMYFUNCTION("""COMPUTED_VALUE"""),"")</f>
        <v/>
      </c>
      <c r="B12608" s="87"/>
      <c r="C12608" s="87"/>
      <c r="D12608" s="87"/>
      <c r="E12608" s="87"/>
      <c r="F12608" s="87"/>
      <c r="G12608" s="87"/>
    </row>
    <row r="12609">
      <c r="A12609" s="86" t="str">
        <f>IFERROR(__xludf.DUMMYFUNCTION("""COMPUTED_VALUE"""),"")</f>
        <v/>
      </c>
      <c r="B12609" s="87"/>
      <c r="C12609" s="87"/>
      <c r="D12609" s="87"/>
      <c r="E12609" s="87"/>
      <c r="F12609" s="87"/>
      <c r="G12609" s="87"/>
    </row>
    <row r="12610">
      <c r="A12610" s="86" t="str">
        <f>IFERROR(__xludf.DUMMYFUNCTION("""COMPUTED_VALUE"""),"")</f>
        <v/>
      </c>
      <c r="B12610" s="87"/>
      <c r="C12610" s="87"/>
      <c r="D12610" s="87"/>
      <c r="E12610" s="87"/>
      <c r="F12610" s="87"/>
      <c r="G12610" s="87"/>
    </row>
    <row r="12611">
      <c r="A12611" s="86" t="str">
        <f>IFERROR(__xludf.DUMMYFUNCTION("""COMPUTED_VALUE"""),"")</f>
        <v/>
      </c>
      <c r="B12611" s="87"/>
      <c r="C12611" s="87"/>
      <c r="D12611" s="87"/>
      <c r="E12611" s="87"/>
      <c r="F12611" s="87"/>
      <c r="G12611" s="87"/>
    </row>
    <row r="12612">
      <c r="A12612" s="86" t="str">
        <f>IFERROR(__xludf.DUMMYFUNCTION("""COMPUTED_VALUE"""),"")</f>
        <v/>
      </c>
      <c r="B12612" s="87"/>
      <c r="C12612" s="87"/>
      <c r="D12612" s="87"/>
      <c r="E12612" s="87"/>
      <c r="F12612" s="87"/>
      <c r="G12612" s="87"/>
    </row>
    <row r="12613">
      <c r="A12613" s="86" t="str">
        <f>IFERROR(__xludf.DUMMYFUNCTION("""COMPUTED_VALUE"""),"")</f>
        <v/>
      </c>
      <c r="B12613" s="87"/>
      <c r="C12613" s="87"/>
      <c r="D12613" s="87"/>
      <c r="E12613" s="87"/>
      <c r="F12613" s="87"/>
      <c r="G12613" s="87"/>
    </row>
    <row r="12614">
      <c r="A12614" s="86" t="str">
        <f>IFERROR(__xludf.DUMMYFUNCTION("""COMPUTED_VALUE"""),"")</f>
        <v/>
      </c>
      <c r="B12614" s="87"/>
      <c r="C12614" s="87"/>
      <c r="D12614" s="87"/>
      <c r="E12614" s="87"/>
      <c r="F12614" s="87"/>
      <c r="G12614" s="87"/>
    </row>
    <row r="12615">
      <c r="A12615" s="86" t="str">
        <f>IFERROR(__xludf.DUMMYFUNCTION("""COMPUTED_VALUE"""),"")</f>
        <v/>
      </c>
      <c r="B12615" s="87"/>
      <c r="C12615" s="87"/>
      <c r="D12615" s="87"/>
      <c r="E12615" s="87"/>
      <c r="F12615" s="87"/>
      <c r="G12615" s="87"/>
    </row>
    <row r="12616">
      <c r="A12616" s="86" t="str">
        <f>IFERROR(__xludf.DUMMYFUNCTION("""COMPUTED_VALUE"""),"")</f>
        <v/>
      </c>
      <c r="B12616" s="87"/>
      <c r="C12616" s="87"/>
      <c r="D12616" s="87"/>
      <c r="E12616" s="87"/>
      <c r="F12616" s="87"/>
      <c r="G12616" s="87"/>
    </row>
    <row r="12617">
      <c r="A12617" s="86" t="str">
        <f>IFERROR(__xludf.DUMMYFUNCTION("""COMPUTED_VALUE"""),"")</f>
        <v/>
      </c>
      <c r="B12617" s="87"/>
      <c r="C12617" s="87"/>
      <c r="D12617" s="87"/>
      <c r="E12617" s="87"/>
      <c r="F12617" s="87"/>
      <c r="G12617" s="87"/>
    </row>
    <row r="12618">
      <c r="A12618" s="86" t="str">
        <f>IFERROR(__xludf.DUMMYFUNCTION("""COMPUTED_VALUE"""),"")</f>
        <v/>
      </c>
      <c r="B12618" s="87"/>
      <c r="C12618" s="87"/>
      <c r="D12618" s="87"/>
      <c r="E12618" s="87"/>
      <c r="F12618" s="87"/>
      <c r="G12618" s="87"/>
    </row>
    <row r="12619">
      <c r="A12619" s="86" t="str">
        <f>IFERROR(__xludf.DUMMYFUNCTION("""COMPUTED_VALUE"""),"")</f>
        <v/>
      </c>
      <c r="B12619" s="87"/>
      <c r="C12619" s="87"/>
      <c r="D12619" s="87"/>
      <c r="E12619" s="87"/>
      <c r="F12619" s="87"/>
      <c r="G12619" s="87"/>
    </row>
    <row r="12620">
      <c r="A12620" s="86" t="str">
        <f>IFERROR(__xludf.DUMMYFUNCTION("""COMPUTED_VALUE"""),"")</f>
        <v/>
      </c>
      <c r="B12620" s="87"/>
      <c r="C12620" s="87"/>
      <c r="D12620" s="87"/>
      <c r="E12620" s="87"/>
      <c r="F12620" s="87"/>
      <c r="G12620" s="87"/>
    </row>
    <row r="12621">
      <c r="A12621" s="86" t="str">
        <f>IFERROR(__xludf.DUMMYFUNCTION("""COMPUTED_VALUE"""),"")</f>
        <v/>
      </c>
      <c r="B12621" s="87"/>
      <c r="C12621" s="87"/>
      <c r="D12621" s="87"/>
      <c r="E12621" s="87"/>
      <c r="F12621" s="87"/>
      <c r="G12621" s="87"/>
    </row>
    <row r="12622">
      <c r="A12622" s="86" t="str">
        <f>IFERROR(__xludf.DUMMYFUNCTION("""COMPUTED_VALUE"""),"")</f>
        <v/>
      </c>
      <c r="B12622" s="87"/>
      <c r="C12622" s="87"/>
      <c r="D12622" s="87"/>
      <c r="E12622" s="87"/>
      <c r="F12622" s="87"/>
      <c r="G12622" s="87"/>
    </row>
    <row r="12623">
      <c r="A12623" s="86" t="str">
        <f>IFERROR(__xludf.DUMMYFUNCTION("""COMPUTED_VALUE"""),"")</f>
        <v/>
      </c>
      <c r="B12623" s="87"/>
      <c r="C12623" s="87"/>
      <c r="D12623" s="87"/>
      <c r="E12623" s="87"/>
      <c r="F12623" s="87"/>
      <c r="G12623" s="87"/>
    </row>
    <row r="12624">
      <c r="A12624" s="86" t="str">
        <f>IFERROR(__xludf.DUMMYFUNCTION("""COMPUTED_VALUE"""),"")</f>
        <v/>
      </c>
      <c r="B12624" s="87"/>
      <c r="C12624" s="87"/>
      <c r="D12624" s="87"/>
      <c r="E12624" s="87"/>
      <c r="F12624" s="87"/>
      <c r="G12624" s="87"/>
    </row>
    <row r="12625">
      <c r="A12625" s="86" t="str">
        <f>IFERROR(__xludf.DUMMYFUNCTION("""COMPUTED_VALUE"""),"")</f>
        <v/>
      </c>
      <c r="B12625" s="87"/>
      <c r="C12625" s="87"/>
      <c r="D12625" s="87"/>
      <c r="E12625" s="87"/>
      <c r="F12625" s="87"/>
      <c r="G12625" s="87"/>
    </row>
    <row r="12626">
      <c r="A12626" s="86" t="str">
        <f>IFERROR(__xludf.DUMMYFUNCTION("""COMPUTED_VALUE"""),"")</f>
        <v/>
      </c>
      <c r="B12626" s="87"/>
      <c r="C12626" s="87"/>
      <c r="D12626" s="87"/>
      <c r="E12626" s="87"/>
      <c r="F12626" s="87"/>
      <c r="G12626" s="87"/>
    </row>
    <row r="12627">
      <c r="A12627" s="86" t="str">
        <f>IFERROR(__xludf.DUMMYFUNCTION("""COMPUTED_VALUE"""),"")</f>
        <v/>
      </c>
      <c r="B12627" s="87"/>
      <c r="C12627" s="87"/>
      <c r="D12627" s="87"/>
      <c r="E12627" s="87"/>
      <c r="F12627" s="87"/>
      <c r="G12627" s="87"/>
    </row>
    <row r="12628">
      <c r="A12628" s="86" t="str">
        <f>IFERROR(__xludf.DUMMYFUNCTION("""COMPUTED_VALUE"""),"")</f>
        <v/>
      </c>
      <c r="B12628" s="87"/>
      <c r="C12628" s="87"/>
      <c r="D12628" s="87"/>
      <c r="E12628" s="87"/>
      <c r="F12628" s="87"/>
      <c r="G12628" s="87"/>
    </row>
    <row r="12629">
      <c r="A12629" s="86" t="str">
        <f>IFERROR(__xludf.DUMMYFUNCTION("""COMPUTED_VALUE"""),"")</f>
        <v/>
      </c>
      <c r="B12629" s="87"/>
      <c r="C12629" s="87"/>
      <c r="D12629" s="87"/>
      <c r="E12629" s="87"/>
      <c r="F12629" s="87"/>
      <c r="G12629" s="87"/>
    </row>
    <row r="12630">
      <c r="A12630" s="86" t="str">
        <f>IFERROR(__xludf.DUMMYFUNCTION("""COMPUTED_VALUE"""),"")</f>
        <v/>
      </c>
      <c r="B12630" s="87"/>
      <c r="C12630" s="87"/>
      <c r="D12630" s="87"/>
      <c r="E12630" s="87"/>
      <c r="F12630" s="87"/>
      <c r="G12630" s="87"/>
    </row>
    <row r="12631">
      <c r="A12631" s="86" t="str">
        <f>IFERROR(__xludf.DUMMYFUNCTION("""COMPUTED_VALUE"""),"")</f>
        <v/>
      </c>
      <c r="B12631" s="87"/>
      <c r="C12631" s="87"/>
      <c r="D12631" s="87"/>
      <c r="E12631" s="87"/>
      <c r="F12631" s="87"/>
      <c r="G12631" s="87"/>
    </row>
    <row r="12632">
      <c r="A12632" s="86" t="str">
        <f>IFERROR(__xludf.DUMMYFUNCTION("""COMPUTED_VALUE"""),"")</f>
        <v/>
      </c>
      <c r="B12632" s="87"/>
      <c r="C12632" s="87"/>
      <c r="D12632" s="87"/>
      <c r="E12632" s="87"/>
      <c r="F12632" s="87"/>
      <c r="G12632" s="87"/>
    </row>
    <row r="12633">
      <c r="A12633" s="86" t="str">
        <f>IFERROR(__xludf.DUMMYFUNCTION("""COMPUTED_VALUE"""),"")</f>
        <v/>
      </c>
      <c r="B12633" s="87"/>
      <c r="C12633" s="87"/>
      <c r="D12633" s="87"/>
      <c r="E12633" s="87"/>
      <c r="F12633" s="87"/>
      <c r="G12633" s="87"/>
    </row>
    <row r="12634">
      <c r="A12634" s="86" t="str">
        <f>IFERROR(__xludf.DUMMYFUNCTION("""COMPUTED_VALUE"""),"")</f>
        <v/>
      </c>
      <c r="B12634" s="87"/>
      <c r="C12634" s="87"/>
      <c r="D12634" s="87"/>
      <c r="E12634" s="87"/>
      <c r="F12634" s="87"/>
      <c r="G12634" s="87"/>
    </row>
    <row r="12635">
      <c r="A12635" s="86" t="str">
        <f>IFERROR(__xludf.DUMMYFUNCTION("""COMPUTED_VALUE"""),"")</f>
        <v/>
      </c>
      <c r="B12635" s="87"/>
      <c r="C12635" s="87"/>
      <c r="D12635" s="87"/>
      <c r="E12635" s="87"/>
      <c r="F12635" s="87"/>
      <c r="G12635" s="87"/>
    </row>
    <row r="12636">
      <c r="A12636" s="86" t="str">
        <f>IFERROR(__xludf.DUMMYFUNCTION("""COMPUTED_VALUE"""),"")</f>
        <v/>
      </c>
      <c r="B12636" s="87"/>
      <c r="C12636" s="87"/>
      <c r="D12636" s="87"/>
      <c r="E12636" s="87"/>
      <c r="F12636" s="87"/>
      <c r="G12636" s="87"/>
    </row>
    <row r="12637">
      <c r="A12637" s="86" t="str">
        <f>IFERROR(__xludf.DUMMYFUNCTION("""COMPUTED_VALUE"""),"")</f>
        <v/>
      </c>
      <c r="B12637" s="87"/>
      <c r="C12637" s="87"/>
      <c r="D12637" s="87"/>
      <c r="E12637" s="87"/>
      <c r="F12637" s="87"/>
      <c r="G12637" s="87"/>
    </row>
    <row r="12638">
      <c r="A12638" s="86" t="str">
        <f>IFERROR(__xludf.DUMMYFUNCTION("""COMPUTED_VALUE"""),"")</f>
        <v/>
      </c>
      <c r="B12638" s="87"/>
      <c r="C12638" s="87"/>
      <c r="D12638" s="87"/>
      <c r="E12638" s="87"/>
      <c r="F12638" s="87"/>
      <c r="G12638" s="87"/>
    </row>
    <row r="12639">
      <c r="A12639" s="86" t="str">
        <f>IFERROR(__xludf.DUMMYFUNCTION("""COMPUTED_VALUE"""),"")</f>
        <v/>
      </c>
      <c r="B12639" s="87"/>
      <c r="C12639" s="87"/>
      <c r="D12639" s="87"/>
      <c r="E12639" s="87"/>
      <c r="F12639" s="87"/>
      <c r="G12639" s="87"/>
    </row>
    <row r="12640">
      <c r="A12640" s="86" t="str">
        <f>IFERROR(__xludf.DUMMYFUNCTION("""COMPUTED_VALUE"""),"")</f>
        <v/>
      </c>
      <c r="B12640" s="87"/>
      <c r="C12640" s="87"/>
      <c r="D12640" s="87"/>
      <c r="E12640" s="87"/>
      <c r="F12640" s="87"/>
      <c r="G12640" s="87"/>
    </row>
    <row r="12641">
      <c r="A12641" s="86" t="str">
        <f>IFERROR(__xludf.DUMMYFUNCTION("""COMPUTED_VALUE"""),"")</f>
        <v/>
      </c>
      <c r="B12641" s="87"/>
      <c r="C12641" s="87"/>
      <c r="D12641" s="87"/>
      <c r="E12641" s="87"/>
      <c r="F12641" s="87"/>
      <c r="G12641" s="87"/>
    </row>
    <row r="12642">
      <c r="A12642" s="86" t="str">
        <f>IFERROR(__xludf.DUMMYFUNCTION("""COMPUTED_VALUE"""),"")</f>
        <v/>
      </c>
      <c r="B12642" s="87"/>
      <c r="C12642" s="87"/>
      <c r="D12642" s="87"/>
      <c r="E12642" s="87"/>
      <c r="F12642" s="87"/>
      <c r="G12642" s="87"/>
    </row>
    <row r="12643">
      <c r="A12643" s="86" t="str">
        <f>IFERROR(__xludf.DUMMYFUNCTION("""COMPUTED_VALUE"""),"")</f>
        <v/>
      </c>
      <c r="B12643" s="87"/>
      <c r="C12643" s="87"/>
      <c r="D12643" s="87"/>
      <c r="E12643" s="87"/>
      <c r="F12643" s="87"/>
      <c r="G12643" s="87"/>
    </row>
    <row r="12644">
      <c r="A12644" s="86" t="str">
        <f>IFERROR(__xludf.DUMMYFUNCTION("""COMPUTED_VALUE"""),"")</f>
        <v/>
      </c>
      <c r="B12644" s="87"/>
      <c r="C12644" s="87"/>
      <c r="D12644" s="87"/>
      <c r="E12644" s="87"/>
      <c r="F12644" s="87"/>
      <c r="G12644" s="87"/>
    </row>
    <row r="12645">
      <c r="A12645" s="86" t="str">
        <f>IFERROR(__xludf.DUMMYFUNCTION("""COMPUTED_VALUE"""),"")</f>
        <v/>
      </c>
      <c r="B12645" s="87"/>
      <c r="C12645" s="87"/>
      <c r="D12645" s="87"/>
      <c r="E12645" s="87"/>
      <c r="F12645" s="87"/>
      <c r="G12645" s="87"/>
    </row>
    <row r="12646">
      <c r="A12646" s="86" t="str">
        <f>IFERROR(__xludf.DUMMYFUNCTION("""COMPUTED_VALUE"""),"")</f>
        <v/>
      </c>
      <c r="B12646" s="87"/>
      <c r="C12646" s="87"/>
      <c r="D12646" s="87"/>
      <c r="E12646" s="87"/>
      <c r="F12646" s="87"/>
      <c r="G12646" s="87"/>
    </row>
    <row r="12647">
      <c r="A12647" s="86" t="str">
        <f>IFERROR(__xludf.DUMMYFUNCTION("""COMPUTED_VALUE"""),"")</f>
        <v/>
      </c>
      <c r="B12647" s="87"/>
      <c r="C12647" s="87"/>
      <c r="D12647" s="87"/>
      <c r="E12647" s="87"/>
      <c r="F12647" s="87"/>
      <c r="G12647" s="87"/>
    </row>
    <row r="12648">
      <c r="A12648" s="86" t="str">
        <f>IFERROR(__xludf.DUMMYFUNCTION("""COMPUTED_VALUE"""),"")</f>
        <v/>
      </c>
      <c r="B12648" s="87"/>
      <c r="C12648" s="87"/>
      <c r="D12648" s="87"/>
      <c r="E12648" s="87"/>
      <c r="F12648" s="87"/>
      <c r="G12648" s="87"/>
    </row>
    <row r="12649">
      <c r="A12649" s="86" t="str">
        <f>IFERROR(__xludf.DUMMYFUNCTION("""COMPUTED_VALUE"""),"")</f>
        <v/>
      </c>
      <c r="B12649" s="87"/>
      <c r="C12649" s="87"/>
      <c r="D12649" s="87"/>
      <c r="E12649" s="87"/>
      <c r="F12649" s="87"/>
      <c r="G12649" s="87"/>
    </row>
    <row r="12650">
      <c r="A12650" s="86" t="str">
        <f>IFERROR(__xludf.DUMMYFUNCTION("""COMPUTED_VALUE"""),"")</f>
        <v/>
      </c>
      <c r="B12650" s="87"/>
      <c r="C12650" s="87"/>
      <c r="D12650" s="87"/>
      <c r="E12650" s="87"/>
      <c r="F12650" s="87"/>
      <c r="G12650" s="87"/>
    </row>
    <row r="12651">
      <c r="A12651" s="86" t="str">
        <f>IFERROR(__xludf.DUMMYFUNCTION("""COMPUTED_VALUE"""),"")</f>
        <v/>
      </c>
      <c r="B12651" s="87"/>
      <c r="C12651" s="87"/>
      <c r="D12651" s="87"/>
      <c r="E12651" s="87"/>
      <c r="F12651" s="87"/>
      <c r="G12651" s="87"/>
    </row>
    <row r="12652">
      <c r="A12652" s="86" t="str">
        <f>IFERROR(__xludf.DUMMYFUNCTION("""COMPUTED_VALUE"""),"")</f>
        <v/>
      </c>
      <c r="B12652" s="87"/>
      <c r="C12652" s="87"/>
      <c r="D12652" s="87"/>
      <c r="E12652" s="87"/>
      <c r="F12652" s="87"/>
      <c r="G12652" s="87"/>
    </row>
    <row r="12653">
      <c r="A12653" s="86" t="str">
        <f>IFERROR(__xludf.DUMMYFUNCTION("""COMPUTED_VALUE"""),"")</f>
        <v/>
      </c>
      <c r="B12653" s="87"/>
      <c r="C12653" s="87"/>
      <c r="D12653" s="87"/>
      <c r="E12653" s="87"/>
      <c r="F12653" s="87"/>
      <c r="G12653" s="87"/>
    </row>
    <row r="12654">
      <c r="A12654" s="86" t="str">
        <f>IFERROR(__xludf.DUMMYFUNCTION("""COMPUTED_VALUE"""),"")</f>
        <v/>
      </c>
      <c r="B12654" s="87"/>
      <c r="C12654" s="87"/>
      <c r="D12654" s="87"/>
      <c r="E12654" s="87"/>
      <c r="F12654" s="87"/>
      <c r="G12654" s="87"/>
    </row>
    <row r="12655">
      <c r="A12655" s="86" t="str">
        <f>IFERROR(__xludf.DUMMYFUNCTION("""COMPUTED_VALUE"""),"")</f>
        <v/>
      </c>
      <c r="B12655" s="87"/>
      <c r="C12655" s="87"/>
      <c r="D12655" s="87"/>
      <c r="E12655" s="87"/>
      <c r="F12655" s="87"/>
      <c r="G12655" s="87"/>
    </row>
    <row r="12656">
      <c r="A12656" s="86" t="str">
        <f>IFERROR(__xludf.DUMMYFUNCTION("""COMPUTED_VALUE"""),"")</f>
        <v/>
      </c>
      <c r="B12656" s="87"/>
      <c r="C12656" s="87"/>
      <c r="D12656" s="87"/>
      <c r="E12656" s="87"/>
      <c r="F12656" s="87"/>
      <c r="G12656" s="87"/>
    </row>
    <row r="12657">
      <c r="A12657" s="86" t="str">
        <f>IFERROR(__xludf.DUMMYFUNCTION("""COMPUTED_VALUE"""),"")</f>
        <v/>
      </c>
      <c r="B12657" s="87"/>
      <c r="C12657" s="87"/>
      <c r="D12657" s="87"/>
      <c r="E12657" s="87"/>
      <c r="F12657" s="87"/>
      <c r="G12657" s="87"/>
    </row>
    <row r="12658">
      <c r="A12658" s="86" t="str">
        <f>IFERROR(__xludf.DUMMYFUNCTION("""COMPUTED_VALUE"""),"")</f>
        <v/>
      </c>
      <c r="B12658" s="87"/>
      <c r="C12658" s="87"/>
      <c r="D12658" s="87"/>
      <c r="E12658" s="87"/>
      <c r="F12658" s="87"/>
      <c r="G12658" s="87"/>
    </row>
    <row r="12659">
      <c r="A12659" s="86" t="str">
        <f>IFERROR(__xludf.DUMMYFUNCTION("""COMPUTED_VALUE"""),"")</f>
        <v/>
      </c>
      <c r="B12659" s="87"/>
      <c r="C12659" s="87"/>
      <c r="D12659" s="87"/>
      <c r="E12659" s="87"/>
      <c r="F12659" s="87"/>
      <c r="G12659" s="87"/>
    </row>
    <row r="12660">
      <c r="A12660" s="86" t="str">
        <f>IFERROR(__xludf.DUMMYFUNCTION("""COMPUTED_VALUE"""),"")</f>
        <v/>
      </c>
      <c r="B12660" s="87"/>
      <c r="C12660" s="87"/>
      <c r="D12660" s="87"/>
      <c r="E12660" s="87"/>
      <c r="F12660" s="87"/>
      <c r="G12660" s="87"/>
    </row>
    <row r="12661">
      <c r="A12661" s="86" t="str">
        <f>IFERROR(__xludf.DUMMYFUNCTION("""COMPUTED_VALUE"""),"")</f>
        <v/>
      </c>
      <c r="B12661" s="87"/>
      <c r="C12661" s="87"/>
      <c r="D12661" s="87"/>
      <c r="E12661" s="87"/>
      <c r="F12661" s="87"/>
      <c r="G12661" s="87"/>
    </row>
    <row r="12662">
      <c r="A12662" s="86" t="str">
        <f>IFERROR(__xludf.DUMMYFUNCTION("""COMPUTED_VALUE"""),"")</f>
        <v/>
      </c>
      <c r="B12662" s="87"/>
      <c r="C12662" s="87"/>
      <c r="D12662" s="87"/>
      <c r="E12662" s="87"/>
      <c r="F12662" s="87"/>
      <c r="G12662" s="87"/>
    </row>
    <row r="12663">
      <c r="A12663" s="86" t="str">
        <f>IFERROR(__xludf.DUMMYFUNCTION("""COMPUTED_VALUE"""),"")</f>
        <v/>
      </c>
      <c r="B12663" s="87"/>
      <c r="C12663" s="87"/>
      <c r="D12663" s="87"/>
      <c r="E12663" s="87"/>
      <c r="F12663" s="87"/>
      <c r="G12663" s="87"/>
    </row>
    <row r="12664">
      <c r="A12664" s="86" t="str">
        <f>IFERROR(__xludf.DUMMYFUNCTION("""COMPUTED_VALUE"""),"")</f>
        <v/>
      </c>
      <c r="B12664" s="87"/>
      <c r="C12664" s="87"/>
      <c r="D12664" s="87"/>
      <c r="E12664" s="87"/>
      <c r="F12664" s="87"/>
      <c r="G12664" s="87"/>
    </row>
    <row r="12665">
      <c r="A12665" s="86" t="str">
        <f>IFERROR(__xludf.DUMMYFUNCTION("""COMPUTED_VALUE"""),"")</f>
        <v/>
      </c>
      <c r="B12665" s="87"/>
      <c r="C12665" s="87"/>
      <c r="D12665" s="87"/>
      <c r="E12665" s="87"/>
      <c r="F12665" s="87"/>
      <c r="G12665" s="87"/>
    </row>
    <row r="12666">
      <c r="A12666" s="86" t="str">
        <f>IFERROR(__xludf.DUMMYFUNCTION("""COMPUTED_VALUE"""),"")</f>
        <v/>
      </c>
      <c r="B12666" s="87"/>
      <c r="C12666" s="87"/>
      <c r="D12666" s="87"/>
      <c r="E12666" s="87"/>
      <c r="F12666" s="87"/>
      <c r="G12666" s="87"/>
    </row>
    <row r="12667">
      <c r="A12667" s="86" t="str">
        <f>IFERROR(__xludf.DUMMYFUNCTION("""COMPUTED_VALUE"""),"")</f>
        <v/>
      </c>
      <c r="B12667" s="87"/>
      <c r="C12667" s="87"/>
      <c r="D12667" s="87"/>
      <c r="E12667" s="87"/>
      <c r="F12667" s="87"/>
      <c r="G12667" s="87"/>
    </row>
    <row r="12668">
      <c r="A12668" s="86" t="str">
        <f>IFERROR(__xludf.DUMMYFUNCTION("""COMPUTED_VALUE"""),"")</f>
        <v/>
      </c>
      <c r="B12668" s="87"/>
      <c r="C12668" s="87"/>
      <c r="D12668" s="87"/>
      <c r="E12668" s="87"/>
      <c r="F12668" s="87"/>
      <c r="G12668" s="87"/>
    </row>
    <row r="12669">
      <c r="A12669" s="86" t="str">
        <f>IFERROR(__xludf.DUMMYFUNCTION("""COMPUTED_VALUE"""),"")</f>
        <v/>
      </c>
      <c r="B12669" s="87"/>
      <c r="C12669" s="87"/>
      <c r="D12669" s="87"/>
      <c r="E12669" s="87"/>
      <c r="F12669" s="87"/>
      <c r="G12669" s="87"/>
    </row>
    <row r="12670">
      <c r="A12670" s="86" t="str">
        <f>IFERROR(__xludf.DUMMYFUNCTION("""COMPUTED_VALUE"""),"")</f>
        <v/>
      </c>
      <c r="B12670" s="87"/>
      <c r="C12670" s="87"/>
      <c r="D12670" s="87"/>
      <c r="E12670" s="87"/>
      <c r="F12670" s="87"/>
      <c r="G12670" s="87"/>
    </row>
    <row r="12671">
      <c r="A12671" s="86" t="str">
        <f>IFERROR(__xludf.DUMMYFUNCTION("""COMPUTED_VALUE"""),"")</f>
        <v/>
      </c>
      <c r="B12671" s="87"/>
      <c r="C12671" s="87"/>
      <c r="D12671" s="87"/>
      <c r="E12671" s="87"/>
      <c r="F12671" s="87"/>
      <c r="G12671" s="87"/>
    </row>
    <row r="12672">
      <c r="A12672" s="86" t="str">
        <f>IFERROR(__xludf.DUMMYFUNCTION("""COMPUTED_VALUE"""),"")</f>
        <v/>
      </c>
      <c r="B12672" s="87"/>
      <c r="C12672" s="87"/>
      <c r="D12672" s="87"/>
      <c r="E12672" s="87"/>
      <c r="F12672" s="87"/>
      <c r="G12672" s="87"/>
    </row>
    <row r="12673">
      <c r="A12673" s="86" t="str">
        <f>IFERROR(__xludf.DUMMYFUNCTION("""COMPUTED_VALUE"""),"")</f>
        <v/>
      </c>
      <c r="B12673" s="87"/>
      <c r="C12673" s="87"/>
      <c r="D12673" s="87"/>
      <c r="E12673" s="87"/>
      <c r="F12673" s="87"/>
      <c r="G12673" s="87"/>
    </row>
    <row r="12674">
      <c r="A12674" s="86" t="str">
        <f>IFERROR(__xludf.DUMMYFUNCTION("""COMPUTED_VALUE"""),"")</f>
        <v/>
      </c>
      <c r="B12674" s="87"/>
      <c r="C12674" s="87"/>
      <c r="D12674" s="87"/>
      <c r="E12674" s="87"/>
      <c r="F12674" s="87"/>
      <c r="G12674" s="87"/>
    </row>
    <row r="12675">
      <c r="A12675" s="86" t="str">
        <f>IFERROR(__xludf.DUMMYFUNCTION("""COMPUTED_VALUE"""),"")</f>
        <v/>
      </c>
      <c r="B12675" s="87"/>
      <c r="C12675" s="87"/>
      <c r="D12675" s="87"/>
      <c r="E12675" s="87"/>
      <c r="F12675" s="87"/>
      <c r="G12675" s="87"/>
    </row>
    <row r="12676">
      <c r="A12676" s="86" t="str">
        <f>IFERROR(__xludf.DUMMYFUNCTION("""COMPUTED_VALUE"""),"")</f>
        <v/>
      </c>
      <c r="B12676" s="87"/>
      <c r="C12676" s="87"/>
      <c r="D12676" s="87"/>
      <c r="E12676" s="87"/>
      <c r="F12676" s="87"/>
      <c r="G12676" s="87"/>
    </row>
    <row r="12677">
      <c r="A12677" s="86" t="str">
        <f>IFERROR(__xludf.DUMMYFUNCTION("""COMPUTED_VALUE"""),"")</f>
        <v/>
      </c>
      <c r="B12677" s="87"/>
      <c r="C12677" s="87"/>
      <c r="D12677" s="87"/>
      <c r="E12677" s="87"/>
      <c r="F12677" s="87"/>
      <c r="G12677" s="87"/>
    </row>
    <row r="12678">
      <c r="A12678" s="86" t="str">
        <f>IFERROR(__xludf.DUMMYFUNCTION("""COMPUTED_VALUE"""),"")</f>
        <v/>
      </c>
      <c r="B12678" s="87"/>
      <c r="C12678" s="87"/>
      <c r="D12678" s="87"/>
      <c r="E12678" s="87"/>
      <c r="F12678" s="87"/>
      <c r="G12678" s="87"/>
    </row>
    <row r="12679">
      <c r="A12679" s="86" t="str">
        <f>IFERROR(__xludf.DUMMYFUNCTION("""COMPUTED_VALUE"""),"")</f>
        <v/>
      </c>
      <c r="B12679" s="87"/>
      <c r="C12679" s="87"/>
      <c r="D12679" s="87"/>
      <c r="E12679" s="87"/>
      <c r="F12679" s="87"/>
      <c r="G12679" s="87"/>
    </row>
    <row r="12680">
      <c r="A12680" s="86" t="str">
        <f>IFERROR(__xludf.DUMMYFUNCTION("""COMPUTED_VALUE"""),"")</f>
        <v/>
      </c>
      <c r="B12680" s="87"/>
      <c r="C12680" s="87"/>
      <c r="D12680" s="87"/>
      <c r="E12680" s="87"/>
      <c r="F12680" s="87"/>
      <c r="G12680" s="87"/>
    </row>
    <row r="12681">
      <c r="A12681" s="86" t="str">
        <f>IFERROR(__xludf.DUMMYFUNCTION("""COMPUTED_VALUE"""),"")</f>
        <v/>
      </c>
      <c r="B12681" s="87"/>
      <c r="C12681" s="87"/>
      <c r="D12681" s="87"/>
      <c r="E12681" s="87"/>
      <c r="F12681" s="87"/>
      <c r="G12681" s="87"/>
    </row>
    <row r="12682">
      <c r="A12682" s="86" t="str">
        <f>IFERROR(__xludf.DUMMYFUNCTION("""COMPUTED_VALUE"""),"")</f>
        <v/>
      </c>
      <c r="B12682" s="87"/>
      <c r="C12682" s="87"/>
      <c r="D12682" s="87"/>
      <c r="E12682" s="87"/>
      <c r="F12682" s="87"/>
      <c r="G12682" s="87"/>
    </row>
    <row r="12683">
      <c r="A12683" s="86" t="str">
        <f>IFERROR(__xludf.DUMMYFUNCTION("""COMPUTED_VALUE"""),"")</f>
        <v/>
      </c>
      <c r="B12683" s="87"/>
      <c r="C12683" s="87"/>
      <c r="D12683" s="87"/>
      <c r="E12683" s="87"/>
      <c r="F12683" s="87"/>
      <c r="G12683" s="87"/>
    </row>
    <row r="12684">
      <c r="A12684" s="86" t="str">
        <f>IFERROR(__xludf.DUMMYFUNCTION("""COMPUTED_VALUE"""),"")</f>
        <v/>
      </c>
      <c r="B12684" s="87"/>
      <c r="C12684" s="87"/>
      <c r="D12684" s="87"/>
      <c r="E12684" s="87"/>
      <c r="F12684" s="87"/>
      <c r="G12684" s="87"/>
    </row>
    <row r="12685">
      <c r="A12685" s="86" t="str">
        <f>IFERROR(__xludf.DUMMYFUNCTION("""COMPUTED_VALUE"""),"")</f>
        <v/>
      </c>
      <c r="B12685" s="87"/>
      <c r="C12685" s="87"/>
      <c r="D12685" s="87"/>
      <c r="E12685" s="87"/>
      <c r="F12685" s="87"/>
      <c r="G12685" s="87"/>
    </row>
    <row r="12686">
      <c r="A12686" s="86" t="str">
        <f>IFERROR(__xludf.DUMMYFUNCTION("""COMPUTED_VALUE"""),"")</f>
        <v/>
      </c>
      <c r="B12686" s="87"/>
      <c r="C12686" s="87"/>
      <c r="D12686" s="87"/>
      <c r="E12686" s="87"/>
      <c r="F12686" s="87"/>
      <c r="G12686" s="87"/>
    </row>
    <row r="12687">
      <c r="A12687" s="86" t="str">
        <f>IFERROR(__xludf.DUMMYFUNCTION("""COMPUTED_VALUE"""),"")</f>
        <v/>
      </c>
      <c r="B12687" s="87"/>
      <c r="C12687" s="87"/>
      <c r="D12687" s="87"/>
      <c r="E12687" s="87"/>
      <c r="F12687" s="87"/>
      <c r="G12687" s="87"/>
    </row>
    <row r="12688">
      <c r="A12688" s="86" t="str">
        <f>IFERROR(__xludf.DUMMYFUNCTION("""COMPUTED_VALUE"""),"")</f>
        <v/>
      </c>
      <c r="B12688" s="87"/>
      <c r="C12688" s="87"/>
      <c r="D12688" s="87"/>
      <c r="E12688" s="87"/>
      <c r="F12688" s="87"/>
      <c r="G12688" s="87"/>
    </row>
    <row r="12689">
      <c r="A12689" s="86" t="str">
        <f>IFERROR(__xludf.DUMMYFUNCTION("""COMPUTED_VALUE"""),"")</f>
        <v/>
      </c>
      <c r="B12689" s="87"/>
      <c r="C12689" s="87"/>
      <c r="D12689" s="87"/>
      <c r="E12689" s="87"/>
      <c r="F12689" s="87"/>
      <c r="G12689" s="87"/>
    </row>
    <row r="12690">
      <c r="A12690" s="86" t="str">
        <f>IFERROR(__xludf.DUMMYFUNCTION("""COMPUTED_VALUE"""),"")</f>
        <v/>
      </c>
      <c r="B12690" s="87"/>
      <c r="C12690" s="87"/>
      <c r="D12690" s="87"/>
      <c r="E12690" s="87"/>
      <c r="F12690" s="87"/>
      <c r="G12690" s="87"/>
    </row>
    <row r="12691">
      <c r="A12691" s="86" t="str">
        <f>IFERROR(__xludf.DUMMYFUNCTION("""COMPUTED_VALUE"""),"")</f>
        <v/>
      </c>
      <c r="B12691" s="87"/>
      <c r="C12691" s="87"/>
      <c r="D12691" s="87"/>
      <c r="E12691" s="87"/>
      <c r="F12691" s="87"/>
      <c r="G12691" s="87"/>
    </row>
    <row r="12692">
      <c r="A12692" s="86" t="str">
        <f>IFERROR(__xludf.DUMMYFUNCTION("""COMPUTED_VALUE"""),"")</f>
        <v/>
      </c>
      <c r="B12692" s="87"/>
      <c r="C12692" s="87"/>
      <c r="D12692" s="87"/>
      <c r="E12692" s="87"/>
      <c r="F12692" s="87"/>
      <c r="G12692" s="87"/>
    </row>
    <row r="12693">
      <c r="A12693" s="86" t="str">
        <f>IFERROR(__xludf.DUMMYFUNCTION("""COMPUTED_VALUE"""),"")</f>
        <v/>
      </c>
      <c r="B12693" s="87"/>
      <c r="C12693" s="87"/>
      <c r="D12693" s="87"/>
      <c r="E12693" s="87"/>
      <c r="F12693" s="87"/>
      <c r="G12693" s="87"/>
    </row>
    <row r="12694">
      <c r="A12694" s="86" t="str">
        <f>IFERROR(__xludf.DUMMYFUNCTION("""COMPUTED_VALUE"""),"")</f>
        <v/>
      </c>
      <c r="B12694" s="87"/>
      <c r="C12694" s="87"/>
      <c r="D12694" s="87"/>
      <c r="E12694" s="87"/>
      <c r="F12694" s="87"/>
      <c r="G12694" s="87"/>
    </row>
    <row r="12695">
      <c r="A12695" s="86" t="str">
        <f>IFERROR(__xludf.DUMMYFUNCTION("""COMPUTED_VALUE"""),"")</f>
        <v/>
      </c>
      <c r="B12695" s="87"/>
      <c r="C12695" s="87"/>
      <c r="D12695" s="87"/>
      <c r="E12695" s="87"/>
      <c r="F12695" s="87"/>
      <c r="G12695" s="87"/>
    </row>
    <row r="12696">
      <c r="A12696" s="86" t="str">
        <f>IFERROR(__xludf.DUMMYFUNCTION("""COMPUTED_VALUE"""),"")</f>
        <v/>
      </c>
      <c r="B12696" s="87"/>
      <c r="C12696" s="87"/>
      <c r="D12696" s="87"/>
      <c r="E12696" s="87"/>
      <c r="F12696" s="87"/>
      <c r="G12696" s="87"/>
    </row>
    <row r="12697">
      <c r="A12697" s="86" t="str">
        <f>IFERROR(__xludf.DUMMYFUNCTION("""COMPUTED_VALUE"""),"")</f>
        <v/>
      </c>
      <c r="B12697" s="87"/>
      <c r="C12697" s="87"/>
      <c r="D12697" s="87"/>
      <c r="E12697" s="87"/>
      <c r="F12697" s="87"/>
      <c r="G12697" s="87"/>
    </row>
    <row r="12698">
      <c r="A12698" s="86" t="str">
        <f>IFERROR(__xludf.DUMMYFUNCTION("""COMPUTED_VALUE"""),"")</f>
        <v/>
      </c>
      <c r="B12698" s="87"/>
      <c r="C12698" s="87"/>
      <c r="D12698" s="87"/>
      <c r="E12698" s="87"/>
      <c r="F12698" s="87"/>
      <c r="G12698" s="87"/>
    </row>
    <row r="12699">
      <c r="A12699" s="86" t="str">
        <f>IFERROR(__xludf.DUMMYFUNCTION("""COMPUTED_VALUE"""),"")</f>
        <v/>
      </c>
      <c r="B12699" s="87"/>
      <c r="C12699" s="87"/>
      <c r="D12699" s="87"/>
      <c r="E12699" s="87"/>
      <c r="F12699" s="87"/>
      <c r="G12699" s="87"/>
    </row>
    <row r="12700">
      <c r="A12700" s="86" t="str">
        <f>IFERROR(__xludf.DUMMYFUNCTION("""COMPUTED_VALUE"""),"")</f>
        <v/>
      </c>
      <c r="B12700" s="87"/>
      <c r="C12700" s="87"/>
      <c r="D12700" s="87"/>
      <c r="E12700" s="87"/>
      <c r="F12700" s="87"/>
      <c r="G12700" s="87"/>
    </row>
    <row r="12701">
      <c r="A12701" s="86" t="str">
        <f>IFERROR(__xludf.DUMMYFUNCTION("""COMPUTED_VALUE"""),"")</f>
        <v/>
      </c>
      <c r="B12701" s="87"/>
      <c r="C12701" s="87"/>
      <c r="D12701" s="87"/>
      <c r="E12701" s="87"/>
      <c r="F12701" s="87"/>
      <c r="G12701" s="87"/>
    </row>
    <row r="12702">
      <c r="A12702" s="86" t="str">
        <f>IFERROR(__xludf.DUMMYFUNCTION("""COMPUTED_VALUE"""),"")</f>
        <v/>
      </c>
      <c r="B12702" s="87"/>
      <c r="C12702" s="87"/>
      <c r="D12702" s="87"/>
      <c r="E12702" s="87"/>
      <c r="F12702" s="87"/>
      <c r="G12702" s="87"/>
    </row>
    <row r="12703">
      <c r="A12703" s="86" t="str">
        <f>IFERROR(__xludf.DUMMYFUNCTION("""COMPUTED_VALUE"""),"")</f>
        <v/>
      </c>
      <c r="B12703" s="87"/>
      <c r="C12703" s="87"/>
      <c r="D12703" s="87"/>
      <c r="E12703" s="87"/>
      <c r="F12703" s="87"/>
      <c r="G12703" s="87"/>
    </row>
    <row r="12704">
      <c r="A12704" s="86" t="str">
        <f>IFERROR(__xludf.DUMMYFUNCTION("""COMPUTED_VALUE"""),"")</f>
        <v/>
      </c>
      <c r="B12704" s="87"/>
      <c r="C12704" s="87"/>
      <c r="D12704" s="87"/>
      <c r="E12704" s="87"/>
      <c r="F12704" s="87"/>
      <c r="G12704" s="87"/>
    </row>
    <row r="12705">
      <c r="A12705" s="86" t="str">
        <f>IFERROR(__xludf.DUMMYFUNCTION("""COMPUTED_VALUE"""),"")</f>
        <v/>
      </c>
      <c r="B12705" s="87"/>
      <c r="C12705" s="87"/>
      <c r="D12705" s="87"/>
      <c r="E12705" s="87"/>
      <c r="F12705" s="87"/>
      <c r="G12705" s="87"/>
    </row>
    <row r="12706">
      <c r="A12706" s="86" t="str">
        <f>IFERROR(__xludf.DUMMYFUNCTION("""COMPUTED_VALUE"""),"")</f>
        <v/>
      </c>
      <c r="B12706" s="87"/>
      <c r="C12706" s="87"/>
      <c r="D12706" s="87"/>
      <c r="E12706" s="87"/>
      <c r="F12706" s="87"/>
      <c r="G12706" s="87"/>
    </row>
    <row r="12707">
      <c r="A12707" s="86" t="str">
        <f>IFERROR(__xludf.DUMMYFUNCTION("""COMPUTED_VALUE"""),"")</f>
        <v/>
      </c>
      <c r="B12707" s="87"/>
      <c r="C12707" s="87"/>
      <c r="D12707" s="87"/>
      <c r="E12707" s="87"/>
      <c r="F12707" s="87"/>
      <c r="G12707" s="87"/>
    </row>
    <row r="12708">
      <c r="A12708" s="86" t="str">
        <f>IFERROR(__xludf.DUMMYFUNCTION("""COMPUTED_VALUE"""),"")</f>
        <v/>
      </c>
      <c r="B12708" s="87"/>
      <c r="C12708" s="87"/>
      <c r="D12708" s="87"/>
      <c r="E12708" s="87"/>
      <c r="F12708" s="87"/>
      <c r="G12708" s="87"/>
    </row>
    <row r="12709">
      <c r="A12709" s="86" t="str">
        <f>IFERROR(__xludf.DUMMYFUNCTION("""COMPUTED_VALUE"""),"")</f>
        <v/>
      </c>
      <c r="B12709" s="87"/>
      <c r="C12709" s="87"/>
      <c r="D12709" s="87"/>
      <c r="E12709" s="87"/>
      <c r="F12709" s="87"/>
      <c r="G12709" s="87"/>
    </row>
    <row r="12710">
      <c r="A12710" s="86" t="str">
        <f>IFERROR(__xludf.DUMMYFUNCTION("""COMPUTED_VALUE"""),"")</f>
        <v/>
      </c>
      <c r="B12710" s="87"/>
      <c r="C12710" s="87"/>
      <c r="D12710" s="87"/>
      <c r="E12710" s="87"/>
      <c r="F12710" s="87"/>
      <c r="G12710" s="87"/>
    </row>
    <row r="12711">
      <c r="A12711" s="86" t="str">
        <f>IFERROR(__xludf.DUMMYFUNCTION("""COMPUTED_VALUE"""),"")</f>
        <v/>
      </c>
      <c r="B12711" s="87"/>
      <c r="C12711" s="87"/>
      <c r="D12711" s="87"/>
      <c r="E12711" s="87"/>
      <c r="F12711" s="87"/>
      <c r="G12711" s="87"/>
    </row>
    <row r="12712">
      <c r="A12712" s="86" t="str">
        <f>IFERROR(__xludf.DUMMYFUNCTION("""COMPUTED_VALUE"""),"")</f>
        <v/>
      </c>
      <c r="B12712" s="87"/>
      <c r="C12712" s="87"/>
      <c r="D12712" s="87"/>
      <c r="E12712" s="87"/>
      <c r="F12712" s="87"/>
      <c r="G12712" s="87"/>
    </row>
    <row r="12713">
      <c r="A12713" s="86" t="str">
        <f>IFERROR(__xludf.DUMMYFUNCTION("""COMPUTED_VALUE"""),"")</f>
        <v/>
      </c>
      <c r="B12713" s="87"/>
      <c r="C12713" s="87"/>
      <c r="D12713" s="87"/>
      <c r="E12713" s="87"/>
      <c r="F12713" s="87"/>
      <c r="G12713" s="87"/>
    </row>
    <row r="12714">
      <c r="A12714" s="86" t="str">
        <f>IFERROR(__xludf.DUMMYFUNCTION("""COMPUTED_VALUE"""),"")</f>
        <v/>
      </c>
      <c r="B12714" s="87"/>
      <c r="C12714" s="87"/>
      <c r="D12714" s="87"/>
      <c r="E12714" s="87"/>
      <c r="F12714" s="87"/>
      <c r="G12714" s="87"/>
    </row>
    <row r="12715">
      <c r="A12715" s="86" t="str">
        <f>IFERROR(__xludf.DUMMYFUNCTION("""COMPUTED_VALUE"""),"")</f>
        <v/>
      </c>
      <c r="B12715" s="87"/>
      <c r="C12715" s="87"/>
      <c r="D12715" s="87"/>
      <c r="E12715" s="87"/>
      <c r="F12715" s="87"/>
      <c r="G12715" s="87"/>
    </row>
    <row r="12716">
      <c r="A12716" s="86" t="str">
        <f>IFERROR(__xludf.DUMMYFUNCTION("""COMPUTED_VALUE"""),"")</f>
        <v/>
      </c>
      <c r="B12716" s="87"/>
      <c r="C12716" s="87"/>
      <c r="D12716" s="87"/>
      <c r="E12716" s="87"/>
      <c r="F12716" s="87"/>
      <c r="G12716" s="87"/>
    </row>
    <row r="12717">
      <c r="A12717" s="86" t="str">
        <f>IFERROR(__xludf.DUMMYFUNCTION("""COMPUTED_VALUE"""),"")</f>
        <v/>
      </c>
      <c r="B12717" s="87"/>
      <c r="C12717" s="87"/>
      <c r="D12717" s="87"/>
      <c r="E12717" s="87"/>
      <c r="F12717" s="87"/>
      <c r="G12717" s="87"/>
    </row>
    <row r="12718">
      <c r="A12718" s="86" t="str">
        <f>IFERROR(__xludf.DUMMYFUNCTION("""COMPUTED_VALUE"""),"")</f>
        <v/>
      </c>
      <c r="B12718" s="87"/>
      <c r="C12718" s="87"/>
      <c r="D12718" s="87"/>
      <c r="E12718" s="87"/>
      <c r="F12718" s="87"/>
      <c r="G12718" s="87"/>
    </row>
    <row r="12719">
      <c r="A12719" s="86" t="str">
        <f>IFERROR(__xludf.DUMMYFUNCTION("""COMPUTED_VALUE"""),"")</f>
        <v/>
      </c>
      <c r="B12719" s="87"/>
      <c r="C12719" s="87"/>
      <c r="D12719" s="87"/>
      <c r="E12719" s="87"/>
      <c r="F12719" s="87"/>
      <c r="G12719" s="87"/>
    </row>
    <row r="12720">
      <c r="A12720" s="86" t="str">
        <f>IFERROR(__xludf.DUMMYFUNCTION("""COMPUTED_VALUE"""),"")</f>
        <v/>
      </c>
      <c r="B12720" s="87"/>
      <c r="C12720" s="87"/>
      <c r="D12720" s="87"/>
      <c r="E12720" s="87"/>
      <c r="F12720" s="87"/>
      <c r="G12720" s="87"/>
    </row>
    <row r="12721">
      <c r="A12721" s="86" t="str">
        <f>IFERROR(__xludf.DUMMYFUNCTION("""COMPUTED_VALUE"""),"")</f>
        <v/>
      </c>
      <c r="B12721" s="87"/>
      <c r="C12721" s="87"/>
      <c r="D12721" s="87"/>
      <c r="E12721" s="87"/>
      <c r="F12721" s="87"/>
      <c r="G12721" s="87"/>
    </row>
    <row r="12722">
      <c r="A12722" s="86" t="str">
        <f>IFERROR(__xludf.DUMMYFUNCTION("""COMPUTED_VALUE"""),"")</f>
        <v/>
      </c>
      <c r="B12722" s="87"/>
      <c r="C12722" s="87"/>
      <c r="D12722" s="87"/>
      <c r="E12722" s="87"/>
      <c r="F12722" s="87"/>
      <c r="G12722" s="87"/>
    </row>
    <row r="12723">
      <c r="A12723" s="86" t="str">
        <f>IFERROR(__xludf.DUMMYFUNCTION("""COMPUTED_VALUE"""),"")</f>
        <v/>
      </c>
      <c r="B12723" s="87"/>
      <c r="C12723" s="87"/>
      <c r="D12723" s="87"/>
      <c r="E12723" s="87"/>
      <c r="F12723" s="87"/>
      <c r="G12723" s="87"/>
    </row>
    <row r="12724">
      <c r="A12724" s="86" t="str">
        <f>IFERROR(__xludf.DUMMYFUNCTION("""COMPUTED_VALUE"""),"")</f>
        <v/>
      </c>
      <c r="B12724" s="87"/>
      <c r="C12724" s="87"/>
      <c r="D12724" s="87"/>
      <c r="E12724" s="87"/>
      <c r="F12724" s="87"/>
      <c r="G12724" s="87"/>
    </row>
    <row r="12725">
      <c r="A12725" s="86" t="str">
        <f>IFERROR(__xludf.DUMMYFUNCTION("""COMPUTED_VALUE"""),"")</f>
        <v/>
      </c>
      <c r="B12725" s="87"/>
      <c r="C12725" s="87"/>
      <c r="D12725" s="87"/>
      <c r="E12725" s="87"/>
      <c r="F12725" s="87"/>
      <c r="G12725" s="87"/>
    </row>
    <row r="12726">
      <c r="A12726" s="86" t="str">
        <f>IFERROR(__xludf.DUMMYFUNCTION("""COMPUTED_VALUE"""),"")</f>
        <v/>
      </c>
      <c r="B12726" s="87"/>
      <c r="C12726" s="87"/>
      <c r="D12726" s="87"/>
      <c r="E12726" s="87"/>
      <c r="F12726" s="87"/>
      <c r="G12726" s="87"/>
    </row>
    <row r="12727">
      <c r="A12727" s="86" t="str">
        <f>IFERROR(__xludf.DUMMYFUNCTION("""COMPUTED_VALUE"""),"")</f>
        <v/>
      </c>
      <c r="B12727" s="87"/>
      <c r="C12727" s="87"/>
      <c r="D12727" s="87"/>
      <c r="E12727" s="87"/>
      <c r="F12727" s="87"/>
      <c r="G12727" s="87"/>
    </row>
    <row r="12728">
      <c r="A12728" s="86" t="str">
        <f>IFERROR(__xludf.DUMMYFUNCTION("""COMPUTED_VALUE"""),"")</f>
        <v/>
      </c>
      <c r="B12728" s="87"/>
      <c r="C12728" s="87"/>
      <c r="D12728" s="87"/>
      <c r="E12728" s="87"/>
      <c r="F12728" s="87"/>
      <c r="G12728" s="87"/>
    </row>
    <row r="12729">
      <c r="A12729" s="86" t="str">
        <f>IFERROR(__xludf.DUMMYFUNCTION("""COMPUTED_VALUE"""),"")</f>
        <v/>
      </c>
      <c r="B12729" s="87"/>
      <c r="C12729" s="87"/>
      <c r="D12729" s="87"/>
      <c r="E12729" s="87"/>
      <c r="F12729" s="87"/>
      <c r="G12729" s="87"/>
    </row>
    <row r="12730">
      <c r="A12730" s="86" t="str">
        <f>IFERROR(__xludf.DUMMYFUNCTION("""COMPUTED_VALUE"""),"")</f>
        <v/>
      </c>
      <c r="B12730" s="87"/>
      <c r="C12730" s="87"/>
      <c r="D12730" s="87"/>
      <c r="E12730" s="87"/>
      <c r="F12730" s="87"/>
      <c r="G12730" s="87"/>
    </row>
    <row r="12731">
      <c r="A12731" s="86" t="str">
        <f>IFERROR(__xludf.DUMMYFUNCTION("""COMPUTED_VALUE"""),"")</f>
        <v/>
      </c>
      <c r="B12731" s="87"/>
      <c r="C12731" s="87"/>
      <c r="D12731" s="87"/>
      <c r="E12731" s="87"/>
      <c r="F12731" s="87"/>
      <c r="G12731" s="87"/>
    </row>
    <row r="12732">
      <c r="A12732" s="86" t="str">
        <f>IFERROR(__xludf.DUMMYFUNCTION("""COMPUTED_VALUE"""),"")</f>
        <v/>
      </c>
      <c r="B12732" s="87"/>
      <c r="C12732" s="87"/>
      <c r="D12732" s="87"/>
      <c r="E12732" s="87"/>
      <c r="F12732" s="87"/>
      <c r="G12732" s="87"/>
    </row>
    <row r="12733">
      <c r="A12733" s="86" t="str">
        <f>IFERROR(__xludf.DUMMYFUNCTION("""COMPUTED_VALUE"""),"")</f>
        <v/>
      </c>
      <c r="B12733" s="87"/>
      <c r="C12733" s="87"/>
      <c r="D12733" s="87"/>
      <c r="E12733" s="87"/>
      <c r="F12733" s="87"/>
      <c r="G12733" s="87"/>
    </row>
    <row r="12734">
      <c r="A12734" s="86" t="str">
        <f>IFERROR(__xludf.DUMMYFUNCTION("""COMPUTED_VALUE"""),"")</f>
        <v/>
      </c>
      <c r="B12734" s="87"/>
      <c r="C12734" s="87"/>
      <c r="D12734" s="87"/>
      <c r="E12734" s="87"/>
      <c r="F12734" s="87"/>
      <c r="G12734" s="87"/>
    </row>
    <row r="12735">
      <c r="A12735" s="86" t="str">
        <f>IFERROR(__xludf.DUMMYFUNCTION("""COMPUTED_VALUE"""),"")</f>
        <v/>
      </c>
      <c r="B12735" s="87"/>
      <c r="C12735" s="87"/>
      <c r="D12735" s="87"/>
      <c r="E12735" s="87"/>
      <c r="F12735" s="87"/>
      <c r="G12735" s="87"/>
    </row>
    <row r="12736">
      <c r="A12736" s="86" t="str">
        <f>IFERROR(__xludf.DUMMYFUNCTION("""COMPUTED_VALUE"""),"")</f>
        <v/>
      </c>
      <c r="B12736" s="87"/>
      <c r="C12736" s="87"/>
      <c r="D12736" s="87"/>
      <c r="E12736" s="87"/>
      <c r="F12736" s="87"/>
      <c r="G12736" s="87"/>
    </row>
    <row r="12737">
      <c r="A12737" s="86" t="str">
        <f>IFERROR(__xludf.DUMMYFUNCTION("""COMPUTED_VALUE"""),"")</f>
        <v/>
      </c>
      <c r="B12737" s="87"/>
      <c r="C12737" s="87"/>
      <c r="D12737" s="87"/>
      <c r="E12737" s="87"/>
      <c r="F12737" s="87"/>
      <c r="G12737" s="87"/>
    </row>
    <row r="12738">
      <c r="A12738" s="86" t="str">
        <f>IFERROR(__xludf.DUMMYFUNCTION("""COMPUTED_VALUE"""),"")</f>
        <v/>
      </c>
      <c r="B12738" s="87"/>
      <c r="C12738" s="87"/>
      <c r="D12738" s="87"/>
      <c r="E12738" s="87"/>
      <c r="F12738" s="87"/>
      <c r="G12738" s="87"/>
    </row>
    <row r="12739">
      <c r="A12739" s="86" t="str">
        <f>IFERROR(__xludf.DUMMYFUNCTION("""COMPUTED_VALUE"""),"")</f>
        <v/>
      </c>
      <c r="B12739" s="87"/>
      <c r="C12739" s="87"/>
      <c r="D12739" s="87"/>
      <c r="E12739" s="87"/>
      <c r="F12739" s="87"/>
      <c r="G12739" s="87"/>
    </row>
    <row r="12740">
      <c r="A12740" s="86" t="str">
        <f>IFERROR(__xludf.DUMMYFUNCTION("""COMPUTED_VALUE"""),"")</f>
        <v/>
      </c>
      <c r="B12740" s="87"/>
      <c r="C12740" s="87"/>
      <c r="D12740" s="87"/>
      <c r="E12740" s="87"/>
      <c r="F12740" s="87"/>
      <c r="G12740" s="87"/>
    </row>
    <row r="12741">
      <c r="A12741" s="86" t="str">
        <f>IFERROR(__xludf.DUMMYFUNCTION("""COMPUTED_VALUE"""),"")</f>
        <v/>
      </c>
      <c r="B12741" s="87"/>
      <c r="C12741" s="87"/>
      <c r="D12741" s="87"/>
      <c r="E12741" s="87"/>
      <c r="F12741" s="87"/>
      <c r="G12741" s="87"/>
    </row>
    <row r="12742">
      <c r="A12742" s="86" t="str">
        <f>IFERROR(__xludf.DUMMYFUNCTION("""COMPUTED_VALUE"""),"")</f>
        <v/>
      </c>
      <c r="B12742" s="87"/>
      <c r="C12742" s="87"/>
      <c r="D12742" s="87"/>
      <c r="E12742" s="87"/>
      <c r="F12742" s="87"/>
      <c r="G12742" s="87"/>
    </row>
    <row r="12743">
      <c r="A12743" s="86" t="str">
        <f>IFERROR(__xludf.DUMMYFUNCTION("""COMPUTED_VALUE"""),"")</f>
        <v/>
      </c>
      <c r="B12743" s="87"/>
      <c r="C12743" s="87"/>
      <c r="D12743" s="87"/>
      <c r="E12743" s="87"/>
      <c r="F12743" s="87"/>
      <c r="G12743" s="87"/>
    </row>
    <row r="12744">
      <c r="A12744" s="86" t="str">
        <f>IFERROR(__xludf.DUMMYFUNCTION("""COMPUTED_VALUE"""),"")</f>
        <v/>
      </c>
      <c r="B12744" s="87"/>
      <c r="C12744" s="87"/>
      <c r="D12744" s="87"/>
      <c r="E12744" s="87"/>
      <c r="F12744" s="87"/>
      <c r="G12744" s="87"/>
    </row>
    <row r="12745">
      <c r="A12745" s="86" t="str">
        <f>IFERROR(__xludf.DUMMYFUNCTION("""COMPUTED_VALUE"""),"")</f>
        <v/>
      </c>
      <c r="B12745" s="87"/>
      <c r="C12745" s="87"/>
      <c r="D12745" s="87"/>
      <c r="E12745" s="87"/>
      <c r="F12745" s="87"/>
      <c r="G12745" s="87"/>
    </row>
    <row r="12746">
      <c r="A12746" s="86" t="str">
        <f>IFERROR(__xludf.DUMMYFUNCTION("""COMPUTED_VALUE"""),"")</f>
        <v/>
      </c>
      <c r="B12746" s="87"/>
      <c r="C12746" s="87"/>
      <c r="D12746" s="87"/>
      <c r="E12746" s="87"/>
      <c r="F12746" s="87"/>
      <c r="G12746" s="87"/>
    </row>
    <row r="12747">
      <c r="A12747" s="86" t="str">
        <f>IFERROR(__xludf.DUMMYFUNCTION("""COMPUTED_VALUE"""),"")</f>
        <v/>
      </c>
      <c r="B12747" s="87"/>
      <c r="C12747" s="87"/>
      <c r="D12747" s="87"/>
      <c r="E12747" s="87"/>
      <c r="F12747" s="87"/>
      <c r="G12747" s="87"/>
    </row>
    <row r="12748">
      <c r="A12748" s="86" t="str">
        <f>IFERROR(__xludf.DUMMYFUNCTION("""COMPUTED_VALUE"""),"")</f>
        <v/>
      </c>
      <c r="B12748" s="87"/>
      <c r="C12748" s="87"/>
      <c r="D12748" s="87"/>
      <c r="E12748" s="87"/>
      <c r="F12748" s="87"/>
      <c r="G12748" s="87"/>
    </row>
    <row r="12749">
      <c r="A12749" s="86" t="str">
        <f>IFERROR(__xludf.DUMMYFUNCTION("""COMPUTED_VALUE"""),"")</f>
        <v/>
      </c>
      <c r="B12749" s="87"/>
      <c r="C12749" s="87"/>
      <c r="D12749" s="87"/>
      <c r="E12749" s="87"/>
      <c r="F12749" s="87"/>
      <c r="G12749" s="87"/>
    </row>
    <row r="12750">
      <c r="A12750" s="86" t="str">
        <f>IFERROR(__xludf.DUMMYFUNCTION("""COMPUTED_VALUE"""),"")</f>
        <v/>
      </c>
      <c r="B12750" s="87"/>
      <c r="C12750" s="87"/>
      <c r="D12750" s="87"/>
      <c r="E12750" s="87"/>
      <c r="F12750" s="87"/>
      <c r="G12750" s="87"/>
    </row>
    <row r="12751">
      <c r="A12751" s="86" t="str">
        <f>IFERROR(__xludf.DUMMYFUNCTION("""COMPUTED_VALUE"""),"")</f>
        <v/>
      </c>
      <c r="B12751" s="87"/>
      <c r="C12751" s="87"/>
      <c r="D12751" s="87"/>
      <c r="E12751" s="87"/>
      <c r="F12751" s="87"/>
      <c r="G12751" s="87"/>
    </row>
    <row r="12752">
      <c r="A12752" s="86" t="str">
        <f>IFERROR(__xludf.DUMMYFUNCTION("""COMPUTED_VALUE"""),"")</f>
        <v/>
      </c>
      <c r="B12752" s="87"/>
      <c r="C12752" s="87"/>
      <c r="D12752" s="87"/>
      <c r="E12752" s="87"/>
      <c r="F12752" s="87"/>
      <c r="G12752" s="87"/>
    </row>
    <row r="12753">
      <c r="A12753" s="86" t="str">
        <f>IFERROR(__xludf.DUMMYFUNCTION("""COMPUTED_VALUE"""),"")</f>
        <v/>
      </c>
      <c r="B12753" s="87"/>
      <c r="C12753" s="87"/>
      <c r="D12753" s="87"/>
      <c r="E12753" s="87"/>
      <c r="F12753" s="87"/>
      <c r="G12753" s="87"/>
    </row>
    <row r="12754">
      <c r="A12754" s="86" t="str">
        <f>IFERROR(__xludf.DUMMYFUNCTION("""COMPUTED_VALUE"""),"")</f>
        <v/>
      </c>
      <c r="B12754" s="87"/>
      <c r="C12754" s="87"/>
      <c r="D12754" s="87"/>
      <c r="E12754" s="87"/>
      <c r="F12754" s="87"/>
      <c r="G12754" s="87"/>
    </row>
    <row r="12755">
      <c r="A12755" s="86" t="str">
        <f>IFERROR(__xludf.DUMMYFUNCTION("""COMPUTED_VALUE"""),"")</f>
        <v/>
      </c>
      <c r="B12755" s="87"/>
      <c r="C12755" s="87"/>
      <c r="D12755" s="87"/>
      <c r="E12755" s="87"/>
      <c r="F12755" s="87"/>
      <c r="G12755" s="87"/>
    </row>
    <row r="12756">
      <c r="A12756" s="86" t="str">
        <f>IFERROR(__xludf.DUMMYFUNCTION("""COMPUTED_VALUE"""),"")</f>
        <v/>
      </c>
      <c r="B12756" s="87"/>
      <c r="C12756" s="87"/>
      <c r="D12756" s="87"/>
      <c r="E12756" s="87"/>
      <c r="F12756" s="87"/>
      <c r="G12756" s="87"/>
    </row>
    <row r="12757">
      <c r="A12757" s="86" t="str">
        <f>IFERROR(__xludf.DUMMYFUNCTION("""COMPUTED_VALUE"""),"")</f>
        <v/>
      </c>
      <c r="B12757" s="87"/>
      <c r="C12757" s="87"/>
      <c r="D12757" s="87"/>
      <c r="E12757" s="87"/>
      <c r="F12757" s="87"/>
      <c r="G12757" s="87"/>
    </row>
    <row r="12758">
      <c r="A12758" s="86" t="str">
        <f>IFERROR(__xludf.DUMMYFUNCTION("""COMPUTED_VALUE"""),"")</f>
        <v/>
      </c>
      <c r="B12758" s="87"/>
      <c r="C12758" s="87"/>
      <c r="D12758" s="87"/>
      <c r="E12758" s="87"/>
      <c r="F12758" s="87"/>
      <c r="G12758" s="87"/>
    </row>
    <row r="12759">
      <c r="A12759" s="86" t="str">
        <f>IFERROR(__xludf.DUMMYFUNCTION("""COMPUTED_VALUE"""),"")</f>
        <v/>
      </c>
      <c r="B12759" s="87"/>
      <c r="C12759" s="87"/>
      <c r="D12759" s="87"/>
      <c r="E12759" s="87"/>
      <c r="F12759" s="87"/>
      <c r="G12759" s="87"/>
    </row>
    <row r="12760">
      <c r="A12760" s="86" t="str">
        <f>IFERROR(__xludf.DUMMYFUNCTION("""COMPUTED_VALUE"""),"")</f>
        <v/>
      </c>
      <c r="B12760" s="87"/>
      <c r="C12760" s="87"/>
      <c r="D12760" s="87"/>
      <c r="E12760" s="87"/>
      <c r="F12760" s="87"/>
      <c r="G12760" s="87"/>
    </row>
    <row r="12761">
      <c r="A12761" s="86" t="str">
        <f>IFERROR(__xludf.DUMMYFUNCTION("""COMPUTED_VALUE"""),"")</f>
        <v/>
      </c>
      <c r="B12761" s="87"/>
      <c r="C12761" s="87"/>
      <c r="D12761" s="87"/>
      <c r="E12761" s="87"/>
      <c r="F12761" s="87"/>
      <c r="G12761" s="87"/>
    </row>
    <row r="12762">
      <c r="A12762" s="86" t="str">
        <f>IFERROR(__xludf.DUMMYFUNCTION("""COMPUTED_VALUE"""),"")</f>
        <v/>
      </c>
      <c r="B12762" s="87"/>
      <c r="C12762" s="87"/>
      <c r="D12762" s="87"/>
      <c r="E12762" s="87"/>
      <c r="F12762" s="87"/>
      <c r="G12762" s="87"/>
    </row>
    <row r="12763">
      <c r="A12763" s="86" t="str">
        <f>IFERROR(__xludf.DUMMYFUNCTION("""COMPUTED_VALUE"""),"")</f>
        <v/>
      </c>
      <c r="B12763" s="87"/>
      <c r="C12763" s="87"/>
      <c r="D12763" s="87"/>
      <c r="E12763" s="87"/>
      <c r="F12763" s="87"/>
      <c r="G12763" s="87"/>
    </row>
    <row r="12764">
      <c r="A12764" s="86" t="str">
        <f>IFERROR(__xludf.DUMMYFUNCTION("""COMPUTED_VALUE"""),"")</f>
        <v/>
      </c>
      <c r="B12764" s="87"/>
      <c r="C12764" s="87"/>
      <c r="D12764" s="87"/>
      <c r="E12764" s="87"/>
      <c r="F12764" s="87"/>
      <c r="G12764" s="87"/>
    </row>
    <row r="12765">
      <c r="A12765" s="86" t="str">
        <f>IFERROR(__xludf.DUMMYFUNCTION("""COMPUTED_VALUE"""),"")</f>
        <v/>
      </c>
      <c r="B12765" s="87"/>
      <c r="C12765" s="87"/>
      <c r="D12765" s="87"/>
      <c r="E12765" s="87"/>
      <c r="F12765" s="87"/>
      <c r="G12765" s="87"/>
    </row>
    <row r="12766">
      <c r="A12766" s="86" t="str">
        <f>IFERROR(__xludf.DUMMYFUNCTION("""COMPUTED_VALUE"""),"")</f>
        <v/>
      </c>
      <c r="B12766" s="87"/>
      <c r="C12766" s="87"/>
      <c r="D12766" s="87"/>
      <c r="E12766" s="87"/>
      <c r="F12766" s="87"/>
      <c r="G12766" s="87"/>
    </row>
    <row r="12767">
      <c r="A12767" s="86" t="str">
        <f>IFERROR(__xludf.DUMMYFUNCTION("""COMPUTED_VALUE"""),"")</f>
        <v/>
      </c>
      <c r="B12767" s="87"/>
      <c r="C12767" s="87"/>
      <c r="D12767" s="87"/>
      <c r="E12767" s="87"/>
      <c r="F12767" s="87"/>
      <c r="G12767" s="87"/>
    </row>
    <row r="12768">
      <c r="A12768" s="86" t="str">
        <f>IFERROR(__xludf.DUMMYFUNCTION("""COMPUTED_VALUE"""),"")</f>
        <v/>
      </c>
      <c r="B12768" s="87"/>
      <c r="C12768" s="87"/>
      <c r="D12768" s="87"/>
      <c r="E12768" s="87"/>
      <c r="F12768" s="87"/>
      <c r="G12768" s="87"/>
    </row>
    <row r="12769">
      <c r="A12769" s="86" t="str">
        <f>IFERROR(__xludf.DUMMYFUNCTION("""COMPUTED_VALUE"""),"")</f>
        <v/>
      </c>
      <c r="B12769" s="87"/>
      <c r="C12769" s="87"/>
      <c r="D12769" s="87"/>
      <c r="E12769" s="87"/>
      <c r="F12769" s="87"/>
      <c r="G12769" s="87"/>
    </row>
    <row r="12770">
      <c r="A12770" s="86" t="str">
        <f>IFERROR(__xludf.DUMMYFUNCTION("""COMPUTED_VALUE"""),"")</f>
        <v/>
      </c>
      <c r="B12770" s="87"/>
      <c r="C12770" s="87"/>
      <c r="D12770" s="87"/>
      <c r="E12770" s="87"/>
      <c r="F12770" s="87"/>
      <c r="G12770" s="87"/>
    </row>
    <row r="12771">
      <c r="A12771" s="86" t="str">
        <f>IFERROR(__xludf.DUMMYFUNCTION("""COMPUTED_VALUE"""),"")</f>
        <v/>
      </c>
      <c r="B12771" s="87"/>
      <c r="C12771" s="87"/>
      <c r="D12771" s="87"/>
      <c r="E12771" s="87"/>
      <c r="F12771" s="87"/>
      <c r="G12771" s="87"/>
    </row>
    <row r="12772">
      <c r="A12772" s="86" t="str">
        <f>IFERROR(__xludf.DUMMYFUNCTION("""COMPUTED_VALUE"""),"")</f>
        <v/>
      </c>
      <c r="B12772" s="87"/>
      <c r="C12772" s="87"/>
      <c r="D12772" s="87"/>
      <c r="E12772" s="87"/>
      <c r="F12772" s="87"/>
      <c r="G12772" s="87"/>
    </row>
    <row r="12773">
      <c r="A12773" s="86" t="str">
        <f>IFERROR(__xludf.DUMMYFUNCTION("""COMPUTED_VALUE"""),"")</f>
        <v/>
      </c>
      <c r="B12773" s="87"/>
      <c r="C12773" s="87"/>
      <c r="D12773" s="87"/>
      <c r="E12773" s="87"/>
      <c r="F12773" s="87"/>
      <c r="G12773" s="87"/>
    </row>
    <row r="12774">
      <c r="A12774" s="86" t="str">
        <f>IFERROR(__xludf.DUMMYFUNCTION("""COMPUTED_VALUE"""),"")</f>
        <v/>
      </c>
      <c r="B12774" s="87"/>
      <c r="C12774" s="87"/>
      <c r="D12774" s="87"/>
      <c r="E12774" s="87"/>
      <c r="F12774" s="87"/>
      <c r="G12774" s="87"/>
    </row>
    <row r="12775">
      <c r="A12775" s="86" t="str">
        <f>IFERROR(__xludf.DUMMYFUNCTION("""COMPUTED_VALUE"""),"")</f>
        <v/>
      </c>
      <c r="B12775" s="87"/>
      <c r="C12775" s="87"/>
      <c r="D12775" s="87"/>
      <c r="E12775" s="87"/>
      <c r="F12775" s="87"/>
      <c r="G12775" s="87"/>
    </row>
    <row r="12776">
      <c r="A12776" s="86" t="str">
        <f>IFERROR(__xludf.DUMMYFUNCTION("""COMPUTED_VALUE"""),"")</f>
        <v/>
      </c>
      <c r="B12776" s="87"/>
      <c r="C12776" s="87"/>
      <c r="D12776" s="87"/>
      <c r="E12776" s="87"/>
      <c r="F12776" s="87"/>
      <c r="G12776" s="87"/>
    </row>
    <row r="12777">
      <c r="A12777" s="86" t="str">
        <f>IFERROR(__xludf.DUMMYFUNCTION("""COMPUTED_VALUE"""),"")</f>
        <v/>
      </c>
      <c r="B12777" s="87"/>
      <c r="C12777" s="87"/>
      <c r="D12777" s="87"/>
      <c r="E12777" s="87"/>
      <c r="F12777" s="87"/>
      <c r="G12777" s="87"/>
    </row>
    <row r="12778">
      <c r="A12778" s="86" t="str">
        <f>IFERROR(__xludf.DUMMYFUNCTION("""COMPUTED_VALUE"""),"")</f>
        <v/>
      </c>
      <c r="B12778" s="87"/>
      <c r="C12778" s="87"/>
      <c r="D12778" s="87"/>
      <c r="E12778" s="87"/>
      <c r="F12778" s="87"/>
      <c r="G12778" s="87"/>
    </row>
    <row r="12779">
      <c r="A12779" s="86" t="str">
        <f>IFERROR(__xludf.DUMMYFUNCTION("""COMPUTED_VALUE"""),"")</f>
        <v/>
      </c>
      <c r="B12779" s="87"/>
      <c r="C12779" s="87"/>
      <c r="D12779" s="87"/>
      <c r="E12779" s="87"/>
      <c r="F12779" s="87"/>
      <c r="G12779" s="87"/>
    </row>
    <row r="12780">
      <c r="A12780" s="86" t="str">
        <f>IFERROR(__xludf.DUMMYFUNCTION("""COMPUTED_VALUE"""),"")</f>
        <v/>
      </c>
      <c r="B12780" s="87"/>
      <c r="C12780" s="87"/>
      <c r="D12780" s="87"/>
      <c r="E12780" s="87"/>
      <c r="F12780" s="87"/>
      <c r="G12780" s="87"/>
    </row>
    <row r="12781">
      <c r="A12781" s="86" t="str">
        <f>IFERROR(__xludf.DUMMYFUNCTION("""COMPUTED_VALUE"""),"")</f>
        <v/>
      </c>
      <c r="B12781" s="87"/>
      <c r="C12781" s="87"/>
      <c r="D12781" s="87"/>
      <c r="E12781" s="87"/>
      <c r="F12781" s="87"/>
      <c r="G12781" s="87"/>
    </row>
    <row r="12782">
      <c r="A12782" s="86" t="str">
        <f>IFERROR(__xludf.DUMMYFUNCTION("""COMPUTED_VALUE"""),"")</f>
        <v/>
      </c>
      <c r="B12782" s="87"/>
      <c r="C12782" s="87"/>
      <c r="D12782" s="87"/>
      <c r="E12782" s="87"/>
      <c r="F12782" s="87"/>
      <c r="G12782" s="87"/>
    </row>
    <row r="12783">
      <c r="A12783" s="86" t="str">
        <f>IFERROR(__xludf.DUMMYFUNCTION("""COMPUTED_VALUE"""),"")</f>
        <v/>
      </c>
      <c r="B12783" s="87"/>
      <c r="C12783" s="87"/>
      <c r="D12783" s="87"/>
      <c r="E12783" s="87"/>
      <c r="F12783" s="87"/>
      <c r="G12783" s="87"/>
    </row>
    <row r="12784">
      <c r="A12784" s="86" t="str">
        <f>IFERROR(__xludf.DUMMYFUNCTION("""COMPUTED_VALUE"""),"")</f>
        <v/>
      </c>
      <c r="B12784" s="87"/>
      <c r="C12784" s="87"/>
      <c r="D12784" s="87"/>
      <c r="E12784" s="87"/>
      <c r="F12784" s="87"/>
      <c r="G12784" s="87"/>
    </row>
    <row r="12785">
      <c r="A12785" s="86" t="str">
        <f>IFERROR(__xludf.DUMMYFUNCTION("""COMPUTED_VALUE"""),"")</f>
        <v/>
      </c>
      <c r="B12785" s="87"/>
      <c r="C12785" s="87"/>
      <c r="D12785" s="87"/>
      <c r="E12785" s="87"/>
      <c r="F12785" s="87"/>
      <c r="G12785" s="87"/>
    </row>
    <row r="12786">
      <c r="A12786" s="86" t="str">
        <f>IFERROR(__xludf.DUMMYFUNCTION("""COMPUTED_VALUE"""),"")</f>
        <v/>
      </c>
      <c r="B12786" s="87"/>
      <c r="C12786" s="87"/>
      <c r="D12786" s="87"/>
      <c r="E12786" s="87"/>
      <c r="F12786" s="87"/>
      <c r="G12786" s="87"/>
    </row>
    <row r="12787">
      <c r="A12787" s="86" t="str">
        <f>IFERROR(__xludf.DUMMYFUNCTION("""COMPUTED_VALUE"""),"")</f>
        <v/>
      </c>
      <c r="B12787" s="87"/>
      <c r="C12787" s="87"/>
      <c r="D12787" s="87"/>
      <c r="E12787" s="87"/>
      <c r="F12787" s="87"/>
      <c r="G12787" s="87"/>
    </row>
    <row r="12788">
      <c r="A12788" s="86" t="str">
        <f>IFERROR(__xludf.DUMMYFUNCTION("""COMPUTED_VALUE"""),"")</f>
        <v/>
      </c>
      <c r="B12788" s="87"/>
      <c r="C12788" s="87"/>
      <c r="D12788" s="87"/>
      <c r="E12788" s="87"/>
      <c r="F12788" s="87"/>
      <c r="G12788" s="87"/>
    </row>
    <row r="12789">
      <c r="A12789" s="86" t="str">
        <f>IFERROR(__xludf.DUMMYFUNCTION("""COMPUTED_VALUE"""),"")</f>
        <v/>
      </c>
      <c r="B12789" s="87"/>
      <c r="C12789" s="87"/>
      <c r="D12789" s="87"/>
      <c r="E12789" s="87"/>
      <c r="F12789" s="87"/>
      <c r="G12789" s="87"/>
    </row>
    <row r="12790">
      <c r="A12790" s="86" t="str">
        <f>IFERROR(__xludf.DUMMYFUNCTION("""COMPUTED_VALUE"""),"")</f>
        <v/>
      </c>
      <c r="B12790" s="87"/>
      <c r="C12790" s="87"/>
      <c r="D12790" s="87"/>
      <c r="E12790" s="87"/>
      <c r="F12790" s="87"/>
      <c r="G12790" s="87"/>
    </row>
    <row r="12791">
      <c r="A12791" s="86" t="str">
        <f>IFERROR(__xludf.DUMMYFUNCTION("""COMPUTED_VALUE"""),"")</f>
        <v/>
      </c>
      <c r="B12791" s="87"/>
      <c r="C12791" s="87"/>
      <c r="D12791" s="87"/>
      <c r="E12791" s="87"/>
      <c r="F12791" s="87"/>
      <c r="G12791" s="87"/>
    </row>
    <row r="12792">
      <c r="A12792" s="86" t="str">
        <f>IFERROR(__xludf.DUMMYFUNCTION("""COMPUTED_VALUE"""),"")</f>
        <v/>
      </c>
      <c r="B12792" s="87"/>
      <c r="C12792" s="87"/>
      <c r="D12792" s="87"/>
      <c r="E12792" s="87"/>
      <c r="F12792" s="87"/>
      <c r="G12792" s="87"/>
    </row>
    <row r="12793">
      <c r="A12793" s="86" t="str">
        <f>IFERROR(__xludf.DUMMYFUNCTION("""COMPUTED_VALUE"""),"")</f>
        <v/>
      </c>
      <c r="B12793" s="87"/>
      <c r="C12793" s="87"/>
      <c r="D12793" s="87"/>
      <c r="E12793" s="87"/>
      <c r="F12793" s="87"/>
      <c r="G12793" s="87"/>
    </row>
    <row r="12794">
      <c r="A12794" s="86" t="str">
        <f>IFERROR(__xludf.DUMMYFUNCTION("""COMPUTED_VALUE"""),"")</f>
        <v/>
      </c>
      <c r="B12794" s="87"/>
      <c r="C12794" s="87"/>
      <c r="D12794" s="87"/>
      <c r="E12794" s="87"/>
      <c r="F12794" s="87"/>
      <c r="G12794" s="87"/>
    </row>
    <row r="12795">
      <c r="A12795" s="86" t="str">
        <f>IFERROR(__xludf.DUMMYFUNCTION("""COMPUTED_VALUE"""),"")</f>
        <v/>
      </c>
      <c r="B12795" s="87"/>
      <c r="C12795" s="87"/>
      <c r="D12795" s="87"/>
      <c r="E12795" s="87"/>
      <c r="F12795" s="87"/>
      <c r="G12795" s="87"/>
    </row>
    <row r="12796">
      <c r="A12796" s="86" t="str">
        <f>IFERROR(__xludf.DUMMYFUNCTION("""COMPUTED_VALUE"""),"")</f>
        <v/>
      </c>
      <c r="B12796" s="87"/>
      <c r="C12796" s="87"/>
      <c r="D12796" s="87"/>
      <c r="E12796" s="87"/>
      <c r="F12796" s="87"/>
      <c r="G12796" s="87"/>
    </row>
    <row r="12797">
      <c r="A12797" s="86" t="str">
        <f>IFERROR(__xludf.DUMMYFUNCTION("""COMPUTED_VALUE"""),"")</f>
        <v/>
      </c>
      <c r="B12797" s="87"/>
      <c r="C12797" s="87"/>
      <c r="D12797" s="87"/>
      <c r="E12797" s="87"/>
      <c r="F12797" s="87"/>
      <c r="G12797" s="87"/>
    </row>
    <row r="12798">
      <c r="A12798" s="86" t="str">
        <f>IFERROR(__xludf.DUMMYFUNCTION("""COMPUTED_VALUE"""),"")</f>
        <v/>
      </c>
      <c r="B12798" s="87"/>
      <c r="C12798" s="87"/>
      <c r="D12798" s="87"/>
      <c r="E12798" s="87"/>
      <c r="F12798" s="87"/>
      <c r="G12798" s="87"/>
    </row>
    <row r="12799">
      <c r="A12799" s="86" t="str">
        <f>IFERROR(__xludf.DUMMYFUNCTION("""COMPUTED_VALUE"""),"")</f>
        <v/>
      </c>
      <c r="B12799" s="87"/>
      <c r="C12799" s="87"/>
      <c r="D12799" s="87"/>
      <c r="E12799" s="87"/>
      <c r="F12799" s="87"/>
      <c r="G12799" s="87"/>
    </row>
    <row r="12800">
      <c r="A12800" s="86" t="str">
        <f>IFERROR(__xludf.DUMMYFUNCTION("""COMPUTED_VALUE"""),"")</f>
        <v/>
      </c>
      <c r="B12800" s="87"/>
      <c r="C12800" s="87"/>
      <c r="D12800" s="87"/>
      <c r="E12800" s="87"/>
      <c r="F12800" s="87"/>
      <c r="G12800" s="87"/>
    </row>
    <row r="12801">
      <c r="A12801" s="86" t="str">
        <f>IFERROR(__xludf.DUMMYFUNCTION("""COMPUTED_VALUE"""),"")</f>
        <v/>
      </c>
      <c r="B12801" s="87"/>
      <c r="C12801" s="87"/>
      <c r="D12801" s="87"/>
      <c r="E12801" s="87"/>
      <c r="F12801" s="87"/>
      <c r="G12801" s="87"/>
    </row>
    <row r="12802">
      <c r="A12802" s="86" t="str">
        <f>IFERROR(__xludf.DUMMYFUNCTION("""COMPUTED_VALUE"""),"")</f>
        <v/>
      </c>
      <c r="B12802" s="87"/>
      <c r="C12802" s="87"/>
      <c r="D12802" s="87"/>
      <c r="E12802" s="87"/>
      <c r="F12802" s="87"/>
      <c r="G12802" s="87"/>
    </row>
    <row r="12803">
      <c r="A12803" s="86" t="str">
        <f>IFERROR(__xludf.DUMMYFUNCTION("""COMPUTED_VALUE"""),"")</f>
        <v/>
      </c>
      <c r="B12803" s="87"/>
      <c r="C12803" s="87"/>
      <c r="D12803" s="87"/>
      <c r="E12803" s="87"/>
      <c r="F12803" s="87"/>
      <c r="G12803" s="87"/>
    </row>
    <row r="12804">
      <c r="A12804" s="86" t="str">
        <f>IFERROR(__xludf.DUMMYFUNCTION("""COMPUTED_VALUE"""),"")</f>
        <v/>
      </c>
      <c r="B12804" s="87"/>
      <c r="C12804" s="87"/>
      <c r="D12804" s="87"/>
      <c r="E12804" s="87"/>
      <c r="F12804" s="87"/>
      <c r="G12804" s="87"/>
    </row>
    <row r="12805">
      <c r="A12805" s="86" t="str">
        <f>IFERROR(__xludf.DUMMYFUNCTION("""COMPUTED_VALUE"""),"")</f>
        <v/>
      </c>
      <c r="B12805" s="87"/>
      <c r="C12805" s="87"/>
      <c r="D12805" s="87"/>
      <c r="E12805" s="87"/>
      <c r="F12805" s="87"/>
      <c r="G12805" s="87"/>
    </row>
    <row r="12806">
      <c r="A12806" s="86" t="str">
        <f>IFERROR(__xludf.DUMMYFUNCTION("""COMPUTED_VALUE"""),"")</f>
        <v/>
      </c>
      <c r="B12806" s="87"/>
      <c r="C12806" s="87"/>
      <c r="D12806" s="87"/>
      <c r="E12806" s="87"/>
      <c r="F12806" s="87"/>
      <c r="G12806" s="87"/>
    </row>
    <row r="12807">
      <c r="A12807" s="86" t="str">
        <f>IFERROR(__xludf.DUMMYFUNCTION("""COMPUTED_VALUE"""),"")</f>
        <v/>
      </c>
      <c r="B12807" s="87"/>
      <c r="C12807" s="87"/>
      <c r="D12807" s="87"/>
      <c r="E12807" s="87"/>
      <c r="F12807" s="87"/>
      <c r="G12807" s="87"/>
    </row>
    <row r="12808">
      <c r="A12808" s="86" t="str">
        <f>IFERROR(__xludf.DUMMYFUNCTION("""COMPUTED_VALUE"""),"")</f>
        <v/>
      </c>
      <c r="B12808" s="87"/>
      <c r="C12808" s="87"/>
      <c r="D12808" s="87"/>
      <c r="E12808" s="87"/>
      <c r="F12808" s="87"/>
      <c r="G12808" s="87"/>
    </row>
    <row r="12809">
      <c r="A12809" s="86" t="str">
        <f>IFERROR(__xludf.DUMMYFUNCTION("""COMPUTED_VALUE"""),"")</f>
        <v/>
      </c>
      <c r="B12809" s="87"/>
      <c r="C12809" s="87"/>
      <c r="D12809" s="87"/>
      <c r="E12809" s="87"/>
      <c r="F12809" s="87"/>
      <c r="G12809" s="87"/>
    </row>
    <row r="12810">
      <c r="A12810" s="86" t="str">
        <f>IFERROR(__xludf.DUMMYFUNCTION("""COMPUTED_VALUE"""),"")</f>
        <v/>
      </c>
      <c r="B12810" s="87"/>
      <c r="C12810" s="87"/>
      <c r="D12810" s="87"/>
      <c r="E12810" s="87"/>
      <c r="F12810" s="87"/>
      <c r="G12810" s="87"/>
    </row>
    <row r="12811">
      <c r="A12811" s="86" t="str">
        <f>IFERROR(__xludf.DUMMYFUNCTION("""COMPUTED_VALUE"""),"")</f>
        <v/>
      </c>
      <c r="B12811" s="87"/>
      <c r="C12811" s="87"/>
      <c r="D12811" s="87"/>
      <c r="E12811" s="87"/>
      <c r="F12811" s="87"/>
      <c r="G12811" s="87"/>
    </row>
    <row r="12812">
      <c r="A12812" s="86" t="str">
        <f>IFERROR(__xludf.DUMMYFUNCTION("""COMPUTED_VALUE"""),"")</f>
        <v/>
      </c>
      <c r="B12812" s="87"/>
      <c r="C12812" s="87"/>
      <c r="D12812" s="87"/>
      <c r="E12812" s="87"/>
      <c r="F12812" s="87"/>
      <c r="G12812" s="87"/>
    </row>
    <row r="12813">
      <c r="A12813" s="86" t="str">
        <f>IFERROR(__xludf.DUMMYFUNCTION("""COMPUTED_VALUE"""),"")</f>
        <v/>
      </c>
      <c r="B12813" s="87"/>
      <c r="C12813" s="87"/>
      <c r="D12813" s="87"/>
      <c r="E12813" s="87"/>
      <c r="F12813" s="87"/>
      <c r="G12813" s="87"/>
    </row>
    <row r="12814">
      <c r="A12814" s="86" t="str">
        <f>IFERROR(__xludf.DUMMYFUNCTION("""COMPUTED_VALUE"""),"")</f>
        <v/>
      </c>
      <c r="B12814" s="87"/>
      <c r="C12814" s="87"/>
      <c r="D12814" s="87"/>
      <c r="E12814" s="87"/>
      <c r="F12814" s="87"/>
      <c r="G12814" s="87"/>
    </row>
    <row r="12815">
      <c r="A12815" s="86" t="str">
        <f>IFERROR(__xludf.DUMMYFUNCTION("""COMPUTED_VALUE"""),"")</f>
        <v/>
      </c>
      <c r="B12815" s="87"/>
      <c r="C12815" s="87"/>
      <c r="D12815" s="87"/>
      <c r="E12815" s="87"/>
      <c r="F12815" s="87"/>
      <c r="G12815" s="87"/>
    </row>
    <row r="12816">
      <c r="A12816" s="86" t="str">
        <f>IFERROR(__xludf.DUMMYFUNCTION("""COMPUTED_VALUE"""),"")</f>
        <v/>
      </c>
      <c r="B12816" s="87"/>
      <c r="C12816" s="87"/>
      <c r="D12816" s="87"/>
      <c r="E12816" s="87"/>
      <c r="F12816" s="87"/>
      <c r="G12816" s="87"/>
    </row>
    <row r="12817">
      <c r="A12817" s="86" t="str">
        <f>IFERROR(__xludf.DUMMYFUNCTION("""COMPUTED_VALUE"""),"")</f>
        <v/>
      </c>
      <c r="B12817" s="87"/>
      <c r="C12817" s="87"/>
      <c r="D12817" s="87"/>
      <c r="E12817" s="87"/>
      <c r="F12817" s="87"/>
      <c r="G12817" s="87"/>
    </row>
    <row r="12818">
      <c r="A12818" s="86" t="str">
        <f>IFERROR(__xludf.DUMMYFUNCTION("""COMPUTED_VALUE"""),"")</f>
        <v/>
      </c>
      <c r="B12818" s="87"/>
      <c r="C12818" s="87"/>
      <c r="D12818" s="87"/>
      <c r="E12818" s="87"/>
      <c r="F12818" s="87"/>
      <c r="G12818" s="87"/>
    </row>
    <row r="12819">
      <c r="A12819" s="86" t="str">
        <f>IFERROR(__xludf.DUMMYFUNCTION("""COMPUTED_VALUE"""),"")</f>
        <v/>
      </c>
      <c r="B12819" s="87"/>
      <c r="C12819" s="87"/>
      <c r="D12819" s="87"/>
      <c r="E12819" s="87"/>
      <c r="F12819" s="87"/>
      <c r="G12819" s="87"/>
    </row>
    <row r="12820">
      <c r="A12820" s="86" t="str">
        <f>IFERROR(__xludf.DUMMYFUNCTION("""COMPUTED_VALUE"""),"")</f>
        <v/>
      </c>
      <c r="B12820" s="87"/>
      <c r="C12820" s="87"/>
      <c r="D12820" s="87"/>
      <c r="E12820" s="87"/>
      <c r="F12820" s="87"/>
      <c r="G12820" s="87"/>
    </row>
    <row r="12821">
      <c r="A12821" s="86" t="str">
        <f>IFERROR(__xludf.DUMMYFUNCTION("""COMPUTED_VALUE"""),"")</f>
        <v/>
      </c>
      <c r="B12821" s="87"/>
      <c r="C12821" s="87"/>
      <c r="D12821" s="87"/>
      <c r="E12821" s="87"/>
      <c r="F12821" s="87"/>
      <c r="G12821" s="87"/>
    </row>
    <row r="12822">
      <c r="A12822" s="86" t="str">
        <f>IFERROR(__xludf.DUMMYFUNCTION("""COMPUTED_VALUE"""),"")</f>
        <v/>
      </c>
      <c r="B12822" s="87"/>
      <c r="C12822" s="87"/>
      <c r="D12822" s="87"/>
      <c r="E12822" s="87"/>
      <c r="F12822" s="87"/>
      <c r="G12822" s="87"/>
    </row>
    <row r="12823">
      <c r="A12823" s="86" t="str">
        <f>IFERROR(__xludf.DUMMYFUNCTION("""COMPUTED_VALUE"""),"")</f>
        <v/>
      </c>
      <c r="B12823" s="87"/>
      <c r="C12823" s="87"/>
      <c r="D12823" s="87"/>
      <c r="E12823" s="87"/>
      <c r="F12823" s="87"/>
      <c r="G12823" s="87"/>
    </row>
    <row r="12824">
      <c r="A12824" s="86" t="str">
        <f>IFERROR(__xludf.DUMMYFUNCTION("""COMPUTED_VALUE"""),"")</f>
        <v/>
      </c>
      <c r="B12824" s="87"/>
      <c r="C12824" s="87"/>
      <c r="D12824" s="87"/>
      <c r="E12824" s="87"/>
      <c r="F12824" s="87"/>
      <c r="G12824" s="87"/>
    </row>
    <row r="12825">
      <c r="A12825" s="86" t="str">
        <f>IFERROR(__xludf.DUMMYFUNCTION("""COMPUTED_VALUE"""),"")</f>
        <v/>
      </c>
      <c r="B12825" s="87"/>
      <c r="C12825" s="87"/>
      <c r="D12825" s="87"/>
      <c r="E12825" s="87"/>
      <c r="F12825" s="87"/>
      <c r="G12825" s="87"/>
    </row>
    <row r="12826">
      <c r="A12826" s="86" t="str">
        <f>IFERROR(__xludf.DUMMYFUNCTION("""COMPUTED_VALUE"""),"")</f>
        <v/>
      </c>
      <c r="B12826" s="87"/>
      <c r="C12826" s="87"/>
      <c r="D12826" s="87"/>
      <c r="E12826" s="87"/>
      <c r="F12826" s="87"/>
      <c r="G12826" s="87"/>
    </row>
    <row r="12827">
      <c r="A12827" s="86" t="str">
        <f>IFERROR(__xludf.DUMMYFUNCTION("""COMPUTED_VALUE"""),"")</f>
        <v/>
      </c>
      <c r="B12827" s="87"/>
      <c r="C12827" s="87"/>
      <c r="D12827" s="87"/>
      <c r="E12827" s="87"/>
      <c r="F12827" s="87"/>
      <c r="G12827" s="87"/>
    </row>
    <row r="12828">
      <c r="A12828" s="86" t="str">
        <f>IFERROR(__xludf.DUMMYFUNCTION("""COMPUTED_VALUE"""),"")</f>
        <v/>
      </c>
      <c r="B12828" s="87"/>
      <c r="C12828" s="87"/>
      <c r="D12828" s="87"/>
      <c r="E12828" s="87"/>
      <c r="F12828" s="87"/>
      <c r="G12828" s="87"/>
    </row>
    <row r="12829">
      <c r="A12829" s="86" t="str">
        <f>IFERROR(__xludf.DUMMYFUNCTION("""COMPUTED_VALUE"""),"")</f>
        <v/>
      </c>
      <c r="B12829" s="87"/>
      <c r="C12829" s="87"/>
      <c r="D12829" s="87"/>
      <c r="E12829" s="87"/>
      <c r="F12829" s="87"/>
      <c r="G12829" s="87"/>
    </row>
    <row r="12830">
      <c r="A12830" s="86" t="str">
        <f>IFERROR(__xludf.DUMMYFUNCTION("""COMPUTED_VALUE"""),"")</f>
        <v/>
      </c>
      <c r="B12830" s="87"/>
      <c r="C12830" s="87"/>
      <c r="D12830" s="87"/>
      <c r="E12830" s="87"/>
      <c r="F12830" s="87"/>
      <c r="G12830" s="87"/>
    </row>
    <row r="12831">
      <c r="A12831" s="86" t="str">
        <f>IFERROR(__xludf.DUMMYFUNCTION("""COMPUTED_VALUE"""),"")</f>
        <v/>
      </c>
      <c r="B12831" s="87"/>
      <c r="C12831" s="87"/>
      <c r="D12831" s="87"/>
      <c r="E12831" s="87"/>
      <c r="F12831" s="87"/>
      <c r="G12831" s="87"/>
    </row>
    <row r="12832">
      <c r="A12832" s="86" t="str">
        <f>IFERROR(__xludf.DUMMYFUNCTION("""COMPUTED_VALUE"""),"")</f>
        <v/>
      </c>
      <c r="B12832" s="87"/>
      <c r="C12832" s="87"/>
      <c r="D12832" s="87"/>
      <c r="E12832" s="87"/>
      <c r="F12832" s="87"/>
      <c r="G12832" s="87"/>
    </row>
    <row r="12833">
      <c r="A12833" s="86" t="str">
        <f>IFERROR(__xludf.DUMMYFUNCTION("""COMPUTED_VALUE"""),"")</f>
        <v/>
      </c>
      <c r="B12833" s="87"/>
      <c r="C12833" s="87"/>
      <c r="D12833" s="87"/>
      <c r="E12833" s="87"/>
      <c r="F12833" s="87"/>
      <c r="G12833" s="87"/>
    </row>
    <row r="12834">
      <c r="A12834" s="86" t="str">
        <f>IFERROR(__xludf.DUMMYFUNCTION("""COMPUTED_VALUE"""),"")</f>
        <v/>
      </c>
      <c r="B12834" s="87"/>
      <c r="C12834" s="87"/>
      <c r="D12834" s="87"/>
      <c r="E12834" s="87"/>
      <c r="F12834" s="87"/>
      <c r="G12834" s="87"/>
    </row>
    <row r="12835">
      <c r="A12835" s="86" t="str">
        <f>IFERROR(__xludf.DUMMYFUNCTION("""COMPUTED_VALUE"""),"")</f>
        <v/>
      </c>
      <c r="B12835" s="87"/>
      <c r="C12835" s="87"/>
      <c r="D12835" s="87"/>
      <c r="E12835" s="87"/>
      <c r="F12835" s="87"/>
      <c r="G12835" s="87"/>
    </row>
    <row r="12836">
      <c r="A12836" s="86" t="str">
        <f>IFERROR(__xludf.DUMMYFUNCTION("""COMPUTED_VALUE"""),"")</f>
        <v/>
      </c>
      <c r="B12836" s="87"/>
      <c r="C12836" s="87"/>
      <c r="D12836" s="87"/>
      <c r="E12836" s="87"/>
      <c r="F12836" s="87"/>
      <c r="G12836" s="87"/>
    </row>
    <row r="12837">
      <c r="A12837" s="86" t="str">
        <f>IFERROR(__xludf.DUMMYFUNCTION("""COMPUTED_VALUE"""),"")</f>
        <v/>
      </c>
      <c r="B12837" s="87"/>
      <c r="C12837" s="87"/>
      <c r="D12837" s="87"/>
      <c r="E12837" s="87"/>
      <c r="F12837" s="87"/>
      <c r="G12837" s="87"/>
    </row>
    <row r="12838">
      <c r="A12838" s="86" t="str">
        <f>IFERROR(__xludf.DUMMYFUNCTION("""COMPUTED_VALUE"""),"")</f>
        <v/>
      </c>
      <c r="B12838" s="87"/>
      <c r="C12838" s="87"/>
      <c r="D12838" s="87"/>
      <c r="E12838" s="87"/>
      <c r="F12838" s="87"/>
      <c r="G12838" s="87"/>
    </row>
    <row r="12839">
      <c r="A12839" s="86" t="str">
        <f>IFERROR(__xludf.DUMMYFUNCTION("""COMPUTED_VALUE"""),"")</f>
        <v/>
      </c>
      <c r="B12839" s="87"/>
      <c r="C12839" s="87"/>
      <c r="D12839" s="87"/>
      <c r="E12839" s="87"/>
      <c r="F12839" s="87"/>
      <c r="G12839" s="87"/>
    </row>
    <row r="12840">
      <c r="A12840" s="86" t="str">
        <f>IFERROR(__xludf.DUMMYFUNCTION("""COMPUTED_VALUE"""),"")</f>
        <v/>
      </c>
      <c r="B12840" s="87"/>
      <c r="C12840" s="87"/>
      <c r="D12840" s="87"/>
      <c r="E12840" s="87"/>
      <c r="F12840" s="87"/>
      <c r="G12840" s="87"/>
    </row>
    <row r="12841">
      <c r="A12841" s="86" t="str">
        <f>IFERROR(__xludf.DUMMYFUNCTION("""COMPUTED_VALUE"""),"")</f>
        <v/>
      </c>
      <c r="B12841" s="87"/>
      <c r="C12841" s="87"/>
      <c r="D12841" s="87"/>
      <c r="E12841" s="87"/>
      <c r="F12841" s="87"/>
      <c r="G12841" s="87"/>
    </row>
    <row r="12842">
      <c r="A12842" s="86" t="str">
        <f>IFERROR(__xludf.DUMMYFUNCTION("""COMPUTED_VALUE"""),"")</f>
        <v/>
      </c>
      <c r="B12842" s="87"/>
      <c r="C12842" s="87"/>
      <c r="D12842" s="87"/>
      <c r="E12842" s="87"/>
      <c r="F12842" s="87"/>
      <c r="G12842" s="87"/>
    </row>
    <row r="12843">
      <c r="A12843" s="86" t="str">
        <f>IFERROR(__xludf.DUMMYFUNCTION("""COMPUTED_VALUE"""),"")</f>
        <v/>
      </c>
      <c r="B12843" s="87"/>
      <c r="C12843" s="87"/>
      <c r="D12843" s="87"/>
      <c r="E12843" s="87"/>
      <c r="F12843" s="87"/>
      <c r="G12843" s="87"/>
    </row>
    <row r="12844">
      <c r="A12844" s="86" t="str">
        <f>IFERROR(__xludf.DUMMYFUNCTION("""COMPUTED_VALUE"""),"")</f>
        <v/>
      </c>
      <c r="B12844" s="87"/>
      <c r="C12844" s="87"/>
      <c r="D12844" s="87"/>
      <c r="E12844" s="87"/>
      <c r="F12844" s="87"/>
      <c r="G12844" s="87"/>
    </row>
    <row r="12845">
      <c r="A12845" s="86" t="str">
        <f>IFERROR(__xludf.DUMMYFUNCTION("""COMPUTED_VALUE"""),"")</f>
        <v/>
      </c>
      <c r="B12845" s="87"/>
      <c r="C12845" s="87"/>
      <c r="D12845" s="87"/>
      <c r="E12845" s="87"/>
      <c r="F12845" s="87"/>
      <c r="G12845" s="87"/>
    </row>
    <row r="12846">
      <c r="A12846" s="86" t="str">
        <f>IFERROR(__xludf.DUMMYFUNCTION("""COMPUTED_VALUE"""),"")</f>
        <v/>
      </c>
      <c r="B12846" s="87"/>
      <c r="C12846" s="87"/>
      <c r="D12846" s="87"/>
      <c r="E12846" s="87"/>
      <c r="F12846" s="87"/>
      <c r="G12846" s="87"/>
    </row>
    <row r="12847">
      <c r="A12847" s="86" t="str">
        <f>IFERROR(__xludf.DUMMYFUNCTION("""COMPUTED_VALUE"""),"")</f>
        <v/>
      </c>
      <c r="B12847" s="87"/>
      <c r="C12847" s="87"/>
      <c r="D12847" s="87"/>
      <c r="E12847" s="87"/>
      <c r="F12847" s="87"/>
      <c r="G12847" s="87"/>
    </row>
    <row r="12848">
      <c r="A12848" s="86" t="str">
        <f>IFERROR(__xludf.DUMMYFUNCTION("""COMPUTED_VALUE"""),"")</f>
        <v/>
      </c>
      <c r="B12848" s="87"/>
      <c r="C12848" s="87"/>
      <c r="D12848" s="87"/>
      <c r="E12848" s="87"/>
      <c r="F12848" s="87"/>
      <c r="G12848" s="87"/>
    </row>
    <row r="12849">
      <c r="A12849" s="86" t="str">
        <f>IFERROR(__xludf.DUMMYFUNCTION("""COMPUTED_VALUE"""),"")</f>
        <v/>
      </c>
      <c r="B12849" s="87"/>
      <c r="C12849" s="87"/>
      <c r="D12849" s="87"/>
      <c r="E12849" s="87"/>
      <c r="F12849" s="87"/>
      <c r="G12849" s="87"/>
    </row>
    <row r="12850">
      <c r="A12850" s="86" t="str">
        <f>IFERROR(__xludf.DUMMYFUNCTION("""COMPUTED_VALUE"""),"")</f>
        <v/>
      </c>
      <c r="B12850" s="87"/>
      <c r="C12850" s="87"/>
      <c r="D12850" s="87"/>
      <c r="E12850" s="87"/>
      <c r="F12850" s="87"/>
      <c r="G12850" s="87"/>
    </row>
    <row r="12851">
      <c r="A12851" s="86" t="str">
        <f>IFERROR(__xludf.DUMMYFUNCTION("""COMPUTED_VALUE"""),"")</f>
        <v/>
      </c>
      <c r="B12851" s="87"/>
      <c r="C12851" s="87"/>
      <c r="D12851" s="87"/>
      <c r="E12851" s="87"/>
      <c r="F12851" s="87"/>
      <c r="G12851" s="87"/>
    </row>
    <row r="12852">
      <c r="A12852" s="86" t="str">
        <f>IFERROR(__xludf.DUMMYFUNCTION("""COMPUTED_VALUE"""),"")</f>
        <v/>
      </c>
      <c r="B12852" s="87"/>
      <c r="C12852" s="87"/>
      <c r="D12852" s="87"/>
      <c r="E12852" s="87"/>
      <c r="F12852" s="87"/>
      <c r="G12852" s="87"/>
    </row>
    <row r="12853">
      <c r="A12853" s="86" t="str">
        <f>IFERROR(__xludf.DUMMYFUNCTION("""COMPUTED_VALUE"""),"")</f>
        <v/>
      </c>
      <c r="B12853" s="87"/>
      <c r="C12853" s="87"/>
      <c r="D12853" s="87"/>
      <c r="E12853" s="87"/>
      <c r="F12853" s="87"/>
      <c r="G12853" s="87"/>
    </row>
    <row r="12854">
      <c r="A12854" s="86" t="str">
        <f>IFERROR(__xludf.DUMMYFUNCTION("""COMPUTED_VALUE"""),"")</f>
        <v/>
      </c>
      <c r="B12854" s="87"/>
      <c r="C12854" s="87"/>
      <c r="D12854" s="87"/>
      <c r="E12854" s="87"/>
      <c r="F12854" s="87"/>
      <c r="G12854" s="87"/>
    </row>
    <row r="12855">
      <c r="A12855" s="86" t="str">
        <f>IFERROR(__xludf.DUMMYFUNCTION("""COMPUTED_VALUE"""),"")</f>
        <v/>
      </c>
      <c r="B12855" s="87"/>
      <c r="C12855" s="87"/>
      <c r="D12855" s="87"/>
      <c r="E12855" s="87"/>
      <c r="F12855" s="87"/>
      <c r="G12855" s="87"/>
    </row>
    <row r="12856">
      <c r="A12856" s="86" t="str">
        <f>IFERROR(__xludf.DUMMYFUNCTION("""COMPUTED_VALUE"""),"")</f>
        <v/>
      </c>
      <c r="B12856" s="87"/>
      <c r="C12856" s="87"/>
      <c r="D12856" s="87"/>
      <c r="E12856" s="87"/>
      <c r="F12856" s="87"/>
      <c r="G12856" s="87"/>
    </row>
    <row r="12857">
      <c r="A12857" s="86" t="str">
        <f>IFERROR(__xludf.DUMMYFUNCTION("""COMPUTED_VALUE"""),"")</f>
        <v/>
      </c>
      <c r="B12857" s="87"/>
      <c r="C12857" s="87"/>
      <c r="D12857" s="87"/>
      <c r="E12857" s="87"/>
      <c r="F12857" s="87"/>
      <c r="G12857" s="87"/>
    </row>
    <row r="12858">
      <c r="A12858" s="86" t="str">
        <f>IFERROR(__xludf.DUMMYFUNCTION("""COMPUTED_VALUE"""),"")</f>
        <v/>
      </c>
      <c r="B12858" s="87"/>
      <c r="C12858" s="87"/>
      <c r="D12858" s="87"/>
      <c r="E12858" s="87"/>
      <c r="F12858" s="87"/>
      <c r="G12858" s="87"/>
    </row>
    <row r="12859">
      <c r="A12859" s="86" t="str">
        <f>IFERROR(__xludf.DUMMYFUNCTION("""COMPUTED_VALUE"""),"")</f>
        <v/>
      </c>
      <c r="B12859" s="87"/>
      <c r="C12859" s="87"/>
      <c r="D12859" s="87"/>
      <c r="E12859" s="87"/>
      <c r="F12859" s="87"/>
      <c r="G12859" s="87"/>
    </row>
    <row r="12860">
      <c r="A12860" s="86" t="str">
        <f>IFERROR(__xludf.DUMMYFUNCTION("""COMPUTED_VALUE"""),"")</f>
        <v/>
      </c>
      <c r="B12860" s="87"/>
      <c r="C12860" s="87"/>
      <c r="D12860" s="87"/>
      <c r="E12860" s="87"/>
      <c r="F12860" s="87"/>
      <c r="G12860" s="87"/>
    </row>
    <row r="12861">
      <c r="A12861" s="86" t="str">
        <f>IFERROR(__xludf.DUMMYFUNCTION("""COMPUTED_VALUE"""),"")</f>
        <v/>
      </c>
      <c r="B12861" s="87"/>
      <c r="C12861" s="87"/>
      <c r="D12861" s="87"/>
      <c r="E12861" s="87"/>
      <c r="F12861" s="87"/>
      <c r="G12861" s="87"/>
    </row>
    <row r="12862">
      <c r="A12862" s="86" t="str">
        <f>IFERROR(__xludf.DUMMYFUNCTION("""COMPUTED_VALUE"""),"")</f>
        <v/>
      </c>
      <c r="B12862" s="87"/>
      <c r="C12862" s="87"/>
      <c r="D12862" s="87"/>
      <c r="E12862" s="87"/>
      <c r="F12862" s="87"/>
      <c r="G12862" s="87"/>
    </row>
    <row r="12863">
      <c r="A12863" s="86" t="str">
        <f>IFERROR(__xludf.DUMMYFUNCTION("""COMPUTED_VALUE"""),"")</f>
        <v/>
      </c>
      <c r="B12863" s="87"/>
      <c r="C12863" s="87"/>
      <c r="D12863" s="87"/>
      <c r="E12863" s="87"/>
      <c r="F12863" s="87"/>
      <c r="G12863" s="87"/>
    </row>
    <row r="12864">
      <c r="A12864" s="86" t="str">
        <f>IFERROR(__xludf.DUMMYFUNCTION("""COMPUTED_VALUE"""),"")</f>
        <v/>
      </c>
      <c r="B12864" s="87"/>
      <c r="C12864" s="87"/>
      <c r="D12864" s="87"/>
      <c r="E12864" s="87"/>
      <c r="F12864" s="87"/>
      <c r="G12864" s="87"/>
    </row>
    <row r="12865">
      <c r="A12865" s="86" t="str">
        <f>IFERROR(__xludf.DUMMYFUNCTION("""COMPUTED_VALUE"""),"")</f>
        <v/>
      </c>
      <c r="B12865" s="87"/>
      <c r="C12865" s="87"/>
      <c r="D12865" s="87"/>
      <c r="E12865" s="87"/>
      <c r="F12865" s="87"/>
      <c r="G12865" s="87"/>
    </row>
    <row r="12866">
      <c r="A12866" s="86" t="str">
        <f>IFERROR(__xludf.DUMMYFUNCTION("""COMPUTED_VALUE"""),"")</f>
        <v/>
      </c>
      <c r="B12866" s="87"/>
      <c r="C12866" s="87"/>
      <c r="D12866" s="87"/>
      <c r="E12866" s="87"/>
      <c r="F12866" s="87"/>
      <c r="G12866" s="87"/>
    </row>
    <row r="12867">
      <c r="A12867" s="86" t="str">
        <f>IFERROR(__xludf.DUMMYFUNCTION("""COMPUTED_VALUE"""),"")</f>
        <v/>
      </c>
      <c r="B12867" s="87"/>
      <c r="C12867" s="87"/>
      <c r="D12867" s="87"/>
      <c r="E12867" s="87"/>
      <c r="F12867" s="87"/>
      <c r="G12867" s="87"/>
    </row>
    <row r="12868">
      <c r="A12868" s="86" t="str">
        <f>IFERROR(__xludf.DUMMYFUNCTION("""COMPUTED_VALUE"""),"")</f>
        <v/>
      </c>
      <c r="B12868" s="87"/>
      <c r="C12868" s="87"/>
      <c r="D12868" s="87"/>
      <c r="E12868" s="87"/>
      <c r="F12868" s="87"/>
      <c r="G12868" s="87"/>
    </row>
    <row r="12869">
      <c r="A12869" s="86" t="str">
        <f>IFERROR(__xludf.DUMMYFUNCTION("""COMPUTED_VALUE"""),"")</f>
        <v/>
      </c>
      <c r="B12869" s="87"/>
      <c r="C12869" s="87"/>
      <c r="D12869" s="87"/>
      <c r="E12869" s="87"/>
      <c r="F12869" s="87"/>
      <c r="G12869" s="87"/>
    </row>
    <row r="12870">
      <c r="A12870" s="86" t="str">
        <f>IFERROR(__xludf.DUMMYFUNCTION("""COMPUTED_VALUE"""),"")</f>
        <v/>
      </c>
      <c r="B12870" s="87"/>
      <c r="C12870" s="87"/>
      <c r="D12870" s="87"/>
      <c r="E12870" s="87"/>
      <c r="F12870" s="87"/>
      <c r="G12870" s="87"/>
    </row>
    <row r="12871">
      <c r="A12871" s="86" t="str">
        <f>IFERROR(__xludf.DUMMYFUNCTION("""COMPUTED_VALUE"""),"")</f>
        <v/>
      </c>
      <c r="B12871" s="87"/>
      <c r="C12871" s="87"/>
      <c r="D12871" s="87"/>
      <c r="E12871" s="87"/>
      <c r="F12871" s="87"/>
      <c r="G12871" s="87"/>
    </row>
    <row r="12872">
      <c r="A12872" s="86" t="str">
        <f>IFERROR(__xludf.DUMMYFUNCTION("""COMPUTED_VALUE"""),"")</f>
        <v/>
      </c>
      <c r="B12872" s="87"/>
      <c r="C12872" s="87"/>
      <c r="D12872" s="87"/>
      <c r="E12872" s="87"/>
      <c r="F12872" s="87"/>
      <c r="G12872" s="87"/>
    </row>
    <row r="12873">
      <c r="A12873" s="86" t="str">
        <f>IFERROR(__xludf.DUMMYFUNCTION("""COMPUTED_VALUE"""),"")</f>
        <v/>
      </c>
      <c r="B12873" s="87"/>
      <c r="C12873" s="87"/>
      <c r="D12873" s="87"/>
      <c r="E12873" s="87"/>
      <c r="F12873" s="87"/>
      <c r="G12873" s="87"/>
    </row>
    <row r="12874">
      <c r="A12874" s="86" t="str">
        <f>IFERROR(__xludf.DUMMYFUNCTION("""COMPUTED_VALUE"""),"")</f>
        <v/>
      </c>
      <c r="B12874" s="87"/>
      <c r="C12874" s="87"/>
      <c r="D12874" s="87"/>
      <c r="E12874" s="87"/>
      <c r="F12874" s="87"/>
      <c r="G12874" s="87"/>
    </row>
    <row r="12875">
      <c r="A12875" s="86" t="str">
        <f>IFERROR(__xludf.DUMMYFUNCTION("""COMPUTED_VALUE"""),"")</f>
        <v/>
      </c>
      <c r="B12875" s="87"/>
      <c r="C12875" s="87"/>
      <c r="D12875" s="87"/>
      <c r="E12875" s="87"/>
      <c r="F12875" s="87"/>
      <c r="G12875" s="87"/>
    </row>
    <row r="12876">
      <c r="A12876" s="86" t="str">
        <f>IFERROR(__xludf.DUMMYFUNCTION("""COMPUTED_VALUE"""),"")</f>
        <v/>
      </c>
      <c r="B12876" s="87"/>
      <c r="C12876" s="87"/>
      <c r="D12876" s="87"/>
      <c r="E12876" s="87"/>
      <c r="F12876" s="87"/>
      <c r="G12876" s="87"/>
    </row>
    <row r="12877">
      <c r="A12877" s="86" t="str">
        <f>IFERROR(__xludf.DUMMYFUNCTION("""COMPUTED_VALUE"""),"")</f>
        <v/>
      </c>
      <c r="B12877" s="87"/>
      <c r="C12877" s="87"/>
      <c r="D12877" s="87"/>
      <c r="E12877" s="87"/>
      <c r="F12877" s="87"/>
      <c r="G12877" s="87"/>
    </row>
    <row r="12878">
      <c r="A12878" s="86" t="str">
        <f>IFERROR(__xludf.DUMMYFUNCTION("""COMPUTED_VALUE"""),"")</f>
        <v/>
      </c>
      <c r="B12878" s="87"/>
      <c r="C12878" s="87"/>
      <c r="D12878" s="87"/>
      <c r="E12878" s="87"/>
      <c r="F12878" s="87"/>
      <c r="G12878" s="87"/>
    </row>
    <row r="12879">
      <c r="A12879" s="86" t="str">
        <f>IFERROR(__xludf.DUMMYFUNCTION("""COMPUTED_VALUE"""),"")</f>
        <v/>
      </c>
      <c r="B12879" s="87"/>
      <c r="C12879" s="87"/>
      <c r="D12879" s="87"/>
      <c r="E12879" s="87"/>
      <c r="F12879" s="87"/>
      <c r="G12879" s="87"/>
    </row>
    <row r="12880">
      <c r="A12880" s="86" t="str">
        <f>IFERROR(__xludf.DUMMYFUNCTION("""COMPUTED_VALUE"""),"")</f>
        <v/>
      </c>
      <c r="B12880" s="87"/>
      <c r="C12880" s="87"/>
      <c r="D12880" s="87"/>
      <c r="E12880" s="87"/>
      <c r="F12880" s="87"/>
      <c r="G12880" s="87"/>
    </row>
    <row r="12881">
      <c r="A12881" s="86" t="str">
        <f>IFERROR(__xludf.DUMMYFUNCTION("""COMPUTED_VALUE"""),"")</f>
        <v/>
      </c>
      <c r="B12881" s="87"/>
      <c r="C12881" s="87"/>
      <c r="D12881" s="87"/>
      <c r="E12881" s="87"/>
      <c r="F12881" s="87"/>
      <c r="G12881" s="87"/>
    </row>
    <row r="12882">
      <c r="A12882" s="86" t="str">
        <f>IFERROR(__xludf.DUMMYFUNCTION("""COMPUTED_VALUE"""),"")</f>
        <v/>
      </c>
      <c r="B12882" s="87"/>
      <c r="C12882" s="87"/>
      <c r="D12882" s="87"/>
      <c r="E12882" s="87"/>
      <c r="F12882" s="87"/>
      <c r="G12882" s="87"/>
    </row>
    <row r="12883">
      <c r="A12883" s="86" t="str">
        <f>IFERROR(__xludf.DUMMYFUNCTION("""COMPUTED_VALUE"""),"")</f>
        <v/>
      </c>
      <c r="B12883" s="87"/>
      <c r="C12883" s="87"/>
      <c r="D12883" s="87"/>
      <c r="E12883" s="87"/>
      <c r="F12883" s="87"/>
      <c r="G12883" s="87"/>
    </row>
    <row r="12884">
      <c r="A12884" s="86" t="str">
        <f>IFERROR(__xludf.DUMMYFUNCTION("""COMPUTED_VALUE"""),"")</f>
        <v/>
      </c>
      <c r="B12884" s="87"/>
      <c r="C12884" s="87"/>
      <c r="D12884" s="87"/>
      <c r="E12884" s="87"/>
      <c r="F12884" s="87"/>
      <c r="G12884" s="87"/>
    </row>
    <row r="12885">
      <c r="A12885" s="86" t="str">
        <f>IFERROR(__xludf.DUMMYFUNCTION("""COMPUTED_VALUE"""),"")</f>
        <v/>
      </c>
      <c r="B12885" s="87"/>
      <c r="C12885" s="87"/>
      <c r="D12885" s="87"/>
      <c r="E12885" s="87"/>
      <c r="F12885" s="87"/>
      <c r="G12885" s="87"/>
    </row>
    <row r="12886">
      <c r="A12886" s="86" t="str">
        <f>IFERROR(__xludf.DUMMYFUNCTION("""COMPUTED_VALUE"""),"")</f>
        <v/>
      </c>
      <c r="B12886" s="87"/>
      <c r="C12886" s="87"/>
      <c r="D12886" s="87"/>
      <c r="E12886" s="87"/>
      <c r="F12886" s="87"/>
      <c r="G12886" s="87"/>
    </row>
    <row r="12887">
      <c r="A12887" s="86" t="str">
        <f>IFERROR(__xludf.DUMMYFUNCTION("""COMPUTED_VALUE"""),"")</f>
        <v/>
      </c>
      <c r="B12887" s="87"/>
      <c r="C12887" s="87"/>
      <c r="D12887" s="87"/>
      <c r="E12887" s="87"/>
      <c r="F12887" s="87"/>
      <c r="G12887" s="87"/>
    </row>
    <row r="12888">
      <c r="A12888" s="86" t="str">
        <f>IFERROR(__xludf.DUMMYFUNCTION("""COMPUTED_VALUE"""),"")</f>
        <v/>
      </c>
      <c r="B12888" s="87"/>
      <c r="C12888" s="87"/>
      <c r="D12888" s="87"/>
      <c r="E12888" s="87"/>
      <c r="F12888" s="87"/>
      <c r="G12888" s="87"/>
    </row>
    <row r="12889">
      <c r="A12889" s="86" t="str">
        <f>IFERROR(__xludf.DUMMYFUNCTION("""COMPUTED_VALUE"""),"")</f>
        <v/>
      </c>
      <c r="B12889" s="87"/>
      <c r="C12889" s="87"/>
      <c r="D12889" s="87"/>
      <c r="E12889" s="87"/>
      <c r="F12889" s="87"/>
      <c r="G12889" s="87"/>
    </row>
    <row r="12890">
      <c r="A12890" s="86" t="str">
        <f>IFERROR(__xludf.DUMMYFUNCTION("""COMPUTED_VALUE"""),"")</f>
        <v/>
      </c>
      <c r="B12890" s="87"/>
      <c r="C12890" s="87"/>
      <c r="D12890" s="87"/>
      <c r="E12890" s="87"/>
      <c r="F12890" s="87"/>
      <c r="G12890" s="87"/>
    </row>
    <row r="12891">
      <c r="A12891" s="86" t="str">
        <f>IFERROR(__xludf.DUMMYFUNCTION("""COMPUTED_VALUE"""),"")</f>
        <v/>
      </c>
      <c r="B12891" s="87"/>
      <c r="C12891" s="87"/>
      <c r="D12891" s="87"/>
      <c r="E12891" s="87"/>
      <c r="F12891" s="87"/>
      <c r="G12891" s="87"/>
    </row>
    <row r="12892">
      <c r="A12892" s="86" t="str">
        <f>IFERROR(__xludf.DUMMYFUNCTION("""COMPUTED_VALUE"""),"")</f>
        <v/>
      </c>
      <c r="B12892" s="87"/>
      <c r="C12892" s="87"/>
      <c r="D12892" s="87"/>
      <c r="E12892" s="87"/>
      <c r="F12892" s="87"/>
      <c r="G12892" s="87"/>
    </row>
    <row r="12893">
      <c r="A12893" s="86" t="str">
        <f>IFERROR(__xludf.DUMMYFUNCTION("""COMPUTED_VALUE"""),"")</f>
        <v/>
      </c>
      <c r="B12893" s="87"/>
      <c r="C12893" s="87"/>
      <c r="D12893" s="87"/>
      <c r="E12893" s="87"/>
      <c r="F12893" s="87"/>
      <c r="G12893" s="87"/>
    </row>
    <row r="12894">
      <c r="A12894" s="86" t="str">
        <f>IFERROR(__xludf.DUMMYFUNCTION("""COMPUTED_VALUE"""),"")</f>
        <v/>
      </c>
      <c r="B12894" s="87"/>
      <c r="C12894" s="87"/>
      <c r="D12894" s="87"/>
      <c r="E12894" s="87"/>
      <c r="F12894" s="87"/>
      <c r="G12894" s="87"/>
    </row>
    <row r="12895">
      <c r="A12895" s="86" t="str">
        <f>IFERROR(__xludf.DUMMYFUNCTION("""COMPUTED_VALUE"""),"")</f>
        <v/>
      </c>
      <c r="B12895" s="87"/>
      <c r="C12895" s="87"/>
      <c r="D12895" s="87"/>
      <c r="E12895" s="87"/>
      <c r="F12895" s="87"/>
      <c r="G12895" s="87"/>
    </row>
    <row r="12896">
      <c r="A12896" s="86" t="str">
        <f>IFERROR(__xludf.DUMMYFUNCTION("""COMPUTED_VALUE"""),"")</f>
        <v/>
      </c>
      <c r="B12896" s="87"/>
      <c r="C12896" s="87"/>
      <c r="D12896" s="87"/>
      <c r="E12896" s="87"/>
      <c r="F12896" s="87"/>
      <c r="G12896" s="87"/>
    </row>
    <row r="12897">
      <c r="A12897" s="86" t="str">
        <f>IFERROR(__xludf.DUMMYFUNCTION("""COMPUTED_VALUE"""),"")</f>
        <v/>
      </c>
      <c r="B12897" s="87"/>
      <c r="C12897" s="87"/>
      <c r="D12897" s="87"/>
      <c r="E12897" s="87"/>
      <c r="F12897" s="87"/>
      <c r="G12897" s="87"/>
    </row>
    <row r="12898">
      <c r="A12898" s="86" t="str">
        <f>IFERROR(__xludf.DUMMYFUNCTION("""COMPUTED_VALUE"""),"")</f>
        <v/>
      </c>
      <c r="B12898" s="87"/>
      <c r="C12898" s="87"/>
      <c r="D12898" s="87"/>
      <c r="E12898" s="87"/>
      <c r="F12898" s="87"/>
      <c r="G12898" s="87"/>
    </row>
    <row r="12899">
      <c r="A12899" s="86" t="str">
        <f>IFERROR(__xludf.DUMMYFUNCTION("""COMPUTED_VALUE"""),"")</f>
        <v/>
      </c>
      <c r="B12899" s="87"/>
      <c r="C12899" s="87"/>
      <c r="D12899" s="87"/>
      <c r="E12899" s="87"/>
      <c r="F12899" s="87"/>
      <c r="G12899" s="87"/>
    </row>
    <row r="12900">
      <c r="A12900" s="86" t="str">
        <f>IFERROR(__xludf.DUMMYFUNCTION("""COMPUTED_VALUE"""),"")</f>
        <v/>
      </c>
      <c r="B12900" s="87"/>
      <c r="C12900" s="87"/>
      <c r="D12900" s="87"/>
      <c r="E12900" s="87"/>
      <c r="F12900" s="87"/>
      <c r="G12900" s="87"/>
    </row>
    <row r="12901">
      <c r="A12901" s="86" t="str">
        <f>IFERROR(__xludf.DUMMYFUNCTION("""COMPUTED_VALUE"""),"")</f>
        <v/>
      </c>
      <c r="B12901" s="87"/>
      <c r="C12901" s="87"/>
      <c r="D12901" s="87"/>
      <c r="E12901" s="87"/>
      <c r="F12901" s="87"/>
      <c r="G12901" s="87"/>
    </row>
    <row r="12902">
      <c r="A12902" s="86" t="str">
        <f>IFERROR(__xludf.DUMMYFUNCTION("""COMPUTED_VALUE"""),"")</f>
        <v/>
      </c>
      <c r="B12902" s="87"/>
      <c r="C12902" s="87"/>
      <c r="D12902" s="87"/>
      <c r="E12902" s="87"/>
      <c r="F12902" s="87"/>
      <c r="G12902" s="87"/>
    </row>
    <row r="12903">
      <c r="A12903" s="86" t="str">
        <f>IFERROR(__xludf.DUMMYFUNCTION("""COMPUTED_VALUE"""),"")</f>
        <v/>
      </c>
      <c r="B12903" s="87"/>
      <c r="C12903" s="87"/>
      <c r="D12903" s="87"/>
      <c r="E12903" s="87"/>
      <c r="F12903" s="87"/>
      <c r="G12903" s="87"/>
    </row>
    <row r="12904">
      <c r="A12904" s="86" t="str">
        <f>IFERROR(__xludf.DUMMYFUNCTION("""COMPUTED_VALUE"""),"")</f>
        <v/>
      </c>
      <c r="B12904" s="87"/>
      <c r="C12904" s="87"/>
      <c r="D12904" s="87"/>
      <c r="E12904" s="87"/>
      <c r="F12904" s="87"/>
      <c r="G12904" s="87"/>
    </row>
    <row r="12905">
      <c r="A12905" s="86" t="str">
        <f>IFERROR(__xludf.DUMMYFUNCTION("""COMPUTED_VALUE"""),"")</f>
        <v/>
      </c>
      <c r="B12905" s="87"/>
      <c r="C12905" s="87"/>
      <c r="D12905" s="87"/>
      <c r="E12905" s="87"/>
      <c r="F12905" s="87"/>
      <c r="G12905" s="87"/>
    </row>
    <row r="12906">
      <c r="A12906" s="86" t="str">
        <f>IFERROR(__xludf.DUMMYFUNCTION("""COMPUTED_VALUE"""),"")</f>
        <v/>
      </c>
      <c r="B12906" s="87"/>
      <c r="C12906" s="87"/>
      <c r="D12906" s="87"/>
      <c r="E12906" s="87"/>
      <c r="F12906" s="87"/>
      <c r="G12906" s="87"/>
    </row>
    <row r="12907">
      <c r="A12907" s="86" t="str">
        <f>IFERROR(__xludf.DUMMYFUNCTION("""COMPUTED_VALUE"""),"")</f>
        <v/>
      </c>
      <c r="B12907" s="87"/>
      <c r="C12907" s="87"/>
      <c r="D12907" s="87"/>
      <c r="E12907" s="87"/>
      <c r="F12907" s="87"/>
      <c r="G12907" s="87"/>
    </row>
    <row r="12908">
      <c r="A12908" s="86" t="str">
        <f>IFERROR(__xludf.DUMMYFUNCTION("""COMPUTED_VALUE"""),"")</f>
        <v/>
      </c>
      <c r="B12908" s="87"/>
      <c r="C12908" s="87"/>
      <c r="D12908" s="87"/>
      <c r="E12908" s="87"/>
      <c r="F12908" s="87"/>
      <c r="G12908" s="87"/>
    </row>
    <row r="12909">
      <c r="A12909" s="86" t="str">
        <f>IFERROR(__xludf.DUMMYFUNCTION("""COMPUTED_VALUE"""),"")</f>
        <v/>
      </c>
      <c r="B12909" s="87"/>
      <c r="C12909" s="87"/>
      <c r="D12909" s="87"/>
      <c r="E12909" s="87"/>
      <c r="F12909" s="87"/>
      <c r="G12909" s="87"/>
    </row>
    <row r="12910">
      <c r="A12910" s="86" t="str">
        <f>IFERROR(__xludf.DUMMYFUNCTION("""COMPUTED_VALUE"""),"")</f>
        <v/>
      </c>
      <c r="B12910" s="87"/>
      <c r="C12910" s="87"/>
      <c r="D12910" s="87"/>
      <c r="E12910" s="87"/>
      <c r="F12910" s="87"/>
      <c r="G12910" s="87"/>
    </row>
    <row r="12911">
      <c r="A12911" s="86" t="str">
        <f>IFERROR(__xludf.DUMMYFUNCTION("""COMPUTED_VALUE"""),"")</f>
        <v/>
      </c>
      <c r="B12911" s="87"/>
      <c r="C12911" s="87"/>
      <c r="D12911" s="87"/>
      <c r="E12911" s="87"/>
      <c r="F12911" s="87"/>
      <c r="G12911" s="87"/>
    </row>
    <row r="12912">
      <c r="A12912" s="86" t="str">
        <f>IFERROR(__xludf.DUMMYFUNCTION("""COMPUTED_VALUE"""),"")</f>
        <v/>
      </c>
      <c r="B12912" s="87"/>
      <c r="C12912" s="87"/>
      <c r="D12912" s="87"/>
      <c r="E12912" s="87"/>
      <c r="F12912" s="87"/>
      <c r="G12912" s="87"/>
    </row>
    <row r="12913">
      <c r="A12913" s="86" t="str">
        <f>IFERROR(__xludf.DUMMYFUNCTION("""COMPUTED_VALUE"""),"")</f>
        <v/>
      </c>
      <c r="B12913" s="87"/>
      <c r="C12913" s="87"/>
      <c r="D12913" s="87"/>
      <c r="E12913" s="87"/>
      <c r="F12913" s="87"/>
      <c r="G12913" s="87"/>
    </row>
    <row r="12914">
      <c r="A12914" s="86" t="str">
        <f>IFERROR(__xludf.DUMMYFUNCTION("""COMPUTED_VALUE"""),"")</f>
        <v/>
      </c>
      <c r="B12914" s="87"/>
      <c r="C12914" s="87"/>
      <c r="D12914" s="87"/>
      <c r="E12914" s="87"/>
      <c r="F12914" s="87"/>
      <c r="G12914" s="87"/>
    </row>
    <row r="12915">
      <c r="A12915" s="86" t="str">
        <f>IFERROR(__xludf.DUMMYFUNCTION("""COMPUTED_VALUE"""),"")</f>
        <v/>
      </c>
      <c r="B12915" s="87"/>
      <c r="C12915" s="87"/>
      <c r="D12915" s="87"/>
      <c r="E12915" s="87"/>
      <c r="F12915" s="87"/>
      <c r="G12915" s="87"/>
    </row>
    <row r="12916">
      <c r="A12916" s="86" t="str">
        <f>IFERROR(__xludf.DUMMYFUNCTION("""COMPUTED_VALUE"""),"")</f>
        <v/>
      </c>
      <c r="B12916" s="87"/>
      <c r="C12916" s="87"/>
      <c r="D12916" s="87"/>
      <c r="E12916" s="87"/>
      <c r="F12916" s="87"/>
      <c r="G12916" s="87"/>
    </row>
    <row r="12917">
      <c r="A12917" s="86" t="str">
        <f>IFERROR(__xludf.DUMMYFUNCTION("""COMPUTED_VALUE"""),"")</f>
        <v/>
      </c>
      <c r="B12917" s="87"/>
      <c r="C12917" s="87"/>
      <c r="D12917" s="87"/>
      <c r="E12917" s="87"/>
      <c r="F12917" s="87"/>
      <c r="G12917" s="87"/>
    </row>
    <row r="12918">
      <c r="A12918" s="86" t="str">
        <f>IFERROR(__xludf.DUMMYFUNCTION("""COMPUTED_VALUE"""),"")</f>
        <v/>
      </c>
      <c r="B12918" s="87"/>
      <c r="C12918" s="87"/>
      <c r="D12918" s="87"/>
      <c r="E12918" s="87"/>
      <c r="F12918" s="87"/>
      <c r="G12918" s="87"/>
    </row>
    <row r="12919">
      <c r="A12919" s="86" t="str">
        <f>IFERROR(__xludf.DUMMYFUNCTION("""COMPUTED_VALUE"""),"")</f>
        <v/>
      </c>
      <c r="B12919" s="87"/>
      <c r="C12919" s="87"/>
      <c r="D12919" s="87"/>
      <c r="E12919" s="87"/>
      <c r="F12919" s="87"/>
      <c r="G12919" s="87"/>
    </row>
    <row r="12920">
      <c r="A12920" s="86" t="str">
        <f>IFERROR(__xludf.DUMMYFUNCTION("""COMPUTED_VALUE"""),"")</f>
        <v/>
      </c>
      <c r="B12920" s="87"/>
      <c r="C12920" s="87"/>
      <c r="D12920" s="87"/>
      <c r="E12920" s="87"/>
      <c r="F12920" s="87"/>
      <c r="G12920" s="87"/>
    </row>
    <row r="12921">
      <c r="A12921" s="86" t="str">
        <f>IFERROR(__xludf.DUMMYFUNCTION("""COMPUTED_VALUE"""),"")</f>
        <v/>
      </c>
      <c r="B12921" s="87"/>
      <c r="C12921" s="87"/>
      <c r="D12921" s="87"/>
      <c r="E12921" s="87"/>
      <c r="F12921" s="87"/>
      <c r="G12921" s="87"/>
    </row>
    <row r="12922">
      <c r="A12922" s="86" t="str">
        <f>IFERROR(__xludf.DUMMYFUNCTION("""COMPUTED_VALUE"""),"")</f>
        <v/>
      </c>
      <c r="B12922" s="87"/>
      <c r="C12922" s="87"/>
      <c r="D12922" s="87"/>
      <c r="E12922" s="87"/>
      <c r="F12922" s="87"/>
      <c r="G12922" s="87"/>
    </row>
    <row r="12923">
      <c r="A12923" s="86" t="str">
        <f>IFERROR(__xludf.DUMMYFUNCTION("""COMPUTED_VALUE"""),"")</f>
        <v/>
      </c>
      <c r="B12923" s="87"/>
      <c r="C12923" s="87"/>
      <c r="D12923" s="87"/>
      <c r="E12923" s="87"/>
      <c r="F12923" s="87"/>
      <c r="G12923" s="87"/>
    </row>
    <row r="12924">
      <c r="A12924" s="86" t="str">
        <f>IFERROR(__xludf.DUMMYFUNCTION("""COMPUTED_VALUE"""),"")</f>
        <v/>
      </c>
      <c r="B12924" s="87"/>
      <c r="C12924" s="87"/>
      <c r="D12924" s="87"/>
      <c r="E12924" s="87"/>
      <c r="F12924" s="87"/>
      <c r="G12924" s="87"/>
    </row>
    <row r="12925">
      <c r="A12925" s="86" t="str">
        <f>IFERROR(__xludf.DUMMYFUNCTION("""COMPUTED_VALUE"""),"")</f>
        <v/>
      </c>
      <c r="B12925" s="87"/>
      <c r="C12925" s="87"/>
      <c r="D12925" s="87"/>
      <c r="E12925" s="87"/>
      <c r="F12925" s="87"/>
      <c r="G12925" s="87"/>
    </row>
    <row r="12926">
      <c r="A12926" s="86" t="str">
        <f>IFERROR(__xludf.DUMMYFUNCTION("""COMPUTED_VALUE"""),"")</f>
        <v/>
      </c>
      <c r="B12926" s="87"/>
      <c r="C12926" s="87"/>
      <c r="D12926" s="87"/>
      <c r="E12926" s="87"/>
      <c r="F12926" s="87"/>
      <c r="G12926" s="87"/>
    </row>
    <row r="12927">
      <c r="A12927" s="86" t="str">
        <f>IFERROR(__xludf.DUMMYFUNCTION("""COMPUTED_VALUE"""),"")</f>
        <v/>
      </c>
      <c r="B12927" s="87"/>
      <c r="C12927" s="87"/>
      <c r="D12927" s="87"/>
      <c r="E12927" s="87"/>
      <c r="F12927" s="87"/>
      <c r="G12927" s="87"/>
    </row>
    <row r="12928">
      <c r="A12928" s="86" t="str">
        <f>IFERROR(__xludf.DUMMYFUNCTION("""COMPUTED_VALUE"""),"")</f>
        <v/>
      </c>
      <c r="B12928" s="87"/>
      <c r="C12928" s="87"/>
      <c r="D12928" s="87"/>
      <c r="E12928" s="87"/>
      <c r="F12928" s="87"/>
      <c r="G12928" s="87"/>
    </row>
    <row r="12929">
      <c r="A12929" s="86" t="str">
        <f>IFERROR(__xludf.DUMMYFUNCTION("""COMPUTED_VALUE"""),"")</f>
        <v/>
      </c>
      <c r="B12929" s="87"/>
      <c r="C12929" s="87"/>
      <c r="D12929" s="87"/>
      <c r="E12929" s="87"/>
      <c r="F12929" s="87"/>
      <c r="G12929" s="87"/>
    </row>
    <row r="12930">
      <c r="A12930" s="86" t="str">
        <f>IFERROR(__xludf.DUMMYFUNCTION("""COMPUTED_VALUE"""),"")</f>
        <v/>
      </c>
      <c r="B12930" s="87"/>
      <c r="C12930" s="87"/>
      <c r="D12930" s="87"/>
      <c r="E12930" s="87"/>
      <c r="F12930" s="87"/>
      <c r="G12930" s="87"/>
    </row>
    <row r="12931">
      <c r="A12931" s="86" t="str">
        <f>IFERROR(__xludf.DUMMYFUNCTION("""COMPUTED_VALUE"""),"")</f>
        <v/>
      </c>
      <c r="B12931" s="87"/>
      <c r="C12931" s="87"/>
      <c r="D12931" s="87"/>
      <c r="E12931" s="87"/>
      <c r="F12931" s="87"/>
      <c r="G12931" s="87"/>
    </row>
    <row r="12932">
      <c r="A12932" s="86" t="str">
        <f>IFERROR(__xludf.DUMMYFUNCTION("""COMPUTED_VALUE"""),"")</f>
        <v/>
      </c>
      <c r="B12932" s="87"/>
      <c r="C12932" s="87"/>
      <c r="D12932" s="87"/>
      <c r="E12932" s="87"/>
      <c r="F12932" s="87"/>
      <c r="G12932" s="87"/>
    </row>
    <row r="12933">
      <c r="A12933" s="86" t="str">
        <f>IFERROR(__xludf.DUMMYFUNCTION("""COMPUTED_VALUE"""),"")</f>
        <v/>
      </c>
      <c r="B12933" s="87"/>
      <c r="C12933" s="87"/>
      <c r="D12933" s="87"/>
      <c r="E12933" s="87"/>
      <c r="F12933" s="87"/>
      <c r="G12933" s="87"/>
    </row>
    <row r="12934">
      <c r="A12934" s="86" t="str">
        <f>IFERROR(__xludf.DUMMYFUNCTION("""COMPUTED_VALUE"""),"")</f>
        <v/>
      </c>
      <c r="B12934" s="87"/>
      <c r="C12934" s="87"/>
      <c r="D12934" s="87"/>
      <c r="E12934" s="87"/>
      <c r="F12934" s="87"/>
      <c r="G12934" s="87"/>
    </row>
    <row r="12935">
      <c r="A12935" s="86" t="str">
        <f>IFERROR(__xludf.DUMMYFUNCTION("""COMPUTED_VALUE"""),"")</f>
        <v/>
      </c>
      <c r="B12935" s="87"/>
      <c r="C12935" s="87"/>
      <c r="D12935" s="87"/>
      <c r="E12935" s="87"/>
      <c r="F12935" s="87"/>
      <c r="G12935" s="87"/>
    </row>
    <row r="12936">
      <c r="A12936" s="86" t="str">
        <f>IFERROR(__xludf.DUMMYFUNCTION("""COMPUTED_VALUE"""),"")</f>
        <v/>
      </c>
      <c r="B12936" s="87"/>
      <c r="C12936" s="87"/>
      <c r="D12936" s="87"/>
      <c r="E12936" s="87"/>
      <c r="F12936" s="87"/>
      <c r="G12936" s="87"/>
    </row>
    <row r="12937">
      <c r="A12937" s="86" t="str">
        <f>IFERROR(__xludf.DUMMYFUNCTION("""COMPUTED_VALUE"""),"")</f>
        <v/>
      </c>
      <c r="B12937" s="87"/>
      <c r="C12937" s="87"/>
      <c r="D12937" s="87"/>
      <c r="E12937" s="87"/>
      <c r="F12937" s="87"/>
      <c r="G12937" s="87"/>
    </row>
    <row r="12938">
      <c r="A12938" s="86" t="str">
        <f>IFERROR(__xludf.DUMMYFUNCTION("""COMPUTED_VALUE"""),"")</f>
        <v/>
      </c>
      <c r="B12938" s="87"/>
      <c r="C12938" s="87"/>
      <c r="D12938" s="87"/>
      <c r="E12938" s="87"/>
      <c r="F12938" s="87"/>
      <c r="G12938" s="87"/>
    </row>
    <row r="12939">
      <c r="A12939" s="86" t="str">
        <f>IFERROR(__xludf.DUMMYFUNCTION("""COMPUTED_VALUE"""),"")</f>
        <v/>
      </c>
      <c r="B12939" s="87"/>
      <c r="C12939" s="87"/>
      <c r="D12939" s="87"/>
      <c r="E12939" s="87"/>
      <c r="F12939" s="87"/>
      <c r="G12939" s="87"/>
    </row>
    <row r="12940">
      <c r="A12940" s="86" t="str">
        <f>IFERROR(__xludf.DUMMYFUNCTION("""COMPUTED_VALUE"""),"")</f>
        <v/>
      </c>
      <c r="B12940" s="87"/>
      <c r="C12940" s="87"/>
      <c r="D12940" s="87"/>
      <c r="E12940" s="87"/>
      <c r="F12940" s="87"/>
      <c r="G12940" s="87"/>
    </row>
    <row r="12941">
      <c r="A12941" s="86" t="str">
        <f>IFERROR(__xludf.DUMMYFUNCTION("""COMPUTED_VALUE"""),"")</f>
        <v/>
      </c>
      <c r="B12941" s="87"/>
      <c r="C12941" s="87"/>
      <c r="D12941" s="87"/>
      <c r="E12941" s="87"/>
      <c r="F12941" s="87"/>
      <c r="G12941" s="87"/>
    </row>
    <row r="12942">
      <c r="A12942" s="86" t="str">
        <f>IFERROR(__xludf.DUMMYFUNCTION("""COMPUTED_VALUE"""),"")</f>
        <v/>
      </c>
      <c r="B12942" s="87"/>
      <c r="C12942" s="87"/>
      <c r="D12942" s="87"/>
      <c r="E12942" s="87"/>
      <c r="F12942" s="87"/>
      <c r="G12942" s="87"/>
    </row>
    <row r="12943">
      <c r="A12943" s="86" t="str">
        <f>IFERROR(__xludf.DUMMYFUNCTION("""COMPUTED_VALUE"""),"")</f>
        <v/>
      </c>
      <c r="B12943" s="87"/>
      <c r="C12943" s="87"/>
      <c r="D12943" s="87"/>
      <c r="E12943" s="87"/>
      <c r="F12943" s="87"/>
      <c r="G12943" s="87"/>
    </row>
    <row r="12944">
      <c r="A12944" s="86" t="str">
        <f>IFERROR(__xludf.DUMMYFUNCTION("""COMPUTED_VALUE"""),"")</f>
        <v/>
      </c>
      <c r="B12944" s="87"/>
      <c r="C12944" s="87"/>
      <c r="D12944" s="87"/>
      <c r="E12944" s="87"/>
      <c r="F12944" s="87"/>
      <c r="G12944" s="87"/>
    </row>
    <row r="12945">
      <c r="A12945" s="86" t="str">
        <f>IFERROR(__xludf.DUMMYFUNCTION("""COMPUTED_VALUE"""),"")</f>
        <v/>
      </c>
      <c r="B12945" s="87"/>
      <c r="C12945" s="87"/>
      <c r="D12945" s="87"/>
      <c r="E12945" s="87"/>
      <c r="F12945" s="87"/>
      <c r="G12945" s="87"/>
    </row>
    <row r="12946">
      <c r="A12946" s="86" t="str">
        <f>IFERROR(__xludf.DUMMYFUNCTION("""COMPUTED_VALUE"""),"")</f>
        <v/>
      </c>
      <c r="B12946" s="87"/>
      <c r="C12946" s="87"/>
      <c r="D12946" s="87"/>
      <c r="E12946" s="87"/>
      <c r="F12946" s="87"/>
      <c r="G12946" s="87"/>
    </row>
    <row r="12947">
      <c r="A12947" s="86" t="str">
        <f>IFERROR(__xludf.DUMMYFUNCTION("""COMPUTED_VALUE"""),"")</f>
        <v/>
      </c>
      <c r="B12947" s="87"/>
      <c r="C12947" s="87"/>
      <c r="D12947" s="87"/>
      <c r="E12947" s="87"/>
      <c r="F12947" s="87"/>
      <c r="G12947" s="87"/>
    </row>
    <row r="12948">
      <c r="A12948" s="86" t="str">
        <f>IFERROR(__xludf.DUMMYFUNCTION("""COMPUTED_VALUE"""),"")</f>
        <v/>
      </c>
      <c r="B12948" s="87"/>
      <c r="C12948" s="87"/>
      <c r="D12948" s="87"/>
      <c r="E12948" s="87"/>
      <c r="F12948" s="87"/>
      <c r="G12948" s="87"/>
    </row>
    <row r="12949">
      <c r="A12949" s="86" t="str">
        <f>IFERROR(__xludf.DUMMYFUNCTION("""COMPUTED_VALUE"""),"")</f>
        <v/>
      </c>
      <c r="B12949" s="87"/>
      <c r="C12949" s="87"/>
      <c r="D12949" s="87"/>
      <c r="E12949" s="87"/>
      <c r="F12949" s="87"/>
      <c r="G12949" s="87"/>
    </row>
    <row r="12950">
      <c r="A12950" s="86" t="str">
        <f>IFERROR(__xludf.DUMMYFUNCTION("""COMPUTED_VALUE"""),"")</f>
        <v/>
      </c>
      <c r="B12950" s="87"/>
      <c r="C12950" s="87"/>
      <c r="D12950" s="87"/>
      <c r="E12950" s="87"/>
      <c r="F12950" s="87"/>
      <c r="G12950" s="87"/>
    </row>
    <row r="12951">
      <c r="A12951" s="86" t="str">
        <f>IFERROR(__xludf.DUMMYFUNCTION("""COMPUTED_VALUE"""),"")</f>
        <v/>
      </c>
      <c r="B12951" s="87"/>
      <c r="C12951" s="87"/>
      <c r="D12951" s="87"/>
      <c r="E12951" s="87"/>
      <c r="F12951" s="87"/>
      <c r="G12951" s="87"/>
    </row>
    <row r="12952">
      <c r="A12952" s="86" t="str">
        <f>IFERROR(__xludf.DUMMYFUNCTION("""COMPUTED_VALUE"""),"")</f>
        <v/>
      </c>
      <c r="B12952" s="87"/>
      <c r="C12952" s="87"/>
      <c r="D12952" s="87"/>
      <c r="E12952" s="87"/>
      <c r="F12952" s="87"/>
      <c r="G12952" s="87"/>
    </row>
    <row r="12953">
      <c r="A12953" s="86" t="str">
        <f>IFERROR(__xludf.DUMMYFUNCTION("""COMPUTED_VALUE"""),"")</f>
        <v/>
      </c>
      <c r="B12953" s="87"/>
      <c r="C12953" s="87"/>
      <c r="D12953" s="87"/>
      <c r="E12953" s="87"/>
      <c r="F12953" s="87"/>
      <c r="G12953" s="87"/>
    </row>
    <row r="12954">
      <c r="A12954" s="86" t="str">
        <f>IFERROR(__xludf.DUMMYFUNCTION("""COMPUTED_VALUE"""),"")</f>
        <v/>
      </c>
      <c r="B12954" s="87"/>
      <c r="C12954" s="87"/>
      <c r="D12954" s="87"/>
      <c r="E12954" s="87"/>
      <c r="F12954" s="87"/>
      <c r="G12954" s="87"/>
    </row>
    <row r="12955">
      <c r="A12955" s="86" t="str">
        <f>IFERROR(__xludf.DUMMYFUNCTION("""COMPUTED_VALUE"""),"")</f>
        <v/>
      </c>
      <c r="B12955" s="87"/>
      <c r="C12955" s="87"/>
      <c r="D12955" s="87"/>
      <c r="E12955" s="87"/>
      <c r="F12955" s="87"/>
      <c r="G12955" s="87"/>
    </row>
    <row r="12956">
      <c r="A12956" s="86" t="str">
        <f>IFERROR(__xludf.DUMMYFUNCTION("""COMPUTED_VALUE"""),"")</f>
        <v/>
      </c>
      <c r="B12956" s="87"/>
      <c r="C12956" s="87"/>
      <c r="D12956" s="87"/>
      <c r="E12956" s="87"/>
      <c r="F12956" s="87"/>
      <c r="G12956" s="87"/>
    </row>
    <row r="12957">
      <c r="A12957" s="86" t="str">
        <f>IFERROR(__xludf.DUMMYFUNCTION("""COMPUTED_VALUE"""),"")</f>
        <v/>
      </c>
      <c r="B12957" s="87"/>
      <c r="C12957" s="87"/>
      <c r="D12957" s="87"/>
      <c r="E12957" s="87"/>
      <c r="F12957" s="87"/>
      <c r="G12957" s="87"/>
    </row>
    <row r="12958">
      <c r="A12958" s="86" t="str">
        <f>IFERROR(__xludf.DUMMYFUNCTION("""COMPUTED_VALUE"""),"")</f>
        <v/>
      </c>
      <c r="B12958" s="87"/>
      <c r="C12958" s="87"/>
      <c r="D12958" s="87"/>
      <c r="E12958" s="87"/>
      <c r="F12958" s="87"/>
      <c r="G12958" s="87"/>
    </row>
    <row r="12959">
      <c r="A12959" s="86" t="str">
        <f>IFERROR(__xludf.DUMMYFUNCTION("""COMPUTED_VALUE"""),"")</f>
        <v/>
      </c>
      <c r="B12959" s="87"/>
      <c r="C12959" s="87"/>
      <c r="D12959" s="87"/>
      <c r="E12959" s="87"/>
      <c r="F12959" s="87"/>
      <c r="G12959" s="87"/>
    </row>
    <row r="12960">
      <c r="A12960" s="86" t="str">
        <f>IFERROR(__xludf.DUMMYFUNCTION("""COMPUTED_VALUE"""),"")</f>
        <v/>
      </c>
      <c r="B12960" s="87"/>
      <c r="C12960" s="87"/>
      <c r="D12960" s="87"/>
      <c r="E12960" s="87"/>
      <c r="F12960" s="87"/>
      <c r="G12960" s="87"/>
    </row>
    <row r="12961">
      <c r="A12961" s="86" t="str">
        <f>IFERROR(__xludf.DUMMYFUNCTION("""COMPUTED_VALUE"""),"")</f>
        <v/>
      </c>
      <c r="B12961" s="87"/>
      <c r="C12961" s="87"/>
      <c r="D12961" s="87"/>
      <c r="E12961" s="87"/>
      <c r="F12961" s="87"/>
      <c r="G12961" s="87"/>
    </row>
    <row r="12962">
      <c r="A12962" s="86" t="str">
        <f>IFERROR(__xludf.DUMMYFUNCTION("""COMPUTED_VALUE"""),"")</f>
        <v/>
      </c>
      <c r="B12962" s="87"/>
      <c r="C12962" s="87"/>
      <c r="D12962" s="87"/>
      <c r="E12962" s="87"/>
      <c r="F12962" s="87"/>
      <c r="G12962" s="87"/>
    </row>
    <row r="12963">
      <c r="A12963" s="86" t="str">
        <f>IFERROR(__xludf.DUMMYFUNCTION("""COMPUTED_VALUE"""),"")</f>
        <v/>
      </c>
      <c r="B12963" s="87"/>
      <c r="C12963" s="87"/>
      <c r="D12963" s="87"/>
      <c r="E12963" s="87"/>
      <c r="F12963" s="87"/>
      <c r="G12963" s="87"/>
    </row>
    <row r="12964">
      <c r="A12964" s="86" t="str">
        <f>IFERROR(__xludf.DUMMYFUNCTION("""COMPUTED_VALUE"""),"")</f>
        <v/>
      </c>
      <c r="B12964" s="87"/>
      <c r="C12964" s="87"/>
      <c r="D12964" s="87"/>
      <c r="E12964" s="87"/>
      <c r="F12964" s="87"/>
      <c r="G12964" s="87"/>
    </row>
    <row r="12965">
      <c r="A12965" s="86" t="str">
        <f>IFERROR(__xludf.DUMMYFUNCTION("""COMPUTED_VALUE"""),"")</f>
        <v/>
      </c>
      <c r="B12965" s="87"/>
      <c r="C12965" s="87"/>
      <c r="D12965" s="87"/>
      <c r="E12965" s="87"/>
      <c r="F12965" s="87"/>
      <c r="G12965" s="87"/>
    </row>
    <row r="12966">
      <c r="A12966" s="86" t="str">
        <f>IFERROR(__xludf.DUMMYFUNCTION("""COMPUTED_VALUE"""),"")</f>
        <v/>
      </c>
      <c r="B12966" s="87"/>
      <c r="C12966" s="87"/>
      <c r="D12966" s="87"/>
      <c r="E12966" s="87"/>
      <c r="F12966" s="87"/>
      <c r="G12966" s="87"/>
    </row>
    <row r="12967">
      <c r="A12967" s="86" t="str">
        <f>IFERROR(__xludf.DUMMYFUNCTION("""COMPUTED_VALUE"""),"")</f>
        <v/>
      </c>
      <c r="B12967" s="87"/>
      <c r="C12967" s="87"/>
      <c r="D12967" s="87"/>
      <c r="E12967" s="87"/>
      <c r="F12967" s="87"/>
      <c r="G12967" s="87"/>
    </row>
    <row r="12968">
      <c r="A12968" s="86" t="str">
        <f>IFERROR(__xludf.DUMMYFUNCTION("""COMPUTED_VALUE"""),"")</f>
        <v/>
      </c>
      <c r="B12968" s="87"/>
      <c r="C12968" s="87"/>
      <c r="D12968" s="87"/>
      <c r="E12968" s="87"/>
      <c r="F12968" s="87"/>
      <c r="G12968" s="87"/>
    </row>
    <row r="12969">
      <c r="A12969" s="86" t="str">
        <f>IFERROR(__xludf.DUMMYFUNCTION("""COMPUTED_VALUE"""),"")</f>
        <v/>
      </c>
      <c r="B12969" s="87"/>
      <c r="C12969" s="87"/>
      <c r="D12969" s="87"/>
      <c r="E12969" s="87"/>
      <c r="F12969" s="87"/>
      <c r="G12969" s="87"/>
    </row>
    <row r="12970">
      <c r="A12970" s="86" t="str">
        <f>IFERROR(__xludf.DUMMYFUNCTION("""COMPUTED_VALUE"""),"")</f>
        <v/>
      </c>
      <c r="B12970" s="87"/>
      <c r="C12970" s="87"/>
      <c r="D12970" s="87"/>
      <c r="E12970" s="87"/>
      <c r="F12970" s="87"/>
      <c r="G12970" s="87"/>
    </row>
    <row r="12971">
      <c r="A12971" s="86" t="str">
        <f>IFERROR(__xludf.DUMMYFUNCTION("""COMPUTED_VALUE"""),"")</f>
        <v/>
      </c>
      <c r="B12971" s="87"/>
      <c r="C12971" s="87"/>
      <c r="D12971" s="87"/>
      <c r="E12971" s="87"/>
      <c r="F12971" s="87"/>
      <c r="G12971" s="87"/>
    </row>
    <row r="12972">
      <c r="A12972" s="86" t="str">
        <f>IFERROR(__xludf.DUMMYFUNCTION("""COMPUTED_VALUE"""),"")</f>
        <v/>
      </c>
      <c r="B12972" s="87"/>
      <c r="C12972" s="87"/>
      <c r="D12972" s="87"/>
      <c r="E12972" s="87"/>
      <c r="F12972" s="87"/>
      <c r="G12972" s="87"/>
    </row>
    <row r="12973">
      <c r="A12973" s="86" t="str">
        <f>IFERROR(__xludf.DUMMYFUNCTION("""COMPUTED_VALUE"""),"")</f>
        <v/>
      </c>
      <c r="B12973" s="87"/>
      <c r="C12973" s="87"/>
      <c r="D12973" s="87"/>
      <c r="E12973" s="87"/>
      <c r="F12973" s="87"/>
      <c r="G12973" s="87"/>
    </row>
    <row r="12974">
      <c r="A12974" s="86" t="str">
        <f>IFERROR(__xludf.DUMMYFUNCTION("""COMPUTED_VALUE"""),"")</f>
        <v/>
      </c>
      <c r="B12974" s="87"/>
      <c r="C12974" s="87"/>
      <c r="D12974" s="87"/>
      <c r="E12974" s="87"/>
      <c r="F12974" s="87"/>
      <c r="G12974" s="87"/>
    </row>
    <row r="12975">
      <c r="A12975" s="86" t="str">
        <f>IFERROR(__xludf.DUMMYFUNCTION("""COMPUTED_VALUE"""),"")</f>
        <v/>
      </c>
      <c r="B12975" s="87"/>
      <c r="C12975" s="87"/>
      <c r="D12975" s="87"/>
      <c r="E12975" s="87"/>
      <c r="F12975" s="87"/>
      <c r="G12975" s="87"/>
    </row>
    <row r="12976">
      <c r="A12976" s="86" t="str">
        <f>IFERROR(__xludf.DUMMYFUNCTION("""COMPUTED_VALUE"""),"")</f>
        <v/>
      </c>
      <c r="B12976" s="87"/>
      <c r="C12976" s="87"/>
      <c r="D12976" s="87"/>
      <c r="E12976" s="87"/>
      <c r="F12976" s="87"/>
      <c r="G12976" s="87"/>
    </row>
    <row r="12977">
      <c r="A12977" s="86" t="str">
        <f>IFERROR(__xludf.DUMMYFUNCTION("""COMPUTED_VALUE"""),"")</f>
        <v/>
      </c>
      <c r="B12977" s="87"/>
      <c r="C12977" s="87"/>
      <c r="D12977" s="87"/>
      <c r="E12977" s="87"/>
      <c r="F12977" s="87"/>
      <c r="G12977" s="87"/>
    </row>
    <row r="12978">
      <c r="A12978" s="86" t="str">
        <f>IFERROR(__xludf.DUMMYFUNCTION("""COMPUTED_VALUE"""),"")</f>
        <v/>
      </c>
      <c r="B12978" s="87"/>
      <c r="C12978" s="87"/>
      <c r="D12978" s="87"/>
      <c r="E12978" s="87"/>
      <c r="F12978" s="87"/>
      <c r="G12978" s="87"/>
    </row>
    <row r="12979">
      <c r="A12979" s="86" t="str">
        <f>IFERROR(__xludf.DUMMYFUNCTION("""COMPUTED_VALUE"""),"")</f>
        <v/>
      </c>
      <c r="B12979" s="87"/>
      <c r="C12979" s="87"/>
      <c r="D12979" s="87"/>
      <c r="E12979" s="87"/>
      <c r="F12979" s="87"/>
      <c r="G12979" s="87"/>
    </row>
    <row r="12980">
      <c r="A12980" s="86" t="str">
        <f>IFERROR(__xludf.DUMMYFUNCTION("""COMPUTED_VALUE"""),"")</f>
        <v/>
      </c>
      <c r="B12980" s="87"/>
      <c r="C12980" s="87"/>
      <c r="D12980" s="87"/>
      <c r="E12980" s="87"/>
      <c r="F12980" s="87"/>
      <c r="G12980" s="87"/>
    </row>
    <row r="12981">
      <c r="A12981" s="86" t="str">
        <f>IFERROR(__xludf.DUMMYFUNCTION("""COMPUTED_VALUE"""),"")</f>
        <v/>
      </c>
      <c r="B12981" s="87"/>
      <c r="C12981" s="87"/>
      <c r="D12981" s="87"/>
      <c r="E12981" s="87"/>
      <c r="F12981" s="87"/>
      <c r="G12981" s="87"/>
    </row>
    <row r="12982">
      <c r="A12982" s="86" t="str">
        <f>IFERROR(__xludf.DUMMYFUNCTION("""COMPUTED_VALUE"""),"")</f>
        <v/>
      </c>
      <c r="B12982" s="87"/>
      <c r="C12982" s="87"/>
      <c r="D12982" s="87"/>
      <c r="E12982" s="87"/>
      <c r="F12982" s="87"/>
      <c r="G12982" s="87"/>
    </row>
    <row r="12983">
      <c r="A12983" s="86" t="str">
        <f>IFERROR(__xludf.DUMMYFUNCTION("""COMPUTED_VALUE"""),"")</f>
        <v/>
      </c>
      <c r="B12983" s="87"/>
      <c r="C12983" s="87"/>
      <c r="D12983" s="87"/>
      <c r="E12983" s="87"/>
      <c r="F12983" s="87"/>
      <c r="G12983" s="87"/>
    </row>
    <row r="12984">
      <c r="A12984" s="86" t="str">
        <f>IFERROR(__xludf.DUMMYFUNCTION("""COMPUTED_VALUE"""),"")</f>
        <v/>
      </c>
      <c r="B12984" s="87"/>
      <c r="C12984" s="87"/>
      <c r="D12984" s="87"/>
      <c r="E12984" s="87"/>
      <c r="F12984" s="87"/>
      <c r="G12984" s="87"/>
    </row>
    <row r="12985">
      <c r="A12985" s="86" t="str">
        <f>IFERROR(__xludf.DUMMYFUNCTION("""COMPUTED_VALUE"""),"")</f>
        <v/>
      </c>
      <c r="B12985" s="87"/>
      <c r="C12985" s="87"/>
      <c r="D12985" s="87"/>
      <c r="E12985" s="87"/>
      <c r="F12985" s="87"/>
      <c r="G12985" s="87"/>
    </row>
    <row r="12986">
      <c r="A12986" s="86" t="str">
        <f>IFERROR(__xludf.DUMMYFUNCTION("""COMPUTED_VALUE"""),"")</f>
        <v/>
      </c>
      <c r="B12986" s="87"/>
      <c r="C12986" s="87"/>
      <c r="D12986" s="87"/>
      <c r="E12986" s="87"/>
      <c r="F12986" s="87"/>
      <c r="G12986" s="87"/>
    </row>
    <row r="12987">
      <c r="A12987" s="86" t="str">
        <f>IFERROR(__xludf.DUMMYFUNCTION("""COMPUTED_VALUE"""),"")</f>
        <v/>
      </c>
      <c r="B12987" s="87"/>
      <c r="C12987" s="87"/>
      <c r="D12987" s="87"/>
      <c r="E12987" s="87"/>
      <c r="F12987" s="87"/>
      <c r="G12987" s="87"/>
    </row>
    <row r="12988">
      <c r="A12988" s="86" t="str">
        <f>IFERROR(__xludf.DUMMYFUNCTION("""COMPUTED_VALUE"""),"")</f>
        <v/>
      </c>
      <c r="B12988" s="87"/>
      <c r="C12988" s="87"/>
      <c r="D12988" s="87"/>
      <c r="E12988" s="87"/>
      <c r="F12988" s="87"/>
      <c r="G12988" s="87"/>
    </row>
    <row r="12989">
      <c r="A12989" s="86" t="str">
        <f>IFERROR(__xludf.DUMMYFUNCTION("""COMPUTED_VALUE"""),"")</f>
        <v/>
      </c>
      <c r="B12989" s="87"/>
      <c r="C12989" s="87"/>
      <c r="D12989" s="87"/>
      <c r="E12989" s="87"/>
      <c r="F12989" s="87"/>
      <c r="G12989" s="87"/>
    </row>
    <row r="12990">
      <c r="A12990" s="86" t="str">
        <f>IFERROR(__xludf.DUMMYFUNCTION("""COMPUTED_VALUE"""),"")</f>
        <v/>
      </c>
      <c r="B12990" s="87"/>
      <c r="C12990" s="87"/>
      <c r="D12990" s="87"/>
      <c r="E12990" s="87"/>
      <c r="F12990" s="87"/>
      <c r="G12990" s="87"/>
    </row>
    <row r="12991">
      <c r="A12991" s="86" t="str">
        <f>IFERROR(__xludf.DUMMYFUNCTION("""COMPUTED_VALUE"""),"")</f>
        <v/>
      </c>
      <c r="B12991" s="87"/>
      <c r="C12991" s="87"/>
      <c r="D12991" s="87"/>
      <c r="E12991" s="87"/>
      <c r="F12991" s="87"/>
      <c r="G12991" s="87"/>
    </row>
    <row r="12992">
      <c r="A12992" s="86" t="str">
        <f>IFERROR(__xludf.DUMMYFUNCTION("""COMPUTED_VALUE"""),"")</f>
        <v/>
      </c>
      <c r="B12992" s="87"/>
      <c r="C12992" s="87"/>
      <c r="D12992" s="87"/>
      <c r="E12992" s="87"/>
      <c r="F12992" s="87"/>
      <c r="G12992" s="87"/>
    </row>
    <row r="12993">
      <c r="A12993" s="86" t="str">
        <f>IFERROR(__xludf.DUMMYFUNCTION("""COMPUTED_VALUE"""),"")</f>
        <v/>
      </c>
      <c r="B12993" s="87"/>
      <c r="C12993" s="87"/>
      <c r="D12993" s="87"/>
      <c r="E12993" s="87"/>
      <c r="F12993" s="87"/>
      <c r="G12993" s="87"/>
    </row>
    <row r="12994">
      <c r="A12994" s="86" t="str">
        <f>IFERROR(__xludf.DUMMYFUNCTION("""COMPUTED_VALUE"""),"")</f>
        <v/>
      </c>
      <c r="B12994" s="87"/>
      <c r="C12994" s="87"/>
      <c r="D12994" s="87"/>
      <c r="E12994" s="87"/>
      <c r="F12994" s="87"/>
      <c r="G12994" s="87"/>
    </row>
    <row r="12995">
      <c r="A12995" s="86" t="str">
        <f>IFERROR(__xludf.DUMMYFUNCTION("""COMPUTED_VALUE"""),"")</f>
        <v/>
      </c>
      <c r="B12995" s="87"/>
      <c r="C12995" s="87"/>
      <c r="D12995" s="87"/>
      <c r="E12995" s="87"/>
      <c r="F12995" s="87"/>
      <c r="G12995" s="87"/>
    </row>
    <row r="12996">
      <c r="A12996" s="86" t="str">
        <f>IFERROR(__xludf.DUMMYFUNCTION("""COMPUTED_VALUE"""),"")</f>
        <v/>
      </c>
      <c r="B12996" s="87"/>
      <c r="C12996" s="87"/>
      <c r="D12996" s="87"/>
      <c r="E12996" s="87"/>
      <c r="F12996" s="87"/>
      <c r="G12996" s="87"/>
    </row>
    <row r="12997">
      <c r="A12997" s="86" t="str">
        <f>IFERROR(__xludf.DUMMYFUNCTION("""COMPUTED_VALUE"""),"")</f>
        <v/>
      </c>
      <c r="B12997" s="87"/>
      <c r="C12997" s="87"/>
      <c r="D12997" s="87"/>
      <c r="E12997" s="87"/>
      <c r="F12997" s="87"/>
      <c r="G12997" s="87"/>
    </row>
    <row r="12998">
      <c r="A12998" s="86" t="str">
        <f>IFERROR(__xludf.DUMMYFUNCTION("""COMPUTED_VALUE"""),"")</f>
        <v/>
      </c>
      <c r="B12998" s="87"/>
      <c r="C12998" s="87"/>
      <c r="D12998" s="87"/>
      <c r="E12998" s="87"/>
      <c r="F12998" s="87"/>
      <c r="G12998" s="87"/>
    </row>
    <row r="12999">
      <c r="A12999" s="86" t="str">
        <f>IFERROR(__xludf.DUMMYFUNCTION("""COMPUTED_VALUE"""),"")</f>
        <v/>
      </c>
      <c r="B12999" s="87"/>
      <c r="C12999" s="87"/>
      <c r="D12999" s="87"/>
      <c r="E12999" s="87"/>
      <c r="F12999" s="87"/>
      <c r="G12999" s="87"/>
    </row>
    <row r="13000">
      <c r="A13000" s="86" t="str">
        <f>IFERROR(__xludf.DUMMYFUNCTION("""COMPUTED_VALUE"""),"")</f>
        <v/>
      </c>
      <c r="B13000" s="87"/>
      <c r="C13000" s="87"/>
      <c r="D13000" s="87"/>
      <c r="E13000" s="87"/>
      <c r="F13000" s="87"/>
      <c r="G13000" s="87"/>
    </row>
    <row r="13001">
      <c r="A13001" s="86" t="str">
        <f>IFERROR(__xludf.DUMMYFUNCTION("""COMPUTED_VALUE"""),"")</f>
        <v/>
      </c>
      <c r="B13001" s="87"/>
      <c r="C13001" s="87"/>
      <c r="D13001" s="87"/>
      <c r="E13001" s="87"/>
      <c r="F13001" s="87"/>
      <c r="G13001" s="87"/>
    </row>
    <row r="13002">
      <c r="A13002" s="86" t="str">
        <f>IFERROR(__xludf.DUMMYFUNCTION("""COMPUTED_VALUE"""),"")</f>
        <v/>
      </c>
      <c r="B13002" s="87"/>
      <c r="C13002" s="87"/>
      <c r="D13002" s="87"/>
      <c r="E13002" s="87"/>
      <c r="F13002" s="87"/>
      <c r="G13002" s="87"/>
    </row>
    <row r="13003">
      <c r="A13003" s="86" t="str">
        <f>IFERROR(__xludf.DUMMYFUNCTION("""COMPUTED_VALUE"""),"")</f>
        <v/>
      </c>
      <c r="B13003" s="87"/>
      <c r="C13003" s="87"/>
      <c r="D13003" s="87"/>
      <c r="E13003" s="87"/>
      <c r="F13003" s="87"/>
      <c r="G13003" s="87"/>
    </row>
    <row r="13004">
      <c r="A13004" s="86" t="str">
        <f>IFERROR(__xludf.DUMMYFUNCTION("""COMPUTED_VALUE"""),"")</f>
        <v/>
      </c>
      <c r="B13004" s="87"/>
      <c r="C13004" s="87"/>
      <c r="D13004" s="87"/>
      <c r="E13004" s="87"/>
      <c r="F13004" s="87"/>
      <c r="G13004" s="87"/>
    </row>
    <row r="13005">
      <c r="A13005" s="86" t="str">
        <f>IFERROR(__xludf.DUMMYFUNCTION("""COMPUTED_VALUE"""),"")</f>
        <v/>
      </c>
      <c r="B13005" s="87"/>
      <c r="C13005" s="87"/>
      <c r="D13005" s="87"/>
      <c r="E13005" s="87"/>
      <c r="F13005" s="87"/>
      <c r="G13005" s="87"/>
    </row>
    <row r="13006">
      <c r="A13006" s="86" t="str">
        <f>IFERROR(__xludf.DUMMYFUNCTION("""COMPUTED_VALUE"""),"")</f>
        <v/>
      </c>
      <c r="B13006" s="87"/>
      <c r="C13006" s="87"/>
      <c r="D13006" s="87"/>
      <c r="E13006" s="87"/>
      <c r="F13006" s="87"/>
      <c r="G13006" s="87"/>
    </row>
    <row r="13007">
      <c r="A13007" s="86" t="str">
        <f>IFERROR(__xludf.DUMMYFUNCTION("""COMPUTED_VALUE"""),"")</f>
        <v/>
      </c>
      <c r="B13007" s="87"/>
      <c r="C13007" s="87"/>
      <c r="D13007" s="87"/>
      <c r="E13007" s="87"/>
      <c r="F13007" s="87"/>
      <c r="G13007" s="87"/>
    </row>
    <row r="13008">
      <c r="A13008" s="86" t="str">
        <f>IFERROR(__xludf.DUMMYFUNCTION("""COMPUTED_VALUE"""),"")</f>
        <v/>
      </c>
      <c r="B13008" s="87"/>
      <c r="C13008" s="87"/>
      <c r="D13008" s="87"/>
      <c r="E13008" s="87"/>
      <c r="F13008" s="87"/>
      <c r="G13008" s="87"/>
    </row>
    <row r="13009">
      <c r="A13009" s="86" t="str">
        <f>IFERROR(__xludf.DUMMYFUNCTION("""COMPUTED_VALUE"""),"")</f>
        <v/>
      </c>
      <c r="B13009" s="87"/>
      <c r="C13009" s="87"/>
      <c r="D13009" s="87"/>
      <c r="E13009" s="87"/>
      <c r="F13009" s="87"/>
      <c r="G13009" s="87"/>
    </row>
    <row r="13010">
      <c r="A13010" s="86" t="str">
        <f>IFERROR(__xludf.DUMMYFUNCTION("""COMPUTED_VALUE"""),"")</f>
        <v/>
      </c>
      <c r="B13010" s="87"/>
      <c r="C13010" s="87"/>
      <c r="D13010" s="87"/>
      <c r="E13010" s="87"/>
      <c r="F13010" s="87"/>
      <c r="G13010" s="87"/>
    </row>
    <row r="13011">
      <c r="A13011" s="86" t="str">
        <f>IFERROR(__xludf.DUMMYFUNCTION("""COMPUTED_VALUE"""),"")</f>
        <v/>
      </c>
      <c r="B13011" s="87"/>
      <c r="C13011" s="87"/>
      <c r="D13011" s="87"/>
      <c r="E13011" s="87"/>
      <c r="F13011" s="87"/>
      <c r="G13011" s="87"/>
    </row>
    <row r="13012">
      <c r="A13012" s="86" t="str">
        <f>IFERROR(__xludf.DUMMYFUNCTION("""COMPUTED_VALUE"""),"")</f>
        <v/>
      </c>
      <c r="B13012" s="87"/>
      <c r="C13012" s="87"/>
      <c r="D13012" s="87"/>
      <c r="E13012" s="87"/>
      <c r="F13012" s="87"/>
      <c r="G13012" s="87"/>
    </row>
    <row r="13013">
      <c r="A13013" s="86" t="str">
        <f>IFERROR(__xludf.DUMMYFUNCTION("""COMPUTED_VALUE"""),"")</f>
        <v/>
      </c>
      <c r="B13013" s="87"/>
      <c r="C13013" s="87"/>
      <c r="D13013" s="87"/>
      <c r="E13013" s="87"/>
      <c r="F13013" s="87"/>
      <c r="G13013" s="87"/>
    </row>
    <row r="13014">
      <c r="A13014" s="86" t="str">
        <f>IFERROR(__xludf.DUMMYFUNCTION("""COMPUTED_VALUE"""),"")</f>
        <v/>
      </c>
      <c r="B13014" s="87"/>
      <c r="C13014" s="87"/>
      <c r="D13014" s="87"/>
      <c r="E13014" s="87"/>
      <c r="F13014" s="87"/>
      <c r="G13014" s="87"/>
    </row>
    <row r="13015">
      <c r="A13015" s="86" t="str">
        <f>IFERROR(__xludf.DUMMYFUNCTION("""COMPUTED_VALUE"""),"")</f>
        <v/>
      </c>
      <c r="B13015" s="87"/>
      <c r="C13015" s="87"/>
      <c r="D13015" s="87"/>
      <c r="E13015" s="87"/>
      <c r="F13015" s="87"/>
      <c r="G13015" s="87"/>
    </row>
    <row r="13016">
      <c r="A13016" s="86" t="str">
        <f>IFERROR(__xludf.DUMMYFUNCTION("""COMPUTED_VALUE"""),"")</f>
        <v/>
      </c>
      <c r="B13016" s="87"/>
      <c r="C13016" s="87"/>
      <c r="D13016" s="87"/>
      <c r="E13016" s="87"/>
      <c r="F13016" s="87"/>
      <c r="G13016" s="87"/>
    </row>
    <row r="13017">
      <c r="A13017" s="86" t="str">
        <f>IFERROR(__xludf.DUMMYFUNCTION("""COMPUTED_VALUE"""),"")</f>
        <v/>
      </c>
      <c r="B13017" s="87"/>
      <c r="C13017" s="87"/>
      <c r="D13017" s="87"/>
      <c r="E13017" s="87"/>
      <c r="F13017" s="87"/>
      <c r="G13017" s="87"/>
    </row>
    <row r="13018">
      <c r="A13018" s="86" t="str">
        <f>IFERROR(__xludf.DUMMYFUNCTION("""COMPUTED_VALUE"""),"")</f>
        <v/>
      </c>
      <c r="B13018" s="87"/>
      <c r="C13018" s="87"/>
      <c r="D13018" s="87"/>
      <c r="E13018" s="87"/>
      <c r="F13018" s="87"/>
      <c r="G13018" s="87"/>
    </row>
    <row r="13019">
      <c r="A13019" s="86" t="str">
        <f>IFERROR(__xludf.DUMMYFUNCTION("""COMPUTED_VALUE"""),"")</f>
        <v/>
      </c>
      <c r="B13019" s="87"/>
      <c r="C13019" s="87"/>
      <c r="D13019" s="87"/>
      <c r="E13019" s="87"/>
      <c r="F13019" s="87"/>
      <c r="G13019" s="87"/>
    </row>
    <row r="13020">
      <c r="A13020" s="86" t="str">
        <f>IFERROR(__xludf.DUMMYFUNCTION("""COMPUTED_VALUE"""),"")</f>
        <v/>
      </c>
      <c r="B13020" s="87"/>
      <c r="C13020" s="87"/>
      <c r="D13020" s="87"/>
      <c r="E13020" s="87"/>
      <c r="F13020" s="87"/>
      <c r="G13020" s="87"/>
    </row>
    <row r="13021">
      <c r="A13021" s="86" t="str">
        <f>IFERROR(__xludf.DUMMYFUNCTION("""COMPUTED_VALUE"""),"")</f>
        <v/>
      </c>
      <c r="B13021" s="87"/>
      <c r="C13021" s="87"/>
      <c r="D13021" s="87"/>
      <c r="E13021" s="87"/>
      <c r="F13021" s="87"/>
      <c r="G13021" s="87"/>
    </row>
    <row r="13022">
      <c r="A13022" s="86" t="str">
        <f>IFERROR(__xludf.DUMMYFUNCTION("""COMPUTED_VALUE"""),"")</f>
        <v/>
      </c>
      <c r="B13022" s="87"/>
      <c r="C13022" s="87"/>
      <c r="D13022" s="87"/>
      <c r="E13022" s="87"/>
      <c r="F13022" s="87"/>
      <c r="G13022" s="87"/>
    </row>
    <row r="13023">
      <c r="A13023" s="86" t="str">
        <f>IFERROR(__xludf.DUMMYFUNCTION("""COMPUTED_VALUE"""),"")</f>
        <v/>
      </c>
      <c r="B13023" s="87"/>
      <c r="C13023" s="87"/>
      <c r="D13023" s="87"/>
      <c r="E13023" s="87"/>
      <c r="F13023" s="87"/>
      <c r="G13023" s="87"/>
    </row>
    <row r="13024">
      <c r="A13024" s="86" t="str">
        <f>IFERROR(__xludf.DUMMYFUNCTION("""COMPUTED_VALUE"""),"")</f>
        <v/>
      </c>
      <c r="B13024" s="87"/>
      <c r="C13024" s="87"/>
      <c r="D13024" s="87"/>
      <c r="E13024" s="87"/>
      <c r="F13024" s="87"/>
      <c r="G13024" s="87"/>
    </row>
    <row r="13025">
      <c r="A13025" s="86" t="str">
        <f>IFERROR(__xludf.DUMMYFUNCTION("""COMPUTED_VALUE"""),"")</f>
        <v/>
      </c>
      <c r="B13025" s="87"/>
      <c r="C13025" s="87"/>
      <c r="D13025" s="87"/>
      <c r="E13025" s="87"/>
      <c r="F13025" s="87"/>
      <c r="G13025" s="87"/>
    </row>
    <row r="13026">
      <c r="A13026" s="86" t="str">
        <f>IFERROR(__xludf.DUMMYFUNCTION("""COMPUTED_VALUE"""),"")</f>
        <v/>
      </c>
      <c r="B13026" s="87"/>
      <c r="C13026" s="87"/>
      <c r="D13026" s="87"/>
      <c r="E13026" s="87"/>
      <c r="F13026" s="87"/>
      <c r="G13026" s="87"/>
    </row>
    <row r="13027">
      <c r="A13027" s="86" t="str">
        <f>IFERROR(__xludf.DUMMYFUNCTION("""COMPUTED_VALUE"""),"")</f>
        <v/>
      </c>
      <c r="B13027" s="87"/>
      <c r="C13027" s="87"/>
      <c r="D13027" s="87"/>
      <c r="E13027" s="87"/>
      <c r="F13027" s="87"/>
      <c r="G13027" s="87"/>
    </row>
    <row r="13028">
      <c r="A13028" s="86" t="str">
        <f>IFERROR(__xludf.DUMMYFUNCTION("""COMPUTED_VALUE"""),"")</f>
        <v/>
      </c>
      <c r="B13028" s="87"/>
      <c r="C13028" s="87"/>
      <c r="D13028" s="87"/>
      <c r="E13028" s="87"/>
      <c r="F13028" s="87"/>
      <c r="G13028" s="87"/>
    </row>
    <row r="13029">
      <c r="A13029" s="86" t="str">
        <f>IFERROR(__xludf.DUMMYFUNCTION("""COMPUTED_VALUE"""),"")</f>
        <v/>
      </c>
      <c r="B13029" s="87"/>
      <c r="C13029" s="87"/>
      <c r="D13029" s="87"/>
      <c r="E13029" s="87"/>
      <c r="F13029" s="87"/>
      <c r="G13029" s="87"/>
    </row>
    <row r="13030">
      <c r="A13030" s="86" t="str">
        <f>IFERROR(__xludf.DUMMYFUNCTION("""COMPUTED_VALUE"""),"")</f>
        <v/>
      </c>
      <c r="B13030" s="87"/>
      <c r="C13030" s="87"/>
      <c r="D13030" s="87"/>
      <c r="E13030" s="87"/>
      <c r="F13030" s="87"/>
      <c r="G13030" s="87"/>
    </row>
    <row r="13031">
      <c r="A13031" s="86" t="str">
        <f>IFERROR(__xludf.DUMMYFUNCTION("""COMPUTED_VALUE"""),"")</f>
        <v/>
      </c>
      <c r="B13031" s="87"/>
      <c r="C13031" s="87"/>
      <c r="D13031" s="87"/>
      <c r="E13031" s="87"/>
      <c r="F13031" s="87"/>
      <c r="G13031" s="87"/>
    </row>
    <row r="13032">
      <c r="A13032" s="86" t="str">
        <f>IFERROR(__xludf.DUMMYFUNCTION("""COMPUTED_VALUE"""),"")</f>
        <v/>
      </c>
      <c r="B13032" s="87"/>
      <c r="C13032" s="87"/>
      <c r="D13032" s="87"/>
      <c r="E13032" s="87"/>
      <c r="F13032" s="87"/>
      <c r="G13032" s="87"/>
    </row>
    <row r="13033">
      <c r="A13033" s="86" t="str">
        <f>IFERROR(__xludf.DUMMYFUNCTION("""COMPUTED_VALUE"""),"")</f>
        <v/>
      </c>
      <c r="B13033" s="87"/>
      <c r="C13033" s="87"/>
      <c r="D13033" s="87"/>
      <c r="E13033" s="87"/>
      <c r="F13033" s="87"/>
      <c r="G13033" s="87"/>
    </row>
    <row r="13034">
      <c r="A13034" s="86" t="str">
        <f>IFERROR(__xludf.DUMMYFUNCTION("""COMPUTED_VALUE"""),"")</f>
        <v/>
      </c>
      <c r="B13034" s="87"/>
      <c r="C13034" s="87"/>
      <c r="D13034" s="87"/>
      <c r="E13034" s="87"/>
      <c r="F13034" s="87"/>
      <c r="G13034" s="87"/>
    </row>
    <row r="13035">
      <c r="A13035" s="86" t="str">
        <f>IFERROR(__xludf.DUMMYFUNCTION("""COMPUTED_VALUE"""),"")</f>
        <v/>
      </c>
      <c r="B13035" s="87"/>
      <c r="C13035" s="87"/>
      <c r="D13035" s="87"/>
      <c r="E13035" s="87"/>
      <c r="F13035" s="87"/>
      <c r="G13035" s="87"/>
    </row>
    <row r="13036">
      <c r="A13036" s="86" t="str">
        <f>IFERROR(__xludf.DUMMYFUNCTION("""COMPUTED_VALUE"""),"")</f>
        <v/>
      </c>
      <c r="B13036" s="87"/>
      <c r="C13036" s="87"/>
      <c r="D13036" s="87"/>
      <c r="E13036" s="87"/>
      <c r="F13036" s="87"/>
      <c r="G13036" s="87"/>
    </row>
    <row r="13037">
      <c r="A13037" s="86" t="str">
        <f>IFERROR(__xludf.DUMMYFUNCTION("""COMPUTED_VALUE"""),"")</f>
        <v/>
      </c>
      <c r="B13037" s="87"/>
      <c r="C13037" s="87"/>
      <c r="D13037" s="87"/>
      <c r="E13037" s="87"/>
      <c r="F13037" s="87"/>
      <c r="G13037" s="87"/>
    </row>
    <row r="13038">
      <c r="A13038" s="86" t="str">
        <f>IFERROR(__xludf.DUMMYFUNCTION("""COMPUTED_VALUE"""),"")</f>
        <v/>
      </c>
      <c r="B13038" s="87"/>
      <c r="C13038" s="87"/>
      <c r="D13038" s="87"/>
      <c r="E13038" s="87"/>
      <c r="F13038" s="87"/>
      <c r="G13038" s="87"/>
    </row>
    <row r="13039">
      <c r="A13039" s="86" t="str">
        <f>IFERROR(__xludf.DUMMYFUNCTION("""COMPUTED_VALUE"""),"")</f>
        <v/>
      </c>
      <c r="B13039" s="87"/>
      <c r="C13039" s="87"/>
      <c r="D13039" s="87"/>
      <c r="E13039" s="87"/>
      <c r="F13039" s="87"/>
      <c r="G13039" s="87"/>
    </row>
    <row r="13040">
      <c r="A13040" s="86" t="str">
        <f>IFERROR(__xludf.DUMMYFUNCTION("""COMPUTED_VALUE"""),"")</f>
        <v/>
      </c>
      <c r="B13040" s="87"/>
      <c r="C13040" s="87"/>
      <c r="D13040" s="87"/>
      <c r="E13040" s="87"/>
      <c r="F13040" s="87"/>
      <c r="G13040" s="87"/>
    </row>
    <row r="13041">
      <c r="A13041" s="86" t="str">
        <f>IFERROR(__xludf.DUMMYFUNCTION("""COMPUTED_VALUE"""),"")</f>
        <v/>
      </c>
      <c r="B13041" s="87"/>
      <c r="C13041" s="87"/>
      <c r="D13041" s="87"/>
      <c r="E13041" s="87"/>
      <c r="F13041" s="87"/>
      <c r="G13041" s="87"/>
    </row>
    <row r="13042">
      <c r="A13042" s="86" t="str">
        <f>IFERROR(__xludf.DUMMYFUNCTION("""COMPUTED_VALUE"""),"")</f>
        <v/>
      </c>
      <c r="B13042" s="87"/>
      <c r="C13042" s="87"/>
      <c r="D13042" s="87"/>
      <c r="E13042" s="87"/>
      <c r="F13042" s="87"/>
      <c r="G13042" s="87"/>
    </row>
    <row r="13043">
      <c r="A13043" s="86" t="str">
        <f>IFERROR(__xludf.DUMMYFUNCTION("""COMPUTED_VALUE"""),"")</f>
        <v/>
      </c>
      <c r="B13043" s="87"/>
      <c r="C13043" s="87"/>
      <c r="D13043" s="87"/>
      <c r="E13043" s="87"/>
      <c r="F13043" s="87"/>
      <c r="G13043" s="87"/>
    </row>
    <row r="13044">
      <c r="A13044" s="86" t="str">
        <f>IFERROR(__xludf.DUMMYFUNCTION("""COMPUTED_VALUE"""),"")</f>
        <v/>
      </c>
      <c r="B13044" s="87"/>
      <c r="C13044" s="87"/>
      <c r="D13044" s="87"/>
      <c r="E13044" s="87"/>
      <c r="F13044" s="87"/>
      <c r="G13044" s="87"/>
    </row>
    <row r="13045">
      <c r="A13045" s="86" t="str">
        <f>IFERROR(__xludf.DUMMYFUNCTION("""COMPUTED_VALUE"""),"")</f>
        <v/>
      </c>
      <c r="B13045" s="87"/>
      <c r="C13045" s="87"/>
      <c r="D13045" s="87"/>
      <c r="E13045" s="87"/>
      <c r="F13045" s="87"/>
      <c r="G13045" s="87"/>
    </row>
    <row r="13046">
      <c r="A13046" s="86" t="str">
        <f>IFERROR(__xludf.DUMMYFUNCTION("""COMPUTED_VALUE"""),"")</f>
        <v/>
      </c>
      <c r="B13046" s="87"/>
      <c r="C13046" s="87"/>
      <c r="D13046" s="87"/>
      <c r="E13046" s="87"/>
      <c r="F13046" s="87"/>
      <c r="G13046" s="87"/>
    </row>
    <row r="13047">
      <c r="A13047" s="86" t="str">
        <f>IFERROR(__xludf.DUMMYFUNCTION("""COMPUTED_VALUE"""),"")</f>
        <v/>
      </c>
      <c r="B13047" s="87"/>
      <c r="C13047" s="87"/>
      <c r="D13047" s="87"/>
      <c r="E13047" s="87"/>
      <c r="F13047" s="87"/>
      <c r="G13047" s="87"/>
    </row>
    <row r="13048">
      <c r="A13048" s="86" t="str">
        <f>IFERROR(__xludf.DUMMYFUNCTION("""COMPUTED_VALUE"""),"")</f>
        <v/>
      </c>
      <c r="B13048" s="87"/>
      <c r="C13048" s="87"/>
      <c r="D13048" s="87"/>
      <c r="E13048" s="87"/>
      <c r="F13048" s="87"/>
      <c r="G13048" s="87"/>
    </row>
    <row r="13049">
      <c r="A13049" s="86" t="str">
        <f>IFERROR(__xludf.DUMMYFUNCTION("""COMPUTED_VALUE"""),"")</f>
        <v/>
      </c>
      <c r="B13049" s="87"/>
      <c r="C13049" s="87"/>
      <c r="D13049" s="87"/>
      <c r="E13049" s="87"/>
      <c r="F13049" s="87"/>
      <c r="G13049" s="87"/>
    </row>
    <row r="13050">
      <c r="A13050" s="86" t="str">
        <f>IFERROR(__xludf.DUMMYFUNCTION("""COMPUTED_VALUE"""),"")</f>
        <v/>
      </c>
      <c r="B13050" s="87"/>
      <c r="C13050" s="87"/>
      <c r="D13050" s="87"/>
      <c r="E13050" s="87"/>
      <c r="F13050" s="87"/>
      <c r="G13050" s="87"/>
    </row>
    <row r="13051">
      <c r="A13051" s="86" t="str">
        <f>IFERROR(__xludf.DUMMYFUNCTION("""COMPUTED_VALUE"""),"")</f>
        <v/>
      </c>
      <c r="B13051" s="87"/>
      <c r="C13051" s="87"/>
      <c r="D13051" s="87"/>
      <c r="E13051" s="87"/>
      <c r="F13051" s="87"/>
      <c r="G13051" s="87"/>
    </row>
    <row r="13052">
      <c r="A13052" s="86" t="str">
        <f>IFERROR(__xludf.DUMMYFUNCTION("""COMPUTED_VALUE"""),"")</f>
        <v/>
      </c>
      <c r="B13052" s="87"/>
      <c r="C13052" s="87"/>
      <c r="D13052" s="87"/>
      <c r="E13052" s="87"/>
      <c r="F13052" s="87"/>
      <c r="G13052" s="87"/>
    </row>
    <row r="13053">
      <c r="A13053" s="86" t="str">
        <f>IFERROR(__xludf.DUMMYFUNCTION("""COMPUTED_VALUE"""),"")</f>
        <v/>
      </c>
      <c r="B13053" s="87"/>
      <c r="C13053" s="87"/>
      <c r="D13053" s="87"/>
      <c r="E13053" s="87"/>
      <c r="F13053" s="87"/>
      <c r="G13053" s="87"/>
    </row>
    <row r="13054">
      <c r="A13054" s="86" t="str">
        <f>IFERROR(__xludf.DUMMYFUNCTION("""COMPUTED_VALUE"""),"")</f>
        <v/>
      </c>
      <c r="B13054" s="87"/>
      <c r="C13054" s="87"/>
      <c r="D13054" s="87"/>
      <c r="E13054" s="87"/>
      <c r="F13054" s="87"/>
      <c r="G13054" s="87"/>
    </row>
    <row r="13055">
      <c r="A13055" s="86" t="str">
        <f>IFERROR(__xludf.DUMMYFUNCTION("""COMPUTED_VALUE"""),"")</f>
        <v/>
      </c>
      <c r="B13055" s="87"/>
      <c r="C13055" s="87"/>
      <c r="D13055" s="87"/>
      <c r="E13055" s="87"/>
      <c r="F13055" s="87"/>
      <c r="G13055" s="87"/>
    </row>
    <row r="13056">
      <c r="A13056" s="86" t="str">
        <f>IFERROR(__xludf.DUMMYFUNCTION("""COMPUTED_VALUE"""),"")</f>
        <v/>
      </c>
      <c r="B13056" s="87"/>
      <c r="C13056" s="87"/>
      <c r="D13056" s="87"/>
      <c r="E13056" s="87"/>
      <c r="F13056" s="87"/>
      <c r="G13056" s="87"/>
    </row>
    <row r="13057">
      <c r="A13057" s="86" t="str">
        <f>IFERROR(__xludf.DUMMYFUNCTION("""COMPUTED_VALUE"""),"")</f>
        <v/>
      </c>
      <c r="B13057" s="87"/>
      <c r="C13057" s="87"/>
      <c r="D13057" s="87"/>
      <c r="E13057" s="87"/>
      <c r="F13057" s="87"/>
      <c r="G13057" s="87"/>
    </row>
    <row r="13058">
      <c r="A13058" s="86" t="str">
        <f>IFERROR(__xludf.DUMMYFUNCTION("""COMPUTED_VALUE"""),"")</f>
        <v/>
      </c>
      <c r="B13058" s="87"/>
      <c r="C13058" s="87"/>
      <c r="D13058" s="87"/>
      <c r="E13058" s="87"/>
      <c r="F13058" s="87"/>
      <c r="G13058" s="87"/>
    </row>
    <row r="13059">
      <c r="A13059" s="86" t="str">
        <f>IFERROR(__xludf.DUMMYFUNCTION("""COMPUTED_VALUE"""),"")</f>
        <v/>
      </c>
      <c r="B13059" s="87"/>
      <c r="C13059" s="87"/>
      <c r="D13059" s="87"/>
      <c r="E13059" s="87"/>
      <c r="F13059" s="87"/>
      <c r="G13059" s="87"/>
    </row>
    <row r="13060">
      <c r="A13060" s="86" t="str">
        <f>IFERROR(__xludf.DUMMYFUNCTION("""COMPUTED_VALUE"""),"")</f>
        <v/>
      </c>
      <c r="B13060" s="87"/>
      <c r="C13060" s="87"/>
      <c r="D13060" s="87"/>
      <c r="E13060" s="87"/>
      <c r="F13060" s="87"/>
      <c r="G13060" s="87"/>
    </row>
    <row r="13061">
      <c r="A13061" s="86" t="str">
        <f>IFERROR(__xludf.DUMMYFUNCTION("""COMPUTED_VALUE"""),"")</f>
        <v/>
      </c>
      <c r="B13061" s="87"/>
      <c r="C13061" s="87"/>
      <c r="D13061" s="87"/>
      <c r="E13061" s="87"/>
      <c r="F13061" s="87"/>
      <c r="G13061" s="87"/>
    </row>
    <row r="13062">
      <c r="A13062" s="86" t="str">
        <f>IFERROR(__xludf.DUMMYFUNCTION("""COMPUTED_VALUE"""),"")</f>
        <v/>
      </c>
      <c r="B13062" s="87"/>
      <c r="C13062" s="87"/>
      <c r="D13062" s="87"/>
      <c r="E13062" s="87"/>
      <c r="F13062" s="87"/>
      <c r="G13062" s="87"/>
    </row>
    <row r="13063">
      <c r="A13063" s="86" t="str">
        <f>IFERROR(__xludf.DUMMYFUNCTION("""COMPUTED_VALUE"""),"")</f>
        <v/>
      </c>
      <c r="B13063" s="87"/>
      <c r="C13063" s="87"/>
      <c r="D13063" s="87"/>
      <c r="E13063" s="87"/>
      <c r="F13063" s="87"/>
      <c r="G13063" s="87"/>
    </row>
    <row r="13064">
      <c r="A13064" s="86" t="str">
        <f>IFERROR(__xludf.DUMMYFUNCTION("""COMPUTED_VALUE"""),"")</f>
        <v/>
      </c>
      <c r="B13064" s="87"/>
      <c r="C13064" s="87"/>
      <c r="D13064" s="87"/>
      <c r="E13064" s="87"/>
      <c r="F13064" s="87"/>
      <c r="G13064" s="87"/>
    </row>
    <row r="13065">
      <c r="A13065" s="86" t="str">
        <f>IFERROR(__xludf.DUMMYFUNCTION("""COMPUTED_VALUE"""),"")</f>
        <v/>
      </c>
      <c r="B13065" s="87"/>
      <c r="C13065" s="87"/>
      <c r="D13065" s="87"/>
      <c r="E13065" s="87"/>
      <c r="F13065" s="87"/>
      <c r="G13065" s="87"/>
    </row>
    <row r="13066">
      <c r="A13066" s="86" t="str">
        <f>IFERROR(__xludf.DUMMYFUNCTION("""COMPUTED_VALUE"""),"")</f>
        <v/>
      </c>
      <c r="B13066" s="87"/>
      <c r="C13066" s="87"/>
      <c r="D13066" s="87"/>
      <c r="E13066" s="87"/>
      <c r="F13066" s="87"/>
      <c r="G13066" s="87"/>
    </row>
    <row r="13067">
      <c r="A13067" s="86" t="str">
        <f>IFERROR(__xludf.DUMMYFUNCTION("""COMPUTED_VALUE"""),"")</f>
        <v/>
      </c>
      <c r="B13067" s="87"/>
      <c r="C13067" s="87"/>
      <c r="D13067" s="87"/>
      <c r="E13067" s="87"/>
      <c r="F13067" s="87"/>
      <c r="G13067" s="87"/>
    </row>
    <row r="13068">
      <c r="A13068" s="86" t="str">
        <f>IFERROR(__xludf.DUMMYFUNCTION("""COMPUTED_VALUE"""),"")</f>
        <v/>
      </c>
      <c r="B13068" s="87"/>
      <c r="C13068" s="87"/>
      <c r="D13068" s="87"/>
      <c r="E13068" s="87"/>
      <c r="F13068" s="87"/>
      <c r="G13068" s="87"/>
    </row>
    <row r="13069">
      <c r="A13069" s="86" t="str">
        <f>IFERROR(__xludf.DUMMYFUNCTION("""COMPUTED_VALUE"""),"")</f>
        <v/>
      </c>
      <c r="B13069" s="87"/>
      <c r="C13069" s="87"/>
      <c r="D13069" s="87"/>
      <c r="E13069" s="87"/>
      <c r="F13069" s="87"/>
      <c r="G13069" s="87"/>
    </row>
    <row r="13070">
      <c r="A13070" s="86" t="str">
        <f>IFERROR(__xludf.DUMMYFUNCTION("""COMPUTED_VALUE"""),"")</f>
        <v/>
      </c>
      <c r="B13070" s="87"/>
      <c r="C13070" s="87"/>
      <c r="D13070" s="87"/>
      <c r="E13070" s="87"/>
      <c r="F13070" s="87"/>
      <c r="G13070" s="87"/>
    </row>
    <row r="13071">
      <c r="A13071" s="86" t="str">
        <f>IFERROR(__xludf.DUMMYFUNCTION("""COMPUTED_VALUE"""),"")</f>
        <v/>
      </c>
      <c r="B13071" s="87"/>
      <c r="C13071" s="87"/>
      <c r="D13071" s="87"/>
      <c r="E13071" s="87"/>
      <c r="F13071" s="87"/>
      <c r="G13071" s="87"/>
    </row>
    <row r="13072">
      <c r="A13072" s="86" t="str">
        <f>IFERROR(__xludf.DUMMYFUNCTION("""COMPUTED_VALUE"""),"")</f>
        <v/>
      </c>
      <c r="B13072" s="87"/>
      <c r="C13072" s="87"/>
      <c r="D13072" s="87"/>
      <c r="E13072" s="87"/>
      <c r="F13072" s="87"/>
      <c r="G13072" s="87"/>
    </row>
    <row r="13073">
      <c r="A13073" s="86" t="str">
        <f>IFERROR(__xludf.DUMMYFUNCTION("""COMPUTED_VALUE"""),"")</f>
        <v/>
      </c>
      <c r="B13073" s="87"/>
      <c r="C13073" s="87"/>
      <c r="D13073" s="87"/>
      <c r="E13073" s="87"/>
      <c r="F13073" s="87"/>
      <c r="G13073" s="87"/>
    </row>
    <row r="13074">
      <c r="A13074" s="86" t="str">
        <f>IFERROR(__xludf.DUMMYFUNCTION("""COMPUTED_VALUE"""),"")</f>
        <v/>
      </c>
      <c r="B13074" s="87"/>
      <c r="C13074" s="87"/>
      <c r="D13074" s="87"/>
      <c r="E13074" s="87"/>
      <c r="F13074" s="87"/>
      <c r="G13074" s="87"/>
    </row>
    <row r="13075">
      <c r="A13075" s="86" t="str">
        <f>IFERROR(__xludf.DUMMYFUNCTION("""COMPUTED_VALUE"""),"")</f>
        <v/>
      </c>
      <c r="B13075" s="87"/>
      <c r="C13075" s="87"/>
      <c r="D13075" s="87"/>
      <c r="E13075" s="87"/>
      <c r="F13075" s="87"/>
      <c r="G13075" s="87"/>
    </row>
    <row r="13076">
      <c r="A13076" s="86" t="str">
        <f>IFERROR(__xludf.DUMMYFUNCTION("""COMPUTED_VALUE"""),"")</f>
        <v/>
      </c>
      <c r="B13076" s="87"/>
      <c r="C13076" s="87"/>
      <c r="D13076" s="87"/>
      <c r="E13076" s="87"/>
      <c r="F13076" s="87"/>
      <c r="G13076" s="87"/>
    </row>
    <row r="13077">
      <c r="A13077" s="86" t="str">
        <f>IFERROR(__xludf.DUMMYFUNCTION("""COMPUTED_VALUE"""),"")</f>
        <v/>
      </c>
      <c r="B13077" s="87"/>
      <c r="C13077" s="87"/>
      <c r="D13077" s="87"/>
      <c r="E13077" s="87"/>
      <c r="F13077" s="87"/>
      <c r="G13077" s="87"/>
    </row>
    <row r="13078">
      <c r="A13078" s="86" t="str">
        <f>IFERROR(__xludf.DUMMYFUNCTION("""COMPUTED_VALUE"""),"")</f>
        <v/>
      </c>
      <c r="B13078" s="87"/>
      <c r="C13078" s="87"/>
      <c r="D13078" s="87"/>
      <c r="E13078" s="87"/>
      <c r="F13078" s="87"/>
      <c r="G13078" s="87"/>
    </row>
    <row r="13079">
      <c r="A13079" s="86" t="str">
        <f>IFERROR(__xludf.DUMMYFUNCTION("""COMPUTED_VALUE"""),"")</f>
        <v/>
      </c>
      <c r="B13079" s="87"/>
      <c r="C13079" s="87"/>
      <c r="D13079" s="87"/>
      <c r="E13079" s="87"/>
      <c r="F13079" s="87"/>
      <c r="G13079" s="87"/>
    </row>
    <row r="13080">
      <c r="A13080" s="86" t="str">
        <f>IFERROR(__xludf.DUMMYFUNCTION("""COMPUTED_VALUE"""),"")</f>
        <v/>
      </c>
      <c r="B13080" s="87"/>
      <c r="C13080" s="87"/>
      <c r="D13080" s="87"/>
      <c r="E13080" s="87"/>
      <c r="F13080" s="87"/>
      <c r="G13080" s="87"/>
    </row>
    <row r="13081">
      <c r="A13081" s="86" t="str">
        <f>IFERROR(__xludf.DUMMYFUNCTION("""COMPUTED_VALUE"""),"")</f>
        <v/>
      </c>
      <c r="B13081" s="87"/>
      <c r="C13081" s="87"/>
      <c r="D13081" s="87"/>
      <c r="E13081" s="87"/>
      <c r="F13081" s="87"/>
      <c r="G13081" s="87"/>
    </row>
    <row r="13082">
      <c r="A13082" s="86" t="str">
        <f>IFERROR(__xludf.DUMMYFUNCTION("""COMPUTED_VALUE"""),"")</f>
        <v/>
      </c>
      <c r="B13082" s="87"/>
      <c r="C13082" s="87"/>
      <c r="D13082" s="87"/>
      <c r="E13082" s="87"/>
      <c r="F13082" s="87"/>
      <c r="G13082" s="87"/>
    </row>
    <row r="13083">
      <c r="A13083" s="86" t="str">
        <f>IFERROR(__xludf.DUMMYFUNCTION("""COMPUTED_VALUE"""),"")</f>
        <v/>
      </c>
      <c r="B13083" s="87"/>
      <c r="C13083" s="87"/>
      <c r="D13083" s="87"/>
      <c r="E13083" s="87"/>
      <c r="F13083" s="87"/>
      <c r="G13083" s="87"/>
    </row>
    <row r="13084">
      <c r="A13084" s="86" t="str">
        <f>IFERROR(__xludf.DUMMYFUNCTION("""COMPUTED_VALUE"""),"")</f>
        <v/>
      </c>
      <c r="B13084" s="87"/>
      <c r="C13084" s="87"/>
      <c r="D13084" s="87"/>
      <c r="E13084" s="87"/>
      <c r="F13084" s="87"/>
      <c r="G13084" s="87"/>
    </row>
    <row r="13085">
      <c r="A13085" s="86" t="str">
        <f>IFERROR(__xludf.DUMMYFUNCTION("""COMPUTED_VALUE"""),"")</f>
        <v/>
      </c>
      <c r="B13085" s="87"/>
      <c r="C13085" s="87"/>
      <c r="D13085" s="87"/>
      <c r="E13085" s="87"/>
      <c r="F13085" s="87"/>
      <c r="G13085" s="87"/>
    </row>
    <row r="13086">
      <c r="A13086" s="86" t="str">
        <f>IFERROR(__xludf.DUMMYFUNCTION("""COMPUTED_VALUE"""),"")</f>
        <v/>
      </c>
      <c r="B13086" s="87"/>
      <c r="C13086" s="87"/>
      <c r="D13086" s="87"/>
      <c r="E13086" s="87"/>
      <c r="F13086" s="87"/>
      <c r="G13086" s="87"/>
    </row>
    <row r="13087">
      <c r="A13087" s="86" t="str">
        <f>IFERROR(__xludf.DUMMYFUNCTION("""COMPUTED_VALUE"""),"")</f>
        <v/>
      </c>
      <c r="B13087" s="87"/>
      <c r="C13087" s="87"/>
      <c r="D13087" s="87"/>
      <c r="E13087" s="87"/>
      <c r="F13087" s="87"/>
      <c r="G13087" s="87"/>
    </row>
    <row r="13088">
      <c r="A13088" s="86" t="str">
        <f>IFERROR(__xludf.DUMMYFUNCTION("""COMPUTED_VALUE"""),"")</f>
        <v/>
      </c>
      <c r="B13088" s="87"/>
      <c r="C13088" s="87"/>
      <c r="D13088" s="87"/>
      <c r="E13088" s="87"/>
      <c r="F13088" s="87"/>
      <c r="G13088" s="87"/>
    </row>
    <row r="13089">
      <c r="A13089" s="86" t="str">
        <f>IFERROR(__xludf.DUMMYFUNCTION("""COMPUTED_VALUE"""),"")</f>
        <v/>
      </c>
      <c r="B13089" s="87"/>
      <c r="C13089" s="87"/>
      <c r="D13089" s="87"/>
      <c r="E13089" s="87"/>
      <c r="F13089" s="87"/>
      <c r="G13089" s="87"/>
    </row>
    <row r="13090">
      <c r="A13090" s="86" t="str">
        <f>IFERROR(__xludf.DUMMYFUNCTION("""COMPUTED_VALUE"""),"")</f>
        <v/>
      </c>
      <c r="B13090" s="87"/>
      <c r="C13090" s="87"/>
      <c r="D13090" s="87"/>
      <c r="E13090" s="87"/>
      <c r="F13090" s="87"/>
      <c r="G13090" s="87"/>
    </row>
    <row r="13091">
      <c r="A13091" s="86" t="str">
        <f>IFERROR(__xludf.DUMMYFUNCTION("""COMPUTED_VALUE"""),"")</f>
        <v/>
      </c>
      <c r="B13091" s="87"/>
      <c r="C13091" s="87"/>
      <c r="D13091" s="87"/>
      <c r="E13091" s="87"/>
      <c r="F13091" s="87"/>
      <c r="G13091" s="87"/>
    </row>
    <row r="13092">
      <c r="A13092" s="86" t="str">
        <f>IFERROR(__xludf.DUMMYFUNCTION("""COMPUTED_VALUE"""),"")</f>
        <v/>
      </c>
      <c r="B13092" s="87"/>
      <c r="C13092" s="87"/>
      <c r="D13092" s="87"/>
      <c r="E13092" s="87"/>
      <c r="F13092" s="87"/>
      <c r="G13092" s="87"/>
    </row>
    <row r="13093">
      <c r="A13093" s="86" t="str">
        <f>IFERROR(__xludf.DUMMYFUNCTION("""COMPUTED_VALUE"""),"")</f>
        <v/>
      </c>
      <c r="B13093" s="87"/>
      <c r="C13093" s="87"/>
      <c r="D13093" s="87"/>
      <c r="E13093" s="87"/>
      <c r="F13093" s="87"/>
      <c r="G13093" s="87"/>
    </row>
    <row r="13094">
      <c r="A13094" s="86" t="str">
        <f>IFERROR(__xludf.DUMMYFUNCTION("""COMPUTED_VALUE"""),"")</f>
        <v/>
      </c>
      <c r="B13094" s="87"/>
      <c r="C13094" s="87"/>
      <c r="D13094" s="87"/>
      <c r="E13094" s="87"/>
      <c r="F13094" s="87"/>
      <c r="G13094" s="87"/>
    </row>
    <row r="13095">
      <c r="A13095" s="86" t="str">
        <f>IFERROR(__xludf.DUMMYFUNCTION("""COMPUTED_VALUE"""),"")</f>
        <v/>
      </c>
      <c r="B13095" s="87"/>
      <c r="C13095" s="87"/>
      <c r="D13095" s="87"/>
      <c r="E13095" s="87"/>
      <c r="F13095" s="87"/>
      <c r="G13095" s="87"/>
    </row>
    <row r="13096">
      <c r="A13096" s="86" t="str">
        <f>IFERROR(__xludf.DUMMYFUNCTION("""COMPUTED_VALUE"""),"")</f>
        <v/>
      </c>
      <c r="B13096" s="87"/>
      <c r="C13096" s="87"/>
      <c r="D13096" s="87"/>
      <c r="E13096" s="87"/>
      <c r="F13096" s="87"/>
      <c r="G13096" s="87"/>
    </row>
    <row r="13097">
      <c r="A13097" s="86" t="str">
        <f>IFERROR(__xludf.DUMMYFUNCTION("""COMPUTED_VALUE"""),"")</f>
        <v/>
      </c>
      <c r="B13097" s="87"/>
      <c r="C13097" s="87"/>
      <c r="D13097" s="87"/>
      <c r="E13097" s="87"/>
      <c r="F13097" s="87"/>
      <c r="G13097" s="87"/>
    </row>
    <row r="13098">
      <c r="A13098" s="86" t="str">
        <f>IFERROR(__xludf.DUMMYFUNCTION("""COMPUTED_VALUE"""),"")</f>
        <v/>
      </c>
      <c r="B13098" s="87"/>
      <c r="C13098" s="87"/>
      <c r="D13098" s="87"/>
      <c r="E13098" s="87"/>
      <c r="F13098" s="87"/>
      <c r="G13098" s="87"/>
    </row>
    <row r="13099">
      <c r="A13099" s="86" t="str">
        <f>IFERROR(__xludf.DUMMYFUNCTION("""COMPUTED_VALUE"""),"")</f>
        <v/>
      </c>
      <c r="B13099" s="87"/>
      <c r="C13099" s="87"/>
      <c r="D13099" s="87"/>
      <c r="E13099" s="87"/>
      <c r="F13099" s="87"/>
      <c r="G13099" s="87"/>
    </row>
    <row r="13100">
      <c r="A13100" s="86" t="str">
        <f>IFERROR(__xludf.DUMMYFUNCTION("""COMPUTED_VALUE"""),"")</f>
        <v/>
      </c>
      <c r="B13100" s="87"/>
      <c r="C13100" s="87"/>
      <c r="D13100" s="87"/>
      <c r="E13100" s="87"/>
      <c r="F13100" s="87"/>
      <c r="G13100" s="87"/>
    </row>
    <row r="13101">
      <c r="A13101" s="86" t="str">
        <f>IFERROR(__xludf.DUMMYFUNCTION("""COMPUTED_VALUE"""),"")</f>
        <v/>
      </c>
      <c r="B13101" s="87"/>
      <c r="C13101" s="87"/>
      <c r="D13101" s="87"/>
      <c r="E13101" s="87"/>
      <c r="F13101" s="87"/>
      <c r="G13101" s="87"/>
    </row>
    <row r="13102">
      <c r="A13102" s="86" t="str">
        <f>IFERROR(__xludf.DUMMYFUNCTION("""COMPUTED_VALUE"""),"")</f>
        <v/>
      </c>
      <c r="B13102" s="87"/>
      <c r="C13102" s="87"/>
      <c r="D13102" s="87"/>
      <c r="E13102" s="87"/>
      <c r="F13102" s="87"/>
      <c r="G13102" s="87"/>
    </row>
    <row r="13103">
      <c r="A13103" s="86" t="str">
        <f>IFERROR(__xludf.DUMMYFUNCTION("""COMPUTED_VALUE"""),"")</f>
        <v/>
      </c>
      <c r="B13103" s="87"/>
      <c r="C13103" s="87"/>
      <c r="D13103" s="87"/>
      <c r="E13103" s="87"/>
      <c r="F13103" s="87"/>
      <c r="G13103" s="87"/>
    </row>
    <row r="13104">
      <c r="A13104" s="86" t="str">
        <f>IFERROR(__xludf.DUMMYFUNCTION("""COMPUTED_VALUE"""),"")</f>
        <v/>
      </c>
      <c r="B13104" s="87"/>
      <c r="C13104" s="87"/>
      <c r="D13104" s="87"/>
      <c r="E13104" s="87"/>
      <c r="F13104" s="87"/>
      <c r="G13104" s="87"/>
    </row>
    <row r="13105">
      <c r="A13105" s="86" t="str">
        <f>IFERROR(__xludf.DUMMYFUNCTION("""COMPUTED_VALUE"""),"")</f>
        <v/>
      </c>
      <c r="B13105" s="87"/>
      <c r="C13105" s="87"/>
      <c r="D13105" s="87"/>
      <c r="E13105" s="87"/>
      <c r="F13105" s="87"/>
      <c r="G13105" s="87"/>
    </row>
    <row r="13106">
      <c r="A13106" s="86" t="str">
        <f>IFERROR(__xludf.DUMMYFUNCTION("""COMPUTED_VALUE"""),"")</f>
        <v/>
      </c>
      <c r="B13106" s="87"/>
      <c r="C13106" s="87"/>
      <c r="D13106" s="87"/>
      <c r="E13106" s="87"/>
      <c r="F13106" s="87"/>
      <c r="G13106" s="87"/>
    </row>
    <row r="13107">
      <c r="A13107" s="86" t="str">
        <f>IFERROR(__xludf.DUMMYFUNCTION("""COMPUTED_VALUE"""),"")</f>
        <v/>
      </c>
      <c r="B13107" s="87"/>
      <c r="C13107" s="87"/>
      <c r="D13107" s="87"/>
      <c r="E13107" s="87"/>
      <c r="F13107" s="87"/>
      <c r="G13107" s="87"/>
    </row>
    <row r="13108">
      <c r="A13108" s="86" t="str">
        <f>IFERROR(__xludf.DUMMYFUNCTION("""COMPUTED_VALUE"""),"")</f>
        <v/>
      </c>
      <c r="B13108" s="87"/>
      <c r="C13108" s="87"/>
      <c r="D13108" s="87"/>
      <c r="E13108" s="87"/>
      <c r="F13108" s="87"/>
      <c r="G13108" s="87"/>
    </row>
    <row r="13109">
      <c r="A13109" s="86" t="str">
        <f>IFERROR(__xludf.DUMMYFUNCTION("""COMPUTED_VALUE"""),"")</f>
        <v/>
      </c>
      <c r="B13109" s="87"/>
      <c r="C13109" s="87"/>
      <c r="D13109" s="87"/>
      <c r="E13109" s="87"/>
      <c r="F13109" s="87"/>
      <c r="G13109" s="87"/>
    </row>
    <row r="13110">
      <c r="A13110" s="86" t="str">
        <f>IFERROR(__xludf.DUMMYFUNCTION("""COMPUTED_VALUE"""),"")</f>
        <v/>
      </c>
      <c r="B13110" s="87"/>
      <c r="C13110" s="87"/>
      <c r="D13110" s="87"/>
      <c r="E13110" s="87"/>
      <c r="F13110" s="87"/>
      <c r="G13110" s="87"/>
    </row>
    <row r="13111">
      <c r="A13111" s="86" t="str">
        <f>IFERROR(__xludf.DUMMYFUNCTION("""COMPUTED_VALUE"""),"")</f>
        <v/>
      </c>
      <c r="B13111" s="87"/>
      <c r="C13111" s="87"/>
      <c r="D13111" s="87"/>
      <c r="E13111" s="87"/>
      <c r="F13111" s="87"/>
      <c r="G13111" s="87"/>
    </row>
    <row r="13112">
      <c r="A13112" s="86" t="str">
        <f>IFERROR(__xludf.DUMMYFUNCTION("""COMPUTED_VALUE"""),"")</f>
        <v/>
      </c>
      <c r="B13112" s="87"/>
      <c r="C13112" s="87"/>
      <c r="D13112" s="87"/>
      <c r="E13112" s="87"/>
      <c r="F13112" s="87"/>
      <c r="G13112" s="87"/>
    </row>
    <row r="13113">
      <c r="A13113" s="86" t="str">
        <f>IFERROR(__xludf.DUMMYFUNCTION("""COMPUTED_VALUE"""),"")</f>
        <v/>
      </c>
      <c r="B13113" s="87"/>
      <c r="C13113" s="87"/>
      <c r="D13113" s="87"/>
      <c r="E13113" s="87"/>
      <c r="F13113" s="87"/>
      <c r="G13113" s="87"/>
    </row>
    <row r="13114">
      <c r="A13114" s="86" t="str">
        <f>IFERROR(__xludf.DUMMYFUNCTION("""COMPUTED_VALUE"""),"")</f>
        <v/>
      </c>
      <c r="B13114" s="87"/>
      <c r="C13114" s="87"/>
      <c r="D13114" s="87"/>
      <c r="E13114" s="87"/>
      <c r="F13114" s="87"/>
      <c r="G13114" s="87"/>
    </row>
    <row r="13115">
      <c r="A13115" s="86" t="str">
        <f>IFERROR(__xludf.DUMMYFUNCTION("""COMPUTED_VALUE"""),"")</f>
        <v/>
      </c>
      <c r="B13115" s="87"/>
      <c r="C13115" s="87"/>
      <c r="D13115" s="87"/>
      <c r="E13115" s="87"/>
      <c r="F13115" s="87"/>
      <c r="G13115" s="87"/>
    </row>
    <row r="13116">
      <c r="A13116" s="86" t="str">
        <f>IFERROR(__xludf.DUMMYFUNCTION("""COMPUTED_VALUE"""),"")</f>
        <v/>
      </c>
      <c r="B13116" s="87"/>
      <c r="C13116" s="87"/>
      <c r="D13116" s="87"/>
      <c r="E13116" s="87"/>
      <c r="F13116" s="87"/>
      <c r="G13116" s="87"/>
    </row>
    <row r="13117">
      <c r="A13117" s="86" t="str">
        <f>IFERROR(__xludf.DUMMYFUNCTION("""COMPUTED_VALUE"""),"")</f>
        <v/>
      </c>
      <c r="B13117" s="87"/>
      <c r="C13117" s="87"/>
      <c r="D13117" s="87"/>
      <c r="E13117" s="87"/>
      <c r="F13117" s="87"/>
      <c r="G13117" s="87"/>
    </row>
    <row r="13118">
      <c r="A13118" s="86" t="str">
        <f>IFERROR(__xludf.DUMMYFUNCTION("""COMPUTED_VALUE"""),"")</f>
        <v/>
      </c>
      <c r="B13118" s="87"/>
      <c r="C13118" s="87"/>
      <c r="D13118" s="87"/>
      <c r="E13118" s="87"/>
      <c r="F13118" s="87"/>
      <c r="G13118" s="87"/>
    </row>
    <row r="13119">
      <c r="A13119" s="86" t="str">
        <f>IFERROR(__xludf.DUMMYFUNCTION("""COMPUTED_VALUE"""),"")</f>
        <v/>
      </c>
      <c r="B13119" s="87"/>
      <c r="C13119" s="87"/>
      <c r="D13119" s="87"/>
      <c r="E13119" s="87"/>
      <c r="F13119" s="87"/>
      <c r="G13119" s="87"/>
    </row>
    <row r="13120">
      <c r="A13120" s="86" t="str">
        <f>IFERROR(__xludf.DUMMYFUNCTION("""COMPUTED_VALUE"""),"")</f>
        <v/>
      </c>
      <c r="B13120" s="87"/>
      <c r="C13120" s="87"/>
      <c r="D13120" s="87"/>
      <c r="E13120" s="87"/>
      <c r="F13120" s="87"/>
      <c r="G13120" s="87"/>
    </row>
    <row r="13121">
      <c r="A13121" s="86" t="str">
        <f>IFERROR(__xludf.DUMMYFUNCTION("""COMPUTED_VALUE"""),"")</f>
        <v/>
      </c>
      <c r="B13121" s="87"/>
      <c r="C13121" s="87"/>
      <c r="D13121" s="87"/>
      <c r="E13121" s="87"/>
      <c r="F13121" s="87"/>
      <c r="G13121" s="87"/>
    </row>
    <row r="13122">
      <c r="A13122" s="86" t="str">
        <f>IFERROR(__xludf.DUMMYFUNCTION("""COMPUTED_VALUE"""),"")</f>
        <v/>
      </c>
      <c r="B13122" s="87"/>
      <c r="C13122" s="87"/>
      <c r="D13122" s="87"/>
      <c r="E13122" s="87"/>
      <c r="F13122" s="87"/>
      <c r="G13122" s="87"/>
    </row>
    <row r="13123">
      <c r="A13123" s="86" t="str">
        <f>IFERROR(__xludf.DUMMYFUNCTION("""COMPUTED_VALUE"""),"")</f>
        <v/>
      </c>
      <c r="B13123" s="87"/>
      <c r="C13123" s="87"/>
      <c r="D13123" s="87"/>
      <c r="E13123" s="87"/>
      <c r="F13123" s="87"/>
      <c r="G13123" s="87"/>
    </row>
    <row r="13124">
      <c r="A13124" s="86" t="str">
        <f>IFERROR(__xludf.DUMMYFUNCTION("""COMPUTED_VALUE"""),"")</f>
        <v/>
      </c>
      <c r="B13124" s="87"/>
      <c r="C13124" s="87"/>
      <c r="D13124" s="87"/>
      <c r="E13124" s="87"/>
      <c r="F13124" s="87"/>
      <c r="G13124" s="87"/>
    </row>
    <row r="13125">
      <c r="A13125" s="86" t="str">
        <f>IFERROR(__xludf.DUMMYFUNCTION("""COMPUTED_VALUE"""),"")</f>
        <v/>
      </c>
      <c r="B13125" s="87"/>
      <c r="C13125" s="87"/>
      <c r="D13125" s="87"/>
      <c r="E13125" s="87"/>
      <c r="F13125" s="87"/>
      <c r="G13125" s="87"/>
    </row>
    <row r="13126">
      <c r="A13126" s="86" t="str">
        <f>IFERROR(__xludf.DUMMYFUNCTION("""COMPUTED_VALUE"""),"")</f>
        <v/>
      </c>
      <c r="B13126" s="87"/>
      <c r="C13126" s="87"/>
      <c r="D13126" s="87"/>
      <c r="E13126" s="87"/>
      <c r="F13126" s="87"/>
      <c r="G13126" s="87"/>
    </row>
    <row r="13127">
      <c r="A13127" s="86" t="str">
        <f>IFERROR(__xludf.DUMMYFUNCTION("""COMPUTED_VALUE"""),"")</f>
        <v/>
      </c>
      <c r="B13127" s="87"/>
      <c r="C13127" s="87"/>
      <c r="D13127" s="87"/>
      <c r="E13127" s="87"/>
      <c r="F13127" s="87"/>
      <c r="G13127" s="87"/>
    </row>
    <row r="13128">
      <c r="A13128" s="86" t="str">
        <f>IFERROR(__xludf.DUMMYFUNCTION("""COMPUTED_VALUE"""),"")</f>
        <v/>
      </c>
      <c r="B13128" s="87"/>
      <c r="C13128" s="87"/>
      <c r="D13128" s="87"/>
      <c r="E13128" s="87"/>
      <c r="F13128" s="87"/>
      <c r="G13128" s="87"/>
    </row>
    <row r="13129">
      <c r="A13129" s="86" t="str">
        <f>IFERROR(__xludf.DUMMYFUNCTION("""COMPUTED_VALUE"""),"")</f>
        <v/>
      </c>
      <c r="B13129" s="87"/>
      <c r="C13129" s="87"/>
      <c r="D13129" s="87"/>
      <c r="E13129" s="87"/>
      <c r="F13129" s="87"/>
      <c r="G13129" s="87"/>
    </row>
    <row r="13130">
      <c r="A13130" s="86" t="str">
        <f>IFERROR(__xludf.DUMMYFUNCTION("""COMPUTED_VALUE"""),"")</f>
        <v/>
      </c>
      <c r="B13130" s="87"/>
      <c r="C13130" s="87"/>
      <c r="D13130" s="87"/>
      <c r="E13130" s="87"/>
      <c r="F13130" s="87"/>
      <c r="G13130" s="87"/>
    </row>
    <row r="13131">
      <c r="A13131" s="86" t="str">
        <f>IFERROR(__xludf.DUMMYFUNCTION("""COMPUTED_VALUE"""),"")</f>
        <v/>
      </c>
      <c r="B13131" s="87"/>
      <c r="C13131" s="87"/>
      <c r="D13131" s="87"/>
      <c r="E13131" s="87"/>
      <c r="F13131" s="87"/>
      <c r="G13131" s="87"/>
    </row>
    <row r="13132">
      <c r="A13132" s="86" t="str">
        <f>IFERROR(__xludf.DUMMYFUNCTION("""COMPUTED_VALUE"""),"")</f>
        <v/>
      </c>
      <c r="B13132" s="87"/>
      <c r="C13132" s="87"/>
      <c r="D13132" s="87"/>
      <c r="E13132" s="87"/>
      <c r="F13132" s="87"/>
      <c r="G13132" s="87"/>
    </row>
    <row r="13133">
      <c r="A13133" s="86" t="str">
        <f>IFERROR(__xludf.DUMMYFUNCTION("""COMPUTED_VALUE"""),"")</f>
        <v/>
      </c>
      <c r="B13133" s="87"/>
      <c r="C13133" s="87"/>
      <c r="D13133" s="87"/>
      <c r="E13133" s="87"/>
      <c r="F13133" s="87"/>
      <c r="G13133" s="87"/>
    </row>
    <row r="13134">
      <c r="A13134" s="86" t="str">
        <f>IFERROR(__xludf.DUMMYFUNCTION("""COMPUTED_VALUE"""),"")</f>
        <v/>
      </c>
      <c r="B13134" s="87"/>
      <c r="C13134" s="87"/>
      <c r="D13134" s="87"/>
      <c r="E13134" s="87"/>
      <c r="F13134" s="87"/>
      <c r="G13134" s="87"/>
    </row>
    <row r="13135">
      <c r="A13135" s="86" t="str">
        <f>IFERROR(__xludf.DUMMYFUNCTION("""COMPUTED_VALUE"""),"")</f>
        <v/>
      </c>
      <c r="B13135" s="87"/>
      <c r="C13135" s="87"/>
      <c r="D13135" s="87"/>
      <c r="E13135" s="87"/>
      <c r="F13135" s="87"/>
      <c r="G13135" s="87"/>
    </row>
    <row r="13136">
      <c r="A13136" s="86" t="str">
        <f>IFERROR(__xludf.DUMMYFUNCTION("""COMPUTED_VALUE"""),"")</f>
        <v/>
      </c>
      <c r="B13136" s="87"/>
      <c r="C13136" s="87"/>
      <c r="D13136" s="87"/>
      <c r="E13136" s="87"/>
      <c r="F13136" s="87"/>
      <c r="G13136" s="87"/>
    </row>
    <row r="13137">
      <c r="A13137" s="86" t="str">
        <f>IFERROR(__xludf.DUMMYFUNCTION("""COMPUTED_VALUE"""),"")</f>
        <v/>
      </c>
      <c r="B13137" s="87"/>
      <c r="C13137" s="87"/>
      <c r="D13137" s="87"/>
      <c r="E13137" s="87"/>
      <c r="F13137" s="87"/>
      <c r="G13137" s="87"/>
    </row>
    <row r="13138">
      <c r="A13138" s="86" t="str">
        <f>IFERROR(__xludf.DUMMYFUNCTION("""COMPUTED_VALUE"""),"")</f>
        <v/>
      </c>
      <c r="B13138" s="87"/>
      <c r="C13138" s="87"/>
      <c r="D13138" s="87"/>
      <c r="E13138" s="87"/>
      <c r="F13138" s="87"/>
      <c r="G13138" s="87"/>
    </row>
    <row r="13139">
      <c r="A13139" s="86" t="str">
        <f>IFERROR(__xludf.DUMMYFUNCTION("""COMPUTED_VALUE"""),"")</f>
        <v/>
      </c>
      <c r="B13139" s="87"/>
      <c r="C13139" s="87"/>
      <c r="D13139" s="87"/>
      <c r="E13139" s="87"/>
      <c r="F13139" s="87"/>
      <c r="G13139" s="87"/>
    </row>
    <row r="13140">
      <c r="A13140" s="86" t="str">
        <f>IFERROR(__xludf.DUMMYFUNCTION("""COMPUTED_VALUE"""),"")</f>
        <v/>
      </c>
      <c r="B13140" s="87"/>
      <c r="C13140" s="87"/>
      <c r="D13140" s="87"/>
      <c r="E13140" s="87"/>
      <c r="F13140" s="87"/>
      <c r="G13140" s="87"/>
    </row>
    <row r="13141">
      <c r="A13141" s="86" t="str">
        <f>IFERROR(__xludf.DUMMYFUNCTION("""COMPUTED_VALUE"""),"")</f>
        <v/>
      </c>
      <c r="B13141" s="87"/>
      <c r="C13141" s="87"/>
      <c r="D13141" s="87"/>
      <c r="E13141" s="87"/>
      <c r="F13141" s="87"/>
      <c r="G13141" s="87"/>
    </row>
    <row r="13142">
      <c r="A13142" s="86" t="str">
        <f>IFERROR(__xludf.DUMMYFUNCTION("""COMPUTED_VALUE"""),"")</f>
        <v/>
      </c>
      <c r="B13142" s="87"/>
      <c r="C13142" s="87"/>
      <c r="D13142" s="87"/>
      <c r="E13142" s="87"/>
      <c r="F13142" s="87"/>
      <c r="G13142" s="87"/>
    </row>
    <row r="13143">
      <c r="A13143" s="86" t="str">
        <f>IFERROR(__xludf.DUMMYFUNCTION("""COMPUTED_VALUE"""),"")</f>
        <v/>
      </c>
      <c r="B13143" s="87"/>
      <c r="C13143" s="87"/>
      <c r="D13143" s="87"/>
      <c r="E13143" s="87"/>
      <c r="F13143" s="87"/>
      <c r="G13143" s="87"/>
    </row>
    <row r="13144">
      <c r="A13144" s="86" t="str">
        <f>IFERROR(__xludf.DUMMYFUNCTION("""COMPUTED_VALUE"""),"")</f>
        <v/>
      </c>
      <c r="B13144" s="87"/>
      <c r="C13144" s="87"/>
      <c r="D13144" s="87"/>
      <c r="E13144" s="87"/>
      <c r="F13144" s="87"/>
      <c r="G13144" s="87"/>
    </row>
    <row r="13145">
      <c r="A13145" s="86" t="str">
        <f>IFERROR(__xludf.DUMMYFUNCTION("""COMPUTED_VALUE"""),"")</f>
        <v/>
      </c>
      <c r="B13145" s="87"/>
      <c r="C13145" s="87"/>
      <c r="D13145" s="87"/>
      <c r="E13145" s="87"/>
      <c r="F13145" s="87"/>
      <c r="G13145" s="87"/>
    </row>
    <row r="13146">
      <c r="A13146" s="86" t="str">
        <f>IFERROR(__xludf.DUMMYFUNCTION("""COMPUTED_VALUE"""),"")</f>
        <v/>
      </c>
      <c r="B13146" s="87"/>
      <c r="C13146" s="87"/>
      <c r="D13146" s="87"/>
      <c r="E13146" s="87"/>
      <c r="F13146" s="87"/>
      <c r="G13146" s="87"/>
    </row>
    <row r="13147">
      <c r="A13147" s="86" t="str">
        <f>IFERROR(__xludf.DUMMYFUNCTION("""COMPUTED_VALUE"""),"")</f>
        <v/>
      </c>
      <c r="B13147" s="87"/>
      <c r="C13147" s="87"/>
      <c r="D13147" s="87"/>
      <c r="E13147" s="87"/>
      <c r="F13147" s="87"/>
      <c r="G13147" s="87"/>
    </row>
    <row r="13148">
      <c r="A13148" s="86" t="str">
        <f>IFERROR(__xludf.DUMMYFUNCTION("""COMPUTED_VALUE"""),"")</f>
        <v/>
      </c>
      <c r="B13148" s="87"/>
      <c r="C13148" s="87"/>
      <c r="D13148" s="87"/>
      <c r="E13148" s="87"/>
      <c r="F13148" s="87"/>
      <c r="G13148" s="87"/>
    </row>
    <row r="13149">
      <c r="A13149" s="86" t="str">
        <f>IFERROR(__xludf.DUMMYFUNCTION("""COMPUTED_VALUE"""),"")</f>
        <v/>
      </c>
      <c r="B13149" s="87"/>
      <c r="C13149" s="87"/>
      <c r="D13149" s="87"/>
      <c r="E13149" s="87"/>
      <c r="F13149" s="87"/>
      <c r="G13149" s="87"/>
    </row>
    <row r="13150">
      <c r="A13150" s="86" t="str">
        <f>IFERROR(__xludf.DUMMYFUNCTION("""COMPUTED_VALUE"""),"")</f>
        <v/>
      </c>
      <c r="B13150" s="87"/>
      <c r="C13150" s="87"/>
      <c r="D13150" s="87"/>
      <c r="E13150" s="87"/>
      <c r="F13150" s="87"/>
      <c r="G13150" s="87"/>
    </row>
    <row r="13151">
      <c r="A13151" s="86" t="str">
        <f>IFERROR(__xludf.DUMMYFUNCTION("""COMPUTED_VALUE"""),"")</f>
        <v/>
      </c>
      <c r="B13151" s="87"/>
      <c r="C13151" s="87"/>
      <c r="D13151" s="87"/>
      <c r="E13151" s="87"/>
      <c r="F13151" s="87"/>
      <c r="G13151" s="87"/>
    </row>
    <row r="13152">
      <c r="A13152" s="86" t="str">
        <f>IFERROR(__xludf.DUMMYFUNCTION("""COMPUTED_VALUE"""),"")</f>
        <v/>
      </c>
      <c r="B13152" s="87"/>
      <c r="C13152" s="87"/>
      <c r="D13152" s="87"/>
      <c r="E13152" s="87"/>
      <c r="F13152" s="87"/>
      <c r="G13152" s="87"/>
    </row>
    <row r="13153">
      <c r="A13153" s="86" t="str">
        <f>IFERROR(__xludf.DUMMYFUNCTION("""COMPUTED_VALUE"""),"")</f>
        <v/>
      </c>
      <c r="B13153" s="87"/>
      <c r="C13153" s="87"/>
      <c r="D13153" s="87"/>
      <c r="E13153" s="87"/>
      <c r="F13153" s="87"/>
      <c r="G13153" s="87"/>
    </row>
    <row r="13154">
      <c r="A13154" s="86" t="str">
        <f>IFERROR(__xludf.DUMMYFUNCTION("""COMPUTED_VALUE"""),"")</f>
        <v/>
      </c>
      <c r="B13154" s="87"/>
      <c r="C13154" s="87"/>
      <c r="D13154" s="87"/>
      <c r="E13154" s="87"/>
      <c r="F13154" s="87"/>
      <c r="G13154" s="87"/>
    </row>
    <row r="13155">
      <c r="A13155" s="86" t="str">
        <f>IFERROR(__xludf.DUMMYFUNCTION("""COMPUTED_VALUE"""),"")</f>
        <v/>
      </c>
      <c r="B13155" s="87"/>
      <c r="C13155" s="87"/>
      <c r="D13155" s="87"/>
      <c r="E13155" s="87"/>
      <c r="F13155" s="87"/>
      <c r="G13155" s="87"/>
    </row>
    <row r="13156">
      <c r="A13156" s="86" t="str">
        <f>IFERROR(__xludf.DUMMYFUNCTION("""COMPUTED_VALUE"""),"")</f>
        <v/>
      </c>
      <c r="B13156" s="87"/>
      <c r="C13156" s="87"/>
      <c r="D13156" s="87"/>
      <c r="E13156" s="87"/>
      <c r="F13156" s="87"/>
      <c r="G13156" s="87"/>
    </row>
    <row r="13157">
      <c r="A13157" s="86" t="str">
        <f>IFERROR(__xludf.DUMMYFUNCTION("""COMPUTED_VALUE"""),"")</f>
        <v/>
      </c>
      <c r="B13157" s="87"/>
      <c r="C13157" s="87"/>
      <c r="D13157" s="87"/>
      <c r="E13157" s="87"/>
      <c r="F13157" s="87"/>
      <c r="G13157" s="87"/>
    </row>
    <row r="13158">
      <c r="A13158" s="86" t="str">
        <f>IFERROR(__xludf.DUMMYFUNCTION("""COMPUTED_VALUE"""),"")</f>
        <v/>
      </c>
      <c r="B13158" s="87"/>
      <c r="C13158" s="87"/>
      <c r="D13158" s="87"/>
      <c r="E13158" s="87"/>
      <c r="F13158" s="87"/>
      <c r="G13158" s="87"/>
    </row>
    <row r="13159">
      <c r="A13159" s="86" t="str">
        <f>IFERROR(__xludf.DUMMYFUNCTION("""COMPUTED_VALUE"""),"")</f>
        <v/>
      </c>
      <c r="B13159" s="87"/>
      <c r="C13159" s="87"/>
      <c r="D13159" s="87"/>
      <c r="E13159" s="87"/>
      <c r="F13159" s="87"/>
      <c r="G13159" s="87"/>
    </row>
    <row r="13160">
      <c r="A13160" s="86" t="str">
        <f>IFERROR(__xludf.DUMMYFUNCTION("""COMPUTED_VALUE"""),"")</f>
        <v/>
      </c>
      <c r="B13160" s="87"/>
      <c r="C13160" s="87"/>
      <c r="D13160" s="87"/>
      <c r="E13160" s="87"/>
      <c r="F13160" s="87"/>
      <c r="G13160" s="87"/>
    </row>
    <row r="13161">
      <c r="A13161" s="86" t="str">
        <f>IFERROR(__xludf.DUMMYFUNCTION("""COMPUTED_VALUE"""),"")</f>
        <v/>
      </c>
      <c r="B13161" s="87"/>
      <c r="C13161" s="87"/>
      <c r="D13161" s="87"/>
      <c r="E13161" s="87"/>
      <c r="F13161" s="87"/>
      <c r="G13161" s="87"/>
    </row>
    <row r="13162">
      <c r="A13162" s="86" t="str">
        <f>IFERROR(__xludf.DUMMYFUNCTION("""COMPUTED_VALUE"""),"")</f>
        <v/>
      </c>
      <c r="B13162" s="87"/>
      <c r="C13162" s="87"/>
      <c r="D13162" s="87"/>
      <c r="E13162" s="87"/>
      <c r="F13162" s="87"/>
      <c r="G13162" s="87"/>
    </row>
    <row r="13163">
      <c r="A13163" s="86" t="str">
        <f>IFERROR(__xludf.DUMMYFUNCTION("""COMPUTED_VALUE"""),"")</f>
        <v/>
      </c>
      <c r="B13163" s="87"/>
      <c r="C13163" s="87"/>
      <c r="D13163" s="87"/>
      <c r="E13163" s="87"/>
      <c r="F13163" s="87"/>
      <c r="G13163" s="87"/>
    </row>
    <row r="13164">
      <c r="A13164" s="86" t="str">
        <f>IFERROR(__xludf.DUMMYFUNCTION("""COMPUTED_VALUE"""),"")</f>
        <v/>
      </c>
      <c r="B13164" s="87"/>
      <c r="C13164" s="87"/>
      <c r="D13164" s="87"/>
      <c r="E13164" s="87"/>
      <c r="F13164" s="87"/>
      <c r="G13164" s="87"/>
    </row>
    <row r="13165">
      <c r="A13165" s="86" t="str">
        <f>IFERROR(__xludf.DUMMYFUNCTION("""COMPUTED_VALUE"""),"")</f>
        <v/>
      </c>
      <c r="B13165" s="87"/>
      <c r="C13165" s="87"/>
      <c r="D13165" s="87"/>
      <c r="E13165" s="87"/>
      <c r="F13165" s="87"/>
      <c r="G13165" s="87"/>
    </row>
    <row r="13166">
      <c r="A13166" s="86" t="str">
        <f>IFERROR(__xludf.DUMMYFUNCTION("""COMPUTED_VALUE"""),"")</f>
        <v/>
      </c>
      <c r="B13166" s="87"/>
      <c r="C13166" s="87"/>
      <c r="D13166" s="87"/>
      <c r="E13166" s="87"/>
      <c r="F13166" s="87"/>
      <c r="G13166" s="87"/>
    </row>
    <row r="13167">
      <c r="A13167" s="86" t="str">
        <f>IFERROR(__xludf.DUMMYFUNCTION("""COMPUTED_VALUE"""),"")</f>
        <v/>
      </c>
      <c r="B13167" s="87"/>
      <c r="C13167" s="87"/>
      <c r="D13167" s="87"/>
      <c r="E13167" s="87"/>
      <c r="F13167" s="87"/>
      <c r="G13167" s="87"/>
    </row>
    <row r="13168">
      <c r="A13168" s="86" t="str">
        <f>IFERROR(__xludf.DUMMYFUNCTION("""COMPUTED_VALUE"""),"")</f>
        <v/>
      </c>
      <c r="B13168" s="87"/>
      <c r="C13168" s="87"/>
      <c r="D13168" s="87"/>
      <c r="E13168" s="87"/>
      <c r="F13168" s="87"/>
      <c r="G13168" s="87"/>
    </row>
    <row r="13169">
      <c r="A13169" s="86" t="str">
        <f>IFERROR(__xludf.DUMMYFUNCTION("""COMPUTED_VALUE"""),"")</f>
        <v/>
      </c>
      <c r="B13169" s="87"/>
      <c r="C13169" s="87"/>
      <c r="D13169" s="87"/>
      <c r="E13169" s="87"/>
      <c r="F13169" s="87"/>
      <c r="G13169" s="87"/>
    </row>
    <row r="13170">
      <c r="A13170" s="86" t="str">
        <f>IFERROR(__xludf.DUMMYFUNCTION("""COMPUTED_VALUE"""),"")</f>
        <v/>
      </c>
      <c r="B13170" s="87"/>
      <c r="C13170" s="87"/>
      <c r="D13170" s="87"/>
      <c r="E13170" s="87"/>
      <c r="F13170" s="87"/>
      <c r="G13170" s="87"/>
    </row>
    <row r="13171">
      <c r="A13171" s="86" t="str">
        <f>IFERROR(__xludf.DUMMYFUNCTION("""COMPUTED_VALUE"""),"")</f>
        <v/>
      </c>
      <c r="B13171" s="87"/>
      <c r="C13171" s="87"/>
      <c r="D13171" s="87"/>
      <c r="E13171" s="87"/>
      <c r="F13171" s="87"/>
      <c r="G13171" s="87"/>
    </row>
    <row r="13172">
      <c r="A13172" s="86" t="str">
        <f>IFERROR(__xludf.DUMMYFUNCTION("""COMPUTED_VALUE"""),"")</f>
        <v/>
      </c>
      <c r="B13172" s="87"/>
      <c r="C13172" s="87"/>
      <c r="D13172" s="87"/>
      <c r="E13172" s="87"/>
      <c r="F13172" s="87"/>
      <c r="G13172" s="87"/>
    </row>
    <row r="13173">
      <c r="A13173" s="86" t="str">
        <f>IFERROR(__xludf.DUMMYFUNCTION("""COMPUTED_VALUE"""),"")</f>
        <v/>
      </c>
      <c r="B13173" s="87"/>
      <c r="C13173" s="87"/>
      <c r="D13173" s="87"/>
      <c r="E13173" s="87"/>
      <c r="F13173" s="87"/>
      <c r="G13173" s="87"/>
    </row>
    <row r="13174">
      <c r="A13174" s="86" t="str">
        <f>IFERROR(__xludf.DUMMYFUNCTION("""COMPUTED_VALUE"""),"")</f>
        <v/>
      </c>
      <c r="B13174" s="87"/>
      <c r="C13174" s="87"/>
      <c r="D13174" s="87"/>
      <c r="E13174" s="87"/>
      <c r="F13174" s="87"/>
      <c r="G13174" s="87"/>
    </row>
    <row r="13175">
      <c r="A13175" s="86" t="str">
        <f>IFERROR(__xludf.DUMMYFUNCTION("""COMPUTED_VALUE"""),"")</f>
        <v/>
      </c>
      <c r="B13175" s="87"/>
      <c r="C13175" s="87"/>
      <c r="D13175" s="87"/>
      <c r="E13175" s="87"/>
      <c r="F13175" s="87"/>
      <c r="G13175" s="87"/>
    </row>
    <row r="13176">
      <c r="A13176" s="86" t="str">
        <f>IFERROR(__xludf.DUMMYFUNCTION("""COMPUTED_VALUE"""),"")</f>
        <v/>
      </c>
      <c r="B13176" s="87"/>
      <c r="C13176" s="87"/>
      <c r="D13176" s="87"/>
      <c r="E13176" s="87"/>
      <c r="F13176" s="87"/>
      <c r="G13176" s="87"/>
    </row>
    <row r="13177">
      <c r="A13177" s="86" t="str">
        <f>IFERROR(__xludf.DUMMYFUNCTION("""COMPUTED_VALUE"""),"")</f>
        <v/>
      </c>
      <c r="B13177" s="87"/>
      <c r="C13177" s="87"/>
      <c r="D13177" s="87"/>
      <c r="E13177" s="87"/>
      <c r="F13177" s="87"/>
      <c r="G13177" s="87"/>
    </row>
    <row r="13178">
      <c r="A13178" s="86" t="str">
        <f>IFERROR(__xludf.DUMMYFUNCTION("""COMPUTED_VALUE"""),"")</f>
        <v/>
      </c>
      <c r="B13178" s="87"/>
      <c r="C13178" s="87"/>
      <c r="D13178" s="87"/>
      <c r="E13178" s="87"/>
      <c r="F13178" s="87"/>
      <c r="G13178" s="87"/>
    </row>
    <row r="13179">
      <c r="A13179" s="86" t="str">
        <f>IFERROR(__xludf.DUMMYFUNCTION("""COMPUTED_VALUE"""),"")</f>
        <v/>
      </c>
      <c r="B13179" s="87"/>
      <c r="C13179" s="87"/>
      <c r="D13179" s="87"/>
      <c r="E13179" s="87"/>
      <c r="F13179" s="87"/>
      <c r="G13179" s="87"/>
    </row>
    <row r="13180">
      <c r="A13180" s="86" t="str">
        <f>IFERROR(__xludf.DUMMYFUNCTION("""COMPUTED_VALUE"""),"")</f>
        <v/>
      </c>
      <c r="B13180" s="87"/>
      <c r="C13180" s="87"/>
      <c r="D13180" s="87"/>
      <c r="E13180" s="87"/>
      <c r="F13180" s="87"/>
      <c r="G13180" s="87"/>
    </row>
    <row r="13181">
      <c r="A13181" s="86" t="str">
        <f>IFERROR(__xludf.DUMMYFUNCTION("""COMPUTED_VALUE"""),"")</f>
        <v/>
      </c>
      <c r="B13181" s="87"/>
      <c r="C13181" s="87"/>
      <c r="D13181" s="87"/>
      <c r="E13181" s="87"/>
      <c r="F13181" s="87"/>
      <c r="G13181" s="87"/>
    </row>
    <row r="13182">
      <c r="A13182" s="86" t="str">
        <f>IFERROR(__xludf.DUMMYFUNCTION("""COMPUTED_VALUE"""),"")</f>
        <v/>
      </c>
      <c r="B13182" s="87"/>
      <c r="C13182" s="87"/>
      <c r="D13182" s="87"/>
      <c r="E13182" s="87"/>
      <c r="F13182" s="87"/>
      <c r="G13182" s="87"/>
    </row>
    <row r="13183">
      <c r="A13183" s="86" t="str">
        <f>IFERROR(__xludf.DUMMYFUNCTION("""COMPUTED_VALUE"""),"")</f>
        <v/>
      </c>
      <c r="B13183" s="87"/>
      <c r="C13183" s="87"/>
      <c r="D13183" s="87"/>
      <c r="E13183" s="87"/>
      <c r="F13183" s="87"/>
      <c r="G13183" s="87"/>
    </row>
    <row r="13184">
      <c r="A13184" s="86" t="str">
        <f>IFERROR(__xludf.DUMMYFUNCTION("""COMPUTED_VALUE"""),"")</f>
        <v/>
      </c>
      <c r="B13184" s="87"/>
      <c r="C13184" s="87"/>
      <c r="D13184" s="87"/>
      <c r="E13184" s="87"/>
      <c r="F13184" s="87"/>
      <c r="G13184" s="87"/>
    </row>
    <row r="13185">
      <c r="A13185" s="86" t="str">
        <f>IFERROR(__xludf.DUMMYFUNCTION("""COMPUTED_VALUE"""),"")</f>
        <v/>
      </c>
      <c r="B13185" s="87"/>
      <c r="C13185" s="87"/>
      <c r="D13185" s="87"/>
      <c r="E13185" s="87"/>
      <c r="F13185" s="87"/>
      <c r="G13185" s="87"/>
    </row>
    <row r="13186">
      <c r="A13186" s="86" t="str">
        <f>IFERROR(__xludf.DUMMYFUNCTION("""COMPUTED_VALUE"""),"")</f>
        <v/>
      </c>
      <c r="B13186" s="87"/>
      <c r="C13186" s="87"/>
      <c r="D13186" s="87"/>
      <c r="E13186" s="87"/>
      <c r="F13186" s="87"/>
      <c r="G13186" s="87"/>
    </row>
    <row r="13187">
      <c r="A13187" s="86" t="str">
        <f>IFERROR(__xludf.DUMMYFUNCTION("""COMPUTED_VALUE"""),"")</f>
        <v/>
      </c>
      <c r="B13187" s="87"/>
      <c r="C13187" s="87"/>
      <c r="D13187" s="87"/>
      <c r="E13187" s="87"/>
      <c r="F13187" s="87"/>
      <c r="G13187" s="87"/>
    </row>
    <row r="13188">
      <c r="A13188" s="86" t="str">
        <f>IFERROR(__xludf.DUMMYFUNCTION("""COMPUTED_VALUE"""),"")</f>
        <v/>
      </c>
      <c r="B13188" s="87"/>
      <c r="C13188" s="87"/>
      <c r="D13188" s="87"/>
      <c r="E13188" s="87"/>
      <c r="F13188" s="87"/>
      <c r="G13188" s="87"/>
    </row>
    <row r="13189">
      <c r="A13189" s="86" t="str">
        <f>IFERROR(__xludf.DUMMYFUNCTION("""COMPUTED_VALUE"""),"")</f>
        <v/>
      </c>
      <c r="B13189" s="87"/>
      <c r="C13189" s="87"/>
      <c r="D13189" s="87"/>
      <c r="E13189" s="87"/>
      <c r="F13189" s="87"/>
      <c r="G13189" s="87"/>
    </row>
    <row r="13190">
      <c r="A13190" s="86" t="str">
        <f>IFERROR(__xludf.DUMMYFUNCTION("""COMPUTED_VALUE"""),"")</f>
        <v/>
      </c>
      <c r="B13190" s="87"/>
      <c r="C13190" s="87"/>
      <c r="D13190" s="87"/>
      <c r="E13190" s="87"/>
      <c r="F13190" s="87"/>
      <c r="G13190" s="87"/>
    </row>
    <row r="13191">
      <c r="A13191" s="86" t="str">
        <f>IFERROR(__xludf.DUMMYFUNCTION("""COMPUTED_VALUE"""),"")</f>
        <v/>
      </c>
      <c r="B13191" s="87"/>
      <c r="C13191" s="87"/>
      <c r="D13191" s="87"/>
      <c r="E13191" s="87"/>
      <c r="F13191" s="87"/>
      <c r="G13191" s="87"/>
    </row>
    <row r="13192">
      <c r="A13192" s="86" t="str">
        <f>IFERROR(__xludf.DUMMYFUNCTION("""COMPUTED_VALUE"""),"")</f>
        <v/>
      </c>
      <c r="B13192" s="87"/>
      <c r="C13192" s="87"/>
      <c r="D13192" s="87"/>
      <c r="E13192" s="87"/>
      <c r="F13192" s="87"/>
      <c r="G13192" s="87"/>
    </row>
    <row r="13193">
      <c r="A13193" s="86" t="str">
        <f>IFERROR(__xludf.DUMMYFUNCTION("""COMPUTED_VALUE"""),"")</f>
        <v/>
      </c>
      <c r="B13193" s="87"/>
      <c r="C13193" s="87"/>
      <c r="D13193" s="87"/>
      <c r="E13193" s="87"/>
      <c r="F13193" s="87"/>
      <c r="G13193" s="87"/>
    </row>
    <row r="13194">
      <c r="A13194" s="86" t="str">
        <f>IFERROR(__xludf.DUMMYFUNCTION("""COMPUTED_VALUE"""),"")</f>
        <v/>
      </c>
      <c r="B13194" s="87"/>
      <c r="C13194" s="87"/>
      <c r="D13194" s="87"/>
      <c r="E13194" s="87"/>
      <c r="F13194" s="87"/>
      <c r="G13194" s="87"/>
    </row>
    <row r="13195">
      <c r="A13195" s="86" t="str">
        <f>IFERROR(__xludf.DUMMYFUNCTION("""COMPUTED_VALUE"""),"")</f>
        <v/>
      </c>
      <c r="B13195" s="87"/>
      <c r="C13195" s="87"/>
      <c r="D13195" s="87"/>
      <c r="E13195" s="87"/>
      <c r="F13195" s="87"/>
      <c r="G13195" s="87"/>
    </row>
    <row r="13196">
      <c r="A13196" s="86" t="str">
        <f>IFERROR(__xludf.DUMMYFUNCTION("""COMPUTED_VALUE"""),"")</f>
        <v/>
      </c>
      <c r="B13196" s="87"/>
      <c r="C13196" s="87"/>
      <c r="D13196" s="87"/>
      <c r="E13196" s="87"/>
      <c r="F13196" s="87"/>
      <c r="G13196" s="87"/>
    </row>
    <row r="13197">
      <c r="A13197" s="86" t="str">
        <f>IFERROR(__xludf.DUMMYFUNCTION("""COMPUTED_VALUE"""),"")</f>
        <v/>
      </c>
      <c r="B13197" s="87"/>
      <c r="C13197" s="87"/>
      <c r="D13197" s="87"/>
      <c r="E13197" s="87"/>
      <c r="F13197" s="87"/>
      <c r="G13197" s="87"/>
    </row>
    <row r="13198">
      <c r="A13198" s="86" t="str">
        <f>IFERROR(__xludf.DUMMYFUNCTION("""COMPUTED_VALUE"""),"")</f>
        <v/>
      </c>
      <c r="B13198" s="87"/>
      <c r="C13198" s="87"/>
      <c r="D13198" s="87"/>
      <c r="E13198" s="87"/>
      <c r="F13198" s="87"/>
      <c r="G13198" s="87"/>
    </row>
    <row r="13199">
      <c r="A13199" s="86" t="str">
        <f>IFERROR(__xludf.DUMMYFUNCTION("""COMPUTED_VALUE"""),"")</f>
        <v/>
      </c>
      <c r="B13199" s="87"/>
      <c r="C13199" s="87"/>
      <c r="D13199" s="87"/>
      <c r="E13199" s="87"/>
      <c r="F13199" s="87"/>
      <c r="G13199" s="87"/>
    </row>
    <row r="13200">
      <c r="A13200" s="86" t="str">
        <f>IFERROR(__xludf.DUMMYFUNCTION("""COMPUTED_VALUE"""),"")</f>
        <v/>
      </c>
      <c r="B13200" s="87"/>
      <c r="C13200" s="87"/>
      <c r="D13200" s="87"/>
      <c r="E13200" s="87"/>
      <c r="F13200" s="87"/>
      <c r="G13200" s="87"/>
    </row>
    <row r="13201">
      <c r="A13201" s="86" t="str">
        <f>IFERROR(__xludf.DUMMYFUNCTION("""COMPUTED_VALUE"""),"")</f>
        <v/>
      </c>
      <c r="B13201" s="87"/>
      <c r="C13201" s="87"/>
      <c r="D13201" s="87"/>
      <c r="E13201" s="87"/>
      <c r="F13201" s="87"/>
      <c r="G13201" s="87"/>
    </row>
    <row r="13202">
      <c r="A13202" s="86" t="str">
        <f>IFERROR(__xludf.DUMMYFUNCTION("""COMPUTED_VALUE"""),"")</f>
        <v/>
      </c>
      <c r="B13202" s="87"/>
      <c r="C13202" s="87"/>
      <c r="D13202" s="87"/>
      <c r="E13202" s="87"/>
      <c r="F13202" s="87"/>
      <c r="G13202" s="87"/>
    </row>
    <row r="13203">
      <c r="A13203" s="86" t="str">
        <f>IFERROR(__xludf.DUMMYFUNCTION("""COMPUTED_VALUE"""),"")</f>
        <v/>
      </c>
      <c r="B13203" s="87"/>
      <c r="C13203" s="87"/>
      <c r="D13203" s="87"/>
      <c r="E13203" s="87"/>
      <c r="F13203" s="87"/>
      <c r="G13203" s="87"/>
    </row>
    <row r="13204">
      <c r="A13204" s="86" t="str">
        <f>IFERROR(__xludf.DUMMYFUNCTION("""COMPUTED_VALUE"""),"")</f>
        <v/>
      </c>
      <c r="B13204" s="87"/>
      <c r="C13204" s="87"/>
      <c r="D13204" s="87"/>
      <c r="E13204" s="87"/>
      <c r="F13204" s="87"/>
      <c r="G13204" s="87"/>
    </row>
    <row r="13205">
      <c r="A13205" s="86" t="str">
        <f>IFERROR(__xludf.DUMMYFUNCTION("""COMPUTED_VALUE"""),"")</f>
        <v/>
      </c>
      <c r="B13205" s="87"/>
      <c r="C13205" s="87"/>
      <c r="D13205" s="87"/>
      <c r="E13205" s="87"/>
      <c r="F13205" s="87"/>
      <c r="G13205" s="87"/>
    </row>
    <row r="13206">
      <c r="A13206" s="86" t="str">
        <f>IFERROR(__xludf.DUMMYFUNCTION("""COMPUTED_VALUE"""),"")</f>
        <v/>
      </c>
      <c r="B13206" s="87"/>
      <c r="C13206" s="87"/>
      <c r="D13206" s="87"/>
      <c r="E13206" s="87"/>
      <c r="F13206" s="87"/>
      <c r="G13206" s="87"/>
    </row>
    <row r="13207">
      <c r="A13207" s="86" t="str">
        <f>IFERROR(__xludf.DUMMYFUNCTION("""COMPUTED_VALUE"""),"")</f>
        <v/>
      </c>
      <c r="B13207" s="87"/>
      <c r="C13207" s="87"/>
      <c r="D13207" s="87"/>
      <c r="E13207" s="87"/>
      <c r="F13207" s="87"/>
      <c r="G13207" s="87"/>
    </row>
    <row r="13208">
      <c r="A13208" s="86" t="str">
        <f>IFERROR(__xludf.DUMMYFUNCTION("""COMPUTED_VALUE"""),"")</f>
        <v/>
      </c>
      <c r="B13208" s="87"/>
      <c r="C13208" s="87"/>
      <c r="D13208" s="87"/>
      <c r="E13208" s="87"/>
      <c r="F13208" s="87"/>
      <c r="G13208" s="87"/>
    </row>
    <row r="13209">
      <c r="A13209" s="86" t="str">
        <f>IFERROR(__xludf.DUMMYFUNCTION("""COMPUTED_VALUE"""),"")</f>
        <v/>
      </c>
      <c r="B13209" s="87"/>
      <c r="C13209" s="87"/>
      <c r="D13209" s="87"/>
      <c r="E13209" s="87"/>
      <c r="F13209" s="87"/>
      <c r="G13209" s="87"/>
    </row>
    <row r="13210">
      <c r="A13210" s="86" t="str">
        <f>IFERROR(__xludf.DUMMYFUNCTION("""COMPUTED_VALUE"""),"")</f>
        <v/>
      </c>
      <c r="B13210" s="87"/>
      <c r="C13210" s="87"/>
      <c r="D13210" s="87"/>
      <c r="E13210" s="87"/>
      <c r="F13210" s="87"/>
      <c r="G13210" s="87"/>
    </row>
    <row r="13211">
      <c r="A13211" s="86" t="str">
        <f>IFERROR(__xludf.DUMMYFUNCTION("""COMPUTED_VALUE"""),"")</f>
        <v/>
      </c>
      <c r="B13211" s="87"/>
      <c r="C13211" s="87"/>
      <c r="D13211" s="87"/>
      <c r="E13211" s="87"/>
      <c r="F13211" s="87"/>
      <c r="G13211" s="87"/>
    </row>
    <row r="13212">
      <c r="A13212" s="86" t="str">
        <f>IFERROR(__xludf.DUMMYFUNCTION("""COMPUTED_VALUE"""),"")</f>
        <v/>
      </c>
      <c r="B13212" s="87"/>
      <c r="C13212" s="87"/>
      <c r="D13212" s="87"/>
      <c r="E13212" s="87"/>
      <c r="F13212" s="87"/>
      <c r="G13212" s="87"/>
    </row>
    <row r="13213">
      <c r="A13213" s="86" t="str">
        <f>IFERROR(__xludf.DUMMYFUNCTION("""COMPUTED_VALUE"""),"")</f>
        <v/>
      </c>
      <c r="B13213" s="87"/>
      <c r="C13213" s="87"/>
      <c r="D13213" s="87"/>
      <c r="E13213" s="87"/>
      <c r="F13213" s="87"/>
      <c r="G13213" s="87"/>
    </row>
    <row r="13214">
      <c r="A13214" s="86" t="str">
        <f>IFERROR(__xludf.DUMMYFUNCTION("""COMPUTED_VALUE"""),"")</f>
        <v/>
      </c>
      <c r="B13214" s="87"/>
      <c r="C13214" s="87"/>
      <c r="D13214" s="87"/>
      <c r="E13214" s="87"/>
      <c r="F13214" s="87"/>
      <c r="G13214" s="87"/>
    </row>
    <row r="13215">
      <c r="A13215" s="86" t="str">
        <f>IFERROR(__xludf.DUMMYFUNCTION("""COMPUTED_VALUE"""),"")</f>
        <v/>
      </c>
      <c r="B13215" s="87"/>
      <c r="C13215" s="87"/>
      <c r="D13215" s="87"/>
      <c r="E13215" s="87"/>
      <c r="F13215" s="87"/>
      <c r="G13215" s="87"/>
    </row>
    <row r="13216">
      <c r="A13216" s="86" t="str">
        <f>IFERROR(__xludf.DUMMYFUNCTION("""COMPUTED_VALUE"""),"")</f>
        <v/>
      </c>
      <c r="B13216" s="87"/>
      <c r="C13216" s="87"/>
      <c r="D13216" s="87"/>
      <c r="E13216" s="87"/>
      <c r="F13216" s="87"/>
      <c r="G13216" s="87"/>
    </row>
    <row r="13217">
      <c r="A13217" s="86" t="str">
        <f>IFERROR(__xludf.DUMMYFUNCTION("""COMPUTED_VALUE"""),"")</f>
        <v/>
      </c>
      <c r="B13217" s="87"/>
      <c r="C13217" s="87"/>
      <c r="D13217" s="87"/>
      <c r="E13217" s="87"/>
      <c r="F13217" s="87"/>
      <c r="G13217" s="87"/>
    </row>
    <row r="13218">
      <c r="A13218" s="86" t="str">
        <f>IFERROR(__xludf.DUMMYFUNCTION("""COMPUTED_VALUE"""),"")</f>
        <v/>
      </c>
      <c r="B13218" s="87"/>
      <c r="C13218" s="87"/>
      <c r="D13218" s="87"/>
      <c r="E13218" s="87"/>
      <c r="F13218" s="87"/>
      <c r="G13218" s="87"/>
    </row>
    <row r="13219">
      <c r="A13219" s="86" t="str">
        <f>IFERROR(__xludf.DUMMYFUNCTION("""COMPUTED_VALUE"""),"")</f>
        <v/>
      </c>
      <c r="B13219" s="87"/>
      <c r="C13219" s="87"/>
      <c r="D13219" s="87"/>
      <c r="E13219" s="87"/>
      <c r="F13219" s="87"/>
      <c r="G13219" s="87"/>
    </row>
    <row r="13220">
      <c r="A13220" s="86" t="str">
        <f>IFERROR(__xludf.DUMMYFUNCTION("""COMPUTED_VALUE"""),"")</f>
        <v/>
      </c>
      <c r="B13220" s="87"/>
      <c r="C13220" s="87"/>
      <c r="D13220" s="87"/>
      <c r="E13220" s="87"/>
      <c r="F13220" s="87"/>
      <c r="G13220" s="87"/>
    </row>
    <row r="13221">
      <c r="A13221" s="86" t="str">
        <f>IFERROR(__xludf.DUMMYFUNCTION("""COMPUTED_VALUE"""),"")</f>
        <v/>
      </c>
      <c r="B13221" s="87"/>
      <c r="C13221" s="87"/>
      <c r="D13221" s="87"/>
      <c r="E13221" s="87"/>
      <c r="F13221" s="87"/>
      <c r="G13221" s="87"/>
    </row>
    <row r="13222">
      <c r="A13222" s="86" t="str">
        <f>IFERROR(__xludf.DUMMYFUNCTION("""COMPUTED_VALUE"""),"")</f>
        <v/>
      </c>
      <c r="B13222" s="87"/>
      <c r="C13222" s="87"/>
      <c r="D13222" s="87"/>
      <c r="E13222" s="87"/>
      <c r="F13222" s="87"/>
      <c r="G13222" s="87"/>
    </row>
    <row r="13223">
      <c r="A13223" s="86" t="str">
        <f>IFERROR(__xludf.DUMMYFUNCTION("""COMPUTED_VALUE"""),"")</f>
        <v/>
      </c>
      <c r="B13223" s="87"/>
      <c r="C13223" s="87"/>
      <c r="D13223" s="87"/>
      <c r="E13223" s="87"/>
      <c r="F13223" s="87"/>
      <c r="G13223" s="87"/>
    </row>
    <row r="13224">
      <c r="A13224" s="86" t="str">
        <f>IFERROR(__xludf.DUMMYFUNCTION("""COMPUTED_VALUE"""),"")</f>
        <v/>
      </c>
      <c r="B13224" s="87"/>
      <c r="C13224" s="87"/>
      <c r="D13224" s="87"/>
      <c r="E13224" s="87"/>
      <c r="F13224" s="87"/>
      <c r="G13224" s="87"/>
    </row>
    <row r="13225">
      <c r="A13225" s="86" t="str">
        <f>IFERROR(__xludf.DUMMYFUNCTION("""COMPUTED_VALUE"""),"")</f>
        <v/>
      </c>
      <c r="B13225" s="87"/>
      <c r="C13225" s="87"/>
      <c r="D13225" s="87"/>
      <c r="E13225" s="87"/>
      <c r="F13225" s="87"/>
      <c r="G13225" s="87"/>
    </row>
    <row r="13226">
      <c r="A13226" s="86" t="str">
        <f>IFERROR(__xludf.DUMMYFUNCTION("""COMPUTED_VALUE"""),"")</f>
        <v/>
      </c>
      <c r="B13226" s="87"/>
      <c r="C13226" s="87"/>
      <c r="D13226" s="87"/>
      <c r="E13226" s="87"/>
      <c r="F13226" s="87"/>
      <c r="G13226" s="87"/>
    </row>
    <row r="13227">
      <c r="A13227" s="86" t="str">
        <f>IFERROR(__xludf.DUMMYFUNCTION("""COMPUTED_VALUE"""),"")</f>
        <v/>
      </c>
      <c r="B13227" s="87"/>
      <c r="C13227" s="87"/>
      <c r="D13227" s="87"/>
      <c r="E13227" s="87"/>
      <c r="F13227" s="87"/>
      <c r="G13227" s="87"/>
    </row>
    <row r="13228">
      <c r="A13228" s="86" t="str">
        <f>IFERROR(__xludf.DUMMYFUNCTION("""COMPUTED_VALUE"""),"")</f>
        <v/>
      </c>
      <c r="B13228" s="87"/>
      <c r="C13228" s="87"/>
      <c r="D13228" s="87"/>
      <c r="E13228" s="87"/>
      <c r="F13228" s="87"/>
      <c r="G13228" s="87"/>
    </row>
    <row r="13229">
      <c r="A13229" s="86" t="str">
        <f>IFERROR(__xludf.DUMMYFUNCTION("""COMPUTED_VALUE"""),"")</f>
        <v/>
      </c>
      <c r="B13229" s="87"/>
      <c r="C13229" s="87"/>
      <c r="D13229" s="87"/>
      <c r="E13229" s="87"/>
      <c r="F13229" s="87"/>
      <c r="G13229" s="87"/>
    </row>
    <row r="13230">
      <c r="A13230" s="86" t="str">
        <f>IFERROR(__xludf.DUMMYFUNCTION("""COMPUTED_VALUE"""),"")</f>
        <v/>
      </c>
      <c r="B13230" s="87"/>
      <c r="C13230" s="87"/>
      <c r="D13230" s="87"/>
      <c r="E13230" s="87"/>
      <c r="F13230" s="87"/>
      <c r="G13230" s="87"/>
    </row>
    <row r="13231">
      <c r="A13231" s="86" t="str">
        <f>IFERROR(__xludf.DUMMYFUNCTION("""COMPUTED_VALUE"""),"")</f>
        <v/>
      </c>
      <c r="B13231" s="87"/>
      <c r="C13231" s="87"/>
      <c r="D13231" s="87"/>
      <c r="E13231" s="87"/>
      <c r="F13231" s="87"/>
      <c r="G13231" s="87"/>
    </row>
    <row r="13232">
      <c r="A13232" s="86" t="str">
        <f>IFERROR(__xludf.DUMMYFUNCTION("""COMPUTED_VALUE"""),"")</f>
        <v/>
      </c>
      <c r="B13232" s="87"/>
      <c r="C13232" s="87"/>
      <c r="D13232" s="87"/>
      <c r="E13232" s="87"/>
      <c r="F13232" s="87"/>
      <c r="G13232" s="87"/>
    </row>
    <row r="13233">
      <c r="A13233" s="86" t="str">
        <f>IFERROR(__xludf.DUMMYFUNCTION("""COMPUTED_VALUE"""),"")</f>
        <v/>
      </c>
      <c r="B13233" s="87"/>
      <c r="C13233" s="87"/>
      <c r="D13233" s="87"/>
      <c r="E13233" s="87"/>
      <c r="F13233" s="87"/>
      <c r="G13233" s="87"/>
    </row>
    <row r="13234">
      <c r="A13234" s="86" t="str">
        <f>IFERROR(__xludf.DUMMYFUNCTION("""COMPUTED_VALUE"""),"")</f>
        <v/>
      </c>
      <c r="B13234" s="87"/>
      <c r="C13234" s="87"/>
      <c r="D13234" s="87"/>
      <c r="E13234" s="87"/>
      <c r="F13234" s="87"/>
      <c r="G13234" s="87"/>
    </row>
    <row r="13235">
      <c r="A13235" s="86" t="str">
        <f>IFERROR(__xludf.DUMMYFUNCTION("""COMPUTED_VALUE"""),"")</f>
        <v/>
      </c>
      <c r="B13235" s="87"/>
      <c r="C13235" s="87"/>
      <c r="D13235" s="87"/>
      <c r="E13235" s="87"/>
      <c r="F13235" s="87"/>
      <c r="G13235" s="87"/>
    </row>
    <row r="13236">
      <c r="A13236" s="86" t="str">
        <f>IFERROR(__xludf.DUMMYFUNCTION("""COMPUTED_VALUE"""),"")</f>
        <v/>
      </c>
      <c r="B13236" s="87"/>
      <c r="C13236" s="87"/>
      <c r="D13236" s="87"/>
      <c r="E13236" s="87"/>
      <c r="F13236" s="87"/>
      <c r="G13236" s="87"/>
    </row>
    <row r="13237">
      <c r="A13237" s="86" t="str">
        <f>IFERROR(__xludf.DUMMYFUNCTION("""COMPUTED_VALUE"""),"")</f>
        <v/>
      </c>
      <c r="B13237" s="87"/>
      <c r="C13237" s="87"/>
      <c r="D13237" s="87"/>
      <c r="E13237" s="87"/>
      <c r="F13237" s="87"/>
      <c r="G13237" s="87"/>
    </row>
    <row r="13238">
      <c r="A13238" s="86" t="str">
        <f>IFERROR(__xludf.DUMMYFUNCTION("""COMPUTED_VALUE"""),"")</f>
        <v/>
      </c>
      <c r="B13238" s="87"/>
      <c r="C13238" s="87"/>
      <c r="D13238" s="87"/>
      <c r="E13238" s="87"/>
      <c r="F13238" s="87"/>
      <c r="G13238" s="87"/>
    </row>
    <row r="13239">
      <c r="A13239" s="86" t="str">
        <f>IFERROR(__xludf.DUMMYFUNCTION("""COMPUTED_VALUE"""),"")</f>
        <v/>
      </c>
      <c r="B13239" s="87"/>
      <c r="C13239" s="87"/>
      <c r="D13239" s="87"/>
      <c r="E13239" s="87"/>
      <c r="F13239" s="87"/>
      <c r="G13239" s="87"/>
    </row>
    <row r="13240">
      <c r="A13240" s="86" t="str">
        <f>IFERROR(__xludf.DUMMYFUNCTION("""COMPUTED_VALUE"""),"")</f>
        <v/>
      </c>
      <c r="B13240" s="87"/>
      <c r="C13240" s="87"/>
      <c r="D13240" s="87"/>
      <c r="E13240" s="87"/>
      <c r="F13240" s="87"/>
      <c r="G13240" s="87"/>
    </row>
    <row r="13241">
      <c r="A13241" s="86" t="str">
        <f>IFERROR(__xludf.DUMMYFUNCTION("""COMPUTED_VALUE"""),"")</f>
        <v/>
      </c>
      <c r="B13241" s="87"/>
      <c r="C13241" s="87"/>
      <c r="D13241" s="87"/>
      <c r="E13241" s="87"/>
      <c r="F13241" s="87"/>
      <c r="G13241" s="87"/>
    </row>
    <row r="13242">
      <c r="A13242" s="86" t="str">
        <f>IFERROR(__xludf.DUMMYFUNCTION("""COMPUTED_VALUE"""),"")</f>
        <v/>
      </c>
      <c r="B13242" s="87"/>
      <c r="C13242" s="87"/>
      <c r="D13242" s="87"/>
      <c r="E13242" s="87"/>
      <c r="F13242" s="87"/>
      <c r="G13242" s="87"/>
    </row>
    <row r="13243">
      <c r="A13243" s="86" t="str">
        <f>IFERROR(__xludf.DUMMYFUNCTION("""COMPUTED_VALUE"""),"")</f>
        <v/>
      </c>
      <c r="B13243" s="87"/>
      <c r="C13243" s="87"/>
      <c r="D13243" s="87"/>
      <c r="E13243" s="87"/>
      <c r="F13243" s="87"/>
      <c r="G13243" s="87"/>
    </row>
    <row r="13244">
      <c r="A13244" s="86" t="str">
        <f>IFERROR(__xludf.DUMMYFUNCTION("""COMPUTED_VALUE"""),"")</f>
        <v/>
      </c>
      <c r="B13244" s="87"/>
      <c r="C13244" s="87"/>
      <c r="D13244" s="87"/>
      <c r="E13244" s="87"/>
      <c r="F13244" s="87"/>
      <c r="G13244" s="87"/>
    </row>
    <row r="13245">
      <c r="A13245" s="86" t="str">
        <f>IFERROR(__xludf.DUMMYFUNCTION("""COMPUTED_VALUE"""),"")</f>
        <v/>
      </c>
      <c r="B13245" s="87"/>
      <c r="C13245" s="87"/>
      <c r="D13245" s="87"/>
      <c r="E13245" s="87"/>
      <c r="F13245" s="87"/>
      <c r="G13245" s="87"/>
    </row>
    <row r="13246">
      <c r="A13246" s="86" t="str">
        <f>IFERROR(__xludf.DUMMYFUNCTION("""COMPUTED_VALUE"""),"")</f>
        <v/>
      </c>
      <c r="B13246" s="87"/>
      <c r="C13246" s="87"/>
      <c r="D13246" s="87"/>
      <c r="E13246" s="87"/>
      <c r="F13246" s="87"/>
      <c r="G13246" s="87"/>
    </row>
    <row r="13247">
      <c r="A13247" s="86" t="str">
        <f>IFERROR(__xludf.DUMMYFUNCTION("""COMPUTED_VALUE"""),"")</f>
        <v/>
      </c>
      <c r="B13247" s="87"/>
      <c r="C13247" s="87"/>
      <c r="D13247" s="87"/>
      <c r="E13247" s="87"/>
      <c r="F13247" s="87"/>
      <c r="G13247" s="87"/>
    </row>
    <row r="13248">
      <c r="A13248" s="86" t="str">
        <f>IFERROR(__xludf.DUMMYFUNCTION("""COMPUTED_VALUE"""),"")</f>
        <v/>
      </c>
      <c r="B13248" s="87"/>
      <c r="C13248" s="87"/>
      <c r="D13248" s="87"/>
      <c r="E13248" s="87"/>
      <c r="F13248" s="87"/>
      <c r="G13248" s="87"/>
    </row>
    <row r="13249">
      <c r="A13249" s="86" t="str">
        <f>IFERROR(__xludf.DUMMYFUNCTION("""COMPUTED_VALUE"""),"")</f>
        <v/>
      </c>
      <c r="B13249" s="87"/>
      <c r="C13249" s="87"/>
      <c r="D13249" s="87"/>
      <c r="E13249" s="87"/>
      <c r="F13249" s="87"/>
      <c r="G13249" s="87"/>
    </row>
    <row r="13250">
      <c r="A13250" s="86" t="str">
        <f>IFERROR(__xludf.DUMMYFUNCTION("""COMPUTED_VALUE"""),"")</f>
        <v/>
      </c>
      <c r="B13250" s="87"/>
      <c r="C13250" s="87"/>
      <c r="D13250" s="87"/>
      <c r="E13250" s="87"/>
      <c r="F13250" s="87"/>
      <c r="G13250" s="87"/>
    </row>
    <row r="13251">
      <c r="A13251" s="86" t="str">
        <f>IFERROR(__xludf.DUMMYFUNCTION("""COMPUTED_VALUE"""),"")</f>
        <v/>
      </c>
      <c r="B13251" s="87"/>
      <c r="C13251" s="87"/>
      <c r="D13251" s="87"/>
      <c r="E13251" s="87"/>
      <c r="F13251" s="87"/>
      <c r="G13251" s="87"/>
    </row>
    <row r="13252">
      <c r="A13252" s="86" t="str">
        <f>IFERROR(__xludf.DUMMYFUNCTION("""COMPUTED_VALUE"""),"")</f>
        <v/>
      </c>
      <c r="B13252" s="87"/>
      <c r="C13252" s="87"/>
      <c r="D13252" s="87"/>
      <c r="E13252" s="87"/>
      <c r="F13252" s="87"/>
      <c r="G13252" s="87"/>
    </row>
    <row r="13253">
      <c r="A13253" s="86" t="str">
        <f>IFERROR(__xludf.DUMMYFUNCTION("""COMPUTED_VALUE"""),"")</f>
        <v/>
      </c>
      <c r="B13253" s="87"/>
      <c r="C13253" s="87"/>
      <c r="D13253" s="87"/>
      <c r="E13253" s="87"/>
      <c r="F13253" s="87"/>
      <c r="G13253" s="87"/>
    </row>
    <row r="13254">
      <c r="A13254" s="86" t="str">
        <f>IFERROR(__xludf.DUMMYFUNCTION("""COMPUTED_VALUE"""),"")</f>
        <v/>
      </c>
      <c r="B13254" s="87"/>
      <c r="C13254" s="87"/>
      <c r="D13254" s="87"/>
      <c r="E13254" s="87"/>
      <c r="F13254" s="87"/>
      <c r="G13254" s="87"/>
    </row>
    <row r="13255">
      <c r="A13255" s="86" t="str">
        <f>IFERROR(__xludf.DUMMYFUNCTION("""COMPUTED_VALUE"""),"")</f>
        <v/>
      </c>
      <c r="B13255" s="87"/>
      <c r="C13255" s="87"/>
      <c r="D13255" s="87"/>
      <c r="E13255" s="87"/>
      <c r="F13255" s="87"/>
      <c r="G13255" s="87"/>
    </row>
    <row r="13256">
      <c r="A13256" s="86" t="str">
        <f>IFERROR(__xludf.DUMMYFUNCTION("""COMPUTED_VALUE"""),"")</f>
        <v/>
      </c>
      <c r="B13256" s="87"/>
      <c r="C13256" s="87"/>
      <c r="D13256" s="87"/>
      <c r="E13256" s="87"/>
      <c r="F13256" s="87"/>
      <c r="G13256" s="87"/>
    </row>
    <row r="13257">
      <c r="A13257" s="86" t="str">
        <f>IFERROR(__xludf.DUMMYFUNCTION("""COMPUTED_VALUE"""),"")</f>
        <v/>
      </c>
      <c r="B13257" s="87"/>
      <c r="C13257" s="87"/>
      <c r="D13257" s="87"/>
      <c r="E13257" s="87"/>
      <c r="F13257" s="87"/>
      <c r="G13257" s="87"/>
    </row>
    <row r="13258">
      <c r="A13258" s="86" t="str">
        <f>IFERROR(__xludf.DUMMYFUNCTION("""COMPUTED_VALUE"""),"")</f>
        <v/>
      </c>
      <c r="B13258" s="87"/>
      <c r="C13258" s="87"/>
      <c r="D13258" s="87"/>
      <c r="E13258" s="87"/>
      <c r="F13258" s="87"/>
      <c r="G13258" s="87"/>
    </row>
    <row r="13259">
      <c r="A13259" s="86" t="str">
        <f>IFERROR(__xludf.DUMMYFUNCTION("""COMPUTED_VALUE"""),"")</f>
        <v/>
      </c>
      <c r="B13259" s="87"/>
      <c r="C13259" s="87"/>
      <c r="D13259" s="87"/>
      <c r="E13259" s="87"/>
      <c r="F13259" s="87"/>
      <c r="G13259" s="87"/>
    </row>
    <row r="13260">
      <c r="A13260" s="86" t="str">
        <f>IFERROR(__xludf.DUMMYFUNCTION("""COMPUTED_VALUE"""),"")</f>
        <v/>
      </c>
      <c r="B13260" s="87"/>
      <c r="C13260" s="87"/>
      <c r="D13260" s="87"/>
      <c r="E13260" s="87"/>
      <c r="F13260" s="87"/>
      <c r="G13260" s="87"/>
    </row>
    <row r="13261">
      <c r="A13261" s="86" t="str">
        <f>IFERROR(__xludf.DUMMYFUNCTION("""COMPUTED_VALUE"""),"")</f>
        <v/>
      </c>
      <c r="B13261" s="87"/>
      <c r="C13261" s="87"/>
      <c r="D13261" s="87"/>
      <c r="E13261" s="87"/>
      <c r="F13261" s="87"/>
      <c r="G13261" s="87"/>
    </row>
    <row r="13262">
      <c r="A13262" s="86" t="str">
        <f>IFERROR(__xludf.DUMMYFUNCTION("""COMPUTED_VALUE"""),"")</f>
        <v/>
      </c>
      <c r="B13262" s="87"/>
      <c r="C13262" s="87"/>
      <c r="D13262" s="87"/>
      <c r="E13262" s="87"/>
      <c r="F13262" s="87"/>
      <c r="G13262" s="87"/>
    </row>
    <row r="13263">
      <c r="A13263" s="86" t="str">
        <f>IFERROR(__xludf.DUMMYFUNCTION("""COMPUTED_VALUE"""),"")</f>
        <v/>
      </c>
      <c r="B13263" s="87"/>
      <c r="C13263" s="87"/>
      <c r="D13263" s="87"/>
      <c r="E13263" s="87"/>
      <c r="F13263" s="87"/>
      <c r="G13263" s="87"/>
    </row>
    <row r="13264">
      <c r="A13264" s="86" t="str">
        <f>IFERROR(__xludf.DUMMYFUNCTION("""COMPUTED_VALUE"""),"")</f>
        <v/>
      </c>
      <c r="B13264" s="87"/>
      <c r="C13264" s="87"/>
      <c r="D13264" s="87"/>
      <c r="E13264" s="87"/>
      <c r="F13264" s="87"/>
      <c r="G13264" s="87"/>
    </row>
    <row r="13265">
      <c r="A13265" s="86" t="str">
        <f>IFERROR(__xludf.DUMMYFUNCTION("""COMPUTED_VALUE"""),"")</f>
        <v/>
      </c>
      <c r="B13265" s="87"/>
      <c r="C13265" s="87"/>
      <c r="D13265" s="87"/>
      <c r="E13265" s="87"/>
      <c r="F13265" s="87"/>
      <c r="G13265" s="87"/>
    </row>
    <row r="13266">
      <c r="A13266" s="86" t="str">
        <f>IFERROR(__xludf.DUMMYFUNCTION("""COMPUTED_VALUE"""),"")</f>
        <v/>
      </c>
      <c r="B13266" s="87"/>
      <c r="C13266" s="87"/>
      <c r="D13266" s="87"/>
      <c r="E13266" s="87"/>
      <c r="F13266" s="87"/>
      <c r="G13266" s="87"/>
    </row>
    <row r="13267">
      <c r="A13267" s="86" t="str">
        <f>IFERROR(__xludf.DUMMYFUNCTION("""COMPUTED_VALUE"""),"")</f>
        <v/>
      </c>
      <c r="B13267" s="87"/>
      <c r="C13267" s="87"/>
      <c r="D13267" s="87"/>
      <c r="E13267" s="87"/>
      <c r="F13267" s="87"/>
      <c r="G13267" s="87"/>
    </row>
    <row r="13268">
      <c r="A13268" s="86" t="str">
        <f>IFERROR(__xludf.DUMMYFUNCTION("""COMPUTED_VALUE"""),"")</f>
        <v/>
      </c>
      <c r="B13268" s="87"/>
      <c r="C13268" s="87"/>
      <c r="D13268" s="87"/>
      <c r="E13268" s="87"/>
      <c r="F13268" s="87"/>
      <c r="G13268" s="87"/>
    </row>
    <row r="13269">
      <c r="A13269" s="86" t="str">
        <f>IFERROR(__xludf.DUMMYFUNCTION("""COMPUTED_VALUE"""),"")</f>
        <v/>
      </c>
      <c r="B13269" s="87"/>
      <c r="C13269" s="87"/>
      <c r="D13269" s="87"/>
      <c r="E13269" s="87"/>
      <c r="F13269" s="87"/>
      <c r="G13269" s="87"/>
    </row>
    <row r="13270">
      <c r="A13270" s="86" t="str">
        <f>IFERROR(__xludf.DUMMYFUNCTION("""COMPUTED_VALUE"""),"")</f>
        <v/>
      </c>
      <c r="B13270" s="87"/>
      <c r="C13270" s="87"/>
      <c r="D13270" s="87"/>
      <c r="E13270" s="87"/>
      <c r="F13270" s="87"/>
      <c r="G13270" s="87"/>
    </row>
    <row r="13271">
      <c r="A13271" s="86" t="str">
        <f>IFERROR(__xludf.DUMMYFUNCTION("""COMPUTED_VALUE"""),"")</f>
        <v/>
      </c>
      <c r="B13271" s="87"/>
      <c r="C13271" s="87"/>
      <c r="D13271" s="87"/>
      <c r="E13271" s="87"/>
      <c r="F13271" s="87"/>
      <c r="G13271" s="87"/>
    </row>
    <row r="13272">
      <c r="A13272" s="86" t="str">
        <f>IFERROR(__xludf.DUMMYFUNCTION("""COMPUTED_VALUE"""),"")</f>
        <v/>
      </c>
      <c r="B13272" s="87"/>
      <c r="C13272" s="87"/>
      <c r="D13272" s="87"/>
      <c r="E13272" s="87"/>
      <c r="F13272" s="87"/>
      <c r="G13272" s="87"/>
    </row>
    <row r="13273">
      <c r="A13273" s="86" t="str">
        <f>IFERROR(__xludf.DUMMYFUNCTION("""COMPUTED_VALUE"""),"")</f>
        <v/>
      </c>
      <c r="B13273" s="87"/>
      <c r="C13273" s="87"/>
      <c r="D13273" s="87"/>
      <c r="E13273" s="87"/>
      <c r="F13273" s="87"/>
      <c r="G13273" s="87"/>
    </row>
    <row r="13274">
      <c r="A13274" s="86" t="str">
        <f>IFERROR(__xludf.DUMMYFUNCTION("""COMPUTED_VALUE"""),"")</f>
        <v/>
      </c>
      <c r="B13274" s="87"/>
      <c r="C13274" s="87"/>
      <c r="D13274" s="87"/>
      <c r="E13274" s="87"/>
      <c r="F13274" s="87"/>
      <c r="G13274" s="87"/>
    </row>
    <row r="13275">
      <c r="A13275" s="86" t="str">
        <f>IFERROR(__xludf.DUMMYFUNCTION("""COMPUTED_VALUE"""),"")</f>
        <v/>
      </c>
      <c r="B13275" s="87"/>
      <c r="C13275" s="87"/>
      <c r="D13275" s="87"/>
      <c r="E13275" s="87"/>
      <c r="F13275" s="87"/>
      <c r="G13275" s="87"/>
    </row>
    <row r="13276">
      <c r="A13276" s="86" t="str">
        <f>IFERROR(__xludf.DUMMYFUNCTION("""COMPUTED_VALUE"""),"")</f>
        <v/>
      </c>
      <c r="B13276" s="87"/>
      <c r="C13276" s="87"/>
      <c r="D13276" s="87"/>
      <c r="E13276" s="87"/>
      <c r="F13276" s="87"/>
      <c r="G13276" s="87"/>
    </row>
    <row r="13277">
      <c r="A13277" s="86" t="str">
        <f>IFERROR(__xludf.DUMMYFUNCTION("""COMPUTED_VALUE"""),"")</f>
        <v/>
      </c>
      <c r="B13277" s="87"/>
      <c r="C13277" s="87"/>
      <c r="D13277" s="87"/>
      <c r="E13277" s="87"/>
      <c r="F13277" s="87"/>
      <c r="G13277" s="87"/>
    </row>
    <row r="13278">
      <c r="A13278" s="86" t="str">
        <f>IFERROR(__xludf.DUMMYFUNCTION("""COMPUTED_VALUE"""),"")</f>
        <v/>
      </c>
      <c r="B13278" s="87"/>
      <c r="C13278" s="87"/>
      <c r="D13278" s="87"/>
      <c r="E13278" s="87"/>
      <c r="F13278" s="87"/>
      <c r="G13278" s="87"/>
    </row>
    <row r="13279">
      <c r="A13279" s="86" t="str">
        <f>IFERROR(__xludf.DUMMYFUNCTION("""COMPUTED_VALUE"""),"")</f>
        <v/>
      </c>
      <c r="B13279" s="87"/>
      <c r="C13279" s="87"/>
      <c r="D13279" s="87"/>
      <c r="E13279" s="87"/>
      <c r="F13279" s="87"/>
      <c r="G13279" s="87"/>
    </row>
    <row r="13280">
      <c r="A13280" s="86" t="str">
        <f>IFERROR(__xludf.DUMMYFUNCTION("""COMPUTED_VALUE"""),"")</f>
        <v/>
      </c>
      <c r="B13280" s="87"/>
      <c r="C13280" s="87"/>
      <c r="D13280" s="87"/>
      <c r="E13280" s="87"/>
      <c r="F13280" s="87"/>
      <c r="G13280" s="87"/>
    </row>
    <row r="13281">
      <c r="A13281" s="86" t="str">
        <f>IFERROR(__xludf.DUMMYFUNCTION("""COMPUTED_VALUE"""),"")</f>
        <v/>
      </c>
      <c r="B13281" s="87"/>
      <c r="C13281" s="87"/>
      <c r="D13281" s="87"/>
      <c r="E13281" s="87"/>
      <c r="F13281" s="87"/>
      <c r="G13281" s="87"/>
    </row>
    <row r="13282">
      <c r="A13282" s="86" t="str">
        <f>IFERROR(__xludf.DUMMYFUNCTION("""COMPUTED_VALUE"""),"")</f>
        <v/>
      </c>
      <c r="B13282" s="87"/>
      <c r="C13282" s="87"/>
      <c r="D13282" s="87"/>
      <c r="E13282" s="87"/>
      <c r="F13282" s="87"/>
      <c r="G13282" s="87"/>
    </row>
    <row r="13283">
      <c r="A13283" s="86" t="str">
        <f>IFERROR(__xludf.DUMMYFUNCTION("""COMPUTED_VALUE"""),"")</f>
        <v/>
      </c>
      <c r="B13283" s="87"/>
      <c r="C13283" s="87"/>
      <c r="D13283" s="87"/>
      <c r="E13283" s="87"/>
      <c r="F13283" s="87"/>
      <c r="G13283" s="87"/>
    </row>
    <row r="13284">
      <c r="A13284" s="86" t="str">
        <f>IFERROR(__xludf.DUMMYFUNCTION("""COMPUTED_VALUE"""),"")</f>
        <v/>
      </c>
      <c r="B13284" s="87"/>
      <c r="C13284" s="87"/>
      <c r="D13284" s="87"/>
      <c r="E13284" s="87"/>
      <c r="F13284" s="87"/>
      <c r="G13284" s="87"/>
    </row>
    <row r="13285">
      <c r="A13285" s="86" t="str">
        <f>IFERROR(__xludf.DUMMYFUNCTION("""COMPUTED_VALUE"""),"")</f>
        <v/>
      </c>
      <c r="B13285" s="87"/>
      <c r="C13285" s="87"/>
      <c r="D13285" s="87"/>
      <c r="E13285" s="87"/>
      <c r="F13285" s="87"/>
      <c r="G13285" s="87"/>
    </row>
    <row r="13286">
      <c r="A13286" s="86" t="str">
        <f>IFERROR(__xludf.DUMMYFUNCTION("""COMPUTED_VALUE"""),"")</f>
        <v/>
      </c>
      <c r="B13286" s="87"/>
      <c r="C13286" s="87"/>
      <c r="D13286" s="87"/>
      <c r="E13286" s="87"/>
      <c r="F13286" s="87"/>
      <c r="G13286" s="87"/>
    </row>
    <row r="13287">
      <c r="A13287" s="86" t="str">
        <f>IFERROR(__xludf.DUMMYFUNCTION("""COMPUTED_VALUE"""),"")</f>
        <v/>
      </c>
      <c r="B13287" s="87"/>
      <c r="C13287" s="87"/>
      <c r="D13287" s="87"/>
      <c r="E13287" s="87"/>
      <c r="F13287" s="87"/>
      <c r="G13287" s="87"/>
    </row>
    <row r="13288">
      <c r="A13288" s="86" t="str">
        <f>IFERROR(__xludf.DUMMYFUNCTION("""COMPUTED_VALUE"""),"")</f>
        <v/>
      </c>
      <c r="B13288" s="87"/>
      <c r="C13288" s="87"/>
      <c r="D13288" s="87"/>
      <c r="E13288" s="87"/>
      <c r="F13288" s="87"/>
      <c r="G13288" s="87"/>
    </row>
    <row r="13289">
      <c r="A13289" s="86" t="str">
        <f>IFERROR(__xludf.DUMMYFUNCTION("""COMPUTED_VALUE"""),"")</f>
        <v/>
      </c>
      <c r="B13289" s="87"/>
      <c r="C13289" s="87"/>
      <c r="D13289" s="87"/>
      <c r="E13289" s="87"/>
      <c r="F13289" s="87"/>
      <c r="G13289" s="87"/>
    </row>
    <row r="13290">
      <c r="A13290" s="86" t="str">
        <f>IFERROR(__xludf.DUMMYFUNCTION("""COMPUTED_VALUE"""),"")</f>
        <v/>
      </c>
      <c r="B13290" s="87"/>
      <c r="C13290" s="87"/>
      <c r="D13290" s="87"/>
      <c r="E13290" s="87"/>
      <c r="F13290" s="87"/>
      <c r="G13290" s="87"/>
    </row>
    <row r="13291">
      <c r="A13291" s="86" t="str">
        <f>IFERROR(__xludf.DUMMYFUNCTION("""COMPUTED_VALUE"""),"")</f>
        <v/>
      </c>
      <c r="B13291" s="87"/>
      <c r="C13291" s="87"/>
      <c r="D13291" s="87"/>
      <c r="E13291" s="87"/>
      <c r="F13291" s="87"/>
      <c r="G13291" s="87"/>
    </row>
    <row r="13292">
      <c r="A13292" s="86" t="str">
        <f>IFERROR(__xludf.DUMMYFUNCTION("""COMPUTED_VALUE"""),"")</f>
        <v/>
      </c>
      <c r="B13292" s="87"/>
      <c r="C13292" s="87"/>
      <c r="D13292" s="87"/>
      <c r="E13292" s="87"/>
      <c r="F13292" s="87"/>
      <c r="G13292" s="87"/>
    </row>
    <row r="13293">
      <c r="A13293" s="86" t="str">
        <f>IFERROR(__xludf.DUMMYFUNCTION("""COMPUTED_VALUE"""),"")</f>
        <v/>
      </c>
      <c r="B13293" s="87"/>
      <c r="C13293" s="87"/>
      <c r="D13293" s="87"/>
      <c r="E13293" s="87"/>
      <c r="F13293" s="87"/>
      <c r="G13293" s="87"/>
    </row>
    <row r="13294">
      <c r="A13294" s="86" t="str">
        <f>IFERROR(__xludf.DUMMYFUNCTION("""COMPUTED_VALUE"""),"")</f>
        <v/>
      </c>
      <c r="B13294" s="87"/>
      <c r="C13294" s="87"/>
      <c r="D13294" s="87"/>
      <c r="E13294" s="87"/>
      <c r="F13294" s="87"/>
      <c r="G13294" s="87"/>
    </row>
    <row r="13295">
      <c r="A13295" s="86" t="str">
        <f>IFERROR(__xludf.DUMMYFUNCTION("""COMPUTED_VALUE"""),"")</f>
        <v/>
      </c>
      <c r="B13295" s="87"/>
      <c r="C13295" s="87"/>
      <c r="D13295" s="87"/>
      <c r="E13295" s="87"/>
      <c r="F13295" s="87"/>
      <c r="G13295" s="87"/>
    </row>
    <row r="13296">
      <c r="A13296" s="86" t="str">
        <f>IFERROR(__xludf.DUMMYFUNCTION("""COMPUTED_VALUE"""),"")</f>
        <v/>
      </c>
      <c r="B13296" s="87"/>
      <c r="C13296" s="87"/>
      <c r="D13296" s="87"/>
      <c r="E13296" s="87"/>
      <c r="F13296" s="87"/>
      <c r="G13296" s="87"/>
    </row>
    <row r="13297">
      <c r="A13297" s="86" t="str">
        <f>IFERROR(__xludf.DUMMYFUNCTION("""COMPUTED_VALUE"""),"")</f>
        <v/>
      </c>
      <c r="B13297" s="87"/>
      <c r="C13297" s="87"/>
      <c r="D13297" s="87"/>
      <c r="E13297" s="87"/>
      <c r="F13297" s="87"/>
      <c r="G13297" s="87"/>
    </row>
    <row r="13298">
      <c r="A13298" s="86" t="str">
        <f>IFERROR(__xludf.DUMMYFUNCTION("""COMPUTED_VALUE"""),"")</f>
        <v/>
      </c>
      <c r="B13298" s="87"/>
      <c r="C13298" s="87"/>
      <c r="D13298" s="87"/>
      <c r="E13298" s="87"/>
      <c r="F13298" s="87"/>
      <c r="G13298" s="87"/>
    </row>
    <row r="13299">
      <c r="A13299" s="86" t="str">
        <f>IFERROR(__xludf.DUMMYFUNCTION("""COMPUTED_VALUE"""),"")</f>
        <v/>
      </c>
      <c r="B13299" s="87"/>
      <c r="C13299" s="87"/>
      <c r="D13299" s="87"/>
      <c r="E13299" s="87"/>
      <c r="F13299" s="87"/>
      <c r="G13299" s="87"/>
    </row>
    <row r="13300">
      <c r="A13300" s="86" t="str">
        <f>IFERROR(__xludf.DUMMYFUNCTION("""COMPUTED_VALUE"""),"")</f>
        <v/>
      </c>
      <c r="B13300" s="87"/>
      <c r="C13300" s="87"/>
      <c r="D13300" s="87"/>
      <c r="E13300" s="87"/>
      <c r="F13300" s="87"/>
      <c r="G13300" s="87"/>
    </row>
    <row r="13301">
      <c r="A13301" s="86" t="str">
        <f>IFERROR(__xludf.DUMMYFUNCTION("""COMPUTED_VALUE"""),"")</f>
        <v/>
      </c>
      <c r="B13301" s="87"/>
      <c r="C13301" s="87"/>
      <c r="D13301" s="87"/>
      <c r="E13301" s="87"/>
      <c r="F13301" s="87"/>
      <c r="G13301" s="87"/>
    </row>
    <row r="13302">
      <c r="A13302" s="86" t="str">
        <f>IFERROR(__xludf.DUMMYFUNCTION("""COMPUTED_VALUE"""),"")</f>
        <v/>
      </c>
      <c r="B13302" s="87"/>
      <c r="C13302" s="87"/>
      <c r="D13302" s="87"/>
      <c r="E13302" s="87"/>
      <c r="F13302" s="87"/>
      <c r="G13302" s="87"/>
    </row>
    <row r="13303">
      <c r="A13303" s="86" t="str">
        <f>IFERROR(__xludf.DUMMYFUNCTION("""COMPUTED_VALUE"""),"")</f>
        <v/>
      </c>
      <c r="B13303" s="87"/>
      <c r="C13303" s="87"/>
      <c r="D13303" s="87"/>
      <c r="E13303" s="87"/>
      <c r="F13303" s="87"/>
      <c r="G13303" s="87"/>
    </row>
    <row r="13304">
      <c r="A13304" s="86" t="str">
        <f>IFERROR(__xludf.DUMMYFUNCTION("""COMPUTED_VALUE"""),"")</f>
        <v/>
      </c>
      <c r="B13304" s="87"/>
      <c r="C13304" s="87"/>
      <c r="D13304" s="87"/>
      <c r="E13304" s="87"/>
      <c r="F13304" s="87"/>
      <c r="G13304" s="87"/>
    </row>
    <row r="13305">
      <c r="A13305" s="86" t="str">
        <f>IFERROR(__xludf.DUMMYFUNCTION("""COMPUTED_VALUE"""),"")</f>
        <v/>
      </c>
      <c r="B13305" s="87"/>
      <c r="C13305" s="87"/>
      <c r="D13305" s="87"/>
      <c r="E13305" s="87"/>
      <c r="F13305" s="87"/>
      <c r="G13305" s="87"/>
    </row>
    <row r="13306">
      <c r="A13306" s="86" t="str">
        <f>IFERROR(__xludf.DUMMYFUNCTION("""COMPUTED_VALUE"""),"")</f>
        <v/>
      </c>
      <c r="B13306" s="87"/>
      <c r="C13306" s="87"/>
      <c r="D13306" s="87"/>
      <c r="E13306" s="87"/>
      <c r="F13306" s="87"/>
      <c r="G13306" s="87"/>
    </row>
    <row r="13307">
      <c r="A13307" s="86" t="str">
        <f>IFERROR(__xludf.DUMMYFUNCTION("""COMPUTED_VALUE"""),"")</f>
        <v/>
      </c>
      <c r="B13307" s="87"/>
      <c r="C13307" s="87"/>
      <c r="D13307" s="87"/>
      <c r="E13307" s="87"/>
      <c r="F13307" s="87"/>
      <c r="G13307" s="87"/>
    </row>
    <row r="13308">
      <c r="A13308" s="86" t="str">
        <f>IFERROR(__xludf.DUMMYFUNCTION("""COMPUTED_VALUE"""),"")</f>
        <v/>
      </c>
      <c r="B13308" s="87"/>
      <c r="C13308" s="87"/>
      <c r="D13308" s="87"/>
      <c r="E13308" s="87"/>
      <c r="F13308" s="87"/>
      <c r="G13308" s="87"/>
    </row>
    <row r="13309">
      <c r="A13309" s="86" t="str">
        <f>IFERROR(__xludf.DUMMYFUNCTION("""COMPUTED_VALUE"""),"")</f>
        <v/>
      </c>
      <c r="B13309" s="87"/>
      <c r="C13309" s="87"/>
      <c r="D13309" s="87"/>
      <c r="E13309" s="87"/>
      <c r="F13309" s="87"/>
      <c r="G13309" s="87"/>
    </row>
    <row r="13310">
      <c r="A13310" s="86" t="str">
        <f>IFERROR(__xludf.DUMMYFUNCTION("""COMPUTED_VALUE"""),"")</f>
        <v/>
      </c>
      <c r="B13310" s="87"/>
      <c r="C13310" s="87"/>
      <c r="D13310" s="87"/>
      <c r="E13310" s="87"/>
      <c r="F13310" s="87"/>
      <c r="G13310" s="87"/>
    </row>
    <row r="13311">
      <c r="A13311" s="86" t="str">
        <f>IFERROR(__xludf.DUMMYFUNCTION("""COMPUTED_VALUE"""),"")</f>
        <v/>
      </c>
      <c r="B13311" s="87"/>
      <c r="C13311" s="87"/>
      <c r="D13311" s="87"/>
      <c r="E13311" s="87"/>
      <c r="F13311" s="87"/>
      <c r="G13311" s="87"/>
    </row>
    <row r="13312">
      <c r="A13312" s="86" t="str">
        <f>IFERROR(__xludf.DUMMYFUNCTION("""COMPUTED_VALUE"""),"")</f>
        <v/>
      </c>
      <c r="B13312" s="87"/>
      <c r="C13312" s="87"/>
      <c r="D13312" s="87"/>
      <c r="E13312" s="87"/>
      <c r="F13312" s="87"/>
      <c r="G13312" s="87"/>
    </row>
    <row r="13313">
      <c r="A13313" s="86" t="str">
        <f>IFERROR(__xludf.DUMMYFUNCTION("""COMPUTED_VALUE"""),"")</f>
        <v/>
      </c>
      <c r="B13313" s="87"/>
      <c r="C13313" s="87"/>
      <c r="D13313" s="87"/>
      <c r="E13313" s="87"/>
      <c r="F13313" s="87"/>
      <c r="G13313" s="87"/>
    </row>
    <row r="13314">
      <c r="A13314" s="86" t="str">
        <f>IFERROR(__xludf.DUMMYFUNCTION("""COMPUTED_VALUE"""),"")</f>
        <v/>
      </c>
      <c r="B13314" s="87"/>
      <c r="C13314" s="87"/>
      <c r="D13314" s="87"/>
      <c r="E13314" s="87"/>
      <c r="F13314" s="87"/>
      <c r="G13314" s="87"/>
    </row>
    <row r="13315">
      <c r="A13315" s="86" t="str">
        <f>IFERROR(__xludf.DUMMYFUNCTION("""COMPUTED_VALUE"""),"")</f>
        <v/>
      </c>
      <c r="B13315" s="87"/>
      <c r="C13315" s="87"/>
      <c r="D13315" s="87"/>
      <c r="E13315" s="87"/>
      <c r="F13315" s="87"/>
      <c r="G13315" s="87"/>
    </row>
    <row r="13316">
      <c r="A13316" s="86" t="str">
        <f>IFERROR(__xludf.DUMMYFUNCTION("""COMPUTED_VALUE"""),"")</f>
        <v/>
      </c>
      <c r="B13316" s="87"/>
      <c r="C13316" s="87"/>
      <c r="D13316" s="87"/>
      <c r="E13316" s="87"/>
      <c r="F13316" s="87"/>
      <c r="G13316" s="87"/>
    </row>
    <row r="13317">
      <c r="A13317" s="86" t="str">
        <f>IFERROR(__xludf.DUMMYFUNCTION("""COMPUTED_VALUE"""),"")</f>
        <v/>
      </c>
      <c r="B13317" s="87"/>
      <c r="C13317" s="87"/>
      <c r="D13317" s="87"/>
      <c r="E13317" s="87"/>
      <c r="F13317" s="87"/>
      <c r="G13317" s="87"/>
    </row>
    <row r="13318">
      <c r="A13318" s="86" t="str">
        <f>IFERROR(__xludf.DUMMYFUNCTION("""COMPUTED_VALUE"""),"")</f>
        <v/>
      </c>
      <c r="B13318" s="87"/>
      <c r="C13318" s="87"/>
      <c r="D13318" s="87"/>
      <c r="E13318" s="87"/>
      <c r="F13318" s="87"/>
      <c r="G13318" s="87"/>
    </row>
    <row r="13319">
      <c r="A13319" s="86" t="str">
        <f>IFERROR(__xludf.DUMMYFUNCTION("""COMPUTED_VALUE"""),"")</f>
        <v/>
      </c>
      <c r="B13319" s="87"/>
      <c r="C13319" s="87"/>
      <c r="D13319" s="87"/>
      <c r="E13319" s="87"/>
      <c r="F13319" s="87"/>
      <c r="G13319" s="87"/>
    </row>
    <row r="13320">
      <c r="A13320" s="86" t="str">
        <f>IFERROR(__xludf.DUMMYFUNCTION("""COMPUTED_VALUE"""),"")</f>
        <v/>
      </c>
      <c r="B13320" s="87"/>
      <c r="C13320" s="87"/>
      <c r="D13320" s="87"/>
      <c r="E13320" s="87"/>
      <c r="F13320" s="87"/>
      <c r="G13320" s="87"/>
    </row>
    <row r="13321">
      <c r="A13321" s="86" t="str">
        <f>IFERROR(__xludf.DUMMYFUNCTION("""COMPUTED_VALUE"""),"")</f>
        <v/>
      </c>
      <c r="B13321" s="87"/>
      <c r="C13321" s="87"/>
      <c r="D13321" s="87"/>
      <c r="E13321" s="87"/>
      <c r="F13321" s="87"/>
      <c r="G13321" s="87"/>
    </row>
    <row r="13322">
      <c r="A13322" s="86" t="str">
        <f>IFERROR(__xludf.DUMMYFUNCTION("""COMPUTED_VALUE"""),"")</f>
        <v/>
      </c>
      <c r="B13322" s="87"/>
      <c r="C13322" s="87"/>
      <c r="D13322" s="87"/>
      <c r="E13322" s="87"/>
      <c r="F13322" s="87"/>
      <c r="G13322" s="87"/>
    </row>
    <row r="13323">
      <c r="A13323" s="86" t="str">
        <f>IFERROR(__xludf.DUMMYFUNCTION("""COMPUTED_VALUE"""),"")</f>
        <v/>
      </c>
      <c r="B13323" s="87"/>
      <c r="C13323" s="87"/>
      <c r="D13323" s="87"/>
      <c r="E13323" s="87"/>
      <c r="F13323" s="87"/>
      <c r="G13323" s="87"/>
    </row>
    <row r="13324">
      <c r="A13324" s="86" t="str">
        <f>IFERROR(__xludf.DUMMYFUNCTION("""COMPUTED_VALUE"""),"")</f>
        <v/>
      </c>
      <c r="B13324" s="87"/>
      <c r="C13324" s="87"/>
      <c r="D13324" s="87"/>
      <c r="E13324" s="87"/>
      <c r="F13324" s="87"/>
      <c r="G13324" s="87"/>
    </row>
    <row r="13325">
      <c r="A13325" s="86" t="str">
        <f>IFERROR(__xludf.DUMMYFUNCTION("""COMPUTED_VALUE"""),"")</f>
        <v/>
      </c>
      <c r="B13325" s="87"/>
      <c r="C13325" s="87"/>
      <c r="D13325" s="87"/>
      <c r="E13325" s="87"/>
      <c r="F13325" s="87"/>
      <c r="G13325" s="87"/>
    </row>
    <row r="13326">
      <c r="A13326" s="86" t="str">
        <f>IFERROR(__xludf.DUMMYFUNCTION("""COMPUTED_VALUE"""),"")</f>
        <v/>
      </c>
      <c r="B13326" s="87"/>
      <c r="C13326" s="87"/>
      <c r="D13326" s="87"/>
      <c r="E13326" s="87"/>
      <c r="F13326" s="87"/>
      <c r="G13326" s="87"/>
    </row>
    <row r="13327">
      <c r="A13327" s="86" t="str">
        <f>IFERROR(__xludf.DUMMYFUNCTION("""COMPUTED_VALUE"""),"")</f>
        <v/>
      </c>
      <c r="B13327" s="87"/>
      <c r="C13327" s="87"/>
      <c r="D13327" s="87"/>
      <c r="E13327" s="87"/>
      <c r="F13327" s="87"/>
      <c r="G13327" s="87"/>
    </row>
    <row r="13328">
      <c r="A13328" s="86" t="str">
        <f>IFERROR(__xludf.DUMMYFUNCTION("""COMPUTED_VALUE"""),"")</f>
        <v/>
      </c>
      <c r="B13328" s="87"/>
      <c r="C13328" s="87"/>
      <c r="D13328" s="87"/>
      <c r="E13328" s="87"/>
      <c r="F13328" s="87"/>
      <c r="G13328" s="87"/>
    </row>
    <row r="13329">
      <c r="A13329" s="86" t="str">
        <f>IFERROR(__xludf.DUMMYFUNCTION("""COMPUTED_VALUE"""),"")</f>
        <v/>
      </c>
      <c r="B13329" s="87"/>
      <c r="C13329" s="87"/>
      <c r="D13329" s="87"/>
      <c r="E13329" s="87"/>
      <c r="F13329" s="87"/>
      <c r="G13329" s="87"/>
    </row>
    <row r="13330">
      <c r="A13330" s="86" t="str">
        <f>IFERROR(__xludf.DUMMYFUNCTION("""COMPUTED_VALUE"""),"")</f>
        <v/>
      </c>
      <c r="B13330" s="87"/>
      <c r="C13330" s="87"/>
      <c r="D13330" s="87"/>
      <c r="E13330" s="87"/>
      <c r="F13330" s="87"/>
      <c r="G13330" s="87"/>
    </row>
    <row r="13331">
      <c r="A13331" s="86" t="str">
        <f>IFERROR(__xludf.DUMMYFUNCTION("""COMPUTED_VALUE"""),"")</f>
        <v/>
      </c>
      <c r="B13331" s="87"/>
      <c r="C13331" s="87"/>
      <c r="D13331" s="87"/>
      <c r="E13331" s="87"/>
      <c r="F13331" s="87"/>
      <c r="G13331" s="87"/>
    </row>
    <row r="13332">
      <c r="A13332" s="86" t="str">
        <f>IFERROR(__xludf.DUMMYFUNCTION("""COMPUTED_VALUE"""),"")</f>
        <v/>
      </c>
      <c r="B13332" s="87"/>
      <c r="C13332" s="87"/>
      <c r="D13332" s="87"/>
      <c r="E13332" s="87"/>
      <c r="F13332" s="87"/>
      <c r="G13332" s="87"/>
    </row>
    <row r="13333">
      <c r="A13333" s="86" t="str">
        <f>IFERROR(__xludf.DUMMYFUNCTION("""COMPUTED_VALUE"""),"")</f>
        <v/>
      </c>
      <c r="B13333" s="87"/>
      <c r="C13333" s="87"/>
      <c r="D13333" s="87"/>
      <c r="E13333" s="87"/>
      <c r="F13333" s="87"/>
      <c r="G13333" s="87"/>
    </row>
    <row r="13334">
      <c r="A13334" s="86" t="str">
        <f>IFERROR(__xludf.DUMMYFUNCTION("""COMPUTED_VALUE"""),"")</f>
        <v/>
      </c>
      <c r="B13334" s="87"/>
      <c r="C13334" s="87"/>
      <c r="D13334" s="87"/>
      <c r="E13334" s="87"/>
      <c r="F13334" s="87"/>
      <c r="G13334" s="87"/>
    </row>
    <row r="13335">
      <c r="A13335" s="86" t="str">
        <f>IFERROR(__xludf.DUMMYFUNCTION("""COMPUTED_VALUE"""),"")</f>
        <v/>
      </c>
      <c r="B13335" s="87"/>
      <c r="C13335" s="87"/>
      <c r="D13335" s="87"/>
      <c r="E13335" s="87"/>
      <c r="F13335" s="87"/>
      <c r="G13335" s="87"/>
    </row>
    <row r="13336">
      <c r="A13336" s="86" t="str">
        <f>IFERROR(__xludf.DUMMYFUNCTION("""COMPUTED_VALUE"""),"")</f>
        <v/>
      </c>
      <c r="B13336" s="87"/>
      <c r="C13336" s="87"/>
      <c r="D13336" s="87"/>
      <c r="E13336" s="87"/>
      <c r="F13336" s="87"/>
      <c r="G13336" s="87"/>
    </row>
    <row r="13337">
      <c r="A13337" s="86" t="str">
        <f>IFERROR(__xludf.DUMMYFUNCTION("""COMPUTED_VALUE"""),"")</f>
        <v/>
      </c>
      <c r="B13337" s="87"/>
      <c r="C13337" s="87"/>
      <c r="D13337" s="87"/>
      <c r="E13337" s="87"/>
      <c r="F13337" s="87"/>
      <c r="G13337" s="87"/>
    </row>
    <row r="13338">
      <c r="A13338" s="86" t="str">
        <f>IFERROR(__xludf.DUMMYFUNCTION("""COMPUTED_VALUE"""),"")</f>
        <v/>
      </c>
      <c r="B13338" s="87"/>
      <c r="C13338" s="87"/>
      <c r="D13338" s="87"/>
      <c r="E13338" s="87"/>
      <c r="F13338" s="87"/>
      <c r="G13338" s="87"/>
    </row>
    <row r="13339">
      <c r="A13339" s="86" t="str">
        <f>IFERROR(__xludf.DUMMYFUNCTION("""COMPUTED_VALUE"""),"")</f>
        <v/>
      </c>
      <c r="B13339" s="87"/>
      <c r="C13339" s="87"/>
      <c r="D13339" s="87"/>
      <c r="E13339" s="87"/>
      <c r="F13339" s="87"/>
      <c r="G13339" s="87"/>
    </row>
    <row r="13340">
      <c r="A13340" s="86" t="str">
        <f>IFERROR(__xludf.DUMMYFUNCTION("""COMPUTED_VALUE"""),"")</f>
        <v/>
      </c>
      <c r="B13340" s="87"/>
      <c r="C13340" s="87"/>
      <c r="D13340" s="87"/>
      <c r="E13340" s="87"/>
      <c r="F13340" s="87"/>
      <c r="G13340" s="87"/>
    </row>
    <row r="13341">
      <c r="A13341" s="86" t="str">
        <f>IFERROR(__xludf.DUMMYFUNCTION("""COMPUTED_VALUE"""),"")</f>
        <v/>
      </c>
      <c r="B13341" s="87"/>
      <c r="C13341" s="87"/>
      <c r="D13341" s="87"/>
      <c r="E13341" s="87"/>
      <c r="F13341" s="87"/>
      <c r="G13341" s="87"/>
    </row>
    <row r="13342">
      <c r="A13342" s="86" t="str">
        <f>IFERROR(__xludf.DUMMYFUNCTION("""COMPUTED_VALUE"""),"")</f>
        <v/>
      </c>
      <c r="B13342" s="87"/>
      <c r="C13342" s="87"/>
      <c r="D13342" s="87"/>
      <c r="E13342" s="87"/>
      <c r="F13342" s="87"/>
      <c r="G13342" s="87"/>
    </row>
    <row r="13343">
      <c r="A13343" s="86" t="str">
        <f>IFERROR(__xludf.DUMMYFUNCTION("""COMPUTED_VALUE"""),"")</f>
        <v/>
      </c>
      <c r="B13343" s="87"/>
      <c r="C13343" s="87"/>
      <c r="D13343" s="87"/>
      <c r="E13343" s="87"/>
      <c r="F13343" s="87"/>
      <c r="G13343" s="87"/>
    </row>
    <row r="13344">
      <c r="A13344" s="86" t="str">
        <f>IFERROR(__xludf.DUMMYFUNCTION("""COMPUTED_VALUE"""),"")</f>
        <v/>
      </c>
      <c r="B13344" s="87"/>
      <c r="C13344" s="87"/>
      <c r="D13344" s="87"/>
      <c r="E13344" s="87"/>
      <c r="F13344" s="87"/>
      <c r="G13344" s="87"/>
    </row>
    <row r="13345">
      <c r="A13345" s="86" t="str">
        <f>IFERROR(__xludf.DUMMYFUNCTION("""COMPUTED_VALUE"""),"")</f>
        <v/>
      </c>
      <c r="B13345" s="87"/>
      <c r="C13345" s="87"/>
      <c r="D13345" s="87"/>
      <c r="E13345" s="87"/>
      <c r="F13345" s="87"/>
      <c r="G13345" s="87"/>
    </row>
    <row r="13346">
      <c r="A13346" s="86" t="str">
        <f>IFERROR(__xludf.DUMMYFUNCTION("""COMPUTED_VALUE"""),"")</f>
        <v/>
      </c>
      <c r="B13346" s="87"/>
      <c r="C13346" s="87"/>
      <c r="D13346" s="87"/>
      <c r="E13346" s="87"/>
      <c r="F13346" s="87"/>
      <c r="G13346" s="87"/>
    </row>
    <row r="13347">
      <c r="A13347" s="86" t="str">
        <f>IFERROR(__xludf.DUMMYFUNCTION("""COMPUTED_VALUE"""),"")</f>
        <v/>
      </c>
      <c r="B13347" s="87"/>
      <c r="C13347" s="87"/>
      <c r="D13347" s="87"/>
      <c r="E13347" s="87"/>
      <c r="F13347" s="87"/>
      <c r="G13347" s="87"/>
    </row>
    <row r="13348">
      <c r="A13348" s="86" t="str">
        <f>IFERROR(__xludf.DUMMYFUNCTION("""COMPUTED_VALUE"""),"")</f>
        <v/>
      </c>
      <c r="B13348" s="87"/>
      <c r="C13348" s="87"/>
      <c r="D13348" s="87"/>
      <c r="E13348" s="87"/>
      <c r="F13348" s="87"/>
      <c r="G13348" s="87"/>
    </row>
    <row r="13349">
      <c r="A13349" s="86" t="str">
        <f>IFERROR(__xludf.DUMMYFUNCTION("""COMPUTED_VALUE"""),"")</f>
        <v/>
      </c>
      <c r="B13349" s="87"/>
      <c r="C13349" s="87"/>
      <c r="D13349" s="87"/>
      <c r="E13349" s="87"/>
      <c r="F13349" s="87"/>
      <c r="G13349" s="87"/>
    </row>
    <row r="13350">
      <c r="A13350" s="86" t="str">
        <f>IFERROR(__xludf.DUMMYFUNCTION("""COMPUTED_VALUE"""),"")</f>
        <v/>
      </c>
      <c r="B13350" s="87"/>
      <c r="C13350" s="87"/>
      <c r="D13350" s="87"/>
      <c r="E13350" s="87"/>
      <c r="F13350" s="87"/>
      <c r="G13350" s="87"/>
    </row>
    <row r="13351">
      <c r="A13351" s="86" t="str">
        <f>IFERROR(__xludf.DUMMYFUNCTION("""COMPUTED_VALUE"""),"")</f>
        <v/>
      </c>
      <c r="B13351" s="87"/>
      <c r="C13351" s="87"/>
      <c r="D13351" s="87"/>
      <c r="E13351" s="87"/>
      <c r="F13351" s="87"/>
      <c r="G13351" s="87"/>
    </row>
    <row r="13352">
      <c r="A13352" s="86" t="str">
        <f>IFERROR(__xludf.DUMMYFUNCTION("""COMPUTED_VALUE"""),"")</f>
        <v/>
      </c>
      <c r="B13352" s="87"/>
      <c r="C13352" s="87"/>
      <c r="D13352" s="87"/>
      <c r="E13352" s="87"/>
      <c r="F13352" s="87"/>
      <c r="G13352" s="87"/>
    </row>
    <row r="13353">
      <c r="A13353" s="86" t="str">
        <f>IFERROR(__xludf.DUMMYFUNCTION("""COMPUTED_VALUE"""),"")</f>
        <v/>
      </c>
      <c r="B13353" s="87"/>
      <c r="C13353" s="87"/>
      <c r="D13353" s="87"/>
      <c r="E13353" s="87"/>
      <c r="F13353" s="87"/>
      <c r="G13353" s="87"/>
    </row>
    <row r="13354">
      <c r="A13354" s="86" t="str">
        <f>IFERROR(__xludf.DUMMYFUNCTION("""COMPUTED_VALUE"""),"")</f>
        <v/>
      </c>
      <c r="B13354" s="87"/>
      <c r="C13354" s="87"/>
      <c r="D13354" s="87"/>
      <c r="E13354" s="87"/>
      <c r="F13354" s="87"/>
      <c r="G13354" s="87"/>
    </row>
    <row r="13355">
      <c r="A13355" s="86" t="str">
        <f>IFERROR(__xludf.DUMMYFUNCTION("""COMPUTED_VALUE"""),"")</f>
        <v/>
      </c>
      <c r="B13355" s="87"/>
      <c r="C13355" s="87"/>
      <c r="D13355" s="87"/>
      <c r="E13355" s="87"/>
      <c r="F13355" s="87"/>
      <c r="G13355" s="87"/>
    </row>
    <row r="13356">
      <c r="A13356" s="86" t="str">
        <f>IFERROR(__xludf.DUMMYFUNCTION("""COMPUTED_VALUE"""),"")</f>
        <v/>
      </c>
      <c r="B13356" s="87"/>
      <c r="C13356" s="87"/>
      <c r="D13356" s="87"/>
      <c r="E13356" s="87"/>
      <c r="F13356" s="87"/>
      <c r="G13356" s="87"/>
    </row>
    <row r="13357">
      <c r="A13357" s="86" t="str">
        <f>IFERROR(__xludf.DUMMYFUNCTION("""COMPUTED_VALUE"""),"")</f>
        <v/>
      </c>
      <c r="B13357" s="87"/>
      <c r="C13357" s="87"/>
      <c r="D13357" s="87"/>
      <c r="E13357" s="87"/>
      <c r="F13357" s="87"/>
      <c r="G13357" s="87"/>
    </row>
    <row r="13358">
      <c r="A13358" s="86" t="str">
        <f>IFERROR(__xludf.DUMMYFUNCTION("""COMPUTED_VALUE"""),"")</f>
        <v/>
      </c>
      <c r="B13358" s="87"/>
      <c r="C13358" s="87"/>
      <c r="D13358" s="87"/>
      <c r="E13358" s="87"/>
      <c r="F13358" s="87"/>
      <c r="G13358" s="87"/>
    </row>
    <row r="13359">
      <c r="A13359" s="86" t="str">
        <f>IFERROR(__xludf.DUMMYFUNCTION("""COMPUTED_VALUE"""),"")</f>
        <v/>
      </c>
      <c r="B13359" s="87"/>
      <c r="C13359" s="87"/>
      <c r="D13359" s="87"/>
      <c r="E13359" s="87"/>
      <c r="F13359" s="87"/>
      <c r="G13359" s="87"/>
    </row>
    <row r="13360">
      <c r="A13360" s="86" t="str">
        <f>IFERROR(__xludf.DUMMYFUNCTION("""COMPUTED_VALUE"""),"")</f>
        <v/>
      </c>
      <c r="B13360" s="87"/>
      <c r="C13360" s="87"/>
      <c r="D13360" s="87"/>
      <c r="E13360" s="87"/>
      <c r="F13360" s="87"/>
      <c r="G13360" s="87"/>
    </row>
    <row r="13361">
      <c r="A13361" s="86" t="str">
        <f>IFERROR(__xludf.DUMMYFUNCTION("""COMPUTED_VALUE"""),"")</f>
        <v/>
      </c>
      <c r="B13361" s="87"/>
      <c r="C13361" s="87"/>
      <c r="D13361" s="87"/>
      <c r="E13361" s="87"/>
      <c r="F13361" s="87"/>
      <c r="G13361" s="87"/>
    </row>
    <row r="13362">
      <c r="A13362" s="86" t="str">
        <f>IFERROR(__xludf.DUMMYFUNCTION("""COMPUTED_VALUE"""),"")</f>
        <v/>
      </c>
      <c r="B13362" s="87"/>
      <c r="C13362" s="87"/>
      <c r="D13362" s="87"/>
      <c r="E13362" s="87"/>
      <c r="F13362" s="87"/>
      <c r="G13362" s="87"/>
    </row>
    <row r="13363">
      <c r="A13363" s="86" t="str">
        <f>IFERROR(__xludf.DUMMYFUNCTION("""COMPUTED_VALUE"""),"")</f>
        <v/>
      </c>
      <c r="B13363" s="87"/>
      <c r="C13363" s="87"/>
      <c r="D13363" s="87"/>
      <c r="E13363" s="87"/>
      <c r="F13363" s="87"/>
      <c r="G13363" s="87"/>
    </row>
    <row r="13364">
      <c r="A13364" s="86" t="str">
        <f>IFERROR(__xludf.DUMMYFUNCTION("""COMPUTED_VALUE"""),"")</f>
        <v/>
      </c>
      <c r="B13364" s="87"/>
      <c r="C13364" s="87"/>
      <c r="D13364" s="87"/>
      <c r="E13364" s="87"/>
      <c r="F13364" s="87"/>
      <c r="G13364" s="87"/>
    </row>
    <row r="13365">
      <c r="A13365" s="86" t="str">
        <f>IFERROR(__xludf.DUMMYFUNCTION("""COMPUTED_VALUE"""),"")</f>
        <v/>
      </c>
      <c r="B13365" s="87"/>
      <c r="C13365" s="87"/>
      <c r="D13365" s="87"/>
      <c r="E13365" s="87"/>
      <c r="F13365" s="87"/>
      <c r="G13365" s="87"/>
    </row>
    <row r="13366">
      <c r="A13366" s="86" t="str">
        <f>IFERROR(__xludf.DUMMYFUNCTION("""COMPUTED_VALUE"""),"")</f>
        <v/>
      </c>
      <c r="B13366" s="87"/>
      <c r="C13366" s="87"/>
      <c r="D13366" s="87"/>
      <c r="E13366" s="87"/>
      <c r="F13366" s="87"/>
      <c r="G13366" s="87"/>
    </row>
    <row r="13367">
      <c r="A13367" s="86" t="str">
        <f>IFERROR(__xludf.DUMMYFUNCTION("""COMPUTED_VALUE"""),"")</f>
        <v/>
      </c>
      <c r="B13367" s="87"/>
      <c r="C13367" s="87"/>
      <c r="D13367" s="87"/>
      <c r="E13367" s="87"/>
      <c r="F13367" s="87"/>
      <c r="G13367" s="87"/>
    </row>
    <row r="13368">
      <c r="A13368" s="86" t="str">
        <f>IFERROR(__xludf.DUMMYFUNCTION("""COMPUTED_VALUE"""),"")</f>
        <v/>
      </c>
      <c r="B13368" s="87"/>
      <c r="C13368" s="87"/>
      <c r="D13368" s="87"/>
      <c r="E13368" s="87"/>
      <c r="F13368" s="87"/>
      <c r="G13368" s="87"/>
    </row>
    <row r="13369">
      <c r="A13369" s="86" t="str">
        <f>IFERROR(__xludf.DUMMYFUNCTION("""COMPUTED_VALUE"""),"")</f>
        <v/>
      </c>
      <c r="B13369" s="87"/>
      <c r="C13369" s="87"/>
      <c r="D13369" s="87"/>
      <c r="E13369" s="87"/>
      <c r="F13369" s="87"/>
      <c r="G13369" s="87"/>
    </row>
    <row r="13370">
      <c r="A13370" s="86" t="str">
        <f>IFERROR(__xludf.DUMMYFUNCTION("""COMPUTED_VALUE"""),"")</f>
        <v/>
      </c>
      <c r="B13370" s="87"/>
      <c r="C13370" s="87"/>
      <c r="D13370" s="87"/>
      <c r="E13370" s="87"/>
      <c r="F13370" s="87"/>
      <c r="G13370" s="87"/>
    </row>
    <row r="13371">
      <c r="A13371" s="86" t="str">
        <f>IFERROR(__xludf.DUMMYFUNCTION("""COMPUTED_VALUE"""),"")</f>
        <v/>
      </c>
      <c r="B13371" s="87"/>
      <c r="C13371" s="87"/>
      <c r="D13371" s="87"/>
      <c r="E13371" s="87"/>
      <c r="F13371" s="87"/>
      <c r="G13371" s="87"/>
    </row>
    <row r="13372">
      <c r="A13372" s="86" t="str">
        <f>IFERROR(__xludf.DUMMYFUNCTION("""COMPUTED_VALUE"""),"")</f>
        <v/>
      </c>
      <c r="B13372" s="87"/>
      <c r="C13372" s="87"/>
      <c r="D13372" s="87"/>
      <c r="E13372" s="87"/>
      <c r="F13372" s="87"/>
      <c r="G13372" s="87"/>
    </row>
    <row r="13373">
      <c r="A13373" s="86" t="str">
        <f>IFERROR(__xludf.DUMMYFUNCTION("""COMPUTED_VALUE"""),"")</f>
        <v/>
      </c>
      <c r="B13373" s="87"/>
      <c r="C13373" s="87"/>
      <c r="D13373" s="87"/>
      <c r="E13373" s="87"/>
      <c r="F13373" s="87"/>
      <c r="G13373" s="87"/>
    </row>
    <row r="13374">
      <c r="A13374" s="86" t="str">
        <f>IFERROR(__xludf.DUMMYFUNCTION("""COMPUTED_VALUE"""),"")</f>
        <v/>
      </c>
      <c r="B13374" s="87"/>
      <c r="C13374" s="87"/>
      <c r="D13374" s="87"/>
      <c r="E13374" s="87"/>
      <c r="F13374" s="87"/>
      <c r="G13374" s="87"/>
    </row>
    <row r="13375">
      <c r="A13375" s="86" t="str">
        <f>IFERROR(__xludf.DUMMYFUNCTION("""COMPUTED_VALUE"""),"")</f>
        <v/>
      </c>
      <c r="B13375" s="87"/>
      <c r="C13375" s="87"/>
      <c r="D13375" s="87"/>
      <c r="E13375" s="87"/>
      <c r="F13375" s="87"/>
      <c r="G13375" s="87"/>
    </row>
    <row r="13376">
      <c r="A13376" s="86" t="str">
        <f>IFERROR(__xludf.DUMMYFUNCTION("""COMPUTED_VALUE"""),"")</f>
        <v/>
      </c>
      <c r="B13376" s="87"/>
      <c r="C13376" s="87"/>
      <c r="D13376" s="87"/>
      <c r="E13376" s="87"/>
      <c r="F13376" s="87"/>
      <c r="G13376" s="87"/>
    </row>
    <row r="13377">
      <c r="A13377" s="86" t="str">
        <f>IFERROR(__xludf.DUMMYFUNCTION("""COMPUTED_VALUE"""),"")</f>
        <v/>
      </c>
      <c r="B13377" s="87"/>
      <c r="C13377" s="87"/>
      <c r="D13377" s="87"/>
      <c r="E13377" s="87"/>
      <c r="F13377" s="87"/>
      <c r="G13377" s="87"/>
    </row>
    <row r="13378">
      <c r="A13378" s="86" t="str">
        <f>IFERROR(__xludf.DUMMYFUNCTION("""COMPUTED_VALUE"""),"")</f>
        <v/>
      </c>
      <c r="B13378" s="87"/>
      <c r="C13378" s="87"/>
      <c r="D13378" s="87"/>
      <c r="E13378" s="87"/>
      <c r="F13378" s="87"/>
      <c r="G13378" s="87"/>
    </row>
    <row r="13379">
      <c r="A13379" s="86" t="str">
        <f>IFERROR(__xludf.DUMMYFUNCTION("""COMPUTED_VALUE"""),"")</f>
        <v/>
      </c>
      <c r="B13379" s="87"/>
      <c r="C13379" s="87"/>
      <c r="D13379" s="87"/>
      <c r="E13379" s="87"/>
      <c r="F13379" s="87"/>
      <c r="G13379" s="87"/>
    </row>
    <row r="13380">
      <c r="A13380" s="86" t="str">
        <f>IFERROR(__xludf.DUMMYFUNCTION("""COMPUTED_VALUE"""),"")</f>
        <v/>
      </c>
      <c r="B13380" s="87"/>
      <c r="C13380" s="87"/>
      <c r="D13380" s="87"/>
      <c r="E13380" s="87"/>
      <c r="F13380" s="87"/>
      <c r="G13380" s="87"/>
    </row>
    <row r="13381">
      <c r="A13381" s="86" t="str">
        <f>IFERROR(__xludf.DUMMYFUNCTION("""COMPUTED_VALUE"""),"")</f>
        <v/>
      </c>
      <c r="B13381" s="87"/>
      <c r="C13381" s="87"/>
      <c r="D13381" s="87"/>
      <c r="E13381" s="87"/>
      <c r="F13381" s="87"/>
      <c r="G13381" s="87"/>
    </row>
    <row r="13382">
      <c r="A13382" s="86" t="str">
        <f>IFERROR(__xludf.DUMMYFUNCTION("""COMPUTED_VALUE"""),"")</f>
        <v/>
      </c>
      <c r="B13382" s="87"/>
      <c r="C13382" s="87"/>
      <c r="D13382" s="87"/>
      <c r="E13382" s="87"/>
      <c r="F13382" s="87"/>
      <c r="G13382" s="87"/>
    </row>
    <row r="13383">
      <c r="A13383" s="86" t="str">
        <f>IFERROR(__xludf.DUMMYFUNCTION("""COMPUTED_VALUE"""),"")</f>
        <v/>
      </c>
      <c r="B13383" s="87"/>
      <c r="C13383" s="87"/>
      <c r="D13383" s="87"/>
      <c r="E13383" s="87"/>
      <c r="F13383" s="87"/>
      <c r="G13383" s="87"/>
    </row>
    <row r="13384">
      <c r="A13384" s="86" t="str">
        <f>IFERROR(__xludf.DUMMYFUNCTION("""COMPUTED_VALUE"""),"")</f>
        <v/>
      </c>
      <c r="B13384" s="87"/>
      <c r="C13384" s="87"/>
      <c r="D13384" s="87"/>
      <c r="E13384" s="87"/>
      <c r="F13384" s="87"/>
      <c r="G13384" s="87"/>
    </row>
    <row r="13385">
      <c r="A13385" s="86" t="str">
        <f>IFERROR(__xludf.DUMMYFUNCTION("""COMPUTED_VALUE"""),"")</f>
        <v/>
      </c>
      <c r="B13385" s="87"/>
      <c r="C13385" s="87"/>
      <c r="D13385" s="87"/>
      <c r="E13385" s="87"/>
      <c r="F13385" s="87"/>
      <c r="G13385" s="87"/>
    </row>
    <row r="13386">
      <c r="A13386" s="86" t="str">
        <f>IFERROR(__xludf.DUMMYFUNCTION("""COMPUTED_VALUE"""),"")</f>
        <v/>
      </c>
      <c r="B13386" s="87"/>
      <c r="C13386" s="87"/>
      <c r="D13386" s="87"/>
      <c r="E13386" s="87"/>
      <c r="F13386" s="87"/>
      <c r="G13386" s="87"/>
    </row>
    <row r="13387">
      <c r="A13387" s="86" t="str">
        <f>IFERROR(__xludf.DUMMYFUNCTION("""COMPUTED_VALUE"""),"")</f>
        <v/>
      </c>
      <c r="B13387" s="87"/>
      <c r="C13387" s="87"/>
      <c r="D13387" s="87"/>
      <c r="E13387" s="87"/>
      <c r="F13387" s="87"/>
      <c r="G13387" s="87"/>
    </row>
    <row r="13388">
      <c r="A13388" s="86" t="str">
        <f>IFERROR(__xludf.DUMMYFUNCTION("""COMPUTED_VALUE"""),"")</f>
        <v/>
      </c>
      <c r="B13388" s="87"/>
      <c r="C13388" s="87"/>
      <c r="D13388" s="87"/>
      <c r="E13388" s="87"/>
      <c r="F13388" s="87"/>
      <c r="G13388" s="87"/>
    </row>
    <row r="13389">
      <c r="A13389" s="86" t="str">
        <f>IFERROR(__xludf.DUMMYFUNCTION("""COMPUTED_VALUE"""),"")</f>
        <v/>
      </c>
      <c r="B13389" s="87"/>
      <c r="C13389" s="87"/>
      <c r="D13389" s="87"/>
      <c r="E13389" s="87"/>
      <c r="F13389" s="87"/>
      <c r="G13389" s="87"/>
    </row>
    <row r="13390">
      <c r="A13390" s="86" t="str">
        <f>IFERROR(__xludf.DUMMYFUNCTION("""COMPUTED_VALUE"""),"")</f>
        <v/>
      </c>
      <c r="B13390" s="87"/>
      <c r="C13390" s="87"/>
      <c r="D13390" s="87"/>
      <c r="E13390" s="87"/>
      <c r="F13390" s="87"/>
      <c r="G13390" s="87"/>
    </row>
    <row r="13391">
      <c r="A13391" s="86" t="str">
        <f>IFERROR(__xludf.DUMMYFUNCTION("""COMPUTED_VALUE"""),"")</f>
        <v/>
      </c>
      <c r="B13391" s="87"/>
      <c r="C13391" s="87"/>
      <c r="D13391" s="87"/>
      <c r="E13391" s="87"/>
      <c r="F13391" s="87"/>
      <c r="G13391" s="87"/>
    </row>
    <row r="13392">
      <c r="A13392" s="86" t="str">
        <f>IFERROR(__xludf.DUMMYFUNCTION("""COMPUTED_VALUE"""),"")</f>
        <v/>
      </c>
      <c r="B13392" s="87"/>
      <c r="C13392" s="87"/>
      <c r="D13392" s="87"/>
      <c r="E13392" s="87"/>
      <c r="F13392" s="87"/>
      <c r="G13392" s="87"/>
    </row>
    <row r="13393">
      <c r="A13393" s="86" t="str">
        <f>IFERROR(__xludf.DUMMYFUNCTION("""COMPUTED_VALUE"""),"")</f>
        <v/>
      </c>
      <c r="B13393" s="87"/>
      <c r="C13393" s="87"/>
      <c r="D13393" s="87"/>
      <c r="E13393" s="87"/>
      <c r="F13393" s="87"/>
      <c r="G13393" s="87"/>
    </row>
    <row r="13394">
      <c r="A13394" s="86" t="str">
        <f>IFERROR(__xludf.DUMMYFUNCTION("""COMPUTED_VALUE"""),"")</f>
        <v/>
      </c>
      <c r="B13394" s="87"/>
      <c r="C13394" s="87"/>
      <c r="D13394" s="87"/>
      <c r="E13394" s="87"/>
      <c r="F13394" s="87"/>
      <c r="G13394" s="87"/>
    </row>
    <row r="13395">
      <c r="A13395" s="86" t="str">
        <f>IFERROR(__xludf.DUMMYFUNCTION("""COMPUTED_VALUE"""),"")</f>
        <v/>
      </c>
      <c r="B13395" s="87"/>
      <c r="C13395" s="87"/>
      <c r="D13395" s="87"/>
      <c r="E13395" s="87"/>
      <c r="F13395" s="87"/>
      <c r="G13395" s="87"/>
    </row>
    <row r="13396">
      <c r="A13396" s="86" t="str">
        <f>IFERROR(__xludf.DUMMYFUNCTION("""COMPUTED_VALUE"""),"")</f>
        <v/>
      </c>
      <c r="B13396" s="87"/>
      <c r="C13396" s="87"/>
      <c r="D13396" s="87"/>
      <c r="E13396" s="87"/>
      <c r="F13396" s="87"/>
      <c r="G13396" s="87"/>
    </row>
    <row r="13397">
      <c r="A13397" s="86" t="str">
        <f>IFERROR(__xludf.DUMMYFUNCTION("""COMPUTED_VALUE"""),"")</f>
        <v/>
      </c>
      <c r="B13397" s="87"/>
      <c r="C13397" s="87"/>
      <c r="D13397" s="87"/>
      <c r="E13397" s="87"/>
      <c r="F13397" s="87"/>
      <c r="G13397" s="87"/>
    </row>
    <row r="13398">
      <c r="A13398" s="86" t="str">
        <f>IFERROR(__xludf.DUMMYFUNCTION("""COMPUTED_VALUE"""),"")</f>
        <v/>
      </c>
      <c r="B13398" s="87"/>
      <c r="C13398" s="87"/>
      <c r="D13398" s="87"/>
      <c r="E13398" s="87"/>
      <c r="F13398" s="87"/>
      <c r="G13398" s="87"/>
    </row>
    <row r="13399">
      <c r="A13399" s="86" t="str">
        <f>IFERROR(__xludf.DUMMYFUNCTION("""COMPUTED_VALUE"""),"")</f>
        <v/>
      </c>
      <c r="B13399" s="87"/>
      <c r="C13399" s="87"/>
      <c r="D13399" s="87"/>
      <c r="E13399" s="87"/>
      <c r="F13399" s="87"/>
      <c r="G13399" s="87"/>
    </row>
    <row r="13400">
      <c r="A13400" s="86" t="str">
        <f>IFERROR(__xludf.DUMMYFUNCTION("""COMPUTED_VALUE"""),"")</f>
        <v/>
      </c>
      <c r="B13400" s="87"/>
      <c r="C13400" s="87"/>
      <c r="D13400" s="87"/>
      <c r="E13400" s="87"/>
      <c r="F13400" s="87"/>
      <c r="G13400" s="87"/>
    </row>
    <row r="13401">
      <c r="A13401" s="86" t="str">
        <f>IFERROR(__xludf.DUMMYFUNCTION("""COMPUTED_VALUE"""),"")</f>
        <v/>
      </c>
      <c r="B13401" s="87"/>
      <c r="C13401" s="87"/>
      <c r="D13401" s="87"/>
      <c r="E13401" s="87"/>
      <c r="F13401" s="87"/>
      <c r="G13401" s="87"/>
    </row>
    <row r="13402">
      <c r="A13402" s="86" t="str">
        <f>IFERROR(__xludf.DUMMYFUNCTION("""COMPUTED_VALUE"""),"")</f>
        <v/>
      </c>
      <c r="B13402" s="87"/>
      <c r="C13402" s="87"/>
      <c r="D13402" s="87"/>
      <c r="E13402" s="87"/>
      <c r="F13402" s="87"/>
      <c r="G13402" s="87"/>
    </row>
    <row r="13403">
      <c r="A13403" s="86" t="str">
        <f>IFERROR(__xludf.DUMMYFUNCTION("""COMPUTED_VALUE"""),"")</f>
        <v/>
      </c>
      <c r="B13403" s="87"/>
      <c r="C13403" s="87"/>
      <c r="D13403" s="87"/>
      <c r="E13403" s="87"/>
      <c r="F13403" s="87"/>
      <c r="G13403" s="87"/>
    </row>
    <row r="13404">
      <c r="A13404" s="86" t="str">
        <f>IFERROR(__xludf.DUMMYFUNCTION("""COMPUTED_VALUE"""),"")</f>
        <v/>
      </c>
      <c r="B13404" s="87"/>
      <c r="C13404" s="87"/>
      <c r="D13404" s="87"/>
      <c r="E13404" s="87"/>
      <c r="F13404" s="87"/>
      <c r="G13404" s="87"/>
    </row>
    <row r="13405">
      <c r="A13405" s="86" t="str">
        <f>IFERROR(__xludf.DUMMYFUNCTION("""COMPUTED_VALUE"""),"")</f>
        <v/>
      </c>
      <c r="B13405" s="87"/>
      <c r="C13405" s="87"/>
      <c r="D13405" s="87"/>
      <c r="E13405" s="87"/>
      <c r="F13405" s="87"/>
      <c r="G13405" s="87"/>
    </row>
    <row r="13406">
      <c r="A13406" s="86" t="str">
        <f>IFERROR(__xludf.DUMMYFUNCTION("""COMPUTED_VALUE"""),"")</f>
        <v/>
      </c>
      <c r="B13406" s="87"/>
      <c r="C13406" s="87"/>
      <c r="D13406" s="87"/>
      <c r="E13406" s="87"/>
      <c r="F13406" s="87"/>
      <c r="G13406" s="87"/>
    </row>
    <row r="13407">
      <c r="A13407" s="86" t="str">
        <f>IFERROR(__xludf.DUMMYFUNCTION("""COMPUTED_VALUE"""),"")</f>
        <v/>
      </c>
      <c r="B13407" s="87"/>
      <c r="C13407" s="87"/>
      <c r="D13407" s="87"/>
      <c r="E13407" s="87"/>
      <c r="F13407" s="87"/>
      <c r="G13407" s="87"/>
    </row>
    <row r="13408">
      <c r="A13408" s="86" t="str">
        <f>IFERROR(__xludf.DUMMYFUNCTION("""COMPUTED_VALUE"""),"")</f>
        <v/>
      </c>
      <c r="B13408" s="87"/>
      <c r="C13408" s="87"/>
      <c r="D13408" s="87"/>
      <c r="E13408" s="87"/>
      <c r="F13408" s="87"/>
      <c r="G13408" s="87"/>
    </row>
    <row r="13409">
      <c r="A13409" s="86" t="str">
        <f>IFERROR(__xludf.DUMMYFUNCTION("""COMPUTED_VALUE"""),"")</f>
        <v/>
      </c>
      <c r="B13409" s="87"/>
      <c r="C13409" s="87"/>
      <c r="D13409" s="87"/>
      <c r="E13409" s="87"/>
      <c r="F13409" s="87"/>
      <c r="G13409" s="87"/>
    </row>
    <row r="13410">
      <c r="A13410" s="86" t="str">
        <f>IFERROR(__xludf.DUMMYFUNCTION("""COMPUTED_VALUE"""),"")</f>
        <v/>
      </c>
      <c r="B13410" s="87"/>
      <c r="C13410" s="87"/>
      <c r="D13410" s="87"/>
      <c r="E13410" s="87"/>
      <c r="F13410" s="87"/>
      <c r="G13410" s="87"/>
    </row>
    <row r="13411">
      <c r="A13411" s="86" t="str">
        <f>IFERROR(__xludf.DUMMYFUNCTION("""COMPUTED_VALUE"""),"")</f>
        <v/>
      </c>
      <c r="B13411" s="87"/>
      <c r="C13411" s="87"/>
      <c r="D13411" s="87"/>
      <c r="E13411" s="87"/>
      <c r="F13411" s="87"/>
      <c r="G13411" s="87"/>
    </row>
    <row r="13412">
      <c r="A13412" s="86" t="str">
        <f>IFERROR(__xludf.DUMMYFUNCTION("""COMPUTED_VALUE"""),"")</f>
        <v/>
      </c>
      <c r="B13412" s="87"/>
      <c r="C13412" s="87"/>
      <c r="D13412" s="87"/>
      <c r="E13412" s="87"/>
      <c r="F13412" s="87"/>
      <c r="G13412" s="87"/>
    </row>
    <row r="13413">
      <c r="A13413" s="86" t="str">
        <f>IFERROR(__xludf.DUMMYFUNCTION("""COMPUTED_VALUE"""),"")</f>
        <v/>
      </c>
      <c r="B13413" s="87"/>
      <c r="C13413" s="87"/>
      <c r="D13413" s="87"/>
      <c r="E13413" s="87"/>
      <c r="F13413" s="87"/>
      <c r="G13413" s="87"/>
    </row>
    <row r="13414">
      <c r="A13414" s="86" t="str">
        <f>IFERROR(__xludf.DUMMYFUNCTION("""COMPUTED_VALUE"""),"")</f>
        <v/>
      </c>
      <c r="B13414" s="87"/>
      <c r="C13414" s="87"/>
      <c r="D13414" s="87"/>
      <c r="E13414" s="87"/>
      <c r="F13414" s="87"/>
      <c r="G13414" s="87"/>
    </row>
    <row r="13415">
      <c r="A13415" s="86" t="str">
        <f>IFERROR(__xludf.DUMMYFUNCTION("""COMPUTED_VALUE"""),"")</f>
        <v/>
      </c>
      <c r="B13415" s="87"/>
      <c r="C13415" s="87"/>
      <c r="D13415" s="87"/>
      <c r="E13415" s="87"/>
      <c r="F13415" s="87"/>
      <c r="G13415" s="87"/>
    </row>
    <row r="13416">
      <c r="A13416" s="86" t="str">
        <f>IFERROR(__xludf.DUMMYFUNCTION("""COMPUTED_VALUE"""),"")</f>
        <v/>
      </c>
      <c r="B13416" s="87"/>
      <c r="C13416" s="87"/>
      <c r="D13416" s="87"/>
      <c r="E13416" s="87"/>
      <c r="F13416" s="87"/>
      <c r="G13416" s="87"/>
    </row>
    <row r="13417">
      <c r="A13417" s="86" t="str">
        <f>IFERROR(__xludf.DUMMYFUNCTION("""COMPUTED_VALUE"""),"")</f>
        <v/>
      </c>
      <c r="B13417" s="87"/>
      <c r="C13417" s="87"/>
      <c r="D13417" s="87"/>
      <c r="E13417" s="87"/>
      <c r="F13417" s="87"/>
      <c r="G13417" s="87"/>
    </row>
    <row r="13418">
      <c r="A13418" s="86" t="str">
        <f>IFERROR(__xludf.DUMMYFUNCTION("""COMPUTED_VALUE"""),"")</f>
        <v/>
      </c>
      <c r="B13418" s="87"/>
      <c r="C13418" s="87"/>
      <c r="D13418" s="87"/>
      <c r="E13418" s="87"/>
      <c r="F13418" s="87"/>
      <c r="G13418" s="87"/>
    </row>
    <row r="13419">
      <c r="A13419" s="86" t="str">
        <f>IFERROR(__xludf.DUMMYFUNCTION("""COMPUTED_VALUE"""),"")</f>
        <v/>
      </c>
      <c r="B13419" s="87"/>
      <c r="C13419" s="87"/>
      <c r="D13419" s="87"/>
      <c r="E13419" s="87"/>
      <c r="F13419" s="87"/>
      <c r="G13419" s="87"/>
    </row>
    <row r="13420">
      <c r="A13420" s="86" t="str">
        <f>IFERROR(__xludf.DUMMYFUNCTION("""COMPUTED_VALUE"""),"")</f>
        <v/>
      </c>
      <c r="B13420" s="87"/>
      <c r="C13420" s="87"/>
      <c r="D13420" s="87"/>
      <c r="E13420" s="87"/>
      <c r="F13420" s="87"/>
      <c r="G13420" s="87"/>
    </row>
    <row r="13421">
      <c r="A13421" s="86" t="str">
        <f>IFERROR(__xludf.DUMMYFUNCTION("""COMPUTED_VALUE"""),"")</f>
        <v/>
      </c>
      <c r="B13421" s="87"/>
      <c r="C13421" s="87"/>
      <c r="D13421" s="87"/>
      <c r="E13421" s="87"/>
      <c r="F13421" s="87"/>
      <c r="G13421" s="87"/>
    </row>
    <row r="13422">
      <c r="A13422" s="86" t="str">
        <f>IFERROR(__xludf.DUMMYFUNCTION("""COMPUTED_VALUE"""),"")</f>
        <v/>
      </c>
      <c r="B13422" s="87"/>
      <c r="C13422" s="87"/>
      <c r="D13422" s="87"/>
      <c r="E13422" s="87"/>
      <c r="F13422" s="87"/>
      <c r="G13422" s="87"/>
    </row>
    <row r="13423">
      <c r="A13423" s="86" t="str">
        <f>IFERROR(__xludf.DUMMYFUNCTION("""COMPUTED_VALUE"""),"")</f>
        <v/>
      </c>
      <c r="B13423" s="87"/>
      <c r="C13423" s="87"/>
      <c r="D13423" s="87"/>
      <c r="E13423" s="87"/>
      <c r="F13423" s="87"/>
      <c r="G13423" s="87"/>
    </row>
    <row r="13424">
      <c r="A13424" s="86" t="str">
        <f>IFERROR(__xludf.DUMMYFUNCTION("""COMPUTED_VALUE"""),"")</f>
        <v/>
      </c>
      <c r="B13424" s="87"/>
      <c r="C13424" s="87"/>
      <c r="D13424" s="87"/>
      <c r="E13424" s="87"/>
      <c r="F13424" s="87"/>
      <c r="G13424" s="87"/>
    </row>
    <row r="13425">
      <c r="A13425" s="86" t="str">
        <f>IFERROR(__xludf.DUMMYFUNCTION("""COMPUTED_VALUE"""),"")</f>
        <v/>
      </c>
      <c r="B13425" s="87"/>
      <c r="C13425" s="87"/>
      <c r="D13425" s="87"/>
      <c r="E13425" s="87"/>
      <c r="F13425" s="87"/>
      <c r="G13425" s="87"/>
    </row>
    <row r="13426">
      <c r="A13426" s="86" t="str">
        <f>IFERROR(__xludf.DUMMYFUNCTION("""COMPUTED_VALUE"""),"")</f>
        <v/>
      </c>
      <c r="B13426" s="87"/>
      <c r="C13426" s="87"/>
      <c r="D13426" s="87"/>
      <c r="E13426" s="87"/>
      <c r="F13426" s="87"/>
      <c r="G13426" s="87"/>
    </row>
    <row r="13427">
      <c r="A13427" s="86" t="str">
        <f>IFERROR(__xludf.DUMMYFUNCTION("""COMPUTED_VALUE"""),"")</f>
        <v/>
      </c>
      <c r="B13427" s="87"/>
      <c r="C13427" s="87"/>
      <c r="D13427" s="87"/>
      <c r="E13427" s="87"/>
      <c r="F13427" s="87"/>
      <c r="G13427" s="87"/>
    </row>
    <row r="13428">
      <c r="A13428" s="86" t="str">
        <f>IFERROR(__xludf.DUMMYFUNCTION("""COMPUTED_VALUE"""),"")</f>
        <v/>
      </c>
      <c r="B13428" s="87"/>
      <c r="C13428" s="87"/>
      <c r="D13428" s="87"/>
      <c r="E13428" s="87"/>
      <c r="F13428" s="87"/>
      <c r="G13428" s="87"/>
    </row>
    <row r="13429">
      <c r="A13429" s="86" t="str">
        <f>IFERROR(__xludf.DUMMYFUNCTION("""COMPUTED_VALUE"""),"")</f>
        <v/>
      </c>
      <c r="B13429" s="87"/>
      <c r="C13429" s="87"/>
      <c r="D13429" s="87"/>
      <c r="E13429" s="87"/>
      <c r="F13429" s="87"/>
      <c r="G13429" s="87"/>
    </row>
    <row r="13430">
      <c r="A13430" s="86" t="str">
        <f>IFERROR(__xludf.DUMMYFUNCTION("""COMPUTED_VALUE"""),"")</f>
        <v/>
      </c>
      <c r="B13430" s="87"/>
      <c r="C13430" s="87"/>
      <c r="D13430" s="87"/>
      <c r="E13430" s="87"/>
      <c r="F13430" s="87"/>
      <c r="G13430" s="87"/>
    </row>
    <row r="13431">
      <c r="A13431" s="86" t="str">
        <f>IFERROR(__xludf.DUMMYFUNCTION("""COMPUTED_VALUE"""),"")</f>
        <v/>
      </c>
      <c r="B13431" s="87"/>
      <c r="C13431" s="87"/>
      <c r="D13431" s="87"/>
      <c r="E13431" s="87"/>
      <c r="F13431" s="87"/>
      <c r="G13431" s="87"/>
    </row>
    <row r="13432">
      <c r="A13432" s="86" t="str">
        <f>IFERROR(__xludf.DUMMYFUNCTION("""COMPUTED_VALUE"""),"")</f>
        <v/>
      </c>
      <c r="B13432" s="87"/>
      <c r="C13432" s="87"/>
      <c r="D13432" s="87"/>
      <c r="E13432" s="87"/>
      <c r="F13432" s="87"/>
      <c r="G13432" s="87"/>
    </row>
    <row r="13433">
      <c r="A13433" s="86" t="str">
        <f>IFERROR(__xludf.DUMMYFUNCTION("""COMPUTED_VALUE"""),"")</f>
        <v/>
      </c>
      <c r="B13433" s="87"/>
      <c r="C13433" s="87"/>
      <c r="D13433" s="87"/>
      <c r="E13433" s="87"/>
      <c r="F13433" s="87"/>
      <c r="G13433" s="87"/>
    </row>
    <row r="13434">
      <c r="A13434" s="86" t="str">
        <f>IFERROR(__xludf.DUMMYFUNCTION("""COMPUTED_VALUE"""),"")</f>
        <v/>
      </c>
      <c r="B13434" s="87"/>
      <c r="C13434" s="87"/>
      <c r="D13434" s="87"/>
      <c r="E13434" s="87"/>
      <c r="F13434" s="87"/>
      <c r="G13434" s="87"/>
    </row>
    <row r="13435">
      <c r="A13435" s="86" t="str">
        <f>IFERROR(__xludf.DUMMYFUNCTION("""COMPUTED_VALUE"""),"")</f>
        <v/>
      </c>
      <c r="B13435" s="87"/>
      <c r="C13435" s="87"/>
      <c r="D13435" s="87"/>
      <c r="E13435" s="87"/>
      <c r="F13435" s="87"/>
      <c r="G13435" s="87"/>
    </row>
    <row r="13436">
      <c r="A13436" s="86" t="str">
        <f>IFERROR(__xludf.DUMMYFUNCTION("""COMPUTED_VALUE"""),"")</f>
        <v/>
      </c>
      <c r="B13436" s="87"/>
      <c r="C13436" s="87"/>
      <c r="D13436" s="87"/>
      <c r="E13436" s="87"/>
      <c r="F13436" s="87"/>
      <c r="G13436" s="87"/>
    </row>
    <row r="13437">
      <c r="A13437" s="86" t="str">
        <f>IFERROR(__xludf.DUMMYFUNCTION("""COMPUTED_VALUE"""),"")</f>
        <v/>
      </c>
      <c r="B13437" s="87"/>
      <c r="C13437" s="87"/>
      <c r="D13437" s="87"/>
      <c r="E13437" s="87"/>
      <c r="F13437" s="87"/>
      <c r="G13437" s="87"/>
    </row>
    <row r="13438">
      <c r="A13438" s="86" t="str">
        <f>IFERROR(__xludf.DUMMYFUNCTION("""COMPUTED_VALUE"""),"")</f>
        <v/>
      </c>
      <c r="B13438" s="87"/>
      <c r="C13438" s="87"/>
      <c r="D13438" s="87"/>
      <c r="E13438" s="87"/>
      <c r="F13438" s="87"/>
      <c r="G13438" s="87"/>
    </row>
    <row r="13439">
      <c r="A13439" s="86" t="str">
        <f>IFERROR(__xludf.DUMMYFUNCTION("""COMPUTED_VALUE"""),"")</f>
        <v/>
      </c>
      <c r="B13439" s="87"/>
      <c r="C13439" s="87"/>
      <c r="D13439" s="87"/>
      <c r="E13439" s="87"/>
      <c r="F13439" s="87"/>
      <c r="G13439" s="87"/>
    </row>
    <row r="13440">
      <c r="A13440" s="86" t="str">
        <f>IFERROR(__xludf.DUMMYFUNCTION("""COMPUTED_VALUE"""),"")</f>
        <v/>
      </c>
      <c r="B13440" s="87"/>
      <c r="C13440" s="87"/>
      <c r="D13440" s="87"/>
      <c r="E13440" s="87"/>
      <c r="F13440" s="87"/>
      <c r="G13440" s="87"/>
    </row>
    <row r="13441">
      <c r="A13441" s="86" t="str">
        <f>IFERROR(__xludf.DUMMYFUNCTION("""COMPUTED_VALUE"""),"")</f>
        <v/>
      </c>
      <c r="B13441" s="87"/>
      <c r="C13441" s="87"/>
      <c r="D13441" s="87"/>
      <c r="E13441" s="87"/>
      <c r="F13441" s="87"/>
      <c r="G13441" s="87"/>
    </row>
    <row r="13442">
      <c r="A13442" s="86" t="str">
        <f>IFERROR(__xludf.DUMMYFUNCTION("""COMPUTED_VALUE"""),"")</f>
        <v/>
      </c>
      <c r="B13442" s="87"/>
      <c r="C13442" s="87"/>
      <c r="D13442" s="87"/>
      <c r="E13442" s="87"/>
      <c r="F13442" s="87"/>
      <c r="G13442" s="87"/>
    </row>
    <row r="13443">
      <c r="A13443" s="86" t="str">
        <f>IFERROR(__xludf.DUMMYFUNCTION("""COMPUTED_VALUE"""),"")</f>
        <v/>
      </c>
      <c r="B13443" s="87"/>
      <c r="C13443" s="87"/>
      <c r="D13443" s="87"/>
      <c r="E13443" s="87"/>
      <c r="F13443" s="87"/>
      <c r="G13443" s="87"/>
    </row>
    <row r="13444">
      <c r="A13444" s="86" t="str">
        <f>IFERROR(__xludf.DUMMYFUNCTION("""COMPUTED_VALUE"""),"")</f>
        <v/>
      </c>
      <c r="B13444" s="87"/>
      <c r="C13444" s="87"/>
      <c r="D13444" s="87"/>
      <c r="E13444" s="87"/>
      <c r="F13444" s="87"/>
      <c r="G13444" s="87"/>
    </row>
    <row r="13445">
      <c r="A13445" s="86" t="str">
        <f>IFERROR(__xludf.DUMMYFUNCTION("""COMPUTED_VALUE"""),"")</f>
        <v/>
      </c>
      <c r="B13445" s="87"/>
      <c r="C13445" s="87"/>
      <c r="D13445" s="87"/>
      <c r="E13445" s="87"/>
      <c r="F13445" s="87"/>
      <c r="G13445" s="87"/>
    </row>
    <row r="13446">
      <c r="A13446" s="86" t="str">
        <f>IFERROR(__xludf.DUMMYFUNCTION("""COMPUTED_VALUE"""),"")</f>
        <v/>
      </c>
      <c r="B13446" s="87"/>
      <c r="C13446" s="87"/>
      <c r="D13446" s="87"/>
      <c r="E13446" s="87"/>
      <c r="F13446" s="87"/>
      <c r="G13446" s="87"/>
    </row>
    <row r="13447">
      <c r="A13447" s="86" t="str">
        <f>IFERROR(__xludf.DUMMYFUNCTION("""COMPUTED_VALUE"""),"")</f>
        <v/>
      </c>
      <c r="B13447" s="87"/>
      <c r="C13447" s="87"/>
      <c r="D13447" s="87"/>
      <c r="E13447" s="87"/>
      <c r="F13447" s="87"/>
      <c r="G13447" s="87"/>
    </row>
    <row r="13448">
      <c r="A13448" s="86" t="str">
        <f>IFERROR(__xludf.DUMMYFUNCTION("""COMPUTED_VALUE"""),"")</f>
        <v/>
      </c>
      <c r="B13448" s="87"/>
      <c r="C13448" s="87"/>
      <c r="D13448" s="87"/>
      <c r="E13448" s="87"/>
      <c r="F13448" s="87"/>
      <c r="G13448" s="87"/>
    </row>
    <row r="13449">
      <c r="A13449" s="86" t="str">
        <f>IFERROR(__xludf.DUMMYFUNCTION("""COMPUTED_VALUE"""),"")</f>
        <v/>
      </c>
      <c r="B13449" s="87"/>
      <c r="C13449" s="87"/>
      <c r="D13449" s="87"/>
      <c r="E13449" s="87"/>
      <c r="F13449" s="87"/>
      <c r="G13449" s="87"/>
    </row>
    <row r="13450">
      <c r="A13450" s="86" t="str">
        <f>IFERROR(__xludf.DUMMYFUNCTION("""COMPUTED_VALUE"""),"")</f>
        <v/>
      </c>
      <c r="B13450" s="87"/>
      <c r="C13450" s="87"/>
      <c r="D13450" s="87"/>
      <c r="E13450" s="87"/>
      <c r="F13450" s="87"/>
      <c r="G13450" s="87"/>
    </row>
    <row r="13451">
      <c r="A13451" s="86" t="str">
        <f>IFERROR(__xludf.DUMMYFUNCTION("""COMPUTED_VALUE"""),"")</f>
        <v/>
      </c>
      <c r="B13451" s="87"/>
      <c r="C13451" s="87"/>
      <c r="D13451" s="87"/>
      <c r="E13451" s="87"/>
      <c r="F13451" s="87"/>
      <c r="G13451" s="87"/>
    </row>
    <row r="13452">
      <c r="A13452" s="86" t="str">
        <f>IFERROR(__xludf.DUMMYFUNCTION("""COMPUTED_VALUE"""),"")</f>
        <v/>
      </c>
      <c r="B13452" s="87"/>
      <c r="C13452" s="87"/>
      <c r="D13452" s="87"/>
      <c r="E13452" s="87"/>
      <c r="F13452" s="87"/>
      <c r="G13452" s="87"/>
    </row>
    <row r="13453">
      <c r="A13453" s="86" t="str">
        <f>IFERROR(__xludf.DUMMYFUNCTION("""COMPUTED_VALUE"""),"")</f>
        <v/>
      </c>
      <c r="B13453" s="87"/>
      <c r="C13453" s="87"/>
      <c r="D13453" s="87"/>
      <c r="E13453" s="87"/>
      <c r="F13453" s="87"/>
      <c r="G13453" s="87"/>
    </row>
    <row r="13454">
      <c r="A13454" s="86" t="str">
        <f>IFERROR(__xludf.DUMMYFUNCTION("""COMPUTED_VALUE"""),"")</f>
        <v/>
      </c>
      <c r="B13454" s="87"/>
      <c r="C13454" s="87"/>
      <c r="D13454" s="87"/>
      <c r="E13454" s="87"/>
      <c r="F13454" s="87"/>
      <c r="G13454" s="87"/>
    </row>
    <row r="13455">
      <c r="A13455" s="86" t="str">
        <f>IFERROR(__xludf.DUMMYFUNCTION("""COMPUTED_VALUE"""),"")</f>
        <v/>
      </c>
      <c r="B13455" s="87"/>
      <c r="C13455" s="87"/>
      <c r="D13455" s="87"/>
      <c r="E13455" s="87"/>
      <c r="F13455" s="87"/>
      <c r="G13455" s="87"/>
    </row>
    <row r="13456">
      <c r="A13456" s="86" t="str">
        <f>IFERROR(__xludf.DUMMYFUNCTION("""COMPUTED_VALUE"""),"")</f>
        <v/>
      </c>
      <c r="B13456" s="87"/>
      <c r="C13456" s="87"/>
      <c r="D13456" s="87"/>
      <c r="E13456" s="87"/>
      <c r="F13456" s="87"/>
      <c r="G13456" s="87"/>
    </row>
    <row r="13457">
      <c r="A13457" s="86" t="str">
        <f>IFERROR(__xludf.DUMMYFUNCTION("""COMPUTED_VALUE"""),"")</f>
        <v/>
      </c>
      <c r="B13457" s="87"/>
      <c r="C13457" s="87"/>
      <c r="D13457" s="87"/>
      <c r="E13457" s="87"/>
      <c r="F13457" s="87"/>
      <c r="G13457" s="87"/>
    </row>
    <row r="13458">
      <c r="A13458" s="86" t="str">
        <f>IFERROR(__xludf.DUMMYFUNCTION("""COMPUTED_VALUE"""),"")</f>
        <v/>
      </c>
      <c r="B13458" s="87"/>
      <c r="C13458" s="87"/>
      <c r="D13458" s="87"/>
      <c r="E13458" s="87"/>
      <c r="F13458" s="87"/>
      <c r="G13458" s="87"/>
    </row>
    <row r="13459">
      <c r="A13459" s="86" t="str">
        <f>IFERROR(__xludf.DUMMYFUNCTION("""COMPUTED_VALUE"""),"")</f>
        <v/>
      </c>
      <c r="B13459" s="87"/>
      <c r="C13459" s="87"/>
      <c r="D13459" s="87"/>
      <c r="E13459" s="87"/>
      <c r="F13459" s="87"/>
      <c r="G13459" s="87"/>
    </row>
    <row r="13460">
      <c r="A13460" s="86" t="str">
        <f>IFERROR(__xludf.DUMMYFUNCTION("""COMPUTED_VALUE"""),"")</f>
        <v/>
      </c>
      <c r="B13460" s="87"/>
      <c r="C13460" s="87"/>
      <c r="D13460" s="87"/>
      <c r="E13460" s="87"/>
      <c r="F13460" s="87"/>
      <c r="G13460" s="87"/>
    </row>
    <row r="13461">
      <c r="A13461" s="86" t="str">
        <f>IFERROR(__xludf.DUMMYFUNCTION("""COMPUTED_VALUE"""),"")</f>
        <v/>
      </c>
      <c r="B13461" s="87"/>
      <c r="C13461" s="87"/>
      <c r="D13461" s="87"/>
      <c r="E13461" s="87"/>
      <c r="F13461" s="87"/>
      <c r="G13461" s="87"/>
    </row>
    <row r="13462">
      <c r="A13462" s="86" t="str">
        <f>IFERROR(__xludf.DUMMYFUNCTION("""COMPUTED_VALUE"""),"")</f>
        <v/>
      </c>
      <c r="B13462" s="87"/>
      <c r="C13462" s="87"/>
      <c r="D13462" s="87"/>
      <c r="E13462" s="87"/>
      <c r="F13462" s="87"/>
      <c r="G13462" s="87"/>
    </row>
    <row r="13463">
      <c r="A13463" s="86" t="str">
        <f>IFERROR(__xludf.DUMMYFUNCTION("""COMPUTED_VALUE"""),"")</f>
        <v/>
      </c>
      <c r="B13463" s="87"/>
      <c r="C13463" s="87"/>
      <c r="D13463" s="87"/>
      <c r="E13463" s="87"/>
      <c r="F13463" s="87"/>
      <c r="G13463" s="87"/>
    </row>
    <row r="13464">
      <c r="A13464" s="86" t="str">
        <f>IFERROR(__xludf.DUMMYFUNCTION("""COMPUTED_VALUE"""),"")</f>
        <v/>
      </c>
      <c r="B13464" s="87"/>
      <c r="C13464" s="87"/>
      <c r="D13464" s="87"/>
      <c r="E13464" s="87"/>
      <c r="F13464" s="87"/>
      <c r="G13464" s="87"/>
    </row>
    <row r="13465">
      <c r="A13465" s="86" t="str">
        <f>IFERROR(__xludf.DUMMYFUNCTION("""COMPUTED_VALUE"""),"")</f>
        <v/>
      </c>
      <c r="B13465" s="87"/>
      <c r="C13465" s="87"/>
      <c r="D13465" s="87"/>
      <c r="E13465" s="87"/>
      <c r="F13465" s="87"/>
      <c r="G13465" s="87"/>
    </row>
    <row r="13466">
      <c r="A13466" s="86" t="str">
        <f>IFERROR(__xludf.DUMMYFUNCTION("""COMPUTED_VALUE"""),"")</f>
        <v/>
      </c>
      <c r="B13466" s="87"/>
      <c r="C13466" s="87"/>
      <c r="D13466" s="87"/>
      <c r="E13466" s="87"/>
      <c r="F13466" s="87"/>
      <c r="G13466" s="87"/>
    </row>
    <row r="13467">
      <c r="A13467" s="86" t="str">
        <f>IFERROR(__xludf.DUMMYFUNCTION("""COMPUTED_VALUE"""),"")</f>
        <v/>
      </c>
      <c r="B13467" s="87"/>
      <c r="C13467" s="87"/>
      <c r="D13467" s="87"/>
      <c r="E13467" s="87"/>
      <c r="F13467" s="87"/>
      <c r="G13467" s="87"/>
    </row>
    <row r="13468">
      <c r="A13468" s="86" t="str">
        <f>IFERROR(__xludf.DUMMYFUNCTION("""COMPUTED_VALUE"""),"")</f>
        <v/>
      </c>
      <c r="B13468" s="87"/>
      <c r="C13468" s="87"/>
      <c r="D13468" s="87"/>
      <c r="E13468" s="87"/>
      <c r="F13468" s="87"/>
      <c r="G13468" s="87"/>
    </row>
    <row r="13469">
      <c r="A13469" s="86" t="str">
        <f>IFERROR(__xludf.DUMMYFUNCTION("""COMPUTED_VALUE"""),"")</f>
        <v/>
      </c>
      <c r="B13469" s="87"/>
      <c r="C13469" s="87"/>
      <c r="D13469" s="87"/>
      <c r="E13469" s="87"/>
      <c r="F13469" s="87"/>
      <c r="G13469" s="87"/>
    </row>
    <row r="13470">
      <c r="A13470" s="86" t="str">
        <f>IFERROR(__xludf.DUMMYFUNCTION("""COMPUTED_VALUE"""),"")</f>
        <v/>
      </c>
      <c r="B13470" s="87"/>
      <c r="C13470" s="87"/>
      <c r="D13470" s="87"/>
      <c r="E13470" s="87"/>
      <c r="F13470" s="87"/>
      <c r="G13470" s="87"/>
    </row>
    <row r="13471">
      <c r="A13471" s="86" t="str">
        <f>IFERROR(__xludf.DUMMYFUNCTION("""COMPUTED_VALUE"""),"")</f>
        <v/>
      </c>
      <c r="B13471" s="87"/>
      <c r="C13471" s="87"/>
      <c r="D13471" s="87"/>
      <c r="E13471" s="87"/>
      <c r="F13471" s="87"/>
      <c r="G13471" s="87"/>
    </row>
    <row r="13472">
      <c r="A13472" s="86" t="str">
        <f>IFERROR(__xludf.DUMMYFUNCTION("""COMPUTED_VALUE"""),"")</f>
        <v/>
      </c>
      <c r="B13472" s="87"/>
      <c r="C13472" s="87"/>
      <c r="D13472" s="87"/>
      <c r="E13472" s="87"/>
      <c r="F13472" s="87"/>
      <c r="G13472" s="87"/>
    </row>
    <row r="13473">
      <c r="A13473" s="86" t="str">
        <f>IFERROR(__xludf.DUMMYFUNCTION("""COMPUTED_VALUE"""),"")</f>
        <v/>
      </c>
      <c r="B13473" s="87"/>
      <c r="C13473" s="87"/>
      <c r="D13473" s="87"/>
      <c r="E13473" s="87"/>
      <c r="F13473" s="87"/>
      <c r="G13473" s="87"/>
    </row>
    <row r="13474">
      <c r="A13474" s="86" t="str">
        <f>IFERROR(__xludf.DUMMYFUNCTION("""COMPUTED_VALUE"""),"")</f>
        <v/>
      </c>
      <c r="B13474" s="87"/>
      <c r="C13474" s="87"/>
      <c r="D13474" s="87"/>
      <c r="E13474" s="87"/>
      <c r="F13474" s="87"/>
      <c r="G13474" s="87"/>
    </row>
    <row r="13475">
      <c r="A13475" s="86" t="str">
        <f>IFERROR(__xludf.DUMMYFUNCTION("""COMPUTED_VALUE"""),"")</f>
        <v/>
      </c>
      <c r="B13475" s="87"/>
      <c r="C13475" s="87"/>
      <c r="D13475" s="87"/>
      <c r="E13475" s="87"/>
      <c r="F13475" s="87"/>
      <c r="G13475" s="87"/>
    </row>
    <row r="13476">
      <c r="A13476" s="86" t="str">
        <f>IFERROR(__xludf.DUMMYFUNCTION("""COMPUTED_VALUE"""),"")</f>
        <v/>
      </c>
      <c r="B13476" s="87"/>
      <c r="C13476" s="87"/>
      <c r="D13476" s="87"/>
      <c r="E13476" s="87"/>
      <c r="F13476" s="87"/>
      <c r="G13476" s="87"/>
    </row>
    <row r="13477">
      <c r="A13477" s="86" t="str">
        <f>IFERROR(__xludf.DUMMYFUNCTION("""COMPUTED_VALUE"""),"")</f>
        <v/>
      </c>
      <c r="B13477" s="87"/>
      <c r="C13477" s="87"/>
      <c r="D13477" s="87"/>
      <c r="E13477" s="87"/>
      <c r="F13477" s="87"/>
      <c r="G13477" s="87"/>
    </row>
    <row r="13478">
      <c r="A13478" s="86" t="str">
        <f>IFERROR(__xludf.DUMMYFUNCTION("""COMPUTED_VALUE"""),"")</f>
        <v/>
      </c>
      <c r="B13478" s="87"/>
      <c r="C13478" s="87"/>
      <c r="D13478" s="87"/>
      <c r="E13478" s="87"/>
      <c r="F13478" s="87"/>
      <c r="G13478" s="87"/>
    </row>
    <row r="13479">
      <c r="A13479" s="86" t="str">
        <f>IFERROR(__xludf.DUMMYFUNCTION("""COMPUTED_VALUE"""),"")</f>
        <v/>
      </c>
      <c r="B13479" s="87"/>
      <c r="C13479" s="87"/>
      <c r="D13479" s="87"/>
      <c r="E13479" s="87"/>
      <c r="F13479" s="87"/>
      <c r="G13479" s="87"/>
    </row>
    <row r="13480">
      <c r="A13480" s="86" t="str">
        <f>IFERROR(__xludf.DUMMYFUNCTION("""COMPUTED_VALUE"""),"")</f>
        <v/>
      </c>
      <c r="B13480" s="87"/>
      <c r="C13480" s="87"/>
      <c r="D13480" s="87"/>
      <c r="E13480" s="87"/>
      <c r="F13480" s="87"/>
      <c r="G13480" s="87"/>
    </row>
    <row r="13481">
      <c r="A13481" s="86" t="str">
        <f>IFERROR(__xludf.DUMMYFUNCTION("""COMPUTED_VALUE"""),"")</f>
        <v/>
      </c>
      <c r="B13481" s="87"/>
      <c r="C13481" s="87"/>
      <c r="D13481" s="87"/>
      <c r="E13481" s="87"/>
      <c r="F13481" s="87"/>
      <c r="G13481" s="87"/>
    </row>
    <row r="13482">
      <c r="A13482" s="86" t="str">
        <f>IFERROR(__xludf.DUMMYFUNCTION("""COMPUTED_VALUE"""),"")</f>
        <v/>
      </c>
      <c r="B13482" s="87"/>
      <c r="C13482" s="87"/>
      <c r="D13482" s="87"/>
      <c r="E13482" s="87"/>
      <c r="F13482" s="87"/>
      <c r="G13482" s="87"/>
    </row>
    <row r="13483">
      <c r="A13483" s="86" t="str">
        <f>IFERROR(__xludf.DUMMYFUNCTION("""COMPUTED_VALUE"""),"")</f>
        <v/>
      </c>
      <c r="B13483" s="87"/>
      <c r="C13483" s="87"/>
      <c r="D13483" s="87"/>
      <c r="E13483" s="87"/>
      <c r="F13483" s="87"/>
      <c r="G13483" s="87"/>
    </row>
    <row r="13484">
      <c r="A13484" s="86" t="str">
        <f>IFERROR(__xludf.DUMMYFUNCTION("""COMPUTED_VALUE"""),"")</f>
        <v/>
      </c>
      <c r="B13484" s="87"/>
      <c r="C13484" s="87"/>
      <c r="D13484" s="87"/>
      <c r="E13484" s="87"/>
      <c r="F13484" s="87"/>
      <c r="G13484" s="87"/>
    </row>
    <row r="13485">
      <c r="A13485" s="86" t="str">
        <f>IFERROR(__xludf.DUMMYFUNCTION("""COMPUTED_VALUE"""),"")</f>
        <v/>
      </c>
      <c r="B13485" s="87"/>
      <c r="C13485" s="87"/>
      <c r="D13485" s="87"/>
      <c r="E13485" s="87"/>
      <c r="F13485" s="87"/>
      <c r="G13485" s="87"/>
    </row>
    <row r="13486">
      <c r="A13486" s="86" t="str">
        <f>IFERROR(__xludf.DUMMYFUNCTION("""COMPUTED_VALUE"""),"")</f>
        <v/>
      </c>
      <c r="B13486" s="87"/>
      <c r="C13486" s="87"/>
      <c r="D13486" s="87"/>
      <c r="E13486" s="87"/>
      <c r="F13486" s="87"/>
      <c r="G13486" s="87"/>
    </row>
    <row r="13487">
      <c r="A13487" s="86" t="str">
        <f>IFERROR(__xludf.DUMMYFUNCTION("""COMPUTED_VALUE"""),"")</f>
        <v/>
      </c>
      <c r="B13487" s="87"/>
      <c r="C13487" s="87"/>
      <c r="D13487" s="87"/>
      <c r="E13487" s="87"/>
      <c r="F13487" s="87"/>
      <c r="G13487" s="87"/>
    </row>
    <row r="13488">
      <c r="A13488" s="86" t="str">
        <f>IFERROR(__xludf.DUMMYFUNCTION("""COMPUTED_VALUE"""),"")</f>
        <v/>
      </c>
      <c r="B13488" s="87"/>
      <c r="C13488" s="87"/>
      <c r="D13488" s="87"/>
      <c r="E13488" s="87"/>
      <c r="F13488" s="87"/>
      <c r="G13488" s="87"/>
    </row>
    <row r="13489">
      <c r="A13489" s="86" t="str">
        <f>IFERROR(__xludf.DUMMYFUNCTION("""COMPUTED_VALUE"""),"")</f>
        <v/>
      </c>
      <c r="B13489" s="87"/>
      <c r="C13489" s="87"/>
      <c r="D13489" s="87"/>
      <c r="E13489" s="87"/>
      <c r="F13489" s="87"/>
      <c r="G13489" s="87"/>
    </row>
    <row r="13490">
      <c r="A13490" s="86" t="str">
        <f>IFERROR(__xludf.DUMMYFUNCTION("""COMPUTED_VALUE"""),"")</f>
        <v/>
      </c>
      <c r="B13490" s="87"/>
      <c r="C13490" s="87"/>
      <c r="D13490" s="87"/>
      <c r="E13490" s="87"/>
      <c r="F13490" s="87"/>
      <c r="G13490" s="87"/>
    </row>
    <row r="13491">
      <c r="A13491" s="86" t="str">
        <f>IFERROR(__xludf.DUMMYFUNCTION("""COMPUTED_VALUE"""),"")</f>
        <v/>
      </c>
      <c r="B13491" s="87"/>
      <c r="C13491" s="87"/>
      <c r="D13491" s="87"/>
      <c r="E13491" s="87"/>
      <c r="F13491" s="87"/>
      <c r="G13491" s="87"/>
    </row>
    <row r="13492">
      <c r="A13492" s="86" t="str">
        <f>IFERROR(__xludf.DUMMYFUNCTION("""COMPUTED_VALUE"""),"")</f>
        <v/>
      </c>
      <c r="B13492" s="87"/>
      <c r="C13492" s="87"/>
      <c r="D13492" s="87"/>
      <c r="E13492" s="87"/>
      <c r="F13492" s="87"/>
      <c r="G13492" s="87"/>
    </row>
    <row r="13493">
      <c r="A13493" s="86" t="str">
        <f>IFERROR(__xludf.DUMMYFUNCTION("""COMPUTED_VALUE"""),"")</f>
        <v/>
      </c>
      <c r="B13493" s="87"/>
      <c r="C13493" s="87"/>
      <c r="D13493" s="87"/>
      <c r="E13493" s="87"/>
      <c r="F13493" s="87"/>
      <c r="G13493" s="87"/>
    </row>
    <row r="13494">
      <c r="A13494" s="86" t="str">
        <f>IFERROR(__xludf.DUMMYFUNCTION("""COMPUTED_VALUE"""),"")</f>
        <v/>
      </c>
      <c r="B13494" s="87"/>
      <c r="C13494" s="87"/>
      <c r="D13494" s="87"/>
      <c r="E13494" s="87"/>
      <c r="F13494" s="87"/>
      <c r="G13494" s="87"/>
    </row>
    <row r="13495">
      <c r="A13495" s="86" t="str">
        <f>IFERROR(__xludf.DUMMYFUNCTION("""COMPUTED_VALUE"""),"")</f>
        <v/>
      </c>
      <c r="B13495" s="87"/>
      <c r="C13495" s="87"/>
      <c r="D13495" s="87"/>
      <c r="E13495" s="87"/>
      <c r="F13495" s="87"/>
      <c r="G13495" s="87"/>
    </row>
    <row r="13496">
      <c r="A13496" s="86" t="str">
        <f>IFERROR(__xludf.DUMMYFUNCTION("""COMPUTED_VALUE"""),"")</f>
        <v/>
      </c>
      <c r="B13496" s="87"/>
      <c r="C13496" s="87"/>
      <c r="D13496" s="87"/>
      <c r="E13496" s="87"/>
      <c r="F13496" s="87"/>
      <c r="G13496" s="87"/>
    </row>
    <row r="13497">
      <c r="A13497" s="86" t="str">
        <f>IFERROR(__xludf.DUMMYFUNCTION("""COMPUTED_VALUE"""),"")</f>
        <v/>
      </c>
      <c r="B13497" s="87"/>
      <c r="C13497" s="87"/>
      <c r="D13497" s="87"/>
      <c r="E13497" s="87"/>
      <c r="F13497" s="87"/>
      <c r="G13497" s="87"/>
    </row>
    <row r="13498">
      <c r="A13498" s="86" t="str">
        <f>IFERROR(__xludf.DUMMYFUNCTION("""COMPUTED_VALUE"""),"")</f>
        <v/>
      </c>
      <c r="B13498" s="87"/>
      <c r="C13498" s="87"/>
      <c r="D13498" s="87"/>
      <c r="E13498" s="87"/>
      <c r="F13498" s="87"/>
      <c r="G13498" s="87"/>
    </row>
    <row r="13499">
      <c r="A13499" s="86" t="str">
        <f>IFERROR(__xludf.DUMMYFUNCTION("""COMPUTED_VALUE"""),"")</f>
        <v/>
      </c>
      <c r="B13499" s="87"/>
      <c r="C13499" s="87"/>
      <c r="D13499" s="87"/>
      <c r="E13499" s="87"/>
      <c r="F13499" s="87"/>
      <c r="G13499" s="87"/>
    </row>
    <row r="13500">
      <c r="A13500" s="86" t="str">
        <f>IFERROR(__xludf.DUMMYFUNCTION("""COMPUTED_VALUE"""),"")</f>
        <v/>
      </c>
      <c r="B13500" s="87"/>
      <c r="C13500" s="87"/>
      <c r="D13500" s="87"/>
      <c r="E13500" s="87"/>
      <c r="F13500" s="87"/>
      <c r="G13500" s="87"/>
    </row>
    <row r="13501">
      <c r="A13501" s="86" t="str">
        <f>IFERROR(__xludf.DUMMYFUNCTION("""COMPUTED_VALUE"""),"")</f>
        <v/>
      </c>
      <c r="B13501" s="87"/>
      <c r="C13501" s="87"/>
      <c r="D13501" s="87"/>
      <c r="E13501" s="87"/>
      <c r="F13501" s="87"/>
      <c r="G13501" s="87"/>
    </row>
    <row r="13502">
      <c r="A13502" s="86" t="str">
        <f>IFERROR(__xludf.DUMMYFUNCTION("""COMPUTED_VALUE"""),"")</f>
        <v/>
      </c>
      <c r="B13502" s="87"/>
      <c r="C13502" s="87"/>
      <c r="D13502" s="87"/>
      <c r="E13502" s="87"/>
      <c r="F13502" s="87"/>
      <c r="G13502" s="87"/>
    </row>
    <row r="13503">
      <c r="A13503" s="86" t="str">
        <f>IFERROR(__xludf.DUMMYFUNCTION("""COMPUTED_VALUE"""),"")</f>
        <v/>
      </c>
      <c r="B13503" s="87"/>
      <c r="C13503" s="87"/>
      <c r="D13503" s="87"/>
      <c r="E13503" s="87"/>
      <c r="F13503" s="87"/>
      <c r="G13503" s="87"/>
    </row>
    <row r="13504">
      <c r="A13504" s="86" t="str">
        <f>IFERROR(__xludf.DUMMYFUNCTION("""COMPUTED_VALUE"""),"")</f>
        <v/>
      </c>
      <c r="B13504" s="87"/>
      <c r="C13504" s="87"/>
      <c r="D13504" s="87"/>
      <c r="E13504" s="87"/>
      <c r="F13504" s="87"/>
      <c r="G13504" s="87"/>
    </row>
    <row r="13505">
      <c r="A13505" s="86" t="str">
        <f>IFERROR(__xludf.DUMMYFUNCTION("""COMPUTED_VALUE"""),"")</f>
        <v/>
      </c>
      <c r="B13505" s="87"/>
      <c r="C13505" s="87"/>
      <c r="D13505" s="87"/>
      <c r="E13505" s="87"/>
      <c r="F13505" s="87"/>
      <c r="G13505" s="87"/>
    </row>
    <row r="13506">
      <c r="A13506" s="86" t="str">
        <f>IFERROR(__xludf.DUMMYFUNCTION("""COMPUTED_VALUE"""),"")</f>
        <v/>
      </c>
      <c r="B13506" s="87"/>
      <c r="C13506" s="87"/>
      <c r="D13506" s="87"/>
      <c r="E13506" s="87"/>
      <c r="F13506" s="87"/>
      <c r="G13506" s="87"/>
    </row>
    <row r="13507">
      <c r="A13507" s="86" t="str">
        <f>IFERROR(__xludf.DUMMYFUNCTION("""COMPUTED_VALUE"""),"")</f>
        <v/>
      </c>
      <c r="B13507" s="87"/>
      <c r="C13507" s="87"/>
      <c r="D13507" s="87"/>
      <c r="E13507" s="87"/>
      <c r="F13507" s="87"/>
      <c r="G13507" s="87"/>
    </row>
    <row r="13508">
      <c r="A13508" s="86" t="str">
        <f>IFERROR(__xludf.DUMMYFUNCTION("""COMPUTED_VALUE"""),"")</f>
        <v/>
      </c>
      <c r="B13508" s="87"/>
      <c r="C13508" s="87"/>
      <c r="D13508" s="87"/>
      <c r="E13508" s="87"/>
      <c r="F13508" s="87"/>
      <c r="G13508" s="87"/>
    </row>
    <row r="13509">
      <c r="A13509" s="86" t="str">
        <f>IFERROR(__xludf.DUMMYFUNCTION("""COMPUTED_VALUE"""),"")</f>
        <v/>
      </c>
      <c r="B13509" s="87"/>
      <c r="C13509" s="87"/>
      <c r="D13509" s="87"/>
      <c r="E13509" s="87"/>
      <c r="F13509" s="87"/>
      <c r="G13509" s="87"/>
    </row>
    <row r="13510">
      <c r="A13510" s="86" t="str">
        <f>IFERROR(__xludf.DUMMYFUNCTION("""COMPUTED_VALUE"""),"")</f>
        <v/>
      </c>
      <c r="B13510" s="87"/>
      <c r="C13510" s="87"/>
      <c r="D13510" s="87"/>
      <c r="E13510" s="87"/>
      <c r="F13510" s="87"/>
      <c r="G13510" s="87"/>
    </row>
    <row r="13511">
      <c r="A13511" s="86" t="str">
        <f>IFERROR(__xludf.DUMMYFUNCTION("""COMPUTED_VALUE"""),"")</f>
        <v/>
      </c>
      <c r="B13511" s="87"/>
      <c r="C13511" s="87"/>
      <c r="D13511" s="87"/>
      <c r="E13511" s="87"/>
      <c r="F13511" s="87"/>
      <c r="G13511" s="87"/>
    </row>
    <row r="13512">
      <c r="A13512" s="86" t="str">
        <f>IFERROR(__xludf.DUMMYFUNCTION("""COMPUTED_VALUE"""),"")</f>
        <v/>
      </c>
      <c r="B13512" s="87"/>
      <c r="C13512" s="87"/>
      <c r="D13512" s="87"/>
      <c r="E13512" s="87"/>
      <c r="F13512" s="87"/>
      <c r="G13512" s="87"/>
    </row>
    <row r="13513">
      <c r="A13513" s="86" t="str">
        <f>IFERROR(__xludf.DUMMYFUNCTION("""COMPUTED_VALUE"""),"")</f>
        <v/>
      </c>
      <c r="B13513" s="87"/>
      <c r="C13513" s="87"/>
      <c r="D13513" s="87"/>
      <c r="E13513" s="87"/>
      <c r="F13513" s="87"/>
      <c r="G13513" s="87"/>
    </row>
    <row r="13514">
      <c r="A13514" s="86" t="str">
        <f>IFERROR(__xludf.DUMMYFUNCTION("""COMPUTED_VALUE"""),"")</f>
        <v/>
      </c>
      <c r="B13514" s="87"/>
      <c r="C13514" s="87"/>
      <c r="D13514" s="87"/>
      <c r="E13514" s="87"/>
      <c r="F13514" s="87"/>
      <c r="G13514" s="87"/>
    </row>
    <row r="13515">
      <c r="A13515" s="86" t="str">
        <f>IFERROR(__xludf.DUMMYFUNCTION("""COMPUTED_VALUE"""),"")</f>
        <v/>
      </c>
      <c r="B13515" s="87"/>
      <c r="C13515" s="87"/>
      <c r="D13515" s="87"/>
      <c r="E13515" s="87"/>
      <c r="F13515" s="87"/>
      <c r="G13515" s="87"/>
    </row>
    <row r="13516">
      <c r="A13516" s="86" t="str">
        <f>IFERROR(__xludf.DUMMYFUNCTION("""COMPUTED_VALUE"""),"")</f>
        <v/>
      </c>
      <c r="B13516" s="87"/>
      <c r="C13516" s="87"/>
      <c r="D13516" s="87"/>
      <c r="E13516" s="87"/>
      <c r="F13516" s="87"/>
      <c r="G13516" s="87"/>
    </row>
    <row r="13517">
      <c r="A13517" s="86" t="str">
        <f>IFERROR(__xludf.DUMMYFUNCTION("""COMPUTED_VALUE"""),"")</f>
        <v/>
      </c>
      <c r="B13517" s="87"/>
      <c r="C13517" s="87"/>
      <c r="D13517" s="87"/>
      <c r="E13517" s="87"/>
      <c r="F13517" s="87"/>
      <c r="G13517" s="87"/>
    </row>
    <row r="13518">
      <c r="A13518" s="86" t="str">
        <f>IFERROR(__xludf.DUMMYFUNCTION("""COMPUTED_VALUE"""),"")</f>
        <v/>
      </c>
      <c r="B13518" s="87"/>
      <c r="C13518" s="87"/>
      <c r="D13518" s="87"/>
      <c r="E13518" s="87"/>
      <c r="F13518" s="87"/>
      <c r="G13518" s="87"/>
    </row>
    <row r="13519">
      <c r="A13519" s="86" t="str">
        <f>IFERROR(__xludf.DUMMYFUNCTION("""COMPUTED_VALUE"""),"")</f>
        <v/>
      </c>
      <c r="B13519" s="87"/>
      <c r="C13519" s="87"/>
      <c r="D13519" s="87"/>
      <c r="E13519" s="87"/>
      <c r="F13519" s="87"/>
      <c r="G13519" s="87"/>
    </row>
    <row r="13520">
      <c r="A13520" s="86" t="str">
        <f>IFERROR(__xludf.DUMMYFUNCTION("""COMPUTED_VALUE"""),"")</f>
        <v/>
      </c>
      <c r="B13520" s="87"/>
      <c r="C13520" s="87"/>
      <c r="D13520" s="87"/>
      <c r="E13520" s="87"/>
      <c r="F13520" s="87"/>
      <c r="G13520" s="87"/>
    </row>
    <row r="13521">
      <c r="A13521" s="86" t="str">
        <f>IFERROR(__xludf.DUMMYFUNCTION("""COMPUTED_VALUE"""),"")</f>
        <v/>
      </c>
      <c r="B13521" s="87"/>
      <c r="C13521" s="87"/>
      <c r="D13521" s="87"/>
      <c r="E13521" s="87"/>
      <c r="F13521" s="87"/>
      <c r="G13521" s="87"/>
    </row>
    <row r="13522">
      <c r="A13522" s="86" t="str">
        <f>IFERROR(__xludf.DUMMYFUNCTION("""COMPUTED_VALUE"""),"")</f>
        <v/>
      </c>
      <c r="B13522" s="87"/>
      <c r="C13522" s="87"/>
      <c r="D13522" s="87"/>
      <c r="E13522" s="87"/>
      <c r="F13522" s="87"/>
      <c r="G13522" s="87"/>
    </row>
    <row r="13523">
      <c r="A13523" s="86" t="str">
        <f>IFERROR(__xludf.DUMMYFUNCTION("""COMPUTED_VALUE"""),"")</f>
        <v/>
      </c>
      <c r="B13523" s="87"/>
      <c r="C13523" s="87"/>
      <c r="D13523" s="87"/>
      <c r="E13523" s="87"/>
      <c r="F13523" s="87"/>
      <c r="G13523" s="87"/>
    </row>
    <row r="13524">
      <c r="A13524" s="86" t="str">
        <f>IFERROR(__xludf.DUMMYFUNCTION("""COMPUTED_VALUE"""),"")</f>
        <v/>
      </c>
      <c r="B13524" s="87"/>
      <c r="C13524" s="87"/>
      <c r="D13524" s="87"/>
      <c r="E13524" s="87"/>
      <c r="F13524" s="87"/>
      <c r="G13524" s="87"/>
    </row>
    <row r="13525">
      <c r="A13525" s="86" t="str">
        <f>IFERROR(__xludf.DUMMYFUNCTION("""COMPUTED_VALUE"""),"")</f>
        <v/>
      </c>
      <c r="B13525" s="87"/>
      <c r="C13525" s="87"/>
      <c r="D13525" s="87"/>
      <c r="E13525" s="87"/>
      <c r="F13525" s="87"/>
      <c r="G13525" s="87"/>
    </row>
    <row r="13526">
      <c r="A13526" s="86" t="str">
        <f>IFERROR(__xludf.DUMMYFUNCTION("""COMPUTED_VALUE"""),"")</f>
        <v/>
      </c>
      <c r="B13526" s="87"/>
      <c r="C13526" s="87"/>
      <c r="D13526" s="87"/>
      <c r="E13526" s="87"/>
      <c r="F13526" s="87"/>
      <c r="G13526" s="87"/>
    </row>
    <row r="13527">
      <c r="A13527" s="86" t="str">
        <f>IFERROR(__xludf.DUMMYFUNCTION("""COMPUTED_VALUE"""),"")</f>
        <v/>
      </c>
      <c r="B13527" s="87"/>
      <c r="C13527" s="87"/>
      <c r="D13527" s="87"/>
      <c r="E13527" s="87"/>
      <c r="F13527" s="87"/>
      <c r="G13527" s="87"/>
    </row>
    <row r="13528">
      <c r="A13528" s="86" t="str">
        <f>IFERROR(__xludf.DUMMYFUNCTION("""COMPUTED_VALUE"""),"")</f>
        <v/>
      </c>
      <c r="B13528" s="87"/>
      <c r="C13528" s="87"/>
      <c r="D13528" s="87"/>
      <c r="E13528" s="87"/>
      <c r="F13528" s="87"/>
      <c r="G13528" s="87"/>
    </row>
    <row r="13529">
      <c r="A13529" s="86" t="str">
        <f>IFERROR(__xludf.DUMMYFUNCTION("""COMPUTED_VALUE"""),"")</f>
        <v/>
      </c>
      <c r="B13529" s="87"/>
      <c r="C13529" s="87"/>
      <c r="D13529" s="87"/>
      <c r="E13529" s="87"/>
      <c r="F13529" s="87"/>
      <c r="G13529" s="87"/>
    </row>
    <row r="13530">
      <c r="A13530" s="86" t="str">
        <f>IFERROR(__xludf.DUMMYFUNCTION("""COMPUTED_VALUE"""),"")</f>
        <v/>
      </c>
      <c r="B13530" s="87"/>
      <c r="C13530" s="87"/>
      <c r="D13530" s="87"/>
      <c r="E13530" s="87"/>
      <c r="F13530" s="87"/>
      <c r="G13530" s="87"/>
    </row>
    <row r="13531">
      <c r="A13531" s="86" t="str">
        <f>IFERROR(__xludf.DUMMYFUNCTION("""COMPUTED_VALUE"""),"")</f>
        <v/>
      </c>
      <c r="B13531" s="87"/>
      <c r="C13531" s="87"/>
      <c r="D13531" s="87"/>
      <c r="E13531" s="87"/>
      <c r="F13531" s="87"/>
      <c r="G13531" s="87"/>
    </row>
    <row r="13532">
      <c r="A13532" s="86" t="str">
        <f>IFERROR(__xludf.DUMMYFUNCTION("""COMPUTED_VALUE"""),"")</f>
        <v/>
      </c>
      <c r="B13532" s="87"/>
      <c r="C13532" s="87"/>
      <c r="D13532" s="87"/>
      <c r="E13532" s="87"/>
      <c r="F13532" s="87"/>
      <c r="G13532" s="87"/>
    </row>
    <row r="13533">
      <c r="A13533" s="86" t="str">
        <f>IFERROR(__xludf.DUMMYFUNCTION("""COMPUTED_VALUE"""),"")</f>
        <v/>
      </c>
      <c r="B13533" s="87"/>
      <c r="C13533" s="87"/>
      <c r="D13533" s="87"/>
      <c r="E13533" s="87"/>
      <c r="F13533" s="87"/>
      <c r="G13533" s="87"/>
    </row>
    <row r="13534">
      <c r="A13534" s="86" t="str">
        <f>IFERROR(__xludf.DUMMYFUNCTION("""COMPUTED_VALUE"""),"")</f>
        <v/>
      </c>
      <c r="B13534" s="87"/>
      <c r="C13534" s="87"/>
      <c r="D13534" s="87"/>
      <c r="E13534" s="87"/>
      <c r="F13534" s="87"/>
      <c r="G13534" s="87"/>
    </row>
    <row r="13535">
      <c r="A13535" s="86" t="str">
        <f>IFERROR(__xludf.DUMMYFUNCTION("""COMPUTED_VALUE"""),"")</f>
        <v/>
      </c>
      <c r="B13535" s="87"/>
      <c r="C13535" s="87"/>
      <c r="D13535" s="87"/>
      <c r="E13535" s="87"/>
      <c r="F13535" s="87"/>
      <c r="G13535" s="87"/>
    </row>
    <row r="13536">
      <c r="A13536" s="86" t="str">
        <f>IFERROR(__xludf.DUMMYFUNCTION("""COMPUTED_VALUE"""),"")</f>
        <v/>
      </c>
      <c r="B13536" s="87"/>
      <c r="C13536" s="87"/>
      <c r="D13536" s="87"/>
      <c r="E13536" s="87"/>
      <c r="F13536" s="87"/>
      <c r="G13536" s="87"/>
    </row>
    <row r="13537">
      <c r="A13537" s="86" t="str">
        <f>IFERROR(__xludf.DUMMYFUNCTION("""COMPUTED_VALUE"""),"")</f>
        <v/>
      </c>
      <c r="B13537" s="87"/>
      <c r="C13537" s="87"/>
      <c r="D13537" s="87"/>
      <c r="E13537" s="87"/>
      <c r="F13537" s="87"/>
      <c r="G13537" s="87"/>
    </row>
    <row r="13538">
      <c r="A13538" s="86" t="str">
        <f>IFERROR(__xludf.DUMMYFUNCTION("""COMPUTED_VALUE"""),"")</f>
        <v/>
      </c>
      <c r="B13538" s="87"/>
      <c r="C13538" s="87"/>
      <c r="D13538" s="87"/>
      <c r="E13538" s="87"/>
      <c r="F13538" s="87"/>
      <c r="G13538" s="87"/>
    </row>
    <row r="13539">
      <c r="A13539" s="86" t="str">
        <f>IFERROR(__xludf.DUMMYFUNCTION("""COMPUTED_VALUE"""),"")</f>
        <v/>
      </c>
      <c r="B13539" s="87"/>
      <c r="C13539" s="87"/>
      <c r="D13539" s="87"/>
      <c r="E13539" s="87"/>
      <c r="F13539" s="87"/>
      <c r="G13539" s="87"/>
    </row>
    <row r="13540">
      <c r="A13540" s="86" t="str">
        <f>IFERROR(__xludf.DUMMYFUNCTION("""COMPUTED_VALUE"""),"")</f>
        <v/>
      </c>
      <c r="B13540" s="87"/>
      <c r="C13540" s="87"/>
      <c r="D13540" s="87"/>
      <c r="E13540" s="87"/>
      <c r="F13540" s="87"/>
      <c r="G13540" s="87"/>
    </row>
    <row r="13541">
      <c r="A13541" s="86" t="str">
        <f>IFERROR(__xludf.DUMMYFUNCTION("""COMPUTED_VALUE"""),"")</f>
        <v/>
      </c>
      <c r="B13541" s="87"/>
      <c r="C13541" s="87"/>
      <c r="D13541" s="87"/>
      <c r="E13541" s="87"/>
      <c r="F13541" s="87"/>
      <c r="G13541" s="87"/>
    </row>
    <row r="13542">
      <c r="A13542" s="86" t="str">
        <f>IFERROR(__xludf.DUMMYFUNCTION("""COMPUTED_VALUE"""),"")</f>
        <v/>
      </c>
      <c r="B13542" s="87"/>
      <c r="C13542" s="87"/>
      <c r="D13542" s="87"/>
      <c r="E13542" s="87"/>
      <c r="F13542" s="87"/>
      <c r="G13542" s="87"/>
    </row>
    <row r="13543">
      <c r="A13543" s="86" t="str">
        <f>IFERROR(__xludf.DUMMYFUNCTION("""COMPUTED_VALUE"""),"")</f>
        <v/>
      </c>
      <c r="B13543" s="87"/>
      <c r="C13543" s="87"/>
      <c r="D13543" s="87"/>
      <c r="E13543" s="87"/>
      <c r="F13543" s="87"/>
      <c r="G13543" s="87"/>
    </row>
    <row r="13544">
      <c r="A13544" s="86" t="str">
        <f>IFERROR(__xludf.DUMMYFUNCTION("""COMPUTED_VALUE"""),"")</f>
        <v/>
      </c>
      <c r="B13544" s="87"/>
      <c r="C13544" s="87"/>
      <c r="D13544" s="87"/>
      <c r="E13544" s="87"/>
      <c r="F13544" s="87"/>
      <c r="G13544" s="87"/>
    </row>
    <row r="13545">
      <c r="A13545" s="86" t="str">
        <f>IFERROR(__xludf.DUMMYFUNCTION("""COMPUTED_VALUE"""),"")</f>
        <v/>
      </c>
      <c r="B13545" s="87"/>
      <c r="C13545" s="87"/>
      <c r="D13545" s="87"/>
      <c r="E13545" s="87"/>
      <c r="F13545" s="87"/>
      <c r="G13545" s="87"/>
    </row>
    <row r="13546">
      <c r="A13546" s="86" t="str">
        <f>IFERROR(__xludf.DUMMYFUNCTION("""COMPUTED_VALUE"""),"")</f>
        <v/>
      </c>
      <c r="B13546" s="87"/>
      <c r="C13546" s="87"/>
      <c r="D13546" s="87"/>
      <c r="E13546" s="87"/>
      <c r="F13546" s="87"/>
      <c r="G13546" s="87"/>
    </row>
    <row r="13547">
      <c r="A13547" s="86" t="str">
        <f>IFERROR(__xludf.DUMMYFUNCTION("""COMPUTED_VALUE"""),"")</f>
        <v/>
      </c>
      <c r="B13547" s="87"/>
      <c r="C13547" s="87"/>
      <c r="D13547" s="87"/>
      <c r="E13547" s="87"/>
      <c r="F13547" s="87"/>
      <c r="G13547" s="87"/>
    </row>
    <row r="13548">
      <c r="A13548" s="86" t="str">
        <f>IFERROR(__xludf.DUMMYFUNCTION("""COMPUTED_VALUE"""),"")</f>
        <v/>
      </c>
      <c r="B13548" s="87"/>
      <c r="C13548" s="87"/>
      <c r="D13548" s="87"/>
      <c r="E13548" s="87"/>
      <c r="F13548" s="87"/>
      <c r="G13548" s="87"/>
    </row>
    <row r="13549">
      <c r="A13549" s="86" t="str">
        <f>IFERROR(__xludf.DUMMYFUNCTION("""COMPUTED_VALUE"""),"")</f>
        <v/>
      </c>
      <c r="B13549" s="87"/>
      <c r="C13549" s="87"/>
      <c r="D13549" s="87"/>
      <c r="E13549" s="87"/>
      <c r="F13549" s="87"/>
      <c r="G13549" s="87"/>
    </row>
    <row r="13550">
      <c r="A13550" s="86" t="str">
        <f>IFERROR(__xludf.DUMMYFUNCTION("""COMPUTED_VALUE"""),"")</f>
        <v/>
      </c>
      <c r="B13550" s="87"/>
      <c r="C13550" s="87"/>
      <c r="D13550" s="87"/>
      <c r="E13550" s="87"/>
      <c r="F13550" s="87"/>
      <c r="G13550" s="87"/>
    </row>
    <row r="13551">
      <c r="A13551" s="86" t="str">
        <f>IFERROR(__xludf.DUMMYFUNCTION("""COMPUTED_VALUE"""),"")</f>
        <v/>
      </c>
      <c r="B13551" s="87"/>
      <c r="C13551" s="87"/>
      <c r="D13551" s="87"/>
      <c r="E13551" s="87"/>
      <c r="F13551" s="87"/>
      <c r="G13551" s="87"/>
    </row>
    <row r="13552">
      <c r="A13552" s="86" t="str">
        <f>IFERROR(__xludf.DUMMYFUNCTION("""COMPUTED_VALUE"""),"")</f>
        <v/>
      </c>
      <c r="B13552" s="87"/>
      <c r="C13552" s="87"/>
      <c r="D13552" s="87"/>
      <c r="E13552" s="87"/>
      <c r="F13552" s="87"/>
      <c r="G13552" s="87"/>
    </row>
    <row r="13553">
      <c r="A13553" s="86" t="str">
        <f>IFERROR(__xludf.DUMMYFUNCTION("""COMPUTED_VALUE"""),"")</f>
        <v/>
      </c>
      <c r="B13553" s="87"/>
      <c r="C13553" s="87"/>
      <c r="D13553" s="87"/>
      <c r="E13553" s="87"/>
      <c r="F13553" s="87"/>
      <c r="G13553" s="87"/>
    </row>
    <row r="13554">
      <c r="A13554" s="86" t="str">
        <f>IFERROR(__xludf.DUMMYFUNCTION("""COMPUTED_VALUE"""),"")</f>
        <v/>
      </c>
      <c r="B13554" s="87"/>
      <c r="C13554" s="87"/>
      <c r="D13554" s="87"/>
      <c r="E13554" s="87"/>
      <c r="F13554" s="87"/>
      <c r="G13554" s="87"/>
    </row>
    <row r="13555">
      <c r="A13555" s="86" t="str">
        <f>IFERROR(__xludf.DUMMYFUNCTION("""COMPUTED_VALUE"""),"")</f>
        <v/>
      </c>
      <c r="B13555" s="87"/>
      <c r="C13555" s="87"/>
      <c r="D13555" s="87"/>
      <c r="E13555" s="87"/>
      <c r="F13555" s="87"/>
      <c r="G13555" s="87"/>
    </row>
    <row r="13556">
      <c r="A13556" s="86" t="str">
        <f>IFERROR(__xludf.DUMMYFUNCTION("""COMPUTED_VALUE"""),"")</f>
        <v/>
      </c>
      <c r="B13556" s="87"/>
      <c r="C13556" s="87"/>
      <c r="D13556" s="87"/>
      <c r="E13556" s="87"/>
      <c r="F13556" s="87"/>
      <c r="G13556" s="87"/>
    </row>
    <row r="13557">
      <c r="A13557" s="86" t="str">
        <f>IFERROR(__xludf.DUMMYFUNCTION("""COMPUTED_VALUE"""),"")</f>
        <v/>
      </c>
      <c r="B13557" s="87"/>
      <c r="C13557" s="87"/>
      <c r="D13557" s="87"/>
      <c r="E13557" s="87"/>
      <c r="F13557" s="87"/>
      <c r="G13557" s="87"/>
    </row>
    <row r="13558">
      <c r="A13558" s="86" t="str">
        <f>IFERROR(__xludf.DUMMYFUNCTION("""COMPUTED_VALUE"""),"")</f>
        <v/>
      </c>
      <c r="B13558" s="87"/>
      <c r="C13558" s="87"/>
      <c r="D13558" s="87"/>
      <c r="E13558" s="87"/>
      <c r="F13558" s="87"/>
      <c r="G13558" s="87"/>
    </row>
    <row r="13559">
      <c r="A13559" s="86" t="str">
        <f>IFERROR(__xludf.DUMMYFUNCTION("""COMPUTED_VALUE"""),"")</f>
        <v/>
      </c>
      <c r="B13559" s="87"/>
      <c r="C13559" s="87"/>
      <c r="D13559" s="87"/>
      <c r="E13559" s="87"/>
      <c r="F13559" s="87"/>
      <c r="G13559" s="87"/>
    </row>
    <row r="13560">
      <c r="A13560" s="86" t="str">
        <f>IFERROR(__xludf.DUMMYFUNCTION("""COMPUTED_VALUE"""),"")</f>
        <v/>
      </c>
      <c r="B13560" s="87"/>
      <c r="C13560" s="87"/>
      <c r="D13560" s="87"/>
      <c r="E13560" s="87"/>
      <c r="F13560" s="87"/>
      <c r="G13560" s="87"/>
    </row>
    <row r="13561">
      <c r="A13561" s="86" t="str">
        <f>IFERROR(__xludf.DUMMYFUNCTION("""COMPUTED_VALUE"""),"")</f>
        <v/>
      </c>
      <c r="B13561" s="87"/>
      <c r="C13561" s="87"/>
      <c r="D13561" s="87"/>
      <c r="E13561" s="87"/>
      <c r="F13561" s="87"/>
      <c r="G13561" s="87"/>
    </row>
    <row r="13562">
      <c r="A13562" s="86" t="str">
        <f>IFERROR(__xludf.DUMMYFUNCTION("""COMPUTED_VALUE"""),"")</f>
        <v/>
      </c>
      <c r="B13562" s="87"/>
      <c r="C13562" s="87"/>
      <c r="D13562" s="87"/>
      <c r="E13562" s="87"/>
      <c r="F13562" s="87"/>
      <c r="G13562" s="87"/>
    </row>
    <row r="13563">
      <c r="A13563" s="86" t="str">
        <f>IFERROR(__xludf.DUMMYFUNCTION("""COMPUTED_VALUE"""),"")</f>
        <v/>
      </c>
      <c r="B13563" s="87"/>
      <c r="C13563" s="87"/>
      <c r="D13563" s="87"/>
      <c r="E13563" s="87"/>
      <c r="F13563" s="87"/>
      <c r="G13563" s="87"/>
    </row>
    <row r="13564">
      <c r="A13564" s="86" t="str">
        <f>IFERROR(__xludf.DUMMYFUNCTION("""COMPUTED_VALUE"""),"")</f>
        <v/>
      </c>
      <c r="B13564" s="87"/>
      <c r="C13564" s="87"/>
      <c r="D13564" s="87"/>
      <c r="E13564" s="87"/>
      <c r="F13564" s="87"/>
      <c r="G13564" s="87"/>
    </row>
    <row r="13565">
      <c r="A13565" s="86" t="str">
        <f>IFERROR(__xludf.DUMMYFUNCTION("""COMPUTED_VALUE"""),"")</f>
        <v/>
      </c>
      <c r="B13565" s="87"/>
      <c r="C13565" s="87"/>
      <c r="D13565" s="87"/>
      <c r="E13565" s="87"/>
      <c r="F13565" s="87"/>
      <c r="G13565" s="87"/>
    </row>
    <row r="13566">
      <c r="A13566" s="86" t="str">
        <f>IFERROR(__xludf.DUMMYFUNCTION("""COMPUTED_VALUE"""),"")</f>
        <v/>
      </c>
      <c r="B13566" s="87"/>
      <c r="C13566" s="87"/>
      <c r="D13566" s="87"/>
      <c r="E13566" s="87"/>
      <c r="F13566" s="87"/>
      <c r="G13566" s="87"/>
    </row>
    <row r="13567">
      <c r="A13567" s="86" t="str">
        <f>IFERROR(__xludf.DUMMYFUNCTION("""COMPUTED_VALUE"""),"")</f>
        <v/>
      </c>
      <c r="B13567" s="87"/>
      <c r="C13567" s="87"/>
      <c r="D13567" s="87"/>
      <c r="E13567" s="87"/>
      <c r="F13567" s="87"/>
      <c r="G13567" s="87"/>
    </row>
    <row r="13568">
      <c r="A13568" s="86" t="str">
        <f>IFERROR(__xludf.DUMMYFUNCTION("""COMPUTED_VALUE"""),"")</f>
        <v/>
      </c>
      <c r="B13568" s="87"/>
      <c r="C13568" s="87"/>
      <c r="D13568" s="87"/>
      <c r="E13568" s="87"/>
      <c r="F13568" s="87"/>
      <c r="G13568" s="87"/>
    </row>
    <row r="13569">
      <c r="A13569" s="86" t="str">
        <f>IFERROR(__xludf.DUMMYFUNCTION("""COMPUTED_VALUE"""),"")</f>
        <v/>
      </c>
      <c r="B13569" s="87"/>
      <c r="C13569" s="87"/>
      <c r="D13569" s="87"/>
      <c r="E13569" s="87"/>
      <c r="F13569" s="87"/>
      <c r="G13569" s="87"/>
    </row>
    <row r="13570">
      <c r="A13570" s="86" t="str">
        <f>IFERROR(__xludf.DUMMYFUNCTION("""COMPUTED_VALUE"""),"")</f>
        <v/>
      </c>
      <c r="B13570" s="87"/>
      <c r="C13570" s="87"/>
      <c r="D13570" s="87"/>
      <c r="E13570" s="87"/>
      <c r="F13570" s="87"/>
      <c r="G13570" s="87"/>
    </row>
    <row r="13571">
      <c r="A13571" s="86" t="str">
        <f>IFERROR(__xludf.DUMMYFUNCTION("""COMPUTED_VALUE"""),"")</f>
        <v/>
      </c>
      <c r="B13571" s="87"/>
      <c r="C13571" s="87"/>
      <c r="D13571" s="87"/>
      <c r="E13571" s="87"/>
      <c r="F13571" s="87"/>
      <c r="G13571" s="87"/>
    </row>
    <row r="13572">
      <c r="A13572" s="86" t="str">
        <f>IFERROR(__xludf.DUMMYFUNCTION("""COMPUTED_VALUE"""),"")</f>
        <v/>
      </c>
      <c r="B13572" s="87"/>
      <c r="C13572" s="87"/>
      <c r="D13572" s="87"/>
      <c r="E13572" s="87"/>
      <c r="F13572" s="87"/>
      <c r="G13572" s="87"/>
    </row>
    <row r="13573">
      <c r="A13573" s="86" t="str">
        <f>IFERROR(__xludf.DUMMYFUNCTION("""COMPUTED_VALUE"""),"")</f>
        <v/>
      </c>
      <c r="B13573" s="87"/>
      <c r="C13573" s="87"/>
      <c r="D13573" s="87"/>
      <c r="E13573" s="87"/>
      <c r="F13573" s="87"/>
      <c r="G13573" s="87"/>
    </row>
    <row r="13574">
      <c r="A13574" s="86" t="str">
        <f>IFERROR(__xludf.DUMMYFUNCTION("""COMPUTED_VALUE"""),"")</f>
        <v/>
      </c>
      <c r="B13574" s="87"/>
      <c r="C13574" s="87"/>
      <c r="D13574" s="87"/>
      <c r="E13574" s="87"/>
      <c r="F13574" s="87"/>
      <c r="G13574" s="87"/>
    </row>
    <row r="13575">
      <c r="A13575" s="86" t="str">
        <f>IFERROR(__xludf.DUMMYFUNCTION("""COMPUTED_VALUE"""),"")</f>
        <v/>
      </c>
      <c r="B13575" s="87"/>
      <c r="C13575" s="87"/>
      <c r="D13575" s="87"/>
      <c r="E13575" s="87"/>
      <c r="F13575" s="87"/>
      <c r="G13575" s="87"/>
    </row>
    <row r="13576">
      <c r="A13576" s="86" t="str">
        <f>IFERROR(__xludf.DUMMYFUNCTION("""COMPUTED_VALUE"""),"")</f>
        <v/>
      </c>
      <c r="B13576" s="87"/>
      <c r="C13576" s="87"/>
      <c r="D13576" s="87"/>
      <c r="E13576" s="87"/>
      <c r="F13576" s="87"/>
      <c r="G13576" s="87"/>
    </row>
    <row r="13577">
      <c r="A13577" s="86" t="str">
        <f>IFERROR(__xludf.DUMMYFUNCTION("""COMPUTED_VALUE"""),"")</f>
        <v/>
      </c>
      <c r="B13577" s="87"/>
      <c r="C13577" s="87"/>
      <c r="D13577" s="87"/>
      <c r="E13577" s="87"/>
      <c r="F13577" s="87"/>
      <c r="G13577" s="87"/>
    </row>
    <row r="13578">
      <c r="A13578" s="86" t="str">
        <f>IFERROR(__xludf.DUMMYFUNCTION("""COMPUTED_VALUE"""),"")</f>
        <v/>
      </c>
      <c r="B13578" s="87"/>
      <c r="C13578" s="87"/>
      <c r="D13578" s="87"/>
      <c r="E13578" s="87"/>
      <c r="F13578" s="87"/>
      <c r="G13578" s="87"/>
    </row>
    <row r="13579">
      <c r="A13579" s="86" t="str">
        <f>IFERROR(__xludf.DUMMYFUNCTION("""COMPUTED_VALUE"""),"")</f>
        <v/>
      </c>
      <c r="B13579" s="87"/>
      <c r="C13579" s="87"/>
      <c r="D13579" s="87"/>
      <c r="E13579" s="87"/>
      <c r="F13579" s="87"/>
      <c r="G13579" s="87"/>
    </row>
    <row r="13580">
      <c r="A13580" s="86" t="str">
        <f>IFERROR(__xludf.DUMMYFUNCTION("""COMPUTED_VALUE"""),"")</f>
        <v/>
      </c>
      <c r="B13580" s="87"/>
      <c r="C13580" s="87"/>
      <c r="D13580" s="87"/>
      <c r="E13580" s="87"/>
      <c r="F13580" s="87"/>
      <c r="G13580" s="87"/>
    </row>
    <row r="13581">
      <c r="A13581" s="86" t="str">
        <f>IFERROR(__xludf.DUMMYFUNCTION("""COMPUTED_VALUE"""),"")</f>
        <v/>
      </c>
      <c r="B13581" s="87"/>
      <c r="C13581" s="87"/>
      <c r="D13581" s="87"/>
      <c r="E13581" s="87"/>
      <c r="F13581" s="87"/>
      <c r="G13581" s="87"/>
    </row>
    <row r="13582">
      <c r="A13582" s="86" t="str">
        <f>IFERROR(__xludf.DUMMYFUNCTION("""COMPUTED_VALUE"""),"")</f>
        <v/>
      </c>
      <c r="B13582" s="87"/>
      <c r="C13582" s="87"/>
      <c r="D13582" s="87"/>
      <c r="E13582" s="87"/>
      <c r="F13582" s="87"/>
      <c r="G13582" s="87"/>
    </row>
    <row r="13583">
      <c r="A13583" s="86" t="str">
        <f>IFERROR(__xludf.DUMMYFUNCTION("""COMPUTED_VALUE"""),"")</f>
        <v/>
      </c>
      <c r="B13583" s="87"/>
      <c r="C13583" s="87"/>
      <c r="D13583" s="87"/>
      <c r="E13583" s="87"/>
      <c r="F13583" s="87"/>
      <c r="G13583" s="87"/>
    </row>
    <row r="13584">
      <c r="A13584" s="86" t="str">
        <f>IFERROR(__xludf.DUMMYFUNCTION("""COMPUTED_VALUE"""),"")</f>
        <v/>
      </c>
      <c r="B13584" s="87"/>
      <c r="C13584" s="87"/>
      <c r="D13584" s="87"/>
      <c r="E13584" s="87"/>
      <c r="F13584" s="87"/>
      <c r="G13584" s="87"/>
    </row>
    <row r="13585">
      <c r="A13585" s="86" t="str">
        <f>IFERROR(__xludf.DUMMYFUNCTION("""COMPUTED_VALUE"""),"")</f>
        <v/>
      </c>
      <c r="B13585" s="87"/>
      <c r="C13585" s="87"/>
      <c r="D13585" s="87"/>
      <c r="E13585" s="87"/>
      <c r="F13585" s="87"/>
      <c r="G13585" s="87"/>
    </row>
    <row r="13586">
      <c r="A13586" s="86" t="str">
        <f>IFERROR(__xludf.DUMMYFUNCTION("""COMPUTED_VALUE"""),"")</f>
        <v/>
      </c>
      <c r="B13586" s="87"/>
      <c r="C13586" s="87"/>
      <c r="D13586" s="87"/>
      <c r="E13586" s="87"/>
      <c r="F13586" s="87"/>
      <c r="G13586" s="87"/>
    </row>
    <row r="13587">
      <c r="A13587" s="86" t="str">
        <f>IFERROR(__xludf.DUMMYFUNCTION("""COMPUTED_VALUE"""),"")</f>
        <v/>
      </c>
      <c r="B13587" s="87"/>
      <c r="C13587" s="87"/>
      <c r="D13587" s="87"/>
      <c r="E13587" s="87"/>
      <c r="F13587" s="87"/>
      <c r="G13587" s="87"/>
    </row>
    <row r="13588">
      <c r="A13588" s="86" t="str">
        <f>IFERROR(__xludf.DUMMYFUNCTION("""COMPUTED_VALUE"""),"")</f>
        <v/>
      </c>
      <c r="B13588" s="87"/>
      <c r="C13588" s="87"/>
      <c r="D13588" s="87"/>
      <c r="E13588" s="87"/>
      <c r="F13588" s="87"/>
      <c r="G13588" s="87"/>
    </row>
    <row r="13589">
      <c r="A13589" s="86" t="str">
        <f>IFERROR(__xludf.DUMMYFUNCTION("""COMPUTED_VALUE"""),"")</f>
        <v/>
      </c>
      <c r="B13589" s="87"/>
      <c r="C13589" s="87"/>
      <c r="D13589" s="87"/>
      <c r="E13589" s="87"/>
      <c r="F13589" s="87"/>
      <c r="G13589" s="87"/>
    </row>
    <row r="13590">
      <c r="A13590" s="86" t="str">
        <f>IFERROR(__xludf.DUMMYFUNCTION("""COMPUTED_VALUE"""),"")</f>
        <v/>
      </c>
      <c r="B13590" s="87"/>
      <c r="C13590" s="87"/>
      <c r="D13590" s="87"/>
      <c r="E13590" s="87"/>
      <c r="F13590" s="87"/>
      <c r="G13590" s="87"/>
    </row>
    <row r="13591">
      <c r="A13591" s="86" t="str">
        <f>IFERROR(__xludf.DUMMYFUNCTION("""COMPUTED_VALUE"""),"")</f>
        <v/>
      </c>
      <c r="B13591" s="87"/>
      <c r="C13591" s="87"/>
      <c r="D13591" s="87"/>
      <c r="E13591" s="87"/>
      <c r="F13591" s="87"/>
      <c r="G13591" s="87"/>
    </row>
    <row r="13592">
      <c r="A13592" s="86" t="str">
        <f>IFERROR(__xludf.DUMMYFUNCTION("""COMPUTED_VALUE"""),"")</f>
        <v/>
      </c>
      <c r="B13592" s="87"/>
      <c r="C13592" s="87"/>
      <c r="D13592" s="87"/>
      <c r="E13592" s="87"/>
      <c r="F13592" s="87"/>
      <c r="G13592" s="87"/>
    </row>
    <row r="13593">
      <c r="A13593" s="86" t="str">
        <f>IFERROR(__xludf.DUMMYFUNCTION("""COMPUTED_VALUE"""),"")</f>
        <v/>
      </c>
      <c r="B13593" s="87"/>
      <c r="C13593" s="87"/>
      <c r="D13593" s="87"/>
      <c r="E13593" s="87"/>
      <c r="F13593" s="87"/>
      <c r="G13593" s="87"/>
    </row>
    <row r="13594">
      <c r="A13594" s="86" t="str">
        <f>IFERROR(__xludf.DUMMYFUNCTION("""COMPUTED_VALUE"""),"")</f>
        <v/>
      </c>
      <c r="B13594" s="87"/>
      <c r="C13594" s="87"/>
      <c r="D13594" s="87"/>
      <c r="E13594" s="87"/>
      <c r="F13594" s="87"/>
      <c r="G13594" s="87"/>
    </row>
    <row r="13595">
      <c r="A13595" s="86" t="str">
        <f>IFERROR(__xludf.DUMMYFUNCTION("""COMPUTED_VALUE"""),"")</f>
        <v/>
      </c>
      <c r="B13595" s="87"/>
      <c r="C13595" s="87"/>
      <c r="D13595" s="87"/>
      <c r="E13595" s="87"/>
      <c r="F13595" s="87"/>
      <c r="G13595" s="87"/>
    </row>
    <row r="13596">
      <c r="A13596" s="86" t="str">
        <f>IFERROR(__xludf.DUMMYFUNCTION("""COMPUTED_VALUE"""),"")</f>
        <v/>
      </c>
      <c r="B13596" s="87"/>
      <c r="C13596" s="87"/>
      <c r="D13596" s="87"/>
      <c r="E13596" s="87"/>
      <c r="F13596" s="87"/>
      <c r="G13596" s="87"/>
    </row>
    <row r="13597">
      <c r="A13597" s="86" t="str">
        <f>IFERROR(__xludf.DUMMYFUNCTION("""COMPUTED_VALUE"""),"")</f>
        <v/>
      </c>
      <c r="B13597" s="87"/>
      <c r="C13597" s="87"/>
      <c r="D13597" s="87"/>
      <c r="E13597" s="87"/>
      <c r="F13597" s="87"/>
      <c r="G13597" s="87"/>
    </row>
    <row r="13598">
      <c r="A13598" s="86" t="str">
        <f>IFERROR(__xludf.DUMMYFUNCTION("""COMPUTED_VALUE"""),"")</f>
        <v/>
      </c>
      <c r="B13598" s="87"/>
      <c r="C13598" s="87"/>
      <c r="D13598" s="87"/>
      <c r="E13598" s="87"/>
      <c r="F13598" s="87"/>
      <c r="G13598" s="87"/>
    </row>
    <row r="13599">
      <c r="A13599" s="86" t="str">
        <f>IFERROR(__xludf.DUMMYFUNCTION("""COMPUTED_VALUE"""),"")</f>
        <v/>
      </c>
      <c r="B13599" s="87"/>
      <c r="C13599" s="87"/>
      <c r="D13599" s="87"/>
      <c r="E13599" s="87"/>
      <c r="F13599" s="87"/>
      <c r="G13599" s="87"/>
    </row>
    <row r="13600">
      <c r="A13600" s="86" t="str">
        <f>IFERROR(__xludf.DUMMYFUNCTION("""COMPUTED_VALUE"""),"")</f>
        <v/>
      </c>
      <c r="B13600" s="87"/>
      <c r="C13600" s="87"/>
      <c r="D13600" s="87"/>
      <c r="E13600" s="87"/>
      <c r="F13600" s="87"/>
      <c r="G13600" s="87"/>
    </row>
    <row r="13601">
      <c r="A13601" s="86" t="str">
        <f>IFERROR(__xludf.DUMMYFUNCTION("""COMPUTED_VALUE"""),"")</f>
        <v/>
      </c>
      <c r="B13601" s="87"/>
      <c r="C13601" s="87"/>
      <c r="D13601" s="87"/>
      <c r="E13601" s="87"/>
      <c r="F13601" s="87"/>
      <c r="G13601" s="87"/>
    </row>
    <row r="13602">
      <c r="A13602" s="86" t="str">
        <f>IFERROR(__xludf.DUMMYFUNCTION("""COMPUTED_VALUE"""),"")</f>
        <v/>
      </c>
      <c r="B13602" s="87"/>
      <c r="C13602" s="87"/>
      <c r="D13602" s="87"/>
      <c r="E13602" s="87"/>
      <c r="F13602" s="87"/>
      <c r="G13602" s="87"/>
    </row>
    <row r="13603">
      <c r="A13603" s="86" t="str">
        <f>IFERROR(__xludf.DUMMYFUNCTION("""COMPUTED_VALUE"""),"")</f>
        <v/>
      </c>
      <c r="B13603" s="87"/>
      <c r="C13603" s="87"/>
      <c r="D13603" s="87"/>
      <c r="E13603" s="87"/>
      <c r="F13603" s="87"/>
      <c r="G13603" s="87"/>
    </row>
    <row r="13604">
      <c r="A13604" s="86" t="str">
        <f>IFERROR(__xludf.DUMMYFUNCTION("""COMPUTED_VALUE"""),"")</f>
        <v/>
      </c>
      <c r="B13604" s="87"/>
      <c r="C13604" s="87"/>
      <c r="D13604" s="87"/>
      <c r="E13604" s="87"/>
      <c r="F13604" s="87"/>
      <c r="G13604" s="87"/>
    </row>
    <row r="13605">
      <c r="A13605" s="86" t="str">
        <f>IFERROR(__xludf.DUMMYFUNCTION("""COMPUTED_VALUE"""),"")</f>
        <v/>
      </c>
      <c r="B13605" s="87"/>
      <c r="C13605" s="87"/>
      <c r="D13605" s="87"/>
      <c r="E13605" s="87"/>
      <c r="F13605" s="87"/>
      <c r="G13605" s="87"/>
    </row>
    <row r="13606">
      <c r="A13606" s="86" t="str">
        <f>IFERROR(__xludf.DUMMYFUNCTION("""COMPUTED_VALUE"""),"")</f>
        <v/>
      </c>
      <c r="B13606" s="87"/>
      <c r="C13606" s="87"/>
      <c r="D13606" s="87"/>
      <c r="E13606" s="87"/>
      <c r="F13606" s="87"/>
      <c r="G13606" s="87"/>
    </row>
    <row r="13607">
      <c r="A13607" s="86" t="str">
        <f>IFERROR(__xludf.DUMMYFUNCTION("""COMPUTED_VALUE"""),"")</f>
        <v/>
      </c>
      <c r="B13607" s="87"/>
      <c r="C13607" s="87"/>
      <c r="D13607" s="87"/>
      <c r="E13607" s="87"/>
      <c r="F13607" s="87"/>
      <c r="G13607" s="87"/>
    </row>
    <row r="13608">
      <c r="A13608" s="86" t="str">
        <f>IFERROR(__xludf.DUMMYFUNCTION("""COMPUTED_VALUE"""),"")</f>
        <v/>
      </c>
      <c r="B13608" s="87"/>
      <c r="C13608" s="87"/>
      <c r="D13608" s="87"/>
      <c r="E13608" s="87"/>
      <c r="F13608" s="87"/>
      <c r="G13608" s="87"/>
    </row>
    <row r="13609">
      <c r="A13609" s="86" t="str">
        <f>IFERROR(__xludf.DUMMYFUNCTION("""COMPUTED_VALUE"""),"")</f>
        <v/>
      </c>
      <c r="B13609" s="87"/>
      <c r="C13609" s="87"/>
      <c r="D13609" s="87"/>
      <c r="E13609" s="87"/>
      <c r="F13609" s="87"/>
      <c r="G13609" s="87"/>
    </row>
    <row r="13610">
      <c r="A13610" s="86" t="str">
        <f>IFERROR(__xludf.DUMMYFUNCTION("""COMPUTED_VALUE"""),"")</f>
        <v/>
      </c>
      <c r="B13610" s="87"/>
      <c r="C13610" s="87"/>
      <c r="D13610" s="87"/>
      <c r="E13610" s="87"/>
      <c r="F13610" s="87"/>
      <c r="G13610" s="87"/>
    </row>
    <row r="13611">
      <c r="A13611" s="86" t="str">
        <f>IFERROR(__xludf.DUMMYFUNCTION("""COMPUTED_VALUE"""),"")</f>
        <v/>
      </c>
      <c r="B13611" s="87"/>
      <c r="C13611" s="87"/>
      <c r="D13611" s="87"/>
      <c r="E13611" s="87"/>
      <c r="F13611" s="87"/>
      <c r="G13611" s="87"/>
    </row>
    <row r="13612">
      <c r="A13612" s="86" t="str">
        <f>IFERROR(__xludf.DUMMYFUNCTION("""COMPUTED_VALUE"""),"")</f>
        <v/>
      </c>
      <c r="B13612" s="87"/>
      <c r="C13612" s="87"/>
      <c r="D13612" s="87"/>
      <c r="E13612" s="87"/>
      <c r="F13612" s="87"/>
      <c r="G13612" s="87"/>
    </row>
    <row r="13613">
      <c r="A13613" s="86" t="str">
        <f>IFERROR(__xludf.DUMMYFUNCTION("""COMPUTED_VALUE"""),"")</f>
        <v/>
      </c>
      <c r="B13613" s="87"/>
      <c r="C13613" s="87"/>
      <c r="D13613" s="87"/>
      <c r="E13613" s="87"/>
      <c r="F13613" s="87"/>
      <c r="G13613" s="87"/>
    </row>
    <row r="13614">
      <c r="A13614" s="86" t="str">
        <f>IFERROR(__xludf.DUMMYFUNCTION("""COMPUTED_VALUE"""),"")</f>
        <v/>
      </c>
      <c r="B13614" s="87"/>
      <c r="C13614" s="87"/>
      <c r="D13614" s="87"/>
      <c r="E13614" s="87"/>
      <c r="F13614" s="87"/>
      <c r="G13614" s="87"/>
    </row>
    <row r="13615">
      <c r="A13615" s="86" t="str">
        <f>IFERROR(__xludf.DUMMYFUNCTION("""COMPUTED_VALUE"""),"")</f>
        <v/>
      </c>
      <c r="B13615" s="87"/>
      <c r="C13615" s="87"/>
      <c r="D13615" s="87"/>
      <c r="E13615" s="87"/>
      <c r="F13615" s="87"/>
      <c r="G13615" s="87"/>
    </row>
    <row r="13616">
      <c r="A13616" s="86" t="str">
        <f>IFERROR(__xludf.DUMMYFUNCTION("""COMPUTED_VALUE"""),"")</f>
        <v/>
      </c>
      <c r="B13616" s="87"/>
      <c r="C13616" s="87"/>
      <c r="D13616" s="87"/>
      <c r="E13616" s="87"/>
      <c r="F13616" s="87"/>
      <c r="G13616" s="87"/>
    </row>
    <row r="13617">
      <c r="A13617" s="86" t="str">
        <f>IFERROR(__xludf.DUMMYFUNCTION("""COMPUTED_VALUE"""),"")</f>
        <v/>
      </c>
      <c r="B13617" s="87"/>
      <c r="C13617" s="87"/>
      <c r="D13617" s="87"/>
      <c r="E13617" s="87"/>
      <c r="F13617" s="87"/>
      <c r="G13617" s="87"/>
    </row>
    <row r="13618">
      <c r="A13618" s="86" t="str">
        <f>IFERROR(__xludf.DUMMYFUNCTION("""COMPUTED_VALUE"""),"")</f>
        <v/>
      </c>
      <c r="B13618" s="87"/>
      <c r="C13618" s="87"/>
      <c r="D13618" s="87"/>
      <c r="E13618" s="87"/>
      <c r="F13618" s="87"/>
      <c r="G13618" s="87"/>
    </row>
    <row r="13619">
      <c r="A13619" s="86" t="str">
        <f>IFERROR(__xludf.DUMMYFUNCTION("""COMPUTED_VALUE"""),"")</f>
        <v/>
      </c>
      <c r="B13619" s="87"/>
      <c r="C13619" s="87"/>
      <c r="D13619" s="87"/>
      <c r="E13619" s="87"/>
      <c r="F13619" s="87"/>
      <c r="G13619" s="87"/>
    </row>
    <row r="13620">
      <c r="A13620" s="86" t="str">
        <f>IFERROR(__xludf.DUMMYFUNCTION("""COMPUTED_VALUE"""),"")</f>
        <v/>
      </c>
      <c r="B13620" s="87"/>
      <c r="C13620" s="87"/>
      <c r="D13620" s="87"/>
      <c r="E13620" s="87"/>
      <c r="F13620" s="87"/>
      <c r="G13620" s="87"/>
    </row>
    <row r="13621">
      <c r="A13621" s="86" t="str">
        <f>IFERROR(__xludf.DUMMYFUNCTION("""COMPUTED_VALUE"""),"")</f>
        <v/>
      </c>
      <c r="B13621" s="87"/>
      <c r="C13621" s="87"/>
      <c r="D13621" s="87"/>
      <c r="E13621" s="87"/>
      <c r="F13621" s="87"/>
      <c r="G13621" s="87"/>
    </row>
    <row r="13622">
      <c r="A13622" s="86" t="str">
        <f>IFERROR(__xludf.DUMMYFUNCTION("""COMPUTED_VALUE"""),"")</f>
        <v/>
      </c>
      <c r="B13622" s="87"/>
      <c r="C13622" s="87"/>
      <c r="D13622" s="87"/>
      <c r="E13622" s="87"/>
      <c r="F13622" s="87"/>
      <c r="G13622" s="87"/>
    </row>
    <row r="13623">
      <c r="A13623" s="86" t="str">
        <f>IFERROR(__xludf.DUMMYFUNCTION("""COMPUTED_VALUE"""),"")</f>
        <v/>
      </c>
      <c r="B13623" s="87"/>
      <c r="C13623" s="87"/>
      <c r="D13623" s="87"/>
      <c r="E13623" s="87"/>
      <c r="F13623" s="87"/>
      <c r="G13623" s="87"/>
    </row>
    <row r="13624">
      <c r="A13624" s="86" t="str">
        <f>IFERROR(__xludf.DUMMYFUNCTION("""COMPUTED_VALUE"""),"")</f>
        <v/>
      </c>
      <c r="B13624" s="87"/>
      <c r="C13624" s="87"/>
      <c r="D13624" s="87"/>
      <c r="E13624" s="87"/>
      <c r="F13624" s="87"/>
      <c r="G13624" s="87"/>
    </row>
    <row r="13625">
      <c r="A13625" s="86" t="str">
        <f>IFERROR(__xludf.DUMMYFUNCTION("""COMPUTED_VALUE"""),"")</f>
        <v/>
      </c>
      <c r="B13625" s="87"/>
      <c r="C13625" s="87"/>
      <c r="D13625" s="87"/>
      <c r="E13625" s="87"/>
      <c r="F13625" s="87"/>
      <c r="G13625" s="87"/>
    </row>
    <row r="13626">
      <c r="A13626" s="86" t="str">
        <f>IFERROR(__xludf.DUMMYFUNCTION("""COMPUTED_VALUE"""),"")</f>
        <v/>
      </c>
      <c r="B13626" s="87"/>
      <c r="C13626" s="87"/>
      <c r="D13626" s="87"/>
      <c r="E13626" s="87"/>
      <c r="F13626" s="87"/>
      <c r="G13626" s="87"/>
    </row>
    <row r="13627">
      <c r="A13627" s="86" t="str">
        <f>IFERROR(__xludf.DUMMYFUNCTION("""COMPUTED_VALUE"""),"")</f>
        <v/>
      </c>
      <c r="B13627" s="87"/>
      <c r="C13627" s="87"/>
      <c r="D13627" s="87"/>
      <c r="E13627" s="87"/>
      <c r="F13627" s="87"/>
      <c r="G13627" s="87"/>
    </row>
    <row r="13628">
      <c r="A13628" s="86" t="str">
        <f>IFERROR(__xludf.DUMMYFUNCTION("""COMPUTED_VALUE"""),"")</f>
        <v/>
      </c>
      <c r="B13628" s="87"/>
      <c r="C13628" s="87"/>
      <c r="D13628" s="87"/>
      <c r="E13628" s="87"/>
      <c r="F13628" s="87"/>
      <c r="G13628" s="87"/>
    </row>
    <row r="13629">
      <c r="A13629" s="86" t="str">
        <f>IFERROR(__xludf.DUMMYFUNCTION("""COMPUTED_VALUE"""),"")</f>
        <v/>
      </c>
      <c r="B13629" s="87"/>
      <c r="C13629" s="87"/>
      <c r="D13629" s="87"/>
      <c r="E13629" s="87"/>
      <c r="F13629" s="87"/>
      <c r="G13629" s="87"/>
    </row>
    <row r="13630">
      <c r="A13630" s="86" t="str">
        <f>IFERROR(__xludf.DUMMYFUNCTION("""COMPUTED_VALUE"""),"")</f>
        <v/>
      </c>
      <c r="B13630" s="87"/>
      <c r="C13630" s="87"/>
      <c r="D13630" s="87"/>
      <c r="E13630" s="87"/>
      <c r="F13630" s="87"/>
      <c r="G13630" s="87"/>
    </row>
    <row r="13631">
      <c r="A13631" s="86" t="str">
        <f>IFERROR(__xludf.DUMMYFUNCTION("""COMPUTED_VALUE"""),"")</f>
        <v/>
      </c>
      <c r="B13631" s="87"/>
      <c r="C13631" s="87"/>
      <c r="D13631" s="87"/>
      <c r="E13631" s="87"/>
      <c r="F13631" s="87"/>
      <c r="G13631" s="87"/>
    </row>
    <row r="13632">
      <c r="A13632" s="86" t="str">
        <f>IFERROR(__xludf.DUMMYFUNCTION("""COMPUTED_VALUE"""),"")</f>
        <v/>
      </c>
      <c r="B13632" s="87"/>
      <c r="C13632" s="87"/>
      <c r="D13632" s="87"/>
      <c r="E13632" s="87"/>
      <c r="F13632" s="87"/>
      <c r="G13632" s="87"/>
    </row>
    <row r="13633">
      <c r="A13633" s="86" t="str">
        <f>IFERROR(__xludf.DUMMYFUNCTION("""COMPUTED_VALUE"""),"")</f>
        <v/>
      </c>
      <c r="B13633" s="87"/>
      <c r="C13633" s="87"/>
      <c r="D13633" s="87"/>
      <c r="E13633" s="87"/>
      <c r="F13633" s="87"/>
      <c r="G13633" s="87"/>
    </row>
    <row r="13634">
      <c r="A13634" s="86" t="str">
        <f>IFERROR(__xludf.DUMMYFUNCTION("""COMPUTED_VALUE"""),"")</f>
        <v/>
      </c>
      <c r="B13634" s="87"/>
      <c r="C13634" s="87"/>
      <c r="D13634" s="87"/>
      <c r="E13634" s="87"/>
      <c r="F13634" s="87"/>
      <c r="G13634" s="87"/>
    </row>
    <row r="13635">
      <c r="A13635" s="86" t="str">
        <f>IFERROR(__xludf.DUMMYFUNCTION("""COMPUTED_VALUE"""),"")</f>
        <v/>
      </c>
      <c r="B13635" s="87"/>
      <c r="C13635" s="87"/>
      <c r="D13635" s="87"/>
      <c r="E13635" s="87"/>
      <c r="F13635" s="87"/>
      <c r="G13635" s="87"/>
    </row>
    <row r="13636">
      <c r="A13636" s="86" t="str">
        <f>IFERROR(__xludf.DUMMYFUNCTION("""COMPUTED_VALUE"""),"")</f>
        <v/>
      </c>
      <c r="B13636" s="87"/>
      <c r="C13636" s="87"/>
      <c r="D13636" s="87"/>
      <c r="E13636" s="87"/>
      <c r="F13636" s="87"/>
      <c r="G13636" s="87"/>
    </row>
    <row r="13637">
      <c r="A13637" s="86" t="str">
        <f>IFERROR(__xludf.DUMMYFUNCTION("""COMPUTED_VALUE"""),"")</f>
        <v/>
      </c>
      <c r="B13637" s="87"/>
      <c r="C13637" s="87"/>
      <c r="D13637" s="87"/>
      <c r="E13637" s="87"/>
      <c r="F13637" s="87"/>
      <c r="G13637" s="87"/>
    </row>
    <row r="13638">
      <c r="A13638" s="86" t="str">
        <f>IFERROR(__xludf.DUMMYFUNCTION("""COMPUTED_VALUE"""),"")</f>
        <v/>
      </c>
      <c r="B13638" s="87"/>
      <c r="C13638" s="87"/>
      <c r="D13638" s="87"/>
      <c r="E13638" s="87"/>
      <c r="F13638" s="87"/>
      <c r="G13638" s="87"/>
    </row>
    <row r="13639">
      <c r="A13639" s="86" t="str">
        <f>IFERROR(__xludf.DUMMYFUNCTION("""COMPUTED_VALUE"""),"")</f>
        <v/>
      </c>
      <c r="B13639" s="87"/>
      <c r="C13639" s="87"/>
      <c r="D13639" s="87"/>
      <c r="E13639" s="87"/>
      <c r="F13639" s="87"/>
      <c r="G13639" s="87"/>
    </row>
    <row r="13640">
      <c r="A13640" s="86" t="str">
        <f>IFERROR(__xludf.DUMMYFUNCTION("""COMPUTED_VALUE"""),"")</f>
        <v/>
      </c>
      <c r="B13640" s="87"/>
      <c r="C13640" s="87"/>
      <c r="D13640" s="87"/>
      <c r="E13640" s="87"/>
      <c r="F13640" s="87"/>
      <c r="G13640" s="87"/>
    </row>
    <row r="13641">
      <c r="A13641" s="86" t="str">
        <f>IFERROR(__xludf.DUMMYFUNCTION("""COMPUTED_VALUE"""),"")</f>
        <v/>
      </c>
      <c r="B13641" s="87"/>
      <c r="C13641" s="87"/>
      <c r="D13641" s="87"/>
      <c r="E13641" s="87"/>
      <c r="F13641" s="87"/>
      <c r="G13641" s="87"/>
    </row>
    <row r="13642">
      <c r="A13642" s="86" t="str">
        <f>IFERROR(__xludf.DUMMYFUNCTION("""COMPUTED_VALUE"""),"")</f>
        <v/>
      </c>
      <c r="B13642" s="87"/>
      <c r="C13642" s="87"/>
      <c r="D13642" s="87"/>
      <c r="E13642" s="87"/>
      <c r="F13642" s="87"/>
      <c r="G13642" s="87"/>
    </row>
    <row r="13643">
      <c r="A13643" s="86" t="str">
        <f>IFERROR(__xludf.DUMMYFUNCTION("""COMPUTED_VALUE"""),"")</f>
        <v/>
      </c>
      <c r="B13643" s="87"/>
      <c r="C13643" s="87"/>
      <c r="D13643" s="87"/>
      <c r="E13643" s="87"/>
      <c r="F13643" s="87"/>
      <c r="G13643" s="87"/>
    </row>
    <row r="13644">
      <c r="A13644" s="86" t="str">
        <f>IFERROR(__xludf.DUMMYFUNCTION("""COMPUTED_VALUE"""),"")</f>
        <v/>
      </c>
      <c r="B13644" s="87"/>
      <c r="C13644" s="87"/>
      <c r="D13644" s="87"/>
      <c r="E13644" s="87"/>
      <c r="F13644" s="87"/>
      <c r="G13644" s="87"/>
    </row>
    <row r="13645">
      <c r="A13645" s="86" t="str">
        <f>IFERROR(__xludf.DUMMYFUNCTION("""COMPUTED_VALUE"""),"")</f>
        <v/>
      </c>
      <c r="B13645" s="87"/>
      <c r="C13645" s="87"/>
      <c r="D13645" s="87"/>
      <c r="E13645" s="87"/>
      <c r="F13645" s="87"/>
      <c r="G13645" s="87"/>
    </row>
    <row r="13646">
      <c r="A13646" s="86" t="str">
        <f>IFERROR(__xludf.DUMMYFUNCTION("""COMPUTED_VALUE"""),"")</f>
        <v/>
      </c>
      <c r="B13646" s="87"/>
      <c r="C13646" s="87"/>
      <c r="D13646" s="87"/>
      <c r="E13646" s="87"/>
      <c r="F13646" s="87"/>
      <c r="G13646" s="87"/>
    </row>
    <row r="13647">
      <c r="A13647" s="86" t="str">
        <f>IFERROR(__xludf.DUMMYFUNCTION("""COMPUTED_VALUE"""),"")</f>
        <v/>
      </c>
      <c r="B13647" s="87"/>
      <c r="C13647" s="87"/>
      <c r="D13647" s="87"/>
      <c r="E13647" s="87"/>
      <c r="F13647" s="87"/>
      <c r="G13647" s="87"/>
    </row>
    <row r="13648">
      <c r="A13648" s="86" t="str">
        <f>IFERROR(__xludf.DUMMYFUNCTION("""COMPUTED_VALUE"""),"")</f>
        <v/>
      </c>
      <c r="B13648" s="87"/>
      <c r="C13648" s="87"/>
      <c r="D13648" s="87"/>
      <c r="E13648" s="87"/>
      <c r="F13648" s="87"/>
      <c r="G13648" s="87"/>
    </row>
    <row r="13649">
      <c r="A13649" s="86" t="str">
        <f>IFERROR(__xludf.DUMMYFUNCTION("""COMPUTED_VALUE"""),"")</f>
        <v/>
      </c>
      <c r="B13649" s="87"/>
      <c r="C13649" s="87"/>
      <c r="D13649" s="87"/>
      <c r="E13649" s="87"/>
      <c r="F13649" s="87"/>
      <c r="G13649" s="87"/>
    </row>
    <row r="13650">
      <c r="A13650" s="86" t="str">
        <f>IFERROR(__xludf.DUMMYFUNCTION("""COMPUTED_VALUE"""),"")</f>
        <v/>
      </c>
      <c r="B13650" s="87"/>
      <c r="C13650" s="87"/>
      <c r="D13650" s="87"/>
      <c r="E13650" s="87"/>
      <c r="F13650" s="87"/>
      <c r="G13650" s="87"/>
    </row>
    <row r="13651">
      <c r="A13651" s="86" t="str">
        <f>IFERROR(__xludf.DUMMYFUNCTION("""COMPUTED_VALUE"""),"")</f>
        <v/>
      </c>
      <c r="B13651" s="87"/>
      <c r="C13651" s="87"/>
      <c r="D13651" s="87"/>
      <c r="E13651" s="87"/>
      <c r="F13651" s="87"/>
      <c r="G13651" s="87"/>
    </row>
    <row r="13652">
      <c r="A13652" s="86" t="str">
        <f>IFERROR(__xludf.DUMMYFUNCTION("""COMPUTED_VALUE"""),"")</f>
        <v/>
      </c>
      <c r="B13652" s="87"/>
      <c r="C13652" s="87"/>
      <c r="D13652" s="87"/>
      <c r="E13652" s="87"/>
      <c r="F13652" s="87"/>
      <c r="G13652" s="87"/>
    </row>
    <row r="13653">
      <c r="A13653" s="86" t="str">
        <f>IFERROR(__xludf.DUMMYFUNCTION("""COMPUTED_VALUE"""),"")</f>
        <v/>
      </c>
      <c r="B13653" s="87"/>
      <c r="C13653" s="87"/>
      <c r="D13653" s="87"/>
      <c r="E13653" s="87"/>
      <c r="F13653" s="87"/>
      <c r="G13653" s="87"/>
    </row>
    <row r="13654">
      <c r="A13654" s="86" t="str">
        <f>IFERROR(__xludf.DUMMYFUNCTION("""COMPUTED_VALUE"""),"")</f>
        <v/>
      </c>
      <c r="B13654" s="87"/>
      <c r="C13654" s="87"/>
      <c r="D13654" s="87"/>
      <c r="E13654" s="87"/>
      <c r="F13654" s="87"/>
      <c r="G13654" s="87"/>
    </row>
    <row r="13655">
      <c r="A13655" s="86" t="str">
        <f>IFERROR(__xludf.DUMMYFUNCTION("""COMPUTED_VALUE"""),"")</f>
        <v/>
      </c>
      <c r="B13655" s="87"/>
      <c r="C13655" s="87"/>
      <c r="D13655" s="87"/>
      <c r="E13655" s="87"/>
      <c r="F13655" s="87"/>
      <c r="G13655" s="87"/>
    </row>
    <row r="13656">
      <c r="A13656" s="86" t="str">
        <f>IFERROR(__xludf.DUMMYFUNCTION("""COMPUTED_VALUE"""),"")</f>
        <v/>
      </c>
      <c r="B13656" s="87"/>
      <c r="C13656" s="87"/>
      <c r="D13656" s="87"/>
      <c r="E13656" s="87"/>
      <c r="F13656" s="87"/>
      <c r="G13656" s="87"/>
    </row>
    <row r="13657">
      <c r="A13657" s="86" t="str">
        <f>IFERROR(__xludf.DUMMYFUNCTION("""COMPUTED_VALUE"""),"")</f>
        <v/>
      </c>
      <c r="B13657" s="87"/>
      <c r="C13657" s="87"/>
      <c r="D13657" s="87"/>
      <c r="E13657" s="87"/>
      <c r="F13657" s="87"/>
      <c r="G13657" s="87"/>
    </row>
    <row r="13658">
      <c r="A13658" s="86" t="str">
        <f>IFERROR(__xludf.DUMMYFUNCTION("""COMPUTED_VALUE"""),"")</f>
        <v/>
      </c>
      <c r="B13658" s="87"/>
      <c r="C13658" s="87"/>
      <c r="D13658" s="87"/>
      <c r="E13658" s="87"/>
      <c r="F13658" s="87"/>
      <c r="G13658" s="87"/>
    </row>
    <row r="13659">
      <c r="A13659" s="86" t="str">
        <f>IFERROR(__xludf.DUMMYFUNCTION("""COMPUTED_VALUE"""),"")</f>
        <v/>
      </c>
      <c r="B13659" s="87"/>
      <c r="C13659" s="87"/>
      <c r="D13659" s="87"/>
      <c r="E13659" s="87"/>
      <c r="F13659" s="87"/>
      <c r="G13659" s="87"/>
    </row>
    <row r="13660">
      <c r="A13660" s="86" t="str">
        <f>IFERROR(__xludf.DUMMYFUNCTION("""COMPUTED_VALUE"""),"")</f>
        <v/>
      </c>
      <c r="B13660" s="87"/>
      <c r="C13660" s="87"/>
      <c r="D13660" s="87"/>
      <c r="E13660" s="87"/>
      <c r="F13660" s="87"/>
      <c r="G13660" s="87"/>
    </row>
    <row r="13661">
      <c r="A13661" s="86" t="str">
        <f>IFERROR(__xludf.DUMMYFUNCTION("""COMPUTED_VALUE"""),"")</f>
        <v/>
      </c>
      <c r="B13661" s="87"/>
      <c r="C13661" s="87"/>
      <c r="D13661" s="87"/>
      <c r="E13661" s="87"/>
      <c r="F13661" s="87"/>
      <c r="G13661" s="87"/>
    </row>
    <row r="13662">
      <c r="A13662" s="86" t="str">
        <f>IFERROR(__xludf.DUMMYFUNCTION("""COMPUTED_VALUE"""),"")</f>
        <v/>
      </c>
      <c r="B13662" s="87"/>
      <c r="C13662" s="87"/>
      <c r="D13662" s="87"/>
      <c r="E13662" s="87"/>
      <c r="F13662" s="87"/>
      <c r="G13662" s="87"/>
    </row>
    <row r="13663">
      <c r="A13663" s="86" t="str">
        <f>IFERROR(__xludf.DUMMYFUNCTION("""COMPUTED_VALUE"""),"")</f>
        <v/>
      </c>
      <c r="B13663" s="87"/>
      <c r="C13663" s="87"/>
      <c r="D13663" s="87"/>
      <c r="E13663" s="87"/>
      <c r="F13663" s="87"/>
      <c r="G13663" s="87"/>
    </row>
    <row r="13664">
      <c r="A13664" s="86" t="str">
        <f>IFERROR(__xludf.DUMMYFUNCTION("""COMPUTED_VALUE"""),"")</f>
        <v/>
      </c>
      <c r="B13664" s="87"/>
      <c r="C13664" s="87"/>
      <c r="D13664" s="87"/>
      <c r="E13664" s="87"/>
      <c r="F13664" s="87"/>
      <c r="G13664" s="87"/>
    </row>
    <row r="13665">
      <c r="A13665" s="86" t="str">
        <f>IFERROR(__xludf.DUMMYFUNCTION("""COMPUTED_VALUE"""),"")</f>
        <v/>
      </c>
      <c r="B13665" s="87"/>
      <c r="C13665" s="87"/>
      <c r="D13665" s="87"/>
      <c r="E13665" s="87"/>
      <c r="F13665" s="87"/>
      <c r="G13665" s="87"/>
    </row>
    <row r="13666">
      <c r="A13666" s="86" t="str">
        <f>IFERROR(__xludf.DUMMYFUNCTION("""COMPUTED_VALUE"""),"")</f>
        <v/>
      </c>
      <c r="B13666" s="87"/>
      <c r="C13666" s="87"/>
      <c r="D13666" s="87"/>
      <c r="E13666" s="87"/>
      <c r="F13666" s="87"/>
      <c r="G13666" s="87"/>
    </row>
    <row r="13667">
      <c r="A13667" s="86" t="str">
        <f>IFERROR(__xludf.DUMMYFUNCTION("""COMPUTED_VALUE"""),"")</f>
        <v/>
      </c>
      <c r="B13667" s="87"/>
      <c r="C13667" s="87"/>
      <c r="D13667" s="87"/>
      <c r="E13667" s="87"/>
      <c r="F13667" s="87"/>
      <c r="G13667" s="87"/>
    </row>
    <row r="13668">
      <c r="A13668" s="86" t="str">
        <f>IFERROR(__xludf.DUMMYFUNCTION("""COMPUTED_VALUE"""),"")</f>
        <v/>
      </c>
      <c r="B13668" s="87"/>
      <c r="C13668" s="87"/>
      <c r="D13668" s="87"/>
      <c r="E13668" s="87"/>
      <c r="F13668" s="87"/>
      <c r="G13668" s="87"/>
    </row>
    <row r="13669">
      <c r="A13669" s="86" t="str">
        <f>IFERROR(__xludf.DUMMYFUNCTION("""COMPUTED_VALUE"""),"")</f>
        <v/>
      </c>
      <c r="B13669" s="87"/>
      <c r="C13669" s="87"/>
      <c r="D13669" s="87"/>
      <c r="E13669" s="87"/>
      <c r="F13669" s="87"/>
      <c r="G13669" s="87"/>
    </row>
    <row r="13670">
      <c r="A13670" s="86" t="str">
        <f>IFERROR(__xludf.DUMMYFUNCTION("""COMPUTED_VALUE"""),"")</f>
        <v/>
      </c>
      <c r="B13670" s="87"/>
      <c r="C13670" s="87"/>
      <c r="D13670" s="87"/>
      <c r="E13670" s="87"/>
      <c r="F13670" s="87"/>
      <c r="G13670" s="87"/>
    </row>
    <row r="13671">
      <c r="A13671" s="86" t="str">
        <f>IFERROR(__xludf.DUMMYFUNCTION("""COMPUTED_VALUE"""),"")</f>
        <v/>
      </c>
      <c r="B13671" s="87"/>
      <c r="C13671" s="87"/>
      <c r="D13671" s="87"/>
      <c r="E13671" s="87"/>
      <c r="F13671" s="87"/>
      <c r="G13671" s="87"/>
    </row>
    <row r="13672">
      <c r="A13672" s="86" t="str">
        <f>IFERROR(__xludf.DUMMYFUNCTION("""COMPUTED_VALUE"""),"")</f>
        <v/>
      </c>
      <c r="B13672" s="87"/>
      <c r="C13672" s="87"/>
      <c r="D13672" s="87"/>
      <c r="E13672" s="87"/>
      <c r="F13672" s="87"/>
      <c r="G13672" s="87"/>
    </row>
    <row r="13673">
      <c r="A13673" s="86" t="str">
        <f>IFERROR(__xludf.DUMMYFUNCTION("""COMPUTED_VALUE"""),"")</f>
        <v/>
      </c>
      <c r="B13673" s="87"/>
      <c r="C13673" s="87"/>
      <c r="D13673" s="87"/>
      <c r="E13673" s="87"/>
      <c r="F13673" s="87"/>
      <c r="G13673" s="87"/>
    </row>
    <row r="13674">
      <c r="A13674" s="86" t="str">
        <f>IFERROR(__xludf.DUMMYFUNCTION("""COMPUTED_VALUE"""),"")</f>
        <v/>
      </c>
      <c r="B13674" s="87"/>
      <c r="C13674" s="87"/>
      <c r="D13674" s="87"/>
      <c r="E13674" s="87"/>
      <c r="F13674" s="87"/>
      <c r="G13674" s="87"/>
    </row>
    <row r="13675">
      <c r="A13675" s="86" t="str">
        <f>IFERROR(__xludf.DUMMYFUNCTION("""COMPUTED_VALUE"""),"")</f>
        <v/>
      </c>
      <c r="B13675" s="87"/>
      <c r="C13675" s="87"/>
      <c r="D13675" s="87"/>
      <c r="E13675" s="87"/>
      <c r="F13675" s="87"/>
      <c r="G13675" s="87"/>
    </row>
    <row r="13676">
      <c r="A13676" s="86" t="str">
        <f>IFERROR(__xludf.DUMMYFUNCTION("""COMPUTED_VALUE"""),"")</f>
        <v/>
      </c>
      <c r="B13676" s="87"/>
      <c r="C13676" s="87"/>
      <c r="D13676" s="87"/>
      <c r="E13676" s="87"/>
      <c r="F13676" s="87"/>
      <c r="G13676" s="87"/>
    </row>
    <row r="13677">
      <c r="A13677" s="86" t="str">
        <f>IFERROR(__xludf.DUMMYFUNCTION("""COMPUTED_VALUE"""),"")</f>
        <v/>
      </c>
      <c r="B13677" s="87"/>
      <c r="C13677" s="87"/>
      <c r="D13677" s="87"/>
      <c r="E13677" s="87"/>
      <c r="F13677" s="87"/>
      <c r="G13677" s="87"/>
    </row>
    <row r="13678">
      <c r="A13678" s="86" t="str">
        <f>IFERROR(__xludf.DUMMYFUNCTION("""COMPUTED_VALUE"""),"")</f>
        <v/>
      </c>
      <c r="B13678" s="87"/>
      <c r="C13678" s="87"/>
      <c r="D13678" s="87"/>
      <c r="E13678" s="87"/>
      <c r="F13678" s="87"/>
      <c r="G13678" s="87"/>
    </row>
    <row r="13679">
      <c r="A13679" s="86" t="str">
        <f>IFERROR(__xludf.DUMMYFUNCTION("""COMPUTED_VALUE"""),"")</f>
        <v/>
      </c>
      <c r="B13679" s="87"/>
      <c r="C13679" s="87"/>
      <c r="D13679" s="87"/>
      <c r="E13679" s="87"/>
      <c r="F13679" s="87"/>
      <c r="G13679" s="87"/>
    </row>
    <row r="13680">
      <c r="A13680" s="86" t="str">
        <f>IFERROR(__xludf.DUMMYFUNCTION("""COMPUTED_VALUE"""),"")</f>
        <v/>
      </c>
      <c r="B13680" s="87"/>
      <c r="C13680" s="87"/>
      <c r="D13680" s="87"/>
      <c r="E13680" s="87"/>
      <c r="F13680" s="87"/>
      <c r="G13680" s="87"/>
    </row>
    <row r="13681">
      <c r="A13681" s="86" t="str">
        <f>IFERROR(__xludf.DUMMYFUNCTION("""COMPUTED_VALUE"""),"")</f>
        <v/>
      </c>
      <c r="B13681" s="87"/>
      <c r="C13681" s="87"/>
      <c r="D13681" s="87"/>
      <c r="E13681" s="87"/>
      <c r="F13681" s="87"/>
      <c r="G13681" s="87"/>
    </row>
    <row r="13682">
      <c r="A13682" s="86" t="str">
        <f>IFERROR(__xludf.DUMMYFUNCTION("""COMPUTED_VALUE"""),"")</f>
        <v/>
      </c>
      <c r="B13682" s="87"/>
      <c r="C13682" s="87"/>
      <c r="D13682" s="87"/>
      <c r="E13682" s="87"/>
      <c r="F13682" s="87"/>
      <c r="G13682" s="87"/>
    </row>
    <row r="13683">
      <c r="A13683" s="86" t="str">
        <f>IFERROR(__xludf.DUMMYFUNCTION("""COMPUTED_VALUE"""),"")</f>
        <v/>
      </c>
      <c r="B13683" s="87"/>
      <c r="C13683" s="87"/>
      <c r="D13683" s="87"/>
      <c r="E13683" s="87"/>
      <c r="F13683" s="87"/>
      <c r="G13683" s="87"/>
    </row>
    <row r="13684">
      <c r="A13684" s="86" t="str">
        <f>IFERROR(__xludf.DUMMYFUNCTION("""COMPUTED_VALUE"""),"")</f>
        <v/>
      </c>
      <c r="B13684" s="87"/>
      <c r="C13684" s="87"/>
      <c r="D13684" s="87"/>
      <c r="E13684" s="87"/>
      <c r="F13684" s="87"/>
      <c r="G13684" s="87"/>
    </row>
    <row r="13685">
      <c r="A13685" s="86" t="str">
        <f>IFERROR(__xludf.DUMMYFUNCTION("""COMPUTED_VALUE"""),"")</f>
        <v/>
      </c>
      <c r="B13685" s="87"/>
      <c r="C13685" s="87"/>
      <c r="D13685" s="87"/>
      <c r="E13685" s="87"/>
      <c r="F13685" s="87"/>
      <c r="G13685" s="87"/>
    </row>
    <row r="13686">
      <c r="A13686" s="86" t="str">
        <f>IFERROR(__xludf.DUMMYFUNCTION("""COMPUTED_VALUE"""),"")</f>
        <v/>
      </c>
      <c r="B13686" s="87"/>
      <c r="C13686" s="87"/>
      <c r="D13686" s="87"/>
      <c r="E13686" s="87"/>
      <c r="F13686" s="87"/>
      <c r="G13686" s="87"/>
    </row>
    <row r="13687">
      <c r="A13687" s="86" t="str">
        <f>IFERROR(__xludf.DUMMYFUNCTION("""COMPUTED_VALUE"""),"")</f>
        <v/>
      </c>
      <c r="B13687" s="87"/>
      <c r="C13687" s="87"/>
      <c r="D13687" s="87"/>
      <c r="E13687" s="87"/>
      <c r="F13687" s="87"/>
      <c r="G13687" s="87"/>
    </row>
    <row r="13688">
      <c r="A13688" s="86" t="str">
        <f>IFERROR(__xludf.DUMMYFUNCTION("""COMPUTED_VALUE"""),"")</f>
        <v/>
      </c>
      <c r="B13688" s="87"/>
      <c r="C13688" s="87"/>
      <c r="D13688" s="87"/>
      <c r="E13688" s="87"/>
      <c r="F13688" s="87"/>
      <c r="G13688" s="87"/>
    </row>
    <row r="13689">
      <c r="A13689" s="86" t="str">
        <f>IFERROR(__xludf.DUMMYFUNCTION("""COMPUTED_VALUE"""),"")</f>
        <v/>
      </c>
      <c r="B13689" s="87"/>
      <c r="C13689" s="87"/>
      <c r="D13689" s="87"/>
      <c r="E13689" s="87"/>
      <c r="F13689" s="87"/>
      <c r="G13689" s="87"/>
    </row>
    <row r="13690">
      <c r="A13690" s="86" t="str">
        <f>IFERROR(__xludf.DUMMYFUNCTION("""COMPUTED_VALUE"""),"")</f>
        <v/>
      </c>
      <c r="B13690" s="87"/>
      <c r="C13690" s="87"/>
      <c r="D13690" s="87"/>
      <c r="E13690" s="87"/>
      <c r="F13690" s="87"/>
      <c r="G13690" s="87"/>
    </row>
    <row r="13691">
      <c r="A13691" s="86" t="str">
        <f>IFERROR(__xludf.DUMMYFUNCTION("""COMPUTED_VALUE"""),"")</f>
        <v/>
      </c>
      <c r="B13691" s="87"/>
      <c r="C13691" s="87"/>
      <c r="D13691" s="87"/>
      <c r="E13691" s="87"/>
      <c r="F13691" s="87"/>
      <c r="G13691" s="87"/>
    </row>
    <row r="13692">
      <c r="A13692" s="86" t="str">
        <f>IFERROR(__xludf.DUMMYFUNCTION("""COMPUTED_VALUE"""),"")</f>
        <v/>
      </c>
      <c r="B13692" s="87"/>
      <c r="C13692" s="87"/>
      <c r="D13692" s="87"/>
      <c r="E13692" s="87"/>
      <c r="F13692" s="87"/>
      <c r="G13692" s="87"/>
    </row>
    <row r="13693">
      <c r="A13693" s="86" t="str">
        <f>IFERROR(__xludf.DUMMYFUNCTION("""COMPUTED_VALUE"""),"")</f>
        <v/>
      </c>
      <c r="B13693" s="87"/>
      <c r="C13693" s="87"/>
      <c r="D13693" s="87"/>
      <c r="E13693" s="87"/>
      <c r="F13693" s="87"/>
      <c r="G13693" s="87"/>
    </row>
    <row r="13694">
      <c r="A13694" s="86" t="str">
        <f>IFERROR(__xludf.DUMMYFUNCTION("""COMPUTED_VALUE"""),"")</f>
        <v/>
      </c>
      <c r="B13694" s="87"/>
      <c r="C13694" s="87"/>
      <c r="D13694" s="87"/>
      <c r="E13694" s="87"/>
      <c r="F13694" s="87"/>
      <c r="G13694" s="87"/>
    </row>
    <row r="13695">
      <c r="A13695" s="86" t="str">
        <f>IFERROR(__xludf.DUMMYFUNCTION("""COMPUTED_VALUE"""),"")</f>
        <v/>
      </c>
      <c r="B13695" s="87"/>
      <c r="C13695" s="87"/>
      <c r="D13695" s="87"/>
      <c r="E13695" s="87"/>
      <c r="F13695" s="87"/>
      <c r="G13695" s="87"/>
    </row>
    <row r="13696">
      <c r="A13696" s="86" t="str">
        <f>IFERROR(__xludf.DUMMYFUNCTION("""COMPUTED_VALUE"""),"")</f>
        <v/>
      </c>
      <c r="B13696" s="87"/>
      <c r="C13696" s="87"/>
      <c r="D13696" s="87"/>
      <c r="E13696" s="87"/>
      <c r="F13696" s="87"/>
      <c r="G13696" s="87"/>
    </row>
    <row r="13697">
      <c r="A13697" s="86" t="str">
        <f>IFERROR(__xludf.DUMMYFUNCTION("""COMPUTED_VALUE"""),"")</f>
        <v/>
      </c>
      <c r="B13697" s="87"/>
      <c r="C13697" s="87"/>
      <c r="D13697" s="87"/>
      <c r="E13697" s="87"/>
      <c r="F13697" s="87"/>
      <c r="G13697" s="87"/>
    </row>
    <row r="13698">
      <c r="A13698" s="86" t="str">
        <f>IFERROR(__xludf.DUMMYFUNCTION("""COMPUTED_VALUE"""),"")</f>
        <v/>
      </c>
      <c r="B13698" s="87"/>
      <c r="C13698" s="87"/>
      <c r="D13698" s="87"/>
      <c r="E13698" s="87"/>
      <c r="F13698" s="87"/>
      <c r="G13698" s="87"/>
    </row>
    <row r="13699">
      <c r="A13699" s="86" t="str">
        <f>IFERROR(__xludf.DUMMYFUNCTION("""COMPUTED_VALUE"""),"")</f>
        <v/>
      </c>
      <c r="B13699" s="87"/>
      <c r="C13699" s="87"/>
      <c r="D13699" s="87"/>
      <c r="E13699" s="87"/>
      <c r="F13699" s="87"/>
      <c r="G13699" s="87"/>
    </row>
    <row r="13700">
      <c r="A13700" s="86" t="str">
        <f>IFERROR(__xludf.DUMMYFUNCTION("""COMPUTED_VALUE"""),"")</f>
        <v/>
      </c>
      <c r="B13700" s="87"/>
      <c r="C13700" s="87"/>
      <c r="D13700" s="87"/>
      <c r="E13700" s="87"/>
      <c r="F13700" s="87"/>
      <c r="G13700" s="87"/>
    </row>
    <row r="13701">
      <c r="A13701" s="86" t="str">
        <f>IFERROR(__xludf.DUMMYFUNCTION("""COMPUTED_VALUE"""),"")</f>
        <v/>
      </c>
      <c r="B13701" s="87"/>
      <c r="C13701" s="87"/>
      <c r="D13701" s="87"/>
      <c r="E13701" s="87"/>
      <c r="F13701" s="87"/>
      <c r="G13701" s="87"/>
    </row>
    <row r="13702">
      <c r="A13702" s="86" t="str">
        <f>IFERROR(__xludf.DUMMYFUNCTION("""COMPUTED_VALUE"""),"")</f>
        <v/>
      </c>
      <c r="B13702" s="87"/>
      <c r="C13702" s="87"/>
      <c r="D13702" s="87"/>
      <c r="E13702" s="87"/>
      <c r="F13702" s="87"/>
      <c r="G13702" s="87"/>
    </row>
    <row r="13703">
      <c r="A13703" s="86" t="str">
        <f>IFERROR(__xludf.DUMMYFUNCTION("""COMPUTED_VALUE"""),"")</f>
        <v/>
      </c>
      <c r="B13703" s="87"/>
      <c r="C13703" s="87"/>
      <c r="D13703" s="87"/>
      <c r="E13703" s="87"/>
      <c r="F13703" s="87"/>
      <c r="G13703" s="87"/>
    </row>
    <row r="13704">
      <c r="A13704" s="86" t="str">
        <f>IFERROR(__xludf.DUMMYFUNCTION("""COMPUTED_VALUE"""),"")</f>
        <v/>
      </c>
      <c r="B13704" s="87"/>
      <c r="C13704" s="87"/>
      <c r="D13704" s="87"/>
      <c r="E13704" s="87"/>
      <c r="F13704" s="87"/>
      <c r="G13704" s="87"/>
    </row>
    <row r="13705">
      <c r="A13705" s="86" t="str">
        <f>IFERROR(__xludf.DUMMYFUNCTION("""COMPUTED_VALUE"""),"")</f>
        <v/>
      </c>
      <c r="B13705" s="87"/>
      <c r="C13705" s="87"/>
      <c r="D13705" s="87"/>
      <c r="E13705" s="87"/>
      <c r="F13705" s="87"/>
      <c r="G13705" s="87"/>
    </row>
    <row r="13706">
      <c r="A13706" s="86" t="str">
        <f>IFERROR(__xludf.DUMMYFUNCTION("""COMPUTED_VALUE"""),"")</f>
        <v/>
      </c>
      <c r="B13706" s="87"/>
      <c r="C13706" s="87"/>
      <c r="D13706" s="87"/>
      <c r="E13706" s="87"/>
      <c r="F13706" s="87"/>
      <c r="G13706" s="87"/>
    </row>
    <row r="13707">
      <c r="A13707" s="86" t="str">
        <f>IFERROR(__xludf.DUMMYFUNCTION("""COMPUTED_VALUE"""),"")</f>
        <v/>
      </c>
      <c r="B13707" s="87"/>
      <c r="C13707" s="87"/>
      <c r="D13707" s="87"/>
      <c r="E13707" s="87"/>
      <c r="F13707" s="87"/>
      <c r="G13707" s="87"/>
    </row>
    <row r="13708">
      <c r="A13708" s="86" t="str">
        <f>IFERROR(__xludf.DUMMYFUNCTION("""COMPUTED_VALUE"""),"")</f>
        <v/>
      </c>
      <c r="B13708" s="87"/>
      <c r="C13708" s="87"/>
      <c r="D13708" s="87"/>
      <c r="E13708" s="87"/>
      <c r="F13708" s="87"/>
      <c r="G13708" s="87"/>
    </row>
    <row r="13709">
      <c r="A13709" s="86" t="str">
        <f>IFERROR(__xludf.DUMMYFUNCTION("""COMPUTED_VALUE"""),"")</f>
        <v/>
      </c>
      <c r="B13709" s="87"/>
      <c r="C13709" s="87"/>
      <c r="D13709" s="87"/>
      <c r="E13709" s="87"/>
      <c r="F13709" s="87"/>
      <c r="G13709" s="87"/>
    </row>
    <row r="13710">
      <c r="A13710" s="86" t="str">
        <f>IFERROR(__xludf.DUMMYFUNCTION("""COMPUTED_VALUE"""),"")</f>
        <v/>
      </c>
      <c r="B13710" s="87"/>
      <c r="C13710" s="87"/>
      <c r="D13710" s="87"/>
      <c r="E13710" s="87"/>
      <c r="F13710" s="87"/>
      <c r="G13710" s="87"/>
    </row>
    <row r="13711">
      <c r="A13711" s="86" t="str">
        <f>IFERROR(__xludf.DUMMYFUNCTION("""COMPUTED_VALUE"""),"")</f>
        <v/>
      </c>
      <c r="B13711" s="87"/>
      <c r="C13711" s="87"/>
      <c r="D13711" s="87"/>
      <c r="E13711" s="87"/>
      <c r="F13711" s="87"/>
      <c r="G13711" s="87"/>
    </row>
    <row r="13712">
      <c r="A13712" s="86" t="str">
        <f>IFERROR(__xludf.DUMMYFUNCTION("""COMPUTED_VALUE"""),"")</f>
        <v/>
      </c>
      <c r="B13712" s="87"/>
      <c r="C13712" s="87"/>
      <c r="D13712" s="87"/>
      <c r="E13712" s="87"/>
      <c r="F13712" s="87"/>
      <c r="G13712" s="87"/>
    </row>
    <row r="13713">
      <c r="A13713" s="86" t="str">
        <f>IFERROR(__xludf.DUMMYFUNCTION("""COMPUTED_VALUE"""),"")</f>
        <v/>
      </c>
      <c r="B13713" s="87"/>
      <c r="C13713" s="87"/>
      <c r="D13713" s="87"/>
      <c r="E13713" s="87"/>
      <c r="F13713" s="87"/>
      <c r="G13713" s="87"/>
    </row>
    <row r="13714">
      <c r="A13714" s="86" t="str">
        <f>IFERROR(__xludf.DUMMYFUNCTION("""COMPUTED_VALUE"""),"")</f>
        <v/>
      </c>
      <c r="B13714" s="87"/>
      <c r="C13714" s="87"/>
      <c r="D13714" s="87"/>
      <c r="E13714" s="87"/>
      <c r="F13714" s="87"/>
      <c r="G13714" s="87"/>
    </row>
    <row r="13715">
      <c r="A13715" s="86" t="str">
        <f>IFERROR(__xludf.DUMMYFUNCTION("""COMPUTED_VALUE"""),"")</f>
        <v/>
      </c>
      <c r="B13715" s="87"/>
      <c r="C13715" s="87"/>
      <c r="D13715" s="87"/>
      <c r="E13715" s="87"/>
      <c r="F13715" s="87"/>
      <c r="G13715" s="87"/>
    </row>
    <row r="13716">
      <c r="A13716" s="86" t="str">
        <f>IFERROR(__xludf.DUMMYFUNCTION("""COMPUTED_VALUE"""),"")</f>
        <v/>
      </c>
      <c r="B13716" s="87"/>
      <c r="C13716" s="87"/>
      <c r="D13716" s="87"/>
      <c r="E13716" s="87"/>
      <c r="F13716" s="87"/>
      <c r="G13716" s="87"/>
    </row>
    <row r="13717">
      <c r="A13717" s="86" t="str">
        <f>IFERROR(__xludf.DUMMYFUNCTION("""COMPUTED_VALUE"""),"")</f>
        <v/>
      </c>
      <c r="B13717" s="87"/>
      <c r="C13717" s="87"/>
      <c r="D13717" s="87"/>
      <c r="E13717" s="87"/>
      <c r="F13717" s="87"/>
      <c r="G13717" s="87"/>
    </row>
    <row r="13718">
      <c r="A13718" s="86" t="str">
        <f>IFERROR(__xludf.DUMMYFUNCTION("""COMPUTED_VALUE"""),"")</f>
        <v/>
      </c>
      <c r="B13718" s="87"/>
      <c r="C13718" s="87"/>
      <c r="D13718" s="87"/>
      <c r="E13718" s="87"/>
      <c r="F13718" s="87"/>
      <c r="G13718" s="87"/>
    </row>
    <row r="13719">
      <c r="A13719" s="86" t="str">
        <f>IFERROR(__xludf.DUMMYFUNCTION("""COMPUTED_VALUE"""),"")</f>
        <v/>
      </c>
      <c r="B13719" s="87"/>
      <c r="C13719" s="87"/>
      <c r="D13719" s="87"/>
      <c r="E13719" s="87"/>
      <c r="F13719" s="87"/>
      <c r="G13719" s="87"/>
    </row>
    <row r="13720">
      <c r="A13720" s="86" t="str">
        <f>IFERROR(__xludf.DUMMYFUNCTION("""COMPUTED_VALUE"""),"")</f>
        <v/>
      </c>
      <c r="B13720" s="87"/>
      <c r="C13720" s="87"/>
      <c r="D13720" s="87"/>
      <c r="E13720" s="87"/>
      <c r="F13720" s="87"/>
      <c r="G13720" s="87"/>
    </row>
    <row r="13721">
      <c r="A13721" s="86" t="str">
        <f>IFERROR(__xludf.DUMMYFUNCTION("""COMPUTED_VALUE"""),"")</f>
        <v/>
      </c>
      <c r="B13721" s="87"/>
      <c r="C13721" s="87"/>
      <c r="D13721" s="87"/>
      <c r="E13721" s="87"/>
      <c r="F13721" s="87"/>
      <c r="G13721" s="87"/>
    </row>
    <row r="13722">
      <c r="A13722" s="86" t="str">
        <f>IFERROR(__xludf.DUMMYFUNCTION("""COMPUTED_VALUE"""),"")</f>
        <v/>
      </c>
      <c r="B13722" s="87"/>
      <c r="C13722" s="87"/>
      <c r="D13722" s="87"/>
      <c r="E13722" s="87"/>
      <c r="F13722" s="87"/>
      <c r="G13722" s="87"/>
    </row>
    <row r="13723">
      <c r="A13723" s="86" t="str">
        <f>IFERROR(__xludf.DUMMYFUNCTION("""COMPUTED_VALUE"""),"")</f>
        <v/>
      </c>
      <c r="B13723" s="87"/>
      <c r="C13723" s="87"/>
      <c r="D13723" s="87"/>
      <c r="E13723" s="87"/>
      <c r="F13723" s="87"/>
      <c r="G13723" s="87"/>
    </row>
    <row r="13724">
      <c r="A13724" s="86" t="str">
        <f>IFERROR(__xludf.DUMMYFUNCTION("""COMPUTED_VALUE"""),"")</f>
        <v/>
      </c>
      <c r="B13724" s="87"/>
      <c r="C13724" s="87"/>
      <c r="D13724" s="87"/>
      <c r="E13724" s="87"/>
      <c r="F13724" s="87"/>
      <c r="G13724" s="87"/>
    </row>
    <row r="13725">
      <c r="A13725" s="86" t="str">
        <f>IFERROR(__xludf.DUMMYFUNCTION("""COMPUTED_VALUE"""),"")</f>
        <v/>
      </c>
      <c r="B13725" s="87"/>
      <c r="C13725" s="87"/>
      <c r="D13725" s="87"/>
      <c r="E13725" s="87"/>
      <c r="F13725" s="87"/>
      <c r="G13725" s="87"/>
    </row>
    <row r="13726">
      <c r="A13726" s="86" t="str">
        <f>IFERROR(__xludf.DUMMYFUNCTION("""COMPUTED_VALUE"""),"")</f>
        <v/>
      </c>
      <c r="B13726" s="87"/>
      <c r="C13726" s="87"/>
      <c r="D13726" s="87"/>
      <c r="E13726" s="87"/>
      <c r="F13726" s="87"/>
      <c r="G13726" s="87"/>
    </row>
    <row r="13727">
      <c r="A13727" s="86" t="str">
        <f>IFERROR(__xludf.DUMMYFUNCTION("""COMPUTED_VALUE"""),"")</f>
        <v/>
      </c>
      <c r="B13727" s="87"/>
      <c r="C13727" s="87"/>
      <c r="D13727" s="87"/>
      <c r="E13727" s="87"/>
      <c r="F13727" s="87"/>
      <c r="G13727" s="87"/>
    </row>
    <row r="13728">
      <c r="A13728" s="86" t="str">
        <f>IFERROR(__xludf.DUMMYFUNCTION("""COMPUTED_VALUE"""),"")</f>
        <v/>
      </c>
      <c r="B13728" s="87"/>
      <c r="C13728" s="87"/>
      <c r="D13728" s="87"/>
      <c r="E13728" s="87"/>
      <c r="F13728" s="87"/>
      <c r="G13728" s="87"/>
    </row>
    <row r="13729">
      <c r="A13729" s="86" t="str">
        <f>IFERROR(__xludf.DUMMYFUNCTION("""COMPUTED_VALUE"""),"")</f>
        <v/>
      </c>
      <c r="B13729" s="87"/>
      <c r="C13729" s="87"/>
      <c r="D13729" s="87"/>
      <c r="E13729" s="87"/>
      <c r="F13729" s="87"/>
      <c r="G13729" s="87"/>
    </row>
    <row r="13730">
      <c r="A13730" s="86" t="str">
        <f>IFERROR(__xludf.DUMMYFUNCTION("""COMPUTED_VALUE"""),"")</f>
        <v/>
      </c>
      <c r="B13730" s="87"/>
      <c r="C13730" s="87"/>
      <c r="D13730" s="87"/>
      <c r="E13730" s="87"/>
      <c r="F13730" s="87"/>
      <c r="G13730" s="87"/>
    </row>
    <row r="13731">
      <c r="A13731" s="86" t="str">
        <f>IFERROR(__xludf.DUMMYFUNCTION("""COMPUTED_VALUE"""),"")</f>
        <v/>
      </c>
      <c r="B13731" s="87"/>
      <c r="C13731" s="87"/>
      <c r="D13731" s="87"/>
      <c r="E13731" s="87"/>
      <c r="F13731" s="87"/>
      <c r="G13731" s="87"/>
    </row>
    <row r="13732">
      <c r="A13732" s="86" t="str">
        <f>IFERROR(__xludf.DUMMYFUNCTION("""COMPUTED_VALUE"""),"")</f>
        <v/>
      </c>
      <c r="B13732" s="87"/>
      <c r="C13732" s="87"/>
      <c r="D13732" s="87"/>
      <c r="E13732" s="87"/>
      <c r="F13732" s="87"/>
      <c r="G13732" s="87"/>
    </row>
    <row r="13733">
      <c r="A13733" s="86" t="str">
        <f>IFERROR(__xludf.DUMMYFUNCTION("""COMPUTED_VALUE"""),"")</f>
        <v/>
      </c>
      <c r="B13733" s="87"/>
      <c r="C13733" s="87"/>
      <c r="D13733" s="87"/>
      <c r="E13733" s="87"/>
      <c r="F13733" s="87"/>
      <c r="G13733" s="87"/>
    </row>
    <row r="13734">
      <c r="A13734" s="86" t="str">
        <f>IFERROR(__xludf.DUMMYFUNCTION("""COMPUTED_VALUE"""),"")</f>
        <v/>
      </c>
      <c r="B13734" s="87"/>
      <c r="C13734" s="87"/>
      <c r="D13734" s="87"/>
      <c r="E13734" s="87"/>
      <c r="F13734" s="87"/>
      <c r="G13734" s="87"/>
    </row>
    <row r="13735">
      <c r="A13735" s="86" t="str">
        <f>IFERROR(__xludf.DUMMYFUNCTION("""COMPUTED_VALUE"""),"")</f>
        <v/>
      </c>
      <c r="B13735" s="87"/>
      <c r="C13735" s="87"/>
      <c r="D13735" s="87"/>
      <c r="E13735" s="87"/>
      <c r="F13735" s="87"/>
      <c r="G13735" s="87"/>
    </row>
    <row r="13736">
      <c r="A13736" s="86" t="str">
        <f>IFERROR(__xludf.DUMMYFUNCTION("""COMPUTED_VALUE"""),"")</f>
        <v/>
      </c>
      <c r="B13736" s="87"/>
      <c r="C13736" s="87"/>
      <c r="D13736" s="87"/>
      <c r="E13736" s="87"/>
      <c r="F13736" s="87"/>
      <c r="G13736" s="87"/>
    </row>
    <row r="13737">
      <c r="A13737" s="86" t="str">
        <f>IFERROR(__xludf.DUMMYFUNCTION("""COMPUTED_VALUE"""),"")</f>
        <v/>
      </c>
      <c r="B13737" s="87"/>
      <c r="C13737" s="87"/>
      <c r="D13737" s="87"/>
      <c r="E13737" s="87"/>
      <c r="F13737" s="87"/>
      <c r="G13737" s="87"/>
    </row>
    <row r="13738">
      <c r="A13738" s="86" t="str">
        <f>IFERROR(__xludf.DUMMYFUNCTION("""COMPUTED_VALUE"""),"")</f>
        <v/>
      </c>
      <c r="B13738" s="87"/>
      <c r="C13738" s="87"/>
      <c r="D13738" s="87"/>
      <c r="E13738" s="87"/>
      <c r="F13738" s="87"/>
      <c r="G13738" s="87"/>
    </row>
    <row r="13739">
      <c r="A13739" s="86" t="str">
        <f>IFERROR(__xludf.DUMMYFUNCTION("""COMPUTED_VALUE"""),"")</f>
        <v/>
      </c>
      <c r="B13739" s="87"/>
      <c r="C13739" s="87"/>
      <c r="D13739" s="87"/>
      <c r="E13739" s="87"/>
      <c r="F13739" s="87"/>
      <c r="G13739" s="87"/>
    </row>
    <row r="13740">
      <c r="A13740" s="86" t="str">
        <f>IFERROR(__xludf.DUMMYFUNCTION("""COMPUTED_VALUE"""),"")</f>
        <v/>
      </c>
      <c r="B13740" s="87"/>
      <c r="C13740" s="87"/>
      <c r="D13740" s="87"/>
      <c r="E13740" s="87"/>
      <c r="F13740" s="87"/>
      <c r="G13740" s="87"/>
    </row>
    <row r="13741">
      <c r="A13741" s="86" t="str">
        <f>IFERROR(__xludf.DUMMYFUNCTION("""COMPUTED_VALUE"""),"")</f>
        <v/>
      </c>
      <c r="B13741" s="87"/>
      <c r="C13741" s="87"/>
      <c r="D13741" s="87"/>
      <c r="E13741" s="87"/>
      <c r="F13741" s="87"/>
      <c r="G13741" s="87"/>
    </row>
    <row r="13742">
      <c r="A13742" s="86" t="str">
        <f>IFERROR(__xludf.DUMMYFUNCTION("""COMPUTED_VALUE"""),"")</f>
        <v/>
      </c>
      <c r="B13742" s="87"/>
      <c r="C13742" s="87"/>
      <c r="D13742" s="87"/>
      <c r="E13742" s="87"/>
      <c r="F13742" s="87"/>
      <c r="G13742" s="87"/>
    </row>
    <row r="13743">
      <c r="A13743" s="86" t="str">
        <f>IFERROR(__xludf.DUMMYFUNCTION("""COMPUTED_VALUE"""),"")</f>
        <v/>
      </c>
      <c r="B13743" s="87"/>
      <c r="C13743" s="87"/>
      <c r="D13743" s="87"/>
      <c r="E13743" s="87"/>
      <c r="F13743" s="87"/>
      <c r="G13743" s="87"/>
    </row>
    <row r="13744">
      <c r="A13744" s="86" t="str">
        <f>IFERROR(__xludf.DUMMYFUNCTION("""COMPUTED_VALUE"""),"")</f>
        <v/>
      </c>
      <c r="B13744" s="87"/>
      <c r="C13744" s="87"/>
      <c r="D13744" s="87"/>
      <c r="E13744" s="87"/>
      <c r="F13744" s="87"/>
      <c r="G13744" s="87"/>
    </row>
    <row r="13745">
      <c r="A13745" s="86" t="str">
        <f>IFERROR(__xludf.DUMMYFUNCTION("""COMPUTED_VALUE"""),"")</f>
        <v/>
      </c>
      <c r="B13745" s="87"/>
      <c r="C13745" s="87"/>
      <c r="D13745" s="87"/>
      <c r="E13745" s="87"/>
      <c r="F13745" s="87"/>
      <c r="G13745" s="87"/>
    </row>
    <row r="13746">
      <c r="A13746" s="86" t="str">
        <f>IFERROR(__xludf.DUMMYFUNCTION("""COMPUTED_VALUE"""),"")</f>
        <v/>
      </c>
      <c r="B13746" s="87"/>
      <c r="C13746" s="87"/>
      <c r="D13746" s="87"/>
      <c r="E13746" s="87"/>
      <c r="F13746" s="87"/>
      <c r="G13746" s="87"/>
    </row>
    <row r="13747">
      <c r="A13747" s="86" t="str">
        <f>IFERROR(__xludf.DUMMYFUNCTION("""COMPUTED_VALUE"""),"")</f>
        <v/>
      </c>
      <c r="B13747" s="87"/>
      <c r="C13747" s="87"/>
      <c r="D13747" s="87"/>
      <c r="E13747" s="87"/>
      <c r="F13747" s="87"/>
      <c r="G13747" s="87"/>
    </row>
    <row r="13748">
      <c r="A13748" s="86" t="str">
        <f>IFERROR(__xludf.DUMMYFUNCTION("""COMPUTED_VALUE"""),"")</f>
        <v/>
      </c>
      <c r="B13748" s="87"/>
      <c r="C13748" s="87"/>
      <c r="D13748" s="87"/>
      <c r="E13748" s="87"/>
      <c r="F13748" s="87"/>
      <c r="G13748" s="87"/>
    </row>
    <row r="13749">
      <c r="A13749" s="86" t="str">
        <f>IFERROR(__xludf.DUMMYFUNCTION("""COMPUTED_VALUE"""),"")</f>
        <v/>
      </c>
      <c r="B13749" s="87"/>
      <c r="C13749" s="87"/>
      <c r="D13749" s="87"/>
      <c r="E13749" s="87"/>
      <c r="F13749" s="87"/>
      <c r="G13749" s="87"/>
    </row>
    <row r="13750">
      <c r="A13750" s="86" t="str">
        <f>IFERROR(__xludf.DUMMYFUNCTION("""COMPUTED_VALUE"""),"")</f>
        <v/>
      </c>
      <c r="B13750" s="87"/>
      <c r="C13750" s="87"/>
      <c r="D13750" s="87"/>
      <c r="E13750" s="87"/>
      <c r="F13750" s="87"/>
      <c r="G13750" s="87"/>
    </row>
    <row r="13751">
      <c r="A13751" s="86" t="str">
        <f>IFERROR(__xludf.DUMMYFUNCTION("""COMPUTED_VALUE"""),"")</f>
        <v/>
      </c>
      <c r="B13751" s="87"/>
      <c r="C13751" s="87"/>
      <c r="D13751" s="87"/>
      <c r="E13751" s="87"/>
      <c r="F13751" s="87"/>
      <c r="G13751" s="87"/>
    </row>
    <row r="13752">
      <c r="A13752" s="86" t="str">
        <f>IFERROR(__xludf.DUMMYFUNCTION("""COMPUTED_VALUE"""),"")</f>
        <v/>
      </c>
      <c r="B13752" s="87"/>
      <c r="C13752" s="87"/>
      <c r="D13752" s="87"/>
      <c r="E13752" s="87"/>
      <c r="F13752" s="87"/>
      <c r="G13752" s="87"/>
    </row>
    <row r="13753">
      <c r="A13753" s="86" t="str">
        <f>IFERROR(__xludf.DUMMYFUNCTION("""COMPUTED_VALUE"""),"")</f>
        <v/>
      </c>
      <c r="B13753" s="87"/>
      <c r="C13753" s="87"/>
      <c r="D13753" s="87"/>
      <c r="E13753" s="87"/>
      <c r="F13753" s="87"/>
      <c r="G13753" s="87"/>
    </row>
    <row r="13754">
      <c r="A13754" s="86" t="str">
        <f>IFERROR(__xludf.DUMMYFUNCTION("""COMPUTED_VALUE"""),"")</f>
        <v/>
      </c>
      <c r="B13754" s="87"/>
      <c r="C13754" s="87"/>
      <c r="D13754" s="87"/>
      <c r="E13754" s="87"/>
      <c r="F13754" s="87"/>
      <c r="G13754" s="87"/>
    </row>
    <row r="13755">
      <c r="A13755" s="86" t="str">
        <f>IFERROR(__xludf.DUMMYFUNCTION("""COMPUTED_VALUE"""),"")</f>
        <v/>
      </c>
      <c r="B13755" s="87"/>
      <c r="C13755" s="87"/>
      <c r="D13755" s="87"/>
      <c r="E13755" s="87"/>
      <c r="F13755" s="87"/>
      <c r="G13755" s="87"/>
    </row>
    <row r="13756">
      <c r="A13756" s="86" t="str">
        <f>IFERROR(__xludf.DUMMYFUNCTION("""COMPUTED_VALUE"""),"")</f>
        <v/>
      </c>
      <c r="B13756" s="87"/>
      <c r="C13756" s="87"/>
      <c r="D13756" s="87"/>
      <c r="E13756" s="87"/>
      <c r="F13756" s="87"/>
      <c r="G13756" s="87"/>
    </row>
    <row r="13757">
      <c r="A13757" s="86" t="str">
        <f>IFERROR(__xludf.DUMMYFUNCTION("""COMPUTED_VALUE"""),"")</f>
        <v/>
      </c>
      <c r="B13757" s="87"/>
      <c r="C13757" s="87"/>
      <c r="D13757" s="87"/>
      <c r="E13757" s="87"/>
      <c r="F13757" s="87"/>
      <c r="G13757" s="87"/>
    </row>
    <row r="13758">
      <c r="A13758" s="86" t="str">
        <f>IFERROR(__xludf.DUMMYFUNCTION("""COMPUTED_VALUE"""),"")</f>
        <v/>
      </c>
      <c r="B13758" s="87"/>
      <c r="C13758" s="87"/>
      <c r="D13758" s="87"/>
      <c r="E13758" s="87"/>
      <c r="F13758" s="87"/>
      <c r="G13758" s="87"/>
    </row>
    <row r="13759">
      <c r="A13759" s="86" t="str">
        <f>IFERROR(__xludf.DUMMYFUNCTION("""COMPUTED_VALUE"""),"")</f>
        <v/>
      </c>
      <c r="B13759" s="87"/>
      <c r="C13759" s="87"/>
      <c r="D13759" s="87"/>
      <c r="E13759" s="87"/>
      <c r="F13759" s="87"/>
      <c r="G13759" s="87"/>
    </row>
    <row r="13760">
      <c r="A13760" s="86" t="str">
        <f>IFERROR(__xludf.DUMMYFUNCTION("""COMPUTED_VALUE"""),"")</f>
        <v/>
      </c>
      <c r="B13760" s="87"/>
      <c r="C13760" s="87"/>
      <c r="D13760" s="87"/>
      <c r="E13760" s="87"/>
      <c r="F13760" s="87"/>
      <c r="G13760" s="87"/>
    </row>
    <row r="13761">
      <c r="A13761" s="86" t="str">
        <f>IFERROR(__xludf.DUMMYFUNCTION("""COMPUTED_VALUE"""),"")</f>
        <v/>
      </c>
      <c r="B13761" s="87"/>
      <c r="C13761" s="87"/>
      <c r="D13761" s="87"/>
      <c r="E13761" s="87"/>
      <c r="F13761" s="87"/>
      <c r="G13761" s="87"/>
    </row>
    <row r="13762">
      <c r="A13762" s="86" t="str">
        <f>IFERROR(__xludf.DUMMYFUNCTION("""COMPUTED_VALUE"""),"")</f>
        <v/>
      </c>
      <c r="B13762" s="87"/>
      <c r="C13762" s="87"/>
      <c r="D13762" s="87"/>
      <c r="E13762" s="87"/>
      <c r="F13762" s="87"/>
      <c r="G13762" s="87"/>
    </row>
    <row r="13763">
      <c r="A13763" s="86" t="str">
        <f>IFERROR(__xludf.DUMMYFUNCTION("""COMPUTED_VALUE"""),"")</f>
        <v/>
      </c>
      <c r="B13763" s="87"/>
      <c r="C13763" s="87"/>
      <c r="D13763" s="87"/>
      <c r="E13763" s="87"/>
      <c r="F13763" s="87"/>
      <c r="G13763" s="87"/>
    </row>
    <row r="13764">
      <c r="A13764" s="86" t="str">
        <f>IFERROR(__xludf.DUMMYFUNCTION("""COMPUTED_VALUE"""),"")</f>
        <v/>
      </c>
      <c r="B13764" s="87"/>
      <c r="C13764" s="87"/>
      <c r="D13764" s="87"/>
      <c r="E13764" s="87"/>
      <c r="F13764" s="87"/>
      <c r="G13764" s="87"/>
    </row>
    <row r="13765">
      <c r="A13765" s="86" t="str">
        <f>IFERROR(__xludf.DUMMYFUNCTION("""COMPUTED_VALUE"""),"")</f>
        <v/>
      </c>
      <c r="B13765" s="87"/>
      <c r="C13765" s="87"/>
      <c r="D13765" s="87"/>
      <c r="E13765" s="87"/>
      <c r="F13765" s="87"/>
      <c r="G13765" s="87"/>
    </row>
    <row r="13766">
      <c r="A13766" s="86" t="str">
        <f>IFERROR(__xludf.DUMMYFUNCTION("""COMPUTED_VALUE"""),"")</f>
        <v/>
      </c>
      <c r="B13766" s="87"/>
      <c r="C13766" s="87"/>
      <c r="D13766" s="87"/>
      <c r="E13766" s="87"/>
      <c r="F13766" s="87"/>
      <c r="G13766" s="87"/>
    </row>
    <row r="13767">
      <c r="A13767" s="86" t="str">
        <f>IFERROR(__xludf.DUMMYFUNCTION("""COMPUTED_VALUE"""),"")</f>
        <v/>
      </c>
      <c r="B13767" s="87"/>
      <c r="C13767" s="87"/>
      <c r="D13767" s="87"/>
      <c r="E13767" s="87"/>
      <c r="F13767" s="87"/>
      <c r="G13767" s="87"/>
    </row>
    <row r="13768">
      <c r="A13768" s="86" t="str">
        <f>IFERROR(__xludf.DUMMYFUNCTION("""COMPUTED_VALUE"""),"")</f>
        <v/>
      </c>
      <c r="B13768" s="87"/>
      <c r="C13768" s="87"/>
      <c r="D13768" s="87"/>
      <c r="E13768" s="87"/>
      <c r="F13768" s="87"/>
      <c r="G13768" s="87"/>
    </row>
    <row r="13769">
      <c r="A13769" s="86" t="str">
        <f>IFERROR(__xludf.DUMMYFUNCTION("""COMPUTED_VALUE"""),"")</f>
        <v/>
      </c>
      <c r="B13769" s="87"/>
      <c r="C13769" s="87"/>
      <c r="D13769" s="87"/>
      <c r="E13769" s="87"/>
      <c r="F13769" s="87"/>
      <c r="G13769" s="87"/>
    </row>
    <row r="13770">
      <c r="A13770" s="86" t="str">
        <f>IFERROR(__xludf.DUMMYFUNCTION("""COMPUTED_VALUE"""),"")</f>
        <v/>
      </c>
      <c r="B13770" s="87"/>
      <c r="C13770" s="87"/>
      <c r="D13770" s="87"/>
      <c r="E13770" s="87"/>
      <c r="F13770" s="87"/>
      <c r="G13770" s="87"/>
    </row>
    <row r="13771">
      <c r="A13771" s="86" t="str">
        <f>IFERROR(__xludf.DUMMYFUNCTION("""COMPUTED_VALUE"""),"")</f>
        <v/>
      </c>
      <c r="B13771" s="87"/>
      <c r="C13771" s="87"/>
      <c r="D13771" s="87"/>
      <c r="E13771" s="87"/>
      <c r="F13771" s="87"/>
      <c r="G13771" s="87"/>
    </row>
    <row r="13772">
      <c r="A13772" s="86" t="str">
        <f>IFERROR(__xludf.DUMMYFUNCTION("""COMPUTED_VALUE"""),"")</f>
        <v/>
      </c>
      <c r="B13772" s="87"/>
      <c r="C13772" s="87"/>
      <c r="D13772" s="87"/>
      <c r="E13772" s="87"/>
      <c r="F13772" s="87"/>
      <c r="G13772" s="87"/>
    </row>
    <row r="13773">
      <c r="A13773" s="86" t="str">
        <f>IFERROR(__xludf.DUMMYFUNCTION("""COMPUTED_VALUE"""),"")</f>
        <v/>
      </c>
      <c r="B13773" s="87"/>
      <c r="C13773" s="87"/>
      <c r="D13773" s="87"/>
      <c r="E13773" s="87"/>
      <c r="F13773" s="87"/>
      <c r="G13773" s="87"/>
    </row>
    <row r="13774">
      <c r="A13774" s="86" t="str">
        <f>IFERROR(__xludf.DUMMYFUNCTION("""COMPUTED_VALUE"""),"")</f>
        <v/>
      </c>
      <c r="B13774" s="87"/>
      <c r="C13774" s="87"/>
      <c r="D13774" s="87"/>
      <c r="E13774" s="87"/>
      <c r="F13774" s="87"/>
      <c r="G13774" s="87"/>
    </row>
    <row r="13775">
      <c r="A13775" s="86" t="str">
        <f>IFERROR(__xludf.DUMMYFUNCTION("""COMPUTED_VALUE"""),"")</f>
        <v/>
      </c>
      <c r="B13775" s="87"/>
      <c r="C13775" s="87"/>
      <c r="D13775" s="87"/>
      <c r="E13775" s="87"/>
      <c r="F13775" s="87"/>
      <c r="G13775" s="87"/>
    </row>
    <row r="13776">
      <c r="A13776" s="86" t="str">
        <f>IFERROR(__xludf.DUMMYFUNCTION("""COMPUTED_VALUE"""),"")</f>
        <v/>
      </c>
      <c r="B13776" s="87"/>
      <c r="C13776" s="87"/>
      <c r="D13776" s="87"/>
      <c r="E13776" s="87"/>
      <c r="F13776" s="87"/>
      <c r="G13776" s="87"/>
    </row>
    <row r="13777">
      <c r="A13777" s="86" t="str">
        <f>IFERROR(__xludf.DUMMYFUNCTION("""COMPUTED_VALUE"""),"")</f>
        <v/>
      </c>
      <c r="B13777" s="87"/>
      <c r="C13777" s="87"/>
      <c r="D13777" s="87"/>
      <c r="E13777" s="87"/>
      <c r="F13777" s="87"/>
      <c r="G13777" s="87"/>
    </row>
    <row r="13778">
      <c r="A13778" s="86" t="str">
        <f>IFERROR(__xludf.DUMMYFUNCTION("""COMPUTED_VALUE"""),"")</f>
        <v/>
      </c>
      <c r="B13778" s="87"/>
      <c r="C13778" s="87"/>
      <c r="D13778" s="87"/>
      <c r="E13778" s="87"/>
      <c r="F13778" s="87"/>
      <c r="G13778" s="87"/>
    </row>
    <row r="13779">
      <c r="A13779" s="86" t="str">
        <f>IFERROR(__xludf.DUMMYFUNCTION("""COMPUTED_VALUE"""),"")</f>
        <v/>
      </c>
      <c r="B13779" s="87"/>
      <c r="C13779" s="87"/>
      <c r="D13779" s="87"/>
      <c r="E13779" s="87"/>
      <c r="F13779" s="87"/>
      <c r="G13779" s="87"/>
    </row>
    <row r="13780">
      <c r="A13780" s="86" t="str">
        <f>IFERROR(__xludf.DUMMYFUNCTION("""COMPUTED_VALUE"""),"")</f>
        <v/>
      </c>
      <c r="B13780" s="87"/>
      <c r="C13780" s="87"/>
      <c r="D13780" s="87"/>
      <c r="E13780" s="87"/>
      <c r="F13780" s="87"/>
      <c r="G13780" s="87"/>
    </row>
    <row r="13781">
      <c r="A13781" s="86" t="str">
        <f>IFERROR(__xludf.DUMMYFUNCTION("""COMPUTED_VALUE"""),"")</f>
        <v/>
      </c>
      <c r="B13781" s="87"/>
      <c r="C13781" s="87"/>
      <c r="D13781" s="87"/>
      <c r="E13781" s="87"/>
      <c r="F13781" s="87"/>
      <c r="G13781" s="87"/>
    </row>
    <row r="13782">
      <c r="A13782" s="86" t="str">
        <f>IFERROR(__xludf.DUMMYFUNCTION("""COMPUTED_VALUE"""),"")</f>
        <v/>
      </c>
      <c r="B13782" s="87"/>
      <c r="C13782" s="87"/>
      <c r="D13782" s="87"/>
      <c r="E13782" s="87"/>
      <c r="F13782" s="87"/>
      <c r="G13782" s="87"/>
    </row>
    <row r="13783">
      <c r="A13783" s="86" t="str">
        <f>IFERROR(__xludf.DUMMYFUNCTION("""COMPUTED_VALUE"""),"")</f>
        <v/>
      </c>
      <c r="B13783" s="87"/>
      <c r="C13783" s="87"/>
      <c r="D13783" s="87"/>
      <c r="E13783" s="87"/>
      <c r="F13783" s="87"/>
      <c r="G13783" s="87"/>
    </row>
    <row r="13784">
      <c r="A13784" s="86" t="str">
        <f>IFERROR(__xludf.DUMMYFUNCTION("""COMPUTED_VALUE"""),"")</f>
        <v/>
      </c>
      <c r="B13784" s="87"/>
      <c r="C13784" s="87"/>
      <c r="D13784" s="87"/>
      <c r="E13784" s="87"/>
      <c r="F13784" s="87"/>
      <c r="G13784" s="87"/>
    </row>
    <row r="13785">
      <c r="A13785" s="86" t="str">
        <f>IFERROR(__xludf.DUMMYFUNCTION("""COMPUTED_VALUE"""),"")</f>
        <v/>
      </c>
      <c r="B13785" s="87"/>
      <c r="C13785" s="87"/>
      <c r="D13785" s="87"/>
      <c r="E13785" s="87"/>
      <c r="F13785" s="87"/>
      <c r="G13785" s="87"/>
    </row>
    <row r="13786">
      <c r="A13786" s="86" t="str">
        <f>IFERROR(__xludf.DUMMYFUNCTION("""COMPUTED_VALUE"""),"")</f>
        <v/>
      </c>
      <c r="B13786" s="87"/>
      <c r="C13786" s="87"/>
      <c r="D13786" s="87"/>
      <c r="E13786" s="87"/>
      <c r="F13786" s="87"/>
      <c r="G13786" s="87"/>
    </row>
    <row r="13787">
      <c r="A13787" s="86" t="str">
        <f>IFERROR(__xludf.DUMMYFUNCTION("""COMPUTED_VALUE"""),"")</f>
        <v/>
      </c>
      <c r="B13787" s="87"/>
      <c r="C13787" s="87"/>
      <c r="D13787" s="87"/>
      <c r="E13787" s="87"/>
      <c r="F13787" s="87"/>
      <c r="G13787" s="87"/>
    </row>
    <row r="13788">
      <c r="A13788" s="86" t="str">
        <f>IFERROR(__xludf.DUMMYFUNCTION("""COMPUTED_VALUE"""),"")</f>
        <v/>
      </c>
      <c r="B13788" s="87"/>
      <c r="C13788" s="87"/>
      <c r="D13788" s="87"/>
      <c r="E13788" s="87"/>
      <c r="F13788" s="87"/>
      <c r="G13788" s="87"/>
    </row>
    <row r="13789">
      <c r="A13789" s="86" t="str">
        <f>IFERROR(__xludf.DUMMYFUNCTION("""COMPUTED_VALUE"""),"")</f>
        <v/>
      </c>
      <c r="B13789" s="87"/>
      <c r="C13789" s="87"/>
      <c r="D13789" s="87"/>
      <c r="E13789" s="87"/>
      <c r="F13789" s="87"/>
      <c r="G13789" s="87"/>
    </row>
    <row r="13790">
      <c r="A13790" s="86" t="str">
        <f>IFERROR(__xludf.DUMMYFUNCTION("""COMPUTED_VALUE"""),"")</f>
        <v/>
      </c>
      <c r="B13790" s="87"/>
      <c r="C13790" s="87"/>
      <c r="D13790" s="87"/>
      <c r="E13790" s="87"/>
      <c r="F13790" s="87"/>
      <c r="G13790" s="87"/>
    </row>
    <row r="13791">
      <c r="A13791" s="86" t="str">
        <f>IFERROR(__xludf.DUMMYFUNCTION("""COMPUTED_VALUE"""),"")</f>
        <v/>
      </c>
      <c r="B13791" s="87"/>
      <c r="C13791" s="87"/>
      <c r="D13791" s="87"/>
      <c r="E13791" s="87"/>
      <c r="F13791" s="87"/>
      <c r="G13791" s="87"/>
    </row>
    <row r="13792">
      <c r="A13792" s="86" t="str">
        <f>IFERROR(__xludf.DUMMYFUNCTION("""COMPUTED_VALUE"""),"")</f>
        <v/>
      </c>
      <c r="B13792" s="87"/>
      <c r="C13792" s="87"/>
      <c r="D13792" s="87"/>
      <c r="E13792" s="87"/>
      <c r="F13792" s="87"/>
      <c r="G13792" s="87"/>
    </row>
    <row r="13793">
      <c r="A13793" s="86" t="str">
        <f>IFERROR(__xludf.DUMMYFUNCTION("""COMPUTED_VALUE"""),"")</f>
        <v/>
      </c>
      <c r="B13793" s="87"/>
      <c r="C13793" s="87"/>
      <c r="D13793" s="87"/>
      <c r="E13793" s="87"/>
      <c r="F13793" s="87"/>
      <c r="G13793" s="87"/>
    </row>
    <row r="13794">
      <c r="A13794" s="86" t="str">
        <f>IFERROR(__xludf.DUMMYFUNCTION("""COMPUTED_VALUE"""),"")</f>
        <v/>
      </c>
      <c r="B13794" s="87"/>
      <c r="C13794" s="87"/>
      <c r="D13794" s="87"/>
      <c r="E13794" s="87"/>
      <c r="F13794" s="87"/>
      <c r="G13794" s="87"/>
    </row>
    <row r="13795">
      <c r="A13795" s="86" t="str">
        <f>IFERROR(__xludf.DUMMYFUNCTION("""COMPUTED_VALUE"""),"")</f>
        <v/>
      </c>
      <c r="B13795" s="87"/>
      <c r="C13795" s="87"/>
      <c r="D13795" s="87"/>
      <c r="E13795" s="87"/>
      <c r="F13795" s="87"/>
      <c r="G13795" s="87"/>
    </row>
    <row r="13796">
      <c r="A13796" s="86" t="str">
        <f>IFERROR(__xludf.DUMMYFUNCTION("""COMPUTED_VALUE"""),"")</f>
        <v/>
      </c>
      <c r="B13796" s="87"/>
      <c r="C13796" s="87"/>
      <c r="D13796" s="87"/>
      <c r="E13796" s="87"/>
      <c r="F13796" s="87"/>
      <c r="G13796" s="87"/>
    </row>
    <row r="13797">
      <c r="A13797" s="86" t="str">
        <f>IFERROR(__xludf.DUMMYFUNCTION("""COMPUTED_VALUE"""),"")</f>
        <v/>
      </c>
      <c r="B13797" s="87"/>
      <c r="C13797" s="87"/>
      <c r="D13797" s="87"/>
      <c r="E13797" s="87"/>
      <c r="F13797" s="87"/>
      <c r="G13797" s="87"/>
    </row>
    <row r="13798">
      <c r="A13798" s="86" t="str">
        <f>IFERROR(__xludf.DUMMYFUNCTION("""COMPUTED_VALUE"""),"")</f>
        <v/>
      </c>
      <c r="B13798" s="87"/>
      <c r="C13798" s="87"/>
      <c r="D13798" s="87"/>
      <c r="E13798" s="87"/>
      <c r="F13798" s="87"/>
      <c r="G13798" s="87"/>
    </row>
    <row r="13799">
      <c r="A13799" s="86" t="str">
        <f>IFERROR(__xludf.DUMMYFUNCTION("""COMPUTED_VALUE"""),"")</f>
        <v/>
      </c>
      <c r="B13799" s="87"/>
      <c r="C13799" s="87"/>
      <c r="D13799" s="87"/>
      <c r="E13799" s="87"/>
      <c r="F13799" s="87"/>
      <c r="G13799" s="87"/>
    </row>
    <row r="13800">
      <c r="A13800" s="86" t="str">
        <f>IFERROR(__xludf.DUMMYFUNCTION("""COMPUTED_VALUE"""),"")</f>
        <v/>
      </c>
      <c r="B13800" s="87"/>
      <c r="C13800" s="87"/>
      <c r="D13800" s="87"/>
      <c r="E13800" s="87"/>
      <c r="F13800" s="87"/>
      <c r="G13800" s="87"/>
    </row>
    <row r="13801">
      <c r="A13801" s="86" t="str">
        <f>IFERROR(__xludf.DUMMYFUNCTION("""COMPUTED_VALUE"""),"")</f>
        <v/>
      </c>
      <c r="B13801" s="87"/>
      <c r="C13801" s="87"/>
      <c r="D13801" s="87"/>
      <c r="E13801" s="87"/>
      <c r="F13801" s="87"/>
      <c r="G13801" s="87"/>
    </row>
    <row r="13802">
      <c r="A13802" s="86" t="str">
        <f>IFERROR(__xludf.DUMMYFUNCTION("""COMPUTED_VALUE"""),"")</f>
        <v/>
      </c>
      <c r="B13802" s="87"/>
      <c r="C13802" s="87"/>
      <c r="D13802" s="87"/>
      <c r="E13802" s="87"/>
      <c r="F13802" s="87"/>
      <c r="G13802" s="87"/>
    </row>
    <row r="13803">
      <c r="A13803" s="86" t="str">
        <f>IFERROR(__xludf.DUMMYFUNCTION("""COMPUTED_VALUE"""),"")</f>
        <v/>
      </c>
      <c r="B13803" s="87"/>
      <c r="C13803" s="87"/>
      <c r="D13803" s="87"/>
      <c r="E13803" s="87"/>
      <c r="F13803" s="87"/>
      <c r="G13803" s="87"/>
    </row>
    <row r="13804">
      <c r="A13804" s="86" t="str">
        <f>IFERROR(__xludf.DUMMYFUNCTION("""COMPUTED_VALUE"""),"")</f>
        <v/>
      </c>
      <c r="B13804" s="87"/>
      <c r="C13804" s="87"/>
      <c r="D13804" s="87"/>
      <c r="E13804" s="87"/>
      <c r="F13804" s="87"/>
      <c r="G13804" s="87"/>
    </row>
    <row r="13805">
      <c r="A13805" s="86" t="str">
        <f>IFERROR(__xludf.DUMMYFUNCTION("""COMPUTED_VALUE"""),"")</f>
        <v/>
      </c>
      <c r="B13805" s="87"/>
      <c r="C13805" s="87"/>
      <c r="D13805" s="87"/>
      <c r="E13805" s="87"/>
      <c r="F13805" s="87"/>
      <c r="G13805" s="87"/>
    </row>
    <row r="13806">
      <c r="A13806" s="86" t="str">
        <f>IFERROR(__xludf.DUMMYFUNCTION("""COMPUTED_VALUE"""),"")</f>
        <v/>
      </c>
      <c r="B13806" s="87"/>
      <c r="C13806" s="87"/>
      <c r="D13806" s="87"/>
      <c r="E13806" s="87"/>
      <c r="F13806" s="87"/>
      <c r="G13806" s="87"/>
    </row>
    <row r="13807">
      <c r="A13807" s="86" t="str">
        <f>IFERROR(__xludf.DUMMYFUNCTION("""COMPUTED_VALUE"""),"")</f>
        <v/>
      </c>
      <c r="B13807" s="87"/>
      <c r="C13807" s="87"/>
      <c r="D13807" s="87"/>
      <c r="E13807" s="87"/>
      <c r="F13807" s="87"/>
      <c r="G13807" s="87"/>
    </row>
    <row r="13808">
      <c r="A13808" s="86" t="str">
        <f>IFERROR(__xludf.DUMMYFUNCTION("""COMPUTED_VALUE"""),"")</f>
        <v/>
      </c>
      <c r="B13808" s="87"/>
      <c r="C13808" s="87"/>
      <c r="D13808" s="87"/>
      <c r="E13808" s="87"/>
      <c r="F13808" s="87"/>
      <c r="G13808" s="87"/>
    </row>
    <row r="13809">
      <c r="A13809" s="86" t="str">
        <f>IFERROR(__xludf.DUMMYFUNCTION("""COMPUTED_VALUE"""),"")</f>
        <v/>
      </c>
      <c r="B13809" s="87"/>
      <c r="C13809" s="87"/>
      <c r="D13809" s="87"/>
      <c r="E13809" s="87"/>
      <c r="F13809" s="87"/>
      <c r="G13809" s="87"/>
    </row>
    <row r="13810">
      <c r="A13810" s="86" t="str">
        <f>IFERROR(__xludf.DUMMYFUNCTION("""COMPUTED_VALUE"""),"")</f>
        <v/>
      </c>
      <c r="B13810" s="87"/>
      <c r="C13810" s="87"/>
      <c r="D13810" s="87"/>
      <c r="E13810" s="87"/>
      <c r="F13810" s="87"/>
      <c r="G13810" s="87"/>
    </row>
    <row r="13811">
      <c r="A13811" s="86" t="str">
        <f>IFERROR(__xludf.DUMMYFUNCTION("""COMPUTED_VALUE"""),"")</f>
        <v/>
      </c>
      <c r="B13811" s="87"/>
      <c r="C13811" s="87"/>
      <c r="D13811" s="87"/>
      <c r="E13811" s="87"/>
      <c r="F13811" s="87"/>
      <c r="G13811" s="87"/>
    </row>
    <row r="13812">
      <c r="A13812" s="86" t="str">
        <f>IFERROR(__xludf.DUMMYFUNCTION("""COMPUTED_VALUE"""),"")</f>
        <v/>
      </c>
      <c r="B13812" s="87"/>
      <c r="C13812" s="87"/>
      <c r="D13812" s="87"/>
      <c r="E13812" s="87"/>
      <c r="F13812" s="87"/>
      <c r="G13812" s="87"/>
    </row>
    <row r="13813">
      <c r="A13813" s="86" t="str">
        <f>IFERROR(__xludf.DUMMYFUNCTION("""COMPUTED_VALUE"""),"")</f>
        <v/>
      </c>
      <c r="B13813" s="87"/>
      <c r="C13813" s="87"/>
      <c r="D13813" s="87"/>
      <c r="E13813" s="87"/>
      <c r="F13813" s="87"/>
      <c r="G13813" s="87"/>
    </row>
    <row r="13814">
      <c r="A13814" s="86" t="str">
        <f>IFERROR(__xludf.DUMMYFUNCTION("""COMPUTED_VALUE"""),"")</f>
        <v/>
      </c>
      <c r="B13814" s="87"/>
      <c r="C13814" s="87"/>
      <c r="D13814" s="87"/>
      <c r="E13814" s="87"/>
      <c r="F13814" s="87"/>
      <c r="G13814" s="87"/>
    </row>
    <row r="13815">
      <c r="A13815" s="86" t="str">
        <f>IFERROR(__xludf.DUMMYFUNCTION("""COMPUTED_VALUE"""),"")</f>
        <v/>
      </c>
      <c r="B13815" s="87"/>
      <c r="C13815" s="87"/>
      <c r="D13815" s="87"/>
      <c r="E13815" s="87"/>
      <c r="F13815" s="87"/>
      <c r="G13815" s="87"/>
    </row>
    <row r="13816">
      <c r="A13816" s="86" t="str">
        <f>IFERROR(__xludf.DUMMYFUNCTION("""COMPUTED_VALUE"""),"")</f>
        <v/>
      </c>
      <c r="B13816" s="87"/>
      <c r="C13816" s="87"/>
      <c r="D13816" s="87"/>
      <c r="E13816" s="87"/>
      <c r="F13816" s="87"/>
      <c r="G13816" s="87"/>
    </row>
    <row r="13817">
      <c r="A13817" s="86" t="str">
        <f>IFERROR(__xludf.DUMMYFUNCTION("""COMPUTED_VALUE"""),"")</f>
        <v/>
      </c>
      <c r="B13817" s="87"/>
      <c r="C13817" s="87"/>
      <c r="D13817" s="87"/>
      <c r="E13817" s="87"/>
      <c r="F13817" s="87"/>
      <c r="G13817" s="87"/>
    </row>
    <row r="13818">
      <c r="A13818" s="86" t="str">
        <f>IFERROR(__xludf.DUMMYFUNCTION("""COMPUTED_VALUE"""),"")</f>
        <v/>
      </c>
      <c r="B13818" s="87"/>
      <c r="C13818" s="87"/>
      <c r="D13818" s="87"/>
      <c r="E13818" s="87"/>
      <c r="F13818" s="87"/>
      <c r="G13818" s="87"/>
    </row>
    <row r="13819">
      <c r="A13819" s="86" t="str">
        <f>IFERROR(__xludf.DUMMYFUNCTION("""COMPUTED_VALUE"""),"")</f>
        <v/>
      </c>
      <c r="B13819" s="87"/>
      <c r="C13819" s="87"/>
      <c r="D13819" s="87"/>
      <c r="E13819" s="87"/>
      <c r="F13819" s="87"/>
      <c r="G13819" s="87"/>
    </row>
    <row r="13820">
      <c r="A13820" s="86" t="str">
        <f>IFERROR(__xludf.DUMMYFUNCTION("""COMPUTED_VALUE"""),"")</f>
        <v/>
      </c>
      <c r="B13820" s="87"/>
      <c r="C13820" s="87"/>
      <c r="D13820" s="87"/>
      <c r="E13820" s="87"/>
      <c r="F13820" s="87"/>
      <c r="G13820" s="87"/>
    </row>
    <row r="13821">
      <c r="A13821" s="86" t="str">
        <f>IFERROR(__xludf.DUMMYFUNCTION("""COMPUTED_VALUE"""),"")</f>
        <v/>
      </c>
      <c r="B13821" s="87"/>
      <c r="C13821" s="87"/>
      <c r="D13821" s="87"/>
      <c r="E13821" s="87"/>
      <c r="F13821" s="87"/>
      <c r="G13821" s="87"/>
    </row>
    <row r="13822">
      <c r="A13822" s="86" t="str">
        <f>IFERROR(__xludf.DUMMYFUNCTION("""COMPUTED_VALUE"""),"")</f>
        <v/>
      </c>
      <c r="B13822" s="87"/>
      <c r="C13822" s="87"/>
      <c r="D13822" s="87"/>
      <c r="E13822" s="87"/>
      <c r="F13822" s="87"/>
      <c r="G13822" s="87"/>
    </row>
    <row r="13823">
      <c r="A13823" s="86" t="str">
        <f>IFERROR(__xludf.DUMMYFUNCTION("""COMPUTED_VALUE"""),"")</f>
        <v/>
      </c>
      <c r="B13823" s="87"/>
      <c r="C13823" s="87"/>
      <c r="D13823" s="87"/>
      <c r="E13823" s="87"/>
      <c r="F13823" s="87"/>
      <c r="G13823" s="87"/>
    </row>
    <row r="13824">
      <c r="A13824" s="86" t="str">
        <f>IFERROR(__xludf.DUMMYFUNCTION("""COMPUTED_VALUE"""),"")</f>
        <v/>
      </c>
      <c r="B13824" s="87"/>
      <c r="C13824" s="87"/>
      <c r="D13824" s="87"/>
      <c r="E13824" s="87"/>
      <c r="F13824" s="87"/>
      <c r="G13824" s="87"/>
    </row>
    <row r="13825">
      <c r="A13825" s="86" t="str">
        <f>IFERROR(__xludf.DUMMYFUNCTION("""COMPUTED_VALUE"""),"")</f>
        <v/>
      </c>
      <c r="B13825" s="87"/>
      <c r="C13825" s="87"/>
      <c r="D13825" s="87"/>
      <c r="E13825" s="87"/>
      <c r="F13825" s="87"/>
      <c r="G13825" s="87"/>
    </row>
    <row r="13826">
      <c r="A13826" s="86" t="str">
        <f>IFERROR(__xludf.DUMMYFUNCTION("""COMPUTED_VALUE"""),"")</f>
        <v/>
      </c>
      <c r="B13826" s="87"/>
      <c r="C13826" s="87"/>
      <c r="D13826" s="87"/>
      <c r="E13826" s="87"/>
      <c r="F13826" s="87"/>
      <c r="G13826" s="87"/>
    </row>
    <row r="13827">
      <c r="A13827" s="86" t="str">
        <f>IFERROR(__xludf.DUMMYFUNCTION("""COMPUTED_VALUE"""),"")</f>
        <v/>
      </c>
      <c r="B13827" s="87"/>
      <c r="C13827" s="87"/>
      <c r="D13827" s="87"/>
      <c r="E13827" s="87"/>
      <c r="F13827" s="87"/>
      <c r="G13827" s="87"/>
    </row>
    <row r="13828">
      <c r="A13828" s="86" t="str">
        <f>IFERROR(__xludf.DUMMYFUNCTION("""COMPUTED_VALUE"""),"")</f>
        <v/>
      </c>
      <c r="B13828" s="87"/>
      <c r="C13828" s="87"/>
      <c r="D13828" s="87"/>
      <c r="E13828" s="87"/>
      <c r="F13828" s="87"/>
      <c r="G13828" s="87"/>
    </row>
    <row r="13829">
      <c r="A13829" s="86" t="str">
        <f>IFERROR(__xludf.DUMMYFUNCTION("""COMPUTED_VALUE"""),"")</f>
        <v/>
      </c>
      <c r="B13829" s="87"/>
      <c r="C13829" s="87"/>
      <c r="D13829" s="87"/>
      <c r="E13829" s="87"/>
      <c r="F13829" s="87"/>
      <c r="G13829" s="87"/>
    </row>
    <row r="13830">
      <c r="A13830" s="86" t="str">
        <f>IFERROR(__xludf.DUMMYFUNCTION("""COMPUTED_VALUE"""),"")</f>
        <v/>
      </c>
      <c r="B13830" s="87"/>
      <c r="C13830" s="87"/>
      <c r="D13830" s="87"/>
      <c r="E13830" s="87"/>
      <c r="F13830" s="87"/>
      <c r="G13830" s="87"/>
    </row>
    <row r="13831">
      <c r="A13831" s="86" t="str">
        <f>IFERROR(__xludf.DUMMYFUNCTION("""COMPUTED_VALUE"""),"")</f>
        <v/>
      </c>
      <c r="B13831" s="87"/>
      <c r="C13831" s="87"/>
      <c r="D13831" s="87"/>
      <c r="E13831" s="87"/>
      <c r="F13831" s="87"/>
      <c r="G13831" s="87"/>
    </row>
    <row r="13832">
      <c r="A13832" s="86" t="str">
        <f>IFERROR(__xludf.DUMMYFUNCTION("""COMPUTED_VALUE"""),"")</f>
        <v/>
      </c>
      <c r="B13832" s="87"/>
      <c r="C13832" s="87"/>
      <c r="D13832" s="87"/>
      <c r="E13832" s="87"/>
      <c r="F13832" s="87"/>
      <c r="G13832" s="87"/>
    </row>
    <row r="13833">
      <c r="A13833" s="86" t="str">
        <f>IFERROR(__xludf.DUMMYFUNCTION("""COMPUTED_VALUE"""),"")</f>
        <v/>
      </c>
      <c r="B13833" s="87"/>
      <c r="C13833" s="87"/>
      <c r="D13833" s="87"/>
      <c r="E13833" s="87"/>
      <c r="F13833" s="87"/>
      <c r="G13833" s="87"/>
    </row>
    <row r="13834">
      <c r="A13834" s="86" t="str">
        <f>IFERROR(__xludf.DUMMYFUNCTION("""COMPUTED_VALUE"""),"")</f>
        <v/>
      </c>
      <c r="B13834" s="87"/>
      <c r="C13834" s="87"/>
      <c r="D13834" s="87"/>
      <c r="E13834" s="87"/>
      <c r="F13834" s="87"/>
      <c r="G13834" s="87"/>
    </row>
    <row r="13835">
      <c r="A13835" s="86" t="str">
        <f>IFERROR(__xludf.DUMMYFUNCTION("""COMPUTED_VALUE"""),"")</f>
        <v/>
      </c>
      <c r="B13835" s="87"/>
      <c r="C13835" s="87"/>
      <c r="D13835" s="87"/>
      <c r="E13835" s="87"/>
      <c r="F13835" s="87"/>
      <c r="G13835" s="87"/>
    </row>
    <row r="13836">
      <c r="A13836" s="86" t="str">
        <f>IFERROR(__xludf.DUMMYFUNCTION("""COMPUTED_VALUE"""),"")</f>
        <v/>
      </c>
      <c r="B13836" s="87"/>
      <c r="C13836" s="87"/>
      <c r="D13836" s="87"/>
      <c r="E13836" s="87"/>
      <c r="F13836" s="87"/>
      <c r="G13836" s="87"/>
    </row>
    <row r="13837">
      <c r="A13837" s="86" t="str">
        <f>IFERROR(__xludf.DUMMYFUNCTION("""COMPUTED_VALUE"""),"")</f>
        <v/>
      </c>
      <c r="B13837" s="87"/>
      <c r="C13837" s="87"/>
      <c r="D13837" s="87"/>
      <c r="E13837" s="87"/>
      <c r="F13837" s="87"/>
      <c r="G13837" s="87"/>
    </row>
    <row r="13838">
      <c r="A13838" s="86" t="str">
        <f>IFERROR(__xludf.DUMMYFUNCTION("""COMPUTED_VALUE"""),"")</f>
        <v/>
      </c>
      <c r="B13838" s="87"/>
      <c r="C13838" s="87"/>
      <c r="D13838" s="87"/>
      <c r="E13838" s="87"/>
      <c r="F13838" s="87"/>
      <c r="G13838" s="87"/>
    </row>
    <row r="13839">
      <c r="A13839" s="86" t="str">
        <f>IFERROR(__xludf.DUMMYFUNCTION("""COMPUTED_VALUE"""),"")</f>
        <v/>
      </c>
      <c r="B13839" s="87"/>
      <c r="C13839" s="87"/>
      <c r="D13839" s="87"/>
      <c r="E13839" s="87"/>
      <c r="F13839" s="87"/>
      <c r="G13839" s="87"/>
    </row>
    <row r="13840">
      <c r="A13840" s="86" t="str">
        <f>IFERROR(__xludf.DUMMYFUNCTION("""COMPUTED_VALUE"""),"")</f>
        <v/>
      </c>
      <c r="B13840" s="87"/>
      <c r="C13840" s="87"/>
      <c r="D13840" s="87"/>
      <c r="E13840" s="87"/>
      <c r="F13840" s="87"/>
      <c r="G13840" s="87"/>
    </row>
    <row r="13841">
      <c r="A13841" s="86" t="str">
        <f>IFERROR(__xludf.DUMMYFUNCTION("""COMPUTED_VALUE"""),"")</f>
        <v/>
      </c>
      <c r="B13841" s="87"/>
      <c r="C13841" s="87"/>
      <c r="D13841" s="87"/>
      <c r="E13841" s="87"/>
      <c r="F13841" s="87"/>
      <c r="G13841" s="87"/>
    </row>
    <row r="13842">
      <c r="A13842" s="86" t="str">
        <f>IFERROR(__xludf.DUMMYFUNCTION("""COMPUTED_VALUE"""),"")</f>
        <v/>
      </c>
      <c r="B13842" s="87"/>
      <c r="C13842" s="87"/>
      <c r="D13842" s="87"/>
      <c r="E13842" s="87"/>
      <c r="F13842" s="87"/>
      <c r="G13842" s="87"/>
    </row>
    <row r="13843">
      <c r="A13843" s="86" t="str">
        <f>IFERROR(__xludf.DUMMYFUNCTION("""COMPUTED_VALUE"""),"")</f>
        <v/>
      </c>
      <c r="B13843" s="87"/>
      <c r="C13843" s="87"/>
      <c r="D13843" s="87"/>
      <c r="E13843" s="87"/>
      <c r="F13843" s="87"/>
      <c r="G13843" s="87"/>
    </row>
    <row r="13844">
      <c r="A13844" s="86" t="str">
        <f>IFERROR(__xludf.DUMMYFUNCTION("""COMPUTED_VALUE"""),"")</f>
        <v/>
      </c>
      <c r="B13844" s="87"/>
      <c r="C13844" s="87"/>
      <c r="D13844" s="87"/>
      <c r="E13844" s="87"/>
      <c r="F13844" s="87"/>
      <c r="G13844" s="87"/>
    </row>
    <row r="13845">
      <c r="A13845" s="86" t="str">
        <f>IFERROR(__xludf.DUMMYFUNCTION("""COMPUTED_VALUE"""),"")</f>
        <v/>
      </c>
      <c r="B13845" s="87"/>
      <c r="C13845" s="87"/>
      <c r="D13845" s="87"/>
      <c r="E13845" s="87"/>
      <c r="F13845" s="87"/>
      <c r="G13845" s="87"/>
    </row>
    <row r="13846">
      <c r="A13846" s="86" t="str">
        <f>IFERROR(__xludf.DUMMYFUNCTION("""COMPUTED_VALUE"""),"")</f>
        <v/>
      </c>
      <c r="B13846" s="87"/>
      <c r="C13846" s="87"/>
      <c r="D13846" s="87"/>
      <c r="E13846" s="87"/>
      <c r="F13846" s="87"/>
      <c r="G13846" s="87"/>
    </row>
    <row r="13847">
      <c r="A13847" s="86" t="str">
        <f>IFERROR(__xludf.DUMMYFUNCTION("""COMPUTED_VALUE"""),"")</f>
        <v/>
      </c>
      <c r="B13847" s="87"/>
      <c r="C13847" s="87"/>
      <c r="D13847" s="87"/>
      <c r="E13847" s="87"/>
      <c r="F13847" s="87"/>
      <c r="G13847" s="87"/>
    </row>
    <row r="13848">
      <c r="A13848" s="86" t="str">
        <f>IFERROR(__xludf.DUMMYFUNCTION("""COMPUTED_VALUE"""),"")</f>
        <v/>
      </c>
      <c r="B13848" s="87"/>
      <c r="C13848" s="87"/>
      <c r="D13848" s="87"/>
      <c r="E13848" s="87"/>
      <c r="F13848" s="87"/>
      <c r="G13848" s="87"/>
    </row>
    <row r="13849">
      <c r="A13849" s="86" t="str">
        <f>IFERROR(__xludf.DUMMYFUNCTION("""COMPUTED_VALUE"""),"")</f>
        <v/>
      </c>
      <c r="B13849" s="87"/>
      <c r="C13849" s="87"/>
      <c r="D13849" s="87"/>
      <c r="E13849" s="87"/>
      <c r="F13849" s="87"/>
      <c r="G13849" s="87"/>
    </row>
    <row r="13850">
      <c r="A13850" s="86" t="str">
        <f>IFERROR(__xludf.DUMMYFUNCTION("""COMPUTED_VALUE"""),"")</f>
        <v/>
      </c>
      <c r="B13850" s="87"/>
      <c r="C13850" s="87"/>
      <c r="D13850" s="87"/>
      <c r="E13850" s="87"/>
      <c r="F13850" s="87"/>
      <c r="G13850" s="87"/>
    </row>
    <row r="13851">
      <c r="A13851" s="86" t="str">
        <f>IFERROR(__xludf.DUMMYFUNCTION("""COMPUTED_VALUE"""),"")</f>
        <v/>
      </c>
      <c r="B13851" s="87"/>
      <c r="C13851" s="87"/>
      <c r="D13851" s="87"/>
      <c r="E13851" s="87"/>
      <c r="F13851" s="87"/>
      <c r="G13851" s="87"/>
    </row>
    <row r="13852">
      <c r="A13852" s="86" t="str">
        <f>IFERROR(__xludf.DUMMYFUNCTION("""COMPUTED_VALUE"""),"")</f>
        <v/>
      </c>
      <c r="B13852" s="87"/>
      <c r="C13852" s="87"/>
      <c r="D13852" s="87"/>
      <c r="E13852" s="87"/>
      <c r="F13852" s="87"/>
      <c r="G13852" s="87"/>
    </row>
    <row r="13853">
      <c r="A13853" s="86" t="str">
        <f>IFERROR(__xludf.DUMMYFUNCTION("""COMPUTED_VALUE"""),"")</f>
        <v/>
      </c>
      <c r="B13853" s="87"/>
      <c r="C13853" s="87"/>
      <c r="D13853" s="87"/>
      <c r="E13853" s="87"/>
      <c r="F13853" s="87"/>
      <c r="G13853" s="87"/>
    </row>
    <row r="13854">
      <c r="A13854" s="86" t="str">
        <f>IFERROR(__xludf.DUMMYFUNCTION("""COMPUTED_VALUE"""),"")</f>
        <v/>
      </c>
      <c r="B13854" s="87"/>
      <c r="C13854" s="87"/>
      <c r="D13854" s="87"/>
      <c r="E13854" s="87"/>
      <c r="F13854" s="87"/>
      <c r="G13854" s="87"/>
    </row>
    <row r="13855">
      <c r="A13855" s="86" t="str">
        <f>IFERROR(__xludf.DUMMYFUNCTION("""COMPUTED_VALUE"""),"")</f>
        <v/>
      </c>
      <c r="B13855" s="87"/>
      <c r="C13855" s="87"/>
      <c r="D13855" s="87"/>
      <c r="E13855" s="87"/>
      <c r="F13855" s="87"/>
      <c r="G13855" s="87"/>
    </row>
    <row r="13856">
      <c r="A13856" s="86" t="str">
        <f>IFERROR(__xludf.DUMMYFUNCTION("""COMPUTED_VALUE"""),"")</f>
        <v/>
      </c>
      <c r="B13856" s="87"/>
      <c r="C13856" s="87"/>
      <c r="D13856" s="87"/>
      <c r="E13856" s="87"/>
      <c r="F13856" s="87"/>
      <c r="G13856" s="87"/>
    </row>
    <row r="13857">
      <c r="A13857" s="86" t="str">
        <f>IFERROR(__xludf.DUMMYFUNCTION("""COMPUTED_VALUE"""),"")</f>
        <v/>
      </c>
      <c r="B13857" s="87"/>
      <c r="C13857" s="87"/>
      <c r="D13857" s="87"/>
      <c r="E13857" s="87"/>
      <c r="F13857" s="87"/>
      <c r="G13857" s="87"/>
    </row>
    <row r="13858">
      <c r="A13858" s="86" t="str">
        <f>IFERROR(__xludf.DUMMYFUNCTION("""COMPUTED_VALUE"""),"")</f>
        <v/>
      </c>
      <c r="B13858" s="87"/>
      <c r="C13858" s="87"/>
      <c r="D13858" s="87"/>
      <c r="E13858" s="87"/>
      <c r="F13858" s="87"/>
      <c r="G13858" s="87"/>
    </row>
    <row r="13859">
      <c r="A13859" s="86" t="str">
        <f>IFERROR(__xludf.DUMMYFUNCTION("""COMPUTED_VALUE"""),"")</f>
        <v/>
      </c>
      <c r="B13859" s="87"/>
      <c r="C13859" s="87"/>
      <c r="D13859" s="87"/>
      <c r="E13859" s="87"/>
      <c r="F13859" s="87"/>
      <c r="G13859" s="87"/>
    </row>
    <row r="13860">
      <c r="A13860" s="86" t="str">
        <f>IFERROR(__xludf.DUMMYFUNCTION("""COMPUTED_VALUE"""),"")</f>
        <v/>
      </c>
      <c r="B13860" s="87"/>
      <c r="C13860" s="87"/>
      <c r="D13860" s="87"/>
      <c r="E13860" s="87"/>
      <c r="F13860" s="87"/>
      <c r="G13860" s="87"/>
    </row>
    <row r="13861">
      <c r="A13861" s="86" t="str">
        <f>IFERROR(__xludf.DUMMYFUNCTION("""COMPUTED_VALUE"""),"")</f>
        <v/>
      </c>
      <c r="B13861" s="87"/>
      <c r="C13861" s="87"/>
      <c r="D13861" s="87"/>
      <c r="E13861" s="87"/>
      <c r="F13861" s="87"/>
      <c r="G13861" s="87"/>
    </row>
    <row r="13862">
      <c r="A13862" s="86" t="str">
        <f>IFERROR(__xludf.DUMMYFUNCTION("""COMPUTED_VALUE"""),"")</f>
        <v/>
      </c>
      <c r="B13862" s="87"/>
      <c r="C13862" s="87"/>
      <c r="D13862" s="87"/>
      <c r="E13862" s="87"/>
      <c r="F13862" s="87"/>
      <c r="G13862" s="87"/>
    </row>
    <row r="13863">
      <c r="A13863" s="86" t="str">
        <f>IFERROR(__xludf.DUMMYFUNCTION("""COMPUTED_VALUE"""),"")</f>
        <v/>
      </c>
      <c r="B13863" s="87"/>
      <c r="C13863" s="87"/>
      <c r="D13863" s="87"/>
      <c r="E13863" s="87"/>
      <c r="F13863" s="87"/>
      <c r="G13863" s="87"/>
    </row>
    <row r="13864">
      <c r="A13864" s="86" t="str">
        <f>IFERROR(__xludf.DUMMYFUNCTION("""COMPUTED_VALUE"""),"")</f>
        <v/>
      </c>
      <c r="B13864" s="87"/>
      <c r="C13864" s="87"/>
      <c r="D13864" s="87"/>
      <c r="E13864" s="87"/>
      <c r="F13864" s="87"/>
      <c r="G13864" s="87"/>
    </row>
    <row r="13865">
      <c r="A13865" s="86" t="str">
        <f>IFERROR(__xludf.DUMMYFUNCTION("""COMPUTED_VALUE"""),"")</f>
        <v/>
      </c>
      <c r="B13865" s="87"/>
      <c r="C13865" s="87"/>
      <c r="D13865" s="87"/>
      <c r="E13865" s="87"/>
      <c r="F13865" s="87"/>
      <c r="G13865" s="87"/>
    </row>
    <row r="13866">
      <c r="A13866" s="86" t="str">
        <f>IFERROR(__xludf.DUMMYFUNCTION("""COMPUTED_VALUE"""),"")</f>
        <v/>
      </c>
      <c r="B13866" s="87"/>
      <c r="C13866" s="87"/>
      <c r="D13866" s="87"/>
      <c r="E13866" s="87"/>
      <c r="F13866" s="87"/>
      <c r="G13866" s="87"/>
    </row>
    <row r="13867">
      <c r="A13867" s="86" t="str">
        <f>IFERROR(__xludf.DUMMYFUNCTION("""COMPUTED_VALUE"""),"")</f>
        <v/>
      </c>
      <c r="B13867" s="87"/>
      <c r="C13867" s="87"/>
      <c r="D13867" s="87"/>
      <c r="E13867" s="87"/>
      <c r="F13867" s="87"/>
      <c r="G13867" s="87"/>
    </row>
    <row r="13868">
      <c r="A13868" s="86" t="str">
        <f>IFERROR(__xludf.DUMMYFUNCTION("""COMPUTED_VALUE"""),"")</f>
        <v/>
      </c>
      <c r="B13868" s="87"/>
      <c r="C13868" s="87"/>
      <c r="D13868" s="87"/>
      <c r="E13868" s="87"/>
      <c r="F13868" s="87"/>
      <c r="G13868" s="87"/>
    </row>
    <row r="13869">
      <c r="A13869" s="86" t="str">
        <f>IFERROR(__xludf.DUMMYFUNCTION("""COMPUTED_VALUE"""),"")</f>
        <v/>
      </c>
      <c r="B13869" s="87"/>
      <c r="C13869" s="87"/>
      <c r="D13869" s="87"/>
      <c r="E13869" s="87"/>
      <c r="F13869" s="87"/>
      <c r="G13869" s="87"/>
    </row>
    <row r="13870">
      <c r="A13870" s="86" t="str">
        <f>IFERROR(__xludf.DUMMYFUNCTION("""COMPUTED_VALUE"""),"")</f>
        <v/>
      </c>
      <c r="B13870" s="87"/>
      <c r="C13870" s="87"/>
      <c r="D13870" s="87"/>
      <c r="E13870" s="87"/>
      <c r="F13870" s="87"/>
      <c r="G13870" s="87"/>
    </row>
    <row r="13871">
      <c r="A13871" s="86" t="str">
        <f>IFERROR(__xludf.DUMMYFUNCTION("""COMPUTED_VALUE"""),"")</f>
        <v/>
      </c>
      <c r="B13871" s="87"/>
      <c r="C13871" s="87"/>
      <c r="D13871" s="87"/>
      <c r="E13871" s="87"/>
      <c r="F13871" s="87"/>
      <c r="G13871" s="87"/>
    </row>
    <row r="13872">
      <c r="A13872" s="86" t="str">
        <f>IFERROR(__xludf.DUMMYFUNCTION("""COMPUTED_VALUE"""),"")</f>
        <v/>
      </c>
      <c r="B13872" s="87"/>
      <c r="C13872" s="87"/>
      <c r="D13872" s="87"/>
      <c r="E13872" s="87"/>
      <c r="F13872" s="87"/>
      <c r="G13872" s="87"/>
    </row>
    <row r="13873">
      <c r="A13873" s="86" t="str">
        <f>IFERROR(__xludf.DUMMYFUNCTION("""COMPUTED_VALUE"""),"")</f>
        <v/>
      </c>
      <c r="B13873" s="87"/>
      <c r="C13873" s="87"/>
      <c r="D13873" s="87"/>
      <c r="E13873" s="87"/>
      <c r="F13873" s="87"/>
      <c r="G13873" s="87"/>
    </row>
    <row r="13874">
      <c r="A13874" s="86" t="str">
        <f>IFERROR(__xludf.DUMMYFUNCTION("""COMPUTED_VALUE"""),"")</f>
        <v/>
      </c>
      <c r="B13874" s="87"/>
      <c r="C13874" s="87"/>
      <c r="D13874" s="87"/>
      <c r="E13874" s="87"/>
      <c r="F13874" s="87"/>
      <c r="G13874" s="87"/>
    </row>
    <row r="13875">
      <c r="A13875" s="86" t="str">
        <f>IFERROR(__xludf.DUMMYFUNCTION("""COMPUTED_VALUE"""),"")</f>
        <v/>
      </c>
      <c r="B13875" s="87"/>
      <c r="C13875" s="87"/>
      <c r="D13875" s="87"/>
      <c r="E13875" s="87"/>
      <c r="F13875" s="87"/>
      <c r="G13875" s="87"/>
    </row>
    <row r="13876">
      <c r="A13876" s="86" t="str">
        <f>IFERROR(__xludf.DUMMYFUNCTION("""COMPUTED_VALUE"""),"")</f>
        <v/>
      </c>
      <c r="B13876" s="87"/>
      <c r="C13876" s="87"/>
      <c r="D13876" s="87"/>
      <c r="E13876" s="87"/>
      <c r="F13876" s="87"/>
      <c r="G13876" s="87"/>
    </row>
    <row r="13877">
      <c r="A13877" s="86" t="str">
        <f>IFERROR(__xludf.DUMMYFUNCTION("""COMPUTED_VALUE"""),"")</f>
        <v/>
      </c>
      <c r="B13877" s="87"/>
      <c r="C13877" s="87"/>
      <c r="D13877" s="87"/>
      <c r="E13877" s="87"/>
      <c r="F13877" s="87"/>
      <c r="G13877" s="87"/>
    </row>
    <row r="13878">
      <c r="A13878" s="86" t="str">
        <f>IFERROR(__xludf.DUMMYFUNCTION("""COMPUTED_VALUE"""),"")</f>
        <v/>
      </c>
      <c r="B13878" s="87"/>
      <c r="C13878" s="87"/>
      <c r="D13878" s="87"/>
      <c r="E13878" s="87"/>
      <c r="F13878" s="87"/>
      <c r="G13878" s="87"/>
    </row>
    <row r="13879">
      <c r="A13879" s="86" t="str">
        <f>IFERROR(__xludf.DUMMYFUNCTION("""COMPUTED_VALUE"""),"")</f>
        <v/>
      </c>
      <c r="B13879" s="87"/>
      <c r="C13879" s="87"/>
      <c r="D13879" s="87"/>
      <c r="E13879" s="87"/>
      <c r="F13879" s="87"/>
      <c r="G13879" s="87"/>
    </row>
    <row r="13880">
      <c r="A13880" s="86" t="str">
        <f>IFERROR(__xludf.DUMMYFUNCTION("""COMPUTED_VALUE"""),"")</f>
        <v/>
      </c>
      <c r="B13880" s="87"/>
      <c r="C13880" s="87"/>
      <c r="D13880" s="87"/>
      <c r="E13880" s="87"/>
      <c r="F13880" s="87"/>
      <c r="G13880" s="87"/>
    </row>
    <row r="13881">
      <c r="A13881" s="86" t="str">
        <f>IFERROR(__xludf.DUMMYFUNCTION("""COMPUTED_VALUE"""),"")</f>
        <v/>
      </c>
      <c r="B13881" s="87"/>
      <c r="C13881" s="87"/>
      <c r="D13881" s="87"/>
      <c r="E13881" s="87"/>
      <c r="F13881" s="87"/>
      <c r="G13881" s="87"/>
    </row>
    <row r="13882">
      <c r="A13882" s="86" t="str">
        <f>IFERROR(__xludf.DUMMYFUNCTION("""COMPUTED_VALUE"""),"")</f>
        <v/>
      </c>
      <c r="B13882" s="87"/>
      <c r="C13882" s="87"/>
      <c r="D13882" s="87"/>
      <c r="E13882" s="87"/>
      <c r="F13882" s="87"/>
      <c r="G13882" s="87"/>
    </row>
    <row r="13883">
      <c r="A13883" s="86" t="str">
        <f>IFERROR(__xludf.DUMMYFUNCTION("""COMPUTED_VALUE"""),"")</f>
        <v/>
      </c>
      <c r="B13883" s="87"/>
      <c r="C13883" s="87"/>
      <c r="D13883" s="87"/>
      <c r="E13883" s="87"/>
      <c r="F13883" s="87"/>
      <c r="G13883" s="87"/>
    </row>
    <row r="13884">
      <c r="A13884" s="86" t="str">
        <f>IFERROR(__xludf.DUMMYFUNCTION("""COMPUTED_VALUE"""),"")</f>
        <v/>
      </c>
      <c r="B13884" s="87"/>
      <c r="C13884" s="87"/>
      <c r="D13884" s="87"/>
      <c r="E13884" s="87"/>
      <c r="F13884" s="87"/>
      <c r="G13884" s="87"/>
    </row>
    <row r="13885">
      <c r="A13885" s="86" t="str">
        <f>IFERROR(__xludf.DUMMYFUNCTION("""COMPUTED_VALUE"""),"")</f>
        <v/>
      </c>
      <c r="B13885" s="87"/>
      <c r="C13885" s="87"/>
      <c r="D13885" s="87"/>
      <c r="E13885" s="87"/>
      <c r="F13885" s="87"/>
      <c r="G13885" s="87"/>
    </row>
    <row r="13886">
      <c r="A13886" s="86" t="str">
        <f>IFERROR(__xludf.DUMMYFUNCTION("""COMPUTED_VALUE"""),"")</f>
        <v/>
      </c>
      <c r="B13886" s="87"/>
      <c r="C13886" s="87"/>
      <c r="D13886" s="87"/>
      <c r="E13886" s="87"/>
      <c r="F13886" s="87"/>
      <c r="G13886" s="87"/>
    </row>
    <row r="13887">
      <c r="A13887" s="86" t="str">
        <f>IFERROR(__xludf.DUMMYFUNCTION("""COMPUTED_VALUE"""),"")</f>
        <v/>
      </c>
      <c r="B13887" s="87"/>
      <c r="C13887" s="87"/>
      <c r="D13887" s="87"/>
      <c r="E13887" s="87"/>
      <c r="F13887" s="87"/>
      <c r="G13887" s="87"/>
    </row>
    <row r="13888">
      <c r="A13888" s="86" t="str">
        <f>IFERROR(__xludf.DUMMYFUNCTION("""COMPUTED_VALUE"""),"")</f>
        <v/>
      </c>
      <c r="B13888" s="87"/>
      <c r="C13888" s="87"/>
      <c r="D13888" s="87"/>
      <c r="E13888" s="87"/>
      <c r="F13888" s="87"/>
      <c r="G13888" s="87"/>
    </row>
    <row r="13889">
      <c r="A13889" s="86" t="str">
        <f>IFERROR(__xludf.DUMMYFUNCTION("""COMPUTED_VALUE"""),"")</f>
        <v/>
      </c>
      <c r="B13889" s="87"/>
      <c r="C13889" s="87"/>
      <c r="D13889" s="87"/>
      <c r="E13889" s="87"/>
      <c r="F13889" s="87"/>
      <c r="G13889" s="87"/>
    </row>
    <row r="13890">
      <c r="A13890" s="86" t="str">
        <f>IFERROR(__xludf.DUMMYFUNCTION("""COMPUTED_VALUE"""),"")</f>
        <v/>
      </c>
      <c r="B13890" s="87"/>
      <c r="C13890" s="87"/>
      <c r="D13890" s="87"/>
      <c r="E13890" s="87"/>
      <c r="F13890" s="87"/>
      <c r="G13890" s="87"/>
    </row>
    <row r="13891">
      <c r="A13891" s="86" t="str">
        <f>IFERROR(__xludf.DUMMYFUNCTION("""COMPUTED_VALUE"""),"")</f>
        <v/>
      </c>
      <c r="B13891" s="87"/>
      <c r="C13891" s="87"/>
      <c r="D13891" s="87"/>
      <c r="E13891" s="87"/>
      <c r="F13891" s="87"/>
      <c r="G13891" s="87"/>
    </row>
    <row r="13892">
      <c r="A13892" s="86" t="str">
        <f>IFERROR(__xludf.DUMMYFUNCTION("""COMPUTED_VALUE"""),"")</f>
        <v/>
      </c>
      <c r="B13892" s="87"/>
      <c r="C13892" s="87"/>
      <c r="D13892" s="87"/>
      <c r="E13892" s="87"/>
      <c r="F13892" s="87"/>
      <c r="G13892" s="87"/>
    </row>
    <row r="13893">
      <c r="A13893" s="86" t="str">
        <f>IFERROR(__xludf.DUMMYFUNCTION("""COMPUTED_VALUE"""),"")</f>
        <v/>
      </c>
      <c r="B13893" s="87"/>
      <c r="C13893" s="87"/>
      <c r="D13893" s="87"/>
      <c r="E13893" s="87"/>
      <c r="F13893" s="87"/>
      <c r="G13893" s="87"/>
    </row>
    <row r="13894">
      <c r="A13894" s="86" t="str">
        <f>IFERROR(__xludf.DUMMYFUNCTION("""COMPUTED_VALUE"""),"")</f>
        <v/>
      </c>
      <c r="B13894" s="87"/>
      <c r="C13894" s="87"/>
      <c r="D13894" s="87"/>
      <c r="E13894" s="87"/>
      <c r="F13894" s="87"/>
      <c r="G13894" s="87"/>
    </row>
    <row r="13895">
      <c r="A13895" s="86" t="str">
        <f>IFERROR(__xludf.DUMMYFUNCTION("""COMPUTED_VALUE"""),"")</f>
        <v/>
      </c>
      <c r="B13895" s="87"/>
      <c r="C13895" s="87"/>
      <c r="D13895" s="87"/>
      <c r="E13895" s="87"/>
      <c r="F13895" s="87"/>
      <c r="G13895" s="87"/>
    </row>
    <row r="13896">
      <c r="A13896" s="86" t="str">
        <f>IFERROR(__xludf.DUMMYFUNCTION("""COMPUTED_VALUE"""),"")</f>
        <v/>
      </c>
      <c r="B13896" s="87"/>
      <c r="C13896" s="87"/>
      <c r="D13896" s="87"/>
      <c r="E13896" s="87"/>
      <c r="F13896" s="87"/>
      <c r="G13896" s="87"/>
    </row>
    <row r="13897">
      <c r="A13897" s="86" t="str">
        <f>IFERROR(__xludf.DUMMYFUNCTION("""COMPUTED_VALUE"""),"")</f>
        <v/>
      </c>
      <c r="B13897" s="87"/>
      <c r="C13897" s="87"/>
      <c r="D13897" s="87"/>
      <c r="E13897" s="87"/>
      <c r="F13897" s="87"/>
      <c r="G13897" s="87"/>
    </row>
    <row r="13898">
      <c r="A13898" s="86" t="str">
        <f>IFERROR(__xludf.DUMMYFUNCTION("""COMPUTED_VALUE"""),"")</f>
        <v/>
      </c>
      <c r="B13898" s="87"/>
      <c r="C13898" s="87"/>
      <c r="D13898" s="87"/>
      <c r="E13898" s="87"/>
      <c r="F13898" s="87"/>
      <c r="G13898" s="87"/>
    </row>
    <row r="13899">
      <c r="A13899" s="86" t="str">
        <f>IFERROR(__xludf.DUMMYFUNCTION("""COMPUTED_VALUE"""),"")</f>
        <v/>
      </c>
      <c r="B13899" s="87"/>
      <c r="C13899" s="87"/>
      <c r="D13899" s="87"/>
      <c r="E13899" s="87"/>
      <c r="F13899" s="87"/>
      <c r="G13899" s="87"/>
    </row>
    <row r="13900">
      <c r="A13900" s="86" t="str">
        <f>IFERROR(__xludf.DUMMYFUNCTION("""COMPUTED_VALUE"""),"")</f>
        <v/>
      </c>
      <c r="B13900" s="87"/>
      <c r="C13900" s="87"/>
      <c r="D13900" s="87"/>
      <c r="E13900" s="87"/>
      <c r="F13900" s="87"/>
      <c r="G13900" s="87"/>
    </row>
    <row r="13901">
      <c r="A13901" s="86" t="str">
        <f>IFERROR(__xludf.DUMMYFUNCTION("""COMPUTED_VALUE"""),"")</f>
        <v/>
      </c>
      <c r="B13901" s="87"/>
      <c r="C13901" s="87"/>
      <c r="D13901" s="87"/>
      <c r="E13901" s="87"/>
      <c r="F13901" s="87"/>
      <c r="G13901" s="87"/>
    </row>
    <row r="13902">
      <c r="A13902" s="86" t="str">
        <f>IFERROR(__xludf.DUMMYFUNCTION("""COMPUTED_VALUE"""),"")</f>
        <v/>
      </c>
      <c r="B13902" s="87"/>
      <c r="C13902" s="87"/>
      <c r="D13902" s="87"/>
      <c r="E13902" s="87"/>
      <c r="F13902" s="87"/>
      <c r="G13902" s="87"/>
    </row>
    <row r="13903">
      <c r="A13903" s="86" t="str">
        <f>IFERROR(__xludf.DUMMYFUNCTION("""COMPUTED_VALUE"""),"")</f>
        <v/>
      </c>
      <c r="B13903" s="87"/>
      <c r="C13903" s="87"/>
      <c r="D13903" s="87"/>
      <c r="E13903" s="87"/>
      <c r="F13903" s="87"/>
      <c r="G13903" s="87"/>
    </row>
    <row r="13904">
      <c r="A13904" s="86" t="str">
        <f>IFERROR(__xludf.DUMMYFUNCTION("""COMPUTED_VALUE"""),"")</f>
        <v/>
      </c>
      <c r="B13904" s="87"/>
      <c r="C13904" s="87"/>
      <c r="D13904" s="87"/>
      <c r="E13904" s="87"/>
      <c r="F13904" s="87"/>
      <c r="G13904" s="87"/>
    </row>
    <row r="13905">
      <c r="A13905" s="86" t="str">
        <f>IFERROR(__xludf.DUMMYFUNCTION("""COMPUTED_VALUE"""),"")</f>
        <v/>
      </c>
      <c r="B13905" s="87"/>
      <c r="C13905" s="87"/>
      <c r="D13905" s="87"/>
      <c r="E13905" s="87"/>
      <c r="F13905" s="87"/>
      <c r="G13905" s="87"/>
    </row>
    <row r="13906">
      <c r="A13906" s="86" t="str">
        <f>IFERROR(__xludf.DUMMYFUNCTION("""COMPUTED_VALUE"""),"")</f>
        <v/>
      </c>
      <c r="B13906" s="87"/>
      <c r="C13906" s="87"/>
      <c r="D13906" s="87"/>
      <c r="E13906" s="87"/>
      <c r="F13906" s="87"/>
      <c r="G13906" s="87"/>
    </row>
    <row r="13907">
      <c r="A13907" s="86" t="str">
        <f>IFERROR(__xludf.DUMMYFUNCTION("""COMPUTED_VALUE"""),"")</f>
        <v/>
      </c>
      <c r="B13907" s="87"/>
      <c r="C13907" s="87"/>
      <c r="D13907" s="87"/>
      <c r="E13907" s="87"/>
      <c r="F13907" s="87"/>
      <c r="G13907" s="87"/>
    </row>
    <row r="13908">
      <c r="A13908" s="86" t="str">
        <f>IFERROR(__xludf.DUMMYFUNCTION("""COMPUTED_VALUE"""),"")</f>
        <v/>
      </c>
      <c r="B13908" s="87"/>
      <c r="C13908" s="87"/>
      <c r="D13908" s="87"/>
      <c r="E13908" s="87"/>
      <c r="F13908" s="87"/>
      <c r="G13908" s="87"/>
    </row>
    <row r="13909">
      <c r="A13909" s="86" t="str">
        <f>IFERROR(__xludf.DUMMYFUNCTION("""COMPUTED_VALUE"""),"")</f>
        <v/>
      </c>
      <c r="B13909" s="87"/>
      <c r="C13909" s="87"/>
      <c r="D13909" s="87"/>
      <c r="E13909" s="87"/>
      <c r="F13909" s="87"/>
      <c r="G13909" s="87"/>
    </row>
    <row r="13910">
      <c r="A13910" s="86" t="str">
        <f>IFERROR(__xludf.DUMMYFUNCTION("""COMPUTED_VALUE"""),"")</f>
        <v/>
      </c>
      <c r="B13910" s="87"/>
      <c r="C13910" s="87"/>
      <c r="D13910" s="87"/>
      <c r="E13910" s="87"/>
      <c r="F13910" s="87"/>
      <c r="G13910" s="87"/>
    </row>
    <row r="13911">
      <c r="A13911" s="86" t="str">
        <f>IFERROR(__xludf.DUMMYFUNCTION("""COMPUTED_VALUE"""),"")</f>
        <v/>
      </c>
      <c r="B13911" s="87"/>
      <c r="C13911" s="87"/>
      <c r="D13911" s="87"/>
      <c r="E13911" s="87"/>
      <c r="F13911" s="87"/>
      <c r="G13911" s="87"/>
    </row>
    <row r="13912">
      <c r="A13912" s="86" t="str">
        <f>IFERROR(__xludf.DUMMYFUNCTION("""COMPUTED_VALUE"""),"")</f>
        <v/>
      </c>
      <c r="B13912" s="87"/>
      <c r="C13912" s="87"/>
      <c r="D13912" s="87"/>
      <c r="E13912" s="87"/>
      <c r="F13912" s="87"/>
      <c r="G13912" s="87"/>
    </row>
    <row r="13913">
      <c r="A13913" s="86" t="str">
        <f>IFERROR(__xludf.DUMMYFUNCTION("""COMPUTED_VALUE"""),"")</f>
        <v/>
      </c>
      <c r="B13913" s="87"/>
      <c r="C13913" s="87"/>
      <c r="D13913" s="87"/>
      <c r="E13913" s="87"/>
      <c r="F13913" s="87"/>
      <c r="G13913" s="87"/>
    </row>
    <row r="13914">
      <c r="A13914" s="86" t="str">
        <f>IFERROR(__xludf.DUMMYFUNCTION("""COMPUTED_VALUE"""),"")</f>
        <v/>
      </c>
      <c r="B13914" s="87"/>
      <c r="C13914" s="87"/>
      <c r="D13914" s="87"/>
      <c r="E13914" s="87"/>
      <c r="F13914" s="87"/>
      <c r="G13914" s="87"/>
    </row>
    <row r="13915">
      <c r="A13915" s="86" t="str">
        <f>IFERROR(__xludf.DUMMYFUNCTION("""COMPUTED_VALUE"""),"")</f>
        <v/>
      </c>
      <c r="B13915" s="87"/>
      <c r="C13915" s="87"/>
      <c r="D13915" s="87"/>
      <c r="E13915" s="87"/>
      <c r="F13915" s="87"/>
      <c r="G13915" s="87"/>
    </row>
    <row r="13916">
      <c r="A13916" s="86" t="str">
        <f>IFERROR(__xludf.DUMMYFUNCTION("""COMPUTED_VALUE"""),"")</f>
        <v/>
      </c>
      <c r="B13916" s="87"/>
      <c r="C13916" s="87"/>
      <c r="D13916" s="87"/>
      <c r="E13916" s="87"/>
      <c r="F13916" s="87"/>
      <c r="G13916" s="87"/>
    </row>
    <row r="13917">
      <c r="A13917" s="86" t="str">
        <f>IFERROR(__xludf.DUMMYFUNCTION("""COMPUTED_VALUE"""),"")</f>
        <v/>
      </c>
      <c r="B13917" s="87"/>
      <c r="C13917" s="87"/>
      <c r="D13917" s="87"/>
      <c r="E13917" s="87"/>
      <c r="F13917" s="87"/>
      <c r="G13917" s="87"/>
    </row>
    <row r="13918">
      <c r="A13918" s="86" t="str">
        <f>IFERROR(__xludf.DUMMYFUNCTION("""COMPUTED_VALUE"""),"")</f>
        <v/>
      </c>
      <c r="B13918" s="87"/>
      <c r="C13918" s="87"/>
      <c r="D13918" s="87"/>
      <c r="E13918" s="87"/>
      <c r="F13918" s="87"/>
      <c r="G13918" s="87"/>
    </row>
    <row r="13919">
      <c r="A13919" s="86" t="str">
        <f>IFERROR(__xludf.DUMMYFUNCTION("""COMPUTED_VALUE"""),"")</f>
        <v/>
      </c>
      <c r="B13919" s="87"/>
      <c r="C13919" s="87"/>
      <c r="D13919" s="87"/>
      <c r="E13919" s="87"/>
      <c r="F13919" s="87"/>
      <c r="G13919" s="87"/>
    </row>
    <row r="13920">
      <c r="A13920" s="86" t="str">
        <f>IFERROR(__xludf.DUMMYFUNCTION("""COMPUTED_VALUE"""),"")</f>
        <v/>
      </c>
      <c r="B13920" s="87"/>
      <c r="C13920" s="87"/>
      <c r="D13920" s="87"/>
      <c r="E13920" s="87"/>
      <c r="F13920" s="87"/>
      <c r="G13920" s="87"/>
    </row>
    <row r="13921">
      <c r="A13921" s="86" t="str">
        <f>IFERROR(__xludf.DUMMYFUNCTION("""COMPUTED_VALUE"""),"")</f>
        <v/>
      </c>
      <c r="B13921" s="87"/>
      <c r="C13921" s="87"/>
      <c r="D13921" s="87"/>
      <c r="E13921" s="87"/>
      <c r="F13921" s="87"/>
      <c r="G13921" s="87"/>
    </row>
    <row r="13922">
      <c r="A13922" s="86" t="str">
        <f>IFERROR(__xludf.DUMMYFUNCTION("""COMPUTED_VALUE"""),"")</f>
        <v/>
      </c>
      <c r="B13922" s="87"/>
      <c r="C13922" s="87"/>
      <c r="D13922" s="87"/>
      <c r="E13922" s="87"/>
      <c r="F13922" s="87"/>
      <c r="G13922" s="87"/>
    </row>
    <row r="13923">
      <c r="A13923" s="86" t="str">
        <f>IFERROR(__xludf.DUMMYFUNCTION("""COMPUTED_VALUE"""),"")</f>
        <v/>
      </c>
      <c r="B13923" s="87"/>
      <c r="C13923" s="87"/>
      <c r="D13923" s="87"/>
      <c r="E13923" s="87"/>
      <c r="F13923" s="87"/>
      <c r="G13923" s="87"/>
    </row>
    <row r="13924">
      <c r="A13924" s="86" t="str">
        <f>IFERROR(__xludf.DUMMYFUNCTION("""COMPUTED_VALUE"""),"")</f>
        <v/>
      </c>
      <c r="B13924" s="87"/>
      <c r="C13924" s="87"/>
      <c r="D13924" s="87"/>
      <c r="E13924" s="87"/>
      <c r="F13924" s="87"/>
      <c r="G13924" s="87"/>
    </row>
    <row r="13925">
      <c r="A13925" s="86" t="str">
        <f>IFERROR(__xludf.DUMMYFUNCTION("""COMPUTED_VALUE"""),"")</f>
        <v/>
      </c>
      <c r="B13925" s="87"/>
      <c r="C13925" s="87"/>
      <c r="D13925" s="87"/>
      <c r="E13925" s="87"/>
      <c r="F13925" s="87"/>
      <c r="G13925" s="87"/>
    </row>
    <row r="13926">
      <c r="A13926" s="86" t="str">
        <f>IFERROR(__xludf.DUMMYFUNCTION("""COMPUTED_VALUE"""),"")</f>
        <v/>
      </c>
      <c r="B13926" s="87"/>
      <c r="C13926" s="87"/>
      <c r="D13926" s="87"/>
      <c r="E13926" s="87"/>
      <c r="F13926" s="87"/>
      <c r="G13926" s="87"/>
    </row>
    <row r="13927">
      <c r="A13927" s="86" t="str">
        <f>IFERROR(__xludf.DUMMYFUNCTION("""COMPUTED_VALUE"""),"")</f>
        <v/>
      </c>
      <c r="B13927" s="87"/>
      <c r="C13927" s="87"/>
      <c r="D13927" s="87"/>
      <c r="E13927" s="87"/>
      <c r="F13927" s="87"/>
      <c r="G13927" s="87"/>
    </row>
    <row r="13928">
      <c r="A13928" s="86" t="str">
        <f>IFERROR(__xludf.DUMMYFUNCTION("""COMPUTED_VALUE"""),"")</f>
        <v/>
      </c>
      <c r="B13928" s="87"/>
      <c r="C13928" s="87"/>
      <c r="D13928" s="87"/>
      <c r="E13928" s="87"/>
      <c r="F13928" s="87"/>
      <c r="G13928" s="87"/>
    </row>
    <row r="13929">
      <c r="A13929" s="86" t="str">
        <f>IFERROR(__xludf.DUMMYFUNCTION("""COMPUTED_VALUE"""),"")</f>
        <v/>
      </c>
      <c r="B13929" s="87"/>
      <c r="C13929" s="87"/>
      <c r="D13929" s="87"/>
      <c r="E13929" s="87"/>
      <c r="F13929" s="87"/>
      <c r="G13929" s="87"/>
    </row>
    <row r="13930">
      <c r="A13930" s="86" t="str">
        <f>IFERROR(__xludf.DUMMYFUNCTION("""COMPUTED_VALUE"""),"")</f>
        <v/>
      </c>
      <c r="B13930" s="87"/>
      <c r="C13930" s="87"/>
      <c r="D13930" s="87"/>
      <c r="E13930" s="87"/>
      <c r="F13930" s="87"/>
      <c r="G13930" s="87"/>
    </row>
    <row r="13931">
      <c r="A13931" s="86" t="str">
        <f>IFERROR(__xludf.DUMMYFUNCTION("""COMPUTED_VALUE"""),"")</f>
        <v/>
      </c>
      <c r="B13931" s="87"/>
      <c r="C13931" s="87"/>
      <c r="D13931" s="87"/>
      <c r="E13931" s="87"/>
      <c r="F13931" s="87"/>
      <c r="G13931" s="87"/>
    </row>
    <row r="13932">
      <c r="A13932" s="86" t="str">
        <f>IFERROR(__xludf.DUMMYFUNCTION("""COMPUTED_VALUE"""),"")</f>
        <v/>
      </c>
      <c r="B13932" s="87"/>
      <c r="C13932" s="87"/>
      <c r="D13932" s="87"/>
      <c r="E13932" s="87"/>
      <c r="F13932" s="87"/>
      <c r="G13932" s="87"/>
    </row>
    <row r="13933">
      <c r="A13933" s="86" t="str">
        <f>IFERROR(__xludf.DUMMYFUNCTION("""COMPUTED_VALUE"""),"")</f>
        <v/>
      </c>
      <c r="B13933" s="87"/>
      <c r="C13933" s="87"/>
      <c r="D13933" s="87"/>
      <c r="E13933" s="87"/>
      <c r="F13933" s="87"/>
      <c r="G13933" s="87"/>
    </row>
    <row r="13934">
      <c r="A13934" s="86" t="str">
        <f>IFERROR(__xludf.DUMMYFUNCTION("""COMPUTED_VALUE"""),"")</f>
        <v/>
      </c>
      <c r="B13934" s="87"/>
      <c r="C13934" s="87"/>
      <c r="D13934" s="87"/>
      <c r="E13934" s="87"/>
      <c r="F13934" s="87"/>
      <c r="G13934" s="87"/>
    </row>
    <row r="13935">
      <c r="A13935" s="86" t="str">
        <f>IFERROR(__xludf.DUMMYFUNCTION("""COMPUTED_VALUE"""),"")</f>
        <v/>
      </c>
      <c r="B13935" s="87"/>
      <c r="C13935" s="87"/>
      <c r="D13935" s="87"/>
      <c r="E13935" s="87"/>
      <c r="F13935" s="87"/>
      <c r="G13935" s="87"/>
    </row>
    <row r="13936">
      <c r="A13936" s="86" t="str">
        <f>IFERROR(__xludf.DUMMYFUNCTION("""COMPUTED_VALUE"""),"")</f>
        <v/>
      </c>
      <c r="B13936" s="87"/>
      <c r="C13936" s="87"/>
      <c r="D13936" s="87"/>
      <c r="E13936" s="87"/>
      <c r="F13936" s="87"/>
      <c r="G13936" s="87"/>
    </row>
    <row r="13937">
      <c r="A13937" s="86" t="str">
        <f>IFERROR(__xludf.DUMMYFUNCTION("""COMPUTED_VALUE"""),"")</f>
        <v/>
      </c>
      <c r="B13937" s="87"/>
      <c r="C13937" s="87"/>
      <c r="D13937" s="87"/>
      <c r="E13937" s="87"/>
      <c r="F13937" s="87"/>
      <c r="G13937" s="87"/>
    </row>
    <row r="13938">
      <c r="A13938" s="86" t="str">
        <f>IFERROR(__xludf.DUMMYFUNCTION("""COMPUTED_VALUE"""),"")</f>
        <v/>
      </c>
      <c r="B13938" s="87"/>
      <c r="C13938" s="87"/>
      <c r="D13938" s="87"/>
      <c r="E13938" s="87"/>
      <c r="F13938" s="87"/>
      <c r="G13938" s="87"/>
    </row>
    <row r="13939">
      <c r="A13939" s="86" t="str">
        <f>IFERROR(__xludf.DUMMYFUNCTION("""COMPUTED_VALUE"""),"")</f>
        <v/>
      </c>
      <c r="B13939" s="87"/>
      <c r="C13939" s="87"/>
      <c r="D13939" s="87"/>
      <c r="E13939" s="87"/>
      <c r="F13939" s="87"/>
      <c r="G13939" s="87"/>
    </row>
    <row r="13940">
      <c r="A13940" s="86" t="str">
        <f>IFERROR(__xludf.DUMMYFUNCTION("""COMPUTED_VALUE"""),"")</f>
        <v/>
      </c>
      <c r="B13940" s="87"/>
      <c r="C13940" s="87"/>
      <c r="D13940" s="87"/>
      <c r="E13940" s="87"/>
      <c r="F13940" s="87"/>
      <c r="G13940" s="87"/>
    </row>
    <row r="13941">
      <c r="A13941" s="86" t="str">
        <f>IFERROR(__xludf.DUMMYFUNCTION("""COMPUTED_VALUE"""),"")</f>
        <v/>
      </c>
      <c r="B13941" s="87"/>
      <c r="C13941" s="87"/>
      <c r="D13941" s="87"/>
      <c r="E13941" s="87"/>
      <c r="F13941" s="87"/>
      <c r="G13941" s="87"/>
    </row>
    <row r="13942">
      <c r="A13942" s="86" t="str">
        <f>IFERROR(__xludf.DUMMYFUNCTION("""COMPUTED_VALUE"""),"")</f>
        <v/>
      </c>
      <c r="B13942" s="87"/>
      <c r="C13942" s="87"/>
      <c r="D13942" s="87"/>
      <c r="E13942" s="87"/>
      <c r="F13942" s="87"/>
      <c r="G13942" s="87"/>
    </row>
    <row r="13943">
      <c r="A13943" s="86" t="str">
        <f>IFERROR(__xludf.DUMMYFUNCTION("""COMPUTED_VALUE"""),"")</f>
        <v/>
      </c>
      <c r="B13943" s="87"/>
      <c r="C13943" s="87"/>
      <c r="D13943" s="87"/>
      <c r="E13943" s="87"/>
      <c r="F13943" s="87"/>
      <c r="G13943" s="87"/>
    </row>
    <row r="13944">
      <c r="A13944" s="86" t="str">
        <f>IFERROR(__xludf.DUMMYFUNCTION("""COMPUTED_VALUE"""),"")</f>
        <v/>
      </c>
      <c r="B13944" s="87"/>
      <c r="C13944" s="87"/>
      <c r="D13944" s="87"/>
      <c r="E13944" s="87"/>
      <c r="F13944" s="87"/>
      <c r="G13944" s="87"/>
    </row>
    <row r="13945">
      <c r="A13945" s="86" t="str">
        <f>IFERROR(__xludf.DUMMYFUNCTION("""COMPUTED_VALUE"""),"")</f>
        <v/>
      </c>
      <c r="B13945" s="87"/>
      <c r="C13945" s="87"/>
      <c r="D13945" s="87"/>
      <c r="E13945" s="87"/>
      <c r="F13945" s="87"/>
      <c r="G13945" s="87"/>
    </row>
    <row r="13946">
      <c r="A13946" s="86" t="str">
        <f>IFERROR(__xludf.DUMMYFUNCTION("""COMPUTED_VALUE"""),"")</f>
        <v/>
      </c>
      <c r="B13946" s="87"/>
      <c r="C13946" s="87"/>
      <c r="D13946" s="87"/>
      <c r="E13946" s="87"/>
      <c r="F13946" s="87"/>
      <c r="G13946" s="87"/>
    </row>
    <row r="13947">
      <c r="A13947" s="86" t="str">
        <f>IFERROR(__xludf.DUMMYFUNCTION("""COMPUTED_VALUE"""),"")</f>
        <v/>
      </c>
      <c r="B13947" s="87"/>
      <c r="C13947" s="87"/>
      <c r="D13947" s="87"/>
      <c r="E13947" s="87"/>
      <c r="F13947" s="87"/>
      <c r="G13947" s="87"/>
    </row>
    <row r="13948">
      <c r="A13948" s="86" t="str">
        <f>IFERROR(__xludf.DUMMYFUNCTION("""COMPUTED_VALUE"""),"")</f>
        <v/>
      </c>
      <c r="B13948" s="87"/>
      <c r="C13948" s="87"/>
      <c r="D13948" s="87"/>
      <c r="E13948" s="87"/>
      <c r="F13948" s="87"/>
      <c r="G13948" s="87"/>
    </row>
    <row r="13949">
      <c r="A13949" s="86" t="str">
        <f>IFERROR(__xludf.DUMMYFUNCTION("""COMPUTED_VALUE"""),"")</f>
        <v/>
      </c>
      <c r="B13949" s="87"/>
      <c r="C13949" s="87"/>
      <c r="D13949" s="87"/>
      <c r="E13949" s="87"/>
      <c r="F13949" s="87"/>
      <c r="G13949" s="87"/>
    </row>
    <row r="13950">
      <c r="A13950" s="86" t="str">
        <f>IFERROR(__xludf.DUMMYFUNCTION("""COMPUTED_VALUE"""),"")</f>
        <v/>
      </c>
      <c r="B13950" s="87"/>
      <c r="C13950" s="87"/>
      <c r="D13950" s="87"/>
      <c r="E13950" s="87"/>
      <c r="F13950" s="87"/>
      <c r="G13950" s="87"/>
    </row>
    <row r="13951">
      <c r="A13951" s="86" t="str">
        <f>IFERROR(__xludf.DUMMYFUNCTION("""COMPUTED_VALUE"""),"")</f>
        <v/>
      </c>
      <c r="B13951" s="87"/>
      <c r="C13951" s="87"/>
      <c r="D13951" s="87"/>
      <c r="E13951" s="87"/>
      <c r="F13951" s="87"/>
      <c r="G13951" s="87"/>
    </row>
    <row r="13952">
      <c r="A13952" s="86" t="str">
        <f>IFERROR(__xludf.DUMMYFUNCTION("""COMPUTED_VALUE"""),"")</f>
        <v/>
      </c>
      <c r="B13952" s="87"/>
      <c r="C13952" s="87"/>
      <c r="D13952" s="87"/>
      <c r="E13952" s="87"/>
      <c r="F13952" s="87"/>
      <c r="G13952" s="87"/>
    </row>
    <row r="13953">
      <c r="A13953" s="86" t="str">
        <f>IFERROR(__xludf.DUMMYFUNCTION("""COMPUTED_VALUE"""),"")</f>
        <v/>
      </c>
      <c r="B13953" s="87"/>
      <c r="C13953" s="87"/>
      <c r="D13953" s="87"/>
      <c r="E13953" s="87"/>
      <c r="F13953" s="87"/>
      <c r="G13953" s="87"/>
    </row>
    <row r="13954">
      <c r="A13954" s="86" t="str">
        <f>IFERROR(__xludf.DUMMYFUNCTION("""COMPUTED_VALUE"""),"")</f>
        <v/>
      </c>
      <c r="B13954" s="87"/>
      <c r="C13954" s="87"/>
      <c r="D13954" s="87"/>
      <c r="E13954" s="87"/>
      <c r="F13954" s="87"/>
      <c r="G13954" s="87"/>
    </row>
    <row r="13955">
      <c r="A13955" s="86" t="str">
        <f>IFERROR(__xludf.DUMMYFUNCTION("""COMPUTED_VALUE"""),"")</f>
        <v/>
      </c>
      <c r="B13955" s="87"/>
      <c r="C13955" s="87"/>
      <c r="D13955" s="87"/>
      <c r="E13955" s="87"/>
      <c r="F13955" s="87"/>
      <c r="G13955" s="87"/>
    </row>
    <row r="13956">
      <c r="A13956" s="86" t="str">
        <f>IFERROR(__xludf.DUMMYFUNCTION("""COMPUTED_VALUE"""),"")</f>
        <v/>
      </c>
      <c r="B13956" s="87"/>
      <c r="C13956" s="87"/>
      <c r="D13956" s="87"/>
      <c r="E13956" s="87"/>
      <c r="F13956" s="87"/>
      <c r="G13956" s="87"/>
    </row>
    <row r="13957">
      <c r="A13957" s="86" t="str">
        <f>IFERROR(__xludf.DUMMYFUNCTION("""COMPUTED_VALUE"""),"")</f>
        <v/>
      </c>
      <c r="B13957" s="87"/>
      <c r="C13957" s="87"/>
      <c r="D13957" s="87"/>
      <c r="E13957" s="87"/>
      <c r="F13957" s="87"/>
      <c r="G13957" s="87"/>
    </row>
    <row r="13958">
      <c r="A13958" s="86" t="str">
        <f>IFERROR(__xludf.DUMMYFUNCTION("""COMPUTED_VALUE"""),"")</f>
        <v/>
      </c>
      <c r="B13958" s="87"/>
      <c r="C13958" s="87"/>
      <c r="D13958" s="87"/>
      <c r="E13958" s="87"/>
      <c r="F13958" s="87"/>
      <c r="G13958" s="87"/>
    </row>
    <row r="13959">
      <c r="A13959" s="86" t="str">
        <f>IFERROR(__xludf.DUMMYFUNCTION("""COMPUTED_VALUE"""),"")</f>
        <v/>
      </c>
      <c r="B13959" s="87"/>
      <c r="C13959" s="87"/>
      <c r="D13959" s="87"/>
      <c r="E13959" s="87"/>
      <c r="F13959" s="87"/>
      <c r="G13959" s="87"/>
    </row>
    <row r="13960">
      <c r="A13960" s="86" t="str">
        <f>IFERROR(__xludf.DUMMYFUNCTION("""COMPUTED_VALUE"""),"")</f>
        <v/>
      </c>
      <c r="B13960" s="87"/>
      <c r="C13960" s="87"/>
      <c r="D13960" s="87"/>
      <c r="E13960" s="87"/>
      <c r="F13960" s="87"/>
      <c r="G13960" s="87"/>
    </row>
    <row r="13961">
      <c r="A13961" s="86" t="str">
        <f>IFERROR(__xludf.DUMMYFUNCTION("""COMPUTED_VALUE"""),"")</f>
        <v/>
      </c>
      <c r="B13961" s="87"/>
      <c r="C13961" s="87"/>
      <c r="D13961" s="87"/>
      <c r="E13961" s="87"/>
      <c r="F13961" s="87"/>
      <c r="G13961" s="87"/>
    </row>
    <row r="13962">
      <c r="A13962" s="86" t="str">
        <f>IFERROR(__xludf.DUMMYFUNCTION("""COMPUTED_VALUE"""),"")</f>
        <v/>
      </c>
      <c r="B13962" s="87"/>
      <c r="C13962" s="87"/>
      <c r="D13962" s="87"/>
      <c r="E13962" s="87"/>
      <c r="F13962" s="87"/>
      <c r="G13962" s="87"/>
    </row>
    <row r="13963">
      <c r="A13963" s="86" t="str">
        <f>IFERROR(__xludf.DUMMYFUNCTION("""COMPUTED_VALUE"""),"")</f>
        <v/>
      </c>
      <c r="B13963" s="87"/>
      <c r="C13963" s="87"/>
      <c r="D13963" s="87"/>
      <c r="E13963" s="87"/>
      <c r="F13963" s="87"/>
      <c r="G13963" s="87"/>
    </row>
    <row r="13964">
      <c r="A13964" s="86" t="str">
        <f>IFERROR(__xludf.DUMMYFUNCTION("""COMPUTED_VALUE"""),"")</f>
        <v/>
      </c>
      <c r="B13964" s="87"/>
      <c r="C13964" s="87"/>
      <c r="D13964" s="87"/>
      <c r="E13964" s="87"/>
      <c r="F13964" s="87"/>
      <c r="G13964" s="87"/>
    </row>
    <row r="13965">
      <c r="A13965" s="86" t="str">
        <f>IFERROR(__xludf.DUMMYFUNCTION("""COMPUTED_VALUE"""),"")</f>
        <v/>
      </c>
      <c r="B13965" s="87"/>
      <c r="C13965" s="87"/>
      <c r="D13965" s="87"/>
      <c r="E13965" s="87"/>
      <c r="F13965" s="87"/>
      <c r="G13965" s="87"/>
    </row>
    <row r="13966">
      <c r="A13966" s="86" t="str">
        <f>IFERROR(__xludf.DUMMYFUNCTION("""COMPUTED_VALUE"""),"")</f>
        <v/>
      </c>
      <c r="B13966" s="87"/>
      <c r="C13966" s="87"/>
      <c r="D13966" s="87"/>
      <c r="E13966" s="87"/>
      <c r="F13966" s="87"/>
      <c r="G13966" s="87"/>
    </row>
    <row r="13967">
      <c r="A13967" s="86" t="str">
        <f>IFERROR(__xludf.DUMMYFUNCTION("""COMPUTED_VALUE"""),"")</f>
        <v/>
      </c>
      <c r="B13967" s="87"/>
      <c r="C13967" s="87"/>
      <c r="D13967" s="87"/>
      <c r="E13967" s="87"/>
      <c r="F13967" s="87"/>
      <c r="G13967" s="87"/>
    </row>
    <row r="13968">
      <c r="A13968" s="86" t="str">
        <f>IFERROR(__xludf.DUMMYFUNCTION("""COMPUTED_VALUE"""),"")</f>
        <v/>
      </c>
      <c r="B13968" s="87"/>
      <c r="C13968" s="87"/>
      <c r="D13968" s="87"/>
      <c r="E13968" s="87"/>
      <c r="F13968" s="87"/>
      <c r="G13968" s="87"/>
    </row>
    <row r="13969">
      <c r="A13969" s="86" t="str">
        <f>IFERROR(__xludf.DUMMYFUNCTION("""COMPUTED_VALUE"""),"")</f>
        <v/>
      </c>
      <c r="B13969" s="87"/>
      <c r="C13969" s="87"/>
      <c r="D13969" s="87"/>
      <c r="E13969" s="87"/>
      <c r="F13969" s="87"/>
      <c r="G13969" s="87"/>
    </row>
    <row r="13970">
      <c r="A13970" s="86" t="str">
        <f>IFERROR(__xludf.DUMMYFUNCTION("""COMPUTED_VALUE"""),"")</f>
        <v/>
      </c>
      <c r="B13970" s="87"/>
      <c r="C13970" s="87"/>
      <c r="D13970" s="87"/>
      <c r="E13970" s="87"/>
      <c r="F13970" s="87"/>
      <c r="G13970" s="87"/>
    </row>
    <row r="13971">
      <c r="A13971" s="86" t="str">
        <f>IFERROR(__xludf.DUMMYFUNCTION("""COMPUTED_VALUE"""),"")</f>
        <v/>
      </c>
      <c r="B13971" s="87"/>
      <c r="C13971" s="87"/>
      <c r="D13971" s="87"/>
      <c r="E13971" s="87"/>
      <c r="F13971" s="87"/>
      <c r="G13971" s="87"/>
    </row>
    <row r="13972">
      <c r="A13972" s="86" t="str">
        <f>IFERROR(__xludf.DUMMYFUNCTION("""COMPUTED_VALUE"""),"")</f>
        <v/>
      </c>
      <c r="B13972" s="87"/>
      <c r="C13972" s="87"/>
      <c r="D13972" s="87"/>
      <c r="E13972" s="87"/>
      <c r="F13972" s="87"/>
      <c r="G13972" s="87"/>
    </row>
    <row r="13973">
      <c r="A13973" s="86" t="str">
        <f>IFERROR(__xludf.DUMMYFUNCTION("""COMPUTED_VALUE"""),"")</f>
        <v/>
      </c>
      <c r="B13973" s="87"/>
      <c r="C13973" s="87"/>
      <c r="D13973" s="87"/>
      <c r="E13973" s="87"/>
      <c r="F13973" s="87"/>
      <c r="G13973" s="87"/>
    </row>
    <row r="13974">
      <c r="A13974" s="86" t="str">
        <f>IFERROR(__xludf.DUMMYFUNCTION("""COMPUTED_VALUE"""),"")</f>
        <v/>
      </c>
      <c r="B13974" s="87"/>
      <c r="C13974" s="87"/>
      <c r="D13974" s="87"/>
      <c r="E13974" s="87"/>
      <c r="F13974" s="87"/>
      <c r="G13974" s="87"/>
    </row>
    <row r="13975">
      <c r="A13975" s="86" t="str">
        <f>IFERROR(__xludf.DUMMYFUNCTION("""COMPUTED_VALUE"""),"")</f>
        <v/>
      </c>
      <c r="B13975" s="87"/>
      <c r="C13975" s="87"/>
      <c r="D13975" s="87"/>
      <c r="E13975" s="87"/>
      <c r="F13975" s="87"/>
      <c r="G13975" s="87"/>
    </row>
    <row r="13976">
      <c r="A13976" s="86" t="str">
        <f>IFERROR(__xludf.DUMMYFUNCTION("""COMPUTED_VALUE"""),"")</f>
        <v/>
      </c>
      <c r="B13976" s="87"/>
      <c r="C13976" s="87"/>
      <c r="D13976" s="87"/>
      <c r="E13976" s="87"/>
      <c r="F13976" s="87"/>
      <c r="G13976" s="87"/>
    </row>
    <row r="13977">
      <c r="A13977" s="86" t="str">
        <f>IFERROR(__xludf.DUMMYFUNCTION("""COMPUTED_VALUE"""),"")</f>
        <v/>
      </c>
      <c r="B13977" s="87"/>
      <c r="C13977" s="87"/>
      <c r="D13977" s="87"/>
      <c r="E13977" s="87"/>
      <c r="F13977" s="87"/>
      <c r="G13977" s="87"/>
    </row>
    <row r="13978">
      <c r="A13978" s="86" t="str">
        <f>IFERROR(__xludf.DUMMYFUNCTION("""COMPUTED_VALUE"""),"")</f>
        <v/>
      </c>
      <c r="B13978" s="87"/>
      <c r="C13978" s="87"/>
      <c r="D13978" s="87"/>
      <c r="E13978" s="87"/>
      <c r="F13978" s="87"/>
      <c r="G13978" s="87"/>
    </row>
    <row r="13979">
      <c r="A13979" s="86" t="str">
        <f>IFERROR(__xludf.DUMMYFUNCTION("""COMPUTED_VALUE"""),"")</f>
        <v/>
      </c>
      <c r="B13979" s="87"/>
      <c r="C13979" s="87"/>
      <c r="D13979" s="87"/>
      <c r="E13979" s="87"/>
      <c r="F13979" s="87"/>
      <c r="G13979" s="87"/>
    </row>
    <row r="13980">
      <c r="A13980" s="86" t="str">
        <f>IFERROR(__xludf.DUMMYFUNCTION("""COMPUTED_VALUE"""),"")</f>
        <v/>
      </c>
      <c r="B13980" s="87"/>
      <c r="C13980" s="87"/>
      <c r="D13980" s="87"/>
      <c r="E13980" s="87"/>
      <c r="F13980" s="87"/>
      <c r="G13980" s="87"/>
    </row>
    <row r="13981">
      <c r="A13981" s="86" t="str">
        <f>IFERROR(__xludf.DUMMYFUNCTION("""COMPUTED_VALUE"""),"")</f>
        <v/>
      </c>
      <c r="B13981" s="87"/>
      <c r="C13981" s="87"/>
      <c r="D13981" s="87"/>
      <c r="E13981" s="87"/>
      <c r="F13981" s="87"/>
      <c r="G13981" s="87"/>
    </row>
    <row r="13982">
      <c r="A13982" s="86" t="str">
        <f>IFERROR(__xludf.DUMMYFUNCTION("""COMPUTED_VALUE"""),"")</f>
        <v/>
      </c>
      <c r="B13982" s="87"/>
      <c r="C13982" s="87"/>
      <c r="D13982" s="87"/>
      <c r="E13982" s="87"/>
      <c r="F13982" s="87"/>
      <c r="G13982" s="87"/>
    </row>
    <row r="13983">
      <c r="A13983" s="86" t="str">
        <f>IFERROR(__xludf.DUMMYFUNCTION("""COMPUTED_VALUE"""),"")</f>
        <v/>
      </c>
      <c r="B13983" s="87"/>
      <c r="C13983" s="87"/>
      <c r="D13983" s="87"/>
      <c r="E13983" s="87"/>
      <c r="F13983" s="87"/>
      <c r="G13983" s="87"/>
    </row>
    <row r="13984">
      <c r="A13984" s="86" t="str">
        <f>IFERROR(__xludf.DUMMYFUNCTION("""COMPUTED_VALUE"""),"")</f>
        <v/>
      </c>
      <c r="B13984" s="87"/>
      <c r="C13984" s="87"/>
      <c r="D13984" s="87"/>
      <c r="E13984" s="87"/>
      <c r="F13984" s="87"/>
      <c r="G13984" s="87"/>
    </row>
    <row r="13985">
      <c r="A13985" s="86" t="str">
        <f>IFERROR(__xludf.DUMMYFUNCTION("""COMPUTED_VALUE"""),"")</f>
        <v/>
      </c>
      <c r="B13985" s="87"/>
      <c r="C13985" s="87"/>
      <c r="D13985" s="87"/>
      <c r="E13985" s="87"/>
      <c r="F13985" s="87"/>
      <c r="G13985" s="87"/>
    </row>
    <row r="13986">
      <c r="A13986" s="86" t="str">
        <f>IFERROR(__xludf.DUMMYFUNCTION("""COMPUTED_VALUE"""),"")</f>
        <v/>
      </c>
      <c r="B13986" s="87"/>
      <c r="C13986" s="87"/>
      <c r="D13986" s="87"/>
      <c r="E13986" s="87"/>
      <c r="F13986" s="87"/>
      <c r="G13986" s="87"/>
    </row>
    <row r="13987">
      <c r="A13987" s="86" t="str">
        <f>IFERROR(__xludf.DUMMYFUNCTION("""COMPUTED_VALUE"""),"")</f>
        <v/>
      </c>
      <c r="B13987" s="87"/>
      <c r="C13987" s="87"/>
      <c r="D13987" s="87"/>
      <c r="E13987" s="87"/>
      <c r="F13987" s="87"/>
      <c r="G13987" s="87"/>
    </row>
    <row r="13988">
      <c r="A13988" s="86" t="str">
        <f>IFERROR(__xludf.DUMMYFUNCTION("""COMPUTED_VALUE"""),"")</f>
        <v/>
      </c>
      <c r="B13988" s="87"/>
      <c r="C13988" s="87"/>
      <c r="D13988" s="87"/>
      <c r="E13988" s="87"/>
      <c r="F13988" s="87"/>
      <c r="G13988" s="87"/>
    </row>
    <row r="13989">
      <c r="A13989" s="86" t="str">
        <f>IFERROR(__xludf.DUMMYFUNCTION("""COMPUTED_VALUE"""),"")</f>
        <v/>
      </c>
      <c r="B13989" s="87"/>
      <c r="C13989" s="87"/>
      <c r="D13989" s="87"/>
      <c r="E13989" s="87"/>
      <c r="F13989" s="87"/>
      <c r="G13989" s="87"/>
    </row>
    <row r="13990">
      <c r="A13990" s="86" t="str">
        <f>IFERROR(__xludf.DUMMYFUNCTION("""COMPUTED_VALUE"""),"")</f>
        <v/>
      </c>
      <c r="B13990" s="87"/>
      <c r="C13990" s="87"/>
      <c r="D13990" s="87"/>
      <c r="E13990" s="87"/>
      <c r="F13990" s="87"/>
      <c r="G13990" s="87"/>
    </row>
    <row r="13991">
      <c r="A13991" s="86" t="str">
        <f>IFERROR(__xludf.DUMMYFUNCTION("""COMPUTED_VALUE"""),"")</f>
        <v/>
      </c>
      <c r="B13991" s="87"/>
      <c r="C13991" s="87"/>
      <c r="D13991" s="87"/>
      <c r="E13991" s="87"/>
      <c r="F13991" s="87"/>
      <c r="G13991" s="87"/>
    </row>
    <row r="13992">
      <c r="A13992" s="86" t="str">
        <f>IFERROR(__xludf.DUMMYFUNCTION("""COMPUTED_VALUE"""),"")</f>
        <v/>
      </c>
      <c r="B13992" s="87"/>
      <c r="C13992" s="87"/>
      <c r="D13992" s="87"/>
      <c r="E13992" s="87"/>
      <c r="F13992" s="87"/>
      <c r="G13992" s="87"/>
    </row>
    <row r="13993">
      <c r="A13993" s="86" t="str">
        <f>IFERROR(__xludf.DUMMYFUNCTION("""COMPUTED_VALUE"""),"")</f>
        <v/>
      </c>
      <c r="B13993" s="87"/>
      <c r="C13993" s="87"/>
      <c r="D13993" s="87"/>
      <c r="E13993" s="87"/>
      <c r="F13993" s="87"/>
      <c r="G13993" s="87"/>
    </row>
    <row r="13994">
      <c r="A13994" s="86" t="str">
        <f>IFERROR(__xludf.DUMMYFUNCTION("""COMPUTED_VALUE"""),"")</f>
        <v/>
      </c>
      <c r="B13994" s="87"/>
      <c r="C13994" s="87"/>
      <c r="D13994" s="87"/>
      <c r="E13994" s="87"/>
      <c r="F13994" s="87"/>
      <c r="G13994" s="87"/>
    </row>
    <row r="13995">
      <c r="A13995" s="86" t="str">
        <f>IFERROR(__xludf.DUMMYFUNCTION("""COMPUTED_VALUE"""),"")</f>
        <v/>
      </c>
      <c r="B13995" s="87"/>
      <c r="C13995" s="87"/>
      <c r="D13995" s="87"/>
      <c r="E13995" s="87"/>
      <c r="F13995" s="87"/>
      <c r="G13995" s="87"/>
    </row>
    <row r="13996">
      <c r="A13996" s="86" t="str">
        <f>IFERROR(__xludf.DUMMYFUNCTION("""COMPUTED_VALUE"""),"")</f>
        <v/>
      </c>
      <c r="B13996" s="87"/>
      <c r="C13996" s="87"/>
      <c r="D13996" s="87"/>
      <c r="E13996" s="87"/>
      <c r="F13996" s="87"/>
      <c r="G13996" s="87"/>
    </row>
    <row r="13997">
      <c r="A13997" s="86" t="str">
        <f>IFERROR(__xludf.DUMMYFUNCTION("""COMPUTED_VALUE"""),"")</f>
        <v/>
      </c>
      <c r="B13997" s="87"/>
      <c r="C13997" s="87"/>
      <c r="D13997" s="87"/>
      <c r="E13997" s="87"/>
      <c r="F13997" s="87"/>
      <c r="G13997" s="87"/>
    </row>
    <row r="13998">
      <c r="A13998" s="86" t="str">
        <f>IFERROR(__xludf.DUMMYFUNCTION("""COMPUTED_VALUE"""),"")</f>
        <v/>
      </c>
      <c r="B13998" s="87"/>
      <c r="C13998" s="87"/>
      <c r="D13998" s="87"/>
      <c r="E13998" s="87"/>
      <c r="F13998" s="87"/>
      <c r="G13998" s="87"/>
    </row>
    <row r="13999">
      <c r="A13999" s="86" t="str">
        <f>IFERROR(__xludf.DUMMYFUNCTION("""COMPUTED_VALUE"""),"")</f>
        <v/>
      </c>
      <c r="B13999" s="87"/>
      <c r="C13999" s="87"/>
      <c r="D13999" s="87"/>
      <c r="E13999" s="87"/>
      <c r="F13999" s="87"/>
      <c r="G13999" s="87"/>
    </row>
    <row r="14000">
      <c r="A14000" s="86" t="str">
        <f>IFERROR(__xludf.DUMMYFUNCTION("""COMPUTED_VALUE"""),"")</f>
        <v/>
      </c>
      <c r="B14000" s="87"/>
      <c r="C14000" s="87"/>
      <c r="D14000" s="87"/>
      <c r="E14000" s="87"/>
      <c r="F14000" s="87"/>
      <c r="G14000" s="87"/>
    </row>
    <row r="14001">
      <c r="A14001" s="86" t="str">
        <f>IFERROR(__xludf.DUMMYFUNCTION("""COMPUTED_VALUE"""),"")</f>
        <v/>
      </c>
      <c r="B14001" s="87"/>
      <c r="C14001" s="87"/>
      <c r="D14001" s="87"/>
      <c r="E14001" s="87"/>
      <c r="F14001" s="87"/>
      <c r="G14001" s="87"/>
    </row>
    <row r="14002">
      <c r="A14002" s="86" t="str">
        <f>IFERROR(__xludf.DUMMYFUNCTION("""COMPUTED_VALUE"""),"")</f>
        <v/>
      </c>
      <c r="B14002" s="87"/>
      <c r="C14002" s="87"/>
      <c r="D14002" s="87"/>
      <c r="E14002" s="87"/>
      <c r="F14002" s="87"/>
      <c r="G14002" s="87"/>
    </row>
    <row r="14003">
      <c r="A14003" s="86" t="str">
        <f>IFERROR(__xludf.DUMMYFUNCTION("""COMPUTED_VALUE"""),"")</f>
        <v/>
      </c>
      <c r="B14003" s="87"/>
      <c r="C14003" s="87"/>
      <c r="D14003" s="87"/>
      <c r="E14003" s="87"/>
      <c r="F14003" s="87"/>
      <c r="G14003" s="87"/>
    </row>
    <row r="14004">
      <c r="A14004" s="86" t="str">
        <f>IFERROR(__xludf.DUMMYFUNCTION("""COMPUTED_VALUE"""),"")</f>
        <v/>
      </c>
      <c r="B14004" s="87"/>
      <c r="C14004" s="87"/>
      <c r="D14004" s="87"/>
      <c r="E14004" s="87"/>
      <c r="F14004" s="87"/>
      <c r="G14004" s="87"/>
    </row>
    <row r="14005">
      <c r="A14005" s="86" t="str">
        <f>IFERROR(__xludf.DUMMYFUNCTION("""COMPUTED_VALUE"""),"")</f>
        <v/>
      </c>
      <c r="B14005" s="87"/>
      <c r="C14005" s="87"/>
      <c r="D14005" s="87"/>
      <c r="E14005" s="87"/>
      <c r="F14005" s="87"/>
      <c r="G14005" s="87"/>
    </row>
    <row r="14006">
      <c r="A14006" s="86" t="str">
        <f>IFERROR(__xludf.DUMMYFUNCTION("""COMPUTED_VALUE"""),"")</f>
        <v/>
      </c>
      <c r="B14006" s="87"/>
      <c r="C14006" s="87"/>
      <c r="D14006" s="87"/>
      <c r="E14006" s="87"/>
      <c r="F14006" s="87"/>
      <c r="G14006" s="87"/>
    </row>
    <row r="14007">
      <c r="A14007" s="86" t="str">
        <f>IFERROR(__xludf.DUMMYFUNCTION("""COMPUTED_VALUE"""),"")</f>
        <v/>
      </c>
      <c r="B14007" s="87"/>
      <c r="C14007" s="87"/>
      <c r="D14007" s="87"/>
      <c r="E14007" s="87"/>
      <c r="F14007" s="87"/>
      <c r="G14007" s="87"/>
    </row>
    <row r="14008">
      <c r="A14008" s="86" t="str">
        <f>IFERROR(__xludf.DUMMYFUNCTION("""COMPUTED_VALUE"""),"")</f>
        <v/>
      </c>
      <c r="B14008" s="87"/>
      <c r="C14008" s="87"/>
      <c r="D14008" s="87"/>
      <c r="E14008" s="87"/>
      <c r="F14008" s="87"/>
      <c r="G14008" s="87"/>
    </row>
    <row r="14009">
      <c r="A14009" s="86" t="str">
        <f>IFERROR(__xludf.DUMMYFUNCTION("""COMPUTED_VALUE"""),"")</f>
        <v/>
      </c>
      <c r="B14009" s="87"/>
      <c r="C14009" s="87"/>
      <c r="D14009" s="87"/>
      <c r="E14009" s="87"/>
      <c r="F14009" s="87"/>
      <c r="G14009" s="87"/>
    </row>
    <row r="14010">
      <c r="A14010" s="86" t="str">
        <f>IFERROR(__xludf.DUMMYFUNCTION("""COMPUTED_VALUE"""),"")</f>
        <v/>
      </c>
      <c r="B14010" s="87"/>
      <c r="C14010" s="87"/>
      <c r="D14010" s="87"/>
      <c r="E14010" s="87"/>
      <c r="F14010" s="87"/>
      <c r="G14010" s="87"/>
    </row>
    <row r="14011">
      <c r="A14011" s="86" t="str">
        <f>IFERROR(__xludf.DUMMYFUNCTION("""COMPUTED_VALUE"""),"")</f>
        <v/>
      </c>
      <c r="B14011" s="87"/>
      <c r="C14011" s="87"/>
      <c r="D14011" s="87"/>
      <c r="E14011" s="87"/>
      <c r="F14011" s="87"/>
      <c r="G14011" s="87"/>
    </row>
    <row r="14012">
      <c r="A14012" s="86" t="str">
        <f>IFERROR(__xludf.DUMMYFUNCTION("""COMPUTED_VALUE"""),"")</f>
        <v/>
      </c>
      <c r="B14012" s="87"/>
      <c r="C14012" s="87"/>
      <c r="D14012" s="87"/>
      <c r="E14012" s="87"/>
      <c r="F14012" s="87"/>
      <c r="G14012" s="87"/>
    </row>
    <row r="14013">
      <c r="A14013" s="86" t="str">
        <f>IFERROR(__xludf.DUMMYFUNCTION("""COMPUTED_VALUE"""),"")</f>
        <v/>
      </c>
      <c r="B14013" s="87"/>
      <c r="C14013" s="87"/>
      <c r="D14013" s="87"/>
      <c r="E14013" s="87"/>
      <c r="F14013" s="87"/>
      <c r="G14013" s="87"/>
    </row>
    <row r="14014">
      <c r="A14014" s="86" t="str">
        <f>IFERROR(__xludf.DUMMYFUNCTION("""COMPUTED_VALUE"""),"")</f>
        <v/>
      </c>
      <c r="B14014" s="87"/>
      <c r="C14014" s="87"/>
      <c r="D14014" s="87"/>
      <c r="E14014" s="87"/>
      <c r="F14014" s="87"/>
      <c r="G14014" s="87"/>
    </row>
    <row r="14015">
      <c r="A14015" s="86" t="str">
        <f>IFERROR(__xludf.DUMMYFUNCTION("""COMPUTED_VALUE"""),"")</f>
        <v/>
      </c>
      <c r="B14015" s="87"/>
      <c r="C14015" s="87"/>
      <c r="D14015" s="87"/>
      <c r="E14015" s="87"/>
      <c r="F14015" s="87"/>
      <c r="G14015" s="87"/>
    </row>
    <row r="14016">
      <c r="A14016" s="86" t="str">
        <f>IFERROR(__xludf.DUMMYFUNCTION("""COMPUTED_VALUE"""),"")</f>
        <v/>
      </c>
      <c r="B14016" s="87"/>
      <c r="C14016" s="87"/>
      <c r="D14016" s="87"/>
      <c r="E14016" s="87"/>
      <c r="F14016" s="87"/>
      <c r="G14016" s="87"/>
    </row>
    <row r="14017">
      <c r="A14017" s="86" t="str">
        <f>IFERROR(__xludf.DUMMYFUNCTION("""COMPUTED_VALUE"""),"")</f>
        <v/>
      </c>
      <c r="B14017" s="87"/>
      <c r="C14017" s="87"/>
      <c r="D14017" s="87"/>
      <c r="E14017" s="87"/>
      <c r="F14017" s="87"/>
      <c r="G14017" s="87"/>
    </row>
    <row r="14018">
      <c r="A14018" s="86" t="str">
        <f>IFERROR(__xludf.DUMMYFUNCTION("""COMPUTED_VALUE"""),"")</f>
        <v/>
      </c>
      <c r="B14018" s="87"/>
      <c r="C14018" s="87"/>
      <c r="D14018" s="87"/>
      <c r="E14018" s="87"/>
      <c r="F14018" s="87"/>
      <c r="G14018" s="87"/>
    </row>
    <row r="14019">
      <c r="A14019" s="86" t="str">
        <f>IFERROR(__xludf.DUMMYFUNCTION("""COMPUTED_VALUE"""),"")</f>
        <v/>
      </c>
      <c r="B14019" s="87"/>
      <c r="C14019" s="87"/>
      <c r="D14019" s="87"/>
      <c r="E14019" s="87"/>
      <c r="F14019" s="87"/>
      <c r="G14019" s="87"/>
    </row>
    <row r="14020">
      <c r="A14020" s="86" t="str">
        <f>IFERROR(__xludf.DUMMYFUNCTION("""COMPUTED_VALUE"""),"")</f>
        <v/>
      </c>
      <c r="B14020" s="87"/>
      <c r="C14020" s="87"/>
      <c r="D14020" s="87"/>
      <c r="E14020" s="87"/>
      <c r="F14020" s="87"/>
      <c r="G14020" s="87"/>
    </row>
    <row r="14021">
      <c r="A14021" s="86" t="str">
        <f>IFERROR(__xludf.DUMMYFUNCTION("""COMPUTED_VALUE"""),"")</f>
        <v/>
      </c>
      <c r="B14021" s="87"/>
      <c r="C14021" s="87"/>
      <c r="D14021" s="87"/>
      <c r="E14021" s="87"/>
      <c r="F14021" s="87"/>
      <c r="G14021" s="87"/>
    </row>
    <row r="14022">
      <c r="A14022" s="86" t="str">
        <f>IFERROR(__xludf.DUMMYFUNCTION("""COMPUTED_VALUE"""),"")</f>
        <v/>
      </c>
      <c r="B14022" s="87"/>
      <c r="C14022" s="87"/>
      <c r="D14022" s="87"/>
      <c r="E14022" s="87"/>
      <c r="F14022" s="87"/>
      <c r="G14022" s="87"/>
    </row>
    <row r="14023">
      <c r="A14023" s="86" t="str">
        <f>IFERROR(__xludf.DUMMYFUNCTION("""COMPUTED_VALUE"""),"")</f>
        <v/>
      </c>
      <c r="B14023" s="87"/>
      <c r="C14023" s="87"/>
      <c r="D14023" s="87"/>
      <c r="E14023" s="87"/>
      <c r="F14023" s="87"/>
      <c r="G14023" s="87"/>
    </row>
    <row r="14024">
      <c r="A14024" s="86" t="str">
        <f>IFERROR(__xludf.DUMMYFUNCTION("""COMPUTED_VALUE"""),"")</f>
        <v/>
      </c>
      <c r="B14024" s="87"/>
      <c r="C14024" s="87"/>
      <c r="D14024" s="87"/>
      <c r="E14024" s="87"/>
      <c r="F14024" s="87"/>
      <c r="G14024" s="87"/>
    </row>
    <row r="14025">
      <c r="A14025" s="86" t="str">
        <f>IFERROR(__xludf.DUMMYFUNCTION("""COMPUTED_VALUE"""),"")</f>
        <v/>
      </c>
      <c r="B14025" s="87"/>
      <c r="C14025" s="87"/>
      <c r="D14025" s="87"/>
      <c r="E14025" s="87"/>
      <c r="F14025" s="87"/>
      <c r="G14025" s="87"/>
    </row>
    <row r="14026">
      <c r="A14026" s="86" t="str">
        <f>IFERROR(__xludf.DUMMYFUNCTION("""COMPUTED_VALUE"""),"")</f>
        <v/>
      </c>
      <c r="B14026" s="87"/>
      <c r="C14026" s="87"/>
      <c r="D14026" s="87"/>
      <c r="E14026" s="87"/>
      <c r="F14026" s="87"/>
      <c r="G14026" s="87"/>
    </row>
    <row r="14027">
      <c r="A14027" s="86" t="str">
        <f>IFERROR(__xludf.DUMMYFUNCTION("""COMPUTED_VALUE"""),"")</f>
        <v/>
      </c>
      <c r="B14027" s="87"/>
      <c r="C14027" s="87"/>
      <c r="D14027" s="87"/>
      <c r="E14027" s="87"/>
      <c r="F14027" s="87"/>
      <c r="G14027" s="87"/>
    </row>
    <row r="14028">
      <c r="A14028" s="86" t="str">
        <f>IFERROR(__xludf.DUMMYFUNCTION("""COMPUTED_VALUE"""),"")</f>
        <v/>
      </c>
      <c r="B14028" s="87"/>
      <c r="C14028" s="87"/>
      <c r="D14028" s="87"/>
      <c r="E14028" s="87"/>
      <c r="F14028" s="87"/>
      <c r="G14028" s="87"/>
    </row>
    <row r="14029">
      <c r="A14029" s="86" t="str">
        <f>IFERROR(__xludf.DUMMYFUNCTION("""COMPUTED_VALUE"""),"")</f>
        <v/>
      </c>
      <c r="B14029" s="87"/>
      <c r="C14029" s="87"/>
      <c r="D14029" s="87"/>
      <c r="E14029" s="87"/>
      <c r="F14029" s="87"/>
      <c r="G14029" s="87"/>
    </row>
    <row r="14030">
      <c r="A14030" s="86" t="str">
        <f>IFERROR(__xludf.DUMMYFUNCTION("""COMPUTED_VALUE"""),"")</f>
        <v/>
      </c>
      <c r="B14030" s="87"/>
      <c r="C14030" s="87"/>
      <c r="D14030" s="87"/>
      <c r="E14030" s="87"/>
      <c r="F14030" s="87"/>
      <c r="G14030" s="87"/>
    </row>
    <row r="14031">
      <c r="A14031" s="86" t="str">
        <f>IFERROR(__xludf.DUMMYFUNCTION("""COMPUTED_VALUE"""),"")</f>
        <v/>
      </c>
      <c r="B14031" s="87"/>
      <c r="C14031" s="87"/>
      <c r="D14031" s="87"/>
      <c r="E14031" s="87"/>
      <c r="F14031" s="87"/>
      <c r="G14031" s="87"/>
    </row>
    <row r="14032">
      <c r="A14032" s="86" t="str">
        <f>IFERROR(__xludf.DUMMYFUNCTION("""COMPUTED_VALUE"""),"")</f>
        <v/>
      </c>
      <c r="B14032" s="87"/>
      <c r="C14032" s="87"/>
      <c r="D14032" s="87"/>
      <c r="E14032" s="87"/>
      <c r="F14032" s="87"/>
      <c r="G14032" s="87"/>
    </row>
    <row r="14033">
      <c r="A14033" s="86" t="str">
        <f>IFERROR(__xludf.DUMMYFUNCTION("""COMPUTED_VALUE"""),"")</f>
        <v/>
      </c>
      <c r="B14033" s="87"/>
      <c r="C14033" s="87"/>
      <c r="D14033" s="87"/>
      <c r="E14033" s="87"/>
      <c r="F14033" s="87"/>
      <c r="G14033" s="87"/>
    </row>
    <row r="14034">
      <c r="A14034" s="86" t="str">
        <f>IFERROR(__xludf.DUMMYFUNCTION("""COMPUTED_VALUE"""),"")</f>
        <v/>
      </c>
      <c r="B14034" s="87"/>
      <c r="C14034" s="87"/>
      <c r="D14034" s="87"/>
      <c r="E14034" s="87"/>
      <c r="F14034" s="87"/>
      <c r="G14034" s="87"/>
    </row>
    <row r="14035">
      <c r="A14035" s="86" t="str">
        <f>IFERROR(__xludf.DUMMYFUNCTION("""COMPUTED_VALUE"""),"")</f>
        <v/>
      </c>
      <c r="B14035" s="87"/>
      <c r="C14035" s="87"/>
      <c r="D14035" s="87"/>
      <c r="E14035" s="87"/>
      <c r="F14035" s="87"/>
      <c r="G14035" s="87"/>
    </row>
    <row r="14036">
      <c r="A14036" s="86" t="str">
        <f>IFERROR(__xludf.DUMMYFUNCTION("""COMPUTED_VALUE"""),"")</f>
        <v/>
      </c>
      <c r="B14036" s="87"/>
      <c r="C14036" s="87"/>
      <c r="D14036" s="87"/>
      <c r="E14036" s="87"/>
      <c r="F14036" s="87"/>
      <c r="G14036" s="87"/>
    </row>
    <row r="14037">
      <c r="A14037" s="86" t="str">
        <f>IFERROR(__xludf.DUMMYFUNCTION("""COMPUTED_VALUE"""),"")</f>
        <v/>
      </c>
      <c r="B14037" s="87"/>
      <c r="C14037" s="87"/>
      <c r="D14037" s="87"/>
      <c r="E14037" s="87"/>
      <c r="F14037" s="87"/>
      <c r="G14037" s="87"/>
    </row>
    <row r="14038">
      <c r="A14038" s="86" t="str">
        <f>IFERROR(__xludf.DUMMYFUNCTION("""COMPUTED_VALUE"""),"")</f>
        <v/>
      </c>
      <c r="B14038" s="87"/>
      <c r="C14038" s="87"/>
      <c r="D14038" s="87"/>
      <c r="E14038" s="87"/>
      <c r="F14038" s="87"/>
      <c r="G14038" s="87"/>
    </row>
    <row r="14039">
      <c r="A14039" s="86" t="str">
        <f>IFERROR(__xludf.DUMMYFUNCTION("""COMPUTED_VALUE"""),"")</f>
        <v/>
      </c>
      <c r="B14039" s="87"/>
      <c r="C14039" s="87"/>
      <c r="D14039" s="87"/>
      <c r="E14039" s="87"/>
      <c r="F14039" s="87"/>
      <c r="G14039" s="87"/>
    </row>
    <row r="14040">
      <c r="A14040" s="86" t="str">
        <f>IFERROR(__xludf.DUMMYFUNCTION("""COMPUTED_VALUE"""),"")</f>
        <v/>
      </c>
      <c r="B14040" s="87"/>
      <c r="C14040" s="87"/>
      <c r="D14040" s="87"/>
      <c r="E14040" s="87"/>
      <c r="F14040" s="87"/>
      <c r="G14040" s="87"/>
    </row>
    <row r="14041">
      <c r="A14041" s="86" t="str">
        <f>IFERROR(__xludf.DUMMYFUNCTION("""COMPUTED_VALUE"""),"")</f>
        <v/>
      </c>
      <c r="B14041" s="87"/>
      <c r="C14041" s="87"/>
      <c r="D14041" s="87"/>
      <c r="E14041" s="87"/>
      <c r="F14041" s="87"/>
      <c r="G14041" s="87"/>
    </row>
    <row r="14042">
      <c r="A14042" s="86" t="str">
        <f>IFERROR(__xludf.DUMMYFUNCTION("""COMPUTED_VALUE"""),"")</f>
        <v/>
      </c>
      <c r="B14042" s="87"/>
      <c r="C14042" s="87"/>
      <c r="D14042" s="87"/>
      <c r="E14042" s="87"/>
      <c r="F14042" s="87"/>
      <c r="G14042" s="87"/>
    </row>
    <row r="14043">
      <c r="A14043" s="86" t="str">
        <f>IFERROR(__xludf.DUMMYFUNCTION("""COMPUTED_VALUE"""),"")</f>
        <v/>
      </c>
      <c r="B14043" s="87"/>
      <c r="C14043" s="87"/>
      <c r="D14043" s="87"/>
      <c r="E14043" s="87"/>
      <c r="F14043" s="87"/>
      <c r="G14043" s="87"/>
    </row>
    <row r="14044">
      <c r="A14044" s="86" t="str">
        <f>IFERROR(__xludf.DUMMYFUNCTION("""COMPUTED_VALUE"""),"")</f>
        <v/>
      </c>
      <c r="B14044" s="87"/>
      <c r="C14044" s="87"/>
      <c r="D14044" s="87"/>
      <c r="E14044" s="87"/>
      <c r="F14044" s="87"/>
      <c r="G14044" s="87"/>
    </row>
    <row r="14045">
      <c r="A14045" s="86" t="str">
        <f>IFERROR(__xludf.DUMMYFUNCTION("""COMPUTED_VALUE"""),"")</f>
        <v/>
      </c>
      <c r="B14045" s="87"/>
      <c r="C14045" s="87"/>
      <c r="D14045" s="87"/>
      <c r="E14045" s="87"/>
      <c r="F14045" s="87"/>
      <c r="G14045" s="87"/>
    </row>
    <row r="14046">
      <c r="A14046" s="86" t="str">
        <f>IFERROR(__xludf.DUMMYFUNCTION("""COMPUTED_VALUE"""),"")</f>
        <v/>
      </c>
      <c r="B14046" s="87"/>
      <c r="C14046" s="87"/>
      <c r="D14046" s="87"/>
      <c r="E14046" s="87"/>
      <c r="F14046" s="87"/>
      <c r="G14046" s="87"/>
    </row>
    <row r="14047">
      <c r="A14047" s="86" t="str">
        <f>IFERROR(__xludf.DUMMYFUNCTION("""COMPUTED_VALUE"""),"")</f>
        <v/>
      </c>
      <c r="B14047" s="87"/>
      <c r="C14047" s="87"/>
      <c r="D14047" s="87"/>
      <c r="E14047" s="87"/>
      <c r="F14047" s="87"/>
      <c r="G14047" s="87"/>
    </row>
    <row r="14048">
      <c r="A14048" s="86" t="str">
        <f>IFERROR(__xludf.DUMMYFUNCTION("""COMPUTED_VALUE"""),"")</f>
        <v/>
      </c>
      <c r="B14048" s="87"/>
      <c r="C14048" s="87"/>
      <c r="D14048" s="87"/>
      <c r="E14048" s="87"/>
      <c r="F14048" s="87"/>
      <c r="G14048" s="87"/>
    </row>
    <row r="14049">
      <c r="A14049" s="86" t="str">
        <f>IFERROR(__xludf.DUMMYFUNCTION("""COMPUTED_VALUE"""),"")</f>
        <v/>
      </c>
      <c r="B14049" s="87"/>
      <c r="C14049" s="87"/>
      <c r="D14049" s="87"/>
      <c r="E14049" s="87"/>
      <c r="F14049" s="87"/>
      <c r="G14049" s="87"/>
    </row>
    <row r="14050">
      <c r="A14050" s="86" t="str">
        <f>IFERROR(__xludf.DUMMYFUNCTION("""COMPUTED_VALUE"""),"")</f>
        <v/>
      </c>
      <c r="B14050" s="87"/>
      <c r="C14050" s="87"/>
      <c r="D14050" s="87"/>
      <c r="E14050" s="87"/>
      <c r="F14050" s="87"/>
      <c r="G14050" s="87"/>
    </row>
    <row r="14051">
      <c r="A14051" s="86" t="str">
        <f>IFERROR(__xludf.DUMMYFUNCTION("""COMPUTED_VALUE"""),"")</f>
        <v/>
      </c>
      <c r="B14051" s="87"/>
      <c r="C14051" s="87"/>
      <c r="D14051" s="87"/>
      <c r="E14051" s="87"/>
      <c r="F14051" s="87"/>
      <c r="G14051" s="87"/>
    </row>
    <row r="14052">
      <c r="A14052" s="86" t="str">
        <f>IFERROR(__xludf.DUMMYFUNCTION("""COMPUTED_VALUE"""),"")</f>
        <v/>
      </c>
      <c r="B14052" s="87"/>
      <c r="C14052" s="87"/>
      <c r="D14052" s="87"/>
      <c r="E14052" s="87"/>
      <c r="F14052" s="87"/>
      <c r="G14052" s="87"/>
    </row>
    <row r="14053">
      <c r="A14053" s="86" t="str">
        <f>IFERROR(__xludf.DUMMYFUNCTION("""COMPUTED_VALUE"""),"")</f>
        <v/>
      </c>
      <c r="B14053" s="87"/>
      <c r="C14053" s="87"/>
      <c r="D14053" s="87"/>
      <c r="E14053" s="87"/>
      <c r="F14053" s="87"/>
      <c r="G14053" s="87"/>
    </row>
    <row r="14054">
      <c r="A14054" s="86" t="str">
        <f>IFERROR(__xludf.DUMMYFUNCTION("""COMPUTED_VALUE"""),"")</f>
        <v/>
      </c>
      <c r="B14054" s="87"/>
      <c r="C14054" s="87"/>
      <c r="D14054" s="87"/>
      <c r="E14054" s="87"/>
      <c r="F14054" s="87"/>
      <c r="G14054" s="87"/>
    </row>
    <row r="14055">
      <c r="A14055" s="86" t="str">
        <f>IFERROR(__xludf.DUMMYFUNCTION("""COMPUTED_VALUE"""),"")</f>
        <v/>
      </c>
      <c r="B14055" s="87"/>
      <c r="C14055" s="87"/>
      <c r="D14055" s="87"/>
      <c r="E14055" s="87"/>
      <c r="F14055" s="87"/>
      <c r="G14055" s="87"/>
    </row>
    <row r="14056">
      <c r="A14056" s="86" t="str">
        <f>IFERROR(__xludf.DUMMYFUNCTION("""COMPUTED_VALUE"""),"")</f>
        <v/>
      </c>
      <c r="B14056" s="87"/>
      <c r="C14056" s="87"/>
      <c r="D14056" s="87"/>
      <c r="E14056" s="87"/>
      <c r="F14056" s="87"/>
      <c r="G14056" s="87"/>
    </row>
    <row r="14057">
      <c r="A14057" s="86" t="str">
        <f>IFERROR(__xludf.DUMMYFUNCTION("""COMPUTED_VALUE"""),"")</f>
        <v/>
      </c>
      <c r="B14057" s="87"/>
      <c r="C14057" s="87"/>
      <c r="D14057" s="87"/>
      <c r="E14057" s="87"/>
      <c r="F14057" s="87"/>
      <c r="G14057" s="87"/>
    </row>
    <row r="14058">
      <c r="A14058" s="86" t="str">
        <f>IFERROR(__xludf.DUMMYFUNCTION("""COMPUTED_VALUE"""),"")</f>
        <v/>
      </c>
      <c r="B14058" s="87"/>
      <c r="C14058" s="87"/>
      <c r="D14058" s="87"/>
      <c r="E14058" s="87"/>
      <c r="F14058" s="87"/>
      <c r="G14058" s="87"/>
    </row>
    <row r="14059">
      <c r="A14059" s="86" t="str">
        <f>IFERROR(__xludf.DUMMYFUNCTION("""COMPUTED_VALUE"""),"")</f>
        <v/>
      </c>
      <c r="B14059" s="87"/>
      <c r="C14059" s="87"/>
      <c r="D14059" s="87"/>
      <c r="E14059" s="87"/>
      <c r="F14059" s="87"/>
      <c r="G14059" s="87"/>
    </row>
    <row r="14060">
      <c r="A14060" s="86" t="str">
        <f>IFERROR(__xludf.DUMMYFUNCTION("""COMPUTED_VALUE"""),"")</f>
        <v/>
      </c>
      <c r="B14060" s="87"/>
      <c r="C14060" s="87"/>
      <c r="D14060" s="87"/>
      <c r="E14060" s="87"/>
      <c r="F14060" s="87"/>
      <c r="G14060" s="87"/>
    </row>
    <row r="14061">
      <c r="A14061" s="86" t="str">
        <f>IFERROR(__xludf.DUMMYFUNCTION("""COMPUTED_VALUE"""),"")</f>
        <v/>
      </c>
      <c r="B14061" s="87"/>
      <c r="C14061" s="87"/>
      <c r="D14061" s="87"/>
      <c r="E14061" s="87"/>
      <c r="F14061" s="87"/>
      <c r="G14061" s="87"/>
    </row>
    <row r="14062">
      <c r="A14062" s="86" t="str">
        <f>IFERROR(__xludf.DUMMYFUNCTION("""COMPUTED_VALUE"""),"")</f>
        <v/>
      </c>
      <c r="B14062" s="87"/>
      <c r="C14062" s="87"/>
      <c r="D14062" s="87"/>
      <c r="E14062" s="87"/>
      <c r="F14062" s="87"/>
      <c r="G14062" s="87"/>
    </row>
    <row r="14063">
      <c r="A14063" s="86" t="str">
        <f>IFERROR(__xludf.DUMMYFUNCTION("""COMPUTED_VALUE"""),"")</f>
        <v/>
      </c>
      <c r="B14063" s="87"/>
      <c r="C14063" s="87"/>
      <c r="D14063" s="87"/>
      <c r="E14063" s="87"/>
      <c r="F14063" s="87"/>
      <c r="G14063" s="87"/>
    </row>
    <row r="14064">
      <c r="A14064" s="86" t="str">
        <f>IFERROR(__xludf.DUMMYFUNCTION("""COMPUTED_VALUE"""),"")</f>
        <v/>
      </c>
      <c r="B14064" s="87"/>
      <c r="C14064" s="87"/>
      <c r="D14064" s="87"/>
      <c r="E14064" s="87"/>
      <c r="F14064" s="87"/>
      <c r="G14064" s="87"/>
    </row>
    <row r="14065">
      <c r="A14065" s="86" t="str">
        <f>IFERROR(__xludf.DUMMYFUNCTION("""COMPUTED_VALUE"""),"")</f>
        <v/>
      </c>
      <c r="B14065" s="87"/>
      <c r="C14065" s="87"/>
      <c r="D14065" s="87"/>
      <c r="E14065" s="87"/>
      <c r="F14065" s="87"/>
      <c r="G14065" s="87"/>
    </row>
    <row r="14066">
      <c r="A14066" s="86" t="str">
        <f>IFERROR(__xludf.DUMMYFUNCTION("""COMPUTED_VALUE"""),"")</f>
        <v/>
      </c>
      <c r="B14066" s="87"/>
      <c r="C14066" s="87"/>
      <c r="D14066" s="87"/>
      <c r="E14066" s="87"/>
      <c r="F14066" s="87"/>
      <c r="G14066" s="87"/>
    </row>
    <row r="14067">
      <c r="A14067" s="86" t="str">
        <f>IFERROR(__xludf.DUMMYFUNCTION("""COMPUTED_VALUE"""),"")</f>
        <v/>
      </c>
      <c r="B14067" s="87"/>
      <c r="C14067" s="87"/>
      <c r="D14067" s="87"/>
      <c r="E14067" s="87"/>
      <c r="F14067" s="87"/>
      <c r="G14067" s="87"/>
    </row>
    <row r="14068">
      <c r="A14068" s="86" t="str">
        <f>IFERROR(__xludf.DUMMYFUNCTION("""COMPUTED_VALUE"""),"")</f>
        <v/>
      </c>
      <c r="B14068" s="87"/>
      <c r="C14068" s="87"/>
      <c r="D14068" s="87"/>
      <c r="E14068" s="87"/>
      <c r="F14068" s="87"/>
      <c r="G14068" s="87"/>
    </row>
    <row r="14069">
      <c r="A14069" s="86" t="str">
        <f>IFERROR(__xludf.DUMMYFUNCTION("""COMPUTED_VALUE"""),"")</f>
        <v/>
      </c>
      <c r="B14069" s="87"/>
      <c r="C14069" s="87"/>
      <c r="D14069" s="87"/>
      <c r="E14069" s="87"/>
      <c r="F14069" s="87"/>
      <c r="G14069" s="87"/>
    </row>
    <row r="14070">
      <c r="A14070" s="86" t="str">
        <f>IFERROR(__xludf.DUMMYFUNCTION("""COMPUTED_VALUE"""),"")</f>
        <v/>
      </c>
      <c r="B14070" s="87"/>
      <c r="C14070" s="87"/>
      <c r="D14070" s="87"/>
      <c r="E14070" s="87"/>
      <c r="F14070" s="87"/>
      <c r="G14070" s="87"/>
    </row>
    <row r="14071">
      <c r="A14071" s="86" t="str">
        <f>IFERROR(__xludf.DUMMYFUNCTION("""COMPUTED_VALUE"""),"")</f>
        <v/>
      </c>
      <c r="B14071" s="87"/>
      <c r="C14071" s="87"/>
      <c r="D14071" s="87"/>
      <c r="E14071" s="87"/>
      <c r="F14071" s="87"/>
      <c r="G14071" s="87"/>
    </row>
    <row r="14072">
      <c r="A14072" s="86" t="str">
        <f>IFERROR(__xludf.DUMMYFUNCTION("""COMPUTED_VALUE"""),"")</f>
        <v/>
      </c>
      <c r="B14072" s="87"/>
      <c r="C14072" s="87"/>
      <c r="D14072" s="87"/>
      <c r="E14072" s="87"/>
      <c r="F14072" s="87"/>
      <c r="G14072" s="87"/>
    </row>
    <row r="14073">
      <c r="A14073" s="86" t="str">
        <f>IFERROR(__xludf.DUMMYFUNCTION("""COMPUTED_VALUE"""),"")</f>
        <v/>
      </c>
      <c r="B14073" s="87"/>
      <c r="C14073" s="87"/>
      <c r="D14073" s="87"/>
      <c r="E14073" s="87"/>
      <c r="F14073" s="87"/>
      <c r="G14073" s="87"/>
    </row>
    <row r="14074">
      <c r="A14074" s="86" t="str">
        <f>IFERROR(__xludf.DUMMYFUNCTION("""COMPUTED_VALUE"""),"")</f>
        <v/>
      </c>
      <c r="B14074" s="87"/>
      <c r="C14074" s="87"/>
      <c r="D14074" s="87"/>
      <c r="E14074" s="87"/>
      <c r="F14074" s="87"/>
      <c r="G14074" s="87"/>
    </row>
    <row r="14075">
      <c r="A14075" s="86" t="str">
        <f>IFERROR(__xludf.DUMMYFUNCTION("""COMPUTED_VALUE"""),"")</f>
        <v/>
      </c>
      <c r="B14075" s="87"/>
      <c r="C14075" s="87"/>
      <c r="D14075" s="87"/>
      <c r="E14075" s="87"/>
      <c r="F14075" s="87"/>
      <c r="G14075" s="87"/>
    </row>
    <row r="14076">
      <c r="A14076" s="86" t="str">
        <f>IFERROR(__xludf.DUMMYFUNCTION("""COMPUTED_VALUE"""),"")</f>
        <v/>
      </c>
      <c r="B14076" s="87"/>
      <c r="C14076" s="87"/>
      <c r="D14076" s="87"/>
      <c r="E14076" s="87"/>
      <c r="F14076" s="87"/>
      <c r="G14076" s="87"/>
    </row>
    <row r="14077">
      <c r="A14077" s="86" t="str">
        <f>IFERROR(__xludf.DUMMYFUNCTION("""COMPUTED_VALUE"""),"")</f>
        <v/>
      </c>
      <c r="B14077" s="87"/>
      <c r="C14077" s="87"/>
      <c r="D14077" s="87"/>
      <c r="E14077" s="87"/>
      <c r="F14077" s="87"/>
      <c r="G14077" s="87"/>
    </row>
    <row r="14078">
      <c r="A14078" s="86" t="str">
        <f>IFERROR(__xludf.DUMMYFUNCTION("""COMPUTED_VALUE"""),"")</f>
        <v/>
      </c>
      <c r="B14078" s="87"/>
      <c r="C14078" s="87"/>
      <c r="D14078" s="87"/>
      <c r="E14078" s="87"/>
      <c r="F14078" s="87"/>
      <c r="G14078" s="87"/>
    </row>
    <row r="14079">
      <c r="A14079" s="86" t="str">
        <f>IFERROR(__xludf.DUMMYFUNCTION("""COMPUTED_VALUE"""),"")</f>
        <v/>
      </c>
      <c r="B14079" s="87"/>
      <c r="C14079" s="87"/>
      <c r="D14079" s="87"/>
      <c r="E14079" s="87"/>
      <c r="F14079" s="87"/>
      <c r="G14079" s="87"/>
    </row>
    <row r="14080">
      <c r="A14080" s="86" t="str">
        <f>IFERROR(__xludf.DUMMYFUNCTION("""COMPUTED_VALUE"""),"")</f>
        <v/>
      </c>
      <c r="B14080" s="87"/>
      <c r="C14080" s="87"/>
      <c r="D14080" s="87"/>
      <c r="E14080" s="87"/>
      <c r="F14080" s="87"/>
      <c r="G14080" s="87"/>
    </row>
    <row r="14081">
      <c r="A14081" s="86" t="str">
        <f>IFERROR(__xludf.DUMMYFUNCTION("""COMPUTED_VALUE"""),"")</f>
        <v/>
      </c>
      <c r="B14081" s="87"/>
      <c r="C14081" s="87"/>
      <c r="D14081" s="87"/>
      <c r="E14081" s="87"/>
      <c r="F14081" s="87"/>
      <c r="G14081" s="87"/>
    </row>
    <row r="14082">
      <c r="A14082" s="86" t="str">
        <f>IFERROR(__xludf.DUMMYFUNCTION("""COMPUTED_VALUE"""),"")</f>
        <v/>
      </c>
      <c r="B14082" s="87"/>
      <c r="C14082" s="87"/>
      <c r="D14082" s="87"/>
      <c r="E14082" s="87"/>
      <c r="F14082" s="87"/>
      <c r="G14082" s="87"/>
    </row>
    <row r="14083">
      <c r="A14083" s="86" t="str">
        <f>IFERROR(__xludf.DUMMYFUNCTION("""COMPUTED_VALUE"""),"")</f>
        <v/>
      </c>
      <c r="B14083" s="87"/>
      <c r="C14083" s="87"/>
      <c r="D14083" s="87"/>
      <c r="E14083" s="87"/>
      <c r="F14083" s="87"/>
      <c r="G14083" s="87"/>
    </row>
    <row r="14084">
      <c r="A14084" s="86" t="str">
        <f>IFERROR(__xludf.DUMMYFUNCTION("""COMPUTED_VALUE"""),"")</f>
        <v/>
      </c>
      <c r="B14084" s="87"/>
      <c r="C14084" s="87"/>
      <c r="D14084" s="87"/>
      <c r="E14084" s="87"/>
      <c r="F14084" s="87"/>
      <c r="G14084" s="87"/>
    </row>
    <row r="14085">
      <c r="A14085" s="86" t="str">
        <f>IFERROR(__xludf.DUMMYFUNCTION("""COMPUTED_VALUE"""),"")</f>
        <v/>
      </c>
      <c r="B14085" s="87"/>
      <c r="C14085" s="87"/>
      <c r="D14085" s="87"/>
      <c r="E14085" s="87"/>
      <c r="F14085" s="87"/>
      <c r="G14085" s="87"/>
    </row>
    <row r="14086">
      <c r="A14086" s="86" t="str">
        <f>IFERROR(__xludf.DUMMYFUNCTION("""COMPUTED_VALUE"""),"")</f>
        <v/>
      </c>
      <c r="B14086" s="87"/>
      <c r="C14086" s="87"/>
      <c r="D14086" s="87"/>
      <c r="E14086" s="87"/>
      <c r="F14086" s="87"/>
      <c r="G14086" s="87"/>
    </row>
    <row r="14087">
      <c r="A14087" s="86" t="str">
        <f>IFERROR(__xludf.DUMMYFUNCTION("""COMPUTED_VALUE"""),"")</f>
        <v/>
      </c>
      <c r="B14087" s="87"/>
      <c r="C14087" s="87"/>
      <c r="D14087" s="87"/>
      <c r="E14087" s="87"/>
      <c r="F14087" s="87"/>
      <c r="G14087" s="87"/>
    </row>
    <row r="14088">
      <c r="A14088" s="86" t="str">
        <f>IFERROR(__xludf.DUMMYFUNCTION("""COMPUTED_VALUE"""),"")</f>
        <v/>
      </c>
      <c r="B14088" s="87"/>
      <c r="C14088" s="87"/>
      <c r="D14088" s="87"/>
      <c r="E14088" s="87"/>
      <c r="F14088" s="87"/>
      <c r="G14088" s="87"/>
    </row>
    <row r="14089">
      <c r="A14089" s="86" t="str">
        <f>IFERROR(__xludf.DUMMYFUNCTION("""COMPUTED_VALUE"""),"")</f>
        <v/>
      </c>
      <c r="B14089" s="87"/>
      <c r="C14089" s="87"/>
      <c r="D14089" s="87"/>
      <c r="E14089" s="87"/>
      <c r="F14089" s="87"/>
      <c r="G14089" s="87"/>
    </row>
    <row r="14090">
      <c r="A14090" s="86" t="str">
        <f>IFERROR(__xludf.DUMMYFUNCTION("""COMPUTED_VALUE"""),"")</f>
        <v/>
      </c>
      <c r="B14090" s="87"/>
      <c r="C14090" s="87"/>
      <c r="D14090" s="87"/>
      <c r="E14090" s="87"/>
      <c r="F14090" s="87"/>
      <c r="G14090" s="87"/>
    </row>
    <row r="14091">
      <c r="A14091" s="86" t="str">
        <f>IFERROR(__xludf.DUMMYFUNCTION("""COMPUTED_VALUE"""),"")</f>
        <v/>
      </c>
      <c r="B14091" s="87"/>
      <c r="C14091" s="87"/>
      <c r="D14091" s="87"/>
      <c r="E14091" s="87"/>
      <c r="F14091" s="87"/>
      <c r="G14091" s="87"/>
    </row>
    <row r="14092">
      <c r="A14092" s="86" t="str">
        <f>IFERROR(__xludf.DUMMYFUNCTION("""COMPUTED_VALUE"""),"")</f>
        <v/>
      </c>
      <c r="B14092" s="87"/>
      <c r="C14092" s="87"/>
      <c r="D14092" s="87"/>
      <c r="E14092" s="87"/>
      <c r="F14092" s="87"/>
      <c r="G14092" s="87"/>
    </row>
    <row r="14093">
      <c r="A14093" s="86" t="str">
        <f>IFERROR(__xludf.DUMMYFUNCTION("""COMPUTED_VALUE"""),"")</f>
        <v/>
      </c>
      <c r="B14093" s="87"/>
      <c r="C14093" s="87"/>
      <c r="D14093" s="87"/>
      <c r="E14093" s="87"/>
      <c r="F14093" s="87"/>
      <c r="G14093" s="87"/>
    </row>
    <row r="14094">
      <c r="A14094" s="86" t="str">
        <f>IFERROR(__xludf.DUMMYFUNCTION("""COMPUTED_VALUE"""),"")</f>
        <v/>
      </c>
      <c r="B14094" s="87"/>
      <c r="C14094" s="87"/>
      <c r="D14094" s="87"/>
      <c r="E14094" s="87"/>
      <c r="F14094" s="87"/>
      <c r="G14094" s="87"/>
    </row>
    <row r="14095">
      <c r="A14095" s="86" t="str">
        <f>IFERROR(__xludf.DUMMYFUNCTION("""COMPUTED_VALUE"""),"")</f>
        <v/>
      </c>
      <c r="B14095" s="87"/>
      <c r="C14095" s="87"/>
      <c r="D14095" s="87"/>
      <c r="E14095" s="87"/>
      <c r="F14095" s="87"/>
      <c r="G14095" s="87"/>
    </row>
    <row r="14096">
      <c r="A14096" s="86" t="str">
        <f>IFERROR(__xludf.DUMMYFUNCTION("""COMPUTED_VALUE"""),"")</f>
        <v/>
      </c>
      <c r="B14096" s="87"/>
      <c r="C14096" s="87"/>
      <c r="D14096" s="87"/>
      <c r="E14096" s="87"/>
      <c r="F14096" s="87"/>
      <c r="G14096" s="87"/>
    </row>
    <row r="14097">
      <c r="A14097" s="86" t="str">
        <f>IFERROR(__xludf.DUMMYFUNCTION("""COMPUTED_VALUE"""),"")</f>
        <v/>
      </c>
      <c r="B14097" s="87"/>
      <c r="C14097" s="87"/>
      <c r="D14097" s="87"/>
      <c r="E14097" s="87"/>
      <c r="F14097" s="87"/>
      <c r="G14097" s="87"/>
    </row>
    <row r="14098">
      <c r="A14098" s="86" t="str">
        <f>IFERROR(__xludf.DUMMYFUNCTION("""COMPUTED_VALUE"""),"")</f>
        <v/>
      </c>
      <c r="B14098" s="87"/>
      <c r="C14098" s="87"/>
      <c r="D14098" s="87"/>
      <c r="E14098" s="87"/>
      <c r="F14098" s="87"/>
      <c r="G14098" s="87"/>
    </row>
    <row r="14099">
      <c r="A14099" s="86" t="str">
        <f>IFERROR(__xludf.DUMMYFUNCTION("""COMPUTED_VALUE"""),"")</f>
        <v/>
      </c>
      <c r="B14099" s="87"/>
      <c r="C14099" s="87"/>
      <c r="D14099" s="87"/>
      <c r="E14099" s="87"/>
      <c r="F14099" s="87"/>
      <c r="G14099" s="87"/>
    </row>
    <row r="14100">
      <c r="A14100" s="86" t="str">
        <f>IFERROR(__xludf.DUMMYFUNCTION("""COMPUTED_VALUE"""),"")</f>
        <v/>
      </c>
      <c r="B14100" s="87"/>
      <c r="C14100" s="87"/>
      <c r="D14100" s="87"/>
      <c r="E14100" s="87"/>
      <c r="F14100" s="87"/>
      <c r="G14100" s="87"/>
    </row>
    <row r="14101">
      <c r="A14101" s="86" t="str">
        <f>IFERROR(__xludf.DUMMYFUNCTION("""COMPUTED_VALUE"""),"")</f>
        <v/>
      </c>
      <c r="B14101" s="87"/>
      <c r="C14101" s="87"/>
      <c r="D14101" s="87"/>
      <c r="E14101" s="87"/>
      <c r="F14101" s="87"/>
      <c r="G14101" s="87"/>
    </row>
    <row r="14102">
      <c r="A14102" s="86" t="str">
        <f>IFERROR(__xludf.DUMMYFUNCTION("""COMPUTED_VALUE"""),"")</f>
        <v/>
      </c>
      <c r="B14102" s="87"/>
      <c r="C14102" s="87"/>
      <c r="D14102" s="87"/>
      <c r="E14102" s="87"/>
      <c r="F14102" s="87"/>
      <c r="G14102" s="87"/>
    </row>
    <row r="14103">
      <c r="A14103" s="86" t="str">
        <f>IFERROR(__xludf.DUMMYFUNCTION("""COMPUTED_VALUE"""),"")</f>
        <v/>
      </c>
      <c r="B14103" s="87"/>
      <c r="C14103" s="87"/>
      <c r="D14103" s="87"/>
      <c r="E14103" s="87"/>
      <c r="F14103" s="87"/>
      <c r="G14103" s="87"/>
    </row>
    <row r="14104">
      <c r="A14104" s="86" t="str">
        <f>IFERROR(__xludf.DUMMYFUNCTION("""COMPUTED_VALUE"""),"")</f>
        <v/>
      </c>
      <c r="B14104" s="87"/>
      <c r="C14104" s="87"/>
      <c r="D14104" s="87"/>
      <c r="E14104" s="87"/>
      <c r="F14104" s="87"/>
      <c r="G14104" s="87"/>
    </row>
    <row r="14105">
      <c r="A14105" s="86" t="str">
        <f>IFERROR(__xludf.DUMMYFUNCTION("""COMPUTED_VALUE"""),"")</f>
        <v/>
      </c>
      <c r="B14105" s="87"/>
      <c r="C14105" s="87"/>
      <c r="D14105" s="87"/>
      <c r="E14105" s="87"/>
      <c r="F14105" s="87"/>
      <c r="G14105" s="87"/>
    </row>
    <row r="14106">
      <c r="A14106" s="86" t="str">
        <f>IFERROR(__xludf.DUMMYFUNCTION("""COMPUTED_VALUE"""),"")</f>
        <v/>
      </c>
      <c r="B14106" s="87"/>
      <c r="C14106" s="87"/>
      <c r="D14106" s="87"/>
      <c r="E14106" s="87"/>
      <c r="F14106" s="87"/>
      <c r="G14106" s="87"/>
    </row>
    <row r="14107">
      <c r="A14107" s="86" t="str">
        <f>IFERROR(__xludf.DUMMYFUNCTION("""COMPUTED_VALUE"""),"")</f>
        <v/>
      </c>
      <c r="B14107" s="87"/>
      <c r="C14107" s="87"/>
      <c r="D14107" s="87"/>
      <c r="E14107" s="87"/>
      <c r="F14107" s="87"/>
      <c r="G14107" s="87"/>
    </row>
    <row r="14108">
      <c r="A14108" s="86" t="str">
        <f>IFERROR(__xludf.DUMMYFUNCTION("""COMPUTED_VALUE"""),"")</f>
        <v/>
      </c>
      <c r="B14108" s="87"/>
      <c r="C14108" s="87"/>
      <c r="D14108" s="87"/>
      <c r="E14108" s="87"/>
      <c r="F14108" s="87"/>
      <c r="G14108" s="87"/>
    </row>
    <row r="14109">
      <c r="A14109" s="86" t="str">
        <f>IFERROR(__xludf.DUMMYFUNCTION("""COMPUTED_VALUE"""),"")</f>
        <v/>
      </c>
      <c r="B14109" s="87"/>
      <c r="C14109" s="87"/>
      <c r="D14109" s="87"/>
      <c r="E14109" s="87"/>
      <c r="F14109" s="87"/>
      <c r="G14109" s="87"/>
    </row>
    <row r="14110">
      <c r="A14110" s="86" t="str">
        <f>IFERROR(__xludf.DUMMYFUNCTION("""COMPUTED_VALUE"""),"")</f>
        <v/>
      </c>
      <c r="B14110" s="87"/>
      <c r="C14110" s="87"/>
      <c r="D14110" s="87"/>
      <c r="E14110" s="87"/>
      <c r="F14110" s="87"/>
      <c r="G14110" s="87"/>
    </row>
    <row r="14111">
      <c r="A14111" s="86" t="str">
        <f>IFERROR(__xludf.DUMMYFUNCTION("""COMPUTED_VALUE"""),"")</f>
        <v/>
      </c>
      <c r="B14111" s="87"/>
      <c r="C14111" s="87"/>
      <c r="D14111" s="87"/>
      <c r="E14111" s="87"/>
      <c r="F14111" s="87"/>
      <c r="G14111" s="87"/>
    </row>
    <row r="14112">
      <c r="A14112" s="86" t="str">
        <f>IFERROR(__xludf.DUMMYFUNCTION("""COMPUTED_VALUE"""),"")</f>
        <v/>
      </c>
      <c r="B14112" s="87"/>
      <c r="C14112" s="87"/>
      <c r="D14112" s="87"/>
      <c r="E14112" s="87"/>
      <c r="F14112" s="87"/>
      <c r="G14112" s="87"/>
    </row>
    <row r="14113">
      <c r="A14113" s="86" t="str">
        <f>IFERROR(__xludf.DUMMYFUNCTION("""COMPUTED_VALUE"""),"")</f>
        <v/>
      </c>
      <c r="B14113" s="87"/>
      <c r="C14113" s="87"/>
      <c r="D14113" s="87"/>
      <c r="E14113" s="87"/>
      <c r="F14113" s="87"/>
      <c r="G14113" s="87"/>
    </row>
    <row r="14114">
      <c r="A14114" s="86" t="str">
        <f>IFERROR(__xludf.DUMMYFUNCTION("""COMPUTED_VALUE"""),"")</f>
        <v/>
      </c>
      <c r="B14114" s="87"/>
      <c r="C14114" s="87"/>
      <c r="D14114" s="87"/>
      <c r="E14114" s="87"/>
      <c r="F14114" s="87"/>
      <c r="G14114" s="87"/>
    </row>
    <row r="14115">
      <c r="A14115" s="86" t="str">
        <f>IFERROR(__xludf.DUMMYFUNCTION("""COMPUTED_VALUE"""),"")</f>
        <v/>
      </c>
      <c r="B14115" s="87"/>
      <c r="C14115" s="87"/>
      <c r="D14115" s="87"/>
      <c r="E14115" s="87"/>
      <c r="F14115" s="87"/>
      <c r="G14115" s="87"/>
    </row>
    <row r="14116">
      <c r="A14116" s="86" t="str">
        <f>IFERROR(__xludf.DUMMYFUNCTION("""COMPUTED_VALUE"""),"")</f>
        <v/>
      </c>
      <c r="B14116" s="87"/>
      <c r="C14116" s="87"/>
      <c r="D14116" s="87"/>
      <c r="E14116" s="87"/>
      <c r="F14116" s="87"/>
      <c r="G14116" s="87"/>
    </row>
    <row r="14117">
      <c r="A14117" s="86" t="str">
        <f>IFERROR(__xludf.DUMMYFUNCTION("""COMPUTED_VALUE"""),"")</f>
        <v/>
      </c>
      <c r="B14117" s="87"/>
      <c r="C14117" s="87"/>
      <c r="D14117" s="87"/>
      <c r="E14117" s="87"/>
      <c r="F14117" s="87"/>
      <c r="G14117" s="87"/>
    </row>
    <row r="14118">
      <c r="A14118" s="86" t="str">
        <f>IFERROR(__xludf.DUMMYFUNCTION("""COMPUTED_VALUE"""),"")</f>
        <v/>
      </c>
      <c r="B14118" s="87"/>
      <c r="C14118" s="87"/>
      <c r="D14118" s="87"/>
      <c r="E14118" s="87"/>
      <c r="F14118" s="87"/>
      <c r="G14118" s="87"/>
    </row>
    <row r="14119">
      <c r="A14119" s="86" t="str">
        <f>IFERROR(__xludf.DUMMYFUNCTION("""COMPUTED_VALUE"""),"")</f>
        <v/>
      </c>
      <c r="B14119" s="87"/>
      <c r="C14119" s="87"/>
      <c r="D14119" s="87"/>
      <c r="E14119" s="87"/>
      <c r="F14119" s="87"/>
      <c r="G14119" s="87"/>
    </row>
    <row r="14120">
      <c r="A14120" s="86" t="str">
        <f>IFERROR(__xludf.DUMMYFUNCTION("""COMPUTED_VALUE"""),"")</f>
        <v/>
      </c>
      <c r="B14120" s="87"/>
      <c r="C14120" s="87"/>
      <c r="D14120" s="87"/>
      <c r="E14120" s="87"/>
      <c r="F14120" s="87"/>
      <c r="G14120" s="87"/>
    </row>
    <row r="14121">
      <c r="A14121" s="86" t="str">
        <f>IFERROR(__xludf.DUMMYFUNCTION("""COMPUTED_VALUE"""),"")</f>
        <v/>
      </c>
      <c r="B14121" s="87"/>
      <c r="C14121" s="87"/>
      <c r="D14121" s="87"/>
      <c r="E14121" s="87"/>
      <c r="F14121" s="87"/>
      <c r="G14121" s="87"/>
    </row>
    <row r="14122">
      <c r="A14122" s="86" t="str">
        <f>IFERROR(__xludf.DUMMYFUNCTION("""COMPUTED_VALUE"""),"")</f>
        <v/>
      </c>
      <c r="B14122" s="87"/>
      <c r="C14122" s="87"/>
      <c r="D14122" s="87"/>
      <c r="E14122" s="87"/>
      <c r="F14122" s="87"/>
      <c r="G14122" s="87"/>
    </row>
    <row r="14123">
      <c r="A14123" s="86" t="str">
        <f>IFERROR(__xludf.DUMMYFUNCTION("""COMPUTED_VALUE"""),"")</f>
        <v/>
      </c>
      <c r="B14123" s="87"/>
      <c r="C14123" s="87"/>
      <c r="D14123" s="87"/>
      <c r="E14123" s="87"/>
      <c r="F14123" s="87"/>
      <c r="G14123" s="87"/>
    </row>
    <row r="14124">
      <c r="A14124" s="86" t="str">
        <f>IFERROR(__xludf.DUMMYFUNCTION("""COMPUTED_VALUE"""),"")</f>
        <v/>
      </c>
      <c r="B14124" s="87"/>
      <c r="C14124" s="87"/>
      <c r="D14124" s="87"/>
      <c r="E14124" s="87"/>
      <c r="F14124" s="87"/>
      <c r="G14124" s="87"/>
    </row>
    <row r="14125">
      <c r="A14125" s="86" t="str">
        <f>IFERROR(__xludf.DUMMYFUNCTION("""COMPUTED_VALUE"""),"")</f>
        <v/>
      </c>
      <c r="B14125" s="87"/>
      <c r="C14125" s="87"/>
      <c r="D14125" s="87"/>
      <c r="E14125" s="87"/>
      <c r="F14125" s="87"/>
      <c r="G14125" s="87"/>
    </row>
    <row r="14126">
      <c r="A14126" s="86" t="str">
        <f>IFERROR(__xludf.DUMMYFUNCTION("""COMPUTED_VALUE"""),"")</f>
        <v/>
      </c>
      <c r="B14126" s="87"/>
      <c r="C14126" s="87"/>
      <c r="D14126" s="87"/>
      <c r="E14126" s="87"/>
      <c r="F14126" s="87"/>
      <c r="G14126" s="87"/>
    </row>
    <row r="14127">
      <c r="A14127" s="86" t="str">
        <f>IFERROR(__xludf.DUMMYFUNCTION("""COMPUTED_VALUE"""),"")</f>
        <v/>
      </c>
      <c r="B14127" s="87"/>
      <c r="C14127" s="87"/>
      <c r="D14127" s="87"/>
      <c r="E14127" s="87"/>
      <c r="F14127" s="87"/>
      <c r="G14127" s="87"/>
    </row>
    <row r="14128">
      <c r="A14128" s="86" t="str">
        <f>IFERROR(__xludf.DUMMYFUNCTION("""COMPUTED_VALUE"""),"")</f>
        <v/>
      </c>
      <c r="B14128" s="87"/>
      <c r="C14128" s="87"/>
      <c r="D14128" s="87"/>
      <c r="E14128" s="87"/>
      <c r="F14128" s="87"/>
      <c r="G14128" s="87"/>
    </row>
    <row r="14129">
      <c r="A14129" s="86" t="str">
        <f>IFERROR(__xludf.DUMMYFUNCTION("""COMPUTED_VALUE"""),"")</f>
        <v/>
      </c>
      <c r="B14129" s="87"/>
      <c r="C14129" s="87"/>
      <c r="D14129" s="87"/>
      <c r="E14129" s="87"/>
      <c r="F14129" s="87"/>
      <c r="G14129" s="87"/>
    </row>
    <row r="14130">
      <c r="A14130" s="86" t="str">
        <f>IFERROR(__xludf.DUMMYFUNCTION("""COMPUTED_VALUE"""),"")</f>
        <v/>
      </c>
      <c r="B14130" s="87"/>
      <c r="C14130" s="87"/>
      <c r="D14130" s="87"/>
      <c r="E14130" s="87"/>
      <c r="F14130" s="87"/>
      <c r="G14130" s="87"/>
    </row>
    <row r="14131">
      <c r="A14131" s="86" t="str">
        <f>IFERROR(__xludf.DUMMYFUNCTION("""COMPUTED_VALUE"""),"")</f>
        <v/>
      </c>
      <c r="B14131" s="87"/>
      <c r="C14131" s="87"/>
      <c r="D14131" s="87"/>
      <c r="E14131" s="87"/>
      <c r="F14131" s="87"/>
      <c r="G14131" s="87"/>
    </row>
    <row r="14132">
      <c r="A14132" s="86" t="str">
        <f>IFERROR(__xludf.DUMMYFUNCTION("""COMPUTED_VALUE"""),"")</f>
        <v/>
      </c>
      <c r="B14132" s="87"/>
      <c r="C14132" s="87"/>
      <c r="D14132" s="87"/>
      <c r="E14132" s="87"/>
      <c r="F14132" s="87"/>
      <c r="G14132" s="87"/>
    </row>
    <row r="14133">
      <c r="A14133" s="86" t="str">
        <f>IFERROR(__xludf.DUMMYFUNCTION("""COMPUTED_VALUE"""),"")</f>
        <v/>
      </c>
      <c r="B14133" s="87"/>
      <c r="C14133" s="87"/>
      <c r="D14133" s="87"/>
      <c r="E14133" s="87"/>
      <c r="F14133" s="87"/>
      <c r="G14133" s="87"/>
    </row>
    <row r="14134">
      <c r="A14134" s="86" t="str">
        <f>IFERROR(__xludf.DUMMYFUNCTION("""COMPUTED_VALUE"""),"")</f>
        <v/>
      </c>
      <c r="B14134" s="87"/>
      <c r="C14134" s="87"/>
      <c r="D14134" s="87"/>
      <c r="E14134" s="87"/>
      <c r="F14134" s="87"/>
      <c r="G14134" s="87"/>
    </row>
    <row r="14135">
      <c r="A14135" s="86" t="str">
        <f>IFERROR(__xludf.DUMMYFUNCTION("""COMPUTED_VALUE"""),"")</f>
        <v/>
      </c>
      <c r="B14135" s="87"/>
      <c r="C14135" s="87"/>
      <c r="D14135" s="87"/>
      <c r="E14135" s="87"/>
      <c r="F14135" s="87"/>
      <c r="G14135" s="87"/>
    </row>
    <row r="14136">
      <c r="A14136" s="86" t="str">
        <f>IFERROR(__xludf.DUMMYFUNCTION("""COMPUTED_VALUE"""),"")</f>
        <v/>
      </c>
      <c r="B14136" s="87"/>
      <c r="C14136" s="87"/>
      <c r="D14136" s="87"/>
      <c r="E14136" s="87"/>
      <c r="F14136" s="87"/>
      <c r="G14136" s="87"/>
    </row>
    <row r="14137">
      <c r="A14137" s="86" t="str">
        <f>IFERROR(__xludf.DUMMYFUNCTION("""COMPUTED_VALUE"""),"")</f>
        <v/>
      </c>
      <c r="B14137" s="87"/>
      <c r="C14137" s="87"/>
      <c r="D14137" s="87"/>
      <c r="E14137" s="87"/>
      <c r="F14137" s="87"/>
      <c r="G14137" s="87"/>
    </row>
    <row r="14138">
      <c r="A14138" s="86" t="str">
        <f>IFERROR(__xludf.DUMMYFUNCTION("""COMPUTED_VALUE"""),"")</f>
        <v/>
      </c>
      <c r="B14138" s="87"/>
      <c r="C14138" s="87"/>
      <c r="D14138" s="87"/>
      <c r="E14138" s="87"/>
      <c r="F14138" s="87"/>
      <c r="G14138" s="87"/>
    </row>
    <row r="14139">
      <c r="A14139" s="86" t="str">
        <f>IFERROR(__xludf.DUMMYFUNCTION("""COMPUTED_VALUE"""),"")</f>
        <v/>
      </c>
      <c r="B14139" s="87"/>
      <c r="C14139" s="87"/>
      <c r="D14139" s="87"/>
      <c r="E14139" s="87"/>
      <c r="F14139" s="87"/>
      <c r="G14139" s="87"/>
    </row>
    <row r="14140">
      <c r="A14140" s="86" t="str">
        <f>IFERROR(__xludf.DUMMYFUNCTION("""COMPUTED_VALUE"""),"")</f>
        <v/>
      </c>
      <c r="B14140" s="87"/>
      <c r="C14140" s="87"/>
      <c r="D14140" s="87"/>
      <c r="E14140" s="87"/>
      <c r="F14140" s="87"/>
      <c r="G14140" s="87"/>
    </row>
    <row r="14141">
      <c r="A14141" s="86" t="str">
        <f>IFERROR(__xludf.DUMMYFUNCTION("""COMPUTED_VALUE"""),"")</f>
        <v/>
      </c>
      <c r="B14141" s="87"/>
      <c r="C14141" s="87"/>
      <c r="D14141" s="87"/>
      <c r="E14141" s="87"/>
      <c r="F14141" s="87"/>
      <c r="G14141" s="87"/>
    </row>
    <row r="14142">
      <c r="A14142" s="86" t="str">
        <f>IFERROR(__xludf.DUMMYFUNCTION("""COMPUTED_VALUE"""),"")</f>
        <v/>
      </c>
      <c r="B14142" s="87"/>
      <c r="C14142" s="87"/>
      <c r="D14142" s="87"/>
      <c r="E14142" s="87"/>
      <c r="F14142" s="87"/>
      <c r="G14142" s="87"/>
    </row>
    <row r="14143">
      <c r="A14143" s="86" t="str">
        <f>IFERROR(__xludf.DUMMYFUNCTION("""COMPUTED_VALUE"""),"")</f>
        <v/>
      </c>
      <c r="B14143" s="87"/>
      <c r="C14143" s="87"/>
      <c r="D14143" s="87"/>
      <c r="E14143" s="87"/>
      <c r="F14143" s="87"/>
      <c r="G14143" s="87"/>
    </row>
    <row r="14144">
      <c r="A14144" s="86" t="str">
        <f>IFERROR(__xludf.DUMMYFUNCTION("""COMPUTED_VALUE"""),"")</f>
        <v/>
      </c>
      <c r="B14144" s="87"/>
      <c r="C14144" s="87"/>
      <c r="D14144" s="87"/>
      <c r="E14144" s="87"/>
      <c r="F14144" s="87"/>
      <c r="G14144" s="87"/>
    </row>
    <row r="14145">
      <c r="A14145" s="86" t="str">
        <f>IFERROR(__xludf.DUMMYFUNCTION("""COMPUTED_VALUE"""),"")</f>
        <v/>
      </c>
      <c r="B14145" s="87"/>
      <c r="C14145" s="87"/>
      <c r="D14145" s="87"/>
      <c r="E14145" s="87"/>
      <c r="F14145" s="87"/>
      <c r="G14145" s="87"/>
    </row>
    <row r="14146">
      <c r="A14146" s="86" t="str">
        <f>IFERROR(__xludf.DUMMYFUNCTION("""COMPUTED_VALUE"""),"")</f>
        <v/>
      </c>
      <c r="B14146" s="87"/>
      <c r="C14146" s="87"/>
      <c r="D14146" s="87"/>
      <c r="E14146" s="87"/>
      <c r="F14146" s="87"/>
      <c r="G14146" s="87"/>
    </row>
    <row r="14147">
      <c r="A14147" s="86" t="str">
        <f>IFERROR(__xludf.DUMMYFUNCTION("""COMPUTED_VALUE"""),"")</f>
        <v/>
      </c>
      <c r="B14147" s="87"/>
      <c r="C14147" s="87"/>
      <c r="D14147" s="87"/>
      <c r="E14147" s="87"/>
      <c r="F14147" s="87"/>
      <c r="G14147" s="87"/>
    </row>
    <row r="14148">
      <c r="A14148" s="86" t="str">
        <f>IFERROR(__xludf.DUMMYFUNCTION("""COMPUTED_VALUE"""),"")</f>
        <v/>
      </c>
      <c r="B14148" s="87"/>
      <c r="C14148" s="87"/>
      <c r="D14148" s="87"/>
      <c r="E14148" s="87"/>
      <c r="F14148" s="87"/>
      <c r="G14148" s="87"/>
    </row>
    <row r="14149">
      <c r="A14149" s="86" t="str">
        <f>IFERROR(__xludf.DUMMYFUNCTION("""COMPUTED_VALUE"""),"")</f>
        <v/>
      </c>
      <c r="B14149" s="87"/>
      <c r="C14149" s="87"/>
      <c r="D14149" s="87"/>
      <c r="E14149" s="87"/>
      <c r="F14149" s="87"/>
      <c r="G14149" s="87"/>
    </row>
    <row r="14150">
      <c r="A14150" s="86" t="str">
        <f>IFERROR(__xludf.DUMMYFUNCTION("""COMPUTED_VALUE"""),"")</f>
        <v/>
      </c>
      <c r="B14150" s="87"/>
      <c r="C14150" s="87"/>
      <c r="D14150" s="87"/>
      <c r="E14150" s="87"/>
      <c r="F14150" s="87"/>
      <c r="G14150" s="87"/>
    </row>
    <row r="14151">
      <c r="A14151" s="86" t="str">
        <f>IFERROR(__xludf.DUMMYFUNCTION("""COMPUTED_VALUE"""),"")</f>
        <v/>
      </c>
      <c r="B14151" s="87"/>
      <c r="C14151" s="87"/>
      <c r="D14151" s="87"/>
      <c r="E14151" s="87"/>
      <c r="F14151" s="87"/>
      <c r="G14151" s="87"/>
    </row>
    <row r="14152">
      <c r="A14152" s="86" t="str">
        <f>IFERROR(__xludf.DUMMYFUNCTION("""COMPUTED_VALUE"""),"")</f>
        <v/>
      </c>
      <c r="B14152" s="87"/>
      <c r="C14152" s="87"/>
      <c r="D14152" s="87"/>
      <c r="E14152" s="87"/>
      <c r="F14152" s="87"/>
      <c r="G14152" s="87"/>
    </row>
    <row r="14153">
      <c r="A14153" s="86" t="str">
        <f>IFERROR(__xludf.DUMMYFUNCTION("""COMPUTED_VALUE"""),"")</f>
        <v/>
      </c>
      <c r="B14153" s="87"/>
      <c r="C14153" s="87"/>
      <c r="D14153" s="87"/>
      <c r="E14153" s="87"/>
      <c r="F14153" s="87"/>
      <c r="G14153" s="87"/>
    </row>
    <row r="14154">
      <c r="A14154" s="86" t="str">
        <f>IFERROR(__xludf.DUMMYFUNCTION("""COMPUTED_VALUE"""),"")</f>
        <v/>
      </c>
      <c r="B14154" s="87"/>
      <c r="C14154" s="87"/>
      <c r="D14154" s="87"/>
      <c r="E14154" s="87"/>
      <c r="F14154" s="87"/>
      <c r="G14154" s="87"/>
    </row>
    <row r="14155">
      <c r="A14155" s="86" t="str">
        <f>IFERROR(__xludf.DUMMYFUNCTION("""COMPUTED_VALUE"""),"")</f>
        <v/>
      </c>
      <c r="B14155" s="87"/>
      <c r="C14155" s="87"/>
      <c r="D14155" s="87"/>
      <c r="E14155" s="87"/>
      <c r="F14155" s="87"/>
      <c r="G14155" s="87"/>
    </row>
    <row r="14156">
      <c r="A14156" s="86" t="str">
        <f>IFERROR(__xludf.DUMMYFUNCTION("""COMPUTED_VALUE"""),"")</f>
        <v/>
      </c>
      <c r="B14156" s="87"/>
      <c r="C14156" s="87"/>
      <c r="D14156" s="87"/>
      <c r="E14156" s="87"/>
      <c r="F14156" s="87"/>
      <c r="G14156" s="87"/>
    </row>
    <row r="14157">
      <c r="A14157" s="86" t="str">
        <f>IFERROR(__xludf.DUMMYFUNCTION("""COMPUTED_VALUE"""),"")</f>
        <v/>
      </c>
      <c r="B14157" s="87"/>
      <c r="C14157" s="87"/>
      <c r="D14157" s="87"/>
      <c r="E14157" s="87"/>
      <c r="F14157" s="87"/>
      <c r="G14157" s="87"/>
    </row>
    <row r="14158">
      <c r="A14158" s="86" t="str">
        <f>IFERROR(__xludf.DUMMYFUNCTION("""COMPUTED_VALUE"""),"")</f>
        <v/>
      </c>
      <c r="B14158" s="87"/>
      <c r="C14158" s="87"/>
      <c r="D14158" s="87"/>
      <c r="E14158" s="87"/>
      <c r="F14158" s="87"/>
      <c r="G14158" s="87"/>
    </row>
    <row r="14159">
      <c r="A14159" s="86" t="str">
        <f>IFERROR(__xludf.DUMMYFUNCTION("""COMPUTED_VALUE"""),"")</f>
        <v/>
      </c>
      <c r="B14159" s="87"/>
      <c r="C14159" s="87"/>
      <c r="D14159" s="87"/>
      <c r="E14159" s="87"/>
      <c r="F14159" s="87"/>
      <c r="G14159" s="87"/>
    </row>
    <row r="14160">
      <c r="A14160" s="86" t="str">
        <f>IFERROR(__xludf.DUMMYFUNCTION("""COMPUTED_VALUE"""),"")</f>
        <v/>
      </c>
      <c r="B14160" s="87"/>
      <c r="C14160" s="87"/>
      <c r="D14160" s="87"/>
      <c r="E14160" s="87"/>
      <c r="F14160" s="87"/>
      <c r="G14160" s="87"/>
    </row>
    <row r="14161">
      <c r="A14161" s="86" t="str">
        <f>IFERROR(__xludf.DUMMYFUNCTION("""COMPUTED_VALUE"""),"")</f>
        <v/>
      </c>
      <c r="B14161" s="87"/>
      <c r="C14161" s="87"/>
      <c r="D14161" s="87"/>
      <c r="E14161" s="87"/>
      <c r="F14161" s="87"/>
      <c r="G14161" s="87"/>
    </row>
    <row r="14162">
      <c r="A14162" s="86" t="str">
        <f>IFERROR(__xludf.DUMMYFUNCTION("""COMPUTED_VALUE"""),"")</f>
        <v/>
      </c>
      <c r="B14162" s="87"/>
      <c r="C14162" s="87"/>
      <c r="D14162" s="87"/>
      <c r="E14162" s="87"/>
      <c r="F14162" s="87"/>
      <c r="G14162" s="87"/>
    </row>
    <row r="14163">
      <c r="A14163" s="86" t="str">
        <f>IFERROR(__xludf.DUMMYFUNCTION("""COMPUTED_VALUE"""),"")</f>
        <v/>
      </c>
      <c r="B14163" s="87"/>
      <c r="C14163" s="87"/>
      <c r="D14163" s="87"/>
      <c r="E14163" s="87"/>
      <c r="F14163" s="87"/>
      <c r="G14163" s="87"/>
    </row>
    <row r="14164">
      <c r="A14164" s="86" t="str">
        <f>IFERROR(__xludf.DUMMYFUNCTION("""COMPUTED_VALUE"""),"")</f>
        <v/>
      </c>
      <c r="B14164" s="87"/>
      <c r="C14164" s="87"/>
      <c r="D14164" s="87"/>
      <c r="E14164" s="87"/>
      <c r="F14164" s="87"/>
      <c r="G14164" s="87"/>
    </row>
    <row r="14165">
      <c r="A14165" s="86" t="str">
        <f>IFERROR(__xludf.DUMMYFUNCTION("""COMPUTED_VALUE"""),"")</f>
        <v/>
      </c>
      <c r="B14165" s="87"/>
      <c r="C14165" s="87"/>
      <c r="D14165" s="87"/>
      <c r="E14165" s="87"/>
      <c r="F14165" s="87"/>
      <c r="G14165" s="87"/>
    </row>
    <row r="14166">
      <c r="A14166" s="86" t="str">
        <f>IFERROR(__xludf.DUMMYFUNCTION("""COMPUTED_VALUE"""),"")</f>
        <v/>
      </c>
      <c r="B14166" s="87"/>
      <c r="C14166" s="87"/>
      <c r="D14166" s="87"/>
      <c r="E14166" s="87"/>
      <c r="F14166" s="87"/>
      <c r="G14166" s="87"/>
    </row>
    <row r="14167">
      <c r="A14167" s="86" t="str">
        <f>IFERROR(__xludf.DUMMYFUNCTION("""COMPUTED_VALUE"""),"")</f>
        <v/>
      </c>
      <c r="B14167" s="87"/>
      <c r="C14167" s="87"/>
      <c r="D14167" s="87"/>
      <c r="E14167" s="87"/>
      <c r="F14167" s="87"/>
      <c r="G14167" s="87"/>
    </row>
    <row r="14168">
      <c r="A14168" s="86" t="str">
        <f>IFERROR(__xludf.DUMMYFUNCTION("""COMPUTED_VALUE"""),"")</f>
        <v/>
      </c>
      <c r="B14168" s="87"/>
      <c r="C14168" s="87"/>
      <c r="D14168" s="87"/>
      <c r="E14168" s="87"/>
      <c r="F14168" s="87"/>
      <c r="G14168" s="87"/>
    </row>
    <row r="14169">
      <c r="A14169" s="86" t="str">
        <f>IFERROR(__xludf.DUMMYFUNCTION("""COMPUTED_VALUE"""),"")</f>
        <v/>
      </c>
      <c r="B14169" s="87"/>
      <c r="C14169" s="87"/>
      <c r="D14169" s="87"/>
      <c r="E14169" s="87"/>
      <c r="F14169" s="87"/>
      <c r="G14169" s="87"/>
    </row>
    <row r="14170">
      <c r="A14170" s="86" t="str">
        <f>IFERROR(__xludf.DUMMYFUNCTION("""COMPUTED_VALUE"""),"")</f>
        <v/>
      </c>
      <c r="B14170" s="87"/>
      <c r="C14170" s="87"/>
      <c r="D14170" s="87"/>
      <c r="E14170" s="87"/>
      <c r="F14170" s="87"/>
      <c r="G14170" s="87"/>
    </row>
    <row r="14171">
      <c r="A14171" s="86" t="str">
        <f>IFERROR(__xludf.DUMMYFUNCTION("""COMPUTED_VALUE"""),"")</f>
        <v/>
      </c>
      <c r="B14171" s="87"/>
      <c r="C14171" s="87"/>
      <c r="D14171" s="87"/>
      <c r="E14171" s="87"/>
      <c r="F14171" s="87"/>
      <c r="G14171" s="87"/>
    </row>
    <row r="14172">
      <c r="A14172" s="86" t="str">
        <f>IFERROR(__xludf.DUMMYFUNCTION("""COMPUTED_VALUE"""),"")</f>
        <v/>
      </c>
      <c r="B14172" s="87"/>
      <c r="C14172" s="87"/>
      <c r="D14172" s="87"/>
      <c r="E14172" s="87"/>
      <c r="F14172" s="87"/>
      <c r="G14172" s="87"/>
    </row>
    <row r="14173">
      <c r="A14173" s="86" t="str">
        <f>IFERROR(__xludf.DUMMYFUNCTION("""COMPUTED_VALUE"""),"")</f>
        <v/>
      </c>
      <c r="B14173" s="87"/>
      <c r="C14173" s="87"/>
      <c r="D14173" s="87"/>
      <c r="E14173" s="87"/>
      <c r="F14173" s="87"/>
      <c r="G14173" s="87"/>
    </row>
    <row r="14174">
      <c r="A14174" s="86" t="str">
        <f>IFERROR(__xludf.DUMMYFUNCTION("""COMPUTED_VALUE"""),"")</f>
        <v/>
      </c>
      <c r="B14174" s="87"/>
      <c r="C14174" s="87"/>
      <c r="D14174" s="87"/>
      <c r="E14174" s="87"/>
      <c r="F14174" s="87"/>
      <c r="G14174" s="87"/>
    </row>
    <row r="14175">
      <c r="A14175" s="86" t="str">
        <f>IFERROR(__xludf.DUMMYFUNCTION("""COMPUTED_VALUE"""),"")</f>
        <v/>
      </c>
      <c r="B14175" s="87"/>
      <c r="C14175" s="87"/>
      <c r="D14175" s="87"/>
      <c r="E14175" s="87"/>
      <c r="F14175" s="87"/>
      <c r="G14175" s="87"/>
    </row>
    <row r="14176">
      <c r="A14176" s="86" t="str">
        <f>IFERROR(__xludf.DUMMYFUNCTION("""COMPUTED_VALUE"""),"")</f>
        <v/>
      </c>
      <c r="B14176" s="87"/>
      <c r="C14176" s="87"/>
      <c r="D14176" s="87"/>
      <c r="E14176" s="87"/>
      <c r="F14176" s="87"/>
      <c r="G14176" s="87"/>
    </row>
    <row r="14177">
      <c r="A14177" s="86" t="str">
        <f>IFERROR(__xludf.DUMMYFUNCTION("""COMPUTED_VALUE"""),"")</f>
        <v/>
      </c>
      <c r="B14177" s="87"/>
      <c r="C14177" s="87"/>
      <c r="D14177" s="87"/>
      <c r="E14177" s="87"/>
      <c r="F14177" s="87"/>
      <c r="G14177" s="87"/>
    </row>
    <row r="14178">
      <c r="A14178" s="86" t="str">
        <f>IFERROR(__xludf.DUMMYFUNCTION("""COMPUTED_VALUE"""),"")</f>
        <v/>
      </c>
      <c r="B14178" s="87"/>
      <c r="C14178" s="87"/>
      <c r="D14178" s="87"/>
      <c r="E14178" s="87"/>
      <c r="F14178" s="87"/>
      <c r="G14178" s="87"/>
    </row>
    <row r="14179">
      <c r="A14179" s="86" t="str">
        <f>IFERROR(__xludf.DUMMYFUNCTION("""COMPUTED_VALUE"""),"")</f>
        <v/>
      </c>
      <c r="B14179" s="87"/>
      <c r="C14179" s="87"/>
      <c r="D14179" s="87"/>
      <c r="E14179" s="87"/>
      <c r="F14179" s="87"/>
      <c r="G14179" s="87"/>
    </row>
    <row r="14180">
      <c r="A14180" s="86" t="str">
        <f>IFERROR(__xludf.DUMMYFUNCTION("""COMPUTED_VALUE"""),"")</f>
        <v/>
      </c>
      <c r="B14180" s="87"/>
      <c r="C14180" s="87"/>
      <c r="D14180" s="87"/>
      <c r="E14180" s="87"/>
      <c r="F14180" s="87"/>
      <c r="G14180" s="87"/>
    </row>
    <row r="14181">
      <c r="A14181" s="86" t="str">
        <f>IFERROR(__xludf.DUMMYFUNCTION("""COMPUTED_VALUE"""),"")</f>
        <v/>
      </c>
      <c r="B14181" s="87"/>
      <c r="C14181" s="87"/>
      <c r="D14181" s="87"/>
      <c r="E14181" s="87"/>
      <c r="F14181" s="87"/>
      <c r="G14181" s="87"/>
    </row>
    <row r="14182">
      <c r="A14182" s="86" t="str">
        <f>IFERROR(__xludf.DUMMYFUNCTION("""COMPUTED_VALUE"""),"")</f>
        <v/>
      </c>
      <c r="B14182" s="87"/>
      <c r="C14182" s="87"/>
      <c r="D14182" s="87"/>
      <c r="E14182" s="87"/>
      <c r="F14182" s="87"/>
      <c r="G14182" s="87"/>
    </row>
    <row r="14183">
      <c r="A14183" s="86" t="str">
        <f>IFERROR(__xludf.DUMMYFUNCTION("""COMPUTED_VALUE"""),"")</f>
        <v/>
      </c>
      <c r="B14183" s="87"/>
      <c r="C14183" s="87"/>
      <c r="D14183" s="87"/>
      <c r="E14183" s="87"/>
      <c r="F14183" s="87"/>
      <c r="G14183" s="87"/>
    </row>
    <row r="14184">
      <c r="A14184" s="86" t="str">
        <f>IFERROR(__xludf.DUMMYFUNCTION("""COMPUTED_VALUE"""),"")</f>
        <v/>
      </c>
      <c r="B14184" s="87"/>
      <c r="C14184" s="87"/>
      <c r="D14184" s="87"/>
      <c r="E14184" s="87"/>
      <c r="F14184" s="87"/>
      <c r="G14184" s="87"/>
    </row>
    <row r="14185">
      <c r="A14185" s="86" t="str">
        <f>IFERROR(__xludf.DUMMYFUNCTION("""COMPUTED_VALUE"""),"")</f>
        <v/>
      </c>
      <c r="B14185" s="87"/>
      <c r="C14185" s="87"/>
      <c r="D14185" s="87"/>
      <c r="E14185" s="87"/>
      <c r="F14185" s="87"/>
      <c r="G14185" s="87"/>
    </row>
    <row r="14186">
      <c r="A14186" s="86" t="str">
        <f>IFERROR(__xludf.DUMMYFUNCTION("""COMPUTED_VALUE"""),"")</f>
        <v/>
      </c>
      <c r="B14186" s="87"/>
      <c r="C14186" s="87"/>
      <c r="D14186" s="87"/>
      <c r="E14186" s="87"/>
      <c r="F14186" s="87"/>
      <c r="G14186" s="87"/>
    </row>
    <row r="14187">
      <c r="A14187" s="86" t="str">
        <f>IFERROR(__xludf.DUMMYFUNCTION("""COMPUTED_VALUE"""),"")</f>
        <v/>
      </c>
      <c r="B14187" s="87"/>
      <c r="C14187" s="87"/>
      <c r="D14187" s="87"/>
      <c r="E14187" s="87"/>
      <c r="F14187" s="87"/>
      <c r="G14187" s="87"/>
    </row>
    <row r="14188">
      <c r="A14188" s="86" t="str">
        <f>IFERROR(__xludf.DUMMYFUNCTION("""COMPUTED_VALUE"""),"")</f>
        <v/>
      </c>
      <c r="B14188" s="87"/>
      <c r="C14188" s="87"/>
      <c r="D14188" s="87"/>
      <c r="E14188" s="87"/>
      <c r="F14188" s="87"/>
      <c r="G14188" s="87"/>
    </row>
    <row r="14189">
      <c r="A14189" s="86" t="str">
        <f>IFERROR(__xludf.DUMMYFUNCTION("""COMPUTED_VALUE"""),"")</f>
        <v/>
      </c>
      <c r="B14189" s="87"/>
      <c r="C14189" s="87"/>
      <c r="D14189" s="87"/>
      <c r="E14189" s="87"/>
      <c r="F14189" s="87"/>
      <c r="G14189" s="87"/>
    </row>
    <row r="14190">
      <c r="A14190" s="86" t="str">
        <f>IFERROR(__xludf.DUMMYFUNCTION("""COMPUTED_VALUE"""),"")</f>
        <v/>
      </c>
      <c r="B14190" s="87"/>
      <c r="C14190" s="87"/>
      <c r="D14190" s="87"/>
      <c r="E14190" s="87"/>
      <c r="F14190" s="87"/>
      <c r="G14190" s="87"/>
    </row>
    <row r="14191">
      <c r="A14191" s="86" t="str">
        <f>IFERROR(__xludf.DUMMYFUNCTION("""COMPUTED_VALUE"""),"")</f>
        <v/>
      </c>
      <c r="B14191" s="87"/>
      <c r="C14191" s="87"/>
      <c r="D14191" s="87"/>
      <c r="E14191" s="87"/>
      <c r="F14191" s="87"/>
      <c r="G14191" s="87"/>
    </row>
    <row r="14192">
      <c r="A14192" s="86" t="str">
        <f>IFERROR(__xludf.DUMMYFUNCTION("""COMPUTED_VALUE"""),"")</f>
        <v/>
      </c>
      <c r="B14192" s="87"/>
      <c r="C14192" s="87"/>
      <c r="D14192" s="87"/>
      <c r="E14192" s="87"/>
      <c r="F14192" s="87"/>
      <c r="G14192" s="87"/>
    </row>
    <row r="14193">
      <c r="A14193" s="86" t="str">
        <f>IFERROR(__xludf.DUMMYFUNCTION("""COMPUTED_VALUE"""),"")</f>
        <v/>
      </c>
      <c r="B14193" s="87"/>
      <c r="C14193" s="87"/>
      <c r="D14193" s="87"/>
      <c r="E14193" s="87"/>
      <c r="F14193" s="87"/>
      <c r="G14193" s="87"/>
    </row>
    <row r="14194">
      <c r="A14194" s="86" t="str">
        <f>IFERROR(__xludf.DUMMYFUNCTION("""COMPUTED_VALUE"""),"")</f>
        <v/>
      </c>
      <c r="B14194" s="87"/>
      <c r="C14194" s="87"/>
      <c r="D14194" s="87"/>
      <c r="E14194" s="87"/>
      <c r="F14194" s="87"/>
      <c r="G14194" s="87"/>
    </row>
    <row r="14195">
      <c r="A14195" s="86" t="str">
        <f>IFERROR(__xludf.DUMMYFUNCTION("""COMPUTED_VALUE"""),"")</f>
        <v/>
      </c>
      <c r="B14195" s="87"/>
      <c r="C14195" s="87"/>
      <c r="D14195" s="87"/>
      <c r="E14195" s="87"/>
      <c r="F14195" s="87"/>
      <c r="G14195" s="87"/>
    </row>
    <row r="14196">
      <c r="A14196" s="86" t="str">
        <f>IFERROR(__xludf.DUMMYFUNCTION("""COMPUTED_VALUE"""),"")</f>
        <v/>
      </c>
      <c r="B14196" s="87"/>
      <c r="C14196" s="87"/>
      <c r="D14196" s="87"/>
      <c r="E14196" s="87"/>
      <c r="F14196" s="87"/>
      <c r="G14196" s="87"/>
    </row>
    <row r="14197">
      <c r="A14197" s="86" t="str">
        <f>IFERROR(__xludf.DUMMYFUNCTION("""COMPUTED_VALUE"""),"")</f>
        <v/>
      </c>
      <c r="B14197" s="87"/>
      <c r="C14197" s="87"/>
      <c r="D14197" s="87"/>
      <c r="E14197" s="87"/>
      <c r="F14197" s="87"/>
      <c r="G14197" s="87"/>
    </row>
    <row r="14198">
      <c r="A14198" s="86" t="str">
        <f>IFERROR(__xludf.DUMMYFUNCTION("""COMPUTED_VALUE"""),"")</f>
        <v/>
      </c>
      <c r="B14198" s="87"/>
      <c r="C14198" s="87"/>
      <c r="D14198" s="87"/>
      <c r="E14198" s="87"/>
      <c r="F14198" s="87"/>
      <c r="G14198" s="87"/>
    </row>
    <row r="14199">
      <c r="A14199" s="86" t="str">
        <f>IFERROR(__xludf.DUMMYFUNCTION("""COMPUTED_VALUE"""),"")</f>
        <v/>
      </c>
      <c r="B14199" s="87"/>
      <c r="C14199" s="87"/>
      <c r="D14199" s="87"/>
      <c r="E14199" s="87"/>
      <c r="F14199" s="87"/>
      <c r="G14199" s="87"/>
    </row>
    <row r="14200">
      <c r="A14200" s="86" t="str">
        <f>IFERROR(__xludf.DUMMYFUNCTION("""COMPUTED_VALUE"""),"")</f>
        <v/>
      </c>
      <c r="B14200" s="87"/>
      <c r="C14200" s="87"/>
      <c r="D14200" s="87"/>
      <c r="E14200" s="87"/>
      <c r="F14200" s="87"/>
      <c r="G14200" s="87"/>
    </row>
    <row r="14201">
      <c r="A14201" s="86" t="str">
        <f>IFERROR(__xludf.DUMMYFUNCTION("""COMPUTED_VALUE"""),"")</f>
        <v/>
      </c>
      <c r="B14201" s="87"/>
      <c r="C14201" s="87"/>
      <c r="D14201" s="87"/>
      <c r="E14201" s="87"/>
      <c r="F14201" s="87"/>
      <c r="G14201" s="87"/>
    </row>
    <row r="14202">
      <c r="A14202" s="86" t="str">
        <f>IFERROR(__xludf.DUMMYFUNCTION("""COMPUTED_VALUE"""),"")</f>
        <v/>
      </c>
      <c r="B14202" s="87"/>
      <c r="C14202" s="87"/>
      <c r="D14202" s="87"/>
      <c r="E14202" s="87"/>
      <c r="F14202" s="87"/>
      <c r="G14202" s="87"/>
    </row>
    <row r="14203">
      <c r="A14203" s="86" t="str">
        <f>IFERROR(__xludf.DUMMYFUNCTION("""COMPUTED_VALUE"""),"")</f>
        <v/>
      </c>
      <c r="B14203" s="87"/>
      <c r="C14203" s="87"/>
      <c r="D14203" s="87"/>
      <c r="E14203" s="87"/>
      <c r="F14203" s="87"/>
      <c r="G14203" s="87"/>
    </row>
    <row r="14204">
      <c r="A14204" s="86" t="str">
        <f>IFERROR(__xludf.DUMMYFUNCTION("""COMPUTED_VALUE"""),"")</f>
        <v/>
      </c>
      <c r="B14204" s="87"/>
      <c r="C14204" s="87"/>
      <c r="D14204" s="87"/>
      <c r="E14204" s="87"/>
      <c r="F14204" s="87"/>
      <c r="G14204" s="87"/>
    </row>
    <row r="14205">
      <c r="A14205" s="86" t="str">
        <f>IFERROR(__xludf.DUMMYFUNCTION("""COMPUTED_VALUE"""),"")</f>
        <v/>
      </c>
      <c r="B14205" s="87"/>
      <c r="C14205" s="87"/>
      <c r="D14205" s="87"/>
      <c r="E14205" s="87"/>
      <c r="F14205" s="87"/>
      <c r="G14205" s="87"/>
    </row>
    <row r="14206">
      <c r="A14206" s="86" t="str">
        <f>IFERROR(__xludf.DUMMYFUNCTION("""COMPUTED_VALUE"""),"")</f>
        <v/>
      </c>
      <c r="B14206" s="87"/>
      <c r="C14206" s="87"/>
      <c r="D14206" s="87"/>
      <c r="E14206" s="87"/>
      <c r="F14206" s="87"/>
      <c r="G14206" s="87"/>
    </row>
    <row r="14207">
      <c r="A14207" s="86" t="str">
        <f>IFERROR(__xludf.DUMMYFUNCTION("""COMPUTED_VALUE"""),"")</f>
        <v/>
      </c>
      <c r="B14207" s="87"/>
      <c r="C14207" s="87"/>
      <c r="D14207" s="87"/>
      <c r="E14207" s="87"/>
      <c r="F14207" s="87"/>
      <c r="G14207" s="87"/>
    </row>
    <row r="14208">
      <c r="A14208" s="86" t="str">
        <f>IFERROR(__xludf.DUMMYFUNCTION("""COMPUTED_VALUE"""),"")</f>
        <v/>
      </c>
      <c r="B14208" s="87"/>
      <c r="C14208" s="87"/>
      <c r="D14208" s="87"/>
      <c r="E14208" s="87"/>
      <c r="F14208" s="87"/>
      <c r="G14208" s="87"/>
    </row>
    <row r="14209">
      <c r="A14209" s="86" t="str">
        <f>IFERROR(__xludf.DUMMYFUNCTION("""COMPUTED_VALUE"""),"")</f>
        <v/>
      </c>
      <c r="B14209" s="87"/>
      <c r="C14209" s="87"/>
      <c r="D14209" s="87"/>
      <c r="E14209" s="87"/>
      <c r="F14209" s="87"/>
      <c r="G14209" s="87"/>
    </row>
    <row r="14210">
      <c r="A14210" s="86" t="str">
        <f>IFERROR(__xludf.DUMMYFUNCTION("""COMPUTED_VALUE"""),"")</f>
        <v/>
      </c>
      <c r="B14210" s="87"/>
      <c r="C14210" s="87"/>
      <c r="D14210" s="87"/>
      <c r="E14210" s="87"/>
      <c r="F14210" s="87"/>
      <c r="G14210" s="87"/>
    </row>
    <row r="14211">
      <c r="A14211" s="86" t="str">
        <f>IFERROR(__xludf.DUMMYFUNCTION("""COMPUTED_VALUE"""),"")</f>
        <v/>
      </c>
      <c r="B14211" s="87"/>
      <c r="C14211" s="87"/>
      <c r="D14211" s="87"/>
      <c r="E14211" s="87"/>
      <c r="F14211" s="87"/>
      <c r="G14211" s="87"/>
    </row>
    <row r="14212">
      <c r="A14212" s="86" t="str">
        <f>IFERROR(__xludf.DUMMYFUNCTION("""COMPUTED_VALUE"""),"")</f>
        <v/>
      </c>
      <c r="B14212" s="87"/>
      <c r="C14212" s="87"/>
      <c r="D14212" s="87"/>
      <c r="E14212" s="87"/>
      <c r="F14212" s="87"/>
      <c r="G14212" s="87"/>
    </row>
    <row r="14213">
      <c r="A14213" s="86" t="str">
        <f>IFERROR(__xludf.DUMMYFUNCTION("""COMPUTED_VALUE"""),"")</f>
        <v/>
      </c>
      <c r="B14213" s="87"/>
      <c r="C14213" s="87"/>
      <c r="D14213" s="87"/>
      <c r="E14213" s="87"/>
      <c r="F14213" s="87"/>
      <c r="G14213" s="87"/>
    </row>
    <row r="14214">
      <c r="A14214" s="86" t="str">
        <f>IFERROR(__xludf.DUMMYFUNCTION("""COMPUTED_VALUE"""),"")</f>
        <v/>
      </c>
      <c r="B14214" s="87"/>
      <c r="C14214" s="87"/>
      <c r="D14214" s="87"/>
      <c r="E14214" s="87"/>
      <c r="F14214" s="87"/>
      <c r="G14214" s="87"/>
    </row>
    <row r="14215">
      <c r="A14215" s="86" t="str">
        <f>IFERROR(__xludf.DUMMYFUNCTION("""COMPUTED_VALUE"""),"")</f>
        <v/>
      </c>
      <c r="B14215" s="87"/>
      <c r="C14215" s="87"/>
      <c r="D14215" s="87"/>
      <c r="E14215" s="87"/>
      <c r="F14215" s="87"/>
      <c r="G14215" s="87"/>
    </row>
    <row r="14216">
      <c r="A14216" s="86" t="str">
        <f>IFERROR(__xludf.DUMMYFUNCTION("""COMPUTED_VALUE"""),"")</f>
        <v/>
      </c>
      <c r="B14216" s="87"/>
      <c r="C14216" s="87"/>
      <c r="D14216" s="87"/>
      <c r="E14216" s="87"/>
      <c r="F14216" s="87"/>
      <c r="G14216" s="87"/>
    </row>
    <row r="14217">
      <c r="A14217" s="86" t="str">
        <f>IFERROR(__xludf.DUMMYFUNCTION("""COMPUTED_VALUE"""),"")</f>
        <v/>
      </c>
      <c r="B14217" s="87"/>
      <c r="C14217" s="87"/>
      <c r="D14217" s="87"/>
      <c r="E14217" s="87"/>
      <c r="F14217" s="87"/>
      <c r="G14217" s="87"/>
    </row>
    <row r="14218">
      <c r="A14218" s="86" t="str">
        <f>IFERROR(__xludf.DUMMYFUNCTION("""COMPUTED_VALUE"""),"")</f>
        <v/>
      </c>
      <c r="B14218" s="87"/>
      <c r="C14218" s="87"/>
      <c r="D14218" s="87"/>
      <c r="E14218" s="87"/>
      <c r="F14218" s="87"/>
      <c r="G14218" s="87"/>
    </row>
    <row r="14219">
      <c r="A14219" s="86" t="str">
        <f>IFERROR(__xludf.DUMMYFUNCTION("""COMPUTED_VALUE"""),"")</f>
        <v/>
      </c>
      <c r="B14219" s="87"/>
      <c r="C14219" s="87"/>
      <c r="D14219" s="87"/>
      <c r="E14219" s="87"/>
      <c r="F14219" s="87"/>
      <c r="G14219" s="87"/>
    </row>
    <row r="14220">
      <c r="A14220" s="86" t="str">
        <f>IFERROR(__xludf.DUMMYFUNCTION("""COMPUTED_VALUE"""),"")</f>
        <v/>
      </c>
      <c r="B14220" s="87"/>
      <c r="C14220" s="87"/>
      <c r="D14220" s="87"/>
      <c r="E14220" s="87"/>
      <c r="F14220" s="87"/>
      <c r="G14220" s="87"/>
    </row>
    <row r="14221">
      <c r="A14221" s="86" t="str">
        <f>IFERROR(__xludf.DUMMYFUNCTION("""COMPUTED_VALUE"""),"")</f>
        <v/>
      </c>
      <c r="B14221" s="87"/>
      <c r="C14221" s="87"/>
      <c r="D14221" s="87"/>
      <c r="E14221" s="87"/>
      <c r="F14221" s="87"/>
      <c r="G14221" s="87"/>
    </row>
    <row r="14222">
      <c r="A14222" s="86" t="str">
        <f>IFERROR(__xludf.DUMMYFUNCTION("""COMPUTED_VALUE"""),"")</f>
        <v/>
      </c>
      <c r="B14222" s="87"/>
      <c r="C14222" s="87"/>
      <c r="D14222" s="87"/>
      <c r="E14222" s="87"/>
      <c r="F14222" s="87"/>
      <c r="G14222" s="87"/>
    </row>
    <row r="14223">
      <c r="A14223" s="86" t="str">
        <f>IFERROR(__xludf.DUMMYFUNCTION("""COMPUTED_VALUE"""),"")</f>
        <v/>
      </c>
      <c r="B14223" s="87"/>
      <c r="C14223" s="87"/>
      <c r="D14223" s="87"/>
      <c r="E14223" s="87"/>
      <c r="F14223" s="87"/>
      <c r="G14223" s="87"/>
    </row>
    <row r="14224">
      <c r="A14224" s="86" t="str">
        <f>IFERROR(__xludf.DUMMYFUNCTION("""COMPUTED_VALUE"""),"")</f>
        <v/>
      </c>
      <c r="B14224" s="87"/>
      <c r="C14224" s="87"/>
      <c r="D14224" s="87"/>
      <c r="E14224" s="87"/>
      <c r="F14224" s="87"/>
      <c r="G14224" s="87"/>
    </row>
    <row r="14225">
      <c r="A14225" s="86" t="str">
        <f>IFERROR(__xludf.DUMMYFUNCTION("""COMPUTED_VALUE"""),"")</f>
        <v/>
      </c>
      <c r="B14225" s="87"/>
      <c r="C14225" s="87"/>
      <c r="D14225" s="87"/>
      <c r="E14225" s="87"/>
      <c r="F14225" s="87"/>
      <c r="G14225" s="87"/>
    </row>
    <row r="14226">
      <c r="A14226" s="86" t="str">
        <f>IFERROR(__xludf.DUMMYFUNCTION("""COMPUTED_VALUE"""),"")</f>
        <v/>
      </c>
      <c r="B14226" s="87"/>
      <c r="C14226" s="87"/>
      <c r="D14226" s="87"/>
      <c r="E14226" s="87"/>
      <c r="F14226" s="87"/>
      <c r="G14226" s="87"/>
    </row>
    <row r="14227">
      <c r="A14227" s="86" t="str">
        <f>IFERROR(__xludf.DUMMYFUNCTION("""COMPUTED_VALUE"""),"")</f>
        <v/>
      </c>
      <c r="B14227" s="87"/>
      <c r="C14227" s="87"/>
      <c r="D14227" s="87"/>
      <c r="E14227" s="87"/>
      <c r="F14227" s="87"/>
      <c r="G14227" s="87"/>
    </row>
    <row r="14228">
      <c r="A14228" s="86" t="str">
        <f>IFERROR(__xludf.DUMMYFUNCTION("""COMPUTED_VALUE"""),"")</f>
        <v/>
      </c>
      <c r="B14228" s="87"/>
      <c r="C14228" s="87"/>
      <c r="D14228" s="87"/>
      <c r="E14228" s="87"/>
      <c r="F14228" s="87"/>
      <c r="G14228" s="87"/>
    </row>
    <row r="14229">
      <c r="A14229" s="86" t="str">
        <f>IFERROR(__xludf.DUMMYFUNCTION("""COMPUTED_VALUE"""),"")</f>
        <v/>
      </c>
      <c r="B14229" s="87"/>
      <c r="C14229" s="87"/>
      <c r="D14229" s="87"/>
      <c r="E14229" s="87"/>
      <c r="F14229" s="87"/>
      <c r="G14229" s="87"/>
    </row>
    <row r="14230">
      <c r="A14230" s="86" t="str">
        <f>IFERROR(__xludf.DUMMYFUNCTION("""COMPUTED_VALUE"""),"")</f>
        <v/>
      </c>
      <c r="B14230" s="87"/>
      <c r="C14230" s="87"/>
      <c r="D14230" s="87"/>
      <c r="E14230" s="87"/>
      <c r="F14230" s="87"/>
      <c r="G14230" s="87"/>
    </row>
    <row r="14231">
      <c r="A14231" s="86" t="str">
        <f>IFERROR(__xludf.DUMMYFUNCTION("""COMPUTED_VALUE"""),"")</f>
        <v/>
      </c>
      <c r="B14231" s="87"/>
      <c r="C14231" s="87"/>
      <c r="D14231" s="87"/>
      <c r="E14231" s="87"/>
      <c r="F14231" s="87"/>
      <c r="G14231" s="87"/>
    </row>
    <row r="14232">
      <c r="A14232" s="86" t="str">
        <f>IFERROR(__xludf.DUMMYFUNCTION("""COMPUTED_VALUE"""),"")</f>
        <v/>
      </c>
      <c r="B14232" s="87"/>
      <c r="C14232" s="87"/>
      <c r="D14232" s="87"/>
      <c r="E14232" s="87"/>
      <c r="F14232" s="87"/>
      <c r="G14232" s="87"/>
    </row>
    <row r="14233">
      <c r="A14233" s="86" t="str">
        <f>IFERROR(__xludf.DUMMYFUNCTION("""COMPUTED_VALUE"""),"")</f>
        <v/>
      </c>
      <c r="B14233" s="87"/>
      <c r="C14233" s="87"/>
      <c r="D14233" s="87"/>
      <c r="E14233" s="87"/>
      <c r="F14233" s="87"/>
      <c r="G14233" s="87"/>
    </row>
    <row r="14234">
      <c r="A14234" s="86" t="str">
        <f>IFERROR(__xludf.DUMMYFUNCTION("""COMPUTED_VALUE"""),"")</f>
        <v/>
      </c>
      <c r="B14234" s="87"/>
      <c r="C14234" s="87"/>
      <c r="D14234" s="87"/>
      <c r="E14234" s="87"/>
      <c r="F14234" s="87"/>
      <c r="G14234" s="87"/>
    </row>
    <row r="14235">
      <c r="A14235" s="86" t="str">
        <f>IFERROR(__xludf.DUMMYFUNCTION("""COMPUTED_VALUE"""),"")</f>
        <v/>
      </c>
      <c r="B14235" s="87"/>
      <c r="C14235" s="87"/>
      <c r="D14235" s="87"/>
      <c r="E14235" s="87"/>
      <c r="F14235" s="87"/>
      <c r="G14235" s="87"/>
    </row>
    <row r="14236">
      <c r="A14236" s="86" t="str">
        <f>IFERROR(__xludf.DUMMYFUNCTION("""COMPUTED_VALUE"""),"")</f>
        <v/>
      </c>
      <c r="B14236" s="87"/>
      <c r="C14236" s="87"/>
      <c r="D14236" s="87"/>
      <c r="E14236" s="87"/>
      <c r="F14236" s="87"/>
      <c r="G14236" s="87"/>
    </row>
    <row r="14237">
      <c r="A14237" s="86" t="str">
        <f>IFERROR(__xludf.DUMMYFUNCTION("""COMPUTED_VALUE"""),"")</f>
        <v/>
      </c>
      <c r="B14237" s="87"/>
      <c r="C14237" s="87"/>
      <c r="D14237" s="87"/>
      <c r="E14237" s="87"/>
      <c r="F14237" s="87"/>
      <c r="G14237" s="87"/>
    </row>
    <row r="14238">
      <c r="A14238" s="86" t="str">
        <f>IFERROR(__xludf.DUMMYFUNCTION("""COMPUTED_VALUE"""),"")</f>
        <v/>
      </c>
      <c r="B14238" s="87"/>
      <c r="C14238" s="87"/>
      <c r="D14238" s="87"/>
      <c r="E14238" s="87"/>
      <c r="F14238" s="87"/>
      <c r="G14238" s="87"/>
    </row>
    <row r="14239">
      <c r="A14239" s="86" t="str">
        <f>IFERROR(__xludf.DUMMYFUNCTION("""COMPUTED_VALUE"""),"")</f>
        <v/>
      </c>
      <c r="B14239" s="87"/>
      <c r="C14239" s="87"/>
      <c r="D14239" s="87"/>
      <c r="E14239" s="87"/>
      <c r="F14239" s="87"/>
      <c r="G14239" s="87"/>
    </row>
    <row r="14240">
      <c r="A14240" s="86" t="str">
        <f>IFERROR(__xludf.DUMMYFUNCTION("""COMPUTED_VALUE"""),"")</f>
        <v/>
      </c>
      <c r="B14240" s="87"/>
      <c r="C14240" s="87"/>
      <c r="D14240" s="87"/>
      <c r="E14240" s="87"/>
      <c r="F14240" s="87"/>
      <c r="G14240" s="87"/>
    </row>
    <row r="14241">
      <c r="A14241" s="86" t="str">
        <f>IFERROR(__xludf.DUMMYFUNCTION("""COMPUTED_VALUE"""),"")</f>
        <v/>
      </c>
      <c r="B14241" s="87"/>
      <c r="C14241" s="87"/>
      <c r="D14241" s="87"/>
      <c r="E14241" s="87"/>
      <c r="F14241" s="87"/>
      <c r="G14241" s="87"/>
    </row>
    <row r="14242">
      <c r="A14242" s="86" t="str">
        <f>IFERROR(__xludf.DUMMYFUNCTION("""COMPUTED_VALUE"""),"")</f>
        <v/>
      </c>
      <c r="B14242" s="87"/>
      <c r="C14242" s="87"/>
      <c r="D14242" s="87"/>
      <c r="E14242" s="87"/>
      <c r="F14242" s="87"/>
      <c r="G14242" s="87"/>
    </row>
    <row r="14243">
      <c r="A14243" s="86" t="str">
        <f>IFERROR(__xludf.DUMMYFUNCTION("""COMPUTED_VALUE"""),"")</f>
        <v/>
      </c>
      <c r="B14243" s="87"/>
      <c r="C14243" s="87"/>
      <c r="D14243" s="87"/>
      <c r="E14243" s="87"/>
      <c r="F14243" s="87"/>
      <c r="G14243" s="87"/>
    </row>
    <row r="14244">
      <c r="A14244" s="86" t="str">
        <f>IFERROR(__xludf.DUMMYFUNCTION("""COMPUTED_VALUE"""),"")</f>
        <v/>
      </c>
      <c r="B14244" s="87"/>
      <c r="C14244" s="87"/>
      <c r="D14244" s="87"/>
      <c r="E14244" s="87"/>
      <c r="F14244" s="87"/>
      <c r="G14244" s="87"/>
    </row>
    <row r="14245">
      <c r="A14245" s="86" t="str">
        <f>IFERROR(__xludf.DUMMYFUNCTION("""COMPUTED_VALUE"""),"")</f>
        <v/>
      </c>
      <c r="B14245" s="87"/>
      <c r="C14245" s="87"/>
      <c r="D14245" s="87"/>
      <c r="E14245" s="87"/>
      <c r="F14245" s="87"/>
      <c r="G14245" s="87"/>
    </row>
    <row r="14246">
      <c r="A14246" s="86" t="str">
        <f>IFERROR(__xludf.DUMMYFUNCTION("""COMPUTED_VALUE"""),"")</f>
        <v/>
      </c>
      <c r="B14246" s="87"/>
      <c r="C14246" s="87"/>
      <c r="D14246" s="87"/>
      <c r="E14246" s="87"/>
      <c r="F14246" s="87"/>
      <c r="G14246" s="87"/>
    </row>
    <row r="14247">
      <c r="A14247" s="86" t="str">
        <f>IFERROR(__xludf.DUMMYFUNCTION("""COMPUTED_VALUE"""),"")</f>
        <v/>
      </c>
      <c r="B14247" s="87"/>
      <c r="C14247" s="87"/>
      <c r="D14247" s="87"/>
      <c r="E14247" s="87"/>
      <c r="F14247" s="87"/>
      <c r="G14247" s="87"/>
    </row>
    <row r="14248">
      <c r="A14248" s="86" t="str">
        <f>IFERROR(__xludf.DUMMYFUNCTION("""COMPUTED_VALUE"""),"")</f>
        <v/>
      </c>
      <c r="B14248" s="87"/>
      <c r="C14248" s="87"/>
      <c r="D14248" s="87"/>
      <c r="E14248" s="87"/>
      <c r="F14248" s="87"/>
      <c r="G14248" s="87"/>
    </row>
    <row r="14249">
      <c r="A14249" s="86" t="str">
        <f>IFERROR(__xludf.DUMMYFUNCTION("""COMPUTED_VALUE"""),"")</f>
        <v/>
      </c>
      <c r="B14249" s="87"/>
      <c r="C14249" s="87"/>
      <c r="D14249" s="87"/>
      <c r="E14249" s="87"/>
      <c r="F14249" s="87"/>
      <c r="G14249" s="87"/>
    </row>
    <row r="14250">
      <c r="A14250" s="86" t="str">
        <f>IFERROR(__xludf.DUMMYFUNCTION("""COMPUTED_VALUE"""),"")</f>
        <v/>
      </c>
      <c r="B14250" s="87"/>
      <c r="C14250" s="87"/>
      <c r="D14250" s="87"/>
      <c r="E14250" s="87"/>
      <c r="F14250" s="87"/>
      <c r="G14250" s="87"/>
    </row>
    <row r="14251">
      <c r="A14251" s="86" t="str">
        <f>IFERROR(__xludf.DUMMYFUNCTION("""COMPUTED_VALUE"""),"")</f>
        <v/>
      </c>
      <c r="B14251" s="87"/>
      <c r="C14251" s="87"/>
      <c r="D14251" s="87"/>
      <c r="E14251" s="87"/>
      <c r="F14251" s="87"/>
      <c r="G14251" s="87"/>
    </row>
    <row r="14252">
      <c r="A14252" s="86" t="str">
        <f>IFERROR(__xludf.DUMMYFUNCTION("""COMPUTED_VALUE"""),"")</f>
        <v/>
      </c>
      <c r="B14252" s="87"/>
      <c r="C14252" s="87"/>
      <c r="D14252" s="87"/>
      <c r="E14252" s="87"/>
      <c r="F14252" s="87"/>
      <c r="G14252" s="87"/>
    </row>
    <row r="14253">
      <c r="A14253" s="86" t="str">
        <f>IFERROR(__xludf.DUMMYFUNCTION("""COMPUTED_VALUE"""),"")</f>
        <v/>
      </c>
      <c r="B14253" s="87"/>
      <c r="C14253" s="87"/>
      <c r="D14253" s="87"/>
      <c r="E14253" s="87"/>
      <c r="F14253" s="87"/>
      <c r="G14253" s="87"/>
    </row>
    <row r="14254">
      <c r="A14254" s="86" t="str">
        <f>IFERROR(__xludf.DUMMYFUNCTION("""COMPUTED_VALUE"""),"")</f>
        <v/>
      </c>
      <c r="B14254" s="87"/>
      <c r="C14254" s="87"/>
      <c r="D14254" s="87"/>
      <c r="E14254" s="87"/>
      <c r="F14254" s="87"/>
      <c r="G14254" s="87"/>
    </row>
    <row r="14255">
      <c r="A14255" s="86" t="str">
        <f>IFERROR(__xludf.DUMMYFUNCTION("""COMPUTED_VALUE"""),"")</f>
        <v/>
      </c>
      <c r="B14255" s="87"/>
      <c r="C14255" s="87"/>
      <c r="D14255" s="87"/>
      <c r="E14255" s="87"/>
      <c r="F14255" s="87"/>
      <c r="G14255" s="87"/>
    </row>
    <row r="14256">
      <c r="A14256" s="86" t="str">
        <f>IFERROR(__xludf.DUMMYFUNCTION("""COMPUTED_VALUE"""),"")</f>
        <v/>
      </c>
      <c r="B14256" s="87"/>
      <c r="C14256" s="87"/>
      <c r="D14256" s="87"/>
      <c r="E14256" s="87"/>
      <c r="F14256" s="87"/>
      <c r="G14256" s="87"/>
    </row>
    <row r="14257">
      <c r="A14257" s="86" t="str">
        <f>IFERROR(__xludf.DUMMYFUNCTION("""COMPUTED_VALUE"""),"")</f>
        <v/>
      </c>
      <c r="B14257" s="87"/>
      <c r="C14257" s="87"/>
      <c r="D14257" s="87"/>
      <c r="E14257" s="87"/>
      <c r="F14257" s="87"/>
      <c r="G14257" s="87"/>
    </row>
    <row r="14258">
      <c r="A14258" s="86" t="str">
        <f>IFERROR(__xludf.DUMMYFUNCTION("""COMPUTED_VALUE"""),"")</f>
        <v/>
      </c>
      <c r="B14258" s="87"/>
      <c r="C14258" s="87"/>
      <c r="D14258" s="87"/>
      <c r="E14258" s="87"/>
      <c r="F14258" s="87"/>
      <c r="G14258" s="87"/>
    </row>
    <row r="14259">
      <c r="A14259" s="86" t="str">
        <f>IFERROR(__xludf.DUMMYFUNCTION("""COMPUTED_VALUE"""),"")</f>
        <v/>
      </c>
      <c r="B14259" s="87"/>
      <c r="C14259" s="87"/>
      <c r="D14259" s="87"/>
      <c r="E14259" s="87"/>
      <c r="F14259" s="87"/>
      <c r="G14259" s="87"/>
    </row>
    <row r="14260">
      <c r="A14260" s="86" t="str">
        <f>IFERROR(__xludf.DUMMYFUNCTION("""COMPUTED_VALUE"""),"")</f>
        <v/>
      </c>
      <c r="B14260" s="87"/>
      <c r="C14260" s="87"/>
      <c r="D14260" s="87"/>
      <c r="E14260" s="87"/>
      <c r="F14260" s="87"/>
      <c r="G14260" s="87"/>
    </row>
    <row r="14261">
      <c r="A14261" s="86" t="str">
        <f>IFERROR(__xludf.DUMMYFUNCTION("""COMPUTED_VALUE"""),"")</f>
        <v/>
      </c>
      <c r="B14261" s="87"/>
      <c r="C14261" s="87"/>
      <c r="D14261" s="87"/>
      <c r="E14261" s="87"/>
      <c r="F14261" s="87"/>
      <c r="G14261" s="87"/>
    </row>
    <row r="14262">
      <c r="A14262" s="86" t="str">
        <f>IFERROR(__xludf.DUMMYFUNCTION("""COMPUTED_VALUE"""),"")</f>
        <v/>
      </c>
      <c r="B14262" s="87"/>
      <c r="C14262" s="87"/>
      <c r="D14262" s="87"/>
      <c r="E14262" s="87"/>
      <c r="F14262" s="87"/>
      <c r="G14262" s="87"/>
    </row>
    <row r="14263">
      <c r="A14263" s="86" t="str">
        <f>IFERROR(__xludf.DUMMYFUNCTION("""COMPUTED_VALUE"""),"")</f>
        <v/>
      </c>
      <c r="B14263" s="87"/>
      <c r="C14263" s="87"/>
      <c r="D14263" s="87"/>
      <c r="E14263" s="87"/>
      <c r="F14263" s="87"/>
      <c r="G14263" s="87"/>
    </row>
    <row r="14264">
      <c r="A14264" s="86" t="str">
        <f>IFERROR(__xludf.DUMMYFUNCTION("""COMPUTED_VALUE"""),"")</f>
        <v/>
      </c>
      <c r="B14264" s="87"/>
      <c r="C14264" s="87"/>
      <c r="D14264" s="87"/>
      <c r="E14264" s="87"/>
      <c r="F14264" s="87"/>
      <c r="G14264" s="87"/>
    </row>
    <row r="14265">
      <c r="A14265" s="86" t="str">
        <f>IFERROR(__xludf.DUMMYFUNCTION("""COMPUTED_VALUE"""),"")</f>
        <v/>
      </c>
      <c r="B14265" s="87"/>
      <c r="C14265" s="87"/>
      <c r="D14265" s="87"/>
      <c r="E14265" s="87"/>
      <c r="F14265" s="87"/>
      <c r="G14265" s="87"/>
    </row>
    <row r="14266">
      <c r="A14266" s="86" t="str">
        <f>IFERROR(__xludf.DUMMYFUNCTION("""COMPUTED_VALUE"""),"")</f>
        <v/>
      </c>
      <c r="B14266" s="87"/>
      <c r="C14266" s="87"/>
      <c r="D14266" s="87"/>
      <c r="E14266" s="87"/>
      <c r="F14266" s="87"/>
      <c r="G14266" s="87"/>
    </row>
    <row r="14267">
      <c r="A14267" s="86" t="str">
        <f>IFERROR(__xludf.DUMMYFUNCTION("""COMPUTED_VALUE"""),"")</f>
        <v/>
      </c>
      <c r="B14267" s="87"/>
      <c r="C14267" s="87"/>
      <c r="D14267" s="87"/>
      <c r="E14267" s="87"/>
      <c r="F14267" s="87"/>
      <c r="G14267" s="87"/>
    </row>
    <row r="14268">
      <c r="A14268" s="86" t="str">
        <f>IFERROR(__xludf.DUMMYFUNCTION("""COMPUTED_VALUE"""),"")</f>
        <v/>
      </c>
      <c r="B14268" s="87"/>
      <c r="C14268" s="87"/>
      <c r="D14268" s="87"/>
      <c r="E14268" s="87"/>
      <c r="F14268" s="87"/>
      <c r="G14268" s="87"/>
    </row>
    <row r="14269">
      <c r="A14269" s="86" t="str">
        <f>IFERROR(__xludf.DUMMYFUNCTION("""COMPUTED_VALUE"""),"")</f>
        <v/>
      </c>
      <c r="B14269" s="87"/>
      <c r="C14269" s="87"/>
      <c r="D14269" s="87"/>
      <c r="E14269" s="87"/>
      <c r="F14269" s="87"/>
      <c r="G14269" s="87"/>
    </row>
    <row r="14270">
      <c r="A14270" s="86" t="str">
        <f>IFERROR(__xludf.DUMMYFUNCTION("""COMPUTED_VALUE"""),"")</f>
        <v/>
      </c>
      <c r="B14270" s="87"/>
      <c r="C14270" s="87"/>
      <c r="D14270" s="87"/>
      <c r="E14270" s="87"/>
      <c r="F14270" s="87"/>
      <c r="G14270" s="87"/>
    </row>
    <row r="14271">
      <c r="A14271" s="86" t="str">
        <f>IFERROR(__xludf.DUMMYFUNCTION("""COMPUTED_VALUE"""),"")</f>
        <v/>
      </c>
      <c r="B14271" s="87"/>
      <c r="C14271" s="87"/>
      <c r="D14271" s="87"/>
      <c r="E14271" s="87"/>
      <c r="F14271" s="87"/>
      <c r="G14271" s="87"/>
    </row>
    <row r="14272">
      <c r="A14272" s="86" t="str">
        <f>IFERROR(__xludf.DUMMYFUNCTION("""COMPUTED_VALUE"""),"")</f>
        <v/>
      </c>
      <c r="B14272" s="87"/>
      <c r="C14272" s="87"/>
      <c r="D14272" s="87"/>
      <c r="E14272" s="87"/>
      <c r="F14272" s="87"/>
      <c r="G14272" s="87"/>
    </row>
    <row r="14273">
      <c r="A14273" s="86" t="str">
        <f>IFERROR(__xludf.DUMMYFUNCTION("""COMPUTED_VALUE"""),"")</f>
        <v/>
      </c>
      <c r="B14273" s="87"/>
      <c r="C14273" s="87"/>
      <c r="D14273" s="87"/>
      <c r="E14273" s="87"/>
      <c r="F14273" s="87"/>
      <c r="G14273" s="87"/>
    </row>
    <row r="14274">
      <c r="A14274" s="86" t="str">
        <f>IFERROR(__xludf.DUMMYFUNCTION("""COMPUTED_VALUE"""),"")</f>
        <v/>
      </c>
      <c r="B14274" s="87"/>
      <c r="C14274" s="87"/>
      <c r="D14274" s="87"/>
      <c r="E14274" s="87"/>
      <c r="F14274" s="87"/>
      <c r="G14274" s="87"/>
    </row>
    <row r="14275">
      <c r="A14275" s="86" t="str">
        <f>IFERROR(__xludf.DUMMYFUNCTION("""COMPUTED_VALUE"""),"")</f>
        <v/>
      </c>
      <c r="B14275" s="87"/>
      <c r="C14275" s="87"/>
      <c r="D14275" s="87"/>
      <c r="E14275" s="87"/>
      <c r="F14275" s="87"/>
      <c r="G14275" s="87"/>
    </row>
    <row r="14276">
      <c r="A14276" s="86" t="str">
        <f>IFERROR(__xludf.DUMMYFUNCTION("""COMPUTED_VALUE"""),"")</f>
        <v/>
      </c>
      <c r="B14276" s="87"/>
      <c r="C14276" s="87"/>
      <c r="D14276" s="87"/>
      <c r="E14276" s="87"/>
      <c r="F14276" s="87"/>
      <c r="G14276" s="87"/>
    </row>
    <row r="14277">
      <c r="A14277" s="86" t="str">
        <f>IFERROR(__xludf.DUMMYFUNCTION("""COMPUTED_VALUE"""),"")</f>
        <v/>
      </c>
      <c r="B14277" s="87"/>
      <c r="C14277" s="87"/>
      <c r="D14277" s="87"/>
      <c r="E14277" s="87"/>
      <c r="F14277" s="87"/>
      <c r="G14277" s="87"/>
    </row>
    <row r="14278">
      <c r="A14278" s="86" t="str">
        <f>IFERROR(__xludf.DUMMYFUNCTION("""COMPUTED_VALUE"""),"")</f>
        <v/>
      </c>
      <c r="B14278" s="87"/>
      <c r="C14278" s="87"/>
      <c r="D14278" s="87"/>
      <c r="E14278" s="87"/>
      <c r="F14278" s="87"/>
      <c r="G14278" s="87"/>
    </row>
    <row r="14279">
      <c r="A14279" s="86" t="str">
        <f>IFERROR(__xludf.DUMMYFUNCTION("""COMPUTED_VALUE"""),"")</f>
        <v/>
      </c>
      <c r="B14279" s="87"/>
      <c r="C14279" s="87"/>
      <c r="D14279" s="87"/>
      <c r="E14279" s="87"/>
      <c r="F14279" s="87"/>
      <c r="G14279" s="87"/>
    </row>
    <row r="14280">
      <c r="A14280" s="86" t="str">
        <f>IFERROR(__xludf.DUMMYFUNCTION("""COMPUTED_VALUE"""),"")</f>
        <v/>
      </c>
      <c r="B14280" s="87"/>
      <c r="C14280" s="87"/>
      <c r="D14280" s="87"/>
      <c r="E14280" s="87"/>
      <c r="F14280" s="87"/>
      <c r="G14280" s="87"/>
    </row>
    <row r="14281">
      <c r="A14281" s="86" t="str">
        <f>IFERROR(__xludf.DUMMYFUNCTION("""COMPUTED_VALUE"""),"")</f>
        <v/>
      </c>
      <c r="B14281" s="87"/>
      <c r="C14281" s="87"/>
      <c r="D14281" s="87"/>
      <c r="E14281" s="87"/>
      <c r="F14281" s="87"/>
      <c r="G14281" s="87"/>
    </row>
    <row r="14282">
      <c r="A14282" s="86" t="str">
        <f>IFERROR(__xludf.DUMMYFUNCTION("""COMPUTED_VALUE"""),"")</f>
        <v/>
      </c>
      <c r="B14282" s="87"/>
      <c r="C14282" s="87"/>
      <c r="D14282" s="87"/>
      <c r="E14282" s="87"/>
      <c r="F14282" s="87"/>
      <c r="G14282" s="87"/>
    </row>
    <row r="14283">
      <c r="A14283" s="86" t="str">
        <f>IFERROR(__xludf.DUMMYFUNCTION("""COMPUTED_VALUE"""),"")</f>
        <v/>
      </c>
      <c r="B14283" s="87"/>
      <c r="C14283" s="87"/>
      <c r="D14283" s="87"/>
      <c r="E14283" s="87"/>
      <c r="F14283" s="87"/>
      <c r="G14283" s="87"/>
    </row>
    <row r="14284">
      <c r="A14284" s="86" t="str">
        <f>IFERROR(__xludf.DUMMYFUNCTION("""COMPUTED_VALUE"""),"")</f>
        <v/>
      </c>
      <c r="B14284" s="87"/>
      <c r="C14284" s="87"/>
      <c r="D14284" s="87"/>
      <c r="E14284" s="87"/>
      <c r="F14284" s="87"/>
      <c r="G14284" s="87"/>
    </row>
    <row r="14285">
      <c r="A14285" s="86" t="str">
        <f>IFERROR(__xludf.DUMMYFUNCTION("""COMPUTED_VALUE"""),"")</f>
        <v/>
      </c>
      <c r="B14285" s="87"/>
      <c r="C14285" s="87"/>
      <c r="D14285" s="87"/>
      <c r="E14285" s="87"/>
      <c r="F14285" s="87"/>
      <c r="G14285" s="87"/>
    </row>
    <row r="14286">
      <c r="A14286" s="86" t="str">
        <f>IFERROR(__xludf.DUMMYFUNCTION("""COMPUTED_VALUE"""),"")</f>
        <v/>
      </c>
      <c r="B14286" s="87"/>
      <c r="C14286" s="87"/>
      <c r="D14286" s="87"/>
      <c r="E14286" s="87"/>
      <c r="F14286" s="87"/>
      <c r="G14286" s="87"/>
    </row>
    <row r="14287">
      <c r="A14287" s="86" t="str">
        <f>IFERROR(__xludf.DUMMYFUNCTION("""COMPUTED_VALUE"""),"")</f>
        <v/>
      </c>
      <c r="B14287" s="87"/>
      <c r="C14287" s="87"/>
      <c r="D14287" s="87"/>
      <c r="E14287" s="87"/>
      <c r="F14287" s="87"/>
      <c r="G14287" s="87"/>
    </row>
    <row r="14288">
      <c r="A14288" s="86" t="str">
        <f>IFERROR(__xludf.DUMMYFUNCTION("""COMPUTED_VALUE"""),"")</f>
        <v/>
      </c>
      <c r="B14288" s="87"/>
      <c r="C14288" s="87"/>
      <c r="D14288" s="87"/>
      <c r="E14288" s="87"/>
      <c r="F14288" s="87"/>
      <c r="G14288" s="87"/>
    </row>
    <row r="14289">
      <c r="A14289" s="86" t="str">
        <f>IFERROR(__xludf.DUMMYFUNCTION("""COMPUTED_VALUE"""),"")</f>
        <v/>
      </c>
      <c r="B14289" s="87"/>
      <c r="C14289" s="87"/>
      <c r="D14289" s="87"/>
      <c r="E14289" s="87"/>
      <c r="F14289" s="87"/>
      <c r="G14289" s="87"/>
    </row>
    <row r="14290">
      <c r="A14290" s="86" t="str">
        <f>IFERROR(__xludf.DUMMYFUNCTION("""COMPUTED_VALUE"""),"")</f>
        <v/>
      </c>
      <c r="B14290" s="87"/>
      <c r="C14290" s="87"/>
      <c r="D14290" s="87"/>
      <c r="E14290" s="87"/>
      <c r="F14290" s="87"/>
      <c r="G14290" s="87"/>
    </row>
    <row r="14291">
      <c r="A14291" s="86" t="str">
        <f>IFERROR(__xludf.DUMMYFUNCTION("""COMPUTED_VALUE"""),"")</f>
        <v/>
      </c>
      <c r="B14291" s="87"/>
      <c r="C14291" s="87"/>
      <c r="D14291" s="87"/>
      <c r="E14291" s="87"/>
      <c r="F14291" s="87"/>
      <c r="G14291" s="87"/>
    </row>
    <row r="14292">
      <c r="A14292" s="86" t="str">
        <f>IFERROR(__xludf.DUMMYFUNCTION("""COMPUTED_VALUE"""),"")</f>
        <v/>
      </c>
      <c r="B14292" s="87"/>
      <c r="C14292" s="87"/>
      <c r="D14292" s="87"/>
      <c r="E14292" s="87"/>
      <c r="F14292" s="87"/>
      <c r="G14292" s="87"/>
    </row>
    <row r="14293">
      <c r="A14293" s="86" t="str">
        <f>IFERROR(__xludf.DUMMYFUNCTION("""COMPUTED_VALUE"""),"")</f>
        <v/>
      </c>
      <c r="B14293" s="87"/>
      <c r="C14293" s="87"/>
      <c r="D14293" s="87"/>
      <c r="E14293" s="87"/>
      <c r="F14293" s="87"/>
      <c r="G14293" s="87"/>
    </row>
    <row r="14294">
      <c r="A14294" s="86" t="str">
        <f>IFERROR(__xludf.DUMMYFUNCTION("""COMPUTED_VALUE"""),"")</f>
        <v/>
      </c>
      <c r="B14294" s="87"/>
      <c r="C14294" s="87"/>
      <c r="D14294" s="87"/>
      <c r="E14294" s="87"/>
      <c r="F14294" s="87"/>
      <c r="G14294" s="87"/>
    </row>
    <row r="14295">
      <c r="A14295" s="86" t="str">
        <f>IFERROR(__xludf.DUMMYFUNCTION("""COMPUTED_VALUE"""),"")</f>
        <v/>
      </c>
      <c r="B14295" s="87"/>
      <c r="C14295" s="87"/>
      <c r="D14295" s="87"/>
      <c r="E14295" s="87"/>
      <c r="F14295" s="87"/>
      <c r="G14295" s="87"/>
    </row>
    <row r="14296">
      <c r="A14296" s="86" t="str">
        <f>IFERROR(__xludf.DUMMYFUNCTION("""COMPUTED_VALUE"""),"")</f>
        <v/>
      </c>
      <c r="B14296" s="87"/>
      <c r="C14296" s="87"/>
      <c r="D14296" s="87"/>
      <c r="E14296" s="87"/>
      <c r="F14296" s="87"/>
      <c r="G14296" s="87"/>
    </row>
    <row r="14297">
      <c r="A14297" s="86" t="str">
        <f>IFERROR(__xludf.DUMMYFUNCTION("""COMPUTED_VALUE"""),"")</f>
        <v/>
      </c>
      <c r="B14297" s="87"/>
      <c r="C14297" s="87"/>
      <c r="D14297" s="87"/>
      <c r="E14297" s="87"/>
      <c r="F14297" s="87"/>
      <c r="G14297" s="87"/>
    </row>
    <row r="14298">
      <c r="A14298" s="86" t="str">
        <f>IFERROR(__xludf.DUMMYFUNCTION("""COMPUTED_VALUE"""),"")</f>
        <v/>
      </c>
      <c r="B14298" s="87"/>
      <c r="C14298" s="87"/>
      <c r="D14298" s="87"/>
      <c r="E14298" s="87"/>
      <c r="F14298" s="87"/>
      <c r="G14298" s="87"/>
    </row>
    <row r="14299">
      <c r="A14299" s="86" t="str">
        <f>IFERROR(__xludf.DUMMYFUNCTION("""COMPUTED_VALUE"""),"")</f>
        <v/>
      </c>
      <c r="B14299" s="87"/>
      <c r="C14299" s="87"/>
      <c r="D14299" s="87"/>
      <c r="E14299" s="87"/>
      <c r="F14299" s="87"/>
      <c r="G14299" s="87"/>
    </row>
    <row r="14300">
      <c r="A14300" s="86" t="str">
        <f>IFERROR(__xludf.DUMMYFUNCTION("""COMPUTED_VALUE"""),"")</f>
        <v/>
      </c>
      <c r="B14300" s="87"/>
      <c r="C14300" s="87"/>
      <c r="D14300" s="87"/>
      <c r="E14300" s="87"/>
      <c r="F14300" s="87"/>
      <c r="G14300" s="87"/>
    </row>
    <row r="14301">
      <c r="A14301" s="86" t="str">
        <f>IFERROR(__xludf.DUMMYFUNCTION("""COMPUTED_VALUE"""),"")</f>
        <v/>
      </c>
      <c r="B14301" s="87"/>
      <c r="C14301" s="87"/>
      <c r="D14301" s="87"/>
      <c r="E14301" s="87"/>
      <c r="F14301" s="87"/>
      <c r="G14301" s="87"/>
    </row>
    <row r="14302">
      <c r="A14302" s="86" t="str">
        <f>IFERROR(__xludf.DUMMYFUNCTION("""COMPUTED_VALUE"""),"")</f>
        <v/>
      </c>
      <c r="B14302" s="87"/>
      <c r="C14302" s="87"/>
      <c r="D14302" s="87"/>
      <c r="E14302" s="87"/>
      <c r="F14302" s="87"/>
      <c r="G14302" s="87"/>
    </row>
    <row r="14303">
      <c r="A14303" s="86" t="str">
        <f>IFERROR(__xludf.DUMMYFUNCTION("""COMPUTED_VALUE"""),"")</f>
        <v/>
      </c>
      <c r="B14303" s="87"/>
      <c r="C14303" s="87"/>
      <c r="D14303" s="87"/>
      <c r="E14303" s="87"/>
      <c r="F14303" s="87"/>
      <c r="G14303" s="87"/>
    </row>
    <row r="14304">
      <c r="A14304" s="86" t="str">
        <f>IFERROR(__xludf.DUMMYFUNCTION("""COMPUTED_VALUE"""),"")</f>
        <v/>
      </c>
      <c r="B14304" s="87"/>
      <c r="C14304" s="87"/>
      <c r="D14304" s="87"/>
      <c r="E14304" s="87"/>
      <c r="F14304" s="87"/>
      <c r="G14304" s="87"/>
    </row>
    <row r="14305">
      <c r="A14305" s="86" t="str">
        <f>IFERROR(__xludf.DUMMYFUNCTION("""COMPUTED_VALUE"""),"")</f>
        <v/>
      </c>
      <c r="B14305" s="87"/>
      <c r="C14305" s="87"/>
      <c r="D14305" s="87"/>
      <c r="E14305" s="87"/>
      <c r="F14305" s="87"/>
      <c r="G14305" s="87"/>
    </row>
    <row r="14306">
      <c r="A14306" s="86" t="str">
        <f>IFERROR(__xludf.DUMMYFUNCTION("""COMPUTED_VALUE"""),"")</f>
        <v/>
      </c>
      <c r="B14306" s="87"/>
      <c r="C14306" s="87"/>
      <c r="D14306" s="87"/>
      <c r="E14306" s="87"/>
      <c r="F14306" s="87"/>
      <c r="G14306" s="87"/>
    </row>
    <row r="14307">
      <c r="A14307" s="86" t="str">
        <f>IFERROR(__xludf.DUMMYFUNCTION("""COMPUTED_VALUE"""),"")</f>
        <v/>
      </c>
      <c r="B14307" s="87"/>
      <c r="C14307" s="87"/>
      <c r="D14307" s="87"/>
      <c r="E14307" s="87"/>
      <c r="F14307" s="87"/>
      <c r="G14307" s="87"/>
    </row>
    <row r="14308">
      <c r="A14308" s="86" t="str">
        <f>IFERROR(__xludf.DUMMYFUNCTION("""COMPUTED_VALUE"""),"")</f>
        <v/>
      </c>
      <c r="B14308" s="87"/>
      <c r="C14308" s="87"/>
      <c r="D14308" s="87"/>
      <c r="E14308" s="87"/>
      <c r="F14308" s="87"/>
      <c r="G14308" s="87"/>
    </row>
    <row r="14309">
      <c r="A14309" s="86" t="str">
        <f>IFERROR(__xludf.DUMMYFUNCTION("""COMPUTED_VALUE"""),"")</f>
        <v/>
      </c>
      <c r="B14309" s="87"/>
      <c r="C14309" s="87"/>
      <c r="D14309" s="87"/>
      <c r="E14309" s="87"/>
      <c r="F14309" s="87"/>
      <c r="G14309" s="87"/>
    </row>
    <row r="14310">
      <c r="A14310" s="86" t="str">
        <f>IFERROR(__xludf.DUMMYFUNCTION("""COMPUTED_VALUE"""),"")</f>
        <v/>
      </c>
      <c r="B14310" s="87"/>
      <c r="C14310" s="87"/>
      <c r="D14310" s="87"/>
      <c r="E14310" s="87"/>
      <c r="F14310" s="87"/>
      <c r="G14310" s="87"/>
    </row>
    <row r="14311">
      <c r="A14311" s="86" t="str">
        <f>IFERROR(__xludf.DUMMYFUNCTION("""COMPUTED_VALUE"""),"")</f>
        <v/>
      </c>
      <c r="B14311" s="87"/>
      <c r="C14311" s="87"/>
      <c r="D14311" s="87"/>
      <c r="E14311" s="87"/>
      <c r="F14311" s="87"/>
      <c r="G14311" s="87"/>
    </row>
    <row r="14312">
      <c r="A14312" s="86" t="str">
        <f>IFERROR(__xludf.DUMMYFUNCTION("""COMPUTED_VALUE"""),"")</f>
        <v/>
      </c>
      <c r="B14312" s="87"/>
      <c r="C14312" s="87"/>
      <c r="D14312" s="87"/>
      <c r="E14312" s="87"/>
      <c r="F14312" s="87"/>
      <c r="G14312" s="87"/>
    </row>
    <row r="14313">
      <c r="A14313" s="86" t="str">
        <f>IFERROR(__xludf.DUMMYFUNCTION("""COMPUTED_VALUE"""),"")</f>
        <v/>
      </c>
      <c r="B14313" s="87"/>
      <c r="C14313" s="87"/>
      <c r="D14313" s="87"/>
      <c r="E14313" s="87"/>
      <c r="F14313" s="87"/>
      <c r="G14313" s="87"/>
    </row>
    <row r="14314">
      <c r="A14314" s="86" t="str">
        <f>IFERROR(__xludf.DUMMYFUNCTION("""COMPUTED_VALUE"""),"")</f>
        <v/>
      </c>
      <c r="B14314" s="87"/>
      <c r="C14314" s="87"/>
      <c r="D14314" s="87"/>
      <c r="E14314" s="87"/>
      <c r="F14314" s="87"/>
      <c r="G14314" s="87"/>
    </row>
    <row r="14315">
      <c r="A14315" s="86" t="str">
        <f>IFERROR(__xludf.DUMMYFUNCTION("""COMPUTED_VALUE"""),"")</f>
        <v/>
      </c>
      <c r="B14315" s="87"/>
      <c r="C14315" s="87"/>
      <c r="D14315" s="87"/>
      <c r="E14315" s="87"/>
      <c r="F14315" s="87"/>
      <c r="G14315" s="87"/>
    </row>
    <row r="14316">
      <c r="A14316" s="86" t="str">
        <f>IFERROR(__xludf.DUMMYFUNCTION("""COMPUTED_VALUE"""),"")</f>
        <v/>
      </c>
      <c r="B14316" s="87"/>
      <c r="C14316" s="87"/>
      <c r="D14316" s="87"/>
      <c r="E14316" s="87"/>
      <c r="F14316" s="87"/>
      <c r="G14316" s="87"/>
    </row>
    <row r="14317">
      <c r="A14317" s="86" t="str">
        <f>IFERROR(__xludf.DUMMYFUNCTION("""COMPUTED_VALUE"""),"")</f>
        <v/>
      </c>
      <c r="B14317" s="87"/>
      <c r="C14317" s="87"/>
      <c r="D14317" s="87"/>
      <c r="E14317" s="87"/>
      <c r="F14317" s="87"/>
      <c r="G14317" s="87"/>
    </row>
    <row r="14318">
      <c r="A14318" s="86" t="str">
        <f>IFERROR(__xludf.DUMMYFUNCTION("""COMPUTED_VALUE"""),"")</f>
        <v/>
      </c>
      <c r="B14318" s="87"/>
      <c r="C14318" s="87"/>
      <c r="D14318" s="87"/>
      <c r="E14318" s="87"/>
      <c r="F14318" s="87"/>
      <c r="G14318" s="87"/>
    </row>
    <row r="14319">
      <c r="A14319" s="86" t="str">
        <f>IFERROR(__xludf.DUMMYFUNCTION("""COMPUTED_VALUE"""),"")</f>
        <v/>
      </c>
      <c r="B14319" s="87"/>
      <c r="C14319" s="87"/>
      <c r="D14319" s="87"/>
      <c r="E14319" s="87"/>
      <c r="F14319" s="87"/>
      <c r="G14319" s="87"/>
    </row>
    <row r="14320">
      <c r="A14320" s="86" t="str">
        <f>IFERROR(__xludf.DUMMYFUNCTION("""COMPUTED_VALUE"""),"")</f>
        <v/>
      </c>
      <c r="B14320" s="87"/>
      <c r="C14320" s="87"/>
      <c r="D14320" s="87"/>
      <c r="E14320" s="87"/>
      <c r="F14320" s="87"/>
      <c r="G14320" s="87"/>
    </row>
    <row r="14321">
      <c r="A14321" s="86" t="str">
        <f>IFERROR(__xludf.DUMMYFUNCTION("""COMPUTED_VALUE"""),"")</f>
        <v/>
      </c>
      <c r="B14321" s="87"/>
      <c r="C14321" s="87"/>
      <c r="D14321" s="87"/>
      <c r="E14321" s="87"/>
      <c r="F14321" s="87"/>
      <c r="G14321" s="87"/>
    </row>
    <row r="14322">
      <c r="A14322" s="86" t="str">
        <f>IFERROR(__xludf.DUMMYFUNCTION("""COMPUTED_VALUE"""),"")</f>
        <v/>
      </c>
      <c r="B14322" s="87"/>
      <c r="C14322" s="87"/>
      <c r="D14322" s="87"/>
      <c r="E14322" s="87"/>
      <c r="F14322" s="87"/>
      <c r="G14322" s="87"/>
    </row>
    <row r="14323">
      <c r="A14323" s="86" t="str">
        <f>IFERROR(__xludf.DUMMYFUNCTION("""COMPUTED_VALUE"""),"")</f>
        <v/>
      </c>
      <c r="B14323" s="87"/>
      <c r="C14323" s="87"/>
      <c r="D14323" s="87"/>
      <c r="E14323" s="87"/>
      <c r="F14323" s="87"/>
      <c r="G14323" s="87"/>
    </row>
    <row r="14324">
      <c r="A14324" s="86" t="str">
        <f>IFERROR(__xludf.DUMMYFUNCTION("""COMPUTED_VALUE"""),"")</f>
        <v/>
      </c>
      <c r="B14324" s="87"/>
      <c r="C14324" s="87"/>
      <c r="D14324" s="87"/>
      <c r="E14324" s="87"/>
      <c r="F14324" s="87"/>
      <c r="G14324" s="87"/>
    </row>
    <row r="14325">
      <c r="A14325" s="86" t="str">
        <f>IFERROR(__xludf.DUMMYFUNCTION("""COMPUTED_VALUE"""),"")</f>
        <v/>
      </c>
      <c r="B14325" s="87"/>
      <c r="C14325" s="87"/>
      <c r="D14325" s="87"/>
      <c r="E14325" s="87"/>
      <c r="F14325" s="87"/>
      <c r="G14325" s="87"/>
    </row>
    <row r="14326">
      <c r="A14326" s="86" t="str">
        <f>IFERROR(__xludf.DUMMYFUNCTION("""COMPUTED_VALUE"""),"")</f>
        <v/>
      </c>
      <c r="B14326" s="87"/>
      <c r="C14326" s="87"/>
      <c r="D14326" s="87"/>
      <c r="E14326" s="87"/>
      <c r="F14326" s="87"/>
      <c r="G14326" s="87"/>
    </row>
    <row r="14327">
      <c r="A14327" s="86" t="str">
        <f>IFERROR(__xludf.DUMMYFUNCTION("""COMPUTED_VALUE"""),"")</f>
        <v/>
      </c>
      <c r="B14327" s="87"/>
      <c r="C14327" s="87"/>
      <c r="D14327" s="87"/>
      <c r="E14327" s="87"/>
      <c r="F14327" s="87"/>
      <c r="G14327" s="87"/>
    </row>
    <row r="14328">
      <c r="A14328" s="86" t="str">
        <f>IFERROR(__xludf.DUMMYFUNCTION("""COMPUTED_VALUE"""),"")</f>
        <v/>
      </c>
      <c r="B14328" s="87"/>
      <c r="C14328" s="87"/>
      <c r="D14328" s="87"/>
      <c r="E14328" s="87"/>
      <c r="F14328" s="87"/>
      <c r="G14328" s="87"/>
    </row>
    <row r="14329">
      <c r="A14329" s="86" t="str">
        <f>IFERROR(__xludf.DUMMYFUNCTION("""COMPUTED_VALUE"""),"")</f>
        <v/>
      </c>
      <c r="B14329" s="87"/>
      <c r="C14329" s="87"/>
      <c r="D14329" s="87"/>
      <c r="E14329" s="87"/>
      <c r="F14329" s="87"/>
      <c r="G14329" s="87"/>
    </row>
    <row r="14330">
      <c r="A14330" s="86" t="str">
        <f>IFERROR(__xludf.DUMMYFUNCTION("""COMPUTED_VALUE"""),"")</f>
        <v/>
      </c>
      <c r="B14330" s="87"/>
      <c r="C14330" s="87"/>
      <c r="D14330" s="87"/>
      <c r="E14330" s="87"/>
      <c r="F14330" s="87"/>
      <c r="G14330" s="87"/>
    </row>
    <row r="14331">
      <c r="A14331" s="86" t="str">
        <f>IFERROR(__xludf.DUMMYFUNCTION("""COMPUTED_VALUE"""),"")</f>
        <v/>
      </c>
      <c r="B14331" s="87"/>
      <c r="C14331" s="87"/>
      <c r="D14331" s="87"/>
      <c r="E14331" s="87"/>
      <c r="F14331" s="87"/>
      <c r="G14331" s="87"/>
    </row>
    <row r="14332">
      <c r="A14332" s="86" t="str">
        <f>IFERROR(__xludf.DUMMYFUNCTION("""COMPUTED_VALUE"""),"")</f>
        <v/>
      </c>
      <c r="B14332" s="87"/>
      <c r="C14332" s="87"/>
      <c r="D14332" s="87"/>
      <c r="E14332" s="87"/>
      <c r="F14332" s="87"/>
      <c r="G14332" s="87"/>
    </row>
    <row r="14333">
      <c r="A14333" s="86" t="str">
        <f>IFERROR(__xludf.DUMMYFUNCTION("""COMPUTED_VALUE"""),"")</f>
        <v/>
      </c>
      <c r="B14333" s="87"/>
      <c r="C14333" s="87"/>
      <c r="D14333" s="87"/>
      <c r="E14333" s="87"/>
      <c r="F14333" s="87"/>
      <c r="G14333" s="87"/>
    </row>
    <row r="14334">
      <c r="A14334" s="86" t="str">
        <f>IFERROR(__xludf.DUMMYFUNCTION("""COMPUTED_VALUE"""),"")</f>
        <v/>
      </c>
      <c r="B14334" s="87"/>
      <c r="C14334" s="87"/>
      <c r="D14334" s="87"/>
      <c r="E14334" s="87"/>
      <c r="F14334" s="87"/>
      <c r="G14334" s="87"/>
    </row>
    <row r="14335">
      <c r="A14335" s="86" t="str">
        <f>IFERROR(__xludf.DUMMYFUNCTION("""COMPUTED_VALUE"""),"")</f>
        <v/>
      </c>
      <c r="B14335" s="87"/>
      <c r="C14335" s="87"/>
      <c r="D14335" s="87"/>
      <c r="E14335" s="87"/>
      <c r="F14335" s="87"/>
      <c r="G14335" s="87"/>
    </row>
    <row r="14336">
      <c r="A14336" s="86" t="str">
        <f>IFERROR(__xludf.DUMMYFUNCTION("""COMPUTED_VALUE"""),"")</f>
        <v/>
      </c>
      <c r="B14336" s="87"/>
      <c r="C14336" s="87"/>
      <c r="D14336" s="87"/>
      <c r="E14336" s="87"/>
      <c r="F14336" s="87"/>
      <c r="G14336" s="87"/>
    </row>
    <row r="14337">
      <c r="A14337" s="86" t="str">
        <f>IFERROR(__xludf.DUMMYFUNCTION("""COMPUTED_VALUE"""),"")</f>
        <v/>
      </c>
      <c r="B14337" s="87"/>
      <c r="C14337" s="87"/>
      <c r="D14337" s="87"/>
      <c r="E14337" s="87"/>
      <c r="F14337" s="87"/>
      <c r="G14337" s="87"/>
    </row>
    <row r="14338">
      <c r="A14338" s="86" t="str">
        <f>IFERROR(__xludf.DUMMYFUNCTION("""COMPUTED_VALUE"""),"")</f>
        <v/>
      </c>
      <c r="B14338" s="87"/>
      <c r="C14338" s="87"/>
      <c r="D14338" s="87"/>
      <c r="E14338" s="87"/>
      <c r="F14338" s="87"/>
      <c r="G14338" s="87"/>
    </row>
    <row r="14339">
      <c r="A14339" s="86" t="str">
        <f>IFERROR(__xludf.DUMMYFUNCTION("""COMPUTED_VALUE"""),"")</f>
        <v/>
      </c>
      <c r="B14339" s="87"/>
      <c r="C14339" s="87"/>
      <c r="D14339" s="87"/>
      <c r="E14339" s="87"/>
      <c r="F14339" s="87"/>
      <c r="G14339" s="87"/>
    </row>
    <row r="14340">
      <c r="A14340" s="86" t="str">
        <f>IFERROR(__xludf.DUMMYFUNCTION("""COMPUTED_VALUE"""),"")</f>
        <v/>
      </c>
      <c r="B14340" s="87"/>
      <c r="C14340" s="87"/>
      <c r="D14340" s="87"/>
      <c r="E14340" s="87"/>
      <c r="F14340" s="87"/>
      <c r="G14340" s="87"/>
    </row>
    <row r="14341">
      <c r="A14341" s="86" t="str">
        <f>IFERROR(__xludf.DUMMYFUNCTION("""COMPUTED_VALUE"""),"")</f>
        <v/>
      </c>
      <c r="B14341" s="87"/>
      <c r="C14341" s="87"/>
      <c r="D14341" s="87"/>
      <c r="E14341" s="87"/>
      <c r="F14341" s="87"/>
      <c r="G14341" s="87"/>
    </row>
    <row r="14342">
      <c r="A14342" s="86" t="str">
        <f>IFERROR(__xludf.DUMMYFUNCTION("""COMPUTED_VALUE"""),"")</f>
        <v/>
      </c>
      <c r="B14342" s="87"/>
      <c r="C14342" s="87"/>
      <c r="D14342" s="87"/>
      <c r="E14342" s="87"/>
      <c r="F14342" s="87"/>
      <c r="G14342" s="87"/>
    </row>
    <row r="14343">
      <c r="A14343" s="86" t="str">
        <f>IFERROR(__xludf.DUMMYFUNCTION("""COMPUTED_VALUE"""),"")</f>
        <v/>
      </c>
      <c r="B14343" s="87"/>
      <c r="C14343" s="87"/>
      <c r="D14343" s="87"/>
      <c r="E14343" s="87"/>
      <c r="F14343" s="87"/>
      <c r="G14343" s="87"/>
    </row>
    <row r="14344">
      <c r="A14344" s="86" t="str">
        <f>IFERROR(__xludf.DUMMYFUNCTION("""COMPUTED_VALUE"""),"")</f>
        <v/>
      </c>
      <c r="B14344" s="87"/>
      <c r="C14344" s="87"/>
      <c r="D14344" s="87"/>
      <c r="E14344" s="87"/>
      <c r="F14344" s="87"/>
      <c r="G14344" s="87"/>
    </row>
    <row r="14345">
      <c r="A14345" s="86" t="str">
        <f>IFERROR(__xludf.DUMMYFUNCTION("""COMPUTED_VALUE"""),"")</f>
        <v/>
      </c>
      <c r="B14345" s="87"/>
      <c r="C14345" s="87"/>
      <c r="D14345" s="87"/>
      <c r="E14345" s="87"/>
      <c r="F14345" s="87"/>
      <c r="G14345" s="87"/>
    </row>
    <row r="14346">
      <c r="A14346" s="86" t="str">
        <f>IFERROR(__xludf.DUMMYFUNCTION("""COMPUTED_VALUE"""),"")</f>
        <v/>
      </c>
      <c r="B14346" s="87"/>
      <c r="C14346" s="87"/>
      <c r="D14346" s="87"/>
      <c r="E14346" s="87"/>
      <c r="F14346" s="87"/>
      <c r="G14346" s="87"/>
    </row>
    <row r="14347">
      <c r="A14347" s="86" t="str">
        <f>IFERROR(__xludf.DUMMYFUNCTION("""COMPUTED_VALUE"""),"")</f>
        <v/>
      </c>
      <c r="B14347" s="87"/>
      <c r="C14347" s="87"/>
      <c r="D14347" s="87"/>
      <c r="E14347" s="87"/>
      <c r="F14347" s="87"/>
      <c r="G14347" s="87"/>
    </row>
    <row r="14348">
      <c r="A14348" s="86" t="str">
        <f>IFERROR(__xludf.DUMMYFUNCTION("""COMPUTED_VALUE"""),"")</f>
        <v/>
      </c>
      <c r="B14348" s="87"/>
      <c r="C14348" s="87"/>
      <c r="D14348" s="87"/>
      <c r="E14348" s="87"/>
      <c r="F14348" s="87"/>
      <c r="G14348" s="87"/>
    </row>
    <row r="14349">
      <c r="A14349" s="86" t="str">
        <f>IFERROR(__xludf.DUMMYFUNCTION("""COMPUTED_VALUE"""),"")</f>
        <v/>
      </c>
      <c r="B14349" s="87"/>
      <c r="C14349" s="87"/>
      <c r="D14349" s="87"/>
      <c r="E14349" s="87"/>
      <c r="F14349" s="87"/>
      <c r="G14349" s="87"/>
    </row>
    <row r="14350">
      <c r="A14350" s="86" t="str">
        <f>IFERROR(__xludf.DUMMYFUNCTION("""COMPUTED_VALUE"""),"")</f>
        <v/>
      </c>
      <c r="B14350" s="87"/>
      <c r="C14350" s="87"/>
      <c r="D14350" s="87"/>
      <c r="E14350" s="87"/>
      <c r="F14350" s="87"/>
      <c r="G14350" s="87"/>
    </row>
    <row r="14351">
      <c r="A14351" s="86" t="str">
        <f>IFERROR(__xludf.DUMMYFUNCTION("""COMPUTED_VALUE"""),"")</f>
        <v/>
      </c>
      <c r="B14351" s="87"/>
      <c r="C14351" s="87"/>
      <c r="D14351" s="87"/>
      <c r="E14351" s="87"/>
      <c r="F14351" s="87"/>
      <c r="G14351" s="87"/>
    </row>
    <row r="14352">
      <c r="A14352" s="86" t="str">
        <f>IFERROR(__xludf.DUMMYFUNCTION("""COMPUTED_VALUE"""),"")</f>
        <v/>
      </c>
      <c r="B14352" s="87"/>
      <c r="C14352" s="87"/>
      <c r="D14352" s="87"/>
      <c r="E14352" s="87"/>
      <c r="F14352" s="87"/>
      <c r="G14352" s="87"/>
    </row>
    <row r="14353">
      <c r="A14353" s="86" t="str">
        <f>IFERROR(__xludf.DUMMYFUNCTION("""COMPUTED_VALUE"""),"")</f>
        <v/>
      </c>
      <c r="B14353" s="87"/>
      <c r="C14353" s="87"/>
      <c r="D14353" s="87"/>
      <c r="E14353" s="87"/>
      <c r="F14353" s="87"/>
      <c r="G14353" s="87"/>
    </row>
    <row r="14354">
      <c r="A14354" s="86" t="str">
        <f>IFERROR(__xludf.DUMMYFUNCTION("""COMPUTED_VALUE"""),"")</f>
        <v/>
      </c>
      <c r="B14354" s="87"/>
      <c r="C14354" s="87"/>
      <c r="D14354" s="87"/>
      <c r="E14354" s="87"/>
      <c r="F14354" s="87"/>
      <c r="G14354" s="87"/>
    </row>
    <row r="14355">
      <c r="A14355" s="86" t="str">
        <f>IFERROR(__xludf.DUMMYFUNCTION("""COMPUTED_VALUE"""),"")</f>
        <v/>
      </c>
      <c r="B14355" s="87"/>
      <c r="C14355" s="87"/>
      <c r="D14355" s="87"/>
      <c r="E14355" s="87"/>
      <c r="F14355" s="87"/>
      <c r="G14355" s="87"/>
    </row>
    <row r="14356">
      <c r="A14356" s="86" t="str">
        <f>IFERROR(__xludf.DUMMYFUNCTION("""COMPUTED_VALUE"""),"")</f>
        <v/>
      </c>
      <c r="B14356" s="87"/>
      <c r="C14356" s="87"/>
      <c r="D14356" s="87"/>
      <c r="E14356" s="87"/>
      <c r="F14356" s="87"/>
      <c r="G14356" s="87"/>
    </row>
    <row r="14357">
      <c r="A14357" s="86" t="str">
        <f>IFERROR(__xludf.DUMMYFUNCTION("""COMPUTED_VALUE"""),"")</f>
        <v/>
      </c>
      <c r="B14357" s="87"/>
      <c r="C14357" s="87"/>
      <c r="D14357" s="87"/>
      <c r="E14357" s="87"/>
      <c r="F14357" s="87"/>
      <c r="G14357" s="87"/>
    </row>
    <row r="14358">
      <c r="A14358" s="86" t="str">
        <f>IFERROR(__xludf.DUMMYFUNCTION("""COMPUTED_VALUE"""),"")</f>
        <v/>
      </c>
      <c r="B14358" s="87"/>
      <c r="C14358" s="87"/>
      <c r="D14358" s="87"/>
      <c r="E14358" s="87"/>
      <c r="F14358" s="87"/>
      <c r="G14358" s="87"/>
    </row>
    <row r="14359">
      <c r="A14359" s="86" t="str">
        <f>IFERROR(__xludf.DUMMYFUNCTION("""COMPUTED_VALUE"""),"")</f>
        <v/>
      </c>
      <c r="B14359" s="87"/>
      <c r="C14359" s="87"/>
      <c r="D14359" s="87"/>
      <c r="E14359" s="87"/>
      <c r="F14359" s="87"/>
      <c r="G14359" s="87"/>
    </row>
    <row r="14360">
      <c r="A14360" s="86" t="str">
        <f>IFERROR(__xludf.DUMMYFUNCTION("""COMPUTED_VALUE"""),"")</f>
        <v/>
      </c>
      <c r="B14360" s="87"/>
      <c r="C14360" s="87"/>
      <c r="D14360" s="87"/>
      <c r="E14360" s="87"/>
      <c r="F14360" s="87"/>
      <c r="G14360" s="87"/>
    </row>
    <row r="14361">
      <c r="A14361" s="86" t="str">
        <f>IFERROR(__xludf.DUMMYFUNCTION("""COMPUTED_VALUE"""),"")</f>
        <v/>
      </c>
      <c r="B14361" s="87"/>
      <c r="C14361" s="87"/>
      <c r="D14361" s="87"/>
      <c r="E14361" s="87"/>
      <c r="F14361" s="87"/>
      <c r="G14361" s="87"/>
    </row>
    <row r="14362">
      <c r="A14362" s="86" t="str">
        <f>IFERROR(__xludf.DUMMYFUNCTION("""COMPUTED_VALUE"""),"")</f>
        <v/>
      </c>
      <c r="B14362" s="87"/>
      <c r="C14362" s="87"/>
      <c r="D14362" s="87"/>
      <c r="E14362" s="87"/>
      <c r="F14362" s="87"/>
      <c r="G14362" s="87"/>
    </row>
    <row r="14363">
      <c r="A14363" s="86" t="str">
        <f>IFERROR(__xludf.DUMMYFUNCTION("""COMPUTED_VALUE"""),"")</f>
        <v/>
      </c>
      <c r="B14363" s="87"/>
      <c r="C14363" s="87"/>
      <c r="D14363" s="87"/>
      <c r="E14363" s="87"/>
      <c r="F14363" s="87"/>
      <c r="G14363" s="87"/>
    </row>
    <row r="14364">
      <c r="A14364" s="86" t="str">
        <f>IFERROR(__xludf.DUMMYFUNCTION("""COMPUTED_VALUE"""),"")</f>
        <v/>
      </c>
      <c r="B14364" s="87"/>
      <c r="C14364" s="87"/>
      <c r="D14364" s="87"/>
      <c r="E14364" s="87"/>
      <c r="F14364" s="87"/>
      <c r="G14364" s="87"/>
    </row>
    <row r="14365">
      <c r="A14365" s="86" t="str">
        <f>IFERROR(__xludf.DUMMYFUNCTION("""COMPUTED_VALUE"""),"")</f>
        <v/>
      </c>
      <c r="B14365" s="87"/>
      <c r="C14365" s="87"/>
      <c r="D14365" s="87"/>
      <c r="E14365" s="87"/>
      <c r="F14365" s="87"/>
      <c r="G14365" s="87"/>
    </row>
    <row r="14366">
      <c r="A14366" s="86" t="str">
        <f>IFERROR(__xludf.DUMMYFUNCTION("""COMPUTED_VALUE"""),"")</f>
        <v/>
      </c>
      <c r="B14366" s="87"/>
      <c r="C14366" s="87"/>
      <c r="D14366" s="87"/>
      <c r="E14366" s="87"/>
      <c r="F14366" s="87"/>
      <c r="G14366" s="87"/>
    </row>
    <row r="14367">
      <c r="A14367" s="86" t="str">
        <f>IFERROR(__xludf.DUMMYFUNCTION("""COMPUTED_VALUE"""),"")</f>
        <v/>
      </c>
      <c r="B14367" s="87"/>
      <c r="C14367" s="87"/>
      <c r="D14367" s="87"/>
      <c r="E14367" s="87"/>
      <c r="F14367" s="87"/>
      <c r="G14367" s="87"/>
    </row>
    <row r="14368">
      <c r="A14368" s="86" t="str">
        <f>IFERROR(__xludf.DUMMYFUNCTION("""COMPUTED_VALUE"""),"")</f>
        <v/>
      </c>
      <c r="B14368" s="87"/>
      <c r="C14368" s="87"/>
      <c r="D14368" s="87"/>
      <c r="E14368" s="87"/>
      <c r="F14368" s="87"/>
      <c r="G14368" s="87"/>
    </row>
    <row r="14369">
      <c r="A14369" s="86" t="str">
        <f>IFERROR(__xludf.DUMMYFUNCTION("""COMPUTED_VALUE"""),"")</f>
        <v/>
      </c>
      <c r="B14369" s="87"/>
      <c r="C14369" s="87"/>
      <c r="D14369" s="87"/>
      <c r="E14369" s="87"/>
      <c r="F14369" s="87"/>
      <c r="G14369" s="87"/>
    </row>
    <row r="14370">
      <c r="A14370" s="86" t="str">
        <f>IFERROR(__xludf.DUMMYFUNCTION("""COMPUTED_VALUE"""),"")</f>
        <v/>
      </c>
      <c r="B14370" s="87"/>
      <c r="C14370" s="87"/>
      <c r="D14370" s="87"/>
      <c r="E14370" s="87"/>
      <c r="F14370" s="87"/>
      <c r="G14370" s="87"/>
    </row>
    <row r="14371">
      <c r="A14371" s="86" t="str">
        <f>IFERROR(__xludf.DUMMYFUNCTION("""COMPUTED_VALUE"""),"")</f>
        <v/>
      </c>
      <c r="B14371" s="87"/>
      <c r="C14371" s="87"/>
      <c r="D14371" s="87"/>
      <c r="E14371" s="87"/>
      <c r="F14371" s="87"/>
      <c r="G14371" s="87"/>
    </row>
    <row r="14372">
      <c r="A14372" s="86" t="str">
        <f>IFERROR(__xludf.DUMMYFUNCTION("""COMPUTED_VALUE"""),"")</f>
        <v/>
      </c>
      <c r="B14372" s="87"/>
      <c r="C14372" s="87"/>
      <c r="D14372" s="87"/>
      <c r="E14372" s="87"/>
      <c r="F14372" s="87"/>
      <c r="G14372" s="87"/>
    </row>
    <row r="14373">
      <c r="A14373" s="86" t="str">
        <f>IFERROR(__xludf.DUMMYFUNCTION("""COMPUTED_VALUE"""),"")</f>
        <v/>
      </c>
      <c r="B14373" s="87"/>
      <c r="C14373" s="87"/>
      <c r="D14373" s="87"/>
      <c r="E14373" s="87"/>
      <c r="F14373" s="87"/>
      <c r="G14373" s="87"/>
    </row>
    <row r="14374">
      <c r="A14374" s="86" t="str">
        <f>IFERROR(__xludf.DUMMYFUNCTION("""COMPUTED_VALUE"""),"")</f>
        <v/>
      </c>
      <c r="B14374" s="87"/>
      <c r="C14374" s="87"/>
      <c r="D14374" s="87"/>
      <c r="E14374" s="87"/>
      <c r="F14374" s="87"/>
      <c r="G14374" s="87"/>
    </row>
    <row r="14375">
      <c r="A14375" s="86" t="str">
        <f>IFERROR(__xludf.DUMMYFUNCTION("""COMPUTED_VALUE"""),"")</f>
        <v/>
      </c>
      <c r="B14375" s="87"/>
      <c r="C14375" s="87"/>
      <c r="D14375" s="87"/>
      <c r="E14375" s="87"/>
      <c r="F14375" s="87"/>
      <c r="G14375" s="87"/>
    </row>
    <row r="14376">
      <c r="A14376" s="86" t="str">
        <f>IFERROR(__xludf.DUMMYFUNCTION("""COMPUTED_VALUE"""),"")</f>
        <v/>
      </c>
      <c r="B14376" s="87"/>
      <c r="C14376" s="87"/>
      <c r="D14376" s="87"/>
      <c r="E14376" s="87"/>
      <c r="F14376" s="87"/>
      <c r="G14376" s="87"/>
    </row>
    <row r="14377">
      <c r="A14377" s="86" t="str">
        <f>IFERROR(__xludf.DUMMYFUNCTION("""COMPUTED_VALUE"""),"")</f>
        <v/>
      </c>
      <c r="B14377" s="87"/>
      <c r="C14377" s="87"/>
      <c r="D14377" s="87"/>
      <c r="E14377" s="87"/>
      <c r="F14377" s="87"/>
      <c r="G14377" s="87"/>
    </row>
    <row r="14378">
      <c r="A14378" s="86" t="str">
        <f>IFERROR(__xludf.DUMMYFUNCTION("""COMPUTED_VALUE"""),"")</f>
        <v/>
      </c>
      <c r="B14378" s="87"/>
      <c r="C14378" s="87"/>
      <c r="D14378" s="87"/>
      <c r="E14378" s="87"/>
      <c r="F14378" s="87"/>
      <c r="G14378" s="87"/>
    </row>
    <row r="14379">
      <c r="A14379" s="86" t="str">
        <f>IFERROR(__xludf.DUMMYFUNCTION("""COMPUTED_VALUE"""),"")</f>
        <v/>
      </c>
      <c r="B14379" s="87"/>
      <c r="C14379" s="87"/>
      <c r="D14379" s="87"/>
      <c r="E14379" s="87"/>
      <c r="F14379" s="87"/>
      <c r="G14379" s="87"/>
    </row>
    <row r="14380">
      <c r="A14380" s="86" t="str">
        <f>IFERROR(__xludf.DUMMYFUNCTION("""COMPUTED_VALUE"""),"")</f>
        <v/>
      </c>
      <c r="B14380" s="87"/>
      <c r="C14380" s="87"/>
      <c r="D14380" s="87"/>
      <c r="E14380" s="87"/>
      <c r="F14380" s="87"/>
      <c r="G14380" s="87"/>
    </row>
    <row r="14381">
      <c r="A14381" s="86" t="str">
        <f>IFERROR(__xludf.DUMMYFUNCTION("""COMPUTED_VALUE"""),"")</f>
        <v/>
      </c>
      <c r="B14381" s="87"/>
      <c r="C14381" s="87"/>
      <c r="D14381" s="87"/>
      <c r="E14381" s="87"/>
      <c r="F14381" s="87"/>
      <c r="G14381" s="87"/>
    </row>
    <row r="14382">
      <c r="A14382" s="86" t="str">
        <f>IFERROR(__xludf.DUMMYFUNCTION("""COMPUTED_VALUE"""),"")</f>
        <v/>
      </c>
      <c r="B14382" s="87"/>
      <c r="C14382" s="87"/>
      <c r="D14382" s="87"/>
      <c r="E14382" s="87"/>
      <c r="F14382" s="87"/>
      <c r="G14382" s="87"/>
    </row>
    <row r="14383">
      <c r="A14383" s="86" t="str">
        <f>IFERROR(__xludf.DUMMYFUNCTION("""COMPUTED_VALUE"""),"")</f>
        <v/>
      </c>
      <c r="B14383" s="87"/>
      <c r="C14383" s="87"/>
      <c r="D14383" s="87"/>
      <c r="E14383" s="87"/>
      <c r="F14383" s="87"/>
      <c r="G14383" s="87"/>
    </row>
    <row r="14384">
      <c r="A14384" s="86" t="str">
        <f>IFERROR(__xludf.DUMMYFUNCTION("""COMPUTED_VALUE"""),"")</f>
        <v/>
      </c>
      <c r="B14384" s="87"/>
      <c r="C14384" s="87"/>
      <c r="D14384" s="87"/>
      <c r="E14384" s="87"/>
      <c r="F14384" s="87"/>
      <c r="G14384" s="87"/>
    </row>
    <row r="14385">
      <c r="A14385" s="86" t="str">
        <f>IFERROR(__xludf.DUMMYFUNCTION("""COMPUTED_VALUE"""),"")</f>
        <v/>
      </c>
      <c r="B14385" s="87"/>
      <c r="C14385" s="87"/>
      <c r="D14385" s="87"/>
      <c r="E14385" s="87"/>
      <c r="F14385" s="87"/>
      <c r="G14385" s="87"/>
    </row>
    <row r="14386">
      <c r="A14386" s="86" t="str">
        <f>IFERROR(__xludf.DUMMYFUNCTION("""COMPUTED_VALUE"""),"")</f>
        <v/>
      </c>
      <c r="B14386" s="87"/>
      <c r="C14386" s="87"/>
      <c r="D14386" s="87"/>
      <c r="E14386" s="87"/>
      <c r="F14386" s="87"/>
      <c r="G14386" s="87"/>
    </row>
    <row r="14387">
      <c r="A14387" s="86" t="str">
        <f>IFERROR(__xludf.DUMMYFUNCTION("""COMPUTED_VALUE"""),"")</f>
        <v/>
      </c>
      <c r="B14387" s="87"/>
      <c r="C14387" s="87"/>
      <c r="D14387" s="87"/>
      <c r="E14387" s="87"/>
      <c r="F14387" s="87"/>
      <c r="G14387" s="87"/>
    </row>
    <row r="14388">
      <c r="A14388" s="86" t="str">
        <f>IFERROR(__xludf.DUMMYFUNCTION("""COMPUTED_VALUE"""),"")</f>
        <v/>
      </c>
      <c r="B14388" s="87"/>
      <c r="C14388" s="87"/>
      <c r="D14388" s="87"/>
      <c r="E14388" s="87"/>
      <c r="F14388" s="87"/>
      <c r="G14388" s="87"/>
    </row>
    <row r="14389">
      <c r="A14389" s="86" t="str">
        <f>IFERROR(__xludf.DUMMYFUNCTION("""COMPUTED_VALUE"""),"")</f>
        <v/>
      </c>
      <c r="B14389" s="87"/>
      <c r="C14389" s="87"/>
      <c r="D14389" s="87"/>
      <c r="E14389" s="87"/>
      <c r="F14389" s="87"/>
      <c r="G14389" s="87"/>
    </row>
    <row r="14390">
      <c r="A14390" s="86" t="str">
        <f>IFERROR(__xludf.DUMMYFUNCTION("""COMPUTED_VALUE"""),"")</f>
        <v/>
      </c>
      <c r="B14390" s="87"/>
      <c r="C14390" s="87"/>
      <c r="D14390" s="87"/>
      <c r="E14390" s="87"/>
      <c r="F14390" s="87"/>
      <c r="G14390" s="87"/>
    </row>
    <row r="14391">
      <c r="A14391" s="86" t="str">
        <f>IFERROR(__xludf.DUMMYFUNCTION("""COMPUTED_VALUE"""),"")</f>
        <v/>
      </c>
      <c r="B14391" s="87"/>
      <c r="C14391" s="87"/>
      <c r="D14391" s="87"/>
      <c r="E14391" s="87"/>
      <c r="F14391" s="87"/>
      <c r="G14391" s="87"/>
    </row>
    <row r="14392">
      <c r="A14392" s="86" t="str">
        <f>IFERROR(__xludf.DUMMYFUNCTION("""COMPUTED_VALUE"""),"")</f>
        <v/>
      </c>
      <c r="B14392" s="87"/>
      <c r="C14392" s="87"/>
      <c r="D14392" s="87"/>
      <c r="E14392" s="87"/>
      <c r="F14392" s="87"/>
      <c r="G14392" s="87"/>
    </row>
    <row r="14393">
      <c r="A14393" s="86" t="str">
        <f>IFERROR(__xludf.DUMMYFUNCTION("""COMPUTED_VALUE"""),"")</f>
        <v/>
      </c>
      <c r="B14393" s="87"/>
      <c r="C14393" s="87"/>
      <c r="D14393" s="87"/>
      <c r="E14393" s="87"/>
      <c r="F14393" s="87"/>
      <c r="G14393" s="87"/>
    </row>
    <row r="14394">
      <c r="A14394" s="86" t="str">
        <f>IFERROR(__xludf.DUMMYFUNCTION("""COMPUTED_VALUE"""),"")</f>
        <v/>
      </c>
      <c r="B14394" s="87"/>
      <c r="C14394" s="87"/>
      <c r="D14394" s="87"/>
      <c r="E14394" s="87"/>
      <c r="F14394" s="87"/>
      <c r="G14394" s="87"/>
    </row>
    <row r="14395">
      <c r="A14395" s="86" t="str">
        <f>IFERROR(__xludf.DUMMYFUNCTION("""COMPUTED_VALUE"""),"")</f>
        <v/>
      </c>
      <c r="B14395" s="87"/>
      <c r="C14395" s="87"/>
      <c r="D14395" s="87"/>
      <c r="E14395" s="87"/>
      <c r="F14395" s="87"/>
      <c r="G14395" s="87"/>
    </row>
    <row r="14396">
      <c r="A14396" s="86" t="str">
        <f>IFERROR(__xludf.DUMMYFUNCTION("""COMPUTED_VALUE"""),"")</f>
        <v/>
      </c>
      <c r="B14396" s="87"/>
      <c r="C14396" s="87"/>
      <c r="D14396" s="87"/>
      <c r="E14396" s="87"/>
      <c r="F14396" s="87"/>
      <c r="G14396" s="87"/>
    </row>
    <row r="14397">
      <c r="A14397" s="86" t="str">
        <f>IFERROR(__xludf.DUMMYFUNCTION("""COMPUTED_VALUE"""),"")</f>
        <v/>
      </c>
      <c r="B14397" s="87"/>
      <c r="C14397" s="87"/>
      <c r="D14397" s="87"/>
      <c r="E14397" s="87"/>
      <c r="F14397" s="87"/>
      <c r="G14397" s="87"/>
    </row>
    <row r="14398">
      <c r="A14398" s="86" t="str">
        <f>IFERROR(__xludf.DUMMYFUNCTION("""COMPUTED_VALUE"""),"")</f>
        <v/>
      </c>
      <c r="B14398" s="87"/>
      <c r="C14398" s="87"/>
      <c r="D14398" s="87"/>
      <c r="E14398" s="87"/>
      <c r="F14398" s="87"/>
      <c r="G14398" s="87"/>
    </row>
    <row r="14399">
      <c r="A14399" s="86" t="str">
        <f>IFERROR(__xludf.DUMMYFUNCTION("""COMPUTED_VALUE"""),"")</f>
        <v/>
      </c>
      <c r="B14399" s="87"/>
      <c r="C14399" s="87"/>
      <c r="D14399" s="87"/>
      <c r="E14399" s="87"/>
      <c r="F14399" s="87"/>
      <c r="G14399" s="87"/>
    </row>
    <row r="14400">
      <c r="A14400" s="86" t="str">
        <f>IFERROR(__xludf.DUMMYFUNCTION("""COMPUTED_VALUE"""),"")</f>
        <v/>
      </c>
      <c r="B14400" s="87"/>
      <c r="C14400" s="87"/>
      <c r="D14400" s="87"/>
      <c r="E14400" s="87"/>
      <c r="F14400" s="87"/>
      <c r="G14400" s="87"/>
    </row>
    <row r="14401">
      <c r="A14401" s="86" t="str">
        <f>IFERROR(__xludf.DUMMYFUNCTION("""COMPUTED_VALUE"""),"")</f>
        <v/>
      </c>
      <c r="B14401" s="87"/>
      <c r="C14401" s="87"/>
      <c r="D14401" s="87"/>
      <c r="E14401" s="87"/>
      <c r="F14401" s="87"/>
      <c r="G14401" s="87"/>
    </row>
    <row r="14402">
      <c r="A14402" s="86" t="str">
        <f>IFERROR(__xludf.DUMMYFUNCTION("""COMPUTED_VALUE"""),"")</f>
        <v/>
      </c>
      <c r="B14402" s="87"/>
      <c r="C14402" s="87"/>
      <c r="D14402" s="87"/>
      <c r="E14402" s="87"/>
      <c r="F14402" s="87"/>
      <c r="G14402" s="87"/>
    </row>
    <row r="14403">
      <c r="A14403" s="86" t="str">
        <f>IFERROR(__xludf.DUMMYFUNCTION("""COMPUTED_VALUE"""),"")</f>
        <v/>
      </c>
      <c r="B14403" s="87"/>
      <c r="C14403" s="87"/>
      <c r="D14403" s="87"/>
      <c r="E14403" s="87"/>
      <c r="F14403" s="87"/>
      <c r="G14403" s="87"/>
    </row>
    <row r="14404">
      <c r="A14404" s="86" t="str">
        <f>IFERROR(__xludf.DUMMYFUNCTION("""COMPUTED_VALUE"""),"")</f>
        <v/>
      </c>
      <c r="B14404" s="87"/>
      <c r="C14404" s="87"/>
      <c r="D14404" s="87"/>
      <c r="E14404" s="87"/>
      <c r="F14404" s="87"/>
      <c r="G14404" s="87"/>
    </row>
    <row r="14405">
      <c r="A14405" s="86" t="str">
        <f>IFERROR(__xludf.DUMMYFUNCTION("""COMPUTED_VALUE"""),"")</f>
        <v/>
      </c>
      <c r="B14405" s="87"/>
      <c r="C14405" s="87"/>
      <c r="D14405" s="87"/>
      <c r="E14405" s="87"/>
      <c r="F14405" s="87"/>
      <c r="G14405" s="87"/>
    </row>
    <row r="14406">
      <c r="A14406" s="86" t="str">
        <f>IFERROR(__xludf.DUMMYFUNCTION("""COMPUTED_VALUE"""),"")</f>
        <v/>
      </c>
      <c r="B14406" s="87"/>
      <c r="C14406" s="87"/>
      <c r="D14406" s="87"/>
      <c r="E14406" s="87"/>
      <c r="F14406" s="87"/>
      <c r="G14406" s="87"/>
    </row>
    <row r="14407">
      <c r="A14407" s="86" t="str">
        <f>IFERROR(__xludf.DUMMYFUNCTION("""COMPUTED_VALUE"""),"")</f>
        <v/>
      </c>
      <c r="B14407" s="87"/>
      <c r="C14407" s="87"/>
      <c r="D14407" s="87"/>
      <c r="E14407" s="87"/>
      <c r="F14407" s="87"/>
      <c r="G14407" s="87"/>
    </row>
    <row r="14408">
      <c r="A14408" s="86" t="str">
        <f>IFERROR(__xludf.DUMMYFUNCTION("""COMPUTED_VALUE"""),"")</f>
        <v/>
      </c>
      <c r="B14408" s="87"/>
      <c r="C14408" s="87"/>
      <c r="D14408" s="87"/>
      <c r="E14408" s="87"/>
      <c r="F14408" s="87"/>
      <c r="G14408" s="87"/>
    </row>
    <row r="14409">
      <c r="A14409" s="86" t="str">
        <f>IFERROR(__xludf.DUMMYFUNCTION("""COMPUTED_VALUE"""),"")</f>
        <v/>
      </c>
      <c r="B14409" s="87"/>
      <c r="C14409" s="87"/>
      <c r="D14409" s="87"/>
      <c r="E14409" s="87"/>
      <c r="F14409" s="87"/>
      <c r="G14409" s="87"/>
    </row>
    <row r="14410">
      <c r="A14410" s="86" t="str">
        <f>IFERROR(__xludf.DUMMYFUNCTION("""COMPUTED_VALUE"""),"")</f>
        <v/>
      </c>
      <c r="B14410" s="87"/>
      <c r="C14410" s="87"/>
      <c r="D14410" s="87"/>
      <c r="E14410" s="87"/>
      <c r="F14410" s="87"/>
      <c r="G14410" s="87"/>
    </row>
    <row r="14411">
      <c r="A14411" s="86" t="str">
        <f>IFERROR(__xludf.DUMMYFUNCTION("""COMPUTED_VALUE"""),"")</f>
        <v/>
      </c>
      <c r="B14411" s="87"/>
      <c r="C14411" s="87"/>
      <c r="D14411" s="87"/>
      <c r="E14411" s="87"/>
      <c r="F14411" s="87"/>
      <c r="G14411" s="87"/>
    </row>
    <row r="14412">
      <c r="A14412" s="86" t="str">
        <f>IFERROR(__xludf.DUMMYFUNCTION("""COMPUTED_VALUE"""),"")</f>
        <v/>
      </c>
      <c r="B14412" s="87"/>
      <c r="C14412" s="87"/>
      <c r="D14412" s="87"/>
      <c r="E14412" s="87"/>
      <c r="F14412" s="87"/>
      <c r="G14412" s="87"/>
    </row>
    <row r="14413">
      <c r="A14413" s="86" t="str">
        <f>IFERROR(__xludf.DUMMYFUNCTION("""COMPUTED_VALUE"""),"")</f>
        <v/>
      </c>
      <c r="B14413" s="87"/>
      <c r="C14413" s="87"/>
      <c r="D14413" s="87"/>
      <c r="E14413" s="87"/>
      <c r="F14413" s="87"/>
      <c r="G14413" s="87"/>
    </row>
    <row r="14414">
      <c r="A14414" s="86" t="str">
        <f>IFERROR(__xludf.DUMMYFUNCTION("""COMPUTED_VALUE"""),"")</f>
        <v/>
      </c>
      <c r="B14414" s="87"/>
      <c r="C14414" s="87"/>
      <c r="D14414" s="87"/>
      <c r="E14414" s="87"/>
      <c r="F14414" s="87"/>
      <c r="G14414" s="87"/>
    </row>
    <row r="14415">
      <c r="A14415" s="86" t="str">
        <f>IFERROR(__xludf.DUMMYFUNCTION("""COMPUTED_VALUE"""),"")</f>
        <v/>
      </c>
      <c r="B14415" s="87"/>
      <c r="C14415" s="87"/>
      <c r="D14415" s="87"/>
      <c r="E14415" s="87"/>
      <c r="F14415" s="87"/>
      <c r="G14415" s="87"/>
    </row>
    <row r="14416">
      <c r="A14416" s="86" t="str">
        <f>IFERROR(__xludf.DUMMYFUNCTION("""COMPUTED_VALUE"""),"")</f>
        <v/>
      </c>
      <c r="B14416" s="87"/>
      <c r="C14416" s="87"/>
      <c r="D14416" s="87"/>
      <c r="E14416" s="87"/>
      <c r="F14416" s="87"/>
      <c r="G14416" s="87"/>
    </row>
    <row r="14417">
      <c r="A14417" s="86" t="str">
        <f>IFERROR(__xludf.DUMMYFUNCTION("""COMPUTED_VALUE"""),"")</f>
        <v/>
      </c>
      <c r="B14417" s="87"/>
      <c r="C14417" s="87"/>
      <c r="D14417" s="87"/>
      <c r="E14417" s="87"/>
      <c r="F14417" s="87"/>
      <c r="G14417" s="87"/>
    </row>
    <row r="14418">
      <c r="A14418" s="86" t="str">
        <f>IFERROR(__xludf.DUMMYFUNCTION("""COMPUTED_VALUE"""),"")</f>
        <v/>
      </c>
      <c r="B14418" s="87"/>
      <c r="C14418" s="87"/>
      <c r="D14418" s="87"/>
      <c r="E14418" s="87"/>
      <c r="F14418" s="87"/>
      <c r="G14418" s="87"/>
    </row>
    <row r="14419">
      <c r="A14419" s="86" t="str">
        <f>IFERROR(__xludf.DUMMYFUNCTION("""COMPUTED_VALUE"""),"")</f>
        <v/>
      </c>
      <c r="B14419" s="87"/>
      <c r="C14419" s="87"/>
      <c r="D14419" s="87"/>
      <c r="E14419" s="87"/>
      <c r="F14419" s="87"/>
      <c r="G14419" s="87"/>
    </row>
    <row r="14420">
      <c r="A14420" s="86" t="str">
        <f>IFERROR(__xludf.DUMMYFUNCTION("""COMPUTED_VALUE"""),"")</f>
        <v/>
      </c>
      <c r="B14420" s="87"/>
      <c r="C14420" s="87"/>
      <c r="D14420" s="87"/>
      <c r="E14420" s="87"/>
      <c r="F14420" s="87"/>
      <c r="G14420" s="87"/>
    </row>
    <row r="14421">
      <c r="A14421" s="86" t="str">
        <f>IFERROR(__xludf.DUMMYFUNCTION("""COMPUTED_VALUE"""),"")</f>
        <v/>
      </c>
      <c r="B14421" s="87"/>
      <c r="C14421" s="87"/>
      <c r="D14421" s="87"/>
      <c r="E14421" s="87"/>
      <c r="F14421" s="87"/>
      <c r="G14421" s="87"/>
    </row>
    <row r="14422">
      <c r="A14422" s="86" t="str">
        <f>IFERROR(__xludf.DUMMYFUNCTION("""COMPUTED_VALUE"""),"")</f>
        <v/>
      </c>
      <c r="B14422" s="87"/>
      <c r="C14422" s="87"/>
      <c r="D14422" s="87"/>
      <c r="E14422" s="87"/>
      <c r="F14422" s="87"/>
      <c r="G14422" s="87"/>
    </row>
    <row r="14423">
      <c r="A14423" s="86" t="str">
        <f>IFERROR(__xludf.DUMMYFUNCTION("""COMPUTED_VALUE"""),"")</f>
        <v/>
      </c>
      <c r="B14423" s="87"/>
      <c r="C14423" s="87"/>
      <c r="D14423" s="87"/>
      <c r="E14423" s="87"/>
      <c r="F14423" s="87"/>
      <c r="G14423" s="87"/>
    </row>
    <row r="14424">
      <c r="A14424" s="86" t="str">
        <f>IFERROR(__xludf.DUMMYFUNCTION("""COMPUTED_VALUE"""),"")</f>
        <v/>
      </c>
      <c r="B14424" s="87"/>
      <c r="C14424" s="87"/>
      <c r="D14424" s="87"/>
      <c r="E14424" s="87"/>
      <c r="F14424" s="87"/>
      <c r="G14424" s="87"/>
    </row>
    <row r="14425">
      <c r="A14425" s="86" t="str">
        <f>IFERROR(__xludf.DUMMYFUNCTION("""COMPUTED_VALUE"""),"")</f>
        <v/>
      </c>
      <c r="B14425" s="87"/>
      <c r="C14425" s="87"/>
      <c r="D14425" s="87"/>
      <c r="E14425" s="87"/>
      <c r="F14425" s="87"/>
      <c r="G14425" s="87"/>
    </row>
    <row r="14426">
      <c r="A14426" s="86" t="str">
        <f>IFERROR(__xludf.DUMMYFUNCTION("""COMPUTED_VALUE"""),"")</f>
        <v/>
      </c>
      <c r="B14426" s="87"/>
      <c r="C14426" s="87"/>
      <c r="D14426" s="87"/>
      <c r="E14426" s="87"/>
      <c r="F14426" s="87"/>
      <c r="G14426" s="87"/>
    </row>
    <row r="14427">
      <c r="A14427" s="86" t="str">
        <f>IFERROR(__xludf.DUMMYFUNCTION("""COMPUTED_VALUE"""),"")</f>
        <v/>
      </c>
      <c r="B14427" s="87"/>
      <c r="C14427" s="87"/>
      <c r="D14427" s="87"/>
      <c r="E14427" s="87"/>
      <c r="F14427" s="87"/>
      <c r="G14427" s="87"/>
    </row>
    <row r="14428">
      <c r="A14428" s="86" t="str">
        <f>IFERROR(__xludf.DUMMYFUNCTION("""COMPUTED_VALUE"""),"")</f>
        <v/>
      </c>
      <c r="B14428" s="87"/>
      <c r="C14428" s="87"/>
      <c r="D14428" s="87"/>
      <c r="E14428" s="87"/>
      <c r="F14428" s="87"/>
      <c r="G14428" s="87"/>
    </row>
    <row r="14429">
      <c r="A14429" s="86" t="str">
        <f>IFERROR(__xludf.DUMMYFUNCTION("""COMPUTED_VALUE"""),"")</f>
        <v/>
      </c>
      <c r="B14429" s="87"/>
      <c r="C14429" s="87"/>
      <c r="D14429" s="87"/>
      <c r="E14429" s="87"/>
      <c r="F14429" s="87"/>
      <c r="G14429" s="87"/>
    </row>
    <row r="14430">
      <c r="A14430" s="86" t="str">
        <f>IFERROR(__xludf.DUMMYFUNCTION("""COMPUTED_VALUE"""),"")</f>
        <v/>
      </c>
      <c r="B14430" s="87"/>
      <c r="C14430" s="87"/>
      <c r="D14430" s="87"/>
      <c r="E14430" s="87"/>
      <c r="F14430" s="87"/>
      <c r="G14430" s="87"/>
    </row>
    <row r="14431">
      <c r="A14431" s="86" t="str">
        <f>IFERROR(__xludf.DUMMYFUNCTION("""COMPUTED_VALUE"""),"")</f>
        <v/>
      </c>
      <c r="B14431" s="87"/>
      <c r="C14431" s="87"/>
      <c r="D14431" s="87"/>
      <c r="E14431" s="87"/>
      <c r="F14431" s="87"/>
      <c r="G14431" s="87"/>
    </row>
    <row r="14432">
      <c r="A14432" s="86" t="str">
        <f>IFERROR(__xludf.DUMMYFUNCTION("""COMPUTED_VALUE"""),"")</f>
        <v/>
      </c>
      <c r="B14432" s="87"/>
      <c r="C14432" s="87"/>
      <c r="D14432" s="87"/>
      <c r="E14432" s="87"/>
      <c r="F14432" s="87"/>
      <c r="G14432" s="87"/>
    </row>
    <row r="14433">
      <c r="A14433" s="86" t="str">
        <f>IFERROR(__xludf.DUMMYFUNCTION("""COMPUTED_VALUE"""),"")</f>
        <v/>
      </c>
      <c r="B14433" s="87"/>
      <c r="C14433" s="87"/>
      <c r="D14433" s="87"/>
      <c r="E14433" s="87"/>
      <c r="F14433" s="87"/>
      <c r="G14433" s="87"/>
    </row>
    <row r="14434">
      <c r="A14434" s="86" t="str">
        <f>IFERROR(__xludf.DUMMYFUNCTION("""COMPUTED_VALUE"""),"")</f>
        <v/>
      </c>
      <c r="B14434" s="87"/>
      <c r="C14434" s="87"/>
      <c r="D14434" s="87"/>
      <c r="E14434" s="87"/>
      <c r="F14434" s="87"/>
      <c r="G14434" s="87"/>
    </row>
    <row r="14435">
      <c r="A14435" s="86" t="str">
        <f>IFERROR(__xludf.DUMMYFUNCTION("""COMPUTED_VALUE"""),"")</f>
        <v/>
      </c>
      <c r="B14435" s="87"/>
      <c r="C14435" s="87"/>
      <c r="D14435" s="87"/>
      <c r="E14435" s="87"/>
      <c r="F14435" s="87"/>
      <c r="G14435" s="87"/>
    </row>
    <row r="14436">
      <c r="A14436" s="86" t="str">
        <f>IFERROR(__xludf.DUMMYFUNCTION("""COMPUTED_VALUE"""),"")</f>
        <v/>
      </c>
      <c r="B14436" s="87"/>
      <c r="C14436" s="87"/>
      <c r="D14436" s="87"/>
      <c r="E14436" s="87"/>
      <c r="F14436" s="87"/>
      <c r="G14436" s="87"/>
    </row>
    <row r="14437">
      <c r="A14437" s="86" t="str">
        <f>IFERROR(__xludf.DUMMYFUNCTION("""COMPUTED_VALUE"""),"")</f>
        <v/>
      </c>
      <c r="B14437" s="87"/>
      <c r="C14437" s="87"/>
      <c r="D14437" s="87"/>
      <c r="E14437" s="87"/>
      <c r="F14437" s="87"/>
      <c r="G14437" s="87"/>
    </row>
    <row r="14438">
      <c r="A14438" s="86" t="str">
        <f>IFERROR(__xludf.DUMMYFUNCTION("""COMPUTED_VALUE"""),"")</f>
        <v/>
      </c>
      <c r="B14438" s="87"/>
      <c r="C14438" s="87"/>
      <c r="D14438" s="87"/>
      <c r="E14438" s="87"/>
      <c r="F14438" s="87"/>
      <c r="G14438" s="87"/>
    </row>
    <row r="14439">
      <c r="A14439" s="86" t="str">
        <f>IFERROR(__xludf.DUMMYFUNCTION("""COMPUTED_VALUE"""),"")</f>
        <v/>
      </c>
      <c r="B14439" s="87"/>
      <c r="C14439" s="87"/>
      <c r="D14439" s="87"/>
      <c r="E14439" s="87"/>
      <c r="F14439" s="87"/>
      <c r="G14439" s="87"/>
    </row>
    <row r="14440">
      <c r="A14440" s="86" t="str">
        <f>IFERROR(__xludf.DUMMYFUNCTION("""COMPUTED_VALUE"""),"")</f>
        <v/>
      </c>
      <c r="B14440" s="87"/>
      <c r="C14440" s="87"/>
      <c r="D14440" s="87"/>
      <c r="E14440" s="87"/>
      <c r="F14440" s="87"/>
      <c r="G14440" s="87"/>
    </row>
    <row r="14441">
      <c r="A14441" s="86" t="str">
        <f>IFERROR(__xludf.DUMMYFUNCTION("""COMPUTED_VALUE"""),"")</f>
        <v/>
      </c>
      <c r="B14441" s="87"/>
      <c r="C14441" s="87"/>
      <c r="D14441" s="87"/>
      <c r="E14441" s="87"/>
      <c r="F14441" s="87"/>
      <c r="G14441" s="87"/>
    </row>
    <row r="14442">
      <c r="A14442" s="86" t="str">
        <f>IFERROR(__xludf.DUMMYFUNCTION("""COMPUTED_VALUE"""),"")</f>
        <v/>
      </c>
      <c r="B14442" s="87"/>
      <c r="C14442" s="87"/>
      <c r="D14442" s="87"/>
      <c r="E14442" s="87"/>
      <c r="F14442" s="87"/>
      <c r="G14442" s="87"/>
    </row>
    <row r="14443">
      <c r="A14443" s="86" t="str">
        <f>IFERROR(__xludf.DUMMYFUNCTION("""COMPUTED_VALUE"""),"")</f>
        <v/>
      </c>
      <c r="B14443" s="87"/>
      <c r="C14443" s="87"/>
      <c r="D14443" s="87"/>
      <c r="E14443" s="87"/>
      <c r="F14443" s="87"/>
      <c r="G14443" s="87"/>
    </row>
    <row r="14444">
      <c r="A14444" s="86" t="str">
        <f>IFERROR(__xludf.DUMMYFUNCTION("""COMPUTED_VALUE"""),"")</f>
        <v/>
      </c>
      <c r="B14444" s="87"/>
      <c r="C14444" s="87"/>
      <c r="D14444" s="87"/>
      <c r="E14444" s="87"/>
      <c r="F14444" s="87"/>
      <c r="G14444" s="87"/>
    </row>
    <row r="14445">
      <c r="A14445" s="86" t="str">
        <f>IFERROR(__xludf.DUMMYFUNCTION("""COMPUTED_VALUE"""),"")</f>
        <v/>
      </c>
      <c r="B14445" s="87"/>
      <c r="C14445" s="87"/>
      <c r="D14445" s="87"/>
      <c r="E14445" s="87"/>
      <c r="F14445" s="87"/>
      <c r="G14445" s="87"/>
    </row>
    <row r="14446">
      <c r="A14446" s="86" t="str">
        <f>IFERROR(__xludf.DUMMYFUNCTION("""COMPUTED_VALUE"""),"")</f>
        <v/>
      </c>
      <c r="B14446" s="87"/>
      <c r="C14446" s="87"/>
      <c r="D14446" s="87"/>
      <c r="E14446" s="87"/>
      <c r="F14446" s="87"/>
      <c r="G14446" s="87"/>
    </row>
    <row r="14447">
      <c r="A14447" s="86" t="str">
        <f>IFERROR(__xludf.DUMMYFUNCTION("""COMPUTED_VALUE"""),"")</f>
        <v/>
      </c>
      <c r="B14447" s="87"/>
      <c r="C14447" s="87"/>
      <c r="D14447" s="87"/>
      <c r="E14447" s="87"/>
      <c r="F14447" s="87"/>
      <c r="G14447" s="87"/>
    </row>
    <row r="14448">
      <c r="A14448" s="86" t="str">
        <f>IFERROR(__xludf.DUMMYFUNCTION("""COMPUTED_VALUE"""),"")</f>
        <v/>
      </c>
      <c r="B14448" s="87"/>
      <c r="C14448" s="87"/>
      <c r="D14448" s="87"/>
      <c r="E14448" s="87"/>
      <c r="F14448" s="87"/>
      <c r="G14448" s="87"/>
    </row>
    <row r="14449">
      <c r="A14449" s="86" t="str">
        <f>IFERROR(__xludf.DUMMYFUNCTION("""COMPUTED_VALUE"""),"")</f>
        <v/>
      </c>
      <c r="B14449" s="87"/>
      <c r="C14449" s="87"/>
      <c r="D14449" s="87"/>
      <c r="E14449" s="87"/>
      <c r="F14449" s="87"/>
      <c r="G14449" s="87"/>
    </row>
    <row r="14450">
      <c r="A14450" s="86" t="str">
        <f>IFERROR(__xludf.DUMMYFUNCTION("""COMPUTED_VALUE"""),"")</f>
        <v/>
      </c>
      <c r="B14450" s="87"/>
      <c r="C14450" s="87"/>
      <c r="D14450" s="87"/>
      <c r="E14450" s="87"/>
      <c r="F14450" s="87"/>
      <c r="G14450" s="87"/>
    </row>
    <row r="14451">
      <c r="A14451" s="86" t="str">
        <f>IFERROR(__xludf.DUMMYFUNCTION("""COMPUTED_VALUE"""),"")</f>
        <v/>
      </c>
      <c r="B14451" s="87"/>
      <c r="C14451" s="87"/>
      <c r="D14451" s="87"/>
      <c r="E14451" s="87"/>
      <c r="F14451" s="87"/>
      <c r="G14451" s="87"/>
    </row>
    <row r="14452">
      <c r="A14452" s="86" t="str">
        <f>IFERROR(__xludf.DUMMYFUNCTION("""COMPUTED_VALUE"""),"")</f>
        <v/>
      </c>
      <c r="B14452" s="87"/>
      <c r="C14452" s="87"/>
      <c r="D14452" s="87"/>
      <c r="E14452" s="87"/>
      <c r="F14452" s="87"/>
      <c r="G14452" s="87"/>
    </row>
    <row r="14453">
      <c r="A14453" s="86" t="str">
        <f>IFERROR(__xludf.DUMMYFUNCTION("""COMPUTED_VALUE"""),"")</f>
        <v/>
      </c>
      <c r="B14453" s="87"/>
      <c r="C14453" s="87"/>
      <c r="D14453" s="87"/>
      <c r="E14453" s="87"/>
      <c r="F14453" s="87"/>
      <c r="G14453" s="87"/>
    </row>
    <row r="14454">
      <c r="A14454" s="86" t="str">
        <f>IFERROR(__xludf.DUMMYFUNCTION("""COMPUTED_VALUE"""),"")</f>
        <v/>
      </c>
      <c r="B14454" s="87"/>
      <c r="C14454" s="87"/>
      <c r="D14454" s="87"/>
      <c r="E14454" s="87"/>
      <c r="F14454" s="87"/>
      <c r="G14454" s="87"/>
    </row>
    <row r="14455">
      <c r="A14455" s="86" t="str">
        <f>IFERROR(__xludf.DUMMYFUNCTION("""COMPUTED_VALUE"""),"")</f>
        <v/>
      </c>
      <c r="B14455" s="87"/>
      <c r="C14455" s="87"/>
      <c r="D14455" s="87"/>
      <c r="E14455" s="87"/>
      <c r="F14455" s="87"/>
      <c r="G14455" s="87"/>
    </row>
    <row r="14456">
      <c r="A14456" s="86" t="str">
        <f>IFERROR(__xludf.DUMMYFUNCTION("""COMPUTED_VALUE"""),"")</f>
        <v/>
      </c>
      <c r="B14456" s="87"/>
      <c r="C14456" s="87"/>
      <c r="D14456" s="87"/>
      <c r="E14456" s="87"/>
      <c r="F14456" s="87"/>
      <c r="G14456" s="87"/>
    </row>
    <row r="14457">
      <c r="A14457" s="86" t="str">
        <f>IFERROR(__xludf.DUMMYFUNCTION("""COMPUTED_VALUE"""),"")</f>
        <v/>
      </c>
      <c r="B14457" s="87"/>
      <c r="C14457" s="87"/>
      <c r="D14457" s="87"/>
      <c r="E14457" s="87"/>
      <c r="F14457" s="87"/>
      <c r="G14457" s="87"/>
    </row>
    <row r="14458">
      <c r="A14458" s="86" t="str">
        <f>IFERROR(__xludf.DUMMYFUNCTION("""COMPUTED_VALUE"""),"")</f>
        <v/>
      </c>
      <c r="B14458" s="87"/>
      <c r="C14458" s="87"/>
      <c r="D14458" s="87"/>
      <c r="E14458" s="87"/>
      <c r="F14458" s="87"/>
      <c r="G14458" s="87"/>
    </row>
    <row r="14459">
      <c r="A14459" s="86" t="str">
        <f>IFERROR(__xludf.DUMMYFUNCTION("""COMPUTED_VALUE"""),"")</f>
        <v/>
      </c>
      <c r="B14459" s="87"/>
      <c r="C14459" s="87"/>
      <c r="D14459" s="87"/>
      <c r="E14459" s="87"/>
      <c r="F14459" s="87"/>
      <c r="G14459" s="87"/>
    </row>
    <row r="14460">
      <c r="A14460" s="86" t="str">
        <f>IFERROR(__xludf.DUMMYFUNCTION("""COMPUTED_VALUE"""),"")</f>
        <v/>
      </c>
      <c r="B14460" s="87"/>
      <c r="C14460" s="87"/>
      <c r="D14460" s="87"/>
      <c r="E14460" s="87"/>
      <c r="F14460" s="87"/>
      <c r="G14460" s="87"/>
    </row>
    <row r="14461">
      <c r="A14461" s="86" t="str">
        <f>IFERROR(__xludf.DUMMYFUNCTION("""COMPUTED_VALUE"""),"")</f>
        <v/>
      </c>
      <c r="B14461" s="87"/>
      <c r="C14461" s="87"/>
      <c r="D14461" s="87"/>
      <c r="E14461" s="87"/>
      <c r="F14461" s="87"/>
      <c r="G14461" s="87"/>
    </row>
    <row r="14462">
      <c r="A14462" s="86" t="str">
        <f>IFERROR(__xludf.DUMMYFUNCTION("""COMPUTED_VALUE"""),"")</f>
        <v/>
      </c>
      <c r="B14462" s="87"/>
      <c r="C14462" s="87"/>
      <c r="D14462" s="87"/>
      <c r="E14462" s="87"/>
      <c r="F14462" s="87"/>
      <c r="G14462" s="87"/>
    </row>
    <row r="14463">
      <c r="A14463" s="86" t="str">
        <f>IFERROR(__xludf.DUMMYFUNCTION("""COMPUTED_VALUE"""),"")</f>
        <v/>
      </c>
      <c r="B14463" s="87"/>
      <c r="C14463" s="87"/>
      <c r="D14463" s="87"/>
      <c r="E14463" s="87"/>
      <c r="F14463" s="87"/>
      <c r="G14463" s="87"/>
    </row>
    <row r="14464">
      <c r="A14464" s="86" t="str">
        <f>IFERROR(__xludf.DUMMYFUNCTION("""COMPUTED_VALUE"""),"")</f>
        <v/>
      </c>
      <c r="B14464" s="87"/>
      <c r="C14464" s="87"/>
      <c r="D14464" s="87"/>
      <c r="E14464" s="87"/>
      <c r="F14464" s="87"/>
      <c r="G14464" s="87"/>
    </row>
    <row r="14465">
      <c r="A14465" s="86" t="str">
        <f>IFERROR(__xludf.DUMMYFUNCTION("""COMPUTED_VALUE"""),"")</f>
        <v/>
      </c>
      <c r="B14465" s="87"/>
      <c r="C14465" s="87"/>
      <c r="D14465" s="87"/>
      <c r="E14465" s="87"/>
      <c r="F14465" s="87"/>
      <c r="G14465" s="87"/>
    </row>
    <row r="14466">
      <c r="A14466" s="86" t="str">
        <f>IFERROR(__xludf.DUMMYFUNCTION("""COMPUTED_VALUE"""),"")</f>
        <v/>
      </c>
      <c r="B14466" s="87"/>
      <c r="C14466" s="87"/>
      <c r="D14466" s="87"/>
      <c r="E14466" s="87"/>
      <c r="F14466" s="87"/>
      <c r="G14466" s="87"/>
    </row>
    <row r="14467">
      <c r="A14467" s="86" t="str">
        <f>IFERROR(__xludf.DUMMYFUNCTION("""COMPUTED_VALUE"""),"")</f>
        <v/>
      </c>
      <c r="B14467" s="87"/>
      <c r="C14467" s="87"/>
      <c r="D14467" s="87"/>
      <c r="E14467" s="87"/>
      <c r="F14467" s="87"/>
      <c r="G14467" s="87"/>
    </row>
    <row r="14468">
      <c r="A14468" s="86" t="str">
        <f>IFERROR(__xludf.DUMMYFUNCTION("""COMPUTED_VALUE"""),"")</f>
        <v/>
      </c>
      <c r="B14468" s="87"/>
      <c r="C14468" s="87"/>
      <c r="D14468" s="87"/>
      <c r="E14468" s="87"/>
      <c r="F14468" s="87"/>
      <c r="G14468" s="87"/>
    </row>
    <row r="14469">
      <c r="A14469" s="86" t="str">
        <f>IFERROR(__xludf.DUMMYFUNCTION("""COMPUTED_VALUE"""),"")</f>
        <v/>
      </c>
      <c r="B14469" s="87"/>
      <c r="C14469" s="87"/>
      <c r="D14469" s="87"/>
      <c r="E14469" s="87"/>
      <c r="F14469" s="87"/>
      <c r="G14469" s="87"/>
    </row>
    <row r="14470">
      <c r="A14470" s="86" t="str">
        <f>IFERROR(__xludf.DUMMYFUNCTION("""COMPUTED_VALUE"""),"")</f>
        <v/>
      </c>
      <c r="B14470" s="87"/>
      <c r="C14470" s="87"/>
      <c r="D14470" s="87"/>
      <c r="E14470" s="87"/>
      <c r="F14470" s="87"/>
      <c r="G14470" s="87"/>
    </row>
    <row r="14471">
      <c r="A14471" s="86" t="str">
        <f>IFERROR(__xludf.DUMMYFUNCTION("""COMPUTED_VALUE"""),"")</f>
        <v/>
      </c>
      <c r="B14471" s="87"/>
      <c r="C14471" s="87"/>
      <c r="D14471" s="87"/>
      <c r="E14471" s="87"/>
      <c r="F14471" s="87"/>
      <c r="G14471" s="87"/>
    </row>
    <row r="14472">
      <c r="A14472" s="86" t="str">
        <f>IFERROR(__xludf.DUMMYFUNCTION("""COMPUTED_VALUE"""),"")</f>
        <v/>
      </c>
      <c r="B14472" s="87"/>
      <c r="C14472" s="87"/>
      <c r="D14472" s="87"/>
      <c r="E14472" s="87"/>
      <c r="F14472" s="87"/>
      <c r="G14472" s="87"/>
    </row>
    <row r="14473">
      <c r="A14473" s="86" t="str">
        <f>IFERROR(__xludf.DUMMYFUNCTION("""COMPUTED_VALUE"""),"")</f>
        <v/>
      </c>
      <c r="B14473" s="87"/>
      <c r="C14473" s="87"/>
      <c r="D14473" s="87"/>
      <c r="E14473" s="87"/>
      <c r="F14473" s="87"/>
      <c r="G14473" s="87"/>
    </row>
    <row r="14474">
      <c r="A14474" s="86" t="str">
        <f>IFERROR(__xludf.DUMMYFUNCTION("""COMPUTED_VALUE"""),"")</f>
        <v/>
      </c>
      <c r="B14474" s="87"/>
      <c r="C14474" s="87"/>
      <c r="D14474" s="87"/>
      <c r="E14474" s="87"/>
      <c r="F14474" s="87"/>
      <c r="G14474" s="87"/>
    </row>
    <row r="14475">
      <c r="A14475" s="86" t="str">
        <f>IFERROR(__xludf.DUMMYFUNCTION("""COMPUTED_VALUE"""),"")</f>
        <v/>
      </c>
      <c r="B14475" s="87"/>
      <c r="C14475" s="87"/>
      <c r="D14475" s="87"/>
      <c r="E14475" s="87"/>
      <c r="F14475" s="87"/>
      <c r="G14475" s="87"/>
    </row>
    <row r="14476">
      <c r="A14476" s="86" t="str">
        <f>IFERROR(__xludf.DUMMYFUNCTION("""COMPUTED_VALUE"""),"")</f>
        <v/>
      </c>
      <c r="B14476" s="87"/>
      <c r="C14476" s="87"/>
      <c r="D14476" s="87"/>
      <c r="E14476" s="87"/>
      <c r="F14476" s="87"/>
      <c r="G14476" s="87"/>
    </row>
    <row r="14477">
      <c r="A14477" s="86" t="str">
        <f>IFERROR(__xludf.DUMMYFUNCTION("""COMPUTED_VALUE"""),"")</f>
        <v/>
      </c>
      <c r="B14477" s="87"/>
      <c r="C14477" s="87"/>
      <c r="D14477" s="87"/>
      <c r="E14477" s="87"/>
      <c r="F14477" s="87"/>
      <c r="G14477" s="87"/>
    </row>
    <row r="14478">
      <c r="A14478" s="86" t="str">
        <f>IFERROR(__xludf.DUMMYFUNCTION("""COMPUTED_VALUE"""),"")</f>
        <v/>
      </c>
      <c r="B14478" s="87"/>
      <c r="C14478" s="87"/>
      <c r="D14478" s="87"/>
      <c r="E14478" s="87"/>
      <c r="F14478" s="87"/>
      <c r="G14478" s="87"/>
    </row>
    <row r="14479">
      <c r="A14479" s="86" t="str">
        <f>IFERROR(__xludf.DUMMYFUNCTION("""COMPUTED_VALUE"""),"")</f>
        <v/>
      </c>
      <c r="B14479" s="87"/>
      <c r="C14479" s="87"/>
      <c r="D14479" s="87"/>
      <c r="E14479" s="87"/>
      <c r="F14479" s="87"/>
      <c r="G14479" s="87"/>
    </row>
    <row r="14480">
      <c r="A14480" s="86" t="str">
        <f>IFERROR(__xludf.DUMMYFUNCTION("""COMPUTED_VALUE"""),"")</f>
        <v/>
      </c>
      <c r="B14480" s="87"/>
      <c r="C14480" s="87"/>
      <c r="D14480" s="87"/>
      <c r="E14480" s="87"/>
      <c r="F14480" s="87"/>
      <c r="G14480" s="87"/>
    </row>
    <row r="14481">
      <c r="A14481" s="86" t="str">
        <f>IFERROR(__xludf.DUMMYFUNCTION("""COMPUTED_VALUE"""),"")</f>
        <v/>
      </c>
      <c r="B14481" s="87"/>
      <c r="C14481" s="87"/>
      <c r="D14481" s="87"/>
      <c r="E14481" s="87"/>
      <c r="F14481" s="87"/>
      <c r="G14481" s="87"/>
    </row>
    <row r="14482">
      <c r="A14482" s="86" t="str">
        <f>IFERROR(__xludf.DUMMYFUNCTION("""COMPUTED_VALUE"""),"")</f>
        <v/>
      </c>
      <c r="B14482" s="87"/>
      <c r="C14482" s="87"/>
      <c r="D14482" s="87"/>
      <c r="E14482" s="87"/>
      <c r="F14482" s="87"/>
      <c r="G14482" s="87"/>
    </row>
    <row r="14483">
      <c r="A14483" s="86" t="str">
        <f>IFERROR(__xludf.DUMMYFUNCTION("""COMPUTED_VALUE"""),"")</f>
        <v/>
      </c>
      <c r="B14483" s="87"/>
      <c r="C14483" s="87"/>
      <c r="D14483" s="87"/>
      <c r="E14483" s="87"/>
      <c r="F14483" s="87"/>
      <c r="G14483" s="87"/>
    </row>
    <row r="14484">
      <c r="A14484" s="86" t="str">
        <f>IFERROR(__xludf.DUMMYFUNCTION("""COMPUTED_VALUE"""),"")</f>
        <v/>
      </c>
      <c r="B14484" s="87"/>
      <c r="C14484" s="87"/>
      <c r="D14484" s="87"/>
      <c r="E14484" s="87"/>
      <c r="F14484" s="87"/>
      <c r="G14484" s="87"/>
    </row>
    <row r="14485">
      <c r="A14485" s="86" t="str">
        <f>IFERROR(__xludf.DUMMYFUNCTION("""COMPUTED_VALUE"""),"")</f>
        <v/>
      </c>
      <c r="B14485" s="87"/>
      <c r="C14485" s="87"/>
      <c r="D14485" s="87"/>
      <c r="E14485" s="87"/>
      <c r="F14485" s="87"/>
      <c r="G14485" s="87"/>
    </row>
    <row r="14486">
      <c r="A14486" s="86" t="str">
        <f>IFERROR(__xludf.DUMMYFUNCTION("""COMPUTED_VALUE"""),"")</f>
        <v/>
      </c>
      <c r="B14486" s="87"/>
      <c r="C14486" s="87"/>
      <c r="D14486" s="87"/>
      <c r="E14486" s="87"/>
      <c r="F14486" s="87"/>
      <c r="G14486" s="87"/>
    </row>
    <row r="14487">
      <c r="A14487" s="86" t="str">
        <f>IFERROR(__xludf.DUMMYFUNCTION("""COMPUTED_VALUE"""),"")</f>
        <v/>
      </c>
      <c r="B14487" s="87"/>
      <c r="C14487" s="87"/>
      <c r="D14487" s="87"/>
      <c r="E14487" s="87"/>
      <c r="F14487" s="87"/>
      <c r="G14487" s="87"/>
    </row>
    <row r="14488">
      <c r="A14488" s="86" t="str">
        <f>IFERROR(__xludf.DUMMYFUNCTION("""COMPUTED_VALUE"""),"")</f>
        <v/>
      </c>
      <c r="B14488" s="87"/>
      <c r="C14488" s="87"/>
      <c r="D14488" s="87"/>
      <c r="E14488" s="87"/>
      <c r="F14488" s="87"/>
      <c r="G14488" s="87"/>
    </row>
    <row r="14489">
      <c r="A14489" s="86" t="str">
        <f>IFERROR(__xludf.DUMMYFUNCTION("""COMPUTED_VALUE"""),"")</f>
        <v/>
      </c>
      <c r="B14489" s="87"/>
      <c r="C14489" s="87"/>
      <c r="D14489" s="87"/>
      <c r="E14489" s="87"/>
      <c r="F14489" s="87"/>
      <c r="G14489" s="87"/>
    </row>
    <row r="14490">
      <c r="A14490" s="86" t="str">
        <f>IFERROR(__xludf.DUMMYFUNCTION("""COMPUTED_VALUE"""),"")</f>
        <v/>
      </c>
      <c r="B14490" s="87"/>
      <c r="C14490" s="87"/>
      <c r="D14490" s="87"/>
      <c r="E14490" s="87"/>
      <c r="F14490" s="87"/>
      <c r="G14490" s="87"/>
    </row>
    <row r="14491">
      <c r="A14491" s="86" t="str">
        <f>IFERROR(__xludf.DUMMYFUNCTION("""COMPUTED_VALUE"""),"")</f>
        <v/>
      </c>
      <c r="B14491" s="87"/>
      <c r="C14491" s="87"/>
      <c r="D14491" s="87"/>
      <c r="E14491" s="87"/>
      <c r="F14491" s="87"/>
      <c r="G14491" s="87"/>
    </row>
    <row r="14492">
      <c r="A14492" s="86" t="str">
        <f>IFERROR(__xludf.DUMMYFUNCTION("""COMPUTED_VALUE"""),"")</f>
        <v/>
      </c>
      <c r="B14492" s="87"/>
      <c r="C14492" s="87"/>
      <c r="D14492" s="87"/>
      <c r="E14492" s="87"/>
      <c r="F14492" s="87"/>
      <c r="G14492" s="87"/>
    </row>
    <row r="14493">
      <c r="A14493" s="86" t="str">
        <f>IFERROR(__xludf.DUMMYFUNCTION("""COMPUTED_VALUE"""),"")</f>
        <v/>
      </c>
      <c r="B14493" s="87"/>
      <c r="C14493" s="87"/>
      <c r="D14493" s="87"/>
      <c r="E14493" s="87"/>
      <c r="F14493" s="87"/>
      <c r="G14493" s="87"/>
    </row>
    <row r="14494">
      <c r="A14494" s="86" t="str">
        <f>IFERROR(__xludf.DUMMYFUNCTION("""COMPUTED_VALUE"""),"")</f>
        <v/>
      </c>
      <c r="B14494" s="87"/>
      <c r="C14494" s="87"/>
      <c r="D14494" s="87"/>
      <c r="E14494" s="87"/>
      <c r="F14494" s="87"/>
      <c r="G14494" s="87"/>
    </row>
    <row r="14495">
      <c r="A14495" s="86" t="str">
        <f>IFERROR(__xludf.DUMMYFUNCTION("""COMPUTED_VALUE"""),"")</f>
        <v/>
      </c>
      <c r="B14495" s="87"/>
      <c r="C14495" s="87"/>
      <c r="D14495" s="87"/>
      <c r="E14495" s="87"/>
      <c r="F14495" s="87"/>
      <c r="G14495" s="87"/>
    </row>
    <row r="14496">
      <c r="A14496" s="86" t="str">
        <f>IFERROR(__xludf.DUMMYFUNCTION("""COMPUTED_VALUE"""),"")</f>
        <v/>
      </c>
      <c r="B14496" s="87"/>
      <c r="C14496" s="87"/>
      <c r="D14496" s="87"/>
      <c r="E14496" s="87"/>
      <c r="F14496" s="87"/>
      <c r="G14496" s="87"/>
    </row>
    <row r="14497">
      <c r="A14497" s="86" t="str">
        <f>IFERROR(__xludf.DUMMYFUNCTION("""COMPUTED_VALUE"""),"")</f>
        <v/>
      </c>
      <c r="B14497" s="87"/>
      <c r="C14497" s="87"/>
      <c r="D14497" s="87"/>
      <c r="E14497" s="87"/>
      <c r="F14497" s="87"/>
      <c r="G14497" s="87"/>
    </row>
    <row r="14498">
      <c r="A14498" s="86" t="str">
        <f>IFERROR(__xludf.DUMMYFUNCTION("""COMPUTED_VALUE"""),"")</f>
        <v/>
      </c>
      <c r="B14498" s="87"/>
      <c r="C14498" s="87"/>
      <c r="D14498" s="87"/>
      <c r="E14498" s="87"/>
      <c r="F14498" s="87"/>
      <c r="G14498" s="87"/>
    </row>
    <row r="14499">
      <c r="A14499" s="86" t="str">
        <f>IFERROR(__xludf.DUMMYFUNCTION("""COMPUTED_VALUE"""),"")</f>
        <v/>
      </c>
      <c r="B14499" s="87"/>
      <c r="C14499" s="87"/>
      <c r="D14499" s="87"/>
      <c r="E14499" s="87"/>
      <c r="F14499" s="87"/>
      <c r="G14499" s="87"/>
    </row>
    <row r="14500">
      <c r="A14500" s="86" t="str">
        <f>IFERROR(__xludf.DUMMYFUNCTION("""COMPUTED_VALUE"""),"")</f>
        <v/>
      </c>
      <c r="B14500" s="87"/>
      <c r="C14500" s="87"/>
      <c r="D14500" s="87"/>
      <c r="E14500" s="87"/>
      <c r="F14500" s="87"/>
      <c r="G14500" s="87"/>
    </row>
    <row r="14501">
      <c r="A14501" s="86" t="str">
        <f>IFERROR(__xludf.DUMMYFUNCTION("""COMPUTED_VALUE"""),"")</f>
        <v/>
      </c>
      <c r="B14501" s="87"/>
      <c r="C14501" s="87"/>
      <c r="D14501" s="87"/>
      <c r="E14501" s="87"/>
      <c r="F14501" s="87"/>
      <c r="G14501" s="87"/>
    </row>
    <row r="14502">
      <c r="A14502" s="86" t="str">
        <f>IFERROR(__xludf.DUMMYFUNCTION("""COMPUTED_VALUE"""),"")</f>
        <v/>
      </c>
      <c r="B14502" s="87"/>
      <c r="C14502" s="87"/>
      <c r="D14502" s="87"/>
      <c r="E14502" s="87"/>
      <c r="F14502" s="87"/>
      <c r="G14502" s="87"/>
    </row>
    <row r="14503">
      <c r="A14503" s="86" t="str">
        <f>IFERROR(__xludf.DUMMYFUNCTION("""COMPUTED_VALUE"""),"")</f>
        <v/>
      </c>
      <c r="B14503" s="87"/>
      <c r="C14503" s="87"/>
      <c r="D14503" s="87"/>
      <c r="E14503" s="87"/>
      <c r="F14503" s="87"/>
      <c r="G14503" s="87"/>
    </row>
    <row r="14504">
      <c r="A14504" s="86" t="str">
        <f>IFERROR(__xludf.DUMMYFUNCTION("""COMPUTED_VALUE"""),"")</f>
        <v/>
      </c>
      <c r="B14504" s="87"/>
      <c r="C14504" s="87"/>
      <c r="D14504" s="87"/>
      <c r="E14504" s="87"/>
      <c r="F14504" s="87"/>
      <c r="G14504" s="87"/>
    </row>
    <row r="14505">
      <c r="A14505" s="86" t="str">
        <f>IFERROR(__xludf.DUMMYFUNCTION("""COMPUTED_VALUE"""),"")</f>
        <v/>
      </c>
      <c r="B14505" s="87"/>
      <c r="C14505" s="87"/>
      <c r="D14505" s="87"/>
      <c r="E14505" s="87"/>
      <c r="F14505" s="87"/>
      <c r="G14505" s="87"/>
    </row>
    <row r="14506">
      <c r="A14506" s="86" t="str">
        <f>IFERROR(__xludf.DUMMYFUNCTION("""COMPUTED_VALUE"""),"")</f>
        <v/>
      </c>
      <c r="B14506" s="87"/>
      <c r="C14506" s="87"/>
      <c r="D14506" s="87"/>
      <c r="E14506" s="87"/>
      <c r="F14506" s="87"/>
      <c r="G14506" s="87"/>
    </row>
    <row r="14507">
      <c r="A14507" s="86" t="str">
        <f>IFERROR(__xludf.DUMMYFUNCTION("""COMPUTED_VALUE"""),"")</f>
        <v/>
      </c>
      <c r="B14507" s="87"/>
      <c r="C14507" s="87"/>
      <c r="D14507" s="87"/>
      <c r="E14507" s="87"/>
      <c r="F14507" s="87"/>
      <c r="G14507" s="87"/>
    </row>
    <row r="14508">
      <c r="A14508" s="86" t="str">
        <f>IFERROR(__xludf.DUMMYFUNCTION("""COMPUTED_VALUE"""),"")</f>
        <v/>
      </c>
      <c r="B14508" s="87"/>
      <c r="C14508" s="87"/>
      <c r="D14508" s="87"/>
      <c r="E14508" s="87"/>
      <c r="F14508" s="87"/>
      <c r="G14508" s="87"/>
    </row>
    <row r="14509">
      <c r="A14509" s="86" t="str">
        <f>IFERROR(__xludf.DUMMYFUNCTION("""COMPUTED_VALUE"""),"")</f>
        <v/>
      </c>
      <c r="B14509" s="87"/>
      <c r="C14509" s="87"/>
      <c r="D14509" s="87"/>
      <c r="E14509" s="87"/>
      <c r="F14509" s="87"/>
      <c r="G14509" s="87"/>
    </row>
    <row r="14510">
      <c r="A14510" s="86" t="str">
        <f>IFERROR(__xludf.DUMMYFUNCTION("""COMPUTED_VALUE"""),"")</f>
        <v/>
      </c>
      <c r="B14510" s="87"/>
      <c r="C14510" s="87"/>
      <c r="D14510" s="87"/>
      <c r="E14510" s="87"/>
      <c r="F14510" s="87"/>
      <c r="G14510" s="87"/>
    </row>
    <row r="14511">
      <c r="A14511" s="86" t="str">
        <f>IFERROR(__xludf.DUMMYFUNCTION("""COMPUTED_VALUE"""),"")</f>
        <v/>
      </c>
      <c r="B14511" s="87"/>
      <c r="C14511" s="87"/>
      <c r="D14511" s="87"/>
      <c r="E14511" s="87"/>
      <c r="F14511" s="87"/>
      <c r="G14511" s="87"/>
    </row>
    <row r="14512">
      <c r="A14512" s="86" t="str">
        <f>IFERROR(__xludf.DUMMYFUNCTION("""COMPUTED_VALUE"""),"")</f>
        <v/>
      </c>
      <c r="B14512" s="87"/>
      <c r="C14512" s="87"/>
      <c r="D14512" s="87"/>
      <c r="E14512" s="87"/>
      <c r="F14512" s="87"/>
      <c r="G14512" s="87"/>
    </row>
    <row r="14513">
      <c r="A14513" s="86" t="str">
        <f>IFERROR(__xludf.DUMMYFUNCTION("""COMPUTED_VALUE"""),"")</f>
        <v/>
      </c>
      <c r="B14513" s="87"/>
      <c r="C14513" s="87"/>
      <c r="D14513" s="87"/>
      <c r="E14513" s="87"/>
      <c r="F14513" s="87"/>
      <c r="G14513" s="87"/>
    </row>
    <row r="14514">
      <c r="A14514" s="86" t="str">
        <f>IFERROR(__xludf.DUMMYFUNCTION("""COMPUTED_VALUE"""),"")</f>
        <v/>
      </c>
      <c r="B14514" s="87"/>
      <c r="C14514" s="87"/>
      <c r="D14514" s="87"/>
      <c r="E14514" s="87"/>
      <c r="F14514" s="87"/>
      <c r="G14514" s="87"/>
    </row>
    <row r="14515">
      <c r="A14515" s="86" t="str">
        <f>IFERROR(__xludf.DUMMYFUNCTION("""COMPUTED_VALUE"""),"")</f>
        <v/>
      </c>
      <c r="B14515" s="87"/>
      <c r="C14515" s="87"/>
      <c r="D14515" s="87"/>
      <c r="E14515" s="87"/>
      <c r="F14515" s="87"/>
      <c r="G14515" s="87"/>
    </row>
    <row r="14516">
      <c r="A14516" s="86" t="str">
        <f>IFERROR(__xludf.DUMMYFUNCTION("""COMPUTED_VALUE"""),"")</f>
        <v/>
      </c>
      <c r="B14516" s="87"/>
      <c r="C14516" s="87"/>
      <c r="D14516" s="87"/>
      <c r="E14516" s="87"/>
      <c r="F14516" s="87"/>
      <c r="G14516" s="87"/>
    </row>
    <row r="14517">
      <c r="A14517" s="86" t="str">
        <f>IFERROR(__xludf.DUMMYFUNCTION("""COMPUTED_VALUE"""),"")</f>
        <v/>
      </c>
      <c r="B14517" s="87"/>
      <c r="C14517" s="87"/>
      <c r="D14517" s="87"/>
      <c r="E14517" s="87"/>
      <c r="F14517" s="87"/>
      <c r="G14517" s="87"/>
    </row>
    <row r="14518">
      <c r="A14518" s="86" t="str">
        <f>IFERROR(__xludf.DUMMYFUNCTION("""COMPUTED_VALUE"""),"")</f>
        <v/>
      </c>
      <c r="B14518" s="87"/>
      <c r="C14518" s="87"/>
      <c r="D14518" s="87"/>
      <c r="E14518" s="87"/>
      <c r="F14518" s="87"/>
      <c r="G14518" s="87"/>
    </row>
    <row r="14519">
      <c r="A14519" s="86" t="str">
        <f>IFERROR(__xludf.DUMMYFUNCTION("""COMPUTED_VALUE"""),"")</f>
        <v/>
      </c>
      <c r="B14519" s="87"/>
      <c r="C14519" s="87"/>
      <c r="D14519" s="87"/>
      <c r="E14519" s="87"/>
      <c r="F14519" s="87"/>
      <c r="G14519" s="87"/>
    </row>
    <row r="14520">
      <c r="A14520" s="86" t="str">
        <f>IFERROR(__xludf.DUMMYFUNCTION("""COMPUTED_VALUE"""),"")</f>
        <v/>
      </c>
      <c r="B14520" s="87"/>
      <c r="C14520" s="87"/>
      <c r="D14520" s="87"/>
      <c r="E14520" s="87"/>
      <c r="F14520" s="87"/>
      <c r="G14520" s="87"/>
    </row>
    <row r="14521">
      <c r="A14521" s="86" t="str">
        <f>IFERROR(__xludf.DUMMYFUNCTION("""COMPUTED_VALUE"""),"")</f>
        <v/>
      </c>
      <c r="B14521" s="87"/>
      <c r="C14521" s="87"/>
      <c r="D14521" s="87"/>
      <c r="E14521" s="87"/>
      <c r="F14521" s="87"/>
      <c r="G14521" s="87"/>
    </row>
    <row r="14522">
      <c r="A14522" s="86" t="str">
        <f>IFERROR(__xludf.DUMMYFUNCTION("""COMPUTED_VALUE"""),"")</f>
        <v/>
      </c>
      <c r="B14522" s="87"/>
      <c r="C14522" s="87"/>
      <c r="D14522" s="87"/>
      <c r="E14522" s="87"/>
      <c r="F14522" s="87"/>
      <c r="G14522" s="87"/>
    </row>
    <row r="14523">
      <c r="A14523" s="86" t="str">
        <f>IFERROR(__xludf.DUMMYFUNCTION("""COMPUTED_VALUE"""),"")</f>
        <v/>
      </c>
      <c r="B14523" s="87"/>
      <c r="C14523" s="87"/>
      <c r="D14523" s="87"/>
      <c r="E14523" s="87"/>
      <c r="F14523" s="87"/>
      <c r="G14523" s="87"/>
    </row>
    <row r="14524">
      <c r="A14524" s="86" t="str">
        <f>IFERROR(__xludf.DUMMYFUNCTION("""COMPUTED_VALUE"""),"")</f>
        <v/>
      </c>
      <c r="B14524" s="87"/>
      <c r="C14524" s="87"/>
      <c r="D14524" s="87"/>
      <c r="E14524" s="87"/>
      <c r="F14524" s="87"/>
      <c r="G14524" s="87"/>
    </row>
    <row r="14525">
      <c r="A14525" s="86" t="str">
        <f>IFERROR(__xludf.DUMMYFUNCTION("""COMPUTED_VALUE"""),"")</f>
        <v/>
      </c>
      <c r="B14525" s="87"/>
      <c r="C14525" s="87"/>
      <c r="D14525" s="87"/>
      <c r="E14525" s="87"/>
      <c r="F14525" s="87"/>
      <c r="G14525" s="87"/>
    </row>
    <row r="14526">
      <c r="A14526" s="86" t="str">
        <f>IFERROR(__xludf.DUMMYFUNCTION("""COMPUTED_VALUE"""),"")</f>
        <v/>
      </c>
      <c r="B14526" s="87"/>
      <c r="C14526" s="87"/>
      <c r="D14526" s="87"/>
      <c r="E14526" s="87"/>
      <c r="F14526" s="87"/>
      <c r="G14526" s="87"/>
    </row>
    <row r="14527">
      <c r="A14527" s="86" t="str">
        <f>IFERROR(__xludf.DUMMYFUNCTION("""COMPUTED_VALUE"""),"")</f>
        <v/>
      </c>
      <c r="B14527" s="87"/>
      <c r="C14527" s="87"/>
      <c r="D14527" s="87"/>
      <c r="E14527" s="87"/>
      <c r="F14527" s="87"/>
      <c r="G14527" s="87"/>
    </row>
    <row r="14528">
      <c r="A14528" s="86" t="str">
        <f>IFERROR(__xludf.DUMMYFUNCTION("""COMPUTED_VALUE"""),"")</f>
        <v/>
      </c>
      <c r="B14528" s="87"/>
      <c r="C14528" s="87"/>
      <c r="D14528" s="87"/>
      <c r="E14528" s="87"/>
      <c r="F14528" s="87"/>
      <c r="G14528" s="87"/>
    </row>
    <row r="14529">
      <c r="A14529" s="86" t="str">
        <f>IFERROR(__xludf.DUMMYFUNCTION("""COMPUTED_VALUE"""),"")</f>
        <v/>
      </c>
      <c r="B14529" s="87"/>
      <c r="C14529" s="87"/>
      <c r="D14529" s="87"/>
      <c r="E14529" s="87"/>
      <c r="F14529" s="87"/>
      <c r="G14529" s="87"/>
    </row>
    <row r="14530">
      <c r="A14530" s="86" t="str">
        <f>IFERROR(__xludf.DUMMYFUNCTION("""COMPUTED_VALUE"""),"")</f>
        <v/>
      </c>
      <c r="B14530" s="87"/>
      <c r="C14530" s="87"/>
      <c r="D14530" s="87"/>
      <c r="E14530" s="87"/>
      <c r="F14530" s="87"/>
      <c r="G14530" s="87"/>
    </row>
    <row r="14531">
      <c r="A14531" s="86" t="str">
        <f>IFERROR(__xludf.DUMMYFUNCTION("""COMPUTED_VALUE"""),"")</f>
        <v/>
      </c>
      <c r="B14531" s="87"/>
      <c r="C14531" s="87"/>
      <c r="D14531" s="87"/>
      <c r="E14531" s="87"/>
      <c r="F14531" s="87"/>
      <c r="G14531" s="87"/>
    </row>
    <row r="14532">
      <c r="A14532" s="86" t="str">
        <f>IFERROR(__xludf.DUMMYFUNCTION("""COMPUTED_VALUE"""),"")</f>
        <v/>
      </c>
      <c r="B14532" s="87"/>
      <c r="C14532" s="87"/>
      <c r="D14532" s="87"/>
      <c r="E14532" s="87"/>
      <c r="F14532" s="87"/>
      <c r="G14532" s="87"/>
    </row>
    <row r="14533">
      <c r="A14533" s="86" t="str">
        <f>IFERROR(__xludf.DUMMYFUNCTION("""COMPUTED_VALUE"""),"")</f>
        <v/>
      </c>
      <c r="B14533" s="87"/>
      <c r="C14533" s="87"/>
      <c r="D14533" s="87"/>
      <c r="E14533" s="87"/>
      <c r="F14533" s="87"/>
      <c r="G14533" s="87"/>
    </row>
    <row r="14534">
      <c r="A14534" s="86" t="str">
        <f>IFERROR(__xludf.DUMMYFUNCTION("""COMPUTED_VALUE"""),"")</f>
        <v/>
      </c>
      <c r="B14534" s="87"/>
      <c r="C14534" s="87"/>
      <c r="D14534" s="87"/>
      <c r="E14534" s="87"/>
      <c r="F14534" s="87"/>
      <c r="G14534" s="87"/>
    </row>
    <row r="14535">
      <c r="A14535" s="86" t="str">
        <f>IFERROR(__xludf.DUMMYFUNCTION("""COMPUTED_VALUE"""),"")</f>
        <v/>
      </c>
      <c r="B14535" s="87"/>
      <c r="C14535" s="87"/>
      <c r="D14535" s="87"/>
      <c r="E14535" s="87"/>
      <c r="F14535" s="87"/>
      <c r="G14535" s="87"/>
    </row>
    <row r="14536">
      <c r="A14536" s="86" t="str">
        <f>IFERROR(__xludf.DUMMYFUNCTION("""COMPUTED_VALUE"""),"")</f>
        <v/>
      </c>
      <c r="B14536" s="87"/>
      <c r="C14536" s="87"/>
      <c r="D14536" s="87"/>
      <c r="E14536" s="87"/>
      <c r="F14536" s="87"/>
      <c r="G14536" s="87"/>
    </row>
    <row r="14537">
      <c r="A14537" s="86" t="str">
        <f>IFERROR(__xludf.DUMMYFUNCTION("""COMPUTED_VALUE"""),"")</f>
        <v/>
      </c>
      <c r="B14537" s="87"/>
      <c r="C14537" s="87"/>
      <c r="D14537" s="87"/>
      <c r="E14537" s="87"/>
      <c r="F14537" s="87"/>
      <c r="G14537" s="87"/>
    </row>
    <row r="14538">
      <c r="A14538" s="86" t="str">
        <f>IFERROR(__xludf.DUMMYFUNCTION("""COMPUTED_VALUE"""),"")</f>
        <v/>
      </c>
      <c r="B14538" s="87"/>
      <c r="C14538" s="87"/>
      <c r="D14538" s="87"/>
      <c r="E14538" s="87"/>
      <c r="F14538" s="87"/>
      <c r="G14538" s="87"/>
    </row>
    <row r="14539">
      <c r="A14539" s="86" t="str">
        <f>IFERROR(__xludf.DUMMYFUNCTION("""COMPUTED_VALUE"""),"")</f>
        <v/>
      </c>
      <c r="B14539" s="87"/>
      <c r="C14539" s="87"/>
      <c r="D14539" s="87"/>
      <c r="E14539" s="87"/>
      <c r="F14539" s="87"/>
      <c r="G14539" s="87"/>
    </row>
    <row r="14540">
      <c r="A14540" s="86" t="str">
        <f>IFERROR(__xludf.DUMMYFUNCTION("""COMPUTED_VALUE"""),"")</f>
        <v/>
      </c>
      <c r="B14540" s="87"/>
      <c r="C14540" s="87"/>
      <c r="D14540" s="87"/>
      <c r="E14540" s="87"/>
      <c r="F14540" s="87"/>
      <c r="G14540" s="87"/>
    </row>
    <row r="14541">
      <c r="A14541" s="86" t="str">
        <f>IFERROR(__xludf.DUMMYFUNCTION("""COMPUTED_VALUE"""),"")</f>
        <v/>
      </c>
      <c r="B14541" s="87"/>
      <c r="C14541" s="87"/>
      <c r="D14541" s="87"/>
      <c r="E14541" s="87"/>
      <c r="F14541" s="87"/>
      <c r="G14541" s="87"/>
    </row>
    <row r="14542">
      <c r="A14542" s="86" t="str">
        <f>IFERROR(__xludf.DUMMYFUNCTION("""COMPUTED_VALUE"""),"")</f>
        <v/>
      </c>
      <c r="B14542" s="87"/>
      <c r="C14542" s="87"/>
      <c r="D14542" s="87"/>
      <c r="E14542" s="87"/>
      <c r="F14542" s="87"/>
      <c r="G14542" s="87"/>
    </row>
    <row r="14543">
      <c r="A14543" s="86" t="str">
        <f>IFERROR(__xludf.DUMMYFUNCTION("""COMPUTED_VALUE"""),"")</f>
        <v/>
      </c>
      <c r="B14543" s="87"/>
      <c r="C14543" s="87"/>
      <c r="D14543" s="87"/>
      <c r="E14543" s="87"/>
      <c r="F14543" s="87"/>
      <c r="G14543" s="87"/>
    </row>
    <row r="14544">
      <c r="A14544" s="86" t="str">
        <f>IFERROR(__xludf.DUMMYFUNCTION("""COMPUTED_VALUE"""),"")</f>
        <v/>
      </c>
      <c r="B14544" s="87"/>
      <c r="C14544" s="87"/>
      <c r="D14544" s="87"/>
      <c r="E14544" s="87"/>
      <c r="F14544" s="87"/>
      <c r="G14544" s="87"/>
    </row>
    <row r="14545">
      <c r="A14545" s="86" t="str">
        <f>IFERROR(__xludf.DUMMYFUNCTION("""COMPUTED_VALUE"""),"")</f>
        <v/>
      </c>
      <c r="B14545" s="87"/>
      <c r="C14545" s="87"/>
      <c r="D14545" s="87"/>
      <c r="E14545" s="87"/>
      <c r="F14545" s="87"/>
      <c r="G14545" s="87"/>
    </row>
    <row r="14546">
      <c r="A14546" s="86" t="str">
        <f>IFERROR(__xludf.DUMMYFUNCTION("""COMPUTED_VALUE"""),"")</f>
        <v/>
      </c>
      <c r="B14546" s="87"/>
      <c r="C14546" s="87"/>
      <c r="D14546" s="87"/>
      <c r="E14546" s="87"/>
      <c r="F14546" s="87"/>
      <c r="G14546" s="87"/>
    </row>
    <row r="14547">
      <c r="A14547" s="86" t="str">
        <f>IFERROR(__xludf.DUMMYFUNCTION("""COMPUTED_VALUE"""),"")</f>
        <v/>
      </c>
      <c r="B14547" s="87"/>
      <c r="C14547" s="87"/>
      <c r="D14547" s="87"/>
      <c r="E14547" s="87"/>
      <c r="F14547" s="87"/>
      <c r="G14547" s="87"/>
    </row>
    <row r="14548">
      <c r="A14548" s="86" t="str">
        <f>IFERROR(__xludf.DUMMYFUNCTION("""COMPUTED_VALUE"""),"")</f>
        <v/>
      </c>
      <c r="B14548" s="87"/>
      <c r="C14548" s="87"/>
      <c r="D14548" s="87"/>
      <c r="E14548" s="87"/>
      <c r="F14548" s="87"/>
      <c r="G14548" s="87"/>
    </row>
    <row r="14549">
      <c r="A14549" s="86" t="str">
        <f>IFERROR(__xludf.DUMMYFUNCTION("""COMPUTED_VALUE"""),"")</f>
        <v/>
      </c>
      <c r="B14549" s="87"/>
      <c r="C14549" s="87"/>
      <c r="D14549" s="87"/>
      <c r="E14549" s="87"/>
      <c r="F14549" s="87"/>
      <c r="G14549" s="87"/>
    </row>
    <row r="14550">
      <c r="A14550" s="86" t="str">
        <f>IFERROR(__xludf.DUMMYFUNCTION("""COMPUTED_VALUE"""),"")</f>
        <v/>
      </c>
      <c r="B14550" s="87"/>
      <c r="C14550" s="87"/>
      <c r="D14550" s="87"/>
      <c r="E14550" s="87"/>
      <c r="F14550" s="87"/>
      <c r="G14550" s="87"/>
    </row>
    <row r="14551">
      <c r="A14551" s="86" t="str">
        <f>IFERROR(__xludf.DUMMYFUNCTION("""COMPUTED_VALUE"""),"")</f>
        <v/>
      </c>
      <c r="B14551" s="87"/>
      <c r="C14551" s="87"/>
      <c r="D14551" s="87"/>
      <c r="E14551" s="87"/>
      <c r="F14551" s="87"/>
      <c r="G14551" s="87"/>
    </row>
    <row r="14552">
      <c r="A14552" s="86" t="str">
        <f>IFERROR(__xludf.DUMMYFUNCTION("""COMPUTED_VALUE"""),"")</f>
        <v/>
      </c>
      <c r="B14552" s="87"/>
      <c r="C14552" s="87"/>
      <c r="D14552" s="87"/>
      <c r="E14552" s="87"/>
      <c r="F14552" s="87"/>
      <c r="G14552" s="87"/>
    </row>
    <row r="14553">
      <c r="A14553" s="86" t="str">
        <f>IFERROR(__xludf.DUMMYFUNCTION("""COMPUTED_VALUE"""),"")</f>
        <v/>
      </c>
      <c r="B14553" s="87"/>
      <c r="C14553" s="87"/>
      <c r="D14553" s="87"/>
      <c r="E14553" s="87"/>
      <c r="F14553" s="87"/>
      <c r="G14553" s="87"/>
    </row>
    <row r="14554">
      <c r="A14554" s="86" t="str">
        <f>IFERROR(__xludf.DUMMYFUNCTION("""COMPUTED_VALUE"""),"")</f>
        <v/>
      </c>
      <c r="B14554" s="87"/>
      <c r="C14554" s="87"/>
      <c r="D14554" s="87"/>
      <c r="E14554" s="87"/>
      <c r="F14554" s="87"/>
      <c r="G14554" s="87"/>
    </row>
    <row r="14555">
      <c r="A14555" s="86" t="str">
        <f>IFERROR(__xludf.DUMMYFUNCTION("""COMPUTED_VALUE"""),"")</f>
        <v/>
      </c>
      <c r="B14555" s="87"/>
      <c r="C14555" s="87"/>
      <c r="D14555" s="87"/>
      <c r="E14555" s="87"/>
      <c r="F14555" s="87"/>
      <c r="G14555" s="87"/>
    </row>
    <row r="14556">
      <c r="A14556" s="86" t="str">
        <f>IFERROR(__xludf.DUMMYFUNCTION("""COMPUTED_VALUE"""),"")</f>
        <v/>
      </c>
      <c r="B14556" s="87"/>
      <c r="C14556" s="87"/>
      <c r="D14556" s="87"/>
      <c r="E14556" s="87"/>
      <c r="F14556" s="87"/>
      <c r="G14556" s="87"/>
    </row>
    <row r="14557">
      <c r="A14557" s="86" t="str">
        <f>IFERROR(__xludf.DUMMYFUNCTION("""COMPUTED_VALUE"""),"")</f>
        <v/>
      </c>
      <c r="B14557" s="87"/>
      <c r="C14557" s="87"/>
      <c r="D14557" s="87"/>
      <c r="E14557" s="87"/>
      <c r="F14557" s="87"/>
      <c r="G14557" s="87"/>
    </row>
    <row r="14558">
      <c r="A14558" s="86" t="str">
        <f>IFERROR(__xludf.DUMMYFUNCTION("""COMPUTED_VALUE"""),"")</f>
        <v/>
      </c>
      <c r="B14558" s="87"/>
      <c r="C14558" s="87"/>
      <c r="D14558" s="87"/>
      <c r="E14558" s="87"/>
      <c r="F14558" s="87"/>
      <c r="G14558" s="87"/>
    </row>
    <row r="14559">
      <c r="A14559" s="86" t="str">
        <f>IFERROR(__xludf.DUMMYFUNCTION("""COMPUTED_VALUE"""),"")</f>
        <v/>
      </c>
      <c r="B14559" s="87"/>
      <c r="C14559" s="87"/>
      <c r="D14559" s="87"/>
      <c r="E14559" s="87"/>
      <c r="F14559" s="87"/>
      <c r="G14559" s="87"/>
    </row>
    <row r="14560">
      <c r="A14560" s="86" t="str">
        <f>IFERROR(__xludf.DUMMYFUNCTION("""COMPUTED_VALUE"""),"")</f>
        <v/>
      </c>
      <c r="B14560" s="87"/>
      <c r="C14560" s="87"/>
      <c r="D14560" s="87"/>
      <c r="E14560" s="87"/>
      <c r="F14560" s="87"/>
      <c r="G14560" s="87"/>
    </row>
    <row r="14561">
      <c r="A14561" s="86" t="str">
        <f>IFERROR(__xludf.DUMMYFUNCTION("""COMPUTED_VALUE"""),"")</f>
        <v/>
      </c>
      <c r="B14561" s="87"/>
      <c r="C14561" s="87"/>
      <c r="D14561" s="87"/>
      <c r="E14561" s="87"/>
      <c r="F14561" s="87"/>
      <c r="G14561" s="87"/>
    </row>
    <row r="14562">
      <c r="A14562" s="86" t="str">
        <f>IFERROR(__xludf.DUMMYFUNCTION("""COMPUTED_VALUE"""),"")</f>
        <v/>
      </c>
      <c r="B14562" s="87"/>
      <c r="C14562" s="87"/>
      <c r="D14562" s="87"/>
      <c r="E14562" s="87"/>
      <c r="F14562" s="87"/>
      <c r="G14562" s="87"/>
    </row>
    <row r="14563">
      <c r="A14563" s="86" t="str">
        <f>IFERROR(__xludf.DUMMYFUNCTION("""COMPUTED_VALUE"""),"")</f>
        <v/>
      </c>
      <c r="B14563" s="87"/>
      <c r="C14563" s="87"/>
      <c r="D14563" s="87"/>
      <c r="E14563" s="87"/>
      <c r="F14563" s="87"/>
      <c r="G14563" s="87"/>
    </row>
    <row r="14564">
      <c r="A14564" s="86" t="str">
        <f>IFERROR(__xludf.DUMMYFUNCTION("""COMPUTED_VALUE"""),"")</f>
        <v/>
      </c>
      <c r="B14564" s="87"/>
      <c r="C14564" s="87"/>
      <c r="D14564" s="87"/>
      <c r="E14564" s="87"/>
      <c r="F14564" s="87"/>
      <c r="G14564" s="87"/>
    </row>
    <row r="14565">
      <c r="A14565" s="86" t="str">
        <f>IFERROR(__xludf.DUMMYFUNCTION("""COMPUTED_VALUE"""),"")</f>
        <v/>
      </c>
      <c r="B14565" s="87"/>
      <c r="C14565" s="87"/>
      <c r="D14565" s="87"/>
      <c r="E14565" s="87"/>
      <c r="F14565" s="87"/>
      <c r="G14565" s="87"/>
    </row>
    <row r="14566">
      <c r="A14566" s="86" t="str">
        <f>IFERROR(__xludf.DUMMYFUNCTION("""COMPUTED_VALUE"""),"")</f>
        <v/>
      </c>
      <c r="B14566" s="87"/>
      <c r="C14566" s="87"/>
      <c r="D14566" s="87"/>
      <c r="E14566" s="87"/>
      <c r="F14566" s="87"/>
      <c r="G14566" s="87"/>
    </row>
    <row r="14567">
      <c r="A14567" s="86" t="str">
        <f>IFERROR(__xludf.DUMMYFUNCTION("""COMPUTED_VALUE"""),"")</f>
        <v/>
      </c>
      <c r="B14567" s="87"/>
      <c r="C14567" s="87"/>
      <c r="D14567" s="87"/>
      <c r="E14567" s="87"/>
      <c r="F14567" s="87"/>
      <c r="G14567" s="87"/>
    </row>
    <row r="14568">
      <c r="A14568" s="86" t="str">
        <f>IFERROR(__xludf.DUMMYFUNCTION("""COMPUTED_VALUE"""),"")</f>
        <v/>
      </c>
      <c r="B14568" s="87"/>
      <c r="C14568" s="87"/>
      <c r="D14568" s="87"/>
      <c r="E14568" s="87"/>
      <c r="F14568" s="87"/>
      <c r="G14568" s="87"/>
    </row>
    <row r="14569">
      <c r="A14569" s="86" t="str">
        <f>IFERROR(__xludf.DUMMYFUNCTION("""COMPUTED_VALUE"""),"")</f>
        <v/>
      </c>
      <c r="B14569" s="87"/>
      <c r="C14569" s="87"/>
      <c r="D14569" s="87"/>
      <c r="E14569" s="87"/>
      <c r="F14569" s="87"/>
      <c r="G14569" s="87"/>
    </row>
    <row r="14570">
      <c r="A14570" s="86" t="str">
        <f>IFERROR(__xludf.DUMMYFUNCTION("""COMPUTED_VALUE"""),"")</f>
        <v/>
      </c>
      <c r="B14570" s="87"/>
      <c r="C14570" s="87"/>
      <c r="D14570" s="87"/>
      <c r="E14570" s="87"/>
      <c r="F14570" s="87"/>
      <c r="G14570" s="87"/>
    </row>
    <row r="14571">
      <c r="A14571" s="86" t="str">
        <f>IFERROR(__xludf.DUMMYFUNCTION("""COMPUTED_VALUE"""),"")</f>
        <v/>
      </c>
      <c r="B14571" s="87"/>
      <c r="C14571" s="87"/>
      <c r="D14571" s="87"/>
      <c r="E14571" s="87"/>
      <c r="F14571" s="87"/>
      <c r="G14571" s="87"/>
    </row>
    <row r="14572">
      <c r="A14572" s="86" t="str">
        <f>IFERROR(__xludf.DUMMYFUNCTION("""COMPUTED_VALUE"""),"")</f>
        <v/>
      </c>
      <c r="B14572" s="87"/>
      <c r="C14572" s="87"/>
      <c r="D14572" s="87"/>
      <c r="E14572" s="87"/>
      <c r="F14572" s="87"/>
      <c r="G14572" s="87"/>
    </row>
    <row r="14573">
      <c r="A14573" s="86" t="str">
        <f>IFERROR(__xludf.DUMMYFUNCTION("""COMPUTED_VALUE"""),"")</f>
        <v/>
      </c>
      <c r="B14573" s="87"/>
      <c r="C14573" s="87"/>
      <c r="D14573" s="87"/>
      <c r="E14573" s="87"/>
      <c r="F14573" s="87"/>
      <c r="G14573" s="87"/>
    </row>
    <row r="14574">
      <c r="A14574" s="86" t="str">
        <f>IFERROR(__xludf.DUMMYFUNCTION("""COMPUTED_VALUE"""),"")</f>
        <v/>
      </c>
      <c r="B14574" s="87"/>
      <c r="C14574" s="87"/>
      <c r="D14574" s="87"/>
      <c r="E14574" s="87"/>
      <c r="F14574" s="87"/>
      <c r="G14574" s="87"/>
    </row>
    <row r="14575">
      <c r="A14575" s="86" t="str">
        <f>IFERROR(__xludf.DUMMYFUNCTION("""COMPUTED_VALUE"""),"")</f>
        <v/>
      </c>
      <c r="B14575" s="87"/>
      <c r="C14575" s="87"/>
      <c r="D14575" s="87"/>
      <c r="E14575" s="87"/>
      <c r="F14575" s="87"/>
      <c r="G14575" s="87"/>
    </row>
    <row r="14576">
      <c r="A14576" s="86" t="str">
        <f>IFERROR(__xludf.DUMMYFUNCTION("""COMPUTED_VALUE"""),"")</f>
        <v/>
      </c>
      <c r="B14576" s="87"/>
      <c r="C14576" s="87"/>
      <c r="D14576" s="87"/>
      <c r="E14576" s="87"/>
      <c r="F14576" s="87"/>
      <c r="G14576" s="87"/>
    </row>
    <row r="14577">
      <c r="A14577" s="86" t="str">
        <f>IFERROR(__xludf.DUMMYFUNCTION("""COMPUTED_VALUE"""),"")</f>
        <v/>
      </c>
      <c r="B14577" s="87"/>
      <c r="C14577" s="87"/>
      <c r="D14577" s="87"/>
      <c r="E14577" s="87"/>
      <c r="F14577" s="87"/>
      <c r="G14577" s="87"/>
    </row>
    <row r="14578">
      <c r="A14578" s="86" t="str">
        <f>IFERROR(__xludf.DUMMYFUNCTION("""COMPUTED_VALUE"""),"")</f>
        <v/>
      </c>
      <c r="B14578" s="87"/>
      <c r="C14578" s="87"/>
      <c r="D14578" s="87"/>
      <c r="E14578" s="87"/>
      <c r="F14578" s="87"/>
      <c r="G14578" s="87"/>
    </row>
    <row r="14579">
      <c r="A14579" s="86" t="str">
        <f>IFERROR(__xludf.DUMMYFUNCTION("""COMPUTED_VALUE"""),"")</f>
        <v/>
      </c>
      <c r="B14579" s="87"/>
      <c r="C14579" s="87"/>
      <c r="D14579" s="87"/>
      <c r="E14579" s="87"/>
      <c r="F14579" s="87"/>
      <c r="G14579" s="87"/>
    </row>
    <row r="14580">
      <c r="A14580" s="86" t="str">
        <f>IFERROR(__xludf.DUMMYFUNCTION("""COMPUTED_VALUE"""),"")</f>
        <v/>
      </c>
      <c r="B14580" s="87"/>
      <c r="C14580" s="87"/>
      <c r="D14580" s="87"/>
      <c r="E14580" s="87"/>
      <c r="F14580" s="87"/>
      <c r="G14580" s="87"/>
    </row>
    <row r="14581">
      <c r="A14581" s="86" t="str">
        <f>IFERROR(__xludf.DUMMYFUNCTION("""COMPUTED_VALUE"""),"")</f>
        <v/>
      </c>
      <c r="B14581" s="87"/>
      <c r="C14581" s="87"/>
      <c r="D14581" s="87"/>
      <c r="E14581" s="87"/>
      <c r="F14581" s="87"/>
      <c r="G14581" s="87"/>
    </row>
    <row r="14582">
      <c r="A14582" s="86" t="str">
        <f>IFERROR(__xludf.DUMMYFUNCTION("""COMPUTED_VALUE"""),"")</f>
        <v/>
      </c>
      <c r="B14582" s="87"/>
      <c r="C14582" s="87"/>
      <c r="D14582" s="87"/>
      <c r="E14582" s="87"/>
      <c r="F14582" s="87"/>
      <c r="G14582" s="87"/>
    </row>
    <row r="14583">
      <c r="A14583" s="86" t="str">
        <f>IFERROR(__xludf.DUMMYFUNCTION("""COMPUTED_VALUE"""),"")</f>
        <v/>
      </c>
      <c r="B14583" s="87"/>
      <c r="C14583" s="87"/>
      <c r="D14583" s="87"/>
      <c r="E14583" s="87"/>
      <c r="F14583" s="87"/>
      <c r="G14583" s="87"/>
    </row>
    <row r="14584">
      <c r="A14584" s="86" t="str">
        <f>IFERROR(__xludf.DUMMYFUNCTION("""COMPUTED_VALUE"""),"")</f>
        <v/>
      </c>
      <c r="B14584" s="87"/>
      <c r="C14584" s="87"/>
      <c r="D14584" s="87"/>
      <c r="E14584" s="87"/>
      <c r="F14584" s="87"/>
      <c r="G14584" s="87"/>
    </row>
    <row r="14585">
      <c r="A14585" s="86" t="str">
        <f>IFERROR(__xludf.DUMMYFUNCTION("""COMPUTED_VALUE"""),"")</f>
        <v/>
      </c>
      <c r="B14585" s="87"/>
      <c r="C14585" s="87"/>
      <c r="D14585" s="87"/>
      <c r="E14585" s="87"/>
      <c r="F14585" s="87"/>
      <c r="G14585" s="87"/>
    </row>
    <row r="14586">
      <c r="A14586" s="86" t="str">
        <f>IFERROR(__xludf.DUMMYFUNCTION("""COMPUTED_VALUE"""),"")</f>
        <v/>
      </c>
      <c r="B14586" s="87"/>
      <c r="C14586" s="87"/>
      <c r="D14586" s="87"/>
      <c r="E14586" s="87"/>
      <c r="F14586" s="87"/>
      <c r="G14586" s="87"/>
    </row>
    <row r="14587">
      <c r="A14587" s="86" t="str">
        <f>IFERROR(__xludf.DUMMYFUNCTION("""COMPUTED_VALUE"""),"")</f>
        <v/>
      </c>
      <c r="B14587" s="87"/>
      <c r="C14587" s="87"/>
      <c r="D14587" s="87"/>
      <c r="E14587" s="87"/>
      <c r="F14587" s="87"/>
      <c r="G14587" s="87"/>
    </row>
    <row r="14588">
      <c r="A14588" s="86" t="str">
        <f>IFERROR(__xludf.DUMMYFUNCTION("""COMPUTED_VALUE"""),"")</f>
        <v/>
      </c>
      <c r="B14588" s="87"/>
      <c r="C14588" s="87"/>
      <c r="D14588" s="87"/>
      <c r="E14588" s="87"/>
      <c r="F14588" s="87"/>
      <c r="G14588" s="87"/>
    </row>
    <row r="14589">
      <c r="A14589" s="86" t="str">
        <f>IFERROR(__xludf.DUMMYFUNCTION("""COMPUTED_VALUE"""),"")</f>
        <v/>
      </c>
      <c r="B14589" s="87"/>
      <c r="C14589" s="87"/>
      <c r="D14589" s="87"/>
      <c r="E14589" s="87"/>
      <c r="F14589" s="87"/>
      <c r="G14589" s="87"/>
    </row>
    <row r="14590">
      <c r="A14590" s="86" t="str">
        <f>IFERROR(__xludf.DUMMYFUNCTION("""COMPUTED_VALUE"""),"")</f>
        <v/>
      </c>
      <c r="B14590" s="87"/>
      <c r="C14590" s="87"/>
      <c r="D14590" s="87"/>
      <c r="E14590" s="87"/>
      <c r="F14590" s="87"/>
      <c r="G14590" s="87"/>
    </row>
    <row r="14591">
      <c r="A14591" s="86" t="str">
        <f>IFERROR(__xludf.DUMMYFUNCTION("""COMPUTED_VALUE"""),"")</f>
        <v/>
      </c>
      <c r="B14591" s="87"/>
      <c r="C14591" s="87"/>
      <c r="D14591" s="87"/>
      <c r="E14591" s="87"/>
      <c r="F14591" s="87"/>
      <c r="G14591" s="87"/>
    </row>
    <row r="14592">
      <c r="A14592" s="86" t="str">
        <f>IFERROR(__xludf.DUMMYFUNCTION("""COMPUTED_VALUE"""),"")</f>
        <v/>
      </c>
      <c r="B14592" s="87"/>
      <c r="C14592" s="87"/>
      <c r="D14592" s="87"/>
      <c r="E14592" s="87"/>
      <c r="F14592" s="87"/>
      <c r="G14592" s="87"/>
    </row>
    <row r="14593">
      <c r="A14593" s="86" t="str">
        <f>IFERROR(__xludf.DUMMYFUNCTION("""COMPUTED_VALUE"""),"")</f>
        <v/>
      </c>
      <c r="B14593" s="87"/>
      <c r="C14593" s="87"/>
      <c r="D14593" s="87"/>
      <c r="E14593" s="87"/>
      <c r="F14593" s="87"/>
      <c r="G14593" s="87"/>
    </row>
    <row r="14594">
      <c r="A14594" s="86" t="str">
        <f>IFERROR(__xludf.DUMMYFUNCTION("""COMPUTED_VALUE"""),"")</f>
        <v/>
      </c>
      <c r="B14594" s="87"/>
      <c r="C14594" s="87"/>
      <c r="D14594" s="87"/>
      <c r="E14594" s="87"/>
      <c r="F14594" s="87"/>
      <c r="G14594" s="87"/>
    </row>
    <row r="14595">
      <c r="A14595" s="86" t="str">
        <f>IFERROR(__xludf.DUMMYFUNCTION("""COMPUTED_VALUE"""),"")</f>
        <v/>
      </c>
      <c r="B14595" s="87"/>
      <c r="C14595" s="87"/>
      <c r="D14595" s="87"/>
      <c r="E14595" s="87"/>
      <c r="F14595" s="87"/>
      <c r="G14595" s="87"/>
    </row>
    <row r="14596">
      <c r="A14596" s="86" t="str">
        <f>IFERROR(__xludf.DUMMYFUNCTION("""COMPUTED_VALUE"""),"")</f>
        <v/>
      </c>
      <c r="B14596" s="87"/>
      <c r="C14596" s="87"/>
      <c r="D14596" s="87"/>
      <c r="E14596" s="87"/>
      <c r="F14596" s="87"/>
      <c r="G14596" s="87"/>
    </row>
    <row r="14597">
      <c r="A14597" s="86" t="str">
        <f>IFERROR(__xludf.DUMMYFUNCTION("""COMPUTED_VALUE"""),"")</f>
        <v/>
      </c>
      <c r="B14597" s="87"/>
      <c r="C14597" s="87"/>
      <c r="D14597" s="87"/>
      <c r="E14597" s="87"/>
      <c r="F14597" s="87"/>
      <c r="G14597" s="87"/>
    </row>
    <row r="14598">
      <c r="A14598" s="86" t="str">
        <f>IFERROR(__xludf.DUMMYFUNCTION("""COMPUTED_VALUE"""),"")</f>
        <v/>
      </c>
      <c r="B14598" s="87"/>
      <c r="C14598" s="87"/>
      <c r="D14598" s="87"/>
      <c r="E14598" s="87"/>
      <c r="F14598" s="87"/>
      <c r="G14598" s="87"/>
    </row>
    <row r="14599">
      <c r="A14599" s="86" t="str">
        <f>IFERROR(__xludf.DUMMYFUNCTION("""COMPUTED_VALUE"""),"")</f>
        <v/>
      </c>
      <c r="B14599" s="87"/>
      <c r="C14599" s="87"/>
      <c r="D14599" s="87"/>
      <c r="E14599" s="87"/>
      <c r="F14599" s="87"/>
      <c r="G14599" s="87"/>
    </row>
    <row r="14600">
      <c r="A14600" s="86" t="str">
        <f>IFERROR(__xludf.DUMMYFUNCTION("""COMPUTED_VALUE"""),"")</f>
        <v/>
      </c>
      <c r="B14600" s="87"/>
      <c r="C14600" s="87"/>
      <c r="D14600" s="87"/>
      <c r="E14600" s="87"/>
      <c r="F14600" s="87"/>
      <c r="G14600" s="87"/>
    </row>
    <row r="14601">
      <c r="A14601" s="86" t="str">
        <f>IFERROR(__xludf.DUMMYFUNCTION("""COMPUTED_VALUE"""),"")</f>
        <v/>
      </c>
      <c r="B14601" s="87"/>
      <c r="C14601" s="87"/>
      <c r="D14601" s="87"/>
      <c r="E14601" s="87"/>
      <c r="F14601" s="87"/>
      <c r="G14601" s="87"/>
    </row>
    <row r="14602">
      <c r="A14602" s="86" t="str">
        <f>IFERROR(__xludf.DUMMYFUNCTION("""COMPUTED_VALUE"""),"")</f>
        <v/>
      </c>
      <c r="B14602" s="87"/>
      <c r="C14602" s="87"/>
      <c r="D14602" s="87"/>
      <c r="E14602" s="87"/>
      <c r="F14602" s="87"/>
      <c r="G14602" s="87"/>
    </row>
    <row r="14603">
      <c r="A14603" s="86" t="str">
        <f>IFERROR(__xludf.DUMMYFUNCTION("""COMPUTED_VALUE"""),"")</f>
        <v/>
      </c>
      <c r="B14603" s="87"/>
      <c r="C14603" s="87"/>
      <c r="D14603" s="87"/>
      <c r="E14603" s="87"/>
      <c r="F14603" s="87"/>
      <c r="G14603" s="87"/>
    </row>
    <row r="14604">
      <c r="A14604" s="86" t="str">
        <f>IFERROR(__xludf.DUMMYFUNCTION("""COMPUTED_VALUE"""),"")</f>
        <v/>
      </c>
      <c r="B14604" s="87"/>
      <c r="C14604" s="87"/>
      <c r="D14604" s="87"/>
      <c r="E14604" s="87"/>
      <c r="F14604" s="87"/>
      <c r="G14604" s="87"/>
    </row>
    <row r="14605">
      <c r="A14605" s="86" t="str">
        <f>IFERROR(__xludf.DUMMYFUNCTION("""COMPUTED_VALUE"""),"")</f>
        <v/>
      </c>
      <c r="B14605" s="87"/>
      <c r="C14605" s="87"/>
      <c r="D14605" s="87"/>
      <c r="E14605" s="87"/>
      <c r="F14605" s="87"/>
      <c r="G14605" s="87"/>
    </row>
    <row r="14606">
      <c r="A14606" s="86" t="str">
        <f>IFERROR(__xludf.DUMMYFUNCTION("""COMPUTED_VALUE"""),"")</f>
        <v/>
      </c>
      <c r="B14606" s="87"/>
      <c r="C14606" s="87"/>
      <c r="D14606" s="87"/>
      <c r="E14606" s="87"/>
      <c r="F14606" s="87"/>
      <c r="G14606" s="87"/>
    </row>
    <row r="14607">
      <c r="A14607" s="86" t="str">
        <f>IFERROR(__xludf.DUMMYFUNCTION("""COMPUTED_VALUE"""),"")</f>
        <v/>
      </c>
      <c r="B14607" s="87"/>
      <c r="C14607" s="87"/>
      <c r="D14607" s="87"/>
      <c r="E14607" s="87"/>
      <c r="F14607" s="87"/>
      <c r="G14607" s="87"/>
    </row>
    <row r="14608">
      <c r="A14608" s="86" t="str">
        <f>IFERROR(__xludf.DUMMYFUNCTION("""COMPUTED_VALUE"""),"")</f>
        <v/>
      </c>
      <c r="B14608" s="87"/>
      <c r="C14608" s="87"/>
      <c r="D14608" s="87"/>
      <c r="E14608" s="87"/>
      <c r="F14608" s="87"/>
      <c r="G14608" s="87"/>
    </row>
    <row r="14609">
      <c r="A14609" s="86" t="str">
        <f>IFERROR(__xludf.DUMMYFUNCTION("""COMPUTED_VALUE"""),"")</f>
        <v/>
      </c>
      <c r="B14609" s="87"/>
      <c r="C14609" s="87"/>
      <c r="D14609" s="87"/>
      <c r="E14609" s="87"/>
      <c r="F14609" s="87"/>
      <c r="G14609" s="87"/>
    </row>
    <row r="14610">
      <c r="A14610" s="86" t="str">
        <f>IFERROR(__xludf.DUMMYFUNCTION("""COMPUTED_VALUE"""),"")</f>
        <v/>
      </c>
      <c r="B14610" s="87"/>
      <c r="C14610" s="87"/>
      <c r="D14610" s="87"/>
      <c r="E14610" s="87"/>
      <c r="F14610" s="87"/>
      <c r="G14610" s="87"/>
    </row>
    <row r="14611">
      <c r="A14611" s="86" t="str">
        <f>IFERROR(__xludf.DUMMYFUNCTION("""COMPUTED_VALUE"""),"")</f>
        <v/>
      </c>
      <c r="B14611" s="87"/>
      <c r="C14611" s="87"/>
      <c r="D14611" s="87"/>
      <c r="E14611" s="87"/>
      <c r="F14611" s="87"/>
      <c r="G14611" s="87"/>
    </row>
    <row r="14612">
      <c r="A14612" s="86" t="str">
        <f>IFERROR(__xludf.DUMMYFUNCTION("""COMPUTED_VALUE"""),"")</f>
        <v/>
      </c>
      <c r="B14612" s="87"/>
      <c r="C14612" s="87"/>
      <c r="D14612" s="87"/>
      <c r="E14612" s="87"/>
      <c r="F14612" s="87"/>
      <c r="G14612" s="87"/>
    </row>
    <row r="14613">
      <c r="A14613" s="86" t="str">
        <f>IFERROR(__xludf.DUMMYFUNCTION("""COMPUTED_VALUE"""),"")</f>
        <v/>
      </c>
      <c r="B14613" s="87"/>
      <c r="C14613" s="87"/>
      <c r="D14613" s="87"/>
      <c r="E14613" s="87"/>
      <c r="F14613" s="87"/>
      <c r="G14613" s="87"/>
    </row>
    <row r="14614">
      <c r="A14614" s="86" t="str">
        <f>IFERROR(__xludf.DUMMYFUNCTION("""COMPUTED_VALUE"""),"")</f>
        <v/>
      </c>
      <c r="B14614" s="87"/>
      <c r="C14614" s="87"/>
      <c r="D14614" s="87"/>
      <c r="E14614" s="87"/>
      <c r="F14614" s="87"/>
      <c r="G14614" s="87"/>
    </row>
    <row r="14615">
      <c r="A14615" s="86" t="str">
        <f>IFERROR(__xludf.DUMMYFUNCTION("""COMPUTED_VALUE"""),"")</f>
        <v/>
      </c>
      <c r="B14615" s="87"/>
      <c r="C14615" s="87"/>
      <c r="D14615" s="87"/>
      <c r="E14615" s="87"/>
      <c r="F14615" s="87"/>
      <c r="G14615" s="87"/>
    </row>
    <row r="14616">
      <c r="A14616" s="86" t="str">
        <f>IFERROR(__xludf.DUMMYFUNCTION("""COMPUTED_VALUE"""),"")</f>
        <v/>
      </c>
      <c r="B14616" s="87"/>
      <c r="C14616" s="87"/>
      <c r="D14616" s="87"/>
      <c r="E14616" s="87"/>
      <c r="F14616" s="87"/>
      <c r="G14616" s="87"/>
    </row>
    <row r="14617">
      <c r="A14617" s="86" t="str">
        <f>IFERROR(__xludf.DUMMYFUNCTION("""COMPUTED_VALUE"""),"")</f>
        <v/>
      </c>
      <c r="B14617" s="87"/>
      <c r="C14617" s="87"/>
      <c r="D14617" s="87"/>
      <c r="E14617" s="87"/>
      <c r="F14617" s="87"/>
      <c r="G14617" s="87"/>
    </row>
    <row r="14618">
      <c r="A14618" s="86" t="str">
        <f>IFERROR(__xludf.DUMMYFUNCTION("""COMPUTED_VALUE"""),"")</f>
        <v/>
      </c>
      <c r="B14618" s="87"/>
      <c r="C14618" s="87"/>
      <c r="D14618" s="87"/>
      <c r="E14618" s="87"/>
      <c r="F14618" s="87"/>
      <c r="G14618" s="87"/>
    </row>
    <row r="14619">
      <c r="A14619" s="86" t="str">
        <f>IFERROR(__xludf.DUMMYFUNCTION("""COMPUTED_VALUE"""),"")</f>
        <v/>
      </c>
      <c r="B14619" s="87"/>
      <c r="C14619" s="87"/>
      <c r="D14619" s="87"/>
      <c r="E14619" s="87"/>
      <c r="F14619" s="87"/>
      <c r="G14619" s="87"/>
    </row>
    <row r="14620">
      <c r="A14620" s="86" t="str">
        <f>IFERROR(__xludf.DUMMYFUNCTION("""COMPUTED_VALUE"""),"")</f>
        <v/>
      </c>
      <c r="B14620" s="87"/>
      <c r="C14620" s="87"/>
      <c r="D14620" s="87"/>
      <c r="E14620" s="87"/>
      <c r="F14620" s="87"/>
      <c r="G14620" s="87"/>
    </row>
    <row r="14621">
      <c r="A14621" s="86" t="str">
        <f>IFERROR(__xludf.DUMMYFUNCTION("""COMPUTED_VALUE"""),"")</f>
        <v/>
      </c>
      <c r="B14621" s="87"/>
      <c r="C14621" s="87"/>
      <c r="D14621" s="87"/>
      <c r="E14621" s="87"/>
      <c r="F14621" s="87"/>
      <c r="G14621" s="87"/>
    </row>
    <row r="14622">
      <c r="A14622" s="86" t="str">
        <f>IFERROR(__xludf.DUMMYFUNCTION("""COMPUTED_VALUE"""),"")</f>
        <v/>
      </c>
      <c r="B14622" s="87"/>
      <c r="C14622" s="87"/>
      <c r="D14622" s="87"/>
      <c r="E14622" s="87"/>
      <c r="F14622" s="87"/>
      <c r="G14622" s="87"/>
    </row>
    <row r="14623">
      <c r="A14623" s="86" t="str">
        <f>IFERROR(__xludf.DUMMYFUNCTION("""COMPUTED_VALUE"""),"")</f>
        <v/>
      </c>
      <c r="B14623" s="87"/>
      <c r="C14623" s="87"/>
      <c r="D14623" s="87"/>
      <c r="E14623" s="87"/>
      <c r="F14623" s="87"/>
      <c r="G14623" s="87"/>
    </row>
    <row r="14624">
      <c r="A14624" s="86" t="str">
        <f>IFERROR(__xludf.DUMMYFUNCTION("""COMPUTED_VALUE"""),"")</f>
        <v/>
      </c>
      <c r="B14624" s="87"/>
      <c r="C14624" s="87"/>
      <c r="D14624" s="87"/>
      <c r="E14624" s="87"/>
      <c r="F14624" s="87"/>
      <c r="G14624" s="87"/>
    </row>
    <row r="14625">
      <c r="A14625" s="86" t="str">
        <f>IFERROR(__xludf.DUMMYFUNCTION("""COMPUTED_VALUE"""),"")</f>
        <v/>
      </c>
      <c r="B14625" s="87"/>
      <c r="C14625" s="87"/>
      <c r="D14625" s="87"/>
      <c r="E14625" s="87"/>
      <c r="F14625" s="87"/>
      <c r="G14625" s="87"/>
    </row>
    <row r="14626">
      <c r="A14626" s="86" t="str">
        <f>IFERROR(__xludf.DUMMYFUNCTION("""COMPUTED_VALUE"""),"")</f>
        <v/>
      </c>
      <c r="B14626" s="87"/>
      <c r="C14626" s="87"/>
      <c r="D14626" s="87"/>
      <c r="E14626" s="87"/>
      <c r="F14626" s="87"/>
      <c r="G14626" s="87"/>
    </row>
    <row r="14627">
      <c r="A14627" s="86" t="str">
        <f>IFERROR(__xludf.DUMMYFUNCTION("""COMPUTED_VALUE"""),"")</f>
        <v/>
      </c>
      <c r="B14627" s="87"/>
      <c r="C14627" s="87"/>
      <c r="D14627" s="87"/>
      <c r="E14627" s="87"/>
      <c r="F14627" s="87"/>
      <c r="G14627" s="87"/>
    </row>
    <row r="14628">
      <c r="A14628" s="86" t="str">
        <f>IFERROR(__xludf.DUMMYFUNCTION("""COMPUTED_VALUE"""),"")</f>
        <v/>
      </c>
      <c r="B14628" s="87"/>
      <c r="C14628" s="87"/>
      <c r="D14628" s="87"/>
      <c r="E14628" s="87"/>
      <c r="F14628" s="87"/>
      <c r="G14628" s="87"/>
    </row>
    <row r="14629">
      <c r="A14629" s="86" t="str">
        <f>IFERROR(__xludf.DUMMYFUNCTION("""COMPUTED_VALUE"""),"")</f>
        <v/>
      </c>
      <c r="B14629" s="87"/>
      <c r="C14629" s="87"/>
      <c r="D14629" s="87"/>
      <c r="E14629" s="87"/>
      <c r="F14629" s="87"/>
      <c r="G14629" s="87"/>
    </row>
    <row r="14630">
      <c r="A14630" s="86" t="str">
        <f>IFERROR(__xludf.DUMMYFUNCTION("""COMPUTED_VALUE"""),"")</f>
        <v/>
      </c>
      <c r="B14630" s="87"/>
      <c r="C14630" s="87"/>
      <c r="D14630" s="87"/>
      <c r="E14630" s="87"/>
      <c r="F14630" s="87"/>
      <c r="G14630" s="87"/>
    </row>
    <row r="14631">
      <c r="A14631" s="86" t="str">
        <f>IFERROR(__xludf.DUMMYFUNCTION("""COMPUTED_VALUE"""),"")</f>
        <v/>
      </c>
      <c r="B14631" s="87"/>
      <c r="C14631" s="87"/>
      <c r="D14631" s="87"/>
      <c r="E14631" s="87"/>
      <c r="F14631" s="87"/>
      <c r="G14631" s="87"/>
    </row>
    <row r="14632">
      <c r="A14632" s="86" t="str">
        <f>IFERROR(__xludf.DUMMYFUNCTION("""COMPUTED_VALUE"""),"")</f>
        <v/>
      </c>
      <c r="B14632" s="87"/>
      <c r="C14632" s="87"/>
      <c r="D14632" s="87"/>
      <c r="E14632" s="87"/>
      <c r="F14632" s="87"/>
      <c r="G14632" s="87"/>
    </row>
    <row r="14633">
      <c r="A14633" s="86" t="str">
        <f>IFERROR(__xludf.DUMMYFUNCTION("""COMPUTED_VALUE"""),"")</f>
        <v/>
      </c>
      <c r="B14633" s="87"/>
      <c r="C14633" s="87"/>
      <c r="D14633" s="87"/>
      <c r="E14633" s="87"/>
      <c r="F14633" s="87"/>
      <c r="G14633" s="87"/>
    </row>
    <row r="14634">
      <c r="A14634" s="86" t="str">
        <f>IFERROR(__xludf.DUMMYFUNCTION("""COMPUTED_VALUE"""),"")</f>
        <v/>
      </c>
      <c r="B14634" s="87"/>
      <c r="C14634" s="87"/>
      <c r="D14634" s="87"/>
      <c r="E14634" s="87"/>
      <c r="F14634" s="87"/>
      <c r="G14634" s="87"/>
    </row>
    <row r="14635">
      <c r="A14635" s="86" t="str">
        <f>IFERROR(__xludf.DUMMYFUNCTION("""COMPUTED_VALUE"""),"")</f>
        <v/>
      </c>
      <c r="B14635" s="87"/>
      <c r="C14635" s="87"/>
      <c r="D14635" s="87"/>
      <c r="E14635" s="87"/>
      <c r="F14635" s="87"/>
      <c r="G14635" s="87"/>
    </row>
    <row r="14636">
      <c r="A14636" s="86" t="str">
        <f>IFERROR(__xludf.DUMMYFUNCTION("""COMPUTED_VALUE"""),"")</f>
        <v/>
      </c>
      <c r="B14636" s="87"/>
      <c r="C14636" s="87"/>
      <c r="D14636" s="87"/>
      <c r="E14636" s="87"/>
      <c r="F14636" s="87"/>
      <c r="G14636" s="87"/>
    </row>
    <row r="14637">
      <c r="A14637" s="86" t="str">
        <f>IFERROR(__xludf.DUMMYFUNCTION("""COMPUTED_VALUE"""),"")</f>
        <v/>
      </c>
      <c r="B14637" s="87"/>
      <c r="C14637" s="87"/>
      <c r="D14637" s="87"/>
      <c r="E14637" s="87"/>
      <c r="F14637" s="87"/>
      <c r="G14637" s="87"/>
    </row>
    <row r="14638">
      <c r="A14638" s="86" t="str">
        <f>IFERROR(__xludf.DUMMYFUNCTION("""COMPUTED_VALUE"""),"")</f>
        <v/>
      </c>
      <c r="B14638" s="87"/>
      <c r="C14638" s="87"/>
      <c r="D14638" s="87"/>
      <c r="E14638" s="87"/>
      <c r="F14638" s="87"/>
      <c r="G14638" s="87"/>
    </row>
    <row r="14639">
      <c r="A14639" s="86" t="str">
        <f>IFERROR(__xludf.DUMMYFUNCTION("""COMPUTED_VALUE"""),"")</f>
        <v/>
      </c>
      <c r="B14639" s="87"/>
      <c r="C14639" s="87"/>
      <c r="D14639" s="87"/>
      <c r="E14639" s="87"/>
      <c r="F14639" s="87"/>
      <c r="G14639" s="87"/>
    </row>
    <row r="14640">
      <c r="A14640" s="86" t="str">
        <f>IFERROR(__xludf.DUMMYFUNCTION("""COMPUTED_VALUE"""),"")</f>
        <v/>
      </c>
      <c r="B14640" s="87"/>
      <c r="C14640" s="87"/>
      <c r="D14640" s="87"/>
      <c r="E14640" s="87"/>
      <c r="F14640" s="87"/>
      <c r="G14640" s="87"/>
    </row>
    <row r="14641">
      <c r="A14641" s="86" t="str">
        <f>IFERROR(__xludf.DUMMYFUNCTION("""COMPUTED_VALUE"""),"")</f>
        <v/>
      </c>
      <c r="B14641" s="87"/>
      <c r="C14641" s="87"/>
      <c r="D14641" s="87"/>
      <c r="E14641" s="87"/>
      <c r="F14641" s="87"/>
      <c r="G14641" s="87"/>
    </row>
    <row r="14642">
      <c r="A14642" s="86" t="str">
        <f>IFERROR(__xludf.DUMMYFUNCTION("""COMPUTED_VALUE"""),"")</f>
        <v/>
      </c>
      <c r="B14642" s="87"/>
      <c r="C14642" s="87"/>
      <c r="D14642" s="87"/>
      <c r="E14642" s="87"/>
      <c r="F14642" s="87"/>
      <c r="G14642" s="87"/>
    </row>
    <row r="14643">
      <c r="A14643" s="86" t="str">
        <f>IFERROR(__xludf.DUMMYFUNCTION("""COMPUTED_VALUE"""),"")</f>
        <v/>
      </c>
      <c r="B14643" s="87"/>
      <c r="C14643" s="87"/>
      <c r="D14643" s="87"/>
      <c r="E14643" s="87"/>
      <c r="F14643" s="87"/>
      <c r="G14643" s="87"/>
    </row>
    <row r="14644">
      <c r="A14644" s="86" t="str">
        <f>IFERROR(__xludf.DUMMYFUNCTION("""COMPUTED_VALUE"""),"")</f>
        <v/>
      </c>
      <c r="B14644" s="87"/>
      <c r="C14644" s="87"/>
      <c r="D14644" s="87"/>
      <c r="E14644" s="87"/>
      <c r="F14644" s="87"/>
      <c r="G14644" s="87"/>
    </row>
    <row r="14645">
      <c r="A14645" s="86" t="str">
        <f>IFERROR(__xludf.DUMMYFUNCTION("""COMPUTED_VALUE"""),"")</f>
        <v/>
      </c>
      <c r="B14645" s="87"/>
      <c r="C14645" s="87"/>
      <c r="D14645" s="87"/>
      <c r="E14645" s="87"/>
      <c r="F14645" s="87"/>
      <c r="G14645" s="87"/>
    </row>
    <row r="14646">
      <c r="A14646" s="86" t="str">
        <f>IFERROR(__xludf.DUMMYFUNCTION("""COMPUTED_VALUE"""),"")</f>
        <v/>
      </c>
      <c r="B14646" s="87"/>
      <c r="C14646" s="87"/>
      <c r="D14646" s="87"/>
      <c r="E14646" s="87"/>
      <c r="F14646" s="87"/>
      <c r="G14646" s="87"/>
    </row>
    <row r="14647">
      <c r="A14647" s="86" t="str">
        <f>IFERROR(__xludf.DUMMYFUNCTION("""COMPUTED_VALUE"""),"")</f>
        <v/>
      </c>
      <c r="B14647" s="87"/>
      <c r="C14647" s="87"/>
      <c r="D14647" s="87"/>
      <c r="E14647" s="87"/>
      <c r="F14647" s="87"/>
      <c r="G14647" s="87"/>
    </row>
    <row r="14648">
      <c r="A14648" s="86" t="str">
        <f>IFERROR(__xludf.DUMMYFUNCTION("""COMPUTED_VALUE"""),"")</f>
        <v/>
      </c>
      <c r="B14648" s="87"/>
      <c r="C14648" s="87"/>
      <c r="D14648" s="87"/>
      <c r="E14648" s="87"/>
      <c r="F14648" s="87"/>
      <c r="G14648" s="87"/>
    </row>
    <row r="14649">
      <c r="A14649" s="86" t="str">
        <f>IFERROR(__xludf.DUMMYFUNCTION("""COMPUTED_VALUE"""),"")</f>
        <v/>
      </c>
      <c r="B14649" s="87"/>
      <c r="C14649" s="87"/>
      <c r="D14649" s="87"/>
      <c r="E14649" s="87"/>
      <c r="F14649" s="87"/>
      <c r="G14649" s="87"/>
    </row>
    <row r="14650">
      <c r="A14650" s="86" t="str">
        <f>IFERROR(__xludf.DUMMYFUNCTION("""COMPUTED_VALUE"""),"")</f>
        <v/>
      </c>
      <c r="B14650" s="87"/>
      <c r="C14650" s="87"/>
      <c r="D14650" s="87"/>
      <c r="E14650" s="87"/>
      <c r="F14650" s="87"/>
      <c r="G14650" s="87"/>
    </row>
    <row r="14651">
      <c r="A14651" s="86" t="str">
        <f>IFERROR(__xludf.DUMMYFUNCTION("""COMPUTED_VALUE"""),"")</f>
        <v/>
      </c>
      <c r="B14651" s="87"/>
      <c r="C14651" s="87"/>
      <c r="D14651" s="87"/>
      <c r="E14651" s="87"/>
      <c r="F14651" s="87"/>
      <c r="G14651" s="87"/>
    </row>
    <row r="14652">
      <c r="A14652" s="86" t="str">
        <f>IFERROR(__xludf.DUMMYFUNCTION("""COMPUTED_VALUE"""),"")</f>
        <v/>
      </c>
      <c r="B14652" s="87"/>
      <c r="C14652" s="87"/>
      <c r="D14652" s="87"/>
      <c r="E14652" s="87"/>
      <c r="F14652" s="87"/>
      <c r="G14652" s="87"/>
    </row>
    <row r="14653">
      <c r="A14653" s="86" t="str">
        <f>IFERROR(__xludf.DUMMYFUNCTION("""COMPUTED_VALUE"""),"")</f>
        <v/>
      </c>
      <c r="B14653" s="87"/>
      <c r="C14653" s="87"/>
      <c r="D14653" s="87"/>
      <c r="E14653" s="87"/>
      <c r="F14653" s="87"/>
      <c r="G14653" s="87"/>
    </row>
    <row r="14654">
      <c r="A14654" s="86" t="str">
        <f>IFERROR(__xludf.DUMMYFUNCTION("""COMPUTED_VALUE"""),"")</f>
        <v/>
      </c>
      <c r="B14654" s="87"/>
      <c r="C14654" s="87"/>
      <c r="D14654" s="87"/>
      <c r="E14654" s="87"/>
      <c r="F14654" s="87"/>
      <c r="G14654" s="87"/>
    </row>
    <row r="14655">
      <c r="A14655" s="86" t="str">
        <f>IFERROR(__xludf.DUMMYFUNCTION("""COMPUTED_VALUE"""),"")</f>
        <v/>
      </c>
      <c r="B14655" s="87"/>
      <c r="C14655" s="87"/>
      <c r="D14655" s="87"/>
      <c r="E14655" s="87"/>
      <c r="F14655" s="87"/>
      <c r="G14655" s="87"/>
    </row>
    <row r="14656">
      <c r="A14656" s="86" t="str">
        <f>IFERROR(__xludf.DUMMYFUNCTION("""COMPUTED_VALUE"""),"")</f>
        <v/>
      </c>
      <c r="B14656" s="87"/>
      <c r="C14656" s="87"/>
      <c r="D14656" s="87"/>
      <c r="E14656" s="87"/>
      <c r="F14656" s="87"/>
      <c r="G14656" s="87"/>
    </row>
    <row r="14657">
      <c r="A14657" s="86" t="str">
        <f>IFERROR(__xludf.DUMMYFUNCTION("""COMPUTED_VALUE"""),"")</f>
        <v/>
      </c>
      <c r="B14657" s="87"/>
      <c r="C14657" s="87"/>
      <c r="D14657" s="87"/>
      <c r="E14657" s="87"/>
      <c r="F14657" s="87"/>
      <c r="G14657" s="87"/>
    </row>
    <row r="14658">
      <c r="A14658" s="86" t="str">
        <f>IFERROR(__xludf.DUMMYFUNCTION("""COMPUTED_VALUE"""),"")</f>
        <v/>
      </c>
      <c r="B14658" s="87"/>
      <c r="C14658" s="87"/>
      <c r="D14658" s="87"/>
      <c r="E14658" s="87"/>
      <c r="F14658" s="87"/>
      <c r="G14658" s="87"/>
    </row>
    <row r="14659">
      <c r="A14659" s="86" t="str">
        <f>IFERROR(__xludf.DUMMYFUNCTION("""COMPUTED_VALUE"""),"")</f>
        <v/>
      </c>
      <c r="B14659" s="87"/>
      <c r="C14659" s="87"/>
      <c r="D14659" s="87"/>
      <c r="E14659" s="87"/>
      <c r="F14659" s="87"/>
      <c r="G14659" s="87"/>
    </row>
    <row r="14660">
      <c r="A14660" s="86" t="str">
        <f>IFERROR(__xludf.DUMMYFUNCTION("""COMPUTED_VALUE"""),"")</f>
        <v/>
      </c>
      <c r="B14660" s="87"/>
      <c r="C14660" s="87"/>
      <c r="D14660" s="87"/>
      <c r="E14660" s="87"/>
      <c r="F14660" s="87"/>
      <c r="G14660" s="87"/>
    </row>
    <row r="14661">
      <c r="A14661" s="86" t="str">
        <f>IFERROR(__xludf.DUMMYFUNCTION("""COMPUTED_VALUE"""),"")</f>
        <v/>
      </c>
      <c r="B14661" s="87"/>
      <c r="C14661" s="87"/>
      <c r="D14661" s="87"/>
      <c r="E14661" s="87"/>
      <c r="F14661" s="87"/>
      <c r="G14661" s="87"/>
    </row>
    <row r="14662">
      <c r="A14662" s="86" t="str">
        <f>IFERROR(__xludf.DUMMYFUNCTION("""COMPUTED_VALUE"""),"")</f>
        <v/>
      </c>
      <c r="B14662" s="87"/>
      <c r="C14662" s="87"/>
      <c r="D14662" s="87"/>
      <c r="E14662" s="87"/>
      <c r="F14662" s="87"/>
      <c r="G14662" s="87"/>
    </row>
    <row r="14663">
      <c r="A14663" s="86" t="str">
        <f>IFERROR(__xludf.DUMMYFUNCTION("""COMPUTED_VALUE"""),"")</f>
        <v/>
      </c>
      <c r="B14663" s="87"/>
      <c r="C14663" s="87"/>
      <c r="D14663" s="87"/>
      <c r="E14663" s="87"/>
      <c r="F14663" s="87"/>
      <c r="G14663" s="87"/>
    </row>
    <row r="14664">
      <c r="A14664" s="86" t="str">
        <f>IFERROR(__xludf.DUMMYFUNCTION("""COMPUTED_VALUE"""),"")</f>
        <v/>
      </c>
      <c r="B14664" s="87"/>
      <c r="C14664" s="87"/>
      <c r="D14664" s="87"/>
      <c r="E14664" s="87"/>
      <c r="F14664" s="87"/>
      <c r="G14664" s="87"/>
    </row>
    <row r="14665">
      <c r="A14665" s="86" t="str">
        <f>IFERROR(__xludf.DUMMYFUNCTION("""COMPUTED_VALUE"""),"")</f>
        <v/>
      </c>
      <c r="B14665" s="87"/>
      <c r="C14665" s="87"/>
      <c r="D14665" s="87"/>
      <c r="E14665" s="87"/>
      <c r="F14665" s="87"/>
      <c r="G14665" s="87"/>
    </row>
    <row r="14666">
      <c r="A14666" s="86" t="str">
        <f>IFERROR(__xludf.DUMMYFUNCTION("""COMPUTED_VALUE"""),"")</f>
        <v/>
      </c>
      <c r="B14666" s="87"/>
      <c r="C14666" s="87"/>
      <c r="D14666" s="87"/>
      <c r="E14666" s="87"/>
      <c r="F14666" s="87"/>
      <c r="G14666" s="87"/>
    </row>
    <row r="14667">
      <c r="A14667" s="86" t="str">
        <f>IFERROR(__xludf.DUMMYFUNCTION("""COMPUTED_VALUE"""),"")</f>
        <v/>
      </c>
      <c r="B14667" s="87"/>
      <c r="C14667" s="87"/>
      <c r="D14667" s="87"/>
      <c r="E14667" s="87"/>
      <c r="F14667" s="87"/>
      <c r="G14667" s="87"/>
    </row>
    <row r="14668">
      <c r="A14668" s="86" t="str">
        <f>IFERROR(__xludf.DUMMYFUNCTION("""COMPUTED_VALUE"""),"")</f>
        <v/>
      </c>
      <c r="B14668" s="87"/>
      <c r="C14668" s="87"/>
      <c r="D14668" s="87"/>
      <c r="E14668" s="87"/>
      <c r="F14668" s="87"/>
      <c r="G14668" s="87"/>
    </row>
    <row r="14669">
      <c r="A14669" s="86" t="str">
        <f>IFERROR(__xludf.DUMMYFUNCTION("""COMPUTED_VALUE"""),"")</f>
        <v/>
      </c>
      <c r="B14669" s="87"/>
      <c r="C14669" s="87"/>
      <c r="D14669" s="87"/>
      <c r="E14669" s="87"/>
      <c r="F14669" s="87"/>
      <c r="G14669" s="87"/>
    </row>
    <row r="14670">
      <c r="A14670" s="86" t="str">
        <f>IFERROR(__xludf.DUMMYFUNCTION("""COMPUTED_VALUE"""),"")</f>
        <v/>
      </c>
      <c r="B14670" s="87"/>
      <c r="C14670" s="87"/>
      <c r="D14670" s="87"/>
      <c r="E14670" s="87"/>
      <c r="F14670" s="87"/>
      <c r="G14670" s="87"/>
    </row>
    <row r="14671">
      <c r="A14671" s="86" t="str">
        <f>IFERROR(__xludf.DUMMYFUNCTION("""COMPUTED_VALUE"""),"")</f>
        <v/>
      </c>
      <c r="B14671" s="87"/>
      <c r="C14671" s="87"/>
      <c r="D14671" s="87"/>
      <c r="E14671" s="87"/>
      <c r="F14671" s="87"/>
      <c r="G14671" s="87"/>
    </row>
    <row r="14672">
      <c r="A14672" s="86" t="str">
        <f>IFERROR(__xludf.DUMMYFUNCTION("""COMPUTED_VALUE"""),"")</f>
        <v/>
      </c>
      <c r="B14672" s="87"/>
      <c r="C14672" s="87"/>
      <c r="D14672" s="87"/>
      <c r="E14672" s="87"/>
      <c r="F14672" s="87"/>
      <c r="G14672" s="87"/>
    </row>
    <row r="14673">
      <c r="A14673" s="86" t="str">
        <f>IFERROR(__xludf.DUMMYFUNCTION("""COMPUTED_VALUE"""),"")</f>
        <v/>
      </c>
      <c r="B14673" s="87"/>
      <c r="C14673" s="87"/>
      <c r="D14673" s="87"/>
      <c r="E14673" s="87"/>
      <c r="F14673" s="87"/>
      <c r="G14673" s="87"/>
    </row>
    <row r="14674">
      <c r="A14674" s="86" t="str">
        <f>IFERROR(__xludf.DUMMYFUNCTION("""COMPUTED_VALUE"""),"")</f>
        <v/>
      </c>
      <c r="B14674" s="87"/>
      <c r="C14674" s="87"/>
      <c r="D14674" s="87"/>
      <c r="E14674" s="87"/>
      <c r="F14674" s="87"/>
      <c r="G14674" s="87"/>
    </row>
    <row r="14675">
      <c r="A14675" s="86" t="str">
        <f>IFERROR(__xludf.DUMMYFUNCTION("""COMPUTED_VALUE"""),"")</f>
        <v/>
      </c>
      <c r="B14675" s="87"/>
      <c r="C14675" s="87"/>
      <c r="D14675" s="87"/>
      <c r="E14675" s="87"/>
      <c r="F14675" s="87"/>
      <c r="G14675" s="87"/>
    </row>
    <row r="14676">
      <c r="A14676" s="86" t="str">
        <f>IFERROR(__xludf.DUMMYFUNCTION("""COMPUTED_VALUE"""),"")</f>
        <v/>
      </c>
      <c r="B14676" s="87"/>
      <c r="C14676" s="87"/>
      <c r="D14676" s="87"/>
      <c r="E14676" s="87"/>
      <c r="F14676" s="87"/>
      <c r="G14676" s="87"/>
    </row>
    <row r="14677">
      <c r="A14677" s="86" t="str">
        <f>IFERROR(__xludf.DUMMYFUNCTION("""COMPUTED_VALUE"""),"")</f>
        <v/>
      </c>
      <c r="B14677" s="87"/>
      <c r="C14677" s="87"/>
      <c r="D14677" s="87"/>
      <c r="E14677" s="87"/>
      <c r="F14677" s="87"/>
      <c r="G14677" s="87"/>
    </row>
    <row r="14678">
      <c r="A14678" s="86" t="str">
        <f>IFERROR(__xludf.DUMMYFUNCTION("""COMPUTED_VALUE"""),"")</f>
        <v/>
      </c>
      <c r="B14678" s="87"/>
      <c r="C14678" s="87"/>
      <c r="D14678" s="87"/>
      <c r="E14678" s="87"/>
      <c r="F14678" s="87"/>
      <c r="G14678" s="87"/>
    </row>
    <row r="14679">
      <c r="A14679" s="86" t="str">
        <f>IFERROR(__xludf.DUMMYFUNCTION("""COMPUTED_VALUE"""),"")</f>
        <v/>
      </c>
      <c r="B14679" s="87"/>
      <c r="C14679" s="87"/>
      <c r="D14679" s="87"/>
      <c r="E14679" s="87"/>
      <c r="F14679" s="87"/>
      <c r="G14679" s="87"/>
    </row>
    <row r="14680">
      <c r="A14680" s="86" t="str">
        <f>IFERROR(__xludf.DUMMYFUNCTION("""COMPUTED_VALUE"""),"")</f>
        <v/>
      </c>
      <c r="B14680" s="87"/>
      <c r="C14680" s="87"/>
      <c r="D14680" s="87"/>
      <c r="E14680" s="87"/>
      <c r="F14680" s="87"/>
      <c r="G14680" s="87"/>
    </row>
    <row r="14681">
      <c r="A14681" s="86" t="str">
        <f>IFERROR(__xludf.DUMMYFUNCTION("""COMPUTED_VALUE"""),"")</f>
        <v/>
      </c>
      <c r="B14681" s="87"/>
      <c r="C14681" s="87"/>
      <c r="D14681" s="87"/>
      <c r="E14681" s="87"/>
      <c r="F14681" s="87"/>
      <c r="G14681" s="87"/>
    </row>
    <row r="14682">
      <c r="A14682" s="86" t="str">
        <f>IFERROR(__xludf.DUMMYFUNCTION("""COMPUTED_VALUE"""),"")</f>
        <v/>
      </c>
      <c r="B14682" s="87"/>
      <c r="C14682" s="87"/>
      <c r="D14682" s="87"/>
      <c r="E14682" s="87"/>
      <c r="F14682" s="87"/>
      <c r="G14682" s="87"/>
    </row>
    <row r="14683">
      <c r="A14683" s="86" t="str">
        <f>IFERROR(__xludf.DUMMYFUNCTION("""COMPUTED_VALUE"""),"")</f>
        <v/>
      </c>
      <c r="B14683" s="87"/>
      <c r="C14683" s="87"/>
      <c r="D14683" s="87"/>
      <c r="E14683" s="87"/>
      <c r="F14683" s="87"/>
      <c r="G14683" s="87"/>
    </row>
    <row r="14684">
      <c r="A14684" s="86" t="str">
        <f>IFERROR(__xludf.DUMMYFUNCTION("""COMPUTED_VALUE"""),"")</f>
        <v/>
      </c>
      <c r="B14684" s="87"/>
      <c r="C14684" s="87"/>
      <c r="D14684" s="87"/>
      <c r="E14684" s="87"/>
      <c r="F14684" s="87"/>
      <c r="G14684" s="87"/>
    </row>
    <row r="14685">
      <c r="A14685" s="86" t="str">
        <f>IFERROR(__xludf.DUMMYFUNCTION("""COMPUTED_VALUE"""),"")</f>
        <v/>
      </c>
      <c r="B14685" s="87"/>
      <c r="C14685" s="87"/>
      <c r="D14685" s="87"/>
      <c r="E14685" s="87"/>
      <c r="F14685" s="87"/>
      <c r="G14685" s="87"/>
    </row>
    <row r="14686">
      <c r="A14686" s="86" t="str">
        <f>IFERROR(__xludf.DUMMYFUNCTION("""COMPUTED_VALUE"""),"")</f>
        <v/>
      </c>
      <c r="B14686" s="87"/>
      <c r="C14686" s="87"/>
      <c r="D14686" s="87"/>
      <c r="E14686" s="87"/>
      <c r="F14686" s="87"/>
      <c r="G14686" s="87"/>
    </row>
    <row r="14687">
      <c r="A14687" s="86" t="str">
        <f>IFERROR(__xludf.DUMMYFUNCTION("""COMPUTED_VALUE"""),"")</f>
        <v/>
      </c>
      <c r="B14687" s="87"/>
      <c r="C14687" s="87"/>
      <c r="D14687" s="87"/>
      <c r="E14687" s="87"/>
      <c r="F14687" s="87"/>
      <c r="G14687" s="87"/>
    </row>
    <row r="14688">
      <c r="A14688" s="86" t="str">
        <f>IFERROR(__xludf.DUMMYFUNCTION("""COMPUTED_VALUE"""),"")</f>
        <v/>
      </c>
      <c r="B14688" s="87"/>
      <c r="C14688" s="87"/>
      <c r="D14688" s="87"/>
      <c r="E14688" s="87"/>
      <c r="F14688" s="87"/>
      <c r="G14688" s="87"/>
    </row>
    <row r="14689">
      <c r="A14689" s="86" t="str">
        <f>IFERROR(__xludf.DUMMYFUNCTION("""COMPUTED_VALUE"""),"")</f>
        <v/>
      </c>
      <c r="B14689" s="87"/>
      <c r="C14689" s="87"/>
      <c r="D14689" s="87"/>
      <c r="E14689" s="87"/>
      <c r="F14689" s="87"/>
      <c r="G14689" s="87"/>
    </row>
    <row r="14690">
      <c r="A14690" s="86" t="str">
        <f>IFERROR(__xludf.DUMMYFUNCTION("""COMPUTED_VALUE"""),"")</f>
        <v/>
      </c>
      <c r="B14690" s="87"/>
      <c r="C14690" s="87"/>
      <c r="D14690" s="87"/>
      <c r="E14690" s="87"/>
      <c r="F14690" s="87"/>
      <c r="G14690" s="87"/>
    </row>
    <row r="14691">
      <c r="A14691" s="86" t="str">
        <f>IFERROR(__xludf.DUMMYFUNCTION("""COMPUTED_VALUE"""),"")</f>
        <v/>
      </c>
      <c r="B14691" s="87"/>
      <c r="C14691" s="87"/>
      <c r="D14691" s="87"/>
      <c r="E14691" s="87"/>
      <c r="F14691" s="87"/>
      <c r="G14691" s="87"/>
    </row>
    <row r="14692">
      <c r="A14692" s="86" t="str">
        <f>IFERROR(__xludf.DUMMYFUNCTION("""COMPUTED_VALUE"""),"")</f>
        <v/>
      </c>
      <c r="B14692" s="87"/>
      <c r="C14692" s="87"/>
      <c r="D14692" s="87"/>
      <c r="E14692" s="87"/>
      <c r="F14692" s="87"/>
      <c r="G14692" s="87"/>
    </row>
    <row r="14693">
      <c r="A14693" s="86" t="str">
        <f>IFERROR(__xludf.DUMMYFUNCTION("""COMPUTED_VALUE"""),"")</f>
        <v/>
      </c>
      <c r="B14693" s="87"/>
      <c r="C14693" s="87"/>
      <c r="D14693" s="87"/>
      <c r="E14693" s="87"/>
      <c r="F14693" s="87"/>
      <c r="G14693" s="87"/>
    </row>
    <row r="14694">
      <c r="A14694" s="86" t="str">
        <f>IFERROR(__xludf.DUMMYFUNCTION("""COMPUTED_VALUE"""),"")</f>
        <v/>
      </c>
      <c r="B14694" s="87"/>
      <c r="C14694" s="87"/>
      <c r="D14694" s="87"/>
      <c r="E14694" s="87"/>
      <c r="F14694" s="87"/>
      <c r="G14694" s="87"/>
    </row>
    <row r="14695">
      <c r="A14695" s="86" t="str">
        <f>IFERROR(__xludf.DUMMYFUNCTION("""COMPUTED_VALUE"""),"")</f>
        <v/>
      </c>
      <c r="B14695" s="87"/>
      <c r="C14695" s="87"/>
      <c r="D14695" s="87"/>
      <c r="E14695" s="87"/>
      <c r="F14695" s="87"/>
      <c r="G14695" s="87"/>
    </row>
    <row r="14696">
      <c r="A14696" s="86" t="str">
        <f>IFERROR(__xludf.DUMMYFUNCTION("""COMPUTED_VALUE"""),"")</f>
        <v/>
      </c>
      <c r="B14696" s="87"/>
      <c r="C14696" s="87"/>
      <c r="D14696" s="87"/>
      <c r="E14696" s="87"/>
      <c r="F14696" s="87"/>
      <c r="G14696" s="87"/>
    </row>
    <row r="14697">
      <c r="A14697" s="86" t="str">
        <f>IFERROR(__xludf.DUMMYFUNCTION("""COMPUTED_VALUE"""),"")</f>
        <v/>
      </c>
      <c r="B14697" s="87"/>
      <c r="C14697" s="87"/>
      <c r="D14697" s="87"/>
      <c r="E14697" s="87"/>
      <c r="F14697" s="87"/>
      <c r="G14697" s="87"/>
    </row>
    <row r="14698">
      <c r="A14698" s="86" t="str">
        <f>IFERROR(__xludf.DUMMYFUNCTION("""COMPUTED_VALUE"""),"")</f>
        <v/>
      </c>
      <c r="B14698" s="87"/>
      <c r="C14698" s="87"/>
      <c r="D14698" s="87"/>
      <c r="E14698" s="87"/>
      <c r="F14698" s="87"/>
      <c r="G14698" s="87"/>
    </row>
    <row r="14699">
      <c r="A14699" s="86" t="str">
        <f>IFERROR(__xludf.DUMMYFUNCTION("""COMPUTED_VALUE"""),"")</f>
        <v/>
      </c>
      <c r="B14699" s="87"/>
      <c r="C14699" s="87"/>
      <c r="D14699" s="87"/>
      <c r="E14699" s="87"/>
      <c r="F14699" s="87"/>
      <c r="G14699" s="87"/>
    </row>
    <row r="14700">
      <c r="A14700" s="86" t="str">
        <f>IFERROR(__xludf.DUMMYFUNCTION("""COMPUTED_VALUE"""),"")</f>
        <v/>
      </c>
      <c r="B14700" s="87"/>
      <c r="C14700" s="87"/>
      <c r="D14700" s="87"/>
      <c r="E14700" s="87"/>
      <c r="F14700" s="87"/>
      <c r="G14700" s="87"/>
    </row>
    <row r="14701">
      <c r="A14701" s="86" t="str">
        <f>IFERROR(__xludf.DUMMYFUNCTION("""COMPUTED_VALUE"""),"")</f>
        <v/>
      </c>
      <c r="B14701" s="87"/>
      <c r="C14701" s="87"/>
      <c r="D14701" s="87"/>
      <c r="E14701" s="87"/>
      <c r="F14701" s="87"/>
      <c r="G14701" s="87"/>
    </row>
    <row r="14702">
      <c r="A14702" s="86" t="str">
        <f>IFERROR(__xludf.DUMMYFUNCTION("""COMPUTED_VALUE"""),"")</f>
        <v/>
      </c>
      <c r="B14702" s="87"/>
      <c r="C14702" s="87"/>
      <c r="D14702" s="87"/>
      <c r="E14702" s="87"/>
      <c r="F14702" s="87"/>
      <c r="G14702" s="87"/>
    </row>
    <row r="14703">
      <c r="A14703" s="86" t="str">
        <f>IFERROR(__xludf.DUMMYFUNCTION("""COMPUTED_VALUE"""),"")</f>
        <v/>
      </c>
      <c r="B14703" s="87"/>
      <c r="C14703" s="87"/>
      <c r="D14703" s="87"/>
      <c r="E14703" s="87"/>
      <c r="F14703" s="87"/>
      <c r="G14703" s="87"/>
    </row>
    <row r="14704">
      <c r="A14704" s="86" t="str">
        <f>IFERROR(__xludf.DUMMYFUNCTION("""COMPUTED_VALUE"""),"")</f>
        <v/>
      </c>
      <c r="B14704" s="87"/>
      <c r="C14704" s="87"/>
      <c r="D14704" s="87"/>
      <c r="E14704" s="87"/>
      <c r="F14704" s="87"/>
      <c r="G14704" s="87"/>
    </row>
    <row r="14705">
      <c r="A14705" s="86" t="str">
        <f>IFERROR(__xludf.DUMMYFUNCTION("""COMPUTED_VALUE"""),"")</f>
        <v/>
      </c>
      <c r="B14705" s="87"/>
      <c r="C14705" s="87"/>
      <c r="D14705" s="87"/>
      <c r="E14705" s="87"/>
      <c r="F14705" s="87"/>
      <c r="G14705" s="87"/>
    </row>
    <row r="14706">
      <c r="A14706" s="86" t="str">
        <f>IFERROR(__xludf.DUMMYFUNCTION("""COMPUTED_VALUE"""),"")</f>
        <v/>
      </c>
      <c r="B14706" s="87"/>
      <c r="C14706" s="87"/>
      <c r="D14706" s="87"/>
      <c r="E14706" s="87"/>
      <c r="F14706" s="87"/>
      <c r="G14706" s="87"/>
    </row>
    <row r="14707">
      <c r="A14707" s="86" t="str">
        <f>IFERROR(__xludf.DUMMYFUNCTION("""COMPUTED_VALUE"""),"")</f>
        <v/>
      </c>
      <c r="B14707" s="87"/>
      <c r="C14707" s="87"/>
      <c r="D14707" s="87"/>
      <c r="E14707" s="87"/>
      <c r="F14707" s="87"/>
      <c r="G14707" s="87"/>
    </row>
    <row r="14708">
      <c r="A14708" s="86" t="str">
        <f>IFERROR(__xludf.DUMMYFUNCTION("""COMPUTED_VALUE"""),"")</f>
        <v/>
      </c>
      <c r="B14708" s="87"/>
      <c r="C14708" s="87"/>
      <c r="D14708" s="87"/>
      <c r="E14708" s="87"/>
      <c r="F14708" s="87"/>
      <c r="G14708" s="87"/>
    </row>
    <row r="14709">
      <c r="A14709" s="86" t="str">
        <f>IFERROR(__xludf.DUMMYFUNCTION("""COMPUTED_VALUE"""),"")</f>
        <v/>
      </c>
      <c r="B14709" s="87"/>
      <c r="C14709" s="87"/>
      <c r="D14709" s="87"/>
      <c r="E14709" s="87"/>
      <c r="F14709" s="87"/>
      <c r="G14709" s="87"/>
    </row>
    <row r="14710">
      <c r="A14710" s="86" t="str">
        <f>IFERROR(__xludf.DUMMYFUNCTION("""COMPUTED_VALUE"""),"")</f>
        <v/>
      </c>
      <c r="B14710" s="87"/>
      <c r="C14710" s="87"/>
      <c r="D14710" s="87"/>
      <c r="E14710" s="87"/>
      <c r="F14710" s="87"/>
      <c r="G14710" s="87"/>
    </row>
    <row r="14711">
      <c r="A14711" s="86" t="str">
        <f>IFERROR(__xludf.DUMMYFUNCTION("""COMPUTED_VALUE"""),"")</f>
        <v/>
      </c>
      <c r="B14711" s="87"/>
      <c r="C14711" s="87"/>
      <c r="D14711" s="87"/>
      <c r="E14711" s="87"/>
      <c r="F14711" s="87"/>
      <c r="G14711" s="87"/>
    </row>
    <row r="14712">
      <c r="A14712" s="86" t="str">
        <f>IFERROR(__xludf.DUMMYFUNCTION("""COMPUTED_VALUE"""),"")</f>
        <v/>
      </c>
      <c r="B14712" s="87"/>
      <c r="C14712" s="87"/>
      <c r="D14712" s="87"/>
      <c r="E14712" s="87"/>
      <c r="F14712" s="87"/>
      <c r="G14712" s="87"/>
    </row>
    <row r="14713">
      <c r="A14713" s="86" t="str">
        <f>IFERROR(__xludf.DUMMYFUNCTION("""COMPUTED_VALUE"""),"")</f>
        <v/>
      </c>
      <c r="B14713" s="87"/>
      <c r="C14713" s="87"/>
      <c r="D14713" s="87"/>
      <c r="E14713" s="87"/>
      <c r="F14713" s="87"/>
      <c r="G14713" s="87"/>
    </row>
    <row r="14714">
      <c r="A14714" s="86" t="str">
        <f>IFERROR(__xludf.DUMMYFUNCTION("""COMPUTED_VALUE"""),"")</f>
        <v/>
      </c>
      <c r="B14714" s="87"/>
      <c r="C14714" s="87"/>
      <c r="D14714" s="87"/>
      <c r="E14714" s="87"/>
      <c r="F14714" s="87"/>
      <c r="G14714" s="87"/>
    </row>
    <row r="14715">
      <c r="A14715" s="86" t="str">
        <f>IFERROR(__xludf.DUMMYFUNCTION("""COMPUTED_VALUE"""),"")</f>
        <v/>
      </c>
      <c r="B14715" s="87"/>
      <c r="C14715" s="87"/>
      <c r="D14715" s="87"/>
      <c r="E14715" s="87"/>
      <c r="F14715" s="87"/>
      <c r="G14715" s="87"/>
    </row>
    <row r="14716">
      <c r="A14716" s="86" t="str">
        <f>IFERROR(__xludf.DUMMYFUNCTION("""COMPUTED_VALUE"""),"")</f>
        <v/>
      </c>
      <c r="B14716" s="87"/>
      <c r="C14716" s="87"/>
      <c r="D14716" s="87"/>
      <c r="E14716" s="87"/>
      <c r="F14716" s="87"/>
      <c r="G14716" s="87"/>
    </row>
    <row r="14717">
      <c r="A14717" s="86" t="str">
        <f>IFERROR(__xludf.DUMMYFUNCTION("""COMPUTED_VALUE"""),"")</f>
        <v/>
      </c>
      <c r="B14717" s="87"/>
      <c r="C14717" s="87"/>
      <c r="D14717" s="87"/>
      <c r="E14717" s="87"/>
      <c r="F14717" s="87"/>
      <c r="G14717" s="87"/>
    </row>
    <row r="14718">
      <c r="A14718" s="86" t="str">
        <f>IFERROR(__xludf.DUMMYFUNCTION("""COMPUTED_VALUE"""),"")</f>
        <v/>
      </c>
      <c r="B14718" s="87"/>
      <c r="C14718" s="87"/>
      <c r="D14718" s="87"/>
      <c r="E14718" s="87"/>
      <c r="F14718" s="87"/>
      <c r="G14718" s="87"/>
    </row>
    <row r="14719">
      <c r="A14719" s="86" t="str">
        <f>IFERROR(__xludf.DUMMYFUNCTION("""COMPUTED_VALUE"""),"")</f>
        <v/>
      </c>
      <c r="B14719" s="87"/>
      <c r="C14719" s="87"/>
      <c r="D14719" s="87"/>
      <c r="E14719" s="87"/>
      <c r="F14719" s="87"/>
      <c r="G14719" s="87"/>
    </row>
    <row r="14720">
      <c r="A14720" s="86" t="str">
        <f>IFERROR(__xludf.DUMMYFUNCTION("""COMPUTED_VALUE"""),"")</f>
        <v/>
      </c>
      <c r="B14720" s="87"/>
      <c r="C14720" s="87"/>
      <c r="D14720" s="87"/>
      <c r="E14720" s="87"/>
      <c r="F14720" s="87"/>
      <c r="G14720" s="87"/>
    </row>
    <row r="14721">
      <c r="A14721" s="86" t="str">
        <f>IFERROR(__xludf.DUMMYFUNCTION("""COMPUTED_VALUE"""),"")</f>
        <v/>
      </c>
      <c r="B14721" s="87"/>
      <c r="C14721" s="87"/>
      <c r="D14721" s="87"/>
      <c r="E14721" s="87"/>
      <c r="F14721" s="87"/>
      <c r="G14721" s="87"/>
    </row>
    <row r="14722">
      <c r="A14722" s="86" t="str">
        <f>IFERROR(__xludf.DUMMYFUNCTION("""COMPUTED_VALUE"""),"")</f>
        <v/>
      </c>
      <c r="B14722" s="87"/>
      <c r="C14722" s="87"/>
      <c r="D14722" s="87"/>
      <c r="E14722" s="87"/>
      <c r="F14722" s="87"/>
      <c r="G14722" s="87"/>
    </row>
    <row r="14723">
      <c r="A14723" s="86" t="str">
        <f>IFERROR(__xludf.DUMMYFUNCTION("""COMPUTED_VALUE"""),"")</f>
        <v/>
      </c>
      <c r="B14723" s="87"/>
      <c r="C14723" s="87"/>
      <c r="D14723" s="87"/>
      <c r="E14723" s="87"/>
      <c r="F14723" s="87"/>
      <c r="G14723" s="87"/>
    </row>
    <row r="14724">
      <c r="A14724" s="86" t="str">
        <f>IFERROR(__xludf.DUMMYFUNCTION("""COMPUTED_VALUE"""),"")</f>
        <v/>
      </c>
      <c r="B14724" s="87"/>
      <c r="C14724" s="87"/>
      <c r="D14724" s="87"/>
      <c r="E14724" s="87"/>
      <c r="F14724" s="87"/>
      <c r="G14724" s="87"/>
    </row>
    <row r="14725">
      <c r="A14725" s="86" t="str">
        <f>IFERROR(__xludf.DUMMYFUNCTION("""COMPUTED_VALUE"""),"")</f>
        <v/>
      </c>
      <c r="B14725" s="87"/>
      <c r="C14725" s="87"/>
      <c r="D14725" s="87"/>
      <c r="E14725" s="87"/>
      <c r="F14725" s="87"/>
      <c r="G14725" s="87"/>
    </row>
    <row r="14726">
      <c r="A14726" s="86" t="str">
        <f>IFERROR(__xludf.DUMMYFUNCTION("""COMPUTED_VALUE"""),"")</f>
        <v/>
      </c>
      <c r="B14726" s="87"/>
      <c r="C14726" s="87"/>
      <c r="D14726" s="87"/>
      <c r="E14726" s="87"/>
      <c r="F14726" s="87"/>
      <c r="G14726" s="87"/>
    </row>
    <row r="14727">
      <c r="A14727" s="86" t="str">
        <f>IFERROR(__xludf.DUMMYFUNCTION("""COMPUTED_VALUE"""),"")</f>
        <v/>
      </c>
      <c r="B14727" s="87"/>
      <c r="C14727" s="87"/>
      <c r="D14727" s="87"/>
      <c r="E14727" s="87"/>
      <c r="F14727" s="87"/>
      <c r="G14727" s="87"/>
    </row>
    <row r="14728">
      <c r="A14728" s="86" t="str">
        <f>IFERROR(__xludf.DUMMYFUNCTION("""COMPUTED_VALUE"""),"")</f>
        <v/>
      </c>
      <c r="B14728" s="87"/>
      <c r="C14728" s="87"/>
      <c r="D14728" s="87"/>
      <c r="E14728" s="87"/>
      <c r="F14728" s="87"/>
      <c r="G14728" s="87"/>
    </row>
    <row r="14729">
      <c r="A14729" s="86" t="str">
        <f>IFERROR(__xludf.DUMMYFUNCTION("""COMPUTED_VALUE"""),"")</f>
        <v/>
      </c>
      <c r="B14729" s="87"/>
      <c r="C14729" s="87"/>
      <c r="D14729" s="87"/>
      <c r="E14729" s="87"/>
      <c r="F14729" s="87"/>
      <c r="G14729" s="87"/>
    </row>
    <row r="14730">
      <c r="A14730" s="86" t="str">
        <f>IFERROR(__xludf.DUMMYFUNCTION("""COMPUTED_VALUE"""),"")</f>
        <v/>
      </c>
      <c r="B14730" s="87"/>
      <c r="C14730" s="87"/>
      <c r="D14730" s="87"/>
      <c r="E14730" s="87"/>
      <c r="F14730" s="87"/>
      <c r="G14730" s="87"/>
    </row>
    <row r="14731">
      <c r="A14731" s="86" t="str">
        <f>IFERROR(__xludf.DUMMYFUNCTION("""COMPUTED_VALUE"""),"")</f>
        <v/>
      </c>
      <c r="B14731" s="87"/>
      <c r="C14731" s="87"/>
      <c r="D14731" s="87"/>
      <c r="E14731" s="87"/>
      <c r="F14731" s="87"/>
      <c r="G14731" s="87"/>
    </row>
    <row r="14732">
      <c r="A14732" s="86" t="str">
        <f>IFERROR(__xludf.DUMMYFUNCTION("""COMPUTED_VALUE"""),"")</f>
        <v/>
      </c>
      <c r="B14732" s="87"/>
      <c r="C14732" s="87"/>
      <c r="D14732" s="87"/>
      <c r="E14732" s="87"/>
      <c r="F14732" s="87"/>
      <c r="G14732" s="87"/>
    </row>
    <row r="14733">
      <c r="A14733" s="86" t="str">
        <f>IFERROR(__xludf.DUMMYFUNCTION("""COMPUTED_VALUE"""),"")</f>
        <v/>
      </c>
      <c r="B14733" s="87"/>
      <c r="C14733" s="87"/>
      <c r="D14733" s="87"/>
      <c r="E14733" s="87"/>
      <c r="F14733" s="87"/>
      <c r="G14733" s="87"/>
    </row>
    <row r="14734">
      <c r="A14734" s="86" t="str">
        <f>IFERROR(__xludf.DUMMYFUNCTION("""COMPUTED_VALUE"""),"")</f>
        <v/>
      </c>
      <c r="B14734" s="87"/>
      <c r="C14734" s="87"/>
      <c r="D14734" s="87"/>
      <c r="E14734" s="87"/>
      <c r="F14734" s="87"/>
      <c r="G14734" s="87"/>
    </row>
    <row r="14735">
      <c r="A14735" s="86" t="str">
        <f>IFERROR(__xludf.DUMMYFUNCTION("""COMPUTED_VALUE"""),"")</f>
        <v/>
      </c>
      <c r="B14735" s="87"/>
      <c r="C14735" s="87"/>
      <c r="D14735" s="87"/>
      <c r="E14735" s="87"/>
      <c r="F14735" s="87"/>
      <c r="G14735" s="87"/>
    </row>
    <row r="14736">
      <c r="A14736" s="86" t="str">
        <f>IFERROR(__xludf.DUMMYFUNCTION("""COMPUTED_VALUE"""),"")</f>
        <v/>
      </c>
      <c r="B14736" s="87"/>
      <c r="C14736" s="87"/>
      <c r="D14736" s="87"/>
      <c r="E14736" s="87"/>
      <c r="F14736" s="87"/>
      <c r="G14736" s="87"/>
    </row>
    <row r="14737">
      <c r="A14737" s="86" t="str">
        <f>IFERROR(__xludf.DUMMYFUNCTION("""COMPUTED_VALUE"""),"")</f>
        <v/>
      </c>
      <c r="B14737" s="87"/>
      <c r="C14737" s="87"/>
      <c r="D14737" s="87"/>
      <c r="E14737" s="87"/>
      <c r="F14737" s="87"/>
      <c r="G14737" s="87"/>
    </row>
    <row r="14738">
      <c r="A14738" s="86" t="str">
        <f>IFERROR(__xludf.DUMMYFUNCTION("""COMPUTED_VALUE"""),"")</f>
        <v/>
      </c>
      <c r="B14738" s="87"/>
      <c r="C14738" s="87"/>
      <c r="D14738" s="87"/>
      <c r="E14738" s="87"/>
      <c r="F14738" s="87"/>
      <c r="G14738" s="87"/>
    </row>
    <row r="14739">
      <c r="A14739" s="86" t="str">
        <f>IFERROR(__xludf.DUMMYFUNCTION("""COMPUTED_VALUE"""),"")</f>
        <v/>
      </c>
      <c r="B14739" s="87"/>
      <c r="C14739" s="87"/>
      <c r="D14739" s="87"/>
      <c r="E14739" s="87"/>
      <c r="F14739" s="87"/>
      <c r="G14739" s="87"/>
    </row>
    <row r="14740">
      <c r="A14740" s="86" t="str">
        <f>IFERROR(__xludf.DUMMYFUNCTION("""COMPUTED_VALUE"""),"")</f>
        <v/>
      </c>
      <c r="B14740" s="87"/>
      <c r="C14740" s="87"/>
      <c r="D14740" s="87"/>
      <c r="E14740" s="87"/>
      <c r="F14740" s="87"/>
      <c r="G14740" s="87"/>
    </row>
    <row r="14741">
      <c r="A14741" s="86" t="str">
        <f>IFERROR(__xludf.DUMMYFUNCTION("""COMPUTED_VALUE"""),"")</f>
        <v/>
      </c>
      <c r="B14741" s="87"/>
      <c r="C14741" s="87"/>
      <c r="D14741" s="87"/>
      <c r="E14741" s="87"/>
      <c r="F14741" s="87"/>
      <c r="G14741" s="87"/>
    </row>
    <row r="14742">
      <c r="A14742" s="86" t="str">
        <f>IFERROR(__xludf.DUMMYFUNCTION("""COMPUTED_VALUE"""),"")</f>
        <v/>
      </c>
      <c r="B14742" s="87"/>
      <c r="C14742" s="87"/>
      <c r="D14742" s="87"/>
      <c r="E14742" s="87"/>
      <c r="F14742" s="87"/>
      <c r="G14742" s="87"/>
    </row>
    <row r="14743">
      <c r="A14743" s="86" t="str">
        <f>IFERROR(__xludf.DUMMYFUNCTION("""COMPUTED_VALUE"""),"")</f>
        <v/>
      </c>
      <c r="B14743" s="87"/>
      <c r="C14743" s="87"/>
      <c r="D14743" s="87"/>
      <c r="E14743" s="87"/>
      <c r="F14743" s="87"/>
      <c r="G14743" s="87"/>
    </row>
    <row r="14744">
      <c r="A14744" s="86" t="str">
        <f>IFERROR(__xludf.DUMMYFUNCTION("""COMPUTED_VALUE"""),"")</f>
        <v/>
      </c>
      <c r="B14744" s="87"/>
      <c r="C14744" s="87"/>
      <c r="D14744" s="87"/>
      <c r="E14744" s="87"/>
      <c r="F14744" s="87"/>
      <c r="G14744" s="87"/>
    </row>
    <row r="14745">
      <c r="A14745" s="86" t="str">
        <f>IFERROR(__xludf.DUMMYFUNCTION("""COMPUTED_VALUE"""),"")</f>
        <v/>
      </c>
      <c r="B14745" s="87"/>
      <c r="C14745" s="87"/>
      <c r="D14745" s="87"/>
      <c r="E14745" s="87"/>
      <c r="F14745" s="87"/>
      <c r="G14745" s="87"/>
    </row>
    <row r="14746">
      <c r="A14746" s="86" t="str">
        <f>IFERROR(__xludf.DUMMYFUNCTION("""COMPUTED_VALUE"""),"")</f>
        <v/>
      </c>
      <c r="B14746" s="87"/>
      <c r="C14746" s="87"/>
      <c r="D14746" s="87"/>
      <c r="E14746" s="87"/>
      <c r="F14746" s="87"/>
      <c r="G14746" s="87"/>
    </row>
    <row r="14747">
      <c r="A14747" s="86" t="str">
        <f>IFERROR(__xludf.DUMMYFUNCTION("""COMPUTED_VALUE"""),"")</f>
        <v/>
      </c>
      <c r="B14747" s="87"/>
      <c r="C14747" s="87"/>
      <c r="D14747" s="87"/>
      <c r="E14747" s="87"/>
      <c r="F14747" s="87"/>
      <c r="G14747" s="87"/>
    </row>
    <row r="14748">
      <c r="A14748" s="86" t="str">
        <f>IFERROR(__xludf.DUMMYFUNCTION("""COMPUTED_VALUE"""),"")</f>
        <v/>
      </c>
      <c r="B14748" s="87"/>
      <c r="C14748" s="87"/>
      <c r="D14748" s="87"/>
      <c r="E14748" s="87"/>
      <c r="F14748" s="87"/>
      <c r="G14748" s="87"/>
    </row>
    <row r="14749">
      <c r="A14749" s="86" t="str">
        <f>IFERROR(__xludf.DUMMYFUNCTION("""COMPUTED_VALUE"""),"")</f>
        <v/>
      </c>
      <c r="B14749" s="87"/>
      <c r="C14749" s="87"/>
      <c r="D14749" s="87"/>
      <c r="E14749" s="87"/>
      <c r="F14749" s="87"/>
      <c r="G14749" s="87"/>
    </row>
    <row r="14750">
      <c r="A14750" s="86" t="str">
        <f>IFERROR(__xludf.DUMMYFUNCTION("""COMPUTED_VALUE"""),"")</f>
        <v/>
      </c>
      <c r="B14750" s="87"/>
      <c r="C14750" s="87"/>
      <c r="D14750" s="87"/>
      <c r="E14750" s="87"/>
      <c r="F14750" s="87"/>
      <c r="G14750" s="87"/>
    </row>
    <row r="14751">
      <c r="A14751" s="86" t="str">
        <f>IFERROR(__xludf.DUMMYFUNCTION("""COMPUTED_VALUE"""),"")</f>
        <v/>
      </c>
      <c r="B14751" s="87"/>
      <c r="C14751" s="87"/>
      <c r="D14751" s="87"/>
      <c r="E14751" s="87"/>
      <c r="F14751" s="87"/>
      <c r="G14751" s="87"/>
    </row>
    <row r="14752">
      <c r="A14752" s="86" t="str">
        <f>IFERROR(__xludf.DUMMYFUNCTION("""COMPUTED_VALUE"""),"")</f>
        <v/>
      </c>
      <c r="B14752" s="87"/>
      <c r="C14752" s="87"/>
      <c r="D14752" s="87"/>
      <c r="E14752" s="87"/>
      <c r="F14752" s="87"/>
      <c r="G14752" s="87"/>
    </row>
    <row r="14753">
      <c r="A14753" s="86" t="str">
        <f>IFERROR(__xludf.DUMMYFUNCTION("""COMPUTED_VALUE"""),"")</f>
        <v/>
      </c>
      <c r="B14753" s="87"/>
      <c r="C14753" s="87"/>
      <c r="D14753" s="87"/>
      <c r="E14753" s="87"/>
      <c r="F14753" s="87"/>
      <c r="G14753" s="87"/>
    </row>
    <row r="14754">
      <c r="A14754" s="86" t="str">
        <f>IFERROR(__xludf.DUMMYFUNCTION("""COMPUTED_VALUE"""),"")</f>
        <v/>
      </c>
      <c r="B14754" s="87"/>
      <c r="C14754" s="87"/>
      <c r="D14754" s="87"/>
      <c r="E14754" s="87"/>
      <c r="F14754" s="87"/>
      <c r="G14754" s="87"/>
    </row>
    <row r="14755">
      <c r="A14755" s="86" t="str">
        <f>IFERROR(__xludf.DUMMYFUNCTION("""COMPUTED_VALUE"""),"")</f>
        <v/>
      </c>
      <c r="B14755" s="87"/>
      <c r="C14755" s="87"/>
      <c r="D14755" s="87"/>
      <c r="E14755" s="87"/>
      <c r="F14755" s="87"/>
      <c r="G14755" s="87"/>
    </row>
    <row r="14756">
      <c r="A14756" s="86" t="str">
        <f>IFERROR(__xludf.DUMMYFUNCTION("""COMPUTED_VALUE"""),"")</f>
        <v/>
      </c>
      <c r="B14756" s="87"/>
      <c r="C14756" s="87"/>
      <c r="D14756" s="87"/>
      <c r="E14756" s="87"/>
      <c r="F14756" s="87"/>
      <c r="G14756" s="87"/>
    </row>
    <row r="14757">
      <c r="A14757" s="86" t="str">
        <f>IFERROR(__xludf.DUMMYFUNCTION("""COMPUTED_VALUE"""),"")</f>
        <v/>
      </c>
      <c r="B14757" s="87"/>
      <c r="C14757" s="87"/>
      <c r="D14757" s="87"/>
      <c r="E14757" s="87"/>
      <c r="F14757" s="87"/>
      <c r="G14757" s="87"/>
    </row>
    <row r="14758">
      <c r="A14758" s="86" t="str">
        <f>IFERROR(__xludf.DUMMYFUNCTION("""COMPUTED_VALUE"""),"")</f>
        <v/>
      </c>
      <c r="B14758" s="87"/>
      <c r="C14758" s="87"/>
      <c r="D14758" s="87"/>
      <c r="E14758" s="87"/>
      <c r="F14758" s="87"/>
      <c r="G14758" s="87"/>
    </row>
    <row r="14759">
      <c r="A14759" s="86" t="str">
        <f>IFERROR(__xludf.DUMMYFUNCTION("""COMPUTED_VALUE"""),"")</f>
        <v/>
      </c>
      <c r="B14759" s="87"/>
      <c r="C14759" s="87"/>
      <c r="D14759" s="87"/>
      <c r="E14759" s="87"/>
      <c r="F14759" s="87"/>
      <c r="G14759" s="87"/>
    </row>
    <row r="14760">
      <c r="A14760" s="86" t="str">
        <f>IFERROR(__xludf.DUMMYFUNCTION("""COMPUTED_VALUE"""),"")</f>
        <v/>
      </c>
      <c r="B14760" s="87"/>
      <c r="C14760" s="87"/>
      <c r="D14760" s="87"/>
      <c r="E14760" s="87"/>
      <c r="F14760" s="87"/>
      <c r="G14760" s="87"/>
    </row>
    <row r="14761">
      <c r="A14761" s="86" t="str">
        <f>IFERROR(__xludf.DUMMYFUNCTION("""COMPUTED_VALUE"""),"")</f>
        <v/>
      </c>
      <c r="B14761" s="87"/>
      <c r="C14761" s="87"/>
      <c r="D14761" s="87"/>
      <c r="E14761" s="87"/>
      <c r="F14761" s="87"/>
      <c r="G14761" s="87"/>
    </row>
    <row r="14762">
      <c r="A14762" s="86" t="str">
        <f>IFERROR(__xludf.DUMMYFUNCTION("""COMPUTED_VALUE"""),"")</f>
        <v/>
      </c>
      <c r="B14762" s="87"/>
      <c r="C14762" s="87"/>
      <c r="D14762" s="87"/>
      <c r="E14762" s="87"/>
      <c r="F14762" s="87"/>
      <c r="G14762" s="87"/>
    </row>
    <row r="14763">
      <c r="A14763" s="86" t="str">
        <f>IFERROR(__xludf.DUMMYFUNCTION("""COMPUTED_VALUE"""),"")</f>
        <v/>
      </c>
      <c r="B14763" s="87"/>
      <c r="C14763" s="87"/>
      <c r="D14763" s="87"/>
      <c r="E14763" s="87"/>
      <c r="F14763" s="87"/>
      <c r="G14763" s="87"/>
    </row>
    <row r="14764">
      <c r="A14764" s="86" t="str">
        <f>IFERROR(__xludf.DUMMYFUNCTION("""COMPUTED_VALUE"""),"")</f>
        <v/>
      </c>
      <c r="B14764" s="87"/>
      <c r="C14764" s="87"/>
      <c r="D14764" s="87"/>
      <c r="E14764" s="87"/>
      <c r="F14764" s="87"/>
      <c r="G14764" s="87"/>
    </row>
    <row r="14765">
      <c r="A14765" s="86" t="str">
        <f>IFERROR(__xludf.DUMMYFUNCTION("""COMPUTED_VALUE"""),"")</f>
        <v/>
      </c>
      <c r="B14765" s="87"/>
      <c r="C14765" s="87"/>
      <c r="D14765" s="87"/>
      <c r="E14765" s="87"/>
      <c r="F14765" s="87"/>
      <c r="G14765" s="87"/>
    </row>
    <row r="14766">
      <c r="A14766" s="86" t="str">
        <f>IFERROR(__xludf.DUMMYFUNCTION("""COMPUTED_VALUE"""),"")</f>
        <v/>
      </c>
      <c r="B14766" s="87"/>
      <c r="C14766" s="87"/>
      <c r="D14766" s="87"/>
      <c r="E14766" s="87"/>
      <c r="F14766" s="87"/>
      <c r="G14766" s="87"/>
    </row>
    <row r="14767">
      <c r="A14767" s="86" t="str">
        <f>IFERROR(__xludf.DUMMYFUNCTION("""COMPUTED_VALUE"""),"")</f>
        <v/>
      </c>
      <c r="B14767" s="87"/>
      <c r="C14767" s="87"/>
      <c r="D14767" s="87"/>
      <c r="E14767" s="87"/>
      <c r="F14767" s="87"/>
      <c r="G14767" s="87"/>
    </row>
    <row r="14768">
      <c r="A14768" s="86" t="str">
        <f>IFERROR(__xludf.DUMMYFUNCTION("""COMPUTED_VALUE"""),"")</f>
        <v/>
      </c>
      <c r="B14768" s="87"/>
      <c r="C14768" s="87"/>
      <c r="D14768" s="87"/>
      <c r="E14768" s="87"/>
      <c r="F14768" s="87"/>
      <c r="G14768" s="87"/>
    </row>
    <row r="14769">
      <c r="A14769" s="86" t="str">
        <f>IFERROR(__xludf.DUMMYFUNCTION("""COMPUTED_VALUE"""),"")</f>
        <v/>
      </c>
      <c r="B14769" s="87"/>
      <c r="C14769" s="87"/>
      <c r="D14769" s="87"/>
      <c r="E14769" s="87"/>
      <c r="F14769" s="87"/>
      <c r="G14769" s="87"/>
    </row>
    <row r="14770">
      <c r="A14770" s="86" t="str">
        <f>IFERROR(__xludf.DUMMYFUNCTION("""COMPUTED_VALUE"""),"")</f>
        <v/>
      </c>
      <c r="B14770" s="87"/>
      <c r="C14770" s="87"/>
      <c r="D14770" s="87"/>
      <c r="E14770" s="87"/>
      <c r="F14770" s="87"/>
      <c r="G14770" s="87"/>
    </row>
    <row r="14771">
      <c r="A14771" s="86" t="str">
        <f>IFERROR(__xludf.DUMMYFUNCTION("""COMPUTED_VALUE"""),"")</f>
        <v/>
      </c>
      <c r="B14771" s="87"/>
      <c r="C14771" s="87"/>
      <c r="D14771" s="87"/>
      <c r="E14771" s="87"/>
      <c r="F14771" s="87"/>
      <c r="G14771" s="87"/>
    </row>
    <row r="14772">
      <c r="A14772" s="86" t="str">
        <f>IFERROR(__xludf.DUMMYFUNCTION("""COMPUTED_VALUE"""),"")</f>
        <v/>
      </c>
      <c r="B14772" s="87"/>
      <c r="C14772" s="87"/>
      <c r="D14772" s="87"/>
      <c r="E14772" s="87"/>
      <c r="F14772" s="87"/>
      <c r="G14772" s="87"/>
    </row>
    <row r="14773">
      <c r="A14773" s="86" t="str">
        <f>IFERROR(__xludf.DUMMYFUNCTION("""COMPUTED_VALUE"""),"")</f>
        <v/>
      </c>
      <c r="B14773" s="87"/>
      <c r="C14773" s="87"/>
      <c r="D14773" s="87"/>
      <c r="E14773" s="87"/>
      <c r="F14773" s="87"/>
      <c r="G14773" s="87"/>
    </row>
    <row r="14774">
      <c r="A14774" s="86" t="str">
        <f>IFERROR(__xludf.DUMMYFUNCTION("""COMPUTED_VALUE"""),"")</f>
        <v/>
      </c>
      <c r="B14774" s="87"/>
      <c r="C14774" s="87"/>
      <c r="D14774" s="87"/>
      <c r="E14774" s="87"/>
      <c r="F14774" s="87"/>
      <c r="G14774" s="87"/>
    </row>
    <row r="14775">
      <c r="A14775" s="86" t="str">
        <f>IFERROR(__xludf.DUMMYFUNCTION("""COMPUTED_VALUE"""),"")</f>
        <v/>
      </c>
      <c r="B14775" s="87"/>
      <c r="C14775" s="87"/>
      <c r="D14775" s="87"/>
      <c r="E14775" s="87"/>
      <c r="F14775" s="87"/>
      <c r="G14775" s="87"/>
    </row>
    <row r="14776">
      <c r="A14776" s="86" t="str">
        <f>IFERROR(__xludf.DUMMYFUNCTION("""COMPUTED_VALUE"""),"")</f>
        <v/>
      </c>
      <c r="B14776" s="87"/>
      <c r="C14776" s="87"/>
      <c r="D14776" s="87"/>
      <c r="E14776" s="87"/>
      <c r="F14776" s="87"/>
      <c r="G14776" s="87"/>
    </row>
    <row r="14777">
      <c r="A14777" s="86" t="str">
        <f>IFERROR(__xludf.DUMMYFUNCTION("""COMPUTED_VALUE"""),"")</f>
        <v/>
      </c>
      <c r="B14777" s="87"/>
      <c r="C14777" s="87"/>
      <c r="D14777" s="87"/>
      <c r="E14777" s="87"/>
      <c r="F14777" s="87"/>
      <c r="G14777" s="87"/>
    </row>
    <row r="14778">
      <c r="A14778" s="86" t="str">
        <f>IFERROR(__xludf.DUMMYFUNCTION("""COMPUTED_VALUE"""),"")</f>
        <v/>
      </c>
      <c r="B14778" s="87"/>
      <c r="C14778" s="87"/>
      <c r="D14778" s="87"/>
      <c r="E14778" s="87"/>
      <c r="F14778" s="87"/>
      <c r="G14778" s="87"/>
    </row>
    <row r="14779">
      <c r="A14779" s="86" t="str">
        <f>IFERROR(__xludf.DUMMYFUNCTION("""COMPUTED_VALUE"""),"")</f>
        <v/>
      </c>
      <c r="B14779" s="87"/>
      <c r="C14779" s="87"/>
      <c r="D14779" s="87"/>
      <c r="E14779" s="87"/>
      <c r="F14779" s="87"/>
      <c r="G14779" s="87"/>
    </row>
    <row r="14780">
      <c r="A14780" s="86" t="str">
        <f>IFERROR(__xludf.DUMMYFUNCTION("""COMPUTED_VALUE"""),"")</f>
        <v/>
      </c>
      <c r="B14780" s="87"/>
      <c r="C14780" s="87"/>
      <c r="D14780" s="87"/>
      <c r="E14780" s="87"/>
      <c r="F14780" s="87"/>
      <c r="G14780" s="87"/>
    </row>
    <row r="14781">
      <c r="A14781" s="86" t="str">
        <f>IFERROR(__xludf.DUMMYFUNCTION("""COMPUTED_VALUE"""),"")</f>
        <v/>
      </c>
      <c r="B14781" s="87"/>
      <c r="C14781" s="87"/>
      <c r="D14781" s="87"/>
      <c r="E14781" s="87"/>
      <c r="F14781" s="87"/>
      <c r="G14781" s="87"/>
    </row>
    <row r="14782">
      <c r="A14782" s="86" t="str">
        <f>IFERROR(__xludf.DUMMYFUNCTION("""COMPUTED_VALUE"""),"")</f>
        <v/>
      </c>
      <c r="B14782" s="87"/>
      <c r="C14782" s="87"/>
      <c r="D14782" s="87"/>
      <c r="E14782" s="87"/>
      <c r="F14782" s="87"/>
      <c r="G14782" s="87"/>
    </row>
    <row r="14783">
      <c r="A14783" s="86" t="str">
        <f>IFERROR(__xludf.DUMMYFUNCTION("""COMPUTED_VALUE"""),"")</f>
        <v/>
      </c>
      <c r="B14783" s="87"/>
      <c r="C14783" s="87"/>
      <c r="D14783" s="87"/>
      <c r="E14783" s="87"/>
      <c r="F14783" s="87"/>
      <c r="G14783" s="87"/>
    </row>
    <row r="14784">
      <c r="A14784" s="86" t="str">
        <f>IFERROR(__xludf.DUMMYFUNCTION("""COMPUTED_VALUE"""),"")</f>
        <v/>
      </c>
      <c r="B14784" s="87"/>
      <c r="C14784" s="87"/>
      <c r="D14784" s="87"/>
      <c r="E14784" s="87"/>
      <c r="F14784" s="87"/>
      <c r="G14784" s="87"/>
    </row>
    <row r="14785">
      <c r="A14785" s="86" t="str">
        <f>IFERROR(__xludf.DUMMYFUNCTION("""COMPUTED_VALUE"""),"")</f>
        <v/>
      </c>
      <c r="B14785" s="87"/>
      <c r="C14785" s="87"/>
      <c r="D14785" s="87"/>
      <c r="E14785" s="87"/>
      <c r="F14785" s="87"/>
      <c r="G14785" s="87"/>
    </row>
    <row r="14786">
      <c r="A14786" s="86" t="str">
        <f>IFERROR(__xludf.DUMMYFUNCTION("""COMPUTED_VALUE"""),"")</f>
        <v/>
      </c>
      <c r="B14786" s="87"/>
      <c r="C14786" s="87"/>
      <c r="D14786" s="87"/>
      <c r="E14786" s="87"/>
      <c r="F14786" s="87"/>
      <c r="G14786" s="87"/>
    </row>
    <row r="14787">
      <c r="A14787" s="86" t="str">
        <f>IFERROR(__xludf.DUMMYFUNCTION("""COMPUTED_VALUE"""),"")</f>
        <v/>
      </c>
      <c r="B14787" s="87"/>
      <c r="C14787" s="87"/>
      <c r="D14787" s="87"/>
      <c r="E14787" s="87"/>
      <c r="F14787" s="87"/>
      <c r="G14787" s="87"/>
    </row>
    <row r="14788">
      <c r="A14788" s="86" t="str">
        <f>IFERROR(__xludf.DUMMYFUNCTION("""COMPUTED_VALUE"""),"")</f>
        <v/>
      </c>
      <c r="B14788" s="87"/>
      <c r="C14788" s="87"/>
      <c r="D14788" s="87"/>
      <c r="E14788" s="87"/>
      <c r="F14788" s="87"/>
      <c r="G14788" s="87"/>
    </row>
    <row r="14789">
      <c r="A14789" s="86" t="str">
        <f>IFERROR(__xludf.DUMMYFUNCTION("""COMPUTED_VALUE"""),"")</f>
        <v/>
      </c>
      <c r="B14789" s="87"/>
      <c r="C14789" s="87"/>
      <c r="D14789" s="87"/>
      <c r="E14789" s="87"/>
      <c r="F14789" s="87"/>
      <c r="G14789" s="87"/>
    </row>
    <row r="14790">
      <c r="A14790" s="86" t="str">
        <f>IFERROR(__xludf.DUMMYFUNCTION("""COMPUTED_VALUE"""),"")</f>
        <v/>
      </c>
      <c r="B14790" s="87"/>
      <c r="C14790" s="87"/>
      <c r="D14790" s="87"/>
      <c r="E14790" s="87"/>
      <c r="F14790" s="87"/>
      <c r="G14790" s="87"/>
    </row>
    <row r="14791">
      <c r="A14791" s="86" t="str">
        <f>IFERROR(__xludf.DUMMYFUNCTION("""COMPUTED_VALUE"""),"")</f>
        <v/>
      </c>
      <c r="B14791" s="87"/>
      <c r="C14791" s="87"/>
      <c r="D14791" s="87"/>
      <c r="E14791" s="87"/>
      <c r="F14791" s="87"/>
      <c r="G14791" s="87"/>
    </row>
    <row r="14792">
      <c r="A14792" s="86" t="str">
        <f>IFERROR(__xludf.DUMMYFUNCTION("""COMPUTED_VALUE"""),"")</f>
        <v/>
      </c>
      <c r="B14792" s="87"/>
      <c r="C14792" s="87"/>
      <c r="D14792" s="87"/>
      <c r="E14792" s="87"/>
      <c r="F14792" s="87"/>
      <c r="G14792" s="87"/>
    </row>
    <row r="14793">
      <c r="A14793" s="86" t="str">
        <f>IFERROR(__xludf.DUMMYFUNCTION("""COMPUTED_VALUE"""),"")</f>
        <v/>
      </c>
      <c r="B14793" s="87"/>
      <c r="C14793" s="87"/>
      <c r="D14793" s="87"/>
      <c r="E14793" s="87"/>
      <c r="F14793" s="87"/>
      <c r="G14793" s="87"/>
    </row>
    <row r="14794">
      <c r="A14794" s="86" t="str">
        <f>IFERROR(__xludf.DUMMYFUNCTION("""COMPUTED_VALUE"""),"")</f>
        <v/>
      </c>
      <c r="B14794" s="87"/>
      <c r="C14794" s="87"/>
      <c r="D14794" s="87"/>
      <c r="E14794" s="87"/>
      <c r="F14794" s="87"/>
      <c r="G14794" s="87"/>
    </row>
    <row r="14795">
      <c r="A14795" s="86" t="str">
        <f>IFERROR(__xludf.DUMMYFUNCTION("""COMPUTED_VALUE"""),"")</f>
        <v/>
      </c>
      <c r="B14795" s="87"/>
      <c r="C14795" s="87"/>
      <c r="D14795" s="87"/>
      <c r="E14795" s="87"/>
      <c r="F14795" s="87"/>
      <c r="G14795" s="87"/>
    </row>
    <row r="14796">
      <c r="A14796" s="86" t="str">
        <f>IFERROR(__xludf.DUMMYFUNCTION("""COMPUTED_VALUE"""),"")</f>
        <v/>
      </c>
      <c r="B14796" s="87"/>
      <c r="C14796" s="87"/>
      <c r="D14796" s="87"/>
      <c r="E14796" s="87"/>
      <c r="F14796" s="87"/>
      <c r="G14796" s="87"/>
    </row>
    <row r="14797">
      <c r="A14797" s="86" t="str">
        <f>IFERROR(__xludf.DUMMYFUNCTION("""COMPUTED_VALUE"""),"")</f>
        <v/>
      </c>
      <c r="B14797" s="87"/>
      <c r="C14797" s="87"/>
      <c r="D14797" s="87"/>
      <c r="E14797" s="87"/>
      <c r="F14797" s="87"/>
      <c r="G14797" s="87"/>
    </row>
    <row r="14798">
      <c r="A14798" s="86" t="str">
        <f>IFERROR(__xludf.DUMMYFUNCTION("""COMPUTED_VALUE"""),"")</f>
        <v/>
      </c>
      <c r="B14798" s="87"/>
      <c r="C14798" s="87"/>
      <c r="D14798" s="87"/>
      <c r="E14798" s="87"/>
      <c r="F14798" s="87"/>
      <c r="G14798" s="87"/>
    </row>
    <row r="14799">
      <c r="A14799" s="86" t="str">
        <f>IFERROR(__xludf.DUMMYFUNCTION("""COMPUTED_VALUE"""),"")</f>
        <v/>
      </c>
      <c r="B14799" s="87"/>
      <c r="C14799" s="87"/>
      <c r="D14799" s="87"/>
      <c r="E14799" s="87"/>
      <c r="F14799" s="87"/>
      <c r="G14799" s="87"/>
    </row>
    <row r="14800">
      <c r="A14800" s="86" t="str">
        <f>IFERROR(__xludf.DUMMYFUNCTION("""COMPUTED_VALUE"""),"")</f>
        <v/>
      </c>
      <c r="B14800" s="87"/>
      <c r="C14800" s="87"/>
      <c r="D14800" s="87"/>
      <c r="E14800" s="87"/>
      <c r="F14800" s="87"/>
      <c r="G14800" s="87"/>
    </row>
    <row r="14801">
      <c r="A14801" s="86" t="str">
        <f>IFERROR(__xludf.DUMMYFUNCTION("""COMPUTED_VALUE"""),"")</f>
        <v/>
      </c>
      <c r="B14801" s="87"/>
      <c r="C14801" s="87"/>
      <c r="D14801" s="87"/>
      <c r="E14801" s="87"/>
      <c r="F14801" s="87"/>
      <c r="G14801" s="87"/>
    </row>
    <row r="14802">
      <c r="A14802" s="86" t="str">
        <f>IFERROR(__xludf.DUMMYFUNCTION("""COMPUTED_VALUE"""),"")</f>
        <v/>
      </c>
      <c r="B14802" s="87"/>
      <c r="C14802" s="87"/>
      <c r="D14802" s="87"/>
      <c r="E14802" s="87"/>
      <c r="F14802" s="87"/>
      <c r="G14802" s="87"/>
    </row>
    <row r="14803">
      <c r="A14803" s="86" t="str">
        <f>IFERROR(__xludf.DUMMYFUNCTION("""COMPUTED_VALUE"""),"")</f>
        <v/>
      </c>
      <c r="B14803" s="87"/>
      <c r="C14803" s="87"/>
      <c r="D14803" s="87"/>
      <c r="E14803" s="87"/>
      <c r="F14803" s="87"/>
      <c r="G14803" s="87"/>
    </row>
    <row r="14804">
      <c r="A14804" s="86" t="str">
        <f>IFERROR(__xludf.DUMMYFUNCTION("""COMPUTED_VALUE"""),"")</f>
        <v/>
      </c>
      <c r="B14804" s="87"/>
      <c r="C14804" s="87"/>
      <c r="D14804" s="87"/>
      <c r="E14804" s="87"/>
      <c r="F14804" s="87"/>
      <c r="G14804" s="87"/>
    </row>
    <row r="14805">
      <c r="A14805" s="86" t="str">
        <f>IFERROR(__xludf.DUMMYFUNCTION("""COMPUTED_VALUE"""),"")</f>
        <v/>
      </c>
      <c r="B14805" s="87"/>
      <c r="C14805" s="87"/>
      <c r="D14805" s="87"/>
      <c r="E14805" s="87"/>
      <c r="F14805" s="87"/>
      <c r="G14805" s="87"/>
    </row>
    <row r="14806">
      <c r="A14806" s="86" t="str">
        <f>IFERROR(__xludf.DUMMYFUNCTION("""COMPUTED_VALUE"""),"")</f>
        <v/>
      </c>
      <c r="B14806" s="87"/>
      <c r="C14806" s="87"/>
      <c r="D14806" s="87"/>
      <c r="E14806" s="87"/>
      <c r="F14806" s="87"/>
      <c r="G14806" s="87"/>
    </row>
    <row r="14807">
      <c r="A14807" s="86" t="str">
        <f>IFERROR(__xludf.DUMMYFUNCTION("""COMPUTED_VALUE"""),"")</f>
        <v/>
      </c>
      <c r="B14807" s="87"/>
      <c r="C14807" s="87"/>
      <c r="D14807" s="87"/>
      <c r="E14807" s="87"/>
      <c r="F14807" s="87"/>
      <c r="G14807" s="87"/>
    </row>
    <row r="14808">
      <c r="A14808" s="86" t="str">
        <f>IFERROR(__xludf.DUMMYFUNCTION("""COMPUTED_VALUE"""),"")</f>
        <v/>
      </c>
      <c r="B14808" s="87"/>
      <c r="C14808" s="87"/>
      <c r="D14808" s="87"/>
      <c r="E14808" s="87"/>
      <c r="F14808" s="87"/>
      <c r="G14808" s="87"/>
    </row>
    <row r="14809">
      <c r="A14809" s="86" t="str">
        <f>IFERROR(__xludf.DUMMYFUNCTION("""COMPUTED_VALUE"""),"")</f>
        <v/>
      </c>
      <c r="B14809" s="87"/>
      <c r="C14809" s="87"/>
      <c r="D14809" s="87"/>
      <c r="E14809" s="87"/>
      <c r="F14809" s="87"/>
      <c r="G14809" s="87"/>
    </row>
    <row r="14810">
      <c r="A14810" s="86" t="str">
        <f>IFERROR(__xludf.DUMMYFUNCTION("""COMPUTED_VALUE"""),"")</f>
        <v/>
      </c>
      <c r="B14810" s="87"/>
      <c r="C14810" s="87"/>
      <c r="D14810" s="87"/>
      <c r="E14810" s="87"/>
      <c r="F14810" s="87"/>
      <c r="G14810" s="87"/>
    </row>
    <row r="14811">
      <c r="A14811" s="86" t="str">
        <f>IFERROR(__xludf.DUMMYFUNCTION("""COMPUTED_VALUE"""),"")</f>
        <v/>
      </c>
      <c r="B14811" s="87"/>
      <c r="C14811" s="87"/>
      <c r="D14811" s="87"/>
      <c r="E14811" s="87"/>
      <c r="F14811" s="87"/>
      <c r="G14811" s="87"/>
    </row>
    <row r="14812">
      <c r="A14812" s="86" t="str">
        <f>IFERROR(__xludf.DUMMYFUNCTION("""COMPUTED_VALUE"""),"")</f>
        <v/>
      </c>
      <c r="B14812" s="87"/>
      <c r="C14812" s="87"/>
      <c r="D14812" s="87"/>
      <c r="E14812" s="87"/>
      <c r="F14812" s="87"/>
      <c r="G14812" s="87"/>
    </row>
    <row r="14813">
      <c r="A14813" s="86" t="str">
        <f>IFERROR(__xludf.DUMMYFUNCTION("""COMPUTED_VALUE"""),"")</f>
        <v/>
      </c>
      <c r="B14813" s="87"/>
      <c r="C14813" s="87"/>
      <c r="D14813" s="87"/>
      <c r="E14813" s="87"/>
      <c r="F14813" s="87"/>
      <c r="G14813" s="87"/>
    </row>
    <row r="14814">
      <c r="A14814" s="86" t="str">
        <f>IFERROR(__xludf.DUMMYFUNCTION("""COMPUTED_VALUE"""),"")</f>
        <v/>
      </c>
      <c r="B14814" s="87"/>
      <c r="C14814" s="87"/>
      <c r="D14814" s="87"/>
      <c r="E14814" s="87"/>
      <c r="F14814" s="87"/>
      <c r="G14814" s="87"/>
    </row>
    <row r="14815">
      <c r="A14815" s="86" t="str">
        <f>IFERROR(__xludf.DUMMYFUNCTION("""COMPUTED_VALUE"""),"")</f>
        <v/>
      </c>
      <c r="B14815" s="87"/>
      <c r="C14815" s="87"/>
      <c r="D14815" s="87"/>
      <c r="E14815" s="87"/>
      <c r="F14815" s="87"/>
      <c r="G14815" s="87"/>
    </row>
    <row r="14816">
      <c r="A14816" s="86" t="str">
        <f>IFERROR(__xludf.DUMMYFUNCTION("""COMPUTED_VALUE"""),"")</f>
        <v/>
      </c>
      <c r="B14816" s="87"/>
      <c r="C14816" s="87"/>
      <c r="D14816" s="87"/>
      <c r="E14816" s="87"/>
      <c r="F14816" s="87"/>
      <c r="G14816" s="87"/>
    </row>
    <row r="14817">
      <c r="A14817" s="86" t="str">
        <f>IFERROR(__xludf.DUMMYFUNCTION("""COMPUTED_VALUE"""),"")</f>
        <v/>
      </c>
      <c r="B14817" s="87"/>
      <c r="C14817" s="87"/>
      <c r="D14817" s="87"/>
      <c r="E14817" s="87"/>
      <c r="F14817" s="87"/>
      <c r="G14817" s="87"/>
    </row>
    <row r="14818">
      <c r="A14818" s="86" t="str">
        <f>IFERROR(__xludf.DUMMYFUNCTION("""COMPUTED_VALUE"""),"")</f>
        <v/>
      </c>
      <c r="B14818" s="87"/>
      <c r="C14818" s="87"/>
      <c r="D14818" s="87"/>
      <c r="E14818" s="87"/>
      <c r="F14818" s="87"/>
      <c r="G14818" s="87"/>
    </row>
    <row r="14819">
      <c r="A14819" s="86" t="str">
        <f>IFERROR(__xludf.DUMMYFUNCTION("""COMPUTED_VALUE"""),"")</f>
        <v/>
      </c>
      <c r="B14819" s="87"/>
      <c r="C14819" s="87"/>
      <c r="D14819" s="87"/>
      <c r="E14819" s="87"/>
      <c r="F14819" s="87"/>
      <c r="G14819" s="87"/>
    </row>
    <row r="14820">
      <c r="A14820" s="86" t="str">
        <f>IFERROR(__xludf.DUMMYFUNCTION("""COMPUTED_VALUE"""),"")</f>
        <v/>
      </c>
      <c r="B14820" s="87"/>
      <c r="C14820" s="87"/>
      <c r="D14820" s="87"/>
      <c r="E14820" s="87"/>
      <c r="F14820" s="87"/>
      <c r="G14820" s="87"/>
    </row>
    <row r="14821">
      <c r="A14821" s="86" t="str">
        <f>IFERROR(__xludf.DUMMYFUNCTION("""COMPUTED_VALUE"""),"")</f>
        <v/>
      </c>
      <c r="B14821" s="87"/>
      <c r="C14821" s="87"/>
      <c r="D14821" s="87"/>
      <c r="E14821" s="87"/>
      <c r="F14821" s="87"/>
      <c r="G14821" s="87"/>
    </row>
    <row r="14822">
      <c r="A14822" s="86" t="str">
        <f>IFERROR(__xludf.DUMMYFUNCTION("""COMPUTED_VALUE"""),"")</f>
        <v/>
      </c>
      <c r="B14822" s="87"/>
      <c r="C14822" s="87"/>
      <c r="D14822" s="87"/>
      <c r="E14822" s="87"/>
      <c r="F14822" s="87"/>
      <c r="G14822" s="87"/>
    </row>
    <row r="14823">
      <c r="A14823" s="86" t="str">
        <f>IFERROR(__xludf.DUMMYFUNCTION("""COMPUTED_VALUE"""),"")</f>
        <v/>
      </c>
      <c r="B14823" s="87"/>
      <c r="C14823" s="87"/>
      <c r="D14823" s="87"/>
      <c r="E14823" s="87"/>
      <c r="F14823" s="87"/>
      <c r="G14823" s="87"/>
    </row>
    <row r="14824">
      <c r="A14824" s="86" t="str">
        <f>IFERROR(__xludf.DUMMYFUNCTION("""COMPUTED_VALUE"""),"")</f>
        <v/>
      </c>
      <c r="B14824" s="87"/>
      <c r="C14824" s="87"/>
      <c r="D14824" s="87"/>
      <c r="E14824" s="87"/>
      <c r="F14824" s="87"/>
      <c r="G14824" s="87"/>
    </row>
    <row r="14825">
      <c r="A14825" s="86" t="str">
        <f>IFERROR(__xludf.DUMMYFUNCTION("""COMPUTED_VALUE"""),"")</f>
        <v/>
      </c>
      <c r="B14825" s="87"/>
      <c r="C14825" s="87"/>
      <c r="D14825" s="87"/>
      <c r="E14825" s="87"/>
      <c r="F14825" s="87"/>
      <c r="G14825" s="87"/>
    </row>
    <row r="14826">
      <c r="A14826" s="86" t="str">
        <f>IFERROR(__xludf.DUMMYFUNCTION("""COMPUTED_VALUE"""),"")</f>
        <v/>
      </c>
      <c r="B14826" s="87"/>
      <c r="C14826" s="87"/>
      <c r="D14826" s="87"/>
      <c r="E14826" s="87"/>
      <c r="F14826" s="87"/>
      <c r="G14826" s="87"/>
    </row>
    <row r="14827">
      <c r="A14827" s="86" t="str">
        <f>IFERROR(__xludf.DUMMYFUNCTION("""COMPUTED_VALUE"""),"")</f>
        <v/>
      </c>
      <c r="B14827" s="87"/>
      <c r="C14827" s="87"/>
      <c r="D14827" s="87"/>
      <c r="E14827" s="87"/>
      <c r="F14827" s="87"/>
      <c r="G14827" s="87"/>
    </row>
    <row r="14828">
      <c r="A14828" s="86" t="str">
        <f>IFERROR(__xludf.DUMMYFUNCTION("""COMPUTED_VALUE"""),"")</f>
        <v/>
      </c>
      <c r="B14828" s="87"/>
      <c r="C14828" s="87"/>
      <c r="D14828" s="87"/>
      <c r="E14828" s="87"/>
      <c r="F14828" s="87"/>
      <c r="G14828" s="87"/>
    </row>
    <row r="14829">
      <c r="A14829" s="86" t="str">
        <f>IFERROR(__xludf.DUMMYFUNCTION("""COMPUTED_VALUE"""),"")</f>
        <v/>
      </c>
      <c r="B14829" s="87"/>
      <c r="C14829" s="87"/>
      <c r="D14829" s="87"/>
      <c r="E14829" s="87"/>
      <c r="F14829" s="87"/>
      <c r="G14829" s="87"/>
    </row>
    <row r="14830">
      <c r="A14830" s="86" t="str">
        <f>IFERROR(__xludf.DUMMYFUNCTION("""COMPUTED_VALUE"""),"")</f>
        <v/>
      </c>
      <c r="B14830" s="87"/>
      <c r="C14830" s="87"/>
      <c r="D14830" s="87"/>
      <c r="E14830" s="87"/>
      <c r="F14830" s="87"/>
      <c r="G14830" s="87"/>
    </row>
    <row r="14831">
      <c r="A14831" s="86" t="str">
        <f>IFERROR(__xludf.DUMMYFUNCTION("""COMPUTED_VALUE"""),"")</f>
        <v/>
      </c>
      <c r="B14831" s="87"/>
      <c r="C14831" s="87"/>
      <c r="D14831" s="87"/>
      <c r="E14831" s="87"/>
      <c r="F14831" s="87"/>
      <c r="G14831" s="87"/>
    </row>
    <row r="14832">
      <c r="A14832" s="86" t="str">
        <f>IFERROR(__xludf.DUMMYFUNCTION("""COMPUTED_VALUE"""),"")</f>
        <v/>
      </c>
      <c r="B14832" s="87"/>
      <c r="C14832" s="87"/>
      <c r="D14832" s="87"/>
      <c r="E14832" s="87"/>
      <c r="F14832" s="87"/>
      <c r="G14832" s="87"/>
    </row>
    <row r="14833">
      <c r="A14833" s="86" t="str">
        <f>IFERROR(__xludf.DUMMYFUNCTION("""COMPUTED_VALUE"""),"")</f>
        <v/>
      </c>
      <c r="B14833" s="87"/>
      <c r="C14833" s="87"/>
      <c r="D14833" s="87"/>
      <c r="E14833" s="87"/>
      <c r="F14833" s="87"/>
      <c r="G14833" s="87"/>
    </row>
    <row r="14834">
      <c r="A14834" s="86" t="str">
        <f>IFERROR(__xludf.DUMMYFUNCTION("""COMPUTED_VALUE"""),"")</f>
        <v/>
      </c>
      <c r="B14834" s="87"/>
      <c r="C14834" s="87"/>
      <c r="D14834" s="87"/>
      <c r="E14834" s="87"/>
      <c r="F14834" s="87"/>
      <c r="G14834" s="87"/>
    </row>
    <row r="14835">
      <c r="A14835" s="86" t="str">
        <f>IFERROR(__xludf.DUMMYFUNCTION("""COMPUTED_VALUE"""),"")</f>
        <v/>
      </c>
      <c r="B14835" s="87"/>
      <c r="C14835" s="87"/>
      <c r="D14835" s="87"/>
      <c r="E14835" s="87"/>
      <c r="F14835" s="87"/>
      <c r="G14835" s="87"/>
    </row>
    <row r="14836">
      <c r="A14836" s="86" t="str">
        <f>IFERROR(__xludf.DUMMYFUNCTION("""COMPUTED_VALUE"""),"")</f>
        <v/>
      </c>
      <c r="B14836" s="87"/>
      <c r="C14836" s="87"/>
      <c r="D14836" s="87"/>
      <c r="E14836" s="87"/>
      <c r="F14836" s="87"/>
      <c r="G14836" s="87"/>
    </row>
    <row r="14837">
      <c r="A14837" s="86" t="str">
        <f>IFERROR(__xludf.DUMMYFUNCTION("""COMPUTED_VALUE"""),"")</f>
        <v/>
      </c>
      <c r="B14837" s="87"/>
      <c r="C14837" s="87"/>
      <c r="D14837" s="87"/>
      <c r="E14837" s="87"/>
      <c r="F14837" s="87"/>
      <c r="G14837" s="87"/>
    </row>
    <row r="14838">
      <c r="A14838" s="86" t="str">
        <f>IFERROR(__xludf.DUMMYFUNCTION("""COMPUTED_VALUE"""),"")</f>
        <v/>
      </c>
      <c r="B14838" s="87"/>
      <c r="C14838" s="87"/>
      <c r="D14838" s="87"/>
      <c r="E14838" s="87"/>
      <c r="F14838" s="87"/>
      <c r="G14838" s="87"/>
    </row>
    <row r="14839">
      <c r="A14839" s="86" t="str">
        <f>IFERROR(__xludf.DUMMYFUNCTION("""COMPUTED_VALUE"""),"")</f>
        <v/>
      </c>
      <c r="B14839" s="87"/>
      <c r="C14839" s="87"/>
      <c r="D14839" s="87"/>
      <c r="E14839" s="87"/>
      <c r="F14839" s="87"/>
      <c r="G14839" s="87"/>
    </row>
    <row r="14840">
      <c r="A14840" s="86" t="str">
        <f>IFERROR(__xludf.DUMMYFUNCTION("""COMPUTED_VALUE"""),"")</f>
        <v/>
      </c>
      <c r="B14840" s="87"/>
      <c r="C14840" s="87"/>
      <c r="D14840" s="87"/>
      <c r="E14840" s="87"/>
      <c r="F14840" s="87"/>
      <c r="G14840" s="87"/>
    </row>
    <row r="14841">
      <c r="A14841" s="86" t="str">
        <f>IFERROR(__xludf.DUMMYFUNCTION("""COMPUTED_VALUE"""),"")</f>
        <v/>
      </c>
      <c r="B14841" s="87"/>
      <c r="C14841" s="87"/>
      <c r="D14841" s="87"/>
      <c r="E14841" s="87"/>
      <c r="F14841" s="87"/>
      <c r="G14841" s="87"/>
    </row>
    <row r="14842">
      <c r="A14842" s="86" t="str">
        <f>IFERROR(__xludf.DUMMYFUNCTION("""COMPUTED_VALUE"""),"")</f>
        <v/>
      </c>
      <c r="B14842" s="87"/>
      <c r="C14842" s="87"/>
      <c r="D14842" s="87"/>
      <c r="E14842" s="87"/>
      <c r="F14842" s="87"/>
      <c r="G14842" s="87"/>
    </row>
    <row r="14843">
      <c r="A14843" s="86" t="str">
        <f>IFERROR(__xludf.DUMMYFUNCTION("""COMPUTED_VALUE"""),"")</f>
        <v/>
      </c>
      <c r="B14843" s="87"/>
      <c r="C14843" s="87"/>
      <c r="D14843" s="87"/>
      <c r="E14843" s="87"/>
      <c r="F14843" s="87"/>
      <c r="G14843" s="87"/>
    </row>
    <row r="14844">
      <c r="A14844" s="86" t="str">
        <f>IFERROR(__xludf.DUMMYFUNCTION("""COMPUTED_VALUE"""),"")</f>
        <v/>
      </c>
      <c r="B14844" s="87"/>
      <c r="C14844" s="87"/>
      <c r="D14844" s="87"/>
      <c r="E14844" s="87"/>
      <c r="F14844" s="87"/>
      <c r="G14844" s="87"/>
    </row>
    <row r="14845">
      <c r="A14845" s="86" t="str">
        <f>IFERROR(__xludf.DUMMYFUNCTION("""COMPUTED_VALUE"""),"")</f>
        <v/>
      </c>
      <c r="B14845" s="87"/>
      <c r="C14845" s="87"/>
      <c r="D14845" s="87"/>
      <c r="E14845" s="87"/>
      <c r="F14845" s="87"/>
      <c r="G14845" s="87"/>
    </row>
    <row r="14846">
      <c r="A14846" s="86" t="str">
        <f>IFERROR(__xludf.DUMMYFUNCTION("""COMPUTED_VALUE"""),"")</f>
        <v/>
      </c>
      <c r="B14846" s="87"/>
      <c r="C14846" s="87"/>
      <c r="D14846" s="87"/>
      <c r="E14846" s="87"/>
      <c r="F14846" s="87"/>
      <c r="G14846" s="87"/>
    </row>
    <row r="14847">
      <c r="A14847" s="86" t="str">
        <f>IFERROR(__xludf.DUMMYFUNCTION("""COMPUTED_VALUE"""),"")</f>
        <v/>
      </c>
      <c r="B14847" s="87"/>
      <c r="C14847" s="87"/>
      <c r="D14847" s="87"/>
      <c r="E14847" s="87"/>
      <c r="F14847" s="87"/>
      <c r="G14847" s="87"/>
    </row>
    <row r="14848">
      <c r="A14848" s="86" t="str">
        <f>IFERROR(__xludf.DUMMYFUNCTION("""COMPUTED_VALUE"""),"")</f>
        <v/>
      </c>
      <c r="B14848" s="87"/>
      <c r="C14848" s="87"/>
      <c r="D14848" s="87"/>
      <c r="E14848" s="87"/>
      <c r="F14848" s="87"/>
      <c r="G14848" s="87"/>
    </row>
    <row r="14849">
      <c r="A14849" s="86" t="str">
        <f>IFERROR(__xludf.DUMMYFUNCTION("""COMPUTED_VALUE"""),"")</f>
        <v/>
      </c>
      <c r="B14849" s="87"/>
      <c r="C14849" s="87"/>
      <c r="D14849" s="87"/>
      <c r="E14849" s="87"/>
      <c r="F14849" s="87"/>
      <c r="G14849" s="87"/>
    </row>
    <row r="14850">
      <c r="A14850" s="86" t="str">
        <f>IFERROR(__xludf.DUMMYFUNCTION("""COMPUTED_VALUE"""),"")</f>
        <v/>
      </c>
      <c r="B14850" s="87"/>
      <c r="C14850" s="87"/>
      <c r="D14850" s="87"/>
      <c r="E14850" s="87"/>
      <c r="F14850" s="87"/>
      <c r="G14850" s="87"/>
    </row>
    <row r="14851">
      <c r="A14851" s="86" t="str">
        <f>IFERROR(__xludf.DUMMYFUNCTION("""COMPUTED_VALUE"""),"")</f>
        <v/>
      </c>
      <c r="B14851" s="87"/>
      <c r="C14851" s="87"/>
      <c r="D14851" s="87"/>
      <c r="E14851" s="87"/>
      <c r="F14851" s="87"/>
      <c r="G14851" s="87"/>
    </row>
    <row r="14852">
      <c r="A14852" s="86" t="str">
        <f>IFERROR(__xludf.DUMMYFUNCTION("""COMPUTED_VALUE"""),"")</f>
        <v/>
      </c>
      <c r="B14852" s="87"/>
      <c r="C14852" s="87"/>
      <c r="D14852" s="87"/>
      <c r="E14852" s="87"/>
      <c r="F14852" s="87"/>
      <c r="G14852" s="87"/>
    </row>
    <row r="14853">
      <c r="A14853" s="86" t="str">
        <f>IFERROR(__xludf.DUMMYFUNCTION("""COMPUTED_VALUE"""),"")</f>
        <v/>
      </c>
      <c r="B14853" s="87"/>
      <c r="C14853" s="87"/>
      <c r="D14853" s="87"/>
      <c r="E14853" s="87"/>
      <c r="F14853" s="87"/>
      <c r="G14853" s="87"/>
    </row>
    <row r="14854">
      <c r="A14854" s="86" t="str">
        <f>IFERROR(__xludf.DUMMYFUNCTION("""COMPUTED_VALUE"""),"")</f>
        <v/>
      </c>
      <c r="B14854" s="87"/>
      <c r="C14854" s="87"/>
      <c r="D14854" s="87"/>
      <c r="E14854" s="87"/>
      <c r="F14854" s="87"/>
      <c r="G14854" s="87"/>
    </row>
    <row r="14855">
      <c r="A14855" s="86" t="str">
        <f>IFERROR(__xludf.DUMMYFUNCTION("""COMPUTED_VALUE"""),"")</f>
        <v/>
      </c>
      <c r="B14855" s="87"/>
      <c r="C14855" s="87"/>
      <c r="D14855" s="87"/>
      <c r="E14855" s="87"/>
      <c r="F14855" s="87"/>
      <c r="G14855" s="87"/>
    </row>
    <row r="14856">
      <c r="A14856" s="86" t="str">
        <f>IFERROR(__xludf.DUMMYFUNCTION("""COMPUTED_VALUE"""),"")</f>
        <v/>
      </c>
      <c r="B14856" s="87"/>
      <c r="C14856" s="87"/>
      <c r="D14856" s="87"/>
      <c r="E14856" s="87"/>
      <c r="F14856" s="87"/>
      <c r="G14856" s="87"/>
    </row>
    <row r="14857">
      <c r="A14857" s="86" t="str">
        <f>IFERROR(__xludf.DUMMYFUNCTION("""COMPUTED_VALUE"""),"")</f>
        <v/>
      </c>
      <c r="B14857" s="87"/>
      <c r="C14857" s="87"/>
      <c r="D14857" s="87"/>
      <c r="E14857" s="87"/>
      <c r="F14857" s="87"/>
      <c r="G14857" s="87"/>
    </row>
    <row r="14858">
      <c r="A14858" s="86" t="str">
        <f>IFERROR(__xludf.DUMMYFUNCTION("""COMPUTED_VALUE"""),"")</f>
        <v/>
      </c>
      <c r="B14858" s="87"/>
      <c r="C14858" s="87"/>
      <c r="D14858" s="87"/>
      <c r="E14858" s="87"/>
      <c r="F14858" s="87"/>
      <c r="G14858" s="87"/>
    </row>
    <row r="14859">
      <c r="A14859" s="86" t="str">
        <f>IFERROR(__xludf.DUMMYFUNCTION("""COMPUTED_VALUE"""),"")</f>
        <v/>
      </c>
      <c r="B14859" s="87"/>
      <c r="C14859" s="87"/>
      <c r="D14859" s="87"/>
      <c r="E14859" s="87"/>
      <c r="F14859" s="87"/>
      <c r="G14859" s="87"/>
    </row>
    <row r="14860">
      <c r="A14860" s="86" t="str">
        <f>IFERROR(__xludf.DUMMYFUNCTION("""COMPUTED_VALUE"""),"")</f>
        <v/>
      </c>
      <c r="B14860" s="87"/>
      <c r="C14860" s="87"/>
      <c r="D14860" s="87"/>
      <c r="E14860" s="87"/>
      <c r="F14860" s="87"/>
      <c r="G14860" s="87"/>
    </row>
    <row r="14861">
      <c r="A14861" s="86" t="str">
        <f>IFERROR(__xludf.DUMMYFUNCTION("""COMPUTED_VALUE"""),"")</f>
        <v/>
      </c>
      <c r="B14861" s="87"/>
      <c r="C14861" s="87"/>
      <c r="D14861" s="87"/>
      <c r="E14861" s="87"/>
      <c r="F14861" s="87"/>
      <c r="G14861" s="87"/>
    </row>
    <row r="14862">
      <c r="A14862" s="86" t="str">
        <f>IFERROR(__xludf.DUMMYFUNCTION("""COMPUTED_VALUE"""),"")</f>
        <v/>
      </c>
      <c r="B14862" s="87"/>
      <c r="C14862" s="87"/>
      <c r="D14862" s="87"/>
      <c r="E14862" s="87"/>
      <c r="F14862" s="87"/>
      <c r="G14862" s="87"/>
    </row>
    <row r="14863">
      <c r="A14863" s="86" t="str">
        <f>IFERROR(__xludf.DUMMYFUNCTION("""COMPUTED_VALUE"""),"")</f>
        <v/>
      </c>
      <c r="B14863" s="87"/>
      <c r="C14863" s="87"/>
      <c r="D14863" s="87"/>
      <c r="E14863" s="87"/>
      <c r="F14863" s="87"/>
      <c r="G14863" s="87"/>
    </row>
    <row r="14864">
      <c r="A14864" s="86" t="str">
        <f>IFERROR(__xludf.DUMMYFUNCTION("""COMPUTED_VALUE"""),"")</f>
        <v/>
      </c>
      <c r="B14864" s="87"/>
      <c r="C14864" s="87"/>
      <c r="D14864" s="87"/>
      <c r="E14864" s="87"/>
      <c r="F14864" s="87"/>
      <c r="G14864" s="87"/>
    </row>
    <row r="14865">
      <c r="A14865" s="86" t="str">
        <f>IFERROR(__xludf.DUMMYFUNCTION("""COMPUTED_VALUE"""),"")</f>
        <v/>
      </c>
      <c r="B14865" s="87"/>
      <c r="C14865" s="87"/>
      <c r="D14865" s="87"/>
      <c r="E14865" s="87"/>
      <c r="F14865" s="87"/>
      <c r="G14865" s="87"/>
    </row>
    <row r="14866">
      <c r="A14866" s="86" t="str">
        <f>IFERROR(__xludf.DUMMYFUNCTION("""COMPUTED_VALUE"""),"")</f>
        <v/>
      </c>
      <c r="B14866" s="87"/>
      <c r="C14866" s="87"/>
      <c r="D14866" s="87"/>
      <c r="E14866" s="87"/>
      <c r="F14866" s="87"/>
      <c r="G14866" s="87"/>
    </row>
    <row r="14867">
      <c r="A14867" s="86" t="str">
        <f>IFERROR(__xludf.DUMMYFUNCTION("""COMPUTED_VALUE"""),"")</f>
        <v/>
      </c>
      <c r="B14867" s="87"/>
      <c r="C14867" s="87"/>
      <c r="D14867" s="87"/>
      <c r="E14867" s="87"/>
      <c r="F14867" s="87"/>
      <c r="G14867" s="87"/>
    </row>
    <row r="14868">
      <c r="A14868" s="86" t="str">
        <f>IFERROR(__xludf.DUMMYFUNCTION("""COMPUTED_VALUE"""),"")</f>
        <v/>
      </c>
      <c r="B14868" s="87"/>
      <c r="C14868" s="87"/>
      <c r="D14868" s="87"/>
      <c r="E14868" s="87"/>
      <c r="F14868" s="87"/>
      <c r="G14868" s="87"/>
    </row>
    <row r="14869">
      <c r="A14869" s="86" t="str">
        <f>IFERROR(__xludf.DUMMYFUNCTION("""COMPUTED_VALUE"""),"")</f>
        <v/>
      </c>
      <c r="B14869" s="87"/>
      <c r="C14869" s="87"/>
      <c r="D14869" s="87"/>
      <c r="E14869" s="87"/>
      <c r="F14869" s="87"/>
      <c r="G14869" s="87"/>
    </row>
    <row r="14870">
      <c r="A14870" s="86" t="str">
        <f>IFERROR(__xludf.DUMMYFUNCTION("""COMPUTED_VALUE"""),"")</f>
        <v/>
      </c>
      <c r="B14870" s="87"/>
      <c r="C14870" s="87"/>
      <c r="D14870" s="87"/>
      <c r="E14870" s="87"/>
      <c r="F14870" s="87"/>
      <c r="G14870" s="87"/>
    </row>
    <row r="14871">
      <c r="A14871" s="86" t="str">
        <f>IFERROR(__xludf.DUMMYFUNCTION("""COMPUTED_VALUE"""),"")</f>
        <v/>
      </c>
      <c r="B14871" s="87"/>
      <c r="C14871" s="87"/>
      <c r="D14871" s="87"/>
      <c r="E14871" s="87"/>
      <c r="F14871" s="87"/>
      <c r="G14871" s="87"/>
    </row>
    <row r="14872">
      <c r="A14872" s="86" t="str">
        <f>IFERROR(__xludf.DUMMYFUNCTION("""COMPUTED_VALUE"""),"")</f>
        <v/>
      </c>
      <c r="B14872" s="87"/>
      <c r="C14872" s="87"/>
      <c r="D14872" s="87"/>
      <c r="E14872" s="87"/>
      <c r="F14872" s="87"/>
      <c r="G14872" s="87"/>
    </row>
    <row r="14873">
      <c r="A14873" s="86" t="str">
        <f>IFERROR(__xludf.DUMMYFUNCTION("""COMPUTED_VALUE"""),"")</f>
        <v/>
      </c>
      <c r="B14873" s="87"/>
      <c r="C14873" s="87"/>
      <c r="D14873" s="87"/>
      <c r="E14873" s="87"/>
      <c r="F14873" s="87"/>
      <c r="G14873" s="87"/>
    </row>
    <row r="14874">
      <c r="A14874" s="86" t="str">
        <f>IFERROR(__xludf.DUMMYFUNCTION("""COMPUTED_VALUE"""),"")</f>
        <v/>
      </c>
      <c r="B14874" s="87"/>
      <c r="C14874" s="87"/>
      <c r="D14874" s="87"/>
      <c r="E14874" s="87"/>
      <c r="F14874" s="87"/>
      <c r="G14874" s="87"/>
    </row>
    <row r="14875">
      <c r="A14875" s="86" t="str">
        <f>IFERROR(__xludf.DUMMYFUNCTION("""COMPUTED_VALUE"""),"")</f>
        <v/>
      </c>
      <c r="B14875" s="87"/>
      <c r="C14875" s="87"/>
      <c r="D14875" s="87"/>
      <c r="E14875" s="87"/>
      <c r="F14875" s="87"/>
      <c r="G14875" s="87"/>
    </row>
    <row r="14876">
      <c r="A14876" s="86" t="str">
        <f>IFERROR(__xludf.DUMMYFUNCTION("""COMPUTED_VALUE"""),"")</f>
        <v/>
      </c>
      <c r="B14876" s="87"/>
      <c r="C14876" s="87"/>
      <c r="D14876" s="87"/>
      <c r="E14876" s="87"/>
      <c r="F14876" s="87"/>
      <c r="G14876" s="87"/>
    </row>
    <row r="14877">
      <c r="A14877" s="86" t="str">
        <f>IFERROR(__xludf.DUMMYFUNCTION("""COMPUTED_VALUE"""),"")</f>
        <v/>
      </c>
      <c r="B14877" s="87"/>
      <c r="C14877" s="87"/>
      <c r="D14877" s="87"/>
      <c r="E14877" s="87"/>
      <c r="F14877" s="87"/>
      <c r="G14877" s="87"/>
    </row>
    <row r="14878">
      <c r="A14878" s="86" t="str">
        <f>IFERROR(__xludf.DUMMYFUNCTION("""COMPUTED_VALUE"""),"")</f>
        <v/>
      </c>
      <c r="B14878" s="87"/>
      <c r="C14878" s="87"/>
      <c r="D14878" s="87"/>
      <c r="E14878" s="87"/>
      <c r="F14878" s="87"/>
      <c r="G14878" s="87"/>
    </row>
    <row r="14879">
      <c r="A14879" s="86" t="str">
        <f>IFERROR(__xludf.DUMMYFUNCTION("""COMPUTED_VALUE"""),"")</f>
        <v/>
      </c>
      <c r="B14879" s="87"/>
      <c r="C14879" s="87"/>
      <c r="D14879" s="87"/>
      <c r="E14879" s="87"/>
      <c r="F14879" s="87"/>
      <c r="G14879" s="87"/>
    </row>
    <row r="14880">
      <c r="A14880" s="86" t="str">
        <f>IFERROR(__xludf.DUMMYFUNCTION("""COMPUTED_VALUE"""),"")</f>
        <v/>
      </c>
      <c r="B14880" s="87"/>
      <c r="C14880" s="87"/>
      <c r="D14880" s="87"/>
      <c r="E14880" s="87"/>
      <c r="F14880" s="87"/>
      <c r="G14880" s="87"/>
    </row>
    <row r="14881">
      <c r="A14881" s="86" t="str">
        <f>IFERROR(__xludf.DUMMYFUNCTION("""COMPUTED_VALUE"""),"")</f>
        <v/>
      </c>
      <c r="B14881" s="87"/>
      <c r="C14881" s="87"/>
      <c r="D14881" s="87"/>
      <c r="E14881" s="87"/>
      <c r="F14881" s="87"/>
      <c r="G14881" s="87"/>
    </row>
    <row r="14882">
      <c r="A14882" s="86" t="str">
        <f>IFERROR(__xludf.DUMMYFUNCTION("""COMPUTED_VALUE"""),"")</f>
        <v/>
      </c>
      <c r="B14882" s="87"/>
      <c r="C14882" s="87"/>
      <c r="D14882" s="87"/>
      <c r="E14882" s="87"/>
      <c r="F14882" s="87"/>
      <c r="G14882" s="87"/>
    </row>
    <row r="14883">
      <c r="A14883" s="86" t="str">
        <f>IFERROR(__xludf.DUMMYFUNCTION("""COMPUTED_VALUE"""),"")</f>
        <v/>
      </c>
      <c r="B14883" s="87"/>
      <c r="C14883" s="87"/>
      <c r="D14883" s="87"/>
      <c r="E14883" s="87"/>
      <c r="F14883" s="87"/>
      <c r="G14883" s="87"/>
    </row>
    <row r="14884">
      <c r="A14884" s="86" t="str">
        <f>IFERROR(__xludf.DUMMYFUNCTION("""COMPUTED_VALUE"""),"")</f>
        <v/>
      </c>
      <c r="B14884" s="87"/>
      <c r="C14884" s="87"/>
      <c r="D14884" s="87"/>
      <c r="E14884" s="87"/>
      <c r="F14884" s="87"/>
      <c r="G14884" s="87"/>
    </row>
    <row r="14885">
      <c r="A14885" s="86" t="str">
        <f>IFERROR(__xludf.DUMMYFUNCTION("""COMPUTED_VALUE"""),"")</f>
        <v/>
      </c>
      <c r="B14885" s="87"/>
      <c r="C14885" s="87"/>
      <c r="D14885" s="87"/>
      <c r="E14885" s="87"/>
      <c r="F14885" s="87"/>
      <c r="G14885" s="87"/>
    </row>
    <row r="14886">
      <c r="A14886" s="86" t="str">
        <f>IFERROR(__xludf.DUMMYFUNCTION("""COMPUTED_VALUE"""),"")</f>
        <v/>
      </c>
      <c r="B14886" s="87"/>
      <c r="C14886" s="87"/>
      <c r="D14886" s="87"/>
      <c r="E14886" s="87"/>
      <c r="F14886" s="87"/>
      <c r="G14886" s="87"/>
    </row>
    <row r="14887">
      <c r="A14887" s="86" t="str">
        <f>IFERROR(__xludf.DUMMYFUNCTION("""COMPUTED_VALUE"""),"")</f>
        <v/>
      </c>
      <c r="B14887" s="87"/>
      <c r="C14887" s="87"/>
      <c r="D14887" s="87"/>
      <c r="E14887" s="87"/>
      <c r="F14887" s="87"/>
      <c r="G14887" s="87"/>
    </row>
    <row r="14888">
      <c r="A14888" s="86" t="str">
        <f>IFERROR(__xludf.DUMMYFUNCTION("""COMPUTED_VALUE"""),"")</f>
        <v/>
      </c>
      <c r="B14888" s="87"/>
      <c r="C14888" s="87"/>
      <c r="D14888" s="87"/>
      <c r="E14888" s="87"/>
      <c r="F14888" s="87"/>
      <c r="G14888" s="87"/>
    </row>
    <row r="14889">
      <c r="A14889" s="86" t="str">
        <f>IFERROR(__xludf.DUMMYFUNCTION("""COMPUTED_VALUE"""),"")</f>
        <v/>
      </c>
      <c r="B14889" s="87"/>
      <c r="C14889" s="87"/>
      <c r="D14889" s="87"/>
      <c r="E14889" s="87"/>
      <c r="F14889" s="87"/>
      <c r="G14889" s="87"/>
    </row>
    <row r="14890">
      <c r="A14890" s="86" t="str">
        <f>IFERROR(__xludf.DUMMYFUNCTION("""COMPUTED_VALUE"""),"")</f>
        <v/>
      </c>
      <c r="B14890" s="87"/>
      <c r="C14890" s="87"/>
      <c r="D14890" s="87"/>
      <c r="E14890" s="87"/>
      <c r="F14890" s="87"/>
      <c r="G14890" s="87"/>
    </row>
    <row r="14891">
      <c r="A14891" s="86" t="str">
        <f>IFERROR(__xludf.DUMMYFUNCTION("""COMPUTED_VALUE"""),"")</f>
        <v/>
      </c>
      <c r="B14891" s="87"/>
      <c r="C14891" s="87"/>
      <c r="D14891" s="87"/>
      <c r="E14891" s="87"/>
      <c r="F14891" s="87"/>
      <c r="G14891" s="87"/>
    </row>
    <row r="14892">
      <c r="A14892" s="86" t="str">
        <f>IFERROR(__xludf.DUMMYFUNCTION("""COMPUTED_VALUE"""),"")</f>
        <v/>
      </c>
      <c r="B14892" s="87"/>
      <c r="C14892" s="87"/>
      <c r="D14892" s="87"/>
      <c r="E14892" s="87"/>
      <c r="F14892" s="87"/>
      <c r="G14892" s="87"/>
    </row>
    <row r="14893">
      <c r="A14893" s="86" t="str">
        <f>IFERROR(__xludf.DUMMYFUNCTION("""COMPUTED_VALUE"""),"")</f>
        <v/>
      </c>
      <c r="B14893" s="87"/>
      <c r="C14893" s="87"/>
      <c r="D14893" s="87"/>
      <c r="E14893" s="87"/>
      <c r="F14893" s="87"/>
      <c r="G14893" s="87"/>
    </row>
    <row r="14894">
      <c r="A14894" s="86" t="str">
        <f>IFERROR(__xludf.DUMMYFUNCTION("""COMPUTED_VALUE"""),"")</f>
        <v/>
      </c>
      <c r="B14894" s="87"/>
      <c r="C14894" s="87"/>
      <c r="D14894" s="87"/>
      <c r="E14894" s="87"/>
      <c r="F14894" s="87"/>
      <c r="G14894" s="87"/>
    </row>
    <row r="14895">
      <c r="A14895" s="86" t="str">
        <f>IFERROR(__xludf.DUMMYFUNCTION("""COMPUTED_VALUE"""),"")</f>
        <v/>
      </c>
      <c r="B14895" s="87"/>
      <c r="C14895" s="87"/>
      <c r="D14895" s="87"/>
      <c r="E14895" s="87"/>
      <c r="F14895" s="87"/>
      <c r="G14895" s="87"/>
    </row>
    <row r="14896">
      <c r="A14896" s="86" t="str">
        <f>IFERROR(__xludf.DUMMYFUNCTION("""COMPUTED_VALUE"""),"")</f>
        <v/>
      </c>
      <c r="B14896" s="87"/>
      <c r="C14896" s="87"/>
      <c r="D14896" s="87"/>
      <c r="E14896" s="87"/>
      <c r="F14896" s="87"/>
      <c r="G14896" s="87"/>
    </row>
    <row r="14897">
      <c r="A14897" s="86" t="str">
        <f>IFERROR(__xludf.DUMMYFUNCTION("""COMPUTED_VALUE"""),"")</f>
        <v/>
      </c>
      <c r="B14897" s="87"/>
      <c r="C14897" s="87"/>
      <c r="D14897" s="87"/>
      <c r="E14897" s="87"/>
      <c r="F14897" s="87"/>
      <c r="G14897" s="87"/>
    </row>
    <row r="14898">
      <c r="A14898" s="86" t="str">
        <f>IFERROR(__xludf.DUMMYFUNCTION("""COMPUTED_VALUE"""),"")</f>
        <v/>
      </c>
      <c r="B14898" s="87"/>
      <c r="C14898" s="87"/>
      <c r="D14898" s="87"/>
      <c r="E14898" s="87"/>
      <c r="F14898" s="87"/>
      <c r="G14898" s="87"/>
    </row>
    <row r="14899">
      <c r="A14899" s="86" t="str">
        <f>IFERROR(__xludf.DUMMYFUNCTION("""COMPUTED_VALUE"""),"")</f>
        <v/>
      </c>
      <c r="B14899" s="87"/>
      <c r="C14899" s="87"/>
      <c r="D14899" s="87"/>
      <c r="E14899" s="87"/>
      <c r="F14899" s="87"/>
      <c r="G14899" s="87"/>
    </row>
    <row r="14900">
      <c r="A14900" s="86" t="str">
        <f>IFERROR(__xludf.DUMMYFUNCTION("""COMPUTED_VALUE"""),"")</f>
        <v/>
      </c>
      <c r="B14900" s="87"/>
      <c r="C14900" s="87"/>
      <c r="D14900" s="87"/>
      <c r="E14900" s="87"/>
      <c r="F14900" s="87"/>
      <c r="G14900" s="87"/>
    </row>
    <row r="14901">
      <c r="A14901" s="86" t="str">
        <f>IFERROR(__xludf.DUMMYFUNCTION("""COMPUTED_VALUE"""),"")</f>
        <v/>
      </c>
      <c r="B14901" s="87"/>
      <c r="C14901" s="87"/>
      <c r="D14901" s="87"/>
      <c r="E14901" s="87"/>
      <c r="F14901" s="87"/>
      <c r="G14901" s="87"/>
    </row>
    <row r="14902">
      <c r="A14902" s="86" t="str">
        <f>IFERROR(__xludf.DUMMYFUNCTION("""COMPUTED_VALUE"""),"")</f>
        <v/>
      </c>
      <c r="B14902" s="87"/>
      <c r="C14902" s="87"/>
      <c r="D14902" s="87"/>
      <c r="E14902" s="87"/>
      <c r="F14902" s="87"/>
      <c r="G14902" s="87"/>
    </row>
    <row r="14903">
      <c r="A14903" s="86" t="str">
        <f>IFERROR(__xludf.DUMMYFUNCTION("""COMPUTED_VALUE"""),"")</f>
        <v/>
      </c>
      <c r="B14903" s="87"/>
      <c r="C14903" s="87"/>
      <c r="D14903" s="87"/>
      <c r="E14903" s="87"/>
      <c r="F14903" s="87"/>
      <c r="G14903" s="87"/>
    </row>
    <row r="14904">
      <c r="A14904" s="86" t="str">
        <f>IFERROR(__xludf.DUMMYFUNCTION("""COMPUTED_VALUE"""),"")</f>
        <v/>
      </c>
      <c r="B14904" s="87"/>
      <c r="C14904" s="87"/>
      <c r="D14904" s="87"/>
      <c r="E14904" s="87"/>
      <c r="F14904" s="87"/>
      <c r="G14904" s="87"/>
    </row>
    <row r="14905">
      <c r="A14905" s="86" t="str">
        <f>IFERROR(__xludf.DUMMYFUNCTION("""COMPUTED_VALUE"""),"")</f>
        <v/>
      </c>
      <c r="B14905" s="87"/>
      <c r="C14905" s="87"/>
      <c r="D14905" s="87"/>
      <c r="E14905" s="87"/>
      <c r="F14905" s="87"/>
      <c r="G14905" s="87"/>
    </row>
    <row r="14906">
      <c r="A14906" s="86" t="str">
        <f>IFERROR(__xludf.DUMMYFUNCTION("""COMPUTED_VALUE"""),"")</f>
        <v/>
      </c>
      <c r="B14906" s="87"/>
      <c r="C14906" s="87"/>
      <c r="D14906" s="87"/>
      <c r="E14906" s="87"/>
      <c r="F14906" s="87"/>
      <c r="G14906" s="87"/>
    </row>
    <row r="14907">
      <c r="A14907" s="86" t="str">
        <f>IFERROR(__xludf.DUMMYFUNCTION("""COMPUTED_VALUE"""),"")</f>
        <v/>
      </c>
      <c r="B14907" s="87"/>
      <c r="C14907" s="87"/>
      <c r="D14907" s="87"/>
      <c r="E14907" s="87"/>
      <c r="F14907" s="87"/>
      <c r="G14907" s="87"/>
    </row>
    <row r="14908">
      <c r="A14908" s="86" t="str">
        <f>IFERROR(__xludf.DUMMYFUNCTION("""COMPUTED_VALUE"""),"")</f>
        <v/>
      </c>
      <c r="B14908" s="87"/>
      <c r="C14908" s="87"/>
      <c r="D14908" s="87"/>
      <c r="E14908" s="87"/>
      <c r="F14908" s="87"/>
      <c r="G14908" s="87"/>
    </row>
    <row r="14909">
      <c r="A14909" s="86" t="str">
        <f>IFERROR(__xludf.DUMMYFUNCTION("""COMPUTED_VALUE"""),"")</f>
        <v/>
      </c>
      <c r="B14909" s="87"/>
      <c r="C14909" s="87"/>
      <c r="D14909" s="87"/>
      <c r="E14909" s="87"/>
      <c r="F14909" s="87"/>
      <c r="G14909" s="87"/>
    </row>
    <row r="14910">
      <c r="A14910" s="86" t="str">
        <f>IFERROR(__xludf.DUMMYFUNCTION("""COMPUTED_VALUE"""),"")</f>
        <v/>
      </c>
      <c r="B14910" s="87"/>
      <c r="C14910" s="87"/>
      <c r="D14910" s="87"/>
      <c r="E14910" s="87"/>
      <c r="F14910" s="87"/>
      <c r="G14910" s="87"/>
    </row>
    <row r="14911">
      <c r="A14911" s="86" t="str">
        <f>IFERROR(__xludf.DUMMYFUNCTION("""COMPUTED_VALUE"""),"")</f>
        <v/>
      </c>
      <c r="B14911" s="87"/>
      <c r="C14911" s="87"/>
      <c r="D14911" s="87"/>
      <c r="E14911" s="87"/>
      <c r="F14911" s="87"/>
      <c r="G14911" s="87"/>
    </row>
    <row r="14912">
      <c r="A14912" s="86" t="str">
        <f>IFERROR(__xludf.DUMMYFUNCTION("""COMPUTED_VALUE"""),"")</f>
        <v/>
      </c>
      <c r="B14912" s="87"/>
      <c r="C14912" s="87"/>
      <c r="D14912" s="87"/>
      <c r="E14912" s="87"/>
      <c r="F14912" s="87"/>
      <c r="G14912" s="87"/>
    </row>
    <row r="14913">
      <c r="A14913" s="86" t="str">
        <f>IFERROR(__xludf.DUMMYFUNCTION("""COMPUTED_VALUE"""),"")</f>
        <v/>
      </c>
      <c r="B14913" s="87"/>
      <c r="C14913" s="87"/>
      <c r="D14913" s="87"/>
      <c r="E14913" s="87"/>
      <c r="F14913" s="87"/>
      <c r="G14913" s="87"/>
    </row>
    <row r="14914">
      <c r="A14914" s="86" t="str">
        <f>IFERROR(__xludf.DUMMYFUNCTION("""COMPUTED_VALUE"""),"")</f>
        <v/>
      </c>
      <c r="B14914" s="87"/>
      <c r="C14914" s="87"/>
      <c r="D14914" s="87"/>
      <c r="E14914" s="87"/>
      <c r="F14914" s="87"/>
      <c r="G14914" s="87"/>
    </row>
    <row r="14915">
      <c r="A14915" s="86" t="str">
        <f>IFERROR(__xludf.DUMMYFUNCTION("""COMPUTED_VALUE"""),"")</f>
        <v/>
      </c>
      <c r="B14915" s="87"/>
      <c r="C14915" s="87"/>
      <c r="D14915" s="87"/>
      <c r="E14915" s="87"/>
      <c r="F14915" s="87"/>
      <c r="G14915" s="87"/>
    </row>
    <row r="14916">
      <c r="A14916" s="86" t="str">
        <f>IFERROR(__xludf.DUMMYFUNCTION("""COMPUTED_VALUE"""),"")</f>
        <v/>
      </c>
      <c r="B14916" s="87"/>
      <c r="C14916" s="87"/>
      <c r="D14916" s="87"/>
      <c r="E14916" s="87"/>
      <c r="F14916" s="87"/>
      <c r="G14916" s="87"/>
    </row>
    <row r="14917">
      <c r="A14917" s="86" t="str">
        <f>IFERROR(__xludf.DUMMYFUNCTION("""COMPUTED_VALUE"""),"")</f>
        <v/>
      </c>
      <c r="B14917" s="87"/>
      <c r="C14917" s="87"/>
      <c r="D14917" s="87"/>
      <c r="E14917" s="87"/>
      <c r="F14917" s="87"/>
      <c r="G14917" s="87"/>
    </row>
    <row r="14918">
      <c r="A14918" s="86" t="str">
        <f>IFERROR(__xludf.DUMMYFUNCTION("""COMPUTED_VALUE"""),"")</f>
        <v/>
      </c>
      <c r="B14918" s="87"/>
      <c r="C14918" s="87"/>
      <c r="D14918" s="87"/>
      <c r="E14918" s="87"/>
      <c r="F14918" s="87"/>
      <c r="G14918" s="87"/>
    </row>
    <row r="14919">
      <c r="A14919" s="86" t="str">
        <f>IFERROR(__xludf.DUMMYFUNCTION("""COMPUTED_VALUE"""),"")</f>
        <v/>
      </c>
      <c r="B14919" s="87"/>
      <c r="C14919" s="87"/>
      <c r="D14919" s="87"/>
      <c r="E14919" s="87"/>
      <c r="F14919" s="87"/>
      <c r="G14919" s="87"/>
    </row>
    <row r="14920">
      <c r="A14920" s="86" t="str">
        <f>IFERROR(__xludf.DUMMYFUNCTION("""COMPUTED_VALUE"""),"")</f>
        <v/>
      </c>
      <c r="B14920" s="87"/>
      <c r="C14920" s="87"/>
      <c r="D14920" s="87"/>
      <c r="E14920" s="87"/>
      <c r="F14920" s="87"/>
      <c r="G14920" s="87"/>
    </row>
    <row r="14921">
      <c r="A14921" s="86" t="str">
        <f>IFERROR(__xludf.DUMMYFUNCTION("""COMPUTED_VALUE"""),"")</f>
        <v/>
      </c>
      <c r="B14921" s="87"/>
      <c r="C14921" s="87"/>
      <c r="D14921" s="87"/>
      <c r="E14921" s="87"/>
      <c r="F14921" s="87"/>
      <c r="G14921" s="87"/>
    </row>
    <row r="14922">
      <c r="A14922" s="86" t="str">
        <f>IFERROR(__xludf.DUMMYFUNCTION("""COMPUTED_VALUE"""),"")</f>
        <v/>
      </c>
      <c r="B14922" s="87"/>
      <c r="C14922" s="87"/>
      <c r="D14922" s="87"/>
      <c r="E14922" s="87"/>
      <c r="F14922" s="87"/>
      <c r="G14922" s="87"/>
    </row>
    <row r="14923">
      <c r="A14923" s="86" t="str">
        <f>IFERROR(__xludf.DUMMYFUNCTION("""COMPUTED_VALUE"""),"")</f>
        <v/>
      </c>
      <c r="B14923" s="87"/>
      <c r="C14923" s="87"/>
      <c r="D14923" s="87"/>
      <c r="E14923" s="87"/>
      <c r="F14923" s="87"/>
      <c r="G14923" s="87"/>
    </row>
    <row r="14924">
      <c r="A14924" s="86" t="str">
        <f>IFERROR(__xludf.DUMMYFUNCTION("""COMPUTED_VALUE"""),"")</f>
        <v/>
      </c>
      <c r="B14924" s="87"/>
      <c r="C14924" s="87"/>
      <c r="D14924" s="87"/>
      <c r="E14924" s="87"/>
      <c r="F14924" s="87"/>
      <c r="G14924" s="87"/>
    </row>
    <row r="14925">
      <c r="A14925" s="86" t="str">
        <f>IFERROR(__xludf.DUMMYFUNCTION("""COMPUTED_VALUE"""),"")</f>
        <v/>
      </c>
      <c r="B14925" s="87"/>
      <c r="C14925" s="87"/>
      <c r="D14925" s="87"/>
      <c r="E14925" s="87"/>
      <c r="F14925" s="87"/>
      <c r="G14925" s="87"/>
    </row>
    <row r="14926">
      <c r="A14926" s="86" t="str">
        <f>IFERROR(__xludf.DUMMYFUNCTION("""COMPUTED_VALUE"""),"")</f>
        <v/>
      </c>
      <c r="B14926" s="87"/>
      <c r="C14926" s="87"/>
      <c r="D14926" s="87"/>
      <c r="E14926" s="87"/>
      <c r="F14926" s="87"/>
      <c r="G14926" s="87"/>
    </row>
    <row r="14927">
      <c r="A14927" s="86" t="str">
        <f>IFERROR(__xludf.DUMMYFUNCTION("""COMPUTED_VALUE"""),"")</f>
        <v/>
      </c>
      <c r="B14927" s="87"/>
      <c r="C14927" s="87"/>
      <c r="D14927" s="87"/>
      <c r="E14927" s="87"/>
      <c r="F14927" s="87"/>
      <c r="G14927" s="87"/>
    </row>
    <row r="14928">
      <c r="A14928" s="86" t="str">
        <f>IFERROR(__xludf.DUMMYFUNCTION("""COMPUTED_VALUE"""),"")</f>
        <v/>
      </c>
      <c r="B14928" s="87"/>
      <c r="C14928" s="87"/>
      <c r="D14928" s="87"/>
      <c r="E14928" s="87"/>
      <c r="F14928" s="87"/>
      <c r="G14928" s="87"/>
    </row>
    <row r="14929">
      <c r="A14929" s="86" t="str">
        <f>IFERROR(__xludf.DUMMYFUNCTION("""COMPUTED_VALUE"""),"")</f>
        <v/>
      </c>
      <c r="B14929" s="87"/>
      <c r="C14929" s="87"/>
      <c r="D14929" s="87"/>
      <c r="E14929" s="87"/>
      <c r="F14929" s="87"/>
      <c r="G14929" s="87"/>
    </row>
    <row r="14930">
      <c r="A14930" s="86" t="str">
        <f>IFERROR(__xludf.DUMMYFUNCTION("""COMPUTED_VALUE"""),"")</f>
        <v/>
      </c>
      <c r="B14930" s="87"/>
      <c r="C14930" s="87"/>
      <c r="D14930" s="87"/>
      <c r="E14930" s="87"/>
      <c r="F14930" s="87"/>
      <c r="G14930" s="87"/>
    </row>
    <row r="14931">
      <c r="A14931" s="86" t="str">
        <f>IFERROR(__xludf.DUMMYFUNCTION("""COMPUTED_VALUE"""),"")</f>
        <v/>
      </c>
      <c r="B14931" s="87"/>
      <c r="C14931" s="87"/>
      <c r="D14931" s="87"/>
      <c r="E14931" s="87"/>
      <c r="F14931" s="87"/>
      <c r="G14931" s="87"/>
    </row>
    <row r="14932">
      <c r="A14932" s="86" t="str">
        <f>IFERROR(__xludf.DUMMYFUNCTION("""COMPUTED_VALUE"""),"")</f>
        <v/>
      </c>
      <c r="B14932" s="87"/>
      <c r="C14932" s="87"/>
      <c r="D14932" s="87"/>
      <c r="E14932" s="87"/>
      <c r="F14932" s="87"/>
      <c r="G14932" s="87"/>
    </row>
    <row r="14933">
      <c r="A14933" s="86" t="str">
        <f>IFERROR(__xludf.DUMMYFUNCTION("""COMPUTED_VALUE"""),"")</f>
        <v/>
      </c>
      <c r="B14933" s="87"/>
      <c r="C14933" s="87"/>
      <c r="D14933" s="87"/>
      <c r="E14933" s="87"/>
      <c r="F14933" s="87"/>
      <c r="G14933" s="87"/>
    </row>
    <row r="14934">
      <c r="A14934" s="86" t="str">
        <f>IFERROR(__xludf.DUMMYFUNCTION("""COMPUTED_VALUE"""),"")</f>
        <v/>
      </c>
      <c r="B14934" s="87"/>
      <c r="C14934" s="87"/>
      <c r="D14934" s="87"/>
      <c r="E14934" s="87"/>
      <c r="F14934" s="87"/>
      <c r="G14934" s="87"/>
    </row>
    <row r="14935">
      <c r="A14935" s="86" t="str">
        <f>IFERROR(__xludf.DUMMYFUNCTION("""COMPUTED_VALUE"""),"")</f>
        <v/>
      </c>
      <c r="B14935" s="87"/>
      <c r="C14935" s="87"/>
      <c r="D14935" s="87"/>
      <c r="E14935" s="87"/>
      <c r="F14935" s="87"/>
      <c r="G14935" s="87"/>
    </row>
    <row r="14936">
      <c r="A14936" s="86" t="str">
        <f>IFERROR(__xludf.DUMMYFUNCTION("""COMPUTED_VALUE"""),"")</f>
        <v/>
      </c>
      <c r="B14936" s="87"/>
      <c r="C14936" s="87"/>
      <c r="D14936" s="87"/>
      <c r="E14936" s="87"/>
      <c r="F14936" s="87"/>
      <c r="G14936" s="87"/>
    </row>
    <row r="14937">
      <c r="A14937" s="86" t="str">
        <f>IFERROR(__xludf.DUMMYFUNCTION("""COMPUTED_VALUE"""),"")</f>
        <v/>
      </c>
      <c r="B14937" s="87"/>
      <c r="C14937" s="87"/>
      <c r="D14937" s="87"/>
      <c r="E14937" s="87"/>
      <c r="F14937" s="87"/>
      <c r="G14937" s="87"/>
    </row>
    <row r="14938">
      <c r="A14938" s="86" t="str">
        <f>IFERROR(__xludf.DUMMYFUNCTION("""COMPUTED_VALUE"""),"")</f>
        <v/>
      </c>
      <c r="B14938" s="87"/>
      <c r="C14938" s="87"/>
      <c r="D14938" s="87"/>
      <c r="E14938" s="87"/>
      <c r="F14938" s="87"/>
      <c r="G14938" s="87"/>
    </row>
    <row r="14939">
      <c r="A14939" s="86" t="str">
        <f>IFERROR(__xludf.DUMMYFUNCTION("""COMPUTED_VALUE"""),"")</f>
        <v/>
      </c>
      <c r="B14939" s="87"/>
      <c r="C14939" s="87"/>
      <c r="D14939" s="87"/>
      <c r="E14939" s="87"/>
      <c r="F14939" s="87"/>
      <c r="G14939" s="87"/>
    </row>
    <row r="14940">
      <c r="A14940" s="86" t="str">
        <f>IFERROR(__xludf.DUMMYFUNCTION("""COMPUTED_VALUE"""),"")</f>
        <v/>
      </c>
      <c r="B14940" s="87"/>
      <c r="C14940" s="87"/>
      <c r="D14940" s="87"/>
      <c r="E14940" s="87"/>
      <c r="F14940" s="87"/>
      <c r="G14940" s="87"/>
    </row>
    <row r="14941">
      <c r="A14941" s="86" t="str">
        <f>IFERROR(__xludf.DUMMYFUNCTION("""COMPUTED_VALUE"""),"")</f>
        <v/>
      </c>
      <c r="B14941" s="87"/>
      <c r="C14941" s="87"/>
      <c r="D14941" s="87"/>
      <c r="E14941" s="87"/>
      <c r="F14941" s="87"/>
      <c r="G14941" s="87"/>
    </row>
    <row r="14942">
      <c r="A14942" s="86" t="str">
        <f>IFERROR(__xludf.DUMMYFUNCTION("""COMPUTED_VALUE"""),"")</f>
        <v/>
      </c>
      <c r="B14942" s="87"/>
      <c r="C14942" s="87"/>
      <c r="D14942" s="87"/>
      <c r="E14942" s="87"/>
      <c r="F14942" s="87"/>
      <c r="G14942" s="87"/>
    </row>
    <row r="14943">
      <c r="A14943" s="86" t="str">
        <f>IFERROR(__xludf.DUMMYFUNCTION("""COMPUTED_VALUE"""),"")</f>
        <v/>
      </c>
      <c r="B14943" s="87"/>
      <c r="C14943" s="87"/>
      <c r="D14943" s="87"/>
      <c r="E14943" s="87"/>
      <c r="F14943" s="87"/>
      <c r="G14943" s="87"/>
    </row>
    <row r="14944">
      <c r="A14944" s="86" t="str">
        <f>IFERROR(__xludf.DUMMYFUNCTION("""COMPUTED_VALUE"""),"")</f>
        <v/>
      </c>
      <c r="B14944" s="87"/>
      <c r="C14944" s="87"/>
      <c r="D14944" s="87"/>
      <c r="E14944" s="87"/>
      <c r="F14944" s="87"/>
      <c r="G14944" s="87"/>
    </row>
    <row r="14945">
      <c r="A14945" s="86" t="str">
        <f>IFERROR(__xludf.DUMMYFUNCTION("""COMPUTED_VALUE"""),"")</f>
        <v/>
      </c>
      <c r="B14945" s="87"/>
      <c r="C14945" s="87"/>
      <c r="D14945" s="87"/>
      <c r="E14945" s="87"/>
      <c r="F14945" s="87"/>
      <c r="G14945" s="87"/>
    </row>
    <row r="14946">
      <c r="A14946" s="86" t="str">
        <f>IFERROR(__xludf.DUMMYFUNCTION("""COMPUTED_VALUE"""),"")</f>
        <v/>
      </c>
      <c r="B14946" s="87"/>
      <c r="C14946" s="87"/>
      <c r="D14946" s="87"/>
      <c r="E14946" s="87"/>
      <c r="F14946" s="87"/>
      <c r="G14946" s="87"/>
    </row>
    <row r="14947">
      <c r="A14947" s="86" t="str">
        <f>IFERROR(__xludf.DUMMYFUNCTION("""COMPUTED_VALUE"""),"")</f>
        <v/>
      </c>
      <c r="B14947" s="87"/>
      <c r="C14947" s="87"/>
      <c r="D14947" s="87"/>
      <c r="E14947" s="87"/>
      <c r="F14947" s="87"/>
      <c r="G14947" s="87"/>
    </row>
    <row r="14948">
      <c r="A14948" s="86" t="str">
        <f>IFERROR(__xludf.DUMMYFUNCTION("""COMPUTED_VALUE"""),"")</f>
        <v/>
      </c>
      <c r="B14948" s="87"/>
      <c r="C14948" s="87"/>
      <c r="D14948" s="87"/>
      <c r="E14948" s="87"/>
      <c r="F14948" s="87"/>
      <c r="G14948" s="87"/>
    </row>
    <row r="14949">
      <c r="A14949" s="86" t="str">
        <f>IFERROR(__xludf.DUMMYFUNCTION("""COMPUTED_VALUE"""),"")</f>
        <v/>
      </c>
      <c r="B14949" s="87"/>
      <c r="C14949" s="87"/>
      <c r="D14949" s="87"/>
      <c r="E14949" s="87"/>
      <c r="F14949" s="87"/>
      <c r="G14949" s="87"/>
    </row>
    <row r="14950">
      <c r="A14950" s="86" t="str">
        <f>IFERROR(__xludf.DUMMYFUNCTION("""COMPUTED_VALUE"""),"")</f>
        <v/>
      </c>
      <c r="B14950" s="87"/>
      <c r="C14950" s="87"/>
      <c r="D14950" s="87"/>
      <c r="E14950" s="87"/>
      <c r="F14950" s="87"/>
      <c r="G14950" s="87"/>
    </row>
    <row r="14951">
      <c r="A14951" s="86" t="str">
        <f>IFERROR(__xludf.DUMMYFUNCTION("""COMPUTED_VALUE"""),"")</f>
        <v/>
      </c>
      <c r="B14951" s="87"/>
      <c r="C14951" s="87"/>
      <c r="D14951" s="87"/>
      <c r="E14951" s="87"/>
      <c r="F14951" s="87"/>
      <c r="G14951" s="87"/>
    </row>
    <row r="14952">
      <c r="A14952" s="86" t="str">
        <f>IFERROR(__xludf.DUMMYFUNCTION("""COMPUTED_VALUE"""),"")</f>
        <v/>
      </c>
      <c r="B14952" s="87"/>
      <c r="C14952" s="87"/>
      <c r="D14952" s="87"/>
      <c r="E14952" s="87"/>
      <c r="F14952" s="87"/>
      <c r="G14952" s="87"/>
    </row>
    <row r="14953">
      <c r="A14953" s="86" t="str">
        <f>IFERROR(__xludf.DUMMYFUNCTION("""COMPUTED_VALUE"""),"")</f>
        <v/>
      </c>
      <c r="B14953" s="87"/>
      <c r="C14953" s="87"/>
      <c r="D14953" s="87"/>
      <c r="E14953" s="87"/>
      <c r="F14953" s="87"/>
      <c r="G14953" s="87"/>
    </row>
    <row r="14954">
      <c r="A14954" s="86" t="str">
        <f>IFERROR(__xludf.DUMMYFUNCTION("""COMPUTED_VALUE"""),"")</f>
        <v/>
      </c>
      <c r="B14954" s="87"/>
      <c r="C14954" s="87"/>
      <c r="D14954" s="87"/>
      <c r="E14954" s="87"/>
      <c r="F14954" s="87"/>
      <c r="G14954" s="87"/>
    </row>
    <row r="14955">
      <c r="A14955" s="86" t="str">
        <f>IFERROR(__xludf.DUMMYFUNCTION("""COMPUTED_VALUE"""),"")</f>
        <v/>
      </c>
      <c r="B14955" s="87"/>
      <c r="C14955" s="87"/>
      <c r="D14955" s="87"/>
      <c r="E14955" s="87"/>
      <c r="F14955" s="87"/>
      <c r="G14955" s="87"/>
    </row>
    <row r="14956">
      <c r="A14956" s="86" t="str">
        <f>IFERROR(__xludf.DUMMYFUNCTION("""COMPUTED_VALUE"""),"")</f>
        <v/>
      </c>
      <c r="B14956" s="87"/>
      <c r="C14956" s="87"/>
      <c r="D14956" s="87"/>
      <c r="E14956" s="87"/>
      <c r="F14956" s="87"/>
      <c r="G14956" s="87"/>
    </row>
    <row r="14957">
      <c r="A14957" s="86" t="str">
        <f>IFERROR(__xludf.DUMMYFUNCTION("""COMPUTED_VALUE"""),"")</f>
        <v/>
      </c>
      <c r="B14957" s="87"/>
      <c r="C14957" s="87"/>
      <c r="D14957" s="87"/>
      <c r="E14957" s="87"/>
      <c r="F14957" s="87"/>
      <c r="G14957" s="87"/>
    </row>
    <row r="14958">
      <c r="A14958" s="86" t="str">
        <f>IFERROR(__xludf.DUMMYFUNCTION("""COMPUTED_VALUE"""),"")</f>
        <v/>
      </c>
      <c r="B14958" s="87"/>
      <c r="C14958" s="87"/>
      <c r="D14958" s="87"/>
      <c r="E14958" s="87"/>
      <c r="F14958" s="87"/>
      <c r="G14958" s="87"/>
    </row>
    <row r="14959">
      <c r="A14959" s="86" t="str">
        <f>IFERROR(__xludf.DUMMYFUNCTION("""COMPUTED_VALUE"""),"")</f>
        <v/>
      </c>
      <c r="B14959" s="87"/>
      <c r="C14959" s="87"/>
      <c r="D14959" s="87"/>
      <c r="E14959" s="87"/>
      <c r="F14959" s="87"/>
      <c r="G14959" s="87"/>
    </row>
    <row r="14960">
      <c r="A14960" s="86" t="str">
        <f>IFERROR(__xludf.DUMMYFUNCTION("""COMPUTED_VALUE"""),"")</f>
        <v/>
      </c>
      <c r="B14960" s="87"/>
      <c r="C14960" s="87"/>
      <c r="D14960" s="87"/>
      <c r="E14960" s="87"/>
      <c r="F14960" s="87"/>
      <c r="G14960" s="87"/>
    </row>
    <row r="14961">
      <c r="A14961" s="86" t="str">
        <f>IFERROR(__xludf.DUMMYFUNCTION("""COMPUTED_VALUE"""),"")</f>
        <v/>
      </c>
      <c r="B14961" s="87"/>
      <c r="C14961" s="87"/>
      <c r="D14961" s="87"/>
      <c r="E14961" s="87"/>
      <c r="F14961" s="87"/>
      <c r="G14961" s="87"/>
    </row>
    <row r="14962">
      <c r="A14962" s="86" t="str">
        <f>IFERROR(__xludf.DUMMYFUNCTION("""COMPUTED_VALUE"""),"")</f>
        <v/>
      </c>
      <c r="B14962" s="87"/>
      <c r="C14962" s="87"/>
      <c r="D14962" s="87"/>
      <c r="E14962" s="87"/>
      <c r="F14962" s="87"/>
      <c r="G14962" s="87"/>
    </row>
    <row r="14963">
      <c r="A14963" s="86" t="str">
        <f>IFERROR(__xludf.DUMMYFUNCTION("""COMPUTED_VALUE"""),"")</f>
        <v/>
      </c>
      <c r="B14963" s="87"/>
      <c r="C14963" s="87"/>
      <c r="D14963" s="87"/>
      <c r="E14963" s="87"/>
      <c r="F14963" s="87"/>
      <c r="G14963" s="87"/>
    </row>
    <row r="14964">
      <c r="A14964" s="86" t="str">
        <f>IFERROR(__xludf.DUMMYFUNCTION("""COMPUTED_VALUE"""),"")</f>
        <v/>
      </c>
      <c r="B14964" s="87"/>
      <c r="C14964" s="87"/>
      <c r="D14964" s="87"/>
      <c r="E14964" s="87"/>
      <c r="F14964" s="87"/>
      <c r="G14964" s="87"/>
    </row>
    <row r="14965">
      <c r="A14965" s="86" t="str">
        <f>IFERROR(__xludf.DUMMYFUNCTION("""COMPUTED_VALUE"""),"")</f>
        <v/>
      </c>
      <c r="B14965" s="87"/>
      <c r="C14965" s="87"/>
      <c r="D14965" s="87"/>
      <c r="E14965" s="87"/>
      <c r="F14965" s="87"/>
      <c r="G14965" s="87"/>
    </row>
    <row r="14966">
      <c r="A14966" s="86" t="str">
        <f>IFERROR(__xludf.DUMMYFUNCTION("""COMPUTED_VALUE"""),"")</f>
        <v/>
      </c>
      <c r="B14966" s="87"/>
      <c r="C14966" s="87"/>
      <c r="D14966" s="87"/>
      <c r="E14966" s="87"/>
      <c r="F14966" s="87"/>
      <c r="G14966" s="87"/>
    </row>
    <row r="14967">
      <c r="A14967" s="86" t="str">
        <f>IFERROR(__xludf.DUMMYFUNCTION("""COMPUTED_VALUE"""),"")</f>
        <v/>
      </c>
      <c r="B14967" s="87"/>
      <c r="C14967" s="87"/>
      <c r="D14967" s="87"/>
      <c r="E14967" s="87"/>
      <c r="F14967" s="87"/>
      <c r="G14967" s="87"/>
    </row>
    <row r="14968">
      <c r="A14968" s="86" t="str">
        <f>IFERROR(__xludf.DUMMYFUNCTION("""COMPUTED_VALUE"""),"")</f>
        <v/>
      </c>
      <c r="B14968" s="87"/>
      <c r="C14968" s="87"/>
      <c r="D14968" s="87"/>
      <c r="E14968" s="87"/>
      <c r="F14968" s="87"/>
      <c r="G14968" s="87"/>
    </row>
    <row r="14969">
      <c r="A14969" s="86" t="str">
        <f>IFERROR(__xludf.DUMMYFUNCTION("""COMPUTED_VALUE"""),"")</f>
        <v/>
      </c>
      <c r="B14969" s="87"/>
      <c r="C14969" s="87"/>
      <c r="D14969" s="87"/>
      <c r="E14969" s="87"/>
      <c r="F14969" s="87"/>
      <c r="G14969" s="87"/>
    </row>
    <row r="14970">
      <c r="A14970" s="86" t="str">
        <f>IFERROR(__xludf.DUMMYFUNCTION("""COMPUTED_VALUE"""),"")</f>
        <v/>
      </c>
      <c r="B14970" s="87"/>
      <c r="C14970" s="87"/>
      <c r="D14970" s="87"/>
      <c r="E14970" s="87"/>
      <c r="F14970" s="87"/>
      <c r="G14970" s="87"/>
    </row>
    <row r="14971">
      <c r="A14971" s="86" t="str">
        <f>IFERROR(__xludf.DUMMYFUNCTION("""COMPUTED_VALUE"""),"")</f>
        <v/>
      </c>
      <c r="B14971" s="87"/>
      <c r="C14971" s="87"/>
      <c r="D14971" s="87"/>
      <c r="E14971" s="87"/>
      <c r="F14971" s="87"/>
      <c r="G14971" s="87"/>
    </row>
    <row r="14972">
      <c r="A14972" s="86" t="str">
        <f>IFERROR(__xludf.DUMMYFUNCTION("""COMPUTED_VALUE"""),"")</f>
        <v/>
      </c>
      <c r="B14972" s="87"/>
      <c r="C14972" s="87"/>
      <c r="D14972" s="87"/>
      <c r="E14972" s="87"/>
      <c r="F14972" s="87"/>
      <c r="G14972" s="87"/>
    </row>
    <row r="14973">
      <c r="A14973" s="86" t="str">
        <f>IFERROR(__xludf.DUMMYFUNCTION("""COMPUTED_VALUE"""),"")</f>
        <v/>
      </c>
      <c r="B14973" s="87"/>
      <c r="C14973" s="87"/>
      <c r="D14973" s="87"/>
      <c r="E14973" s="87"/>
      <c r="F14973" s="87"/>
      <c r="G14973" s="87"/>
    </row>
    <row r="14974">
      <c r="A14974" s="86" t="str">
        <f>IFERROR(__xludf.DUMMYFUNCTION("""COMPUTED_VALUE"""),"")</f>
        <v/>
      </c>
      <c r="B14974" s="87"/>
      <c r="C14974" s="87"/>
      <c r="D14974" s="87"/>
      <c r="E14974" s="87"/>
      <c r="F14974" s="87"/>
      <c r="G14974" s="87"/>
    </row>
    <row r="14975">
      <c r="A14975" s="86" t="str">
        <f>IFERROR(__xludf.DUMMYFUNCTION("""COMPUTED_VALUE"""),"")</f>
        <v/>
      </c>
      <c r="B14975" s="87"/>
      <c r="C14975" s="87"/>
      <c r="D14975" s="87"/>
      <c r="E14975" s="87"/>
      <c r="F14975" s="87"/>
      <c r="G14975" s="87"/>
    </row>
    <row r="14976">
      <c r="A14976" s="86" t="str">
        <f>IFERROR(__xludf.DUMMYFUNCTION("""COMPUTED_VALUE"""),"")</f>
        <v/>
      </c>
      <c r="B14976" s="87"/>
      <c r="C14976" s="87"/>
      <c r="D14976" s="87"/>
      <c r="E14976" s="87"/>
      <c r="F14976" s="87"/>
      <c r="G14976" s="87"/>
    </row>
    <row r="14977">
      <c r="A14977" s="86" t="str">
        <f>IFERROR(__xludf.DUMMYFUNCTION("""COMPUTED_VALUE"""),"")</f>
        <v/>
      </c>
      <c r="B14977" s="87"/>
      <c r="C14977" s="87"/>
      <c r="D14977" s="87"/>
      <c r="E14977" s="87"/>
      <c r="F14977" s="87"/>
      <c r="G14977" s="87"/>
    </row>
    <row r="14978">
      <c r="A14978" s="86" t="str">
        <f>IFERROR(__xludf.DUMMYFUNCTION("""COMPUTED_VALUE"""),"")</f>
        <v/>
      </c>
      <c r="B14978" s="87"/>
      <c r="C14978" s="87"/>
      <c r="D14978" s="87"/>
      <c r="E14978" s="87"/>
      <c r="F14978" s="87"/>
      <c r="G14978" s="87"/>
    </row>
    <row r="14979">
      <c r="A14979" s="86" t="str">
        <f>IFERROR(__xludf.DUMMYFUNCTION("""COMPUTED_VALUE"""),"")</f>
        <v/>
      </c>
      <c r="B14979" s="87"/>
      <c r="C14979" s="87"/>
      <c r="D14979" s="87"/>
      <c r="E14979" s="87"/>
      <c r="F14979" s="87"/>
      <c r="G14979" s="87"/>
    </row>
    <row r="14980">
      <c r="A14980" s="86" t="str">
        <f>IFERROR(__xludf.DUMMYFUNCTION("""COMPUTED_VALUE"""),"")</f>
        <v/>
      </c>
      <c r="B14980" s="87"/>
      <c r="C14980" s="87"/>
      <c r="D14980" s="87"/>
      <c r="E14980" s="87"/>
      <c r="F14980" s="87"/>
      <c r="G14980" s="87"/>
    </row>
    <row r="14981">
      <c r="A14981" s="86" t="str">
        <f>IFERROR(__xludf.DUMMYFUNCTION("""COMPUTED_VALUE"""),"")</f>
        <v/>
      </c>
      <c r="B14981" s="87"/>
      <c r="C14981" s="87"/>
      <c r="D14981" s="87"/>
      <c r="E14981" s="87"/>
      <c r="F14981" s="87"/>
      <c r="G14981" s="87"/>
    </row>
    <row r="14982">
      <c r="A14982" s="86" t="str">
        <f>IFERROR(__xludf.DUMMYFUNCTION("""COMPUTED_VALUE"""),"")</f>
        <v/>
      </c>
      <c r="B14982" s="87"/>
      <c r="C14982" s="87"/>
      <c r="D14982" s="87"/>
      <c r="E14982" s="87"/>
      <c r="F14982" s="87"/>
      <c r="G14982" s="87"/>
    </row>
    <row r="14983">
      <c r="A14983" s="86" t="str">
        <f>IFERROR(__xludf.DUMMYFUNCTION("""COMPUTED_VALUE"""),"")</f>
        <v/>
      </c>
      <c r="B14983" s="87"/>
      <c r="C14983" s="87"/>
      <c r="D14983" s="87"/>
      <c r="E14983" s="87"/>
      <c r="F14983" s="87"/>
      <c r="G14983" s="87"/>
    </row>
    <row r="14984">
      <c r="A14984" s="86" t="str">
        <f>IFERROR(__xludf.DUMMYFUNCTION("""COMPUTED_VALUE"""),"")</f>
        <v/>
      </c>
      <c r="B14984" s="87"/>
      <c r="C14984" s="87"/>
      <c r="D14984" s="87"/>
      <c r="E14984" s="87"/>
      <c r="F14984" s="87"/>
      <c r="G14984" s="87"/>
    </row>
    <row r="14985">
      <c r="A14985" s="86" t="str">
        <f>IFERROR(__xludf.DUMMYFUNCTION("""COMPUTED_VALUE"""),"")</f>
        <v/>
      </c>
      <c r="B14985" s="87"/>
      <c r="C14985" s="87"/>
      <c r="D14985" s="87"/>
      <c r="E14985" s="87"/>
      <c r="F14985" s="87"/>
      <c r="G14985" s="87"/>
    </row>
    <row r="14986">
      <c r="A14986" s="86" t="str">
        <f>IFERROR(__xludf.DUMMYFUNCTION("""COMPUTED_VALUE"""),"")</f>
        <v/>
      </c>
      <c r="B14986" s="87"/>
      <c r="C14986" s="87"/>
      <c r="D14986" s="87"/>
      <c r="E14986" s="87"/>
      <c r="F14986" s="87"/>
      <c r="G14986" s="87"/>
    </row>
    <row r="14987">
      <c r="A14987" s="86" t="str">
        <f>IFERROR(__xludf.DUMMYFUNCTION("""COMPUTED_VALUE"""),"")</f>
        <v/>
      </c>
      <c r="B14987" s="87"/>
      <c r="C14987" s="87"/>
      <c r="D14987" s="87"/>
      <c r="E14987" s="87"/>
      <c r="F14987" s="87"/>
      <c r="G14987" s="87"/>
    </row>
    <row r="14988">
      <c r="A14988" s="86" t="str">
        <f>IFERROR(__xludf.DUMMYFUNCTION("""COMPUTED_VALUE"""),"")</f>
        <v/>
      </c>
      <c r="B14988" s="87"/>
      <c r="C14988" s="87"/>
      <c r="D14988" s="87"/>
      <c r="E14988" s="87"/>
      <c r="F14988" s="87"/>
      <c r="G14988" s="87"/>
    </row>
    <row r="14989">
      <c r="A14989" s="86" t="str">
        <f>IFERROR(__xludf.DUMMYFUNCTION("""COMPUTED_VALUE"""),"")</f>
        <v/>
      </c>
      <c r="B14989" s="87"/>
      <c r="C14989" s="87"/>
      <c r="D14989" s="87"/>
      <c r="E14989" s="87"/>
      <c r="F14989" s="87"/>
      <c r="G14989" s="87"/>
    </row>
    <row r="14990">
      <c r="A14990" s="86" t="str">
        <f>IFERROR(__xludf.DUMMYFUNCTION("""COMPUTED_VALUE"""),"")</f>
        <v/>
      </c>
      <c r="B14990" s="87"/>
      <c r="C14990" s="87"/>
      <c r="D14990" s="87"/>
      <c r="E14990" s="87"/>
      <c r="F14990" s="87"/>
      <c r="G14990" s="87"/>
    </row>
    <row r="14991">
      <c r="A14991" s="86" t="str">
        <f>IFERROR(__xludf.DUMMYFUNCTION("""COMPUTED_VALUE"""),"")</f>
        <v/>
      </c>
      <c r="B14991" s="87"/>
      <c r="C14991" s="87"/>
      <c r="D14991" s="87"/>
      <c r="E14991" s="87"/>
      <c r="F14991" s="87"/>
      <c r="G14991" s="87"/>
    </row>
    <row r="14992">
      <c r="A14992" s="86" t="str">
        <f>IFERROR(__xludf.DUMMYFUNCTION("""COMPUTED_VALUE"""),"")</f>
        <v/>
      </c>
      <c r="B14992" s="87"/>
      <c r="C14992" s="87"/>
      <c r="D14992" s="87"/>
      <c r="E14992" s="87"/>
      <c r="F14992" s="87"/>
      <c r="G14992" s="87"/>
    </row>
    <row r="14993">
      <c r="A14993" s="86" t="str">
        <f>IFERROR(__xludf.DUMMYFUNCTION("""COMPUTED_VALUE"""),"")</f>
        <v/>
      </c>
      <c r="B14993" s="87"/>
      <c r="C14993" s="87"/>
      <c r="D14993" s="87"/>
      <c r="E14993" s="87"/>
      <c r="F14993" s="87"/>
      <c r="G14993" s="87"/>
    </row>
    <row r="14994">
      <c r="A14994" s="86" t="str">
        <f>IFERROR(__xludf.DUMMYFUNCTION("""COMPUTED_VALUE"""),"")</f>
        <v/>
      </c>
      <c r="B14994" s="87"/>
      <c r="C14994" s="87"/>
      <c r="D14994" s="87"/>
      <c r="E14994" s="87"/>
      <c r="F14994" s="87"/>
      <c r="G14994" s="87"/>
    </row>
    <row r="14995">
      <c r="A14995" s="86" t="str">
        <f>IFERROR(__xludf.DUMMYFUNCTION("""COMPUTED_VALUE"""),"")</f>
        <v/>
      </c>
      <c r="B14995" s="87"/>
      <c r="C14995" s="87"/>
      <c r="D14995" s="87"/>
      <c r="E14995" s="87"/>
      <c r="F14995" s="87"/>
      <c r="G14995" s="87"/>
    </row>
    <row r="14996">
      <c r="A14996" s="86" t="str">
        <f>IFERROR(__xludf.DUMMYFUNCTION("""COMPUTED_VALUE"""),"")</f>
        <v/>
      </c>
      <c r="B14996" s="87"/>
      <c r="C14996" s="87"/>
      <c r="D14996" s="87"/>
      <c r="E14996" s="87"/>
      <c r="F14996" s="87"/>
      <c r="G14996" s="87"/>
    </row>
    <row r="14997">
      <c r="A14997" s="86" t="str">
        <f>IFERROR(__xludf.DUMMYFUNCTION("""COMPUTED_VALUE"""),"")</f>
        <v/>
      </c>
      <c r="B14997" s="87"/>
      <c r="C14997" s="87"/>
      <c r="D14997" s="87"/>
      <c r="E14997" s="87"/>
      <c r="F14997" s="87"/>
      <c r="G14997" s="87"/>
    </row>
    <row r="14998">
      <c r="A14998" s="86" t="str">
        <f>IFERROR(__xludf.DUMMYFUNCTION("""COMPUTED_VALUE"""),"")</f>
        <v/>
      </c>
      <c r="B14998" s="87"/>
      <c r="C14998" s="87"/>
      <c r="D14998" s="87"/>
      <c r="E14998" s="87"/>
      <c r="F14998" s="87"/>
      <c r="G14998" s="87"/>
    </row>
    <row r="14999">
      <c r="A14999" s="86" t="str">
        <f>IFERROR(__xludf.DUMMYFUNCTION("""COMPUTED_VALUE"""),"")</f>
        <v/>
      </c>
      <c r="B14999" s="87"/>
      <c r="C14999" s="87"/>
      <c r="D14999" s="87"/>
      <c r="E14999" s="87"/>
      <c r="F14999" s="87"/>
      <c r="G14999" s="87"/>
    </row>
    <row r="15000">
      <c r="A15000" s="86" t="str">
        <f>IFERROR(__xludf.DUMMYFUNCTION("""COMPUTED_VALUE"""),"")</f>
        <v/>
      </c>
      <c r="B15000" s="87"/>
      <c r="C15000" s="87"/>
      <c r="D15000" s="87"/>
      <c r="E15000" s="87"/>
      <c r="F15000" s="87"/>
      <c r="G15000" s="87"/>
    </row>
    <row r="15001">
      <c r="A15001" s="86" t="str">
        <f>IFERROR(__xludf.DUMMYFUNCTION("""COMPUTED_VALUE"""),"")</f>
        <v/>
      </c>
      <c r="B15001" s="87"/>
      <c r="C15001" s="87"/>
      <c r="D15001" s="87"/>
      <c r="E15001" s="87"/>
      <c r="F15001" s="87"/>
      <c r="G15001" s="87"/>
    </row>
    <row r="15002">
      <c r="A15002" s="86" t="str">
        <f>IFERROR(__xludf.DUMMYFUNCTION("""COMPUTED_VALUE"""),"")</f>
        <v/>
      </c>
      <c r="B15002" s="87"/>
      <c r="C15002" s="87"/>
      <c r="D15002" s="87"/>
      <c r="E15002" s="87"/>
      <c r="F15002" s="87"/>
      <c r="G15002" s="87"/>
    </row>
    <row r="15003">
      <c r="A15003" s="86" t="str">
        <f>IFERROR(__xludf.DUMMYFUNCTION("""COMPUTED_VALUE"""),"")</f>
        <v/>
      </c>
      <c r="B15003" s="87"/>
      <c r="C15003" s="87"/>
      <c r="D15003" s="87"/>
      <c r="E15003" s="87"/>
      <c r="F15003" s="87"/>
      <c r="G15003" s="87"/>
    </row>
    <row r="15004">
      <c r="A15004" s="86" t="str">
        <f>IFERROR(__xludf.DUMMYFUNCTION("""COMPUTED_VALUE"""),"")</f>
        <v/>
      </c>
      <c r="B15004" s="87"/>
      <c r="C15004" s="87"/>
      <c r="D15004" s="87"/>
      <c r="E15004" s="87"/>
      <c r="F15004" s="87"/>
      <c r="G15004" s="87"/>
    </row>
    <row r="15005">
      <c r="A15005" s="86" t="str">
        <f>IFERROR(__xludf.DUMMYFUNCTION("""COMPUTED_VALUE"""),"")</f>
        <v/>
      </c>
      <c r="B15005" s="87"/>
      <c r="C15005" s="87"/>
      <c r="D15005" s="87"/>
      <c r="E15005" s="87"/>
      <c r="F15005" s="87"/>
      <c r="G15005" s="87"/>
    </row>
    <row r="15006">
      <c r="A15006" s="86" t="str">
        <f>IFERROR(__xludf.DUMMYFUNCTION("""COMPUTED_VALUE"""),"")</f>
        <v/>
      </c>
      <c r="B15006" s="87"/>
      <c r="C15006" s="87"/>
      <c r="D15006" s="87"/>
      <c r="E15006" s="87"/>
      <c r="F15006" s="87"/>
      <c r="G15006" s="87"/>
    </row>
    <row r="15007">
      <c r="A15007" s="86" t="str">
        <f>IFERROR(__xludf.DUMMYFUNCTION("""COMPUTED_VALUE"""),"")</f>
        <v/>
      </c>
      <c r="B15007" s="87"/>
      <c r="C15007" s="87"/>
      <c r="D15007" s="87"/>
      <c r="E15007" s="87"/>
      <c r="F15007" s="87"/>
      <c r="G15007" s="87"/>
    </row>
    <row r="15008">
      <c r="A15008" s="86" t="str">
        <f>IFERROR(__xludf.DUMMYFUNCTION("""COMPUTED_VALUE"""),"")</f>
        <v/>
      </c>
      <c r="B15008" s="87"/>
      <c r="C15008" s="87"/>
      <c r="D15008" s="87"/>
      <c r="E15008" s="87"/>
      <c r="F15008" s="87"/>
      <c r="G15008" s="87"/>
    </row>
    <row r="15009">
      <c r="A15009" s="86" t="str">
        <f>IFERROR(__xludf.DUMMYFUNCTION("""COMPUTED_VALUE"""),"")</f>
        <v/>
      </c>
      <c r="B15009" s="87"/>
      <c r="C15009" s="87"/>
      <c r="D15009" s="87"/>
      <c r="E15009" s="87"/>
      <c r="F15009" s="87"/>
      <c r="G15009" s="87"/>
    </row>
    <row r="15010">
      <c r="A15010" s="86" t="str">
        <f>IFERROR(__xludf.DUMMYFUNCTION("""COMPUTED_VALUE"""),"")</f>
        <v/>
      </c>
      <c r="B15010" s="87"/>
      <c r="C15010" s="87"/>
      <c r="D15010" s="87"/>
      <c r="E15010" s="87"/>
      <c r="F15010" s="87"/>
      <c r="G15010" s="87"/>
    </row>
    <row r="15011">
      <c r="A15011" s="86" t="str">
        <f>IFERROR(__xludf.DUMMYFUNCTION("""COMPUTED_VALUE"""),"")</f>
        <v/>
      </c>
      <c r="B15011" s="87"/>
      <c r="C15011" s="87"/>
      <c r="D15011" s="87"/>
      <c r="E15011" s="87"/>
      <c r="F15011" s="87"/>
      <c r="G15011" s="87"/>
    </row>
    <row r="15012">
      <c r="A15012" s="86" t="str">
        <f>IFERROR(__xludf.DUMMYFUNCTION("""COMPUTED_VALUE"""),"")</f>
        <v/>
      </c>
      <c r="B15012" s="87"/>
      <c r="C15012" s="87"/>
      <c r="D15012" s="87"/>
      <c r="E15012" s="87"/>
      <c r="F15012" s="87"/>
      <c r="G15012" s="87"/>
    </row>
    <row r="15013">
      <c r="A15013" s="86" t="str">
        <f>IFERROR(__xludf.DUMMYFUNCTION("""COMPUTED_VALUE"""),"")</f>
        <v/>
      </c>
      <c r="B15013" s="87"/>
      <c r="C15013" s="87"/>
      <c r="D15013" s="87"/>
      <c r="E15013" s="87"/>
      <c r="F15013" s="87"/>
      <c r="G15013" s="87"/>
    </row>
    <row r="15014">
      <c r="A15014" s="86" t="str">
        <f>IFERROR(__xludf.DUMMYFUNCTION("""COMPUTED_VALUE"""),"")</f>
        <v/>
      </c>
      <c r="B15014" s="87"/>
      <c r="C15014" s="87"/>
      <c r="D15014" s="87"/>
      <c r="E15014" s="87"/>
      <c r="F15014" s="87"/>
      <c r="G15014" s="87"/>
    </row>
    <row r="15015">
      <c r="A15015" s="86" t="str">
        <f>IFERROR(__xludf.DUMMYFUNCTION("""COMPUTED_VALUE"""),"")</f>
        <v/>
      </c>
      <c r="B15015" s="87"/>
      <c r="C15015" s="87"/>
      <c r="D15015" s="87"/>
      <c r="E15015" s="87"/>
      <c r="F15015" s="87"/>
      <c r="G15015" s="87"/>
    </row>
    <row r="15016">
      <c r="A15016" s="86" t="str">
        <f>IFERROR(__xludf.DUMMYFUNCTION("""COMPUTED_VALUE"""),"")</f>
        <v/>
      </c>
      <c r="B15016" s="87"/>
      <c r="C15016" s="87"/>
      <c r="D15016" s="87"/>
      <c r="E15016" s="87"/>
      <c r="F15016" s="87"/>
      <c r="G15016" s="87"/>
    </row>
    <row r="15017">
      <c r="A15017" s="86" t="str">
        <f>IFERROR(__xludf.DUMMYFUNCTION("""COMPUTED_VALUE"""),"")</f>
        <v/>
      </c>
      <c r="B15017" s="87"/>
      <c r="C15017" s="87"/>
      <c r="D15017" s="87"/>
      <c r="E15017" s="87"/>
      <c r="F15017" s="87"/>
      <c r="G15017" s="87"/>
    </row>
    <row r="15018">
      <c r="A15018" s="86" t="str">
        <f>IFERROR(__xludf.DUMMYFUNCTION("""COMPUTED_VALUE"""),"")</f>
        <v/>
      </c>
      <c r="B15018" s="87"/>
      <c r="C15018" s="87"/>
      <c r="D15018" s="87"/>
      <c r="E15018" s="87"/>
      <c r="F15018" s="87"/>
      <c r="G15018" s="87"/>
    </row>
    <row r="15019">
      <c r="A15019" s="86" t="str">
        <f>IFERROR(__xludf.DUMMYFUNCTION("""COMPUTED_VALUE"""),"")</f>
        <v/>
      </c>
      <c r="B15019" s="87"/>
      <c r="C15019" s="87"/>
      <c r="D15019" s="87"/>
      <c r="E15019" s="87"/>
      <c r="F15019" s="87"/>
      <c r="G15019" s="87"/>
    </row>
    <row r="15020">
      <c r="A15020" s="86" t="str">
        <f>IFERROR(__xludf.DUMMYFUNCTION("""COMPUTED_VALUE"""),"")</f>
        <v/>
      </c>
      <c r="B15020" s="87"/>
      <c r="C15020" s="87"/>
      <c r="D15020" s="87"/>
      <c r="E15020" s="87"/>
      <c r="F15020" s="87"/>
      <c r="G15020" s="87"/>
    </row>
    <row r="15021">
      <c r="A15021" s="86" t="str">
        <f>IFERROR(__xludf.DUMMYFUNCTION("""COMPUTED_VALUE"""),"")</f>
        <v/>
      </c>
      <c r="B15021" s="87"/>
      <c r="C15021" s="87"/>
      <c r="D15021" s="87"/>
      <c r="E15021" s="87"/>
      <c r="F15021" s="87"/>
      <c r="G15021" s="87"/>
    </row>
    <row r="15022">
      <c r="A15022" s="86" t="str">
        <f>IFERROR(__xludf.DUMMYFUNCTION("""COMPUTED_VALUE"""),"")</f>
        <v/>
      </c>
      <c r="B15022" s="87"/>
      <c r="C15022" s="87"/>
      <c r="D15022" s="87"/>
      <c r="E15022" s="87"/>
      <c r="F15022" s="87"/>
      <c r="G15022" s="87"/>
    </row>
    <row r="15023">
      <c r="A15023" s="86" t="str">
        <f>IFERROR(__xludf.DUMMYFUNCTION("""COMPUTED_VALUE"""),"")</f>
        <v/>
      </c>
      <c r="B15023" s="87"/>
      <c r="C15023" s="87"/>
      <c r="D15023" s="87"/>
      <c r="E15023" s="87"/>
      <c r="F15023" s="87"/>
      <c r="G15023" s="87"/>
    </row>
    <row r="15024">
      <c r="A15024" s="86" t="str">
        <f>IFERROR(__xludf.DUMMYFUNCTION("""COMPUTED_VALUE"""),"")</f>
        <v/>
      </c>
      <c r="B15024" s="87"/>
      <c r="C15024" s="87"/>
      <c r="D15024" s="87"/>
      <c r="E15024" s="87"/>
      <c r="F15024" s="87"/>
      <c r="G15024" s="87"/>
    </row>
    <row r="15025">
      <c r="A15025" s="86" t="str">
        <f>IFERROR(__xludf.DUMMYFUNCTION("""COMPUTED_VALUE"""),"")</f>
        <v/>
      </c>
      <c r="B15025" s="87"/>
      <c r="C15025" s="87"/>
      <c r="D15025" s="87"/>
      <c r="E15025" s="87"/>
      <c r="F15025" s="87"/>
      <c r="G15025" s="87"/>
    </row>
    <row r="15026">
      <c r="A15026" s="86" t="str">
        <f>IFERROR(__xludf.DUMMYFUNCTION("""COMPUTED_VALUE"""),"")</f>
        <v/>
      </c>
      <c r="B15026" s="87"/>
      <c r="C15026" s="87"/>
      <c r="D15026" s="87"/>
      <c r="E15026" s="87"/>
      <c r="F15026" s="87"/>
      <c r="G15026" s="87"/>
    </row>
    <row r="15027">
      <c r="A15027" s="86" t="str">
        <f>IFERROR(__xludf.DUMMYFUNCTION("""COMPUTED_VALUE"""),"")</f>
        <v/>
      </c>
      <c r="B15027" s="87"/>
      <c r="C15027" s="87"/>
      <c r="D15027" s="87"/>
      <c r="E15027" s="87"/>
      <c r="F15027" s="87"/>
      <c r="G15027" s="87"/>
    </row>
    <row r="15028">
      <c r="A15028" s="86" t="str">
        <f>IFERROR(__xludf.DUMMYFUNCTION("""COMPUTED_VALUE"""),"")</f>
        <v/>
      </c>
      <c r="B15028" s="87"/>
      <c r="C15028" s="87"/>
      <c r="D15028" s="87"/>
      <c r="E15028" s="87"/>
      <c r="F15028" s="87"/>
      <c r="G15028" s="87"/>
    </row>
    <row r="15029">
      <c r="A15029" s="86" t="str">
        <f>IFERROR(__xludf.DUMMYFUNCTION("""COMPUTED_VALUE"""),"")</f>
        <v/>
      </c>
      <c r="B15029" s="87"/>
      <c r="C15029" s="87"/>
      <c r="D15029" s="87"/>
      <c r="E15029" s="87"/>
      <c r="F15029" s="87"/>
      <c r="G15029" s="87"/>
    </row>
    <row r="15030">
      <c r="A15030" s="86" t="str">
        <f>IFERROR(__xludf.DUMMYFUNCTION("""COMPUTED_VALUE"""),"")</f>
        <v/>
      </c>
      <c r="B15030" s="87"/>
      <c r="C15030" s="87"/>
      <c r="D15030" s="87"/>
      <c r="E15030" s="87"/>
      <c r="F15030" s="87"/>
      <c r="G15030" s="87"/>
    </row>
    <row r="15031">
      <c r="A15031" s="86" t="str">
        <f>IFERROR(__xludf.DUMMYFUNCTION("""COMPUTED_VALUE"""),"")</f>
        <v/>
      </c>
      <c r="B15031" s="87"/>
      <c r="C15031" s="87"/>
      <c r="D15031" s="87"/>
      <c r="E15031" s="87"/>
      <c r="F15031" s="87"/>
      <c r="G15031" s="87"/>
    </row>
    <row r="15032">
      <c r="A15032" s="86" t="str">
        <f>IFERROR(__xludf.DUMMYFUNCTION("""COMPUTED_VALUE"""),"")</f>
        <v/>
      </c>
      <c r="B15032" s="87"/>
      <c r="C15032" s="87"/>
      <c r="D15032" s="87"/>
      <c r="E15032" s="87"/>
      <c r="F15032" s="87"/>
      <c r="G15032" s="87"/>
    </row>
    <row r="15033">
      <c r="A15033" s="86" t="str">
        <f>IFERROR(__xludf.DUMMYFUNCTION("""COMPUTED_VALUE"""),"")</f>
        <v/>
      </c>
      <c r="B15033" s="87"/>
      <c r="C15033" s="87"/>
      <c r="D15033" s="87"/>
      <c r="E15033" s="87"/>
      <c r="F15033" s="87"/>
      <c r="G15033" s="87"/>
    </row>
    <row r="15034">
      <c r="A15034" s="86" t="str">
        <f>IFERROR(__xludf.DUMMYFUNCTION("""COMPUTED_VALUE"""),"")</f>
        <v/>
      </c>
      <c r="B15034" s="87"/>
      <c r="C15034" s="87"/>
      <c r="D15034" s="87"/>
      <c r="E15034" s="87"/>
      <c r="F15034" s="87"/>
      <c r="G15034" s="87"/>
    </row>
    <row r="15035">
      <c r="A15035" s="86" t="str">
        <f>IFERROR(__xludf.DUMMYFUNCTION("""COMPUTED_VALUE"""),"")</f>
        <v/>
      </c>
      <c r="B15035" s="87"/>
      <c r="C15035" s="87"/>
      <c r="D15035" s="87"/>
      <c r="E15035" s="87"/>
      <c r="F15035" s="87"/>
      <c r="G15035" s="87"/>
    </row>
    <row r="15036">
      <c r="A15036" s="86" t="str">
        <f>IFERROR(__xludf.DUMMYFUNCTION("""COMPUTED_VALUE"""),"")</f>
        <v/>
      </c>
      <c r="B15036" s="87"/>
      <c r="C15036" s="87"/>
      <c r="D15036" s="87"/>
      <c r="E15036" s="87"/>
      <c r="F15036" s="87"/>
      <c r="G15036" s="87"/>
    </row>
    <row r="15037">
      <c r="A15037" s="86" t="str">
        <f>IFERROR(__xludf.DUMMYFUNCTION("""COMPUTED_VALUE"""),"")</f>
        <v/>
      </c>
      <c r="B15037" s="87"/>
      <c r="C15037" s="87"/>
      <c r="D15037" s="87"/>
      <c r="E15037" s="87"/>
      <c r="F15037" s="87"/>
      <c r="G15037" s="87"/>
    </row>
    <row r="15038">
      <c r="A15038" s="86" t="str">
        <f>IFERROR(__xludf.DUMMYFUNCTION("""COMPUTED_VALUE"""),"")</f>
        <v/>
      </c>
      <c r="B15038" s="87"/>
      <c r="C15038" s="87"/>
      <c r="D15038" s="87"/>
      <c r="E15038" s="87"/>
      <c r="F15038" s="87"/>
      <c r="G15038" s="87"/>
    </row>
    <row r="15039">
      <c r="A15039" s="86" t="str">
        <f>IFERROR(__xludf.DUMMYFUNCTION("""COMPUTED_VALUE"""),"")</f>
        <v/>
      </c>
      <c r="B15039" s="87"/>
      <c r="C15039" s="87"/>
      <c r="D15039" s="87"/>
      <c r="E15039" s="87"/>
      <c r="F15039" s="87"/>
      <c r="G15039" s="87"/>
    </row>
    <row r="15040">
      <c r="A15040" s="86" t="str">
        <f>IFERROR(__xludf.DUMMYFUNCTION("""COMPUTED_VALUE"""),"")</f>
        <v/>
      </c>
      <c r="B15040" s="87"/>
      <c r="C15040" s="87"/>
      <c r="D15040" s="87"/>
      <c r="E15040" s="87"/>
      <c r="F15040" s="87"/>
      <c r="G15040" s="87"/>
    </row>
    <row r="15041">
      <c r="A15041" s="86" t="str">
        <f>IFERROR(__xludf.DUMMYFUNCTION("""COMPUTED_VALUE"""),"")</f>
        <v/>
      </c>
      <c r="B15041" s="87"/>
      <c r="C15041" s="87"/>
      <c r="D15041" s="87"/>
      <c r="E15041" s="87"/>
      <c r="F15041" s="87"/>
      <c r="G15041" s="87"/>
    </row>
    <row r="15042">
      <c r="A15042" s="86" t="str">
        <f>IFERROR(__xludf.DUMMYFUNCTION("""COMPUTED_VALUE"""),"")</f>
        <v/>
      </c>
      <c r="B15042" s="87"/>
      <c r="C15042" s="87"/>
      <c r="D15042" s="87"/>
      <c r="E15042" s="87"/>
      <c r="F15042" s="87"/>
      <c r="G15042" s="87"/>
    </row>
    <row r="15043">
      <c r="A15043" s="86" t="str">
        <f>IFERROR(__xludf.DUMMYFUNCTION("""COMPUTED_VALUE"""),"")</f>
        <v/>
      </c>
      <c r="B15043" s="87"/>
      <c r="C15043" s="87"/>
      <c r="D15043" s="87"/>
      <c r="E15043" s="87"/>
      <c r="F15043" s="87"/>
      <c r="G15043" s="87"/>
    </row>
    <row r="15044">
      <c r="A15044" s="86" t="str">
        <f>IFERROR(__xludf.DUMMYFUNCTION("""COMPUTED_VALUE"""),"")</f>
        <v/>
      </c>
      <c r="B15044" s="87"/>
      <c r="C15044" s="87"/>
      <c r="D15044" s="87"/>
      <c r="E15044" s="87"/>
      <c r="F15044" s="87"/>
      <c r="G15044" s="87"/>
    </row>
    <row r="15045">
      <c r="A15045" s="86" t="str">
        <f>IFERROR(__xludf.DUMMYFUNCTION("""COMPUTED_VALUE"""),"")</f>
        <v/>
      </c>
      <c r="B15045" s="87"/>
      <c r="C15045" s="87"/>
      <c r="D15045" s="87"/>
      <c r="E15045" s="87"/>
      <c r="F15045" s="87"/>
      <c r="G15045" s="87"/>
    </row>
    <row r="15046">
      <c r="A15046" s="86" t="str">
        <f>IFERROR(__xludf.DUMMYFUNCTION("""COMPUTED_VALUE"""),"")</f>
        <v/>
      </c>
      <c r="B15046" s="87"/>
      <c r="C15046" s="87"/>
      <c r="D15046" s="87"/>
      <c r="E15046" s="87"/>
      <c r="F15046" s="87"/>
      <c r="G15046" s="87"/>
    </row>
    <row r="15047">
      <c r="A15047" s="86" t="str">
        <f>IFERROR(__xludf.DUMMYFUNCTION("""COMPUTED_VALUE"""),"")</f>
        <v/>
      </c>
      <c r="B15047" s="87"/>
      <c r="C15047" s="87"/>
      <c r="D15047" s="87"/>
      <c r="E15047" s="87"/>
      <c r="F15047" s="87"/>
      <c r="G15047" s="87"/>
    </row>
    <row r="15048">
      <c r="A15048" s="86" t="str">
        <f>IFERROR(__xludf.DUMMYFUNCTION("""COMPUTED_VALUE"""),"")</f>
        <v/>
      </c>
      <c r="B15048" s="87"/>
      <c r="C15048" s="87"/>
      <c r="D15048" s="87"/>
      <c r="E15048" s="87"/>
      <c r="F15048" s="87"/>
      <c r="G15048" s="87"/>
    </row>
    <row r="15049">
      <c r="A15049" s="86" t="str">
        <f>IFERROR(__xludf.DUMMYFUNCTION("""COMPUTED_VALUE"""),"")</f>
        <v/>
      </c>
      <c r="B15049" s="87"/>
      <c r="C15049" s="87"/>
      <c r="D15049" s="87"/>
      <c r="E15049" s="87"/>
      <c r="F15049" s="87"/>
      <c r="G15049" s="87"/>
    </row>
    <row r="15050">
      <c r="A15050" s="86" t="str">
        <f>IFERROR(__xludf.DUMMYFUNCTION("""COMPUTED_VALUE"""),"")</f>
        <v/>
      </c>
      <c r="B15050" s="87"/>
      <c r="C15050" s="87"/>
      <c r="D15050" s="87"/>
      <c r="E15050" s="87"/>
      <c r="F15050" s="87"/>
      <c r="G15050" s="87"/>
    </row>
    <row r="15051">
      <c r="A15051" s="86" t="str">
        <f>IFERROR(__xludf.DUMMYFUNCTION("""COMPUTED_VALUE"""),"")</f>
        <v/>
      </c>
      <c r="B15051" s="87"/>
      <c r="C15051" s="87"/>
      <c r="D15051" s="87"/>
      <c r="E15051" s="87"/>
      <c r="F15051" s="87"/>
      <c r="G15051" s="87"/>
    </row>
    <row r="15052">
      <c r="A15052" s="86" t="str">
        <f>IFERROR(__xludf.DUMMYFUNCTION("""COMPUTED_VALUE"""),"")</f>
        <v/>
      </c>
      <c r="B15052" s="87"/>
      <c r="C15052" s="87"/>
      <c r="D15052" s="87"/>
      <c r="E15052" s="87"/>
      <c r="F15052" s="87"/>
      <c r="G15052" s="87"/>
    </row>
    <row r="15053">
      <c r="A15053" s="86" t="str">
        <f>IFERROR(__xludf.DUMMYFUNCTION("""COMPUTED_VALUE"""),"")</f>
        <v/>
      </c>
      <c r="B15053" s="87"/>
      <c r="C15053" s="87"/>
      <c r="D15053" s="87"/>
      <c r="E15053" s="87"/>
      <c r="F15053" s="87"/>
      <c r="G15053" s="87"/>
    </row>
    <row r="15054">
      <c r="A15054" s="86" t="str">
        <f>IFERROR(__xludf.DUMMYFUNCTION("""COMPUTED_VALUE"""),"")</f>
        <v/>
      </c>
      <c r="B15054" s="87"/>
      <c r="C15054" s="87"/>
      <c r="D15054" s="87"/>
      <c r="E15054" s="87"/>
      <c r="F15054" s="87"/>
      <c r="G15054" s="87"/>
    </row>
    <row r="15055">
      <c r="A15055" s="86" t="str">
        <f>IFERROR(__xludf.DUMMYFUNCTION("""COMPUTED_VALUE"""),"")</f>
        <v/>
      </c>
      <c r="B15055" s="87"/>
      <c r="C15055" s="87"/>
      <c r="D15055" s="87"/>
      <c r="E15055" s="87"/>
      <c r="F15055" s="87"/>
      <c r="G15055" s="87"/>
    </row>
    <row r="15056">
      <c r="A15056" s="86" t="str">
        <f>IFERROR(__xludf.DUMMYFUNCTION("""COMPUTED_VALUE"""),"")</f>
        <v/>
      </c>
      <c r="B15056" s="87"/>
      <c r="C15056" s="87"/>
      <c r="D15056" s="87"/>
      <c r="E15056" s="87"/>
      <c r="F15056" s="87"/>
      <c r="G15056" s="87"/>
    </row>
    <row r="15057">
      <c r="A15057" s="86" t="str">
        <f>IFERROR(__xludf.DUMMYFUNCTION("""COMPUTED_VALUE"""),"")</f>
        <v/>
      </c>
      <c r="B15057" s="87"/>
      <c r="C15057" s="87"/>
      <c r="D15057" s="87"/>
      <c r="E15057" s="87"/>
      <c r="F15057" s="87"/>
      <c r="G15057" s="87"/>
    </row>
    <row r="15058">
      <c r="A15058" s="86" t="str">
        <f>IFERROR(__xludf.DUMMYFUNCTION("""COMPUTED_VALUE"""),"")</f>
        <v/>
      </c>
      <c r="B15058" s="87"/>
      <c r="C15058" s="87"/>
      <c r="D15058" s="87"/>
      <c r="E15058" s="87"/>
      <c r="F15058" s="87"/>
      <c r="G15058" s="87"/>
    </row>
    <row r="15059">
      <c r="A15059" s="86" t="str">
        <f>IFERROR(__xludf.DUMMYFUNCTION("""COMPUTED_VALUE"""),"")</f>
        <v/>
      </c>
      <c r="B15059" s="87"/>
      <c r="C15059" s="87"/>
      <c r="D15059" s="87"/>
      <c r="E15059" s="87"/>
      <c r="F15059" s="87"/>
      <c r="G15059" s="87"/>
    </row>
    <row r="15060">
      <c r="A15060" s="86" t="str">
        <f>IFERROR(__xludf.DUMMYFUNCTION("""COMPUTED_VALUE"""),"")</f>
        <v/>
      </c>
      <c r="B15060" s="87"/>
      <c r="C15060" s="87"/>
      <c r="D15060" s="87"/>
      <c r="E15060" s="87"/>
      <c r="F15060" s="87"/>
      <c r="G15060" s="87"/>
    </row>
    <row r="15061">
      <c r="A15061" s="86" t="str">
        <f>IFERROR(__xludf.DUMMYFUNCTION("""COMPUTED_VALUE"""),"")</f>
        <v/>
      </c>
      <c r="B15061" s="87"/>
      <c r="C15061" s="87"/>
      <c r="D15061" s="87"/>
      <c r="E15061" s="87"/>
      <c r="F15061" s="87"/>
      <c r="G15061" s="87"/>
    </row>
    <row r="15062">
      <c r="A15062" s="86" t="str">
        <f>IFERROR(__xludf.DUMMYFUNCTION("""COMPUTED_VALUE"""),"")</f>
        <v/>
      </c>
      <c r="B15062" s="87"/>
      <c r="C15062" s="87"/>
      <c r="D15062" s="87"/>
      <c r="E15062" s="87"/>
      <c r="F15062" s="87"/>
      <c r="G15062" s="87"/>
    </row>
    <row r="15063">
      <c r="A15063" s="86" t="str">
        <f>IFERROR(__xludf.DUMMYFUNCTION("""COMPUTED_VALUE"""),"")</f>
        <v/>
      </c>
      <c r="B15063" s="87"/>
      <c r="C15063" s="87"/>
      <c r="D15063" s="87"/>
      <c r="E15063" s="87"/>
      <c r="F15063" s="87"/>
      <c r="G15063" s="87"/>
    </row>
    <row r="15064">
      <c r="A15064" s="86" t="str">
        <f>IFERROR(__xludf.DUMMYFUNCTION("""COMPUTED_VALUE"""),"")</f>
        <v/>
      </c>
      <c r="B15064" s="87"/>
      <c r="C15064" s="87"/>
      <c r="D15064" s="87"/>
      <c r="E15064" s="87"/>
      <c r="F15064" s="87"/>
      <c r="G15064" s="87"/>
    </row>
    <row r="15065">
      <c r="A15065" s="86" t="str">
        <f>IFERROR(__xludf.DUMMYFUNCTION("""COMPUTED_VALUE"""),"")</f>
        <v/>
      </c>
      <c r="B15065" s="87"/>
      <c r="C15065" s="87"/>
      <c r="D15065" s="87"/>
      <c r="E15065" s="87"/>
      <c r="F15065" s="87"/>
      <c r="G15065" s="87"/>
    </row>
    <row r="15066">
      <c r="A15066" s="86" t="str">
        <f>IFERROR(__xludf.DUMMYFUNCTION("""COMPUTED_VALUE"""),"")</f>
        <v/>
      </c>
      <c r="B15066" s="87"/>
      <c r="C15066" s="87"/>
      <c r="D15066" s="87"/>
      <c r="E15066" s="87"/>
      <c r="F15066" s="87"/>
      <c r="G15066" s="87"/>
    </row>
    <row r="15067">
      <c r="A15067" s="86" t="str">
        <f>IFERROR(__xludf.DUMMYFUNCTION("""COMPUTED_VALUE"""),"")</f>
        <v/>
      </c>
      <c r="B15067" s="87"/>
      <c r="C15067" s="87"/>
      <c r="D15067" s="87"/>
      <c r="E15067" s="87"/>
      <c r="F15067" s="87"/>
      <c r="G15067" s="87"/>
    </row>
    <row r="15068">
      <c r="A15068" s="86" t="str">
        <f>IFERROR(__xludf.DUMMYFUNCTION("""COMPUTED_VALUE"""),"")</f>
        <v/>
      </c>
      <c r="B15068" s="87"/>
      <c r="C15068" s="87"/>
      <c r="D15068" s="87"/>
      <c r="E15068" s="87"/>
      <c r="F15068" s="87"/>
      <c r="G15068" s="87"/>
    </row>
    <row r="15069">
      <c r="A15069" s="86" t="str">
        <f>IFERROR(__xludf.DUMMYFUNCTION("""COMPUTED_VALUE"""),"")</f>
        <v/>
      </c>
      <c r="B15069" s="87"/>
      <c r="C15069" s="87"/>
      <c r="D15069" s="87"/>
      <c r="E15069" s="87"/>
      <c r="F15069" s="87"/>
      <c r="G15069" s="87"/>
    </row>
    <row r="15070">
      <c r="A15070" s="86" t="str">
        <f>IFERROR(__xludf.DUMMYFUNCTION("""COMPUTED_VALUE"""),"")</f>
        <v/>
      </c>
      <c r="B15070" s="87"/>
      <c r="C15070" s="87"/>
      <c r="D15070" s="87"/>
      <c r="E15070" s="87"/>
      <c r="F15070" s="87"/>
      <c r="G15070" s="87"/>
    </row>
    <row r="15071">
      <c r="A15071" s="86" t="str">
        <f>IFERROR(__xludf.DUMMYFUNCTION("""COMPUTED_VALUE"""),"")</f>
        <v/>
      </c>
      <c r="B15071" s="87"/>
      <c r="C15071" s="87"/>
      <c r="D15071" s="87"/>
      <c r="E15071" s="87"/>
      <c r="F15071" s="87"/>
      <c r="G15071" s="87"/>
    </row>
    <row r="15072">
      <c r="A15072" s="86" t="str">
        <f>IFERROR(__xludf.DUMMYFUNCTION("""COMPUTED_VALUE"""),"")</f>
        <v/>
      </c>
      <c r="B15072" s="87"/>
      <c r="C15072" s="87"/>
      <c r="D15072" s="87"/>
      <c r="E15072" s="87"/>
      <c r="F15072" s="87"/>
      <c r="G15072" s="87"/>
    </row>
    <row r="15073">
      <c r="A15073" s="86" t="str">
        <f>IFERROR(__xludf.DUMMYFUNCTION("""COMPUTED_VALUE"""),"")</f>
        <v/>
      </c>
      <c r="B15073" s="87"/>
      <c r="C15073" s="87"/>
      <c r="D15073" s="87"/>
      <c r="E15073" s="87"/>
      <c r="F15073" s="87"/>
      <c r="G15073" s="87"/>
    </row>
    <row r="15074">
      <c r="A15074" s="86" t="str">
        <f>IFERROR(__xludf.DUMMYFUNCTION("""COMPUTED_VALUE"""),"")</f>
        <v/>
      </c>
      <c r="B15074" s="87"/>
      <c r="C15074" s="87"/>
      <c r="D15074" s="87"/>
      <c r="E15074" s="87"/>
      <c r="F15074" s="87"/>
      <c r="G15074" s="87"/>
    </row>
    <row r="15075">
      <c r="A15075" s="86" t="str">
        <f>IFERROR(__xludf.DUMMYFUNCTION("""COMPUTED_VALUE"""),"")</f>
        <v/>
      </c>
      <c r="B15075" s="87"/>
      <c r="C15075" s="87"/>
      <c r="D15075" s="87"/>
      <c r="E15075" s="87"/>
      <c r="F15075" s="87"/>
      <c r="G15075" s="87"/>
    </row>
    <row r="15076">
      <c r="A15076" s="86" t="str">
        <f>IFERROR(__xludf.DUMMYFUNCTION("""COMPUTED_VALUE"""),"")</f>
        <v/>
      </c>
      <c r="B15076" s="87"/>
      <c r="C15076" s="87"/>
      <c r="D15076" s="87"/>
      <c r="E15076" s="87"/>
      <c r="F15076" s="87"/>
      <c r="G15076" s="87"/>
    </row>
    <row r="15077">
      <c r="A15077" s="86" t="str">
        <f>IFERROR(__xludf.DUMMYFUNCTION("""COMPUTED_VALUE"""),"")</f>
        <v/>
      </c>
      <c r="B15077" s="87"/>
      <c r="C15077" s="87"/>
      <c r="D15077" s="87"/>
      <c r="E15077" s="87"/>
      <c r="F15077" s="87"/>
      <c r="G15077" s="87"/>
    </row>
    <row r="15078">
      <c r="A15078" s="86" t="str">
        <f>IFERROR(__xludf.DUMMYFUNCTION("""COMPUTED_VALUE"""),"")</f>
        <v/>
      </c>
      <c r="B15078" s="87"/>
      <c r="C15078" s="87"/>
      <c r="D15078" s="87"/>
      <c r="E15078" s="87"/>
      <c r="F15078" s="87"/>
      <c r="G15078" s="87"/>
    </row>
    <row r="15079">
      <c r="A15079" s="86" t="str">
        <f>IFERROR(__xludf.DUMMYFUNCTION("""COMPUTED_VALUE"""),"")</f>
        <v/>
      </c>
      <c r="B15079" s="87"/>
      <c r="C15079" s="87"/>
      <c r="D15079" s="87"/>
      <c r="E15079" s="87"/>
      <c r="F15079" s="87"/>
      <c r="G15079" s="87"/>
    </row>
    <row r="15080">
      <c r="A15080" s="86" t="str">
        <f>IFERROR(__xludf.DUMMYFUNCTION("""COMPUTED_VALUE"""),"")</f>
        <v/>
      </c>
      <c r="B15080" s="87"/>
      <c r="C15080" s="87"/>
      <c r="D15080" s="87"/>
      <c r="E15080" s="87"/>
      <c r="F15080" s="87"/>
      <c r="G15080" s="87"/>
    </row>
    <row r="15081">
      <c r="A15081" s="86" t="str">
        <f>IFERROR(__xludf.DUMMYFUNCTION("""COMPUTED_VALUE"""),"")</f>
        <v/>
      </c>
      <c r="B15081" s="87"/>
      <c r="C15081" s="87"/>
      <c r="D15081" s="87"/>
      <c r="E15081" s="87"/>
      <c r="F15081" s="87"/>
      <c r="G15081" s="87"/>
    </row>
    <row r="15082">
      <c r="A15082" s="86" t="str">
        <f>IFERROR(__xludf.DUMMYFUNCTION("""COMPUTED_VALUE"""),"")</f>
        <v/>
      </c>
      <c r="B15082" s="87"/>
      <c r="C15082" s="87"/>
      <c r="D15082" s="87"/>
      <c r="E15082" s="87"/>
      <c r="F15082" s="87"/>
      <c r="G15082" s="87"/>
    </row>
    <row r="15083">
      <c r="A15083" s="86" t="str">
        <f>IFERROR(__xludf.DUMMYFUNCTION("""COMPUTED_VALUE"""),"")</f>
        <v/>
      </c>
      <c r="B15083" s="87"/>
      <c r="C15083" s="87"/>
      <c r="D15083" s="87"/>
      <c r="E15083" s="87"/>
      <c r="F15083" s="87"/>
      <c r="G15083" s="87"/>
    </row>
    <row r="15084">
      <c r="A15084" s="86" t="str">
        <f>IFERROR(__xludf.DUMMYFUNCTION("""COMPUTED_VALUE"""),"")</f>
        <v/>
      </c>
      <c r="B15084" s="87"/>
      <c r="C15084" s="87"/>
      <c r="D15084" s="87"/>
      <c r="E15084" s="87"/>
      <c r="F15084" s="87"/>
      <c r="G15084" s="87"/>
    </row>
    <row r="15085">
      <c r="A15085" s="86" t="str">
        <f>IFERROR(__xludf.DUMMYFUNCTION("""COMPUTED_VALUE"""),"")</f>
        <v/>
      </c>
      <c r="B15085" s="87"/>
      <c r="C15085" s="87"/>
      <c r="D15085" s="87"/>
      <c r="E15085" s="87"/>
      <c r="F15085" s="87"/>
      <c r="G15085" s="87"/>
    </row>
    <row r="15086">
      <c r="A15086" s="86" t="str">
        <f>IFERROR(__xludf.DUMMYFUNCTION("""COMPUTED_VALUE"""),"")</f>
        <v/>
      </c>
      <c r="B15086" s="87"/>
      <c r="C15086" s="87"/>
      <c r="D15086" s="87"/>
      <c r="E15086" s="87"/>
      <c r="F15086" s="87"/>
      <c r="G15086" s="87"/>
    </row>
    <row r="15087">
      <c r="A15087" s="86" t="str">
        <f>IFERROR(__xludf.DUMMYFUNCTION("""COMPUTED_VALUE"""),"")</f>
        <v/>
      </c>
      <c r="B15087" s="87"/>
      <c r="C15087" s="87"/>
      <c r="D15087" s="87"/>
      <c r="E15087" s="87"/>
      <c r="F15087" s="87"/>
      <c r="G15087" s="87"/>
    </row>
    <row r="15088">
      <c r="A15088" s="86" t="str">
        <f>IFERROR(__xludf.DUMMYFUNCTION("""COMPUTED_VALUE"""),"")</f>
        <v/>
      </c>
      <c r="B15088" s="87"/>
      <c r="C15088" s="87"/>
      <c r="D15088" s="87"/>
      <c r="E15088" s="87"/>
      <c r="F15088" s="87"/>
      <c r="G15088" s="87"/>
    </row>
    <row r="15089">
      <c r="A15089" s="86" t="str">
        <f>IFERROR(__xludf.DUMMYFUNCTION("""COMPUTED_VALUE"""),"")</f>
        <v/>
      </c>
      <c r="B15089" s="87"/>
      <c r="C15089" s="87"/>
      <c r="D15089" s="87"/>
      <c r="E15089" s="87"/>
      <c r="F15089" s="87"/>
      <c r="G15089" s="87"/>
    </row>
    <row r="15090">
      <c r="A15090" s="86" t="str">
        <f>IFERROR(__xludf.DUMMYFUNCTION("""COMPUTED_VALUE"""),"")</f>
        <v/>
      </c>
      <c r="B15090" s="87"/>
      <c r="C15090" s="87"/>
      <c r="D15090" s="87"/>
      <c r="E15090" s="87"/>
      <c r="F15090" s="87"/>
      <c r="G15090" s="87"/>
    </row>
    <row r="15091">
      <c r="A15091" s="86" t="str">
        <f>IFERROR(__xludf.DUMMYFUNCTION("""COMPUTED_VALUE"""),"")</f>
        <v/>
      </c>
      <c r="B15091" s="87"/>
      <c r="C15091" s="87"/>
      <c r="D15091" s="87"/>
      <c r="E15091" s="87"/>
      <c r="F15091" s="87"/>
      <c r="G15091" s="87"/>
    </row>
    <row r="15092">
      <c r="A15092" s="86" t="str">
        <f>IFERROR(__xludf.DUMMYFUNCTION("""COMPUTED_VALUE"""),"")</f>
        <v/>
      </c>
      <c r="B15092" s="87"/>
      <c r="C15092" s="87"/>
      <c r="D15092" s="87"/>
      <c r="E15092" s="87"/>
      <c r="F15092" s="87"/>
      <c r="G15092" s="87"/>
    </row>
    <row r="15093">
      <c r="A15093" s="86" t="str">
        <f>IFERROR(__xludf.DUMMYFUNCTION("""COMPUTED_VALUE"""),"")</f>
        <v/>
      </c>
      <c r="B15093" s="87"/>
      <c r="C15093" s="87"/>
      <c r="D15093" s="87"/>
      <c r="E15093" s="87"/>
      <c r="F15093" s="87"/>
      <c r="G15093" s="87"/>
    </row>
    <row r="15094">
      <c r="A15094" s="86" t="str">
        <f>IFERROR(__xludf.DUMMYFUNCTION("""COMPUTED_VALUE"""),"")</f>
        <v/>
      </c>
      <c r="B15094" s="87"/>
      <c r="C15094" s="87"/>
      <c r="D15094" s="87"/>
      <c r="E15094" s="87"/>
      <c r="F15094" s="87"/>
      <c r="G15094" s="87"/>
    </row>
    <row r="15095">
      <c r="A15095" s="86" t="str">
        <f>IFERROR(__xludf.DUMMYFUNCTION("""COMPUTED_VALUE"""),"")</f>
        <v/>
      </c>
      <c r="B15095" s="87"/>
      <c r="C15095" s="87"/>
      <c r="D15095" s="87"/>
      <c r="E15095" s="87"/>
      <c r="F15095" s="87"/>
      <c r="G15095" s="87"/>
    </row>
    <row r="15096">
      <c r="A15096" s="86" t="str">
        <f>IFERROR(__xludf.DUMMYFUNCTION("""COMPUTED_VALUE"""),"")</f>
        <v/>
      </c>
      <c r="B15096" s="87"/>
      <c r="C15096" s="87"/>
      <c r="D15096" s="87"/>
      <c r="E15096" s="87"/>
      <c r="F15096" s="87"/>
      <c r="G15096" s="87"/>
    </row>
    <row r="15097">
      <c r="A15097" s="86" t="str">
        <f>IFERROR(__xludf.DUMMYFUNCTION("""COMPUTED_VALUE"""),"")</f>
        <v/>
      </c>
      <c r="B15097" s="87"/>
      <c r="C15097" s="87"/>
      <c r="D15097" s="87"/>
      <c r="E15097" s="87"/>
      <c r="F15097" s="87"/>
      <c r="G15097" s="87"/>
    </row>
    <row r="15098">
      <c r="A15098" s="86" t="str">
        <f>IFERROR(__xludf.DUMMYFUNCTION("""COMPUTED_VALUE"""),"")</f>
        <v/>
      </c>
      <c r="B15098" s="87"/>
      <c r="C15098" s="87"/>
      <c r="D15098" s="87"/>
      <c r="E15098" s="87"/>
      <c r="F15098" s="87"/>
      <c r="G15098" s="87"/>
    </row>
    <row r="15099">
      <c r="A15099" s="86" t="str">
        <f>IFERROR(__xludf.DUMMYFUNCTION("""COMPUTED_VALUE"""),"")</f>
        <v/>
      </c>
      <c r="B15099" s="87"/>
      <c r="C15099" s="87"/>
      <c r="D15099" s="87"/>
      <c r="E15099" s="87"/>
      <c r="F15099" s="87"/>
      <c r="G15099" s="87"/>
    </row>
    <row r="15100">
      <c r="A15100" s="86" t="str">
        <f>IFERROR(__xludf.DUMMYFUNCTION("""COMPUTED_VALUE"""),"")</f>
        <v/>
      </c>
      <c r="B15100" s="87"/>
      <c r="C15100" s="87"/>
      <c r="D15100" s="87"/>
      <c r="E15100" s="87"/>
      <c r="F15100" s="87"/>
      <c r="G15100" s="87"/>
    </row>
    <row r="15101">
      <c r="A15101" s="86" t="str">
        <f>IFERROR(__xludf.DUMMYFUNCTION("""COMPUTED_VALUE"""),"")</f>
        <v/>
      </c>
      <c r="B15101" s="87"/>
      <c r="C15101" s="87"/>
      <c r="D15101" s="87"/>
      <c r="E15101" s="87"/>
      <c r="F15101" s="87"/>
      <c r="G15101" s="87"/>
    </row>
    <row r="15102">
      <c r="A15102" s="86" t="str">
        <f>IFERROR(__xludf.DUMMYFUNCTION("""COMPUTED_VALUE"""),"")</f>
        <v/>
      </c>
      <c r="B15102" s="87"/>
      <c r="C15102" s="87"/>
      <c r="D15102" s="87"/>
      <c r="E15102" s="87"/>
      <c r="F15102" s="87"/>
      <c r="G15102" s="87"/>
    </row>
    <row r="15103">
      <c r="A15103" s="86" t="str">
        <f>IFERROR(__xludf.DUMMYFUNCTION("""COMPUTED_VALUE"""),"")</f>
        <v/>
      </c>
      <c r="B15103" s="87"/>
      <c r="C15103" s="87"/>
      <c r="D15103" s="87"/>
      <c r="E15103" s="87"/>
      <c r="F15103" s="87"/>
      <c r="G15103" s="87"/>
    </row>
    <row r="15104">
      <c r="A15104" s="86" t="str">
        <f>IFERROR(__xludf.DUMMYFUNCTION("""COMPUTED_VALUE"""),"")</f>
        <v/>
      </c>
      <c r="B15104" s="87"/>
      <c r="C15104" s="87"/>
      <c r="D15104" s="87"/>
      <c r="E15104" s="87"/>
      <c r="F15104" s="87"/>
      <c r="G15104" s="87"/>
    </row>
    <row r="15105">
      <c r="A15105" s="86" t="str">
        <f>IFERROR(__xludf.DUMMYFUNCTION("""COMPUTED_VALUE"""),"")</f>
        <v/>
      </c>
      <c r="B15105" s="87"/>
      <c r="C15105" s="87"/>
      <c r="D15105" s="87"/>
      <c r="E15105" s="87"/>
      <c r="F15105" s="87"/>
      <c r="G15105" s="87"/>
    </row>
    <row r="15106">
      <c r="A15106" s="86" t="str">
        <f>IFERROR(__xludf.DUMMYFUNCTION("""COMPUTED_VALUE"""),"")</f>
        <v/>
      </c>
      <c r="B15106" s="87"/>
      <c r="C15106" s="87"/>
      <c r="D15106" s="87"/>
      <c r="E15106" s="87"/>
      <c r="F15106" s="87"/>
      <c r="G15106" s="87"/>
    </row>
    <row r="15107">
      <c r="A15107" s="86" t="str">
        <f>IFERROR(__xludf.DUMMYFUNCTION("""COMPUTED_VALUE"""),"")</f>
        <v/>
      </c>
      <c r="B15107" s="87"/>
      <c r="C15107" s="87"/>
      <c r="D15107" s="87"/>
      <c r="E15107" s="87"/>
      <c r="F15107" s="87"/>
      <c r="G15107" s="87"/>
    </row>
    <row r="15108">
      <c r="A15108" s="86" t="str">
        <f>IFERROR(__xludf.DUMMYFUNCTION("""COMPUTED_VALUE"""),"")</f>
        <v/>
      </c>
      <c r="B15108" s="87"/>
      <c r="C15108" s="87"/>
      <c r="D15108" s="87"/>
      <c r="E15108" s="87"/>
      <c r="F15108" s="87"/>
      <c r="G15108" s="87"/>
    </row>
    <row r="15109">
      <c r="A15109" s="86" t="str">
        <f>IFERROR(__xludf.DUMMYFUNCTION("""COMPUTED_VALUE"""),"")</f>
        <v/>
      </c>
      <c r="B15109" s="87"/>
      <c r="C15109" s="87"/>
      <c r="D15109" s="87"/>
      <c r="E15109" s="87"/>
      <c r="F15109" s="87"/>
      <c r="G15109" s="87"/>
    </row>
    <row r="15110">
      <c r="A15110" s="86" t="str">
        <f>IFERROR(__xludf.DUMMYFUNCTION("""COMPUTED_VALUE"""),"")</f>
        <v/>
      </c>
      <c r="B15110" s="87"/>
      <c r="C15110" s="87"/>
      <c r="D15110" s="87"/>
      <c r="E15110" s="87"/>
      <c r="F15110" s="87"/>
      <c r="G15110" s="87"/>
    </row>
    <row r="15111">
      <c r="A15111" s="86" t="str">
        <f>IFERROR(__xludf.DUMMYFUNCTION("""COMPUTED_VALUE"""),"")</f>
        <v/>
      </c>
      <c r="B15111" s="87"/>
      <c r="C15111" s="87"/>
      <c r="D15111" s="87"/>
      <c r="E15111" s="87"/>
      <c r="F15111" s="87"/>
      <c r="G15111" s="87"/>
    </row>
    <row r="15112">
      <c r="A15112" s="86" t="str">
        <f>IFERROR(__xludf.DUMMYFUNCTION("""COMPUTED_VALUE"""),"")</f>
        <v/>
      </c>
      <c r="B15112" s="87"/>
      <c r="C15112" s="87"/>
      <c r="D15112" s="87"/>
      <c r="E15112" s="87"/>
      <c r="F15112" s="87"/>
      <c r="G15112" s="87"/>
    </row>
    <row r="15113">
      <c r="A15113" s="86" t="str">
        <f>IFERROR(__xludf.DUMMYFUNCTION("""COMPUTED_VALUE"""),"")</f>
        <v/>
      </c>
      <c r="B15113" s="87"/>
      <c r="C15113" s="87"/>
      <c r="D15113" s="87"/>
      <c r="E15113" s="87"/>
      <c r="F15113" s="87"/>
      <c r="G15113" s="87"/>
    </row>
    <row r="15114">
      <c r="A15114" s="86" t="str">
        <f>IFERROR(__xludf.DUMMYFUNCTION("""COMPUTED_VALUE"""),"")</f>
        <v/>
      </c>
      <c r="B15114" s="87"/>
      <c r="C15114" s="87"/>
      <c r="D15114" s="87"/>
      <c r="E15114" s="87"/>
      <c r="F15114" s="87"/>
      <c r="G15114" s="87"/>
    </row>
    <row r="15115">
      <c r="A15115" s="86" t="str">
        <f>IFERROR(__xludf.DUMMYFUNCTION("""COMPUTED_VALUE"""),"")</f>
        <v/>
      </c>
      <c r="B15115" s="87"/>
      <c r="C15115" s="87"/>
      <c r="D15115" s="87"/>
      <c r="E15115" s="87"/>
      <c r="F15115" s="87"/>
      <c r="G15115" s="87"/>
    </row>
    <row r="15116">
      <c r="A15116" s="86" t="str">
        <f>IFERROR(__xludf.DUMMYFUNCTION("""COMPUTED_VALUE"""),"")</f>
        <v/>
      </c>
      <c r="B15116" s="87"/>
      <c r="C15116" s="87"/>
      <c r="D15116" s="87"/>
      <c r="E15116" s="87"/>
      <c r="F15116" s="87"/>
      <c r="G15116" s="87"/>
    </row>
    <row r="15117">
      <c r="A15117" s="86" t="str">
        <f>IFERROR(__xludf.DUMMYFUNCTION("""COMPUTED_VALUE"""),"")</f>
        <v/>
      </c>
      <c r="B15117" s="87"/>
      <c r="C15117" s="87"/>
      <c r="D15117" s="87"/>
      <c r="E15117" s="87"/>
      <c r="F15117" s="87"/>
      <c r="G15117" s="87"/>
    </row>
    <row r="15118">
      <c r="A15118" s="86" t="str">
        <f>IFERROR(__xludf.DUMMYFUNCTION("""COMPUTED_VALUE"""),"")</f>
        <v/>
      </c>
      <c r="B15118" s="87"/>
      <c r="C15118" s="87"/>
      <c r="D15118" s="87"/>
      <c r="E15118" s="87"/>
      <c r="F15118" s="87"/>
      <c r="G15118" s="87"/>
    </row>
    <row r="15119">
      <c r="A15119" s="86" t="str">
        <f>IFERROR(__xludf.DUMMYFUNCTION("""COMPUTED_VALUE"""),"")</f>
        <v/>
      </c>
      <c r="B15119" s="87"/>
      <c r="C15119" s="87"/>
      <c r="D15119" s="87"/>
      <c r="E15119" s="87"/>
      <c r="F15119" s="87"/>
      <c r="G15119" s="87"/>
    </row>
    <row r="15120">
      <c r="A15120" s="86" t="str">
        <f>IFERROR(__xludf.DUMMYFUNCTION("""COMPUTED_VALUE"""),"")</f>
        <v/>
      </c>
      <c r="B15120" s="87"/>
      <c r="C15120" s="87"/>
      <c r="D15120" s="87"/>
      <c r="E15120" s="87"/>
      <c r="F15120" s="87"/>
      <c r="G15120" s="87"/>
    </row>
    <row r="15121">
      <c r="A15121" s="86" t="str">
        <f>IFERROR(__xludf.DUMMYFUNCTION("""COMPUTED_VALUE"""),"")</f>
        <v/>
      </c>
      <c r="B15121" s="87"/>
      <c r="C15121" s="87"/>
      <c r="D15121" s="87"/>
      <c r="E15121" s="87"/>
      <c r="F15121" s="87"/>
      <c r="G15121" s="87"/>
    </row>
    <row r="15122">
      <c r="A15122" s="86" t="str">
        <f>IFERROR(__xludf.DUMMYFUNCTION("""COMPUTED_VALUE"""),"")</f>
        <v/>
      </c>
      <c r="B15122" s="87"/>
      <c r="C15122" s="87"/>
      <c r="D15122" s="87"/>
      <c r="E15122" s="87"/>
      <c r="F15122" s="87"/>
      <c r="G15122" s="87"/>
    </row>
    <row r="15123">
      <c r="A15123" s="86" t="str">
        <f>IFERROR(__xludf.DUMMYFUNCTION("""COMPUTED_VALUE"""),"")</f>
        <v/>
      </c>
      <c r="B15123" s="87"/>
      <c r="C15123" s="87"/>
      <c r="D15123" s="87"/>
      <c r="E15123" s="87"/>
      <c r="F15123" s="87"/>
      <c r="G15123" s="87"/>
    </row>
    <row r="15124">
      <c r="A15124" s="86" t="str">
        <f>IFERROR(__xludf.DUMMYFUNCTION("""COMPUTED_VALUE"""),"")</f>
        <v/>
      </c>
      <c r="B15124" s="87"/>
      <c r="C15124" s="87"/>
      <c r="D15124" s="87"/>
      <c r="E15124" s="87"/>
      <c r="F15124" s="87"/>
      <c r="G15124" s="87"/>
    </row>
    <row r="15125">
      <c r="A15125" s="86" t="str">
        <f>IFERROR(__xludf.DUMMYFUNCTION("""COMPUTED_VALUE"""),"")</f>
        <v/>
      </c>
      <c r="B15125" s="87"/>
      <c r="C15125" s="87"/>
      <c r="D15125" s="87"/>
      <c r="E15125" s="87"/>
      <c r="F15125" s="87"/>
      <c r="G15125" s="87"/>
    </row>
    <row r="15126">
      <c r="A15126" s="86" t="str">
        <f>IFERROR(__xludf.DUMMYFUNCTION("""COMPUTED_VALUE"""),"")</f>
        <v/>
      </c>
      <c r="B15126" s="87"/>
      <c r="C15126" s="87"/>
      <c r="D15126" s="87"/>
      <c r="E15126" s="87"/>
      <c r="F15126" s="87"/>
      <c r="G15126" s="87"/>
    </row>
    <row r="15127">
      <c r="A15127" s="86" t="str">
        <f>IFERROR(__xludf.DUMMYFUNCTION("""COMPUTED_VALUE"""),"")</f>
        <v/>
      </c>
      <c r="B15127" s="87"/>
      <c r="C15127" s="87"/>
      <c r="D15127" s="87"/>
      <c r="E15127" s="87"/>
      <c r="F15127" s="87"/>
      <c r="G15127" s="87"/>
    </row>
    <row r="15128">
      <c r="A15128" s="86" t="str">
        <f>IFERROR(__xludf.DUMMYFUNCTION("""COMPUTED_VALUE"""),"")</f>
        <v/>
      </c>
      <c r="B15128" s="87"/>
      <c r="C15128" s="87"/>
      <c r="D15128" s="87"/>
      <c r="E15128" s="87"/>
      <c r="F15128" s="87"/>
      <c r="G15128" s="87"/>
    </row>
    <row r="15129">
      <c r="A15129" s="86" t="str">
        <f>IFERROR(__xludf.DUMMYFUNCTION("""COMPUTED_VALUE"""),"")</f>
        <v/>
      </c>
      <c r="B15129" s="87"/>
      <c r="C15129" s="87"/>
      <c r="D15129" s="87"/>
      <c r="E15129" s="87"/>
      <c r="F15129" s="87"/>
      <c r="G15129" s="87"/>
    </row>
    <row r="15130">
      <c r="A15130" s="86" t="str">
        <f>IFERROR(__xludf.DUMMYFUNCTION("""COMPUTED_VALUE"""),"")</f>
        <v/>
      </c>
      <c r="B15130" s="87"/>
      <c r="C15130" s="87"/>
      <c r="D15130" s="87"/>
      <c r="E15130" s="87"/>
      <c r="F15130" s="87"/>
      <c r="G15130" s="87"/>
    </row>
    <row r="15131">
      <c r="A15131" s="86" t="str">
        <f>IFERROR(__xludf.DUMMYFUNCTION("""COMPUTED_VALUE"""),"")</f>
        <v/>
      </c>
      <c r="B15131" s="87"/>
      <c r="C15131" s="87"/>
      <c r="D15131" s="87"/>
      <c r="E15131" s="87"/>
      <c r="F15131" s="87"/>
      <c r="G15131" s="87"/>
    </row>
    <row r="15132">
      <c r="A15132" s="86" t="str">
        <f>IFERROR(__xludf.DUMMYFUNCTION("""COMPUTED_VALUE"""),"")</f>
        <v/>
      </c>
      <c r="B15132" s="87"/>
      <c r="C15132" s="87"/>
      <c r="D15132" s="87"/>
      <c r="E15132" s="87"/>
      <c r="F15132" s="87"/>
      <c r="G15132" s="87"/>
    </row>
    <row r="15133">
      <c r="A15133" s="86" t="str">
        <f>IFERROR(__xludf.DUMMYFUNCTION("""COMPUTED_VALUE"""),"")</f>
        <v/>
      </c>
      <c r="B15133" s="87"/>
      <c r="C15133" s="87"/>
      <c r="D15133" s="87"/>
      <c r="E15133" s="87"/>
      <c r="F15133" s="87"/>
      <c r="G15133" s="87"/>
    </row>
    <row r="15134">
      <c r="A15134" s="86" t="str">
        <f>IFERROR(__xludf.DUMMYFUNCTION("""COMPUTED_VALUE"""),"")</f>
        <v/>
      </c>
      <c r="B15134" s="87"/>
      <c r="C15134" s="87"/>
      <c r="D15134" s="87"/>
      <c r="E15134" s="87"/>
      <c r="F15134" s="87"/>
      <c r="G15134" s="87"/>
    </row>
    <row r="15135">
      <c r="A15135" s="86" t="str">
        <f>IFERROR(__xludf.DUMMYFUNCTION("""COMPUTED_VALUE"""),"")</f>
        <v/>
      </c>
      <c r="B15135" s="87"/>
      <c r="C15135" s="87"/>
      <c r="D15135" s="87"/>
      <c r="E15135" s="87"/>
      <c r="F15135" s="87"/>
      <c r="G15135" s="87"/>
    </row>
    <row r="15136">
      <c r="A15136" s="86" t="str">
        <f>IFERROR(__xludf.DUMMYFUNCTION("""COMPUTED_VALUE"""),"")</f>
        <v/>
      </c>
      <c r="B15136" s="87"/>
      <c r="C15136" s="87"/>
      <c r="D15136" s="87"/>
      <c r="E15136" s="87"/>
      <c r="F15136" s="87"/>
      <c r="G15136" s="87"/>
    </row>
    <row r="15137">
      <c r="A15137" s="86" t="str">
        <f>IFERROR(__xludf.DUMMYFUNCTION("""COMPUTED_VALUE"""),"")</f>
        <v/>
      </c>
      <c r="B15137" s="87"/>
      <c r="C15137" s="87"/>
      <c r="D15137" s="87"/>
      <c r="E15137" s="87"/>
      <c r="F15137" s="87"/>
      <c r="G15137" s="87"/>
    </row>
    <row r="15138">
      <c r="A15138" s="86" t="str">
        <f>IFERROR(__xludf.DUMMYFUNCTION("""COMPUTED_VALUE"""),"")</f>
        <v/>
      </c>
      <c r="B15138" s="87"/>
      <c r="C15138" s="87"/>
      <c r="D15138" s="87"/>
      <c r="E15138" s="87"/>
      <c r="F15138" s="87"/>
      <c r="G15138" s="87"/>
    </row>
    <row r="15139">
      <c r="A15139" s="86" t="str">
        <f>IFERROR(__xludf.DUMMYFUNCTION("""COMPUTED_VALUE"""),"")</f>
        <v/>
      </c>
      <c r="B15139" s="87"/>
      <c r="C15139" s="87"/>
      <c r="D15139" s="87"/>
      <c r="E15139" s="87"/>
      <c r="F15139" s="87"/>
      <c r="G15139" s="87"/>
    </row>
    <row r="15140">
      <c r="A15140" s="86" t="str">
        <f>IFERROR(__xludf.DUMMYFUNCTION("""COMPUTED_VALUE"""),"")</f>
        <v/>
      </c>
      <c r="B15140" s="87"/>
      <c r="C15140" s="87"/>
      <c r="D15140" s="87"/>
      <c r="E15140" s="87"/>
      <c r="F15140" s="87"/>
      <c r="G15140" s="87"/>
    </row>
    <row r="15141">
      <c r="A15141" s="86" t="str">
        <f>IFERROR(__xludf.DUMMYFUNCTION("""COMPUTED_VALUE"""),"")</f>
        <v/>
      </c>
      <c r="B15141" s="87"/>
      <c r="C15141" s="87"/>
      <c r="D15141" s="87"/>
      <c r="E15141" s="87"/>
      <c r="F15141" s="87"/>
      <c r="G15141" s="87"/>
    </row>
    <row r="15142">
      <c r="A15142" s="86" t="str">
        <f>IFERROR(__xludf.DUMMYFUNCTION("""COMPUTED_VALUE"""),"")</f>
        <v/>
      </c>
      <c r="B15142" s="87"/>
      <c r="C15142" s="87"/>
      <c r="D15142" s="87"/>
      <c r="E15142" s="87"/>
      <c r="F15142" s="87"/>
      <c r="G15142" s="87"/>
    </row>
    <row r="15143">
      <c r="A15143" s="86" t="str">
        <f>IFERROR(__xludf.DUMMYFUNCTION("""COMPUTED_VALUE"""),"")</f>
        <v/>
      </c>
      <c r="B15143" s="87"/>
      <c r="C15143" s="87"/>
      <c r="D15143" s="87"/>
      <c r="E15143" s="87"/>
      <c r="F15143" s="87"/>
      <c r="G15143" s="87"/>
    </row>
    <row r="15144">
      <c r="A15144" s="86" t="str">
        <f>IFERROR(__xludf.DUMMYFUNCTION("""COMPUTED_VALUE"""),"")</f>
        <v/>
      </c>
      <c r="B15144" s="87"/>
      <c r="C15144" s="87"/>
      <c r="D15144" s="87"/>
      <c r="E15144" s="87"/>
      <c r="F15144" s="87"/>
      <c r="G15144" s="87"/>
    </row>
    <row r="15145">
      <c r="A15145" s="86" t="str">
        <f>IFERROR(__xludf.DUMMYFUNCTION("""COMPUTED_VALUE"""),"")</f>
        <v/>
      </c>
      <c r="B15145" s="87"/>
      <c r="C15145" s="87"/>
      <c r="D15145" s="87"/>
      <c r="E15145" s="87"/>
      <c r="F15145" s="87"/>
      <c r="G15145" s="87"/>
    </row>
    <row r="15146">
      <c r="A15146" s="86" t="str">
        <f>IFERROR(__xludf.DUMMYFUNCTION("""COMPUTED_VALUE"""),"")</f>
        <v/>
      </c>
      <c r="B15146" s="87"/>
      <c r="C15146" s="87"/>
      <c r="D15146" s="87"/>
      <c r="E15146" s="87"/>
      <c r="F15146" s="87"/>
      <c r="G15146" s="87"/>
    </row>
    <row r="15147">
      <c r="A15147" s="86" t="str">
        <f>IFERROR(__xludf.DUMMYFUNCTION("""COMPUTED_VALUE"""),"")</f>
        <v/>
      </c>
      <c r="B15147" s="87"/>
      <c r="C15147" s="87"/>
      <c r="D15147" s="87"/>
      <c r="E15147" s="87"/>
      <c r="F15147" s="87"/>
      <c r="G15147" s="87"/>
    </row>
    <row r="15148">
      <c r="A15148" s="86" t="str">
        <f>IFERROR(__xludf.DUMMYFUNCTION("""COMPUTED_VALUE"""),"")</f>
        <v/>
      </c>
      <c r="B15148" s="87"/>
      <c r="C15148" s="87"/>
      <c r="D15148" s="87"/>
      <c r="E15148" s="87"/>
      <c r="F15148" s="87"/>
      <c r="G15148" s="87"/>
    </row>
    <row r="15149">
      <c r="A15149" s="86" t="str">
        <f>IFERROR(__xludf.DUMMYFUNCTION("""COMPUTED_VALUE"""),"")</f>
        <v/>
      </c>
      <c r="B15149" s="87"/>
      <c r="C15149" s="87"/>
      <c r="D15149" s="87"/>
      <c r="E15149" s="87"/>
      <c r="F15149" s="87"/>
      <c r="G15149" s="87"/>
    </row>
    <row r="15150">
      <c r="A15150" s="86" t="str">
        <f>IFERROR(__xludf.DUMMYFUNCTION("""COMPUTED_VALUE"""),"")</f>
        <v/>
      </c>
      <c r="B15150" s="87"/>
      <c r="C15150" s="87"/>
      <c r="D15150" s="87"/>
      <c r="E15150" s="87"/>
      <c r="F15150" s="87"/>
      <c r="G15150" s="87"/>
    </row>
    <row r="15151">
      <c r="A15151" s="86" t="str">
        <f>IFERROR(__xludf.DUMMYFUNCTION("""COMPUTED_VALUE"""),"")</f>
        <v/>
      </c>
      <c r="B15151" s="87"/>
      <c r="C15151" s="87"/>
      <c r="D15151" s="87"/>
      <c r="E15151" s="87"/>
      <c r="F15151" s="87"/>
      <c r="G15151" s="87"/>
    </row>
    <row r="15152">
      <c r="A15152" s="86" t="str">
        <f>IFERROR(__xludf.DUMMYFUNCTION("""COMPUTED_VALUE"""),"")</f>
        <v/>
      </c>
      <c r="B15152" s="87"/>
      <c r="C15152" s="87"/>
      <c r="D15152" s="87"/>
      <c r="E15152" s="87"/>
      <c r="F15152" s="87"/>
      <c r="G15152" s="87"/>
    </row>
    <row r="15153">
      <c r="A15153" s="86" t="str">
        <f>IFERROR(__xludf.DUMMYFUNCTION("""COMPUTED_VALUE"""),"")</f>
        <v/>
      </c>
      <c r="B15153" s="87"/>
      <c r="C15153" s="87"/>
      <c r="D15153" s="87"/>
      <c r="E15153" s="87"/>
      <c r="F15153" s="87"/>
      <c r="G15153" s="87"/>
    </row>
    <row r="15154">
      <c r="A15154" s="86" t="str">
        <f>IFERROR(__xludf.DUMMYFUNCTION("""COMPUTED_VALUE"""),"")</f>
        <v/>
      </c>
      <c r="B15154" s="87"/>
      <c r="C15154" s="87"/>
      <c r="D15154" s="87"/>
      <c r="E15154" s="87"/>
      <c r="F15154" s="87"/>
      <c r="G15154" s="87"/>
    </row>
    <row r="15155">
      <c r="A15155" s="86" t="str">
        <f>IFERROR(__xludf.DUMMYFUNCTION("""COMPUTED_VALUE"""),"")</f>
        <v/>
      </c>
      <c r="B15155" s="87"/>
      <c r="C15155" s="87"/>
      <c r="D15155" s="87"/>
      <c r="E15155" s="87"/>
      <c r="F15155" s="87"/>
      <c r="G15155" s="87"/>
    </row>
    <row r="15156">
      <c r="A15156" s="86" t="str">
        <f>IFERROR(__xludf.DUMMYFUNCTION("""COMPUTED_VALUE"""),"")</f>
        <v/>
      </c>
      <c r="B15156" s="87"/>
      <c r="C15156" s="87"/>
      <c r="D15156" s="87"/>
      <c r="E15156" s="87"/>
      <c r="F15156" s="87"/>
      <c r="G15156" s="87"/>
    </row>
    <row r="15157">
      <c r="A15157" s="86" t="str">
        <f>IFERROR(__xludf.DUMMYFUNCTION("""COMPUTED_VALUE"""),"")</f>
        <v/>
      </c>
      <c r="B15157" s="87"/>
      <c r="C15157" s="87"/>
      <c r="D15157" s="87"/>
      <c r="E15157" s="87"/>
      <c r="F15157" s="87"/>
      <c r="G15157" s="87"/>
    </row>
    <row r="15158">
      <c r="A15158" s="86" t="str">
        <f>IFERROR(__xludf.DUMMYFUNCTION("""COMPUTED_VALUE"""),"")</f>
        <v/>
      </c>
      <c r="B15158" s="87"/>
      <c r="C15158" s="87"/>
      <c r="D15158" s="87"/>
      <c r="E15158" s="87"/>
      <c r="F15158" s="87"/>
      <c r="G15158" s="87"/>
    </row>
    <row r="15159">
      <c r="A15159" s="86" t="str">
        <f>IFERROR(__xludf.DUMMYFUNCTION("""COMPUTED_VALUE"""),"")</f>
        <v/>
      </c>
      <c r="B15159" s="87"/>
      <c r="C15159" s="87"/>
      <c r="D15159" s="87"/>
      <c r="E15159" s="87"/>
      <c r="F15159" s="87"/>
      <c r="G15159" s="87"/>
    </row>
    <row r="15160">
      <c r="A15160" s="86" t="str">
        <f>IFERROR(__xludf.DUMMYFUNCTION("""COMPUTED_VALUE"""),"")</f>
        <v/>
      </c>
      <c r="B15160" s="87"/>
      <c r="C15160" s="87"/>
      <c r="D15160" s="87"/>
      <c r="E15160" s="87"/>
      <c r="F15160" s="87"/>
      <c r="G15160" s="87"/>
    </row>
    <row r="15161">
      <c r="A15161" s="86" t="str">
        <f>IFERROR(__xludf.DUMMYFUNCTION("""COMPUTED_VALUE"""),"")</f>
        <v/>
      </c>
      <c r="B15161" s="87"/>
      <c r="C15161" s="87"/>
      <c r="D15161" s="87"/>
      <c r="E15161" s="87"/>
      <c r="F15161" s="87"/>
      <c r="G15161" s="87"/>
    </row>
    <row r="15162">
      <c r="A15162" s="86" t="str">
        <f>IFERROR(__xludf.DUMMYFUNCTION("""COMPUTED_VALUE"""),"")</f>
        <v/>
      </c>
      <c r="B15162" s="87"/>
      <c r="C15162" s="87"/>
      <c r="D15162" s="87"/>
      <c r="E15162" s="87"/>
      <c r="F15162" s="87"/>
      <c r="G15162" s="87"/>
    </row>
    <row r="15163">
      <c r="A15163" s="86" t="str">
        <f>IFERROR(__xludf.DUMMYFUNCTION("""COMPUTED_VALUE"""),"")</f>
        <v/>
      </c>
      <c r="B15163" s="87"/>
      <c r="C15163" s="87"/>
      <c r="D15163" s="87"/>
      <c r="E15163" s="87"/>
      <c r="F15163" s="87"/>
      <c r="G15163" s="87"/>
    </row>
    <row r="15164">
      <c r="A15164" s="86" t="str">
        <f>IFERROR(__xludf.DUMMYFUNCTION("""COMPUTED_VALUE"""),"")</f>
        <v/>
      </c>
      <c r="B15164" s="87"/>
      <c r="C15164" s="87"/>
      <c r="D15164" s="87"/>
      <c r="E15164" s="87"/>
      <c r="F15164" s="87"/>
      <c r="G15164" s="87"/>
    </row>
    <row r="15165">
      <c r="A15165" s="86" t="str">
        <f>IFERROR(__xludf.DUMMYFUNCTION("""COMPUTED_VALUE"""),"")</f>
        <v/>
      </c>
      <c r="B15165" s="87"/>
      <c r="C15165" s="87"/>
      <c r="D15165" s="87"/>
      <c r="E15165" s="87"/>
      <c r="F15165" s="87"/>
      <c r="G15165" s="87"/>
    </row>
    <row r="15166">
      <c r="A15166" s="86" t="str">
        <f>IFERROR(__xludf.DUMMYFUNCTION("""COMPUTED_VALUE"""),"")</f>
        <v/>
      </c>
      <c r="B15166" s="87"/>
      <c r="C15166" s="87"/>
      <c r="D15166" s="87"/>
      <c r="E15166" s="87"/>
      <c r="F15166" s="87"/>
      <c r="G15166" s="87"/>
    </row>
    <row r="15167">
      <c r="A15167" s="86" t="str">
        <f>IFERROR(__xludf.DUMMYFUNCTION("""COMPUTED_VALUE"""),"")</f>
        <v/>
      </c>
      <c r="B15167" s="87"/>
      <c r="C15167" s="87"/>
      <c r="D15167" s="87"/>
      <c r="E15167" s="87"/>
      <c r="F15167" s="87"/>
      <c r="G15167" s="87"/>
    </row>
    <row r="15168">
      <c r="A15168" s="86" t="str">
        <f>IFERROR(__xludf.DUMMYFUNCTION("""COMPUTED_VALUE"""),"")</f>
        <v/>
      </c>
      <c r="B15168" s="87"/>
      <c r="C15168" s="87"/>
      <c r="D15168" s="87"/>
      <c r="E15168" s="87"/>
      <c r="F15168" s="87"/>
      <c r="G15168" s="87"/>
    </row>
    <row r="15169">
      <c r="A15169" s="86" t="str">
        <f>IFERROR(__xludf.DUMMYFUNCTION("""COMPUTED_VALUE"""),"")</f>
        <v/>
      </c>
      <c r="B15169" s="87"/>
      <c r="C15169" s="87"/>
      <c r="D15169" s="87"/>
      <c r="E15169" s="87"/>
      <c r="F15169" s="87"/>
      <c r="G15169" s="87"/>
    </row>
    <row r="15170">
      <c r="A15170" s="86" t="str">
        <f>IFERROR(__xludf.DUMMYFUNCTION("""COMPUTED_VALUE"""),"")</f>
        <v/>
      </c>
      <c r="B15170" s="87"/>
      <c r="C15170" s="87"/>
      <c r="D15170" s="87"/>
      <c r="E15170" s="87"/>
      <c r="F15170" s="87"/>
      <c r="G15170" s="87"/>
    </row>
    <row r="15171">
      <c r="A15171" s="86" t="str">
        <f>IFERROR(__xludf.DUMMYFUNCTION("""COMPUTED_VALUE"""),"")</f>
        <v/>
      </c>
      <c r="B15171" s="87"/>
      <c r="C15171" s="87"/>
      <c r="D15171" s="87"/>
      <c r="E15171" s="87"/>
      <c r="F15171" s="87"/>
      <c r="G15171" s="87"/>
    </row>
    <row r="15172">
      <c r="A15172" s="86" t="str">
        <f>IFERROR(__xludf.DUMMYFUNCTION("""COMPUTED_VALUE"""),"")</f>
        <v/>
      </c>
      <c r="B15172" s="87"/>
      <c r="C15172" s="87"/>
      <c r="D15172" s="87"/>
      <c r="E15172" s="87"/>
      <c r="F15172" s="87"/>
      <c r="G15172" s="87"/>
    </row>
    <row r="15173">
      <c r="A15173" s="86" t="str">
        <f>IFERROR(__xludf.DUMMYFUNCTION("""COMPUTED_VALUE"""),"")</f>
        <v/>
      </c>
      <c r="B15173" s="87"/>
      <c r="C15173" s="87"/>
      <c r="D15173" s="87"/>
      <c r="E15173" s="87"/>
      <c r="F15173" s="87"/>
      <c r="G15173" s="87"/>
    </row>
    <row r="15174">
      <c r="A15174" s="86" t="str">
        <f>IFERROR(__xludf.DUMMYFUNCTION("""COMPUTED_VALUE"""),"")</f>
        <v/>
      </c>
      <c r="B15174" s="87"/>
      <c r="C15174" s="87"/>
      <c r="D15174" s="87"/>
      <c r="E15174" s="87"/>
      <c r="F15174" s="87"/>
      <c r="G15174" s="87"/>
    </row>
    <row r="15175">
      <c r="A15175" s="86" t="str">
        <f>IFERROR(__xludf.DUMMYFUNCTION("""COMPUTED_VALUE"""),"")</f>
        <v/>
      </c>
      <c r="B15175" s="87"/>
      <c r="C15175" s="87"/>
      <c r="D15175" s="87"/>
      <c r="E15175" s="87"/>
      <c r="F15175" s="87"/>
      <c r="G15175" s="87"/>
    </row>
    <row r="15176">
      <c r="A15176" s="86" t="str">
        <f>IFERROR(__xludf.DUMMYFUNCTION("""COMPUTED_VALUE"""),"")</f>
        <v/>
      </c>
      <c r="B15176" s="87"/>
      <c r="C15176" s="87"/>
      <c r="D15176" s="87"/>
      <c r="E15176" s="87"/>
      <c r="F15176" s="87"/>
      <c r="G15176" s="87"/>
    </row>
    <row r="15177">
      <c r="A15177" s="86" t="str">
        <f>IFERROR(__xludf.DUMMYFUNCTION("""COMPUTED_VALUE"""),"")</f>
        <v/>
      </c>
      <c r="B15177" s="87"/>
      <c r="C15177" s="87"/>
      <c r="D15177" s="87"/>
      <c r="E15177" s="87"/>
      <c r="F15177" s="87"/>
      <c r="G15177" s="87"/>
    </row>
    <row r="15178">
      <c r="A15178" s="86" t="str">
        <f>IFERROR(__xludf.DUMMYFUNCTION("""COMPUTED_VALUE"""),"")</f>
        <v/>
      </c>
      <c r="B15178" s="87"/>
      <c r="C15178" s="87"/>
      <c r="D15178" s="87"/>
      <c r="E15178" s="87"/>
      <c r="F15178" s="87"/>
      <c r="G15178" s="87"/>
    </row>
    <row r="15179">
      <c r="A15179" s="86" t="str">
        <f>IFERROR(__xludf.DUMMYFUNCTION("""COMPUTED_VALUE"""),"")</f>
        <v/>
      </c>
      <c r="B15179" s="87"/>
      <c r="C15179" s="87"/>
      <c r="D15179" s="87"/>
      <c r="E15179" s="87"/>
      <c r="F15179" s="87"/>
      <c r="G15179" s="87"/>
    </row>
    <row r="15180">
      <c r="A15180" s="86" t="str">
        <f>IFERROR(__xludf.DUMMYFUNCTION("""COMPUTED_VALUE"""),"")</f>
        <v/>
      </c>
      <c r="B15180" s="87"/>
      <c r="C15180" s="87"/>
      <c r="D15180" s="87"/>
      <c r="E15180" s="87"/>
      <c r="F15180" s="87"/>
      <c r="G15180" s="87"/>
    </row>
    <row r="15181">
      <c r="A15181" s="86" t="str">
        <f>IFERROR(__xludf.DUMMYFUNCTION("""COMPUTED_VALUE"""),"")</f>
        <v/>
      </c>
      <c r="B15181" s="87"/>
      <c r="C15181" s="87"/>
      <c r="D15181" s="87"/>
      <c r="E15181" s="87"/>
      <c r="F15181" s="87"/>
      <c r="G15181" s="87"/>
    </row>
    <row r="15182">
      <c r="A15182" s="86" t="str">
        <f>IFERROR(__xludf.DUMMYFUNCTION("""COMPUTED_VALUE"""),"")</f>
        <v/>
      </c>
      <c r="B15182" s="87"/>
      <c r="C15182" s="87"/>
      <c r="D15182" s="87"/>
      <c r="E15182" s="87"/>
      <c r="F15182" s="87"/>
      <c r="G15182" s="87"/>
    </row>
    <row r="15183">
      <c r="A15183" s="86" t="str">
        <f>IFERROR(__xludf.DUMMYFUNCTION("""COMPUTED_VALUE"""),"")</f>
        <v/>
      </c>
      <c r="B15183" s="87"/>
      <c r="C15183" s="87"/>
      <c r="D15183" s="87"/>
      <c r="E15183" s="87"/>
      <c r="F15183" s="87"/>
      <c r="G15183" s="87"/>
    </row>
    <row r="15184">
      <c r="A15184" s="86" t="str">
        <f>IFERROR(__xludf.DUMMYFUNCTION("""COMPUTED_VALUE"""),"")</f>
        <v/>
      </c>
      <c r="B15184" s="87"/>
      <c r="C15184" s="87"/>
      <c r="D15184" s="87"/>
      <c r="E15184" s="87"/>
      <c r="F15184" s="87"/>
      <c r="G15184" s="87"/>
    </row>
    <row r="15185">
      <c r="A15185" s="86" t="str">
        <f>IFERROR(__xludf.DUMMYFUNCTION("""COMPUTED_VALUE"""),"")</f>
        <v/>
      </c>
      <c r="B15185" s="87"/>
      <c r="C15185" s="87"/>
      <c r="D15185" s="87"/>
      <c r="E15185" s="87"/>
      <c r="F15185" s="87"/>
      <c r="G15185" s="87"/>
    </row>
    <row r="15186">
      <c r="A15186" s="86" t="str">
        <f>IFERROR(__xludf.DUMMYFUNCTION("""COMPUTED_VALUE"""),"")</f>
        <v/>
      </c>
      <c r="B15186" s="87"/>
      <c r="C15186" s="87"/>
      <c r="D15186" s="87"/>
      <c r="E15186" s="87"/>
      <c r="F15186" s="87"/>
      <c r="G15186" s="87"/>
    </row>
    <row r="15187">
      <c r="A15187" s="86" t="str">
        <f>IFERROR(__xludf.DUMMYFUNCTION("""COMPUTED_VALUE"""),"")</f>
        <v/>
      </c>
      <c r="B15187" s="87"/>
      <c r="C15187" s="87"/>
      <c r="D15187" s="87"/>
      <c r="E15187" s="87"/>
      <c r="F15187" s="87"/>
      <c r="G15187" s="87"/>
    </row>
    <row r="15188">
      <c r="A15188" s="86" t="str">
        <f>IFERROR(__xludf.DUMMYFUNCTION("""COMPUTED_VALUE"""),"")</f>
        <v/>
      </c>
      <c r="B15188" s="87"/>
      <c r="C15188" s="87"/>
      <c r="D15188" s="87"/>
      <c r="E15188" s="87"/>
      <c r="F15188" s="87"/>
      <c r="G15188" s="87"/>
    </row>
    <row r="15189">
      <c r="A15189" s="86" t="str">
        <f>IFERROR(__xludf.DUMMYFUNCTION("""COMPUTED_VALUE"""),"")</f>
        <v/>
      </c>
      <c r="B15189" s="87"/>
      <c r="C15189" s="87"/>
      <c r="D15189" s="87"/>
      <c r="E15189" s="87"/>
      <c r="F15189" s="87"/>
      <c r="G15189" s="87"/>
    </row>
    <row r="15190">
      <c r="A15190" s="86" t="str">
        <f>IFERROR(__xludf.DUMMYFUNCTION("""COMPUTED_VALUE"""),"")</f>
        <v/>
      </c>
      <c r="B15190" s="87"/>
      <c r="C15190" s="87"/>
      <c r="D15190" s="87"/>
      <c r="E15190" s="87"/>
      <c r="F15190" s="87"/>
      <c r="G15190" s="87"/>
    </row>
    <row r="15191">
      <c r="A15191" s="86" t="str">
        <f>IFERROR(__xludf.DUMMYFUNCTION("""COMPUTED_VALUE"""),"")</f>
        <v/>
      </c>
      <c r="B15191" s="87"/>
      <c r="C15191" s="87"/>
      <c r="D15191" s="87"/>
      <c r="E15191" s="87"/>
      <c r="F15191" s="87"/>
      <c r="G15191" s="87"/>
    </row>
    <row r="15192">
      <c r="A15192" s="86" t="str">
        <f>IFERROR(__xludf.DUMMYFUNCTION("""COMPUTED_VALUE"""),"")</f>
        <v/>
      </c>
      <c r="B15192" s="87"/>
      <c r="C15192" s="87"/>
      <c r="D15192" s="87"/>
      <c r="E15192" s="87"/>
      <c r="F15192" s="87"/>
      <c r="G15192" s="87"/>
    </row>
    <row r="15193">
      <c r="A15193" s="86" t="str">
        <f>IFERROR(__xludf.DUMMYFUNCTION("""COMPUTED_VALUE"""),"")</f>
        <v/>
      </c>
      <c r="B15193" s="87"/>
      <c r="C15193" s="87"/>
      <c r="D15193" s="87"/>
      <c r="E15193" s="87"/>
      <c r="F15193" s="87"/>
      <c r="G15193" s="87"/>
    </row>
    <row r="15194">
      <c r="A15194" s="86" t="str">
        <f>IFERROR(__xludf.DUMMYFUNCTION("""COMPUTED_VALUE"""),"")</f>
        <v/>
      </c>
      <c r="B15194" s="87"/>
      <c r="C15194" s="87"/>
      <c r="D15194" s="87"/>
      <c r="E15194" s="87"/>
      <c r="F15194" s="87"/>
      <c r="G15194" s="87"/>
    </row>
    <row r="15195">
      <c r="A15195" s="86" t="str">
        <f>IFERROR(__xludf.DUMMYFUNCTION("""COMPUTED_VALUE"""),"")</f>
        <v/>
      </c>
      <c r="B15195" s="87"/>
      <c r="C15195" s="87"/>
      <c r="D15195" s="87"/>
      <c r="E15195" s="87"/>
      <c r="F15195" s="87"/>
      <c r="G15195" s="87"/>
    </row>
    <row r="15196">
      <c r="A15196" s="86" t="str">
        <f>IFERROR(__xludf.DUMMYFUNCTION("""COMPUTED_VALUE"""),"")</f>
        <v/>
      </c>
      <c r="B15196" s="87"/>
      <c r="C15196" s="87"/>
      <c r="D15196" s="87"/>
      <c r="E15196" s="87"/>
      <c r="F15196" s="87"/>
      <c r="G15196" s="87"/>
    </row>
    <row r="15197">
      <c r="A15197" s="86" t="str">
        <f>IFERROR(__xludf.DUMMYFUNCTION("""COMPUTED_VALUE"""),"")</f>
        <v/>
      </c>
      <c r="B15197" s="87"/>
      <c r="C15197" s="87"/>
      <c r="D15197" s="87"/>
      <c r="E15197" s="87"/>
      <c r="F15197" s="87"/>
      <c r="G15197" s="87"/>
    </row>
    <row r="15198">
      <c r="A15198" s="86" t="str">
        <f>IFERROR(__xludf.DUMMYFUNCTION("""COMPUTED_VALUE"""),"")</f>
        <v/>
      </c>
      <c r="B15198" s="87"/>
      <c r="C15198" s="87"/>
      <c r="D15198" s="87"/>
      <c r="E15198" s="87"/>
      <c r="F15198" s="87"/>
      <c r="G15198" s="87"/>
    </row>
    <row r="15199">
      <c r="A15199" s="86" t="str">
        <f>IFERROR(__xludf.DUMMYFUNCTION("""COMPUTED_VALUE"""),"")</f>
        <v/>
      </c>
      <c r="B15199" s="87"/>
      <c r="C15199" s="87"/>
      <c r="D15199" s="87"/>
      <c r="E15199" s="87"/>
      <c r="F15199" s="87"/>
      <c r="G15199" s="87"/>
    </row>
    <row r="15200">
      <c r="A15200" s="86" t="str">
        <f>IFERROR(__xludf.DUMMYFUNCTION("""COMPUTED_VALUE"""),"")</f>
        <v/>
      </c>
      <c r="B15200" s="87"/>
      <c r="C15200" s="87"/>
      <c r="D15200" s="87"/>
      <c r="E15200" s="87"/>
      <c r="F15200" s="87"/>
      <c r="G15200" s="87"/>
    </row>
    <row r="15201">
      <c r="A15201" s="86" t="str">
        <f>IFERROR(__xludf.DUMMYFUNCTION("""COMPUTED_VALUE"""),"")</f>
        <v/>
      </c>
      <c r="B15201" s="87"/>
      <c r="C15201" s="87"/>
      <c r="D15201" s="87"/>
      <c r="E15201" s="87"/>
      <c r="F15201" s="87"/>
      <c r="G15201" s="87"/>
    </row>
    <row r="15202">
      <c r="A15202" s="86" t="str">
        <f>IFERROR(__xludf.DUMMYFUNCTION("""COMPUTED_VALUE"""),"")</f>
        <v/>
      </c>
      <c r="B15202" s="87"/>
      <c r="C15202" s="87"/>
      <c r="D15202" s="87"/>
      <c r="E15202" s="87"/>
      <c r="F15202" s="87"/>
      <c r="G15202" s="87"/>
    </row>
    <row r="15203">
      <c r="A15203" s="86" t="str">
        <f>IFERROR(__xludf.DUMMYFUNCTION("""COMPUTED_VALUE"""),"")</f>
        <v/>
      </c>
      <c r="B15203" s="87"/>
      <c r="C15203" s="87"/>
      <c r="D15203" s="87"/>
      <c r="E15203" s="87"/>
      <c r="F15203" s="87"/>
      <c r="G15203" s="87"/>
    </row>
    <row r="15204">
      <c r="A15204" s="86" t="str">
        <f>IFERROR(__xludf.DUMMYFUNCTION("""COMPUTED_VALUE"""),"")</f>
        <v/>
      </c>
      <c r="B15204" s="87"/>
      <c r="C15204" s="87"/>
      <c r="D15204" s="87"/>
      <c r="E15204" s="87"/>
      <c r="F15204" s="87"/>
      <c r="G15204" s="87"/>
    </row>
    <row r="15205">
      <c r="A15205" s="86" t="str">
        <f>IFERROR(__xludf.DUMMYFUNCTION("""COMPUTED_VALUE"""),"")</f>
        <v/>
      </c>
      <c r="B15205" s="87"/>
      <c r="C15205" s="87"/>
      <c r="D15205" s="87"/>
      <c r="E15205" s="87"/>
      <c r="F15205" s="87"/>
      <c r="G15205" s="87"/>
    </row>
    <row r="15206">
      <c r="A15206" s="86" t="str">
        <f>IFERROR(__xludf.DUMMYFUNCTION("""COMPUTED_VALUE"""),"")</f>
        <v/>
      </c>
      <c r="B15206" s="87"/>
      <c r="C15206" s="87"/>
      <c r="D15206" s="87"/>
      <c r="E15206" s="87"/>
      <c r="F15206" s="87"/>
      <c r="G15206" s="87"/>
    </row>
    <row r="15207">
      <c r="A15207" s="86" t="str">
        <f>IFERROR(__xludf.DUMMYFUNCTION("""COMPUTED_VALUE"""),"")</f>
        <v/>
      </c>
      <c r="B15207" s="87"/>
      <c r="C15207" s="87"/>
      <c r="D15207" s="87"/>
      <c r="E15207" s="87"/>
      <c r="F15207" s="87"/>
      <c r="G15207" s="87"/>
    </row>
    <row r="15208">
      <c r="A15208" s="86" t="str">
        <f>IFERROR(__xludf.DUMMYFUNCTION("""COMPUTED_VALUE"""),"")</f>
        <v/>
      </c>
      <c r="B15208" s="87"/>
      <c r="C15208" s="87"/>
      <c r="D15208" s="87"/>
      <c r="E15208" s="87"/>
      <c r="F15208" s="87"/>
      <c r="G15208" s="87"/>
    </row>
    <row r="15209">
      <c r="A15209" s="86" t="str">
        <f>IFERROR(__xludf.DUMMYFUNCTION("""COMPUTED_VALUE"""),"")</f>
        <v/>
      </c>
      <c r="B15209" s="87"/>
      <c r="C15209" s="87"/>
      <c r="D15209" s="87"/>
      <c r="E15209" s="87"/>
      <c r="F15209" s="87"/>
      <c r="G15209" s="87"/>
    </row>
    <row r="15210">
      <c r="A15210" s="86" t="str">
        <f>IFERROR(__xludf.DUMMYFUNCTION("""COMPUTED_VALUE"""),"")</f>
        <v/>
      </c>
      <c r="B15210" s="87"/>
      <c r="C15210" s="87"/>
      <c r="D15210" s="87"/>
      <c r="E15210" s="87"/>
      <c r="F15210" s="87"/>
      <c r="G15210" s="87"/>
    </row>
    <row r="15211">
      <c r="A15211" s="86" t="str">
        <f>IFERROR(__xludf.DUMMYFUNCTION("""COMPUTED_VALUE"""),"")</f>
        <v/>
      </c>
      <c r="B15211" s="87"/>
      <c r="C15211" s="87"/>
      <c r="D15211" s="87"/>
      <c r="E15211" s="87"/>
      <c r="F15211" s="87"/>
      <c r="G15211" s="87"/>
    </row>
    <row r="15212">
      <c r="A15212" s="86" t="str">
        <f>IFERROR(__xludf.DUMMYFUNCTION("""COMPUTED_VALUE"""),"")</f>
        <v/>
      </c>
      <c r="B15212" s="87"/>
      <c r="C15212" s="87"/>
      <c r="D15212" s="87"/>
      <c r="E15212" s="87"/>
      <c r="F15212" s="87"/>
      <c r="G15212" s="87"/>
    </row>
    <row r="15213">
      <c r="A15213" s="86" t="str">
        <f>IFERROR(__xludf.DUMMYFUNCTION("""COMPUTED_VALUE"""),"")</f>
        <v/>
      </c>
      <c r="B15213" s="87"/>
      <c r="C15213" s="87"/>
      <c r="D15213" s="87"/>
      <c r="E15213" s="87"/>
      <c r="F15213" s="87"/>
      <c r="G15213" s="87"/>
    </row>
    <row r="15214">
      <c r="A15214" s="86" t="str">
        <f>IFERROR(__xludf.DUMMYFUNCTION("""COMPUTED_VALUE"""),"")</f>
        <v/>
      </c>
      <c r="B15214" s="87"/>
      <c r="C15214" s="87"/>
      <c r="D15214" s="87"/>
      <c r="E15214" s="87"/>
      <c r="F15214" s="87"/>
      <c r="G15214" s="87"/>
    </row>
    <row r="15215">
      <c r="A15215" s="86" t="str">
        <f>IFERROR(__xludf.DUMMYFUNCTION("""COMPUTED_VALUE"""),"")</f>
        <v/>
      </c>
      <c r="B15215" s="87"/>
      <c r="C15215" s="87"/>
      <c r="D15215" s="87"/>
      <c r="E15215" s="87"/>
      <c r="F15215" s="87"/>
      <c r="G15215" s="87"/>
    </row>
    <row r="15216">
      <c r="A15216" s="86" t="str">
        <f>IFERROR(__xludf.DUMMYFUNCTION("""COMPUTED_VALUE"""),"")</f>
        <v/>
      </c>
      <c r="B15216" s="87"/>
      <c r="C15216" s="87"/>
      <c r="D15216" s="87"/>
      <c r="E15216" s="87"/>
      <c r="F15216" s="87"/>
      <c r="G15216" s="87"/>
    </row>
    <row r="15217">
      <c r="A15217" s="86" t="str">
        <f>IFERROR(__xludf.DUMMYFUNCTION("""COMPUTED_VALUE"""),"")</f>
        <v/>
      </c>
      <c r="B15217" s="87"/>
      <c r="C15217" s="87"/>
      <c r="D15217" s="87"/>
      <c r="E15217" s="87"/>
      <c r="F15217" s="87"/>
      <c r="G15217" s="87"/>
    </row>
    <row r="15218">
      <c r="A15218" s="86" t="str">
        <f>IFERROR(__xludf.DUMMYFUNCTION("""COMPUTED_VALUE"""),"")</f>
        <v/>
      </c>
      <c r="B15218" s="87"/>
      <c r="C15218" s="87"/>
      <c r="D15218" s="87"/>
      <c r="E15218" s="87"/>
      <c r="F15218" s="87"/>
      <c r="G15218" s="87"/>
    </row>
    <row r="15219">
      <c r="A15219" s="86" t="str">
        <f>IFERROR(__xludf.DUMMYFUNCTION("""COMPUTED_VALUE"""),"")</f>
        <v/>
      </c>
      <c r="B15219" s="87"/>
      <c r="C15219" s="87"/>
      <c r="D15219" s="87"/>
      <c r="E15219" s="87"/>
      <c r="F15219" s="87"/>
      <c r="G15219" s="87"/>
    </row>
    <row r="15220">
      <c r="A15220" s="86" t="str">
        <f>IFERROR(__xludf.DUMMYFUNCTION("""COMPUTED_VALUE"""),"")</f>
        <v/>
      </c>
      <c r="B15220" s="87"/>
      <c r="C15220" s="87"/>
      <c r="D15220" s="87"/>
      <c r="E15220" s="87"/>
      <c r="F15220" s="87"/>
      <c r="G15220" s="87"/>
    </row>
    <row r="15221">
      <c r="A15221" s="86" t="str">
        <f>IFERROR(__xludf.DUMMYFUNCTION("""COMPUTED_VALUE"""),"")</f>
        <v/>
      </c>
      <c r="B15221" s="87"/>
      <c r="C15221" s="87"/>
      <c r="D15221" s="87"/>
      <c r="E15221" s="87"/>
      <c r="F15221" s="87"/>
      <c r="G15221" s="87"/>
    </row>
    <row r="15222">
      <c r="A15222" s="86" t="str">
        <f>IFERROR(__xludf.DUMMYFUNCTION("""COMPUTED_VALUE"""),"")</f>
        <v/>
      </c>
      <c r="B15222" s="87"/>
      <c r="C15222" s="87"/>
      <c r="D15222" s="87"/>
      <c r="E15222" s="87"/>
      <c r="F15222" s="87"/>
      <c r="G15222" s="87"/>
    </row>
    <row r="15223">
      <c r="A15223" s="86" t="str">
        <f>IFERROR(__xludf.DUMMYFUNCTION("""COMPUTED_VALUE"""),"")</f>
        <v/>
      </c>
      <c r="B15223" s="87"/>
      <c r="C15223" s="87"/>
      <c r="D15223" s="87"/>
      <c r="E15223" s="87"/>
      <c r="F15223" s="87"/>
      <c r="G15223" s="87"/>
    </row>
    <row r="15224">
      <c r="A15224" s="86" t="str">
        <f>IFERROR(__xludf.DUMMYFUNCTION("""COMPUTED_VALUE"""),"")</f>
        <v/>
      </c>
      <c r="B15224" s="87"/>
      <c r="C15224" s="87"/>
      <c r="D15224" s="87"/>
      <c r="E15224" s="87"/>
      <c r="F15224" s="87"/>
      <c r="G15224" s="87"/>
    </row>
    <row r="15225">
      <c r="A15225" s="86" t="str">
        <f>IFERROR(__xludf.DUMMYFUNCTION("""COMPUTED_VALUE"""),"")</f>
        <v/>
      </c>
      <c r="B15225" s="87"/>
      <c r="C15225" s="87"/>
      <c r="D15225" s="87"/>
      <c r="E15225" s="87"/>
      <c r="F15225" s="87"/>
      <c r="G15225" s="87"/>
    </row>
    <row r="15226">
      <c r="A15226" s="86" t="str">
        <f>IFERROR(__xludf.DUMMYFUNCTION("""COMPUTED_VALUE"""),"")</f>
        <v/>
      </c>
      <c r="B15226" s="87"/>
      <c r="C15226" s="87"/>
      <c r="D15226" s="87"/>
      <c r="E15226" s="87"/>
      <c r="F15226" s="87"/>
      <c r="G15226" s="87"/>
    </row>
    <row r="15227">
      <c r="A15227" s="86" t="str">
        <f>IFERROR(__xludf.DUMMYFUNCTION("""COMPUTED_VALUE"""),"")</f>
        <v/>
      </c>
      <c r="B15227" s="87"/>
      <c r="C15227" s="87"/>
      <c r="D15227" s="87"/>
      <c r="E15227" s="87"/>
      <c r="F15227" s="87"/>
      <c r="G15227" s="87"/>
    </row>
    <row r="15228">
      <c r="A15228" s="86" t="str">
        <f>IFERROR(__xludf.DUMMYFUNCTION("""COMPUTED_VALUE"""),"")</f>
        <v/>
      </c>
      <c r="B15228" s="87"/>
      <c r="C15228" s="87"/>
      <c r="D15228" s="87"/>
      <c r="E15228" s="87"/>
      <c r="F15228" s="87"/>
      <c r="G15228" s="87"/>
    </row>
    <row r="15229">
      <c r="A15229" s="86" t="str">
        <f>IFERROR(__xludf.DUMMYFUNCTION("""COMPUTED_VALUE"""),"")</f>
        <v/>
      </c>
      <c r="B15229" s="87"/>
      <c r="C15229" s="87"/>
      <c r="D15229" s="87"/>
      <c r="E15229" s="87"/>
      <c r="F15229" s="87"/>
      <c r="G15229" s="87"/>
    </row>
    <row r="15230">
      <c r="A15230" s="86" t="str">
        <f>IFERROR(__xludf.DUMMYFUNCTION("""COMPUTED_VALUE"""),"")</f>
        <v/>
      </c>
      <c r="B15230" s="87"/>
      <c r="C15230" s="87"/>
      <c r="D15230" s="87"/>
      <c r="E15230" s="87"/>
      <c r="F15230" s="87"/>
      <c r="G15230" s="87"/>
    </row>
    <row r="15231">
      <c r="A15231" s="86" t="str">
        <f>IFERROR(__xludf.DUMMYFUNCTION("""COMPUTED_VALUE"""),"")</f>
        <v/>
      </c>
      <c r="B15231" s="87"/>
      <c r="C15231" s="87"/>
      <c r="D15231" s="87"/>
      <c r="E15231" s="87"/>
      <c r="F15231" s="87"/>
      <c r="G15231" s="87"/>
    </row>
    <row r="15232">
      <c r="A15232" s="86" t="str">
        <f>IFERROR(__xludf.DUMMYFUNCTION("""COMPUTED_VALUE"""),"")</f>
        <v/>
      </c>
      <c r="B15232" s="87"/>
      <c r="C15232" s="87"/>
      <c r="D15232" s="87"/>
      <c r="E15232" s="87"/>
      <c r="F15232" s="87"/>
      <c r="G15232" s="87"/>
    </row>
    <row r="15233">
      <c r="A15233" s="86" t="str">
        <f>IFERROR(__xludf.DUMMYFUNCTION("""COMPUTED_VALUE"""),"")</f>
        <v/>
      </c>
      <c r="B15233" s="87"/>
      <c r="C15233" s="87"/>
      <c r="D15233" s="87"/>
      <c r="E15233" s="87"/>
      <c r="F15233" s="87"/>
      <c r="G15233" s="87"/>
    </row>
    <row r="15234">
      <c r="A15234" s="86" t="str">
        <f>IFERROR(__xludf.DUMMYFUNCTION("""COMPUTED_VALUE"""),"")</f>
        <v/>
      </c>
      <c r="B15234" s="87"/>
      <c r="C15234" s="87"/>
      <c r="D15234" s="87"/>
      <c r="E15234" s="87"/>
      <c r="F15234" s="87"/>
      <c r="G15234" s="87"/>
    </row>
    <row r="15235">
      <c r="A15235" s="86" t="str">
        <f>IFERROR(__xludf.DUMMYFUNCTION("""COMPUTED_VALUE"""),"")</f>
        <v/>
      </c>
      <c r="B15235" s="87"/>
      <c r="C15235" s="87"/>
      <c r="D15235" s="87"/>
      <c r="E15235" s="87"/>
      <c r="F15235" s="87"/>
      <c r="G15235" s="87"/>
    </row>
    <row r="15236">
      <c r="A15236" s="86" t="str">
        <f>IFERROR(__xludf.DUMMYFUNCTION("""COMPUTED_VALUE"""),"")</f>
        <v/>
      </c>
      <c r="B15236" s="87"/>
      <c r="C15236" s="87"/>
      <c r="D15236" s="87"/>
      <c r="E15236" s="87"/>
      <c r="F15236" s="87"/>
      <c r="G15236" s="87"/>
    </row>
    <row r="15237">
      <c r="A15237" s="86" t="str">
        <f>IFERROR(__xludf.DUMMYFUNCTION("""COMPUTED_VALUE"""),"")</f>
        <v/>
      </c>
      <c r="B15237" s="87"/>
      <c r="C15237" s="87"/>
      <c r="D15237" s="87"/>
      <c r="E15237" s="87"/>
      <c r="F15237" s="87"/>
      <c r="G15237" s="87"/>
    </row>
    <row r="15238">
      <c r="A15238" s="86" t="str">
        <f>IFERROR(__xludf.DUMMYFUNCTION("""COMPUTED_VALUE"""),"")</f>
        <v/>
      </c>
      <c r="B15238" s="87"/>
      <c r="C15238" s="87"/>
      <c r="D15238" s="87"/>
      <c r="E15238" s="87"/>
      <c r="F15238" s="87"/>
      <c r="G15238" s="87"/>
    </row>
    <row r="15239">
      <c r="A15239" s="86" t="str">
        <f>IFERROR(__xludf.DUMMYFUNCTION("""COMPUTED_VALUE"""),"")</f>
        <v/>
      </c>
      <c r="B15239" s="87"/>
      <c r="C15239" s="87"/>
      <c r="D15239" s="87"/>
      <c r="E15239" s="87"/>
      <c r="F15239" s="87"/>
      <c r="G15239" s="87"/>
    </row>
    <row r="15240">
      <c r="A15240" s="86" t="str">
        <f>IFERROR(__xludf.DUMMYFUNCTION("""COMPUTED_VALUE"""),"")</f>
        <v/>
      </c>
      <c r="B15240" s="87"/>
      <c r="C15240" s="87"/>
      <c r="D15240" s="87"/>
      <c r="E15240" s="87"/>
      <c r="F15240" s="87"/>
      <c r="G15240" s="87"/>
    </row>
    <row r="15241">
      <c r="A15241" s="86" t="str">
        <f>IFERROR(__xludf.DUMMYFUNCTION("""COMPUTED_VALUE"""),"")</f>
        <v/>
      </c>
      <c r="B15241" s="87"/>
      <c r="C15241" s="87"/>
      <c r="D15241" s="87"/>
      <c r="E15241" s="87"/>
      <c r="F15241" s="87"/>
      <c r="G15241" s="87"/>
    </row>
    <row r="15242">
      <c r="A15242" s="86" t="str">
        <f>IFERROR(__xludf.DUMMYFUNCTION("""COMPUTED_VALUE"""),"")</f>
        <v/>
      </c>
      <c r="B15242" s="87"/>
      <c r="C15242" s="87"/>
      <c r="D15242" s="87"/>
      <c r="E15242" s="87"/>
      <c r="F15242" s="87"/>
      <c r="G15242" s="87"/>
    </row>
    <row r="15243">
      <c r="A15243" s="86" t="str">
        <f>IFERROR(__xludf.DUMMYFUNCTION("""COMPUTED_VALUE"""),"")</f>
        <v/>
      </c>
      <c r="B15243" s="87"/>
      <c r="C15243" s="87"/>
      <c r="D15243" s="87"/>
      <c r="E15243" s="87"/>
      <c r="F15243" s="87"/>
      <c r="G15243" s="87"/>
    </row>
    <row r="15244">
      <c r="A15244" s="86" t="str">
        <f>IFERROR(__xludf.DUMMYFUNCTION("""COMPUTED_VALUE"""),"")</f>
        <v/>
      </c>
      <c r="B15244" s="87"/>
      <c r="C15244" s="87"/>
      <c r="D15244" s="87"/>
      <c r="E15244" s="87"/>
      <c r="F15244" s="87"/>
      <c r="G15244" s="87"/>
    </row>
    <row r="15245">
      <c r="A15245" s="86" t="str">
        <f>IFERROR(__xludf.DUMMYFUNCTION("""COMPUTED_VALUE"""),"")</f>
        <v/>
      </c>
      <c r="B15245" s="87"/>
      <c r="C15245" s="87"/>
      <c r="D15245" s="87"/>
      <c r="E15245" s="87"/>
      <c r="F15245" s="87"/>
      <c r="G15245" s="87"/>
    </row>
    <row r="15246">
      <c r="A15246" s="86" t="str">
        <f>IFERROR(__xludf.DUMMYFUNCTION("""COMPUTED_VALUE"""),"")</f>
        <v/>
      </c>
      <c r="B15246" s="87"/>
      <c r="C15246" s="87"/>
      <c r="D15246" s="87"/>
      <c r="E15246" s="87"/>
      <c r="F15246" s="87"/>
      <c r="G15246" s="87"/>
    </row>
    <row r="15247">
      <c r="A15247" s="86" t="str">
        <f>IFERROR(__xludf.DUMMYFUNCTION("""COMPUTED_VALUE"""),"")</f>
        <v/>
      </c>
      <c r="B15247" s="87"/>
      <c r="C15247" s="87"/>
      <c r="D15247" s="87"/>
      <c r="E15247" s="87"/>
      <c r="F15247" s="87"/>
      <c r="G15247" s="87"/>
    </row>
    <row r="15248">
      <c r="A15248" s="86" t="str">
        <f>IFERROR(__xludf.DUMMYFUNCTION("""COMPUTED_VALUE"""),"")</f>
        <v/>
      </c>
      <c r="B15248" s="87"/>
      <c r="C15248" s="87"/>
      <c r="D15248" s="87"/>
      <c r="E15248" s="87"/>
      <c r="F15248" s="87"/>
      <c r="G15248" s="87"/>
    </row>
    <row r="15249">
      <c r="A15249" s="86" t="str">
        <f>IFERROR(__xludf.DUMMYFUNCTION("""COMPUTED_VALUE"""),"")</f>
        <v/>
      </c>
      <c r="B15249" s="87"/>
      <c r="C15249" s="87"/>
      <c r="D15249" s="87"/>
      <c r="E15249" s="87"/>
      <c r="F15249" s="87"/>
      <c r="G15249" s="87"/>
    </row>
    <row r="15250">
      <c r="A15250" s="86" t="str">
        <f>IFERROR(__xludf.DUMMYFUNCTION("""COMPUTED_VALUE"""),"")</f>
        <v/>
      </c>
      <c r="B15250" s="87"/>
      <c r="C15250" s="87"/>
      <c r="D15250" s="87"/>
      <c r="E15250" s="87"/>
      <c r="F15250" s="87"/>
      <c r="G15250" s="87"/>
    </row>
    <row r="15251">
      <c r="A15251" s="86" t="str">
        <f>IFERROR(__xludf.DUMMYFUNCTION("""COMPUTED_VALUE"""),"")</f>
        <v/>
      </c>
      <c r="B15251" s="87"/>
      <c r="C15251" s="87"/>
      <c r="D15251" s="87"/>
      <c r="E15251" s="87"/>
      <c r="F15251" s="87"/>
      <c r="G15251" s="87"/>
    </row>
    <row r="15252">
      <c r="A15252" s="86" t="str">
        <f>IFERROR(__xludf.DUMMYFUNCTION("""COMPUTED_VALUE"""),"")</f>
        <v/>
      </c>
      <c r="B15252" s="87"/>
      <c r="C15252" s="87"/>
      <c r="D15252" s="87"/>
      <c r="E15252" s="87"/>
      <c r="F15252" s="87"/>
      <c r="G15252" s="87"/>
    </row>
    <row r="15253">
      <c r="A15253" s="86" t="str">
        <f>IFERROR(__xludf.DUMMYFUNCTION("""COMPUTED_VALUE"""),"")</f>
        <v/>
      </c>
      <c r="B15253" s="87"/>
      <c r="C15253" s="87"/>
      <c r="D15253" s="87"/>
      <c r="E15253" s="87"/>
      <c r="F15253" s="87"/>
      <c r="G15253" s="87"/>
    </row>
    <row r="15254">
      <c r="A15254" s="86" t="str">
        <f>IFERROR(__xludf.DUMMYFUNCTION("""COMPUTED_VALUE"""),"")</f>
        <v/>
      </c>
      <c r="B15254" s="87"/>
      <c r="C15254" s="87"/>
      <c r="D15254" s="87"/>
      <c r="E15254" s="87"/>
      <c r="F15254" s="87"/>
      <c r="G15254" s="87"/>
    </row>
    <row r="15255">
      <c r="A15255" s="86" t="str">
        <f>IFERROR(__xludf.DUMMYFUNCTION("""COMPUTED_VALUE"""),"")</f>
        <v/>
      </c>
      <c r="B15255" s="87"/>
      <c r="C15255" s="87"/>
      <c r="D15255" s="87"/>
      <c r="E15255" s="87"/>
      <c r="F15255" s="87"/>
      <c r="G15255" s="87"/>
    </row>
    <row r="15256">
      <c r="A15256" s="86" t="str">
        <f>IFERROR(__xludf.DUMMYFUNCTION("""COMPUTED_VALUE"""),"")</f>
        <v/>
      </c>
      <c r="B15256" s="87"/>
      <c r="C15256" s="87"/>
      <c r="D15256" s="87"/>
      <c r="E15256" s="87"/>
      <c r="F15256" s="87"/>
      <c r="G15256" s="87"/>
    </row>
    <row r="15257">
      <c r="A15257" s="86" t="str">
        <f>IFERROR(__xludf.DUMMYFUNCTION("""COMPUTED_VALUE"""),"")</f>
        <v/>
      </c>
      <c r="B15257" s="87"/>
      <c r="C15257" s="87"/>
      <c r="D15257" s="87"/>
      <c r="E15257" s="87"/>
      <c r="F15257" s="87"/>
      <c r="G15257" s="87"/>
    </row>
    <row r="15258">
      <c r="A15258" s="86" t="str">
        <f>IFERROR(__xludf.DUMMYFUNCTION("""COMPUTED_VALUE"""),"")</f>
        <v/>
      </c>
      <c r="B15258" s="87"/>
      <c r="C15258" s="87"/>
      <c r="D15258" s="87"/>
      <c r="E15258" s="87"/>
      <c r="F15258" s="87"/>
      <c r="G15258" s="87"/>
    </row>
    <row r="15259">
      <c r="A15259" s="86" t="str">
        <f>IFERROR(__xludf.DUMMYFUNCTION("""COMPUTED_VALUE"""),"")</f>
        <v/>
      </c>
      <c r="B15259" s="87"/>
      <c r="C15259" s="87"/>
      <c r="D15259" s="87"/>
      <c r="E15259" s="87"/>
      <c r="F15259" s="87"/>
      <c r="G15259" s="87"/>
    </row>
    <row r="15260">
      <c r="A15260" s="86" t="str">
        <f>IFERROR(__xludf.DUMMYFUNCTION("""COMPUTED_VALUE"""),"")</f>
        <v/>
      </c>
      <c r="B15260" s="87"/>
      <c r="C15260" s="87"/>
      <c r="D15260" s="87"/>
      <c r="E15260" s="87"/>
      <c r="F15260" s="87"/>
      <c r="G15260" s="87"/>
    </row>
    <row r="15261">
      <c r="A15261" s="86" t="str">
        <f>IFERROR(__xludf.DUMMYFUNCTION("""COMPUTED_VALUE"""),"")</f>
        <v/>
      </c>
      <c r="B15261" s="87"/>
      <c r="C15261" s="87"/>
      <c r="D15261" s="87"/>
      <c r="E15261" s="87"/>
      <c r="F15261" s="87"/>
      <c r="G15261" s="87"/>
    </row>
    <row r="15262">
      <c r="A15262" s="86" t="str">
        <f>IFERROR(__xludf.DUMMYFUNCTION("""COMPUTED_VALUE"""),"")</f>
        <v/>
      </c>
      <c r="B15262" s="87"/>
      <c r="C15262" s="87"/>
      <c r="D15262" s="87"/>
      <c r="E15262" s="87"/>
      <c r="F15262" s="87"/>
      <c r="G15262" s="87"/>
    </row>
    <row r="15263">
      <c r="A15263" s="86" t="str">
        <f>IFERROR(__xludf.DUMMYFUNCTION("""COMPUTED_VALUE"""),"")</f>
        <v/>
      </c>
      <c r="B15263" s="87"/>
      <c r="C15263" s="87"/>
      <c r="D15263" s="87"/>
      <c r="E15263" s="87"/>
      <c r="F15263" s="87"/>
      <c r="G15263" s="87"/>
    </row>
    <row r="15264">
      <c r="A15264" s="86" t="str">
        <f>IFERROR(__xludf.DUMMYFUNCTION("""COMPUTED_VALUE"""),"")</f>
        <v/>
      </c>
      <c r="B15264" s="87"/>
      <c r="C15264" s="87"/>
      <c r="D15264" s="87"/>
      <c r="E15264" s="87"/>
      <c r="F15264" s="87"/>
      <c r="G15264" s="87"/>
    </row>
    <row r="15265">
      <c r="A15265" s="86" t="str">
        <f>IFERROR(__xludf.DUMMYFUNCTION("""COMPUTED_VALUE"""),"")</f>
        <v/>
      </c>
      <c r="B15265" s="87"/>
      <c r="C15265" s="87"/>
      <c r="D15265" s="87"/>
      <c r="E15265" s="87"/>
      <c r="F15265" s="87"/>
      <c r="G15265" s="87"/>
    </row>
    <row r="15266">
      <c r="A15266" s="86" t="str">
        <f>IFERROR(__xludf.DUMMYFUNCTION("""COMPUTED_VALUE"""),"")</f>
        <v/>
      </c>
      <c r="B15266" s="87"/>
      <c r="C15266" s="87"/>
      <c r="D15266" s="87"/>
      <c r="E15266" s="87"/>
      <c r="F15266" s="87"/>
      <c r="G15266" s="87"/>
    </row>
    <row r="15267">
      <c r="A15267" s="86" t="str">
        <f>IFERROR(__xludf.DUMMYFUNCTION("""COMPUTED_VALUE"""),"")</f>
        <v/>
      </c>
      <c r="B15267" s="87"/>
      <c r="C15267" s="87"/>
      <c r="D15267" s="87"/>
      <c r="E15267" s="87"/>
      <c r="F15267" s="87"/>
      <c r="G15267" s="87"/>
    </row>
    <row r="15268">
      <c r="A15268" s="86" t="str">
        <f>IFERROR(__xludf.DUMMYFUNCTION("""COMPUTED_VALUE"""),"")</f>
        <v/>
      </c>
      <c r="B15268" s="87"/>
      <c r="C15268" s="87"/>
      <c r="D15268" s="87"/>
      <c r="E15268" s="87"/>
      <c r="F15268" s="87"/>
      <c r="G15268" s="87"/>
    </row>
    <row r="15269">
      <c r="A15269" s="86" t="str">
        <f>IFERROR(__xludf.DUMMYFUNCTION("""COMPUTED_VALUE"""),"")</f>
        <v/>
      </c>
      <c r="B15269" s="87"/>
      <c r="C15269" s="87"/>
      <c r="D15269" s="87"/>
      <c r="E15269" s="87"/>
      <c r="F15269" s="87"/>
      <c r="G15269" s="87"/>
    </row>
    <row r="15270">
      <c r="A15270" s="86" t="str">
        <f>IFERROR(__xludf.DUMMYFUNCTION("""COMPUTED_VALUE"""),"")</f>
        <v/>
      </c>
      <c r="B15270" s="87"/>
      <c r="C15270" s="87"/>
      <c r="D15270" s="87"/>
      <c r="E15270" s="87"/>
      <c r="F15270" s="87"/>
      <c r="G15270" s="87"/>
    </row>
    <row r="15271">
      <c r="A15271" s="86" t="str">
        <f>IFERROR(__xludf.DUMMYFUNCTION("""COMPUTED_VALUE"""),"")</f>
        <v/>
      </c>
      <c r="B15271" s="87"/>
      <c r="C15271" s="87"/>
      <c r="D15271" s="87"/>
      <c r="E15271" s="87"/>
      <c r="F15271" s="87"/>
      <c r="G15271" s="87"/>
    </row>
    <row r="15272">
      <c r="A15272" s="86" t="str">
        <f>IFERROR(__xludf.DUMMYFUNCTION("""COMPUTED_VALUE"""),"")</f>
        <v/>
      </c>
      <c r="B15272" s="87"/>
      <c r="C15272" s="87"/>
      <c r="D15272" s="87"/>
      <c r="E15272" s="87"/>
      <c r="F15272" s="87"/>
      <c r="G15272" s="87"/>
    </row>
    <row r="15273">
      <c r="A15273" s="86" t="str">
        <f>IFERROR(__xludf.DUMMYFUNCTION("""COMPUTED_VALUE"""),"")</f>
        <v/>
      </c>
      <c r="B15273" s="87"/>
      <c r="C15273" s="87"/>
      <c r="D15273" s="87"/>
      <c r="E15273" s="87"/>
      <c r="F15273" s="87"/>
      <c r="G15273" s="87"/>
    </row>
    <row r="15274">
      <c r="A15274" s="86" t="str">
        <f>IFERROR(__xludf.DUMMYFUNCTION("""COMPUTED_VALUE"""),"")</f>
        <v/>
      </c>
      <c r="B15274" s="87"/>
      <c r="C15274" s="87"/>
      <c r="D15274" s="87"/>
      <c r="E15274" s="87"/>
      <c r="F15274" s="87"/>
      <c r="G15274" s="87"/>
    </row>
    <row r="15275">
      <c r="A15275" s="86" t="str">
        <f>IFERROR(__xludf.DUMMYFUNCTION("""COMPUTED_VALUE"""),"")</f>
        <v/>
      </c>
      <c r="B15275" s="87"/>
      <c r="C15275" s="87"/>
      <c r="D15275" s="87"/>
      <c r="E15275" s="87"/>
      <c r="F15275" s="87"/>
      <c r="G15275" s="87"/>
    </row>
    <row r="15276">
      <c r="A15276" s="86" t="str">
        <f>IFERROR(__xludf.DUMMYFUNCTION("""COMPUTED_VALUE"""),"")</f>
        <v/>
      </c>
      <c r="B15276" s="87"/>
      <c r="C15276" s="87"/>
      <c r="D15276" s="87"/>
      <c r="E15276" s="87"/>
      <c r="F15276" s="87"/>
      <c r="G15276" s="87"/>
    </row>
    <row r="15277">
      <c r="A15277" s="86" t="str">
        <f>IFERROR(__xludf.DUMMYFUNCTION("""COMPUTED_VALUE"""),"")</f>
        <v/>
      </c>
      <c r="B15277" s="87"/>
      <c r="C15277" s="87"/>
      <c r="D15277" s="87"/>
      <c r="E15277" s="87"/>
      <c r="F15277" s="87"/>
      <c r="G15277" s="87"/>
    </row>
    <row r="15278">
      <c r="A15278" s="86" t="str">
        <f>IFERROR(__xludf.DUMMYFUNCTION("""COMPUTED_VALUE"""),"")</f>
        <v/>
      </c>
      <c r="B15278" s="87"/>
      <c r="C15278" s="87"/>
      <c r="D15278" s="87"/>
      <c r="E15278" s="87"/>
      <c r="F15278" s="87"/>
      <c r="G15278" s="87"/>
    </row>
    <row r="15279">
      <c r="A15279" s="86" t="str">
        <f>IFERROR(__xludf.DUMMYFUNCTION("""COMPUTED_VALUE"""),"")</f>
        <v/>
      </c>
      <c r="B15279" s="87"/>
      <c r="C15279" s="87"/>
      <c r="D15279" s="87"/>
      <c r="E15279" s="87"/>
      <c r="F15279" s="87"/>
      <c r="G15279" s="87"/>
    </row>
    <row r="15280">
      <c r="A15280" s="86" t="str">
        <f>IFERROR(__xludf.DUMMYFUNCTION("""COMPUTED_VALUE"""),"")</f>
        <v/>
      </c>
      <c r="B15280" s="87"/>
      <c r="C15280" s="87"/>
      <c r="D15280" s="87"/>
      <c r="E15280" s="87"/>
      <c r="F15280" s="87"/>
      <c r="G15280" s="87"/>
    </row>
    <row r="15281">
      <c r="A15281" s="86" t="str">
        <f>IFERROR(__xludf.DUMMYFUNCTION("""COMPUTED_VALUE"""),"")</f>
        <v/>
      </c>
      <c r="B15281" s="87"/>
      <c r="C15281" s="87"/>
      <c r="D15281" s="87"/>
      <c r="E15281" s="87"/>
      <c r="F15281" s="87"/>
      <c r="G15281" s="87"/>
    </row>
    <row r="15282">
      <c r="A15282" s="86" t="str">
        <f>IFERROR(__xludf.DUMMYFUNCTION("""COMPUTED_VALUE"""),"")</f>
        <v/>
      </c>
      <c r="B15282" s="87"/>
      <c r="C15282" s="87"/>
      <c r="D15282" s="87"/>
      <c r="E15282" s="87"/>
      <c r="F15282" s="87"/>
      <c r="G15282" s="87"/>
    </row>
    <row r="15283">
      <c r="A15283" s="86" t="str">
        <f>IFERROR(__xludf.DUMMYFUNCTION("""COMPUTED_VALUE"""),"")</f>
        <v/>
      </c>
      <c r="B15283" s="87"/>
      <c r="C15283" s="87"/>
      <c r="D15283" s="87"/>
      <c r="E15283" s="87"/>
      <c r="F15283" s="87"/>
      <c r="G15283" s="87"/>
    </row>
    <row r="15284">
      <c r="A15284" s="86" t="str">
        <f>IFERROR(__xludf.DUMMYFUNCTION("""COMPUTED_VALUE"""),"")</f>
        <v/>
      </c>
      <c r="B15284" s="87"/>
      <c r="C15284" s="87"/>
      <c r="D15284" s="87"/>
      <c r="E15284" s="87"/>
      <c r="F15284" s="87"/>
      <c r="G15284" s="87"/>
    </row>
    <row r="15285">
      <c r="A15285" s="86" t="str">
        <f>IFERROR(__xludf.DUMMYFUNCTION("""COMPUTED_VALUE"""),"")</f>
        <v/>
      </c>
      <c r="B15285" s="87"/>
      <c r="C15285" s="87"/>
      <c r="D15285" s="87"/>
      <c r="E15285" s="87"/>
      <c r="F15285" s="87"/>
      <c r="G15285" s="87"/>
    </row>
    <row r="15286">
      <c r="A15286" s="86" t="str">
        <f>IFERROR(__xludf.DUMMYFUNCTION("""COMPUTED_VALUE"""),"")</f>
        <v/>
      </c>
      <c r="B15286" s="87"/>
      <c r="C15286" s="87"/>
      <c r="D15286" s="87"/>
      <c r="E15286" s="87"/>
      <c r="F15286" s="87"/>
      <c r="G15286" s="87"/>
    </row>
    <row r="15287">
      <c r="A15287" s="86" t="str">
        <f>IFERROR(__xludf.DUMMYFUNCTION("""COMPUTED_VALUE"""),"")</f>
        <v/>
      </c>
      <c r="B15287" s="87"/>
      <c r="C15287" s="87"/>
      <c r="D15287" s="87"/>
      <c r="E15287" s="87"/>
      <c r="F15287" s="87"/>
      <c r="G15287" s="87"/>
    </row>
    <row r="15288">
      <c r="A15288" s="86" t="str">
        <f>IFERROR(__xludf.DUMMYFUNCTION("""COMPUTED_VALUE"""),"")</f>
        <v/>
      </c>
      <c r="B15288" s="87"/>
      <c r="C15288" s="87"/>
      <c r="D15288" s="87"/>
      <c r="E15288" s="87"/>
      <c r="F15288" s="87"/>
      <c r="G15288" s="87"/>
    </row>
    <row r="15289">
      <c r="A15289" s="86" t="str">
        <f>IFERROR(__xludf.DUMMYFUNCTION("""COMPUTED_VALUE"""),"")</f>
        <v/>
      </c>
      <c r="B15289" s="87"/>
      <c r="C15289" s="87"/>
      <c r="D15289" s="87"/>
      <c r="E15289" s="87"/>
      <c r="F15289" s="87"/>
      <c r="G15289" s="87"/>
    </row>
    <row r="15290">
      <c r="A15290" s="86" t="str">
        <f>IFERROR(__xludf.DUMMYFUNCTION("""COMPUTED_VALUE"""),"")</f>
        <v/>
      </c>
      <c r="B15290" s="87"/>
      <c r="C15290" s="87"/>
      <c r="D15290" s="87"/>
      <c r="E15290" s="87"/>
      <c r="F15290" s="87"/>
      <c r="G15290" s="87"/>
    </row>
    <row r="15291">
      <c r="A15291" s="86" t="str">
        <f>IFERROR(__xludf.DUMMYFUNCTION("""COMPUTED_VALUE"""),"")</f>
        <v/>
      </c>
      <c r="B15291" s="87"/>
      <c r="C15291" s="87"/>
      <c r="D15291" s="87"/>
      <c r="E15291" s="87"/>
      <c r="F15291" s="87"/>
      <c r="G15291" s="87"/>
    </row>
    <row r="15292">
      <c r="A15292" s="86" t="str">
        <f>IFERROR(__xludf.DUMMYFUNCTION("""COMPUTED_VALUE"""),"")</f>
        <v/>
      </c>
      <c r="B15292" s="87"/>
      <c r="C15292" s="87"/>
      <c r="D15292" s="87"/>
      <c r="E15292" s="87"/>
      <c r="F15292" s="87"/>
      <c r="G15292" s="87"/>
    </row>
    <row r="15293">
      <c r="A15293" s="86" t="str">
        <f>IFERROR(__xludf.DUMMYFUNCTION("""COMPUTED_VALUE"""),"")</f>
        <v/>
      </c>
      <c r="B15293" s="87"/>
      <c r="C15293" s="87"/>
      <c r="D15293" s="87"/>
      <c r="E15293" s="87"/>
      <c r="F15293" s="87"/>
      <c r="G15293" s="87"/>
    </row>
    <row r="15294">
      <c r="A15294" s="86" t="str">
        <f>IFERROR(__xludf.DUMMYFUNCTION("""COMPUTED_VALUE"""),"")</f>
        <v/>
      </c>
      <c r="B15294" s="87"/>
      <c r="C15294" s="87"/>
      <c r="D15294" s="87"/>
      <c r="E15294" s="87"/>
      <c r="F15294" s="87"/>
      <c r="G15294" s="87"/>
    </row>
    <row r="15295">
      <c r="A15295" s="86" t="str">
        <f>IFERROR(__xludf.DUMMYFUNCTION("""COMPUTED_VALUE"""),"")</f>
        <v/>
      </c>
      <c r="B15295" s="87"/>
      <c r="C15295" s="87"/>
      <c r="D15295" s="87"/>
      <c r="E15295" s="87"/>
      <c r="F15295" s="87"/>
      <c r="G15295" s="87"/>
    </row>
    <row r="15296">
      <c r="A15296" s="86" t="str">
        <f>IFERROR(__xludf.DUMMYFUNCTION("""COMPUTED_VALUE"""),"")</f>
        <v/>
      </c>
      <c r="B15296" s="87"/>
      <c r="C15296" s="87"/>
      <c r="D15296" s="87"/>
      <c r="E15296" s="87"/>
      <c r="F15296" s="87"/>
      <c r="G15296" s="87"/>
    </row>
    <row r="15297">
      <c r="A15297" s="86" t="str">
        <f>IFERROR(__xludf.DUMMYFUNCTION("""COMPUTED_VALUE"""),"")</f>
        <v/>
      </c>
      <c r="B15297" s="87"/>
      <c r="C15297" s="87"/>
      <c r="D15297" s="87"/>
      <c r="E15297" s="87"/>
      <c r="F15297" s="87"/>
      <c r="G15297" s="87"/>
    </row>
    <row r="15298">
      <c r="A15298" s="86" t="str">
        <f>IFERROR(__xludf.DUMMYFUNCTION("""COMPUTED_VALUE"""),"")</f>
        <v/>
      </c>
      <c r="B15298" s="87"/>
      <c r="C15298" s="87"/>
      <c r="D15298" s="87"/>
      <c r="E15298" s="87"/>
      <c r="F15298" s="87"/>
      <c r="G15298" s="87"/>
    </row>
    <row r="15299">
      <c r="A15299" s="86" t="str">
        <f>IFERROR(__xludf.DUMMYFUNCTION("""COMPUTED_VALUE"""),"")</f>
        <v/>
      </c>
      <c r="B15299" s="87"/>
      <c r="C15299" s="87"/>
      <c r="D15299" s="87"/>
      <c r="E15299" s="87"/>
      <c r="F15299" s="87"/>
      <c r="G15299" s="87"/>
    </row>
    <row r="15300">
      <c r="A15300" s="86" t="str">
        <f>IFERROR(__xludf.DUMMYFUNCTION("""COMPUTED_VALUE"""),"")</f>
        <v/>
      </c>
      <c r="B15300" s="87"/>
      <c r="C15300" s="87"/>
      <c r="D15300" s="87"/>
      <c r="E15300" s="87"/>
      <c r="F15300" s="87"/>
      <c r="G15300" s="87"/>
    </row>
    <row r="15301">
      <c r="A15301" s="86" t="str">
        <f>IFERROR(__xludf.DUMMYFUNCTION("""COMPUTED_VALUE"""),"")</f>
        <v/>
      </c>
      <c r="B15301" s="87"/>
      <c r="C15301" s="87"/>
      <c r="D15301" s="87"/>
      <c r="E15301" s="87"/>
      <c r="F15301" s="87"/>
      <c r="G15301" s="87"/>
    </row>
    <row r="15302">
      <c r="A15302" s="86" t="str">
        <f>IFERROR(__xludf.DUMMYFUNCTION("""COMPUTED_VALUE"""),"")</f>
        <v/>
      </c>
      <c r="B15302" s="87"/>
      <c r="C15302" s="87"/>
      <c r="D15302" s="87"/>
      <c r="E15302" s="87"/>
      <c r="F15302" s="87"/>
      <c r="G15302" s="87"/>
    </row>
    <row r="15303">
      <c r="A15303" s="86" t="str">
        <f>IFERROR(__xludf.DUMMYFUNCTION("""COMPUTED_VALUE"""),"")</f>
        <v/>
      </c>
      <c r="B15303" s="87"/>
      <c r="C15303" s="87"/>
      <c r="D15303" s="87"/>
      <c r="E15303" s="87"/>
      <c r="F15303" s="87"/>
      <c r="G15303" s="87"/>
    </row>
    <row r="15304">
      <c r="A15304" s="86" t="str">
        <f>IFERROR(__xludf.DUMMYFUNCTION("""COMPUTED_VALUE"""),"")</f>
        <v/>
      </c>
      <c r="B15304" s="87"/>
      <c r="C15304" s="87"/>
      <c r="D15304" s="87"/>
      <c r="E15304" s="87"/>
      <c r="F15304" s="87"/>
      <c r="G15304" s="87"/>
    </row>
    <row r="15305">
      <c r="A15305" s="86" t="str">
        <f>IFERROR(__xludf.DUMMYFUNCTION("""COMPUTED_VALUE"""),"")</f>
        <v/>
      </c>
      <c r="B15305" s="87"/>
      <c r="C15305" s="87"/>
      <c r="D15305" s="87"/>
      <c r="E15305" s="87"/>
      <c r="F15305" s="87"/>
      <c r="G15305" s="87"/>
    </row>
    <row r="15306">
      <c r="A15306" s="86" t="str">
        <f>IFERROR(__xludf.DUMMYFUNCTION("""COMPUTED_VALUE"""),"")</f>
        <v/>
      </c>
      <c r="B15306" s="87"/>
      <c r="C15306" s="87"/>
      <c r="D15306" s="87"/>
      <c r="E15306" s="87"/>
      <c r="F15306" s="87"/>
      <c r="G15306" s="87"/>
    </row>
    <row r="15307">
      <c r="A15307" s="86" t="str">
        <f>IFERROR(__xludf.DUMMYFUNCTION("""COMPUTED_VALUE"""),"")</f>
        <v/>
      </c>
      <c r="B15307" s="87"/>
      <c r="C15307" s="87"/>
      <c r="D15307" s="87"/>
      <c r="E15307" s="87"/>
      <c r="F15307" s="87"/>
      <c r="G15307" s="87"/>
    </row>
    <row r="15308">
      <c r="A15308" s="86" t="str">
        <f>IFERROR(__xludf.DUMMYFUNCTION("""COMPUTED_VALUE"""),"")</f>
        <v/>
      </c>
      <c r="B15308" s="87"/>
      <c r="C15308" s="87"/>
      <c r="D15308" s="87"/>
      <c r="E15308" s="87"/>
      <c r="F15308" s="87"/>
      <c r="G15308" s="87"/>
    </row>
    <row r="15309">
      <c r="A15309" s="86" t="str">
        <f>IFERROR(__xludf.DUMMYFUNCTION("""COMPUTED_VALUE"""),"")</f>
        <v/>
      </c>
      <c r="B15309" s="87"/>
      <c r="C15309" s="87"/>
      <c r="D15309" s="87"/>
      <c r="E15309" s="87"/>
      <c r="F15309" s="87"/>
      <c r="G15309" s="87"/>
    </row>
    <row r="15310">
      <c r="A15310" s="86" t="str">
        <f>IFERROR(__xludf.DUMMYFUNCTION("""COMPUTED_VALUE"""),"")</f>
        <v/>
      </c>
      <c r="B15310" s="87"/>
      <c r="C15310" s="87"/>
      <c r="D15310" s="87"/>
      <c r="E15310" s="87"/>
      <c r="F15310" s="87"/>
      <c r="G15310" s="87"/>
    </row>
    <row r="15311">
      <c r="A15311" s="86" t="str">
        <f>IFERROR(__xludf.DUMMYFUNCTION("""COMPUTED_VALUE"""),"")</f>
        <v/>
      </c>
      <c r="B15311" s="87"/>
      <c r="C15311" s="87"/>
      <c r="D15311" s="87"/>
      <c r="E15311" s="87"/>
      <c r="F15311" s="87"/>
      <c r="G15311" s="87"/>
    </row>
    <row r="15312">
      <c r="A15312" s="86" t="str">
        <f>IFERROR(__xludf.DUMMYFUNCTION("""COMPUTED_VALUE"""),"")</f>
        <v/>
      </c>
      <c r="B15312" s="87"/>
      <c r="C15312" s="87"/>
      <c r="D15312" s="87"/>
      <c r="E15312" s="87"/>
      <c r="F15312" s="87"/>
      <c r="G15312" s="87"/>
    </row>
    <row r="15313">
      <c r="A15313" s="86" t="str">
        <f>IFERROR(__xludf.DUMMYFUNCTION("""COMPUTED_VALUE"""),"")</f>
        <v/>
      </c>
      <c r="B15313" s="87"/>
      <c r="C15313" s="87"/>
      <c r="D15313" s="87"/>
      <c r="E15313" s="87"/>
      <c r="F15313" s="87"/>
      <c r="G15313" s="87"/>
    </row>
    <row r="15314">
      <c r="A15314" s="86" t="str">
        <f>IFERROR(__xludf.DUMMYFUNCTION("""COMPUTED_VALUE"""),"")</f>
        <v/>
      </c>
      <c r="B15314" s="87"/>
      <c r="C15314" s="87"/>
      <c r="D15314" s="87"/>
      <c r="E15314" s="87"/>
      <c r="F15314" s="87"/>
      <c r="G15314" s="87"/>
    </row>
    <row r="15315">
      <c r="A15315" s="86" t="str">
        <f>IFERROR(__xludf.DUMMYFUNCTION("""COMPUTED_VALUE"""),"")</f>
        <v/>
      </c>
      <c r="B15315" s="87"/>
      <c r="C15315" s="87"/>
      <c r="D15315" s="87"/>
      <c r="E15315" s="87"/>
      <c r="F15315" s="87"/>
      <c r="G15315" s="87"/>
    </row>
    <row r="15316">
      <c r="A15316" s="86" t="str">
        <f>IFERROR(__xludf.DUMMYFUNCTION("""COMPUTED_VALUE"""),"")</f>
        <v/>
      </c>
      <c r="B15316" s="87"/>
      <c r="C15316" s="87"/>
      <c r="D15316" s="87"/>
      <c r="E15316" s="87"/>
      <c r="F15316" s="87"/>
      <c r="G15316" s="87"/>
    </row>
    <row r="15317">
      <c r="A15317" s="86" t="str">
        <f>IFERROR(__xludf.DUMMYFUNCTION("""COMPUTED_VALUE"""),"")</f>
        <v/>
      </c>
      <c r="B15317" s="87"/>
      <c r="C15317" s="87"/>
      <c r="D15317" s="87"/>
      <c r="E15317" s="87"/>
      <c r="F15317" s="87"/>
      <c r="G15317" s="87"/>
    </row>
    <row r="15318">
      <c r="A15318" s="86" t="str">
        <f>IFERROR(__xludf.DUMMYFUNCTION("""COMPUTED_VALUE"""),"")</f>
        <v/>
      </c>
      <c r="B15318" s="87"/>
      <c r="C15318" s="87"/>
      <c r="D15318" s="87"/>
      <c r="E15318" s="87"/>
      <c r="F15318" s="87"/>
      <c r="G15318" s="87"/>
    </row>
    <row r="15319">
      <c r="A15319" s="86" t="str">
        <f>IFERROR(__xludf.DUMMYFUNCTION("""COMPUTED_VALUE"""),"")</f>
        <v/>
      </c>
      <c r="B15319" s="87"/>
      <c r="C15319" s="87"/>
      <c r="D15319" s="87"/>
      <c r="E15319" s="87"/>
      <c r="F15319" s="87"/>
      <c r="G15319" s="87"/>
    </row>
    <row r="15320">
      <c r="A15320" s="86" t="str">
        <f>IFERROR(__xludf.DUMMYFUNCTION("""COMPUTED_VALUE"""),"")</f>
        <v/>
      </c>
      <c r="B15320" s="87"/>
      <c r="C15320" s="87"/>
      <c r="D15320" s="87"/>
      <c r="E15320" s="87"/>
      <c r="F15320" s="87"/>
      <c r="G15320" s="87"/>
    </row>
    <row r="15321">
      <c r="A15321" s="86" t="str">
        <f>IFERROR(__xludf.DUMMYFUNCTION("""COMPUTED_VALUE"""),"")</f>
        <v/>
      </c>
      <c r="B15321" s="87"/>
      <c r="C15321" s="87"/>
      <c r="D15321" s="87"/>
      <c r="E15321" s="87"/>
      <c r="F15321" s="87"/>
      <c r="G15321" s="87"/>
    </row>
    <row r="15322">
      <c r="A15322" s="86" t="str">
        <f>IFERROR(__xludf.DUMMYFUNCTION("""COMPUTED_VALUE"""),"")</f>
        <v/>
      </c>
      <c r="B15322" s="87"/>
      <c r="C15322" s="87"/>
      <c r="D15322" s="87"/>
      <c r="E15322" s="87"/>
      <c r="F15322" s="87"/>
      <c r="G15322" s="87"/>
    </row>
    <row r="15323">
      <c r="A15323" s="86" t="str">
        <f>IFERROR(__xludf.DUMMYFUNCTION("""COMPUTED_VALUE"""),"")</f>
        <v/>
      </c>
      <c r="B15323" s="87"/>
      <c r="C15323" s="87"/>
      <c r="D15323" s="87"/>
      <c r="E15323" s="87"/>
      <c r="F15323" s="87"/>
      <c r="G15323" s="87"/>
    </row>
    <row r="15324">
      <c r="A15324" s="86" t="str">
        <f>IFERROR(__xludf.DUMMYFUNCTION("""COMPUTED_VALUE"""),"")</f>
        <v/>
      </c>
      <c r="B15324" s="87"/>
      <c r="C15324" s="87"/>
      <c r="D15324" s="87"/>
      <c r="E15324" s="87"/>
      <c r="F15324" s="87"/>
      <c r="G15324" s="87"/>
    </row>
    <row r="15325">
      <c r="A15325" s="86" t="str">
        <f>IFERROR(__xludf.DUMMYFUNCTION("""COMPUTED_VALUE"""),"")</f>
        <v/>
      </c>
      <c r="B15325" s="87"/>
      <c r="C15325" s="87"/>
      <c r="D15325" s="87"/>
      <c r="E15325" s="87"/>
      <c r="F15325" s="87"/>
      <c r="G15325" s="87"/>
    </row>
    <row r="15326">
      <c r="A15326" s="86" t="str">
        <f>IFERROR(__xludf.DUMMYFUNCTION("""COMPUTED_VALUE"""),"")</f>
        <v/>
      </c>
      <c r="B15326" s="87"/>
      <c r="C15326" s="87"/>
      <c r="D15326" s="87"/>
      <c r="E15326" s="87"/>
      <c r="F15326" s="87"/>
      <c r="G15326" s="87"/>
    </row>
    <row r="15327">
      <c r="A15327" s="86" t="str">
        <f>IFERROR(__xludf.DUMMYFUNCTION("""COMPUTED_VALUE"""),"")</f>
        <v/>
      </c>
      <c r="B15327" s="87"/>
      <c r="C15327" s="87"/>
      <c r="D15327" s="87"/>
      <c r="E15327" s="87"/>
      <c r="F15327" s="87"/>
      <c r="G15327" s="87"/>
    </row>
    <row r="15328">
      <c r="A15328" s="86" t="str">
        <f>IFERROR(__xludf.DUMMYFUNCTION("""COMPUTED_VALUE"""),"")</f>
        <v/>
      </c>
      <c r="B15328" s="87"/>
      <c r="C15328" s="87"/>
      <c r="D15328" s="87"/>
      <c r="E15328" s="87"/>
      <c r="F15328" s="87"/>
      <c r="G15328" s="87"/>
    </row>
    <row r="15329">
      <c r="A15329" s="86" t="str">
        <f>IFERROR(__xludf.DUMMYFUNCTION("""COMPUTED_VALUE"""),"")</f>
        <v/>
      </c>
      <c r="B15329" s="87"/>
      <c r="C15329" s="87"/>
      <c r="D15329" s="87"/>
      <c r="E15329" s="87"/>
      <c r="F15329" s="87"/>
      <c r="G15329" s="87"/>
    </row>
    <row r="15330">
      <c r="A15330" s="86" t="str">
        <f>IFERROR(__xludf.DUMMYFUNCTION("""COMPUTED_VALUE"""),"")</f>
        <v/>
      </c>
      <c r="B15330" s="87"/>
      <c r="C15330" s="87"/>
      <c r="D15330" s="87"/>
      <c r="E15330" s="87"/>
      <c r="F15330" s="87"/>
      <c r="G15330" s="87"/>
    </row>
    <row r="15331">
      <c r="A15331" s="86" t="str">
        <f>IFERROR(__xludf.DUMMYFUNCTION("""COMPUTED_VALUE"""),"")</f>
        <v/>
      </c>
      <c r="B15331" s="87"/>
      <c r="C15331" s="87"/>
      <c r="D15331" s="87"/>
      <c r="E15331" s="87"/>
      <c r="F15331" s="87"/>
      <c r="G15331" s="87"/>
    </row>
    <row r="15332">
      <c r="A15332" s="86" t="str">
        <f>IFERROR(__xludf.DUMMYFUNCTION("""COMPUTED_VALUE"""),"")</f>
        <v/>
      </c>
      <c r="B15332" s="87"/>
      <c r="C15332" s="87"/>
      <c r="D15332" s="87"/>
      <c r="E15332" s="87"/>
      <c r="F15332" s="87"/>
      <c r="G15332" s="87"/>
    </row>
    <row r="15333">
      <c r="A15333" s="86" t="str">
        <f>IFERROR(__xludf.DUMMYFUNCTION("""COMPUTED_VALUE"""),"")</f>
        <v/>
      </c>
      <c r="B15333" s="87"/>
      <c r="C15333" s="87"/>
      <c r="D15333" s="87"/>
      <c r="E15333" s="87"/>
      <c r="F15333" s="87"/>
      <c r="G15333" s="87"/>
    </row>
    <row r="15334">
      <c r="A15334" s="86" t="str">
        <f>IFERROR(__xludf.DUMMYFUNCTION("""COMPUTED_VALUE"""),"")</f>
        <v/>
      </c>
      <c r="B15334" s="87"/>
      <c r="C15334" s="87"/>
      <c r="D15334" s="87"/>
      <c r="E15334" s="87"/>
      <c r="F15334" s="87"/>
      <c r="G15334" s="87"/>
    </row>
    <row r="15335">
      <c r="A15335" s="86" t="str">
        <f>IFERROR(__xludf.DUMMYFUNCTION("""COMPUTED_VALUE"""),"")</f>
        <v/>
      </c>
      <c r="B15335" s="87"/>
      <c r="C15335" s="87"/>
      <c r="D15335" s="87"/>
      <c r="E15335" s="87"/>
      <c r="F15335" s="87"/>
      <c r="G15335" s="87"/>
    </row>
    <row r="15336">
      <c r="A15336" s="86" t="str">
        <f>IFERROR(__xludf.DUMMYFUNCTION("""COMPUTED_VALUE"""),"")</f>
        <v/>
      </c>
      <c r="B15336" s="87"/>
      <c r="C15336" s="87"/>
      <c r="D15336" s="87"/>
      <c r="E15336" s="87"/>
      <c r="F15336" s="87"/>
      <c r="G15336" s="87"/>
    </row>
    <row r="15337">
      <c r="A15337" s="86" t="str">
        <f>IFERROR(__xludf.DUMMYFUNCTION("""COMPUTED_VALUE"""),"")</f>
        <v/>
      </c>
      <c r="B15337" s="87"/>
      <c r="C15337" s="87"/>
      <c r="D15337" s="87"/>
      <c r="E15337" s="87"/>
      <c r="F15337" s="87"/>
      <c r="G15337" s="87"/>
    </row>
    <row r="15338">
      <c r="A15338" s="86" t="str">
        <f>IFERROR(__xludf.DUMMYFUNCTION("""COMPUTED_VALUE"""),"")</f>
        <v/>
      </c>
      <c r="B15338" s="87"/>
      <c r="C15338" s="87"/>
      <c r="D15338" s="87"/>
      <c r="E15338" s="87"/>
      <c r="F15338" s="87"/>
      <c r="G15338" s="87"/>
    </row>
    <row r="15339">
      <c r="A15339" s="86" t="str">
        <f>IFERROR(__xludf.DUMMYFUNCTION("""COMPUTED_VALUE"""),"")</f>
        <v/>
      </c>
      <c r="B15339" s="87"/>
      <c r="C15339" s="87"/>
      <c r="D15339" s="87"/>
      <c r="E15339" s="87"/>
      <c r="F15339" s="87"/>
      <c r="G15339" s="87"/>
    </row>
    <row r="15340">
      <c r="A15340" s="86" t="str">
        <f>IFERROR(__xludf.DUMMYFUNCTION("""COMPUTED_VALUE"""),"")</f>
        <v/>
      </c>
      <c r="B15340" s="87"/>
      <c r="C15340" s="87"/>
      <c r="D15340" s="87"/>
      <c r="E15340" s="87"/>
      <c r="F15340" s="87"/>
      <c r="G15340" s="87"/>
    </row>
    <row r="15341">
      <c r="A15341" s="86" t="str">
        <f>IFERROR(__xludf.DUMMYFUNCTION("""COMPUTED_VALUE"""),"")</f>
        <v/>
      </c>
      <c r="B15341" s="87"/>
      <c r="C15341" s="87"/>
      <c r="D15341" s="87"/>
      <c r="E15341" s="87"/>
      <c r="F15341" s="87"/>
      <c r="G15341" s="87"/>
    </row>
    <row r="15342">
      <c r="A15342" s="86" t="str">
        <f>IFERROR(__xludf.DUMMYFUNCTION("""COMPUTED_VALUE"""),"")</f>
        <v/>
      </c>
      <c r="B15342" s="87"/>
      <c r="C15342" s="87"/>
      <c r="D15342" s="87"/>
      <c r="E15342" s="87"/>
      <c r="F15342" s="87"/>
      <c r="G15342" s="87"/>
    </row>
    <row r="15343">
      <c r="A15343" s="86" t="str">
        <f>IFERROR(__xludf.DUMMYFUNCTION("""COMPUTED_VALUE"""),"")</f>
        <v/>
      </c>
      <c r="B15343" s="87"/>
      <c r="C15343" s="87"/>
      <c r="D15343" s="87"/>
      <c r="E15343" s="87"/>
      <c r="F15343" s="87"/>
      <c r="G15343" s="87"/>
    </row>
    <row r="15344">
      <c r="A15344" s="86" t="str">
        <f>IFERROR(__xludf.DUMMYFUNCTION("""COMPUTED_VALUE"""),"")</f>
        <v/>
      </c>
      <c r="B15344" s="87"/>
      <c r="C15344" s="87"/>
      <c r="D15344" s="87"/>
      <c r="E15344" s="87"/>
      <c r="F15344" s="87"/>
      <c r="G15344" s="87"/>
    </row>
    <row r="15345">
      <c r="A15345" s="86" t="str">
        <f>IFERROR(__xludf.DUMMYFUNCTION("""COMPUTED_VALUE"""),"")</f>
        <v/>
      </c>
      <c r="B15345" s="87"/>
      <c r="C15345" s="87"/>
      <c r="D15345" s="87"/>
      <c r="E15345" s="87"/>
      <c r="F15345" s="87"/>
      <c r="G15345" s="87"/>
    </row>
    <row r="15346">
      <c r="A15346" s="86" t="str">
        <f>IFERROR(__xludf.DUMMYFUNCTION("""COMPUTED_VALUE"""),"")</f>
        <v/>
      </c>
      <c r="B15346" s="87"/>
      <c r="C15346" s="87"/>
      <c r="D15346" s="87"/>
      <c r="E15346" s="87"/>
      <c r="F15346" s="87"/>
      <c r="G15346" s="87"/>
    </row>
    <row r="15347">
      <c r="A15347" s="86" t="str">
        <f>IFERROR(__xludf.DUMMYFUNCTION("""COMPUTED_VALUE"""),"")</f>
        <v/>
      </c>
      <c r="B15347" s="87"/>
      <c r="C15347" s="87"/>
      <c r="D15347" s="87"/>
      <c r="E15347" s="87"/>
      <c r="F15347" s="87"/>
      <c r="G15347" s="87"/>
    </row>
    <row r="15348">
      <c r="A15348" s="86" t="str">
        <f>IFERROR(__xludf.DUMMYFUNCTION("""COMPUTED_VALUE"""),"")</f>
        <v/>
      </c>
      <c r="B15348" s="87"/>
      <c r="C15348" s="87"/>
      <c r="D15348" s="87"/>
      <c r="E15348" s="87"/>
      <c r="F15348" s="87"/>
      <c r="G15348" s="87"/>
    </row>
    <row r="15349">
      <c r="A15349" s="86" t="str">
        <f>IFERROR(__xludf.DUMMYFUNCTION("""COMPUTED_VALUE"""),"")</f>
        <v/>
      </c>
      <c r="B15349" s="87"/>
      <c r="C15349" s="87"/>
      <c r="D15349" s="87"/>
      <c r="E15349" s="87"/>
      <c r="F15349" s="87"/>
      <c r="G15349" s="87"/>
    </row>
    <row r="15350">
      <c r="A15350" s="86" t="str">
        <f>IFERROR(__xludf.DUMMYFUNCTION("""COMPUTED_VALUE"""),"")</f>
        <v/>
      </c>
      <c r="B15350" s="87"/>
      <c r="C15350" s="87"/>
      <c r="D15350" s="87"/>
      <c r="E15350" s="87"/>
      <c r="F15350" s="87"/>
      <c r="G15350" s="87"/>
    </row>
    <row r="15351">
      <c r="A15351" s="86" t="str">
        <f>IFERROR(__xludf.DUMMYFUNCTION("""COMPUTED_VALUE"""),"")</f>
        <v/>
      </c>
      <c r="B15351" s="87"/>
      <c r="C15351" s="87"/>
      <c r="D15351" s="87"/>
      <c r="E15351" s="87"/>
      <c r="F15351" s="87"/>
      <c r="G15351" s="87"/>
    </row>
    <row r="15352">
      <c r="A15352" s="86" t="str">
        <f>IFERROR(__xludf.DUMMYFUNCTION("""COMPUTED_VALUE"""),"")</f>
        <v/>
      </c>
      <c r="B15352" s="87"/>
      <c r="C15352" s="87"/>
      <c r="D15352" s="87"/>
      <c r="E15352" s="87"/>
      <c r="F15352" s="87"/>
      <c r="G15352" s="87"/>
    </row>
    <row r="15353">
      <c r="A15353" s="86" t="str">
        <f>IFERROR(__xludf.DUMMYFUNCTION("""COMPUTED_VALUE"""),"")</f>
        <v/>
      </c>
      <c r="B15353" s="87"/>
      <c r="C15353" s="87"/>
      <c r="D15353" s="87"/>
      <c r="E15353" s="87"/>
      <c r="F15353" s="87"/>
      <c r="G15353" s="87"/>
    </row>
    <row r="15354">
      <c r="A15354" s="86" t="str">
        <f>IFERROR(__xludf.DUMMYFUNCTION("""COMPUTED_VALUE"""),"")</f>
        <v/>
      </c>
      <c r="B15354" s="87"/>
      <c r="C15354" s="87"/>
      <c r="D15354" s="87"/>
      <c r="E15354" s="87"/>
      <c r="F15354" s="87"/>
      <c r="G15354" s="87"/>
    </row>
    <row r="15355">
      <c r="A15355" s="86" t="str">
        <f>IFERROR(__xludf.DUMMYFUNCTION("""COMPUTED_VALUE"""),"")</f>
        <v/>
      </c>
      <c r="B15355" s="87"/>
      <c r="C15355" s="87"/>
      <c r="D15355" s="87"/>
      <c r="E15355" s="87"/>
      <c r="F15355" s="87"/>
      <c r="G15355" s="87"/>
    </row>
    <row r="15356">
      <c r="A15356" s="86" t="str">
        <f>IFERROR(__xludf.DUMMYFUNCTION("""COMPUTED_VALUE"""),"")</f>
        <v/>
      </c>
      <c r="B15356" s="87"/>
      <c r="C15356" s="87"/>
      <c r="D15356" s="87"/>
      <c r="E15356" s="87"/>
      <c r="F15356" s="87"/>
      <c r="G15356" s="87"/>
    </row>
    <row r="15357">
      <c r="A15357" s="86" t="str">
        <f>IFERROR(__xludf.DUMMYFUNCTION("""COMPUTED_VALUE"""),"")</f>
        <v/>
      </c>
      <c r="B15357" s="87"/>
      <c r="C15357" s="87"/>
      <c r="D15357" s="87"/>
      <c r="E15357" s="87"/>
      <c r="F15357" s="87"/>
      <c r="G15357" s="87"/>
    </row>
    <row r="15358">
      <c r="A15358" s="86" t="str">
        <f>IFERROR(__xludf.DUMMYFUNCTION("""COMPUTED_VALUE"""),"")</f>
        <v/>
      </c>
      <c r="B15358" s="87"/>
      <c r="C15358" s="87"/>
      <c r="D15358" s="87"/>
      <c r="E15358" s="87"/>
      <c r="F15358" s="87"/>
      <c r="G15358" s="87"/>
    </row>
    <row r="15359">
      <c r="A15359" s="86" t="str">
        <f>IFERROR(__xludf.DUMMYFUNCTION("""COMPUTED_VALUE"""),"")</f>
        <v/>
      </c>
      <c r="B15359" s="87"/>
      <c r="C15359" s="87"/>
      <c r="D15359" s="87"/>
      <c r="E15359" s="87"/>
      <c r="F15359" s="87"/>
      <c r="G15359" s="87"/>
    </row>
    <row r="15360">
      <c r="A15360" s="86" t="str">
        <f>IFERROR(__xludf.DUMMYFUNCTION("""COMPUTED_VALUE"""),"")</f>
        <v/>
      </c>
      <c r="B15360" s="87"/>
      <c r="C15360" s="87"/>
      <c r="D15360" s="87"/>
      <c r="E15360" s="87"/>
      <c r="F15360" s="87"/>
      <c r="G15360" s="87"/>
    </row>
    <row r="15361">
      <c r="A15361" s="86" t="str">
        <f>IFERROR(__xludf.DUMMYFUNCTION("""COMPUTED_VALUE"""),"")</f>
        <v/>
      </c>
      <c r="B15361" s="87"/>
      <c r="C15361" s="87"/>
      <c r="D15361" s="87"/>
      <c r="E15361" s="87"/>
      <c r="F15361" s="87"/>
      <c r="G15361" s="87"/>
    </row>
    <row r="15362">
      <c r="A15362" s="86" t="str">
        <f>IFERROR(__xludf.DUMMYFUNCTION("""COMPUTED_VALUE"""),"")</f>
        <v/>
      </c>
      <c r="B15362" s="87"/>
      <c r="C15362" s="87"/>
      <c r="D15362" s="87"/>
      <c r="E15362" s="87"/>
      <c r="F15362" s="87"/>
      <c r="G15362" s="87"/>
    </row>
    <row r="15363">
      <c r="A15363" s="86" t="str">
        <f>IFERROR(__xludf.DUMMYFUNCTION("""COMPUTED_VALUE"""),"")</f>
        <v/>
      </c>
      <c r="B15363" s="87"/>
      <c r="C15363" s="87"/>
      <c r="D15363" s="87"/>
      <c r="E15363" s="87"/>
      <c r="F15363" s="87"/>
      <c r="G15363" s="87"/>
    </row>
    <row r="15364">
      <c r="A15364" s="86" t="str">
        <f>IFERROR(__xludf.DUMMYFUNCTION("""COMPUTED_VALUE"""),"")</f>
        <v/>
      </c>
      <c r="B15364" s="87"/>
      <c r="C15364" s="87"/>
      <c r="D15364" s="87"/>
      <c r="E15364" s="87"/>
      <c r="F15364" s="87"/>
      <c r="G15364" s="87"/>
    </row>
    <row r="15365">
      <c r="A15365" s="86" t="str">
        <f>IFERROR(__xludf.DUMMYFUNCTION("""COMPUTED_VALUE"""),"")</f>
        <v/>
      </c>
      <c r="B15365" s="87"/>
      <c r="C15365" s="87"/>
      <c r="D15365" s="87"/>
      <c r="E15365" s="87"/>
      <c r="F15365" s="87"/>
      <c r="G15365" s="87"/>
    </row>
    <row r="15366">
      <c r="A15366" s="86" t="str">
        <f>IFERROR(__xludf.DUMMYFUNCTION("""COMPUTED_VALUE"""),"")</f>
        <v/>
      </c>
      <c r="B15366" s="87"/>
      <c r="C15366" s="87"/>
      <c r="D15366" s="87"/>
      <c r="E15366" s="87"/>
      <c r="F15366" s="87"/>
      <c r="G15366" s="87"/>
    </row>
    <row r="15367">
      <c r="A15367" s="86" t="str">
        <f>IFERROR(__xludf.DUMMYFUNCTION("""COMPUTED_VALUE"""),"")</f>
        <v/>
      </c>
      <c r="B15367" s="87"/>
      <c r="C15367" s="87"/>
      <c r="D15367" s="87"/>
      <c r="E15367" s="87"/>
      <c r="F15367" s="87"/>
      <c r="G15367" s="87"/>
    </row>
    <row r="15368">
      <c r="A15368" s="86" t="str">
        <f>IFERROR(__xludf.DUMMYFUNCTION("""COMPUTED_VALUE"""),"")</f>
        <v/>
      </c>
      <c r="B15368" s="87"/>
      <c r="C15368" s="87"/>
      <c r="D15368" s="87"/>
      <c r="E15368" s="87"/>
      <c r="F15368" s="87"/>
      <c r="G15368" s="87"/>
    </row>
    <row r="15369">
      <c r="A15369" s="86" t="str">
        <f>IFERROR(__xludf.DUMMYFUNCTION("""COMPUTED_VALUE"""),"")</f>
        <v/>
      </c>
      <c r="B15369" s="87"/>
      <c r="C15369" s="87"/>
      <c r="D15369" s="87"/>
      <c r="E15369" s="87"/>
      <c r="F15369" s="87"/>
      <c r="G15369" s="87"/>
    </row>
    <row r="15370">
      <c r="A15370" s="86" t="str">
        <f>IFERROR(__xludf.DUMMYFUNCTION("""COMPUTED_VALUE"""),"")</f>
        <v/>
      </c>
      <c r="B15370" s="87"/>
      <c r="C15370" s="87"/>
      <c r="D15370" s="87"/>
      <c r="E15370" s="87"/>
      <c r="F15370" s="87"/>
      <c r="G15370" s="87"/>
    </row>
    <row r="15371">
      <c r="A15371" s="86" t="str">
        <f>IFERROR(__xludf.DUMMYFUNCTION("""COMPUTED_VALUE"""),"")</f>
        <v/>
      </c>
      <c r="B15371" s="87"/>
      <c r="C15371" s="87"/>
      <c r="D15371" s="87"/>
      <c r="E15371" s="87"/>
      <c r="F15371" s="87"/>
      <c r="G15371" s="87"/>
    </row>
    <row r="15372">
      <c r="A15372" s="86" t="str">
        <f>IFERROR(__xludf.DUMMYFUNCTION("""COMPUTED_VALUE"""),"")</f>
        <v/>
      </c>
      <c r="B15372" s="87"/>
      <c r="C15372" s="87"/>
      <c r="D15372" s="87"/>
      <c r="E15372" s="87"/>
      <c r="F15372" s="87"/>
      <c r="G15372" s="87"/>
    </row>
    <row r="15373">
      <c r="A15373" s="86" t="str">
        <f>IFERROR(__xludf.DUMMYFUNCTION("""COMPUTED_VALUE"""),"")</f>
        <v/>
      </c>
      <c r="B15373" s="87"/>
      <c r="C15373" s="87"/>
      <c r="D15373" s="87"/>
      <c r="E15373" s="87"/>
      <c r="F15373" s="87"/>
      <c r="G15373" s="87"/>
    </row>
    <row r="15374">
      <c r="A15374" s="86" t="str">
        <f>IFERROR(__xludf.DUMMYFUNCTION("""COMPUTED_VALUE"""),"")</f>
        <v/>
      </c>
      <c r="B15374" s="87"/>
      <c r="C15374" s="87"/>
      <c r="D15374" s="87"/>
      <c r="E15374" s="87"/>
      <c r="F15374" s="87"/>
      <c r="G15374" s="87"/>
    </row>
    <row r="15375">
      <c r="A15375" s="86" t="str">
        <f>IFERROR(__xludf.DUMMYFUNCTION("""COMPUTED_VALUE"""),"")</f>
        <v/>
      </c>
      <c r="B15375" s="87"/>
      <c r="C15375" s="87"/>
      <c r="D15375" s="87"/>
      <c r="E15375" s="87"/>
      <c r="F15375" s="87"/>
      <c r="G15375" s="87"/>
    </row>
    <row r="15376">
      <c r="A15376" s="86" t="str">
        <f>IFERROR(__xludf.DUMMYFUNCTION("""COMPUTED_VALUE"""),"")</f>
        <v/>
      </c>
      <c r="B15376" s="87"/>
      <c r="C15376" s="87"/>
      <c r="D15376" s="87"/>
      <c r="E15376" s="87"/>
      <c r="F15376" s="87"/>
      <c r="G15376" s="87"/>
    </row>
    <row r="15377">
      <c r="A15377" s="86" t="str">
        <f>IFERROR(__xludf.DUMMYFUNCTION("""COMPUTED_VALUE"""),"")</f>
        <v/>
      </c>
      <c r="B15377" s="87"/>
      <c r="C15377" s="87"/>
      <c r="D15377" s="87"/>
      <c r="E15377" s="87"/>
      <c r="F15377" s="87"/>
      <c r="G15377" s="87"/>
    </row>
    <row r="15378">
      <c r="A15378" s="86" t="str">
        <f>IFERROR(__xludf.DUMMYFUNCTION("""COMPUTED_VALUE"""),"")</f>
        <v/>
      </c>
      <c r="B15378" s="87"/>
      <c r="C15378" s="87"/>
      <c r="D15378" s="87"/>
      <c r="E15378" s="87"/>
      <c r="F15378" s="87"/>
      <c r="G15378" s="87"/>
    </row>
    <row r="15379">
      <c r="A15379" s="86" t="str">
        <f>IFERROR(__xludf.DUMMYFUNCTION("""COMPUTED_VALUE"""),"")</f>
        <v/>
      </c>
      <c r="B15379" s="87"/>
      <c r="C15379" s="87"/>
      <c r="D15379" s="87"/>
      <c r="E15379" s="87"/>
      <c r="F15379" s="87"/>
      <c r="G15379" s="87"/>
    </row>
    <row r="15380">
      <c r="A15380" s="86" t="str">
        <f>IFERROR(__xludf.DUMMYFUNCTION("""COMPUTED_VALUE"""),"")</f>
        <v/>
      </c>
      <c r="B15380" s="87"/>
      <c r="C15380" s="87"/>
      <c r="D15380" s="87"/>
      <c r="E15380" s="87"/>
      <c r="F15380" s="87"/>
      <c r="G15380" s="87"/>
    </row>
    <row r="15381">
      <c r="A15381" s="86" t="str">
        <f>IFERROR(__xludf.DUMMYFUNCTION("""COMPUTED_VALUE"""),"")</f>
        <v/>
      </c>
      <c r="B15381" s="87"/>
      <c r="C15381" s="87"/>
      <c r="D15381" s="87"/>
      <c r="E15381" s="87"/>
      <c r="F15381" s="87"/>
      <c r="G15381" s="87"/>
    </row>
    <row r="15382">
      <c r="A15382" s="86" t="str">
        <f>IFERROR(__xludf.DUMMYFUNCTION("""COMPUTED_VALUE"""),"")</f>
        <v/>
      </c>
      <c r="B15382" s="87"/>
      <c r="C15382" s="87"/>
      <c r="D15382" s="87"/>
      <c r="E15382" s="87"/>
      <c r="F15382" s="87"/>
      <c r="G15382" s="87"/>
    </row>
    <row r="15383">
      <c r="A15383" s="86" t="str">
        <f>IFERROR(__xludf.DUMMYFUNCTION("""COMPUTED_VALUE"""),"")</f>
        <v/>
      </c>
      <c r="B15383" s="87"/>
      <c r="C15383" s="87"/>
      <c r="D15383" s="87"/>
      <c r="E15383" s="87"/>
      <c r="F15383" s="87"/>
      <c r="G15383" s="87"/>
    </row>
    <row r="15384">
      <c r="A15384" s="86" t="str">
        <f>IFERROR(__xludf.DUMMYFUNCTION("""COMPUTED_VALUE"""),"")</f>
        <v/>
      </c>
      <c r="B15384" s="87"/>
      <c r="C15384" s="87"/>
      <c r="D15384" s="87"/>
      <c r="E15384" s="87"/>
      <c r="F15384" s="87"/>
      <c r="G15384" s="87"/>
    </row>
    <row r="15385">
      <c r="A15385" s="86" t="str">
        <f>IFERROR(__xludf.DUMMYFUNCTION("""COMPUTED_VALUE"""),"")</f>
        <v/>
      </c>
      <c r="B15385" s="87"/>
      <c r="C15385" s="87"/>
      <c r="D15385" s="87"/>
      <c r="E15385" s="87"/>
      <c r="F15385" s="87"/>
      <c r="G15385" s="87"/>
    </row>
    <row r="15386">
      <c r="A15386" s="86" t="str">
        <f>IFERROR(__xludf.DUMMYFUNCTION("""COMPUTED_VALUE"""),"")</f>
        <v/>
      </c>
      <c r="B15386" s="87"/>
      <c r="C15386" s="87"/>
      <c r="D15386" s="87"/>
      <c r="E15386" s="87"/>
      <c r="F15386" s="87"/>
      <c r="G15386" s="87"/>
    </row>
    <row r="15387">
      <c r="A15387" s="86" t="str">
        <f>IFERROR(__xludf.DUMMYFUNCTION("""COMPUTED_VALUE"""),"")</f>
        <v/>
      </c>
      <c r="B15387" s="87"/>
      <c r="C15387" s="87"/>
      <c r="D15387" s="87"/>
      <c r="E15387" s="87"/>
      <c r="F15387" s="87"/>
      <c r="G15387" s="87"/>
    </row>
    <row r="15388">
      <c r="A15388" s="86" t="str">
        <f>IFERROR(__xludf.DUMMYFUNCTION("""COMPUTED_VALUE"""),"")</f>
        <v/>
      </c>
      <c r="B15388" s="87"/>
      <c r="C15388" s="87"/>
      <c r="D15388" s="87"/>
      <c r="E15388" s="87"/>
      <c r="F15388" s="87"/>
      <c r="G15388" s="87"/>
    </row>
    <row r="15389">
      <c r="A15389" s="86" t="str">
        <f>IFERROR(__xludf.DUMMYFUNCTION("""COMPUTED_VALUE"""),"")</f>
        <v/>
      </c>
      <c r="B15389" s="87"/>
      <c r="C15389" s="87"/>
      <c r="D15389" s="87"/>
      <c r="E15389" s="87"/>
      <c r="F15389" s="87"/>
      <c r="G15389" s="87"/>
    </row>
    <row r="15390">
      <c r="A15390" s="86" t="str">
        <f>IFERROR(__xludf.DUMMYFUNCTION("""COMPUTED_VALUE"""),"")</f>
        <v/>
      </c>
      <c r="B15390" s="87"/>
      <c r="C15390" s="87"/>
      <c r="D15390" s="87"/>
      <c r="E15390" s="87"/>
      <c r="F15390" s="87"/>
      <c r="G15390" s="87"/>
    </row>
    <row r="15391">
      <c r="A15391" s="86" t="str">
        <f>IFERROR(__xludf.DUMMYFUNCTION("""COMPUTED_VALUE"""),"")</f>
        <v/>
      </c>
      <c r="B15391" s="87"/>
      <c r="C15391" s="87"/>
      <c r="D15391" s="87"/>
      <c r="E15391" s="87"/>
      <c r="F15391" s="87"/>
      <c r="G15391" s="87"/>
    </row>
    <row r="15392">
      <c r="A15392" s="86" t="str">
        <f>IFERROR(__xludf.DUMMYFUNCTION("""COMPUTED_VALUE"""),"")</f>
        <v/>
      </c>
      <c r="B15392" s="87"/>
      <c r="C15392" s="87"/>
      <c r="D15392" s="87"/>
      <c r="E15392" s="87"/>
      <c r="F15392" s="87"/>
      <c r="G15392" s="87"/>
    </row>
    <row r="15393">
      <c r="A15393" s="86" t="str">
        <f>IFERROR(__xludf.DUMMYFUNCTION("""COMPUTED_VALUE"""),"")</f>
        <v/>
      </c>
      <c r="B15393" s="87"/>
      <c r="C15393" s="87"/>
      <c r="D15393" s="87"/>
      <c r="E15393" s="87"/>
      <c r="F15393" s="87"/>
      <c r="G15393" s="87"/>
    </row>
    <row r="15394">
      <c r="A15394" s="86" t="str">
        <f>IFERROR(__xludf.DUMMYFUNCTION("""COMPUTED_VALUE"""),"")</f>
        <v/>
      </c>
      <c r="B15394" s="87"/>
      <c r="C15394" s="87"/>
      <c r="D15394" s="87"/>
      <c r="E15394" s="87"/>
      <c r="F15394" s="87"/>
      <c r="G15394" s="87"/>
    </row>
    <row r="15395">
      <c r="A15395" s="86" t="str">
        <f>IFERROR(__xludf.DUMMYFUNCTION("""COMPUTED_VALUE"""),"")</f>
        <v/>
      </c>
      <c r="B15395" s="87"/>
      <c r="C15395" s="87"/>
      <c r="D15395" s="87"/>
      <c r="E15395" s="87"/>
      <c r="F15395" s="87"/>
      <c r="G15395" s="87"/>
    </row>
    <row r="15396">
      <c r="A15396" s="86" t="str">
        <f>IFERROR(__xludf.DUMMYFUNCTION("""COMPUTED_VALUE"""),"")</f>
        <v/>
      </c>
      <c r="B15396" s="87"/>
      <c r="C15396" s="87"/>
      <c r="D15396" s="87"/>
      <c r="E15396" s="87"/>
      <c r="F15396" s="87"/>
      <c r="G15396" s="87"/>
    </row>
    <row r="15397">
      <c r="A15397" s="86" t="str">
        <f>IFERROR(__xludf.DUMMYFUNCTION("""COMPUTED_VALUE"""),"")</f>
        <v/>
      </c>
      <c r="B15397" s="87"/>
      <c r="C15397" s="87"/>
      <c r="D15397" s="87"/>
      <c r="E15397" s="87"/>
      <c r="F15397" s="87"/>
      <c r="G15397" s="87"/>
    </row>
    <row r="15398">
      <c r="A15398" s="86" t="str">
        <f>IFERROR(__xludf.DUMMYFUNCTION("""COMPUTED_VALUE"""),"")</f>
        <v/>
      </c>
      <c r="B15398" s="87"/>
      <c r="C15398" s="87"/>
      <c r="D15398" s="87"/>
      <c r="E15398" s="87"/>
      <c r="F15398" s="87"/>
      <c r="G15398" s="87"/>
    </row>
    <row r="15399">
      <c r="A15399" s="86" t="str">
        <f>IFERROR(__xludf.DUMMYFUNCTION("""COMPUTED_VALUE"""),"")</f>
        <v/>
      </c>
      <c r="B15399" s="87"/>
      <c r="C15399" s="87"/>
      <c r="D15399" s="87"/>
      <c r="E15399" s="87"/>
      <c r="F15399" s="87"/>
      <c r="G15399" s="87"/>
    </row>
    <row r="15400">
      <c r="A15400" s="86" t="str">
        <f>IFERROR(__xludf.DUMMYFUNCTION("""COMPUTED_VALUE"""),"")</f>
        <v/>
      </c>
      <c r="B15400" s="87"/>
      <c r="C15400" s="87"/>
      <c r="D15400" s="87"/>
      <c r="E15400" s="87"/>
      <c r="F15400" s="87"/>
      <c r="G15400" s="87"/>
    </row>
    <row r="15401">
      <c r="A15401" s="86" t="str">
        <f>IFERROR(__xludf.DUMMYFUNCTION("""COMPUTED_VALUE"""),"")</f>
        <v/>
      </c>
      <c r="B15401" s="87"/>
      <c r="C15401" s="87"/>
      <c r="D15401" s="87"/>
      <c r="E15401" s="87"/>
      <c r="F15401" s="87"/>
      <c r="G15401" s="87"/>
    </row>
    <row r="15402">
      <c r="A15402" s="86" t="str">
        <f>IFERROR(__xludf.DUMMYFUNCTION("""COMPUTED_VALUE"""),"")</f>
        <v/>
      </c>
      <c r="B15402" s="87"/>
      <c r="C15402" s="87"/>
      <c r="D15402" s="87"/>
      <c r="E15402" s="87"/>
      <c r="F15402" s="87"/>
      <c r="G15402" s="87"/>
    </row>
    <row r="15403">
      <c r="A15403" s="86" t="str">
        <f>IFERROR(__xludf.DUMMYFUNCTION("""COMPUTED_VALUE"""),"")</f>
        <v/>
      </c>
      <c r="B15403" s="87"/>
      <c r="C15403" s="87"/>
      <c r="D15403" s="87"/>
      <c r="E15403" s="87"/>
      <c r="F15403" s="87"/>
      <c r="G15403" s="87"/>
    </row>
    <row r="15404">
      <c r="A15404" s="86" t="str">
        <f>IFERROR(__xludf.DUMMYFUNCTION("""COMPUTED_VALUE"""),"")</f>
        <v/>
      </c>
      <c r="B15404" s="87"/>
      <c r="C15404" s="87"/>
      <c r="D15404" s="87"/>
      <c r="E15404" s="87"/>
      <c r="F15404" s="87"/>
      <c r="G15404" s="87"/>
    </row>
    <row r="15405">
      <c r="A15405" s="86" t="str">
        <f>IFERROR(__xludf.DUMMYFUNCTION("""COMPUTED_VALUE"""),"")</f>
        <v/>
      </c>
      <c r="B15405" s="87"/>
      <c r="C15405" s="87"/>
      <c r="D15405" s="87"/>
      <c r="E15405" s="87"/>
      <c r="F15405" s="87"/>
      <c r="G15405" s="87"/>
    </row>
    <row r="15406">
      <c r="A15406" s="86" t="str">
        <f>IFERROR(__xludf.DUMMYFUNCTION("""COMPUTED_VALUE"""),"")</f>
        <v/>
      </c>
      <c r="B15406" s="87"/>
      <c r="C15406" s="87"/>
      <c r="D15406" s="87"/>
      <c r="E15406" s="87"/>
      <c r="F15406" s="87"/>
      <c r="G15406" s="87"/>
    </row>
    <row r="15407">
      <c r="A15407" s="86" t="str">
        <f>IFERROR(__xludf.DUMMYFUNCTION("""COMPUTED_VALUE"""),"")</f>
        <v/>
      </c>
      <c r="B15407" s="87"/>
      <c r="C15407" s="87"/>
      <c r="D15407" s="87"/>
      <c r="E15407" s="87"/>
      <c r="F15407" s="87"/>
      <c r="G15407" s="87"/>
    </row>
    <row r="15408">
      <c r="A15408" s="86" t="str">
        <f>IFERROR(__xludf.DUMMYFUNCTION("""COMPUTED_VALUE"""),"")</f>
        <v/>
      </c>
      <c r="B15408" s="87"/>
      <c r="C15408" s="87"/>
      <c r="D15408" s="87"/>
      <c r="E15408" s="87"/>
      <c r="F15408" s="87"/>
      <c r="G15408" s="87"/>
    </row>
    <row r="15409">
      <c r="A15409" s="86" t="str">
        <f>IFERROR(__xludf.DUMMYFUNCTION("""COMPUTED_VALUE"""),"")</f>
        <v/>
      </c>
      <c r="B15409" s="87"/>
      <c r="C15409" s="87"/>
      <c r="D15409" s="87"/>
      <c r="E15409" s="87"/>
      <c r="F15409" s="87"/>
      <c r="G15409" s="87"/>
    </row>
    <row r="15410">
      <c r="A15410" s="86" t="str">
        <f>IFERROR(__xludf.DUMMYFUNCTION("""COMPUTED_VALUE"""),"")</f>
        <v/>
      </c>
      <c r="B15410" s="87"/>
      <c r="C15410" s="87"/>
      <c r="D15410" s="87"/>
      <c r="E15410" s="87"/>
      <c r="F15410" s="87"/>
      <c r="G15410" s="87"/>
    </row>
    <row r="15411">
      <c r="A15411" s="86" t="str">
        <f>IFERROR(__xludf.DUMMYFUNCTION("""COMPUTED_VALUE"""),"")</f>
        <v/>
      </c>
      <c r="B15411" s="87"/>
      <c r="C15411" s="87"/>
      <c r="D15411" s="87"/>
      <c r="E15411" s="87"/>
      <c r="F15411" s="87"/>
      <c r="G15411" s="87"/>
    </row>
    <row r="15412">
      <c r="A15412" s="86" t="str">
        <f>IFERROR(__xludf.DUMMYFUNCTION("""COMPUTED_VALUE"""),"")</f>
        <v/>
      </c>
      <c r="B15412" s="87"/>
      <c r="C15412" s="87"/>
      <c r="D15412" s="87"/>
      <c r="E15412" s="87"/>
      <c r="F15412" s="87"/>
      <c r="G15412" s="87"/>
    </row>
    <row r="15413">
      <c r="A15413" s="86" t="str">
        <f>IFERROR(__xludf.DUMMYFUNCTION("""COMPUTED_VALUE"""),"")</f>
        <v/>
      </c>
      <c r="B15413" s="87"/>
      <c r="C15413" s="87"/>
      <c r="D15413" s="87"/>
      <c r="E15413" s="87"/>
      <c r="F15413" s="87"/>
      <c r="G15413" s="87"/>
    </row>
    <row r="15414">
      <c r="A15414" s="86" t="str">
        <f>IFERROR(__xludf.DUMMYFUNCTION("""COMPUTED_VALUE"""),"")</f>
        <v/>
      </c>
      <c r="B15414" s="87"/>
      <c r="C15414" s="87"/>
      <c r="D15414" s="87"/>
      <c r="E15414" s="87"/>
      <c r="F15414" s="87"/>
      <c r="G15414" s="87"/>
    </row>
    <row r="15415">
      <c r="A15415" s="86" t="str">
        <f>IFERROR(__xludf.DUMMYFUNCTION("""COMPUTED_VALUE"""),"")</f>
        <v/>
      </c>
      <c r="B15415" s="87"/>
      <c r="C15415" s="87"/>
      <c r="D15415" s="87"/>
      <c r="E15415" s="87"/>
      <c r="F15415" s="87"/>
      <c r="G15415" s="87"/>
    </row>
    <row r="15416">
      <c r="A15416" s="86" t="str">
        <f>IFERROR(__xludf.DUMMYFUNCTION("""COMPUTED_VALUE"""),"")</f>
        <v/>
      </c>
      <c r="B15416" s="87"/>
      <c r="C15416" s="87"/>
      <c r="D15416" s="87"/>
      <c r="E15416" s="87"/>
      <c r="F15416" s="87"/>
      <c r="G15416" s="87"/>
    </row>
    <row r="15417">
      <c r="A15417" s="86" t="str">
        <f>IFERROR(__xludf.DUMMYFUNCTION("""COMPUTED_VALUE"""),"")</f>
        <v/>
      </c>
      <c r="B15417" s="87"/>
      <c r="C15417" s="87"/>
      <c r="D15417" s="87"/>
      <c r="E15417" s="87"/>
      <c r="F15417" s="87"/>
      <c r="G15417" s="87"/>
    </row>
    <row r="15418">
      <c r="A15418" s="86" t="str">
        <f>IFERROR(__xludf.DUMMYFUNCTION("""COMPUTED_VALUE"""),"")</f>
        <v/>
      </c>
      <c r="B15418" s="87"/>
      <c r="C15418" s="87"/>
      <c r="D15418" s="87"/>
      <c r="E15418" s="87"/>
      <c r="F15418" s="87"/>
      <c r="G15418" s="87"/>
    </row>
    <row r="15419">
      <c r="A15419" s="86" t="str">
        <f>IFERROR(__xludf.DUMMYFUNCTION("""COMPUTED_VALUE"""),"")</f>
        <v/>
      </c>
      <c r="B15419" s="87"/>
      <c r="C15419" s="87"/>
      <c r="D15419" s="87"/>
      <c r="E15419" s="87"/>
      <c r="F15419" s="87"/>
      <c r="G15419" s="87"/>
    </row>
    <row r="15420">
      <c r="A15420" s="86" t="str">
        <f>IFERROR(__xludf.DUMMYFUNCTION("""COMPUTED_VALUE"""),"")</f>
        <v/>
      </c>
      <c r="B15420" s="87"/>
      <c r="C15420" s="87"/>
      <c r="D15420" s="87"/>
      <c r="E15420" s="87"/>
      <c r="F15420" s="87"/>
      <c r="G15420" s="87"/>
    </row>
    <row r="15421">
      <c r="A15421" s="86" t="str">
        <f>IFERROR(__xludf.DUMMYFUNCTION("""COMPUTED_VALUE"""),"")</f>
        <v/>
      </c>
      <c r="B15421" s="87"/>
      <c r="C15421" s="87"/>
      <c r="D15421" s="87"/>
      <c r="E15421" s="87"/>
      <c r="F15421" s="87"/>
      <c r="G15421" s="87"/>
    </row>
    <row r="15422">
      <c r="A15422" s="86" t="str">
        <f>IFERROR(__xludf.DUMMYFUNCTION("""COMPUTED_VALUE"""),"")</f>
        <v/>
      </c>
      <c r="B15422" s="87"/>
      <c r="C15422" s="87"/>
      <c r="D15422" s="87"/>
      <c r="E15422" s="87"/>
      <c r="F15422" s="87"/>
      <c r="G15422" s="87"/>
    </row>
    <row r="15423">
      <c r="A15423" s="86" t="str">
        <f>IFERROR(__xludf.DUMMYFUNCTION("""COMPUTED_VALUE"""),"")</f>
        <v/>
      </c>
      <c r="B15423" s="87"/>
      <c r="C15423" s="87"/>
      <c r="D15423" s="87"/>
      <c r="E15423" s="87"/>
      <c r="F15423" s="87"/>
      <c r="G15423" s="87"/>
    </row>
    <row r="15424">
      <c r="A15424" s="86" t="str">
        <f>IFERROR(__xludf.DUMMYFUNCTION("""COMPUTED_VALUE"""),"")</f>
        <v/>
      </c>
      <c r="B15424" s="87"/>
      <c r="C15424" s="87"/>
      <c r="D15424" s="87"/>
      <c r="E15424" s="87"/>
      <c r="F15424" s="87"/>
      <c r="G15424" s="87"/>
    </row>
    <row r="15425">
      <c r="A15425" s="86" t="str">
        <f>IFERROR(__xludf.DUMMYFUNCTION("""COMPUTED_VALUE"""),"")</f>
        <v/>
      </c>
      <c r="B15425" s="87"/>
      <c r="C15425" s="87"/>
      <c r="D15425" s="87"/>
      <c r="E15425" s="87"/>
      <c r="F15425" s="87"/>
      <c r="G15425" s="87"/>
    </row>
    <row r="15426">
      <c r="A15426" s="86" t="str">
        <f>IFERROR(__xludf.DUMMYFUNCTION("""COMPUTED_VALUE"""),"")</f>
        <v/>
      </c>
      <c r="B15426" s="87"/>
      <c r="C15426" s="87"/>
      <c r="D15426" s="87"/>
      <c r="E15426" s="87"/>
      <c r="F15426" s="87"/>
      <c r="G15426" s="87"/>
    </row>
    <row r="15427">
      <c r="A15427" s="86" t="str">
        <f>IFERROR(__xludf.DUMMYFUNCTION("""COMPUTED_VALUE"""),"")</f>
        <v/>
      </c>
      <c r="B15427" s="87"/>
      <c r="C15427" s="87"/>
      <c r="D15427" s="87"/>
      <c r="E15427" s="87"/>
      <c r="F15427" s="87"/>
      <c r="G15427" s="87"/>
    </row>
    <row r="15428">
      <c r="A15428" s="86" t="str">
        <f>IFERROR(__xludf.DUMMYFUNCTION("""COMPUTED_VALUE"""),"")</f>
        <v/>
      </c>
      <c r="B15428" s="87"/>
      <c r="C15428" s="87"/>
      <c r="D15428" s="87"/>
      <c r="E15428" s="87"/>
      <c r="F15428" s="87"/>
      <c r="G15428" s="87"/>
    </row>
    <row r="15429">
      <c r="A15429" s="86" t="str">
        <f>IFERROR(__xludf.DUMMYFUNCTION("""COMPUTED_VALUE"""),"")</f>
        <v/>
      </c>
      <c r="B15429" s="87"/>
      <c r="C15429" s="87"/>
      <c r="D15429" s="87"/>
      <c r="E15429" s="87"/>
      <c r="F15429" s="87"/>
      <c r="G15429" s="87"/>
    </row>
    <row r="15430">
      <c r="A15430" s="86" t="str">
        <f>IFERROR(__xludf.DUMMYFUNCTION("""COMPUTED_VALUE"""),"")</f>
        <v/>
      </c>
      <c r="B15430" s="87"/>
      <c r="C15430" s="87"/>
      <c r="D15430" s="87"/>
      <c r="E15430" s="87"/>
      <c r="F15430" s="87"/>
      <c r="G15430" s="87"/>
    </row>
    <row r="15431">
      <c r="A15431" s="86" t="str">
        <f>IFERROR(__xludf.DUMMYFUNCTION("""COMPUTED_VALUE"""),"")</f>
        <v/>
      </c>
      <c r="B15431" s="87"/>
      <c r="C15431" s="87"/>
      <c r="D15431" s="87"/>
      <c r="E15431" s="87"/>
      <c r="F15431" s="87"/>
      <c r="G15431" s="87"/>
    </row>
    <row r="15432">
      <c r="A15432" s="86" t="str">
        <f>IFERROR(__xludf.DUMMYFUNCTION("""COMPUTED_VALUE"""),"")</f>
        <v/>
      </c>
      <c r="B15432" s="87"/>
      <c r="C15432" s="87"/>
      <c r="D15432" s="87"/>
      <c r="E15432" s="87"/>
      <c r="F15432" s="87"/>
      <c r="G15432" s="87"/>
    </row>
    <row r="15433">
      <c r="A15433" s="86" t="str">
        <f>IFERROR(__xludf.DUMMYFUNCTION("""COMPUTED_VALUE"""),"")</f>
        <v/>
      </c>
      <c r="B15433" s="87"/>
      <c r="C15433" s="87"/>
      <c r="D15433" s="87"/>
      <c r="E15433" s="87"/>
      <c r="F15433" s="87"/>
      <c r="G15433" s="87"/>
    </row>
    <row r="15434">
      <c r="A15434" s="86" t="str">
        <f>IFERROR(__xludf.DUMMYFUNCTION("""COMPUTED_VALUE"""),"")</f>
        <v/>
      </c>
      <c r="B15434" s="87"/>
      <c r="C15434" s="87"/>
      <c r="D15434" s="87"/>
      <c r="E15434" s="87"/>
      <c r="F15434" s="87"/>
      <c r="G15434" s="87"/>
    </row>
    <row r="15435">
      <c r="A15435" s="86" t="str">
        <f>IFERROR(__xludf.DUMMYFUNCTION("""COMPUTED_VALUE"""),"")</f>
        <v/>
      </c>
      <c r="B15435" s="87"/>
      <c r="C15435" s="87"/>
      <c r="D15435" s="87"/>
      <c r="E15435" s="87"/>
      <c r="F15435" s="87"/>
      <c r="G15435" s="87"/>
    </row>
    <row r="15436">
      <c r="A15436" s="86" t="str">
        <f>IFERROR(__xludf.DUMMYFUNCTION("""COMPUTED_VALUE"""),"")</f>
        <v/>
      </c>
      <c r="B15436" s="87"/>
      <c r="C15436" s="87"/>
      <c r="D15436" s="87"/>
      <c r="E15436" s="87"/>
      <c r="F15436" s="87"/>
      <c r="G15436" s="87"/>
    </row>
    <row r="15437">
      <c r="A15437" s="86" t="str">
        <f>IFERROR(__xludf.DUMMYFUNCTION("""COMPUTED_VALUE"""),"")</f>
        <v/>
      </c>
      <c r="B15437" s="87"/>
      <c r="C15437" s="87"/>
      <c r="D15437" s="87"/>
      <c r="E15437" s="87"/>
      <c r="F15437" s="87"/>
      <c r="G15437" s="87"/>
    </row>
    <row r="15438">
      <c r="A15438" s="86" t="str">
        <f>IFERROR(__xludf.DUMMYFUNCTION("""COMPUTED_VALUE"""),"")</f>
        <v/>
      </c>
      <c r="B15438" s="87"/>
      <c r="C15438" s="87"/>
      <c r="D15438" s="87"/>
      <c r="E15438" s="87"/>
      <c r="F15438" s="87"/>
      <c r="G15438" s="87"/>
    </row>
    <row r="15439">
      <c r="A15439" s="86" t="str">
        <f>IFERROR(__xludf.DUMMYFUNCTION("""COMPUTED_VALUE"""),"")</f>
        <v/>
      </c>
      <c r="B15439" s="87"/>
      <c r="C15439" s="87"/>
      <c r="D15439" s="87"/>
      <c r="E15439" s="87"/>
      <c r="F15439" s="87"/>
      <c r="G15439" s="87"/>
    </row>
    <row r="15440">
      <c r="A15440" s="86" t="str">
        <f>IFERROR(__xludf.DUMMYFUNCTION("""COMPUTED_VALUE"""),"")</f>
        <v/>
      </c>
      <c r="B15440" s="87"/>
      <c r="C15440" s="87"/>
      <c r="D15440" s="87"/>
      <c r="E15440" s="87"/>
      <c r="F15440" s="87"/>
      <c r="G15440" s="87"/>
    </row>
    <row r="15441">
      <c r="A15441" s="86" t="str">
        <f>IFERROR(__xludf.DUMMYFUNCTION("""COMPUTED_VALUE"""),"")</f>
        <v/>
      </c>
      <c r="B15441" s="87"/>
      <c r="C15441" s="87"/>
      <c r="D15441" s="87"/>
      <c r="E15441" s="87"/>
      <c r="F15441" s="87"/>
      <c r="G15441" s="87"/>
    </row>
    <row r="15442">
      <c r="A15442" s="86" t="str">
        <f>IFERROR(__xludf.DUMMYFUNCTION("""COMPUTED_VALUE"""),"")</f>
        <v/>
      </c>
      <c r="B15442" s="87"/>
      <c r="C15442" s="87"/>
      <c r="D15442" s="87"/>
      <c r="E15442" s="87"/>
      <c r="F15442" s="87"/>
      <c r="G15442" s="87"/>
    </row>
    <row r="15443">
      <c r="A15443" s="86" t="str">
        <f>IFERROR(__xludf.DUMMYFUNCTION("""COMPUTED_VALUE"""),"")</f>
        <v/>
      </c>
      <c r="B15443" s="87"/>
      <c r="C15443" s="87"/>
      <c r="D15443" s="87"/>
      <c r="E15443" s="87"/>
      <c r="F15443" s="87"/>
      <c r="G15443" s="87"/>
    </row>
    <row r="15444">
      <c r="A15444" s="86" t="str">
        <f>IFERROR(__xludf.DUMMYFUNCTION("""COMPUTED_VALUE"""),"")</f>
        <v/>
      </c>
      <c r="B15444" s="87"/>
      <c r="C15444" s="87"/>
      <c r="D15444" s="87"/>
      <c r="E15444" s="87"/>
      <c r="F15444" s="87"/>
      <c r="G15444" s="87"/>
    </row>
    <row r="15445">
      <c r="A15445" s="86" t="str">
        <f>IFERROR(__xludf.DUMMYFUNCTION("""COMPUTED_VALUE"""),"")</f>
        <v/>
      </c>
      <c r="B15445" s="87"/>
      <c r="C15445" s="87"/>
      <c r="D15445" s="87"/>
      <c r="E15445" s="87"/>
      <c r="F15445" s="87"/>
      <c r="G15445" s="87"/>
    </row>
    <row r="15446">
      <c r="A15446" s="86" t="str">
        <f>IFERROR(__xludf.DUMMYFUNCTION("""COMPUTED_VALUE"""),"")</f>
        <v/>
      </c>
      <c r="B15446" s="87"/>
      <c r="C15446" s="87"/>
      <c r="D15446" s="87"/>
      <c r="E15446" s="87"/>
      <c r="F15446" s="87"/>
      <c r="G15446" s="87"/>
    </row>
    <row r="15447">
      <c r="A15447" s="86" t="str">
        <f>IFERROR(__xludf.DUMMYFUNCTION("""COMPUTED_VALUE"""),"")</f>
        <v/>
      </c>
      <c r="B15447" s="87"/>
      <c r="C15447" s="87"/>
      <c r="D15447" s="87"/>
      <c r="E15447" s="87"/>
      <c r="F15447" s="87"/>
      <c r="G15447" s="87"/>
    </row>
    <row r="15448">
      <c r="A15448" s="86" t="str">
        <f>IFERROR(__xludf.DUMMYFUNCTION("""COMPUTED_VALUE"""),"")</f>
        <v/>
      </c>
      <c r="B15448" s="87"/>
      <c r="C15448" s="87"/>
      <c r="D15448" s="87"/>
      <c r="E15448" s="87"/>
      <c r="F15448" s="87"/>
      <c r="G15448" s="87"/>
    </row>
    <row r="15449">
      <c r="A15449" s="86" t="str">
        <f>IFERROR(__xludf.DUMMYFUNCTION("""COMPUTED_VALUE"""),"")</f>
        <v/>
      </c>
      <c r="B15449" s="87"/>
      <c r="C15449" s="87"/>
      <c r="D15449" s="87"/>
      <c r="E15449" s="87"/>
      <c r="F15449" s="87"/>
      <c r="G15449" s="87"/>
    </row>
    <row r="15450">
      <c r="A15450" s="86" t="str">
        <f>IFERROR(__xludf.DUMMYFUNCTION("""COMPUTED_VALUE"""),"")</f>
        <v/>
      </c>
      <c r="B15450" s="87"/>
      <c r="C15450" s="87"/>
      <c r="D15450" s="87"/>
      <c r="E15450" s="87"/>
      <c r="F15450" s="87"/>
      <c r="G15450" s="87"/>
    </row>
    <row r="15451">
      <c r="A15451" s="86" t="str">
        <f>IFERROR(__xludf.DUMMYFUNCTION("""COMPUTED_VALUE"""),"")</f>
        <v/>
      </c>
      <c r="B15451" s="87"/>
      <c r="C15451" s="87"/>
      <c r="D15451" s="87"/>
      <c r="E15451" s="87"/>
      <c r="F15451" s="87"/>
      <c r="G15451" s="87"/>
    </row>
    <row r="15452">
      <c r="A15452" s="86" t="str">
        <f>IFERROR(__xludf.DUMMYFUNCTION("""COMPUTED_VALUE"""),"")</f>
        <v/>
      </c>
      <c r="B15452" s="87"/>
      <c r="C15452" s="87"/>
      <c r="D15452" s="87"/>
      <c r="E15452" s="87"/>
      <c r="F15452" s="87"/>
      <c r="G15452" s="87"/>
    </row>
    <row r="15453">
      <c r="A15453" s="86" t="str">
        <f>IFERROR(__xludf.DUMMYFUNCTION("""COMPUTED_VALUE"""),"")</f>
        <v/>
      </c>
      <c r="B15453" s="87"/>
      <c r="C15453" s="87"/>
      <c r="D15453" s="87"/>
      <c r="E15453" s="87"/>
      <c r="F15453" s="87"/>
      <c r="G15453" s="87"/>
    </row>
    <row r="15454">
      <c r="A15454" s="86" t="str">
        <f>IFERROR(__xludf.DUMMYFUNCTION("""COMPUTED_VALUE"""),"")</f>
        <v/>
      </c>
      <c r="B15454" s="87"/>
      <c r="C15454" s="87"/>
      <c r="D15454" s="87"/>
      <c r="E15454" s="87"/>
      <c r="F15454" s="87"/>
      <c r="G15454" s="87"/>
    </row>
    <row r="15455">
      <c r="A15455" s="86" t="str">
        <f>IFERROR(__xludf.DUMMYFUNCTION("""COMPUTED_VALUE"""),"")</f>
        <v/>
      </c>
      <c r="B15455" s="87"/>
      <c r="C15455" s="87"/>
      <c r="D15455" s="87"/>
      <c r="E15455" s="87"/>
      <c r="F15455" s="87"/>
      <c r="G15455" s="87"/>
    </row>
    <row r="15456">
      <c r="A15456" s="86" t="str">
        <f>IFERROR(__xludf.DUMMYFUNCTION("""COMPUTED_VALUE"""),"")</f>
        <v/>
      </c>
      <c r="B15456" s="87"/>
      <c r="C15456" s="87"/>
      <c r="D15456" s="87"/>
      <c r="E15456" s="87"/>
      <c r="F15456" s="87"/>
      <c r="G15456" s="87"/>
    </row>
    <row r="15457">
      <c r="A15457" s="86" t="str">
        <f>IFERROR(__xludf.DUMMYFUNCTION("""COMPUTED_VALUE"""),"")</f>
        <v/>
      </c>
      <c r="B15457" s="87"/>
      <c r="C15457" s="87"/>
      <c r="D15457" s="87"/>
      <c r="E15457" s="87"/>
      <c r="F15457" s="87"/>
      <c r="G15457" s="87"/>
    </row>
    <row r="15458">
      <c r="A15458" s="86" t="str">
        <f>IFERROR(__xludf.DUMMYFUNCTION("""COMPUTED_VALUE"""),"")</f>
        <v/>
      </c>
      <c r="B15458" s="87"/>
      <c r="C15458" s="87"/>
      <c r="D15458" s="87"/>
      <c r="E15458" s="87"/>
      <c r="F15458" s="87"/>
      <c r="G15458" s="87"/>
    </row>
    <row r="15459">
      <c r="A15459" s="86" t="str">
        <f>IFERROR(__xludf.DUMMYFUNCTION("""COMPUTED_VALUE"""),"")</f>
        <v/>
      </c>
      <c r="B15459" s="87"/>
      <c r="C15459" s="87"/>
      <c r="D15459" s="87"/>
      <c r="E15459" s="87"/>
      <c r="F15459" s="87"/>
      <c r="G15459" s="87"/>
    </row>
    <row r="15460">
      <c r="A15460" s="86" t="str">
        <f>IFERROR(__xludf.DUMMYFUNCTION("""COMPUTED_VALUE"""),"")</f>
        <v/>
      </c>
      <c r="B15460" s="87"/>
      <c r="C15460" s="87"/>
      <c r="D15460" s="87"/>
      <c r="E15460" s="87"/>
      <c r="F15460" s="87"/>
      <c r="G15460" s="87"/>
    </row>
    <row r="15461">
      <c r="A15461" s="86" t="str">
        <f>IFERROR(__xludf.DUMMYFUNCTION("""COMPUTED_VALUE"""),"")</f>
        <v/>
      </c>
      <c r="B15461" s="87"/>
      <c r="C15461" s="87"/>
      <c r="D15461" s="87"/>
      <c r="E15461" s="87"/>
      <c r="F15461" s="87"/>
      <c r="G15461" s="87"/>
    </row>
    <row r="15462">
      <c r="A15462" s="86" t="str">
        <f>IFERROR(__xludf.DUMMYFUNCTION("""COMPUTED_VALUE"""),"")</f>
        <v/>
      </c>
      <c r="B15462" s="87"/>
      <c r="C15462" s="87"/>
      <c r="D15462" s="87"/>
      <c r="E15462" s="87"/>
      <c r="F15462" s="87"/>
      <c r="G15462" s="87"/>
    </row>
    <row r="15463">
      <c r="A15463" s="86" t="str">
        <f>IFERROR(__xludf.DUMMYFUNCTION("""COMPUTED_VALUE"""),"")</f>
        <v/>
      </c>
      <c r="B15463" s="87"/>
      <c r="C15463" s="87"/>
      <c r="D15463" s="87"/>
      <c r="E15463" s="87"/>
      <c r="F15463" s="87"/>
      <c r="G15463" s="87"/>
    </row>
    <row r="15464">
      <c r="A15464" s="86" t="str">
        <f>IFERROR(__xludf.DUMMYFUNCTION("""COMPUTED_VALUE"""),"")</f>
        <v/>
      </c>
      <c r="B15464" s="87"/>
      <c r="C15464" s="87"/>
      <c r="D15464" s="87"/>
      <c r="E15464" s="87"/>
      <c r="F15464" s="87"/>
      <c r="G15464" s="87"/>
    </row>
    <row r="15465">
      <c r="A15465" s="86" t="str">
        <f>IFERROR(__xludf.DUMMYFUNCTION("""COMPUTED_VALUE"""),"")</f>
        <v/>
      </c>
      <c r="B15465" s="87"/>
      <c r="C15465" s="87"/>
      <c r="D15465" s="87"/>
      <c r="E15465" s="87"/>
      <c r="F15465" s="87"/>
      <c r="G15465" s="87"/>
    </row>
    <row r="15466">
      <c r="A15466" s="86" t="str">
        <f>IFERROR(__xludf.DUMMYFUNCTION("""COMPUTED_VALUE"""),"")</f>
        <v/>
      </c>
      <c r="B15466" s="87"/>
      <c r="C15466" s="87"/>
      <c r="D15466" s="87"/>
      <c r="E15466" s="87"/>
      <c r="F15466" s="87"/>
      <c r="G15466" s="87"/>
    </row>
    <row r="15467">
      <c r="A15467" s="86" t="str">
        <f>IFERROR(__xludf.DUMMYFUNCTION("""COMPUTED_VALUE"""),"")</f>
        <v/>
      </c>
      <c r="B15467" s="87"/>
      <c r="C15467" s="87"/>
      <c r="D15467" s="87"/>
      <c r="E15467" s="87"/>
      <c r="F15467" s="87"/>
      <c r="G15467" s="87"/>
    </row>
    <row r="15468">
      <c r="A15468" s="86" t="str">
        <f>IFERROR(__xludf.DUMMYFUNCTION("""COMPUTED_VALUE"""),"")</f>
        <v/>
      </c>
      <c r="B15468" s="87"/>
      <c r="C15468" s="87"/>
      <c r="D15468" s="87"/>
      <c r="E15468" s="87"/>
      <c r="F15468" s="87"/>
      <c r="G15468" s="87"/>
    </row>
    <row r="15469">
      <c r="A15469" s="86" t="str">
        <f>IFERROR(__xludf.DUMMYFUNCTION("""COMPUTED_VALUE"""),"")</f>
        <v/>
      </c>
      <c r="B15469" s="87"/>
      <c r="C15469" s="87"/>
      <c r="D15469" s="87"/>
      <c r="E15469" s="87"/>
      <c r="F15469" s="87"/>
      <c r="G15469" s="87"/>
    </row>
    <row r="15470">
      <c r="A15470" s="86" t="str">
        <f>IFERROR(__xludf.DUMMYFUNCTION("""COMPUTED_VALUE"""),"")</f>
        <v/>
      </c>
      <c r="B15470" s="87"/>
      <c r="C15470" s="87"/>
      <c r="D15470" s="87"/>
      <c r="E15470" s="87"/>
      <c r="F15470" s="87"/>
      <c r="G15470" s="87"/>
    </row>
    <row r="15471">
      <c r="A15471" s="86" t="str">
        <f>IFERROR(__xludf.DUMMYFUNCTION("""COMPUTED_VALUE"""),"")</f>
        <v/>
      </c>
      <c r="B15471" s="87"/>
      <c r="C15471" s="87"/>
      <c r="D15471" s="87"/>
      <c r="E15471" s="87"/>
      <c r="F15471" s="87"/>
      <c r="G15471" s="87"/>
    </row>
    <row r="15472">
      <c r="A15472" s="86" t="str">
        <f>IFERROR(__xludf.DUMMYFUNCTION("""COMPUTED_VALUE"""),"")</f>
        <v/>
      </c>
      <c r="B15472" s="87"/>
      <c r="C15472" s="87"/>
      <c r="D15472" s="87"/>
      <c r="E15472" s="87"/>
      <c r="F15472" s="87"/>
      <c r="G15472" s="87"/>
    </row>
    <row r="15473">
      <c r="A15473" s="86" t="str">
        <f>IFERROR(__xludf.DUMMYFUNCTION("""COMPUTED_VALUE"""),"")</f>
        <v/>
      </c>
      <c r="B15473" s="87"/>
      <c r="C15473" s="87"/>
      <c r="D15473" s="87"/>
      <c r="E15473" s="87"/>
      <c r="F15473" s="87"/>
      <c r="G15473" s="87"/>
    </row>
    <row r="15474">
      <c r="A15474" s="86" t="str">
        <f>IFERROR(__xludf.DUMMYFUNCTION("""COMPUTED_VALUE"""),"")</f>
        <v/>
      </c>
      <c r="B15474" s="87"/>
      <c r="C15474" s="87"/>
      <c r="D15474" s="87"/>
      <c r="E15474" s="87"/>
      <c r="F15474" s="87"/>
      <c r="G15474" s="87"/>
    </row>
    <row r="15475">
      <c r="A15475" s="86" t="str">
        <f>IFERROR(__xludf.DUMMYFUNCTION("""COMPUTED_VALUE"""),"")</f>
        <v/>
      </c>
      <c r="B15475" s="87"/>
      <c r="C15475" s="87"/>
      <c r="D15475" s="87"/>
      <c r="E15475" s="87"/>
      <c r="F15475" s="87"/>
      <c r="G15475" s="87"/>
    </row>
    <row r="15476">
      <c r="A15476" s="86" t="str">
        <f>IFERROR(__xludf.DUMMYFUNCTION("""COMPUTED_VALUE"""),"")</f>
        <v/>
      </c>
      <c r="B15476" s="87"/>
      <c r="C15476" s="87"/>
      <c r="D15476" s="87"/>
      <c r="E15476" s="87"/>
      <c r="F15476" s="87"/>
      <c r="G15476" s="87"/>
    </row>
    <row r="15477">
      <c r="A15477" s="86" t="str">
        <f>IFERROR(__xludf.DUMMYFUNCTION("""COMPUTED_VALUE"""),"")</f>
        <v/>
      </c>
      <c r="B15477" s="87"/>
      <c r="C15477" s="87"/>
      <c r="D15477" s="87"/>
      <c r="E15477" s="87"/>
      <c r="F15477" s="87"/>
      <c r="G15477" s="87"/>
    </row>
    <row r="15478">
      <c r="A15478" s="86" t="str">
        <f>IFERROR(__xludf.DUMMYFUNCTION("""COMPUTED_VALUE"""),"")</f>
        <v/>
      </c>
      <c r="B15478" s="87"/>
      <c r="C15478" s="87"/>
      <c r="D15478" s="87"/>
      <c r="E15478" s="87"/>
      <c r="F15478" s="87"/>
      <c r="G15478" s="87"/>
    </row>
    <row r="15479">
      <c r="A15479" s="86" t="str">
        <f>IFERROR(__xludf.DUMMYFUNCTION("""COMPUTED_VALUE"""),"")</f>
        <v/>
      </c>
      <c r="B15479" s="87"/>
      <c r="C15479" s="87"/>
      <c r="D15479" s="87"/>
      <c r="E15479" s="87"/>
      <c r="F15479" s="87"/>
      <c r="G15479" s="87"/>
    </row>
    <row r="15480">
      <c r="A15480" s="86" t="str">
        <f>IFERROR(__xludf.DUMMYFUNCTION("""COMPUTED_VALUE"""),"")</f>
        <v/>
      </c>
      <c r="B15480" s="87"/>
      <c r="C15480" s="87"/>
      <c r="D15480" s="87"/>
      <c r="E15480" s="87"/>
      <c r="F15480" s="87"/>
      <c r="G15480" s="87"/>
    </row>
    <row r="15481">
      <c r="A15481" s="86" t="str">
        <f>IFERROR(__xludf.DUMMYFUNCTION("""COMPUTED_VALUE"""),"")</f>
        <v/>
      </c>
      <c r="B15481" s="87"/>
      <c r="C15481" s="87"/>
      <c r="D15481" s="87"/>
      <c r="E15481" s="87"/>
      <c r="F15481" s="87"/>
      <c r="G15481" s="87"/>
    </row>
    <row r="15482">
      <c r="A15482" s="86" t="str">
        <f>IFERROR(__xludf.DUMMYFUNCTION("""COMPUTED_VALUE"""),"")</f>
        <v/>
      </c>
      <c r="B15482" s="87"/>
      <c r="C15482" s="87"/>
      <c r="D15482" s="87"/>
      <c r="E15482" s="87"/>
      <c r="F15482" s="87"/>
      <c r="G15482" s="87"/>
    </row>
    <row r="15483">
      <c r="A15483" s="86" t="str">
        <f>IFERROR(__xludf.DUMMYFUNCTION("""COMPUTED_VALUE"""),"")</f>
        <v/>
      </c>
      <c r="B15483" s="87"/>
      <c r="C15483" s="87"/>
      <c r="D15483" s="87"/>
      <c r="E15483" s="87"/>
      <c r="F15483" s="87"/>
      <c r="G15483" s="87"/>
    </row>
    <row r="15484">
      <c r="A15484" s="86" t="str">
        <f>IFERROR(__xludf.DUMMYFUNCTION("""COMPUTED_VALUE"""),"")</f>
        <v/>
      </c>
      <c r="B15484" s="87"/>
      <c r="C15484" s="87"/>
      <c r="D15484" s="87"/>
      <c r="E15484" s="87"/>
      <c r="F15484" s="87"/>
      <c r="G15484" s="87"/>
    </row>
    <row r="15485">
      <c r="A15485" s="86" t="str">
        <f>IFERROR(__xludf.DUMMYFUNCTION("""COMPUTED_VALUE"""),"")</f>
        <v/>
      </c>
      <c r="B15485" s="87"/>
      <c r="C15485" s="87"/>
      <c r="D15485" s="87"/>
      <c r="E15485" s="87"/>
      <c r="F15485" s="87"/>
      <c r="G15485" s="87"/>
    </row>
    <row r="15486">
      <c r="A15486" s="86" t="str">
        <f>IFERROR(__xludf.DUMMYFUNCTION("""COMPUTED_VALUE"""),"")</f>
        <v/>
      </c>
      <c r="B15486" s="87"/>
      <c r="C15486" s="87"/>
      <c r="D15486" s="87"/>
      <c r="E15486" s="87"/>
      <c r="F15486" s="87"/>
      <c r="G15486" s="87"/>
    </row>
    <row r="15487">
      <c r="A15487" s="86" t="str">
        <f>IFERROR(__xludf.DUMMYFUNCTION("""COMPUTED_VALUE"""),"")</f>
        <v/>
      </c>
      <c r="B15487" s="87"/>
      <c r="C15487" s="87"/>
      <c r="D15487" s="87"/>
      <c r="E15487" s="87"/>
      <c r="F15487" s="87"/>
      <c r="G15487" s="87"/>
    </row>
    <row r="15488">
      <c r="A15488" s="86" t="str">
        <f>IFERROR(__xludf.DUMMYFUNCTION("""COMPUTED_VALUE"""),"")</f>
        <v/>
      </c>
      <c r="B15488" s="87"/>
      <c r="C15488" s="87"/>
      <c r="D15488" s="87"/>
      <c r="E15488" s="87"/>
      <c r="F15488" s="87"/>
      <c r="G15488" s="87"/>
    </row>
    <row r="15489">
      <c r="A15489" s="86" t="str">
        <f>IFERROR(__xludf.DUMMYFUNCTION("""COMPUTED_VALUE"""),"")</f>
        <v/>
      </c>
      <c r="B15489" s="87"/>
      <c r="C15489" s="87"/>
      <c r="D15489" s="87"/>
      <c r="E15489" s="87"/>
      <c r="F15489" s="87"/>
      <c r="G15489" s="87"/>
    </row>
    <row r="15490">
      <c r="A15490" s="86" t="str">
        <f>IFERROR(__xludf.DUMMYFUNCTION("""COMPUTED_VALUE"""),"")</f>
        <v/>
      </c>
      <c r="B15490" s="87"/>
      <c r="C15490" s="87"/>
      <c r="D15490" s="87"/>
      <c r="E15490" s="87"/>
      <c r="F15490" s="87"/>
      <c r="G15490" s="87"/>
    </row>
    <row r="15491">
      <c r="A15491" s="86" t="str">
        <f>IFERROR(__xludf.DUMMYFUNCTION("""COMPUTED_VALUE"""),"")</f>
        <v/>
      </c>
      <c r="B15491" s="87"/>
      <c r="C15491" s="87"/>
      <c r="D15491" s="87"/>
      <c r="E15491" s="87"/>
      <c r="F15491" s="87"/>
      <c r="G15491" s="87"/>
    </row>
    <row r="15492">
      <c r="A15492" s="86" t="str">
        <f>IFERROR(__xludf.DUMMYFUNCTION("""COMPUTED_VALUE"""),"")</f>
        <v/>
      </c>
      <c r="B15492" s="87"/>
      <c r="C15492" s="87"/>
      <c r="D15492" s="87"/>
      <c r="E15492" s="87"/>
      <c r="F15492" s="87"/>
      <c r="G15492" s="87"/>
    </row>
    <row r="15493">
      <c r="A15493" s="86" t="str">
        <f>IFERROR(__xludf.DUMMYFUNCTION("""COMPUTED_VALUE"""),"")</f>
        <v/>
      </c>
      <c r="B15493" s="87"/>
      <c r="C15493" s="87"/>
      <c r="D15493" s="87"/>
      <c r="E15493" s="87"/>
      <c r="F15493" s="87"/>
      <c r="G15493" s="87"/>
    </row>
    <row r="15494">
      <c r="A15494" s="86" t="str">
        <f>IFERROR(__xludf.DUMMYFUNCTION("""COMPUTED_VALUE"""),"")</f>
        <v/>
      </c>
      <c r="B15494" s="87"/>
      <c r="C15494" s="87"/>
      <c r="D15494" s="87"/>
      <c r="E15494" s="87"/>
      <c r="F15494" s="87"/>
      <c r="G15494" s="87"/>
    </row>
    <row r="15495">
      <c r="A15495" s="86" t="str">
        <f>IFERROR(__xludf.DUMMYFUNCTION("""COMPUTED_VALUE"""),"")</f>
        <v/>
      </c>
      <c r="B15495" s="87"/>
      <c r="C15495" s="87"/>
      <c r="D15495" s="87"/>
      <c r="E15495" s="87"/>
      <c r="F15495" s="87"/>
      <c r="G15495" s="87"/>
    </row>
    <row r="15496">
      <c r="A15496" s="86" t="str">
        <f>IFERROR(__xludf.DUMMYFUNCTION("""COMPUTED_VALUE"""),"")</f>
        <v/>
      </c>
      <c r="B15496" s="87"/>
      <c r="C15496" s="87"/>
      <c r="D15496" s="87"/>
      <c r="E15496" s="87"/>
      <c r="F15496" s="87"/>
      <c r="G15496" s="87"/>
    </row>
    <row r="15497">
      <c r="A15497" s="86" t="str">
        <f>IFERROR(__xludf.DUMMYFUNCTION("""COMPUTED_VALUE"""),"")</f>
        <v/>
      </c>
      <c r="B15497" s="87"/>
      <c r="C15497" s="87"/>
      <c r="D15497" s="87"/>
      <c r="E15497" s="87"/>
      <c r="F15497" s="87"/>
      <c r="G15497" s="87"/>
    </row>
    <row r="15498">
      <c r="A15498" s="86" t="str">
        <f>IFERROR(__xludf.DUMMYFUNCTION("""COMPUTED_VALUE"""),"")</f>
        <v/>
      </c>
      <c r="B15498" s="87"/>
      <c r="C15498" s="87"/>
      <c r="D15498" s="87"/>
      <c r="E15498" s="87"/>
      <c r="F15498" s="87"/>
      <c r="G15498" s="87"/>
    </row>
    <row r="15499">
      <c r="A15499" s="86" t="str">
        <f>IFERROR(__xludf.DUMMYFUNCTION("""COMPUTED_VALUE"""),"")</f>
        <v/>
      </c>
      <c r="B15499" s="87"/>
      <c r="C15499" s="87"/>
      <c r="D15499" s="87"/>
      <c r="E15499" s="87"/>
      <c r="F15499" s="87"/>
      <c r="G15499" s="87"/>
    </row>
    <row r="15500">
      <c r="A15500" s="86" t="str">
        <f>IFERROR(__xludf.DUMMYFUNCTION("""COMPUTED_VALUE"""),"")</f>
        <v/>
      </c>
      <c r="B15500" s="87"/>
      <c r="C15500" s="87"/>
      <c r="D15500" s="87"/>
      <c r="E15500" s="87"/>
      <c r="F15500" s="87"/>
      <c r="G15500" s="87"/>
    </row>
    <row r="15501">
      <c r="A15501" s="86" t="str">
        <f>IFERROR(__xludf.DUMMYFUNCTION("""COMPUTED_VALUE"""),"")</f>
        <v/>
      </c>
      <c r="B15501" s="87"/>
      <c r="C15501" s="87"/>
      <c r="D15501" s="87"/>
      <c r="E15501" s="87"/>
      <c r="F15501" s="87"/>
      <c r="G15501" s="87"/>
    </row>
    <row r="15502">
      <c r="A15502" s="86" t="str">
        <f>IFERROR(__xludf.DUMMYFUNCTION("""COMPUTED_VALUE"""),"")</f>
        <v/>
      </c>
      <c r="B15502" s="87"/>
      <c r="C15502" s="87"/>
      <c r="D15502" s="87"/>
      <c r="E15502" s="87"/>
      <c r="F15502" s="87"/>
      <c r="G15502" s="87"/>
    </row>
    <row r="15503">
      <c r="A15503" s="86" t="str">
        <f>IFERROR(__xludf.DUMMYFUNCTION("""COMPUTED_VALUE"""),"")</f>
        <v/>
      </c>
      <c r="B15503" s="87"/>
      <c r="C15503" s="87"/>
      <c r="D15503" s="87"/>
      <c r="E15503" s="87"/>
      <c r="F15503" s="87"/>
      <c r="G15503" s="87"/>
    </row>
    <row r="15504">
      <c r="A15504" s="86" t="str">
        <f>IFERROR(__xludf.DUMMYFUNCTION("""COMPUTED_VALUE"""),"")</f>
        <v/>
      </c>
      <c r="B15504" s="87"/>
      <c r="C15504" s="87"/>
      <c r="D15504" s="87"/>
      <c r="E15504" s="87"/>
      <c r="F15504" s="87"/>
      <c r="G15504" s="87"/>
    </row>
    <row r="15505">
      <c r="A15505" s="86" t="str">
        <f>IFERROR(__xludf.DUMMYFUNCTION("""COMPUTED_VALUE"""),"")</f>
        <v/>
      </c>
      <c r="B15505" s="87"/>
      <c r="C15505" s="87"/>
      <c r="D15505" s="87"/>
      <c r="E15505" s="87"/>
      <c r="F15505" s="87"/>
      <c r="G15505" s="87"/>
    </row>
    <row r="15506">
      <c r="A15506" s="86" t="str">
        <f>IFERROR(__xludf.DUMMYFUNCTION("""COMPUTED_VALUE"""),"")</f>
        <v/>
      </c>
      <c r="B15506" s="87"/>
      <c r="C15506" s="87"/>
      <c r="D15506" s="87"/>
      <c r="E15506" s="87"/>
      <c r="F15506" s="87"/>
      <c r="G15506" s="87"/>
    </row>
    <row r="15507">
      <c r="A15507" s="86" t="str">
        <f>IFERROR(__xludf.DUMMYFUNCTION("""COMPUTED_VALUE"""),"")</f>
        <v/>
      </c>
      <c r="B15507" s="87"/>
      <c r="C15507" s="87"/>
      <c r="D15507" s="87"/>
      <c r="E15507" s="87"/>
      <c r="F15507" s="87"/>
      <c r="G15507" s="87"/>
    </row>
    <row r="15508">
      <c r="A15508" s="86" t="str">
        <f>IFERROR(__xludf.DUMMYFUNCTION("""COMPUTED_VALUE"""),"")</f>
        <v/>
      </c>
      <c r="B15508" s="87"/>
      <c r="C15508" s="87"/>
      <c r="D15508" s="87"/>
      <c r="E15508" s="87"/>
      <c r="F15508" s="87"/>
      <c r="G15508" s="87"/>
    </row>
    <row r="15509">
      <c r="A15509" s="86" t="str">
        <f>IFERROR(__xludf.DUMMYFUNCTION("""COMPUTED_VALUE"""),"")</f>
        <v/>
      </c>
      <c r="B15509" s="87"/>
      <c r="C15509" s="87"/>
      <c r="D15509" s="87"/>
      <c r="E15509" s="87"/>
      <c r="F15509" s="87"/>
      <c r="G15509" s="87"/>
    </row>
    <row r="15510">
      <c r="A15510" s="86" t="str">
        <f>IFERROR(__xludf.DUMMYFUNCTION("""COMPUTED_VALUE"""),"")</f>
        <v/>
      </c>
      <c r="B15510" s="87"/>
      <c r="C15510" s="87"/>
      <c r="D15510" s="87"/>
      <c r="E15510" s="87"/>
      <c r="F15510" s="87"/>
      <c r="G15510" s="87"/>
    </row>
    <row r="15511">
      <c r="A15511" s="86" t="str">
        <f>IFERROR(__xludf.DUMMYFUNCTION("""COMPUTED_VALUE"""),"")</f>
        <v/>
      </c>
      <c r="B15511" s="87"/>
      <c r="C15511" s="87"/>
      <c r="D15511" s="87"/>
      <c r="E15511" s="87"/>
      <c r="F15511" s="87"/>
      <c r="G15511" s="87"/>
    </row>
    <row r="15512">
      <c r="A15512" s="86" t="str">
        <f>IFERROR(__xludf.DUMMYFUNCTION("""COMPUTED_VALUE"""),"")</f>
        <v/>
      </c>
      <c r="B15512" s="87"/>
      <c r="C15512" s="87"/>
      <c r="D15512" s="87"/>
      <c r="E15512" s="87"/>
      <c r="F15512" s="87"/>
      <c r="G15512" s="87"/>
    </row>
    <row r="15513">
      <c r="A15513" s="86" t="str">
        <f>IFERROR(__xludf.DUMMYFUNCTION("""COMPUTED_VALUE"""),"")</f>
        <v/>
      </c>
      <c r="B15513" s="87"/>
      <c r="C15513" s="87"/>
      <c r="D15513" s="87"/>
      <c r="E15513" s="87"/>
      <c r="F15513" s="87"/>
      <c r="G15513" s="87"/>
    </row>
    <row r="15514">
      <c r="A15514" s="86" t="str">
        <f>IFERROR(__xludf.DUMMYFUNCTION("""COMPUTED_VALUE"""),"")</f>
        <v/>
      </c>
      <c r="B15514" s="87"/>
      <c r="C15514" s="87"/>
      <c r="D15514" s="87"/>
      <c r="E15514" s="87"/>
      <c r="F15514" s="87"/>
      <c r="G15514" s="87"/>
    </row>
    <row r="15515">
      <c r="A15515" s="86" t="str">
        <f>IFERROR(__xludf.DUMMYFUNCTION("""COMPUTED_VALUE"""),"")</f>
        <v/>
      </c>
      <c r="B15515" s="87"/>
      <c r="C15515" s="87"/>
      <c r="D15515" s="87"/>
      <c r="E15515" s="87"/>
      <c r="F15515" s="87"/>
      <c r="G15515" s="87"/>
    </row>
    <row r="15516">
      <c r="A15516" s="86" t="str">
        <f>IFERROR(__xludf.DUMMYFUNCTION("""COMPUTED_VALUE"""),"")</f>
        <v/>
      </c>
      <c r="B15516" s="87"/>
      <c r="C15516" s="87"/>
      <c r="D15516" s="87"/>
      <c r="E15516" s="87"/>
      <c r="F15516" s="87"/>
      <c r="G15516" s="87"/>
    </row>
    <row r="15517">
      <c r="A15517" s="86" t="str">
        <f>IFERROR(__xludf.DUMMYFUNCTION("""COMPUTED_VALUE"""),"")</f>
        <v/>
      </c>
      <c r="B15517" s="87"/>
      <c r="C15517" s="87"/>
      <c r="D15517" s="87"/>
      <c r="E15517" s="87"/>
      <c r="F15517" s="87"/>
      <c r="G15517" s="87"/>
    </row>
    <row r="15518">
      <c r="A15518" s="86" t="str">
        <f>IFERROR(__xludf.DUMMYFUNCTION("""COMPUTED_VALUE"""),"")</f>
        <v/>
      </c>
      <c r="B15518" s="87"/>
      <c r="C15518" s="87"/>
      <c r="D15518" s="87"/>
      <c r="E15518" s="87"/>
      <c r="F15518" s="87"/>
      <c r="G15518" s="87"/>
    </row>
    <row r="15519">
      <c r="A15519" s="86" t="str">
        <f>IFERROR(__xludf.DUMMYFUNCTION("""COMPUTED_VALUE"""),"")</f>
        <v/>
      </c>
      <c r="B15519" s="87"/>
      <c r="C15519" s="87"/>
      <c r="D15519" s="87"/>
      <c r="E15519" s="87"/>
      <c r="F15519" s="87"/>
      <c r="G15519" s="87"/>
    </row>
    <row r="15520">
      <c r="A15520" s="86" t="str">
        <f>IFERROR(__xludf.DUMMYFUNCTION("""COMPUTED_VALUE"""),"")</f>
        <v/>
      </c>
      <c r="B15520" s="87"/>
      <c r="C15520" s="87"/>
      <c r="D15520" s="87"/>
      <c r="E15520" s="87"/>
      <c r="F15520" s="87"/>
      <c r="G15520" s="87"/>
    </row>
    <row r="15521">
      <c r="A15521" s="86" t="str">
        <f>IFERROR(__xludf.DUMMYFUNCTION("""COMPUTED_VALUE"""),"")</f>
        <v/>
      </c>
      <c r="B15521" s="87"/>
      <c r="C15521" s="87"/>
      <c r="D15521" s="87"/>
      <c r="E15521" s="87"/>
      <c r="F15521" s="87"/>
      <c r="G15521" s="87"/>
    </row>
    <row r="15522">
      <c r="A15522" s="86" t="str">
        <f>IFERROR(__xludf.DUMMYFUNCTION("""COMPUTED_VALUE"""),"")</f>
        <v/>
      </c>
      <c r="B15522" s="87"/>
      <c r="C15522" s="87"/>
      <c r="D15522" s="87"/>
      <c r="E15522" s="87"/>
      <c r="F15522" s="87"/>
      <c r="G15522" s="87"/>
    </row>
    <row r="15523">
      <c r="A15523" s="86" t="str">
        <f>IFERROR(__xludf.DUMMYFUNCTION("""COMPUTED_VALUE"""),"")</f>
        <v/>
      </c>
      <c r="B15523" s="87"/>
      <c r="C15523" s="87"/>
      <c r="D15523" s="87"/>
      <c r="E15523" s="87"/>
      <c r="F15523" s="87"/>
      <c r="G15523" s="87"/>
    </row>
    <row r="15524">
      <c r="A15524" s="86" t="str">
        <f>IFERROR(__xludf.DUMMYFUNCTION("""COMPUTED_VALUE"""),"")</f>
        <v/>
      </c>
      <c r="B15524" s="87"/>
      <c r="C15524" s="87"/>
      <c r="D15524" s="87"/>
      <c r="E15524" s="87"/>
      <c r="F15524" s="87"/>
      <c r="G15524" s="87"/>
    </row>
    <row r="15525">
      <c r="A15525" s="86" t="str">
        <f>IFERROR(__xludf.DUMMYFUNCTION("""COMPUTED_VALUE"""),"")</f>
        <v/>
      </c>
      <c r="B15525" s="87"/>
      <c r="C15525" s="87"/>
      <c r="D15525" s="87"/>
      <c r="E15525" s="87"/>
      <c r="F15525" s="87"/>
      <c r="G15525" s="87"/>
    </row>
    <row r="15526">
      <c r="A15526" s="86" t="str">
        <f>IFERROR(__xludf.DUMMYFUNCTION("""COMPUTED_VALUE"""),"")</f>
        <v/>
      </c>
      <c r="B15526" s="87"/>
      <c r="C15526" s="87"/>
      <c r="D15526" s="87"/>
      <c r="E15526" s="87"/>
      <c r="F15526" s="87"/>
      <c r="G15526" s="87"/>
    </row>
    <row r="15527">
      <c r="A15527" s="86" t="str">
        <f>IFERROR(__xludf.DUMMYFUNCTION("""COMPUTED_VALUE"""),"")</f>
        <v/>
      </c>
      <c r="B15527" s="87"/>
      <c r="C15527" s="87"/>
      <c r="D15527" s="87"/>
      <c r="E15527" s="87"/>
      <c r="F15527" s="87"/>
      <c r="G15527" s="87"/>
    </row>
    <row r="15528">
      <c r="A15528" s="86" t="str">
        <f>IFERROR(__xludf.DUMMYFUNCTION("""COMPUTED_VALUE"""),"")</f>
        <v/>
      </c>
      <c r="B15528" s="87"/>
      <c r="C15528" s="87"/>
      <c r="D15528" s="87"/>
      <c r="E15528" s="87"/>
      <c r="F15528" s="87"/>
      <c r="G15528" s="87"/>
    </row>
    <row r="15529">
      <c r="A15529" s="86" t="str">
        <f>IFERROR(__xludf.DUMMYFUNCTION("""COMPUTED_VALUE"""),"")</f>
        <v/>
      </c>
      <c r="B15529" s="87"/>
      <c r="C15529" s="87"/>
      <c r="D15529" s="87"/>
      <c r="E15529" s="87"/>
      <c r="F15529" s="87"/>
      <c r="G15529" s="87"/>
    </row>
    <row r="15530">
      <c r="A15530" s="86" t="str">
        <f>IFERROR(__xludf.DUMMYFUNCTION("""COMPUTED_VALUE"""),"")</f>
        <v/>
      </c>
      <c r="B15530" s="87"/>
      <c r="C15530" s="87"/>
      <c r="D15530" s="87"/>
      <c r="E15530" s="87"/>
      <c r="F15530" s="87"/>
      <c r="G15530" s="87"/>
    </row>
    <row r="15531">
      <c r="A15531" s="86" t="str">
        <f>IFERROR(__xludf.DUMMYFUNCTION("""COMPUTED_VALUE"""),"")</f>
        <v/>
      </c>
      <c r="B15531" s="87"/>
      <c r="C15531" s="87"/>
      <c r="D15531" s="87"/>
      <c r="E15531" s="87"/>
      <c r="F15531" s="87"/>
      <c r="G15531" s="87"/>
    </row>
    <row r="15532">
      <c r="A15532" s="86" t="str">
        <f>IFERROR(__xludf.DUMMYFUNCTION("""COMPUTED_VALUE"""),"")</f>
        <v/>
      </c>
      <c r="B15532" s="87"/>
      <c r="C15532" s="87"/>
      <c r="D15532" s="87"/>
      <c r="E15532" s="87"/>
      <c r="F15532" s="87"/>
      <c r="G15532" s="87"/>
    </row>
    <row r="15533">
      <c r="A15533" s="86" t="str">
        <f>IFERROR(__xludf.DUMMYFUNCTION("""COMPUTED_VALUE"""),"")</f>
        <v/>
      </c>
      <c r="B15533" s="87"/>
      <c r="C15533" s="87"/>
      <c r="D15533" s="87"/>
      <c r="E15533" s="87"/>
      <c r="F15533" s="87"/>
      <c r="G15533" s="87"/>
    </row>
    <row r="15534">
      <c r="A15534" s="86" t="str">
        <f>IFERROR(__xludf.DUMMYFUNCTION("""COMPUTED_VALUE"""),"")</f>
        <v/>
      </c>
      <c r="B15534" s="87"/>
      <c r="C15534" s="87"/>
      <c r="D15534" s="87"/>
      <c r="E15534" s="87"/>
      <c r="F15534" s="87"/>
      <c r="G15534" s="87"/>
    </row>
    <row r="15535">
      <c r="A15535" s="86" t="str">
        <f>IFERROR(__xludf.DUMMYFUNCTION("""COMPUTED_VALUE"""),"")</f>
        <v/>
      </c>
      <c r="B15535" s="87"/>
      <c r="C15535" s="87"/>
      <c r="D15535" s="87"/>
      <c r="E15535" s="87"/>
      <c r="F15535" s="87"/>
      <c r="G15535" s="87"/>
    </row>
    <row r="15536">
      <c r="A15536" s="86" t="str">
        <f>IFERROR(__xludf.DUMMYFUNCTION("""COMPUTED_VALUE"""),"")</f>
        <v/>
      </c>
      <c r="B15536" s="87"/>
      <c r="C15536" s="87"/>
      <c r="D15536" s="87"/>
      <c r="E15536" s="87"/>
      <c r="F15536" s="87"/>
      <c r="G15536" s="87"/>
    </row>
    <row r="15537">
      <c r="A15537" s="86" t="str">
        <f>IFERROR(__xludf.DUMMYFUNCTION("""COMPUTED_VALUE"""),"")</f>
        <v/>
      </c>
      <c r="B15537" s="87"/>
      <c r="C15537" s="87"/>
      <c r="D15537" s="87"/>
      <c r="E15537" s="87"/>
      <c r="F15537" s="87"/>
      <c r="G15537" s="87"/>
    </row>
    <row r="15538">
      <c r="A15538" s="86" t="str">
        <f>IFERROR(__xludf.DUMMYFUNCTION("""COMPUTED_VALUE"""),"")</f>
        <v/>
      </c>
      <c r="B15538" s="87"/>
      <c r="C15538" s="87"/>
      <c r="D15538" s="87"/>
      <c r="E15538" s="87"/>
      <c r="F15538" s="87"/>
      <c r="G15538" s="87"/>
    </row>
    <row r="15539">
      <c r="A15539" s="86" t="str">
        <f>IFERROR(__xludf.DUMMYFUNCTION("""COMPUTED_VALUE"""),"")</f>
        <v/>
      </c>
      <c r="B15539" s="87"/>
      <c r="C15539" s="87"/>
      <c r="D15539" s="87"/>
      <c r="E15539" s="87"/>
      <c r="F15539" s="87"/>
      <c r="G15539" s="87"/>
    </row>
    <row r="15540">
      <c r="A15540" s="86" t="str">
        <f>IFERROR(__xludf.DUMMYFUNCTION("""COMPUTED_VALUE"""),"")</f>
        <v/>
      </c>
      <c r="B15540" s="87"/>
      <c r="C15540" s="87"/>
      <c r="D15540" s="87"/>
      <c r="E15540" s="87"/>
      <c r="F15540" s="87"/>
      <c r="G15540" s="87"/>
    </row>
    <row r="15541">
      <c r="A15541" s="86" t="str">
        <f>IFERROR(__xludf.DUMMYFUNCTION("""COMPUTED_VALUE"""),"")</f>
        <v/>
      </c>
      <c r="B15541" s="87"/>
      <c r="C15541" s="87"/>
      <c r="D15541" s="87"/>
      <c r="E15541" s="87"/>
      <c r="F15541" s="87"/>
      <c r="G15541" s="87"/>
    </row>
    <row r="15542">
      <c r="A15542" s="86" t="str">
        <f>IFERROR(__xludf.DUMMYFUNCTION("""COMPUTED_VALUE"""),"")</f>
        <v/>
      </c>
      <c r="B15542" s="87"/>
      <c r="C15542" s="87"/>
      <c r="D15542" s="87"/>
      <c r="E15542" s="87"/>
      <c r="F15542" s="87"/>
      <c r="G15542" s="87"/>
    </row>
    <row r="15543">
      <c r="A15543" s="86" t="str">
        <f>IFERROR(__xludf.DUMMYFUNCTION("""COMPUTED_VALUE"""),"")</f>
        <v/>
      </c>
      <c r="B15543" s="87"/>
      <c r="C15543" s="87"/>
      <c r="D15543" s="87"/>
      <c r="E15543" s="87"/>
      <c r="F15543" s="87"/>
      <c r="G15543" s="87"/>
    </row>
    <row r="15544">
      <c r="A15544" s="86" t="str">
        <f>IFERROR(__xludf.DUMMYFUNCTION("""COMPUTED_VALUE"""),"")</f>
        <v/>
      </c>
      <c r="B15544" s="87"/>
      <c r="C15544" s="87"/>
      <c r="D15544" s="87"/>
      <c r="E15544" s="87"/>
      <c r="F15544" s="87"/>
      <c r="G15544" s="87"/>
    </row>
    <row r="15545">
      <c r="A15545" s="86" t="str">
        <f>IFERROR(__xludf.DUMMYFUNCTION("""COMPUTED_VALUE"""),"")</f>
        <v/>
      </c>
      <c r="B15545" s="87"/>
      <c r="C15545" s="87"/>
      <c r="D15545" s="87"/>
      <c r="E15545" s="87"/>
      <c r="F15545" s="87"/>
      <c r="G15545" s="87"/>
    </row>
    <row r="15546">
      <c r="A15546" s="86" t="str">
        <f>IFERROR(__xludf.DUMMYFUNCTION("""COMPUTED_VALUE"""),"")</f>
        <v/>
      </c>
      <c r="B15546" s="87"/>
      <c r="C15546" s="87"/>
      <c r="D15546" s="87"/>
      <c r="E15546" s="87"/>
      <c r="F15546" s="87"/>
      <c r="G15546" s="87"/>
    </row>
    <row r="15547">
      <c r="A15547" s="86" t="str">
        <f>IFERROR(__xludf.DUMMYFUNCTION("""COMPUTED_VALUE"""),"")</f>
        <v/>
      </c>
      <c r="B15547" s="87"/>
      <c r="C15547" s="87"/>
      <c r="D15547" s="87"/>
      <c r="E15547" s="87"/>
      <c r="F15547" s="87"/>
      <c r="G15547" s="87"/>
    </row>
    <row r="15548">
      <c r="A15548" s="86" t="str">
        <f>IFERROR(__xludf.DUMMYFUNCTION("""COMPUTED_VALUE"""),"")</f>
        <v/>
      </c>
      <c r="B15548" s="87"/>
      <c r="C15548" s="87"/>
      <c r="D15548" s="87"/>
      <c r="E15548" s="87"/>
      <c r="F15548" s="87"/>
      <c r="G15548" s="87"/>
    </row>
    <row r="15549">
      <c r="A15549" s="86" t="str">
        <f>IFERROR(__xludf.DUMMYFUNCTION("""COMPUTED_VALUE"""),"")</f>
        <v/>
      </c>
      <c r="B15549" s="87"/>
      <c r="C15549" s="87"/>
      <c r="D15549" s="87"/>
      <c r="E15549" s="87"/>
      <c r="F15549" s="87"/>
      <c r="G15549" s="87"/>
    </row>
    <row r="15550">
      <c r="A15550" s="86" t="str">
        <f>IFERROR(__xludf.DUMMYFUNCTION("""COMPUTED_VALUE"""),"")</f>
        <v/>
      </c>
      <c r="B15550" s="87"/>
      <c r="C15550" s="87"/>
      <c r="D15550" s="87"/>
      <c r="E15550" s="87"/>
      <c r="F15550" s="87"/>
      <c r="G15550" s="87"/>
    </row>
    <row r="15551">
      <c r="A15551" s="86" t="str">
        <f>IFERROR(__xludf.DUMMYFUNCTION("""COMPUTED_VALUE"""),"")</f>
        <v/>
      </c>
      <c r="B15551" s="87"/>
      <c r="C15551" s="87"/>
      <c r="D15551" s="87"/>
      <c r="E15551" s="87"/>
      <c r="F15551" s="87"/>
      <c r="G15551" s="87"/>
    </row>
    <row r="15552">
      <c r="A15552" s="86" t="str">
        <f>IFERROR(__xludf.DUMMYFUNCTION("""COMPUTED_VALUE"""),"")</f>
        <v/>
      </c>
      <c r="B15552" s="87"/>
      <c r="C15552" s="87"/>
      <c r="D15552" s="87"/>
      <c r="E15552" s="87"/>
      <c r="F15552" s="87"/>
      <c r="G15552" s="87"/>
    </row>
    <row r="15553">
      <c r="A15553" s="86" t="str">
        <f>IFERROR(__xludf.DUMMYFUNCTION("""COMPUTED_VALUE"""),"")</f>
        <v/>
      </c>
      <c r="B15553" s="87"/>
      <c r="C15553" s="87"/>
      <c r="D15553" s="87"/>
      <c r="E15553" s="87"/>
      <c r="F15553" s="87"/>
      <c r="G15553" s="87"/>
    </row>
    <row r="15554">
      <c r="A15554" s="86" t="str">
        <f>IFERROR(__xludf.DUMMYFUNCTION("""COMPUTED_VALUE"""),"")</f>
        <v/>
      </c>
      <c r="B15554" s="87"/>
      <c r="C15554" s="87"/>
      <c r="D15554" s="87"/>
      <c r="E15554" s="87"/>
      <c r="F15554" s="87"/>
      <c r="G15554" s="87"/>
    </row>
    <row r="15555">
      <c r="A15555" s="86" t="str">
        <f>IFERROR(__xludf.DUMMYFUNCTION("""COMPUTED_VALUE"""),"")</f>
        <v/>
      </c>
      <c r="B15555" s="87"/>
      <c r="C15555" s="87"/>
      <c r="D15555" s="87"/>
      <c r="E15555" s="87"/>
      <c r="F15555" s="87"/>
      <c r="G15555" s="87"/>
    </row>
    <row r="15556">
      <c r="A15556" s="86" t="str">
        <f>IFERROR(__xludf.DUMMYFUNCTION("""COMPUTED_VALUE"""),"")</f>
        <v/>
      </c>
      <c r="B15556" s="87"/>
      <c r="C15556" s="87"/>
      <c r="D15556" s="87"/>
      <c r="E15556" s="87"/>
      <c r="F15556" s="87"/>
      <c r="G15556" s="87"/>
    </row>
    <row r="15557">
      <c r="A15557" s="86" t="str">
        <f>IFERROR(__xludf.DUMMYFUNCTION("""COMPUTED_VALUE"""),"")</f>
        <v/>
      </c>
      <c r="B15557" s="87"/>
      <c r="C15557" s="87"/>
      <c r="D15557" s="87"/>
      <c r="E15557" s="87"/>
      <c r="F15557" s="87"/>
      <c r="G15557" s="87"/>
    </row>
    <row r="15558">
      <c r="A15558" s="86" t="str">
        <f>IFERROR(__xludf.DUMMYFUNCTION("""COMPUTED_VALUE"""),"")</f>
        <v/>
      </c>
      <c r="B15558" s="87"/>
      <c r="C15558" s="87"/>
      <c r="D15558" s="87"/>
      <c r="E15558" s="87"/>
      <c r="F15558" s="87"/>
      <c r="G15558" s="87"/>
    </row>
    <row r="15559">
      <c r="A15559" s="86" t="str">
        <f>IFERROR(__xludf.DUMMYFUNCTION("""COMPUTED_VALUE"""),"")</f>
        <v/>
      </c>
      <c r="B15559" s="87"/>
      <c r="C15559" s="87"/>
      <c r="D15559" s="87"/>
      <c r="E15559" s="87"/>
      <c r="F15559" s="87"/>
      <c r="G15559" s="87"/>
    </row>
    <row r="15560">
      <c r="A15560" s="86" t="str">
        <f>IFERROR(__xludf.DUMMYFUNCTION("""COMPUTED_VALUE"""),"")</f>
        <v/>
      </c>
      <c r="B15560" s="87"/>
      <c r="C15560" s="87"/>
      <c r="D15560" s="87"/>
      <c r="E15560" s="87"/>
      <c r="F15560" s="87"/>
      <c r="G15560" s="87"/>
    </row>
    <row r="15561">
      <c r="A15561" s="86" t="str">
        <f>IFERROR(__xludf.DUMMYFUNCTION("""COMPUTED_VALUE"""),"")</f>
        <v/>
      </c>
      <c r="B15561" s="87"/>
      <c r="C15561" s="87"/>
      <c r="D15561" s="87"/>
      <c r="E15561" s="87"/>
      <c r="F15561" s="87"/>
      <c r="G15561" s="87"/>
    </row>
    <row r="15562">
      <c r="A15562" s="86" t="str">
        <f>IFERROR(__xludf.DUMMYFUNCTION("""COMPUTED_VALUE"""),"")</f>
        <v/>
      </c>
      <c r="B15562" s="87"/>
      <c r="C15562" s="87"/>
      <c r="D15562" s="87"/>
      <c r="E15562" s="87"/>
      <c r="F15562" s="87"/>
      <c r="G15562" s="87"/>
    </row>
    <row r="15563">
      <c r="A15563" s="86" t="str">
        <f>IFERROR(__xludf.DUMMYFUNCTION("""COMPUTED_VALUE"""),"")</f>
        <v/>
      </c>
      <c r="B15563" s="87"/>
      <c r="C15563" s="87"/>
      <c r="D15563" s="87"/>
      <c r="E15563" s="87"/>
      <c r="F15563" s="87"/>
      <c r="G15563" s="87"/>
    </row>
    <row r="15564">
      <c r="A15564" s="86" t="str">
        <f>IFERROR(__xludf.DUMMYFUNCTION("""COMPUTED_VALUE"""),"")</f>
        <v/>
      </c>
      <c r="B15564" s="87"/>
      <c r="C15564" s="87"/>
      <c r="D15564" s="87"/>
      <c r="E15564" s="87"/>
      <c r="F15564" s="87"/>
      <c r="G15564" s="87"/>
    </row>
    <row r="15565">
      <c r="A15565" s="86" t="str">
        <f>IFERROR(__xludf.DUMMYFUNCTION("""COMPUTED_VALUE"""),"")</f>
        <v/>
      </c>
      <c r="B15565" s="87"/>
      <c r="C15565" s="87"/>
      <c r="D15565" s="87"/>
      <c r="E15565" s="87"/>
      <c r="F15565" s="87"/>
      <c r="G15565" s="87"/>
    </row>
    <row r="15566">
      <c r="A15566" s="86" t="str">
        <f>IFERROR(__xludf.DUMMYFUNCTION("""COMPUTED_VALUE"""),"")</f>
        <v/>
      </c>
      <c r="B15566" s="87"/>
      <c r="C15566" s="87"/>
      <c r="D15566" s="87"/>
      <c r="E15566" s="87"/>
      <c r="F15566" s="87"/>
      <c r="G15566" s="87"/>
    </row>
    <row r="15567">
      <c r="A15567" s="86" t="str">
        <f>IFERROR(__xludf.DUMMYFUNCTION("""COMPUTED_VALUE"""),"")</f>
        <v/>
      </c>
      <c r="B15567" s="87"/>
      <c r="C15567" s="87"/>
      <c r="D15567" s="87"/>
      <c r="E15567" s="87"/>
      <c r="F15567" s="87"/>
      <c r="G15567" s="87"/>
    </row>
    <row r="15568">
      <c r="A15568" s="86" t="str">
        <f>IFERROR(__xludf.DUMMYFUNCTION("""COMPUTED_VALUE"""),"")</f>
        <v/>
      </c>
      <c r="B15568" s="87"/>
      <c r="C15568" s="87"/>
      <c r="D15568" s="87"/>
      <c r="E15568" s="87"/>
      <c r="F15568" s="87"/>
      <c r="G15568" s="87"/>
    </row>
    <row r="15569">
      <c r="A15569" s="86" t="str">
        <f>IFERROR(__xludf.DUMMYFUNCTION("""COMPUTED_VALUE"""),"")</f>
        <v/>
      </c>
      <c r="B15569" s="87"/>
      <c r="C15569" s="87"/>
      <c r="D15569" s="87"/>
      <c r="E15569" s="87"/>
      <c r="F15569" s="87"/>
      <c r="G15569" s="87"/>
    </row>
    <row r="15570">
      <c r="A15570" s="86" t="str">
        <f>IFERROR(__xludf.DUMMYFUNCTION("""COMPUTED_VALUE"""),"")</f>
        <v/>
      </c>
      <c r="B15570" s="87"/>
      <c r="C15570" s="87"/>
      <c r="D15570" s="87"/>
      <c r="E15570" s="87"/>
      <c r="F15570" s="87"/>
      <c r="G15570" s="87"/>
    </row>
    <row r="15571">
      <c r="A15571" s="86" t="str">
        <f>IFERROR(__xludf.DUMMYFUNCTION("""COMPUTED_VALUE"""),"")</f>
        <v/>
      </c>
      <c r="B15571" s="87"/>
      <c r="C15571" s="87"/>
      <c r="D15571" s="87"/>
      <c r="E15571" s="87"/>
      <c r="F15571" s="87"/>
      <c r="G15571" s="87"/>
    </row>
    <row r="15572">
      <c r="A15572" s="86" t="str">
        <f>IFERROR(__xludf.DUMMYFUNCTION("""COMPUTED_VALUE"""),"")</f>
        <v/>
      </c>
      <c r="B15572" s="87"/>
      <c r="C15572" s="87"/>
      <c r="D15572" s="87"/>
      <c r="E15572" s="87"/>
      <c r="F15572" s="87"/>
      <c r="G15572" s="87"/>
    </row>
    <row r="15573">
      <c r="A15573" s="86" t="str">
        <f>IFERROR(__xludf.DUMMYFUNCTION("""COMPUTED_VALUE"""),"")</f>
        <v/>
      </c>
      <c r="B15573" s="87"/>
      <c r="C15573" s="87"/>
      <c r="D15573" s="87"/>
      <c r="E15573" s="87"/>
      <c r="F15573" s="87"/>
      <c r="G15573" s="87"/>
    </row>
    <row r="15574">
      <c r="A15574" s="86" t="str">
        <f>IFERROR(__xludf.DUMMYFUNCTION("""COMPUTED_VALUE"""),"")</f>
        <v/>
      </c>
      <c r="B15574" s="87"/>
      <c r="C15574" s="87"/>
      <c r="D15574" s="87"/>
      <c r="E15574" s="87"/>
      <c r="F15574" s="87"/>
      <c r="G15574" s="87"/>
    </row>
    <row r="15575">
      <c r="A15575" s="86" t="str">
        <f>IFERROR(__xludf.DUMMYFUNCTION("""COMPUTED_VALUE"""),"")</f>
        <v/>
      </c>
      <c r="B15575" s="87"/>
      <c r="C15575" s="87"/>
      <c r="D15575" s="87"/>
      <c r="E15575" s="87"/>
      <c r="F15575" s="87"/>
      <c r="G15575" s="87"/>
    </row>
    <row r="15576">
      <c r="A15576" s="86" t="str">
        <f>IFERROR(__xludf.DUMMYFUNCTION("""COMPUTED_VALUE"""),"")</f>
        <v/>
      </c>
      <c r="B15576" s="87"/>
      <c r="C15576" s="87"/>
      <c r="D15576" s="87"/>
      <c r="E15576" s="87"/>
      <c r="F15576" s="87"/>
      <c r="G15576" s="87"/>
    </row>
    <row r="15577">
      <c r="A15577" s="86" t="str">
        <f>IFERROR(__xludf.DUMMYFUNCTION("""COMPUTED_VALUE"""),"")</f>
        <v/>
      </c>
      <c r="B15577" s="87"/>
      <c r="C15577" s="87"/>
      <c r="D15577" s="87"/>
      <c r="E15577" s="87"/>
      <c r="F15577" s="87"/>
      <c r="G15577" s="87"/>
    </row>
    <row r="15578">
      <c r="A15578" s="86" t="str">
        <f>IFERROR(__xludf.DUMMYFUNCTION("""COMPUTED_VALUE"""),"")</f>
        <v/>
      </c>
      <c r="B15578" s="87"/>
      <c r="C15578" s="87"/>
      <c r="D15578" s="87"/>
      <c r="E15578" s="87"/>
      <c r="F15578" s="87"/>
      <c r="G15578" s="87"/>
    </row>
    <row r="15579">
      <c r="A15579" s="86" t="str">
        <f>IFERROR(__xludf.DUMMYFUNCTION("""COMPUTED_VALUE"""),"")</f>
        <v/>
      </c>
      <c r="B15579" s="87"/>
      <c r="C15579" s="87"/>
      <c r="D15579" s="87"/>
      <c r="E15579" s="87"/>
      <c r="F15579" s="87"/>
      <c r="G15579" s="87"/>
    </row>
    <row r="15580">
      <c r="A15580" s="86" t="str">
        <f>IFERROR(__xludf.DUMMYFUNCTION("""COMPUTED_VALUE"""),"")</f>
        <v/>
      </c>
      <c r="B15580" s="87"/>
      <c r="C15580" s="87"/>
      <c r="D15580" s="87"/>
      <c r="E15580" s="87"/>
      <c r="F15580" s="87"/>
      <c r="G15580" s="87"/>
    </row>
    <row r="15581">
      <c r="A15581" s="86" t="str">
        <f>IFERROR(__xludf.DUMMYFUNCTION("""COMPUTED_VALUE"""),"")</f>
        <v/>
      </c>
      <c r="B15581" s="87"/>
      <c r="C15581" s="87"/>
      <c r="D15581" s="87"/>
      <c r="E15581" s="87"/>
      <c r="F15581" s="87"/>
      <c r="G15581" s="87"/>
    </row>
    <row r="15582">
      <c r="A15582" s="86" t="str">
        <f>IFERROR(__xludf.DUMMYFUNCTION("""COMPUTED_VALUE"""),"")</f>
        <v/>
      </c>
      <c r="B15582" s="87"/>
      <c r="C15582" s="87"/>
      <c r="D15582" s="87"/>
      <c r="E15582" s="87"/>
      <c r="F15582" s="87"/>
      <c r="G15582" s="87"/>
    </row>
    <row r="15583">
      <c r="A15583" s="86" t="str">
        <f>IFERROR(__xludf.DUMMYFUNCTION("""COMPUTED_VALUE"""),"")</f>
        <v/>
      </c>
      <c r="B15583" s="87"/>
      <c r="C15583" s="87"/>
      <c r="D15583" s="87"/>
      <c r="E15583" s="87"/>
      <c r="F15583" s="87"/>
      <c r="G15583" s="87"/>
    </row>
    <row r="15584">
      <c r="A15584" s="86" t="str">
        <f>IFERROR(__xludf.DUMMYFUNCTION("""COMPUTED_VALUE"""),"")</f>
        <v/>
      </c>
      <c r="B15584" s="87"/>
      <c r="C15584" s="87"/>
      <c r="D15584" s="87"/>
      <c r="E15584" s="87"/>
      <c r="F15584" s="87"/>
      <c r="G15584" s="87"/>
    </row>
    <row r="15585">
      <c r="A15585" s="86" t="str">
        <f>IFERROR(__xludf.DUMMYFUNCTION("""COMPUTED_VALUE"""),"")</f>
        <v/>
      </c>
      <c r="B15585" s="87"/>
      <c r="C15585" s="87"/>
      <c r="D15585" s="87"/>
      <c r="E15585" s="87"/>
      <c r="F15585" s="87"/>
      <c r="G15585" s="87"/>
    </row>
    <row r="15586">
      <c r="A15586" s="86" t="str">
        <f>IFERROR(__xludf.DUMMYFUNCTION("""COMPUTED_VALUE"""),"")</f>
        <v/>
      </c>
      <c r="B15586" s="87"/>
      <c r="C15586" s="87"/>
      <c r="D15586" s="87"/>
      <c r="E15586" s="87"/>
      <c r="F15586" s="87"/>
      <c r="G15586" s="87"/>
    </row>
    <row r="15587">
      <c r="A15587" s="86" t="str">
        <f>IFERROR(__xludf.DUMMYFUNCTION("""COMPUTED_VALUE"""),"")</f>
        <v/>
      </c>
      <c r="B15587" s="87"/>
      <c r="C15587" s="87"/>
      <c r="D15587" s="87"/>
      <c r="E15587" s="87"/>
      <c r="F15587" s="87"/>
      <c r="G15587" s="87"/>
    </row>
    <row r="15588">
      <c r="A15588" s="86" t="str">
        <f>IFERROR(__xludf.DUMMYFUNCTION("""COMPUTED_VALUE"""),"")</f>
        <v/>
      </c>
      <c r="B15588" s="87"/>
      <c r="C15588" s="87"/>
      <c r="D15588" s="87"/>
      <c r="E15588" s="87"/>
      <c r="F15588" s="87"/>
      <c r="G15588" s="87"/>
    </row>
    <row r="15589">
      <c r="A15589" s="86" t="str">
        <f>IFERROR(__xludf.DUMMYFUNCTION("""COMPUTED_VALUE"""),"")</f>
        <v/>
      </c>
      <c r="B15589" s="87"/>
      <c r="C15589" s="87"/>
      <c r="D15589" s="87"/>
      <c r="E15589" s="87"/>
      <c r="F15589" s="87"/>
      <c r="G15589" s="87"/>
    </row>
    <row r="15590">
      <c r="A15590" s="86" t="str">
        <f>IFERROR(__xludf.DUMMYFUNCTION("""COMPUTED_VALUE"""),"")</f>
        <v/>
      </c>
      <c r="B15590" s="87"/>
      <c r="C15590" s="87"/>
      <c r="D15590" s="87"/>
      <c r="E15590" s="87"/>
      <c r="F15590" s="87"/>
      <c r="G15590" s="87"/>
    </row>
    <row r="15591">
      <c r="A15591" s="86" t="str">
        <f>IFERROR(__xludf.DUMMYFUNCTION("""COMPUTED_VALUE"""),"")</f>
        <v/>
      </c>
      <c r="B15591" s="87"/>
      <c r="C15591" s="87"/>
      <c r="D15591" s="87"/>
      <c r="E15591" s="87"/>
      <c r="F15591" s="87"/>
      <c r="G15591" s="87"/>
    </row>
    <row r="15592">
      <c r="A15592" s="86" t="str">
        <f>IFERROR(__xludf.DUMMYFUNCTION("""COMPUTED_VALUE"""),"")</f>
        <v/>
      </c>
      <c r="B15592" s="87"/>
      <c r="C15592" s="87"/>
      <c r="D15592" s="87"/>
      <c r="E15592" s="87"/>
      <c r="F15592" s="87"/>
      <c r="G15592" s="87"/>
    </row>
    <row r="15593">
      <c r="A15593" s="86" t="str">
        <f>IFERROR(__xludf.DUMMYFUNCTION("""COMPUTED_VALUE"""),"")</f>
        <v/>
      </c>
      <c r="B15593" s="87"/>
      <c r="C15593" s="87"/>
      <c r="D15593" s="87"/>
      <c r="E15593" s="87"/>
      <c r="F15593" s="87"/>
      <c r="G15593" s="87"/>
    </row>
    <row r="15594">
      <c r="A15594" s="86" t="str">
        <f>IFERROR(__xludf.DUMMYFUNCTION("""COMPUTED_VALUE"""),"")</f>
        <v/>
      </c>
      <c r="B15594" s="87"/>
      <c r="C15594" s="87"/>
      <c r="D15594" s="87"/>
      <c r="E15594" s="87"/>
      <c r="F15594" s="87"/>
      <c r="G15594" s="87"/>
    </row>
    <row r="15595">
      <c r="A15595" s="86" t="str">
        <f>IFERROR(__xludf.DUMMYFUNCTION("""COMPUTED_VALUE"""),"")</f>
        <v/>
      </c>
      <c r="B15595" s="87"/>
      <c r="C15595" s="87"/>
      <c r="D15595" s="87"/>
      <c r="E15595" s="87"/>
      <c r="F15595" s="87"/>
      <c r="G15595" s="87"/>
    </row>
    <row r="15596">
      <c r="A15596" s="86" t="str">
        <f>IFERROR(__xludf.DUMMYFUNCTION("""COMPUTED_VALUE"""),"")</f>
        <v/>
      </c>
      <c r="B15596" s="87"/>
      <c r="C15596" s="87"/>
      <c r="D15596" s="87"/>
      <c r="E15596" s="87"/>
      <c r="F15596" s="87"/>
      <c r="G15596" s="87"/>
    </row>
    <row r="15597">
      <c r="A15597" s="86" t="str">
        <f>IFERROR(__xludf.DUMMYFUNCTION("""COMPUTED_VALUE"""),"")</f>
        <v/>
      </c>
      <c r="B15597" s="87"/>
      <c r="C15597" s="87"/>
      <c r="D15597" s="87"/>
      <c r="E15597" s="87"/>
      <c r="F15597" s="87"/>
      <c r="G15597" s="87"/>
    </row>
    <row r="15598">
      <c r="A15598" s="86" t="str">
        <f>IFERROR(__xludf.DUMMYFUNCTION("""COMPUTED_VALUE"""),"")</f>
        <v/>
      </c>
      <c r="B15598" s="87"/>
      <c r="C15598" s="87"/>
      <c r="D15598" s="87"/>
      <c r="E15598" s="87"/>
      <c r="F15598" s="87"/>
      <c r="G15598" s="87"/>
    </row>
    <row r="15599">
      <c r="A15599" s="86" t="str">
        <f>IFERROR(__xludf.DUMMYFUNCTION("""COMPUTED_VALUE"""),"")</f>
        <v/>
      </c>
      <c r="B15599" s="87"/>
      <c r="C15599" s="87"/>
      <c r="D15599" s="87"/>
      <c r="E15599" s="87"/>
      <c r="F15599" s="87"/>
      <c r="G15599" s="87"/>
    </row>
    <row r="15600">
      <c r="A15600" s="86" t="str">
        <f>IFERROR(__xludf.DUMMYFUNCTION("""COMPUTED_VALUE"""),"")</f>
        <v/>
      </c>
      <c r="B15600" s="87"/>
      <c r="C15600" s="87"/>
      <c r="D15600" s="87"/>
      <c r="E15600" s="87"/>
      <c r="F15600" s="87"/>
      <c r="G15600" s="87"/>
    </row>
    <row r="15601">
      <c r="A15601" s="86" t="str">
        <f>IFERROR(__xludf.DUMMYFUNCTION("""COMPUTED_VALUE"""),"")</f>
        <v/>
      </c>
      <c r="B15601" s="87"/>
      <c r="C15601" s="87"/>
      <c r="D15601" s="87"/>
      <c r="E15601" s="87"/>
      <c r="F15601" s="87"/>
      <c r="G15601" s="87"/>
    </row>
    <row r="15602">
      <c r="A15602" s="86" t="str">
        <f>IFERROR(__xludf.DUMMYFUNCTION("""COMPUTED_VALUE"""),"")</f>
        <v/>
      </c>
      <c r="B15602" s="87"/>
      <c r="C15602" s="87"/>
      <c r="D15602" s="87"/>
      <c r="E15602" s="87"/>
      <c r="F15602" s="87"/>
      <c r="G15602" s="87"/>
    </row>
    <row r="15603">
      <c r="A15603" s="86" t="str">
        <f>IFERROR(__xludf.DUMMYFUNCTION("""COMPUTED_VALUE"""),"")</f>
        <v/>
      </c>
      <c r="B15603" s="87"/>
      <c r="C15603" s="87"/>
      <c r="D15603" s="87"/>
      <c r="E15603" s="87"/>
      <c r="F15603" s="87"/>
      <c r="G15603" s="87"/>
    </row>
    <row r="15604">
      <c r="A15604" s="86" t="str">
        <f>IFERROR(__xludf.DUMMYFUNCTION("""COMPUTED_VALUE"""),"")</f>
        <v/>
      </c>
      <c r="B15604" s="87"/>
      <c r="C15604" s="87"/>
      <c r="D15604" s="87"/>
      <c r="E15604" s="87"/>
      <c r="F15604" s="87"/>
      <c r="G15604" s="87"/>
    </row>
    <row r="15605">
      <c r="A15605" s="86" t="str">
        <f>IFERROR(__xludf.DUMMYFUNCTION("""COMPUTED_VALUE"""),"")</f>
        <v/>
      </c>
      <c r="B15605" s="87"/>
      <c r="C15605" s="87"/>
      <c r="D15605" s="87"/>
      <c r="E15605" s="87"/>
      <c r="F15605" s="87"/>
      <c r="G15605" s="87"/>
    </row>
    <row r="15606">
      <c r="A15606" s="86" t="str">
        <f>IFERROR(__xludf.DUMMYFUNCTION("""COMPUTED_VALUE"""),"")</f>
        <v/>
      </c>
      <c r="B15606" s="87"/>
      <c r="C15606" s="87"/>
      <c r="D15606" s="87"/>
      <c r="E15606" s="87"/>
      <c r="F15606" s="87"/>
      <c r="G15606" s="87"/>
    </row>
    <row r="15607">
      <c r="A15607" s="86" t="str">
        <f>IFERROR(__xludf.DUMMYFUNCTION("""COMPUTED_VALUE"""),"")</f>
        <v/>
      </c>
      <c r="B15607" s="87"/>
      <c r="C15607" s="87"/>
      <c r="D15607" s="87"/>
      <c r="E15607" s="87"/>
      <c r="F15607" s="87"/>
      <c r="G15607" s="87"/>
    </row>
    <row r="15608">
      <c r="A15608" s="86" t="str">
        <f>IFERROR(__xludf.DUMMYFUNCTION("""COMPUTED_VALUE"""),"")</f>
        <v/>
      </c>
      <c r="B15608" s="87"/>
      <c r="C15608" s="87"/>
      <c r="D15608" s="87"/>
      <c r="E15608" s="87"/>
      <c r="F15608" s="87"/>
      <c r="G15608" s="87"/>
    </row>
    <row r="15609">
      <c r="A15609" s="86" t="str">
        <f>IFERROR(__xludf.DUMMYFUNCTION("""COMPUTED_VALUE"""),"")</f>
        <v/>
      </c>
      <c r="B15609" s="87"/>
      <c r="C15609" s="87"/>
      <c r="D15609" s="87"/>
      <c r="E15609" s="87"/>
      <c r="F15609" s="87"/>
      <c r="G15609" s="87"/>
    </row>
    <row r="15610">
      <c r="A15610" s="86" t="str">
        <f>IFERROR(__xludf.DUMMYFUNCTION("""COMPUTED_VALUE"""),"")</f>
        <v/>
      </c>
      <c r="B15610" s="87"/>
      <c r="C15610" s="87"/>
      <c r="D15610" s="87"/>
      <c r="E15610" s="87"/>
      <c r="F15610" s="87"/>
      <c r="G15610" s="87"/>
    </row>
    <row r="15611">
      <c r="A15611" s="86" t="str">
        <f>IFERROR(__xludf.DUMMYFUNCTION("""COMPUTED_VALUE"""),"")</f>
        <v/>
      </c>
      <c r="B15611" s="87"/>
      <c r="C15611" s="87"/>
      <c r="D15611" s="87"/>
      <c r="E15611" s="87"/>
      <c r="F15611" s="87"/>
      <c r="G15611" s="87"/>
    </row>
    <row r="15612">
      <c r="A15612" s="86" t="str">
        <f>IFERROR(__xludf.DUMMYFUNCTION("""COMPUTED_VALUE"""),"")</f>
        <v/>
      </c>
      <c r="B15612" s="87"/>
      <c r="C15612" s="87"/>
      <c r="D15612" s="87"/>
      <c r="E15612" s="87"/>
      <c r="F15612" s="87"/>
      <c r="G15612" s="87"/>
    </row>
    <row r="15613">
      <c r="A15613" s="86" t="str">
        <f>IFERROR(__xludf.DUMMYFUNCTION("""COMPUTED_VALUE"""),"")</f>
        <v/>
      </c>
      <c r="B15613" s="87"/>
      <c r="C15613" s="87"/>
      <c r="D15613" s="87"/>
      <c r="E15613" s="87"/>
      <c r="F15613" s="87"/>
      <c r="G15613" s="87"/>
    </row>
    <row r="15614">
      <c r="A15614" s="86" t="str">
        <f>IFERROR(__xludf.DUMMYFUNCTION("""COMPUTED_VALUE"""),"")</f>
        <v/>
      </c>
      <c r="B15614" s="87"/>
      <c r="C15614" s="87"/>
      <c r="D15614" s="87"/>
      <c r="E15614" s="87"/>
      <c r="F15614" s="87"/>
      <c r="G15614" s="87"/>
    </row>
    <row r="15615">
      <c r="A15615" s="86" t="str">
        <f>IFERROR(__xludf.DUMMYFUNCTION("""COMPUTED_VALUE"""),"")</f>
        <v/>
      </c>
      <c r="B15615" s="87"/>
      <c r="C15615" s="87"/>
      <c r="D15615" s="87"/>
      <c r="E15615" s="87"/>
      <c r="F15615" s="87"/>
      <c r="G15615" s="87"/>
    </row>
    <row r="15616">
      <c r="A15616" s="86" t="str">
        <f>IFERROR(__xludf.DUMMYFUNCTION("""COMPUTED_VALUE"""),"")</f>
        <v/>
      </c>
      <c r="B15616" s="87"/>
      <c r="C15616" s="87"/>
      <c r="D15616" s="87"/>
      <c r="E15616" s="87"/>
      <c r="F15616" s="87"/>
      <c r="G15616" s="87"/>
    </row>
    <row r="15617">
      <c r="A15617" s="86" t="str">
        <f>IFERROR(__xludf.DUMMYFUNCTION("""COMPUTED_VALUE"""),"")</f>
        <v/>
      </c>
      <c r="B15617" s="87"/>
      <c r="C15617" s="87"/>
      <c r="D15617" s="87"/>
      <c r="E15617" s="87"/>
      <c r="F15617" s="87"/>
      <c r="G15617" s="87"/>
    </row>
    <row r="15618">
      <c r="A15618" s="86" t="str">
        <f>IFERROR(__xludf.DUMMYFUNCTION("""COMPUTED_VALUE"""),"")</f>
        <v/>
      </c>
      <c r="B15618" s="87"/>
      <c r="C15618" s="87"/>
      <c r="D15618" s="87"/>
      <c r="E15618" s="87"/>
      <c r="F15618" s="87"/>
      <c r="G15618" s="87"/>
    </row>
    <row r="15619">
      <c r="A15619" s="86" t="str">
        <f>IFERROR(__xludf.DUMMYFUNCTION("""COMPUTED_VALUE"""),"")</f>
        <v/>
      </c>
      <c r="B15619" s="87"/>
      <c r="C15619" s="87"/>
      <c r="D15619" s="87"/>
      <c r="E15619" s="87"/>
      <c r="F15619" s="87"/>
      <c r="G15619" s="87"/>
    </row>
    <row r="15620">
      <c r="A15620" s="86" t="str">
        <f>IFERROR(__xludf.DUMMYFUNCTION("""COMPUTED_VALUE"""),"")</f>
        <v/>
      </c>
      <c r="B15620" s="87"/>
      <c r="C15620" s="87"/>
      <c r="D15620" s="87"/>
      <c r="E15620" s="87"/>
      <c r="F15620" s="87"/>
      <c r="G15620" s="87"/>
    </row>
    <row r="15621">
      <c r="A15621" s="86" t="str">
        <f>IFERROR(__xludf.DUMMYFUNCTION("""COMPUTED_VALUE"""),"")</f>
        <v/>
      </c>
      <c r="B15621" s="87"/>
      <c r="C15621" s="87"/>
      <c r="D15621" s="87"/>
      <c r="E15621" s="87"/>
      <c r="F15621" s="87"/>
      <c r="G15621" s="87"/>
    </row>
    <row r="15622">
      <c r="A15622" s="86" t="str">
        <f>IFERROR(__xludf.DUMMYFUNCTION("""COMPUTED_VALUE"""),"")</f>
        <v/>
      </c>
      <c r="B15622" s="87"/>
      <c r="C15622" s="87"/>
      <c r="D15622" s="87"/>
      <c r="E15622" s="87"/>
      <c r="F15622" s="87"/>
      <c r="G15622" s="87"/>
    </row>
    <row r="15623">
      <c r="A15623" s="86" t="str">
        <f>IFERROR(__xludf.DUMMYFUNCTION("""COMPUTED_VALUE"""),"")</f>
        <v/>
      </c>
      <c r="B15623" s="87"/>
      <c r="C15623" s="87"/>
      <c r="D15623" s="87"/>
      <c r="E15623" s="87"/>
      <c r="F15623" s="87"/>
      <c r="G15623" s="87"/>
    </row>
    <row r="15624">
      <c r="A15624" s="86" t="str">
        <f>IFERROR(__xludf.DUMMYFUNCTION("""COMPUTED_VALUE"""),"")</f>
        <v/>
      </c>
      <c r="B15624" s="87"/>
      <c r="C15624" s="87"/>
      <c r="D15624" s="87"/>
      <c r="E15624" s="87"/>
      <c r="F15624" s="87"/>
      <c r="G15624" s="87"/>
    </row>
    <row r="15625">
      <c r="A15625" s="86" t="str">
        <f>IFERROR(__xludf.DUMMYFUNCTION("""COMPUTED_VALUE"""),"")</f>
        <v/>
      </c>
      <c r="B15625" s="87"/>
      <c r="C15625" s="87"/>
      <c r="D15625" s="87"/>
      <c r="E15625" s="87"/>
      <c r="F15625" s="87"/>
      <c r="G15625" s="87"/>
    </row>
    <row r="15626">
      <c r="A15626" s="86" t="str">
        <f>IFERROR(__xludf.DUMMYFUNCTION("""COMPUTED_VALUE"""),"")</f>
        <v/>
      </c>
      <c r="B15626" s="87"/>
      <c r="C15626" s="87"/>
      <c r="D15626" s="87"/>
      <c r="E15626" s="87"/>
      <c r="F15626" s="87"/>
      <c r="G15626" s="87"/>
    </row>
    <row r="15627">
      <c r="A15627" s="86" t="str">
        <f>IFERROR(__xludf.DUMMYFUNCTION("""COMPUTED_VALUE"""),"")</f>
        <v/>
      </c>
      <c r="B15627" s="87"/>
      <c r="C15627" s="87"/>
      <c r="D15627" s="87"/>
      <c r="E15627" s="87"/>
      <c r="F15627" s="87"/>
      <c r="G15627" s="87"/>
    </row>
    <row r="15628">
      <c r="A15628" s="86" t="str">
        <f>IFERROR(__xludf.DUMMYFUNCTION("""COMPUTED_VALUE"""),"")</f>
        <v/>
      </c>
      <c r="B15628" s="87"/>
      <c r="C15628" s="87"/>
      <c r="D15628" s="87"/>
      <c r="E15628" s="87"/>
      <c r="F15628" s="87"/>
      <c r="G15628" s="87"/>
    </row>
    <row r="15629">
      <c r="A15629" s="86" t="str">
        <f>IFERROR(__xludf.DUMMYFUNCTION("""COMPUTED_VALUE"""),"")</f>
        <v/>
      </c>
      <c r="B15629" s="87"/>
      <c r="C15629" s="87"/>
      <c r="D15629" s="87"/>
      <c r="E15629" s="87"/>
      <c r="F15629" s="87"/>
      <c r="G15629" s="87"/>
    </row>
    <row r="15630">
      <c r="A15630" s="86" t="str">
        <f>IFERROR(__xludf.DUMMYFUNCTION("""COMPUTED_VALUE"""),"")</f>
        <v/>
      </c>
      <c r="B15630" s="87"/>
      <c r="C15630" s="87"/>
      <c r="D15630" s="87"/>
      <c r="E15630" s="87"/>
      <c r="F15630" s="87"/>
      <c r="G15630" s="87"/>
    </row>
    <row r="15631">
      <c r="A15631" s="86" t="str">
        <f>IFERROR(__xludf.DUMMYFUNCTION("""COMPUTED_VALUE"""),"")</f>
        <v/>
      </c>
      <c r="B15631" s="87"/>
      <c r="C15631" s="87"/>
      <c r="D15631" s="87"/>
      <c r="E15631" s="87"/>
      <c r="F15631" s="87"/>
      <c r="G15631" s="87"/>
    </row>
    <row r="15632">
      <c r="A15632" s="86" t="str">
        <f>IFERROR(__xludf.DUMMYFUNCTION("""COMPUTED_VALUE"""),"")</f>
        <v/>
      </c>
      <c r="B15632" s="87"/>
      <c r="C15632" s="87"/>
      <c r="D15632" s="87"/>
      <c r="E15632" s="87"/>
      <c r="F15632" s="87"/>
      <c r="G15632" s="87"/>
    </row>
    <row r="15633">
      <c r="A15633" s="86" t="str">
        <f>IFERROR(__xludf.DUMMYFUNCTION("""COMPUTED_VALUE"""),"")</f>
        <v/>
      </c>
      <c r="B15633" s="87"/>
      <c r="C15633" s="87"/>
      <c r="D15633" s="87"/>
      <c r="E15633" s="87"/>
      <c r="F15633" s="87"/>
      <c r="G15633" s="87"/>
    </row>
    <row r="15634">
      <c r="A15634" s="86" t="str">
        <f>IFERROR(__xludf.DUMMYFUNCTION("""COMPUTED_VALUE"""),"")</f>
        <v/>
      </c>
      <c r="B15634" s="87"/>
      <c r="C15634" s="87"/>
      <c r="D15634" s="87"/>
      <c r="E15634" s="87"/>
      <c r="F15634" s="87"/>
      <c r="G15634" s="87"/>
    </row>
    <row r="15635">
      <c r="A15635" s="86" t="str">
        <f>IFERROR(__xludf.DUMMYFUNCTION("""COMPUTED_VALUE"""),"")</f>
        <v/>
      </c>
      <c r="B15635" s="87"/>
      <c r="C15635" s="87"/>
      <c r="D15635" s="87"/>
      <c r="E15635" s="87"/>
      <c r="F15635" s="87"/>
      <c r="G15635" s="87"/>
    </row>
    <row r="15636">
      <c r="A15636" s="86" t="str">
        <f>IFERROR(__xludf.DUMMYFUNCTION("""COMPUTED_VALUE"""),"")</f>
        <v/>
      </c>
      <c r="B15636" s="87"/>
      <c r="C15636" s="87"/>
      <c r="D15636" s="87"/>
      <c r="E15636" s="87"/>
      <c r="F15636" s="87"/>
      <c r="G15636" s="87"/>
    </row>
    <row r="15637">
      <c r="A15637" s="86" t="str">
        <f>IFERROR(__xludf.DUMMYFUNCTION("""COMPUTED_VALUE"""),"")</f>
        <v/>
      </c>
      <c r="B15637" s="87"/>
      <c r="C15637" s="87"/>
      <c r="D15637" s="87"/>
      <c r="E15637" s="87"/>
      <c r="F15637" s="87"/>
      <c r="G15637" s="87"/>
    </row>
    <row r="15638">
      <c r="A15638" s="86" t="str">
        <f>IFERROR(__xludf.DUMMYFUNCTION("""COMPUTED_VALUE"""),"")</f>
        <v/>
      </c>
      <c r="B15638" s="87"/>
      <c r="C15638" s="87"/>
      <c r="D15638" s="87"/>
      <c r="E15638" s="87"/>
      <c r="F15638" s="87"/>
      <c r="G15638" s="87"/>
    </row>
    <row r="15639">
      <c r="A15639" s="86" t="str">
        <f>IFERROR(__xludf.DUMMYFUNCTION("""COMPUTED_VALUE"""),"")</f>
        <v/>
      </c>
      <c r="B15639" s="87"/>
      <c r="C15639" s="87"/>
      <c r="D15639" s="87"/>
      <c r="E15639" s="87"/>
      <c r="F15639" s="87"/>
      <c r="G15639" s="87"/>
    </row>
    <row r="15640">
      <c r="A15640" s="86" t="str">
        <f>IFERROR(__xludf.DUMMYFUNCTION("""COMPUTED_VALUE"""),"")</f>
        <v/>
      </c>
      <c r="B15640" s="87"/>
      <c r="C15640" s="87"/>
      <c r="D15640" s="87"/>
      <c r="E15640" s="87"/>
      <c r="F15640" s="87"/>
      <c r="G15640" s="87"/>
    </row>
    <row r="15641">
      <c r="A15641" s="86" t="str">
        <f>IFERROR(__xludf.DUMMYFUNCTION("""COMPUTED_VALUE"""),"")</f>
        <v/>
      </c>
      <c r="B15641" s="87"/>
      <c r="C15641" s="87"/>
      <c r="D15641" s="87"/>
      <c r="E15641" s="87"/>
      <c r="F15641" s="87"/>
      <c r="G15641" s="87"/>
    </row>
    <row r="15642">
      <c r="A15642" s="86" t="str">
        <f>IFERROR(__xludf.DUMMYFUNCTION("""COMPUTED_VALUE"""),"")</f>
        <v/>
      </c>
      <c r="B15642" s="87"/>
      <c r="C15642" s="87"/>
      <c r="D15642" s="87"/>
      <c r="E15642" s="87"/>
      <c r="F15642" s="87"/>
      <c r="G15642" s="87"/>
    </row>
    <row r="15643">
      <c r="A15643" s="86" t="str">
        <f>IFERROR(__xludf.DUMMYFUNCTION("""COMPUTED_VALUE"""),"")</f>
        <v/>
      </c>
      <c r="B15643" s="87"/>
      <c r="C15643" s="87"/>
      <c r="D15643" s="87"/>
      <c r="E15643" s="87"/>
      <c r="F15643" s="87"/>
      <c r="G15643" s="87"/>
    </row>
    <row r="15644">
      <c r="A15644" s="86" t="str">
        <f>IFERROR(__xludf.DUMMYFUNCTION("""COMPUTED_VALUE"""),"")</f>
        <v/>
      </c>
      <c r="B15644" s="87"/>
      <c r="C15644" s="87"/>
      <c r="D15644" s="87"/>
      <c r="E15644" s="87"/>
      <c r="F15644" s="87"/>
      <c r="G15644" s="87"/>
    </row>
    <row r="15645">
      <c r="A15645" s="86" t="str">
        <f>IFERROR(__xludf.DUMMYFUNCTION("""COMPUTED_VALUE"""),"")</f>
        <v/>
      </c>
      <c r="B15645" s="87"/>
      <c r="C15645" s="87"/>
      <c r="D15645" s="87"/>
      <c r="E15645" s="87"/>
      <c r="F15645" s="87"/>
      <c r="G15645" s="87"/>
    </row>
    <row r="15646">
      <c r="A15646" s="86" t="str">
        <f>IFERROR(__xludf.DUMMYFUNCTION("""COMPUTED_VALUE"""),"")</f>
        <v/>
      </c>
      <c r="B15646" s="87"/>
      <c r="C15646" s="87"/>
      <c r="D15646" s="87"/>
      <c r="E15646" s="87"/>
      <c r="F15646" s="87"/>
      <c r="G15646" s="87"/>
    </row>
    <row r="15647">
      <c r="A15647" s="86" t="str">
        <f>IFERROR(__xludf.DUMMYFUNCTION("""COMPUTED_VALUE"""),"")</f>
        <v/>
      </c>
      <c r="B15647" s="87"/>
      <c r="C15647" s="87"/>
      <c r="D15647" s="87"/>
      <c r="E15647" s="87"/>
      <c r="F15647" s="87"/>
      <c r="G15647" s="87"/>
    </row>
    <row r="15648">
      <c r="A15648" s="86" t="str">
        <f>IFERROR(__xludf.DUMMYFUNCTION("""COMPUTED_VALUE"""),"")</f>
        <v/>
      </c>
      <c r="B15648" s="87"/>
      <c r="C15648" s="87"/>
      <c r="D15648" s="87"/>
      <c r="E15648" s="87"/>
      <c r="F15648" s="87"/>
      <c r="G15648" s="87"/>
    </row>
    <row r="15649">
      <c r="A15649" s="86" t="str">
        <f>IFERROR(__xludf.DUMMYFUNCTION("""COMPUTED_VALUE"""),"")</f>
        <v/>
      </c>
      <c r="B15649" s="87"/>
      <c r="C15649" s="87"/>
      <c r="D15649" s="87"/>
      <c r="E15649" s="87"/>
      <c r="F15649" s="87"/>
      <c r="G15649" s="87"/>
    </row>
    <row r="15650">
      <c r="A15650" s="86" t="str">
        <f>IFERROR(__xludf.DUMMYFUNCTION("""COMPUTED_VALUE"""),"")</f>
        <v/>
      </c>
      <c r="B15650" s="87"/>
      <c r="C15650" s="87"/>
      <c r="D15650" s="87"/>
      <c r="E15650" s="87"/>
      <c r="F15650" s="87"/>
      <c r="G15650" s="87"/>
    </row>
    <row r="15651">
      <c r="A15651" s="86" t="str">
        <f>IFERROR(__xludf.DUMMYFUNCTION("""COMPUTED_VALUE"""),"")</f>
        <v/>
      </c>
      <c r="B15651" s="87"/>
      <c r="C15651" s="87"/>
      <c r="D15651" s="87"/>
      <c r="E15651" s="87"/>
      <c r="F15651" s="87"/>
      <c r="G15651" s="87"/>
    </row>
    <row r="15652">
      <c r="A15652" s="86" t="str">
        <f>IFERROR(__xludf.DUMMYFUNCTION("""COMPUTED_VALUE"""),"")</f>
        <v/>
      </c>
      <c r="B15652" s="87"/>
      <c r="C15652" s="87"/>
      <c r="D15652" s="87"/>
      <c r="E15652" s="87"/>
      <c r="F15652" s="87"/>
      <c r="G15652" s="87"/>
    </row>
    <row r="15653">
      <c r="A15653" s="86" t="str">
        <f>IFERROR(__xludf.DUMMYFUNCTION("""COMPUTED_VALUE"""),"")</f>
        <v/>
      </c>
      <c r="B15653" s="87"/>
      <c r="C15653" s="87"/>
      <c r="D15653" s="87"/>
      <c r="E15653" s="87"/>
      <c r="F15653" s="87"/>
      <c r="G15653" s="87"/>
    </row>
    <row r="15654">
      <c r="A15654" s="86" t="str">
        <f>IFERROR(__xludf.DUMMYFUNCTION("""COMPUTED_VALUE"""),"")</f>
        <v/>
      </c>
      <c r="B15654" s="87"/>
      <c r="C15654" s="87"/>
      <c r="D15654" s="87"/>
      <c r="E15654" s="87"/>
      <c r="F15654" s="87"/>
      <c r="G15654" s="87"/>
    </row>
    <row r="15655">
      <c r="A15655" s="86" t="str">
        <f>IFERROR(__xludf.DUMMYFUNCTION("""COMPUTED_VALUE"""),"")</f>
        <v/>
      </c>
      <c r="B15655" s="87"/>
      <c r="C15655" s="87"/>
      <c r="D15655" s="87"/>
      <c r="E15655" s="87"/>
      <c r="F15655" s="87"/>
      <c r="G15655" s="87"/>
    </row>
    <row r="15656">
      <c r="A15656" s="86" t="str">
        <f>IFERROR(__xludf.DUMMYFUNCTION("""COMPUTED_VALUE"""),"")</f>
        <v/>
      </c>
      <c r="B15656" s="87"/>
      <c r="C15656" s="87"/>
      <c r="D15656" s="87"/>
      <c r="E15656" s="87"/>
      <c r="F15656" s="87"/>
      <c r="G15656" s="87"/>
    </row>
    <row r="15657">
      <c r="A15657" s="86" t="str">
        <f>IFERROR(__xludf.DUMMYFUNCTION("""COMPUTED_VALUE"""),"")</f>
        <v/>
      </c>
      <c r="B15657" s="87"/>
      <c r="C15657" s="87"/>
      <c r="D15657" s="87"/>
      <c r="E15657" s="87"/>
      <c r="F15657" s="87"/>
      <c r="G15657" s="87"/>
    </row>
    <row r="15658">
      <c r="A15658" s="86" t="str">
        <f>IFERROR(__xludf.DUMMYFUNCTION("""COMPUTED_VALUE"""),"")</f>
        <v/>
      </c>
      <c r="B15658" s="87"/>
      <c r="C15658" s="87"/>
      <c r="D15658" s="87"/>
      <c r="E15658" s="87"/>
      <c r="F15658" s="87"/>
      <c r="G15658" s="87"/>
    </row>
    <row r="15659">
      <c r="A15659" s="86" t="str">
        <f>IFERROR(__xludf.DUMMYFUNCTION("""COMPUTED_VALUE"""),"")</f>
        <v/>
      </c>
      <c r="B15659" s="87"/>
      <c r="C15659" s="87"/>
      <c r="D15659" s="87"/>
      <c r="E15659" s="87"/>
      <c r="F15659" s="87"/>
      <c r="G15659" s="87"/>
    </row>
    <row r="15660">
      <c r="A15660" s="86" t="str">
        <f>IFERROR(__xludf.DUMMYFUNCTION("""COMPUTED_VALUE"""),"")</f>
        <v/>
      </c>
      <c r="B15660" s="87"/>
      <c r="C15660" s="87"/>
      <c r="D15660" s="87"/>
      <c r="E15660" s="87"/>
      <c r="F15660" s="87"/>
      <c r="G15660" s="87"/>
    </row>
    <row r="15661">
      <c r="A15661" s="86" t="str">
        <f>IFERROR(__xludf.DUMMYFUNCTION("""COMPUTED_VALUE"""),"")</f>
        <v/>
      </c>
      <c r="B15661" s="87"/>
      <c r="C15661" s="87"/>
      <c r="D15661" s="87"/>
      <c r="E15661" s="87"/>
      <c r="F15661" s="87"/>
      <c r="G15661" s="87"/>
    </row>
    <row r="15662">
      <c r="A15662" s="86" t="str">
        <f>IFERROR(__xludf.DUMMYFUNCTION("""COMPUTED_VALUE"""),"")</f>
        <v/>
      </c>
      <c r="B15662" s="87"/>
      <c r="C15662" s="87"/>
      <c r="D15662" s="87"/>
      <c r="E15662" s="87"/>
      <c r="F15662" s="87"/>
      <c r="G15662" s="87"/>
    </row>
    <row r="15663">
      <c r="A15663" s="86" t="str">
        <f>IFERROR(__xludf.DUMMYFUNCTION("""COMPUTED_VALUE"""),"")</f>
        <v/>
      </c>
      <c r="B15663" s="87"/>
      <c r="C15663" s="87"/>
      <c r="D15663" s="87"/>
      <c r="E15663" s="87"/>
      <c r="F15663" s="87"/>
      <c r="G15663" s="87"/>
    </row>
    <row r="15664">
      <c r="A15664" s="86" t="str">
        <f>IFERROR(__xludf.DUMMYFUNCTION("""COMPUTED_VALUE"""),"")</f>
        <v/>
      </c>
      <c r="B15664" s="87"/>
      <c r="C15664" s="87"/>
      <c r="D15664" s="87"/>
      <c r="E15664" s="87"/>
      <c r="F15664" s="87"/>
      <c r="G15664" s="87"/>
    </row>
    <row r="15665">
      <c r="A15665" s="86" t="str">
        <f>IFERROR(__xludf.DUMMYFUNCTION("""COMPUTED_VALUE"""),"")</f>
        <v/>
      </c>
      <c r="B15665" s="87"/>
      <c r="C15665" s="87"/>
      <c r="D15665" s="87"/>
      <c r="E15665" s="87"/>
      <c r="F15665" s="87"/>
      <c r="G15665" s="87"/>
    </row>
    <row r="15666">
      <c r="A15666" s="86" t="str">
        <f>IFERROR(__xludf.DUMMYFUNCTION("""COMPUTED_VALUE"""),"")</f>
        <v/>
      </c>
      <c r="B15666" s="87"/>
      <c r="C15666" s="87"/>
      <c r="D15666" s="87"/>
      <c r="E15666" s="87"/>
      <c r="F15666" s="87"/>
      <c r="G15666" s="87"/>
    </row>
    <row r="15667">
      <c r="A15667" s="86" t="str">
        <f>IFERROR(__xludf.DUMMYFUNCTION("""COMPUTED_VALUE"""),"")</f>
        <v/>
      </c>
      <c r="B15667" s="87"/>
      <c r="C15667" s="87"/>
      <c r="D15667" s="87"/>
      <c r="E15667" s="87"/>
      <c r="F15667" s="87"/>
      <c r="G15667" s="87"/>
    </row>
    <row r="15668">
      <c r="A15668" s="86" t="str">
        <f>IFERROR(__xludf.DUMMYFUNCTION("""COMPUTED_VALUE"""),"")</f>
        <v/>
      </c>
      <c r="B15668" s="87"/>
      <c r="C15668" s="87"/>
      <c r="D15668" s="87"/>
      <c r="E15668" s="87"/>
      <c r="F15668" s="87"/>
      <c r="G15668" s="87"/>
    </row>
    <row r="15669">
      <c r="A15669" s="86" t="str">
        <f>IFERROR(__xludf.DUMMYFUNCTION("""COMPUTED_VALUE"""),"")</f>
        <v/>
      </c>
      <c r="B15669" s="87"/>
      <c r="C15669" s="87"/>
      <c r="D15669" s="87"/>
      <c r="E15669" s="87"/>
      <c r="F15669" s="87"/>
      <c r="G15669" s="87"/>
    </row>
    <row r="15670">
      <c r="A15670" s="86" t="str">
        <f>IFERROR(__xludf.DUMMYFUNCTION("""COMPUTED_VALUE"""),"")</f>
        <v/>
      </c>
      <c r="B15670" s="87"/>
      <c r="C15670" s="87"/>
      <c r="D15670" s="87"/>
      <c r="E15670" s="87"/>
      <c r="F15670" s="87"/>
      <c r="G15670" s="87"/>
    </row>
    <row r="15671">
      <c r="A15671" s="86" t="str">
        <f>IFERROR(__xludf.DUMMYFUNCTION("""COMPUTED_VALUE"""),"")</f>
        <v/>
      </c>
      <c r="B15671" s="87"/>
      <c r="C15671" s="87"/>
      <c r="D15671" s="87"/>
      <c r="E15671" s="87"/>
      <c r="F15671" s="87"/>
      <c r="G15671" s="87"/>
    </row>
    <row r="15672">
      <c r="A15672" s="86" t="str">
        <f>IFERROR(__xludf.DUMMYFUNCTION("""COMPUTED_VALUE"""),"")</f>
        <v/>
      </c>
      <c r="B15672" s="87"/>
      <c r="C15672" s="87"/>
      <c r="D15672" s="87"/>
      <c r="E15672" s="87"/>
      <c r="F15672" s="87"/>
      <c r="G15672" s="87"/>
    </row>
    <row r="15673">
      <c r="A15673" s="86" t="str">
        <f>IFERROR(__xludf.DUMMYFUNCTION("""COMPUTED_VALUE"""),"")</f>
        <v/>
      </c>
      <c r="B15673" s="87"/>
      <c r="C15673" s="87"/>
      <c r="D15673" s="87"/>
      <c r="E15673" s="87"/>
      <c r="F15673" s="87"/>
      <c r="G15673" s="87"/>
    </row>
    <row r="15674">
      <c r="A15674" s="86" t="str">
        <f>IFERROR(__xludf.DUMMYFUNCTION("""COMPUTED_VALUE"""),"")</f>
        <v/>
      </c>
      <c r="B15674" s="87"/>
      <c r="C15674" s="87"/>
      <c r="D15674" s="87"/>
      <c r="E15674" s="87"/>
      <c r="F15674" s="87"/>
      <c r="G15674" s="87"/>
    </row>
    <row r="15675">
      <c r="A15675" s="86" t="str">
        <f>IFERROR(__xludf.DUMMYFUNCTION("""COMPUTED_VALUE"""),"")</f>
        <v/>
      </c>
      <c r="B15675" s="87"/>
      <c r="C15675" s="87"/>
      <c r="D15675" s="87"/>
      <c r="E15675" s="87"/>
      <c r="F15675" s="87"/>
      <c r="G15675" s="87"/>
    </row>
    <row r="15676">
      <c r="A15676" s="86" t="str">
        <f>IFERROR(__xludf.DUMMYFUNCTION("""COMPUTED_VALUE"""),"")</f>
        <v/>
      </c>
      <c r="B15676" s="87"/>
      <c r="C15676" s="87"/>
      <c r="D15676" s="87"/>
      <c r="E15676" s="87"/>
      <c r="F15676" s="87"/>
      <c r="G15676" s="87"/>
    </row>
    <row r="15677">
      <c r="A15677" s="86" t="str">
        <f>IFERROR(__xludf.DUMMYFUNCTION("""COMPUTED_VALUE"""),"")</f>
        <v/>
      </c>
      <c r="B15677" s="87"/>
      <c r="C15677" s="87"/>
      <c r="D15677" s="87"/>
      <c r="E15677" s="87"/>
      <c r="F15677" s="87"/>
      <c r="G15677" s="87"/>
    </row>
    <row r="15678">
      <c r="A15678" s="86" t="str">
        <f>IFERROR(__xludf.DUMMYFUNCTION("""COMPUTED_VALUE"""),"")</f>
        <v/>
      </c>
      <c r="B15678" s="87"/>
      <c r="C15678" s="87"/>
      <c r="D15678" s="87"/>
      <c r="E15678" s="87"/>
      <c r="F15678" s="87"/>
      <c r="G15678" s="87"/>
    </row>
    <row r="15679">
      <c r="A15679" s="86" t="str">
        <f>IFERROR(__xludf.DUMMYFUNCTION("""COMPUTED_VALUE"""),"")</f>
        <v/>
      </c>
      <c r="B15679" s="87"/>
      <c r="C15679" s="87"/>
      <c r="D15679" s="87"/>
      <c r="E15679" s="87"/>
      <c r="F15679" s="87"/>
      <c r="G15679" s="87"/>
    </row>
    <row r="15680">
      <c r="A15680" s="86" t="str">
        <f>IFERROR(__xludf.DUMMYFUNCTION("""COMPUTED_VALUE"""),"")</f>
        <v/>
      </c>
      <c r="B15680" s="87"/>
      <c r="C15680" s="87"/>
      <c r="D15680" s="87"/>
      <c r="E15680" s="87"/>
      <c r="F15680" s="87"/>
      <c r="G15680" s="87"/>
    </row>
    <row r="15681">
      <c r="A15681" s="86" t="str">
        <f>IFERROR(__xludf.DUMMYFUNCTION("""COMPUTED_VALUE"""),"")</f>
        <v/>
      </c>
      <c r="B15681" s="87"/>
      <c r="C15681" s="87"/>
      <c r="D15681" s="87"/>
      <c r="E15681" s="87"/>
      <c r="F15681" s="87"/>
      <c r="G15681" s="87"/>
    </row>
    <row r="15682">
      <c r="A15682" s="86" t="str">
        <f>IFERROR(__xludf.DUMMYFUNCTION("""COMPUTED_VALUE"""),"")</f>
        <v/>
      </c>
      <c r="B15682" s="87"/>
      <c r="C15682" s="87"/>
      <c r="D15682" s="87"/>
      <c r="E15682" s="87"/>
      <c r="F15682" s="87"/>
      <c r="G15682" s="87"/>
    </row>
    <row r="15683">
      <c r="A15683" s="86" t="str">
        <f>IFERROR(__xludf.DUMMYFUNCTION("""COMPUTED_VALUE"""),"")</f>
        <v/>
      </c>
      <c r="B15683" s="87"/>
      <c r="C15683" s="87"/>
      <c r="D15683" s="87"/>
      <c r="E15683" s="87"/>
      <c r="F15683" s="87"/>
      <c r="G15683" s="87"/>
    </row>
    <row r="15684">
      <c r="A15684" s="86" t="str">
        <f>IFERROR(__xludf.DUMMYFUNCTION("""COMPUTED_VALUE"""),"")</f>
        <v/>
      </c>
      <c r="B15684" s="87"/>
      <c r="C15684" s="87"/>
      <c r="D15684" s="87"/>
      <c r="E15684" s="87"/>
      <c r="F15684" s="87"/>
      <c r="G15684" s="87"/>
    </row>
    <row r="15685">
      <c r="A15685" s="86" t="str">
        <f>IFERROR(__xludf.DUMMYFUNCTION("""COMPUTED_VALUE"""),"")</f>
        <v/>
      </c>
      <c r="B15685" s="87"/>
      <c r="C15685" s="87"/>
      <c r="D15685" s="87"/>
      <c r="E15685" s="87"/>
      <c r="F15685" s="87"/>
      <c r="G15685" s="87"/>
    </row>
    <row r="15686">
      <c r="A15686" s="86" t="str">
        <f>IFERROR(__xludf.DUMMYFUNCTION("""COMPUTED_VALUE"""),"")</f>
        <v/>
      </c>
      <c r="B15686" s="87"/>
      <c r="C15686" s="87"/>
      <c r="D15686" s="87"/>
      <c r="E15686" s="87"/>
      <c r="F15686" s="87"/>
      <c r="G15686" s="87"/>
    </row>
    <row r="15687">
      <c r="A15687" s="86" t="str">
        <f>IFERROR(__xludf.DUMMYFUNCTION("""COMPUTED_VALUE"""),"")</f>
        <v/>
      </c>
      <c r="B15687" s="87"/>
      <c r="C15687" s="87"/>
      <c r="D15687" s="87"/>
      <c r="E15687" s="87"/>
      <c r="F15687" s="87"/>
      <c r="G15687" s="87"/>
    </row>
    <row r="15688">
      <c r="A15688" s="86" t="str">
        <f>IFERROR(__xludf.DUMMYFUNCTION("""COMPUTED_VALUE"""),"")</f>
        <v/>
      </c>
      <c r="B15688" s="87"/>
      <c r="C15688" s="87"/>
      <c r="D15688" s="87"/>
      <c r="E15688" s="87"/>
      <c r="F15688" s="87"/>
      <c r="G15688" s="87"/>
    </row>
    <row r="15689">
      <c r="A15689" s="86" t="str">
        <f>IFERROR(__xludf.DUMMYFUNCTION("""COMPUTED_VALUE"""),"")</f>
        <v/>
      </c>
      <c r="B15689" s="87"/>
      <c r="C15689" s="87"/>
      <c r="D15689" s="87"/>
      <c r="E15689" s="87"/>
      <c r="F15689" s="87"/>
      <c r="G15689" s="87"/>
    </row>
    <row r="15690">
      <c r="A15690" s="86" t="str">
        <f>IFERROR(__xludf.DUMMYFUNCTION("""COMPUTED_VALUE"""),"")</f>
        <v/>
      </c>
      <c r="B15690" s="87"/>
      <c r="C15690" s="87"/>
      <c r="D15690" s="87"/>
      <c r="E15690" s="87"/>
      <c r="F15690" s="87"/>
      <c r="G15690" s="87"/>
    </row>
    <row r="15691">
      <c r="A15691" s="86" t="str">
        <f>IFERROR(__xludf.DUMMYFUNCTION("""COMPUTED_VALUE"""),"")</f>
        <v/>
      </c>
      <c r="B15691" s="87"/>
      <c r="C15691" s="87"/>
      <c r="D15691" s="87"/>
      <c r="E15691" s="87"/>
      <c r="F15691" s="87"/>
      <c r="G15691" s="87"/>
    </row>
    <row r="15692">
      <c r="A15692" s="86" t="str">
        <f>IFERROR(__xludf.DUMMYFUNCTION("""COMPUTED_VALUE"""),"")</f>
        <v/>
      </c>
      <c r="B15692" s="87"/>
      <c r="C15692" s="87"/>
      <c r="D15692" s="87"/>
      <c r="E15692" s="87"/>
      <c r="F15692" s="87"/>
      <c r="G15692" s="87"/>
    </row>
    <row r="15693">
      <c r="A15693" s="86" t="str">
        <f>IFERROR(__xludf.DUMMYFUNCTION("""COMPUTED_VALUE"""),"")</f>
        <v/>
      </c>
      <c r="B15693" s="87"/>
      <c r="C15693" s="87"/>
      <c r="D15693" s="87"/>
      <c r="E15693" s="87"/>
      <c r="F15693" s="87"/>
      <c r="G15693" s="87"/>
    </row>
    <row r="15694">
      <c r="A15694" s="86" t="str">
        <f>IFERROR(__xludf.DUMMYFUNCTION("""COMPUTED_VALUE"""),"")</f>
        <v/>
      </c>
      <c r="B15694" s="87"/>
      <c r="C15694" s="87"/>
      <c r="D15694" s="87"/>
      <c r="E15694" s="87"/>
      <c r="F15694" s="87"/>
      <c r="G15694" s="87"/>
    </row>
    <row r="15695">
      <c r="A15695" s="86" t="str">
        <f>IFERROR(__xludf.DUMMYFUNCTION("""COMPUTED_VALUE"""),"")</f>
        <v/>
      </c>
      <c r="B15695" s="87"/>
      <c r="C15695" s="87"/>
      <c r="D15695" s="87"/>
      <c r="E15695" s="87"/>
      <c r="F15695" s="87"/>
      <c r="G15695" s="87"/>
    </row>
    <row r="15696">
      <c r="A15696" s="86" t="str">
        <f>IFERROR(__xludf.DUMMYFUNCTION("""COMPUTED_VALUE"""),"")</f>
        <v/>
      </c>
      <c r="B15696" s="87"/>
      <c r="C15696" s="87"/>
      <c r="D15696" s="87"/>
      <c r="E15696" s="87"/>
      <c r="F15696" s="87"/>
      <c r="G15696" s="87"/>
    </row>
    <row r="15697">
      <c r="A15697" s="86" t="str">
        <f>IFERROR(__xludf.DUMMYFUNCTION("""COMPUTED_VALUE"""),"")</f>
        <v/>
      </c>
      <c r="B15697" s="87"/>
      <c r="C15697" s="87"/>
      <c r="D15697" s="87"/>
      <c r="E15697" s="87"/>
      <c r="F15697" s="87"/>
      <c r="G15697" s="87"/>
    </row>
    <row r="15698">
      <c r="A15698" s="86" t="str">
        <f>IFERROR(__xludf.DUMMYFUNCTION("""COMPUTED_VALUE"""),"")</f>
        <v/>
      </c>
      <c r="B15698" s="87"/>
      <c r="C15698" s="87"/>
      <c r="D15698" s="87"/>
      <c r="E15698" s="87"/>
      <c r="F15698" s="87"/>
      <c r="G15698" s="87"/>
    </row>
    <row r="15699">
      <c r="A15699" s="86" t="str">
        <f>IFERROR(__xludf.DUMMYFUNCTION("""COMPUTED_VALUE"""),"")</f>
        <v/>
      </c>
      <c r="B15699" s="87"/>
      <c r="C15699" s="87"/>
      <c r="D15699" s="87"/>
      <c r="E15699" s="87"/>
      <c r="F15699" s="87"/>
      <c r="G15699" s="87"/>
    </row>
    <row r="15700">
      <c r="A15700" s="86" t="str">
        <f>IFERROR(__xludf.DUMMYFUNCTION("""COMPUTED_VALUE"""),"")</f>
        <v/>
      </c>
      <c r="B15700" s="87"/>
      <c r="C15700" s="87"/>
      <c r="D15700" s="87"/>
      <c r="E15700" s="87"/>
      <c r="F15700" s="87"/>
      <c r="G15700" s="87"/>
    </row>
    <row r="15701">
      <c r="A15701" s="86" t="str">
        <f>IFERROR(__xludf.DUMMYFUNCTION("""COMPUTED_VALUE"""),"")</f>
        <v/>
      </c>
      <c r="B15701" s="87"/>
      <c r="C15701" s="87"/>
      <c r="D15701" s="87"/>
      <c r="E15701" s="87"/>
      <c r="F15701" s="87"/>
      <c r="G15701" s="87"/>
    </row>
    <row r="15702">
      <c r="A15702" s="86" t="str">
        <f>IFERROR(__xludf.DUMMYFUNCTION("""COMPUTED_VALUE"""),"")</f>
        <v/>
      </c>
      <c r="B15702" s="87"/>
      <c r="C15702" s="87"/>
      <c r="D15702" s="87"/>
      <c r="E15702" s="87"/>
      <c r="F15702" s="87"/>
      <c r="G15702" s="87"/>
    </row>
    <row r="15703">
      <c r="A15703" s="86" t="str">
        <f>IFERROR(__xludf.DUMMYFUNCTION("""COMPUTED_VALUE"""),"")</f>
        <v/>
      </c>
      <c r="B15703" s="87"/>
      <c r="C15703" s="87"/>
      <c r="D15703" s="87"/>
      <c r="E15703" s="87"/>
      <c r="F15703" s="87"/>
      <c r="G15703" s="87"/>
    </row>
    <row r="15704">
      <c r="A15704" s="86" t="str">
        <f>IFERROR(__xludf.DUMMYFUNCTION("""COMPUTED_VALUE"""),"")</f>
        <v/>
      </c>
      <c r="B15704" s="87"/>
      <c r="C15704" s="87"/>
      <c r="D15704" s="87"/>
      <c r="E15704" s="87"/>
      <c r="F15704" s="87"/>
      <c r="G15704" s="87"/>
    </row>
    <row r="15705">
      <c r="A15705" s="86" t="str">
        <f>IFERROR(__xludf.DUMMYFUNCTION("""COMPUTED_VALUE"""),"")</f>
        <v/>
      </c>
      <c r="B15705" s="87"/>
      <c r="C15705" s="87"/>
      <c r="D15705" s="87"/>
      <c r="E15705" s="87"/>
      <c r="F15705" s="87"/>
      <c r="G15705" s="87"/>
    </row>
    <row r="15706">
      <c r="A15706" s="86" t="str">
        <f>IFERROR(__xludf.DUMMYFUNCTION("""COMPUTED_VALUE"""),"")</f>
        <v/>
      </c>
      <c r="B15706" s="87"/>
      <c r="C15706" s="87"/>
      <c r="D15706" s="87"/>
      <c r="E15706" s="87"/>
      <c r="F15706" s="87"/>
      <c r="G15706" s="87"/>
    </row>
    <row r="15707">
      <c r="A15707" s="86" t="str">
        <f>IFERROR(__xludf.DUMMYFUNCTION("""COMPUTED_VALUE"""),"")</f>
        <v/>
      </c>
      <c r="B15707" s="87"/>
      <c r="C15707" s="87"/>
      <c r="D15707" s="87"/>
      <c r="E15707" s="87"/>
      <c r="F15707" s="87"/>
      <c r="G15707" s="87"/>
    </row>
    <row r="15708">
      <c r="A15708" s="86" t="str">
        <f>IFERROR(__xludf.DUMMYFUNCTION("""COMPUTED_VALUE"""),"")</f>
        <v/>
      </c>
      <c r="B15708" s="87"/>
      <c r="C15708" s="87"/>
      <c r="D15708" s="87"/>
      <c r="E15708" s="87"/>
      <c r="F15708" s="87"/>
      <c r="G15708" s="87"/>
    </row>
    <row r="15709">
      <c r="A15709" s="86" t="str">
        <f>IFERROR(__xludf.DUMMYFUNCTION("""COMPUTED_VALUE"""),"")</f>
        <v/>
      </c>
      <c r="B15709" s="87"/>
      <c r="C15709" s="87"/>
      <c r="D15709" s="87"/>
      <c r="E15709" s="87"/>
      <c r="F15709" s="87"/>
      <c r="G15709" s="87"/>
    </row>
    <row r="15710">
      <c r="A15710" s="86" t="str">
        <f>IFERROR(__xludf.DUMMYFUNCTION("""COMPUTED_VALUE"""),"")</f>
        <v/>
      </c>
      <c r="B15710" s="87"/>
      <c r="C15710" s="87"/>
      <c r="D15710" s="87"/>
      <c r="E15710" s="87"/>
      <c r="F15710" s="87"/>
      <c r="G15710" s="87"/>
    </row>
    <row r="15711">
      <c r="A15711" s="86" t="str">
        <f>IFERROR(__xludf.DUMMYFUNCTION("""COMPUTED_VALUE"""),"")</f>
        <v/>
      </c>
      <c r="B15711" s="87"/>
      <c r="C15711" s="87"/>
      <c r="D15711" s="87"/>
      <c r="E15711" s="87"/>
      <c r="F15711" s="87"/>
      <c r="G15711" s="87"/>
    </row>
    <row r="15712">
      <c r="A15712" s="86" t="str">
        <f>IFERROR(__xludf.DUMMYFUNCTION("""COMPUTED_VALUE"""),"")</f>
        <v/>
      </c>
      <c r="B15712" s="87"/>
      <c r="C15712" s="87"/>
      <c r="D15712" s="87"/>
      <c r="E15712" s="87"/>
      <c r="F15712" s="87"/>
      <c r="G15712" s="87"/>
    </row>
    <row r="15713">
      <c r="A15713" s="86" t="str">
        <f>IFERROR(__xludf.DUMMYFUNCTION("""COMPUTED_VALUE"""),"")</f>
        <v/>
      </c>
      <c r="B15713" s="87"/>
      <c r="C15713" s="87"/>
      <c r="D15713" s="87"/>
      <c r="E15713" s="87"/>
      <c r="F15713" s="87"/>
      <c r="G15713" s="87"/>
    </row>
    <row r="15714">
      <c r="A15714" s="86" t="str">
        <f>IFERROR(__xludf.DUMMYFUNCTION("""COMPUTED_VALUE"""),"")</f>
        <v/>
      </c>
      <c r="B15714" s="87"/>
      <c r="C15714" s="87"/>
      <c r="D15714" s="87"/>
      <c r="E15714" s="87"/>
      <c r="F15714" s="87"/>
      <c r="G15714" s="87"/>
    </row>
    <row r="15715">
      <c r="A15715" s="86" t="str">
        <f>IFERROR(__xludf.DUMMYFUNCTION("""COMPUTED_VALUE"""),"")</f>
        <v/>
      </c>
      <c r="B15715" s="87"/>
      <c r="C15715" s="87"/>
      <c r="D15715" s="87"/>
      <c r="E15715" s="87"/>
      <c r="F15715" s="87"/>
      <c r="G15715" s="87"/>
    </row>
    <row r="15716">
      <c r="A15716" s="86" t="str">
        <f>IFERROR(__xludf.DUMMYFUNCTION("""COMPUTED_VALUE"""),"")</f>
        <v/>
      </c>
      <c r="B15716" s="87"/>
      <c r="C15716" s="87"/>
      <c r="D15716" s="87"/>
      <c r="E15716" s="87"/>
      <c r="F15716" s="87"/>
      <c r="G15716" s="87"/>
    </row>
    <row r="15717">
      <c r="A15717" s="86" t="str">
        <f>IFERROR(__xludf.DUMMYFUNCTION("""COMPUTED_VALUE"""),"")</f>
        <v/>
      </c>
      <c r="B15717" s="87"/>
      <c r="C15717" s="87"/>
      <c r="D15717" s="87"/>
      <c r="E15717" s="87"/>
      <c r="F15717" s="87"/>
      <c r="G15717" s="87"/>
    </row>
    <row r="15718">
      <c r="A15718" s="86" t="str">
        <f>IFERROR(__xludf.DUMMYFUNCTION("""COMPUTED_VALUE"""),"")</f>
        <v/>
      </c>
      <c r="B15718" s="87"/>
      <c r="C15718" s="87"/>
      <c r="D15718" s="87"/>
      <c r="E15718" s="87"/>
      <c r="F15718" s="87"/>
      <c r="G15718" s="87"/>
    </row>
    <row r="15719">
      <c r="A15719" s="86" t="str">
        <f>IFERROR(__xludf.DUMMYFUNCTION("""COMPUTED_VALUE"""),"")</f>
        <v/>
      </c>
      <c r="B15719" s="87"/>
      <c r="C15719" s="87"/>
      <c r="D15719" s="87"/>
      <c r="E15719" s="87"/>
      <c r="F15719" s="87"/>
      <c r="G15719" s="87"/>
    </row>
    <row r="15720">
      <c r="A15720" s="86" t="str">
        <f>IFERROR(__xludf.DUMMYFUNCTION("""COMPUTED_VALUE"""),"")</f>
        <v/>
      </c>
      <c r="B15720" s="87"/>
      <c r="C15720" s="87"/>
      <c r="D15720" s="87"/>
      <c r="E15720" s="87"/>
      <c r="F15720" s="87"/>
      <c r="G15720" s="87"/>
    </row>
    <row r="15721">
      <c r="A15721" s="86" t="str">
        <f>IFERROR(__xludf.DUMMYFUNCTION("""COMPUTED_VALUE"""),"")</f>
        <v/>
      </c>
      <c r="B15721" s="87"/>
      <c r="C15721" s="87"/>
      <c r="D15721" s="87"/>
      <c r="E15721" s="87"/>
      <c r="F15721" s="87"/>
      <c r="G15721" s="87"/>
    </row>
    <row r="15722">
      <c r="A15722" s="86" t="str">
        <f>IFERROR(__xludf.DUMMYFUNCTION("""COMPUTED_VALUE"""),"")</f>
        <v/>
      </c>
      <c r="B15722" s="87"/>
      <c r="C15722" s="87"/>
      <c r="D15722" s="87"/>
      <c r="E15722" s="87"/>
      <c r="F15722" s="87"/>
      <c r="G15722" s="87"/>
    </row>
    <row r="15723">
      <c r="A15723" s="86" t="str">
        <f>IFERROR(__xludf.DUMMYFUNCTION("""COMPUTED_VALUE"""),"")</f>
        <v/>
      </c>
      <c r="B15723" s="87"/>
      <c r="C15723" s="87"/>
      <c r="D15723" s="87"/>
      <c r="E15723" s="87"/>
      <c r="F15723" s="87"/>
      <c r="G15723" s="87"/>
    </row>
    <row r="15724">
      <c r="A15724" s="86" t="str">
        <f>IFERROR(__xludf.DUMMYFUNCTION("""COMPUTED_VALUE"""),"")</f>
        <v/>
      </c>
      <c r="B15724" s="87"/>
      <c r="C15724" s="87"/>
      <c r="D15724" s="87"/>
      <c r="E15724" s="87"/>
      <c r="F15724" s="87"/>
      <c r="G15724" s="87"/>
    </row>
    <row r="15725">
      <c r="A15725" s="86" t="str">
        <f>IFERROR(__xludf.DUMMYFUNCTION("""COMPUTED_VALUE"""),"")</f>
        <v/>
      </c>
      <c r="B15725" s="87"/>
      <c r="C15725" s="87"/>
      <c r="D15725" s="87"/>
      <c r="E15725" s="87"/>
      <c r="F15725" s="87"/>
      <c r="G15725" s="87"/>
    </row>
    <row r="15726">
      <c r="A15726" s="86" t="str">
        <f>IFERROR(__xludf.DUMMYFUNCTION("""COMPUTED_VALUE"""),"")</f>
        <v/>
      </c>
      <c r="B15726" s="87"/>
      <c r="C15726" s="87"/>
      <c r="D15726" s="87"/>
      <c r="E15726" s="87"/>
      <c r="F15726" s="87"/>
      <c r="G15726" s="87"/>
    </row>
    <row r="15727">
      <c r="A15727" s="86" t="str">
        <f>IFERROR(__xludf.DUMMYFUNCTION("""COMPUTED_VALUE"""),"")</f>
        <v/>
      </c>
      <c r="B15727" s="87"/>
      <c r="C15727" s="87"/>
      <c r="D15727" s="87"/>
      <c r="E15727" s="87"/>
      <c r="F15727" s="87"/>
      <c r="G15727" s="87"/>
    </row>
    <row r="15728">
      <c r="A15728" s="86" t="str">
        <f>IFERROR(__xludf.DUMMYFUNCTION("""COMPUTED_VALUE"""),"")</f>
        <v/>
      </c>
      <c r="B15728" s="87"/>
      <c r="C15728" s="87"/>
      <c r="D15728" s="87"/>
      <c r="E15728" s="87"/>
      <c r="F15728" s="87"/>
      <c r="G15728" s="87"/>
    </row>
    <row r="15729">
      <c r="A15729" s="86" t="str">
        <f>IFERROR(__xludf.DUMMYFUNCTION("""COMPUTED_VALUE"""),"")</f>
        <v/>
      </c>
      <c r="B15729" s="87"/>
      <c r="C15729" s="87"/>
      <c r="D15729" s="87"/>
      <c r="E15729" s="87"/>
      <c r="F15729" s="87"/>
      <c r="G15729" s="87"/>
    </row>
    <row r="15730">
      <c r="A15730" s="86" t="str">
        <f>IFERROR(__xludf.DUMMYFUNCTION("""COMPUTED_VALUE"""),"")</f>
        <v/>
      </c>
      <c r="B15730" s="87"/>
      <c r="C15730" s="87"/>
      <c r="D15730" s="87"/>
      <c r="E15730" s="87"/>
      <c r="F15730" s="87"/>
      <c r="G15730" s="87"/>
    </row>
    <row r="15731">
      <c r="A15731" s="86" t="str">
        <f>IFERROR(__xludf.DUMMYFUNCTION("""COMPUTED_VALUE"""),"")</f>
        <v/>
      </c>
      <c r="B15731" s="87"/>
      <c r="C15731" s="87"/>
      <c r="D15731" s="87"/>
      <c r="E15731" s="87"/>
      <c r="F15731" s="87"/>
      <c r="G15731" s="87"/>
    </row>
    <row r="15732">
      <c r="A15732" s="86" t="str">
        <f>IFERROR(__xludf.DUMMYFUNCTION("""COMPUTED_VALUE"""),"")</f>
        <v/>
      </c>
      <c r="B15732" s="87"/>
      <c r="C15732" s="87"/>
      <c r="D15732" s="87"/>
      <c r="E15732" s="87"/>
      <c r="F15732" s="87"/>
      <c r="G15732" s="87"/>
    </row>
    <row r="15733">
      <c r="A15733" s="86" t="str">
        <f>IFERROR(__xludf.DUMMYFUNCTION("""COMPUTED_VALUE"""),"")</f>
        <v/>
      </c>
      <c r="B15733" s="87"/>
      <c r="C15733" s="87"/>
      <c r="D15733" s="87"/>
      <c r="E15733" s="87"/>
      <c r="F15733" s="87"/>
      <c r="G15733" s="87"/>
    </row>
    <row r="15734">
      <c r="A15734" s="86" t="str">
        <f>IFERROR(__xludf.DUMMYFUNCTION("""COMPUTED_VALUE"""),"")</f>
        <v/>
      </c>
      <c r="B15734" s="87"/>
      <c r="C15734" s="87"/>
      <c r="D15734" s="87"/>
      <c r="E15734" s="87"/>
      <c r="F15734" s="87"/>
      <c r="G15734" s="87"/>
    </row>
    <row r="15735">
      <c r="A15735" s="86" t="str">
        <f>IFERROR(__xludf.DUMMYFUNCTION("""COMPUTED_VALUE"""),"")</f>
        <v/>
      </c>
      <c r="B15735" s="87"/>
      <c r="C15735" s="87"/>
      <c r="D15735" s="87"/>
      <c r="E15735" s="87"/>
      <c r="F15735" s="87"/>
      <c r="G15735" s="87"/>
    </row>
    <row r="15736">
      <c r="A15736" s="86" t="str">
        <f>IFERROR(__xludf.DUMMYFUNCTION("""COMPUTED_VALUE"""),"")</f>
        <v/>
      </c>
      <c r="B15736" s="87"/>
      <c r="C15736" s="87"/>
      <c r="D15736" s="87"/>
      <c r="E15736" s="87"/>
      <c r="F15736" s="87"/>
      <c r="G15736" s="87"/>
    </row>
    <row r="15737">
      <c r="A15737" s="86" t="str">
        <f>IFERROR(__xludf.DUMMYFUNCTION("""COMPUTED_VALUE"""),"")</f>
        <v/>
      </c>
      <c r="B15737" s="87"/>
      <c r="C15737" s="87"/>
      <c r="D15737" s="87"/>
      <c r="E15737" s="87"/>
      <c r="F15737" s="87"/>
      <c r="G15737" s="87"/>
    </row>
    <row r="15738">
      <c r="A15738" s="86" t="str">
        <f>IFERROR(__xludf.DUMMYFUNCTION("""COMPUTED_VALUE"""),"")</f>
        <v/>
      </c>
      <c r="B15738" s="87"/>
      <c r="C15738" s="87"/>
      <c r="D15738" s="87"/>
      <c r="E15738" s="87"/>
      <c r="F15738" s="87"/>
      <c r="G15738" s="87"/>
    </row>
    <row r="15739">
      <c r="A15739" s="86" t="str">
        <f>IFERROR(__xludf.DUMMYFUNCTION("""COMPUTED_VALUE"""),"")</f>
        <v/>
      </c>
      <c r="B15739" s="87"/>
      <c r="C15739" s="87"/>
      <c r="D15739" s="87"/>
      <c r="E15739" s="87"/>
      <c r="F15739" s="87"/>
      <c r="G15739" s="87"/>
    </row>
    <row r="15740">
      <c r="A15740" s="86" t="str">
        <f>IFERROR(__xludf.DUMMYFUNCTION("""COMPUTED_VALUE"""),"")</f>
        <v/>
      </c>
      <c r="B15740" s="87"/>
      <c r="C15740" s="87"/>
      <c r="D15740" s="87"/>
      <c r="E15740" s="87"/>
      <c r="F15740" s="87"/>
      <c r="G15740" s="87"/>
    </row>
    <row r="15741">
      <c r="A15741" s="86" t="str">
        <f>IFERROR(__xludf.DUMMYFUNCTION("""COMPUTED_VALUE"""),"")</f>
        <v/>
      </c>
      <c r="B15741" s="87"/>
      <c r="C15741" s="87"/>
      <c r="D15741" s="87"/>
      <c r="E15741" s="87"/>
      <c r="F15741" s="87"/>
      <c r="G15741" s="87"/>
    </row>
    <row r="15742">
      <c r="A15742" s="86" t="str">
        <f>IFERROR(__xludf.DUMMYFUNCTION("""COMPUTED_VALUE"""),"")</f>
        <v/>
      </c>
      <c r="B15742" s="87"/>
      <c r="C15742" s="87"/>
      <c r="D15742" s="87"/>
      <c r="E15742" s="87"/>
      <c r="F15742" s="87"/>
      <c r="G15742" s="87"/>
    </row>
    <row r="15743">
      <c r="A15743" s="86" t="str">
        <f>IFERROR(__xludf.DUMMYFUNCTION("""COMPUTED_VALUE"""),"")</f>
        <v/>
      </c>
      <c r="B15743" s="87"/>
      <c r="C15743" s="87"/>
      <c r="D15743" s="87"/>
      <c r="E15743" s="87"/>
      <c r="F15743" s="87"/>
      <c r="G15743" s="87"/>
    </row>
    <row r="15744">
      <c r="A15744" s="86" t="str">
        <f>IFERROR(__xludf.DUMMYFUNCTION("""COMPUTED_VALUE"""),"")</f>
        <v/>
      </c>
      <c r="B15744" s="87"/>
      <c r="C15744" s="87"/>
      <c r="D15744" s="87"/>
      <c r="E15744" s="87"/>
      <c r="F15744" s="87"/>
      <c r="G15744" s="87"/>
    </row>
    <row r="15745">
      <c r="A15745" s="86" t="str">
        <f>IFERROR(__xludf.DUMMYFUNCTION("""COMPUTED_VALUE"""),"")</f>
        <v/>
      </c>
      <c r="B15745" s="87"/>
      <c r="C15745" s="87"/>
      <c r="D15745" s="87"/>
      <c r="E15745" s="87"/>
      <c r="F15745" s="87"/>
      <c r="G15745" s="87"/>
    </row>
    <row r="15746">
      <c r="A15746" s="86" t="str">
        <f>IFERROR(__xludf.DUMMYFUNCTION("""COMPUTED_VALUE"""),"")</f>
        <v/>
      </c>
      <c r="B15746" s="87"/>
      <c r="C15746" s="87"/>
      <c r="D15746" s="87"/>
      <c r="E15746" s="87"/>
      <c r="F15746" s="87"/>
      <c r="G15746" s="87"/>
    </row>
    <row r="15747">
      <c r="A15747" s="86" t="str">
        <f>IFERROR(__xludf.DUMMYFUNCTION("""COMPUTED_VALUE"""),"")</f>
        <v/>
      </c>
      <c r="B15747" s="87"/>
      <c r="C15747" s="87"/>
      <c r="D15747" s="87"/>
      <c r="E15747" s="87"/>
      <c r="F15747" s="87"/>
      <c r="G15747" s="87"/>
    </row>
    <row r="15748">
      <c r="A15748" s="86" t="str">
        <f>IFERROR(__xludf.DUMMYFUNCTION("""COMPUTED_VALUE"""),"")</f>
        <v/>
      </c>
      <c r="B15748" s="87"/>
      <c r="C15748" s="87"/>
      <c r="D15748" s="87"/>
      <c r="E15748" s="87"/>
      <c r="F15748" s="87"/>
      <c r="G15748" s="87"/>
    </row>
    <row r="15749">
      <c r="A15749" s="86" t="str">
        <f>IFERROR(__xludf.DUMMYFUNCTION("""COMPUTED_VALUE"""),"")</f>
        <v/>
      </c>
      <c r="B15749" s="87"/>
      <c r="C15749" s="87"/>
      <c r="D15749" s="87"/>
      <c r="E15749" s="87"/>
      <c r="F15749" s="87"/>
      <c r="G15749" s="87"/>
    </row>
    <row r="15750">
      <c r="A15750" s="86" t="str">
        <f>IFERROR(__xludf.DUMMYFUNCTION("""COMPUTED_VALUE"""),"")</f>
        <v/>
      </c>
      <c r="B15750" s="87"/>
      <c r="C15750" s="87"/>
      <c r="D15750" s="87"/>
      <c r="E15750" s="87"/>
      <c r="F15750" s="87"/>
      <c r="G15750" s="87"/>
    </row>
    <row r="15751">
      <c r="A15751" s="86" t="str">
        <f>IFERROR(__xludf.DUMMYFUNCTION("""COMPUTED_VALUE"""),"")</f>
        <v/>
      </c>
      <c r="B15751" s="87"/>
      <c r="C15751" s="87"/>
      <c r="D15751" s="87"/>
      <c r="E15751" s="87"/>
      <c r="F15751" s="87"/>
      <c r="G15751" s="87"/>
    </row>
    <row r="15752">
      <c r="A15752" s="86" t="str">
        <f>IFERROR(__xludf.DUMMYFUNCTION("""COMPUTED_VALUE"""),"")</f>
        <v/>
      </c>
      <c r="B15752" s="87"/>
      <c r="C15752" s="87"/>
      <c r="D15752" s="87"/>
      <c r="E15752" s="87"/>
      <c r="F15752" s="87"/>
      <c r="G15752" s="87"/>
    </row>
    <row r="15753">
      <c r="A15753" s="86" t="str">
        <f>IFERROR(__xludf.DUMMYFUNCTION("""COMPUTED_VALUE"""),"")</f>
        <v/>
      </c>
      <c r="B15753" s="87"/>
      <c r="C15753" s="87"/>
      <c r="D15753" s="87"/>
      <c r="E15753" s="87"/>
      <c r="F15753" s="87"/>
      <c r="G15753" s="87"/>
    </row>
    <row r="15754">
      <c r="A15754" s="86" t="str">
        <f>IFERROR(__xludf.DUMMYFUNCTION("""COMPUTED_VALUE"""),"")</f>
        <v/>
      </c>
      <c r="B15754" s="87"/>
      <c r="C15754" s="87"/>
      <c r="D15754" s="87"/>
      <c r="E15754" s="87"/>
      <c r="F15754" s="87"/>
      <c r="G15754" s="87"/>
    </row>
    <row r="15755">
      <c r="A15755" s="86" t="str">
        <f>IFERROR(__xludf.DUMMYFUNCTION("""COMPUTED_VALUE"""),"")</f>
        <v/>
      </c>
      <c r="B15755" s="87"/>
      <c r="C15755" s="87"/>
      <c r="D15755" s="87"/>
      <c r="E15755" s="87"/>
      <c r="F15755" s="87"/>
      <c r="G15755" s="87"/>
    </row>
    <row r="15756">
      <c r="A15756" s="86" t="str">
        <f>IFERROR(__xludf.DUMMYFUNCTION("""COMPUTED_VALUE"""),"")</f>
        <v/>
      </c>
      <c r="B15756" s="87"/>
      <c r="C15756" s="87"/>
      <c r="D15756" s="87"/>
      <c r="E15756" s="87"/>
      <c r="F15756" s="87"/>
      <c r="G15756" s="87"/>
    </row>
    <row r="15757">
      <c r="A15757" s="86" t="str">
        <f>IFERROR(__xludf.DUMMYFUNCTION("""COMPUTED_VALUE"""),"")</f>
        <v/>
      </c>
      <c r="B15757" s="87"/>
      <c r="C15757" s="87"/>
      <c r="D15757" s="87"/>
      <c r="E15757" s="87"/>
      <c r="F15757" s="87"/>
      <c r="G15757" s="87"/>
    </row>
    <row r="15758">
      <c r="A15758" s="86" t="str">
        <f>IFERROR(__xludf.DUMMYFUNCTION("""COMPUTED_VALUE"""),"")</f>
        <v/>
      </c>
      <c r="B15758" s="87"/>
      <c r="C15758" s="87"/>
      <c r="D15758" s="87"/>
      <c r="E15758" s="87"/>
      <c r="F15758" s="87"/>
      <c r="G15758" s="87"/>
    </row>
    <row r="15759">
      <c r="A15759" s="86" t="str">
        <f>IFERROR(__xludf.DUMMYFUNCTION("""COMPUTED_VALUE"""),"")</f>
        <v/>
      </c>
      <c r="B15759" s="87"/>
      <c r="C15759" s="87"/>
      <c r="D15759" s="87"/>
      <c r="E15759" s="87"/>
      <c r="F15759" s="87"/>
      <c r="G15759" s="87"/>
    </row>
    <row r="15760">
      <c r="A15760" s="86" t="str">
        <f>IFERROR(__xludf.DUMMYFUNCTION("""COMPUTED_VALUE"""),"")</f>
        <v/>
      </c>
      <c r="B15760" s="87"/>
      <c r="C15760" s="87"/>
      <c r="D15760" s="87"/>
      <c r="E15760" s="87"/>
      <c r="F15760" s="87"/>
      <c r="G15760" s="87"/>
    </row>
    <row r="15761">
      <c r="A15761" s="86" t="str">
        <f>IFERROR(__xludf.DUMMYFUNCTION("""COMPUTED_VALUE"""),"")</f>
        <v/>
      </c>
      <c r="B15761" s="87"/>
      <c r="C15761" s="87"/>
      <c r="D15761" s="87"/>
      <c r="E15761" s="87"/>
      <c r="F15761" s="87"/>
      <c r="G15761" s="87"/>
    </row>
    <row r="15762">
      <c r="A15762" s="86" t="str">
        <f>IFERROR(__xludf.DUMMYFUNCTION("""COMPUTED_VALUE"""),"")</f>
        <v/>
      </c>
      <c r="B15762" s="87"/>
      <c r="C15762" s="87"/>
      <c r="D15762" s="87"/>
      <c r="E15762" s="87"/>
      <c r="F15762" s="87"/>
      <c r="G15762" s="87"/>
    </row>
    <row r="15763">
      <c r="A15763" s="86" t="str">
        <f>IFERROR(__xludf.DUMMYFUNCTION("""COMPUTED_VALUE"""),"")</f>
        <v/>
      </c>
      <c r="B15763" s="87"/>
      <c r="C15763" s="87"/>
      <c r="D15763" s="87"/>
      <c r="E15763" s="87"/>
      <c r="F15763" s="87"/>
      <c r="G15763" s="87"/>
    </row>
    <row r="15764">
      <c r="A15764" s="86" t="str">
        <f>IFERROR(__xludf.DUMMYFUNCTION("""COMPUTED_VALUE"""),"")</f>
        <v/>
      </c>
      <c r="B15764" s="87"/>
      <c r="C15764" s="87"/>
      <c r="D15764" s="87"/>
      <c r="E15764" s="87"/>
      <c r="F15764" s="87"/>
      <c r="G15764" s="87"/>
    </row>
    <row r="15765">
      <c r="A15765" s="86" t="str">
        <f>IFERROR(__xludf.DUMMYFUNCTION("""COMPUTED_VALUE"""),"")</f>
        <v/>
      </c>
      <c r="B15765" s="87"/>
      <c r="C15765" s="87"/>
      <c r="D15765" s="87"/>
      <c r="E15765" s="87"/>
      <c r="F15765" s="87"/>
      <c r="G15765" s="87"/>
    </row>
    <row r="15766">
      <c r="A15766" s="86" t="str">
        <f>IFERROR(__xludf.DUMMYFUNCTION("""COMPUTED_VALUE"""),"")</f>
        <v/>
      </c>
      <c r="B15766" s="87"/>
      <c r="C15766" s="87"/>
      <c r="D15766" s="87"/>
      <c r="E15766" s="87"/>
      <c r="F15766" s="87"/>
      <c r="G15766" s="87"/>
    </row>
    <row r="15767">
      <c r="A15767" s="86" t="str">
        <f>IFERROR(__xludf.DUMMYFUNCTION("""COMPUTED_VALUE"""),"")</f>
        <v/>
      </c>
      <c r="B15767" s="87"/>
      <c r="C15767" s="87"/>
      <c r="D15767" s="87"/>
      <c r="E15767" s="87"/>
      <c r="F15767" s="87"/>
      <c r="G15767" s="87"/>
    </row>
    <row r="15768">
      <c r="A15768" s="86" t="str">
        <f>IFERROR(__xludf.DUMMYFUNCTION("""COMPUTED_VALUE"""),"")</f>
        <v/>
      </c>
      <c r="B15768" s="87"/>
      <c r="C15768" s="87"/>
      <c r="D15768" s="87"/>
      <c r="E15768" s="87"/>
      <c r="F15768" s="87"/>
      <c r="G15768" s="87"/>
    </row>
    <row r="15769">
      <c r="A15769" s="86" t="str">
        <f>IFERROR(__xludf.DUMMYFUNCTION("""COMPUTED_VALUE"""),"")</f>
        <v/>
      </c>
      <c r="B15769" s="87"/>
      <c r="C15769" s="87"/>
      <c r="D15769" s="87"/>
      <c r="E15769" s="87"/>
      <c r="F15769" s="87"/>
      <c r="G15769" s="87"/>
    </row>
    <row r="15770">
      <c r="A15770" s="86" t="str">
        <f>IFERROR(__xludf.DUMMYFUNCTION("""COMPUTED_VALUE"""),"")</f>
        <v/>
      </c>
      <c r="B15770" s="87"/>
      <c r="C15770" s="87"/>
      <c r="D15770" s="87"/>
      <c r="E15770" s="87"/>
      <c r="F15770" s="87"/>
      <c r="G15770" s="87"/>
    </row>
    <row r="15771">
      <c r="A15771" s="86" t="str">
        <f>IFERROR(__xludf.DUMMYFUNCTION("""COMPUTED_VALUE"""),"")</f>
        <v/>
      </c>
      <c r="B15771" s="87"/>
      <c r="C15771" s="87"/>
      <c r="D15771" s="87"/>
      <c r="E15771" s="87"/>
      <c r="F15771" s="87"/>
      <c r="G15771" s="87"/>
    </row>
    <row r="15772">
      <c r="A15772" s="86" t="str">
        <f>IFERROR(__xludf.DUMMYFUNCTION("""COMPUTED_VALUE"""),"")</f>
        <v/>
      </c>
      <c r="B15772" s="87"/>
      <c r="C15772" s="87"/>
      <c r="D15772" s="87"/>
      <c r="E15772" s="87"/>
      <c r="F15772" s="87"/>
      <c r="G15772" s="87"/>
    </row>
    <row r="15773">
      <c r="A15773" s="86" t="str">
        <f>IFERROR(__xludf.DUMMYFUNCTION("""COMPUTED_VALUE"""),"")</f>
        <v/>
      </c>
      <c r="B15773" s="87"/>
      <c r="C15773" s="87"/>
      <c r="D15773" s="87"/>
      <c r="E15773" s="87"/>
      <c r="F15773" s="87"/>
      <c r="G15773" s="87"/>
    </row>
    <row r="15774">
      <c r="A15774" s="86" t="str">
        <f>IFERROR(__xludf.DUMMYFUNCTION("""COMPUTED_VALUE"""),"")</f>
        <v/>
      </c>
      <c r="B15774" s="87"/>
      <c r="C15774" s="87"/>
      <c r="D15774" s="87"/>
      <c r="E15774" s="87"/>
      <c r="F15774" s="87"/>
      <c r="G15774" s="87"/>
    </row>
    <row r="15775">
      <c r="A15775" s="86" t="str">
        <f>IFERROR(__xludf.DUMMYFUNCTION("""COMPUTED_VALUE"""),"")</f>
        <v/>
      </c>
      <c r="B15775" s="87"/>
      <c r="C15775" s="87"/>
      <c r="D15775" s="87"/>
      <c r="E15775" s="87"/>
      <c r="F15775" s="87"/>
      <c r="G15775" s="87"/>
    </row>
    <row r="15776">
      <c r="A15776" s="86" t="str">
        <f>IFERROR(__xludf.DUMMYFUNCTION("""COMPUTED_VALUE"""),"")</f>
        <v/>
      </c>
      <c r="B15776" s="87"/>
      <c r="C15776" s="87"/>
      <c r="D15776" s="87"/>
      <c r="E15776" s="87"/>
      <c r="F15776" s="87"/>
      <c r="G15776" s="87"/>
    </row>
    <row r="15777">
      <c r="A15777" s="86" t="str">
        <f>IFERROR(__xludf.DUMMYFUNCTION("""COMPUTED_VALUE"""),"")</f>
        <v/>
      </c>
      <c r="B15777" s="87"/>
      <c r="C15777" s="87"/>
      <c r="D15777" s="87"/>
      <c r="E15777" s="87"/>
      <c r="F15777" s="87"/>
      <c r="G15777" s="87"/>
    </row>
    <row r="15778">
      <c r="A15778" s="86" t="str">
        <f>IFERROR(__xludf.DUMMYFUNCTION("""COMPUTED_VALUE"""),"")</f>
        <v/>
      </c>
      <c r="B15778" s="87"/>
      <c r="C15778" s="87"/>
      <c r="D15778" s="87"/>
      <c r="E15778" s="87"/>
      <c r="F15778" s="87"/>
      <c r="G15778" s="87"/>
    </row>
    <row r="15779">
      <c r="A15779" s="86" t="str">
        <f>IFERROR(__xludf.DUMMYFUNCTION("""COMPUTED_VALUE"""),"")</f>
        <v/>
      </c>
      <c r="B15779" s="87"/>
      <c r="C15779" s="87"/>
      <c r="D15779" s="87"/>
      <c r="E15779" s="87"/>
      <c r="F15779" s="87"/>
      <c r="G15779" s="87"/>
    </row>
    <row r="15780">
      <c r="A15780" s="86" t="str">
        <f>IFERROR(__xludf.DUMMYFUNCTION("""COMPUTED_VALUE"""),"")</f>
        <v/>
      </c>
      <c r="B15780" s="87"/>
      <c r="C15780" s="87"/>
      <c r="D15780" s="87"/>
      <c r="E15780" s="87"/>
      <c r="F15780" s="87"/>
      <c r="G15780" s="87"/>
    </row>
    <row r="15781">
      <c r="A15781" s="86" t="str">
        <f>IFERROR(__xludf.DUMMYFUNCTION("""COMPUTED_VALUE"""),"")</f>
        <v/>
      </c>
      <c r="B15781" s="87"/>
      <c r="C15781" s="87"/>
      <c r="D15781" s="87"/>
      <c r="E15781" s="87"/>
      <c r="F15781" s="87"/>
      <c r="G15781" s="87"/>
    </row>
    <row r="15782">
      <c r="A15782" s="86" t="str">
        <f>IFERROR(__xludf.DUMMYFUNCTION("""COMPUTED_VALUE"""),"")</f>
        <v/>
      </c>
      <c r="B15782" s="87"/>
      <c r="C15782" s="87"/>
      <c r="D15782" s="87"/>
      <c r="E15782" s="87"/>
      <c r="F15782" s="87"/>
      <c r="G15782" s="87"/>
    </row>
    <row r="15783">
      <c r="A15783" s="86" t="str">
        <f>IFERROR(__xludf.DUMMYFUNCTION("""COMPUTED_VALUE"""),"")</f>
        <v/>
      </c>
      <c r="B15783" s="87"/>
      <c r="C15783" s="87"/>
      <c r="D15783" s="87"/>
      <c r="E15783" s="87"/>
      <c r="F15783" s="87"/>
      <c r="G15783" s="87"/>
    </row>
    <row r="15784">
      <c r="A15784" s="86" t="str">
        <f>IFERROR(__xludf.DUMMYFUNCTION("""COMPUTED_VALUE"""),"")</f>
        <v/>
      </c>
      <c r="B15784" s="87"/>
      <c r="C15784" s="87"/>
      <c r="D15784" s="87"/>
      <c r="E15784" s="87"/>
      <c r="F15784" s="87"/>
      <c r="G15784" s="87"/>
    </row>
    <row r="15785">
      <c r="A15785" s="86" t="str">
        <f>IFERROR(__xludf.DUMMYFUNCTION("""COMPUTED_VALUE"""),"")</f>
        <v/>
      </c>
      <c r="B15785" s="87"/>
      <c r="C15785" s="87"/>
      <c r="D15785" s="87"/>
      <c r="E15785" s="87"/>
      <c r="F15785" s="87"/>
      <c r="G15785" s="87"/>
    </row>
    <row r="15786">
      <c r="A15786" s="86" t="str">
        <f>IFERROR(__xludf.DUMMYFUNCTION("""COMPUTED_VALUE"""),"")</f>
        <v/>
      </c>
      <c r="B15786" s="87"/>
      <c r="C15786" s="87"/>
      <c r="D15786" s="87"/>
      <c r="E15786" s="87"/>
      <c r="F15786" s="87"/>
      <c r="G15786" s="87"/>
    </row>
    <row r="15787">
      <c r="A15787" s="86" t="str">
        <f>IFERROR(__xludf.DUMMYFUNCTION("""COMPUTED_VALUE"""),"")</f>
        <v/>
      </c>
      <c r="B15787" s="87"/>
      <c r="C15787" s="87"/>
      <c r="D15787" s="87"/>
      <c r="E15787" s="87"/>
      <c r="F15787" s="87"/>
      <c r="G15787" s="87"/>
    </row>
    <row r="15788">
      <c r="A15788" s="86" t="str">
        <f>IFERROR(__xludf.DUMMYFUNCTION("""COMPUTED_VALUE"""),"")</f>
        <v/>
      </c>
      <c r="B15788" s="87"/>
      <c r="C15788" s="87"/>
      <c r="D15788" s="87"/>
      <c r="E15788" s="87"/>
      <c r="F15788" s="87"/>
      <c r="G15788" s="87"/>
    </row>
    <row r="15789">
      <c r="A15789" s="86" t="str">
        <f>IFERROR(__xludf.DUMMYFUNCTION("""COMPUTED_VALUE"""),"")</f>
        <v/>
      </c>
      <c r="B15789" s="87"/>
      <c r="C15789" s="87"/>
      <c r="D15789" s="87"/>
      <c r="E15789" s="87"/>
      <c r="F15789" s="87"/>
      <c r="G15789" s="87"/>
    </row>
    <row r="15790">
      <c r="A15790" s="86" t="str">
        <f>IFERROR(__xludf.DUMMYFUNCTION("""COMPUTED_VALUE"""),"")</f>
        <v/>
      </c>
      <c r="B15790" s="87"/>
      <c r="C15790" s="87"/>
      <c r="D15790" s="87"/>
      <c r="E15790" s="87"/>
      <c r="F15790" s="87"/>
      <c r="G15790" s="87"/>
    </row>
    <row r="15791">
      <c r="A15791" s="86" t="str">
        <f>IFERROR(__xludf.DUMMYFUNCTION("""COMPUTED_VALUE"""),"")</f>
        <v/>
      </c>
      <c r="B15791" s="87"/>
      <c r="C15791" s="87"/>
      <c r="D15791" s="87"/>
      <c r="E15791" s="87"/>
      <c r="F15791" s="87"/>
      <c r="G15791" s="87"/>
    </row>
    <row r="15792">
      <c r="A15792" s="86" t="str">
        <f>IFERROR(__xludf.DUMMYFUNCTION("""COMPUTED_VALUE"""),"")</f>
        <v/>
      </c>
      <c r="B15792" s="87"/>
      <c r="C15792" s="87"/>
      <c r="D15792" s="87"/>
      <c r="E15792" s="87"/>
      <c r="F15792" s="87"/>
      <c r="G15792" s="87"/>
    </row>
    <row r="15793">
      <c r="A15793" s="86" t="str">
        <f>IFERROR(__xludf.DUMMYFUNCTION("""COMPUTED_VALUE"""),"")</f>
        <v/>
      </c>
      <c r="B15793" s="87"/>
      <c r="C15793" s="87"/>
      <c r="D15793" s="87"/>
      <c r="E15793" s="87"/>
      <c r="F15793" s="87"/>
      <c r="G15793" s="87"/>
    </row>
    <row r="15794">
      <c r="A15794" s="86" t="str">
        <f>IFERROR(__xludf.DUMMYFUNCTION("""COMPUTED_VALUE"""),"")</f>
        <v/>
      </c>
      <c r="B15794" s="87"/>
      <c r="C15794" s="87"/>
      <c r="D15794" s="87"/>
      <c r="E15794" s="87"/>
      <c r="F15794" s="87"/>
      <c r="G15794" s="87"/>
    </row>
    <row r="15795">
      <c r="A15795" s="86" t="str">
        <f>IFERROR(__xludf.DUMMYFUNCTION("""COMPUTED_VALUE"""),"")</f>
        <v/>
      </c>
      <c r="B15795" s="87"/>
      <c r="C15795" s="87"/>
      <c r="D15795" s="87"/>
      <c r="E15795" s="87"/>
      <c r="F15795" s="87"/>
      <c r="G15795" s="87"/>
    </row>
    <row r="15796">
      <c r="A15796" s="86" t="str">
        <f>IFERROR(__xludf.DUMMYFUNCTION("""COMPUTED_VALUE"""),"")</f>
        <v/>
      </c>
      <c r="B15796" s="87"/>
      <c r="C15796" s="87"/>
      <c r="D15796" s="87"/>
      <c r="E15796" s="87"/>
      <c r="F15796" s="87"/>
      <c r="G15796" s="87"/>
    </row>
    <row r="15797">
      <c r="A15797" s="86" t="str">
        <f>IFERROR(__xludf.DUMMYFUNCTION("""COMPUTED_VALUE"""),"")</f>
        <v/>
      </c>
      <c r="B15797" s="87"/>
      <c r="C15797" s="87"/>
      <c r="D15797" s="87"/>
      <c r="E15797" s="87"/>
      <c r="F15797" s="87"/>
      <c r="G15797" s="87"/>
    </row>
    <row r="15798">
      <c r="A15798" s="86" t="str">
        <f>IFERROR(__xludf.DUMMYFUNCTION("""COMPUTED_VALUE"""),"")</f>
        <v/>
      </c>
      <c r="B15798" s="87"/>
      <c r="C15798" s="87"/>
      <c r="D15798" s="87"/>
      <c r="E15798" s="87"/>
      <c r="F15798" s="87"/>
      <c r="G15798" s="87"/>
    </row>
    <row r="15799">
      <c r="A15799" s="86" t="str">
        <f>IFERROR(__xludf.DUMMYFUNCTION("""COMPUTED_VALUE"""),"")</f>
        <v/>
      </c>
      <c r="B15799" s="87"/>
      <c r="C15799" s="87"/>
      <c r="D15799" s="87"/>
      <c r="E15799" s="87"/>
      <c r="F15799" s="87"/>
      <c r="G15799" s="87"/>
    </row>
    <row r="15800">
      <c r="A15800" s="86" t="str">
        <f>IFERROR(__xludf.DUMMYFUNCTION("""COMPUTED_VALUE"""),"")</f>
        <v/>
      </c>
      <c r="B15800" s="87"/>
      <c r="C15800" s="87"/>
      <c r="D15800" s="87"/>
      <c r="E15800" s="87"/>
      <c r="F15800" s="87"/>
      <c r="G15800" s="87"/>
    </row>
    <row r="15801">
      <c r="A15801" s="86" t="str">
        <f>IFERROR(__xludf.DUMMYFUNCTION("""COMPUTED_VALUE"""),"")</f>
        <v/>
      </c>
      <c r="B15801" s="87"/>
      <c r="C15801" s="87"/>
      <c r="D15801" s="87"/>
      <c r="E15801" s="87"/>
      <c r="F15801" s="87"/>
      <c r="G15801" s="87"/>
    </row>
    <row r="15802">
      <c r="A15802" s="86" t="str">
        <f>IFERROR(__xludf.DUMMYFUNCTION("""COMPUTED_VALUE"""),"")</f>
        <v/>
      </c>
      <c r="B15802" s="87"/>
      <c r="C15802" s="87"/>
      <c r="D15802" s="87"/>
      <c r="E15802" s="87"/>
      <c r="F15802" s="87"/>
      <c r="G15802" s="87"/>
    </row>
    <row r="15803">
      <c r="A15803" s="86" t="str">
        <f>IFERROR(__xludf.DUMMYFUNCTION("""COMPUTED_VALUE"""),"")</f>
        <v/>
      </c>
      <c r="B15803" s="87"/>
      <c r="C15803" s="87"/>
      <c r="D15803" s="87"/>
      <c r="E15803" s="87"/>
      <c r="F15803" s="87"/>
      <c r="G15803" s="87"/>
    </row>
    <row r="15804">
      <c r="A15804" s="86" t="str">
        <f>IFERROR(__xludf.DUMMYFUNCTION("""COMPUTED_VALUE"""),"")</f>
        <v/>
      </c>
      <c r="B15804" s="87"/>
      <c r="C15804" s="87"/>
      <c r="D15804" s="87"/>
      <c r="E15804" s="87"/>
      <c r="F15804" s="87"/>
      <c r="G15804" s="87"/>
    </row>
    <row r="15805">
      <c r="A15805" s="86" t="str">
        <f>IFERROR(__xludf.DUMMYFUNCTION("""COMPUTED_VALUE"""),"")</f>
        <v/>
      </c>
      <c r="B15805" s="87"/>
      <c r="C15805" s="87"/>
      <c r="D15805" s="87"/>
      <c r="E15805" s="87"/>
      <c r="F15805" s="87"/>
      <c r="G15805" s="87"/>
    </row>
    <row r="15806">
      <c r="A15806" s="86" t="str">
        <f>IFERROR(__xludf.DUMMYFUNCTION("""COMPUTED_VALUE"""),"")</f>
        <v/>
      </c>
      <c r="B15806" s="87"/>
      <c r="C15806" s="87"/>
      <c r="D15806" s="87"/>
      <c r="E15806" s="87"/>
      <c r="F15806" s="87"/>
      <c r="G15806" s="87"/>
    </row>
    <row r="15807">
      <c r="A15807" s="86" t="str">
        <f>IFERROR(__xludf.DUMMYFUNCTION("""COMPUTED_VALUE"""),"")</f>
        <v/>
      </c>
      <c r="B15807" s="87"/>
      <c r="C15807" s="87"/>
      <c r="D15807" s="87"/>
      <c r="E15807" s="87"/>
      <c r="F15807" s="87"/>
      <c r="G15807" s="87"/>
    </row>
    <row r="15808">
      <c r="A15808" s="86" t="str">
        <f>IFERROR(__xludf.DUMMYFUNCTION("""COMPUTED_VALUE"""),"")</f>
        <v/>
      </c>
      <c r="B15808" s="87"/>
      <c r="C15808" s="87"/>
      <c r="D15808" s="87"/>
      <c r="E15808" s="87"/>
      <c r="F15808" s="87"/>
      <c r="G15808" s="87"/>
    </row>
    <row r="15809">
      <c r="A15809" s="86" t="str">
        <f>IFERROR(__xludf.DUMMYFUNCTION("""COMPUTED_VALUE"""),"")</f>
        <v/>
      </c>
      <c r="B15809" s="87"/>
      <c r="C15809" s="87"/>
      <c r="D15809" s="87"/>
      <c r="E15809" s="87"/>
      <c r="F15809" s="87"/>
      <c r="G15809" s="87"/>
    </row>
    <row r="15810">
      <c r="A15810" s="86" t="str">
        <f>IFERROR(__xludf.DUMMYFUNCTION("""COMPUTED_VALUE"""),"")</f>
        <v/>
      </c>
      <c r="B15810" s="87"/>
      <c r="C15810" s="87"/>
      <c r="D15810" s="87"/>
      <c r="E15810" s="87"/>
      <c r="F15810" s="87"/>
      <c r="G15810" s="87"/>
    </row>
    <row r="15811">
      <c r="A15811" s="86" t="str">
        <f>IFERROR(__xludf.DUMMYFUNCTION("""COMPUTED_VALUE"""),"")</f>
        <v/>
      </c>
      <c r="B15811" s="87"/>
      <c r="C15811" s="87"/>
      <c r="D15811" s="87"/>
      <c r="E15811" s="87"/>
      <c r="F15811" s="87"/>
      <c r="G15811" s="87"/>
    </row>
    <row r="15812">
      <c r="A15812" s="86" t="str">
        <f>IFERROR(__xludf.DUMMYFUNCTION("""COMPUTED_VALUE"""),"")</f>
        <v/>
      </c>
      <c r="B15812" s="87"/>
      <c r="C15812" s="87"/>
      <c r="D15812" s="87"/>
      <c r="E15812" s="87"/>
      <c r="F15812" s="87"/>
      <c r="G15812" s="87"/>
    </row>
    <row r="15813">
      <c r="A15813" s="86" t="str">
        <f>IFERROR(__xludf.DUMMYFUNCTION("""COMPUTED_VALUE"""),"")</f>
        <v/>
      </c>
      <c r="B15813" s="87"/>
      <c r="C15813" s="87"/>
      <c r="D15813" s="87"/>
      <c r="E15813" s="87"/>
      <c r="F15813" s="87"/>
      <c r="G15813" s="87"/>
    </row>
    <row r="15814">
      <c r="A15814" s="86" t="str">
        <f>IFERROR(__xludf.DUMMYFUNCTION("""COMPUTED_VALUE"""),"")</f>
        <v/>
      </c>
      <c r="B15814" s="87"/>
      <c r="C15814" s="87"/>
      <c r="D15814" s="87"/>
      <c r="E15814" s="87"/>
      <c r="F15814" s="87"/>
      <c r="G15814" s="87"/>
    </row>
    <row r="15815">
      <c r="A15815" s="86" t="str">
        <f>IFERROR(__xludf.DUMMYFUNCTION("""COMPUTED_VALUE"""),"")</f>
        <v/>
      </c>
      <c r="B15815" s="87"/>
      <c r="C15815" s="87"/>
      <c r="D15815" s="87"/>
      <c r="E15815" s="87"/>
      <c r="F15815" s="87"/>
      <c r="G15815" s="87"/>
    </row>
    <row r="15816">
      <c r="A15816" s="86" t="str">
        <f>IFERROR(__xludf.DUMMYFUNCTION("""COMPUTED_VALUE"""),"")</f>
        <v/>
      </c>
      <c r="B15816" s="87"/>
      <c r="C15816" s="87"/>
      <c r="D15816" s="87"/>
      <c r="E15816" s="87"/>
      <c r="F15816" s="87"/>
      <c r="G15816" s="87"/>
    </row>
    <row r="15817">
      <c r="A15817" s="86" t="str">
        <f>IFERROR(__xludf.DUMMYFUNCTION("""COMPUTED_VALUE"""),"")</f>
        <v/>
      </c>
      <c r="B15817" s="87"/>
      <c r="C15817" s="87"/>
      <c r="D15817" s="87"/>
      <c r="E15817" s="87"/>
      <c r="F15817" s="87"/>
      <c r="G15817" s="87"/>
    </row>
    <row r="15818">
      <c r="A15818" s="86" t="str">
        <f>IFERROR(__xludf.DUMMYFUNCTION("""COMPUTED_VALUE"""),"")</f>
        <v/>
      </c>
      <c r="B15818" s="87"/>
      <c r="C15818" s="87"/>
      <c r="D15818" s="87"/>
      <c r="E15818" s="87"/>
      <c r="F15818" s="87"/>
      <c r="G15818" s="87"/>
    </row>
    <row r="15819">
      <c r="A15819" s="86" t="str">
        <f>IFERROR(__xludf.DUMMYFUNCTION("""COMPUTED_VALUE"""),"")</f>
        <v/>
      </c>
      <c r="B15819" s="87"/>
      <c r="C15819" s="87"/>
      <c r="D15819" s="87"/>
      <c r="E15819" s="87"/>
      <c r="F15819" s="87"/>
      <c r="G15819" s="87"/>
    </row>
    <row r="15820">
      <c r="A15820" s="86" t="str">
        <f>IFERROR(__xludf.DUMMYFUNCTION("""COMPUTED_VALUE"""),"")</f>
        <v/>
      </c>
      <c r="B15820" s="87"/>
      <c r="C15820" s="87"/>
      <c r="D15820" s="87"/>
      <c r="E15820" s="87"/>
      <c r="F15820" s="87"/>
      <c r="G15820" s="87"/>
    </row>
    <row r="15821">
      <c r="A15821" s="86" t="str">
        <f>IFERROR(__xludf.DUMMYFUNCTION("""COMPUTED_VALUE"""),"")</f>
        <v/>
      </c>
      <c r="B15821" s="87"/>
      <c r="C15821" s="87"/>
      <c r="D15821" s="87"/>
      <c r="E15821" s="87"/>
      <c r="F15821" s="87"/>
      <c r="G15821" s="87"/>
    </row>
    <row r="15822">
      <c r="A15822" s="86" t="str">
        <f>IFERROR(__xludf.DUMMYFUNCTION("""COMPUTED_VALUE"""),"")</f>
        <v/>
      </c>
      <c r="B15822" s="87"/>
      <c r="C15822" s="87"/>
      <c r="D15822" s="87"/>
      <c r="E15822" s="87"/>
      <c r="F15822" s="87"/>
      <c r="G15822" s="87"/>
    </row>
    <row r="15823">
      <c r="A15823" s="86" t="str">
        <f>IFERROR(__xludf.DUMMYFUNCTION("""COMPUTED_VALUE"""),"")</f>
        <v/>
      </c>
      <c r="B15823" s="87"/>
      <c r="C15823" s="87"/>
      <c r="D15823" s="87"/>
      <c r="E15823" s="87"/>
      <c r="F15823" s="87"/>
      <c r="G15823" s="87"/>
    </row>
    <row r="15824">
      <c r="A15824" s="86" t="str">
        <f>IFERROR(__xludf.DUMMYFUNCTION("""COMPUTED_VALUE"""),"")</f>
        <v/>
      </c>
      <c r="B15824" s="87"/>
      <c r="C15824" s="87"/>
      <c r="D15824" s="87"/>
      <c r="E15824" s="87"/>
      <c r="F15824" s="87"/>
      <c r="G15824" s="87"/>
    </row>
    <row r="15825">
      <c r="A15825" s="86" t="str">
        <f>IFERROR(__xludf.DUMMYFUNCTION("""COMPUTED_VALUE"""),"")</f>
        <v/>
      </c>
      <c r="B15825" s="87"/>
      <c r="C15825" s="87"/>
      <c r="D15825" s="87"/>
      <c r="E15825" s="87"/>
      <c r="F15825" s="87"/>
      <c r="G15825" s="87"/>
    </row>
    <row r="15826">
      <c r="A15826" s="86" t="str">
        <f>IFERROR(__xludf.DUMMYFUNCTION("""COMPUTED_VALUE"""),"")</f>
        <v/>
      </c>
      <c r="B15826" s="87"/>
      <c r="C15826" s="87"/>
      <c r="D15826" s="87"/>
      <c r="E15826" s="87"/>
      <c r="F15826" s="87"/>
      <c r="G15826" s="87"/>
    </row>
    <row r="15827">
      <c r="A15827" s="86" t="str">
        <f>IFERROR(__xludf.DUMMYFUNCTION("""COMPUTED_VALUE"""),"")</f>
        <v/>
      </c>
      <c r="B15827" s="87"/>
      <c r="C15827" s="87"/>
      <c r="D15827" s="87"/>
      <c r="E15827" s="87"/>
      <c r="F15827" s="87"/>
      <c r="G15827" s="87"/>
    </row>
    <row r="15828">
      <c r="A15828" s="86" t="str">
        <f>IFERROR(__xludf.DUMMYFUNCTION("""COMPUTED_VALUE"""),"")</f>
        <v/>
      </c>
      <c r="B15828" s="87"/>
      <c r="C15828" s="87"/>
      <c r="D15828" s="87"/>
      <c r="E15828" s="87"/>
      <c r="F15828" s="87"/>
      <c r="G15828" s="87"/>
    </row>
    <row r="15829">
      <c r="A15829" s="86" t="str">
        <f>IFERROR(__xludf.DUMMYFUNCTION("""COMPUTED_VALUE"""),"")</f>
        <v/>
      </c>
      <c r="B15829" s="87"/>
      <c r="C15829" s="87"/>
      <c r="D15829" s="87"/>
      <c r="E15829" s="87"/>
      <c r="F15829" s="87"/>
      <c r="G15829" s="87"/>
    </row>
    <row r="15830">
      <c r="A15830" s="86" t="str">
        <f>IFERROR(__xludf.DUMMYFUNCTION("""COMPUTED_VALUE"""),"")</f>
        <v/>
      </c>
      <c r="B15830" s="87"/>
      <c r="C15830" s="87"/>
      <c r="D15830" s="87"/>
      <c r="E15830" s="87"/>
      <c r="F15830" s="87"/>
      <c r="G15830" s="87"/>
    </row>
    <row r="15831">
      <c r="A15831" s="86" t="str">
        <f>IFERROR(__xludf.DUMMYFUNCTION("""COMPUTED_VALUE"""),"")</f>
        <v/>
      </c>
      <c r="B15831" s="87"/>
      <c r="C15831" s="87"/>
      <c r="D15831" s="87"/>
      <c r="E15831" s="87"/>
      <c r="F15831" s="87"/>
      <c r="G15831" s="87"/>
    </row>
    <row r="15832">
      <c r="A15832" s="86" t="str">
        <f>IFERROR(__xludf.DUMMYFUNCTION("""COMPUTED_VALUE"""),"")</f>
        <v/>
      </c>
      <c r="B15832" s="87"/>
      <c r="C15832" s="87"/>
      <c r="D15832" s="87"/>
      <c r="E15832" s="87"/>
      <c r="F15832" s="87"/>
      <c r="G15832" s="87"/>
    </row>
    <row r="15833">
      <c r="A15833" s="86" t="str">
        <f>IFERROR(__xludf.DUMMYFUNCTION("""COMPUTED_VALUE"""),"")</f>
        <v/>
      </c>
      <c r="B15833" s="87"/>
      <c r="C15833" s="87"/>
      <c r="D15833" s="87"/>
      <c r="E15833" s="87"/>
      <c r="F15833" s="87"/>
      <c r="G15833" s="87"/>
    </row>
    <row r="15834">
      <c r="A15834" s="86" t="str">
        <f>IFERROR(__xludf.DUMMYFUNCTION("""COMPUTED_VALUE"""),"")</f>
        <v/>
      </c>
      <c r="B15834" s="87"/>
      <c r="C15834" s="87"/>
      <c r="D15834" s="87"/>
      <c r="E15834" s="87"/>
      <c r="F15834" s="87"/>
      <c r="G15834" s="87"/>
    </row>
    <row r="15835">
      <c r="A15835" s="86" t="str">
        <f>IFERROR(__xludf.DUMMYFUNCTION("""COMPUTED_VALUE"""),"")</f>
        <v/>
      </c>
      <c r="B15835" s="87"/>
      <c r="C15835" s="87"/>
      <c r="D15835" s="87"/>
      <c r="E15835" s="87"/>
      <c r="F15835" s="87"/>
      <c r="G15835" s="87"/>
    </row>
    <row r="15836">
      <c r="A15836" s="86" t="str">
        <f>IFERROR(__xludf.DUMMYFUNCTION("""COMPUTED_VALUE"""),"")</f>
        <v/>
      </c>
      <c r="B15836" s="87"/>
      <c r="C15836" s="87"/>
      <c r="D15836" s="87"/>
      <c r="E15836" s="87"/>
      <c r="F15836" s="87"/>
      <c r="G15836" s="87"/>
    </row>
    <row r="15837">
      <c r="A15837" s="86" t="str">
        <f>IFERROR(__xludf.DUMMYFUNCTION("""COMPUTED_VALUE"""),"")</f>
        <v/>
      </c>
      <c r="B15837" s="87"/>
      <c r="C15837" s="87"/>
      <c r="D15837" s="87"/>
      <c r="E15837" s="87"/>
      <c r="F15837" s="87"/>
      <c r="G15837" s="87"/>
    </row>
    <row r="15838">
      <c r="A15838" s="86" t="str">
        <f>IFERROR(__xludf.DUMMYFUNCTION("""COMPUTED_VALUE"""),"")</f>
        <v/>
      </c>
      <c r="B15838" s="87"/>
      <c r="C15838" s="87"/>
      <c r="D15838" s="87"/>
      <c r="E15838" s="87"/>
      <c r="F15838" s="87"/>
      <c r="G15838" s="87"/>
    </row>
    <row r="15839">
      <c r="A15839" s="86" t="str">
        <f>IFERROR(__xludf.DUMMYFUNCTION("""COMPUTED_VALUE"""),"")</f>
        <v/>
      </c>
      <c r="B15839" s="87"/>
      <c r="C15839" s="87"/>
      <c r="D15839" s="87"/>
      <c r="E15839" s="87"/>
      <c r="F15839" s="87"/>
      <c r="G15839" s="87"/>
    </row>
    <row r="15840">
      <c r="A15840" s="86" t="str">
        <f>IFERROR(__xludf.DUMMYFUNCTION("""COMPUTED_VALUE"""),"")</f>
        <v/>
      </c>
      <c r="B15840" s="87"/>
      <c r="C15840" s="87"/>
      <c r="D15840" s="87"/>
      <c r="E15840" s="87"/>
      <c r="F15840" s="87"/>
      <c r="G15840" s="87"/>
    </row>
    <row r="15841">
      <c r="A15841" s="86" t="str">
        <f>IFERROR(__xludf.DUMMYFUNCTION("""COMPUTED_VALUE"""),"")</f>
        <v/>
      </c>
      <c r="B15841" s="87"/>
      <c r="C15841" s="87"/>
      <c r="D15841" s="87"/>
      <c r="E15841" s="87"/>
      <c r="F15841" s="87"/>
      <c r="G15841" s="87"/>
    </row>
    <row r="15842">
      <c r="A15842" s="86" t="str">
        <f>IFERROR(__xludf.DUMMYFUNCTION("""COMPUTED_VALUE"""),"")</f>
        <v/>
      </c>
      <c r="B15842" s="87"/>
      <c r="C15842" s="87"/>
      <c r="D15842" s="87"/>
      <c r="E15842" s="87"/>
      <c r="F15842" s="87"/>
      <c r="G15842" s="87"/>
    </row>
    <row r="15843">
      <c r="A15843" s="86" t="str">
        <f>IFERROR(__xludf.DUMMYFUNCTION("""COMPUTED_VALUE"""),"")</f>
        <v/>
      </c>
      <c r="B15843" s="87"/>
      <c r="C15843" s="87"/>
      <c r="D15843" s="87"/>
      <c r="E15843" s="87"/>
      <c r="F15843" s="87"/>
      <c r="G15843" s="87"/>
    </row>
    <row r="15844">
      <c r="A15844" s="86" t="str">
        <f>IFERROR(__xludf.DUMMYFUNCTION("""COMPUTED_VALUE"""),"")</f>
        <v/>
      </c>
      <c r="B15844" s="87"/>
      <c r="C15844" s="87"/>
      <c r="D15844" s="87"/>
      <c r="E15844" s="87"/>
      <c r="F15844" s="87"/>
      <c r="G15844" s="87"/>
    </row>
    <row r="15845">
      <c r="A15845" s="86" t="str">
        <f>IFERROR(__xludf.DUMMYFUNCTION("""COMPUTED_VALUE"""),"")</f>
        <v/>
      </c>
      <c r="B15845" s="87"/>
      <c r="C15845" s="87"/>
      <c r="D15845" s="87"/>
      <c r="E15845" s="87"/>
      <c r="F15845" s="87"/>
      <c r="G15845" s="87"/>
    </row>
    <row r="15846">
      <c r="A15846" s="86" t="str">
        <f>IFERROR(__xludf.DUMMYFUNCTION("""COMPUTED_VALUE"""),"")</f>
        <v/>
      </c>
      <c r="B15846" s="87"/>
      <c r="C15846" s="87"/>
      <c r="D15846" s="87"/>
      <c r="E15846" s="87"/>
      <c r="F15846" s="87"/>
      <c r="G15846" s="87"/>
    </row>
    <row r="15847">
      <c r="A15847" s="86" t="str">
        <f>IFERROR(__xludf.DUMMYFUNCTION("""COMPUTED_VALUE"""),"")</f>
        <v/>
      </c>
      <c r="B15847" s="87"/>
      <c r="C15847" s="87"/>
      <c r="D15847" s="87"/>
      <c r="E15847" s="87"/>
      <c r="F15847" s="87"/>
      <c r="G15847" s="87"/>
    </row>
    <row r="15848">
      <c r="A15848" s="86" t="str">
        <f>IFERROR(__xludf.DUMMYFUNCTION("""COMPUTED_VALUE"""),"")</f>
        <v/>
      </c>
      <c r="B15848" s="87"/>
      <c r="C15848" s="87"/>
      <c r="D15848" s="87"/>
      <c r="E15848" s="87"/>
      <c r="F15848" s="87"/>
      <c r="G15848" s="87"/>
    </row>
    <row r="15849">
      <c r="A15849" s="86" t="str">
        <f>IFERROR(__xludf.DUMMYFUNCTION("""COMPUTED_VALUE"""),"")</f>
        <v/>
      </c>
      <c r="B15849" s="87"/>
      <c r="C15849" s="87"/>
      <c r="D15849" s="87"/>
      <c r="E15849" s="87"/>
      <c r="F15849" s="87"/>
      <c r="G15849" s="87"/>
    </row>
    <row r="15850">
      <c r="A15850" s="86" t="str">
        <f>IFERROR(__xludf.DUMMYFUNCTION("""COMPUTED_VALUE"""),"")</f>
        <v/>
      </c>
      <c r="B15850" s="87"/>
      <c r="C15850" s="87"/>
      <c r="D15850" s="87"/>
      <c r="E15850" s="87"/>
      <c r="F15850" s="87"/>
      <c r="G15850" s="87"/>
    </row>
    <row r="15851">
      <c r="A15851" s="86" t="str">
        <f>IFERROR(__xludf.DUMMYFUNCTION("""COMPUTED_VALUE"""),"")</f>
        <v/>
      </c>
      <c r="B15851" s="87"/>
      <c r="C15851" s="87"/>
      <c r="D15851" s="87"/>
      <c r="E15851" s="87"/>
      <c r="F15851" s="87"/>
      <c r="G15851" s="87"/>
    </row>
    <row r="15852">
      <c r="A15852" s="86" t="str">
        <f>IFERROR(__xludf.DUMMYFUNCTION("""COMPUTED_VALUE"""),"")</f>
        <v/>
      </c>
      <c r="B15852" s="87"/>
      <c r="C15852" s="87"/>
      <c r="D15852" s="87"/>
      <c r="E15852" s="87"/>
      <c r="F15852" s="87"/>
      <c r="G15852" s="87"/>
    </row>
    <row r="15853">
      <c r="A15853" s="86" t="str">
        <f>IFERROR(__xludf.DUMMYFUNCTION("""COMPUTED_VALUE"""),"")</f>
        <v/>
      </c>
      <c r="B15853" s="87"/>
      <c r="C15853" s="87"/>
      <c r="D15853" s="87"/>
      <c r="E15853" s="87"/>
      <c r="F15853" s="87"/>
      <c r="G15853" s="87"/>
    </row>
    <row r="15854">
      <c r="A15854" s="86" t="str">
        <f>IFERROR(__xludf.DUMMYFUNCTION("""COMPUTED_VALUE"""),"")</f>
        <v/>
      </c>
      <c r="B15854" s="87"/>
      <c r="C15854" s="87"/>
      <c r="D15854" s="87"/>
      <c r="E15854" s="87"/>
      <c r="F15854" s="87"/>
      <c r="G15854" s="87"/>
    </row>
    <row r="15855">
      <c r="A15855" s="86" t="str">
        <f>IFERROR(__xludf.DUMMYFUNCTION("""COMPUTED_VALUE"""),"")</f>
        <v/>
      </c>
      <c r="B15855" s="87"/>
      <c r="C15855" s="87"/>
      <c r="D15855" s="87"/>
      <c r="E15855" s="87"/>
      <c r="F15855" s="87"/>
      <c r="G15855" s="87"/>
    </row>
    <row r="15856">
      <c r="A15856" s="86" t="str">
        <f>IFERROR(__xludf.DUMMYFUNCTION("""COMPUTED_VALUE"""),"")</f>
        <v/>
      </c>
      <c r="B15856" s="87"/>
      <c r="C15856" s="87"/>
      <c r="D15856" s="87"/>
      <c r="E15856" s="87"/>
      <c r="F15856" s="87"/>
      <c r="G15856" s="87"/>
    </row>
    <row r="15857">
      <c r="A15857" s="86" t="str">
        <f>IFERROR(__xludf.DUMMYFUNCTION("""COMPUTED_VALUE"""),"")</f>
        <v/>
      </c>
      <c r="B15857" s="87"/>
      <c r="C15857" s="87"/>
      <c r="D15857" s="87"/>
      <c r="E15857" s="87"/>
      <c r="F15857" s="87"/>
      <c r="G15857" s="87"/>
    </row>
    <row r="15858">
      <c r="A15858" s="86" t="str">
        <f>IFERROR(__xludf.DUMMYFUNCTION("""COMPUTED_VALUE"""),"")</f>
        <v/>
      </c>
      <c r="B15858" s="87"/>
      <c r="C15858" s="87"/>
      <c r="D15858" s="87"/>
      <c r="E15858" s="87"/>
      <c r="F15858" s="87"/>
      <c r="G15858" s="87"/>
    </row>
    <row r="15859">
      <c r="A15859" s="86" t="str">
        <f>IFERROR(__xludf.DUMMYFUNCTION("""COMPUTED_VALUE"""),"")</f>
        <v/>
      </c>
      <c r="B15859" s="87"/>
      <c r="C15859" s="87"/>
      <c r="D15859" s="87"/>
      <c r="E15859" s="87"/>
      <c r="F15859" s="87"/>
      <c r="G15859" s="87"/>
    </row>
    <row r="15860">
      <c r="A15860" s="86" t="str">
        <f>IFERROR(__xludf.DUMMYFUNCTION("""COMPUTED_VALUE"""),"")</f>
        <v/>
      </c>
      <c r="B15860" s="87"/>
      <c r="C15860" s="87"/>
      <c r="D15860" s="87"/>
      <c r="E15860" s="87"/>
      <c r="F15860" s="87"/>
      <c r="G15860" s="87"/>
    </row>
    <row r="15861">
      <c r="A15861" s="86" t="str">
        <f>IFERROR(__xludf.DUMMYFUNCTION("""COMPUTED_VALUE"""),"")</f>
        <v/>
      </c>
      <c r="B15861" s="87"/>
      <c r="C15861" s="87"/>
      <c r="D15861" s="87"/>
      <c r="E15861" s="87"/>
      <c r="F15861" s="87"/>
      <c r="G15861" s="87"/>
    </row>
    <row r="15862">
      <c r="A15862" s="86" t="str">
        <f>IFERROR(__xludf.DUMMYFUNCTION("""COMPUTED_VALUE"""),"")</f>
        <v/>
      </c>
      <c r="B15862" s="87"/>
      <c r="C15862" s="87"/>
      <c r="D15862" s="87"/>
      <c r="E15862" s="87"/>
      <c r="F15862" s="87"/>
      <c r="G15862" s="87"/>
    </row>
    <row r="15863">
      <c r="A15863" s="86" t="str">
        <f>IFERROR(__xludf.DUMMYFUNCTION("""COMPUTED_VALUE"""),"")</f>
        <v/>
      </c>
      <c r="B15863" s="87"/>
      <c r="C15863" s="87"/>
      <c r="D15863" s="87"/>
      <c r="E15863" s="87"/>
      <c r="F15863" s="87"/>
      <c r="G15863" s="87"/>
    </row>
    <row r="15864">
      <c r="A15864" s="86" t="str">
        <f>IFERROR(__xludf.DUMMYFUNCTION("""COMPUTED_VALUE"""),"")</f>
        <v/>
      </c>
      <c r="B15864" s="87"/>
      <c r="C15864" s="87"/>
      <c r="D15864" s="87"/>
      <c r="E15864" s="87"/>
      <c r="F15864" s="87"/>
      <c r="G15864" s="87"/>
    </row>
    <row r="15865">
      <c r="A15865" s="86" t="str">
        <f>IFERROR(__xludf.DUMMYFUNCTION("""COMPUTED_VALUE"""),"")</f>
        <v/>
      </c>
      <c r="B15865" s="87"/>
      <c r="C15865" s="87"/>
      <c r="D15865" s="87"/>
      <c r="E15865" s="87"/>
      <c r="F15865" s="87"/>
      <c r="G15865" s="87"/>
    </row>
    <row r="15866">
      <c r="A15866" s="86" t="str">
        <f>IFERROR(__xludf.DUMMYFUNCTION("""COMPUTED_VALUE"""),"")</f>
        <v/>
      </c>
      <c r="B15866" s="87"/>
      <c r="C15866" s="87"/>
      <c r="D15866" s="87"/>
      <c r="E15866" s="87"/>
      <c r="F15866" s="87"/>
      <c r="G15866" s="87"/>
    </row>
    <row r="15867">
      <c r="A15867" s="86" t="str">
        <f>IFERROR(__xludf.DUMMYFUNCTION("""COMPUTED_VALUE"""),"")</f>
        <v/>
      </c>
      <c r="B15867" s="87"/>
      <c r="C15867" s="87"/>
      <c r="D15867" s="87"/>
      <c r="E15867" s="87"/>
      <c r="F15867" s="87"/>
      <c r="G15867" s="87"/>
    </row>
    <row r="15868">
      <c r="A15868" s="86" t="str">
        <f>IFERROR(__xludf.DUMMYFUNCTION("""COMPUTED_VALUE"""),"")</f>
        <v/>
      </c>
      <c r="B15868" s="87"/>
      <c r="C15868" s="87"/>
      <c r="D15868" s="87"/>
      <c r="E15868" s="87"/>
      <c r="F15868" s="87"/>
      <c r="G15868" s="87"/>
    </row>
    <row r="15869">
      <c r="A15869" s="86" t="str">
        <f>IFERROR(__xludf.DUMMYFUNCTION("""COMPUTED_VALUE"""),"")</f>
        <v/>
      </c>
      <c r="B15869" s="87"/>
      <c r="C15869" s="87"/>
      <c r="D15869" s="87"/>
      <c r="E15869" s="87"/>
      <c r="F15869" s="87"/>
      <c r="G15869" s="87"/>
    </row>
    <row r="15870">
      <c r="A15870" s="86" t="str">
        <f>IFERROR(__xludf.DUMMYFUNCTION("""COMPUTED_VALUE"""),"")</f>
        <v/>
      </c>
      <c r="B15870" s="87"/>
      <c r="C15870" s="87"/>
      <c r="D15870" s="87"/>
      <c r="E15870" s="87"/>
      <c r="F15870" s="87"/>
      <c r="G15870" s="87"/>
    </row>
    <row r="15871">
      <c r="A15871" s="86" t="str">
        <f>IFERROR(__xludf.DUMMYFUNCTION("""COMPUTED_VALUE"""),"")</f>
        <v/>
      </c>
      <c r="B15871" s="87"/>
      <c r="C15871" s="87"/>
      <c r="D15871" s="87"/>
      <c r="E15871" s="87"/>
      <c r="F15871" s="87"/>
      <c r="G15871" s="87"/>
    </row>
    <row r="15872">
      <c r="A15872" s="86" t="str">
        <f>IFERROR(__xludf.DUMMYFUNCTION("""COMPUTED_VALUE"""),"")</f>
        <v/>
      </c>
      <c r="B15872" s="87"/>
      <c r="C15872" s="87"/>
      <c r="D15872" s="87"/>
      <c r="E15872" s="87"/>
      <c r="F15872" s="87"/>
      <c r="G15872" s="87"/>
    </row>
    <row r="15873">
      <c r="A15873" s="86" t="str">
        <f>IFERROR(__xludf.DUMMYFUNCTION("""COMPUTED_VALUE"""),"")</f>
        <v/>
      </c>
      <c r="B15873" s="87"/>
      <c r="C15873" s="87"/>
      <c r="D15873" s="87"/>
      <c r="E15873" s="87"/>
      <c r="F15873" s="87"/>
      <c r="G15873" s="87"/>
    </row>
    <row r="15874">
      <c r="A15874" s="86" t="str">
        <f>IFERROR(__xludf.DUMMYFUNCTION("""COMPUTED_VALUE"""),"")</f>
        <v/>
      </c>
      <c r="B15874" s="87"/>
      <c r="C15874" s="87"/>
      <c r="D15874" s="87"/>
      <c r="E15874" s="87"/>
      <c r="F15874" s="87"/>
      <c r="G15874" s="87"/>
    </row>
    <row r="15875">
      <c r="A15875" s="86" t="str">
        <f>IFERROR(__xludf.DUMMYFUNCTION("""COMPUTED_VALUE"""),"")</f>
        <v/>
      </c>
      <c r="B15875" s="87"/>
      <c r="C15875" s="87"/>
      <c r="D15875" s="87"/>
      <c r="E15875" s="87"/>
      <c r="F15875" s="87"/>
      <c r="G15875" s="87"/>
    </row>
    <row r="15876">
      <c r="A15876" s="86" t="str">
        <f>IFERROR(__xludf.DUMMYFUNCTION("""COMPUTED_VALUE"""),"")</f>
        <v/>
      </c>
      <c r="B15876" s="87"/>
      <c r="C15876" s="87"/>
      <c r="D15876" s="87"/>
      <c r="E15876" s="87"/>
      <c r="F15876" s="87"/>
      <c r="G15876" s="87"/>
    </row>
    <row r="15877">
      <c r="A15877" s="86" t="str">
        <f>IFERROR(__xludf.DUMMYFUNCTION("""COMPUTED_VALUE"""),"")</f>
        <v/>
      </c>
      <c r="B15877" s="87"/>
      <c r="C15877" s="87"/>
      <c r="D15877" s="87"/>
      <c r="E15877" s="87"/>
      <c r="F15877" s="87"/>
      <c r="G15877" s="87"/>
    </row>
    <row r="15878">
      <c r="A15878" s="86" t="str">
        <f>IFERROR(__xludf.DUMMYFUNCTION("""COMPUTED_VALUE"""),"")</f>
        <v/>
      </c>
      <c r="B15878" s="87"/>
      <c r="C15878" s="87"/>
      <c r="D15878" s="87"/>
      <c r="E15878" s="87"/>
      <c r="F15878" s="87"/>
      <c r="G15878" s="87"/>
    </row>
    <row r="15879">
      <c r="A15879" s="86" t="str">
        <f>IFERROR(__xludf.DUMMYFUNCTION("""COMPUTED_VALUE"""),"")</f>
        <v/>
      </c>
      <c r="B15879" s="87"/>
      <c r="C15879" s="87"/>
      <c r="D15879" s="87"/>
      <c r="E15879" s="87"/>
      <c r="F15879" s="87"/>
      <c r="G15879" s="87"/>
    </row>
    <row r="15880">
      <c r="A15880" s="86" t="str">
        <f>IFERROR(__xludf.DUMMYFUNCTION("""COMPUTED_VALUE"""),"")</f>
        <v/>
      </c>
      <c r="B15880" s="87"/>
      <c r="C15880" s="87"/>
      <c r="D15880" s="87"/>
      <c r="E15880" s="87"/>
      <c r="F15880" s="87"/>
      <c r="G15880" s="87"/>
    </row>
    <row r="15881">
      <c r="A15881" s="86" t="str">
        <f>IFERROR(__xludf.DUMMYFUNCTION("""COMPUTED_VALUE"""),"")</f>
        <v/>
      </c>
      <c r="B15881" s="87"/>
      <c r="C15881" s="87"/>
      <c r="D15881" s="87"/>
      <c r="E15881" s="87"/>
      <c r="F15881" s="87"/>
      <c r="G15881" s="87"/>
    </row>
    <row r="15882">
      <c r="A15882" s="86" t="str">
        <f>IFERROR(__xludf.DUMMYFUNCTION("""COMPUTED_VALUE"""),"")</f>
        <v/>
      </c>
      <c r="B15882" s="87"/>
      <c r="C15882" s="87"/>
      <c r="D15882" s="87"/>
      <c r="E15882" s="87"/>
      <c r="F15882" s="87"/>
      <c r="G15882" s="87"/>
    </row>
    <row r="15883">
      <c r="A15883" s="86" t="str">
        <f>IFERROR(__xludf.DUMMYFUNCTION("""COMPUTED_VALUE"""),"")</f>
        <v/>
      </c>
      <c r="B15883" s="87"/>
      <c r="C15883" s="87"/>
      <c r="D15883" s="87"/>
      <c r="E15883" s="87"/>
      <c r="F15883" s="87"/>
      <c r="G15883" s="87"/>
    </row>
    <row r="15884">
      <c r="A15884" s="86" t="str">
        <f>IFERROR(__xludf.DUMMYFUNCTION("""COMPUTED_VALUE"""),"")</f>
        <v/>
      </c>
      <c r="B15884" s="87"/>
      <c r="C15884" s="87"/>
      <c r="D15884" s="87"/>
      <c r="E15884" s="87"/>
      <c r="F15884" s="87"/>
      <c r="G15884" s="87"/>
    </row>
    <row r="15885">
      <c r="A15885" s="86" t="str">
        <f>IFERROR(__xludf.DUMMYFUNCTION("""COMPUTED_VALUE"""),"")</f>
        <v/>
      </c>
      <c r="B15885" s="87"/>
      <c r="C15885" s="87"/>
      <c r="D15885" s="87"/>
      <c r="E15885" s="87"/>
      <c r="F15885" s="87"/>
      <c r="G15885" s="87"/>
    </row>
    <row r="15886">
      <c r="A15886" s="86" t="str">
        <f>IFERROR(__xludf.DUMMYFUNCTION("""COMPUTED_VALUE"""),"")</f>
        <v/>
      </c>
      <c r="B15886" s="87"/>
      <c r="C15886" s="87"/>
      <c r="D15886" s="87"/>
      <c r="E15886" s="87"/>
      <c r="F15886" s="87"/>
      <c r="G15886" s="87"/>
    </row>
    <row r="15887">
      <c r="A15887" s="86" t="str">
        <f>IFERROR(__xludf.DUMMYFUNCTION("""COMPUTED_VALUE"""),"")</f>
        <v/>
      </c>
      <c r="B15887" s="87"/>
      <c r="C15887" s="87"/>
      <c r="D15887" s="87"/>
      <c r="E15887" s="87"/>
      <c r="F15887" s="87"/>
      <c r="G15887" s="87"/>
    </row>
    <row r="15888">
      <c r="A15888" s="86" t="str">
        <f>IFERROR(__xludf.DUMMYFUNCTION("""COMPUTED_VALUE"""),"")</f>
        <v/>
      </c>
      <c r="B15888" s="87"/>
      <c r="C15888" s="87"/>
      <c r="D15888" s="87"/>
      <c r="E15888" s="87"/>
      <c r="F15888" s="87"/>
      <c r="G15888" s="87"/>
    </row>
    <row r="15889">
      <c r="A15889" s="86" t="str">
        <f>IFERROR(__xludf.DUMMYFUNCTION("""COMPUTED_VALUE"""),"")</f>
        <v/>
      </c>
      <c r="B15889" s="87"/>
      <c r="C15889" s="87"/>
      <c r="D15889" s="87"/>
      <c r="E15889" s="87"/>
      <c r="F15889" s="87"/>
      <c r="G15889" s="87"/>
    </row>
    <row r="15890">
      <c r="A15890" s="86" t="str">
        <f>IFERROR(__xludf.DUMMYFUNCTION("""COMPUTED_VALUE"""),"")</f>
        <v/>
      </c>
      <c r="B15890" s="87"/>
      <c r="C15890" s="87"/>
      <c r="D15890" s="87"/>
      <c r="E15890" s="87"/>
      <c r="F15890" s="87"/>
      <c r="G15890" s="87"/>
    </row>
    <row r="15891">
      <c r="A15891" s="86" t="str">
        <f>IFERROR(__xludf.DUMMYFUNCTION("""COMPUTED_VALUE"""),"")</f>
        <v/>
      </c>
      <c r="B15891" s="87"/>
      <c r="C15891" s="87"/>
      <c r="D15891" s="87"/>
      <c r="E15891" s="87"/>
      <c r="F15891" s="87"/>
      <c r="G15891" s="87"/>
    </row>
    <row r="15892">
      <c r="A15892" s="86" t="str">
        <f>IFERROR(__xludf.DUMMYFUNCTION("""COMPUTED_VALUE"""),"")</f>
        <v/>
      </c>
      <c r="B15892" s="87"/>
      <c r="C15892" s="87"/>
      <c r="D15892" s="87"/>
      <c r="E15892" s="87"/>
      <c r="F15892" s="87"/>
      <c r="G15892" s="87"/>
    </row>
    <row r="15893">
      <c r="A15893" s="86" t="str">
        <f>IFERROR(__xludf.DUMMYFUNCTION("""COMPUTED_VALUE"""),"")</f>
        <v/>
      </c>
      <c r="B15893" s="87"/>
      <c r="C15893" s="87"/>
      <c r="D15893" s="87"/>
      <c r="E15893" s="87"/>
      <c r="F15893" s="87"/>
      <c r="G15893" s="87"/>
    </row>
    <row r="15894">
      <c r="A15894" s="86" t="str">
        <f>IFERROR(__xludf.DUMMYFUNCTION("""COMPUTED_VALUE"""),"")</f>
        <v/>
      </c>
      <c r="B15894" s="87"/>
      <c r="C15894" s="87"/>
      <c r="D15894" s="87"/>
      <c r="E15894" s="87"/>
      <c r="F15894" s="87"/>
      <c r="G15894" s="87"/>
    </row>
    <row r="15895">
      <c r="A15895" s="86" t="str">
        <f>IFERROR(__xludf.DUMMYFUNCTION("""COMPUTED_VALUE"""),"")</f>
        <v/>
      </c>
      <c r="B15895" s="87"/>
      <c r="C15895" s="87"/>
      <c r="D15895" s="87"/>
      <c r="E15895" s="87"/>
      <c r="F15895" s="87"/>
      <c r="G15895" s="87"/>
    </row>
    <row r="15896">
      <c r="A15896" s="86" t="str">
        <f>IFERROR(__xludf.DUMMYFUNCTION("""COMPUTED_VALUE"""),"")</f>
        <v/>
      </c>
      <c r="B15896" s="87"/>
      <c r="C15896" s="87"/>
      <c r="D15896" s="87"/>
      <c r="E15896" s="87"/>
      <c r="F15896" s="87"/>
      <c r="G15896" s="87"/>
    </row>
    <row r="15897">
      <c r="A15897" s="86" t="str">
        <f>IFERROR(__xludf.DUMMYFUNCTION("""COMPUTED_VALUE"""),"")</f>
        <v/>
      </c>
      <c r="B15897" s="87"/>
      <c r="C15897" s="87"/>
      <c r="D15897" s="87"/>
      <c r="E15897" s="87"/>
      <c r="F15897" s="87"/>
      <c r="G15897" s="87"/>
    </row>
    <row r="15898">
      <c r="A15898" s="86" t="str">
        <f>IFERROR(__xludf.DUMMYFUNCTION("""COMPUTED_VALUE"""),"")</f>
        <v/>
      </c>
      <c r="B15898" s="87"/>
      <c r="C15898" s="87"/>
      <c r="D15898" s="87"/>
      <c r="E15898" s="87"/>
      <c r="F15898" s="87"/>
      <c r="G15898" s="87"/>
    </row>
    <row r="15899">
      <c r="A15899" s="86" t="str">
        <f>IFERROR(__xludf.DUMMYFUNCTION("""COMPUTED_VALUE"""),"")</f>
        <v/>
      </c>
      <c r="B15899" s="87"/>
      <c r="C15899" s="87"/>
      <c r="D15899" s="87"/>
      <c r="E15899" s="87"/>
      <c r="F15899" s="87"/>
      <c r="G15899" s="87"/>
    </row>
    <row r="15900">
      <c r="A15900" s="86" t="str">
        <f>IFERROR(__xludf.DUMMYFUNCTION("""COMPUTED_VALUE"""),"")</f>
        <v/>
      </c>
      <c r="B15900" s="87"/>
      <c r="C15900" s="87"/>
      <c r="D15900" s="87"/>
      <c r="E15900" s="87"/>
      <c r="F15900" s="87"/>
      <c r="G15900" s="87"/>
    </row>
    <row r="15901">
      <c r="A15901" s="86" t="str">
        <f>IFERROR(__xludf.DUMMYFUNCTION("""COMPUTED_VALUE"""),"")</f>
        <v/>
      </c>
      <c r="B15901" s="87"/>
      <c r="C15901" s="87"/>
      <c r="D15901" s="87"/>
      <c r="E15901" s="87"/>
      <c r="F15901" s="87"/>
      <c r="G15901" s="87"/>
    </row>
    <row r="15902">
      <c r="A15902" s="86" t="str">
        <f>IFERROR(__xludf.DUMMYFUNCTION("""COMPUTED_VALUE"""),"")</f>
        <v/>
      </c>
      <c r="B15902" s="87"/>
      <c r="C15902" s="87"/>
      <c r="D15902" s="87"/>
      <c r="E15902" s="87"/>
      <c r="F15902" s="87"/>
      <c r="G15902" s="87"/>
    </row>
    <row r="15903">
      <c r="A15903" s="86" t="str">
        <f>IFERROR(__xludf.DUMMYFUNCTION("""COMPUTED_VALUE"""),"")</f>
        <v/>
      </c>
      <c r="B15903" s="87"/>
      <c r="C15903" s="87"/>
      <c r="D15903" s="87"/>
      <c r="E15903" s="87"/>
      <c r="F15903" s="87"/>
      <c r="G15903" s="87"/>
    </row>
    <row r="15904">
      <c r="A15904" s="86" t="str">
        <f>IFERROR(__xludf.DUMMYFUNCTION("""COMPUTED_VALUE"""),"")</f>
        <v/>
      </c>
      <c r="B15904" s="87"/>
      <c r="C15904" s="87"/>
      <c r="D15904" s="87"/>
      <c r="E15904" s="87"/>
      <c r="F15904" s="87"/>
      <c r="G15904" s="87"/>
    </row>
    <row r="15905">
      <c r="A15905" s="86" t="str">
        <f>IFERROR(__xludf.DUMMYFUNCTION("""COMPUTED_VALUE"""),"")</f>
        <v/>
      </c>
      <c r="B15905" s="87"/>
      <c r="C15905" s="87"/>
      <c r="D15905" s="87"/>
      <c r="E15905" s="87"/>
      <c r="F15905" s="87"/>
      <c r="G15905" s="87"/>
    </row>
    <row r="15906">
      <c r="A15906" s="86" t="str">
        <f>IFERROR(__xludf.DUMMYFUNCTION("""COMPUTED_VALUE"""),"")</f>
        <v/>
      </c>
      <c r="B15906" s="87"/>
      <c r="C15906" s="87"/>
      <c r="D15906" s="87"/>
      <c r="E15906" s="87"/>
      <c r="F15906" s="87"/>
      <c r="G15906" s="87"/>
    </row>
    <row r="15907">
      <c r="A15907" s="86" t="str">
        <f>IFERROR(__xludf.DUMMYFUNCTION("""COMPUTED_VALUE"""),"")</f>
        <v/>
      </c>
      <c r="B15907" s="87"/>
      <c r="C15907" s="87"/>
      <c r="D15907" s="87"/>
      <c r="E15907" s="87"/>
      <c r="F15907" s="87"/>
      <c r="G15907" s="87"/>
    </row>
    <row r="15908">
      <c r="A15908" s="86" t="str">
        <f>IFERROR(__xludf.DUMMYFUNCTION("""COMPUTED_VALUE"""),"")</f>
        <v/>
      </c>
      <c r="B15908" s="87"/>
      <c r="C15908" s="87"/>
      <c r="D15908" s="87"/>
      <c r="E15908" s="87"/>
      <c r="F15908" s="87"/>
      <c r="G15908" s="87"/>
    </row>
    <row r="15909">
      <c r="A15909" s="86" t="str">
        <f>IFERROR(__xludf.DUMMYFUNCTION("""COMPUTED_VALUE"""),"")</f>
        <v/>
      </c>
      <c r="B15909" s="87"/>
      <c r="C15909" s="87"/>
      <c r="D15909" s="87"/>
      <c r="E15909" s="87"/>
      <c r="F15909" s="87"/>
      <c r="G15909" s="87"/>
    </row>
    <row r="15910">
      <c r="A15910" s="86" t="str">
        <f>IFERROR(__xludf.DUMMYFUNCTION("""COMPUTED_VALUE"""),"")</f>
        <v/>
      </c>
      <c r="B15910" s="87"/>
      <c r="C15910" s="87"/>
      <c r="D15910" s="87"/>
      <c r="E15910" s="87"/>
      <c r="F15910" s="87"/>
      <c r="G15910" s="87"/>
    </row>
    <row r="15911">
      <c r="A15911" s="86" t="str">
        <f>IFERROR(__xludf.DUMMYFUNCTION("""COMPUTED_VALUE"""),"")</f>
        <v/>
      </c>
      <c r="B15911" s="87"/>
      <c r="C15911" s="87"/>
      <c r="D15911" s="87"/>
      <c r="E15911" s="87"/>
      <c r="F15911" s="87"/>
      <c r="G15911" s="87"/>
    </row>
    <row r="15912">
      <c r="A15912" s="86" t="str">
        <f>IFERROR(__xludf.DUMMYFUNCTION("""COMPUTED_VALUE"""),"")</f>
        <v/>
      </c>
      <c r="B15912" s="87"/>
      <c r="C15912" s="87"/>
      <c r="D15912" s="87"/>
      <c r="E15912" s="87"/>
      <c r="F15912" s="87"/>
      <c r="G15912" s="87"/>
    </row>
    <row r="15913">
      <c r="A15913" s="86" t="str">
        <f>IFERROR(__xludf.DUMMYFUNCTION("""COMPUTED_VALUE"""),"")</f>
        <v/>
      </c>
      <c r="B15913" s="87"/>
      <c r="C15913" s="87"/>
      <c r="D15913" s="87"/>
      <c r="E15913" s="87"/>
      <c r="F15913" s="87"/>
      <c r="G15913" s="87"/>
    </row>
    <row r="15914">
      <c r="A15914" s="86" t="str">
        <f>IFERROR(__xludf.DUMMYFUNCTION("""COMPUTED_VALUE"""),"")</f>
        <v/>
      </c>
      <c r="B15914" s="87"/>
      <c r="C15914" s="87"/>
      <c r="D15914" s="87"/>
      <c r="E15914" s="87"/>
      <c r="F15914" s="87"/>
      <c r="G15914" s="87"/>
    </row>
    <row r="15915">
      <c r="A15915" s="86" t="str">
        <f>IFERROR(__xludf.DUMMYFUNCTION("""COMPUTED_VALUE"""),"")</f>
        <v/>
      </c>
      <c r="B15915" s="87"/>
      <c r="C15915" s="87"/>
      <c r="D15915" s="87"/>
      <c r="E15915" s="87"/>
      <c r="F15915" s="87"/>
      <c r="G15915" s="87"/>
    </row>
    <row r="15916">
      <c r="A15916" s="86" t="str">
        <f>IFERROR(__xludf.DUMMYFUNCTION("""COMPUTED_VALUE"""),"")</f>
        <v/>
      </c>
      <c r="B15916" s="87"/>
      <c r="C15916" s="87"/>
      <c r="D15916" s="87"/>
      <c r="E15916" s="87"/>
      <c r="F15916" s="87"/>
      <c r="G15916" s="87"/>
    </row>
    <row r="15917">
      <c r="A15917" s="86" t="str">
        <f>IFERROR(__xludf.DUMMYFUNCTION("""COMPUTED_VALUE"""),"")</f>
        <v/>
      </c>
      <c r="B15917" s="87"/>
      <c r="C15917" s="87"/>
      <c r="D15917" s="87"/>
      <c r="E15917" s="87"/>
      <c r="F15917" s="87"/>
      <c r="G15917" s="87"/>
    </row>
    <row r="15918">
      <c r="A15918" s="86" t="str">
        <f>IFERROR(__xludf.DUMMYFUNCTION("""COMPUTED_VALUE"""),"")</f>
        <v/>
      </c>
      <c r="B15918" s="87"/>
      <c r="C15918" s="87"/>
      <c r="D15918" s="87"/>
      <c r="E15918" s="87"/>
      <c r="F15918" s="87"/>
      <c r="G15918" s="87"/>
    </row>
    <row r="15919">
      <c r="A15919" s="86" t="str">
        <f>IFERROR(__xludf.DUMMYFUNCTION("""COMPUTED_VALUE"""),"")</f>
        <v/>
      </c>
      <c r="B15919" s="87"/>
      <c r="C15919" s="87"/>
      <c r="D15919" s="87"/>
      <c r="E15919" s="87"/>
      <c r="F15919" s="87"/>
      <c r="G15919" s="87"/>
    </row>
    <row r="15920">
      <c r="A15920" s="86" t="str">
        <f>IFERROR(__xludf.DUMMYFUNCTION("""COMPUTED_VALUE"""),"")</f>
        <v/>
      </c>
      <c r="B15920" s="87"/>
      <c r="C15920" s="87"/>
      <c r="D15920" s="87"/>
      <c r="E15920" s="87"/>
      <c r="F15920" s="87"/>
      <c r="G15920" s="87"/>
    </row>
    <row r="15921">
      <c r="A15921" s="86" t="str">
        <f>IFERROR(__xludf.DUMMYFUNCTION("""COMPUTED_VALUE"""),"")</f>
        <v/>
      </c>
      <c r="B15921" s="87"/>
      <c r="C15921" s="87"/>
      <c r="D15921" s="87"/>
      <c r="E15921" s="87"/>
      <c r="F15921" s="87"/>
      <c r="G15921" s="87"/>
    </row>
    <row r="15922">
      <c r="A15922" s="86" t="str">
        <f>IFERROR(__xludf.DUMMYFUNCTION("""COMPUTED_VALUE"""),"")</f>
        <v/>
      </c>
      <c r="B15922" s="87"/>
      <c r="C15922" s="87"/>
      <c r="D15922" s="87"/>
      <c r="E15922" s="87"/>
      <c r="F15922" s="87"/>
      <c r="G15922" s="87"/>
    </row>
    <row r="15923">
      <c r="A15923" s="86" t="str">
        <f>IFERROR(__xludf.DUMMYFUNCTION("""COMPUTED_VALUE"""),"")</f>
        <v/>
      </c>
      <c r="B15923" s="87"/>
      <c r="C15923" s="87"/>
      <c r="D15923" s="87"/>
      <c r="E15923" s="87"/>
      <c r="F15923" s="87"/>
      <c r="G15923" s="87"/>
    </row>
    <row r="15924">
      <c r="A15924" s="86" t="str">
        <f>IFERROR(__xludf.DUMMYFUNCTION("""COMPUTED_VALUE"""),"")</f>
        <v/>
      </c>
      <c r="B15924" s="87"/>
      <c r="C15924" s="87"/>
      <c r="D15924" s="87"/>
      <c r="E15924" s="87"/>
      <c r="F15924" s="87"/>
      <c r="G15924" s="87"/>
    </row>
    <row r="15925">
      <c r="A15925" s="86" t="str">
        <f>IFERROR(__xludf.DUMMYFUNCTION("""COMPUTED_VALUE"""),"")</f>
        <v/>
      </c>
      <c r="B15925" s="87"/>
      <c r="C15925" s="87"/>
      <c r="D15925" s="87"/>
      <c r="E15925" s="87"/>
      <c r="F15925" s="87"/>
      <c r="G15925" s="87"/>
    </row>
    <row r="15926">
      <c r="A15926" s="86" t="str">
        <f>IFERROR(__xludf.DUMMYFUNCTION("""COMPUTED_VALUE"""),"")</f>
        <v/>
      </c>
      <c r="B15926" s="87"/>
      <c r="C15926" s="87"/>
      <c r="D15926" s="87"/>
      <c r="E15926" s="87"/>
      <c r="F15926" s="87"/>
      <c r="G15926" s="87"/>
    </row>
    <row r="15927">
      <c r="A15927" s="86" t="str">
        <f>IFERROR(__xludf.DUMMYFUNCTION("""COMPUTED_VALUE"""),"")</f>
        <v/>
      </c>
      <c r="B15927" s="87"/>
      <c r="C15927" s="87"/>
      <c r="D15927" s="87"/>
      <c r="E15927" s="87"/>
      <c r="F15927" s="87"/>
      <c r="G15927" s="87"/>
    </row>
    <row r="15928">
      <c r="A15928" s="86" t="str">
        <f>IFERROR(__xludf.DUMMYFUNCTION("""COMPUTED_VALUE"""),"")</f>
        <v/>
      </c>
      <c r="B15928" s="87"/>
      <c r="C15928" s="87"/>
      <c r="D15928" s="87"/>
      <c r="E15928" s="87"/>
      <c r="F15928" s="87"/>
      <c r="G15928" s="87"/>
    </row>
    <row r="15929">
      <c r="A15929" s="86" t="str">
        <f>IFERROR(__xludf.DUMMYFUNCTION("""COMPUTED_VALUE"""),"")</f>
        <v/>
      </c>
      <c r="B15929" s="87"/>
      <c r="C15929" s="87"/>
      <c r="D15929" s="87"/>
      <c r="E15929" s="87"/>
      <c r="F15929" s="87"/>
      <c r="G15929" s="87"/>
    </row>
    <row r="15930">
      <c r="A15930" s="86" t="str">
        <f>IFERROR(__xludf.DUMMYFUNCTION("""COMPUTED_VALUE"""),"")</f>
        <v/>
      </c>
      <c r="B15930" s="87"/>
      <c r="C15930" s="87"/>
      <c r="D15930" s="87"/>
      <c r="E15930" s="87"/>
      <c r="F15930" s="87"/>
      <c r="G15930" s="87"/>
    </row>
    <row r="15931">
      <c r="A15931" s="86" t="str">
        <f>IFERROR(__xludf.DUMMYFUNCTION("""COMPUTED_VALUE"""),"")</f>
        <v/>
      </c>
      <c r="B15931" s="87"/>
      <c r="C15931" s="87"/>
      <c r="D15931" s="87"/>
      <c r="E15931" s="87"/>
      <c r="F15931" s="87"/>
      <c r="G15931" s="87"/>
    </row>
    <row r="15932">
      <c r="A15932" s="86" t="str">
        <f>IFERROR(__xludf.DUMMYFUNCTION("""COMPUTED_VALUE"""),"")</f>
        <v/>
      </c>
      <c r="B15932" s="87"/>
      <c r="C15932" s="87"/>
      <c r="D15932" s="87"/>
      <c r="E15932" s="87"/>
      <c r="F15932" s="87"/>
      <c r="G15932" s="87"/>
    </row>
    <row r="15933">
      <c r="A15933" s="86" t="str">
        <f>IFERROR(__xludf.DUMMYFUNCTION("""COMPUTED_VALUE"""),"")</f>
        <v/>
      </c>
      <c r="B15933" s="87"/>
      <c r="C15933" s="87"/>
      <c r="D15933" s="87"/>
      <c r="E15933" s="87"/>
      <c r="F15933" s="87"/>
      <c r="G15933" s="87"/>
    </row>
    <row r="15934">
      <c r="A15934" s="86" t="str">
        <f>IFERROR(__xludf.DUMMYFUNCTION("""COMPUTED_VALUE"""),"")</f>
        <v/>
      </c>
      <c r="B15934" s="87"/>
      <c r="C15934" s="87"/>
      <c r="D15934" s="87"/>
      <c r="E15934" s="87"/>
      <c r="F15934" s="87"/>
      <c r="G15934" s="87"/>
    </row>
    <row r="15935">
      <c r="A15935" s="86" t="str">
        <f>IFERROR(__xludf.DUMMYFUNCTION("""COMPUTED_VALUE"""),"")</f>
        <v/>
      </c>
      <c r="B15935" s="87"/>
      <c r="C15935" s="87"/>
      <c r="D15935" s="87"/>
      <c r="E15935" s="87"/>
      <c r="F15935" s="87"/>
      <c r="G15935" s="87"/>
    </row>
    <row r="15936">
      <c r="A15936" s="86" t="str">
        <f>IFERROR(__xludf.DUMMYFUNCTION("""COMPUTED_VALUE"""),"")</f>
        <v/>
      </c>
      <c r="B15936" s="87"/>
      <c r="C15936" s="87"/>
      <c r="D15936" s="87"/>
      <c r="E15936" s="87"/>
      <c r="F15936" s="87"/>
      <c r="G15936" s="87"/>
    </row>
    <row r="15937">
      <c r="A15937" s="86" t="str">
        <f>IFERROR(__xludf.DUMMYFUNCTION("""COMPUTED_VALUE"""),"")</f>
        <v/>
      </c>
      <c r="B15937" s="87"/>
      <c r="C15937" s="87"/>
      <c r="D15937" s="87"/>
      <c r="E15937" s="87"/>
      <c r="F15937" s="87"/>
      <c r="G15937" s="87"/>
    </row>
    <row r="15938">
      <c r="A15938" s="86" t="str">
        <f>IFERROR(__xludf.DUMMYFUNCTION("""COMPUTED_VALUE"""),"")</f>
        <v/>
      </c>
      <c r="B15938" s="87"/>
      <c r="C15938" s="87"/>
      <c r="D15938" s="87"/>
      <c r="E15938" s="87"/>
      <c r="F15938" s="87"/>
      <c r="G15938" s="87"/>
    </row>
    <row r="15939">
      <c r="A15939" s="86" t="str">
        <f>IFERROR(__xludf.DUMMYFUNCTION("""COMPUTED_VALUE"""),"")</f>
        <v/>
      </c>
      <c r="B15939" s="87"/>
      <c r="C15939" s="87"/>
      <c r="D15939" s="87"/>
      <c r="E15939" s="87"/>
      <c r="F15939" s="87"/>
      <c r="G15939" s="87"/>
    </row>
    <row r="15940">
      <c r="A15940" s="86" t="str">
        <f>IFERROR(__xludf.DUMMYFUNCTION("""COMPUTED_VALUE"""),"")</f>
        <v/>
      </c>
      <c r="B15940" s="87"/>
      <c r="C15940" s="87"/>
      <c r="D15940" s="87"/>
      <c r="E15940" s="87"/>
      <c r="F15940" s="87"/>
      <c r="G15940" s="87"/>
    </row>
    <row r="15941">
      <c r="A15941" s="86" t="str">
        <f>IFERROR(__xludf.DUMMYFUNCTION("""COMPUTED_VALUE"""),"")</f>
        <v/>
      </c>
      <c r="B15941" s="87"/>
      <c r="C15941" s="87"/>
      <c r="D15941" s="87"/>
      <c r="E15941" s="87"/>
      <c r="F15941" s="87"/>
      <c r="G15941" s="87"/>
    </row>
    <row r="15942">
      <c r="A15942" s="86" t="str">
        <f>IFERROR(__xludf.DUMMYFUNCTION("""COMPUTED_VALUE"""),"")</f>
        <v/>
      </c>
      <c r="B15942" s="87"/>
      <c r="C15942" s="87"/>
      <c r="D15942" s="87"/>
      <c r="E15942" s="87"/>
      <c r="F15942" s="87"/>
      <c r="G15942" s="87"/>
    </row>
    <row r="15943">
      <c r="A15943" s="86" t="str">
        <f>IFERROR(__xludf.DUMMYFUNCTION("""COMPUTED_VALUE"""),"")</f>
        <v/>
      </c>
      <c r="B15943" s="87"/>
      <c r="C15943" s="87"/>
      <c r="D15943" s="87"/>
      <c r="E15943" s="87"/>
      <c r="F15943" s="87"/>
      <c r="G15943" s="87"/>
    </row>
    <row r="15944">
      <c r="A15944" s="86" t="str">
        <f>IFERROR(__xludf.DUMMYFUNCTION("""COMPUTED_VALUE"""),"")</f>
        <v/>
      </c>
      <c r="B15944" s="87"/>
      <c r="C15944" s="87"/>
      <c r="D15944" s="87"/>
      <c r="E15944" s="87"/>
      <c r="F15944" s="87"/>
      <c r="G15944" s="87"/>
    </row>
    <row r="15945">
      <c r="A15945" s="86" t="str">
        <f>IFERROR(__xludf.DUMMYFUNCTION("""COMPUTED_VALUE"""),"")</f>
        <v/>
      </c>
      <c r="B15945" s="87"/>
      <c r="C15945" s="87"/>
      <c r="D15945" s="87"/>
      <c r="E15945" s="87"/>
      <c r="F15945" s="87"/>
      <c r="G15945" s="87"/>
    </row>
    <row r="15946">
      <c r="A15946" s="86" t="str">
        <f>IFERROR(__xludf.DUMMYFUNCTION("""COMPUTED_VALUE"""),"")</f>
        <v/>
      </c>
      <c r="B15946" s="87"/>
      <c r="C15946" s="87"/>
      <c r="D15946" s="87"/>
      <c r="E15946" s="87"/>
      <c r="F15946" s="87"/>
      <c r="G15946" s="87"/>
    </row>
    <row r="15947">
      <c r="A15947" s="86" t="str">
        <f>IFERROR(__xludf.DUMMYFUNCTION("""COMPUTED_VALUE"""),"")</f>
        <v/>
      </c>
      <c r="B15947" s="87"/>
      <c r="C15947" s="87"/>
      <c r="D15947" s="87"/>
      <c r="E15947" s="87"/>
      <c r="F15947" s="87"/>
      <c r="G15947" s="87"/>
    </row>
    <row r="15948">
      <c r="A15948" s="86" t="str">
        <f>IFERROR(__xludf.DUMMYFUNCTION("""COMPUTED_VALUE"""),"")</f>
        <v/>
      </c>
      <c r="B15948" s="87"/>
      <c r="C15948" s="87"/>
      <c r="D15948" s="87"/>
      <c r="E15948" s="87"/>
      <c r="F15948" s="87"/>
      <c r="G15948" s="87"/>
    </row>
    <row r="15949">
      <c r="A15949" s="86" t="str">
        <f>IFERROR(__xludf.DUMMYFUNCTION("""COMPUTED_VALUE"""),"")</f>
        <v/>
      </c>
      <c r="B15949" s="87"/>
      <c r="C15949" s="87"/>
      <c r="D15949" s="87"/>
      <c r="E15949" s="87"/>
      <c r="F15949" s="87"/>
      <c r="G15949" s="87"/>
    </row>
    <row r="15950">
      <c r="A15950" s="86" t="str">
        <f>IFERROR(__xludf.DUMMYFUNCTION("""COMPUTED_VALUE"""),"")</f>
        <v/>
      </c>
      <c r="B15950" s="87"/>
      <c r="C15950" s="87"/>
      <c r="D15950" s="87"/>
      <c r="E15950" s="87"/>
      <c r="F15950" s="87"/>
      <c r="G15950" s="87"/>
    </row>
    <row r="15951">
      <c r="A15951" s="86" t="str">
        <f>IFERROR(__xludf.DUMMYFUNCTION("""COMPUTED_VALUE"""),"")</f>
        <v/>
      </c>
      <c r="B15951" s="87"/>
      <c r="C15951" s="87"/>
      <c r="D15951" s="87"/>
      <c r="E15951" s="87"/>
      <c r="F15951" s="87"/>
      <c r="G15951" s="87"/>
    </row>
    <row r="15952">
      <c r="A15952" s="86" t="str">
        <f>IFERROR(__xludf.DUMMYFUNCTION("""COMPUTED_VALUE"""),"")</f>
        <v/>
      </c>
      <c r="B15952" s="87"/>
      <c r="C15952" s="87"/>
      <c r="D15952" s="87"/>
      <c r="E15952" s="87"/>
      <c r="F15952" s="87"/>
      <c r="G15952" s="87"/>
    </row>
    <row r="15953">
      <c r="A15953" s="86" t="str">
        <f>IFERROR(__xludf.DUMMYFUNCTION("""COMPUTED_VALUE"""),"")</f>
        <v/>
      </c>
      <c r="B15953" s="87"/>
      <c r="C15953" s="87"/>
      <c r="D15953" s="87"/>
      <c r="E15953" s="87"/>
      <c r="F15953" s="87"/>
      <c r="G15953" s="87"/>
    </row>
    <row r="15954">
      <c r="A15954" s="86" t="str">
        <f>IFERROR(__xludf.DUMMYFUNCTION("""COMPUTED_VALUE"""),"")</f>
        <v/>
      </c>
      <c r="B15954" s="87"/>
      <c r="C15954" s="87"/>
      <c r="D15954" s="87"/>
      <c r="E15954" s="87"/>
      <c r="F15954" s="87"/>
      <c r="G15954" s="87"/>
    </row>
    <row r="15955">
      <c r="A15955" s="86" t="str">
        <f>IFERROR(__xludf.DUMMYFUNCTION("""COMPUTED_VALUE"""),"")</f>
        <v/>
      </c>
      <c r="B15955" s="87"/>
      <c r="C15955" s="87"/>
      <c r="D15955" s="87"/>
      <c r="E15955" s="87"/>
      <c r="F15955" s="87"/>
      <c r="G15955" s="87"/>
    </row>
    <row r="15956">
      <c r="A15956" s="86" t="str">
        <f>IFERROR(__xludf.DUMMYFUNCTION("""COMPUTED_VALUE"""),"")</f>
        <v/>
      </c>
      <c r="B15956" s="87"/>
      <c r="C15956" s="87"/>
      <c r="D15956" s="87"/>
      <c r="E15956" s="87"/>
      <c r="F15956" s="87"/>
      <c r="G15956" s="87"/>
    </row>
    <row r="15957">
      <c r="A15957" s="86" t="str">
        <f>IFERROR(__xludf.DUMMYFUNCTION("""COMPUTED_VALUE"""),"")</f>
        <v/>
      </c>
      <c r="B15957" s="87"/>
      <c r="C15957" s="87"/>
      <c r="D15957" s="87"/>
      <c r="E15957" s="87"/>
      <c r="F15957" s="87"/>
      <c r="G15957" s="87"/>
    </row>
    <row r="15958">
      <c r="A15958" s="86" t="str">
        <f>IFERROR(__xludf.DUMMYFUNCTION("""COMPUTED_VALUE"""),"")</f>
        <v/>
      </c>
      <c r="B15958" s="87"/>
      <c r="C15958" s="87"/>
      <c r="D15958" s="87"/>
      <c r="E15958" s="87"/>
      <c r="F15958" s="87"/>
      <c r="G15958" s="87"/>
    </row>
    <row r="15959">
      <c r="A15959" s="86" t="str">
        <f>IFERROR(__xludf.DUMMYFUNCTION("""COMPUTED_VALUE"""),"")</f>
        <v/>
      </c>
      <c r="B15959" s="87"/>
      <c r="C15959" s="87"/>
      <c r="D15959" s="87"/>
      <c r="E15959" s="87"/>
      <c r="F15959" s="87"/>
      <c r="G15959" s="87"/>
    </row>
    <row r="15960">
      <c r="A15960" s="86" t="str">
        <f>IFERROR(__xludf.DUMMYFUNCTION("""COMPUTED_VALUE"""),"")</f>
        <v/>
      </c>
      <c r="B15960" s="87"/>
      <c r="C15960" s="87"/>
      <c r="D15960" s="87"/>
      <c r="E15960" s="87"/>
      <c r="F15960" s="87"/>
      <c r="G15960" s="87"/>
    </row>
    <row r="15961">
      <c r="A15961" s="86" t="str">
        <f>IFERROR(__xludf.DUMMYFUNCTION("""COMPUTED_VALUE"""),"")</f>
        <v/>
      </c>
      <c r="B15961" s="87"/>
      <c r="C15961" s="87"/>
      <c r="D15961" s="87"/>
      <c r="E15961" s="87"/>
      <c r="F15961" s="87"/>
      <c r="G15961" s="87"/>
    </row>
    <row r="15962">
      <c r="A15962" s="86" t="str">
        <f>IFERROR(__xludf.DUMMYFUNCTION("""COMPUTED_VALUE"""),"")</f>
        <v/>
      </c>
      <c r="B15962" s="87"/>
      <c r="C15962" s="87"/>
      <c r="D15962" s="87"/>
      <c r="E15962" s="87"/>
      <c r="F15962" s="87"/>
      <c r="G15962" s="87"/>
    </row>
    <row r="15963">
      <c r="A15963" s="86" t="str">
        <f>IFERROR(__xludf.DUMMYFUNCTION("""COMPUTED_VALUE"""),"")</f>
        <v/>
      </c>
      <c r="B15963" s="87"/>
      <c r="C15963" s="87"/>
      <c r="D15963" s="87"/>
      <c r="E15963" s="87"/>
      <c r="F15963" s="87"/>
      <c r="G15963" s="87"/>
    </row>
    <row r="15964">
      <c r="A15964" s="86" t="str">
        <f>IFERROR(__xludf.DUMMYFUNCTION("""COMPUTED_VALUE"""),"")</f>
        <v/>
      </c>
      <c r="B15964" s="87"/>
      <c r="C15964" s="87"/>
      <c r="D15964" s="87"/>
      <c r="E15964" s="87"/>
      <c r="F15964" s="87"/>
      <c r="G15964" s="87"/>
    </row>
    <row r="15965">
      <c r="A15965" s="86" t="str">
        <f>IFERROR(__xludf.DUMMYFUNCTION("""COMPUTED_VALUE"""),"")</f>
        <v/>
      </c>
      <c r="B15965" s="87"/>
      <c r="C15965" s="87"/>
      <c r="D15965" s="87"/>
      <c r="E15965" s="87"/>
      <c r="F15965" s="87"/>
      <c r="G15965" s="87"/>
    </row>
    <row r="15966">
      <c r="A15966" s="86" t="str">
        <f>IFERROR(__xludf.DUMMYFUNCTION("""COMPUTED_VALUE"""),"")</f>
        <v/>
      </c>
      <c r="B15966" s="87"/>
      <c r="C15966" s="87"/>
      <c r="D15966" s="87"/>
      <c r="E15966" s="87"/>
      <c r="F15966" s="87"/>
      <c r="G15966" s="87"/>
    </row>
    <row r="15967">
      <c r="A15967" s="86" t="str">
        <f>IFERROR(__xludf.DUMMYFUNCTION("""COMPUTED_VALUE"""),"")</f>
        <v/>
      </c>
      <c r="B15967" s="87"/>
      <c r="C15967" s="87"/>
      <c r="D15967" s="87"/>
      <c r="E15967" s="87"/>
      <c r="F15967" s="87"/>
      <c r="G15967" s="87"/>
    </row>
    <row r="15968">
      <c r="A15968" s="86" t="str">
        <f>IFERROR(__xludf.DUMMYFUNCTION("""COMPUTED_VALUE"""),"")</f>
        <v/>
      </c>
      <c r="B15968" s="87"/>
      <c r="C15968" s="87"/>
      <c r="D15968" s="87"/>
      <c r="E15968" s="87"/>
      <c r="F15968" s="87"/>
      <c r="G15968" s="87"/>
    </row>
    <row r="15969">
      <c r="A15969" s="86" t="str">
        <f>IFERROR(__xludf.DUMMYFUNCTION("""COMPUTED_VALUE"""),"")</f>
        <v/>
      </c>
      <c r="B15969" s="87"/>
      <c r="C15969" s="87"/>
      <c r="D15969" s="87"/>
      <c r="E15969" s="87"/>
      <c r="F15969" s="87"/>
      <c r="G15969" s="87"/>
    </row>
    <row r="15970">
      <c r="A15970" s="86" t="str">
        <f>IFERROR(__xludf.DUMMYFUNCTION("""COMPUTED_VALUE"""),"")</f>
        <v/>
      </c>
      <c r="B15970" s="87"/>
      <c r="C15970" s="87"/>
      <c r="D15970" s="87"/>
      <c r="E15970" s="87"/>
      <c r="F15970" s="87"/>
      <c r="G15970" s="87"/>
    </row>
    <row r="15971">
      <c r="A15971" s="86" t="str">
        <f>IFERROR(__xludf.DUMMYFUNCTION("""COMPUTED_VALUE"""),"")</f>
        <v/>
      </c>
      <c r="B15971" s="87"/>
      <c r="C15971" s="87"/>
      <c r="D15971" s="87"/>
      <c r="E15971" s="87"/>
      <c r="F15971" s="87"/>
      <c r="G15971" s="87"/>
    </row>
    <row r="15972">
      <c r="A15972" s="86" t="str">
        <f>IFERROR(__xludf.DUMMYFUNCTION("""COMPUTED_VALUE"""),"")</f>
        <v/>
      </c>
      <c r="B15972" s="87"/>
      <c r="C15972" s="87"/>
      <c r="D15972" s="87"/>
      <c r="E15972" s="87"/>
      <c r="F15972" s="87"/>
      <c r="G15972" s="87"/>
    </row>
    <row r="15973">
      <c r="A15973" s="86" t="str">
        <f>IFERROR(__xludf.DUMMYFUNCTION("""COMPUTED_VALUE"""),"")</f>
        <v/>
      </c>
      <c r="B15973" s="87"/>
      <c r="C15973" s="87"/>
      <c r="D15973" s="87"/>
      <c r="E15973" s="87"/>
      <c r="F15973" s="87"/>
      <c r="G15973" s="87"/>
    </row>
    <row r="15974">
      <c r="A15974" s="86" t="str">
        <f>IFERROR(__xludf.DUMMYFUNCTION("""COMPUTED_VALUE"""),"")</f>
        <v/>
      </c>
      <c r="B15974" s="87"/>
      <c r="C15974" s="87"/>
      <c r="D15974" s="87"/>
      <c r="E15974" s="87"/>
      <c r="F15974" s="87"/>
      <c r="G15974" s="87"/>
    </row>
    <row r="15975">
      <c r="A15975" s="86" t="str">
        <f>IFERROR(__xludf.DUMMYFUNCTION("""COMPUTED_VALUE"""),"")</f>
        <v/>
      </c>
      <c r="B15975" s="87"/>
      <c r="C15975" s="87"/>
      <c r="D15975" s="87"/>
      <c r="E15975" s="87"/>
      <c r="F15975" s="87"/>
      <c r="G15975" s="87"/>
    </row>
    <row r="15976">
      <c r="A15976" s="86" t="str">
        <f>IFERROR(__xludf.DUMMYFUNCTION("""COMPUTED_VALUE"""),"")</f>
        <v/>
      </c>
      <c r="B15976" s="87"/>
      <c r="C15976" s="87"/>
      <c r="D15976" s="87"/>
      <c r="E15976" s="87"/>
      <c r="F15976" s="87"/>
      <c r="G15976" s="87"/>
    </row>
    <row r="15977">
      <c r="A15977" s="86" t="str">
        <f>IFERROR(__xludf.DUMMYFUNCTION("""COMPUTED_VALUE"""),"")</f>
        <v/>
      </c>
      <c r="B15977" s="87"/>
      <c r="C15977" s="87"/>
      <c r="D15977" s="87"/>
      <c r="E15977" s="87"/>
      <c r="F15977" s="87"/>
      <c r="G15977" s="87"/>
    </row>
    <row r="15978">
      <c r="A15978" s="86" t="str">
        <f>IFERROR(__xludf.DUMMYFUNCTION("""COMPUTED_VALUE"""),"")</f>
        <v/>
      </c>
      <c r="B15978" s="87"/>
      <c r="C15978" s="87"/>
      <c r="D15978" s="87"/>
      <c r="E15978" s="87"/>
      <c r="F15978" s="87"/>
      <c r="G15978" s="87"/>
    </row>
    <row r="15979">
      <c r="A15979" s="86" t="str">
        <f>IFERROR(__xludf.DUMMYFUNCTION("""COMPUTED_VALUE"""),"")</f>
        <v/>
      </c>
      <c r="B15979" s="87"/>
      <c r="C15979" s="87"/>
      <c r="D15979" s="87"/>
      <c r="E15979" s="87"/>
      <c r="F15979" s="87"/>
      <c r="G15979" s="87"/>
    </row>
    <row r="15980">
      <c r="A15980" s="86" t="str">
        <f>IFERROR(__xludf.DUMMYFUNCTION("""COMPUTED_VALUE"""),"")</f>
        <v/>
      </c>
      <c r="B15980" s="87"/>
      <c r="C15980" s="87"/>
      <c r="D15980" s="87"/>
      <c r="E15980" s="87"/>
      <c r="F15980" s="87"/>
      <c r="G15980" s="87"/>
    </row>
    <row r="15981">
      <c r="A15981" s="86" t="str">
        <f>IFERROR(__xludf.DUMMYFUNCTION("""COMPUTED_VALUE"""),"")</f>
        <v/>
      </c>
      <c r="B15981" s="87"/>
      <c r="C15981" s="87"/>
      <c r="D15981" s="87"/>
      <c r="E15981" s="87"/>
      <c r="F15981" s="87"/>
      <c r="G15981" s="87"/>
    </row>
    <row r="15982">
      <c r="A15982" s="86" t="str">
        <f>IFERROR(__xludf.DUMMYFUNCTION("""COMPUTED_VALUE"""),"")</f>
        <v/>
      </c>
      <c r="B15982" s="87"/>
      <c r="C15982" s="87"/>
      <c r="D15982" s="87"/>
      <c r="E15982" s="87"/>
      <c r="F15982" s="87"/>
      <c r="G15982" s="87"/>
    </row>
    <row r="15983">
      <c r="A15983" s="86" t="str">
        <f>IFERROR(__xludf.DUMMYFUNCTION("""COMPUTED_VALUE"""),"")</f>
        <v/>
      </c>
      <c r="B15983" s="87"/>
      <c r="C15983" s="87"/>
      <c r="D15983" s="87"/>
      <c r="E15983" s="87"/>
      <c r="F15983" s="87"/>
      <c r="G15983" s="87"/>
    </row>
    <row r="15984">
      <c r="A15984" s="86" t="str">
        <f>IFERROR(__xludf.DUMMYFUNCTION("""COMPUTED_VALUE"""),"")</f>
        <v/>
      </c>
      <c r="B15984" s="87"/>
      <c r="C15984" s="87"/>
      <c r="D15984" s="87"/>
      <c r="E15984" s="87"/>
      <c r="F15984" s="87"/>
      <c r="G15984" s="87"/>
    </row>
    <row r="15985">
      <c r="A15985" s="86" t="str">
        <f>IFERROR(__xludf.DUMMYFUNCTION("""COMPUTED_VALUE"""),"")</f>
        <v/>
      </c>
      <c r="B15985" s="87"/>
      <c r="C15985" s="87"/>
      <c r="D15985" s="87"/>
      <c r="E15985" s="87"/>
      <c r="F15985" s="87"/>
      <c r="G15985" s="87"/>
    </row>
    <row r="15986">
      <c r="A15986" s="86" t="str">
        <f>IFERROR(__xludf.DUMMYFUNCTION("""COMPUTED_VALUE"""),"")</f>
        <v/>
      </c>
      <c r="B15986" s="87"/>
      <c r="C15986" s="87"/>
      <c r="D15986" s="87"/>
      <c r="E15986" s="87"/>
      <c r="F15986" s="87"/>
      <c r="G15986" s="87"/>
    </row>
    <row r="15987">
      <c r="A15987" s="86" t="str">
        <f>IFERROR(__xludf.DUMMYFUNCTION("""COMPUTED_VALUE"""),"")</f>
        <v/>
      </c>
      <c r="B15987" s="87"/>
      <c r="C15987" s="87"/>
      <c r="D15987" s="87"/>
      <c r="E15987" s="87"/>
      <c r="F15987" s="87"/>
      <c r="G15987" s="87"/>
    </row>
    <row r="15988">
      <c r="A15988" s="86" t="str">
        <f>IFERROR(__xludf.DUMMYFUNCTION("""COMPUTED_VALUE"""),"")</f>
        <v/>
      </c>
      <c r="B15988" s="87"/>
      <c r="C15988" s="87"/>
      <c r="D15988" s="87"/>
      <c r="E15988" s="87"/>
      <c r="F15988" s="87"/>
      <c r="G15988" s="87"/>
    </row>
    <row r="15989">
      <c r="A15989" s="86" t="str">
        <f>IFERROR(__xludf.DUMMYFUNCTION("""COMPUTED_VALUE"""),"")</f>
        <v/>
      </c>
      <c r="B15989" s="87"/>
      <c r="C15989" s="87"/>
      <c r="D15989" s="87"/>
      <c r="E15989" s="87"/>
      <c r="F15989" s="87"/>
      <c r="G15989" s="87"/>
    </row>
    <row r="15990">
      <c r="A15990" s="86" t="str">
        <f>IFERROR(__xludf.DUMMYFUNCTION("""COMPUTED_VALUE"""),"")</f>
        <v/>
      </c>
      <c r="B15990" s="87"/>
      <c r="C15990" s="87"/>
      <c r="D15990" s="87"/>
      <c r="E15990" s="87"/>
      <c r="F15990" s="87"/>
      <c r="G15990" s="87"/>
    </row>
    <row r="15991">
      <c r="A15991" s="86" t="str">
        <f>IFERROR(__xludf.DUMMYFUNCTION("""COMPUTED_VALUE"""),"")</f>
        <v/>
      </c>
      <c r="B15991" s="87"/>
      <c r="C15991" s="87"/>
      <c r="D15991" s="87"/>
      <c r="E15991" s="87"/>
      <c r="F15991" s="87"/>
      <c r="G15991" s="87"/>
    </row>
    <row r="15992">
      <c r="A15992" s="86" t="str">
        <f>IFERROR(__xludf.DUMMYFUNCTION("""COMPUTED_VALUE"""),"")</f>
        <v/>
      </c>
      <c r="B15992" s="87"/>
      <c r="C15992" s="87"/>
      <c r="D15992" s="87"/>
      <c r="E15992" s="87"/>
      <c r="F15992" s="87"/>
      <c r="G15992" s="87"/>
    </row>
    <row r="15993">
      <c r="A15993" s="86" t="str">
        <f>IFERROR(__xludf.DUMMYFUNCTION("""COMPUTED_VALUE"""),"")</f>
        <v/>
      </c>
      <c r="B15993" s="87"/>
      <c r="C15993" s="87"/>
      <c r="D15993" s="87"/>
      <c r="E15993" s="87"/>
      <c r="F15993" s="87"/>
      <c r="G15993" s="87"/>
    </row>
    <row r="15994">
      <c r="A15994" s="86" t="str">
        <f>IFERROR(__xludf.DUMMYFUNCTION("""COMPUTED_VALUE"""),"")</f>
        <v/>
      </c>
      <c r="B15994" s="87"/>
      <c r="C15994" s="87"/>
      <c r="D15994" s="87"/>
      <c r="E15994" s="87"/>
      <c r="F15994" s="87"/>
      <c r="G15994" s="87"/>
    </row>
    <row r="15995">
      <c r="A15995" s="86" t="str">
        <f>IFERROR(__xludf.DUMMYFUNCTION("""COMPUTED_VALUE"""),"")</f>
        <v/>
      </c>
      <c r="B15995" s="87"/>
      <c r="C15995" s="87"/>
      <c r="D15995" s="87"/>
      <c r="E15995" s="87"/>
      <c r="F15995" s="87"/>
      <c r="G15995" s="87"/>
    </row>
    <row r="15996">
      <c r="A15996" s="86" t="str">
        <f>IFERROR(__xludf.DUMMYFUNCTION("""COMPUTED_VALUE"""),"")</f>
        <v/>
      </c>
      <c r="B15996" s="87"/>
      <c r="C15996" s="87"/>
      <c r="D15996" s="87"/>
      <c r="E15996" s="87"/>
      <c r="F15996" s="87"/>
      <c r="G15996" s="87"/>
    </row>
    <row r="15997">
      <c r="A15997" s="86" t="str">
        <f>IFERROR(__xludf.DUMMYFUNCTION("""COMPUTED_VALUE"""),"")</f>
        <v/>
      </c>
      <c r="B15997" s="87"/>
      <c r="C15997" s="87"/>
      <c r="D15997" s="87"/>
      <c r="E15997" s="87"/>
      <c r="F15997" s="87"/>
      <c r="G15997" s="87"/>
    </row>
    <row r="15998">
      <c r="A15998" s="86" t="str">
        <f>IFERROR(__xludf.DUMMYFUNCTION("""COMPUTED_VALUE"""),"")</f>
        <v/>
      </c>
      <c r="B15998" s="87"/>
      <c r="C15998" s="87"/>
      <c r="D15998" s="87"/>
      <c r="E15998" s="87"/>
      <c r="F15998" s="87"/>
      <c r="G15998" s="87"/>
    </row>
    <row r="15999">
      <c r="A15999" s="86" t="str">
        <f>IFERROR(__xludf.DUMMYFUNCTION("""COMPUTED_VALUE"""),"")</f>
        <v/>
      </c>
      <c r="B15999" s="87"/>
      <c r="C15999" s="87"/>
      <c r="D15999" s="87"/>
      <c r="E15999" s="87"/>
      <c r="F15999" s="87"/>
      <c r="G15999" s="87"/>
    </row>
    <row r="16000">
      <c r="A16000" s="86" t="str">
        <f>IFERROR(__xludf.DUMMYFUNCTION("""COMPUTED_VALUE"""),"")</f>
        <v/>
      </c>
      <c r="B16000" s="87"/>
      <c r="C16000" s="87"/>
      <c r="D16000" s="87"/>
      <c r="E16000" s="87"/>
      <c r="F16000" s="87"/>
      <c r="G16000" s="87"/>
    </row>
    <row r="16001">
      <c r="A16001" s="86" t="str">
        <f>IFERROR(__xludf.DUMMYFUNCTION("""COMPUTED_VALUE"""),"")</f>
        <v/>
      </c>
      <c r="B16001" s="87"/>
      <c r="C16001" s="87"/>
      <c r="D16001" s="87"/>
      <c r="E16001" s="87"/>
      <c r="F16001" s="87"/>
      <c r="G16001" s="87"/>
    </row>
    <row r="16002">
      <c r="A16002" s="86" t="str">
        <f>IFERROR(__xludf.DUMMYFUNCTION("""COMPUTED_VALUE"""),"")</f>
        <v/>
      </c>
      <c r="B16002" s="87"/>
      <c r="C16002" s="87"/>
      <c r="D16002" s="87"/>
      <c r="E16002" s="87"/>
      <c r="F16002" s="87"/>
      <c r="G16002" s="87"/>
    </row>
    <row r="16003">
      <c r="A16003" s="86" t="str">
        <f>IFERROR(__xludf.DUMMYFUNCTION("""COMPUTED_VALUE"""),"")</f>
        <v/>
      </c>
      <c r="B16003" s="87"/>
      <c r="C16003" s="87"/>
      <c r="D16003" s="87"/>
      <c r="E16003" s="87"/>
      <c r="F16003" s="87"/>
      <c r="G16003" s="87"/>
    </row>
    <row r="16004">
      <c r="A16004" s="86" t="str">
        <f>IFERROR(__xludf.DUMMYFUNCTION("""COMPUTED_VALUE"""),"")</f>
        <v/>
      </c>
      <c r="B16004" s="87"/>
      <c r="C16004" s="87"/>
      <c r="D16004" s="87"/>
      <c r="E16004" s="87"/>
      <c r="F16004" s="87"/>
      <c r="G16004" s="87"/>
    </row>
    <row r="16005">
      <c r="A16005" s="86" t="str">
        <f>IFERROR(__xludf.DUMMYFUNCTION("""COMPUTED_VALUE"""),"")</f>
        <v/>
      </c>
      <c r="B16005" s="87"/>
      <c r="C16005" s="87"/>
      <c r="D16005" s="87"/>
      <c r="E16005" s="87"/>
      <c r="F16005" s="87"/>
      <c r="G16005" s="87"/>
    </row>
    <row r="16006">
      <c r="A16006" s="86" t="str">
        <f>IFERROR(__xludf.DUMMYFUNCTION("""COMPUTED_VALUE"""),"")</f>
        <v/>
      </c>
      <c r="B16006" s="87"/>
      <c r="C16006" s="87"/>
      <c r="D16006" s="87"/>
      <c r="E16006" s="87"/>
      <c r="F16006" s="87"/>
      <c r="G16006" s="87"/>
    </row>
    <row r="16007">
      <c r="A16007" s="86" t="str">
        <f>IFERROR(__xludf.DUMMYFUNCTION("""COMPUTED_VALUE"""),"")</f>
        <v/>
      </c>
      <c r="B16007" s="87"/>
      <c r="C16007" s="87"/>
      <c r="D16007" s="87"/>
      <c r="E16007" s="87"/>
      <c r="F16007" s="87"/>
      <c r="G16007" s="87"/>
    </row>
    <row r="16008">
      <c r="A16008" s="86" t="str">
        <f>IFERROR(__xludf.DUMMYFUNCTION("""COMPUTED_VALUE"""),"")</f>
        <v/>
      </c>
      <c r="B16008" s="87"/>
      <c r="C16008" s="87"/>
      <c r="D16008" s="87"/>
      <c r="E16008" s="87"/>
      <c r="F16008" s="87"/>
      <c r="G16008" s="87"/>
    </row>
    <row r="16009">
      <c r="A16009" s="86" t="str">
        <f>IFERROR(__xludf.DUMMYFUNCTION("""COMPUTED_VALUE"""),"")</f>
        <v/>
      </c>
      <c r="B16009" s="87"/>
      <c r="C16009" s="87"/>
      <c r="D16009" s="87"/>
      <c r="E16009" s="87"/>
      <c r="F16009" s="87"/>
      <c r="G16009" s="87"/>
    </row>
    <row r="16010">
      <c r="A16010" s="86" t="str">
        <f>IFERROR(__xludf.DUMMYFUNCTION("""COMPUTED_VALUE"""),"")</f>
        <v/>
      </c>
      <c r="B16010" s="87"/>
      <c r="C16010" s="87"/>
      <c r="D16010" s="87"/>
      <c r="E16010" s="87"/>
      <c r="F16010" s="87"/>
      <c r="G16010" s="87"/>
    </row>
    <row r="16011">
      <c r="A16011" s="86" t="str">
        <f>IFERROR(__xludf.DUMMYFUNCTION("""COMPUTED_VALUE"""),"")</f>
        <v/>
      </c>
      <c r="B16011" s="87"/>
      <c r="C16011" s="87"/>
      <c r="D16011" s="87"/>
      <c r="E16011" s="87"/>
      <c r="F16011" s="87"/>
      <c r="G16011" s="87"/>
    </row>
    <row r="16012">
      <c r="A16012" s="86" t="str">
        <f>IFERROR(__xludf.DUMMYFUNCTION("""COMPUTED_VALUE"""),"")</f>
        <v/>
      </c>
      <c r="B16012" s="87"/>
      <c r="C16012" s="87"/>
      <c r="D16012" s="87"/>
      <c r="E16012" s="87"/>
      <c r="F16012" s="87"/>
      <c r="G16012" s="87"/>
    </row>
    <row r="16013">
      <c r="A16013" s="86" t="str">
        <f>IFERROR(__xludf.DUMMYFUNCTION("""COMPUTED_VALUE"""),"")</f>
        <v/>
      </c>
      <c r="B16013" s="87"/>
      <c r="C16013" s="87"/>
      <c r="D16013" s="87"/>
      <c r="E16013" s="87"/>
      <c r="F16013" s="87"/>
      <c r="G16013" s="87"/>
    </row>
    <row r="16014">
      <c r="A16014" s="86" t="str">
        <f>IFERROR(__xludf.DUMMYFUNCTION("""COMPUTED_VALUE"""),"")</f>
        <v/>
      </c>
      <c r="B16014" s="87"/>
      <c r="C16014" s="87"/>
      <c r="D16014" s="87"/>
      <c r="E16014" s="87"/>
      <c r="F16014" s="87"/>
      <c r="G16014" s="87"/>
    </row>
    <row r="16015">
      <c r="A16015" s="86" t="str">
        <f>IFERROR(__xludf.DUMMYFUNCTION("""COMPUTED_VALUE"""),"")</f>
        <v/>
      </c>
      <c r="B16015" s="87"/>
      <c r="C16015" s="87"/>
      <c r="D16015" s="87"/>
      <c r="E16015" s="87"/>
      <c r="F16015" s="87"/>
      <c r="G16015" s="87"/>
    </row>
    <row r="16016">
      <c r="A16016" s="86" t="str">
        <f>IFERROR(__xludf.DUMMYFUNCTION("""COMPUTED_VALUE"""),"")</f>
        <v/>
      </c>
      <c r="B16016" s="87"/>
      <c r="C16016" s="87"/>
      <c r="D16016" s="87"/>
      <c r="E16016" s="87"/>
      <c r="F16016" s="87"/>
      <c r="G16016" s="87"/>
    </row>
    <row r="16017">
      <c r="A16017" s="86" t="str">
        <f>IFERROR(__xludf.DUMMYFUNCTION("""COMPUTED_VALUE"""),"")</f>
        <v/>
      </c>
      <c r="B16017" s="87"/>
      <c r="C16017" s="87"/>
      <c r="D16017" s="87"/>
      <c r="E16017" s="87"/>
      <c r="F16017" s="87"/>
      <c r="G16017" s="87"/>
    </row>
    <row r="16018">
      <c r="A16018" s="86" t="str">
        <f>IFERROR(__xludf.DUMMYFUNCTION("""COMPUTED_VALUE"""),"")</f>
        <v/>
      </c>
      <c r="B16018" s="87"/>
      <c r="C16018" s="87"/>
      <c r="D16018" s="87"/>
      <c r="E16018" s="87"/>
      <c r="F16018" s="87"/>
      <c r="G16018" s="87"/>
    </row>
    <row r="16019">
      <c r="A16019" s="86" t="str">
        <f>IFERROR(__xludf.DUMMYFUNCTION("""COMPUTED_VALUE"""),"")</f>
        <v/>
      </c>
      <c r="B16019" s="87"/>
      <c r="C16019" s="87"/>
      <c r="D16019" s="87"/>
      <c r="E16019" s="87"/>
      <c r="F16019" s="87"/>
      <c r="G16019" s="87"/>
    </row>
    <row r="16020">
      <c r="A16020" s="86" t="str">
        <f>IFERROR(__xludf.DUMMYFUNCTION("""COMPUTED_VALUE"""),"")</f>
        <v/>
      </c>
      <c r="B16020" s="87"/>
      <c r="C16020" s="87"/>
      <c r="D16020" s="87"/>
      <c r="E16020" s="87"/>
      <c r="F16020" s="87"/>
      <c r="G16020" s="87"/>
    </row>
    <row r="16021">
      <c r="A16021" s="86" t="str">
        <f>IFERROR(__xludf.DUMMYFUNCTION("""COMPUTED_VALUE"""),"")</f>
        <v/>
      </c>
      <c r="B16021" s="87"/>
      <c r="C16021" s="87"/>
      <c r="D16021" s="87"/>
      <c r="E16021" s="87"/>
      <c r="F16021" s="87"/>
      <c r="G16021" s="87"/>
    </row>
    <row r="16022">
      <c r="A16022" s="86" t="str">
        <f>IFERROR(__xludf.DUMMYFUNCTION("""COMPUTED_VALUE"""),"")</f>
        <v/>
      </c>
      <c r="B16022" s="87"/>
      <c r="C16022" s="87"/>
      <c r="D16022" s="87"/>
      <c r="E16022" s="87"/>
      <c r="F16022" s="87"/>
      <c r="G16022" s="87"/>
    </row>
    <row r="16023">
      <c r="A16023" s="86" t="str">
        <f>IFERROR(__xludf.DUMMYFUNCTION("""COMPUTED_VALUE"""),"")</f>
        <v/>
      </c>
      <c r="B16023" s="87"/>
      <c r="C16023" s="87"/>
      <c r="D16023" s="87"/>
      <c r="E16023" s="87"/>
      <c r="F16023" s="87"/>
      <c r="G16023" s="87"/>
    </row>
    <row r="16024">
      <c r="A16024" s="86" t="str">
        <f>IFERROR(__xludf.DUMMYFUNCTION("""COMPUTED_VALUE"""),"")</f>
        <v/>
      </c>
      <c r="B16024" s="87"/>
      <c r="C16024" s="87"/>
      <c r="D16024" s="87"/>
      <c r="E16024" s="87"/>
      <c r="F16024" s="87"/>
      <c r="G16024" s="87"/>
    </row>
    <row r="16025">
      <c r="A16025" s="86" t="str">
        <f>IFERROR(__xludf.DUMMYFUNCTION("""COMPUTED_VALUE"""),"")</f>
        <v/>
      </c>
      <c r="B16025" s="87"/>
      <c r="C16025" s="87"/>
      <c r="D16025" s="87"/>
      <c r="E16025" s="87"/>
      <c r="F16025" s="87"/>
      <c r="G16025" s="87"/>
    </row>
    <row r="16026">
      <c r="A16026" s="86" t="str">
        <f>IFERROR(__xludf.DUMMYFUNCTION("""COMPUTED_VALUE"""),"")</f>
        <v/>
      </c>
      <c r="B16026" s="87"/>
      <c r="C16026" s="87"/>
      <c r="D16026" s="87"/>
      <c r="E16026" s="87"/>
      <c r="F16026" s="87"/>
      <c r="G16026" s="87"/>
    </row>
    <row r="16027">
      <c r="A16027" s="86" t="str">
        <f>IFERROR(__xludf.DUMMYFUNCTION("""COMPUTED_VALUE"""),"")</f>
        <v/>
      </c>
      <c r="B16027" s="87"/>
      <c r="C16027" s="87"/>
      <c r="D16027" s="87"/>
      <c r="E16027" s="87"/>
      <c r="F16027" s="87"/>
      <c r="G16027" s="87"/>
    </row>
    <row r="16028">
      <c r="A16028" s="86" t="str">
        <f>IFERROR(__xludf.DUMMYFUNCTION("""COMPUTED_VALUE"""),"")</f>
        <v/>
      </c>
      <c r="B16028" s="87"/>
      <c r="C16028" s="87"/>
      <c r="D16028" s="87"/>
      <c r="E16028" s="87"/>
      <c r="F16028" s="87"/>
      <c r="G16028" s="87"/>
    </row>
    <row r="16029">
      <c r="A16029" s="86" t="str">
        <f>IFERROR(__xludf.DUMMYFUNCTION("""COMPUTED_VALUE"""),"")</f>
        <v/>
      </c>
      <c r="B16029" s="87"/>
      <c r="C16029" s="87"/>
      <c r="D16029" s="87"/>
      <c r="E16029" s="87"/>
      <c r="F16029" s="87"/>
      <c r="G16029" s="87"/>
    </row>
    <row r="16030">
      <c r="A16030" s="86" t="str">
        <f>IFERROR(__xludf.DUMMYFUNCTION("""COMPUTED_VALUE"""),"")</f>
        <v/>
      </c>
      <c r="B16030" s="87"/>
      <c r="C16030" s="87"/>
      <c r="D16030" s="87"/>
      <c r="E16030" s="87"/>
      <c r="F16030" s="87"/>
      <c r="G16030" s="87"/>
    </row>
    <row r="16031">
      <c r="A16031" s="86" t="str">
        <f>IFERROR(__xludf.DUMMYFUNCTION("""COMPUTED_VALUE"""),"")</f>
        <v/>
      </c>
      <c r="B16031" s="87"/>
      <c r="C16031" s="87"/>
      <c r="D16031" s="87"/>
      <c r="E16031" s="87"/>
      <c r="F16031" s="87"/>
      <c r="G16031" s="87"/>
    </row>
    <row r="16032">
      <c r="A16032" s="86" t="str">
        <f>IFERROR(__xludf.DUMMYFUNCTION("""COMPUTED_VALUE"""),"")</f>
        <v/>
      </c>
      <c r="B16032" s="87"/>
      <c r="C16032" s="87"/>
      <c r="D16032" s="87"/>
      <c r="E16032" s="87"/>
      <c r="F16032" s="87"/>
      <c r="G16032" s="87"/>
    </row>
    <row r="16033">
      <c r="A16033" s="86" t="str">
        <f>IFERROR(__xludf.DUMMYFUNCTION("""COMPUTED_VALUE"""),"")</f>
        <v/>
      </c>
      <c r="B16033" s="87"/>
      <c r="C16033" s="87"/>
      <c r="D16033" s="87"/>
      <c r="E16033" s="87"/>
      <c r="F16033" s="87"/>
      <c r="G16033" s="87"/>
    </row>
    <row r="16034">
      <c r="A16034" s="86" t="str">
        <f>IFERROR(__xludf.DUMMYFUNCTION("""COMPUTED_VALUE"""),"")</f>
        <v/>
      </c>
      <c r="B16034" s="87"/>
      <c r="C16034" s="87"/>
      <c r="D16034" s="87"/>
      <c r="E16034" s="87"/>
      <c r="F16034" s="87"/>
      <c r="G16034" s="87"/>
    </row>
    <row r="16035">
      <c r="A16035" s="86" t="str">
        <f>IFERROR(__xludf.DUMMYFUNCTION("""COMPUTED_VALUE"""),"")</f>
        <v/>
      </c>
      <c r="B16035" s="87"/>
      <c r="C16035" s="87"/>
      <c r="D16035" s="87"/>
      <c r="E16035" s="87"/>
      <c r="F16035" s="87"/>
      <c r="G16035" s="87"/>
    </row>
    <row r="16036">
      <c r="A16036" s="86" t="str">
        <f>IFERROR(__xludf.DUMMYFUNCTION("""COMPUTED_VALUE"""),"")</f>
        <v/>
      </c>
      <c r="B16036" s="87"/>
      <c r="C16036" s="87"/>
      <c r="D16036" s="87"/>
      <c r="E16036" s="87"/>
      <c r="F16036" s="87"/>
      <c r="G16036" s="87"/>
    </row>
    <row r="16037">
      <c r="A16037" s="86" t="str">
        <f>IFERROR(__xludf.DUMMYFUNCTION("""COMPUTED_VALUE"""),"")</f>
        <v/>
      </c>
      <c r="B16037" s="87"/>
      <c r="C16037" s="87"/>
      <c r="D16037" s="87"/>
      <c r="E16037" s="87"/>
      <c r="F16037" s="87"/>
      <c r="G16037" s="87"/>
    </row>
    <row r="16038">
      <c r="A16038" s="86" t="str">
        <f>IFERROR(__xludf.DUMMYFUNCTION("""COMPUTED_VALUE"""),"")</f>
        <v/>
      </c>
      <c r="B16038" s="87"/>
      <c r="C16038" s="87"/>
      <c r="D16038" s="87"/>
      <c r="E16038" s="87"/>
      <c r="F16038" s="87"/>
      <c r="G16038" s="87"/>
    </row>
    <row r="16039">
      <c r="A16039" s="86" t="str">
        <f>IFERROR(__xludf.DUMMYFUNCTION("""COMPUTED_VALUE"""),"")</f>
        <v/>
      </c>
      <c r="B16039" s="87"/>
      <c r="C16039" s="87"/>
      <c r="D16039" s="87"/>
      <c r="E16039" s="87"/>
      <c r="F16039" s="87"/>
      <c r="G16039" s="87"/>
    </row>
    <row r="16040">
      <c r="A16040" s="86" t="str">
        <f>IFERROR(__xludf.DUMMYFUNCTION("""COMPUTED_VALUE"""),"")</f>
        <v/>
      </c>
      <c r="B16040" s="87"/>
      <c r="C16040" s="87"/>
      <c r="D16040" s="87"/>
      <c r="E16040" s="87"/>
      <c r="F16040" s="87"/>
      <c r="G16040" s="87"/>
    </row>
    <row r="16041">
      <c r="A16041" s="86" t="str">
        <f>IFERROR(__xludf.DUMMYFUNCTION("""COMPUTED_VALUE"""),"")</f>
        <v/>
      </c>
      <c r="B16041" s="87"/>
      <c r="C16041" s="87"/>
      <c r="D16041" s="87"/>
      <c r="E16041" s="87"/>
      <c r="F16041" s="87"/>
      <c r="G16041" s="87"/>
    </row>
    <row r="16042">
      <c r="A16042" s="86" t="str">
        <f>IFERROR(__xludf.DUMMYFUNCTION("""COMPUTED_VALUE"""),"")</f>
        <v/>
      </c>
      <c r="B16042" s="87"/>
      <c r="C16042" s="87"/>
      <c r="D16042" s="87"/>
      <c r="E16042" s="87"/>
      <c r="F16042" s="87"/>
      <c r="G16042" s="87"/>
    </row>
    <row r="16043">
      <c r="A16043" s="86" t="str">
        <f>IFERROR(__xludf.DUMMYFUNCTION("""COMPUTED_VALUE"""),"")</f>
        <v/>
      </c>
      <c r="B16043" s="87"/>
      <c r="C16043" s="87"/>
      <c r="D16043" s="87"/>
      <c r="E16043" s="87"/>
      <c r="F16043" s="87"/>
      <c r="G16043" s="87"/>
    </row>
    <row r="16044">
      <c r="A16044" s="86" t="str">
        <f>IFERROR(__xludf.DUMMYFUNCTION("""COMPUTED_VALUE"""),"")</f>
        <v/>
      </c>
      <c r="B16044" s="87"/>
      <c r="C16044" s="87"/>
      <c r="D16044" s="87"/>
      <c r="E16044" s="87"/>
      <c r="F16044" s="87"/>
      <c r="G16044" s="87"/>
    </row>
    <row r="16045">
      <c r="A16045" s="86" t="str">
        <f>IFERROR(__xludf.DUMMYFUNCTION("""COMPUTED_VALUE"""),"")</f>
        <v/>
      </c>
      <c r="B16045" s="87"/>
      <c r="C16045" s="87"/>
      <c r="D16045" s="87"/>
      <c r="E16045" s="87"/>
      <c r="F16045" s="87"/>
      <c r="G16045" s="87"/>
    </row>
    <row r="16046">
      <c r="A16046" s="86" t="str">
        <f>IFERROR(__xludf.DUMMYFUNCTION("""COMPUTED_VALUE"""),"")</f>
        <v/>
      </c>
      <c r="B16046" s="87"/>
      <c r="C16046" s="87"/>
      <c r="D16046" s="87"/>
      <c r="E16046" s="87"/>
      <c r="F16046" s="87"/>
      <c r="G16046" s="87"/>
    </row>
    <row r="16047">
      <c r="A16047" s="86" t="str">
        <f>IFERROR(__xludf.DUMMYFUNCTION("""COMPUTED_VALUE"""),"")</f>
        <v/>
      </c>
      <c r="B16047" s="87"/>
      <c r="C16047" s="87"/>
      <c r="D16047" s="87"/>
      <c r="E16047" s="87"/>
      <c r="F16047" s="87"/>
      <c r="G16047" s="87"/>
    </row>
    <row r="16048">
      <c r="A16048" s="86" t="str">
        <f>IFERROR(__xludf.DUMMYFUNCTION("""COMPUTED_VALUE"""),"")</f>
        <v/>
      </c>
      <c r="B16048" s="87"/>
      <c r="C16048" s="87"/>
      <c r="D16048" s="87"/>
      <c r="E16048" s="87"/>
      <c r="F16048" s="87"/>
      <c r="G16048" s="87"/>
    </row>
    <row r="16049">
      <c r="A16049" s="86" t="str">
        <f>IFERROR(__xludf.DUMMYFUNCTION("""COMPUTED_VALUE"""),"")</f>
        <v/>
      </c>
      <c r="B16049" s="87"/>
      <c r="C16049" s="87"/>
      <c r="D16049" s="87"/>
      <c r="E16049" s="87"/>
      <c r="F16049" s="87"/>
      <c r="G16049" s="87"/>
    </row>
    <row r="16050">
      <c r="A16050" s="86" t="str">
        <f>IFERROR(__xludf.DUMMYFUNCTION("""COMPUTED_VALUE"""),"")</f>
        <v/>
      </c>
      <c r="B16050" s="87"/>
      <c r="C16050" s="87"/>
      <c r="D16050" s="87"/>
      <c r="E16050" s="87"/>
      <c r="F16050" s="87"/>
      <c r="G16050" s="87"/>
    </row>
    <row r="16051">
      <c r="A16051" s="86" t="str">
        <f>IFERROR(__xludf.DUMMYFUNCTION("""COMPUTED_VALUE"""),"")</f>
        <v/>
      </c>
      <c r="B16051" s="87"/>
      <c r="C16051" s="87"/>
      <c r="D16051" s="87"/>
      <c r="E16051" s="87"/>
      <c r="F16051" s="87"/>
      <c r="G16051" s="87"/>
    </row>
    <row r="16052">
      <c r="A16052" s="86" t="str">
        <f>IFERROR(__xludf.DUMMYFUNCTION("""COMPUTED_VALUE"""),"")</f>
        <v/>
      </c>
      <c r="B16052" s="87"/>
      <c r="C16052" s="87"/>
      <c r="D16052" s="87"/>
      <c r="E16052" s="87"/>
      <c r="F16052" s="87"/>
      <c r="G16052" s="87"/>
    </row>
    <row r="16053">
      <c r="A16053" s="86" t="str">
        <f>IFERROR(__xludf.DUMMYFUNCTION("""COMPUTED_VALUE"""),"")</f>
        <v/>
      </c>
      <c r="B16053" s="87"/>
      <c r="C16053" s="87"/>
      <c r="D16053" s="87"/>
      <c r="E16053" s="87"/>
      <c r="F16053" s="87"/>
      <c r="G16053" s="87"/>
    </row>
    <row r="16054">
      <c r="A16054" s="86" t="str">
        <f>IFERROR(__xludf.DUMMYFUNCTION("""COMPUTED_VALUE"""),"")</f>
        <v/>
      </c>
      <c r="B16054" s="87"/>
      <c r="C16054" s="87"/>
      <c r="D16054" s="87"/>
      <c r="E16054" s="87"/>
      <c r="F16054" s="87"/>
      <c r="G16054" s="87"/>
    </row>
    <row r="16055">
      <c r="A16055" s="86" t="str">
        <f>IFERROR(__xludf.DUMMYFUNCTION("""COMPUTED_VALUE"""),"")</f>
        <v/>
      </c>
      <c r="B16055" s="87"/>
      <c r="C16055" s="87"/>
      <c r="D16055" s="87"/>
      <c r="E16055" s="87"/>
      <c r="F16055" s="87"/>
      <c r="G16055" s="87"/>
    </row>
    <row r="16056">
      <c r="A16056" s="86" t="str">
        <f>IFERROR(__xludf.DUMMYFUNCTION("""COMPUTED_VALUE"""),"")</f>
        <v/>
      </c>
      <c r="B16056" s="87"/>
      <c r="C16056" s="87"/>
      <c r="D16056" s="87"/>
      <c r="E16056" s="87"/>
      <c r="F16056" s="87"/>
      <c r="G16056" s="87"/>
    </row>
    <row r="16057">
      <c r="A16057" s="86" t="str">
        <f>IFERROR(__xludf.DUMMYFUNCTION("""COMPUTED_VALUE"""),"")</f>
        <v/>
      </c>
      <c r="B16057" s="87"/>
      <c r="C16057" s="87"/>
      <c r="D16057" s="87"/>
      <c r="E16057" s="87"/>
      <c r="F16057" s="87"/>
      <c r="G16057" s="87"/>
    </row>
    <row r="16058">
      <c r="A16058" s="86" t="str">
        <f>IFERROR(__xludf.DUMMYFUNCTION("""COMPUTED_VALUE"""),"")</f>
        <v/>
      </c>
      <c r="B16058" s="87"/>
      <c r="C16058" s="87"/>
      <c r="D16058" s="87"/>
      <c r="E16058" s="87"/>
      <c r="F16058" s="87"/>
      <c r="G16058" s="87"/>
    </row>
    <row r="16059">
      <c r="A16059" s="86" t="str">
        <f>IFERROR(__xludf.DUMMYFUNCTION("""COMPUTED_VALUE"""),"")</f>
        <v/>
      </c>
      <c r="B16059" s="87"/>
      <c r="C16059" s="87"/>
      <c r="D16059" s="87"/>
      <c r="E16059" s="87"/>
      <c r="F16059" s="87"/>
      <c r="G16059" s="87"/>
    </row>
    <row r="16060">
      <c r="A16060" s="86" t="str">
        <f>IFERROR(__xludf.DUMMYFUNCTION("""COMPUTED_VALUE"""),"")</f>
        <v/>
      </c>
      <c r="B16060" s="87"/>
      <c r="C16060" s="87"/>
      <c r="D16060" s="87"/>
      <c r="E16060" s="87"/>
      <c r="F16060" s="87"/>
      <c r="G16060" s="87"/>
    </row>
    <row r="16061">
      <c r="A16061" s="86" t="str">
        <f>IFERROR(__xludf.DUMMYFUNCTION("""COMPUTED_VALUE"""),"")</f>
        <v/>
      </c>
      <c r="B16061" s="87"/>
      <c r="C16061" s="87"/>
      <c r="D16061" s="87"/>
      <c r="E16061" s="87"/>
      <c r="F16061" s="87"/>
      <c r="G16061" s="87"/>
    </row>
    <row r="16062">
      <c r="A16062" s="86" t="str">
        <f>IFERROR(__xludf.DUMMYFUNCTION("""COMPUTED_VALUE"""),"")</f>
        <v/>
      </c>
      <c r="B16062" s="87"/>
      <c r="C16062" s="87"/>
      <c r="D16062" s="87"/>
      <c r="E16062" s="87"/>
      <c r="F16062" s="87"/>
      <c r="G16062" s="87"/>
    </row>
    <row r="16063">
      <c r="A16063" s="86" t="str">
        <f>IFERROR(__xludf.DUMMYFUNCTION("""COMPUTED_VALUE"""),"")</f>
        <v/>
      </c>
      <c r="B16063" s="87"/>
      <c r="C16063" s="87"/>
      <c r="D16063" s="87"/>
      <c r="E16063" s="87"/>
      <c r="F16063" s="87"/>
      <c r="G16063" s="87"/>
    </row>
    <row r="16064">
      <c r="A16064" s="86" t="str">
        <f>IFERROR(__xludf.DUMMYFUNCTION("""COMPUTED_VALUE"""),"")</f>
        <v/>
      </c>
      <c r="B16064" s="87"/>
      <c r="C16064" s="87"/>
      <c r="D16064" s="87"/>
      <c r="E16064" s="87"/>
      <c r="F16064" s="87"/>
      <c r="G16064" s="87"/>
    </row>
    <row r="16065">
      <c r="A16065" s="86" t="str">
        <f>IFERROR(__xludf.DUMMYFUNCTION("""COMPUTED_VALUE"""),"")</f>
        <v/>
      </c>
      <c r="B16065" s="87"/>
      <c r="C16065" s="87"/>
      <c r="D16065" s="87"/>
      <c r="E16065" s="87"/>
      <c r="F16065" s="87"/>
      <c r="G16065" s="87"/>
    </row>
    <row r="16066">
      <c r="A16066" s="86" t="str">
        <f>IFERROR(__xludf.DUMMYFUNCTION("""COMPUTED_VALUE"""),"")</f>
        <v/>
      </c>
      <c r="B16066" s="87"/>
      <c r="C16066" s="87"/>
      <c r="D16066" s="87"/>
      <c r="E16066" s="87"/>
      <c r="F16066" s="87"/>
      <c r="G16066" s="87"/>
    </row>
    <row r="16067">
      <c r="A16067" s="86" t="str">
        <f>IFERROR(__xludf.DUMMYFUNCTION("""COMPUTED_VALUE"""),"")</f>
        <v/>
      </c>
      <c r="B16067" s="87"/>
      <c r="C16067" s="87"/>
      <c r="D16067" s="87"/>
      <c r="E16067" s="87"/>
      <c r="F16067" s="87"/>
      <c r="G16067" s="87"/>
    </row>
    <row r="16068">
      <c r="A16068" s="86" t="str">
        <f>IFERROR(__xludf.DUMMYFUNCTION("""COMPUTED_VALUE"""),"")</f>
        <v/>
      </c>
      <c r="B16068" s="87"/>
      <c r="C16068" s="87"/>
      <c r="D16068" s="87"/>
      <c r="E16068" s="87"/>
      <c r="F16068" s="87"/>
      <c r="G16068" s="87"/>
    </row>
    <row r="16069">
      <c r="A16069" s="86" t="str">
        <f>IFERROR(__xludf.DUMMYFUNCTION("""COMPUTED_VALUE"""),"")</f>
        <v/>
      </c>
      <c r="B16069" s="87"/>
      <c r="C16069" s="87"/>
      <c r="D16069" s="87"/>
      <c r="E16069" s="87"/>
      <c r="F16069" s="87"/>
      <c r="G16069" s="87"/>
    </row>
    <row r="16070">
      <c r="A16070" s="86" t="str">
        <f>IFERROR(__xludf.DUMMYFUNCTION("""COMPUTED_VALUE"""),"")</f>
        <v/>
      </c>
      <c r="B16070" s="87"/>
      <c r="C16070" s="87"/>
      <c r="D16070" s="87"/>
      <c r="E16070" s="87"/>
      <c r="F16070" s="87"/>
      <c r="G16070" s="87"/>
    </row>
    <row r="16071">
      <c r="A16071" s="86" t="str">
        <f>IFERROR(__xludf.DUMMYFUNCTION("""COMPUTED_VALUE"""),"")</f>
        <v/>
      </c>
      <c r="B16071" s="87"/>
      <c r="C16071" s="87"/>
      <c r="D16071" s="87"/>
      <c r="E16071" s="87"/>
      <c r="F16071" s="87"/>
      <c r="G16071" s="87"/>
    </row>
    <row r="16072">
      <c r="A16072" s="86" t="str">
        <f>IFERROR(__xludf.DUMMYFUNCTION("""COMPUTED_VALUE"""),"")</f>
        <v/>
      </c>
      <c r="B16072" s="87"/>
      <c r="C16072" s="87"/>
      <c r="D16072" s="87"/>
      <c r="E16072" s="87"/>
      <c r="F16072" s="87"/>
      <c r="G16072" s="87"/>
    </row>
    <row r="16073">
      <c r="A16073" s="86" t="str">
        <f>IFERROR(__xludf.DUMMYFUNCTION("""COMPUTED_VALUE"""),"")</f>
        <v/>
      </c>
      <c r="B16073" s="87"/>
      <c r="C16073" s="87"/>
      <c r="D16073" s="87"/>
      <c r="E16073" s="87"/>
      <c r="F16073" s="87"/>
      <c r="G16073" s="87"/>
    </row>
    <row r="16074">
      <c r="A16074" s="86" t="str">
        <f>IFERROR(__xludf.DUMMYFUNCTION("""COMPUTED_VALUE"""),"")</f>
        <v/>
      </c>
      <c r="B16074" s="87"/>
      <c r="C16074" s="87"/>
      <c r="D16074" s="87"/>
      <c r="E16074" s="87"/>
      <c r="F16074" s="87"/>
      <c r="G16074" s="87"/>
    </row>
    <row r="16075">
      <c r="A16075" s="86" t="str">
        <f>IFERROR(__xludf.DUMMYFUNCTION("""COMPUTED_VALUE"""),"")</f>
        <v/>
      </c>
      <c r="B16075" s="87"/>
      <c r="C16075" s="87"/>
      <c r="D16075" s="87"/>
      <c r="E16075" s="87"/>
      <c r="F16075" s="87"/>
      <c r="G16075" s="87"/>
    </row>
    <row r="16076">
      <c r="A16076" s="86" t="str">
        <f>IFERROR(__xludf.DUMMYFUNCTION("""COMPUTED_VALUE"""),"")</f>
        <v/>
      </c>
      <c r="B16076" s="87"/>
      <c r="C16076" s="87"/>
      <c r="D16076" s="87"/>
      <c r="E16076" s="87"/>
      <c r="F16076" s="87"/>
      <c r="G16076" s="87"/>
    </row>
    <row r="16077">
      <c r="A16077" s="86" t="str">
        <f>IFERROR(__xludf.DUMMYFUNCTION("""COMPUTED_VALUE"""),"")</f>
        <v/>
      </c>
      <c r="B16077" s="87"/>
      <c r="C16077" s="87"/>
      <c r="D16077" s="87"/>
      <c r="E16077" s="87"/>
      <c r="F16077" s="87"/>
      <c r="G16077" s="87"/>
    </row>
    <row r="16078">
      <c r="A16078" s="86" t="str">
        <f>IFERROR(__xludf.DUMMYFUNCTION("""COMPUTED_VALUE"""),"")</f>
        <v/>
      </c>
      <c r="B16078" s="87"/>
      <c r="C16078" s="87"/>
      <c r="D16078" s="87"/>
      <c r="E16078" s="87"/>
      <c r="F16078" s="87"/>
      <c r="G16078" s="87"/>
    </row>
    <row r="16079">
      <c r="A16079" s="86" t="str">
        <f>IFERROR(__xludf.DUMMYFUNCTION("""COMPUTED_VALUE"""),"")</f>
        <v/>
      </c>
      <c r="B16079" s="87"/>
      <c r="C16079" s="87"/>
      <c r="D16079" s="87"/>
      <c r="E16079" s="87"/>
      <c r="F16079" s="87"/>
      <c r="G16079" s="87"/>
    </row>
    <row r="16080">
      <c r="A16080" s="86" t="str">
        <f>IFERROR(__xludf.DUMMYFUNCTION("""COMPUTED_VALUE"""),"")</f>
        <v/>
      </c>
      <c r="B16080" s="87"/>
      <c r="C16080" s="87"/>
      <c r="D16080" s="87"/>
      <c r="E16080" s="87"/>
      <c r="F16080" s="87"/>
      <c r="G16080" s="87"/>
    </row>
    <row r="16081">
      <c r="A16081" s="86" t="str">
        <f>IFERROR(__xludf.DUMMYFUNCTION("""COMPUTED_VALUE"""),"")</f>
        <v/>
      </c>
      <c r="B16081" s="87"/>
      <c r="C16081" s="87"/>
      <c r="D16081" s="87"/>
      <c r="E16081" s="87"/>
      <c r="F16081" s="87"/>
      <c r="G16081" s="87"/>
    </row>
    <row r="16082">
      <c r="A16082" s="86" t="str">
        <f>IFERROR(__xludf.DUMMYFUNCTION("""COMPUTED_VALUE"""),"")</f>
        <v/>
      </c>
      <c r="B16082" s="87"/>
      <c r="C16082" s="87"/>
      <c r="D16082" s="87"/>
      <c r="E16082" s="87"/>
      <c r="F16082" s="87"/>
      <c r="G16082" s="87"/>
    </row>
    <row r="16083">
      <c r="A16083" s="86" t="str">
        <f>IFERROR(__xludf.DUMMYFUNCTION("""COMPUTED_VALUE"""),"")</f>
        <v/>
      </c>
      <c r="B16083" s="87"/>
      <c r="C16083" s="87"/>
      <c r="D16083" s="87"/>
      <c r="E16083" s="87"/>
      <c r="F16083" s="87"/>
      <c r="G16083" s="87"/>
    </row>
    <row r="16084">
      <c r="A16084" s="86" t="str">
        <f>IFERROR(__xludf.DUMMYFUNCTION("""COMPUTED_VALUE"""),"")</f>
        <v/>
      </c>
      <c r="B16084" s="87"/>
      <c r="C16084" s="87"/>
      <c r="D16084" s="87"/>
      <c r="E16084" s="87"/>
      <c r="F16084" s="87"/>
      <c r="G16084" s="87"/>
    </row>
    <row r="16085">
      <c r="A16085" s="86" t="str">
        <f>IFERROR(__xludf.DUMMYFUNCTION("""COMPUTED_VALUE"""),"")</f>
        <v/>
      </c>
      <c r="B16085" s="87"/>
      <c r="C16085" s="87"/>
      <c r="D16085" s="87"/>
      <c r="E16085" s="87"/>
      <c r="F16085" s="87"/>
      <c r="G16085" s="87"/>
    </row>
    <row r="16086">
      <c r="A16086" s="86" t="str">
        <f>IFERROR(__xludf.DUMMYFUNCTION("""COMPUTED_VALUE"""),"")</f>
        <v/>
      </c>
      <c r="B16086" s="87"/>
      <c r="C16086" s="87"/>
      <c r="D16086" s="87"/>
      <c r="E16086" s="87"/>
      <c r="F16086" s="87"/>
      <c r="G16086" s="87"/>
    </row>
    <row r="16087">
      <c r="A16087" s="86" t="str">
        <f>IFERROR(__xludf.DUMMYFUNCTION("""COMPUTED_VALUE"""),"")</f>
        <v/>
      </c>
      <c r="B16087" s="87"/>
      <c r="C16087" s="87"/>
      <c r="D16087" s="87"/>
      <c r="E16087" s="87"/>
      <c r="F16087" s="87"/>
      <c r="G16087" s="87"/>
    </row>
    <row r="16088">
      <c r="A16088" s="86" t="str">
        <f>IFERROR(__xludf.DUMMYFUNCTION("""COMPUTED_VALUE"""),"")</f>
        <v/>
      </c>
      <c r="B16088" s="87"/>
      <c r="C16088" s="87"/>
      <c r="D16088" s="87"/>
      <c r="E16088" s="87"/>
      <c r="F16088" s="87"/>
      <c r="G16088" s="87"/>
    </row>
    <row r="16089">
      <c r="A16089" s="86" t="str">
        <f>IFERROR(__xludf.DUMMYFUNCTION("""COMPUTED_VALUE"""),"")</f>
        <v/>
      </c>
      <c r="B16089" s="87"/>
      <c r="C16089" s="87"/>
      <c r="D16089" s="87"/>
      <c r="E16089" s="87"/>
      <c r="F16089" s="87"/>
      <c r="G16089" s="87"/>
    </row>
    <row r="16090">
      <c r="A16090" s="86" t="str">
        <f>IFERROR(__xludf.DUMMYFUNCTION("""COMPUTED_VALUE"""),"")</f>
        <v/>
      </c>
      <c r="B16090" s="87"/>
      <c r="C16090" s="87"/>
      <c r="D16090" s="87"/>
      <c r="E16090" s="87"/>
      <c r="F16090" s="87"/>
      <c r="G16090" s="87"/>
    </row>
    <row r="16091">
      <c r="A16091" s="86" t="str">
        <f>IFERROR(__xludf.DUMMYFUNCTION("""COMPUTED_VALUE"""),"")</f>
        <v/>
      </c>
      <c r="B16091" s="87"/>
      <c r="C16091" s="87"/>
      <c r="D16091" s="87"/>
      <c r="E16091" s="87"/>
      <c r="F16091" s="87"/>
      <c r="G16091" s="87"/>
    </row>
    <row r="16092">
      <c r="A16092" s="86" t="str">
        <f>IFERROR(__xludf.DUMMYFUNCTION("""COMPUTED_VALUE"""),"")</f>
        <v/>
      </c>
      <c r="B16092" s="87"/>
      <c r="C16092" s="87"/>
      <c r="D16092" s="87"/>
      <c r="E16092" s="87"/>
      <c r="F16092" s="87"/>
      <c r="G16092" s="87"/>
    </row>
    <row r="16093">
      <c r="A16093" s="86" t="str">
        <f>IFERROR(__xludf.DUMMYFUNCTION("""COMPUTED_VALUE"""),"")</f>
        <v/>
      </c>
      <c r="B16093" s="87"/>
      <c r="C16093" s="87"/>
      <c r="D16093" s="87"/>
      <c r="E16093" s="87"/>
      <c r="F16093" s="87"/>
      <c r="G16093" s="87"/>
    </row>
    <row r="16094">
      <c r="A16094" s="86" t="str">
        <f>IFERROR(__xludf.DUMMYFUNCTION("""COMPUTED_VALUE"""),"")</f>
        <v/>
      </c>
      <c r="B16094" s="87"/>
      <c r="C16094" s="87"/>
      <c r="D16094" s="87"/>
      <c r="E16094" s="87"/>
      <c r="F16094" s="87"/>
      <c r="G16094" s="87"/>
    </row>
    <row r="16095">
      <c r="A16095" s="86" t="str">
        <f>IFERROR(__xludf.DUMMYFUNCTION("""COMPUTED_VALUE"""),"")</f>
        <v/>
      </c>
      <c r="B16095" s="87"/>
      <c r="C16095" s="87"/>
      <c r="D16095" s="87"/>
      <c r="E16095" s="87"/>
      <c r="F16095" s="87"/>
      <c r="G16095" s="87"/>
    </row>
    <row r="16096">
      <c r="A16096" s="86" t="str">
        <f>IFERROR(__xludf.DUMMYFUNCTION("""COMPUTED_VALUE"""),"")</f>
        <v/>
      </c>
      <c r="B16096" s="87"/>
      <c r="C16096" s="87"/>
      <c r="D16096" s="87"/>
      <c r="E16096" s="87"/>
      <c r="F16096" s="87"/>
      <c r="G16096" s="87"/>
    </row>
    <row r="16097">
      <c r="A16097" s="86" t="str">
        <f>IFERROR(__xludf.DUMMYFUNCTION("""COMPUTED_VALUE"""),"")</f>
        <v/>
      </c>
      <c r="B16097" s="87"/>
      <c r="C16097" s="87"/>
      <c r="D16097" s="87"/>
      <c r="E16097" s="87"/>
      <c r="F16097" s="87"/>
      <c r="G16097" s="87"/>
    </row>
    <row r="16098">
      <c r="A16098" s="86" t="str">
        <f>IFERROR(__xludf.DUMMYFUNCTION("""COMPUTED_VALUE"""),"")</f>
        <v/>
      </c>
      <c r="B16098" s="87"/>
      <c r="C16098" s="87"/>
      <c r="D16098" s="87"/>
      <c r="E16098" s="87"/>
      <c r="F16098" s="87"/>
      <c r="G16098" s="87"/>
    </row>
    <row r="16099">
      <c r="A16099" s="86" t="str">
        <f>IFERROR(__xludf.DUMMYFUNCTION("""COMPUTED_VALUE"""),"")</f>
        <v/>
      </c>
      <c r="B16099" s="87"/>
      <c r="C16099" s="87"/>
      <c r="D16099" s="87"/>
      <c r="E16099" s="87"/>
      <c r="F16099" s="87"/>
      <c r="G16099" s="87"/>
    </row>
    <row r="16100">
      <c r="A16100" s="86" t="str">
        <f>IFERROR(__xludf.DUMMYFUNCTION("""COMPUTED_VALUE"""),"")</f>
        <v/>
      </c>
      <c r="B16100" s="87"/>
      <c r="C16100" s="87"/>
      <c r="D16100" s="87"/>
      <c r="E16100" s="87"/>
      <c r="F16100" s="87"/>
      <c r="G16100" s="87"/>
    </row>
    <row r="16101">
      <c r="A16101" s="86" t="str">
        <f>IFERROR(__xludf.DUMMYFUNCTION("""COMPUTED_VALUE"""),"")</f>
        <v/>
      </c>
      <c r="B16101" s="87"/>
      <c r="C16101" s="87"/>
      <c r="D16101" s="87"/>
      <c r="E16101" s="87"/>
      <c r="F16101" s="87"/>
      <c r="G16101" s="87"/>
    </row>
    <row r="16102">
      <c r="A16102" s="86" t="str">
        <f>IFERROR(__xludf.DUMMYFUNCTION("""COMPUTED_VALUE"""),"")</f>
        <v/>
      </c>
      <c r="B16102" s="87"/>
      <c r="C16102" s="87"/>
      <c r="D16102" s="87"/>
      <c r="E16102" s="87"/>
      <c r="F16102" s="87"/>
      <c r="G16102" s="87"/>
    </row>
    <row r="16103">
      <c r="A16103" s="86" t="str">
        <f>IFERROR(__xludf.DUMMYFUNCTION("""COMPUTED_VALUE"""),"")</f>
        <v/>
      </c>
      <c r="B16103" s="87"/>
      <c r="C16103" s="87"/>
      <c r="D16103" s="87"/>
      <c r="E16103" s="87"/>
      <c r="F16103" s="87"/>
      <c r="G16103" s="87"/>
    </row>
    <row r="16104">
      <c r="A16104" s="86" t="str">
        <f>IFERROR(__xludf.DUMMYFUNCTION("""COMPUTED_VALUE"""),"")</f>
        <v/>
      </c>
      <c r="B16104" s="87"/>
      <c r="C16104" s="87"/>
      <c r="D16104" s="87"/>
      <c r="E16104" s="87"/>
      <c r="F16104" s="87"/>
      <c r="G16104" s="87"/>
    </row>
    <row r="16105">
      <c r="A16105" s="86" t="str">
        <f>IFERROR(__xludf.DUMMYFUNCTION("""COMPUTED_VALUE"""),"")</f>
        <v/>
      </c>
      <c r="B16105" s="87"/>
      <c r="C16105" s="87"/>
      <c r="D16105" s="87"/>
      <c r="E16105" s="87"/>
      <c r="F16105" s="87"/>
      <c r="G16105" s="87"/>
    </row>
    <row r="16106">
      <c r="A16106" s="86" t="str">
        <f>IFERROR(__xludf.DUMMYFUNCTION("""COMPUTED_VALUE"""),"")</f>
        <v/>
      </c>
      <c r="B16106" s="87"/>
      <c r="C16106" s="87"/>
      <c r="D16106" s="87"/>
      <c r="E16106" s="87"/>
      <c r="F16106" s="87"/>
      <c r="G16106" s="87"/>
    </row>
    <row r="16107">
      <c r="A16107" s="86" t="str">
        <f>IFERROR(__xludf.DUMMYFUNCTION("""COMPUTED_VALUE"""),"")</f>
        <v/>
      </c>
      <c r="B16107" s="87"/>
      <c r="C16107" s="87"/>
      <c r="D16107" s="87"/>
      <c r="E16107" s="87"/>
      <c r="F16107" s="87"/>
      <c r="G16107" s="87"/>
    </row>
    <row r="16108">
      <c r="A16108" s="86" t="str">
        <f>IFERROR(__xludf.DUMMYFUNCTION("""COMPUTED_VALUE"""),"")</f>
        <v/>
      </c>
      <c r="B16108" s="87"/>
      <c r="C16108" s="87"/>
      <c r="D16108" s="87"/>
      <c r="E16108" s="87"/>
      <c r="F16108" s="87"/>
      <c r="G16108" s="87"/>
    </row>
    <row r="16109">
      <c r="A16109" s="86" t="str">
        <f>IFERROR(__xludf.DUMMYFUNCTION("""COMPUTED_VALUE"""),"")</f>
        <v/>
      </c>
      <c r="B16109" s="87"/>
      <c r="C16109" s="87"/>
      <c r="D16109" s="87"/>
      <c r="E16109" s="87"/>
      <c r="F16109" s="87"/>
      <c r="G16109" s="87"/>
    </row>
    <row r="16110">
      <c r="A16110" s="86" t="str">
        <f>IFERROR(__xludf.DUMMYFUNCTION("""COMPUTED_VALUE"""),"")</f>
        <v/>
      </c>
      <c r="B16110" s="87"/>
      <c r="C16110" s="87"/>
      <c r="D16110" s="87"/>
      <c r="E16110" s="87"/>
      <c r="F16110" s="87"/>
      <c r="G16110" s="87"/>
    </row>
    <row r="16111">
      <c r="A16111" s="86" t="str">
        <f>IFERROR(__xludf.DUMMYFUNCTION("""COMPUTED_VALUE"""),"")</f>
        <v/>
      </c>
      <c r="B16111" s="87"/>
      <c r="C16111" s="87"/>
      <c r="D16111" s="87"/>
      <c r="E16111" s="87"/>
      <c r="F16111" s="87"/>
      <c r="G16111" s="87"/>
    </row>
    <row r="16112">
      <c r="A16112" s="86" t="str">
        <f>IFERROR(__xludf.DUMMYFUNCTION("""COMPUTED_VALUE"""),"")</f>
        <v/>
      </c>
      <c r="B16112" s="87"/>
      <c r="C16112" s="87"/>
      <c r="D16112" s="87"/>
      <c r="E16112" s="87"/>
      <c r="F16112" s="87"/>
      <c r="G16112" s="87"/>
    </row>
    <row r="16113">
      <c r="A16113" s="86" t="str">
        <f>IFERROR(__xludf.DUMMYFUNCTION("""COMPUTED_VALUE"""),"")</f>
        <v/>
      </c>
      <c r="B16113" s="87"/>
      <c r="C16113" s="87"/>
      <c r="D16113" s="87"/>
      <c r="E16113" s="87"/>
      <c r="F16113" s="87"/>
      <c r="G16113" s="87"/>
    </row>
    <row r="16114">
      <c r="A16114" s="86" t="str">
        <f>IFERROR(__xludf.DUMMYFUNCTION("""COMPUTED_VALUE"""),"")</f>
        <v/>
      </c>
      <c r="B16114" s="87"/>
      <c r="C16114" s="87"/>
      <c r="D16114" s="87"/>
      <c r="E16114" s="87"/>
      <c r="F16114" s="87"/>
      <c r="G16114" s="87"/>
    </row>
    <row r="16115">
      <c r="A16115" s="86" t="str">
        <f>IFERROR(__xludf.DUMMYFUNCTION("""COMPUTED_VALUE"""),"")</f>
        <v/>
      </c>
      <c r="B16115" s="87"/>
      <c r="C16115" s="87"/>
      <c r="D16115" s="87"/>
      <c r="E16115" s="87"/>
      <c r="F16115" s="87"/>
      <c r="G16115" s="87"/>
    </row>
    <row r="16116">
      <c r="A16116" s="86" t="str">
        <f>IFERROR(__xludf.DUMMYFUNCTION("""COMPUTED_VALUE"""),"")</f>
        <v/>
      </c>
      <c r="B16116" s="87"/>
      <c r="C16116" s="87"/>
      <c r="D16116" s="87"/>
      <c r="E16116" s="87"/>
      <c r="F16116" s="87"/>
      <c r="G16116" s="87"/>
    </row>
    <row r="16117">
      <c r="A16117" s="86" t="str">
        <f>IFERROR(__xludf.DUMMYFUNCTION("""COMPUTED_VALUE"""),"")</f>
        <v/>
      </c>
      <c r="B16117" s="87"/>
      <c r="C16117" s="87"/>
      <c r="D16117" s="87"/>
      <c r="E16117" s="87"/>
      <c r="F16117" s="87"/>
      <c r="G16117" s="87"/>
    </row>
    <row r="16118">
      <c r="A16118" s="86" t="str">
        <f>IFERROR(__xludf.DUMMYFUNCTION("""COMPUTED_VALUE"""),"")</f>
        <v/>
      </c>
      <c r="B16118" s="87"/>
      <c r="C16118" s="87"/>
      <c r="D16118" s="87"/>
      <c r="E16118" s="87"/>
      <c r="F16118" s="87"/>
      <c r="G16118" s="87"/>
    </row>
    <row r="16119">
      <c r="A16119" s="86" t="str">
        <f>IFERROR(__xludf.DUMMYFUNCTION("""COMPUTED_VALUE"""),"")</f>
        <v/>
      </c>
      <c r="B16119" s="87"/>
      <c r="C16119" s="87"/>
      <c r="D16119" s="87"/>
      <c r="E16119" s="87"/>
      <c r="F16119" s="87"/>
      <c r="G16119" s="87"/>
    </row>
    <row r="16120">
      <c r="A16120" s="86" t="str">
        <f>IFERROR(__xludf.DUMMYFUNCTION("""COMPUTED_VALUE"""),"")</f>
        <v/>
      </c>
      <c r="B16120" s="87"/>
      <c r="C16120" s="87"/>
      <c r="D16120" s="87"/>
      <c r="E16120" s="87"/>
      <c r="F16120" s="87"/>
      <c r="G16120" s="87"/>
    </row>
    <row r="16121">
      <c r="A16121" s="86" t="str">
        <f>IFERROR(__xludf.DUMMYFUNCTION("""COMPUTED_VALUE"""),"")</f>
        <v/>
      </c>
      <c r="B16121" s="87"/>
      <c r="C16121" s="87"/>
      <c r="D16121" s="87"/>
      <c r="E16121" s="87"/>
      <c r="F16121" s="87"/>
      <c r="G16121" s="87"/>
    </row>
    <row r="16122">
      <c r="A16122" s="86" t="str">
        <f>IFERROR(__xludf.DUMMYFUNCTION("""COMPUTED_VALUE"""),"")</f>
        <v/>
      </c>
      <c r="B16122" s="87"/>
      <c r="C16122" s="87"/>
      <c r="D16122" s="87"/>
      <c r="E16122" s="87"/>
      <c r="F16122" s="87"/>
      <c r="G16122" s="87"/>
    </row>
    <row r="16123">
      <c r="A16123" s="86" t="str">
        <f>IFERROR(__xludf.DUMMYFUNCTION("""COMPUTED_VALUE"""),"")</f>
        <v/>
      </c>
      <c r="B16123" s="87"/>
      <c r="C16123" s="87"/>
      <c r="D16123" s="87"/>
      <c r="E16123" s="87"/>
      <c r="F16123" s="87"/>
      <c r="G16123" s="87"/>
    </row>
    <row r="16124">
      <c r="A16124" s="86" t="str">
        <f>IFERROR(__xludf.DUMMYFUNCTION("""COMPUTED_VALUE"""),"")</f>
        <v/>
      </c>
      <c r="B16124" s="87"/>
      <c r="C16124" s="87"/>
      <c r="D16124" s="87"/>
      <c r="E16124" s="87"/>
      <c r="F16124" s="87"/>
      <c r="G16124" s="87"/>
    </row>
    <row r="16125">
      <c r="A16125" s="86" t="str">
        <f>IFERROR(__xludf.DUMMYFUNCTION("""COMPUTED_VALUE"""),"")</f>
        <v/>
      </c>
      <c r="B16125" s="87"/>
      <c r="C16125" s="87"/>
      <c r="D16125" s="87"/>
      <c r="E16125" s="87"/>
      <c r="F16125" s="87"/>
      <c r="G16125" s="87"/>
    </row>
    <row r="16126">
      <c r="A16126" s="86" t="str">
        <f>IFERROR(__xludf.DUMMYFUNCTION("""COMPUTED_VALUE"""),"")</f>
        <v/>
      </c>
      <c r="B16126" s="87"/>
      <c r="C16126" s="87"/>
      <c r="D16126" s="87"/>
      <c r="E16126" s="87"/>
      <c r="F16126" s="87"/>
      <c r="G16126" s="87"/>
    </row>
    <row r="16127">
      <c r="A16127" s="86" t="str">
        <f>IFERROR(__xludf.DUMMYFUNCTION("""COMPUTED_VALUE"""),"")</f>
        <v/>
      </c>
      <c r="B16127" s="87"/>
      <c r="C16127" s="87"/>
      <c r="D16127" s="87"/>
      <c r="E16127" s="87"/>
      <c r="F16127" s="87"/>
      <c r="G16127" s="87"/>
    </row>
    <row r="16128">
      <c r="A16128" s="86" t="str">
        <f>IFERROR(__xludf.DUMMYFUNCTION("""COMPUTED_VALUE"""),"")</f>
        <v/>
      </c>
      <c r="B16128" s="87"/>
      <c r="C16128" s="87"/>
      <c r="D16128" s="87"/>
      <c r="E16128" s="87"/>
      <c r="F16128" s="87"/>
      <c r="G16128" s="87"/>
    </row>
    <row r="16129">
      <c r="A16129" s="86" t="str">
        <f>IFERROR(__xludf.DUMMYFUNCTION("""COMPUTED_VALUE"""),"")</f>
        <v/>
      </c>
      <c r="B16129" s="87"/>
      <c r="C16129" s="87"/>
      <c r="D16129" s="87"/>
      <c r="E16129" s="87"/>
      <c r="F16129" s="87"/>
      <c r="G16129" s="87"/>
    </row>
    <row r="16130">
      <c r="A16130" s="86" t="str">
        <f>IFERROR(__xludf.DUMMYFUNCTION("""COMPUTED_VALUE"""),"")</f>
        <v/>
      </c>
      <c r="B16130" s="87"/>
      <c r="C16130" s="87"/>
      <c r="D16130" s="87"/>
      <c r="E16130" s="87"/>
      <c r="F16130" s="87"/>
      <c r="G16130" s="87"/>
    </row>
    <row r="16131">
      <c r="A16131" s="86" t="str">
        <f>IFERROR(__xludf.DUMMYFUNCTION("""COMPUTED_VALUE"""),"")</f>
        <v/>
      </c>
      <c r="B16131" s="87"/>
      <c r="C16131" s="87"/>
      <c r="D16131" s="87"/>
      <c r="E16131" s="87"/>
      <c r="F16131" s="87"/>
      <c r="G16131" s="87"/>
    </row>
    <row r="16132">
      <c r="A16132" s="86" t="str">
        <f>IFERROR(__xludf.DUMMYFUNCTION("""COMPUTED_VALUE"""),"")</f>
        <v/>
      </c>
      <c r="B16132" s="87"/>
      <c r="C16132" s="87"/>
      <c r="D16132" s="87"/>
      <c r="E16132" s="87"/>
      <c r="F16132" s="87"/>
      <c r="G16132" s="87"/>
    </row>
    <row r="16133">
      <c r="A16133" s="86" t="str">
        <f>IFERROR(__xludf.DUMMYFUNCTION("""COMPUTED_VALUE"""),"")</f>
        <v/>
      </c>
      <c r="B16133" s="87"/>
      <c r="C16133" s="87"/>
      <c r="D16133" s="87"/>
      <c r="E16133" s="87"/>
      <c r="F16133" s="87"/>
      <c r="G16133" s="87"/>
    </row>
    <row r="16134">
      <c r="A16134" s="86" t="str">
        <f>IFERROR(__xludf.DUMMYFUNCTION("""COMPUTED_VALUE"""),"")</f>
        <v/>
      </c>
      <c r="B16134" s="87"/>
      <c r="C16134" s="87"/>
      <c r="D16134" s="87"/>
      <c r="E16134" s="87"/>
      <c r="F16134" s="87"/>
      <c r="G16134" s="87"/>
    </row>
    <row r="16135">
      <c r="A16135" s="86" t="str">
        <f>IFERROR(__xludf.DUMMYFUNCTION("""COMPUTED_VALUE"""),"")</f>
        <v/>
      </c>
      <c r="B16135" s="87"/>
      <c r="C16135" s="87"/>
      <c r="D16135" s="87"/>
      <c r="E16135" s="87"/>
      <c r="F16135" s="87"/>
      <c r="G16135" s="87"/>
    </row>
    <row r="16136">
      <c r="A16136" s="86" t="str">
        <f>IFERROR(__xludf.DUMMYFUNCTION("""COMPUTED_VALUE"""),"")</f>
        <v/>
      </c>
      <c r="B16136" s="87"/>
      <c r="C16136" s="87"/>
      <c r="D16136" s="87"/>
      <c r="E16136" s="87"/>
      <c r="F16136" s="87"/>
      <c r="G16136" s="87"/>
    </row>
    <row r="16137">
      <c r="A16137" s="86" t="str">
        <f>IFERROR(__xludf.DUMMYFUNCTION("""COMPUTED_VALUE"""),"")</f>
        <v/>
      </c>
      <c r="B16137" s="87"/>
      <c r="C16137" s="87"/>
      <c r="D16137" s="87"/>
      <c r="E16137" s="87"/>
      <c r="F16137" s="87"/>
      <c r="G16137" s="87"/>
    </row>
    <row r="16138">
      <c r="A16138" s="86" t="str">
        <f>IFERROR(__xludf.DUMMYFUNCTION("""COMPUTED_VALUE"""),"")</f>
        <v/>
      </c>
      <c r="B16138" s="87"/>
      <c r="C16138" s="87"/>
      <c r="D16138" s="87"/>
      <c r="E16138" s="87"/>
      <c r="F16138" s="87"/>
      <c r="G16138" s="87"/>
    </row>
    <row r="16139">
      <c r="A16139" s="86" t="str">
        <f>IFERROR(__xludf.DUMMYFUNCTION("""COMPUTED_VALUE"""),"")</f>
        <v/>
      </c>
      <c r="B16139" s="87"/>
      <c r="C16139" s="87"/>
      <c r="D16139" s="87"/>
      <c r="E16139" s="87"/>
      <c r="F16139" s="87"/>
      <c r="G16139" s="87"/>
    </row>
    <row r="16140">
      <c r="A16140" s="86" t="str">
        <f>IFERROR(__xludf.DUMMYFUNCTION("""COMPUTED_VALUE"""),"")</f>
        <v/>
      </c>
      <c r="B16140" s="87"/>
      <c r="C16140" s="87"/>
      <c r="D16140" s="87"/>
      <c r="E16140" s="87"/>
      <c r="F16140" s="87"/>
      <c r="G16140" s="87"/>
    </row>
    <row r="16141">
      <c r="A16141" s="86" t="str">
        <f>IFERROR(__xludf.DUMMYFUNCTION("""COMPUTED_VALUE"""),"")</f>
        <v/>
      </c>
      <c r="B16141" s="87"/>
      <c r="C16141" s="87"/>
      <c r="D16141" s="87"/>
      <c r="E16141" s="87"/>
      <c r="F16141" s="87"/>
      <c r="G16141" s="87"/>
    </row>
    <row r="16142">
      <c r="A16142" s="86" t="str">
        <f>IFERROR(__xludf.DUMMYFUNCTION("""COMPUTED_VALUE"""),"")</f>
        <v/>
      </c>
      <c r="B16142" s="87"/>
      <c r="C16142" s="87"/>
      <c r="D16142" s="87"/>
      <c r="E16142" s="87"/>
      <c r="F16142" s="87"/>
      <c r="G16142" s="87"/>
    </row>
    <row r="16143">
      <c r="A16143" s="86" t="str">
        <f>IFERROR(__xludf.DUMMYFUNCTION("""COMPUTED_VALUE"""),"")</f>
        <v/>
      </c>
      <c r="B16143" s="87"/>
      <c r="C16143" s="87"/>
      <c r="D16143" s="87"/>
      <c r="E16143" s="87"/>
      <c r="F16143" s="87"/>
      <c r="G16143" s="87"/>
    </row>
    <row r="16144">
      <c r="A16144" s="86" t="str">
        <f>IFERROR(__xludf.DUMMYFUNCTION("""COMPUTED_VALUE"""),"")</f>
        <v/>
      </c>
      <c r="B16144" s="87"/>
      <c r="C16144" s="87"/>
      <c r="D16144" s="87"/>
      <c r="E16144" s="87"/>
      <c r="F16144" s="87"/>
      <c r="G16144" s="87"/>
    </row>
    <row r="16145">
      <c r="A16145" s="86" t="str">
        <f>IFERROR(__xludf.DUMMYFUNCTION("""COMPUTED_VALUE"""),"")</f>
        <v/>
      </c>
      <c r="B16145" s="87"/>
      <c r="C16145" s="87"/>
      <c r="D16145" s="87"/>
      <c r="E16145" s="87"/>
      <c r="F16145" s="87"/>
      <c r="G16145" s="87"/>
    </row>
    <row r="16146">
      <c r="A16146" s="86" t="str">
        <f>IFERROR(__xludf.DUMMYFUNCTION("""COMPUTED_VALUE"""),"")</f>
        <v/>
      </c>
      <c r="B16146" s="87"/>
      <c r="C16146" s="87"/>
      <c r="D16146" s="87"/>
      <c r="E16146" s="87"/>
      <c r="F16146" s="87"/>
      <c r="G16146" s="87"/>
    </row>
    <row r="16147">
      <c r="A16147" s="86" t="str">
        <f>IFERROR(__xludf.DUMMYFUNCTION("""COMPUTED_VALUE"""),"")</f>
        <v/>
      </c>
      <c r="B16147" s="87"/>
      <c r="C16147" s="87"/>
      <c r="D16147" s="87"/>
      <c r="E16147" s="87"/>
      <c r="F16147" s="87"/>
      <c r="G16147" s="87"/>
    </row>
    <row r="16148">
      <c r="A16148" s="86" t="str">
        <f>IFERROR(__xludf.DUMMYFUNCTION("""COMPUTED_VALUE"""),"")</f>
        <v/>
      </c>
      <c r="B16148" s="87"/>
      <c r="C16148" s="87"/>
      <c r="D16148" s="87"/>
      <c r="E16148" s="87"/>
      <c r="F16148" s="87"/>
      <c r="G16148" s="87"/>
    </row>
    <row r="16149">
      <c r="A16149" s="86" t="str">
        <f>IFERROR(__xludf.DUMMYFUNCTION("""COMPUTED_VALUE"""),"")</f>
        <v/>
      </c>
      <c r="B16149" s="87"/>
      <c r="C16149" s="87"/>
      <c r="D16149" s="87"/>
      <c r="E16149" s="87"/>
      <c r="F16149" s="87"/>
      <c r="G16149" s="87"/>
    </row>
    <row r="16150">
      <c r="A16150" s="86" t="str">
        <f>IFERROR(__xludf.DUMMYFUNCTION("""COMPUTED_VALUE"""),"")</f>
        <v/>
      </c>
      <c r="B16150" s="87"/>
      <c r="C16150" s="87"/>
      <c r="D16150" s="87"/>
      <c r="E16150" s="87"/>
      <c r="F16150" s="87"/>
      <c r="G16150" s="87"/>
    </row>
    <row r="16151">
      <c r="A16151" s="86" t="str">
        <f>IFERROR(__xludf.DUMMYFUNCTION("""COMPUTED_VALUE"""),"")</f>
        <v/>
      </c>
      <c r="B16151" s="87"/>
      <c r="C16151" s="87"/>
      <c r="D16151" s="87"/>
      <c r="E16151" s="87"/>
      <c r="F16151" s="87"/>
      <c r="G16151" s="87"/>
    </row>
    <row r="16152">
      <c r="A16152" s="86" t="str">
        <f>IFERROR(__xludf.DUMMYFUNCTION("""COMPUTED_VALUE"""),"")</f>
        <v/>
      </c>
      <c r="B16152" s="87"/>
      <c r="C16152" s="87"/>
      <c r="D16152" s="87"/>
      <c r="E16152" s="87"/>
      <c r="F16152" s="87"/>
      <c r="G16152" s="87"/>
    </row>
    <row r="16153">
      <c r="A16153" s="86" t="str">
        <f>IFERROR(__xludf.DUMMYFUNCTION("""COMPUTED_VALUE"""),"")</f>
        <v/>
      </c>
      <c r="B16153" s="87"/>
      <c r="C16153" s="87"/>
      <c r="D16153" s="87"/>
      <c r="E16153" s="87"/>
      <c r="F16153" s="87"/>
      <c r="G16153" s="87"/>
    </row>
    <row r="16154">
      <c r="A16154" s="86" t="str">
        <f>IFERROR(__xludf.DUMMYFUNCTION("""COMPUTED_VALUE"""),"")</f>
        <v/>
      </c>
      <c r="B16154" s="87"/>
      <c r="C16154" s="87"/>
      <c r="D16154" s="87"/>
      <c r="E16154" s="87"/>
      <c r="F16154" s="87"/>
      <c r="G16154" s="87"/>
    </row>
    <row r="16155">
      <c r="A16155" s="86" t="str">
        <f>IFERROR(__xludf.DUMMYFUNCTION("""COMPUTED_VALUE"""),"")</f>
        <v/>
      </c>
      <c r="B16155" s="87"/>
      <c r="C16155" s="87"/>
      <c r="D16155" s="87"/>
      <c r="E16155" s="87"/>
      <c r="F16155" s="87"/>
      <c r="G16155" s="87"/>
    </row>
    <row r="16156">
      <c r="A16156" s="86" t="str">
        <f>IFERROR(__xludf.DUMMYFUNCTION("""COMPUTED_VALUE"""),"")</f>
        <v/>
      </c>
      <c r="B16156" s="87"/>
      <c r="C16156" s="87"/>
      <c r="D16156" s="87"/>
      <c r="E16156" s="87"/>
      <c r="F16156" s="87"/>
      <c r="G16156" s="87"/>
    </row>
    <row r="16157">
      <c r="A16157" s="86" t="str">
        <f>IFERROR(__xludf.DUMMYFUNCTION("""COMPUTED_VALUE"""),"")</f>
        <v/>
      </c>
      <c r="B16157" s="87"/>
      <c r="C16157" s="87"/>
      <c r="D16157" s="87"/>
      <c r="E16157" s="87"/>
      <c r="F16157" s="87"/>
      <c r="G16157" s="87"/>
    </row>
    <row r="16158">
      <c r="A16158" s="86" t="str">
        <f>IFERROR(__xludf.DUMMYFUNCTION("""COMPUTED_VALUE"""),"")</f>
        <v/>
      </c>
      <c r="B16158" s="87"/>
      <c r="C16158" s="87"/>
      <c r="D16158" s="87"/>
      <c r="E16158" s="87"/>
      <c r="F16158" s="87"/>
      <c r="G16158" s="87"/>
    </row>
    <row r="16159">
      <c r="A16159" s="86" t="str">
        <f>IFERROR(__xludf.DUMMYFUNCTION("""COMPUTED_VALUE"""),"")</f>
        <v/>
      </c>
      <c r="B16159" s="87"/>
      <c r="C16159" s="87"/>
      <c r="D16159" s="87"/>
      <c r="E16159" s="87"/>
      <c r="F16159" s="87"/>
      <c r="G16159" s="87"/>
    </row>
    <row r="16160">
      <c r="A16160" s="86" t="str">
        <f>IFERROR(__xludf.DUMMYFUNCTION("""COMPUTED_VALUE"""),"")</f>
        <v/>
      </c>
      <c r="B16160" s="87"/>
      <c r="C16160" s="87"/>
      <c r="D16160" s="87"/>
      <c r="E16160" s="87"/>
      <c r="F16160" s="87"/>
      <c r="G16160" s="87"/>
    </row>
    <row r="16161">
      <c r="A16161" s="86" t="str">
        <f>IFERROR(__xludf.DUMMYFUNCTION("""COMPUTED_VALUE"""),"")</f>
        <v/>
      </c>
      <c r="B16161" s="87"/>
      <c r="C16161" s="87"/>
      <c r="D16161" s="87"/>
      <c r="E16161" s="87"/>
      <c r="F16161" s="87"/>
      <c r="G16161" s="87"/>
    </row>
    <row r="16162">
      <c r="A16162" s="86" t="str">
        <f>IFERROR(__xludf.DUMMYFUNCTION("""COMPUTED_VALUE"""),"")</f>
        <v/>
      </c>
      <c r="B16162" s="87"/>
      <c r="C16162" s="87"/>
      <c r="D16162" s="87"/>
      <c r="E16162" s="87"/>
      <c r="F16162" s="87"/>
      <c r="G16162" s="87"/>
    </row>
    <row r="16163">
      <c r="A16163" s="86" t="str">
        <f>IFERROR(__xludf.DUMMYFUNCTION("""COMPUTED_VALUE"""),"")</f>
        <v/>
      </c>
      <c r="B16163" s="87"/>
      <c r="C16163" s="87"/>
      <c r="D16163" s="87"/>
      <c r="E16163" s="87"/>
      <c r="F16163" s="87"/>
      <c r="G16163" s="87"/>
    </row>
    <row r="16164">
      <c r="A16164" s="86" t="str">
        <f>IFERROR(__xludf.DUMMYFUNCTION("""COMPUTED_VALUE"""),"")</f>
        <v/>
      </c>
      <c r="B16164" s="87"/>
      <c r="C16164" s="87"/>
      <c r="D16164" s="87"/>
      <c r="E16164" s="87"/>
      <c r="F16164" s="87"/>
      <c r="G16164" s="87"/>
    </row>
    <row r="16165">
      <c r="A16165" s="86" t="str">
        <f>IFERROR(__xludf.DUMMYFUNCTION("""COMPUTED_VALUE"""),"")</f>
        <v/>
      </c>
      <c r="B16165" s="87"/>
      <c r="C16165" s="87"/>
      <c r="D16165" s="87"/>
      <c r="E16165" s="87"/>
      <c r="F16165" s="87"/>
      <c r="G16165" s="87"/>
    </row>
    <row r="16166">
      <c r="A16166" s="86" t="str">
        <f>IFERROR(__xludf.DUMMYFUNCTION("""COMPUTED_VALUE"""),"")</f>
        <v/>
      </c>
      <c r="B16166" s="87"/>
      <c r="C16166" s="87"/>
      <c r="D16166" s="87"/>
      <c r="E16166" s="87"/>
      <c r="F16166" s="87"/>
      <c r="G16166" s="87"/>
    </row>
    <row r="16167">
      <c r="A16167" s="86" t="str">
        <f>IFERROR(__xludf.DUMMYFUNCTION("""COMPUTED_VALUE"""),"")</f>
        <v/>
      </c>
      <c r="B16167" s="87"/>
      <c r="C16167" s="87"/>
      <c r="D16167" s="87"/>
      <c r="E16167" s="87"/>
      <c r="F16167" s="87"/>
      <c r="G16167" s="87"/>
    </row>
    <row r="16168">
      <c r="A16168" s="86" t="str">
        <f>IFERROR(__xludf.DUMMYFUNCTION("""COMPUTED_VALUE"""),"")</f>
        <v/>
      </c>
      <c r="B16168" s="87"/>
      <c r="C16168" s="87"/>
      <c r="D16168" s="87"/>
      <c r="E16168" s="87"/>
      <c r="F16168" s="87"/>
      <c r="G16168" s="87"/>
    </row>
    <row r="16169">
      <c r="A16169" s="86" t="str">
        <f>IFERROR(__xludf.DUMMYFUNCTION("""COMPUTED_VALUE"""),"")</f>
        <v/>
      </c>
      <c r="B16169" s="87"/>
      <c r="C16169" s="87"/>
      <c r="D16169" s="87"/>
      <c r="E16169" s="87"/>
      <c r="F16169" s="87"/>
      <c r="G16169" s="87"/>
    </row>
    <row r="16170">
      <c r="A16170" s="86" t="str">
        <f>IFERROR(__xludf.DUMMYFUNCTION("""COMPUTED_VALUE"""),"")</f>
        <v/>
      </c>
      <c r="B16170" s="87"/>
      <c r="C16170" s="87"/>
      <c r="D16170" s="87"/>
      <c r="E16170" s="87"/>
      <c r="F16170" s="87"/>
      <c r="G16170" s="87"/>
    </row>
    <row r="16171">
      <c r="A16171" s="86" t="str">
        <f>IFERROR(__xludf.DUMMYFUNCTION("""COMPUTED_VALUE"""),"")</f>
        <v/>
      </c>
      <c r="B16171" s="87"/>
      <c r="C16171" s="87"/>
      <c r="D16171" s="87"/>
      <c r="E16171" s="87"/>
      <c r="F16171" s="87"/>
      <c r="G16171" s="87"/>
    </row>
    <row r="16172">
      <c r="A16172" s="86" t="str">
        <f>IFERROR(__xludf.DUMMYFUNCTION("""COMPUTED_VALUE"""),"")</f>
        <v/>
      </c>
      <c r="B16172" s="87"/>
      <c r="C16172" s="87"/>
      <c r="D16172" s="87"/>
      <c r="E16172" s="87"/>
      <c r="F16172" s="87"/>
      <c r="G16172" s="87"/>
    </row>
    <row r="16173">
      <c r="A16173" s="86" t="str">
        <f>IFERROR(__xludf.DUMMYFUNCTION("""COMPUTED_VALUE"""),"")</f>
        <v/>
      </c>
      <c r="B16173" s="87"/>
      <c r="C16173" s="87"/>
      <c r="D16173" s="87"/>
      <c r="E16173" s="87"/>
      <c r="F16173" s="87"/>
      <c r="G16173" s="87"/>
    </row>
    <row r="16174">
      <c r="A16174" s="86" t="str">
        <f>IFERROR(__xludf.DUMMYFUNCTION("""COMPUTED_VALUE"""),"")</f>
        <v/>
      </c>
      <c r="B16174" s="87"/>
      <c r="C16174" s="87"/>
      <c r="D16174" s="87"/>
      <c r="E16174" s="87"/>
      <c r="F16174" s="87"/>
      <c r="G16174" s="87"/>
    </row>
    <row r="16175">
      <c r="A16175" s="86" t="str">
        <f>IFERROR(__xludf.DUMMYFUNCTION("""COMPUTED_VALUE"""),"")</f>
        <v/>
      </c>
      <c r="B16175" s="87"/>
      <c r="C16175" s="87"/>
      <c r="D16175" s="87"/>
      <c r="E16175" s="87"/>
      <c r="F16175" s="87"/>
      <c r="G16175" s="87"/>
    </row>
    <row r="16176">
      <c r="A16176" s="86" t="str">
        <f>IFERROR(__xludf.DUMMYFUNCTION("""COMPUTED_VALUE"""),"")</f>
        <v/>
      </c>
      <c r="B16176" s="87"/>
      <c r="C16176" s="87"/>
      <c r="D16176" s="87"/>
      <c r="E16176" s="87"/>
      <c r="F16176" s="87"/>
      <c r="G16176" s="87"/>
    </row>
    <row r="16177">
      <c r="A16177" s="86" t="str">
        <f>IFERROR(__xludf.DUMMYFUNCTION("""COMPUTED_VALUE"""),"")</f>
        <v/>
      </c>
      <c r="B16177" s="87"/>
      <c r="C16177" s="87"/>
      <c r="D16177" s="87"/>
      <c r="E16177" s="87"/>
      <c r="F16177" s="87"/>
      <c r="G16177" s="87"/>
    </row>
    <row r="16178">
      <c r="A16178" s="86" t="str">
        <f>IFERROR(__xludf.DUMMYFUNCTION("""COMPUTED_VALUE"""),"")</f>
        <v/>
      </c>
      <c r="B16178" s="87"/>
      <c r="C16178" s="87"/>
      <c r="D16178" s="87"/>
      <c r="E16178" s="87"/>
      <c r="F16178" s="87"/>
      <c r="G16178" s="87"/>
    </row>
    <row r="16179">
      <c r="A16179" s="86" t="str">
        <f>IFERROR(__xludf.DUMMYFUNCTION("""COMPUTED_VALUE"""),"")</f>
        <v/>
      </c>
      <c r="B16179" s="87"/>
      <c r="C16179" s="87"/>
      <c r="D16179" s="87"/>
      <c r="E16179" s="87"/>
      <c r="F16179" s="87"/>
      <c r="G16179" s="87"/>
    </row>
    <row r="16180">
      <c r="A16180" s="86" t="str">
        <f>IFERROR(__xludf.DUMMYFUNCTION("""COMPUTED_VALUE"""),"")</f>
        <v/>
      </c>
      <c r="B16180" s="87"/>
      <c r="C16180" s="87"/>
      <c r="D16180" s="87"/>
      <c r="E16180" s="87"/>
      <c r="F16180" s="87"/>
      <c r="G16180" s="87"/>
    </row>
    <row r="16181">
      <c r="A16181" s="86" t="str">
        <f>IFERROR(__xludf.DUMMYFUNCTION("""COMPUTED_VALUE"""),"")</f>
        <v/>
      </c>
      <c r="B16181" s="87"/>
      <c r="C16181" s="87"/>
      <c r="D16181" s="87"/>
      <c r="E16181" s="87"/>
      <c r="F16181" s="87"/>
      <c r="G16181" s="87"/>
    </row>
    <row r="16182">
      <c r="A16182" s="86" t="str">
        <f>IFERROR(__xludf.DUMMYFUNCTION("""COMPUTED_VALUE"""),"")</f>
        <v/>
      </c>
      <c r="B16182" s="87"/>
      <c r="C16182" s="87"/>
      <c r="D16182" s="87"/>
      <c r="E16182" s="87"/>
      <c r="F16182" s="87"/>
      <c r="G16182" s="87"/>
    </row>
    <row r="16183">
      <c r="A16183" s="86" t="str">
        <f>IFERROR(__xludf.DUMMYFUNCTION("""COMPUTED_VALUE"""),"")</f>
        <v/>
      </c>
      <c r="B16183" s="87"/>
      <c r="C16183" s="87"/>
      <c r="D16183" s="87"/>
      <c r="E16183" s="87"/>
      <c r="F16183" s="87"/>
      <c r="G16183" s="87"/>
    </row>
    <row r="16184">
      <c r="A16184" s="86" t="str">
        <f>IFERROR(__xludf.DUMMYFUNCTION("""COMPUTED_VALUE"""),"")</f>
        <v/>
      </c>
      <c r="B16184" s="87"/>
      <c r="C16184" s="87"/>
      <c r="D16184" s="87"/>
      <c r="E16184" s="87"/>
      <c r="F16184" s="87"/>
      <c r="G16184" s="87"/>
    </row>
    <row r="16185">
      <c r="A16185" s="86" t="str">
        <f>IFERROR(__xludf.DUMMYFUNCTION("""COMPUTED_VALUE"""),"")</f>
        <v/>
      </c>
      <c r="B16185" s="87"/>
      <c r="C16185" s="87"/>
      <c r="D16185" s="87"/>
      <c r="E16185" s="87"/>
      <c r="F16185" s="87"/>
      <c r="G16185" s="87"/>
    </row>
    <row r="16186">
      <c r="A16186" s="86" t="str">
        <f>IFERROR(__xludf.DUMMYFUNCTION("""COMPUTED_VALUE"""),"")</f>
        <v/>
      </c>
      <c r="B16186" s="87"/>
      <c r="C16186" s="87"/>
      <c r="D16186" s="87"/>
      <c r="E16186" s="87"/>
      <c r="F16186" s="87"/>
      <c r="G16186" s="87"/>
    </row>
    <row r="16187">
      <c r="A16187" s="86" t="str">
        <f>IFERROR(__xludf.DUMMYFUNCTION("""COMPUTED_VALUE"""),"")</f>
        <v/>
      </c>
      <c r="B16187" s="87"/>
      <c r="C16187" s="87"/>
      <c r="D16187" s="87"/>
      <c r="E16187" s="87"/>
      <c r="F16187" s="87"/>
      <c r="G16187" s="87"/>
    </row>
    <row r="16188">
      <c r="A16188" s="86" t="str">
        <f>IFERROR(__xludf.DUMMYFUNCTION("""COMPUTED_VALUE"""),"")</f>
        <v/>
      </c>
      <c r="B16188" s="87"/>
      <c r="C16188" s="87"/>
      <c r="D16188" s="87"/>
      <c r="E16188" s="87"/>
      <c r="F16188" s="87"/>
      <c r="G16188" s="87"/>
    </row>
    <row r="16189">
      <c r="A16189" s="86" t="str">
        <f>IFERROR(__xludf.DUMMYFUNCTION("""COMPUTED_VALUE"""),"")</f>
        <v/>
      </c>
      <c r="B16189" s="87"/>
      <c r="C16189" s="87"/>
      <c r="D16189" s="87"/>
      <c r="E16189" s="87"/>
      <c r="F16189" s="87"/>
      <c r="G16189" s="87"/>
    </row>
    <row r="16190">
      <c r="A16190" s="86" t="str">
        <f>IFERROR(__xludf.DUMMYFUNCTION("""COMPUTED_VALUE"""),"")</f>
        <v/>
      </c>
      <c r="B16190" s="87"/>
      <c r="C16190" s="87"/>
      <c r="D16190" s="87"/>
      <c r="E16190" s="87"/>
      <c r="F16190" s="87"/>
      <c r="G16190" s="87"/>
    </row>
    <row r="16191">
      <c r="A16191" s="86" t="str">
        <f>IFERROR(__xludf.DUMMYFUNCTION("""COMPUTED_VALUE"""),"")</f>
        <v/>
      </c>
      <c r="B16191" s="87"/>
      <c r="C16191" s="87"/>
      <c r="D16191" s="87"/>
      <c r="E16191" s="87"/>
      <c r="F16191" s="87"/>
      <c r="G16191" s="87"/>
    </row>
    <row r="16192">
      <c r="A16192" s="86" t="str">
        <f>IFERROR(__xludf.DUMMYFUNCTION("""COMPUTED_VALUE"""),"")</f>
        <v/>
      </c>
      <c r="B16192" s="87"/>
      <c r="C16192" s="87"/>
      <c r="D16192" s="87"/>
      <c r="E16192" s="87"/>
      <c r="F16192" s="87"/>
      <c r="G16192" s="87"/>
    </row>
    <row r="16193">
      <c r="A16193" s="86" t="str">
        <f>IFERROR(__xludf.DUMMYFUNCTION("""COMPUTED_VALUE"""),"")</f>
        <v/>
      </c>
      <c r="B16193" s="87"/>
      <c r="C16193" s="87"/>
      <c r="D16193" s="87"/>
      <c r="E16193" s="87"/>
      <c r="F16193" s="87"/>
      <c r="G16193" s="87"/>
    </row>
    <row r="16194">
      <c r="A16194" s="86" t="str">
        <f>IFERROR(__xludf.DUMMYFUNCTION("""COMPUTED_VALUE"""),"")</f>
        <v/>
      </c>
      <c r="B16194" s="87"/>
      <c r="C16194" s="87"/>
      <c r="D16194" s="87"/>
      <c r="E16194" s="87"/>
      <c r="F16194" s="87"/>
      <c r="G16194" s="87"/>
    </row>
    <row r="16195">
      <c r="A16195" s="86" t="str">
        <f>IFERROR(__xludf.DUMMYFUNCTION("""COMPUTED_VALUE"""),"")</f>
        <v/>
      </c>
      <c r="B16195" s="87"/>
      <c r="C16195" s="87"/>
      <c r="D16195" s="87"/>
      <c r="E16195" s="87"/>
      <c r="F16195" s="87"/>
      <c r="G16195" s="87"/>
    </row>
    <row r="16196">
      <c r="A16196" s="86" t="str">
        <f>IFERROR(__xludf.DUMMYFUNCTION("""COMPUTED_VALUE"""),"")</f>
        <v/>
      </c>
      <c r="B16196" s="87"/>
      <c r="C16196" s="87"/>
      <c r="D16196" s="87"/>
      <c r="E16196" s="87"/>
      <c r="F16196" s="87"/>
      <c r="G16196" s="87"/>
    </row>
    <row r="16197">
      <c r="A16197" s="86" t="str">
        <f>IFERROR(__xludf.DUMMYFUNCTION("""COMPUTED_VALUE"""),"")</f>
        <v/>
      </c>
      <c r="B16197" s="87"/>
      <c r="C16197" s="87"/>
      <c r="D16197" s="87"/>
      <c r="E16197" s="87"/>
      <c r="F16197" s="87"/>
      <c r="G16197" s="87"/>
    </row>
    <row r="16198">
      <c r="A16198" s="86" t="str">
        <f>IFERROR(__xludf.DUMMYFUNCTION("""COMPUTED_VALUE"""),"")</f>
        <v/>
      </c>
      <c r="B16198" s="87"/>
      <c r="C16198" s="87"/>
      <c r="D16198" s="87"/>
      <c r="E16198" s="87"/>
      <c r="F16198" s="87"/>
      <c r="G16198" s="87"/>
    </row>
    <row r="16199">
      <c r="A16199" s="86" t="str">
        <f>IFERROR(__xludf.DUMMYFUNCTION("""COMPUTED_VALUE"""),"")</f>
        <v/>
      </c>
      <c r="B16199" s="87"/>
      <c r="C16199" s="87"/>
      <c r="D16199" s="87"/>
      <c r="E16199" s="87"/>
      <c r="F16199" s="87"/>
      <c r="G16199" s="87"/>
    </row>
    <row r="16200">
      <c r="A16200" s="86" t="str">
        <f>IFERROR(__xludf.DUMMYFUNCTION("""COMPUTED_VALUE"""),"")</f>
        <v/>
      </c>
      <c r="B16200" s="87"/>
      <c r="C16200" s="87"/>
      <c r="D16200" s="87"/>
      <c r="E16200" s="87"/>
      <c r="F16200" s="87"/>
      <c r="G16200" s="87"/>
    </row>
    <row r="16201">
      <c r="A16201" s="86" t="str">
        <f>IFERROR(__xludf.DUMMYFUNCTION("""COMPUTED_VALUE"""),"")</f>
        <v/>
      </c>
      <c r="B16201" s="87"/>
      <c r="C16201" s="87"/>
      <c r="D16201" s="87"/>
      <c r="E16201" s="87"/>
      <c r="F16201" s="87"/>
      <c r="G16201" s="87"/>
    </row>
    <row r="16202">
      <c r="A16202" s="86" t="str">
        <f>IFERROR(__xludf.DUMMYFUNCTION("""COMPUTED_VALUE"""),"")</f>
        <v/>
      </c>
      <c r="B16202" s="87"/>
      <c r="C16202" s="87"/>
      <c r="D16202" s="87"/>
      <c r="E16202" s="87"/>
      <c r="F16202" s="87"/>
      <c r="G16202" s="87"/>
    </row>
    <row r="16203">
      <c r="A16203" s="86" t="str">
        <f>IFERROR(__xludf.DUMMYFUNCTION("""COMPUTED_VALUE"""),"")</f>
        <v/>
      </c>
      <c r="B16203" s="87"/>
      <c r="C16203" s="87"/>
      <c r="D16203" s="87"/>
      <c r="E16203" s="87"/>
      <c r="F16203" s="87"/>
      <c r="G16203" s="87"/>
    </row>
    <row r="16204">
      <c r="A16204" s="86" t="str">
        <f>IFERROR(__xludf.DUMMYFUNCTION("""COMPUTED_VALUE"""),"")</f>
        <v/>
      </c>
      <c r="B16204" s="87"/>
      <c r="C16204" s="87"/>
      <c r="D16204" s="87"/>
      <c r="E16204" s="87"/>
      <c r="F16204" s="87"/>
      <c r="G16204" s="87"/>
    </row>
    <row r="16205">
      <c r="A16205" s="86" t="str">
        <f>IFERROR(__xludf.DUMMYFUNCTION("""COMPUTED_VALUE"""),"")</f>
        <v/>
      </c>
      <c r="B16205" s="87"/>
      <c r="C16205" s="87"/>
      <c r="D16205" s="87"/>
      <c r="E16205" s="87"/>
      <c r="F16205" s="87"/>
      <c r="G16205" s="87"/>
    </row>
    <row r="16206">
      <c r="A16206" s="86" t="str">
        <f>IFERROR(__xludf.DUMMYFUNCTION("""COMPUTED_VALUE"""),"")</f>
        <v/>
      </c>
      <c r="B16206" s="87"/>
      <c r="C16206" s="87"/>
      <c r="D16206" s="87"/>
      <c r="E16206" s="87"/>
      <c r="F16206" s="87"/>
      <c r="G16206" s="87"/>
    </row>
    <row r="16207">
      <c r="A16207" s="86" t="str">
        <f>IFERROR(__xludf.DUMMYFUNCTION("""COMPUTED_VALUE"""),"")</f>
        <v/>
      </c>
      <c r="B16207" s="87"/>
      <c r="C16207" s="87"/>
      <c r="D16207" s="87"/>
      <c r="E16207" s="87"/>
      <c r="F16207" s="87"/>
      <c r="G16207" s="87"/>
    </row>
    <row r="16208">
      <c r="A16208" s="86" t="str">
        <f>IFERROR(__xludf.DUMMYFUNCTION("""COMPUTED_VALUE"""),"")</f>
        <v/>
      </c>
      <c r="B16208" s="87"/>
      <c r="C16208" s="87"/>
      <c r="D16208" s="87"/>
      <c r="E16208" s="87"/>
      <c r="F16208" s="87"/>
      <c r="G16208" s="87"/>
    </row>
    <row r="16209">
      <c r="A16209" s="86" t="str">
        <f>IFERROR(__xludf.DUMMYFUNCTION("""COMPUTED_VALUE"""),"")</f>
        <v/>
      </c>
      <c r="B16209" s="87"/>
      <c r="C16209" s="87"/>
      <c r="D16209" s="87"/>
      <c r="E16209" s="87"/>
      <c r="F16209" s="87"/>
      <c r="G16209" s="87"/>
    </row>
    <row r="16210">
      <c r="A16210" s="86" t="str">
        <f>IFERROR(__xludf.DUMMYFUNCTION("""COMPUTED_VALUE"""),"")</f>
        <v/>
      </c>
      <c r="B16210" s="87"/>
      <c r="C16210" s="87"/>
      <c r="D16210" s="87"/>
      <c r="E16210" s="87"/>
      <c r="F16210" s="87"/>
      <c r="G16210" s="87"/>
    </row>
    <row r="16211">
      <c r="A16211" s="86" t="str">
        <f>IFERROR(__xludf.DUMMYFUNCTION("""COMPUTED_VALUE"""),"")</f>
        <v/>
      </c>
      <c r="B16211" s="87"/>
      <c r="C16211" s="87"/>
      <c r="D16211" s="87"/>
      <c r="E16211" s="87"/>
      <c r="F16211" s="87"/>
      <c r="G16211" s="87"/>
    </row>
    <row r="16212">
      <c r="A16212" s="86" t="str">
        <f>IFERROR(__xludf.DUMMYFUNCTION("""COMPUTED_VALUE"""),"")</f>
        <v/>
      </c>
      <c r="B16212" s="87"/>
      <c r="C16212" s="87"/>
      <c r="D16212" s="87"/>
      <c r="E16212" s="87"/>
      <c r="F16212" s="87"/>
      <c r="G16212" s="87"/>
    </row>
    <row r="16213">
      <c r="A16213" s="86" t="str">
        <f>IFERROR(__xludf.DUMMYFUNCTION("""COMPUTED_VALUE"""),"")</f>
        <v/>
      </c>
      <c r="B16213" s="87"/>
      <c r="C16213" s="87"/>
      <c r="D16213" s="87"/>
      <c r="E16213" s="87"/>
      <c r="F16213" s="87"/>
      <c r="G16213" s="87"/>
    </row>
    <row r="16214">
      <c r="A16214" s="86" t="str">
        <f>IFERROR(__xludf.DUMMYFUNCTION("""COMPUTED_VALUE"""),"")</f>
        <v/>
      </c>
      <c r="B16214" s="87"/>
      <c r="C16214" s="87"/>
      <c r="D16214" s="87"/>
      <c r="E16214" s="87"/>
      <c r="F16214" s="87"/>
      <c r="G16214" s="87"/>
    </row>
    <row r="16215">
      <c r="A16215" s="86" t="str">
        <f>IFERROR(__xludf.DUMMYFUNCTION("""COMPUTED_VALUE"""),"")</f>
        <v/>
      </c>
      <c r="B16215" s="87"/>
      <c r="C16215" s="87"/>
      <c r="D16215" s="87"/>
      <c r="E16215" s="87"/>
      <c r="F16215" s="87"/>
      <c r="G16215" s="87"/>
    </row>
    <row r="16216">
      <c r="A16216" s="86" t="str">
        <f>IFERROR(__xludf.DUMMYFUNCTION("""COMPUTED_VALUE"""),"")</f>
        <v/>
      </c>
      <c r="B16216" s="87"/>
      <c r="C16216" s="87"/>
      <c r="D16216" s="87"/>
      <c r="E16216" s="87"/>
      <c r="F16216" s="87"/>
      <c r="G16216" s="87"/>
    </row>
    <row r="16217">
      <c r="A16217" s="86" t="str">
        <f>IFERROR(__xludf.DUMMYFUNCTION("""COMPUTED_VALUE"""),"")</f>
        <v/>
      </c>
      <c r="B16217" s="87"/>
      <c r="C16217" s="87"/>
      <c r="D16217" s="87"/>
      <c r="E16217" s="87"/>
      <c r="F16217" s="87"/>
      <c r="G16217" s="87"/>
    </row>
    <row r="16218">
      <c r="A16218" s="86" t="str">
        <f>IFERROR(__xludf.DUMMYFUNCTION("""COMPUTED_VALUE"""),"")</f>
        <v/>
      </c>
      <c r="B16218" s="87"/>
      <c r="C16218" s="87"/>
      <c r="D16218" s="87"/>
      <c r="E16218" s="87"/>
      <c r="F16218" s="87"/>
      <c r="G16218" s="87"/>
    </row>
    <row r="16219">
      <c r="A16219" s="86" t="str">
        <f>IFERROR(__xludf.DUMMYFUNCTION("""COMPUTED_VALUE"""),"")</f>
        <v/>
      </c>
      <c r="B16219" s="87"/>
      <c r="C16219" s="87"/>
      <c r="D16219" s="87"/>
      <c r="E16219" s="87"/>
      <c r="F16219" s="87"/>
      <c r="G16219" s="87"/>
    </row>
    <row r="16220">
      <c r="A16220" s="86" t="str">
        <f>IFERROR(__xludf.DUMMYFUNCTION("""COMPUTED_VALUE"""),"")</f>
        <v/>
      </c>
      <c r="B16220" s="87"/>
      <c r="C16220" s="87"/>
      <c r="D16220" s="87"/>
      <c r="E16220" s="87"/>
      <c r="F16220" s="87"/>
      <c r="G16220" s="87"/>
    </row>
    <row r="16221">
      <c r="A16221" s="86" t="str">
        <f>IFERROR(__xludf.DUMMYFUNCTION("""COMPUTED_VALUE"""),"")</f>
        <v/>
      </c>
      <c r="B16221" s="87"/>
      <c r="C16221" s="87"/>
      <c r="D16221" s="87"/>
      <c r="E16221" s="87"/>
      <c r="F16221" s="87"/>
      <c r="G16221" s="87"/>
    </row>
    <row r="16222">
      <c r="A16222" s="86" t="str">
        <f>IFERROR(__xludf.DUMMYFUNCTION("""COMPUTED_VALUE"""),"")</f>
        <v/>
      </c>
      <c r="B16222" s="87"/>
      <c r="C16222" s="87"/>
      <c r="D16222" s="87"/>
      <c r="E16222" s="87"/>
      <c r="F16222" s="87"/>
      <c r="G16222" s="87"/>
    </row>
    <row r="16223">
      <c r="A16223" s="86" t="str">
        <f>IFERROR(__xludf.DUMMYFUNCTION("""COMPUTED_VALUE"""),"")</f>
        <v/>
      </c>
      <c r="B16223" s="87"/>
      <c r="C16223" s="87"/>
      <c r="D16223" s="87"/>
      <c r="E16223" s="87"/>
      <c r="F16223" s="87"/>
      <c r="G16223" s="87"/>
    </row>
    <row r="16224">
      <c r="A16224" s="86" t="str">
        <f>IFERROR(__xludf.DUMMYFUNCTION("""COMPUTED_VALUE"""),"")</f>
        <v/>
      </c>
      <c r="B16224" s="87"/>
      <c r="C16224" s="87"/>
      <c r="D16224" s="87"/>
      <c r="E16224" s="87"/>
      <c r="F16224" s="87"/>
      <c r="G16224" s="87"/>
    </row>
    <row r="16225">
      <c r="A16225" s="86" t="str">
        <f>IFERROR(__xludf.DUMMYFUNCTION("""COMPUTED_VALUE"""),"")</f>
        <v/>
      </c>
      <c r="B16225" s="87"/>
      <c r="C16225" s="87"/>
      <c r="D16225" s="87"/>
      <c r="E16225" s="87"/>
      <c r="F16225" s="87"/>
      <c r="G16225" s="87"/>
    </row>
    <row r="16226">
      <c r="A16226" s="86" t="str">
        <f>IFERROR(__xludf.DUMMYFUNCTION("""COMPUTED_VALUE"""),"")</f>
        <v/>
      </c>
      <c r="B16226" s="87"/>
      <c r="C16226" s="87"/>
      <c r="D16226" s="87"/>
      <c r="E16226" s="87"/>
      <c r="F16226" s="87"/>
      <c r="G16226" s="87"/>
    </row>
    <row r="16227">
      <c r="A16227" s="86" t="str">
        <f>IFERROR(__xludf.DUMMYFUNCTION("""COMPUTED_VALUE"""),"")</f>
        <v/>
      </c>
      <c r="B16227" s="87"/>
      <c r="C16227" s="87"/>
      <c r="D16227" s="87"/>
      <c r="E16227" s="87"/>
      <c r="F16227" s="87"/>
      <c r="G16227" s="87"/>
    </row>
    <row r="16228">
      <c r="A16228" s="86" t="str">
        <f>IFERROR(__xludf.DUMMYFUNCTION("""COMPUTED_VALUE"""),"")</f>
        <v/>
      </c>
      <c r="B16228" s="87"/>
      <c r="C16228" s="87"/>
      <c r="D16228" s="87"/>
      <c r="E16228" s="87"/>
      <c r="F16228" s="87"/>
      <c r="G16228" s="87"/>
    </row>
    <row r="16229">
      <c r="A16229" s="86" t="str">
        <f>IFERROR(__xludf.DUMMYFUNCTION("""COMPUTED_VALUE"""),"")</f>
        <v/>
      </c>
      <c r="B16229" s="87"/>
      <c r="C16229" s="87"/>
      <c r="D16229" s="87"/>
      <c r="E16229" s="87"/>
      <c r="F16229" s="87"/>
      <c r="G16229" s="87"/>
    </row>
    <row r="16230">
      <c r="A16230" s="86" t="str">
        <f>IFERROR(__xludf.DUMMYFUNCTION("""COMPUTED_VALUE"""),"")</f>
        <v/>
      </c>
      <c r="B16230" s="87"/>
      <c r="C16230" s="87"/>
      <c r="D16230" s="87"/>
      <c r="E16230" s="87"/>
      <c r="F16230" s="87"/>
      <c r="G16230" s="87"/>
    </row>
    <row r="16231">
      <c r="A16231" s="86" t="str">
        <f>IFERROR(__xludf.DUMMYFUNCTION("""COMPUTED_VALUE"""),"")</f>
        <v/>
      </c>
      <c r="B16231" s="87"/>
      <c r="C16231" s="87"/>
      <c r="D16231" s="87"/>
      <c r="E16231" s="87"/>
      <c r="F16231" s="87"/>
      <c r="G16231" s="87"/>
    </row>
    <row r="16232">
      <c r="A16232" s="86" t="str">
        <f>IFERROR(__xludf.DUMMYFUNCTION("""COMPUTED_VALUE"""),"")</f>
        <v/>
      </c>
      <c r="B16232" s="87"/>
      <c r="C16232" s="87"/>
      <c r="D16232" s="87"/>
      <c r="E16232" s="87"/>
      <c r="F16232" s="87"/>
      <c r="G16232" s="87"/>
    </row>
    <row r="16233">
      <c r="A16233" s="86" t="str">
        <f>IFERROR(__xludf.DUMMYFUNCTION("""COMPUTED_VALUE"""),"")</f>
        <v/>
      </c>
      <c r="B16233" s="87"/>
      <c r="C16233" s="87"/>
      <c r="D16233" s="87"/>
      <c r="E16233" s="87"/>
      <c r="F16233" s="87"/>
      <c r="G16233" s="87"/>
    </row>
    <row r="16234">
      <c r="A16234" s="86" t="str">
        <f>IFERROR(__xludf.DUMMYFUNCTION("""COMPUTED_VALUE"""),"")</f>
        <v/>
      </c>
      <c r="B16234" s="87"/>
      <c r="C16234" s="87"/>
      <c r="D16234" s="87"/>
      <c r="E16234" s="87"/>
      <c r="F16234" s="87"/>
      <c r="G16234" s="87"/>
    </row>
    <row r="16235">
      <c r="A16235" s="86" t="str">
        <f>IFERROR(__xludf.DUMMYFUNCTION("""COMPUTED_VALUE"""),"")</f>
        <v/>
      </c>
      <c r="B16235" s="87"/>
      <c r="C16235" s="87"/>
      <c r="D16235" s="87"/>
      <c r="E16235" s="87"/>
      <c r="F16235" s="87"/>
      <c r="G16235" s="87"/>
    </row>
    <row r="16236">
      <c r="A16236" s="86" t="str">
        <f>IFERROR(__xludf.DUMMYFUNCTION("""COMPUTED_VALUE"""),"")</f>
        <v/>
      </c>
      <c r="B16236" s="87"/>
      <c r="C16236" s="87"/>
      <c r="D16236" s="87"/>
      <c r="E16236" s="87"/>
      <c r="F16236" s="87"/>
      <c r="G16236" s="87"/>
    </row>
    <row r="16237">
      <c r="A16237" s="86" t="str">
        <f>IFERROR(__xludf.DUMMYFUNCTION("""COMPUTED_VALUE"""),"")</f>
        <v/>
      </c>
      <c r="B16237" s="87"/>
      <c r="C16237" s="87"/>
      <c r="D16237" s="87"/>
      <c r="E16237" s="87"/>
      <c r="F16237" s="87"/>
      <c r="G16237" s="87"/>
    </row>
    <row r="16238">
      <c r="A16238" s="86" t="str">
        <f>IFERROR(__xludf.DUMMYFUNCTION("""COMPUTED_VALUE"""),"")</f>
        <v/>
      </c>
      <c r="B16238" s="87"/>
      <c r="C16238" s="87"/>
      <c r="D16238" s="87"/>
      <c r="E16238" s="87"/>
      <c r="F16238" s="87"/>
      <c r="G16238" s="87"/>
    </row>
    <row r="16239">
      <c r="A16239" s="86" t="str">
        <f>IFERROR(__xludf.DUMMYFUNCTION("""COMPUTED_VALUE"""),"")</f>
        <v/>
      </c>
      <c r="B16239" s="87"/>
      <c r="C16239" s="87"/>
      <c r="D16239" s="87"/>
      <c r="E16239" s="87"/>
      <c r="F16239" s="87"/>
      <c r="G16239" s="87"/>
    </row>
    <row r="16240">
      <c r="A16240" s="86" t="str">
        <f>IFERROR(__xludf.DUMMYFUNCTION("""COMPUTED_VALUE"""),"")</f>
        <v/>
      </c>
      <c r="B16240" s="87"/>
      <c r="C16240" s="87"/>
      <c r="D16240" s="87"/>
      <c r="E16240" s="87"/>
      <c r="F16240" s="87"/>
      <c r="G16240" s="87"/>
    </row>
    <row r="16241">
      <c r="A16241" s="86" t="str">
        <f>IFERROR(__xludf.DUMMYFUNCTION("""COMPUTED_VALUE"""),"")</f>
        <v/>
      </c>
      <c r="B16241" s="87"/>
      <c r="C16241" s="87"/>
      <c r="D16241" s="87"/>
      <c r="E16241" s="87"/>
      <c r="F16241" s="87"/>
      <c r="G16241" s="87"/>
    </row>
    <row r="16242">
      <c r="A16242" s="86" t="str">
        <f>IFERROR(__xludf.DUMMYFUNCTION("""COMPUTED_VALUE"""),"")</f>
        <v/>
      </c>
      <c r="B16242" s="87"/>
      <c r="C16242" s="87"/>
      <c r="D16242" s="87"/>
      <c r="E16242" s="87"/>
      <c r="F16242" s="87"/>
      <c r="G16242" s="87"/>
    </row>
    <row r="16243">
      <c r="A16243" s="86" t="str">
        <f>IFERROR(__xludf.DUMMYFUNCTION("""COMPUTED_VALUE"""),"")</f>
        <v/>
      </c>
      <c r="B16243" s="87"/>
      <c r="C16243" s="87"/>
      <c r="D16243" s="87"/>
      <c r="E16243" s="87"/>
      <c r="F16243" s="87"/>
      <c r="G16243" s="87"/>
    </row>
    <row r="16244">
      <c r="A16244" s="86" t="str">
        <f>IFERROR(__xludf.DUMMYFUNCTION("""COMPUTED_VALUE"""),"")</f>
        <v/>
      </c>
      <c r="B16244" s="87"/>
      <c r="C16244" s="87"/>
      <c r="D16244" s="87"/>
      <c r="E16244" s="87"/>
      <c r="F16244" s="87"/>
      <c r="G16244" s="87"/>
    </row>
    <row r="16245">
      <c r="A16245" s="86" t="str">
        <f>IFERROR(__xludf.DUMMYFUNCTION("""COMPUTED_VALUE"""),"")</f>
        <v/>
      </c>
      <c r="B16245" s="87"/>
      <c r="C16245" s="87"/>
      <c r="D16245" s="87"/>
      <c r="E16245" s="87"/>
      <c r="F16245" s="87"/>
      <c r="G16245" s="87"/>
    </row>
    <row r="16246">
      <c r="A16246" s="86" t="str">
        <f>IFERROR(__xludf.DUMMYFUNCTION("""COMPUTED_VALUE"""),"")</f>
        <v/>
      </c>
      <c r="B16246" s="87"/>
      <c r="C16246" s="87"/>
      <c r="D16246" s="87"/>
      <c r="E16246" s="87"/>
      <c r="F16246" s="87"/>
      <c r="G16246" s="87"/>
    </row>
    <row r="16247">
      <c r="A16247" s="86" t="str">
        <f>IFERROR(__xludf.DUMMYFUNCTION("""COMPUTED_VALUE"""),"")</f>
        <v/>
      </c>
      <c r="B16247" s="87"/>
      <c r="C16247" s="87"/>
      <c r="D16247" s="87"/>
      <c r="E16247" s="87"/>
      <c r="F16247" s="87"/>
      <c r="G16247" s="87"/>
    </row>
    <row r="16248">
      <c r="A16248" s="86" t="str">
        <f>IFERROR(__xludf.DUMMYFUNCTION("""COMPUTED_VALUE"""),"")</f>
        <v/>
      </c>
      <c r="B16248" s="87"/>
      <c r="C16248" s="87"/>
      <c r="D16248" s="87"/>
      <c r="E16248" s="87"/>
      <c r="F16248" s="87"/>
      <c r="G16248" s="87"/>
    </row>
    <row r="16249">
      <c r="A16249" s="86" t="str">
        <f>IFERROR(__xludf.DUMMYFUNCTION("""COMPUTED_VALUE"""),"")</f>
        <v/>
      </c>
      <c r="B16249" s="87"/>
      <c r="C16249" s="87"/>
      <c r="D16249" s="87"/>
      <c r="E16249" s="87"/>
      <c r="F16249" s="87"/>
      <c r="G16249" s="87"/>
    </row>
    <row r="16250">
      <c r="A16250" s="86" t="str">
        <f>IFERROR(__xludf.DUMMYFUNCTION("""COMPUTED_VALUE"""),"")</f>
        <v/>
      </c>
      <c r="B16250" s="87"/>
      <c r="C16250" s="87"/>
      <c r="D16250" s="87"/>
      <c r="E16250" s="87"/>
      <c r="F16250" s="87"/>
      <c r="G16250" s="87"/>
    </row>
    <row r="16251">
      <c r="A16251" s="86" t="str">
        <f>IFERROR(__xludf.DUMMYFUNCTION("""COMPUTED_VALUE"""),"")</f>
        <v/>
      </c>
      <c r="B16251" s="87"/>
      <c r="C16251" s="87"/>
      <c r="D16251" s="87"/>
      <c r="E16251" s="87"/>
      <c r="F16251" s="87"/>
      <c r="G16251" s="87"/>
    </row>
    <row r="16252">
      <c r="A16252" s="86" t="str">
        <f>IFERROR(__xludf.DUMMYFUNCTION("""COMPUTED_VALUE"""),"")</f>
        <v/>
      </c>
      <c r="B16252" s="87"/>
      <c r="C16252" s="87"/>
      <c r="D16252" s="87"/>
      <c r="E16252" s="87"/>
      <c r="F16252" s="87"/>
      <c r="G16252" s="87"/>
    </row>
    <row r="16253">
      <c r="A16253" s="86" t="str">
        <f>IFERROR(__xludf.DUMMYFUNCTION("""COMPUTED_VALUE"""),"")</f>
        <v/>
      </c>
      <c r="B16253" s="87"/>
      <c r="C16253" s="87"/>
      <c r="D16253" s="87"/>
      <c r="E16253" s="87"/>
      <c r="F16253" s="87"/>
      <c r="G16253" s="87"/>
    </row>
    <row r="16254">
      <c r="A16254" s="86" t="str">
        <f>IFERROR(__xludf.DUMMYFUNCTION("""COMPUTED_VALUE"""),"")</f>
        <v/>
      </c>
      <c r="B16254" s="87"/>
      <c r="C16254" s="87"/>
      <c r="D16254" s="87"/>
      <c r="E16254" s="87"/>
      <c r="F16254" s="87"/>
      <c r="G16254" s="87"/>
    </row>
    <row r="16255">
      <c r="A16255" s="86" t="str">
        <f>IFERROR(__xludf.DUMMYFUNCTION("""COMPUTED_VALUE"""),"")</f>
        <v/>
      </c>
      <c r="B16255" s="87"/>
      <c r="C16255" s="87"/>
      <c r="D16255" s="87"/>
      <c r="E16255" s="87"/>
      <c r="F16255" s="87"/>
      <c r="G16255" s="87"/>
    </row>
    <row r="16256">
      <c r="A16256" s="86" t="str">
        <f>IFERROR(__xludf.DUMMYFUNCTION("""COMPUTED_VALUE"""),"")</f>
        <v/>
      </c>
      <c r="B16256" s="87"/>
      <c r="C16256" s="87"/>
      <c r="D16256" s="87"/>
      <c r="E16256" s="87"/>
      <c r="F16256" s="87"/>
      <c r="G16256" s="87"/>
    </row>
    <row r="16257">
      <c r="A16257" s="86" t="str">
        <f>IFERROR(__xludf.DUMMYFUNCTION("""COMPUTED_VALUE"""),"")</f>
        <v/>
      </c>
      <c r="B16257" s="87"/>
      <c r="C16257" s="87"/>
      <c r="D16257" s="87"/>
      <c r="E16257" s="87"/>
      <c r="F16257" s="87"/>
      <c r="G16257" s="87"/>
    </row>
    <row r="16258">
      <c r="A16258" s="86" t="str">
        <f>IFERROR(__xludf.DUMMYFUNCTION("""COMPUTED_VALUE"""),"")</f>
        <v/>
      </c>
      <c r="B16258" s="87"/>
      <c r="C16258" s="87"/>
      <c r="D16258" s="87"/>
      <c r="E16258" s="87"/>
      <c r="F16258" s="87"/>
      <c r="G16258" s="87"/>
    </row>
    <row r="16259">
      <c r="A16259" s="86" t="str">
        <f>IFERROR(__xludf.DUMMYFUNCTION("""COMPUTED_VALUE"""),"")</f>
        <v/>
      </c>
      <c r="B16259" s="87"/>
      <c r="C16259" s="87"/>
      <c r="D16259" s="87"/>
      <c r="E16259" s="87"/>
      <c r="F16259" s="87"/>
      <c r="G16259" s="87"/>
    </row>
    <row r="16260">
      <c r="A16260" s="86" t="str">
        <f>IFERROR(__xludf.DUMMYFUNCTION("""COMPUTED_VALUE"""),"")</f>
        <v/>
      </c>
      <c r="B16260" s="87"/>
      <c r="C16260" s="87"/>
      <c r="D16260" s="87"/>
      <c r="E16260" s="87"/>
      <c r="F16260" s="87"/>
      <c r="G16260" s="87"/>
    </row>
    <row r="16261">
      <c r="A16261" s="86" t="str">
        <f>IFERROR(__xludf.DUMMYFUNCTION("""COMPUTED_VALUE"""),"")</f>
        <v/>
      </c>
      <c r="B16261" s="87"/>
      <c r="C16261" s="87"/>
      <c r="D16261" s="87"/>
      <c r="E16261" s="87"/>
      <c r="F16261" s="87"/>
      <c r="G16261" s="87"/>
    </row>
    <row r="16262">
      <c r="A16262" s="86" t="str">
        <f>IFERROR(__xludf.DUMMYFUNCTION("""COMPUTED_VALUE"""),"")</f>
        <v/>
      </c>
      <c r="B16262" s="87"/>
      <c r="C16262" s="87"/>
      <c r="D16262" s="87"/>
      <c r="E16262" s="87"/>
      <c r="F16262" s="87"/>
      <c r="G16262" s="87"/>
    </row>
    <row r="16263">
      <c r="A16263" s="86" t="str">
        <f>IFERROR(__xludf.DUMMYFUNCTION("""COMPUTED_VALUE"""),"")</f>
        <v/>
      </c>
      <c r="B16263" s="87"/>
      <c r="C16263" s="87"/>
      <c r="D16263" s="87"/>
      <c r="E16263" s="87"/>
      <c r="F16263" s="87"/>
      <c r="G16263" s="87"/>
    </row>
    <row r="16264">
      <c r="A16264" s="86" t="str">
        <f>IFERROR(__xludf.DUMMYFUNCTION("""COMPUTED_VALUE"""),"")</f>
        <v/>
      </c>
      <c r="B16264" s="87"/>
      <c r="C16264" s="87"/>
      <c r="D16264" s="87"/>
      <c r="E16264" s="87"/>
      <c r="F16264" s="87"/>
      <c r="G16264" s="87"/>
    </row>
    <row r="16265">
      <c r="A16265" s="86" t="str">
        <f>IFERROR(__xludf.DUMMYFUNCTION("""COMPUTED_VALUE"""),"")</f>
        <v/>
      </c>
      <c r="B16265" s="87"/>
      <c r="C16265" s="87"/>
      <c r="D16265" s="87"/>
      <c r="E16265" s="87"/>
      <c r="F16265" s="87"/>
      <c r="G16265" s="87"/>
    </row>
    <row r="16266">
      <c r="A16266" s="86" t="str">
        <f>IFERROR(__xludf.DUMMYFUNCTION("""COMPUTED_VALUE"""),"")</f>
        <v/>
      </c>
      <c r="B16266" s="87"/>
      <c r="C16266" s="87"/>
      <c r="D16266" s="87"/>
      <c r="E16266" s="87"/>
      <c r="F16266" s="87"/>
      <c r="G16266" s="87"/>
    </row>
    <row r="16267">
      <c r="A16267" s="86" t="str">
        <f>IFERROR(__xludf.DUMMYFUNCTION("""COMPUTED_VALUE"""),"")</f>
        <v/>
      </c>
      <c r="B16267" s="87"/>
      <c r="C16267" s="87"/>
      <c r="D16267" s="87"/>
      <c r="E16267" s="87"/>
      <c r="F16267" s="87"/>
      <c r="G16267" s="87"/>
    </row>
    <row r="16268">
      <c r="A16268" s="86" t="str">
        <f>IFERROR(__xludf.DUMMYFUNCTION("""COMPUTED_VALUE"""),"")</f>
        <v/>
      </c>
      <c r="B16268" s="87"/>
      <c r="C16268" s="87"/>
      <c r="D16268" s="87"/>
      <c r="E16268" s="87"/>
      <c r="F16268" s="87"/>
      <c r="G16268" s="87"/>
    </row>
    <row r="16269">
      <c r="A16269" s="86" t="str">
        <f>IFERROR(__xludf.DUMMYFUNCTION("""COMPUTED_VALUE"""),"")</f>
        <v/>
      </c>
      <c r="B16269" s="87"/>
      <c r="C16269" s="87"/>
      <c r="D16269" s="87"/>
      <c r="E16269" s="87"/>
      <c r="F16269" s="87"/>
      <c r="G16269" s="87"/>
    </row>
    <row r="16270">
      <c r="A16270" s="86" t="str">
        <f>IFERROR(__xludf.DUMMYFUNCTION("""COMPUTED_VALUE"""),"")</f>
        <v/>
      </c>
      <c r="B16270" s="87"/>
      <c r="C16270" s="87"/>
      <c r="D16270" s="87"/>
      <c r="E16270" s="87"/>
      <c r="F16270" s="87"/>
      <c r="G16270" s="87"/>
    </row>
    <row r="16271">
      <c r="A16271" s="86" t="str">
        <f>IFERROR(__xludf.DUMMYFUNCTION("""COMPUTED_VALUE"""),"")</f>
        <v/>
      </c>
      <c r="B16271" s="87"/>
      <c r="C16271" s="87"/>
      <c r="D16271" s="87"/>
      <c r="E16271" s="87"/>
      <c r="F16271" s="87"/>
      <c r="G16271" s="87"/>
    </row>
    <row r="16272">
      <c r="A16272" s="86" t="str">
        <f>IFERROR(__xludf.DUMMYFUNCTION("""COMPUTED_VALUE"""),"")</f>
        <v/>
      </c>
      <c r="B16272" s="87"/>
      <c r="C16272" s="87"/>
      <c r="D16272" s="87"/>
      <c r="E16272" s="87"/>
      <c r="F16272" s="87"/>
      <c r="G16272" s="87"/>
    </row>
    <row r="16273">
      <c r="A16273" s="86" t="str">
        <f>IFERROR(__xludf.DUMMYFUNCTION("""COMPUTED_VALUE"""),"")</f>
        <v/>
      </c>
      <c r="B16273" s="87"/>
      <c r="C16273" s="87"/>
      <c r="D16273" s="87"/>
      <c r="E16273" s="87"/>
      <c r="F16273" s="87"/>
      <c r="G16273" s="87"/>
    </row>
    <row r="16274">
      <c r="A16274" s="86" t="str">
        <f>IFERROR(__xludf.DUMMYFUNCTION("""COMPUTED_VALUE"""),"")</f>
        <v/>
      </c>
      <c r="B16274" s="87"/>
      <c r="C16274" s="87"/>
      <c r="D16274" s="87"/>
      <c r="E16274" s="87"/>
      <c r="F16274" s="87"/>
      <c r="G16274" s="87"/>
    </row>
    <row r="16275">
      <c r="A16275" s="86" t="str">
        <f>IFERROR(__xludf.DUMMYFUNCTION("""COMPUTED_VALUE"""),"")</f>
        <v/>
      </c>
      <c r="B16275" s="87"/>
      <c r="C16275" s="87"/>
      <c r="D16275" s="87"/>
      <c r="E16275" s="87"/>
      <c r="F16275" s="87"/>
      <c r="G16275" s="87"/>
    </row>
    <row r="16276">
      <c r="A16276" s="86" t="str">
        <f>IFERROR(__xludf.DUMMYFUNCTION("""COMPUTED_VALUE"""),"")</f>
        <v/>
      </c>
      <c r="B16276" s="87"/>
      <c r="C16276" s="87"/>
      <c r="D16276" s="87"/>
      <c r="E16276" s="87"/>
      <c r="F16276" s="87"/>
      <c r="G16276" s="87"/>
    </row>
    <row r="16277">
      <c r="A16277" s="86" t="str">
        <f>IFERROR(__xludf.DUMMYFUNCTION("""COMPUTED_VALUE"""),"")</f>
        <v/>
      </c>
      <c r="B16277" s="87"/>
      <c r="C16277" s="87"/>
      <c r="D16277" s="87"/>
      <c r="E16277" s="87"/>
      <c r="F16277" s="87"/>
      <c r="G16277" s="87"/>
    </row>
    <row r="16278">
      <c r="A16278" s="86" t="str">
        <f>IFERROR(__xludf.DUMMYFUNCTION("""COMPUTED_VALUE"""),"")</f>
        <v/>
      </c>
      <c r="B16278" s="87"/>
      <c r="C16278" s="87"/>
      <c r="D16278" s="87"/>
      <c r="E16278" s="87"/>
      <c r="F16278" s="87"/>
      <c r="G16278" s="87"/>
    </row>
    <row r="16279">
      <c r="A16279" s="86" t="str">
        <f>IFERROR(__xludf.DUMMYFUNCTION("""COMPUTED_VALUE"""),"")</f>
        <v/>
      </c>
      <c r="B16279" s="87"/>
      <c r="C16279" s="87"/>
      <c r="D16279" s="87"/>
      <c r="E16279" s="87"/>
      <c r="F16279" s="87"/>
      <c r="G16279" s="87"/>
    </row>
    <row r="16280">
      <c r="A16280" s="86" t="str">
        <f>IFERROR(__xludf.DUMMYFUNCTION("""COMPUTED_VALUE"""),"")</f>
        <v/>
      </c>
      <c r="B16280" s="87"/>
      <c r="C16280" s="87"/>
      <c r="D16280" s="87"/>
      <c r="E16280" s="87"/>
      <c r="F16280" s="87"/>
      <c r="G16280" s="87"/>
    </row>
    <row r="16281">
      <c r="A16281" s="86" t="str">
        <f>IFERROR(__xludf.DUMMYFUNCTION("""COMPUTED_VALUE"""),"")</f>
        <v/>
      </c>
      <c r="B16281" s="87"/>
      <c r="C16281" s="87"/>
      <c r="D16281" s="87"/>
      <c r="E16281" s="87"/>
      <c r="F16281" s="87"/>
      <c r="G16281" s="87"/>
    </row>
    <row r="16282">
      <c r="A16282" s="86" t="str">
        <f>IFERROR(__xludf.DUMMYFUNCTION("""COMPUTED_VALUE"""),"")</f>
        <v/>
      </c>
      <c r="B16282" s="87"/>
      <c r="C16282" s="87"/>
      <c r="D16282" s="87"/>
      <c r="E16282" s="87"/>
      <c r="F16282" s="87"/>
      <c r="G16282" s="87"/>
    </row>
    <row r="16283">
      <c r="A16283" s="86" t="str">
        <f>IFERROR(__xludf.DUMMYFUNCTION("""COMPUTED_VALUE"""),"")</f>
        <v/>
      </c>
      <c r="B16283" s="87"/>
      <c r="C16283" s="87"/>
      <c r="D16283" s="87"/>
      <c r="E16283" s="87"/>
      <c r="F16283" s="87"/>
      <c r="G16283" s="87"/>
    </row>
    <row r="16284">
      <c r="A16284" s="86" t="str">
        <f>IFERROR(__xludf.DUMMYFUNCTION("""COMPUTED_VALUE"""),"")</f>
        <v/>
      </c>
      <c r="B16284" s="87"/>
      <c r="C16284" s="87"/>
      <c r="D16284" s="87"/>
      <c r="E16284" s="87"/>
      <c r="F16284" s="87"/>
      <c r="G16284" s="87"/>
    </row>
    <row r="16285">
      <c r="A16285" s="86" t="str">
        <f>IFERROR(__xludf.DUMMYFUNCTION("""COMPUTED_VALUE"""),"")</f>
        <v/>
      </c>
      <c r="B16285" s="87"/>
      <c r="C16285" s="87"/>
      <c r="D16285" s="87"/>
      <c r="E16285" s="87"/>
      <c r="F16285" s="87"/>
      <c r="G16285" s="87"/>
    </row>
    <row r="16286">
      <c r="A16286" s="86" t="str">
        <f>IFERROR(__xludf.DUMMYFUNCTION("""COMPUTED_VALUE"""),"")</f>
        <v/>
      </c>
      <c r="B16286" s="87"/>
      <c r="C16286" s="87"/>
      <c r="D16286" s="87"/>
      <c r="E16286" s="87"/>
      <c r="F16286" s="87"/>
      <c r="G16286" s="87"/>
    </row>
    <row r="16287">
      <c r="A16287" s="86" t="str">
        <f>IFERROR(__xludf.DUMMYFUNCTION("""COMPUTED_VALUE"""),"")</f>
        <v/>
      </c>
      <c r="B16287" s="87"/>
      <c r="C16287" s="87"/>
      <c r="D16287" s="87"/>
      <c r="E16287" s="87"/>
      <c r="F16287" s="87"/>
      <c r="G16287" s="87"/>
    </row>
    <row r="16288">
      <c r="A16288" s="86" t="str">
        <f>IFERROR(__xludf.DUMMYFUNCTION("""COMPUTED_VALUE"""),"")</f>
        <v/>
      </c>
      <c r="B16288" s="87"/>
      <c r="C16288" s="87"/>
      <c r="D16288" s="87"/>
      <c r="E16288" s="87"/>
      <c r="F16288" s="87"/>
      <c r="G16288" s="87"/>
    </row>
    <row r="16289">
      <c r="A16289" s="86" t="str">
        <f>IFERROR(__xludf.DUMMYFUNCTION("""COMPUTED_VALUE"""),"")</f>
        <v/>
      </c>
      <c r="B16289" s="87"/>
      <c r="C16289" s="87"/>
      <c r="D16289" s="87"/>
      <c r="E16289" s="87"/>
      <c r="F16289" s="87"/>
      <c r="G16289" s="87"/>
    </row>
    <row r="16290">
      <c r="A16290" s="86" t="str">
        <f>IFERROR(__xludf.DUMMYFUNCTION("""COMPUTED_VALUE"""),"")</f>
        <v/>
      </c>
      <c r="B16290" s="87"/>
      <c r="C16290" s="87"/>
      <c r="D16290" s="87"/>
      <c r="E16290" s="87"/>
      <c r="F16290" s="87"/>
      <c r="G16290" s="87"/>
    </row>
    <row r="16291">
      <c r="A16291" s="86" t="str">
        <f>IFERROR(__xludf.DUMMYFUNCTION("""COMPUTED_VALUE"""),"")</f>
        <v/>
      </c>
      <c r="B16291" s="87"/>
      <c r="C16291" s="87"/>
      <c r="D16291" s="87"/>
      <c r="E16291" s="87"/>
      <c r="F16291" s="87"/>
      <c r="G16291" s="87"/>
    </row>
    <row r="16292">
      <c r="A16292" s="86" t="str">
        <f>IFERROR(__xludf.DUMMYFUNCTION("""COMPUTED_VALUE"""),"")</f>
        <v/>
      </c>
      <c r="B16292" s="87"/>
      <c r="C16292" s="87"/>
      <c r="D16292" s="87"/>
      <c r="E16292" s="87"/>
      <c r="F16292" s="87"/>
      <c r="G16292" s="87"/>
    </row>
    <row r="16293">
      <c r="A16293" s="86" t="str">
        <f>IFERROR(__xludf.DUMMYFUNCTION("""COMPUTED_VALUE"""),"")</f>
        <v/>
      </c>
      <c r="B16293" s="87"/>
      <c r="C16293" s="87"/>
      <c r="D16293" s="87"/>
      <c r="E16293" s="87"/>
      <c r="F16293" s="87"/>
      <c r="G16293" s="87"/>
    </row>
    <row r="16294">
      <c r="A16294" s="86" t="str">
        <f>IFERROR(__xludf.DUMMYFUNCTION("""COMPUTED_VALUE"""),"")</f>
        <v/>
      </c>
      <c r="B16294" s="87"/>
      <c r="C16294" s="87"/>
      <c r="D16294" s="87"/>
      <c r="E16294" s="87"/>
      <c r="F16294" s="87"/>
      <c r="G16294" s="87"/>
    </row>
    <row r="16295">
      <c r="A16295" s="86" t="str">
        <f>IFERROR(__xludf.DUMMYFUNCTION("""COMPUTED_VALUE"""),"")</f>
        <v/>
      </c>
      <c r="B16295" s="87"/>
      <c r="C16295" s="87"/>
      <c r="D16295" s="87"/>
      <c r="E16295" s="87"/>
      <c r="F16295" s="87"/>
      <c r="G16295" s="87"/>
    </row>
    <row r="16296">
      <c r="A16296" s="86" t="str">
        <f>IFERROR(__xludf.DUMMYFUNCTION("""COMPUTED_VALUE"""),"")</f>
        <v/>
      </c>
      <c r="B16296" s="87"/>
      <c r="C16296" s="87"/>
      <c r="D16296" s="87"/>
      <c r="E16296" s="87"/>
      <c r="F16296" s="87"/>
      <c r="G16296" s="87"/>
    </row>
    <row r="16297">
      <c r="A16297" s="86" t="str">
        <f>IFERROR(__xludf.DUMMYFUNCTION("""COMPUTED_VALUE"""),"")</f>
        <v/>
      </c>
      <c r="B16297" s="87"/>
      <c r="C16297" s="87"/>
      <c r="D16297" s="87"/>
      <c r="E16297" s="87"/>
      <c r="F16297" s="87"/>
      <c r="G16297" s="87"/>
    </row>
    <row r="16298">
      <c r="A16298" s="86" t="str">
        <f>IFERROR(__xludf.DUMMYFUNCTION("""COMPUTED_VALUE"""),"")</f>
        <v/>
      </c>
      <c r="B16298" s="87"/>
      <c r="C16298" s="87"/>
      <c r="D16298" s="87"/>
      <c r="E16298" s="87"/>
      <c r="F16298" s="87"/>
      <c r="G16298" s="87"/>
    </row>
    <row r="16299">
      <c r="A16299" s="86" t="str">
        <f>IFERROR(__xludf.DUMMYFUNCTION("""COMPUTED_VALUE"""),"")</f>
        <v/>
      </c>
      <c r="B16299" s="87"/>
      <c r="C16299" s="87"/>
      <c r="D16299" s="87"/>
      <c r="E16299" s="87"/>
      <c r="F16299" s="87"/>
      <c r="G16299" s="87"/>
    </row>
    <row r="16300">
      <c r="A16300" s="86" t="str">
        <f>IFERROR(__xludf.DUMMYFUNCTION("""COMPUTED_VALUE"""),"")</f>
        <v/>
      </c>
      <c r="B16300" s="87"/>
      <c r="C16300" s="87"/>
      <c r="D16300" s="87"/>
      <c r="E16300" s="87"/>
      <c r="F16300" s="87"/>
      <c r="G16300" s="87"/>
    </row>
    <row r="16301">
      <c r="A16301" s="86" t="str">
        <f>IFERROR(__xludf.DUMMYFUNCTION("""COMPUTED_VALUE"""),"")</f>
        <v/>
      </c>
      <c r="B16301" s="87"/>
      <c r="C16301" s="87"/>
      <c r="D16301" s="87"/>
      <c r="E16301" s="87"/>
      <c r="F16301" s="87"/>
      <c r="G16301" s="87"/>
    </row>
    <row r="16302">
      <c r="A16302" s="86" t="str">
        <f>IFERROR(__xludf.DUMMYFUNCTION("""COMPUTED_VALUE"""),"")</f>
        <v/>
      </c>
      <c r="B16302" s="87"/>
      <c r="C16302" s="87"/>
      <c r="D16302" s="87"/>
      <c r="E16302" s="87"/>
      <c r="F16302" s="87"/>
      <c r="G16302" s="87"/>
    </row>
    <row r="16303">
      <c r="A16303" s="86" t="str">
        <f>IFERROR(__xludf.DUMMYFUNCTION("""COMPUTED_VALUE"""),"")</f>
        <v/>
      </c>
      <c r="B16303" s="87"/>
      <c r="C16303" s="87"/>
      <c r="D16303" s="87"/>
      <c r="E16303" s="87"/>
      <c r="F16303" s="87"/>
      <c r="G16303" s="87"/>
    </row>
    <row r="16304">
      <c r="A16304" s="86" t="str">
        <f>IFERROR(__xludf.DUMMYFUNCTION("""COMPUTED_VALUE"""),"")</f>
        <v/>
      </c>
      <c r="B16304" s="87"/>
      <c r="C16304" s="87"/>
      <c r="D16304" s="87"/>
      <c r="E16304" s="87"/>
      <c r="F16304" s="87"/>
      <c r="G16304" s="87"/>
    </row>
    <row r="16305">
      <c r="A16305" s="86" t="str">
        <f>IFERROR(__xludf.DUMMYFUNCTION("""COMPUTED_VALUE"""),"")</f>
        <v/>
      </c>
      <c r="B16305" s="87"/>
      <c r="C16305" s="87"/>
      <c r="D16305" s="87"/>
      <c r="E16305" s="87"/>
      <c r="F16305" s="87"/>
      <c r="G16305" s="87"/>
    </row>
    <row r="16306">
      <c r="A16306" s="86" t="str">
        <f>IFERROR(__xludf.DUMMYFUNCTION("""COMPUTED_VALUE"""),"")</f>
        <v/>
      </c>
      <c r="B16306" s="87"/>
      <c r="C16306" s="87"/>
      <c r="D16306" s="87"/>
      <c r="E16306" s="87"/>
      <c r="F16306" s="87"/>
      <c r="G16306" s="87"/>
    </row>
    <row r="16307">
      <c r="A16307" s="86" t="str">
        <f>IFERROR(__xludf.DUMMYFUNCTION("""COMPUTED_VALUE"""),"")</f>
        <v/>
      </c>
      <c r="B16307" s="87"/>
      <c r="C16307" s="87"/>
      <c r="D16307" s="87"/>
      <c r="E16307" s="87"/>
      <c r="F16307" s="87"/>
      <c r="G16307" s="87"/>
    </row>
    <row r="16308">
      <c r="A16308" s="86" t="str">
        <f>IFERROR(__xludf.DUMMYFUNCTION("""COMPUTED_VALUE"""),"")</f>
        <v/>
      </c>
      <c r="B16308" s="87"/>
      <c r="C16308" s="87"/>
      <c r="D16308" s="87"/>
      <c r="E16308" s="87"/>
      <c r="F16308" s="87"/>
      <c r="G16308" s="87"/>
    </row>
    <row r="16309">
      <c r="A16309" s="86" t="str">
        <f>IFERROR(__xludf.DUMMYFUNCTION("""COMPUTED_VALUE"""),"")</f>
        <v/>
      </c>
      <c r="B16309" s="87"/>
      <c r="C16309" s="87"/>
      <c r="D16309" s="87"/>
      <c r="E16309" s="87"/>
      <c r="F16309" s="87"/>
      <c r="G16309" s="87"/>
    </row>
    <row r="16310">
      <c r="A16310" s="86" t="str">
        <f>IFERROR(__xludf.DUMMYFUNCTION("""COMPUTED_VALUE"""),"")</f>
        <v/>
      </c>
      <c r="B16310" s="87"/>
      <c r="C16310" s="87"/>
      <c r="D16310" s="87"/>
      <c r="E16310" s="87"/>
      <c r="F16310" s="87"/>
      <c r="G16310" s="87"/>
    </row>
    <row r="16311">
      <c r="A16311" s="86" t="str">
        <f>IFERROR(__xludf.DUMMYFUNCTION("""COMPUTED_VALUE"""),"")</f>
        <v/>
      </c>
      <c r="B16311" s="87"/>
      <c r="C16311" s="87"/>
      <c r="D16311" s="87"/>
      <c r="E16311" s="87"/>
      <c r="F16311" s="87"/>
      <c r="G16311" s="87"/>
    </row>
    <row r="16312">
      <c r="A16312" s="86" t="str">
        <f>IFERROR(__xludf.DUMMYFUNCTION("""COMPUTED_VALUE"""),"")</f>
        <v/>
      </c>
      <c r="B16312" s="87"/>
      <c r="C16312" s="87"/>
      <c r="D16312" s="87"/>
      <c r="E16312" s="87"/>
      <c r="F16312" s="87"/>
      <c r="G16312" s="87"/>
    </row>
    <row r="16313">
      <c r="A16313" s="86" t="str">
        <f>IFERROR(__xludf.DUMMYFUNCTION("""COMPUTED_VALUE"""),"")</f>
        <v/>
      </c>
      <c r="B16313" s="87"/>
      <c r="C16313" s="87"/>
      <c r="D16313" s="87"/>
      <c r="E16313" s="87"/>
      <c r="F16313" s="87"/>
      <c r="G16313" s="87"/>
    </row>
    <row r="16314">
      <c r="A16314" s="86" t="str">
        <f>IFERROR(__xludf.DUMMYFUNCTION("""COMPUTED_VALUE"""),"")</f>
        <v/>
      </c>
      <c r="B16314" s="87"/>
      <c r="C16314" s="87"/>
      <c r="D16314" s="87"/>
      <c r="E16314" s="87"/>
      <c r="F16314" s="87"/>
      <c r="G16314" s="87"/>
    </row>
    <row r="16315">
      <c r="A16315" s="86" t="str">
        <f>IFERROR(__xludf.DUMMYFUNCTION("""COMPUTED_VALUE"""),"")</f>
        <v/>
      </c>
      <c r="B16315" s="87"/>
      <c r="C16315" s="87"/>
      <c r="D16315" s="87"/>
      <c r="E16315" s="87"/>
      <c r="F16315" s="87"/>
      <c r="G16315" s="87"/>
    </row>
    <row r="16316">
      <c r="A16316" s="86" t="str">
        <f>IFERROR(__xludf.DUMMYFUNCTION("""COMPUTED_VALUE"""),"")</f>
        <v/>
      </c>
      <c r="B16316" s="87"/>
      <c r="C16316" s="87"/>
      <c r="D16316" s="87"/>
      <c r="E16316" s="87"/>
      <c r="F16316" s="87"/>
      <c r="G16316" s="87"/>
    </row>
    <row r="16317">
      <c r="A16317" s="86" t="str">
        <f>IFERROR(__xludf.DUMMYFUNCTION("""COMPUTED_VALUE"""),"")</f>
        <v/>
      </c>
      <c r="B16317" s="87"/>
      <c r="C16317" s="87"/>
      <c r="D16317" s="87"/>
      <c r="E16317" s="87"/>
      <c r="F16317" s="87"/>
      <c r="G16317" s="87"/>
    </row>
    <row r="16318">
      <c r="A16318" s="86" t="str">
        <f>IFERROR(__xludf.DUMMYFUNCTION("""COMPUTED_VALUE"""),"")</f>
        <v/>
      </c>
      <c r="B16318" s="87"/>
      <c r="C16318" s="87"/>
      <c r="D16318" s="87"/>
      <c r="E16318" s="87"/>
      <c r="F16318" s="87"/>
      <c r="G16318" s="87"/>
    </row>
    <row r="16319">
      <c r="A16319" s="86" t="str">
        <f>IFERROR(__xludf.DUMMYFUNCTION("""COMPUTED_VALUE"""),"")</f>
        <v/>
      </c>
      <c r="B16319" s="87"/>
      <c r="C16319" s="87"/>
      <c r="D16319" s="87"/>
      <c r="E16319" s="87"/>
      <c r="F16319" s="87"/>
      <c r="G16319" s="87"/>
    </row>
    <row r="16320">
      <c r="A16320" s="86" t="str">
        <f>IFERROR(__xludf.DUMMYFUNCTION("""COMPUTED_VALUE"""),"")</f>
        <v/>
      </c>
      <c r="B16320" s="87"/>
      <c r="C16320" s="87"/>
      <c r="D16320" s="87"/>
      <c r="E16320" s="87"/>
      <c r="F16320" s="87"/>
      <c r="G16320" s="87"/>
    </row>
    <row r="16321">
      <c r="A16321" s="86" t="str">
        <f>IFERROR(__xludf.DUMMYFUNCTION("""COMPUTED_VALUE"""),"")</f>
        <v/>
      </c>
      <c r="B16321" s="87"/>
      <c r="C16321" s="87"/>
      <c r="D16321" s="87"/>
      <c r="E16321" s="87"/>
      <c r="F16321" s="87"/>
      <c r="G16321" s="87"/>
    </row>
    <row r="16322">
      <c r="A16322" s="86" t="str">
        <f>IFERROR(__xludf.DUMMYFUNCTION("""COMPUTED_VALUE"""),"")</f>
        <v/>
      </c>
      <c r="B16322" s="87"/>
      <c r="C16322" s="87"/>
      <c r="D16322" s="87"/>
      <c r="E16322" s="87"/>
      <c r="F16322" s="87"/>
      <c r="G16322" s="87"/>
    </row>
    <row r="16323">
      <c r="A16323" s="86" t="str">
        <f>IFERROR(__xludf.DUMMYFUNCTION("""COMPUTED_VALUE"""),"")</f>
        <v/>
      </c>
      <c r="B16323" s="87"/>
      <c r="C16323" s="87"/>
      <c r="D16323" s="87"/>
      <c r="E16323" s="87"/>
      <c r="F16323" s="87"/>
      <c r="G16323" s="87"/>
    </row>
    <row r="16324">
      <c r="A16324" s="86" t="str">
        <f>IFERROR(__xludf.DUMMYFUNCTION("""COMPUTED_VALUE"""),"")</f>
        <v/>
      </c>
      <c r="B16324" s="87"/>
      <c r="C16324" s="87"/>
      <c r="D16324" s="87"/>
      <c r="E16324" s="87"/>
      <c r="F16324" s="87"/>
      <c r="G16324" s="87"/>
    </row>
    <row r="16325">
      <c r="A16325" s="86" t="str">
        <f>IFERROR(__xludf.DUMMYFUNCTION("""COMPUTED_VALUE"""),"")</f>
        <v/>
      </c>
      <c r="B16325" s="87"/>
      <c r="C16325" s="87"/>
      <c r="D16325" s="87"/>
      <c r="E16325" s="87"/>
      <c r="F16325" s="87"/>
      <c r="G16325" s="87"/>
    </row>
    <row r="16326">
      <c r="A16326" s="86" t="str">
        <f>IFERROR(__xludf.DUMMYFUNCTION("""COMPUTED_VALUE"""),"")</f>
        <v/>
      </c>
      <c r="B16326" s="87"/>
      <c r="C16326" s="87"/>
      <c r="D16326" s="87"/>
      <c r="E16326" s="87"/>
      <c r="F16326" s="87"/>
      <c r="G16326" s="87"/>
    </row>
    <row r="16327">
      <c r="A16327" s="86" t="str">
        <f>IFERROR(__xludf.DUMMYFUNCTION("""COMPUTED_VALUE"""),"")</f>
        <v/>
      </c>
      <c r="B16327" s="87"/>
      <c r="C16327" s="87"/>
      <c r="D16327" s="87"/>
      <c r="E16327" s="87"/>
      <c r="F16327" s="87"/>
      <c r="G16327" s="87"/>
    </row>
    <row r="16328">
      <c r="A16328" s="86" t="str">
        <f>IFERROR(__xludf.DUMMYFUNCTION("""COMPUTED_VALUE"""),"")</f>
        <v/>
      </c>
      <c r="B16328" s="87"/>
      <c r="C16328" s="87"/>
      <c r="D16328" s="87"/>
      <c r="E16328" s="87"/>
      <c r="F16328" s="87"/>
      <c r="G16328" s="87"/>
    </row>
    <row r="16329">
      <c r="A16329" s="86" t="str">
        <f>IFERROR(__xludf.DUMMYFUNCTION("""COMPUTED_VALUE"""),"")</f>
        <v/>
      </c>
      <c r="B16329" s="87"/>
      <c r="C16329" s="87"/>
      <c r="D16329" s="87"/>
      <c r="E16329" s="87"/>
      <c r="F16329" s="87"/>
      <c r="G16329" s="87"/>
    </row>
    <row r="16330">
      <c r="A16330" s="86" t="str">
        <f>IFERROR(__xludf.DUMMYFUNCTION("""COMPUTED_VALUE"""),"")</f>
        <v/>
      </c>
      <c r="B16330" s="87"/>
      <c r="C16330" s="87"/>
      <c r="D16330" s="87"/>
      <c r="E16330" s="87"/>
      <c r="F16330" s="87"/>
      <c r="G16330" s="87"/>
    </row>
    <row r="16331">
      <c r="A16331" s="86" t="str">
        <f>IFERROR(__xludf.DUMMYFUNCTION("""COMPUTED_VALUE"""),"")</f>
        <v/>
      </c>
      <c r="B16331" s="87"/>
      <c r="C16331" s="87"/>
      <c r="D16331" s="87"/>
      <c r="E16331" s="87"/>
      <c r="F16331" s="87"/>
      <c r="G16331" s="87"/>
    </row>
    <row r="16332">
      <c r="A16332" s="86" t="str">
        <f>IFERROR(__xludf.DUMMYFUNCTION("""COMPUTED_VALUE"""),"")</f>
        <v/>
      </c>
      <c r="B16332" s="87"/>
      <c r="C16332" s="87"/>
      <c r="D16332" s="87"/>
      <c r="E16332" s="87"/>
      <c r="F16332" s="87"/>
      <c r="G16332" s="87"/>
    </row>
    <row r="16333">
      <c r="A16333" s="86" t="str">
        <f>IFERROR(__xludf.DUMMYFUNCTION("""COMPUTED_VALUE"""),"")</f>
        <v/>
      </c>
      <c r="B16333" s="87"/>
      <c r="C16333" s="87"/>
      <c r="D16333" s="87"/>
      <c r="E16333" s="87"/>
      <c r="F16333" s="87"/>
      <c r="G16333" s="87"/>
    </row>
    <row r="16334">
      <c r="A16334" s="86" t="str">
        <f>IFERROR(__xludf.DUMMYFUNCTION("""COMPUTED_VALUE"""),"")</f>
        <v/>
      </c>
      <c r="B16334" s="87"/>
      <c r="C16334" s="87"/>
      <c r="D16334" s="87"/>
      <c r="E16334" s="87"/>
      <c r="F16334" s="87"/>
      <c r="G16334" s="87"/>
    </row>
    <row r="16335">
      <c r="A16335" s="86" t="str">
        <f>IFERROR(__xludf.DUMMYFUNCTION("""COMPUTED_VALUE"""),"")</f>
        <v/>
      </c>
      <c r="B16335" s="87"/>
      <c r="C16335" s="87"/>
      <c r="D16335" s="87"/>
      <c r="E16335" s="87"/>
      <c r="F16335" s="87"/>
      <c r="G16335" s="87"/>
    </row>
    <row r="16336">
      <c r="A16336" s="86" t="str">
        <f>IFERROR(__xludf.DUMMYFUNCTION("""COMPUTED_VALUE"""),"")</f>
        <v/>
      </c>
      <c r="B16336" s="87"/>
      <c r="C16336" s="87"/>
      <c r="D16336" s="87"/>
      <c r="E16336" s="87"/>
      <c r="F16336" s="87"/>
      <c r="G16336" s="87"/>
    </row>
    <row r="16337">
      <c r="A16337" s="86" t="str">
        <f>IFERROR(__xludf.DUMMYFUNCTION("""COMPUTED_VALUE"""),"")</f>
        <v/>
      </c>
      <c r="B16337" s="87"/>
      <c r="C16337" s="87"/>
      <c r="D16337" s="87"/>
      <c r="E16337" s="87"/>
      <c r="F16337" s="87"/>
      <c r="G16337" s="87"/>
    </row>
    <row r="16338">
      <c r="A16338" s="86" t="str">
        <f>IFERROR(__xludf.DUMMYFUNCTION("""COMPUTED_VALUE"""),"")</f>
        <v/>
      </c>
      <c r="B16338" s="87"/>
      <c r="C16338" s="87"/>
      <c r="D16338" s="87"/>
      <c r="E16338" s="87"/>
      <c r="F16338" s="87"/>
      <c r="G16338" s="87"/>
    </row>
    <row r="16339">
      <c r="A16339" s="86" t="str">
        <f>IFERROR(__xludf.DUMMYFUNCTION("""COMPUTED_VALUE"""),"")</f>
        <v/>
      </c>
      <c r="B16339" s="87"/>
      <c r="C16339" s="87"/>
      <c r="D16339" s="87"/>
      <c r="E16339" s="87"/>
      <c r="F16339" s="87"/>
      <c r="G16339" s="87"/>
    </row>
    <row r="16340">
      <c r="A16340" s="86" t="str">
        <f>IFERROR(__xludf.DUMMYFUNCTION("""COMPUTED_VALUE"""),"")</f>
        <v/>
      </c>
      <c r="B16340" s="87"/>
      <c r="C16340" s="87"/>
      <c r="D16340" s="87"/>
      <c r="E16340" s="87"/>
      <c r="F16340" s="87"/>
      <c r="G16340" s="87"/>
    </row>
    <row r="16341">
      <c r="A16341" s="86" t="str">
        <f>IFERROR(__xludf.DUMMYFUNCTION("""COMPUTED_VALUE"""),"")</f>
        <v/>
      </c>
      <c r="B16341" s="87"/>
      <c r="C16341" s="87"/>
      <c r="D16341" s="87"/>
      <c r="E16341" s="87"/>
      <c r="F16341" s="87"/>
      <c r="G16341" s="87"/>
    </row>
    <row r="16342">
      <c r="A16342" s="86" t="str">
        <f>IFERROR(__xludf.DUMMYFUNCTION("""COMPUTED_VALUE"""),"")</f>
        <v/>
      </c>
      <c r="B16342" s="87"/>
      <c r="C16342" s="87"/>
      <c r="D16342" s="87"/>
      <c r="E16342" s="87"/>
      <c r="F16342" s="87"/>
      <c r="G16342" s="87"/>
    </row>
    <row r="16343">
      <c r="A16343" s="86" t="str">
        <f>IFERROR(__xludf.DUMMYFUNCTION("""COMPUTED_VALUE"""),"")</f>
        <v/>
      </c>
      <c r="B16343" s="87"/>
      <c r="C16343" s="87"/>
      <c r="D16343" s="87"/>
      <c r="E16343" s="87"/>
      <c r="F16343" s="87"/>
      <c r="G16343" s="87"/>
    </row>
    <row r="16344">
      <c r="A16344" s="86" t="str">
        <f>IFERROR(__xludf.DUMMYFUNCTION("""COMPUTED_VALUE"""),"")</f>
        <v/>
      </c>
      <c r="B16344" s="87"/>
      <c r="C16344" s="87"/>
      <c r="D16344" s="87"/>
      <c r="E16344" s="87"/>
      <c r="F16344" s="87"/>
      <c r="G16344" s="87"/>
    </row>
    <row r="16345">
      <c r="A16345" s="86" t="str">
        <f>IFERROR(__xludf.DUMMYFUNCTION("""COMPUTED_VALUE"""),"")</f>
        <v/>
      </c>
      <c r="B16345" s="87"/>
      <c r="C16345" s="87"/>
      <c r="D16345" s="87"/>
      <c r="E16345" s="87"/>
      <c r="F16345" s="87"/>
      <c r="G16345" s="87"/>
    </row>
    <row r="16346">
      <c r="A16346" s="86" t="str">
        <f>IFERROR(__xludf.DUMMYFUNCTION("""COMPUTED_VALUE"""),"")</f>
        <v/>
      </c>
      <c r="B16346" s="87"/>
      <c r="C16346" s="87"/>
      <c r="D16346" s="87"/>
      <c r="E16346" s="87"/>
      <c r="F16346" s="87"/>
      <c r="G16346" s="87"/>
    </row>
    <row r="16347">
      <c r="A16347" s="86" t="str">
        <f>IFERROR(__xludf.DUMMYFUNCTION("""COMPUTED_VALUE"""),"")</f>
        <v/>
      </c>
      <c r="B16347" s="87"/>
      <c r="C16347" s="87"/>
      <c r="D16347" s="87"/>
      <c r="E16347" s="87"/>
      <c r="F16347" s="87"/>
      <c r="G16347" s="87"/>
    </row>
    <row r="16348">
      <c r="A16348" s="86" t="str">
        <f>IFERROR(__xludf.DUMMYFUNCTION("""COMPUTED_VALUE"""),"")</f>
        <v/>
      </c>
      <c r="B16348" s="87"/>
      <c r="C16348" s="87"/>
      <c r="D16348" s="87"/>
      <c r="E16348" s="87"/>
      <c r="F16348" s="87"/>
      <c r="G16348" s="87"/>
    </row>
    <row r="16349">
      <c r="A16349" s="86" t="str">
        <f>IFERROR(__xludf.DUMMYFUNCTION("""COMPUTED_VALUE"""),"")</f>
        <v/>
      </c>
      <c r="B16349" s="87"/>
      <c r="C16349" s="87"/>
      <c r="D16349" s="87"/>
      <c r="E16349" s="87"/>
      <c r="F16349" s="87"/>
      <c r="G16349" s="87"/>
    </row>
    <row r="16350">
      <c r="A16350" s="86" t="str">
        <f>IFERROR(__xludf.DUMMYFUNCTION("""COMPUTED_VALUE"""),"")</f>
        <v/>
      </c>
      <c r="B16350" s="87"/>
      <c r="C16350" s="87"/>
      <c r="D16350" s="87"/>
      <c r="E16350" s="87"/>
      <c r="F16350" s="87"/>
      <c r="G16350" s="87"/>
    </row>
    <row r="16351">
      <c r="A16351" s="86" t="str">
        <f>IFERROR(__xludf.DUMMYFUNCTION("""COMPUTED_VALUE"""),"")</f>
        <v/>
      </c>
      <c r="B16351" s="87"/>
      <c r="C16351" s="87"/>
      <c r="D16351" s="87"/>
      <c r="E16351" s="87"/>
      <c r="F16351" s="87"/>
      <c r="G16351" s="87"/>
    </row>
    <row r="16352">
      <c r="A16352" s="86" t="str">
        <f>IFERROR(__xludf.DUMMYFUNCTION("""COMPUTED_VALUE"""),"")</f>
        <v/>
      </c>
      <c r="B16352" s="87"/>
      <c r="C16352" s="87"/>
      <c r="D16352" s="87"/>
      <c r="E16352" s="87"/>
      <c r="F16352" s="87"/>
      <c r="G16352" s="87"/>
    </row>
    <row r="16353">
      <c r="A16353" s="86" t="str">
        <f>IFERROR(__xludf.DUMMYFUNCTION("""COMPUTED_VALUE"""),"")</f>
        <v/>
      </c>
      <c r="B16353" s="87"/>
      <c r="C16353" s="87"/>
      <c r="D16353" s="87"/>
      <c r="E16353" s="87"/>
      <c r="F16353" s="87"/>
      <c r="G16353" s="87"/>
    </row>
    <row r="16354">
      <c r="A16354" s="86" t="str">
        <f>IFERROR(__xludf.DUMMYFUNCTION("""COMPUTED_VALUE"""),"")</f>
        <v/>
      </c>
      <c r="B16354" s="87"/>
      <c r="C16354" s="87"/>
      <c r="D16354" s="87"/>
      <c r="E16354" s="87"/>
      <c r="F16354" s="87"/>
      <c r="G16354" s="87"/>
    </row>
    <row r="16355">
      <c r="A16355" s="86" t="str">
        <f>IFERROR(__xludf.DUMMYFUNCTION("""COMPUTED_VALUE"""),"")</f>
        <v/>
      </c>
      <c r="B16355" s="87"/>
      <c r="C16355" s="87"/>
      <c r="D16355" s="87"/>
      <c r="E16355" s="87"/>
      <c r="F16355" s="87"/>
      <c r="G16355" s="87"/>
    </row>
    <row r="16356">
      <c r="A16356" s="86" t="str">
        <f>IFERROR(__xludf.DUMMYFUNCTION("""COMPUTED_VALUE"""),"")</f>
        <v/>
      </c>
      <c r="B16356" s="87"/>
      <c r="C16356" s="87"/>
      <c r="D16356" s="87"/>
      <c r="E16356" s="87"/>
      <c r="F16356" s="87"/>
      <c r="G16356" s="87"/>
    </row>
    <row r="16357">
      <c r="A16357" s="86" t="str">
        <f>IFERROR(__xludf.DUMMYFUNCTION("""COMPUTED_VALUE"""),"")</f>
        <v/>
      </c>
      <c r="B16357" s="87"/>
      <c r="C16357" s="87"/>
      <c r="D16357" s="87"/>
      <c r="E16357" s="87"/>
      <c r="F16357" s="87"/>
      <c r="G16357" s="87"/>
    </row>
    <row r="16358">
      <c r="A16358" s="86" t="str">
        <f>IFERROR(__xludf.DUMMYFUNCTION("""COMPUTED_VALUE"""),"")</f>
        <v/>
      </c>
      <c r="B16358" s="87"/>
      <c r="C16358" s="87"/>
      <c r="D16358" s="87"/>
      <c r="E16358" s="87"/>
      <c r="F16358" s="87"/>
      <c r="G16358" s="87"/>
    </row>
    <row r="16359">
      <c r="A16359" s="86" t="str">
        <f>IFERROR(__xludf.DUMMYFUNCTION("""COMPUTED_VALUE"""),"")</f>
        <v/>
      </c>
      <c r="B16359" s="87"/>
      <c r="C16359" s="87"/>
      <c r="D16359" s="87"/>
      <c r="E16359" s="87"/>
      <c r="F16359" s="87"/>
      <c r="G16359" s="87"/>
    </row>
    <row r="16360">
      <c r="A16360" s="86" t="str">
        <f>IFERROR(__xludf.DUMMYFUNCTION("""COMPUTED_VALUE"""),"")</f>
        <v/>
      </c>
      <c r="B16360" s="87"/>
      <c r="C16360" s="87"/>
      <c r="D16360" s="87"/>
      <c r="E16360" s="87"/>
      <c r="F16360" s="87"/>
      <c r="G16360" s="87"/>
    </row>
    <row r="16361">
      <c r="A16361" s="86" t="str">
        <f>IFERROR(__xludf.DUMMYFUNCTION("""COMPUTED_VALUE"""),"")</f>
        <v/>
      </c>
      <c r="B16361" s="87"/>
      <c r="C16361" s="87"/>
      <c r="D16361" s="87"/>
      <c r="E16361" s="87"/>
      <c r="F16361" s="87"/>
      <c r="G16361" s="87"/>
    </row>
    <row r="16362">
      <c r="A16362" s="86" t="str">
        <f>IFERROR(__xludf.DUMMYFUNCTION("""COMPUTED_VALUE"""),"")</f>
        <v/>
      </c>
      <c r="B16362" s="87"/>
      <c r="C16362" s="87"/>
      <c r="D16362" s="87"/>
      <c r="E16362" s="87"/>
      <c r="F16362" s="87"/>
      <c r="G16362" s="87"/>
    </row>
    <row r="16363">
      <c r="A16363" s="86" t="str">
        <f>IFERROR(__xludf.DUMMYFUNCTION("""COMPUTED_VALUE"""),"")</f>
        <v/>
      </c>
      <c r="B16363" s="87"/>
      <c r="C16363" s="87"/>
      <c r="D16363" s="87"/>
      <c r="E16363" s="87"/>
      <c r="F16363" s="87"/>
      <c r="G16363" s="87"/>
    </row>
    <row r="16364">
      <c r="A16364" s="86" t="str">
        <f>IFERROR(__xludf.DUMMYFUNCTION("""COMPUTED_VALUE"""),"")</f>
        <v/>
      </c>
      <c r="B16364" s="87"/>
      <c r="C16364" s="87"/>
      <c r="D16364" s="87"/>
      <c r="E16364" s="87"/>
      <c r="F16364" s="87"/>
      <c r="G16364" s="87"/>
    </row>
    <row r="16365">
      <c r="A16365" s="86" t="str">
        <f>IFERROR(__xludf.DUMMYFUNCTION("""COMPUTED_VALUE"""),"")</f>
        <v/>
      </c>
      <c r="B16365" s="87"/>
      <c r="C16365" s="87"/>
      <c r="D16365" s="87"/>
      <c r="E16365" s="87"/>
      <c r="F16365" s="87"/>
      <c r="G16365" s="87"/>
    </row>
    <row r="16366">
      <c r="A16366" s="86" t="str">
        <f>IFERROR(__xludf.DUMMYFUNCTION("""COMPUTED_VALUE"""),"")</f>
        <v/>
      </c>
      <c r="B16366" s="87"/>
      <c r="C16366" s="87"/>
      <c r="D16366" s="87"/>
      <c r="E16366" s="87"/>
      <c r="F16366" s="87"/>
      <c r="G16366" s="87"/>
    </row>
    <row r="16367">
      <c r="A16367" s="86" t="str">
        <f>IFERROR(__xludf.DUMMYFUNCTION("""COMPUTED_VALUE"""),"")</f>
        <v/>
      </c>
      <c r="B16367" s="87"/>
      <c r="C16367" s="87"/>
      <c r="D16367" s="87"/>
      <c r="E16367" s="87"/>
      <c r="F16367" s="87"/>
      <c r="G16367" s="87"/>
    </row>
    <row r="16368">
      <c r="A16368" s="86" t="str">
        <f>IFERROR(__xludf.DUMMYFUNCTION("""COMPUTED_VALUE"""),"")</f>
        <v/>
      </c>
      <c r="B16368" s="87"/>
      <c r="C16368" s="87"/>
      <c r="D16368" s="87"/>
      <c r="E16368" s="87"/>
      <c r="F16368" s="87"/>
      <c r="G16368" s="87"/>
    </row>
    <row r="16369">
      <c r="A16369" s="86" t="str">
        <f>IFERROR(__xludf.DUMMYFUNCTION("""COMPUTED_VALUE"""),"")</f>
        <v/>
      </c>
      <c r="B16369" s="87"/>
      <c r="C16369" s="87"/>
      <c r="D16369" s="87"/>
      <c r="E16369" s="87"/>
      <c r="F16369" s="87"/>
      <c r="G16369" s="87"/>
    </row>
    <row r="16370">
      <c r="A16370" s="86" t="str">
        <f>IFERROR(__xludf.DUMMYFUNCTION("""COMPUTED_VALUE"""),"")</f>
        <v/>
      </c>
      <c r="B16370" s="87"/>
      <c r="C16370" s="87"/>
      <c r="D16370" s="87"/>
      <c r="E16370" s="87"/>
      <c r="F16370" s="87"/>
      <c r="G16370" s="87"/>
    </row>
    <row r="16371">
      <c r="A16371" s="86" t="str">
        <f>IFERROR(__xludf.DUMMYFUNCTION("""COMPUTED_VALUE"""),"")</f>
        <v/>
      </c>
      <c r="B16371" s="87"/>
      <c r="C16371" s="87"/>
      <c r="D16371" s="87"/>
      <c r="E16371" s="87"/>
      <c r="F16371" s="87"/>
      <c r="G16371" s="87"/>
    </row>
    <row r="16372">
      <c r="A16372" s="86" t="str">
        <f>IFERROR(__xludf.DUMMYFUNCTION("""COMPUTED_VALUE"""),"")</f>
        <v/>
      </c>
      <c r="B16372" s="87"/>
      <c r="C16372" s="87"/>
      <c r="D16372" s="87"/>
      <c r="E16372" s="87"/>
      <c r="F16372" s="87"/>
      <c r="G16372" s="87"/>
    </row>
    <row r="16373">
      <c r="A16373" s="86" t="str">
        <f>IFERROR(__xludf.DUMMYFUNCTION("""COMPUTED_VALUE"""),"")</f>
        <v/>
      </c>
      <c r="B16373" s="87"/>
      <c r="C16373" s="87"/>
      <c r="D16373" s="87"/>
      <c r="E16373" s="87"/>
      <c r="F16373" s="87"/>
      <c r="G16373" s="87"/>
    </row>
    <row r="16374">
      <c r="A16374" s="86" t="str">
        <f>IFERROR(__xludf.DUMMYFUNCTION("""COMPUTED_VALUE"""),"")</f>
        <v/>
      </c>
      <c r="B16374" s="87"/>
      <c r="C16374" s="87"/>
      <c r="D16374" s="87"/>
      <c r="E16374" s="87"/>
      <c r="F16374" s="87"/>
      <c r="G16374" s="87"/>
    </row>
    <row r="16375">
      <c r="A16375" s="86" t="str">
        <f>IFERROR(__xludf.DUMMYFUNCTION("""COMPUTED_VALUE"""),"")</f>
        <v/>
      </c>
      <c r="B16375" s="87"/>
      <c r="C16375" s="87"/>
      <c r="D16375" s="87"/>
      <c r="E16375" s="87"/>
      <c r="F16375" s="87"/>
      <c r="G16375" s="87"/>
    </row>
    <row r="16376">
      <c r="A16376" s="86" t="str">
        <f>IFERROR(__xludf.DUMMYFUNCTION("""COMPUTED_VALUE"""),"")</f>
        <v/>
      </c>
      <c r="B16376" s="87"/>
      <c r="C16376" s="87"/>
      <c r="D16376" s="87"/>
      <c r="E16376" s="87"/>
      <c r="F16376" s="87"/>
      <c r="G16376" s="87"/>
    </row>
    <row r="16377">
      <c r="A16377" s="86" t="str">
        <f>IFERROR(__xludf.DUMMYFUNCTION("""COMPUTED_VALUE"""),"")</f>
        <v/>
      </c>
      <c r="B16377" s="87"/>
      <c r="C16377" s="87"/>
      <c r="D16377" s="87"/>
      <c r="E16377" s="87"/>
      <c r="F16377" s="87"/>
      <c r="G16377" s="87"/>
    </row>
    <row r="16378">
      <c r="A16378" s="86" t="str">
        <f>IFERROR(__xludf.DUMMYFUNCTION("""COMPUTED_VALUE"""),"")</f>
        <v/>
      </c>
      <c r="B16378" s="87"/>
      <c r="C16378" s="87"/>
      <c r="D16378" s="87"/>
      <c r="E16378" s="87"/>
      <c r="F16378" s="87"/>
      <c r="G16378" s="87"/>
    </row>
    <row r="16379">
      <c r="A16379" s="86" t="str">
        <f>IFERROR(__xludf.DUMMYFUNCTION("""COMPUTED_VALUE"""),"")</f>
        <v/>
      </c>
      <c r="B16379" s="87"/>
      <c r="C16379" s="87"/>
      <c r="D16379" s="87"/>
      <c r="E16379" s="87"/>
      <c r="F16379" s="87"/>
      <c r="G16379" s="87"/>
    </row>
    <row r="16380">
      <c r="A16380" s="86" t="str">
        <f>IFERROR(__xludf.DUMMYFUNCTION("""COMPUTED_VALUE"""),"")</f>
        <v/>
      </c>
      <c r="B16380" s="87"/>
      <c r="C16380" s="87"/>
      <c r="D16380" s="87"/>
      <c r="E16380" s="87"/>
      <c r="F16380" s="87"/>
      <c r="G16380" s="87"/>
    </row>
    <row r="16381">
      <c r="A16381" s="86" t="str">
        <f>IFERROR(__xludf.DUMMYFUNCTION("""COMPUTED_VALUE"""),"")</f>
        <v/>
      </c>
      <c r="B16381" s="87"/>
      <c r="C16381" s="87"/>
      <c r="D16381" s="87"/>
      <c r="E16381" s="87"/>
      <c r="F16381" s="87"/>
      <c r="G16381" s="87"/>
    </row>
    <row r="16382">
      <c r="A16382" s="86" t="str">
        <f>IFERROR(__xludf.DUMMYFUNCTION("""COMPUTED_VALUE"""),"")</f>
        <v/>
      </c>
      <c r="B16382" s="87"/>
      <c r="C16382" s="87"/>
      <c r="D16382" s="87"/>
      <c r="E16382" s="87"/>
      <c r="F16382" s="87"/>
      <c r="G16382" s="87"/>
    </row>
    <row r="16383">
      <c r="A16383" s="86" t="str">
        <f>IFERROR(__xludf.DUMMYFUNCTION("""COMPUTED_VALUE"""),"")</f>
        <v/>
      </c>
      <c r="B16383" s="87"/>
      <c r="C16383" s="87"/>
      <c r="D16383" s="87"/>
      <c r="E16383" s="87"/>
      <c r="F16383" s="87"/>
      <c r="G16383" s="87"/>
    </row>
    <row r="16384">
      <c r="A16384" s="86" t="str">
        <f>IFERROR(__xludf.DUMMYFUNCTION("""COMPUTED_VALUE"""),"")</f>
        <v/>
      </c>
      <c r="B16384" s="87"/>
      <c r="C16384" s="87"/>
      <c r="D16384" s="87"/>
      <c r="E16384" s="87"/>
      <c r="F16384" s="87"/>
      <c r="G16384" s="87"/>
    </row>
    <row r="16385">
      <c r="A16385" s="86" t="str">
        <f>IFERROR(__xludf.DUMMYFUNCTION("""COMPUTED_VALUE"""),"")</f>
        <v/>
      </c>
      <c r="B16385" s="87"/>
      <c r="C16385" s="87"/>
      <c r="D16385" s="87"/>
      <c r="E16385" s="87"/>
      <c r="F16385" s="87"/>
      <c r="G16385" s="87"/>
    </row>
    <row r="16386">
      <c r="A16386" s="86" t="str">
        <f>IFERROR(__xludf.DUMMYFUNCTION("""COMPUTED_VALUE"""),"")</f>
        <v/>
      </c>
      <c r="B16386" s="87"/>
      <c r="C16386" s="87"/>
      <c r="D16386" s="87"/>
      <c r="E16386" s="87"/>
      <c r="F16386" s="87"/>
      <c r="G16386" s="87"/>
    </row>
    <row r="16387">
      <c r="A16387" s="86" t="str">
        <f>IFERROR(__xludf.DUMMYFUNCTION("""COMPUTED_VALUE"""),"")</f>
        <v/>
      </c>
      <c r="B16387" s="87"/>
      <c r="C16387" s="87"/>
      <c r="D16387" s="87"/>
      <c r="E16387" s="87"/>
      <c r="F16387" s="87"/>
      <c r="G16387" s="87"/>
    </row>
    <row r="16388">
      <c r="A16388" s="86" t="str">
        <f>IFERROR(__xludf.DUMMYFUNCTION("""COMPUTED_VALUE"""),"")</f>
        <v/>
      </c>
      <c r="B16388" s="87"/>
      <c r="C16388" s="87"/>
      <c r="D16388" s="87"/>
      <c r="E16388" s="87"/>
      <c r="F16388" s="87"/>
      <c r="G16388" s="87"/>
    </row>
    <row r="16389">
      <c r="A16389" s="86" t="str">
        <f>IFERROR(__xludf.DUMMYFUNCTION("""COMPUTED_VALUE"""),"")</f>
        <v/>
      </c>
      <c r="B16389" s="87"/>
      <c r="C16389" s="87"/>
      <c r="D16389" s="87"/>
      <c r="E16389" s="87"/>
      <c r="F16389" s="87"/>
      <c r="G16389" s="87"/>
    </row>
    <row r="16390">
      <c r="A16390" s="86" t="str">
        <f>IFERROR(__xludf.DUMMYFUNCTION("""COMPUTED_VALUE"""),"")</f>
        <v/>
      </c>
      <c r="B16390" s="87"/>
      <c r="C16390" s="87"/>
      <c r="D16390" s="87"/>
      <c r="E16390" s="87"/>
      <c r="F16390" s="87"/>
      <c r="G16390" s="87"/>
    </row>
    <row r="16391">
      <c r="A16391" s="86" t="str">
        <f>IFERROR(__xludf.DUMMYFUNCTION("""COMPUTED_VALUE"""),"")</f>
        <v/>
      </c>
      <c r="B16391" s="87"/>
      <c r="C16391" s="87"/>
      <c r="D16391" s="87"/>
      <c r="E16391" s="87"/>
      <c r="F16391" s="87"/>
      <c r="G16391" s="87"/>
    </row>
    <row r="16392">
      <c r="A16392" s="86" t="str">
        <f>IFERROR(__xludf.DUMMYFUNCTION("""COMPUTED_VALUE"""),"")</f>
        <v/>
      </c>
      <c r="B16392" s="87"/>
      <c r="C16392" s="87"/>
      <c r="D16392" s="87"/>
      <c r="E16392" s="87"/>
      <c r="F16392" s="87"/>
      <c r="G16392" s="87"/>
    </row>
    <row r="16393">
      <c r="A16393" s="86" t="str">
        <f>IFERROR(__xludf.DUMMYFUNCTION("""COMPUTED_VALUE"""),"")</f>
        <v/>
      </c>
      <c r="B16393" s="87"/>
      <c r="C16393" s="87"/>
      <c r="D16393" s="87"/>
      <c r="E16393" s="87"/>
      <c r="F16393" s="87"/>
      <c r="G16393" s="87"/>
    </row>
    <row r="16394">
      <c r="A16394" s="86" t="str">
        <f>IFERROR(__xludf.DUMMYFUNCTION("""COMPUTED_VALUE"""),"")</f>
        <v/>
      </c>
      <c r="B16394" s="87"/>
      <c r="C16394" s="87"/>
      <c r="D16394" s="87"/>
      <c r="E16394" s="87"/>
      <c r="F16394" s="87"/>
      <c r="G16394" s="87"/>
    </row>
    <row r="16395">
      <c r="A16395" s="86" t="str">
        <f>IFERROR(__xludf.DUMMYFUNCTION("""COMPUTED_VALUE"""),"")</f>
        <v/>
      </c>
      <c r="B16395" s="87"/>
      <c r="C16395" s="87"/>
      <c r="D16395" s="87"/>
      <c r="E16395" s="87"/>
      <c r="F16395" s="87"/>
      <c r="G16395" s="87"/>
    </row>
    <row r="16396">
      <c r="A16396" s="86" t="str">
        <f>IFERROR(__xludf.DUMMYFUNCTION("""COMPUTED_VALUE"""),"")</f>
        <v/>
      </c>
      <c r="B16396" s="87"/>
      <c r="C16396" s="87"/>
      <c r="D16396" s="87"/>
      <c r="E16396" s="87"/>
      <c r="F16396" s="87"/>
      <c r="G16396" s="87"/>
    </row>
    <row r="16397">
      <c r="A16397" s="86" t="str">
        <f>IFERROR(__xludf.DUMMYFUNCTION("""COMPUTED_VALUE"""),"")</f>
        <v/>
      </c>
      <c r="B16397" s="87"/>
      <c r="C16397" s="87"/>
      <c r="D16397" s="87"/>
      <c r="E16397" s="87"/>
      <c r="F16397" s="87"/>
      <c r="G16397" s="87"/>
    </row>
    <row r="16398">
      <c r="A16398" s="86" t="str">
        <f>IFERROR(__xludf.DUMMYFUNCTION("""COMPUTED_VALUE"""),"")</f>
        <v/>
      </c>
      <c r="B16398" s="87"/>
      <c r="C16398" s="87"/>
      <c r="D16398" s="87"/>
      <c r="E16398" s="87"/>
      <c r="F16398" s="87"/>
      <c r="G16398" s="87"/>
    </row>
    <row r="16399">
      <c r="A16399" s="86" t="str">
        <f>IFERROR(__xludf.DUMMYFUNCTION("""COMPUTED_VALUE"""),"")</f>
        <v/>
      </c>
      <c r="B16399" s="87"/>
      <c r="C16399" s="87"/>
      <c r="D16399" s="87"/>
      <c r="E16399" s="87"/>
      <c r="F16399" s="87"/>
      <c r="G16399" s="87"/>
    </row>
    <row r="16400">
      <c r="A16400" s="86" t="str">
        <f>IFERROR(__xludf.DUMMYFUNCTION("""COMPUTED_VALUE"""),"")</f>
        <v/>
      </c>
      <c r="B16400" s="87"/>
      <c r="C16400" s="87"/>
      <c r="D16400" s="87"/>
      <c r="E16400" s="87"/>
      <c r="F16400" s="87"/>
      <c r="G16400" s="87"/>
    </row>
    <row r="16401">
      <c r="A16401" s="86" t="str">
        <f>IFERROR(__xludf.DUMMYFUNCTION("""COMPUTED_VALUE"""),"")</f>
        <v/>
      </c>
      <c r="B16401" s="87"/>
      <c r="C16401" s="87"/>
      <c r="D16401" s="87"/>
      <c r="E16401" s="87"/>
      <c r="F16401" s="87"/>
      <c r="G16401" s="87"/>
    </row>
    <row r="16402">
      <c r="A16402" s="86" t="str">
        <f>IFERROR(__xludf.DUMMYFUNCTION("""COMPUTED_VALUE"""),"")</f>
        <v/>
      </c>
      <c r="B16402" s="87"/>
      <c r="C16402" s="87"/>
      <c r="D16402" s="87"/>
      <c r="E16402" s="87"/>
      <c r="F16402" s="87"/>
      <c r="G16402" s="87"/>
    </row>
    <row r="16403">
      <c r="A16403" s="86" t="str">
        <f>IFERROR(__xludf.DUMMYFUNCTION("""COMPUTED_VALUE"""),"")</f>
        <v/>
      </c>
      <c r="B16403" s="87"/>
      <c r="C16403" s="87"/>
      <c r="D16403" s="87"/>
      <c r="E16403" s="87"/>
      <c r="F16403" s="87"/>
      <c r="G16403" s="87"/>
    </row>
    <row r="16404">
      <c r="A16404" s="86" t="str">
        <f>IFERROR(__xludf.DUMMYFUNCTION("""COMPUTED_VALUE"""),"")</f>
        <v/>
      </c>
      <c r="B16404" s="87"/>
      <c r="C16404" s="87"/>
      <c r="D16404" s="87"/>
      <c r="E16404" s="87"/>
      <c r="F16404" s="87"/>
      <c r="G16404" s="87"/>
    </row>
    <row r="16405">
      <c r="A16405" s="86" t="str">
        <f>IFERROR(__xludf.DUMMYFUNCTION("""COMPUTED_VALUE"""),"")</f>
        <v/>
      </c>
      <c r="B16405" s="87"/>
      <c r="C16405" s="87"/>
      <c r="D16405" s="87"/>
      <c r="E16405" s="87"/>
      <c r="F16405" s="87"/>
      <c r="G16405" s="87"/>
    </row>
    <row r="16406">
      <c r="A16406" s="86" t="str">
        <f>IFERROR(__xludf.DUMMYFUNCTION("""COMPUTED_VALUE"""),"")</f>
        <v/>
      </c>
      <c r="B16406" s="87"/>
      <c r="C16406" s="87"/>
      <c r="D16406" s="87"/>
      <c r="E16406" s="87"/>
      <c r="F16406" s="87"/>
      <c r="G16406" s="87"/>
    </row>
    <row r="16407">
      <c r="A16407" s="86" t="str">
        <f>IFERROR(__xludf.DUMMYFUNCTION("""COMPUTED_VALUE"""),"")</f>
        <v/>
      </c>
      <c r="B16407" s="87"/>
      <c r="C16407" s="87"/>
      <c r="D16407" s="87"/>
      <c r="E16407" s="87"/>
      <c r="F16407" s="87"/>
      <c r="G16407" s="87"/>
    </row>
    <row r="16408">
      <c r="A16408" s="86" t="str">
        <f>IFERROR(__xludf.DUMMYFUNCTION("""COMPUTED_VALUE"""),"")</f>
        <v/>
      </c>
      <c r="B16408" s="87"/>
      <c r="C16408" s="87"/>
      <c r="D16408" s="87"/>
      <c r="E16408" s="87"/>
      <c r="F16408" s="87"/>
      <c r="G16408" s="87"/>
    </row>
    <row r="16409">
      <c r="A16409" s="86" t="str">
        <f>IFERROR(__xludf.DUMMYFUNCTION("""COMPUTED_VALUE"""),"")</f>
        <v/>
      </c>
      <c r="B16409" s="87"/>
      <c r="C16409" s="87"/>
      <c r="D16409" s="87"/>
      <c r="E16409" s="87"/>
      <c r="F16409" s="87"/>
      <c r="G16409" s="87"/>
    </row>
    <row r="16410">
      <c r="A16410" s="86" t="str">
        <f>IFERROR(__xludf.DUMMYFUNCTION("""COMPUTED_VALUE"""),"")</f>
        <v/>
      </c>
      <c r="B16410" s="87"/>
      <c r="C16410" s="87"/>
      <c r="D16410" s="87"/>
      <c r="E16410" s="87"/>
      <c r="F16410" s="87"/>
      <c r="G16410" s="87"/>
    </row>
    <row r="16411">
      <c r="A16411" s="86" t="str">
        <f>IFERROR(__xludf.DUMMYFUNCTION("""COMPUTED_VALUE"""),"")</f>
        <v/>
      </c>
      <c r="B16411" s="87"/>
      <c r="C16411" s="87"/>
      <c r="D16411" s="87"/>
      <c r="E16411" s="87"/>
      <c r="F16411" s="87"/>
      <c r="G16411" s="87"/>
    </row>
    <row r="16412">
      <c r="A16412" s="86" t="str">
        <f>IFERROR(__xludf.DUMMYFUNCTION("""COMPUTED_VALUE"""),"")</f>
        <v/>
      </c>
      <c r="B16412" s="87"/>
      <c r="C16412" s="87"/>
      <c r="D16412" s="87"/>
      <c r="E16412" s="87"/>
      <c r="F16412" s="87"/>
      <c r="G16412" s="87"/>
    </row>
    <row r="16413">
      <c r="A16413" s="86" t="str">
        <f>IFERROR(__xludf.DUMMYFUNCTION("""COMPUTED_VALUE"""),"")</f>
        <v/>
      </c>
      <c r="B16413" s="87"/>
      <c r="C16413" s="87"/>
      <c r="D16413" s="87"/>
      <c r="E16413" s="87"/>
      <c r="F16413" s="87"/>
      <c r="G16413" s="87"/>
    </row>
    <row r="16414">
      <c r="A16414" s="86" t="str">
        <f>IFERROR(__xludf.DUMMYFUNCTION("""COMPUTED_VALUE"""),"")</f>
        <v/>
      </c>
      <c r="B16414" s="87"/>
      <c r="C16414" s="87"/>
      <c r="D16414" s="87"/>
      <c r="E16414" s="87"/>
      <c r="F16414" s="87"/>
      <c r="G16414" s="87"/>
    </row>
    <row r="16415">
      <c r="A16415" s="86" t="str">
        <f>IFERROR(__xludf.DUMMYFUNCTION("""COMPUTED_VALUE"""),"")</f>
        <v/>
      </c>
      <c r="B16415" s="87"/>
      <c r="C16415" s="87"/>
      <c r="D16415" s="87"/>
      <c r="E16415" s="87"/>
      <c r="F16415" s="87"/>
      <c r="G16415" s="87"/>
    </row>
    <row r="16416">
      <c r="A16416" s="86" t="str">
        <f>IFERROR(__xludf.DUMMYFUNCTION("""COMPUTED_VALUE"""),"")</f>
        <v/>
      </c>
      <c r="B16416" s="87"/>
      <c r="C16416" s="87"/>
      <c r="D16416" s="87"/>
      <c r="E16416" s="87"/>
      <c r="F16416" s="87"/>
      <c r="G16416" s="87"/>
    </row>
    <row r="16417">
      <c r="A16417" s="86" t="str">
        <f>IFERROR(__xludf.DUMMYFUNCTION("""COMPUTED_VALUE"""),"")</f>
        <v/>
      </c>
      <c r="B16417" s="87"/>
      <c r="C16417" s="87"/>
      <c r="D16417" s="87"/>
      <c r="E16417" s="87"/>
      <c r="F16417" s="87"/>
      <c r="G16417" s="87"/>
    </row>
    <row r="16418">
      <c r="A16418" s="86" t="str">
        <f>IFERROR(__xludf.DUMMYFUNCTION("""COMPUTED_VALUE"""),"")</f>
        <v/>
      </c>
      <c r="B16418" s="87"/>
      <c r="C16418" s="87"/>
      <c r="D16418" s="87"/>
      <c r="E16418" s="87"/>
      <c r="F16418" s="87"/>
      <c r="G16418" s="87"/>
    </row>
    <row r="16419">
      <c r="A16419" s="86" t="str">
        <f>IFERROR(__xludf.DUMMYFUNCTION("""COMPUTED_VALUE"""),"")</f>
        <v/>
      </c>
      <c r="B16419" s="87"/>
      <c r="C16419" s="87"/>
      <c r="D16419" s="87"/>
      <c r="E16419" s="87"/>
      <c r="F16419" s="87"/>
      <c r="G16419" s="87"/>
    </row>
    <row r="16420">
      <c r="A16420" s="86" t="str">
        <f>IFERROR(__xludf.DUMMYFUNCTION("""COMPUTED_VALUE"""),"")</f>
        <v/>
      </c>
      <c r="B16420" s="87"/>
      <c r="C16420" s="87"/>
      <c r="D16420" s="87"/>
      <c r="E16420" s="87"/>
      <c r="F16420" s="87"/>
      <c r="G16420" s="87"/>
    </row>
    <row r="16421">
      <c r="A16421" s="86" t="str">
        <f>IFERROR(__xludf.DUMMYFUNCTION("""COMPUTED_VALUE"""),"")</f>
        <v/>
      </c>
      <c r="B16421" s="87"/>
      <c r="C16421" s="87"/>
      <c r="D16421" s="87"/>
      <c r="E16421" s="87"/>
      <c r="F16421" s="87"/>
      <c r="G16421" s="87"/>
    </row>
    <row r="16422">
      <c r="A16422" s="86" t="str">
        <f>IFERROR(__xludf.DUMMYFUNCTION("""COMPUTED_VALUE"""),"")</f>
        <v/>
      </c>
      <c r="B16422" s="87"/>
      <c r="C16422" s="87"/>
      <c r="D16422" s="87"/>
      <c r="E16422" s="87"/>
      <c r="F16422" s="87"/>
      <c r="G16422" s="87"/>
    </row>
    <row r="16423">
      <c r="A16423" s="86" t="str">
        <f>IFERROR(__xludf.DUMMYFUNCTION("""COMPUTED_VALUE"""),"")</f>
        <v/>
      </c>
      <c r="B16423" s="87"/>
      <c r="C16423" s="87"/>
      <c r="D16423" s="87"/>
      <c r="E16423" s="87"/>
      <c r="F16423" s="87"/>
      <c r="G16423" s="87"/>
    </row>
    <row r="16424">
      <c r="A16424" s="86" t="str">
        <f>IFERROR(__xludf.DUMMYFUNCTION("""COMPUTED_VALUE"""),"")</f>
        <v/>
      </c>
      <c r="B16424" s="87"/>
      <c r="C16424" s="87"/>
      <c r="D16424" s="87"/>
      <c r="E16424" s="87"/>
      <c r="F16424" s="87"/>
      <c r="G16424" s="87"/>
    </row>
    <row r="16425">
      <c r="A16425" s="86" t="str">
        <f>IFERROR(__xludf.DUMMYFUNCTION("""COMPUTED_VALUE"""),"")</f>
        <v/>
      </c>
      <c r="B16425" s="87"/>
      <c r="C16425" s="87"/>
      <c r="D16425" s="87"/>
      <c r="E16425" s="87"/>
      <c r="F16425" s="87"/>
      <c r="G16425" s="87"/>
    </row>
    <row r="16426">
      <c r="A16426" s="86" t="str">
        <f>IFERROR(__xludf.DUMMYFUNCTION("""COMPUTED_VALUE"""),"")</f>
        <v/>
      </c>
      <c r="B16426" s="87"/>
      <c r="C16426" s="87"/>
      <c r="D16426" s="87"/>
      <c r="E16426" s="87"/>
      <c r="F16426" s="87"/>
      <c r="G16426" s="87"/>
    </row>
    <row r="16427">
      <c r="A16427" s="86" t="str">
        <f>IFERROR(__xludf.DUMMYFUNCTION("""COMPUTED_VALUE"""),"")</f>
        <v/>
      </c>
      <c r="B16427" s="87"/>
      <c r="C16427" s="87"/>
      <c r="D16427" s="87"/>
      <c r="E16427" s="87"/>
      <c r="F16427" s="87"/>
      <c r="G16427" s="87"/>
    </row>
    <row r="16428">
      <c r="A16428" s="86" t="str">
        <f>IFERROR(__xludf.DUMMYFUNCTION("""COMPUTED_VALUE"""),"")</f>
        <v/>
      </c>
      <c r="B16428" s="87"/>
      <c r="C16428" s="87"/>
      <c r="D16428" s="87"/>
      <c r="E16428" s="87"/>
      <c r="F16428" s="87"/>
      <c r="G16428" s="87"/>
    </row>
    <row r="16429">
      <c r="A16429" s="86" t="str">
        <f>IFERROR(__xludf.DUMMYFUNCTION("""COMPUTED_VALUE"""),"")</f>
        <v/>
      </c>
      <c r="B16429" s="87"/>
      <c r="C16429" s="87"/>
      <c r="D16429" s="87"/>
      <c r="E16429" s="87"/>
      <c r="F16429" s="87"/>
      <c r="G16429" s="87"/>
    </row>
    <row r="16430">
      <c r="A16430" s="86" t="str">
        <f>IFERROR(__xludf.DUMMYFUNCTION("""COMPUTED_VALUE"""),"")</f>
        <v/>
      </c>
      <c r="B16430" s="87"/>
      <c r="C16430" s="87"/>
      <c r="D16430" s="87"/>
      <c r="E16430" s="87"/>
      <c r="F16430" s="87"/>
      <c r="G16430" s="87"/>
    </row>
    <row r="16431">
      <c r="A16431" s="86" t="str">
        <f>IFERROR(__xludf.DUMMYFUNCTION("""COMPUTED_VALUE"""),"")</f>
        <v/>
      </c>
      <c r="B16431" s="87"/>
      <c r="C16431" s="87"/>
      <c r="D16431" s="87"/>
      <c r="E16431" s="87"/>
      <c r="F16431" s="87"/>
      <c r="G16431" s="87"/>
    </row>
    <row r="16432">
      <c r="A16432" s="86" t="str">
        <f>IFERROR(__xludf.DUMMYFUNCTION("""COMPUTED_VALUE"""),"")</f>
        <v/>
      </c>
      <c r="B16432" s="87"/>
      <c r="C16432" s="87"/>
      <c r="D16432" s="87"/>
      <c r="E16432" s="87"/>
      <c r="F16432" s="87"/>
      <c r="G16432" s="87"/>
    </row>
    <row r="16433">
      <c r="A16433" s="86" t="str">
        <f>IFERROR(__xludf.DUMMYFUNCTION("""COMPUTED_VALUE"""),"")</f>
        <v/>
      </c>
      <c r="B16433" s="87"/>
      <c r="C16433" s="87"/>
      <c r="D16433" s="87"/>
      <c r="E16433" s="87"/>
      <c r="F16433" s="87"/>
      <c r="G16433" s="87"/>
    </row>
    <row r="16434">
      <c r="A16434" s="86" t="str">
        <f>IFERROR(__xludf.DUMMYFUNCTION("""COMPUTED_VALUE"""),"")</f>
        <v/>
      </c>
      <c r="B16434" s="87"/>
      <c r="C16434" s="87"/>
      <c r="D16434" s="87"/>
      <c r="E16434" s="87"/>
      <c r="F16434" s="87"/>
      <c r="G16434" s="87"/>
    </row>
    <row r="16435">
      <c r="A16435" s="86" t="str">
        <f>IFERROR(__xludf.DUMMYFUNCTION("""COMPUTED_VALUE"""),"")</f>
        <v/>
      </c>
      <c r="B16435" s="87"/>
      <c r="C16435" s="87"/>
      <c r="D16435" s="87"/>
      <c r="E16435" s="87"/>
      <c r="F16435" s="87"/>
      <c r="G16435" s="87"/>
    </row>
    <row r="16436">
      <c r="A16436" s="86" t="str">
        <f>IFERROR(__xludf.DUMMYFUNCTION("""COMPUTED_VALUE"""),"")</f>
        <v/>
      </c>
      <c r="B16436" s="87"/>
      <c r="C16436" s="87"/>
      <c r="D16436" s="87"/>
      <c r="E16436" s="87"/>
      <c r="F16436" s="87"/>
      <c r="G16436" s="87"/>
    </row>
    <row r="16437">
      <c r="A16437" s="86" t="str">
        <f>IFERROR(__xludf.DUMMYFUNCTION("""COMPUTED_VALUE"""),"")</f>
        <v/>
      </c>
      <c r="B16437" s="87"/>
      <c r="C16437" s="87"/>
      <c r="D16437" s="87"/>
      <c r="E16437" s="87"/>
      <c r="F16437" s="87"/>
      <c r="G16437" s="87"/>
    </row>
    <row r="16438">
      <c r="A16438" s="86" t="str">
        <f>IFERROR(__xludf.DUMMYFUNCTION("""COMPUTED_VALUE"""),"")</f>
        <v/>
      </c>
      <c r="B16438" s="87"/>
      <c r="C16438" s="87"/>
      <c r="D16438" s="87"/>
      <c r="E16438" s="87"/>
      <c r="F16438" s="87"/>
      <c r="G16438" s="87"/>
    </row>
    <row r="16439">
      <c r="A16439" s="86" t="str">
        <f>IFERROR(__xludf.DUMMYFUNCTION("""COMPUTED_VALUE"""),"")</f>
        <v/>
      </c>
      <c r="B16439" s="87"/>
      <c r="C16439" s="87"/>
      <c r="D16439" s="87"/>
      <c r="E16439" s="87"/>
      <c r="F16439" s="87"/>
      <c r="G16439" s="87"/>
    </row>
    <row r="16440">
      <c r="A16440" s="86" t="str">
        <f>IFERROR(__xludf.DUMMYFUNCTION("""COMPUTED_VALUE"""),"")</f>
        <v/>
      </c>
      <c r="B16440" s="87"/>
      <c r="C16440" s="87"/>
      <c r="D16440" s="87"/>
      <c r="E16440" s="87"/>
      <c r="F16440" s="87"/>
      <c r="G16440" s="87"/>
    </row>
    <row r="16441">
      <c r="A16441" s="86" t="str">
        <f>IFERROR(__xludf.DUMMYFUNCTION("""COMPUTED_VALUE"""),"")</f>
        <v/>
      </c>
      <c r="B16441" s="87"/>
      <c r="C16441" s="87"/>
      <c r="D16441" s="87"/>
      <c r="E16441" s="87"/>
      <c r="F16441" s="87"/>
      <c r="G16441" s="87"/>
    </row>
    <row r="16442">
      <c r="A16442" s="86" t="str">
        <f>IFERROR(__xludf.DUMMYFUNCTION("""COMPUTED_VALUE"""),"")</f>
        <v/>
      </c>
      <c r="B16442" s="87"/>
      <c r="C16442" s="87"/>
      <c r="D16442" s="87"/>
      <c r="E16442" s="87"/>
      <c r="F16442" s="87"/>
      <c r="G16442" s="87"/>
    </row>
    <row r="16443">
      <c r="A16443" s="86" t="str">
        <f>IFERROR(__xludf.DUMMYFUNCTION("""COMPUTED_VALUE"""),"")</f>
        <v/>
      </c>
      <c r="B16443" s="87"/>
      <c r="C16443" s="87"/>
      <c r="D16443" s="87"/>
      <c r="E16443" s="87"/>
      <c r="F16443" s="87"/>
      <c r="G16443" s="87"/>
    </row>
    <row r="16444">
      <c r="A16444" s="86" t="str">
        <f>IFERROR(__xludf.DUMMYFUNCTION("""COMPUTED_VALUE"""),"")</f>
        <v/>
      </c>
      <c r="B16444" s="87"/>
      <c r="C16444" s="87"/>
      <c r="D16444" s="87"/>
      <c r="E16444" s="87"/>
      <c r="F16444" s="87"/>
      <c r="G16444" s="87"/>
    </row>
    <row r="16445">
      <c r="A16445" s="86" t="str">
        <f>IFERROR(__xludf.DUMMYFUNCTION("""COMPUTED_VALUE"""),"")</f>
        <v/>
      </c>
      <c r="B16445" s="87"/>
      <c r="C16445" s="87"/>
      <c r="D16445" s="87"/>
      <c r="E16445" s="87"/>
      <c r="F16445" s="87"/>
      <c r="G16445" s="87"/>
    </row>
    <row r="16446">
      <c r="A16446" s="86" t="str">
        <f>IFERROR(__xludf.DUMMYFUNCTION("""COMPUTED_VALUE"""),"")</f>
        <v/>
      </c>
      <c r="B16446" s="87"/>
      <c r="C16446" s="87"/>
      <c r="D16446" s="87"/>
      <c r="E16446" s="87"/>
      <c r="F16446" s="87"/>
      <c r="G16446" s="87"/>
    </row>
    <row r="16447">
      <c r="A16447" s="86" t="str">
        <f>IFERROR(__xludf.DUMMYFUNCTION("""COMPUTED_VALUE"""),"")</f>
        <v/>
      </c>
      <c r="B16447" s="87"/>
      <c r="C16447" s="87"/>
      <c r="D16447" s="87"/>
      <c r="E16447" s="87"/>
      <c r="F16447" s="87"/>
      <c r="G16447" s="87"/>
    </row>
    <row r="16448">
      <c r="A16448" s="86" t="str">
        <f>IFERROR(__xludf.DUMMYFUNCTION("""COMPUTED_VALUE"""),"")</f>
        <v/>
      </c>
      <c r="B16448" s="87"/>
      <c r="C16448" s="87"/>
      <c r="D16448" s="87"/>
      <c r="E16448" s="87"/>
      <c r="F16448" s="87"/>
      <c r="G16448" s="87"/>
    </row>
    <row r="16449">
      <c r="A16449" s="86" t="str">
        <f>IFERROR(__xludf.DUMMYFUNCTION("""COMPUTED_VALUE"""),"")</f>
        <v/>
      </c>
      <c r="B16449" s="87"/>
      <c r="C16449" s="87"/>
      <c r="D16449" s="87"/>
      <c r="E16449" s="87"/>
      <c r="F16449" s="87"/>
      <c r="G16449" s="87"/>
    </row>
    <row r="16450">
      <c r="A16450" s="86" t="str">
        <f>IFERROR(__xludf.DUMMYFUNCTION("""COMPUTED_VALUE"""),"")</f>
        <v/>
      </c>
      <c r="B16450" s="87"/>
      <c r="C16450" s="87"/>
      <c r="D16450" s="87"/>
      <c r="E16450" s="87"/>
      <c r="F16450" s="87"/>
      <c r="G16450" s="87"/>
    </row>
    <row r="16451">
      <c r="A16451" s="86" t="str">
        <f>IFERROR(__xludf.DUMMYFUNCTION("""COMPUTED_VALUE"""),"")</f>
        <v/>
      </c>
      <c r="B16451" s="87"/>
      <c r="C16451" s="87"/>
      <c r="D16451" s="87"/>
      <c r="E16451" s="87"/>
      <c r="F16451" s="87"/>
      <c r="G16451" s="87"/>
    </row>
    <row r="16452">
      <c r="A16452" s="86" t="str">
        <f>IFERROR(__xludf.DUMMYFUNCTION("""COMPUTED_VALUE"""),"")</f>
        <v/>
      </c>
      <c r="B16452" s="87"/>
      <c r="C16452" s="87"/>
      <c r="D16452" s="87"/>
      <c r="E16452" s="87"/>
      <c r="F16452" s="87"/>
      <c r="G16452" s="87"/>
    </row>
    <row r="16453">
      <c r="A16453" s="86" t="str">
        <f>IFERROR(__xludf.DUMMYFUNCTION("""COMPUTED_VALUE"""),"")</f>
        <v/>
      </c>
      <c r="B16453" s="87"/>
      <c r="C16453" s="87"/>
      <c r="D16453" s="87"/>
      <c r="E16453" s="87"/>
      <c r="F16453" s="87"/>
      <c r="G16453" s="87"/>
    </row>
    <row r="16454">
      <c r="A16454" s="86" t="str">
        <f>IFERROR(__xludf.DUMMYFUNCTION("""COMPUTED_VALUE"""),"")</f>
        <v/>
      </c>
      <c r="B16454" s="87"/>
      <c r="C16454" s="87"/>
      <c r="D16454" s="87"/>
      <c r="E16454" s="87"/>
      <c r="F16454" s="87"/>
      <c r="G16454" s="87"/>
    </row>
    <row r="16455">
      <c r="A16455" s="86" t="str">
        <f>IFERROR(__xludf.DUMMYFUNCTION("""COMPUTED_VALUE"""),"")</f>
        <v/>
      </c>
      <c r="B16455" s="87"/>
      <c r="C16455" s="87"/>
      <c r="D16455" s="87"/>
      <c r="E16455" s="87"/>
      <c r="F16455" s="87"/>
      <c r="G16455" s="87"/>
    </row>
    <row r="16456">
      <c r="A16456" s="86" t="str">
        <f>IFERROR(__xludf.DUMMYFUNCTION("""COMPUTED_VALUE"""),"")</f>
        <v/>
      </c>
      <c r="B16456" s="87"/>
      <c r="C16456" s="87"/>
      <c r="D16456" s="87"/>
      <c r="E16456" s="87"/>
      <c r="F16456" s="87"/>
      <c r="G16456" s="87"/>
    </row>
    <row r="16457">
      <c r="A16457" s="86" t="str">
        <f>IFERROR(__xludf.DUMMYFUNCTION("""COMPUTED_VALUE"""),"")</f>
        <v/>
      </c>
      <c r="B16457" s="87"/>
      <c r="C16457" s="87"/>
      <c r="D16457" s="87"/>
      <c r="E16457" s="87"/>
      <c r="F16457" s="87"/>
      <c r="G16457" s="87"/>
    </row>
    <row r="16458">
      <c r="A16458" s="86" t="str">
        <f>IFERROR(__xludf.DUMMYFUNCTION("""COMPUTED_VALUE"""),"")</f>
        <v/>
      </c>
      <c r="B16458" s="87"/>
      <c r="C16458" s="87"/>
      <c r="D16458" s="87"/>
      <c r="E16458" s="87"/>
      <c r="F16458" s="87"/>
      <c r="G16458" s="87"/>
    </row>
    <row r="16459">
      <c r="A16459" s="86" t="str">
        <f>IFERROR(__xludf.DUMMYFUNCTION("""COMPUTED_VALUE"""),"")</f>
        <v/>
      </c>
      <c r="B16459" s="87"/>
      <c r="C16459" s="87"/>
      <c r="D16459" s="87"/>
      <c r="E16459" s="87"/>
      <c r="F16459" s="87"/>
      <c r="G16459" s="87"/>
    </row>
    <row r="16460">
      <c r="A16460" s="86" t="str">
        <f>IFERROR(__xludf.DUMMYFUNCTION("""COMPUTED_VALUE"""),"")</f>
        <v/>
      </c>
      <c r="B16460" s="87"/>
      <c r="C16460" s="87"/>
      <c r="D16460" s="87"/>
      <c r="E16460" s="87"/>
      <c r="F16460" s="87"/>
      <c r="G16460" s="87"/>
    </row>
    <row r="16461">
      <c r="A16461" s="86" t="str">
        <f>IFERROR(__xludf.DUMMYFUNCTION("""COMPUTED_VALUE"""),"")</f>
        <v/>
      </c>
      <c r="B16461" s="87"/>
      <c r="C16461" s="87"/>
      <c r="D16461" s="87"/>
      <c r="E16461" s="87"/>
      <c r="F16461" s="87"/>
      <c r="G16461" s="87"/>
    </row>
    <row r="16462">
      <c r="A16462" s="86" t="str">
        <f>IFERROR(__xludf.DUMMYFUNCTION("""COMPUTED_VALUE"""),"")</f>
        <v/>
      </c>
      <c r="B16462" s="87"/>
      <c r="C16462" s="87"/>
      <c r="D16462" s="87"/>
      <c r="E16462" s="87"/>
      <c r="F16462" s="87"/>
      <c r="G16462" s="87"/>
    </row>
    <row r="16463">
      <c r="A16463" s="86" t="str">
        <f>IFERROR(__xludf.DUMMYFUNCTION("""COMPUTED_VALUE"""),"")</f>
        <v/>
      </c>
      <c r="B16463" s="87"/>
      <c r="C16463" s="87"/>
      <c r="D16463" s="87"/>
      <c r="E16463" s="87"/>
      <c r="F16463" s="87"/>
      <c r="G16463" s="87"/>
    </row>
    <row r="16464">
      <c r="A16464" s="86" t="str">
        <f>IFERROR(__xludf.DUMMYFUNCTION("""COMPUTED_VALUE"""),"")</f>
        <v/>
      </c>
      <c r="B16464" s="87"/>
      <c r="C16464" s="87"/>
      <c r="D16464" s="87"/>
      <c r="E16464" s="87"/>
      <c r="F16464" s="87"/>
      <c r="G16464" s="87"/>
    </row>
    <row r="16465">
      <c r="A16465" s="86" t="str">
        <f>IFERROR(__xludf.DUMMYFUNCTION("""COMPUTED_VALUE"""),"")</f>
        <v/>
      </c>
      <c r="B16465" s="87"/>
      <c r="C16465" s="87"/>
      <c r="D16465" s="87"/>
      <c r="E16465" s="87"/>
      <c r="F16465" s="87"/>
      <c r="G16465" s="87"/>
    </row>
    <row r="16466">
      <c r="A16466" s="86" t="str">
        <f>IFERROR(__xludf.DUMMYFUNCTION("""COMPUTED_VALUE"""),"")</f>
        <v/>
      </c>
      <c r="B16466" s="87"/>
      <c r="C16466" s="87"/>
      <c r="D16466" s="87"/>
      <c r="E16466" s="87"/>
      <c r="F16466" s="87"/>
      <c r="G16466" s="87"/>
    </row>
    <row r="16467">
      <c r="A16467" s="86" t="str">
        <f>IFERROR(__xludf.DUMMYFUNCTION("""COMPUTED_VALUE"""),"")</f>
        <v/>
      </c>
      <c r="B16467" s="87"/>
      <c r="C16467" s="87"/>
      <c r="D16467" s="87"/>
      <c r="E16467" s="87"/>
      <c r="F16467" s="87"/>
      <c r="G16467" s="87"/>
    </row>
    <row r="16468">
      <c r="A16468" s="86" t="str">
        <f>IFERROR(__xludf.DUMMYFUNCTION("""COMPUTED_VALUE"""),"")</f>
        <v/>
      </c>
      <c r="B16468" s="87"/>
      <c r="C16468" s="87"/>
      <c r="D16468" s="87"/>
      <c r="E16468" s="87"/>
      <c r="F16468" s="87"/>
      <c r="G16468" s="87"/>
    </row>
    <row r="16469">
      <c r="A16469" s="86" t="str">
        <f>IFERROR(__xludf.DUMMYFUNCTION("""COMPUTED_VALUE"""),"")</f>
        <v/>
      </c>
      <c r="B16469" s="87"/>
      <c r="C16469" s="87"/>
      <c r="D16469" s="87"/>
      <c r="E16469" s="87"/>
      <c r="F16469" s="87"/>
      <c r="G16469" s="87"/>
    </row>
    <row r="16470">
      <c r="A16470" s="86" t="str">
        <f>IFERROR(__xludf.DUMMYFUNCTION("""COMPUTED_VALUE"""),"")</f>
        <v/>
      </c>
      <c r="B16470" s="87"/>
      <c r="C16470" s="87"/>
      <c r="D16470" s="87"/>
      <c r="E16470" s="87"/>
      <c r="F16470" s="87"/>
      <c r="G16470" s="87"/>
    </row>
    <row r="16471">
      <c r="A16471" s="86" t="str">
        <f>IFERROR(__xludf.DUMMYFUNCTION("""COMPUTED_VALUE"""),"")</f>
        <v/>
      </c>
      <c r="B16471" s="87"/>
      <c r="C16471" s="87"/>
      <c r="D16471" s="87"/>
      <c r="E16471" s="87"/>
      <c r="F16471" s="87"/>
      <c r="G16471" s="87"/>
    </row>
    <row r="16472">
      <c r="A16472" s="86" t="str">
        <f>IFERROR(__xludf.DUMMYFUNCTION("""COMPUTED_VALUE"""),"")</f>
        <v/>
      </c>
      <c r="B16472" s="87"/>
      <c r="C16472" s="87"/>
      <c r="D16472" s="87"/>
      <c r="E16472" s="87"/>
      <c r="F16472" s="87"/>
      <c r="G16472" s="87"/>
    </row>
    <row r="16473">
      <c r="A16473" s="86" t="str">
        <f>IFERROR(__xludf.DUMMYFUNCTION("""COMPUTED_VALUE"""),"")</f>
        <v/>
      </c>
      <c r="B16473" s="87"/>
      <c r="C16473" s="87"/>
      <c r="D16473" s="87"/>
      <c r="E16473" s="87"/>
      <c r="F16473" s="87"/>
      <c r="G16473" s="87"/>
    </row>
    <row r="16474">
      <c r="A16474" s="86" t="str">
        <f>IFERROR(__xludf.DUMMYFUNCTION("""COMPUTED_VALUE"""),"")</f>
        <v/>
      </c>
      <c r="B16474" s="87"/>
      <c r="C16474" s="87"/>
      <c r="D16474" s="87"/>
      <c r="E16474" s="87"/>
      <c r="F16474" s="87"/>
      <c r="G16474" s="87"/>
    </row>
    <row r="16475">
      <c r="A16475" s="86" t="str">
        <f>IFERROR(__xludf.DUMMYFUNCTION("""COMPUTED_VALUE"""),"")</f>
        <v/>
      </c>
      <c r="B16475" s="87"/>
      <c r="C16475" s="87"/>
      <c r="D16475" s="87"/>
      <c r="E16475" s="87"/>
      <c r="F16475" s="87"/>
      <c r="G16475" s="87"/>
    </row>
    <row r="16476">
      <c r="A16476" s="86" t="str">
        <f>IFERROR(__xludf.DUMMYFUNCTION("""COMPUTED_VALUE"""),"")</f>
        <v/>
      </c>
      <c r="B16476" s="87"/>
      <c r="C16476" s="87"/>
      <c r="D16476" s="87"/>
      <c r="E16476" s="87"/>
      <c r="F16476" s="87"/>
      <c r="G16476" s="87"/>
    </row>
    <row r="16477">
      <c r="A16477" s="86" t="str">
        <f>IFERROR(__xludf.DUMMYFUNCTION("""COMPUTED_VALUE"""),"")</f>
        <v/>
      </c>
      <c r="B16477" s="87"/>
      <c r="C16477" s="87"/>
      <c r="D16477" s="87"/>
      <c r="E16477" s="87"/>
      <c r="F16477" s="87"/>
      <c r="G16477" s="87"/>
    </row>
    <row r="16478">
      <c r="A16478" s="86" t="str">
        <f>IFERROR(__xludf.DUMMYFUNCTION("""COMPUTED_VALUE"""),"")</f>
        <v/>
      </c>
      <c r="B16478" s="87"/>
      <c r="C16478" s="87"/>
      <c r="D16478" s="87"/>
      <c r="E16478" s="87"/>
      <c r="F16478" s="87"/>
      <c r="G16478" s="87"/>
    </row>
    <row r="16479">
      <c r="A16479" s="86" t="str">
        <f>IFERROR(__xludf.DUMMYFUNCTION("""COMPUTED_VALUE"""),"")</f>
        <v/>
      </c>
      <c r="B16479" s="87"/>
      <c r="C16479" s="87"/>
      <c r="D16479" s="87"/>
      <c r="E16479" s="87"/>
      <c r="F16479" s="87"/>
      <c r="G16479" s="87"/>
    </row>
    <row r="16480">
      <c r="A16480" s="86" t="str">
        <f>IFERROR(__xludf.DUMMYFUNCTION("""COMPUTED_VALUE"""),"")</f>
        <v/>
      </c>
      <c r="B16480" s="87"/>
      <c r="C16480" s="87"/>
      <c r="D16480" s="87"/>
      <c r="E16480" s="87"/>
      <c r="F16480" s="87"/>
      <c r="G16480" s="87"/>
    </row>
    <row r="16481">
      <c r="A16481" s="86" t="str">
        <f>IFERROR(__xludf.DUMMYFUNCTION("""COMPUTED_VALUE"""),"")</f>
        <v/>
      </c>
      <c r="B16481" s="87"/>
      <c r="C16481" s="87"/>
      <c r="D16481" s="87"/>
      <c r="E16481" s="87"/>
      <c r="F16481" s="87"/>
      <c r="G16481" s="87"/>
    </row>
    <row r="16482">
      <c r="A16482" s="86" t="str">
        <f>IFERROR(__xludf.DUMMYFUNCTION("""COMPUTED_VALUE"""),"")</f>
        <v/>
      </c>
      <c r="B16482" s="87"/>
      <c r="C16482" s="87"/>
      <c r="D16482" s="87"/>
      <c r="E16482" s="87"/>
      <c r="F16482" s="87"/>
      <c r="G16482" s="87"/>
    </row>
    <row r="16483">
      <c r="A16483" s="86" t="str">
        <f>IFERROR(__xludf.DUMMYFUNCTION("""COMPUTED_VALUE"""),"")</f>
        <v/>
      </c>
      <c r="B16483" s="87"/>
      <c r="C16483" s="87"/>
      <c r="D16483" s="87"/>
      <c r="E16483" s="87"/>
      <c r="F16483" s="87"/>
      <c r="G16483" s="87"/>
    </row>
    <row r="16484">
      <c r="A16484" s="86" t="str">
        <f>IFERROR(__xludf.DUMMYFUNCTION("""COMPUTED_VALUE"""),"")</f>
        <v/>
      </c>
      <c r="B16484" s="87"/>
      <c r="C16484" s="87"/>
      <c r="D16484" s="87"/>
      <c r="E16484" s="87"/>
      <c r="F16484" s="87"/>
      <c r="G16484" s="87"/>
    </row>
    <row r="16485">
      <c r="A16485" s="86" t="str">
        <f>IFERROR(__xludf.DUMMYFUNCTION("""COMPUTED_VALUE"""),"")</f>
        <v/>
      </c>
      <c r="B16485" s="87"/>
      <c r="C16485" s="87"/>
      <c r="D16485" s="87"/>
      <c r="E16485" s="87"/>
      <c r="F16485" s="87"/>
      <c r="G16485" s="87"/>
    </row>
    <row r="16486">
      <c r="A16486" s="86" t="str">
        <f>IFERROR(__xludf.DUMMYFUNCTION("""COMPUTED_VALUE"""),"")</f>
        <v/>
      </c>
      <c r="B16486" s="87"/>
      <c r="C16486" s="87"/>
      <c r="D16486" s="87"/>
      <c r="E16486" s="87"/>
      <c r="F16486" s="87"/>
      <c r="G16486" s="87"/>
    </row>
    <row r="16487">
      <c r="A16487" s="86" t="str">
        <f>IFERROR(__xludf.DUMMYFUNCTION("""COMPUTED_VALUE"""),"")</f>
        <v/>
      </c>
      <c r="B16487" s="87"/>
      <c r="C16487" s="87"/>
      <c r="D16487" s="87"/>
      <c r="E16487" s="87"/>
      <c r="F16487" s="87"/>
      <c r="G16487" s="87"/>
    </row>
    <row r="16488">
      <c r="A16488" s="86" t="str">
        <f>IFERROR(__xludf.DUMMYFUNCTION("""COMPUTED_VALUE"""),"")</f>
        <v/>
      </c>
      <c r="B16488" s="87"/>
      <c r="C16488" s="87"/>
      <c r="D16488" s="87"/>
      <c r="E16488" s="87"/>
      <c r="F16488" s="87"/>
      <c r="G16488" s="87"/>
    </row>
    <row r="16489">
      <c r="A16489" s="86" t="str">
        <f>IFERROR(__xludf.DUMMYFUNCTION("""COMPUTED_VALUE"""),"")</f>
        <v/>
      </c>
      <c r="B16489" s="87"/>
      <c r="C16489" s="87"/>
      <c r="D16489" s="87"/>
      <c r="E16489" s="87"/>
      <c r="F16489" s="87"/>
      <c r="G16489" s="87"/>
    </row>
    <row r="16490">
      <c r="A16490" s="86" t="str">
        <f>IFERROR(__xludf.DUMMYFUNCTION("""COMPUTED_VALUE"""),"")</f>
        <v/>
      </c>
      <c r="B16490" s="87"/>
      <c r="C16490" s="87"/>
      <c r="D16490" s="87"/>
      <c r="E16490" s="87"/>
      <c r="F16490" s="87"/>
      <c r="G16490" s="87"/>
    </row>
    <row r="16491">
      <c r="A16491" s="86" t="str">
        <f>IFERROR(__xludf.DUMMYFUNCTION("""COMPUTED_VALUE"""),"")</f>
        <v/>
      </c>
      <c r="B16491" s="87"/>
      <c r="C16491" s="87"/>
      <c r="D16491" s="87"/>
      <c r="E16491" s="87"/>
      <c r="F16491" s="87"/>
      <c r="G16491" s="87"/>
    </row>
    <row r="16492">
      <c r="A16492" s="86" t="str">
        <f>IFERROR(__xludf.DUMMYFUNCTION("""COMPUTED_VALUE"""),"")</f>
        <v/>
      </c>
      <c r="B16492" s="87"/>
      <c r="C16492" s="87"/>
      <c r="D16492" s="87"/>
      <c r="E16492" s="87"/>
      <c r="F16492" s="87"/>
      <c r="G16492" s="87"/>
    </row>
    <row r="16493">
      <c r="A16493" s="86" t="str">
        <f>IFERROR(__xludf.DUMMYFUNCTION("""COMPUTED_VALUE"""),"")</f>
        <v/>
      </c>
      <c r="B16493" s="87"/>
      <c r="C16493" s="87"/>
      <c r="D16493" s="87"/>
      <c r="E16493" s="87"/>
      <c r="F16493" s="87"/>
      <c r="G16493" s="87"/>
    </row>
    <row r="16494">
      <c r="A16494" s="86" t="str">
        <f>IFERROR(__xludf.DUMMYFUNCTION("""COMPUTED_VALUE"""),"")</f>
        <v/>
      </c>
      <c r="B16494" s="87"/>
      <c r="C16494" s="87"/>
      <c r="D16494" s="87"/>
      <c r="E16494" s="87"/>
      <c r="F16494" s="87"/>
      <c r="G16494" s="87"/>
    </row>
    <row r="16495">
      <c r="A16495" s="86" t="str">
        <f>IFERROR(__xludf.DUMMYFUNCTION("""COMPUTED_VALUE"""),"")</f>
        <v/>
      </c>
      <c r="B16495" s="87"/>
      <c r="C16495" s="87"/>
      <c r="D16495" s="87"/>
      <c r="E16495" s="87"/>
      <c r="F16495" s="87"/>
      <c r="G16495" s="87"/>
    </row>
    <row r="16496">
      <c r="A16496" s="86" t="str">
        <f>IFERROR(__xludf.DUMMYFUNCTION("""COMPUTED_VALUE"""),"")</f>
        <v/>
      </c>
      <c r="B16496" s="87"/>
      <c r="C16496" s="87"/>
      <c r="D16496" s="87"/>
      <c r="E16496" s="87"/>
      <c r="F16496" s="87"/>
      <c r="G16496" s="87"/>
    </row>
    <row r="16497">
      <c r="A16497" s="86" t="str">
        <f>IFERROR(__xludf.DUMMYFUNCTION("""COMPUTED_VALUE"""),"")</f>
        <v/>
      </c>
      <c r="B16497" s="87"/>
      <c r="C16497" s="87"/>
      <c r="D16497" s="87"/>
      <c r="E16497" s="87"/>
      <c r="F16497" s="87"/>
      <c r="G16497" s="87"/>
    </row>
    <row r="16498">
      <c r="A16498" s="86" t="str">
        <f>IFERROR(__xludf.DUMMYFUNCTION("""COMPUTED_VALUE"""),"")</f>
        <v/>
      </c>
      <c r="B16498" s="87"/>
      <c r="C16498" s="87"/>
      <c r="D16498" s="87"/>
      <c r="E16498" s="87"/>
      <c r="F16498" s="87"/>
      <c r="G16498" s="87"/>
    </row>
    <row r="16499">
      <c r="A16499" s="86" t="str">
        <f>IFERROR(__xludf.DUMMYFUNCTION("""COMPUTED_VALUE"""),"")</f>
        <v/>
      </c>
      <c r="B16499" s="87"/>
      <c r="C16499" s="87"/>
      <c r="D16499" s="87"/>
      <c r="E16499" s="87"/>
      <c r="F16499" s="87"/>
      <c r="G16499" s="87"/>
    </row>
    <row r="16500">
      <c r="A16500" s="86" t="str">
        <f>IFERROR(__xludf.DUMMYFUNCTION("""COMPUTED_VALUE"""),"")</f>
        <v/>
      </c>
      <c r="B16500" s="87"/>
      <c r="C16500" s="87"/>
      <c r="D16500" s="87"/>
      <c r="E16500" s="87"/>
      <c r="F16500" s="87"/>
      <c r="G16500" s="87"/>
    </row>
    <row r="16501">
      <c r="A16501" s="86" t="str">
        <f>IFERROR(__xludf.DUMMYFUNCTION("""COMPUTED_VALUE"""),"")</f>
        <v/>
      </c>
      <c r="B16501" s="87"/>
      <c r="C16501" s="87"/>
      <c r="D16501" s="87"/>
      <c r="E16501" s="87"/>
      <c r="F16501" s="87"/>
      <c r="G16501" s="87"/>
    </row>
    <row r="16502">
      <c r="A16502" s="86" t="str">
        <f>IFERROR(__xludf.DUMMYFUNCTION("""COMPUTED_VALUE"""),"")</f>
        <v/>
      </c>
      <c r="B16502" s="87"/>
      <c r="C16502" s="87"/>
      <c r="D16502" s="87"/>
      <c r="E16502" s="87"/>
      <c r="F16502" s="87"/>
      <c r="G16502" s="87"/>
    </row>
    <row r="16503">
      <c r="A16503" s="86" t="str">
        <f>IFERROR(__xludf.DUMMYFUNCTION("""COMPUTED_VALUE"""),"")</f>
        <v/>
      </c>
      <c r="B16503" s="87"/>
      <c r="C16503" s="87"/>
      <c r="D16503" s="87"/>
      <c r="E16503" s="87"/>
      <c r="F16503" s="87"/>
      <c r="G16503" s="87"/>
    </row>
    <row r="16504">
      <c r="A16504" s="86" t="str">
        <f>IFERROR(__xludf.DUMMYFUNCTION("""COMPUTED_VALUE"""),"")</f>
        <v/>
      </c>
      <c r="B16504" s="87"/>
      <c r="C16504" s="87"/>
      <c r="D16504" s="87"/>
      <c r="E16504" s="87"/>
      <c r="F16504" s="87"/>
      <c r="G16504" s="87"/>
    </row>
    <row r="16505">
      <c r="A16505" s="86" t="str">
        <f>IFERROR(__xludf.DUMMYFUNCTION("""COMPUTED_VALUE"""),"")</f>
        <v/>
      </c>
      <c r="B16505" s="87"/>
      <c r="C16505" s="87"/>
      <c r="D16505" s="87"/>
      <c r="E16505" s="87"/>
      <c r="F16505" s="87"/>
      <c r="G16505" s="87"/>
    </row>
    <row r="16506">
      <c r="A16506" s="86" t="str">
        <f>IFERROR(__xludf.DUMMYFUNCTION("""COMPUTED_VALUE"""),"")</f>
        <v/>
      </c>
      <c r="B16506" s="87"/>
      <c r="C16506" s="87"/>
      <c r="D16506" s="87"/>
      <c r="E16506" s="87"/>
      <c r="F16506" s="87"/>
      <c r="G16506" s="87"/>
    </row>
    <row r="16507">
      <c r="A16507" s="86" t="str">
        <f>IFERROR(__xludf.DUMMYFUNCTION("""COMPUTED_VALUE"""),"")</f>
        <v/>
      </c>
      <c r="B16507" s="87"/>
      <c r="C16507" s="87"/>
      <c r="D16507" s="87"/>
      <c r="E16507" s="87"/>
      <c r="F16507" s="87"/>
      <c r="G16507" s="87"/>
    </row>
    <row r="16508">
      <c r="A16508" s="86" t="str">
        <f>IFERROR(__xludf.DUMMYFUNCTION("""COMPUTED_VALUE"""),"")</f>
        <v/>
      </c>
      <c r="B16508" s="87"/>
      <c r="C16508" s="87"/>
      <c r="D16508" s="87"/>
      <c r="E16508" s="87"/>
      <c r="F16508" s="87"/>
      <c r="G16508" s="87"/>
    </row>
    <row r="16509">
      <c r="A16509" s="86" t="str">
        <f>IFERROR(__xludf.DUMMYFUNCTION("""COMPUTED_VALUE"""),"")</f>
        <v/>
      </c>
      <c r="B16509" s="87"/>
      <c r="C16509" s="87"/>
      <c r="D16509" s="87"/>
      <c r="E16509" s="87"/>
      <c r="F16509" s="87"/>
      <c r="G16509" s="87"/>
    </row>
    <row r="16510">
      <c r="A16510" s="86" t="str">
        <f>IFERROR(__xludf.DUMMYFUNCTION("""COMPUTED_VALUE"""),"")</f>
        <v/>
      </c>
      <c r="B16510" s="87"/>
      <c r="C16510" s="87"/>
      <c r="D16510" s="87"/>
      <c r="E16510" s="87"/>
      <c r="F16510" s="87"/>
      <c r="G16510" s="87"/>
    </row>
    <row r="16511">
      <c r="A16511" s="86" t="str">
        <f>IFERROR(__xludf.DUMMYFUNCTION("""COMPUTED_VALUE"""),"")</f>
        <v/>
      </c>
      <c r="B16511" s="87"/>
      <c r="C16511" s="87"/>
      <c r="D16511" s="87"/>
      <c r="E16511" s="87"/>
      <c r="F16511" s="87"/>
      <c r="G16511" s="87"/>
    </row>
    <row r="16512">
      <c r="A16512" s="86" t="str">
        <f>IFERROR(__xludf.DUMMYFUNCTION("""COMPUTED_VALUE"""),"")</f>
        <v/>
      </c>
      <c r="B16512" s="87"/>
      <c r="C16512" s="87"/>
      <c r="D16512" s="87"/>
      <c r="E16512" s="87"/>
      <c r="F16512" s="87"/>
      <c r="G16512" s="87"/>
    </row>
    <row r="16513">
      <c r="A16513" s="86" t="str">
        <f>IFERROR(__xludf.DUMMYFUNCTION("""COMPUTED_VALUE"""),"")</f>
        <v/>
      </c>
      <c r="B16513" s="87"/>
      <c r="C16513" s="87"/>
      <c r="D16513" s="87"/>
      <c r="E16513" s="87"/>
      <c r="F16513" s="87"/>
      <c r="G16513" s="87"/>
    </row>
    <row r="16514">
      <c r="A16514" s="86" t="str">
        <f>IFERROR(__xludf.DUMMYFUNCTION("""COMPUTED_VALUE"""),"")</f>
        <v/>
      </c>
      <c r="B16514" s="87"/>
      <c r="C16514" s="87"/>
      <c r="D16514" s="87"/>
      <c r="E16514" s="87"/>
      <c r="F16514" s="87"/>
      <c r="G16514" s="87"/>
    </row>
    <row r="16515">
      <c r="A16515" s="86" t="str">
        <f>IFERROR(__xludf.DUMMYFUNCTION("""COMPUTED_VALUE"""),"")</f>
        <v/>
      </c>
      <c r="B16515" s="87"/>
      <c r="C16515" s="87"/>
      <c r="D16515" s="87"/>
      <c r="E16515" s="87"/>
      <c r="F16515" s="87"/>
      <c r="G16515" s="87"/>
    </row>
    <row r="16516">
      <c r="A16516" s="86" t="str">
        <f>IFERROR(__xludf.DUMMYFUNCTION("""COMPUTED_VALUE"""),"")</f>
        <v/>
      </c>
      <c r="B16516" s="87"/>
      <c r="C16516" s="87"/>
      <c r="D16516" s="87"/>
      <c r="E16516" s="87"/>
      <c r="F16516" s="87"/>
      <c r="G16516" s="87"/>
    </row>
    <row r="16517">
      <c r="A16517" s="86" t="str">
        <f>IFERROR(__xludf.DUMMYFUNCTION("""COMPUTED_VALUE"""),"")</f>
        <v/>
      </c>
      <c r="B16517" s="87"/>
      <c r="C16517" s="87"/>
      <c r="D16517" s="87"/>
      <c r="E16517" s="87"/>
      <c r="F16517" s="87"/>
      <c r="G16517" s="87"/>
    </row>
    <row r="16518">
      <c r="A16518" s="86" t="str">
        <f>IFERROR(__xludf.DUMMYFUNCTION("""COMPUTED_VALUE"""),"")</f>
        <v/>
      </c>
      <c r="B16518" s="87"/>
      <c r="C16518" s="87"/>
      <c r="D16518" s="87"/>
      <c r="E16518" s="87"/>
      <c r="F16518" s="87"/>
      <c r="G16518" s="87"/>
    </row>
    <row r="16519">
      <c r="A16519" s="86" t="str">
        <f>IFERROR(__xludf.DUMMYFUNCTION("""COMPUTED_VALUE"""),"")</f>
        <v/>
      </c>
      <c r="B16519" s="87"/>
      <c r="C16519" s="87"/>
      <c r="D16519" s="87"/>
      <c r="E16519" s="87"/>
      <c r="F16519" s="87"/>
      <c r="G16519" s="87"/>
    </row>
    <row r="16520">
      <c r="A16520" s="86" t="str">
        <f>IFERROR(__xludf.DUMMYFUNCTION("""COMPUTED_VALUE"""),"")</f>
        <v/>
      </c>
      <c r="B16520" s="87"/>
      <c r="C16520" s="87"/>
      <c r="D16520" s="87"/>
      <c r="E16520" s="87"/>
      <c r="F16520" s="87"/>
      <c r="G16520" s="87"/>
    </row>
    <row r="16521">
      <c r="A16521" s="86" t="str">
        <f>IFERROR(__xludf.DUMMYFUNCTION("""COMPUTED_VALUE"""),"")</f>
        <v/>
      </c>
      <c r="B16521" s="87"/>
      <c r="C16521" s="87"/>
      <c r="D16521" s="87"/>
      <c r="E16521" s="87"/>
      <c r="F16521" s="87"/>
      <c r="G16521" s="87"/>
    </row>
    <row r="16522">
      <c r="A16522" s="86" t="str">
        <f>IFERROR(__xludf.DUMMYFUNCTION("""COMPUTED_VALUE"""),"")</f>
        <v/>
      </c>
      <c r="B16522" s="87"/>
      <c r="C16522" s="87"/>
      <c r="D16522" s="87"/>
      <c r="E16522" s="87"/>
      <c r="F16522" s="87"/>
      <c r="G16522" s="87"/>
    </row>
    <row r="16523">
      <c r="A16523" s="86" t="str">
        <f>IFERROR(__xludf.DUMMYFUNCTION("""COMPUTED_VALUE"""),"")</f>
        <v/>
      </c>
      <c r="B16523" s="87"/>
      <c r="C16523" s="87"/>
      <c r="D16523" s="87"/>
      <c r="E16523" s="87"/>
      <c r="F16523" s="87"/>
      <c r="G16523" s="87"/>
    </row>
    <row r="16524">
      <c r="A16524" s="86" t="str">
        <f>IFERROR(__xludf.DUMMYFUNCTION("""COMPUTED_VALUE"""),"")</f>
        <v/>
      </c>
      <c r="B16524" s="87"/>
      <c r="C16524" s="87"/>
      <c r="D16524" s="87"/>
      <c r="E16524" s="87"/>
      <c r="F16524" s="87"/>
      <c r="G16524" s="87"/>
    </row>
    <row r="16525">
      <c r="A16525" s="86" t="str">
        <f>IFERROR(__xludf.DUMMYFUNCTION("""COMPUTED_VALUE"""),"")</f>
        <v/>
      </c>
      <c r="B16525" s="87"/>
      <c r="C16525" s="87"/>
      <c r="D16525" s="87"/>
      <c r="E16525" s="87"/>
      <c r="F16525" s="87"/>
      <c r="G16525" s="87"/>
    </row>
    <row r="16526">
      <c r="A16526" s="86" t="str">
        <f>IFERROR(__xludf.DUMMYFUNCTION("""COMPUTED_VALUE"""),"")</f>
        <v/>
      </c>
      <c r="B16526" s="87"/>
      <c r="C16526" s="87"/>
      <c r="D16526" s="87"/>
      <c r="E16526" s="87"/>
      <c r="F16526" s="87"/>
      <c r="G16526" s="87"/>
    </row>
    <row r="16527">
      <c r="A16527" s="86" t="str">
        <f>IFERROR(__xludf.DUMMYFUNCTION("""COMPUTED_VALUE"""),"")</f>
        <v/>
      </c>
      <c r="B16527" s="87"/>
      <c r="C16527" s="87"/>
      <c r="D16527" s="87"/>
      <c r="E16527" s="87"/>
      <c r="F16527" s="87"/>
      <c r="G16527" s="87"/>
    </row>
    <row r="16528">
      <c r="A16528" s="86" t="str">
        <f>IFERROR(__xludf.DUMMYFUNCTION("""COMPUTED_VALUE"""),"")</f>
        <v/>
      </c>
      <c r="B16528" s="87"/>
      <c r="C16528" s="87"/>
      <c r="D16528" s="87"/>
      <c r="E16528" s="87"/>
      <c r="F16528" s="87"/>
      <c r="G16528" s="87"/>
    </row>
    <row r="16529">
      <c r="A16529" s="86" t="str">
        <f>IFERROR(__xludf.DUMMYFUNCTION("""COMPUTED_VALUE"""),"")</f>
        <v/>
      </c>
      <c r="B16529" s="87"/>
      <c r="C16529" s="87"/>
      <c r="D16529" s="87"/>
      <c r="E16529" s="87"/>
      <c r="F16529" s="87"/>
      <c r="G16529" s="87"/>
    </row>
    <row r="16530">
      <c r="A16530" s="86" t="str">
        <f>IFERROR(__xludf.DUMMYFUNCTION("""COMPUTED_VALUE"""),"")</f>
        <v/>
      </c>
      <c r="B16530" s="87"/>
      <c r="C16530" s="87"/>
      <c r="D16530" s="87"/>
      <c r="E16530" s="87"/>
      <c r="F16530" s="87"/>
      <c r="G16530" s="87"/>
    </row>
    <row r="16531">
      <c r="A16531" s="86" t="str">
        <f>IFERROR(__xludf.DUMMYFUNCTION("""COMPUTED_VALUE"""),"")</f>
        <v/>
      </c>
      <c r="B16531" s="87"/>
      <c r="C16531" s="87"/>
      <c r="D16531" s="87"/>
      <c r="E16531" s="87"/>
      <c r="F16531" s="87"/>
      <c r="G16531" s="87"/>
    </row>
    <row r="16532">
      <c r="A16532" s="86" t="str">
        <f>IFERROR(__xludf.DUMMYFUNCTION("""COMPUTED_VALUE"""),"")</f>
        <v/>
      </c>
      <c r="B16532" s="87"/>
      <c r="C16532" s="87"/>
      <c r="D16532" s="87"/>
      <c r="E16532" s="87"/>
      <c r="F16532" s="87"/>
      <c r="G16532" s="87"/>
    </row>
    <row r="16533">
      <c r="A16533" s="86" t="str">
        <f>IFERROR(__xludf.DUMMYFUNCTION("""COMPUTED_VALUE"""),"")</f>
        <v/>
      </c>
      <c r="B16533" s="87"/>
      <c r="C16533" s="87"/>
      <c r="D16533" s="87"/>
      <c r="E16533" s="87"/>
      <c r="F16533" s="87"/>
      <c r="G16533" s="87"/>
    </row>
    <row r="16534">
      <c r="A16534" s="86" t="str">
        <f>IFERROR(__xludf.DUMMYFUNCTION("""COMPUTED_VALUE"""),"")</f>
        <v/>
      </c>
      <c r="B16534" s="87"/>
      <c r="C16534" s="87"/>
      <c r="D16534" s="87"/>
      <c r="E16534" s="87"/>
      <c r="F16534" s="87"/>
      <c r="G16534" s="87"/>
    </row>
    <row r="16535">
      <c r="A16535" s="86" t="str">
        <f>IFERROR(__xludf.DUMMYFUNCTION("""COMPUTED_VALUE"""),"")</f>
        <v/>
      </c>
      <c r="B16535" s="87"/>
      <c r="C16535" s="87"/>
      <c r="D16535" s="87"/>
      <c r="E16535" s="87"/>
      <c r="F16535" s="87"/>
      <c r="G16535" s="87"/>
    </row>
    <row r="16536">
      <c r="A16536" s="86" t="str">
        <f>IFERROR(__xludf.DUMMYFUNCTION("""COMPUTED_VALUE"""),"")</f>
        <v/>
      </c>
      <c r="B16536" s="87"/>
      <c r="C16536" s="87"/>
      <c r="D16536" s="87"/>
      <c r="E16536" s="87"/>
      <c r="F16536" s="87"/>
      <c r="G16536" s="87"/>
    </row>
    <row r="16537">
      <c r="A16537" s="86" t="str">
        <f>IFERROR(__xludf.DUMMYFUNCTION("""COMPUTED_VALUE"""),"")</f>
        <v/>
      </c>
      <c r="B16537" s="87"/>
      <c r="C16537" s="87"/>
      <c r="D16537" s="87"/>
      <c r="E16537" s="87"/>
      <c r="F16537" s="87"/>
      <c r="G16537" s="87"/>
    </row>
    <row r="16538">
      <c r="A16538" s="86" t="str">
        <f>IFERROR(__xludf.DUMMYFUNCTION("""COMPUTED_VALUE"""),"")</f>
        <v/>
      </c>
      <c r="B16538" s="87"/>
      <c r="C16538" s="87"/>
      <c r="D16538" s="87"/>
      <c r="E16538" s="87"/>
      <c r="F16538" s="87"/>
      <c r="G16538" s="87"/>
    </row>
    <row r="16539">
      <c r="A16539" s="86" t="str">
        <f>IFERROR(__xludf.DUMMYFUNCTION("""COMPUTED_VALUE"""),"")</f>
        <v/>
      </c>
      <c r="B16539" s="87"/>
      <c r="C16539" s="87"/>
      <c r="D16539" s="87"/>
      <c r="E16539" s="87"/>
      <c r="F16539" s="87"/>
      <c r="G16539" s="87"/>
    </row>
    <row r="16540">
      <c r="A16540" s="86" t="str">
        <f>IFERROR(__xludf.DUMMYFUNCTION("""COMPUTED_VALUE"""),"")</f>
        <v/>
      </c>
      <c r="B16540" s="87"/>
      <c r="C16540" s="87"/>
      <c r="D16540" s="87"/>
      <c r="E16540" s="87"/>
      <c r="F16540" s="87"/>
      <c r="G16540" s="87"/>
    </row>
    <row r="16541">
      <c r="A16541" s="86" t="str">
        <f>IFERROR(__xludf.DUMMYFUNCTION("""COMPUTED_VALUE"""),"")</f>
        <v/>
      </c>
      <c r="B16541" s="87"/>
      <c r="C16541" s="87"/>
      <c r="D16541" s="87"/>
      <c r="E16541" s="87"/>
      <c r="F16541" s="87"/>
      <c r="G16541" s="87"/>
    </row>
    <row r="16542">
      <c r="A16542" s="86" t="str">
        <f>IFERROR(__xludf.DUMMYFUNCTION("""COMPUTED_VALUE"""),"")</f>
        <v/>
      </c>
      <c r="B16542" s="87"/>
      <c r="C16542" s="87"/>
      <c r="D16542" s="87"/>
      <c r="E16542" s="87"/>
      <c r="F16542" s="87"/>
      <c r="G16542" s="87"/>
    </row>
    <row r="16543">
      <c r="A16543" s="86" t="str">
        <f>IFERROR(__xludf.DUMMYFUNCTION("""COMPUTED_VALUE"""),"")</f>
        <v/>
      </c>
      <c r="B16543" s="87"/>
      <c r="C16543" s="87"/>
      <c r="D16543" s="87"/>
      <c r="E16543" s="87"/>
      <c r="F16543" s="87"/>
      <c r="G16543" s="87"/>
    </row>
    <row r="16544">
      <c r="A16544" s="86" t="str">
        <f>IFERROR(__xludf.DUMMYFUNCTION("""COMPUTED_VALUE"""),"")</f>
        <v/>
      </c>
      <c r="B16544" s="87"/>
      <c r="C16544" s="87"/>
      <c r="D16544" s="87"/>
      <c r="E16544" s="87"/>
      <c r="F16544" s="87"/>
      <c r="G16544" s="87"/>
    </row>
    <row r="16545">
      <c r="A16545" s="86" t="str">
        <f>IFERROR(__xludf.DUMMYFUNCTION("""COMPUTED_VALUE"""),"")</f>
        <v/>
      </c>
      <c r="B16545" s="87"/>
      <c r="C16545" s="87"/>
      <c r="D16545" s="87"/>
      <c r="E16545" s="87"/>
      <c r="F16545" s="87"/>
      <c r="G16545" s="87"/>
    </row>
    <row r="16546">
      <c r="A16546" s="86" t="str">
        <f>IFERROR(__xludf.DUMMYFUNCTION("""COMPUTED_VALUE"""),"")</f>
        <v/>
      </c>
      <c r="B16546" s="87"/>
      <c r="C16546" s="87"/>
      <c r="D16546" s="87"/>
      <c r="E16546" s="87"/>
      <c r="F16546" s="87"/>
      <c r="G16546" s="87"/>
    </row>
    <row r="16547">
      <c r="A16547" s="86" t="str">
        <f>IFERROR(__xludf.DUMMYFUNCTION("""COMPUTED_VALUE"""),"")</f>
        <v/>
      </c>
      <c r="B16547" s="87"/>
      <c r="C16547" s="87"/>
      <c r="D16547" s="87"/>
      <c r="E16547" s="87"/>
      <c r="F16547" s="87"/>
      <c r="G16547" s="87"/>
    </row>
    <row r="16548">
      <c r="A16548" s="86" t="str">
        <f>IFERROR(__xludf.DUMMYFUNCTION("""COMPUTED_VALUE"""),"")</f>
        <v/>
      </c>
      <c r="B16548" s="87"/>
      <c r="C16548" s="87"/>
      <c r="D16548" s="87"/>
      <c r="E16548" s="87"/>
      <c r="F16548" s="87"/>
      <c r="G16548" s="87"/>
    </row>
    <row r="16549">
      <c r="A16549" s="86" t="str">
        <f>IFERROR(__xludf.DUMMYFUNCTION("""COMPUTED_VALUE"""),"")</f>
        <v/>
      </c>
      <c r="B16549" s="87"/>
      <c r="C16549" s="87"/>
      <c r="D16549" s="87"/>
      <c r="E16549" s="87"/>
      <c r="F16549" s="87"/>
      <c r="G16549" s="87"/>
    </row>
    <row r="16550">
      <c r="A16550" s="86" t="str">
        <f>IFERROR(__xludf.DUMMYFUNCTION("""COMPUTED_VALUE"""),"")</f>
        <v/>
      </c>
      <c r="B16550" s="87"/>
      <c r="C16550" s="87"/>
      <c r="D16550" s="87"/>
      <c r="E16550" s="87"/>
      <c r="F16550" s="87"/>
      <c r="G16550" s="87"/>
    </row>
    <row r="16551">
      <c r="A16551" s="86" t="str">
        <f>IFERROR(__xludf.DUMMYFUNCTION("""COMPUTED_VALUE"""),"")</f>
        <v/>
      </c>
      <c r="B16551" s="87"/>
      <c r="C16551" s="87"/>
      <c r="D16551" s="87"/>
      <c r="E16551" s="87"/>
      <c r="F16551" s="87"/>
      <c r="G16551" s="87"/>
    </row>
    <row r="16552">
      <c r="A16552" s="86" t="str">
        <f>IFERROR(__xludf.DUMMYFUNCTION("""COMPUTED_VALUE"""),"")</f>
        <v/>
      </c>
      <c r="B16552" s="87"/>
      <c r="C16552" s="87"/>
      <c r="D16552" s="87"/>
      <c r="E16552" s="87"/>
      <c r="F16552" s="87"/>
      <c r="G16552" s="87"/>
    </row>
    <row r="16553">
      <c r="A16553" s="86" t="str">
        <f>IFERROR(__xludf.DUMMYFUNCTION("""COMPUTED_VALUE"""),"")</f>
        <v/>
      </c>
      <c r="B16553" s="87"/>
      <c r="C16553" s="87"/>
      <c r="D16553" s="87"/>
      <c r="E16553" s="87"/>
      <c r="F16553" s="87"/>
      <c r="G16553" s="87"/>
    </row>
    <row r="16554">
      <c r="A16554" s="86" t="str">
        <f>IFERROR(__xludf.DUMMYFUNCTION("""COMPUTED_VALUE"""),"")</f>
        <v/>
      </c>
      <c r="B16554" s="87"/>
      <c r="C16554" s="87"/>
      <c r="D16554" s="87"/>
      <c r="E16554" s="87"/>
      <c r="F16554" s="87"/>
      <c r="G16554" s="87"/>
    </row>
    <row r="16555">
      <c r="A16555" s="86" t="str">
        <f>IFERROR(__xludf.DUMMYFUNCTION("""COMPUTED_VALUE"""),"")</f>
        <v/>
      </c>
      <c r="B16555" s="87"/>
      <c r="C16555" s="87"/>
      <c r="D16555" s="87"/>
      <c r="E16555" s="87"/>
      <c r="F16555" s="87"/>
      <c r="G16555" s="87"/>
    </row>
    <row r="16556">
      <c r="A16556" s="86" t="str">
        <f>IFERROR(__xludf.DUMMYFUNCTION("""COMPUTED_VALUE"""),"")</f>
        <v/>
      </c>
      <c r="B16556" s="87"/>
      <c r="C16556" s="87"/>
      <c r="D16556" s="87"/>
      <c r="E16556" s="87"/>
      <c r="F16556" s="87"/>
      <c r="G16556" s="87"/>
    </row>
    <row r="16557">
      <c r="A16557" s="86" t="str">
        <f>IFERROR(__xludf.DUMMYFUNCTION("""COMPUTED_VALUE"""),"")</f>
        <v/>
      </c>
      <c r="B16557" s="87"/>
      <c r="C16557" s="87"/>
      <c r="D16557" s="87"/>
      <c r="E16557" s="87"/>
      <c r="F16557" s="87"/>
      <c r="G16557" s="87"/>
    </row>
    <row r="16558">
      <c r="A16558" s="86" t="str">
        <f>IFERROR(__xludf.DUMMYFUNCTION("""COMPUTED_VALUE"""),"")</f>
        <v/>
      </c>
      <c r="B16558" s="87"/>
      <c r="C16558" s="87"/>
      <c r="D16558" s="87"/>
      <c r="E16558" s="87"/>
      <c r="F16558" s="87"/>
      <c r="G16558" s="87"/>
    </row>
    <row r="16559">
      <c r="A16559" s="86" t="str">
        <f>IFERROR(__xludf.DUMMYFUNCTION("""COMPUTED_VALUE"""),"")</f>
        <v/>
      </c>
      <c r="B16559" s="87"/>
      <c r="C16559" s="87"/>
      <c r="D16559" s="87"/>
      <c r="E16559" s="87"/>
      <c r="F16559" s="87"/>
      <c r="G16559" s="87"/>
    </row>
    <row r="16560">
      <c r="A16560" s="86" t="str">
        <f>IFERROR(__xludf.DUMMYFUNCTION("""COMPUTED_VALUE"""),"")</f>
        <v/>
      </c>
      <c r="B16560" s="87"/>
      <c r="C16560" s="87"/>
      <c r="D16560" s="87"/>
      <c r="E16560" s="87"/>
      <c r="F16560" s="87"/>
      <c r="G16560" s="87"/>
    </row>
    <row r="16561">
      <c r="A16561" s="86" t="str">
        <f>IFERROR(__xludf.DUMMYFUNCTION("""COMPUTED_VALUE"""),"")</f>
        <v/>
      </c>
      <c r="B16561" s="87"/>
      <c r="C16561" s="87"/>
      <c r="D16561" s="87"/>
      <c r="E16561" s="87"/>
      <c r="F16561" s="87"/>
      <c r="G16561" s="87"/>
    </row>
    <row r="16562">
      <c r="A16562" s="86" t="str">
        <f>IFERROR(__xludf.DUMMYFUNCTION("""COMPUTED_VALUE"""),"")</f>
        <v/>
      </c>
      <c r="B16562" s="87"/>
      <c r="C16562" s="87"/>
      <c r="D16562" s="87"/>
      <c r="E16562" s="87"/>
      <c r="F16562" s="87"/>
      <c r="G16562" s="87"/>
    </row>
    <row r="16563">
      <c r="A16563" s="86" t="str">
        <f>IFERROR(__xludf.DUMMYFUNCTION("""COMPUTED_VALUE"""),"")</f>
        <v/>
      </c>
      <c r="B16563" s="87"/>
      <c r="C16563" s="87"/>
      <c r="D16563" s="87"/>
      <c r="E16563" s="87"/>
      <c r="F16563" s="87"/>
      <c r="G16563" s="87"/>
    </row>
    <row r="16564">
      <c r="A16564" s="86" t="str">
        <f>IFERROR(__xludf.DUMMYFUNCTION("""COMPUTED_VALUE"""),"")</f>
        <v/>
      </c>
      <c r="B16564" s="87"/>
      <c r="C16564" s="87"/>
      <c r="D16564" s="87"/>
      <c r="E16564" s="87"/>
      <c r="F16564" s="87"/>
      <c r="G16564" s="87"/>
    </row>
    <row r="16565">
      <c r="A16565" s="86" t="str">
        <f>IFERROR(__xludf.DUMMYFUNCTION("""COMPUTED_VALUE"""),"")</f>
        <v/>
      </c>
      <c r="B16565" s="87"/>
      <c r="C16565" s="87"/>
      <c r="D16565" s="87"/>
      <c r="E16565" s="87"/>
      <c r="F16565" s="87"/>
      <c r="G16565" s="87"/>
    </row>
    <row r="16566">
      <c r="A16566" s="86" t="str">
        <f>IFERROR(__xludf.DUMMYFUNCTION("""COMPUTED_VALUE"""),"")</f>
        <v/>
      </c>
      <c r="B16566" s="87"/>
      <c r="C16566" s="87"/>
      <c r="D16566" s="87"/>
      <c r="E16566" s="87"/>
      <c r="F16566" s="87"/>
      <c r="G16566" s="87"/>
    </row>
    <row r="16567">
      <c r="A16567" s="86" t="str">
        <f>IFERROR(__xludf.DUMMYFUNCTION("""COMPUTED_VALUE"""),"")</f>
        <v/>
      </c>
      <c r="B16567" s="87"/>
      <c r="C16567" s="87"/>
      <c r="D16567" s="87"/>
      <c r="E16567" s="87"/>
      <c r="F16567" s="87"/>
      <c r="G16567" s="87"/>
    </row>
    <row r="16568">
      <c r="A16568" s="86" t="str">
        <f>IFERROR(__xludf.DUMMYFUNCTION("""COMPUTED_VALUE"""),"")</f>
        <v/>
      </c>
      <c r="B16568" s="87"/>
      <c r="C16568" s="87"/>
      <c r="D16568" s="87"/>
      <c r="E16568" s="87"/>
      <c r="F16568" s="87"/>
      <c r="G16568" s="87"/>
    </row>
    <row r="16569">
      <c r="A16569" s="86" t="str">
        <f>IFERROR(__xludf.DUMMYFUNCTION("""COMPUTED_VALUE"""),"")</f>
        <v/>
      </c>
      <c r="B16569" s="87"/>
      <c r="C16569" s="87"/>
      <c r="D16569" s="87"/>
      <c r="E16569" s="87"/>
      <c r="F16569" s="87"/>
      <c r="G16569" s="87"/>
    </row>
    <row r="16570">
      <c r="A16570" s="86" t="str">
        <f>IFERROR(__xludf.DUMMYFUNCTION("""COMPUTED_VALUE"""),"")</f>
        <v/>
      </c>
      <c r="B16570" s="87"/>
      <c r="C16570" s="87"/>
      <c r="D16570" s="87"/>
      <c r="E16570" s="87"/>
      <c r="F16570" s="87"/>
      <c r="G16570" s="87"/>
    </row>
    <row r="16571">
      <c r="A16571" s="86" t="str">
        <f>IFERROR(__xludf.DUMMYFUNCTION("""COMPUTED_VALUE"""),"")</f>
        <v/>
      </c>
      <c r="B16571" s="87"/>
      <c r="C16571" s="87"/>
      <c r="D16571" s="87"/>
      <c r="E16571" s="87"/>
      <c r="F16571" s="87"/>
      <c r="G16571" s="87"/>
    </row>
    <row r="16572">
      <c r="A16572" s="86" t="str">
        <f>IFERROR(__xludf.DUMMYFUNCTION("""COMPUTED_VALUE"""),"")</f>
        <v/>
      </c>
      <c r="B16572" s="87"/>
      <c r="C16572" s="87"/>
      <c r="D16572" s="87"/>
      <c r="E16572" s="87"/>
      <c r="F16572" s="87"/>
      <c r="G16572" s="87"/>
    </row>
    <row r="16573">
      <c r="A16573" s="86" t="str">
        <f>IFERROR(__xludf.DUMMYFUNCTION("""COMPUTED_VALUE"""),"")</f>
        <v/>
      </c>
      <c r="B16573" s="87"/>
      <c r="C16573" s="87"/>
      <c r="D16573" s="87"/>
      <c r="E16573" s="87"/>
      <c r="F16573" s="87"/>
      <c r="G16573" s="87"/>
    </row>
    <row r="16574">
      <c r="A16574" s="86" t="str">
        <f>IFERROR(__xludf.DUMMYFUNCTION("""COMPUTED_VALUE"""),"")</f>
        <v/>
      </c>
      <c r="B16574" s="87"/>
      <c r="C16574" s="87"/>
      <c r="D16574" s="87"/>
      <c r="E16574" s="87"/>
      <c r="F16574" s="87"/>
      <c r="G16574" s="87"/>
    </row>
    <row r="16575">
      <c r="A16575" s="86" t="str">
        <f>IFERROR(__xludf.DUMMYFUNCTION("""COMPUTED_VALUE"""),"")</f>
        <v/>
      </c>
      <c r="B16575" s="87"/>
      <c r="C16575" s="87"/>
      <c r="D16575" s="87"/>
      <c r="E16575" s="87"/>
      <c r="F16575" s="87"/>
      <c r="G16575" s="87"/>
    </row>
    <row r="16576">
      <c r="A16576" s="86" t="str">
        <f>IFERROR(__xludf.DUMMYFUNCTION("""COMPUTED_VALUE"""),"")</f>
        <v/>
      </c>
      <c r="B16576" s="87"/>
      <c r="C16576" s="87"/>
      <c r="D16576" s="87"/>
      <c r="E16576" s="87"/>
      <c r="F16576" s="87"/>
      <c r="G16576" s="87"/>
    </row>
    <row r="16577">
      <c r="A16577" s="86" t="str">
        <f>IFERROR(__xludf.DUMMYFUNCTION("""COMPUTED_VALUE"""),"")</f>
        <v/>
      </c>
      <c r="B16577" s="87"/>
      <c r="C16577" s="87"/>
      <c r="D16577" s="87"/>
      <c r="E16577" s="87"/>
      <c r="F16577" s="87"/>
      <c r="G16577" s="87"/>
    </row>
    <row r="16578">
      <c r="A16578" s="86" t="str">
        <f>IFERROR(__xludf.DUMMYFUNCTION("""COMPUTED_VALUE"""),"")</f>
        <v/>
      </c>
      <c r="B16578" s="87"/>
      <c r="C16578" s="87"/>
      <c r="D16578" s="87"/>
      <c r="E16578" s="87"/>
      <c r="F16578" s="87"/>
      <c r="G16578" s="87"/>
    </row>
    <row r="16579">
      <c r="A16579" s="86" t="str">
        <f>IFERROR(__xludf.DUMMYFUNCTION("""COMPUTED_VALUE"""),"")</f>
        <v/>
      </c>
      <c r="B16579" s="87"/>
      <c r="C16579" s="87"/>
      <c r="D16579" s="87"/>
      <c r="E16579" s="87"/>
      <c r="F16579" s="87"/>
      <c r="G16579" s="87"/>
    </row>
    <row r="16580">
      <c r="A16580" s="86" t="str">
        <f>IFERROR(__xludf.DUMMYFUNCTION("""COMPUTED_VALUE"""),"")</f>
        <v/>
      </c>
      <c r="B16580" s="87"/>
      <c r="C16580" s="87"/>
      <c r="D16580" s="87"/>
      <c r="E16580" s="87"/>
      <c r="F16580" s="87"/>
      <c r="G16580" s="87"/>
    </row>
    <row r="16581">
      <c r="A16581" s="86" t="str">
        <f>IFERROR(__xludf.DUMMYFUNCTION("""COMPUTED_VALUE"""),"")</f>
        <v/>
      </c>
      <c r="B16581" s="87"/>
      <c r="C16581" s="87"/>
      <c r="D16581" s="87"/>
      <c r="E16581" s="87"/>
      <c r="F16581" s="87"/>
      <c r="G16581" s="87"/>
    </row>
    <row r="16582">
      <c r="A16582" s="86" t="str">
        <f>IFERROR(__xludf.DUMMYFUNCTION("""COMPUTED_VALUE"""),"")</f>
        <v/>
      </c>
      <c r="B16582" s="87"/>
      <c r="C16582" s="87"/>
      <c r="D16582" s="87"/>
      <c r="E16582" s="87"/>
      <c r="F16582" s="87"/>
      <c r="G16582" s="87"/>
    </row>
    <row r="16583">
      <c r="A16583" s="86" t="str">
        <f>IFERROR(__xludf.DUMMYFUNCTION("""COMPUTED_VALUE"""),"")</f>
        <v/>
      </c>
      <c r="B16583" s="87"/>
      <c r="C16583" s="87"/>
      <c r="D16583" s="87"/>
      <c r="E16583" s="87"/>
      <c r="F16583" s="87"/>
      <c r="G16583" s="87"/>
    </row>
    <row r="16584">
      <c r="A16584" s="86" t="str">
        <f>IFERROR(__xludf.DUMMYFUNCTION("""COMPUTED_VALUE"""),"")</f>
        <v/>
      </c>
      <c r="B16584" s="87"/>
      <c r="C16584" s="87"/>
      <c r="D16584" s="87"/>
      <c r="E16584" s="87"/>
      <c r="F16584" s="87"/>
      <c r="G16584" s="87"/>
    </row>
    <row r="16585">
      <c r="A16585" s="86" t="str">
        <f>IFERROR(__xludf.DUMMYFUNCTION("""COMPUTED_VALUE"""),"")</f>
        <v/>
      </c>
      <c r="B16585" s="87"/>
      <c r="C16585" s="87"/>
      <c r="D16585" s="87"/>
      <c r="E16585" s="87"/>
      <c r="F16585" s="87"/>
      <c r="G16585" s="87"/>
    </row>
    <row r="16586">
      <c r="A16586" s="86" t="str">
        <f>IFERROR(__xludf.DUMMYFUNCTION("""COMPUTED_VALUE"""),"")</f>
        <v/>
      </c>
      <c r="B16586" s="87"/>
      <c r="C16586" s="87"/>
      <c r="D16586" s="87"/>
      <c r="E16586" s="87"/>
      <c r="F16586" s="87"/>
      <c r="G16586" s="87"/>
    </row>
    <row r="16587">
      <c r="A16587" s="86" t="str">
        <f>IFERROR(__xludf.DUMMYFUNCTION("""COMPUTED_VALUE"""),"")</f>
        <v/>
      </c>
      <c r="B16587" s="87"/>
      <c r="C16587" s="87"/>
      <c r="D16587" s="87"/>
      <c r="E16587" s="87"/>
      <c r="F16587" s="87"/>
      <c r="G16587" s="87"/>
    </row>
    <row r="16588">
      <c r="A16588" s="86" t="str">
        <f>IFERROR(__xludf.DUMMYFUNCTION("""COMPUTED_VALUE"""),"")</f>
        <v/>
      </c>
      <c r="B16588" s="87"/>
      <c r="C16588" s="87"/>
      <c r="D16588" s="87"/>
      <c r="E16588" s="87"/>
      <c r="F16588" s="87"/>
      <c r="G16588" s="87"/>
    </row>
    <row r="16589">
      <c r="A16589" s="86" t="str">
        <f>IFERROR(__xludf.DUMMYFUNCTION("""COMPUTED_VALUE"""),"")</f>
        <v/>
      </c>
      <c r="B16589" s="87"/>
      <c r="C16589" s="87"/>
      <c r="D16589" s="87"/>
      <c r="E16589" s="87"/>
      <c r="F16589" s="87"/>
      <c r="G16589" s="87"/>
    </row>
    <row r="16590">
      <c r="A16590" s="86" t="str">
        <f>IFERROR(__xludf.DUMMYFUNCTION("""COMPUTED_VALUE"""),"")</f>
        <v/>
      </c>
      <c r="B16590" s="87"/>
      <c r="C16590" s="87"/>
      <c r="D16590" s="87"/>
      <c r="E16590" s="87"/>
      <c r="F16590" s="87"/>
      <c r="G16590" s="87"/>
    </row>
    <row r="16591">
      <c r="A16591" s="86" t="str">
        <f>IFERROR(__xludf.DUMMYFUNCTION("""COMPUTED_VALUE"""),"")</f>
        <v/>
      </c>
      <c r="B16591" s="87"/>
      <c r="C16591" s="87"/>
      <c r="D16591" s="87"/>
      <c r="E16591" s="87"/>
      <c r="F16591" s="87"/>
      <c r="G16591" s="87"/>
    </row>
    <row r="16592">
      <c r="A16592" s="86" t="str">
        <f>IFERROR(__xludf.DUMMYFUNCTION("""COMPUTED_VALUE"""),"")</f>
        <v/>
      </c>
      <c r="B16592" s="87"/>
      <c r="C16592" s="87"/>
      <c r="D16592" s="87"/>
      <c r="E16592" s="87"/>
      <c r="F16592" s="87"/>
      <c r="G16592" s="87"/>
    </row>
    <row r="16593">
      <c r="A16593" s="86" t="str">
        <f>IFERROR(__xludf.DUMMYFUNCTION("""COMPUTED_VALUE"""),"")</f>
        <v/>
      </c>
      <c r="B16593" s="87"/>
      <c r="C16593" s="87"/>
      <c r="D16593" s="87"/>
      <c r="E16593" s="87"/>
      <c r="F16593" s="87"/>
      <c r="G16593" s="87"/>
    </row>
    <row r="16594">
      <c r="A16594" s="86" t="str">
        <f>IFERROR(__xludf.DUMMYFUNCTION("""COMPUTED_VALUE"""),"")</f>
        <v/>
      </c>
      <c r="B16594" s="87"/>
      <c r="C16594" s="87"/>
      <c r="D16594" s="87"/>
      <c r="E16594" s="87"/>
      <c r="F16594" s="87"/>
      <c r="G16594" s="87"/>
    </row>
    <row r="16595">
      <c r="A16595" s="86" t="str">
        <f>IFERROR(__xludf.DUMMYFUNCTION("""COMPUTED_VALUE"""),"")</f>
        <v/>
      </c>
      <c r="B16595" s="87"/>
      <c r="C16595" s="87"/>
      <c r="D16595" s="87"/>
      <c r="E16595" s="87"/>
      <c r="F16595" s="87"/>
      <c r="G16595" s="87"/>
    </row>
    <row r="16596">
      <c r="A16596" s="86" t="str">
        <f>IFERROR(__xludf.DUMMYFUNCTION("""COMPUTED_VALUE"""),"")</f>
        <v/>
      </c>
      <c r="B16596" s="87"/>
      <c r="C16596" s="87"/>
      <c r="D16596" s="87"/>
      <c r="E16596" s="87"/>
      <c r="F16596" s="87"/>
      <c r="G16596" s="87"/>
    </row>
    <row r="16597">
      <c r="A16597" s="86" t="str">
        <f>IFERROR(__xludf.DUMMYFUNCTION("""COMPUTED_VALUE"""),"")</f>
        <v/>
      </c>
      <c r="B16597" s="87"/>
      <c r="C16597" s="87"/>
      <c r="D16597" s="87"/>
      <c r="E16597" s="87"/>
      <c r="F16597" s="87"/>
      <c r="G16597" s="87"/>
    </row>
    <row r="16598">
      <c r="A16598" s="86" t="str">
        <f>IFERROR(__xludf.DUMMYFUNCTION("""COMPUTED_VALUE"""),"")</f>
        <v/>
      </c>
      <c r="B16598" s="87"/>
      <c r="C16598" s="87"/>
      <c r="D16598" s="87"/>
      <c r="E16598" s="87"/>
      <c r="F16598" s="87"/>
      <c r="G16598" s="87"/>
    </row>
    <row r="16599">
      <c r="A16599" s="86" t="str">
        <f>IFERROR(__xludf.DUMMYFUNCTION("""COMPUTED_VALUE"""),"")</f>
        <v/>
      </c>
      <c r="B16599" s="87"/>
      <c r="C16599" s="87"/>
      <c r="D16599" s="87"/>
      <c r="E16599" s="87"/>
      <c r="F16599" s="87"/>
      <c r="G16599" s="87"/>
    </row>
    <row r="16600">
      <c r="A16600" s="86" t="str">
        <f>IFERROR(__xludf.DUMMYFUNCTION("""COMPUTED_VALUE"""),"")</f>
        <v/>
      </c>
      <c r="B16600" s="87"/>
      <c r="C16600" s="87"/>
      <c r="D16600" s="87"/>
      <c r="E16600" s="87"/>
      <c r="F16600" s="87"/>
      <c r="G16600" s="87"/>
    </row>
    <row r="16601">
      <c r="A16601" s="86" t="str">
        <f>IFERROR(__xludf.DUMMYFUNCTION("""COMPUTED_VALUE"""),"")</f>
        <v/>
      </c>
      <c r="B16601" s="87"/>
      <c r="C16601" s="87"/>
      <c r="D16601" s="87"/>
      <c r="E16601" s="87"/>
      <c r="F16601" s="87"/>
      <c r="G16601" s="87"/>
    </row>
    <row r="16602">
      <c r="A16602" s="86" t="str">
        <f>IFERROR(__xludf.DUMMYFUNCTION("""COMPUTED_VALUE"""),"")</f>
        <v/>
      </c>
      <c r="B16602" s="87"/>
      <c r="C16602" s="87"/>
      <c r="D16602" s="87"/>
      <c r="E16602" s="87"/>
      <c r="F16602" s="87"/>
      <c r="G16602" s="87"/>
    </row>
    <row r="16603">
      <c r="A16603" s="86" t="str">
        <f>IFERROR(__xludf.DUMMYFUNCTION("""COMPUTED_VALUE"""),"")</f>
        <v/>
      </c>
      <c r="B16603" s="87"/>
      <c r="C16603" s="87"/>
      <c r="D16603" s="87"/>
      <c r="E16603" s="87"/>
      <c r="F16603" s="87"/>
      <c r="G16603" s="87"/>
    </row>
    <row r="16604">
      <c r="A16604" s="86" t="str">
        <f>IFERROR(__xludf.DUMMYFUNCTION("""COMPUTED_VALUE"""),"")</f>
        <v/>
      </c>
      <c r="B16604" s="87"/>
      <c r="C16604" s="87"/>
      <c r="D16604" s="87"/>
      <c r="E16604" s="87"/>
      <c r="F16604" s="87"/>
      <c r="G16604" s="87"/>
    </row>
    <row r="16605">
      <c r="A16605" s="86" t="str">
        <f>IFERROR(__xludf.DUMMYFUNCTION("""COMPUTED_VALUE"""),"")</f>
        <v/>
      </c>
      <c r="B16605" s="87"/>
      <c r="C16605" s="87"/>
      <c r="D16605" s="87"/>
      <c r="E16605" s="87"/>
      <c r="F16605" s="87"/>
      <c r="G16605" s="87"/>
    </row>
    <row r="16606">
      <c r="A16606" s="86" t="str">
        <f>IFERROR(__xludf.DUMMYFUNCTION("""COMPUTED_VALUE"""),"")</f>
        <v/>
      </c>
      <c r="B16606" s="87"/>
      <c r="C16606" s="87"/>
      <c r="D16606" s="87"/>
      <c r="E16606" s="87"/>
      <c r="F16606" s="87"/>
      <c r="G16606" s="87"/>
    </row>
    <row r="16607">
      <c r="A16607" s="86" t="str">
        <f>IFERROR(__xludf.DUMMYFUNCTION("""COMPUTED_VALUE"""),"")</f>
        <v/>
      </c>
      <c r="B16607" s="87"/>
      <c r="C16607" s="87"/>
      <c r="D16607" s="87"/>
      <c r="E16607" s="87"/>
      <c r="F16607" s="87"/>
      <c r="G16607" s="87"/>
    </row>
    <row r="16608">
      <c r="A16608" s="86" t="str">
        <f>IFERROR(__xludf.DUMMYFUNCTION("""COMPUTED_VALUE"""),"")</f>
        <v/>
      </c>
      <c r="B16608" s="87"/>
      <c r="C16608" s="87"/>
      <c r="D16608" s="87"/>
      <c r="E16608" s="87"/>
      <c r="F16608" s="87"/>
      <c r="G16608" s="87"/>
    </row>
    <row r="16609">
      <c r="A16609" s="86" t="str">
        <f>IFERROR(__xludf.DUMMYFUNCTION("""COMPUTED_VALUE"""),"")</f>
        <v/>
      </c>
      <c r="B16609" s="87"/>
      <c r="C16609" s="87"/>
      <c r="D16609" s="87"/>
      <c r="E16609" s="87"/>
      <c r="F16609" s="87"/>
      <c r="G16609" s="87"/>
    </row>
    <row r="16610">
      <c r="A16610" s="86" t="str">
        <f>IFERROR(__xludf.DUMMYFUNCTION("""COMPUTED_VALUE"""),"")</f>
        <v/>
      </c>
      <c r="B16610" s="87"/>
      <c r="C16610" s="87"/>
      <c r="D16610" s="87"/>
      <c r="E16610" s="87"/>
      <c r="F16610" s="87"/>
      <c r="G16610" s="87"/>
    </row>
    <row r="16611">
      <c r="A16611" s="86" t="str">
        <f>IFERROR(__xludf.DUMMYFUNCTION("""COMPUTED_VALUE"""),"")</f>
        <v/>
      </c>
      <c r="B16611" s="87"/>
      <c r="C16611" s="87"/>
      <c r="D16611" s="87"/>
      <c r="E16611" s="87"/>
      <c r="F16611" s="87"/>
      <c r="G16611" s="87"/>
    </row>
    <row r="16612">
      <c r="A16612" s="86" t="str">
        <f>IFERROR(__xludf.DUMMYFUNCTION("""COMPUTED_VALUE"""),"")</f>
        <v/>
      </c>
      <c r="B16612" s="87"/>
      <c r="C16612" s="87"/>
      <c r="D16612" s="87"/>
      <c r="E16612" s="87"/>
      <c r="F16612" s="87"/>
      <c r="G16612" s="87"/>
    </row>
    <row r="16613">
      <c r="A16613" s="86" t="str">
        <f>IFERROR(__xludf.DUMMYFUNCTION("""COMPUTED_VALUE"""),"")</f>
        <v/>
      </c>
      <c r="B16613" s="87"/>
      <c r="C16613" s="87"/>
      <c r="D16613" s="87"/>
      <c r="E16613" s="87"/>
      <c r="F16613" s="87"/>
      <c r="G16613" s="87"/>
    </row>
    <row r="16614">
      <c r="A16614" s="86" t="str">
        <f>IFERROR(__xludf.DUMMYFUNCTION("""COMPUTED_VALUE"""),"")</f>
        <v/>
      </c>
      <c r="B16614" s="87"/>
      <c r="C16614" s="87"/>
      <c r="D16614" s="87"/>
      <c r="E16614" s="87"/>
      <c r="F16614" s="87"/>
      <c r="G16614" s="87"/>
    </row>
    <row r="16615">
      <c r="A16615" s="86" t="str">
        <f>IFERROR(__xludf.DUMMYFUNCTION("""COMPUTED_VALUE"""),"")</f>
        <v/>
      </c>
      <c r="B16615" s="87"/>
      <c r="C16615" s="87"/>
      <c r="D16615" s="87"/>
      <c r="E16615" s="87"/>
      <c r="F16615" s="87"/>
      <c r="G16615" s="87"/>
    </row>
    <row r="16616">
      <c r="A16616" s="86" t="str">
        <f>IFERROR(__xludf.DUMMYFUNCTION("""COMPUTED_VALUE"""),"")</f>
        <v/>
      </c>
      <c r="B16616" s="87"/>
      <c r="C16616" s="87"/>
      <c r="D16616" s="87"/>
      <c r="E16616" s="87"/>
      <c r="F16616" s="87"/>
      <c r="G16616" s="87"/>
    </row>
    <row r="16617">
      <c r="A16617" s="86" t="str">
        <f>IFERROR(__xludf.DUMMYFUNCTION("""COMPUTED_VALUE"""),"")</f>
        <v/>
      </c>
      <c r="B16617" s="87"/>
      <c r="C16617" s="87"/>
      <c r="D16617" s="87"/>
      <c r="E16617" s="87"/>
      <c r="F16617" s="87"/>
      <c r="G16617" s="87"/>
    </row>
    <row r="16618">
      <c r="A16618" s="86" t="str">
        <f>IFERROR(__xludf.DUMMYFUNCTION("""COMPUTED_VALUE"""),"")</f>
        <v/>
      </c>
      <c r="B16618" s="87"/>
      <c r="C16618" s="87"/>
      <c r="D16618" s="87"/>
      <c r="E16618" s="87"/>
      <c r="F16618" s="87"/>
      <c r="G16618" s="87"/>
    </row>
    <row r="16619">
      <c r="A16619" s="86" t="str">
        <f>IFERROR(__xludf.DUMMYFUNCTION("""COMPUTED_VALUE"""),"")</f>
        <v/>
      </c>
      <c r="B16619" s="87"/>
      <c r="C16619" s="87"/>
      <c r="D16619" s="87"/>
      <c r="E16619" s="87"/>
      <c r="F16619" s="87"/>
      <c r="G16619" s="87"/>
    </row>
    <row r="16620">
      <c r="A16620" s="86" t="str">
        <f>IFERROR(__xludf.DUMMYFUNCTION("""COMPUTED_VALUE"""),"")</f>
        <v/>
      </c>
      <c r="B16620" s="87"/>
      <c r="C16620" s="87"/>
      <c r="D16620" s="87"/>
      <c r="E16620" s="87"/>
      <c r="F16620" s="87"/>
      <c r="G16620" s="87"/>
    </row>
    <row r="16621">
      <c r="A16621" s="86" t="str">
        <f>IFERROR(__xludf.DUMMYFUNCTION("""COMPUTED_VALUE"""),"")</f>
        <v/>
      </c>
      <c r="B16621" s="87"/>
      <c r="C16621" s="87"/>
      <c r="D16621" s="87"/>
      <c r="E16621" s="87"/>
      <c r="F16621" s="87"/>
      <c r="G16621" s="87"/>
    </row>
    <row r="16622">
      <c r="A16622" s="86" t="str">
        <f>IFERROR(__xludf.DUMMYFUNCTION("""COMPUTED_VALUE"""),"")</f>
        <v/>
      </c>
      <c r="B16622" s="87"/>
      <c r="C16622" s="87"/>
      <c r="D16622" s="87"/>
      <c r="E16622" s="87"/>
      <c r="F16622" s="87"/>
      <c r="G16622" s="87"/>
    </row>
    <row r="16623">
      <c r="A16623" s="86" t="str">
        <f>IFERROR(__xludf.DUMMYFUNCTION("""COMPUTED_VALUE"""),"")</f>
        <v/>
      </c>
      <c r="B16623" s="87"/>
      <c r="C16623" s="87"/>
      <c r="D16623" s="87"/>
      <c r="E16623" s="87"/>
      <c r="F16623" s="87"/>
      <c r="G16623" s="87"/>
    </row>
    <row r="16624">
      <c r="A16624" s="86" t="str">
        <f>IFERROR(__xludf.DUMMYFUNCTION("""COMPUTED_VALUE"""),"")</f>
        <v/>
      </c>
      <c r="B16624" s="87"/>
      <c r="C16624" s="87"/>
      <c r="D16624" s="87"/>
      <c r="E16624" s="87"/>
      <c r="F16624" s="87"/>
      <c r="G16624" s="87"/>
    </row>
    <row r="16625">
      <c r="A16625" s="86" t="str">
        <f>IFERROR(__xludf.DUMMYFUNCTION("""COMPUTED_VALUE"""),"")</f>
        <v/>
      </c>
      <c r="B16625" s="87"/>
      <c r="C16625" s="87"/>
      <c r="D16625" s="87"/>
      <c r="E16625" s="87"/>
      <c r="F16625" s="87"/>
      <c r="G16625" s="87"/>
    </row>
    <row r="16626">
      <c r="A16626" s="86" t="str">
        <f>IFERROR(__xludf.DUMMYFUNCTION("""COMPUTED_VALUE"""),"")</f>
        <v/>
      </c>
      <c r="B16626" s="87"/>
      <c r="C16626" s="87"/>
      <c r="D16626" s="87"/>
      <c r="E16626" s="87"/>
      <c r="F16626" s="87"/>
      <c r="G16626" s="87"/>
    </row>
    <row r="16627">
      <c r="A16627" s="86" t="str">
        <f>IFERROR(__xludf.DUMMYFUNCTION("""COMPUTED_VALUE"""),"")</f>
        <v/>
      </c>
      <c r="B16627" s="87"/>
      <c r="C16627" s="87"/>
      <c r="D16627" s="87"/>
      <c r="E16627" s="87"/>
      <c r="F16627" s="87"/>
      <c r="G16627" s="87"/>
    </row>
    <row r="16628">
      <c r="A16628" s="86" t="str">
        <f>IFERROR(__xludf.DUMMYFUNCTION("""COMPUTED_VALUE"""),"")</f>
        <v/>
      </c>
      <c r="B16628" s="87"/>
      <c r="C16628" s="87"/>
      <c r="D16628" s="87"/>
      <c r="E16628" s="87"/>
      <c r="F16628" s="87"/>
      <c r="G16628" s="87"/>
    </row>
    <row r="16629">
      <c r="A16629" s="86" t="str">
        <f>IFERROR(__xludf.DUMMYFUNCTION("""COMPUTED_VALUE"""),"")</f>
        <v/>
      </c>
      <c r="B16629" s="87"/>
      <c r="C16629" s="87"/>
      <c r="D16629" s="87"/>
      <c r="E16629" s="87"/>
      <c r="F16629" s="87"/>
      <c r="G16629" s="87"/>
    </row>
    <row r="16630">
      <c r="A16630" s="86" t="str">
        <f>IFERROR(__xludf.DUMMYFUNCTION("""COMPUTED_VALUE"""),"")</f>
        <v/>
      </c>
      <c r="B16630" s="87"/>
      <c r="C16630" s="87"/>
      <c r="D16630" s="87"/>
      <c r="E16630" s="87"/>
      <c r="F16630" s="87"/>
      <c r="G16630" s="87"/>
    </row>
    <row r="16631">
      <c r="A16631" s="86" t="str">
        <f>IFERROR(__xludf.DUMMYFUNCTION("""COMPUTED_VALUE"""),"")</f>
        <v/>
      </c>
      <c r="B16631" s="87"/>
      <c r="C16631" s="87"/>
      <c r="D16631" s="87"/>
      <c r="E16631" s="87"/>
      <c r="F16631" s="87"/>
      <c r="G16631" s="87"/>
    </row>
    <row r="16632">
      <c r="A16632" s="86" t="str">
        <f>IFERROR(__xludf.DUMMYFUNCTION("""COMPUTED_VALUE"""),"")</f>
        <v/>
      </c>
      <c r="B16632" s="87"/>
      <c r="C16632" s="87"/>
      <c r="D16632" s="87"/>
      <c r="E16632" s="87"/>
      <c r="F16632" s="87"/>
      <c r="G16632" s="87"/>
    </row>
    <row r="16633">
      <c r="A16633" s="86" t="str">
        <f>IFERROR(__xludf.DUMMYFUNCTION("""COMPUTED_VALUE"""),"")</f>
        <v/>
      </c>
      <c r="B16633" s="87"/>
      <c r="C16633" s="87"/>
      <c r="D16633" s="87"/>
      <c r="E16633" s="87"/>
      <c r="F16633" s="87"/>
      <c r="G16633" s="87"/>
    </row>
    <row r="16634">
      <c r="A16634" s="86" t="str">
        <f>IFERROR(__xludf.DUMMYFUNCTION("""COMPUTED_VALUE"""),"")</f>
        <v/>
      </c>
      <c r="B16634" s="87"/>
      <c r="C16634" s="87"/>
      <c r="D16634" s="87"/>
      <c r="E16634" s="87"/>
      <c r="F16634" s="87"/>
      <c r="G16634" s="87"/>
    </row>
    <row r="16635">
      <c r="A16635" s="86" t="str">
        <f>IFERROR(__xludf.DUMMYFUNCTION("""COMPUTED_VALUE"""),"")</f>
        <v/>
      </c>
      <c r="B16635" s="87"/>
      <c r="C16635" s="87"/>
      <c r="D16635" s="87"/>
      <c r="E16635" s="87"/>
      <c r="F16635" s="87"/>
      <c r="G16635" s="87"/>
    </row>
    <row r="16636">
      <c r="A16636" s="86" t="str">
        <f>IFERROR(__xludf.DUMMYFUNCTION("""COMPUTED_VALUE"""),"")</f>
        <v/>
      </c>
      <c r="B16636" s="87"/>
      <c r="C16636" s="87"/>
      <c r="D16636" s="87"/>
      <c r="E16636" s="87"/>
      <c r="F16636" s="87"/>
      <c r="G16636" s="87"/>
    </row>
    <row r="16637">
      <c r="A16637" s="86" t="str">
        <f>IFERROR(__xludf.DUMMYFUNCTION("""COMPUTED_VALUE"""),"")</f>
        <v/>
      </c>
      <c r="B16637" s="87"/>
      <c r="C16637" s="87"/>
      <c r="D16637" s="87"/>
      <c r="E16637" s="87"/>
      <c r="F16637" s="87"/>
      <c r="G16637" s="87"/>
    </row>
    <row r="16638">
      <c r="A16638" s="86" t="str">
        <f>IFERROR(__xludf.DUMMYFUNCTION("""COMPUTED_VALUE"""),"")</f>
        <v/>
      </c>
      <c r="B16638" s="87"/>
      <c r="C16638" s="87"/>
      <c r="D16638" s="87"/>
      <c r="E16638" s="87"/>
      <c r="F16638" s="87"/>
      <c r="G16638" s="87"/>
    </row>
    <row r="16639">
      <c r="A16639" s="86" t="str">
        <f>IFERROR(__xludf.DUMMYFUNCTION("""COMPUTED_VALUE"""),"")</f>
        <v/>
      </c>
      <c r="B16639" s="87"/>
      <c r="C16639" s="87"/>
      <c r="D16639" s="87"/>
      <c r="E16639" s="87"/>
      <c r="F16639" s="87"/>
      <c r="G16639" s="87"/>
    </row>
    <row r="16640">
      <c r="A16640" s="86" t="str">
        <f>IFERROR(__xludf.DUMMYFUNCTION("""COMPUTED_VALUE"""),"")</f>
        <v/>
      </c>
      <c r="B16640" s="87"/>
      <c r="C16640" s="87"/>
      <c r="D16640" s="87"/>
      <c r="E16640" s="87"/>
      <c r="F16640" s="87"/>
      <c r="G16640" s="87"/>
    </row>
    <row r="16641">
      <c r="A16641" s="86" t="str">
        <f>IFERROR(__xludf.DUMMYFUNCTION("""COMPUTED_VALUE"""),"")</f>
        <v/>
      </c>
      <c r="B16641" s="87"/>
      <c r="C16641" s="87"/>
      <c r="D16641" s="87"/>
      <c r="E16641" s="87"/>
      <c r="F16641" s="87"/>
      <c r="G16641" s="87"/>
    </row>
    <row r="16642">
      <c r="A16642" s="86" t="str">
        <f>IFERROR(__xludf.DUMMYFUNCTION("""COMPUTED_VALUE"""),"")</f>
        <v/>
      </c>
      <c r="B16642" s="87"/>
      <c r="C16642" s="87"/>
      <c r="D16642" s="87"/>
      <c r="E16642" s="87"/>
      <c r="F16642" s="87"/>
      <c r="G16642" s="87"/>
    </row>
    <row r="16643">
      <c r="A16643" s="86" t="str">
        <f>IFERROR(__xludf.DUMMYFUNCTION("""COMPUTED_VALUE"""),"")</f>
        <v/>
      </c>
      <c r="B16643" s="87"/>
      <c r="C16643" s="87"/>
      <c r="D16643" s="87"/>
      <c r="E16643" s="87"/>
      <c r="F16643" s="87"/>
      <c r="G16643" s="87"/>
    </row>
    <row r="16644">
      <c r="A16644" s="86" t="str">
        <f>IFERROR(__xludf.DUMMYFUNCTION("""COMPUTED_VALUE"""),"")</f>
        <v/>
      </c>
      <c r="B16644" s="87"/>
      <c r="C16644" s="87"/>
      <c r="D16644" s="87"/>
      <c r="E16644" s="87"/>
      <c r="F16644" s="87"/>
      <c r="G16644" s="87"/>
    </row>
    <row r="16645">
      <c r="A16645" s="86" t="str">
        <f>IFERROR(__xludf.DUMMYFUNCTION("""COMPUTED_VALUE"""),"")</f>
        <v/>
      </c>
      <c r="B16645" s="87"/>
      <c r="C16645" s="87"/>
      <c r="D16645" s="87"/>
      <c r="E16645" s="87"/>
      <c r="F16645" s="87"/>
      <c r="G16645" s="87"/>
    </row>
    <row r="16646">
      <c r="A16646" s="86" t="str">
        <f>IFERROR(__xludf.DUMMYFUNCTION("""COMPUTED_VALUE"""),"")</f>
        <v/>
      </c>
      <c r="B16646" s="87"/>
      <c r="C16646" s="87"/>
      <c r="D16646" s="87"/>
      <c r="E16646" s="87"/>
      <c r="F16646" s="87"/>
      <c r="G16646" s="87"/>
    </row>
    <row r="16647">
      <c r="A16647" s="86" t="str">
        <f>IFERROR(__xludf.DUMMYFUNCTION("""COMPUTED_VALUE"""),"")</f>
        <v/>
      </c>
      <c r="B16647" s="87"/>
      <c r="C16647" s="87"/>
      <c r="D16647" s="87"/>
      <c r="E16647" s="87"/>
      <c r="F16647" s="87"/>
      <c r="G16647" s="87"/>
    </row>
    <row r="16648">
      <c r="A16648" s="86" t="str">
        <f>IFERROR(__xludf.DUMMYFUNCTION("""COMPUTED_VALUE"""),"")</f>
        <v/>
      </c>
      <c r="B16648" s="87"/>
      <c r="C16648" s="87"/>
      <c r="D16648" s="87"/>
      <c r="E16648" s="87"/>
      <c r="F16648" s="87"/>
      <c r="G16648" s="87"/>
    </row>
    <row r="16649">
      <c r="A16649" s="86" t="str">
        <f>IFERROR(__xludf.DUMMYFUNCTION("""COMPUTED_VALUE"""),"")</f>
        <v/>
      </c>
      <c r="B16649" s="87"/>
      <c r="C16649" s="87"/>
      <c r="D16649" s="87"/>
      <c r="E16649" s="87"/>
      <c r="F16649" s="87"/>
      <c r="G16649" s="87"/>
    </row>
    <row r="16650">
      <c r="A16650" s="86" t="str">
        <f>IFERROR(__xludf.DUMMYFUNCTION("""COMPUTED_VALUE"""),"")</f>
        <v/>
      </c>
      <c r="B16650" s="87"/>
      <c r="C16650" s="87"/>
      <c r="D16650" s="87"/>
      <c r="E16650" s="87"/>
      <c r="F16650" s="87"/>
      <c r="G16650" s="87"/>
    </row>
    <row r="16651">
      <c r="A16651" s="86" t="str">
        <f>IFERROR(__xludf.DUMMYFUNCTION("""COMPUTED_VALUE"""),"")</f>
        <v/>
      </c>
      <c r="B16651" s="87"/>
      <c r="C16651" s="87"/>
      <c r="D16651" s="87"/>
      <c r="E16651" s="87"/>
      <c r="F16651" s="87"/>
      <c r="G16651" s="87"/>
    </row>
    <row r="16652">
      <c r="A16652" s="86" t="str">
        <f>IFERROR(__xludf.DUMMYFUNCTION("""COMPUTED_VALUE"""),"")</f>
        <v/>
      </c>
      <c r="B16652" s="87"/>
      <c r="C16652" s="87"/>
      <c r="D16652" s="87"/>
      <c r="E16652" s="87"/>
      <c r="F16652" s="87"/>
      <c r="G16652" s="87"/>
    </row>
    <row r="16653">
      <c r="A16653" s="86" t="str">
        <f>IFERROR(__xludf.DUMMYFUNCTION("""COMPUTED_VALUE"""),"")</f>
        <v/>
      </c>
      <c r="B16653" s="87"/>
      <c r="C16653" s="87"/>
      <c r="D16653" s="87"/>
      <c r="E16653" s="87"/>
      <c r="F16653" s="87"/>
      <c r="G16653" s="87"/>
    </row>
    <row r="16654">
      <c r="A16654" s="86" t="str">
        <f>IFERROR(__xludf.DUMMYFUNCTION("""COMPUTED_VALUE"""),"")</f>
        <v/>
      </c>
      <c r="B16654" s="87"/>
      <c r="C16654" s="87"/>
      <c r="D16654" s="87"/>
      <c r="E16654" s="87"/>
      <c r="F16654" s="87"/>
      <c r="G16654" s="87"/>
    </row>
    <row r="16655">
      <c r="A16655" s="86" t="str">
        <f>IFERROR(__xludf.DUMMYFUNCTION("""COMPUTED_VALUE"""),"")</f>
        <v/>
      </c>
      <c r="B16655" s="87"/>
      <c r="C16655" s="87"/>
      <c r="D16655" s="87"/>
      <c r="E16655" s="87"/>
      <c r="F16655" s="87"/>
      <c r="G16655" s="87"/>
    </row>
    <row r="16656">
      <c r="A16656" s="86" t="str">
        <f>IFERROR(__xludf.DUMMYFUNCTION("""COMPUTED_VALUE"""),"")</f>
        <v/>
      </c>
      <c r="B16656" s="87"/>
      <c r="C16656" s="87"/>
      <c r="D16656" s="87"/>
      <c r="E16656" s="87"/>
      <c r="F16656" s="87"/>
      <c r="G16656" s="87"/>
    </row>
    <row r="16657">
      <c r="A16657" s="86" t="str">
        <f>IFERROR(__xludf.DUMMYFUNCTION("""COMPUTED_VALUE"""),"")</f>
        <v/>
      </c>
      <c r="B16657" s="87"/>
      <c r="C16657" s="87"/>
      <c r="D16657" s="87"/>
      <c r="E16657" s="87"/>
      <c r="F16657" s="87"/>
      <c r="G16657" s="87"/>
    </row>
    <row r="16658">
      <c r="A16658" s="86" t="str">
        <f>IFERROR(__xludf.DUMMYFUNCTION("""COMPUTED_VALUE"""),"")</f>
        <v/>
      </c>
      <c r="B16658" s="87"/>
      <c r="C16658" s="87"/>
      <c r="D16658" s="87"/>
      <c r="E16658" s="87"/>
      <c r="F16658" s="87"/>
      <c r="G16658" s="87"/>
    </row>
    <row r="16659">
      <c r="A16659" s="86" t="str">
        <f>IFERROR(__xludf.DUMMYFUNCTION("""COMPUTED_VALUE"""),"")</f>
        <v/>
      </c>
      <c r="B16659" s="87"/>
      <c r="C16659" s="87"/>
      <c r="D16659" s="87"/>
      <c r="E16659" s="87"/>
      <c r="F16659" s="87"/>
      <c r="G16659" s="87"/>
    </row>
    <row r="16660">
      <c r="A16660" s="86" t="str">
        <f>IFERROR(__xludf.DUMMYFUNCTION("""COMPUTED_VALUE"""),"")</f>
        <v/>
      </c>
      <c r="B16660" s="87"/>
      <c r="C16660" s="87"/>
      <c r="D16660" s="87"/>
      <c r="E16660" s="87"/>
      <c r="F16660" s="87"/>
      <c r="G16660" s="87"/>
    </row>
    <row r="16661">
      <c r="A16661" s="86" t="str">
        <f>IFERROR(__xludf.DUMMYFUNCTION("""COMPUTED_VALUE"""),"")</f>
        <v/>
      </c>
      <c r="B16661" s="87"/>
      <c r="C16661" s="87"/>
      <c r="D16661" s="87"/>
      <c r="E16661" s="87"/>
      <c r="F16661" s="87"/>
      <c r="G16661" s="87"/>
    </row>
    <row r="16662">
      <c r="A16662" s="86" t="str">
        <f>IFERROR(__xludf.DUMMYFUNCTION("""COMPUTED_VALUE"""),"")</f>
        <v/>
      </c>
      <c r="B16662" s="87"/>
      <c r="C16662" s="87"/>
      <c r="D16662" s="87"/>
      <c r="E16662" s="87"/>
      <c r="F16662" s="87"/>
      <c r="G16662" s="87"/>
    </row>
    <row r="16663">
      <c r="A16663" s="86" t="str">
        <f>IFERROR(__xludf.DUMMYFUNCTION("""COMPUTED_VALUE"""),"")</f>
        <v/>
      </c>
      <c r="B16663" s="87"/>
      <c r="C16663" s="87"/>
      <c r="D16663" s="87"/>
      <c r="E16663" s="87"/>
      <c r="F16663" s="87"/>
      <c r="G16663" s="87"/>
    </row>
    <row r="16664">
      <c r="A16664" s="86" t="str">
        <f>IFERROR(__xludf.DUMMYFUNCTION("""COMPUTED_VALUE"""),"")</f>
        <v/>
      </c>
      <c r="B16664" s="87"/>
      <c r="C16664" s="87"/>
      <c r="D16664" s="87"/>
      <c r="E16664" s="87"/>
      <c r="F16664" s="87"/>
      <c r="G16664" s="87"/>
    </row>
    <row r="16665">
      <c r="A16665" s="86" t="str">
        <f>IFERROR(__xludf.DUMMYFUNCTION("""COMPUTED_VALUE"""),"")</f>
        <v/>
      </c>
      <c r="B16665" s="87"/>
      <c r="C16665" s="87"/>
      <c r="D16665" s="87"/>
      <c r="E16665" s="87"/>
      <c r="F16665" s="87"/>
      <c r="G16665" s="87"/>
    </row>
    <row r="16666">
      <c r="A16666" s="86" t="str">
        <f>IFERROR(__xludf.DUMMYFUNCTION("""COMPUTED_VALUE"""),"")</f>
        <v/>
      </c>
      <c r="B16666" s="87"/>
      <c r="C16666" s="87"/>
      <c r="D16666" s="87"/>
      <c r="E16666" s="87"/>
      <c r="F16666" s="87"/>
      <c r="G16666" s="87"/>
    </row>
    <row r="16667">
      <c r="A16667" s="86" t="str">
        <f>IFERROR(__xludf.DUMMYFUNCTION("""COMPUTED_VALUE"""),"")</f>
        <v/>
      </c>
      <c r="B16667" s="87"/>
      <c r="C16667" s="87"/>
      <c r="D16667" s="87"/>
      <c r="E16667" s="87"/>
      <c r="F16667" s="87"/>
      <c r="G16667" s="87"/>
    </row>
    <row r="16668">
      <c r="A16668" s="86" t="str">
        <f>IFERROR(__xludf.DUMMYFUNCTION("""COMPUTED_VALUE"""),"")</f>
        <v/>
      </c>
      <c r="B16668" s="87"/>
      <c r="C16668" s="87"/>
      <c r="D16668" s="87"/>
      <c r="E16668" s="87"/>
      <c r="F16668" s="87"/>
      <c r="G16668" s="87"/>
    </row>
    <row r="16669">
      <c r="A16669" s="86" t="str">
        <f>IFERROR(__xludf.DUMMYFUNCTION("""COMPUTED_VALUE"""),"")</f>
        <v/>
      </c>
      <c r="B16669" s="87"/>
      <c r="C16669" s="87"/>
      <c r="D16669" s="87"/>
      <c r="E16669" s="87"/>
      <c r="F16669" s="87"/>
      <c r="G16669" s="87"/>
    </row>
    <row r="16670">
      <c r="A16670" s="86" t="str">
        <f>IFERROR(__xludf.DUMMYFUNCTION("""COMPUTED_VALUE"""),"")</f>
        <v/>
      </c>
      <c r="B16670" s="87"/>
      <c r="C16670" s="87"/>
      <c r="D16670" s="87"/>
      <c r="E16670" s="87"/>
      <c r="F16670" s="87"/>
      <c r="G16670" s="87"/>
    </row>
    <row r="16671">
      <c r="A16671" s="86" t="str">
        <f>IFERROR(__xludf.DUMMYFUNCTION("""COMPUTED_VALUE"""),"")</f>
        <v/>
      </c>
      <c r="B16671" s="87"/>
      <c r="C16671" s="87"/>
      <c r="D16671" s="87"/>
      <c r="E16671" s="87"/>
      <c r="F16671" s="87"/>
      <c r="G16671" s="87"/>
    </row>
    <row r="16672">
      <c r="A16672" s="86" t="str">
        <f>IFERROR(__xludf.DUMMYFUNCTION("""COMPUTED_VALUE"""),"")</f>
        <v/>
      </c>
      <c r="B16672" s="87"/>
      <c r="C16672" s="87"/>
      <c r="D16672" s="87"/>
      <c r="E16672" s="87"/>
      <c r="F16672" s="87"/>
      <c r="G16672" s="87"/>
    </row>
    <row r="16673">
      <c r="A16673" s="86" t="str">
        <f>IFERROR(__xludf.DUMMYFUNCTION("""COMPUTED_VALUE"""),"")</f>
        <v/>
      </c>
      <c r="B16673" s="87"/>
      <c r="C16673" s="87"/>
      <c r="D16673" s="87"/>
      <c r="E16673" s="87"/>
      <c r="F16673" s="87"/>
      <c r="G16673" s="87"/>
    </row>
    <row r="16674">
      <c r="A16674" s="86" t="str">
        <f>IFERROR(__xludf.DUMMYFUNCTION("""COMPUTED_VALUE"""),"")</f>
        <v/>
      </c>
      <c r="B16674" s="87"/>
      <c r="C16674" s="87"/>
      <c r="D16674" s="87"/>
      <c r="E16674" s="87"/>
      <c r="F16674" s="87"/>
      <c r="G16674" s="87"/>
    </row>
    <row r="16675">
      <c r="A16675" s="86" t="str">
        <f>IFERROR(__xludf.DUMMYFUNCTION("""COMPUTED_VALUE"""),"")</f>
        <v/>
      </c>
      <c r="B16675" s="87"/>
      <c r="C16675" s="87"/>
      <c r="D16675" s="87"/>
      <c r="E16675" s="87"/>
      <c r="F16675" s="87"/>
      <c r="G16675" s="87"/>
    </row>
    <row r="16676">
      <c r="A16676" s="86" t="str">
        <f>IFERROR(__xludf.DUMMYFUNCTION("""COMPUTED_VALUE"""),"")</f>
        <v/>
      </c>
      <c r="B16676" s="87"/>
      <c r="C16676" s="87"/>
      <c r="D16676" s="87"/>
      <c r="E16676" s="87"/>
      <c r="F16676" s="87"/>
      <c r="G16676" s="87"/>
    </row>
    <row r="16677">
      <c r="A16677" s="86" t="str">
        <f>IFERROR(__xludf.DUMMYFUNCTION("""COMPUTED_VALUE"""),"")</f>
        <v/>
      </c>
      <c r="B16677" s="87"/>
      <c r="C16677" s="87"/>
      <c r="D16677" s="87"/>
      <c r="E16677" s="87"/>
      <c r="F16677" s="87"/>
      <c r="G16677" s="87"/>
    </row>
    <row r="16678">
      <c r="A16678" s="86" t="str">
        <f>IFERROR(__xludf.DUMMYFUNCTION("""COMPUTED_VALUE"""),"")</f>
        <v/>
      </c>
      <c r="B16678" s="87"/>
      <c r="C16678" s="87"/>
      <c r="D16678" s="87"/>
      <c r="E16678" s="87"/>
      <c r="F16678" s="87"/>
      <c r="G16678" s="87"/>
    </row>
    <row r="16679">
      <c r="A16679" s="86" t="str">
        <f>IFERROR(__xludf.DUMMYFUNCTION("""COMPUTED_VALUE"""),"")</f>
        <v/>
      </c>
      <c r="B16679" s="87"/>
      <c r="C16679" s="87"/>
      <c r="D16679" s="87"/>
      <c r="E16679" s="87"/>
      <c r="F16679" s="87"/>
      <c r="G16679" s="87"/>
    </row>
    <row r="16680">
      <c r="A16680" s="86" t="str">
        <f>IFERROR(__xludf.DUMMYFUNCTION("""COMPUTED_VALUE"""),"")</f>
        <v/>
      </c>
      <c r="B16680" s="87"/>
      <c r="C16680" s="87"/>
      <c r="D16680" s="87"/>
      <c r="E16680" s="87"/>
      <c r="F16680" s="87"/>
      <c r="G16680" s="87"/>
    </row>
    <row r="16681">
      <c r="A16681" s="86" t="str">
        <f>IFERROR(__xludf.DUMMYFUNCTION("""COMPUTED_VALUE"""),"")</f>
        <v/>
      </c>
      <c r="B16681" s="87"/>
      <c r="C16681" s="87"/>
      <c r="D16681" s="87"/>
      <c r="E16681" s="87"/>
      <c r="F16681" s="87"/>
      <c r="G16681" s="87"/>
    </row>
    <row r="16682">
      <c r="A16682" s="86" t="str">
        <f>IFERROR(__xludf.DUMMYFUNCTION("""COMPUTED_VALUE"""),"")</f>
        <v/>
      </c>
      <c r="B16682" s="87"/>
      <c r="C16682" s="87"/>
      <c r="D16682" s="87"/>
      <c r="E16682" s="87"/>
      <c r="F16682" s="87"/>
      <c r="G16682" s="87"/>
    </row>
    <row r="16683">
      <c r="A16683" s="86" t="str">
        <f>IFERROR(__xludf.DUMMYFUNCTION("""COMPUTED_VALUE"""),"")</f>
        <v/>
      </c>
      <c r="B16683" s="87"/>
      <c r="C16683" s="87"/>
      <c r="D16683" s="87"/>
      <c r="E16683" s="87"/>
      <c r="F16683" s="87"/>
      <c r="G16683" s="87"/>
    </row>
    <row r="16684">
      <c r="A16684" s="86" t="str">
        <f>IFERROR(__xludf.DUMMYFUNCTION("""COMPUTED_VALUE"""),"")</f>
        <v/>
      </c>
      <c r="B16684" s="87"/>
      <c r="C16684" s="87"/>
      <c r="D16684" s="87"/>
      <c r="E16684" s="87"/>
      <c r="F16684" s="87"/>
      <c r="G16684" s="87"/>
    </row>
    <row r="16685">
      <c r="A16685" s="86" t="str">
        <f>IFERROR(__xludf.DUMMYFUNCTION("""COMPUTED_VALUE"""),"")</f>
        <v/>
      </c>
      <c r="B16685" s="87"/>
      <c r="C16685" s="87"/>
      <c r="D16685" s="87"/>
      <c r="E16685" s="87"/>
      <c r="F16685" s="87"/>
      <c r="G16685" s="87"/>
    </row>
    <row r="16686">
      <c r="A16686" s="86" t="str">
        <f>IFERROR(__xludf.DUMMYFUNCTION("""COMPUTED_VALUE"""),"")</f>
        <v/>
      </c>
      <c r="B16686" s="87"/>
      <c r="C16686" s="87"/>
      <c r="D16686" s="87"/>
      <c r="E16686" s="87"/>
      <c r="F16686" s="87"/>
      <c r="G16686" s="87"/>
    </row>
    <row r="16687">
      <c r="A16687" s="86" t="str">
        <f>IFERROR(__xludf.DUMMYFUNCTION("""COMPUTED_VALUE"""),"")</f>
        <v/>
      </c>
      <c r="B16687" s="87"/>
      <c r="C16687" s="87"/>
      <c r="D16687" s="87"/>
      <c r="E16687" s="87"/>
      <c r="F16687" s="87"/>
      <c r="G16687" s="87"/>
    </row>
    <row r="16688">
      <c r="A16688" s="86" t="str">
        <f>IFERROR(__xludf.DUMMYFUNCTION("""COMPUTED_VALUE"""),"")</f>
        <v/>
      </c>
      <c r="B16688" s="87"/>
      <c r="C16688" s="87"/>
      <c r="D16688" s="87"/>
      <c r="E16688" s="87"/>
      <c r="F16688" s="87"/>
      <c r="G16688" s="87"/>
    </row>
    <row r="16689">
      <c r="A16689" s="86" t="str">
        <f>IFERROR(__xludf.DUMMYFUNCTION("""COMPUTED_VALUE"""),"")</f>
        <v/>
      </c>
      <c r="B16689" s="87"/>
      <c r="C16689" s="87"/>
      <c r="D16689" s="87"/>
      <c r="E16689" s="87"/>
      <c r="F16689" s="87"/>
      <c r="G16689" s="87"/>
    </row>
    <row r="16690">
      <c r="A16690" s="86" t="str">
        <f>IFERROR(__xludf.DUMMYFUNCTION("""COMPUTED_VALUE"""),"")</f>
        <v/>
      </c>
      <c r="B16690" s="87"/>
      <c r="C16690" s="87"/>
      <c r="D16690" s="87"/>
      <c r="E16690" s="87"/>
      <c r="F16690" s="87"/>
      <c r="G16690" s="87"/>
    </row>
    <row r="16691">
      <c r="A16691" s="86" t="str">
        <f>IFERROR(__xludf.DUMMYFUNCTION("""COMPUTED_VALUE"""),"")</f>
        <v/>
      </c>
      <c r="B16691" s="87"/>
      <c r="C16691" s="87"/>
      <c r="D16691" s="87"/>
      <c r="E16691" s="87"/>
      <c r="F16691" s="87"/>
      <c r="G16691" s="87"/>
    </row>
    <row r="16692">
      <c r="A16692" s="86" t="str">
        <f>IFERROR(__xludf.DUMMYFUNCTION("""COMPUTED_VALUE"""),"")</f>
        <v/>
      </c>
      <c r="B16692" s="87"/>
      <c r="C16692" s="87"/>
      <c r="D16692" s="87"/>
      <c r="E16692" s="87"/>
      <c r="F16692" s="87"/>
      <c r="G16692" s="87"/>
    </row>
    <row r="16693">
      <c r="A16693" s="86" t="str">
        <f>IFERROR(__xludf.DUMMYFUNCTION("""COMPUTED_VALUE"""),"")</f>
        <v/>
      </c>
      <c r="B16693" s="87"/>
      <c r="C16693" s="87"/>
      <c r="D16693" s="87"/>
      <c r="E16693" s="87"/>
      <c r="F16693" s="87"/>
      <c r="G16693" s="87"/>
    </row>
    <row r="16694">
      <c r="A16694" s="86" t="str">
        <f>IFERROR(__xludf.DUMMYFUNCTION("""COMPUTED_VALUE"""),"")</f>
        <v/>
      </c>
      <c r="B16694" s="87"/>
      <c r="C16694" s="87"/>
      <c r="D16694" s="87"/>
      <c r="E16694" s="87"/>
      <c r="F16694" s="87"/>
      <c r="G16694" s="87"/>
    </row>
    <row r="16695">
      <c r="A16695" s="86" t="str">
        <f>IFERROR(__xludf.DUMMYFUNCTION("""COMPUTED_VALUE"""),"")</f>
        <v/>
      </c>
      <c r="B16695" s="87"/>
      <c r="C16695" s="87"/>
      <c r="D16695" s="87"/>
      <c r="E16695" s="87"/>
      <c r="F16695" s="87"/>
      <c r="G16695" s="87"/>
    </row>
    <row r="16696">
      <c r="A16696" s="86" t="str">
        <f>IFERROR(__xludf.DUMMYFUNCTION("""COMPUTED_VALUE"""),"")</f>
        <v/>
      </c>
      <c r="B16696" s="87"/>
      <c r="C16696" s="87"/>
      <c r="D16696" s="87"/>
      <c r="E16696" s="87"/>
      <c r="F16696" s="87"/>
      <c r="G16696" s="87"/>
    </row>
    <row r="16697">
      <c r="A16697" s="86" t="str">
        <f>IFERROR(__xludf.DUMMYFUNCTION("""COMPUTED_VALUE"""),"")</f>
        <v/>
      </c>
      <c r="B16697" s="87"/>
      <c r="C16697" s="87"/>
      <c r="D16697" s="87"/>
      <c r="E16697" s="87"/>
      <c r="F16697" s="87"/>
      <c r="G16697" s="87"/>
    </row>
    <row r="16698">
      <c r="A16698" s="86" t="str">
        <f>IFERROR(__xludf.DUMMYFUNCTION("""COMPUTED_VALUE"""),"")</f>
        <v/>
      </c>
      <c r="B16698" s="87"/>
      <c r="C16698" s="87"/>
      <c r="D16698" s="87"/>
      <c r="E16698" s="87"/>
      <c r="F16698" s="87"/>
      <c r="G16698" s="87"/>
    </row>
    <row r="16699">
      <c r="A16699" s="86" t="str">
        <f>IFERROR(__xludf.DUMMYFUNCTION("""COMPUTED_VALUE"""),"")</f>
        <v/>
      </c>
      <c r="B16699" s="87"/>
      <c r="C16699" s="87"/>
      <c r="D16699" s="87"/>
      <c r="E16699" s="87"/>
      <c r="F16699" s="87"/>
      <c r="G16699" s="87"/>
    </row>
    <row r="16700">
      <c r="A16700" s="86" t="str">
        <f>IFERROR(__xludf.DUMMYFUNCTION("""COMPUTED_VALUE"""),"")</f>
        <v/>
      </c>
      <c r="B16700" s="87"/>
      <c r="C16700" s="87"/>
      <c r="D16700" s="87"/>
      <c r="E16700" s="87"/>
      <c r="F16700" s="87"/>
      <c r="G16700" s="87"/>
    </row>
    <row r="16701">
      <c r="A16701" s="86" t="str">
        <f>IFERROR(__xludf.DUMMYFUNCTION("""COMPUTED_VALUE"""),"")</f>
        <v/>
      </c>
      <c r="B16701" s="87"/>
      <c r="C16701" s="87"/>
      <c r="D16701" s="87"/>
      <c r="E16701" s="87"/>
      <c r="F16701" s="87"/>
      <c r="G16701" s="87"/>
    </row>
    <row r="16702">
      <c r="A16702" s="86" t="str">
        <f>IFERROR(__xludf.DUMMYFUNCTION("""COMPUTED_VALUE"""),"")</f>
        <v/>
      </c>
      <c r="B16702" s="87"/>
      <c r="C16702" s="87"/>
      <c r="D16702" s="87"/>
      <c r="E16702" s="87"/>
      <c r="F16702" s="87"/>
      <c r="G16702" s="87"/>
    </row>
    <row r="16703">
      <c r="A16703" s="86" t="str">
        <f>IFERROR(__xludf.DUMMYFUNCTION("""COMPUTED_VALUE"""),"")</f>
        <v/>
      </c>
      <c r="B16703" s="87"/>
      <c r="C16703" s="87"/>
      <c r="D16703" s="87"/>
      <c r="E16703" s="87"/>
      <c r="F16703" s="87"/>
      <c r="G16703" s="87"/>
    </row>
    <row r="16704">
      <c r="A16704" s="86" t="str">
        <f>IFERROR(__xludf.DUMMYFUNCTION("""COMPUTED_VALUE"""),"")</f>
        <v/>
      </c>
      <c r="B16704" s="87"/>
      <c r="C16704" s="87"/>
      <c r="D16704" s="87"/>
      <c r="E16704" s="87"/>
      <c r="F16704" s="87"/>
      <c r="G16704" s="87"/>
    </row>
    <row r="16705">
      <c r="A16705" s="86" t="str">
        <f>IFERROR(__xludf.DUMMYFUNCTION("""COMPUTED_VALUE"""),"")</f>
        <v/>
      </c>
      <c r="B16705" s="87"/>
      <c r="C16705" s="87"/>
      <c r="D16705" s="87"/>
      <c r="E16705" s="87"/>
      <c r="F16705" s="87"/>
      <c r="G16705" s="87"/>
    </row>
    <row r="16706">
      <c r="A16706" s="86" t="str">
        <f>IFERROR(__xludf.DUMMYFUNCTION("""COMPUTED_VALUE"""),"")</f>
        <v/>
      </c>
      <c r="B16706" s="87"/>
      <c r="C16706" s="87"/>
      <c r="D16706" s="87"/>
      <c r="E16706" s="87"/>
      <c r="F16706" s="87"/>
      <c r="G16706" s="87"/>
    </row>
    <row r="16707">
      <c r="A16707" s="86" t="str">
        <f>IFERROR(__xludf.DUMMYFUNCTION("""COMPUTED_VALUE"""),"")</f>
        <v/>
      </c>
      <c r="B16707" s="87"/>
      <c r="C16707" s="87"/>
      <c r="D16707" s="87"/>
      <c r="E16707" s="87"/>
      <c r="F16707" s="87"/>
      <c r="G16707" s="87"/>
    </row>
    <row r="16708">
      <c r="A16708" s="86" t="str">
        <f>IFERROR(__xludf.DUMMYFUNCTION("""COMPUTED_VALUE"""),"")</f>
        <v/>
      </c>
      <c r="B16708" s="87"/>
      <c r="C16708" s="87"/>
      <c r="D16708" s="87"/>
      <c r="E16708" s="87"/>
      <c r="F16708" s="87"/>
      <c r="G16708" s="87"/>
    </row>
    <row r="16709">
      <c r="A16709" s="86" t="str">
        <f>IFERROR(__xludf.DUMMYFUNCTION("""COMPUTED_VALUE"""),"")</f>
        <v/>
      </c>
      <c r="B16709" s="87"/>
      <c r="C16709" s="87"/>
      <c r="D16709" s="87"/>
      <c r="E16709" s="87"/>
      <c r="F16709" s="87"/>
      <c r="G16709" s="87"/>
    </row>
    <row r="16710">
      <c r="A16710" s="86" t="str">
        <f>IFERROR(__xludf.DUMMYFUNCTION("""COMPUTED_VALUE"""),"")</f>
        <v/>
      </c>
      <c r="B16710" s="87"/>
      <c r="C16710" s="87"/>
      <c r="D16710" s="87"/>
      <c r="E16710" s="87"/>
      <c r="F16710" s="87"/>
      <c r="G16710" s="87"/>
    </row>
    <row r="16711">
      <c r="A16711" s="86" t="str">
        <f>IFERROR(__xludf.DUMMYFUNCTION("""COMPUTED_VALUE"""),"")</f>
        <v/>
      </c>
      <c r="B16711" s="87"/>
      <c r="C16711" s="87"/>
      <c r="D16711" s="87"/>
      <c r="E16711" s="87"/>
      <c r="F16711" s="87"/>
      <c r="G16711" s="87"/>
    </row>
    <row r="16712">
      <c r="A16712" s="86" t="str">
        <f>IFERROR(__xludf.DUMMYFUNCTION("""COMPUTED_VALUE"""),"")</f>
        <v/>
      </c>
      <c r="B16712" s="87"/>
      <c r="C16712" s="87"/>
      <c r="D16712" s="87"/>
      <c r="E16712" s="87"/>
      <c r="F16712" s="87"/>
      <c r="G16712" s="87"/>
    </row>
    <row r="16713">
      <c r="A16713" s="86" t="str">
        <f>IFERROR(__xludf.DUMMYFUNCTION("""COMPUTED_VALUE"""),"")</f>
        <v/>
      </c>
      <c r="B16713" s="87"/>
      <c r="C16713" s="87"/>
      <c r="D16713" s="87"/>
      <c r="E16713" s="87"/>
      <c r="F16713" s="87"/>
      <c r="G16713" s="87"/>
    </row>
    <row r="16714">
      <c r="A16714" s="86" t="str">
        <f>IFERROR(__xludf.DUMMYFUNCTION("""COMPUTED_VALUE"""),"")</f>
        <v/>
      </c>
      <c r="B16714" s="87"/>
      <c r="C16714" s="87"/>
      <c r="D16714" s="87"/>
      <c r="E16714" s="87"/>
      <c r="F16714" s="87"/>
      <c r="G16714" s="87"/>
    </row>
    <row r="16715">
      <c r="A16715" s="86" t="str">
        <f>IFERROR(__xludf.DUMMYFUNCTION("""COMPUTED_VALUE"""),"")</f>
        <v/>
      </c>
      <c r="B16715" s="87"/>
      <c r="C16715" s="87"/>
      <c r="D16715" s="87"/>
      <c r="E16715" s="87"/>
      <c r="F16715" s="87"/>
      <c r="G16715" s="87"/>
    </row>
    <row r="16716">
      <c r="A16716" s="86" t="str">
        <f>IFERROR(__xludf.DUMMYFUNCTION("""COMPUTED_VALUE"""),"")</f>
        <v/>
      </c>
      <c r="B16716" s="87"/>
      <c r="C16716" s="87"/>
      <c r="D16716" s="87"/>
      <c r="E16716" s="87"/>
      <c r="F16716" s="87"/>
      <c r="G16716" s="87"/>
    </row>
    <row r="16717">
      <c r="A16717" s="86" t="str">
        <f>IFERROR(__xludf.DUMMYFUNCTION("""COMPUTED_VALUE"""),"")</f>
        <v/>
      </c>
      <c r="B16717" s="87"/>
      <c r="C16717" s="87"/>
      <c r="D16717" s="87"/>
      <c r="E16717" s="87"/>
      <c r="F16717" s="87"/>
      <c r="G16717" s="87"/>
    </row>
    <row r="16718">
      <c r="A16718" s="86" t="str">
        <f>IFERROR(__xludf.DUMMYFUNCTION("""COMPUTED_VALUE"""),"")</f>
        <v/>
      </c>
      <c r="B16718" s="87"/>
      <c r="C16718" s="87"/>
      <c r="D16718" s="87"/>
      <c r="E16718" s="87"/>
      <c r="F16718" s="87"/>
      <c r="G16718" s="87"/>
    </row>
    <row r="16719">
      <c r="A16719" s="86" t="str">
        <f>IFERROR(__xludf.DUMMYFUNCTION("""COMPUTED_VALUE"""),"")</f>
        <v/>
      </c>
      <c r="B16719" s="87"/>
      <c r="C16719" s="87"/>
      <c r="D16719" s="87"/>
      <c r="E16719" s="87"/>
      <c r="F16719" s="87"/>
      <c r="G16719" s="87"/>
    </row>
    <row r="16720">
      <c r="A16720" s="86" t="str">
        <f>IFERROR(__xludf.DUMMYFUNCTION("""COMPUTED_VALUE"""),"")</f>
        <v/>
      </c>
      <c r="B16720" s="87"/>
      <c r="C16720" s="87"/>
      <c r="D16720" s="87"/>
      <c r="E16720" s="87"/>
      <c r="F16720" s="87"/>
      <c r="G16720" s="87"/>
    </row>
    <row r="16721">
      <c r="A16721" s="86" t="str">
        <f>IFERROR(__xludf.DUMMYFUNCTION("""COMPUTED_VALUE"""),"")</f>
        <v/>
      </c>
      <c r="B16721" s="87"/>
      <c r="C16721" s="87"/>
      <c r="D16721" s="87"/>
      <c r="E16721" s="87"/>
      <c r="F16721" s="87"/>
      <c r="G16721" s="87"/>
    </row>
    <row r="16722">
      <c r="A16722" s="86" t="str">
        <f>IFERROR(__xludf.DUMMYFUNCTION("""COMPUTED_VALUE"""),"")</f>
        <v/>
      </c>
      <c r="B16722" s="87"/>
      <c r="C16722" s="87"/>
      <c r="D16722" s="87"/>
      <c r="E16722" s="87"/>
      <c r="F16722" s="87"/>
      <c r="G16722" s="87"/>
    </row>
    <row r="16723">
      <c r="A16723" s="86" t="str">
        <f>IFERROR(__xludf.DUMMYFUNCTION("""COMPUTED_VALUE"""),"")</f>
        <v/>
      </c>
      <c r="B16723" s="87"/>
      <c r="C16723" s="87"/>
      <c r="D16723" s="87"/>
      <c r="E16723" s="87"/>
      <c r="F16723" s="87"/>
      <c r="G16723" s="87"/>
    </row>
    <row r="16724">
      <c r="A16724" s="86" t="str">
        <f>IFERROR(__xludf.DUMMYFUNCTION("""COMPUTED_VALUE"""),"")</f>
        <v/>
      </c>
      <c r="B16724" s="87"/>
      <c r="C16724" s="87"/>
      <c r="D16724" s="87"/>
      <c r="E16724" s="87"/>
      <c r="F16724" s="87"/>
      <c r="G16724" s="87"/>
    </row>
    <row r="16725">
      <c r="A16725" s="86" t="str">
        <f>IFERROR(__xludf.DUMMYFUNCTION("""COMPUTED_VALUE"""),"")</f>
        <v/>
      </c>
      <c r="B16725" s="87"/>
      <c r="C16725" s="87"/>
      <c r="D16725" s="87"/>
      <c r="E16725" s="87"/>
      <c r="F16725" s="87"/>
      <c r="G16725" s="87"/>
    </row>
    <row r="16726">
      <c r="A16726" s="86" t="str">
        <f>IFERROR(__xludf.DUMMYFUNCTION("""COMPUTED_VALUE"""),"")</f>
        <v/>
      </c>
      <c r="B16726" s="87"/>
      <c r="C16726" s="87"/>
      <c r="D16726" s="87"/>
      <c r="E16726" s="87"/>
      <c r="F16726" s="87"/>
      <c r="G16726" s="87"/>
    </row>
    <row r="16727">
      <c r="A16727" s="86" t="str">
        <f>IFERROR(__xludf.DUMMYFUNCTION("""COMPUTED_VALUE"""),"")</f>
        <v/>
      </c>
      <c r="B16727" s="87"/>
      <c r="C16727" s="87"/>
      <c r="D16727" s="87"/>
      <c r="E16727" s="87"/>
      <c r="F16727" s="87"/>
      <c r="G16727" s="87"/>
    </row>
    <row r="16728">
      <c r="A16728" s="86" t="str">
        <f>IFERROR(__xludf.DUMMYFUNCTION("""COMPUTED_VALUE"""),"")</f>
        <v/>
      </c>
      <c r="B16728" s="87"/>
      <c r="C16728" s="87"/>
      <c r="D16728" s="87"/>
      <c r="E16728" s="87"/>
      <c r="F16728" s="87"/>
      <c r="G16728" s="87"/>
    </row>
    <row r="16729">
      <c r="A16729" s="86" t="str">
        <f>IFERROR(__xludf.DUMMYFUNCTION("""COMPUTED_VALUE"""),"")</f>
        <v/>
      </c>
      <c r="B16729" s="87"/>
      <c r="C16729" s="87"/>
      <c r="D16729" s="87"/>
      <c r="E16729" s="87"/>
      <c r="F16729" s="87"/>
      <c r="G16729" s="87"/>
    </row>
    <row r="16730">
      <c r="A16730" s="86" t="str">
        <f>IFERROR(__xludf.DUMMYFUNCTION("""COMPUTED_VALUE"""),"")</f>
        <v/>
      </c>
      <c r="B16730" s="87"/>
      <c r="C16730" s="87"/>
      <c r="D16730" s="87"/>
      <c r="E16730" s="87"/>
      <c r="F16730" s="87"/>
      <c r="G16730" s="87"/>
    </row>
    <row r="16731">
      <c r="A16731" s="86" t="str">
        <f>IFERROR(__xludf.DUMMYFUNCTION("""COMPUTED_VALUE"""),"")</f>
        <v/>
      </c>
      <c r="B16731" s="87"/>
      <c r="C16731" s="87"/>
      <c r="D16731" s="87"/>
      <c r="E16731" s="87"/>
      <c r="F16731" s="87"/>
      <c r="G16731" s="87"/>
    </row>
    <row r="16732">
      <c r="A16732" s="86" t="str">
        <f>IFERROR(__xludf.DUMMYFUNCTION("""COMPUTED_VALUE"""),"")</f>
        <v/>
      </c>
      <c r="B16732" s="87"/>
      <c r="C16732" s="87"/>
      <c r="D16732" s="87"/>
      <c r="E16732" s="87"/>
      <c r="F16732" s="87"/>
      <c r="G16732" s="87"/>
    </row>
    <row r="16733">
      <c r="A16733" s="86" t="str">
        <f>IFERROR(__xludf.DUMMYFUNCTION("""COMPUTED_VALUE"""),"")</f>
        <v/>
      </c>
      <c r="B16733" s="87"/>
      <c r="C16733" s="87"/>
      <c r="D16733" s="87"/>
      <c r="E16733" s="87"/>
      <c r="F16733" s="87"/>
      <c r="G16733" s="87"/>
    </row>
    <row r="16734">
      <c r="A16734" s="86" t="str">
        <f>IFERROR(__xludf.DUMMYFUNCTION("""COMPUTED_VALUE"""),"")</f>
        <v/>
      </c>
      <c r="B16734" s="87"/>
      <c r="C16734" s="87"/>
      <c r="D16734" s="87"/>
      <c r="E16734" s="87"/>
      <c r="F16734" s="87"/>
      <c r="G16734" s="87"/>
    </row>
    <row r="16735">
      <c r="A16735" s="86" t="str">
        <f>IFERROR(__xludf.DUMMYFUNCTION("""COMPUTED_VALUE"""),"")</f>
        <v/>
      </c>
      <c r="B16735" s="87"/>
      <c r="C16735" s="87"/>
      <c r="D16735" s="87"/>
      <c r="E16735" s="87"/>
      <c r="F16735" s="87"/>
      <c r="G16735" s="87"/>
    </row>
    <row r="16736">
      <c r="A16736" s="86" t="str">
        <f>IFERROR(__xludf.DUMMYFUNCTION("""COMPUTED_VALUE"""),"")</f>
        <v/>
      </c>
      <c r="B16736" s="87"/>
      <c r="C16736" s="87"/>
      <c r="D16736" s="87"/>
      <c r="E16736" s="87"/>
      <c r="F16736" s="87"/>
      <c r="G16736" s="87"/>
    </row>
    <row r="16737">
      <c r="A16737" s="86" t="str">
        <f>IFERROR(__xludf.DUMMYFUNCTION("""COMPUTED_VALUE"""),"")</f>
        <v/>
      </c>
      <c r="B16737" s="87"/>
      <c r="C16737" s="87"/>
      <c r="D16737" s="87"/>
      <c r="E16737" s="87"/>
      <c r="F16737" s="87"/>
      <c r="G16737" s="87"/>
    </row>
    <row r="16738">
      <c r="A16738" s="86" t="str">
        <f>IFERROR(__xludf.DUMMYFUNCTION("""COMPUTED_VALUE"""),"")</f>
        <v/>
      </c>
      <c r="B16738" s="87"/>
      <c r="C16738" s="87"/>
      <c r="D16738" s="87"/>
      <c r="E16738" s="87"/>
      <c r="F16738" s="87"/>
      <c r="G16738" s="87"/>
    </row>
    <row r="16739">
      <c r="A16739" s="86" t="str">
        <f>IFERROR(__xludf.DUMMYFUNCTION("""COMPUTED_VALUE"""),"")</f>
        <v/>
      </c>
      <c r="B16739" s="87"/>
      <c r="C16739" s="87"/>
      <c r="D16739" s="87"/>
      <c r="E16739" s="87"/>
      <c r="F16739" s="87"/>
      <c r="G16739" s="87"/>
    </row>
    <row r="16740">
      <c r="A16740" s="86" t="str">
        <f>IFERROR(__xludf.DUMMYFUNCTION("""COMPUTED_VALUE"""),"")</f>
        <v/>
      </c>
      <c r="B16740" s="87"/>
      <c r="C16740" s="87"/>
      <c r="D16740" s="87"/>
      <c r="E16740" s="87"/>
      <c r="F16740" s="87"/>
      <c r="G16740" s="87"/>
    </row>
    <row r="16741">
      <c r="A16741" s="86" t="str">
        <f>IFERROR(__xludf.DUMMYFUNCTION("""COMPUTED_VALUE"""),"")</f>
        <v/>
      </c>
      <c r="B16741" s="87"/>
      <c r="C16741" s="87"/>
      <c r="D16741" s="87"/>
      <c r="E16741" s="87"/>
      <c r="F16741" s="87"/>
      <c r="G16741" s="87"/>
    </row>
    <row r="16742">
      <c r="A16742" s="86" t="str">
        <f>IFERROR(__xludf.DUMMYFUNCTION("""COMPUTED_VALUE"""),"")</f>
        <v/>
      </c>
      <c r="B16742" s="87"/>
      <c r="C16742" s="87"/>
      <c r="D16742" s="87"/>
      <c r="E16742" s="87"/>
      <c r="F16742" s="87"/>
      <c r="G16742" s="87"/>
    </row>
    <row r="16743">
      <c r="A16743" s="86" t="str">
        <f>IFERROR(__xludf.DUMMYFUNCTION("""COMPUTED_VALUE"""),"")</f>
        <v/>
      </c>
      <c r="B16743" s="87"/>
      <c r="C16743" s="87"/>
      <c r="D16743" s="87"/>
      <c r="E16743" s="87"/>
      <c r="F16743" s="87"/>
      <c r="G16743" s="87"/>
    </row>
    <row r="16744">
      <c r="A16744" s="86" t="str">
        <f>IFERROR(__xludf.DUMMYFUNCTION("""COMPUTED_VALUE"""),"")</f>
        <v/>
      </c>
      <c r="B16744" s="87"/>
      <c r="C16744" s="87"/>
      <c r="D16744" s="87"/>
      <c r="E16744" s="87"/>
      <c r="F16744" s="87"/>
      <c r="G16744" s="87"/>
    </row>
    <row r="16745">
      <c r="A16745" s="86" t="str">
        <f>IFERROR(__xludf.DUMMYFUNCTION("""COMPUTED_VALUE"""),"")</f>
        <v/>
      </c>
      <c r="B16745" s="87"/>
      <c r="C16745" s="87"/>
      <c r="D16745" s="87"/>
      <c r="E16745" s="87"/>
      <c r="F16745" s="87"/>
      <c r="G16745" s="87"/>
    </row>
    <row r="16746">
      <c r="A16746" s="86" t="str">
        <f>IFERROR(__xludf.DUMMYFUNCTION("""COMPUTED_VALUE"""),"")</f>
        <v/>
      </c>
      <c r="B16746" s="87"/>
      <c r="C16746" s="87"/>
      <c r="D16746" s="87"/>
      <c r="E16746" s="87"/>
      <c r="F16746" s="87"/>
      <c r="G16746" s="87"/>
    </row>
    <row r="16747">
      <c r="A16747" s="86" t="str">
        <f>IFERROR(__xludf.DUMMYFUNCTION("""COMPUTED_VALUE"""),"")</f>
        <v/>
      </c>
      <c r="B16747" s="87"/>
      <c r="C16747" s="87"/>
      <c r="D16747" s="87"/>
      <c r="E16747" s="87"/>
      <c r="F16747" s="87"/>
      <c r="G16747" s="87"/>
    </row>
    <row r="16748">
      <c r="A16748" s="86" t="str">
        <f>IFERROR(__xludf.DUMMYFUNCTION("""COMPUTED_VALUE"""),"")</f>
        <v/>
      </c>
      <c r="B16748" s="87"/>
      <c r="C16748" s="87"/>
      <c r="D16748" s="87"/>
      <c r="E16748" s="87"/>
      <c r="F16748" s="87"/>
      <c r="G16748" s="87"/>
    </row>
    <row r="16749">
      <c r="A16749" s="86" t="str">
        <f>IFERROR(__xludf.DUMMYFUNCTION("""COMPUTED_VALUE"""),"")</f>
        <v/>
      </c>
      <c r="B16749" s="87"/>
      <c r="C16749" s="87"/>
      <c r="D16749" s="87"/>
      <c r="E16749" s="87"/>
      <c r="F16749" s="87"/>
      <c r="G16749" s="87"/>
    </row>
    <row r="16750">
      <c r="A16750" s="86" t="str">
        <f>IFERROR(__xludf.DUMMYFUNCTION("""COMPUTED_VALUE"""),"")</f>
        <v/>
      </c>
      <c r="B16750" s="87"/>
      <c r="C16750" s="87"/>
      <c r="D16750" s="87"/>
      <c r="E16750" s="87"/>
      <c r="F16750" s="87"/>
      <c r="G16750" s="87"/>
    </row>
    <row r="16751">
      <c r="A16751" s="86" t="str">
        <f>IFERROR(__xludf.DUMMYFUNCTION("""COMPUTED_VALUE"""),"")</f>
        <v/>
      </c>
      <c r="B16751" s="87"/>
      <c r="C16751" s="87"/>
      <c r="D16751" s="87"/>
      <c r="E16751" s="87"/>
      <c r="F16751" s="87"/>
      <c r="G16751" s="87"/>
    </row>
    <row r="16752">
      <c r="A16752" s="86" t="str">
        <f>IFERROR(__xludf.DUMMYFUNCTION("""COMPUTED_VALUE"""),"")</f>
        <v/>
      </c>
      <c r="B16752" s="87"/>
      <c r="C16752" s="87"/>
      <c r="D16752" s="87"/>
      <c r="E16752" s="87"/>
      <c r="F16752" s="87"/>
      <c r="G16752" s="87"/>
    </row>
    <row r="16753">
      <c r="A16753" s="86" t="str">
        <f>IFERROR(__xludf.DUMMYFUNCTION("""COMPUTED_VALUE"""),"")</f>
        <v/>
      </c>
      <c r="B16753" s="87"/>
      <c r="C16753" s="87"/>
      <c r="D16753" s="87"/>
      <c r="E16753" s="87"/>
      <c r="F16753" s="87"/>
      <c r="G16753" s="87"/>
    </row>
    <row r="16754">
      <c r="A16754" s="86" t="str">
        <f>IFERROR(__xludf.DUMMYFUNCTION("""COMPUTED_VALUE"""),"")</f>
        <v/>
      </c>
      <c r="B16754" s="87"/>
      <c r="C16754" s="87"/>
      <c r="D16754" s="87"/>
      <c r="E16754" s="87"/>
      <c r="F16754" s="87"/>
      <c r="G16754" s="87"/>
    </row>
    <row r="16755">
      <c r="A16755" s="86" t="str">
        <f>IFERROR(__xludf.DUMMYFUNCTION("""COMPUTED_VALUE"""),"")</f>
        <v/>
      </c>
      <c r="B16755" s="87"/>
      <c r="C16755" s="87"/>
      <c r="D16755" s="87"/>
      <c r="E16755" s="87"/>
      <c r="F16755" s="87"/>
      <c r="G16755" s="87"/>
    </row>
    <row r="16756">
      <c r="A16756" s="86" t="str">
        <f>IFERROR(__xludf.DUMMYFUNCTION("""COMPUTED_VALUE"""),"")</f>
        <v/>
      </c>
      <c r="B16756" s="87"/>
      <c r="C16756" s="87"/>
      <c r="D16756" s="87"/>
      <c r="E16756" s="87"/>
      <c r="F16756" s="87"/>
      <c r="G16756" s="87"/>
    </row>
    <row r="16757">
      <c r="A16757" s="86" t="str">
        <f>IFERROR(__xludf.DUMMYFUNCTION("""COMPUTED_VALUE"""),"")</f>
        <v/>
      </c>
      <c r="B16757" s="87"/>
      <c r="C16757" s="87"/>
      <c r="D16757" s="87"/>
      <c r="E16757" s="87"/>
      <c r="F16757" s="87"/>
      <c r="G16757" s="87"/>
    </row>
    <row r="16758">
      <c r="A16758" s="86" t="str">
        <f>IFERROR(__xludf.DUMMYFUNCTION("""COMPUTED_VALUE"""),"")</f>
        <v/>
      </c>
      <c r="B16758" s="87"/>
      <c r="C16758" s="87"/>
      <c r="D16758" s="87"/>
      <c r="E16758" s="87"/>
      <c r="F16758" s="87"/>
      <c r="G16758" s="87"/>
    </row>
    <row r="16759">
      <c r="A16759" s="86" t="str">
        <f>IFERROR(__xludf.DUMMYFUNCTION("""COMPUTED_VALUE"""),"")</f>
        <v/>
      </c>
      <c r="B16759" s="87"/>
      <c r="C16759" s="87"/>
      <c r="D16759" s="87"/>
      <c r="E16759" s="87"/>
      <c r="F16759" s="87"/>
      <c r="G16759" s="87"/>
    </row>
    <row r="16760">
      <c r="A16760" s="86" t="str">
        <f>IFERROR(__xludf.DUMMYFUNCTION("""COMPUTED_VALUE"""),"")</f>
        <v/>
      </c>
      <c r="B16760" s="87"/>
      <c r="C16760" s="87"/>
      <c r="D16760" s="87"/>
      <c r="E16760" s="87"/>
      <c r="F16760" s="87"/>
      <c r="G16760" s="87"/>
    </row>
    <row r="16761">
      <c r="A16761" s="86" t="str">
        <f>IFERROR(__xludf.DUMMYFUNCTION("""COMPUTED_VALUE"""),"")</f>
        <v/>
      </c>
      <c r="B16761" s="87"/>
      <c r="C16761" s="87"/>
      <c r="D16761" s="87"/>
      <c r="E16761" s="87"/>
      <c r="F16761" s="87"/>
      <c r="G16761" s="87"/>
    </row>
    <row r="16762">
      <c r="A16762" s="86" t="str">
        <f>IFERROR(__xludf.DUMMYFUNCTION("""COMPUTED_VALUE"""),"")</f>
        <v/>
      </c>
      <c r="B16762" s="87"/>
      <c r="C16762" s="87"/>
      <c r="D16762" s="87"/>
      <c r="E16762" s="87"/>
      <c r="F16762" s="87"/>
      <c r="G16762" s="87"/>
    </row>
    <row r="16763">
      <c r="A16763" s="86" t="str">
        <f>IFERROR(__xludf.DUMMYFUNCTION("""COMPUTED_VALUE"""),"")</f>
        <v/>
      </c>
      <c r="B16763" s="87"/>
      <c r="C16763" s="87"/>
      <c r="D16763" s="87"/>
      <c r="E16763" s="87"/>
      <c r="F16763" s="87"/>
      <c r="G16763" s="87"/>
    </row>
    <row r="16764">
      <c r="A16764" s="86" t="str">
        <f>IFERROR(__xludf.DUMMYFUNCTION("""COMPUTED_VALUE"""),"")</f>
        <v/>
      </c>
      <c r="B16764" s="87"/>
      <c r="C16764" s="87"/>
      <c r="D16764" s="87"/>
      <c r="E16764" s="87"/>
      <c r="F16764" s="87"/>
      <c r="G16764" s="87"/>
    </row>
    <row r="16765">
      <c r="A16765" s="86" t="str">
        <f>IFERROR(__xludf.DUMMYFUNCTION("""COMPUTED_VALUE"""),"")</f>
        <v/>
      </c>
      <c r="B16765" s="87"/>
      <c r="C16765" s="87"/>
      <c r="D16765" s="87"/>
      <c r="E16765" s="87"/>
      <c r="F16765" s="87"/>
      <c r="G16765" s="87"/>
    </row>
    <row r="16766">
      <c r="A16766" s="86" t="str">
        <f>IFERROR(__xludf.DUMMYFUNCTION("""COMPUTED_VALUE"""),"")</f>
        <v/>
      </c>
      <c r="B16766" s="87"/>
      <c r="C16766" s="87"/>
      <c r="D16766" s="87"/>
      <c r="E16766" s="87"/>
      <c r="F16766" s="87"/>
      <c r="G16766" s="87"/>
    </row>
    <row r="16767">
      <c r="A16767" s="86" t="str">
        <f>IFERROR(__xludf.DUMMYFUNCTION("""COMPUTED_VALUE"""),"")</f>
        <v/>
      </c>
      <c r="B16767" s="87"/>
      <c r="C16767" s="87"/>
      <c r="D16767" s="87"/>
      <c r="E16767" s="87"/>
      <c r="F16767" s="87"/>
      <c r="G16767" s="87"/>
    </row>
    <row r="16768">
      <c r="A16768" s="86" t="str">
        <f>IFERROR(__xludf.DUMMYFUNCTION("""COMPUTED_VALUE"""),"")</f>
        <v/>
      </c>
      <c r="B16768" s="87"/>
      <c r="C16768" s="87"/>
      <c r="D16768" s="87"/>
      <c r="E16768" s="87"/>
      <c r="F16768" s="87"/>
      <c r="G16768" s="87"/>
    </row>
    <row r="16769">
      <c r="A16769" s="86" t="str">
        <f>IFERROR(__xludf.DUMMYFUNCTION("""COMPUTED_VALUE"""),"")</f>
        <v/>
      </c>
      <c r="B16769" s="87"/>
      <c r="C16769" s="87"/>
      <c r="D16769" s="87"/>
      <c r="E16769" s="87"/>
      <c r="F16769" s="87"/>
      <c r="G16769" s="87"/>
    </row>
    <row r="16770">
      <c r="A16770" s="86" t="str">
        <f>IFERROR(__xludf.DUMMYFUNCTION("""COMPUTED_VALUE"""),"")</f>
        <v/>
      </c>
      <c r="B16770" s="87"/>
      <c r="C16770" s="87"/>
      <c r="D16770" s="87"/>
      <c r="E16770" s="87"/>
      <c r="F16770" s="87"/>
      <c r="G16770" s="87"/>
    </row>
    <row r="16771">
      <c r="A16771" s="86" t="str">
        <f>IFERROR(__xludf.DUMMYFUNCTION("""COMPUTED_VALUE"""),"")</f>
        <v/>
      </c>
      <c r="B16771" s="87"/>
      <c r="C16771" s="87"/>
      <c r="D16771" s="87"/>
      <c r="E16771" s="87"/>
      <c r="F16771" s="87"/>
      <c r="G16771" s="87"/>
    </row>
    <row r="16772">
      <c r="A16772" s="86" t="str">
        <f>IFERROR(__xludf.DUMMYFUNCTION("""COMPUTED_VALUE"""),"")</f>
        <v/>
      </c>
      <c r="B16772" s="87"/>
      <c r="C16772" s="87"/>
      <c r="D16772" s="87"/>
      <c r="E16772" s="87"/>
      <c r="F16772" s="87"/>
      <c r="G16772" s="87"/>
    </row>
    <row r="16773">
      <c r="A16773" s="86" t="str">
        <f>IFERROR(__xludf.DUMMYFUNCTION("""COMPUTED_VALUE"""),"")</f>
        <v/>
      </c>
      <c r="B16773" s="87"/>
      <c r="C16773" s="87"/>
      <c r="D16773" s="87"/>
      <c r="E16773" s="87"/>
      <c r="F16773" s="87"/>
      <c r="G16773" s="87"/>
    </row>
    <row r="16774">
      <c r="A16774" s="86" t="str">
        <f>IFERROR(__xludf.DUMMYFUNCTION("""COMPUTED_VALUE"""),"")</f>
        <v/>
      </c>
      <c r="B16774" s="87"/>
      <c r="C16774" s="87"/>
      <c r="D16774" s="87"/>
      <c r="E16774" s="87"/>
      <c r="F16774" s="87"/>
      <c r="G16774" s="87"/>
    </row>
    <row r="16775">
      <c r="A16775" s="86" t="str">
        <f>IFERROR(__xludf.DUMMYFUNCTION("""COMPUTED_VALUE"""),"")</f>
        <v/>
      </c>
      <c r="B16775" s="87"/>
      <c r="C16775" s="87"/>
      <c r="D16775" s="87"/>
      <c r="E16775" s="87"/>
      <c r="F16775" s="87"/>
      <c r="G16775" s="87"/>
    </row>
    <row r="16776">
      <c r="A16776" s="86" t="str">
        <f>IFERROR(__xludf.DUMMYFUNCTION("""COMPUTED_VALUE"""),"")</f>
        <v/>
      </c>
      <c r="B16776" s="87"/>
      <c r="C16776" s="87"/>
      <c r="D16776" s="87"/>
      <c r="E16776" s="87"/>
      <c r="F16776" s="87"/>
      <c r="G16776" s="87"/>
    </row>
    <row r="16777">
      <c r="A16777" s="86" t="str">
        <f>IFERROR(__xludf.DUMMYFUNCTION("""COMPUTED_VALUE"""),"")</f>
        <v/>
      </c>
      <c r="B16777" s="87"/>
      <c r="C16777" s="87"/>
      <c r="D16777" s="87"/>
      <c r="E16777" s="87"/>
      <c r="F16777" s="87"/>
      <c r="G16777" s="87"/>
    </row>
    <row r="16778">
      <c r="A16778" s="86" t="str">
        <f>IFERROR(__xludf.DUMMYFUNCTION("""COMPUTED_VALUE"""),"")</f>
        <v/>
      </c>
      <c r="B16778" s="87"/>
      <c r="C16778" s="87"/>
      <c r="D16778" s="87"/>
      <c r="E16778" s="87"/>
      <c r="F16778" s="87"/>
      <c r="G16778" s="87"/>
    </row>
    <row r="16779">
      <c r="A16779" s="86" t="str">
        <f>IFERROR(__xludf.DUMMYFUNCTION("""COMPUTED_VALUE"""),"")</f>
        <v/>
      </c>
      <c r="B16779" s="87"/>
      <c r="C16779" s="87"/>
      <c r="D16779" s="87"/>
      <c r="E16779" s="87"/>
      <c r="F16779" s="87"/>
      <c r="G16779" s="87"/>
    </row>
    <row r="16780">
      <c r="A16780" s="86" t="str">
        <f>IFERROR(__xludf.DUMMYFUNCTION("""COMPUTED_VALUE"""),"")</f>
        <v/>
      </c>
      <c r="B16780" s="87"/>
      <c r="C16780" s="87"/>
      <c r="D16780" s="87"/>
      <c r="E16780" s="87"/>
      <c r="F16780" s="87"/>
      <c r="G16780" s="87"/>
    </row>
    <row r="16781">
      <c r="A16781" s="86" t="str">
        <f>IFERROR(__xludf.DUMMYFUNCTION("""COMPUTED_VALUE"""),"")</f>
        <v/>
      </c>
      <c r="B16781" s="87"/>
      <c r="C16781" s="87"/>
      <c r="D16781" s="87"/>
      <c r="E16781" s="87"/>
      <c r="F16781" s="87"/>
      <c r="G16781" s="87"/>
    </row>
    <row r="16782">
      <c r="A16782" s="86" t="str">
        <f>IFERROR(__xludf.DUMMYFUNCTION("""COMPUTED_VALUE"""),"")</f>
        <v/>
      </c>
      <c r="B16782" s="87"/>
      <c r="C16782" s="87"/>
      <c r="D16782" s="87"/>
      <c r="E16782" s="87"/>
      <c r="F16782" s="87"/>
      <c r="G16782" s="87"/>
    </row>
    <row r="16783">
      <c r="A16783" s="86" t="str">
        <f>IFERROR(__xludf.DUMMYFUNCTION("""COMPUTED_VALUE"""),"")</f>
        <v/>
      </c>
      <c r="B16783" s="87"/>
      <c r="C16783" s="87"/>
      <c r="D16783" s="87"/>
      <c r="E16783" s="87"/>
      <c r="F16783" s="87"/>
      <c r="G16783" s="87"/>
    </row>
    <row r="16784">
      <c r="A16784" s="86" t="str">
        <f>IFERROR(__xludf.DUMMYFUNCTION("""COMPUTED_VALUE"""),"")</f>
        <v/>
      </c>
      <c r="B16784" s="87"/>
      <c r="C16784" s="87"/>
      <c r="D16784" s="87"/>
      <c r="E16784" s="87"/>
      <c r="F16784" s="87"/>
      <c r="G16784" s="87"/>
    </row>
    <row r="16785">
      <c r="A16785" s="86" t="str">
        <f>IFERROR(__xludf.DUMMYFUNCTION("""COMPUTED_VALUE"""),"")</f>
        <v/>
      </c>
      <c r="B16785" s="87"/>
      <c r="C16785" s="87"/>
      <c r="D16785" s="87"/>
      <c r="E16785" s="87"/>
      <c r="F16785" s="87"/>
      <c r="G16785" s="87"/>
    </row>
    <row r="16786">
      <c r="A16786" s="86" t="str">
        <f>IFERROR(__xludf.DUMMYFUNCTION("""COMPUTED_VALUE"""),"")</f>
        <v/>
      </c>
      <c r="B16786" s="87"/>
      <c r="C16786" s="87"/>
      <c r="D16786" s="87"/>
      <c r="E16786" s="87"/>
      <c r="F16786" s="87"/>
      <c r="G16786" s="87"/>
    </row>
    <row r="16787">
      <c r="A16787" s="86" t="str">
        <f>IFERROR(__xludf.DUMMYFUNCTION("""COMPUTED_VALUE"""),"")</f>
        <v/>
      </c>
      <c r="B16787" s="87"/>
      <c r="C16787" s="87"/>
      <c r="D16787" s="87"/>
      <c r="E16787" s="87"/>
      <c r="F16787" s="87"/>
      <c r="G16787" s="87"/>
    </row>
    <row r="16788">
      <c r="A16788" s="86" t="str">
        <f>IFERROR(__xludf.DUMMYFUNCTION("""COMPUTED_VALUE"""),"")</f>
        <v/>
      </c>
      <c r="B16788" s="87"/>
      <c r="C16788" s="87"/>
      <c r="D16788" s="87"/>
      <c r="E16788" s="87"/>
      <c r="F16788" s="87"/>
      <c r="G16788" s="87"/>
    </row>
    <row r="16789">
      <c r="A16789" s="86" t="str">
        <f>IFERROR(__xludf.DUMMYFUNCTION("""COMPUTED_VALUE"""),"")</f>
        <v/>
      </c>
      <c r="B16789" s="87"/>
      <c r="C16789" s="87"/>
      <c r="D16789" s="87"/>
      <c r="E16789" s="87"/>
      <c r="F16789" s="87"/>
      <c r="G16789" s="87"/>
    </row>
    <row r="16790">
      <c r="A16790" s="86" t="str">
        <f>IFERROR(__xludf.DUMMYFUNCTION("""COMPUTED_VALUE"""),"")</f>
        <v/>
      </c>
      <c r="B16790" s="87"/>
      <c r="C16790" s="87"/>
      <c r="D16790" s="87"/>
      <c r="E16790" s="87"/>
      <c r="F16790" s="87"/>
      <c r="G16790" s="87"/>
    </row>
    <row r="16791">
      <c r="A16791" s="86" t="str">
        <f>IFERROR(__xludf.DUMMYFUNCTION("""COMPUTED_VALUE"""),"")</f>
        <v/>
      </c>
      <c r="B16791" s="87"/>
      <c r="C16791" s="87"/>
      <c r="D16791" s="87"/>
      <c r="E16791" s="87"/>
      <c r="F16791" s="87"/>
      <c r="G16791" s="87"/>
    </row>
    <row r="16792">
      <c r="A16792" s="86" t="str">
        <f>IFERROR(__xludf.DUMMYFUNCTION("""COMPUTED_VALUE"""),"")</f>
        <v/>
      </c>
      <c r="B16792" s="87"/>
      <c r="C16792" s="87"/>
      <c r="D16792" s="87"/>
      <c r="E16792" s="87"/>
      <c r="F16792" s="87"/>
      <c r="G16792" s="87"/>
    </row>
    <row r="16793">
      <c r="A16793" s="86" t="str">
        <f>IFERROR(__xludf.DUMMYFUNCTION("""COMPUTED_VALUE"""),"")</f>
        <v/>
      </c>
      <c r="B16793" s="87"/>
      <c r="C16793" s="87"/>
      <c r="D16793" s="87"/>
      <c r="E16793" s="87"/>
      <c r="F16793" s="87"/>
      <c r="G16793" s="87"/>
    </row>
    <row r="16794">
      <c r="A16794" s="86" t="str">
        <f>IFERROR(__xludf.DUMMYFUNCTION("""COMPUTED_VALUE"""),"")</f>
        <v/>
      </c>
      <c r="B16794" s="87"/>
      <c r="C16794" s="87"/>
      <c r="D16794" s="87"/>
      <c r="E16794" s="87"/>
      <c r="F16794" s="87"/>
      <c r="G16794" s="87"/>
    </row>
    <row r="16795">
      <c r="A16795" s="86" t="str">
        <f>IFERROR(__xludf.DUMMYFUNCTION("""COMPUTED_VALUE"""),"")</f>
        <v/>
      </c>
      <c r="B16795" s="87"/>
      <c r="C16795" s="87"/>
      <c r="D16795" s="87"/>
      <c r="E16795" s="87"/>
      <c r="F16795" s="87"/>
      <c r="G16795" s="87"/>
    </row>
    <row r="16796">
      <c r="A16796" s="86" t="str">
        <f>IFERROR(__xludf.DUMMYFUNCTION("""COMPUTED_VALUE"""),"")</f>
        <v/>
      </c>
      <c r="B16796" s="87"/>
      <c r="C16796" s="87"/>
      <c r="D16796" s="87"/>
      <c r="E16796" s="87"/>
      <c r="F16796" s="87"/>
      <c r="G16796" s="87"/>
    </row>
    <row r="16797">
      <c r="A16797" s="86" t="str">
        <f>IFERROR(__xludf.DUMMYFUNCTION("""COMPUTED_VALUE"""),"")</f>
        <v/>
      </c>
      <c r="B16797" s="87"/>
      <c r="C16797" s="87"/>
      <c r="D16797" s="87"/>
      <c r="E16797" s="87"/>
      <c r="F16797" s="87"/>
      <c r="G16797" s="87"/>
    </row>
    <row r="16798">
      <c r="A16798" s="86" t="str">
        <f>IFERROR(__xludf.DUMMYFUNCTION("""COMPUTED_VALUE"""),"")</f>
        <v/>
      </c>
      <c r="B16798" s="87"/>
      <c r="C16798" s="87"/>
      <c r="D16798" s="87"/>
      <c r="E16798" s="87"/>
      <c r="F16798" s="87"/>
      <c r="G16798" s="87"/>
    </row>
    <row r="16799">
      <c r="A16799" s="86" t="str">
        <f>IFERROR(__xludf.DUMMYFUNCTION("""COMPUTED_VALUE"""),"")</f>
        <v/>
      </c>
      <c r="B16799" s="87"/>
      <c r="C16799" s="87"/>
      <c r="D16799" s="87"/>
      <c r="E16799" s="87"/>
      <c r="F16799" s="87"/>
      <c r="G16799" s="87"/>
    </row>
    <row r="16800">
      <c r="A16800" s="86" t="str">
        <f>IFERROR(__xludf.DUMMYFUNCTION("""COMPUTED_VALUE"""),"")</f>
        <v/>
      </c>
      <c r="B16800" s="87"/>
      <c r="C16800" s="87"/>
      <c r="D16800" s="87"/>
      <c r="E16800" s="87"/>
      <c r="F16800" s="87"/>
      <c r="G16800" s="87"/>
    </row>
    <row r="16801">
      <c r="A16801" s="86" t="str">
        <f>IFERROR(__xludf.DUMMYFUNCTION("""COMPUTED_VALUE"""),"")</f>
        <v/>
      </c>
      <c r="B16801" s="87"/>
      <c r="C16801" s="87"/>
      <c r="D16801" s="87"/>
      <c r="E16801" s="87"/>
      <c r="F16801" s="87"/>
      <c r="G16801" s="87"/>
    </row>
    <row r="16802">
      <c r="A16802" s="86" t="str">
        <f>IFERROR(__xludf.DUMMYFUNCTION("""COMPUTED_VALUE"""),"")</f>
        <v/>
      </c>
      <c r="B16802" s="87"/>
      <c r="C16802" s="87"/>
      <c r="D16802" s="87"/>
      <c r="E16802" s="87"/>
      <c r="F16802" s="87"/>
      <c r="G16802" s="87"/>
    </row>
    <row r="16803">
      <c r="A16803" s="86" t="str">
        <f>IFERROR(__xludf.DUMMYFUNCTION("""COMPUTED_VALUE"""),"")</f>
        <v/>
      </c>
      <c r="B16803" s="87"/>
      <c r="C16803" s="87"/>
      <c r="D16803" s="87"/>
      <c r="E16803" s="87"/>
      <c r="F16803" s="87"/>
      <c r="G16803" s="87"/>
    </row>
    <row r="16804">
      <c r="A16804" s="86" t="str">
        <f>IFERROR(__xludf.DUMMYFUNCTION("""COMPUTED_VALUE"""),"")</f>
        <v/>
      </c>
      <c r="B16804" s="87"/>
      <c r="C16804" s="87"/>
      <c r="D16804" s="87"/>
      <c r="E16804" s="87"/>
      <c r="F16804" s="87"/>
      <c r="G16804" s="87"/>
    </row>
    <row r="16805">
      <c r="A16805" s="86" t="str">
        <f>IFERROR(__xludf.DUMMYFUNCTION("""COMPUTED_VALUE"""),"")</f>
        <v/>
      </c>
      <c r="B16805" s="87"/>
      <c r="C16805" s="87"/>
      <c r="D16805" s="87"/>
      <c r="E16805" s="87"/>
      <c r="F16805" s="87"/>
      <c r="G16805" s="87"/>
    </row>
    <row r="16806">
      <c r="A16806" s="86" t="str">
        <f>IFERROR(__xludf.DUMMYFUNCTION("""COMPUTED_VALUE"""),"")</f>
        <v/>
      </c>
      <c r="B16806" s="87"/>
      <c r="C16806" s="87"/>
      <c r="D16806" s="87"/>
      <c r="E16806" s="87"/>
      <c r="F16806" s="87"/>
      <c r="G16806" s="87"/>
    </row>
    <row r="16807">
      <c r="A16807" s="86" t="str">
        <f>IFERROR(__xludf.DUMMYFUNCTION("""COMPUTED_VALUE"""),"")</f>
        <v/>
      </c>
      <c r="B16807" s="87"/>
      <c r="C16807" s="87"/>
      <c r="D16807" s="87"/>
      <c r="E16807" s="87"/>
      <c r="F16807" s="87"/>
      <c r="G16807" s="87"/>
    </row>
    <row r="16808">
      <c r="A16808" s="86" t="str">
        <f>IFERROR(__xludf.DUMMYFUNCTION("""COMPUTED_VALUE"""),"")</f>
        <v/>
      </c>
      <c r="B16808" s="87"/>
      <c r="C16808" s="87"/>
      <c r="D16808" s="87"/>
      <c r="E16808" s="87"/>
      <c r="F16808" s="87"/>
      <c r="G16808" s="87"/>
    </row>
    <row r="16809">
      <c r="A16809" s="86" t="str">
        <f>IFERROR(__xludf.DUMMYFUNCTION("""COMPUTED_VALUE"""),"")</f>
        <v/>
      </c>
      <c r="B16809" s="87"/>
      <c r="C16809" s="87"/>
      <c r="D16809" s="87"/>
      <c r="E16809" s="87"/>
      <c r="F16809" s="87"/>
      <c r="G16809" s="87"/>
    </row>
    <row r="16810">
      <c r="A16810" s="86" t="str">
        <f>IFERROR(__xludf.DUMMYFUNCTION("""COMPUTED_VALUE"""),"")</f>
        <v/>
      </c>
      <c r="B16810" s="87"/>
      <c r="C16810" s="87"/>
      <c r="D16810" s="87"/>
      <c r="E16810" s="87"/>
      <c r="F16810" s="87"/>
      <c r="G16810" s="87"/>
    </row>
    <row r="16811">
      <c r="A16811" s="86" t="str">
        <f>IFERROR(__xludf.DUMMYFUNCTION("""COMPUTED_VALUE"""),"")</f>
        <v/>
      </c>
      <c r="B16811" s="87"/>
      <c r="C16811" s="87"/>
      <c r="D16811" s="87"/>
      <c r="E16811" s="87"/>
      <c r="F16811" s="87"/>
      <c r="G16811" s="87"/>
    </row>
    <row r="16812">
      <c r="A16812" s="86" t="str">
        <f>IFERROR(__xludf.DUMMYFUNCTION("""COMPUTED_VALUE"""),"")</f>
        <v/>
      </c>
      <c r="B16812" s="87"/>
      <c r="C16812" s="87"/>
      <c r="D16812" s="87"/>
      <c r="E16812" s="87"/>
      <c r="F16812" s="87"/>
      <c r="G16812" s="87"/>
    </row>
    <row r="16813">
      <c r="A16813" s="86" t="str">
        <f>IFERROR(__xludf.DUMMYFUNCTION("""COMPUTED_VALUE"""),"")</f>
        <v/>
      </c>
      <c r="B16813" s="87"/>
      <c r="C16813" s="87"/>
      <c r="D16813" s="87"/>
      <c r="E16813" s="87"/>
      <c r="F16813" s="87"/>
      <c r="G16813" s="87"/>
    </row>
    <row r="16814">
      <c r="A16814" s="86" t="str">
        <f>IFERROR(__xludf.DUMMYFUNCTION("""COMPUTED_VALUE"""),"")</f>
        <v/>
      </c>
      <c r="B16814" s="87"/>
      <c r="C16814" s="87"/>
      <c r="D16814" s="87"/>
      <c r="E16814" s="87"/>
      <c r="F16814" s="87"/>
      <c r="G16814" s="87"/>
    </row>
    <row r="16815">
      <c r="A16815" s="86" t="str">
        <f>IFERROR(__xludf.DUMMYFUNCTION("""COMPUTED_VALUE"""),"")</f>
        <v/>
      </c>
      <c r="B16815" s="87"/>
      <c r="C16815" s="87"/>
      <c r="D16815" s="87"/>
      <c r="E16815" s="87"/>
      <c r="F16815" s="87"/>
      <c r="G16815" s="87"/>
    </row>
    <row r="16816">
      <c r="A16816" s="86" t="str">
        <f>IFERROR(__xludf.DUMMYFUNCTION("""COMPUTED_VALUE"""),"")</f>
        <v/>
      </c>
      <c r="B16816" s="87"/>
      <c r="C16816" s="87"/>
      <c r="D16816" s="87"/>
      <c r="E16816" s="87"/>
      <c r="F16816" s="87"/>
      <c r="G16816" s="87"/>
    </row>
    <row r="16817">
      <c r="A16817" s="86" t="str">
        <f>IFERROR(__xludf.DUMMYFUNCTION("""COMPUTED_VALUE"""),"")</f>
        <v/>
      </c>
      <c r="B16817" s="87"/>
      <c r="C16817" s="87"/>
      <c r="D16817" s="87"/>
      <c r="E16817" s="87"/>
      <c r="F16817" s="87"/>
      <c r="G16817" s="87"/>
    </row>
    <row r="16818">
      <c r="A16818" s="86" t="str">
        <f>IFERROR(__xludf.DUMMYFUNCTION("""COMPUTED_VALUE"""),"")</f>
        <v/>
      </c>
      <c r="B16818" s="87"/>
      <c r="C16818" s="87"/>
      <c r="D16818" s="87"/>
      <c r="E16818" s="87"/>
      <c r="F16818" s="87"/>
      <c r="G16818" s="87"/>
    </row>
    <row r="16819">
      <c r="A16819" s="86" t="str">
        <f>IFERROR(__xludf.DUMMYFUNCTION("""COMPUTED_VALUE"""),"")</f>
        <v/>
      </c>
      <c r="B16819" s="87"/>
      <c r="C16819" s="87"/>
      <c r="D16819" s="87"/>
      <c r="E16819" s="87"/>
      <c r="F16819" s="87"/>
      <c r="G16819" s="87"/>
    </row>
    <row r="16820">
      <c r="A16820" s="86" t="str">
        <f>IFERROR(__xludf.DUMMYFUNCTION("""COMPUTED_VALUE"""),"")</f>
        <v/>
      </c>
      <c r="B16820" s="87"/>
      <c r="C16820" s="87"/>
      <c r="D16820" s="87"/>
      <c r="E16820" s="87"/>
      <c r="F16820" s="87"/>
      <c r="G16820" s="87"/>
    </row>
    <row r="16821">
      <c r="A16821" s="86" t="str">
        <f>IFERROR(__xludf.DUMMYFUNCTION("""COMPUTED_VALUE"""),"")</f>
        <v/>
      </c>
      <c r="B16821" s="87"/>
      <c r="C16821" s="87"/>
      <c r="D16821" s="87"/>
      <c r="E16821" s="87"/>
      <c r="F16821" s="87"/>
      <c r="G16821" s="87"/>
    </row>
    <row r="16822">
      <c r="A16822" s="86" t="str">
        <f>IFERROR(__xludf.DUMMYFUNCTION("""COMPUTED_VALUE"""),"")</f>
        <v/>
      </c>
      <c r="B16822" s="87"/>
      <c r="C16822" s="87"/>
      <c r="D16822" s="87"/>
      <c r="E16822" s="87"/>
      <c r="F16822" s="87"/>
      <c r="G16822" s="87"/>
    </row>
    <row r="16823">
      <c r="A16823" s="86" t="str">
        <f>IFERROR(__xludf.DUMMYFUNCTION("""COMPUTED_VALUE"""),"")</f>
        <v/>
      </c>
      <c r="B16823" s="87"/>
      <c r="C16823" s="87"/>
      <c r="D16823" s="87"/>
      <c r="E16823" s="87"/>
      <c r="F16823" s="87"/>
      <c r="G16823" s="87"/>
    </row>
    <row r="16824">
      <c r="A16824" s="86" t="str">
        <f>IFERROR(__xludf.DUMMYFUNCTION("""COMPUTED_VALUE"""),"")</f>
        <v/>
      </c>
      <c r="B16824" s="87"/>
      <c r="C16824" s="87"/>
      <c r="D16824" s="87"/>
      <c r="E16824" s="87"/>
      <c r="F16824" s="87"/>
      <c r="G16824" s="87"/>
    </row>
    <row r="16825">
      <c r="A16825" s="86" t="str">
        <f>IFERROR(__xludf.DUMMYFUNCTION("""COMPUTED_VALUE"""),"")</f>
        <v/>
      </c>
      <c r="B16825" s="87"/>
      <c r="C16825" s="87"/>
      <c r="D16825" s="87"/>
      <c r="E16825" s="87"/>
      <c r="F16825" s="87"/>
      <c r="G16825" s="87"/>
    </row>
    <row r="16826">
      <c r="A16826" s="86" t="str">
        <f>IFERROR(__xludf.DUMMYFUNCTION("""COMPUTED_VALUE"""),"")</f>
        <v/>
      </c>
      <c r="B16826" s="87"/>
      <c r="C16826" s="87"/>
      <c r="D16826" s="87"/>
      <c r="E16826" s="87"/>
      <c r="F16826" s="87"/>
      <c r="G16826" s="87"/>
    </row>
    <row r="16827">
      <c r="A16827" s="86" t="str">
        <f>IFERROR(__xludf.DUMMYFUNCTION("""COMPUTED_VALUE"""),"")</f>
        <v/>
      </c>
      <c r="B16827" s="87"/>
      <c r="C16827" s="87"/>
      <c r="D16827" s="87"/>
      <c r="E16827" s="87"/>
      <c r="F16827" s="87"/>
      <c r="G16827" s="87"/>
    </row>
    <row r="16828">
      <c r="A16828" s="86" t="str">
        <f>IFERROR(__xludf.DUMMYFUNCTION("""COMPUTED_VALUE"""),"")</f>
        <v/>
      </c>
      <c r="B16828" s="87"/>
      <c r="C16828" s="87"/>
      <c r="D16828" s="87"/>
      <c r="E16828" s="87"/>
      <c r="F16828" s="87"/>
      <c r="G16828" s="87"/>
    </row>
    <row r="16829">
      <c r="A16829" s="86" t="str">
        <f>IFERROR(__xludf.DUMMYFUNCTION("""COMPUTED_VALUE"""),"")</f>
        <v/>
      </c>
      <c r="B16829" s="87"/>
      <c r="C16829" s="87"/>
      <c r="D16829" s="87"/>
      <c r="E16829" s="87"/>
      <c r="F16829" s="87"/>
      <c r="G16829" s="87"/>
    </row>
    <row r="16830">
      <c r="A16830" s="86" t="str">
        <f>IFERROR(__xludf.DUMMYFUNCTION("""COMPUTED_VALUE"""),"")</f>
        <v/>
      </c>
      <c r="B16830" s="87"/>
      <c r="C16830" s="87"/>
      <c r="D16830" s="87"/>
      <c r="E16830" s="87"/>
      <c r="F16830" s="87"/>
      <c r="G16830" s="87"/>
    </row>
    <row r="16831">
      <c r="A16831" s="86" t="str">
        <f>IFERROR(__xludf.DUMMYFUNCTION("""COMPUTED_VALUE"""),"")</f>
        <v/>
      </c>
      <c r="B16831" s="87"/>
      <c r="C16831" s="87"/>
      <c r="D16831" s="87"/>
      <c r="E16831" s="87"/>
      <c r="F16831" s="87"/>
      <c r="G16831" s="87"/>
    </row>
    <row r="16832">
      <c r="A16832" s="86" t="str">
        <f>IFERROR(__xludf.DUMMYFUNCTION("""COMPUTED_VALUE"""),"")</f>
        <v/>
      </c>
      <c r="B16832" s="87"/>
      <c r="C16832" s="87"/>
      <c r="D16832" s="87"/>
      <c r="E16832" s="87"/>
      <c r="F16832" s="87"/>
      <c r="G16832" s="87"/>
    </row>
    <row r="16833">
      <c r="A16833" s="86" t="str">
        <f>IFERROR(__xludf.DUMMYFUNCTION("""COMPUTED_VALUE"""),"")</f>
        <v/>
      </c>
      <c r="B16833" s="87"/>
      <c r="C16833" s="87"/>
      <c r="D16833" s="87"/>
      <c r="E16833" s="87"/>
      <c r="F16833" s="87"/>
      <c r="G16833" s="87"/>
    </row>
    <row r="16834">
      <c r="A16834" s="86" t="str">
        <f>IFERROR(__xludf.DUMMYFUNCTION("""COMPUTED_VALUE"""),"")</f>
        <v/>
      </c>
      <c r="B16834" s="87"/>
      <c r="C16834" s="87"/>
      <c r="D16834" s="87"/>
      <c r="E16834" s="87"/>
      <c r="F16834" s="87"/>
      <c r="G16834" s="87"/>
    </row>
    <row r="16835">
      <c r="A16835" s="86" t="str">
        <f>IFERROR(__xludf.DUMMYFUNCTION("""COMPUTED_VALUE"""),"")</f>
        <v/>
      </c>
      <c r="B16835" s="87"/>
      <c r="C16835" s="87"/>
      <c r="D16835" s="87"/>
      <c r="E16835" s="87"/>
      <c r="F16835" s="87"/>
      <c r="G16835" s="87"/>
    </row>
    <row r="16836">
      <c r="A16836" s="86" t="str">
        <f>IFERROR(__xludf.DUMMYFUNCTION("""COMPUTED_VALUE"""),"")</f>
        <v/>
      </c>
      <c r="B16836" s="87"/>
      <c r="C16836" s="87"/>
      <c r="D16836" s="87"/>
      <c r="E16836" s="87"/>
      <c r="F16836" s="87"/>
      <c r="G16836" s="87"/>
    </row>
    <row r="16837">
      <c r="A16837" s="86" t="str">
        <f>IFERROR(__xludf.DUMMYFUNCTION("""COMPUTED_VALUE"""),"")</f>
        <v/>
      </c>
      <c r="B16837" s="87"/>
      <c r="C16837" s="87"/>
      <c r="D16837" s="87"/>
      <c r="E16837" s="87"/>
      <c r="F16837" s="87"/>
      <c r="G16837" s="87"/>
    </row>
    <row r="16838">
      <c r="A16838" s="86" t="str">
        <f>IFERROR(__xludf.DUMMYFUNCTION("""COMPUTED_VALUE"""),"")</f>
        <v/>
      </c>
      <c r="B16838" s="87"/>
      <c r="C16838" s="87"/>
      <c r="D16838" s="87"/>
      <c r="E16838" s="87"/>
      <c r="F16838" s="87"/>
      <c r="G16838" s="87"/>
    </row>
    <row r="16839">
      <c r="A16839" s="86" t="str">
        <f>IFERROR(__xludf.DUMMYFUNCTION("""COMPUTED_VALUE"""),"")</f>
        <v/>
      </c>
      <c r="B16839" s="87"/>
      <c r="C16839" s="87"/>
      <c r="D16839" s="87"/>
      <c r="E16839" s="87"/>
      <c r="F16839" s="87"/>
      <c r="G16839" s="87"/>
    </row>
    <row r="16840">
      <c r="A16840" s="86" t="str">
        <f>IFERROR(__xludf.DUMMYFUNCTION("""COMPUTED_VALUE"""),"")</f>
        <v/>
      </c>
      <c r="B16840" s="87"/>
      <c r="C16840" s="87"/>
      <c r="D16840" s="87"/>
      <c r="E16840" s="87"/>
      <c r="F16840" s="87"/>
      <c r="G16840" s="87"/>
    </row>
    <row r="16841">
      <c r="A16841" s="86" t="str">
        <f>IFERROR(__xludf.DUMMYFUNCTION("""COMPUTED_VALUE"""),"")</f>
        <v/>
      </c>
      <c r="B16841" s="87"/>
      <c r="C16841" s="87"/>
      <c r="D16841" s="87"/>
      <c r="E16841" s="87"/>
      <c r="F16841" s="87"/>
      <c r="G16841" s="87"/>
    </row>
    <row r="16842">
      <c r="A16842" s="86" t="str">
        <f>IFERROR(__xludf.DUMMYFUNCTION("""COMPUTED_VALUE"""),"")</f>
        <v/>
      </c>
      <c r="B16842" s="87"/>
      <c r="C16842" s="87"/>
      <c r="D16842" s="87"/>
      <c r="E16842" s="87"/>
      <c r="F16842" s="87"/>
      <c r="G16842" s="87"/>
    </row>
    <row r="16843">
      <c r="A16843" s="86" t="str">
        <f>IFERROR(__xludf.DUMMYFUNCTION("""COMPUTED_VALUE"""),"")</f>
        <v/>
      </c>
      <c r="B16843" s="87"/>
      <c r="C16843" s="87"/>
      <c r="D16843" s="87"/>
      <c r="E16843" s="87"/>
      <c r="F16843" s="87"/>
      <c r="G16843" s="87"/>
    </row>
    <row r="16844">
      <c r="A16844" s="86" t="str">
        <f>IFERROR(__xludf.DUMMYFUNCTION("""COMPUTED_VALUE"""),"")</f>
        <v/>
      </c>
      <c r="B16844" s="87"/>
      <c r="C16844" s="87"/>
      <c r="D16844" s="87"/>
      <c r="E16844" s="87"/>
      <c r="F16844" s="87"/>
      <c r="G16844" s="87"/>
    </row>
    <row r="16845">
      <c r="A16845" s="86" t="str">
        <f>IFERROR(__xludf.DUMMYFUNCTION("""COMPUTED_VALUE"""),"")</f>
        <v/>
      </c>
      <c r="B16845" s="87"/>
      <c r="C16845" s="87"/>
      <c r="D16845" s="87"/>
      <c r="E16845" s="87"/>
      <c r="F16845" s="87"/>
      <c r="G16845" s="87"/>
    </row>
    <row r="16846">
      <c r="A16846" s="86" t="str">
        <f>IFERROR(__xludf.DUMMYFUNCTION("""COMPUTED_VALUE"""),"")</f>
        <v/>
      </c>
      <c r="B16846" s="87"/>
      <c r="C16846" s="87"/>
      <c r="D16846" s="87"/>
      <c r="E16846" s="87"/>
      <c r="F16846" s="87"/>
      <c r="G16846" s="87"/>
    </row>
    <row r="16847">
      <c r="A16847" s="86" t="str">
        <f>IFERROR(__xludf.DUMMYFUNCTION("""COMPUTED_VALUE"""),"")</f>
        <v/>
      </c>
      <c r="B16847" s="87"/>
      <c r="C16847" s="87"/>
      <c r="D16847" s="87"/>
      <c r="E16847" s="87"/>
      <c r="F16847" s="87"/>
      <c r="G16847" s="87"/>
    </row>
    <row r="16848">
      <c r="A16848" s="86" t="str">
        <f>IFERROR(__xludf.DUMMYFUNCTION("""COMPUTED_VALUE"""),"")</f>
        <v/>
      </c>
      <c r="B16848" s="87"/>
      <c r="C16848" s="87"/>
      <c r="D16848" s="87"/>
      <c r="E16848" s="87"/>
      <c r="F16848" s="87"/>
      <c r="G16848" s="87"/>
    </row>
    <row r="16849">
      <c r="A16849" s="86" t="str">
        <f>IFERROR(__xludf.DUMMYFUNCTION("""COMPUTED_VALUE"""),"")</f>
        <v/>
      </c>
      <c r="B16849" s="87"/>
      <c r="C16849" s="87"/>
      <c r="D16849" s="87"/>
      <c r="E16849" s="87"/>
      <c r="F16849" s="87"/>
      <c r="G16849" s="87"/>
    </row>
    <row r="16850">
      <c r="A16850" s="86" t="str">
        <f>IFERROR(__xludf.DUMMYFUNCTION("""COMPUTED_VALUE"""),"")</f>
        <v/>
      </c>
      <c r="B16850" s="87"/>
      <c r="C16850" s="87"/>
      <c r="D16850" s="87"/>
      <c r="E16850" s="87"/>
      <c r="F16850" s="87"/>
      <c r="G16850" s="87"/>
    </row>
    <row r="16851">
      <c r="A16851" s="86" t="str">
        <f>IFERROR(__xludf.DUMMYFUNCTION("""COMPUTED_VALUE"""),"")</f>
        <v/>
      </c>
      <c r="B16851" s="87"/>
      <c r="C16851" s="87"/>
      <c r="D16851" s="87"/>
      <c r="E16851" s="87"/>
      <c r="F16851" s="87"/>
      <c r="G16851" s="87"/>
    </row>
    <row r="16852">
      <c r="A16852" s="86" t="str">
        <f>IFERROR(__xludf.DUMMYFUNCTION("""COMPUTED_VALUE"""),"")</f>
        <v/>
      </c>
      <c r="B16852" s="87"/>
      <c r="C16852" s="87"/>
      <c r="D16852" s="87"/>
      <c r="E16852" s="87"/>
      <c r="F16852" s="87"/>
      <c r="G16852" s="87"/>
    </row>
    <row r="16853">
      <c r="A16853" s="86" t="str">
        <f>IFERROR(__xludf.DUMMYFUNCTION("""COMPUTED_VALUE"""),"")</f>
        <v/>
      </c>
      <c r="B16853" s="87"/>
      <c r="C16853" s="87"/>
      <c r="D16853" s="87"/>
      <c r="E16853" s="87"/>
      <c r="F16853" s="87"/>
      <c r="G16853" s="87"/>
    </row>
    <row r="16854">
      <c r="A16854" s="86" t="str">
        <f>IFERROR(__xludf.DUMMYFUNCTION("""COMPUTED_VALUE"""),"")</f>
        <v/>
      </c>
      <c r="B16854" s="87"/>
      <c r="C16854" s="87"/>
      <c r="D16854" s="87"/>
      <c r="E16854" s="87"/>
      <c r="F16854" s="87"/>
      <c r="G16854" s="87"/>
    </row>
    <row r="16855">
      <c r="A16855" s="86" t="str">
        <f>IFERROR(__xludf.DUMMYFUNCTION("""COMPUTED_VALUE"""),"")</f>
        <v/>
      </c>
      <c r="B16855" s="87"/>
      <c r="C16855" s="87"/>
      <c r="D16855" s="87"/>
      <c r="E16855" s="87"/>
      <c r="F16855" s="87"/>
      <c r="G16855" s="87"/>
    </row>
    <row r="16856">
      <c r="A16856" s="86" t="str">
        <f>IFERROR(__xludf.DUMMYFUNCTION("""COMPUTED_VALUE"""),"")</f>
        <v/>
      </c>
      <c r="B16856" s="87"/>
      <c r="C16856" s="87"/>
      <c r="D16856" s="87"/>
      <c r="E16856" s="87"/>
      <c r="F16856" s="87"/>
      <c r="G16856" s="87"/>
    </row>
    <row r="16857">
      <c r="A16857" s="86" t="str">
        <f>IFERROR(__xludf.DUMMYFUNCTION("""COMPUTED_VALUE"""),"")</f>
        <v/>
      </c>
      <c r="B16857" s="87"/>
      <c r="C16857" s="87"/>
      <c r="D16857" s="87"/>
      <c r="E16857" s="87"/>
      <c r="F16857" s="87"/>
      <c r="G16857" s="87"/>
    </row>
    <row r="16858">
      <c r="A16858" s="86" t="str">
        <f>IFERROR(__xludf.DUMMYFUNCTION("""COMPUTED_VALUE"""),"")</f>
        <v/>
      </c>
      <c r="B16858" s="87"/>
      <c r="C16858" s="87"/>
      <c r="D16858" s="87"/>
      <c r="E16858" s="87"/>
      <c r="F16858" s="87"/>
      <c r="G16858" s="87"/>
    </row>
    <row r="16859">
      <c r="A16859" s="86" t="str">
        <f>IFERROR(__xludf.DUMMYFUNCTION("""COMPUTED_VALUE"""),"")</f>
        <v/>
      </c>
      <c r="B16859" s="87"/>
      <c r="C16859" s="87"/>
      <c r="D16859" s="87"/>
      <c r="E16859" s="87"/>
      <c r="F16859" s="87"/>
      <c r="G16859" s="87"/>
    </row>
    <row r="16860">
      <c r="A16860" s="86" t="str">
        <f>IFERROR(__xludf.DUMMYFUNCTION("""COMPUTED_VALUE"""),"")</f>
        <v/>
      </c>
      <c r="B16860" s="87"/>
      <c r="C16860" s="87"/>
      <c r="D16860" s="87"/>
      <c r="E16860" s="87"/>
      <c r="F16860" s="87"/>
      <c r="G16860" s="87"/>
    </row>
    <row r="16861">
      <c r="A16861" s="86" t="str">
        <f>IFERROR(__xludf.DUMMYFUNCTION("""COMPUTED_VALUE"""),"")</f>
        <v/>
      </c>
      <c r="B16861" s="87"/>
      <c r="C16861" s="87"/>
      <c r="D16861" s="87"/>
      <c r="E16861" s="87"/>
      <c r="F16861" s="87"/>
      <c r="G16861" s="87"/>
    </row>
    <row r="16862">
      <c r="A16862" s="86" t="str">
        <f>IFERROR(__xludf.DUMMYFUNCTION("""COMPUTED_VALUE"""),"")</f>
        <v/>
      </c>
      <c r="B16862" s="87"/>
      <c r="C16862" s="87"/>
      <c r="D16862" s="87"/>
      <c r="E16862" s="87"/>
      <c r="F16862" s="87"/>
      <c r="G16862" s="87"/>
    </row>
    <row r="16863">
      <c r="A16863" s="86" t="str">
        <f>IFERROR(__xludf.DUMMYFUNCTION("""COMPUTED_VALUE"""),"")</f>
        <v/>
      </c>
      <c r="B16863" s="87"/>
      <c r="C16863" s="87"/>
      <c r="D16863" s="87"/>
      <c r="E16863" s="87"/>
      <c r="F16863" s="87"/>
      <c r="G16863" s="87"/>
    </row>
    <row r="16864">
      <c r="A16864" s="86" t="str">
        <f>IFERROR(__xludf.DUMMYFUNCTION("""COMPUTED_VALUE"""),"")</f>
        <v/>
      </c>
      <c r="B16864" s="87"/>
      <c r="C16864" s="87"/>
      <c r="D16864" s="87"/>
      <c r="E16864" s="87"/>
      <c r="F16864" s="87"/>
      <c r="G16864" s="87"/>
    </row>
    <row r="16865">
      <c r="A16865" s="86" t="str">
        <f>IFERROR(__xludf.DUMMYFUNCTION("""COMPUTED_VALUE"""),"")</f>
        <v/>
      </c>
      <c r="B16865" s="87"/>
      <c r="C16865" s="87"/>
      <c r="D16865" s="87"/>
      <c r="E16865" s="87"/>
      <c r="F16865" s="87"/>
      <c r="G16865" s="87"/>
    </row>
    <row r="16866">
      <c r="A16866" s="86" t="str">
        <f>IFERROR(__xludf.DUMMYFUNCTION("""COMPUTED_VALUE"""),"")</f>
        <v/>
      </c>
      <c r="B16866" s="87"/>
      <c r="C16866" s="87"/>
      <c r="D16866" s="87"/>
      <c r="E16866" s="87"/>
      <c r="F16866" s="87"/>
      <c r="G16866" s="87"/>
    </row>
    <row r="16867">
      <c r="A16867" s="86" t="str">
        <f>IFERROR(__xludf.DUMMYFUNCTION("""COMPUTED_VALUE"""),"")</f>
        <v/>
      </c>
      <c r="B16867" s="87"/>
      <c r="C16867" s="87"/>
      <c r="D16867" s="87"/>
      <c r="E16867" s="87"/>
      <c r="F16867" s="87"/>
      <c r="G16867" s="87"/>
    </row>
    <row r="16868">
      <c r="A16868" s="86" t="str">
        <f>IFERROR(__xludf.DUMMYFUNCTION("""COMPUTED_VALUE"""),"")</f>
        <v/>
      </c>
      <c r="B16868" s="87"/>
      <c r="C16868" s="87"/>
      <c r="D16868" s="87"/>
      <c r="E16868" s="87"/>
      <c r="F16868" s="87"/>
      <c r="G16868" s="87"/>
    </row>
    <row r="16869">
      <c r="A16869" s="86" t="str">
        <f>IFERROR(__xludf.DUMMYFUNCTION("""COMPUTED_VALUE"""),"")</f>
        <v/>
      </c>
      <c r="B16869" s="87"/>
      <c r="C16869" s="87"/>
      <c r="D16869" s="87"/>
      <c r="E16869" s="87"/>
      <c r="F16869" s="87"/>
      <c r="G16869" s="87"/>
    </row>
    <row r="16870">
      <c r="A16870" s="86" t="str">
        <f>IFERROR(__xludf.DUMMYFUNCTION("""COMPUTED_VALUE"""),"")</f>
        <v/>
      </c>
      <c r="B16870" s="87"/>
      <c r="C16870" s="87"/>
      <c r="D16870" s="87"/>
      <c r="E16870" s="87"/>
      <c r="F16870" s="87"/>
      <c r="G16870" s="87"/>
    </row>
    <row r="16871">
      <c r="A16871" s="86" t="str">
        <f>IFERROR(__xludf.DUMMYFUNCTION("""COMPUTED_VALUE"""),"")</f>
        <v/>
      </c>
      <c r="B16871" s="87"/>
      <c r="C16871" s="87"/>
      <c r="D16871" s="87"/>
      <c r="E16871" s="87"/>
      <c r="F16871" s="87"/>
      <c r="G16871" s="87"/>
    </row>
    <row r="16872">
      <c r="A16872" s="86" t="str">
        <f>IFERROR(__xludf.DUMMYFUNCTION("""COMPUTED_VALUE"""),"")</f>
        <v/>
      </c>
      <c r="B16872" s="87"/>
      <c r="C16872" s="87"/>
      <c r="D16872" s="87"/>
      <c r="E16872" s="87"/>
      <c r="F16872" s="87"/>
      <c r="G16872" s="87"/>
    </row>
    <row r="16873">
      <c r="A16873" s="86" t="str">
        <f>IFERROR(__xludf.DUMMYFUNCTION("""COMPUTED_VALUE"""),"")</f>
        <v/>
      </c>
      <c r="B16873" s="87"/>
      <c r="C16873" s="87"/>
      <c r="D16873" s="87"/>
      <c r="E16873" s="87"/>
      <c r="F16873" s="87"/>
      <c r="G16873" s="87"/>
    </row>
    <row r="16874">
      <c r="A16874" s="86" t="str">
        <f>IFERROR(__xludf.DUMMYFUNCTION("""COMPUTED_VALUE"""),"")</f>
        <v/>
      </c>
      <c r="B16874" s="87"/>
      <c r="C16874" s="87"/>
      <c r="D16874" s="87"/>
      <c r="E16874" s="87"/>
      <c r="F16874" s="87"/>
      <c r="G16874" s="87"/>
    </row>
    <row r="16875">
      <c r="A16875" s="86" t="str">
        <f>IFERROR(__xludf.DUMMYFUNCTION("""COMPUTED_VALUE"""),"")</f>
        <v/>
      </c>
      <c r="B16875" s="87"/>
      <c r="C16875" s="87"/>
      <c r="D16875" s="87"/>
      <c r="E16875" s="87"/>
      <c r="F16875" s="87"/>
      <c r="G16875" s="87"/>
    </row>
    <row r="16876">
      <c r="A16876" s="86" t="str">
        <f>IFERROR(__xludf.DUMMYFUNCTION("""COMPUTED_VALUE"""),"")</f>
        <v/>
      </c>
      <c r="B16876" s="87"/>
      <c r="C16876" s="87"/>
      <c r="D16876" s="87"/>
      <c r="E16876" s="87"/>
      <c r="F16876" s="87"/>
      <c r="G16876" s="87"/>
    </row>
    <row r="16877">
      <c r="A16877" s="86" t="str">
        <f>IFERROR(__xludf.DUMMYFUNCTION("""COMPUTED_VALUE"""),"")</f>
        <v/>
      </c>
      <c r="B16877" s="87"/>
      <c r="C16877" s="87"/>
      <c r="D16877" s="87"/>
      <c r="E16877" s="87"/>
      <c r="F16877" s="87"/>
      <c r="G16877" s="87"/>
    </row>
    <row r="16878">
      <c r="A16878" s="86" t="str">
        <f>IFERROR(__xludf.DUMMYFUNCTION("""COMPUTED_VALUE"""),"")</f>
        <v/>
      </c>
      <c r="B16878" s="87"/>
      <c r="C16878" s="87"/>
      <c r="D16878" s="87"/>
      <c r="E16878" s="87"/>
      <c r="F16878" s="87"/>
      <c r="G16878" s="87"/>
    </row>
    <row r="16879">
      <c r="A16879" s="86" t="str">
        <f>IFERROR(__xludf.DUMMYFUNCTION("""COMPUTED_VALUE"""),"")</f>
        <v/>
      </c>
      <c r="B16879" s="87"/>
      <c r="C16879" s="87"/>
      <c r="D16879" s="87"/>
      <c r="E16879" s="87"/>
      <c r="F16879" s="87"/>
      <c r="G16879" s="87"/>
    </row>
    <row r="16880">
      <c r="A16880" s="86" t="str">
        <f>IFERROR(__xludf.DUMMYFUNCTION("""COMPUTED_VALUE"""),"")</f>
        <v/>
      </c>
      <c r="B16880" s="87"/>
      <c r="C16880" s="87"/>
      <c r="D16880" s="87"/>
      <c r="E16880" s="87"/>
      <c r="F16880" s="87"/>
      <c r="G16880" s="87"/>
    </row>
    <row r="16881">
      <c r="A16881" s="86" t="str">
        <f>IFERROR(__xludf.DUMMYFUNCTION("""COMPUTED_VALUE"""),"")</f>
        <v/>
      </c>
      <c r="B16881" s="87"/>
      <c r="C16881" s="87"/>
      <c r="D16881" s="87"/>
      <c r="E16881" s="87"/>
      <c r="F16881" s="87"/>
      <c r="G16881" s="87"/>
    </row>
    <row r="16882">
      <c r="A16882" s="86" t="str">
        <f>IFERROR(__xludf.DUMMYFUNCTION("""COMPUTED_VALUE"""),"")</f>
        <v/>
      </c>
      <c r="B16882" s="87"/>
      <c r="C16882" s="87"/>
      <c r="D16882" s="87"/>
      <c r="E16882" s="87"/>
      <c r="F16882" s="87"/>
      <c r="G16882" s="87"/>
    </row>
    <row r="16883">
      <c r="A16883" s="86" t="str">
        <f>IFERROR(__xludf.DUMMYFUNCTION("""COMPUTED_VALUE"""),"")</f>
        <v/>
      </c>
      <c r="B16883" s="87"/>
      <c r="C16883" s="87"/>
      <c r="D16883" s="87"/>
      <c r="E16883" s="87"/>
      <c r="F16883" s="87"/>
      <c r="G16883" s="87"/>
    </row>
    <row r="16884">
      <c r="A16884" s="86" t="str">
        <f>IFERROR(__xludf.DUMMYFUNCTION("""COMPUTED_VALUE"""),"")</f>
        <v/>
      </c>
      <c r="B16884" s="87"/>
      <c r="C16884" s="87"/>
      <c r="D16884" s="87"/>
      <c r="E16884" s="87"/>
      <c r="F16884" s="87"/>
      <c r="G16884" s="87"/>
    </row>
    <row r="16885">
      <c r="A16885" s="86" t="str">
        <f>IFERROR(__xludf.DUMMYFUNCTION("""COMPUTED_VALUE"""),"")</f>
        <v/>
      </c>
      <c r="B16885" s="87"/>
      <c r="C16885" s="87"/>
      <c r="D16885" s="87"/>
      <c r="E16885" s="87"/>
      <c r="F16885" s="87"/>
      <c r="G16885" s="87"/>
    </row>
    <row r="16886">
      <c r="A16886" s="86" t="str">
        <f>IFERROR(__xludf.DUMMYFUNCTION("""COMPUTED_VALUE"""),"")</f>
        <v/>
      </c>
      <c r="B16886" s="87"/>
      <c r="C16886" s="87"/>
      <c r="D16886" s="87"/>
      <c r="E16886" s="87"/>
      <c r="F16886" s="87"/>
      <c r="G16886" s="87"/>
    </row>
    <row r="16887">
      <c r="A16887" s="86" t="str">
        <f>IFERROR(__xludf.DUMMYFUNCTION("""COMPUTED_VALUE"""),"")</f>
        <v/>
      </c>
      <c r="B16887" s="87"/>
      <c r="C16887" s="87"/>
      <c r="D16887" s="87"/>
      <c r="E16887" s="87"/>
      <c r="F16887" s="87"/>
      <c r="G16887" s="87"/>
    </row>
    <row r="16888">
      <c r="A16888" s="86" t="str">
        <f>IFERROR(__xludf.DUMMYFUNCTION("""COMPUTED_VALUE"""),"")</f>
        <v/>
      </c>
      <c r="B16888" s="87"/>
      <c r="C16888" s="87"/>
      <c r="D16888" s="87"/>
      <c r="E16888" s="87"/>
      <c r="F16888" s="87"/>
      <c r="G16888" s="87"/>
    </row>
    <row r="16889">
      <c r="A16889" s="86" t="str">
        <f>IFERROR(__xludf.DUMMYFUNCTION("""COMPUTED_VALUE"""),"")</f>
        <v/>
      </c>
      <c r="B16889" s="87"/>
      <c r="C16889" s="87"/>
      <c r="D16889" s="87"/>
      <c r="E16889" s="87"/>
      <c r="F16889" s="87"/>
      <c r="G16889" s="87"/>
    </row>
    <row r="16890">
      <c r="A16890" s="86" t="str">
        <f>IFERROR(__xludf.DUMMYFUNCTION("""COMPUTED_VALUE"""),"")</f>
        <v/>
      </c>
      <c r="B16890" s="87"/>
      <c r="C16890" s="87"/>
      <c r="D16890" s="87"/>
      <c r="E16890" s="87"/>
      <c r="F16890" s="87"/>
      <c r="G16890" s="87"/>
    </row>
    <row r="16891">
      <c r="A16891" s="86" t="str">
        <f>IFERROR(__xludf.DUMMYFUNCTION("""COMPUTED_VALUE"""),"")</f>
        <v/>
      </c>
      <c r="B16891" s="87"/>
      <c r="C16891" s="87"/>
      <c r="D16891" s="87"/>
      <c r="E16891" s="87"/>
      <c r="F16891" s="87"/>
      <c r="G16891" s="87"/>
    </row>
    <row r="16892">
      <c r="A16892" s="86" t="str">
        <f>IFERROR(__xludf.DUMMYFUNCTION("""COMPUTED_VALUE"""),"")</f>
        <v/>
      </c>
      <c r="B16892" s="87"/>
      <c r="C16892" s="87"/>
      <c r="D16892" s="87"/>
      <c r="E16892" s="87"/>
      <c r="F16892" s="87"/>
      <c r="G16892" s="87"/>
    </row>
    <row r="16893">
      <c r="A16893" s="86" t="str">
        <f>IFERROR(__xludf.DUMMYFUNCTION("""COMPUTED_VALUE"""),"")</f>
        <v/>
      </c>
      <c r="B16893" s="87"/>
      <c r="C16893" s="87"/>
      <c r="D16893" s="87"/>
      <c r="E16893" s="87"/>
      <c r="F16893" s="87"/>
      <c r="G16893" s="87"/>
    </row>
    <row r="16894">
      <c r="A16894" s="86" t="str">
        <f>IFERROR(__xludf.DUMMYFUNCTION("""COMPUTED_VALUE"""),"")</f>
        <v/>
      </c>
      <c r="B16894" s="87"/>
      <c r="C16894" s="87"/>
      <c r="D16894" s="87"/>
      <c r="E16894" s="87"/>
      <c r="F16894" s="87"/>
      <c r="G16894" s="87"/>
    </row>
    <row r="16895">
      <c r="A16895" s="86" t="str">
        <f>IFERROR(__xludf.DUMMYFUNCTION("""COMPUTED_VALUE"""),"")</f>
        <v/>
      </c>
      <c r="B16895" s="87"/>
      <c r="C16895" s="87"/>
      <c r="D16895" s="87"/>
      <c r="E16895" s="87"/>
      <c r="F16895" s="87"/>
      <c r="G16895" s="87"/>
    </row>
    <row r="16896">
      <c r="A16896" s="86" t="str">
        <f>IFERROR(__xludf.DUMMYFUNCTION("""COMPUTED_VALUE"""),"")</f>
        <v/>
      </c>
      <c r="B16896" s="87"/>
      <c r="C16896" s="87"/>
      <c r="D16896" s="87"/>
      <c r="E16896" s="87"/>
      <c r="F16896" s="87"/>
      <c r="G16896" s="87"/>
    </row>
    <row r="16897">
      <c r="A16897" s="86" t="str">
        <f>IFERROR(__xludf.DUMMYFUNCTION("""COMPUTED_VALUE"""),"")</f>
        <v/>
      </c>
      <c r="B16897" s="87"/>
      <c r="C16897" s="87"/>
      <c r="D16897" s="87"/>
      <c r="E16897" s="87"/>
      <c r="F16897" s="87"/>
      <c r="G16897" s="87"/>
    </row>
    <row r="16898">
      <c r="A16898" s="86" t="str">
        <f>IFERROR(__xludf.DUMMYFUNCTION("""COMPUTED_VALUE"""),"")</f>
        <v/>
      </c>
      <c r="B16898" s="87"/>
      <c r="C16898" s="87"/>
      <c r="D16898" s="87"/>
      <c r="E16898" s="87"/>
      <c r="F16898" s="87"/>
      <c r="G16898" s="87"/>
    </row>
    <row r="16899">
      <c r="A16899" s="86" t="str">
        <f>IFERROR(__xludf.DUMMYFUNCTION("""COMPUTED_VALUE"""),"")</f>
        <v/>
      </c>
      <c r="B16899" s="87"/>
      <c r="C16899" s="87"/>
      <c r="D16899" s="87"/>
      <c r="E16899" s="87"/>
      <c r="F16899" s="87"/>
      <c r="G16899" s="87"/>
    </row>
    <row r="16900">
      <c r="A16900" s="86" t="str">
        <f>IFERROR(__xludf.DUMMYFUNCTION("""COMPUTED_VALUE"""),"")</f>
        <v/>
      </c>
      <c r="B16900" s="87"/>
      <c r="C16900" s="87"/>
      <c r="D16900" s="87"/>
      <c r="E16900" s="87"/>
      <c r="F16900" s="87"/>
      <c r="G16900" s="87"/>
    </row>
    <row r="16901">
      <c r="A16901" s="86" t="str">
        <f>IFERROR(__xludf.DUMMYFUNCTION("""COMPUTED_VALUE"""),"")</f>
        <v/>
      </c>
      <c r="B16901" s="87"/>
      <c r="C16901" s="87"/>
      <c r="D16901" s="87"/>
      <c r="E16901" s="87"/>
      <c r="F16901" s="87"/>
      <c r="G16901" s="87"/>
    </row>
    <row r="16902">
      <c r="A16902" s="86" t="str">
        <f>IFERROR(__xludf.DUMMYFUNCTION("""COMPUTED_VALUE"""),"")</f>
        <v/>
      </c>
      <c r="B16902" s="87"/>
      <c r="C16902" s="87"/>
      <c r="D16902" s="87"/>
      <c r="E16902" s="87"/>
      <c r="F16902" s="87"/>
      <c r="G16902" s="87"/>
    </row>
    <row r="16903">
      <c r="A16903" s="86" t="str">
        <f>IFERROR(__xludf.DUMMYFUNCTION("""COMPUTED_VALUE"""),"")</f>
        <v/>
      </c>
      <c r="B16903" s="87"/>
      <c r="C16903" s="87"/>
      <c r="D16903" s="87"/>
      <c r="E16903" s="87"/>
      <c r="F16903" s="87"/>
      <c r="G16903" s="87"/>
    </row>
    <row r="16904">
      <c r="A16904" s="86" t="str">
        <f>IFERROR(__xludf.DUMMYFUNCTION("""COMPUTED_VALUE"""),"")</f>
        <v/>
      </c>
      <c r="B16904" s="87"/>
      <c r="C16904" s="87"/>
      <c r="D16904" s="87"/>
      <c r="E16904" s="87"/>
      <c r="F16904" s="87"/>
      <c r="G16904" s="87"/>
    </row>
    <row r="16905">
      <c r="A16905" s="86" t="str">
        <f>IFERROR(__xludf.DUMMYFUNCTION("""COMPUTED_VALUE"""),"")</f>
        <v/>
      </c>
      <c r="B16905" s="87"/>
      <c r="C16905" s="87"/>
      <c r="D16905" s="87"/>
      <c r="E16905" s="87"/>
      <c r="F16905" s="87"/>
      <c r="G16905" s="87"/>
    </row>
    <row r="16906">
      <c r="A16906" s="86" t="str">
        <f>IFERROR(__xludf.DUMMYFUNCTION("""COMPUTED_VALUE"""),"")</f>
        <v/>
      </c>
      <c r="B16906" s="87"/>
      <c r="C16906" s="87"/>
      <c r="D16906" s="87"/>
      <c r="E16906" s="87"/>
      <c r="F16906" s="87"/>
      <c r="G16906" s="87"/>
    </row>
    <row r="16907">
      <c r="A16907" s="86" t="str">
        <f>IFERROR(__xludf.DUMMYFUNCTION("""COMPUTED_VALUE"""),"")</f>
        <v/>
      </c>
      <c r="B16907" s="87"/>
      <c r="C16907" s="87"/>
      <c r="D16907" s="87"/>
      <c r="E16907" s="87"/>
      <c r="F16907" s="87"/>
      <c r="G16907" s="87"/>
    </row>
    <row r="16908">
      <c r="A16908" s="86" t="str">
        <f>IFERROR(__xludf.DUMMYFUNCTION("""COMPUTED_VALUE"""),"")</f>
        <v/>
      </c>
      <c r="B16908" s="87"/>
      <c r="C16908" s="87"/>
      <c r="D16908" s="87"/>
      <c r="E16908" s="87"/>
      <c r="F16908" s="87"/>
      <c r="G16908" s="87"/>
    </row>
    <row r="16909">
      <c r="A16909" s="86" t="str">
        <f>IFERROR(__xludf.DUMMYFUNCTION("""COMPUTED_VALUE"""),"")</f>
        <v/>
      </c>
      <c r="B16909" s="87"/>
      <c r="C16909" s="87"/>
      <c r="D16909" s="87"/>
      <c r="E16909" s="87"/>
      <c r="F16909" s="87"/>
      <c r="G16909" s="87"/>
    </row>
    <row r="16910">
      <c r="A16910" s="86" t="str">
        <f>IFERROR(__xludf.DUMMYFUNCTION("""COMPUTED_VALUE"""),"")</f>
        <v/>
      </c>
      <c r="B16910" s="87"/>
      <c r="C16910" s="87"/>
      <c r="D16910" s="87"/>
      <c r="E16910" s="87"/>
      <c r="F16910" s="87"/>
      <c r="G16910" s="87"/>
    </row>
    <row r="16911">
      <c r="A16911" s="86" t="str">
        <f>IFERROR(__xludf.DUMMYFUNCTION("""COMPUTED_VALUE"""),"")</f>
        <v/>
      </c>
      <c r="B16911" s="87"/>
      <c r="C16911" s="87"/>
      <c r="D16911" s="87"/>
      <c r="E16911" s="87"/>
      <c r="F16911" s="87"/>
      <c r="G16911" s="87"/>
    </row>
    <row r="16912">
      <c r="A16912" s="86" t="str">
        <f>IFERROR(__xludf.DUMMYFUNCTION("""COMPUTED_VALUE"""),"")</f>
        <v/>
      </c>
      <c r="B16912" s="87"/>
      <c r="C16912" s="87"/>
      <c r="D16912" s="87"/>
      <c r="E16912" s="87"/>
      <c r="F16912" s="87"/>
      <c r="G16912" s="87"/>
    </row>
    <row r="16913">
      <c r="A16913" s="86" t="str">
        <f>IFERROR(__xludf.DUMMYFUNCTION("""COMPUTED_VALUE"""),"")</f>
        <v/>
      </c>
      <c r="B16913" s="87"/>
      <c r="C16913" s="87"/>
      <c r="D16913" s="87"/>
      <c r="E16913" s="87"/>
      <c r="F16913" s="87"/>
      <c r="G16913" s="87"/>
    </row>
    <row r="16914">
      <c r="A16914" s="86" t="str">
        <f>IFERROR(__xludf.DUMMYFUNCTION("""COMPUTED_VALUE"""),"")</f>
        <v/>
      </c>
      <c r="B16914" s="87"/>
      <c r="C16914" s="87"/>
      <c r="D16914" s="87"/>
      <c r="E16914" s="87"/>
      <c r="F16914" s="87"/>
      <c r="G16914" s="87"/>
    </row>
    <row r="16915">
      <c r="A16915" s="86" t="str">
        <f>IFERROR(__xludf.DUMMYFUNCTION("""COMPUTED_VALUE"""),"")</f>
        <v/>
      </c>
      <c r="B16915" s="87"/>
      <c r="C16915" s="87"/>
      <c r="D16915" s="87"/>
      <c r="E16915" s="87"/>
      <c r="F16915" s="87"/>
      <c r="G16915" s="87"/>
    </row>
    <row r="16916">
      <c r="A16916" s="86" t="str">
        <f>IFERROR(__xludf.DUMMYFUNCTION("""COMPUTED_VALUE"""),"")</f>
        <v/>
      </c>
      <c r="B16916" s="87"/>
      <c r="C16916" s="87"/>
      <c r="D16916" s="87"/>
      <c r="E16916" s="87"/>
      <c r="F16916" s="87"/>
      <c r="G16916" s="87"/>
    </row>
    <row r="16917">
      <c r="A16917" s="86" t="str">
        <f>IFERROR(__xludf.DUMMYFUNCTION("""COMPUTED_VALUE"""),"")</f>
        <v/>
      </c>
      <c r="B16917" s="87"/>
      <c r="C16917" s="87"/>
      <c r="D16917" s="87"/>
      <c r="E16917" s="87"/>
      <c r="F16917" s="87"/>
      <c r="G16917" s="87"/>
    </row>
    <row r="16918">
      <c r="A16918" s="86" t="str">
        <f>IFERROR(__xludf.DUMMYFUNCTION("""COMPUTED_VALUE"""),"")</f>
        <v/>
      </c>
      <c r="B16918" s="87"/>
      <c r="C16918" s="87"/>
      <c r="D16918" s="87"/>
      <c r="E16918" s="87"/>
      <c r="F16918" s="87"/>
      <c r="G16918" s="87"/>
    </row>
    <row r="16919">
      <c r="A16919" s="86" t="str">
        <f>IFERROR(__xludf.DUMMYFUNCTION("""COMPUTED_VALUE"""),"")</f>
        <v/>
      </c>
      <c r="B16919" s="87"/>
      <c r="C16919" s="87"/>
      <c r="D16919" s="87"/>
      <c r="E16919" s="87"/>
      <c r="F16919" s="87"/>
      <c r="G16919" s="87"/>
    </row>
    <row r="16920">
      <c r="A16920" s="86" t="str">
        <f>IFERROR(__xludf.DUMMYFUNCTION("""COMPUTED_VALUE"""),"")</f>
        <v/>
      </c>
      <c r="B16920" s="87"/>
      <c r="C16920" s="87"/>
      <c r="D16920" s="87"/>
      <c r="E16920" s="87"/>
      <c r="F16920" s="87"/>
      <c r="G16920" s="87"/>
    </row>
    <row r="16921">
      <c r="A16921" s="86" t="str">
        <f>IFERROR(__xludf.DUMMYFUNCTION("""COMPUTED_VALUE"""),"")</f>
        <v/>
      </c>
      <c r="B16921" s="87"/>
      <c r="C16921" s="87"/>
      <c r="D16921" s="87"/>
      <c r="E16921" s="87"/>
      <c r="F16921" s="87"/>
      <c r="G16921" s="87"/>
    </row>
    <row r="16922">
      <c r="A16922" s="86" t="str">
        <f>IFERROR(__xludf.DUMMYFUNCTION("""COMPUTED_VALUE"""),"")</f>
        <v/>
      </c>
      <c r="B16922" s="87"/>
      <c r="C16922" s="87"/>
      <c r="D16922" s="87"/>
      <c r="E16922" s="87"/>
      <c r="F16922" s="87"/>
      <c r="G16922" s="87"/>
    </row>
    <row r="16923">
      <c r="A16923" s="86" t="str">
        <f>IFERROR(__xludf.DUMMYFUNCTION("""COMPUTED_VALUE"""),"")</f>
        <v/>
      </c>
      <c r="B16923" s="87"/>
      <c r="C16923" s="87"/>
      <c r="D16923" s="87"/>
      <c r="E16923" s="87"/>
      <c r="F16923" s="87"/>
      <c r="G16923" s="87"/>
    </row>
    <row r="16924">
      <c r="A16924" s="86" t="str">
        <f>IFERROR(__xludf.DUMMYFUNCTION("""COMPUTED_VALUE"""),"")</f>
        <v/>
      </c>
      <c r="B16924" s="87"/>
      <c r="C16924" s="87"/>
      <c r="D16924" s="87"/>
      <c r="E16924" s="87"/>
      <c r="F16924" s="87"/>
      <c r="G16924" s="87"/>
    </row>
    <row r="16925">
      <c r="A16925" s="86" t="str">
        <f>IFERROR(__xludf.DUMMYFUNCTION("""COMPUTED_VALUE"""),"")</f>
        <v/>
      </c>
      <c r="B16925" s="87"/>
      <c r="C16925" s="87"/>
      <c r="D16925" s="87"/>
      <c r="E16925" s="87"/>
      <c r="F16925" s="87"/>
      <c r="G16925" s="87"/>
    </row>
    <row r="16926">
      <c r="A16926" s="86" t="str">
        <f>IFERROR(__xludf.DUMMYFUNCTION("""COMPUTED_VALUE"""),"")</f>
        <v/>
      </c>
      <c r="B16926" s="87"/>
      <c r="C16926" s="87"/>
      <c r="D16926" s="87"/>
      <c r="E16926" s="87"/>
      <c r="F16926" s="87"/>
      <c r="G16926" s="87"/>
    </row>
    <row r="16927">
      <c r="A16927" s="86" t="str">
        <f>IFERROR(__xludf.DUMMYFUNCTION("""COMPUTED_VALUE"""),"")</f>
        <v/>
      </c>
      <c r="B16927" s="87"/>
      <c r="C16927" s="87"/>
      <c r="D16927" s="87"/>
      <c r="E16927" s="87"/>
      <c r="F16927" s="87"/>
      <c r="G16927" s="87"/>
    </row>
    <row r="16928">
      <c r="A16928" s="86" t="str">
        <f>IFERROR(__xludf.DUMMYFUNCTION("""COMPUTED_VALUE"""),"")</f>
        <v/>
      </c>
      <c r="B16928" s="87"/>
      <c r="C16928" s="87"/>
      <c r="D16928" s="87"/>
      <c r="E16928" s="87"/>
      <c r="F16928" s="87"/>
      <c r="G16928" s="87"/>
    </row>
    <row r="16929">
      <c r="A16929" s="86" t="str">
        <f>IFERROR(__xludf.DUMMYFUNCTION("""COMPUTED_VALUE"""),"")</f>
        <v/>
      </c>
      <c r="B16929" s="87"/>
      <c r="C16929" s="87"/>
      <c r="D16929" s="87"/>
      <c r="E16929" s="87"/>
      <c r="F16929" s="87"/>
      <c r="G16929" s="87"/>
    </row>
    <row r="16930">
      <c r="A16930" s="86" t="str">
        <f>IFERROR(__xludf.DUMMYFUNCTION("""COMPUTED_VALUE"""),"")</f>
        <v/>
      </c>
      <c r="B16930" s="87"/>
      <c r="C16930" s="87"/>
      <c r="D16930" s="87"/>
      <c r="E16930" s="87"/>
      <c r="F16930" s="87"/>
      <c r="G16930" s="87"/>
    </row>
    <row r="16931">
      <c r="A16931" s="86" t="str">
        <f>IFERROR(__xludf.DUMMYFUNCTION("""COMPUTED_VALUE"""),"")</f>
        <v/>
      </c>
      <c r="B16931" s="87"/>
      <c r="C16931" s="87"/>
      <c r="D16931" s="87"/>
      <c r="E16931" s="87"/>
      <c r="F16931" s="87"/>
      <c r="G16931" s="87"/>
    </row>
    <row r="16932">
      <c r="A16932" s="86" t="str">
        <f>IFERROR(__xludf.DUMMYFUNCTION("""COMPUTED_VALUE"""),"")</f>
        <v/>
      </c>
      <c r="B16932" s="87"/>
      <c r="C16932" s="87"/>
      <c r="D16932" s="87"/>
      <c r="E16932" s="87"/>
      <c r="F16932" s="87"/>
      <c r="G16932" s="87"/>
    </row>
    <row r="16933">
      <c r="A16933" s="86" t="str">
        <f>IFERROR(__xludf.DUMMYFUNCTION("""COMPUTED_VALUE"""),"")</f>
        <v/>
      </c>
      <c r="B16933" s="87"/>
      <c r="C16933" s="87"/>
      <c r="D16933" s="87"/>
      <c r="E16933" s="87"/>
      <c r="F16933" s="87"/>
      <c r="G16933" s="87"/>
    </row>
    <row r="16934">
      <c r="A16934" s="86" t="str">
        <f>IFERROR(__xludf.DUMMYFUNCTION("""COMPUTED_VALUE"""),"")</f>
        <v/>
      </c>
      <c r="B16934" s="87"/>
      <c r="C16934" s="87"/>
      <c r="D16934" s="87"/>
      <c r="E16934" s="87"/>
      <c r="F16934" s="87"/>
      <c r="G16934" s="87"/>
    </row>
    <row r="16935">
      <c r="A16935" s="86" t="str">
        <f>IFERROR(__xludf.DUMMYFUNCTION("""COMPUTED_VALUE"""),"")</f>
        <v/>
      </c>
      <c r="B16935" s="87"/>
      <c r="C16935" s="87"/>
      <c r="D16935" s="87"/>
      <c r="E16935" s="87"/>
      <c r="F16935" s="87"/>
      <c r="G16935" s="87"/>
    </row>
    <row r="16936">
      <c r="A16936" s="86" t="str">
        <f>IFERROR(__xludf.DUMMYFUNCTION("""COMPUTED_VALUE"""),"")</f>
        <v/>
      </c>
      <c r="B16936" s="87"/>
      <c r="C16936" s="87"/>
      <c r="D16936" s="87"/>
      <c r="E16936" s="87"/>
      <c r="F16936" s="87"/>
      <c r="G16936" s="87"/>
    </row>
    <row r="16937">
      <c r="A16937" s="86" t="str">
        <f>IFERROR(__xludf.DUMMYFUNCTION("""COMPUTED_VALUE"""),"")</f>
        <v/>
      </c>
      <c r="B16937" s="87"/>
      <c r="C16937" s="87"/>
      <c r="D16937" s="87"/>
      <c r="E16937" s="87"/>
      <c r="F16937" s="87"/>
      <c r="G16937" s="87"/>
    </row>
    <row r="16938">
      <c r="A16938" s="86" t="str">
        <f>IFERROR(__xludf.DUMMYFUNCTION("""COMPUTED_VALUE"""),"")</f>
        <v/>
      </c>
      <c r="B16938" s="87"/>
      <c r="C16938" s="87"/>
      <c r="D16938" s="87"/>
      <c r="E16938" s="87"/>
      <c r="F16938" s="87"/>
      <c r="G16938" s="87"/>
    </row>
    <row r="16939">
      <c r="A16939" s="86" t="str">
        <f>IFERROR(__xludf.DUMMYFUNCTION("""COMPUTED_VALUE"""),"")</f>
        <v/>
      </c>
      <c r="B16939" s="87"/>
      <c r="C16939" s="87"/>
      <c r="D16939" s="87"/>
      <c r="E16939" s="87"/>
      <c r="F16939" s="87"/>
      <c r="G16939" s="87"/>
    </row>
    <row r="16940">
      <c r="A16940" s="86" t="str">
        <f>IFERROR(__xludf.DUMMYFUNCTION("""COMPUTED_VALUE"""),"")</f>
        <v/>
      </c>
      <c r="B16940" s="87"/>
      <c r="C16940" s="87"/>
      <c r="D16940" s="87"/>
      <c r="E16940" s="87"/>
      <c r="F16940" s="87"/>
      <c r="G16940" s="87"/>
    </row>
    <row r="16941">
      <c r="A16941" s="86" t="str">
        <f>IFERROR(__xludf.DUMMYFUNCTION("""COMPUTED_VALUE"""),"")</f>
        <v/>
      </c>
      <c r="B16941" s="87"/>
      <c r="C16941" s="87"/>
      <c r="D16941" s="87"/>
      <c r="E16941" s="87"/>
      <c r="F16941" s="87"/>
      <c r="G16941" s="87"/>
    </row>
    <row r="16942">
      <c r="A16942" s="86" t="str">
        <f>IFERROR(__xludf.DUMMYFUNCTION("""COMPUTED_VALUE"""),"")</f>
        <v/>
      </c>
      <c r="B16942" s="87"/>
      <c r="C16942" s="87"/>
      <c r="D16942" s="87"/>
      <c r="E16942" s="87"/>
      <c r="F16942" s="87"/>
      <c r="G16942" s="87"/>
    </row>
    <row r="16943">
      <c r="A16943" s="86" t="str">
        <f>IFERROR(__xludf.DUMMYFUNCTION("""COMPUTED_VALUE"""),"")</f>
        <v/>
      </c>
      <c r="B16943" s="87"/>
      <c r="C16943" s="87"/>
      <c r="D16943" s="87"/>
      <c r="E16943" s="87"/>
      <c r="F16943" s="87"/>
      <c r="G16943" s="87"/>
    </row>
    <row r="16944">
      <c r="A16944" s="86" t="str">
        <f>IFERROR(__xludf.DUMMYFUNCTION("""COMPUTED_VALUE"""),"")</f>
        <v/>
      </c>
      <c r="B16944" s="87"/>
      <c r="C16944" s="87"/>
      <c r="D16944" s="87"/>
      <c r="E16944" s="87"/>
      <c r="F16944" s="87"/>
      <c r="G16944" s="87"/>
    </row>
    <row r="16945">
      <c r="A16945" s="86" t="str">
        <f>IFERROR(__xludf.DUMMYFUNCTION("""COMPUTED_VALUE"""),"")</f>
        <v/>
      </c>
      <c r="B16945" s="87"/>
      <c r="C16945" s="87"/>
      <c r="D16945" s="87"/>
      <c r="E16945" s="87"/>
      <c r="F16945" s="87"/>
      <c r="G16945" s="87"/>
    </row>
    <row r="16946">
      <c r="A16946" s="86" t="str">
        <f>IFERROR(__xludf.DUMMYFUNCTION("""COMPUTED_VALUE"""),"")</f>
        <v/>
      </c>
      <c r="B16946" s="87"/>
      <c r="C16946" s="87"/>
      <c r="D16946" s="87"/>
      <c r="E16946" s="87"/>
      <c r="F16946" s="87"/>
      <c r="G16946" s="87"/>
    </row>
    <row r="16947">
      <c r="A16947" s="86" t="str">
        <f>IFERROR(__xludf.DUMMYFUNCTION("""COMPUTED_VALUE"""),"")</f>
        <v/>
      </c>
      <c r="B16947" s="87"/>
      <c r="C16947" s="87"/>
      <c r="D16947" s="87"/>
      <c r="E16947" s="87"/>
      <c r="F16947" s="87"/>
      <c r="G16947" s="87"/>
    </row>
    <row r="16948">
      <c r="A16948" s="86" t="str">
        <f>IFERROR(__xludf.DUMMYFUNCTION("""COMPUTED_VALUE"""),"")</f>
        <v/>
      </c>
      <c r="B16948" s="87"/>
      <c r="C16948" s="87"/>
      <c r="D16948" s="87"/>
      <c r="E16948" s="87"/>
      <c r="F16948" s="87"/>
      <c r="G16948" s="87"/>
    </row>
    <row r="16949">
      <c r="A16949" s="86" t="str">
        <f>IFERROR(__xludf.DUMMYFUNCTION("""COMPUTED_VALUE"""),"")</f>
        <v/>
      </c>
      <c r="B16949" s="87"/>
      <c r="C16949" s="87"/>
      <c r="D16949" s="87"/>
      <c r="E16949" s="87"/>
      <c r="F16949" s="87"/>
      <c r="G16949" s="87"/>
    </row>
    <row r="16950">
      <c r="A16950" s="86" t="str">
        <f>IFERROR(__xludf.DUMMYFUNCTION("""COMPUTED_VALUE"""),"")</f>
        <v/>
      </c>
      <c r="B16950" s="87"/>
      <c r="C16950" s="87"/>
      <c r="D16950" s="87"/>
      <c r="E16950" s="87"/>
      <c r="F16950" s="87"/>
      <c r="G16950" s="87"/>
    </row>
    <row r="16951">
      <c r="A16951" s="86" t="str">
        <f>IFERROR(__xludf.DUMMYFUNCTION("""COMPUTED_VALUE"""),"")</f>
        <v/>
      </c>
      <c r="B16951" s="87"/>
      <c r="C16951" s="87"/>
      <c r="D16951" s="87"/>
      <c r="E16951" s="87"/>
      <c r="F16951" s="87"/>
      <c r="G16951" s="87"/>
    </row>
    <row r="16952">
      <c r="A16952" s="86" t="str">
        <f>IFERROR(__xludf.DUMMYFUNCTION("""COMPUTED_VALUE"""),"")</f>
        <v/>
      </c>
      <c r="B16952" s="87"/>
      <c r="C16952" s="87"/>
      <c r="D16952" s="87"/>
      <c r="E16952" s="87"/>
      <c r="F16952" s="87"/>
      <c r="G16952" s="87"/>
    </row>
    <row r="16953">
      <c r="A16953" s="86" t="str">
        <f>IFERROR(__xludf.DUMMYFUNCTION("""COMPUTED_VALUE"""),"")</f>
        <v/>
      </c>
      <c r="B16953" s="87"/>
      <c r="C16953" s="87"/>
      <c r="D16953" s="87"/>
      <c r="E16953" s="87"/>
      <c r="F16953" s="87"/>
      <c r="G16953" s="87"/>
    </row>
    <row r="16954">
      <c r="A16954" s="86" t="str">
        <f>IFERROR(__xludf.DUMMYFUNCTION("""COMPUTED_VALUE"""),"")</f>
        <v/>
      </c>
      <c r="B16954" s="87"/>
      <c r="C16954" s="87"/>
      <c r="D16954" s="87"/>
      <c r="E16954" s="87"/>
      <c r="F16954" s="87"/>
      <c r="G16954" s="87"/>
    </row>
    <row r="16955">
      <c r="A16955" s="86" t="str">
        <f>IFERROR(__xludf.DUMMYFUNCTION("""COMPUTED_VALUE"""),"")</f>
        <v/>
      </c>
      <c r="B16955" s="87"/>
      <c r="C16955" s="87"/>
      <c r="D16955" s="87"/>
      <c r="E16955" s="87"/>
      <c r="F16955" s="87"/>
      <c r="G16955" s="87"/>
    </row>
    <row r="16956">
      <c r="A16956" s="86" t="str">
        <f>IFERROR(__xludf.DUMMYFUNCTION("""COMPUTED_VALUE"""),"")</f>
        <v/>
      </c>
      <c r="B16956" s="87"/>
      <c r="C16956" s="87"/>
      <c r="D16956" s="87"/>
      <c r="E16956" s="87"/>
      <c r="F16956" s="87"/>
      <c r="G16956" s="87"/>
    </row>
    <row r="16957">
      <c r="A16957" s="86" t="str">
        <f>IFERROR(__xludf.DUMMYFUNCTION("""COMPUTED_VALUE"""),"")</f>
        <v/>
      </c>
      <c r="B16957" s="87"/>
      <c r="C16957" s="87"/>
      <c r="D16957" s="87"/>
      <c r="E16957" s="87"/>
      <c r="F16957" s="87"/>
      <c r="G16957" s="87"/>
    </row>
    <row r="16958">
      <c r="A16958" s="86" t="str">
        <f>IFERROR(__xludf.DUMMYFUNCTION("""COMPUTED_VALUE"""),"")</f>
        <v/>
      </c>
      <c r="B16958" s="87"/>
      <c r="C16958" s="87"/>
      <c r="D16958" s="87"/>
      <c r="E16958" s="87"/>
      <c r="F16958" s="87"/>
      <c r="G16958" s="87"/>
    </row>
    <row r="16959">
      <c r="A16959" s="86" t="str">
        <f>IFERROR(__xludf.DUMMYFUNCTION("""COMPUTED_VALUE"""),"")</f>
        <v/>
      </c>
      <c r="B16959" s="87"/>
      <c r="C16959" s="87"/>
      <c r="D16959" s="87"/>
      <c r="E16959" s="87"/>
      <c r="F16959" s="87"/>
      <c r="G16959" s="87"/>
    </row>
    <row r="16960">
      <c r="A16960" s="86" t="str">
        <f>IFERROR(__xludf.DUMMYFUNCTION("""COMPUTED_VALUE"""),"")</f>
        <v/>
      </c>
      <c r="B16960" s="87"/>
      <c r="C16960" s="87"/>
      <c r="D16960" s="87"/>
      <c r="E16960" s="87"/>
      <c r="F16960" s="87"/>
      <c r="G16960" s="87"/>
    </row>
    <row r="16961">
      <c r="A16961" s="86" t="str">
        <f>IFERROR(__xludf.DUMMYFUNCTION("""COMPUTED_VALUE"""),"")</f>
        <v/>
      </c>
      <c r="B16961" s="87"/>
      <c r="C16961" s="87"/>
      <c r="D16961" s="87"/>
      <c r="E16961" s="87"/>
      <c r="F16961" s="87"/>
      <c r="G16961" s="87"/>
    </row>
    <row r="16962">
      <c r="A16962" s="86" t="str">
        <f>IFERROR(__xludf.DUMMYFUNCTION("""COMPUTED_VALUE"""),"")</f>
        <v/>
      </c>
      <c r="B16962" s="87"/>
      <c r="C16962" s="87"/>
      <c r="D16962" s="87"/>
      <c r="E16962" s="87"/>
      <c r="F16962" s="87"/>
      <c r="G16962" s="87"/>
    </row>
    <row r="16963">
      <c r="A16963" s="86" t="str">
        <f>IFERROR(__xludf.DUMMYFUNCTION("""COMPUTED_VALUE"""),"")</f>
        <v/>
      </c>
      <c r="B16963" s="87"/>
      <c r="C16963" s="87"/>
      <c r="D16963" s="87"/>
      <c r="E16963" s="87"/>
      <c r="F16963" s="87"/>
      <c r="G16963" s="87"/>
    </row>
    <row r="16964">
      <c r="A16964" s="86" t="str">
        <f>IFERROR(__xludf.DUMMYFUNCTION("""COMPUTED_VALUE"""),"")</f>
        <v/>
      </c>
      <c r="B16964" s="87"/>
      <c r="C16964" s="87"/>
      <c r="D16964" s="87"/>
      <c r="E16964" s="87"/>
      <c r="F16964" s="87"/>
      <c r="G16964" s="87"/>
    </row>
    <row r="16965">
      <c r="A16965" s="86" t="str">
        <f>IFERROR(__xludf.DUMMYFUNCTION("""COMPUTED_VALUE"""),"")</f>
        <v/>
      </c>
      <c r="B16965" s="87"/>
      <c r="C16965" s="87"/>
      <c r="D16965" s="87"/>
      <c r="E16965" s="87"/>
      <c r="F16965" s="87"/>
      <c r="G16965" s="87"/>
    </row>
    <row r="16966">
      <c r="A16966" s="86" t="str">
        <f>IFERROR(__xludf.DUMMYFUNCTION("""COMPUTED_VALUE"""),"")</f>
        <v/>
      </c>
      <c r="B16966" s="87"/>
      <c r="C16966" s="87"/>
      <c r="D16966" s="87"/>
      <c r="E16966" s="87"/>
      <c r="F16966" s="87"/>
      <c r="G16966" s="87"/>
    </row>
    <row r="16967">
      <c r="A16967" s="86" t="str">
        <f>IFERROR(__xludf.DUMMYFUNCTION("""COMPUTED_VALUE"""),"")</f>
        <v/>
      </c>
      <c r="B16967" s="87"/>
      <c r="C16967" s="87"/>
      <c r="D16967" s="87"/>
      <c r="E16967" s="87"/>
      <c r="F16967" s="87"/>
      <c r="G16967" s="87"/>
    </row>
    <row r="16968">
      <c r="A16968" s="86" t="str">
        <f>IFERROR(__xludf.DUMMYFUNCTION("""COMPUTED_VALUE"""),"")</f>
        <v/>
      </c>
      <c r="B16968" s="87"/>
      <c r="C16968" s="87"/>
      <c r="D16968" s="87"/>
      <c r="E16968" s="87"/>
      <c r="F16968" s="87"/>
      <c r="G16968" s="87"/>
    </row>
    <row r="16969">
      <c r="A16969" s="86" t="str">
        <f>IFERROR(__xludf.DUMMYFUNCTION("""COMPUTED_VALUE"""),"")</f>
        <v/>
      </c>
      <c r="B16969" s="87"/>
      <c r="C16969" s="87"/>
      <c r="D16969" s="87"/>
      <c r="E16969" s="87"/>
      <c r="F16969" s="87"/>
      <c r="G16969" s="87"/>
    </row>
    <row r="16970">
      <c r="A16970" s="86" t="str">
        <f>IFERROR(__xludf.DUMMYFUNCTION("""COMPUTED_VALUE"""),"")</f>
        <v/>
      </c>
      <c r="B16970" s="87"/>
      <c r="C16970" s="87"/>
      <c r="D16970" s="87"/>
      <c r="E16970" s="87"/>
      <c r="F16970" s="87"/>
      <c r="G16970" s="87"/>
    </row>
    <row r="16971">
      <c r="A16971" s="86" t="str">
        <f>IFERROR(__xludf.DUMMYFUNCTION("""COMPUTED_VALUE"""),"")</f>
        <v/>
      </c>
      <c r="B16971" s="87"/>
      <c r="C16971" s="87"/>
      <c r="D16971" s="87"/>
      <c r="E16971" s="87"/>
      <c r="F16971" s="87"/>
      <c r="G16971" s="87"/>
    </row>
    <row r="16972">
      <c r="A16972" s="86" t="str">
        <f>IFERROR(__xludf.DUMMYFUNCTION("""COMPUTED_VALUE"""),"")</f>
        <v/>
      </c>
      <c r="B16972" s="87"/>
      <c r="C16972" s="87"/>
      <c r="D16972" s="87"/>
      <c r="E16972" s="87"/>
      <c r="F16972" s="87"/>
      <c r="G16972" s="87"/>
    </row>
    <row r="16973">
      <c r="A16973" s="86" t="str">
        <f>IFERROR(__xludf.DUMMYFUNCTION("""COMPUTED_VALUE"""),"")</f>
        <v/>
      </c>
      <c r="B16973" s="87"/>
      <c r="C16973" s="87"/>
      <c r="D16973" s="87"/>
      <c r="E16973" s="87"/>
      <c r="F16973" s="87"/>
      <c r="G16973" s="87"/>
    </row>
    <row r="16974">
      <c r="A16974" s="86" t="str">
        <f>IFERROR(__xludf.DUMMYFUNCTION("""COMPUTED_VALUE"""),"")</f>
        <v/>
      </c>
      <c r="B16974" s="87"/>
      <c r="C16974" s="87"/>
      <c r="D16974" s="87"/>
      <c r="E16974" s="87"/>
      <c r="F16974" s="87"/>
      <c r="G16974" s="87"/>
    </row>
    <row r="16975">
      <c r="A16975" s="86" t="str">
        <f>IFERROR(__xludf.DUMMYFUNCTION("""COMPUTED_VALUE"""),"")</f>
        <v/>
      </c>
      <c r="B16975" s="87"/>
      <c r="C16975" s="87"/>
      <c r="D16975" s="87"/>
      <c r="E16975" s="87"/>
      <c r="F16975" s="87"/>
      <c r="G16975" s="87"/>
    </row>
    <row r="16976">
      <c r="A16976" s="86" t="str">
        <f>IFERROR(__xludf.DUMMYFUNCTION("""COMPUTED_VALUE"""),"")</f>
        <v/>
      </c>
      <c r="B16976" s="87"/>
      <c r="C16976" s="87"/>
      <c r="D16976" s="87"/>
      <c r="E16976" s="87"/>
      <c r="F16976" s="87"/>
      <c r="G16976" s="87"/>
    </row>
    <row r="16977">
      <c r="A16977" s="86" t="str">
        <f>IFERROR(__xludf.DUMMYFUNCTION("""COMPUTED_VALUE"""),"")</f>
        <v/>
      </c>
      <c r="B16977" s="87"/>
      <c r="C16977" s="87"/>
      <c r="D16977" s="87"/>
      <c r="E16977" s="87"/>
      <c r="F16977" s="87"/>
      <c r="G16977" s="87"/>
    </row>
    <row r="16978">
      <c r="A16978" s="86" t="str">
        <f>IFERROR(__xludf.DUMMYFUNCTION("""COMPUTED_VALUE"""),"")</f>
        <v/>
      </c>
      <c r="B16978" s="87"/>
      <c r="C16978" s="87"/>
      <c r="D16978" s="87"/>
      <c r="E16978" s="87"/>
      <c r="F16978" s="87"/>
      <c r="G16978" s="87"/>
    </row>
    <row r="16979">
      <c r="A16979" s="86" t="str">
        <f>IFERROR(__xludf.DUMMYFUNCTION("""COMPUTED_VALUE"""),"")</f>
        <v/>
      </c>
      <c r="B16979" s="87"/>
      <c r="C16979" s="87"/>
      <c r="D16979" s="87"/>
      <c r="E16979" s="87"/>
      <c r="F16979" s="87"/>
      <c r="G16979" s="87"/>
    </row>
    <row r="16980">
      <c r="A16980" s="86" t="str">
        <f>IFERROR(__xludf.DUMMYFUNCTION("""COMPUTED_VALUE"""),"")</f>
        <v/>
      </c>
      <c r="B16980" s="87"/>
      <c r="C16980" s="87"/>
      <c r="D16980" s="87"/>
      <c r="E16980" s="87"/>
      <c r="F16980" s="87"/>
      <c r="G16980" s="87"/>
    </row>
    <row r="16981">
      <c r="A16981" s="86" t="str">
        <f>IFERROR(__xludf.DUMMYFUNCTION("""COMPUTED_VALUE"""),"")</f>
        <v/>
      </c>
      <c r="B16981" s="87"/>
      <c r="C16981" s="87"/>
      <c r="D16981" s="87"/>
      <c r="E16981" s="87"/>
      <c r="F16981" s="87"/>
      <c r="G16981" s="87"/>
    </row>
    <row r="16982">
      <c r="A16982" s="86" t="str">
        <f>IFERROR(__xludf.DUMMYFUNCTION("""COMPUTED_VALUE"""),"")</f>
        <v/>
      </c>
      <c r="B16982" s="87"/>
      <c r="C16982" s="87"/>
      <c r="D16982" s="87"/>
      <c r="E16982" s="87"/>
      <c r="F16982" s="87"/>
      <c r="G16982" s="87"/>
    </row>
    <row r="16983">
      <c r="A16983" s="86" t="str">
        <f>IFERROR(__xludf.DUMMYFUNCTION("""COMPUTED_VALUE"""),"")</f>
        <v/>
      </c>
      <c r="B16983" s="87"/>
      <c r="C16983" s="87"/>
      <c r="D16983" s="87"/>
      <c r="E16983" s="87"/>
      <c r="F16983" s="87"/>
      <c r="G16983" s="87"/>
    </row>
    <row r="16984">
      <c r="A16984" s="86" t="str">
        <f>IFERROR(__xludf.DUMMYFUNCTION("""COMPUTED_VALUE"""),"")</f>
        <v/>
      </c>
      <c r="B16984" s="87"/>
      <c r="C16984" s="87"/>
      <c r="D16984" s="87"/>
      <c r="E16984" s="87"/>
      <c r="F16984" s="87"/>
      <c r="G16984" s="87"/>
    </row>
    <row r="16985">
      <c r="A16985" s="86" t="str">
        <f>IFERROR(__xludf.DUMMYFUNCTION("""COMPUTED_VALUE"""),"")</f>
        <v/>
      </c>
      <c r="B16985" s="87"/>
      <c r="C16985" s="87"/>
      <c r="D16985" s="87"/>
      <c r="E16985" s="87"/>
      <c r="F16985" s="87"/>
      <c r="G16985" s="87"/>
    </row>
    <row r="16986">
      <c r="A16986" s="86" t="str">
        <f>IFERROR(__xludf.DUMMYFUNCTION("""COMPUTED_VALUE"""),"")</f>
        <v/>
      </c>
      <c r="B16986" s="87"/>
      <c r="C16986" s="87"/>
      <c r="D16986" s="87"/>
      <c r="E16986" s="87"/>
      <c r="F16986" s="87"/>
      <c r="G16986" s="87"/>
    </row>
    <row r="16987">
      <c r="A16987" s="86" t="str">
        <f>IFERROR(__xludf.DUMMYFUNCTION("""COMPUTED_VALUE"""),"")</f>
        <v/>
      </c>
      <c r="B16987" s="87"/>
      <c r="C16987" s="87"/>
      <c r="D16987" s="87"/>
      <c r="E16987" s="87"/>
      <c r="F16987" s="87"/>
      <c r="G16987" s="87"/>
    </row>
    <row r="16988">
      <c r="A16988" s="86" t="str">
        <f>IFERROR(__xludf.DUMMYFUNCTION("""COMPUTED_VALUE"""),"")</f>
        <v/>
      </c>
      <c r="B16988" s="87"/>
      <c r="C16988" s="87"/>
      <c r="D16988" s="87"/>
      <c r="E16988" s="87"/>
      <c r="F16988" s="87"/>
      <c r="G16988" s="87"/>
    </row>
    <row r="16989">
      <c r="A16989" s="86" t="str">
        <f>IFERROR(__xludf.DUMMYFUNCTION("""COMPUTED_VALUE"""),"")</f>
        <v/>
      </c>
      <c r="B16989" s="87"/>
      <c r="C16989" s="87"/>
      <c r="D16989" s="87"/>
      <c r="E16989" s="87"/>
      <c r="F16989" s="87"/>
      <c r="G16989" s="87"/>
    </row>
    <row r="16990">
      <c r="A16990" s="86" t="str">
        <f>IFERROR(__xludf.DUMMYFUNCTION("""COMPUTED_VALUE"""),"")</f>
        <v/>
      </c>
      <c r="B16990" s="87"/>
      <c r="C16990" s="87"/>
      <c r="D16990" s="87"/>
      <c r="E16990" s="87"/>
      <c r="F16990" s="87"/>
      <c r="G16990" s="87"/>
    </row>
    <row r="16991">
      <c r="A16991" s="86" t="str">
        <f>IFERROR(__xludf.DUMMYFUNCTION("""COMPUTED_VALUE"""),"")</f>
        <v/>
      </c>
      <c r="B16991" s="87"/>
      <c r="C16991" s="87"/>
      <c r="D16991" s="87"/>
      <c r="E16991" s="87"/>
      <c r="F16991" s="87"/>
      <c r="G16991" s="87"/>
    </row>
    <row r="16992">
      <c r="A16992" s="86" t="str">
        <f>IFERROR(__xludf.DUMMYFUNCTION("""COMPUTED_VALUE"""),"")</f>
        <v/>
      </c>
      <c r="B16992" s="87"/>
      <c r="C16992" s="87"/>
      <c r="D16992" s="87"/>
      <c r="E16992" s="87"/>
      <c r="F16992" s="87"/>
      <c r="G16992" s="87"/>
    </row>
    <row r="16993">
      <c r="A16993" s="86" t="str">
        <f>IFERROR(__xludf.DUMMYFUNCTION("""COMPUTED_VALUE"""),"")</f>
        <v/>
      </c>
      <c r="B16993" s="87"/>
      <c r="C16993" s="87"/>
      <c r="D16993" s="87"/>
      <c r="E16993" s="87"/>
      <c r="F16993" s="87"/>
      <c r="G16993" s="87"/>
    </row>
    <row r="16994">
      <c r="A16994" s="86" t="str">
        <f>IFERROR(__xludf.DUMMYFUNCTION("""COMPUTED_VALUE"""),"")</f>
        <v/>
      </c>
      <c r="B16994" s="87"/>
      <c r="C16994" s="87"/>
      <c r="D16994" s="87"/>
      <c r="E16994" s="87"/>
      <c r="F16994" s="87"/>
      <c r="G16994" s="87"/>
    </row>
    <row r="16995">
      <c r="A16995" s="86" t="str">
        <f>IFERROR(__xludf.DUMMYFUNCTION("""COMPUTED_VALUE"""),"")</f>
        <v/>
      </c>
      <c r="B16995" s="87"/>
      <c r="C16995" s="87"/>
      <c r="D16995" s="87"/>
      <c r="E16995" s="87"/>
      <c r="F16995" s="87"/>
      <c r="G16995" s="87"/>
    </row>
    <row r="16996">
      <c r="A16996" s="86" t="str">
        <f>IFERROR(__xludf.DUMMYFUNCTION("""COMPUTED_VALUE"""),"")</f>
        <v/>
      </c>
      <c r="B16996" s="87"/>
      <c r="C16996" s="87"/>
      <c r="D16996" s="87"/>
      <c r="E16996" s="87"/>
      <c r="F16996" s="87"/>
      <c r="G16996" s="87"/>
    </row>
    <row r="16997">
      <c r="A16997" s="86" t="str">
        <f>IFERROR(__xludf.DUMMYFUNCTION("""COMPUTED_VALUE"""),"")</f>
        <v/>
      </c>
      <c r="B16997" s="87"/>
      <c r="C16997" s="87"/>
      <c r="D16997" s="87"/>
      <c r="E16997" s="87"/>
      <c r="F16997" s="87"/>
      <c r="G16997" s="87"/>
    </row>
    <row r="16998">
      <c r="A16998" s="86" t="str">
        <f>IFERROR(__xludf.DUMMYFUNCTION("""COMPUTED_VALUE"""),"")</f>
        <v/>
      </c>
      <c r="B16998" s="87"/>
      <c r="C16998" s="87"/>
      <c r="D16998" s="87"/>
      <c r="E16998" s="87"/>
      <c r="F16998" s="87"/>
      <c r="G16998" s="87"/>
    </row>
    <row r="16999">
      <c r="A16999" s="86" t="str">
        <f>IFERROR(__xludf.DUMMYFUNCTION("""COMPUTED_VALUE"""),"")</f>
        <v/>
      </c>
      <c r="B16999" s="87"/>
      <c r="C16999" s="87"/>
      <c r="D16999" s="87"/>
      <c r="E16999" s="87"/>
      <c r="F16999" s="87"/>
      <c r="G16999" s="87"/>
    </row>
    <row r="17000">
      <c r="A17000" s="86" t="str">
        <f>IFERROR(__xludf.DUMMYFUNCTION("""COMPUTED_VALUE"""),"")</f>
        <v/>
      </c>
      <c r="B17000" s="87"/>
      <c r="C17000" s="87"/>
      <c r="D17000" s="87"/>
      <c r="E17000" s="87"/>
      <c r="F17000" s="87"/>
      <c r="G17000" s="87"/>
    </row>
    <row r="17001">
      <c r="A17001" s="86" t="str">
        <f>IFERROR(__xludf.DUMMYFUNCTION("""COMPUTED_VALUE"""),"")</f>
        <v/>
      </c>
      <c r="B17001" s="87"/>
      <c r="C17001" s="87"/>
      <c r="D17001" s="87"/>
      <c r="E17001" s="87"/>
      <c r="F17001" s="87"/>
      <c r="G17001" s="87"/>
    </row>
    <row r="17002">
      <c r="A17002" s="86" t="str">
        <f>IFERROR(__xludf.DUMMYFUNCTION("""COMPUTED_VALUE"""),"")</f>
        <v/>
      </c>
      <c r="B17002" s="87"/>
      <c r="C17002" s="87"/>
      <c r="D17002" s="87"/>
      <c r="E17002" s="87"/>
      <c r="F17002" s="87"/>
      <c r="G17002" s="87"/>
    </row>
    <row r="17003">
      <c r="A17003" s="86" t="str">
        <f>IFERROR(__xludf.DUMMYFUNCTION("""COMPUTED_VALUE"""),"")</f>
        <v/>
      </c>
      <c r="B17003" s="87"/>
      <c r="C17003" s="87"/>
      <c r="D17003" s="87"/>
      <c r="E17003" s="87"/>
      <c r="F17003" s="87"/>
      <c r="G17003" s="87"/>
    </row>
    <row r="17004">
      <c r="A17004" s="86" t="str">
        <f>IFERROR(__xludf.DUMMYFUNCTION("""COMPUTED_VALUE"""),"")</f>
        <v/>
      </c>
      <c r="B17004" s="87"/>
      <c r="C17004" s="87"/>
      <c r="D17004" s="87"/>
      <c r="E17004" s="87"/>
      <c r="F17004" s="87"/>
      <c r="G17004" s="87"/>
    </row>
    <row r="17005">
      <c r="A17005" s="86" t="str">
        <f>IFERROR(__xludf.DUMMYFUNCTION("""COMPUTED_VALUE"""),"")</f>
        <v/>
      </c>
      <c r="B17005" s="87"/>
      <c r="C17005" s="87"/>
      <c r="D17005" s="87"/>
      <c r="E17005" s="87"/>
      <c r="F17005" s="87"/>
      <c r="G17005" s="87"/>
    </row>
    <row r="17006">
      <c r="A17006" s="86" t="str">
        <f>IFERROR(__xludf.DUMMYFUNCTION("""COMPUTED_VALUE"""),"")</f>
        <v/>
      </c>
      <c r="B17006" s="87"/>
      <c r="C17006" s="87"/>
      <c r="D17006" s="87"/>
      <c r="E17006" s="87"/>
      <c r="F17006" s="87"/>
      <c r="G17006" s="87"/>
    </row>
    <row r="17007">
      <c r="A17007" s="86" t="str">
        <f>IFERROR(__xludf.DUMMYFUNCTION("""COMPUTED_VALUE"""),"")</f>
        <v/>
      </c>
      <c r="B17007" s="87"/>
      <c r="C17007" s="87"/>
      <c r="D17007" s="87"/>
      <c r="E17007" s="87"/>
      <c r="F17007" s="87"/>
      <c r="G17007" s="87"/>
    </row>
    <row r="17008">
      <c r="A17008" s="86" t="str">
        <f>IFERROR(__xludf.DUMMYFUNCTION("""COMPUTED_VALUE"""),"")</f>
        <v/>
      </c>
      <c r="B17008" s="87"/>
      <c r="C17008" s="87"/>
      <c r="D17008" s="87"/>
      <c r="E17008" s="87"/>
      <c r="F17008" s="87"/>
      <c r="G17008" s="87"/>
    </row>
    <row r="17009">
      <c r="A17009" s="86" t="str">
        <f>IFERROR(__xludf.DUMMYFUNCTION("""COMPUTED_VALUE"""),"")</f>
        <v/>
      </c>
      <c r="B17009" s="87"/>
      <c r="C17009" s="87"/>
      <c r="D17009" s="87"/>
      <c r="E17009" s="87"/>
      <c r="F17009" s="87"/>
      <c r="G17009" s="87"/>
    </row>
    <row r="17010">
      <c r="A17010" s="86" t="str">
        <f>IFERROR(__xludf.DUMMYFUNCTION("""COMPUTED_VALUE"""),"")</f>
        <v/>
      </c>
      <c r="B17010" s="87"/>
      <c r="C17010" s="87"/>
      <c r="D17010" s="87"/>
      <c r="E17010" s="87"/>
      <c r="F17010" s="87"/>
      <c r="G17010" s="87"/>
    </row>
    <row r="17011">
      <c r="A17011" s="86" t="str">
        <f>IFERROR(__xludf.DUMMYFUNCTION("""COMPUTED_VALUE"""),"")</f>
        <v/>
      </c>
      <c r="B17011" s="87"/>
      <c r="C17011" s="87"/>
      <c r="D17011" s="87"/>
      <c r="E17011" s="87"/>
      <c r="F17011" s="87"/>
      <c r="G17011" s="87"/>
    </row>
    <row r="17012">
      <c r="A17012" s="86" t="str">
        <f>IFERROR(__xludf.DUMMYFUNCTION("""COMPUTED_VALUE"""),"")</f>
        <v/>
      </c>
      <c r="B17012" s="87"/>
      <c r="C17012" s="87"/>
      <c r="D17012" s="87"/>
      <c r="E17012" s="87"/>
      <c r="F17012" s="87"/>
      <c r="G17012" s="87"/>
    </row>
    <row r="17013">
      <c r="A17013" s="86" t="str">
        <f>IFERROR(__xludf.DUMMYFUNCTION("""COMPUTED_VALUE"""),"")</f>
        <v/>
      </c>
      <c r="B17013" s="87"/>
      <c r="C17013" s="87"/>
      <c r="D17013" s="87"/>
      <c r="E17013" s="87"/>
      <c r="F17013" s="87"/>
      <c r="G17013" s="87"/>
    </row>
    <row r="17014">
      <c r="A17014" s="86" t="str">
        <f>IFERROR(__xludf.DUMMYFUNCTION("""COMPUTED_VALUE"""),"")</f>
        <v/>
      </c>
      <c r="B17014" s="87"/>
      <c r="C17014" s="87"/>
      <c r="D17014" s="87"/>
      <c r="E17014" s="87"/>
      <c r="F17014" s="87"/>
      <c r="G17014" s="87"/>
    </row>
    <row r="17015">
      <c r="A17015" s="86" t="str">
        <f>IFERROR(__xludf.DUMMYFUNCTION("""COMPUTED_VALUE"""),"")</f>
        <v/>
      </c>
      <c r="B17015" s="87"/>
      <c r="C17015" s="87"/>
      <c r="D17015" s="87"/>
      <c r="E17015" s="87"/>
      <c r="F17015" s="87"/>
      <c r="G17015" s="87"/>
    </row>
    <row r="17016">
      <c r="A17016" s="86" t="str">
        <f>IFERROR(__xludf.DUMMYFUNCTION("""COMPUTED_VALUE"""),"")</f>
        <v/>
      </c>
      <c r="B17016" s="87"/>
      <c r="C17016" s="87"/>
      <c r="D17016" s="87"/>
      <c r="E17016" s="87"/>
      <c r="F17016" s="87"/>
      <c r="G17016" s="87"/>
    </row>
    <row r="17017">
      <c r="A17017" s="86" t="str">
        <f>IFERROR(__xludf.DUMMYFUNCTION("""COMPUTED_VALUE"""),"")</f>
        <v/>
      </c>
      <c r="B17017" s="87"/>
      <c r="C17017" s="87"/>
      <c r="D17017" s="87"/>
      <c r="E17017" s="87"/>
      <c r="F17017" s="87"/>
      <c r="G17017" s="87"/>
    </row>
    <row r="17018">
      <c r="A17018" s="86" t="str">
        <f>IFERROR(__xludf.DUMMYFUNCTION("""COMPUTED_VALUE"""),"")</f>
        <v/>
      </c>
      <c r="B17018" s="87"/>
      <c r="C17018" s="87"/>
      <c r="D17018" s="87"/>
      <c r="E17018" s="87"/>
      <c r="F17018" s="87"/>
      <c r="G17018" s="87"/>
    </row>
    <row r="17019">
      <c r="A17019" s="86" t="str">
        <f>IFERROR(__xludf.DUMMYFUNCTION("""COMPUTED_VALUE"""),"")</f>
        <v/>
      </c>
      <c r="B17019" s="87"/>
      <c r="C17019" s="87"/>
      <c r="D17019" s="87"/>
      <c r="E17019" s="87"/>
      <c r="F17019" s="87"/>
      <c r="G17019" s="87"/>
    </row>
    <row r="17020">
      <c r="A17020" s="86" t="str">
        <f>IFERROR(__xludf.DUMMYFUNCTION("""COMPUTED_VALUE"""),"")</f>
        <v/>
      </c>
      <c r="B17020" s="87"/>
      <c r="C17020" s="87"/>
      <c r="D17020" s="87"/>
      <c r="E17020" s="87"/>
      <c r="F17020" s="87"/>
      <c r="G17020" s="87"/>
    </row>
    <row r="17021">
      <c r="A17021" s="86" t="str">
        <f>IFERROR(__xludf.DUMMYFUNCTION("""COMPUTED_VALUE"""),"")</f>
        <v/>
      </c>
      <c r="B17021" s="87"/>
      <c r="C17021" s="87"/>
      <c r="D17021" s="87"/>
      <c r="E17021" s="87"/>
      <c r="F17021" s="87"/>
      <c r="G17021" s="87"/>
    </row>
    <row r="17022">
      <c r="A17022" s="86" t="str">
        <f>IFERROR(__xludf.DUMMYFUNCTION("""COMPUTED_VALUE"""),"")</f>
        <v/>
      </c>
      <c r="B17022" s="87"/>
      <c r="C17022" s="87"/>
      <c r="D17022" s="87"/>
      <c r="E17022" s="87"/>
      <c r="F17022" s="87"/>
      <c r="G17022" s="87"/>
    </row>
    <row r="17023">
      <c r="A17023" s="86" t="str">
        <f>IFERROR(__xludf.DUMMYFUNCTION("""COMPUTED_VALUE"""),"")</f>
        <v/>
      </c>
      <c r="B17023" s="87"/>
      <c r="C17023" s="87"/>
      <c r="D17023" s="87"/>
      <c r="E17023" s="87"/>
      <c r="F17023" s="87"/>
      <c r="G17023" s="87"/>
    </row>
    <row r="17024">
      <c r="A17024" s="86" t="str">
        <f>IFERROR(__xludf.DUMMYFUNCTION("""COMPUTED_VALUE"""),"")</f>
        <v/>
      </c>
      <c r="B17024" s="87"/>
      <c r="C17024" s="87"/>
      <c r="D17024" s="87"/>
      <c r="E17024" s="87"/>
      <c r="F17024" s="87"/>
      <c r="G17024" s="87"/>
    </row>
    <row r="17025">
      <c r="A17025" s="86" t="str">
        <f>IFERROR(__xludf.DUMMYFUNCTION("""COMPUTED_VALUE"""),"")</f>
        <v/>
      </c>
      <c r="B17025" s="87"/>
      <c r="C17025" s="87"/>
      <c r="D17025" s="87"/>
      <c r="E17025" s="87"/>
      <c r="F17025" s="87"/>
      <c r="G17025" s="87"/>
    </row>
    <row r="17026">
      <c r="A17026" s="86" t="str">
        <f>IFERROR(__xludf.DUMMYFUNCTION("""COMPUTED_VALUE"""),"")</f>
        <v/>
      </c>
      <c r="B17026" s="87"/>
      <c r="C17026" s="87"/>
      <c r="D17026" s="87"/>
      <c r="E17026" s="87"/>
      <c r="F17026" s="87"/>
      <c r="G17026" s="87"/>
    </row>
    <row r="17027">
      <c r="A17027" s="86" t="str">
        <f>IFERROR(__xludf.DUMMYFUNCTION("""COMPUTED_VALUE"""),"")</f>
        <v/>
      </c>
      <c r="B17027" s="87"/>
      <c r="C17027" s="87"/>
      <c r="D17027" s="87"/>
      <c r="E17027" s="87"/>
      <c r="F17027" s="87"/>
      <c r="G17027" s="87"/>
    </row>
    <row r="17028">
      <c r="A17028" s="86" t="str">
        <f>IFERROR(__xludf.DUMMYFUNCTION("""COMPUTED_VALUE"""),"")</f>
        <v/>
      </c>
      <c r="B17028" s="87"/>
      <c r="C17028" s="87"/>
      <c r="D17028" s="87"/>
      <c r="E17028" s="87"/>
      <c r="F17028" s="87"/>
      <c r="G17028" s="87"/>
    </row>
    <row r="17029">
      <c r="A17029" s="86" t="str">
        <f>IFERROR(__xludf.DUMMYFUNCTION("""COMPUTED_VALUE"""),"")</f>
        <v/>
      </c>
      <c r="B17029" s="87"/>
      <c r="C17029" s="87"/>
      <c r="D17029" s="87"/>
      <c r="E17029" s="87"/>
      <c r="F17029" s="87"/>
      <c r="G17029" s="87"/>
    </row>
    <row r="17030">
      <c r="A17030" s="86" t="str">
        <f>IFERROR(__xludf.DUMMYFUNCTION("""COMPUTED_VALUE"""),"")</f>
        <v/>
      </c>
      <c r="B17030" s="87"/>
      <c r="C17030" s="87"/>
      <c r="D17030" s="87"/>
      <c r="E17030" s="87"/>
      <c r="F17030" s="87"/>
      <c r="G17030" s="87"/>
    </row>
    <row r="17031">
      <c r="A17031" s="86" t="str">
        <f>IFERROR(__xludf.DUMMYFUNCTION("""COMPUTED_VALUE"""),"")</f>
        <v/>
      </c>
      <c r="B17031" s="87"/>
      <c r="C17031" s="87"/>
      <c r="D17031" s="87"/>
      <c r="E17031" s="87"/>
      <c r="F17031" s="87"/>
      <c r="G17031" s="87"/>
    </row>
    <row r="17032">
      <c r="A17032" s="86" t="str">
        <f>IFERROR(__xludf.DUMMYFUNCTION("""COMPUTED_VALUE"""),"")</f>
        <v/>
      </c>
      <c r="B17032" s="87"/>
      <c r="C17032" s="87"/>
      <c r="D17032" s="87"/>
      <c r="E17032" s="87"/>
      <c r="F17032" s="87"/>
      <c r="G17032" s="87"/>
    </row>
    <row r="17033">
      <c r="A17033" s="86" t="str">
        <f>IFERROR(__xludf.DUMMYFUNCTION("""COMPUTED_VALUE"""),"")</f>
        <v/>
      </c>
      <c r="B17033" s="87"/>
      <c r="C17033" s="87"/>
      <c r="D17033" s="87"/>
      <c r="E17033" s="87"/>
      <c r="F17033" s="87"/>
      <c r="G17033" s="87"/>
    </row>
    <row r="17034">
      <c r="A17034" s="86" t="str">
        <f>IFERROR(__xludf.DUMMYFUNCTION("""COMPUTED_VALUE"""),"")</f>
        <v/>
      </c>
      <c r="B17034" s="87"/>
      <c r="C17034" s="87"/>
      <c r="D17034" s="87"/>
      <c r="E17034" s="87"/>
      <c r="F17034" s="87"/>
      <c r="G17034" s="87"/>
    </row>
    <row r="17035">
      <c r="A17035" s="86" t="str">
        <f>IFERROR(__xludf.DUMMYFUNCTION("""COMPUTED_VALUE"""),"")</f>
        <v/>
      </c>
      <c r="B17035" s="87"/>
      <c r="C17035" s="87"/>
      <c r="D17035" s="87"/>
      <c r="E17035" s="87"/>
      <c r="F17035" s="87"/>
      <c r="G17035" s="87"/>
    </row>
    <row r="17036">
      <c r="A17036" s="86" t="str">
        <f>IFERROR(__xludf.DUMMYFUNCTION("""COMPUTED_VALUE"""),"")</f>
        <v/>
      </c>
      <c r="B17036" s="87"/>
      <c r="C17036" s="87"/>
      <c r="D17036" s="87"/>
      <c r="E17036" s="87"/>
      <c r="F17036" s="87"/>
      <c r="G17036" s="87"/>
    </row>
    <row r="17037">
      <c r="A17037" s="86" t="str">
        <f>IFERROR(__xludf.DUMMYFUNCTION("""COMPUTED_VALUE"""),"")</f>
        <v/>
      </c>
      <c r="B17037" s="87"/>
      <c r="C17037" s="87"/>
      <c r="D17037" s="87"/>
      <c r="E17037" s="87"/>
      <c r="F17037" s="87"/>
      <c r="G17037" s="87"/>
    </row>
    <row r="17038">
      <c r="A17038" s="86" t="str">
        <f>IFERROR(__xludf.DUMMYFUNCTION("""COMPUTED_VALUE"""),"")</f>
        <v/>
      </c>
      <c r="B17038" s="87"/>
      <c r="C17038" s="87"/>
      <c r="D17038" s="87"/>
      <c r="E17038" s="87"/>
      <c r="F17038" s="87"/>
      <c r="G17038" s="87"/>
    </row>
    <row r="17039">
      <c r="A17039" s="86" t="str">
        <f>IFERROR(__xludf.DUMMYFUNCTION("""COMPUTED_VALUE"""),"")</f>
        <v/>
      </c>
      <c r="B17039" s="87"/>
      <c r="C17039" s="87"/>
      <c r="D17039" s="87"/>
      <c r="E17039" s="87"/>
      <c r="F17039" s="87"/>
      <c r="G17039" s="87"/>
    </row>
    <row r="17040">
      <c r="A17040" s="86" t="str">
        <f>IFERROR(__xludf.DUMMYFUNCTION("""COMPUTED_VALUE"""),"")</f>
        <v/>
      </c>
      <c r="B17040" s="87"/>
      <c r="C17040" s="87"/>
      <c r="D17040" s="87"/>
      <c r="E17040" s="87"/>
      <c r="F17040" s="87"/>
      <c r="G17040" s="87"/>
    </row>
    <row r="17041">
      <c r="A17041" s="86" t="str">
        <f>IFERROR(__xludf.DUMMYFUNCTION("""COMPUTED_VALUE"""),"")</f>
        <v/>
      </c>
      <c r="B17041" s="87"/>
      <c r="C17041" s="87"/>
      <c r="D17041" s="87"/>
      <c r="E17041" s="87"/>
      <c r="F17041" s="87"/>
      <c r="G17041" s="87"/>
    </row>
    <row r="17042">
      <c r="A17042" s="86" t="str">
        <f>IFERROR(__xludf.DUMMYFUNCTION("""COMPUTED_VALUE"""),"")</f>
        <v/>
      </c>
      <c r="B17042" s="87"/>
      <c r="C17042" s="87"/>
      <c r="D17042" s="87"/>
      <c r="E17042" s="87"/>
      <c r="F17042" s="87"/>
      <c r="G17042" s="87"/>
    </row>
    <row r="17043">
      <c r="A17043" s="86" t="str">
        <f>IFERROR(__xludf.DUMMYFUNCTION("""COMPUTED_VALUE"""),"")</f>
        <v/>
      </c>
      <c r="B17043" s="87"/>
      <c r="C17043" s="87"/>
      <c r="D17043" s="87"/>
      <c r="E17043" s="87"/>
      <c r="F17043" s="87"/>
      <c r="G17043" s="87"/>
    </row>
    <row r="17044">
      <c r="A17044" s="86" t="str">
        <f>IFERROR(__xludf.DUMMYFUNCTION("""COMPUTED_VALUE"""),"")</f>
        <v/>
      </c>
      <c r="B17044" s="87"/>
      <c r="C17044" s="87"/>
      <c r="D17044" s="87"/>
      <c r="E17044" s="87"/>
      <c r="F17044" s="87"/>
      <c r="G17044" s="87"/>
    </row>
    <row r="17045">
      <c r="A17045" s="86" t="str">
        <f>IFERROR(__xludf.DUMMYFUNCTION("""COMPUTED_VALUE"""),"")</f>
        <v/>
      </c>
      <c r="B17045" s="87"/>
      <c r="C17045" s="87"/>
      <c r="D17045" s="87"/>
      <c r="E17045" s="87"/>
      <c r="F17045" s="87"/>
      <c r="G17045" s="87"/>
    </row>
    <row r="17046">
      <c r="A17046" s="86" t="str">
        <f>IFERROR(__xludf.DUMMYFUNCTION("""COMPUTED_VALUE"""),"")</f>
        <v/>
      </c>
      <c r="B17046" s="87"/>
      <c r="C17046" s="87"/>
      <c r="D17046" s="87"/>
      <c r="E17046" s="87"/>
      <c r="F17046" s="87"/>
      <c r="G17046" s="87"/>
    </row>
    <row r="17047">
      <c r="A17047" s="86" t="str">
        <f>IFERROR(__xludf.DUMMYFUNCTION("""COMPUTED_VALUE"""),"")</f>
        <v/>
      </c>
      <c r="B17047" s="87"/>
      <c r="C17047" s="87"/>
      <c r="D17047" s="87"/>
      <c r="E17047" s="87"/>
      <c r="F17047" s="87"/>
      <c r="G17047" s="87"/>
    </row>
    <row r="17048">
      <c r="A17048" s="86" t="str">
        <f>IFERROR(__xludf.DUMMYFUNCTION("""COMPUTED_VALUE"""),"")</f>
        <v/>
      </c>
      <c r="B17048" s="87"/>
      <c r="C17048" s="87"/>
      <c r="D17048" s="87"/>
      <c r="E17048" s="87"/>
      <c r="F17048" s="87"/>
      <c r="G17048" s="87"/>
    </row>
    <row r="17049">
      <c r="A17049" s="86" t="str">
        <f>IFERROR(__xludf.DUMMYFUNCTION("""COMPUTED_VALUE"""),"")</f>
        <v/>
      </c>
      <c r="B17049" s="87"/>
      <c r="C17049" s="87"/>
      <c r="D17049" s="87"/>
      <c r="E17049" s="87"/>
      <c r="F17049" s="87"/>
      <c r="G17049" s="87"/>
    </row>
    <row r="17050">
      <c r="A17050" s="86" t="str">
        <f>IFERROR(__xludf.DUMMYFUNCTION("""COMPUTED_VALUE"""),"")</f>
        <v/>
      </c>
      <c r="B17050" s="87"/>
      <c r="C17050" s="87"/>
      <c r="D17050" s="87"/>
      <c r="E17050" s="87"/>
      <c r="F17050" s="87"/>
      <c r="G17050" s="87"/>
    </row>
    <row r="17051">
      <c r="A17051" s="86" t="str">
        <f>IFERROR(__xludf.DUMMYFUNCTION("""COMPUTED_VALUE"""),"")</f>
        <v/>
      </c>
      <c r="B17051" s="87"/>
      <c r="C17051" s="87"/>
      <c r="D17051" s="87"/>
      <c r="E17051" s="87"/>
      <c r="F17051" s="87"/>
      <c r="G17051" s="87"/>
    </row>
    <row r="17052">
      <c r="A17052" s="86" t="str">
        <f>IFERROR(__xludf.DUMMYFUNCTION("""COMPUTED_VALUE"""),"")</f>
        <v/>
      </c>
      <c r="B17052" s="87"/>
      <c r="C17052" s="87"/>
      <c r="D17052" s="87"/>
      <c r="E17052" s="87"/>
      <c r="F17052" s="87"/>
      <c r="G17052" s="87"/>
    </row>
    <row r="17053">
      <c r="A17053" s="86" t="str">
        <f>IFERROR(__xludf.DUMMYFUNCTION("""COMPUTED_VALUE"""),"")</f>
        <v/>
      </c>
      <c r="B17053" s="87"/>
      <c r="C17053" s="87"/>
      <c r="D17053" s="87"/>
      <c r="E17053" s="87"/>
      <c r="F17053" s="87"/>
      <c r="G17053" s="87"/>
    </row>
    <row r="17054">
      <c r="A17054" s="86" t="str">
        <f>IFERROR(__xludf.DUMMYFUNCTION("""COMPUTED_VALUE"""),"")</f>
        <v/>
      </c>
      <c r="B17054" s="87"/>
      <c r="C17054" s="87"/>
      <c r="D17054" s="87"/>
      <c r="E17054" s="87"/>
      <c r="F17054" s="87"/>
      <c r="G17054" s="87"/>
    </row>
    <row r="17055">
      <c r="A17055" s="86" t="str">
        <f>IFERROR(__xludf.DUMMYFUNCTION("""COMPUTED_VALUE"""),"")</f>
        <v/>
      </c>
      <c r="B17055" s="87"/>
      <c r="C17055" s="87"/>
      <c r="D17055" s="87"/>
      <c r="E17055" s="87"/>
      <c r="F17055" s="87"/>
      <c r="G17055" s="87"/>
    </row>
    <row r="17056">
      <c r="A17056" s="86" t="str">
        <f>IFERROR(__xludf.DUMMYFUNCTION("""COMPUTED_VALUE"""),"")</f>
        <v/>
      </c>
      <c r="B17056" s="87"/>
      <c r="C17056" s="87"/>
      <c r="D17056" s="87"/>
      <c r="E17056" s="87"/>
      <c r="F17056" s="87"/>
      <c r="G17056" s="87"/>
    </row>
    <row r="17057">
      <c r="A17057" s="86" t="str">
        <f>IFERROR(__xludf.DUMMYFUNCTION("""COMPUTED_VALUE"""),"")</f>
        <v/>
      </c>
      <c r="B17057" s="87"/>
      <c r="C17057" s="87"/>
      <c r="D17057" s="87"/>
      <c r="E17057" s="87"/>
      <c r="F17057" s="87"/>
      <c r="G17057" s="87"/>
    </row>
    <row r="17058">
      <c r="A17058" s="86" t="str">
        <f>IFERROR(__xludf.DUMMYFUNCTION("""COMPUTED_VALUE"""),"")</f>
        <v/>
      </c>
      <c r="B17058" s="87"/>
      <c r="C17058" s="87"/>
      <c r="D17058" s="87"/>
      <c r="E17058" s="87"/>
      <c r="F17058" s="87"/>
      <c r="G17058" s="87"/>
    </row>
    <row r="17059">
      <c r="A17059" s="86" t="str">
        <f>IFERROR(__xludf.DUMMYFUNCTION("""COMPUTED_VALUE"""),"")</f>
        <v/>
      </c>
      <c r="B17059" s="87"/>
      <c r="C17059" s="87"/>
      <c r="D17059" s="87"/>
      <c r="E17059" s="87"/>
      <c r="F17059" s="87"/>
      <c r="G17059" s="87"/>
    </row>
    <row r="17060">
      <c r="A17060" s="86" t="str">
        <f>IFERROR(__xludf.DUMMYFUNCTION("""COMPUTED_VALUE"""),"")</f>
        <v/>
      </c>
      <c r="B17060" s="87"/>
      <c r="C17060" s="87"/>
      <c r="D17060" s="87"/>
      <c r="E17060" s="87"/>
      <c r="F17060" s="87"/>
      <c r="G17060" s="87"/>
    </row>
    <row r="17061">
      <c r="A17061" s="86" t="str">
        <f>IFERROR(__xludf.DUMMYFUNCTION("""COMPUTED_VALUE"""),"")</f>
        <v/>
      </c>
      <c r="B17061" s="87"/>
      <c r="C17061" s="87"/>
      <c r="D17061" s="87"/>
      <c r="E17061" s="87"/>
      <c r="F17061" s="87"/>
      <c r="G17061" s="87"/>
    </row>
    <row r="17062">
      <c r="A17062" s="86" t="str">
        <f>IFERROR(__xludf.DUMMYFUNCTION("""COMPUTED_VALUE"""),"")</f>
        <v/>
      </c>
      <c r="B17062" s="87"/>
      <c r="C17062" s="87"/>
      <c r="D17062" s="87"/>
      <c r="E17062" s="87"/>
      <c r="F17062" s="87"/>
      <c r="G17062" s="87"/>
    </row>
    <row r="17063">
      <c r="A17063" s="86" t="str">
        <f>IFERROR(__xludf.DUMMYFUNCTION("""COMPUTED_VALUE"""),"")</f>
        <v/>
      </c>
      <c r="B17063" s="87"/>
      <c r="C17063" s="87"/>
      <c r="D17063" s="87"/>
      <c r="E17063" s="87"/>
      <c r="F17063" s="87"/>
      <c r="G17063" s="87"/>
    </row>
    <row r="17064">
      <c r="A17064" s="86" t="str">
        <f>IFERROR(__xludf.DUMMYFUNCTION("""COMPUTED_VALUE"""),"")</f>
        <v/>
      </c>
      <c r="B17064" s="87"/>
      <c r="C17064" s="87"/>
      <c r="D17064" s="87"/>
      <c r="E17064" s="87"/>
      <c r="F17064" s="87"/>
      <c r="G17064" s="87"/>
    </row>
    <row r="17065">
      <c r="A17065" s="86" t="str">
        <f>IFERROR(__xludf.DUMMYFUNCTION("""COMPUTED_VALUE"""),"")</f>
        <v/>
      </c>
      <c r="B17065" s="87"/>
      <c r="C17065" s="87"/>
      <c r="D17065" s="87"/>
      <c r="E17065" s="87"/>
      <c r="F17065" s="87"/>
      <c r="G17065" s="87"/>
    </row>
    <row r="17066">
      <c r="A17066" s="86" t="str">
        <f>IFERROR(__xludf.DUMMYFUNCTION("""COMPUTED_VALUE"""),"")</f>
        <v/>
      </c>
      <c r="B17066" s="87"/>
      <c r="C17066" s="87"/>
      <c r="D17066" s="87"/>
      <c r="E17066" s="87"/>
      <c r="F17066" s="87"/>
      <c r="G17066" s="87"/>
    </row>
    <row r="17067">
      <c r="A17067" s="86" t="str">
        <f>IFERROR(__xludf.DUMMYFUNCTION("""COMPUTED_VALUE"""),"")</f>
        <v/>
      </c>
      <c r="B17067" s="87"/>
      <c r="C17067" s="87"/>
      <c r="D17067" s="87"/>
      <c r="E17067" s="87"/>
      <c r="F17067" s="87"/>
      <c r="G17067" s="87"/>
    </row>
    <row r="17068">
      <c r="A17068" s="86" t="str">
        <f>IFERROR(__xludf.DUMMYFUNCTION("""COMPUTED_VALUE"""),"")</f>
        <v/>
      </c>
      <c r="B17068" s="87"/>
      <c r="C17068" s="87"/>
      <c r="D17068" s="87"/>
      <c r="E17068" s="87"/>
      <c r="F17068" s="87"/>
      <c r="G17068" s="87"/>
    </row>
    <row r="17069">
      <c r="A17069" s="86" t="str">
        <f>IFERROR(__xludf.DUMMYFUNCTION("""COMPUTED_VALUE"""),"")</f>
        <v/>
      </c>
      <c r="B17069" s="87"/>
      <c r="C17069" s="87"/>
      <c r="D17069" s="87"/>
      <c r="E17069" s="87"/>
      <c r="F17069" s="87"/>
      <c r="G17069" s="87"/>
    </row>
    <row r="17070">
      <c r="A17070" s="86" t="str">
        <f>IFERROR(__xludf.DUMMYFUNCTION("""COMPUTED_VALUE"""),"")</f>
        <v/>
      </c>
      <c r="B17070" s="87"/>
      <c r="C17070" s="87"/>
      <c r="D17070" s="87"/>
      <c r="E17070" s="87"/>
      <c r="F17070" s="87"/>
      <c r="G17070" s="87"/>
    </row>
    <row r="17071">
      <c r="A17071" s="86" t="str">
        <f>IFERROR(__xludf.DUMMYFUNCTION("""COMPUTED_VALUE"""),"")</f>
        <v/>
      </c>
      <c r="B17071" s="87"/>
      <c r="C17071" s="87"/>
      <c r="D17071" s="87"/>
      <c r="E17071" s="87"/>
      <c r="F17071" s="87"/>
      <c r="G17071" s="87"/>
    </row>
    <row r="17072">
      <c r="A17072" s="86" t="str">
        <f>IFERROR(__xludf.DUMMYFUNCTION("""COMPUTED_VALUE"""),"")</f>
        <v/>
      </c>
      <c r="B17072" s="87"/>
      <c r="C17072" s="87"/>
      <c r="D17072" s="87"/>
      <c r="E17072" s="87"/>
      <c r="F17072" s="87"/>
      <c r="G17072" s="87"/>
    </row>
    <row r="17073">
      <c r="A17073" s="86" t="str">
        <f>IFERROR(__xludf.DUMMYFUNCTION("""COMPUTED_VALUE"""),"")</f>
        <v/>
      </c>
      <c r="B17073" s="87"/>
      <c r="C17073" s="87"/>
      <c r="D17073" s="87"/>
      <c r="E17073" s="87"/>
      <c r="F17073" s="87"/>
      <c r="G17073" s="87"/>
    </row>
    <row r="17074">
      <c r="A17074" s="86" t="str">
        <f>IFERROR(__xludf.DUMMYFUNCTION("""COMPUTED_VALUE"""),"")</f>
        <v/>
      </c>
      <c r="B17074" s="87"/>
      <c r="C17074" s="87"/>
      <c r="D17074" s="87"/>
      <c r="E17074" s="87"/>
      <c r="F17074" s="87"/>
      <c r="G17074" s="87"/>
    </row>
    <row r="17075">
      <c r="A17075" s="86" t="str">
        <f>IFERROR(__xludf.DUMMYFUNCTION("""COMPUTED_VALUE"""),"")</f>
        <v/>
      </c>
      <c r="B17075" s="87"/>
      <c r="C17075" s="87"/>
      <c r="D17075" s="87"/>
      <c r="E17075" s="87"/>
      <c r="F17075" s="87"/>
      <c r="G17075" s="87"/>
    </row>
    <row r="17076">
      <c r="A17076" s="86" t="str">
        <f>IFERROR(__xludf.DUMMYFUNCTION("""COMPUTED_VALUE"""),"")</f>
        <v/>
      </c>
      <c r="B17076" s="87"/>
      <c r="C17076" s="87"/>
      <c r="D17076" s="87"/>
      <c r="E17076" s="87"/>
      <c r="F17076" s="87"/>
      <c r="G17076" s="87"/>
    </row>
    <row r="17077">
      <c r="A17077" s="86" t="str">
        <f>IFERROR(__xludf.DUMMYFUNCTION("""COMPUTED_VALUE"""),"")</f>
        <v/>
      </c>
      <c r="B17077" s="87"/>
      <c r="C17077" s="87"/>
      <c r="D17077" s="87"/>
      <c r="E17077" s="87"/>
      <c r="F17077" s="87"/>
      <c r="G17077" s="87"/>
    </row>
    <row r="17078">
      <c r="A17078" s="86" t="str">
        <f>IFERROR(__xludf.DUMMYFUNCTION("""COMPUTED_VALUE"""),"")</f>
        <v/>
      </c>
      <c r="B17078" s="87"/>
      <c r="C17078" s="87"/>
      <c r="D17078" s="87"/>
      <c r="E17078" s="87"/>
      <c r="F17078" s="87"/>
      <c r="G17078" s="87"/>
    </row>
    <row r="17079">
      <c r="A17079" s="86" t="str">
        <f>IFERROR(__xludf.DUMMYFUNCTION("""COMPUTED_VALUE"""),"")</f>
        <v/>
      </c>
      <c r="B17079" s="87"/>
      <c r="C17079" s="87"/>
      <c r="D17079" s="87"/>
      <c r="E17079" s="87"/>
      <c r="F17079" s="87"/>
      <c r="G17079" s="87"/>
    </row>
    <row r="17080">
      <c r="A17080" s="86" t="str">
        <f>IFERROR(__xludf.DUMMYFUNCTION("""COMPUTED_VALUE"""),"")</f>
        <v/>
      </c>
      <c r="B17080" s="87"/>
      <c r="C17080" s="87"/>
      <c r="D17080" s="87"/>
      <c r="E17080" s="87"/>
      <c r="F17080" s="87"/>
      <c r="G17080" s="87"/>
    </row>
    <row r="17081">
      <c r="A17081" s="86" t="str">
        <f>IFERROR(__xludf.DUMMYFUNCTION("""COMPUTED_VALUE"""),"")</f>
        <v/>
      </c>
      <c r="B17081" s="87"/>
      <c r="C17081" s="87"/>
      <c r="D17081" s="87"/>
      <c r="E17081" s="87"/>
      <c r="F17081" s="87"/>
      <c r="G17081" s="87"/>
    </row>
    <row r="17082">
      <c r="A17082" s="86" t="str">
        <f>IFERROR(__xludf.DUMMYFUNCTION("""COMPUTED_VALUE"""),"")</f>
        <v/>
      </c>
      <c r="B17082" s="87"/>
      <c r="C17082" s="87"/>
      <c r="D17082" s="87"/>
      <c r="E17082" s="87"/>
      <c r="F17082" s="87"/>
      <c r="G17082" s="87"/>
    </row>
    <row r="17083">
      <c r="A17083" s="86" t="str">
        <f>IFERROR(__xludf.DUMMYFUNCTION("""COMPUTED_VALUE"""),"")</f>
        <v/>
      </c>
      <c r="B17083" s="87"/>
      <c r="C17083" s="87"/>
      <c r="D17083" s="87"/>
      <c r="E17083" s="87"/>
      <c r="F17083" s="87"/>
      <c r="G17083" s="87"/>
    </row>
    <row r="17084">
      <c r="A17084" s="86" t="str">
        <f>IFERROR(__xludf.DUMMYFUNCTION("""COMPUTED_VALUE"""),"")</f>
        <v/>
      </c>
      <c r="B17084" s="87"/>
      <c r="C17084" s="87"/>
      <c r="D17084" s="87"/>
      <c r="E17084" s="87"/>
      <c r="F17084" s="87"/>
      <c r="G17084" s="87"/>
    </row>
    <row r="17085">
      <c r="A17085" s="86" t="str">
        <f>IFERROR(__xludf.DUMMYFUNCTION("""COMPUTED_VALUE"""),"")</f>
        <v/>
      </c>
      <c r="B17085" s="87"/>
      <c r="C17085" s="87"/>
      <c r="D17085" s="87"/>
      <c r="E17085" s="87"/>
      <c r="F17085" s="87"/>
      <c r="G17085" s="87"/>
    </row>
    <row r="17086">
      <c r="A17086" s="86" t="str">
        <f>IFERROR(__xludf.DUMMYFUNCTION("""COMPUTED_VALUE"""),"")</f>
        <v/>
      </c>
      <c r="B17086" s="87"/>
      <c r="C17086" s="87"/>
      <c r="D17086" s="87"/>
      <c r="E17086" s="87"/>
      <c r="F17086" s="87"/>
      <c r="G17086" s="87"/>
    </row>
    <row r="17087">
      <c r="A17087" s="86" t="str">
        <f>IFERROR(__xludf.DUMMYFUNCTION("""COMPUTED_VALUE"""),"")</f>
        <v/>
      </c>
      <c r="B17087" s="87"/>
      <c r="C17087" s="87"/>
      <c r="D17087" s="87"/>
      <c r="E17087" s="87"/>
      <c r="F17087" s="87"/>
      <c r="G17087" s="87"/>
    </row>
    <row r="17088">
      <c r="A17088" s="86" t="str">
        <f>IFERROR(__xludf.DUMMYFUNCTION("""COMPUTED_VALUE"""),"")</f>
        <v/>
      </c>
      <c r="B17088" s="87"/>
      <c r="C17088" s="87"/>
      <c r="D17088" s="87"/>
      <c r="E17088" s="87"/>
      <c r="F17088" s="87"/>
      <c r="G17088" s="87"/>
    </row>
    <row r="17089">
      <c r="A17089" s="86" t="str">
        <f>IFERROR(__xludf.DUMMYFUNCTION("""COMPUTED_VALUE"""),"")</f>
        <v/>
      </c>
      <c r="B17089" s="87"/>
      <c r="C17089" s="87"/>
      <c r="D17089" s="87"/>
      <c r="E17089" s="87"/>
      <c r="F17089" s="87"/>
      <c r="G17089" s="87"/>
    </row>
    <row r="17090">
      <c r="A17090" s="86" t="str">
        <f>IFERROR(__xludf.DUMMYFUNCTION("""COMPUTED_VALUE"""),"")</f>
        <v/>
      </c>
      <c r="B17090" s="87"/>
      <c r="C17090" s="87"/>
      <c r="D17090" s="87"/>
      <c r="E17090" s="87"/>
      <c r="F17090" s="87"/>
      <c r="G17090" s="87"/>
    </row>
    <row r="17091">
      <c r="A17091" s="86" t="str">
        <f>IFERROR(__xludf.DUMMYFUNCTION("""COMPUTED_VALUE"""),"")</f>
        <v/>
      </c>
      <c r="B17091" s="87"/>
      <c r="C17091" s="87"/>
      <c r="D17091" s="87"/>
      <c r="E17091" s="87"/>
      <c r="F17091" s="87"/>
      <c r="G17091" s="87"/>
    </row>
    <row r="17092">
      <c r="A17092" s="86" t="str">
        <f>IFERROR(__xludf.DUMMYFUNCTION("""COMPUTED_VALUE"""),"")</f>
        <v/>
      </c>
      <c r="B17092" s="87"/>
      <c r="C17092" s="87"/>
      <c r="D17092" s="87"/>
      <c r="E17092" s="87"/>
      <c r="F17092" s="87"/>
      <c r="G17092" s="87"/>
    </row>
    <row r="17093">
      <c r="A17093" s="86" t="str">
        <f>IFERROR(__xludf.DUMMYFUNCTION("""COMPUTED_VALUE"""),"")</f>
        <v/>
      </c>
      <c r="B17093" s="87"/>
      <c r="C17093" s="87"/>
      <c r="D17093" s="87"/>
      <c r="E17093" s="87"/>
      <c r="F17093" s="87"/>
      <c r="G17093" s="87"/>
    </row>
    <row r="17094">
      <c r="A17094" s="86" t="str">
        <f>IFERROR(__xludf.DUMMYFUNCTION("""COMPUTED_VALUE"""),"")</f>
        <v/>
      </c>
      <c r="B17094" s="87"/>
      <c r="C17094" s="87"/>
      <c r="D17094" s="87"/>
      <c r="E17094" s="87"/>
      <c r="F17094" s="87"/>
      <c r="G17094" s="87"/>
    </row>
    <row r="17095">
      <c r="A17095" s="86" t="str">
        <f>IFERROR(__xludf.DUMMYFUNCTION("""COMPUTED_VALUE"""),"")</f>
        <v/>
      </c>
      <c r="B17095" s="87"/>
      <c r="C17095" s="87"/>
      <c r="D17095" s="87"/>
      <c r="E17095" s="87"/>
      <c r="F17095" s="87"/>
      <c r="G17095" s="87"/>
    </row>
    <row r="17096">
      <c r="A17096" s="86" t="str">
        <f>IFERROR(__xludf.DUMMYFUNCTION("""COMPUTED_VALUE"""),"")</f>
        <v/>
      </c>
      <c r="B17096" s="87"/>
      <c r="C17096" s="87"/>
      <c r="D17096" s="87"/>
      <c r="E17096" s="87"/>
      <c r="F17096" s="87"/>
      <c r="G17096" s="87"/>
    </row>
    <row r="17097">
      <c r="A17097" s="86" t="str">
        <f>IFERROR(__xludf.DUMMYFUNCTION("""COMPUTED_VALUE"""),"")</f>
        <v/>
      </c>
      <c r="B17097" s="87"/>
      <c r="C17097" s="87"/>
      <c r="D17097" s="87"/>
      <c r="E17097" s="87"/>
      <c r="F17097" s="87"/>
      <c r="G17097" s="87"/>
    </row>
    <row r="17098">
      <c r="A17098" s="86" t="str">
        <f>IFERROR(__xludf.DUMMYFUNCTION("""COMPUTED_VALUE"""),"")</f>
        <v/>
      </c>
      <c r="B17098" s="87"/>
      <c r="C17098" s="87"/>
      <c r="D17098" s="87"/>
      <c r="E17098" s="87"/>
      <c r="F17098" s="87"/>
      <c r="G17098" s="87"/>
    </row>
    <row r="17099">
      <c r="A17099" s="86" t="str">
        <f>IFERROR(__xludf.DUMMYFUNCTION("""COMPUTED_VALUE"""),"")</f>
        <v/>
      </c>
      <c r="B17099" s="87"/>
      <c r="C17099" s="87"/>
      <c r="D17099" s="87"/>
      <c r="E17099" s="87"/>
      <c r="F17099" s="87"/>
      <c r="G17099" s="87"/>
    </row>
    <row r="17100">
      <c r="A17100" s="86" t="str">
        <f>IFERROR(__xludf.DUMMYFUNCTION("""COMPUTED_VALUE"""),"")</f>
        <v/>
      </c>
      <c r="B17100" s="87"/>
      <c r="C17100" s="87"/>
      <c r="D17100" s="87"/>
      <c r="E17100" s="87"/>
      <c r="F17100" s="87"/>
      <c r="G17100" s="87"/>
    </row>
    <row r="17101">
      <c r="A17101" s="86" t="str">
        <f>IFERROR(__xludf.DUMMYFUNCTION("""COMPUTED_VALUE"""),"")</f>
        <v/>
      </c>
      <c r="B17101" s="87"/>
      <c r="C17101" s="87"/>
      <c r="D17101" s="87"/>
      <c r="E17101" s="87"/>
      <c r="F17101" s="87"/>
      <c r="G17101" s="87"/>
    </row>
    <row r="17102">
      <c r="A17102" s="86" t="str">
        <f>IFERROR(__xludf.DUMMYFUNCTION("""COMPUTED_VALUE"""),"")</f>
        <v/>
      </c>
      <c r="B17102" s="87"/>
      <c r="C17102" s="87"/>
      <c r="D17102" s="87"/>
      <c r="E17102" s="87"/>
      <c r="F17102" s="87"/>
      <c r="G17102" s="87"/>
    </row>
    <row r="17103">
      <c r="A17103" s="86" t="str">
        <f>IFERROR(__xludf.DUMMYFUNCTION("""COMPUTED_VALUE"""),"")</f>
        <v/>
      </c>
      <c r="B17103" s="87"/>
      <c r="C17103" s="87"/>
      <c r="D17103" s="87"/>
      <c r="E17103" s="87"/>
      <c r="F17103" s="87"/>
      <c r="G17103" s="87"/>
    </row>
    <row r="17104">
      <c r="A17104" s="86" t="str">
        <f>IFERROR(__xludf.DUMMYFUNCTION("""COMPUTED_VALUE"""),"")</f>
        <v/>
      </c>
      <c r="B17104" s="87"/>
      <c r="C17104" s="87"/>
      <c r="D17104" s="87"/>
      <c r="E17104" s="87"/>
      <c r="F17104" s="87"/>
      <c r="G17104" s="87"/>
    </row>
    <row r="17105">
      <c r="A17105" s="86" t="str">
        <f>IFERROR(__xludf.DUMMYFUNCTION("""COMPUTED_VALUE"""),"")</f>
        <v/>
      </c>
      <c r="B17105" s="87"/>
      <c r="C17105" s="87"/>
      <c r="D17105" s="87"/>
      <c r="E17105" s="87"/>
      <c r="F17105" s="87"/>
      <c r="G17105" s="87"/>
    </row>
    <row r="17106">
      <c r="A17106" s="86" t="str">
        <f>IFERROR(__xludf.DUMMYFUNCTION("""COMPUTED_VALUE"""),"")</f>
        <v/>
      </c>
      <c r="B17106" s="87"/>
      <c r="C17106" s="87"/>
      <c r="D17106" s="87"/>
      <c r="E17106" s="87"/>
      <c r="F17106" s="87"/>
      <c r="G17106" s="87"/>
    </row>
    <row r="17107">
      <c r="A17107" s="86" t="str">
        <f>IFERROR(__xludf.DUMMYFUNCTION("""COMPUTED_VALUE"""),"")</f>
        <v/>
      </c>
      <c r="B17107" s="87"/>
      <c r="C17107" s="87"/>
      <c r="D17107" s="87"/>
      <c r="E17107" s="87"/>
      <c r="F17107" s="87"/>
      <c r="G17107" s="87"/>
    </row>
    <row r="17108">
      <c r="A17108" s="86" t="str">
        <f>IFERROR(__xludf.DUMMYFUNCTION("""COMPUTED_VALUE"""),"")</f>
        <v/>
      </c>
      <c r="B17108" s="87"/>
      <c r="C17108" s="87"/>
      <c r="D17108" s="87"/>
      <c r="E17108" s="87"/>
      <c r="F17108" s="87"/>
      <c r="G17108" s="87"/>
    </row>
    <row r="17109">
      <c r="A17109" s="86" t="str">
        <f>IFERROR(__xludf.DUMMYFUNCTION("""COMPUTED_VALUE"""),"")</f>
        <v/>
      </c>
      <c r="B17109" s="87"/>
      <c r="C17109" s="87"/>
      <c r="D17109" s="87"/>
      <c r="E17109" s="87"/>
      <c r="F17109" s="87"/>
      <c r="G17109" s="87"/>
    </row>
    <row r="17110">
      <c r="A17110" s="86" t="str">
        <f>IFERROR(__xludf.DUMMYFUNCTION("""COMPUTED_VALUE"""),"")</f>
        <v/>
      </c>
      <c r="B17110" s="87"/>
      <c r="C17110" s="87"/>
      <c r="D17110" s="87"/>
      <c r="E17110" s="87"/>
      <c r="F17110" s="87"/>
      <c r="G17110" s="87"/>
    </row>
    <row r="17111">
      <c r="A17111" s="86" t="str">
        <f>IFERROR(__xludf.DUMMYFUNCTION("""COMPUTED_VALUE"""),"")</f>
        <v/>
      </c>
      <c r="B17111" s="87"/>
      <c r="C17111" s="87"/>
      <c r="D17111" s="87"/>
      <c r="E17111" s="87"/>
      <c r="F17111" s="87"/>
      <c r="G17111" s="87"/>
    </row>
    <row r="17112">
      <c r="A17112" s="86" t="str">
        <f>IFERROR(__xludf.DUMMYFUNCTION("""COMPUTED_VALUE"""),"")</f>
        <v/>
      </c>
      <c r="B17112" s="87"/>
      <c r="C17112" s="87"/>
      <c r="D17112" s="87"/>
      <c r="E17112" s="87"/>
      <c r="F17112" s="87"/>
      <c r="G17112" s="87"/>
    </row>
    <row r="17113">
      <c r="A17113" s="86" t="str">
        <f>IFERROR(__xludf.DUMMYFUNCTION("""COMPUTED_VALUE"""),"")</f>
        <v/>
      </c>
      <c r="B17113" s="87"/>
      <c r="C17113" s="87"/>
      <c r="D17113" s="87"/>
      <c r="E17113" s="87"/>
      <c r="F17113" s="87"/>
      <c r="G17113" s="87"/>
    </row>
    <row r="17114">
      <c r="A17114" s="86" t="str">
        <f>IFERROR(__xludf.DUMMYFUNCTION("""COMPUTED_VALUE"""),"")</f>
        <v/>
      </c>
      <c r="B17114" s="87"/>
      <c r="C17114" s="87"/>
      <c r="D17114" s="87"/>
      <c r="E17114" s="87"/>
      <c r="F17114" s="87"/>
      <c r="G17114" s="87"/>
    </row>
    <row r="17115">
      <c r="A17115" s="86" t="str">
        <f>IFERROR(__xludf.DUMMYFUNCTION("""COMPUTED_VALUE"""),"")</f>
        <v/>
      </c>
      <c r="B17115" s="87"/>
      <c r="C17115" s="87"/>
      <c r="D17115" s="87"/>
      <c r="E17115" s="87"/>
      <c r="F17115" s="87"/>
      <c r="G17115" s="87"/>
    </row>
    <row r="17116">
      <c r="A17116" s="86" t="str">
        <f>IFERROR(__xludf.DUMMYFUNCTION("""COMPUTED_VALUE"""),"")</f>
        <v/>
      </c>
      <c r="B17116" s="87"/>
      <c r="C17116" s="87"/>
      <c r="D17116" s="87"/>
      <c r="E17116" s="87"/>
      <c r="F17116" s="87"/>
      <c r="G17116" s="87"/>
    </row>
    <row r="17117">
      <c r="A17117" s="86" t="str">
        <f>IFERROR(__xludf.DUMMYFUNCTION("""COMPUTED_VALUE"""),"")</f>
        <v/>
      </c>
      <c r="B17117" s="87"/>
      <c r="C17117" s="87"/>
      <c r="D17117" s="87"/>
      <c r="E17117" s="87"/>
      <c r="F17117" s="87"/>
      <c r="G17117" s="87"/>
    </row>
    <row r="17118">
      <c r="A17118" s="86" t="str">
        <f>IFERROR(__xludf.DUMMYFUNCTION("""COMPUTED_VALUE"""),"")</f>
        <v/>
      </c>
      <c r="B17118" s="87"/>
      <c r="C17118" s="87"/>
      <c r="D17118" s="87"/>
      <c r="E17118" s="87"/>
      <c r="F17118" s="87"/>
      <c r="G17118" s="87"/>
    </row>
    <row r="17119">
      <c r="A17119" s="86" t="str">
        <f>IFERROR(__xludf.DUMMYFUNCTION("""COMPUTED_VALUE"""),"")</f>
        <v/>
      </c>
      <c r="B17119" s="87"/>
      <c r="C17119" s="87"/>
      <c r="D17119" s="87"/>
      <c r="E17119" s="87"/>
      <c r="F17119" s="87"/>
      <c r="G17119" s="87"/>
    </row>
    <row r="17120">
      <c r="A17120" s="86" t="str">
        <f>IFERROR(__xludf.DUMMYFUNCTION("""COMPUTED_VALUE"""),"")</f>
        <v/>
      </c>
      <c r="B17120" s="87"/>
      <c r="C17120" s="87"/>
      <c r="D17120" s="87"/>
      <c r="E17120" s="87"/>
      <c r="F17120" s="87"/>
      <c r="G17120" s="87"/>
    </row>
    <row r="17121">
      <c r="A17121" s="86" t="str">
        <f>IFERROR(__xludf.DUMMYFUNCTION("""COMPUTED_VALUE"""),"")</f>
        <v/>
      </c>
      <c r="B17121" s="87"/>
      <c r="C17121" s="87"/>
      <c r="D17121" s="87"/>
      <c r="E17121" s="87"/>
      <c r="F17121" s="87"/>
      <c r="G17121" s="87"/>
    </row>
    <row r="17122">
      <c r="A17122" s="86" t="str">
        <f>IFERROR(__xludf.DUMMYFUNCTION("""COMPUTED_VALUE"""),"")</f>
        <v/>
      </c>
      <c r="B17122" s="87"/>
      <c r="C17122" s="87"/>
      <c r="D17122" s="87"/>
      <c r="E17122" s="87"/>
      <c r="F17122" s="87"/>
      <c r="G17122" s="87"/>
    </row>
    <row r="17123">
      <c r="A17123" s="86" t="str">
        <f>IFERROR(__xludf.DUMMYFUNCTION("""COMPUTED_VALUE"""),"")</f>
        <v/>
      </c>
      <c r="B17123" s="87"/>
      <c r="C17123" s="87"/>
      <c r="D17123" s="87"/>
      <c r="E17123" s="87"/>
      <c r="F17123" s="87"/>
      <c r="G17123" s="87"/>
    </row>
    <row r="17124">
      <c r="A17124" s="86" t="str">
        <f>IFERROR(__xludf.DUMMYFUNCTION("""COMPUTED_VALUE"""),"")</f>
        <v/>
      </c>
      <c r="B17124" s="87"/>
      <c r="C17124" s="87"/>
      <c r="D17124" s="87"/>
      <c r="E17124" s="87"/>
      <c r="F17124" s="87"/>
      <c r="G17124" s="87"/>
    </row>
    <row r="17125">
      <c r="A17125" s="86" t="str">
        <f>IFERROR(__xludf.DUMMYFUNCTION("""COMPUTED_VALUE"""),"")</f>
        <v/>
      </c>
      <c r="B17125" s="87"/>
      <c r="C17125" s="87"/>
      <c r="D17125" s="87"/>
      <c r="E17125" s="87"/>
      <c r="F17125" s="87"/>
      <c r="G17125" s="87"/>
    </row>
    <row r="17126">
      <c r="A17126" s="86" t="str">
        <f>IFERROR(__xludf.DUMMYFUNCTION("""COMPUTED_VALUE"""),"")</f>
        <v/>
      </c>
      <c r="B17126" s="87"/>
      <c r="C17126" s="87"/>
      <c r="D17126" s="87"/>
      <c r="E17126" s="87"/>
      <c r="F17126" s="87"/>
      <c r="G17126" s="87"/>
    </row>
    <row r="17127">
      <c r="A17127" s="86" t="str">
        <f>IFERROR(__xludf.DUMMYFUNCTION("""COMPUTED_VALUE"""),"")</f>
        <v/>
      </c>
      <c r="B17127" s="87"/>
      <c r="C17127" s="87"/>
      <c r="D17127" s="87"/>
      <c r="E17127" s="87"/>
      <c r="F17127" s="87"/>
      <c r="G17127" s="87"/>
    </row>
    <row r="17128">
      <c r="A17128" s="86" t="str">
        <f>IFERROR(__xludf.DUMMYFUNCTION("""COMPUTED_VALUE"""),"")</f>
        <v/>
      </c>
      <c r="B17128" s="87"/>
      <c r="C17128" s="87"/>
      <c r="D17128" s="87"/>
      <c r="E17128" s="87"/>
      <c r="F17128" s="87"/>
      <c r="G17128" s="87"/>
    </row>
    <row r="17129">
      <c r="A17129" s="86" t="str">
        <f>IFERROR(__xludf.DUMMYFUNCTION("""COMPUTED_VALUE"""),"")</f>
        <v/>
      </c>
      <c r="B17129" s="87"/>
      <c r="C17129" s="87"/>
      <c r="D17129" s="87"/>
      <c r="E17129" s="87"/>
      <c r="F17129" s="87"/>
      <c r="G17129" s="87"/>
    </row>
    <row r="17130">
      <c r="A17130" s="86" t="str">
        <f>IFERROR(__xludf.DUMMYFUNCTION("""COMPUTED_VALUE"""),"")</f>
        <v/>
      </c>
      <c r="B17130" s="87"/>
      <c r="C17130" s="87"/>
      <c r="D17130" s="87"/>
      <c r="E17130" s="87"/>
      <c r="F17130" s="87"/>
      <c r="G17130" s="87"/>
    </row>
    <row r="17131">
      <c r="A17131" s="86" t="str">
        <f>IFERROR(__xludf.DUMMYFUNCTION("""COMPUTED_VALUE"""),"")</f>
        <v/>
      </c>
      <c r="B17131" s="87"/>
      <c r="C17131" s="87"/>
      <c r="D17131" s="87"/>
      <c r="E17131" s="87"/>
      <c r="F17131" s="87"/>
      <c r="G17131" s="87"/>
    </row>
    <row r="17132">
      <c r="A17132" s="86" t="str">
        <f>IFERROR(__xludf.DUMMYFUNCTION("""COMPUTED_VALUE"""),"")</f>
        <v/>
      </c>
      <c r="B17132" s="87"/>
      <c r="C17132" s="87"/>
      <c r="D17132" s="87"/>
      <c r="E17132" s="87"/>
      <c r="F17132" s="87"/>
      <c r="G17132" s="87"/>
    </row>
    <row r="17133">
      <c r="A17133" s="86" t="str">
        <f>IFERROR(__xludf.DUMMYFUNCTION("""COMPUTED_VALUE"""),"")</f>
        <v/>
      </c>
      <c r="B17133" s="87"/>
      <c r="C17133" s="87"/>
      <c r="D17133" s="87"/>
      <c r="E17133" s="87"/>
      <c r="F17133" s="87"/>
      <c r="G17133" s="87"/>
    </row>
    <row r="17134">
      <c r="A17134" s="86" t="str">
        <f>IFERROR(__xludf.DUMMYFUNCTION("""COMPUTED_VALUE"""),"")</f>
        <v/>
      </c>
      <c r="B17134" s="87"/>
      <c r="C17134" s="87"/>
      <c r="D17134" s="87"/>
      <c r="E17134" s="87"/>
      <c r="F17134" s="87"/>
      <c r="G17134" s="87"/>
    </row>
    <row r="17135">
      <c r="A17135" s="86" t="str">
        <f>IFERROR(__xludf.DUMMYFUNCTION("""COMPUTED_VALUE"""),"")</f>
        <v/>
      </c>
      <c r="B17135" s="87"/>
      <c r="C17135" s="87"/>
      <c r="D17135" s="87"/>
      <c r="E17135" s="87"/>
      <c r="F17135" s="87"/>
      <c r="G17135" s="87"/>
    </row>
    <row r="17136">
      <c r="A17136" s="86" t="str">
        <f>IFERROR(__xludf.DUMMYFUNCTION("""COMPUTED_VALUE"""),"")</f>
        <v/>
      </c>
      <c r="B17136" s="87"/>
      <c r="C17136" s="87"/>
      <c r="D17136" s="87"/>
      <c r="E17136" s="87"/>
      <c r="F17136" s="87"/>
      <c r="G17136" s="87"/>
    </row>
    <row r="17137">
      <c r="A17137" s="86" t="str">
        <f>IFERROR(__xludf.DUMMYFUNCTION("""COMPUTED_VALUE"""),"")</f>
        <v/>
      </c>
      <c r="B17137" s="87"/>
      <c r="C17137" s="87"/>
      <c r="D17137" s="87"/>
      <c r="E17137" s="87"/>
      <c r="F17137" s="87"/>
      <c r="G17137" s="87"/>
    </row>
    <row r="17138">
      <c r="A17138" s="86" t="str">
        <f>IFERROR(__xludf.DUMMYFUNCTION("""COMPUTED_VALUE"""),"")</f>
        <v/>
      </c>
      <c r="B17138" s="87"/>
      <c r="C17138" s="87"/>
      <c r="D17138" s="87"/>
      <c r="E17138" s="87"/>
      <c r="F17138" s="87"/>
      <c r="G17138" s="87"/>
    </row>
    <row r="17139">
      <c r="A17139" s="86" t="str">
        <f>IFERROR(__xludf.DUMMYFUNCTION("""COMPUTED_VALUE"""),"")</f>
        <v/>
      </c>
      <c r="B17139" s="87"/>
      <c r="C17139" s="87"/>
      <c r="D17139" s="87"/>
      <c r="E17139" s="87"/>
      <c r="F17139" s="87"/>
      <c r="G17139" s="87"/>
    </row>
    <row r="17140">
      <c r="A17140" s="86" t="str">
        <f>IFERROR(__xludf.DUMMYFUNCTION("""COMPUTED_VALUE"""),"")</f>
        <v/>
      </c>
      <c r="B17140" s="87"/>
      <c r="C17140" s="87"/>
      <c r="D17140" s="87"/>
      <c r="E17140" s="87"/>
      <c r="F17140" s="87"/>
      <c r="G17140" s="87"/>
    </row>
    <row r="17141">
      <c r="A17141" s="86" t="str">
        <f>IFERROR(__xludf.DUMMYFUNCTION("""COMPUTED_VALUE"""),"")</f>
        <v/>
      </c>
      <c r="B17141" s="87"/>
      <c r="C17141" s="87"/>
      <c r="D17141" s="87"/>
      <c r="E17141" s="87"/>
      <c r="F17141" s="87"/>
      <c r="G17141" s="87"/>
    </row>
    <row r="17142">
      <c r="A17142" s="86" t="str">
        <f>IFERROR(__xludf.DUMMYFUNCTION("""COMPUTED_VALUE"""),"")</f>
        <v/>
      </c>
      <c r="B17142" s="87"/>
      <c r="C17142" s="87"/>
      <c r="D17142" s="87"/>
      <c r="E17142" s="87"/>
      <c r="F17142" s="87"/>
      <c r="G17142" s="87"/>
    </row>
    <row r="17143">
      <c r="A17143" s="86" t="str">
        <f>IFERROR(__xludf.DUMMYFUNCTION("""COMPUTED_VALUE"""),"")</f>
        <v/>
      </c>
      <c r="B17143" s="87"/>
      <c r="C17143" s="87"/>
      <c r="D17143" s="87"/>
      <c r="E17143" s="87"/>
      <c r="F17143" s="87"/>
      <c r="G17143" s="87"/>
    </row>
    <row r="17144">
      <c r="A17144" s="86" t="str">
        <f>IFERROR(__xludf.DUMMYFUNCTION("""COMPUTED_VALUE"""),"")</f>
        <v/>
      </c>
      <c r="B17144" s="87"/>
      <c r="C17144" s="87"/>
      <c r="D17144" s="87"/>
      <c r="E17144" s="87"/>
      <c r="F17144" s="87"/>
      <c r="G17144" s="87"/>
    </row>
    <row r="17145">
      <c r="A17145" s="86" t="str">
        <f>IFERROR(__xludf.DUMMYFUNCTION("""COMPUTED_VALUE"""),"")</f>
        <v/>
      </c>
      <c r="B17145" s="87"/>
      <c r="C17145" s="87"/>
      <c r="D17145" s="87"/>
      <c r="E17145" s="87"/>
      <c r="F17145" s="87"/>
      <c r="G17145" s="87"/>
    </row>
    <row r="17146">
      <c r="A17146" s="86" t="str">
        <f>IFERROR(__xludf.DUMMYFUNCTION("""COMPUTED_VALUE"""),"")</f>
        <v/>
      </c>
      <c r="B17146" s="87"/>
      <c r="C17146" s="87"/>
      <c r="D17146" s="87"/>
      <c r="E17146" s="87"/>
      <c r="F17146" s="87"/>
      <c r="G17146" s="87"/>
    </row>
    <row r="17147">
      <c r="A17147" s="86" t="str">
        <f>IFERROR(__xludf.DUMMYFUNCTION("""COMPUTED_VALUE"""),"")</f>
        <v/>
      </c>
      <c r="B17147" s="87"/>
      <c r="C17147" s="87"/>
      <c r="D17147" s="87"/>
      <c r="E17147" s="87"/>
      <c r="F17147" s="87"/>
      <c r="G17147" s="87"/>
    </row>
    <row r="17148">
      <c r="A17148" s="86" t="str">
        <f>IFERROR(__xludf.DUMMYFUNCTION("""COMPUTED_VALUE"""),"")</f>
        <v/>
      </c>
      <c r="B17148" s="87"/>
      <c r="C17148" s="87"/>
      <c r="D17148" s="87"/>
      <c r="E17148" s="87"/>
      <c r="F17148" s="87"/>
      <c r="G17148" s="87"/>
    </row>
    <row r="17149">
      <c r="A17149" s="86" t="str">
        <f>IFERROR(__xludf.DUMMYFUNCTION("""COMPUTED_VALUE"""),"")</f>
        <v/>
      </c>
      <c r="B17149" s="87"/>
      <c r="C17149" s="87"/>
      <c r="D17149" s="87"/>
      <c r="E17149" s="87"/>
      <c r="F17149" s="87"/>
      <c r="G17149" s="87"/>
    </row>
    <row r="17150">
      <c r="A17150" s="86" t="str">
        <f>IFERROR(__xludf.DUMMYFUNCTION("""COMPUTED_VALUE"""),"")</f>
        <v/>
      </c>
      <c r="B17150" s="87"/>
      <c r="C17150" s="87"/>
      <c r="D17150" s="87"/>
      <c r="E17150" s="87"/>
      <c r="F17150" s="87"/>
      <c r="G17150" s="87"/>
    </row>
    <row r="17151">
      <c r="A17151" s="86" t="str">
        <f>IFERROR(__xludf.DUMMYFUNCTION("""COMPUTED_VALUE"""),"")</f>
        <v/>
      </c>
      <c r="B17151" s="87"/>
      <c r="C17151" s="87"/>
      <c r="D17151" s="87"/>
      <c r="E17151" s="87"/>
      <c r="F17151" s="87"/>
      <c r="G17151" s="87"/>
    </row>
    <row r="17152">
      <c r="A17152" s="86" t="str">
        <f>IFERROR(__xludf.DUMMYFUNCTION("""COMPUTED_VALUE"""),"")</f>
        <v/>
      </c>
      <c r="B17152" s="87"/>
      <c r="C17152" s="87"/>
      <c r="D17152" s="87"/>
      <c r="E17152" s="87"/>
      <c r="F17152" s="87"/>
      <c r="G17152" s="87"/>
    </row>
    <row r="17153">
      <c r="A17153" s="86" t="str">
        <f>IFERROR(__xludf.DUMMYFUNCTION("""COMPUTED_VALUE"""),"")</f>
        <v/>
      </c>
      <c r="B17153" s="87"/>
      <c r="C17153" s="87"/>
      <c r="D17153" s="87"/>
      <c r="E17153" s="87"/>
      <c r="F17153" s="87"/>
      <c r="G17153" s="87"/>
    </row>
    <row r="17154">
      <c r="A17154" s="86" t="str">
        <f>IFERROR(__xludf.DUMMYFUNCTION("""COMPUTED_VALUE"""),"")</f>
        <v/>
      </c>
      <c r="B17154" s="87"/>
      <c r="C17154" s="87"/>
      <c r="D17154" s="87"/>
      <c r="E17154" s="87"/>
      <c r="F17154" s="87"/>
      <c r="G17154" s="87"/>
    </row>
    <row r="17155">
      <c r="A17155" s="86" t="str">
        <f>IFERROR(__xludf.DUMMYFUNCTION("""COMPUTED_VALUE"""),"")</f>
        <v/>
      </c>
      <c r="B17155" s="87"/>
      <c r="C17155" s="87"/>
      <c r="D17155" s="87"/>
      <c r="E17155" s="87"/>
      <c r="F17155" s="87"/>
      <c r="G17155" s="87"/>
    </row>
    <row r="17156">
      <c r="A17156" s="86" t="str">
        <f>IFERROR(__xludf.DUMMYFUNCTION("""COMPUTED_VALUE"""),"")</f>
        <v/>
      </c>
      <c r="B17156" s="87"/>
      <c r="C17156" s="87"/>
      <c r="D17156" s="87"/>
      <c r="E17156" s="87"/>
      <c r="F17156" s="87"/>
      <c r="G17156" s="87"/>
    </row>
    <row r="17157">
      <c r="A17157" s="86" t="str">
        <f>IFERROR(__xludf.DUMMYFUNCTION("""COMPUTED_VALUE"""),"")</f>
        <v/>
      </c>
      <c r="B17157" s="87"/>
      <c r="C17157" s="87"/>
      <c r="D17157" s="87"/>
      <c r="E17157" s="87"/>
      <c r="F17157" s="87"/>
      <c r="G17157" s="87"/>
    </row>
    <row r="17158">
      <c r="A17158" s="86" t="str">
        <f>IFERROR(__xludf.DUMMYFUNCTION("""COMPUTED_VALUE"""),"")</f>
        <v/>
      </c>
      <c r="B17158" s="87"/>
      <c r="C17158" s="87"/>
      <c r="D17158" s="87"/>
      <c r="E17158" s="87"/>
      <c r="F17158" s="87"/>
      <c r="G17158" s="87"/>
    </row>
    <row r="17159">
      <c r="A17159" s="86" t="str">
        <f>IFERROR(__xludf.DUMMYFUNCTION("""COMPUTED_VALUE"""),"")</f>
        <v/>
      </c>
      <c r="B17159" s="87"/>
      <c r="C17159" s="87"/>
      <c r="D17159" s="87"/>
      <c r="E17159" s="87"/>
      <c r="F17159" s="87"/>
      <c r="G17159" s="87"/>
    </row>
    <row r="17160">
      <c r="A17160" s="86" t="str">
        <f>IFERROR(__xludf.DUMMYFUNCTION("""COMPUTED_VALUE"""),"")</f>
        <v/>
      </c>
      <c r="B17160" s="87"/>
      <c r="C17160" s="87"/>
      <c r="D17160" s="87"/>
      <c r="E17160" s="87"/>
      <c r="F17160" s="87"/>
      <c r="G17160" s="87"/>
    </row>
    <row r="17161">
      <c r="A17161" s="86" t="str">
        <f>IFERROR(__xludf.DUMMYFUNCTION("""COMPUTED_VALUE"""),"")</f>
        <v/>
      </c>
      <c r="B17161" s="87"/>
      <c r="C17161" s="87"/>
      <c r="D17161" s="87"/>
      <c r="E17161" s="87"/>
      <c r="F17161" s="87"/>
      <c r="G17161" s="87"/>
    </row>
    <row r="17162">
      <c r="A17162" s="86" t="str">
        <f>IFERROR(__xludf.DUMMYFUNCTION("""COMPUTED_VALUE"""),"")</f>
        <v/>
      </c>
      <c r="B17162" s="87"/>
      <c r="C17162" s="87"/>
      <c r="D17162" s="87"/>
      <c r="E17162" s="87"/>
      <c r="F17162" s="87"/>
      <c r="G17162" s="87"/>
    </row>
    <row r="17163">
      <c r="A17163" s="86" t="str">
        <f>IFERROR(__xludf.DUMMYFUNCTION("""COMPUTED_VALUE"""),"")</f>
        <v/>
      </c>
      <c r="B17163" s="87"/>
      <c r="C17163" s="87"/>
      <c r="D17163" s="87"/>
      <c r="E17163" s="87"/>
      <c r="F17163" s="87"/>
      <c r="G17163" s="87"/>
    </row>
    <row r="17164">
      <c r="A17164" s="86" t="str">
        <f>IFERROR(__xludf.DUMMYFUNCTION("""COMPUTED_VALUE"""),"")</f>
        <v/>
      </c>
      <c r="B17164" s="87"/>
      <c r="C17164" s="87"/>
      <c r="D17164" s="87"/>
      <c r="E17164" s="87"/>
      <c r="F17164" s="87"/>
      <c r="G17164" s="87"/>
    </row>
    <row r="17165">
      <c r="A17165" s="86" t="str">
        <f>IFERROR(__xludf.DUMMYFUNCTION("""COMPUTED_VALUE"""),"")</f>
        <v/>
      </c>
      <c r="B17165" s="87"/>
      <c r="C17165" s="87"/>
      <c r="D17165" s="87"/>
      <c r="E17165" s="87"/>
      <c r="F17165" s="87"/>
      <c r="G17165" s="87"/>
    </row>
    <row r="17166">
      <c r="A17166" s="86" t="str">
        <f>IFERROR(__xludf.DUMMYFUNCTION("""COMPUTED_VALUE"""),"")</f>
        <v/>
      </c>
      <c r="B17166" s="87"/>
      <c r="C17166" s="87"/>
      <c r="D17166" s="87"/>
      <c r="E17166" s="87"/>
      <c r="F17166" s="87"/>
      <c r="G17166" s="87"/>
    </row>
    <row r="17167">
      <c r="A17167" s="86" t="str">
        <f>IFERROR(__xludf.DUMMYFUNCTION("""COMPUTED_VALUE"""),"")</f>
        <v/>
      </c>
      <c r="B17167" s="87"/>
      <c r="C17167" s="87"/>
      <c r="D17167" s="87"/>
      <c r="E17167" s="87"/>
      <c r="F17167" s="87"/>
      <c r="G17167" s="87"/>
    </row>
    <row r="17168">
      <c r="A17168" s="86" t="str">
        <f>IFERROR(__xludf.DUMMYFUNCTION("""COMPUTED_VALUE"""),"")</f>
        <v/>
      </c>
      <c r="B17168" s="87"/>
      <c r="C17168" s="87"/>
      <c r="D17168" s="87"/>
      <c r="E17168" s="87"/>
      <c r="F17168" s="87"/>
      <c r="G17168" s="87"/>
    </row>
    <row r="17169">
      <c r="A17169" s="86" t="str">
        <f>IFERROR(__xludf.DUMMYFUNCTION("""COMPUTED_VALUE"""),"")</f>
        <v/>
      </c>
      <c r="B17169" s="87"/>
      <c r="C17169" s="87"/>
      <c r="D17169" s="87"/>
      <c r="E17169" s="87"/>
      <c r="F17169" s="87"/>
      <c r="G17169" s="87"/>
    </row>
    <row r="17170">
      <c r="A17170" s="86" t="str">
        <f>IFERROR(__xludf.DUMMYFUNCTION("""COMPUTED_VALUE"""),"")</f>
        <v/>
      </c>
      <c r="B17170" s="87"/>
      <c r="C17170" s="87"/>
      <c r="D17170" s="87"/>
      <c r="E17170" s="87"/>
      <c r="F17170" s="87"/>
      <c r="G17170" s="87"/>
    </row>
    <row r="17171">
      <c r="A17171" s="86" t="str">
        <f>IFERROR(__xludf.DUMMYFUNCTION("""COMPUTED_VALUE"""),"")</f>
        <v/>
      </c>
      <c r="B17171" s="87"/>
      <c r="C17171" s="87"/>
      <c r="D17171" s="87"/>
      <c r="E17171" s="87"/>
      <c r="F17171" s="87"/>
      <c r="G17171" s="87"/>
    </row>
    <row r="17172">
      <c r="A17172" s="86" t="str">
        <f>IFERROR(__xludf.DUMMYFUNCTION("""COMPUTED_VALUE"""),"")</f>
        <v/>
      </c>
      <c r="B17172" s="87"/>
      <c r="C17172" s="87"/>
      <c r="D17172" s="87"/>
      <c r="E17172" s="87"/>
      <c r="F17172" s="87"/>
      <c r="G17172" s="87"/>
    </row>
    <row r="17173">
      <c r="A17173" s="86" t="str">
        <f>IFERROR(__xludf.DUMMYFUNCTION("""COMPUTED_VALUE"""),"")</f>
        <v/>
      </c>
      <c r="B17173" s="87"/>
      <c r="C17173" s="87"/>
      <c r="D17173" s="87"/>
      <c r="E17173" s="87"/>
      <c r="F17173" s="87"/>
      <c r="G17173" s="87"/>
    </row>
    <row r="17174">
      <c r="A17174" s="86" t="str">
        <f>IFERROR(__xludf.DUMMYFUNCTION("""COMPUTED_VALUE"""),"")</f>
        <v/>
      </c>
      <c r="B17174" s="87"/>
      <c r="C17174" s="87"/>
      <c r="D17174" s="87"/>
      <c r="E17174" s="87"/>
      <c r="F17174" s="87"/>
      <c r="G17174" s="87"/>
    </row>
    <row r="17175">
      <c r="A17175" s="86" t="str">
        <f>IFERROR(__xludf.DUMMYFUNCTION("""COMPUTED_VALUE"""),"")</f>
        <v/>
      </c>
      <c r="B17175" s="87"/>
      <c r="C17175" s="87"/>
      <c r="D17175" s="87"/>
      <c r="E17175" s="87"/>
      <c r="F17175" s="87"/>
      <c r="G17175" s="87"/>
    </row>
    <row r="17176">
      <c r="A17176" s="86" t="str">
        <f>IFERROR(__xludf.DUMMYFUNCTION("""COMPUTED_VALUE"""),"")</f>
        <v/>
      </c>
      <c r="B17176" s="87"/>
      <c r="C17176" s="87"/>
      <c r="D17176" s="87"/>
      <c r="E17176" s="87"/>
      <c r="F17176" s="87"/>
      <c r="G17176" s="87"/>
    </row>
    <row r="17177">
      <c r="A17177" s="86" t="str">
        <f>IFERROR(__xludf.DUMMYFUNCTION("""COMPUTED_VALUE"""),"")</f>
        <v/>
      </c>
      <c r="B17177" s="87"/>
      <c r="C17177" s="87"/>
      <c r="D17177" s="87"/>
      <c r="E17177" s="87"/>
      <c r="F17177" s="87"/>
      <c r="G17177" s="87"/>
    </row>
    <row r="17178">
      <c r="A17178" s="86" t="str">
        <f>IFERROR(__xludf.DUMMYFUNCTION("""COMPUTED_VALUE"""),"")</f>
        <v/>
      </c>
      <c r="B17178" s="87"/>
      <c r="C17178" s="87"/>
      <c r="D17178" s="87"/>
      <c r="E17178" s="87"/>
      <c r="F17178" s="87"/>
      <c r="G17178" s="87"/>
    </row>
    <row r="17179">
      <c r="A17179" s="86" t="str">
        <f>IFERROR(__xludf.DUMMYFUNCTION("""COMPUTED_VALUE"""),"")</f>
        <v/>
      </c>
      <c r="B17179" s="87"/>
      <c r="C17179" s="87"/>
      <c r="D17179" s="87"/>
      <c r="E17179" s="87"/>
      <c r="F17179" s="87"/>
      <c r="G17179" s="87"/>
    </row>
    <row r="17180">
      <c r="A17180" s="86" t="str">
        <f>IFERROR(__xludf.DUMMYFUNCTION("""COMPUTED_VALUE"""),"")</f>
        <v/>
      </c>
      <c r="B17180" s="87"/>
      <c r="C17180" s="87"/>
      <c r="D17180" s="87"/>
      <c r="E17180" s="87"/>
      <c r="F17180" s="87"/>
      <c r="G17180" s="87"/>
    </row>
    <row r="17181">
      <c r="A17181" s="86" t="str">
        <f>IFERROR(__xludf.DUMMYFUNCTION("""COMPUTED_VALUE"""),"")</f>
        <v/>
      </c>
      <c r="B17181" s="87"/>
      <c r="C17181" s="87"/>
      <c r="D17181" s="87"/>
      <c r="E17181" s="87"/>
      <c r="F17181" s="87"/>
      <c r="G17181" s="87"/>
    </row>
    <row r="17182">
      <c r="A17182" s="86" t="str">
        <f>IFERROR(__xludf.DUMMYFUNCTION("""COMPUTED_VALUE"""),"")</f>
        <v/>
      </c>
      <c r="B17182" s="87"/>
      <c r="C17182" s="87"/>
      <c r="D17182" s="87"/>
      <c r="E17182" s="87"/>
      <c r="F17182" s="87"/>
      <c r="G17182" s="87"/>
    </row>
    <row r="17183">
      <c r="A17183" s="86" t="str">
        <f>IFERROR(__xludf.DUMMYFUNCTION("""COMPUTED_VALUE"""),"")</f>
        <v/>
      </c>
      <c r="B17183" s="87"/>
      <c r="C17183" s="87"/>
      <c r="D17183" s="87"/>
      <c r="E17183" s="87"/>
      <c r="F17183" s="87"/>
      <c r="G17183" s="87"/>
    </row>
    <row r="17184">
      <c r="A17184" s="86" t="str">
        <f>IFERROR(__xludf.DUMMYFUNCTION("""COMPUTED_VALUE"""),"")</f>
        <v/>
      </c>
      <c r="B17184" s="87"/>
      <c r="C17184" s="87"/>
      <c r="D17184" s="87"/>
      <c r="E17184" s="87"/>
      <c r="F17184" s="87"/>
      <c r="G17184" s="87"/>
    </row>
    <row r="17185">
      <c r="A17185" s="86" t="str">
        <f>IFERROR(__xludf.DUMMYFUNCTION("""COMPUTED_VALUE"""),"")</f>
        <v/>
      </c>
      <c r="B17185" s="87"/>
      <c r="C17185" s="87"/>
      <c r="D17185" s="87"/>
      <c r="E17185" s="87"/>
      <c r="F17185" s="87"/>
      <c r="G17185" s="87"/>
    </row>
    <row r="17186">
      <c r="A17186" s="86" t="str">
        <f>IFERROR(__xludf.DUMMYFUNCTION("""COMPUTED_VALUE"""),"")</f>
        <v/>
      </c>
      <c r="B17186" s="87"/>
      <c r="C17186" s="87"/>
      <c r="D17186" s="87"/>
      <c r="E17186" s="87"/>
      <c r="F17186" s="87"/>
      <c r="G17186" s="87"/>
    </row>
    <row r="17187">
      <c r="A17187" s="86" t="str">
        <f>IFERROR(__xludf.DUMMYFUNCTION("""COMPUTED_VALUE"""),"")</f>
        <v/>
      </c>
      <c r="B17187" s="87"/>
      <c r="C17187" s="87"/>
      <c r="D17187" s="87"/>
      <c r="E17187" s="87"/>
      <c r="F17187" s="87"/>
      <c r="G17187" s="87"/>
    </row>
    <row r="17188">
      <c r="A17188" s="86" t="str">
        <f>IFERROR(__xludf.DUMMYFUNCTION("""COMPUTED_VALUE"""),"")</f>
        <v/>
      </c>
      <c r="B17188" s="87"/>
      <c r="C17188" s="87"/>
      <c r="D17188" s="87"/>
      <c r="E17188" s="87"/>
      <c r="F17188" s="87"/>
      <c r="G17188" s="87"/>
    </row>
    <row r="17189">
      <c r="A17189" s="86" t="str">
        <f>IFERROR(__xludf.DUMMYFUNCTION("""COMPUTED_VALUE"""),"")</f>
        <v/>
      </c>
      <c r="B17189" s="87"/>
      <c r="C17189" s="87"/>
      <c r="D17189" s="87"/>
      <c r="E17189" s="87"/>
      <c r="F17189" s="87"/>
      <c r="G17189" s="87"/>
    </row>
    <row r="17190">
      <c r="A17190" s="86" t="str">
        <f>IFERROR(__xludf.DUMMYFUNCTION("""COMPUTED_VALUE"""),"")</f>
        <v/>
      </c>
      <c r="B17190" s="87"/>
      <c r="C17190" s="87"/>
      <c r="D17190" s="87"/>
      <c r="E17190" s="87"/>
      <c r="F17190" s="87"/>
      <c r="G17190" s="87"/>
    </row>
    <row r="17191">
      <c r="A17191" s="86" t="str">
        <f>IFERROR(__xludf.DUMMYFUNCTION("""COMPUTED_VALUE"""),"")</f>
        <v/>
      </c>
      <c r="B17191" s="87"/>
      <c r="C17191" s="87"/>
      <c r="D17191" s="87"/>
      <c r="E17191" s="87"/>
      <c r="F17191" s="87"/>
      <c r="G17191" s="87"/>
    </row>
    <row r="17192">
      <c r="A17192" s="86" t="str">
        <f>IFERROR(__xludf.DUMMYFUNCTION("""COMPUTED_VALUE"""),"")</f>
        <v/>
      </c>
      <c r="B17192" s="87"/>
      <c r="C17192" s="87"/>
      <c r="D17192" s="87"/>
      <c r="E17192" s="87"/>
      <c r="F17192" s="87"/>
      <c r="G17192" s="87"/>
    </row>
    <row r="17193">
      <c r="A17193" s="86" t="str">
        <f>IFERROR(__xludf.DUMMYFUNCTION("""COMPUTED_VALUE"""),"")</f>
        <v/>
      </c>
      <c r="B17193" s="87"/>
      <c r="C17193" s="87"/>
      <c r="D17193" s="87"/>
      <c r="E17193" s="87"/>
      <c r="F17193" s="87"/>
      <c r="G17193" s="87"/>
    </row>
    <row r="17194">
      <c r="A17194" s="86" t="str">
        <f>IFERROR(__xludf.DUMMYFUNCTION("""COMPUTED_VALUE"""),"")</f>
        <v/>
      </c>
      <c r="B17194" s="87"/>
      <c r="C17194" s="87"/>
      <c r="D17194" s="87"/>
      <c r="E17194" s="87"/>
      <c r="F17194" s="87"/>
      <c r="G17194" s="87"/>
    </row>
    <row r="17195">
      <c r="A17195" s="86" t="str">
        <f>IFERROR(__xludf.DUMMYFUNCTION("""COMPUTED_VALUE"""),"")</f>
        <v/>
      </c>
      <c r="B17195" s="87"/>
      <c r="C17195" s="87"/>
      <c r="D17195" s="87"/>
      <c r="E17195" s="87"/>
      <c r="F17195" s="87"/>
      <c r="G17195" s="87"/>
    </row>
    <row r="17196">
      <c r="A17196" s="86" t="str">
        <f>IFERROR(__xludf.DUMMYFUNCTION("""COMPUTED_VALUE"""),"")</f>
        <v/>
      </c>
      <c r="B17196" s="87"/>
      <c r="C17196" s="87"/>
      <c r="D17196" s="87"/>
      <c r="E17196" s="87"/>
      <c r="F17196" s="87"/>
      <c r="G17196" s="87"/>
    </row>
    <row r="17197">
      <c r="A17197" s="86" t="str">
        <f>IFERROR(__xludf.DUMMYFUNCTION("""COMPUTED_VALUE"""),"")</f>
        <v/>
      </c>
      <c r="B17197" s="87"/>
      <c r="C17197" s="87"/>
      <c r="D17197" s="87"/>
      <c r="E17197" s="87"/>
      <c r="F17197" s="87"/>
      <c r="G17197" s="87"/>
    </row>
    <row r="17198">
      <c r="A17198" s="86" t="str">
        <f>IFERROR(__xludf.DUMMYFUNCTION("""COMPUTED_VALUE"""),"")</f>
        <v/>
      </c>
      <c r="B17198" s="87"/>
      <c r="C17198" s="87"/>
      <c r="D17198" s="87"/>
      <c r="E17198" s="87"/>
      <c r="F17198" s="87"/>
      <c r="G17198" s="87"/>
    </row>
    <row r="17199">
      <c r="A17199" s="86" t="str">
        <f>IFERROR(__xludf.DUMMYFUNCTION("""COMPUTED_VALUE"""),"")</f>
        <v/>
      </c>
      <c r="B17199" s="87"/>
      <c r="C17199" s="87"/>
      <c r="D17199" s="87"/>
      <c r="E17199" s="87"/>
      <c r="F17199" s="87"/>
      <c r="G17199" s="87"/>
    </row>
    <row r="17200">
      <c r="A17200" s="86" t="str">
        <f>IFERROR(__xludf.DUMMYFUNCTION("""COMPUTED_VALUE"""),"")</f>
        <v/>
      </c>
      <c r="B17200" s="87"/>
      <c r="C17200" s="87"/>
      <c r="D17200" s="87"/>
      <c r="E17200" s="87"/>
      <c r="F17200" s="87"/>
      <c r="G17200" s="87"/>
    </row>
    <row r="17201">
      <c r="A17201" s="86" t="str">
        <f>IFERROR(__xludf.DUMMYFUNCTION("""COMPUTED_VALUE"""),"")</f>
        <v/>
      </c>
      <c r="B17201" s="87"/>
      <c r="C17201" s="87"/>
      <c r="D17201" s="87"/>
      <c r="E17201" s="87"/>
      <c r="F17201" s="87"/>
      <c r="G17201" s="87"/>
    </row>
    <row r="17202">
      <c r="A17202" s="86" t="str">
        <f>IFERROR(__xludf.DUMMYFUNCTION("""COMPUTED_VALUE"""),"")</f>
        <v/>
      </c>
      <c r="B17202" s="87"/>
      <c r="C17202" s="87"/>
      <c r="D17202" s="87"/>
      <c r="E17202" s="87"/>
      <c r="F17202" s="87"/>
      <c r="G17202" s="87"/>
    </row>
    <row r="17203">
      <c r="A17203" s="86" t="str">
        <f>IFERROR(__xludf.DUMMYFUNCTION("""COMPUTED_VALUE"""),"")</f>
        <v/>
      </c>
      <c r="B17203" s="87"/>
      <c r="C17203" s="87"/>
      <c r="D17203" s="87"/>
      <c r="E17203" s="87"/>
      <c r="F17203" s="87"/>
      <c r="G17203" s="87"/>
    </row>
    <row r="17204">
      <c r="A17204" s="86" t="str">
        <f>IFERROR(__xludf.DUMMYFUNCTION("""COMPUTED_VALUE"""),"")</f>
        <v/>
      </c>
      <c r="B17204" s="87"/>
      <c r="C17204" s="87"/>
      <c r="D17204" s="87"/>
      <c r="E17204" s="87"/>
      <c r="F17204" s="87"/>
      <c r="G17204" s="87"/>
    </row>
    <row r="17205">
      <c r="A17205" s="86" t="str">
        <f>IFERROR(__xludf.DUMMYFUNCTION("""COMPUTED_VALUE"""),"")</f>
        <v/>
      </c>
      <c r="B17205" s="87"/>
      <c r="C17205" s="87"/>
      <c r="D17205" s="87"/>
      <c r="E17205" s="87"/>
      <c r="F17205" s="87"/>
      <c r="G17205" s="87"/>
    </row>
    <row r="17206">
      <c r="A17206" s="86" t="str">
        <f>IFERROR(__xludf.DUMMYFUNCTION("""COMPUTED_VALUE"""),"")</f>
        <v/>
      </c>
      <c r="B17206" s="87"/>
      <c r="C17206" s="87"/>
      <c r="D17206" s="87"/>
      <c r="E17206" s="87"/>
      <c r="F17206" s="87"/>
      <c r="G17206" s="87"/>
    </row>
    <row r="17207">
      <c r="A17207" s="86" t="str">
        <f>IFERROR(__xludf.DUMMYFUNCTION("""COMPUTED_VALUE"""),"")</f>
        <v/>
      </c>
      <c r="B17207" s="87"/>
      <c r="C17207" s="87"/>
      <c r="D17207" s="87"/>
      <c r="E17207" s="87"/>
      <c r="F17207" s="87"/>
      <c r="G17207" s="87"/>
    </row>
    <row r="17208">
      <c r="A17208" s="86" t="str">
        <f>IFERROR(__xludf.DUMMYFUNCTION("""COMPUTED_VALUE"""),"")</f>
        <v/>
      </c>
      <c r="B17208" s="87"/>
      <c r="C17208" s="87"/>
      <c r="D17208" s="87"/>
      <c r="E17208" s="87"/>
      <c r="F17208" s="87"/>
      <c r="G17208" s="87"/>
    </row>
    <row r="17209">
      <c r="A17209" s="86" t="str">
        <f>IFERROR(__xludf.DUMMYFUNCTION("""COMPUTED_VALUE"""),"")</f>
        <v/>
      </c>
      <c r="B17209" s="87"/>
      <c r="C17209" s="87"/>
      <c r="D17209" s="87"/>
      <c r="E17209" s="87"/>
      <c r="F17209" s="87"/>
      <c r="G17209" s="87"/>
    </row>
    <row r="17210">
      <c r="A17210" s="86" t="str">
        <f>IFERROR(__xludf.DUMMYFUNCTION("""COMPUTED_VALUE"""),"")</f>
        <v/>
      </c>
      <c r="B17210" s="87"/>
      <c r="C17210" s="87"/>
      <c r="D17210" s="87"/>
      <c r="E17210" s="87"/>
      <c r="F17210" s="87"/>
      <c r="G17210" s="87"/>
    </row>
    <row r="17211">
      <c r="A17211" s="86" t="str">
        <f>IFERROR(__xludf.DUMMYFUNCTION("""COMPUTED_VALUE"""),"")</f>
        <v/>
      </c>
      <c r="B17211" s="87"/>
      <c r="C17211" s="87"/>
      <c r="D17211" s="87"/>
      <c r="E17211" s="87"/>
      <c r="F17211" s="87"/>
      <c r="G17211" s="87"/>
    </row>
    <row r="17212">
      <c r="A17212" s="86" t="str">
        <f>IFERROR(__xludf.DUMMYFUNCTION("""COMPUTED_VALUE"""),"")</f>
        <v/>
      </c>
      <c r="B17212" s="87"/>
      <c r="C17212" s="87"/>
      <c r="D17212" s="87"/>
      <c r="E17212" s="87"/>
      <c r="F17212" s="87"/>
      <c r="G17212" s="87"/>
    </row>
    <row r="17213">
      <c r="A17213" s="86" t="str">
        <f>IFERROR(__xludf.DUMMYFUNCTION("""COMPUTED_VALUE"""),"")</f>
        <v/>
      </c>
      <c r="B17213" s="87"/>
      <c r="C17213" s="87"/>
      <c r="D17213" s="87"/>
      <c r="E17213" s="87"/>
      <c r="F17213" s="87"/>
      <c r="G17213" s="87"/>
    </row>
    <row r="17214">
      <c r="A17214" s="86" t="str">
        <f>IFERROR(__xludf.DUMMYFUNCTION("""COMPUTED_VALUE"""),"")</f>
        <v/>
      </c>
      <c r="B17214" s="87"/>
      <c r="C17214" s="87"/>
      <c r="D17214" s="87"/>
      <c r="E17214" s="87"/>
      <c r="F17214" s="87"/>
      <c r="G17214" s="87"/>
    </row>
    <row r="17215">
      <c r="A17215" s="86" t="str">
        <f>IFERROR(__xludf.DUMMYFUNCTION("""COMPUTED_VALUE"""),"")</f>
        <v/>
      </c>
      <c r="B17215" s="87"/>
      <c r="C17215" s="87"/>
      <c r="D17215" s="87"/>
      <c r="E17215" s="87"/>
      <c r="F17215" s="87"/>
      <c r="G17215" s="87"/>
    </row>
    <row r="17216">
      <c r="A17216" s="86" t="str">
        <f>IFERROR(__xludf.DUMMYFUNCTION("""COMPUTED_VALUE"""),"")</f>
        <v/>
      </c>
      <c r="B17216" s="87"/>
      <c r="C17216" s="87"/>
      <c r="D17216" s="87"/>
      <c r="E17216" s="87"/>
      <c r="F17216" s="87"/>
      <c r="G17216" s="87"/>
    </row>
    <row r="17217">
      <c r="A17217" s="86" t="str">
        <f>IFERROR(__xludf.DUMMYFUNCTION("""COMPUTED_VALUE"""),"")</f>
        <v/>
      </c>
      <c r="B17217" s="87"/>
      <c r="C17217" s="87"/>
      <c r="D17217" s="87"/>
      <c r="E17217" s="87"/>
      <c r="F17217" s="87"/>
      <c r="G17217" s="87"/>
    </row>
    <row r="17218">
      <c r="A17218" s="86" t="str">
        <f>IFERROR(__xludf.DUMMYFUNCTION("""COMPUTED_VALUE"""),"")</f>
        <v/>
      </c>
      <c r="B17218" s="87"/>
      <c r="C17218" s="87"/>
      <c r="D17218" s="87"/>
      <c r="E17218" s="87"/>
      <c r="F17218" s="87"/>
      <c r="G17218" s="87"/>
    </row>
    <row r="17219">
      <c r="A17219" s="86" t="str">
        <f>IFERROR(__xludf.DUMMYFUNCTION("""COMPUTED_VALUE"""),"")</f>
        <v/>
      </c>
      <c r="B17219" s="87"/>
      <c r="C17219" s="87"/>
      <c r="D17219" s="87"/>
      <c r="E17219" s="87"/>
      <c r="F17219" s="87"/>
      <c r="G17219" s="87"/>
    </row>
    <row r="17220">
      <c r="A17220" s="86" t="str">
        <f>IFERROR(__xludf.DUMMYFUNCTION("""COMPUTED_VALUE"""),"")</f>
        <v/>
      </c>
      <c r="B17220" s="87"/>
      <c r="C17220" s="87"/>
      <c r="D17220" s="87"/>
      <c r="E17220" s="87"/>
      <c r="F17220" s="87"/>
      <c r="G17220" s="87"/>
    </row>
    <row r="17221">
      <c r="A17221" s="86" t="str">
        <f>IFERROR(__xludf.DUMMYFUNCTION("""COMPUTED_VALUE"""),"")</f>
        <v/>
      </c>
      <c r="B17221" s="87"/>
      <c r="C17221" s="87"/>
      <c r="D17221" s="87"/>
      <c r="E17221" s="87"/>
      <c r="F17221" s="87"/>
      <c r="G17221" s="87"/>
    </row>
    <row r="17222">
      <c r="A17222" s="86" t="str">
        <f>IFERROR(__xludf.DUMMYFUNCTION("""COMPUTED_VALUE"""),"")</f>
        <v/>
      </c>
      <c r="B17222" s="87"/>
      <c r="C17222" s="87"/>
      <c r="D17222" s="87"/>
      <c r="E17222" s="87"/>
      <c r="F17222" s="87"/>
      <c r="G17222" s="87"/>
    </row>
    <row r="17223">
      <c r="A17223" s="86" t="str">
        <f>IFERROR(__xludf.DUMMYFUNCTION("""COMPUTED_VALUE"""),"")</f>
        <v/>
      </c>
      <c r="B17223" s="87"/>
      <c r="C17223" s="87"/>
      <c r="D17223" s="87"/>
      <c r="E17223" s="87"/>
      <c r="F17223" s="87"/>
      <c r="G17223" s="87"/>
    </row>
    <row r="17224">
      <c r="A17224" s="86" t="str">
        <f>IFERROR(__xludf.DUMMYFUNCTION("""COMPUTED_VALUE"""),"")</f>
        <v/>
      </c>
      <c r="B17224" s="87"/>
      <c r="C17224" s="87"/>
      <c r="D17224" s="87"/>
      <c r="E17224" s="87"/>
      <c r="F17224" s="87"/>
      <c r="G17224" s="87"/>
    </row>
    <row r="17225">
      <c r="A17225" s="86" t="str">
        <f>IFERROR(__xludf.DUMMYFUNCTION("""COMPUTED_VALUE"""),"")</f>
        <v/>
      </c>
      <c r="B17225" s="87"/>
      <c r="C17225" s="87"/>
      <c r="D17225" s="87"/>
      <c r="E17225" s="87"/>
      <c r="F17225" s="87"/>
      <c r="G17225" s="87"/>
    </row>
    <row r="17226">
      <c r="A17226" s="86" t="str">
        <f>IFERROR(__xludf.DUMMYFUNCTION("""COMPUTED_VALUE"""),"")</f>
        <v/>
      </c>
      <c r="B17226" s="87"/>
      <c r="C17226" s="87"/>
      <c r="D17226" s="87"/>
      <c r="E17226" s="87"/>
      <c r="F17226" s="87"/>
      <c r="G17226" s="87"/>
    </row>
    <row r="17227">
      <c r="A17227" s="86" t="str">
        <f>IFERROR(__xludf.DUMMYFUNCTION("""COMPUTED_VALUE"""),"")</f>
        <v/>
      </c>
      <c r="B17227" s="87"/>
      <c r="C17227" s="87"/>
      <c r="D17227" s="87"/>
      <c r="E17227" s="87"/>
      <c r="F17227" s="87"/>
      <c r="G17227" s="87"/>
    </row>
    <row r="17228">
      <c r="A17228" s="86" t="str">
        <f>IFERROR(__xludf.DUMMYFUNCTION("""COMPUTED_VALUE"""),"")</f>
        <v/>
      </c>
      <c r="B17228" s="87"/>
      <c r="C17228" s="87"/>
      <c r="D17228" s="87"/>
      <c r="E17228" s="87"/>
      <c r="F17228" s="87"/>
      <c r="G17228" s="87"/>
    </row>
    <row r="17229">
      <c r="A17229" s="86" t="str">
        <f>IFERROR(__xludf.DUMMYFUNCTION("""COMPUTED_VALUE"""),"")</f>
        <v/>
      </c>
      <c r="B17229" s="87"/>
      <c r="C17229" s="87"/>
      <c r="D17229" s="87"/>
      <c r="E17229" s="87"/>
      <c r="F17229" s="87"/>
      <c r="G17229" s="87"/>
    </row>
    <row r="17230">
      <c r="A17230" s="86" t="str">
        <f>IFERROR(__xludf.DUMMYFUNCTION("""COMPUTED_VALUE"""),"")</f>
        <v/>
      </c>
      <c r="B17230" s="87"/>
      <c r="C17230" s="87"/>
      <c r="D17230" s="87"/>
      <c r="E17230" s="87"/>
      <c r="F17230" s="87"/>
      <c r="G17230" s="87"/>
    </row>
    <row r="17231">
      <c r="A17231" s="86" t="str">
        <f>IFERROR(__xludf.DUMMYFUNCTION("""COMPUTED_VALUE"""),"")</f>
        <v/>
      </c>
      <c r="B17231" s="87"/>
      <c r="C17231" s="87"/>
      <c r="D17231" s="87"/>
      <c r="E17231" s="87"/>
      <c r="F17231" s="87"/>
      <c r="G17231" s="87"/>
    </row>
    <row r="17232">
      <c r="A17232" s="86" t="str">
        <f>IFERROR(__xludf.DUMMYFUNCTION("""COMPUTED_VALUE"""),"")</f>
        <v/>
      </c>
      <c r="B17232" s="87"/>
      <c r="C17232" s="87"/>
      <c r="D17232" s="87"/>
      <c r="E17232" s="87"/>
      <c r="F17232" s="87"/>
      <c r="G17232" s="87"/>
    </row>
    <row r="17233">
      <c r="A17233" s="86" t="str">
        <f>IFERROR(__xludf.DUMMYFUNCTION("""COMPUTED_VALUE"""),"")</f>
        <v/>
      </c>
      <c r="B17233" s="87"/>
      <c r="C17233" s="87"/>
      <c r="D17233" s="87"/>
      <c r="E17233" s="87"/>
      <c r="F17233" s="87"/>
      <c r="G17233" s="87"/>
    </row>
    <row r="17234">
      <c r="A17234" s="86" t="str">
        <f>IFERROR(__xludf.DUMMYFUNCTION("""COMPUTED_VALUE"""),"")</f>
        <v/>
      </c>
      <c r="B17234" s="87"/>
      <c r="C17234" s="87"/>
      <c r="D17234" s="87"/>
      <c r="E17234" s="87"/>
      <c r="F17234" s="87"/>
      <c r="G17234" s="87"/>
    </row>
    <row r="17235">
      <c r="A17235" s="86" t="str">
        <f>IFERROR(__xludf.DUMMYFUNCTION("""COMPUTED_VALUE"""),"")</f>
        <v/>
      </c>
      <c r="B17235" s="87"/>
      <c r="C17235" s="87"/>
      <c r="D17235" s="87"/>
      <c r="E17235" s="87"/>
      <c r="F17235" s="87"/>
      <c r="G17235" s="87"/>
    </row>
    <row r="17236">
      <c r="A17236" s="86" t="str">
        <f>IFERROR(__xludf.DUMMYFUNCTION("""COMPUTED_VALUE"""),"")</f>
        <v/>
      </c>
      <c r="B17236" s="87"/>
      <c r="C17236" s="87"/>
      <c r="D17236" s="87"/>
      <c r="E17236" s="87"/>
      <c r="F17236" s="87"/>
      <c r="G17236" s="87"/>
    </row>
    <row r="17237">
      <c r="A17237" s="86" t="str">
        <f>IFERROR(__xludf.DUMMYFUNCTION("""COMPUTED_VALUE"""),"")</f>
        <v/>
      </c>
      <c r="B17237" s="87"/>
      <c r="C17237" s="87"/>
      <c r="D17237" s="87"/>
      <c r="E17237" s="87"/>
      <c r="F17237" s="87"/>
      <c r="G17237" s="87"/>
    </row>
    <row r="17238">
      <c r="A17238" s="86" t="str">
        <f>IFERROR(__xludf.DUMMYFUNCTION("""COMPUTED_VALUE"""),"")</f>
        <v/>
      </c>
      <c r="B17238" s="87"/>
      <c r="C17238" s="87"/>
      <c r="D17238" s="87"/>
      <c r="E17238" s="87"/>
      <c r="F17238" s="87"/>
      <c r="G17238" s="87"/>
    </row>
    <row r="17239">
      <c r="A17239" s="86" t="str">
        <f>IFERROR(__xludf.DUMMYFUNCTION("""COMPUTED_VALUE"""),"")</f>
        <v/>
      </c>
      <c r="B17239" s="87"/>
      <c r="C17239" s="87"/>
      <c r="D17239" s="87"/>
      <c r="E17239" s="87"/>
      <c r="F17239" s="87"/>
      <c r="G17239" s="87"/>
    </row>
    <row r="17240">
      <c r="A17240" s="86" t="str">
        <f>IFERROR(__xludf.DUMMYFUNCTION("""COMPUTED_VALUE"""),"")</f>
        <v/>
      </c>
      <c r="B17240" s="87"/>
      <c r="C17240" s="87"/>
      <c r="D17240" s="87"/>
      <c r="E17240" s="87"/>
      <c r="F17240" s="87"/>
      <c r="G17240" s="87"/>
    </row>
    <row r="17241">
      <c r="A17241" s="86" t="str">
        <f>IFERROR(__xludf.DUMMYFUNCTION("""COMPUTED_VALUE"""),"")</f>
        <v/>
      </c>
      <c r="B17241" s="87"/>
      <c r="C17241" s="87"/>
      <c r="D17241" s="87"/>
      <c r="E17241" s="87"/>
      <c r="F17241" s="87"/>
      <c r="G17241" s="87"/>
    </row>
    <row r="17242">
      <c r="A17242" s="86" t="str">
        <f>IFERROR(__xludf.DUMMYFUNCTION("""COMPUTED_VALUE"""),"")</f>
        <v/>
      </c>
      <c r="B17242" s="87"/>
      <c r="C17242" s="87"/>
      <c r="D17242" s="87"/>
      <c r="E17242" s="87"/>
      <c r="F17242" s="87"/>
      <c r="G17242" s="87"/>
    </row>
    <row r="17243">
      <c r="A17243" s="86" t="str">
        <f>IFERROR(__xludf.DUMMYFUNCTION("""COMPUTED_VALUE"""),"")</f>
        <v/>
      </c>
      <c r="B17243" s="87"/>
      <c r="C17243" s="87"/>
      <c r="D17243" s="87"/>
      <c r="E17243" s="87"/>
      <c r="F17243" s="87"/>
      <c r="G17243" s="87"/>
    </row>
    <row r="17244">
      <c r="A17244" s="86" t="str">
        <f>IFERROR(__xludf.DUMMYFUNCTION("""COMPUTED_VALUE"""),"")</f>
        <v/>
      </c>
      <c r="B17244" s="87"/>
      <c r="C17244" s="87"/>
      <c r="D17244" s="87"/>
      <c r="E17244" s="87"/>
      <c r="F17244" s="87"/>
      <c r="G17244" s="87"/>
    </row>
    <row r="17245">
      <c r="A17245" s="86" t="str">
        <f>IFERROR(__xludf.DUMMYFUNCTION("""COMPUTED_VALUE"""),"")</f>
        <v/>
      </c>
      <c r="B17245" s="87"/>
      <c r="C17245" s="87"/>
      <c r="D17245" s="87"/>
      <c r="E17245" s="87"/>
      <c r="F17245" s="87"/>
      <c r="G17245" s="87"/>
    </row>
    <row r="17246">
      <c r="A17246" s="86" t="str">
        <f>IFERROR(__xludf.DUMMYFUNCTION("""COMPUTED_VALUE"""),"")</f>
        <v/>
      </c>
      <c r="B17246" s="87"/>
      <c r="C17246" s="87"/>
      <c r="D17246" s="87"/>
      <c r="E17246" s="87"/>
      <c r="F17246" s="87"/>
      <c r="G17246" s="87"/>
    </row>
    <row r="17247">
      <c r="A17247" s="86" t="str">
        <f>IFERROR(__xludf.DUMMYFUNCTION("""COMPUTED_VALUE"""),"")</f>
        <v/>
      </c>
      <c r="B17247" s="87"/>
      <c r="C17247" s="87"/>
      <c r="D17247" s="87"/>
      <c r="E17247" s="87"/>
      <c r="F17247" s="87"/>
      <c r="G17247" s="87"/>
    </row>
    <row r="17248">
      <c r="A17248" s="86" t="str">
        <f>IFERROR(__xludf.DUMMYFUNCTION("""COMPUTED_VALUE"""),"")</f>
        <v/>
      </c>
      <c r="B17248" s="87"/>
      <c r="C17248" s="87"/>
      <c r="D17248" s="87"/>
      <c r="E17248" s="87"/>
      <c r="F17248" s="87"/>
      <c r="G17248" s="87"/>
    </row>
    <row r="17249">
      <c r="A17249" s="86" t="str">
        <f>IFERROR(__xludf.DUMMYFUNCTION("""COMPUTED_VALUE"""),"")</f>
        <v/>
      </c>
      <c r="B17249" s="87"/>
      <c r="C17249" s="87"/>
      <c r="D17249" s="87"/>
      <c r="E17249" s="87"/>
      <c r="F17249" s="87"/>
      <c r="G17249" s="87"/>
    </row>
    <row r="17250">
      <c r="A17250" s="86" t="str">
        <f>IFERROR(__xludf.DUMMYFUNCTION("""COMPUTED_VALUE"""),"")</f>
        <v/>
      </c>
      <c r="B17250" s="87"/>
      <c r="C17250" s="87"/>
      <c r="D17250" s="87"/>
      <c r="E17250" s="87"/>
      <c r="F17250" s="87"/>
      <c r="G17250" s="87"/>
    </row>
    <row r="17251">
      <c r="A17251" s="86" t="str">
        <f>IFERROR(__xludf.DUMMYFUNCTION("""COMPUTED_VALUE"""),"")</f>
        <v/>
      </c>
      <c r="B17251" s="87"/>
      <c r="C17251" s="87"/>
      <c r="D17251" s="87"/>
      <c r="E17251" s="87"/>
      <c r="F17251" s="87"/>
      <c r="G17251" s="87"/>
    </row>
    <row r="17252">
      <c r="A17252" s="86" t="str">
        <f>IFERROR(__xludf.DUMMYFUNCTION("""COMPUTED_VALUE"""),"")</f>
        <v/>
      </c>
      <c r="B17252" s="87"/>
      <c r="C17252" s="87"/>
      <c r="D17252" s="87"/>
      <c r="E17252" s="87"/>
      <c r="F17252" s="87"/>
      <c r="G17252" s="87"/>
    </row>
    <row r="17253">
      <c r="A17253" s="86" t="str">
        <f>IFERROR(__xludf.DUMMYFUNCTION("""COMPUTED_VALUE"""),"")</f>
        <v/>
      </c>
      <c r="B17253" s="87"/>
      <c r="C17253" s="87"/>
      <c r="D17253" s="87"/>
      <c r="E17253" s="87"/>
      <c r="F17253" s="87"/>
      <c r="G17253" s="87"/>
    </row>
    <row r="17254">
      <c r="A17254" s="86" t="str">
        <f>IFERROR(__xludf.DUMMYFUNCTION("""COMPUTED_VALUE"""),"")</f>
        <v/>
      </c>
      <c r="B17254" s="87"/>
      <c r="C17254" s="87"/>
      <c r="D17254" s="87"/>
      <c r="E17254" s="87"/>
      <c r="F17254" s="87"/>
      <c r="G17254" s="87"/>
    </row>
    <row r="17255">
      <c r="A17255" s="86" t="str">
        <f>IFERROR(__xludf.DUMMYFUNCTION("""COMPUTED_VALUE"""),"")</f>
        <v/>
      </c>
      <c r="B17255" s="87"/>
      <c r="C17255" s="87"/>
      <c r="D17255" s="87"/>
      <c r="E17255" s="87"/>
      <c r="F17255" s="87"/>
      <c r="G17255" s="87"/>
    </row>
    <row r="17256">
      <c r="A17256" s="86" t="str">
        <f>IFERROR(__xludf.DUMMYFUNCTION("""COMPUTED_VALUE"""),"")</f>
        <v/>
      </c>
      <c r="B17256" s="87"/>
      <c r="C17256" s="87"/>
      <c r="D17256" s="87"/>
      <c r="E17256" s="87"/>
      <c r="F17256" s="87"/>
      <c r="G17256" s="87"/>
    </row>
    <row r="17257">
      <c r="A17257" s="86" t="str">
        <f>IFERROR(__xludf.DUMMYFUNCTION("""COMPUTED_VALUE"""),"")</f>
        <v/>
      </c>
      <c r="B17257" s="87"/>
      <c r="C17257" s="87"/>
      <c r="D17257" s="87"/>
      <c r="E17257" s="87"/>
      <c r="F17257" s="87"/>
      <c r="G17257" s="87"/>
    </row>
    <row r="17258">
      <c r="A17258" s="86" t="str">
        <f>IFERROR(__xludf.DUMMYFUNCTION("""COMPUTED_VALUE"""),"")</f>
        <v/>
      </c>
      <c r="B17258" s="87"/>
      <c r="C17258" s="87"/>
      <c r="D17258" s="87"/>
      <c r="E17258" s="87"/>
      <c r="F17258" s="87"/>
      <c r="G17258" s="87"/>
    </row>
    <row r="17259">
      <c r="A17259" s="86" t="str">
        <f>IFERROR(__xludf.DUMMYFUNCTION("""COMPUTED_VALUE"""),"")</f>
        <v/>
      </c>
      <c r="B17259" s="87"/>
      <c r="C17259" s="87"/>
      <c r="D17259" s="87"/>
      <c r="E17259" s="87"/>
      <c r="F17259" s="87"/>
      <c r="G17259" s="87"/>
    </row>
    <row r="17260">
      <c r="A17260" s="86" t="str">
        <f>IFERROR(__xludf.DUMMYFUNCTION("""COMPUTED_VALUE"""),"")</f>
        <v/>
      </c>
      <c r="B17260" s="87"/>
      <c r="C17260" s="87"/>
      <c r="D17260" s="87"/>
      <c r="E17260" s="87"/>
      <c r="F17260" s="87"/>
      <c r="G17260" s="87"/>
    </row>
    <row r="17261">
      <c r="A17261" s="86" t="str">
        <f>IFERROR(__xludf.DUMMYFUNCTION("""COMPUTED_VALUE"""),"")</f>
        <v/>
      </c>
      <c r="B17261" s="87"/>
      <c r="C17261" s="87"/>
      <c r="D17261" s="87"/>
      <c r="E17261" s="87"/>
      <c r="F17261" s="87"/>
      <c r="G17261" s="87"/>
    </row>
    <row r="17262">
      <c r="A17262" s="86" t="str">
        <f>IFERROR(__xludf.DUMMYFUNCTION("""COMPUTED_VALUE"""),"")</f>
        <v/>
      </c>
      <c r="B17262" s="87"/>
      <c r="C17262" s="87"/>
      <c r="D17262" s="87"/>
      <c r="E17262" s="87"/>
      <c r="F17262" s="87"/>
      <c r="G17262" s="87"/>
    </row>
    <row r="17263">
      <c r="A17263" s="86" t="str">
        <f>IFERROR(__xludf.DUMMYFUNCTION("""COMPUTED_VALUE"""),"")</f>
        <v/>
      </c>
      <c r="B17263" s="87"/>
      <c r="C17263" s="87"/>
      <c r="D17263" s="87"/>
      <c r="E17263" s="87"/>
      <c r="F17263" s="87"/>
      <c r="G17263" s="87"/>
    </row>
    <row r="17264">
      <c r="A17264" s="86" t="str">
        <f>IFERROR(__xludf.DUMMYFUNCTION("""COMPUTED_VALUE"""),"")</f>
        <v/>
      </c>
      <c r="B17264" s="87"/>
      <c r="C17264" s="87"/>
      <c r="D17264" s="87"/>
      <c r="E17264" s="87"/>
      <c r="F17264" s="87"/>
      <c r="G17264" s="87"/>
    </row>
    <row r="17265">
      <c r="A17265" s="86" t="str">
        <f>IFERROR(__xludf.DUMMYFUNCTION("""COMPUTED_VALUE"""),"")</f>
        <v/>
      </c>
      <c r="B17265" s="87"/>
      <c r="C17265" s="87"/>
      <c r="D17265" s="87"/>
      <c r="E17265" s="87"/>
      <c r="F17265" s="87"/>
      <c r="G17265" s="87"/>
    </row>
    <row r="17266">
      <c r="A17266" s="86" t="str">
        <f>IFERROR(__xludf.DUMMYFUNCTION("""COMPUTED_VALUE"""),"")</f>
        <v/>
      </c>
      <c r="B17266" s="87"/>
      <c r="C17266" s="87"/>
      <c r="D17266" s="87"/>
      <c r="E17266" s="87"/>
      <c r="F17266" s="87"/>
      <c r="G17266" s="87"/>
    </row>
    <row r="17267">
      <c r="A17267" s="86" t="str">
        <f>IFERROR(__xludf.DUMMYFUNCTION("""COMPUTED_VALUE"""),"")</f>
        <v/>
      </c>
      <c r="B17267" s="87"/>
      <c r="C17267" s="87"/>
      <c r="D17267" s="87"/>
      <c r="E17267" s="87"/>
      <c r="F17267" s="87"/>
      <c r="G17267" s="87"/>
    </row>
    <row r="17268">
      <c r="A17268" s="86" t="str">
        <f>IFERROR(__xludf.DUMMYFUNCTION("""COMPUTED_VALUE"""),"")</f>
        <v/>
      </c>
      <c r="B17268" s="87"/>
      <c r="C17268" s="87"/>
      <c r="D17268" s="87"/>
      <c r="E17268" s="87"/>
      <c r="F17268" s="87"/>
      <c r="G17268" s="87"/>
    </row>
    <row r="17269">
      <c r="A17269" s="86" t="str">
        <f>IFERROR(__xludf.DUMMYFUNCTION("""COMPUTED_VALUE"""),"")</f>
        <v/>
      </c>
      <c r="B17269" s="87"/>
      <c r="C17269" s="87"/>
      <c r="D17269" s="87"/>
      <c r="E17269" s="87"/>
      <c r="F17269" s="87"/>
      <c r="G17269" s="87"/>
    </row>
    <row r="17270">
      <c r="A17270" s="86" t="str">
        <f>IFERROR(__xludf.DUMMYFUNCTION("""COMPUTED_VALUE"""),"")</f>
        <v/>
      </c>
      <c r="B17270" s="87"/>
      <c r="C17270" s="87"/>
      <c r="D17270" s="87"/>
      <c r="E17270" s="87"/>
      <c r="F17270" s="87"/>
      <c r="G17270" s="87"/>
    </row>
    <row r="17271">
      <c r="A17271" s="86" t="str">
        <f>IFERROR(__xludf.DUMMYFUNCTION("""COMPUTED_VALUE"""),"")</f>
        <v/>
      </c>
      <c r="B17271" s="87"/>
      <c r="C17271" s="87"/>
      <c r="D17271" s="87"/>
      <c r="E17271" s="87"/>
      <c r="F17271" s="87"/>
      <c r="G17271" s="87"/>
    </row>
    <row r="17272">
      <c r="A17272" s="86" t="str">
        <f>IFERROR(__xludf.DUMMYFUNCTION("""COMPUTED_VALUE"""),"")</f>
        <v/>
      </c>
      <c r="B17272" s="87"/>
      <c r="C17272" s="87"/>
      <c r="D17272" s="87"/>
      <c r="E17272" s="87"/>
      <c r="F17272" s="87"/>
      <c r="G17272" s="87"/>
    </row>
    <row r="17273">
      <c r="A17273" s="86" t="str">
        <f>IFERROR(__xludf.DUMMYFUNCTION("""COMPUTED_VALUE"""),"")</f>
        <v/>
      </c>
      <c r="B17273" s="87"/>
      <c r="C17273" s="87"/>
      <c r="D17273" s="87"/>
      <c r="E17273" s="87"/>
      <c r="F17273" s="87"/>
      <c r="G17273" s="87"/>
    </row>
    <row r="17274">
      <c r="A17274" s="86" t="str">
        <f>IFERROR(__xludf.DUMMYFUNCTION("""COMPUTED_VALUE"""),"")</f>
        <v/>
      </c>
      <c r="B17274" s="87"/>
      <c r="C17274" s="87"/>
      <c r="D17274" s="87"/>
      <c r="E17274" s="87"/>
      <c r="F17274" s="87"/>
      <c r="G17274" s="87"/>
    </row>
    <row r="17275">
      <c r="A17275" s="86" t="str">
        <f>IFERROR(__xludf.DUMMYFUNCTION("""COMPUTED_VALUE"""),"")</f>
        <v/>
      </c>
      <c r="B17275" s="87"/>
      <c r="C17275" s="87"/>
      <c r="D17275" s="87"/>
      <c r="E17275" s="87"/>
      <c r="F17275" s="87"/>
      <c r="G17275" s="87"/>
    </row>
    <row r="17276">
      <c r="A17276" s="86" t="str">
        <f>IFERROR(__xludf.DUMMYFUNCTION("""COMPUTED_VALUE"""),"")</f>
        <v/>
      </c>
      <c r="B17276" s="87"/>
      <c r="C17276" s="87"/>
      <c r="D17276" s="87"/>
      <c r="E17276" s="87"/>
      <c r="F17276" s="87"/>
      <c r="G17276" s="87"/>
    </row>
    <row r="17277">
      <c r="A17277" s="86" t="str">
        <f>IFERROR(__xludf.DUMMYFUNCTION("""COMPUTED_VALUE"""),"")</f>
        <v/>
      </c>
      <c r="B17277" s="87"/>
      <c r="C17277" s="87"/>
      <c r="D17277" s="87"/>
      <c r="E17277" s="87"/>
      <c r="F17277" s="87"/>
      <c r="G17277" s="87"/>
    </row>
    <row r="17278">
      <c r="A17278" s="86" t="str">
        <f>IFERROR(__xludf.DUMMYFUNCTION("""COMPUTED_VALUE"""),"")</f>
        <v/>
      </c>
      <c r="B17278" s="87"/>
      <c r="C17278" s="87"/>
      <c r="D17278" s="87"/>
      <c r="E17278" s="87"/>
      <c r="F17278" s="87"/>
      <c r="G17278" s="87"/>
    </row>
    <row r="17279">
      <c r="A17279" s="86" t="str">
        <f>IFERROR(__xludf.DUMMYFUNCTION("""COMPUTED_VALUE"""),"")</f>
        <v/>
      </c>
      <c r="B17279" s="87"/>
      <c r="C17279" s="87"/>
      <c r="D17279" s="87"/>
      <c r="E17279" s="87"/>
      <c r="F17279" s="87"/>
      <c r="G17279" s="87"/>
    </row>
    <row r="17280">
      <c r="A17280" s="86" t="str">
        <f>IFERROR(__xludf.DUMMYFUNCTION("""COMPUTED_VALUE"""),"")</f>
        <v/>
      </c>
      <c r="B17280" s="87"/>
      <c r="C17280" s="87"/>
      <c r="D17280" s="87"/>
      <c r="E17280" s="87"/>
      <c r="F17280" s="87"/>
      <c r="G17280" s="87"/>
    </row>
    <row r="17281">
      <c r="A17281" s="86" t="str">
        <f>IFERROR(__xludf.DUMMYFUNCTION("""COMPUTED_VALUE"""),"")</f>
        <v/>
      </c>
      <c r="B17281" s="87"/>
      <c r="C17281" s="87"/>
      <c r="D17281" s="87"/>
      <c r="E17281" s="87"/>
      <c r="F17281" s="87"/>
      <c r="G17281" s="87"/>
    </row>
    <row r="17282">
      <c r="A17282" s="86" t="str">
        <f>IFERROR(__xludf.DUMMYFUNCTION("""COMPUTED_VALUE"""),"")</f>
        <v/>
      </c>
      <c r="B17282" s="87"/>
      <c r="C17282" s="87"/>
      <c r="D17282" s="87"/>
      <c r="E17282" s="87"/>
      <c r="F17282" s="87"/>
      <c r="G17282" s="87"/>
    </row>
    <row r="17283">
      <c r="A17283" s="86" t="str">
        <f>IFERROR(__xludf.DUMMYFUNCTION("""COMPUTED_VALUE"""),"")</f>
        <v/>
      </c>
      <c r="B17283" s="87"/>
      <c r="C17283" s="87"/>
      <c r="D17283" s="87"/>
      <c r="E17283" s="87"/>
      <c r="F17283" s="87"/>
      <c r="G17283" s="87"/>
    </row>
    <row r="17284">
      <c r="A17284" s="86" t="str">
        <f>IFERROR(__xludf.DUMMYFUNCTION("""COMPUTED_VALUE"""),"")</f>
        <v/>
      </c>
      <c r="B17284" s="87"/>
      <c r="C17284" s="87"/>
      <c r="D17284" s="87"/>
      <c r="E17284" s="87"/>
      <c r="F17284" s="87"/>
      <c r="G17284" s="87"/>
    </row>
    <row r="17285">
      <c r="A17285" s="86" t="str">
        <f>IFERROR(__xludf.DUMMYFUNCTION("""COMPUTED_VALUE"""),"")</f>
        <v/>
      </c>
      <c r="B17285" s="87"/>
      <c r="C17285" s="87"/>
      <c r="D17285" s="87"/>
      <c r="E17285" s="87"/>
      <c r="F17285" s="87"/>
      <c r="G17285" s="87"/>
    </row>
    <row r="17286">
      <c r="A17286" s="86" t="str">
        <f>IFERROR(__xludf.DUMMYFUNCTION("""COMPUTED_VALUE"""),"")</f>
        <v/>
      </c>
      <c r="B17286" s="87"/>
      <c r="C17286" s="87"/>
      <c r="D17286" s="87"/>
      <c r="E17286" s="87"/>
      <c r="F17286" s="87"/>
      <c r="G17286" s="87"/>
    </row>
    <row r="17287">
      <c r="A17287" s="86" t="str">
        <f>IFERROR(__xludf.DUMMYFUNCTION("""COMPUTED_VALUE"""),"")</f>
        <v/>
      </c>
      <c r="B17287" s="87"/>
      <c r="C17287" s="87"/>
      <c r="D17287" s="87"/>
      <c r="E17287" s="87"/>
      <c r="F17287" s="87"/>
      <c r="G17287" s="87"/>
    </row>
    <row r="17288">
      <c r="A17288" s="86" t="str">
        <f>IFERROR(__xludf.DUMMYFUNCTION("""COMPUTED_VALUE"""),"")</f>
        <v/>
      </c>
      <c r="B17288" s="87"/>
      <c r="C17288" s="87"/>
      <c r="D17288" s="87"/>
      <c r="E17288" s="87"/>
      <c r="F17288" s="87"/>
      <c r="G17288" s="87"/>
    </row>
    <row r="17289">
      <c r="A17289" s="86" t="str">
        <f>IFERROR(__xludf.DUMMYFUNCTION("""COMPUTED_VALUE"""),"")</f>
        <v/>
      </c>
      <c r="B17289" s="87"/>
      <c r="C17289" s="87"/>
      <c r="D17289" s="87"/>
      <c r="E17289" s="87"/>
      <c r="F17289" s="87"/>
      <c r="G17289" s="87"/>
    </row>
    <row r="17290">
      <c r="A17290" s="86" t="str">
        <f>IFERROR(__xludf.DUMMYFUNCTION("""COMPUTED_VALUE"""),"")</f>
        <v/>
      </c>
      <c r="B17290" s="87"/>
      <c r="C17290" s="87"/>
      <c r="D17290" s="87"/>
      <c r="E17290" s="87"/>
      <c r="F17290" s="87"/>
      <c r="G17290" s="87"/>
    </row>
    <row r="17291">
      <c r="A17291" s="86" t="str">
        <f>IFERROR(__xludf.DUMMYFUNCTION("""COMPUTED_VALUE"""),"")</f>
        <v/>
      </c>
      <c r="B17291" s="87"/>
      <c r="C17291" s="87"/>
      <c r="D17291" s="87"/>
      <c r="E17291" s="87"/>
      <c r="F17291" s="87"/>
      <c r="G17291" s="87"/>
    </row>
    <row r="17292">
      <c r="A17292" s="86" t="str">
        <f>IFERROR(__xludf.DUMMYFUNCTION("""COMPUTED_VALUE"""),"")</f>
        <v/>
      </c>
      <c r="B17292" s="87"/>
      <c r="C17292" s="87"/>
      <c r="D17292" s="87"/>
      <c r="E17292" s="87"/>
      <c r="F17292" s="87"/>
      <c r="G17292" s="87"/>
    </row>
    <row r="17293">
      <c r="A17293" s="86" t="str">
        <f>IFERROR(__xludf.DUMMYFUNCTION("""COMPUTED_VALUE"""),"")</f>
        <v/>
      </c>
      <c r="B17293" s="87"/>
      <c r="C17293" s="87"/>
      <c r="D17293" s="87"/>
      <c r="E17293" s="87"/>
      <c r="F17293" s="87"/>
      <c r="G17293" s="87"/>
    </row>
    <row r="17294">
      <c r="A17294" s="86" t="str">
        <f>IFERROR(__xludf.DUMMYFUNCTION("""COMPUTED_VALUE"""),"")</f>
        <v/>
      </c>
      <c r="B17294" s="87"/>
      <c r="C17294" s="87"/>
      <c r="D17294" s="87"/>
      <c r="E17294" s="87"/>
      <c r="F17294" s="87"/>
      <c r="G17294" s="87"/>
    </row>
    <row r="17295">
      <c r="A17295" s="86" t="str">
        <f>IFERROR(__xludf.DUMMYFUNCTION("""COMPUTED_VALUE"""),"")</f>
        <v/>
      </c>
      <c r="B17295" s="87"/>
      <c r="C17295" s="87"/>
      <c r="D17295" s="87"/>
      <c r="E17295" s="87"/>
      <c r="F17295" s="87"/>
      <c r="G17295" s="87"/>
    </row>
    <row r="17296">
      <c r="A17296" s="86" t="str">
        <f>IFERROR(__xludf.DUMMYFUNCTION("""COMPUTED_VALUE"""),"")</f>
        <v/>
      </c>
      <c r="B17296" s="87"/>
      <c r="C17296" s="87"/>
      <c r="D17296" s="87"/>
      <c r="E17296" s="87"/>
      <c r="F17296" s="87"/>
      <c r="G17296" s="87"/>
    </row>
    <row r="17297">
      <c r="A17297" s="86" t="str">
        <f>IFERROR(__xludf.DUMMYFUNCTION("""COMPUTED_VALUE"""),"")</f>
        <v/>
      </c>
      <c r="B17297" s="87"/>
      <c r="C17297" s="87"/>
      <c r="D17297" s="87"/>
      <c r="E17297" s="87"/>
      <c r="F17297" s="87"/>
      <c r="G17297" s="87"/>
    </row>
    <row r="17298">
      <c r="A17298" s="86" t="str">
        <f>IFERROR(__xludf.DUMMYFUNCTION("""COMPUTED_VALUE"""),"")</f>
        <v/>
      </c>
      <c r="B17298" s="87"/>
      <c r="C17298" s="87"/>
      <c r="D17298" s="87"/>
      <c r="E17298" s="87"/>
      <c r="F17298" s="87"/>
      <c r="G17298" s="87"/>
    </row>
    <row r="17299">
      <c r="A17299" s="86" t="str">
        <f>IFERROR(__xludf.DUMMYFUNCTION("""COMPUTED_VALUE"""),"")</f>
        <v/>
      </c>
      <c r="B17299" s="87"/>
      <c r="C17299" s="87"/>
      <c r="D17299" s="87"/>
      <c r="E17299" s="87"/>
      <c r="F17299" s="87"/>
      <c r="G17299" s="87"/>
    </row>
    <row r="17300">
      <c r="A17300" s="86" t="str">
        <f>IFERROR(__xludf.DUMMYFUNCTION("""COMPUTED_VALUE"""),"")</f>
        <v/>
      </c>
      <c r="B17300" s="87"/>
      <c r="C17300" s="87"/>
      <c r="D17300" s="87"/>
      <c r="E17300" s="87"/>
      <c r="F17300" s="87"/>
      <c r="G17300" s="87"/>
    </row>
    <row r="17301">
      <c r="A17301" s="86" t="str">
        <f>IFERROR(__xludf.DUMMYFUNCTION("""COMPUTED_VALUE"""),"")</f>
        <v/>
      </c>
      <c r="B17301" s="87"/>
      <c r="C17301" s="87"/>
      <c r="D17301" s="87"/>
      <c r="E17301" s="87"/>
      <c r="F17301" s="87"/>
      <c r="G17301" s="87"/>
    </row>
    <row r="17302">
      <c r="A17302" s="86" t="str">
        <f>IFERROR(__xludf.DUMMYFUNCTION("""COMPUTED_VALUE"""),"")</f>
        <v/>
      </c>
      <c r="B17302" s="87"/>
      <c r="C17302" s="87"/>
      <c r="D17302" s="87"/>
      <c r="E17302" s="87"/>
      <c r="F17302" s="87"/>
      <c r="G17302" s="87"/>
    </row>
    <row r="17303">
      <c r="A17303" s="86" t="str">
        <f>IFERROR(__xludf.DUMMYFUNCTION("""COMPUTED_VALUE"""),"")</f>
        <v/>
      </c>
      <c r="B17303" s="87"/>
      <c r="C17303" s="87"/>
      <c r="D17303" s="87"/>
      <c r="E17303" s="87"/>
      <c r="F17303" s="87"/>
      <c r="G17303" s="87"/>
    </row>
    <row r="17304">
      <c r="A17304" s="86" t="str">
        <f>IFERROR(__xludf.DUMMYFUNCTION("""COMPUTED_VALUE"""),"")</f>
        <v/>
      </c>
      <c r="B17304" s="87"/>
      <c r="C17304" s="87"/>
      <c r="D17304" s="87"/>
      <c r="E17304" s="87"/>
      <c r="F17304" s="87"/>
      <c r="G17304" s="87"/>
    </row>
    <row r="17305">
      <c r="A17305" s="86" t="str">
        <f>IFERROR(__xludf.DUMMYFUNCTION("""COMPUTED_VALUE"""),"")</f>
        <v/>
      </c>
      <c r="B17305" s="87"/>
      <c r="C17305" s="87"/>
      <c r="D17305" s="87"/>
      <c r="E17305" s="87"/>
      <c r="F17305" s="87"/>
      <c r="G17305" s="87"/>
    </row>
    <row r="17306">
      <c r="A17306" s="86" t="str">
        <f>IFERROR(__xludf.DUMMYFUNCTION("""COMPUTED_VALUE"""),"")</f>
        <v/>
      </c>
      <c r="B17306" s="87"/>
      <c r="C17306" s="87"/>
      <c r="D17306" s="87"/>
      <c r="E17306" s="87"/>
      <c r="F17306" s="87"/>
      <c r="G17306" s="87"/>
    </row>
    <row r="17307">
      <c r="A17307" s="86" t="str">
        <f>IFERROR(__xludf.DUMMYFUNCTION("""COMPUTED_VALUE"""),"")</f>
        <v/>
      </c>
      <c r="B17307" s="87"/>
      <c r="C17307" s="87"/>
      <c r="D17307" s="87"/>
      <c r="E17307" s="87"/>
      <c r="F17307" s="87"/>
      <c r="G17307" s="87"/>
    </row>
    <row r="17308">
      <c r="A17308" s="86" t="str">
        <f>IFERROR(__xludf.DUMMYFUNCTION("""COMPUTED_VALUE"""),"")</f>
        <v/>
      </c>
      <c r="B17308" s="87"/>
      <c r="C17308" s="87"/>
      <c r="D17308" s="87"/>
      <c r="E17308" s="87"/>
      <c r="F17308" s="87"/>
      <c r="G17308" s="87"/>
    </row>
    <row r="17309">
      <c r="A17309" s="86" t="str">
        <f>IFERROR(__xludf.DUMMYFUNCTION("""COMPUTED_VALUE"""),"")</f>
        <v/>
      </c>
      <c r="B17309" s="87"/>
      <c r="C17309" s="87"/>
      <c r="D17309" s="87"/>
      <c r="E17309" s="87"/>
      <c r="F17309" s="87"/>
      <c r="G17309" s="87"/>
    </row>
    <row r="17310">
      <c r="A17310" s="86" t="str">
        <f>IFERROR(__xludf.DUMMYFUNCTION("""COMPUTED_VALUE"""),"")</f>
        <v/>
      </c>
      <c r="B17310" s="87"/>
      <c r="C17310" s="87"/>
      <c r="D17310" s="87"/>
      <c r="E17310" s="87"/>
      <c r="F17310" s="87"/>
      <c r="G17310" s="87"/>
    </row>
    <row r="17311">
      <c r="A17311" s="86" t="str">
        <f>IFERROR(__xludf.DUMMYFUNCTION("""COMPUTED_VALUE"""),"")</f>
        <v/>
      </c>
      <c r="B17311" s="87"/>
      <c r="C17311" s="87"/>
      <c r="D17311" s="87"/>
      <c r="E17311" s="87"/>
      <c r="F17311" s="87"/>
      <c r="G17311" s="87"/>
    </row>
    <row r="17312">
      <c r="A17312" s="86" t="str">
        <f>IFERROR(__xludf.DUMMYFUNCTION("""COMPUTED_VALUE"""),"")</f>
        <v/>
      </c>
      <c r="B17312" s="87"/>
      <c r="C17312" s="87"/>
      <c r="D17312" s="87"/>
      <c r="E17312" s="87"/>
      <c r="F17312" s="87"/>
      <c r="G17312" s="87"/>
    </row>
    <row r="17313">
      <c r="A17313" s="86" t="str">
        <f>IFERROR(__xludf.DUMMYFUNCTION("""COMPUTED_VALUE"""),"")</f>
        <v/>
      </c>
      <c r="B17313" s="87"/>
      <c r="C17313" s="87"/>
      <c r="D17313" s="87"/>
      <c r="E17313" s="87"/>
      <c r="F17313" s="87"/>
      <c r="G17313" s="87"/>
    </row>
    <row r="17314">
      <c r="A17314" s="86" t="str">
        <f>IFERROR(__xludf.DUMMYFUNCTION("""COMPUTED_VALUE"""),"")</f>
        <v/>
      </c>
      <c r="B17314" s="87"/>
      <c r="C17314" s="87"/>
      <c r="D17314" s="87"/>
      <c r="E17314" s="87"/>
      <c r="F17314" s="87"/>
      <c r="G17314" s="87"/>
    </row>
    <row r="17315">
      <c r="A17315" s="86" t="str">
        <f>IFERROR(__xludf.DUMMYFUNCTION("""COMPUTED_VALUE"""),"")</f>
        <v/>
      </c>
      <c r="B17315" s="87"/>
      <c r="C17315" s="87"/>
      <c r="D17315" s="87"/>
      <c r="E17315" s="87"/>
      <c r="F17315" s="87"/>
      <c r="G17315" s="87"/>
    </row>
    <row r="17316">
      <c r="A17316" s="86" t="str">
        <f>IFERROR(__xludf.DUMMYFUNCTION("""COMPUTED_VALUE"""),"")</f>
        <v/>
      </c>
      <c r="B17316" s="87"/>
      <c r="C17316" s="87"/>
      <c r="D17316" s="87"/>
      <c r="E17316" s="87"/>
      <c r="F17316" s="87"/>
      <c r="G17316" s="87"/>
    </row>
    <row r="17317">
      <c r="A17317" s="86" t="str">
        <f>IFERROR(__xludf.DUMMYFUNCTION("""COMPUTED_VALUE"""),"")</f>
        <v/>
      </c>
      <c r="B17317" s="87"/>
      <c r="C17317" s="87"/>
      <c r="D17317" s="87"/>
      <c r="E17317" s="87"/>
      <c r="F17317" s="87"/>
      <c r="G17317" s="87"/>
    </row>
    <row r="17318">
      <c r="A17318" s="86" t="str">
        <f>IFERROR(__xludf.DUMMYFUNCTION("""COMPUTED_VALUE"""),"")</f>
        <v/>
      </c>
      <c r="B17318" s="87"/>
      <c r="C17318" s="87"/>
      <c r="D17318" s="87"/>
      <c r="E17318" s="87"/>
      <c r="F17318" s="87"/>
      <c r="G17318" s="87"/>
    </row>
    <row r="17319">
      <c r="A17319" s="86" t="str">
        <f>IFERROR(__xludf.DUMMYFUNCTION("""COMPUTED_VALUE"""),"")</f>
        <v/>
      </c>
      <c r="B17319" s="87"/>
      <c r="C17319" s="87"/>
      <c r="D17319" s="87"/>
      <c r="E17319" s="87"/>
      <c r="F17319" s="87"/>
      <c r="G17319" s="87"/>
    </row>
    <row r="17320">
      <c r="A17320" s="86" t="str">
        <f>IFERROR(__xludf.DUMMYFUNCTION("""COMPUTED_VALUE"""),"")</f>
        <v/>
      </c>
      <c r="B17320" s="87"/>
      <c r="C17320" s="87"/>
      <c r="D17320" s="87"/>
      <c r="E17320" s="87"/>
      <c r="F17320" s="87"/>
      <c r="G17320" s="87"/>
    </row>
    <row r="17321">
      <c r="A17321" s="86" t="str">
        <f>IFERROR(__xludf.DUMMYFUNCTION("""COMPUTED_VALUE"""),"")</f>
        <v/>
      </c>
      <c r="B17321" s="87"/>
      <c r="C17321" s="87"/>
      <c r="D17321" s="87"/>
      <c r="E17321" s="87"/>
      <c r="F17321" s="87"/>
      <c r="G17321" s="87"/>
    </row>
    <row r="17322">
      <c r="A17322" s="86" t="str">
        <f>IFERROR(__xludf.DUMMYFUNCTION("""COMPUTED_VALUE"""),"")</f>
        <v/>
      </c>
      <c r="B17322" s="87"/>
      <c r="C17322" s="87"/>
      <c r="D17322" s="87"/>
      <c r="E17322" s="87"/>
      <c r="F17322" s="87"/>
      <c r="G17322" s="87"/>
    </row>
    <row r="17323">
      <c r="A17323" s="86" t="str">
        <f>IFERROR(__xludf.DUMMYFUNCTION("""COMPUTED_VALUE"""),"")</f>
        <v/>
      </c>
      <c r="B17323" s="87"/>
      <c r="C17323" s="87"/>
      <c r="D17323" s="87"/>
      <c r="E17323" s="87"/>
      <c r="F17323" s="87"/>
      <c r="G17323" s="87"/>
    </row>
    <row r="17324">
      <c r="A17324" s="86" t="str">
        <f>IFERROR(__xludf.DUMMYFUNCTION("""COMPUTED_VALUE"""),"")</f>
        <v/>
      </c>
      <c r="B17324" s="87"/>
      <c r="C17324" s="87"/>
      <c r="D17324" s="87"/>
      <c r="E17324" s="87"/>
      <c r="F17324" s="87"/>
      <c r="G17324" s="87"/>
    </row>
    <row r="17325">
      <c r="A17325" s="86" t="str">
        <f>IFERROR(__xludf.DUMMYFUNCTION("""COMPUTED_VALUE"""),"")</f>
        <v/>
      </c>
      <c r="B17325" s="87"/>
      <c r="C17325" s="87"/>
      <c r="D17325" s="87"/>
      <c r="E17325" s="87"/>
      <c r="F17325" s="87"/>
      <c r="G17325" s="87"/>
    </row>
    <row r="17326">
      <c r="A17326" s="86" t="str">
        <f>IFERROR(__xludf.DUMMYFUNCTION("""COMPUTED_VALUE"""),"")</f>
        <v/>
      </c>
      <c r="B17326" s="87"/>
      <c r="C17326" s="87"/>
      <c r="D17326" s="87"/>
      <c r="E17326" s="87"/>
      <c r="F17326" s="87"/>
      <c r="G17326" s="87"/>
    </row>
    <row r="17327">
      <c r="A17327" s="86" t="str">
        <f>IFERROR(__xludf.DUMMYFUNCTION("""COMPUTED_VALUE"""),"")</f>
        <v/>
      </c>
      <c r="B17327" s="87"/>
      <c r="C17327" s="87"/>
      <c r="D17327" s="87"/>
      <c r="E17327" s="87"/>
      <c r="F17327" s="87"/>
      <c r="G17327" s="87"/>
    </row>
    <row r="17328">
      <c r="A17328" s="86" t="str">
        <f>IFERROR(__xludf.DUMMYFUNCTION("""COMPUTED_VALUE"""),"")</f>
        <v/>
      </c>
      <c r="B17328" s="87"/>
      <c r="C17328" s="87"/>
      <c r="D17328" s="87"/>
      <c r="E17328" s="87"/>
      <c r="F17328" s="87"/>
      <c r="G17328" s="87"/>
    </row>
    <row r="17329">
      <c r="A17329" s="86" t="str">
        <f>IFERROR(__xludf.DUMMYFUNCTION("""COMPUTED_VALUE"""),"")</f>
        <v/>
      </c>
      <c r="B17329" s="87"/>
      <c r="C17329" s="87"/>
      <c r="D17329" s="87"/>
      <c r="E17329" s="87"/>
      <c r="F17329" s="87"/>
      <c r="G17329" s="87"/>
    </row>
    <row r="17330">
      <c r="A17330" s="86" t="str">
        <f>IFERROR(__xludf.DUMMYFUNCTION("""COMPUTED_VALUE"""),"")</f>
        <v/>
      </c>
      <c r="B17330" s="87"/>
      <c r="C17330" s="87"/>
      <c r="D17330" s="87"/>
      <c r="E17330" s="87"/>
      <c r="F17330" s="87"/>
      <c r="G17330" s="87"/>
    </row>
    <row r="17331">
      <c r="A17331" s="86" t="str">
        <f>IFERROR(__xludf.DUMMYFUNCTION("""COMPUTED_VALUE"""),"")</f>
        <v/>
      </c>
      <c r="B17331" s="87"/>
      <c r="C17331" s="87"/>
      <c r="D17331" s="87"/>
      <c r="E17331" s="87"/>
      <c r="F17331" s="87"/>
      <c r="G17331" s="87"/>
    </row>
    <row r="17332">
      <c r="A17332" s="86" t="str">
        <f>IFERROR(__xludf.DUMMYFUNCTION("""COMPUTED_VALUE"""),"")</f>
        <v/>
      </c>
      <c r="B17332" s="87"/>
      <c r="C17332" s="87"/>
      <c r="D17332" s="87"/>
      <c r="E17332" s="87"/>
      <c r="F17332" s="87"/>
      <c r="G17332" s="87"/>
    </row>
    <row r="17333">
      <c r="A17333" s="86" t="str">
        <f>IFERROR(__xludf.DUMMYFUNCTION("""COMPUTED_VALUE"""),"")</f>
        <v/>
      </c>
      <c r="B17333" s="87"/>
      <c r="C17333" s="87"/>
      <c r="D17333" s="87"/>
      <c r="E17333" s="87"/>
      <c r="F17333" s="87"/>
      <c r="G17333" s="87"/>
    </row>
    <row r="17334">
      <c r="A17334" s="86" t="str">
        <f>IFERROR(__xludf.DUMMYFUNCTION("""COMPUTED_VALUE"""),"")</f>
        <v/>
      </c>
      <c r="B17334" s="87"/>
      <c r="C17334" s="87"/>
      <c r="D17334" s="87"/>
      <c r="E17334" s="87"/>
      <c r="F17334" s="87"/>
      <c r="G17334" s="87"/>
    </row>
    <row r="17335">
      <c r="A17335" s="86" t="str">
        <f>IFERROR(__xludf.DUMMYFUNCTION("""COMPUTED_VALUE"""),"")</f>
        <v/>
      </c>
      <c r="B17335" s="87"/>
      <c r="C17335" s="87"/>
      <c r="D17335" s="87"/>
      <c r="E17335" s="87"/>
      <c r="F17335" s="87"/>
      <c r="G17335" s="87"/>
    </row>
    <row r="17336">
      <c r="A17336" s="86" t="str">
        <f>IFERROR(__xludf.DUMMYFUNCTION("""COMPUTED_VALUE"""),"")</f>
        <v/>
      </c>
      <c r="B17336" s="87"/>
      <c r="C17336" s="87"/>
      <c r="D17336" s="87"/>
      <c r="E17336" s="87"/>
      <c r="F17336" s="87"/>
      <c r="G17336" s="87"/>
    </row>
    <row r="17337">
      <c r="A17337" s="86" t="str">
        <f>IFERROR(__xludf.DUMMYFUNCTION("""COMPUTED_VALUE"""),"")</f>
        <v/>
      </c>
      <c r="B17337" s="87"/>
      <c r="C17337" s="87"/>
      <c r="D17337" s="87"/>
      <c r="E17337" s="87"/>
      <c r="F17337" s="87"/>
      <c r="G17337" s="87"/>
    </row>
    <row r="17338">
      <c r="A17338" s="86" t="str">
        <f>IFERROR(__xludf.DUMMYFUNCTION("""COMPUTED_VALUE"""),"")</f>
        <v/>
      </c>
      <c r="B17338" s="87"/>
      <c r="C17338" s="87"/>
      <c r="D17338" s="87"/>
      <c r="E17338" s="87"/>
      <c r="F17338" s="87"/>
      <c r="G17338" s="87"/>
    </row>
    <row r="17339">
      <c r="A17339" s="86" t="str">
        <f>IFERROR(__xludf.DUMMYFUNCTION("""COMPUTED_VALUE"""),"")</f>
        <v/>
      </c>
      <c r="B17339" s="87"/>
      <c r="C17339" s="87"/>
      <c r="D17339" s="87"/>
      <c r="E17339" s="87"/>
      <c r="F17339" s="87"/>
      <c r="G17339" s="87"/>
    </row>
    <row r="17340">
      <c r="A17340" s="86" t="str">
        <f>IFERROR(__xludf.DUMMYFUNCTION("""COMPUTED_VALUE"""),"")</f>
        <v/>
      </c>
      <c r="B17340" s="87"/>
      <c r="C17340" s="87"/>
      <c r="D17340" s="87"/>
      <c r="E17340" s="87"/>
      <c r="F17340" s="87"/>
      <c r="G17340" s="87"/>
    </row>
    <row r="17341">
      <c r="A17341" s="86" t="str">
        <f>IFERROR(__xludf.DUMMYFUNCTION("""COMPUTED_VALUE"""),"")</f>
        <v/>
      </c>
      <c r="B17341" s="87"/>
      <c r="C17341" s="87"/>
      <c r="D17341" s="87"/>
      <c r="E17341" s="87"/>
      <c r="F17341" s="87"/>
      <c r="G17341" s="87"/>
    </row>
    <row r="17342">
      <c r="A17342" s="86" t="str">
        <f>IFERROR(__xludf.DUMMYFUNCTION("""COMPUTED_VALUE"""),"")</f>
        <v/>
      </c>
      <c r="B17342" s="87"/>
      <c r="C17342" s="87"/>
      <c r="D17342" s="87"/>
      <c r="E17342" s="87"/>
      <c r="F17342" s="87"/>
      <c r="G17342" s="87"/>
    </row>
    <row r="17343">
      <c r="A17343" s="86" t="str">
        <f>IFERROR(__xludf.DUMMYFUNCTION("""COMPUTED_VALUE"""),"")</f>
        <v/>
      </c>
      <c r="B17343" s="87"/>
      <c r="C17343" s="87"/>
      <c r="D17343" s="87"/>
      <c r="E17343" s="87"/>
      <c r="F17343" s="87"/>
      <c r="G17343" s="87"/>
    </row>
    <row r="17344">
      <c r="A17344" s="86" t="str">
        <f>IFERROR(__xludf.DUMMYFUNCTION("""COMPUTED_VALUE"""),"")</f>
        <v/>
      </c>
      <c r="B17344" s="87"/>
      <c r="C17344" s="87"/>
      <c r="D17344" s="87"/>
      <c r="E17344" s="87"/>
      <c r="F17344" s="87"/>
      <c r="G17344" s="87"/>
    </row>
    <row r="17345">
      <c r="A17345" s="86" t="str">
        <f>IFERROR(__xludf.DUMMYFUNCTION("""COMPUTED_VALUE"""),"")</f>
        <v/>
      </c>
      <c r="B17345" s="87"/>
      <c r="C17345" s="87"/>
      <c r="D17345" s="87"/>
      <c r="E17345" s="87"/>
      <c r="F17345" s="87"/>
      <c r="G17345" s="87"/>
    </row>
    <row r="17346">
      <c r="A17346" s="86" t="str">
        <f>IFERROR(__xludf.DUMMYFUNCTION("""COMPUTED_VALUE"""),"")</f>
        <v/>
      </c>
      <c r="B17346" s="87"/>
      <c r="C17346" s="87"/>
      <c r="D17346" s="87"/>
      <c r="E17346" s="87"/>
      <c r="F17346" s="87"/>
      <c r="G17346" s="87"/>
    </row>
    <row r="17347">
      <c r="A17347" s="86" t="str">
        <f>IFERROR(__xludf.DUMMYFUNCTION("""COMPUTED_VALUE"""),"")</f>
        <v/>
      </c>
      <c r="B17347" s="87"/>
      <c r="C17347" s="87"/>
      <c r="D17347" s="87"/>
      <c r="E17347" s="87"/>
      <c r="F17347" s="87"/>
      <c r="G17347" s="87"/>
    </row>
    <row r="17348">
      <c r="A17348" s="86" t="str">
        <f>IFERROR(__xludf.DUMMYFUNCTION("""COMPUTED_VALUE"""),"")</f>
        <v/>
      </c>
      <c r="B17348" s="87"/>
      <c r="C17348" s="87"/>
      <c r="D17348" s="87"/>
      <c r="E17348" s="87"/>
      <c r="F17348" s="87"/>
      <c r="G17348" s="87"/>
    </row>
    <row r="17349">
      <c r="A17349" s="86" t="str">
        <f>IFERROR(__xludf.DUMMYFUNCTION("""COMPUTED_VALUE"""),"")</f>
        <v/>
      </c>
      <c r="B17349" s="87"/>
      <c r="C17349" s="87"/>
      <c r="D17349" s="87"/>
      <c r="E17349" s="87"/>
      <c r="F17349" s="87"/>
      <c r="G17349" s="87"/>
    </row>
    <row r="17350">
      <c r="A17350" s="86" t="str">
        <f>IFERROR(__xludf.DUMMYFUNCTION("""COMPUTED_VALUE"""),"")</f>
        <v/>
      </c>
      <c r="B17350" s="87"/>
      <c r="C17350" s="87"/>
      <c r="D17350" s="87"/>
      <c r="E17350" s="87"/>
      <c r="F17350" s="87"/>
      <c r="G17350" s="87"/>
    </row>
    <row r="17351">
      <c r="A17351" s="86" t="str">
        <f>IFERROR(__xludf.DUMMYFUNCTION("""COMPUTED_VALUE"""),"")</f>
        <v/>
      </c>
      <c r="B17351" s="87"/>
      <c r="C17351" s="87"/>
      <c r="D17351" s="87"/>
      <c r="E17351" s="87"/>
      <c r="F17351" s="87"/>
      <c r="G17351" s="87"/>
    </row>
    <row r="17352">
      <c r="A17352" s="86" t="str">
        <f>IFERROR(__xludf.DUMMYFUNCTION("""COMPUTED_VALUE"""),"")</f>
        <v/>
      </c>
      <c r="B17352" s="87"/>
      <c r="C17352" s="87"/>
      <c r="D17352" s="87"/>
      <c r="E17352" s="87"/>
      <c r="F17352" s="87"/>
      <c r="G17352" s="87"/>
    </row>
    <row r="17353">
      <c r="A17353" s="86" t="str">
        <f>IFERROR(__xludf.DUMMYFUNCTION("""COMPUTED_VALUE"""),"")</f>
        <v/>
      </c>
      <c r="B17353" s="87"/>
      <c r="C17353" s="87"/>
      <c r="D17353" s="87"/>
      <c r="E17353" s="87"/>
      <c r="F17353" s="87"/>
      <c r="G17353" s="87"/>
    </row>
    <row r="17354">
      <c r="A17354" s="86" t="str">
        <f>IFERROR(__xludf.DUMMYFUNCTION("""COMPUTED_VALUE"""),"")</f>
        <v/>
      </c>
      <c r="B17354" s="87"/>
      <c r="C17354" s="87"/>
      <c r="D17354" s="87"/>
      <c r="E17354" s="87"/>
      <c r="F17354" s="87"/>
      <c r="G17354" s="87"/>
    </row>
    <row r="17355">
      <c r="A17355" s="86" t="str">
        <f>IFERROR(__xludf.DUMMYFUNCTION("""COMPUTED_VALUE"""),"")</f>
        <v/>
      </c>
      <c r="B17355" s="87"/>
      <c r="C17355" s="87"/>
      <c r="D17355" s="87"/>
      <c r="E17355" s="87"/>
      <c r="F17355" s="87"/>
      <c r="G17355" s="87"/>
    </row>
    <row r="17356">
      <c r="A17356" s="86" t="str">
        <f>IFERROR(__xludf.DUMMYFUNCTION("""COMPUTED_VALUE"""),"")</f>
        <v/>
      </c>
      <c r="B17356" s="87"/>
      <c r="C17356" s="87"/>
      <c r="D17356" s="87"/>
      <c r="E17356" s="87"/>
      <c r="F17356" s="87"/>
      <c r="G17356" s="87"/>
    </row>
    <row r="17357">
      <c r="A17357" s="86" t="str">
        <f>IFERROR(__xludf.DUMMYFUNCTION("""COMPUTED_VALUE"""),"")</f>
        <v/>
      </c>
      <c r="B17357" s="87"/>
      <c r="C17357" s="87"/>
      <c r="D17357" s="87"/>
      <c r="E17357" s="87"/>
      <c r="F17357" s="87"/>
      <c r="G17357" s="87"/>
    </row>
    <row r="17358">
      <c r="A17358" s="86" t="str">
        <f>IFERROR(__xludf.DUMMYFUNCTION("""COMPUTED_VALUE"""),"")</f>
        <v/>
      </c>
      <c r="B17358" s="87"/>
      <c r="C17358" s="87"/>
      <c r="D17358" s="87"/>
      <c r="E17358" s="87"/>
      <c r="F17358" s="87"/>
      <c r="G17358" s="87"/>
    </row>
    <row r="17359">
      <c r="A17359" s="86" t="str">
        <f>IFERROR(__xludf.DUMMYFUNCTION("""COMPUTED_VALUE"""),"")</f>
        <v/>
      </c>
      <c r="B17359" s="87"/>
      <c r="C17359" s="87"/>
      <c r="D17359" s="87"/>
      <c r="E17359" s="87"/>
      <c r="F17359" s="87"/>
      <c r="G17359" s="87"/>
    </row>
    <row r="17360">
      <c r="A17360" s="86" t="str">
        <f>IFERROR(__xludf.DUMMYFUNCTION("""COMPUTED_VALUE"""),"")</f>
        <v/>
      </c>
      <c r="B17360" s="87"/>
      <c r="C17360" s="87"/>
      <c r="D17360" s="87"/>
      <c r="E17360" s="87"/>
      <c r="F17360" s="87"/>
      <c r="G17360" s="87"/>
    </row>
    <row r="17361">
      <c r="A17361" s="86" t="str">
        <f>IFERROR(__xludf.DUMMYFUNCTION("""COMPUTED_VALUE"""),"")</f>
        <v/>
      </c>
      <c r="B17361" s="87"/>
      <c r="C17361" s="87"/>
      <c r="D17361" s="87"/>
      <c r="E17361" s="87"/>
      <c r="F17361" s="87"/>
      <c r="G17361" s="87"/>
    </row>
    <row r="17362">
      <c r="A17362" s="86" t="str">
        <f>IFERROR(__xludf.DUMMYFUNCTION("""COMPUTED_VALUE"""),"")</f>
        <v/>
      </c>
      <c r="B17362" s="87"/>
      <c r="C17362" s="87"/>
      <c r="D17362" s="87"/>
      <c r="E17362" s="87"/>
      <c r="F17362" s="87"/>
      <c r="G17362" s="87"/>
    </row>
    <row r="17363">
      <c r="A17363" s="86" t="str">
        <f>IFERROR(__xludf.DUMMYFUNCTION("""COMPUTED_VALUE"""),"")</f>
        <v/>
      </c>
      <c r="B17363" s="87"/>
      <c r="C17363" s="87"/>
      <c r="D17363" s="87"/>
      <c r="E17363" s="87"/>
      <c r="F17363" s="87"/>
      <c r="G17363" s="87"/>
    </row>
    <row r="17364">
      <c r="A17364" s="86" t="str">
        <f>IFERROR(__xludf.DUMMYFUNCTION("""COMPUTED_VALUE"""),"")</f>
        <v/>
      </c>
      <c r="B17364" s="87"/>
      <c r="C17364" s="87"/>
      <c r="D17364" s="87"/>
      <c r="E17364" s="87"/>
      <c r="F17364" s="87"/>
      <c r="G17364" s="87"/>
    </row>
    <row r="17365">
      <c r="A17365" s="86" t="str">
        <f>IFERROR(__xludf.DUMMYFUNCTION("""COMPUTED_VALUE"""),"")</f>
        <v/>
      </c>
      <c r="B17365" s="87"/>
      <c r="C17365" s="87"/>
      <c r="D17365" s="87"/>
      <c r="E17365" s="87"/>
      <c r="F17365" s="87"/>
      <c r="G17365" s="87"/>
    </row>
    <row r="17366">
      <c r="A17366" s="86" t="str">
        <f>IFERROR(__xludf.DUMMYFUNCTION("""COMPUTED_VALUE"""),"")</f>
        <v/>
      </c>
      <c r="B17366" s="87"/>
      <c r="C17366" s="87"/>
      <c r="D17366" s="87"/>
      <c r="E17366" s="87"/>
      <c r="F17366" s="87"/>
      <c r="G17366" s="87"/>
    </row>
    <row r="17367">
      <c r="A17367" s="86" t="str">
        <f>IFERROR(__xludf.DUMMYFUNCTION("""COMPUTED_VALUE"""),"")</f>
        <v/>
      </c>
      <c r="B17367" s="87"/>
      <c r="C17367" s="87"/>
      <c r="D17367" s="87"/>
      <c r="E17367" s="87"/>
      <c r="F17367" s="87"/>
      <c r="G17367" s="87"/>
    </row>
    <row r="17368">
      <c r="A17368" s="86" t="str">
        <f>IFERROR(__xludf.DUMMYFUNCTION("""COMPUTED_VALUE"""),"")</f>
        <v/>
      </c>
      <c r="B17368" s="87"/>
      <c r="C17368" s="87"/>
      <c r="D17368" s="87"/>
      <c r="E17368" s="87"/>
      <c r="F17368" s="87"/>
      <c r="G17368" s="87"/>
    </row>
    <row r="17369">
      <c r="A17369" s="86" t="str">
        <f>IFERROR(__xludf.DUMMYFUNCTION("""COMPUTED_VALUE"""),"")</f>
        <v/>
      </c>
      <c r="B17369" s="87"/>
      <c r="C17369" s="87"/>
      <c r="D17369" s="87"/>
      <c r="E17369" s="87"/>
      <c r="F17369" s="87"/>
      <c r="G17369" s="87"/>
    </row>
    <row r="17370">
      <c r="A17370" s="86" t="str">
        <f>IFERROR(__xludf.DUMMYFUNCTION("""COMPUTED_VALUE"""),"")</f>
        <v/>
      </c>
      <c r="B17370" s="87"/>
      <c r="C17370" s="87"/>
      <c r="D17370" s="87"/>
      <c r="E17370" s="87"/>
      <c r="F17370" s="87"/>
      <c r="G17370" s="87"/>
    </row>
    <row r="17371">
      <c r="A17371" s="86" t="str">
        <f>IFERROR(__xludf.DUMMYFUNCTION("""COMPUTED_VALUE"""),"")</f>
        <v/>
      </c>
      <c r="B17371" s="87"/>
      <c r="C17371" s="87"/>
      <c r="D17371" s="87"/>
      <c r="E17371" s="87"/>
      <c r="F17371" s="87"/>
      <c r="G17371" s="87"/>
    </row>
    <row r="17372">
      <c r="A17372" s="86" t="str">
        <f>IFERROR(__xludf.DUMMYFUNCTION("""COMPUTED_VALUE"""),"")</f>
        <v/>
      </c>
      <c r="B17372" s="87"/>
      <c r="C17372" s="87"/>
      <c r="D17372" s="87"/>
      <c r="E17372" s="87"/>
      <c r="F17372" s="87"/>
      <c r="G17372" s="87"/>
    </row>
    <row r="17373">
      <c r="A17373" s="86" t="str">
        <f>IFERROR(__xludf.DUMMYFUNCTION("""COMPUTED_VALUE"""),"")</f>
        <v/>
      </c>
      <c r="B17373" s="87"/>
      <c r="C17373" s="87"/>
      <c r="D17373" s="87"/>
      <c r="E17373" s="87"/>
      <c r="F17373" s="87"/>
      <c r="G17373" s="87"/>
    </row>
    <row r="17374">
      <c r="A17374" s="86" t="str">
        <f>IFERROR(__xludf.DUMMYFUNCTION("""COMPUTED_VALUE"""),"")</f>
        <v/>
      </c>
      <c r="B17374" s="87"/>
      <c r="C17374" s="87"/>
      <c r="D17374" s="87"/>
      <c r="E17374" s="87"/>
      <c r="F17374" s="87"/>
      <c r="G17374" s="87"/>
    </row>
    <row r="17375">
      <c r="A17375" s="86" t="str">
        <f>IFERROR(__xludf.DUMMYFUNCTION("""COMPUTED_VALUE"""),"")</f>
        <v/>
      </c>
      <c r="B17375" s="87"/>
      <c r="C17375" s="87"/>
      <c r="D17375" s="87"/>
      <c r="E17375" s="87"/>
      <c r="F17375" s="87"/>
      <c r="G17375" s="87"/>
    </row>
    <row r="17376">
      <c r="A17376" s="86" t="str">
        <f>IFERROR(__xludf.DUMMYFUNCTION("""COMPUTED_VALUE"""),"")</f>
        <v/>
      </c>
      <c r="B17376" s="87"/>
      <c r="C17376" s="87"/>
      <c r="D17376" s="87"/>
      <c r="E17376" s="87"/>
      <c r="F17376" s="87"/>
      <c r="G17376" s="87"/>
    </row>
    <row r="17377">
      <c r="A17377" s="86" t="str">
        <f>IFERROR(__xludf.DUMMYFUNCTION("""COMPUTED_VALUE"""),"")</f>
        <v/>
      </c>
      <c r="B17377" s="87"/>
      <c r="C17377" s="87"/>
      <c r="D17377" s="87"/>
      <c r="E17377" s="87"/>
      <c r="F17377" s="87"/>
      <c r="G17377" s="87"/>
    </row>
    <row r="17378">
      <c r="A17378" s="86" t="str">
        <f>IFERROR(__xludf.DUMMYFUNCTION("""COMPUTED_VALUE"""),"")</f>
        <v/>
      </c>
      <c r="B17378" s="87"/>
      <c r="C17378" s="87"/>
      <c r="D17378" s="87"/>
      <c r="E17378" s="87"/>
      <c r="F17378" s="87"/>
      <c r="G17378" s="87"/>
    </row>
    <row r="17379">
      <c r="A17379" s="86" t="str">
        <f>IFERROR(__xludf.DUMMYFUNCTION("""COMPUTED_VALUE"""),"")</f>
        <v/>
      </c>
      <c r="B17379" s="87"/>
      <c r="C17379" s="87"/>
      <c r="D17379" s="87"/>
      <c r="E17379" s="87"/>
      <c r="F17379" s="87"/>
      <c r="G17379" s="87"/>
    </row>
    <row r="17380">
      <c r="A17380" s="86" t="str">
        <f>IFERROR(__xludf.DUMMYFUNCTION("""COMPUTED_VALUE"""),"")</f>
        <v/>
      </c>
      <c r="B17380" s="87"/>
      <c r="C17380" s="87"/>
      <c r="D17380" s="87"/>
      <c r="E17380" s="87"/>
      <c r="F17380" s="87"/>
      <c r="G17380" s="87"/>
    </row>
    <row r="17381">
      <c r="A17381" s="86" t="str">
        <f>IFERROR(__xludf.DUMMYFUNCTION("""COMPUTED_VALUE"""),"")</f>
        <v/>
      </c>
      <c r="B17381" s="87"/>
      <c r="C17381" s="87"/>
      <c r="D17381" s="87"/>
      <c r="E17381" s="87"/>
      <c r="F17381" s="87"/>
      <c r="G17381" s="87"/>
    </row>
    <row r="17382">
      <c r="A17382" s="86" t="str">
        <f>IFERROR(__xludf.DUMMYFUNCTION("""COMPUTED_VALUE"""),"")</f>
        <v/>
      </c>
      <c r="B17382" s="87"/>
      <c r="C17382" s="87"/>
      <c r="D17382" s="87"/>
      <c r="E17382" s="87"/>
      <c r="F17382" s="87"/>
      <c r="G17382" s="87"/>
    </row>
    <row r="17383">
      <c r="A17383" s="86" t="str">
        <f>IFERROR(__xludf.DUMMYFUNCTION("""COMPUTED_VALUE"""),"")</f>
        <v/>
      </c>
      <c r="B17383" s="87"/>
      <c r="C17383" s="87"/>
      <c r="D17383" s="87"/>
      <c r="E17383" s="87"/>
      <c r="F17383" s="87"/>
      <c r="G17383" s="87"/>
    </row>
    <row r="17384">
      <c r="A17384" s="86" t="str">
        <f>IFERROR(__xludf.DUMMYFUNCTION("""COMPUTED_VALUE"""),"")</f>
        <v/>
      </c>
      <c r="B17384" s="87"/>
      <c r="C17384" s="87"/>
      <c r="D17384" s="87"/>
      <c r="E17384" s="87"/>
      <c r="F17384" s="87"/>
      <c r="G17384" s="87"/>
    </row>
    <row r="17385">
      <c r="A17385" s="86" t="str">
        <f>IFERROR(__xludf.DUMMYFUNCTION("""COMPUTED_VALUE"""),"")</f>
        <v/>
      </c>
      <c r="B17385" s="87"/>
      <c r="C17385" s="87"/>
      <c r="D17385" s="87"/>
      <c r="E17385" s="87"/>
      <c r="F17385" s="87"/>
      <c r="G17385" s="87"/>
    </row>
    <row r="17386">
      <c r="A17386" s="86" t="str">
        <f>IFERROR(__xludf.DUMMYFUNCTION("""COMPUTED_VALUE"""),"")</f>
        <v/>
      </c>
      <c r="B17386" s="87"/>
      <c r="C17386" s="87"/>
      <c r="D17386" s="87"/>
      <c r="E17386" s="87"/>
      <c r="F17386" s="87"/>
      <c r="G17386" s="87"/>
    </row>
    <row r="17387">
      <c r="A17387" s="86" t="str">
        <f>IFERROR(__xludf.DUMMYFUNCTION("""COMPUTED_VALUE"""),"")</f>
        <v/>
      </c>
      <c r="B17387" s="87"/>
      <c r="C17387" s="87"/>
      <c r="D17387" s="87"/>
      <c r="E17387" s="87"/>
      <c r="F17387" s="87"/>
      <c r="G17387" s="87"/>
    </row>
    <row r="17388">
      <c r="A17388" s="86" t="str">
        <f>IFERROR(__xludf.DUMMYFUNCTION("""COMPUTED_VALUE"""),"")</f>
        <v/>
      </c>
      <c r="B17388" s="87"/>
      <c r="C17388" s="87"/>
      <c r="D17388" s="87"/>
      <c r="E17388" s="87"/>
      <c r="F17388" s="87"/>
      <c r="G17388" s="87"/>
    </row>
    <row r="17389">
      <c r="A17389" s="86" t="str">
        <f>IFERROR(__xludf.DUMMYFUNCTION("""COMPUTED_VALUE"""),"")</f>
        <v/>
      </c>
      <c r="B17389" s="87"/>
      <c r="C17389" s="87"/>
      <c r="D17389" s="87"/>
      <c r="E17389" s="87"/>
      <c r="F17389" s="87"/>
      <c r="G17389" s="87"/>
    </row>
    <row r="17390">
      <c r="A17390" s="86" t="str">
        <f>IFERROR(__xludf.DUMMYFUNCTION("""COMPUTED_VALUE"""),"")</f>
        <v/>
      </c>
      <c r="B17390" s="87"/>
      <c r="C17390" s="87"/>
      <c r="D17390" s="87"/>
      <c r="E17390" s="87"/>
      <c r="F17390" s="87"/>
      <c r="G17390" s="87"/>
    </row>
    <row r="17391">
      <c r="A17391" s="86" t="str">
        <f>IFERROR(__xludf.DUMMYFUNCTION("""COMPUTED_VALUE"""),"")</f>
        <v/>
      </c>
      <c r="B17391" s="87"/>
      <c r="C17391" s="87"/>
      <c r="D17391" s="87"/>
      <c r="E17391" s="87"/>
      <c r="F17391" s="87"/>
      <c r="G17391" s="87"/>
    </row>
    <row r="17392">
      <c r="A17392" s="86" t="str">
        <f>IFERROR(__xludf.DUMMYFUNCTION("""COMPUTED_VALUE"""),"")</f>
        <v/>
      </c>
      <c r="B17392" s="87"/>
      <c r="C17392" s="87"/>
      <c r="D17392" s="87"/>
      <c r="E17392" s="87"/>
      <c r="F17392" s="87"/>
      <c r="G17392" s="87"/>
    </row>
    <row r="17393">
      <c r="A17393" s="86" t="str">
        <f>IFERROR(__xludf.DUMMYFUNCTION("""COMPUTED_VALUE"""),"")</f>
        <v/>
      </c>
      <c r="B17393" s="87"/>
      <c r="C17393" s="87"/>
      <c r="D17393" s="87"/>
      <c r="E17393" s="87"/>
      <c r="F17393" s="87"/>
      <c r="G17393" s="87"/>
    </row>
    <row r="17394">
      <c r="A17394" s="86" t="str">
        <f>IFERROR(__xludf.DUMMYFUNCTION("""COMPUTED_VALUE"""),"")</f>
        <v/>
      </c>
      <c r="B17394" s="87"/>
      <c r="C17394" s="87"/>
      <c r="D17394" s="87"/>
      <c r="E17394" s="87"/>
      <c r="F17394" s="87"/>
      <c r="G17394" s="87"/>
    </row>
    <row r="17395">
      <c r="A17395" s="86" t="str">
        <f>IFERROR(__xludf.DUMMYFUNCTION("""COMPUTED_VALUE"""),"")</f>
        <v/>
      </c>
      <c r="B17395" s="87"/>
      <c r="C17395" s="87"/>
      <c r="D17395" s="87"/>
      <c r="E17395" s="87"/>
      <c r="F17395" s="87"/>
      <c r="G17395" s="87"/>
    </row>
    <row r="17396">
      <c r="A17396" s="86" t="str">
        <f>IFERROR(__xludf.DUMMYFUNCTION("""COMPUTED_VALUE"""),"")</f>
        <v/>
      </c>
      <c r="B17396" s="87"/>
      <c r="C17396" s="87"/>
      <c r="D17396" s="87"/>
      <c r="E17396" s="87"/>
      <c r="F17396" s="87"/>
      <c r="G17396" s="87"/>
    </row>
    <row r="17397">
      <c r="A17397" s="86" t="str">
        <f>IFERROR(__xludf.DUMMYFUNCTION("""COMPUTED_VALUE"""),"")</f>
        <v/>
      </c>
      <c r="B17397" s="87"/>
      <c r="C17397" s="87"/>
      <c r="D17397" s="87"/>
      <c r="E17397" s="87"/>
      <c r="F17397" s="87"/>
      <c r="G17397" s="87"/>
    </row>
    <row r="17398">
      <c r="A17398" s="86" t="str">
        <f>IFERROR(__xludf.DUMMYFUNCTION("""COMPUTED_VALUE"""),"")</f>
        <v/>
      </c>
      <c r="B17398" s="87"/>
      <c r="C17398" s="87"/>
      <c r="D17398" s="87"/>
      <c r="E17398" s="87"/>
      <c r="F17398" s="87"/>
      <c r="G17398" s="87"/>
    </row>
    <row r="17399">
      <c r="A17399" s="86" t="str">
        <f>IFERROR(__xludf.DUMMYFUNCTION("""COMPUTED_VALUE"""),"")</f>
        <v/>
      </c>
      <c r="B17399" s="87"/>
      <c r="C17399" s="87"/>
      <c r="D17399" s="87"/>
      <c r="E17399" s="87"/>
      <c r="F17399" s="87"/>
      <c r="G17399" s="87"/>
    </row>
    <row r="17400">
      <c r="A17400" s="86" t="str">
        <f>IFERROR(__xludf.DUMMYFUNCTION("""COMPUTED_VALUE"""),"")</f>
        <v/>
      </c>
      <c r="B17400" s="87"/>
      <c r="C17400" s="87"/>
      <c r="D17400" s="87"/>
      <c r="E17400" s="87"/>
      <c r="F17400" s="87"/>
      <c r="G17400" s="87"/>
    </row>
    <row r="17401">
      <c r="A17401" s="86" t="str">
        <f>IFERROR(__xludf.DUMMYFUNCTION("""COMPUTED_VALUE"""),"")</f>
        <v/>
      </c>
      <c r="B17401" s="87"/>
      <c r="C17401" s="87"/>
      <c r="D17401" s="87"/>
      <c r="E17401" s="87"/>
      <c r="F17401" s="87"/>
      <c r="G17401" s="87"/>
    </row>
    <row r="17402">
      <c r="A17402" s="86" t="str">
        <f>IFERROR(__xludf.DUMMYFUNCTION("""COMPUTED_VALUE"""),"")</f>
        <v/>
      </c>
      <c r="B17402" s="87"/>
      <c r="C17402" s="87"/>
      <c r="D17402" s="87"/>
      <c r="E17402" s="87"/>
      <c r="F17402" s="87"/>
      <c r="G17402" s="87"/>
    </row>
    <row r="17403">
      <c r="A17403" s="86" t="str">
        <f>IFERROR(__xludf.DUMMYFUNCTION("""COMPUTED_VALUE"""),"")</f>
        <v/>
      </c>
      <c r="B17403" s="87"/>
      <c r="C17403" s="87"/>
      <c r="D17403" s="87"/>
      <c r="E17403" s="87"/>
      <c r="F17403" s="87"/>
      <c r="G17403" s="87"/>
    </row>
    <row r="17404">
      <c r="A17404" s="86" t="str">
        <f>IFERROR(__xludf.DUMMYFUNCTION("""COMPUTED_VALUE"""),"")</f>
        <v/>
      </c>
      <c r="B17404" s="87"/>
      <c r="C17404" s="87"/>
      <c r="D17404" s="87"/>
      <c r="E17404" s="87"/>
      <c r="F17404" s="87"/>
      <c r="G17404" s="87"/>
    </row>
    <row r="17405">
      <c r="A17405" s="86" t="str">
        <f>IFERROR(__xludf.DUMMYFUNCTION("""COMPUTED_VALUE"""),"")</f>
        <v/>
      </c>
      <c r="B17405" s="87"/>
      <c r="C17405" s="87"/>
      <c r="D17405" s="87"/>
      <c r="E17405" s="87"/>
      <c r="F17405" s="87"/>
      <c r="G17405" s="87"/>
    </row>
    <row r="17406">
      <c r="A17406" s="86" t="str">
        <f>IFERROR(__xludf.DUMMYFUNCTION("""COMPUTED_VALUE"""),"")</f>
        <v/>
      </c>
      <c r="B17406" s="87"/>
      <c r="C17406" s="87"/>
      <c r="D17406" s="87"/>
      <c r="E17406" s="87"/>
      <c r="F17406" s="87"/>
      <c r="G17406" s="87"/>
    </row>
    <row r="17407">
      <c r="A17407" s="86" t="str">
        <f>IFERROR(__xludf.DUMMYFUNCTION("""COMPUTED_VALUE"""),"")</f>
        <v/>
      </c>
      <c r="B17407" s="87"/>
      <c r="C17407" s="87"/>
      <c r="D17407" s="87"/>
      <c r="E17407" s="87"/>
      <c r="F17407" s="87"/>
      <c r="G17407" s="87"/>
    </row>
    <row r="17408">
      <c r="A17408" s="86" t="str">
        <f>IFERROR(__xludf.DUMMYFUNCTION("""COMPUTED_VALUE"""),"")</f>
        <v/>
      </c>
      <c r="B17408" s="87"/>
      <c r="C17408" s="87"/>
      <c r="D17408" s="87"/>
      <c r="E17408" s="87"/>
      <c r="F17408" s="87"/>
      <c r="G17408" s="87"/>
    </row>
    <row r="17409">
      <c r="A17409" s="86" t="str">
        <f>IFERROR(__xludf.DUMMYFUNCTION("""COMPUTED_VALUE"""),"")</f>
        <v/>
      </c>
      <c r="B17409" s="87"/>
      <c r="C17409" s="87"/>
      <c r="D17409" s="87"/>
      <c r="E17409" s="87"/>
      <c r="F17409" s="87"/>
      <c r="G17409" s="87"/>
    </row>
    <row r="17410">
      <c r="A17410" s="86" t="str">
        <f>IFERROR(__xludf.DUMMYFUNCTION("""COMPUTED_VALUE"""),"")</f>
        <v/>
      </c>
      <c r="B17410" s="87"/>
      <c r="C17410" s="87"/>
      <c r="D17410" s="87"/>
      <c r="E17410" s="87"/>
      <c r="F17410" s="87"/>
      <c r="G17410" s="87"/>
    </row>
    <row r="17411">
      <c r="A17411" s="86" t="str">
        <f>IFERROR(__xludf.DUMMYFUNCTION("""COMPUTED_VALUE"""),"")</f>
        <v/>
      </c>
      <c r="B17411" s="87"/>
      <c r="C17411" s="87"/>
      <c r="D17411" s="87"/>
      <c r="E17411" s="87"/>
      <c r="F17411" s="87"/>
      <c r="G17411" s="87"/>
    </row>
    <row r="17412">
      <c r="A17412" s="86" t="str">
        <f>IFERROR(__xludf.DUMMYFUNCTION("""COMPUTED_VALUE"""),"")</f>
        <v/>
      </c>
      <c r="B17412" s="87"/>
      <c r="C17412" s="87"/>
      <c r="D17412" s="87"/>
      <c r="E17412" s="87"/>
      <c r="F17412" s="87"/>
      <c r="G17412" s="87"/>
    </row>
    <row r="17413">
      <c r="A17413" s="86" t="str">
        <f>IFERROR(__xludf.DUMMYFUNCTION("""COMPUTED_VALUE"""),"")</f>
        <v/>
      </c>
      <c r="B17413" s="87"/>
      <c r="C17413" s="87"/>
      <c r="D17413" s="87"/>
      <c r="E17413" s="87"/>
      <c r="F17413" s="87"/>
      <c r="G17413" s="87"/>
    </row>
    <row r="17414">
      <c r="A17414" s="86" t="str">
        <f>IFERROR(__xludf.DUMMYFUNCTION("""COMPUTED_VALUE"""),"")</f>
        <v/>
      </c>
      <c r="B17414" s="87"/>
      <c r="C17414" s="87"/>
      <c r="D17414" s="87"/>
      <c r="E17414" s="87"/>
      <c r="F17414" s="87"/>
      <c r="G17414" s="87"/>
    </row>
    <row r="17415">
      <c r="A17415" s="86" t="str">
        <f>IFERROR(__xludf.DUMMYFUNCTION("""COMPUTED_VALUE"""),"")</f>
        <v/>
      </c>
      <c r="B17415" s="87"/>
      <c r="C17415" s="87"/>
      <c r="D17415" s="87"/>
      <c r="E17415" s="87"/>
      <c r="F17415" s="87"/>
      <c r="G17415" s="87"/>
    </row>
    <row r="17416">
      <c r="A17416" s="86" t="str">
        <f>IFERROR(__xludf.DUMMYFUNCTION("""COMPUTED_VALUE"""),"")</f>
        <v/>
      </c>
      <c r="B17416" s="87"/>
      <c r="C17416" s="87"/>
      <c r="D17416" s="87"/>
      <c r="E17416" s="87"/>
      <c r="F17416" s="87"/>
      <c r="G17416" s="87"/>
    </row>
    <row r="17417">
      <c r="A17417" s="86" t="str">
        <f>IFERROR(__xludf.DUMMYFUNCTION("""COMPUTED_VALUE"""),"")</f>
        <v/>
      </c>
      <c r="B17417" s="87"/>
      <c r="C17417" s="87"/>
      <c r="D17417" s="87"/>
      <c r="E17417" s="87"/>
      <c r="F17417" s="87"/>
      <c r="G17417" s="87"/>
    </row>
    <row r="17418">
      <c r="A17418" s="86" t="str">
        <f>IFERROR(__xludf.DUMMYFUNCTION("""COMPUTED_VALUE"""),"")</f>
        <v/>
      </c>
      <c r="B17418" s="87"/>
      <c r="C17418" s="87"/>
      <c r="D17418" s="87"/>
      <c r="E17418" s="87"/>
      <c r="F17418" s="87"/>
      <c r="G17418" s="87"/>
    </row>
    <row r="17419">
      <c r="A17419" s="86" t="str">
        <f>IFERROR(__xludf.DUMMYFUNCTION("""COMPUTED_VALUE"""),"")</f>
        <v/>
      </c>
      <c r="B17419" s="87"/>
      <c r="C17419" s="87"/>
      <c r="D17419" s="87"/>
      <c r="E17419" s="87"/>
      <c r="F17419" s="87"/>
      <c r="G17419" s="87"/>
    </row>
    <row r="17420">
      <c r="A17420" s="86" t="str">
        <f>IFERROR(__xludf.DUMMYFUNCTION("""COMPUTED_VALUE"""),"")</f>
        <v/>
      </c>
      <c r="B17420" s="87"/>
      <c r="C17420" s="87"/>
      <c r="D17420" s="87"/>
      <c r="E17420" s="87"/>
      <c r="F17420" s="87"/>
      <c r="G17420" s="87"/>
    </row>
    <row r="17421">
      <c r="A17421" s="86" t="str">
        <f>IFERROR(__xludf.DUMMYFUNCTION("""COMPUTED_VALUE"""),"")</f>
        <v/>
      </c>
      <c r="B17421" s="87"/>
      <c r="C17421" s="87"/>
      <c r="D17421" s="87"/>
      <c r="E17421" s="87"/>
      <c r="F17421" s="87"/>
      <c r="G17421" s="87"/>
    </row>
    <row r="17422">
      <c r="A17422" s="86" t="str">
        <f>IFERROR(__xludf.DUMMYFUNCTION("""COMPUTED_VALUE"""),"")</f>
        <v/>
      </c>
      <c r="B17422" s="87"/>
      <c r="C17422" s="87"/>
      <c r="D17422" s="87"/>
      <c r="E17422" s="87"/>
      <c r="F17422" s="87"/>
      <c r="G17422" s="87"/>
    </row>
    <row r="17423">
      <c r="A17423" s="86" t="str">
        <f>IFERROR(__xludf.DUMMYFUNCTION("""COMPUTED_VALUE"""),"")</f>
        <v/>
      </c>
      <c r="B17423" s="87"/>
      <c r="C17423" s="87"/>
      <c r="D17423" s="87"/>
      <c r="E17423" s="87"/>
      <c r="F17423" s="87"/>
      <c r="G17423" s="87"/>
    </row>
    <row r="17424">
      <c r="A17424" s="86" t="str">
        <f>IFERROR(__xludf.DUMMYFUNCTION("""COMPUTED_VALUE"""),"")</f>
        <v/>
      </c>
      <c r="B17424" s="87"/>
      <c r="C17424" s="87"/>
      <c r="D17424" s="87"/>
      <c r="E17424" s="87"/>
      <c r="F17424" s="87"/>
      <c r="G17424" s="87"/>
    </row>
    <row r="17425">
      <c r="A17425" s="86" t="str">
        <f>IFERROR(__xludf.DUMMYFUNCTION("""COMPUTED_VALUE"""),"")</f>
        <v/>
      </c>
      <c r="B17425" s="87"/>
      <c r="C17425" s="87"/>
      <c r="D17425" s="87"/>
      <c r="E17425" s="87"/>
      <c r="F17425" s="87"/>
      <c r="G17425" s="87"/>
    </row>
    <row r="17426">
      <c r="A17426" s="86" t="str">
        <f>IFERROR(__xludf.DUMMYFUNCTION("""COMPUTED_VALUE"""),"")</f>
        <v/>
      </c>
      <c r="B17426" s="87"/>
      <c r="C17426" s="87"/>
      <c r="D17426" s="87"/>
      <c r="E17426" s="87"/>
      <c r="F17426" s="87"/>
      <c r="G17426" s="87"/>
    </row>
    <row r="17427">
      <c r="A17427" s="86" t="str">
        <f>IFERROR(__xludf.DUMMYFUNCTION("""COMPUTED_VALUE"""),"")</f>
        <v/>
      </c>
      <c r="B17427" s="87"/>
      <c r="C17427" s="87"/>
      <c r="D17427" s="87"/>
      <c r="E17427" s="87"/>
      <c r="F17427" s="87"/>
      <c r="G17427" s="87"/>
    </row>
    <row r="17428">
      <c r="A17428" s="86" t="str">
        <f>IFERROR(__xludf.DUMMYFUNCTION("""COMPUTED_VALUE"""),"")</f>
        <v/>
      </c>
      <c r="B17428" s="87"/>
      <c r="C17428" s="87"/>
      <c r="D17428" s="87"/>
      <c r="E17428" s="87"/>
      <c r="F17428" s="87"/>
      <c r="G17428" s="87"/>
    </row>
    <row r="17429">
      <c r="A17429" s="86" t="str">
        <f>IFERROR(__xludf.DUMMYFUNCTION("""COMPUTED_VALUE"""),"")</f>
        <v/>
      </c>
      <c r="B17429" s="87"/>
      <c r="C17429" s="87"/>
      <c r="D17429" s="87"/>
      <c r="E17429" s="87"/>
      <c r="F17429" s="87"/>
      <c r="G17429" s="87"/>
    </row>
    <row r="17430">
      <c r="A17430" s="86" t="str">
        <f>IFERROR(__xludf.DUMMYFUNCTION("""COMPUTED_VALUE"""),"")</f>
        <v/>
      </c>
      <c r="B17430" s="87"/>
      <c r="C17430" s="87"/>
      <c r="D17430" s="87"/>
      <c r="E17430" s="87"/>
      <c r="F17430" s="87"/>
      <c r="G17430" s="87"/>
    </row>
    <row r="17431">
      <c r="A17431" s="86" t="str">
        <f>IFERROR(__xludf.DUMMYFUNCTION("""COMPUTED_VALUE"""),"")</f>
        <v/>
      </c>
      <c r="B17431" s="87"/>
      <c r="C17431" s="87"/>
      <c r="D17431" s="87"/>
      <c r="E17431" s="87"/>
      <c r="F17431" s="87"/>
      <c r="G17431" s="87"/>
    </row>
    <row r="17432">
      <c r="A17432" s="86" t="str">
        <f>IFERROR(__xludf.DUMMYFUNCTION("""COMPUTED_VALUE"""),"")</f>
        <v/>
      </c>
      <c r="B17432" s="87"/>
      <c r="C17432" s="87"/>
      <c r="D17432" s="87"/>
      <c r="E17432" s="87"/>
      <c r="F17432" s="87"/>
      <c r="G17432" s="87"/>
    </row>
    <row r="17433">
      <c r="A17433" s="86" t="str">
        <f>IFERROR(__xludf.DUMMYFUNCTION("""COMPUTED_VALUE"""),"")</f>
        <v/>
      </c>
      <c r="B17433" s="87"/>
      <c r="C17433" s="87"/>
      <c r="D17433" s="87"/>
      <c r="E17433" s="87"/>
      <c r="F17433" s="87"/>
      <c r="G17433" s="87"/>
    </row>
    <row r="17434">
      <c r="A17434" s="86" t="str">
        <f>IFERROR(__xludf.DUMMYFUNCTION("""COMPUTED_VALUE"""),"")</f>
        <v/>
      </c>
      <c r="B17434" s="87"/>
      <c r="C17434" s="87"/>
      <c r="D17434" s="87"/>
      <c r="E17434" s="87"/>
      <c r="F17434" s="87"/>
      <c r="G17434" s="87"/>
    </row>
    <row r="17435">
      <c r="A17435" s="86" t="str">
        <f>IFERROR(__xludf.DUMMYFUNCTION("""COMPUTED_VALUE"""),"")</f>
        <v/>
      </c>
      <c r="B17435" s="87"/>
      <c r="C17435" s="87"/>
      <c r="D17435" s="87"/>
      <c r="E17435" s="87"/>
      <c r="F17435" s="87"/>
      <c r="G17435" s="87"/>
    </row>
    <row r="17436">
      <c r="A17436" s="86" t="str">
        <f>IFERROR(__xludf.DUMMYFUNCTION("""COMPUTED_VALUE"""),"")</f>
        <v/>
      </c>
      <c r="B17436" s="87"/>
      <c r="C17436" s="87"/>
      <c r="D17436" s="87"/>
      <c r="E17436" s="87"/>
      <c r="F17436" s="87"/>
      <c r="G17436" s="87"/>
    </row>
    <row r="17437">
      <c r="A17437" s="86" t="str">
        <f>IFERROR(__xludf.DUMMYFUNCTION("""COMPUTED_VALUE"""),"")</f>
        <v/>
      </c>
      <c r="B17437" s="87"/>
      <c r="C17437" s="87"/>
      <c r="D17437" s="87"/>
      <c r="E17437" s="87"/>
      <c r="F17437" s="87"/>
      <c r="G17437" s="87"/>
    </row>
    <row r="17438">
      <c r="A17438" s="86" t="str">
        <f>IFERROR(__xludf.DUMMYFUNCTION("""COMPUTED_VALUE"""),"")</f>
        <v/>
      </c>
      <c r="B17438" s="87"/>
      <c r="C17438" s="87"/>
      <c r="D17438" s="87"/>
      <c r="E17438" s="87"/>
      <c r="F17438" s="87"/>
      <c r="G17438" s="87"/>
    </row>
    <row r="17439">
      <c r="A17439" s="86" t="str">
        <f>IFERROR(__xludf.DUMMYFUNCTION("""COMPUTED_VALUE"""),"")</f>
        <v/>
      </c>
      <c r="B17439" s="87"/>
      <c r="C17439" s="87"/>
      <c r="D17439" s="87"/>
      <c r="E17439" s="87"/>
      <c r="F17439" s="87"/>
      <c r="G17439" s="87"/>
    </row>
    <row r="17440">
      <c r="A17440" s="86" t="str">
        <f>IFERROR(__xludf.DUMMYFUNCTION("""COMPUTED_VALUE"""),"")</f>
        <v/>
      </c>
      <c r="B17440" s="87"/>
      <c r="C17440" s="87"/>
      <c r="D17440" s="87"/>
      <c r="E17440" s="87"/>
      <c r="F17440" s="87"/>
      <c r="G17440" s="87"/>
    </row>
    <row r="17441">
      <c r="A17441" s="86" t="str">
        <f>IFERROR(__xludf.DUMMYFUNCTION("""COMPUTED_VALUE"""),"")</f>
        <v/>
      </c>
      <c r="B17441" s="87"/>
      <c r="C17441" s="87"/>
      <c r="D17441" s="87"/>
      <c r="E17441" s="87"/>
      <c r="F17441" s="87"/>
      <c r="G17441" s="87"/>
    </row>
    <row r="17442">
      <c r="A17442" s="86" t="str">
        <f>IFERROR(__xludf.DUMMYFUNCTION("""COMPUTED_VALUE"""),"")</f>
        <v/>
      </c>
      <c r="B17442" s="87"/>
      <c r="C17442" s="87"/>
      <c r="D17442" s="87"/>
      <c r="E17442" s="87"/>
      <c r="F17442" s="87"/>
      <c r="G17442" s="87"/>
    </row>
    <row r="17443">
      <c r="A17443" s="86" t="str">
        <f>IFERROR(__xludf.DUMMYFUNCTION("""COMPUTED_VALUE"""),"")</f>
        <v/>
      </c>
      <c r="B17443" s="87"/>
      <c r="C17443" s="87"/>
      <c r="D17443" s="87"/>
      <c r="E17443" s="87"/>
      <c r="F17443" s="87"/>
      <c r="G17443" s="87"/>
    </row>
    <row r="17444">
      <c r="A17444" s="86" t="str">
        <f>IFERROR(__xludf.DUMMYFUNCTION("""COMPUTED_VALUE"""),"")</f>
        <v/>
      </c>
      <c r="B17444" s="87"/>
      <c r="C17444" s="87"/>
      <c r="D17444" s="87"/>
      <c r="E17444" s="87"/>
      <c r="F17444" s="87"/>
      <c r="G17444" s="87"/>
    </row>
    <row r="17445">
      <c r="A17445" s="86" t="str">
        <f>IFERROR(__xludf.DUMMYFUNCTION("""COMPUTED_VALUE"""),"")</f>
        <v/>
      </c>
      <c r="B17445" s="87"/>
      <c r="C17445" s="87"/>
      <c r="D17445" s="87"/>
      <c r="E17445" s="87"/>
      <c r="F17445" s="87"/>
      <c r="G17445" s="87"/>
    </row>
    <row r="17446">
      <c r="A17446" s="86" t="str">
        <f>IFERROR(__xludf.DUMMYFUNCTION("""COMPUTED_VALUE"""),"")</f>
        <v/>
      </c>
      <c r="B17446" s="87"/>
      <c r="C17446" s="87"/>
      <c r="D17446" s="87"/>
      <c r="E17446" s="87"/>
      <c r="F17446" s="87"/>
      <c r="G17446" s="87"/>
    </row>
    <row r="17447">
      <c r="A17447" s="86" t="str">
        <f>IFERROR(__xludf.DUMMYFUNCTION("""COMPUTED_VALUE"""),"")</f>
        <v/>
      </c>
      <c r="B17447" s="87"/>
      <c r="C17447" s="87"/>
      <c r="D17447" s="87"/>
      <c r="E17447" s="87"/>
      <c r="F17447" s="87"/>
      <c r="G17447" s="87"/>
    </row>
    <row r="17448">
      <c r="A17448" s="86" t="str">
        <f>IFERROR(__xludf.DUMMYFUNCTION("""COMPUTED_VALUE"""),"")</f>
        <v/>
      </c>
      <c r="B17448" s="87"/>
      <c r="C17448" s="87"/>
      <c r="D17448" s="87"/>
      <c r="E17448" s="87"/>
      <c r="F17448" s="87"/>
      <c r="G17448" s="87"/>
    </row>
    <row r="17449">
      <c r="A17449" s="86" t="str">
        <f>IFERROR(__xludf.DUMMYFUNCTION("""COMPUTED_VALUE"""),"")</f>
        <v/>
      </c>
      <c r="B17449" s="87"/>
      <c r="C17449" s="87"/>
      <c r="D17449" s="87"/>
      <c r="E17449" s="87"/>
      <c r="F17449" s="87"/>
      <c r="G17449" s="87"/>
    </row>
    <row r="17450">
      <c r="A17450" s="86" t="str">
        <f>IFERROR(__xludf.DUMMYFUNCTION("""COMPUTED_VALUE"""),"")</f>
        <v/>
      </c>
      <c r="B17450" s="87"/>
      <c r="C17450" s="87"/>
      <c r="D17450" s="87"/>
      <c r="E17450" s="87"/>
      <c r="F17450" s="87"/>
      <c r="G17450" s="87"/>
    </row>
    <row r="17451">
      <c r="A17451" s="86" t="str">
        <f>IFERROR(__xludf.DUMMYFUNCTION("""COMPUTED_VALUE"""),"")</f>
        <v/>
      </c>
      <c r="B17451" s="87"/>
      <c r="C17451" s="87"/>
      <c r="D17451" s="87"/>
      <c r="E17451" s="87"/>
      <c r="F17451" s="87"/>
      <c r="G17451" s="87"/>
    </row>
    <row r="17452">
      <c r="A17452" s="86" t="str">
        <f>IFERROR(__xludf.DUMMYFUNCTION("""COMPUTED_VALUE"""),"")</f>
        <v/>
      </c>
      <c r="B17452" s="87"/>
      <c r="C17452" s="87"/>
      <c r="D17452" s="87"/>
      <c r="E17452" s="87"/>
      <c r="F17452" s="87"/>
      <c r="G17452" s="87"/>
    </row>
    <row r="17453">
      <c r="A17453" s="86" t="str">
        <f>IFERROR(__xludf.DUMMYFUNCTION("""COMPUTED_VALUE"""),"")</f>
        <v/>
      </c>
      <c r="B17453" s="87"/>
      <c r="C17453" s="87"/>
      <c r="D17453" s="87"/>
      <c r="E17453" s="87"/>
      <c r="F17453" s="87"/>
      <c r="G17453" s="87"/>
    </row>
    <row r="17454">
      <c r="A17454" s="86" t="str">
        <f>IFERROR(__xludf.DUMMYFUNCTION("""COMPUTED_VALUE"""),"")</f>
        <v/>
      </c>
      <c r="B17454" s="87"/>
      <c r="C17454" s="87"/>
      <c r="D17454" s="87"/>
      <c r="E17454" s="87"/>
      <c r="F17454" s="87"/>
      <c r="G17454" s="87"/>
    </row>
    <row r="17455">
      <c r="A17455" s="86" t="str">
        <f>IFERROR(__xludf.DUMMYFUNCTION("""COMPUTED_VALUE"""),"")</f>
        <v/>
      </c>
      <c r="B17455" s="87"/>
      <c r="C17455" s="87"/>
      <c r="D17455" s="87"/>
      <c r="E17455" s="87"/>
      <c r="F17455" s="87"/>
      <c r="G17455" s="87"/>
    </row>
    <row r="17456">
      <c r="A17456" s="86" t="str">
        <f>IFERROR(__xludf.DUMMYFUNCTION("""COMPUTED_VALUE"""),"")</f>
        <v/>
      </c>
      <c r="B17456" s="87"/>
      <c r="C17456" s="87"/>
      <c r="D17456" s="87"/>
      <c r="E17456" s="87"/>
      <c r="F17456" s="87"/>
      <c r="G17456" s="87"/>
    </row>
    <row r="17457">
      <c r="A17457" s="86" t="str">
        <f>IFERROR(__xludf.DUMMYFUNCTION("""COMPUTED_VALUE"""),"")</f>
        <v/>
      </c>
      <c r="B17457" s="87"/>
      <c r="C17457" s="87"/>
      <c r="D17457" s="87"/>
      <c r="E17457" s="87"/>
      <c r="F17457" s="87"/>
      <c r="G17457" s="87"/>
    </row>
    <row r="17458">
      <c r="A17458" s="86" t="str">
        <f>IFERROR(__xludf.DUMMYFUNCTION("""COMPUTED_VALUE"""),"")</f>
        <v/>
      </c>
      <c r="B17458" s="87"/>
      <c r="C17458" s="87"/>
      <c r="D17458" s="87"/>
      <c r="E17458" s="87"/>
      <c r="F17458" s="87"/>
      <c r="G17458" s="87"/>
    </row>
    <row r="17459">
      <c r="A17459" s="86" t="str">
        <f>IFERROR(__xludf.DUMMYFUNCTION("""COMPUTED_VALUE"""),"")</f>
        <v/>
      </c>
      <c r="B17459" s="87"/>
      <c r="C17459" s="87"/>
      <c r="D17459" s="87"/>
      <c r="E17459" s="87"/>
      <c r="F17459" s="87"/>
      <c r="G17459" s="87"/>
    </row>
    <row r="17460">
      <c r="A17460" s="86" t="str">
        <f>IFERROR(__xludf.DUMMYFUNCTION("""COMPUTED_VALUE"""),"")</f>
        <v/>
      </c>
      <c r="B17460" s="87"/>
      <c r="C17460" s="87"/>
      <c r="D17460" s="87"/>
      <c r="E17460" s="87"/>
      <c r="F17460" s="87"/>
      <c r="G17460" s="87"/>
    </row>
    <row r="17461">
      <c r="A17461" s="86" t="str">
        <f>IFERROR(__xludf.DUMMYFUNCTION("""COMPUTED_VALUE"""),"")</f>
        <v/>
      </c>
      <c r="B17461" s="87"/>
      <c r="C17461" s="87"/>
      <c r="D17461" s="87"/>
      <c r="E17461" s="87"/>
      <c r="F17461" s="87"/>
      <c r="G17461" s="87"/>
    </row>
    <row r="17462">
      <c r="A17462" s="86" t="str">
        <f>IFERROR(__xludf.DUMMYFUNCTION("""COMPUTED_VALUE"""),"")</f>
        <v/>
      </c>
      <c r="B17462" s="87"/>
      <c r="C17462" s="87"/>
      <c r="D17462" s="87"/>
      <c r="E17462" s="87"/>
      <c r="F17462" s="87"/>
      <c r="G17462" s="87"/>
    </row>
    <row r="17463">
      <c r="A17463" s="86" t="str">
        <f>IFERROR(__xludf.DUMMYFUNCTION("""COMPUTED_VALUE"""),"")</f>
        <v/>
      </c>
      <c r="B17463" s="87"/>
      <c r="C17463" s="87"/>
      <c r="D17463" s="87"/>
      <c r="E17463" s="87"/>
      <c r="F17463" s="87"/>
      <c r="G17463" s="87"/>
    </row>
    <row r="17464">
      <c r="A17464" s="86" t="str">
        <f>IFERROR(__xludf.DUMMYFUNCTION("""COMPUTED_VALUE"""),"")</f>
        <v/>
      </c>
      <c r="B17464" s="87"/>
      <c r="C17464" s="87"/>
      <c r="D17464" s="87"/>
      <c r="E17464" s="87"/>
      <c r="F17464" s="87"/>
      <c r="G17464" s="87"/>
    </row>
    <row r="17465">
      <c r="A17465" s="86" t="str">
        <f>IFERROR(__xludf.DUMMYFUNCTION("""COMPUTED_VALUE"""),"")</f>
        <v/>
      </c>
      <c r="B17465" s="87"/>
      <c r="C17465" s="87"/>
      <c r="D17465" s="87"/>
      <c r="E17465" s="87"/>
      <c r="F17465" s="87"/>
      <c r="G17465" s="87"/>
    </row>
    <row r="17466">
      <c r="A17466" s="86" t="str">
        <f>IFERROR(__xludf.DUMMYFUNCTION("""COMPUTED_VALUE"""),"")</f>
        <v/>
      </c>
      <c r="B17466" s="87"/>
      <c r="C17466" s="87"/>
      <c r="D17466" s="87"/>
      <c r="E17466" s="87"/>
      <c r="F17466" s="87"/>
      <c r="G17466" s="87"/>
    </row>
    <row r="17467">
      <c r="A17467" s="86" t="str">
        <f>IFERROR(__xludf.DUMMYFUNCTION("""COMPUTED_VALUE"""),"")</f>
        <v/>
      </c>
      <c r="B17467" s="87"/>
      <c r="C17467" s="87"/>
      <c r="D17467" s="87"/>
      <c r="E17467" s="87"/>
      <c r="F17467" s="87"/>
      <c r="G17467" s="87"/>
    </row>
    <row r="17468">
      <c r="A17468" s="86" t="str">
        <f>IFERROR(__xludf.DUMMYFUNCTION("""COMPUTED_VALUE"""),"")</f>
        <v/>
      </c>
      <c r="B17468" s="87"/>
      <c r="C17468" s="87"/>
      <c r="D17468" s="87"/>
      <c r="E17468" s="87"/>
      <c r="F17468" s="87"/>
      <c r="G17468" s="87"/>
    </row>
    <row r="17469">
      <c r="A17469" s="86" t="str">
        <f>IFERROR(__xludf.DUMMYFUNCTION("""COMPUTED_VALUE"""),"")</f>
        <v/>
      </c>
      <c r="B17469" s="87"/>
      <c r="C17469" s="87"/>
      <c r="D17469" s="87"/>
      <c r="E17469" s="87"/>
      <c r="F17469" s="87"/>
      <c r="G17469" s="87"/>
    </row>
    <row r="17470">
      <c r="A17470" s="86" t="str">
        <f>IFERROR(__xludf.DUMMYFUNCTION("""COMPUTED_VALUE"""),"")</f>
        <v/>
      </c>
      <c r="B17470" s="87"/>
      <c r="C17470" s="87"/>
      <c r="D17470" s="87"/>
      <c r="E17470" s="87"/>
      <c r="F17470" s="87"/>
      <c r="G17470" s="87"/>
    </row>
    <row r="17471">
      <c r="A17471" s="86" t="str">
        <f>IFERROR(__xludf.DUMMYFUNCTION("""COMPUTED_VALUE"""),"")</f>
        <v/>
      </c>
      <c r="B17471" s="87"/>
      <c r="C17471" s="87"/>
      <c r="D17471" s="87"/>
      <c r="E17471" s="87"/>
      <c r="F17471" s="87"/>
      <c r="G17471" s="87"/>
    </row>
    <row r="17472">
      <c r="A17472" s="86" t="str">
        <f>IFERROR(__xludf.DUMMYFUNCTION("""COMPUTED_VALUE"""),"")</f>
        <v/>
      </c>
      <c r="B17472" s="87"/>
      <c r="C17472" s="87"/>
      <c r="D17472" s="87"/>
      <c r="E17472" s="87"/>
      <c r="F17472" s="87"/>
      <c r="G17472" s="87"/>
    </row>
    <row r="17473">
      <c r="A17473" s="86" t="str">
        <f>IFERROR(__xludf.DUMMYFUNCTION("""COMPUTED_VALUE"""),"")</f>
        <v/>
      </c>
      <c r="B17473" s="87"/>
      <c r="C17473" s="87"/>
      <c r="D17473" s="87"/>
      <c r="E17473" s="87"/>
      <c r="F17473" s="87"/>
      <c r="G17473" s="87"/>
    </row>
    <row r="17474">
      <c r="A17474" s="86" t="str">
        <f>IFERROR(__xludf.DUMMYFUNCTION("""COMPUTED_VALUE"""),"")</f>
        <v/>
      </c>
      <c r="B17474" s="87"/>
      <c r="C17474" s="87"/>
      <c r="D17474" s="87"/>
      <c r="E17474" s="87"/>
      <c r="F17474" s="87"/>
      <c r="G17474" s="87"/>
    </row>
    <row r="17475">
      <c r="A17475" s="86" t="str">
        <f>IFERROR(__xludf.DUMMYFUNCTION("""COMPUTED_VALUE"""),"")</f>
        <v/>
      </c>
      <c r="B17475" s="87"/>
      <c r="C17475" s="87"/>
      <c r="D17475" s="87"/>
      <c r="E17475" s="87"/>
      <c r="F17475" s="87"/>
      <c r="G17475" s="87"/>
    </row>
    <row r="17476">
      <c r="A17476" s="86" t="str">
        <f>IFERROR(__xludf.DUMMYFUNCTION("""COMPUTED_VALUE"""),"")</f>
        <v/>
      </c>
      <c r="B17476" s="87"/>
      <c r="C17476" s="87"/>
      <c r="D17476" s="87"/>
      <c r="E17476" s="87"/>
      <c r="F17476" s="87"/>
      <c r="G17476" s="87"/>
    </row>
    <row r="17477">
      <c r="A17477" s="86" t="str">
        <f>IFERROR(__xludf.DUMMYFUNCTION("""COMPUTED_VALUE"""),"")</f>
        <v/>
      </c>
      <c r="B17477" s="87"/>
      <c r="C17477" s="87"/>
      <c r="D17477" s="87"/>
      <c r="E17477" s="87"/>
      <c r="F17477" s="87"/>
      <c r="G17477" s="87"/>
    </row>
    <row r="17478">
      <c r="A17478" s="86" t="str">
        <f>IFERROR(__xludf.DUMMYFUNCTION("""COMPUTED_VALUE"""),"")</f>
        <v/>
      </c>
      <c r="B17478" s="87"/>
      <c r="C17478" s="87"/>
      <c r="D17478" s="87"/>
      <c r="E17478" s="87"/>
      <c r="F17478" s="87"/>
      <c r="G17478" s="87"/>
    </row>
    <row r="17479">
      <c r="A17479" s="86" t="str">
        <f>IFERROR(__xludf.DUMMYFUNCTION("""COMPUTED_VALUE"""),"")</f>
        <v/>
      </c>
      <c r="B17479" s="87"/>
      <c r="C17479" s="87"/>
      <c r="D17479" s="87"/>
      <c r="E17479" s="87"/>
      <c r="F17479" s="87"/>
      <c r="G17479" s="87"/>
    </row>
    <row r="17480">
      <c r="A17480" s="86" t="str">
        <f>IFERROR(__xludf.DUMMYFUNCTION("""COMPUTED_VALUE"""),"")</f>
        <v/>
      </c>
      <c r="B17480" s="87"/>
      <c r="C17480" s="87"/>
      <c r="D17480" s="87"/>
      <c r="E17480" s="87"/>
      <c r="F17480" s="87"/>
      <c r="G17480" s="87"/>
    </row>
    <row r="17481">
      <c r="A17481" s="86" t="str">
        <f>IFERROR(__xludf.DUMMYFUNCTION("""COMPUTED_VALUE"""),"")</f>
        <v/>
      </c>
      <c r="B17481" s="87"/>
      <c r="C17481" s="87"/>
      <c r="D17481" s="87"/>
      <c r="E17481" s="87"/>
      <c r="F17481" s="87"/>
      <c r="G17481" s="87"/>
    </row>
    <row r="17482">
      <c r="A17482" s="86" t="str">
        <f>IFERROR(__xludf.DUMMYFUNCTION("""COMPUTED_VALUE"""),"")</f>
        <v/>
      </c>
      <c r="B17482" s="87"/>
      <c r="C17482" s="87"/>
      <c r="D17482" s="87"/>
      <c r="E17482" s="87"/>
      <c r="F17482" s="87"/>
      <c r="G17482" s="87"/>
    </row>
    <row r="17483">
      <c r="A17483" s="86" t="str">
        <f>IFERROR(__xludf.DUMMYFUNCTION("""COMPUTED_VALUE"""),"")</f>
        <v/>
      </c>
      <c r="B17483" s="87"/>
      <c r="C17483" s="87"/>
      <c r="D17483" s="87"/>
      <c r="E17483" s="87"/>
      <c r="F17483" s="87"/>
      <c r="G17483" s="87"/>
    </row>
    <row r="17484">
      <c r="A17484" s="86" t="str">
        <f>IFERROR(__xludf.DUMMYFUNCTION("""COMPUTED_VALUE"""),"")</f>
        <v/>
      </c>
      <c r="B17484" s="87"/>
      <c r="C17484" s="87"/>
      <c r="D17484" s="87"/>
      <c r="E17484" s="87"/>
      <c r="F17484" s="87"/>
      <c r="G17484" s="87"/>
    </row>
    <row r="17485">
      <c r="A17485" s="86" t="str">
        <f>IFERROR(__xludf.DUMMYFUNCTION("""COMPUTED_VALUE"""),"")</f>
        <v/>
      </c>
      <c r="B17485" s="87"/>
      <c r="C17485" s="87"/>
      <c r="D17485" s="87"/>
      <c r="E17485" s="87"/>
      <c r="F17485" s="87"/>
      <c r="G17485" s="87"/>
    </row>
    <row r="17486">
      <c r="A17486" s="86" t="str">
        <f>IFERROR(__xludf.DUMMYFUNCTION("""COMPUTED_VALUE"""),"")</f>
        <v/>
      </c>
      <c r="B17486" s="87"/>
      <c r="C17486" s="87"/>
      <c r="D17486" s="87"/>
      <c r="E17486" s="87"/>
      <c r="F17486" s="87"/>
      <c r="G17486" s="87"/>
    </row>
    <row r="17487">
      <c r="A17487" s="86" t="str">
        <f>IFERROR(__xludf.DUMMYFUNCTION("""COMPUTED_VALUE"""),"")</f>
        <v/>
      </c>
      <c r="B17487" s="87"/>
      <c r="C17487" s="87"/>
      <c r="D17487" s="87"/>
      <c r="E17487" s="87"/>
      <c r="F17487" s="87"/>
      <c r="G17487" s="87"/>
    </row>
    <row r="17488">
      <c r="A17488" s="86" t="str">
        <f>IFERROR(__xludf.DUMMYFUNCTION("""COMPUTED_VALUE"""),"")</f>
        <v/>
      </c>
      <c r="B17488" s="87"/>
      <c r="C17488" s="87"/>
      <c r="D17488" s="87"/>
      <c r="E17488" s="87"/>
      <c r="F17488" s="87"/>
      <c r="G17488" s="87"/>
    </row>
    <row r="17489">
      <c r="A17489" s="86" t="str">
        <f>IFERROR(__xludf.DUMMYFUNCTION("""COMPUTED_VALUE"""),"")</f>
        <v/>
      </c>
      <c r="B17489" s="87"/>
      <c r="C17489" s="87"/>
      <c r="D17489" s="87"/>
      <c r="E17489" s="87"/>
      <c r="F17489" s="87"/>
      <c r="G17489" s="87"/>
    </row>
    <row r="17490">
      <c r="A17490" s="86" t="str">
        <f>IFERROR(__xludf.DUMMYFUNCTION("""COMPUTED_VALUE"""),"")</f>
        <v/>
      </c>
      <c r="B17490" s="87"/>
      <c r="C17490" s="87"/>
      <c r="D17490" s="87"/>
      <c r="E17490" s="87"/>
      <c r="F17490" s="87"/>
      <c r="G17490" s="87"/>
    </row>
    <row r="17491">
      <c r="A17491" s="86" t="str">
        <f>IFERROR(__xludf.DUMMYFUNCTION("""COMPUTED_VALUE"""),"")</f>
        <v/>
      </c>
      <c r="B17491" s="87"/>
      <c r="C17491" s="87"/>
      <c r="D17491" s="87"/>
      <c r="E17491" s="87"/>
      <c r="F17491" s="87"/>
      <c r="G17491" s="87"/>
    </row>
    <row r="17492">
      <c r="A17492" s="86" t="str">
        <f>IFERROR(__xludf.DUMMYFUNCTION("""COMPUTED_VALUE"""),"")</f>
        <v/>
      </c>
      <c r="B17492" s="87"/>
      <c r="C17492" s="87"/>
      <c r="D17492" s="87"/>
      <c r="E17492" s="87"/>
      <c r="F17492" s="87"/>
      <c r="G17492" s="87"/>
    </row>
    <row r="17493">
      <c r="A17493" s="86" t="str">
        <f>IFERROR(__xludf.DUMMYFUNCTION("""COMPUTED_VALUE"""),"")</f>
        <v/>
      </c>
      <c r="B17493" s="87"/>
      <c r="C17493" s="87"/>
      <c r="D17493" s="87"/>
      <c r="E17493" s="87"/>
      <c r="F17493" s="87"/>
      <c r="G17493" s="87"/>
    </row>
    <row r="17494">
      <c r="A17494" s="86" t="str">
        <f>IFERROR(__xludf.DUMMYFUNCTION("""COMPUTED_VALUE"""),"")</f>
        <v/>
      </c>
      <c r="B17494" s="87"/>
      <c r="C17494" s="87"/>
      <c r="D17494" s="87"/>
      <c r="E17494" s="87"/>
      <c r="F17494" s="87"/>
      <c r="G17494" s="87"/>
    </row>
    <row r="17495">
      <c r="A17495" s="86" t="str">
        <f>IFERROR(__xludf.DUMMYFUNCTION("""COMPUTED_VALUE"""),"")</f>
        <v/>
      </c>
      <c r="B17495" s="87"/>
      <c r="C17495" s="87"/>
      <c r="D17495" s="87"/>
      <c r="E17495" s="87"/>
      <c r="F17495" s="87"/>
      <c r="G17495" s="87"/>
    </row>
    <row r="17496">
      <c r="A17496" s="86" t="str">
        <f>IFERROR(__xludf.DUMMYFUNCTION("""COMPUTED_VALUE"""),"")</f>
        <v/>
      </c>
      <c r="B17496" s="87"/>
      <c r="C17496" s="87"/>
      <c r="D17496" s="87"/>
      <c r="E17496" s="87"/>
      <c r="F17496" s="87"/>
      <c r="G17496" s="87"/>
    </row>
    <row r="17497">
      <c r="A17497" s="86" t="str">
        <f>IFERROR(__xludf.DUMMYFUNCTION("""COMPUTED_VALUE"""),"")</f>
        <v/>
      </c>
      <c r="B17497" s="87"/>
      <c r="C17497" s="87"/>
      <c r="D17497" s="87"/>
      <c r="E17497" s="87"/>
      <c r="F17497" s="87"/>
      <c r="G17497" s="87"/>
    </row>
    <row r="17498">
      <c r="A17498" s="86" t="str">
        <f>IFERROR(__xludf.DUMMYFUNCTION("""COMPUTED_VALUE"""),"")</f>
        <v/>
      </c>
      <c r="B17498" s="87"/>
      <c r="C17498" s="87"/>
      <c r="D17498" s="87"/>
      <c r="E17498" s="87"/>
      <c r="F17498" s="87"/>
      <c r="G17498" s="87"/>
    </row>
    <row r="17499">
      <c r="A17499" s="86" t="str">
        <f>IFERROR(__xludf.DUMMYFUNCTION("""COMPUTED_VALUE"""),"")</f>
        <v/>
      </c>
      <c r="B17499" s="87"/>
      <c r="C17499" s="87"/>
      <c r="D17499" s="87"/>
      <c r="E17499" s="87"/>
      <c r="F17499" s="87"/>
      <c r="G17499" s="87"/>
    </row>
    <row r="17500">
      <c r="A17500" s="86" t="str">
        <f>IFERROR(__xludf.DUMMYFUNCTION("""COMPUTED_VALUE"""),"")</f>
        <v/>
      </c>
      <c r="B17500" s="87"/>
      <c r="C17500" s="87"/>
      <c r="D17500" s="87"/>
      <c r="E17500" s="87"/>
      <c r="F17500" s="87"/>
      <c r="G17500" s="87"/>
    </row>
    <row r="17501">
      <c r="A17501" s="86" t="str">
        <f>IFERROR(__xludf.DUMMYFUNCTION("""COMPUTED_VALUE"""),"")</f>
        <v/>
      </c>
      <c r="B17501" s="87"/>
      <c r="C17501" s="87"/>
      <c r="D17501" s="87"/>
      <c r="E17501" s="87"/>
      <c r="F17501" s="87"/>
      <c r="G17501" s="87"/>
    </row>
    <row r="17502">
      <c r="A17502" s="86" t="str">
        <f>IFERROR(__xludf.DUMMYFUNCTION("""COMPUTED_VALUE"""),"")</f>
        <v/>
      </c>
      <c r="B17502" s="87"/>
      <c r="C17502" s="87"/>
      <c r="D17502" s="87"/>
      <c r="E17502" s="87"/>
      <c r="F17502" s="87"/>
      <c r="G17502" s="87"/>
    </row>
    <row r="17503">
      <c r="A17503" s="86" t="str">
        <f>IFERROR(__xludf.DUMMYFUNCTION("""COMPUTED_VALUE"""),"")</f>
        <v/>
      </c>
      <c r="B17503" s="87"/>
      <c r="C17503" s="87"/>
      <c r="D17503" s="87"/>
      <c r="E17503" s="87"/>
      <c r="F17503" s="87"/>
      <c r="G17503" s="87"/>
    </row>
    <row r="17504">
      <c r="A17504" s="86" t="str">
        <f>IFERROR(__xludf.DUMMYFUNCTION("""COMPUTED_VALUE"""),"")</f>
        <v/>
      </c>
      <c r="B17504" s="87"/>
      <c r="C17504" s="87"/>
      <c r="D17504" s="87"/>
      <c r="E17504" s="87"/>
      <c r="F17504" s="87"/>
      <c r="G17504" s="87"/>
    </row>
    <row r="17505">
      <c r="A17505" s="86" t="str">
        <f>IFERROR(__xludf.DUMMYFUNCTION("""COMPUTED_VALUE"""),"")</f>
        <v/>
      </c>
      <c r="B17505" s="87"/>
      <c r="C17505" s="87"/>
      <c r="D17505" s="87"/>
      <c r="E17505" s="87"/>
      <c r="F17505" s="87"/>
      <c r="G17505" s="87"/>
    </row>
    <row r="17506">
      <c r="A17506" s="86" t="str">
        <f>IFERROR(__xludf.DUMMYFUNCTION("""COMPUTED_VALUE"""),"")</f>
        <v/>
      </c>
      <c r="B17506" s="87"/>
      <c r="C17506" s="87"/>
      <c r="D17506" s="87"/>
      <c r="E17506" s="87"/>
      <c r="F17506" s="87"/>
      <c r="G17506" s="87"/>
    </row>
    <row r="17507">
      <c r="A17507" s="86" t="str">
        <f>IFERROR(__xludf.DUMMYFUNCTION("""COMPUTED_VALUE"""),"")</f>
        <v/>
      </c>
      <c r="B17507" s="87"/>
      <c r="C17507" s="87"/>
      <c r="D17507" s="87"/>
      <c r="E17507" s="87"/>
      <c r="F17507" s="87"/>
      <c r="G17507" s="87"/>
    </row>
    <row r="17508">
      <c r="A17508" s="86" t="str">
        <f>IFERROR(__xludf.DUMMYFUNCTION("""COMPUTED_VALUE"""),"")</f>
        <v/>
      </c>
      <c r="B17508" s="87"/>
      <c r="C17508" s="87"/>
      <c r="D17508" s="87"/>
      <c r="E17508" s="87"/>
      <c r="F17508" s="87"/>
      <c r="G17508" s="87"/>
    </row>
    <row r="17509">
      <c r="A17509" s="86" t="str">
        <f>IFERROR(__xludf.DUMMYFUNCTION("""COMPUTED_VALUE"""),"")</f>
        <v/>
      </c>
      <c r="B17509" s="87"/>
      <c r="C17509" s="87"/>
      <c r="D17509" s="87"/>
      <c r="E17509" s="87"/>
      <c r="F17509" s="87"/>
      <c r="G17509" s="87"/>
    </row>
    <row r="17510">
      <c r="A17510" s="86" t="str">
        <f>IFERROR(__xludf.DUMMYFUNCTION("""COMPUTED_VALUE"""),"")</f>
        <v/>
      </c>
      <c r="B17510" s="87"/>
      <c r="C17510" s="87"/>
      <c r="D17510" s="87"/>
      <c r="E17510" s="87"/>
      <c r="F17510" s="87"/>
      <c r="G17510" s="87"/>
    </row>
    <row r="17511">
      <c r="A17511" s="86" t="str">
        <f>IFERROR(__xludf.DUMMYFUNCTION("""COMPUTED_VALUE"""),"")</f>
        <v/>
      </c>
      <c r="B17511" s="87"/>
      <c r="C17511" s="87"/>
      <c r="D17511" s="87"/>
      <c r="E17511" s="87"/>
      <c r="F17511" s="87"/>
      <c r="G17511" s="87"/>
    </row>
    <row r="17512">
      <c r="A17512" s="86" t="str">
        <f>IFERROR(__xludf.DUMMYFUNCTION("""COMPUTED_VALUE"""),"")</f>
        <v/>
      </c>
      <c r="B17512" s="87"/>
      <c r="C17512" s="87"/>
      <c r="D17512" s="87"/>
      <c r="E17512" s="87"/>
      <c r="F17512" s="87"/>
      <c r="G17512" s="87"/>
    </row>
    <row r="17513">
      <c r="A17513" s="86" t="str">
        <f>IFERROR(__xludf.DUMMYFUNCTION("""COMPUTED_VALUE"""),"")</f>
        <v/>
      </c>
      <c r="B17513" s="87"/>
      <c r="C17513" s="87"/>
      <c r="D17513" s="87"/>
      <c r="E17513" s="87"/>
      <c r="F17513" s="87"/>
      <c r="G17513" s="87"/>
    </row>
    <row r="17514">
      <c r="A17514" s="86" t="str">
        <f>IFERROR(__xludf.DUMMYFUNCTION("""COMPUTED_VALUE"""),"")</f>
        <v/>
      </c>
      <c r="B17514" s="87"/>
      <c r="C17514" s="87"/>
      <c r="D17514" s="87"/>
      <c r="E17514" s="87"/>
      <c r="F17514" s="87"/>
      <c r="G17514" s="87"/>
    </row>
    <row r="17515">
      <c r="A17515" s="86" t="str">
        <f>IFERROR(__xludf.DUMMYFUNCTION("""COMPUTED_VALUE"""),"")</f>
        <v/>
      </c>
      <c r="B17515" s="87"/>
      <c r="C17515" s="87"/>
      <c r="D17515" s="87"/>
      <c r="E17515" s="87"/>
      <c r="F17515" s="87"/>
      <c r="G17515" s="87"/>
    </row>
    <row r="17516">
      <c r="A17516" s="86" t="str">
        <f>IFERROR(__xludf.DUMMYFUNCTION("""COMPUTED_VALUE"""),"")</f>
        <v/>
      </c>
      <c r="B17516" s="87"/>
      <c r="C17516" s="87"/>
      <c r="D17516" s="87"/>
      <c r="E17516" s="87"/>
      <c r="F17516" s="87"/>
      <c r="G17516" s="87"/>
    </row>
    <row r="17517">
      <c r="A17517" s="86" t="str">
        <f>IFERROR(__xludf.DUMMYFUNCTION("""COMPUTED_VALUE"""),"")</f>
        <v/>
      </c>
      <c r="B17517" s="87"/>
      <c r="C17517" s="87"/>
      <c r="D17517" s="87"/>
      <c r="E17517" s="87"/>
      <c r="F17517" s="87"/>
      <c r="G17517" s="87"/>
    </row>
    <row r="17518">
      <c r="A17518" s="86" t="str">
        <f>IFERROR(__xludf.DUMMYFUNCTION("""COMPUTED_VALUE"""),"")</f>
        <v/>
      </c>
      <c r="B17518" s="87"/>
      <c r="C17518" s="87"/>
      <c r="D17518" s="87"/>
      <c r="E17518" s="87"/>
      <c r="F17518" s="87"/>
      <c r="G17518" s="87"/>
    </row>
    <row r="17519">
      <c r="A17519" s="86" t="str">
        <f>IFERROR(__xludf.DUMMYFUNCTION("""COMPUTED_VALUE"""),"")</f>
        <v/>
      </c>
      <c r="B17519" s="87"/>
      <c r="C17519" s="87"/>
      <c r="D17519" s="87"/>
      <c r="E17519" s="87"/>
      <c r="F17519" s="87"/>
      <c r="G17519" s="87"/>
    </row>
    <row r="17520">
      <c r="A17520" s="86" t="str">
        <f>IFERROR(__xludf.DUMMYFUNCTION("""COMPUTED_VALUE"""),"")</f>
        <v/>
      </c>
      <c r="B17520" s="87"/>
      <c r="C17520" s="87"/>
      <c r="D17520" s="87"/>
      <c r="E17520" s="87"/>
      <c r="F17520" s="87"/>
      <c r="G17520" s="87"/>
    </row>
    <row r="17521">
      <c r="A17521" s="86" t="str">
        <f>IFERROR(__xludf.DUMMYFUNCTION("""COMPUTED_VALUE"""),"")</f>
        <v/>
      </c>
      <c r="B17521" s="87"/>
      <c r="C17521" s="87"/>
      <c r="D17521" s="87"/>
      <c r="E17521" s="87"/>
      <c r="F17521" s="87"/>
      <c r="G17521" s="87"/>
    </row>
    <row r="17522">
      <c r="A17522" s="86" t="str">
        <f>IFERROR(__xludf.DUMMYFUNCTION("""COMPUTED_VALUE"""),"")</f>
        <v/>
      </c>
      <c r="B17522" s="87"/>
      <c r="C17522" s="87"/>
      <c r="D17522" s="87"/>
      <c r="E17522" s="87"/>
      <c r="F17522" s="87"/>
      <c r="G17522" s="87"/>
    </row>
    <row r="17523">
      <c r="A17523" s="86" t="str">
        <f>IFERROR(__xludf.DUMMYFUNCTION("""COMPUTED_VALUE"""),"")</f>
        <v/>
      </c>
      <c r="B17523" s="87"/>
      <c r="C17523" s="87"/>
      <c r="D17523" s="87"/>
      <c r="E17523" s="87"/>
      <c r="F17523" s="87"/>
      <c r="G17523" s="87"/>
    </row>
    <row r="17524">
      <c r="A17524" s="86" t="str">
        <f>IFERROR(__xludf.DUMMYFUNCTION("""COMPUTED_VALUE"""),"")</f>
        <v/>
      </c>
      <c r="B17524" s="87"/>
      <c r="C17524" s="87"/>
      <c r="D17524" s="87"/>
      <c r="E17524" s="87"/>
      <c r="F17524" s="87"/>
      <c r="G17524" s="87"/>
    </row>
    <row r="17525">
      <c r="A17525" s="86" t="str">
        <f>IFERROR(__xludf.DUMMYFUNCTION("""COMPUTED_VALUE"""),"")</f>
        <v/>
      </c>
      <c r="B17525" s="87"/>
      <c r="C17525" s="87"/>
      <c r="D17525" s="87"/>
      <c r="E17525" s="87"/>
      <c r="F17525" s="87"/>
      <c r="G17525" s="87"/>
    </row>
    <row r="17526">
      <c r="A17526" s="86" t="str">
        <f>IFERROR(__xludf.DUMMYFUNCTION("""COMPUTED_VALUE"""),"")</f>
        <v/>
      </c>
      <c r="B17526" s="87"/>
      <c r="C17526" s="87"/>
      <c r="D17526" s="87"/>
      <c r="E17526" s="87"/>
      <c r="F17526" s="87"/>
      <c r="G17526" s="87"/>
    </row>
    <row r="17527">
      <c r="A17527" s="86" t="str">
        <f>IFERROR(__xludf.DUMMYFUNCTION("""COMPUTED_VALUE"""),"")</f>
        <v/>
      </c>
      <c r="B17527" s="87"/>
      <c r="C17527" s="87"/>
      <c r="D17527" s="87"/>
      <c r="E17527" s="87"/>
      <c r="F17527" s="87"/>
      <c r="G17527" s="87"/>
    </row>
    <row r="17528">
      <c r="A17528" s="86" t="str">
        <f>IFERROR(__xludf.DUMMYFUNCTION("""COMPUTED_VALUE"""),"")</f>
        <v/>
      </c>
      <c r="B17528" s="87"/>
      <c r="C17528" s="87"/>
      <c r="D17528" s="87"/>
      <c r="E17528" s="87"/>
      <c r="F17528" s="87"/>
      <c r="G17528" s="87"/>
    </row>
    <row r="17529">
      <c r="A17529" s="86" t="str">
        <f>IFERROR(__xludf.DUMMYFUNCTION("""COMPUTED_VALUE"""),"")</f>
        <v/>
      </c>
      <c r="B17529" s="87"/>
      <c r="C17529" s="87"/>
      <c r="D17529" s="87"/>
      <c r="E17529" s="87"/>
      <c r="F17529" s="87"/>
      <c r="G17529" s="87"/>
    </row>
    <row r="17530">
      <c r="A17530" s="86" t="str">
        <f>IFERROR(__xludf.DUMMYFUNCTION("""COMPUTED_VALUE"""),"")</f>
        <v/>
      </c>
      <c r="B17530" s="87"/>
      <c r="C17530" s="87"/>
      <c r="D17530" s="87"/>
      <c r="E17530" s="87"/>
      <c r="F17530" s="87"/>
      <c r="G17530" s="87"/>
    </row>
    <row r="17531">
      <c r="A17531" s="86" t="str">
        <f>IFERROR(__xludf.DUMMYFUNCTION("""COMPUTED_VALUE"""),"")</f>
        <v/>
      </c>
      <c r="B17531" s="87"/>
      <c r="C17531" s="87"/>
      <c r="D17531" s="87"/>
      <c r="E17531" s="87"/>
      <c r="F17531" s="87"/>
      <c r="G17531" s="87"/>
    </row>
    <row r="17532">
      <c r="A17532" s="86" t="str">
        <f>IFERROR(__xludf.DUMMYFUNCTION("""COMPUTED_VALUE"""),"")</f>
        <v/>
      </c>
      <c r="B17532" s="87"/>
      <c r="C17532" s="87"/>
      <c r="D17532" s="87"/>
      <c r="E17532" s="87"/>
      <c r="F17532" s="87"/>
      <c r="G17532" s="87"/>
    </row>
    <row r="17533">
      <c r="A17533" s="86" t="str">
        <f>IFERROR(__xludf.DUMMYFUNCTION("""COMPUTED_VALUE"""),"")</f>
        <v/>
      </c>
      <c r="B17533" s="87"/>
      <c r="C17533" s="87"/>
      <c r="D17533" s="87"/>
      <c r="E17533" s="87"/>
      <c r="F17533" s="87"/>
      <c r="G17533" s="87"/>
    </row>
    <row r="17534">
      <c r="A17534" s="86" t="str">
        <f>IFERROR(__xludf.DUMMYFUNCTION("""COMPUTED_VALUE"""),"")</f>
        <v/>
      </c>
      <c r="B17534" s="87"/>
      <c r="C17534" s="87"/>
      <c r="D17534" s="87"/>
      <c r="E17534" s="87"/>
      <c r="F17534" s="87"/>
      <c r="G17534" s="87"/>
    </row>
    <row r="17535">
      <c r="A17535" s="86" t="str">
        <f>IFERROR(__xludf.DUMMYFUNCTION("""COMPUTED_VALUE"""),"")</f>
        <v/>
      </c>
      <c r="B17535" s="87"/>
      <c r="C17535" s="87"/>
      <c r="D17535" s="87"/>
      <c r="E17535" s="87"/>
      <c r="F17535" s="87"/>
      <c r="G17535" s="87"/>
    </row>
    <row r="17536">
      <c r="A17536" s="86" t="str">
        <f>IFERROR(__xludf.DUMMYFUNCTION("""COMPUTED_VALUE"""),"")</f>
        <v/>
      </c>
      <c r="B17536" s="87"/>
      <c r="C17536" s="87"/>
      <c r="D17536" s="87"/>
      <c r="E17536" s="87"/>
      <c r="F17536" s="87"/>
      <c r="G17536" s="87"/>
    </row>
    <row r="17537">
      <c r="A17537" s="86" t="str">
        <f>IFERROR(__xludf.DUMMYFUNCTION("""COMPUTED_VALUE"""),"")</f>
        <v/>
      </c>
      <c r="B17537" s="87"/>
      <c r="C17537" s="87"/>
      <c r="D17537" s="87"/>
      <c r="E17537" s="87"/>
      <c r="F17537" s="87"/>
      <c r="G17537" s="87"/>
    </row>
    <row r="17538">
      <c r="A17538" s="86" t="str">
        <f>IFERROR(__xludf.DUMMYFUNCTION("""COMPUTED_VALUE"""),"")</f>
        <v/>
      </c>
      <c r="B17538" s="87"/>
      <c r="C17538" s="87"/>
      <c r="D17538" s="87"/>
      <c r="E17538" s="87"/>
      <c r="F17538" s="87"/>
      <c r="G17538" s="87"/>
    </row>
    <row r="17539">
      <c r="A17539" s="86" t="str">
        <f>IFERROR(__xludf.DUMMYFUNCTION("""COMPUTED_VALUE"""),"")</f>
        <v/>
      </c>
      <c r="B17539" s="87"/>
      <c r="C17539" s="87"/>
      <c r="D17539" s="87"/>
      <c r="E17539" s="87"/>
      <c r="F17539" s="87"/>
      <c r="G17539" s="87"/>
    </row>
    <row r="17540">
      <c r="A17540" s="86" t="str">
        <f>IFERROR(__xludf.DUMMYFUNCTION("""COMPUTED_VALUE"""),"")</f>
        <v/>
      </c>
      <c r="B17540" s="87"/>
      <c r="C17540" s="87"/>
      <c r="D17540" s="87"/>
      <c r="E17540" s="87"/>
      <c r="F17540" s="87"/>
      <c r="G17540" s="87"/>
    </row>
    <row r="17541">
      <c r="A17541" s="86" t="str">
        <f>IFERROR(__xludf.DUMMYFUNCTION("""COMPUTED_VALUE"""),"")</f>
        <v/>
      </c>
      <c r="B17541" s="87"/>
      <c r="C17541" s="87"/>
      <c r="D17541" s="87"/>
      <c r="E17541" s="87"/>
      <c r="F17541" s="87"/>
      <c r="G17541" s="87"/>
    </row>
    <row r="17542">
      <c r="A17542" s="86" t="str">
        <f>IFERROR(__xludf.DUMMYFUNCTION("""COMPUTED_VALUE"""),"")</f>
        <v/>
      </c>
      <c r="B17542" s="87"/>
      <c r="C17542" s="87"/>
      <c r="D17542" s="87"/>
      <c r="E17542" s="87"/>
      <c r="F17542" s="87"/>
      <c r="G17542" s="87"/>
    </row>
    <row r="17543">
      <c r="A17543" s="86" t="str">
        <f>IFERROR(__xludf.DUMMYFUNCTION("""COMPUTED_VALUE"""),"")</f>
        <v/>
      </c>
      <c r="B17543" s="87"/>
      <c r="C17543" s="87"/>
      <c r="D17543" s="87"/>
      <c r="E17543" s="87"/>
      <c r="F17543" s="87"/>
      <c r="G17543" s="87"/>
    </row>
    <row r="17544">
      <c r="A17544" s="86" t="str">
        <f>IFERROR(__xludf.DUMMYFUNCTION("""COMPUTED_VALUE"""),"")</f>
        <v/>
      </c>
      <c r="B17544" s="87"/>
      <c r="C17544" s="87"/>
      <c r="D17544" s="87"/>
      <c r="E17544" s="87"/>
      <c r="F17544" s="87"/>
      <c r="G17544" s="87"/>
    </row>
    <row r="17545">
      <c r="A17545" s="86" t="str">
        <f>IFERROR(__xludf.DUMMYFUNCTION("""COMPUTED_VALUE"""),"")</f>
        <v/>
      </c>
      <c r="B17545" s="87"/>
      <c r="C17545" s="87"/>
      <c r="D17545" s="87"/>
      <c r="E17545" s="87"/>
      <c r="F17545" s="87"/>
      <c r="G17545" s="87"/>
    </row>
    <row r="17546">
      <c r="A17546" s="86" t="str">
        <f>IFERROR(__xludf.DUMMYFUNCTION("""COMPUTED_VALUE"""),"")</f>
        <v/>
      </c>
      <c r="B17546" s="87"/>
      <c r="C17546" s="87"/>
      <c r="D17546" s="87"/>
      <c r="E17546" s="87"/>
      <c r="F17546" s="87"/>
      <c r="G17546" s="87"/>
    </row>
    <row r="17547">
      <c r="A17547" s="86" t="str">
        <f>IFERROR(__xludf.DUMMYFUNCTION("""COMPUTED_VALUE"""),"")</f>
        <v/>
      </c>
      <c r="B17547" s="87"/>
      <c r="C17547" s="87"/>
      <c r="D17547" s="87"/>
      <c r="E17547" s="87"/>
      <c r="F17547" s="87"/>
      <c r="G17547" s="87"/>
    </row>
    <row r="17548">
      <c r="A17548" s="86" t="str">
        <f>IFERROR(__xludf.DUMMYFUNCTION("""COMPUTED_VALUE"""),"")</f>
        <v/>
      </c>
      <c r="B17548" s="87"/>
      <c r="C17548" s="87"/>
      <c r="D17548" s="87"/>
      <c r="E17548" s="87"/>
      <c r="F17548" s="87"/>
      <c r="G17548" s="87"/>
    </row>
    <row r="17549">
      <c r="A17549" s="86" t="str">
        <f>IFERROR(__xludf.DUMMYFUNCTION("""COMPUTED_VALUE"""),"")</f>
        <v/>
      </c>
      <c r="B17549" s="87"/>
      <c r="C17549" s="87"/>
      <c r="D17549" s="87"/>
      <c r="E17549" s="87"/>
      <c r="F17549" s="87"/>
      <c r="G17549" s="87"/>
    </row>
    <row r="17550">
      <c r="A17550" s="86" t="str">
        <f>IFERROR(__xludf.DUMMYFUNCTION("""COMPUTED_VALUE"""),"")</f>
        <v/>
      </c>
      <c r="B17550" s="87"/>
      <c r="C17550" s="87"/>
      <c r="D17550" s="87"/>
      <c r="E17550" s="87"/>
      <c r="F17550" s="87"/>
      <c r="G17550" s="87"/>
    </row>
    <row r="17551">
      <c r="A17551" s="86" t="str">
        <f>IFERROR(__xludf.DUMMYFUNCTION("""COMPUTED_VALUE"""),"")</f>
        <v/>
      </c>
      <c r="B17551" s="87"/>
      <c r="C17551" s="87"/>
      <c r="D17551" s="87"/>
      <c r="E17551" s="87"/>
      <c r="F17551" s="87"/>
      <c r="G17551" s="87"/>
    </row>
    <row r="17552">
      <c r="A17552" s="86" t="str">
        <f>IFERROR(__xludf.DUMMYFUNCTION("""COMPUTED_VALUE"""),"")</f>
        <v/>
      </c>
      <c r="B17552" s="87"/>
      <c r="C17552" s="87"/>
      <c r="D17552" s="87"/>
      <c r="E17552" s="87"/>
      <c r="F17552" s="87"/>
      <c r="G17552" s="87"/>
    </row>
    <row r="17553">
      <c r="A17553" s="86" t="str">
        <f>IFERROR(__xludf.DUMMYFUNCTION("""COMPUTED_VALUE"""),"")</f>
        <v/>
      </c>
      <c r="B17553" s="87"/>
      <c r="C17553" s="87"/>
      <c r="D17553" s="87"/>
      <c r="E17553" s="87"/>
      <c r="F17553" s="87"/>
      <c r="G17553" s="87"/>
    </row>
    <row r="17554">
      <c r="A17554" s="86" t="str">
        <f>IFERROR(__xludf.DUMMYFUNCTION("""COMPUTED_VALUE"""),"")</f>
        <v/>
      </c>
      <c r="B17554" s="87"/>
      <c r="C17554" s="87"/>
      <c r="D17554" s="87"/>
      <c r="E17554" s="87"/>
      <c r="F17554" s="87"/>
      <c r="G17554" s="87"/>
    </row>
    <row r="17555">
      <c r="A17555" s="86" t="str">
        <f>IFERROR(__xludf.DUMMYFUNCTION("""COMPUTED_VALUE"""),"")</f>
        <v/>
      </c>
      <c r="B17555" s="87"/>
      <c r="C17555" s="87"/>
      <c r="D17555" s="87"/>
      <c r="E17555" s="87"/>
      <c r="F17555" s="87"/>
      <c r="G17555" s="87"/>
    </row>
    <row r="17556">
      <c r="A17556" s="86" t="str">
        <f>IFERROR(__xludf.DUMMYFUNCTION("""COMPUTED_VALUE"""),"")</f>
        <v/>
      </c>
      <c r="B17556" s="87"/>
      <c r="C17556" s="87"/>
      <c r="D17556" s="87"/>
      <c r="E17556" s="87"/>
      <c r="F17556" s="87"/>
      <c r="G17556" s="87"/>
    </row>
    <row r="17557">
      <c r="A17557" s="86" t="str">
        <f>IFERROR(__xludf.DUMMYFUNCTION("""COMPUTED_VALUE"""),"")</f>
        <v/>
      </c>
      <c r="B17557" s="87"/>
      <c r="C17557" s="87"/>
      <c r="D17557" s="87"/>
      <c r="E17557" s="87"/>
      <c r="F17557" s="87"/>
      <c r="G17557" s="87"/>
    </row>
    <row r="17558">
      <c r="A17558" s="86" t="str">
        <f>IFERROR(__xludf.DUMMYFUNCTION("""COMPUTED_VALUE"""),"")</f>
        <v/>
      </c>
      <c r="B17558" s="87"/>
      <c r="C17558" s="87"/>
      <c r="D17558" s="87"/>
      <c r="E17558" s="87"/>
      <c r="F17558" s="87"/>
      <c r="G17558" s="87"/>
    </row>
    <row r="17559">
      <c r="A17559" s="86" t="str">
        <f>IFERROR(__xludf.DUMMYFUNCTION("""COMPUTED_VALUE"""),"")</f>
        <v/>
      </c>
      <c r="B17559" s="87"/>
      <c r="C17559" s="87"/>
      <c r="D17559" s="87"/>
      <c r="E17559" s="87"/>
      <c r="F17559" s="87"/>
      <c r="G17559" s="87"/>
    </row>
    <row r="17560">
      <c r="A17560" s="86" t="str">
        <f>IFERROR(__xludf.DUMMYFUNCTION("""COMPUTED_VALUE"""),"")</f>
        <v/>
      </c>
      <c r="B17560" s="87"/>
      <c r="C17560" s="87"/>
      <c r="D17560" s="87"/>
      <c r="E17560" s="87"/>
      <c r="F17560" s="87"/>
      <c r="G17560" s="87"/>
    </row>
    <row r="17561">
      <c r="A17561" s="86" t="str">
        <f>IFERROR(__xludf.DUMMYFUNCTION("""COMPUTED_VALUE"""),"")</f>
        <v/>
      </c>
      <c r="B17561" s="87"/>
      <c r="C17561" s="87"/>
      <c r="D17561" s="87"/>
      <c r="E17561" s="87"/>
      <c r="F17561" s="87"/>
      <c r="G17561" s="87"/>
    </row>
    <row r="17562">
      <c r="A17562" s="86" t="str">
        <f>IFERROR(__xludf.DUMMYFUNCTION("""COMPUTED_VALUE"""),"")</f>
        <v/>
      </c>
      <c r="B17562" s="87"/>
      <c r="C17562" s="87"/>
      <c r="D17562" s="87"/>
      <c r="E17562" s="87"/>
      <c r="F17562" s="87"/>
      <c r="G17562" s="87"/>
    </row>
    <row r="17563">
      <c r="A17563" s="86" t="str">
        <f>IFERROR(__xludf.DUMMYFUNCTION("""COMPUTED_VALUE"""),"")</f>
        <v/>
      </c>
      <c r="B17563" s="87"/>
      <c r="C17563" s="87"/>
      <c r="D17563" s="87"/>
      <c r="E17563" s="87"/>
      <c r="F17563" s="87"/>
      <c r="G17563" s="87"/>
    </row>
    <row r="17564">
      <c r="A17564" s="86" t="str">
        <f>IFERROR(__xludf.DUMMYFUNCTION("""COMPUTED_VALUE"""),"")</f>
        <v/>
      </c>
      <c r="B17564" s="87"/>
      <c r="C17564" s="87"/>
      <c r="D17564" s="87"/>
      <c r="E17564" s="87"/>
      <c r="F17564" s="87"/>
      <c r="G17564" s="87"/>
    </row>
    <row r="17565">
      <c r="A17565" s="86" t="str">
        <f>IFERROR(__xludf.DUMMYFUNCTION("""COMPUTED_VALUE"""),"")</f>
        <v/>
      </c>
      <c r="B17565" s="87"/>
      <c r="C17565" s="87"/>
      <c r="D17565" s="87"/>
      <c r="E17565" s="87"/>
      <c r="F17565" s="87"/>
      <c r="G17565" s="87"/>
    </row>
    <row r="17566">
      <c r="A17566" s="86" t="str">
        <f>IFERROR(__xludf.DUMMYFUNCTION("""COMPUTED_VALUE"""),"")</f>
        <v/>
      </c>
      <c r="B17566" s="87"/>
      <c r="C17566" s="87"/>
      <c r="D17566" s="87"/>
      <c r="E17566" s="87"/>
      <c r="F17566" s="87"/>
      <c r="G17566" s="87"/>
    </row>
    <row r="17567">
      <c r="A17567" s="86" t="str">
        <f>IFERROR(__xludf.DUMMYFUNCTION("""COMPUTED_VALUE"""),"")</f>
        <v/>
      </c>
      <c r="B17567" s="87"/>
      <c r="C17567" s="87"/>
      <c r="D17567" s="87"/>
      <c r="E17567" s="87"/>
      <c r="F17567" s="87"/>
      <c r="G17567" s="87"/>
    </row>
    <row r="17568">
      <c r="A17568" s="86" t="str">
        <f>IFERROR(__xludf.DUMMYFUNCTION("""COMPUTED_VALUE"""),"")</f>
        <v/>
      </c>
      <c r="B17568" s="87"/>
      <c r="C17568" s="87"/>
      <c r="D17568" s="87"/>
      <c r="E17568" s="87"/>
      <c r="F17568" s="87"/>
      <c r="G17568" s="87"/>
    </row>
    <row r="17569">
      <c r="A17569" s="86" t="str">
        <f>IFERROR(__xludf.DUMMYFUNCTION("""COMPUTED_VALUE"""),"")</f>
        <v/>
      </c>
      <c r="B17569" s="87"/>
      <c r="C17569" s="87"/>
      <c r="D17569" s="87"/>
      <c r="E17569" s="87"/>
      <c r="F17569" s="87"/>
      <c r="G17569" s="87"/>
    </row>
    <row r="17570">
      <c r="A17570" s="86" t="str">
        <f>IFERROR(__xludf.DUMMYFUNCTION("""COMPUTED_VALUE"""),"")</f>
        <v/>
      </c>
      <c r="B17570" s="87"/>
      <c r="C17570" s="87"/>
      <c r="D17570" s="87"/>
      <c r="E17570" s="87"/>
      <c r="F17570" s="87"/>
      <c r="G17570" s="87"/>
    </row>
    <row r="17571">
      <c r="A17571" s="86" t="str">
        <f>IFERROR(__xludf.DUMMYFUNCTION("""COMPUTED_VALUE"""),"")</f>
        <v/>
      </c>
      <c r="B17571" s="87"/>
      <c r="C17571" s="87"/>
      <c r="D17571" s="87"/>
      <c r="E17571" s="87"/>
      <c r="F17571" s="87"/>
      <c r="G17571" s="87"/>
    </row>
    <row r="17572">
      <c r="A17572" s="86" t="str">
        <f>IFERROR(__xludf.DUMMYFUNCTION("""COMPUTED_VALUE"""),"")</f>
        <v/>
      </c>
      <c r="B17572" s="87"/>
      <c r="C17572" s="87"/>
      <c r="D17572" s="87"/>
      <c r="E17572" s="87"/>
      <c r="F17572" s="87"/>
      <c r="G17572" s="87"/>
    </row>
    <row r="17573">
      <c r="A17573" s="86" t="str">
        <f>IFERROR(__xludf.DUMMYFUNCTION("""COMPUTED_VALUE"""),"")</f>
        <v/>
      </c>
      <c r="B17573" s="87"/>
      <c r="C17573" s="87"/>
      <c r="D17573" s="87"/>
      <c r="E17573" s="87"/>
      <c r="F17573" s="87"/>
      <c r="G17573" s="87"/>
    </row>
    <row r="17574">
      <c r="A17574" s="86" t="str">
        <f>IFERROR(__xludf.DUMMYFUNCTION("""COMPUTED_VALUE"""),"")</f>
        <v/>
      </c>
      <c r="B17574" s="87"/>
      <c r="C17574" s="87"/>
      <c r="D17574" s="87"/>
      <c r="E17574" s="87"/>
      <c r="F17574" s="87"/>
      <c r="G17574" s="87"/>
    </row>
    <row r="17575">
      <c r="A17575" s="86" t="str">
        <f>IFERROR(__xludf.DUMMYFUNCTION("""COMPUTED_VALUE"""),"")</f>
        <v/>
      </c>
      <c r="B17575" s="87"/>
      <c r="C17575" s="87"/>
      <c r="D17575" s="87"/>
      <c r="E17575" s="87"/>
      <c r="F17575" s="87"/>
      <c r="G17575" s="87"/>
    </row>
    <row r="17576">
      <c r="A17576" s="86" t="str">
        <f>IFERROR(__xludf.DUMMYFUNCTION("""COMPUTED_VALUE"""),"")</f>
        <v/>
      </c>
      <c r="B17576" s="87"/>
      <c r="C17576" s="87"/>
      <c r="D17576" s="87"/>
      <c r="E17576" s="87"/>
      <c r="F17576" s="87"/>
      <c r="G17576" s="87"/>
    </row>
    <row r="17577">
      <c r="A17577" s="86" t="str">
        <f>IFERROR(__xludf.DUMMYFUNCTION("""COMPUTED_VALUE"""),"")</f>
        <v/>
      </c>
      <c r="B17577" s="87"/>
      <c r="C17577" s="87"/>
      <c r="D17577" s="87"/>
      <c r="E17577" s="87"/>
      <c r="F17577" s="87"/>
      <c r="G17577" s="87"/>
    </row>
    <row r="17578">
      <c r="A17578" s="86" t="str">
        <f>IFERROR(__xludf.DUMMYFUNCTION("""COMPUTED_VALUE"""),"")</f>
        <v/>
      </c>
      <c r="B17578" s="87"/>
      <c r="C17578" s="87"/>
      <c r="D17578" s="87"/>
      <c r="E17578" s="87"/>
      <c r="F17578" s="87"/>
      <c r="G17578" s="87"/>
    </row>
    <row r="17579">
      <c r="A17579" s="86" t="str">
        <f>IFERROR(__xludf.DUMMYFUNCTION("""COMPUTED_VALUE"""),"")</f>
        <v/>
      </c>
      <c r="B17579" s="87"/>
      <c r="C17579" s="87"/>
      <c r="D17579" s="87"/>
      <c r="E17579" s="87"/>
      <c r="F17579" s="87"/>
      <c r="G17579" s="87"/>
    </row>
    <row r="17580">
      <c r="A17580" s="86" t="str">
        <f>IFERROR(__xludf.DUMMYFUNCTION("""COMPUTED_VALUE"""),"")</f>
        <v/>
      </c>
      <c r="B17580" s="87"/>
      <c r="C17580" s="87"/>
      <c r="D17580" s="87"/>
      <c r="E17580" s="87"/>
      <c r="F17580" s="87"/>
      <c r="G17580" s="87"/>
    </row>
    <row r="17581">
      <c r="A17581" s="86" t="str">
        <f>IFERROR(__xludf.DUMMYFUNCTION("""COMPUTED_VALUE"""),"")</f>
        <v/>
      </c>
      <c r="B17581" s="87"/>
      <c r="C17581" s="87"/>
      <c r="D17581" s="87"/>
      <c r="E17581" s="87"/>
      <c r="F17581" s="87"/>
      <c r="G17581" s="87"/>
    </row>
    <row r="17582">
      <c r="A17582" s="86" t="str">
        <f>IFERROR(__xludf.DUMMYFUNCTION("""COMPUTED_VALUE"""),"")</f>
        <v/>
      </c>
      <c r="B17582" s="87"/>
      <c r="C17582" s="87"/>
      <c r="D17582" s="87"/>
      <c r="E17582" s="87"/>
      <c r="F17582" s="87"/>
      <c r="G17582" s="87"/>
    </row>
    <row r="17583">
      <c r="A17583" s="86" t="str">
        <f>IFERROR(__xludf.DUMMYFUNCTION("""COMPUTED_VALUE"""),"")</f>
        <v/>
      </c>
      <c r="B17583" s="87"/>
      <c r="C17583" s="87"/>
      <c r="D17583" s="87"/>
      <c r="E17583" s="87"/>
      <c r="F17583" s="87"/>
      <c r="G17583" s="87"/>
    </row>
    <row r="17584">
      <c r="A17584" s="86" t="str">
        <f>IFERROR(__xludf.DUMMYFUNCTION("""COMPUTED_VALUE"""),"")</f>
        <v/>
      </c>
      <c r="B17584" s="87"/>
      <c r="C17584" s="87"/>
      <c r="D17584" s="87"/>
      <c r="E17584" s="87"/>
      <c r="F17584" s="87"/>
      <c r="G17584" s="87"/>
    </row>
    <row r="17585">
      <c r="A17585" s="86" t="str">
        <f>IFERROR(__xludf.DUMMYFUNCTION("""COMPUTED_VALUE"""),"")</f>
        <v/>
      </c>
      <c r="B17585" s="87"/>
      <c r="C17585" s="87"/>
      <c r="D17585" s="87"/>
      <c r="E17585" s="87"/>
      <c r="F17585" s="87"/>
      <c r="G17585" s="87"/>
    </row>
    <row r="17586">
      <c r="A17586" s="86" t="str">
        <f>IFERROR(__xludf.DUMMYFUNCTION("""COMPUTED_VALUE"""),"")</f>
        <v/>
      </c>
      <c r="B17586" s="87"/>
      <c r="C17586" s="87"/>
      <c r="D17586" s="87"/>
      <c r="E17586" s="87"/>
      <c r="F17586" s="87"/>
      <c r="G17586" s="87"/>
    </row>
    <row r="17587">
      <c r="A17587" s="86" t="str">
        <f>IFERROR(__xludf.DUMMYFUNCTION("""COMPUTED_VALUE"""),"")</f>
        <v/>
      </c>
      <c r="B17587" s="87"/>
      <c r="C17587" s="87"/>
      <c r="D17587" s="87"/>
      <c r="E17587" s="87"/>
      <c r="F17587" s="87"/>
      <c r="G17587" s="87"/>
    </row>
    <row r="17588">
      <c r="A17588" s="86" t="str">
        <f>IFERROR(__xludf.DUMMYFUNCTION("""COMPUTED_VALUE"""),"")</f>
        <v/>
      </c>
      <c r="B17588" s="87"/>
      <c r="C17588" s="87"/>
      <c r="D17588" s="87"/>
      <c r="E17588" s="87"/>
      <c r="F17588" s="87"/>
      <c r="G17588" s="87"/>
    </row>
    <row r="17589">
      <c r="A17589" s="86" t="str">
        <f>IFERROR(__xludf.DUMMYFUNCTION("""COMPUTED_VALUE"""),"")</f>
        <v/>
      </c>
      <c r="B17589" s="87"/>
      <c r="C17589" s="87"/>
      <c r="D17589" s="87"/>
      <c r="E17589" s="87"/>
      <c r="F17589" s="87"/>
      <c r="G17589" s="87"/>
    </row>
    <row r="17590">
      <c r="A17590" s="86" t="str">
        <f>IFERROR(__xludf.DUMMYFUNCTION("""COMPUTED_VALUE"""),"")</f>
        <v/>
      </c>
      <c r="B17590" s="87"/>
      <c r="C17590" s="87"/>
      <c r="D17590" s="87"/>
      <c r="E17590" s="87"/>
      <c r="F17590" s="87"/>
      <c r="G17590" s="87"/>
    </row>
    <row r="17591">
      <c r="A17591" s="86" t="str">
        <f>IFERROR(__xludf.DUMMYFUNCTION("""COMPUTED_VALUE"""),"")</f>
        <v/>
      </c>
      <c r="B17591" s="87"/>
      <c r="C17591" s="87"/>
      <c r="D17591" s="87"/>
      <c r="E17591" s="87"/>
      <c r="F17591" s="87"/>
      <c r="G17591" s="87"/>
    </row>
    <row r="17592">
      <c r="A17592" s="86" t="str">
        <f>IFERROR(__xludf.DUMMYFUNCTION("""COMPUTED_VALUE"""),"")</f>
        <v/>
      </c>
      <c r="B17592" s="87"/>
      <c r="C17592" s="87"/>
      <c r="D17592" s="87"/>
      <c r="E17592" s="87"/>
      <c r="F17592" s="87"/>
      <c r="G17592" s="87"/>
    </row>
    <row r="17593">
      <c r="A17593" s="86" t="str">
        <f>IFERROR(__xludf.DUMMYFUNCTION("""COMPUTED_VALUE"""),"")</f>
        <v/>
      </c>
      <c r="B17593" s="87"/>
      <c r="C17593" s="87"/>
      <c r="D17593" s="87"/>
      <c r="E17593" s="87"/>
      <c r="F17593" s="87"/>
      <c r="G17593" s="87"/>
    </row>
    <row r="17594">
      <c r="A17594" s="86" t="str">
        <f>IFERROR(__xludf.DUMMYFUNCTION("""COMPUTED_VALUE"""),"")</f>
        <v/>
      </c>
      <c r="B17594" s="87"/>
      <c r="C17594" s="87"/>
      <c r="D17594" s="87"/>
      <c r="E17594" s="87"/>
      <c r="F17594" s="87"/>
      <c r="G17594" s="87"/>
    </row>
    <row r="17595">
      <c r="A17595" s="86" t="str">
        <f>IFERROR(__xludf.DUMMYFUNCTION("""COMPUTED_VALUE"""),"")</f>
        <v/>
      </c>
      <c r="B17595" s="87"/>
      <c r="C17595" s="87"/>
      <c r="D17595" s="87"/>
      <c r="E17595" s="87"/>
      <c r="F17595" s="87"/>
      <c r="G17595" s="87"/>
    </row>
    <row r="17596">
      <c r="A17596" s="86" t="str">
        <f>IFERROR(__xludf.DUMMYFUNCTION("""COMPUTED_VALUE"""),"")</f>
        <v/>
      </c>
      <c r="B17596" s="87"/>
      <c r="C17596" s="87"/>
      <c r="D17596" s="87"/>
      <c r="E17596" s="87"/>
      <c r="F17596" s="87"/>
      <c r="G17596" s="87"/>
    </row>
    <row r="17597">
      <c r="A17597" s="86" t="str">
        <f>IFERROR(__xludf.DUMMYFUNCTION("""COMPUTED_VALUE"""),"")</f>
        <v/>
      </c>
      <c r="B17597" s="87"/>
      <c r="C17597" s="87"/>
      <c r="D17597" s="87"/>
      <c r="E17597" s="87"/>
      <c r="F17597" s="87"/>
      <c r="G17597" s="87"/>
    </row>
    <row r="17598">
      <c r="A17598" s="86" t="str">
        <f>IFERROR(__xludf.DUMMYFUNCTION("""COMPUTED_VALUE"""),"")</f>
        <v/>
      </c>
      <c r="B17598" s="87"/>
      <c r="C17598" s="87"/>
      <c r="D17598" s="87"/>
      <c r="E17598" s="87"/>
      <c r="F17598" s="87"/>
      <c r="G17598" s="87"/>
    </row>
    <row r="17599">
      <c r="A17599" s="86" t="str">
        <f>IFERROR(__xludf.DUMMYFUNCTION("""COMPUTED_VALUE"""),"")</f>
        <v/>
      </c>
      <c r="B17599" s="87"/>
      <c r="C17599" s="87"/>
      <c r="D17599" s="87"/>
      <c r="E17599" s="87"/>
      <c r="F17599" s="87"/>
      <c r="G17599" s="87"/>
    </row>
    <row r="17600">
      <c r="A17600" s="86" t="str">
        <f>IFERROR(__xludf.DUMMYFUNCTION("""COMPUTED_VALUE"""),"")</f>
        <v/>
      </c>
      <c r="B17600" s="87"/>
      <c r="C17600" s="87"/>
      <c r="D17600" s="87"/>
      <c r="E17600" s="87"/>
      <c r="F17600" s="87"/>
      <c r="G17600" s="87"/>
    </row>
    <row r="17601">
      <c r="A17601" s="86" t="str">
        <f>IFERROR(__xludf.DUMMYFUNCTION("""COMPUTED_VALUE"""),"")</f>
        <v/>
      </c>
      <c r="B17601" s="87"/>
      <c r="C17601" s="87"/>
      <c r="D17601" s="87"/>
      <c r="E17601" s="87"/>
      <c r="F17601" s="87"/>
      <c r="G17601" s="87"/>
    </row>
    <row r="17602">
      <c r="A17602" s="86" t="str">
        <f>IFERROR(__xludf.DUMMYFUNCTION("""COMPUTED_VALUE"""),"")</f>
        <v/>
      </c>
      <c r="B17602" s="87"/>
      <c r="C17602" s="87"/>
      <c r="D17602" s="87"/>
      <c r="E17602" s="87"/>
      <c r="F17602" s="87"/>
      <c r="G17602" s="87"/>
    </row>
    <row r="17603">
      <c r="A17603" s="86" t="str">
        <f>IFERROR(__xludf.DUMMYFUNCTION("""COMPUTED_VALUE"""),"")</f>
        <v/>
      </c>
      <c r="B17603" s="87"/>
      <c r="C17603" s="87"/>
      <c r="D17603" s="87"/>
      <c r="E17603" s="87"/>
      <c r="F17603" s="87"/>
      <c r="G17603" s="87"/>
    </row>
    <row r="17604">
      <c r="A17604" s="86" t="str">
        <f>IFERROR(__xludf.DUMMYFUNCTION("""COMPUTED_VALUE"""),"")</f>
        <v/>
      </c>
      <c r="B17604" s="87"/>
      <c r="C17604" s="87"/>
      <c r="D17604" s="87"/>
      <c r="E17604" s="87"/>
      <c r="F17604" s="87"/>
      <c r="G17604" s="87"/>
    </row>
    <row r="17605">
      <c r="A17605" s="86" t="str">
        <f>IFERROR(__xludf.DUMMYFUNCTION("""COMPUTED_VALUE"""),"")</f>
        <v/>
      </c>
      <c r="B17605" s="87"/>
      <c r="C17605" s="87"/>
      <c r="D17605" s="87"/>
      <c r="E17605" s="87"/>
      <c r="F17605" s="87"/>
      <c r="G17605" s="87"/>
    </row>
    <row r="17606">
      <c r="A17606" s="86" t="str">
        <f>IFERROR(__xludf.DUMMYFUNCTION("""COMPUTED_VALUE"""),"")</f>
        <v/>
      </c>
      <c r="B17606" s="87"/>
      <c r="C17606" s="87"/>
      <c r="D17606" s="87"/>
      <c r="E17606" s="87"/>
      <c r="F17606" s="87"/>
      <c r="G17606" s="87"/>
    </row>
    <row r="17607">
      <c r="A17607" s="86" t="str">
        <f>IFERROR(__xludf.DUMMYFUNCTION("""COMPUTED_VALUE"""),"")</f>
        <v/>
      </c>
      <c r="B17607" s="87"/>
      <c r="C17607" s="87"/>
      <c r="D17607" s="87"/>
      <c r="E17607" s="87"/>
      <c r="F17607" s="87"/>
      <c r="G17607" s="87"/>
    </row>
    <row r="17608">
      <c r="A17608" s="86" t="str">
        <f>IFERROR(__xludf.DUMMYFUNCTION("""COMPUTED_VALUE"""),"")</f>
        <v/>
      </c>
      <c r="B17608" s="87"/>
      <c r="C17608" s="87"/>
      <c r="D17608" s="87"/>
      <c r="E17608" s="87"/>
      <c r="F17608" s="87"/>
      <c r="G17608" s="87"/>
    </row>
    <row r="17609">
      <c r="A17609" s="86" t="str">
        <f>IFERROR(__xludf.DUMMYFUNCTION("""COMPUTED_VALUE"""),"")</f>
        <v/>
      </c>
      <c r="B17609" s="87"/>
      <c r="C17609" s="87"/>
      <c r="D17609" s="87"/>
      <c r="E17609" s="87"/>
      <c r="F17609" s="87"/>
      <c r="G17609" s="87"/>
    </row>
    <row r="17610">
      <c r="A17610" s="86" t="str">
        <f>IFERROR(__xludf.DUMMYFUNCTION("""COMPUTED_VALUE"""),"")</f>
        <v/>
      </c>
      <c r="B17610" s="87"/>
      <c r="C17610" s="87"/>
      <c r="D17610" s="87"/>
      <c r="E17610" s="87"/>
      <c r="F17610" s="87"/>
      <c r="G17610" s="87"/>
    </row>
    <row r="17611">
      <c r="A17611" s="86" t="str">
        <f>IFERROR(__xludf.DUMMYFUNCTION("""COMPUTED_VALUE"""),"")</f>
        <v/>
      </c>
      <c r="B17611" s="87"/>
      <c r="C17611" s="87"/>
      <c r="D17611" s="87"/>
      <c r="E17611" s="87"/>
      <c r="F17611" s="87"/>
      <c r="G17611" s="87"/>
    </row>
    <row r="17612">
      <c r="A17612" s="86" t="str">
        <f>IFERROR(__xludf.DUMMYFUNCTION("""COMPUTED_VALUE"""),"")</f>
        <v/>
      </c>
      <c r="B17612" s="87"/>
      <c r="C17612" s="87"/>
      <c r="D17612" s="87"/>
      <c r="E17612" s="87"/>
      <c r="F17612" s="87"/>
      <c r="G17612" s="87"/>
    </row>
    <row r="17613">
      <c r="A17613" s="86" t="str">
        <f>IFERROR(__xludf.DUMMYFUNCTION("""COMPUTED_VALUE"""),"")</f>
        <v/>
      </c>
      <c r="B17613" s="87"/>
      <c r="C17613" s="87"/>
      <c r="D17613" s="87"/>
      <c r="E17613" s="87"/>
      <c r="F17613" s="87"/>
      <c r="G17613" s="87"/>
    </row>
    <row r="17614">
      <c r="A17614" s="86" t="str">
        <f>IFERROR(__xludf.DUMMYFUNCTION("""COMPUTED_VALUE"""),"")</f>
        <v/>
      </c>
      <c r="B17614" s="87"/>
      <c r="C17614" s="87"/>
      <c r="D17614" s="87"/>
      <c r="E17614" s="87"/>
      <c r="F17614" s="87"/>
      <c r="G17614" s="87"/>
    </row>
    <row r="17615">
      <c r="A17615" s="86" t="str">
        <f>IFERROR(__xludf.DUMMYFUNCTION("""COMPUTED_VALUE"""),"")</f>
        <v/>
      </c>
      <c r="B17615" s="87"/>
      <c r="C17615" s="87"/>
      <c r="D17615" s="87"/>
      <c r="E17615" s="87"/>
      <c r="F17615" s="87"/>
      <c r="G17615" s="87"/>
    </row>
    <row r="17616">
      <c r="A17616" s="86" t="str">
        <f>IFERROR(__xludf.DUMMYFUNCTION("""COMPUTED_VALUE"""),"")</f>
        <v/>
      </c>
      <c r="B17616" s="87"/>
      <c r="C17616" s="87"/>
      <c r="D17616" s="87"/>
      <c r="E17616" s="87"/>
      <c r="F17616" s="87"/>
      <c r="G17616" s="87"/>
    </row>
    <row r="17617">
      <c r="A17617" s="86" t="str">
        <f>IFERROR(__xludf.DUMMYFUNCTION("""COMPUTED_VALUE"""),"")</f>
        <v/>
      </c>
      <c r="B17617" s="87"/>
      <c r="C17617" s="87"/>
      <c r="D17617" s="87"/>
      <c r="E17617" s="87"/>
      <c r="F17617" s="87"/>
      <c r="G17617" s="87"/>
    </row>
    <row r="17618">
      <c r="A17618" s="86" t="str">
        <f>IFERROR(__xludf.DUMMYFUNCTION("""COMPUTED_VALUE"""),"")</f>
        <v/>
      </c>
      <c r="B17618" s="87"/>
      <c r="C17618" s="87"/>
      <c r="D17618" s="87"/>
      <c r="E17618" s="87"/>
      <c r="F17618" s="87"/>
      <c r="G17618" s="87"/>
    </row>
    <row r="17619">
      <c r="A17619" s="86" t="str">
        <f>IFERROR(__xludf.DUMMYFUNCTION("""COMPUTED_VALUE"""),"")</f>
        <v/>
      </c>
      <c r="B17619" s="87"/>
      <c r="C17619" s="87"/>
      <c r="D17619" s="87"/>
      <c r="E17619" s="87"/>
      <c r="F17619" s="87"/>
      <c r="G17619" s="87"/>
    </row>
    <row r="17620">
      <c r="A17620" s="86" t="str">
        <f>IFERROR(__xludf.DUMMYFUNCTION("""COMPUTED_VALUE"""),"")</f>
        <v/>
      </c>
      <c r="B17620" s="87"/>
      <c r="C17620" s="87"/>
      <c r="D17620" s="87"/>
      <c r="E17620" s="87"/>
      <c r="F17620" s="87"/>
      <c r="G17620" s="87"/>
    </row>
    <row r="17621">
      <c r="A17621" s="86" t="str">
        <f>IFERROR(__xludf.DUMMYFUNCTION("""COMPUTED_VALUE"""),"")</f>
        <v/>
      </c>
      <c r="B17621" s="87"/>
      <c r="C17621" s="87"/>
      <c r="D17621" s="87"/>
      <c r="E17621" s="87"/>
      <c r="F17621" s="87"/>
      <c r="G17621" s="87"/>
    </row>
    <row r="17622">
      <c r="A17622" s="86" t="str">
        <f>IFERROR(__xludf.DUMMYFUNCTION("""COMPUTED_VALUE"""),"")</f>
        <v/>
      </c>
      <c r="B17622" s="87"/>
      <c r="C17622" s="87"/>
      <c r="D17622" s="87"/>
      <c r="E17622" s="87"/>
      <c r="F17622" s="87"/>
      <c r="G17622" s="87"/>
    </row>
    <row r="17623">
      <c r="A17623" s="86" t="str">
        <f>IFERROR(__xludf.DUMMYFUNCTION("""COMPUTED_VALUE"""),"")</f>
        <v/>
      </c>
      <c r="B17623" s="87"/>
      <c r="C17623" s="87"/>
      <c r="D17623" s="87"/>
      <c r="E17623" s="87"/>
      <c r="F17623" s="87"/>
      <c r="G17623" s="87"/>
    </row>
    <row r="17624">
      <c r="A17624" s="86" t="str">
        <f>IFERROR(__xludf.DUMMYFUNCTION("""COMPUTED_VALUE"""),"")</f>
        <v/>
      </c>
      <c r="B17624" s="87"/>
      <c r="C17624" s="87"/>
      <c r="D17624" s="87"/>
      <c r="E17624" s="87"/>
      <c r="F17624" s="87"/>
      <c r="G17624" s="87"/>
    </row>
    <row r="17625">
      <c r="A17625" s="86" t="str">
        <f>IFERROR(__xludf.DUMMYFUNCTION("""COMPUTED_VALUE"""),"")</f>
        <v/>
      </c>
      <c r="B17625" s="87"/>
      <c r="C17625" s="87"/>
      <c r="D17625" s="87"/>
      <c r="E17625" s="87"/>
      <c r="F17625" s="87"/>
      <c r="G17625" s="87"/>
    </row>
    <row r="17626">
      <c r="A17626" s="86" t="str">
        <f>IFERROR(__xludf.DUMMYFUNCTION("""COMPUTED_VALUE"""),"")</f>
        <v/>
      </c>
      <c r="B17626" s="87"/>
      <c r="C17626" s="87"/>
      <c r="D17626" s="87"/>
      <c r="E17626" s="87"/>
      <c r="F17626" s="87"/>
      <c r="G17626" s="87"/>
    </row>
    <row r="17627">
      <c r="A17627" s="86" t="str">
        <f>IFERROR(__xludf.DUMMYFUNCTION("""COMPUTED_VALUE"""),"")</f>
        <v/>
      </c>
      <c r="B17627" s="87"/>
      <c r="C17627" s="87"/>
      <c r="D17627" s="87"/>
      <c r="E17627" s="87"/>
      <c r="F17627" s="87"/>
      <c r="G17627" s="87"/>
    </row>
    <row r="17628">
      <c r="A17628" s="86" t="str">
        <f>IFERROR(__xludf.DUMMYFUNCTION("""COMPUTED_VALUE"""),"")</f>
        <v/>
      </c>
      <c r="B17628" s="87"/>
      <c r="C17628" s="87"/>
      <c r="D17628" s="87"/>
      <c r="E17628" s="87"/>
      <c r="F17628" s="87"/>
      <c r="G17628" s="87"/>
    </row>
    <row r="17629">
      <c r="A17629" s="86" t="str">
        <f>IFERROR(__xludf.DUMMYFUNCTION("""COMPUTED_VALUE"""),"")</f>
        <v/>
      </c>
      <c r="B17629" s="87"/>
      <c r="C17629" s="87"/>
      <c r="D17629" s="87"/>
      <c r="E17629" s="87"/>
      <c r="F17629" s="87"/>
      <c r="G17629" s="87"/>
    </row>
    <row r="17630">
      <c r="A17630" s="86" t="str">
        <f>IFERROR(__xludf.DUMMYFUNCTION("""COMPUTED_VALUE"""),"")</f>
        <v/>
      </c>
      <c r="B17630" s="87"/>
      <c r="C17630" s="87"/>
      <c r="D17630" s="87"/>
      <c r="E17630" s="87"/>
      <c r="F17630" s="87"/>
      <c r="G17630" s="87"/>
    </row>
    <row r="17631">
      <c r="A17631" s="86" t="str">
        <f>IFERROR(__xludf.DUMMYFUNCTION("""COMPUTED_VALUE"""),"")</f>
        <v/>
      </c>
      <c r="B17631" s="87"/>
      <c r="C17631" s="87"/>
      <c r="D17631" s="87"/>
      <c r="E17631" s="87"/>
      <c r="F17631" s="87"/>
      <c r="G17631" s="87"/>
    </row>
    <row r="17632">
      <c r="A17632" s="86" t="str">
        <f>IFERROR(__xludf.DUMMYFUNCTION("""COMPUTED_VALUE"""),"")</f>
        <v/>
      </c>
      <c r="B17632" s="87"/>
      <c r="C17632" s="87"/>
      <c r="D17632" s="87"/>
      <c r="E17632" s="87"/>
      <c r="F17632" s="87"/>
      <c r="G17632" s="87"/>
    </row>
    <row r="17633">
      <c r="A17633" s="86" t="str">
        <f>IFERROR(__xludf.DUMMYFUNCTION("""COMPUTED_VALUE"""),"")</f>
        <v/>
      </c>
      <c r="B17633" s="87"/>
      <c r="C17633" s="87"/>
      <c r="D17633" s="87"/>
      <c r="E17633" s="87"/>
      <c r="F17633" s="87"/>
      <c r="G17633" s="87"/>
    </row>
    <row r="17634">
      <c r="A17634" s="86" t="str">
        <f>IFERROR(__xludf.DUMMYFUNCTION("""COMPUTED_VALUE"""),"")</f>
        <v/>
      </c>
      <c r="B17634" s="87"/>
      <c r="C17634" s="87"/>
      <c r="D17634" s="87"/>
      <c r="E17634" s="87"/>
      <c r="F17634" s="87"/>
      <c r="G17634" s="87"/>
    </row>
    <row r="17635">
      <c r="A17635" s="86" t="str">
        <f>IFERROR(__xludf.DUMMYFUNCTION("""COMPUTED_VALUE"""),"")</f>
        <v/>
      </c>
      <c r="B17635" s="87"/>
      <c r="C17635" s="87"/>
      <c r="D17635" s="87"/>
      <c r="E17635" s="87"/>
      <c r="F17635" s="87"/>
      <c r="G17635" s="87"/>
    </row>
    <row r="17636">
      <c r="A17636" s="86" t="str">
        <f>IFERROR(__xludf.DUMMYFUNCTION("""COMPUTED_VALUE"""),"")</f>
        <v/>
      </c>
      <c r="B17636" s="87"/>
      <c r="C17636" s="87"/>
      <c r="D17636" s="87"/>
      <c r="E17636" s="87"/>
      <c r="F17636" s="87"/>
      <c r="G17636" s="87"/>
    </row>
    <row r="17637">
      <c r="A17637" s="86" t="str">
        <f>IFERROR(__xludf.DUMMYFUNCTION("""COMPUTED_VALUE"""),"")</f>
        <v/>
      </c>
      <c r="B17637" s="87"/>
      <c r="C17637" s="87"/>
      <c r="D17637" s="87"/>
      <c r="E17637" s="87"/>
      <c r="F17637" s="87"/>
      <c r="G17637" s="87"/>
    </row>
    <row r="17638">
      <c r="A17638" s="86" t="str">
        <f>IFERROR(__xludf.DUMMYFUNCTION("""COMPUTED_VALUE"""),"")</f>
        <v/>
      </c>
      <c r="B17638" s="87"/>
      <c r="C17638" s="87"/>
      <c r="D17638" s="87"/>
      <c r="E17638" s="87"/>
      <c r="F17638" s="87"/>
      <c r="G17638" s="87"/>
    </row>
    <row r="17639">
      <c r="A17639" s="86" t="str">
        <f>IFERROR(__xludf.DUMMYFUNCTION("""COMPUTED_VALUE"""),"")</f>
        <v/>
      </c>
      <c r="B17639" s="87"/>
      <c r="C17639" s="87"/>
      <c r="D17639" s="87"/>
      <c r="E17639" s="87"/>
      <c r="F17639" s="87"/>
      <c r="G17639" s="87"/>
    </row>
    <row r="17640">
      <c r="A17640" s="86" t="str">
        <f>IFERROR(__xludf.DUMMYFUNCTION("""COMPUTED_VALUE"""),"")</f>
        <v/>
      </c>
      <c r="B17640" s="87"/>
      <c r="C17640" s="87"/>
      <c r="D17640" s="87"/>
      <c r="E17640" s="87"/>
      <c r="F17640" s="87"/>
      <c r="G17640" s="87"/>
    </row>
    <row r="17641">
      <c r="A17641" s="86" t="str">
        <f>IFERROR(__xludf.DUMMYFUNCTION("""COMPUTED_VALUE"""),"")</f>
        <v/>
      </c>
      <c r="B17641" s="87"/>
      <c r="C17641" s="87"/>
      <c r="D17641" s="87"/>
      <c r="E17641" s="87"/>
      <c r="F17641" s="87"/>
      <c r="G17641" s="87"/>
    </row>
    <row r="17642">
      <c r="A17642" s="86" t="str">
        <f>IFERROR(__xludf.DUMMYFUNCTION("""COMPUTED_VALUE"""),"")</f>
        <v/>
      </c>
      <c r="B17642" s="87"/>
      <c r="C17642" s="87"/>
      <c r="D17642" s="87"/>
      <c r="E17642" s="87"/>
      <c r="F17642" s="87"/>
      <c r="G17642" s="87"/>
    </row>
    <row r="17643">
      <c r="A17643" s="86" t="str">
        <f>IFERROR(__xludf.DUMMYFUNCTION("""COMPUTED_VALUE"""),"")</f>
        <v/>
      </c>
      <c r="B17643" s="87"/>
      <c r="C17643" s="87"/>
      <c r="D17643" s="87"/>
      <c r="E17643" s="87"/>
      <c r="F17643" s="87"/>
      <c r="G17643" s="87"/>
    </row>
    <row r="17644">
      <c r="A17644" s="86" t="str">
        <f>IFERROR(__xludf.DUMMYFUNCTION("""COMPUTED_VALUE"""),"")</f>
        <v/>
      </c>
      <c r="B17644" s="87"/>
      <c r="C17644" s="87"/>
      <c r="D17644" s="87"/>
      <c r="E17644" s="87"/>
      <c r="F17644" s="87"/>
      <c r="G17644" s="87"/>
    </row>
    <row r="17645">
      <c r="A17645" s="86" t="str">
        <f>IFERROR(__xludf.DUMMYFUNCTION("""COMPUTED_VALUE"""),"")</f>
        <v/>
      </c>
      <c r="B17645" s="87"/>
      <c r="C17645" s="87"/>
      <c r="D17645" s="87"/>
      <c r="E17645" s="87"/>
      <c r="F17645" s="87"/>
      <c r="G17645" s="87"/>
    </row>
    <row r="17646">
      <c r="A17646" s="86" t="str">
        <f>IFERROR(__xludf.DUMMYFUNCTION("""COMPUTED_VALUE"""),"")</f>
        <v/>
      </c>
      <c r="B17646" s="87"/>
      <c r="C17646" s="87"/>
      <c r="D17646" s="87"/>
      <c r="E17646" s="87"/>
      <c r="F17646" s="87"/>
      <c r="G17646" s="87"/>
    </row>
    <row r="17647">
      <c r="A17647" s="86" t="str">
        <f>IFERROR(__xludf.DUMMYFUNCTION("""COMPUTED_VALUE"""),"")</f>
        <v/>
      </c>
      <c r="B17647" s="87"/>
      <c r="C17647" s="87"/>
      <c r="D17647" s="87"/>
      <c r="E17647" s="87"/>
      <c r="F17647" s="87"/>
      <c r="G17647" s="87"/>
    </row>
    <row r="17648">
      <c r="A17648" s="86" t="str">
        <f>IFERROR(__xludf.DUMMYFUNCTION("""COMPUTED_VALUE"""),"")</f>
        <v/>
      </c>
      <c r="B17648" s="87"/>
      <c r="C17648" s="87"/>
      <c r="D17648" s="87"/>
      <c r="E17648" s="87"/>
      <c r="F17648" s="87"/>
      <c r="G17648" s="87"/>
    </row>
    <row r="17649">
      <c r="A17649" s="86" t="str">
        <f>IFERROR(__xludf.DUMMYFUNCTION("""COMPUTED_VALUE"""),"")</f>
        <v/>
      </c>
      <c r="B17649" s="87"/>
      <c r="C17649" s="87"/>
      <c r="D17649" s="87"/>
      <c r="E17649" s="87"/>
      <c r="F17649" s="87"/>
      <c r="G17649" s="87"/>
    </row>
    <row r="17650">
      <c r="A17650" s="86" t="str">
        <f>IFERROR(__xludf.DUMMYFUNCTION("""COMPUTED_VALUE"""),"")</f>
        <v/>
      </c>
      <c r="B17650" s="87"/>
      <c r="C17650" s="87"/>
      <c r="D17650" s="87"/>
      <c r="E17650" s="87"/>
      <c r="F17650" s="87"/>
      <c r="G17650" s="87"/>
    </row>
    <row r="17651">
      <c r="A17651" s="86" t="str">
        <f>IFERROR(__xludf.DUMMYFUNCTION("""COMPUTED_VALUE"""),"")</f>
        <v/>
      </c>
      <c r="B17651" s="87"/>
      <c r="C17651" s="87"/>
      <c r="D17651" s="87"/>
      <c r="E17651" s="87"/>
      <c r="F17651" s="87"/>
      <c r="G17651" s="87"/>
    </row>
    <row r="17652">
      <c r="A17652" s="86" t="str">
        <f>IFERROR(__xludf.DUMMYFUNCTION("""COMPUTED_VALUE"""),"")</f>
        <v/>
      </c>
      <c r="B17652" s="87"/>
      <c r="C17652" s="87"/>
      <c r="D17652" s="87"/>
      <c r="E17652" s="87"/>
      <c r="F17652" s="87"/>
      <c r="G17652" s="87"/>
    </row>
    <row r="17653">
      <c r="A17653" s="86" t="str">
        <f>IFERROR(__xludf.DUMMYFUNCTION("""COMPUTED_VALUE"""),"")</f>
        <v/>
      </c>
      <c r="B17653" s="87"/>
      <c r="C17653" s="87"/>
      <c r="D17653" s="87"/>
      <c r="E17653" s="87"/>
      <c r="F17653" s="87"/>
      <c r="G17653" s="87"/>
    </row>
    <row r="17654">
      <c r="A17654" s="86" t="str">
        <f>IFERROR(__xludf.DUMMYFUNCTION("""COMPUTED_VALUE"""),"")</f>
        <v/>
      </c>
      <c r="B17654" s="87"/>
      <c r="C17654" s="87"/>
      <c r="D17654" s="87"/>
      <c r="E17654" s="87"/>
      <c r="F17654" s="87"/>
      <c r="G17654" s="87"/>
    </row>
    <row r="17655">
      <c r="A17655" s="86" t="str">
        <f>IFERROR(__xludf.DUMMYFUNCTION("""COMPUTED_VALUE"""),"")</f>
        <v/>
      </c>
      <c r="B17655" s="87"/>
      <c r="C17655" s="87"/>
      <c r="D17655" s="87"/>
      <c r="E17655" s="87"/>
      <c r="F17655" s="87"/>
      <c r="G17655" s="87"/>
    </row>
    <row r="17656">
      <c r="A17656" s="86" t="str">
        <f>IFERROR(__xludf.DUMMYFUNCTION("""COMPUTED_VALUE"""),"")</f>
        <v/>
      </c>
      <c r="B17656" s="87"/>
      <c r="C17656" s="87"/>
      <c r="D17656" s="87"/>
      <c r="E17656" s="87"/>
      <c r="F17656" s="87"/>
      <c r="G17656" s="87"/>
    </row>
    <row r="17657">
      <c r="A17657" s="86" t="str">
        <f>IFERROR(__xludf.DUMMYFUNCTION("""COMPUTED_VALUE"""),"")</f>
        <v/>
      </c>
      <c r="B17657" s="87"/>
      <c r="C17657" s="87"/>
      <c r="D17657" s="87"/>
      <c r="E17657" s="87"/>
      <c r="F17657" s="87"/>
      <c r="G17657" s="87"/>
    </row>
    <row r="17658">
      <c r="A17658" s="86" t="str">
        <f>IFERROR(__xludf.DUMMYFUNCTION("""COMPUTED_VALUE"""),"")</f>
        <v/>
      </c>
      <c r="B17658" s="87"/>
      <c r="C17658" s="87"/>
      <c r="D17658" s="87"/>
      <c r="E17658" s="87"/>
      <c r="F17658" s="87"/>
      <c r="G17658" s="87"/>
    </row>
    <row r="17659">
      <c r="A17659" s="86" t="str">
        <f>IFERROR(__xludf.DUMMYFUNCTION("""COMPUTED_VALUE"""),"")</f>
        <v/>
      </c>
      <c r="B17659" s="87"/>
      <c r="C17659" s="87"/>
      <c r="D17659" s="87"/>
      <c r="E17659" s="87"/>
      <c r="F17659" s="87"/>
      <c r="G17659" s="87"/>
    </row>
    <row r="17660">
      <c r="A17660" s="86" t="str">
        <f>IFERROR(__xludf.DUMMYFUNCTION("""COMPUTED_VALUE"""),"")</f>
        <v/>
      </c>
      <c r="B17660" s="87"/>
      <c r="C17660" s="87"/>
      <c r="D17660" s="87"/>
      <c r="E17660" s="87"/>
      <c r="F17660" s="87"/>
      <c r="G17660" s="87"/>
    </row>
    <row r="17661">
      <c r="A17661" s="86" t="str">
        <f>IFERROR(__xludf.DUMMYFUNCTION("""COMPUTED_VALUE"""),"")</f>
        <v/>
      </c>
      <c r="B17661" s="87"/>
      <c r="C17661" s="87"/>
      <c r="D17661" s="87"/>
      <c r="E17661" s="87"/>
      <c r="F17661" s="87"/>
      <c r="G17661" s="87"/>
    </row>
    <row r="17662">
      <c r="A17662" s="86" t="str">
        <f>IFERROR(__xludf.DUMMYFUNCTION("""COMPUTED_VALUE"""),"")</f>
        <v/>
      </c>
      <c r="B17662" s="87"/>
      <c r="C17662" s="87"/>
      <c r="D17662" s="87"/>
      <c r="E17662" s="87"/>
      <c r="F17662" s="87"/>
      <c r="G17662" s="87"/>
    </row>
    <row r="17663">
      <c r="A17663" s="86" t="str">
        <f>IFERROR(__xludf.DUMMYFUNCTION("""COMPUTED_VALUE"""),"")</f>
        <v/>
      </c>
      <c r="B17663" s="87"/>
      <c r="C17663" s="87"/>
      <c r="D17663" s="87"/>
      <c r="E17663" s="87"/>
      <c r="F17663" s="87"/>
      <c r="G17663" s="87"/>
    </row>
    <row r="17664">
      <c r="A17664" s="86" t="str">
        <f>IFERROR(__xludf.DUMMYFUNCTION("""COMPUTED_VALUE"""),"")</f>
        <v/>
      </c>
      <c r="B17664" s="87"/>
      <c r="C17664" s="87"/>
      <c r="D17664" s="87"/>
      <c r="E17664" s="87"/>
      <c r="F17664" s="87"/>
      <c r="G17664" s="87"/>
    </row>
    <row r="17665">
      <c r="A17665" s="86" t="str">
        <f>IFERROR(__xludf.DUMMYFUNCTION("""COMPUTED_VALUE"""),"")</f>
        <v/>
      </c>
      <c r="B17665" s="87"/>
      <c r="C17665" s="87"/>
      <c r="D17665" s="87"/>
      <c r="E17665" s="87"/>
      <c r="F17665" s="87"/>
      <c r="G17665" s="87"/>
    </row>
    <row r="17666">
      <c r="A17666" s="86" t="str">
        <f>IFERROR(__xludf.DUMMYFUNCTION("""COMPUTED_VALUE"""),"")</f>
        <v/>
      </c>
      <c r="B17666" s="87"/>
      <c r="C17666" s="87"/>
      <c r="D17666" s="87"/>
      <c r="E17666" s="87"/>
      <c r="F17666" s="87"/>
      <c r="G17666" s="87"/>
    </row>
    <row r="17667">
      <c r="A17667" s="86" t="str">
        <f>IFERROR(__xludf.DUMMYFUNCTION("""COMPUTED_VALUE"""),"")</f>
        <v/>
      </c>
      <c r="B17667" s="87"/>
      <c r="C17667" s="87"/>
      <c r="D17667" s="87"/>
      <c r="E17667" s="87"/>
      <c r="F17667" s="87"/>
      <c r="G17667" s="87"/>
    </row>
    <row r="17668">
      <c r="A17668" s="86" t="str">
        <f>IFERROR(__xludf.DUMMYFUNCTION("""COMPUTED_VALUE"""),"")</f>
        <v/>
      </c>
      <c r="B17668" s="87"/>
      <c r="C17668" s="87"/>
      <c r="D17668" s="87"/>
      <c r="E17668" s="87"/>
      <c r="F17668" s="87"/>
      <c r="G17668" s="87"/>
    </row>
    <row r="17669">
      <c r="A17669" s="86" t="str">
        <f>IFERROR(__xludf.DUMMYFUNCTION("""COMPUTED_VALUE"""),"")</f>
        <v/>
      </c>
      <c r="B17669" s="87"/>
      <c r="C17669" s="87"/>
      <c r="D17669" s="87"/>
      <c r="E17669" s="87"/>
      <c r="F17669" s="87"/>
      <c r="G17669" s="87"/>
    </row>
    <row r="17670">
      <c r="A17670" s="86" t="str">
        <f>IFERROR(__xludf.DUMMYFUNCTION("""COMPUTED_VALUE"""),"")</f>
        <v/>
      </c>
      <c r="B17670" s="87"/>
      <c r="C17670" s="87"/>
      <c r="D17670" s="87"/>
      <c r="E17670" s="87"/>
      <c r="F17670" s="87"/>
      <c r="G17670" s="87"/>
    </row>
    <row r="17671">
      <c r="A17671" s="86" t="str">
        <f>IFERROR(__xludf.DUMMYFUNCTION("""COMPUTED_VALUE"""),"")</f>
        <v/>
      </c>
      <c r="B17671" s="87"/>
      <c r="C17671" s="87"/>
      <c r="D17671" s="87"/>
      <c r="E17671" s="87"/>
      <c r="F17671" s="87"/>
      <c r="G17671" s="87"/>
    </row>
    <row r="17672">
      <c r="A17672" s="86" t="str">
        <f>IFERROR(__xludf.DUMMYFUNCTION("""COMPUTED_VALUE"""),"")</f>
        <v/>
      </c>
      <c r="B17672" s="87"/>
      <c r="C17672" s="87"/>
      <c r="D17672" s="87"/>
      <c r="E17672" s="87"/>
      <c r="F17672" s="87"/>
      <c r="G17672" s="87"/>
    </row>
    <row r="17673">
      <c r="A17673" s="86" t="str">
        <f>IFERROR(__xludf.DUMMYFUNCTION("""COMPUTED_VALUE"""),"")</f>
        <v/>
      </c>
      <c r="B17673" s="87"/>
      <c r="C17673" s="87"/>
      <c r="D17673" s="87"/>
      <c r="E17673" s="87"/>
      <c r="F17673" s="87"/>
      <c r="G17673" s="87"/>
    </row>
    <row r="17674">
      <c r="A17674" s="86" t="str">
        <f>IFERROR(__xludf.DUMMYFUNCTION("""COMPUTED_VALUE"""),"")</f>
        <v/>
      </c>
      <c r="B17674" s="87"/>
      <c r="C17674" s="87"/>
      <c r="D17674" s="87"/>
      <c r="E17674" s="87"/>
      <c r="F17674" s="87"/>
      <c r="G17674" s="87"/>
    </row>
    <row r="17675">
      <c r="A17675" s="86" t="str">
        <f>IFERROR(__xludf.DUMMYFUNCTION("""COMPUTED_VALUE"""),"")</f>
        <v/>
      </c>
      <c r="B17675" s="87"/>
      <c r="C17675" s="87"/>
      <c r="D17675" s="87"/>
      <c r="E17675" s="87"/>
      <c r="F17675" s="87"/>
      <c r="G17675" s="87"/>
    </row>
    <row r="17676">
      <c r="A17676" s="86" t="str">
        <f>IFERROR(__xludf.DUMMYFUNCTION("""COMPUTED_VALUE"""),"")</f>
        <v/>
      </c>
      <c r="B17676" s="87"/>
      <c r="C17676" s="87"/>
      <c r="D17676" s="87"/>
      <c r="E17676" s="87"/>
      <c r="F17676" s="87"/>
      <c r="G17676" s="87"/>
    </row>
    <row r="17677">
      <c r="A17677" s="86" t="str">
        <f>IFERROR(__xludf.DUMMYFUNCTION("""COMPUTED_VALUE"""),"")</f>
        <v/>
      </c>
      <c r="B17677" s="87"/>
      <c r="C17677" s="87"/>
      <c r="D17677" s="87"/>
      <c r="E17677" s="87"/>
      <c r="F17677" s="87"/>
      <c r="G17677" s="87"/>
    </row>
    <row r="17678">
      <c r="A17678" s="86" t="str">
        <f>IFERROR(__xludf.DUMMYFUNCTION("""COMPUTED_VALUE"""),"")</f>
        <v/>
      </c>
      <c r="B17678" s="87"/>
      <c r="C17678" s="87"/>
      <c r="D17678" s="87"/>
      <c r="E17678" s="87"/>
      <c r="F17678" s="87"/>
      <c r="G17678" s="87"/>
    </row>
    <row r="17679">
      <c r="A17679" s="86" t="str">
        <f>IFERROR(__xludf.DUMMYFUNCTION("""COMPUTED_VALUE"""),"")</f>
        <v/>
      </c>
      <c r="B17679" s="87"/>
      <c r="C17679" s="87"/>
      <c r="D17679" s="87"/>
      <c r="E17679" s="87"/>
      <c r="F17679" s="87"/>
      <c r="G17679" s="87"/>
    </row>
    <row r="17680">
      <c r="A17680" s="86" t="str">
        <f>IFERROR(__xludf.DUMMYFUNCTION("""COMPUTED_VALUE"""),"")</f>
        <v/>
      </c>
      <c r="B17680" s="87"/>
      <c r="C17680" s="87"/>
      <c r="D17680" s="87"/>
      <c r="E17680" s="87"/>
      <c r="F17680" s="87"/>
      <c r="G17680" s="87"/>
    </row>
    <row r="17681">
      <c r="A17681" s="86" t="str">
        <f>IFERROR(__xludf.DUMMYFUNCTION("""COMPUTED_VALUE"""),"")</f>
        <v/>
      </c>
      <c r="B17681" s="87"/>
      <c r="C17681" s="87"/>
      <c r="D17681" s="87"/>
      <c r="E17681" s="87"/>
      <c r="F17681" s="87"/>
      <c r="G17681" s="87"/>
    </row>
    <row r="17682">
      <c r="A17682" s="86" t="str">
        <f>IFERROR(__xludf.DUMMYFUNCTION("""COMPUTED_VALUE"""),"")</f>
        <v/>
      </c>
      <c r="B17682" s="87"/>
      <c r="C17682" s="87"/>
      <c r="D17682" s="87"/>
      <c r="E17682" s="87"/>
      <c r="F17682" s="87"/>
      <c r="G17682" s="87"/>
    </row>
    <row r="17683">
      <c r="A17683" s="86" t="str">
        <f>IFERROR(__xludf.DUMMYFUNCTION("""COMPUTED_VALUE"""),"")</f>
        <v/>
      </c>
      <c r="B17683" s="87"/>
      <c r="C17683" s="87"/>
      <c r="D17683" s="87"/>
      <c r="E17683" s="87"/>
      <c r="F17683" s="87"/>
      <c r="G17683" s="87"/>
    </row>
    <row r="17684">
      <c r="A17684" s="86" t="str">
        <f>IFERROR(__xludf.DUMMYFUNCTION("""COMPUTED_VALUE"""),"")</f>
        <v/>
      </c>
      <c r="B17684" s="87"/>
      <c r="C17684" s="87"/>
      <c r="D17684" s="87"/>
      <c r="E17684" s="87"/>
      <c r="F17684" s="87"/>
      <c r="G17684" s="87"/>
    </row>
    <row r="17685">
      <c r="A17685" s="86" t="str">
        <f>IFERROR(__xludf.DUMMYFUNCTION("""COMPUTED_VALUE"""),"")</f>
        <v/>
      </c>
      <c r="B17685" s="87"/>
      <c r="C17685" s="87"/>
      <c r="D17685" s="87"/>
      <c r="E17685" s="87"/>
      <c r="F17685" s="87"/>
      <c r="G17685" s="87"/>
    </row>
    <row r="17686">
      <c r="A17686" s="86" t="str">
        <f>IFERROR(__xludf.DUMMYFUNCTION("""COMPUTED_VALUE"""),"")</f>
        <v/>
      </c>
      <c r="B17686" s="87"/>
      <c r="C17686" s="87"/>
      <c r="D17686" s="87"/>
      <c r="E17686" s="87"/>
      <c r="F17686" s="87"/>
      <c r="G17686" s="87"/>
    </row>
    <row r="17687">
      <c r="A17687" s="86" t="str">
        <f>IFERROR(__xludf.DUMMYFUNCTION("""COMPUTED_VALUE"""),"")</f>
        <v/>
      </c>
      <c r="B17687" s="87"/>
      <c r="C17687" s="87"/>
      <c r="D17687" s="87"/>
      <c r="E17687" s="87"/>
      <c r="F17687" s="87"/>
      <c r="G17687" s="87"/>
    </row>
    <row r="17688">
      <c r="A17688" s="86" t="str">
        <f>IFERROR(__xludf.DUMMYFUNCTION("""COMPUTED_VALUE"""),"")</f>
        <v/>
      </c>
      <c r="B17688" s="87"/>
      <c r="C17688" s="87"/>
      <c r="D17688" s="87"/>
      <c r="E17688" s="87"/>
      <c r="F17688" s="87"/>
      <c r="G17688" s="87"/>
    </row>
    <row r="17689">
      <c r="A17689" s="86" t="str">
        <f>IFERROR(__xludf.DUMMYFUNCTION("""COMPUTED_VALUE"""),"")</f>
        <v/>
      </c>
      <c r="B17689" s="87"/>
      <c r="C17689" s="87"/>
      <c r="D17689" s="87"/>
      <c r="E17689" s="87"/>
      <c r="F17689" s="87"/>
      <c r="G17689" s="87"/>
    </row>
    <row r="17690">
      <c r="A17690" s="86" t="str">
        <f>IFERROR(__xludf.DUMMYFUNCTION("""COMPUTED_VALUE"""),"")</f>
        <v/>
      </c>
      <c r="B17690" s="87"/>
      <c r="C17690" s="87"/>
      <c r="D17690" s="87"/>
      <c r="E17690" s="87"/>
      <c r="F17690" s="87"/>
      <c r="G17690" s="87"/>
    </row>
    <row r="17691">
      <c r="A17691" s="86" t="str">
        <f>IFERROR(__xludf.DUMMYFUNCTION("""COMPUTED_VALUE"""),"")</f>
        <v/>
      </c>
      <c r="B17691" s="87"/>
      <c r="C17691" s="87"/>
      <c r="D17691" s="87"/>
      <c r="E17691" s="87"/>
      <c r="F17691" s="87"/>
      <c r="G17691" s="87"/>
    </row>
    <row r="17692">
      <c r="A17692" s="86" t="str">
        <f>IFERROR(__xludf.DUMMYFUNCTION("""COMPUTED_VALUE"""),"")</f>
        <v/>
      </c>
      <c r="B17692" s="87"/>
      <c r="C17692" s="87"/>
      <c r="D17692" s="87"/>
      <c r="E17692" s="87"/>
      <c r="F17692" s="87"/>
      <c r="G17692" s="87"/>
    </row>
    <row r="17693">
      <c r="A17693" s="86" t="str">
        <f>IFERROR(__xludf.DUMMYFUNCTION("""COMPUTED_VALUE"""),"")</f>
        <v/>
      </c>
      <c r="B17693" s="87"/>
      <c r="C17693" s="87"/>
      <c r="D17693" s="87"/>
      <c r="E17693" s="87"/>
      <c r="F17693" s="87"/>
      <c r="G17693" s="87"/>
    </row>
    <row r="17694">
      <c r="A17694" s="86" t="str">
        <f>IFERROR(__xludf.DUMMYFUNCTION("""COMPUTED_VALUE"""),"")</f>
        <v/>
      </c>
      <c r="B17694" s="87"/>
      <c r="C17694" s="87"/>
      <c r="D17694" s="87"/>
      <c r="E17694" s="87"/>
      <c r="F17694" s="87"/>
      <c r="G17694" s="87"/>
    </row>
    <row r="17695">
      <c r="A17695" s="86" t="str">
        <f>IFERROR(__xludf.DUMMYFUNCTION("""COMPUTED_VALUE"""),"")</f>
        <v/>
      </c>
      <c r="B17695" s="87"/>
      <c r="C17695" s="87"/>
      <c r="D17695" s="87"/>
      <c r="E17695" s="87"/>
      <c r="F17695" s="87"/>
      <c r="G17695" s="87"/>
    </row>
    <row r="17696">
      <c r="A17696" s="86" t="str">
        <f>IFERROR(__xludf.DUMMYFUNCTION("""COMPUTED_VALUE"""),"")</f>
        <v/>
      </c>
      <c r="B17696" s="87"/>
      <c r="C17696" s="87"/>
      <c r="D17696" s="87"/>
      <c r="E17696" s="87"/>
      <c r="F17696" s="87"/>
      <c r="G17696" s="87"/>
    </row>
    <row r="17697">
      <c r="A17697" s="86" t="str">
        <f>IFERROR(__xludf.DUMMYFUNCTION("""COMPUTED_VALUE"""),"")</f>
        <v/>
      </c>
      <c r="B17697" s="87"/>
      <c r="C17697" s="87"/>
      <c r="D17697" s="87"/>
      <c r="E17697" s="87"/>
      <c r="F17697" s="87"/>
      <c r="G17697" s="87"/>
    </row>
    <row r="17698">
      <c r="A17698" s="86" t="str">
        <f>IFERROR(__xludf.DUMMYFUNCTION("""COMPUTED_VALUE"""),"")</f>
        <v/>
      </c>
      <c r="B17698" s="87"/>
      <c r="C17698" s="87"/>
      <c r="D17698" s="87"/>
      <c r="E17698" s="87"/>
      <c r="F17698" s="87"/>
      <c r="G17698" s="87"/>
    </row>
    <row r="17699">
      <c r="A17699" s="86" t="str">
        <f>IFERROR(__xludf.DUMMYFUNCTION("""COMPUTED_VALUE"""),"")</f>
        <v/>
      </c>
      <c r="B17699" s="87"/>
      <c r="C17699" s="87"/>
      <c r="D17699" s="87"/>
      <c r="E17699" s="87"/>
      <c r="F17699" s="87"/>
      <c r="G17699" s="87"/>
    </row>
    <row r="17700">
      <c r="A17700" s="86" t="str">
        <f>IFERROR(__xludf.DUMMYFUNCTION("""COMPUTED_VALUE"""),"")</f>
        <v/>
      </c>
      <c r="B17700" s="87"/>
      <c r="C17700" s="87"/>
      <c r="D17700" s="87"/>
      <c r="E17700" s="87"/>
      <c r="F17700" s="87"/>
      <c r="G17700" s="87"/>
    </row>
    <row r="17701">
      <c r="A17701" s="86" t="str">
        <f>IFERROR(__xludf.DUMMYFUNCTION("""COMPUTED_VALUE"""),"")</f>
        <v/>
      </c>
      <c r="B17701" s="87"/>
      <c r="C17701" s="87"/>
      <c r="D17701" s="87"/>
      <c r="E17701" s="87"/>
      <c r="F17701" s="87"/>
      <c r="G17701" s="87"/>
    </row>
    <row r="17702">
      <c r="A17702" s="86" t="str">
        <f>IFERROR(__xludf.DUMMYFUNCTION("""COMPUTED_VALUE"""),"")</f>
        <v/>
      </c>
      <c r="B17702" s="87"/>
      <c r="C17702" s="87"/>
      <c r="D17702" s="87"/>
      <c r="E17702" s="87"/>
      <c r="F17702" s="87"/>
      <c r="G17702" s="87"/>
    </row>
    <row r="17703">
      <c r="A17703" s="86" t="str">
        <f>IFERROR(__xludf.DUMMYFUNCTION("""COMPUTED_VALUE"""),"")</f>
        <v/>
      </c>
      <c r="B17703" s="87"/>
      <c r="C17703" s="87"/>
      <c r="D17703" s="87"/>
      <c r="E17703" s="87"/>
      <c r="F17703" s="87"/>
      <c r="G17703" s="87"/>
    </row>
    <row r="17704">
      <c r="A17704" s="86" t="str">
        <f>IFERROR(__xludf.DUMMYFUNCTION("""COMPUTED_VALUE"""),"")</f>
        <v/>
      </c>
      <c r="B17704" s="87"/>
      <c r="C17704" s="87"/>
      <c r="D17704" s="87"/>
      <c r="E17704" s="87"/>
      <c r="F17704" s="87"/>
      <c r="G17704" s="87"/>
    </row>
    <row r="17705">
      <c r="A17705" s="86" t="str">
        <f>IFERROR(__xludf.DUMMYFUNCTION("""COMPUTED_VALUE"""),"")</f>
        <v/>
      </c>
      <c r="B17705" s="87"/>
      <c r="C17705" s="87"/>
      <c r="D17705" s="87"/>
      <c r="E17705" s="87"/>
      <c r="F17705" s="87"/>
      <c r="G17705" s="87"/>
    </row>
    <row r="17706">
      <c r="A17706" s="86" t="str">
        <f>IFERROR(__xludf.DUMMYFUNCTION("""COMPUTED_VALUE"""),"")</f>
        <v/>
      </c>
      <c r="B17706" s="87"/>
      <c r="C17706" s="87"/>
      <c r="D17706" s="87"/>
      <c r="E17706" s="87"/>
      <c r="F17706" s="87"/>
      <c r="G17706" s="87"/>
    </row>
    <row r="17707">
      <c r="A17707" s="86" t="str">
        <f>IFERROR(__xludf.DUMMYFUNCTION("""COMPUTED_VALUE"""),"")</f>
        <v/>
      </c>
      <c r="B17707" s="87"/>
      <c r="C17707" s="87"/>
      <c r="D17707" s="87"/>
      <c r="E17707" s="87"/>
      <c r="F17707" s="87"/>
      <c r="G17707" s="87"/>
    </row>
    <row r="17708">
      <c r="A17708" s="86" t="str">
        <f>IFERROR(__xludf.DUMMYFUNCTION("""COMPUTED_VALUE"""),"")</f>
        <v/>
      </c>
      <c r="B17708" s="87"/>
      <c r="C17708" s="87"/>
      <c r="D17708" s="87"/>
      <c r="E17708" s="87"/>
      <c r="F17708" s="87"/>
      <c r="G17708" s="87"/>
    </row>
    <row r="17709">
      <c r="A17709" s="86" t="str">
        <f>IFERROR(__xludf.DUMMYFUNCTION("""COMPUTED_VALUE"""),"")</f>
        <v/>
      </c>
      <c r="B17709" s="87"/>
      <c r="C17709" s="87"/>
      <c r="D17709" s="87"/>
      <c r="E17709" s="87"/>
      <c r="F17709" s="87"/>
      <c r="G17709" s="87"/>
    </row>
    <row r="17710">
      <c r="A17710" s="86" t="str">
        <f>IFERROR(__xludf.DUMMYFUNCTION("""COMPUTED_VALUE"""),"")</f>
        <v/>
      </c>
      <c r="B17710" s="87"/>
      <c r="C17710" s="87"/>
      <c r="D17710" s="87"/>
      <c r="E17710" s="87"/>
      <c r="F17710" s="87"/>
      <c r="G17710" s="87"/>
    </row>
    <row r="17711">
      <c r="A17711" s="86" t="str">
        <f>IFERROR(__xludf.DUMMYFUNCTION("""COMPUTED_VALUE"""),"")</f>
        <v/>
      </c>
      <c r="B17711" s="87"/>
      <c r="C17711" s="87"/>
      <c r="D17711" s="87"/>
      <c r="E17711" s="87"/>
      <c r="F17711" s="87"/>
      <c r="G17711" s="87"/>
    </row>
    <row r="17712">
      <c r="A17712" s="86" t="str">
        <f>IFERROR(__xludf.DUMMYFUNCTION("""COMPUTED_VALUE"""),"")</f>
        <v/>
      </c>
      <c r="B17712" s="87"/>
      <c r="C17712" s="87"/>
      <c r="D17712" s="87"/>
      <c r="E17712" s="87"/>
      <c r="F17712" s="87"/>
      <c r="G17712" s="87"/>
    </row>
    <row r="17713">
      <c r="A17713" s="86" t="str">
        <f>IFERROR(__xludf.DUMMYFUNCTION("""COMPUTED_VALUE"""),"")</f>
        <v/>
      </c>
      <c r="B17713" s="87"/>
      <c r="C17713" s="87"/>
      <c r="D17713" s="87"/>
      <c r="E17713" s="87"/>
      <c r="F17713" s="87"/>
      <c r="G17713" s="87"/>
    </row>
    <row r="17714">
      <c r="A17714" s="86" t="str">
        <f>IFERROR(__xludf.DUMMYFUNCTION("""COMPUTED_VALUE"""),"")</f>
        <v/>
      </c>
      <c r="B17714" s="87"/>
      <c r="C17714" s="87"/>
      <c r="D17714" s="87"/>
      <c r="E17714" s="87"/>
      <c r="F17714" s="87"/>
      <c r="G17714" s="87"/>
    </row>
    <row r="17715">
      <c r="A17715" s="86" t="str">
        <f>IFERROR(__xludf.DUMMYFUNCTION("""COMPUTED_VALUE"""),"")</f>
        <v/>
      </c>
      <c r="B17715" s="87"/>
      <c r="C17715" s="87"/>
      <c r="D17715" s="87"/>
      <c r="E17715" s="87"/>
      <c r="F17715" s="87"/>
      <c r="G17715" s="87"/>
    </row>
    <row r="17716">
      <c r="A17716" s="86" t="str">
        <f>IFERROR(__xludf.DUMMYFUNCTION("""COMPUTED_VALUE"""),"")</f>
        <v/>
      </c>
      <c r="B17716" s="87"/>
      <c r="C17716" s="87"/>
      <c r="D17716" s="87"/>
      <c r="E17716" s="87"/>
      <c r="F17716" s="87"/>
      <c r="G17716" s="87"/>
    </row>
    <row r="17717">
      <c r="A17717" s="86" t="str">
        <f>IFERROR(__xludf.DUMMYFUNCTION("""COMPUTED_VALUE"""),"")</f>
        <v/>
      </c>
      <c r="B17717" s="87"/>
      <c r="C17717" s="87"/>
      <c r="D17717" s="87"/>
      <c r="E17717" s="87"/>
      <c r="F17717" s="87"/>
      <c r="G17717" s="87"/>
    </row>
    <row r="17718">
      <c r="A17718" s="86" t="str">
        <f>IFERROR(__xludf.DUMMYFUNCTION("""COMPUTED_VALUE"""),"")</f>
        <v/>
      </c>
      <c r="B17718" s="87"/>
      <c r="C17718" s="87"/>
      <c r="D17718" s="87"/>
      <c r="E17718" s="87"/>
      <c r="F17718" s="87"/>
      <c r="G17718" s="87"/>
    </row>
    <row r="17719">
      <c r="A17719" s="86" t="str">
        <f>IFERROR(__xludf.DUMMYFUNCTION("""COMPUTED_VALUE"""),"")</f>
        <v/>
      </c>
      <c r="B17719" s="87"/>
      <c r="C17719" s="87"/>
      <c r="D17719" s="87"/>
      <c r="E17719" s="87"/>
      <c r="F17719" s="87"/>
      <c r="G17719" s="87"/>
    </row>
    <row r="17720">
      <c r="A17720" s="86" t="str">
        <f>IFERROR(__xludf.DUMMYFUNCTION("""COMPUTED_VALUE"""),"")</f>
        <v/>
      </c>
      <c r="B17720" s="87"/>
      <c r="C17720" s="87"/>
      <c r="D17720" s="87"/>
      <c r="E17720" s="87"/>
      <c r="F17720" s="87"/>
      <c r="G17720" s="87"/>
    </row>
    <row r="17721">
      <c r="A17721" s="86" t="str">
        <f>IFERROR(__xludf.DUMMYFUNCTION("""COMPUTED_VALUE"""),"")</f>
        <v/>
      </c>
      <c r="B17721" s="87"/>
      <c r="C17721" s="87"/>
      <c r="D17721" s="87"/>
      <c r="E17721" s="87"/>
      <c r="F17721" s="87"/>
      <c r="G17721" s="87"/>
    </row>
    <row r="17722">
      <c r="A17722" s="86" t="str">
        <f>IFERROR(__xludf.DUMMYFUNCTION("""COMPUTED_VALUE"""),"")</f>
        <v/>
      </c>
      <c r="B17722" s="87"/>
      <c r="C17722" s="87"/>
      <c r="D17722" s="87"/>
      <c r="E17722" s="87"/>
      <c r="F17722" s="87"/>
      <c r="G17722" s="87"/>
    </row>
    <row r="17723">
      <c r="A17723" s="86" t="str">
        <f>IFERROR(__xludf.DUMMYFUNCTION("""COMPUTED_VALUE"""),"")</f>
        <v/>
      </c>
      <c r="B17723" s="87"/>
      <c r="C17723" s="87"/>
      <c r="D17723" s="87"/>
      <c r="E17723" s="87"/>
      <c r="F17723" s="87"/>
      <c r="G17723" s="87"/>
    </row>
    <row r="17724">
      <c r="A17724" s="86" t="str">
        <f>IFERROR(__xludf.DUMMYFUNCTION("""COMPUTED_VALUE"""),"")</f>
        <v/>
      </c>
      <c r="B17724" s="87"/>
      <c r="C17724" s="87"/>
      <c r="D17724" s="87"/>
      <c r="E17724" s="87"/>
      <c r="F17724" s="87"/>
      <c r="G17724" s="87"/>
    </row>
    <row r="17725">
      <c r="A17725" s="86" t="str">
        <f>IFERROR(__xludf.DUMMYFUNCTION("""COMPUTED_VALUE"""),"")</f>
        <v/>
      </c>
      <c r="B17725" s="87"/>
      <c r="C17725" s="87"/>
      <c r="D17725" s="87"/>
      <c r="E17725" s="87"/>
      <c r="F17725" s="87"/>
      <c r="G17725" s="87"/>
    </row>
    <row r="17726">
      <c r="A17726" s="86" t="str">
        <f>IFERROR(__xludf.DUMMYFUNCTION("""COMPUTED_VALUE"""),"")</f>
        <v/>
      </c>
      <c r="B17726" s="87"/>
      <c r="C17726" s="87"/>
      <c r="D17726" s="87"/>
      <c r="E17726" s="87"/>
      <c r="F17726" s="87"/>
      <c r="G17726" s="87"/>
    </row>
    <row r="17727">
      <c r="A17727" s="86" t="str">
        <f>IFERROR(__xludf.DUMMYFUNCTION("""COMPUTED_VALUE"""),"")</f>
        <v/>
      </c>
      <c r="B17727" s="87"/>
      <c r="C17727" s="87"/>
      <c r="D17727" s="87"/>
      <c r="E17727" s="87"/>
      <c r="F17727" s="87"/>
      <c r="G17727" s="87"/>
    </row>
    <row r="17728">
      <c r="A17728" s="86" t="str">
        <f>IFERROR(__xludf.DUMMYFUNCTION("""COMPUTED_VALUE"""),"")</f>
        <v/>
      </c>
      <c r="B17728" s="87"/>
      <c r="C17728" s="87"/>
      <c r="D17728" s="87"/>
      <c r="E17728" s="87"/>
      <c r="F17728" s="87"/>
      <c r="G17728" s="87"/>
    </row>
    <row r="17729">
      <c r="A17729" s="86" t="str">
        <f>IFERROR(__xludf.DUMMYFUNCTION("""COMPUTED_VALUE"""),"")</f>
        <v/>
      </c>
      <c r="B17729" s="87"/>
      <c r="C17729" s="87"/>
      <c r="D17729" s="87"/>
      <c r="E17729" s="87"/>
      <c r="F17729" s="87"/>
      <c r="G17729" s="87"/>
    </row>
    <row r="17730">
      <c r="A17730" s="86" t="str">
        <f>IFERROR(__xludf.DUMMYFUNCTION("""COMPUTED_VALUE"""),"")</f>
        <v/>
      </c>
      <c r="B17730" s="87"/>
      <c r="C17730" s="87"/>
      <c r="D17730" s="87"/>
      <c r="E17730" s="87"/>
      <c r="F17730" s="87"/>
      <c r="G17730" s="87"/>
    </row>
    <row r="17731">
      <c r="A17731" s="86" t="str">
        <f>IFERROR(__xludf.DUMMYFUNCTION("""COMPUTED_VALUE"""),"")</f>
        <v/>
      </c>
      <c r="B17731" s="87"/>
      <c r="C17731" s="87"/>
      <c r="D17731" s="87"/>
      <c r="E17731" s="87"/>
      <c r="F17731" s="87"/>
      <c r="G17731" s="87"/>
    </row>
    <row r="17732">
      <c r="A17732" s="86" t="str">
        <f>IFERROR(__xludf.DUMMYFUNCTION("""COMPUTED_VALUE"""),"")</f>
        <v/>
      </c>
      <c r="B17732" s="87"/>
      <c r="C17732" s="87"/>
      <c r="D17732" s="87"/>
      <c r="E17732" s="87"/>
      <c r="F17732" s="87"/>
      <c r="G17732" s="87"/>
    </row>
    <row r="17733">
      <c r="A17733" s="86" t="str">
        <f>IFERROR(__xludf.DUMMYFUNCTION("""COMPUTED_VALUE"""),"")</f>
        <v/>
      </c>
      <c r="B17733" s="87"/>
      <c r="C17733" s="87"/>
      <c r="D17733" s="87"/>
      <c r="E17733" s="87"/>
      <c r="F17733" s="87"/>
      <c r="G17733" s="87"/>
    </row>
    <row r="17734">
      <c r="A17734" s="86" t="str">
        <f>IFERROR(__xludf.DUMMYFUNCTION("""COMPUTED_VALUE"""),"")</f>
        <v/>
      </c>
      <c r="B17734" s="87"/>
      <c r="C17734" s="87"/>
      <c r="D17734" s="87"/>
      <c r="E17734" s="87"/>
      <c r="F17734" s="87"/>
      <c r="G17734" s="87"/>
    </row>
    <row r="17735">
      <c r="A17735" s="86" t="str">
        <f>IFERROR(__xludf.DUMMYFUNCTION("""COMPUTED_VALUE"""),"")</f>
        <v/>
      </c>
      <c r="B17735" s="87"/>
      <c r="C17735" s="87"/>
      <c r="D17735" s="87"/>
      <c r="E17735" s="87"/>
      <c r="F17735" s="87"/>
      <c r="G17735" s="87"/>
    </row>
    <row r="17736">
      <c r="A17736" s="86" t="str">
        <f>IFERROR(__xludf.DUMMYFUNCTION("""COMPUTED_VALUE"""),"")</f>
        <v/>
      </c>
      <c r="B17736" s="87"/>
      <c r="C17736" s="87"/>
      <c r="D17736" s="87"/>
      <c r="E17736" s="87"/>
      <c r="F17736" s="87"/>
      <c r="G17736" s="87"/>
    </row>
    <row r="17737">
      <c r="A17737" s="86" t="str">
        <f>IFERROR(__xludf.DUMMYFUNCTION("""COMPUTED_VALUE"""),"")</f>
        <v/>
      </c>
      <c r="B17737" s="87"/>
      <c r="C17737" s="87"/>
      <c r="D17737" s="87"/>
      <c r="E17737" s="87"/>
      <c r="F17737" s="87"/>
      <c r="G17737" s="87"/>
    </row>
    <row r="17738">
      <c r="A17738" s="86" t="str">
        <f>IFERROR(__xludf.DUMMYFUNCTION("""COMPUTED_VALUE"""),"")</f>
        <v/>
      </c>
      <c r="B17738" s="87"/>
      <c r="C17738" s="87"/>
      <c r="D17738" s="87"/>
      <c r="E17738" s="87"/>
      <c r="F17738" s="87"/>
      <c r="G17738" s="87"/>
    </row>
    <row r="17739">
      <c r="A17739" s="86" t="str">
        <f>IFERROR(__xludf.DUMMYFUNCTION("""COMPUTED_VALUE"""),"")</f>
        <v/>
      </c>
      <c r="B17739" s="87"/>
      <c r="C17739" s="87"/>
      <c r="D17739" s="87"/>
      <c r="E17739" s="87"/>
      <c r="F17739" s="87"/>
      <c r="G17739" s="87"/>
    </row>
    <row r="17740">
      <c r="A17740" s="86" t="str">
        <f>IFERROR(__xludf.DUMMYFUNCTION("""COMPUTED_VALUE"""),"")</f>
        <v/>
      </c>
      <c r="B17740" s="87"/>
      <c r="C17740" s="87"/>
      <c r="D17740" s="87"/>
      <c r="E17740" s="87"/>
      <c r="F17740" s="87"/>
      <c r="G17740" s="87"/>
    </row>
    <row r="17741">
      <c r="A17741" s="86" t="str">
        <f>IFERROR(__xludf.DUMMYFUNCTION("""COMPUTED_VALUE"""),"")</f>
        <v/>
      </c>
      <c r="B17741" s="87"/>
      <c r="C17741" s="87"/>
      <c r="D17741" s="87"/>
      <c r="E17741" s="87"/>
      <c r="F17741" s="87"/>
      <c r="G17741" s="87"/>
    </row>
    <row r="17742">
      <c r="A17742" s="86" t="str">
        <f>IFERROR(__xludf.DUMMYFUNCTION("""COMPUTED_VALUE"""),"")</f>
        <v/>
      </c>
      <c r="B17742" s="87"/>
      <c r="C17742" s="87"/>
      <c r="D17742" s="87"/>
      <c r="E17742" s="87"/>
      <c r="F17742" s="87"/>
      <c r="G17742" s="87"/>
    </row>
    <row r="17743">
      <c r="A17743" s="86" t="str">
        <f>IFERROR(__xludf.DUMMYFUNCTION("""COMPUTED_VALUE"""),"")</f>
        <v/>
      </c>
      <c r="B17743" s="87"/>
      <c r="C17743" s="87"/>
      <c r="D17743" s="87"/>
      <c r="E17743" s="87"/>
      <c r="F17743" s="87"/>
      <c r="G17743" s="87"/>
    </row>
    <row r="17744">
      <c r="A17744" s="86" t="str">
        <f>IFERROR(__xludf.DUMMYFUNCTION("""COMPUTED_VALUE"""),"")</f>
        <v/>
      </c>
      <c r="B17744" s="87"/>
      <c r="C17744" s="87"/>
      <c r="D17744" s="87"/>
      <c r="E17744" s="87"/>
      <c r="F17744" s="87"/>
      <c r="G17744" s="87"/>
    </row>
    <row r="17745">
      <c r="A17745" s="86" t="str">
        <f>IFERROR(__xludf.DUMMYFUNCTION("""COMPUTED_VALUE"""),"")</f>
        <v/>
      </c>
      <c r="B17745" s="87"/>
      <c r="C17745" s="87"/>
      <c r="D17745" s="87"/>
      <c r="E17745" s="87"/>
      <c r="F17745" s="87"/>
      <c r="G17745" s="87"/>
    </row>
    <row r="17746">
      <c r="A17746" s="86" t="str">
        <f>IFERROR(__xludf.DUMMYFUNCTION("""COMPUTED_VALUE"""),"")</f>
        <v/>
      </c>
      <c r="B17746" s="87"/>
      <c r="C17746" s="87"/>
      <c r="D17746" s="87"/>
      <c r="E17746" s="87"/>
      <c r="F17746" s="87"/>
      <c r="G17746" s="87"/>
    </row>
    <row r="17747">
      <c r="A17747" s="86" t="str">
        <f>IFERROR(__xludf.DUMMYFUNCTION("""COMPUTED_VALUE"""),"")</f>
        <v/>
      </c>
      <c r="B17747" s="87"/>
      <c r="C17747" s="87"/>
      <c r="D17747" s="87"/>
      <c r="E17747" s="87"/>
      <c r="F17747" s="87"/>
      <c r="G17747" s="87"/>
    </row>
    <row r="17748">
      <c r="A17748" s="86" t="str">
        <f>IFERROR(__xludf.DUMMYFUNCTION("""COMPUTED_VALUE"""),"")</f>
        <v/>
      </c>
      <c r="B17748" s="87"/>
      <c r="C17748" s="87"/>
      <c r="D17748" s="87"/>
      <c r="E17748" s="87"/>
      <c r="F17748" s="87"/>
      <c r="G17748" s="87"/>
    </row>
    <row r="17749">
      <c r="A17749" s="86" t="str">
        <f>IFERROR(__xludf.DUMMYFUNCTION("""COMPUTED_VALUE"""),"")</f>
        <v/>
      </c>
      <c r="B17749" s="87"/>
      <c r="C17749" s="87"/>
      <c r="D17749" s="87"/>
      <c r="E17749" s="87"/>
      <c r="F17749" s="87"/>
      <c r="G17749" s="87"/>
    </row>
    <row r="17750">
      <c r="A17750" s="86" t="str">
        <f>IFERROR(__xludf.DUMMYFUNCTION("""COMPUTED_VALUE"""),"")</f>
        <v/>
      </c>
      <c r="B17750" s="87"/>
      <c r="C17750" s="87"/>
      <c r="D17750" s="87"/>
      <c r="E17750" s="87"/>
      <c r="F17750" s="87"/>
      <c r="G17750" s="87"/>
    </row>
    <row r="17751">
      <c r="A17751" s="86" t="str">
        <f>IFERROR(__xludf.DUMMYFUNCTION("""COMPUTED_VALUE"""),"")</f>
        <v/>
      </c>
      <c r="B17751" s="87"/>
      <c r="C17751" s="87"/>
      <c r="D17751" s="87"/>
      <c r="E17751" s="87"/>
      <c r="F17751" s="87"/>
      <c r="G17751" s="87"/>
    </row>
    <row r="17752">
      <c r="A17752" s="86" t="str">
        <f>IFERROR(__xludf.DUMMYFUNCTION("""COMPUTED_VALUE"""),"")</f>
        <v/>
      </c>
      <c r="B17752" s="87"/>
      <c r="C17752" s="87"/>
      <c r="D17752" s="87"/>
      <c r="E17752" s="87"/>
      <c r="F17752" s="87"/>
      <c r="G17752" s="87"/>
    </row>
    <row r="17753">
      <c r="A17753" s="86" t="str">
        <f>IFERROR(__xludf.DUMMYFUNCTION("""COMPUTED_VALUE"""),"")</f>
        <v/>
      </c>
      <c r="B17753" s="87"/>
      <c r="C17753" s="87"/>
      <c r="D17753" s="87"/>
      <c r="E17753" s="87"/>
      <c r="F17753" s="87"/>
      <c r="G17753" s="87"/>
    </row>
    <row r="17754">
      <c r="A17754" s="86" t="str">
        <f>IFERROR(__xludf.DUMMYFUNCTION("""COMPUTED_VALUE"""),"")</f>
        <v/>
      </c>
      <c r="B17754" s="87"/>
      <c r="C17754" s="87"/>
      <c r="D17754" s="87"/>
      <c r="E17754" s="87"/>
      <c r="F17754" s="87"/>
      <c r="G17754" s="87"/>
    </row>
    <row r="17755">
      <c r="A17755" s="86" t="str">
        <f>IFERROR(__xludf.DUMMYFUNCTION("""COMPUTED_VALUE"""),"")</f>
        <v/>
      </c>
      <c r="B17755" s="87"/>
      <c r="C17755" s="87"/>
      <c r="D17755" s="87"/>
      <c r="E17755" s="87"/>
      <c r="F17755" s="87"/>
      <c r="G17755" s="87"/>
    </row>
    <row r="17756">
      <c r="A17756" s="86" t="str">
        <f>IFERROR(__xludf.DUMMYFUNCTION("""COMPUTED_VALUE"""),"")</f>
        <v/>
      </c>
      <c r="B17756" s="87"/>
      <c r="C17756" s="87"/>
      <c r="D17756" s="87"/>
      <c r="E17756" s="87"/>
      <c r="F17756" s="87"/>
      <c r="G17756" s="87"/>
    </row>
    <row r="17757">
      <c r="A17757" s="86" t="str">
        <f>IFERROR(__xludf.DUMMYFUNCTION("""COMPUTED_VALUE"""),"")</f>
        <v/>
      </c>
      <c r="B17757" s="87"/>
      <c r="C17757" s="87"/>
      <c r="D17757" s="87"/>
      <c r="E17757" s="87"/>
      <c r="F17757" s="87"/>
      <c r="G17757" s="87"/>
    </row>
    <row r="17758">
      <c r="A17758" s="86" t="str">
        <f>IFERROR(__xludf.DUMMYFUNCTION("""COMPUTED_VALUE"""),"")</f>
        <v/>
      </c>
      <c r="B17758" s="87"/>
      <c r="C17758" s="87"/>
      <c r="D17758" s="87"/>
      <c r="E17758" s="87"/>
      <c r="F17758" s="87"/>
      <c r="G17758" s="87"/>
    </row>
    <row r="17759">
      <c r="A17759" s="86" t="str">
        <f>IFERROR(__xludf.DUMMYFUNCTION("""COMPUTED_VALUE"""),"")</f>
        <v/>
      </c>
      <c r="B17759" s="87"/>
      <c r="C17759" s="87"/>
      <c r="D17759" s="87"/>
      <c r="E17759" s="87"/>
      <c r="F17759" s="87"/>
      <c r="G17759" s="87"/>
    </row>
    <row r="17760">
      <c r="A17760" s="86" t="str">
        <f>IFERROR(__xludf.DUMMYFUNCTION("""COMPUTED_VALUE"""),"")</f>
        <v/>
      </c>
      <c r="B17760" s="87"/>
      <c r="C17760" s="87"/>
      <c r="D17760" s="87"/>
      <c r="E17760" s="87"/>
      <c r="F17760" s="87"/>
      <c r="G17760" s="87"/>
    </row>
    <row r="17761">
      <c r="A17761" s="86" t="str">
        <f>IFERROR(__xludf.DUMMYFUNCTION("""COMPUTED_VALUE"""),"")</f>
        <v/>
      </c>
      <c r="B17761" s="87"/>
      <c r="C17761" s="87"/>
      <c r="D17761" s="87"/>
      <c r="E17761" s="87"/>
      <c r="F17761" s="87"/>
      <c r="G17761" s="87"/>
    </row>
    <row r="17762">
      <c r="A17762" s="86" t="str">
        <f>IFERROR(__xludf.DUMMYFUNCTION("""COMPUTED_VALUE"""),"")</f>
        <v/>
      </c>
      <c r="B17762" s="87"/>
      <c r="C17762" s="87"/>
      <c r="D17762" s="87"/>
      <c r="E17762" s="87"/>
      <c r="F17762" s="87"/>
      <c r="G17762" s="87"/>
    </row>
    <row r="17763">
      <c r="A17763" s="86" t="str">
        <f>IFERROR(__xludf.DUMMYFUNCTION("""COMPUTED_VALUE"""),"")</f>
        <v/>
      </c>
      <c r="B17763" s="87"/>
      <c r="C17763" s="87"/>
      <c r="D17763" s="87"/>
      <c r="E17763" s="87"/>
      <c r="F17763" s="87"/>
      <c r="G17763" s="87"/>
    </row>
    <row r="17764">
      <c r="A17764" s="86" t="str">
        <f>IFERROR(__xludf.DUMMYFUNCTION("""COMPUTED_VALUE"""),"")</f>
        <v/>
      </c>
      <c r="B17764" s="87"/>
      <c r="C17764" s="87"/>
      <c r="D17764" s="87"/>
      <c r="E17764" s="87"/>
      <c r="F17764" s="87"/>
      <c r="G17764" s="87"/>
    </row>
    <row r="17765">
      <c r="A17765" s="86" t="str">
        <f>IFERROR(__xludf.DUMMYFUNCTION("""COMPUTED_VALUE"""),"")</f>
        <v/>
      </c>
      <c r="B17765" s="87"/>
      <c r="C17765" s="87"/>
      <c r="D17765" s="87"/>
      <c r="E17765" s="87"/>
      <c r="F17765" s="87"/>
      <c r="G17765" s="87"/>
    </row>
    <row r="17766">
      <c r="A17766" s="86" t="str">
        <f>IFERROR(__xludf.DUMMYFUNCTION("""COMPUTED_VALUE"""),"")</f>
        <v/>
      </c>
      <c r="B17766" s="87"/>
      <c r="C17766" s="87"/>
      <c r="D17766" s="87"/>
      <c r="E17766" s="87"/>
      <c r="F17766" s="87"/>
      <c r="G17766" s="87"/>
    </row>
    <row r="17767">
      <c r="A17767" s="86" t="str">
        <f>IFERROR(__xludf.DUMMYFUNCTION("""COMPUTED_VALUE"""),"")</f>
        <v/>
      </c>
      <c r="B17767" s="87"/>
      <c r="C17767" s="87"/>
      <c r="D17767" s="87"/>
      <c r="E17767" s="87"/>
      <c r="F17767" s="87"/>
      <c r="G17767" s="87"/>
    </row>
    <row r="17768">
      <c r="A17768" s="86" t="str">
        <f>IFERROR(__xludf.DUMMYFUNCTION("""COMPUTED_VALUE"""),"")</f>
        <v/>
      </c>
      <c r="B17768" s="87"/>
      <c r="C17768" s="87"/>
      <c r="D17768" s="87"/>
      <c r="E17768" s="87"/>
      <c r="F17768" s="87"/>
      <c r="G17768" s="87"/>
    </row>
    <row r="17769">
      <c r="A17769" s="86" t="str">
        <f>IFERROR(__xludf.DUMMYFUNCTION("""COMPUTED_VALUE"""),"")</f>
        <v/>
      </c>
      <c r="B17769" s="87"/>
      <c r="C17769" s="87"/>
      <c r="D17769" s="87"/>
      <c r="E17769" s="87"/>
      <c r="F17769" s="87"/>
      <c r="G17769" s="87"/>
    </row>
    <row r="17770">
      <c r="A17770" s="86" t="str">
        <f>IFERROR(__xludf.DUMMYFUNCTION("""COMPUTED_VALUE"""),"")</f>
        <v/>
      </c>
      <c r="B17770" s="87"/>
      <c r="C17770" s="87"/>
      <c r="D17770" s="87"/>
      <c r="E17770" s="87"/>
      <c r="F17770" s="87"/>
      <c r="G17770" s="87"/>
    </row>
    <row r="17771">
      <c r="A17771" s="86" t="str">
        <f>IFERROR(__xludf.DUMMYFUNCTION("""COMPUTED_VALUE"""),"")</f>
        <v/>
      </c>
      <c r="B17771" s="87"/>
      <c r="C17771" s="87"/>
      <c r="D17771" s="87"/>
      <c r="E17771" s="87"/>
      <c r="F17771" s="87"/>
      <c r="G17771" s="87"/>
    </row>
    <row r="17772">
      <c r="A17772" s="86" t="str">
        <f>IFERROR(__xludf.DUMMYFUNCTION("""COMPUTED_VALUE"""),"")</f>
        <v/>
      </c>
      <c r="B17772" s="87"/>
      <c r="C17772" s="87"/>
      <c r="D17772" s="87"/>
      <c r="E17772" s="87"/>
      <c r="F17772" s="87"/>
      <c r="G17772" s="87"/>
    </row>
    <row r="17773">
      <c r="A17773" s="86" t="str">
        <f>IFERROR(__xludf.DUMMYFUNCTION("""COMPUTED_VALUE"""),"")</f>
        <v/>
      </c>
      <c r="B17773" s="87"/>
      <c r="C17773" s="87"/>
      <c r="D17773" s="87"/>
      <c r="E17773" s="87"/>
      <c r="F17773" s="87"/>
      <c r="G17773" s="87"/>
    </row>
    <row r="17774">
      <c r="A17774" s="86" t="str">
        <f>IFERROR(__xludf.DUMMYFUNCTION("""COMPUTED_VALUE"""),"")</f>
        <v/>
      </c>
      <c r="B17774" s="87"/>
      <c r="C17774" s="87"/>
      <c r="D17774" s="87"/>
      <c r="E17774" s="87"/>
      <c r="F17774" s="87"/>
      <c r="G17774" s="87"/>
    </row>
    <row r="17775">
      <c r="A17775" s="86" t="str">
        <f>IFERROR(__xludf.DUMMYFUNCTION("""COMPUTED_VALUE"""),"")</f>
        <v/>
      </c>
      <c r="B17775" s="87"/>
      <c r="C17775" s="87"/>
      <c r="D17775" s="87"/>
      <c r="E17775" s="87"/>
      <c r="F17775" s="87"/>
      <c r="G17775" s="87"/>
    </row>
    <row r="17776">
      <c r="A17776" s="86" t="str">
        <f>IFERROR(__xludf.DUMMYFUNCTION("""COMPUTED_VALUE"""),"")</f>
        <v/>
      </c>
      <c r="B17776" s="87"/>
      <c r="C17776" s="87"/>
      <c r="D17776" s="87"/>
      <c r="E17776" s="87"/>
      <c r="F17776" s="87"/>
      <c r="G17776" s="87"/>
    </row>
    <row r="17777">
      <c r="A17777" s="86" t="str">
        <f>IFERROR(__xludf.DUMMYFUNCTION("""COMPUTED_VALUE"""),"")</f>
        <v/>
      </c>
      <c r="B17777" s="87"/>
      <c r="C17777" s="87"/>
      <c r="D17777" s="87"/>
      <c r="E17777" s="87"/>
      <c r="F17777" s="87"/>
      <c r="G17777" s="87"/>
    </row>
    <row r="17778">
      <c r="A17778" s="86" t="str">
        <f>IFERROR(__xludf.DUMMYFUNCTION("""COMPUTED_VALUE"""),"")</f>
        <v/>
      </c>
      <c r="B17778" s="87"/>
      <c r="C17778" s="87"/>
      <c r="D17778" s="87"/>
      <c r="E17778" s="87"/>
      <c r="F17778" s="87"/>
      <c r="G17778" s="87"/>
    </row>
    <row r="17779">
      <c r="A17779" s="86" t="str">
        <f>IFERROR(__xludf.DUMMYFUNCTION("""COMPUTED_VALUE"""),"")</f>
        <v/>
      </c>
      <c r="B17779" s="87"/>
      <c r="C17779" s="87"/>
      <c r="D17779" s="87"/>
      <c r="E17779" s="87"/>
      <c r="F17779" s="87"/>
      <c r="G17779" s="87"/>
    </row>
    <row r="17780">
      <c r="A17780" s="86" t="str">
        <f>IFERROR(__xludf.DUMMYFUNCTION("""COMPUTED_VALUE"""),"")</f>
        <v/>
      </c>
      <c r="B17780" s="87"/>
      <c r="C17780" s="87"/>
      <c r="D17780" s="87"/>
      <c r="E17780" s="87"/>
      <c r="F17780" s="87"/>
      <c r="G17780" s="87"/>
    </row>
    <row r="17781">
      <c r="A17781" s="86" t="str">
        <f>IFERROR(__xludf.DUMMYFUNCTION("""COMPUTED_VALUE"""),"")</f>
        <v/>
      </c>
      <c r="B17781" s="87"/>
      <c r="C17781" s="87"/>
      <c r="D17781" s="87"/>
      <c r="E17781" s="87"/>
      <c r="F17781" s="87"/>
      <c r="G17781" s="87"/>
    </row>
    <row r="17782">
      <c r="A17782" s="86" t="str">
        <f>IFERROR(__xludf.DUMMYFUNCTION("""COMPUTED_VALUE"""),"")</f>
        <v/>
      </c>
      <c r="B17782" s="87"/>
      <c r="C17782" s="87"/>
      <c r="D17782" s="87"/>
      <c r="E17782" s="87"/>
      <c r="F17782" s="87"/>
      <c r="G17782" s="87"/>
    </row>
    <row r="17783">
      <c r="A17783" s="86" t="str">
        <f>IFERROR(__xludf.DUMMYFUNCTION("""COMPUTED_VALUE"""),"")</f>
        <v/>
      </c>
      <c r="B17783" s="87"/>
      <c r="C17783" s="87"/>
      <c r="D17783" s="87"/>
      <c r="E17783" s="87"/>
      <c r="F17783" s="87"/>
      <c r="G17783" s="87"/>
    </row>
    <row r="17784">
      <c r="A17784" s="86" t="str">
        <f>IFERROR(__xludf.DUMMYFUNCTION("""COMPUTED_VALUE"""),"")</f>
        <v/>
      </c>
      <c r="B17784" s="87"/>
      <c r="C17784" s="87"/>
      <c r="D17784" s="87"/>
      <c r="E17784" s="87"/>
      <c r="F17784" s="87"/>
      <c r="G17784" s="87"/>
    </row>
    <row r="17785">
      <c r="A17785" s="86" t="str">
        <f>IFERROR(__xludf.DUMMYFUNCTION("""COMPUTED_VALUE"""),"")</f>
        <v/>
      </c>
      <c r="B17785" s="87"/>
      <c r="C17785" s="87"/>
      <c r="D17785" s="87"/>
      <c r="E17785" s="87"/>
      <c r="F17785" s="87"/>
      <c r="G17785" s="87"/>
    </row>
    <row r="17786">
      <c r="A17786" s="86" t="str">
        <f>IFERROR(__xludf.DUMMYFUNCTION("""COMPUTED_VALUE"""),"")</f>
        <v/>
      </c>
      <c r="B17786" s="87"/>
      <c r="C17786" s="87"/>
      <c r="D17786" s="87"/>
      <c r="E17786" s="87"/>
      <c r="F17786" s="87"/>
      <c r="G17786" s="87"/>
    </row>
    <row r="17787">
      <c r="A17787" s="86" t="str">
        <f>IFERROR(__xludf.DUMMYFUNCTION("""COMPUTED_VALUE"""),"")</f>
        <v/>
      </c>
      <c r="B17787" s="87"/>
      <c r="C17787" s="87"/>
      <c r="D17787" s="87"/>
      <c r="E17787" s="87"/>
      <c r="F17787" s="87"/>
      <c r="G17787" s="87"/>
    </row>
    <row r="17788">
      <c r="A17788" s="86" t="str">
        <f>IFERROR(__xludf.DUMMYFUNCTION("""COMPUTED_VALUE"""),"")</f>
        <v/>
      </c>
      <c r="B17788" s="87"/>
      <c r="C17788" s="87"/>
      <c r="D17788" s="87"/>
      <c r="E17788" s="87"/>
      <c r="F17788" s="87"/>
      <c r="G17788" s="87"/>
    </row>
    <row r="17789">
      <c r="A17789" s="86" t="str">
        <f>IFERROR(__xludf.DUMMYFUNCTION("""COMPUTED_VALUE"""),"")</f>
        <v/>
      </c>
      <c r="B17789" s="87"/>
      <c r="C17789" s="87"/>
      <c r="D17789" s="87"/>
      <c r="E17789" s="87"/>
      <c r="F17789" s="87"/>
      <c r="G17789" s="87"/>
    </row>
    <row r="17790">
      <c r="A17790" s="86" t="str">
        <f>IFERROR(__xludf.DUMMYFUNCTION("""COMPUTED_VALUE"""),"")</f>
        <v/>
      </c>
      <c r="B17790" s="87"/>
      <c r="C17790" s="87"/>
      <c r="D17790" s="87"/>
      <c r="E17790" s="87"/>
      <c r="F17790" s="87"/>
      <c r="G17790" s="87"/>
    </row>
    <row r="17791">
      <c r="A17791" s="86" t="str">
        <f>IFERROR(__xludf.DUMMYFUNCTION("""COMPUTED_VALUE"""),"")</f>
        <v/>
      </c>
      <c r="B17791" s="87"/>
      <c r="C17791" s="87"/>
      <c r="D17791" s="87"/>
      <c r="E17791" s="87"/>
      <c r="F17791" s="87"/>
      <c r="G17791" s="87"/>
    </row>
    <row r="17792">
      <c r="A17792" s="86" t="str">
        <f>IFERROR(__xludf.DUMMYFUNCTION("""COMPUTED_VALUE"""),"")</f>
        <v/>
      </c>
      <c r="B17792" s="87"/>
      <c r="C17792" s="87"/>
      <c r="D17792" s="87"/>
      <c r="E17792" s="87"/>
      <c r="F17792" s="87"/>
      <c r="G17792" s="87"/>
    </row>
    <row r="17793">
      <c r="A17793" s="86" t="str">
        <f>IFERROR(__xludf.DUMMYFUNCTION("""COMPUTED_VALUE"""),"")</f>
        <v/>
      </c>
      <c r="B17793" s="87"/>
      <c r="C17793" s="87"/>
      <c r="D17793" s="87"/>
      <c r="E17793" s="87"/>
      <c r="F17793" s="87"/>
      <c r="G17793" s="87"/>
    </row>
    <row r="17794">
      <c r="A17794" s="86" t="str">
        <f>IFERROR(__xludf.DUMMYFUNCTION("""COMPUTED_VALUE"""),"")</f>
        <v/>
      </c>
      <c r="B17794" s="87"/>
      <c r="C17794" s="87"/>
      <c r="D17794" s="87"/>
      <c r="E17794" s="87"/>
      <c r="F17794" s="87"/>
      <c r="G17794" s="87"/>
    </row>
    <row r="17795">
      <c r="A17795" s="86" t="str">
        <f>IFERROR(__xludf.DUMMYFUNCTION("""COMPUTED_VALUE"""),"")</f>
        <v/>
      </c>
      <c r="B17795" s="87"/>
      <c r="C17795" s="87"/>
      <c r="D17795" s="87"/>
      <c r="E17795" s="87"/>
      <c r="F17795" s="87"/>
      <c r="G17795" s="87"/>
    </row>
    <row r="17796">
      <c r="A17796" s="86" t="str">
        <f>IFERROR(__xludf.DUMMYFUNCTION("""COMPUTED_VALUE"""),"")</f>
        <v/>
      </c>
      <c r="B17796" s="87"/>
      <c r="C17796" s="87"/>
      <c r="D17796" s="87"/>
      <c r="E17796" s="87"/>
      <c r="F17796" s="87"/>
      <c r="G17796" s="87"/>
    </row>
    <row r="17797">
      <c r="A17797" s="86" t="str">
        <f>IFERROR(__xludf.DUMMYFUNCTION("""COMPUTED_VALUE"""),"")</f>
        <v/>
      </c>
      <c r="B17797" s="87"/>
      <c r="C17797" s="87"/>
      <c r="D17797" s="87"/>
      <c r="E17797" s="87"/>
      <c r="F17797" s="87"/>
      <c r="G17797" s="87"/>
    </row>
    <row r="17798">
      <c r="A17798" s="86" t="str">
        <f>IFERROR(__xludf.DUMMYFUNCTION("""COMPUTED_VALUE"""),"")</f>
        <v/>
      </c>
      <c r="B17798" s="87"/>
      <c r="C17798" s="87"/>
      <c r="D17798" s="87"/>
      <c r="E17798" s="87"/>
      <c r="F17798" s="87"/>
      <c r="G17798" s="87"/>
    </row>
    <row r="17799">
      <c r="A17799" s="86" t="str">
        <f>IFERROR(__xludf.DUMMYFUNCTION("""COMPUTED_VALUE"""),"")</f>
        <v/>
      </c>
      <c r="B17799" s="87"/>
      <c r="C17799" s="87"/>
      <c r="D17799" s="87"/>
      <c r="E17799" s="87"/>
      <c r="F17799" s="87"/>
      <c r="G17799" s="87"/>
    </row>
    <row r="17800">
      <c r="A17800" s="86" t="str">
        <f>IFERROR(__xludf.DUMMYFUNCTION("""COMPUTED_VALUE"""),"")</f>
        <v/>
      </c>
      <c r="B17800" s="87"/>
      <c r="C17800" s="87"/>
      <c r="D17800" s="87"/>
      <c r="E17800" s="87"/>
      <c r="F17800" s="87"/>
      <c r="G17800" s="87"/>
    </row>
    <row r="17801">
      <c r="A17801" s="86" t="str">
        <f>IFERROR(__xludf.DUMMYFUNCTION("""COMPUTED_VALUE"""),"")</f>
        <v/>
      </c>
      <c r="B17801" s="87"/>
      <c r="C17801" s="87"/>
      <c r="D17801" s="87"/>
      <c r="E17801" s="87"/>
      <c r="F17801" s="87"/>
      <c r="G17801" s="87"/>
    </row>
    <row r="17802">
      <c r="A17802" s="86" t="str">
        <f>IFERROR(__xludf.DUMMYFUNCTION("""COMPUTED_VALUE"""),"")</f>
        <v/>
      </c>
      <c r="B17802" s="87"/>
      <c r="C17802" s="87"/>
      <c r="D17802" s="87"/>
      <c r="E17802" s="87"/>
      <c r="F17802" s="87"/>
      <c r="G17802" s="87"/>
    </row>
    <row r="17803">
      <c r="A17803" s="86" t="str">
        <f>IFERROR(__xludf.DUMMYFUNCTION("""COMPUTED_VALUE"""),"")</f>
        <v/>
      </c>
      <c r="B17803" s="87"/>
      <c r="C17803" s="87"/>
      <c r="D17803" s="87"/>
      <c r="E17803" s="87"/>
      <c r="F17803" s="87"/>
      <c r="G17803" s="87"/>
    </row>
    <row r="17804">
      <c r="A17804" s="86" t="str">
        <f>IFERROR(__xludf.DUMMYFUNCTION("""COMPUTED_VALUE"""),"")</f>
        <v/>
      </c>
      <c r="B17804" s="87"/>
      <c r="C17804" s="87"/>
      <c r="D17804" s="87"/>
      <c r="E17804" s="87"/>
      <c r="F17804" s="87"/>
      <c r="G17804" s="87"/>
    </row>
    <row r="17805">
      <c r="A17805" s="86" t="str">
        <f>IFERROR(__xludf.DUMMYFUNCTION("""COMPUTED_VALUE"""),"")</f>
        <v/>
      </c>
      <c r="B17805" s="87"/>
      <c r="C17805" s="87"/>
      <c r="D17805" s="87"/>
      <c r="E17805" s="87"/>
      <c r="F17805" s="87"/>
      <c r="G17805" s="87"/>
    </row>
    <row r="17806">
      <c r="A17806" s="86" t="str">
        <f>IFERROR(__xludf.DUMMYFUNCTION("""COMPUTED_VALUE"""),"")</f>
        <v/>
      </c>
      <c r="B17806" s="87"/>
      <c r="C17806" s="87"/>
      <c r="D17806" s="87"/>
      <c r="E17806" s="87"/>
      <c r="F17806" s="87"/>
      <c r="G17806" s="87"/>
    </row>
    <row r="17807">
      <c r="A17807" s="86" t="str">
        <f>IFERROR(__xludf.DUMMYFUNCTION("""COMPUTED_VALUE"""),"")</f>
        <v/>
      </c>
      <c r="B17807" s="87"/>
      <c r="C17807" s="87"/>
      <c r="D17807" s="87"/>
      <c r="E17807" s="87"/>
      <c r="F17807" s="87"/>
      <c r="G17807" s="87"/>
    </row>
    <row r="17808">
      <c r="A17808" s="86" t="str">
        <f>IFERROR(__xludf.DUMMYFUNCTION("""COMPUTED_VALUE"""),"")</f>
        <v/>
      </c>
      <c r="B17808" s="87"/>
      <c r="C17808" s="87"/>
      <c r="D17808" s="87"/>
      <c r="E17808" s="87"/>
      <c r="F17808" s="87"/>
      <c r="G17808" s="87"/>
    </row>
    <row r="17809">
      <c r="A17809" s="86" t="str">
        <f>IFERROR(__xludf.DUMMYFUNCTION("""COMPUTED_VALUE"""),"")</f>
        <v/>
      </c>
      <c r="B17809" s="87"/>
      <c r="C17809" s="87"/>
      <c r="D17809" s="87"/>
      <c r="E17809" s="87"/>
      <c r="F17809" s="87"/>
      <c r="G17809" s="87"/>
    </row>
    <row r="17810">
      <c r="A17810" s="86" t="str">
        <f>IFERROR(__xludf.DUMMYFUNCTION("""COMPUTED_VALUE"""),"")</f>
        <v/>
      </c>
      <c r="B17810" s="87"/>
      <c r="C17810" s="87"/>
      <c r="D17810" s="87"/>
      <c r="E17810" s="87"/>
      <c r="F17810" s="87"/>
      <c r="G17810" s="87"/>
    </row>
    <row r="17811">
      <c r="A17811" s="86" t="str">
        <f>IFERROR(__xludf.DUMMYFUNCTION("""COMPUTED_VALUE"""),"")</f>
        <v/>
      </c>
      <c r="B17811" s="87"/>
      <c r="C17811" s="87"/>
      <c r="D17811" s="87"/>
      <c r="E17811" s="87"/>
      <c r="F17811" s="87"/>
      <c r="G17811" s="87"/>
    </row>
    <row r="17812">
      <c r="A17812" s="86" t="str">
        <f>IFERROR(__xludf.DUMMYFUNCTION("""COMPUTED_VALUE"""),"")</f>
        <v/>
      </c>
      <c r="B17812" s="87"/>
      <c r="C17812" s="87"/>
      <c r="D17812" s="87"/>
      <c r="E17812" s="87"/>
      <c r="F17812" s="87"/>
      <c r="G17812" s="87"/>
    </row>
    <row r="17813">
      <c r="A17813" s="86" t="str">
        <f>IFERROR(__xludf.DUMMYFUNCTION("""COMPUTED_VALUE"""),"")</f>
        <v/>
      </c>
      <c r="B17813" s="87"/>
      <c r="C17813" s="87"/>
      <c r="D17813" s="87"/>
      <c r="E17813" s="87"/>
      <c r="F17813" s="87"/>
      <c r="G17813" s="87"/>
    </row>
    <row r="17814">
      <c r="A17814" s="86" t="str">
        <f>IFERROR(__xludf.DUMMYFUNCTION("""COMPUTED_VALUE"""),"")</f>
        <v/>
      </c>
      <c r="B17814" s="87"/>
      <c r="C17814" s="87"/>
      <c r="D17814" s="87"/>
      <c r="E17814" s="87"/>
      <c r="F17814" s="87"/>
      <c r="G17814" s="87"/>
    </row>
    <row r="17815">
      <c r="A17815" s="86" t="str">
        <f>IFERROR(__xludf.DUMMYFUNCTION("""COMPUTED_VALUE"""),"")</f>
        <v/>
      </c>
      <c r="B17815" s="87"/>
      <c r="C17815" s="87"/>
      <c r="D17815" s="87"/>
      <c r="E17815" s="87"/>
      <c r="F17815" s="87"/>
      <c r="G17815" s="87"/>
    </row>
    <row r="17816">
      <c r="A17816" s="86" t="str">
        <f>IFERROR(__xludf.DUMMYFUNCTION("""COMPUTED_VALUE"""),"")</f>
        <v/>
      </c>
      <c r="B17816" s="87"/>
      <c r="C17816" s="87"/>
      <c r="D17816" s="87"/>
      <c r="E17816" s="87"/>
      <c r="F17816" s="87"/>
      <c r="G17816" s="87"/>
    </row>
    <row r="17817">
      <c r="A17817" s="86" t="str">
        <f>IFERROR(__xludf.DUMMYFUNCTION("""COMPUTED_VALUE"""),"")</f>
        <v/>
      </c>
      <c r="B17817" s="87"/>
      <c r="C17817" s="87"/>
      <c r="D17817" s="87"/>
      <c r="E17817" s="87"/>
      <c r="F17817" s="87"/>
      <c r="G17817" s="87"/>
    </row>
    <row r="17818">
      <c r="A17818" s="86" t="str">
        <f>IFERROR(__xludf.DUMMYFUNCTION("""COMPUTED_VALUE"""),"")</f>
        <v/>
      </c>
      <c r="B17818" s="87"/>
      <c r="C17818" s="87"/>
      <c r="D17818" s="87"/>
      <c r="E17818" s="87"/>
      <c r="F17818" s="87"/>
      <c r="G17818" s="87"/>
    </row>
    <row r="17819">
      <c r="A17819" s="86" t="str">
        <f>IFERROR(__xludf.DUMMYFUNCTION("""COMPUTED_VALUE"""),"")</f>
        <v/>
      </c>
      <c r="B17819" s="87"/>
      <c r="C17819" s="87"/>
      <c r="D17819" s="87"/>
      <c r="E17819" s="87"/>
      <c r="F17819" s="87"/>
      <c r="G17819" s="87"/>
    </row>
    <row r="17820">
      <c r="A17820" s="86" t="str">
        <f>IFERROR(__xludf.DUMMYFUNCTION("""COMPUTED_VALUE"""),"")</f>
        <v/>
      </c>
      <c r="B17820" s="87"/>
      <c r="C17820" s="87"/>
      <c r="D17820" s="87"/>
      <c r="E17820" s="87"/>
      <c r="F17820" s="87"/>
      <c r="G17820" s="87"/>
    </row>
    <row r="17821">
      <c r="A17821" s="86" t="str">
        <f>IFERROR(__xludf.DUMMYFUNCTION("""COMPUTED_VALUE"""),"")</f>
        <v/>
      </c>
      <c r="B17821" s="87"/>
      <c r="C17821" s="87"/>
      <c r="D17821" s="87"/>
      <c r="E17821" s="87"/>
      <c r="F17821" s="87"/>
      <c r="G17821" s="87"/>
    </row>
    <row r="17822">
      <c r="A17822" s="86" t="str">
        <f>IFERROR(__xludf.DUMMYFUNCTION("""COMPUTED_VALUE"""),"")</f>
        <v/>
      </c>
      <c r="B17822" s="87"/>
      <c r="C17822" s="87"/>
      <c r="D17822" s="87"/>
      <c r="E17822" s="87"/>
      <c r="F17822" s="87"/>
      <c r="G17822" s="87"/>
    </row>
    <row r="17823">
      <c r="A17823" s="86" t="str">
        <f>IFERROR(__xludf.DUMMYFUNCTION("""COMPUTED_VALUE"""),"")</f>
        <v/>
      </c>
      <c r="B17823" s="87"/>
      <c r="C17823" s="87"/>
      <c r="D17823" s="87"/>
      <c r="E17823" s="87"/>
      <c r="F17823" s="87"/>
      <c r="G17823" s="87"/>
    </row>
    <row r="17824">
      <c r="A17824" s="86" t="str">
        <f>IFERROR(__xludf.DUMMYFUNCTION("""COMPUTED_VALUE"""),"")</f>
        <v/>
      </c>
      <c r="B17824" s="87"/>
      <c r="C17824" s="87"/>
      <c r="D17824" s="87"/>
      <c r="E17824" s="87"/>
      <c r="F17824" s="87"/>
      <c r="G17824" s="87"/>
    </row>
    <row r="17825">
      <c r="A17825" s="86" t="str">
        <f>IFERROR(__xludf.DUMMYFUNCTION("""COMPUTED_VALUE"""),"")</f>
        <v/>
      </c>
      <c r="B17825" s="87"/>
      <c r="C17825" s="87"/>
      <c r="D17825" s="87"/>
      <c r="E17825" s="87"/>
      <c r="F17825" s="87"/>
      <c r="G17825" s="87"/>
    </row>
    <row r="17826">
      <c r="A17826" s="86" t="str">
        <f>IFERROR(__xludf.DUMMYFUNCTION("""COMPUTED_VALUE"""),"")</f>
        <v/>
      </c>
      <c r="B17826" s="87"/>
      <c r="C17826" s="87"/>
      <c r="D17826" s="87"/>
      <c r="E17826" s="87"/>
      <c r="F17826" s="87"/>
      <c r="G17826" s="87"/>
    </row>
    <row r="17827">
      <c r="A17827" s="86" t="str">
        <f>IFERROR(__xludf.DUMMYFUNCTION("""COMPUTED_VALUE"""),"")</f>
        <v/>
      </c>
      <c r="B17827" s="87"/>
      <c r="C17827" s="87"/>
      <c r="D17827" s="87"/>
      <c r="E17827" s="87"/>
      <c r="F17827" s="87"/>
      <c r="G17827" s="87"/>
    </row>
    <row r="17828">
      <c r="A17828" s="86" t="str">
        <f>IFERROR(__xludf.DUMMYFUNCTION("""COMPUTED_VALUE"""),"")</f>
        <v/>
      </c>
      <c r="B17828" s="87"/>
      <c r="C17828" s="87"/>
      <c r="D17828" s="87"/>
      <c r="E17828" s="87"/>
      <c r="F17828" s="87"/>
      <c r="G17828" s="87"/>
    </row>
    <row r="17829">
      <c r="A17829" s="86" t="str">
        <f>IFERROR(__xludf.DUMMYFUNCTION("""COMPUTED_VALUE"""),"")</f>
        <v/>
      </c>
      <c r="B17829" s="87"/>
      <c r="C17829" s="87"/>
      <c r="D17829" s="87"/>
      <c r="E17829" s="87"/>
      <c r="F17829" s="87"/>
      <c r="G17829" s="87"/>
    </row>
    <row r="17830">
      <c r="A17830" s="86" t="str">
        <f>IFERROR(__xludf.DUMMYFUNCTION("""COMPUTED_VALUE"""),"")</f>
        <v/>
      </c>
      <c r="B17830" s="87"/>
      <c r="C17830" s="87"/>
      <c r="D17830" s="87"/>
      <c r="E17830" s="87"/>
      <c r="F17830" s="87"/>
      <c r="G17830" s="87"/>
    </row>
    <row r="17831">
      <c r="A17831" s="86" t="str">
        <f>IFERROR(__xludf.DUMMYFUNCTION("""COMPUTED_VALUE"""),"")</f>
        <v/>
      </c>
      <c r="B17831" s="87"/>
      <c r="C17831" s="87"/>
      <c r="D17831" s="87"/>
      <c r="E17831" s="87"/>
      <c r="F17831" s="87"/>
      <c r="G17831" s="87"/>
    </row>
    <row r="17832">
      <c r="A17832" s="86" t="str">
        <f>IFERROR(__xludf.DUMMYFUNCTION("""COMPUTED_VALUE"""),"")</f>
        <v/>
      </c>
      <c r="B17832" s="87"/>
      <c r="C17832" s="87"/>
      <c r="D17832" s="87"/>
      <c r="E17832" s="87"/>
      <c r="F17832" s="87"/>
      <c r="G17832" s="87"/>
    </row>
    <row r="17833">
      <c r="A17833" s="86" t="str">
        <f>IFERROR(__xludf.DUMMYFUNCTION("""COMPUTED_VALUE"""),"")</f>
        <v/>
      </c>
      <c r="B17833" s="87"/>
      <c r="C17833" s="87"/>
      <c r="D17833" s="87"/>
      <c r="E17833" s="87"/>
      <c r="F17833" s="87"/>
      <c r="G17833" s="87"/>
    </row>
    <row r="17834">
      <c r="A17834" s="86" t="str">
        <f>IFERROR(__xludf.DUMMYFUNCTION("""COMPUTED_VALUE"""),"")</f>
        <v/>
      </c>
      <c r="B17834" s="87"/>
      <c r="C17834" s="87"/>
      <c r="D17834" s="87"/>
      <c r="E17834" s="87"/>
      <c r="F17834" s="87"/>
      <c r="G17834" s="87"/>
    </row>
    <row r="17835">
      <c r="A17835" s="86" t="str">
        <f>IFERROR(__xludf.DUMMYFUNCTION("""COMPUTED_VALUE"""),"")</f>
        <v/>
      </c>
      <c r="B17835" s="87"/>
      <c r="C17835" s="87"/>
      <c r="D17835" s="87"/>
      <c r="E17835" s="87"/>
      <c r="F17835" s="87"/>
      <c r="G17835" s="87"/>
    </row>
    <row r="17836">
      <c r="A17836" s="86" t="str">
        <f>IFERROR(__xludf.DUMMYFUNCTION("""COMPUTED_VALUE"""),"")</f>
        <v/>
      </c>
      <c r="B17836" s="87"/>
      <c r="C17836" s="87"/>
      <c r="D17836" s="87"/>
      <c r="E17836" s="87"/>
      <c r="F17836" s="87"/>
      <c r="G17836" s="87"/>
    </row>
    <row r="17837">
      <c r="A17837" s="86" t="str">
        <f>IFERROR(__xludf.DUMMYFUNCTION("""COMPUTED_VALUE"""),"")</f>
        <v/>
      </c>
      <c r="B17837" s="87"/>
      <c r="C17837" s="87"/>
      <c r="D17837" s="87"/>
      <c r="E17837" s="87"/>
      <c r="F17837" s="87"/>
      <c r="G17837" s="87"/>
    </row>
    <row r="17838">
      <c r="A17838" s="86" t="str">
        <f>IFERROR(__xludf.DUMMYFUNCTION("""COMPUTED_VALUE"""),"")</f>
        <v/>
      </c>
      <c r="B17838" s="87"/>
      <c r="C17838" s="87"/>
      <c r="D17838" s="87"/>
      <c r="E17838" s="87"/>
      <c r="F17838" s="87"/>
      <c r="G17838" s="87"/>
    </row>
    <row r="17839">
      <c r="A17839" s="86" t="str">
        <f>IFERROR(__xludf.DUMMYFUNCTION("""COMPUTED_VALUE"""),"")</f>
        <v/>
      </c>
      <c r="B17839" s="87"/>
      <c r="C17839" s="87"/>
      <c r="D17839" s="87"/>
      <c r="E17839" s="87"/>
      <c r="F17839" s="87"/>
      <c r="G17839" s="87"/>
    </row>
    <row r="17840">
      <c r="A17840" s="86" t="str">
        <f>IFERROR(__xludf.DUMMYFUNCTION("""COMPUTED_VALUE"""),"")</f>
        <v/>
      </c>
      <c r="B17840" s="87"/>
      <c r="C17840" s="87"/>
      <c r="D17840" s="87"/>
      <c r="E17840" s="87"/>
      <c r="F17840" s="87"/>
      <c r="G17840" s="87"/>
    </row>
    <row r="17841">
      <c r="A17841" s="86" t="str">
        <f>IFERROR(__xludf.DUMMYFUNCTION("""COMPUTED_VALUE"""),"")</f>
        <v/>
      </c>
      <c r="B17841" s="87"/>
      <c r="C17841" s="87"/>
      <c r="D17841" s="87"/>
      <c r="E17841" s="87"/>
      <c r="F17841" s="87"/>
      <c r="G17841" s="87"/>
    </row>
    <row r="17842">
      <c r="A17842" s="86" t="str">
        <f>IFERROR(__xludf.DUMMYFUNCTION("""COMPUTED_VALUE"""),"")</f>
        <v/>
      </c>
      <c r="B17842" s="87"/>
      <c r="C17842" s="87"/>
      <c r="D17842" s="87"/>
      <c r="E17842" s="87"/>
      <c r="F17842" s="87"/>
      <c r="G17842" s="87"/>
    </row>
    <row r="17843">
      <c r="A17843" s="86" t="str">
        <f>IFERROR(__xludf.DUMMYFUNCTION("""COMPUTED_VALUE"""),"")</f>
        <v/>
      </c>
      <c r="B17843" s="87"/>
      <c r="C17843" s="87"/>
      <c r="D17843" s="87"/>
      <c r="E17843" s="87"/>
      <c r="F17843" s="87"/>
      <c r="G17843" s="87"/>
    </row>
    <row r="17844">
      <c r="A17844" s="86" t="str">
        <f>IFERROR(__xludf.DUMMYFUNCTION("""COMPUTED_VALUE"""),"")</f>
        <v/>
      </c>
      <c r="B17844" s="87"/>
      <c r="C17844" s="87"/>
      <c r="D17844" s="87"/>
      <c r="E17844" s="87"/>
      <c r="F17844" s="87"/>
      <c r="G17844" s="87"/>
    </row>
    <row r="17845">
      <c r="A17845" s="86" t="str">
        <f>IFERROR(__xludf.DUMMYFUNCTION("""COMPUTED_VALUE"""),"")</f>
        <v/>
      </c>
      <c r="B17845" s="87"/>
      <c r="C17845" s="87"/>
      <c r="D17845" s="87"/>
      <c r="E17845" s="87"/>
      <c r="F17845" s="87"/>
      <c r="G17845" s="87"/>
    </row>
    <row r="17846">
      <c r="A17846" s="86" t="str">
        <f>IFERROR(__xludf.DUMMYFUNCTION("""COMPUTED_VALUE"""),"")</f>
        <v/>
      </c>
      <c r="B17846" s="87"/>
      <c r="C17846" s="87"/>
      <c r="D17846" s="87"/>
      <c r="E17846" s="87"/>
      <c r="F17846" s="87"/>
      <c r="G17846" s="87"/>
    </row>
    <row r="17847">
      <c r="A17847" s="86" t="str">
        <f>IFERROR(__xludf.DUMMYFUNCTION("""COMPUTED_VALUE"""),"")</f>
        <v/>
      </c>
      <c r="B17847" s="87"/>
      <c r="C17847" s="87"/>
      <c r="D17847" s="87"/>
      <c r="E17847" s="87"/>
      <c r="F17847" s="87"/>
      <c r="G17847" s="87"/>
    </row>
    <row r="17848">
      <c r="A17848" s="86" t="str">
        <f>IFERROR(__xludf.DUMMYFUNCTION("""COMPUTED_VALUE"""),"")</f>
        <v/>
      </c>
      <c r="B17848" s="87"/>
      <c r="C17848" s="87"/>
      <c r="D17848" s="87"/>
      <c r="E17848" s="87"/>
      <c r="F17848" s="87"/>
      <c r="G17848" s="87"/>
    </row>
    <row r="17849">
      <c r="A17849" s="86" t="str">
        <f>IFERROR(__xludf.DUMMYFUNCTION("""COMPUTED_VALUE"""),"")</f>
        <v/>
      </c>
      <c r="B17849" s="87"/>
      <c r="C17849" s="87"/>
      <c r="D17849" s="87"/>
      <c r="E17849" s="87"/>
      <c r="F17849" s="87"/>
      <c r="G17849" s="87"/>
    </row>
    <row r="17850">
      <c r="A17850" s="86" t="str">
        <f>IFERROR(__xludf.DUMMYFUNCTION("""COMPUTED_VALUE"""),"")</f>
        <v/>
      </c>
      <c r="B17850" s="87"/>
      <c r="C17850" s="87"/>
      <c r="D17850" s="87"/>
      <c r="E17850" s="87"/>
      <c r="F17850" s="87"/>
      <c r="G17850" s="87"/>
    </row>
    <row r="17851">
      <c r="A17851" s="86" t="str">
        <f>IFERROR(__xludf.DUMMYFUNCTION("""COMPUTED_VALUE"""),"")</f>
        <v/>
      </c>
      <c r="B17851" s="87"/>
      <c r="C17851" s="87"/>
      <c r="D17851" s="87"/>
      <c r="E17851" s="87"/>
      <c r="F17851" s="87"/>
      <c r="G17851" s="87"/>
    </row>
    <row r="17852">
      <c r="A17852" s="86" t="str">
        <f>IFERROR(__xludf.DUMMYFUNCTION("""COMPUTED_VALUE"""),"")</f>
        <v/>
      </c>
      <c r="B17852" s="87"/>
      <c r="C17852" s="87"/>
      <c r="D17852" s="87"/>
      <c r="E17852" s="87"/>
      <c r="F17852" s="87"/>
      <c r="G17852" s="87"/>
    </row>
    <row r="17853">
      <c r="A17853" s="86" t="str">
        <f>IFERROR(__xludf.DUMMYFUNCTION("""COMPUTED_VALUE"""),"")</f>
        <v/>
      </c>
      <c r="B17853" s="87"/>
      <c r="C17853" s="87"/>
      <c r="D17853" s="87"/>
      <c r="E17853" s="87"/>
      <c r="F17853" s="87"/>
      <c r="G17853" s="87"/>
    </row>
    <row r="17854">
      <c r="A17854" s="86" t="str">
        <f>IFERROR(__xludf.DUMMYFUNCTION("""COMPUTED_VALUE"""),"")</f>
        <v/>
      </c>
      <c r="B17854" s="87"/>
      <c r="C17854" s="87"/>
      <c r="D17854" s="87"/>
      <c r="E17854" s="87"/>
      <c r="F17854" s="87"/>
      <c r="G17854" s="87"/>
    </row>
    <row r="17855">
      <c r="A17855" s="86" t="str">
        <f>IFERROR(__xludf.DUMMYFUNCTION("""COMPUTED_VALUE"""),"")</f>
        <v/>
      </c>
      <c r="B17855" s="87"/>
      <c r="C17855" s="87"/>
      <c r="D17855" s="87"/>
      <c r="E17855" s="87"/>
      <c r="F17855" s="87"/>
      <c r="G17855" s="87"/>
    </row>
    <row r="17856">
      <c r="A17856" s="86" t="str">
        <f>IFERROR(__xludf.DUMMYFUNCTION("""COMPUTED_VALUE"""),"")</f>
        <v/>
      </c>
      <c r="B17856" s="87"/>
      <c r="C17856" s="87"/>
      <c r="D17856" s="87"/>
      <c r="E17856" s="87"/>
      <c r="F17856" s="87"/>
      <c r="G17856" s="87"/>
    </row>
    <row r="17857">
      <c r="A17857" s="86" t="str">
        <f>IFERROR(__xludf.DUMMYFUNCTION("""COMPUTED_VALUE"""),"")</f>
        <v/>
      </c>
      <c r="B17857" s="87"/>
      <c r="C17857" s="87"/>
      <c r="D17857" s="87"/>
      <c r="E17857" s="87"/>
      <c r="F17857" s="87"/>
      <c r="G17857" s="87"/>
    </row>
    <row r="17858">
      <c r="A17858" s="86" t="str">
        <f>IFERROR(__xludf.DUMMYFUNCTION("""COMPUTED_VALUE"""),"")</f>
        <v/>
      </c>
      <c r="B17858" s="87"/>
      <c r="C17858" s="87"/>
      <c r="D17858" s="87"/>
      <c r="E17858" s="87"/>
      <c r="F17858" s="87"/>
      <c r="G17858" s="87"/>
    </row>
    <row r="17859">
      <c r="A17859" s="86" t="str">
        <f>IFERROR(__xludf.DUMMYFUNCTION("""COMPUTED_VALUE"""),"")</f>
        <v/>
      </c>
      <c r="B17859" s="87"/>
      <c r="C17859" s="87"/>
      <c r="D17859" s="87"/>
      <c r="E17859" s="87"/>
      <c r="F17859" s="87"/>
      <c r="G17859" s="87"/>
    </row>
    <row r="17860">
      <c r="A17860" s="86" t="str">
        <f>IFERROR(__xludf.DUMMYFUNCTION("""COMPUTED_VALUE"""),"")</f>
        <v/>
      </c>
      <c r="B17860" s="87"/>
      <c r="C17860" s="87"/>
      <c r="D17860" s="87"/>
      <c r="E17860" s="87"/>
      <c r="F17860" s="87"/>
      <c r="G17860" s="87"/>
    </row>
    <row r="17861">
      <c r="A17861" s="86" t="str">
        <f>IFERROR(__xludf.DUMMYFUNCTION("""COMPUTED_VALUE"""),"")</f>
        <v/>
      </c>
      <c r="B17861" s="87"/>
      <c r="C17861" s="87"/>
      <c r="D17861" s="87"/>
      <c r="E17861" s="87"/>
      <c r="F17861" s="87"/>
      <c r="G17861" s="87"/>
    </row>
    <row r="17862">
      <c r="A17862" s="86" t="str">
        <f>IFERROR(__xludf.DUMMYFUNCTION("""COMPUTED_VALUE"""),"")</f>
        <v/>
      </c>
      <c r="B17862" s="87"/>
      <c r="C17862" s="87"/>
      <c r="D17862" s="87"/>
      <c r="E17862" s="87"/>
      <c r="F17862" s="87"/>
      <c r="G17862" s="87"/>
    </row>
    <row r="17863">
      <c r="A17863" s="86" t="str">
        <f>IFERROR(__xludf.DUMMYFUNCTION("""COMPUTED_VALUE"""),"")</f>
        <v/>
      </c>
      <c r="B17863" s="87"/>
      <c r="C17863" s="87"/>
      <c r="D17863" s="87"/>
      <c r="E17863" s="87"/>
      <c r="F17863" s="87"/>
      <c r="G17863" s="87"/>
    </row>
    <row r="17864">
      <c r="A17864" s="86" t="str">
        <f>IFERROR(__xludf.DUMMYFUNCTION("""COMPUTED_VALUE"""),"")</f>
        <v/>
      </c>
      <c r="B17864" s="87"/>
      <c r="C17864" s="87"/>
      <c r="D17864" s="87"/>
      <c r="E17864" s="87"/>
      <c r="F17864" s="87"/>
      <c r="G17864" s="87"/>
    </row>
    <row r="17865">
      <c r="A17865" s="86" t="str">
        <f>IFERROR(__xludf.DUMMYFUNCTION("""COMPUTED_VALUE"""),"")</f>
        <v/>
      </c>
      <c r="B17865" s="87"/>
      <c r="C17865" s="87"/>
      <c r="D17865" s="87"/>
      <c r="E17865" s="87"/>
      <c r="F17865" s="87"/>
      <c r="G17865" s="87"/>
    </row>
    <row r="17866">
      <c r="A17866" s="86" t="str">
        <f>IFERROR(__xludf.DUMMYFUNCTION("""COMPUTED_VALUE"""),"")</f>
        <v/>
      </c>
      <c r="B17866" s="87"/>
      <c r="C17866" s="87"/>
      <c r="D17866" s="87"/>
      <c r="E17866" s="87"/>
      <c r="F17866" s="87"/>
      <c r="G17866" s="87"/>
    </row>
    <row r="17867">
      <c r="A17867" s="86" t="str">
        <f>IFERROR(__xludf.DUMMYFUNCTION("""COMPUTED_VALUE"""),"")</f>
        <v/>
      </c>
      <c r="B17867" s="87"/>
      <c r="C17867" s="87"/>
      <c r="D17867" s="87"/>
      <c r="E17867" s="87"/>
      <c r="F17867" s="87"/>
      <c r="G17867" s="87"/>
    </row>
    <row r="17868">
      <c r="A17868" s="86" t="str">
        <f>IFERROR(__xludf.DUMMYFUNCTION("""COMPUTED_VALUE"""),"")</f>
        <v/>
      </c>
      <c r="B17868" s="87"/>
      <c r="C17868" s="87"/>
      <c r="D17868" s="87"/>
      <c r="E17868" s="87"/>
      <c r="F17868" s="87"/>
      <c r="G17868" s="87"/>
    </row>
    <row r="17869">
      <c r="A17869" s="86" t="str">
        <f>IFERROR(__xludf.DUMMYFUNCTION("""COMPUTED_VALUE"""),"")</f>
        <v/>
      </c>
      <c r="B17869" s="87"/>
      <c r="C17869" s="87"/>
      <c r="D17869" s="87"/>
      <c r="E17869" s="87"/>
      <c r="F17869" s="87"/>
      <c r="G17869" s="87"/>
    </row>
    <row r="17870">
      <c r="A17870" s="86" t="str">
        <f>IFERROR(__xludf.DUMMYFUNCTION("""COMPUTED_VALUE"""),"")</f>
        <v/>
      </c>
      <c r="B17870" s="87"/>
      <c r="C17870" s="87"/>
      <c r="D17870" s="87"/>
      <c r="E17870" s="87"/>
      <c r="F17870" s="87"/>
      <c r="G17870" s="87"/>
    </row>
    <row r="17871">
      <c r="A17871" s="86" t="str">
        <f>IFERROR(__xludf.DUMMYFUNCTION("""COMPUTED_VALUE"""),"")</f>
        <v/>
      </c>
      <c r="B17871" s="87"/>
      <c r="C17871" s="87"/>
      <c r="D17871" s="87"/>
      <c r="E17871" s="87"/>
      <c r="F17871" s="87"/>
      <c r="G17871" s="87"/>
    </row>
    <row r="17872">
      <c r="A17872" s="86" t="str">
        <f>IFERROR(__xludf.DUMMYFUNCTION("""COMPUTED_VALUE"""),"")</f>
        <v/>
      </c>
      <c r="B17872" s="87"/>
      <c r="C17872" s="87"/>
      <c r="D17872" s="87"/>
      <c r="E17872" s="87"/>
      <c r="F17872" s="87"/>
      <c r="G17872" s="87"/>
    </row>
    <row r="17873">
      <c r="A17873" s="86" t="str">
        <f>IFERROR(__xludf.DUMMYFUNCTION("""COMPUTED_VALUE"""),"")</f>
        <v/>
      </c>
      <c r="B17873" s="87"/>
      <c r="C17873" s="87"/>
      <c r="D17873" s="87"/>
      <c r="E17873" s="87"/>
      <c r="F17873" s="87"/>
      <c r="G17873" s="87"/>
    </row>
    <row r="17874">
      <c r="A17874" s="86" t="str">
        <f>IFERROR(__xludf.DUMMYFUNCTION("""COMPUTED_VALUE"""),"")</f>
        <v/>
      </c>
      <c r="B17874" s="87"/>
      <c r="C17874" s="87"/>
      <c r="D17874" s="87"/>
      <c r="E17874" s="87"/>
      <c r="F17874" s="87"/>
      <c r="G17874" s="87"/>
    </row>
    <row r="17875">
      <c r="A17875" s="86" t="str">
        <f>IFERROR(__xludf.DUMMYFUNCTION("""COMPUTED_VALUE"""),"")</f>
        <v/>
      </c>
      <c r="B17875" s="87"/>
      <c r="C17875" s="87"/>
      <c r="D17875" s="87"/>
      <c r="E17875" s="87"/>
      <c r="F17875" s="87"/>
      <c r="G17875" s="87"/>
    </row>
    <row r="17876">
      <c r="A17876" s="86" t="str">
        <f>IFERROR(__xludf.DUMMYFUNCTION("""COMPUTED_VALUE"""),"")</f>
        <v/>
      </c>
      <c r="B17876" s="87"/>
      <c r="C17876" s="87"/>
      <c r="D17876" s="87"/>
      <c r="E17876" s="87"/>
      <c r="F17876" s="87"/>
      <c r="G17876" s="87"/>
    </row>
    <row r="17877">
      <c r="A17877" s="86" t="str">
        <f>IFERROR(__xludf.DUMMYFUNCTION("""COMPUTED_VALUE"""),"")</f>
        <v/>
      </c>
      <c r="B17877" s="87"/>
      <c r="C17877" s="87"/>
      <c r="D17877" s="87"/>
      <c r="E17877" s="87"/>
      <c r="F17877" s="87"/>
      <c r="G17877" s="87"/>
    </row>
    <row r="17878">
      <c r="A17878" s="86" t="str">
        <f>IFERROR(__xludf.DUMMYFUNCTION("""COMPUTED_VALUE"""),"")</f>
        <v/>
      </c>
      <c r="B17878" s="87"/>
      <c r="C17878" s="87"/>
      <c r="D17878" s="87"/>
      <c r="E17878" s="87"/>
      <c r="F17878" s="87"/>
      <c r="G17878" s="87"/>
    </row>
    <row r="17879">
      <c r="A17879" s="86" t="str">
        <f>IFERROR(__xludf.DUMMYFUNCTION("""COMPUTED_VALUE"""),"")</f>
        <v/>
      </c>
      <c r="B17879" s="87"/>
      <c r="C17879" s="87"/>
      <c r="D17879" s="87"/>
      <c r="E17879" s="87"/>
      <c r="F17879" s="87"/>
      <c r="G17879" s="87"/>
    </row>
    <row r="17880">
      <c r="A17880" s="86" t="str">
        <f>IFERROR(__xludf.DUMMYFUNCTION("""COMPUTED_VALUE"""),"")</f>
        <v/>
      </c>
      <c r="B17880" s="87"/>
      <c r="C17880" s="87"/>
      <c r="D17880" s="87"/>
      <c r="E17880" s="87"/>
      <c r="F17880" s="87"/>
      <c r="G17880" s="87"/>
    </row>
    <row r="17881">
      <c r="A17881" s="86" t="str">
        <f>IFERROR(__xludf.DUMMYFUNCTION("""COMPUTED_VALUE"""),"")</f>
        <v/>
      </c>
      <c r="B17881" s="87"/>
      <c r="C17881" s="87"/>
      <c r="D17881" s="87"/>
      <c r="E17881" s="87"/>
      <c r="F17881" s="87"/>
      <c r="G17881" s="87"/>
    </row>
    <row r="17882">
      <c r="A17882" s="86" t="str">
        <f>IFERROR(__xludf.DUMMYFUNCTION("""COMPUTED_VALUE"""),"")</f>
        <v/>
      </c>
      <c r="B17882" s="87"/>
      <c r="C17882" s="87"/>
      <c r="D17882" s="87"/>
      <c r="E17882" s="87"/>
      <c r="F17882" s="87"/>
      <c r="G17882" s="87"/>
    </row>
    <row r="17883">
      <c r="A17883" s="86" t="str">
        <f>IFERROR(__xludf.DUMMYFUNCTION("""COMPUTED_VALUE"""),"")</f>
        <v/>
      </c>
      <c r="B17883" s="87"/>
      <c r="C17883" s="87"/>
      <c r="D17883" s="87"/>
      <c r="E17883" s="87"/>
      <c r="F17883" s="87"/>
      <c r="G17883" s="87"/>
    </row>
    <row r="17884">
      <c r="A17884" s="86" t="str">
        <f>IFERROR(__xludf.DUMMYFUNCTION("""COMPUTED_VALUE"""),"")</f>
        <v/>
      </c>
      <c r="B17884" s="87"/>
      <c r="C17884" s="87"/>
      <c r="D17884" s="87"/>
      <c r="E17884" s="87"/>
      <c r="F17884" s="87"/>
      <c r="G17884" s="87"/>
    </row>
    <row r="17885">
      <c r="A17885" s="86" t="str">
        <f>IFERROR(__xludf.DUMMYFUNCTION("""COMPUTED_VALUE"""),"")</f>
        <v/>
      </c>
      <c r="B17885" s="87"/>
      <c r="C17885" s="87"/>
      <c r="D17885" s="87"/>
      <c r="E17885" s="87"/>
      <c r="F17885" s="87"/>
      <c r="G17885" s="87"/>
    </row>
    <row r="17886">
      <c r="A17886" s="86" t="str">
        <f>IFERROR(__xludf.DUMMYFUNCTION("""COMPUTED_VALUE"""),"")</f>
        <v/>
      </c>
      <c r="B17886" s="87"/>
      <c r="C17886" s="87"/>
      <c r="D17886" s="87"/>
      <c r="E17886" s="87"/>
      <c r="F17886" s="87"/>
      <c r="G17886" s="87"/>
    </row>
    <row r="17887">
      <c r="A17887" s="86" t="str">
        <f>IFERROR(__xludf.DUMMYFUNCTION("""COMPUTED_VALUE"""),"")</f>
        <v/>
      </c>
      <c r="B17887" s="87"/>
      <c r="C17887" s="87"/>
      <c r="D17887" s="87"/>
      <c r="E17887" s="87"/>
      <c r="F17887" s="87"/>
      <c r="G17887" s="87"/>
    </row>
    <row r="17888">
      <c r="A17888" s="86" t="str">
        <f>IFERROR(__xludf.DUMMYFUNCTION("""COMPUTED_VALUE"""),"")</f>
        <v/>
      </c>
      <c r="B17888" s="87"/>
      <c r="C17888" s="87"/>
      <c r="D17888" s="87"/>
      <c r="E17888" s="87"/>
      <c r="F17888" s="87"/>
      <c r="G17888" s="87"/>
    </row>
    <row r="17889">
      <c r="A17889" s="86" t="str">
        <f>IFERROR(__xludf.DUMMYFUNCTION("""COMPUTED_VALUE"""),"")</f>
        <v/>
      </c>
      <c r="B17889" s="87"/>
      <c r="C17889" s="87"/>
      <c r="D17889" s="87"/>
      <c r="E17889" s="87"/>
      <c r="F17889" s="87"/>
      <c r="G17889" s="87"/>
    </row>
    <row r="17890">
      <c r="A17890" s="86" t="str">
        <f>IFERROR(__xludf.DUMMYFUNCTION("""COMPUTED_VALUE"""),"")</f>
        <v/>
      </c>
      <c r="B17890" s="87"/>
      <c r="C17890" s="87"/>
      <c r="D17890" s="87"/>
      <c r="E17890" s="87"/>
      <c r="F17890" s="87"/>
      <c r="G17890" s="87"/>
    </row>
    <row r="17891">
      <c r="A17891" s="86" t="str">
        <f>IFERROR(__xludf.DUMMYFUNCTION("""COMPUTED_VALUE"""),"")</f>
        <v/>
      </c>
      <c r="B17891" s="87"/>
      <c r="C17891" s="87"/>
      <c r="D17891" s="87"/>
      <c r="E17891" s="87"/>
      <c r="F17891" s="87"/>
      <c r="G17891" s="87"/>
    </row>
    <row r="17892">
      <c r="A17892" s="86" t="str">
        <f>IFERROR(__xludf.DUMMYFUNCTION("""COMPUTED_VALUE"""),"")</f>
        <v/>
      </c>
      <c r="B17892" s="87"/>
      <c r="C17892" s="87"/>
      <c r="D17892" s="87"/>
      <c r="E17892" s="87"/>
      <c r="F17892" s="87"/>
      <c r="G17892" s="87"/>
    </row>
    <row r="17893">
      <c r="A17893" s="86" t="str">
        <f>IFERROR(__xludf.DUMMYFUNCTION("""COMPUTED_VALUE"""),"")</f>
        <v/>
      </c>
      <c r="B17893" s="87"/>
      <c r="C17893" s="87"/>
      <c r="D17893" s="87"/>
      <c r="E17893" s="87"/>
      <c r="F17893" s="87"/>
      <c r="G17893" s="87"/>
    </row>
    <row r="17894">
      <c r="A17894" s="86" t="str">
        <f>IFERROR(__xludf.DUMMYFUNCTION("""COMPUTED_VALUE"""),"")</f>
        <v/>
      </c>
      <c r="B17894" s="87"/>
      <c r="C17894" s="87"/>
      <c r="D17894" s="87"/>
      <c r="E17894" s="87"/>
      <c r="F17894" s="87"/>
      <c r="G17894" s="87"/>
    </row>
    <row r="17895">
      <c r="A17895" s="86" t="str">
        <f>IFERROR(__xludf.DUMMYFUNCTION("""COMPUTED_VALUE"""),"")</f>
        <v/>
      </c>
      <c r="B17895" s="87"/>
      <c r="C17895" s="87"/>
      <c r="D17895" s="87"/>
      <c r="E17895" s="87"/>
      <c r="F17895" s="87"/>
      <c r="G17895" s="87"/>
    </row>
    <row r="17896">
      <c r="A17896" s="86" t="str">
        <f>IFERROR(__xludf.DUMMYFUNCTION("""COMPUTED_VALUE"""),"")</f>
        <v/>
      </c>
      <c r="B17896" s="87"/>
      <c r="C17896" s="87"/>
      <c r="D17896" s="87"/>
      <c r="E17896" s="87"/>
      <c r="F17896" s="87"/>
      <c r="G17896" s="87"/>
    </row>
    <row r="17897">
      <c r="A17897" s="86" t="str">
        <f>IFERROR(__xludf.DUMMYFUNCTION("""COMPUTED_VALUE"""),"")</f>
        <v/>
      </c>
      <c r="B17897" s="87"/>
      <c r="C17897" s="87"/>
      <c r="D17897" s="87"/>
      <c r="E17897" s="87"/>
      <c r="F17897" s="87"/>
      <c r="G17897" s="87"/>
    </row>
    <row r="17898">
      <c r="A17898" s="86" t="str">
        <f>IFERROR(__xludf.DUMMYFUNCTION("""COMPUTED_VALUE"""),"")</f>
        <v/>
      </c>
      <c r="B17898" s="87"/>
      <c r="C17898" s="87"/>
      <c r="D17898" s="87"/>
      <c r="E17898" s="87"/>
      <c r="F17898" s="87"/>
      <c r="G17898" s="87"/>
    </row>
    <row r="17899">
      <c r="A17899" s="86" t="str">
        <f>IFERROR(__xludf.DUMMYFUNCTION("""COMPUTED_VALUE"""),"")</f>
        <v/>
      </c>
      <c r="B17899" s="87"/>
      <c r="C17899" s="87"/>
      <c r="D17899" s="87"/>
      <c r="E17899" s="87"/>
      <c r="F17899" s="87"/>
      <c r="G17899" s="87"/>
    </row>
    <row r="17900">
      <c r="A17900" s="86" t="str">
        <f>IFERROR(__xludf.DUMMYFUNCTION("""COMPUTED_VALUE"""),"")</f>
        <v/>
      </c>
      <c r="B17900" s="87"/>
      <c r="C17900" s="87"/>
      <c r="D17900" s="87"/>
      <c r="E17900" s="87"/>
      <c r="F17900" s="87"/>
      <c r="G17900" s="87"/>
    </row>
    <row r="17901">
      <c r="A17901" s="86" t="str">
        <f>IFERROR(__xludf.DUMMYFUNCTION("""COMPUTED_VALUE"""),"")</f>
        <v/>
      </c>
      <c r="B17901" s="87"/>
      <c r="C17901" s="87"/>
      <c r="D17901" s="87"/>
      <c r="E17901" s="87"/>
      <c r="F17901" s="87"/>
      <c r="G17901" s="87"/>
    </row>
    <row r="17902">
      <c r="A17902" s="86" t="str">
        <f>IFERROR(__xludf.DUMMYFUNCTION("""COMPUTED_VALUE"""),"")</f>
        <v/>
      </c>
      <c r="B17902" s="87"/>
      <c r="C17902" s="87"/>
      <c r="D17902" s="87"/>
      <c r="E17902" s="87"/>
      <c r="F17902" s="87"/>
      <c r="G17902" s="87"/>
    </row>
    <row r="17903">
      <c r="A17903" s="86" t="str">
        <f>IFERROR(__xludf.DUMMYFUNCTION("""COMPUTED_VALUE"""),"")</f>
        <v/>
      </c>
      <c r="B17903" s="87"/>
      <c r="C17903" s="87"/>
      <c r="D17903" s="87"/>
      <c r="E17903" s="87"/>
      <c r="F17903" s="87"/>
      <c r="G17903" s="87"/>
    </row>
    <row r="17904">
      <c r="A17904" s="86" t="str">
        <f>IFERROR(__xludf.DUMMYFUNCTION("""COMPUTED_VALUE"""),"")</f>
        <v/>
      </c>
      <c r="B17904" s="87"/>
      <c r="C17904" s="87"/>
      <c r="D17904" s="87"/>
      <c r="E17904" s="87"/>
      <c r="F17904" s="87"/>
      <c r="G17904" s="87"/>
    </row>
    <row r="17905">
      <c r="A17905" s="86" t="str">
        <f>IFERROR(__xludf.DUMMYFUNCTION("""COMPUTED_VALUE"""),"")</f>
        <v/>
      </c>
      <c r="B17905" s="87"/>
      <c r="C17905" s="87"/>
      <c r="D17905" s="87"/>
      <c r="E17905" s="87"/>
      <c r="F17905" s="87"/>
      <c r="G17905" s="87"/>
    </row>
    <row r="17906">
      <c r="A17906" s="86" t="str">
        <f>IFERROR(__xludf.DUMMYFUNCTION("""COMPUTED_VALUE"""),"")</f>
        <v/>
      </c>
      <c r="B17906" s="87"/>
      <c r="C17906" s="87"/>
      <c r="D17906" s="87"/>
      <c r="E17906" s="87"/>
      <c r="F17906" s="87"/>
      <c r="G17906" s="87"/>
    </row>
    <row r="17907">
      <c r="A17907" s="86" t="str">
        <f>IFERROR(__xludf.DUMMYFUNCTION("""COMPUTED_VALUE"""),"")</f>
        <v/>
      </c>
      <c r="B17907" s="87"/>
      <c r="C17907" s="87"/>
      <c r="D17907" s="87"/>
      <c r="E17907" s="87"/>
      <c r="F17907" s="87"/>
      <c r="G17907" s="87"/>
    </row>
    <row r="17908">
      <c r="A17908" s="86" t="str">
        <f>IFERROR(__xludf.DUMMYFUNCTION("""COMPUTED_VALUE"""),"")</f>
        <v/>
      </c>
      <c r="B17908" s="87"/>
      <c r="C17908" s="87"/>
      <c r="D17908" s="87"/>
      <c r="E17908" s="87"/>
      <c r="F17908" s="87"/>
      <c r="G17908" s="87"/>
    </row>
    <row r="17909">
      <c r="A17909" s="86" t="str">
        <f>IFERROR(__xludf.DUMMYFUNCTION("""COMPUTED_VALUE"""),"")</f>
        <v/>
      </c>
      <c r="B17909" s="87"/>
      <c r="C17909" s="87"/>
      <c r="D17909" s="87"/>
      <c r="E17909" s="87"/>
      <c r="F17909" s="87"/>
      <c r="G17909" s="87"/>
    </row>
    <row r="17910">
      <c r="A17910" s="86" t="str">
        <f>IFERROR(__xludf.DUMMYFUNCTION("""COMPUTED_VALUE"""),"")</f>
        <v/>
      </c>
      <c r="B17910" s="87"/>
      <c r="C17910" s="87"/>
      <c r="D17910" s="87"/>
      <c r="E17910" s="87"/>
      <c r="F17910" s="87"/>
      <c r="G17910" s="87"/>
    </row>
    <row r="17911">
      <c r="A17911" s="86" t="str">
        <f>IFERROR(__xludf.DUMMYFUNCTION("""COMPUTED_VALUE"""),"")</f>
        <v/>
      </c>
      <c r="B17911" s="87"/>
      <c r="C17911" s="87"/>
      <c r="D17911" s="87"/>
      <c r="E17911" s="87"/>
      <c r="F17911" s="87"/>
      <c r="G17911" s="87"/>
    </row>
    <row r="17912">
      <c r="A17912" s="86" t="str">
        <f>IFERROR(__xludf.DUMMYFUNCTION("""COMPUTED_VALUE"""),"")</f>
        <v/>
      </c>
      <c r="B17912" s="87"/>
      <c r="C17912" s="87"/>
      <c r="D17912" s="87"/>
      <c r="E17912" s="87"/>
      <c r="F17912" s="87"/>
      <c r="G17912" s="87"/>
    </row>
    <row r="17913">
      <c r="A17913" s="86" t="str">
        <f>IFERROR(__xludf.DUMMYFUNCTION("""COMPUTED_VALUE"""),"")</f>
        <v/>
      </c>
      <c r="B17913" s="87"/>
      <c r="C17913" s="87"/>
      <c r="D17913" s="87"/>
      <c r="E17913" s="87"/>
      <c r="F17913" s="87"/>
      <c r="G17913" s="87"/>
    </row>
    <row r="17914">
      <c r="A17914" s="86" t="str">
        <f>IFERROR(__xludf.DUMMYFUNCTION("""COMPUTED_VALUE"""),"")</f>
        <v/>
      </c>
      <c r="B17914" s="87"/>
      <c r="C17914" s="87"/>
      <c r="D17914" s="87"/>
      <c r="E17914" s="87"/>
      <c r="F17914" s="87"/>
      <c r="G17914" s="87"/>
    </row>
    <row r="17915">
      <c r="A17915" s="86" t="str">
        <f>IFERROR(__xludf.DUMMYFUNCTION("""COMPUTED_VALUE"""),"")</f>
        <v/>
      </c>
      <c r="B17915" s="87"/>
      <c r="C17915" s="87"/>
      <c r="D17915" s="87"/>
      <c r="E17915" s="87"/>
      <c r="F17915" s="87"/>
      <c r="G17915" s="87"/>
    </row>
    <row r="17916">
      <c r="A17916" s="86" t="str">
        <f>IFERROR(__xludf.DUMMYFUNCTION("""COMPUTED_VALUE"""),"")</f>
        <v/>
      </c>
      <c r="B17916" s="87"/>
      <c r="C17916" s="87"/>
      <c r="D17916" s="87"/>
      <c r="E17916" s="87"/>
      <c r="F17916" s="87"/>
      <c r="G17916" s="87"/>
    </row>
    <row r="17917">
      <c r="A17917" s="86" t="str">
        <f>IFERROR(__xludf.DUMMYFUNCTION("""COMPUTED_VALUE"""),"")</f>
        <v/>
      </c>
      <c r="B17917" s="87"/>
      <c r="C17917" s="87"/>
      <c r="D17917" s="87"/>
      <c r="E17917" s="87"/>
      <c r="F17917" s="87"/>
      <c r="G17917" s="87"/>
    </row>
    <row r="17918">
      <c r="A17918" s="86" t="str">
        <f>IFERROR(__xludf.DUMMYFUNCTION("""COMPUTED_VALUE"""),"")</f>
        <v/>
      </c>
      <c r="B17918" s="87"/>
      <c r="C17918" s="87"/>
      <c r="D17918" s="87"/>
      <c r="E17918" s="87"/>
      <c r="F17918" s="87"/>
      <c r="G17918" s="87"/>
    </row>
    <row r="17919">
      <c r="A17919" s="86" t="str">
        <f>IFERROR(__xludf.DUMMYFUNCTION("""COMPUTED_VALUE"""),"")</f>
        <v/>
      </c>
      <c r="B17919" s="87"/>
      <c r="C17919" s="87"/>
      <c r="D17919" s="87"/>
      <c r="E17919" s="87"/>
      <c r="F17919" s="87"/>
      <c r="G17919" s="87"/>
    </row>
    <row r="17920">
      <c r="A17920" s="86" t="str">
        <f>IFERROR(__xludf.DUMMYFUNCTION("""COMPUTED_VALUE"""),"")</f>
        <v/>
      </c>
      <c r="B17920" s="87"/>
      <c r="C17920" s="87"/>
      <c r="D17920" s="87"/>
      <c r="E17920" s="87"/>
      <c r="F17920" s="87"/>
      <c r="G17920" s="87"/>
    </row>
    <row r="17921">
      <c r="A17921" s="86" t="str">
        <f>IFERROR(__xludf.DUMMYFUNCTION("""COMPUTED_VALUE"""),"")</f>
        <v/>
      </c>
      <c r="B17921" s="87"/>
      <c r="C17921" s="87"/>
      <c r="D17921" s="87"/>
      <c r="E17921" s="87"/>
      <c r="F17921" s="87"/>
      <c r="G17921" s="87"/>
    </row>
    <row r="17922">
      <c r="A17922" s="86" t="str">
        <f>IFERROR(__xludf.DUMMYFUNCTION("""COMPUTED_VALUE"""),"")</f>
        <v/>
      </c>
      <c r="B17922" s="87"/>
      <c r="C17922" s="87"/>
      <c r="D17922" s="87"/>
      <c r="E17922" s="87"/>
      <c r="F17922" s="87"/>
      <c r="G17922" s="87"/>
    </row>
    <row r="17923">
      <c r="A17923" s="86" t="str">
        <f>IFERROR(__xludf.DUMMYFUNCTION("""COMPUTED_VALUE"""),"")</f>
        <v/>
      </c>
      <c r="B17923" s="87"/>
      <c r="C17923" s="87"/>
      <c r="D17923" s="87"/>
      <c r="E17923" s="87"/>
      <c r="F17923" s="87"/>
      <c r="G17923" s="87"/>
    </row>
    <row r="17924">
      <c r="A17924" s="86" t="str">
        <f>IFERROR(__xludf.DUMMYFUNCTION("""COMPUTED_VALUE"""),"")</f>
        <v/>
      </c>
      <c r="B17924" s="87"/>
      <c r="C17924" s="87"/>
      <c r="D17924" s="87"/>
      <c r="E17924" s="87"/>
      <c r="F17924" s="87"/>
      <c r="G17924" s="87"/>
    </row>
    <row r="17925">
      <c r="A17925" s="86" t="str">
        <f>IFERROR(__xludf.DUMMYFUNCTION("""COMPUTED_VALUE"""),"")</f>
        <v/>
      </c>
      <c r="B17925" s="87"/>
      <c r="C17925" s="87"/>
      <c r="D17925" s="87"/>
      <c r="E17925" s="87"/>
      <c r="F17925" s="87"/>
      <c r="G17925" s="87"/>
    </row>
    <row r="17926">
      <c r="A17926" s="86" t="str">
        <f>IFERROR(__xludf.DUMMYFUNCTION("""COMPUTED_VALUE"""),"")</f>
        <v/>
      </c>
      <c r="B17926" s="87"/>
      <c r="C17926" s="87"/>
      <c r="D17926" s="87"/>
      <c r="E17926" s="87"/>
      <c r="F17926" s="87"/>
      <c r="G17926" s="87"/>
    </row>
    <row r="17927">
      <c r="A17927" s="86" t="str">
        <f>IFERROR(__xludf.DUMMYFUNCTION("""COMPUTED_VALUE"""),"")</f>
        <v/>
      </c>
      <c r="B17927" s="87"/>
      <c r="C17927" s="87"/>
      <c r="D17927" s="87"/>
      <c r="E17927" s="87"/>
      <c r="F17927" s="87"/>
      <c r="G17927" s="87"/>
    </row>
    <row r="17928">
      <c r="A17928" s="86" t="str">
        <f>IFERROR(__xludf.DUMMYFUNCTION("""COMPUTED_VALUE"""),"")</f>
        <v/>
      </c>
      <c r="B17928" s="87"/>
      <c r="C17928" s="87"/>
      <c r="D17928" s="87"/>
      <c r="E17928" s="87"/>
      <c r="F17928" s="87"/>
      <c r="G17928" s="87"/>
    </row>
    <row r="17929">
      <c r="A17929" s="86" t="str">
        <f>IFERROR(__xludf.DUMMYFUNCTION("""COMPUTED_VALUE"""),"")</f>
        <v/>
      </c>
      <c r="B17929" s="87"/>
      <c r="C17929" s="87"/>
      <c r="D17929" s="87"/>
      <c r="E17929" s="87"/>
      <c r="F17929" s="87"/>
      <c r="G17929" s="87"/>
    </row>
    <row r="17930">
      <c r="A17930" s="86" t="str">
        <f>IFERROR(__xludf.DUMMYFUNCTION("""COMPUTED_VALUE"""),"")</f>
        <v/>
      </c>
      <c r="B17930" s="87"/>
      <c r="C17930" s="87"/>
      <c r="D17930" s="87"/>
      <c r="E17930" s="87"/>
      <c r="F17930" s="87"/>
      <c r="G17930" s="87"/>
    </row>
    <row r="17931">
      <c r="A17931" s="86" t="str">
        <f>IFERROR(__xludf.DUMMYFUNCTION("""COMPUTED_VALUE"""),"")</f>
        <v/>
      </c>
      <c r="B17931" s="87"/>
      <c r="C17931" s="87"/>
      <c r="D17931" s="87"/>
      <c r="E17931" s="87"/>
      <c r="F17931" s="87"/>
      <c r="G17931" s="87"/>
    </row>
    <row r="17932">
      <c r="A17932" s="86" t="str">
        <f>IFERROR(__xludf.DUMMYFUNCTION("""COMPUTED_VALUE"""),"")</f>
        <v/>
      </c>
      <c r="B17932" s="87"/>
      <c r="C17932" s="87"/>
      <c r="D17932" s="87"/>
      <c r="E17932" s="87"/>
      <c r="F17932" s="87"/>
      <c r="G17932" s="87"/>
    </row>
    <row r="17933">
      <c r="A17933" s="86" t="str">
        <f>IFERROR(__xludf.DUMMYFUNCTION("""COMPUTED_VALUE"""),"")</f>
        <v/>
      </c>
      <c r="B17933" s="87"/>
      <c r="C17933" s="87"/>
      <c r="D17933" s="87"/>
      <c r="E17933" s="87"/>
      <c r="F17933" s="87"/>
      <c r="G17933" s="87"/>
    </row>
    <row r="17934">
      <c r="A17934" s="86" t="str">
        <f>IFERROR(__xludf.DUMMYFUNCTION("""COMPUTED_VALUE"""),"")</f>
        <v/>
      </c>
      <c r="B17934" s="87"/>
      <c r="C17934" s="87"/>
      <c r="D17934" s="87"/>
      <c r="E17934" s="87"/>
      <c r="F17934" s="87"/>
      <c r="G17934" s="87"/>
    </row>
    <row r="17935">
      <c r="A17935" s="86" t="str">
        <f>IFERROR(__xludf.DUMMYFUNCTION("""COMPUTED_VALUE"""),"")</f>
        <v/>
      </c>
      <c r="B17935" s="87"/>
      <c r="C17935" s="87"/>
      <c r="D17935" s="87"/>
      <c r="E17935" s="87"/>
      <c r="F17935" s="87"/>
      <c r="G17935" s="87"/>
    </row>
    <row r="17936">
      <c r="A17936" s="86" t="str">
        <f>IFERROR(__xludf.DUMMYFUNCTION("""COMPUTED_VALUE"""),"")</f>
        <v/>
      </c>
      <c r="B17936" s="87"/>
      <c r="C17936" s="87"/>
      <c r="D17936" s="87"/>
      <c r="E17936" s="87"/>
      <c r="F17936" s="87"/>
      <c r="G17936" s="87"/>
    </row>
    <row r="17937">
      <c r="A17937" s="86" t="str">
        <f>IFERROR(__xludf.DUMMYFUNCTION("""COMPUTED_VALUE"""),"")</f>
        <v/>
      </c>
      <c r="B17937" s="87"/>
      <c r="C17937" s="87"/>
      <c r="D17937" s="87"/>
      <c r="E17937" s="87"/>
      <c r="F17937" s="87"/>
      <c r="G17937" s="87"/>
    </row>
    <row r="17938">
      <c r="A17938" s="86" t="str">
        <f>IFERROR(__xludf.DUMMYFUNCTION("""COMPUTED_VALUE"""),"")</f>
        <v/>
      </c>
      <c r="B17938" s="87"/>
      <c r="C17938" s="87"/>
      <c r="D17938" s="87"/>
      <c r="E17938" s="87"/>
      <c r="F17938" s="87"/>
      <c r="G17938" s="87"/>
    </row>
    <row r="17939">
      <c r="A17939" s="86" t="str">
        <f>IFERROR(__xludf.DUMMYFUNCTION("""COMPUTED_VALUE"""),"")</f>
        <v/>
      </c>
      <c r="B17939" s="87"/>
      <c r="C17939" s="87"/>
      <c r="D17939" s="87"/>
      <c r="E17939" s="87"/>
      <c r="F17939" s="87"/>
      <c r="G17939" s="87"/>
    </row>
    <row r="17940">
      <c r="A17940" s="86" t="str">
        <f>IFERROR(__xludf.DUMMYFUNCTION("""COMPUTED_VALUE"""),"")</f>
        <v/>
      </c>
      <c r="B17940" s="87"/>
      <c r="C17940" s="87"/>
      <c r="D17940" s="87"/>
      <c r="E17940" s="87"/>
      <c r="F17940" s="87"/>
      <c r="G17940" s="87"/>
    </row>
    <row r="17941">
      <c r="A17941" s="86" t="str">
        <f>IFERROR(__xludf.DUMMYFUNCTION("""COMPUTED_VALUE"""),"")</f>
        <v/>
      </c>
      <c r="B17941" s="87"/>
      <c r="C17941" s="87"/>
      <c r="D17941" s="87"/>
      <c r="E17941" s="87"/>
      <c r="F17941" s="87"/>
      <c r="G17941" s="87"/>
    </row>
    <row r="17942">
      <c r="A17942" s="86" t="str">
        <f>IFERROR(__xludf.DUMMYFUNCTION("""COMPUTED_VALUE"""),"")</f>
        <v/>
      </c>
      <c r="B17942" s="87"/>
      <c r="C17942" s="87"/>
      <c r="D17942" s="87"/>
      <c r="E17942" s="87"/>
      <c r="F17942" s="87"/>
      <c r="G17942" s="87"/>
    </row>
    <row r="17943">
      <c r="A17943" s="86" t="str">
        <f>IFERROR(__xludf.DUMMYFUNCTION("""COMPUTED_VALUE"""),"")</f>
        <v/>
      </c>
      <c r="B17943" s="87"/>
      <c r="C17943" s="87"/>
      <c r="D17943" s="87"/>
      <c r="E17943" s="87"/>
      <c r="F17943" s="87"/>
      <c r="G17943" s="87"/>
    </row>
    <row r="17944">
      <c r="A17944" s="86" t="str">
        <f>IFERROR(__xludf.DUMMYFUNCTION("""COMPUTED_VALUE"""),"")</f>
        <v/>
      </c>
      <c r="B17944" s="87"/>
      <c r="C17944" s="87"/>
      <c r="D17944" s="87"/>
      <c r="E17944" s="87"/>
      <c r="F17944" s="87"/>
      <c r="G17944" s="87"/>
    </row>
    <row r="17945">
      <c r="A17945" s="86" t="str">
        <f>IFERROR(__xludf.DUMMYFUNCTION("""COMPUTED_VALUE"""),"")</f>
        <v/>
      </c>
      <c r="B17945" s="87"/>
      <c r="C17945" s="87"/>
      <c r="D17945" s="87"/>
      <c r="E17945" s="87"/>
      <c r="F17945" s="87"/>
      <c r="G17945" s="87"/>
    </row>
    <row r="17946">
      <c r="A17946" s="86" t="str">
        <f>IFERROR(__xludf.DUMMYFUNCTION("""COMPUTED_VALUE"""),"")</f>
        <v/>
      </c>
      <c r="B17946" s="87"/>
      <c r="C17946" s="87"/>
      <c r="D17946" s="87"/>
      <c r="E17946" s="87"/>
      <c r="F17946" s="87"/>
      <c r="G17946" s="87"/>
    </row>
    <row r="17947">
      <c r="A17947" s="86" t="str">
        <f>IFERROR(__xludf.DUMMYFUNCTION("""COMPUTED_VALUE"""),"")</f>
        <v/>
      </c>
      <c r="B17947" s="87"/>
      <c r="C17947" s="87"/>
      <c r="D17947" s="87"/>
      <c r="E17947" s="87"/>
      <c r="F17947" s="87"/>
      <c r="G17947" s="87"/>
    </row>
    <row r="17948">
      <c r="A17948" s="86" t="str">
        <f>IFERROR(__xludf.DUMMYFUNCTION("""COMPUTED_VALUE"""),"")</f>
        <v/>
      </c>
      <c r="B17948" s="87"/>
      <c r="C17948" s="87"/>
      <c r="D17948" s="87"/>
      <c r="E17948" s="87"/>
      <c r="F17948" s="87"/>
      <c r="G17948" s="87"/>
    </row>
    <row r="17949">
      <c r="A17949" s="86" t="str">
        <f>IFERROR(__xludf.DUMMYFUNCTION("""COMPUTED_VALUE"""),"")</f>
        <v/>
      </c>
      <c r="B17949" s="87"/>
      <c r="C17949" s="87"/>
      <c r="D17949" s="87"/>
      <c r="E17949" s="87"/>
      <c r="F17949" s="87"/>
      <c r="G17949" s="87"/>
    </row>
    <row r="17950">
      <c r="A17950" s="86" t="str">
        <f>IFERROR(__xludf.DUMMYFUNCTION("""COMPUTED_VALUE"""),"")</f>
        <v/>
      </c>
      <c r="B17950" s="87"/>
      <c r="C17950" s="87"/>
      <c r="D17950" s="87"/>
      <c r="E17950" s="87"/>
      <c r="F17950" s="87"/>
      <c r="G17950" s="87"/>
    </row>
    <row r="17951">
      <c r="A17951" s="86" t="str">
        <f>IFERROR(__xludf.DUMMYFUNCTION("""COMPUTED_VALUE"""),"")</f>
        <v/>
      </c>
      <c r="B17951" s="87"/>
      <c r="C17951" s="87"/>
      <c r="D17951" s="87"/>
      <c r="E17951" s="87"/>
      <c r="F17951" s="87"/>
      <c r="G17951" s="87"/>
    </row>
    <row r="17952">
      <c r="A17952" s="86" t="str">
        <f>IFERROR(__xludf.DUMMYFUNCTION("""COMPUTED_VALUE"""),"")</f>
        <v/>
      </c>
      <c r="B17952" s="87"/>
      <c r="C17952" s="87"/>
      <c r="D17952" s="87"/>
      <c r="E17952" s="87"/>
      <c r="F17952" s="87"/>
      <c r="G17952" s="87"/>
    </row>
    <row r="17953">
      <c r="A17953" s="86" t="str">
        <f>IFERROR(__xludf.DUMMYFUNCTION("""COMPUTED_VALUE"""),"")</f>
        <v/>
      </c>
      <c r="B17953" s="87"/>
      <c r="C17953" s="87"/>
      <c r="D17953" s="87"/>
      <c r="E17953" s="87"/>
      <c r="F17953" s="87"/>
      <c r="G17953" s="87"/>
    </row>
    <row r="17954">
      <c r="A17954" s="86" t="str">
        <f>IFERROR(__xludf.DUMMYFUNCTION("""COMPUTED_VALUE"""),"")</f>
        <v/>
      </c>
      <c r="B17954" s="87"/>
      <c r="C17954" s="87"/>
      <c r="D17954" s="87"/>
      <c r="E17954" s="87"/>
      <c r="F17954" s="87"/>
      <c r="G17954" s="87"/>
    </row>
    <row r="17955">
      <c r="A17955" s="86" t="str">
        <f>IFERROR(__xludf.DUMMYFUNCTION("""COMPUTED_VALUE"""),"")</f>
        <v/>
      </c>
      <c r="B17955" s="87"/>
      <c r="C17955" s="87"/>
      <c r="D17955" s="87"/>
      <c r="E17955" s="87"/>
      <c r="F17955" s="87"/>
      <c r="G17955" s="87"/>
    </row>
    <row r="17956">
      <c r="A17956" s="86" t="str">
        <f>IFERROR(__xludf.DUMMYFUNCTION("""COMPUTED_VALUE"""),"")</f>
        <v/>
      </c>
      <c r="B17956" s="87"/>
      <c r="C17956" s="87"/>
      <c r="D17956" s="87"/>
      <c r="E17956" s="87"/>
      <c r="F17956" s="87"/>
      <c r="G17956" s="87"/>
    </row>
    <row r="17957">
      <c r="A17957" s="86" t="str">
        <f>IFERROR(__xludf.DUMMYFUNCTION("""COMPUTED_VALUE"""),"")</f>
        <v/>
      </c>
      <c r="B17957" s="87"/>
      <c r="C17957" s="87"/>
      <c r="D17957" s="87"/>
      <c r="E17957" s="87"/>
      <c r="F17957" s="87"/>
      <c r="G17957" s="87"/>
    </row>
    <row r="17958">
      <c r="A17958" s="86" t="str">
        <f>IFERROR(__xludf.DUMMYFUNCTION("""COMPUTED_VALUE"""),"")</f>
        <v/>
      </c>
      <c r="B17958" s="87"/>
      <c r="C17958" s="87"/>
      <c r="D17958" s="87"/>
      <c r="E17958" s="87"/>
      <c r="F17958" s="87"/>
      <c r="G17958" s="87"/>
    </row>
    <row r="17959">
      <c r="A17959" s="86" t="str">
        <f>IFERROR(__xludf.DUMMYFUNCTION("""COMPUTED_VALUE"""),"")</f>
        <v/>
      </c>
      <c r="B17959" s="87"/>
      <c r="C17959" s="87"/>
      <c r="D17959" s="87"/>
      <c r="E17959" s="87"/>
      <c r="F17959" s="87"/>
      <c r="G17959" s="87"/>
    </row>
    <row r="17960">
      <c r="A17960" s="86" t="str">
        <f>IFERROR(__xludf.DUMMYFUNCTION("""COMPUTED_VALUE"""),"")</f>
        <v/>
      </c>
      <c r="B17960" s="87"/>
      <c r="C17960" s="87"/>
      <c r="D17960" s="87"/>
      <c r="E17960" s="87"/>
      <c r="F17960" s="87"/>
      <c r="G17960" s="87"/>
    </row>
    <row r="17961">
      <c r="A17961" s="86" t="str">
        <f>IFERROR(__xludf.DUMMYFUNCTION("""COMPUTED_VALUE"""),"")</f>
        <v/>
      </c>
      <c r="B17961" s="87"/>
      <c r="C17961" s="87"/>
      <c r="D17961" s="87"/>
      <c r="E17961" s="87"/>
      <c r="F17961" s="87"/>
      <c r="G17961" s="87"/>
    </row>
    <row r="17962">
      <c r="A17962" s="86" t="str">
        <f>IFERROR(__xludf.DUMMYFUNCTION("""COMPUTED_VALUE"""),"")</f>
        <v/>
      </c>
      <c r="B17962" s="87"/>
      <c r="C17962" s="87"/>
      <c r="D17962" s="87"/>
      <c r="E17962" s="87"/>
      <c r="F17962" s="87"/>
      <c r="G17962" s="87"/>
    </row>
    <row r="17963">
      <c r="A17963" s="86" t="str">
        <f>IFERROR(__xludf.DUMMYFUNCTION("""COMPUTED_VALUE"""),"")</f>
        <v/>
      </c>
      <c r="B17963" s="87"/>
      <c r="C17963" s="87"/>
      <c r="D17963" s="87"/>
      <c r="E17963" s="87"/>
      <c r="F17963" s="87"/>
      <c r="G17963" s="87"/>
    </row>
    <row r="17964">
      <c r="A17964" s="86" t="str">
        <f>IFERROR(__xludf.DUMMYFUNCTION("""COMPUTED_VALUE"""),"")</f>
        <v/>
      </c>
      <c r="B17964" s="87"/>
      <c r="C17964" s="87"/>
      <c r="D17964" s="87"/>
      <c r="E17964" s="87"/>
      <c r="F17964" s="87"/>
      <c r="G17964" s="87"/>
    </row>
    <row r="17965">
      <c r="A17965" s="86" t="str">
        <f>IFERROR(__xludf.DUMMYFUNCTION("""COMPUTED_VALUE"""),"")</f>
        <v/>
      </c>
      <c r="B17965" s="87"/>
      <c r="C17965" s="87"/>
      <c r="D17965" s="87"/>
      <c r="E17965" s="87"/>
      <c r="F17965" s="87"/>
      <c r="G17965" s="87"/>
    </row>
    <row r="17966">
      <c r="A17966" s="86" t="str">
        <f>IFERROR(__xludf.DUMMYFUNCTION("""COMPUTED_VALUE"""),"")</f>
        <v/>
      </c>
      <c r="B17966" s="87"/>
      <c r="C17966" s="87"/>
      <c r="D17966" s="87"/>
      <c r="E17966" s="87"/>
      <c r="F17966" s="87"/>
      <c r="G17966" s="87"/>
    </row>
    <row r="17967">
      <c r="A17967" s="86" t="str">
        <f>IFERROR(__xludf.DUMMYFUNCTION("""COMPUTED_VALUE"""),"")</f>
        <v/>
      </c>
      <c r="B17967" s="87"/>
      <c r="C17967" s="87"/>
      <c r="D17967" s="87"/>
      <c r="E17967" s="87"/>
      <c r="F17967" s="87"/>
      <c r="G17967" s="87"/>
    </row>
    <row r="17968">
      <c r="A17968" s="86" t="str">
        <f>IFERROR(__xludf.DUMMYFUNCTION("""COMPUTED_VALUE"""),"")</f>
        <v/>
      </c>
      <c r="B17968" s="87"/>
      <c r="C17968" s="87"/>
      <c r="D17968" s="87"/>
      <c r="E17968" s="87"/>
      <c r="F17968" s="87"/>
      <c r="G17968" s="87"/>
    </row>
    <row r="17969">
      <c r="A17969" s="86" t="str">
        <f>IFERROR(__xludf.DUMMYFUNCTION("""COMPUTED_VALUE"""),"")</f>
        <v/>
      </c>
      <c r="B17969" s="87"/>
      <c r="C17969" s="87"/>
      <c r="D17969" s="87"/>
      <c r="E17969" s="87"/>
      <c r="F17969" s="87"/>
      <c r="G17969" s="87"/>
    </row>
    <row r="17970">
      <c r="A17970" s="86" t="str">
        <f>IFERROR(__xludf.DUMMYFUNCTION("""COMPUTED_VALUE"""),"")</f>
        <v/>
      </c>
      <c r="B17970" s="87"/>
      <c r="C17970" s="87"/>
      <c r="D17970" s="87"/>
      <c r="E17970" s="87"/>
      <c r="F17970" s="87"/>
      <c r="G17970" s="87"/>
    </row>
    <row r="17971">
      <c r="A17971" s="86" t="str">
        <f>IFERROR(__xludf.DUMMYFUNCTION("""COMPUTED_VALUE"""),"")</f>
        <v/>
      </c>
      <c r="B17971" s="87"/>
      <c r="C17971" s="87"/>
      <c r="D17971" s="87"/>
      <c r="E17971" s="87"/>
      <c r="F17971" s="87"/>
      <c r="G17971" s="87"/>
    </row>
    <row r="17972">
      <c r="A17972" s="86" t="str">
        <f>IFERROR(__xludf.DUMMYFUNCTION("""COMPUTED_VALUE"""),"")</f>
        <v/>
      </c>
      <c r="B17972" s="87"/>
      <c r="C17972" s="87"/>
      <c r="D17972" s="87"/>
      <c r="E17972" s="87"/>
      <c r="F17972" s="87"/>
      <c r="G17972" s="87"/>
    </row>
    <row r="17973">
      <c r="A17973" s="86" t="str">
        <f>IFERROR(__xludf.DUMMYFUNCTION("""COMPUTED_VALUE"""),"")</f>
        <v/>
      </c>
      <c r="B17973" s="87"/>
      <c r="C17973" s="87"/>
      <c r="D17973" s="87"/>
      <c r="E17973" s="87"/>
      <c r="F17973" s="87"/>
      <c r="G17973" s="87"/>
    </row>
    <row r="17974">
      <c r="A17974" s="86" t="str">
        <f>IFERROR(__xludf.DUMMYFUNCTION("""COMPUTED_VALUE"""),"")</f>
        <v/>
      </c>
      <c r="B17974" s="87"/>
      <c r="C17974" s="87"/>
      <c r="D17974" s="87"/>
      <c r="E17974" s="87"/>
      <c r="F17974" s="87"/>
      <c r="G17974" s="87"/>
    </row>
    <row r="17975">
      <c r="A17975" s="86" t="str">
        <f>IFERROR(__xludf.DUMMYFUNCTION("""COMPUTED_VALUE"""),"")</f>
        <v/>
      </c>
      <c r="B17975" s="87"/>
      <c r="C17975" s="87"/>
      <c r="D17975" s="87"/>
      <c r="E17975" s="87"/>
      <c r="F17975" s="87"/>
      <c r="G17975" s="87"/>
    </row>
    <row r="17976">
      <c r="A17976" s="86" t="str">
        <f>IFERROR(__xludf.DUMMYFUNCTION("""COMPUTED_VALUE"""),"")</f>
        <v/>
      </c>
      <c r="B17976" s="87"/>
      <c r="C17976" s="87"/>
      <c r="D17976" s="87"/>
      <c r="E17976" s="87"/>
      <c r="F17976" s="87"/>
      <c r="G17976" s="87"/>
    </row>
    <row r="17977">
      <c r="A17977" s="86" t="str">
        <f>IFERROR(__xludf.DUMMYFUNCTION("""COMPUTED_VALUE"""),"")</f>
        <v/>
      </c>
      <c r="B17977" s="87"/>
      <c r="C17977" s="87"/>
      <c r="D17977" s="87"/>
      <c r="E17977" s="87"/>
      <c r="F17977" s="87"/>
      <c r="G17977" s="87"/>
    </row>
    <row r="17978">
      <c r="A17978" s="86" t="str">
        <f>IFERROR(__xludf.DUMMYFUNCTION("""COMPUTED_VALUE"""),"")</f>
        <v/>
      </c>
      <c r="B17978" s="87"/>
      <c r="C17978" s="87"/>
      <c r="D17978" s="87"/>
      <c r="E17978" s="87"/>
      <c r="F17978" s="87"/>
      <c r="G17978" s="87"/>
    </row>
    <row r="17979">
      <c r="A17979" s="86" t="str">
        <f>IFERROR(__xludf.DUMMYFUNCTION("""COMPUTED_VALUE"""),"")</f>
        <v/>
      </c>
      <c r="B17979" s="87"/>
      <c r="C17979" s="87"/>
      <c r="D17979" s="87"/>
      <c r="E17979" s="87"/>
      <c r="F17979" s="87"/>
      <c r="G17979" s="87"/>
    </row>
    <row r="17980">
      <c r="A17980" s="86" t="str">
        <f>IFERROR(__xludf.DUMMYFUNCTION("""COMPUTED_VALUE"""),"")</f>
        <v/>
      </c>
      <c r="B17980" s="87"/>
      <c r="C17980" s="87"/>
      <c r="D17980" s="87"/>
      <c r="E17980" s="87"/>
      <c r="F17980" s="87"/>
      <c r="G17980" s="87"/>
    </row>
    <row r="17981">
      <c r="A17981" s="86" t="str">
        <f>IFERROR(__xludf.DUMMYFUNCTION("""COMPUTED_VALUE"""),"")</f>
        <v/>
      </c>
      <c r="B17981" s="87"/>
      <c r="C17981" s="87"/>
      <c r="D17981" s="87"/>
      <c r="E17981" s="87"/>
      <c r="F17981" s="87"/>
      <c r="G17981" s="87"/>
    </row>
    <row r="17982">
      <c r="A17982" s="86" t="str">
        <f>IFERROR(__xludf.DUMMYFUNCTION("""COMPUTED_VALUE"""),"")</f>
        <v/>
      </c>
      <c r="B17982" s="87"/>
      <c r="C17982" s="87"/>
      <c r="D17982" s="87"/>
      <c r="E17982" s="87"/>
      <c r="F17982" s="87"/>
      <c r="G17982" s="87"/>
    </row>
    <row r="17983">
      <c r="A17983" s="86" t="str">
        <f>IFERROR(__xludf.DUMMYFUNCTION("""COMPUTED_VALUE"""),"")</f>
        <v/>
      </c>
      <c r="B17983" s="87"/>
      <c r="C17983" s="87"/>
      <c r="D17983" s="87"/>
      <c r="E17983" s="87"/>
      <c r="F17983" s="87"/>
      <c r="G17983" s="87"/>
    </row>
    <row r="17984">
      <c r="A17984" s="86" t="str">
        <f>IFERROR(__xludf.DUMMYFUNCTION("""COMPUTED_VALUE"""),"")</f>
        <v/>
      </c>
      <c r="B17984" s="87"/>
      <c r="C17984" s="87"/>
      <c r="D17984" s="87"/>
      <c r="E17984" s="87"/>
      <c r="F17984" s="87"/>
      <c r="G17984" s="87"/>
    </row>
    <row r="17985">
      <c r="A17985" s="86" t="str">
        <f>IFERROR(__xludf.DUMMYFUNCTION("""COMPUTED_VALUE"""),"")</f>
        <v/>
      </c>
      <c r="B17985" s="87"/>
      <c r="C17985" s="87"/>
      <c r="D17985" s="87"/>
      <c r="E17985" s="87"/>
      <c r="F17985" s="87"/>
      <c r="G17985" s="87"/>
    </row>
    <row r="17986">
      <c r="A17986" s="86" t="str">
        <f>IFERROR(__xludf.DUMMYFUNCTION("""COMPUTED_VALUE"""),"")</f>
        <v/>
      </c>
      <c r="B17986" s="87"/>
      <c r="C17986" s="87"/>
      <c r="D17986" s="87"/>
      <c r="E17986" s="87"/>
      <c r="F17986" s="87"/>
      <c r="G17986" s="87"/>
    </row>
    <row r="17987">
      <c r="A17987" s="86" t="str">
        <f>IFERROR(__xludf.DUMMYFUNCTION("""COMPUTED_VALUE"""),"")</f>
        <v/>
      </c>
      <c r="B17987" s="87"/>
      <c r="C17987" s="87"/>
      <c r="D17987" s="87"/>
      <c r="E17987" s="87"/>
      <c r="F17987" s="87"/>
      <c r="G17987" s="87"/>
    </row>
    <row r="17988">
      <c r="A17988" s="86" t="str">
        <f>IFERROR(__xludf.DUMMYFUNCTION("""COMPUTED_VALUE"""),"")</f>
        <v/>
      </c>
      <c r="B17988" s="87"/>
      <c r="C17988" s="87"/>
      <c r="D17988" s="87"/>
      <c r="E17988" s="87"/>
      <c r="F17988" s="87"/>
      <c r="G17988" s="87"/>
    </row>
    <row r="17989">
      <c r="A17989" s="86" t="str">
        <f>IFERROR(__xludf.DUMMYFUNCTION("""COMPUTED_VALUE"""),"")</f>
        <v/>
      </c>
      <c r="B17989" s="87"/>
      <c r="C17989" s="87"/>
      <c r="D17989" s="87"/>
      <c r="E17989" s="87"/>
      <c r="F17989" s="87"/>
      <c r="G17989" s="87"/>
    </row>
    <row r="17990">
      <c r="A17990" s="86" t="str">
        <f>IFERROR(__xludf.DUMMYFUNCTION("""COMPUTED_VALUE"""),"")</f>
        <v/>
      </c>
      <c r="B17990" s="87"/>
      <c r="C17990" s="87"/>
      <c r="D17990" s="87"/>
      <c r="E17990" s="87"/>
      <c r="F17990" s="87"/>
      <c r="G17990" s="87"/>
    </row>
    <row r="17991">
      <c r="A17991" s="86" t="str">
        <f>IFERROR(__xludf.DUMMYFUNCTION("""COMPUTED_VALUE"""),"")</f>
        <v/>
      </c>
      <c r="B17991" s="87"/>
      <c r="C17991" s="87"/>
      <c r="D17991" s="87"/>
      <c r="E17991" s="87"/>
      <c r="F17991" s="87"/>
      <c r="G17991" s="87"/>
    </row>
    <row r="17992">
      <c r="A17992" s="86" t="str">
        <f>IFERROR(__xludf.DUMMYFUNCTION("""COMPUTED_VALUE"""),"")</f>
        <v/>
      </c>
      <c r="B17992" s="87"/>
      <c r="C17992" s="87"/>
      <c r="D17992" s="87"/>
      <c r="E17992" s="87"/>
      <c r="F17992" s="87"/>
      <c r="G17992" s="87"/>
    </row>
    <row r="17993">
      <c r="A17993" s="86" t="str">
        <f>IFERROR(__xludf.DUMMYFUNCTION("""COMPUTED_VALUE"""),"")</f>
        <v/>
      </c>
      <c r="B17993" s="87"/>
      <c r="C17993" s="87"/>
      <c r="D17993" s="87"/>
      <c r="E17993" s="87"/>
      <c r="F17993" s="87"/>
      <c r="G17993" s="87"/>
    </row>
    <row r="17994">
      <c r="A17994" s="86" t="str">
        <f>IFERROR(__xludf.DUMMYFUNCTION("""COMPUTED_VALUE"""),"")</f>
        <v/>
      </c>
      <c r="B17994" s="87"/>
      <c r="C17994" s="87"/>
      <c r="D17994" s="87"/>
      <c r="E17994" s="87"/>
      <c r="F17994" s="87"/>
      <c r="G17994" s="87"/>
    </row>
    <row r="17995">
      <c r="A17995" s="86" t="str">
        <f>IFERROR(__xludf.DUMMYFUNCTION("""COMPUTED_VALUE"""),"")</f>
        <v/>
      </c>
      <c r="B17995" s="87"/>
      <c r="C17995" s="87"/>
      <c r="D17995" s="87"/>
      <c r="E17995" s="87"/>
      <c r="F17995" s="87"/>
      <c r="G17995" s="87"/>
    </row>
    <row r="17996">
      <c r="A17996" s="86" t="str">
        <f>IFERROR(__xludf.DUMMYFUNCTION("""COMPUTED_VALUE"""),"")</f>
        <v/>
      </c>
      <c r="B17996" s="87"/>
      <c r="C17996" s="87"/>
      <c r="D17996" s="87"/>
      <c r="E17996" s="87"/>
      <c r="F17996" s="87"/>
      <c r="G17996" s="87"/>
    </row>
    <row r="17997">
      <c r="A17997" s="86" t="str">
        <f>IFERROR(__xludf.DUMMYFUNCTION("""COMPUTED_VALUE"""),"")</f>
        <v/>
      </c>
      <c r="B17997" s="87"/>
      <c r="C17997" s="87"/>
      <c r="D17997" s="87"/>
      <c r="E17997" s="87"/>
      <c r="F17997" s="87"/>
      <c r="G17997" s="87"/>
    </row>
    <row r="17998">
      <c r="A17998" s="86" t="str">
        <f>IFERROR(__xludf.DUMMYFUNCTION("""COMPUTED_VALUE"""),"")</f>
        <v/>
      </c>
      <c r="B17998" s="87"/>
      <c r="C17998" s="87"/>
      <c r="D17998" s="87"/>
      <c r="E17998" s="87"/>
      <c r="F17998" s="87"/>
      <c r="G17998" s="87"/>
    </row>
    <row r="17999">
      <c r="A17999" s="86" t="str">
        <f>IFERROR(__xludf.DUMMYFUNCTION("""COMPUTED_VALUE"""),"")</f>
        <v/>
      </c>
      <c r="B17999" s="87"/>
      <c r="C17999" s="87"/>
      <c r="D17999" s="87"/>
      <c r="E17999" s="87"/>
      <c r="F17999" s="87"/>
      <c r="G17999" s="87"/>
    </row>
    <row r="18000">
      <c r="A18000" s="86" t="str">
        <f>IFERROR(__xludf.DUMMYFUNCTION("""COMPUTED_VALUE"""),"")</f>
        <v/>
      </c>
      <c r="B18000" s="87"/>
      <c r="C18000" s="87"/>
      <c r="D18000" s="87"/>
      <c r="E18000" s="87"/>
      <c r="F18000" s="87"/>
      <c r="G18000" s="87"/>
    </row>
    <row r="18001">
      <c r="A18001" s="86" t="str">
        <f>IFERROR(__xludf.DUMMYFUNCTION("""COMPUTED_VALUE"""),"")</f>
        <v/>
      </c>
      <c r="B18001" s="87"/>
      <c r="C18001" s="87"/>
      <c r="D18001" s="87"/>
      <c r="E18001" s="87"/>
      <c r="F18001" s="87"/>
      <c r="G18001" s="87"/>
    </row>
    <row r="18002">
      <c r="A18002" s="86" t="str">
        <f>IFERROR(__xludf.DUMMYFUNCTION("""COMPUTED_VALUE"""),"")</f>
        <v/>
      </c>
      <c r="B18002" s="87"/>
      <c r="C18002" s="87"/>
      <c r="D18002" s="87"/>
      <c r="E18002" s="87"/>
      <c r="F18002" s="87"/>
      <c r="G18002" s="87"/>
    </row>
    <row r="18003">
      <c r="A18003" s="86" t="str">
        <f>IFERROR(__xludf.DUMMYFUNCTION("""COMPUTED_VALUE"""),"")</f>
        <v/>
      </c>
      <c r="B18003" s="87"/>
      <c r="C18003" s="87"/>
      <c r="D18003" s="87"/>
      <c r="E18003" s="87"/>
      <c r="F18003" s="87"/>
      <c r="G18003" s="87"/>
    </row>
    <row r="18004">
      <c r="A18004" s="86" t="str">
        <f>IFERROR(__xludf.DUMMYFUNCTION("""COMPUTED_VALUE"""),"")</f>
        <v/>
      </c>
      <c r="B18004" s="87"/>
      <c r="C18004" s="87"/>
      <c r="D18004" s="87"/>
      <c r="E18004" s="87"/>
      <c r="F18004" s="87"/>
      <c r="G18004" s="87"/>
    </row>
    <row r="18005">
      <c r="A18005" s="86" t="str">
        <f>IFERROR(__xludf.DUMMYFUNCTION("""COMPUTED_VALUE"""),"")</f>
        <v/>
      </c>
      <c r="B18005" s="87"/>
      <c r="C18005" s="87"/>
      <c r="D18005" s="87"/>
      <c r="E18005" s="87"/>
      <c r="F18005" s="87"/>
      <c r="G18005" s="87"/>
    </row>
    <row r="18006">
      <c r="A18006" s="86" t="str">
        <f>IFERROR(__xludf.DUMMYFUNCTION("""COMPUTED_VALUE"""),"")</f>
        <v/>
      </c>
      <c r="B18006" s="87"/>
      <c r="C18006" s="87"/>
      <c r="D18006" s="87"/>
      <c r="E18006" s="87"/>
      <c r="F18006" s="87"/>
      <c r="G18006" s="87"/>
    </row>
    <row r="18007">
      <c r="A18007" s="86" t="str">
        <f>IFERROR(__xludf.DUMMYFUNCTION("""COMPUTED_VALUE"""),"")</f>
        <v/>
      </c>
      <c r="B18007" s="87"/>
      <c r="C18007" s="87"/>
      <c r="D18007" s="87"/>
      <c r="E18007" s="87"/>
      <c r="F18007" s="87"/>
      <c r="G18007" s="87"/>
    </row>
    <row r="18008">
      <c r="A18008" s="86" t="str">
        <f>IFERROR(__xludf.DUMMYFUNCTION("""COMPUTED_VALUE"""),"")</f>
        <v/>
      </c>
      <c r="B18008" s="87"/>
      <c r="C18008" s="87"/>
      <c r="D18008" s="87"/>
      <c r="E18008" s="87"/>
      <c r="F18008" s="87"/>
      <c r="G18008" s="87"/>
    </row>
    <row r="18009">
      <c r="A18009" s="86" t="str">
        <f>IFERROR(__xludf.DUMMYFUNCTION("""COMPUTED_VALUE"""),"")</f>
        <v/>
      </c>
      <c r="B18009" s="87"/>
      <c r="C18009" s="87"/>
      <c r="D18009" s="87"/>
      <c r="E18009" s="87"/>
      <c r="F18009" s="87"/>
      <c r="G18009" s="87"/>
    </row>
    <row r="18010">
      <c r="A18010" s="86" t="str">
        <f>IFERROR(__xludf.DUMMYFUNCTION("""COMPUTED_VALUE"""),"")</f>
        <v/>
      </c>
      <c r="B18010" s="87"/>
      <c r="C18010" s="87"/>
      <c r="D18010" s="87"/>
      <c r="E18010" s="87"/>
      <c r="F18010" s="87"/>
      <c r="G18010" s="87"/>
    </row>
    <row r="18011">
      <c r="A18011" s="86" t="str">
        <f>IFERROR(__xludf.DUMMYFUNCTION("""COMPUTED_VALUE"""),"")</f>
        <v/>
      </c>
      <c r="B18011" s="87"/>
      <c r="C18011" s="87"/>
      <c r="D18011" s="87"/>
      <c r="E18011" s="87"/>
      <c r="F18011" s="87"/>
      <c r="G18011" s="87"/>
    </row>
    <row r="18012">
      <c r="A18012" s="86" t="str">
        <f>IFERROR(__xludf.DUMMYFUNCTION("""COMPUTED_VALUE"""),"")</f>
        <v/>
      </c>
      <c r="B18012" s="87"/>
      <c r="C18012" s="87"/>
      <c r="D18012" s="87"/>
      <c r="E18012" s="87"/>
      <c r="F18012" s="87"/>
      <c r="G18012" s="87"/>
    </row>
    <row r="18013">
      <c r="A18013" s="86" t="str">
        <f>IFERROR(__xludf.DUMMYFUNCTION("""COMPUTED_VALUE"""),"")</f>
        <v/>
      </c>
      <c r="B18013" s="87"/>
      <c r="C18013" s="87"/>
      <c r="D18013" s="87"/>
      <c r="E18013" s="87"/>
      <c r="F18013" s="87"/>
      <c r="G18013" s="87"/>
    </row>
    <row r="18014">
      <c r="A18014" s="86" t="str">
        <f>IFERROR(__xludf.DUMMYFUNCTION("""COMPUTED_VALUE"""),"")</f>
        <v/>
      </c>
      <c r="B18014" s="87"/>
      <c r="C18014" s="87"/>
      <c r="D18014" s="87"/>
      <c r="E18014" s="87"/>
      <c r="F18014" s="87"/>
      <c r="G18014" s="87"/>
    </row>
    <row r="18015">
      <c r="A18015" s="86" t="str">
        <f>IFERROR(__xludf.DUMMYFUNCTION("""COMPUTED_VALUE"""),"")</f>
        <v/>
      </c>
      <c r="B18015" s="87"/>
      <c r="C18015" s="87"/>
      <c r="D18015" s="87"/>
      <c r="E18015" s="87"/>
      <c r="F18015" s="87"/>
      <c r="G18015" s="87"/>
    </row>
    <row r="18016">
      <c r="A18016" s="86" t="str">
        <f>IFERROR(__xludf.DUMMYFUNCTION("""COMPUTED_VALUE"""),"")</f>
        <v/>
      </c>
      <c r="B18016" s="87"/>
      <c r="C18016" s="87"/>
      <c r="D18016" s="87"/>
      <c r="E18016" s="87"/>
      <c r="F18016" s="87"/>
      <c r="G18016" s="87"/>
    </row>
    <row r="18017">
      <c r="A18017" s="86" t="str">
        <f>IFERROR(__xludf.DUMMYFUNCTION("""COMPUTED_VALUE"""),"")</f>
        <v/>
      </c>
      <c r="B18017" s="87"/>
      <c r="C18017" s="87"/>
      <c r="D18017" s="87"/>
      <c r="E18017" s="87"/>
      <c r="F18017" s="87"/>
      <c r="G18017" s="87"/>
    </row>
    <row r="18018">
      <c r="A18018" s="86" t="str">
        <f>IFERROR(__xludf.DUMMYFUNCTION("""COMPUTED_VALUE"""),"")</f>
        <v/>
      </c>
      <c r="B18018" s="87"/>
      <c r="C18018" s="87"/>
      <c r="D18018" s="87"/>
      <c r="E18018" s="87"/>
      <c r="F18018" s="87"/>
      <c r="G18018" s="87"/>
    </row>
    <row r="18019">
      <c r="A18019" s="86" t="str">
        <f>IFERROR(__xludf.DUMMYFUNCTION("""COMPUTED_VALUE"""),"")</f>
        <v/>
      </c>
      <c r="B18019" s="87"/>
      <c r="C18019" s="87"/>
      <c r="D18019" s="87"/>
      <c r="E18019" s="87"/>
      <c r="F18019" s="87"/>
      <c r="G18019" s="87"/>
    </row>
    <row r="18020">
      <c r="A18020" s="86" t="str">
        <f>IFERROR(__xludf.DUMMYFUNCTION("""COMPUTED_VALUE"""),"")</f>
        <v/>
      </c>
      <c r="B18020" s="87"/>
      <c r="C18020" s="87"/>
      <c r="D18020" s="87"/>
      <c r="E18020" s="87"/>
      <c r="F18020" s="87"/>
      <c r="G18020" s="87"/>
    </row>
    <row r="18021">
      <c r="A18021" s="86" t="str">
        <f>IFERROR(__xludf.DUMMYFUNCTION("""COMPUTED_VALUE"""),"")</f>
        <v/>
      </c>
      <c r="B18021" s="87"/>
      <c r="C18021" s="87"/>
      <c r="D18021" s="87"/>
      <c r="E18021" s="87"/>
      <c r="F18021" s="87"/>
      <c r="G18021" s="87"/>
    </row>
    <row r="18022">
      <c r="A18022" s="86" t="str">
        <f>IFERROR(__xludf.DUMMYFUNCTION("""COMPUTED_VALUE"""),"")</f>
        <v/>
      </c>
      <c r="B18022" s="87"/>
      <c r="C18022" s="87"/>
      <c r="D18022" s="87"/>
      <c r="E18022" s="87"/>
      <c r="F18022" s="87"/>
      <c r="G18022" s="87"/>
    </row>
    <row r="18023">
      <c r="A18023" s="86" t="str">
        <f>IFERROR(__xludf.DUMMYFUNCTION("""COMPUTED_VALUE"""),"")</f>
        <v/>
      </c>
      <c r="B18023" s="87"/>
      <c r="C18023" s="87"/>
      <c r="D18023" s="87"/>
      <c r="E18023" s="87"/>
      <c r="F18023" s="87"/>
      <c r="G18023" s="87"/>
    </row>
    <row r="18024">
      <c r="A18024" s="86" t="str">
        <f>IFERROR(__xludf.DUMMYFUNCTION("""COMPUTED_VALUE"""),"")</f>
        <v/>
      </c>
      <c r="B18024" s="87"/>
      <c r="C18024" s="87"/>
      <c r="D18024" s="87"/>
      <c r="E18024" s="87"/>
      <c r="F18024" s="87"/>
      <c r="G18024" s="87"/>
    </row>
    <row r="18025">
      <c r="A18025" s="86" t="str">
        <f>IFERROR(__xludf.DUMMYFUNCTION("""COMPUTED_VALUE"""),"")</f>
        <v/>
      </c>
      <c r="B18025" s="87"/>
      <c r="C18025" s="87"/>
      <c r="D18025" s="87"/>
      <c r="E18025" s="87"/>
      <c r="F18025" s="87"/>
      <c r="G18025" s="87"/>
    </row>
    <row r="18026">
      <c r="A18026" s="86" t="str">
        <f>IFERROR(__xludf.DUMMYFUNCTION("""COMPUTED_VALUE"""),"")</f>
        <v/>
      </c>
      <c r="B18026" s="87"/>
      <c r="C18026" s="87"/>
      <c r="D18026" s="87"/>
      <c r="E18026" s="87"/>
      <c r="F18026" s="87"/>
      <c r="G18026" s="87"/>
    </row>
    <row r="18027">
      <c r="A18027" s="86" t="str">
        <f>IFERROR(__xludf.DUMMYFUNCTION("""COMPUTED_VALUE"""),"")</f>
        <v/>
      </c>
      <c r="B18027" s="87"/>
      <c r="C18027" s="87"/>
      <c r="D18027" s="87"/>
      <c r="E18027" s="87"/>
      <c r="F18027" s="87"/>
      <c r="G18027" s="87"/>
    </row>
    <row r="18028">
      <c r="A18028" s="86" t="str">
        <f>IFERROR(__xludf.DUMMYFUNCTION("""COMPUTED_VALUE"""),"")</f>
        <v/>
      </c>
      <c r="B18028" s="87"/>
      <c r="C18028" s="87"/>
      <c r="D18028" s="87"/>
      <c r="E18028" s="87"/>
      <c r="F18028" s="87"/>
      <c r="G18028" s="87"/>
    </row>
    <row r="18029">
      <c r="A18029" s="86" t="str">
        <f>IFERROR(__xludf.DUMMYFUNCTION("""COMPUTED_VALUE"""),"")</f>
        <v/>
      </c>
      <c r="B18029" s="87"/>
      <c r="C18029" s="87"/>
      <c r="D18029" s="87"/>
      <c r="E18029" s="87"/>
      <c r="F18029" s="87"/>
      <c r="G18029" s="87"/>
    </row>
    <row r="18030">
      <c r="A18030" s="86" t="str">
        <f>IFERROR(__xludf.DUMMYFUNCTION("""COMPUTED_VALUE"""),"")</f>
        <v/>
      </c>
      <c r="B18030" s="87"/>
      <c r="C18030" s="87"/>
      <c r="D18030" s="87"/>
      <c r="E18030" s="87"/>
      <c r="F18030" s="87"/>
      <c r="G18030" s="87"/>
    </row>
    <row r="18031">
      <c r="A18031" s="86" t="str">
        <f>IFERROR(__xludf.DUMMYFUNCTION("""COMPUTED_VALUE"""),"")</f>
        <v/>
      </c>
      <c r="B18031" s="87"/>
      <c r="C18031" s="87"/>
      <c r="D18031" s="87"/>
      <c r="E18031" s="87"/>
      <c r="F18031" s="87"/>
      <c r="G18031" s="87"/>
    </row>
    <row r="18032">
      <c r="A18032" s="86" t="str">
        <f>IFERROR(__xludf.DUMMYFUNCTION("""COMPUTED_VALUE"""),"")</f>
        <v/>
      </c>
      <c r="B18032" s="87"/>
      <c r="C18032" s="87"/>
      <c r="D18032" s="87"/>
      <c r="E18032" s="87"/>
      <c r="F18032" s="87"/>
      <c r="G18032" s="87"/>
    </row>
    <row r="18033">
      <c r="A18033" s="86" t="str">
        <f>IFERROR(__xludf.DUMMYFUNCTION("""COMPUTED_VALUE"""),"")</f>
        <v/>
      </c>
      <c r="B18033" s="87"/>
      <c r="C18033" s="87"/>
      <c r="D18033" s="87"/>
      <c r="E18033" s="87"/>
      <c r="F18033" s="87"/>
      <c r="G18033" s="87"/>
    </row>
    <row r="18034">
      <c r="A18034" s="86" t="str">
        <f>IFERROR(__xludf.DUMMYFUNCTION("""COMPUTED_VALUE"""),"")</f>
        <v/>
      </c>
      <c r="B18034" s="87"/>
      <c r="C18034" s="87"/>
      <c r="D18034" s="87"/>
      <c r="E18034" s="87"/>
      <c r="F18034" s="87"/>
      <c r="G18034" s="87"/>
    </row>
    <row r="18035">
      <c r="A18035" s="86" t="str">
        <f>IFERROR(__xludf.DUMMYFUNCTION("""COMPUTED_VALUE"""),"")</f>
        <v/>
      </c>
      <c r="B18035" s="87"/>
      <c r="C18035" s="87"/>
      <c r="D18035" s="87"/>
      <c r="E18035" s="87"/>
      <c r="F18035" s="87"/>
      <c r="G18035" s="87"/>
    </row>
    <row r="18036">
      <c r="A18036" s="86" t="str">
        <f>IFERROR(__xludf.DUMMYFUNCTION("""COMPUTED_VALUE"""),"")</f>
        <v/>
      </c>
      <c r="B18036" s="87"/>
      <c r="C18036" s="87"/>
      <c r="D18036" s="87"/>
      <c r="E18036" s="87"/>
      <c r="F18036" s="87"/>
      <c r="G18036" s="87"/>
    </row>
    <row r="18037">
      <c r="A18037" s="86" t="str">
        <f>IFERROR(__xludf.DUMMYFUNCTION("""COMPUTED_VALUE"""),"")</f>
        <v/>
      </c>
      <c r="B18037" s="87"/>
      <c r="C18037" s="87"/>
      <c r="D18037" s="87"/>
      <c r="E18037" s="87"/>
      <c r="F18037" s="87"/>
      <c r="G18037" s="87"/>
    </row>
    <row r="18038">
      <c r="A18038" s="86" t="str">
        <f>IFERROR(__xludf.DUMMYFUNCTION("""COMPUTED_VALUE"""),"")</f>
        <v/>
      </c>
      <c r="B18038" s="87"/>
      <c r="C18038" s="87"/>
      <c r="D18038" s="87"/>
      <c r="E18038" s="87"/>
      <c r="F18038" s="87"/>
      <c r="G18038" s="87"/>
    </row>
    <row r="18039">
      <c r="A18039" s="86" t="str">
        <f>IFERROR(__xludf.DUMMYFUNCTION("""COMPUTED_VALUE"""),"")</f>
        <v/>
      </c>
      <c r="B18039" s="87"/>
      <c r="C18039" s="87"/>
      <c r="D18039" s="87"/>
      <c r="E18039" s="87"/>
      <c r="F18039" s="87"/>
      <c r="G18039" s="87"/>
    </row>
    <row r="18040">
      <c r="A18040" s="86" t="str">
        <f>IFERROR(__xludf.DUMMYFUNCTION("""COMPUTED_VALUE"""),"")</f>
        <v/>
      </c>
      <c r="B18040" s="87"/>
      <c r="C18040" s="87"/>
      <c r="D18040" s="87"/>
      <c r="E18040" s="87"/>
      <c r="F18040" s="87"/>
      <c r="G18040" s="87"/>
    </row>
    <row r="18041">
      <c r="A18041" s="86" t="str">
        <f>IFERROR(__xludf.DUMMYFUNCTION("""COMPUTED_VALUE"""),"")</f>
        <v/>
      </c>
      <c r="B18041" s="87"/>
      <c r="C18041" s="87"/>
      <c r="D18041" s="87"/>
      <c r="E18041" s="87"/>
      <c r="F18041" s="87"/>
      <c r="G18041" s="87"/>
    </row>
    <row r="18042">
      <c r="A18042" s="86" t="str">
        <f>IFERROR(__xludf.DUMMYFUNCTION("""COMPUTED_VALUE"""),"")</f>
        <v/>
      </c>
      <c r="B18042" s="87"/>
      <c r="C18042" s="87"/>
      <c r="D18042" s="87"/>
      <c r="E18042" s="87"/>
      <c r="F18042" s="87"/>
      <c r="G18042" s="87"/>
    </row>
    <row r="18043">
      <c r="A18043" s="86" t="str">
        <f>IFERROR(__xludf.DUMMYFUNCTION("""COMPUTED_VALUE"""),"")</f>
        <v/>
      </c>
      <c r="B18043" s="87"/>
      <c r="C18043" s="87"/>
      <c r="D18043" s="87"/>
      <c r="E18043" s="87"/>
      <c r="F18043" s="87"/>
      <c r="G18043" s="87"/>
    </row>
    <row r="18044">
      <c r="A18044" s="86" t="str">
        <f>IFERROR(__xludf.DUMMYFUNCTION("""COMPUTED_VALUE"""),"")</f>
        <v/>
      </c>
      <c r="B18044" s="87"/>
      <c r="C18044" s="87"/>
      <c r="D18044" s="87"/>
      <c r="E18044" s="87"/>
      <c r="F18044" s="87"/>
      <c r="G18044" s="87"/>
    </row>
    <row r="18045">
      <c r="A18045" s="86" t="str">
        <f>IFERROR(__xludf.DUMMYFUNCTION("""COMPUTED_VALUE"""),"")</f>
        <v/>
      </c>
      <c r="B18045" s="87"/>
      <c r="C18045" s="87"/>
      <c r="D18045" s="87"/>
      <c r="E18045" s="87"/>
      <c r="F18045" s="87"/>
      <c r="G18045" s="87"/>
    </row>
    <row r="18046">
      <c r="A18046" s="86" t="str">
        <f>IFERROR(__xludf.DUMMYFUNCTION("""COMPUTED_VALUE"""),"")</f>
        <v/>
      </c>
      <c r="B18046" s="87"/>
      <c r="C18046" s="87"/>
      <c r="D18046" s="87"/>
      <c r="E18046" s="87"/>
      <c r="F18046" s="87"/>
      <c r="G18046" s="87"/>
    </row>
    <row r="18047">
      <c r="A18047" s="86" t="str">
        <f>IFERROR(__xludf.DUMMYFUNCTION("""COMPUTED_VALUE"""),"")</f>
        <v/>
      </c>
      <c r="B18047" s="87"/>
      <c r="C18047" s="87"/>
      <c r="D18047" s="87"/>
      <c r="E18047" s="87"/>
      <c r="F18047" s="87"/>
      <c r="G18047" s="87"/>
    </row>
    <row r="18048">
      <c r="A18048" s="86" t="str">
        <f>IFERROR(__xludf.DUMMYFUNCTION("""COMPUTED_VALUE"""),"")</f>
        <v/>
      </c>
      <c r="B18048" s="87"/>
      <c r="C18048" s="87"/>
      <c r="D18048" s="87"/>
      <c r="E18048" s="87"/>
      <c r="F18048" s="87"/>
      <c r="G18048" s="87"/>
    </row>
    <row r="18049">
      <c r="A18049" s="86" t="str">
        <f>IFERROR(__xludf.DUMMYFUNCTION("""COMPUTED_VALUE"""),"")</f>
        <v/>
      </c>
      <c r="B18049" s="87"/>
      <c r="C18049" s="87"/>
      <c r="D18049" s="87"/>
      <c r="E18049" s="87"/>
      <c r="F18049" s="87"/>
      <c r="G18049" s="87"/>
    </row>
    <row r="18050">
      <c r="A18050" s="86" t="str">
        <f>IFERROR(__xludf.DUMMYFUNCTION("""COMPUTED_VALUE"""),"")</f>
        <v/>
      </c>
      <c r="B18050" s="87"/>
      <c r="C18050" s="87"/>
      <c r="D18050" s="87"/>
      <c r="E18050" s="87"/>
      <c r="F18050" s="87"/>
      <c r="G18050" s="87"/>
    </row>
    <row r="18051">
      <c r="A18051" s="86" t="str">
        <f>IFERROR(__xludf.DUMMYFUNCTION("""COMPUTED_VALUE"""),"")</f>
        <v/>
      </c>
      <c r="B18051" s="87"/>
      <c r="C18051" s="87"/>
      <c r="D18051" s="87"/>
      <c r="E18051" s="87"/>
      <c r="F18051" s="87"/>
      <c r="G18051" s="87"/>
    </row>
    <row r="18052">
      <c r="A18052" s="86" t="str">
        <f>IFERROR(__xludf.DUMMYFUNCTION("""COMPUTED_VALUE"""),"")</f>
        <v/>
      </c>
      <c r="B18052" s="87"/>
      <c r="C18052" s="87"/>
      <c r="D18052" s="87"/>
      <c r="E18052" s="87"/>
      <c r="F18052" s="87"/>
      <c r="G18052" s="87"/>
    </row>
    <row r="18053">
      <c r="A18053" s="86" t="str">
        <f>IFERROR(__xludf.DUMMYFUNCTION("""COMPUTED_VALUE"""),"")</f>
        <v/>
      </c>
      <c r="B18053" s="87"/>
      <c r="C18053" s="87"/>
      <c r="D18053" s="87"/>
      <c r="E18053" s="87"/>
      <c r="F18053" s="87"/>
      <c r="G18053" s="87"/>
    </row>
    <row r="18054">
      <c r="A18054" s="86" t="str">
        <f>IFERROR(__xludf.DUMMYFUNCTION("""COMPUTED_VALUE"""),"")</f>
        <v/>
      </c>
      <c r="B18054" s="87"/>
      <c r="C18054" s="87"/>
      <c r="D18054" s="87"/>
      <c r="E18054" s="87"/>
      <c r="F18054" s="87"/>
      <c r="G18054" s="87"/>
    </row>
    <row r="18055">
      <c r="A18055" s="86" t="str">
        <f>IFERROR(__xludf.DUMMYFUNCTION("""COMPUTED_VALUE"""),"")</f>
        <v/>
      </c>
      <c r="B18055" s="87"/>
      <c r="C18055" s="87"/>
      <c r="D18055" s="87"/>
      <c r="E18055" s="87"/>
      <c r="F18055" s="87"/>
      <c r="G18055" s="87"/>
    </row>
    <row r="18056">
      <c r="A18056" s="86" t="str">
        <f>IFERROR(__xludf.DUMMYFUNCTION("""COMPUTED_VALUE"""),"")</f>
        <v/>
      </c>
      <c r="B18056" s="87"/>
      <c r="C18056" s="87"/>
      <c r="D18056" s="87"/>
      <c r="E18056" s="87"/>
      <c r="F18056" s="87"/>
      <c r="G18056" s="87"/>
    </row>
    <row r="18057">
      <c r="A18057" s="86" t="str">
        <f>IFERROR(__xludf.DUMMYFUNCTION("""COMPUTED_VALUE"""),"")</f>
        <v/>
      </c>
      <c r="B18057" s="87"/>
      <c r="C18057" s="87"/>
      <c r="D18057" s="87"/>
      <c r="E18057" s="87"/>
      <c r="F18057" s="87"/>
      <c r="G18057" s="87"/>
    </row>
    <row r="18058">
      <c r="A18058" s="86" t="str">
        <f>IFERROR(__xludf.DUMMYFUNCTION("""COMPUTED_VALUE"""),"")</f>
        <v/>
      </c>
      <c r="B18058" s="87"/>
      <c r="C18058" s="87"/>
      <c r="D18058" s="87"/>
      <c r="E18058" s="87"/>
      <c r="F18058" s="87"/>
      <c r="G18058" s="87"/>
    </row>
    <row r="18059">
      <c r="A18059" s="86" t="str">
        <f>IFERROR(__xludf.DUMMYFUNCTION("""COMPUTED_VALUE"""),"")</f>
        <v/>
      </c>
      <c r="B18059" s="87"/>
      <c r="C18059" s="87"/>
      <c r="D18059" s="87"/>
      <c r="E18059" s="87"/>
      <c r="F18059" s="87"/>
      <c r="G18059" s="87"/>
    </row>
    <row r="18060">
      <c r="A18060" s="86" t="str">
        <f>IFERROR(__xludf.DUMMYFUNCTION("""COMPUTED_VALUE"""),"")</f>
        <v/>
      </c>
      <c r="B18060" s="87"/>
      <c r="C18060" s="87"/>
      <c r="D18060" s="87"/>
      <c r="E18060" s="87"/>
      <c r="F18060" s="87"/>
      <c r="G18060" s="87"/>
    </row>
    <row r="18061">
      <c r="A18061" s="86" t="str">
        <f>IFERROR(__xludf.DUMMYFUNCTION("""COMPUTED_VALUE"""),"")</f>
        <v/>
      </c>
      <c r="B18061" s="87"/>
      <c r="C18061" s="87"/>
      <c r="D18061" s="87"/>
      <c r="E18061" s="87"/>
      <c r="F18061" s="87"/>
      <c r="G18061" s="87"/>
    </row>
    <row r="18062">
      <c r="A18062" s="86" t="str">
        <f>IFERROR(__xludf.DUMMYFUNCTION("""COMPUTED_VALUE"""),"")</f>
        <v/>
      </c>
      <c r="B18062" s="87"/>
      <c r="C18062" s="87"/>
      <c r="D18062" s="87"/>
      <c r="E18062" s="87"/>
      <c r="F18062" s="87"/>
      <c r="G18062" s="87"/>
    </row>
    <row r="18063">
      <c r="A18063" s="86" t="str">
        <f>IFERROR(__xludf.DUMMYFUNCTION("""COMPUTED_VALUE"""),"")</f>
        <v/>
      </c>
      <c r="B18063" s="87"/>
      <c r="C18063" s="87"/>
      <c r="D18063" s="87"/>
      <c r="E18063" s="87"/>
      <c r="F18063" s="87"/>
      <c r="G18063" s="87"/>
    </row>
    <row r="18064">
      <c r="A18064" s="86" t="str">
        <f>IFERROR(__xludf.DUMMYFUNCTION("""COMPUTED_VALUE"""),"")</f>
        <v/>
      </c>
      <c r="B18064" s="87"/>
      <c r="C18064" s="87"/>
      <c r="D18064" s="87"/>
      <c r="E18064" s="87"/>
      <c r="F18064" s="87"/>
      <c r="G18064" s="87"/>
    </row>
    <row r="18065">
      <c r="A18065" s="86" t="str">
        <f>IFERROR(__xludf.DUMMYFUNCTION("""COMPUTED_VALUE"""),"")</f>
        <v/>
      </c>
      <c r="B18065" s="87"/>
      <c r="C18065" s="87"/>
      <c r="D18065" s="87"/>
      <c r="E18065" s="87"/>
      <c r="F18065" s="87"/>
      <c r="G18065" s="87"/>
    </row>
    <row r="18066">
      <c r="A18066" s="86" t="str">
        <f>IFERROR(__xludf.DUMMYFUNCTION("""COMPUTED_VALUE"""),"")</f>
        <v/>
      </c>
      <c r="B18066" s="87"/>
      <c r="C18066" s="87"/>
      <c r="D18066" s="87"/>
      <c r="E18066" s="87"/>
      <c r="F18066" s="87"/>
      <c r="G18066" s="87"/>
    </row>
    <row r="18067">
      <c r="A18067" s="86" t="str">
        <f>IFERROR(__xludf.DUMMYFUNCTION("""COMPUTED_VALUE"""),"")</f>
        <v/>
      </c>
      <c r="B18067" s="87"/>
      <c r="C18067" s="87"/>
      <c r="D18067" s="87"/>
      <c r="E18067" s="87"/>
      <c r="F18067" s="87"/>
      <c r="G18067" s="87"/>
    </row>
    <row r="18068">
      <c r="A18068" s="86" t="str">
        <f>IFERROR(__xludf.DUMMYFUNCTION("""COMPUTED_VALUE"""),"")</f>
        <v/>
      </c>
      <c r="B18068" s="87"/>
      <c r="C18068" s="87"/>
      <c r="D18068" s="87"/>
      <c r="E18068" s="87"/>
      <c r="F18068" s="87"/>
      <c r="G18068" s="87"/>
    </row>
    <row r="18069">
      <c r="A18069" s="86" t="str">
        <f>IFERROR(__xludf.DUMMYFUNCTION("""COMPUTED_VALUE"""),"")</f>
        <v/>
      </c>
      <c r="B18069" s="87"/>
      <c r="C18069" s="87"/>
      <c r="D18069" s="87"/>
      <c r="E18069" s="87"/>
      <c r="F18069" s="87"/>
      <c r="G18069" s="87"/>
    </row>
    <row r="18070">
      <c r="A18070" s="86" t="str">
        <f>IFERROR(__xludf.DUMMYFUNCTION("""COMPUTED_VALUE"""),"")</f>
        <v/>
      </c>
      <c r="B18070" s="87"/>
      <c r="C18070" s="87"/>
      <c r="D18070" s="87"/>
      <c r="E18070" s="87"/>
      <c r="F18070" s="87"/>
      <c r="G18070" s="87"/>
    </row>
    <row r="18071">
      <c r="A18071" s="86" t="str">
        <f>IFERROR(__xludf.DUMMYFUNCTION("""COMPUTED_VALUE"""),"")</f>
        <v/>
      </c>
      <c r="B18071" s="87"/>
      <c r="C18071" s="87"/>
      <c r="D18071" s="87"/>
      <c r="E18071" s="87"/>
      <c r="F18071" s="87"/>
      <c r="G18071" s="87"/>
    </row>
    <row r="18072">
      <c r="A18072" s="86" t="str">
        <f>IFERROR(__xludf.DUMMYFUNCTION("""COMPUTED_VALUE"""),"")</f>
        <v/>
      </c>
      <c r="B18072" s="87"/>
      <c r="C18072" s="87"/>
      <c r="D18072" s="87"/>
      <c r="E18072" s="87"/>
      <c r="F18072" s="87"/>
      <c r="G18072" s="87"/>
    </row>
    <row r="18073">
      <c r="A18073" s="86" t="str">
        <f>IFERROR(__xludf.DUMMYFUNCTION("""COMPUTED_VALUE"""),"")</f>
        <v/>
      </c>
      <c r="B18073" s="87"/>
      <c r="C18073" s="87"/>
      <c r="D18073" s="87"/>
      <c r="E18073" s="87"/>
      <c r="F18073" s="87"/>
      <c r="G18073" s="87"/>
    </row>
    <row r="18074">
      <c r="A18074" s="86" t="str">
        <f>IFERROR(__xludf.DUMMYFUNCTION("""COMPUTED_VALUE"""),"")</f>
        <v/>
      </c>
      <c r="B18074" s="87"/>
      <c r="C18074" s="87"/>
      <c r="D18074" s="87"/>
      <c r="E18074" s="87"/>
      <c r="F18074" s="87"/>
      <c r="G18074" s="87"/>
    </row>
    <row r="18075">
      <c r="A18075" s="86" t="str">
        <f>IFERROR(__xludf.DUMMYFUNCTION("""COMPUTED_VALUE"""),"")</f>
        <v/>
      </c>
      <c r="B18075" s="87"/>
      <c r="C18075" s="87"/>
      <c r="D18075" s="87"/>
      <c r="E18075" s="87"/>
      <c r="F18075" s="87"/>
      <c r="G18075" s="87"/>
    </row>
    <row r="18076">
      <c r="A18076" s="86" t="str">
        <f>IFERROR(__xludf.DUMMYFUNCTION("""COMPUTED_VALUE"""),"")</f>
        <v/>
      </c>
      <c r="B18076" s="87"/>
      <c r="C18076" s="87"/>
      <c r="D18076" s="87"/>
      <c r="E18076" s="87"/>
      <c r="F18076" s="87"/>
      <c r="G18076" s="87"/>
    </row>
    <row r="18077">
      <c r="A18077" s="86" t="str">
        <f>IFERROR(__xludf.DUMMYFUNCTION("""COMPUTED_VALUE"""),"")</f>
        <v/>
      </c>
      <c r="B18077" s="87"/>
      <c r="C18077" s="87"/>
      <c r="D18077" s="87"/>
      <c r="E18077" s="87"/>
      <c r="F18077" s="87"/>
      <c r="G18077" s="87"/>
    </row>
    <row r="18078">
      <c r="A18078" s="86" t="str">
        <f>IFERROR(__xludf.DUMMYFUNCTION("""COMPUTED_VALUE"""),"")</f>
        <v/>
      </c>
      <c r="B18078" s="87"/>
      <c r="C18078" s="87"/>
      <c r="D18078" s="87"/>
      <c r="E18078" s="87"/>
      <c r="F18078" s="87"/>
      <c r="G18078" s="87"/>
    </row>
    <row r="18079">
      <c r="A18079" s="86" t="str">
        <f>IFERROR(__xludf.DUMMYFUNCTION("""COMPUTED_VALUE"""),"")</f>
        <v/>
      </c>
      <c r="B18079" s="87"/>
      <c r="C18079" s="87"/>
      <c r="D18079" s="87"/>
      <c r="E18079" s="87"/>
      <c r="F18079" s="87"/>
      <c r="G18079" s="87"/>
    </row>
    <row r="18080">
      <c r="A18080" s="86" t="str">
        <f>IFERROR(__xludf.DUMMYFUNCTION("""COMPUTED_VALUE"""),"")</f>
        <v/>
      </c>
      <c r="B18080" s="87"/>
      <c r="C18080" s="87"/>
      <c r="D18080" s="87"/>
      <c r="E18080" s="87"/>
      <c r="F18080" s="87"/>
      <c r="G18080" s="87"/>
    </row>
    <row r="18081">
      <c r="A18081" s="86" t="str">
        <f>IFERROR(__xludf.DUMMYFUNCTION("""COMPUTED_VALUE"""),"")</f>
        <v/>
      </c>
      <c r="B18081" s="87"/>
      <c r="C18081" s="87"/>
      <c r="D18081" s="87"/>
      <c r="E18081" s="87"/>
      <c r="F18081" s="87"/>
      <c r="G18081" s="87"/>
    </row>
    <row r="18082">
      <c r="A18082" s="86" t="str">
        <f>IFERROR(__xludf.DUMMYFUNCTION("""COMPUTED_VALUE"""),"")</f>
        <v/>
      </c>
      <c r="B18082" s="87"/>
      <c r="C18082" s="87"/>
      <c r="D18082" s="87"/>
      <c r="E18082" s="87"/>
      <c r="F18082" s="87"/>
      <c r="G18082" s="87"/>
    </row>
    <row r="18083">
      <c r="A18083" s="86" t="str">
        <f>IFERROR(__xludf.DUMMYFUNCTION("""COMPUTED_VALUE"""),"")</f>
        <v/>
      </c>
      <c r="B18083" s="87"/>
      <c r="C18083" s="87"/>
      <c r="D18083" s="87"/>
      <c r="E18083" s="87"/>
      <c r="F18083" s="87"/>
      <c r="G18083" s="87"/>
    </row>
    <row r="18084">
      <c r="A18084" s="86" t="str">
        <f>IFERROR(__xludf.DUMMYFUNCTION("""COMPUTED_VALUE"""),"")</f>
        <v/>
      </c>
      <c r="B18084" s="87"/>
      <c r="C18084" s="87"/>
      <c r="D18084" s="87"/>
      <c r="E18084" s="87"/>
      <c r="F18084" s="87"/>
      <c r="G18084" s="87"/>
    </row>
    <row r="18085">
      <c r="A18085" s="86" t="str">
        <f>IFERROR(__xludf.DUMMYFUNCTION("""COMPUTED_VALUE"""),"")</f>
        <v/>
      </c>
      <c r="B18085" s="87"/>
      <c r="C18085" s="87"/>
      <c r="D18085" s="87"/>
      <c r="E18085" s="87"/>
      <c r="F18085" s="87"/>
      <c r="G18085" s="87"/>
    </row>
    <row r="18086">
      <c r="A18086" s="86" t="str">
        <f>IFERROR(__xludf.DUMMYFUNCTION("""COMPUTED_VALUE"""),"")</f>
        <v/>
      </c>
      <c r="B18086" s="87"/>
      <c r="C18086" s="87"/>
      <c r="D18086" s="87"/>
      <c r="E18086" s="87"/>
      <c r="F18086" s="87"/>
      <c r="G18086" s="87"/>
    </row>
    <row r="18087">
      <c r="A18087" s="86" t="str">
        <f>IFERROR(__xludf.DUMMYFUNCTION("""COMPUTED_VALUE"""),"")</f>
        <v/>
      </c>
      <c r="B18087" s="87"/>
      <c r="C18087" s="87"/>
      <c r="D18087" s="87"/>
      <c r="E18087" s="87"/>
      <c r="F18087" s="87"/>
      <c r="G18087" s="87"/>
    </row>
    <row r="18088">
      <c r="A18088" s="86" t="str">
        <f>IFERROR(__xludf.DUMMYFUNCTION("""COMPUTED_VALUE"""),"")</f>
        <v/>
      </c>
      <c r="B18088" s="87"/>
      <c r="C18088" s="87"/>
      <c r="D18088" s="87"/>
      <c r="E18088" s="87"/>
      <c r="F18088" s="87"/>
      <c r="G18088" s="87"/>
    </row>
    <row r="18089">
      <c r="A18089" s="86" t="str">
        <f>IFERROR(__xludf.DUMMYFUNCTION("""COMPUTED_VALUE"""),"")</f>
        <v/>
      </c>
      <c r="B18089" s="87"/>
      <c r="C18089" s="87"/>
      <c r="D18089" s="87"/>
      <c r="E18089" s="87"/>
      <c r="F18089" s="87"/>
      <c r="G18089" s="87"/>
    </row>
    <row r="18090">
      <c r="A18090" s="86" t="str">
        <f>IFERROR(__xludf.DUMMYFUNCTION("""COMPUTED_VALUE"""),"")</f>
        <v/>
      </c>
      <c r="B18090" s="87"/>
      <c r="C18090" s="87"/>
      <c r="D18090" s="87"/>
      <c r="E18090" s="87"/>
      <c r="F18090" s="87"/>
      <c r="G18090" s="87"/>
    </row>
    <row r="18091">
      <c r="A18091" s="86" t="str">
        <f>IFERROR(__xludf.DUMMYFUNCTION("""COMPUTED_VALUE"""),"")</f>
        <v/>
      </c>
      <c r="B18091" s="87"/>
      <c r="C18091" s="87"/>
      <c r="D18091" s="87"/>
      <c r="E18091" s="87"/>
      <c r="F18091" s="87"/>
      <c r="G18091" s="87"/>
    </row>
    <row r="18092">
      <c r="A18092" s="86" t="str">
        <f>IFERROR(__xludf.DUMMYFUNCTION("""COMPUTED_VALUE"""),"")</f>
        <v/>
      </c>
      <c r="B18092" s="87"/>
      <c r="C18092" s="87"/>
      <c r="D18092" s="87"/>
      <c r="E18092" s="87"/>
      <c r="F18092" s="87"/>
      <c r="G18092" s="87"/>
    </row>
    <row r="18093">
      <c r="A18093" s="86" t="str">
        <f>IFERROR(__xludf.DUMMYFUNCTION("""COMPUTED_VALUE"""),"")</f>
        <v/>
      </c>
      <c r="B18093" s="87"/>
      <c r="C18093" s="87"/>
      <c r="D18093" s="87"/>
      <c r="E18093" s="87"/>
      <c r="F18093" s="87"/>
      <c r="G18093" s="87"/>
    </row>
    <row r="18094">
      <c r="A18094" s="86" t="str">
        <f>IFERROR(__xludf.DUMMYFUNCTION("""COMPUTED_VALUE"""),"")</f>
        <v/>
      </c>
      <c r="B18094" s="87"/>
      <c r="C18094" s="87"/>
      <c r="D18094" s="87"/>
      <c r="E18094" s="87"/>
      <c r="F18094" s="87"/>
      <c r="G18094" s="87"/>
    </row>
    <row r="18095">
      <c r="A18095" s="86" t="str">
        <f>IFERROR(__xludf.DUMMYFUNCTION("""COMPUTED_VALUE"""),"")</f>
        <v/>
      </c>
      <c r="B18095" s="87"/>
      <c r="C18095" s="87"/>
      <c r="D18095" s="87"/>
      <c r="E18095" s="87"/>
      <c r="F18095" s="87"/>
      <c r="G18095" s="87"/>
    </row>
    <row r="18096">
      <c r="A18096" s="86" t="str">
        <f>IFERROR(__xludf.DUMMYFUNCTION("""COMPUTED_VALUE"""),"")</f>
        <v/>
      </c>
      <c r="B18096" s="87"/>
      <c r="C18096" s="87"/>
      <c r="D18096" s="87"/>
      <c r="E18096" s="87"/>
      <c r="F18096" s="87"/>
      <c r="G18096" s="87"/>
    </row>
    <row r="18097">
      <c r="A18097" s="86" t="str">
        <f>IFERROR(__xludf.DUMMYFUNCTION("""COMPUTED_VALUE"""),"")</f>
        <v/>
      </c>
      <c r="B18097" s="87"/>
      <c r="C18097" s="87"/>
      <c r="D18097" s="87"/>
      <c r="E18097" s="87"/>
      <c r="F18097" s="87"/>
      <c r="G18097" s="87"/>
    </row>
    <row r="18098">
      <c r="A18098" s="86" t="str">
        <f>IFERROR(__xludf.DUMMYFUNCTION("""COMPUTED_VALUE"""),"")</f>
        <v/>
      </c>
      <c r="B18098" s="87"/>
      <c r="C18098" s="87"/>
      <c r="D18098" s="87"/>
      <c r="E18098" s="87"/>
      <c r="F18098" s="87"/>
      <c r="G18098" s="87"/>
    </row>
    <row r="18099">
      <c r="A18099" s="86" t="str">
        <f>IFERROR(__xludf.DUMMYFUNCTION("""COMPUTED_VALUE"""),"")</f>
        <v/>
      </c>
      <c r="B18099" s="87"/>
      <c r="C18099" s="87"/>
      <c r="D18099" s="87"/>
      <c r="E18099" s="87"/>
      <c r="F18099" s="87"/>
      <c r="G18099" s="87"/>
    </row>
    <row r="18100">
      <c r="A18100" s="86" t="str">
        <f>IFERROR(__xludf.DUMMYFUNCTION("""COMPUTED_VALUE"""),"")</f>
        <v/>
      </c>
      <c r="B18100" s="87"/>
      <c r="C18100" s="87"/>
      <c r="D18100" s="87"/>
      <c r="E18100" s="87"/>
      <c r="F18100" s="87"/>
      <c r="G18100" s="87"/>
    </row>
    <row r="18101">
      <c r="A18101" s="86" t="str">
        <f>IFERROR(__xludf.DUMMYFUNCTION("""COMPUTED_VALUE"""),"")</f>
        <v/>
      </c>
      <c r="B18101" s="87"/>
      <c r="C18101" s="87"/>
      <c r="D18101" s="87"/>
      <c r="E18101" s="87"/>
      <c r="F18101" s="87"/>
      <c r="G18101" s="87"/>
    </row>
    <row r="18102">
      <c r="A18102" s="86" t="str">
        <f>IFERROR(__xludf.DUMMYFUNCTION("""COMPUTED_VALUE"""),"")</f>
        <v/>
      </c>
      <c r="B18102" s="87"/>
      <c r="C18102" s="87"/>
      <c r="D18102" s="87"/>
      <c r="E18102" s="87"/>
      <c r="F18102" s="87"/>
      <c r="G18102" s="87"/>
    </row>
    <row r="18103">
      <c r="A18103" s="86" t="str">
        <f>IFERROR(__xludf.DUMMYFUNCTION("""COMPUTED_VALUE"""),"")</f>
        <v/>
      </c>
      <c r="B18103" s="87"/>
      <c r="C18103" s="87"/>
      <c r="D18103" s="87"/>
      <c r="E18103" s="87"/>
      <c r="F18103" s="87"/>
      <c r="G18103" s="87"/>
    </row>
    <row r="18104">
      <c r="A18104" s="86" t="str">
        <f>IFERROR(__xludf.DUMMYFUNCTION("""COMPUTED_VALUE"""),"")</f>
        <v/>
      </c>
      <c r="B18104" s="87"/>
      <c r="C18104" s="87"/>
      <c r="D18104" s="87"/>
      <c r="E18104" s="87"/>
      <c r="F18104" s="87"/>
      <c r="G18104" s="87"/>
    </row>
    <row r="18105">
      <c r="A18105" s="86" t="str">
        <f>IFERROR(__xludf.DUMMYFUNCTION("""COMPUTED_VALUE"""),"")</f>
        <v/>
      </c>
      <c r="B18105" s="87"/>
      <c r="C18105" s="87"/>
      <c r="D18105" s="87"/>
      <c r="E18105" s="87"/>
      <c r="F18105" s="87"/>
      <c r="G18105" s="87"/>
    </row>
    <row r="18106">
      <c r="A18106" s="86" t="str">
        <f>IFERROR(__xludf.DUMMYFUNCTION("""COMPUTED_VALUE"""),"")</f>
        <v/>
      </c>
      <c r="B18106" s="87"/>
      <c r="C18106" s="87"/>
      <c r="D18106" s="87"/>
      <c r="E18106" s="87"/>
      <c r="F18106" s="87"/>
      <c r="G18106" s="87"/>
    </row>
    <row r="18107">
      <c r="A18107" s="86" t="str">
        <f>IFERROR(__xludf.DUMMYFUNCTION("""COMPUTED_VALUE"""),"")</f>
        <v/>
      </c>
      <c r="B18107" s="87"/>
      <c r="C18107" s="87"/>
      <c r="D18107" s="87"/>
      <c r="E18107" s="87"/>
      <c r="F18107" s="87"/>
      <c r="G18107" s="87"/>
    </row>
    <row r="18108">
      <c r="A18108" s="86" t="str">
        <f>IFERROR(__xludf.DUMMYFUNCTION("""COMPUTED_VALUE"""),"")</f>
        <v/>
      </c>
      <c r="B18108" s="87"/>
      <c r="C18108" s="87"/>
      <c r="D18108" s="87"/>
      <c r="E18108" s="87"/>
      <c r="F18108" s="87"/>
      <c r="G18108" s="87"/>
    </row>
    <row r="18109">
      <c r="A18109" s="86" t="str">
        <f>IFERROR(__xludf.DUMMYFUNCTION("""COMPUTED_VALUE"""),"")</f>
        <v/>
      </c>
      <c r="B18109" s="87"/>
      <c r="C18109" s="87"/>
      <c r="D18109" s="87"/>
      <c r="E18109" s="87"/>
      <c r="F18109" s="87"/>
      <c r="G18109" s="87"/>
    </row>
    <row r="18110">
      <c r="A18110" s="86" t="str">
        <f>IFERROR(__xludf.DUMMYFUNCTION("""COMPUTED_VALUE"""),"")</f>
        <v/>
      </c>
      <c r="B18110" s="87"/>
      <c r="C18110" s="87"/>
      <c r="D18110" s="87"/>
      <c r="E18110" s="87"/>
      <c r="F18110" s="87"/>
      <c r="G18110" s="87"/>
    </row>
    <row r="18111">
      <c r="A18111" s="86" t="str">
        <f>IFERROR(__xludf.DUMMYFUNCTION("""COMPUTED_VALUE"""),"")</f>
        <v/>
      </c>
      <c r="B18111" s="87"/>
      <c r="C18111" s="87"/>
      <c r="D18111" s="87"/>
      <c r="E18111" s="87"/>
      <c r="F18111" s="87"/>
      <c r="G18111" s="87"/>
    </row>
    <row r="18112">
      <c r="A18112" s="86" t="str">
        <f>IFERROR(__xludf.DUMMYFUNCTION("""COMPUTED_VALUE"""),"")</f>
        <v/>
      </c>
      <c r="B18112" s="87"/>
      <c r="C18112" s="87"/>
      <c r="D18112" s="87"/>
      <c r="E18112" s="87"/>
      <c r="F18112" s="87"/>
      <c r="G18112" s="87"/>
    </row>
    <row r="18113">
      <c r="A18113" s="86" t="str">
        <f>IFERROR(__xludf.DUMMYFUNCTION("""COMPUTED_VALUE"""),"")</f>
        <v/>
      </c>
      <c r="B18113" s="87"/>
      <c r="C18113" s="87"/>
      <c r="D18113" s="87"/>
      <c r="E18113" s="87"/>
      <c r="F18113" s="87"/>
      <c r="G18113" s="87"/>
    </row>
    <row r="18114">
      <c r="A18114" s="86" t="str">
        <f>IFERROR(__xludf.DUMMYFUNCTION("""COMPUTED_VALUE"""),"")</f>
        <v/>
      </c>
      <c r="B18114" s="87"/>
      <c r="C18114" s="87"/>
      <c r="D18114" s="87"/>
      <c r="E18114" s="87"/>
      <c r="F18114" s="87"/>
      <c r="G18114" s="87"/>
    </row>
    <row r="18115">
      <c r="A18115" s="86" t="str">
        <f>IFERROR(__xludf.DUMMYFUNCTION("""COMPUTED_VALUE"""),"")</f>
        <v/>
      </c>
      <c r="B18115" s="87"/>
      <c r="C18115" s="87"/>
      <c r="D18115" s="87"/>
      <c r="E18115" s="87"/>
      <c r="F18115" s="87"/>
      <c r="G18115" s="87"/>
    </row>
    <row r="18116">
      <c r="A18116" s="86" t="str">
        <f>IFERROR(__xludf.DUMMYFUNCTION("""COMPUTED_VALUE"""),"")</f>
        <v/>
      </c>
      <c r="B18116" s="87"/>
      <c r="C18116" s="87"/>
      <c r="D18116" s="87"/>
      <c r="E18116" s="87"/>
      <c r="F18116" s="87"/>
      <c r="G18116" s="87"/>
    </row>
    <row r="18117">
      <c r="A18117" s="86" t="str">
        <f>IFERROR(__xludf.DUMMYFUNCTION("""COMPUTED_VALUE"""),"")</f>
        <v/>
      </c>
      <c r="B18117" s="87"/>
      <c r="C18117" s="87"/>
      <c r="D18117" s="87"/>
      <c r="E18117" s="87"/>
      <c r="F18117" s="87"/>
      <c r="G18117" s="87"/>
    </row>
    <row r="18118">
      <c r="A18118" s="86" t="str">
        <f>IFERROR(__xludf.DUMMYFUNCTION("""COMPUTED_VALUE"""),"")</f>
        <v/>
      </c>
      <c r="B18118" s="87"/>
      <c r="C18118" s="87"/>
      <c r="D18118" s="87"/>
      <c r="E18118" s="87"/>
      <c r="F18118" s="87"/>
      <c r="G18118" s="87"/>
    </row>
    <row r="18119">
      <c r="A18119" s="86" t="str">
        <f>IFERROR(__xludf.DUMMYFUNCTION("""COMPUTED_VALUE"""),"")</f>
        <v/>
      </c>
      <c r="B18119" s="87"/>
      <c r="C18119" s="87"/>
      <c r="D18119" s="87"/>
      <c r="E18119" s="87"/>
      <c r="F18119" s="87"/>
      <c r="G18119" s="87"/>
    </row>
    <row r="18120">
      <c r="A18120" s="86" t="str">
        <f>IFERROR(__xludf.DUMMYFUNCTION("""COMPUTED_VALUE"""),"")</f>
        <v/>
      </c>
      <c r="B18120" s="87"/>
      <c r="C18120" s="87"/>
      <c r="D18120" s="87"/>
      <c r="E18120" s="87"/>
      <c r="F18120" s="87"/>
      <c r="G18120" s="87"/>
    </row>
    <row r="18121">
      <c r="A18121" s="86" t="str">
        <f>IFERROR(__xludf.DUMMYFUNCTION("""COMPUTED_VALUE"""),"")</f>
        <v/>
      </c>
      <c r="B18121" s="87"/>
      <c r="C18121" s="87"/>
      <c r="D18121" s="87"/>
      <c r="E18121" s="87"/>
      <c r="F18121" s="87"/>
      <c r="G18121" s="87"/>
    </row>
    <row r="18122">
      <c r="A18122" s="86" t="str">
        <f>IFERROR(__xludf.DUMMYFUNCTION("""COMPUTED_VALUE"""),"")</f>
        <v/>
      </c>
      <c r="B18122" s="87"/>
      <c r="C18122" s="87"/>
      <c r="D18122" s="87"/>
      <c r="E18122" s="87"/>
      <c r="F18122" s="87"/>
      <c r="G18122" s="87"/>
    </row>
    <row r="18123">
      <c r="A18123" s="86" t="str">
        <f>IFERROR(__xludf.DUMMYFUNCTION("""COMPUTED_VALUE"""),"")</f>
        <v/>
      </c>
      <c r="B18123" s="87"/>
      <c r="C18123" s="87"/>
      <c r="D18123" s="87"/>
      <c r="E18123" s="87"/>
      <c r="F18123" s="87"/>
      <c r="G18123" s="87"/>
    </row>
    <row r="18124">
      <c r="A18124" s="86" t="str">
        <f>IFERROR(__xludf.DUMMYFUNCTION("""COMPUTED_VALUE"""),"")</f>
        <v/>
      </c>
      <c r="B18124" s="87"/>
      <c r="C18124" s="87"/>
      <c r="D18124" s="87"/>
      <c r="E18124" s="87"/>
      <c r="F18124" s="87"/>
      <c r="G18124" s="87"/>
    </row>
    <row r="18125">
      <c r="A18125" s="86" t="str">
        <f>IFERROR(__xludf.DUMMYFUNCTION("""COMPUTED_VALUE"""),"")</f>
        <v/>
      </c>
      <c r="B18125" s="87"/>
      <c r="C18125" s="87"/>
      <c r="D18125" s="87"/>
      <c r="E18125" s="87"/>
      <c r="F18125" s="87"/>
      <c r="G18125" s="87"/>
    </row>
    <row r="18126">
      <c r="A18126" s="86" t="str">
        <f>IFERROR(__xludf.DUMMYFUNCTION("""COMPUTED_VALUE"""),"")</f>
        <v/>
      </c>
      <c r="B18126" s="87"/>
      <c r="C18126" s="87"/>
      <c r="D18126" s="87"/>
      <c r="E18126" s="87"/>
      <c r="F18126" s="87"/>
      <c r="G18126" s="87"/>
    </row>
    <row r="18127">
      <c r="A18127" s="86" t="str">
        <f>IFERROR(__xludf.DUMMYFUNCTION("""COMPUTED_VALUE"""),"")</f>
        <v/>
      </c>
      <c r="B18127" s="87"/>
      <c r="C18127" s="87"/>
      <c r="D18127" s="87"/>
      <c r="E18127" s="87"/>
      <c r="F18127" s="87"/>
      <c r="G18127" s="87"/>
    </row>
    <row r="18128">
      <c r="A18128" s="86" t="str">
        <f>IFERROR(__xludf.DUMMYFUNCTION("""COMPUTED_VALUE"""),"")</f>
        <v/>
      </c>
      <c r="B18128" s="87"/>
      <c r="C18128" s="87"/>
      <c r="D18128" s="87"/>
      <c r="E18128" s="87"/>
      <c r="F18128" s="87"/>
      <c r="G18128" s="87"/>
    </row>
    <row r="18129">
      <c r="A18129" s="86" t="str">
        <f>IFERROR(__xludf.DUMMYFUNCTION("""COMPUTED_VALUE"""),"")</f>
        <v/>
      </c>
      <c r="B18129" s="87"/>
      <c r="C18129" s="87"/>
      <c r="D18129" s="87"/>
      <c r="E18129" s="87"/>
      <c r="F18129" s="87"/>
      <c r="G18129" s="87"/>
    </row>
    <row r="18130">
      <c r="A18130" s="86" t="str">
        <f>IFERROR(__xludf.DUMMYFUNCTION("""COMPUTED_VALUE"""),"")</f>
        <v/>
      </c>
      <c r="B18130" s="87"/>
      <c r="C18130" s="87"/>
      <c r="D18130" s="87"/>
      <c r="E18130" s="87"/>
      <c r="F18130" s="87"/>
      <c r="G18130" s="87"/>
    </row>
    <row r="18131">
      <c r="A18131" s="86" t="str">
        <f>IFERROR(__xludf.DUMMYFUNCTION("""COMPUTED_VALUE"""),"")</f>
        <v/>
      </c>
      <c r="B18131" s="87"/>
      <c r="C18131" s="87"/>
      <c r="D18131" s="87"/>
      <c r="E18131" s="87"/>
      <c r="F18131" s="87"/>
      <c r="G18131" s="87"/>
    </row>
    <row r="18132">
      <c r="A18132" s="86" t="str">
        <f>IFERROR(__xludf.DUMMYFUNCTION("""COMPUTED_VALUE"""),"")</f>
        <v/>
      </c>
      <c r="B18132" s="87"/>
      <c r="C18132" s="87"/>
      <c r="D18132" s="87"/>
      <c r="E18132" s="87"/>
      <c r="F18132" s="87"/>
      <c r="G18132" s="87"/>
    </row>
    <row r="18133">
      <c r="A18133" s="86" t="str">
        <f>IFERROR(__xludf.DUMMYFUNCTION("""COMPUTED_VALUE"""),"")</f>
        <v/>
      </c>
      <c r="B18133" s="87"/>
      <c r="C18133" s="87"/>
      <c r="D18133" s="87"/>
      <c r="E18133" s="87"/>
      <c r="F18133" s="87"/>
      <c r="G18133" s="87"/>
    </row>
    <row r="18134">
      <c r="A18134" s="86" t="str">
        <f>IFERROR(__xludf.DUMMYFUNCTION("""COMPUTED_VALUE"""),"")</f>
        <v/>
      </c>
      <c r="B18134" s="87"/>
      <c r="C18134" s="87"/>
      <c r="D18134" s="87"/>
      <c r="E18134" s="87"/>
      <c r="F18134" s="87"/>
      <c r="G18134" s="87"/>
    </row>
    <row r="18135">
      <c r="A18135" s="86" t="str">
        <f>IFERROR(__xludf.DUMMYFUNCTION("""COMPUTED_VALUE"""),"")</f>
        <v/>
      </c>
      <c r="B18135" s="87"/>
      <c r="C18135" s="87"/>
      <c r="D18135" s="87"/>
      <c r="E18135" s="87"/>
      <c r="F18135" s="87"/>
      <c r="G18135" s="87"/>
    </row>
    <row r="18136">
      <c r="A18136" s="86" t="str">
        <f>IFERROR(__xludf.DUMMYFUNCTION("""COMPUTED_VALUE"""),"")</f>
        <v/>
      </c>
      <c r="B18136" s="87"/>
      <c r="C18136" s="87"/>
      <c r="D18136" s="87"/>
      <c r="E18136" s="87"/>
      <c r="F18136" s="87"/>
      <c r="G18136" s="87"/>
    </row>
    <row r="18137">
      <c r="A18137" s="86" t="str">
        <f>IFERROR(__xludf.DUMMYFUNCTION("""COMPUTED_VALUE"""),"")</f>
        <v/>
      </c>
      <c r="B18137" s="87"/>
      <c r="C18137" s="87"/>
      <c r="D18137" s="87"/>
      <c r="E18137" s="87"/>
      <c r="F18137" s="87"/>
      <c r="G18137" s="87"/>
    </row>
    <row r="18138">
      <c r="A18138" s="86" t="str">
        <f>IFERROR(__xludf.DUMMYFUNCTION("""COMPUTED_VALUE"""),"")</f>
        <v/>
      </c>
      <c r="B18138" s="87"/>
      <c r="C18138" s="87"/>
      <c r="D18138" s="87"/>
      <c r="E18138" s="87"/>
      <c r="F18138" s="87"/>
      <c r="G18138" s="87"/>
    </row>
    <row r="18139">
      <c r="A18139" s="86" t="str">
        <f>IFERROR(__xludf.DUMMYFUNCTION("""COMPUTED_VALUE"""),"")</f>
        <v/>
      </c>
      <c r="B18139" s="87"/>
      <c r="C18139" s="87"/>
      <c r="D18139" s="87"/>
      <c r="E18139" s="87"/>
      <c r="F18139" s="87"/>
      <c r="G18139" s="87"/>
    </row>
    <row r="18140">
      <c r="A18140" s="86" t="str">
        <f>IFERROR(__xludf.DUMMYFUNCTION("""COMPUTED_VALUE"""),"")</f>
        <v/>
      </c>
      <c r="B18140" s="87"/>
      <c r="C18140" s="87"/>
      <c r="D18140" s="87"/>
      <c r="E18140" s="87"/>
      <c r="F18140" s="87"/>
      <c r="G18140" s="87"/>
    </row>
    <row r="18141">
      <c r="A18141" s="86" t="str">
        <f>IFERROR(__xludf.DUMMYFUNCTION("""COMPUTED_VALUE"""),"")</f>
        <v/>
      </c>
      <c r="B18141" s="87"/>
      <c r="C18141" s="87"/>
      <c r="D18141" s="87"/>
      <c r="E18141" s="87"/>
      <c r="F18141" s="87"/>
      <c r="G18141" s="87"/>
    </row>
    <row r="18142">
      <c r="A18142" s="86" t="str">
        <f>IFERROR(__xludf.DUMMYFUNCTION("""COMPUTED_VALUE"""),"")</f>
        <v/>
      </c>
      <c r="B18142" s="87"/>
      <c r="C18142" s="87"/>
      <c r="D18142" s="87"/>
      <c r="E18142" s="87"/>
      <c r="F18142" s="87"/>
      <c r="G18142" s="87"/>
    </row>
    <row r="18143">
      <c r="A18143" s="86" t="str">
        <f>IFERROR(__xludf.DUMMYFUNCTION("""COMPUTED_VALUE"""),"")</f>
        <v/>
      </c>
      <c r="B18143" s="87"/>
      <c r="C18143" s="87"/>
      <c r="D18143" s="87"/>
      <c r="E18143" s="87"/>
      <c r="F18143" s="87"/>
      <c r="G18143" s="87"/>
    </row>
    <row r="18144">
      <c r="A18144" s="86" t="str">
        <f>IFERROR(__xludf.DUMMYFUNCTION("""COMPUTED_VALUE"""),"")</f>
        <v/>
      </c>
      <c r="B18144" s="87"/>
      <c r="C18144" s="87"/>
      <c r="D18144" s="87"/>
      <c r="E18144" s="87"/>
      <c r="F18144" s="87"/>
      <c r="G18144" s="87"/>
    </row>
    <row r="18145">
      <c r="A18145" s="86" t="str">
        <f>IFERROR(__xludf.DUMMYFUNCTION("""COMPUTED_VALUE"""),"")</f>
        <v/>
      </c>
      <c r="B18145" s="87"/>
      <c r="C18145" s="87"/>
      <c r="D18145" s="87"/>
      <c r="E18145" s="87"/>
      <c r="F18145" s="87"/>
      <c r="G18145" s="87"/>
    </row>
    <row r="18146">
      <c r="A18146" s="86" t="str">
        <f>IFERROR(__xludf.DUMMYFUNCTION("""COMPUTED_VALUE"""),"")</f>
        <v/>
      </c>
      <c r="B18146" s="87"/>
      <c r="C18146" s="87"/>
      <c r="D18146" s="87"/>
      <c r="E18146" s="87"/>
      <c r="F18146" s="87"/>
      <c r="G18146" s="87"/>
    </row>
    <row r="18147">
      <c r="A18147" s="86" t="str">
        <f>IFERROR(__xludf.DUMMYFUNCTION("""COMPUTED_VALUE"""),"")</f>
        <v/>
      </c>
      <c r="B18147" s="87"/>
      <c r="C18147" s="87"/>
      <c r="D18147" s="87"/>
      <c r="E18147" s="87"/>
      <c r="F18147" s="87"/>
      <c r="G18147" s="87"/>
    </row>
    <row r="18148">
      <c r="A18148" s="86" t="str">
        <f>IFERROR(__xludf.DUMMYFUNCTION("""COMPUTED_VALUE"""),"")</f>
        <v/>
      </c>
      <c r="B18148" s="87"/>
      <c r="C18148" s="87"/>
      <c r="D18148" s="87"/>
      <c r="E18148" s="87"/>
      <c r="F18148" s="87"/>
      <c r="G18148" s="87"/>
    </row>
    <row r="18149">
      <c r="A18149" s="86" t="str">
        <f>IFERROR(__xludf.DUMMYFUNCTION("""COMPUTED_VALUE"""),"")</f>
        <v/>
      </c>
      <c r="B18149" s="87"/>
      <c r="C18149" s="87"/>
      <c r="D18149" s="87"/>
      <c r="E18149" s="87"/>
      <c r="F18149" s="87"/>
      <c r="G18149" s="87"/>
    </row>
    <row r="18150">
      <c r="A18150" s="86" t="str">
        <f>IFERROR(__xludf.DUMMYFUNCTION("""COMPUTED_VALUE"""),"")</f>
        <v/>
      </c>
      <c r="B18150" s="87"/>
      <c r="C18150" s="87"/>
      <c r="D18150" s="87"/>
      <c r="E18150" s="87"/>
      <c r="F18150" s="87"/>
      <c r="G18150" s="87"/>
    </row>
    <row r="18151">
      <c r="A18151" s="86" t="str">
        <f>IFERROR(__xludf.DUMMYFUNCTION("""COMPUTED_VALUE"""),"")</f>
        <v/>
      </c>
      <c r="B18151" s="87"/>
      <c r="C18151" s="87"/>
      <c r="D18151" s="87"/>
      <c r="E18151" s="87"/>
      <c r="F18151" s="87"/>
      <c r="G18151" s="87"/>
    </row>
    <row r="18152">
      <c r="A18152" s="86" t="str">
        <f>IFERROR(__xludf.DUMMYFUNCTION("""COMPUTED_VALUE"""),"")</f>
        <v/>
      </c>
      <c r="B18152" s="87"/>
      <c r="C18152" s="87"/>
      <c r="D18152" s="87"/>
      <c r="E18152" s="87"/>
      <c r="F18152" s="87"/>
      <c r="G18152" s="87"/>
    </row>
    <row r="18153">
      <c r="A18153" s="86" t="str">
        <f>IFERROR(__xludf.DUMMYFUNCTION("""COMPUTED_VALUE"""),"")</f>
        <v/>
      </c>
      <c r="B18153" s="87"/>
      <c r="C18153" s="87"/>
      <c r="D18153" s="87"/>
      <c r="E18153" s="87"/>
      <c r="F18153" s="87"/>
      <c r="G18153" s="87"/>
    </row>
    <row r="18154">
      <c r="A18154" s="86" t="str">
        <f>IFERROR(__xludf.DUMMYFUNCTION("""COMPUTED_VALUE"""),"")</f>
        <v/>
      </c>
      <c r="B18154" s="87"/>
      <c r="C18154" s="87"/>
      <c r="D18154" s="87"/>
      <c r="E18154" s="87"/>
      <c r="F18154" s="87"/>
      <c r="G18154" s="87"/>
    </row>
    <row r="18155">
      <c r="A18155" s="86" t="str">
        <f>IFERROR(__xludf.DUMMYFUNCTION("""COMPUTED_VALUE"""),"")</f>
        <v/>
      </c>
      <c r="B18155" s="87"/>
      <c r="C18155" s="87"/>
      <c r="D18155" s="87"/>
      <c r="E18155" s="87"/>
      <c r="F18155" s="87"/>
      <c r="G18155" s="87"/>
    </row>
    <row r="18156">
      <c r="A18156" s="86" t="str">
        <f>IFERROR(__xludf.DUMMYFUNCTION("""COMPUTED_VALUE"""),"")</f>
        <v/>
      </c>
      <c r="B18156" s="87"/>
      <c r="C18156" s="87"/>
      <c r="D18156" s="87"/>
      <c r="E18156" s="87"/>
      <c r="F18156" s="87"/>
      <c r="G18156" s="87"/>
    </row>
    <row r="18157">
      <c r="A18157" s="86" t="str">
        <f>IFERROR(__xludf.DUMMYFUNCTION("""COMPUTED_VALUE"""),"")</f>
        <v/>
      </c>
      <c r="B18157" s="87"/>
      <c r="C18157" s="87"/>
      <c r="D18157" s="87"/>
      <c r="E18157" s="87"/>
      <c r="F18157" s="87"/>
      <c r="G18157" s="87"/>
    </row>
    <row r="18158">
      <c r="A18158" s="86" t="str">
        <f>IFERROR(__xludf.DUMMYFUNCTION("""COMPUTED_VALUE"""),"")</f>
        <v/>
      </c>
      <c r="B18158" s="87"/>
      <c r="C18158" s="87"/>
      <c r="D18158" s="87"/>
      <c r="E18158" s="87"/>
      <c r="F18158" s="87"/>
      <c r="G18158" s="87"/>
    </row>
    <row r="18159">
      <c r="A18159" s="86" t="str">
        <f>IFERROR(__xludf.DUMMYFUNCTION("""COMPUTED_VALUE"""),"")</f>
        <v/>
      </c>
      <c r="B18159" s="87"/>
      <c r="C18159" s="87"/>
      <c r="D18159" s="87"/>
      <c r="E18159" s="87"/>
      <c r="F18159" s="87"/>
      <c r="G18159" s="87"/>
    </row>
    <row r="18160">
      <c r="A18160" s="86" t="str">
        <f>IFERROR(__xludf.DUMMYFUNCTION("""COMPUTED_VALUE"""),"")</f>
        <v/>
      </c>
      <c r="B18160" s="87"/>
      <c r="C18160" s="87"/>
      <c r="D18160" s="87"/>
      <c r="E18160" s="87"/>
      <c r="F18160" s="87"/>
      <c r="G18160" s="87"/>
    </row>
    <row r="18161">
      <c r="A18161" s="86" t="str">
        <f>IFERROR(__xludf.DUMMYFUNCTION("""COMPUTED_VALUE"""),"")</f>
        <v/>
      </c>
      <c r="B18161" s="87"/>
      <c r="C18161" s="87"/>
      <c r="D18161" s="87"/>
      <c r="E18161" s="87"/>
      <c r="F18161" s="87"/>
      <c r="G18161" s="87"/>
    </row>
    <row r="18162">
      <c r="A18162" s="86" t="str">
        <f>IFERROR(__xludf.DUMMYFUNCTION("""COMPUTED_VALUE"""),"")</f>
        <v/>
      </c>
      <c r="B18162" s="87"/>
      <c r="C18162" s="87"/>
      <c r="D18162" s="87"/>
      <c r="E18162" s="87"/>
      <c r="F18162" s="87"/>
      <c r="G18162" s="87"/>
    </row>
    <row r="18163">
      <c r="A18163" s="86" t="str">
        <f>IFERROR(__xludf.DUMMYFUNCTION("""COMPUTED_VALUE"""),"")</f>
        <v/>
      </c>
      <c r="B18163" s="87"/>
      <c r="C18163" s="87"/>
      <c r="D18163" s="87"/>
      <c r="E18163" s="87"/>
      <c r="F18163" s="87"/>
      <c r="G18163" s="87"/>
    </row>
    <row r="18164">
      <c r="A18164" s="86" t="str">
        <f>IFERROR(__xludf.DUMMYFUNCTION("""COMPUTED_VALUE"""),"")</f>
        <v/>
      </c>
      <c r="B18164" s="87"/>
      <c r="C18164" s="87"/>
      <c r="D18164" s="87"/>
      <c r="E18164" s="87"/>
      <c r="F18164" s="87"/>
      <c r="G18164" s="87"/>
    </row>
    <row r="18165">
      <c r="A18165" s="86" t="str">
        <f>IFERROR(__xludf.DUMMYFUNCTION("""COMPUTED_VALUE"""),"")</f>
        <v/>
      </c>
      <c r="B18165" s="87"/>
      <c r="C18165" s="87"/>
      <c r="D18165" s="87"/>
      <c r="E18165" s="87"/>
      <c r="F18165" s="87"/>
      <c r="G18165" s="87"/>
    </row>
    <row r="18166">
      <c r="A18166" s="86" t="str">
        <f>IFERROR(__xludf.DUMMYFUNCTION("""COMPUTED_VALUE"""),"")</f>
        <v/>
      </c>
      <c r="B18166" s="87"/>
      <c r="C18166" s="87"/>
      <c r="D18166" s="87"/>
      <c r="E18166" s="87"/>
      <c r="F18166" s="87"/>
      <c r="G18166" s="87"/>
    </row>
    <row r="18167">
      <c r="A18167" s="86" t="str">
        <f>IFERROR(__xludf.DUMMYFUNCTION("""COMPUTED_VALUE"""),"")</f>
        <v/>
      </c>
      <c r="B18167" s="87"/>
      <c r="C18167" s="87"/>
      <c r="D18167" s="87"/>
      <c r="E18167" s="87"/>
      <c r="F18167" s="87"/>
      <c r="G18167" s="87"/>
    </row>
    <row r="18168">
      <c r="A18168" s="86" t="str">
        <f>IFERROR(__xludf.DUMMYFUNCTION("""COMPUTED_VALUE"""),"")</f>
        <v/>
      </c>
      <c r="B18168" s="87"/>
      <c r="C18168" s="87"/>
      <c r="D18168" s="87"/>
      <c r="E18168" s="87"/>
      <c r="F18168" s="87"/>
      <c r="G18168" s="87"/>
    </row>
    <row r="18169">
      <c r="A18169" s="86" t="str">
        <f>IFERROR(__xludf.DUMMYFUNCTION("""COMPUTED_VALUE"""),"")</f>
        <v/>
      </c>
      <c r="B18169" s="87"/>
      <c r="C18169" s="87"/>
      <c r="D18169" s="87"/>
      <c r="E18169" s="87"/>
      <c r="F18169" s="87"/>
      <c r="G18169" s="87"/>
    </row>
    <row r="18170">
      <c r="A18170" s="86" t="str">
        <f>IFERROR(__xludf.DUMMYFUNCTION("""COMPUTED_VALUE"""),"")</f>
        <v/>
      </c>
      <c r="B18170" s="87"/>
      <c r="C18170" s="87"/>
      <c r="D18170" s="87"/>
      <c r="E18170" s="87"/>
      <c r="F18170" s="87"/>
      <c r="G18170" s="87"/>
    </row>
    <row r="18171">
      <c r="A18171" s="86" t="str">
        <f>IFERROR(__xludf.DUMMYFUNCTION("""COMPUTED_VALUE"""),"")</f>
        <v/>
      </c>
      <c r="B18171" s="87"/>
      <c r="C18171" s="87"/>
      <c r="D18171" s="87"/>
      <c r="E18171" s="87"/>
      <c r="F18171" s="87"/>
      <c r="G18171" s="87"/>
    </row>
    <row r="18172">
      <c r="A18172" s="86" t="str">
        <f>IFERROR(__xludf.DUMMYFUNCTION("""COMPUTED_VALUE"""),"")</f>
        <v/>
      </c>
      <c r="B18172" s="87"/>
      <c r="C18172" s="87"/>
      <c r="D18172" s="87"/>
      <c r="E18172" s="87"/>
      <c r="F18172" s="87"/>
      <c r="G18172" s="87"/>
    </row>
    <row r="18173">
      <c r="A18173" s="86" t="str">
        <f>IFERROR(__xludf.DUMMYFUNCTION("""COMPUTED_VALUE"""),"")</f>
        <v/>
      </c>
      <c r="B18173" s="87"/>
      <c r="C18173" s="87"/>
      <c r="D18173" s="87"/>
      <c r="E18173" s="87"/>
      <c r="F18173" s="87"/>
      <c r="G18173" s="87"/>
    </row>
    <row r="18174">
      <c r="A18174" s="86" t="str">
        <f>IFERROR(__xludf.DUMMYFUNCTION("""COMPUTED_VALUE"""),"")</f>
        <v/>
      </c>
      <c r="B18174" s="87"/>
      <c r="C18174" s="87"/>
      <c r="D18174" s="87"/>
      <c r="E18174" s="87"/>
      <c r="F18174" s="87"/>
      <c r="G18174" s="87"/>
    </row>
    <row r="18175">
      <c r="A18175" s="86" t="str">
        <f>IFERROR(__xludf.DUMMYFUNCTION("""COMPUTED_VALUE"""),"")</f>
        <v/>
      </c>
      <c r="B18175" s="87"/>
      <c r="C18175" s="87"/>
      <c r="D18175" s="87"/>
      <c r="E18175" s="87"/>
      <c r="F18175" s="87"/>
      <c r="G18175" s="87"/>
    </row>
    <row r="18176">
      <c r="A18176" s="86" t="str">
        <f>IFERROR(__xludf.DUMMYFUNCTION("""COMPUTED_VALUE"""),"")</f>
        <v/>
      </c>
      <c r="B18176" s="87"/>
      <c r="C18176" s="87"/>
      <c r="D18176" s="87"/>
      <c r="E18176" s="87"/>
      <c r="F18176" s="87"/>
      <c r="G18176" s="87"/>
    </row>
    <row r="18177">
      <c r="A18177" s="86" t="str">
        <f>IFERROR(__xludf.DUMMYFUNCTION("""COMPUTED_VALUE"""),"")</f>
        <v/>
      </c>
      <c r="B18177" s="87"/>
      <c r="C18177" s="87"/>
      <c r="D18177" s="87"/>
      <c r="E18177" s="87"/>
      <c r="F18177" s="87"/>
      <c r="G18177" s="87"/>
    </row>
    <row r="18178">
      <c r="A18178" s="86" t="str">
        <f>IFERROR(__xludf.DUMMYFUNCTION("""COMPUTED_VALUE"""),"")</f>
        <v/>
      </c>
      <c r="B18178" s="87"/>
      <c r="C18178" s="87"/>
      <c r="D18178" s="87"/>
      <c r="E18178" s="87"/>
      <c r="F18178" s="87"/>
      <c r="G18178" s="87"/>
    </row>
    <row r="18179">
      <c r="A18179" s="86" t="str">
        <f>IFERROR(__xludf.DUMMYFUNCTION("""COMPUTED_VALUE"""),"")</f>
        <v/>
      </c>
      <c r="B18179" s="87"/>
      <c r="C18179" s="87"/>
      <c r="D18179" s="87"/>
      <c r="E18179" s="87"/>
      <c r="F18179" s="87"/>
      <c r="G18179" s="87"/>
    </row>
    <row r="18180">
      <c r="A18180" s="86" t="str">
        <f>IFERROR(__xludf.DUMMYFUNCTION("""COMPUTED_VALUE"""),"")</f>
        <v/>
      </c>
      <c r="B18180" s="87"/>
      <c r="C18180" s="87"/>
      <c r="D18180" s="87"/>
      <c r="E18180" s="87"/>
      <c r="F18180" s="87"/>
      <c r="G18180" s="87"/>
    </row>
    <row r="18181">
      <c r="A18181" s="86" t="str">
        <f>IFERROR(__xludf.DUMMYFUNCTION("""COMPUTED_VALUE"""),"")</f>
        <v/>
      </c>
      <c r="B18181" s="87"/>
      <c r="C18181" s="87"/>
      <c r="D18181" s="87"/>
      <c r="E18181" s="87"/>
      <c r="F18181" s="87"/>
      <c r="G18181" s="87"/>
    </row>
    <row r="18182">
      <c r="A18182" s="86" t="str">
        <f>IFERROR(__xludf.DUMMYFUNCTION("""COMPUTED_VALUE"""),"")</f>
        <v/>
      </c>
      <c r="B18182" s="87"/>
      <c r="C18182" s="87"/>
      <c r="D18182" s="87"/>
      <c r="E18182" s="87"/>
      <c r="F18182" s="87"/>
      <c r="G18182" s="87"/>
    </row>
    <row r="18183">
      <c r="A18183" s="86" t="str">
        <f>IFERROR(__xludf.DUMMYFUNCTION("""COMPUTED_VALUE"""),"")</f>
        <v/>
      </c>
      <c r="B18183" s="87"/>
      <c r="C18183" s="87"/>
      <c r="D18183" s="87"/>
      <c r="E18183" s="87"/>
      <c r="F18183" s="87"/>
      <c r="G18183" s="87"/>
    </row>
    <row r="18184">
      <c r="A18184" s="86" t="str">
        <f>IFERROR(__xludf.DUMMYFUNCTION("""COMPUTED_VALUE"""),"")</f>
        <v/>
      </c>
      <c r="B18184" s="87"/>
      <c r="C18184" s="87"/>
      <c r="D18184" s="87"/>
      <c r="E18184" s="87"/>
      <c r="F18184" s="87"/>
      <c r="G18184" s="87"/>
    </row>
    <row r="18185">
      <c r="A18185" s="86" t="str">
        <f>IFERROR(__xludf.DUMMYFUNCTION("""COMPUTED_VALUE"""),"")</f>
        <v/>
      </c>
      <c r="B18185" s="87"/>
      <c r="C18185" s="87"/>
      <c r="D18185" s="87"/>
      <c r="E18185" s="87"/>
      <c r="F18185" s="87"/>
      <c r="G18185" s="87"/>
    </row>
    <row r="18186">
      <c r="A18186" s="86" t="str">
        <f>IFERROR(__xludf.DUMMYFUNCTION("""COMPUTED_VALUE"""),"")</f>
        <v/>
      </c>
      <c r="B18186" s="87"/>
      <c r="C18186" s="87"/>
      <c r="D18186" s="87"/>
      <c r="E18186" s="87"/>
      <c r="F18186" s="87"/>
      <c r="G18186" s="87"/>
    </row>
    <row r="18187">
      <c r="A18187" s="86" t="str">
        <f>IFERROR(__xludf.DUMMYFUNCTION("""COMPUTED_VALUE"""),"")</f>
        <v/>
      </c>
      <c r="B18187" s="87"/>
      <c r="C18187" s="87"/>
      <c r="D18187" s="87"/>
      <c r="E18187" s="87"/>
      <c r="F18187" s="87"/>
      <c r="G18187" s="87"/>
    </row>
    <row r="18188">
      <c r="A18188" s="86" t="str">
        <f>IFERROR(__xludf.DUMMYFUNCTION("""COMPUTED_VALUE"""),"")</f>
        <v/>
      </c>
      <c r="B18188" s="87"/>
      <c r="C18188" s="87"/>
      <c r="D18188" s="87"/>
      <c r="E18188" s="87"/>
      <c r="F18188" s="87"/>
      <c r="G18188" s="87"/>
    </row>
    <row r="18189">
      <c r="A18189" s="86" t="str">
        <f>IFERROR(__xludf.DUMMYFUNCTION("""COMPUTED_VALUE"""),"")</f>
        <v/>
      </c>
      <c r="B18189" s="87"/>
      <c r="C18189" s="87"/>
      <c r="D18189" s="87"/>
      <c r="E18189" s="87"/>
      <c r="F18189" s="87"/>
      <c r="G18189" s="87"/>
    </row>
    <row r="18190">
      <c r="A18190" s="86" t="str">
        <f>IFERROR(__xludf.DUMMYFUNCTION("""COMPUTED_VALUE"""),"")</f>
        <v/>
      </c>
      <c r="B18190" s="87"/>
      <c r="C18190" s="87"/>
      <c r="D18190" s="87"/>
      <c r="E18190" s="87"/>
      <c r="F18190" s="87"/>
      <c r="G18190" s="87"/>
    </row>
    <row r="18191">
      <c r="A18191" s="86" t="str">
        <f>IFERROR(__xludf.DUMMYFUNCTION("""COMPUTED_VALUE"""),"")</f>
        <v/>
      </c>
      <c r="B18191" s="87"/>
      <c r="C18191" s="87"/>
      <c r="D18191" s="87"/>
      <c r="E18191" s="87"/>
      <c r="F18191" s="87"/>
      <c r="G18191" s="87"/>
    </row>
    <row r="18192">
      <c r="A18192" s="86" t="str">
        <f>IFERROR(__xludf.DUMMYFUNCTION("""COMPUTED_VALUE"""),"")</f>
        <v/>
      </c>
      <c r="B18192" s="87"/>
      <c r="C18192" s="87"/>
      <c r="D18192" s="87"/>
      <c r="E18192" s="87"/>
      <c r="F18192" s="87"/>
      <c r="G18192" s="87"/>
    </row>
    <row r="18193">
      <c r="A18193" s="86" t="str">
        <f>IFERROR(__xludf.DUMMYFUNCTION("""COMPUTED_VALUE"""),"")</f>
        <v/>
      </c>
      <c r="B18193" s="87"/>
      <c r="C18193" s="87"/>
      <c r="D18193" s="87"/>
      <c r="E18193" s="87"/>
      <c r="F18193" s="87"/>
      <c r="G18193" s="87"/>
    </row>
    <row r="18194">
      <c r="A18194" s="86" t="str">
        <f>IFERROR(__xludf.DUMMYFUNCTION("""COMPUTED_VALUE"""),"")</f>
        <v/>
      </c>
      <c r="B18194" s="87"/>
      <c r="C18194" s="87"/>
      <c r="D18194" s="87"/>
      <c r="E18194" s="87"/>
      <c r="F18194" s="87"/>
      <c r="G18194" s="87"/>
    </row>
    <row r="18195">
      <c r="A18195" s="86" t="str">
        <f>IFERROR(__xludf.DUMMYFUNCTION("""COMPUTED_VALUE"""),"")</f>
        <v/>
      </c>
      <c r="B18195" s="87"/>
      <c r="C18195" s="87"/>
      <c r="D18195" s="87"/>
      <c r="E18195" s="87"/>
      <c r="F18195" s="87"/>
      <c r="G18195" s="87"/>
    </row>
    <row r="18196">
      <c r="A18196" s="86" t="str">
        <f>IFERROR(__xludf.DUMMYFUNCTION("""COMPUTED_VALUE"""),"")</f>
        <v/>
      </c>
      <c r="B18196" s="87"/>
      <c r="C18196" s="87"/>
      <c r="D18196" s="87"/>
      <c r="E18196" s="87"/>
      <c r="F18196" s="87"/>
      <c r="G18196" s="87"/>
    </row>
    <row r="18197">
      <c r="A18197" s="86" t="str">
        <f>IFERROR(__xludf.DUMMYFUNCTION("""COMPUTED_VALUE"""),"")</f>
        <v/>
      </c>
      <c r="B18197" s="87"/>
      <c r="C18197" s="87"/>
      <c r="D18197" s="87"/>
      <c r="E18197" s="87"/>
      <c r="F18197" s="87"/>
      <c r="G18197" s="87"/>
    </row>
    <row r="18198">
      <c r="A18198" s="86" t="str">
        <f>IFERROR(__xludf.DUMMYFUNCTION("""COMPUTED_VALUE"""),"")</f>
        <v/>
      </c>
      <c r="B18198" s="87"/>
      <c r="C18198" s="87"/>
      <c r="D18198" s="87"/>
      <c r="E18198" s="87"/>
      <c r="F18198" s="87"/>
      <c r="G18198" s="87"/>
    </row>
    <row r="18199">
      <c r="A18199" s="86" t="str">
        <f>IFERROR(__xludf.DUMMYFUNCTION("""COMPUTED_VALUE"""),"")</f>
        <v/>
      </c>
      <c r="B18199" s="87"/>
      <c r="C18199" s="87"/>
      <c r="D18199" s="87"/>
      <c r="E18199" s="87"/>
      <c r="F18199" s="87"/>
      <c r="G18199" s="87"/>
    </row>
    <row r="18200">
      <c r="A18200" s="86" t="str">
        <f>IFERROR(__xludf.DUMMYFUNCTION("""COMPUTED_VALUE"""),"")</f>
        <v/>
      </c>
      <c r="B18200" s="87"/>
      <c r="C18200" s="87"/>
      <c r="D18200" s="87"/>
      <c r="E18200" s="87"/>
      <c r="F18200" s="87"/>
      <c r="G18200" s="87"/>
    </row>
    <row r="18201">
      <c r="A18201" s="86" t="str">
        <f>IFERROR(__xludf.DUMMYFUNCTION("""COMPUTED_VALUE"""),"")</f>
        <v/>
      </c>
      <c r="B18201" s="87"/>
      <c r="C18201" s="87"/>
      <c r="D18201" s="87"/>
      <c r="E18201" s="87"/>
      <c r="F18201" s="87"/>
      <c r="G18201" s="87"/>
    </row>
    <row r="18202">
      <c r="A18202" s="86" t="str">
        <f>IFERROR(__xludf.DUMMYFUNCTION("""COMPUTED_VALUE"""),"")</f>
        <v/>
      </c>
      <c r="B18202" s="87"/>
      <c r="C18202" s="87"/>
      <c r="D18202" s="87"/>
      <c r="E18202" s="87"/>
      <c r="F18202" s="87"/>
      <c r="G18202" s="87"/>
    </row>
    <row r="18203">
      <c r="A18203" s="86" t="str">
        <f>IFERROR(__xludf.DUMMYFUNCTION("""COMPUTED_VALUE"""),"")</f>
        <v/>
      </c>
      <c r="B18203" s="87"/>
      <c r="C18203" s="87"/>
      <c r="D18203" s="87"/>
      <c r="E18203" s="87"/>
      <c r="F18203" s="87"/>
      <c r="G18203" s="87"/>
    </row>
    <row r="18204">
      <c r="A18204" s="86" t="str">
        <f>IFERROR(__xludf.DUMMYFUNCTION("""COMPUTED_VALUE"""),"")</f>
        <v/>
      </c>
      <c r="B18204" s="87"/>
      <c r="C18204" s="87"/>
      <c r="D18204" s="87"/>
      <c r="E18204" s="87"/>
      <c r="F18204" s="87"/>
      <c r="G18204" s="87"/>
    </row>
    <row r="18205">
      <c r="A18205" s="86" t="str">
        <f>IFERROR(__xludf.DUMMYFUNCTION("""COMPUTED_VALUE"""),"")</f>
        <v/>
      </c>
      <c r="B18205" s="87"/>
      <c r="C18205" s="87"/>
      <c r="D18205" s="87"/>
      <c r="E18205" s="87"/>
      <c r="F18205" s="87"/>
      <c r="G18205" s="87"/>
    </row>
    <row r="18206">
      <c r="A18206" s="86" t="str">
        <f>IFERROR(__xludf.DUMMYFUNCTION("""COMPUTED_VALUE"""),"")</f>
        <v/>
      </c>
      <c r="B18206" s="87"/>
      <c r="C18206" s="87"/>
      <c r="D18206" s="87"/>
      <c r="E18206" s="87"/>
      <c r="F18206" s="87"/>
      <c r="G18206" s="87"/>
    </row>
    <row r="18207">
      <c r="A18207" s="86" t="str">
        <f>IFERROR(__xludf.DUMMYFUNCTION("""COMPUTED_VALUE"""),"")</f>
        <v/>
      </c>
      <c r="B18207" s="87"/>
      <c r="C18207" s="87"/>
      <c r="D18207" s="87"/>
      <c r="E18207" s="87"/>
      <c r="F18207" s="87"/>
      <c r="G18207" s="87"/>
    </row>
    <row r="18208">
      <c r="A18208" s="86" t="str">
        <f>IFERROR(__xludf.DUMMYFUNCTION("""COMPUTED_VALUE"""),"")</f>
        <v/>
      </c>
      <c r="B18208" s="87"/>
      <c r="C18208" s="87"/>
      <c r="D18208" s="87"/>
      <c r="E18208" s="87"/>
      <c r="F18208" s="87"/>
      <c r="G18208" s="87"/>
    </row>
    <row r="18209">
      <c r="A18209" s="86" t="str">
        <f>IFERROR(__xludf.DUMMYFUNCTION("""COMPUTED_VALUE"""),"")</f>
        <v/>
      </c>
      <c r="B18209" s="87"/>
      <c r="C18209" s="87"/>
      <c r="D18209" s="87"/>
      <c r="E18209" s="87"/>
      <c r="F18209" s="87"/>
      <c r="G18209" s="87"/>
    </row>
    <row r="18210">
      <c r="A18210" s="86" t="str">
        <f>IFERROR(__xludf.DUMMYFUNCTION("""COMPUTED_VALUE"""),"")</f>
        <v/>
      </c>
      <c r="B18210" s="87"/>
      <c r="C18210" s="87"/>
      <c r="D18210" s="87"/>
      <c r="E18210" s="87"/>
      <c r="F18210" s="87"/>
      <c r="G18210" s="87"/>
    </row>
    <row r="18211">
      <c r="A18211" s="86" t="str">
        <f>IFERROR(__xludf.DUMMYFUNCTION("""COMPUTED_VALUE"""),"")</f>
        <v/>
      </c>
      <c r="B18211" s="87"/>
      <c r="C18211" s="87"/>
      <c r="D18211" s="87"/>
      <c r="E18211" s="87"/>
      <c r="F18211" s="87"/>
      <c r="G18211" s="87"/>
    </row>
    <row r="18212">
      <c r="A18212" s="86" t="str">
        <f>IFERROR(__xludf.DUMMYFUNCTION("""COMPUTED_VALUE"""),"")</f>
        <v/>
      </c>
      <c r="B18212" s="87"/>
      <c r="C18212" s="87"/>
      <c r="D18212" s="87"/>
      <c r="E18212" s="87"/>
      <c r="F18212" s="87"/>
      <c r="G18212" s="87"/>
    </row>
    <row r="18213">
      <c r="A18213" s="86" t="str">
        <f>IFERROR(__xludf.DUMMYFUNCTION("""COMPUTED_VALUE"""),"")</f>
        <v/>
      </c>
      <c r="B18213" s="87"/>
      <c r="C18213" s="87"/>
      <c r="D18213" s="87"/>
      <c r="E18213" s="87"/>
      <c r="F18213" s="87"/>
      <c r="G18213" s="87"/>
    </row>
    <row r="18214">
      <c r="A18214" s="86" t="str">
        <f>IFERROR(__xludf.DUMMYFUNCTION("""COMPUTED_VALUE"""),"")</f>
        <v/>
      </c>
      <c r="B18214" s="87"/>
      <c r="C18214" s="87"/>
      <c r="D18214" s="87"/>
      <c r="E18214" s="87"/>
      <c r="F18214" s="87"/>
      <c r="G18214" s="87"/>
    </row>
    <row r="18215">
      <c r="A18215" s="86" t="str">
        <f>IFERROR(__xludf.DUMMYFUNCTION("""COMPUTED_VALUE"""),"")</f>
        <v/>
      </c>
      <c r="B18215" s="87"/>
      <c r="C18215" s="87"/>
      <c r="D18215" s="87"/>
      <c r="E18215" s="87"/>
      <c r="F18215" s="87"/>
      <c r="G18215" s="87"/>
    </row>
    <row r="18216">
      <c r="A18216" s="86" t="str">
        <f>IFERROR(__xludf.DUMMYFUNCTION("""COMPUTED_VALUE"""),"")</f>
        <v/>
      </c>
      <c r="B18216" s="87"/>
      <c r="C18216" s="87"/>
      <c r="D18216" s="87"/>
      <c r="E18216" s="87"/>
      <c r="F18216" s="87"/>
      <c r="G18216" s="87"/>
    </row>
    <row r="18217">
      <c r="A18217" s="86" t="str">
        <f>IFERROR(__xludf.DUMMYFUNCTION("""COMPUTED_VALUE"""),"")</f>
        <v/>
      </c>
      <c r="B18217" s="87"/>
      <c r="C18217" s="87"/>
      <c r="D18217" s="87"/>
      <c r="E18217" s="87"/>
      <c r="F18217" s="87"/>
      <c r="G18217" s="87"/>
    </row>
    <row r="18218">
      <c r="A18218" s="86" t="str">
        <f>IFERROR(__xludf.DUMMYFUNCTION("""COMPUTED_VALUE"""),"")</f>
        <v/>
      </c>
      <c r="B18218" s="87"/>
      <c r="C18218" s="87"/>
      <c r="D18218" s="87"/>
      <c r="E18218" s="87"/>
      <c r="F18218" s="87"/>
      <c r="G18218" s="87"/>
    </row>
    <row r="18219">
      <c r="A18219" s="86" t="str">
        <f>IFERROR(__xludf.DUMMYFUNCTION("""COMPUTED_VALUE"""),"")</f>
        <v/>
      </c>
      <c r="B18219" s="87"/>
      <c r="C18219" s="87"/>
      <c r="D18219" s="87"/>
      <c r="E18219" s="87"/>
      <c r="F18219" s="87"/>
      <c r="G18219" s="87"/>
    </row>
    <row r="18220">
      <c r="A18220" s="86" t="str">
        <f>IFERROR(__xludf.DUMMYFUNCTION("""COMPUTED_VALUE"""),"")</f>
        <v/>
      </c>
      <c r="B18220" s="87"/>
      <c r="C18220" s="87"/>
      <c r="D18220" s="87"/>
      <c r="E18220" s="87"/>
      <c r="F18220" s="87"/>
      <c r="G18220" s="87"/>
    </row>
    <row r="18221">
      <c r="A18221" s="86" t="str">
        <f>IFERROR(__xludf.DUMMYFUNCTION("""COMPUTED_VALUE"""),"")</f>
        <v/>
      </c>
      <c r="B18221" s="87"/>
      <c r="C18221" s="87"/>
      <c r="D18221" s="87"/>
      <c r="E18221" s="87"/>
      <c r="F18221" s="87"/>
      <c r="G18221" s="87"/>
    </row>
    <row r="18222">
      <c r="A18222" s="86" t="str">
        <f>IFERROR(__xludf.DUMMYFUNCTION("""COMPUTED_VALUE"""),"")</f>
        <v/>
      </c>
      <c r="B18222" s="87"/>
      <c r="C18222" s="87"/>
      <c r="D18222" s="87"/>
      <c r="E18222" s="87"/>
      <c r="F18222" s="87"/>
      <c r="G18222" s="87"/>
    </row>
    <row r="18223">
      <c r="A18223" s="86" t="str">
        <f>IFERROR(__xludf.DUMMYFUNCTION("""COMPUTED_VALUE"""),"")</f>
        <v/>
      </c>
      <c r="B18223" s="87"/>
      <c r="C18223" s="87"/>
      <c r="D18223" s="87"/>
      <c r="E18223" s="87"/>
      <c r="F18223" s="87"/>
      <c r="G18223" s="87"/>
    </row>
    <row r="18224">
      <c r="A18224" s="86" t="str">
        <f>IFERROR(__xludf.DUMMYFUNCTION("""COMPUTED_VALUE"""),"")</f>
        <v/>
      </c>
      <c r="B18224" s="87"/>
      <c r="C18224" s="87"/>
      <c r="D18224" s="87"/>
      <c r="E18224" s="87"/>
      <c r="F18224" s="87"/>
      <c r="G18224" s="87"/>
    </row>
    <row r="18225">
      <c r="A18225" s="86" t="str">
        <f>IFERROR(__xludf.DUMMYFUNCTION("""COMPUTED_VALUE"""),"")</f>
        <v/>
      </c>
      <c r="B18225" s="87"/>
      <c r="C18225" s="87"/>
      <c r="D18225" s="87"/>
      <c r="E18225" s="87"/>
      <c r="F18225" s="87"/>
      <c r="G18225" s="87"/>
    </row>
    <row r="18226">
      <c r="A18226" s="86" t="str">
        <f>IFERROR(__xludf.DUMMYFUNCTION("""COMPUTED_VALUE"""),"")</f>
        <v/>
      </c>
      <c r="B18226" s="87"/>
      <c r="C18226" s="87"/>
      <c r="D18226" s="87"/>
      <c r="E18226" s="87"/>
      <c r="F18226" s="87"/>
      <c r="G18226" s="87"/>
    </row>
    <row r="18227">
      <c r="A18227" s="86" t="str">
        <f>IFERROR(__xludf.DUMMYFUNCTION("""COMPUTED_VALUE"""),"")</f>
        <v/>
      </c>
      <c r="B18227" s="87"/>
      <c r="C18227" s="87"/>
      <c r="D18227" s="87"/>
      <c r="E18227" s="87"/>
      <c r="F18227" s="87"/>
      <c r="G18227" s="87"/>
    </row>
    <row r="18228">
      <c r="A18228" s="86" t="str">
        <f>IFERROR(__xludf.DUMMYFUNCTION("""COMPUTED_VALUE"""),"")</f>
        <v/>
      </c>
      <c r="B18228" s="87"/>
      <c r="C18228" s="87"/>
      <c r="D18228" s="87"/>
      <c r="E18228" s="87"/>
      <c r="F18228" s="87"/>
      <c r="G18228" s="87"/>
    </row>
    <row r="18229">
      <c r="A18229" s="86" t="str">
        <f>IFERROR(__xludf.DUMMYFUNCTION("""COMPUTED_VALUE"""),"")</f>
        <v/>
      </c>
      <c r="B18229" s="87"/>
      <c r="C18229" s="87"/>
      <c r="D18229" s="87"/>
      <c r="E18229" s="87"/>
      <c r="F18229" s="87"/>
      <c r="G18229" s="87"/>
    </row>
    <row r="18230">
      <c r="A18230" s="86" t="str">
        <f>IFERROR(__xludf.DUMMYFUNCTION("""COMPUTED_VALUE"""),"")</f>
        <v/>
      </c>
      <c r="B18230" s="87"/>
      <c r="C18230" s="87"/>
      <c r="D18230" s="87"/>
      <c r="E18230" s="87"/>
      <c r="F18230" s="87"/>
      <c r="G18230" s="87"/>
    </row>
    <row r="18231">
      <c r="A18231" s="86" t="str">
        <f>IFERROR(__xludf.DUMMYFUNCTION("""COMPUTED_VALUE"""),"")</f>
        <v/>
      </c>
      <c r="B18231" s="87"/>
      <c r="C18231" s="87"/>
      <c r="D18231" s="87"/>
      <c r="E18231" s="87"/>
      <c r="F18231" s="87"/>
      <c r="G18231" s="87"/>
    </row>
    <row r="18232">
      <c r="A18232" s="86" t="str">
        <f>IFERROR(__xludf.DUMMYFUNCTION("""COMPUTED_VALUE"""),"")</f>
        <v/>
      </c>
      <c r="B18232" s="87"/>
      <c r="C18232" s="87"/>
      <c r="D18232" s="87"/>
      <c r="E18232" s="87"/>
      <c r="F18232" s="87"/>
      <c r="G18232" s="87"/>
    </row>
    <row r="18233">
      <c r="A18233" s="86" t="str">
        <f>IFERROR(__xludf.DUMMYFUNCTION("""COMPUTED_VALUE"""),"")</f>
        <v/>
      </c>
      <c r="B18233" s="87"/>
      <c r="C18233" s="87"/>
      <c r="D18233" s="87"/>
      <c r="E18233" s="87"/>
      <c r="F18233" s="87"/>
      <c r="G18233" s="87"/>
    </row>
    <row r="18234">
      <c r="A18234" s="86" t="str">
        <f>IFERROR(__xludf.DUMMYFUNCTION("""COMPUTED_VALUE"""),"")</f>
        <v/>
      </c>
      <c r="B18234" s="87"/>
      <c r="C18234" s="87"/>
      <c r="D18234" s="87"/>
      <c r="E18234" s="87"/>
      <c r="F18234" s="87"/>
      <c r="G18234" s="87"/>
    </row>
    <row r="18235">
      <c r="A18235" s="86" t="str">
        <f>IFERROR(__xludf.DUMMYFUNCTION("""COMPUTED_VALUE"""),"")</f>
        <v/>
      </c>
      <c r="B18235" s="87"/>
      <c r="C18235" s="87"/>
      <c r="D18235" s="87"/>
      <c r="E18235" s="87"/>
      <c r="F18235" s="87"/>
      <c r="G18235" s="87"/>
    </row>
    <row r="18236">
      <c r="A18236" s="86" t="str">
        <f>IFERROR(__xludf.DUMMYFUNCTION("""COMPUTED_VALUE"""),"")</f>
        <v/>
      </c>
      <c r="B18236" s="87"/>
      <c r="C18236" s="87"/>
      <c r="D18236" s="87"/>
      <c r="E18236" s="87"/>
      <c r="F18236" s="87"/>
      <c r="G18236" s="87"/>
    </row>
    <row r="18237">
      <c r="A18237" s="86" t="str">
        <f>IFERROR(__xludf.DUMMYFUNCTION("""COMPUTED_VALUE"""),"")</f>
        <v/>
      </c>
      <c r="B18237" s="87"/>
      <c r="C18237" s="87"/>
      <c r="D18237" s="87"/>
      <c r="E18237" s="87"/>
      <c r="F18237" s="87"/>
      <c r="G18237" s="87"/>
    </row>
    <row r="18238">
      <c r="A18238" s="86" t="str">
        <f>IFERROR(__xludf.DUMMYFUNCTION("""COMPUTED_VALUE"""),"")</f>
        <v/>
      </c>
      <c r="B18238" s="87"/>
      <c r="C18238" s="87"/>
      <c r="D18238" s="87"/>
      <c r="E18238" s="87"/>
      <c r="F18238" s="87"/>
      <c r="G18238" s="87"/>
    </row>
    <row r="18239">
      <c r="A18239" s="86" t="str">
        <f>IFERROR(__xludf.DUMMYFUNCTION("""COMPUTED_VALUE"""),"")</f>
        <v/>
      </c>
      <c r="B18239" s="87"/>
      <c r="C18239" s="87"/>
      <c r="D18239" s="87"/>
      <c r="E18239" s="87"/>
      <c r="F18239" s="87"/>
      <c r="G18239" s="87"/>
    </row>
    <row r="18240">
      <c r="A18240" s="86" t="str">
        <f>IFERROR(__xludf.DUMMYFUNCTION("""COMPUTED_VALUE"""),"")</f>
        <v/>
      </c>
      <c r="B18240" s="87"/>
      <c r="C18240" s="87"/>
      <c r="D18240" s="87"/>
      <c r="E18240" s="87"/>
      <c r="F18240" s="87"/>
      <c r="G18240" s="87"/>
    </row>
    <row r="18241">
      <c r="A18241" s="86" t="str">
        <f>IFERROR(__xludf.DUMMYFUNCTION("""COMPUTED_VALUE"""),"")</f>
        <v/>
      </c>
      <c r="B18241" s="87"/>
      <c r="C18241" s="87"/>
      <c r="D18241" s="87"/>
      <c r="E18241" s="87"/>
      <c r="F18241" s="87"/>
      <c r="G18241" s="87"/>
    </row>
    <row r="18242">
      <c r="A18242" s="86" t="str">
        <f>IFERROR(__xludf.DUMMYFUNCTION("""COMPUTED_VALUE"""),"")</f>
        <v/>
      </c>
      <c r="B18242" s="87"/>
      <c r="C18242" s="87"/>
      <c r="D18242" s="87"/>
      <c r="E18242" s="87"/>
      <c r="F18242" s="87"/>
      <c r="G18242" s="87"/>
    </row>
    <row r="18243">
      <c r="A18243" s="86" t="str">
        <f>IFERROR(__xludf.DUMMYFUNCTION("""COMPUTED_VALUE"""),"")</f>
        <v/>
      </c>
      <c r="B18243" s="87"/>
      <c r="C18243" s="87"/>
      <c r="D18243" s="87"/>
      <c r="E18243" s="87"/>
      <c r="F18243" s="87"/>
      <c r="G18243" s="87"/>
    </row>
    <row r="18244">
      <c r="A18244" s="86" t="str">
        <f>IFERROR(__xludf.DUMMYFUNCTION("""COMPUTED_VALUE"""),"")</f>
        <v/>
      </c>
      <c r="B18244" s="87"/>
      <c r="C18244" s="87"/>
      <c r="D18244" s="87"/>
      <c r="E18244" s="87"/>
      <c r="F18244" s="87"/>
      <c r="G18244" s="87"/>
    </row>
    <row r="18245">
      <c r="A18245" s="86" t="str">
        <f>IFERROR(__xludf.DUMMYFUNCTION("""COMPUTED_VALUE"""),"")</f>
        <v/>
      </c>
      <c r="B18245" s="87"/>
      <c r="C18245" s="87"/>
      <c r="D18245" s="87"/>
      <c r="E18245" s="87"/>
      <c r="F18245" s="87"/>
      <c r="G18245" s="87"/>
    </row>
    <row r="18246">
      <c r="A18246" s="86" t="str">
        <f>IFERROR(__xludf.DUMMYFUNCTION("""COMPUTED_VALUE"""),"")</f>
        <v/>
      </c>
      <c r="B18246" s="87"/>
      <c r="C18246" s="87"/>
      <c r="D18246" s="87"/>
      <c r="E18246" s="87"/>
      <c r="F18246" s="87"/>
      <c r="G18246" s="87"/>
    </row>
    <row r="18247">
      <c r="A18247" s="86" t="str">
        <f>IFERROR(__xludf.DUMMYFUNCTION("""COMPUTED_VALUE"""),"")</f>
        <v/>
      </c>
      <c r="B18247" s="87"/>
      <c r="C18247" s="87"/>
      <c r="D18247" s="87"/>
      <c r="E18247" s="87"/>
      <c r="F18247" s="87"/>
      <c r="G18247" s="87"/>
    </row>
    <row r="18248">
      <c r="A18248" s="86" t="str">
        <f>IFERROR(__xludf.DUMMYFUNCTION("""COMPUTED_VALUE"""),"")</f>
        <v/>
      </c>
      <c r="B18248" s="87"/>
      <c r="C18248" s="87"/>
      <c r="D18248" s="87"/>
      <c r="E18248" s="87"/>
      <c r="F18248" s="87"/>
      <c r="G18248" s="87"/>
    </row>
    <row r="18249">
      <c r="A18249" s="86" t="str">
        <f>IFERROR(__xludf.DUMMYFUNCTION("""COMPUTED_VALUE"""),"")</f>
        <v/>
      </c>
      <c r="B18249" s="87"/>
      <c r="C18249" s="87"/>
      <c r="D18249" s="87"/>
      <c r="E18249" s="87"/>
      <c r="F18249" s="87"/>
      <c r="G18249" s="87"/>
    </row>
    <row r="18250">
      <c r="A18250" s="86" t="str">
        <f>IFERROR(__xludf.DUMMYFUNCTION("""COMPUTED_VALUE"""),"")</f>
        <v/>
      </c>
      <c r="B18250" s="87"/>
      <c r="C18250" s="87"/>
      <c r="D18250" s="87"/>
      <c r="E18250" s="87"/>
      <c r="F18250" s="87"/>
      <c r="G18250" s="87"/>
    </row>
    <row r="18251">
      <c r="A18251" s="86" t="str">
        <f>IFERROR(__xludf.DUMMYFUNCTION("""COMPUTED_VALUE"""),"")</f>
        <v/>
      </c>
      <c r="B18251" s="87"/>
      <c r="C18251" s="87"/>
      <c r="D18251" s="87"/>
      <c r="E18251" s="87"/>
      <c r="F18251" s="87"/>
      <c r="G18251" s="87"/>
    </row>
    <row r="18252">
      <c r="A18252" s="86" t="str">
        <f>IFERROR(__xludf.DUMMYFUNCTION("""COMPUTED_VALUE"""),"")</f>
        <v/>
      </c>
      <c r="B18252" s="87"/>
      <c r="C18252" s="87"/>
      <c r="D18252" s="87"/>
      <c r="E18252" s="87"/>
      <c r="F18252" s="87"/>
      <c r="G18252" s="87"/>
    </row>
    <row r="18253">
      <c r="A18253" s="86" t="str">
        <f>IFERROR(__xludf.DUMMYFUNCTION("""COMPUTED_VALUE"""),"")</f>
        <v/>
      </c>
      <c r="B18253" s="87"/>
      <c r="C18253" s="87"/>
      <c r="D18253" s="87"/>
      <c r="E18253" s="87"/>
      <c r="F18253" s="87"/>
      <c r="G18253" s="87"/>
    </row>
    <row r="18254">
      <c r="A18254" s="86" t="str">
        <f>IFERROR(__xludf.DUMMYFUNCTION("""COMPUTED_VALUE"""),"")</f>
        <v/>
      </c>
      <c r="B18254" s="87"/>
      <c r="C18254" s="87"/>
      <c r="D18254" s="87"/>
      <c r="E18254" s="87"/>
      <c r="F18254" s="87"/>
      <c r="G18254" s="87"/>
    </row>
    <row r="18255">
      <c r="A18255" s="86" t="str">
        <f>IFERROR(__xludf.DUMMYFUNCTION("""COMPUTED_VALUE"""),"")</f>
        <v/>
      </c>
      <c r="B18255" s="87"/>
      <c r="C18255" s="87"/>
      <c r="D18255" s="87"/>
      <c r="E18255" s="87"/>
      <c r="F18255" s="87"/>
      <c r="G18255" s="87"/>
    </row>
    <row r="18256">
      <c r="A18256" s="86" t="str">
        <f>IFERROR(__xludf.DUMMYFUNCTION("""COMPUTED_VALUE"""),"")</f>
        <v/>
      </c>
      <c r="B18256" s="87"/>
      <c r="C18256" s="87"/>
      <c r="D18256" s="87"/>
      <c r="E18256" s="87"/>
      <c r="F18256" s="87"/>
      <c r="G18256" s="87"/>
    </row>
    <row r="18257">
      <c r="A18257" s="86" t="str">
        <f>IFERROR(__xludf.DUMMYFUNCTION("""COMPUTED_VALUE"""),"")</f>
        <v/>
      </c>
      <c r="B18257" s="87"/>
      <c r="C18257" s="87"/>
      <c r="D18257" s="87"/>
      <c r="E18257" s="87"/>
      <c r="F18257" s="87"/>
      <c r="G18257" s="87"/>
    </row>
    <row r="18258">
      <c r="A18258" s="86" t="str">
        <f>IFERROR(__xludf.DUMMYFUNCTION("""COMPUTED_VALUE"""),"")</f>
        <v/>
      </c>
      <c r="B18258" s="87"/>
      <c r="C18258" s="87"/>
      <c r="D18258" s="87"/>
      <c r="E18258" s="87"/>
      <c r="F18258" s="87"/>
      <c r="G18258" s="87"/>
    </row>
    <row r="18259">
      <c r="A18259" s="86" t="str">
        <f>IFERROR(__xludf.DUMMYFUNCTION("""COMPUTED_VALUE"""),"")</f>
        <v/>
      </c>
      <c r="B18259" s="87"/>
      <c r="C18259" s="87"/>
      <c r="D18259" s="87"/>
      <c r="E18259" s="87"/>
      <c r="F18259" s="87"/>
      <c r="G18259" s="87"/>
    </row>
    <row r="18260">
      <c r="A18260" s="86" t="str">
        <f>IFERROR(__xludf.DUMMYFUNCTION("""COMPUTED_VALUE"""),"")</f>
        <v/>
      </c>
      <c r="B18260" s="87"/>
      <c r="C18260" s="87"/>
      <c r="D18260" s="87"/>
      <c r="E18260" s="87"/>
      <c r="F18260" s="87"/>
      <c r="G18260" s="87"/>
    </row>
    <row r="18261">
      <c r="A18261" s="86" t="str">
        <f>IFERROR(__xludf.DUMMYFUNCTION("""COMPUTED_VALUE"""),"")</f>
        <v/>
      </c>
      <c r="B18261" s="87"/>
      <c r="C18261" s="87"/>
      <c r="D18261" s="87"/>
      <c r="E18261" s="87"/>
      <c r="F18261" s="87"/>
      <c r="G18261" s="87"/>
    </row>
    <row r="18262">
      <c r="A18262" s="86" t="str">
        <f>IFERROR(__xludf.DUMMYFUNCTION("""COMPUTED_VALUE"""),"")</f>
        <v/>
      </c>
      <c r="B18262" s="87"/>
      <c r="C18262" s="87"/>
      <c r="D18262" s="87"/>
      <c r="E18262" s="87"/>
      <c r="F18262" s="87"/>
      <c r="G18262" s="87"/>
    </row>
    <row r="18263">
      <c r="A18263" s="86" t="str">
        <f>IFERROR(__xludf.DUMMYFUNCTION("""COMPUTED_VALUE"""),"")</f>
        <v/>
      </c>
      <c r="B18263" s="87"/>
      <c r="C18263" s="87"/>
      <c r="D18263" s="87"/>
      <c r="E18263" s="87"/>
      <c r="F18263" s="87"/>
      <c r="G18263" s="87"/>
    </row>
    <row r="18264">
      <c r="A18264" s="86" t="str">
        <f>IFERROR(__xludf.DUMMYFUNCTION("""COMPUTED_VALUE"""),"")</f>
        <v/>
      </c>
      <c r="B18264" s="87"/>
      <c r="C18264" s="87"/>
      <c r="D18264" s="87"/>
      <c r="E18264" s="87"/>
      <c r="F18264" s="87"/>
      <c r="G18264" s="87"/>
    </row>
    <row r="18265">
      <c r="A18265" s="86" t="str">
        <f>IFERROR(__xludf.DUMMYFUNCTION("""COMPUTED_VALUE"""),"")</f>
        <v/>
      </c>
      <c r="B18265" s="87"/>
      <c r="C18265" s="87"/>
      <c r="D18265" s="87"/>
      <c r="E18265" s="87"/>
      <c r="F18265" s="87"/>
      <c r="G18265" s="87"/>
    </row>
    <row r="18266">
      <c r="A18266" s="86" t="str">
        <f>IFERROR(__xludf.DUMMYFUNCTION("""COMPUTED_VALUE"""),"")</f>
        <v/>
      </c>
      <c r="B18266" s="87"/>
      <c r="C18266" s="87"/>
      <c r="D18266" s="87"/>
      <c r="E18266" s="87"/>
      <c r="F18266" s="87"/>
      <c r="G18266" s="87"/>
    </row>
    <row r="18267">
      <c r="A18267" s="86" t="str">
        <f>IFERROR(__xludf.DUMMYFUNCTION("""COMPUTED_VALUE"""),"")</f>
        <v/>
      </c>
      <c r="B18267" s="87"/>
      <c r="C18267" s="87"/>
      <c r="D18267" s="87"/>
      <c r="E18267" s="87"/>
      <c r="F18267" s="87"/>
      <c r="G18267" s="87"/>
    </row>
    <row r="18268">
      <c r="A18268" s="86" t="str">
        <f>IFERROR(__xludf.DUMMYFUNCTION("""COMPUTED_VALUE"""),"")</f>
        <v/>
      </c>
      <c r="B18268" s="87"/>
      <c r="C18268" s="87"/>
      <c r="D18268" s="87"/>
      <c r="E18268" s="87"/>
      <c r="F18268" s="87"/>
      <c r="G18268" s="87"/>
    </row>
    <row r="18269">
      <c r="A18269" s="86" t="str">
        <f>IFERROR(__xludf.DUMMYFUNCTION("""COMPUTED_VALUE"""),"")</f>
        <v/>
      </c>
      <c r="B18269" s="87"/>
      <c r="C18269" s="87"/>
      <c r="D18269" s="87"/>
      <c r="E18269" s="87"/>
      <c r="F18269" s="87"/>
      <c r="G18269" s="87"/>
    </row>
    <row r="18270">
      <c r="A18270" s="86" t="str">
        <f>IFERROR(__xludf.DUMMYFUNCTION("""COMPUTED_VALUE"""),"")</f>
        <v/>
      </c>
      <c r="B18270" s="87"/>
      <c r="C18270" s="87"/>
      <c r="D18270" s="87"/>
      <c r="E18270" s="87"/>
      <c r="F18270" s="87"/>
      <c r="G18270" s="87"/>
    </row>
    <row r="18271">
      <c r="A18271" s="86" t="str">
        <f>IFERROR(__xludf.DUMMYFUNCTION("""COMPUTED_VALUE"""),"")</f>
        <v/>
      </c>
      <c r="B18271" s="87"/>
      <c r="C18271" s="87"/>
      <c r="D18271" s="87"/>
      <c r="E18271" s="87"/>
      <c r="F18271" s="87"/>
      <c r="G18271" s="87"/>
    </row>
    <row r="18272">
      <c r="A18272" s="86" t="str">
        <f>IFERROR(__xludf.DUMMYFUNCTION("""COMPUTED_VALUE"""),"")</f>
        <v/>
      </c>
      <c r="B18272" s="87"/>
      <c r="C18272" s="87"/>
      <c r="D18272" s="87"/>
      <c r="E18272" s="87"/>
      <c r="F18272" s="87"/>
      <c r="G18272" s="87"/>
    </row>
    <row r="18273">
      <c r="A18273" s="86" t="str">
        <f>IFERROR(__xludf.DUMMYFUNCTION("""COMPUTED_VALUE"""),"")</f>
        <v/>
      </c>
      <c r="B18273" s="87"/>
      <c r="C18273" s="87"/>
      <c r="D18273" s="87"/>
      <c r="E18273" s="87"/>
      <c r="F18273" s="87"/>
      <c r="G18273" s="87"/>
    </row>
    <row r="18274">
      <c r="A18274" s="86" t="str">
        <f>IFERROR(__xludf.DUMMYFUNCTION("""COMPUTED_VALUE"""),"")</f>
        <v/>
      </c>
      <c r="B18274" s="87"/>
      <c r="C18274" s="87"/>
      <c r="D18274" s="87"/>
      <c r="E18274" s="87"/>
      <c r="F18274" s="87"/>
      <c r="G18274" s="87"/>
    </row>
    <row r="18275">
      <c r="A18275" s="86" t="str">
        <f>IFERROR(__xludf.DUMMYFUNCTION("""COMPUTED_VALUE"""),"")</f>
        <v/>
      </c>
      <c r="B18275" s="87"/>
      <c r="C18275" s="87"/>
      <c r="D18275" s="87"/>
      <c r="E18275" s="87"/>
      <c r="F18275" s="87"/>
      <c r="G18275" s="87"/>
    </row>
    <row r="18276">
      <c r="A18276" s="86" t="str">
        <f>IFERROR(__xludf.DUMMYFUNCTION("""COMPUTED_VALUE"""),"")</f>
        <v/>
      </c>
      <c r="B18276" s="87"/>
      <c r="C18276" s="87"/>
      <c r="D18276" s="87"/>
      <c r="E18276" s="87"/>
      <c r="F18276" s="87"/>
      <c r="G18276" s="87"/>
    </row>
    <row r="18277">
      <c r="A18277" s="86" t="str">
        <f>IFERROR(__xludf.DUMMYFUNCTION("""COMPUTED_VALUE"""),"")</f>
        <v/>
      </c>
      <c r="B18277" s="87"/>
      <c r="C18277" s="87"/>
      <c r="D18277" s="87"/>
      <c r="E18277" s="87"/>
      <c r="F18277" s="87"/>
      <c r="G18277" s="87"/>
    </row>
    <row r="18278">
      <c r="A18278" s="86" t="str">
        <f>IFERROR(__xludf.DUMMYFUNCTION("""COMPUTED_VALUE"""),"")</f>
        <v/>
      </c>
      <c r="B18278" s="87"/>
      <c r="C18278" s="87"/>
      <c r="D18278" s="87"/>
      <c r="E18278" s="87"/>
      <c r="F18278" s="87"/>
      <c r="G18278" s="87"/>
    </row>
    <row r="18279">
      <c r="A18279" s="86" t="str">
        <f>IFERROR(__xludf.DUMMYFUNCTION("""COMPUTED_VALUE"""),"")</f>
        <v/>
      </c>
      <c r="B18279" s="87"/>
      <c r="C18279" s="87"/>
      <c r="D18279" s="87"/>
      <c r="E18279" s="87"/>
      <c r="F18279" s="87"/>
      <c r="G18279" s="87"/>
    </row>
    <row r="18280">
      <c r="A18280" s="86" t="str">
        <f>IFERROR(__xludf.DUMMYFUNCTION("""COMPUTED_VALUE"""),"")</f>
        <v/>
      </c>
      <c r="B18280" s="87"/>
      <c r="C18280" s="87"/>
      <c r="D18280" s="87"/>
      <c r="E18280" s="87"/>
      <c r="F18280" s="87"/>
      <c r="G18280" s="87"/>
    </row>
    <row r="18281">
      <c r="A18281" s="86" t="str">
        <f>IFERROR(__xludf.DUMMYFUNCTION("""COMPUTED_VALUE"""),"")</f>
        <v/>
      </c>
      <c r="B18281" s="87"/>
      <c r="C18281" s="87"/>
      <c r="D18281" s="87"/>
      <c r="E18281" s="87"/>
      <c r="F18281" s="87"/>
      <c r="G18281" s="87"/>
    </row>
    <row r="18282">
      <c r="A18282" s="86" t="str">
        <f>IFERROR(__xludf.DUMMYFUNCTION("""COMPUTED_VALUE"""),"")</f>
        <v/>
      </c>
      <c r="B18282" s="87"/>
      <c r="C18282" s="87"/>
      <c r="D18282" s="87"/>
      <c r="E18282" s="87"/>
      <c r="F18282" s="87"/>
      <c r="G18282" s="87"/>
    </row>
    <row r="18283">
      <c r="A18283" s="86" t="str">
        <f>IFERROR(__xludf.DUMMYFUNCTION("""COMPUTED_VALUE"""),"")</f>
        <v/>
      </c>
      <c r="B18283" s="87"/>
      <c r="C18283" s="87"/>
      <c r="D18283" s="87"/>
      <c r="E18283" s="87"/>
      <c r="F18283" s="87"/>
      <c r="G18283" s="87"/>
    </row>
    <row r="18284">
      <c r="A18284" s="86" t="str">
        <f>IFERROR(__xludf.DUMMYFUNCTION("""COMPUTED_VALUE"""),"")</f>
        <v/>
      </c>
      <c r="B18284" s="87"/>
      <c r="C18284" s="87"/>
      <c r="D18284" s="87"/>
      <c r="E18284" s="87"/>
      <c r="F18284" s="87"/>
      <c r="G18284" s="87"/>
    </row>
    <row r="18285">
      <c r="A18285" s="86" t="str">
        <f>IFERROR(__xludf.DUMMYFUNCTION("""COMPUTED_VALUE"""),"")</f>
        <v/>
      </c>
      <c r="B18285" s="87"/>
      <c r="C18285" s="87"/>
      <c r="D18285" s="87"/>
      <c r="E18285" s="87"/>
      <c r="F18285" s="87"/>
      <c r="G18285" s="87"/>
    </row>
    <row r="18286">
      <c r="A18286" s="86" t="str">
        <f>IFERROR(__xludf.DUMMYFUNCTION("""COMPUTED_VALUE"""),"")</f>
        <v/>
      </c>
      <c r="B18286" s="87"/>
      <c r="C18286" s="87"/>
      <c r="D18286" s="87"/>
      <c r="E18286" s="87"/>
      <c r="F18286" s="87"/>
      <c r="G18286" s="87"/>
    </row>
    <row r="18287">
      <c r="A18287" s="86" t="str">
        <f>IFERROR(__xludf.DUMMYFUNCTION("""COMPUTED_VALUE"""),"")</f>
        <v/>
      </c>
      <c r="B18287" s="87"/>
      <c r="C18287" s="87"/>
      <c r="D18287" s="87"/>
      <c r="E18287" s="87"/>
      <c r="F18287" s="87"/>
      <c r="G18287" s="87"/>
    </row>
    <row r="18288">
      <c r="A18288" s="86" t="str">
        <f>IFERROR(__xludf.DUMMYFUNCTION("""COMPUTED_VALUE"""),"")</f>
        <v/>
      </c>
      <c r="B18288" s="87"/>
      <c r="C18288" s="87"/>
      <c r="D18288" s="87"/>
      <c r="E18288" s="87"/>
      <c r="F18288" s="87"/>
      <c r="G18288" s="87"/>
    </row>
    <row r="18289">
      <c r="A18289" s="86" t="str">
        <f>IFERROR(__xludf.DUMMYFUNCTION("""COMPUTED_VALUE"""),"")</f>
        <v/>
      </c>
      <c r="B18289" s="87"/>
      <c r="C18289" s="87"/>
      <c r="D18289" s="87"/>
      <c r="E18289" s="87"/>
      <c r="F18289" s="87"/>
      <c r="G18289" s="87"/>
    </row>
    <row r="18290">
      <c r="A18290" s="86" t="str">
        <f>IFERROR(__xludf.DUMMYFUNCTION("""COMPUTED_VALUE"""),"")</f>
        <v/>
      </c>
      <c r="B18290" s="87"/>
      <c r="C18290" s="87"/>
      <c r="D18290" s="87"/>
      <c r="E18290" s="87"/>
      <c r="F18290" s="87"/>
      <c r="G18290" s="87"/>
    </row>
    <row r="18291">
      <c r="A18291" s="86" t="str">
        <f>IFERROR(__xludf.DUMMYFUNCTION("""COMPUTED_VALUE"""),"")</f>
        <v/>
      </c>
      <c r="B18291" s="87"/>
      <c r="C18291" s="87"/>
      <c r="D18291" s="87"/>
      <c r="E18291" s="87"/>
      <c r="F18291" s="87"/>
      <c r="G18291" s="87"/>
    </row>
    <row r="18292">
      <c r="A18292" s="86" t="str">
        <f>IFERROR(__xludf.DUMMYFUNCTION("""COMPUTED_VALUE"""),"")</f>
        <v/>
      </c>
      <c r="B18292" s="87"/>
      <c r="C18292" s="87"/>
      <c r="D18292" s="87"/>
      <c r="E18292" s="87"/>
      <c r="F18292" s="87"/>
      <c r="G18292" s="87"/>
    </row>
    <row r="18293">
      <c r="A18293" s="86" t="str">
        <f>IFERROR(__xludf.DUMMYFUNCTION("""COMPUTED_VALUE"""),"")</f>
        <v/>
      </c>
      <c r="B18293" s="87"/>
      <c r="C18293" s="87"/>
      <c r="D18293" s="87"/>
      <c r="E18293" s="87"/>
      <c r="F18293" s="87"/>
      <c r="G18293" s="87"/>
    </row>
    <row r="18294">
      <c r="A18294" s="86" t="str">
        <f>IFERROR(__xludf.DUMMYFUNCTION("""COMPUTED_VALUE"""),"")</f>
        <v/>
      </c>
      <c r="B18294" s="87"/>
      <c r="C18294" s="87"/>
      <c r="D18294" s="87"/>
      <c r="E18294" s="87"/>
      <c r="F18294" s="87"/>
      <c r="G18294" s="87"/>
    </row>
    <row r="18295">
      <c r="A18295" s="86" t="str">
        <f>IFERROR(__xludf.DUMMYFUNCTION("""COMPUTED_VALUE"""),"")</f>
        <v/>
      </c>
      <c r="B18295" s="87"/>
      <c r="C18295" s="87"/>
      <c r="D18295" s="87"/>
      <c r="E18295" s="87"/>
      <c r="F18295" s="87"/>
      <c r="G18295" s="87"/>
    </row>
    <row r="18296">
      <c r="A18296" s="86" t="str">
        <f>IFERROR(__xludf.DUMMYFUNCTION("""COMPUTED_VALUE"""),"")</f>
        <v/>
      </c>
      <c r="B18296" s="87"/>
      <c r="C18296" s="87"/>
      <c r="D18296" s="87"/>
      <c r="E18296" s="87"/>
      <c r="F18296" s="87"/>
      <c r="G18296" s="87"/>
    </row>
    <row r="18297">
      <c r="A18297" s="86" t="str">
        <f>IFERROR(__xludf.DUMMYFUNCTION("""COMPUTED_VALUE"""),"")</f>
        <v/>
      </c>
      <c r="B18297" s="87"/>
      <c r="C18297" s="87"/>
      <c r="D18297" s="87"/>
      <c r="E18297" s="87"/>
      <c r="F18297" s="87"/>
      <c r="G18297" s="87"/>
    </row>
    <row r="18298">
      <c r="A18298" s="86" t="str">
        <f>IFERROR(__xludf.DUMMYFUNCTION("""COMPUTED_VALUE"""),"")</f>
        <v/>
      </c>
      <c r="B18298" s="87"/>
      <c r="C18298" s="87"/>
      <c r="D18298" s="87"/>
      <c r="E18298" s="87"/>
      <c r="F18298" s="87"/>
      <c r="G18298" s="87"/>
    </row>
    <row r="18299">
      <c r="A18299" s="86" t="str">
        <f>IFERROR(__xludf.DUMMYFUNCTION("""COMPUTED_VALUE"""),"")</f>
        <v/>
      </c>
      <c r="B18299" s="87"/>
      <c r="C18299" s="87"/>
      <c r="D18299" s="87"/>
      <c r="E18299" s="87"/>
      <c r="F18299" s="87"/>
      <c r="G18299" s="87"/>
    </row>
    <row r="18300">
      <c r="A18300" s="86" t="str">
        <f>IFERROR(__xludf.DUMMYFUNCTION("""COMPUTED_VALUE"""),"")</f>
        <v/>
      </c>
      <c r="B18300" s="87"/>
      <c r="C18300" s="87"/>
      <c r="D18300" s="87"/>
      <c r="E18300" s="87"/>
      <c r="F18300" s="87"/>
      <c r="G18300" s="87"/>
    </row>
    <row r="18301">
      <c r="A18301" s="86" t="str">
        <f>IFERROR(__xludf.DUMMYFUNCTION("""COMPUTED_VALUE"""),"")</f>
        <v/>
      </c>
      <c r="B18301" s="87"/>
      <c r="C18301" s="87"/>
      <c r="D18301" s="87"/>
      <c r="E18301" s="87"/>
      <c r="F18301" s="87"/>
      <c r="G18301" s="87"/>
    </row>
    <row r="18302">
      <c r="A18302" s="86" t="str">
        <f>IFERROR(__xludf.DUMMYFUNCTION("""COMPUTED_VALUE"""),"")</f>
        <v/>
      </c>
      <c r="B18302" s="87"/>
      <c r="C18302" s="87"/>
      <c r="D18302" s="87"/>
      <c r="E18302" s="87"/>
      <c r="F18302" s="87"/>
      <c r="G18302" s="87"/>
    </row>
    <row r="18303">
      <c r="A18303" s="86" t="str">
        <f>IFERROR(__xludf.DUMMYFUNCTION("""COMPUTED_VALUE"""),"")</f>
        <v/>
      </c>
      <c r="B18303" s="87"/>
      <c r="C18303" s="87"/>
      <c r="D18303" s="87"/>
      <c r="E18303" s="87"/>
      <c r="F18303" s="87"/>
      <c r="G18303" s="87"/>
    </row>
    <row r="18304">
      <c r="A18304" s="86" t="str">
        <f>IFERROR(__xludf.DUMMYFUNCTION("""COMPUTED_VALUE"""),"")</f>
        <v/>
      </c>
      <c r="B18304" s="87"/>
      <c r="C18304" s="87"/>
      <c r="D18304" s="87"/>
      <c r="E18304" s="87"/>
      <c r="F18304" s="87"/>
      <c r="G18304" s="87"/>
    </row>
    <row r="18305">
      <c r="A18305" s="86" t="str">
        <f>IFERROR(__xludf.DUMMYFUNCTION("""COMPUTED_VALUE"""),"")</f>
        <v/>
      </c>
      <c r="B18305" s="87"/>
      <c r="C18305" s="87"/>
      <c r="D18305" s="87"/>
      <c r="E18305" s="87"/>
      <c r="F18305" s="87"/>
      <c r="G18305" s="87"/>
    </row>
    <row r="18306">
      <c r="A18306" s="86" t="str">
        <f>IFERROR(__xludf.DUMMYFUNCTION("""COMPUTED_VALUE"""),"")</f>
        <v/>
      </c>
      <c r="B18306" s="87"/>
      <c r="C18306" s="87"/>
      <c r="D18306" s="87"/>
      <c r="E18306" s="87"/>
      <c r="F18306" s="87"/>
      <c r="G18306" s="87"/>
    </row>
    <row r="18307">
      <c r="A18307" s="86" t="str">
        <f>IFERROR(__xludf.DUMMYFUNCTION("""COMPUTED_VALUE"""),"")</f>
        <v/>
      </c>
      <c r="B18307" s="87"/>
      <c r="C18307" s="87"/>
      <c r="D18307" s="87"/>
      <c r="E18307" s="87"/>
      <c r="F18307" s="87"/>
      <c r="G18307" s="87"/>
    </row>
    <row r="18308">
      <c r="A18308" s="86" t="str">
        <f>IFERROR(__xludf.DUMMYFUNCTION("""COMPUTED_VALUE"""),"")</f>
        <v/>
      </c>
      <c r="B18308" s="87"/>
      <c r="C18308" s="87"/>
      <c r="D18308" s="87"/>
      <c r="E18308" s="87"/>
      <c r="F18308" s="87"/>
      <c r="G18308" s="87"/>
    </row>
    <row r="18309">
      <c r="A18309" s="86" t="str">
        <f>IFERROR(__xludf.DUMMYFUNCTION("""COMPUTED_VALUE"""),"")</f>
        <v/>
      </c>
      <c r="B18309" s="87"/>
      <c r="C18309" s="87"/>
      <c r="D18309" s="87"/>
      <c r="E18309" s="87"/>
      <c r="F18309" s="87"/>
      <c r="G18309" s="87"/>
    </row>
    <row r="18310">
      <c r="A18310" s="86" t="str">
        <f>IFERROR(__xludf.DUMMYFUNCTION("""COMPUTED_VALUE"""),"")</f>
        <v/>
      </c>
      <c r="B18310" s="87"/>
      <c r="C18310" s="87"/>
      <c r="D18310" s="87"/>
      <c r="E18310" s="87"/>
      <c r="F18310" s="87"/>
      <c r="G18310" s="87"/>
    </row>
    <row r="18311">
      <c r="A18311" s="86" t="str">
        <f>IFERROR(__xludf.DUMMYFUNCTION("""COMPUTED_VALUE"""),"")</f>
        <v/>
      </c>
      <c r="B18311" s="87"/>
      <c r="C18311" s="87"/>
      <c r="D18311" s="87"/>
      <c r="E18311" s="87"/>
      <c r="F18311" s="87"/>
      <c r="G18311" s="87"/>
    </row>
    <row r="18312">
      <c r="A18312" s="86" t="str">
        <f>IFERROR(__xludf.DUMMYFUNCTION("""COMPUTED_VALUE"""),"")</f>
        <v/>
      </c>
      <c r="B18312" s="87"/>
      <c r="C18312" s="87"/>
      <c r="D18312" s="87"/>
      <c r="E18312" s="87"/>
      <c r="F18312" s="87"/>
      <c r="G18312" s="87"/>
    </row>
    <row r="18313">
      <c r="A18313" s="86" t="str">
        <f>IFERROR(__xludf.DUMMYFUNCTION("""COMPUTED_VALUE"""),"")</f>
        <v/>
      </c>
      <c r="B18313" s="87"/>
      <c r="C18313" s="87"/>
      <c r="D18313" s="87"/>
      <c r="E18313" s="87"/>
      <c r="F18313" s="87"/>
      <c r="G18313" s="87"/>
    </row>
    <row r="18314">
      <c r="A18314" s="86" t="str">
        <f>IFERROR(__xludf.DUMMYFUNCTION("""COMPUTED_VALUE"""),"")</f>
        <v/>
      </c>
      <c r="B18314" s="87"/>
      <c r="C18314" s="87"/>
      <c r="D18314" s="87"/>
      <c r="E18314" s="87"/>
      <c r="F18314" s="87"/>
      <c r="G18314" s="87"/>
    </row>
    <row r="18315">
      <c r="A18315" s="86" t="str">
        <f>IFERROR(__xludf.DUMMYFUNCTION("""COMPUTED_VALUE"""),"")</f>
        <v/>
      </c>
      <c r="B18315" s="87"/>
      <c r="C18315" s="87"/>
      <c r="D18315" s="87"/>
      <c r="E18315" s="87"/>
      <c r="F18315" s="87"/>
      <c r="G18315" s="87"/>
    </row>
    <row r="18316">
      <c r="A18316" s="86" t="str">
        <f>IFERROR(__xludf.DUMMYFUNCTION("""COMPUTED_VALUE"""),"")</f>
        <v/>
      </c>
      <c r="B18316" s="87"/>
      <c r="C18316" s="87"/>
      <c r="D18316" s="87"/>
      <c r="E18316" s="87"/>
      <c r="F18316" s="87"/>
      <c r="G18316" s="87"/>
    </row>
    <row r="18317">
      <c r="A18317" s="86" t="str">
        <f>IFERROR(__xludf.DUMMYFUNCTION("""COMPUTED_VALUE"""),"")</f>
        <v/>
      </c>
      <c r="B18317" s="87"/>
      <c r="C18317" s="87"/>
      <c r="D18317" s="87"/>
      <c r="E18317" s="87"/>
      <c r="F18317" s="87"/>
      <c r="G18317" s="87"/>
    </row>
    <row r="18318">
      <c r="A18318" s="86" t="str">
        <f>IFERROR(__xludf.DUMMYFUNCTION("""COMPUTED_VALUE"""),"")</f>
        <v/>
      </c>
      <c r="B18318" s="87"/>
      <c r="C18318" s="87"/>
      <c r="D18318" s="87"/>
      <c r="E18318" s="87"/>
      <c r="F18318" s="87"/>
      <c r="G18318" s="87"/>
    </row>
    <row r="18319">
      <c r="A18319" s="86" t="str">
        <f>IFERROR(__xludf.DUMMYFUNCTION("""COMPUTED_VALUE"""),"")</f>
        <v/>
      </c>
      <c r="B18319" s="87"/>
      <c r="C18319" s="87"/>
      <c r="D18319" s="87"/>
      <c r="E18319" s="87"/>
      <c r="F18319" s="87"/>
      <c r="G18319" s="87"/>
    </row>
    <row r="18320">
      <c r="A18320" s="86" t="str">
        <f>IFERROR(__xludf.DUMMYFUNCTION("""COMPUTED_VALUE"""),"")</f>
        <v/>
      </c>
      <c r="B18320" s="87"/>
      <c r="C18320" s="87"/>
      <c r="D18320" s="87"/>
      <c r="E18320" s="87"/>
      <c r="F18320" s="87"/>
      <c r="G18320" s="87"/>
    </row>
    <row r="18321">
      <c r="A18321" s="86" t="str">
        <f>IFERROR(__xludf.DUMMYFUNCTION("""COMPUTED_VALUE"""),"")</f>
        <v/>
      </c>
      <c r="B18321" s="87"/>
      <c r="C18321" s="87"/>
      <c r="D18321" s="87"/>
      <c r="E18321" s="87"/>
      <c r="F18321" s="87"/>
      <c r="G18321" s="87"/>
    </row>
    <row r="18322">
      <c r="A18322" s="86" t="str">
        <f>IFERROR(__xludf.DUMMYFUNCTION("""COMPUTED_VALUE"""),"")</f>
        <v/>
      </c>
      <c r="B18322" s="87"/>
      <c r="C18322" s="87"/>
      <c r="D18322" s="87"/>
      <c r="E18322" s="87"/>
      <c r="F18322" s="87"/>
      <c r="G18322" s="87"/>
    </row>
    <row r="18323">
      <c r="A18323" s="86" t="str">
        <f>IFERROR(__xludf.DUMMYFUNCTION("""COMPUTED_VALUE"""),"")</f>
        <v/>
      </c>
      <c r="B18323" s="87"/>
      <c r="C18323" s="87"/>
      <c r="D18323" s="87"/>
      <c r="E18323" s="87"/>
      <c r="F18323" s="87"/>
      <c r="G18323" s="87"/>
    </row>
    <row r="18324">
      <c r="A18324" s="86" t="str">
        <f>IFERROR(__xludf.DUMMYFUNCTION("""COMPUTED_VALUE"""),"")</f>
        <v/>
      </c>
      <c r="B18324" s="87"/>
      <c r="C18324" s="87"/>
      <c r="D18324" s="87"/>
      <c r="E18324" s="87"/>
      <c r="F18324" s="87"/>
      <c r="G18324" s="87"/>
    </row>
    <row r="18325">
      <c r="A18325" s="86" t="str">
        <f>IFERROR(__xludf.DUMMYFUNCTION("""COMPUTED_VALUE"""),"")</f>
        <v/>
      </c>
      <c r="B18325" s="87"/>
      <c r="C18325" s="87"/>
      <c r="D18325" s="87"/>
      <c r="E18325" s="87"/>
      <c r="F18325" s="87"/>
      <c r="G18325" s="87"/>
    </row>
    <row r="18326">
      <c r="A18326" s="86" t="str">
        <f>IFERROR(__xludf.DUMMYFUNCTION("""COMPUTED_VALUE"""),"")</f>
        <v/>
      </c>
      <c r="B18326" s="87"/>
      <c r="C18326" s="87"/>
      <c r="D18326" s="87"/>
      <c r="E18326" s="87"/>
      <c r="F18326" s="87"/>
      <c r="G18326" s="87"/>
    </row>
    <row r="18327">
      <c r="A18327" s="86" t="str">
        <f>IFERROR(__xludf.DUMMYFUNCTION("""COMPUTED_VALUE"""),"")</f>
        <v/>
      </c>
      <c r="B18327" s="87"/>
      <c r="C18327" s="87"/>
      <c r="D18327" s="87"/>
      <c r="E18327" s="87"/>
      <c r="F18327" s="87"/>
      <c r="G18327" s="87"/>
    </row>
    <row r="18328">
      <c r="A18328" s="86" t="str">
        <f>IFERROR(__xludf.DUMMYFUNCTION("""COMPUTED_VALUE"""),"")</f>
        <v/>
      </c>
      <c r="B18328" s="87"/>
      <c r="C18328" s="87"/>
      <c r="D18328" s="87"/>
      <c r="E18328" s="87"/>
      <c r="F18328" s="87"/>
      <c r="G18328" s="87"/>
    </row>
    <row r="18329">
      <c r="A18329" s="86" t="str">
        <f>IFERROR(__xludf.DUMMYFUNCTION("""COMPUTED_VALUE"""),"")</f>
        <v/>
      </c>
      <c r="B18329" s="87"/>
      <c r="C18329" s="87"/>
      <c r="D18329" s="87"/>
      <c r="E18329" s="87"/>
      <c r="F18329" s="87"/>
      <c r="G18329" s="87"/>
    </row>
    <row r="18330">
      <c r="A18330" s="86" t="str">
        <f>IFERROR(__xludf.DUMMYFUNCTION("""COMPUTED_VALUE"""),"")</f>
        <v/>
      </c>
      <c r="B18330" s="87"/>
      <c r="C18330" s="87"/>
      <c r="D18330" s="87"/>
      <c r="E18330" s="87"/>
      <c r="F18330" s="87"/>
      <c r="G18330" s="87"/>
    </row>
    <row r="18331">
      <c r="A18331" s="86" t="str">
        <f>IFERROR(__xludf.DUMMYFUNCTION("""COMPUTED_VALUE"""),"")</f>
        <v/>
      </c>
      <c r="B18331" s="87"/>
      <c r="C18331" s="87"/>
      <c r="D18331" s="87"/>
      <c r="E18331" s="87"/>
      <c r="F18331" s="87"/>
      <c r="G18331" s="87"/>
    </row>
    <row r="18332">
      <c r="A18332" s="86" t="str">
        <f>IFERROR(__xludf.DUMMYFUNCTION("""COMPUTED_VALUE"""),"")</f>
        <v/>
      </c>
      <c r="B18332" s="87"/>
      <c r="C18332" s="87"/>
      <c r="D18332" s="87"/>
      <c r="E18332" s="87"/>
      <c r="F18332" s="87"/>
      <c r="G18332" s="87"/>
    </row>
    <row r="18333">
      <c r="A18333" s="86" t="str">
        <f>IFERROR(__xludf.DUMMYFUNCTION("""COMPUTED_VALUE"""),"")</f>
        <v/>
      </c>
      <c r="B18333" s="87"/>
      <c r="C18333" s="87"/>
      <c r="D18333" s="87"/>
      <c r="E18333" s="87"/>
      <c r="F18333" s="87"/>
      <c r="G18333" s="87"/>
    </row>
    <row r="18334">
      <c r="A18334" s="86" t="str">
        <f>IFERROR(__xludf.DUMMYFUNCTION("""COMPUTED_VALUE"""),"")</f>
        <v/>
      </c>
      <c r="B18334" s="87"/>
      <c r="C18334" s="87"/>
      <c r="D18334" s="87"/>
      <c r="E18334" s="87"/>
      <c r="F18334" s="87"/>
      <c r="G18334" s="87"/>
    </row>
    <row r="18335">
      <c r="A18335" s="86" t="str">
        <f>IFERROR(__xludf.DUMMYFUNCTION("""COMPUTED_VALUE"""),"")</f>
        <v/>
      </c>
      <c r="B18335" s="87"/>
      <c r="C18335" s="87"/>
      <c r="D18335" s="87"/>
      <c r="E18335" s="87"/>
      <c r="F18335" s="87"/>
      <c r="G18335" s="87"/>
    </row>
    <row r="18336">
      <c r="A18336" s="86" t="str">
        <f>IFERROR(__xludf.DUMMYFUNCTION("""COMPUTED_VALUE"""),"")</f>
        <v/>
      </c>
      <c r="B18336" s="87"/>
      <c r="C18336" s="87"/>
      <c r="D18336" s="87"/>
      <c r="E18336" s="87"/>
      <c r="F18336" s="87"/>
      <c r="G18336" s="87"/>
    </row>
    <row r="18337">
      <c r="A18337" s="86" t="str">
        <f>IFERROR(__xludf.DUMMYFUNCTION("""COMPUTED_VALUE"""),"")</f>
        <v/>
      </c>
      <c r="B18337" s="87"/>
      <c r="C18337" s="87"/>
      <c r="D18337" s="87"/>
      <c r="E18337" s="87"/>
      <c r="F18337" s="87"/>
      <c r="G18337" s="87"/>
    </row>
    <row r="18338">
      <c r="A18338" s="86" t="str">
        <f>IFERROR(__xludf.DUMMYFUNCTION("""COMPUTED_VALUE"""),"")</f>
        <v/>
      </c>
      <c r="B18338" s="87"/>
      <c r="C18338" s="87"/>
      <c r="D18338" s="87"/>
      <c r="E18338" s="87"/>
      <c r="F18338" s="87"/>
      <c r="G18338" s="87"/>
    </row>
    <row r="18339">
      <c r="A18339" s="86" t="str">
        <f>IFERROR(__xludf.DUMMYFUNCTION("""COMPUTED_VALUE"""),"")</f>
        <v/>
      </c>
      <c r="B18339" s="87"/>
      <c r="C18339" s="87"/>
      <c r="D18339" s="87"/>
      <c r="E18339" s="87"/>
      <c r="F18339" s="87"/>
      <c r="G18339" s="87"/>
    </row>
    <row r="18340">
      <c r="A18340" s="86" t="str">
        <f>IFERROR(__xludf.DUMMYFUNCTION("""COMPUTED_VALUE"""),"")</f>
        <v/>
      </c>
      <c r="B18340" s="87"/>
      <c r="C18340" s="87"/>
      <c r="D18340" s="87"/>
      <c r="E18340" s="87"/>
      <c r="F18340" s="87"/>
      <c r="G18340" s="87"/>
    </row>
    <row r="18341">
      <c r="A18341" s="86" t="str">
        <f>IFERROR(__xludf.DUMMYFUNCTION("""COMPUTED_VALUE"""),"")</f>
        <v/>
      </c>
      <c r="B18341" s="87"/>
      <c r="C18341" s="87"/>
      <c r="D18341" s="87"/>
      <c r="E18341" s="87"/>
      <c r="F18341" s="87"/>
      <c r="G18341" s="87"/>
    </row>
    <row r="18342">
      <c r="A18342" s="86" t="str">
        <f>IFERROR(__xludf.DUMMYFUNCTION("""COMPUTED_VALUE"""),"")</f>
        <v/>
      </c>
      <c r="B18342" s="87"/>
      <c r="C18342" s="87"/>
      <c r="D18342" s="87"/>
      <c r="E18342" s="87"/>
      <c r="F18342" s="87"/>
      <c r="G18342" s="87"/>
    </row>
    <row r="18343">
      <c r="A18343" s="86" t="str">
        <f>IFERROR(__xludf.DUMMYFUNCTION("""COMPUTED_VALUE"""),"")</f>
        <v/>
      </c>
      <c r="B18343" s="87"/>
      <c r="C18343" s="87"/>
      <c r="D18343" s="87"/>
      <c r="E18343" s="87"/>
      <c r="F18343" s="87"/>
      <c r="G18343" s="87"/>
    </row>
    <row r="18344">
      <c r="A18344" s="86" t="str">
        <f>IFERROR(__xludf.DUMMYFUNCTION("""COMPUTED_VALUE"""),"")</f>
        <v/>
      </c>
      <c r="B18344" s="87"/>
      <c r="C18344" s="87"/>
      <c r="D18344" s="87"/>
      <c r="E18344" s="87"/>
      <c r="F18344" s="87"/>
      <c r="G18344" s="87"/>
    </row>
    <row r="18345">
      <c r="A18345" s="86" t="str">
        <f>IFERROR(__xludf.DUMMYFUNCTION("""COMPUTED_VALUE"""),"")</f>
        <v/>
      </c>
      <c r="B18345" s="87"/>
      <c r="C18345" s="87"/>
      <c r="D18345" s="87"/>
      <c r="E18345" s="87"/>
      <c r="F18345" s="87"/>
      <c r="G18345" s="87"/>
    </row>
    <row r="18346">
      <c r="A18346" s="86" t="str">
        <f>IFERROR(__xludf.DUMMYFUNCTION("""COMPUTED_VALUE"""),"")</f>
        <v/>
      </c>
      <c r="B18346" s="87"/>
      <c r="C18346" s="87"/>
      <c r="D18346" s="87"/>
      <c r="E18346" s="87"/>
      <c r="F18346" s="87"/>
      <c r="G18346" s="87"/>
    </row>
    <row r="18347">
      <c r="A18347" s="86" t="str">
        <f>IFERROR(__xludf.DUMMYFUNCTION("""COMPUTED_VALUE"""),"")</f>
        <v/>
      </c>
      <c r="B18347" s="87"/>
      <c r="C18347" s="87"/>
      <c r="D18347" s="87"/>
      <c r="E18347" s="87"/>
      <c r="F18347" s="87"/>
      <c r="G18347" s="87"/>
    </row>
    <row r="18348">
      <c r="A18348" s="86" t="str">
        <f>IFERROR(__xludf.DUMMYFUNCTION("""COMPUTED_VALUE"""),"")</f>
        <v/>
      </c>
      <c r="B18348" s="87"/>
      <c r="C18348" s="87"/>
      <c r="D18348" s="87"/>
      <c r="E18348" s="87"/>
      <c r="F18348" s="87"/>
      <c r="G18348" s="87"/>
    </row>
    <row r="18349">
      <c r="A18349" s="86" t="str">
        <f>IFERROR(__xludf.DUMMYFUNCTION("""COMPUTED_VALUE"""),"")</f>
        <v/>
      </c>
      <c r="B18349" s="87"/>
      <c r="C18349" s="87"/>
      <c r="D18349" s="87"/>
      <c r="E18349" s="87"/>
      <c r="F18349" s="87"/>
      <c r="G18349" s="87"/>
    </row>
    <row r="18350">
      <c r="A18350" s="86" t="str">
        <f>IFERROR(__xludf.DUMMYFUNCTION("""COMPUTED_VALUE"""),"")</f>
        <v/>
      </c>
      <c r="B18350" s="87"/>
      <c r="C18350" s="87"/>
      <c r="D18350" s="87"/>
      <c r="E18350" s="87"/>
      <c r="F18350" s="87"/>
      <c r="G18350" s="87"/>
    </row>
    <row r="18351">
      <c r="A18351" s="86" t="str">
        <f>IFERROR(__xludf.DUMMYFUNCTION("""COMPUTED_VALUE"""),"")</f>
        <v/>
      </c>
      <c r="B18351" s="87"/>
      <c r="C18351" s="87"/>
      <c r="D18351" s="87"/>
      <c r="E18351" s="87"/>
      <c r="F18351" s="87"/>
      <c r="G18351" s="87"/>
    </row>
    <row r="18352">
      <c r="A18352" s="86" t="str">
        <f>IFERROR(__xludf.DUMMYFUNCTION("""COMPUTED_VALUE"""),"")</f>
        <v/>
      </c>
      <c r="B18352" s="87"/>
      <c r="C18352" s="87"/>
      <c r="D18352" s="87"/>
      <c r="E18352" s="87"/>
      <c r="F18352" s="87"/>
      <c r="G18352" s="87"/>
    </row>
    <row r="18353">
      <c r="A18353" s="86" t="str">
        <f>IFERROR(__xludf.DUMMYFUNCTION("""COMPUTED_VALUE"""),"")</f>
        <v/>
      </c>
      <c r="B18353" s="87"/>
      <c r="C18353" s="87"/>
      <c r="D18353" s="87"/>
      <c r="E18353" s="87"/>
      <c r="F18353" s="87"/>
      <c r="G18353" s="87"/>
    </row>
    <row r="18354">
      <c r="A18354" s="86" t="str">
        <f>IFERROR(__xludf.DUMMYFUNCTION("""COMPUTED_VALUE"""),"")</f>
        <v/>
      </c>
      <c r="B18354" s="87"/>
      <c r="C18354" s="87"/>
      <c r="D18354" s="87"/>
      <c r="E18354" s="87"/>
      <c r="F18354" s="87"/>
      <c r="G18354" s="87"/>
    </row>
    <row r="18355">
      <c r="A18355" s="86" t="str">
        <f>IFERROR(__xludf.DUMMYFUNCTION("""COMPUTED_VALUE"""),"")</f>
        <v/>
      </c>
      <c r="B18355" s="87"/>
      <c r="C18355" s="87"/>
      <c r="D18355" s="87"/>
      <c r="E18355" s="87"/>
      <c r="F18355" s="87"/>
      <c r="G18355" s="87"/>
    </row>
    <row r="18356">
      <c r="A18356" s="86" t="str">
        <f>IFERROR(__xludf.DUMMYFUNCTION("""COMPUTED_VALUE"""),"")</f>
        <v/>
      </c>
      <c r="B18356" s="87"/>
      <c r="C18356" s="87"/>
      <c r="D18356" s="87"/>
      <c r="E18356" s="87"/>
      <c r="F18356" s="87"/>
      <c r="G18356" s="87"/>
    </row>
    <row r="18357">
      <c r="A18357" s="86" t="str">
        <f>IFERROR(__xludf.DUMMYFUNCTION("""COMPUTED_VALUE"""),"")</f>
        <v/>
      </c>
      <c r="B18357" s="87"/>
      <c r="C18357" s="87"/>
      <c r="D18357" s="87"/>
      <c r="E18357" s="87"/>
      <c r="F18357" s="87"/>
      <c r="G18357" s="87"/>
    </row>
    <row r="18358">
      <c r="A18358" s="86" t="str">
        <f>IFERROR(__xludf.DUMMYFUNCTION("""COMPUTED_VALUE"""),"")</f>
        <v/>
      </c>
      <c r="B18358" s="87"/>
      <c r="C18358" s="87"/>
      <c r="D18358" s="87"/>
      <c r="E18358" s="87"/>
      <c r="F18358" s="87"/>
      <c r="G18358" s="87"/>
    </row>
    <row r="18359">
      <c r="A18359" s="86" t="str">
        <f>IFERROR(__xludf.DUMMYFUNCTION("""COMPUTED_VALUE"""),"")</f>
        <v/>
      </c>
      <c r="B18359" s="87"/>
      <c r="C18359" s="87"/>
      <c r="D18359" s="87"/>
      <c r="E18359" s="87"/>
      <c r="F18359" s="87"/>
      <c r="G18359" s="87"/>
    </row>
    <row r="18360">
      <c r="A18360" s="86" t="str">
        <f>IFERROR(__xludf.DUMMYFUNCTION("""COMPUTED_VALUE"""),"")</f>
        <v/>
      </c>
      <c r="B18360" s="87"/>
      <c r="C18360" s="87"/>
      <c r="D18360" s="87"/>
      <c r="E18360" s="87"/>
      <c r="F18360" s="87"/>
      <c r="G18360" s="87"/>
    </row>
    <row r="18361">
      <c r="A18361" s="86" t="str">
        <f>IFERROR(__xludf.DUMMYFUNCTION("""COMPUTED_VALUE"""),"")</f>
        <v/>
      </c>
      <c r="B18361" s="87"/>
      <c r="C18361" s="87"/>
      <c r="D18361" s="87"/>
      <c r="E18361" s="87"/>
      <c r="F18361" s="87"/>
      <c r="G18361" s="87"/>
    </row>
    <row r="18362">
      <c r="A18362" s="86" t="str">
        <f>IFERROR(__xludf.DUMMYFUNCTION("""COMPUTED_VALUE"""),"")</f>
        <v/>
      </c>
      <c r="B18362" s="87"/>
      <c r="C18362" s="87"/>
      <c r="D18362" s="87"/>
      <c r="E18362" s="87"/>
      <c r="F18362" s="87"/>
      <c r="G18362" s="87"/>
    </row>
    <row r="18363">
      <c r="A18363" s="86" t="str">
        <f>IFERROR(__xludf.DUMMYFUNCTION("""COMPUTED_VALUE"""),"")</f>
        <v/>
      </c>
      <c r="B18363" s="87"/>
      <c r="C18363" s="87"/>
      <c r="D18363" s="87"/>
      <c r="E18363" s="87"/>
      <c r="F18363" s="87"/>
      <c r="G18363" s="87"/>
    </row>
    <row r="18364">
      <c r="A18364" s="86" t="str">
        <f>IFERROR(__xludf.DUMMYFUNCTION("""COMPUTED_VALUE"""),"")</f>
        <v/>
      </c>
      <c r="B18364" s="87"/>
      <c r="C18364" s="87"/>
      <c r="D18364" s="87"/>
      <c r="E18364" s="87"/>
      <c r="F18364" s="87"/>
      <c r="G18364" s="87"/>
    </row>
    <row r="18365">
      <c r="A18365" s="86" t="str">
        <f>IFERROR(__xludf.DUMMYFUNCTION("""COMPUTED_VALUE"""),"")</f>
        <v/>
      </c>
      <c r="B18365" s="87"/>
      <c r="C18365" s="87"/>
      <c r="D18365" s="87"/>
      <c r="E18365" s="87"/>
      <c r="F18365" s="87"/>
      <c r="G18365" s="87"/>
    </row>
    <row r="18366">
      <c r="A18366" s="86" t="str">
        <f>IFERROR(__xludf.DUMMYFUNCTION("""COMPUTED_VALUE"""),"")</f>
        <v/>
      </c>
      <c r="B18366" s="87"/>
      <c r="C18366" s="87"/>
      <c r="D18366" s="87"/>
      <c r="E18366" s="87"/>
      <c r="F18366" s="87"/>
      <c r="G18366" s="87"/>
    </row>
    <row r="18367">
      <c r="A18367" s="86" t="str">
        <f>IFERROR(__xludf.DUMMYFUNCTION("""COMPUTED_VALUE"""),"")</f>
        <v/>
      </c>
      <c r="B18367" s="87"/>
      <c r="C18367" s="87"/>
      <c r="D18367" s="87"/>
      <c r="E18367" s="87"/>
      <c r="F18367" s="87"/>
      <c r="G18367" s="87"/>
    </row>
    <row r="18368">
      <c r="A18368" s="86" t="str">
        <f>IFERROR(__xludf.DUMMYFUNCTION("""COMPUTED_VALUE"""),"")</f>
        <v/>
      </c>
      <c r="B18368" s="87"/>
      <c r="C18368" s="87"/>
      <c r="D18368" s="87"/>
      <c r="E18368" s="87"/>
      <c r="F18368" s="87"/>
      <c r="G18368" s="87"/>
    </row>
    <row r="18369">
      <c r="A18369" s="86" t="str">
        <f>IFERROR(__xludf.DUMMYFUNCTION("""COMPUTED_VALUE"""),"")</f>
        <v/>
      </c>
      <c r="B18369" s="87"/>
      <c r="C18369" s="87"/>
      <c r="D18369" s="87"/>
      <c r="E18369" s="87"/>
      <c r="F18369" s="87"/>
      <c r="G18369" s="87"/>
    </row>
    <row r="18370">
      <c r="A18370" s="86" t="str">
        <f>IFERROR(__xludf.DUMMYFUNCTION("""COMPUTED_VALUE"""),"")</f>
        <v/>
      </c>
      <c r="B18370" s="87"/>
      <c r="C18370" s="87"/>
      <c r="D18370" s="87"/>
      <c r="E18370" s="87"/>
      <c r="F18370" s="87"/>
      <c r="G18370" s="87"/>
    </row>
    <row r="18371">
      <c r="A18371" s="86" t="str">
        <f>IFERROR(__xludf.DUMMYFUNCTION("""COMPUTED_VALUE"""),"")</f>
        <v/>
      </c>
      <c r="B18371" s="87"/>
      <c r="C18371" s="87"/>
      <c r="D18371" s="87"/>
      <c r="E18371" s="87"/>
      <c r="F18371" s="87"/>
      <c r="G18371" s="87"/>
    </row>
    <row r="18372">
      <c r="A18372" s="86" t="str">
        <f>IFERROR(__xludf.DUMMYFUNCTION("""COMPUTED_VALUE"""),"")</f>
        <v/>
      </c>
      <c r="B18372" s="87"/>
      <c r="C18372" s="87"/>
      <c r="D18372" s="87"/>
      <c r="E18372" s="87"/>
      <c r="F18372" s="87"/>
      <c r="G18372" s="87"/>
    </row>
    <row r="18373">
      <c r="A18373" s="86" t="str">
        <f>IFERROR(__xludf.DUMMYFUNCTION("""COMPUTED_VALUE"""),"")</f>
        <v/>
      </c>
      <c r="B18373" s="87"/>
      <c r="C18373" s="87"/>
      <c r="D18373" s="87"/>
      <c r="E18373" s="87"/>
      <c r="F18373" s="87"/>
      <c r="G18373" s="87"/>
    </row>
    <row r="18374">
      <c r="A18374" s="86" t="str">
        <f>IFERROR(__xludf.DUMMYFUNCTION("""COMPUTED_VALUE"""),"")</f>
        <v/>
      </c>
      <c r="B18374" s="87"/>
      <c r="C18374" s="87"/>
      <c r="D18374" s="87"/>
      <c r="E18374" s="87"/>
      <c r="F18374" s="87"/>
      <c r="G18374" s="87"/>
    </row>
    <row r="18375">
      <c r="A18375" s="86" t="str">
        <f>IFERROR(__xludf.DUMMYFUNCTION("""COMPUTED_VALUE"""),"")</f>
        <v/>
      </c>
      <c r="B18375" s="87"/>
      <c r="C18375" s="87"/>
      <c r="D18375" s="87"/>
      <c r="E18375" s="87"/>
      <c r="F18375" s="87"/>
      <c r="G18375" s="87"/>
    </row>
    <row r="18376">
      <c r="A18376" s="86" t="str">
        <f>IFERROR(__xludf.DUMMYFUNCTION("""COMPUTED_VALUE"""),"")</f>
        <v/>
      </c>
      <c r="B18376" s="87"/>
      <c r="C18376" s="87"/>
      <c r="D18376" s="87"/>
      <c r="E18376" s="87"/>
      <c r="F18376" s="87"/>
      <c r="G18376" s="87"/>
    </row>
    <row r="18377">
      <c r="A18377" s="86" t="str">
        <f>IFERROR(__xludf.DUMMYFUNCTION("""COMPUTED_VALUE"""),"")</f>
        <v/>
      </c>
      <c r="B18377" s="87"/>
      <c r="C18377" s="87"/>
      <c r="D18377" s="87"/>
      <c r="E18377" s="87"/>
      <c r="F18377" s="87"/>
      <c r="G18377" s="87"/>
    </row>
    <row r="18378">
      <c r="A18378" s="86" t="str">
        <f>IFERROR(__xludf.DUMMYFUNCTION("""COMPUTED_VALUE"""),"")</f>
        <v/>
      </c>
      <c r="B18378" s="87"/>
      <c r="C18378" s="87"/>
      <c r="D18378" s="87"/>
      <c r="E18378" s="87"/>
      <c r="F18378" s="87"/>
      <c r="G18378" s="87"/>
    </row>
    <row r="18379">
      <c r="A18379" s="86" t="str">
        <f>IFERROR(__xludf.DUMMYFUNCTION("""COMPUTED_VALUE"""),"")</f>
        <v/>
      </c>
      <c r="B18379" s="87"/>
      <c r="C18379" s="87"/>
      <c r="D18379" s="87"/>
      <c r="E18379" s="87"/>
      <c r="F18379" s="87"/>
      <c r="G18379" s="87"/>
    </row>
    <row r="18380">
      <c r="A18380" s="86" t="str">
        <f>IFERROR(__xludf.DUMMYFUNCTION("""COMPUTED_VALUE"""),"")</f>
        <v/>
      </c>
      <c r="B18380" s="87"/>
      <c r="C18380" s="87"/>
      <c r="D18380" s="87"/>
      <c r="E18380" s="87"/>
      <c r="F18380" s="87"/>
      <c r="G18380" s="87"/>
    </row>
    <row r="18381">
      <c r="A18381" s="86" t="str">
        <f>IFERROR(__xludf.DUMMYFUNCTION("""COMPUTED_VALUE"""),"")</f>
        <v/>
      </c>
      <c r="B18381" s="87"/>
      <c r="C18381" s="87"/>
      <c r="D18381" s="87"/>
      <c r="E18381" s="87"/>
      <c r="F18381" s="87"/>
      <c r="G18381" s="87"/>
    </row>
    <row r="18382">
      <c r="A18382" s="86" t="str">
        <f>IFERROR(__xludf.DUMMYFUNCTION("""COMPUTED_VALUE"""),"")</f>
        <v/>
      </c>
      <c r="B18382" s="87"/>
      <c r="C18382" s="87"/>
      <c r="D18382" s="87"/>
      <c r="E18382" s="87"/>
      <c r="F18382" s="87"/>
      <c r="G18382" s="87"/>
    </row>
    <row r="18383">
      <c r="A18383" s="86" t="str">
        <f>IFERROR(__xludf.DUMMYFUNCTION("""COMPUTED_VALUE"""),"")</f>
        <v/>
      </c>
      <c r="B18383" s="87"/>
      <c r="C18383" s="87"/>
      <c r="D18383" s="87"/>
      <c r="E18383" s="87"/>
      <c r="F18383" s="87"/>
      <c r="G18383" s="87"/>
    </row>
    <row r="18384">
      <c r="A18384" s="86" t="str">
        <f>IFERROR(__xludf.DUMMYFUNCTION("""COMPUTED_VALUE"""),"")</f>
        <v/>
      </c>
      <c r="B18384" s="87"/>
      <c r="C18384" s="87"/>
      <c r="D18384" s="87"/>
      <c r="E18384" s="87"/>
      <c r="F18384" s="87"/>
      <c r="G18384" s="87"/>
    </row>
    <row r="18385">
      <c r="A18385" s="86" t="str">
        <f>IFERROR(__xludf.DUMMYFUNCTION("""COMPUTED_VALUE"""),"")</f>
        <v/>
      </c>
      <c r="B18385" s="87"/>
      <c r="C18385" s="87"/>
      <c r="D18385" s="87"/>
      <c r="E18385" s="87"/>
      <c r="F18385" s="87"/>
      <c r="G18385" s="87"/>
    </row>
    <row r="18386">
      <c r="A18386" s="86" t="str">
        <f>IFERROR(__xludf.DUMMYFUNCTION("""COMPUTED_VALUE"""),"")</f>
        <v/>
      </c>
      <c r="B18386" s="87"/>
      <c r="C18386" s="87"/>
      <c r="D18386" s="87"/>
      <c r="E18386" s="87"/>
      <c r="F18386" s="87"/>
      <c r="G18386" s="87"/>
    </row>
    <row r="18387">
      <c r="A18387" s="86" t="str">
        <f>IFERROR(__xludf.DUMMYFUNCTION("""COMPUTED_VALUE"""),"")</f>
        <v/>
      </c>
      <c r="B18387" s="87"/>
      <c r="C18387" s="87"/>
      <c r="D18387" s="87"/>
      <c r="E18387" s="87"/>
      <c r="F18387" s="87"/>
      <c r="G18387" s="87"/>
    </row>
    <row r="18388">
      <c r="A18388" s="86" t="str">
        <f>IFERROR(__xludf.DUMMYFUNCTION("""COMPUTED_VALUE"""),"")</f>
        <v/>
      </c>
      <c r="B18388" s="87"/>
      <c r="C18388" s="87"/>
      <c r="D18388" s="87"/>
      <c r="E18388" s="87"/>
      <c r="F18388" s="87"/>
      <c r="G18388" s="87"/>
    </row>
    <row r="18389">
      <c r="A18389" s="86" t="str">
        <f>IFERROR(__xludf.DUMMYFUNCTION("""COMPUTED_VALUE"""),"")</f>
        <v/>
      </c>
      <c r="B18389" s="87"/>
      <c r="C18389" s="87"/>
      <c r="D18389" s="87"/>
      <c r="E18389" s="87"/>
      <c r="F18389" s="87"/>
      <c r="G18389" s="87"/>
    </row>
    <row r="18390">
      <c r="A18390" s="86" t="str">
        <f>IFERROR(__xludf.DUMMYFUNCTION("""COMPUTED_VALUE"""),"")</f>
        <v/>
      </c>
      <c r="B18390" s="87"/>
      <c r="C18390" s="87"/>
      <c r="D18390" s="87"/>
      <c r="E18390" s="87"/>
      <c r="F18390" s="87"/>
      <c r="G18390" s="87"/>
    </row>
    <row r="18391">
      <c r="A18391" s="86" t="str">
        <f>IFERROR(__xludf.DUMMYFUNCTION("""COMPUTED_VALUE"""),"")</f>
        <v/>
      </c>
      <c r="B18391" s="87"/>
      <c r="C18391" s="87"/>
      <c r="D18391" s="87"/>
      <c r="E18391" s="87"/>
      <c r="F18391" s="87"/>
      <c r="G18391" s="87"/>
    </row>
    <row r="18392">
      <c r="A18392" s="86" t="str">
        <f>IFERROR(__xludf.DUMMYFUNCTION("""COMPUTED_VALUE"""),"")</f>
        <v/>
      </c>
      <c r="B18392" s="87"/>
      <c r="C18392" s="87"/>
      <c r="D18392" s="87"/>
      <c r="E18392" s="87"/>
      <c r="F18392" s="87"/>
      <c r="G18392" s="87"/>
    </row>
    <row r="18393">
      <c r="A18393" s="86" t="str">
        <f>IFERROR(__xludf.DUMMYFUNCTION("""COMPUTED_VALUE"""),"")</f>
        <v/>
      </c>
      <c r="B18393" s="87"/>
      <c r="C18393" s="87"/>
      <c r="D18393" s="87"/>
      <c r="E18393" s="87"/>
      <c r="F18393" s="87"/>
      <c r="G18393" s="87"/>
    </row>
    <row r="18394">
      <c r="A18394" s="86" t="str">
        <f>IFERROR(__xludf.DUMMYFUNCTION("""COMPUTED_VALUE"""),"")</f>
        <v/>
      </c>
      <c r="B18394" s="87"/>
      <c r="C18394" s="87"/>
      <c r="D18394" s="87"/>
      <c r="E18394" s="87"/>
      <c r="F18394" s="87"/>
      <c r="G18394" s="87"/>
    </row>
    <row r="18395">
      <c r="A18395" s="86" t="str">
        <f>IFERROR(__xludf.DUMMYFUNCTION("""COMPUTED_VALUE"""),"")</f>
        <v/>
      </c>
      <c r="B18395" s="87"/>
      <c r="C18395" s="87"/>
      <c r="D18395" s="87"/>
      <c r="E18395" s="87"/>
      <c r="F18395" s="87"/>
      <c r="G18395" s="87"/>
    </row>
    <row r="18396">
      <c r="A18396" s="86" t="str">
        <f>IFERROR(__xludf.DUMMYFUNCTION("""COMPUTED_VALUE"""),"")</f>
        <v/>
      </c>
      <c r="B18396" s="87"/>
      <c r="C18396" s="87"/>
      <c r="D18396" s="87"/>
      <c r="E18396" s="87"/>
      <c r="F18396" s="87"/>
      <c r="G18396" s="87"/>
    </row>
    <row r="18397">
      <c r="A18397" s="86" t="str">
        <f>IFERROR(__xludf.DUMMYFUNCTION("""COMPUTED_VALUE"""),"")</f>
        <v/>
      </c>
      <c r="B18397" s="87"/>
      <c r="C18397" s="87"/>
      <c r="D18397" s="87"/>
      <c r="E18397" s="87"/>
      <c r="F18397" s="87"/>
      <c r="G18397" s="87"/>
    </row>
    <row r="18398">
      <c r="A18398" s="86" t="str">
        <f>IFERROR(__xludf.DUMMYFUNCTION("""COMPUTED_VALUE"""),"")</f>
        <v/>
      </c>
      <c r="B18398" s="87"/>
      <c r="C18398" s="87"/>
      <c r="D18398" s="87"/>
      <c r="E18398" s="87"/>
      <c r="F18398" s="87"/>
      <c r="G18398" s="87"/>
    </row>
    <row r="18399">
      <c r="A18399" s="86" t="str">
        <f>IFERROR(__xludf.DUMMYFUNCTION("""COMPUTED_VALUE"""),"")</f>
        <v/>
      </c>
      <c r="B18399" s="87"/>
      <c r="C18399" s="87"/>
      <c r="D18399" s="87"/>
      <c r="E18399" s="87"/>
      <c r="F18399" s="87"/>
      <c r="G18399" s="87"/>
    </row>
    <row r="18400">
      <c r="A18400" s="86" t="str">
        <f>IFERROR(__xludf.DUMMYFUNCTION("""COMPUTED_VALUE"""),"")</f>
        <v/>
      </c>
      <c r="B18400" s="87"/>
      <c r="C18400" s="87"/>
      <c r="D18400" s="87"/>
      <c r="E18400" s="87"/>
      <c r="F18400" s="87"/>
      <c r="G18400" s="87"/>
    </row>
    <row r="18401">
      <c r="A18401" s="86" t="str">
        <f>IFERROR(__xludf.DUMMYFUNCTION("""COMPUTED_VALUE"""),"")</f>
        <v/>
      </c>
      <c r="B18401" s="87"/>
      <c r="C18401" s="87"/>
      <c r="D18401" s="87"/>
      <c r="E18401" s="87"/>
      <c r="F18401" s="87"/>
      <c r="G18401" s="87"/>
    </row>
    <row r="18402">
      <c r="A18402" s="86" t="str">
        <f>IFERROR(__xludf.DUMMYFUNCTION("""COMPUTED_VALUE"""),"")</f>
        <v/>
      </c>
      <c r="B18402" s="87"/>
      <c r="C18402" s="87"/>
      <c r="D18402" s="87"/>
      <c r="E18402" s="87"/>
      <c r="F18402" s="87"/>
      <c r="G18402" s="87"/>
    </row>
    <row r="18403">
      <c r="A18403" s="86" t="str">
        <f>IFERROR(__xludf.DUMMYFUNCTION("""COMPUTED_VALUE"""),"")</f>
        <v/>
      </c>
      <c r="B18403" s="87"/>
      <c r="C18403" s="87"/>
      <c r="D18403" s="87"/>
      <c r="E18403" s="87"/>
      <c r="F18403" s="87"/>
      <c r="G18403" s="87"/>
    </row>
    <row r="18404">
      <c r="A18404" s="86" t="str">
        <f>IFERROR(__xludf.DUMMYFUNCTION("""COMPUTED_VALUE"""),"")</f>
        <v/>
      </c>
      <c r="B18404" s="87"/>
      <c r="C18404" s="87"/>
      <c r="D18404" s="87"/>
      <c r="E18404" s="87"/>
      <c r="F18404" s="87"/>
      <c r="G18404" s="87"/>
    </row>
    <row r="18405">
      <c r="A18405" s="86" t="str">
        <f>IFERROR(__xludf.DUMMYFUNCTION("""COMPUTED_VALUE"""),"")</f>
        <v/>
      </c>
      <c r="B18405" s="87"/>
      <c r="C18405" s="87"/>
      <c r="D18405" s="87"/>
      <c r="E18405" s="87"/>
      <c r="F18405" s="87"/>
      <c r="G18405" s="87"/>
    </row>
    <row r="18406">
      <c r="A18406" s="86" t="str">
        <f>IFERROR(__xludf.DUMMYFUNCTION("""COMPUTED_VALUE"""),"")</f>
        <v/>
      </c>
      <c r="B18406" s="87"/>
      <c r="C18406" s="87"/>
      <c r="D18406" s="87"/>
      <c r="E18406" s="87"/>
      <c r="F18406" s="87"/>
      <c r="G18406" s="87"/>
    </row>
    <row r="18407">
      <c r="A18407" s="86" t="str">
        <f>IFERROR(__xludf.DUMMYFUNCTION("""COMPUTED_VALUE"""),"")</f>
        <v/>
      </c>
      <c r="B18407" s="87"/>
      <c r="C18407" s="87"/>
      <c r="D18407" s="87"/>
      <c r="E18407" s="87"/>
      <c r="F18407" s="87"/>
      <c r="G18407" s="87"/>
    </row>
    <row r="18408">
      <c r="A18408" s="86" t="str">
        <f>IFERROR(__xludf.DUMMYFUNCTION("""COMPUTED_VALUE"""),"")</f>
        <v/>
      </c>
      <c r="B18408" s="87"/>
      <c r="C18408" s="87"/>
      <c r="D18408" s="87"/>
      <c r="E18408" s="87"/>
      <c r="F18408" s="87"/>
      <c r="G18408" s="87"/>
    </row>
    <row r="18409">
      <c r="A18409" s="86" t="str">
        <f>IFERROR(__xludf.DUMMYFUNCTION("""COMPUTED_VALUE"""),"")</f>
        <v/>
      </c>
      <c r="B18409" s="87"/>
      <c r="C18409" s="87"/>
      <c r="D18409" s="87"/>
      <c r="E18409" s="87"/>
      <c r="F18409" s="87"/>
      <c r="G18409" s="87"/>
    </row>
    <row r="18410">
      <c r="A18410" s="86" t="str">
        <f>IFERROR(__xludf.DUMMYFUNCTION("""COMPUTED_VALUE"""),"")</f>
        <v/>
      </c>
      <c r="B18410" s="87"/>
      <c r="C18410" s="87"/>
      <c r="D18410" s="87"/>
      <c r="E18410" s="87"/>
      <c r="F18410" s="87"/>
      <c r="G18410" s="87"/>
    </row>
    <row r="18411">
      <c r="A18411" s="86" t="str">
        <f>IFERROR(__xludf.DUMMYFUNCTION("""COMPUTED_VALUE"""),"")</f>
        <v/>
      </c>
      <c r="B18411" s="87"/>
      <c r="C18411" s="87"/>
      <c r="D18411" s="87"/>
      <c r="E18411" s="87"/>
      <c r="F18411" s="87"/>
      <c r="G18411" s="87"/>
    </row>
    <row r="18412">
      <c r="A18412" s="86" t="str">
        <f>IFERROR(__xludf.DUMMYFUNCTION("""COMPUTED_VALUE"""),"")</f>
        <v/>
      </c>
      <c r="B18412" s="87"/>
      <c r="C18412" s="87"/>
      <c r="D18412" s="87"/>
      <c r="E18412" s="87"/>
      <c r="F18412" s="87"/>
      <c r="G18412" s="87"/>
    </row>
    <row r="18413">
      <c r="A18413" s="86" t="str">
        <f>IFERROR(__xludf.DUMMYFUNCTION("""COMPUTED_VALUE"""),"")</f>
        <v/>
      </c>
      <c r="B18413" s="87"/>
      <c r="C18413" s="87"/>
      <c r="D18413" s="87"/>
      <c r="E18413" s="87"/>
      <c r="F18413" s="87"/>
      <c r="G18413" s="87"/>
    </row>
    <row r="18414">
      <c r="A18414" s="86" t="str">
        <f>IFERROR(__xludf.DUMMYFUNCTION("""COMPUTED_VALUE"""),"")</f>
        <v/>
      </c>
      <c r="B18414" s="87"/>
      <c r="C18414" s="87"/>
      <c r="D18414" s="87"/>
      <c r="E18414" s="87"/>
      <c r="F18414" s="87"/>
      <c r="G18414" s="87"/>
    </row>
    <row r="18415">
      <c r="A18415" s="86" t="str">
        <f>IFERROR(__xludf.DUMMYFUNCTION("""COMPUTED_VALUE"""),"")</f>
        <v/>
      </c>
      <c r="B18415" s="87"/>
      <c r="C18415" s="87"/>
      <c r="D18415" s="87"/>
      <c r="E18415" s="87"/>
      <c r="F18415" s="87"/>
      <c r="G18415" s="87"/>
    </row>
    <row r="18416">
      <c r="A18416" s="86" t="str">
        <f>IFERROR(__xludf.DUMMYFUNCTION("""COMPUTED_VALUE"""),"")</f>
        <v/>
      </c>
      <c r="B18416" s="87"/>
      <c r="C18416" s="87"/>
      <c r="D18416" s="87"/>
      <c r="E18416" s="87"/>
      <c r="F18416" s="87"/>
      <c r="G18416" s="87"/>
    </row>
    <row r="18417">
      <c r="A18417" s="86" t="str">
        <f>IFERROR(__xludf.DUMMYFUNCTION("""COMPUTED_VALUE"""),"")</f>
        <v/>
      </c>
      <c r="B18417" s="87"/>
      <c r="C18417" s="87"/>
      <c r="D18417" s="87"/>
      <c r="E18417" s="87"/>
      <c r="F18417" s="87"/>
      <c r="G18417" s="87"/>
    </row>
    <row r="18418">
      <c r="A18418" s="86" t="str">
        <f>IFERROR(__xludf.DUMMYFUNCTION("""COMPUTED_VALUE"""),"")</f>
        <v/>
      </c>
      <c r="B18418" s="87"/>
      <c r="C18418" s="87"/>
      <c r="D18418" s="87"/>
      <c r="E18418" s="87"/>
      <c r="F18418" s="87"/>
      <c r="G18418" s="87"/>
    </row>
    <row r="18419">
      <c r="A18419" s="86" t="str">
        <f>IFERROR(__xludf.DUMMYFUNCTION("""COMPUTED_VALUE"""),"")</f>
        <v/>
      </c>
      <c r="B18419" s="87"/>
      <c r="C18419" s="87"/>
      <c r="D18419" s="87"/>
      <c r="E18419" s="87"/>
      <c r="F18419" s="87"/>
      <c r="G18419" s="87"/>
    </row>
    <row r="18420">
      <c r="A18420" s="86" t="str">
        <f>IFERROR(__xludf.DUMMYFUNCTION("""COMPUTED_VALUE"""),"")</f>
        <v/>
      </c>
      <c r="B18420" s="87"/>
      <c r="C18420" s="87"/>
      <c r="D18420" s="87"/>
      <c r="E18420" s="87"/>
      <c r="F18420" s="87"/>
      <c r="G18420" s="87"/>
    </row>
    <row r="18421">
      <c r="A18421" s="86" t="str">
        <f>IFERROR(__xludf.DUMMYFUNCTION("""COMPUTED_VALUE"""),"")</f>
        <v/>
      </c>
      <c r="B18421" s="87"/>
      <c r="C18421" s="87"/>
      <c r="D18421" s="87"/>
      <c r="E18421" s="87"/>
      <c r="F18421" s="87"/>
      <c r="G18421" s="87"/>
    </row>
    <row r="18422">
      <c r="A18422" s="86" t="str">
        <f>IFERROR(__xludf.DUMMYFUNCTION("""COMPUTED_VALUE"""),"")</f>
        <v/>
      </c>
      <c r="B18422" s="87"/>
      <c r="C18422" s="87"/>
      <c r="D18422" s="87"/>
      <c r="E18422" s="87"/>
      <c r="F18422" s="87"/>
      <c r="G18422" s="87"/>
    </row>
    <row r="18423">
      <c r="A18423" s="86" t="str">
        <f>IFERROR(__xludf.DUMMYFUNCTION("""COMPUTED_VALUE"""),"")</f>
        <v/>
      </c>
      <c r="B18423" s="87"/>
      <c r="C18423" s="87"/>
      <c r="D18423" s="87"/>
      <c r="E18423" s="87"/>
      <c r="F18423" s="87"/>
      <c r="G18423" s="87"/>
    </row>
    <row r="18424">
      <c r="A18424" s="86" t="str">
        <f>IFERROR(__xludf.DUMMYFUNCTION("""COMPUTED_VALUE"""),"")</f>
        <v/>
      </c>
      <c r="B18424" s="87"/>
      <c r="C18424" s="87"/>
      <c r="D18424" s="87"/>
      <c r="E18424" s="87"/>
      <c r="F18424" s="87"/>
      <c r="G18424" s="87"/>
    </row>
    <row r="18425">
      <c r="A18425" s="86" t="str">
        <f>IFERROR(__xludf.DUMMYFUNCTION("""COMPUTED_VALUE"""),"")</f>
        <v/>
      </c>
      <c r="B18425" s="87"/>
      <c r="C18425" s="87"/>
      <c r="D18425" s="87"/>
      <c r="E18425" s="87"/>
      <c r="F18425" s="87"/>
      <c r="G18425" s="87"/>
    </row>
    <row r="18426">
      <c r="A18426" s="86" t="str">
        <f>IFERROR(__xludf.DUMMYFUNCTION("""COMPUTED_VALUE"""),"")</f>
        <v/>
      </c>
      <c r="B18426" s="87"/>
      <c r="C18426" s="87"/>
      <c r="D18426" s="87"/>
      <c r="E18426" s="87"/>
      <c r="F18426" s="87"/>
      <c r="G18426" s="87"/>
    </row>
    <row r="18427">
      <c r="A18427" s="86" t="str">
        <f>IFERROR(__xludf.DUMMYFUNCTION("""COMPUTED_VALUE"""),"")</f>
        <v/>
      </c>
      <c r="B18427" s="87"/>
      <c r="C18427" s="87"/>
      <c r="D18427" s="87"/>
      <c r="E18427" s="87"/>
      <c r="F18427" s="87"/>
      <c r="G18427" s="87"/>
    </row>
    <row r="18428">
      <c r="A18428" s="86" t="str">
        <f>IFERROR(__xludf.DUMMYFUNCTION("""COMPUTED_VALUE"""),"")</f>
        <v/>
      </c>
      <c r="B18428" s="87"/>
      <c r="C18428" s="87"/>
      <c r="D18428" s="87"/>
      <c r="E18428" s="87"/>
      <c r="F18428" s="87"/>
      <c r="G18428" s="87"/>
    </row>
    <row r="18429">
      <c r="A18429" s="86" t="str">
        <f>IFERROR(__xludf.DUMMYFUNCTION("""COMPUTED_VALUE"""),"")</f>
        <v/>
      </c>
      <c r="B18429" s="87"/>
      <c r="C18429" s="87"/>
      <c r="D18429" s="87"/>
      <c r="E18429" s="87"/>
      <c r="F18429" s="87"/>
      <c r="G18429" s="87"/>
    </row>
    <row r="18430">
      <c r="A18430" s="86" t="str">
        <f>IFERROR(__xludf.DUMMYFUNCTION("""COMPUTED_VALUE"""),"")</f>
        <v/>
      </c>
      <c r="B18430" s="87"/>
      <c r="C18430" s="87"/>
      <c r="D18430" s="87"/>
      <c r="E18430" s="87"/>
      <c r="F18430" s="87"/>
      <c r="G18430" s="87"/>
    </row>
    <row r="18431">
      <c r="A18431" s="86" t="str">
        <f>IFERROR(__xludf.DUMMYFUNCTION("""COMPUTED_VALUE"""),"")</f>
        <v/>
      </c>
      <c r="B18431" s="87"/>
      <c r="C18431" s="87"/>
      <c r="D18431" s="87"/>
      <c r="E18431" s="87"/>
      <c r="F18431" s="87"/>
      <c r="G18431" s="87"/>
    </row>
    <row r="18432">
      <c r="A18432" s="86" t="str">
        <f>IFERROR(__xludf.DUMMYFUNCTION("""COMPUTED_VALUE"""),"")</f>
        <v/>
      </c>
      <c r="B18432" s="87"/>
      <c r="C18432" s="87"/>
      <c r="D18432" s="87"/>
      <c r="E18432" s="87"/>
      <c r="F18432" s="87"/>
      <c r="G18432" s="87"/>
    </row>
    <row r="18433">
      <c r="A18433" s="86" t="str">
        <f>IFERROR(__xludf.DUMMYFUNCTION("""COMPUTED_VALUE"""),"")</f>
        <v/>
      </c>
      <c r="B18433" s="87"/>
      <c r="C18433" s="87"/>
      <c r="D18433" s="87"/>
      <c r="E18433" s="87"/>
      <c r="F18433" s="87"/>
      <c r="G18433" s="87"/>
    </row>
    <row r="18434">
      <c r="A18434" s="86" t="str">
        <f>IFERROR(__xludf.DUMMYFUNCTION("""COMPUTED_VALUE"""),"")</f>
        <v/>
      </c>
      <c r="B18434" s="87"/>
      <c r="C18434" s="87"/>
      <c r="D18434" s="87"/>
      <c r="E18434" s="87"/>
      <c r="F18434" s="87"/>
      <c r="G18434" s="87"/>
    </row>
    <row r="18435">
      <c r="A18435" s="86" t="str">
        <f>IFERROR(__xludf.DUMMYFUNCTION("""COMPUTED_VALUE"""),"")</f>
        <v/>
      </c>
      <c r="B18435" s="87"/>
      <c r="C18435" s="87"/>
      <c r="D18435" s="87"/>
      <c r="E18435" s="87"/>
      <c r="F18435" s="87"/>
      <c r="G18435" s="87"/>
    </row>
    <row r="18436">
      <c r="A18436" s="86" t="str">
        <f>IFERROR(__xludf.DUMMYFUNCTION("""COMPUTED_VALUE"""),"")</f>
        <v/>
      </c>
      <c r="B18436" s="87"/>
      <c r="C18436" s="87"/>
      <c r="D18436" s="87"/>
      <c r="E18436" s="87"/>
      <c r="F18436" s="87"/>
      <c r="G18436" s="87"/>
    </row>
    <row r="18437">
      <c r="A18437" s="86" t="str">
        <f>IFERROR(__xludf.DUMMYFUNCTION("""COMPUTED_VALUE"""),"")</f>
        <v/>
      </c>
      <c r="B18437" s="87"/>
      <c r="C18437" s="87"/>
      <c r="D18437" s="87"/>
      <c r="E18437" s="87"/>
      <c r="F18437" s="87"/>
      <c r="G18437" s="87"/>
    </row>
    <row r="18438">
      <c r="A18438" s="86" t="str">
        <f>IFERROR(__xludf.DUMMYFUNCTION("""COMPUTED_VALUE"""),"")</f>
        <v/>
      </c>
      <c r="B18438" s="87"/>
      <c r="C18438" s="87"/>
      <c r="D18438" s="87"/>
      <c r="E18438" s="87"/>
      <c r="F18438" s="87"/>
      <c r="G18438" s="87"/>
    </row>
    <row r="18439">
      <c r="A18439" s="86" t="str">
        <f>IFERROR(__xludf.DUMMYFUNCTION("""COMPUTED_VALUE"""),"")</f>
        <v/>
      </c>
      <c r="B18439" s="87"/>
      <c r="C18439" s="87"/>
      <c r="D18439" s="87"/>
      <c r="E18439" s="87"/>
      <c r="F18439" s="87"/>
      <c r="G18439" s="87"/>
    </row>
    <row r="18440">
      <c r="A18440" s="86" t="str">
        <f>IFERROR(__xludf.DUMMYFUNCTION("""COMPUTED_VALUE"""),"")</f>
        <v/>
      </c>
      <c r="B18440" s="87"/>
      <c r="C18440" s="87"/>
      <c r="D18440" s="87"/>
      <c r="E18440" s="87"/>
      <c r="F18440" s="87"/>
      <c r="G18440" s="87"/>
    </row>
    <row r="18441">
      <c r="A18441" s="86" t="str">
        <f>IFERROR(__xludf.DUMMYFUNCTION("""COMPUTED_VALUE"""),"")</f>
        <v/>
      </c>
      <c r="B18441" s="87"/>
      <c r="C18441" s="87"/>
      <c r="D18441" s="87"/>
      <c r="E18441" s="87"/>
      <c r="F18441" s="87"/>
      <c r="G18441" s="87"/>
    </row>
    <row r="18442">
      <c r="A18442" s="86" t="str">
        <f>IFERROR(__xludf.DUMMYFUNCTION("""COMPUTED_VALUE"""),"")</f>
        <v/>
      </c>
      <c r="B18442" s="87"/>
      <c r="C18442" s="87"/>
      <c r="D18442" s="87"/>
      <c r="E18442" s="87"/>
      <c r="F18442" s="87"/>
      <c r="G18442" s="87"/>
    </row>
    <row r="18443">
      <c r="A18443" s="86" t="str">
        <f>IFERROR(__xludf.DUMMYFUNCTION("""COMPUTED_VALUE"""),"")</f>
        <v/>
      </c>
      <c r="B18443" s="87"/>
      <c r="C18443" s="87"/>
      <c r="D18443" s="87"/>
      <c r="E18443" s="87"/>
      <c r="F18443" s="87"/>
      <c r="G18443" s="87"/>
    </row>
    <row r="18444">
      <c r="A18444" s="86" t="str">
        <f>IFERROR(__xludf.DUMMYFUNCTION("""COMPUTED_VALUE"""),"")</f>
        <v/>
      </c>
      <c r="B18444" s="87"/>
      <c r="C18444" s="87"/>
      <c r="D18444" s="87"/>
      <c r="E18444" s="87"/>
      <c r="F18444" s="87"/>
      <c r="G18444" s="87"/>
    </row>
    <row r="18445">
      <c r="A18445" s="86" t="str">
        <f>IFERROR(__xludf.DUMMYFUNCTION("""COMPUTED_VALUE"""),"")</f>
        <v/>
      </c>
      <c r="B18445" s="87"/>
      <c r="C18445" s="87"/>
      <c r="D18445" s="87"/>
      <c r="E18445" s="87"/>
      <c r="F18445" s="87"/>
      <c r="G18445" s="87"/>
    </row>
    <row r="18446">
      <c r="A18446" s="86" t="str">
        <f>IFERROR(__xludf.DUMMYFUNCTION("""COMPUTED_VALUE"""),"")</f>
        <v/>
      </c>
      <c r="B18446" s="87"/>
      <c r="C18446" s="87"/>
      <c r="D18446" s="87"/>
      <c r="E18446" s="87"/>
      <c r="F18446" s="87"/>
      <c r="G18446" s="87"/>
    </row>
    <row r="18447">
      <c r="A18447" s="86" t="str">
        <f>IFERROR(__xludf.DUMMYFUNCTION("""COMPUTED_VALUE"""),"")</f>
        <v/>
      </c>
      <c r="B18447" s="87"/>
      <c r="C18447" s="87"/>
      <c r="D18447" s="87"/>
      <c r="E18447" s="87"/>
      <c r="F18447" s="87"/>
      <c r="G18447" s="87"/>
    </row>
    <row r="18448">
      <c r="A18448" s="86" t="str">
        <f>IFERROR(__xludf.DUMMYFUNCTION("""COMPUTED_VALUE"""),"")</f>
        <v/>
      </c>
      <c r="B18448" s="87"/>
      <c r="C18448" s="87"/>
      <c r="D18448" s="87"/>
      <c r="E18448" s="87"/>
      <c r="F18448" s="87"/>
      <c r="G18448" s="87"/>
    </row>
    <row r="18449">
      <c r="A18449" s="86" t="str">
        <f>IFERROR(__xludf.DUMMYFUNCTION("""COMPUTED_VALUE"""),"")</f>
        <v/>
      </c>
      <c r="B18449" s="87"/>
      <c r="C18449" s="87"/>
      <c r="D18449" s="87"/>
      <c r="E18449" s="87"/>
      <c r="F18449" s="87"/>
      <c r="G18449" s="87"/>
    </row>
    <row r="18450">
      <c r="A18450" s="86" t="str">
        <f>IFERROR(__xludf.DUMMYFUNCTION("""COMPUTED_VALUE"""),"")</f>
        <v/>
      </c>
      <c r="B18450" s="87"/>
      <c r="C18450" s="87"/>
      <c r="D18450" s="87"/>
      <c r="E18450" s="87"/>
      <c r="F18450" s="87"/>
      <c r="G18450" s="87"/>
    </row>
    <row r="18451">
      <c r="A18451" s="86" t="str">
        <f>IFERROR(__xludf.DUMMYFUNCTION("""COMPUTED_VALUE"""),"")</f>
        <v/>
      </c>
      <c r="B18451" s="87"/>
      <c r="C18451" s="87"/>
      <c r="D18451" s="87"/>
      <c r="E18451" s="87"/>
      <c r="F18451" s="87"/>
      <c r="G18451" s="87"/>
    </row>
    <row r="18452">
      <c r="A18452" s="86" t="str">
        <f>IFERROR(__xludf.DUMMYFUNCTION("""COMPUTED_VALUE"""),"")</f>
        <v/>
      </c>
      <c r="B18452" s="87"/>
      <c r="C18452" s="87"/>
      <c r="D18452" s="87"/>
      <c r="E18452" s="87"/>
      <c r="F18452" s="87"/>
      <c r="G18452" s="87"/>
    </row>
    <row r="18453">
      <c r="A18453" s="86" t="str">
        <f>IFERROR(__xludf.DUMMYFUNCTION("""COMPUTED_VALUE"""),"")</f>
        <v/>
      </c>
      <c r="B18453" s="87"/>
      <c r="C18453" s="87"/>
      <c r="D18453" s="87"/>
      <c r="E18453" s="87"/>
      <c r="F18453" s="87"/>
      <c r="G18453" s="87"/>
    </row>
    <row r="18454">
      <c r="A18454" s="86" t="str">
        <f>IFERROR(__xludf.DUMMYFUNCTION("""COMPUTED_VALUE"""),"")</f>
        <v/>
      </c>
      <c r="B18454" s="87"/>
      <c r="C18454" s="87"/>
      <c r="D18454" s="87"/>
      <c r="E18454" s="87"/>
      <c r="F18454" s="87"/>
      <c r="G18454" s="87"/>
    </row>
    <row r="18455">
      <c r="A18455" s="86" t="str">
        <f>IFERROR(__xludf.DUMMYFUNCTION("""COMPUTED_VALUE"""),"")</f>
        <v/>
      </c>
      <c r="B18455" s="87"/>
      <c r="C18455" s="87"/>
      <c r="D18455" s="87"/>
      <c r="E18455" s="87"/>
      <c r="F18455" s="87"/>
      <c r="G18455" s="87"/>
    </row>
    <row r="18456">
      <c r="A18456" s="86" t="str">
        <f>IFERROR(__xludf.DUMMYFUNCTION("""COMPUTED_VALUE"""),"")</f>
        <v/>
      </c>
      <c r="B18456" s="87"/>
      <c r="C18456" s="87"/>
      <c r="D18456" s="87"/>
      <c r="E18456" s="87"/>
      <c r="F18456" s="87"/>
      <c r="G18456" s="87"/>
    </row>
    <row r="18457">
      <c r="A18457" s="86" t="str">
        <f>IFERROR(__xludf.DUMMYFUNCTION("""COMPUTED_VALUE"""),"")</f>
        <v/>
      </c>
      <c r="B18457" s="87"/>
      <c r="C18457" s="87"/>
      <c r="D18457" s="87"/>
      <c r="E18457" s="87"/>
      <c r="F18457" s="87"/>
      <c r="G18457" s="87"/>
    </row>
    <row r="18458">
      <c r="A18458" s="86" t="str">
        <f>IFERROR(__xludf.DUMMYFUNCTION("""COMPUTED_VALUE"""),"")</f>
        <v/>
      </c>
      <c r="B18458" s="87"/>
      <c r="C18458" s="87"/>
      <c r="D18458" s="87"/>
      <c r="E18458" s="87"/>
      <c r="F18458" s="87"/>
      <c r="G18458" s="87"/>
    </row>
    <row r="18459">
      <c r="A18459" s="86" t="str">
        <f>IFERROR(__xludf.DUMMYFUNCTION("""COMPUTED_VALUE"""),"")</f>
        <v/>
      </c>
      <c r="B18459" s="87"/>
      <c r="C18459" s="87"/>
      <c r="D18459" s="87"/>
      <c r="E18459" s="87"/>
      <c r="F18459" s="87"/>
      <c r="G18459" s="87"/>
    </row>
    <row r="18460">
      <c r="A18460" s="86" t="str">
        <f>IFERROR(__xludf.DUMMYFUNCTION("""COMPUTED_VALUE"""),"")</f>
        <v/>
      </c>
      <c r="B18460" s="87"/>
      <c r="C18460" s="87"/>
      <c r="D18460" s="87"/>
      <c r="E18460" s="87"/>
      <c r="F18460" s="87"/>
      <c r="G18460" s="87"/>
    </row>
    <row r="18461">
      <c r="A18461" s="86" t="str">
        <f>IFERROR(__xludf.DUMMYFUNCTION("""COMPUTED_VALUE"""),"")</f>
        <v/>
      </c>
      <c r="B18461" s="87"/>
      <c r="C18461" s="87"/>
      <c r="D18461" s="87"/>
      <c r="E18461" s="87"/>
      <c r="F18461" s="87"/>
      <c r="G18461" s="87"/>
    </row>
    <row r="18462">
      <c r="A18462" s="86" t="str">
        <f>IFERROR(__xludf.DUMMYFUNCTION("""COMPUTED_VALUE"""),"")</f>
        <v/>
      </c>
      <c r="B18462" s="87"/>
      <c r="C18462" s="87"/>
      <c r="D18462" s="87"/>
      <c r="E18462" s="87"/>
      <c r="F18462" s="87"/>
      <c r="G18462" s="87"/>
    </row>
    <row r="18463">
      <c r="A18463" s="86" t="str">
        <f>IFERROR(__xludf.DUMMYFUNCTION("""COMPUTED_VALUE"""),"")</f>
        <v/>
      </c>
      <c r="B18463" s="87"/>
      <c r="C18463" s="87"/>
      <c r="D18463" s="87"/>
      <c r="E18463" s="87"/>
      <c r="F18463" s="87"/>
      <c r="G18463" s="87"/>
    </row>
    <row r="18464">
      <c r="A18464" s="86" t="str">
        <f>IFERROR(__xludf.DUMMYFUNCTION("""COMPUTED_VALUE"""),"")</f>
        <v/>
      </c>
      <c r="B18464" s="87"/>
      <c r="C18464" s="87"/>
      <c r="D18464" s="87"/>
      <c r="E18464" s="87"/>
      <c r="F18464" s="87"/>
      <c r="G18464" s="87"/>
    </row>
    <row r="18465">
      <c r="A18465" s="86" t="str">
        <f>IFERROR(__xludf.DUMMYFUNCTION("""COMPUTED_VALUE"""),"")</f>
        <v/>
      </c>
      <c r="B18465" s="87"/>
      <c r="C18465" s="87"/>
      <c r="D18465" s="87"/>
      <c r="E18465" s="87"/>
      <c r="F18465" s="87"/>
      <c r="G18465" s="87"/>
    </row>
    <row r="18466">
      <c r="A18466" s="86" t="str">
        <f>IFERROR(__xludf.DUMMYFUNCTION("""COMPUTED_VALUE"""),"")</f>
        <v/>
      </c>
      <c r="B18466" s="87"/>
      <c r="C18466" s="87"/>
      <c r="D18466" s="87"/>
      <c r="E18466" s="87"/>
      <c r="F18466" s="87"/>
      <c r="G18466" s="87"/>
    </row>
    <row r="18467">
      <c r="A18467" s="86" t="str">
        <f>IFERROR(__xludf.DUMMYFUNCTION("""COMPUTED_VALUE"""),"")</f>
        <v/>
      </c>
      <c r="B18467" s="87"/>
      <c r="C18467" s="87"/>
      <c r="D18467" s="87"/>
      <c r="E18467" s="87"/>
      <c r="F18467" s="87"/>
      <c r="G18467" s="87"/>
    </row>
    <row r="18468">
      <c r="A18468" s="86" t="str">
        <f>IFERROR(__xludf.DUMMYFUNCTION("""COMPUTED_VALUE"""),"")</f>
        <v/>
      </c>
      <c r="B18468" s="87"/>
      <c r="C18468" s="87"/>
      <c r="D18468" s="87"/>
      <c r="E18468" s="87"/>
      <c r="F18468" s="87"/>
      <c r="G18468" s="87"/>
    </row>
    <row r="18469">
      <c r="A18469" s="86" t="str">
        <f>IFERROR(__xludf.DUMMYFUNCTION("""COMPUTED_VALUE"""),"")</f>
        <v/>
      </c>
      <c r="B18469" s="87"/>
      <c r="C18469" s="87"/>
      <c r="D18469" s="87"/>
      <c r="E18469" s="87"/>
      <c r="F18469" s="87"/>
      <c r="G18469" s="87"/>
    </row>
    <row r="18470">
      <c r="A18470" s="86" t="str">
        <f>IFERROR(__xludf.DUMMYFUNCTION("""COMPUTED_VALUE"""),"")</f>
        <v/>
      </c>
      <c r="B18470" s="87"/>
      <c r="C18470" s="87"/>
      <c r="D18470" s="87"/>
      <c r="E18470" s="87"/>
      <c r="F18470" s="87"/>
      <c r="G18470" s="87"/>
    </row>
    <row r="18471">
      <c r="A18471" s="86" t="str">
        <f>IFERROR(__xludf.DUMMYFUNCTION("""COMPUTED_VALUE"""),"")</f>
        <v/>
      </c>
      <c r="B18471" s="87"/>
      <c r="C18471" s="87"/>
      <c r="D18471" s="87"/>
      <c r="E18471" s="87"/>
      <c r="F18471" s="87"/>
      <c r="G18471" s="87"/>
    </row>
    <row r="18472">
      <c r="A18472" s="86" t="str">
        <f>IFERROR(__xludf.DUMMYFUNCTION("""COMPUTED_VALUE"""),"")</f>
        <v/>
      </c>
      <c r="B18472" s="87"/>
      <c r="C18472" s="87"/>
      <c r="D18472" s="87"/>
      <c r="E18472" s="87"/>
      <c r="F18472" s="87"/>
      <c r="G18472" s="87"/>
    </row>
    <row r="18473">
      <c r="A18473" s="86" t="str">
        <f>IFERROR(__xludf.DUMMYFUNCTION("""COMPUTED_VALUE"""),"")</f>
        <v/>
      </c>
      <c r="B18473" s="87"/>
      <c r="C18473" s="87"/>
      <c r="D18473" s="87"/>
      <c r="E18473" s="87"/>
      <c r="F18473" s="87"/>
      <c r="G18473" s="87"/>
    </row>
    <row r="18474">
      <c r="A18474" s="86" t="str">
        <f>IFERROR(__xludf.DUMMYFUNCTION("""COMPUTED_VALUE"""),"")</f>
        <v/>
      </c>
      <c r="B18474" s="87"/>
      <c r="C18474" s="87"/>
      <c r="D18474" s="87"/>
      <c r="E18474" s="87"/>
      <c r="F18474" s="87"/>
      <c r="G18474" s="87"/>
    </row>
    <row r="18475">
      <c r="A18475" s="86" t="str">
        <f>IFERROR(__xludf.DUMMYFUNCTION("""COMPUTED_VALUE"""),"")</f>
        <v/>
      </c>
      <c r="B18475" s="87"/>
      <c r="C18475" s="87"/>
      <c r="D18475" s="87"/>
      <c r="E18475" s="87"/>
      <c r="F18475" s="87"/>
      <c r="G18475" s="87"/>
    </row>
    <row r="18476">
      <c r="A18476" s="86" t="str">
        <f>IFERROR(__xludf.DUMMYFUNCTION("""COMPUTED_VALUE"""),"")</f>
        <v/>
      </c>
      <c r="B18476" s="87"/>
      <c r="C18476" s="87"/>
      <c r="D18476" s="87"/>
      <c r="E18476" s="87"/>
      <c r="F18476" s="87"/>
      <c r="G18476" s="87"/>
    </row>
    <row r="18477">
      <c r="A18477" s="86" t="str">
        <f>IFERROR(__xludf.DUMMYFUNCTION("""COMPUTED_VALUE"""),"")</f>
        <v/>
      </c>
      <c r="B18477" s="87"/>
      <c r="C18477" s="87"/>
      <c r="D18477" s="87"/>
      <c r="E18477" s="87"/>
      <c r="F18477" s="87"/>
      <c r="G18477" s="87"/>
    </row>
    <row r="18478">
      <c r="A18478" s="86" t="str">
        <f>IFERROR(__xludf.DUMMYFUNCTION("""COMPUTED_VALUE"""),"")</f>
        <v/>
      </c>
      <c r="B18478" s="87"/>
      <c r="C18478" s="87"/>
      <c r="D18478" s="87"/>
      <c r="E18478" s="87"/>
      <c r="F18478" s="87"/>
      <c r="G18478" s="87"/>
    </row>
    <row r="18479">
      <c r="A18479" s="86" t="str">
        <f>IFERROR(__xludf.DUMMYFUNCTION("""COMPUTED_VALUE"""),"")</f>
        <v/>
      </c>
      <c r="B18479" s="87"/>
      <c r="C18479" s="87"/>
      <c r="D18479" s="87"/>
      <c r="E18479" s="87"/>
      <c r="F18479" s="87"/>
      <c r="G18479" s="87"/>
    </row>
    <row r="18480">
      <c r="A18480" s="86" t="str">
        <f>IFERROR(__xludf.DUMMYFUNCTION("""COMPUTED_VALUE"""),"")</f>
        <v/>
      </c>
      <c r="B18480" s="87"/>
      <c r="C18480" s="87"/>
      <c r="D18480" s="87"/>
      <c r="E18480" s="87"/>
      <c r="F18480" s="87"/>
      <c r="G18480" s="87"/>
    </row>
    <row r="18481">
      <c r="A18481" s="86" t="str">
        <f>IFERROR(__xludf.DUMMYFUNCTION("""COMPUTED_VALUE"""),"")</f>
        <v/>
      </c>
      <c r="B18481" s="87"/>
      <c r="C18481" s="87"/>
      <c r="D18481" s="87"/>
      <c r="E18481" s="87"/>
      <c r="F18481" s="87"/>
      <c r="G18481" s="87"/>
    </row>
    <row r="18482">
      <c r="A18482" s="86" t="str">
        <f>IFERROR(__xludf.DUMMYFUNCTION("""COMPUTED_VALUE"""),"")</f>
        <v/>
      </c>
      <c r="B18482" s="87"/>
      <c r="C18482" s="87"/>
      <c r="D18482" s="87"/>
      <c r="E18482" s="87"/>
      <c r="F18482" s="87"/>
      <c r="G18482" s="87"/>
    </row>
    <row r="18483">
      <c r="A18483" s="86" t="str">
        <f>IFERROR(__xludf.DUMMYFUNCTION("""COMPUTED_VALUE"""),"")</f>
        <v/>
      </c>
      <c r="B18483" s="87"/>
      <c r="C18483" s="87"/>
      <c r="D18483" s="87"/>
      <c r="E18483" s="87"/>
      <c r="F18483" s="87"/>
      <c r="G18483" s="87"/>
    </row>
    <row r="18484">
      <c r="A18484" s="86" t="str">
        <f>IFERROR(__xludf.DUMMYFUNCTION("""COMPUTED_VALUE"""),"")</f>
        <v/>
      </c>
      <c r="B18484" s="87"/>
      <c r="C18484" s="87"/>
      <c r="D18484" s="87"/>
      <c r="E18484" s="87"/>
      <c r="F18484" s="87"/>
      <c r="G18484" s="87"/>
    </row>
    <row r="18485">
      <c r="A18485" s="86" t="str">
        <f>IFERROR(__xludf.DUMMYFUNCTION("""COMPUTED_VALUE"""),"")</f>
        <v/>
      </c>
      <c r="B18485" s="87"/>
      <c r="C18485" s="87"/>
      <c r="D18485" s="87"/>
      <c r="E18485" s="87"/>
      <c r="F18485" s="87"/>
      <c r="G18485" s="87"/>
    </row>
    <row r="18486">
      <c r="A18486" s="86" t="str">
        <f>IFERROR(__xludf.DUMMYFUNCTION("""COMPUTED_VALUE"""),"")</f>
        <v/>
      </c>
      <c r="B18486" s="87"/>
      <c r="C18486" s="87"/>
      <c r="D18486" s="87"/>
      <c r="E18486" s="87"/>
      <c r="F18486" s="87"/>
      <c r="G18486" s="87"/>
    </row>
    <row r="18487">
      <c r="A18487" s="86" t="str">
        <f>IFERROR(__xludf.DUMMYFUNCTION("""COMPUTED_VALUE"""),"")</f>
        <v/>
      </c>
      <c r="B18487" s="87"/>
      <c r="C18487" s="87"/>
      <c r="D18487" s="87"/>
      <c r="E18487" s="87"/>
      <c r="F18487" s="87"/>
      <c r="G18487" s="87"/>
    </row>
    <row r="18488">
      <c r="A18488" s="86" t="str">
        <f>IFERROR(__xludf.DUMMYFUNCTION("""COMPUTED_VALUE"""),"")</f>
        <v/>
      </c>
      <c r="B18488" s="87"/>
      <c r="C18488" s="87"/>
      <c r="D18488" s="87"/>
      <c r="E18488" s="87"/>
      <c r="F18488" s="87"/>
      <c r="G18488" s="87"/>
    </row>
    <row r="18489">
      <c r="A18489" s="86" t="str">
        <f>IFERROR(__xludf.DUMMYFUNCTION("""COMPUTED_VALUE"""),"")</f>
        <v/>
      </c>
      <c r="B18489" s="87"/>
      <c r="C18489" s="87"/>
      <c r="D18489" s="87"/>
      <c r="E18489" s="87"/>
      <c r="F18489" s="87"/>
      <c r="G18489" s="87"/>
    </row>
    <row r="18490">
      <c r="A18490" s="86" t="str">
        <f>IFERROR(__xludf.DUMMYFUNCTION("""COMPUTED_VALUE"""),"")</f>
        <v/>
      </c>
      <c r="B18490" s="87"/>
      <c r="C18490" s="87"/>
      <c r="D18490" s="87"/>
      <c r="E18490" s="87"/>
      <c r="F18490" s="87"/>
      <c r="G18490" s="87"/>
    </row>
    <row r="18491">
      <c r="A18491" s="86" t="str">
        <f>IFERROR(__xludf.DUMMYFUNCTION("""COMPUTED_VALUE"""),"")</f>
        <v/>
      </c>
      <c r="B18491" s="87"/>
      <c r="C18491" s="87"/>
      <c r="D18491" s="87"/>
      <c r="E18491" s="87"/>
      <c r="F18491" s="87"/>
      <c r="G18491" s="87"/>
    </row>
    <row r="18492">
      <c r="A18492" s="86" t="str">
        <f>IFERROR(__xludf.DUMMYFUNCTION("""COMPUTED_VALUE"""),"")</f>
        <v/>
      </c>
      <c r="B18492" s="87"/>
      <c r="C18492" s="87"/>
      <c r="D18492" s="87"/>
      <c r="E18492" s="87"/>
      <c r="F18492" s="87"/>
      <c r="G18492" s="87"/>
    </row>
    <row r="18493">
      <c r="A18493" s="86" t="str">
        <f>IFERROR(__xludf.DUMMYFUNCTION("""COMPUTED_VALUE"""),"")</f>
        <v/>
      </c>
      <c r="B18493" s="87"/>
      <c r="C18493" s="87"/>
      <c r="D18493" s="87"/>
      <c r="E18493" s="87"/>
      <c r="F18493" s="87"/>
      <c r="G18493" s="87"/>
    </row>
    <row r="18494">
      <c r="A18494" s="86" t="str">
        <f>IFERROR(__xludf.DUMMYFUNCTION("""COMPUTED_VALUE"""),"")</f>
        <v/>
      </c>
      <c r="B18494" s="87"/>
      <c r="C18494" s="87"/>
      <c r="D18494" s="87"/>
      <c r="E18494" s="87"/>
      <c r="F18494" s="87"/>
      <c r="G18494" s="87"/>
    </row>
    <row r="18495">
      <c r="A18495" s="86" t="str">
        <f>IFERROR(__xludf.DUMMYFUNCTION("""COMPUTED_VALUE"""),"")</f>
        <v/>
      </c>
      <c r="B18495" s="87"/>
      <c r="C18495" s="87"/>
      <c r="D18495" s="87"/>
      <c r="E18495" s="87"/>
      <c r="F18495" s="87"/>
      <c r="G18495" s="87"/>
    </row>
    <row r="18496">
      <c r="A18496" s="86" t="str">
        <f>IFERROR(__xludf.DUMMYFUNCTION("""COMPUTED_VALUE"""),"")</f>
        <v/>
      </c>
      <c r="B18496" s="87"/>
      <c r="C18496" s="87"/>
      <c r="D18496" s="87"/>
      <c r="E18496" s="87"/>
      <c r="F18496" s="87"/>
      <c r="G18496" s="87"/>
    </row>
    <row r="18497">
      <c r="A18497" s="86" t="str">
        <f>IFERROR(__xludf.DUMMYFUNCTION("""COMPUTED_VALUE"""),"")</f>
        <v/>
      </c>
      <c r="B18497" s="87"/>
      <c r="C18497" s="87"/>
      <c r="D18497" s="87"/>
      <c r="E18497" s="87"/>
      <c r="F18497" s="87"/>
      <c r="G18497" s="87"/>
    </row>
    <row r="18498">
      <c r="A18498" s="86" t="str">
        <f>IFERROR(__xludf.DUMMYFUNCTION("""COMPUTED_VALUE"""),"")</f>
        <v/>
      </c>
      <c r="B18498" s="87"/>
      <c r="C18498" s="87"/>
      <c r="D18498" s="87"/>
      <c r="E18498" s="87"/>
      <c r="F18498" s="87"/>
      <c r="G18498" s="87"/>
    </row>
    <row r="18499">
      <c r="A18499" s="86" t="str">
        <f>IFERROR(__xludf.DUMMYFUNCTION("""COMPUTED_VALUE"""),"")</f>
        <v/>
      </c>
      <c r="B18499" s="87"/>
      <c r="C18499" s="87"/>
      <c r="D18499" s="87"/>
      <c r="E18499" s="87"/>
      <c r="F18499" s="87"/>
      <c r="G18499" s="87"/>
    </row>
    <row r="18500">
      <c r="A18500" s="86" t="str">
        <f>IFERROR(__xludf.DUMMYFUNCTION("""COMPUTED_VALUE"""),"")</f>
        <v/>
      </c>
      <c r="B18500" s="87"/>
      <c r="C18500" s="87"/>
      <c r="D18500" s="87"/>
      <c r="E18500" s="87"/>
      <c r="F18500" s="87"/>
      <c r="G18500" s="87"/>
    </row>
    <row r="18501">
      <c r="A18501" s="86" t="str">
        <f>IFERROR(__xludf.DUMMYFUNCTION("""COMPUTED_VALUE"""),"")</f>
        <v/>
      </c>
      <c r="B18501" s="87"/>
      <c r="C18501" s="87"/>
      <c r="D18501" s="87"/>
      <c r="E18501" s="87"/>
      <c r="F18501" s="87"/>
      <c r="G18501" s="87"/>
    </row>
    <row r="18502">
      <c r="A18502" s="86" t="str">
        <f>IFERROR(__xludf.DUMMYFUNCTION("""COMPUTED_VALUE"""),"")</f>
        <v/>
      </c>
      <c r="B18502" s="87"/>
      <c r="C18502" s="87"/>
      <c r="D18502" s="87"/>
      <c r="E18502" s="87"/>
      <c r="F18502" s="87"/>
      <c r="G18502" s="87"/>
    </row>
    <row r="18503">
      <c r="A18503" s="86" t="str">
        <f>IFERROR(__xludf.DUMMYFUNCTION("""COMPUTED_VALUE"""),"")</f>
        <v/>
      </c>
      <c r="B18503" s="87"/>
      <c r="C18503" s="87"/>
      <c r="D18503" s="87"/>
      <c r="E18503" s="87"/>
      <c r="F18503" s="87"/>
      <c r="G18503" s="87"/>
    </row>
    <row r="18504">
      <c r="A18504" s="86" t="str">
        <f>IFERROR(__xludf.DUMMYFUNCTION("""COMPUTED_VALUE"""),"")</f>
        <v/>
      </c>
      <c r="B18504" s="87"/>
      <c r="C18504" s="87"/>
      <c r="D18504" s="87"/>
      <c r="E18504" s="87"/>
      <c r="F18504" s="87"/>
      <c r="G18504" s="87"/>
    </row>
    <row r="18505">
      <c r="A18505" s="86" t="str">
        <f>IFERROR(__xludf.DUMMYFUNCTION("""COMPUTED_VALUE"""),"")</f>
        <v/>
      </c>
      <c r="B18505" s="87"/>
      <c r="C18505" s="87"/>
      <c r="D18505" s="87"/>
      <c r="E18505" s="87"/>
      <c r="F18505" s="87"/>
      <c r="G18505" s="87"/>
    </row>
    <row r="18506">
      <c r="A18506" s="86" t="str">
        <f>IFERROR(__xludf.DUMMYFUNCTION("""COMPUTED_VALUE"""),"")</f>
        <v/>
      </c>
      <c r="B18506" s="87"/>
      <c r="C18506" s="87"/>
      <c r="D18506" s="87"/>
      <c r="E18506" s="87"/>
      <c r="F18506" s="87"/>
      <c r="G18506" s="87"/>
    </row>
    <row r="18507">
      <c r="A18507" s="86" t="str">
        <f>IFERROR(__xludf.DUMMYFUNCTION("""COMPUTED_VALUE"""),"")</f>
        <v/>
      </c>
      <c r="B18507" s="87"/>
      <c r="C18507" s="87"/>
      <c r="D18507" s="87"/>
      <c r="E18507" s="87"/>
      <c r="F18507" s="87"/>
      <c r="G18507" s="87"/>
    </row>
    <row r="18508">
      <c r="A18508" s="86" t="str">
        <f>IFERROR(__xludf.DUMMYFUNCTION("""COMPUTED_VALUE"""),"")</f>
        <v/>
      </c>
      <c r="B18508" s="87"/>
      <c r="C18508" s="87"/>
      <c r="D18508" s="87"/>
      <c r="E18508" s="87"/>
      <c r="F18508" s="87"/>
      <c r="G18508" s="87"/>
    </row>
    <row r="18509">
      <c r="A18509" s="86" t="str">
        <f>IFERROR(__xludf.DUMMYFUNCTION("""COMPUTED_VALUE"""),"")</f>
        <v/>
      </c>
      <c r="B18509" s="87"/>
      <c r="C18509" s="87"/>
      <c r="D18509" s="87"/>
      <c r="E18509" s="87"/>
      <c r="F18509" s="87"/>
      <c r="G18509" s="87"/>
    </row>
    <row r="18510">
      <c r="A18510" s="86" t="str">
        <f>IFERROR(__xludf.DUMMYFUNCTION("""COMPUTED_VALUE"""),"")</f>
        <v/>
      </c>
      <c r="B18510" s="87"/>
      <c r="C18510" s="87"/>
      <c r="D18510" s="87"/>
      <c r="E18510" s="87"/>
      <c r="F18510" s="87"/>
      <c r="G18510" s="87"/>
    </row>
    <row r="18511">
      <c r="A18511" s="86" t="str">
        <f>IFERROR(__xludf.DUMMYFUNCTION("""COMPUTED_VALUE"""),"")</f>
        <v/>
      </c>
      <c r="B18511" s="87"/>
      <c r="C18511" s="87"/>
      <c r="D18511" s="87"/>
      <c r="E18511" s="87"/>
      <c r="F18511" s="87"/>
      <c r="G18511" s="87"/>
    </row>
    <row r="18512">
      <c r="A18512" s="86" t="str">
        <f>IFERROR(__xludf.DUMMYFUNCTION("""COMPUTED_VALUE"""),"")</f>
        <v/>
      </c>
      <c r="B18512" s="87"/>
      <c r="C18512" s="87"/>
      <c r="D18512" s="87"/>
      <c r="E18512" s="87"/>
      <c r="F18512" s="87"/>
      <c r="G18512" s="87"/>
    </row>
    <row r="18513">
      <c r="A18513" s="86" t="str">
        <f>IFERROR(__xludf.DUMMYFUNCTION("""COMPUTED_VALUE"""),"")</f>
        <v/>
      </c>
      <c r="B18513" s="87"/>
      <c r="C18513" s="87"/>
      <c r="D18513" s="87"/>
      <c r="E18513" s="87"/>
      <c r="F18513" s="87"/>
      <c r="G18513" s="87"/>
    </row>
    <row r="18514">
      <c r="A18514" s="86" t="str">
        <f>IFERROR(__xludf.DUMMYFUNCTION("""COMPUTED_VALUE"""),"")</f>
        <v/>
      </c>
      <c r="B18514" s="87"/>
      <c r="C18514" s="87"/>
      <c r="D18514" s="87"/>
      <c r="E18514" s="87"/>
      <c r="F18514" s="87"/>
      <c r="G18514" s="87"/>
    </row>
    <row r="18515">
      <c r="A18515" s="86" t="str">
        <f>IFERROR(__xludf.DUMMYFUNCTION("""COMPUTED_VALUE"""),"")</f>
        <v/>
      </c>
      <c r="B18515" s="87"/>
      <c r="C18515" s="87"/>
      <c r="D18515" s="87"/>
      <c r="E18515" s="87"/>
      <c r="F18515" s="87"/>
      <c r="G18515" s="87"/>
    </row>
    <row r="18516">
      <c r="A18516" s="86" t="str">
        <f>IFERROR(__xludf.DUMMYFUNCTION("""COMPUTED_VALUE"""),"")</f>
        <v/>
      </c>
      <c r="B18516" s="87"/>
      <c r="C18516" s="87"/>
      <c r="D18516" s="87"/>
      <c r="E18516" s="87"/>
      <c r="F18516" s="87"/>
      <c r="G18516" s="87"/>
    </row>
    <row r="18517">
      <c r="A18517" s="86" t="str">
        <f>IFERROR(__xludf.DUMMYFUNCTION("""COMPUTED_VALUE"""),"")</f>
        <v/>
      </c>
      <c r="B18517" s="87"/>
      <c r="C18517" s="87"/>
      <c r="D18517" s="87"/>
      <c r="E18517" s="87"/>
      <c r="F18517" s="87"/>
      <c r="G18517" s="87"/>
    </row>
    <row r="18518">
      <c r="A18518" s="86" t="str">
        <f>IFERROR(__xludf.DUMMYFUNCTION("""COMPUTED_VALUE"""),"")</f>
        <v/>
      </c>
      <c r="B18518" s="87"/>
      <c r="C18518" s="87"/>
      <c r="D18518" s="87"/>
      <c r="E18518" s="87"/>
      <c r="F18518" s="87"/>
      <c r="G18518" s="87"/>
    </row>
    <row r="18519">
      <c r="A18519" s="86" t="str">
        <f>IFERROR(__xludf.DUMMYFUNCTION("""COMPUTED_VALUE"""),"")</f>
        <v/>
      </c>
      <c r="B18519" s="87"/>
      <c r="C18519" s="87"/>
      <c r="D18519" s="87"/>
      <c r="E18519" s="87"/>
      <c r="F18519" s="87"/>
      <c r="G18519" s="87"/>
    </row>
    <row r="18520">
      <c r="A18520" s="86" t="str">
        <f>IFERROR(__xludf.DUMMYFUNCTION("""COMPUTED_VALUE"""),"")</f>
        <v/>
      </c>
      <c r="B18520" s="87"/>
      <c r="C18520" s="87"/>
      <c r="D18520" s="87"/>
      <c r="E18520" s="87"/>
      <c r="F18520" s="87"/>
      <c r="G18520" s="87"/>
    </row>
    <row r="18521">
      <c r="A18521" s="86" t="str">
        <f>IFERROR(__xludf.DUMMYFUNCTION("""COMPUTED_VALUE"""),"")</f>
        <v/>
      </c>
      <c r="B18521" s="87"/>
      <c r="C18521" s="87"/>
      <c r="D18521" s="87"/>
      <c r="E18521" s="87"/>
      <c r="F18521" s="87"/>
      <c r="G18521" s="87"/>
    </row>
    <row r="18522">
      <c r="A18522" s="86" t="str">
        <f>IFERROR(__xludf.DUMMYFUNCTION("""COMPUTED_VALUE"""),"")</f>
        <v/>
      </c>
      <c r="B18522" s="87"/>
      <c r="C18522" s="87"/>
      <c r="D18522" s="87"/>
      <c r="E18522" s="87"/>
      <c r="F18522" s="87"/>
      <c r="G18522" s="87"/>
    </row>
    <row r="18523">
      <c r="A18523" s="86" t="str">
        <f>IFERROR(__xludf.DUMMYFUNCTION("""COMPUTED_VALUE"""),"")</f>
        <v/>
      </c>
      <c r="B18523" s="87"/>
      <c r="C18523" s="87"/>
      <c r="D18523" s="87"/>
      <c r="E18523" s="87"/>
      <c r="F18523" s="87"/>
      <c r="G18523" s="87"/>
    </row>
    <row r="18524">
      <c r="A18524" s="86" t="str">
        <f>IFERROR(__xludf.DUMMYFUNCTION("""COMPUTED_VALUE"""),"")</f>
        <v/>
      </c>
      <c r="B18524" s="87"/>
      <c r="C18524" s="87"/>
      <c r="D18524" s="87"/>
      <c r="E18524" s="87"/>
      <c r="F18524" s="87"/>
      <c r="G18524" s="87"/>
    </row>
    <row r="18525">
      <c r="A18525" s="86" t="str">
        <f>IFERROR(__xludf.DUMMYFUNCTION("""COMPUTED_VALUE"""),"")</f>
        <v/>
      </c>
      <c r="B18525" s="87"/>
      <c r="C18525" s="87"/>
      <c r="D18525" s="87"/>
      <c r="E18525" s="87"/>
      <c r="F18525" s="87"/>
      <c r="G18525" s="87"/>
    </row>
    <row r="18526">
      <c r="A18526" s="86" t="str">
        <f>IFERROR(__xludf.DUMMYFUNCTION("""COMPUTED_VALUE"""),"")</f>
        <v/>
      </c>
      <c r="B18526" s="87"/>
      <c r="C18526" s="87"/>
      <c r="D18526" s="87"/>
      <c r="E18526" s="87"/>
      <c r="F18526" s="87"/>
      <c r="G18526" s="87"/>
    </row>
    <row r="18527">
      <c r="A18527" s="86" t="str">
        <f>IFERROR(__xludf.DUMMYFUNCTION("""COMPUTED_VALUE"""),"")</f>
        <v/>
      </c>
      <c r="B18527" s="87"/>
      <c r="C18527" s="87"/>
      <c r="D18527" s="87"/>
      <c r="E18527" s="87"/>
      <c r="F18527" s="87"/>
      <c r="G18527" s="87"/>
    </row>
    <row r="18528">
      <c r="A18528" s="86" t="str">
        <f>IFERROR(__xludf.DUMMYFUNCTION("""COMPUTED_VALUE"""),"")</f>
        <v/>
      </c>
      <c r="B18528" s="87"/>
      <c r="C18528" s="87"/>
      <c r="D18528" s="87"/>
      <c r="E18528" s="87"/>
      <c r="F18528" s="87"/>
      <c r="G18528" s="87"/>
    </row>
    <row r="18529">
      <c r="A18529" s="86" t="str">
        <f>IFERROR(__xludf.DUMMYFUNCTION("""COMPUTED_VALUE"""),"")</f>
        <v/>
      </c>
      <c r="B18529" s="87"/>
      <c r="C18529" s="87"/>
      <c r="D18529" s="87"/>
      <c r="E18529" s="87"/>
      <c r="F18529" s="87"/>
      <c r="G18529" s="87"/>
    </row>
    <row r="18530">
      <c r="A18530" s="86" t="str">
        <f>IFERROR(__xludf.DUMMYFUNCTION("""COMPUTED_VALUE"""),"")</f>
        <v/>
      </c>
      <c r="B18530" s="87"/>
      <c r="C18530" s="87"/>
      <c r="D18530" s="87"/>
      <c r="E18530" s="87"/>
      <c r="F18530" s="87"/>
      <c r="G18530" s="87"/>
    </row>
    <row r="18531">
      <c r="A18531" s="86" t="str">
        <f>IFERROR(__xludf.DUMMYFUNCTION("""COMPUTED_VALUE"""),"")</f>
        <v/>
      </c>
      <c r="B18531" s="87"/>
      <c r="C18531" s="87"/>
      <c r="D18531" s="87"/>
      <c r="E18531" s="87"/>
      <c r="F18531" s="87"/>
      <c r="G18531" s="87"/>
    </row>
    <row r="18532">
      <c r="A18532" s="86" t="str">
        <f>IFERROR(__xludf.DUMMYFUNCTION("""COMPUTED_VALUE"""),"")</f>
        <v/>
      </c>
      <c r="B18532" s="87"/>
      <c r="C18532" s="87"/>
      <c r="D18532" s="87"/>
      <c r="E18532" s="87"/>
      <c r="F18532" s="87"/>
      <c r="G18532" s="87"/>
    </row>
    <row r="18533">
      <c r="A18533" s="86" t="str">
        <f>IFERROR(__xludf.DUMMYFUNCTION("""COMPUTED_VALUE"""),"")</f>
        <v/>
      </c>
      <c r="B18533" s="87"/>
      <c r="C18533" s="87"/>
      <c r="D18533" s="87"/>
      <c r="E18533" s="87"/>
      <c r="F18533" s="87"/>
      <c r="G18533" s="87"/>
    </row>
    <row r="18534">
      <c r="A18534" s="86" t="str">
        <f>IFERROR(__xludf.DUMMYFUNCTION("""COMPUTED_VALUE"""),"")</f>
        <v/>
      </c>
      <c r="B18534" s="87"/>
      <c r="C18534" s="87"/>
      <c r="D18534" s="87"/>
      <c r="E18534" s="87"/>
      <c r="F18534" s="87"/>
      <c r="G18534" s="87"/>
    </row>
    <row r="18535">
      <c r="A18535" s="86" t="str">
        <f>IFERROR(__xludf.DUMMYFUNCTION("""COMPUTED_VALUE"""),"")</f>
        <v/>
      </c>
      <c r="B18535" s="87"/>
      <c r="C18535" s="87"/>
      <c r="D18535" s="87"/>
      <c r="E18535" s="87"/>
      <c r="F18535" s="87"/>
      <c r="G18535" s="87"/>
    </row>
    <row r="18536">
      <c r="A18536" s="86" t="str">
        <f>IFERROR(__xludf.DUMMYFUNCTION("""COMPUTED_VALUE"""),"")</f>
        <v/>
      </c>
      <c r="B18536" s="87"/>
      <c r="C18536" s="87"/>
      <c r="D18536" s="87"/>
      <c r="E18536" s="87"/>
      <c r="F18536" s="87"/>
      <c r="G18536" s="87"/>
    </row>
    <row r="18537">
      <c r="A18537" s="86" t="str">
        <f>IFERROR(__xludf.DUMMYFUNCTION("""COMPUTED_VALUE"""),"")</f>
        <v/>
      </c>
      <c r="B18537" s="87"/>
      <c r="C18537" s="87"/>
      <c r="D18537" s="87"/>
      <c r="E18537" s="87"/>
      <c r="F18537" s="87"/>
      <c r="G18537" s="87"/>
    </row>
    <row r="18538">
      <c r="A18538" s="86" t="str">
        <f>IFERROR(__xludf.DUMMYFUNCTION("""COMPUTED_VALUE"""),"")</f>
        <v/>
      </c>
      <c r="B18538" s="87"/>
      <c r="C18538" s="87"/>
      <c r="D18538" s="87"/>
      <c r="E18538" s="87"/>
      <c r="F18538" s="87"/>
      <c r="G18538" s="87"/>
    </row>
    <row r="18539">
      <c r="A18539" s="86" t="str">
        <f>IFERROR(__xludf.DUMMYFUNCTION("""COMPUTED_VALUE"""),"")</f>
        <v/>
      </c>
      <c r="B18539" s="87"/>
      <c r="C18539" s="87"/>
      <c r="D18539" s="87"/>
      <c r="E18539" s="87"/>
      <c r="F18539" s="87"/>
      <c r="G18539" s="87"/>
    </row>
    <row r="18540">
      <c r="A18540" s="86" t="str">
        <f>IFERROR(__xludf.DUMMYFUNCTION("""COMPUTED_VALUE"""),"")</f>
        <v/>
      </c>
      <c r="B18540" s="87"/>
      <c r="C18540" s="87"/>
      <c r="D18540" s="87"/>
      <c r="E18540" s="87"/>
      <c r="F18540" s="87"/>
      <c r="G18540" s="87"/>
    </row>
    <row r="18541">
      <c r="A18541" s="86" t="str">
        <f>IFERROR(__xludf.DUMMYFUNCTION("""COMPUTED_VALUE"""),"")</f>
        <v/>
      </c>
      <c r="B18541" s="87"/>
      <c r="C18541" s="87"/>
      <c r="D18541" s="87"/>
      <c r="E18541" s="87"/>
      <c r="F18541" s="87"/>
      <c r="G18541" s="87"/>
    </row>
    <row r="18542">
      <c r="A18542" s="86" t="str">
        <f>IFERROR(__xludf.DUMMYFUNCTION("""COMPUTED_VALUE"""),"")</f>
        <v/>
      </c>
      <c r="B18542" s="87"/>
      <c r="C18542" s="87"/>
      <c r="D18542" s="87"/>
      <c r="E18542" s="87"/>
      <c r="F18542" s="87"/>
      <c r="G18542" s="87"/>
    </row>
    <row r="18543">
      <c r="A18543" s="86" t="str">
        <f>IFERROR(__xludf.DUMMYFUNCTION("""COMPUTED_VALUE"""),"")</f>
        <v/>
      </c>
      <c r="B18543" s="87"/>
      <c r="C18543" s="87"/>
      <c r="D18543" s="87"/>
      <c r="E18543" s="87"/>
      <c r="F18543" s="87"/>
      <c r="G18543" s="87"/>
    </row>
    <row r="18544">
      <c r="A18544" s="86" t="str">
        <f>IFERROR(__xludf.DUMMYFUNCTION("""COMPUTED_VALUE"""),"")</f>
        <v/>
      </c>
      <c r="B18544" s="87"/>
      <c r="C18544" s="87"/>
      <c r="D18544" s="87"/>
      <c r="E18544" s="87"/>
      <c r="F18544" s="87"/>
      <c r="G18544" s="87"/>
    </row>
    <row r="18545">
      <c r="A18545" s="86" t="str">
        <f>IFERROR(__xludf.DUMMYFUNCTION("""COMPUTED_VALUE"""),"")</f>
        <v/>
      </c>
      <c r="B18545" s="87"/>
      <c r="C18545" s="87"/>
      <c r="D18545" s="87"/>
      <c r="E18545" s="87"/>
      <c r="F18545" s="87"/>
      <c r="G18545" s="87"/>
    </row>
    <row r="18546">
      <c r="A18546" s="86" t="str">
        <f>IFERROR(__xludf.DUMMYFUNCTION("""COMPUTED_VALUE"""),"")</f>
        <v/>
      </c>
      <c r="B18546" s="87"/>
      <c r="C18546" s="87"/>
      <c r="D18546" s="87"/>
      <c r="E18546" s="87"/>
      <c r="F18546" s="87"/>
      <c r="G18546" s="87"/>
    </row>
    <row r="18547">
      <c r="A18547" s="86" t="str">
        <f>IFERROR(__xludf.DUMMYFUNCTION("""COMPUTED_VALUE"""),"")</f>
        <v/>
      </c>
      <c r="B18547" s="87"/>
      <c r="C18547" s="87"/>
      <c r="D18547" s="87"/>
      <c r="E18547" s="87"/>
      <c r="F18547" s="87"/>
      <c r="G18547" s="87"/>
    </row>
    <row r="18548">
      <c r="A18548" s="86" t="str">
        <f>IFERROR(__xludf.DUMMYFUNCTION("""COMPUTED_VALUE"""),"")</f>
        <v/>
      </c>
      <c r="B18548" s="87"/>
      <c r="C18548" s="87"/>
      <c r="D18548" s="87"/>
      <c r="E18548" s="87"/>
      <c r="F18548" s="87"/>
      <c r="G18548" s="87"/>
    </row>
    <row r="18549">
      <c r="A18549" s="86" t="str">
        <f>IFERROR(__xludf.DUMMYFUNCTION("""COMPUTED_VALUE"""),"")</f>
        <v/>
      </c>
      <c r="B18549" s="87"/>
      <c r="C18549" s="87"/>
      <c r="D18549" s="87"/>
      <c r="E18549" s="87"/>
      <c r="F18549" s="87"/>
      <c r="G18549" s="87"/>
    </row>
    <row r="18550">
      <c r="A18550" s="86" t="str">
        <f>IFERROR(__xludf.DUMMYFUNCTION("""COMPUTED_VALUE"""),"")</f>
        <v/>
      </c>
      <c r="B18550" s="87"/>
      <c r="C18550" s="87"/>
      <c r="D18550" s="87"/>
      <c r="E18550" s="87"/>
      <c r="F18550" s="87"/>
      <c r="G18550" s="87"/>
    </row>
    <row r="18551">
      <c r="A18551" s="86" t="str">
        <f>IFERROR(__xludf.DUMMYFUNCTION("""COMPUTED_VALUE"""),"")</f>
        <v/>
      </c>
      <c r="B18551" s="87"/>
      <c r="C18551" s="87"/>
      <c r="D18551" s="87"/>
      <c r="E18551" s="87"/>
      <c r="F18551" s="87"/>
      <c r="G18551" s="87"/>
    </row>
    <row r="18552">
      <c r="A18552" s="86" t="str">
        <f>IFERROR(__xludf.DUMMYFUNCTION("""COMPUTED_VALUE"""),"")</f>
        <v/>
      </c>
      <c r="B18552" s="87"/>
      <c r="C18552" s="87"/>
      <c r="D18552" s="87"/>
      <c r="E18552" s="87"/>
      <c r="F18552" s="87"/>
      <c r="G18552" s="87"/>
    </row>
    <row r="18553">
      <c r="A18553" s="86" t="str">
        <f>IFERROR(__xludf.DUMMYFUNCTION("""COMPUTED_VALUE"""),"")</f>
        <v/>
      </c>
      <c r="B18553" s="87"/>
      <c r="C18553" s="87"/>
      <c r="D18553" s="87"/>
      <c r="E18553" s="87"/>
      <c r="F18553" s="87"/>
      <c r="G18553" s="87"/>
    </row>
    <row r="18554">
      <c r="A18554" s="86" t="str">
        <f>IFERROR(__xludf.DUMMYFUNCTION("""COMPUTED_VALUE"""),"")</f>
        <v/>
      </c>
      <c r="B18554" s="87"/>
      <c r="C18554" s="87"/>
      <c r="D18554" s="87"/>
      <c r="E18554" s="87"/>
      <c r="F18554" s="87"/>
      <c r="G18554" s="87"/>
    </row>
    <row r="18555">
      <c r="A18555" s="86" t="str">
        <f>IFERROR(__xludf.DUMMYFUNCTION("""COMPUTED_VALUE"""),"")</f>
        <v/>
      </c>
      <c r="B18555" s="87"/>
      <c r="C18555" s="87"/>
      <c r="D18555" s="87"/>
      <c r="E18555" s="87"/>
      <c r="F18555" s="87"/>
      <c r="G18555" s="87"/>
    </row>
    <row r="18556">
      <c r="A18556" s="86" t="str">
        <f>IFERROR(__xludf.DUMMYFUNCTION("""COMPUTED_VALUE"""),"")</f>
        <v/>
      </c>
      <c r="B18556" s="87"/>
      <c r="C18556" s="87"/>
      <c r="D18556" s="87"/>
      <c r="E18556" s="87"/>
      <c r="F18556" s="87"/>
      <c r="G18556" s="87"/>
    </row>
    <row r="18557">
      <c r="A18557" s="86" t="str">
        <f>IFERROR(__xludf.DUMMYFUNCTION("""COMPUTED_VALUE"""),"")</f>
        <v/>
      </c>
      <c r="B18557" s="87"/>
      <c r="C18557" s="87"/>
      <c r="D18557" s="87"/>
      <c r="E18557" s="87"/>
      <c r="F18557" s="87"/>
      <c r="G18557" s="87"/>
    </row>
    <row r="18558">
      <c r="A18558" s="86" t="str">
        <f>IFERROR(__xludf.DUMMYFUNCTION("""COMPUTED_VALUE"""),"")</f>
        <v/>
      </c>
      <c r="B18558" s="87"/>
      <c r="C18558" s="87"/>
      <c r="D18558" s="87"/>
      <c r="E18558" s="87"/>
      <c r="F18558" s="87"/>
      <c r="G18558" s="87"/>
    </row>
    <row r="18559">
      <c r="A18559" s="86" t="str">
        <f>IFERROR(__xludf.DUMMYFUNCTION("""COMPUTED_VALUE"""),"")</f>
        <v/>
      </c>
      <c r="B18559" s="87"/>
      <c r="C18559" s="87"/>
      <c r="D18559" s="87"/>
      <c r="E18559" s="87"/>
      <c r="F18559" s="87"/>
      <c r="G18559" s="87"/>
    </row>
    <row r="18560">
      <c r="A18560" s="86" t="str">
        <f>IFERROR(__xludf.DUMMYFUNCTION("""COMPUTED_VALUE"""),"")</f>
        <v/>
      </c>
      <c r="B18560" s="87"/>
      <c r="C18560" s="87"/>
      <c r="D18560" s="87"/>
      <c r="E18560" s="87"/>
      <c r="F18560" s="87"/>
      <c r="G18560" s="87"/>
    </row>
    <row r="18561">
      <c r="A18561" s="86" t="str">
        <f>IFERROR(__xludf.DUMMYFUNCTION("""COMPUTED_VALUE"""),"")</f>
        <v/>
      </c>
      <c r="B18561" s="87"/>
      <c r="C18561" s="87"/>
      <c r="D18561" s="87"/>
      <c r="E18561" s="87"/>
      <c r="F18561" s="87"/>
      <c r="G18561" s="87"/>
    </row>
    <row r="18562">
      <c r="A18562" s="86" t="str">
        <f>IFERROR(__xludf.DUMMYFUNCTION("""COMPUTED_VALUE"""),"")</f>
        <v/>
      </c>
      <c r="B18562" s="87"/>
      <c r="C18562" s="87"/>
      <c r="D18562" s="87"/>
      <c r="E18562" s="87"/>
      <c r="F18562" s="87"/>
      <c r="G18562" s="87"/>
    </row>
    <row r="18563">
      <c r="A18563" s="86" t="str">
        <f>IFERROR(__xludf.DUMMYFUNCTION("""COMPUTED_VALUE"""),"")</f>
        <v/>
      </c>
      <c r="B18563" s="87"/>
      <c r="C18563" s="87"/>
      <c r="D18563" s="87"/>
      <c r="E18563" s="87"/>
      <c r="F18563" s="87"/>
      <c r="G18563" s="87"/>
    </row>
    <row r="18564">
      <c r="A18564" s="86" t="str">
        <f>IFERROR(__xludf.DUMMYFUNCTION("""COMPUTED_VALUE"""),"")</f>
        <v/>
      </c>
      <c r="B18564" s="87"/>
      <c r="C18564" s="87"/>
      <c r="D18564" s="87"/>
      <c r="E18564" s="87"/>
      <c r="F18564" s="87"/>
      <c r="G18564" s="87"/>
    </row>
    <row r="18565">
      <c r="A18565" s="86" t="str">
        <f>IFERROR(__xludf.DUMMYFUNCTION("""COMPUTED_VALUE"""),"")</f>
        <v/>
      </c>
      <c r="B18565" s="87"/>
      <c r="C18565" s="87"/>
      <c r="D18565" s="87"/>
      <c r="E18565" s="87"/>
      <c r="F18565" s="87"/>
      <c r="G18565" s="87"/>
    </row>
    <row r="18566">
      <c r="A18566" s="86" t="str">
        <f>IFERROR(__xludf.DUMMYFUNCTION("""COMPUTED_VALUE"""),"")</f>
        <v/>
      </c>
      <c r="B18566" s="87"/>
      <c r="C18566" s="87"/>
      <c r="D18566" s="87"/>
      <c r="E18566" s="87"/>
      <c r="F18566" s="87"/>
      <c r="G18566" s="87"/>
    </row>
    <row r="18567">
      <c r="A18567" s="86" t="str">
        <f>IFERROR(__xludf.DUMMYFUNCTION("""COMPUTED_VALUE"""),"")</f>
        <v/>
      </c>
      <c r="B18567" s="87"/>
      <c r="C18567" s="87"/>
      <c r="D18567" s="87"/>
      <c r="E18567" s="87"/>
      <c r="F18567" s="87"/>
      <c r="G18567" s="87"/>
    </row>
    <row r="18568">
      <c r="A18568" s="86" t="str">
        <f>IFERROR(__xludf.DUMMYFUNCTION("""COMPUTED_VALUE"""),"")</f>
        <v/>
      </c>
      <c r="B18568" s="87"/>
      <c r="C18568" s="87"/>
      <c r="D18568" s="87"/>
      <c r="E18568" s="87"/>
      <c r="F18568" s="87"/>
      <c r="G18568" s="87"/>
    </row>
    <row r="18569">
      <c r="A18569" s="86" t="str">
        <f>IFERROR(__xludf.DUMMYFUNCTION("""COMPUTED_VALUE"""),"")</f>
        <v/>
      </c>
      <c r="B18569" s="87"/>
      <c r="C18569" s="87"/>
      <c r="D18569" s="87"/>
      <c r="E18569" s="87"/>
      <c r="F18569" s="87"/>
      <c r="G18569" s="87"/>
    </row>
    <row r="18570">
      <c r="A18570" s="86" t="str">
        <f>IFERROR(__xludf.DUMMYFUNCTION("""COMPUTED_VALUE"""),"")</f>
        <v/>
      </c>
      <c r="B18570" s="87"/>
      <c r="C18570" s="87"/>
      <c r="D18570" s="87"/>
      <c r="E18570" s="87"/>
      <c r="F18570" s="87"/>
      <c r="G18570" s="87"/>
    </row>
    <row r="18571">
      <c r="A18571" s="86" t="str">
        <f>IFERROR(__xludf.DUMMYFUNCTION("""COMPUTED_VALUE"""),"")</f>
        <v/>
      </c>
      <c r="B18571" s="87"/>
      <c r="C18571" s="87"/>
      <c r="D18571" s="87"/>
      <c r="E18571" s="87"/>
      <c r="F18571" s="87"/>
      <c r="G18571" s="87"/>
    </row>
    <row r="18572">
      <c r="A18572" s="86" t="str">
        <f>IFERROR(__xludf.DUMMYFUNCTION("""COMPUTED_VALUE"""),"")</f>
        <v/>
      </c>
      <c r="B18572" s="87"/>
      <c r="C18572" s="87"/>
      <c r="D18572" s="87"/>
      <c r="E18572" s="87"/>
      <c r="F18572" s="87"/>
      <c r="G18572" s="87"/>
    </row>
    <row r="18573">
      <c r="A18573" s="86" t="str">
        <f>IFERROR(__xludf.DUMMYFUNCTION("""COMPUTED_VALUE"""),"")</f>
        <v/>
      </c>
      <c r="B18573" s="87"/>
      <c r="C18573" s="87"/>
      <c r="D18573" s="87"/>
      <c r="E18573" s="87"/>
      <c r="F18573" s="87"/>
      <c r="G18573" s="87"/>
    </row>
    <row r="18574">
      <c r="A18574" s="86" t="str">
        <f>IFERROR(__xludf.DUMMYFUNCTION("""COMPUTED_VALUE"""),"")</f>
        <v/>
      </c>
      <c r="B18574" s="87"/>
      <c r="C18574" s="87"/>
      <c r="D18574" s="87"/>
      <c r="E18574" s="87"/>
      <c r="F18574" s="87"/>
      <c r="G18574" s="87"/>
    </row>
    <row r="18575">
      <c r="A18575" s="86" t="str">
        <f>IFERROR(__xludf.DUMMYFUNCTION("""COMPUTED_VALUE"""),"")</f>
        <v/>
      </c>
      <c r="B18575" s="87"/>
      <c r="C18575" s="87"/>
      <c r="D18575" s="87"/>
      <c r="E18575" s="87"/>
      <c r="F18575" s="87"/>
      <c r="G18575" s="87"/>
    </row>
    <row r="18576">
      <c r="A18576" s="86" t="str">
        <f>IFERROR(__xludf.DUMMYFUNCTION("""COMPUTED_VALUE"""),"")</f>
        <v/>
      </c>
      <c r="B18576" s="87"/>
      <c r="C18576" s="87"/>
      <c r="D18576" s="87"/>
      <c r="E18576" s="87"/>
      <c r="F18576" s="87"/>
      <c r="G18576" s="87"/>
    </row>
    <row r="18577">
      <c r="A18577" s="86" t="str">
        <f>IFERROR(__xludf.DUMMYFUNCTION("""COMPUTED_VALUE"""),"")</f>
        <v/>
      </c>
      <c r="B18577" s="87"/>
      <c r="C18577" s="87"/>
      <c r="D18577" s="87"/>
      <c r="E18577" s="87"/>
      <c r="F18577" s="87"/>
      <c r="G18577" s="87"/>
    </row>
    <row r="18578">
      <c r="A18578" s="86" t="str">
        <f>IFERROR(__xludf.DUMMYFUNCTION("""COMPUTED_VALUE"""),"")</f>
        <v/>
      </c>
      <c r="B18578" s="87"/>
      <c r="C18578" s="87"/>
      <c r="D18578" s="87"/>
      <c r="E18578" s="87"/>
      <c r="F18578" s="87"/>
      <c r="G18578" s="87"/>
    </row>
    <row r="18579">
      <c r="A18579" s="86" t="str">
        <f>IFERROR(__xludf.DUMMYFUNCTION("""COMPUTED_VALUE"""),"")</f>
        <v/>
      </c>
      <c r="B18579" s="87"/>
      <c r="C18579" s="87"/>
      <c r="D18579" s="87"/>
      <c r="E18579" s="87"/>
      <c r="F18579" s="87"/>
      <c r="G18579" s="87"/>
    </row>
    <row r="18580">
      <c r="A18580" s="86" t="str">
        <f>IFERROR(__xludf.DUMMYFUNCTION("""COMPUTED_VALUE"""),"")</f>
        <v/>
      </c>
      <c r="B18580" s="87"/>
      <c r="C18580" s="87"/>
      <c r="D18580" s="87"/>
      <c r="E18580" s="87"/>
      <c r="F18580" s="87"/>
      <c r="G18580" s="87"/>
    </row>
    <row r="18581">
      <c r="A18581" s="86" t="str">
        <f>IFERROR(__xludf.DUMMYFUNCTION("""COMPUTED_VALUE"""),"")</f>
        <v/>
      </c>
      <c r="B18581" s="87"/>
      <c r="C18581" s="87"/>
      <c r="D18581" s="87"/>
      <c r="E18581" s="87"/>
      <c r="F18581" s="87"/>
      <c r="G18581" s="87"/>
    </row>
    <row r="18582">
      <c r="A18582" s="86" t="str">
        <f>IFERROR(__xludf.DUMMYFUNCTION("""COMPUTED_VALUE"""),"")</f>
        <v/>
      </c>
      <c r="B18582" s="87"/>
      <c r="C18582" s="87"/>
      <c r="D18582" s="87"/>
      <c r="E18582" s="87"/>
      <c r="F18582" s="87"/>
      <c r="G18582" s="87"/>
    </row>
    <row r="18583">
      <c r="A18583" s="86" t="str">
        <f>IFERROR(__xludf.DUMMYFUNCTION("""COMPUTED_VALUE"""),"")</f>
        <v/>
      </c>
      <c r="B18583" s="87"/>
      <c r="C18583" s="87"/>
      <c r="D18583" s="87"/>
      <c r="E18583" s="87"/>
      <c r="F18583" s="87"/>
      <c r="G18583" s="87"/>
    </row>
    <row r="18584">
      <c r="A18584" s="86" t="str">
        <f>IFERROR(__xludf.DUMMYFUNCTION("""COMPUTED_VALUE"""),"")</f>
        <v/>
      </c>
      <c r="B18584" s="87"/>
      <c r="C18584" s="87"/>
      <c r="D18584" s="87"/>
      <c r="E18584" s="87"/>
      <c r="F18584" s="87"/>
      <c r="G18584" s="87"/>
    </row>
    <row r="18585">
      <c r="A18585" s="86" t="str">
        <f>IFERROR(__xludf.DUMMYFUNCTION("""COMPUTED_VALUE"""),"")</f>
        <v/>
      </c>
      <c r="B18585" s="87"/>
      <c r="C18585" s="87"/>
      <c r="D18585" s="87"/>
      <c r="E18585" s="87"/>
      <c r="F18585" s="87"/>
      <c r="G18585" s="87"/>
    </row>
    <row r="18586">
      <c r="A18586" s="86" t="str">
        <f>IFERROR(__xludf.DUMMYFUNCTION("""COMPUTED_VALUE"""),"")</f>
        <v/>
      </c>
      <c r="B18586" s="87"/>
      <c r="C18586" s="87"/>
      <c r="D18586" s="87"/>
      <c r="E18586" s="87"/>
      <c r="F18586" s="87"/>
      <c r="G18586" s="87"/>
    </row>
    <row r="18587">
      <c r="A18587" s="86" t="str">
        <f>IFERROR(__xludf.DUMMYFUNCTION("""COMPUTED_VALUE"""),"")</f>
        <v/>
      </c>
      <c r="B18587" s="87"/>
      <c r="C18587" s="87"/>
      <c r="D18587" s="87"/>
      <c r="E18587" s="87"/>
      <c r="F18587" s="87"/>
      <c r="G18587" s="87"/>
    </row>
    <row r="18588">
      <c r="A18588" s="86" t="str">
        <f>IFERROR(__xludf.DUMMYFUNCTION("""COMPUTED_VALUE"""),"")</f>
        <v/>
      </c>
      <c r="B18588" s="87"/>
      <c r="C18588" s="87"/>
      <c r="D18588" s="87"/>
      <c r="E18588" s="87"/>
      <c r="F18588" s="87"/>
      <c r="G18588" s="87"/>
    </row>
    <row r="18589">
      <c r="A18589" s="86" t="str">
        <f>IFERROR(__xludf.DUMMYFUNCTION("""COMPUTED_VALUE"""),"")</f>
        <v/>
      </c>
      <c r="B18589" s="87"/>
      <c r="C18589" s="87"/>
      <c r="D18589" s="87"/>
      <c r="E18589" s="87"/>
      <c r="F18589" s="87"/>
      <c r="G18589" s="87"/>
    </row>
    <row r="18590">
      <c r="A18590" s="86" t="str">
        <f>IFERROR(__xludf.DUMMYFUNCTION("""COMPUTED_VALUE"""),"")</f>
        <v/>
      </c>
      <c r="B18590" s="87"/>
      <c r="C18590" s="87"/>
      <c r="D18590" s="87"/>
      <c r="E18590" s="87"/>
      <c r="F18590" s="87"/>
      <c r="G18590" s="87"/>
    </row>
    <row r="18591">
      <c r="A18591" s="86" t="str">
        <f>IFERROR(__xludf.DUMMYFUNCTION("""COMPUTED_VALUE"""),"")</f>
        <v/>
      </c>
      <c r="B18591" s="87"/>
      <c r="C18591" s="87"/>
      <c r="D18591" s="87"/>
      <c r="E18591" s="87"/>
      <c r="F18591" s="87"/>
      <c r="G18591" s="87"/>
    </row>
    <row r="18592">
      <c r="A18592" s="86" t="str">
        <f>IFERROR(__xludf.DUMMYFUNCTION("""COMPUTED_VALUE"""),"")</f>
        <v/>
      </c>
      <c r="B18592" s="87"/>
      <c r="C18592" s="87"/>
      <c r="D18592" s="87"/>
      <c r="E18592" s="87"/>
      <c r="F18592" s="87"/>
      <c r="G18592" s="87"/>
    </row>
    <row r="18593">
      <c r="A18593" s="86" t="str">
        <f>IFERROR(__xludf.DUMMYFUNCTION("""COMPUTED_VALUE"""),"")</f>
        <v/>
      </c>
      <c r="B18593" s="87"/>
      <c r="C18593" s="87"/>
      <c r="D18593" s="87"/>
      <c r="E18593" s="87"/>
      <c r="F18593" s="87"/>
      <c r="G18593" s="87"/>
    </row>
    <row r="18594">
      <c r="A18594" s="86" t="str">
        <f>IFERROR(__xludf.DUMMYFUNCTION("""COMPUTED_VALUE"""),"")</f>
        <v/>
      </c>
      <c r="B18594" s="87"/>
      <c r="C18594" s="87"/>
      <c r="D18594" s="87"/>
      <c r="E18594" s="87"/>
      <c r="F18594" s="87"/>
      <c r="G18594" s="87"/>
    </row>
    <row r="18595">
      <c r="A18595" s="86" t="str">
        <f>IFERROR(__xludf.DUMMYFUNCTION("""COMPUTED_VALUE"""),"")</f>
        <v/>
      </c>
      <c r="B18595" s="87"/>
      <c r="C18595" s="87"/>
      <c r="D18595" s="87"/>
      <c r="E18595" s="87"/>
      <c r="F18595" s="87"/>
      <c r="G18595" s="87"/>
    </row>
    <row r="18596">
      <c r="A18596" s="86" t="str">
        <f>IFERROR(__xludf.DUMMYFUNCTION("""COMPUTED_VALUE"""),"")</f>
        <v/>
      </c>
      <c r="B18596" s="87"/>
      <c r="C18596" s="87"/>
      <c r="D18596" s="87"/>
      <c r="E18596" s="87"/>
      <c r="F18596" s="87"/>
      <c r="G18596" s="87"/>
    </row>
    <row r="18597">
      <c r="A18597" s="86" t="str">
        <f>IFERROR(__xludf.DUMMYFUNCTION("""COMPUTED_VALUE"""),"")</f>
        <v/>
      </c>
      <c r="B18597" s="87"/>
      <c r="C18597" s="87"/>
      <c r="D18597" s="87"/>
      <c r="E18597" s="87"/>
      <c r="F18597" s="87"/>
      <c r="G18597" s="87"/>
    </row>
    <row r="18598">
      <c r="A18598" s="86" t="str">
        <f>IFERROR(__xludf.DUMMYFUNCTION("""COMPUTED_VALUE"""),"")</f>
        <v/>
      </c>
      <c r="B18598" s="87"/>
      <c r="C18598" s="87"/>
      <c r="D18598" s="87"/>
      <c r="E18598" s="87"/>
      <c r="F18598" s="87"/>
      <c r="G18598" s="87"/>
    </row>
    <row r="18599">
      <c r="A18599" s="86" t="str">
        <f>IFERROR(__xludf.DUMMYFUNCTION("""COMPUTED_VALUE"""),"")</f>
        <v/>
      </c>
      <c r="B18599" s="87"/>
      <c r="C18599" s="87"/>
      <c r="D18599" s="87"/>
      <c r="E18599" s="87"/>
      <c r="F18599" s="87"/>
      <c r="G18599" s="87"/>
    </row>
    <row r="18600">
      <c r="A18600" s="86" t="str">
        <f>IFERROR(__xludf.DUMMYFUNCTION("""COMPUTED_VALUE"""),"")</f>
        <v/>
      </c>
      <c r="B18600" s="87"/>
      <c r="C18600" s="87"/>
      <c r="D18600" s="87"/>
      <c r="E18600" s="87"/>
      <c r="F18600" s="87"/>
      <c r="G18600" s="87"/>
    </row>
    <row r="18601">
      <c r="A18601" s="86" t="str">
        <f>IFERROR(__xludf.DUMMYFUNCTION("""COMPUTED_VALUE"""),"")</f>
        <v/>
      </c>
      <c r="B18601" s="87"/>
      <c r="C18601" s="87"/>
      <c r="D18601" s="87"/>
      <c r="E18601" s="87"/>
      <c r="F18601" s="87"/>
      <c r="G18601" s="87"/>
    </row>
    <row r="18602">
      <c r="A18602" s="86" t="str">
        <f>IFERROR(__xludf.DUMMYFUNCTION("""COMPUTED_VALUE"""),"")</f>
        <v/>
      </c>
      <c r="B18602" s="87"/>
      <c r="C18602" s="87"/>
      <c r="D18602" s="87"/>
      <c r="E18602" s="87"/>
      <c r="F18602" s="87"/>
      <c r="G18602" s="87"/>
    </row>
    <row r="18603">
      <c r="A18603" s="86" t="str">
        <f>IFERROR(__xludf.DUMMYFUNCTION("""COMPUTED_VALUE"""),"")</f>
        <v/>
      </c>
      <c r="B18603" s="87"/>
      <c r="C18603" s="87"/>
      <c r="D18603" s="87"/>
      <c r="E18603" s="87"/>
      <c r="F18603" s="87"/>
      <c r="G18603" s="87"/>
    </row>
    <row r="18604">
      <c r="A18604" s="86" t="str">
        <f>IFERROR(__xludf.DUMMYFUNCTION("""COMPUTED_VALUE"""),"")</f>
        <v/>
      </c>
      <c r="B18604" s="87"/>
      <c r="C18604" s="87"/>
      <c r="D18604" s="87"/>
      <c r="E18604" s="87"/>
      <c r="F18604" s="87"/>
      <c r="G18604" s="87"/>
    </row>
    <row r="18605">
      <c r="A18605" s="86" t="str">
        <f>IFERROR(__xludf.DUMMYFUNCTION("""COMPUTED_VALUE"""),"")</f>
        <v/>
      </c>
      <c r="B18605" s="87"/>
      <c r="C18605" s="87"/>
      <c r="D18605" s="87"/>
      <c r="E18605" s="87"/>
      <c r="F18605" s="87"/>
      <c r="G18605" s="87"/>
    </row>
    <row r="18606">
      <c r="A18606" s="86" t="str">
        <f>IFERROR(__xludf.DUMMYFUNCTION("""COMPUTED_VALUE"""),"")</f>
        <v/>
      </c>
      <c r="B18606" s="87"/>
      <c r="C18606" s="87"/>
      <c r="D18606" s="87"/>
      <c r="E18606" s="87"/>
      <c r="F18606" s="87"/>
      <c r="G18606" s="87"/>
    </row>
    <row r="18607">
      <c r="A18607" s="86" t="str">
        <f>IFERROR(__xludf.DUMMYFUNCTION("""COMPUTED_VALUE"""),"")</f>
        <v/>
      </c>
      <c r="B18607" s="87"/>
      <c r="C18607" s="87"/>
      <c r="D18607" s="87"/>
      <c r="E18607" s="87"/>
      <c r="F18607" s="87"/>
      <c r="G18607" s="87"/>
    </row>
    <row r="18608">
      <c r="A18608" s="86" t="str">
        <f>IFERROR(__xludf.DUMMYFUNCTION("""COMPUTED_VALUE"""),"")</f>
        <v/>
      </c>
      <c r="B18608" s="87"/>
      <c r="C18608" s="87"/>
      <c r="D18608" s="87"/>
      <c r="E18608" s="87"/>
      <c r="F18608" s="87"/>
      <c r="G18608" s="87"/>
    </row>
    <row r="18609">
      <c r="A18609" s="86" t="str">
        <f>IFERROR(__xludf.DUMMYFUNCTION("""COMPUTED_VALUE"""),"")</f>
        <v/>
      </c>
      <c r="B18609" s="87"/>
      <c r="C18609" s="87"/>
      <c r="D18609" s="87"/>
      <c r="E18609" s="87"/>
      <c r="F18609" s="87"/>
      <c r="G18609" s="87"/>
    </row>
    <row r="18610">
      <c r="A18610" s="86" t="str">
        <f>IFERROR(__xludf.DUMMYFUNCTION("""COMPUTED_VALUE"""),"")</f>
        <v/>
      </c>
      <c r="B18610" s="87"/>
      <c r="C18610" s="87"/>
      <c r="D18610" s="87"/>
      <c r="E18610" s="87"/>
      <c r="F18610" s="87"/>
      <c r="G18610" s="87"/>
    </row>
    <row r="18611">
      <c r="A18611" s="86" t="str">
        <f>IFERROR(__xludf.DUMMYFUNCTION("""COMPUTED_VALUE"""),"")</f>
        <v/>
      </c>
      <c r="B18611" s="87"/>
      <c r="C18611" s="87"/>
      <c r="D18611" s="87"/>
      <c r="E18611" s="87"/>
      <c r="F18611" s="87"/>
      <c r="G18611" s="87"/>
    </row>
    <row r="18612">
      <c r="A18612" s="86" t="str">
        <f>IFERROR(__xludf.DUMMYFUNCTION("""COMPUTED_VALUE"""),"")</f>
        <v/>
      </c>
      <c r="B18612" s="87"/>
      <c r="C18612" s="87"/>
      <c r="D18612" s="87"/>
      <c r="E18612" s="87"/>
      <c r="F18612" s="87"/>
      <c r="G18612" s="87"/>
    </row>
    <row r="18613">
      <c r="A18613" s="86" t="str">
        <f>IFERROR(__xludf.DUMMYFUNCTION("""COMPUTED_VALUE"""),"")</f>
        <v/>
      </c>
      <c r="B18613" s="87"/>
      <c r="C18613" s="87"/>
      <c r="D18613" s="87"/>
      <c r="E18613" s="87"/>
      <c r="F18613" s="87"/>
      <c r="G18613" s="87"/>
    </row>
    <row r="18614">
      <c r="A18614" s="86" t="str">
        <f>IFERROR(__xludf.DUMMYFUNCTION("""COMPUTED_VALUE"""),"")</f>
        <v/>
      </c>
      <c r="B18614" s="87"/>
      <c r="C18614" s="87"/>
      <c r="D18614" s="87"/>
      <c r="E18614" s="87"/>
      <c r="F18614" s="87"/>
      <c r="G18614" s="87"/>
    </row>
    <row r="18615">
      <c r="A18615" s="86" t="str">
        <f>IFERROR(__xludf.DUMMYFUNCTION("""COMPUTED_VALUE"""),"")</f>
        <v/>
      </c>
      <c r="B18615" s="87"/>
      <c r="C18615" s="87"/>
      <c r="D18615" s="87"/>
      <c r="E18615" s="87"/>
      <c r="F18615" s="87"/>
      <c r="G18615" s="87"/>
    </row>
    <row r="18616">
      <c r="A18616" s="86" t="str">
        <f>IFERROR(__xludf.DUMMYFUNCTION("""COMPUTED_VALUE"""),"")</f>
        <v/>
      </c>
      <c r="B18616" s="87"/>
      <c r="C18616" s="87"/>
      <c r="D18616" s="87"/>
      <c r="E18616" s="87"/>
      <c r="F18616" s="87"/>
      <c r="G18616" s="87"/>
    </row>
    <row r="18617">
      <c r="A18617" s="86" t="str">
        <f>IFERROR(__xludf.DUMMYFUNCTION("""COMPUTED_VALUE"""),"")</f>
        <v/>
      </c>
      <c r="B18617" s="87"/>
      <c r="C18617" s="87"/>
      <c r="D18617" s="87"/>
      <c r="E18617" s="87"/>
      <c r="F18617" s="87"/>
      <c r="G18617" s="87"/>
    </row>
    <row r="18618">
      <c r="A18618" s="86" t="str">
        <f>IFERROR(__xludf.DUMMYFUNCTION("""COMPUTED_VALUE"""),"")</f>
        <v/>
      </c>
      <c r="B18618" s="87"/>
      <c r="C18618" s="87"/>
      <c r="D18618" s="87"/>
      <c r="E18618" s="87"/>
      <c r="F18618" s="87"/>
      <c r="G18618" s="87"/>
    </row>
    <row r="18619">
      <c r="A18619" s="86" t="str">
        <f>IFERROR(__xludf.DUMMYFUNCTION("""COMPUTED_VALUE"""),"")</f>
        <v/>
      </c>
      <c r="B18619" s="87"/>
      <c r="C18619" s="87"/>
      <c r="D18619" s="87"/>
      <c r="E18619" s="87"/>
      <c r="F18619" s="87"/>
      <c r="G18619" s="87"/>
    </row>
    <row r="18620">
      <c r="A18620" s="86" t="str">
        <f>IFERROR(__xludf.DUMMYFUNCTION("""COMPUTED_VALUE"""),"")</f>
        <v/>
      </c>
      <c r="B18620" s="87"/>
      <c r="C18620" s="87"/>
      <c r="D18620" s="87"/>
      <c r="E18620" s="87"/>
      <c r="F18620" s="87"/>
      <c r="G18620" s="87"/>
    </row>
    <row r="18621">
      <c r="A18621" s="86" t="str">
        <f>IFERROR(__xludf.DUMMYFUNCTION("""COMPUTED_VALUE"""),"")</f>
        <v/>
      </c>
      <c r="B18621" s="87"/>
      <c r="C18621" s="87"/>
      <c r="D18621" s="87"/>
      <c r="E18621" s="87"/>
      <c r="F18621" s="87"/>
      <c r="G18621" s="87"/>
    </row>
    <row r="18622">
      <c r="A18622" s="86" t="str">
        <f>IFERROR(__xludf.DUMMYFUNCTION("""COMPUTED_VALUE"""),"")</f>
        <v/>
      </c>
      <c r="B18622" s="87"/>
      <c r="C18622" s="87"/>
      <c r="D18622" s="87"/>
      <c r="E18622" s="87"/>
      <c r="F18622" s="87"/>
      <c r="G18622" s="87"/>
    </row>
    <row r="18623">
      <c r="A18623" s="86" t="str">
        <f>IFERROR(__xludf.DUMMYFUNCTION("""COMPUTED_VALUE"""),"")</f>
        <v/>
      </c>
      <c r="B18623" s="87"/>
      <c r="C18623" s="87"/>
      <c r="D18623" s="87"/>
      <c r="E18623" s="87"/>
      <c r="F18623" s="87"/>
      <c r="G18623" s="87"/>
    </row>
    <row r="18624">
      <c r="A18624" s="86" t="str">
        <f>IFERROR(__xludf.DUMMYFUNCTION("""COMPUTED_VALUE"""),"")</f>
        <v/>
      </c>
      <c r="B18624" s="87"/>
      <c r="C18624" s="87"/>
      <c r="D18624" s="87"/>
      <c r="E18624" s="87"/>
      <c r="F18624" s="87"/>
      <c r="G18624" s="87"/>
    </row>
    <row r="18625">
      <c r="A18625" s="86" t="str">
        <f>IFERROR(__xludf.DUMMYFUNCTION("""COMPUTED_VALUE"""),"")</f>
        <v/>
      </c>
      <c r="B18625" s="87"/>
      <c r="C18625" s="87"/>
      <c r="D18625" s="87"/>
      <c r="E18625" s="87"/>
      <c r="F18625" s="87"/>
      <c r="G18625" s="87"/>
    </row>
    <row r="18626">
      <c r="A18626" s="86" t="str">
        <f>IFERROR(__xludf.DUMMYFUNCTION("""COMPUTED_VALUE"""),"")</f>
        <v/>
      </c>
      <c r="B18626" s="87"/>
      <c r="C18626" s="87"/>
      <c r="D18626" s="87"/>
      <c r="E18626" s="87"/>
      <c r="F18626" s="87"/>
      <c r="G18626" s="87"/>
    </row>
    <row r="18627">
      <c r="A18627" s="86" t="str">
        <f>IFERROR(__xludf.DUMMYFUNCTION("""COMPUTED_VALUE"""),"")</f>
        <v/>
      </c>
      <c r="B18627" s="87"/>
      <c r="C18627" s="87"/>
      <c r="D18627" s="87"/>
      <c r="E18627" s="87"/>
      <c r="F18627" s="87"/>
      <c r="G18627" s="87"/>
    </row>
    <row r="18628">
      <c r="A18628" s="86" t="str">
        <f>IFERROR(__xludf.DUMMYFUNCTION("""COMPUTED_VALUE"""),"")</f>
        <v/>
      </c>
      <c r="B18628" s="87"/>
      <c r="C18628" s="87"/>
      <c r="D18628" s="87"/>
      <c r="E18628" s="87"/>
      <c r="F18628" s="87"/>
      <c r="G18628" s="87"/>
    </row>
    <row r="18629">
      <c r="A18629" s="86" t="str">
        <f>IFERROR(__xludf.DUMMYFUNCTION("""COMPUTED_VALUE"""),"")</f>
        <v/>
      </c>
      <c r="B18629" s="87"/>
      <c r="C18629" s="87"/>
      <c r="D18629" s="87"/>
      <c r="E18629" s="87"/>
      <c r="F18629" s="87"/>
      <c r="G18629" s="87"/>
    </row>
    <row r="18630">
      <c r="A18630" s="86" t="str">
        <f>IFERROR(__xludf.DUMMYFUNCTION("""COMPUTED_VALUE"""),"")</f>
        <v/>
      </c>
      <c r="B18630" s="87"/>
      <c r="C18630" s="87"/>
      <c r="D18630" s="87"/>
      <c r="E18630" s="87"/>
      <c r="F18630" s="87"/>
      <c r="G18630" s="87"/>
    </row>
    <row r="18631">
      <c r="A18631" s="86" t="str">
        <f>IFERROR(__xludf.DUMMYFUNCTION("""COMPUTED_VALUE"""),"")</f>
        <v/>
      </c>
      <c r="B18631" s="87"/>
      <c r="C18631" s="87"/>
      <c r="D18631" s="87"/>
      <c r="E18631" s="87"/>
      <c r="F18631" s="87"/>
      <c r="G18631" s="87"/>
    </row>
    <row r="18632">
      <c r="A18632" s="86" t="str">
        <f>IFERROR(__xludf.DUMMYFUNCTION("""COMPUTED_VALUE"""),"")</f>
        <v/>
      </c>
      <c r="B18632" s="87"/>
      <c r="C18632" s="87"/>
      <c r="D18632" s="87"/>
      <c r="E18632" s="87"/>
      <c r="F18632" s="87"/>
      <c r="G18632" s="87"/>
    </row>
    <row r="18633">
      <c r="A18633" s="86" t="str">
        <f>IFERROR(__xludf.DUMMYFUNCTION("""COMPUTED_VALUE"""),"")</f>
        <v/>
      </c>
      <c r="B18633" s="87"/>
      <c r="C18633" s="87"/>
      <c r="D18633" s="87"/>
      <c r="E18633" s="87"/>
      <c r="F18633" s="87"/>
      <c r="G18633" s="87"/>
    </row>
    <row r="18634">
      <c r="A18634" s="86" t="str">
        <f>IFERROR(__xludf.DUMMYFUNCTION("""COMPUTED_VALUE"""),"")</f>
        <v/>
      </c>
      <c r="B18634" s="87"/>
      <c r="C18634" s="87"/>
      <c r="D18634" s="87"/>
      <c r="E18634" s="87"/>
      <c r="F18634" s="87"/>
      <c r="G18634" s="87"/>
    </row>
    <row r="18635">
      <c r="A18635" s="86" t="str">
        <f>IFERROR(__xludf.DUMMYFUNCTION("""COMPUTED_VALUE"""),"")</f>
        <v/>
      </c>
      <c r="B18635" s="87"/>
      <c r="C18635" s="87"/>
      <c r="D18635" s="87"/>
      <c r="E18635" s="87"/>
      <c r="F18635" s="87"/>
      <c r="G18635" s="87"/>
    </row>
    <row r="18636">
      <c r="A18636" s="86" t="str">
        <f>IFERROR(__xludf.DUMMYFUNCTION("""COMPUTED_VALUE"""),"")</f>
        <v/>
      </c>
      <c r="B18636" s="87"/>
      <c r="C18636" s="87"/>
      <c r="D18636" s="87"/>
      <c r="E18636" s="87"/>
      <c r="F18636" s="87"/>
      <c r="G18636" s="87"/>
    </row>
    <row r="18637">
      <c r="A18637" s="86" t="str">
        <f>IFERROR(__xludf.DUMMYFUNCTION("""COMPUTED_VALUE"""),"")</f>
        <v/>
      </c>
      <c r="B18637" s="87"/>
      <c r="C18637" s="87"/>
      <c r="D18637" s="87"/>
      <c r="E18637" s="87"/>
      <c r="F18637" s="87"/>
      <c r="G18637" s="87"/>
    </row>
    <row r="18638">
      <c r="A18638" s="86" t="str">
        <f>IFERROR(__xludf.DUMMYFUNCTION("""COMPUTED_VALUE"""),"")</f>
        <v/>
      </c>
      <c r="B18638" s="87"/>
      <c r="C18638" s="87"/>
      <c r="D18638" s="87"/>
      <c r="E18638" s="87"/>
      <c r="F18638" s="87"/>
      <c r="G18638" s="87"/>
    </row>
    <row r="18639">
      <c r="A18639" s="86" t="str">
        <f>IFERROR(__xludf.DUMMYFUNCTION("""COMPUTED_VALUE"""),"")</f>
        <v/>
      </c>
      <c r="B18639" s="87"/>
      <c r="C18639" s="87"/>
      <c r="D18639" s="87"/>
      <c r="E18639" s="87"/>
      <c r="F18639" s="87"/>
      <c r="G18639" s="87"/>
    </row>
    <row r="18640">
      <c r="A18640" s="86" t="str">
        <f>IFERROR(__xludf.DUMMYFUNCTION("""COMPUTED_VALUE"""),"")</f>
        <v/>
      </c>
      <c r="B18640" s="87"/>
      <c r="C18640" s="87"/>
      <c r="D18640" s="87"/>
      <c r="E18640" s="87"/>
      <c r="F18640" s="87"/>
      <c r="G18640" s="87"/>
    </row>
    <row r="18641">
      <c r="A18641" s="86" t="str">
        <f>IFERROR(__xludf.DUMMYFUNCTION("""COMPUTED_VALUE"""),"")</f>
        <v/>
      </c>
      <c r="B18641" s="87"/>
      <c r="C18641" s="87"/>
      <c r="D18641" s="87"/>
      <c r="E18641" s="87"/>
      <c r="F18641" s="87"/>
      <c r="G18641" s="87"/>
    </row>
    <row r="18642">
      <c r="A18642" s="86" t="str">
        <f>IFERROR(__xludf.DUMMYFUNCTION("""COMPUTED_VALUE"""),"")</f>
        <v/>
      </c>
      <c r="B18642" s="87"/>
      <c r="C18642" s="87"/>
      <c r="D18642" s="87"/>
      <c r="E18642" s="87"/>
      <c r="F18642" s="87"/>
      <c r="G18642" s="87"/>
    </row>
    <row r="18643">
      <c r="A18643" s="86" t="str">
        <f>IFERROR(__xludf.DUMMYFUNCTION("""COMPUTED_VALUE"""),"")</f>
        <v/>
      </c>
      <c r="B18643" s="87"/>
      <c r="C18643" s="87"/>
      <c r="D18643" s="87"/>
      <c r="E18643" s="87"/>
      <c r="F18643" s="87"/>
      <c r="G18643" s="87"/>
    </row>
    <row r="18644">
      <c r="A18644" s="86" t="str">
        <f>IFERROR(__xludf.DUMMYFUNCTION("""COMPUTED_VALUE"""),"")</f>
        <v/>
      </c>
      <c r="B18644" s="87"/>
      <c r="C18644" s="87"/>
      <c r="D18644" s="87"/>
      <c r="E18644" s="87"/>
      <c r="F18644" s="87"/>
      <c r="G18644" s="87"/>
    </row>
    <row r="18645">
      <c r="A18645" s="86" t="str">
        <f>IFERROR(__xludf.DUMMYFUNCTION("""COMPUTED_VALUE"""),"")</f>
        <v/>
      </c>
      <c r="B18645" s="87"/>
      <c r="C18645" s="87"/>
      <c r="D18645" s="87"/>
      <c r="E18645" s="87"/>
      <c r="F18645" s="87"/>
      <c r="G18645" s="87"/>
    </row>
    <row r="18646">
      <c r="A18646" s="86" t="str">
        <f>IFERROR(__xludf.DUMMYFUNCTION("""COMPUTED_VALUE"""),"")</f>
        <v/>
      </c>
      <c r="B18646" s="87"/>
      <c r="C18646" s="87"/>
      <c r="D18646" s="87"/>
      <c r="E18646" s="87"/>
      <c r="F18646" s="87"/>
      <c r="G18646" s="87"/>
    </row>
    <row r="18647">
      <c r="A18647" s="86" t="str">
        <f>IFERROR(__xludf.DUMMYFUNCTION("""COMPUTED_VALUE"""),"")</f>
        <v/>
      </c>
      <c r="B18647" s="87"/>
      <c r="C18647" s="87"/>
      <c r="D18647" s="87"/>
      <c r="E18647" s="87"/>
      <c r="F18647" s="87"/>
      <c r="G18647" s="87"/>
    </row>
    <row r="18648">
      <c r="A18648" s="86" t="str">
        <f>IFERROR(__xludf.DUMMYFUNCTION("""COMPUTED_VALUE"""),"")</f>
        <v/>
      </c>
      <c r="B18648" s="87"/>
      <c r="C18648" s="87"/>
      <c r="D18648" s="87"/>
      <c r="E18648" s="87"/>
      <c r="F18648" s="87"/>
      <c r="G18648" s="87"/>
    </row>
    <row r="18649">
      <c r="A18649" s="86" t="str">
        <f>IFERROR(__xludf.DUMMYFUNCTION("""COMPUTED_VALUE"""),"")</f>
        <v/>
      </c>
      <c r="B18649" s="87"/>
      <c r="C18649" s="87"/>
      <c r="D18649" s="87"/>
      <c r="E18649" s="87"/>
      <c r="F18649" s="87"/>
      <c r="G18649" s="87"/>
    </row>
    <row r="18650">
      <c r="A18650" s="86" t="str">
        <f>IFERROR(__xludf.DUMMYFUNCTION("""COMPUTED_VALUE"""),"")</f>
        <v/>
      </c>
      <c r="B18650" s="87"/>
      <c r="C18650" s="87"/>
      <c r="D18650" s="87"/>
      <c r="E18650" s="87"/>
      <c r="F18650" s="87"/>
      <c r="G18650" s="87"/>
    </row>
    <row r="18651">
      <c r="A18651" s="86" t="str">
        <f>IFERROR(__xludf.DUMMYFUNCTION("""COMPUTED_VALUE"""),"")</f>
        <v/>
      </c>
      <c r="B18651" s="87"/>
      <c r="C18651" s="87"/>
      <c r="D18651" s="87"/>
      <c r="E18651" s="87"/>
      <c r="F18651" s="87"/>
      <c r="G18651" s="87"/>
    </row>
    <row r="18652">
      <c r="A18652" s="86" t="str">
        <f>IFERROR(__xludf.DUMMYFUNCTION("""COMPUTED_VALUE"""),"")</f>
        <v/>
      </c>
      <c r="B18652" s="87"/>
      <c r="C18652" s="87"/>
      <c r="D18652" s="87"/>
      <c r="E18652" s="87"/>
      <c r="F18652" s="87"/>
      <c r="G18652" s="87"/>
    </row>
    <row r="18653">
      <c r="A18653" s="86" t="str">
        <f>IFERROR(__xludf.DUMMYFUNCTION("""COMPUTED_VALUE"""),"")</f>
        <v/>
      </c>
      <c r="B18653" s="87"/>
      <c r="C18653" s="87"/>
      <c r="D18653" s="87"/>
      <c r="E18653" s="87"/>
      <c r="F18653" s="87"/>
      <c r="G18653" s="87"/>
    </row>
    <row r="18654">
      <c r="A18654" s="86" t="str">
        <f>IFERROR(__xludf.DUMMYFUNCTION("""COMPUTED_VALUE"""),"")</f>
        <v/>
      </c>
      <c r="B18654" s="87"/>
      <c r="C18654" s="87"/>
      <c r="D18654" s="87"/>
      <c r="E18654" s="87"/>
      <c r="F18654" s="87"/>
      <c r="G18654" s="87"/>
    </row>
    <row r="18655">
      <c r="A18655" s="86" t="str">
        <f>IFERROR(__xludf.DUMMYFUNCTION("""COMPUTED_VALUE"""),"")</f>
        <v/>
      </c>
      <c r="B18655" s="87"/>
      <c r="C18655" s="87"/>
      <c r="D18655" s="87"/>
      <c r="E18655" s="87"/>
      <c r="F18655" s="87"/>
      <c r="G18655" s="87"/>
    </row>
    <row r="18656">
      <c r="A18656" s="86" t="str">
        <f>IFERROR(__xludf.DUMMYFUNCTION("""COMPUTED_VALUE"""),"")</f>
        <v/>
      </c>
      <c r="B18656" s="87"/>
      <c r="C18656" s="87"/>
      <c r="D18656" s="87"/>
      <c r="E18656" s="87"/>
      <c r="F18656" s="87"/>
      <c r="G18656" s="87"/>
    </row>
    <row r="18657">
      <c r="A18657" s="86" t="str">
        <f>IFERROR(__xludf.DUMMYFUNCTION("""COMPUTED_VALUE"""),"")</f>
        <v/>
      </c>
      <c r="B18657" s="87"/>
      <c r="C18657" s="87"/>
      <c r="D18657" s="87"/>
      <c r="E18657" s="87"/>
      <c r="F18657" s="87"/>
      <c r="G18657" s="87"/>
    </row>
    <row r="18658">
      <c r="A18658" s="86" t="str">
        <f>IFERROR(__xludf.DUMMYFUNCTION("""COMPUTED_VALUE"""),"")</f>
        <v/>
      </c>
      <c r="B18658" s="87"/>
      <c r="C18658" s="87"/>
      <c r="D18658" s="87"/>
      <c r="E18658" s="87"/>
      <c r="F18658" s="87"/>
      <c r="G18658" s="87"/>
    </row>
    <row r="18659">
      <c r="A18659" s="86" t="str">
        <f>IFERROR(__xludf.DUMMYFUNCTION("""COMPUTED_VALUE"""),"")</f>
        <v/>
      </c>
      <c r="B18659" s="87"/>
      <c r="C18659" s="87"/>
      <c r="D18659" s="87"/>
      <c r="E18659" s="87"/>
      <c r="F18659" s="87"/>
      <c r="G18659" s="87"/>
    </row>
    <row r="18660">
      <c r="A18660" s="86" t="str">
        <f>IFERROR(__xludf.DUMMYFUNCTION("""COMPUTED_VALUE"""),"")</f>
        <v/>
      </c>
      <c r="B18660" s="87"/>
      <c r="C18660" s="87"/>
      <c r="D18660" s="87"/>
      <c r="E18660" s="87"/>
      <c r="F18660" s="87"/>
      <c r="G18660" s="87"/>
    </row>
    <row r="18661">
      <c r="A18661" s="86" t="str">
        <f>IFERROR(__xludf.DUMMYFUNCTION("""COMPUTED_VALUE"""),"")</f>
        <v/>
      </c>
      <c r="B18661" s="87"/>
      <c r="C18661" s="87"/>
      <c r="D18661" s="87"/>
      <c r="E18661" s="87"/>
      <c r="F18661" s="87"/>
      <c r="G18661" s="87"/>
    </row>
    <row r="18662">
      <c r="A18662" s="86" t="str">
        <f>IFERROR(__xludf.DUMMYFUNCTION("""COMPUTED_VALUE"""),"")</f>
        <v/>
      </c>
      <c r="B18662" s="87"/>
      <c r="C18662" s="87"/>
      <c r="D18662" s="87"/>
      <c r="E18662" s="87"/>
      <c r="F18662" s="87"/>
      <c r="G18662" s="87"/>
    </row>
    <row r="18663">
      <c r="A18663" s="86" t="str">
        <f>IFERROR(__xludf.DUMMYFUNCTION("""COMPUTED_VALUE"""),"")</f>
        <v/>
      </c>
      <c r="B18663" s="87"/>
      <c r="C18663" s="87"/>
      <c r="D18663" s="87"/>
      <c r="E18663" s="87"/>
      <c r="F18663" s="87"/>
      <c r="G18663" s="87"/>
    </row>
    <row r="18664">
      <c r="A18664" s="86" t="str">
        <f>IFERROR(__xludf.DUMMYFUNCTION("""COMPUTED_VALUE"""),"")</f>
        <v/>
      </c>
      <c r="B18664" s="87"/>
      <c r="C18664" s="87"/>
      <c r="D18664" s="87"/>
      <c r="E18664" s="87"/>
      <c r="F18664" s="87"/>
      <c r="G18664" s="87"/>
    </row>
    <row r="18665">
      <c r="A18665" s="86" t="str">
        <f>IFERROR(__xludf.DUMMYFUNCTION("""COMPUTED_VALUE"""),"")</f>
        <v/>
      </c>
      <c r="B18665" s="87"/>
      <c r="C18665" s="87"/>
      <c r="D18665" s="87"/>
      <c r="E18665" s="87"/>
      <c r="F18665" s="87"/>
      <c r="G18665" s="87"/>
    </row>
    <row r="18666">
      <c r="A18666" s="86" t="str">
        <f>IFERROR(__xludf.DUMMYFUNCTION("""COMPUTED_VALUE"""),"")</f>
        <v/>
      </c>
      <c r="B18666" s="87"/>
      <c r="C18666" s="87"/>
      <c r="D18666" s="87"/>
      <c r="E18666" s="87"/>
      <c r="F18666" s="87"/>
      <c r="G18666" s="87"/>
    </row>
    <row r="18667">
      <c r="A18667" s="86" t="str">
        <f>IFERROR(__xludf.DUMMYFUNCTION("""COMPUTED_VALUE"""),"")</f>
        <v/>
      </c>
      <c r="B18667" s="87"/>
      <c r="C18667" s="87"/>
      <c r="D18667" s="87"/>
      <c r="E18667" s="87"/>
      <c r="F18667" s="87"/>
      <c r="G18667" s="87"/>
    </row>
    <row r="18668">
      <c r="A18668" s="86" t="str">
        <f>IFERROR(__xludf.DUMMYFUNCTION("""COMPUTED_VALUE"""),"")</f>
        <v/>
      </c>
      <c r="B18668" s="87"/>
      <c r="C18668" s="87"/>
      <c r="D18668" s="87"/>
      <c r="E18668" s="87"/>
      <c r="F18668" s="87"/>
      <c r="G18668" s="87"/>
    </row>
    <row r="18669">
      <c r="A18669" s="86" t="str">
        <f>IFERROR(__xludf.DUMMYFUNCTION("""COMPUTED_VALUE"""),"")</f>
        <v/>
      </c>
      <c r="B18669" s="87"/>
      <c r="C18669" s="87"/>
      <c r="D18669" s="87"/>
      <c r="E18669" s="87"/>
      <c r="F18669" s="87"/>
      <c r="G18669" s="87"/>
    </row>
    <row r="18670">
      <c r="A18670" s="86" t="str">
        <f>IFERROR(__xludf.DUMMYFUNCTION("""COMPUTED_VALUE"""),"")</f>
        <v/>
      </c>
      <c r="B18670" s="87"/>
      <c r="C18670" s="87"/>
      <c r="D18670" s="87"/>
      <c r="E18670" s="87"/>
      <c r="F18670" s="87"/>
      <c r="G18670" s="87"/>
    </row>
    <row r="18671">
      <c r="A18671" s="86" t="str">
        <f>IFERROR(__xludf.DUMMYFUNCTION("""COMPUTED_VALUE"""),"")</f>
        <v/>
      </c>
      <c r="B18671" s="87"/>
      <c r="C18671" s="87"/>
      <c r="D18671" s="87"/>
      <c r="E18671" s="87"/>
      <c r="F18671" s="87"/>
      <c r="G18671" s="87"/>
    </row>
    <row r="18672">
      <c r="A18672" s="86" t="str">
        <f>IFERROR(__xludf.DUMMYFUNCTION("""COMPUTED_VALUE"""),"")</f>
        <v/>
      </c>
      <c r="B18672" s="87"/>
      <c r="C18672" s="87"/>
      <c r="D18672" s="87"/>
      <c r="E18672" s="87"/>
      <c r="F18672" s="87"/>
      <c r="G18672" s="87"/>
    </row>
    <row r="18673">
      <c r="A18673" s="86" t="str">
        <f>IFERROR(__xludf.DUMMYFUNCTION("""COMPUTED_VALUE"""),"")</f>
        <v/>
      </c>
      <c r="B18673" s="87"/>
      <c r="C18673" s="87"/>
      <c r="D18673" s="87"/>
      <c r="E18673" s="87"/>
      <c r="F18673" s="87"/>
      <c r="G18673" s="87"/>
    </row>
    <row r="18674">
      <c r="A18674" s="86" t="str">
        <f>IFERROR(__xludf.DUMMYFUNCTION("""COMPUTED_VALUE"""),"")</f>
        <v/>
      </c>
      <c r="B18674" s="87"/>
      <c r="C18674" s="87"/>
      <c r="D18674" s="87"/>
      <c r="E18674" s="87"/>
      <c r="F18674" s="87"/>
      <c r="G18674" s="87"/>
    </row>
    <row r="18675">
      <c r="A18675" s="86" t="str">
        <f>IFERROR(__xludf.DUMMYFUNCTION("""COMPUTED_VALUE"""),"")</f>
        <v/>
      </c>
      <c r="B18675" s="87"/>
      <c r="C18675" s="87"/>
      <c r="D18675" s="87"/>
      <c r="E18675" s="87"/>
      <c r="F18675" s="87"/>
      <c r="G18675" s="87"/>
    </row>
    <row r="18676">
      <c r="A18676" s="86" t="str">
        <f>IFERROR(__xludf.DUMMYFUNCTION("""COMPUTED_VALUE"""),"")</f>
        <v/>
      </c>
      <c r="B18676" s="87"/>
      <c r="C18676" s="87"/>
      <c r="D18676" s="87"/>
      <c r="E18676" s="87"/>
      <c r="F18676" s="87"/>
      <c r="G18676" s="87"/>
    </row>
    <row r="18677">
      <c r="A18677" s="86" t="str">
        <f>IFERROR(__xludf.DUMMYFUNCTION("""COMPUTED_VALUE"""),"")</f>
        <v/>
      </c>
      <c r="B18677" s="87"/>
      <c r="C18677" s="87"/>
      <c r="D18677" s="87"/>
      <c r="E18677" s="87"/>
      <c r="F18677" s="87"/>
      <c r="G18677" s="87"/>
    </row>
    <row r="18678">
      <c r="A18678" s="86" t="str">
        <f>IFERROR(__xludf.DUMMYFUNCTION("""COMPUTED_VALUE"""),"")</f>
        <v/>
      </c>
      <c r="B18678" s="87"/>
      <c r="C18678" s="87"/>
      <c r="D18678" s="87"/>
      <c r="E18678" s="87"/>
      <c r="F18678" s="87"/>
      <c r="G18678" s="87"/>
    </row>
    <row r="18679">
      <c r="A18679" s="86" t="str">
        <f>IFERROR(__xludf.DUMMYFUNCTION("""COMPUTED_VALUE"""),"")</f>
        <v/>
      </c>
      <c r="B18679" s="87"/>
      <c r="C18679" s="87"/>
      <c r="D18679" s="87"/>
      <c r="E18679" s="87"/>
      <c r="F18679" s="87"/>
      <c r="G18679" s="87"/>
    </row>
    <row r="18680">
      <c r="A18680" s="86" t="str">
        <f>IFERROR(__xludf.DUMMYFUNCTION("""COMPUTED_VALUE"""),"")</f>
        <v/>
      </c>
      <c r="B18680" s="87"/>
      <c r="C18680" s="87"/>
      <c r="D18680" s="87"/>
      <c r="E18680" s="87"/>
      <c r="F18680" s="87"/>
      <c r="G18680" s="87"/>
    </row>
    <row r="18681">
      <c r="A18681" s="86" t="str">
        <f>IFERROR(__xludf.DUMMYFUNCTION("""COMPUTED_VALUE"""),"")</f>
        <v/>
      </c>
      <c r="B18681" s="87"/>
      <c r="C18681" s="87"/>
      <c r="D18681" s="87"/>
      <c r="E18681" s="87"/>
      <c r="F18681" s="87"/>
      <c r="G18681" s="87"/>
    </row>
    <row r="18682">
      <c r="A18682" s="86" t="str">
        <f>IFERROR(__xludf.DUMMYFUNCTION("""COMPUTED_VALUE"""),"")</f>
        <v/>
      </c>
      <c r="B18682" s="87"/>
      <c r="C18682" s="87"/>
      <c r="D18682" s="87"/>
      <c r="E18682" s="87"/>
      <c r="F18682" s="87"/>
      <c r="G18682" s="87"/>
    </row>
    <row r="18683">
      <c r="A18683" s="86" t="str">
        <f>IFERROR(__xludf.DUMMYFUNCTION("""COMPUTED_VALUE"""),"")</f>
        <v/>
      </c>
      <c r="B18683" s="87"/>
      <c r="C18683" s="87"/>
      <c r="D18683" s="87"/>
      <c r="E18683" s="87"/>
      <c r="F18683" s="87"/>
      <c r="G18683" s="87"/>
    </row>
    <row r="18684">
      <c r="A18684" s="86" t="str">
        <f>IFERROR(__xludf.DUMMYFUNCTION("""COMPUTED_VALUE"""),"")</f>
        <v/>
      </c>
      <c r="B18684" s="87"/>
      <c r="C18684" s="87"/>
      <c r="D18684" s="87"/>
      <c r="E18684" s="87"/>
      <c r="F18684" s="87"/>
      <c r="G18684" s="87"/>
    </row>
    <row r="18685">
      <c r="A18685" s="86" t="str">
        <f>IFERROR(__xludf.DUMMYFUNCTION("""COMPUTED_VALUE"""),"")</f>
        <v/>
      </c>
      <c r="B18685" s="87"/>
      <c r="C18685" s="87"/>
      <c r="D18685" s="87"/>
      <c r="E18685" s="87"/>
      <c r="F18685" s="87"/>
      <c r="G18685" s="87"/>
    </row>
    <row r="18686">
      <c r="A18686" s="86" t="str">
        <f>IFERROR(__xludf.DUMMYFUNCTION("""COMPUTED_VALUE"""),"")</f>
        <v/>
      </c>
      <c r="B18686" s="87"/>
      <c r="C18686" s="87"/>
      <c r="D18686" s="87"/>
      <c r="E18686" s="87"/>
      <c r="F18686" s="87"/>
      <c r="G18686" s="87"/>
    </row>
    <row r="18687">
      <c r="A18687" s="86" t="str">
        <f>IFERROR(__xludf.DUMMYFUNCTION("""COMPUTED_VALUE"""),"")</f>
        <v/>
      </c>
      <c r="B18687" s="87"/>
      <c r="C18687" s="87"/>
      <c r="D18687" s="87"/>
      <c r="E18687" s="87"/>
      <c r="F18687" s="87"/>
      <c r="G18687" s="87"/>
    </row>
    <row r="18688">
      <c r="A18688" s="86" t="str">
        <f>IFERROR(__xludf.DUMMYFUNCTION("""COMPUTED_VALUE"""),"")</f>
        <v/>
      </c>
      <c r="B18688" s="87"/>
      <c r="C18688" s="87"/>
      <c r="D18688" s="87"/>
      <c r="E18688" s="87"/>
      <c r="F18688" s="87"/>
      <c r="G18688" s="87"/>
    </row>
    <row r="18689">
      <c r="A18689" s="86" t="str">
        <f>IFERROR(__xludf.DUMMYFUNCTION("""COMPUTED_VALUE"""),"")</f>
        <v/>
      </c>
      <c r="B18689" s="87"/>
      <c r="C18689" s="87"/>
      <c r="D18689" s="87"/>
      <c r="E18689" s="87"/>
      <c r="F18689" s="87"/>
      <c r="G18689" s="87"/>
    </row>
    <row r="18690">
      <c r="A18690" s="86" t="str">
        <f>IFERROR(__xludf.DUMMYFUNCTION("""COMPUTED_VALUE"""),"")</f>
        <v/>
      </c>
      <c r="B18690" s="87"/>
      <c r="C18690" s="87"/>
      <c r="D18690" s="87"/>
      <c r="E18690" s="87"/>
      <c r="F18690" s="87"/>
      <c r="G18690" s="87"/>
    </row>
    <row r="18691">
      <c r="A18691" s="86" t="str">
        <f>IFERROR(__xludf.DUMMYFUNCTION("""COMPUTED_VALUE"""),"")</f>
        <v/>
      </c>
      <c r="B18691" s="87"/>
      <c r="C18691" s="87"/>
      <c r="D18691" s="87"/>
      <c r="E18691" s="87"/>
      <c r="F18691" s="87"/>
      <c r="G18691" s="87"/>
    </row>
    <row r="18692">
      <c r="A18692" s="86" t="str">
        <f>IFERROR(__xludf.DUMMYFUNCTION("""COMPUTED_VALUE"""),"")</f>
        <v/>
      </c>
      <c r="B18692" s="87"/>
      <c r="C18692" s="87"/>
      <c r="D18692" s="87"/>
      <c r="E18692" s="87"/>
      <c r="F18692" s="87"/>
      <c r="G18692" s="87"/>
    </row>
    <row r="18693">
      <c r="A18693" s="86" t="str">
        <f>IFERROR(__xludf.DUMMYFUNCTION("""COMPUTED_VALUE"""),"")</f>
        <v/>
      </c>
      <c r="B18693" s="87"/>
      <c r="C18693" s="87"/>
      <c r="D18693" s="87"/>
      <c r="E18693" s="87"/>
      <c r="F18693" s="87"/>
      <c r="G18693" s="87"/>
    </row>
    <row r="18694">
      <c r="A18694" s="86" t="str">
        <f>IFERROR(__xludf.DUMMYFUNCTION("""COMPUTED_VALUE"""),"")</f>
        <v/>
      </c>
      <c r="B18694" s="87"/>
      <c r="C18694" s="87"/>
      <c r="D18694" s="87"/>
      <c r="E18694" s="87"/>
      <c r="F18694" s="87"/>
      <c r="G18694" s="87"/>
    </row>
    <row r="18695">
      <c r="A18695" s="86" t="str">
        <f>IFERROR(__xludf.DUMMYFUNCTION("""COMPUTED_VALUE"""),"")</f>
        <v/>
      </c>
      <c r="B18695" s="87"/>
      <c r="C18695" s="87"/>
      <c r="D18695" s="87"/>
      <c r="E18695" s="87"/>
      <c r="F18695" s="87"/>
      <c r="G18695" s="87"/>
    </row>
    <row r="18696">
      <c r="A18696" s="86" t="str">
        <f>IFERROR(__xludf.DUMMYFUNCTION("""COMPUTED_VALUE"""),"")</f>
        <v/>
      </c>
      <c r="B18696" s="87"/>
      <c r="C18696" s="87"/>
      <c r="D18696" s="87"/>
      <c r="E18696" s="87"/>
      <c r="F18696" s="87"/>
      <c r="G18696" s="87"/>
    </row>
    <row r="18697">
      <c r="A18697" s="86" t="str">
        <f>IFERROR(__xludf.DUMMYFUNCTION("""COMPUTED_VALUE"""),"")</f>
        <v/>
      </c>
      <c r="B18697" s="87"/>
      <c r="C18697" s="87"/>
      <c r="D18697" s="87"/>
      <c r="E18697" s="87"/>
      <c r="F18697" s="87"/>
      <c r="G18697" s="87"/>
    </row>
    <row r="18698">
      <c r="A18698" s="86" t="str">
        <f>IFERROR(__xludf.DUMMYFUNCTION("""COMPUTED_VALUE"""),"")</f>
        <v/>
      </c>
      <c r="B18698" s="87"/>
      <c r="C18698" s="87"/>
      <c r="D18698" s="87"/>
      <c r="E18698" s="87"/>
      <c r="F18698" s="87"/>
      <c r="G18698" s="87"/>
    </row>
    <row r="18699">
      <c r="A18699" s="86" t="str">
        <f>IFERROR(__xludf.DUMMYFUNCTION("""COMPUTED_VALUE"""),"")</f>
        <v/>
      </c>
      <c r="B18699" s="87"/>
      <c r="C18699" s="87"/>
      <c r="D18699" s="87"/>
      <c r="E18699" s="87"/>
      <c r="F18699" s="87"/>
      <c r="G18699" s="87"/>
    </row>
    <row r="18700">
      <c r="A18700" s="86" t="str">
        <f>IFERROR(__xludf.DUMMYFUNCTION("""COMPUTED_VALUE"""),"")</f>
        <v/>
      </c>
      <c r="B18700" s="87"/>
      <c r="C18700" s="87"/>
      <c r="D18700" s="87"/>
      <c r="E18700" s="87"/>
      <c r="F18700" s="87"/>
      <c r="G18700" s="87"/>
    </row>
    <row r="18701">
      <c r="A18701" s="86" t="str">
        <f>IFERROR(__xludf.DUMMYFUNCTION("""COMPUTED_VALUE"""),"")</f>
        <v/>
      </c>
      <c r="B18701" s="87"/>
      <c r="C18701" s="87"/>
      <c r="D18701" s="87"/>
      <c r="E18701" s="87"/>
      <c r="F18701" s="87"/>
      <c r="G18701" s="87"/>
    </row>
    <row r="18702">
      <c r="A18702" s="86" t="str">
        <f>IFERROR(__xludf.DUMMYFUNCTION("""COMPUTED_VALUE"""),"")</f>
        <v/>
      </c>
      <c r="B18702" s="87"/>
      <c r="C18702" s="87"/>
      <c r="D18702" s="87"/>
      <c r="E18702" s="87"/>
      <c r="F18702" s="87"/>
      <c r="G18702" s="87"/>
    </row>
    <row r="18703">
      <c r="A18703" s="86" t="str">
        <f>IFERROR(__xludf.DUMMYFUNCTION("""COMPUTED_VALUE"""),"")</f>
        <v/>
      </c>
      <c r="B18703" s="87"/>
      <c r="C18703" s="87"/>
      <c r="D18703" s="87"/>
      <c r="E18703" s="87"/>
      <c r="F18703" s="87"/>
      <c r="G18703" s="87"/>
    </row>
    <row r="18704">
      <c r="A18704" s="86" t="str">
        <f>IFERROR(__xludf.DUMMYFUNCTION("""COMPUTED_VALUE"""),"")</f>
        <v/>
      </c>
      <c r="B18704" s="87"/>
      <c r="C18704" s="87"/>
      <c r="D18704" s="87"/>
      <c r="E18704" s="87"/>
      <c r="F18704" s="87"/>
      <c r="G18704" s="87"/>
    </row>
    <row r="18705">
      <c r="A18705" s="86" t="str">
        <f>IFERROR(__xludf.DUMMYFUNCTION("""COMPUTED_VALUE"""),"")</f>
        <v/>
      </c>
      <c r="B18705" s="87"/>
      <c r="C18705" s="87"/>
      <c r="D18705" s="87"/>
      <c r="E18705" s="87"/>
      <c r="F18705" s="87"/>
      <c r="G18705" s="87"/>
    </row>
    <row r="18706">
      <c r="A18706" s="86" t="str">
        <f>IFERROR(__xludf.DUMMYFUNCTION("""COMPUTED_VALUE"""),"")</f>
        <v/>
      </c>
      <c r="B18706" s="87"/>
      <c r="C18706" s="87"/>
      <c r="D18706" s="87"/>
      <c r="E18706" s="87"/>
      <c r="F18706" s="87"/>
      <c r="G18706" s="87"/>
    </row>
    <row r="18707">
      <c r="A18707" s="86" t="str">
        <f>IFERROR(__xludf.DUMMYFUNCTION("""COMPUTED_VALUE"""),"")</f>
        <v/>
      </c>
      <c r="B18707" s="87"/>
      <c r="C18707" s="87"/>
      <c r="D18707" s="87"/>
      <c r="E18707" s="87"/>
      <c r="F18707" s="87"/>
      <c r="G18707" s="87"/>
    </row>
    <row r="18708">
      <c r="A18708" s="86" t="str">
        <f>IFERROR(__xludf.DUMMYFUNCTION("""COMPUTED_VALUE"""),"")</f>
        <v/>
      </c>
      <c r="B18708" s="87"/>
      <c r="C18708" s="87"/>
      <c r="D18708" s="87"/>
      <c r="E18708" s="87"/>
      <c r="F18708" s="87"/>
      <c r="G18708" s="87"/>
    </row>
    <row r="18709">
      <c r="A18709" s="86" t="str">
        <f>IFERROR(__xludf.DUMMYFUNCTION("""COMPUTED_VALUE"""),"")</f>
        <v/>
      </c>
      <c r="B18709" s="87"/>
      <c r="C18709" s="87"/>
      <c r="D18709" s="87"/>
      <c r="E18709" s="87"/>
      <c r="F18709" s="87"/>
      <c r="G18709" s="87"/>
    </row>
    <row r="18710">
      <c r="A18710" s="86" t="str">
        <f>IFERROR(__xludf.DUMMYFUNCTION("""COMPUTED_VALUE"""),"")</f>
        <v/>
      </c>
      <c r="B18710" s="87"/>
      <c r="C18710" s="87"/>
      <c r="D18710" s="87"/>
      <c r="E18710" s="87"/>
      <c r="F18710" s="87"/>
      <c r="G18710" s="87"/>
    </row>
    <row r="18711">
      <c r="A18711" s="86" t="str">
        <f>IFERROR(__xludf.DUMMYFUNCTION("""COMPUTED_VALUE"""),"")</f>
        <v/>
      </c>
      <c r="B18711" s="87"/>
      <c r="C18711" s="87"/>
      <c r="D18711" s="87"/>
      <c r="E18711" s="87"/>
      <c r="F18711" s="87"/>
      <c r="G18711" s="87"/>
    </row>
    <row r="18712">
      <c r="A18712" s="86" t="str">
        <f>IFERROR(__xludf.DUMMYFUNCTION("""COMPUTED_VALUE"""),"")</f>
        <v/>
      </c>
      <c r="B18712" s="87"/>
      <c r="C18712" s="87"/>
      <c r="D18712" s="87"/>
      <c r="E18712" s="87"/>
      <c r="F18712" s="87"/>
      <c r="G18712" s="87"/>
    </row>
    <row r="18713">
      <c r="A18713" s="86" t="str">
        <f>IFERROR(__xludf.DUMMYFUNCTION("""COMPUTED_VALUE"""),"")</f>
        <v/>
      </c>
      <c r="B18713" s="87"/>
      <c r="C18713" s="87"/>
      <c r="D18713" s="87"/>
      <c r="E18713" s="87"/>
      <c r="F18713" s="87"/>
      <c r="G18713" s="87"/>
    </row>
    <row r="18714">
      <c r="A18714" s="86" t="str">
        <f>IFERROR(__xludf.DUMMYFUNCTION("""COMPUTED_VALUE"""),"")</f>
        <v/>
      </c>
      <c r="B18714" s="87"/>
      <c r="C18714" s="87"/>
      <c r="D18714" s="87"/>
      <c r="E18714" s="87"/>
      <c r="F18714" s="87"/>
      <c r="G18714" s="87"/>
    </row>
    <row r="18715">
      <c r="A18715" s="86" t="str">
        <f>IFERROR(__xludf.DUMMYFUNCTION("""COMPUTED_VALUE"""),"")</f>
        <v/>
      </c>
      <c r="B18715" s="87"/>
      <c r="C18715" s="87"/>
      <c r="D18715" s="87"/>
      <c r="E18715" s="87"/>
      <c r="F18715" s="87"/>
      <c r="G18715" s="87"/>
    </row>
    <row r="18716">
      <c r="A18716" s="86" t="str">
        <f>IFERROR(__xludf.DUMMYFUNCTION("""COMPUTED_VALUE"""),"")</f>
        <v/>
      </c>
      <c r="B18716" s="87"/>
      <c r="C18716" s="87"/>
      <c r="D18716" s="87"/>
      <c r="E18716" s="87"/>
      <c r="F18716" s="87"/>
      <c r="G18716" s="87"/>
    </row>
    <row r="18717">
      <c r="A18717" s="86" t="str">
        <f>IFERROR(__xludf.DUMMYFUNCTION("""COMPUTED_VALUE"""),"")</f>
        <v/>
      </c>
      <c r="B18717" s="87"/>
      <c r="C18717" s="87"/>
      <c r="D18717" s="87"/>
      <c r="E18717" s="87"/>
      <c r="F18717" s="87"/>
      <c r="G18717" s="87"/>
    </row>
    <row r="18718">
      <c r="A18718" s="86" t="str">
        <f>IFERROR(__xludf.DUMMYFUNCTION("""COMPUTED_VALUE"""),"")</f>
        <v/>
      </c>
      <c r="B18718" s="87"/>
      <c r="C18718" s="87"/>
      <c r="D18718" s="87"/>
      <c r="E18718" s="87"/>
      <c r="F18718" s="87"/>
      <c r="G18718" s="87"/>
    </row>
    <row r="18719">
      <c r="A18719" s="86" t="str">
        <f>IFERROR(__xludf.DUMMYFUNCTION("""COMPUTED_VALUE"""),"")</f>
        <v/>
      </c>
      <c r="B18719" s="87"/>
      <c r="C18719" s="87"/>
      <c r="D18719" s="87"/>
      <c r="E18719" s="87"/>
      <c r="F18719" s="87"/>
      <c r="G18719" s="87"/>
    </row>
    <row r="18720">
      <c r="A18720" s="86" t="str">
        <f>IFERROR(__xludf.DUMMYFUNCTION("""COMPUTED_VALUE"""),"")</f>
        <v/>
      </c>
      <c r="B18720" s="87"/>
      <c r="C18720" s="87"/>
      <c r="D18720" s="87"/>
      <c r="E18720" s="87"/>
      <c r="F18720" s="87"/>
      <c r="G18720" s="87"/>
    </row>
    <row r="18721">
      <c r="A18721" s="86" t="str">
        <f>IFERROR(__xludf.DUMMYFUNCTION("""COMPUTED_VALUE"""),"")</f>
        <v/>
      </c>
      <c r="B18721" s="87"/>
      <c r="C18721" s="87"/>
      <c r="D18721" s="87"/>
      <c r="E18721" s="87"/>
      <c r="F18721" s="87"/>
      <c r="G18721" s="87"/>
    </row>
    <row r="18722">
      <c r="A18722" s="86" t="str">
        <f>IFERROR(__xludf.DUMMYFUNCTION("""COMPUTED_VALUE"""),"")</f>
        <v/>
      </c>
      <c r="B18722" s="87"/>
      <c r="C18722" s="87"/>
      <c r="D18722" s="87"/>
      <c r="E18722" s="87"/>
      <c r="F18722" s="87"/>
      <c r="G18722" s="87"/>
    </row>
    <row r="18723">
      <c r="A18723" s="86" t="str">
        <f>IFERROR(__xludf.DUMMYFUNCTION("""COMPUTED_VALUE"""),"")</f>
        <v/>
      </c>
      <c r="B18723" s="87"/>
      <c r="C18723" s="87"/>
      <c r="D18723" s="87"/>
      <c r="E18723" s="87"/>
      <c r="F18723" s="87"/>
      <c r="G18723" s="87"/>
    </row>
    <row r="18724">
      <c r="A18724" s="86" t="str">
        <f>IFERROR(__xludf.DUMMYFUNCTION("""COMPUTED_VALUE"""),"")</f>
        <v/>
      </c>
      <c r="B18724" s="87"/>
      <c r="C18724" s="87"/>
      <c r="D18724" s="87"/>
      <c r="E18724" s="87"/>
      <c r="F18724" s="87"/>
      <c r="G18724" s="87"/>
    </row>
    <row r="18725">
      <c r="A18725" s="86" t="str">
        <f>IFERROR(__xludf.DUMMYFUNCTION("""COMPUTED_VALUE"""),"")</f>
        <v/>
      </c>
      <c r="B18725" s="87"/>
      <c r="C18725" s="87"/>
      <c r="D18725" s="87"/>
      <c r="E18725" s="87"/>
      <c r="F18725" s="87"/>
      <c r="G18725" s="87"/>
    </row>
    <row r="18726">
      <c r="A18726" s="86" t="str">
        <f>IFERROR(__xludf.DUMMYFUNCTION("""COMPUTED_VALUE"""),"")</f>
        <v/>
      </c>
      <c r="B18726" s="87"/>
      <c r="C18726" s="87"/>
      <c r="D18726" s="87"/>
      <c r="E18726" s="87"/>
      <c r="F18726" s="87"/>
      <c r="G18726" s="87"/>
    </row>
    <row r="18727">
      <c r="A18727" s="86" t="str">
        <f>IFERROR(__xludf.DUMMYFUNCTION("""COMPUTED_VALUE"""),"")</f>
        <v/>
      </c>
      <c r="B18727" s="87"/>
      <c r="C18727" s="87"/>
      <c r="D18727" s="87"/>
      <c r="E18727" s="87"/>
      <c r="F18727" s="87"/>
      <c r="G18727" s="87"/>
    </row>
    <row r="18728">
      <c r="A18728" s="86" t="str">
        <f>IFERROR(__xludf.DUMMYFUNCTION("""COMPUTED_VALUE"""),"")</f>
        <v/>
      </c>
      <c r="B18728" s="87"/>
      <c r="C18728" s="87"/>
      <c r="D18728" s="87"/>
      <c r="E18728" s="87"/>
      <c r="F18728" s="87"/>
      <c r="G18728" s="87"/>
    </row>
    <row r="18729">
      <c r="A18729" s="86" t="str">
        <f>IFERROR(__xludf.DUMMYFUNCTION("""COMPUTED_VALUE"""),"")</f>
        <v/>
      </c>
      <c r="B18729" s="87"/>
      <c r="C18729" s="87"/>
      <c r="D18729" s="87"/>
      <c r="E18729" s="87"/>
      <c r="F18729" s="87"/>
      <c r="G18729" s="87"/>
    </row>
    <row r="18730">
      <c r="A18730" s="86" t="str">
        <f>IFERROR(__xludf.DUMMYFUNCTION("""COMPUTED_VALUE"""),"")</f>
        <v/>
      </c>
      <c r="B18730" s="87"/>
      <c r="C18730" s="87"/>
      <c r="D18730" s="87"/>
      <c r="E18730" s="87"/>
      <c r="F18730" s="87"/>
      <c r="G18730" s="87"/>
    </row>
    <row r="18731">
      <c r="A18731" s="86" t="str">
        <f>IFERROR(__xludf.DUMMYFUNCTION("""COMPUTED_VALUE"""),"")</f>
        <v/>
      </c>
      <c r="B18731" s="87"/>
      <c r="C18731" s="87"/>
      <c r="D18731" s="87"/>
      <c r="E18731" s="87"/>
      <c r="F18731" s="87"/>
      <c r="G18731" s="87"/>
    </row>
    <row r="18732">
      <c r="A18732" s="86" t="str">
        <f>IFERROR(__xludf.DUMMYFUNCTION("""COMPUTED_VALUE"""),"")</f>
        <v/>
      </c>
      <c r="B18732" s="87"/>
      <c r="C18732" s="87"/>
      <c r="D18732" s="87"/>
      <c r="E18732" s="87"/>
      <c r="F18732" s="87"/>
      <c r="G18732" s="87"/>
    </row>
    <row r="18733">
      <c r="A18733" s="86" t="str">
        <f>IFERROR(__xludf.DUMMYFUNCTION("""COMPUTED_VALUE"""),"")</f>
        <v/>
      </c>
      <c r="B18733" s="87"/>
      <c r="C18733" s="87"/>
      <c r="D18733" s="87"/>
      <c r="E18733" s="87"/>
      <c r="F18733" s="87"/>
      <c r="G18733" s="87"/>
    </row>
    <row r="18734">
      <c r="A18734" s="86" t="str">
        <f>IFERROR(__xludf.DUMMYFUNCTION("""COMPUTED_VALUE"""),"")</f>
        <v/>
      </c>
      <c r="B18734" s="87"/>
      <c r="C18734" s="87"/>
      <c r="D18734" s="87"/>
      <c r="E18734" s="87"/>
      <c r="F18734" s="87"/>
      <c r="G18734" s="87"/>
    </row>
    <row r="18735">
      <c r="A18735" s="86" t="str">
        <f>IFERROR(__xludf.DUMMYFUNCTION("""COMPUTED_VALUE"""),"")</f>
        <v/>
      </c>
      <c r="B18735" s="87"/>
      <c r="C18735" s="87"/>
      <c r="D18735" s="87"/>
      <c r="E18735" s="87"/>
      <c r="F18735" s="87"/>
      <c r="G18735" s="87"/>
    </row>
    <row r="18736">
      <c r="A18736" s="86" t="str">
        <f>IFERROR(__xludf.DUMMYFUNCTION("""COMPUTED_VALUE"""),"")</f>
        <v/>
      </c>
      <c r="B18736" s="87"/>
      <c r="C18736" s="87"/>
      <c r="D18736" s="87"/>
      <c r="E18736" s="87"/>
      <c r="F18736" s="87"/>
      <c r="G18736" s="87"/>
    </row>
    <row r="18737">
      <c r="A18737" s="86" t="str">
        <f>IFERROR(__xludf.DUMMYFUNCTION("""COMPUTED_VALUE"""),"")</f>
        <v/>
      </c>
      <c r="B18737" s="87"/>
      <c r="C18737" s="87"/>
      <c r="D18737" s="87"/>
      <c r="E18737" s="87"/>
      <c r="F18737" s="87"/>
      <c r="G18737" s="87"/>
    </row>
    <row r="18738">
      <c r="A18738" s="86" t="str">
        <f>IFERROR(__xludf.DUMMYFUNCTION("""COMPUTED_VALUE"""),"")</f>
        <v/>
      </c>
      <c r="B18738" s="87"/>
      <c r="C18738" s="87"/>
      <c r="D18738" s="87"/>
      <c r="E18738" s="87"/>
      <c r="F18738" s="87"/>
      <c r="G18738" s="87"/>
    </row>
    <row r="18739">
      <c r="A18739" s="86" t="str">
        <f>IFERROR(__xludf.DUMMYFUNCTION("""COMPUTED_VALUE"""),"")</f>
        <v/>
      </c>
      <c r="B18739" s="87"/>
      <c r="C18739" s="87"/>
      <c r="D18739" s="87"/>
      <c r="E18739" s="87"/>
      <c r="F18739" s="87"/>
      <c r="G18739" s="87"/>
    </row>
    <row r="18740">
      <c r="A18740" s="86" t="str">
        <f>IFERROR(__xludf.DUMMYFUNCTION("""COMPUTED_VALUE"""),"")</f>
        <v/>
      </c>
      <c r="B18740" s="87"/>
      <c r="C18740" s="87"/>
      <c r="D18740" s="87"/>
      <c r="E18740" s="87"/>
      <c r="F18740" s="87"/>
      <c r="G18740" s="87"/>
    </row>
    <row r="18741">
      <c r="A18741" s="86" t="str">
        <f>IFERROR(__xludf.DUMMYFUNCTION("""COMPUTED_VALUE"""),"")</f>
        <v/>
      </c>
      <c r="B18741" s="87"/>
      <c r="C18741" s="87"/>
      <c r="D18741" s="87"/>
      <c r="E18741" s="87"/>
      <c r="F18741" s="87"/>
      <c r="G18741" s="87"/>
    </row>
    <row r="18742">
      <c r="A18742" s="86" t="str">
        <f>IFERROR(__xludf.DUMMYFUNCTION("""COMPUTED_VALUE"""),"")</f>
        <v/>
      </c>
      <c r="B18742" s="87"/>
      <c r="C18742" s="87"/>
      <c r="D18742" s="87"/>
      <c r="E18742" s="87"/>
      <c r="F18742" s="87"/>
      <c r="G18742" s="87"/>
    </row>
    <row r="18743">
      <c r="A18743" s="86" t="str">
        <f>IFERROR(__xludf.DUMMYFUNCTION("""COMPUTED_VALUE"""),"")</f>
        <v/>
      </c>
      <c r="B18743" s="87"/>
      <c r="C18743" s="87"/>
      <c r="D18743" s="87"/>
      <c r="E18743" s="87"/>
      <c r="F18743" s="87"/>
      <c r="G18743" s="87"/>
    </row>
    <row r="18744">
      <c r="A18744" s="86" t="str">
        <f>IFERROR(__xludf.DUMMYFUNCTION("""COMPUTED_VALUE"""),"")</f>
        <v/>
      </c>
      <c r="B18744" s="87"/>
      <c r="C18744" s="87"/>
      <c r="D18744" s="87"/>
      <c r="E18744" s="87"/>
      <c r="F18744" s="87"/>
      <c r="G18744" s="87"/>
    </row>
    <row r="18745">
      <c r="A18745" s="86" t="str">
        <f>IFERROR(__xludf.DUMMYFUNCTION("""COMPUTED_VALUE"""),"")</f>
        <v/>
      </c>
      <c r="B18745" s="87"/>
      <c r="C18745" s="87"/>
      <c r="D18745" s="87"/>
      <c r="E18745" s="87"/>
      <c r="F18745" s="87"/>
      <c r="G18745" s="87"/>
    </row>
    <row r="18746">
      <c r="A18746" s="86" t="str">
        <f>IFERROR(__xludf.DUMMYFUNCTION("""COMPUTED_VALUE"""),"")</f>
        <v/>
      </c>
      <c r="B18746" s="87"/>
      <c r="C18746" s="87"/>
      <c r="D18746" s="87"/>
      <c r="E18746" s="87"/>
      <c r="F18746" s="87"/>
      <c r="G18746" s="87"/>
    </row>
    <row r="18747">
      <c r="A18747" s="86" t="str">
        <f>IFERROR(__xludf.DUMMYFUNCTION("""COMPUTED_VALUE"""),"")</f>
        <v/>
      </c>
      <c r="B18747" s="87"/>
      <c r="C18747" s="87"/>
      <c r="D18747" s="87"/>
      <c r="E18747" s="87"/>
      <c r="F18747" s="87"/>
      <c r="G18747" s="87"/>
    </row>
    <row r="18748">
      <c r="A18748" s="86" t="str">
        <f>IFERROR(__xludf.DUMMYFUNCTION("""COMPUTED_VALUE"""),"")</f>
        <v/>
      </c>
      <c r="B18748" s="87"/>
      <c r="C18748" s="87"/>
      <c r="D18748" s="87"/>
      <c r="E18748" s="87"/>
      <c r="F18748" s="87"/>
      <c r="G18748" s="87"/>
    </row>
    <row r="18749">
      <c r="A18749" s="86" t="str">
        <f>IFERROR(__xludf.DUMMYFUNCTION("""COMPUTED_VALUE"""),"")</f>
        <v/>
      </c>
      <c r="B18749" s="87"/>
      <c r="C18749" s="87"/>
      <c r="D18749" s="87"/>
      <c r="E18749" s="87"/>
      <c r="F18749" s="87"/>
      <c r="G18749" s="87"/>
    </row>
    <row r="18750">
      <c r="A18750" s="86" t="str">
        <f>IFERROR(__xludf.DUMMYFUNCTION("""COMPUTED_VALUE"""),"")</f>
        <v/>
      </c>
      <c r="B18750" s="87"/>
      <c r="C18750" s="87"/>
      <c r="D18750" s="87"/>
      <c r="E18750" s="87"/>
      <c r="F18750" s="87"/>
      <c r="G18750" s="87"/>
    </row>
    <row r="18751">
      <c r="A18751" s="86" t="str">
        <f>IFERROR(__xludf.DUMMYFUNCTION("""COMPUTED_VALUE"""),"")</f>
        <v/>
      </c>
      <c r="B18751" s="87"/>
      <c r="C18751" s="87"/>
      <c r="D18751" s="87"/>
      <c r="E18751" s="87"/>
      <c r="F18751" s="87"/>
      <c r="G18751" s="87"/>
    </row>
    <row r="18752">
      <c r="A18752" s="86" t="str">
        <f>IFERROR(__xludf.DUMMYFUNCTION("""COMPUTED_VALUE"""),"")</f>
        <v/>
      </c>
      <c r="B18752" s="87"/>
      <c r="C18752" s="87"/>
      <c r="D18752" s="87"/>
      <c r="E18752" s="87"/>
      <c r="F18752" s="87"/>
      <c r="G18752" s="87"/>
    </row>
    <row r="18753">
      <c r="A18753" s="86" t="str">
        <f>IFERROR(__xludf.DUMMYFUNCTION("""COMPUTED_VALUE"""),"")</f>
        <v/>
      </c>
      <c r="B18753" s="87"/>
      <c r="C18753" s="87"/>
      <c r="D18753" s="87"/>
      <c r="E18753" s="87"/>
      <c r="F18753" s="87"/>
      <c r="G18753" s="87"/>
    </row>
    <row r="18754">
      <c r="A18754" s="86" t="str">
        <f>IFERROR(__xludf.DUMMYFUNCTION("""COMPUTED_VALUE"""),"")</f>
        <v/>
      </c>
      <c r="B18754" s="87"/>
      <c r="C18754" s="87"/>
      <c r="D18754" s="87"/>
      <c r="E18754" s="87"/>
      <c r="F18754" s="87"/>
      <c r="G18754" s="87"/>
    </row>
    <row r="18755">
      <c r="A18755" s="86" t="str">
        <f>IFERROR(__xludf.DUMMYFUNCTION("""COMPUTED_VALUE"""),"")</f>
        <v/>
      </c>
      <c r="B18755" s="87"/>
      <c r="C18755" s="87"/>
      <c r="D18755" s="87"/>
      <c r="E18755" s="87"/>
      <c r="F18755" s="87"/>
      <c r="G18755" s="87"/>
    </row>
    <row r="18756">
      <c r="A18756" s="86" t="str">
        <f>IFERROR(__xludf.DUMMYFUNCTION("""COMPUTED_VALUE"""),"")</f>
        <v/>
      </c>
      <c r="B18756" s="87"/>
      <c r="C18756" s="87"/>
      <c r="D18756" s="87"/>
      <c r="E18756" s="87"/>
      <c r="F18756" s="87"/>
      <c r="G18756" s="87"/>
    </row>
    <row r="18757">
      <c r="A18757" s="86" t="str">
        <f>IFERROR(__xludf.DUMMYFUNCTION("""COMPUTED_VALUE"""),"")</f>
        <v/>
      </c>
      <c r="B18757" s="87"/>
      <c r="C18757" s="87"/>
      <c r="D18757" s="87"/>
      <c r="E18757" s="87"/>
      <c r="F18757" s="87"/>
      <c r="G18757" s="87"/>
    </row>
    <row r="18758">
      <c r="A18758" s="86" t="str">
        <f>IFERROR(__xludf.DUMMYFUNCTION("""COMPUTED_VALUE"""),"")</f>
        <v/>
      </c>
      <c r="B18758" s="87"/>
      <c r="C18758" s="87"/>
      <c r="D18758" s="87"/>
      <c r="E18758" s="87"/>
      <c r="F18758" s="87"/>
      <c r="G18758" s="87"/>
    </row>
    <row r="18759">
      <c r="A18759" s="86" t="str">
        <f>IFERROR(__xludf.DUMMYFUNCTION("""COMPUTED_VALUE"""),"")</f>
        <v/>
      </c>
      <c r="B18759" s="87"/>
      <c r="C18759" s="87"/>
      <c r="D18759" s="87"/>
      <c r="E18759" s="87"/>
      <c r="F18759" s="87"/>
      <c r="G18759" s="87"/>
    </row>
    <row r="18760">
      <c r="A18760" s="86" t="str">
        <f>IFERROR(__xludf.DUMMYFUNCTION("""COMPUTED_VALUE"""),"")</f>
        <v/>
      </c>
      <c r="B18760" s="87"/>
      <c r="C18760" s="87"/>
      <c r="D18760" s="87"/>
      <c r="E18760" s="87"/>
      <c r="F18760" s="87"/>
      <c r="G18760" s="87"/>
    </row>
    <row r="18761">
      <c r="A18761" s="86" t="str">
        <f>IFERROR(__xludf.DUMMYFUNCTION("""COMPUTED_VALUE"""),"")</f>
        <v/>
      </c>
      <c r="B18761" s="87"/>
      <c r="C18761" s="87"/>
      <c r="D18761" s="87"/>
      <c r="E18761" s="87"/>
      <c r="F18761" s="87"/>
      <c r="G18761" s="87"/>
    </row>
    <row r="18762">
      <c r="A18762" s="86" t="str">
        <f>IFERROR(__xludf.DUMMYFUNCTION("""COMPUTED_VALUE"""),"")</f>
        <v/>
      </c>
      <c r="B18762" s="87"/>
      <c r="C18762" s="87"/>
      <c r="D18762" s="87"/>
      <c r="E18762" s="87"/>
      <c r="F18762" s="87"/>
      <c r="G18762" s="87"/>
    </row>
    <row r="18763">
      <c r="A18763" s="86" t="str">
        <f>IFERROR(__xludf.DUMMYFUNCTION("""COMPUTED_VALUE"""),"")</f>
        <v/>
      </c>
      <c r="B18763" s="87"/>
      <c r="C18763" s="87"/>
      <c r="D18763" s="87"/>
      <c r="E18763" s="87"/>
      <c r="F18763" s="87"/>
      <c r="G18763" s="87"/>
    </row>
    <row r="18764">
      <c r="A18764" s="86" t="str">
        <f>IFERROR(__xludf.DUMMYFUNCTION("""COMPUTED_VALUE"""),"")</f>
        <v/>
      </c>
      <c r="B18764" s="87"/>
      <c r="C18764" s="87"/>
      <c r="D18764" s="87"/>
      <c r="E18764" s="87"/>
      <c r="F18764" s="87"/>
      <c r="G18764" s="87"/>
    </row>
    <row r="18765">
      <c r="A18765" s="86" t="str">
        <f>IFERROR(__xludf.DUMMYFUNCTION("""COMPUTED_VALUE"""),"")</f>
        <v/>
      </c>
      <c r="B18765" s="87"/>
      <c r="C18765" s="87"/>
      <c r="D18765" s="87"/>
      <c r="E18765" s="87"/>
      <c r="F18765" s="87"/>
      <c r="G18765" s="87"/>
    </row>
    <row r="18766">
      <c r="A18766" s="86" t="str">
        <f>IFERROR(__xludf.DUMMYFUNCTION("""COMPUTED_VALUE"""),"")</f>
        <v/>
      </c>
      <c r="B18766" s="87"/>
      <c r="C18766" s="87"/>
      <c r="D18766" s="87"/>
      <c r="E18766" s="87"/>
      <c r="F18766" s="87"/>
      <c r="G18766" s="87"/>
    </row>
    <row r="18767">
      <c r="A18767" s="86" t="str">
        <f>IFERROR(__xludf.DUMMYFUNCTION("""COMPUTED_VALUE"""),"")</f>
        <v/>
      </c>
      <c r="B18767" s="87"/>
      <c r="C18767" s="87"/>
      <c r="D18767" s="87"/>
      <c r="E18767" s="87"/>
      <c r="F18767" s="87"/>
      <c r="G18767" s="87"/>
    </row>
    <row r="18768">
      <c r="A18768" s="86" t="str">
        <f>IFERROR(__xludf.DUMMYFUNCTION("""COMPUTED_VALUE"""),"")</f>
        <v/>
      </c>
      <c r="B18768" s="87"/>
      <c r="C18768" s="87"/>
      <c r="D18768" s="87"/>
      <c r="E18768" s="87"/>
      <c r="F18768" s="87"/>
      <c r="G18768" s="87"/>
    </row>
    <row r="18769">
      <c r="A18769" s="86" t="str">
        <f>IFERROR(__xludf.DUMMYFUNCTION("""COMPUTED_VALUE"""),"")</f>
        <v/>
      </c>
      <c r="B18769" s="87"/>
      <c r="C18769" s="87"/>
      <c r="D18769" s="87"/>
      <c r="E18769" s="87"/>
      <c r="F18769" s="87"/>
      <c r="G18769" s="87"/>
    </row>
    <row r="18770">
      <c r="A18770" s="86" t="str">
        <f>IFERROR(__xludf.DUMMYFUNCTION("""COMPUTED_VALUE"""),"")</f>
        <v/>
      </c>
      <c r="B18770" s="87"/>
      <c r="C18770" s="87"/>
      <c r="D18770" s="87"/>
      <c r="E18770" s="87"/>
      <c r="F18770" s="87"/>
      <c r="G18770" s="87"/>
    </row>
    <row r="18771">
      <c r="A18771" s="86" t="str">
        <f>IFERROR(__xludf.DUMMYFUNCTION("""COMPUTED_VALUE"""),"")</f>
        <v/>
      </c>
      <c r="B18771" s="87"/>
      <c r="C18771" s="87"/>
      <c r="D18771" s="87"/>
      <c r="E18771" s="87"/>
      <c r="F18771" s="87"/>
      <c r="G18771" s="87"/>
    </row>
    <row r="18772">
      <c r="A18772" s="86" t="str">
        <f>IFERROR(__xludf.DUMMYFUNCTION("""COMPUTED_VALUE"""),"")</f>
        <v/>
      </c>
      <c r="B18772" s="87"/>
      <c r="C18772" s="87"/>
      <c r="D18772" s="87"/>
      <c r="E18772" s="87"/>
      <c r="F18772" s="87"/>
      <c r="G18772" s="87"/>
    </row>
    <row r="18773">
      <c r="A18773" s="86" t="str">
        <f>IFERROR(__xludf.DUMMYFUNCTION("""COMPUTED_VALUE"""),"")</f>
        <v/>
      </c>
      <c r="B18773" s="87"/>
      <c r="C18773" s="87"/>
      <c r="D18773" s="87"/>
      <c r="E18773" s="87"/>
      <c r="F18773" s="87"/>
      <c r="G18773" s="87"/>
    </row>
    <row r="18774">
      <c r="A18774" s="86" t="str">
        <f>IFERROR(__xludf.DUMMYFUNCTION("""COMPUTED_VALUE"""),"")</f>
        <v/>
      </c>
      <c r="B18774" s="87"/>
      <c r="C18774" s="87"/>
      <c r="D18774" s="87"/>
      <c r="E18774" s="87"/>
      <c r="F18774" s="87"/>
      <c r="G18774" s="87"/>
    </row>
    <row r="18775">
      <c r="A18775" s="86" t="str">
        <f>IFERROR(__xludf.DUMMYFUNCTION("""COMPUTED_VALUE"""),"")</f>
        <v/>
      </c>
      <c r="B18775" s="87"/>
      <c r="C18775" s="87"/>
      <c r="D18775" s="87"/>
      <c r="E18775" s="87"/>
      <c r="F18775" s="87"/>
      <c r="G18775" s="87"/>
    </row>
    <row r="18776">
      <c r="A18776" s="86" t="str">
        <f>IFERROR(__xludf.DUMMYFUNCTION("""COMPUTED_VALUE"""),"")</f>
        <v/>
      </c>
      <c r="B18776" s="87"/>
      <c r="C18776" s="87"/>
      <c r="D18776" s="87"/>
      <c r="E18776" s="87"/>
      <c r="F18776" s="87"/>
      <c r="G18776" s="87"/>
    </row>
    <row r="18777">
      <c r="A18777" s="86" t="str">
        <f>IFERROR(__xludf.DUMMYFUNCTION("""COMPUTED_VALUE"""),"")</f>
        <v/>
      </c>
      <c r="B18777" s="87"/>
      <c r="C18777" s="87"/>
      <c r="D18777" s="87"/>
      <c r="E18777" s="87"/>
      <c r="F18777" s="87"/>
      <c r="G18777" s="87"/>
    </row>
    <row r="18778">
      <c r="A18778" s="86" t="str">
        <f>IFERROR(__xludf.DUMMYFUNCTION("""COMPUTED_VALUE"""),"")</f>
        <v/>
      </c>
      <c r="B18778" s="87"/>
      <c r="C18778" s="87"/>
      <c r="D18778" s="87"/>
      <c r="E18778" s="87"/>
      <c r="F18778" s="87"/>
      <c r="G18778" s="87"/>
    </row>
    <row r="18779">
      <c r="A18779" s="86" t="str">
        <f>IFERROR(__xludf.DUMMYFUNCTION("""COMPUTED_VALUE"""),"")</f>
        <v/>
      </c>
      <c r="B18779" s="87"/>
      <c r="C18779" s="87"/>
      <c r="D18779" s="87"/>
      <c r="E18779" s="87"/>
      <c r="F18779" s="87"/>
      <c r="G18779" s="87"/>
    </row>
    <row r="18780">
      <c r="A18780" s="86" t="str">
        <f>IFERROR(__xludf.DUMMYFUNCTION("""COMPUTED_VALUE"""),"")</f>
        <v/>
      </c>
      <c r="B18780" s="87"/>
      <c r="C18780" s="87"/>
      <c r="D18780" s="87"/>
      <c r="E18780" s="87"/>
      <c r="F18780" s="87"/>
      <c r="G18780" s="87"/>
    </row>
    <row r="18781">
      <c r="A18781" s="86" t="str">
        <f>IFERROR(__xludf.DUMMYFUNCTION("""COMPUTED_VALUE"""),"")</f>
        <v/>
      </c>
      <c r="B18781" s="87"/>
      <c r="C18781" s="87"/>
      <c r="D18781" s="87"/>
      <c r="E18781" s="87"/>
      <c r="F18781" s="87"/>
      <c r="G18781" s="87"/>
    </row>
    <row r="18782">
      <c r="A18782" s="86" t="str">
        <f>IFERROR(__xludf.DUMMYFUNCTION("""COMPUTED_VALUE"""),"")</f>
        <v/>
      </c>
      <c r="B18782" s="87"/>
      <c r="C18782" s="87"/>
      <c r="D18782" s="87"/>
      <c r="E18782" s="87"/>
      <c r="F18782" s="87"/>
      <c r="G18782" s="87"/>
    </row>
    <row r="18783">
      <c r="A18783" s="86" t="str">
        <f>IFERROR(__xludf.DUMMYFUNCTION("""COMPUTED_VALUE"""),"")</f>
        <v/>
      </c>
      <c r="B18783" s="87"/>
      <c r="C18783" s="87"/>
      <c r="D18783" s="87"/>
      <c r="E18783" s="87"/>
      <c r="F18783" s="87"/>
      <c r="G18783" s="87"/>
    </row>
    <row r="18784">
      <c r="A18784" s="86" t="str">
        <f>IFERROR(__xludf.DUMMYFUNCTION("""COMPUTED_VALUE"""),"")</f>
        <v/>
      </c>
      <c r="B18784" s="87"/>
      <c r="C18784" s="87"/>
      <c r="D18784" s="87"/>
      <c r="E18784" s="87"/>
      <c r="F18784" s="87"/>
      <c r="G18784" s="87"/>
    </row>
    <row r="18785">
      <c r="A18785" s="86" t="str">
        <f>IFERROR(__xludf.DUMMYFUNCTION("""COMPUTED_VALUE"""),"")</f>
        <v/>
      </c>
      <c r="B18785" s="87"/>
      <c r="C18785" s="87"/>
      <c r="D18785" s="87"/>
      <c r="E18785" s="87"/>
      <c r="F18785" s="87"/>
      <c r="G18785" s="87"/>
    </row>
    <row r="18786">
      <c r="A18786" s="86" t="str">
        <f>IFERROR(__xludf.DUMMYFUNCTION("""COMPUTED_VALUE"""),"")</f>
        <v/>
      </c>
      <c r="B18786" s="87"/>
      <c r="C18786" s="87"/>
      <c r="D18786" s="87"/>
      <c r="E18786" s="87"/>
      <c r="F18786" s="87"/>
      <c r="G18786" s="87"/>
    </row>
    <row r="18787">
      <c r="A18787" s="86" t="str">
        <f>IFERROR(__xludf.DUMMYFUNCTION("""COMPUTED_VALUE"""),"")</f>
        <v/>
      </c>
      <c r="B18787" s="87"/>
      <c r="C18787" s="87"/>
      <c r="D18787" s="87"/>
      <c r="E18787" s="87"/>
      <c r="F18787" s="87"/>
      <c r="G18787" s="87"/>
    </row>
    <row r="18788">
      <c r="A18788" s="86" t="str">
        <f>IFERROR(__xludf.DUMMYFUNCTION("""COMPUTED_VALUE"""),"")</f>
        <v/>
      </c>
      <c r="B18788" s="87"/>
      <c r="C18788" s="87"/>
      <c r="D18788" s="87"/>
      <c r="E18788" s="87"/>
      <c r="F18788" s="87"/>
      <c r="G18788" s="87"/>
    </row>
    <row r="18789">
      <c r="A18789" s="86" t="str">
        <f>IFERROR(__xludf.DUMMYFUNCTION("""COMPUTED_VALUE"""),"")</f>
        <v/>
      </c>
      <c r="B18789" s="87"/>
      <c r="C18789" s="87"/>
      <c r="D18789" s="87"/>
      <c r="E18789" s="87"/>
      <c r="F18789" s="87"/>
      <c r="G18789" s="87"/>
    </row>
    <row r="18790">
      <c r="A18790" s="86" t="str">
        <f>IFERROR(__xludf.DUMMYFUNCTION("""COMPUTED_VALUE"""),"")</f>
        <v/>
      </c>
      <c r="B18790" s="87"/>
      <c r="C18790" s="87"/>
      <c r="D18790" s="87"/>
      <c r="E18790" s="87"/>
      <c r="F18790" s="87"/>
      <c r="G18790" s="87"/>
    </row>
    <row r="18791">
      <c r="A18791" s="86" t="str">
        <f>IFERROR(__xludf.DUMMYFUNCTION("""COMPUTED_VALUE"""),"")</f>
        <v/>
      </c>
      <c r="B18791" s="87"/>
      <c r="C18791" s="87"/>
      <c r="D18791" s="87"/>
      <c r="E18791" s="87"/>
      <c r="F18791" s="87"/>
      <c r="G18791" s="87"/>
    </row>
    <row r="18792">
      <c r="A18792" s="86" t="str">
        <f>IFERROR(__xludf.DUMMYFUNCTION("""COMPUTED_VALUE"""),"")</f>
        <v/>
      </c>
      <c r="B18792" s="87"/>
      <c r="C18792" s="87"/>
      <c r="D18792" s="87"/>
      <c r="E18792" s="87"/>
      <c r="F18792" s="87"/>
      <c r="G18792" s="87"/>
    </row>
    <row r="18793">
      <c r="A18793" s="86" t="str">
        <f>IFERROR(__xludf.DUMMYFUNCTION("""COMPUTED_VALUE"""),"")</f>
        <v/>
      </c>
      <c r="B18793" s="87"/>
      <c r="C18793" s="87"/>
      <c r="D18793" s="87"/>
      <c r="E18793" s="87"/>
      <c r="F18793" s="87"/>
      <c r="G18793" s="87"/>
    </row>
    <row r="18794">
      <c r="A18794" s="86" t="str">
        <f>IFERROR(__xludf.DUMMYFUNCTION("""COMPUTED_VALUE"""),"")</f>
        <v/>
      </c>
      <c r="B18794" s="87"/>
      <c r="C18794" s="87"/>
      <c r="D18794" s="87"/>
      <c r="E18794" s="87"/>
      <c r="F18794" s="87"/>
      <c r="G18794" s="87"/>
    </row>
    <row r="18795">
      <c r="A18795" s="86" t="str">
        <f>IFERROR(__xludf.DUMMYFUNCTION("""COMPUTED_VALUE"""),"")</f>
        <v/>
      </c>
      <c r="B18795" s="87"/>
      <c r="C18795" s="87"/>
      <c r="D18795" s="87"/>
      <c r="E18795" s="87"/>
      <c r="F18795" s="87"/>
      <c r="G18795" s="87"/>
    </row>
    <row r="18796">
      <c r="A18796" s="86" t="str">
        <f>IFERROR(__xludf.DUMMYFUNCTION("""COMPUTED_VALUE"""),"")</f>
        <v/>
      </c>
      <c r="B18796" s="87"/>
      <c r="C18796" s="87"/>
      <c r="D18796" s="87"/>
      <c r="E18796" s="87"/>
      <c r="F18796" s="87"/>
      <c r="G18796" s="87"/>
    </row>
    <row r="18797">
      <c r="A18797" s="86" t="str">
        <f>IFERROR(__xludf.DUMMYFUNCTION("""COMPUTED_VALUE"""),"")</f>
        <v/>
      </c>
      <c r="B18797" s="87"/>
      <c r="C18797" s="87"/>
      <c r="D18797" s="87"/>
      <c r="E18797" s="87"/>
      <c r="F18797" s="87"/>
      <c r="G18797" s="87"/>
    </row>
    <row r="18798">
      <c r="A18798" s="86" t="str">
        <f>IFERROR(__xludf.DUMMYFUNCTION("""COMPUTED_VALUE"""),"")</f>
        <v/>
      </c>
      <c r="B18798" s="87"/>
      <c r="C18798" s="87"/>
      <c r="D18798" s="87"/>
      <c r="E18798" s="87"/>
      <c r="F18798" s="87"/>
      <c r="G18798" s="87"/>
    </row>
    <row r="18799">
      <c r="A18799" s="86" t="str">
        <f>IFERROR(__xludf.DUMMYFUNCTION("""COMPUTED_VALUE"""),"")</f>
        <v/>
      </c>
      <c r="B18799" s="87"/>
      <c r="C18799" s="87"/>
      <c r="D18799" s="87"/>
      <c r="E18799" s="87"/>
      <c r="F18799" s="87"/>
      <c r="G18799" s="87"/>
    </row>
    <row r="18800">
      <c r="A18800" s="86" t="str">
        <f>IFERROR(__xludf.DUMMYFUNCTION("""COMPUTED_VALUE"""),"")</f>
        <v/>
      </c>
      <c r="B18800" s="87"/>
      <c r="C18800" s="87"/>
      <c r="D18800" s="87"/>
      <c r="E18800" s="87"/>
      <c r="F18800" s="87"/>
      <c r="G18800" s="87"/>
    </row>
    <row r="18801">
      <c r="A18801" s="86" t="str">
        <f>IFERROR(__xludf.DUMMYFUNCTION("""COMPUTED_VALUE"""),"")</f>
        <v/>
      </c>
      <c r="B18801" s="87"/>
      <c r="C18801" s="87"/>
      <c r="D18801" s="87"/>
      <c r="E18801" s="87"/>
      <c r="F18801" s="87"/>
      <c r="G18801" s="87"/>
    </row>
    <row r="18802">
      <c r="A18802" s="86" t="str">
        <f>IFERROR(__xludf.DUMMYFUNCTION("""COMPUTED_VALUE"""),"")</f>
        <v/>
      </c>
      <c r="B18802" s="87"/>
      <c r="C18802" s="87"/>
      <c r="D18802" s="87"/>
      <c r="E18802" s="87"/>
      <c r="F18802" s="87"/>
      <c r="G18802" s="87"/>
    </row>
    <row r="18803">
      <c r="A18803" s="86" t="str">
        <f>IFERROR(__xludf.DUMMYFUNCTION("""COMPUTED_VALUE"""),"")</f>
        <v/>
      </c>
      <c r="B18803" s="87"/>
      <c r="C18803" s="87"/>
      <c r="D18803" s="87"/>
      <c r="E18803" s="87"/>
      <c r="F18803" s="87"/>
      <c r="G18803" s="87"/>
    </row>
    <row r="18804">
      <c r="A18804" s="86" t="str">
        <f>IFERROR(__xludf.DUMMYFUNCTION("""COMPUTED_VALUE"""),"")</f>
        <v/>
      </c>
      <c r="B18804" s="87"/>
      <c r="C18804" s="87"/>
      <c r="D18804" s="87"/>
      <c r="E18804" s="87"/>
      <c r="F18804" s="87"/>
      <c r="G18804" s="87"/>
    </row>
    <row r="18805">
      <c r="A18805" s="86" t="str">
        <f>IFERROR(__xludf.DUMMYFUNCTION("""COMPUTED_VALUE"""),"")</f>
        <v/>
      </c>
      <c r="B18805" s="87"/>
      <c r="C18805" s="87"/>
      <c r="D18805" s="87"/>
      <c r="E18805" s="87"/>
      <c r="F18805" s="87"/>
      <c r="G18805" s="87"/>
    </row>
    <row r="18806">
      <c r="A18806" s="86" t="str">
        <f>IFERROR(__xludf.DUMMYFUNCTION("""COMPUTED_VALUE"""),"")</f>
        <v/>
      </c>
      <c r="B18806" s="87"/>
      <c r="C18806" s="87"/>
      <c r="D18806" s="87"/>
      <c r="E18806" s="87"/>
      <c r="F18806" s="87"/>
      <c r="G18806" s="87"/>
    </row>
    <row r="18807">
      <c r="A18807" s="86" t="str">
        <f>IFERROR(__xludf.DUMMYFUNCTION("""COMPUTED_VALUE"""),"")</f>
        <v/>
      </c>
      <c r="B18807" s="87"/>
      <c r="C18807" s="87"/>
      <c r="D18807" s="87"/>
      <c r="E18807" s="87"/>
      <c r="F18807" s="87"/>
      <c r="G18807" s="87"/>
    </row>
    <row r="18808">
      <c r="A18808" s="86" t="str">
        <f>IFERROR(__xludf.DUMMYFUNCTION("""COMPUTED_VALUE"""),"")</f>
        <v/>
      </c>
      <c r="B18808" s="87"/>
      <c r="C18808" s="87"/>
      <c r="D18808" s="87"/>
      <c r="E18808" s="87"/>
      <c r="F18808" s="87"/>
      <c r="G18808" s="87"/>
    </row>
    <row r="18809">
      <c r="A18809" s="86" t="str">
        <f>IFERROR(__xludf.DUMMYFUNCTION("""COMPUTED_VALUE"""),"")</f>
        <v/>
      </c>
      <c r="B18809" s="87"/>
      <c r="C18809" s="87"/>
      <c r="D18809" s="87"/>
      <c r="E18809" s="87"/>
      <c r="F18809" s="87"/>
      <c r="G18809" s="87"/>
    </row>
    <row r="18810">
      <c r="A18810" s="86" t="str">
        <f>IFERROR(__xludf.DUMMYFUNCTION("""COMPUTED_VALUE"""),"")</f>
        <v/>
      </c>
      <c r="B18810" s="87"/>
      <c r="C18810" s="87"/>
      <c r="D18810" s="87"/>
      <c r="E18810" s="87"/>
      <c r="F18810" s="87"/>
      <c r="G18810" s="87"/>
    </row>
    <row r="18811">
      <c r="A18811" s="86" t="str">
        <f>IFERROR(__xludf.DUMMYFUNCTION("""COMPUTED_VALUE"""),"")</f>
        <v/>
      </c>
      <c r="B18811" s="87"/>
      <c r="C18811" s="87"/>
      <c r="D18811" s="87"/>
      <c r="E18811" s="87"/>
      <c r="F18811" s="87"/>
      <c r="G18811" s="87"/>
    </row>
    <row r="18812">
      <c r="A18812" s="86" t="str">
        <f>IFERROR(__xludf.DUMMYFUNCTION("""COMPUTED_VALUE"""),"")</f>
        <v/>
      </c>
      <c r="B18812" s="87"/>
      <c r="C18812" s="87"/>
      <c r="D18812" s="87"/>
      <c r="E18812" s="87"/>
      <c r="F18812" s="87"/>
      <c r="G18812" s="87"/>
    </row>
    <row r="18813">
      <c r="A18813" s="86" t="str">
        <f>IFERROR(__xludf.DUMMYFUNCTION("""COMPUTED_VALUE"""),"")</f>
        <v/>
      </c>
      <c r="B18813" s="87"/>
      <c r="C18813" s="87"/>
      <c r="D18813" s="87"/>
      <c r="E18813" s="87"/>
      <c r="F18813" s="87"/>
      <c r="G18813" s="87"/>
    </row>
    <row r="18814">
      <c r="A18814" s="86" t="str">
        <f>IFERROR(__xludf.DUMMYFUNCTION("""COMPUTED_VALUE"""),"")</f>
        <v/>
      </c>
      <c r="B18814" s="87"/>
      <c r="C18814" s="87"/>
      <c r="D18814" s="87"/>
      <c r="E18814" s="87"/>
      <c r="F18814" s="87"/>
      <c r="G18814" s="87"/>
    </row>
    <row r="18815">
      <c r="A18815" s="86" t="str">
        <f>IFERROR(__xludf.DUMMYFUNCTION("""COMPUTED_VALUE"""),"")</f>
        <v/>
      </c>
      <c r="B18815" s="87"/>
      <c r="C18815" s="87"/>
      <c r="D18815" s="87"/>
      <c r="E18815" s="87"/>
      <c r="F18815" s="87"/>
      <c r="G18815" s="87"/>
    </row>
    <row r="18816">
      <c r="A18816" s="86" t="str">
        <f>IFERROR(__xludf.DUMMYFUNCTION("""COMPUTED_VALUE"""),"")</f>
        <v/>
      </c>
      <c r="B18816" s="87"/>
      <c r="C18816" s="87"/>
      <c r="D18816" s="87"/>
      <c r="E18816" s="87"/>
      <c r="F18816" s="87"/>
      <c r="G18816" s="87"/>
    </row>
    <row r="18817">
      <c r="A18817" s="86" t="str">
        <f>IFERROR(__xludf.DUMMYFUNCTION("""COMPUTED_VALUE"""),"")</f>
        <v/>
      </c>
      <c r="B18817" s="87"/>
      <c r="C18817" s="87"/>
      <c r="D18817" s="87"/>
      <c r="E18817" s="87"/>
      <c r="F18817" s="87"/>
      <c r="G18817" s="87"/>
    </row>
    <row r="18818">
      <c r="A18818" s="86" t="str">
        <f>IFERROR(__xludf.DUMMYFUNCTION("""COMPUTED_VALUE"""),"")</f>
        <v/>
      </c>
      <c r="B18818" s="87"/>
      <c r="C18818" s="87"/>
      <c r="D18818" s="87"/>
      <c r="E18818" s="87"/>
      <c r="F18818" s="87"/>
      <c r="G18818" s="87"/>
    </row>
    <row r="18819">
      <c r="A18819" s="86" t="str">
        <f>IFERROR(__xludf.DUMMYFUNCTION("""COMPUTED_VALUE"""),"")</f>
        <v/>
      </c>
      <c r="B18819" s="87"/>
      <c r="C18819" s="87"/>
      <c r="D18819" s="87"/>
      <c r="E18819" s="87"/>
      <c r="F18819" s="87"/>
      <c r="G18819" s="87"/>
    </row>
    <row r="18820">
      <c r="A18820" s="86" t="str">
        <f>IFERROR(__xludf.DUMMYFUNCTION("""COMPUTED_VALUE"""),"")</f>
        <v/>
      </c>
      <c r="B18820" s="87"/>
      <c r="C18820" s="87"/>
      <c r="D18820" s="87"/>
      <c r="E18820" s="87"/>
      <c r="F18820" s="87"/>
      <c r="G18820" s="87"/>
    </row>
    <row r="18821">
      <c r="A18821" s="86" t="str">
        <f>IFERROR(__xludf.DUMMYFUNCTION("""COMPUTED_VALUE"""),"")</f>
        <v/>
      </c>
      <c r="B18821" s="87"/>
      <c r="C18821" s="87"/>
      <c r="D18821" s="87"/>
      <c r="E18821" s="87"/>
      <c r="F18821" s="87"/>
      <c r="G18821" s="87"/>
    </row>
    <row r="18822">
      <c r="A18822" s="86" t="str">
        <f>IFERROR(__xludf.DUMMYFUNCTION("""COMPUTED_VALUE"""),"")</f>
        <v/>
      </c>
      <c r="B18822" s="87"/>
      <c r="C18822" s="87"/>
      <c r="D18822" s="87"/>
      <c r="E18822" s="87"/>
      <c r="F18822" s="87"/>
      <c r="G18822" s="87"/>
    </row>
    <row r="18823">
      <c r="A18823" s="86" t="str">
        <f>IFERROR(__xludf.DUMMYFUNCTION("""COMPUTED_VALUE"""),"")</f>
        <v/>
      </c>
      <c r="B18823" s="87"/>
      <c r="C18823" s="87"/>
      <c r="D18823" s="87"/>
      <c r="E18823" s="87"/>
      <c r="F18823" s="87"/>
      <c r="G18823" s="87"/>
    </row>
    <row r="18824">
      <c r="A18824" s="86" t="str">
        <f>IFERROR(__xludf.DUMMYFUNCTION("""COMPUTED_VALUE"""),"")</f>
        <v/>
      </c>
      <c r="B18824" s="87"/>
      <c r="C18824" s="87"/>
      <c r="D18824" s="87"/>
      <c r="E18824" s="87"/>
      <c r="F18824" s="87"/>
      <c r="G18824" s="87"/>
    </row>
    <row r="18825">
      <c r="A18825" s="86" t="str">
        <f>IFERROR(__xludf.DUMMYFUNCTION("""COMPUTED_VALUE"""),"")</f>
        <v/>
      </c>
      <c r="B18825" s="87"/>
      <c r="C18825" s="87"/>
      <c r="D18825" s="87"/>
      <c r="E18825" s="87"/>
      <c r="F18825" s="87"/>
      <c r="G18825" s="87"/>
    </row>
    <row r="18826">
      <c r="A18826" s="86" t="str">
        <f>IFERROR(__xludf.DUMMYFUNCTION("""COMPUTED_VALUE"""),"")</f>
        <v/>
      </c>
      <c r="B18826" s="87"/>
      <c r="C18826" s="87"/>
      <c r="D18826" s="87"/>
      <c r="E18826" s="87"/>
      <c r="F18826" s="87"/>
      <c r="G18826" s="87"/>
    </row>
    <row r="18827">
      <c r="A18827" s="86" t="str">
        <f>IFERROR(__xludf.DUMMYFUNCTION("""COMPUTED_VALUE"""),"")</f>
        <v/>
      </c>
      <c r="B18827" s="87"/>
      <c r="C18827" s="87"/>
      <c r="D18827" s="87"/>
      <c r="E18827" s="87"/>
      <c r="F18827" s="87"/>
      <c r="G18827" s="87"/>
    </row>
    <row r="18828">
      <c r="A18828" s="86" t="str">
        <f>IFERROR(__xludf.DUMMYFUNCTION("""COMPUTED_VALUE"""),"")</f>
        <v/>
      </c>
      <c r="B18828" s="87"/>
      <c r="C18828" s="87"/>
      <c r="D18828" s="87"/>
      <c r="E18828" s="87"/>
      <c r="F18828" s="87"/>
      <c r="G18828" s="87"/>
    </row>
    <row r="18829">
      <c r="A18829" s="86" t="str">
        <f>IFERROR(__xludf.DUMMYFUNCTION("""COMPUTED_VALUE"""),"")</f>
        <v/>
      </c>
      <c r="B18829" s="87"/>
      <c r="C18829" s="87"/>
      <c r="D18829" s="87"/>
      <c r="E18829" s="87"/>
      <c r="F18829" s="87"/>
      <c r="G18829" s="87"/>
    </row>
    <row r="18830">
      <c r="A18830" s="86" t="str">
        <f>IFERROR(__xludf.DUMMYFUNCTION("""COMPUTED_VALUE"""),"")</f>
        <v/>
      </c>
      <c r="B18830" s="87"/>
      <c r="C18830" s="87"/>
      <c r="D18830" s="87"/>
      <c r="E18830" s="87"/>
      <c r="F18830" s="87"/>
      <c r="G18830" s="87"/>
    </row>
    <row r="18831">
      <c r="A18831" s="86" t="str">
        <f>IFERROR(__xludf.DUMMYFUNCTION("""COMPUTED_VALUE"""),"")</f>
        <v/>
      </c>
      <c r="B18831" s="87"/>
      <c r="C18831" s="87"/>
      <c r="D18831" s="87"/>
      <c r="E18831" s="87"/>
      <c r="F18831" s="87"/>
      <c r="G18831" s="87"/>
    </row>
    <row r="18832">
      <c r="A18832" s="86" t="str">
        <f>IFERROR(__xludf.DUMMYFUNCTION("""COMPUTED_VALUE"""),"")</f>
        <v/>
      </c>
      <c r="B18832" s="87"/>
      <c r="C18832" s="87"/>
      <c r="D18832" s="87"/>
      <c r="E18832" s="87"/>
      <c r="F18832" s="87"/>
      <c r="G18832" s="87"/>
    </row>
    <row r="18833">
      <c r="A18833" s="86" t="str">
        <f>IFERROR(__xludf.DUMMYFUNCTION("""COMPUTED_VALUE"""),"")</f>
        <v/>
      </c>
      <c r="B18833" s="87"/>
      <c r="C18833" s="87"/>
      <c r="D18833" s="87"/>
      <c r="E18833" s="87"/>
      <c r="F18833" s="87"/>
      <c r="G18833" s="87"/>
    </row>
    <row r="18834">
      <c r="A18834" s="86" t="str">
        <f>IFERROR(__xludf.DUMMYFUNCTION("""COMPUTED_VALUE"""),"")</f>
        <v/>
      </c>
      <c r="B18834" s="87"/>
      <c r="C18834" s="87"/>
      <c r="D18834" s="87"/>
      <c r="E18834" s="87"/>
      <c r="F18834" s="87"/>
      <c r="G18834" s="87"/>
    </row>
    <row r="18835">
      <c r="A18835" s="86" t="str">
        <f>IFERROR(__xludf.DUMMYFUNCTION("""COMPUTED_VALUE"""),"")</f>
        <v/>
      </c>
      <c r="B18835" s="87"/>
      <c r="C18835" s="87"/>
      <c r="D18835" s="87"/>
      <c r="E18835" s="87"/>
      <c r="F18835" s="87"/>
      <c r="G18835" s="87"/>
    </row>
    <row r="18836">
      <c r="A18836" s="86" t="str">
        <f>IFERROR(__xludf.DUMMYFUNCTION("""COMPUTED_VALUE"""),"")</f>
        <v/>
      </c>
      <c r="B18836" s="87"/>
      <c r="C18836" s="87"/>
      <c r="D18836" s="87"/>
      <c r="E18836" s="87"/>
      <c r="F18836" s="87"/>
      <c r="G18836" s="87"/>
    </row>
    <row r="18837">
      <c r="A18837" s="86" t="str">
        <f>IFERROR(__xludf.DUMMYFUNCTION("""COMPUTED_VALUE"""),"")</f>
        <v/>
      </c>
      <c r="B18837" s="87"/>
      <c r="C18837" s="87"/>
      <c r="D18837" s="87"/>
      <c r="E18837" s="87"/>
      <c r="F18837" s="87"/>
      <c r="G18837" s="87"/>
    </row>
    <row r="18838">
      <c r="A18838" s="86" t="str">
        <f>IFERROR(__xludf.DUMMYFUNCTION("""COMPUTED_VALUE"""),"")</f>
        <v/>
      </c>
      <c r="B18838" s="87"/>
      <c r="C18838" s="87"/>
      <c r="D18838" s="87"/>
      <c r="E18838" s="87"/>
      <c r="F18838" s="87"/>
      <c r="G18838" s="87"/>
    </row>
    <row r="18839">
      <c r="A18839" s="86" t="str">
        <f>IFERROR(__xludf.DUMMYFUNCTION("""COMPUTED_VALUE"""),"")</f>
        <v/>
      </c>
      <c r="B18839" s="87"/>
      <c r="C18839" s="87"/>
      <c r="D18839" s="87"/>
      <c r="E18839" s="87"/>
      <c r="F18839" s="87"/>
      <c r="G18839" s="87"/>
    </row>
    <row r="18840">
      <c r="A18840" s="86" t="str">
        <f>IFERROR(__xludf.DUMMYFUNCTION("""COMPUTED_VALUE"""),"")</f>
        <v/>
      </c>
      <c r="B18840" s="87"/>
      <c r="C18840" s="87"/>
      <c r="D18840" s="87"/>
      <c r="E18840" s="87"/>
      <c r="F18840" s="87"/>
      <c r="G18840" s="87"/>
    </row>
    <row r="18841">
      <c r="A18841" s="86" t="str">
        <f>IFERROR(__xludf.DUMMYFUNCTION("""COMPUTED_VALUE"""),"")</f>
        <v/>
      </c>
      <c r="B18841" s="87"/>
      <c r="C18841" s="87"/>
      <c r="D18841" s="87"/>
      <c r="E18841" s="87"/>
      <c r="F18841" s="87"/>
      <c r="G18841" s="87"/>
    </row>
    <row r="18842">
      <c r="A18842" s="86" t="str">
        <f>IFERROR(__xludf.DUMMYFUNCTION("""COMPUTED_VALUE"""),"")</f>
        <v/>
      </c>
      <c r="B18842" s="87"/>
      <c r="C18842" s="87"/>
      <c r="D18842" s="87"/>
      <c r="E18842" s="87"/>
      <c r="F18842" s="87"/>
      <c r="G18842" s="87"/>
    </row>
    <row r="18843">
      <c r="A18843" s="86" t="str">
        <f>IFERROR(__xludf.DUMMYFUNCTION("""COMPUTED_VALUE"""),"")</f>
        <v/>
      </c>
      <c r="B18843" s="87"/>
      <c r="C18843" s="87"/>
      <c r="D18843" s="87"/>
      <c r="E18843" s="87"/>
      <c r="F18843" s="87"/>
      <c r="G18843" s="87"/>
    </row>
    <row r="18844">
      <c r="A18844" s="86" t="str">
        <f>IFERROR(__xludf.DUMMYFUNCTION("""COMPUTED_VALUE"""),"")</f>
        <v/>
      </c>
      <c r="B18844" s="87"/>
      <c r="C18844" s="87"/>
      <c r="D18844" s="87"/>
      <c r="E18844" s="87"/>
      <c r="F18844" s="87"/>
      <c r="G18844" s="87"/>
    </row>
    <row r="18845">
      <c r="A18845" s="86" t="str">
        <f>IFERROR(__xludf.DUMMYFUNCTION("""COMPUTED_VALUE"""),"")</f>
        <v/>
      </c>
      <c r="B18845" s="87"/>
      <c r="C18845" s="87"/>
      <c r="D18845" s="87"/>
      <c r="E18845" s="87"/>
      <c r="F18845" s="87"/>
      <c r="G18845" s="87"/>
    </row>
    <row r="18846">
      <c r="A18846" s="86" t="str">
        <f>IFERROR(__xludf.DUMMYFUNCTION("""COMPUTED_VALUE"""),"")</f>
        <v/>
      </c>
      <c r="B18846" s="87"/>
      <c r="C18846" s="87"/>
      <c r="D18846" s="87"/>
      <c r="E18846" s="87"/>
      <c r="F18846" s="87"/>
      <c r="G18846" s="87"/>
    </row>
    <row r="18847">
      <c r="A18847" s="86" t="str">
        <f>IFERROR(__xludf.DUMMYFUNCTION("""COMPUTED_VALUE"""),"")</f>
        <v/>
      </c>
      <c r="B18847" s="87"/>
      <c r="C18847" s="87"/>
      <c r="D18847" s="87"/>
      <c r="E18847" s="87"/>
      <c r="F18847" s="87"/>
      <c r="G18847" s="87"/>
    </row>
    <row r="18848">
      <c r="A18848" s="86" t="str">
        <f>IFERROR(__xludf.DUMMYFUNCTION("""COMPUTED_VALUE"""),"")</f>
        <v/>
      </c>
      <c r="B18848" s="87"/>
      <c r="C18848" s="87"/>
      <c r="D18848" s="87"/>
      <c r="E18848" s="87"/>
      <c r="F18848" s="87"/>
      <c r="G18848" s="87"/>
    </row>
    <row r="18849">
      <c r="A18849" s="86" t="str">
        <f>IFERROR(__xludf.DUMMYFUNCTION("""COMPUTED_VALUE"""),"")</f>
        <v/>
      </c>
      <c r="B18849" s="87"/>
      <c r="C18849" s="87"/>
      <c r="D18849" s="87"/>
      <c r="E18849" s="87"/>
      <c r="F18849" s="87"/>
      <c r="G18849" s="87"/>
    </row>
    <row r="18850">
      <c r="A18850" s="86" t="str">
        <f>IFERROR(__xludf.DUMMYFUNCTION("""COMPUTED_VALUE"""),"")</f>
        <v/>
      </c>
      <c r="B18850" s="87"/>
      <c r="C18850" s="87"/>
      <c r="D18850" s="87"/>
      <c r="E18850" s="87"/>
      <c r="F18850" s="87"/>
      <c r="G18850" s="87"/>
    </row>
    <row r="18851">
      <c r="A18851" s="86" t="str">
        <f>IFERROR(__xludf.DUMMYFUNCTION("""COMPUTED_VALUE"""),"")</f>
        <v/>
      </c>
      <c r="B18851" s="87"/>
      <c r="C18851" s="87"/>
      <c r="D18851" s="87"/>
      <c r="E18851" s="87"/>
      <c r="F18851" s="87"/>
      <c r="G18851" s="87"/>
    </row>
    <row r="18852">
      <c r="A18852" s="86" t="str">
        <f>IFERROR(__xludf.DUMMYFUNCTION("""COMPUTED_VALUE"""),"")</f>
        <v/>
      </c>
      <c r="B18852" s="87"/>
      <c r="C18852" s="87"/>
      <c r="D18852" s="87"/>
      <c r="E18852" s="87"/>
      <c r="F18852" s="87"/>
      <c r="G18852" s="87"/>
    </row>
    <row r="18853">
      <c r="A18853" s="86" t="str">
        <f>IFERROR(__xludf.DUMMYFUNCTION("""COMPUTED_VALUE"""),"")</f>
        <v/>
      </c>
      <c r="B18853" s="87"/>
      <c r="C18853" s="87"/>
      <c r="D18853" s="87"/>
      <c r="E18853" s="87"/>
      <c r="F18853" s="87"/>
      <c r="G18853" s="87"/>
    </row>
    <row r="18854">
      <c r="A18854" s="86" t="str">
        <f>IFERROR(__xludf.DUMMYFUNCTION("""COMPUTED_VALUE"""),"")</f>
        <v/>
      </c>
      <c r="B18854" s="87"/>
      <c r="C18854" s="87"/>
      <c r="D18854" s="87"/>
      <c r="E18854" s="87"/>
      <c r="F18854" s="87"/>
      <c r="G18854" s="87"/>
    </row>
    <row r="18855">
      <c r="A18855" s="86" t="str">
        <f>IFERROR(__xludf.DUMMYFUNCTION("""COMPUTED_VALUE"""),"")</f>
        <v/>
      </c>
      <c r="B18855" s="87"/>
      <c r="C18855" s="87"/>
      <c r="D18855" s="87"/>
      <c r="E18855" s="87"/>
      <c r="F18855" s="87"/>
      <c r="G18855" s="87"/>
    </row>
    <row r="18856">
      <c r="A18856" s="86" t="str">
        <f>IFERROR(__xludf.DUMMYFUNCTION("""COMPUTED_VALUE"""),"")</f>
        <v/>
      </c>
      <c r="B18856" s="87"/>
      <c r="C18856" s="87"/>
      <c r="D18856" s="87"/>
      <c r="E18856" s="87"/>
      <c r="F18856" s="87"/>
      <c r="G18856" s="87"/>
    </row>
    <row r="18857">
      <c r="A18857" s="86" t="str">
        <f>IFERROR(__xludf.DUMMYFUNCTION("""COMPUTED_VALUE"""),"")</f>
        <v/>
      </c>
      <c r="B18857" s="87"/>
      <c r="C18857" s="87"/>
      <c r="D18857" s="87"/>
      <c r="E18857" s="87"/>
      <c r="F18857" s="87"/>
      <c r="G18857" s="87"/>
    </row>
    <row r="18858">
      <c r="A18858" s="86" t="str">
        <f>IFERROR(__xludf.DUMMYFUNCTION("""COMPUTED_VALUE"""),"")</f>
        <v/>
      </c>
      <c r="B18858" s="87"/>
      <c r="C18858" s="87"/>
      <c r="D18858" s="87"/>
      <c r="E18858" s="87"/>
      <c r="F18858" s="87"/>
      <c r="G18858" s="87"/>
    </row>
    <row r="18859">
      <c r="A18859" s="86" t="str">
        <f>IFERROR(__xludf.DUMMYFUNCTION("""COMPUTED_VALUE"""),"")</f>
        <v/>
      </c>
      <c r="B18859" s="87"/>
      <c r="C18859" s="87"/>
      <c r="D18859" s="87"/>
      <c r="E18859" s="87"/>
      <c r="F18859" s="87"/>
      <c r="G18859" s="87"/>
    </row>
    <row r="18860">
      <c r="A18860" s="86" t="str">
        <f>IFERROR(__xludf.DUMMYFUNCTION("""COMPUTED_VALUE"""),"")</f>
        <v/>
      </c>
      <c r="B18860" s="87"/>
      <c r="C18860" s="87"/>
      <c r="D18860" s="87"/>
      <c r="E18860" s="87"/>
      <c r="F18860" s="87"/>
      <c r="G18860" s="87"/>
    </row>
    <row r="18861">
      <c r="A18861" s="86" t="str">
        <f>IFERROR(__xludf.DUMMYFUNCTION("""COMPUTED_VALUE"""),"")</f>
        <v/>
      </c>
      <c r="B18861" s="87"/>
      <c r="C18861" s="87"/>
      <c r="D18861" s="87"/>
      <c r="E18861" s="87"/>
      <c r="F18861" s="87"/>
      <c r="G18861" s="87"/>
    </row>
    <row r="18862">
      <c r="A18862" s="86" t="str">
        <f>IFERROR(__xludf.DUMMYFUNCTION("""COMPUTED_VALUE"""),"")</f>
        <v/>
      </c>
      <c r="B18862" s="87"/>
      <c r="C18862" s="87"/>
      <c r="D18862" s="87"/>
      <c r="E18862" s="87"/>
      <c r="F18862" s="87"/>
      <c r="G18862" s="87"/>
    </row>
    <row r="18863">
      <c r="A18863" s="86" t="str">
        <f>IFERROR(__xludf.DUMMYFUNCTION("""COMPUTED_VALUE"""),"")</f>
        <v/>
      </c>
      <c r="B18863" s="87"/>
      <c r="C18863" s="87"/>
      <c r="D18863" s="87"/>
      <c r="E18863" s="87"/>
      <c r="F18863" s="87"/>
      <c r="G18863" s="87"/>
    </row>
    <row r="18864">
      <c r="A18864" s="86" t="str">
        <f>IFERROR(__xludf.DUMMYFUNCTION("""COMPUTED_VALUE"""),"")</f>
        <v/>
      </c>
      <c r="B18864" s="87"/>
      <c r="C18864" s="87"/>
      <c r="D18864" s="87"/>
      <c r="E18864" s="87"/>
      <c r="F18864" s="87"/>
      <c r="G18864" s="87"/>
    </row>
    <row r="18865">
      <c r="A18865" s="86" t="str">
        <f>IFERROR(__xludf.DUMMYFUNCTION("""COMPUTED_VALUE"""),"")</f>
        <v/>
      </c>
      <c r="B18865" s="87"/>
      <c r="C18865" s="87"/>
      <c r="D18865" s="87"/>
      <c r="E18865" s="87"/>
      <c r="F18865" s="87"/>
      <c r="G18865" s="87"/>
    </row>
    <row r="18866">
      <c r="A18866" s="86" t="str">
        <f>IFERROR(__xludf.DUMMYFUNCTION("""COMPUTED_VALUE"""),"")</f>
        <v/>
      </c>
      <c r="B18866" s="87"/>
      <c r="C18866" s="87"/>
      <c r="D18866" s="87"/>
      <c r="E18866" s="87"/>
      <c r="F18866" s="87"/>
      <c r="G18866" s="87"/>
    </row>
    <row r="18867">
      <c r="A18867" s="86" t="str">
        <f>IFERROR(__xludf.DUMMYFUNCTION("""COMPUTED_VALUE"""),"")</f>
        <v/>
      </c>
      <c r="B18867" s="87"/>
      <c r="C18867" s="87"/>
      <c r="D18867" s="87"/>
      <c r="E18867" s="87"/>
      <c r="F18867" s="87"/>
      <c r="G18867" s="87"/>
    </row>
    <row r="18868">
      <c r="A18868" s="86" t="str">
        <f>IFERROR(__xludf.DUMMYFUNCTION("""COMPUTED_VALUE"""),"")</f>
        <v/>
      </c>
      <c r="B18868" s="87"/>
      <c r="C18868" s="87"/>
      <c r="D18868" s="87"/>
      <c r="E18868" s="87"/>
      <c r="F18868" s="87"/>
      <c r="G18868" s="87"/>
    </row>
    <row r="18869">
      <c r="A18869" s="86" t="str">
        <f>IFERROR(__xludf.DUMMYFUNCTION("""COMPUTED_VALUE"""),"")</f>
        <v/>
      </c>
      <c r="B18869" s="87"/>
      <c r="C18869" s="87"/>
      <c r="D18869" s="87"/>
      <c r="E18869" s="87"/>
      <c r="F18869" s="87"/>
      <c r="G18869" s="87"/>
    </row>
    <row r="18870">
      <c r="A18870" s="86" t="str">
        <f>IFERROR(__xludf.DUMMYFUNCTION("""COMPUTED_VALUE"""),"")</f>
        <v/>
      </c>
      <c r="B18870" s="87"/>
      <c r="C18870" s="87"/>
      <c r="D18870" s="87"/>
      <c r="E18870" s="87"/>
      <c r="F18870" s="87"/>
      <c r="G18870" s="87"/>
    </row>
    <row r="18871">
      <c r="A18871" s="86" t="str">
        <f>IFERROR(__xludf.DUMMYFUNCTION("""COMPUTED_VALUE"""),"")</f>
        <v/>
      </c>
      <c r="B18871" s="87"/>
      <c r="C18871" s="87"/>
      <c r="D18871" s="87"/>
      <c r="E18871" s="87"/>
      <c r="F18871" s="87"/>
      <c r="G18871" s="87"/>
    </row>
    <row r="18872">
      <c r="A18872" s="86" t="str">
        <f>IFERROR(__xludf.DUMMYFUNCTION("""COMPUTED_VALUE"""),"")</f>
        <v/>
      </c>
      <c r="B18872" s="87"/>
      <c r="C18872" s="87"/>
      <c r="D18872" s="87"/>
      <c r="E18872" s="87"/>
      <c r="F18872" s="87"/>
      <c r="G18872" s="87"/>
    </row>
    <row r="18873">
      <c r="A18873" s="86" t="str">
        <f>IFERROR(__xludf.DUMMYFUNCTION("""COMPUTED_VALUE"""),"")</f>
        <v/>
      </c>
      <c r="B18873" s="87"/>
      <c r="C18873" s="87"/>
      <c r="D18873" s="87"/>
      <c r="E18873" s="87"/>
      <c r="F18873" s="87"/>
      <c r="G18873" s="87"/>
    </row>
    <row r="18874">
      <c r="A18874" s="86" t="str">
        <f>IFERROR(__xludf.DUMMYFUNCTION("""COMPUTED_VALUE"""),"")</f>
        <v/>
      </c>
      <c r="B18874" s="87"/>
      <c r="C18874" s="87"/>
      <c r="D18874" s="87"/>
      <c r="E18874" s="87"/>
      <c r="F18874" s="87"/>
      <c r="G18874" s="87"/>
    </row>
    <row r="18875">
      <c r="A18875" s="86" t="str">
        <f>IFERROR(__xludf.DUMMYFUNCTION("""COMPUTED_VALUE"""),"")</f>
        <v/>
      </c>
      <c r="B18875" s="87"/>
      <c r="C18875" s="87"/>
      <c r="D18875" s="87"/>
      <c r="E18875" s="87"/>
      <c r="F18875" s="87"/>
      <c r="G18875" s="87"/>
    </row>
    <row r="18876">
      <c r="A18876" s="86" t="str">
        <f>IFERROR(__xludf.DUMMYFUNCTION("""COMPUTED_VALUE"""),"")</f>
        <v/>
      </c>
      <c r="B18876" s="87"/>
      <c r="C18876" s="87"/>
      <c r="D18876" s="87"/>
      <c r="E18876" s="87"/>
      <c r="F18876" s="87"/>
      <c r="G18876" s="87"/>
    </row>
    <row r="18877">
      <c r="A18877" s="86" t="str">
        <f>IFERROR(__xludf.DUMMYFUNCTION("""COMPUTED_VALUE"""),"")</f>
        <v/>
      </c>
      <c r="B18877" s="87"/>
      <c r="C18877" s="87"/>
      <c r="D18877" s="87"/>
      <c r="E18877" s="87"/>
      <c r="F18877" s="87"/>
      <c r="G18877" s="87"/>
    </row>
    <row r="18878">
      <c r="A18878" s="86" t="str">
        <f>IFERROR(__xludf.DUMMYFUNCTION("""COMPUTED_VALUE"""),"")</f>
        <v/>
      </c>
      <c r="B18878" s="87"/>
      <c r="C18878" s="87"/>
      <c r="D18878" s="87"/>
      <c r="E18878" s="87"/>
      <c r="F18878" s="87"/>
      <c r="G18878" s="87"/>
    </row>
    <row r="18879">
      <c r="A18879" s="86" t="str">
        <f>IFERROR(__xludf.DUMMYFUNCTION("""COMPUTED_VALUE"""),"")</f>
        <v/>
      </c>
      <c r="B18879" s="87"/>
      <c r="C18879" s="87"/>
      <c r="D18879" s="87"/>
      <c r="E18879" s="87"/>
      <c r="F18879" s="87"/>
      <c r="G18879" s="87"/>
    </row>
    <row r="18880">
      <c r="A18880" s="86" t="str">
        <f>IFERROR(__xludf.DUMMYFUNCTION("""COMPUTED_VALUE"""),"")</f>
        <v/>
      </c>
      <c r="B18880" s="87"/>
      <c r="C18880" s="87"/>
      <c r="D18880" s="87"/>
      <c r="E18880" s="87"/>
      <c r="F18880" s="87"/>
      <c r="G18880" s="87"/>
    </row>
    <row r="18881">
      <c r="A18881" s="86" t="str">
        <f>IFERROR(__xludf.DUMMYFUNCTION("""COMPUTED_VALUE"""),"")</f>
        <v/>
      </c>
      <c r="B18881" s="87"/>
      <c r="C18881" s="87"/>
      <c r="D18881" s="87"/>
      <c r="E18881" s="87"/>
      <c r="F18881" s="87"/>
      <c r="G18881" s="87"/>
    </row>
    <row r="18882">
      <c r="A18882" s="86" t="str">
        <f>IFERROR(__xludf.DUMMYFUNCTION("""COMPUTED_VALUE"""),"")</f>
        <v/>
      </c>
      <c r="B18882" s="87"/>
      <c r="C18882" s="87"/>
      <c r="D18882" s="87"/>
      <c r="E18882" s="87"/>
      <c r="F18882" s="87"/>
      <c r="G18882" s="87"/>
    </row>
    <row r="18883">
      <c r="A18883" s="86" t="str">
        <f>IFERROR(__xludf.DUMMYFUNCTION("""COMPUTED_VALUE"""),"")</f>
        <v/>
      </c>
      <c r="B18883" s="87"/>
      <c r="C18883" s="87"/>
      <c r="D18883" s="87"/>
      <c r="E18883" s="87"/>
      <c r="F18883" s="87"/>
      <c r="G18883" s="87"/>
    </row>
    <row r="18884">
      <c r="A18884" s="86" t="str">
        <f>IFERROR(__xludf.DUMMYFUNCTION("""COMPUTED_VALUE"""),"")</f>
        <v/>
      </c>
      <c r="B18884" s="87"/>
      <c r="C18884" s="87"/>
      <c r="D18884" s="87"/>
      <c r="E18884" s="87"/>
      <c r="F18884" s="87"/>
      <c r="G18884" s="87"/>
    </row>
    <row r="18885">
      <c r="A18885" s="86" t="str">
        <f>IFERROR(__xludf.DUMMYFUNCTION("""COMPUTED_VALUE"""),"")</f>
        <v/>
      </c>
      <c r="B18885" s="87"/>
      <c r="C18885" s="87"/>
      <c r="D18885" s="87"/>
      <c r="E18885" s="87"/>
      <c r="F18885" s="87"/>
      <c r="G18885" s="87"/>
    </row>
    <row r="18886">
      <c r="A18886" s="86" t="str">
        <f>IFERROR(__xludf.DUMMYFUNCTION("""COMPUTED_VALUE"""),"")</f>
        <v/>
      </c>
      <c r="B18886" s="87"/>
      <c r="C18886" s="87"/>
      <c r="D18886" s="87"/>
      <c r="E18886" s="87"/>
      <c r="F18886" s="87"/>
      <c r="G18886" s="87"/>
    </row>
    <row r="18887">
      <c r="A18887" s="86" t="str">
        <f>IFERROR(__xludf.DUMMYFUNCTION("""COMPUTED_VALUE"""),"")</f>
        <v/>
      </c>
      <c r="B18887" s="87"/>
      <c r="C18887" s="87"/>
      <c r="D18887" s="87"/>
      <c r="E18887" s="87"/>
      <c r="F18887" s="87"/>
      <c r="G18887" s="87"/>
    </row>
    <row r="18888">
      <c r="A18888" s="86" t="str">
        <f>IFERROR(__xludf.DUMMYFUNCTION("""COMPUTED_VALUE"""),"")</f>
        <v/>
      </c>
      <c r="B18888" s="87"/>
      <c r="C18888" s="87"/>
      <c r="D18888" s="87"/>
      <c r="E18888" s="87"/>
      <c r="F18888" s="87"/>
      <c r="G18888" s="87"/>
    </row>
    <row r="18889">
      <c r="A18889" s="86" t="str">
        <f>IFERROR(__xludf.DUMMYFUNCTION("""COMPUTED_VALUE"""),"")</f>
        <v/>
      </c>
      <c r="B18889" s="87"/>
      <c r="C18889" s="87"/>
      <c r="D18889" s="87"/>
      <c r="E18889" s="87"/>
      <c r="F18889" s="87"/>
      <c r="G18889" s="87"/>
    </row>
    <row r="18890">
      <c r="A18890" s="86" t="str">
        <f>IFERROR(__xludf.DUMMYFUNCTION("""COMPUTED_VALUE"""),"")</f>
        <v/>
      </c>
      <c r="B18890" s="87"/>
      <c r="C18890" s="87"/>
      <c r="D18890" s="87"/>
      <c r="E18890" s="87"/>
      <c r="F18890" s="87"/>
      <c r="G18890" s="87"/>
    </row>
    <row r="18891">
      <c r="A18891" s="86" t="str">
        <f>IFERROR(__xludf.DUMMYFUNCTION("""COMPUTED_VALUE"""),"")</f>
        <v/>
      </c>
      <c r="B18891" s="87"/>
      <c r="C18891" s="87"/>
      <c r="D18891" s="87"/>
      <c r="E18891" s="87"/>
      <c r="F18891" s="87"/>
      <c r="G18891" s="87"/>
    </row>
    <row r="18892">
      <c r="A18892" s="86" t="str">
        <f>IFERROR(__xludf.DUMMYFUNCTION("""COMPUTED_VALUE"""),"")</f>
        <v/>
      </c>
      <c r="B18892" s="87"/>
      <c r="C18892" s="87"/>
      <c r="D18892" s="87"/>
      <c r="E18892" s="87"/>
      <c r="F18892" s="87"/>
      <c r="G18892" s="87"/>
    </row>
    <row r="18893">
      <c r="A18893" s="86" t="str">
        <f>IFERROR(__xludf.DUMMYFUNCTION("""COMPUTED_VALUE"""),"")</f>
        <v/>
      </c>
      <c r="B18893" s="87"/>
      <c r="C18893" s="87"/>
      <c r="D18893" s="87"/>
      <c r="E18893" s="87"/>
      <c r="F18893" s="87"/>
      <c r="G18893" s="87"/>
    </row>
    <row r="18894">
      <c r="A18894" s="86" t="str">
        <f>IFERROR(__xludf.DUMMYFUNCTION("""COMPUTED_VALUE"""),"")</f>
        <v/>
      </c>
      <c r="B18894" s="87"/>
      <c r="C18894" s="87"/>
      <c r="D18894" s="87"/>
      <c r="E18894" s="87"/>
      <c r="F18894" s="87"/>
      <c r="G18894" s="87"/>
    </row>
    <row r="18895">
      <c r="A18895" s="86" t="str">
        <f>IFERROR(__xludf.DUMMYFUNCTION("""COMPUTED_VALUE"""),"")</f>
        <v/>
      </c>
      <c r="B18895" s="87"/>
      <c r="C18895" s="87"/>
      <c r="D18895" s="87"/>
      <c r="E18895" s="87"/>
      <c r="F18895" s="87"/>
      <c r="G18895" s="87"/>
    </row>
    <row r="18896">
      <c r="A18896" s="86" t="str">
        <f>IFERROR(__xludf.DUMMYFUNCTION("""COMPUTED_VALUE"""),"")</f>
        <v/>
      </c>
      <c r="B18896" s="87"/>
      <c r="C18896" s="87"/>
      <c r="D18896" s="87"/>
      <c r="E18896" s="87"/>
      <c r="F18896" s="87"/>
      <c r="G18896" s="87"/>
    </row>
    <row r="18897">
      <c r="A18897" s="86" t="str">
        <f>IFERROR(__xludf.DUMMYFUNCTION("""COMPUTED_VALUE"""),"")</f>
        <v/>
      </c>
      <c r="B18897" s="87"/>
      <c r="C18897" s="87"/>
      <c r="D18897" s="87"/>
      <c r="E18897" s="87"/>
      <c r="F18897" s="87"/>
      <c r="G18897" s="87"/>
    </row>
    <row r="18898">
      <c r="A18898" s="86" t="str">
        <f>IFERROR(__xludf.DUMMYFUNCTION("""COMPUTED_VALUE"""),"")</f>
        <v/>
      </c>
      <c r="B18898" s="87"/>
      <c r="C18898" s="87"/>
      <c r="D18898" s="87"/>
      <c r="E18898" s="87"/>
      <c r="F18898" s="87"/>
      <c r="G18898" s="87"/>
    </row>
    <row r="18899">
      <c r="A18899" s="86" t="str">
        <f>IFERROR(__xludf.DUMMYFUNCTION("""COMPUTED_VALUE"""),"")</f>
        <v/>
      </c>
      <c r="B18899" s="87"/>
      <c r="C18899" s="87"/>
      <c r="D18899" s="87"/>
      <c r="E18899" s="87"/>
      <c r="F18899" s="87"/>
      <c r="G18899" s="87"/>
    </row>
    <row r="18900">
      <c r="A18900" s="86" t="str">
        <f>IFERROR(__xludf.DUMMYFUNCTION("""COMPUTED_VALUE"""),"")</f>
        <v/>
      </c>
      <c r="B18900" s="87"/>
      <c r="C18900" s="87"/>
      <c r="D18900" s="87"/>
      <c r="E18900" s="87"/>
      <c r="F18900" s="87"/>
      <c r="G18900" s="87"/>
    </row>
    <row r="18901">
      <c r="A18901" s="86" t="str">
        <f>IFERROR(__xludf.DUMMYFUNCTION("""COMPUTED_VALUE"""),"")</f>
        <v/>
      </c>
      <c r="B18901" s="87"/>
      <c r="C18901" s="87"/>
      <c r="D18901" s="87"/>
      <c r="E18901" s="87"/>
      <c r="F18901" s="87"/>
      <c r="G18901" s="87"/>
    </row>
    <row r="18902">
      <c r="A18902" s="86" t="str">
        <f>IFERROR(__xludf.DUMMYFUNCTION("""COMPUTED_VALUE"""),"")</f>
        <v/>
      </c>
      <c r="B18902" s="87"/>
      <c r="C18902" s="87"/>
      <c r="D18902" s="87"/>
      <c r="E18902" s="87"/>
      <c r="F18902" s="87"/>
      <c r="G18902" s="87"/>
    </row>
    <row r="18903">
      <c r="A18903" s="86" t="str">
        <f>IFERROR(__xludf.DUMMYFUNCTION("""COMPUTED_VALUE"""),"")</f>
        <v/>
      </c>
      <c r="B18903" s="87"/>
      <c r="C18903" s="87"/>
      <c r="D18903" s="87"/>
      <c r="E18903" s="87"/>
      <c r="F18903" s="87"/>
      <c r="G18903" s="87"/>
    </row>
    <row r="18904">
      <c r="A18904" s="86" t="str">
        <f>IFERROR(__xludf.DUMMYFUNCTION("""COMPUTED_VALUE"""),"")</f>
        <v/>
      </c>
      <c r="B18904" s="87"/>
      <c r="C18904" s="87"/>
      <c r="D18904" s="87"/>
      <c r="E18904" s="87"/>
      <c r="F18904" s="87"/>
      <c r="G18904" s="87"/>
    </row>
    <row r="18905">
      <c r="A18905" s="86" t="str">
        <f>IFERROR(__xludf.DUMMYFUNCTION("""COMPUTED_VALUE"""),"")</f>
        <v/>
      </c>
      <c r="B18905" s="87"/>
      <c r="C18905" s="87"/>
      <c r="D18905" s="87"/>
      <c r="E18905" s="87"/>
      <c r="F18905" s="87"/>
      <c r="G18905" s="87"/>
    </row>
    <row r="18906">
      <c r="A18906" s="86" t="str">
        <f>IFERROR(__xludf.DUMMYFUNCTION("""COMPUTED_VALUE"""),"")</f>
        <v/>
      </c>
      <c r="B18906" s="87"/>
      <c r="C18906" s="87"/>
      <c r="D18906" s="87"/>
      <c r="E18906" s="87"/>
      <c r="F18906" s="87"/>
      <c r="G18906" s="87"/>
    </row>
    <row r="18907">
      <c r="A18907" s="86" t="str">
        <f>IFERROR(__xludf.DUMMYFUNCTION("""COMPUTED_VALUE"""),"")</f>
        <v/>
      </c>
      <c r="B18907" s="87"/>
      <c r="C18907" s="87"/>
      <c r="D18907" s="87"/>
      <c r="E18907" s="87"/>
      <c r="F18907" s="87"/>
      <c r="G18907" s="87"/>
    </row>
    <row r="18908">
      <c r="A18908" s="86" t="str">
        <f>IFERROR(__xludf.DUMMYFUNCTION("""COMPUTED_VALUE"""),"")</f>
        <v/>
      </c>
      <c r="B18908" s="87"/>
      <c r="C18908" s="87"/>
      <c r="D18908" s="87"/>
      <c r="E18908" s="87"/>
      <c r="F18908" s="87"/>
      <c r="G18908" s="87"/>
    </row>
    <row r="18909">
      <c r="A18909" s="86" t="str">
        <f>IFERROR(__xludf.DUMMYFUNCTION("""COMPUTED_VALUE"""),"")</f>
        <v/>
      </c>
      <c r="B18909" s="87"/>
      <c r="C18909" s="87"/>
      <c r="D18909" s="87"/>
      <c r="E18909" s="87"/>
      <c r="F18909" s="87"/>
      <c r="G18909" s="87"/>
    </row>
    <row r="18910">
      <c r="A18910" s="86" t="str">
        <f>IFERROR(__xludf.DUMMYFUNCTION("""COMPUTED_VALUE"""),"")</f>
        <v/>
      </c>
      <c r="B18910" s="87"/>
      <c r="C18910" s="87"/>
      <c r="D18910" s="87"/>
      <c r="E18910" s="87"/>
      <c r="F18910" s="87"/>
      <c r="G18910" s="87"/>
    </row>
    <row r="18911">
      <c r="A18911" s="86" t="str">
        <f>IFERROR(__xludf.DUMMYFUNCTION("""COMPUTED_VALUE"""),"")</f>
        <v/>
      </c>
      <c r="B18911" s="87"/>
      <c r="C18911" s="87"/>
      <c r="D18911" s="87"/>
      <c r="E18911" s="87"/>
      <c r="F18911" s="87"/>
      <c r="G18911" s="87"/>
    </row>
    <row r="18912">
      <c r="A18912" s="86" t="str">
        <f>IFERROR(__xludf.DUMMYFUNCTION("""COMPUTED_VALUE"""),"")</f>
        <v/>
      </c>
      <c r="B18912" s="87"/>
      <c r="C18912" s="87"/>
      <c r="D18912" s="87"/>
      <c r="E18912" s="87"/>
      <c r="F18912" s="87"/>
      <c r="G18912" s="87"/>
    </row>
    <row r="18913">
      <c r="A18913" s="86" t="str">
        <f>IFERROR(__xludf.DUMMYFUNCTION("""COMPUTED_VALUE"""),"")</f>
        <v/>
      </c>
      <c r="B18913" s="87"/>
      <c r="C18913" s="87"/>
      <c r="D18913" s="87"/>
      <c r="E18913" s="87"/>
      <c r="F18913" s="87"/>
      <c r="G18913" s="87"/>
    </row>
    <row r="18914">
      <c r="A18914" s="86" t="str">
        <f>IFERROR(__xludf.DUMMYFUNCTION("""COMPUTED_VALUE"""),"")</f>
        <v/>
      </c>
      <c r="B18914" s="87"/>
      <c r="C18914" s="87"/>
      <c r="D18914" s="87"/>
      <c r="E18914" s="87"/>
      <c r="F18914" s="87"/>
      <c r="G18914" s="87"/>
    </row>
    <row r="18915">
      <c r="A18915" s="86" t="str">
        <f>IFERROR(__xludf.DUMMYFUNCTION("""COMPUTED_VALUE"""),"")</f>
        <v/>
      </c>
      <c r="B18915" s="87"/>
      <c r="C18915" s="87"/>
      <c r="D18915" s="87"/>
      <c r="E18915" s="87"/>
      <c r="F18915" s="87"/>
      <c r="G18915" s="87"/>
    </row>
    <row r="18916">
      <c r="A18916" s="86" t="str">
        <f>IFERROR(__xludf.DUMMYFUNCTION("""COMPUTED_VALUE"""),"")</f>
        <v/>
      </c>
      <c r="B18916" s="87"/>
      <c r="C18916" s="87"/>
      <c r="D18916" s="87"/>
      <c r="E18916" s="87"/>
      <c r="F18916" s="87"/>
      <c r="G18916" s="87"/>
    </row>
    <row r="18917">
      <c r="A18917" s="86" t="str">
        <f>IFERROR(__xludf.DUMMYFUNCTION("""COMPUTED_VALUE"""),"")</f>
        <v/>
      </c>
      <c r="B18917" s="87"/>
      <c r="C18917" s="87"/>
      <c r="D18917" s="87"/>
      <c r="E18917" s="87"/>
      <c r="F18917" s="87"/>
      <c r="G18917" s="87"/>
    </row>
    <row r="18918">
      <c r="A18918" s="86" t="str">
        <f>IFERROR(__xludf.DUMMYFUNCTION("""COMPUTED_VALUE"""),"")</f>
        <v/>
      </c>
      <c r="B18918" s="87"/>
      <c r="C18918" s="87"/>
      <c r="D18918" s="87"/>
      <c r="E18918" s="87"/>
      <c r="F18918" s="87"/>
      <c r="G18918" s="87"/>
    </row>
    <row r="18919">
      <c r="A18919" s="86" t="str">
        <f>IFERROR(__xludf.DUMMYFUNCTION("""COMPUTED_VALUE"""),"")</f>
        <v/>
      </c>
      <c r="B18919" s="87"/>
      <c r="C18919" s="87"/>
      <c r="D18919" s="87"/>
      <c r="E18919" s="87"/>
      <c r="F18919" s="87"/>
      <c r="G18919" s="87"/>
    </row>
    <row r="18920">
      <c r="A18920" s="86" t="str">
        <f>IFERROR(__xludf.DUMMYFUNCTION("""COMPUTED_VALUE"""),"")</f>
        <v/>
      </c>
      <c r="B18920" s="87"/>
      <c r="C18920" s="87"/>
      <c r="D18920" s="87"/>
      <c r="E18920" s="87"/>
      <c r="F18920" s="87"/>
      <c r="G18920" s="87"/>
    </row>
    <row r="18921">
      <c r="A18921" s="86" t="str">
        <f>IFERROR(__xludf.DUMMYFUNCTION("""COMPUTED_VALUE"""),"")</f>
        <v/>
      </c>
      <c r="B18921" s="87"/>
      <c r="C18921" s="87"/>
      <c r="D18921" s="87"/>
      <c r="E18921" s="87"/>
      <c r="F18921" s="87"/>
      <c r="G18921" s="87"/>
    </row>
    <row r="18922">
      <c r="A18922" s="86" t="str">
        <f>IFERROR(__xludf.DUMMYFUNCTION("""COMPUTED_VALUE"""),"")</f>
        <v/>
      </c>
      <c r="B18922" s="87"/>
      <c r="C18922" s="87"/>
      <c r="D18922" s="87"/>
      <c r="E18922" s="87"/>
      <c r="F18922" s="87"/>
      <c r="G18922" s="87"/>
    </row>
    <row r="18923">
      <c r="A18923" s="86" t="str">
        <f>IFERROR(__xludf.DUMMYFUNCTION("""COMPUTED_VALUE"""),"")</f>
        <v/>
      </c>
      <c r="B18923" s="87"/>
      <c r="C18923" s="87"/>
      <c r="D18923" s="87"/>
      <c r="E18923" s="87"/>
      <c r="F18923" s="87"/>
      <c r="G18923" s="87"/>
    </row>
    <row r="18924">
      <c r="A18924" s="86" t="str">
        <f>IFERROR(__xludf.DUMMYFUNCTION("""COMPUTED_VALUE"""),"")</f>
        <v/>
      </c>
      <c r="B18924" s="87"/>
      <c r="C18924" s="87"/>
      <c r="D18924" s="87"/>
      <c r="E18924" s="87"/>
      <c r="F18924" s="87"/>
      <c r="G18924" s="87"/>
    </row>
    <row r="18925">
      <c r="A18925" s="86" t="str">
        <f>IFERROR(__xludf.DUMMYFUNCTION("""COMPUTED_VALUE"""),"")</f>
        <v/>
      </c>
      <c r="B18925" s="87"/>
      <c r="C18925" s="87"/>
      <c r="D18925" s="87"/>
      <c r="E18925" s="87"/>
      <c r="F18925" s="87"/>
      <c r="G18925" s="87"/>
    </row>
    <row r="18926">
      <c r="A18926" s="86" t="str">
        <f>IFERROR(__xludf.DUMMYFUNCTION("""COMPUTED_VALUE"""),"")</f>
        <v/>
      </c>
      <c r="B18926" s="87"/>
      <c r="C18926" s="87"/>
      <c r="D18926" s="87"/>
      <c r="E18926" s="87"/>
      <c r="F18926" s="87"/>
      <c r="G18926" s="87"/>
    </row>
    <row r="18927">
      <c r="A18927" s="86" t="str">
        <f>IFERROR(__xludf.DUMMYFUNCTION("""COMPUTED_VALUE"""),"")</f>
        <v/>
      </c>
      <c r="B18927" s="87"/>
      <c r="C18927" s="87"/>
      <c r="D18927" s="87"/>
      <c r="E18927" s="87"/>
      <c r="F18927" s="87"/>
      <c r="G18927" s="87"/>
    </row>
    <row r="18928">
      <c r="A18928" s="86" t="str">
        <f>IFERROR(__xludf.DUMMYFUNCTION("""COMPUTED_VALUE"""),"")</f>
        <v/>
      </c>
      <c r="B18928" s="87"/>
      <c r="C18928" s="87"/>
      <c r="D18928" s="87"/>
      <c r="E18928" s="87"/>
      <c r="F18928" s="87"/>
      <c r="G18928" s="87"/>
    </row>
    <row r="18929">
      <c r="A18929" s="86" t="str">
        <f>IFERROR(__xludf.DUMMYFUNCTION("""COMPUTED_VALUE"""),"")</f>
        <v/>
      </c>
      <c r="B18929" s="87"/>
      <c r="C18929" s="87"/>
      <c r="D18929" s="87"/>
      <c r="E18929" s="87"/>
      <c r="F18929" s="87"/>
      <c r="G18929" s="87"/>
    </row>
    <row r="18930">
      <c r="A18930" s="86" t="str">
        <f>IFERROR(__xludf.DUMMYFUNCTION("""COMPUTED_VALUE"""),"")</f>
        <v/>
      </c>
      <c r="B18930" s="87"/>
      <c r="C18930" s="87"/>
      <c r="D18930" s="87"/>
      <c r="E18930" s="87"/>
      <c r="F18930" s="87"/>
      <c r="G18930" s="87"/>
    </row>
    <row r="18931">
      <c r="A18931" s="86" t="str">
        <f>IFERROR(__xludf.DUMMYFUNCTION("""COMPUTED_VALUE"""),"")</f>
        <v/>
      </c>
      <c r="B18931" s="87"/>
      <c r="C18931" s="87"/>
      <c r="D18931" s="87"/>
      <c r="E18931" s="87"/>
      <c r="F18931" s="87"/>
      <c r="G18931" s="87"/>
    </row>
    <row r="18932">
      <c r="A18932" s="86" t="str">
        <f>IFERROR(__xludf.DUMMYFUNCTION("""COMPUTED_VALUE"""),"")</f>
        <v/>
      </c>
      <c r="B18932" s="87"/>
      <c r="C18932" s="87"/>
      <c r="D18932" s="87"/>
      <c r="E18932" s="87"/>
      <c r="F18932" s="87"/>
      <c r="G18932" s="87"/>
    </row>
    <row r="18933">
      <c r="A18933" s="86" t="str">
        <f>IFERROR(__xludf.DUMMYFUNCTION("""COMPUTED_VALUE"""),"")</f>
        <v/>
      </c>
      <c r="B18933" s="87"/>
      <c r="C18933" s="87"/>
      <c r="D18933" s="87"/>
      <c r="E18933" s="87"/>
      <c r="F18933" s="87"/>
      <c r="G18933" s="87"/>
    </row>
    <row r="18934">
      <c r="A18934" s="86" t="str">
        <f>IFERROR(__xludf.DUMMYFUNCTION("""COMPUTED_VALUE"""),"")</f>
        <v/>
      </c>
      <c r="B18934" s="87"/>
      <c r="C18934" s="87"/>
      <c r="D18934" s="87"/>
      <c r="E18934" s="87"/>
      <c r="F18934" s="87"/>
      <c r="G18934" s="87"/>
    </row>
    <row r="18935">
      <c r="A18935" s="86" t="str">
        <f>IFERROR(__xludf.DUMMYFUNCTION("""COMPUTED_VALUE"""),"")</f>
        <v/>
      </c>
      <c r="B18935" s="87"/>
      <c r="C18935" s="87"/>
      <c r="D18935" s="87"/>
      <c r="E18935" s="87"/>
      <c r="F18935" s="87"/>
      <c r="G18935" s="87"/>
    </row>
    <row r="18936">
      <c r="A18936" s="86" t="str">
        <f>IFERROR(__xludf.DUMMYFUNCTION("""COMPUTED_VALUE"""),"")</f>
        <v/>
      </c>
      <c r="B18936" s="87"/>
      <c r="C18936" s="87"/>
      <c r="D18936" s="87"/>
      <c r="E18936" s="87"/>
      <c r="F18936" s="87"/>
      <c r="G18936" s="87"/>
    </row>
    <row r="18937">
      <c r="A18937" s="86" t="str">
        <f>IFERROR(__xludf.DUMMYFUNCTION("""COMPUTED_VALUE"""),"")</f>
        <v/>
      </c>
      <c r="B18937" s="87"/>
      <c r="C18937" s="87"/>
      <c r="D18937" s="87"/>
      <c r="E18937" s="87"/>
      <c r="F18937" s="87"/>
      <c r="G18937" s="87"/>
    </row>
    <row r="18938">
      <c r="A18938" s="86" t="str">
        <f>IFERROR(__xludf.DUMMYFUNCTION("""COMPUTED_VALUE"""),"")</f>
        <v/>
      </c>
      <c r="B18938" s="87"/>
      <c r="C18938" s="87"/>
      <c r="D18938" s="87"/>
      <c r="E18938" s="87"/>
      <c r="F18938" s="87"/>
      <c r="G18938" s="87"/>
    </row>
    <row r="18939">
      <c r="A18939" s="86" t="str">
        <f>IFERROR(__xludf.DUMMYFUNCTION("""COMPUTED_VALUE"""),"")</f>
        <v/>
      </c>
      <c r="B18939" s="87"/>
      <c r="C18939" s="87"/>
      <c r="D18939" s="87"/>
      <c r="E18939" s="87"/>
      <c r="F18939" s="87"/>
      <c r="G18939" s="87"/>
    </row>
    <row r="18940">
      <c r="A18940" s="86" t="str">
        <f>IFERROR(__xludf.DUMMYFUNCTION("""COMPUTED_VALUE"""),"")</f>
        <v/>
      </c>
      <c r="B18940" s="87"/>
      <c r="C18940" s="87"/>
      <c r="D18940" s="87"/>
      <c r="E18940" s="87"/>
      <c r="F18940" s="87"/>
      <c r="G18940" s="87"/>
    </row>
    <row r="18941">
      <c r="A18941" s="86" t="str">
        <f>IFERROR(__xludf.DUMMYFUNCTION("""COMPUTED_VALUE"""),"")</f>
        <v/>
      </c>
      <c r="B18941" s="87"/>
      <c r="C18941" s="87"/>
      <c r="D18941" s="87"/>
      <c r="E18941" s="87"/>
      <c r="F18941" s="87"/>
      <c r="G18941" s="87"/>
    </row>
    <row r="18942">
      <c r="A18942" s="86" t="str">
        <f>IFERROR(__xludf.DUMMYFUNCTION("""COMPUTED_VALUE"""),"")</f>
        <v/>
      </c>
      <c r="B18942" s="87"/>
      <c r="C18942" s="87"/>
      <c r="D18942" s="87"/>
      <c r="E18942" s="87"/>
      <c r="F18942" s="87"/>
      <c r="G18942" s="87"/>
    </row>
    <row r="18943">
      <c r="A18943" s="86" t="str">
        <f>IFERROR(__xludf.DUMMYFUNCTION("""COMPUTED_VALUE"""),"")</f>
        <v/>
      </c>
      <c r="B18943" s="87"/>
      <c r="C18943" s="87"/>
      <c r="D18943" s="87"/>
      <c r="E18943" s="87"/>
      <c r="F18943" s="87"/>
      <c r="G18943" s="87"/>
    </row>
    <row r="18944">
      <c r="A18944" s="86" t="str">
        <f>IFERROR(__xludf.DUMMYFUNCTION("""COMPUTED_VALUE"""),"")</f>
        <v/>
      </c>
      <c r="B18944" s="87"/>
      <c r="C18944" s="87"/>
      <c r="D18944" s="87"/>
      <c r="E18944" s="87"/>
      <c r="F18944" s="87"/>
      <c r="G18944" s="87"/>
    </row>
    <row r="18945">
      <c r="A18945" s="86" t="str">
        <f>IFERROR(__xludf.DUMMYFUNCTION("""COMPUTED_VALUE"""),"")</f>
        <v/>
      </c>
      <c r="B18945" s="87"/>
      <c r="C18945" s="87"/>
      <c r="D18945" s="87"/>
      <c r="E18945" s="87"/>
      <c r="F18945" s="87"/>
      <c r="G18945" s="87"/>
    </row>
    <row r="18946">
      <c r="A18946" s="86" t="str">
        <f>IFERROR(__xludf.DUMMYFUNCTION("""COMPUTED_VALUE"""),"")</f>
        <v/>
      </c>
      <c r="B18946" s="87"/>
      <c r="C18946" s="87"/>
      <c r="D18946" s="87"/>
      <c r="E18946" s="87"/>
      <c r="F18946" s="87"/>
      <c r="G18946" s="87"/>
    </row>
    <row r="18947">
      <c r="A18947" s="86" t="str">
        <f>IFERROR(__xludf.DUMMYFUNCTION("""COMPUTED_VALUE"""),"")</f>
        <v/>
      </c>
      <c r="B18947" s="87"/>
      <c r="C18947" s="87"/>
      <c r="D18947" s="87"/>
      <c r="E18947" s="87"/>
      <c r="F18947" s="87"/>
      <c r="G18947" s="87"/>
    </row>
    <row r="18948">
      <c r="A18948" s="86" t="str">
        <f>IFERROR(__xludf.DUMMYFUNCTION("""COMPUTED_VALUE"""),"")</f>
        <v/>
      </c>
      <c r="B18948" s="87"/>
      <c r="C18948" s="87"/>
      <c r="D18948" s="87"/>
      <c r="E18948" s="87"/>
      <c r="F18948" s="87"/>
      <c r="G18948" s="87"/>
    </row>
    <row r="18949">
      <c r="A18949" s="86" t="str">
        <f>IFERROR(__xludf.DUMMYFUNCTION("""COMPUTED_VALUE"""),"")</f>
        <v/>
      </c>
      <c r="B18949" s="87"/>
      <c r="C18949" s="87"/>
      <c r="D18949" s="87"/>
      <c r="E18949" s="87"/>
      <c r="F18949" s="87"/>
      <c r="G18949" s="87"/>
    </row>
    <row r="18950">
      <c r="A18950" s="86" t="str">
        <f>IFERROR(__xludf.DUMMYFUNCTION("""COMPUTED_VALUE"""),"")</f>
        <v/>
      </c>
      <c r="B18950" s="87"/>
      <c r="C18950" s="87"/>
      <c r="D18950" s="87"/>
      <c r="E18950" s="87"/>
      <c r="F18950" s="87"/>
      <c r="G18950" s="87"/>
    </row>
    <row r="18951">
      <c r="A18951" s="86" t="str">
        <f>IFERROR(__xludf.DUMMYFUNCTION("""COMPUTED_VALUE"""),"")</f>
        <v/>
      </c>
      <c r="B18951" s="87"/>
      <c r="C18951" s="87"/>
      <c r="D18951" s="87"/>
      <c r="E18951" s="87"/>
      <c r="F18951" s="87"/>
      <c r="G18951" s="87"/>
    </row>
    <row r="18952">
      <c r="A18952" s="86" t="str">
        <f>IFERROR(__xludf.DUMMYFUNCTION("""COMPUTED_VALUE"""),"")</f>
        <v/>
      </c>
      <c r="B18952" s="87"/>
      <c r="C18952" s="87"/>
      <c r="D18952" s="87"/>
      <c r="E18952" s="87"/>
      <c r="F18952" s="87"/>
      <c r="G18952" s="87"/>
    </row>
    <row r="18953">
      <c r="A18953" s="86" t="str">
        <f>IFERROR(__xludf.DUMMYFUNCTION("""COMPUTED_VALUE"""),"")</f>
        <v/>
      </c>
      <c r="B18953" s="87"/>
      <c r="C18953" s="87"/>
      <c r="D18953" s="87"/>
      <c r="E18953" s="87"/>
      <c r="F18953" s="87"/>
      <c r="G18953" s="87"/>
    </row>
    <row r="18954">
      <c r="A18954" s="86" t="str">
        <f>IFERROR(__xludf.DUMMYFUNCTION("""COMPUTED_VALUE"""),"")</f>
        <v/>
      </c>
      <c r="B18954" s="87"/>
      <c r="C18954" s="87"/>
      <c r="D18954" s="87"/>
      <c r="E18954" s="87"/>
      <c r="F18954" s="87"/>
      <c r="G18954" s="87"/>
    </row>
    <row r="18955">
      <c r="A18955" s="86" t="str">
        <f>IFERROR(__xludf.DUMMYFUNCTION("""COMPUTED_VALUE"""),"")</f>
        <v/>
      </c>
      <c r="B18955" s="87"/>
      <c r="C18955" s="87"/>
      <c r="D18955" s="87"/>
      <c r="E18955" s="87"/>
      <c r="F18955" s="87"/>
      <c r="G18955" s="87"/>
    </row>
    <row r="18956">
      <c r="A18956" s="86" t="str">
        <f>IFERROR(__xludf.DUMMYFUNCTION("""COMPUTED_VALUE"""),"")</f>
        <v/>
      </c>
      <c r="B18956" s="87"/>
      <c r="C18956" s="87"/>
      <c r="D18956" s="87"/>
      <c r="E18956" s="87"/>
      <c r="F18956" s="87"/>
      <c r="G18956" s="87"/>
    </row>
    <row r="18957">
      <c r="A18957" s="86" t="str">
        <f>IFERROR(__xludf.DUMMYFUNCTION("""COMPUTED_VALUE"""),"")</f>
        <v/>
      </c>
      <c r="B18957" s="87"/>
      <c r="C18957" s="87"/>
      <c r="D18957" s="87"/>
      <c r="E18957" s="87"/>
      <c r="F18957" s="87"/>
      <c r="G18957" s="87"/>
    </row>
    <row r="18958">
      <c r="A18958" s="86" t="str">
        <f>IFERROR(__xludf.DUMMYFUNCTION("""COMPUTED_VALUE"""),"")</f>
        <v/>
      </c>
      <c r="B18958" s="87"/>
      <c r="C18958" s="87"/>
      <c r="D18958" s="87"/>
      <c r="E18958" s="87"/>
      <c r="F18958" s="87"/>
      <c r="G18958" s="87"/>
    </row>
    <row r="18959">
      <c r="A18959" s="86" t="str">
        <f>IFERROR(__xludf.DUMMYFUNCTION("""COMPUTED_VALUE"""),"")</f>
        <v/>
      </c>
      <c r="B18959" s="87"/>
      <c r="C18959" s="87"/>
      <c r="D18959" s="87"/>
      <c r="E18959" s="87"/>
      <c r="F18959" s="87"/>
      <c r="G18959" s="87"/>
    </row>
    <row r="18960">
      <c r="A18960" s="86" t="str">
        <f>IFERROR(__xludf.DUMMYFUNCTION("""COMPUTED_VALUE"""),"")</f>
        <v/>
      </c>
      <c r="B18960" s="87"/>
      <c r="C18960" s="87"/>
      <c r="D18960" s="87"/>
      <c r="E18960" s="87"/>
      <c r="F18960" s="87"/>
      <c r="G18960" s="87"/>
    </row>
    <row r="18961">
      <c r="A18961" s="86" t="str">
        <f>IFERROR(__xludf.DUMMYFUNCTION("""COMPUTED_VALUE"""),"")</f>
        <v/>
      </c>
      <c r="B18961" s="87"/>
      <c r="C18961" s="87"/>
      <c r="D18961" s="87"/>
      <c r="E18961" s="87"/>
      <c r="F18961" s="87"/>
      <c r="G18961" s="87"/>
    </row>
    <row r="18962">
      <c r="A18962" s="86" t="str">
        <f>IFERROR(__xludf.DUMMYFUNCTION("""COMPUTED_VALUE"""),"")</f>
        <v/>
      </c>
      <c r="B18962" s="87"/>
      <c r="C18962" s="87"/>
      <c r="D18962" s="87"/>
      <c r="E18962" s="87"/>
      <c r="F18962" s="87"/>
      <c r="G18962" s="87"/>
    </row>
    <row r="18963">
      <c r="A18963" s="86" t="str">
        <f>IFERROR(__xludf.DUMMYFUNCTION("""COMPUTED_VALUE"""),"")</f>
        <v/>
      </c>
      <c r="B18963" s="87"/>
      <c r="C18963" s="87"/>
      <c r="D18963" s="87"/>
      <c r="E18963" s="87"/>
      <c r="F18963" s="87"/>
      <c r="G18963" s="87"/>
    </row>
    <row r="18964">
      <c r="A18964" s="86" t="str">
        <f>IFERROR(__xludf.DUMMYFUNCTION("""COMPUTED_VALUE"""),"")</f>
        <v/>
      </c>
      <c r="B18964" s="87"/>
      <c r="C18964" s="87"/>
      <c r="D18964" s="87"/>
      <c r="E18964" s="87"/>
      <c r="F18964" s="87"/>
      <c r="G18964" s="87"/>
    </row>
    <row r="18965">
      <c r="A18965" s="86" t="str">
        <f>IFERROR(__xludf.DUMMYFUNCTION("""COMPUTED_VALUE"""),"")</f>
        <v/>
      </c>
      <c r="B18965" s="87"/>
      <c r="C18965" s="87"/>
      <c r="D18965" s="87"/>
      <c r="E18965" s="87"/>
      <c r="F18965" s="87"/>
      <c r="G18965" s="87"/>
    </row>
    <row r="18966">
      <c r="A18966" s="86" t="str">
        <f>IFERROR(__xludf.DUMMYFUNCTION("""COMPUTED_VALUE"""),"")</f>
        <v/>
      </c>
      <c r="B18966" s="87"/>
      <c r="C18966" s="87"/>
      <c r="D18966" s="87"/>
      <c r="E18966" s="87"/>
      <c r="F18966" s="87"/>
      <c r="G18966" s="87"/>
    </row>
    <row r="18967">
      <c r="A18967" s="86" t="str">
        <f>IFERROR(__xludf.DUMMYFUNCTION("""COMPUTED_VALUE"""),"")</f>
        <v/>
      </c>
      <c r="B18967" s="87"/>
      <c r="C18967" s="87"/>
      <c r="D18967" s="87"/>
      <c r="E18967" s="87"/>
      <c r="F18967" s="87"/>
      <c r="G18967" s="87"/>
    </row>
    <row r="18968">
      <c r="A18968" s="86" t="str">
        <f>IFERROR(__xludf.DUMMYFUNCTION("""COMPUTED_VALUE"""),"")</f>
        <v/>
      </c>
      <c r="B18968" s="87"/>
      <c r="C18968" s="87"/>
      <c r="D18968" s="87"/>
      <c r="E18968" s="87"/>
      <c r="F18968" s="87"/>
      <c r="G18968" s="87"/>
    </row>
    <row r="18969">
      <c r="A18969" s="86" t="str">
        <f>IFERROR(__xludf.DUMMYFUNCTION("""COMPUTED_VALUE"""),"")</f>
        <v/>
      </c>
      <c r="B18969" s="87"/>
      <c r="C18969" s="87"/>
      <c r="D18969" s="87"/>
      <c r="E18969" s="87"/>
      <c r="F18969" s="87"/>
      <c r="G18969" s="87"/>
    </row>
    <row r="18970">
      <c r="A18970" s="86" t="str">
        <f>IFERROR(__xludf.DUMMYFUNCTION("""COMPUTED_VALUE"""),"")</f>
        <v/>
      </c>
      <c r="B18970" s="87"/>
      <c r="C18970" s="87"/>
      <c r="D18970" s="87"/>
      <c r="E18970" s="87"/>
      <c r="F18970" s="87"/>
      <c r="G18970" s="87"/>
    </row>
    <row r="18971">
      <c r="A18971" s="86" t="str">
        <f>IFERROR(__xludf.DUMMYFUNCTION("""COMPUTED_VALUE"""),"")</f>
        <v/>
      </c>
      <c r="B18971" s="87"/>
      <c r="C18971" s="87"/>
      <c r="D18971" s="87"/>
      <c r="E18971" s="87"/>
      <c r="F18971" s="87"/>
      <c r="G18971" s="87"/>
    </row>
    <row r="18972">
      <c r="A18972" s="86" t="str">
        <f>IFERROR(__xludf.DUMMYFUNCTION("""COMPUTED_VALUE"""),"")</f>
        <v/>
      </c>
      <c r="B18972" s="87"/>
      <c r="C18972" s="87"/>
      <c r="D18972" s="87"/>
      <c r="E18972" s="87"/>
      <c r="F18972" s="87"/>
      <c r="G18972" s="87"/>
    </row>
    <row r="18973">
      <c r="A18973" s="86" t="str">
        <f>IFERROR(__xludf.DUMMYFUNCTION("""COMPUTED_VALUE"""),"")</f>
        <v/>
      </c>
      <c r="B18973" s="87"/>
      <c r="C18973" s="87"/>
      <c r="D18973" s="87"/>
      <c r="E18973" s="87"/>
      <c r="F18973" s="87"/>
      <c r="G18973" s="87"/>
    </row>
    <row r="18974">
      <c r="A18974" s="86" t="str">
        <f>IFERROR(__xludf.DUMMYFUNCTION("""COMPUTED_VALUE"""),"")</f>
        <v/>
      </c>
      <c r="B18974" s="87"/>
      <c r="C18974" s="87"/>
      <c r="D18974" s="87"/>
      <c r="E18974" s="87"/>
      <c r="F18974" s="87"/>
      <c r="G18974" s="87"/>
    </row>
    <row r="18975">
      <c r="A18975" s="86" t="str">
        <f>IFERROR(__xludf.DUMMYFUNCTION("""COMPUTED_VALUE"""),"")</f>
        <v/>
      </c>
      <c r="B18975" s="87"/>
      <c r="C18975" s="87"/>
      <c r="D18975" s="87"/>
      <c r="E18975" s="87"/>
      <c r="F18975" s="87"/>
      <c r="G18975" s="87"/>
    </row>
    <row r="18976">
      <c r="A18976" s="86" t="str">
        <f>IFERROR(__xludf.DUMMYFUNCTION("""COMPUTED_VALUE"""),"")</f>
        <v/>
      </c>
      <c r="B18976" s="87"/>
      <c r="C18976" s="87"/>
      <c r="D18976" s="87"/>
      <c r="E18976" s="87"/>
      <c r="F18976" s="87"/>
      <c r="G18976" s="87"/>
    </row>
    <row r="18977">
      <c r="A18977" s="86" t="str">
        <f>IFERROR(__xludf.DUMMYFUNCTION("""COMPUTED_VALUE"""),"")</f>
        <v/>
      </c>
      <c r="B18977" s="87"/>
      <c r="C18977" s="87"/>
      <c r="D18977" s="87"/>
      <c r="E18977" s="87"/>
      <c r="F18977" s="87"/>
      <c r="G18977" s="87"/>
    </row>
    <row r="18978">
      <c r="A18978" s="86" t="str">
        <f>IFERROR(__xludf.DUMMYFUNCTION("""COMPUTED_VALUE"""),"")</f>
        <v/>
      </c>
      <c r="B18978" s="87"/>
      <c r="C18978" s="87"/>
      <c r="D18978" s="87"/>
      <c r="E18978" s="87"/>
      <c r="F18978" s="87"/>
      <c r="G18978" s="87"/>
    </row>
    <row r="18979">
      <c r="A18979" s="86" t="str">
        <f>IFERROR(__xludf.DUMMYFUNCTION("""COMPUTED_VALUE"""),"")</f>
        <v/>
      </c>
      <c r="B18979" s="87"/>
      <c r="C18979" s="87"/>
      <c r="D18979" s="87"/>
      <c r="E18979" s="87"/>
      <c r="F18979" s="87"/>
      <c r="G18979" s="87"/>
    </row>
    <row r="18980">
      <c r="A18980" s="86" t="str">
        <f>IFERROR(__xludf.DUMMYFUNCTION("""COMPUTED_VALUE"""),"")</f>
        <v/>
      </c>
      <c r="B18980" s="87"/>
      <c r="C18980" s="87"/>
      <c r="D18980" s="87"/>
      <c r="E18980" s="87"/>
      <c r="F18980" s="87"/>
      <c r="G18980" s="87"/>
    </row>
    <row r="18981">
      <c r="A18981" s="86" t="str">
        <f>IFERROR(__xludf.DUMMYFUNCTION("""COMPUTED_VALUE"""),"")</f>
        <v/>
      </c>
      <c r="B18981" s="87"/>
      <c r="C18981" s="87"/>
      <c r="D18981" s="87"/>
      <c r="E18981" s="87"/>
      <c r="F18981" s="87"/>
      <c r="G18981" s="87"/>
    </row>
    <row r="18982">
      <c r="A18982" s="86" t="str">
        <f>IFERROR(__xludf.DUMMYFUNCTION("""COMPUTED_VALUE"""),"")</f>
        <v/>
      </c>
      <c r="B18982" s="87"/>
      <c r="C18982" s="87"/>
      <c r="D18982" s="87"/>
      <c r="E18982" s="87"/>
      <c r="F18982" s="87"/>
      <c r="G18982" s="87"/>
    </row>
    <row r="18983">
      <c r="A18983" s="86" t="str">
        <f>IFERROR(__xludf.DUMMYFUNCTION("""COMPUTED_VALUE"""),"")</f>
        <v/>
      </c>
      <c r="B18983" s="87"/>
      <c r="C18983" s="87"/>
      <c r="D18983" s="87"/>
      <c r="E18983" s="87"/>
      <c r="F18983" s="87"/>
      <c r="G18983" s="87"/>
    </row>
    <row r="18984">
      <c r="A18984" s="86" t="str">
        <f>IFERROR(__xludf.DUMMYFUNCTION("""COMPUTED_VALUE"""),"")</f>
        <v/>
      </c>
      <c r="B18984" s="87"/>
      <c r="C18984" s="87"/>
      <c r="D18984" s="87"/>
      <c r="E18984" s="87"/>
      <c r="F18984" s="87"/>
      <c r="G18984" s="87"/>
    </row>
    <row r="18985">
      <c r="A18985" s="86" t="str">
        <f>IFERROR(__xludf.DUMMYFUNCTION("""COMPUTED_VALUE"""),"")</f>
        <v/>
      </c>
      <c r="B18985" s="87"/>
      <c r="C18985" s="87"/>
      <c r="D18985" s="87"/>
      <c r="E18985" s="87"/>
      <c r="F18985" s="87"/>
      <c r="G18985" s="87"/>
    </row>
    <row r="18986">
      <c r="A18986" s="86" t="str">
        <f>IFERROR(__xludf.DUMMYFUNCTION("""COMPUTED_VALUE"""),"")</f>
        <v/>
      </c>
      <c r="B18986" s="87"/>
      <c r="C18986" s="87"/>
      <c r="D18986" s="87"/>
      <c r="E18986" s="87"/>
      <c r="F18986" s="87"/>
      <c r="G18986" s="87"/>
    </row>
    <row r="18987">
      <c r="A18987" s="86" t="str">
        <f>IFERROR(__xludf.DUMMYFUNCTION("""COMPUTED_VALUE"""),"")</f>
        <v/>
      </c>
      <c r="B18987" s="87"/>
      <c r="C18987" s="87"/>
      <c r="D18987" s="87"/>
      <c r="E18987" s="87"/>
      <c r="F18987" s="87"/>
      <c r="G18987" s="87"/>
    </row>
    <row r="18988">
      <c r="A18988" s="86" t="str">
        <f>IFERROR(__xludf.DUMMYFUNCTION("""COMPUTED_VALUE"""),"")</f>
        <v/>
      </c>
      <c r="B18988" s="87"/>
      <c r="C18988" s="87"/>
      <c r="D18988" s="87"/>
      <c r="E18988" s="87"/>
      <c r="F18988" s="87"/>
      <c r="G18988" s="87"/>
    </row>
    <row r="18989">
      <c r="A18989" s="86" t="str">
        <f>IFERROR(__xludf.DUMMYFUNCTION("""COMPUTED_VALUE"""),"")</f>
        <v/>
      </c>
      <c r="B18989" s="87"/>
      <c r="C18989" s="87"/>
      <c r="D18989" s="87"/>
      <c r="E18989" s="87"/>
      <c r="F18989" s="87"/>
      <c r="G18989" s="87"/>
    </row>
    <row r="18990">
      <c r="A18990" s="86" t="str">
        <f>IFERROR(__xludf.DUMMYFUNCTION("""COMPUTED_VALUE"""),"")</f>
        <v/>
      </c>
      <c r="B18990" s="87"/>
      <c r="C18990" s="87"/>
      <c r="D18990" s="87"/>
      <c r="E18990" s="87"/>
      <c r="F18990" s="87"/>
      <c r="G18990" s="87"/>
    </row>
    <row r="18991">
      <c r="A18991" s="86" t="str">
        <f>IFERROR(__xludf.DUMMYFUNCTION("""COMPUTED_VALUE"""),"")</f>
        <v/>
      </c>
      <c r="B18991" s="87"/>
      <c r="C18991" s="87"/>
      <c r="D18991" s="87"/>
      <c r="E18991" s="87"/>
      <c r="F18991" s="87"/>
      <c r="G18991" s="87"/>
    </row>
    <row r="18992">
      <c r="A18992" s="86" t="str">
        <f>IFERROR(__xludf.DUMMYFUNCTION("""COMPUTED_VALUE"""),"")</f>
        <v/>
      </c>
      <c r="B18992" s="87"/>
      <c r="C18992" s="87"/>
      <c r="D18992" s="87"/>
      <c r="E18992" s="87"/>
      <c r="F18992" s="87"/>
      <c r="G18992" s="87"/>
    </row>
    <row r="18993">
      <c r="A18993" s="86" t="str">
        <f>IFERROR(__xludf.DUMMYFUNCTION("""COMPUTED_VALUE"""),"")</f>
        <v/>
      </c>
      <c r="B18993" s="87"/>
      <c r="C18993" s="87"/>
      <c r="D18993" s="87"/>
      <c r="E18993" s="87"/>
      <c r="F18993" s="87"/>
      <c r="G18993" s="87"/>
    </row>
    <row r="18994">
      <c r="A18994" s="86" t="str">
        <f>IFERROR(__xludf.DUMMYFUNCTION("""COMPUTED_VALUE"""),"")</f>
        <v/>
      </c>
      <c r="B18994" s="87"/>
      <c r="C18994" s="87"/>
      <c r="D18994" s="87"/>
      <c r="E18994" s="87"/>
      <c r="F18994" s="87"/>
      <c r="G18994" s="87"/>
    </row>
    <row r="18995">
      <c r="A18995" s="86" t="str">
        <f>IFERROR(__xludf.DUMMYFUNCTION("""COMPUTED_VALUE"""),"")</f>
        <v/>
      </c>
      <c r="B18995" s="87"/>
      <c r="C18995" s="87"/>
      <c r="D18995" s="87"/>
      <c r="E18995" s="87"/>
      <c r="F18995" s="87"/>
      <c r="G18995" s="87"/>
    </row>
    <row r="18996">
      <c r="A18996" s="86" t="str">
        <f>IFERROR(__xludf.DUMMYFUNCTION("""COMPUTED_VALUE"""),"")</f>
        <v/>
      </c>
      <c r="B18996" s="87"/>
      <c r="C18996" s="87"/>
      <c r="D18996" s="87"/>
      <c r="E18996" s="87"/>
      <c r="F18996" s="87"/>
      <c r="G18996" s="87"/>
    </row>
    <row r="18997">
      <c r="A18997" s="86" t="str">
        <f>IFERROR(__xludf.DUMMYFUNCTION("""COMPUTED_VALUE"""),"")</f>
        <v/>
      </c>
      <c r="B18997" s="87"/>
      <c r="C18997" s="87"/>
      <c r="D18997" s="87"/>
      <c r="E18997" s="87"/>
      <c r="F18997" s="87"/>
      <c r="G18997" s="87"/>
    </row>
    <row r="18998">
      <c r="A18998" s="86" t="str">
        <f>IFERROR(__xludf.DUMMYFUNCTION("""COMPUTED_VALUE"""),"")</f>
        <v/>
      </c>
      <c r="B18998" s="87"/>
      <c r="C18998" s="87"/>
      <c r="D18998" s="87"/>
      <c r="E18998" s="87"/>
      <c r="F18998" s="87"/>
      <c r="G18998" s="87"/>
    </row>
    <row r="18999">
      <c r="A18999" s="86" t="str">
        <f>IFERROR(__xludf.DUMMYFUNCTION("""COMPUTED_VALUE"""),"")</f>
        <v/>
      </c>
      <c r="B18999" s="87"/>
      <c r="C18999" s="87"/>
      <c r="D18999" s="87"/>
      <c r="E18999" s="87"/>
      <c r="F18999" s="87"/>
      <c r="G18999" s="87"/>
    </row>
    <row r="19000">
      <c r="A19000" s="86" t="str">
        <f>IFERROR(__xludf.DUMMYFUNCTION("""COMPUTED_VALUE"""),"")</f>
        <v/>
      </c>
      <c r="B19000" s="87"/>
      <c r="C19000" s="87"/>
      <c r="D19000" s="87"/>
      <c r="E19000" s="87"/>
      <c r="F19000" s="87"/>
      <c r="G19000" s="87"/>
    </row>
    <row r="19001">
      <c r="A19001" s="86" t="str">
        <f>IFERROR(__xludf.DUMMYFUNCTION("""COMPUTED_VALUE"""),"")</f>
        <v/>
      </c>
      <c r="B19001" s="87"/>
      <c r="C19001" s="87"/>
      <c r="D19001" s="87"/>
      <c r="E19001" s="87"/>
      <c r="F19001" s="87"/>
      <c r="G19001" s="87"/>
    </row>
    <row r="19002">
      <c r="A19002" s="86" t="str">
        <f>IFERROR(__xludf.DUMMYFUNCTION("""COMPUTED_VALUE"""),"")</f>
        <v/>
      </c>
      <c r="B19002" s="87"/>
      <c r="C19002" s="87"/>
      <c r="D19002" s="87"/>
      <c r="E19002" s="87"/>
      <c r="F19002" s="87"/>
      <c r="G19002" s="87"/>
    </row>
    <row r="19003">
      <c r="A19003" s="86" t="str">
        <f>IFERROR(__xludf.DUMMYFUNCTION("""COMPUTED_VALUE"""),"")</f>
        <v/>
      </c>
      <c r="B19003" s="87"/>
      <c r="C19003" s="87"/>
      <c r="D19003" s="87"/>
      <c r="E19003" s="87"/>
      <c r="F19003" s="87"/>
      <c r="G19003" s="87"/>
    </row>
    <row r="19004">
      <c r="A19004" s="86" t="str">
        <f>IFERROR(__xludf.DUMMYFUNCTION("""COMPUTED_VALUE"""),"")</f>
        <v/>
      </c>
      <c r="B19004" s="87"/>
      <c r="C19004" s="87"/>
      <c r="D19004" s="87"/>
      <c r="E19004" s="87"/>
      <c r="F19004" s="87"/>
      <c r="G19004" s="87"/>
    </row>
    <row r="19005">
      <c r="A19005" s="86" t="str">
        <f>IFERROR(__xludf.DUMMYFUNCTION("""COMPUTED_VALUE"""),"")</f>
        <v/>
      </c>
      <c r="B19005" s="87"/>
      <c r="C19005" s="87"/>
      <c r="D19005" s="87"/>
      <c r="E19005" s="87"/>
      <c r="F19005" s="87"/>
      <c r="G19005" s="87"/>
    </row>
    <row r="19006">
      <c r="A19006" s="86" t="str">
        <f>IFERROR(__xludf.DUMMYFUNCTION("""COMPUTED_VALUE"""),"")</f>
        <v/>
      </c>
      <c r="B19006" s="87"/>
      <c r="C19006" s="87"/>
      <c r="D19006" s="87"/>
      <c r="E19006" s="87"/>
      <c r="F19006" s="87"/>
      <c r="G19006" s="87"/>
    </row>
    <row r="19007">
      <c r="A19007" s="86" t="str">
        <f>IFERROR(__xludf.DUMMYFUNCTION("""COMPUTED_VALUE"""),"")</f>
        <v/>
      </c>
      <c r="B19007" s="87"/>
      <c r="C19007" s="87"/>
      <c r="D19007" s="87"/>
      <c r="E19007" s="87"/>
      <c r="F19007" s="87"/>
      <c r="G19007" s="87"/>
    </row>
    <row r="19008">
      <c r="A19008" s="86" t="str">
        <f>IFERROR(__xludf.DUMMYFUNCTION("""COMPUTED_VALUE"""),"")</f>
        <v/>
      </c>
      <c r="B19008" s="87"/>
      <c r="C19008" s="87"/>
      <c r="D19008" s="87"/>
      <c r="E19008" s="87"/>
      <c r="F19008" s="87"/>
      <c r="G19008" s="87"/>
    </row>
    <row r="19009">
      <c r="A19009" s="86" t="str">
        <f>IFERROR(__xludf.DUMMYFUNCTION("""COMPUTED_VALUE"""),"")</f>
        <v/>
      </c>
      <c r="B19009" s="87"/>
      <c r="C19009" s="87"/>
      <c r="D19009" s="87"/>
      <c r="E19009" s="87"/>
      <c r="F19009" s="87"/>
      <c r="G19009" s="87"/>
    </row>
    <row r="19010">
      <c r="A19010" s="86" t="str">
        <f>IFERROR(__xludf.DUMMYFUNCTION("""COMPUTED_VALUE"""),"")</f>
        <v/>
      </c>
      <c r="B19010" s="87"/>
      <c r="C19010" s="87"/>
      <c r="D19010" s="87"/>
      <c r="E19010" s="87"/>
      <c r="F19010" s="87"/>
      <c r="G19010" s="87"/>
    </row>
    <row r="19011">
      <c r="A19011" s="86" t="str">
        <f>IFERROR(__xludf.DUMMYFUNCTION("""COMPUTED_VALUE"""),"")</f>
        <v/>
      </c>
      <c r="B19011" s="87"/>
      <c r="C19011" s="87"/>
      <c r="D19011" s="87"/>
      <c r="E19011" s="87"/>
      <c r="F19011" s="87"/>
      <c r="G19011" s="87"/>
    </row>
    <row r="19012">
      <c r="A19012" s="86" t="str">
        <f>IFERROR(__xludf.DUMMYFUNCTION("""COMPUTED_VALUE"""),"")</f>
        <v/>
      </c>
      <c r="B19012" s="87"/>
      <c r="C19012" s="87"/>
      <c r="D19012" s="87"/>
      <c r="E19012" s="87"/>
      <c r="F19012" s="87"/>
      <c r="G19012" s="87"/>
    </row>
    <row r="19013">
      <c r="A19013" s="86" t="str">
        <f>IFERROR(__xludf.DUMMYFUNCTION("""COMPUTED_VALUE"""),"")</f>
        <v/>
      </c>
      <c r="B19013" s="87"/>
      <c r="C19013" s="87"/>
      <c r="D19013" s="87"/>
      <c r="E19013" s="87"/>
      <c r="F19013" s="87"/>
      <c r="G19013" s="87"/>
    </row>
    <row r="19014">
      <c r="A19014" s="86" t="str">
        <f>IFERROR(__xludf.DUMMYFUNCTION("""COMPUTED_VALUE"""),"")</f>
        <v/>
      </c>
      <c r="B19014" s="87"/>
      <c r="C19014" s="87"/>
      <c r="D19014" s="87"/>
      <c r="E19014" s="87"/>
      <c r="F19014" s="87"/>
      <c r="G19014" s="87"/>
    </row>
    <row r="19015">
      <c r="A19015" s="86" t="str">
        <f>IFERROR(__xludf.DUMMYFUNCTION("""COMPUTED_VALUE"""),"")</f>
        <v/>
      </c>
      <c r="B19015" s="87"/>
      <c r="C19015" s="87"/>
      <c r="D19015" s="87"/>
      <c r="E19015" s="87"/>
      <c r="F19015" s="87"/>
      <c r="G19015" s="87"/>
    </row>
    <row r="19016">
      <c r="A19016" s="86" t="str">
        <f>IFERROR(__xludf.DUMMYFUNCTION("""COMPUTED_VALUE"""),"")</f>
        <v/>
      </c>
      <c r="B19016" s="87"/>
      <c r="C19016" s="87"/>
      <c r="D19016" s="87"/>
      <c r="E19016" s="87"/>
      <c r="F19016" s="87"/>
      <c r="G19016" s="87"/>
    </row>
    <row r="19017">
      <c r="A19017" s="86" t="str">
        <f>IFERROR(__xludf.DUMMYFUNCTION("""COMPUTED_VALUE"""),"")</f>
        <v/>
      </c>
      <c r="B19017" s="87"/>
      <c r="C19017" s="87"/>
      <c r="D19017" s="87"/>
      <c r="E19017" s="87"/>
      <c r="F19017" s="87"/>
      <c r="G19017" s="87"/>
    </row>
    <row r="19018">
      <c r="A19018" s="86" t="str">
        <f>IFERROR(__xludf.DUMMYFUNCTION("""COMPUTED_VALUE"""),"")</f>
        <v/>
      </c>
      <c r="B19018" s="87"/>
      <c r="C19018" s="87"/>
      <c r="D19018" s="87"/>
      <c r="E19018" s="87"/>
      <c r="F19018" s="87"/>
      <c r="G19018" s="87"/>
    </row>
    <row r="19019">
      <c r="A19019" s="86" t="str">
        <f>IFERROR(__xludf.DUMMYFUNCTION("""COMPUTED_VALUE"""),"")</f>
        <v/>
      </c>
      <c r="B19019" s="87"/>
      <c r="C19019" s="87"/>
      <c r="D19019" s="87"/>
      <c r="E19019" s="87"/>
      <c r="F19019" s="87"/>
      <c r="G19019" s="87"/>
    </row>
    <row r="19020">
      <c r="A19020" s="86" t="str">
        <f>IFERROR(__xludf.DUMMYFUNCTION("""COMPUTED_VALUE"""),"")</f>
        <v/>
      </c>
      <c r="B19020" s="87"/>
      <c r="C19020" s="87"/>
      <c r="D19020" s="87"/>
      <c r="E19020" s="87"/>
      <c r="F19020" s="87"/>
      <c r="G19020" s="87"/>
    </row>
    <row r="19021">
      <c r="A19021" s="86" t="str">
        <f>IFERROR(__xludf.DUMMYFUNCTION("""COMPUTED_VALUE"""),"")</f>
        <v/>
      </c>
      <c r="B19021" s="87"/>
      <c r="C19021" s="87"/>
      <c r="D19021" s="87"/>
      <c r="E19021" s="87"/>
      <c r="F19021" s="87"/>
      <c r="G19021" s="87"/>
    </row>
    <row r="19022">
      <c r="A19022" s="86" t="str">
        <f>IFERROR(__xludf.DUMMYFUNCTION("""COMPUTED_VALUE"""),"")</f>
        <v/>
      </c>
      <c r="B19022" s="87"/>
      <c r="C19022" s="87"/>
      <c r="D19022" s="87"/>
      <c r="E19022" s="87"/>
      <c r="F19022" s="87"/>
      <c r="G19022" s="87"/>
    </row>
    <row r="19023">
      <c r="A19023" s="86" t="str">
        <f>IFERROR(__xludf.DUMMYFUNCTION("""COMPUTED_VALUE"""),"")</f>
        <v/>
      </c>
      <c r="B19023" s="87"/>
      <c r="C19023" s="87"/>
      <c r="D19023" s="87"/>
      <c r="E19023" s="87"/>
      <c r="F19023" s="87"/>
      <c r="G19023" s="87"/>
    </row>
    <row r="19024">
      <c r="A19024" s="86" t="str">
        <f>IFERROR(__xludf.DUMMYFUNCTION("""COMPUTED_VALUE"""),"")</f>
        <v/>
      </c>
      <c r="B19024" s="87"/>
      <c r="C19024" s="87"/>
      <c r="D19024" s="87"/>
      <c r="E19024" s="87"/>
      <c r="F19024" s="87"/>
      <c r="G19024" s="87"/>
    </row>
    <row r="19025">
      <c r="A19025" s="86" t="str">
        <f>IFERROR(__xludf.DUMMYFUNCTION("""COMPUTED_VALUE"""),"")</f>
        <v/>
      </c>
      <c r="B19025" s="87"/>
      <c r="C19025" s="87"/>
      <c r="D19025" s="87"/>
      <c r="E19025" s="87"/>
      <c r="F19025" s="87"/>
      <c r="G19025" s="87"/>
    </row>
    <row r="19026">
      <c r="A19026" s="86" t="str">
        <f>IFERROR(__xludf.DUMMYFUNCTION("""COMPUTED_VALUE"""),"")</f>
        <v/>
      </c>
      <c r="B19026" s="87"/>
      <c r="C19026" s="87"/>
      <c r="D19026" s="87"/>
      <c r="E19026" s="87"/>
      <c r="F19026" s="87"/>
      <c r="G19026" s="87"/>
    </row>
    <row r="19027">
      <c r="A19027" s="86" t="str">
        <f>IFERROR(__xludf.DUMMYFUNCTION("""COMPUTED_VALUE"""),"")</f>
        <v/>
      </c>
      <c r="B19027" s="87"/>
      <c r="C19027" s="87"/>
      <c r="D19027" s="87"/>
      <c r="E19027" s="87"/>
      <c r="F19027" s="87"/>
      <c r="G19027" s="87"/>
    </row>
    <row r="19028">
      <c r="A19028" s="86" t="str">
        <f>IFERROR(__xludf.DUMMYFUNCTION("""COMPUTED_VALUE"""),"")</f>
        <v/>
      </c>
      <c r="B19028" s="87"/>
      <c r="C19028" s="87"/>
      <c r="D19028" s="87"/>
      <c r="E19028" s="87"/>
      <c r="F19028" s="87"/>
      <c r="G19028" s="87"/>
    </row>
    <row r="19029">
      <c r="A19029" s="86" t="str">
        <f>IFERROR(__xludf.DUMMYFUNCTION("""COMPUTED_VALUE"""),"")</f>
        <v/>
      </c>
      <c r="B19029" s="87"/>
      <c r="C19029" s="87"/>
      <c r="D19029" s="87"/>
      <c r="E19029" s="87"/>
      <c r="F19029" s="87"/>
      <c r="G19029" s="87"/>
    </row>
    <row r="19030">
      <c r="A19030" s="86" t="str">
        <f>IFERROR(__xludf.DUMMYFUNCTION("""COMPUTED_VALUE"""),"")</f>
        <v/>
      </c>
      <c r="B19030" s="87"/>
      <c r="C19030" s="87"/>
      <c r="D19030" s="87"/>
      <c r="E19030" s="87"/>
      <c r="F19030" s="87"/>
      <c r="G19030" s="87"/>
    </row>
    <row r="19031">
      <c r="A19031" s="86" t="str">
        <f>IFERROR(__xludf.DUMMYFUNCTION("""COMPUTED_VALUE"""),"")</f>
        <v/>
      </c>
      <c r="B19031" s="87"/>
      <c r="C19031" s="87"/>
      <c r="D19031" s="87"/>
      <c r="E19031" s="87"/>
      <c r="F19031" s="87"/>
      <c r="G19031" s="87"/>
    </row>
    <row r="19032">
      <c r="A19032" s="86" t="str">
        <f>IFERROR(__xludf.DUMMYFUNCTION("""COMPUTED_VALUE"""),"")</f>
        <v/>
      </c>
      <c r="B19032" s="87"/>
      <c r="C19032" s="87"/>
      <c r="D19032" s="87"/>
      <c r="E19032" s="87"/>
      <c r="F19032" s="87"/>
      <c r="G19032" s="87"/>
    </row>
    <row r="19033">
      <c r="A19033" s="86" t="str">
        <f>IFERROR(__xludf.DUMMYFUNCTION("""COMPUTED_VALUE"""),"")</f>
        <v/>
      </c>
      <c r="B19033" s="87"/>
      <c r="C19033" s="87"/>
      <c r="D19033" s="87"/>
      <c r="E19033" s="87"/>
      <c r="F19033" s="87"/>
      <c r="G19033" s="87"/>
    </row>
    <row r="19034">
      <c r="A19034" s="86" t="str">
        <f>IFERROR(__xludf.DUMMYFUNCTION("""COMPUTED_VALUE"""),"")</f>
        <v/>
      </c>
      <c r="B19034" s="87"/>
      <c r="C19034" s="87"/>
      <c r="D19034" s="87"/>
      <c r="E19034" s="87"/>
      <c r="F19034" s="87"/>
      <c r="G19034" s="87"/>
    </row>
    <row r="19035">
      <c r="A19035" s="86" t="str">
        <f>IFERROR(__xludf.DUMMYFUNCTION("""COMPUTED_VALUE"""),"")</f>
        <v/>
      </c>
      <c r="B19035" s="87"/>
      <c r="C19035" s="87"/>
      <c r="D19035" s="87"/>
      <c r="E19035" s="87"/>
      <c r="F19035" s="87"/>
      <c r="G19035" s="87"/>
    </row>
    <row r="19036">
      <c r="A19036" s="86" t="str">
        <f>IFERROR(__xludf.DUMMYFUNCTION("""COMPUTED_VALUE"""),"")</f>
        <v/>
      </c>
      <c r="B19036" s="87"/>
      <c r="C19036" s="87"/>
      <c r="D19036" s="87"/>
      <c r="E19036" s="87"/>
      <c r="F19036" s="87"/>
      <c r="G19036" s="87"/>
    </row>
    <row r="19037">
      <c r="A19037" s="86" t="str">
        <f>IFERROR(__xludf.DUMMYFUNCTION("""COMPUTED_VALUE"""),"")</f>
        <v/>
      </c>
      <c r="B19037" s="87"/>
      <c r="C19037" s="87"/>
      <c r="D19037" s="87"/>
      <c r="E19037" s="87"/>
      <c r="F19037" s="87"/>
      <c r="G19037" s="87"/>
    </row>
    <row r="19038">
      <c r="A19038" s="86" t="str">
        <f>IFERROR(__xludf.DUMMYFUNCTION("""COMPUTED_VALUE"""),"")</f>
        <v/>
      </c>
      <c r="B19038" s="87"/>
      <c r="C19038" s="87"/>
      <c r="D19038" s="87"/>
      <c r="E19038" s="87"/>
      <c r="F19038" s="87"/>
      <c r="G19038" s="87"/>
    </row>
    <row r="19039">
      <c r="A19039" s="86" t="str">
        <f>IFERROR(__xludf.DUMMYFUNCTION("""COMPUTED_VALUE"""),"")</f>
        <v/>
      </c>
      <c r="B19039" s="87"/>
      <c r="C19039" s="87"/>
      <c r="D19039" s="87"/>
      <c r="E19039" s="87"/>
      <c r="F19039" s="87"/>
      <c r="G19039" s="87"/>
    </row>
    <row r="19040">
      <c r="A19040" s="86" t="str">
        <f>IFERROR(__xludf.DUMMYFUNCTION("""COMPUTED_VALUE"""),"")</f>
        <v/>
      </c>
      <c r="B19040" s="87"/>
      <c r="C19040" s="87"/>
      <c r="D19040" s="87"/>
      <c r="E19040" s="87"/>
      <c r="F19040" s="87"/>
      <c r="G19040" s="87"/>
    </row>
    <row r="19041">
      <c r="A19041" s="86" t="str">
        <f>IFERROR(__xludf.DUMMYFUNCTION("""COMPUTED_VALUE"""),"")</f>
        <v/>
      </c>
      <c r="B19041" s="87"/>
      <c r="C19041" s="87"/>
      <c r="D19041" s="87"/>
      <c r="E19041" s="87"/>
      <c r="F19041" s="87"/>
      <c r="G19041" s="87"/>
    </row>
    <row r="19042">
      <c r="A19042" s="86" t="str">
        <f>IFERROR(__xludf.DUMMYFUNCTION("""COMPUTED_VALUE"""),"")</f>
        <v/>
      </c>
      <c r="B19042" s="87"/>
      <c r="C19042" s="87"/>
      <c r="D19042" s="87"/>
      <c r="E19042" s="87"/>
      <c r="F19042" s="87"/>
      <c r="G19042" s="87"/>
    </row>
    <row r="19043">
      <c r="A19043" s="86" t="str">
        <f>IFERROR(__xludf.DUMMYFUNCTION("""COMPUTED_VALUE"""),"")</f>
        <v/>
      </c>
      <c r="B19043" s="87"/>
      <c r="C19043" s="87"/>
      <c r="D19043" s="87"/>
      <c r="E19043" s="87"/>
      <c r="F19043" s="87"/>
      <c r="G19043" s="87"/>
    </row>
    <row r="19044">
      <c r="A19044" s="86" t="str">
        <f>IFERROR(__xludf.DUMMYFUNCTION("""COMPUTED_VALUE"""),"")</f>
        <v/>
      </c>
      <c r="B19044" s="87"/>
      <c r="C19044" s="87"/>
      <c r="D19044" s="87"/>
      <c r="E19044" s="87"/>
      <c r="F19044" s="87"/>
      <c r="G19044" s="87"/>
    </row>
    <row r="19045">
      <c r="A19045" s="86" t="str">
        <f>IFERROR(__xludf.DUMMYFUNCTION("""COMPUTED_VALUE"""),"")</f>
        <v/>
      </c>
      <c r="B19045" s="87"/>
      <c r="C19045" s="87"/>
      <c r="D19045" s="87"/>
      <c r="E19045" s="87"/>
      <c r="F19045" s="87"/>
      <c r="G19045" s="87"/>
    </row>
    <row r="19046">
      <c r="A19046" s="86" t="str">
        <f>IFERROR(__xludf.DUMMYFUNCTION("""COMPUTED_VALUE"""),"")</f>
        <v/>
      </c>
      <c r="B19046" s="87"/>
      <c r="C19046" s="87"/>
      <c r="D19046" s="87"/>
      <c r="E19046" s="87"/>
      <c r="F19046" s="87"/>
      <c r="G19046" s="87"/>
    </row>
    <row r="19047">
      <c r="A19047" s="86" t="str">
        <f>IFERROR(__xludf.DUMMYFUNCTION("""COMPUTED_VALUE"""),"")</f>
        <v/>
      </c>
      <c r="B19047" s="87"/>
      <c r="C19047" s="87"/>
      <c r="D19047" s="87"/>
      <c r="E19047" s="87"/>
      <c r="F19047" s="87"/>
      <c r="G19047" s="87"/>
    </row>
    <row r="19048">
      <c r="A19048" s="86" t="str">
        <f>IFERROR(__xludf.DUMMYFUNCTION("""COMPUTED_VALUE"""),"")</f>
        <v/>
      </c>
      <c r="B19048" s="87"/>
      <c r="C19048" s="87"/>
      <c r="D19048" s="87"/>
      <c r="E19048" s="87"/>
      <c r="F19048" s="87"/>
      <c r="G19048" s="87"/>
    </row>
    <row r="19049">
      <c r="A19049" s="86" t="str">
        <f>IFERROR(__xludf.DUMMYFUNCTION("""COMPUTED_VALUE"""),"")</f>
        <v/>
      </c>
      <c r="B19049" s="87"/>
      <c r="C19049" s="87"/>
      <c r="D19049" s="87"/>
      <c r="E19049" s="87"/>
      <c r="F19049" s="87"/>
      <c r="G19049" s="87"/>
    </row>
    <row r="19050">
      <c r="A19050" s="86" t="str">
        <f>IFERROR(__xludf.DUMMYFUNCTION("""COMPUTED_VALUE"""),"")</f>
        <v/>
      </c>
      <c r="B19050" s="87"/>
      <c r="C19050" s="87"/>
      <c r="D19050" s="87"/>
      <c r="E19050" s="87"/>
      <c r="F19050" s="87"/>
      <c r="G19050" s="87"/>
    </row>
    <row r="19051">
      <c r="A19051" s="86" t="str">
        <f>IFERROR(__xludf.DUMMYFUNCTION("""COMPUTED_VALUE"""),"")</f>
        <v/>
      </c>
      <c r="B19051" s="87"/>
      <c r="C19051" s="87"/>
      <c r="D19051" s="87"/>
      <c r="E19051" s="87"/>
      <c r="F19051" s="87"/>
      <c r="G19051" s="87"/>
    </row>
    <row r="19052">
      <c r="A19052" s="86" t="str">
        <f>IFERROR(__xludf.DUMMYFUNCTION("""COMPUTED_VALUE"""),"")</f>
        <v/>
      </c>
      <c r="B19052" s="87"/>
      <c r="C19052" s="87"/>
      <c r="D19052" s="87"/>
      <c r="E19052" s="87"/>
      <c r="F19052" s="87"/>
      <c r="G19052" s="87"/>
    </row>
    <row r="19053">
      <c r="A19053" s="86" t="str">
        <f>IFERROR(__xludf.DUMMYFUNCTION("""COMPUTED_VALUE"""),"")</f>
        <v/>
      </c>
      <c r="B19053" s="87"/>
      <c r="C19053" s="87"/>
      <c r="D19053" s="87"/>
      <c r="E19053" s="87"/>
      <c r="F19053" s="87"/>
      <c r="G19053" s="87"/>
    </row>
    <row r="19054">
      <c r="A19054" s="86" t="str">
        <f>IFERROR(__xludf.DUMMYFUNCTION("""COMPUTED_VALUE"""),"")</f>
        <v/>
      </c>
      <c r="B19054" s="87"/>
      <c r="C19054" s="87"/>
      <c r="D19054" s="87"/>
      <c r="E19054" s="87"/>
      <c r="F19054" s="87"/>
      <c r="G19054" s="87"/>
    </row>
    <row r="19055">
      <c r="A19055" s="86" t="str">
        <f>IFERROR(__xludf.DUMMYFUNCTION("""COMPUTED_VALUE"""),"")</f>
        <v/>
      </c>
      <c r="B19055" s="87"/>
      <c r="C19055" s="87"/>
      <c r="D19055" s="87"/>
      <c r="E19055" s="87"/>
      <c r="F19055" s="87"/>
      <c r="G19055" s="87"/>
    </row>
    <row r="19056">
      <c r="A19056" s="86" t="str">
        <f>IFERROR(__xludf.DUMMYFUNCTION("""COMPUTED_VALUE"""),"")</f>
        <v/>
      </c>
      <c r="B19056" s="87"/>
      <c r="C19056" s="87"/>
      <c r="D19056" s="87"/>
      <c r="E19056" s="87"/>
      <c r="F19056" s="87"/>
      <c r="G19056" s="87"/>
    </row>
    <row r="19057">
      <c r="A19057" s="86" t="str">
        <f>IFERROR(__xludf.DUMMYFUNCTION("""COMPUTED_VALUE"""),"")</f>
        <v/>
      </c>
      <c r="B19057" s="87"/>
      <c r="C19057" s="87"/>
      <c r="D19057" s="87"/>
      <c r="E19057" s="87"/>
      <c r="F19057" s="87"/>
      <c r="G19057" s="87"/>
    </row>
    <row r="19058">
      <c r="A19058" s="86" t="str">
        <f>IFERROR(__xludf.DUMMYFUNCTION("""COMPUTED_VALUE"""),"")</f>
        <v/>
      </c>
      <c r="B19058" s="87"/>
      <c r="C19058" s="87"/>
      <c r="D19058" s="87"/>
      <c r="E19058" s="87"/>
      <c r="F19058" s="87"/>
      <c r="G19058" s="87"/>
    </row>
    <row r="19059">
      <c r="A19059" s="86" t="str">
        <f>IFERROR(__xludf.DUMMYFUNCTION("""COMPUTED_VALUE"""),"")</f>
        <v/>
      </c>
      <c r="B19059" s="87"/>
      <c r="C19059" s="87"/>
      <c r="D19059" s="87"/>
      <c r="E19059" s="87"/>
      <c r="F19059" s="87"/>
      <c r="G19059" s="87"/>
    </row>
    <row r="19060">
      <c r="A19060" s="86" t="str">
        <f>IFERROR(__xludf.DUMMYFUNCTION("""COMPUTED_VALUE"""),"")</f>
        <v/>
      </c>
      <c r="B19060" s="87"/>
      <c r="C19060" s="87"/>
      <c r="D19060" s="87"/>
      <c r="E19060" s="87"/>
      <c r="F19060" s="87"/>
      <c r="G19060" s="87"/>
    </row>
    <row r="19061">
      <c r="A19061" s="86" t="str">
        <f>IFERROR(__xludf.DUMMYFUNCTION("""COMPUTED_VALUE"""),"")</f>
        <v/>
      </c>
      <c r="B19061" s="87"/>
      <c r="C19061" s="87"/>
      <c r="D19061" s="87"/>
      <c r="E19061" s="87"/>
      <c r="F19061" s="87"/>
      <c r="G19061" s="87"/>
    </row>
    <row r="19062">
      <c r="A19062" s="86" t="str">
        <f>IFERROR(__xludf.DUMMYFUNCTION("""COMPUTED_VALUE"""),"")</f>
        <v/>
      </c>
      <c r="B19062" s="87"/>
      <c r="C19062" s="87"/>
      <c r="D19062" s="87"/>
      <c r="E19062" s="87"/>
      <c r="F19062" s="87"/>
      <c r="G19062" s="87"/>
    </row>
    <row r="19063">
      <c r="A19063" s="86" t="str">
        <f>IFERROR(__xludf.DUMMYFUNCTION("""COMPUTED_VALUE"""),"")</f>
        <v/>
      </c>
      <c r="B19063" s="87"/>
      <c r="C19063" s="87"/>
      <c r="D19063" s="87"/>
      <c r="E19063" s="87"/>
      <c r="F19063" s="87"/>
      <c r="G19063" s="87"/>
    </row>
    <row r="19064">
      <c r="A19064" s="86" t="str">
        <f>IFERROR(__xludf.DUMMYFUNCTION("""COMPUTED_VALUE"""),"")</f>
        <v/>
      </c>
      <c r="B19064" s="87"/>
      <c r="C19064" s="87"/>
      <c r="D19064" s="87"/>
      <c r="E19064" s="87"/>
      <c r="F19064" s="87"/>
      <c r="G19064" s="87"/>
    </row>
    <row r="19065">
      <c r="A19065" s="86" t="str">
        <f>IFERROR(__xludf.DUMMYFUNCTION("""COMPUTED_VALUE"""),"")</f>
        <v/>
      </c>
      <c r="B19065" s="87"/>
      <c r="C19065" s="87"/>
      <c r="D19065" s="87"/>
      <c r="E19065" s="87"/>
      <c r="F19065" s="87"/>
      <c r="G19065" s="87"/>
    </row>
    <row r="19066">
      <c r="A19066" s="86" t="str">
        <f>IFERROR(__xludf.DUMMYFUNCTION("""COMPUTED_VALUE"""),"")</f>
        <v/>
      </c>
      <c r="B19066" s="87"/>
      <c r="C19066" s="87"/>
      <c r="D19066" s="87"/>
      <c r="E19066" s="87"/>
      <c r="F19066" s="87"/>
      <c r="G19066" s="87"/>
    </row>
    <row r="19067">
      <c r="A19067" s="86" t="str">
        <f>IFERROR(__xludf.DUMMYFUNCTION("""COMPUTED_VALUE"""),"")</f>
        <v/>
      </c>
      <c r="B19067" s="87"/>
      <c r="C19067" s="87"/>
      <c r="D19067" s="87"/>
      <c r="E19067" s="87"/>
      <c r="F19067" s="87"/>
      <c r="G19067" s="87"/>
    </row>
    <row r="19068">
      <c r="A19068" s="86" t="str">
        <f>IFERROR(__xludf.DUMMYFUNCTION("""COMPUTED_VALUE"""),"")</f>
        <v/>
      </c>
      <c r="B19068" s="87"/>
      <c r="C19068" s="87"/>
      <c r="D19068" s="87"/>
      <c r="E19068" s="87"/>
      <c r="F19068" s="87"/>
      <c r="G19068" s="87"/>
    </row>
    <row r="19069">
      <c r="A19069" s="86" t="str">
        <f>IFERROR(__xludf.DUMMYFUNCTION("""COMPUTED_VALUE"""),"")</f>
        <v/>
      </c>
      <c r="B19069" s="87"/>
      <c r="C19069" s="87"/>
      <c r="D19069" s="87"/>
      <c r="E19069" s="87"/>
      <c r="F19069" s="87"/>
      <c r="G19069" s="87"/>
    </row>
    <row r="19070">
      <c r="A19070" s="86" t="str">
        <f>IFERROR(__xludf.DUMMYFUNCTION("""COMPUTED_VALUE"""),"")</f>
        <v/>
      </c>
      <c r="B19070" s="87"/>
      <c r="C19070" s="87"/>
      <c r="D19070" s="87"/>
      <c r="E19070" s="87"/>
      <c r="F19070" s="87"/>
      <c r="G19070" s="87"/>
    </row>
    <row r="19071">
      <c r="A19071" s="86" t="str">
        <f>IFERROR(__xludf.DUMMYFUNCTION("""COMPUTED_VALUE"""),"")</f>
        <v/>
      </c>
      <c r="B19071" s="87"/>
      <c r="C19071" s="87"/>
      <c r="D19071" s="87"/>
      <c r="E19071" s="87"/>
      <c r="F19071" s="87"/>
      <c r="G19071" s="87"/>
    </row>
    <row r="19072">
      <c r="A19072" s="86" t="str">
        <f>IFERROR(__xludf.DUMMYFUNCTION("""COMPUTED_VALUE"""),"")</f>
        <v/>
      </c>
      <c r="B19072" s="87"/>
      <c r="C19072" s="87"/>
      <c r="D19072" s="87"/>
      <c r="E19072" s="87"/>
      <c r="F19072" s="87"/>
      <c r="G19072" s="87"/>
    </row>
    <row r="19073">
      <c r="A19073" s="86" t="str">
        <f>IFERROR(__xludf.DUMMYFUNCTION("""COMPUTED_VALUE"""),"")</f>
        <v/>
      </c>
      <c r="B19073" s="87"/>
      <c r="C19073" s="87"/>
      <c r="D19073" s="87"/>
      <c r="E19073" s="87"/>
      <c r="F19073" s="87"/>
      <c r="G19073" s="87"/>
    </row>
    <row r="19074">
      <c r="A19074" s="86" t="str">
        <f>IFERROR(__xludf.DUMMYFUNCTION("""COMPUTED_VALUE"""),"")</f>
        <v/>
      </c>
      <c r="B19074" s="87"/>
      <c r="C19074" s="87"/>
      <c r="D19074" s="87"/>
      <c r="E19074" s="87"/>
      <c r="F19074" s="87"/>
      <c r="G19074" s="87"/>
    </row>
    <row r="19075">
      <c r="A19075" s="86" t="str">
        <f>IFERROR(__xludf.DUMMYFUNCTION("""COMPUTED_VALUE"""),"")</f>
        <v/>
      </c>
      <c r="B19075" s="87"/>
      <c r="C19075" s="87"/>
      <c r="D19075" s="87"/>
      <c r="E19075" s="87"/>
      <c r="F19075" s="87"/>
      <c r="G19075" s="87"/>
    </row>
    <row r="19076">
      <c r="A19076" s="86" t="str">
        <f>IFERROR(__xludf.DUMMYFUNCTION("""COMPUTED_VALUE"""),"")</f>
        <v/>
      </c>
      <c r="B19076" s="87"/>
      <c r="C19076" s="87"/>
      <c r="D19076" s="87"/>
      <c r="E19076" s="87"/>
      <c r="F19076" s="87"/>
      <c r="G19076" s="87"/>
    </row>
    <row r="19077">
      <c r="A19077" s="86" t="str">
        <f>IFERROR(__xludf.DUMMYFUNCTION("""COMPUTED_VALUE"""),"")</f>
        <v/>
      </c>
      <c r="B19077" s="87"/>
      <c r="C19077" s="87"/>
      <c r="D19077" s="87"/>
      <c r="E19077" s="87"/>
      <c r="F19077" s="87"/>
      <c r="G19077" s="87"/>
    </row>
    <row r="19078">
      <c r="A19078" s="86" t="str">
        <f>IFERROR(__xludf.DUMMYFUNCTION("""COMPUTED_VALUE"""),"")</f>
        <v/>
      </c>
      <c r="B19078" s="87"/>
      <c r="C19078" s="87"/>
      <c r="D19078" s="87"/>
      <c r="E19078" s="87"/>
      <c r="F19078" s="87"/>
      <c r="G19078" s="87"/>
    </row>
    <row r="19079">
      <c r="A19079" s="86" t="str">
        <f>IFERROR(__xludf.DUMMYFUNCTION("""COMPUTED_VALUE"""),"")</f>
        <v/>
      </c>
      <c r="B19079" s="87"/>
      <c r="C19079" s="87"/>
      <c r="D19079" s="87"/>
      <c r="E19079" s="87"/>
      <c r="F19079" s="87"/>
      <c r="G19079" s="87"/>
    </row>
    <row r="19080">
      <c r="A19080" s="86" t="str">
        <f>IFERROR(__xludf.DUMMYFUNCTION("""COMPUTED_VALUE"""),"")</f>
        <v/>
      </c>
      <c r="B19080" s="87"/>
      <c r="C19080" s="87"/>
      <c r="D19080" s="87"/>
      <c r="E19080" s="87"/>
      <c r="F19080" s="87"/>
      <c r="G19080" s="87"/>
    </row>
    <row r="19081">
      <c r="A19081" s="86" t="str">
        <f>IFERROR(__xludf.DUMMYFUNCTION("""COMPUTED_VALUE"""),"")</f>
        <v/>
      </c>
      <c r="B19081" s="87"/>
      <c r="C19081" s="87"/>
      <c r="D19081" s="87"/>
      <c r="E19081" s="87"/>
      <c r="F19081" s="87"/>
      <c r="G19081" s="87"/>
    </row>
    <row r="19082">
      <c r="A19082" s="86" t="str">
        <f>IFERROR(__xludf.DUMMYFUNCTION("""COMPUTED_VALUE"""),"")</f>
        <v/>
      </c>
      <c r="B19082" s="87"/>
      <c r="C19082" s="87"/>
      <c r="D19082" s="87"/>
      <c r="E19082" s="87"/>
      <c r="F19082" s="87"/>
      <c r="G19082" s="87"/>
    </row>
    <row r="19083">
      <c r="A19083" s="86" t="str">
        <f>IFERROR(__xludf.DUMMYFUNCTION("""COMPUTED_VALUE"""),"")</f>
        <v/>
      </c>
      <c r="B19083" s="87"/>
      <c r="C19083" s="87"/>
      <c r="D19083" s="87"/>
      <c r="E19083" s="87"/>
      <c r="F19083" s="87"/>
      <c r="G19083" s="87"/>
    </row>
    <row r="19084">
      <c r="A19084" s="86" t="str">
        <f>IFERROR(__xludf.DUMMYFUNCTION("""COMPUTED_VALUE"""),"")</f>
        <v/>
      </c>
      <c r="B19084" s="87"/>
      <c r="C19084" s="87"/>
      <c r="D19084" s="87"/>
      <c r="E19084" s="87"/>
      <c r="F19084" s="87"/>
      <c r="G19084" s="87"/>
    </row>
    <row r="19085">
      <c r="A19085" s="86" t="str">
        <f>IFERROR(__xludf.DUMMYFUNCTION("""COMPUTED_VALUE"""),"")</f>
        <v/>
      </c>
      <c r="B19085" s="87"/>
      <c r="C19085" s="87"/>
      <c r="D19085" s="87"/>
      <c r="E19085" s="87"/>
      <c r="F19085" s="87"/>
      <c r="G19085" s="87"/>
    </row>
    <row r="19086">
      <c r="A19086" s="86" t="str">
        <f>IFERROR(__xludf.DUMMYFUNCTION("""COMPUTED_VALUE"""),"")</f>
        <v/>
      </c>
      <c r="B19086" s="87"/>
      <c r="C19086" s="87"/>
      <c r="D19086" s="87"/>
      <c r="E19086" s="87"/>
      <c r="F19086" s="87"/>
      <c r="G19086" s="87"/>
    </row>
    <row r="19087">
      <c r="A19087" s="86" t="str">
        <f>IFERROR(__xludf.DUMMYFUNCTION("""COMPUTED_VALUE"""),"")</f>
        <v/>
      </c>
      <c r="B19087" s="87"/>
      <c r="C19087" s="87"/>
      <c r="D19087" s="87"/>
      <c r="E19087" s="87"/>
      <c r="F19087" s="87"/>
      <c r="G19087" s="87"/>
    </row>
    <row r="19088">
      <c r="A19088" s="86" t="str">
        <f>IFERROR(__xludf.DUMMYFUNCTION("""COMPUTED_VALUE"""),"")</f>
        <v/>
      </c>
      <c r="B19088" s="87"/>
      <c r="C19088" s="87"/>
      <c r="D19088" s="87"/>
      <c r="E19088" s="87"/>
      <c r="F19088" s="87"/>
      <c r="G19088" s="87"/>
    </row>
    <row r="19089">
      <c r="A19089" s="86" t="str">
        <f>IFERROR(__xludf.DUMMYFUNCTION("""COMPUTED_VALUE"""),"")</f>
        <v/>
      </c>
      <c r="B19089" s="87"/>
      <c r="C19089" s="87"/>
      <c r="D19089" s="87"/>
      <c r="E19089" s="87"/>
      <c r="F19089" s="87"/>
      <c r="G19089" s="87"/>
    </row>
    <row r="19090">
      <c r="A19090" s="86" t="str">
        <f>IFERROR(__xludf.DUMMYFUNCTION("""COMPUTED_VALUE"""),"")</f>
        <v/>
      </c>
      <c r="B19090" s="87"/>
      <c r="C19090" s="87"/>
      <c r="D19090" s="87"/>
      <c r="E19090" s="87"/>
      <c r="F19090" s="87"/>
      <c r="G19090" s="87"/>
    </row>
    <row r="19091">
      <c r="A19091" s="86" t="str">
        <f>IFERROR(__xludf.DUMMYFUNCTION("""COMPUTED_VALUE"""),"")</f>
        <v/>
      </c>
      <c r="B19091" s="87"/>
      <c r="C19091" s="87"/>
      <c r="D19091" s="87"/>
      <c r="E19091" s="87"/>
      <c r="F19091" s="87"/>
      <c r="G19091" s="87"/>
    </row>
    <row r="19092">
      <c r="A19092" s="86" t="str">
        <f>IFERROR(__xludf.DUMMYFUNCTION("""COMPUTED_VALUE"""),"")</f>
        <v/>
      </c>
      <c r="B19092" s="87"/>
      <c r="C19092" s="87"/>
      <c r="D19092" s="87"/>
      <c r="E19092" s="87"/>
      <c r="F19092" s="87"/>
      <c r="G19092" s="87"/>
    </row>
    <row r="19093">
      <c r="A19093" s="86" t="str">
        <f>IFERROR(__xludf.DUMMYFUNCTION("""COMPUTED_VALUE"""),"")</f>
        <v/>
      </c>
      <c r="B19093" s="87"/>
      <c r="C19093" s="87"/>
      <c r="D19093" s="87"/>
      <c r="E19093" s="87"/>
      <c r="F19093" s="87"/>
      <c r="G19093" s="87"/>
    </row>
    <row r="19094">
      <c r="A19094" s="86" t="str">
        <f>IFERROR(__xludf.DUMMYFUNCTION("""COMPUTED_VALUE"""),"")</f>
        <v/>
      </c>
      <c r="B19094" s="87"/>
      <c r="C19094" s="87"/>
      <c r="D19094" s="87"/>
      <c r="E19094" s="87"/>
      <c r="F19094" s="87"/>
      <c r="G19094" s="87"/>
    </row>
    <row r="19095">
      <c r="A19095" s="86" t="str">
        <f>IFERROR(__xludf.DUMMYFUNCTION("""COMPUTED_VALUE"""),"")</f>
        <v/>
      </c>
      <c r="B19095" s="87"/>
      <c r="C19095" s="87"/>
      <c r="D19095" s="87"/>
      <c r="E19095" s="87"/>
      <c r="F19095" s="87"/>
      <c r="G19095" s="87"/>
    </row>
    <row r="19096">
      <c r="A19096" s="86" t="str">
        <f>IFERROR(__xludf.DUMMYFUNCTION("""COMPUTED_VALUE"""),"")</f>
        <v/>
      </c>
      <c r="B19096" s="87"/>
      <c r="C19096" s="87"/>
      <c r="D19096" s="87"/>
      <c r="E19096" s="87"/>
      <c r="F19096" s="87"/>
      <c r="G19096" s="87"/>
    </row>
    <row r="19097">
      <c r="A19097" s="86" t="str">
        <f>IFERROR(__xludf.DUMMYFUNCTION("""COMPUTED_VALUE"""),"")</f>
        <v/>
      </c>
      <c r="B19097" s="87"/>
      <c r="C19097" s="87"/>
      <c r="D19097" s="87"/>
      <c r="E19097" s="87"/>
      <c r="F19097" s="87"/>
      <c r="G19097" s="87"/>
    </row>
    <row r="19098">
      <c r="A19098" s="86" t="str">
        <f>IFERROR(__xludf.DUMMYFUNCTION("""COMPUTED_VALUE"""),"")</f>
        <v/>
      </c>
      <c r="B19098" s="87"/>
      <c r="C19098" s="87"/>
      <c r="D19098" s="87"/>
      <c r="E19098" s="87"/>
      <c r="F19098" s="87"/>
      <c r="G19098" s="87"/>
    </row>
    <row r="19099">
      <c r="A19099" s="86" t="str">
        <f>IFERROR(__xludf.DUMMYFUNCTION("""COMPUTED_VALUE"""),"")</f>
        <v/>
      </c>
      <c r="B19099" s="87"/>
      <c r="C19099" s="87"/>
      <c r="D19099" s="87"/>
      <c r="E19099" s="87"/>
      <c r="F19099" s="87"/>
      <c r="G19099" s="87"/>
    </row>
    <row r="19100">
      <c r="A19100" s="86" t="str">
        <f>IFERROR(__xludf.DUMMYFUNCTION("""COMPUTED_VALUE"""),"")</f>
        <v/>
      </c>
      <c r="B19100" s="87"/>
      <c r="C19100" s="87"/>
      <c r="D19100" s="87"/>
      <c r="E19100" s="87"/>
      <c r="F19100" s="87"/>
      <c r="G19100" s="87"/>
    </row>
    <row r="19101">
      <c r="A19101" s="86" t="str">
        <f>IFERROR(__xludf.DUMMYFUNCTION("""COMPUTED_VALUE"""),"")</f>
        <v/>
      </c>
      <c r="B19101" s="87"/>
      <c r="C19101" s="87"/>
      <c r="D19101" s="87"/>
      <c r="E19101" s="87"/>
      <c r="F19101" s="87"/>
      <c r="G19101" s="87"/>
    </row>
    <row r="19102">
      <c r="A19102" s="86" t="str">
        <f>IFERROR(__xludf.DUMMYFUNCTION("""COMPUTED_VALUE"""),"")</f>
        <v/>
      </c>
      <c r="B19102" s="87"/>
      <c r="C19102" s="87"/>
      <c r="D19102" s="87"/>
      <c r="E19102" s="87"/>
      <c r="F19102" s="87"/>
      <c r="G19102" s="87"/>
    </row>
    <row r="19103">
      <c r="A19103" s="86" t="str">
        <f>IFERROR(__xludf.DUMMYFUNCTION("""COMPUTED_VALUE"""),"")</f>
        <v/>
      </c>
      <c r="B19103" s="87"/>
      <c r="C19103" s="87"/>
      <c r="D19103" s="87"/>
      <c r="E19103" s="87"/>
      <c r="F19103" s="87"/>
      <c r="G19103" s="87"/>
    </row>
    <row r="19104">
      <c r="A19104" s="86" t="str">
        <f>IFERROR(__xludf.DUMMYFUNCTION("""COMPUTED_VALUE"""),"")</f>
        <v/>
      </c>
      <c r="B19104" s="87"/>
      <c r="C19104" s="87"/>
      <c r="D19104" s="87"/>
      <c r="E19104" s="87"/>
      <c r="F19104" s="87"/>
      <c r="G19104" s="87"/>
    </row>
    <row r="19105">
      <c r="A19105" s="86" t="str">
        <f>IFERROR(__xludf.DUMMYFUNCTION("""COMPUTED_VALUE"""),"")</f>
        <v/>
      </c>
      <c r="B19105" s="87"/>
      <c r="C19105" s="87"/>
      <c r="D19105" s="87"/>
      <c r="E19105" s="87"/>
      <c r="F19105" s="87"/>
      <c r="G19105" s="87"/>
    </row>
    <row r="19106">
      <c r="A19106" s="86" t="str">
        <f>IFERROR(__xludf.DUMMYFUNCTION("""COMPUTED_VALUE"""),"")</f>
        <v/>
      </c>
      <c r="B19106" s="87"/>
      <c r="C19106" s="87"/>
      <c r="D19106" s="87"/>
      <c r="E19106" s="87"/>
      <c r="F19106" s="87"/>
      <c r="G19106" s="87"/>
    </row>
    <row r="19107">
      <c r="A19107" s="86" t="str">
        <f>IFERROR(__xludf.DUMMYFUNCTION("""COMPUTED_VALUE"""),"")</f>
        <v/>
      </c>
      <c r="B19107" s="87"/>
      <c r="C19107" s="87"/>
      <c r="D19107" s="87"/>
      <c r="E19107" s="87"/>
      <c r="F19107" s="87"/>
      <c r="G19107" s="87"/>
    </row>
    <row r="19108">
      <c r="A19108" s="86" t="str">
        <f>IFERROR(__xludf.DUMMYFUNCTION("""COMPUTED_VALUE"""),"")</f>
        <v/>
      </c>
      <c r="B19108" s="87"/>
      <c r="C19108" s="87"/>
      <c r="D19108" s="87"/>
      <c r="E19108" s="87"/>
      <c r="F19108" s="87"/>
      <c r="G19108" s="87"/>
    </row>
    <row r="19109">
      <c r="A19109" s="86" t="str">
        <f>IFERROR(__xludf.DUMMYFUNCTION("""COMPUTED_VALUE"""),"")</f>
        <v/>
      </c>
      <c r="B19109" s="87"/>
      <c r="C19109" s="87"/>
      <c r="D19109" s="87"/>
      <c r="E19109" s="87"/>
      <c r="F19109" s="87"/>
      <c r="G19109" s="87"/>
    </row>
    <row r="19110">
      <c r="A19110" s="86" t="str">
        <f>IFERROR(__xludf.DUMMYFUNCTION("""COMPUTED_VALUE"""),"")</f>
        <v/>
      </c>
      <c r="B19110" s="87"/>
      <c r="C19110" s="87"/>
      <c r="D19110" s="87"/>
      <c r="E19110" s="87"/>
      <c r="F19110" s="87"/>
      <c r="G19110" s="87"/>
    </row>
    <row r="19111">
      <c r="A19111" s="86" t="str">
        <f>IFERROR(__xludf.DUMMYFUNCTION("""COMPUTED_VALUE"""),"")</f>
        <v/>
      </c>
      <c r="B19111" s="87"/>
      <c r="C19111" s="87"/>
      <c r="D19111" s="87"/>
      <c r="E19111" s="87"/>
      <c r="F19111" s="87"/>
      <c r="G19111" s="87"/>
    </row>
    <row r="19112">
      <c r="A19112" s="86" t="str">
        <f>IFERROR(__xludf.DUMMYFUNCTION("""COMPUTED_VALUE"""),"")</f>
        <v/>
      </c>
      <c r="B19112" s="87"/>
      <c r="C19112" s="87"/>
      <c r="D19112" s="87"/>
      <c r="E19112" s="87"/>
      <c r="F19112" s="87"/>
      <c r="G19112" s="87"/>
    </row>
    <row r="19113">
      <c r="A19113" s="86" t="str">
        <f>IFERROR(__xludf.DUMMYFUNCTION("""COMPUTED_VALUE"""),"")</f>
        <v/>
      </c>
      <c r="B19113" s="87"/>
      <c r="C19113" s="87"/>
      <c r="D19113" s="87"/>
      <c r="E19113" s="87"/>
      <c r="F19113" s="87"/>
      <c r="G19113" s="87"/>
    </row>
    <row r="19114">
      <c r="A19114" s="86" t="str">
        <f>IFERROR(__xludf.DUMMYFUNCTION("""COMPUTED_VALUE"""),"")</f>
        <v/>
      </c>
      <c r="B19114" s="87"/>
      <c r="C19114" s="87"/>
      <c r="D19114" s="87"/>
      <c r="E19114" s="87"/>
      <c r="F19114" s="87"/>
      <c r="G19114" s="87"/>
    </row>
    <row r="19115">
      <c r="A19115" s="86" t="str">
        <f>IFERROR(__xludf.DUMMYFUNCTION("""COMPUTED_VALUE"""),"")</f>
        <v/>
      </c>
      <c r="B19115" s="87"/>
      <c r="C19115" s="87"/>
      <c r="D19115" s="87"/>
      <c r="E19115" s="87"/>
      <c r="F19115" s="87"/>
      <c r="G19115" s="87"/>
    </row>
    <row r="19116">
      <c r="A19116" s="86" t="str">
        <f>IFERROR(__xludf.DUMMYFUNCTION("""COMPUTED_VALUE"""),"")</f>
        <v/>
      </c>
      <c r="B19116" s="87"/>
      <c r="C19116" s="87"/>
      <c r="D19116" s="87"/>
      <c r="E19116" s="87"/>
      <c r="F19116" s="87"/>
      <c r="G19116" s="87"/>
    </row>
    <row r="19117">
      <c r="A19117" s="86" t="str">
        <f>IFERROR(__xludf.DUMMYFUNCTION("""COMPUTED_VALUE"""),"")</f>
        <v/>
      </c>
      <c r="B19117" s="87"/>
      <c r="C19117" s="87"/>
      <c r="D19117" s="87"/>
      <c r="E19117" s="87"/>
      <c r="F19117" s="87"/>
      <c r="G19117" s="87"/>
    </row>
    <row r="19118">
      <c r="A19118" s="86" t="str">
        <f>IFERROR(__xludf.DUMMYFUNCTION("""COMPUTED_VALUE"""),"")</f>
        <v/>
      </c>
      <c r="B19118" s="87"/>
      <c r="C19118" s="87"/>
      <c r="D19118" s="87"/>
      <c r="E19118" s="87"/>
      <c r="F19118" s="87"/>
      <c r="G19118" s="87"/>
    </row>
    <row r="19119">
      <c r="A19119" s="86" t="str">
        <f>IFERROR(__xludf.DUMMYFUNCTION("""COMPUTED_VALUE"""),"")</f>
        <v/>
      </c>
      <c r="B19119" s="87"/>
      <c r="C19119" s="87"/>
      <c r="D19119" s="87"/>
      <c r="E19119" s="87"/>
      <c r="F19119" s="87"/>
      <c r="G19119" s="87"/>
    </row>
    <row r="19120">
      <c r="A19120" s="86" t="str">
        <f>IFERROR(__xludf.DUMMYFUNCTION("""COMPUTED_VALUE"""),"")</f>
        <v/>
      </c>
      <c r="B19120" s="87"/>
      <c r="C19120" s="87"/>
      <c r="D19120" s="87"/>
      <c r="E19120" s="87"/>
      <c r="F19120" s="87"/>
      <c r="G19120" s="87"/>
    </row>
    <row r="19121">
      <c r="A19121" s="86" t="str">
        <f>IFERROR(__xludf.DUMMYFUNCTION("""COMPUTED_VALUE"""),"")</f>
        <v/>
      </c>
      <c r="B19121" s="87"/>
      <c r="C19121" s="87"/>
      <c r="D19121" s="87"/>
      <c r="E19121" s="87"/>
      <c r="F19121" s="87"/>
      <c r="G19121" s="87"/>
    </row>
    <row r="19122">
      <c r="A19122" s="86" t="str">
        <f>IFERROR(__xludf.DUMMYFUNCTION("""COMPUTED_VALUE"""),"")</f>
        <v/>
      </c>
      <c r="B19122" s="87"/>
      <c r="C19122" s="87"/>
      <c r="D19122" s="87"/>
      <c r="E19122" s="87"/>
      <c r="F19122" s="87"/>
      <c r="G19122" s="87"/>
    </row>
    <row r="19123">
      <c r="A19123" s="86" t="str">
        <f>IFERROR(__xludf.DUMMYFUNCTION("""COMPUTED_VALUE"""),"")</f>
        <v/>
      </c>
      <c r="B19123" s="87"/>
      <c r="C19123" s="87"/>
      <c r="D19123" s="87"/>
      <c r="E19123" s="87"/>
      <c r="F19123" s="87"/>
      <c r="G19123" s="87"/>
    </row>
    <row r="19124">
      <c r="A19124" s="86" t="str">
        <f>IFERROR(__xludf.DUMMYFUNCTION("""COMPUTED_VALUE"""),"")</f>
        <v/>
      </c>
      <c r="B19124" s="87"/>
      <c r="C19124" s="87"/>
      <c r="D19124" s="87"/>
      <c r="E19124" s="87"/>
      <c r="F19124" s="87"/>
      <c r="G19124" s="87"/>
    </row>
    <row r="19125">
      <c r="A19125" s="86" t="str">
        <f>IFERROR(__xludf.DUMMYFUNCTION("""COMPUTED_VALUE"""),"")</f>
        <v/>
      </c>
      <c r="B19125" s="87"/>
      <c r="C19125" s="87"/>
      <c r="D19125" s="87"/>
      <c r="E19125" s="87"/>
      <c r="F19125" s="87"/>
      <c r="G19125" s="87"/>
    </row>
    <row r="19126">
      <c r="A19126" s="86" t="str">
        <f>IFERROR(__xludf.DUMMYFUNCTION("""COMPUTED_VALUE"""),"")</f>
        <v/>
      </c>
      <c r="B19126" s="87"/>
      <c r="C19126" s="87"/>
      <c r="D19126" s="87"/>
      <c r="E19126" s="87"/>
      <c r="F19126" s="87"/>
      <c r="G19126" s="87"/>
    </row>
    <row r="19127">
      <c r="A19127" s="86" t="str">
        <f>IFERROR(__xludf.DUMMYFUNCTION("""COMPUTED_VALUE"""),"")</f>
        <v/>
      </c>
      <c r="B19127" s="87"/>
      <c r="C19127" s="87"/>
      <c r="D19127" s="87"/>
      <c r="E19127" s="87"/>
      <c r="F19127" s="87"/>
      <c r="G19127" s="87"/>
    </row>
    <row r="19128">
      <c r="A19128" s="86" t="str">
        <f>IFERROR(__xludf.DUMMYFUNCTION("""COMPUTED_VALUE"""),"")</f>
        <v/>
      </c>
      <c r="B19128" s="87"/>
      <c r="C19128" s="87"/>
      <c r="D19128" s="87"/>
      <c r="E19128" s="87"/>
      <c r="F19128" s="87"/>
      <c r="G19128" s="87"/>
    </row>
    <row r="19129">
      <c r="A19129" s="86" t="str">
        <f>IFERROR(__xludf.DUMMYFUNCTION("""COMPUTED_VALUE"""),"")</f>
        <v/>
      </c>
      <c r="B19129" s="87"/>
      <c r="C19129" s="87"/>
      <c r="D19129" s="87"/>
      <c r="E19129" s="87"/>
      <c r="F19129" s="87"/>
      <c r="G19129" s="87"/>
    </row>
    <row r="19130">
      <c r="A19130" s="86" t="str">
        <f>IFERROR(__xludf.DUMMYFUNCTION("""COMPUTED_VALUE"""),"")</f>
        <v/>
      </c>
      <c r="B19130" s="87"/>
      <c r="C19130" s="87"/>
      <c r="D19130" s="87"/>
      <c r="E19130" s="87"/>
      <c r="F19130" s="87"/>
      <c r="G19130" s="87"/>
    </row>
    <row r="19131">
      <c r="A19131" s="86" t="str">
        <f>IFERROR(__xludf.DUMMYFUNCTION("""COMPUTED_VALUE"""),"")</f>
        <v/>
      </c>
      <c r="B19131" s="87"/>
      <c r="C19131" s="87"/>
      <c r="D19131" s="87"/>
      <c r="E19131" s="87"/>
      <c r="F19131" s="87"/>
      <c r="G19131" s="87"/>
    </row>
    <row r="19132">
      <c r="A19132" s="86" t="str">
        <f>IFERROR(__xludf.DUMMYFUNCTION("""COMPUTED_VALUE"""),"")</f>
        <v/>
      </c>
      <c r="B19132" s="87"/>
      <c r="C19132" s="87"/>
      <c r="D19132" s="87"/>
      <c r="E19132" s="87"/>
      <c r="F19132" s="87"/>
      <c r="G19132" s="87"/>
    </row>
    <row r="19133">
      <c r="A19133" s="86" t="str">
        <f>IFERROR(__xludf.DUMMYFUNCTION("""COMPUTED_VALUE"""),"")</f>
        <v/>
      </c>
      <c r="B19133" s="87"/>
      <c r="C19133" s="87"/>
      <c r="D19133" s="87"/>
      <c r="E19133" s="87"/>
      <c r="F19133" s="87"/>
      <c r="G19133" s="87"/>
    </row>
    <row r="19134">
      <c r="A19134" s="86" t="str">
        <f>IFERROR(__xludf.DUMMYFUNCTION("""COMPUTED_VALUE"""),"")</f>
        <v/>
      </c>
      <c r="B19134" s="87"/>
      <c r="C19134" s="87"/>
      <c r="D19134" s="87"/>
      <c r="E19134" s="87"/>
      <c r="F19134" s="87"/>
      <c r="G19134" s="87"/>
    </row>
    <row r="19135">
      <c r="A19135" s="86" t="str">
        <f>IFERROR(__xludf.DUMMYFUNCTION("""COMPUTED_VALUE"""),"")</f>
        <v/>
      </c>
      <c r="B19135" s="87"/>
      <c r="C19135" s="87"/>
      <c r="D19135" s="87"/>
      <c r="E19135" s="87"/>
      <c r="F19135" s="87"/>
      <c r="G19135" s="87"/>
    </row>
    <row r="19136">
      <c r="A19136" s="86" t="str">
        <f>IFERROR(__xludf.DUMMYFUNCTION("""COMPUTED_VALUE"""),"")</f>
        <v/>
      </c>
      <c r="B19136" s="87"/>
      <c r="C19136" s="87"/>
      <c r="D19136" s="87"/>
      <c r="E19136" s="87"/>
      <c r="F19136" s="87"/>
      <c r="G19136" s="87"/>
    </row>
    <row r="19137">
      <c r="A19137" s="86" t="str">
        <f>IFERROR(__xludf.DUMMYFUNCTION("""COMPUTED_VALUE"""),"")</f>
        <v/>
      </c>
      <c r="B19137" s="87"/>
      <c r="C19137" s="87"/>
      <c r="D19137" s="87"/>
      <c r="E19137" s="87"/>
      <c r="F19137" s="87"/>
      <c r="G19137" s="87"/>
    </row>
    <row r="19138">
      <c r="A19138" s="86" t="str">
        <f>IFERROR(__xludf.DUMMYFUNCTION("""COMPUTED_VALUE"""),"")</f>
        <v/>
      </c>
      <c r="B19138" s="87"/>
      <c r="C19138" s="87"/>
      <c r="D19138" s="87"/>
      <c r="E19138" s="87"/>
      <c r="F19138" s="87"/>
      <c r="G19138" s="87"/>
    </row>
    <row r="19139">
      <c r="A19139" s="86" t="str">
        <f>IFERROR(__xludf.DUMMYFUNCTION("""COMPUTED_VALUE"""),"")</f>
        <v/>
      </c>
      <c r="B19139" s="87"/>
      <c r="C19139" s="87"/>
      <c r="D19139" s="87"/>
      <c r="E19139" s="87"/>
      <c r="F19139" s="87"/>
      <c r="G19139" s="87"/>
    </row>
    <row r="19140">
      <c r="A19140" s="86" t="str">
        <f>IFERROR(__xludf.DUMMYFUNCTION("""COMPUTED_VALUE"""),"")</f>
        <v/>
      </c>
      <c r="B19140" s="87"/>
      <c r="C19140" s="87"/>
      <c r="D19140" s="87"/>
      <c r="E19140" s="87"/>
      <c r="F19140" s="87"/>
      <c r="G19140" s="87"/>
    </row>
    <row r="19141">
      <c r="A19141" s="86" t="str">
        <f>IFERROR(__xludf.DUMMYFUNCTION("""COMPUTED_VALUE"""),"")</f>
        <v/>
      </c>
      <c r="B19141" s="87"/>
      <c r="C19141" s="87"/>
      <c r="D19141" s="87"/>
      <c r="E19141" s="87"/>
      <c r="F19141" s="87"/>
      <c r="G19141" s="87"/>
    </row>
    <row r="19142">
      <c r="A19142" s="86" t="str">
        <f>IFERROR(__xludf.DUMMYFUNCTION("""COMPUTED_VALUE"""),"")</f>
        <v/>
      </c>
      <c r="B19142" s="87"/>
      <c r="C19142" s="87"/>
      <c r="D19142" s="87"/>
      <c r="E19142" s="87"/>
      <c r="F19142" s="87"/>
      <c r="G19142" s="87"/>
    </row>
    <row r="19143">
      <c r="A19143" s="86" t="str">
        <f>IFERROR(__xludf.DUMMYFUNCTION("""COMPUTED_VALUE"""),"")</f>
        <v/>
      </c>
      <c r="B19143" s="87"/>
      <c r="C19143" s="87"/>
      <c r="D19143" s="87"/>
      <c r="E19143" s="87"/>
      <c r="F19143" s="87"/>
      <c r="G19143" s="87"/>
    </row>
    <row r="19144">
      <c r="A19144" s="86" t="str">
        <f>IFERROR(__xludf.DUMMYFUNCTION("""COMPUTED_VALUE"""),"")</f>
        <v/>
      </c>
      <c r="B19144" s="87"/>
      <c r="C19144" s="87"/>
      <c r="D19144" s="87"/>
      <c r="E19144" s="87"/>
      <c r="F19144" s="87"/>
      <c r="G19144" s="87"/>
    </row>
    <row r="19145">
      <c r="A19145" s="86" t="str">
        <f>IFERROR(__xludf.DUMMYFUNCTION("""COMPUTED_VALUE"""),"")</f>
        <v/>
      </c>
      <c r="B19145" s="87"/>
      <c r="C19145" s="87"/>
      <c r="D19145" s="87"/>
      <c r="E19145" s="87"/>
      <c r="F19145" s="87"/>
      <c r="G19145" s="87"/>
    </row>
    <row r="19146">
      <c r="A19146" s="86" t="str">
        <f>IFERROR(__xludf.DUMMYFUNCTION("""COMPUTED_VALUE"""),"")</f>
        <v/>
      </c>
      <c r="B19146" s="87"/>
      <c r="C19146" s="87"/>
      <c r="D19146" s="87"/>
      <c r="E19146" s="87"/>
      <c r="F19146" s="87"/>
      <c r="G19146" s="87"/>
    </row>
    <row r="19147">
      <c r="A19147" s="86" t="str">
        <f>IFERROR(__xludf.DUMMYFUNCTION("""COMPUTED_VALUE"""),"")</f>
        <v/>
      </c>
      <c r="B19147" s="87"/>
      <c r="C19147" s="87"/>
      <c r="D19147" s="87"/>
      <c r="E19147" s="87"/>
      <c r="F19147" s="87"/>
      <c r="G19147" s="87"/>
    </row>
    <row r="19148">
      <c r="A19148" s="86" t="str">
        <f>IFERROR(__xludf.DUMMYFUNCTION("""COMPUTED_VALUE"""),"")</f>
        <v/>
      </c>
      <c r="B19148" s="87"/>
      <c r="C19148" s="87"/>
      <c r="D19148" s="87"/>
      <c r="E19148" s="87"/>
      <c r="F19148" s="87"/>
      <c r="G19148" s="87"/>
    </row>
    <row r="19149">
      <c r="A19149" s="86" t="str">
        <f>IFERROR(__xludf.DUMMYFUNCTION("""COMPUTED_VALUE"""),"")</f>
        <v/>
      </c>
      <c r="B19149" s="87"/>
      <c r="C19149" s="87"/>
      <c r="D19149" s="87"/>
      <c r="E19149" s="87"/>
      <c r="F19149" s="87"/>
      <c r="G19149" s="87"/>
    </row>
    <row r="19150">
      <c r="A19150" s="86" t="str">
        <f>IFERROR(__xludf.DUMMYFUNCTION("""COMPUTED_VALUE"""),"")</f>
        <v/>
      </c>
      <c r="B19150" s="87"/>
      <c r="C19150" s="87"/>
      <c r="D19150" s="87"/>
      <c r="E19150" s="87"/>
      <c r="F19150" s="87"/>
      <c r="G19150" s="87"/>
    </row>
    <row r="19151">
      <c r="A19151" s="86" t="str">
        <f>IFERROR(__xludf.DUMMYFUNCTION("""COMPUTED_VALUE"""),"")</f>
        <v/>
      </c>
      <c r="B19151" s="87"/>
      <c r="C19151" s="87"/>
      <c r="D19151" s="87"/>
      <c r="E19151" s="87"/>
      <c r="F19151" s="87"/>
      <c r="G19151" s="87"/>
    </row>
    <row r="19152">
      <c r="A19152" s="86" t="str">
        <f>IFERROR(__xludf.DUMMYFUNCTION("""COMPUTED_VALUE"""),"")</f>
        <v/>
      </c>
      <c r="B19152" s="87"/>
      <c r="C19152" s="87"/>
      <c r="D19152" s="87"/>
      <c r="E19152" s="87"/>
      <c r="F19152" s="87"/>
      <c r="G19152" s="87"/>
    </row>
    <row r="19153">
      <c r="A19153" s="86" t="str">
        <f>IFERROR(__xludf.DUMMYFUNCTION("""COMPUTED_VALUE"""),"")</f>
        <v/>
      </c>
      <c r="B19153" s="87"/>
      <c r="C19153" s="87"/>
      <c r="D19153" s="87"/>
      <c r="E19153" s="87"/>
      <c r="F19153" s="87"/>
      <c r="G19153" s="87"/>
    </row>
    <row r="19154">
      <c r="A19154" s="86" t="str">
        <f>IFERROR(__xludf.DUMMYFUNCTION("""COMPUTED_VALUE"""),"")</f>
        <v/>
      </c>
      <c r="B19154" s="87"/>
      <c r="C19154" s="87"/>
      <c r="D19154" s="87"/>
      <c r="E19154" s="87"/>
      <c r="F19154" s="87"/>
      <c r="G19154" s="87"/>
    </row>
    <row r="19155">
      <c r="A19155" s="86" t="str">
        <f>IFERROR(__xludf.DUMMYFUNCTION("""COMPUTED_VALUE"""),"")</f>
        <v/>
      </c>
      <c r="B19155" s="87"/>
      <c r="C19155" s="87"/>
      <c r="D19155" s="87"/>
      <c r="E19155" s="87"/>
      <c r="F19155" s="87"/>
      <c r="G19155" s="87"/>
    </row>
    <row r="19156">
      <c r="A19156" s="86" t="str">
        <f>IFERROR(__xludf.DUMMYFUNCTION("""COMPUTED_VALUE"""),"")</f>
        <v/>
      </c>
      <c r="B19156" s="87"/>
      <c r="C19156" s="87"/>
      <c r="D19156" s="87"/>
      <c r="E19156" s="87"/>
      <c r="F19156" s="87"/>
      <c r="G19156" s="87"/>
    </row>
    <row r="19157">
      <c r="A19157" s="86" t="str">
        <f>IFERROR(__xludf.DUMMYFUNCTION("""COMPUTED_VALUE"""),"")</f>
        <v/>
      </c>
      <c r="B19157" s="87"/>
      <c r="C19157" s="87"/>
      <c r="D19157" s="87"/>
      <c r="E19157" s="87"/>
      <c r="F19157" s="87"/>
      <c r="G19157" s="87"/>
    </row>
    <row r="19158">
      <c r="A19158" s="86" t="str">
        <f>IFERROR(__xludf.DUMMYFUNCTION("""COMPUTED_VALUE"""),"")</f>
        <v/>
      </c>
      <c r="B19158" s="87"/>
      <c r="C19158" s="87"/>
      <c r="D19158" s="87"/>
      <c r="E19158" s="87"/>
      <c r="F19158" s="87"/>
      <c r="G19158" s="87"/>
    </row>
    <row r="19159">
      <c r="A19159" s="86" t="str">
        <f>IFERROR(__xludf.DUMMYFUNCTION("""COMPUTED_VALUE"""),"")</f>
        <v/>
      </c>
      <c r="B19159" s="87"/>
      <c r="C19159" s="87"/>
      <c r="D19159" s="87"/>
      <c r="E19159" s="87"/>
      <c r="F19159" s="87"/>
      <c r="G19159" s="87"/>
    </row>
    <row r="19160">
      <c r="A19160" s="86" t="str">
        <f>IFERROR(__xludf.DUMMYFUNCTION("""COMPUTED_VALUE"""),"")</f>
        <v/>
      </c>
      <c r="B19160" s="87"/>
      <c r="C19160" s="87"/>
      <c r="D19160" s="87"/>
      <c r="E19160" s="87"/>
      <c r="F19160" s="87"/>
      <c r="G19160" s="87"/>
    </row>
    <row r="19161">
      <c r="A19161" s="86" t="str">
        <f>IFERROR(__xludf.DUMMYFUNCTION("""COMPUTED_VALUE"""),"")</f>
        <v/>
      </c>
      <c r="B19161" s="87"/>
      <c r="C19161" s="87"/>
      <c r="D19161" s="87"/>
      <c r="E19161" s="87"/>
      <c r="F19161" s="87"/>
      <c r="G19161" s="87"/>
    </row>
    <row r="19162">
      <c r="A19162" s="86" t="str">
        <f>IFERROR(__xludf.DUMMYFUNCTION("""COMPUTED_VALUE"""),"")</f>
        <v/>
      </c>
      <c r="B19162" s="87"/>
      <c r="C19162" s="87"/>
      <c r="D19162" s="87"/>
      <c r="E19162" s="87"/>
      <c r="F19162" s="87"/>
      <c r="G19162" s="87"/>
    </row>
    <row r="19163">
      <c r="A19163" s="86" t="str">
        <f>IFERROR(__xludf.DUMMYFUNCTION("""COMPUTED_VALUE"""),"")</f>
        <v/>
      </c>
      <c r="B19163" s="87"/>
      <c r="C19163" s="87"/>
      <c r="D19163" s="87"/>
      <c r="E19163" s="87"/>
      <c r="F19163" s="87"/>
      <c r="G19163" s="87"/>
    </row>
    <row r="19164">
      <c r="A19164" s="86" t="str">
        <f>IFERROR(__xludf.DUMMYFUNCTION("""COMPUTED_VALUE"""),"")</f>
        <v/>
      </c>
      <c r="B19164" s="87"/>
      <c r="C19164" s="87"/>
      <c r="D19164" s="87"/>
      <c r="E19164" s="87"/>
      <c r="F19164" s="87"/>
      <c r="G19164" s="87"/>
    </row>
    <row r="19165">
      <c r="A19165" s="86" t="str">
        <f>IFERROR(__xludf.DUMMYFUNCTION("""COMPUTED_VALUE"""),"")</f>
        <v/>
      </c>
      <c r="B19165" s="87"/>
      <c r="C19165" s="87"/>
      <c r="D19165" s="87"/>
      <c r="E19165" s="87"/>
      <c r="F19165" s="87"/>
      <c r="G19165" s="87"/>
    </row>
    <row r="19166">
      <c r="A19166" s="86" t="str">
        <f>IFERROR(__xludf.DUMMYFUNCTION("""COMPUTED_VALUE"""),"")</f>
        <v/>
      </c>
      <c r="B19166" s="87"/>
      <c r="C19166" s="87"/>
      <c r="D19166" s="87"/>
      <c r="E19166" s="87"/>
      <c r="F19166" s="87"/>
      <c r="G19166" s="87"/>
    </row>
    <row r="19167">
      <c r="A19167" s="86" t="str">
        <f>IFERROR(__xludf.DUMMYFUNCTION("""COMPUTED_VALUE"""),"")</f>
        <v/>
      </c>
      <c r="B19167" s="87"/>
      <c r="C19167" s="87"/>
      <c r="D19167" s="87"/>
      <c r="E19167" s="87"/>
      <c r="F19167" s="87"/>
      <c r="G19167" s="87"/>
    </row>
    <row r="19168">
      <c r="A19168" s="86" t="str">
        <f>IFERROR(__xludf.DUMMYFUNCTION("""COMPUTED_VALUE"""),"")</f>
        <v/>
      </c>
      <c r="B19168" s="87"/>
      <c r="C19168" s="87"/>
      <c r="D19168" s="87"/>
      <c r="E19168" s="87"/>
      <c r="F19168" s="87"/>
      <c r="G19168" s="87"/>
    </row>
    <row r="19169">
      <c r="A19169" s="86" t="str">
        <f>IFERROR(__xludf.DUMMYFUNCTION("""COMPUTED_VALUE"""),"")</f>
        <v/>
      </c>
      <c r="B19169" s="87"/>
      <c r="C19169" s="87"/>
      <c r="D19169" s="87"/>
      <c r="E19169" s="87"/>
      <c r="F19169" s="87"/>
      <c r="G19169" s="87"/>
    </row>
    <row r="19170">
      <c r="A19170" s="86" t="str">
        <f>IFERROR(__xludf.DUMMYFUNCTION("""COMPUTED_VALUE"""),"")</f>
        <v/>
      </c>
      <c r="B19170" s="87"/>
      <c r="C19170" s="87"/>
      <c r="D19170" s="87"/>
      <c r="E19170" s="87"/>
      <c r="F19170" s="87"/>
      <c r="G19170" s="87"/>
    </row>
    <row r="19171">
      <c r="A19171" s="86" t="str">
        <f>IFERROR(__xludf.DUMMYFUNCTION("""COMPUTED_VALUE"""),"")</f>
        <v/>
      </c>
      <c r="B19171" s="87"/>
      <c r="C19171" s="87"/>
      <c r="D19171" s="87"/>
      <c r="E19171" s="87"/>
      <c r="F19171" s="87"/>
      <c r="G19171" s="87"/>
    </row>
    <row r="19172">
      <c r="A19172" s="86" t="str">
        <f>IFERROR(__xludf.DUMMYFUNCTION("""COMPUTED_VALUE"""),"")</f>
        <v/>
      </c>
      <c r="B19172" s="87"/>
      <c r="C19172" s="87"/>
      <c r="D19172" s="87"/>
      <c r="E19172" s="87"/>
      <c r="F19172" s="87"/>
      <c r="G19172" s="87"/>
    </row>
    <row r="19173">
      <c r="A19173" s="86" t="str">
        <f>IFERROR(__xludf.DUMMYFUNCTION("""COMPUTED_VALUE"""),"")</f>
        <v/>
      </c>
      <c r="B19173" s="87"/>
      <c r="C19173" s="87"/>
      <c r="D19173" s="87"/>
      <c r="E19173" s="87"/>
      <c r="F19173" s="87"/>
      <c r="G19173" s="87"/>
    </row>
    <row r="19174">
      <c r="A19174" s="86" t="str">
        <f>IFERROR(__xludf.DUMMYFUNCTION("""COMPUTED_VALUE"""),"")</f>
        <v/>
      </c>
      <c r="B19174" s="87"/>
      <c r="C19174" s="87"/>
      <c r="D19174" s="87"/>
      <c r="E19174" s="87"/>
      <c r="F19174" s="87"/>
      <c r="G19174" s="87"/>
    </row>
    <row r="19175">
      <c r="A19175" s="86" t="str">
        <f>IFERROR(__xludf.DUMMYFUNCTION("""COMPUTED_VALUE"""),"")</f>
        <v/>
      </c>
      <c r="B19175" s="87"/>
      <c r="C19175" s="87"/>
      <c r="D19175" s="87"/>
      <c r="E19175" s="87"/>
      <c r="F19175" s="87"/>
      <c r="G19175" s="87"/>
    </row>
    <row r="19176">
      <c r="A19176" s="86" t="str">
        <f>IFERROR(__xludf.DUMMYFUNCTION("""COMPUTED_VALUE"""),"")</f>
        <v/>
      </c>
      <c r="B19176" s="87"/>
      <c r="C19176" s="87"/>
      <c r="D19176" s="87"/>
      <c r="E19176" s="87"/>
      <c r="F19176" s="87"/>
      <c r="G19176" s="87"/>
    </row>
    <row r="19177">
      <c r="A19177" s="86" t="str">
        <f>IFERROR(__xludf.DUMMYFUNCTION("""COMPUTED_VALUE"""),"")</f>
        <v/>
      </c>
      <c r="B19177" s="87"/>
      <c r="C19177" s="87"/>
      <c r="D19177" s="87"/>
      <c r="E19177" s="87"/>
      <c r="F19177" s="87"/>
      <c r="G19177" s="87"/>
    </row>
    <row r="19178">
      <c r="A19178" s="86" t="str">
        <f>IFERROR(__xludf.DUMMYFUNCTION("""COMPUTED_VALUE"""),"")</f>
        <v/>
      </c>
      <c r="B19178" s="87"/>
      <c r="C19178" s="87"/>
      <c r="D19178" s="87"/>
      <c r="E19178" s="87"/>
      <c r="F19178" s="87"/>
      <c r="G19178" s="87"/>
    </row>
    <row r="19179">
      <c r="A19179" s="86" t="str">
        <f>IFERROR(__xludf.DUMMYFUNCTION("""COMPUTED_VALUE"""),"")</f>
        <v/>
      </c>
      <c r="B19179" s="87"/>
      <c r="C19179" s="87"/>
      <c r="D19179" s="87"/>
      <c r="E19179" s="87"/>
      <c r="F19179" s="87"/>
      <c r="G19179" s="87"/>
    </row>
    <row r="19180">
      <c r="A19180" s="86" t="str">
        <f>IFERROR(__xludf.DUMMYFUNCTION("""COMPUTED_VALUE"""),"")</f>
        <v/>
      </c>
      <c r="B19180" s="87"/>
      <c r="C19180" s="87"/>
      <c r="D19180" s="87"/>
      <c r="E19180" s="87"/>
      <c r="F19180" s="87"/>
      <c r="G19180" s="87"/>
    </row>
    <row r="19181">
      <c r="A19181" s="86" t="str">
        <f>IFERROR(__xludf.DUMMYFUNCTION("""COMPUTED_VALUE"""),"")</f>
        <v/>
      </c>
      <c r="B19181" s="87"/>
      <c r="C19181" s="87"/>
      <c r="D19181" s="87"/>
      <c r="E19181" s="87"/>
      <c r="F19181" s="87"/>
      <c r="G19181" s="87"/>
    </row>
    <row r="19182">
      <c r="A19182" s="86" t="str">
        <f>IFERROR(__xludf.DUMMYFUNCTION("""COMPUTED_VALUE"""),"")</f>
        <v/>
      </c>
      <c r="B19182" s="87"/>
      <c r="C19182" s="87"/>
      <c r="D19182" s="87"/>
      <c r="E19182" s="87"/>
      <c r="F19182" s="87"/>
      <c r="G19182" s="87"/>
    </row>
    <row r="19183">
      <c r="A19183" s="86" t="str">
        <f>IFERROR(__xludf.DUMMYFUNCTION("""COMPUTED_VALUE"""),"")</f>
        <v/>
      </c>
      <c r="B19183" s="87"/>
      <c r="C19183" s="87"/>
      <c r="D19183" s="87"/>
      <c r="E19183" s="87"/>
      <c r="F19183" s="87"/>
      <c r="G19183" s="87"/>
    </row>
    <row r="19184">
      <c r="A19184" s="86" t="str">
        <f>IFERROR(__xludf.DUMMYFUNCTION("""COMPUTED_VALUE"""),"")</f>
        <v/>
      </c>
      <c r="B19184" s="87"/>
      <c r="C19184" s="87"/>
      <c r="D19184" s="87"/>
      <c r="E19184" s="87"/>
      <c r="F19184" s="87"/>
      <c r="G19184" s="87"/>
    </row>
    <row r="19185">
      <c r="A19185" s="86" t="str">
        <f>IFERROR(__xludf.DUMMYFUNCTION("""COMPUTED_VALUE"""),"")</f>
        <v/>
      </c>
      <c r="B19185" s="87"/>
      <c r="C19185" s="87"/>
      <c r="D19185" s="87"/>
      <c r="E19185" s="87"/>
      <c r="F19185" s="87"/>
      <c r="G19185" s="87"/>
    </row>
    <row r="19186">
      <c r="A19186" s="86" t="str">
        <f>IFERROR(__xludf.DUMMYFUNCTION("""COMPUTED_VALUE"""),"")</f>
        <v/>
      </c>
      <c r="B19186" s="87"/>
      <c r="C19186" s="87"/>
      <c r="D19186" s="87"/>
      <c r="E19186" s="87"/>
      <c r="F19186" s="87"/>
      <c r="G19186" s="87"/>
    </row>
    <row r="19187">
      <c r="A19187" s="86" t="str">
        <f>IFERROR(__xludf.DUMMYFUNCTION("""COMPUTED_VALUE"""),"")</f>
        <v/>
      </c>
      <c r="B19187" s="87"/>
      <c r="C19187" s="87"/>
      <c r="D19187" s="87"/>
      <c r="E19187" s="87"/>
      <c r="F19187" s="87"/>
      <c r="G19187" s="87"/>
    </row>
    <row r="19188">
      <c r="A19188" s="86" t="str">
        <f>IFERROR(__xludf.DUMMYFUNCTION("""COMPUTED_VALUE"""),"")</f>
        <v/>
      </c>
      <c r="B19188" s="87"/>
      <c r="C19188" s="87"/>
      <c r="D19188" s="87"/>
      <c r="E19188" s="87"/>
      <c r="F19188" s="87"/>
      <c r="G19188" s="87"/>
    </row>
    <row r="19189">
      <c r="A19189" s="86" t="str">
        <f>IFERROR(__xludf.DUMMYFUNCTION("""COMPUTED_VALUE"""),"")</f>
        <v/>
      </c>
      <c r="B19189" s="87"/>
      <c r="C19189" s="87"/>
      <c r="D19189" s="87"/>
      <c r="E19189" s="87"/>
      <c r="F19189" s="87"/>
      <c r="G19189" s="87"/>
    </row>
    <row r="19190">
      <c r="A19190" s="86" t="str">
        <f>IFERROR(__xludf.DUMMYFUNCTION("""COMPUTED_VALUE"""),"")</f>
        <v/>
      </c>
      <c r="B19190" s="87"/>
      <c r="C19190" s="87"/>
      <c r="D19190" s="87"/>
      <c r="E19190" s="87"/>
      <c r="F19190" s="87"/>
      <c r="G19190" s="87"/>
    </row>
    <row r="19191">
      <c r="A19191" s="86" t="str">
        <f>IFERROR(__xludf.DUMMYFUNCTION("""COMPUTED_VALUE"""),"")</f>
        <v/>
      </c>
      <c r="B19191" s="87"/>
      <c r="C19191" s="87"/>
      <c r="D19191" s="87"/>
      <c r="E19191" s="87"/>
      <c r="F19191" s="87"/>
      <c r="G19191" s="87"/>
    </row>
    <row r="19192">
      <c r="A19192" s="86" t="str">
        <f>IFERROR(__xludf.DUMMYFUNCTION("""COMPUTED_VALUE"""),"")</f>
        <v/>
      </c>
      <c r="B19192" s="87"/>
      <c r="C19192" s="87"/>
      <c r="D19192" s="87"/>
      <c r="E19192" s="87"/>
      <c r="F19192" s="87"/>
      <c r="G19192" s="87"/>
    </row>
    <row r="19193">
      <c r="A19193" s="86" t="str">
        <f>IFERROR(__xludf.DUMMYFUNCTION("""COMPUTED_VALUE"""),"")</f>
        <v/>
      </c>
      <c r="B19193" s="87"/>
      <c r="C19193" s="87"/>
      <c r="D19193" s="87"/>
      <c r="E19193" s="87"/>
      <c r="F19193" s="87"/>
      <c r="G19193" s="87"/>
    </row>
    <row r="19194">
      <c r="A19194" s="86" t="str">
        <f>IFERROR(__xludf.DUMMYFUNCTION("""COMPUTED_VALUE"""),"")</f>
        <v/>
      </c>
      <c r="B19194" s="87"/>
      <c r="C19194" s="87"/>
      <c r="D19194" s="87"/>
      <c r="E19194" s="87"/>
      <c r="F19194" s="87"/>
      <c r="G19194" s="87"/>
    </row>
    <row r="19195">
      <c r="A19195" s="86" t="str">
        <f>IFERROR(__xludf.DUMMYFUNCTION("""COMPUTED_VALUE"""),"")</f>
        <v/>
      </c>
      <c r="B19195" s="87"/>
      <c r="C19195" s="87"/>
      <c r="D19195" s="87"/>
      <c r="E19195" s="87"/>
      <c r="F19195" s="87"/>
      <c r="G19195" s="87"/>
    </row>
    <row r="19196">
      <c r="A19196" s="86" t="str">
        <f>IFERROR(__xludf.DUMMYFUNCTION("""COMPUTED_VALUE"""),"")</f>
        <v/>
      </c>
      <c r="B19196" s="87"/>
      <c r="C19196" s="87"/>
      <c r="D19196" s="87"/>
      <c r="E19196" s="87"/>
      <c r="F19196" s="87"/>
      <c r="G19196" s="87"/>
    </row>
    <row r="19197">
      <c r="A19197" s="86" t="str">
        <f>IFERROR(__xludf.DUMMYFUNCTION("""COMPUTED_VALUE"""),"")</f>
        <v/>
      </c>
      <c r="B19197" s="87"/>
      <c r="C19197" s="87"/>
      <c r="D19197" s="87"/>
      <c r="E19197" s="87"/>
      <c r="F19197" s="87"/>
      <c r="G19197" s="87"/>
    </row>
    <row r="19198">
      <c r="A19198" s="86" t="str">
        <f>IFERROR(__xludf.DUMMYFUNCTION("""COMPUTED_VALUE"""),"")</f>
        <v/>
      </c>
      <c r="B19198" s="87"/>
      <c r="C19198" s="87"/>
      <c r="D19198" s="87"/>
      <c r="E19198" s="87"/>
      <c r="F19198" s="87"/>
      <c r="G19198" s="87"/>
    </row>
    <row r="19199">
      <c r="A19199" s="86" t="str">
        <f>IFERROR(__xludf.DUMMYFUNCTION("""COMPUTED_VALUE"""),"")</f>
        <v/>
      </c>
      <c r="B19199" s="87"/>
      <c r="C19199" s="87"/>
      <c r="D19199" s="87"/>
      <c r="E19199" s="87"/>
      <c r="F19199" s="87"/>
      <c r="G19199" s="87"/>
    </row>
    <row r="19200">
      <c r="A19200" s="86" t="str">
        <f>IFERROR(__xludf.DUMMYFUNCTION("""COMPUTED_VALUE"""),"")</f>
        <v/>
      </c>
      <c r="B19200" s="87"/>
      <c r="C19200" s="87"/>
      <c r="D19200" s="87"/>
      <c r="E19200" s="87"/>
      <c r="F19200" s="87"/>
      <c r="G19200" s="87"/>
    </row>
    <row r="19201">
      <c r="A19201" s="86" t="str">
        <f>IFERROR(__xludf.DUMMYFUNCTION("""COMPUTED_VALUE"""),"")</f>
        <v/>
      </c>
      <c r="B19201" s="87"/>
      <c r="C19201" s="87"/>
      <c r="D19201" s="87"/>
      <c r="E19201" s="87"/>
      <c r="F19201" s="87"/>
      <c r="G19201" s="87"/>
    </row>
    <row r="19202">
      <c r="A19202" s="86" t="str">
        <f>IFERROR(__xludf.DUMMYFUNCTION("""COMPUTED_VALUE"""),"")</f>
        <v/>
      </c>
      <c r="B19202" s="87"/>
      <c r="C19202" s="87"/>
      <c r="D19202" s="87"/>
      <c r="E19202" s="87"/>
      <c r="F19202" s="87"/>
      <c r="G19202" s="87"/>
    </row>
    <row r="19203">
      <c r="A19203" s="86" t="str">
        <f>IFERROR(__xludf.DUMMYFUNCTION("""COMPUTED_VALUE"""),"")</f>
        <v/>
      </c>
      <c r="B19203" s="87"/>
      <c r="C19203" s="87"/>
      <c r="D19203" s="87"/>
      <c r="E19203" s="87"/>
      <c r="F19203" s="87"/>
      <c r="G19203" s="87"/>
    </row>
    <row r="19204">
      <c r="A19204" s="86" t="str">
        <f>IFERROR(__xludf.DUMMYFUNCTION("""COMPUTED_VALUE"""),"")</f>
        <v/>
      </c>
      <c r="B19204" s="87"/>
      <c r="C19204" s="87"/>
      <c r="D19204" s="87"/>
      <c r="E19204" s="87"/>
      <c r="F19204" s="87"/>
      <c r="G19204" s="87"/>
    </row>
    <row r="19205">
      <c r="A19205" s="86" t="str">
        <f>IFERROR(__xludf.DUMMYFUNCTION("""COMPUTED_VALUE"""),"")</f>
        <v/>
      </c>
      <c r="B19205" s="87"/>
      <c r="C19205" s="87"/>
      <c r="D19205" s="87"/>
      <c r="E19205" s="87"/>
      <c r="F19205" s="87"/>
      <c r="G19205" s="87"/>
    </row>
    <row r="19206">
      <c r="A19206" s="86" t="str">
        <f>IFERROR(__xludf.DUMMYFUNCTION("""COMPUTED_VALUE"""),"")</f>
        <v/>
      </c>
      <c r="B19206" s="87"/>
      <c r="C19206" s="87"/>
      <c r="D19206" s="87"/>
      <c r="E19206" s="87"/>
      <c r="F19206" s="87"/>
      <c r="G19206" s="87"/>
    </row>
    <row r="19207">
      <c r="A19207" s="86" t="str">
        <f>IFERROR(__xludf.DUMMYFUNCTION("""COMPUTED_VALUE"""),"")</f>
        <v/>
      </c>
      <c r="B19207" s="87"/>
      <c r="C19207" s="87"/>
      <c r="D19207" s="87"/>
      <c r="E19207" s="87"/>
      <c r="F19207" s="87"/>
      <c r="G19207" s="87"/>
    </row>
    <row r="19208">
      <c r="A19208" s="86" t="str">
        <f>IFERROR(__xludf.DUMMYFUNCTION("""COMPUTED_VALUE"""),"")</f>
        <v/>
      </c>
      <c r="B19208" s="87"/>
      <c r="C19208" s="87"/>
      <c r="D19208" s="87"/>
      <c r="E19208" s="87"/>
      <c r="F19208" s="87"/>
      <c r="G19208" s="87"/>
    </row>
    <row r="19209">
      <c r="A19209" s="86" t="str">
        <f>IFERROR(__xludf.DUMMYFUNCTION("""COMPUTED_VALUE"""),"")</f>
        <v/>
      </c>
      <c r="B19209" s="87"/>
      <c r="C19209" s="87"/>
      <c r="D19209" s="87"/>
      <c r="E19209" s="87"/>
      <c r="F19209" s="87"/>
      <c r="G19209" s="87"/>
    </row>
    <row r="19210">
      <c r="A19210" s="86" t="str">
        <f>IFERROR(__xludf.DUMMYFUNCTION("""COMPUTED_VALUE"""),"")</f>
        <v/>
      </c>
      <c r="B19210" s="87"/>
      <c r="C19210" s="87"/>
      <c r="D19210" s="87"/>
      <c r="E19210" s="87"/>
      <c r="F19210" s="87"/>
      <c r="G19210" s="87"/>
    </row>
    <row r="19211">
      <c r="A19211" s="86" t="str">
        <f>IFERROR(__xludf.DUMMYFUNCTION("""COMPUTED_VALUE"""),"")</f>
        <v/>
      </c>
      <c r="B19211" s="87"/>
      <c r="C19211" s="87"/>
      <c r="D19211" s="87"/>
      <c r="E19211" s="87"/>
      <c r="F19211" s="87"/>
      <c r="G19211" s="87"/>
    </row>
    <row r="19212">
      <c r="A19212" s="86" t="str">
        <f>IFERROR(__xludf.DUMMYFUNCTION("""COMPUTED_VALUE"""),"")</f>
        <v/>
      </c>
      <c r="B19212" s="87"/>
      <c r="C19212" s="87"/>
      <c r="D19212" s="87"/>
      <c r="E19212" s="87"/>
      <c r="F19212" s="87"/>
      <c r="G19212" s="87"/>
    </row>
    <row r="19213">
      <c r="A19213" s="86" t="str">
        <f>IFERROR(__xludf.DUMMYFUNCTION("""COMPUTED_VALUE"""),"")</f>
        <v/>
      </c>
      <c r="B19213" s="87"/>
      <c r="C19213" s="87"/>
      <c r="D19213" s="87"/>
      <c r="E19213" s="87"/>
      <c r="F19213" s="87"/>
      <c r="G19213" s="87"/>
    </row>
    <row r="19214">
      <c r="A19214" s="86" t="str">
        <f>IFERROR(__xludf.DUMMYFUNCTION("""COMPUTED_VALUE"""),"")</f>
        <v/>
      </c>
      <c r="B19214" s="87"/>
      <c r="C19214" s="87"/>
      <c r="D19214" s="87"/>
      <c r="E19214" s="87"/>
      <c r="F19214" s="87"/>
      <c r="G19214" s="87"/>
    </row>
    <row r="19215">
      <c r="A19215" s="86" t="str">
        <f>IFERROR(__xludf.DUMMYFUNCTION("""COMPUTED_VALUE"""),"")</f>
        <v/>
      </c>
      <c r="B19215" s="87"/>
      <c r="C19215" s="87"/>
      <c r="D19215" s="87"/>
      <c r="E19215" s="87"/>
      <c r="F19215" s="87"/>
      <c r="G19215" s="87"/>
    </row>
    <row r="19216">
      <c r="A19216" s="86" t="str">
        <f>IFERROR(__xludf.DUMMYFUNCTION("""COMPUTED_VALUE"""),"")</f>
        <v/>
      </c>
      <c r="B19216" s="87"/>
      <c r="C19216" s="87"/>
      <c r="D19216" s="87"/>
      <c r="E19216" s="87"/>
      <c r="F19216" s="87"/>
      <c r="G19216" s="87"/>
    </row>
    <row r="19217">
      <c r="A19217" s="86" t="str">
        <f>IFERROR(__xludf.DUMMYFUNCTION("""COMPUTED_VALUE"""),"")</f>
        <v/>
      </c>
      <c r="B19217" s="87"/>
      <c r="C19217" s="87"/>
      <c r="D19217" s="87"/>
      <c r="E19217" s="87"/>
      <c r="F19217" s="87"/>
      <c r="G19217" s="87"/>
    </row>
    <row r="19218">
      <c r="A19218" s="86" t="str">
        <f>IFERROR(__xludf.DUMMYFUNCTION("""COMPUTED_VALUE"""),"")</f>
        <v/>
      </c>
      <c r="B19218" s="87"/>
      <c r="C19218" s="87"/>
      <c r="D19218" s="87"/>
      <c r="E19218" s="87"/>
      <c r="F19218" s="87"/>
      <c r="G19218" s="87"/>
    </row>
    <row r="19219">
      <c r="A19219" s="86" t="str">
        <f>IFERROR(__xludf.DUMMYFUNCTION("""COMPUTED_VALUE"""),"")</f>
        <v/>
      </c>
      <c r="B19219" s="87"/>
      <c r="C19219" s="87"/>
      <c r="D19219" s="87"/>
      <c r="E19219" s="87"/>
      <c r="F19219" s="87"/>
      <c r="G19219" s="87"/>
    </row>
    <row r="19220">
      <c r="A19220" s="86" t="str">
        <f>IFERROR(__xludf.DUMMYFUNCTION("""COMPUTED_VALUE"""),"")</f>
        <v/>
      </c>
      <c r="B19220" s="87"/>
      <c r="C19220" s="87"/>
      <c r="D19220" s="87"/>
      <c r="E19220" s="87"/>
      <c r="F19220" s="87"/>
      <c r="G19220" s="87"/>
    </row>
    <row r="19221">
      <c r="A19221" s="86" t="str">
        <f>IFERROR(__xludf.DUMMYFUNCTION("""COMPUTED_VALUE"""),"")</f>
        <v/>
      </c>
      <c r="B19221" s="87"/>
      <c r="C19221" s="87"/>
      <c r="D19221" s="87"/>
      <c r="E19221" s="87"/>
      <c r="F19221" s="87"/>
      <c r="G19221" s="87"/>
    </row>
    <row r="19222">
      <c r="A19222" s="86" t="str">
        <f>IFERROR(__xludf.DUMMYFUNCTION("""COMPUTED_VALUE"""),"")</f>
        <v/>
      </c>
      <c r="B19222" s="87"/>
      <c r="C19222" s="87"/>
      <c r="D19222" s="87"/>
      <c r="E19222" s="87"/>
      <c r="F19222" s="87"/>
      <c r="G19222" s="87"/>
    </row>
    <row r="19223">
      <c r="A19223" s="86" t="str">
        <f>IFERROR(__xludf.DUMMYFUNCTION("""COMPUTED_VALUE"""),"")</f>
        <v/>
      </c>
      <c r="B19223" s="87"/>
      <c r="C19223" s="87"/>
      <c r="D19223" s="87"/>
      <c r="E19223" s="87"/>
      <c r="F19223" s="87"/>
      <c r="G19223" s="87"/>
    </row>
    <row r="19224">
      <c r="A19224" s="86" t="str">
        <f>IFERROR(__xludf.DUMMYFUNCTION("""COMPUTED_VALUE"""),"")</f>
        <v/>
      </c>
      <c r="B19224" s="87"/>
      <c r="C19224" s="87"/>
      <c r="D19224" s="87"/>
      <c r="E19224" s="87"/>
      <c r="F19224" s="87"/>
      <c r="G19224" s="87"/>
    </row>
    <row r="19225">
      <c r="A19225" s="86" t="str">
        <f>IFERROR(__xludf.DUMMYFUNCTION("""COMPUTED_VALUE"""),"")</f>
        <v/>
      </c>
      <c r="B19225" s="87"/>
      <c r="C19225" s="87"/>
      <c r="D19225" s="87"/>
      <c r="E19225" s="87"/>
      <c r="F19225" s="87"/>
      <c r="G19225" s="87"/>
    </row>
    <row r="19226">
      <c r="A19226" s="86" t="str">
        <f>IFERROR(__xludf.DUMMYFUNCTION("""COMPUTED_VALUE"""),"")</f>
        <v/>
      </c>
      <c r="B19226" s="87"/>
      <c r="C19226" s="87"/>
      <c r="D19226" s="87"/>
      <c r="E19226" s="87"/>
      <c r="F19226" s="87"/>
      <c r="G19226" s="87"/>
    </row>
    <row r="19227">
      <c r="A19227" s="86" t="str">
        <f>IFERROR(__xludf.DUMMYFUNCTION("""COMPUTED_VALUE"""),"")</f>
        <v/>
      </c>
      <c r="B19227" s="87"/>
      <c r="C19227" s="87"/>
      <c r="D19227" s="87"/>
      <c r="E19227" s="87"/>
      <c r="F19227" s="87"/>
      <c r="G19227" s="87"/>
    </row>
    <row r="19228">
      <c r="A19228" s="86" t="str">
        <f>IFERROR(__xludf.DUMMYFUNCTION("""COMPUTED_VALUE"""),"")</f>
        <v/>
      </c>
      <c r="B19228" s="87"/>
      <c r="C19228" s="87"/>
      <c r="D19228" s="87"/>
      <c r="E19228" s="87"/>
      <c r="F19228" s="87"/>
      <c r="G19228" s="87"/>
    </row>
    <row r="19229">
      <c r="A19229" s="86" t="str">
        <f>IFERROR(__xludf.DUMMYFUNCTION("""COMPUTED_VALUE"""),"")</f>
        <v/>
      </c>
      <c r="B19229" s="87"/>
      <c r="C19229" s="87"/>
      <c r="D19229" s="87"/>
      <c r="E19229" s="87"/>
      <c r="F19229" s="87"/>
      <c r="G19229" s="87"/>
    </row>
    <row r="19230">
      <c r="A19230" s="86" t="str">
        <f>IFERROR(__xludf.DUMMYFUNCTION("""COMPUTED_VALUE"""),"")</f>
        <v/>
      </c>
      <c r="B19230" s="87"/>
      <c r="C19230" s="87"/>
      <c r="D19230" s="87"/>
      <c r="E19230" s="87"/>
      <c r="F19230" s="87"/>
      <c r="G19230" s="87"/>
    </row>
    <row r="19231">
      <c r="A19231" s="86" t="str">
        <f>IFERROR(__xludf.DUMMYFUNCTION("""COMPUTED_VALUE"""),"")</f>
        <v/>
      </c>
      <c r="B19231" s="87"/>
      <c r="C19231" s="87"/>
      <c r="D19231" s="87"/>
      <c r="E19231" s="87"/>
      <c r="F19231" s="87"/>
      <c r="G19231" s="87"/>
    </row>
    <row r="19232">
      <c r="A19232" s="86" t="str">
        <f>IFERROR(__xludf.DUMMYFUNCTION("""COMPUTED_VALUE"""),"")</f>
        <v/>
      </c>
      <c r="B19232" s="87"/>
      <c r="C19232" s="87"/>
      <c r="D19232" s="87"/>
      <c r="E19232" s="87"/>
      <c r="F19232" s="87"/>
      <c r="G19232" s="87"/>
    </row>
    <row r="19233">
      <c r="A19233" s="86" t="str">
        <f>IFERROR(__xludf.DUMMYFUNCTION("""COMPUTED_VALUE"""),"")</f>
        <v/>
      </c>
      <c r="B19233" s="87"/>
      <c r="C19233" s="87"/>
      <c r="D19233" s="87"/>
      <c r="E19233" s="87"/>
      <c r="F19233" s="87"/>
      <c r="G19233" s="87"/>
    </row>
    <row r="19234">
      <c r="A19234" s="86" t="str">
        <f>IFERROR(__xludf.DUMMYFUNCTION("""COMPUTED_VALUE"""),"")</f>
        <v/>
      </c>
      <c r="B19234" s="87"/>
      <c r="C19234" s="87"/>
      <c r="D19234" s="87"/>
      <c r="E19234" s="87"/>
      <c r="F19234" s="87"/>
      <c r="G19234" s="87"/>
    </row>
    <row r="19235">
      <c r="A19235" s="86" t="str">
        <f>IFERROR(__xludf.DUMMYFUNCTION("""COMPUTED_VALUE"""),"")</f>
        <v/>
      </c>
      <c r="B19235" s="87"/>
      <c r="C19235" s="87"/>
      <c r="D19235" s="87"/>
      <c r="E19235" s="87"/>
      <c r="F19235" s="87"/>
      <c r="G19235" s="87"/>
    </row>
    <row r="19236">
      <c r="A19236" s="86" t="str">
        <f>IFERROR(__xludf.DUMMYFUNCTION("""COMPUTED_VALUE"""),"")</f>
        <v/>
      </c>
      <c r="B19236" s="87"/>
      <c r="C19236" s="87"/>
      <c r="D19236" s="87"/>
      <c r="E19236" s="87"/>
      <c r="F19236" s="87"/>
      <c r="G19236" s="87"/>
    </row>
    <row r="19237">
      <c r="A19237" s="86" t="str">
        <f>IFERROR(__xludf.DUMMYFUNCTION("""COMPUTED_VALUE"""),"")</f>
        <v/>
      </c>
      <c r="B19237" s="87"/>
      <c r="C19237" s="87"/>
      <c r="D19237" s="87"/>
      <c r="E19237" s="87"/>
      <c r="F19237" s="87"/>
      <c r="G19237" s="87"/>
    </row>
    <row r="19238">
      <c r="A19238" s="86" t="str">
        <f>IFERROR(__xludf.DUMMYFUNCTION("""COMPUTED_VALUE"""),"")</f>
        <v/>
      </c>
      <c r="B19238" s="87"/>
      <c r="C19238" s="87"/>
      <c r="D19238" s="87"/>
      <c r="E19238" s="87"/>
      <c r="F19238" s="87"/>
      <c r="G19238" s="87"/>
    </row>
    <row r="19239">
      <c r="A19239" s="86" t="str">
        <f>IFERROR(__xludf.DUMMYFUNCTION("""COMPUTED_VALUE"""),"")</f>
        <v/>
      </c>
      <c r="B19239" s="87"/>
      <c r="C19239" s="87"/>
      <c r="D19239" s="87"/>
      <c r="E19239" s="87"/>
      <c r="F19239" s="87"/>
      <c r="G19239" s="87"/>
    </row>
    <row r="19240">
      <c r="A19240" s="86" t="str">
        <f>IFERROR(__xludf.DUMMYFUNCTION("""COMPUTED_VALUE"""),"")</f>
        <v/>
      </c>
      <c r="B19240" s="87"/>
      <c r="C19240" s="87"/>
      <c r="D19240" s="87"/>
      <c r="E19240" s="87"/>
      <c r="F19240" s="87"/>
      <c r="G19240" s="87"/>
    </row>
    <row r="19241">
      <c r="A19241" s="86" t="str">
        <f>IFERROR(__xludf.DUMMYFUNCTION("""COMPUTED_VALUE"""),"")</f>
        <v/>
      </c>
      <c r="B19241" s="87"/>
      <c r="C19241" s="87"/>
      <c r="D19241" s="87"/>
      <c r="E19241" s="87"/>
      <c r="F19241" s="87"/>
      <c r="G19241" s="87"/>
    </row>
    <row r="19242">
      <c r="A19242" s="86" t="str">
        <f>IFERROR(__xludf.DUMMYFUNCTION("""COMPUTED_VALUE"""),"")</f>
        <v/>
      </c>
      <c r="B19242" s="87"/>
      <c r="C19242" s="87"/>
      <c r="D19242" s="87"/>
      <c r="E19242" s="87"/>
      <c r="F19242" s="87"/>
      <c r="G19242" s="87"/>
    </row>
    <row r="19243">
      <c r="A19243" s="86" t="str">
        <f>IFERROR(__xludf.DUMMYFUNCTION("""COMPUTED_VALUE"""),"")</f>
        <v/>
      </c>
      <c r="B19243" s="87"/>
      <c r="C19243" s="87"/>
      <c r="D19243" s="87"/>
      <c r="E19243" s="87"/>
      <c r="F19243" s="87"/>
      <c r="G19243" s="87"/>
    </row>
    <row r="19244">
      <c r="A19244" s="86" t="str">
        <f>IFERROR(__xludf.DUMMYFUNCTION("""COMPUTED_VALUE"""),"")</f>
        <v/>
      </c>
      <c r="B19244" s="87"/>
      <c r="C19244" s="87"/>
      <c r="D19244" s="87"/>
      <c r="E19244" s="87"/>
      <c r="F19244" s="87"/>
      <c r="G19244" s="87"/>
    </row>
    <row r="19245">
      <c r="A19245" s="86" t="str">
        <f>IFERROR(__xludf.DUMMYFUNCTION("""COMPUTED_VALUE"""),"")</f>
        <v/>
      </c>
      <c r="B19245" s="87"/>
      <c r="C19245" s="87"/>
      <c r="D19245" s="87"/>
      <c r="E19245" s="87"/>
      <c r="F19245" s="87"/>
      <c r="G19245" s="87"/>
    </row>
    <row r="19246">
      <c r="A19246" s="86" t="str">
        <f>IFERROR(__xludf.DUMMYFUNCTION("""COMPUTED_VALUE"""),"")</f>
        <v/>
      </c>
      <c r="B19246" s="87"/>
      <c r="C19246" s="87"/>
      <c r="D19246" s="87"/>
      <c r="E19246" s="87"/>
      <c r="F19246" s="87"/>
      <c r="G19246" s="87"/>
    </row>
    <row r="19247">
      <c r="A19247" s="86" t="str">
        <f>IFERROR(__xludf.DUMMYFUNCTION("""COMPUTED_VALUE"""),"")</f>
        <v/>
      </c>
      <c r="B19247" s="87"/>
      <c r="C19247" s="87"/>
      <c r="D19247" s="87"/>
      <c r="E19247" s="87"/>
      <c r="F19247" s="87"/>
      <c r="G19247" s="87"/>
    </row>
    <row r="19248">
      <c r="A19248" s="86" t="str">
        <f>IFERROR(__xludf.DUMMYFUNCTION("""COMPUTED_VALUE"""),"")</f>
        <v/>
      </c>
      <c r="B19248" s="87"/>
      <c r="C19248" s="87"/>
      <c r="D19248" s="87"/>
      <c r="E19248" s="87"/>
      <c r="F19248" s="87"/>
      <c r="G19248" s="87"/>
    </row>
    <row r="19249">
      <c r="A19249" s="86" t="str">
        <f>IFERROR(__xludf.DUMMYFUNCTION("""COMPUTED_VALUE"""),"")</f>
        <v/>
      </c>
      <c r="B19249" s="87"/>
      <c r="C19249" s="87"/>
      <c r="D19249" s="87"/>
      <c r="E19249" s="87"/>
      <c r="F19249" s="87"/>
      <c r="G19249" s="87"/>
    </row>
    <row r="19250">
      <c r="A19250" s="86" t="str">
        <f>IFERROR(__xludf.DUMMYFUNCTION("""COMPUTED_VALUE"""),"")</f>
        <v/>
      </c>
      <c r="B19250" s="87"/>
      <c r="C19250" s="87"/>
      <c r="D19250" s="87"/>
      <c r="E19250" s="87"/>
      <c r="F19250" s="87"/>
      <c r="G19250" s="87"/>
    </row>
    <row r="19251">
      <c r="A19251" s="86" t="str">
        <f>IFERROR(__xludf.DUMMYFUNCTION("""COMPUTED_VALUE"""),"")</f>
        <v/>
      </c>
      <c r="B19251" s="87"/>
      <c r="C19251" s="87"/>
      <c r="D19251" s="87"/>
      <c r="E19251" s="87"/>
      <c r="F19251" s="87"/>
      <c r="G19251" s="87"/>
    </row>
    <row r="19252">
      <c r="A19252" s="86" t="str">
        <f>IFERROR(__xludf.DUMMYFUNCTION("""COMPUTED_VALUE"""),"")</f>
        <v/>
      </c>
      <c r="B19252" s="87"/>
      <c r="C19252" s="87"/>
      <c r="D19252" s="87"/>
      <c r="E19252" s="87"/>
      <c r="F19252" s="87"/>
      <c r="G19252" s="87"/>
    </row>
    <row r="19253">
      <c r="A19253" s="86" t="str">
        <f>IFERROR(__xludf.DUMMYFUNCTION("""COMPUTED_VALUE"""),"")</f>
        <v/>
      </c>
      <c r="B19253" s="87"/>
      <c r="C19253" s="87"/>
      <c r="D19253" s="87"/>
      <c r="E19253" s="87"/>
      <c r="F19253" s="87"/>
      <c r="G19253" s="87"/>
    </row>
    <row r="19254">
      <c r="A19254" s="86" t="str">
        <f>IFERROR(__xludf.DUMMYFUNCTION("""COMPUTED_VALUE"""),"")</f>
        <v/>
      </c>
      <c r="B19254" s="87"/>
      <c r="C19254" s="87"/>
      <c r="D19254" s="87"/>
      <c r="E19254" s="87"/>
      <c r="F19254" s="87"/>
      <c r="G19254" s="87"/>
    </row>
    <row r="19255">
      <c r="A19255" s="86" t="str">
        <f>IFERROR(__xludf.DUMMYFUNCTION("""COMPUTED_VALUE"""),"")</f>
        <v/>
      </c>
      <c r="B19255" s="87"/>
      <c r="C19255" s="87"/>
      <c r="D19255" s="87"/>
      <c r="E19255" s="87"/>
      <c r="F19255" s="87"/>
      <c r="G19255" s="87"/>
    </row>
    <row r="19256">
      <c r="A19256" s="86" t="str">
        <f>IFERROR(__xludf.DUMMYFUNCTION("""COMPUTED_VALUE"""),"")</f>
        <v/>
      </c>
      <c r="B19256" s="87"/>
      <c r="C19256" s="87"/>
      <c r="D19256" s="87"/>
      <c r="E19256" s="87"/>
      <c r="F19256" s="87"/>
      <c r="G19256" s="87"/>
    </row>
    <row r="19257">
      <c r="A19257" s="86" t="str">
        <f>IFERROR(__xludf.DUMMYFUNCTION("""COMPUTED_VALUE"""),"")</f>
        <v/>
      </c>
      <c r="B19257" s="87"/>
      <c r="C19257" s="87"/>
      <c r="D19257" s="87"/>
      <c r="E19257" s="87"/>
      <c r="F19257" s="87"/>
      <c r="G19257" s="87"/>
    </row>
    <row r="19258">
      <c r="A19258" s="86" t="str">
        <f>IFERROR(__xludf.DUMMYFUNCTION("""COMPUTED_VALUE"""),"")</f>
        <v/>
      </c>
      <c r="B19258" s="87"/>
      <c r="C19258" s="87"/>
      <c r="D19258" s="87"/>
      <c r="E19258" s="87"/>
      <c r="F19258" s="87"/>
      <c r="G19258" s="87"/>
    </row>
    <row r="19259">
      <c r="A19259" s="86" t="str">
        <f>IFERROR(__xludf.DUMMYFUNCTION("""COMPUTED_VALUE"""),"")</f>
        <v/>
      </c>
      <c r="B19259" s="87"/>
      <c r="C19259" s="87"/>
      <c r="D19259" s="87"/>
      <c r="E19259" s="87"/>
      <c r="F19259" s="87"/>
      <c r="G19259" s="87"/>
    </row>
    <row r="19260">
      <c r="A19260" s="86" t="str">
        <f>IFERROR(__xludf.DUMMYFUNCTION("""COMPUTED_VALUE"""),"")</f>
        <v/>
      </c>
      <c r="B19260" s="87"/>
      <c r="C19260" s="87"/>
      <c r="D19260" s="87"/>
      <c r="E19260" s="87"/>
      <c r="F19260" s="87"/>
      <c r="G19260" s="87"/>
    </row>
    <row r="19261">
      <c r="A19261" s="86" t="str">
        <f>IFERROR(__xludf.DUMMYFUNCTION("""COMPUTED_VALUE"""),"")</f>
        <v/>
      </c>
      <c r="B19261" s="87"/>
      <c r="C19261" s="87"/>
      <c r="D19261" s="87"/>
      <c r="E19261" s="87"/>
      <c r="F19261" s="87"/>
      <c r="G19261" s="87"/>
    </row>
    <row r="19262">
      <c r="A19262" s="86" t="str">
        <f>IFERROR(__xludf.DUMMYFUNCTION("""COMPUTED_VALUE"""),"")</f>
        <v/>
      </c>
      <c r="B19262" s="87"/>
      <c r="C19262" s="87"/>
      <c r="D19262" s="87"/>
      <c r="E19262" s="87"/>
      <c r="F19262" s="87"/>
      <c r="G19262" s="87"/>
    </row>
    <row r="19263">
      <c r="A19263" s="86" t="str">
        <f>IFERROR(__xludf.DUMMYFUNCTION("""COMPUTED_VALUE"""),"")</f>
        <v/>
      </c>
      <c r="B19263" s="87"/>
      <c r="C19263" s="87"/>
      <c r="D19263" s="87"/>
      <c r="E19263" s="87"/>
      <c r="F19263" s="87"/>
      <c r="G19263" s="87"/>
    </row>
    <row r="19264">
      <c r="A19264" s="86" t="str">
        <f>IFERROR(__xludf.DUMMYFUNCTION("""COMPUTED_VALUE"""),"")</f>
        <v/>
      </c>
      <c r="B19264" s="87"/>
      <c r="C19264" s="87"/>
      <c r="D19264" s="87"/>
      <c r="E19264" s="87"/>
      <c r="F19264" s="87"/>
      <c r="G19264" s="87"/>
    </row>
    <row r="19265">
      <c r="A19265" s="86" t="str">
        <f>IFERROR(__xludf.DUMMYFUNCTION("""COMPUTED_VALUE"""),"")</f>
        <v/>
      </c>
      <c r="B19265" s="87"/>
      <c r="C19265" s="87"/>
      <c r="D19265" s="87"/>
      <c r="E19265" s="87"/>
      <c r="F19265" s="87"/>
      <c r="G19265" s="87"/>
    </row>
    <row r="19266">
      <c r="A19266" s="86" t="str">
        <f>IFERROR(__xludf.DUMMYFUNCTION("""COMPUTED_VALUE"""),"")</f>
        <v/>
      </c>
      <c r="B19266" s="87"/>
      <c r="C19266" s="87"/>
      <c r="D19266" s="87"/>
      <c r="E19266" s="87"/>
      <c r="F19266" s="87"/>
      <c r="G19266" s="87"/>
    </row>
    <row r="19267">
      <c r="A19267" s="86" t="str">
        <f>IFERROR(__xludf.DUMMYFUNCTION("""COMPUTED_VALUE"""),"")</f>
        <v/>
      </c>
      <c r="B19267" s="87"/>
      <c r="C19267" s="87"/>
      <c r="D19267" s="87"/>
      <c r="E19267" s="87"/>
      <c r="F19267" s="87"/>
      <c r="G19267" s="87"/>
    </row>
    <row r="19268">
      <c r="A19268" s="86" t="str">
        <f>IFERROR(__xludf.DUMMYFUNCTION("""COMPUTED_VALUE"""),"")</f>
        <v/>
      </c>
      <c r="B19268" s="87"/>
      <c r="C19268" s="87"/>
      <c r="D19268" s="87"/>
      <c r="E19268" s="87"/>
      <c r="F19268" s="87"/>
      <c r="G19268" s="87"/>
    </row>
    <row r="19269">
      <c r="A19269" s="86" t="str">
        <f>IFERROR(__xludf.DUMMYFUNCTION("""COMPUTED_VALUE"""),"")</f>
        <v/>
      </c>
      <c r="B19269" s="87"/>
      <c r="C19269" s="87"/>
      <c r="D19269" s="87"/>
      <c r="E19269" s="87"/>
      <c r="F19269" s="87"/>
      <c r="G19269" s="87"/>
    </row>
    <row r="19270">
      <c r="A19270" s="86" t="str">
        <f>IFERROR(__xludf.DUMMYFUNCTION("""COMPUTED_VALUE"""),"")</f>
        <v/>
      </c>
      <c r="B19270" s="87"/>
      <c r="C19270" s="87"/>
      <c r="D19270" s="87"/>
      <c r="E19270" s="87"/>
      <c r="F19270" s="87"/>
      <c r="G19270" s="87"/>
    </row>
    <row r="19271">
      <c r="A19271" s="86" t="str">
        <f>IFERROR(__xludf.DUMMYFUNCTION("""COMPUTED_VALUE"""),"")</f>
        <v/>
      </c>
      <c r="B19271" s="87"/>
      <c r="C19271" s="87"/>
      <c r="D19271" s="87"/>
      <c r="E19271" s="87"/>
      <c r="F19271" s="87"/>
      <c r="G19271" s="87"/>
    </row>
    <row r="19272">
      <c r="A19272" s="86" t="str">
        <f>IFERROR(__xludf.DUMMYFUNCTION("""COMPUTED_VALUE"""),"")</f>
        <v/>
      </c>
      <c r="B19272" s="87"/>
      <c r="C19272" s="87"/>
      <c r="D19272" s="87"/>
      <c r="E19272" s="87"/>
      <c r="F19272" s="87"/>
      <c r="G19272" s="87"/>
    </row>
    <row r="19273">
      <c r="A19273" s="86" t="str">
        <f>IFERROR(__xludf.DUMMYFUNCTION("""COMPUTED_VALUE"""),"")</f>
        <v/>
      </c>
      <c r="B19273" s="87"/>
      <c r="C19273" s="87"/>
      <c r="D19273" s="87"/>
      <c r="E19273" s="87"/>
      <c r="F19273" s="87"/>
      <c r="G19273" s="87"/>
    </row>
    <row r="19274">
      <c r="A19274" s="86" t="str">
        <f>IFERROR(__xludf.DUMMYFUNCTION("""COMPUTED_VALUE"""),"")</f>
        <v/>
      </c>
      <c r="B19274" s="87"/>
      <c r="C19274" s="87"/>
      <c r="D19274" s="87"/>
      <c r="E19274" s="87"/>
      <c r="F19274" s="87"/>
      <c r="G19274" s="87"/>
    </row>
    <row r="19275">
      <c r="A19275" s="86" t="str">
        <f>IFERROR(__xludf.DUMMYFUNCTION("""COMPUTED_VALUE"""),"")</f>
        <v/>
      </c>
      <c r="B19275" s="87"/>
      <c r="C19275" s="87"/>
      <c r="D19275" s="87"/>
      <c r="E19275" s="87"/>
      <c r="F19275" s="87"/>
      <c r="G19275" s="87"/>
    </row>
    <row r="19276">
      <c r="A19276" s="86" t="str">
        <f>IFERROR(__xludf.DUMMYFUNCTION("""COMPUTED_VALUE"""),"")</f>
        <v/>
      </c>
      <c r="B19276" s="87"/>
      <c r="C19276" s="87"/>
      <c r="D19276" s="87"/>
      <c r="E19276" s="87"/>
      <c r="F19276" s="87"/>
      <c r="G19276" s="87"/>
    </row>
    <row r="19277">
      <c r="A19277" s="86" t="str">
        <f>IFERROR(__xludf.DUMMYFUNCTION("""COMPUTED_VALUE"""),"")</f>
        <v/>
      </c>
      <c r="B19277" s="87"/>
      <c r="C19277" s="87"/>
      <c r="D19277" s="87"/>
      <c r="E19277" s="87"/>
      <c r="F19277" s="87"/>
      <c r="G19277" s="87"/>
    </row>
    <row r="19278">
      <c r="A19278" s="86" t="str">
        <f>IFERROR(__xludf.DUMMYFUNCTION("""COMPUTED_VALUE"""),"")</f>
        <v/>
      </c>
      <c r="B19278" s="87"/>
      <c r="C19278" s="87"/>
      <c r="D19278" s="87"/>
      <c r="E19278" s="87"/>
      <c r="F19278" s="87"/>
      <c r="G19278" s="87"/>
    </row>
    <row r="19279">
      <c r="A19279" s="86" t="str">
        <f>IFERROR(__xludf.DUMMYFUNCTION("""COMPUTED_VALUE"""),"")</f>
        <v/>
      </c>
      <c r="B19279" s="87"/>
      <c r="C19279" s="87"/>
      <c r="D19279" s="87"/>
      <c r="E19279" s="87"/>
      <c r="F19279" s="87"/>
      <c r="G19279" s="87"/>
    </row>
    <row r="19280">
      <c r="A19280" s="86" t="str">
        <f>IFERROR(__xludf.DUMMYFUNCTION("""COMPUTED_VALUE"""),"")</f>
        <v/>
      </c>
      <c r="B19280" s="87"/>
      <c r="C19280" s="87"/>
      <c r="D19280" s="87"/>
      <c r="E19280" s="87"/>
      <c r="F19280" s="87"/>
      <c r="G19280" s="87"/>
    </row>
    <row r="19281">
      <c r="A19281" s="86" t="str">
        <f>IFERROR(__xludf.DUMMYFUNCTION("""COMPUTED_VALUE"""),"")</f>
        <v/>
      </c>
      <c r="B19281" s="87"/>
      <c r="C19281" s="87"/>
      <c r="D19281" s="87"/>
      <c r="E19281" s="87"/>
      <c r="F19281" s="87"/>
      <c r="G19281" s="87"/>
    </row>
    <row r="19282">
      <c r="A19282" s="86" t="str">
        <f>IFERROR(__xludf.DUMMYFUNCTION("""COMPUTED_VALUE"""),"")</f>
        <v/>
      </c>
      <c r="B19282" s="87"/>
      <c r="C19282" s="87"/>
      <c r="D19282" s="87"/>
      <c r="E19282" s="87"/>
      <c r="F19282" s="87"/>
      <c r="G19282" s="87"/>
    </row>
    <row r="19283">
      <c r="A19283" s="86" t="str">
        <f>IFERROR(__xludf.DUMMYFUNCTION("""COMPUTED_VALUE"""),"")</f>
        <v/>
      </c>
      <c r="B19283" s="87"/>
      <c r="C19283" s="87"/>
      <c r="D19283" s="87"/>
      <c r="E19283" s="87"/>
      <c r="F19283" s="87"/>
      <c r="G19283" s="87"/>
    </row>
    <row r="19284">
      <c r="A19284" s="86" t="str">
        <f>IFERROR(__xludf.DUMMYFUNCTION("""COMPUTED_VALUE"""),"")</f>
        <v/>
      </c>
      <c r="B19284" s="87"/>
      <c r="C19284" s="87"/>
      <c r="D19284" s="87"/>
      <c r="E19284" s="87"/>
      <c r="F19284" s="87"/>
      <c r="G19284" s="87"/>
    </row>
    <row r="19285">
      <c r="A19285" s="86" t="str">
        <f>IFERROR(__xludf.DUMMYFUNCTION("""COMPUTED_VALUE"""),"")</f>
        <v/>
      </c>
      <c r="B19285" s="87"/>
      <c r="C19285" s="87"/>
      <c r="D19285" s="87"/>
      <c r="E19285" s="87"/>
      <c r="F19285" s="87"/>
      <c r="G19285" s="87"/>
    </row>
    <row r="19286">
      <c r="A19286" s="86" t="str">
        <f>IFERROR(__xludf.DUMMYFUNCTION("""COMPUTED_VALUE"""),"")</f>
        <v/>
      </c>
      <c r="B19286" s="87"/>
      <c r="C19286" s="87"/>
      <c r="D19286" s="87"/>
      <c r="E19286" s="87"/>
      <c r="F19286" s="87"/>
      <c r="G19286" s="87"/>
    </row>
    <row r="19287">
      <c r="A19287" s="86" t="str">
        <f>IFERROR(__xludf.DUMMYFUNCTION("""COMPUTED_VALUE"""),"")</f>
        <v/>
      </c>
      <c r="B19287" s="87"/>
      <c r="C19287" s="87"/>
      <c r="D19287" s="87"/>
      <c r="E19287" s="87"/>
      <c r="F19287" s="87"/>
      <c r="G19287" s="87"/>
    </row>
    <row r="19288">
      <c r="A19288" s="86" t="str">
        <f>IFERROR(__xludf.DUMMYFUNCTION("""COMPUTED_VALUE"""),"")</f>
        <v/>
      </c>
      <c r="B19288" s="87"/>
      <c r="C19288" s="87"/>
      <c r="D19288" s="87"/>
      <c r="E19288" s="87"/>
      <c r="F19288" s="87"/>
      <c r="G19288" s="87"/>
    </row>
    <row r="19289">
      <c r="A19289" s="86" t="str">
        <f>IFERROR(__xludf.DUMMYFUNCTION("""COMPUTED_VALUE"""),"")</f>
        <v/>
      </c>
      <c r="B19289" s="87"/>
      <c r="C19289" s="87"/>
      <c r="D19289" s="87"/>
      <c r="E19289" s="87"/>
      <c r="F19289" s="87"/>
      <c r="G19289" s="87"/>
    </row>
    <row r="19290">
      <c r="A19290" s="86" t="str">
        <f>IFERROR(__xludf.DUMMYFUNCTION("""COMPUTED_VALUE"""),"")</f>
        <v/>
      </c>
      <c r="B19290" s="87"/>
      <c r="C19290" s="87"/>
      <c r="D19290" s="87"/>
      <c r="E19290" s="87"/>
      <c r="F19290" s="87"/>
      <c r="G19290" s="87"/>
    </row>
    <row r="19291">
      <c r="A19291" s="86" t="str">
        <f>IFERROR(__xludf.DUMMYFUNCTION("""COMPUTED_VALUE"""),"")</f>
        <v/>
      </c>
      <c r="B19291" s="87"/>
      <c r="C19291" s="87"/>
      <c r="D19291" s="87"/>
      <c r="E19291" s="87"/>
      <c r="F19291" s="87"/>
      <c r="G19291" s="87"/>
    </row>
    <row r="19292">
      <c r="A19292" s="86" t="str">
        <f>IFERROR(__xludf.DUMMYFUNCTION("""COMPUTED_VALUE"""),"")</f>
        <v/>
      </c>
      <c r="B19292" s="87"/>
      <c r="C19292" s="87"/>
      <c r="D19292" s="87"/>
      <c r="E19292" s="87"/>
      <c r="F19292" s="87"/>
      <c r="G19292" s="87"/>
    </row>
    <row r="19293">
      <c r="A19293" s="86" t="str">
        <f>IFERROR(__xludf.DUMMYFUNCTION("""COMPUTED_VALUE"""),"")</f>
        <v/>
      </c>
      <c r="B19293" s="87"/>
      <c r="C19293" s="87"/>
      <c r="D19293" s="87"/>
      <c r="E19293" s="87"/>
      <c r="F19293" s="87"/>
      <c r="G19293" s="87"/>
    </row>
    <row r="19294">
      <c r="A19294" s="86" t="str">
        <f>IFERROR(__xludf.DUMMYFUNCTION("""COMPUTED_VALUE"""),"")</f>
        <v/>
      </c>
      <c r="B19294" s="87"/>
      <c r="C19294" s="87"/>
      <c r="D19294" s="87"/>
      <c r="E19294" s="87"/>
      <c r="F19294" s="87"/>
      <c r="G19294" s="87"/>
    </row>
    <row r="19295">
      <c r="A19295" s="86" t="str">
        <f>IFERROR(__xludf.DUMMYFUNCTION("""COMPUTED_VALUE"""),"")</f>
        <v/>
      </c>
      <c r="B19295" s="87"/>
      <c r="C19295" s="87"/>
      <c r="D19295" s="87"/>
      <c r="E19295" s="87"/>
      <c r="F19295" s="87"/>
      <c r="G19295" s="87"/>
    </row>
    <row r="19296">
      <c r="A19296" s="86" t="str">
        <f>IFERROR(__xludf.DUMMYFUNCTION("""COMPUTED_VALUE"""),"")</f>
        <v/>
      </c>
      <c r="B19296" s="87"/>
      <c r="C19296" s="87"/>
      <c r="D19296" s="87"/>
      <c r="E19296" s="87"/>
      <c r="F19296" s="87"/>
      <c r="G19296" s="87"/>
    </row>
    <row r="19297">
      <c r="A19297" s="86" t="str">
        <f>IFERROR(__xludf.DUMMYFUNCTION("""COMPUTED_VALUE"""),"")</f>
        <v/>
      </c>
      <c r="B19297" s="87"/>
      <c r="C19297" s="87"/>
      <c r="D19297" s="87"/>
      <c r="E19297" s="87"/>
      <c r="F19297" s="87"/>
      <c r="G19297" s="87"/>
    </row>
    <row r="19298">
      <c r="A19298" s="86" t="str">
        <f>IFERROR(__xludf.DUMMYFUNCTION("""COMPUTED_VALUE"""),"")</f>
        <v/>
      </c>
      <c r="B19298" s="87"/>
      <c r="C19298" s="87"/>
      <c r="D19298" s="87"/>
      <c r="E19298" s="87"/>
      <c r="F19298" s="87"/>
      <c r="G19298" s="87"/>
    </row>
    <row r="19299">
      <c r="A19299" s="86" t="str">
        <f>IFERROR(__xludf.DUMMYFUNCTION("""COMPUTED_VALUE"""),"")</f>
        <v/>
      </c>
      <c r="B19299" s="87"/>
      <c r="C19299" s="87"/>
      <c r="D19299" s="87"/>
      <c r="E19299" s="87"/>
      <c r="F19299" s="87"/>
      <c r="G19299" s="87"/>
    </row>
    <row r="19300">
      <c r="A19300" s="86" t="str">
        <f>IFERROR(__xludf.DUMMYFUNCTION("""COMPUTED_VALUE"""),"")</f>
        <v/>
      </c>
      <c r="B19300" s="87"/>
      <c r="C19300" s="87"/>
      <c r="D19300" s="87"/>
      <c r="E19300" s="87"/>
      <c r="F19300" s="87"/>
      <c r="G19300" s="87"/>
    </row>
    <row r="19301">
      <c r="A19301" s="86" t="str">
        <f>IFERROR(__xludf.DUMMYFUNCTION("""COMPUTED_VALUE"""),"")</f>
        <v/>
      </c>
      <c r="B19301" s="87"/>
      <c r="C19301" s="87"/>
      <c r="D19301" s="87"/>
      <c r="E19301" s="87"/>
      <c r="F19301" s="87"/>
      <c r="G19301" s="87"/>
    </row>
    <row r="19302">
      <c r="A19302" s="86" t="str">
        <f>IFERROR(__xludf.DUMMYFUNCTION("""COMPUTED_VALUE"""),"")</f>
        <v/>
      </c>
      <c r="B19302" s="87"/>
      <c r="C19302" s="87"/>
      <c r="D19302" s="87"/>
      <c r="E19302" s="87"/>
      <c r="F19302" s="87"/>
      <c r="G19302" s="87"/>
    </row>
    <row r="19303">
      <c r="A19303" s="86" t="str">
        <f>IFERROR(__xludf.DUMMYFUNCTION("""COMPUTED_VALUE"""),"")</f>
        <v/>
      </c>
      <c r="B19303" s="87"/>
      <c r="C19303" s="87"/>
      <c r="D19303" s="87"/>
      <c r="E19303" s="87"/>
      <c r="F19303" s="87"/>
      <c r="G19303" s="87"/>
    </row>
    <row r="19304">
      <c r="A19304" s="86" t="str">
        <f>IFERROR(__xludf.DUMMYFUNCTION("""COMPUTED_VALUE"""),"")</f>
        <v/>
      </c>
      <c r="B19304" s="87"/>
      <c r="C19304" s="87"/>
      <c r="D19304" s="87"/>
      <c r="E19304" s="87"/>
      <c r="F19304" s="87"/>
      <c r="G19304" s="87"/>
    </row>
    <row r="19305">
      <c r="A19305" s="86" t="str">
        <f>IFERROR(__xludf.DUMMYFUNCTION("""COMPUTED_VALUE"""),"")</f>
        <v/>
      </c>
      <c r="B19305" s="87"/>
      <c r="C19305" s="87"/>
      <c r="D19305" s="87"/>
      <c r="E19305" s="87"/>
      <c r="F19305" s="87"/>
      <c r="G19305" s="87"/>
    </row>
    <row r="19306">
      <c r="A19306" s="86" t="str">
        <f>IFERROR(__xludf.DUMMYFUNCTION("""COMPUTED_VALUE"""),"")</f>
        <v/>
      </c>
      <c r="B19306" s="87"/>
      <c r="C19306" s="87"/>
      <c r="D19306" s="87"/>
      <c r="E19306" s="87"/>
      <c r="F19306" s="87"/>
      <c r="G19306" s="87"/>
    </row>
    <row r="19307">
      <c r="A19307" s="86" t="str">
        <f>IFERROR(__xludf.DUMMYFUNCTION("""COMPUTED_VALUE"""),"")</f>
        <v/>
      </c>
      <c r="B19307" s="87"/>
      <c r="C19307" s="87"/>
      <c r="D19307" s="87"/>
      <c r="E19307" s="87"/>
      <c r="F19307" s="87"/>
      <c r="G19307" s="87"/>
    </row>
    <row r="19308">
      <c r="A19308" s="86" t="str">
        <f>IFERROR(__xludf.DUMMYFUNCTION("""COMPUTED_VALUE"""),"")</f>
        <v/>
      </c>
      <c r="B19308" s="87"/>
      <c r="C19308" s="87"/>
      <c r="D19308" s="87"/>
      <c r="E19308" s="87"/>
      <c r="F19308" s="87"/>
      <c r="G19308" s="87"/>
    </row>
    <row r="19309">
      <c r="A19309" s="86" t="str">
        <f>IFERROR(__xludf.DUMMYFUNCTION("""COMPUTED_VALUE"""),"")</f>
        <v/>
      </c>
      <c r="B19309" s="87"/>
      <c r="C19309" s="87"/>
      <c r="D19309" s="87"/>
      <c r="E19309" s="87"/>
      <c r="F19309" s="87"/>
      <c r="G19309" s="87"/>
    </row>
    <row r="19310">
      <c r="A19310" s="86" t="str">
        <f>IFERROR(__xludf.DUMMYFUNCTION("""COMPUTED_VALUE"""),"")</f>
        <v/>
      </c>
      <c r="B19310" s="87"/>
      <c r="C19310" s="87"/>
      <c r="D19310" s="87"/>
      <c r="E19310" s="87"/>
      <c r="F19310" s="87"/>
      <c r="G19310" s="87"/>
    </row>
    <row r="19311">
      <c r="A19311" s="86" t="str">
        <f>IFERROR(__xludf.DUMMYFUNCTION("""COMPUTED_VALUE"""),"")</f>
        <v/>
      </c>
      <c r="B19311" s="87"/>
      <c r="C19311" s="87"/>
      <c r="D19311" s="87"/>
      <c r="E19311" s="87"/>
      <c r="F19311" s="87"/>
      <c r="G19311" s="87"/>
    </row>
    <row r="19312">
      <c r="A19312" s="86" t="str">
        <f>IFERROR(__xludf.DUMMYFUNCTION("""COMPUTED_VALUE"""),"")</f>
        <v/>
      </c>
      <c r="B19312" s="87"/>
      <c r="C19312" s="87"/>
      <c r="D19312" s="87"/>
      <c r="E19312" s="87"/>
      <c r="F19312" s="87"/>
      <c r="G19312" s="87"/>
    </row>
    <row r="19313">
      <c r="A19313" s="86" t="str">
        <f>IFERROR(__xludf.DUMMYFUNCTION("""COMPUTED_VALUE"""),"")</f>
        <v/>
      </c>
      <c r="B19313" s="87"/>
      <c r="C19313" s="87"/>
      <c r="D19313" s="87"/>
      <c r="E19313" s="87"/>
      <c r="F19313" s="87"/>
      <c r="G19313" s="87"/>
    </row>
    <row r="19314">
      <c r="A19314" s="86" t="str">
        <f>IFERROR(__xludf.DUMMYFUNCTION("""COMPUTED_VALUE"""),"")</f>
        <v/>
      </c>
      <c r="B19314" s="87"/>
      <c r="C19314" s="87"/>
      <c r="D19314" s="87"/>
      <c r="E19314" s="87"/>
      <c r="F19314" s="87"/>
      <c r="G19314" s="87"/>
    </row>
    <row r="19315">
      <c r="A19315" s="86" t="str">
        <f>IFERROR(__xludf.DUMMYFUNCTION("""COMPUTED_VALUE"""),"")</f>
        <v/>
      </c>
      <c r="B19315" s="87"/>
      <c r="C19315" s="87"/>
      <c r="D19315" s="87"/>
      <c r="E19315" s="87"/>
      <c r="F19315" s="87"/>
      <c r="G19315" s="87"/>
    </row>
    <row r="19316">
      <c r="A19316" s="86" t="str">
        <f>IFERROR(__xludf.DUMMYFUNCTION("""COMPUTED_VALUE"""),"")</f>
        <v/>
      </c>
      <c r="B19316" s="87"/>
      <c r="C19316" s="87"/>
      <c r="D19316" s="87"/>
      <c r="E19316" s="87"/>
      <c r="F19316" s="87"/>
      <c r="G19316" s="87"/>
    </row>
    <row r="19317">
      <c r="A19317" s="86" t="str">
        <f>IFERROR(__xludf.DUMMYFUNCTION("""COMPUTED_VALUE"""),"")</f>
        <v/>
      </c>
      <c r="B19317" s="87"/>
      <c r="C19317" s="87"/>
      <c r="D19317" s="87"/>
      <c r="E19317" s="87"/>
      <c r="F19317" s="87"/>
      <c r="G19317" s="87"/>
    </row>
    <row r="19318">
      <c r="A19318" s="86" t="str">
        <f>IFERROR(__xludf.DUMMYFUNCTION("""COMPUTED_VALUE"""),"")</f>
        <v/>
      </c>
      <c r="B19318" s="87"/>
      <c r="C19318" s="87"/>
      <c r="D19318" s="87"/>
      <c r="E19318" s="87"/>
      <c r="F19318" s="87"/>
      <c r="G19318" s="87"/>
    </row>
    <row r="19319">
      <c r="A19319" s="86" t="str">
        <f>IFERROR(__xludf.DUMMYFUNCTION("""COMPUTED_VALUE"""),"")</f>
        <v/>
      </c>
      <c r="B19319" s="87"/>
      <c r="C19319" s="87"/>
      <c r="D19319" s="87"/>
      <c r="E19319" s="87"/>
      <c r="F19319" s="87"/>
      <c r="G19319" s="87"/>
    </row>
    <row r="19320">
      <c r="A19320" s="86" t="str">
        <f>IFERROR(__xludf.DUMMYFUNCTION("""COMPUTED_VALUE"""),"")</f>
        <v/>
      </c>
      <c r="B19320" s="87"/>
      <c r="C19320" s="87"/>
      <c r="D19320" s="87"/>
      <c r="E19320" s="87"/>
      <c r="F19320" s="87"/>
      <c r="G19320" s="87"/>
    </row>
    <row r="19321">
      <c r="A19321" s="86" t="str">
        <f>IFERROR(__xludf.DUMMYFUNCTION("""COMPUTED_VALUE"""),"")</f>
        <v/>
      </c>
      <c r="B19321" s="87"/>
      <c r="C19321" s="87"/>
      <c r="D19321" s="87"/>
      <c r="E19321" s="87"/>
      <c r="F19321" s="87"/>
      <c r="G19321" s="87"/>
    </row>
    <row r="19322">
      <c r="A19322" s="86" t="str">
        <f>IFERROR(__xludf.DUMMYFUNCTION("""COMPUTED_VALUE"""),"")</f>
        <v/>
      </c>
      <c r="B19322" s="87"/>
      <c r="C19322" s="87"/>
      <c r="D19322" s="87"/>
      <c r="E19322" s="87"/>
      <c r="F19322" s="87"/>
      <c r="G19322" s="87"/>
    </row>
    <row r="19323">
      <c r="A19323" s="86" t="str">
        <f>IFERROR(__xludf.DUMMYFUNCTION("""COMPUTED_VALUE"""),"")</f>
        <v/>
      </c>
      <c r="B19323" s="87"/>
      <c r="C19323" s="87"/>
      <c r="D19323" s="87"/>
      <c r="E19323" s="87"/>
      <c r="F19323" s="87"/>
      <c r="G19323" s="87"/>
    </row>
    <row r="19324">
      <c r="A19324" s="86" t="str">
        <f>IFERROR(__xludf.DUMMYFUNCTION("""COMPUTED_VALUE"""),"")</f>
        <v/>
      </c>
      <c r="B19324" s="87"/>
      <c r="C19324" s="87"/>
      <c r="D19324" s="87"/>
      <c r="E19324" s="87"/>
      <c r="F19324" s="87"/>
      <c r="G19324" s="87"/>
    </row>
    <row r="19325">
      <c r="A19325" s="86" t="str">
        <f>IFERROR(__xludf.DUMMYFUNCTION("""COMPUTED_VALUE"""),"")</f>
        <v/>
      </c>
      <c r="B19325" s="87"/>
      <c r="C19325" s="87"/>
      <c r="D19325" s="87"/>
      <c r="E19325" s="87"/>
      <c r="F19325" s="87"/>
      <c r="G19325" s="87"/>
    </row>
    <row r="19326">
      <c r="A19326" s="86" t="str">
        <f>IFERROR(__xludf.DUMMYFUNCTION("""COMPUTED_VALUE"""),"")</f>
        <v/>
      </c>
      <c r="B19326" s="87"/>
      <c r="C19326" s="87"/>
      <c r="D19326" s="87"/>
      <c r="E19326" s="87"/>
      <c r="F19326" s="87"/>
      <c r="G19326" s="87"/>
    </row>
    <row r="19327">
      <c r="A19327" s="86" t="str">
        <f>IFERROR(__xludf.DUMMYFUNCTION("""COMPUTED_VALUE"""),"")</f>
        <v/>
      </c>
      <c r="B19327" s="87"/>
      <c r="C19327" s="87"/>
      <c r="D19327" s="87"/>
      <c r="E19327" s="87"/>
      <c r="F19327" s="87"/>
      <c r="G19327" s="87"/>
    </row>
    <row r="19328">
      <c r="A19328" s="86" t="str">
        <f>IFERROR(__xludf.DUMMYFUNCTION("""COMPUTED_VALUE"""),"")</f>
        <v/>
      </c>
      <c r="B19328" s="87"/>
      <c r="C19328" s="87"/>
      <c r="D19328" s="87"/>
      <c r="E19328" s="87"/>
      <c r="F19328" s="87"/>
      <c r="G19328" s="87"/>
    </row>
    <row r="19329">
      <c r="A19329" s="86" t="str">
        <f>IFERROR(__xludf.DUMMYFUNCTION("""COMPUTED_VALUE"""),"")</f>
        <v/>
      </c>
      <c r="B19329" s="87"/>
      <c r="C19329" s="87"/>
      <c r="D19329" s="87"/>
      <c r="E19329" s="87"/>
      <c r="F19329" s="87"/>
      <c r="G19329" s="87"/>
    </row>
    <row r="19330">
      <c r="A19330" s="86" t="str">
        <f>IFERROR(__xludf.DUMMYFUNCTION("""COMPUTED_VALUE"""),"")</f>
        <v/>
      </c>
      <c r="B19330" s="87"/>
      <c r="C19330" s="87"/>
      <c r="D19330" s="87"/>
      <c r="E19330" s="87"/>
      <c r="F19330" s="87"/>
      <c r="G19330" s="87"/>
    </row>
    <row r="19331">
      <c r="A19331" s="86" t="str">
        <f>IFERROR(__xludf.DUMMYFUNCTION("""COMPUTED_VALUE"""),"")</f>
        <v/>
      </c>
      <c r="B19331" s="87"/>
      <c r="C19331" s="87"/>
      <c r="D19331" s="87"/>
      <c r="E19331" s="87"/>
      <c r="F19331" s="87"/>
      <c r="G19331" s="87"/>
    </row>
    <row r="19332">
      <c r="A19332" s="86" t="str">
        <f>IFERROR(__xludf.DUMMYFUNCTION("""COMPUTED_VALUE"""),"")</f>
        <v/>
      </c>
      <c r="B19332" s="87"/>
      <c r="C19332" s="87"/>
      <c r="D19332" s="87"/>
      <c r="E19332" s="87"/>
      <c r="F19332" s="87"/>
      <c r="G19332" s="87"/>
    </row>
    <row r="19333">
      <c r="A19333" s="86" t="str">
        <f>IFERROR(__xludf.DUMMYFUNCTION("""COMPUTED_VALUE"""),"")</f>
        <v/>
      </c>
      <c r="B19333" s="87"/>
      <c r="C19333" s="87"/>
      <c r="D19333" s="87"/>
      <c r="E19333" s="87"/>
      <c r="F19333" s="87"/>
      <c r="G19333" s="87"/>
    </row>
    <row r="19334">
      <c r="A19334" s="86" t="str">
        <f>IFERROR(__xludf.DUMMYFUNCTION("""COMPUTED_VALUE"""),"")</f>
        <v/>
      </c>
      <c r="B19334" s="87"/>
      <c r="C19334" s="87"/>
      <c r="D19334" s="87"/>
      <c r="E19334" s="87"/>
      <c r="F19334" s="87"/>
      <c r="G19334" s="87"/>
    </row>
    <row r="19335">
      <c r="A19335" s="86" t="str">
        <f>IFERROR(__xludf.DUMMYFUNCTION("""COMPUTED_VALUE"""),"")</f>
        <v/>
      </c>
      <c r="B19335" s="87"/>
      <c r="C19335" s="87"/>
      <c r="D19335" s="87"/>
      <c r="E19335" s="87"/>
      <c r="F19335" s="87"/>
      <c r="G19335" s="87"/>
    </row>
    <row r="19336">
      <c r="A19336" s="86" t="str">
        <f>IFERROR(__xludf.DUMMYFUNCTION("""COMPUTED_VALUE"""),"")</f>
        <v/>
      </c>
      <c r="B19336" s="87"/>
      <c r="C19336" s="87"/>
      <c r="D19336" s="87"/>
      <c r="E19336" s="87"/>
      <c r="F19336" s="87"/>
      <c r="G19336" s="87"/>
    </row>
    <row r="19337">
      <c r="A19337" s="86" t="str">
        <f>IFERROR(__xludf.DUMMYFUNCTION("""COMPUTED_VALUE"""),"")</f>
        <v/>
      </c>
      <c r="B19337" s="87"/>
      <c r="C19337" s="87"/>
      <c r="D19337" s="87"/>
      <c r="E19337" s="87"/>
      <c r="F19337" s="87"/>
      <c r="G19337" s="87"/>
    </row>
    <row r="19338">
      <c r="A19338" s="86" t="str">
        <f>IFERROR(__xludf.DUMMYFUNCTION("""COMPUTED_VALUE"""),"")</f>
        <v/>
      </c>
      <c r="B19338" s="87"/>
      <c r="C19338" s="87"/>
      <c r="D19338" s="87"/>
      <c r="E19338" s="87"/>
      <c r="F19338" s="87"/>
      <c r="G19338" s="87"/>
    </row>
    <row r="19339">
      <c r="A19339" s="86" t="str">
        <f>IFERROR(__xludf.DUMMYFUNCTION("""COMPUTED_VALUE"""),"")</f>
        <v/>
      </c>
      <c r="B19339" s="87"/>
      <c r="C19339" s="87"/>
      <c r="D19339" s="87"/>
      <c r="E19339" s="87"/>
      <c r="F19339" s="87"/>
      <c r="G19339" s="87"/>
    </row>
    <row r="19340">
      <c r="A19340" s="86" t="str">
        <f>IFERROR(__xludf.DUMMYFUNCTION("""COMPUTED_VALUE"""),"")</f>
        <v/>
      </c>
      <c r="B19340" s="87"/>
      <c r="C19340" s="87"/>
      <c r="D19340" s="87"/>
      <c r="E19340" s="87"/>
      <c r="F19340" s="87"/>
      <c r="G19340" s="87"/>
    </row>
    <row r="19341">
      <c r="A19341" s="86" t="str">
        <f>IFERROR(__xludf.DUMMYFUNCTION("""COMPUTED_VALUE"""),"")</f>
        <v/>
      </c>
      <c r="B19341" s="87"/>
      <c r="C19341" s="87"/>
      <c r="D19341" s="87"/>
      <c r="E19341" s="87"/>
      <c r="F19341" s="87"/>
      <c r="G19341" s="87"/>
    </row>
    <row r="19342">
      <c r="A19342" s="86" t="str">
        <f>IFERROR(__xludf.DUMMYFUNCTION("""COMPUTED_VALUE"""),"")</f>
        <v/>
      </c>
      <c r="B19342" s="87"/>
      <c r="C19342" s="87"/>
      <c r="D19342" s="87"/>
      <c r="E19342" s="87"/>
      <c r="F19342" s="87"/>
      <c r="G19342" s="87"/>
    </row>
    <row r="19343">
      <c r="A19343" s="86" t="str">
        <f>IFERROR(__xludf.DUMMYFUNCTION("""COMPUTED_VALUE"""),"")</f>
        <v/>
      </c>
      <c r="B19343" s="87"/>
      <c r="C19343" s="87"/>
      <c r="D19343" s="87"/>
      <c r="E19343" s="87"/>
      <c r="F19343" s="87"/>
      <c r="G19343" s="87"/>
    </row>
    <row r="19344">
      <c r="A19344" s="86" t="str">
        <f>IFERROR(__xludf.DUMMYFUNCTION("""COMPUTED_VALUE"""),"")</f>
        <v/>
      </c>
      <c r="B19344" s="87"/>
      <c r="C19344" s="87"/>
      <c r="D19344" s="87"/>
      <c r="E19344" s="87"/>
      <c r="F19344" s="87"/>
      <c r="G19344" s="87"/>
    </row>
    <row r="19345">
      <c r="A19345" s="86" t="str">
        <f>IFERROR(__xludf.DUMMYFUNCTION("""COMPUTED_VALUE"""),"")</f>
        <v/>
      </c>
      <c r="B19345" s="87"/>
      <c r="C19345" s="87"/>
      <c r="D19345" s="87"/>
      <c r="E19345" s="87"/>
      <c r="F19345" s="87"/>
      <c r="G19345" s="87"/>
    </row>
    <row r="19346">
      <c r="A19346" s="86" t="str">
        <f>IFERROR(__xludf.DUMMYFUNCTION("""COMPUTED_VALUE"""),"")</f>
        <v/>
      </c>
      <c r="B19346" s="87"/>
      <c r="C19346" s="87"/>
      <c r="D19346" s="87"/>
      <c r="E19346" s="87"/>
      <c r="F19346" s="87"/>
      <c r="G19346" s="87"/>
    </row>
    <row r="19347">
      <c r="A19347" s="86" t="str">
        <f>IFERROR(__xludf.DUMMYFUNCTION("""COMPUTED_VALUE"""),"")</f>
        <v/>
      </c>
      <c r="B19347" s="87"/>
      <c r="C19347" s="87"/>
      <c r="D19347" s="87"/>
      <c r="E19347" s="87"/>
      <c r="F19347" s="87"/>
      <c r="G19347" s="87"/>
    </row>
    <row r="19348">
      <c r="A19348" s="86" t="str">
        <f>IFERROR(__xludf.DUMMYFUNCTION("""COMPUTED_VALUE"""),"")</f>
        <v/>
      </c>
      <c r="B19348" s="87"/>
      <c r="C19348" s="87"/>
      <c r="D19348" s="87"/>
      <c r="E19348" s="87"/>
      <c r="F19348" s="87"/>
      <c r="G19348" s="87"/>
    </row>
    <row r="19349">
      <c r="A19349" s="86" t="str">
        <f>IFERROR(__xludf.DUMMYFUNCTION("""COMPUTED_VALUE"""),"")</f>
        <v/>
      </c>
      <c r="B19349" s="87"/>
      <c r="C19349" s="87"/>
      <c r="D19349" s="87"/>
      <c r="E19349" s="87"/>
      <c r="F19349" s="87"/>
      <c r="G19349" s="87"/>
    </row>
    <row r="19350">
      <c r="A19350" s="86" t="str">
        <f>IFERROR(__xludf.DUMMYFUNCTION("""COMPUTED_VALUE"""),"")</f>
        <v/>
      </c>
      <c r="B19350" s="87"/>
      <c r="C19350" s="87"/>
      <c r="D19350" s="87"/>
      <c r="E19350" s="87"/>
      <c r="F19350" s="87"/>
      <c r="G19350" s="87"/>
    </row>
    <row r="19351">
      <c r="A19351" s="86" t="str">
        <f>IFERROR(__xludf.DUMMYFUNCTION("""COMPUTED_VALUE"""),"")</f>
        <v/>
      </c>
      <c r="B19351" s="87"/>
      <c r="C19351" s="87"/>
      <c r="D19351" s="87"/>
      <c r="E19351" s="87"/>
      <c r="F19351" s="87"/>
      <c r="G19351" s="87"/>
    </row>
    <row r="19352">
      <c r="A19352" s="86" t="str">
        <f>IFERROR(__xludf.DUMMYFUNCTION("""COMPUTED_VALUE"""),"")</f>
        <v/>
      </c>
      <c r="B19352" s="87"/>
      <c r="C19352" s="87"/>
      <c r="D19352" s="87"/>
      <c r="E19352" s="87"/>
      <c r="F19352" s="87"/>
      <c r="G19352" s="87"/>
    </row>
    <row r="19353">
      <c r="A19353" s="86" t="str">
        <f>IFERROR(__xludf.DUMMYFUNCTION("""COMPUTED_VALUE"""),"")</f>
        <v/>
      </c>
      <c r="B19353" s="87"/>
      <c r="C19353" s="87"/>
      <c r="D19353" s="87"/>
      <c r="E19353" s="87"/>
      <c r="F19353" s="87"/>
      <c r="G19353" s="87"/>
    </row>
    <row r="19354">
      <c r="A19354" s="86" t="str">
        <f>IFERROR(__xludf.DUMMYFUNCTION("""COMPUTED_VALUE"""),"")</f>
        <v/>
      </c>
      <c r="B19354" s="87"/>
      <c r="C19354" s="87"/>
      <c r="D19354" s="87"/>
      <c r="E19354" s="87"/>
      <c r="F19354" s="87"/>
      <c r="G19354" s="87"/>
    </row>
    <row r="19355">
      <c r="A19355" s="86" t="str">
        <f>IFERROR(__xludf.DUMMYFUNCTION("""COMPUTED_VALUE"""),"")</f>
        <v/>
      </c>
      <c r="B19355" s="87"/>
      <c r="C19355" s="87"/>
      <c r="D19355" s="87"/>
      <c r="E19355" s="87"/>
      <c r="F19355" s="87"/>
      <c r="G19355" s="87"/>
    </row>
    <row r="19356">
      <c r="A19356" s="86" t="str">
        <f>IFERROR(__xludf.DUMMYFUNCTION("""COMPUTED_VALUE"""),"")</f>
        <v/>
      </c>
      <c r="B19356" s="87"/>
      <c r="C19356" s="87"/>
      <c r="D19356" s="87"/>
      <c r="E19356" s="87"/>
      <c r="F19356" s="87"/>
      <c r="G19356" s="87"/>
    </row>
    <row r="19357">
      <c r="A19357" s="86" t="str">
        <f>IFERROR(__xludf.DUMMYFUNCTION("""COMPUTED_VALUE"""),"")</f>
        <v/>
      </c>
      <c r="B19357" s="87"/>
      <c r="C19357" s="87"/>
      <c r="D19357" s="87"/>
      <c r="E19357" s="87"/>
      <c r="F19357" s="87"/>
      <c r="G19357" s="87"/>
    </row>
    <row r="19358">
      <c r="A19358" s="86" t="str">
        <f>IFERROR(__xludf.DUMMYFUNCTION("""COMPUTED_VALUE"""),"")</f>
        <v/>
      </c>
      <c r="B19358" s="87"/>
      <c r="C19358" s="87"/>
      <c r="D19358" s="87"/>
      <c r="E19358" s="87"/>
      <c r="F19358" s="87"/>
      <c r="G19358" s="87"/>
    </row>
    <row r="19359">
      <c r="A19359" s="86" t="str">
        <f>IFERROR(__xludf.DUMMYFUNCTION("""COMPUTED_VALUE"""),"")</f>
        <v/>
      </c>
      <c r="B19359" s="87"/>
      <c r="C19359" s="87"/>
      <c r="D19359" s="87"/>
      <c r="E19359" s="87"/>
      <c r="F19359" s="87"/>
      <c r="G19359" s="87"/>
    </row>
    <row r="19360">
      <c r="A19360" s="86" t="str">
        <f>IFERROR(__xludf.DUMMYFUNCTION("""COMPUTED_VALUE"""),"")</f>
        <v/>
      </c>
      <c r="B19360" s="87"/>
      <c r="C19360" s="87"/>
      <c r="D19360" s="87"/>
      <c r="E19360" s="87"/>
      <c r="F19360" s="87"/>
      <c r="G19360" s="87"/>
    </row>
    <row r="19361">
      <c r="A19361" s="86" t="str">
        <f>IFERROR(__xludf.DUMMYFUNCTION("""COMPUTED_VALUE"""),"")</f>
        <v/>
      </c>
      <c r="B19361" s="87"/>
      <c r="C19361" s="87"/>
      <c r="D19361" s="87"/>
      <c r="E19361" s="87"/>
      <c r="F19361" s="87"/>
      <c r="G19361" s="87"/>
    </row>
    <row r="19362">
      <c r="A19362" s="86" t="str">
        <f>IFERROR(__xludf.DUMMYFUNCTION("""COMPUTED_VALUE"""),"")</f>
        <v/>
      </c>
      <c r="B19362" s="87"/>
      <c r="C19362" s="87"/>
      <c r="D19362" s="87"/>
      <c r="E19362" s="87"/>
      <c r="F19362" s="87"/>
      <c r="G19362" s="87"/>
    </row>
    <row r="19363">
      <c r="A19363" s="86" t="str">
        <f>IFERROR(__xludf.DUMMYFUNCTION("""COMPUTED_VALUE"""),"")</f>
        <v/>
      </c>
      <c r="B19363" s="87"/>
      <c r="C19363" s="87"/>
      <c r="D19363" s="87"/>
      <c r="E19363" s="87"/>
      <c r="F19363" s="87"/>
      <c r="G19363" s="87"/>
    </row>
    <row r="19364">
      <c r="A19364" s="86" t="str">
        <f>IFERROR(__xludf.DUMMYFUNCTION("""COMPUTED_VALUE"""),"")</f>
        <v/>
      </c>
      <c r="B19364" s="87"/>
      <c r="C19364" s="87"/>
      <c r="D19364" s="87"/>
      <c r="E19364" s="87"/>
      <c r="F19364" s="87"/>
      <c r="G19364" s="87"/>
    </row>
    <row r="19365">
      <c r="A19365" s="86" t="str">
        <f>IFERROR(__xludf.DUMMYFUNCTION("""COMPUTED_VALUE"""),"")</f>
        <v/>
      </c>
      <c r="B19365" s="87"/>
      <c r="C19365" s="87"/>
      <c r="D19365" s="87"/>
      <c r="E19365" s="87"/>
      <c r="F19365" s="87"/>
      <c r="G19365" s="87"/>
    </row>
    <row r="19366">
      <c r="A19366" s="86" t="str">
        <f>IFERROR(__xludf.DUMMYFUNCTION("""COMPUTED_VALUE"""),"")</f>
        <v/>
      </c>
      <c r="B19366" s="87"/>
      <c r="C19366" s="87"/>
      <c r="D19366" s="87"/>
      <c r="E19366" s="87"/>
      <c r="F19366" s="87"/>
      <c r="G19366" s="87"/>
    </row>
    <row r="19367">
      <c r="A19367" s="86" t="str">
        <f>IFERROR(__xludf.DUMMYFUNCTION("""COMPUTED_VALUE"""),"")</f>
        <v/>
      </c>
      <c r="B19367" s="87"/>
      <c r="C19367" s="87"/>
      <c r="D19367" s="87"/>
      <c r="E19367" s="87"/>
      <c r="F19367" s="87"/>
      <c r="G19367" s="87"/>
    </row>
    <row r="19368">
      <c r="A19368" s="86" t="str">
        <f>IFERROR(__xludf.DUMMYFUNCTION("""COMPUTED_VALUE"""),"")</f>
        <v/>
      </c>
      <c r="B19368" s="87"/>
      <c r="C19368" s="87"/>
      <c r="D19368" s="87"/>
      <c r="E19368" s="87"/>
      <c r="F19368" s="87"/>
      <c r="G19368" s="87"/>
    </row>
    <row r="19369">
      <c r="A19369" s="86" t="str">
        <f>IFERROR(__xludf.DUMMYFUNCTION("""COMPUTED_VALUE"""),"")</f>
        <v/>
      </c>
      <c r="B19369" s="87"/>
      <c r="C19369" s="87"/>
      <c r="D19369" s="87"/>
      <c r="E19369" s="87"/>
      <c r="F19369" s="87"/>
      <c r="G19369" s="87"/>
    </row>
    <row r="19370">
      <c r="A19370" s="86" t="str">
        <f>IFERROR(__xludf.DUMMYFUNCTION("""COMPUTED_VALUE"""),"")</f>
        <v/>
      </c>
      <c r="B19370" s="87"/>
      <c r="C19370" s="87"/>
      <c r="D19370" s="87"/>
      <c r="E19370" s="87"/>
      <c r="F19370" s="87"/>
      <c r="G19370" s="87"/>
    </row>
    <row r="19371">
      <c r="A19371" s="86" t="str">
        <f>IFERROR(__xludf.DUMMYFUNCTION("""COMPUTED_VALUE"""),"")</f>
        <v/>
      </c>
      <c r="B19371" s="87"/>
      <c r="C19371" s="87"/>
      <c r="D19371" s="87"/>
      <c r="E19371" s="87"/>
      <c r="F19371" s="87"/>
      <c r="G19371" s="87"/>
    </row>
    <row r="19372">
      <c r="A19372" s="86" t="str">
        <f>IFERROR(__xludf.DUMMYFUNCTION("""COMPUTED_VALUE"""),"")</f>
        <v/>
      </c>
      <c r="B19372" s="87"/>
      <c r="C19372" s="87"/>
      <c r="D19372" s="87"/>
      <c r="E19372" s="87"/>
      <c r="F19372" s="87"/>
      <c r="G19372" s="87"/>
    </row>
    <row r="19373">
      <c r="A19373" s="86" t="str">
        <f>IFERROR(__xludf.DUMMYFUNCTION("""COMPUTED_VALUE"""),"")</f>
        <v/>
      </c>
      <c r="B19373" s="87"/>
      <c r="C19373" s="87"/>
      <c r="D19373" s="87"/>
      <c r="E19373" s="87"/>
      <c r="F19373" s="87"/>
      <c r="G19373" s="87"/>
    </row>
    <row r="19374">
      <c r="A19374" s="86" t="str">
        <f>IFERROR(__xludf.DUMMYFUNCTION("""COMPUTED_VALUE"""),"")</f>
        <v/>
      </c>
      <c r="B19374" s="87"/>
      <c r="C19374" s="87"/>
      <c r="D19374" s="87"/>
      <c r="E19374" s="87"/>
      <c r="F19374" s="87"/>
      <c r="G19374" s="87"/>
    </row>
    <row r="19375">
      <c r="A19375" s="86" t="str">
        <f>IFERROR(__xludf.DUMMYFUNCTION("""COMPUTED_VALUE"""),"")</f>
        <v/>
      </c>
      <c r="B19375" s="87"/>
      <c r="C19375" s="87"/>
      <c r="D19375" s="87"/>
      <c r="E19375" s="87"/>
      <c r="F19375" s="87"/>
      <c r="G19375" s="87"/>
    </row>
    <row r="19376">
      <c r="A19376" s="86" t="str">
        <f>IFERROR(__xludf.DUMMYFUNCTION("""COMPUTED_VALUE"""),"")</f>
        <v/>
      </c>
      <c r="B19376" s="87"/>
      <c r="C19376" s="87"/>
      <c r="D19376" s="87"/>
      <c r="E19376" s="87"/>
      <c r="F19376" s="87"/>
      <c r="G19376" s="87"/>
    </row>
    <row r="19377">
      <c r="A19377" s="86" t="str">
        <f>IFERROR(__xludf.DUMMYFUNCTION("""COMPUTED_VALUE"""),"")</f>
        <v/>
      </c>
      <c r="B19377" s="87"/>
      <c r="C19377" s="87"/>
      <c r="D19377" s="87"/>
      <c r="E19377" s="87"/>
      <c r="F19377" s="87"/>
      <c r="G19377" s="87"/>
    </row>
    <row r="19378">
      <c r="A19378" s="86" t="str">
        <f>IFERROR(__xludf.DUMMYFUNCTION("""COMPUTED_VALUE"""),"")</f>
        <v/>
      </c>
      <c r="B19378" s="87"/>
      <c r="C19378" s="87"/>
      <c r="D19378" s="87"/>
      <c r="E19378" s="87"/>
      <c r="F19378" s="87"/>
      <c r="G19378" s="87"/>
    </row>
    <row r="19379">
      <c r="A19379" s="86" t="str">
        <f>IFERROR(__xludf.DUMMYFUNCTION("""COMPUTED_VALUE"""),"")</f>
        <v/>
      </c>
      <c r="B19379" s="87"/>
      <c r="C19379" s="87"/>
      <c r="D19379" s="87"/>
      <c r="E19379" s="87"/>
      <c r="F19379" s="87"/>
      <c r="G19379" s="87"/>
    </row>
    <row r="19380">
      <c r="A19380" s="86" t="str">
        <f>IFERROR(__xludf.DUMMYFUNCTION("""COMPUTED_VALUE"""),"")</f>
        <v/>
      </c>
      <c r="B19380" s="87"/>
      <c r="C19380" s="87"/>
      <c r="D19380" s="87"/>
      <c r="E19380" s="87"/>
      <c r="F19380" s="87"/>
      <c r="G19380" s="87"/>
    </row>
    <row r="19381">
      <c r="A19381" s="86" t="str">
        <f>IFERROR(__xludf.DUMMYFUNCTION("""COMPUTED_VALUE"""),"")</f>
        <v/>
      </c>
      <c r="B19381" s="87"/>
      <c r="C19381" s="87"/>
      <c r="D19381" s="87"/>
      <c r="E19381" s="87"/>
      <c r="F19381" s="87"/>
      <c r="G19381" s="87"/>
    </row>
    <row r="19382">
      <c r="A19382" s="86" t="str">
        <f>IFERROR(__xludf.DUMMYFUNCTION("""COMPUTED_VALUE"""),"")</f>
        <v/>
      </c>
      <c r="B19382" s="87"/>
      <c r="C19382" s="87"/>
      <c r="D19382" s="87"/>
      <c r="E19382" s="87"/>
      <c r="F19382" s="87"/>
      <c r="G19382" s="87"/>
    </row>
    <row r="19383">
      <c r="A19383" s="86" t="str">
        <f>IFERROR(__xludf.DUMMYFUNCTION("""COMPUTED_VALUE"""),"")</f>
        <v/>
      </c>
      <c r="B19383" s="87"/>
      <c r="C19383" s="87"/>
      <c r="D19383" s="87"/>
      <c r="E19383" s="87"/>
      <c r="F19383" s="87"/>
      <c r="G19383" s="87"/>
    </row>
    <row r="19384">
      <c r="A19384" s="86" t="str">
        <f>IFERROR(__xludf.DUMMYFUNCTION("""COMPUTED_VALUE"""),"")</f>
        <v/>
      </c>
      <c r="B19384" s="87"/>
      <c r="C19384" s="87"/>
      <c r="D19384" s="87"/>
      <c r="E19384" s="87"/>
      <c r="F19384" s="87"/>
      <c r="G19384" s="87"/>
    </row>
    <row r="19385">
      <c r="A19385" s="86" t="str">
        <f>IFERROR(__xludf.DUMMYFUNCTION("""COMPUTED_VALUE"""),"")</f>
        <v/>
      </c>
      <c r="B19385" s="87"/>
      <c r="C19385" s="87"/>
      <c r="D19385" s="87"/>
      <c r="E19385" s="87"/>
      <c r="F19385" s="87"/>
      <c r="G19385" s="87"/>
    </row>
    <row r="19386">
      <c r="A19386" s="86" t="str">
        <f>IFERROR(__xludf.DUMMYFUNCTION("""COMPUTED_VALUE"""),"")</f>
        <v/>
      </c>
      <c r="B19386" s="87"/>
      <c r="C19386" s="87"/>
      <c r="D19386" s="87"/>
      <c r="E19386" s="87"/>
      <c r="F19386" s="87"/>
      <c r="G19386" s="87"/>
    </row>
    <row r="19387">
      <c r="A19387" s="86" t="str">
        <f>IFERROR(__xludf.DUMMYFUNCTION("""COMPUTED_VALUE"""),"")</f>
        <v/>
      </c>
      <c r="B19387" s="87"/>
      <c r="C19387" s="87"/>
      <c r="D19387" s="87"/>
      <c r="E19387" s="87"/>
      <c r="F19387" s="87"/>
      <c r="G19387" s="87"/>
    </row>
    <row r="19388">
      <c r="A19388" s="86" t="str">
        <f>IFERROR(__xludf.DUMMYFUNCTION("""COMPUTED_VALUE"""),"")</f>
        <v/>
      </c>
      <c r="B19388" s="87"/>
      <c r="C19388" s="87"/>
      <c r="D19388" s="87"/>
      <c r="E19388" s="87"/>
      <c r="F19388" s="87"/>
      <c r="G19388" s="87"/>
    </row>
    <row r="19389">
      <c r="A19389" s="86" t="str">
        <f>IFERROR(__xludf.DUMMYFUNCTION("""COMPUTED_VALUE"""),"")</f>
        <v/>
      </c>
      <c r="B19389" s="87"/>
      <c r="C19389" s="87"/>
      <c r="D19389" s="87"/>
      <c r="E19389" s="87"/>
      <c r="F19389" s="87"/>
      <c r="G19389" s="87"/>
    </row>
    <row r="19390">
      <c r="A19390" s="86" t="str">
        <f>IFERROR(__xludf.DUMMYFUNCTION("""COMPUTED_VALUE"""),"")</f>
        <v/>
      </c>
      <c r="B19390" s="87"/>
      <c r="C19390" s="87"/>
      <c r="D19390" s="87"/>
      <c r="E19390" s="87"/>
      <c r="F19390" s="87"/>
      <c r="G19390" s="87"/>
    </row>
    <row r="19391">
      <c r="A19391" s="86" t="str">
        <f>IFERROR(__xludf.DUMMYFUNCTION("""COMPUTED_VALUE"""),"")</f>
        <v/>
      </c>
      <c r="B19391" s="87"/>
      <c r="C19391" s="87"/>
      <c r="D19391" s="87"/>
      <c r="E19391" s="87"/>
      <c r="F19391" s="87"/>
      <c r="G19391" s="87"/>
    </row>
    <row r="19392">
      <c r="A19392" s="86" t="str">
        <f>IFERROR(__xludf.DUMMYFUNCTION("""COMPUTED_VALUE"""),"")</f>
        <v/>
      </c>
      <c r="B19392" s="87"/>
      <c r="C19392" s="87"/>
      <c r="D19392" s="87"/>
      <c r="E19392" s="87"/>
      <c r="F19392" s="87"/>
      <c r="G19392" s="87"/>
    </row>
    <row r="19393">
      <c r="A19393" s="86" t="str">
        <f>IFERROR(__xludf.DUMMYFUNCTION("""COMPUTED_VALUE"""),"")</f>
        <v/>
      </c>
      <c r="B19393" s="87"/>
      <c r="C19393" s="87"/>
      <c r="D19393" s="87"/>
      <c r="E19393" s="87"/>
      <c r="F19393" s="87"/>
      <c r="G19393" s="87"/>
    </row>
    <row r="19394">
      <c r="A19394" s="86" t="str">
        <f>IFERROR(__xludf.DUMMYFUNCTION("""COMPUTED_VALUE"""),"")</f>
        <v/>
      </c>
      <c r="B19394" s="87"/>
      <c r="C19394" s="87"/>
      <c r="D19394" s="87"/>
      <c r="E19394" s="87"/>
      <c r="F19394" s="87"/>
      <c r="G19394" s="87"/>
    </row>
    <row r="19395">
      <c r="A19395" s="86" t="str">
        <f>IFERROR(__xludf.DUMMYFUNCTION("""COMPUTED_VALUE"""),"")</f>
        <v/>
      </c>
      <c r="B19395" s="87"/>
      <c r="C19395" s="87"/>
      <c r="D19395" s="87"/>
      <c r="E19395" s="87"/>
      <c r="F19395" s="87"/>
      <c r="G19395" s="87"/>
    </row>
    <row r="19396">
      <c r="A19396" s="86" t="str">
        <f>IFERROR(__xludf.DUMMYFUNCTION("""COMPUTED_VALUE"""),"")</f>
        <v/>
      </c>
      <c r="B19396" s="87"/>
      <c r="C19396" s="87"/>
      <c r="D19396" s="87"/>
      <c r="E19396" s="87"/>
      <c r="F19396" s="87"/>
      <c r="G19396" s="87"/>
    </row>
    <row r="19397">
      <c r="A19397" s="86" t="str">
        <f>IFERROR(__xludf.DUMMYFUNCTION("""COMPUTED_VALUE"""),"")</f>
        <v/>
      </c>
      <c r="B19397" s="87"/>
      <c r="C19397" s="87"/>
      <c r="D19397" s="87"/>
      <c r="E19397" s="87"/>
      <c r="F19397" s="87"/>
      <c r="G19397" s="87"/>
    </row>
    <row r="19398">
      <c r="A19398" s="86" t="str">
        <f>IFERROR(__xludf.DUMMYFUNCTION("""COMPUTED_VALUE"""),"")</f>
        <v/>
      </c>
      <c r="B19398" s="87"/>
      <c r="C19398" s="87"/>
      <c r="D19398" s="87"/>
      <c r="E19398" s="87"/>
      <c r="F19398" s="87"/>
      <c r="G19398" s="87"/>
    </row>
    <row r="19399">
      <c r="A19399" s="86" t="str">
        <f>IFERROR(__xludf.DUMMYFUNCTION("""COMPUTED_VALUE"""),"")</f>
        <v/>
      </c>
      <c r="B19399" s="87"/>
      <c r="C19399" s="87"/>
      <c r="D19399" s="87"/>
      <c r="E19399" s="87"/>
      <c r="F19399" s="87"/>
      <c r="G19399" s="87"/>
    </row>
    <row r="19400">
      <c r="A19400" s="86" t="str">
        <f>IFERROR(__xludf.DUMMYFUNCTION("""COMPUTED_VALUE"""),"")</f>
        <v/>
      </c>
      <c r="B19400" s="87"/>
      <c r="C19400" s="87"/>
      <c r="D19400" s="87"/>
      <c r="E19400" s="87"/>
      <c r="F19400" s="87"/>
      <c r="G19400" s="87"/>
    </row>
    <row r="19401">
      <c r="A19401" s="86" t="str">
        <f>IFERROR(__xludf.DUMMYFUNCTION("""COMPUTED_VALUE"""),"")</f>
        <v/>
      </c>
      <c r="B19401" s="87"/>
      <c r="C19401" s="87"/>
      <c r="D19401" s="87"/>
      <c r="E19401" s="87"/>
      <c r="F19401" s="87"/>
      <c r="G19401" s="87"/>
    </row>
    <row r="19402">
      <c r="A19402" s="86" t="str">
        <f>IFERROR(__xludf.DUMMYFUNCTION("""COMPUTED_VALUE"""),"")</f>
        <v/>
      </c>
      <c r="B19402" s="87"/>
      <c r="C19402" s="87"/>
      <c r="D19402" s="87"/>
      <c r="E19402" s="87"/>
      <c r="F19402" s="87"/>
      <c r="G19402" s="87"/>
    </row>
    <row r="19403">
      <c r="A19403" s="86" t="str">
        <f>IFERROR(__xludf.DUMMYFUNCTION("""COMPUTED_VALUE"""),"")</f>
        <v/>
      </c>
      <c r="B19403" s="87"/>
      <c r="C19403" s="87"/>
      <c r="D19403" s="87"/>
      <c r="E19403" s="87"/>
      <c r="F19403" s="87"/>
      <c r="G19403" s="87"/>
    </row>
    <row r="19404">
      <c r="A19404" s="86" t="str">
        <f>IFERROR(__xludf.DUMMYFUNCTION("""COMPUTED_VALUE"""),"")</f>
        <v/>
      </c>
      <c r="B19404" s="87"/>
      <c r="C19404" s="87"/>
      <c r="D19404" s="87"/>
      <c r="E19404" s="87"/>
      <c r="F19404" s="87"/>
      <c r="G19404" s="87"/>
    </row>
    <row r="19405">
      <c r="A19405" s="86" t="str">
        <f>IFERROR(__xludf.DUMMYFUNCTION("""COMPUTED_VALUE"""),"")</f>
        <v/>
      </c>
      <c r="B19405" s="87"/>
      <c r="C19405" s="87"/>
      <c r="D19405" s="87"/>
      <c r="E19405" s="87"/>
      <c r="F19405" s="87"/>
      <c r="G19405" s="87"/>
    </row>
    <row r="19406">
      <c r="A19406" s="86" t="str">
        <f>IFERROR(__xludf.DUMMYFUNCTION("""COMPUTED_VALUE"""),"")</f>
        <v/>
      </c>
      <c r="B19406" s="87"/>
      <c r="C19406" s="87"/>
      <c r="D19406" s="87"/>
      <c r="E19406" s="87"/>
      <c r="F19406" s="87"/>
      <c r="G19406" s="87"/>
    </row>
    <row r="19407">
      <c r="A19407" s="86" t="str">
        <f>IFERROR(__xludf.DUMMYFUNCTION("""COMPUTED_VALUE"""),"")</f>
        <v/>
      </c>
      <c r="B19407" s="87"/>
      <c r="C19407" s="87"/>
      <c r="D19407" s="87"/>
      <c r="E19407" s="87"/>
      <c r="F19407" s="87"/>
      <c r="G19407" s="87"/>
    </row>
    <row r="19408">
      <c r="A19408" s="86" t="str">
        <f>IFERROR(__xludf.DUMMYFUNCTION("""COMPUTED_VALUE"""),"")</f>
        <v/>
      </c>
      <c r="B19408" s="87"/>
      <c r="C19408" s="87"/>
      <c r="D19408" s="87"/>
      <c r="E19408" s="87"/>
      <c r="F19408" s="87"/>
      <c r="G19408" s="87"/>
    </row>
    <row r="19409">
      <c r="A19409" s="86" t="str">
        <f>IFERROR(__xludf.DUMMYFUNCTION("""COMPUTED_VALUE"""),"")</f>
        <v/>
      </c>
      <c r="B19409" s="87"/>
      <c r="C19409" s="87"/>
      <c r="D19409" s="87"/>
      <c r="E19409" s="87"/>
      <c r="F19409" s="87"/>
      <c r="G19409" s="87"/>
    </row>
    <row r="19410">
      <c r="A19410" s="86" t="str">
        <f>IFERROR(__xludf.DUMMYFUNCTION("""COMPUTED_VALUE"""),"")</f>
        <v/>
      </c>
      <c r="B19410" s="87"/>
      <c r="C19410" s="87"/>
      <c r="D19410" s="87"/>
      <c r="E19410" s="87"/>
      <c r="F19410" s="87"/>
      <c r="G19410" s="87"/>
    </row>
    <row r="19411">
      <c r="A19411" s="86" t="str">
        <f>IFERROR(__xludf.DUMMYFUNCTION("""COMPUTED_VALUE"""),"")</f>
        <v/>
      </c>
      <c r="B19411" s="87"/>
      <c r="C19411" s="87"/>
      <c r="D19411" s="87"/>
      <c r="E19411" s="87"/>
      <c r="F19411" s="87"/>
      <c r="G19411" s="87"/>
    </row>
    <row r="19412">
      <c r="A19412" s="86" t="str">
        <f>IFERROR(__xludf.DUMMYFUNCTION("""COMPUTED_VALUE"""),"")</f>
        <v/>
      </c>
      <c r="B19412" s="87"/>
      <c r="C19412" s="87"/>
      <c r="D19412" s="87"/>
      <c r="E19412" s="87"/>
      <c r="F19412" s="87"/>
      <c r="G19412" s="87"/>
    </row>
    <row r="19413">
      <c r="A19413" s="86" t="str">
        <f>IFERROR(__xludf.DUMMYFUNCTION("""COMPUTED_VALUE"""),"")</f>
        <v/>
      </c>
      <c r="B19413" s="87"/>
      <c r="C19413" s="87"/>
      <c r="D19413" s="87"/>
      <c r="E19413" s="87"/>
      <c r="F19413" s="87"/>
      <c r="G19413" s="87"/>
    </row>
    <row r="19414">
      <c r="A19414" s="86" t="str">
        <f>IFERROR(__xludf.DUMMYFUNCTION("""COMPUTED_VALUE"""),"")</f>
        <v/>
      </c>
      <c r="B19414" s="87"/>
      <c r="C19414" s="87"/>
      <c r="D19414" s="87"/>
      <c r="E19414" s="87"/>
      <c r="F19414" s="87"/>
      <c r="G19414" s="87"/>
    </row>
    <row r="19415">
      <c r="A19415" s="86" t="str">
        <f>IFERROR(__xludf.DUMMYFUNCTION("""COMPUTED_VALUE"""),"")</f>
        <v/>
      </c>
      <c r="B19415" s="87"/>
      <c r="C19415" s="87"/>
      <c r="D19415" s="87"/>
      <c r="E19415" s="87"/>
      <c r="F19415" s="87"/>
      <c r="G19415" s="87"/>
    </row>
    <row r="19416">
      <c r="A19416" s="86" t="str">
        <f>IFERROR(__xludf.DUMMYFUNCTION("""COMPUTED_VALUE"""),"")</f>
        <v/>
      </c>
      <c r="B19416" s="87"/>
      <c r="C19416" s="87"/>
      <c r="D19416" s="87"/>
      <c r="E19416" s="87"/>
      <c r="F19416" s="87"/>
      <c r="G19416" s="87"/>
    </row>
    <row r="19417">
      <c r="A19417" s="86" t="str">
        <f>IFERROR(__xludf.DUMMYFUNCTION("""COMPUTED_VALUE"""),"")</f>
        <v/>
      </c>
      <c r="B19417" s="87"/>
      <c r="C19417" s="87"/>
      <c r="D19417" s="87"/>
      <c r="E19417" s="87"/>
      <c r="F19417" s="87"/>
      <c r="G19417" s="87"/>
    </row>
    <row r="19418">
      <c r="A19418" s="86" t="str">
        <f>IFERROR(__xludf.DUMMYFUNCTION("""COMPUTED_VALUE"""),"")</f>
        <v/>
      </c>
      <c r="B19418" s="87"/>
      <c r="C19418" s="87"/>
      <c r="D19418" s="87"/>
      <c r="E19418" s="87"/>
      <c r="F19418" s="87"/>
      <c r="G19418" s="87"/>
    </row>
    <row r="19419">
      <c r="A19419" s="86" t="str">
        <f>IFERROR(__xludf.DUMMYFUNCTION("""COMPUTED_VALUE"""),"")</f>
        <v/>
      </c>
      <c r="B19419" s="87"/>
      <c r="C19419" s="87"/>
      <c r="D19419" s="87"/>
      <c r="E19419" s="87"/>
      <c r="F19419" s="87"/>
      <c r="G19419" s="87"/>
    </row>
    <row r="19420">
      <c r="A19420" s="86" t="str">
        <f>IFERROR(__xludf.DUMMYFUNCTION("""COMPUTED_VALUE"""),"")</f>
        <v/>
      </c>
      <c r="B19420" s="87"/>
      <c r="C19420" s="87"/>
      <c r="D19420" s="87"/>
      <c r="E19420" s="87"/>
      <c r="F19420" s="87"/>
      <c r="G19420" s="87"/>
    </row>
    <row r="19421">
      <c r="A19421" s="86" t="str">
        <f>IFERROR(__xludf.DUMMYFUNCTION("""COMPUTED_VALUE"""),"")</f>
        <v/>
      </c>
      <c r="B19421" s="87"/>
      <c r="C19421" s="87"/>
      <c r="D19421" s="87"/>
      <c r="E19421" s="87"/>
      <c r="F19421" s="87"/>
      <c r="G19421" s="87"/>
    </row>
    <row r="19422">
      <c r="A19422" s="86" t="str">
        <f>IFERROR(__xludf.DUMMYFUNCTION("""COMPUTED_VALUE"""),"")</f>
        <v/>
      </c>
      <c r="B19422" s="87"/>
      <c r="C19422" s="87"/>
      <c r="D19422" s="87"/>
      <c r="E19422" s="87"/>
      <c r="F19422" s="87"/>
      <c r="G19422" s="87"/>
    </row>
    <row r="19423">
      <c r="A19423" s="86" t="str">
        <f>IFERROR(__xludf.DUMMYFUNCTION("""COMPUTED_VALUE"""),"")</f>
        <v/>
      </c>
      <c r="B19423" s="87"/>
      <c r="C19423" s="87"/>
      <c r="D19423" s="87"/>
      <c r="E19423" s="87"/>
      <c r="F19423" s="87"/>
      <c r="G19423" s="87"/>
    </row>
    <row r="19424">
      <c r="A19424" s="86" t="str">
        <f>IFERROR(__xludf.DUMMYFUNCTION("""COMPUTED_VALUE"""),"")</f>
        <v/>
      </c>
      <c r="B19424" s="87"/>
      <c r="C19424" s="87"/>
      <c r="D19424" s="87"/>
      <c r="E19424" s="87"/>
      <c r="F19424" s="87"/>
      <c r="G19424" s="87"/>
    </row>
    <row r="19425">
      <c r="A19425" s="86" t="str">
        <f>IFERROR(__xludf.DUMMYFUNCTION("""COMPUTED_VALUE"""),"")</f>
        <v/>
      </c>
      <c r="B19425" s="87"/>
      <c r="C19425" s="87"/>
      <c r="D19425" s="87"/>
      <c r="E19425" s="87"/>
      <c r="F19425" s="87"/>
      <c r="G19425" s="87"/>
    </row>
    <row r="19426">
      <c r="A19426" s="86" t="str">
        <f>IFERROR(__xludf.DUMMYFUNCTION("""COMPUTED_VALUE"""),"")</f>
        <v/>
      </c>
      <c r="B19426" s="87"/>
      <c r="C19426" s="87"/>
      <c r="D19426" s="87"/>
      <c r="E19426" s="87"/>
      <c r="F19426" s="87"/>
      <c r="G19426" s="87"/>
    </row>
    <row r="19427">
      <c r="A19427" s="86" t="str">
        <f>IFERROR(__xludf.DUMMYFUNCTION("""COMPUTED_VALUE"""),"")</f>
        <v/>
      </c>
      <c r="B19427" s="87"/>
      <c r="C19427" s="87"/>
      <c r="D19427" s="87"/>
      <c r="E19427" s="87"/>
      <c r="F19427" s="87"/>
      <c r="G19427" s="87"/>
    </row>
    <row r="19428">
      <c r="A19428" s="86" t="str">
        <f>IFERROR(__xludf.DUMMYFUNCTION("""COMPUTED_VALUE"""),"")</f>
        <v/>
      </c>
      <c r="B19428" s="87"/>
      <c r="C19428" s="87"/>
      <c r="D19428" s="87"/>
      <c r="E19428" s="87"/>
      <c r="F19428" s="87"/>
      <c r="G19428" s="87"/>
    </row>
    <row r="19429">
      <c r="A19429" s="86" t="str">
        <f>IFERROR(__xludf.DUMMYFUNCTION("""COMPUTED_VALUE"""),"")</f>
        <v/>
      </c>
      <c r="B19429" s="87"/>
      <c r="C19429" s="87"/>
      <c r="D19429" s="87"/>
      <c r="E19429" s="87"/>
      <c r="F19429" s="87"/>
      <c r="G19429" s="87"/>
    </row>
    <row r="19430">
      <c r="A19430" s="86" t="str">
        <f>IFERROR(__xludf.DUMMYFUNCTION("""COMPUTED_VALUE"""),"")</f>
        <v/>
      </c>
      <c r="B19430" s="87"/>
      <c r="C19430" s="87"/>
      <c r="D19430" s="87"/>
      <c r="E19430" s="87"/>
      <c r="F19430" s="87"/>
      <c r="G19430" s="87"/>
    </row>
    <row r="19431">
      <c r="A19431" s="86" t="str">
        <f>IFERROR(__xludf.DUMMYFUNCTION("""COMPUTED_VALUE"""),"")</f>
        <v/>
      </c>
      <c r="B19431" s="87"/>
      <c r="C19431" s="87"/>
      <c r="D19431" s="87"/>
      <c r="E19431" s="87"/>
      <c r="F19431" s="87"/>
      <c r="G19431" s="87"/>
    </row>
    <row r="19432">
      <c r="A19432" s="86" t="str">
        <f>IFERROR(__xludf.DUMMYFUNCTION("""COMPUTED_VALUE"""),"")</f>
        <v/>
      </c>
      <c r="B19432" s="87"/>
      <c r="C19432" s="87"/>
      <c r="D19432" s="87"/>
      <c r="E19432" s="87"/>
      <c r="F19432" s="87"/>
      <c r="G19432" s="87"/>
    </row>
    <row r="19433">
      <c r="A19433" s="86" t="str">
        <f>IFERROR(__xludf.DUMMYFUNCTION("""COMPUTED_VALUE"""),"")</f>
        <v/>
      </c>
      <c r="B19433" s="87"/>
      <c r="C19433" s="87"/>
      <c r="D19433" s="87"/>
      <c r="E19433" s="87"/>
      <c r="F19433" s="87"/>
      <c r="G19433" s="87"/>
    </row>
    <row r="19434">
      <c r="A19434" s="86" t="str">
        <f>IFERROR(__xludf.DUMMYFUNCTION("""COMPUTED_VALUE"""),"")</f>
        <v/>
      </c>
      <c r="B19434" s="87"/>
      <c r="C19434" s="87"/>
      <c r="D19434" s="87"/>
      <c r="E19434" s="87"/>
      <c r="F19434" s="87"/>
      <c r="G19434" s="87"/>
    </row>
    <row r="19435">
      <c r="A19435" s="86" t="str">
        <f>IFERROR(__xludf.DUMMYFUNCTION("""COMPUTED_VALUE"""),"")</f>
        <v/>
      </c>
      <c r="B19435" s="87"/>
      <c r="C19435" s="87"/>
      <c r="D19435" s="87"/>
      <c r="E19435" s="87"/>
      <c r="F19435" s="87"/>
      <c r="G19435" s="87"/>
    </row>
    <row r="19436">
      <c r="A19436" s="86" t="str">
        <f>IFERROR(__xludf.DUMMYFUNCTION("""COMPUTED_VALUE"""),"")</f>
        <v/>
      </c>
      <c r="B19436" s="87"/>
      <c r="C19436" s="87"/>
      <c r="D19436" s="87"/>
      <c r="E19436" s="87"/>
      <c r="F19436" s="87"/>
      <c r="G19436" s="87"/>
    </row>
    <row r="19437">
      <c r="A19437" s="86" t="str">
        <f>IFERROR(__xludf.DUMMYFUNCTION("""COMPUTED_VALUE"""),"")</f>
        <v/>
      </c>
      <c r="B19437" s="87"/>
      <c r="C19437" s="87"/>
      <c r="D19437" s="87"/>
      <c r="E19437" s="87"/>
      <c r="F19437" s="87"/>
      <c r="G19437" s="87"/>
    </row>
    <row r="19438">
      <c r="A19438" s="86" t="str">
        <f>IFERROR(__xludf.DUMMYFUNCTION("""COMPUTED_VALUE"""),"")</f>
        <v/>
      </c>
      <c r="B19438" s="87"/>
      <c r="C19438" s="87"/>
      <c r="D19438" s="87"/>
      <c r="E19438" s="87"/>
      <c r="F19438" s="87"/>
      <c r="G19438" s="87"/>
    </row>
    <row r="19439">
      <c r="A19439" s="86" t="str">
        <f>IFERROR(__xludf.DUMMYFUNCTION("""COMPUTED_VALUE"""),"")</f>
        <v/>
      </c>
      <c r="B19439" s="87"/>
      <c r="C19439" s="87"/>
      <c r="D19439" s="87"/>
      <c r="E19439" s="87"/>
      <c r="F19439" s="87"/>
      <c r="G19439" s="87"/>
    </row>
    <row r="19440">
      <c r="A19440" s="86" t="str">
        <f>IFERROR(__xludf.DUMMYFUNCTION("""COMPUTED_VALUE"""),"")</f>
        <v/>
      </c>
      <c r="B19440" s="87"/>
      <c r="C19440" s="87"/>
      <c r="D19440" s="87"/>
      <c r="E19440" s="87"/>
      <c r="F19440" s="87"/>
      <c r="G19440" s="87"/>
    </row>
    <row r="19441">
      <c r="A19441" s="86" t="str">
        <f>IFERROR(__xludf.DUMMYFUNCTION("""COMPUTED_VALUE"""),"")</f>
        <v/>
      </c>
      <c r="B19441" s="87"/>
      <c r="C19441" s="87"/>
      <c r="D19441" s="87"/>
      <c r="E19441" s="87"/>
      <c r="F19441" s="87"/>
      <c r="G19441" s="87"/>
    </row>
    <row r="19442">
      <c r="A19442" s="86" t="str">
        <f>IFERROR(__xludf.DUMMYFUNCTION("""COMPUTED_VALUE"""),"")</f>
        <v/>
      </c>
      <c r="B19442" s="87"/>
      <c r="C19442" s="87"/>
      <c r="D19442" s="87"/>
      <c r="E19442" s="87"/>
      <c r="F19442" s="87"/>
      <c r="G19442" s="87"/>
    </row>
    <row r="19443">
      <c r="A19443" s="86" t="str">
        <f>IFERROR(__xludf.DUMMYFUNCTION("""COMPUTED_VALUE"""),"")</f>
        <v/>
      </c>
      <c r="B19443" s="87"/>
      <c r="C19443" s="87"/>
      <c r="D19443" s="87"/>
      <c r="E19443" s="87"/>
      <c r="F19443" s="87"/>
      <c r="G19443" s="87"/>
    </row>
    <row r="19444">
      <c r="A19444" s="86" t="str">
        <f>IFERROR(__xludf.DUMMYFUNCTION("""COMPUTED_VALUE"""),"")</f>
        <v/>
      </c>
      <c r="B19444" s="87"/>
      <c r="C19444" s="87"/>
      <c r="D19444" s="87"/>
      <c r="E19444" s="87"/>
      <c r="F19444" s="87"/>
      <c r="G19444" s="87"/>
    </row>
    <row r="19445">
      <c r="A19445" s="86" t="str">
        <f>IFERROR(__xludf.DUMMYFUNCTION("""COMPUTED_VALUE"""),"")</f>
        <v/>
      </c>
      <c r="B19445" s="87"/>
      <c r="C19445" s="87"/>
      <c r="D19445" s="87"/>
      <c r="E19445" s="87"/>
      <c r="F19445" s="87"/>
      <c r="G19445" s="87"/>
    </row>
    <row r="19446">
      <c r="A19446" s="86" t="str">
        <f>IFERROR(__xludf.DUMMYFUNCTION("""COMPUTED_VALUE"""),"")</f>
        <v/>
      </c>
      <c r="B19446" s="87"/>
      <c r="C19446" s="87"/>
      <c r="D19446" s="87"/>
      <c r="E19446" s="87"/>
      <c r="F19446" s="87"/>
      <c r="G19446" s="87"/>
    </row>
    <row r="19447">
      <c r="A19447" s="86" t="str">
        <f>IFERROR(__xludf.DUMMYFUNCTION("""COMPUTED_VALUE"""),"")</f>
        <v/>
      </c>
      <c r="B19447" s="87"/>
      <c r="C19447" s="87"/>
      <c r="D19447" s="87"/>
      <c r="E19447" s="87"/>
      <c r="F19447" s="87"/>
      <c r="G19447" s="87"/>
    </row>
    <row r="19448">
      <c r="A19448" s="86" t="str">
        <f>IFERROR(__xludf.DUMMYFUNCTION("""COMPUTED_VALUE"""),"")</f>
        <v/>
      </c>
      <c r="B19448" s="87"/>
      <c r="C19448" s="87"/>
      <c r="D19448" s="87"/>
      <c r="E19448" s="87"/>
      <c r="F19448" s="87"/>
      <c r="G19448" s="87"/>
    </row>
    <row r="19449">
      <c r="A19449" s="86" t="str">
        <f>IFERROR(__xludf.DUMMYFUNCTION("""COMPUTED_VALUE"""),"")</f>
        <v/>
      </c>
      <c r="B19449" s="87"/>
      <c r="C19449" s="87"/>
      <c r="D19449" s="87"/>
      <c r="E19449" s="87"/>
      <c r="F19449" s="87"/>
      <c r="G19449" s="87"/>
    </row>
    <row r="19450">
      <c r="A19450" s="86" t="str">
        <f>IFERROR(__xludf.DUMMYFUNCTION("""COMPUTED_VALUE"""),"")</f>
        <v/>
      </c>
      <c r="B19450" s="87"/>
      <c r="C19450" s="87"/>
      <c r="D19450" s="87"/>
      <c r="E19450" s="87"/>
      <c r="F19450" s="87"/>
      <c r="G19450" s="87"/>
    </row>
    <row r="19451">
      <c r="A19451" s="86" t="str">
        <f>IFERROR(__xludf.DUMMYFUNCTION("""COMPUTED_VALUE"""),"")</f>
        <v/>
      </c>
      <c r="B19451" s="87"/>
      <c r="C19451" s="87"/>
      <c r="D19451" s="87"/>
      <c r="E19451" s="87"/>
      <c r="F19451" s="87"/>
      <c r="G19451" s="87"/>
    </row>
    <row r="19452">
      <c r="A19452" s="86" t="str">
        <f>IFERROR(__xludf.DUMMYFUNCTION("""COMPUTED_VALUE"""),"")</f>
        <v/>
      </c>
      <c r="B19452" s="87"/>
      <c r="C19452" s="87"/>
      <c r="D19452" s="87"/>
      <c r="E19452" s="87"/>
      <c r="F19452" s="87"/>
      <c r="G19452" s="87"/>
    </row>
    <row r="19453">
      <c r="A19453" s="86" t="str">
        <f>IFERROR(__xludf.DUMMYFUNCTION("""COMPUTED_VALUE"""),"")</f>
        <v/>
      </c>
      <c r="B19453" s="87"/>
      <c r="C19453" s="87"/>
      <c r="D19453" s="87"/>
      <c r="E19453" s="87"/>
      <c r="F19453" s="87"/>
      <c r="G19453" s="87"/>
    </row>
    <row r="19454">
      <c r="A19454" s="86" t="str">
        <f>IFERROR(__xludf.DUMMYFUNCTION("""COMPUTED_VALUE"""),"")</f>
        <v/>
      </c>
      <c r="B19454" s="87"/>
      <c r="C19454" s="87"/>
      <c r="D19454" s="87"/>
      <c r="E19454" s="87"/>
      <c r="F19454" s="87"/>
      <c r="G19454" s="87"/>
    </row>
    <row r="19455">
      <c r="A19455" s="86" t="str">
        <f>IFERROR(__xludf.DUMMYFUNCTION("""COMPUTED_VALUE"""),"")</f>
        <v/>
      </c>
      <c r="B19455" s="87"/>
      <c r="C19455" s="87"/>
      <c r="D19455" s="87"/>
      <c r="E19455" s="87"/>
      <c r="F19455" s="87"/>
      <c r="G19455" s="87"/>
    </row>
    <row r="19456">
      <c r="A19456" s="86" t="str">
        <f>IFERROR(__xludf.DUMMYFUNCTION("""COMPUTED_VALUE"""),"")</f>
        <v/>
      </c>
      <c r="B19456" s="87"/>
      <c r="C19456" s="87"/>
      <c r="D19456" s="87"/>
      <c r="E19456" s="87"/>
      <c r="F19456" s="87"/>
      <c r="G19456" s="87"/>
    </row>
    <row r="19457">
      <c r="A19457" s="86" t="str">
        <f>IFERROR(__xludf.DUMMYFUNCTION("""COMPUTED_VALUE"""),"")</f>
        <v/>
      </c>
      <c r="B19457" s="87"/>
      <c r="C19457" s="87"/>
      <c r="D19457" s="87"/>
      <c r="E19457" s="87"/>
      <c r="F19457" s="87"/>
      <c r="G19457" s="87"/>
    </row>
    <row r="19458">
      <c r="A19458" s="86" t="str">
        <f>IFERROR(__xludf.DUMMYFUNCTION("""COMPUTED_VALUE"""),"")</f>
        <v/>
      </c>
      <c r="B19458" s="87"/>
      <c r="C19458" s="87"/>
      <c r="D19458" s="87"/>
      <c r="E19458" s="87"/>
      <c r="F19458" s="87"/>
      <c r="G19458" s="87"/>
    </row>
    <row r="19459">
      <c r="A19459" s="86" t="str">
        <f>IFERROR(__xludf.DUMMYFUNCTION("""COMPUTED_VALUE"""),"")</f>
        <v/>
      </c>
      <c r="B19459" s="87"/>
      <c r="C19459" s="87"/>
      <c r="D19459" s="87"/>
      <c r="E19459" s="87"/>
      <c r="F19459" s="87"/>
      <c r="G19459" s="87"/>
    </row>
    <row r="19460">
      <c r="A19460" s="86" t="str">
        <f>IFERROR(__xludf.DUMMYFUNCTION("""COMPUTED_VALUE"""),"")</f>
        <v/>
      </c>
      <c r="B19460" s="87"/>
      <c r="C19460" s="87"/>
      <c r="D19460" s="87"/>
      <c r="E19460" s="87"/>
      <c r="F19460" s="87"/>
      <c r="G19460" s="87"/>
    </row>
    <row r="19461">
      <c r="A19461" s="86" t="str">
        <f>IFERROR(__xludf.DUMMYFUNCTION("""COMPUTED_VALUE"""),"")</f>
        <v/>
      </c>
      <c r="B19461" s="87"/>
      <c r="C19461" s="87"/>
      <c r="D19461" s="87"/>
      <c r="E19461" s="87"/>
      <c r="F19461" s="87"/>
      <c r="G19461" s="87"/>
    </row>
    <row r="19462">
      <c r="A19462" s="86" t="str">
        <f>IFERROR(__xludf.DUMMYFUNCTION("""COMPUTED_VALUE"""),"")</f>
        <v/>
      </c>
      <c r="B19462" s="87"/>
      <c r="C19462" s="87"/>
      <c r="D19462" s="87"/>
      <c r="E19462" s="87"/>
      <c r="F19462" s="87"/>
      <c r="G19462" s="87"/>
    </row>
    <row r="19463">
      <c r="A19463" s="86" t="str">
        <f>IFERROR(__xludf.DUMMYFUNCTION("""COMPUTED_VALUE"""),"")</f>
        <v/>
      </c>
      <c r="B19463" s="87"/>
      <c r="C19463" s="87"/>
      <c r="D19463" s="87"/>
      <c r="E19463" s="87"/>
      <c r="F19463" s="87"/>
      <c r="G19463" s="87"/>
    </row>
    <row r="19464">
      <c r="A19464" s="86" t="str">
        <f>IFERROR(__xludf.DUMMYFUNCTION("""COMPUTED_VALUE"""),"")</f>
        <v/>
      </c>
      <c r="B19464" s="87"/>
      <c r="C19464" s="87"/>
      <c r="D19464" s="87"/>
      <c r="E19464" s="87"/>
      <c r="F19464" s="87"/>
      <c r="G19464" s="87"/>
    </row>
    <row r="19465">
      <c r="A19465" s="86" t="str">
        <f>IFERROR(__xludf.DUMMYFUNCTION("""COMPUTED_VALUE"""),"")</f>
        <v/>
      </c>
      <c r="B19465" s="87"/>
      <c r="C19465" s="87"/>
      <c r="D19465" s="87"/>
      <c r="E19465" s="87"/>
      <c r="F19465" s="87"/>
      <c r="G19465" s="87"/>
    </row>
    <row r="19466">
      <c r="A19466" s="86" t="str">
        <f>IFERROR(__xludf.DUMMYFUNCTION("""COMPUTED_VALUE"""),"")</f>
        <v/>
      </c>
      <c r="B19466" s="87"/>
      <c r="C19466" s="87"/>
      <c r="D19466" s="87"/>
      <c r="E19466" s="87"/>
      <c r="F19466" s="87"/>
      <c r="G19466" s="87"/>
    </row>
    <row r="19467">
      <c r="A19467" s="86" t="str">
        <f>IFERROR(__xludf.DUMMYFUNCTION("""COMPUTED_VALUE"""),"")</f>
        <v/>
      </c>
      <c r="B19467" s="87"/>
      <c r="C19467" s="87"/>
      <c r="D19467" s="87"/>
      <c r="E19467" s="87"/>
      <c r="F19467" s="87"/>
      <c r="G19467" s="87"/>
    </row>
    <row r="19468">
      <c r="A19468" s="86" t="str">
        <f>IFERROR(__xludf.DUMMYFUNCTION("""COMPUTED_VALUE"""),"")</f>
        <v/>
      </c>
      <c r="B19468" s="87"/>
      <c r="C19468" s="87"/>
      <c r="D19468" s="87"/>
      <c r="E19468" s="87"/>
      <c r="F19468" s="87"/>
      <c r="G19468" s="87"/>
    </row>
    <row r="19469">
      <c r="A19469" s="86" t="str">
        <f>IFERROR(__xludf.DUMMYFUNCTION("""COMPUTED_VALUE"""),"")</f>
        <v/>
      </c>
      <c r="B19469" s="87"/>
      <c r="C19469" s="87"/>
      <c r="D19469" s="87"/>
      <c r="E19469" s="87"/>
      <c r="F19469" s="87"/>
      <c r="G19469" s="87"/>
    </row>
    <row r="19470">
      <c r="A19470" s="86" t="str">
        <f>IFERROR(__xludf.DUMMYFUNCTION("""COMPUTED_VALUE"""),"")</f>
        <v/>
      </c>
      <c r="B19470" s="87"/>
      <c r="C19470" s="87"/>
      <c r="D19470" s="87"/>
      <c r="E19470" s="87"/>
      <c r="F19470" s="87"/>
      <c r="G19470" s="87"/>
    </row>
    <row r="19471">
      <c r="A19471" s="86" t="str">
        <f>IFERROR(__xludf.DUMMYFUNCTION("""COMPUTED_VALUE"""),"")</f>
        <v/>
      </c>
      <c r="B19471" s="87"/>
      <c r="C19471" s="87"/>
      <c r="D19471" s="87"/>
      <c r="E19471" s="87"/>
      <c r="F19471" s="87"/>
      <c r="G19471" s="87"/>
    </row>
    <row r="19472">
      <c r="A19472" s="86" t="str">
        <f>IFERROR(__xludf.DUMMYFUNCTION("""COMPUTED_VALUE"""),"")</f>
        <v/>
      </c>
      <c r="B19472" s="87"/>
      <c r="C19472" s="87"/>
      <c r="D19472" s="87"/>
      <c r="E19472" s="87"/>
      <c r="F19472" s="87"/>
      <c r="G19472" s="87"/>
    </row>
    <row r="19473">
      <c r="A19473" s="86" t="str">
        <f>IFERROR(__xludf.DUMMYFUNCTION("""COMPUTED_VALUE"""),"")</f>
        <v/>
      </c>
      <c r="B19473" s="87"/>
      <c r="C19473" s="87"/>
      <c r="D19473" s="87"/>
      <c r="E19473" s="87"/>
      <c r="F19473" s="87"/>
      <c r="G19473" s="87"/>
    </row>
    <row r="19474">
      <c r="A19474" s="86" t="str">
        <f>IFERROR(__xludf.DUMMYFUNCTION("""COMPUTED_VALUE"""),"")</f>
        <v/>
      </c>
      <c r="B19474" s="87"/>
      <c r="C19474" s="87"/>
      <c r="D19474" s="87"/>
      <c r="E19474" s="87"/>
      <c r="F19474" s="87"/>
      <c r="G19474" s="87"/>
    </row>
    <row r="19475">
      <c r="A19475" s="86" t="str">
        <f>IFERROR(__xludf.DUMMYFUNCTION("""COMPUTED_VALUE"""),"")</f>
        <v/>
      </c>
      <c r="B19475" s="87"/>
      <c r="C19475" s="87"/>
      <c r="D19475" s="87"/>
      <c r="E19475" s="87"/>
      <c r="F19475" s="87"/>
      <c r="G19475" s="87"/>
    </row>
    <row r="19476">
      <c r="A19476" s="86" t="str">
        <f>IFERROR(__xludf.DUMMYFUNCTION("""COMPUTED_VALUE"""),"")</f>
        <v/>
      </c>
      <c r="B19476" s="87"/>
      <c r="C19476" s="87"/>
      <c r="D19476" s="87"/>
      <c r="E19476" s="87"/>
      <c r="F19476" s="87"/>
      <c r="G19476" s="87"/>
    </row>
    <row r="19477">
      <c r="A19477" s="86" t="str">
        <f>IFERROR(__xludf.DUMMYFUNCTION("""COMPUTED_VALUE"""),"")</f>
        <v/>
      </c>
      <c r="B19477" s="87"/>
      <c r="C19477" s="87"/>
      <c r="D19477" s="87"/>
      <c r="E19477" s="87"/>
      <c r="F19477" s="87"/>
      <c r="G19477" s="87"/>
    </row>
    <row r="19478">
      <c r="A19478" s="86" t="str">
        <f>IFERROR(__xludf.DUMMYFUNCTION("""COMPUTED_VALUE"""),"")</f>
        <v/>
      </c>
      <c r="B19478" s="87"/>
      <c r="C19478" s="87"/>
      <c r="D19478" s="87"/>
      <c r="E19478" s="87"/>
      <c r="F19478" s="87"/>
      <c r="G19478" s="87"/>
    </row>
    <row r="19479">
      <c r="A19479" s="86" t="str">
        <f>IFERROR(__xludf.DUMMYFUNCTION("""COMPUTED_VALUE"""),"")</f>
        <v/>
      </c>
      <c r="B19479" s="87"/>
      <c r="C19479" s="87"/>
      <c r="D19479" s="87"/>
      <c r="E19479" s="87"/>
      <c r="F19479" s="87"/>
      <c r="G19479" s="87"/>
    </row>
    <row r="19480">
      <c r="A19480" s="86" t="str">
        <f>IFERROR(__xludf.DUMMYFUNCTION("""COMPUTED_VALUE"""),"")</f>
        <v/>
      </c>
      <c r="B19480" s="87"/>
      <c r="C19480" s="87"/>
      <c r="D19480" s="87"/>
      <c r="E19480" s="87"/>
      <c r="F19480" s="87"/>
      <c r="G19480" s="87"/>
    </row>
    <row r="19481">
      <c r="A19481" s="86" t="str">
        <f>IFERROR(__xludf.DUMMYFUNCTION("""COMPUTED_VALUE"""),"")</f>
        <v/>
      </c>
      <c r="B19481" s="87"/>
      <c r="C19481" s="87"/>
      <c r="D19481" s="87"/>
      <c r="E19481" s="87"/>
      <c r="F19481" s="87"/>
      <c r="G19481" s="87"/>
    </row>
    <row r="19482">
      <c r="A19482" s="86" t="str">
        <f>IFERROR(__xludf.DUMMYFUNCTION("""COMPUTED_VALUE"""),"")</f>
        <v/>
      </c>
      <c r="B19482" s="87"/>
      <c r="C19482" s="87"/>
      <c r="D19482" s="87"/>
      <c r="E19482" s="87"/>
      <c r="F19482" s="87"/>
      <c r="G19482" s="87"/>
    </row>
    <row r="19483">
      <c r="A19483" s="86" t="str">
        <f>IFERROR(__xludf.DUMMYFUNCTION("""COMPUTED_VALUE"""),"")</f>
        <v/>
      </c>
      <c r="B19483" s="87"/>
      <c r="C19483" s="87"/>
      <c r="D19483" s="87"/>
      <c r="E19483" s="87"/>
      <c r="F19483" s="87"/>
      <c r="G19483" s="87"/>
    </row>
    <row r="19484">
      <c r="A19484" s="86" t="str">
        <f>IFERROR(__xludf.DUMMYFUNCTION("""COMPUTED_VALUE"""),"")</f>
        <v/>
      </c>
      <c r="B19484" s="87"/>
      <c r="C19484" s="87"/>
      <c r="D19484" s="87"/>
      <c r="E19484" s="87"/>
      <c r="F19484" s="87"/>
      <c r="G19484" s="87"/>
    </row>
    <row r="19485">
      <c r="A19485" s="86" t="str">
        <f>IFERROR(__xludf.DUMMYFUNCTION("""COMPUTED_VALUE"""),"")</f>
        <v/>
      </c>
      <c r="B19485" s="87"/>
      <c r="C19485" s="87"/>
      <c r="D19485" s="87"/>
      <c r="E19485" s="87"/>
      <c r="F19485" s="87"/>
      <c r="G19485" s="87"/>
    </row>
    <row r="19486">
      <c r="A19486" s="86" t="str">
        <f>IFERROR(__xludf.DUMMYFUNCTION("""COMPUTED_VALUE"""),"")</f>
        <v/>
      </c>
      <c r="B19486" s="87"/>
      <c r="C19486" s="87"/>
      <c r="D19486" s="87"/>
      <c r="E19486" s="87"/>
      <c r="F19486" s="87"/>
      <c r="G19486" s="87"/>
    </row>
    <row r="19487">
      <c r="A19487" s="86" t="str">
        <f>IFERROR(__xludf.DUMMYFUNCTION("""COMPUTED_VALUE"""),"")</f>
        <v/>
      </c>
      <c r="B19487" s="87"/>
      <c r="C19487" s="87"/>
      <c r="D19487" s="87"/>
      <c r="E19487" s="87"/>
      <c r="F19487" s="87"/>
      <c r="G19487" s="87"/>
    </row>
    <row r="19488">
      <c r="A19488" s="86" t="str">
        <f>IFERROR(__xludf.DUMMYFUNCTION("""COMPUTED_VALUE"""),"")</f>
        <v/>
      </c>
      <c r="B19488" s="87"/>
      <c r="C19488" s="87"/>
      <c r="D19488" s="87"/>
      <c r="E19488" s="87"/>
      <c r="F19488" s="87"/>
      <c r="G19488" s="87"/>
    </row>
    <row r="19489">
      <c r="A19489" s="86" t="str">
        <f>IFERROR(__xludf.DUMMYFUNCTION("""COMPUTED_VALUE"""),"")</f>
        <v/>
      </c>
      <c r="B19489" s="87"/>
      <c r="C19489" s="87"/>
      <c r="D19489" s="87"/>
      <c r="E19489" s="87"/>
      <c r="F19489" s="87"/>
      <c r="G19489" s="87"/>
    </row>
    <row r="19490">
      <c r="A19490" s="86" t="str">
        <f>IFERROR(__xludf.DUMMYFUNCTION("""COMPUTED_VALUE"""),"")</f>
        <v/>
      </c>
      <c r="B19490" s="87"/>
      <c r="C19490" s="87"/>
      <c r="D19490" s="87"/>
      <c r="E19490" s="87"/>
      <c r="F19490" s="87"/>
      <c r="G19490" s="87"/>
    </row>
    <row r="19491">
      <c r="A19491" s="86" t="str">
        <f>IFERROR(__xludf.DUMMYFUNCTION("""COMPUTED_VALUE"""),"")</f>
        <v/>
      </c>
      <c r="B19491" s="87"/>
      <c r="C19491" s="87"/>
      <c r="D19491" s="87"/>
      <c r="E19491" s="87"/>
      <c r="F19491" s="87"/>
      <c r="G19491" s="87"/>
    </row>
    <row r="19492">
      <c r="A19492" s="86" t="str">
        <f>IFERROR(__xludf.DUMMYFUNCTION("""COMPUTED_VALUE"""),"")</f>
        <v/>
      </c>
      <c r="B19492" s="87"/>
      <c r="C19492" s="87"/>
      <c r="D19492" s="87"/>
      <c r="E19492" s="87"/>
      <c r="F19492" s="87"/>
      <c r="G19492" s="87"/>
    </row>
    <row r="19493">
      <c r="A19493" s="86" t="str">
        <f>IFERROR(__xludf.DUMMYFUNCTION("""COMPUTED_VALUE"""),"")</f>
        <v/>
      </c>
      <c r="B19493" s="87"/>
      <c r="C19493" s="87"/>
      <c r="D19493" s="87"/>
      <c r="E19493" s="87"/>
      <c r="F19493" s="87"/>
      <c r="G19493" s="87"/>
    </row>
    <row r="19494">
      <c r="A19494" s="86" t="str">
        <f>IFERROR(__xludf.DUMMYFUNCTION("""COMPUTED_VALUE"""),"")</f>
        <v/>
      </c>
      <c r="B19494" s="87"/>
      <c r="C19494" s="87"/>
      <c r="D19494" s="87"/>
      <c r="E19494" s="87"/>
      <c r="F19494" s="87"/>
      <c r="G19494" s="87"/>
    </row>
    <row r="19495">
      <c r="A19495" s="86" t="str">
        <f>IFERROR(__xludf.DUMMYFUNCTION("""COMPUTED_VALUE"""),"")</f>
        <v/>
      </c>
      <c r="B19495" s="87"/>
      <c r="C19495" s="87"/>
      <c r="D19495" s="87"/>
      <c r="E19495" s="87"/>
      <c r="F19495" s="87"/>
      <c r="G19495" s="87"/>
    </row>
    <row r="19496">
      <c r="A19496" s="86" t="str">
        <f>IFERROR(__xludf.DUMMYFUNCTION("""COMPUTED_VALUE"""),"")</f>
        <v/>
      </c>
      <c r="B19496" s="87"/>
      <c r="C19496" s="87"/>
      <c r="D19496" s="87"/>
      <c r="E19496" s="87"/>
      <c r="F19496" s="87"/>
      <c r="G19496" s="87"/>
    </row>
    <row r="19497">
      <c r="A19497" s="86" t="str">
        <f>IFERROR(__xludf.DUMMYFUNCTION("""COMPUTED_VALUE"""),"")</f>
        <v/>
      </c>
      <c r="B19497" s="87"/>
      <c r="C19497" s="87"/>
      <c r="D19497" s="87"/>
      <c r="E19497" s="87"/>
      <c r="F19497" s="87"/>
      <c r="G19497" s="87"/>
    </row>
    <row r="19498">
      <c r="A19498" s="86" t="str">
        <f>IFERROR(__xludf.DUMMYFUNCTION("""COMPUTED_VALUE"""),"")</f>
        <v/>
      </c>
      <c r="B19498" s="87"/>
      <c r="C19498" s="87"/>
      <c r="D19498" s="87"/>
      <c r="E19498" s="87"/>
      <c r="F19498" s="87"/>
      <c r="G19498" s="87"/>
    </row>
    <row r="19499">
      <c r="A19499" s="86" t="str">
        <f>IFERROR(__xludf.DUMMYFUNCTION("""COMPUTED_VALUE"""),"")</f>
        <v/>
      </c>
      <c r="B19499" s="87"/>
      <c r="C19499" s="87"/>
      <c r="D19499" s="87"/>
      <c r="E19499" s="87"/>
      <c r="F19499" s="87"/>
      <c r="G19499" s="87"/>
    </row>
    <row r="19500">
      <c r="A19500" s="86" t="str">
        <f>IFERROR(__xludf.DUMMYFUNCTION("""COMPUTED_VALUE"""),"")</f>
        <v/>
      </c>
      <c r="B19500" s="87"/>
      <c r="C19500" s="87"/>
      <c r="D19500" s="87"/>
      <c r="E19500" s="87"/>
      <c r="F19500" s="87"/>
      <c r="G19500" s="87"/>
    </row>
    <row r="19501">
      <c r="A19501" s="86" t="str">
        <f>IFERROR(__xludf.DUMMYFUNCTION("""COMPUTED_VALUE"""),"")</f>
        <v/>
      </c>
      <c r="B19501" s="87"/>
      <c r="C19501" s="87"/>
      <c r="D19501" s="87"/>
      <c r="E19501" s="87"/>
      <c r="F19501" s="87"/>
      <c r="G19501" s="87"/>
    </row>
    <row r="19502">
      <c r="A19502" s="86" t="str">
        <f>IFERROR(__xludf.DUMMYFUNCTION("""COMPUTED_VALUE"""),"")</f>
        <v/>
      </c>
      <c r="B19502" s="87"/>
      <c r="C19502" s="87"/>
      <c r="D19502" s="87"/>
      <c r="E19502" s="87"/>
      <c r="F19502" s="87"/>
      <c r="G19502" s="87"/>
    </row>
    <row r="19503">
      <c r="A19503" s="86" t="str">
        <f>IFERROR(__xludf.DUMMYFUNCTION("""COMPUTED_VALUE"""),"")</f>
        <v/>
      </c>
      <c r="B19503" s="87"/>
      <c r="C19503" s="87"/>
      <c r="D19503" s="87"/>
      <c r="E19503" s="87"/>
      <c r="F19503" s="87"/>
      <c r="G19503" s="87"/>
    </row>
    <row r="19504">
      <c r="A19504" s="86" t="str">
        <f>IFERROR(__xludf.DUMMYFUNCTION("""COMPUTED_VALUE"""),"")</f>
        <v/>
      </c>
      <c r="B19504" s="87"/>
      <c r="C19504" s="87"/>
      <c r="D19504" s="87"/>
      <c r="E19504" s="87"/>
      <c r="F19504" s="87"/>
      <c r="G19504" s="87"/>
    </row>
    <row r="19505">
      <c r="A19505" s="86" t="str">
        <f>IFERROR(__xludf.DUMMYFUNCTION("""COMPUTED_VALUE"""),"")</f>
        <v/>
      </c>
      <c r="B19505" s="87"/>
      <c r="C19505" s="87"/>
      <c r="D19505" s="87"/>
      <c r="E19505" s="87"/>
      <c r="F19505" s="87"/>
      <c r="G19505" s="87"/>
    </row>
    <row r="19506">
      <c r="A19506" s="86" t="str">
        <f>IFERROR(__xludf.DUMMYFUNCTION("""COMPUTED_VALUE"""),"")</f>
        <v/>
      </c>
      <c r="B19506" s="87"/>
      <c r="C19506" s="87"/>
      <c r="D19506" s="87"/>
      <c r="E19506" s="87"/>
      <c r="F19506" s="87"/>
      <c r="G19506" s="87"/>
    </row>
    <row r="19507">
      <c r="A19507" s="86" t="str">
        <f>IFERROR(__xludf.DUMMYFUNCTION("""COMPUTED_VALUE"""),"")</f>
        <v/>
      </c>
      <c r="B19507" s="87"/>
      <c r="C19507" s="87"/>
      <c r="D19507" s="87"/>
      <c r="E19507" s="87"/>
      <c r="F19507" s="87"/>
      <c r="G19507" s="87"/>
    </row>
    <row r="19508">
      <c r="A19508" s="86" t="str">
        <f>IFERROR(__xludf.DUMMYFUNCTION("""COMPUTED_VALUE"""),"")</f>
        <v/>
      </c>
      <c r="B19508" s="87"/>
      <c r="C19508" s="87"/>
      <c r="D19508" s="87"/>
      <c r="E19508" s="87"/>
      <c r="F19508" s="87"/>
      <c r="G19508" s="87"/>
    </row>
    <row r="19509">
      <c r="A19509" s="86" t="str">
        <f>IFERROR(__xludf.DUMMYFUNCTION("""COMPUTED_VALUE"""),"")</f>
        <v/>
      </c>
      <c r="B19509" s="87"/>
      <c r="C19509" s="87"/>
      <c r="D19509" s="87"/>
      <c r="E19509" s="87"/>
      <c r="F19509" s="87"/>
      <c r="G19509" s="87"/>
    </row>
    <row r="19510">
      <c r="A19510" s="86" t="str">
        <f>IFERROR(__xludf.DUMMYFUNCTION("""COMPUTED_VALUE"""),"")</f>
        <v/>
      </c>
      <c r="B19510" s="87"/>
      <c r="C19510" s="87"/>
      <c r="D19510" s="87"/>
      <c r="E19510" s="87"/>
      <c r="F19510" s="87"/>
      <c r="G19510" s="87"/>
    </row>
    <row r="19511">
      <c r="A19511" s="86" t="str">
        <f>IFERROR(__xludf.DUMMYFUNCTION("""COMPUTED_VALUE"""),"")</f>
        <v/>
      </c>
      <c r="B19511" s="87"/>
      <c r="C19511" s="87"/>
      <c r="D19511" s="87"/>
      <c r="E19511" s="87"/>
      <c r="F19511" s="87"/>
      <c r="G19511" s="87"/>
    </row>
    <row r="19512">
      <c r="A19512" s="86" t="str">
        <f>IFERROR(__xludf.DUMMYFUNCTION("""COMPUTED_VALUE"""),"")</f>
        <v/>
      </c>
      <c r="B19512" s="87"/>
      <c r="C19512" s="87"/>
      <c r="D19512" s="87"/>
      <c r="E19512" s="87"/>
      <c r="F19512" s="87"/>
      <c r="G19512" s="87"/>
    </row>
    <row r="19513">
      <c r="A19513" s="86" t="str">
        <f>IFERROR(__xludf.DUMMYFUNCTION("""COMPUTED_VALUE"""),"")</f>
        <v/>
      </c>
      <c r="B19513" s="87"/>
      <c r="C19513" s="87"/>
      <c r="D19513" s="87"/>
      <c r="E19513" s="87"/>
      <c r="F19513" s="87"/>
      <c r="G19513" s="87"/>
    </row>
    <row r="19514">
      <c r="A19514" s="86" t="str">
        <f>IFERROR(__xludf.DUMMYFUNCTION("""COMPUTED_VALUE"""),"")</f>
        <v/>
      </c>
      <c r="B19514" s="87"/>
      <c r="C19514" s="87"/>
      <c r="D19514" s="87"/>
      <c r="E19514" s="87"/>
      <c r="F19514" s="87"/>
      <c r="G19514" s="87"/>
    </row>
    <row r="19515">
      <c r="A19515" s="86" t="str">
        <f>IFERROR(__xludf.DUMMYFUNCTION("""COMPUTED_VALUE"""),"")</f>
        <v/>
      </c>
      <c r="B19515" s="87"/>
      <c r="C19515" s="87"/>
      <c r="D19515" s="87"/>
      <c r="E19515" s="87"/>
      <c r="F19515" s="87"/>
      <c r="G19515" s="87"/>
    </row>
    <row r="19516">
      <c r="A19516" s="86" t="str">
        <f>IFERROR(__xludf.DUMMYFUNCTION("""COMPUTED_VALUE"""),"")</f>
        <v/>
      </c>
      <c r="B19516" s="87"/>
      <c r="C19516" s="87"/>
      <c r="D19516" s="87"/>
      <c r="E19516" s="87"/>
      <c r="F19516" s="87"/>
      <c r="G19516" s="87"/>
    </row>
    <row r="19517">
      <c r="A19517" s="86" t="str">
        <f>IFERROR(__xludf.DUMMYFUNCTION("""COMPUTED_VALUE"""),"")</f>
        <v/>
      </c>
      <c r="B19517" s="87"/>
      <c r="C19517" s="87"/>
      <c r="D19517" s="87"/>
      <c r="E19517" s="87"/>
      <c r="F19517" s="87"/>
      <c r="G19517" s="87"/>
    </row>
    <row r="19518">
      <c r="A19518" s="86" t="str">
        <f>IFERROR(__xludf.DUMMYFUNCTION("""COMPUTED_VALUE"""),"")</f>
        <v/>
      </c>
      <c r="B19518" s="87"/>
      <c r="C19518" s="87"/>
      <c r="D19518" s="87"/>
      <c r="E19518" s="87"/>
      <c r="F19518" s="87"/>
      <c r="G19518" s="87"/>
    </row>
    <row r="19519">
      <c r="A19519" s="86" t="str">
        <f>IFERROR(__xludf.DUMMYFUNCTION("""COMPUTED_VALUE"""),"")</f>
        <v/>
      </c>
      <c r="B19519" s="87"/>
      <c r="C19519" s="87"/>
      <c r="D19519" s="87"/>
      <c r="E19519" s="87"/>
      <c r="F19519" s="87"/>
      <c r="G19519" s="87"/>
    </row>
    <row r="19520">
      <c r="A19520" s="86" t="str">
        <f>IFERROR(__xludf.DUMMYFUNCTION("""COMPUTED_VALUE"""),"")</f>
        <v/>
      </c>
      <c r="B19520" s="87"/>
      <c r="C19520" s="87"/>
      <c r="D19520" s="87"/>
      <c r="E19520" s="87"/>
      <c r="F19520" s="87"/>
      <c r="G19520" s="87"/>
    </row>
    <row r="19521">
      <c r="A19521" s="86" t="str">
        <f>IFERROR(__xludf.DUMMYFUNCTION("""COMPUTED_VALUE"""),"")</f>
        <v/>
      </c>
      <c r="B19521" s="87"/>
      <c r="C19521" s="87"/>
      <c r="D19521" s="87"/>
      <c r="E19521" s="87"/>
      <c r="F19521" s="87"/>
      <c r="G19521" s="87"/>
    </row>
    <row r="19522">
      <c r="A19522" s="86" t="str">
        <f>IFERROR(__xludf.DUMMYFUNCTION("""COMPUTED_VALUE"""),"")</f>
        <v/>
      </c>
      <c r="B19522" s="87"/>
      <c r="C19522" s="87"/>
      <c r="D19522" s="87"/>
      <c r="E19522" s="87"/>
      <c r="F19522" s="87"/>
      <c r="G19522" s="87"/>
    </row>
    <row r="19523">
      <c r="A19523" s="86" t="str">
        <f>IFERROR(__xludf.DUMMYFUNCTION("""COMPUTED_VALUE"""),"")</f>
        <v/>
      </c>
      <c r="B19523" s="87"/>
      <c r="C19523" s="87"/>
      <c r="D19523" s="87"/>
      <c r="E19523" s="87"/>
      <c r="F19523" s="87"/>
      <c r="G19523" s="87"/>
    </row>
    <row r="19524">
      <c r="A19524" s="86" t="str">
        <f>IFERROR(__xludf.DUMMYFUNCTION("""COMPUTED_VALUE"""),"")</f>
        <v/>
      </c>
      <c r="B19524" s="87"/>
      <c r="C19524" s="87"/>
      <c r="D19524" s="87"/>
      <c r="E19524" s="87"/>
      <c r="F19524" s="87"/>
      <c r="G19524" s="87"/>
    </row>
    <row r="19525">
      <c r="A19525" s="86" t="str">
        <f>IFERROR(__xludf.DUMMYFUNCTION("""COMPUTED_VALUE"""),"")</f>
        <v/>
      </c>
      <c r="B19525" s="87"/>
      <c r="C19525" s="87"/>
      <c r="D19525" s="87"/>
      <c r="E19525" s="87"/>
      <c r="F19525" s="87"/>
      <c r="G19525" s="87"/>
    </row>
    <row r="19526">
      <c r="A19526" s="86" t="str">
        <f>IFERROR(__xludf.DUMMYFUNCTION("""COMPUTED_VALUE"""),"")</f>
        <v/>
      </c>
      <c r="B19526" s="87"/>
      <c r="C19526" s="87"/>
      <c r="D19526" s="87"/>
      <c r="E19526" s="87"/>
      <c r="F19526" s="87"/>
      <c r="G19526" s="87"/>
    </row>
    <row r="19527">
      <c r="A19527" s="86" t="str">
        <f>IFERROR(__xludf.DUMMYFUNCTION("""COMPUTED_VALUE"""),"")</f>
        <v/>
      </c>
      <c r="B19527" s="87"/>
      <c r="C19527" s="87"/>
      <c r="D19527" s="87"/>
      <c r="E19527" s="87"/>
      <c r="F19527" s="87"/>
      <c r="G19527" s="87"/>
    </row>
    <row r="19528">
      <c r="A19528" s="86" t="str">
        <f>IFERROR(__xludf.DUMMYFUNCTION("""COMPUTED_VALUE"""),"")</f>
        <v/>
      </c>
      <c r="B19528" s="87"/>
      <c r="C19528" s="87"/>
      <c r="D19528" s="87"/>
      <c r="E19528" s="87"/>
      <c r="F19528" s="87"/>
      <c r="G19528" s="87"/>
    </row>
    <row r="19529">
      <c r="A19529" s="86" t="str">
        <f>IFERROR(__xludf.DUMMYFUNCTION("""COMPUTED_VALUE"""),"")</f>
        <v/>
      </c>
      <c r="B19529" s="87"/>
      <c r="C19529" s="87"/>
      <c r="D19529" s="87"/>
      <c r="E19529" s="87"/>
      <c r="F19529" s="87"/>
      <c r="G19529" s="87"/>
    </row>
    <row r="19530">
      <c r="A19530" s="86" t="str">
        <f>IFERROR(__xludf.DUMMYFUNCTION("""COMPUTED_VALUE"""),"")</f>
        <v/>
      </c>
      <c r="B19530" s="87"/>
      <c r="C19530" s="87"/>
      <c r="D19530" s="87"/>
      <c r="E19530" s="87"/>
      <c r="F19530" s="87"/>
      <c r="G19530" s="87"/>
    </row>
    <row r="19531">
      <c r="A19531" s="86" t="str">
        <f>IFERROR(__xludf.DUMMYFUNCTION("""COMPUTED_VALUE"""),"")</f>
        <v/>
      </c>
      <c r="B19531" s="87"/>
      <c r="C19531" s="87"/>
      <c r="D19531" s="87"/>
      <c r="E19531" s="87"/>
      <c r="F19531" s="87"/>
      <c r="G19531" s="87"/>
    </row>
    <row r="19532">
      <c r="A19532" s="86" t="str">
        <f>IFERROR(__xludf.DUMMYFUNCTION("""COMPUTED_VALUE"""),"")</f>
        <v/>
      </c>
      <c r="B19532" s="87"/>
      <c r="C19532" s="87"/>
      <c r="D19532" s="87"/>
      <c r="E19532" s="87"/>
      <c r="F19532" s="87"/>
      <c r="G19532" s="87"/>
    </row>
    <row r="19533">
      <c r="A19533" s="86" t="str">
        <f>IFERROR(__xludf.DUMMYFUNCTION("""COMPUTED_VALUE"""),"")</f>
        <v/>
      </c>
      <c r="B19533" s="87"/>
      <c r="C19533" s="87"/>
      <c r="D19533" s="87"/>
      <c r="E19533" s="87"/>
      <c r="F19533" s="87"/>
      <c r="G19533" s="87"/>
    </row>
    <row r="19534">
      <c r="A19534" s="86" t="str">
        <f>IFERROR(__xludf.DUMMYFUNCTION("""COMPUTED_VALUE"""),"")</f>
        <v/>
      </c>
      <c r="B19534" s="87"/>
      <c r="C19534" s="87"/>
      <c r="D19534" s="87"/>
      <c r="E19534" s="87"/>
      <c r="F19534" s="87"/>
      <c r="G19534" s="87"/>
    </row>
    <row r="19535">
      <c r="A19535" s="86" t="str">
        <f>IFERROR(__xludf.DUMMYFUNCTION("""COMPUTED_VALUE"""),"")</f>
        <v/>
      </c>
      <c r="B19535" s="87"/>
      <c r="C19535" s="87"/>
      <c r="D19535" s="87"/>
      <c r="E19535" s="87"/>
      <c r="F19535" s="87"/>
      <c r="G19535" s="87"/>
    </row>
    <row r="19536">
      <c r="A19536" s="86" t="str">
        <f>IFERROR(__xludf.DUMMYFUNCTION("""COMPUTED_VALUE"""),"")</f>
        <v/>
      </c>
      <c r="B19536" s="87"/>
      <c r="C19536" s="87"/>
      <c r="D19536" s="87"/>
      <c r="E19536" s="87"/>
      <c r="F19536" s="87"/>
      <c r="G19536" s="87"/>
    </row>
    <row r="19537">
      <c r="A19537" s="86" t="str">
        <f>IFERROR(__xludf.DUMMYFUNCTION("""COMPUTED_VALUE"""),"")</f>
        <v/>
      </c>
      <c r="B19537" s="87"/>
      <c r="C19537" s="87"/>
      <c r="D19537" s="87"/>
      <c r="E19537" s="87"/>
      <c r="F19537" s="87"/>
      <c r="G19537" s="87"/>
    </row>
    <row r="19538">
      <c r="A19538" s="86" t="str">
        <f>IFERROR(__xludf.DUMMYFUNCTION("""COMPUTED_VALUE"""),"")</f>
        <v/>
      </c>
      <c r="B19538" s="87"/>
      <c r="C19538" s="87"/>
      <c r="D19538" s="87"/>
      <c r="E19538" s="87"/>
      <c r="F19538" s="87"/>
      <c r="G19538" s="87"/>
    </row>
    <row r="19539">
      <c r="A19539" s="86" t="str">
        <f>IFERROR(__xludf.DUMMYFUNCTION("""COMPUTED_VALUE"""),"")</f>
        <v/>
      </c>
      <c r="B19539" s="87"/>
      <c r="C19539" s="87"/>
      <c r="D19539" s="87"/>
      <c r="E19539" s="87"/>
      <c r="F19539" s="87"/>
      <c r="G19539" s="87"/>
    </row>
    <row r="19540">
      <c r="A19540" s="86" t="str">
        <f>IFERROR(__xludf.DUMMYFUNCTION("""COMPUTED_VALUE"""),"")</f>
        <v/>
      </c>
      <c r="B19540" s="87"/>
      <c r="C19540" s="87"/>
      <c r="D19540" s="87"/>
      <c r="E19540" s="87"/>
      <c r="F19540" s="87"/>
      <c r="G19540" s="87"/>
    </row>
    <row r="19541">
      <c r="A19541" s="86" t="str">
        <f>IFERROR(__xludf.DUMMYFUNCTION("""COMPUTED_VALUE"""),"")</f>
        <v/>
      </c>
      <c r="B19541" s="87"/>
      <c r="C19541" s="87"/>
      <c r="D19541" s="87"/>
      <c r="E19541" s="87"/>
      <c r="F19541" s="87"/>
      <c r="G19541" s="87"/>
    </row>
    <row r="19542">
      <c r="A19542" s="86" t="str">
        <f>IFERROR(__xludf.DUMMYFUNCTION("""COMPUTED_VALUE"""),"")</f>
        <v/>
      </c>
      <c r="B19542" s="87"/>
      <c r="C19542" s="87"/>
      <c r="D19542" s="87"/>
      <c r="E19542" s="87"/>
      <c r="F19542" s="87"/>
      <c r="G19542" s="87"/>
    </row>
    <row r="19543">
      <c r="A19543" s="86" t="str">
        <f>IFERROR(__xludf.DUMMYFUNCTION("""COMPUTED_VALUE"""),"")</f>
        <v/>
      </c>
      <c r="B19543" s="87"/>
      <c r="C19543" s="87"/>
      <c r="D19543" s="87"/>
      <c r="E19543" s="87"/>
      <c r="F19543" s="87"/>
      <c r="G19543" s="87"/>
    </row>
    <row r="19544">
      <c r="A19544" s="86" t="str">
        <f>IFERROR(__xludf.DUMMYFUNCTION("""COMPUTED_VALUE"""),"")</f>
        <v/>
      </c>
      <c r="B19544" s="87"/>
      <c r="C19544" s="87"/>
      <c r="D19544" s="87"/>
      <c r="E19544" s="87"/>
      <c r="F19544" s="87"/>
      <c r="G19544" s="87"/>
    </row>
    <row r="19545">
      <c r="A19545" s="86" t="str">
        <f>IFERROR(__xludf.DUMMYFUNCTION("""COMPUTED_VALUE"""),"")</f>
        <v/>
      </c>
      <c r="B19545" s="87"/>
      <c r="C19545" s="87"/>
      <c r="D19545" s="87"/>
      <c r="E19545" s="87"/>
      <c r="F19545" s="87"/>
      <c r="G19545" s="87"/>
    </row>
    <row r="19546">
      <c r="A19546" s="86" t="str">
        <f>IFERROR(__xludf.DUMMYFUNCTION("""COMPUTED_VALUE"""),"")</f>
        <v/>
      </c>
      <c r="B19546" s="87"/>
      <c r="C19546" s="87"/>
      <c r="D19546" s="87"/>
      <c r="E19546" s="87"/>
      <c r="F19546" s="87"/>
      <c r="G19546" s="87"/>
    </row>
    <row r="19547">
      <c r="A19547" s="86" t="str">
        <f>IFERROR(__xludf.DUMMYFUNCTION("""COMPUTED_VALUE"""),"")</f>
        <v/>
      </c>
      <c r="B19547" s="87"/>
      <c r="C19547" s="87"/>
      <c r="D19547" s="87"/>
      <c r="E19547" s="87"/>
      <c r="F19547" s="87"/>
      <c r="G19547" s="87"/>
    </row>
    <row r="19548">
      <c r="A19548" s="86" t="str">
        <f>IFERROR(__xludf.DUMMYFUNCTION("""COMPUTED_VALUE"""),"")</f>
        <v/>
      </c>
      <c r="B19548" s="87"/>
      <c r="C19548" s="87"/>
      <c r="D19548" s="87"/>
      <c r="E19548" s="87"/>
      <c r="F19548" s="87"/>
      <c r="G19548" s="87"/>
    </row>
    <row r="19549">
      <c r="A19549" s="86" t="str">
        <f>IFERROR(__xludf.DUMMYFUNCTION("""COMPUTED_VALUE"""),"")</f>
        <v/>
      </c>
      <c r="B19549" s="87"/>
      <c r="C19549" s="87"/>
      <c r="D19549" s="87"/>
      <c r="E19549" s="87"/>
      <c r="F19549" s="87"/>
      <c r="G19549" s="87"/>
    </row>
    <row r="19550">
      <c r="A19550" s="86" t="str">
        <f>IFERROR(__xludf.DUMMYFUNCTION("""COMPUTED_VALUE"""),"")</f>
        <v/>
      </c>
      <c r="B19550" s="87"/>
      <c r="C19550" s="87"/>
      <c r="D19550" s="87"/>
      <c r="E19550" s="87"/>
      <c r="F19550" s="87"/>
      <c r="G19550" s="87"/>
    </row>
    <row r="19551">
      <c r="A19551" s="86" t="str">
        <f>IFERROR(__xludf.DUMMYFUNCTION("""COMPUTED_VALUE"""),"")</f>
        <v/>
      </c>
      <c r="B19551" s="87"/>
      <c r="C19551" s="87"/>
      <c r="D19551" s="87"/>
      <c r="E19551" s="87"/>
      <c r="F19551" s="87"/>
      <c r="G19551" s="87"/>
    </row>
    <row r="19552">
      <c r="A19552" s="86" t="str">
        <f>IFERROR(__xludf.DUMMYFUNCTION("""COMPUTED_VALUE"""),"")</f>
        <v/>
      </c>
      <c r="B19552" s="87"/>
      <c r="C19552" s="87"/>
      <c r="D19552" s="87"/>
      <c r="E19552" s="87"/>
      <c r="F19552" s="87"/>
      <c r="G19552" s="87"/>
    </row>
    <row r="19553">
      <c r="A19553" s="86" t="str">
        <f>IFERROR(__xludf.DUMMYFUNCTION("""COMPUTED_VALUE"""),"")</f>
        <v/>
      </c>
      <c r="B19553" s="87"/>
      <c r="C19553" s="87"/>
      <c r="D19553" s="87"/>
      <c r="E19553" s="87"/>
      <c r="F19553" s="87"/>
      <c r="G19553" s="87"/>
    </row>
    <row r="19554">
      <c r="A19554" s="86" t="str">
        <f>IFERROR(__xludf.DUMMYFUNCTION("""COMPUTED_VALUE"""),"")</f>
        <v/>
      </c>
      <c r="B19554" s="87"/>
      <c r="C19554" s="87"/>
      <c r="D19554" s="87"/>
      <c r="E19554" s="87"/>
      <c r="F19554" s="87"/>
      <c r="G19554" s="87"/>
    </row>
    <row r="19555">
      <c r="A19555" s="86" t="str">
        <f>IFERROR(__xludf.DUMMYFUNCTION("""COMPUTED_VALUE"""),"")</f>
        <v/>
      </c>
      <c r="B19555" s="87"/>
      <c r="C19555" s="87"/>
      <c r="D19555" s="87"/>
      <c r="E19555" s="87"/>
      <c r="F19555" s="87"/>
      <c r="G19555" s="87"/>
    </row>
    <row r="19556">
      <c r="A19556" s="86" t="str">
        <f>IFERROR(__xludf.DUMMYFUNCTION("""COMPUTED_VALUE"""),"")</f>
        <v/>
      </c>
      <c r="B19556" s="87"/>
      <c r="C19556" s="87"/>
      <c r="D19556" s="87"/>
      <c r="E19556" s="87"/>
      <c r="F19556" s="87"/>
      <c r="G19556" s="87"/>
    </row>
    <row r="19557">
      <c r="A19557" s="86" t="str">
        <f>IFERROR(__xludf.DUMMYFUNCTION("""COMPUTED_VALUE"""),"")</f>
        <v/>
      </c>
      <c r="B19557" s="87"/>
      <c r="C19557" s="87"/>
      <c r="D19557" s="87"/>
      <c r="E19557" s="87"/>
      <c r="F19557" s="87"/>
      <c r="G19557" s="87"/>
    </row>
    <row r="19558">
      <c r="A19558" s="86" t="str">
        <f>IFERROR(__xludf.DUMMYFUNCTION("""COMPUTED_VALUE"""),"")</f>
        <v/>
      </c>
      <c r="B19558" s="87"/>
      <c r="C19558" s="87"/>
      <c r="D19558" s="87"/>
      <c r="E19558" s="87"/>
      <c r="F19558" s="87"/>
      <c r="G19558" s="87"/>
    </row>
    <row r="19559">
      <c r="A19559" s="86" t="str">
        <f>IFERROR(__xludf.DUMMYFUNCTION("""COMPUTED_VALUE"""),"")</f>
        <v/>
      </c>
      <c r="B19559" s="87"/>
      <c r="C19559" s="87"/>
      <c r="D19559" s="87"/>
      <c r="E19559" s="87"/>
      <c r="F19559" s="87"/>
      <c r="G19559" s="87"/>
    </row>
    <row r="19560">
      <c r="A19560" s="86" t="str">
        <f>IFERROR(__xludf.DUMMYFUNCTION("""COMPUTED_VALUE"""),"")</f>
        <v/>
      </c>
      <c r="B19560" s="87"/>
      <c r="C19560" s="87"/>
      <c r="D19560" s="87"/>
      <c r="E19560" s="87"/>
      <c r="F19560" s="87"/>
      <c r="G19560" s="87"/>
    </row>
    <row r="19561">
      <c r="A19561" s="86" t="str">
        <f>IFERROR(__xludf.DUMMYFUNCTION("""COMPUTED_VALUE"""),"")</f>
        <v/>
      </c>
      <c r="B19561" s="87"/>
      <c r="C19561" s="87"/>
      <c r="D19561" s="87"/>
      <c r="E19561" s="87"/>
      <c r="F19561" s="87"/>
      <c r="G19561" s="87"/>
    </row>
    <row r="19562">
      <c r="A19562" s="86" t="str">
        <f>IFERROR(__xludf.DUMMYFUNCTION("""COMPUTED_VALUE"""),"")</f>
        <v/>
      </c>
      <c r="B19562" s="87"/>
      <c r="C19562" s="87"/>
      <c r="D19562" s="87"/>
      <c r="E19562" s="87"/>
      <c r="F19562" s="87"/>
      <c r="G19562" s="87"/>
    </row>
    <row r="19563">
      <c r="A19563" s="86" t="str">
        <f>IFERROR(__xludf.DUMMYFUNCTION("""COMPUTED_VALUE"""),"")</f>
        <v/>
      </c>
      <c r="B19563" s="87"/>
      <c r="C19563" s="87"/>
      <c r="D19563" s="87"/>
      <c r="E19563" s="87"/>
      <c r="F19563" s="87"/>
      <c r="G19563" s="87"/>
    </row>
    <row r="19564">
      <c r="A19564" s="86" t="str">
        <f>IFERROR(__xludf.DUMMYFUNCTION("""COMPUTED_VALUE"""),"")</f>
        <v/>
      </c>
      <c r="B19564" s="87"/>
      <c r="C19564" s="87"/>
      <c r="D19564" s="87"/>
      <c r="E19564" s="87"/>
      <c r="F19564" s="87"/>
      <c r="G19564" s="87"/>
    </row>
    <row r="19565">
      <c r="A19565" s="86" t="str">
        <f>IFERROR(__xludf.DUMMYFUNCTION("""COMPUTED_VALUE"""),"")</f>
        <v/>
      </c>
      <c r="B19565" s="87"/>
      <c r="C19565" s="87"/>
      <c r="D19565" s="87"/>
      <c r="E19565" s="87"/>
      <c r="F19565" s="87"/>
      <c r="G19565" s="87"/>
    </row>
    <row r="19566">
      <c r="A19566" s="86" t="str">
        <f>IFERROR(__xludf.DUMMYFUNCTION("""COMPUTED_VALUE"""),"")</f>
        <v/>
      </c>
      <c r="B19566" s="87"/>
      <c r="C19566" s="87"/>
      <c r="D19566" s="87"/>
      <c r="E19566" s="87"/>
      <c r="F19566" s="87"/>
      <c r="G19566" s="87"/>
    </row>
    <row r="19567">
      <c r="A19567" s="86" t="str">
        <f>IFERROR(__xludf.DUMMYFUNCTION("""COMPUTED_VALUE"""),"")</f>
        <v/>
      </c>
      <c r="B19567" s="87"/>
      <c r="C19567" s="87"/>
      <c r="D19567" s="87"/>
      <c r="E19567" s="87"/>
      <c r="F19567" s="87"/>
      <c r="G19567" s="87"/>
    </row>
    <row r="19568">
      <c r="A19568" s="86" t="str">
        <f>IFERROR(__xludf.DUMMYFUNCTION("""COMPUTED_VALUE"""),"")</f>
        <v/>
      </c>
      <c r="B19568" s="87"/>
      <c r="C19568" s="87"/>
      <c r="D19568" s="87"/>
      <c r="E19568" s="87"/>
      <c r="F19568" s="87"/>
      <c r="G19568" s="87"/>
    </row>
    <row r="19569">
      <c r="A19569" s="86" t="str">
        <f>IFERROR(__xludf.DUMMYFUNCTION("""COMPUTED_VALUE"""),"")</f>
        <v/>
      </c>
      <c r="B19569" s="87"/>
      <c r="C19569" s="87"/>
      <c r="D19569" s="87"/>
      <c r="E19569" s="87"/>
      <c r="F19569" s="87"/>
      <c r="G19569" s="87"/>
    </row>
    <row r="19570">
      <c r="A19570" s="86" t="str">
        <f>IFERROR(__xludf.DUMMYFUNCTION("""COMPUTED_VALUE"""),"")</f>
        <v/>
      </c>
      <c r="B19570" s="87"/>
      <c r="C19570" s="87"/>
      <c r="D19570" s="87"/>
      <c r="E19570" s="87"/>
      <c r="F19570" s="87"/>
      <c r="G19570" s="87"/>
    </row>
    <row r="19571">
      <c r="A19571" s="86" t="str">
        <f>IFERROR(__xludf.DUMMYFUNCTION("""COMPUTED_VALUE"""),"")</f>
        <v/>
      </c>
      <c r="B19571" s="87"/>
      <c r="C19571" s="87"/>
      <c r="D19571" s="87"/>
      <c r="E19571" s="87"/>
      <c r="F19571" s="87"/>
      <c r="G19571" s="87"/>
    </row>
    <row r="19572">
      <c r="A19572" s="86" t="str">
        <f>IFERROR(__xludf.DUMMYFUNCTION("""COMPUTED_VALUE"""),"")</f>
        <v/>
      </c>
      <c r="B19572" s="87"/>
      <c r="C19572" s="87"/>
      <c r="D19572" s="87"/>
      <c r="E19572" s="87"/>
      <c r="F19572" s="87"/>
      <c r="G19572" s="87"/>
    </row>
    <row r="19573">
      <c r="A19573" s="86" t="str">
        <f>IFERROR(__xludf.DUMMYFUNCTION("""COMPUTED_VALUE"""),"")</f>
        <v/>
      </c>
      <c r="B19573" s="87"/>
      <c r="C19573" s="87"/>
      <c r="D19573" s="87"/>
      <c r="E19573" s="87"/>
      <c r="F19573" s="87"/>
      <c r="G19573" s="87"/>
    </row>
    <row r="19574">
      <c r="A19574" s="86" t="str">
        <f>IFERROR(__xludf.DUMMYFUNCTION("""COMPUTED_VALUE"""),"")</f>
        <v/>
      </c>
      <c r="B19574" s="87"/>
      <c r="C19574" s="87"/>
      <c r="D19574" s="87"/>
      <c r="E19574" s="87"/>
      <c r="F19574" s="87"/>
      <c r="G19574" s="87"/>
    </row>
    <row r="19575">
      <c r="A19575" s="86" t="str">
        <f>IFERROR(__xludf.DUMMYFUNCTION("""COMPUTED_VALUE"""),"")</f>
        <v/>
      </c>
      <c r="B19575" s="87"/>
      <c r="C19575" s="87"/>
      <c r="D19575" s="87"/>
      <c r="E19575" s="87"/>
      <c r="F19575" s="87"/>
      <c r="G19575" s="87"/>
    </row>
    <row r="19576">
      <c r="A19576" s="86" t="str">
        <f>IFERROR(__xludf.DUMMYFUNCTION("""COMPUTED_VALUE"""),"")</f>
        <v/>
      </c>
      <c r="B19576" s="87"/>
      <c r="C19576" s="87"/>
      <c r="D19576" s="87"/>
      <c r="E19576" s="87"/>
      <c r="F19576" s="87"/>
      <c r="G19576" s="87"/>
    </row>
    <row r="19577">
      <c r="A19577" s="86" t="str">
        <f>IFERROR(__xludf.DUMMYFUNCTION("""COMPUTED_VALUE"""),"")</f>
        <v/>
      </c>
      <c r="B19577" s="87"/>
      <c r="C19577" s="87"/>
      <c r="D19577" s="87"/>
      <c r="E19577" s="87"/>
      <c r="F19577" s="87"/>
      <c r="G19577" s="87"/>
    </row>
    <row r="19578">
      <c r="A19578" s="86" t="str">
        <f>IFERROR(__xludf.DUMMYFUNCTION("""COMPUTED_VALUE"""),"")</f>
        <v/>
      </c>
      <c r="B19578" s="87"/>
      <c r="C19578" s="87"/>
      <c r="D19578" s="87"/>
      <c r="E19578" s="87"/>
      <c r="F19578" s="87"/>
      <c r="G19578" s="87"/>
    </row>
    <row r="19579">
      <c r="A19579" s="86" t="str">
        <f>IFERROR(__xludf.DUMMYFUNCTION("""COMPUTED_VALUE"""),"")</f>
        <v/>
      </c>
      <c r="B19579" s="87"/>
      <c r="C19579" s="87"/>
      <c r="D19579" s="87"/>
      <c r="E19579" s="87"/>
      <c r="F19579" s="87"/>
      <c r="G19579" s="87"/>
    </row>
    <row r="19580">
      <c r="A19580" s="86" t="str">
        <f>IFERROR(__xludf.DUMMYFUNCTION("""COMPUTED_VALUE"""),"")</f>
        <v/>
      </c>
      <c r="B19580" s="87"/>
      <c r="C19580" s="87"/>
      <c r="D19580" s="87"/>
      <c r="E19580" s="87"/>
      <c r="F19580" s="87"/>
      <c r="G19580" s="87"/>
    </row>
    <row r="19581">
      <c r="A19581" s="86" t="str">
        <f>IFERROR(__xludf.DUMMYFUNCTION("""COMPUTED_VALUE"""),"")</f>
        <v/>
      </c>
      <c r="B19581" s="87"/>
      <c r="C19581" s="87"/>
      <c r="D19581" s="87"/>
      <c r="E19581" s="87"/>
      <c r="F19581" s="87"/>
      <c r="G19581" s="87"/>
    </row>
    <row r="19582">
      <c r="A19582" s="86" t="str">
        <f>IFERROR(__xludf.DUMMYFUNCTION("""COMPUTED_VALUE"""),"")</f>
        <v/>
      </c>
      <c r="B19582" s="87"/>
      <c r="C19582" s="87"/>
      <c r="D19582" s="87"/>
      <c r="E19582" s="87"/>
      <c r="F19582" s="87"/>
      <c r="G19582" s="87"/>
    </row>
    <row r="19583">
      <c r="A19583" s="86" t="str">
        <f>IFERROR(__xludf.DUMMYFUNCTION("""COMPUTED_VALUE"""),"")</f>
        <v/>
      </c>
      <c r="B19583" s="87"/>
      <c r="C19583" s="87"/>
      <c r="D19583" s="87"/>
      <c r="E19583" s="87"/>
      <c r="F19583" s="87"/>
      <c r="G19583" s="87"/>
    </row>
    <row r="19584">
      <c r="A19584" s="86" t="str">
        <f>IFERROR(__xludf.DUMMYFUNCTION("""COMPUTED_VALUE"""),"")</f>
        <v/>
      </c>
      <c r="B19584" s="87"/>
      <c r="C19584" s="87"/>
      <c r="D19584" s="87"/>
      <c r="E19584" s="87"/>
      <c r="F19584" s="87"/>
      <c r="G19584" s="87"/>
    </row>
    <row r="19585">
      <c r="A19585" s="86" t="str">
        <f>IFERROR(__xludf.DUMMYFUNCTION("""COMPUTED_VALUE"""),"")</f>
        <v/>
      </c>
      <c r="B19585" s="87"/>
      <c r="C19585" s="87"/>
      <c r="D19585" s="87"/>
      <c r="E19585" s="87"/>
      <c r="F19585" s="87"/>
      <c r="G19585" s="87"/>
    </row>
    <row r="19586">
      <c r="A19586" s="86" t="str">
        <f>IFERROR(__xludf.DUMMYFUNCTION("""COMPUTED_VALUE"""),"")</f>
        <v/>
      </c>
      <c r="B19586" s="87"/>
      <c r="C19586" s="87"/>
      <c r="D19586" s="87"/>
      <c r="E19586" s="87"/>
      <c r="F19586" s="87"/>
      <c r="G19586" s="87"/>
    </row>
    <row r="19587">
      <c r="A19587" s="86" t="str">
        <f>IFERROR(__xludf.DUMMYFUNCTION("""COMPUTED_VALUE"""),"")</f>
        <v/>
      </c>
      <c r="B19587" s="87"/>
      <c r="C19587" s="87"/>
      <c r="D19587" s="87"/>
      <c r="E19587" s="87"/>
      <c r="F19587" s="87"/>
      <c r="G19587" s="87"/>
    </row>
    <row r="19588">
      <c r="A19588" s="86" t="str">
        <f>IFERROR(__xludf.DUMMYFUNCTION("""COMPUTED_VALUE"""),"")</f>
        <v/>
      </c>
      <c r="B19588" s="87"/>
      <c r="C19588" s="87"/>
      <c r="D19588" s="87"/>
      <c r="E19588" s="87"/>
      <c r="F19588" s="87"/>
      <c r="G19588" s="87"/>
    </row>
    <row r="19589">
      <c r="A19589" s="86" t="str">
        <f>IFERROR(__xludf.DUMMYFUNCTION("""COMPUTED_VALUE"""),"")</f>
        <v/>
      </c>
      <c r="B19589" s="87"/>
      <c r="C19589" s="87"/>
      <c r="D19589" s="87"/>
      <c r="E19589" s="87"/>
      <c r="F19589" s="87"/>
      <c r="G19589" s="87"/>
    </row>
    <row r="19590">
      <c r="A19590" s="86" t="str">
        <f>IFERROR(__xludf.DUMMYFUNCTION("""COMPUTED_VALUE"""),"")</f>
        <v/>
      </c>
      <c r="B19590" s="87"/>
      <c r="C19590" s="87"/>
      <c r="D19590" s="87"/>
      <c r="E19590" s="87"/>
      <c r="F19590" s="87"/>
      <c r="G19590" s="87"/>
    </row>
    <row r="19591">
      <c r="A19591" s="86" t="str">
        <f>IFERROR(__xludf.DUMMYFUNCTION("""COMPUTED_VALUE"""),"")</f>
        <v/>
      </c>
      <c r="B19591" s="87"/>
      <c r="C19591" s="87"/>
      <c r="D19591" s="87"/>
      <c r="E19591" s="87"/>
      <c r="F19591" s="87"/>
      <c r="G19591" s="87"/>
    </row>
    <row r="19592">
      <c r="A19592" s="86" t="str">
        <f>IFERROR(__xludf.DUMMYFUNCTION("""COMPUTED_VALUE"""),"")</f>
        <v/>
      </c>
      <c r="B19592" s="87"/>
      <c r="C19592" s="87"/>
      <c r="D19592" s="87"/>
      <c r="E19592" s="87"/>
      <c r="F19592" s="87"/>
      <c r="G19592" s="87"/>
    </row>
    <row r="19593">
      <c r="A19593" s="86" t="str">
        <f>IFERROR(__xludf.DUMMYFUNCTION("""COMPUTED_VALUE"""),"")</f>
        <v/>
      </c>
      <c r="B19593" s="87"/>
      <c r="C19593" s="87"/>
      <c r="D19593" s="87"/>
      <c r="E19593" s="87"/>
      <c r="F19593" s="87"/>
      <c r="G19593" s="87"/>
    </row>
    <row r="19594">
      <c r="A19594" s="86" t="str">
        <f>IFERROR(__xludf.DUMMYFUNCTION("""COMPUTED_VALUE"""),"")</f>
        <v/>
      </c>
      <c r="B19594" s="87"/>
      <c r="C19594" s="87"/>
      <c r="D19594" s="87"/>
      <c r="E19594" s="87"/>
      <c r="F19594" s="87"/>
      <c r="G19594" s="87"/>
    </row>
    <row r="19595">
      <c r="A19595" s="86" t="str">
        <f>IFERROR(__xludf.DUMMYFUNCTION("""COMPUTED_VALUE"""),"")</f>
        <v/>
      </c>
      <c r="B19595" s="87"/>
      <c r="C19595" s="87"/>
      <c r="D19595" s="87"/>
      <c r="E19595" s="87"/>
      <c r="F19595" s="87"/>
      <c r="G19595" s="87"/>
    </row>
    <row r="19596">
      <c r="A19596" s="86" t="str">
        <f>IFERROR(__xludf.DUMMYFUNCTION("""COMPUTED_VALUE"""),"")</f>
        <v/>
      </c>
      <c r="B19596" s="87"/>
      <c r="C19596" s="87"/>
      <c r="D19596" s="87"/>
      <c r="E19596" s="87"/>
      <c r="F19596" s="87"/>
      <c r="G19596" s="87"/>
    </row>
    <row r="19597">
      <c r="A19597" s="86" t="str">
        <f>IFERROR(__xludf.DUMMYFUNCTION("""COMPUTED_VALUE"""),"")</f>
        <v/>
      </c>
      <c r="B19597" s="87"/>
      <c r="C19597" s="87"/>
      <c r="D19597" s="87"/>
      <c r="E19597" s="87"/>
      <c r="F19597" s="87"/>
      <c r="G19597" s="87"/>
    </row>
    <row r="19598">
      <c r="A19598" s="86" t="str">
        <f>IFERROR(__xludf.DUMMYFUNCTION("""COMPUTED_VALUE"""),"")</f>
        <v/>
      </c>
      <c r="B19598" s="87"/>
      <c r="C19598" s="87"/>
      <c r="D19598" s="87"/>
      <c r="E19598" s="87"/>
      <c r="F19598" s="87"/>
      <c r="G19598" s="87"/>
    </row>
    <row r="19599">
      <c r="A19599" s="86" t="str">
        <f>IFERROR(__xludf.DUMMYFUNCTION("""COMPUTED_VALUE"""),"")</f>
        <v/>
      </c>
      <c r="B19599" s="87"/>
      <c r="C19599" s="87"/>
      <c r="D19599" s="87"/>
      <c r="E19599" s="87"/>
      <c r="F19599" s="87"/>
      <c r="G19599" s="87"/>
    </row>
    <row r="19600">
      <c r="A19600" s="86" t="str">
        <f>IFERROR(__xludf.DUMMYFUNCTION("""COMPUTED_VALUE"""),"")</f>
        <v/>
      </c>
      <c r="B19600" s="87"/>
      <c r="C19600" s="87"/>
      <c r="D19600" s="87"/>
      <c r="E19600" s="87"/>
      <c r="F19600" s="87"/>
      <c r="G19600" s="87"/>
    </row>
    <row r="19601">
      <c r="A19601" s="86" t="str">
        <f>IFERROR(__xludf.DUMMYFUNCTION("""COMPUTED_VALUE"""),"")</f>
        <v/>
      </c>
      <c r="B19601" s="87"/>
      <c r="C19601" s="87"/>
      <c r="D19601" s="87"/>
      <c r="E19601" s="87"/>
      <c r="F19601" s="87"/>
      <c r="G19601" s="87"/>
    </row>
    <row r="19602">
      <c r="A19602" s="86" t="str">
        <f>IFERROR(__xludf.DUMMYFUNCTION("""COMPUTED_VALUE"""),"")</f>
        <v/>
      </c>
      <c r="B19602" s="87"/>
      <c r="C19602" s="87"/>
      <c r="D19602" s="87"/>
      <c r="E19602" s="87"/>
      <c r="F19602" s="87"/>
      <c r="G19602" s="87"/>
    </row>
    <row r="19603">
      <c r="A19603" s="86" t="str">
        <f>IFERROR(__xludf.DUMMYFUNCTION("""COMPUTED_VALUE"""),"")</f>
        <v/>
      </c>
      <c r="B19603" s="87"/>
      <c r="C19603" s="87"/>
      <c r="D19603" s="87"/>
      <c r="E19603" s="87"/>
      <c r="F19603" s="87"/>
      <c r="G19603" s="87"/>
    </row>
    <row r="19604">
      <c r="A19604" s="86" t="str">
        <f>IFERROR(__xludf.DUMMYFUNCTION("""COMPUTED_VALUE"""),"")</f>
        <v/>
      </c>
      <c r="B19604" s="87"/>
      <c r="C19604" s="87"/>
      <c r="D19604" s="87"/>
      <c r="E19604" s="87"/>
      <c r="F19604" s="87"/>
      <c r="G19604" s="87"/>
    </row>
    <row r="19605">
      <c r="A19605" s="86" t="str">
        <f>IFERROR(__xludf.DUMMYFUNCTION("""COMPUTED_VALUE"""),"")</f>
        <v/>
      </c>
      <c r="B19605" s="87"/>
      <c r="C19605" s="87"/>
      <c r="D19605" s="87"/>
      <c r="E19605" s="87"/>
      <c r="F19605" s="87"/>
      <c r="G19605" s="87"/>
    </row>
    <row r="19606">
      <c r="A19606" s="86" t="str">
        <f>IFERROR(__xludf.DUMMYFUNCTION("""COMPUTED_VALUE"""),"")</f>
        <v/>
      </c>
      <c r="B19606" s="87"/>
      <c r="C19606" s="87"/>
      <c r="D19606" s="87"/>
      <c r="E19606" s="87"/>
      <c r="F19606" s="87"/>
      <c r="G19606" s="87"/>
    </row>
    <row r="19607">
      <c r="A19607" s="86" t="str">
        <f>IFERROR(__xludf.DUMMYFUNCTION("""COMPUTED_VALUE"""),"")</f>
        <v/>
      </c>
      <c r="B19607" s="87"/>
      <c r="C19607" s="87"/>
      <c r="D19607" s="87"/>
      <c r="E19607" s="87"/>
      <c r="F19607" s="87"/>
      <c r="G19607" s="87"/>
    </row>
    <row r="19608">
      <c r="A19608" s="86" t="str">
        <f>IFERROR(__xludf.DUMMYFUNCTION("""COMPUTED_VALUE"""),"")</f>
        <v/>
      </c>
      <c r="B19608" s="87"/>
      <c r="C19608" s="87"/>
      <c r="D19608" s="87"/>
      <c r="E19608" s="87"/>
      <c r="F19608" s="87"/>
      <c r="G19608" s="87"/>
    </row>
    <row r="19609">
      <c r="A19609" s="86" t="str">
        <f>IFERROR(__xludf.DUMMYFUNCTION("""COMPUTED_VALUE"""),"")</f>
        <v/>
      </c>
      <c r="B19609" s="87"/>
      <c r="C19609" s="87"/>
      <c r="D19609" s="87"/>
      <c r="E19609" s="87"/>
      <c r="F19609" s="87"/>
      <c r="G19609" s="87"/>
    </row>
    <row r="19610">
      <c r="A19610" s="86" t="str">
        <f>IFERROR(__xludf.DUMMYFUNCTION("""COMPUTED_VALUE"""),"")</f>
        <v/>
      </c>
      <c r="B19610" s="87"/>
      <c r="C19610" s="87"/>
      <c r="D19610" s="87"/>
      <c r="E19610" s="87"/>
      <c r="F19610" s="87"/>
      <c r="G19610" s="87"/>
    </row>
    <row r="19611">
      <c r="A19611" s="86" t="str">
        <f>IFERROR(__xludf.DUMMYFUNCTION("""COMPUTED_VALUE"""),"")</f>
        <v/>
      </c>
      <c r="B19611" s="87"/>
      <c r="C19611" s="87"/>
      <c r="D19611" s="87"/>
      <c r="E19611" s="87"/>
      <c r="F19611" s="87"/>
      <c r="G19611" s="87"/>
    </row>
    <row r="19612">
      <c r="A19612" s="86" t="str">
        <f>IFERROR(__xludf.DUMMYFUNCTION("""COMPUTED_VALUE"""),"")</f>
        <v/>
      </c>
      <c r="B19612" s="87"/>
      <c r="C19612" s="87"/>
      <c r="D19612" s="87"/>
      <c r="E19612" s="87"/>
      <c r="F19612" s="87"/>
      <c r="G19612" s="87"/>
    </row>
    <row r="19613">
      <c r="A19613" s="86" t="str">
        <f>IFERROR(__xludf.DUMMYFUNCTION("""COMPUTED_VALUE"""),"")</f>
        <v/>
      </c>
      <c r="B19613" s="87"/>
      <c r="C19613" s="87"/>
      <c r="D19613" s="87"/>
      <c r="E19613" s="87"/>
      <c r="F19613" s="87"/>
      <c r="G19613" s="87"/>
    </row>
    <row r="19614">
      <c r="A19614" s="86" t="str">
        <f>IFERROR(__xludf.DUMMYFUNCTION("""COMPUTED_VALUE"""),"")</f>
        <v/>
      </c>
      <c r="B19614" s="87"/>
      <c r="C19614" s="87"/>
      <c r="D19614" s="87"/>
      <c r="E19614" s="87"/>
      <c r="F19614" s="87"/>
      <c r="G19614" s="87"/>
    </row>
    <row r="19615">
      <c r="A19615" s="86" t="str">
        <f>IFERROR(__xludf.DUMMYFUNCTION("""COMPUTED_VALUE"""),"")</f>
        <v/>
      </c>
      <c r="B19615" s="87"/>
      <c r="C19615" s="87"/>
      <c r="D19615" s="87"/>
      <c r="E19615" s="87"/>
      <c r="F19615" s="87"/>
      <c r="G19615" s="87"/>
    </row>
    <row r="19616">
      <c r="A19616" s="86" t="str">
        <f>IFERROR(__xludf.DUMMYFUNCTION("""COMPUTED_VALUE"""),"")</f>
        <v/>
      </c>
      <c r="B19616" s="87"/>
      <c r="C19616" s="87"/>
      <c r="D19616" s="87"/>
      <c r="E19616" s="87"/>
      <c r="F19616" s="87"/>
      <c r="G19616" s="87"/>
    </row>
    <row r="19617">
      <c r="A19617" s="86" t="str">
        <f>IFERROR(__xludf.DUMMYFUNCTION("""COMPUTED_VALUE"""),"")</f>
        <v/>
      </c>
      <c r="B19617" s="87"/>
      <c r="C19617" s="87"/>
      <c r="D19617" s="87"/>
      <c r="E19617" s="87"/>
      <c r="F19617" s="87"/>
      <c r="G19617" s="87"/>
    </row>
    <row r="19618">
      <c r="A19618" s="86" t="str">
        <f>IFERROR(__xludf.DUMMYFUNCTION("""COMPUTED_VALUE"""),"")</f>
        <v/>
      </c>
      <c r="B19618" s="87"/>
      <c r="C19618" s="87"/>
      <c r="D19618" s="87"/>
      <c r="E19618" s="87"/>
      <c r="F19618" s="87"/>
      <c r="G19618" s="87"/>
    </row>
    <row r="19619">
      <c r="A19619" s="86" t="str">
        <f>IFERROR(__xludf.DUMMYFUNCTION("""COMPUTED_VALUE"""),"")</f>
        <v/>
      </c>
      <c r="B19619" s="87"/>
      <c r="C19619" s="87"/>
      <c r="D19619" s="87"/>
      <c r="E19619" s="87"/>
      <c r="F19619" s="87"/>
      <c r="G19619" s="87"/>
    </row>
    <row r="19620">
      <c r="A19620" s="86" t="str">
        <f>IFERROR(__xludf.DUMMYFUNCTION("""COMPUTED_VALUE"""),"")</f>
        <v/>
      </c>
      <c r="B19620" s="87"/>
      <c r="C19620" s="87"/>
      <c r="D19620" s="87"/>
      <c r="E19620" s="87"/>
      <c r="F19620" s="87"/>
      <c r="G19620" s="87"/>
    </row>
    <row r="19621">
      <c r="A19621" s="86" t="str">
        <f>IFERROR(__xludf.DUMMYFUNCTION("""COMPUTED_VALUE"""),"")</f>
        <v/>
      </c>
      <c r="B19621" s="87"/>
      <c r="C19621" s="87"/>
      <c r="D19621" s="87"/>
      <c r="E19621" s="87"/>
      <c r="F19621" s="87"/>
      <c r="G19621" s="87"/>
    </row>
    <row r="19622">
      <c r="A19622" s="86" t="str">
        <f>IFERROR(__xludf.DUMMYFUNCTION("""COMPUTED_VALUE"""),"")</f>
        <v/>
      </c>
      <c r="B19622" s="87"/>
      <c r="C19622" s="87"/>
      <c r="D19622" s="87"/>
      <c r="E19622" s="87"/>
      <c r="F19622" s="87"/>
      <c r="G19622" s="87"/>
    </row>
    <row r="19623">
      <c r="A19623" s="86" t="str">
        <f>IFERROR(__xludf.DUMMYFUNCTION("""COMPUTED_VALUE"""),"")</f>
        <v/>
      </c>
      <c r="B19623" s="87"/>
      <c r="C19623" s="87"/>
      <c r="D19623" s="87"/>
      <c r="E19623" s="87"/>
      <c r="F19623" s="87"/>
      <c r="G19623" s="87"/>
    </row>
    <row r="19624">
      <c r="A19624" s="86" t="str">
        <f>IFERROR(__xludf.DUMMYFUNCTION("""COMPUTED_VALUE"""),"")</f>
        <v/>
      </c>
      <c r="B19624" s="87"/>
      <c r="C19624" s="87"/>
      <c r="D19624" s="87"/>
      <c r="E19624" s="87"/>
      <c r="F19624" s="87"/>
      <c r="G19624" s="87"/>
    </row>
    <row r="19625">
      <c r="A19625" s="86" t="str">
        <f>IFERROR(__xludf.DUMMYFUNCTION("""COMPUTED_VALUE"""),"")</f>
        <v/>
      </c>
      <c r="B19625" s="87"/>
      <c r="C19625" s="87"/>
      <c r="D19625" s="87"/>
      <c r="E19625" s="87"/>
      <c r="F19625" s="87"/>
      <c r="G19625" s="87"/>
    </row>
    <row r="19626">
      <c r="A19626" s="86" t="str">
        <f>IFERROR(__xludf.DUMMYFUNCTION("""COMPUTED_VALUE"""),"")</f>
        <v/>
      </c>
      <c r="B19626" s="87"/>
      <c r="C19626" s="87"/>
      <c r="D19626" s="87"/>
      <c r="E19626" s="87"/>
      <c r="F19626" s="87"/>
      <c r="G19626" s="87"/>
    </row>
    <row r="19627">
      <c r="A19627" s="86" t="str">
        <f>IFERROR(__xludf.DUMMYFUNCTION("""COMPUTED_VALUE"""),"")</f>
        <v/>
      </c>
      <c r="B19627" s="87"/>
      <c r="C19627" s="87"/>
      <c r="D19627" s="87"/>
      <c r="E19627" s="87"/>
      <c r="F19627" s="87"/>
      <c r="G19627" s="87"/>
    </row>
    <row r="19628">
      <c r="A19628" s="86" t="str">
        <f>IFERROR(__xludf.DUMMYFUNCTION("""COMPUTED_VALUE"""),"")</f>
        <v/>
      </c>
      <c r="B19628" s="87"/>
      <c r="C19628" s="87"/>
      <c r="D19628" s="87"/>
      <c r="E19628" s="87"/>
      <c r="F19628" s="87"/>
      <c r="G19628" s="87"/>
    </row>
    <row r="19629">
      <c r="A19629" s="86" t="str">
        <f>IFERROR(__xludf.DUMMYFUNCTION("""COMPUTED_VALUE"""),"")</f>
        <v/>
      </c>
      <c r="B19629" s="87"/>
      <c r="C19629" s="87"/>
      <c r="D19629" s="87"/>
      <c r="E19629" s="87"/>
      <c r="F19629" s="87"/>
      <c r="G19629" s="87"/>
    </row>
    <row r="19630">
      <c r="A19630" s="86" t="str">
        <f>IFERROR(__xludf.DUMMYFUNCTION("""COMPUTED_VALUE"""),"")</f>
        <v/>
      </c>
      <c r="B19630" s="87"/>
      <c r="C19630" s="87"/>
      <c r="D19630" s="87"/>
      <c r="E19630" s="87"/>
      <c r="F19630" s="87"/>
      <c r="G19630" s="87"/>
    </row>
    <row r="19631">
      <c r="A19631" s="86" t="str">
        <f>IFERROR(__xludf.DUMMYFUNCTION("""COMPUTED_VALUE"""),"")</f>
        <v/>
      </c>
      <c r="B19631" s="87"/>
      <c r="C19631" s="87"/>
      <c r="D19631" s="87"/>
      <c r="E19631" s="87"/>
      <c r="F19631" s="87"/>
      <c r="G19631" s="87"/>
    </row>
    <row r="19632">
      <c r="A19632" s="86" t="str">
        <f>IFERROR(__xludf.DUMMYFUNCTION("""COMPUTED_VALUE"""),"")</f>
        <v/>
      </c>
      <c r="B19632" s="87"/>
      <c r="C19632" s="87"/>
      <c r="D19632" s="87"/>
      <c r="E19632" s="87"/>
      <c r="F19632" s="87"/>
      <c r="G19632" s="87"/>
    </row>
    <row r="19633">
      <c r="A19633" s="86" t="str">
        <f>IFERROR(__xludf.DUMMYFUNCTION("""COMPUTED_VALUE"""),"")</f>
        <v/>
      </c>
      <c r="B19633" s="87"/>
      <c r="C19633" s="87"/>
      <c r="D19633" s="87"/>
      <c r="E19633" s="87"/>
      <c r="F19633" s="87"/>
      <c r="G19633" s="87"/>
    </row>
    <row r="19634">
      <c r="A19634" s="86" t="str">
        <f>IFERROR(__xludf.DUMMYFUNCTION("""COMPUTED_VALUE"""),"")</f>
        <v/>
      </c>
      <c r="B19634" s="87"/>
      <c r="C19634" s="87"/>
      <c r="D19634" s="87"/>
      <c r="E19634" s="87"/>
      <c r="F19634" s="87"/>
      <c r="G19634" s="87"/>
    </row>
    <row r="19635">
      <c r="A19635" s="86" t="str">
        <f>IFERROR(__xludf.DUMMYFUNCTION("""COMPUTED_VALUE"""),"")</f>
        <v/>
      </c>
      <c r="B19635" s="87"/>
      <c r="C19635" s="87"/>
      <c r="D19635" s="87"/>
      <c r="E19635" s="87"/>
      <c r="F19635" s="87"/>
      <c r="G19635" s="87"/>
    </row>
    <row r="19636">
      <c r="A19636" s="86" t="str">
        <f>IFERROR(__xludf.DUMMYFUNCTION("""COMPUTED_VALUE"""),"")</f>
        <v/>
      </c>
      <c r="B19636" s="87"/>
      <c r="C19636" s="87"/>
      <c r="D19636" s="87"/>
      <c r="E19636" s="87"/>
      <c r="F19636" s="87"/>
      <c r="G19636" s="87"/>
    </row>
    <row r="19637">
      <c r="A19637" s="86" t="str">
        <f>IFERROR(__xludf.DUMMYFUNCTION("""COMPUTED_VALUE"""),"")</f>
        <v/>
      </c>
      <c r="B19637" s="87"/>
      <c r="C19637" s="87"/>
      <c r="D19637" s="87"/>
      <c r="E19637" s="87"/>
      <c r="F19637" s="87"/>
      <c r="G19637" s="87"/>
    </row>
    <row r="19638">
      <c r="A19638" s="86" t="str">
        <f>IFERROR(__xludf.DUMMYFUNCTION("""COMPUTED_VALUE"""),"")</f>
        <v/>
      </c>
      <c r="B19638" s="87"/>
      <c r="C19638" s="87"/>
      <c r="D19638" s="87"/>
      <c r="E19638" s="87"/>
      <c r="F19638" s="87"/>
      <c r="G19638" s="87"/>
    </row>
    <row r="19639">
      <c r="A19639" s="86" t="str">
        <f>IFERROR(__xludf.DUMMYFUNCTION("""COMPUTED_VALUE"""),"")</f>
        <v/>
      </c>
      <c r="B19639" s="87"/>
      <c r="C19639" s="87"/>
      <c r="D19639" s="87"/>
      <c r="E19639" s="87"/>
      <c r="F19639" s="87"/>
      <c r="G19639" s="87"/>
    </row>
    <row r="19640">
      <c r="A19640" s="86" t="str">
        <f>IFERROR(__xludf.DUMMYFUNCTION("""COMPUTED_VALUE"""),"")</f>
        <v/>
      </c>
      <c r="B19640" s="87"/>
      <c r="C19640" s="87"/>
      <c r="D19640" s="87"/>
      <c r="E19640" s="87"/>
      <c r="F19640" s="87"/>
      <c r="G19640" s="87"/>
    </row>
    <row r="19641">
      <c r="A19641" s="86" t="str">
        <f>IFERROR(__xludf.DUMMYFUNCTION("""COMPUTED_VALUE"""),"")</f>
        <v/>
      </c>
      <c r="B19641" s="87"/>
      <c r="C19641" s="87"/>
      <c r="D19641" s="87"/>
      <c r="E19641" s="87"/>
      <c r="F19641" s="87"/>
      <c r="G19641" s="87"/>
    </row>
    <row r="19642">
      <c r="A19642" s="86" t="str">
        <f>IFERROR(__xludf.DUMMYFUNCTION("""COMPUTED_VALUE"""),"")</f>
        <v/>
      </c>
      <c r="B19642" s="87"/>
      <c r="C19642" s="87"/>
      <c r="D19642" s="87"/>
      <c r="E19642" s="87"/>
      <c r="F19642" s="87"/>
      <c r="G19642" s="87"/>
    </row>
    <row r="19643">
      <c r="A19643" s="86" t="str">
        <f>IFERROR(__xludf.DUMMYFUNCTION("""COMPUTED_VALUE"""),"")</f>
        <v/>
      </c>
      <c r="B19643" s="87"/>
      <c r="C19643" s="87"/>
      <c r="D19643" s="87"/>
      <c r="E19643" s="87"/>
      <c r="F19643" s="87"/>
      <c r="G19643" s="87"/>
    </row>
    <row r="19644">
      <c r="A19644" s="86" t="str">
        <f>IFERROR(__xludf.DUMMYFUNCTION("""COMPUTED_VALUE"""),"")</f>
        <v/>
      </c>
      <c r="B19644" s="87"/>
      <c r="C19644" s="87"/>
      <c r="D19644" s="87"/>
      <c r="E19644" s="87"/>
      <c r="F19644" s="87"/>
      <c r="G19644" s="87"/>
    </row>
    <row r="19645">
      <c r="A19645" s="86" t="str">
        <f>IFERROR(__xludf.DUMMYFUNCTION("""COMPUTED_VALUE"""),"")</f>
        <v/>
      </c>
      <c r="B19645" s="87"/>
      <c r="C19645" s="87"/>
      <c r="D19645" s="87"/>
      <c r="E19645" s="87"/>
      <c r="F19645" s="87"/>
      <c r="G19645" s="87"/>
    </row>
    <row r="19646">
      <c r="A19646" s="86" t="str">
        <f>IFERROR(__xludf.DUMMYFUNCTION("""COMPUTED_VALUE"""),"")</f>
        <v/>
      </c>
      <c r="B19646" s="87"/>
      <c r="C19646" s="87"/>
      <c r="D19646" s="87"/>
      <c r="E19646" s="87"/>
      <c r="F19646" s="87"/>
      <c r="G19646" s="87"/>
    </row>
    <row r="19647">
      <c r="A19647" s="86" t="str">
        <f>IFERROR(__xludf.DUMMYFUNCTION("""COMPUTED_VALUE"""),"")</f>
        <v/>
      </c>
      <c r="B19647" s="87"/>
      <c r="C19647" s="87"/>
      <c r="D19647" s="87"/>
      <c r="E19647" s="87"/>
      <c r="F19647" s="87"/>
      <c r="G19647" s="87"/>
    </row>
    <row r="19648">
      <c r="A19648" s="86" t="str">
        <f>IFERROR(__xludf.DUMMYFUNCTION("""COMPUTED_VALUE"""),"")</f>
        <v/>
      </c>
      <c r="B19648" s="87"/>
      <c r="C19648" s="87"/>
      <c r="D19648" s="87"/>
      <c r="E19648" s="87"/>
      <c r="F19648" s="87"/>
      <c r="G19648" s="87"/>
    </row>
    <row r="19649">
      <c r="A19649" s="86" t="str">
        <f>IFERROR(__xludf.DUMMYFUNCTION("""COMPUTED_VALUE"""),"")</f>
        <v/>
      </c>
      <c r="B19649" s="87"/>
      <c r="C19649" s="87"/>
      <c r="D19649" s="87"/>
      <c r="E19649" s="87"/>
      <c r="F19649" s="87"/>
      <c r="G19649" s="87"/>
    </row>
    <row r="19650">
      <c r="A19650" s="86" t="str">
        <f>IFERROR(__xludf.DUMMYFUNCTION("""COMPUTED_VALUE"""),"")</f>
        <v/>
      </c>
      <c r="B19650" s="87"/>
      <c r="C19650" s="87"/>
      <c r="D19650" s="87"/>
      <c r="E19650" s="87"/>
      <c r="F19650" s="87"/>
      <c r="G19650" s="87"/>
    </row>
    <row r="19651">
      <c r="A19651" s="86" t="str">
        <f>IFERROR(__xludf.DUMMYFUNCTION("""COMPUTED_VALUE"""),"")</f>
        <v/>
      </c>
      <c r="B19651" s="87"/>
      <c r="C19651" s="87"/>
      <c r="D19651" s="87"/>
      <c r="E19651" s="87"/>
      <c r="F19651" s="87"/>
      <c r="G19651" s="87"/>
    </row>
    <row r="19652">
      <c r="A19652" s="86" t="str">
        <f>IFERROR(__xludf.DUMMYFUNCTION("""COMPUTED_VALUE"""),"")</f>
        <v/>
      </c>
      <c r="B19652" s="87"/>
      <c r="C19652" s="87"/>
      <c r="D19652" s="87"/>
      <c r="E19652" s="87"/>
      <c r="F19652" s="87"/>
      <c r="G19652" s="87"/>
    </row>
    <row r="19653">
      <c r="A19653" s="86" t="str">
        <f>IFERROR(__xludf.DUMMYFUNCTION("""COMPUTED_VALUE"""),"")</f>
        <v/>
      </c>
      <c r="B19653" s="87"/>
      <c r="C19653" s="87"/>
      <c r="D19653" s="87"/>
      <c r="E19653" s="87"/>
      <c r="F19653" s="87"/>
      <c r="G19653" s="87"/>
    </row>
    <row r="19654">
      <c r="A19654" s="86" t="str">
        <f>IFERROR(__xludf.DUMMYFUNCTION("""COMPUTED_VALUE"""),"")</f>
        <v/>
      </c>
      <c r="B19654" s="87"/>
      <c r="C19654" s="87"/>
      <c r="D19654" s="87"/>
      <c r="E19654" s="87"/>
      <c r="F19654" s="87"/>
      <c r="G19654" s="87"/>
    </row>
    <row r="19655">
      <c r="A19655" s="86" t="str">
        <f>IFERROR(__xludf.DUMMYFUNCTION("""COMPUTED_VALUE"""),"")</f>
        <v/>
      </c>
      <c r="B19655" s="87"/>
      <c r="C19655" s="87"/>
      <c r="D19655" s="87"/>
      <c r="E19655" s="87"/>
      <c r="F19655" s="87"/>
      <c r="G19655" s="87"/>
    </row>
    <row r="19656">
      <c r="A19656" s="86" t="str">
        <f>IFERROR(__xludf.DUMMYFUNCTION("""COMPUTED_VALUE"""),"")</f>
        <v/>
      </c>
      <c r="B19656" s="87"/>
      <c r="C19656" s="87"/>
      <c r="D19656" s="87"/>
      <c r="E19656" s="87"/>
      <c r="F19656" s="87"/>
      <c r="G19656" s="87"/>
    </row>
    <row r="19657">
      <c r="A19657" s="86" t="str">
        <f>IFERROR(__xludf.DUMMYFUNCTION("""COMPUTED_VALUE"""),"")</f>
        <v/>
      </c>
      <c r="B19657" s="87"/>
      <c r="C19657" s="87"/>
      <c r="D19657" s="87"/>
      <c r="E19657" s="87"/>
      <c r="F19657" s="87"/>
      <c r="G19657" s="87"/>
    </row>
    <row r="19658">
      <c r="A19658" s="86" t="str">
        <f>IFERROR(__xludf.DUMMYFUNCTION("""COMPUTED_VALUE"""),"")</f>
        <v/>
      </c>
      <c r="B19658" s="87"/>
      <c r="C19658" s="87"/>
      <c r="D19658" s="87"/>
      <c r="E19658" s="87"/>
      <c r="F19658" s="87"/>
      <c r="G19658" s="87"/>
    </row>
    <row r="19659">
      <c r="A19659" s="86" t="str">
        <f>IFERROR(__xludf.DUMMYFUNCTION("""COMPUTED_VALUE"""),"")</f>
        <v/>
      </c>
      <c r="B19659" s="87"/>
      <c r="C19659" s="87"/>
      <c r="D19659" s="87"/>
      <c r="E19659" s="87"/>
      <c r="F19659" s="87"/>
      <c r="G19659" s="87"/>
    </row>
    <row r="19660">
      <c r="A19660" s="86" t="str">
        <f>IFERROR(__xludf.DUMMYFUNCTION("""COMPUTED_VALUE"""),"")</f>
        <v/>
      </c>
      <c r="B19660" s="87"/>
      <c r="C19660" s="87"/>
      <c r="D19660" s="87"/>
      <c r="E19660" s="87"/>
      <c r="F19660" s="87"/>
      <c r="G19660" s="87"/>
    </row>
    <row r="19661">
      <c r="A19661" s="86" t="str">
        <f>IFERROR(__xludf.DUMMYFUNCTION("""COMPUTED_VALUE"""),"")</f>
        <v/>
      </c>
      <c r="B19661" s="87"/>
      <c r="C19661" s="87"/>
      <c r="D19661" s="87"/>
      <c r="E19661" s="87"/>
      <c r="F19661" s="87"/>
      <c r="G19661" s="87"/>
    </row>
    <row r="19662">
      <c r="A19662" s="86" t="str">
        <f>IFERROR(__xludf.DUMMYFUNCTION("""COMPUTED_VALUE"""),"")</f>
        <v/>
      </c>
      <c r="B19662" s="87"/>
      <c r="C19662" s="87"/>
      <c r="D19662" s="87"/>
      <c r="E19662" s="87"/>
      <c r="F19662" s="87"/>
      <c r="G19662" s="87"/>
    </row>
    <row r="19663">
      <c r="A19663" s="86" t="str">
        <f>IFERROR(__xludf.DUMMYFUNCTION("""COMPUTED_VALUE"""),"")</f>
        <v/>
      </c>
      <c r="B19663" s="87"/>
      <c r="C19663" s="87"/>
      <c r="D19663" s="87"/>
      <c r="E19663" s="87"/>
      <c r="F19663" s="87"/>
      <c r="G19663" s="87"/>
    </row>
    <row r="19664">
      <c r="A19664" s="86" t="str">
        <f>IFERROR(__xludf.DUMMYFUNCTION("""COMPUTED_VALUE"""),"")</f>
        <v/>
      </c>
      <c r="B19664" s="87"/>
      <c r="C19664" s="87"/>
      <c r="D19664" s="87"/>
      <c r="E19664" s="87"/>
      <c r="F19664" s="87"/>
      <c r="G19664" s="87"/>
    </row>
    <row r="19665">
      <c r="A19665" s="86" t="str">
        <f>IFERROR(__xludf.DUMMYFUNCTION("""COMPUTED_VALUE"""),"")</f>
        <v/>
      </c>
      <c r="B19665" s="87"/>
      <c r="C19665" s="87"/>
      <c r="D19665" s="87"/>
      <c r="E19665" s="87"/>
      <c r="F19665" s="87"/>
      <c r="G19665" s="87"/>
    </row>
    <row r="19666">
      <c r="A19666" s="86" t="str">
        <f>IFERROR(__xludf.DUMMYFUNCTION("""COMPUTED_VALUE"""),"")</f>
        <v/>
      </c>
      <c r="B19666" s="87"/>
      <c r="C19666" s="87"/>
      <c r="D19666" s="87"/>
      <c r="E19666" s="87"/>
      <c r="F19666" s="87"/>
      <c r="G19666" s="87"/>
    </row>
    <row r="19667">
      <c r="A19667" s="86" t="str">
        <f>IFERROR(__xludf.DUMMYFUNCTION("""COMPUTED_VALUE"""),"")</f>
        <v/>
      </c>
      <c r="B19667" s="87"/>
      <c r="C19667" s="87"/>
      <c r="D19667" s="87"/>
      <c r="E19667" s="87"/>
      <c r="F19667" s="87"/>
      <c r="G19667" s="87"/>
    </row>
    <row r="19668">
      <c r="A19668" s="86" t="str">
        <f>IFERROR(__xludf.DUMMYFUNCTION("""COMPUTED_VALUE"""),"")</f>
        <v/>
      </c>
      <c r="B19668" s="87"/>
      <c r="C19668" s="87"/>
      <c r="D19668" s="87"/>
      <c r="E19668" s="87"/>
      <c r="F19668" s="87"/>
      <c r="G19668" s="87"/>
    </row>
    <row r="19669">
      <c r="A19669" s="86" t="str">
        <f>IFERROR(__xludf.DUMMYFUNCTION("""COMPUTED_VALUE"""),"")</f>
        <v/>
      </c>
      <c r="B19669" s="87"/>
      <c r="C19669" s="87"/>
      <c r="D19669" s="87"/>
      <c r="E19669" s="87"/>
      <c r="F19669" s="87"/>
      <c r="G19669" s="87"/>
    </row>
    <row r="19670">
      <c r="A19670" s="86" t="str">
        <f>IFERROR(__xludf.DUMMYFUNCTION("""COMPUTED_VALUE"""),"")</f>
        <v/>
      </c>
      <c r="B19670" s="87"/>
      <c r="C19670" s="87"/>
      <c r="D19670" s="87"/>
      <c r="E19670" s="87"/>
      <c r="F19670" s="87"/>
      <c r="G19670" s="87"/>
    </row>
    <row r="19671">
      <c r="A19671" s="86" t="str">
        <f>IFERROR(__xludf.DUMMYFUNCTION("""COMPUTED_VALUE"""),"")</f>
        <v/>
      </c>
      <c r="B19671" s="87"/>
      <c r="C19671" s="87"/>
      <c r="D19671" s="87"/>
      <c r="E19671" s="87"/>
      <c r="F19671" s="87"/>
      <c r="G19671" s="87"/>
    </row>
    <row r="19672">
      <c r="A19672" s="86" t="str">
        <f>IFERROR(__xludf.DUMMYFUNCTION("""COMPUTED_VALUE"""),"")</f>
        <v/>
      </c>
      <c r="B19672" s="87"/>
      <c r="C19672" s="87"/>
      <c r="D19672" s="87"/>
      <c r="E19672" s="87"/>
      <c r="F19672" s="87"/>
      <c r="G19672" s="87"/>
    </row>
    <row r="19673">
      <c r="A19673" s="86" t="str">
        <f>IFERROR(__xludf.DUMMYFUNCTION("""COMPUTED_VALUE"""),"")</f>
        <v/>
      </c>
      <c r="B19673" s="87"/>
      <c r="C19673" s="87"/>
      <c r="D19673" s="87"/>
      <c r="E19673" s="87"/>
      <c r="F19673" s="87"/>
      <c r="G19673" s="87"/>
    </row>
    <row r="19674">
      <c r="A19674" s="86" t="str">
        <f>IFERROR(__xludf.DUMMYFUNCTION("""COMPUTED_VALUE"""),"")</f>
        <v/>
      </c>
      <c r="B19674" s="87"/>
      <c r="C19674" s="87"/>
      <c r="D19674" s="87"/>
      <c r="E19674" s="87"/>
      <c r="F19674" s="87"/>
      <c r="G19674" s="87"/>
    </row>
    <row r="19675">
      <c r="A19675" s="86" t="str">
        <f>IFERROR(__xludf.DUMMYFUNCTION("""COMPUTED_VALUE"""),"")</f>
        <v/>
      </c>
      <c r="B19675" s="87"/>
      <c r="C19675" s="87"/>
      <c r="D19675" s="87"/>
      <c r="E19675" s="87"/>
      <c r="F19675" s="87"/>
      <c r="G19675" s="87"/>
    </row>
    <row r="19676">
      <c r="A19676" s="86" t="str">
        <f>IFERROR(__xludf.DUMMYFUNCTION("""COMPUTED_VALUE"""),"")</f>
        <v/>
      </c>
      <c r="B19676" s="87"/>
      <c r="C19676" s="87"/>
      <c r="D19676" s="87"/>
      <c r="E19676" s="87"/>
      <c r="F19676" s="87"/>
      <c r="G19676" s="87"/>
    </row>
    <row r="19677">
      <c r="A19677" s="86" t="str">
        <f>IFERROR(__xludf.DUMMYFUNCTION("""COMPUTED_VALUE"""),"")</f>
        <v/>
      </c>
      <c r="B19677" s="87"/>
      <c r="C19677" s="87"/>
      <c r="D19677" s="87"/>
      <c r="E19677" s="87"/>
      <c r="F19677" s="87"/>
      <c r="G19677" s="87"/>
    </row>
    <row r="19678">
      <c r="A19678" s="86" t="str">
        <f>IFERROR(__xludf.DUMMYFUNCTION("""COMPUTED_VALUE"""),"")</f>
        <v/>
      </c>
      <c r="B19678" s="87"/>
      <c r="C19678" s="87"/>
      <c r="D19678" s="87"/>
      <c r="E19678" s="87"/>
      <c r="F19678" s="87"/>
      <c r="G19678" s="87"/>
    </row>
    <row r="19679">
      <c r="A19679" s="86" t="str">
        <f>IFERROR(__xludf.DUMMYFUNCTION("""COMPUTED_VALUE"""),"")</f>
        <v/>
      </c>
      <c r="B19679" s="87"/>
      <c r="C19679" s="87"/>
      <c r="D19679" s="87"/>
      <c r="E19679" s="87"/>
      <c r="F19679" s="87"/>
      <c r="G19679" s="87"/>
    </row>
    <row r="19680">
      <c r="A19680" s="86" t="str">
        <f>IFERROR(__xludf.DUMMYFUNCTION("""COMPUTED_VALUE"""),"")</f>
        <v/>
      </c>
      <c r="B19680" s="87"/>
      <c r="C19680" s="87"/>
      <c r="D19680" s="87"/>
      <c r="E19680" s="87"/>
      <c r="F19680" s="87"/>
      <c r="G19680" s="87"/>
    </row>
    <row r="19681">
      <c r="A19681" s="86" t="str">
        <f>IFERROR(__xludf.DUMMYFUNCTION("""COMPUTED_VALUE"""),"")</f>
        <v/>
      </c>
      <c r="B19681" s="87"/>
      <c r="C19681" s="87"/>
      <c r="D19681" s="87"/>
      <c r="E19681" s="87"/>
      <c r="F19681" s="87"/>
      <c r="G19681" s="87"/>
    </row>
    <row r="19682">
      <c r="A19682" s="86" t="str">
        <f>IFERROR(__xludf.DUMMYFUNCTION("""COMPUTED_VALUE"""),"")</f>
        <v/>
      </c>
      <c r="B19682" s="87"/>
      <c r="C19682" s="87"/>
      <c r="D19682" s="87"/>
      <c r="E19682" s="87"/>
      <c r="F19682" s="87"/>
      <c r="G19682" s="87"/>
    </row>
    <row r="19683">
      <c r="A19683" s="86" t="str">
        <f>IFERROR(__xludf.DUMMYFUNCTION("""COMPUTED_VALUE"""),"")</f>
        <v/>
      </c>
      <c r="B19683" s="87"/>
      <c r="C19683" s="87"/>
      <c r="D19683" s="87"/>
      <c r="E19683" s="87"/>
      <c r="F19683" s="87"/>
      <c r="G19683" s="87"/>
    </row>
    <row r="19684">
      <c r="A19684" s="86" t="str">
        <f>IFERROR(__xludf.DUMMYFUNCTION("""COMPUTED_VALUE"""),"")</f>
        <v/>
      </c>
      <c r="B19684" s="87"/>
      <c r="C19684" s="87"/>
      <c r="D19684" s="87"/>
      <c r="E19684" s="87"/>
      <c r="F19684" s="87"/>
      <c r="G19684" s="87"/>
    </row>
    <row r="19685">
      <c r="A19685" s="86" t="str">
        <f>IFERROR(__xludf.DUMMYFUNCTION("""COMPUTED_VALUE"""),"")</f>
        <v/>
      </c>
      <c r="B19685" s="87"/>
      <c r="C19685" s="87"/>
      <c r="D19685" s="87"/>
      <c r="E19685" s="87"/>
      <c r="F19685" s="87"/>
      <c r="G19685" s="87"/>
    </row>
    <row r="19686">
      <c r="A19686" s="86" t="str">
        <f>IFERROR(__xludf.DUMMYFUNCTION("""COMPUTED_VALUE"""),"")</f>
        <v/>
      </c>
      <c r="B19686" s="87"/>
      <c r="C19686" s="87"/>
      <c r="D19686" s="87"/>
      <c r="E19686" s="87"/>
      <c r="F19686" s="87"/>
      <c r="G19686" s="87"/>
    </row>
    <row r="19687">
      <c r="A19687" s="86" t="str">
        <f>IFERROR(__xludf.DUMMYFUNCTION("""COMPUTED_VALUE"""),"")</f>
        <v/>
      </c>
      <c r="B19687" s="87"/>
      <c r="C19687" s="87"/>
      <c r="D19687" s="87"/>
      <c r="E19687" s="87"/>
      <c r="F19687" s="87"/>
      <c r="G19687" s="87"/>
    </row>
    <row r="19688">
      <c r="A19688" s="86" t="str">
        <f>IFERROR(__xludf.DUMMYFUNCTION("""COMPUTED_VALUE"""),"")</f>
        <v/>
      </c>
      <c r="B19688" s="87"/>
      <c r="C19688" s="87"/>
      <c r="D19688" s="87"/>
      <c r="E19688" s="87"/>
      <c r="F19688" s="87"/>
      <c r="G19688" s="87"/>
    </row>
    <row r="19689">
      <c r="A19689" s="86" t="str">
        <f>IFERROR(__xludf.DUMMYFUNCTION("""COMPUTED_VALUE"""),"")</f>
        <v/>
      </c>
      <c r="B19689" s="87"/>
      <c r="C19689" s="87"/>
      <c r="D19689" s="87"/>
      <c r="E19689" s="87"/>
      <c r="F19689" s="87"/>
      <c r="G19689" s="87"/>
    </row>
    <row r="19690">
      <c r="A19690" s="86" t="str">
        <f>IFERROR(__xludf.DUMMYFUNCTION("""COMPUTED_VALUE"""),"")</f>
        <v/>
      </c>
      <c r="B19690" s="87"/>
      <c r="C19690" s="87"/>
      <c r="D19690" s="87"/>
      <c r="E19690" s="87"/>
      <c r="F19690" s="87"/>
      <c r="G19690" s="87"/>
    </row>
    <row r="19691">
      <c r="A19691" s="86" t="str">
        <f>IFERROR(__xludf.DUMMYFUNCTION("""COMPUTED_VALUE"""),"")</f>
        <v/>
      </c>
      <c r="B19691" s="87"/>
      <c r="C19691" s="87"/>
      <c r="D19691" s="87"/>
      <c r="E19691" s="87"/>
      <c r="F19691" s="87"/>
      <c r="G19691" s="87"/>
    </row>
    <row r="19692">
      <c r="A19692" s="86" t="str">
        <f>IFERROR(__xludf.DUMMYFUNCTION("""COMPUTED_VALUE"""),"")</f>
        <v/>
      </c>
      <c r="B19692" s="87"/>
      <c r="C19692" s="87"/>
      <c r="D19692" s="87"/>
      <c r="E19692" s="87"/>
      <c r="F19692" s="87"/>
      <c r="G19692" s="87"/>
    </row>
    <row r="19693">
      <c r="A19693" s="86" t="str">
        <f>IFERROR(__xludf.DUMMYFUNCTION("""COMPUTED_VALUE"""),"")</f>
        <v/>
      </c>
      <c r="B19693" s="87"/>
      <c r="C19693" s="87"/>
      <c r="D19693" s="87"/>
      <c r="E19693" s="87"/>
      <c r="F19693" s="87"/>
      <c r="G19693" s="87"/>
    </row>
    <row r="19694">
      <c r="A19694" s="86" t="str">
        <f>IFERROR(__xludf.DUMMYFUNCTION("""COMPUTED_VALUE"""),"")</f>
        <v/>
      </c>
      <c r="B19694" s="87"/>
      <c r="C19694" s="87"/>
      <c r="D19694" s="87"/>
      <c r="E19694" s="87"/>
      <c r="F19694" s="87"/>
      <c r="G19694" s="87"/>
    </row>
    <row r="19695">
      <c r="A19695" s="86" t="str">
        <f>IFERROR(__xludf.DUMMYFUNCTION("""COMPUTED_VALUE"""),"")</f>
        <v/>
      </c>
      <c r="B19695" s="87"/>
      <c r="C19695" s="87"/>
      <c r="D19695" s="87"/>
      <c r="E19695" s="87"/>
      <c r="F19695" s="87"/>
      <c r="G19695" s="87"/>
    </row>
    <row r="19696">
      <c r="A19696" s="86" t="str">
        <f>IFERROR(__xludf.DUMMYFUNCTION("""COMPUTED_VALUE"""),"")</f>
        <v/>
      </c>
      <c r="B19696" s="87"/>
      <c r="C19696" s="87"/>
      <c r="D19696" s="87"/>
      <c r="E19696" s="87"/>
      <c r="F19696" s="87"/>
      <c r="G19696" s="87"/>
    </row>
    <row r="19697">
      <c r="A19697" s="86" t="str">
        <f>IFERROR(__xludf.DUMMYFUNCTION("""COMPUTED_VALUE"""),"")</f>
        <v/>
      </c>
      <c r="B19697" s="87"/>
      <c r="C19697" s="87"/>
      <c r="D19697" s="87"/>
      <c r="E19697" s="87"/>
      <c r="F19697" s="87"/>
      <c r="G19697" s="87"/>
    </row>
    <row r="19698">
      <c r="A19698" s="86" t="str">
        <f>IFERROR(__xludf.DUMMYFUNCTION("""COMPUTED_VALUE"""),"")</f>
        <v/>
      </c>
      <c r="B19698" s="87"/>
      <c r="C19698" s="87"/>
      <c r="D19698" s="87"/>
      <c r="E19698" s="87"/>
      <c r="F19698" s="87"/>
      <c r="G19698" s="87"/>
    </row>
    <row r="19699">
      <c r="A19699" s="86" t="str">
        <f>IFERROR(__xludf.DUMMYFUNCTION("""COMPUTED_VALUE"""),"")</f>
        <v/>
      </c>
      <c r="B19699" s="87"/>
      <c r="C19699" s="87"/>
      <c r="D19699" s="87"/>
      <c r="E19699" s="87"/>
      <c r="F19699" s="87"/>
      <c r="G19699" s="87"/>
    </row>
    <row r="19700">
      <c r="A19700" s="86" t="str">
        <f>IFERROR(__xludf.DUMMYFUNCTION("""COMPUTED_VALUE"""),"")</f>
        <v/>
      </c>
      <c r="B19700" s="87"/>
      <c r="C19700" s="87"/>
      <c r="D19700" s="87"/>
      <c r="E19700" s="87"/>
      <c r="F19700" s="87"/>
      <c r="G19700" s="87"/>
    </row>
    <row r="19701">
      <c r="A19701" s="86" t="str">
        <f>IFERROR(__xludf.DUMMYFUNCTION("""COMPUTED_VALUE"""),"")</f>
        <v/>
      </c>
      <c r="B19701" s="87"/>
      <c r="C19701" s="87"/>
      <c r="D19701" s="87"/>
      <c r="E19701" s="87"/>
      <c r="F19701" s="87"/>
      <c r="G19701" s="87"/>
    </row>
    <row r="19702">
      <c r="A19702" s="86" t="str">
        <f>IFERROR(__xludf.DUMMYFUNCTION("""COMPUTED_VALUE"""),"")</f>
        <v/>
      </c>
      <c r="B19702" s="87"/>
      <c r="C19702" s="87"/>
      <c r="D19702" s="87"/>
      <c r="E19702" s="87"/>
      <c r="F19702" s="87"/>
      <c r="G19702" s="87"/>
    </row>
    <row r="19703">
      <c r="A19703" s="86" t="str">
        <f>IFERROR(__xludf.DUMMYFUNCTION("""COMPUTED_VALUE"""),"")</f>
        <v/>
      </c>
      <c r="B19703" s="87"/>
      <c r="C19703" s="87"/>
      <c r="D19703" s="87"/>
      <c r="E19703" s="87"/>
      <c r="F19703" s="87"/>
      <c r="G19703" s="87"/>
    </row>
    <row r="19704">
      <c r="A19704" s="86" t="str">
        <f>IFERROR(__xludf.DUMMYFUNCTION("""COMPUTED_VALUE"""),"")</f>
        <v/>
      </c>
      <c r="B19704" s="87"/>
      <c r="C19704" s="87"/>
      <c r="D19704" s="87"/>
      <c r="E19704" s="87"/>
      <c r="F19704" s="87"/>
      <c r="G19704" s="87"/>
    </row>
    <row r="19705">
      <c r="A19705" s="86" t="str">
        <f>IFERROR(__xludf.DUMMYFUNCTION("""COMPUTED_VALUE"""),"")</f>
        <v/>
      </c>
      <c r="B19705" s="87"/>
      <c r="C19705" s="87"/>
      <c r="D19705" s="87"/>
      <c r="E19705" s="87"/>
      <c r="F19705" s="87"/>
      <c r="G19705" s="87"/>
    </row>
    <row r="19706">
      <c r="A19706" s="86" t="str">
        <f>IFERROR(__xludf.DUMMYFUNCTION("""COMPUTED_VALUE"""),"")</f>
        <v/>
      </c>
      <c r="B19706" s="87"/>
      <c r="C19706" s="87"/>
      <c r="D19706" s="87"/>
      <c r="E19706" s="87"/>
      <c r="F19706" s="87"/>
      <c r="G19706" s="87"/>
    </row>
    <row r="19707">
      <c r="A19707" s="86" t="str">
        <f>IFERROR(__xludf.DUMMYFUNCTION("""COMPUTED_VALUE"""),"")</f>
        <v/>
      </c>
      <c r="B19707" s="87"/>
      <c r="C19707" s="87"/>
      <c r="D19707" s="87"/>
      <c r="E19707" s="87"/>
      <c r="F19707" s="87"/>
      <c r="G19707" s="87"/>
    </row>
    <row r="19708">
      <c r="A19708" s="86" t="str">
        <f>IFERROR(__xludf.DUMMYFUNCTION("""COMPUTED_VALUE"""),"")</f>
        <v/>
      </c>
      <c r="B19708" s="87"/>
      <c r="C19708" s="87"/>
      <c r="D19708" s="87"/>
      <c r="E19708" s="87"/>
      <c r="F19708" s="87"/>
      <c r="G19708" s="87"/>
    </row>
    <row r="19709">
      <c r="A19709" s="86" t="str">
        <f>IFERROR(__xludf.DUMMYFUNCTION("""COMPUTED_VALUE"""),"")</f>
        <v/>
      </c>
      <c r="B19709" s="87"/>
      <c r="C19709" s="87"/>
      <c r="D19709" s="87"/>
      <c r="E19709" s="87"/>
      <c r="F19709" s="87"/>
      <c r="G19709" s="87"/>
    </row>
    <row r="19710">
      <c r="A19710" s="86" t="str">
        <f>IFERROR(__xludf.DUMMYFUNCTION("""COMPUTED_VALUE"""),"")</f>
        <v/>
      </c>
      <c r="B19710" s="87"/>
      <c r="C19710" s="87"/>
      <c r="D19710" s="87"/>
      <c r="E19710" s="87"/>
      <c r="F19710" s="87"/>
      <c r="G19710" s="87"/>
    </row>
    <row r="19711">
      <c r="A19711" s="86" t="str">
        <f>IFERROR(__xludf.DUMMYFUNCTION("""COMPUTED_VALUE"""),"")</f>
        <v/>
      </c>
      <c r="B19711" s="87"/>
      <c r="C19711" s="87"/>
      <c r="D19711" s="87"/>
      <c r="E19711" s="87"/>
      <c r="F19711" s="87"/>
      <c r="G19711" s="87"/>
    </row>
    <row r="19712">
      <c r="A19712" s="86" t="str">
        <f>IFERROR(__xludf.DUMMYFUNCTION("""COMPUTED_VALUE"""),"")</f>
        <v/>
      </c>
      <c r="B19712" s="87"/>
      <c r="C19712" s="87"/>
      <c r="D19712" s="87"/>
      <c r="E19712" s="87"/>
      <c r="F19712" s="87"/>
      <c r="G19712" s="87"/>
    </row>
    <row r="19713">
      <c r="A19713" s="86" t="str">
        <f>IFERROR(__xludf.DUMMYFUNCTION("""COMPUTED_VALUE"""),"")</f>
        <v/>
      </c>
      <c r="B19713" s="87"/>
      <c r="C19713" s="87"/>
      <c r="D19713" s="87"/>
      <c r="E19713" s="87"/>
      <c r="F19713" s="87"/>
      <c r="G19713" s="87"/>
    </row>
    <row r="19714">
      <c r="A19714" s="86" t="str">
        <f>IFERROR(__xludf.DUMMYFUNCTION("""COMPUTED_VALUE"""),"")</f>
        <v/>
      </c>
      <c r="B19714" s="87"/>
      <c r="C19714" s="87"/>
      <c r="D19714" s="87"/>
      <c r="E19714" s="87"/>
      <c r="F19714" s="87"/>
      <c r="G19714" s="87"/>
    </row>
    <row r="19715">
      <c r="A19715" s="86" t="str">
        <f>IFERROR(__xludf.DUMMYFUNCTION("""COMPUTED_VALUE"""),"")</f>
        <v/>
      </c>
      <c r="B19715" s="87"/>
      <c r="C19715" s="87"/>
      <c r="D19715" s="87"/>
      <c r="E19715" s="87"/>
      <c r="F19715" s="87"/>
      <c r="G19715" s="87"/>
    </row>
    <row r="19716">
      <c r="A19716" s="86" t="str">
        <f>IFERROR(__xludf.DUMMYFUNCTION("""COMPUTED_VALUE"""),"")</f>
        <v/>
      </c>
      <c r="B19716" s="87"/>
      <c r="C19716" s="87"/>
      <c r="D19716" s="87"/>
      <c r="E19716" s="87"/>
      <c r="F19716" s="87"/>
      <c r="G19716" s="87"/>
    </row>
    <row r="19717">
      <c r="A19717" s="86" t="str">
        <f>IFERROR(__xludf.DUMMYFUNCTION("""COMPUTED_VALUE"""),"")</f>
        <v/>
      </c>
      <c r="B19717" s="87"/>
      <c r="C19717" s="87"/>
      <c r="D19717" s="87"/>
      <c r="E19717" s="87"/>
      <c r="F19717" s="87"/>
      <c r="G19717" s="87"/>
    </row>
    <row r="19718">
      <c r="A19718" s="86" t="str">
        <f>IFERROR(__xludf.DUMMYFUNCTION("""COMPUTED_VALUE"""),"")</f>
        <v/>
      </c>
      <c r="B19718" s="87"/>
      <c r="C19718" s="87"/>
      <c r="D19718" s="87"/>
      <c r="E19718" s="87"/>
      <c r="F19718" s="87"/>
      <c r="G19718" s="87"/>
    </row>
    <row r="19719">
      <c r="A19719" s="86" t="str">
        <f>IFERROR(__xludf.DUMMYFUNCTION("""COMPUTED_VALUE"""),"")</f>
        <v/>
      </c>
      <c r="B19719" s="87"/>
      <c r="C19719" s="87"/>
      <c r="D19719" s="87"/>
      <c r="E19719" s="87"/>
      <c r="F19719" s="87"/>
      <c r="G19719" s="87"/>
    </row>
    <row r="19720">
      <c r="A19720" s="86" t="str">
        <f>IFERROR(__xludf.DUMMYFUNCTION("""COMPUTED_VALUE"""),"")</f>
        <v/>
      </c>
      <c r="B19720" s="87"/>
      <c r="C19720" s="87"/>
      <c r="D19720" s="87"/>
      <c r="E19720" s="87"/>
      <c r="F19720" s="87"/>
      <c r="G19720" s="87"/>
    </row>
    <row r="19721">
      <c r="A19721" s="86" t="str">
        <f>IFERROR(__xludf.DUMMYFUNCTION("""COMPUTED_VALUE"""),"")</f>
        <v/>
      </c>
      <c r="B19721" s="87"/>
      <c r="C19721" s="87"/>
      <c r="D19721" s="87"/>
      <c r="E19721" s="87"/>
      <c r="F19721" s="87"/>
      <c r="G19721" s="87"/>
    </row>
    <row r="19722">
      <c r="A19722" s="86" t="str">
        <f>IFERROR(__xludf.DUMMYFUNCTION("""COMPUTED_VALUE"""),"")</f>
        <v/>
      </c>
      <c r="B19722" s="87"/>
      <c r="C19722" s="87"/>
      <c r="D19722" s="87"/>
      <c r="E19722" s="87"/>
      <c r="F19722" s="87"/>
      <c r="G19722" s="87"/>
    </row>
    <row r="19723">
      <c r="A19723" s="86" t="str">
        <f>IFERROR(__xludf.DUMMYFUNCTION("""COMPUTED_VALUE"""),"")</f>
        <v/>
      </c>
      <c r="B19723" s="87"/>
      <c r="C19723" s="87"/>
      <c r="D19723" s="87"/>
      <c r="E19723" s="87"/>
      <c r="F19723" s="87"/>
      <c r="G19723" s="87"/>
    </row>
    <row r="19724">
      <c r="A19724" s="86" t="str">
        <f>IFERROR(__xludf.DUMMYFUNCTION("""COMPUTED_VALUE"""),"")</f>
        <v/>
      </c>
      <c r="B19724" s="87"/>
      <c r="C19724" s="87"/>
      <c r="D19724" s="87"/>
      <c r="E19724" s="87"/>
      <c r="F19724" s="87"/>
      <c r="G19724" s="87"/>
    </row>
    <row r="19725">
      <c r="A19725" s="86" t="str">
        <f>IFERROR(__xludf.DUMMYFUNCTION("""COMPUTED_VALUE"""),"")</f>
        <v/>
      </c>
      <c r="B19725" s="87"/>
      <c r="C19725" s="87"/>
      <c r="D19725" s="87"/>
      <c r="E19725" s="87"/>
      <c r="F19725" s="87"/>
      <c r="G19725" s="87"/>
    </row>
    <row r="19726">
      <c r="A19726" s="86" t="str">
        <f>IFERROR(__xludf.DUMMYFUNCTION("""COMPUTED_VALUE"""),"")</f>
        <v/>
      </c>
      <c r="B19726" s="87"/>
      <c r="C19726" s="87"/>
      <c r="D19726" s="87"/>
      <c r="E19726" s="87"/>
      <c r="F19726" s="87"/>
      <c r="G19726" s="87"/>
    </row>
    <row r="19727">
      <c r="A19727" s="86" t="str">
        <f>IFERROR(__xludf.DUMMYFUNCTION("""COMPUTED_VALUE"""),"")</f>
        <v/>
      </c>
      <c r="B19727" s="87"/>
      <c r="C19727" s="87"/>
      <c r="D19727" s="87"/>
      <c r="E19727" s="87"/>
      <c r="F19727" s="87"/>
      <c r="G19727" s="87"/>
    </row>
    <row r="19728">
      <c r="A19728" s="86" t="str">
        <f>IFERROR(__xludf.DUMMYFUNCTION("""COMPUTED_VALUE"""),"")</f>
        <v/>
      </c>
      <c r="B19728" s="87"/>
      <c r="C19728" s="87"/>
      <c r="D19728" s="87"/>
      <c r="E19728" s="87"/>
      <c r="F19728" s="87"/>
      <c r="G19728" s="87"/>
    </row>
    <row r="19729">
      <c r="A19729" s="86" t="str">
        <f>IFERROR(__xludf.DUMMYFUNCTION("""COMPUTED_VALUE"""),"")</f>
        <v/>
      </c>
      <c r="B19729" s="87"/>
      <c r="C19729" s="87"/>
      <c r="D19729" s="87"/>
      <c r="E19729" s="87"/>
      <c r="F19729" s="87"/>
      <c r="G19729" s="87"/>
    </row>
    <row r="19730">
      <c r="A19730" s="86" t="str">
        <f>IFERROR(__xludf.DUMMYFUNCTION("""COMPUTED_VALUE"""),"")</f>
        <v/>
      </c>
      <c r="B19730" s="87"/>
      <c r="C19730" s="87"/>
      <c r="D19730" s="87"/>
      <c r="E19730" s="87"/>
      <c r="F19730" s="87"/>
      <c r="G19730" s="87"/>
    </row>
    <row r="19731">
      <c r="A19731" s="86" t="str">
        <f>IFERROR(__xludf.DUMMYFUNCTION("""COMPUTED_VALUE"""),"")</f>
        <v/>
      </c>
      <c r="B19731" s="87"/>
      <c r="C19731" s="87"/>
      <c r="D19731" s="87"/>
      <c r="E19731" s="87"/>
      <c r="F19731" s="87"/>
      <c r="G19731" s="87"/>
    </row>
    <row r="19732">
      <c r="A19732" s="86" t="str">
        <f>IFERROR(__xludf.DUMMYFUNCTION("""COMPUTED_VALUE"""),"")</f>
        <v/>
      </c>
      <c r="B19732" s="87"/>
      <c r="C19732" s="87"/>
      <c r="D19732" s="87"/>
      <c r="E19732" s="87"/>
      <c r="F19732" s="87"/>
      <c r="G19732" s="87"/>
    </row>
    <row r="19733">
      <c r="A19733" s="86" t="str">
        <f>IFERROR(__xludf.DUMMYFUNCTION("""COMPUTED_VALUE"""),"")</f>
        <v/>
      </c>
      <c r="B19733" s="87"/>
      <c r="C19733" s="87"/>
      <c r="D19733" s="87"/>
      <c r="E19733" s="87"/>
      <c r="F19733" s="87"/>
      <c r="G19733" s="87"/>
    </row>
    <row r="19734">
      <c r="A19734" s="86" t="str">
        <f>IFERROR(__xludf.DUMMYFUNCTION("""COMPUTED_VALUE"""),"")</f>
        <v/>
      </c>
      <c r="B19734" s="87"/>
      <c r="C19734" s="87"/>
      <c r="D19734" s="87"/>
      <c r="E19734" s="87"/>
      <c r="F19734" s="87"/>
      <c r="G19734" s="87"/>
    </row>
    <row r="19735">
      <c r="A19735" s="86" t="str">
        <f>IFERROR(__xludf.DUMMYFUNCTION("""COMPUTED_VALUE"""),"")</f>
        <v/>
      </c>
      <c r="B19735" s="87"/>
      <c r="C19735" s="87"/>
      <c r="D19735" s="87"/>
      <c r="E19735" s="87"/>
      <c r="F19735" s="87"/>
      <c r="G19735" s="87"/>
    </row>
    <row r="19736">
      <c r="A19736" s="86" t="str">
        <f>IFERROR(__xludf.DUMMYFUNCTION("""COMPUTED_VALUE"""),"")</f>
        <v/>
      </c>
      <c r="B19736" s="87"/>
      <c r="C19736" s="87"/>
      <c r="D19736" s="87"/>
      <c r="E19736" s="87"/>
      <c r="F19736" s="87"/>
      <c r="G19736" s="87"/>
    </row>
    <row r="19737">
      <c r="A19737" s="86" t="str">
        <f>IFERROR(__xludf.DUMMYFUNCTION("""COMPUTED_VALUE"""),"")</f>
        <v/>
      </c>
      <c r="B19737" s="87"/>
      <c r="C19737" s="87"/>
      <c r="D19737" s="87"/>
      <c r="E19737" s="87"/>
      <c r="F19737" s="87"/>
      <c r="G19737" s="87"/>
    </row>
    <row r="19738">
      <c r="A19738" s="86" t="str">
        <f>IFERROR(__xludf.DUMMYFUNCTION("""COMPUTED_VALUE"""),"")</f>
        <v/>
      </c>
      <c r="B19738" s="87"/>
      <c r="C19738" s="87"/>
      <c r="D19738" s="87"/>
      <c r="E19738" s="87"/>
      <c r="F19738" s="87"/>
      <c r="G19738" s="87"/>
    </row>
    <row r="19739">
      <c r="A19739" s="86" t="str">
        <f>IFERROR(__xludf.DUMMYFUNCTION("""COMPUTED_VALUE"""),"")</f>
        <v/>
      </c>
      <c r="B19739" s="87"/>
      <c r="C19739" s="87"/>
      <c r="D19739" s="87"/>
      <c r="E19739" s="87"/>
      <c r="F19739" s="87"/>
      <c r="G19739" s="87"/>
    </row>
    <row r="19740">
      <c r="A19740" s="86" t="str">
        <f>IFERROR(__xludf.DUMMYFUNCTION("""COMPUTED_VALUE"""),"")</f>
        <v/>
      </c>
      <c r="B19740" s="87"/>
      <c r="C19740" s="87"/>
      <c r="D19740" s="87"/>
      <c r="E19740" s="87"/>
      <c r="F19740" s="87"/>
      <c r="G19740" s="87"/>
    </row>
    <row r="19741">
      <c r="A19741" s="86" t="str">
        <f>IFERROR(__xludf.DUMMYFUNCTION("""COMPUTED_VALUE"""),"")</f>
        <v/>
      </c>
      <c r="B19741" s="87"/>
      <c r="C19741" s="87"/>
      <c r="D19741" s="87"/>
      <c r="E19741" s="87"/>
      <c r="F19741" s="87"/>
      <c r="G19741" s="87"/>
    </row>
    <row r="19742">
      <c r="A19742" s="86" t="str">
        <f>IFERROR(__xludf.DUMMYFUNCTION("""COMPUTED_VALUE"""),"")</f>
        <v/>
      </c>
      <c r="B19742" s="87"/>
      <c r="C19742" s="87"/>
      <c r="D19742" s="87"/>
      <c r="E19742" s="87"/>
      <c r="F19742" s="87"/>
      <c r="G19742" s="87"/>
    </row>
    <row r="19743">
      <c r="A19743" s="86" t="str">
        <f>IFERROR(__xludf.DUMMYFUNCTION("""COMPUTED_VALUE"""),"")</f>
        <v/>
      </c>
      <c r="B19743" s="87"/>
      <c r="C19743" s="87"/>
      <c r="D19743" s="87"/>
      <c r="E19743" s="87"/>
      <c r="F19743" s="87"/>
      <c r="G19743" s="87"/>
    </row>
    <row r="19744">
      <c r="A19744" s="86" t="str">
        <f>IFERROR(__xludf.DUMMYFUNCTION("""COMPUTED_VALUE"""),"")</f>
        <v/>
      </c>
      <c r="B19744" s="87"/>
      <c r="C19744" s="87"/>
      <c r="D19744" s="87"/>
      <c r="E19744" s="87"/>
      <c r="F19744" s="87"/>
      <c r="G19744" s="87"/>
    </row>
    <row r="19745">
      <c r="A19745" s="86" t="str">
        <f>IFERROR(__xludf.DUMMYFUNCTION("""COMPUTED_VALUE"""),"")</f>
        <v/>
      </c>
      <c r="B19745" s="87"/>
      <c r="C19745" s="87"/>
      <c r="D19745" s="87"/>
      <c r="E19745" s="87"/>
      <c r="F19745" s="87"/>
      <c r="G19745" s="87"/>
    </row>
    <row r="19746">
      <c r="A19746" s="86" t="str">
        <f>IFERROR(__xludf.DUMMYFUNCTION("""COMPUTED_VALUE"""),"")</f>
        <v/>
      </c>
      <c r="B19746" s="87"/>
      <c r="C19746" s="87"/>
      <c r="D19746" s="87"/>
      <c r="E19746" s="87"/>
      <c r="F19746" s="87"/>
      <c r="G19746" s="87"/>
    </row>
    <row r="19747">
      <c r="A19747" s="86" t="str">
        <f>IFERROR(__xludf.DUMMYFUNCTION("""COMPUTED_VALUE"""),"")</f>
        <v/>
      </c>
      <c r="B19747" s="87"/>
      <c r="C19747" s="87"/>
      <c r="D19747" s="87"/>
      <c r="E19747" s="87"/>
      <c r="F19747" s="87"/>
      <c r="G19747" s="87"/>
    </row>
    <row r="19748">
      <c r="A19748" s="86" t="str">
        <f>IFERROR(__xludf.DUMMYFUNCTION("""COMPUTED_VALUE"""),"")</f>
        <v/>
      </c>
      <c r="B19748" s="87"/>
      <c r="C19748" s="87"/>
      <c r="D19748" s="87"/>
      <c r="E19748" s="87"/>
      <c r="F19748" s="87"/>
      <c r="G19748" s="87"/>
    </row>
    <row r="19749">
      <c r="A19749" s="86" t="str">
        <f>IFERROR(__xludf.DUMMYFUNCTION("""COMPUTED_VALUE"""),"")</f>
        <v/>
      </c>
      <c r="B19749" s="87"/>
      <c r="C19749" s="87"/>
      <c r="D19749" s="87"/>
      <c r="E19749" s="87"/>
      <c r="F19749" s="87"/>
      <c r="G19749" s="87"/>
    </row>
    <row r="19750">
      <c r="A19750" s="86" t="str">
        <f>IFERROR(__xludf.DUMMYFUNCTION("""COMPUTED_VALUE"""),"")</f>
        <v/>
      </c>
      <c r="B19750" s="87"/>
      <c r="C19750" s="87"/>
      <c r="D19750" s="87"/>
      <c r="E19750" s="87"/>
      <c r="F19750" s="87"/>
      <c r="G19750" s="87"/>
    </row>
    <row r="19751">
      <c r="A19751" s="86" t="str">
        <f>IFERROR(__xludf.DUMMYFUNCTION("""COMPUTED_VALUE"""),"")</f>
        <v/>
      </c>
      <c r="B19751" s="87"/>
      <c r="C19751" s="87"/>
      <c r="D19751" s="87"/>
      <c r="E19751" s="87"/>
      <c r="F19751" s="87"/>
      <c r="G19751" s="87"/>
    </row>
    <row r="19752">
      <c r="A19752" s="86" t="str">
        <f>IFERROR(__xludf.DUMMYFUNCTION("""COMPUTED_VALUE"""),"")</f>
        <v/>
      </c>
      <c r="B19752" s="87"/>
      <c r="C19752" s="87"/>
      <c r="D19752" s="87"/>
      <c r="E19752" s="87"/>
      <c r="F19752" s="87"/>
      <c r="G19752" s="87"/>
    </row>
    <row r="19753">
      <c r="A19753" s="86" t="str">
        <f>IFERROR(__xludf.DUMMYFUNCTION("""COMPUTED_VALUE"""),"")</f>
        <v/>
      </c>
      <c r="B19753" s="87"/>
      <c r="C19753" s="87"/>
      <c r="D19753" s="87"/>
      <c r="E19753" s="87"/>
      <c r="F19753" s="87"/>
      <c r="G19753" s="87"/>
    </row>
    <row r="19754">
      <c r="A19754" s="86" t="str">
        <f>IFERROR(__xludf.DUMMYFUNCTION("""COMPUTED_VALUE"""),"")</f>
        <v/>
      </c>
      <c r="B19754" s="87"/>
      <c r="C19754" s="87"/>
      <c r="D19754" s="87"/>
      <c r="E19754" s="87"/>
      <c r="F19754" s="87"/>
      <c r="G19754" s="87"/>
    </row>
    <row r="19755">
      <c r="A19755" s="86" t="str">
        <f>IFERROR(__xludf.DUMMYFUNCTION("""COMPUTED_VALUE"""),"")</f>
        <v/>
      </c>
      <c r="B19755" s="87"/>
      <c r="C19755" s="87"/>
      <c r="D19755" s="87"/>
      <c r="E19755" s="87"/>
      <c r="F19755" s="87"/>
      <c r="G19755" s="87"/>
    </row>
    <row r="19756">
      <c r="A19756" s="86" t="str">
        <f>IFERROR(__xludf.DUMMYFUNCTION("""COMPUTED_VALUE"""),"")</f>
        <v/>
      </c>
      <c r="B19756" s="87"/>
      <c r="C19756" s="87"/>
      <c r="D19756" s="87"/>
      <c r="E19756" s="87"/>
      <c r="F19756" s="87"/>
      <c r="G19756" s="87"/>
    </row>
    <row r="19757">
      <c r="A19757" s="86" t="str">
        <f>IFERROR(__xludf.DUMMYFUNCTION("""COMPUTED_VALUE"""),"")</f>
        <v/>
      </c>
      <c r="B19757" s="87"/>
      <c r="C19757" s="87"/>
      <c r="D19757" s="87"/>
      <c r="E19757" s="87"/>
      <c r="F19757" s="87"/>
      <c r="G19757" s="87"/>
    </row>
    <row r="19758">
      <c r="A19758" s="86" t="str">
        <f>IFERROR(__xludf.DUMMYFUNCTION("""COMPUTED_VALUE"""),"")</f>
        <v/>
      </c>
      <c r="B19758" s="87"/>
      <c r="C19758" s="87"/>
      <c r="D19758" s="87"/>
      <c r="E19758" s="87"/>
      <c r="F19758" s="87"/>
      <c r="G19758" s="87"/>
    </row>
    <row r="19759">
      <c r="A19759" s="86" t="str">
        <f>IFERROR(__xludf.DUMMYFUNCTION("""COMPUTED_VALUE"""),"")</f>
        <v/>
      </c>
      <c r="B19759" s="87"/>
      <c r="C19759" s="87"/>
      <c r="D19759" s="87"/>
      <c r="E19759" s="87"/>
      <c r="F19759" s="87"/>
      <c r="G19759" s="87"/>
    </row>
    <row r="19760">
      <c r="A19760" s="86" t="str">
        <f>IFERROR(__xludf.DUMMYFUNCTION("""COMPUTED_VALUE"""),"")</f>
        <v/>
      </c>
      <c r="B19760" s="87"/>
      <c r="C19760" s="87"/>
      <c r="D19760" s="87"/>
      <c r="E19760" s="87"/>
      <c r="F19760" s="87"/>
      <c r="G19760" s="87"/>
    </row>
    <row r="19761">
      <c r="A19761" s="86" t="str">
        <f>IFERROR(__xludf.DUMMYFUNCTION("""COMPUTED_VALUE"""),"")</f>
        <v/>
      </c>
      <c r="B19761" s="87"/>
      <c r="C19761" s="87"/>
      <c r="D19761" s="87"/>
      <c r="E19761" s="87"/>
      <c r="F19761" s="87"/>
      <c r="G19761" s="87"/>
    </row>
    <row r="19762">
      <c r="A19762" s="86" t="str">
        <f>IFERROR(__xludf.DUMMYFUNCTION("""COMPUTED_VALUE"""),"")</f>
        <v/>
      </c>
      <c r="B19762" s="87"/>
      <c r="C19762" s="87"/>
      <c r="D19762" s="87"/>
      <c r="E19762" s="87"/>
      <c r="F19762" s="87"/>
      <c r="G19762" s="87"/>
    </row>
    <row r="19763">
      <c r="A19763" s="86" t="str">
        <f>IFERROR(__xludf.DUMMYFUNCTION("""COMPUTED_VALUE"""),"")</f>
        <v/>
      </c>
      <c r="B19763" s="87"/>
      <c r="C19763" s="87"/>
      <c r="D19763" s="87"/>
      <c r="E19763" s="87"/>
      <c r="F19763" s="87"/>
      <c r="G19763" s="87"/>
    </row>
    <row r="19764">
      <c r="A19764" s="86" t="str">
        <f>IFERROR(__xludf.DUMMYFUNCTION("""COMPUTED_VALUE"""),"")</f>
        <v/>
      </c>
      <c r="B19764" s="87"/>
      <c r="C19764" s="87"/>
      <c r="D19764" s="87"/>
      <c r="E19764" s="87"/>
      <c r="F19764" s="87"/>
      <c r="G19764" s="87"/>
    </row>
    <row r="19765">
      <c r="A19765" s="86" t="str">
        <f>IFERROR(__xludf.DUMMYFUNCTION("""COMPUTED_VALUE"""),"")</f>
        <v/>
      </c>
      <c r="B19765" s="87"/>
      <c r="C19765" s="87"/>
      <c r="D19765" s="87"/>
      <c r="E19765" s="87"/>
      <c r="F19765" s="87"/>
      <c r="G19765" s="87"/>
    </row>
    <row r="19766">
      <c r="A19766" s="86" t="str">
        <f>IFERROR(__xludf.DUMMYFUNCTION("""COMPUTED_VALUE"""),"")</f>
        <v/>
      </c>
      <c r="B19766" s="87"/>
      <c r="C19766" s="87"/>
      <c r="D19766" s="87"/>
      <c r="E19766" s="87"/>
      <c r="F19766" s="87"/>
      <c r="G19766" s="87"/>
    </row>
    <row r="19767">
      <c r="A19767" s="86" t="str">
        <f>IFERROR(__xludf.DUMMYFUNCTION("""COMPUTED_VALUE"""),"")</f>
        <v/>
      </c>
      <c r="B19767" s="87"/>
      <c r="C19767" s="87"/>
      <c r="D19767" s="87"/>
      <c r="E19767" s="87"/>
      <c r="F19767" s="87"/>
      <c r="G19767" s="87"/>
    </row>
    <row r="19768">
      <c r="A19768" s="86" t="str">
        <f>IFERROR(__xludf.DUMMYFUNCTION("""COMPUTED_VALUE"""),"")</f>
        <v/>
      </c>
      <c r="B19768" s="87"/>
      <c r="C19768" s="87"/>
      <c r="D19768" s="87"/>
      <c r="E19768" s="87"/>
      <c r="F19768" s="87"/>
      <c r="G19768" s="87"/>
    </row>
    <row r="19769">
      <c r="A19769" s="86" t="str">
        <f>IFERROR(__xludf.DUMMYFUNCTION("""COMPUTED_VALUE"""),"")</f>
        <v/>
      </c>
      <c r="B19769" s="87"/>
      <c r="C19769" s="87"/>
      <c r="D19769" s="87"/>
      <c r="E19769" s="87"/>
      <c r="F19769" s="87"/>
      <c r="G19769" s="87"/>
    </row>
    <row r="19770">
      <c r="A19770" s="86" t="str">
        <f>IFERROR(__xludf.DUMMYFUNCTION("""COMPUTED_VALUE"""),"")</f>
        <v/>
      </c>
      <c r="B19770" s="87"/>
      <c r="C19770" s="87"/>
      <c r="D19770" s="87"/>
      <c r="E19770" s="87"/>
      <c r="F19770" s="87"/>
      <c r="G19770" s="87"/>
    </row>
    <row r="19771">
      <c r="A19771" s="86" t="str">
        <f>IFERROR(__xludf.DUMMYFUNCTION("""COMPUTED_VALUE"""),"")</f>
        <v/>
      </c>
      <c r="B19771" s="87"/>
      <c r="C19771" s="87"/>
      <c r="D19771" s="87"/>
      <c r="E19771" s="87"/>
      <c r="F19771" s="87"/>
      <c r="G19771" s="87"/>
    </row>
    <row r="19772">
      <c r="A19772" s="86" t="str">
        <f>IFERROR(__xludf.DUMMYFUNCTION("""COMPUTED_VALUE"""),"")</f>
        <v/>
      </c>
      <c r="B19772" s="87"/>
      <c r="C19772" s="87"/>
      <c r="D19772" s="87"/>
      <c r="E19772" s="87"/>
      <c r="F19772" s="87"/>
      <c r="G19772" s="87"/>
    </row>
    <row r="19773">
      <c r="A19773" s="86" t="str">
        <f>IFERROR(__xludf.DUMMYFUNCTION("""COMPUTED_VALUE"""),"")</f>
        <v/>
      </c>
      <c r="B19773" s="87"/>
      <c r="C19773" s="87"/>
      <c r="D19773" s="87"/>
      <c r="E19773" s="87"/>
      <c r="F19773" s="87"/>
      <c r="G19773" s="87"/>
    </row>
    <row r="19774">
      <c r="A19774" s="86" t="str">
        <f>IFERROR(__xludf.DUMMYFUNCTION("""COMPUTED_VALUE"""),"")</f>
        <v/>
      </c>
      <c r="B19774" s="87"/>
      <c r="C19774" s="87"/>
      <c r="D19774" s="87"/>
      <c r="E19774" s="87"/>
      <c r="F19774" s="87"/>
      <c r="G19774" s="87"/>
    </row>
    <row r="19775">
      <c r="A19775" s="86" t="str">
        <f>IFERROR(__xludf.DUMMYFUNCTION("""COMPUTED_VALUE"""),"")</f>
        <v/>
      </c>
      <c r="B19775" s="87"/>
      <c r="C19775" s="87"/>
      <c r="D19775" s="87"/>
      <c r="E19775" s="87"/>
      <c r="F19775" s="87"/>
      <c r="G19775" s="87"/>
    </row>
    <row r="19776">
      <c r="A19776" s="86" t="str">
        <f>IFERROR(__xludf.DUMMYFUNCTION("""COMPUTED_VALUE"""),"")</f>
        <v/>
      </c>
      <c r="B19776" s="87"/>
      <c r="C19776" s="87"/>
      <c r="D19776" s="87"/>
      <c r="E19776" s="87"/>
      <c r="F19776" s="87"/>
      <c r="G19776" s="87"/>
    </row>
    <row r="19777">
      <c r="A19777" s="86" t="str">
        <f>IFERROR(__xludf.DUMMYFUNCTION("""COMPUTED_VALUE"""),"")</f>
        <v/>
      </c>
      <c r="B19777" s="87"/>
      <c r="C19777" s="87"/>
      <c r="D19777" s="87"/>
      <c r="E19777" s="87"/>
      <c r="F19777" s="87"/>
      <c r="G19777" s="87"/>
    </row>
    <row r="19778">
      <c r="A19778" s="86" t="str">
        <f>IFERROR(__xludf.DUMMYFUNCTION("""COMPUTED_VALUE"""),"")</f>
        <v/>
      </c>
      <c r="B19778" s="87"/>
      <c r="C19778" s="87"/>
      <c r="D19778" s="87"/>
      <c r="E19778" s="87"/>
      <c r="F19778" s="87"/>
      <c r="G19778" s="87"/>
    </row>
    <row r="19779">
      <c r="A19779" s="86" t="str">
        <f>IFERROR(__xludf.DUMMYFUNCTION("""COMPUTED_VALUE"""),"")</f>
        <v/>
      </c>
      <c r="B19779" s="87"/>
      <c r="C19779" s="87"/>
      <c r="D19779" s="87"/>
      <c r="E19779" s="87"/>
      <c r="F19779" s="87"/>
      <c r="G19779" s="87"/>
    </row>
    <row r="19780">
      <c r="A19780" s="86" t="str">
        <f>IFERROR(__xludf.DUMMYFUNCTION("""COMPUTED_VALUE"""),"")</f>
        <v/>
      </c>
      <c r="B19780" s="87"/>
      <c r="C19780" s="87"/>
      <c r="D19780" s="87"/>
      <c r="E19780" s="87"/>
      <c r="F19780" s="87"/>
      <c r="G19780" s="87"/>
    </row>
    <row r="19781">
      <c r="A19781" s="86" t="str">
        <f>IFERROR(__xludf.DUMMYFUNCTION("""COMPUTED_VALUE"""),"")</f>
        <v/>
      </c>
      <c r="B19781" s="87"/>
      <c r="C19781" s="87"/>
      <c r="D19781" s="87"/>
      <c r="E19781" s="87"/>
      <c r="F19781" s="87"/>
      <c r="G19781" s="87"/>
    </row>
    <row r="19782">
      <c r="A19782" s="86" t="str">
        <f>IFERROR(__xludf.DUMMYFUNCTION("""COMPUTED_VALUE"""),"")</f>
        <v/>
      </c>
      <c r="B19782" s="87"/>
      <c r="C19782" s="87"/>
      <c r="D19782" s="87"/>
      <c r="E19782" s="87"/>
      <c r="F19782" s="87"/>
      <c r="G19782" s="87"/>
    </row>
    <row r="19783">
      <c r="A19783" s="86" t="str">
        <f>IFERROR(__xludf.DUMMYFUNCTION("""COMPUTED_VALUE"""),"")</f>
        <v/>
      </c>
      <c r="B19783" s="87"/>
      <c r="C19783" s="87"/>
      <c r="D19783" s="87"/>
      <c r="E19783" s="87"/>
      <c r="F19783" s="87"/>
      <c r="G19783" s="87"/>
    </row>
    <row r="19784">
      <c r="A19784" s="86" t="str">
        <f>IFERROR(__xludf.DUMMYFUNCTION("""COMPUTED_VALUE"""),"")</f>
        <v/>
      </c>
      <c r="B19784" s="87"/>
      <c r="C19784" s="87"/>
      <c r="D19784" s="87"/>
      <c r="E19784" s="87"/>
      <c r="F19784" s="87"/>
      <c r="G19784" s="87"/>
    </row>
    <row r="19785">
      <c r="A19785" s="86" t="str">
        <f>IFERROR(__xludf.DUMMYFUNCTION("""COMPUTED_VALUE"""),"")</f>
        <v/>
      </c>
      <c r="B19785" s="87"/>
      <c r="C19785" s="87"/>
      <c r="D19785" s="87"/>
      <c r="E19785" s="87"/>
      <c r="F19785" s="87"/>
      <c r="G19785" s="87"/>
    </row>
    <row r="19786">
      <c r="A19786" s="86" t="str">
        <f>IFERROR(__xludf.DUMMYFUNCTION("""COMPUTED_VALUE"""),"")</f>
        <v/>
      </c>
      <c r="B19786" s="87"/>
      <c r="C19786" s="87"/>
      <c r="D19786" s="87"/>
      <c r="E19786" s="87"/>
      <c r="F19786" s="87"/>
      <c r="G19786" s="87"/>
    </row>
    <row r="19787">
      <c r="A19787" s="86" t="str">
        <f>IFERROR(__xludf.DUMMYFUNCTION("""COMPUTED_VALUE"""),"")</f>
        <v/>
      </c>
      <c r="B19787" s="87"/>
      <c r="C19787" s="87"/>
      <c r="D19787" s="87"/>
      <c r="E19787" s="87"/>
      <c r="F19787" s="87"/>
      <c r="G19787" s="87"/>
    </row>
    <row r="19788">
      <c r="A19788" s="86" t="str">
        <f>IFERROR(__xludf.DUMMYFUNCTION("""COMPUTED_VALUE"""),"")</f>
        <v/>
      </c>
      <c r="B19788" s="87"/>
      <c r="C19788" s="87"/>
      <c r="D19788" s="87"/>
      <c r="E19788" s="87"/>
      <c r="F19788" s="87"/>
      <c r="G19788" s="87"/>
    </row>
    <row r="19789">
      <c r="A19789" s="86" t="str">
        <f>IFERROR(__xludf.DUMMYFUNCTION("""COMPUTED_VALUE"""),"")</f>
        <v/>
      </c>
      <c r="B19789" s="87"/>
      <c r="C19789" s="87"/>
      <c r="D19789" s="87"/>
      <c r="E19789" s="87"/>
      <c r="F19789" s="87"/>
      <c r="G19789" s="87"/>
    </row>
    <row r="19790">
      <c r="A19790" s="86" t="str">
        <f>IFERROR(__xludf.DUMMYFUNCTION("""COMPUTED_VALUE"""),"")</f>
        <v/>
      </c>
      <c r="B19790" s="87"/>
      <c r="C19790" s="87"/>
      <c r="D19790" s="87"/>
      <c r="E19790" s="87"/>
      <c r="F19790" s="87"/>
      <c r="G19790" s="87"/>
    </row>
    <row r="19791">
      <c r="A19791" s="86" t="str">
        <f>IFERROR(__xludf.DUMMYFUNCTION("""COMPUTED_VALUE"""),"")</f>
        <v/>
      </c>
      <c r="B19791" s="87"/>
      <c r="C19791" s="87"/>
      <c r="D19791" s="87"/>
      <c r="E19791" s="87"/>
      <c r="F19791" s="87"/>
      <c r="G19791" s="87"/>
    </row>
    <row r="19792">
      <c r="A19792" s="86" t="str">
        <f>IFERROR(__xludf.DUMMYFUNCTION("""COMPUTED_VALUE"""),"")</f>
        <v/>
      </c>
      <c r="B19792" s="87"/>
      <c r="C19792" s="87"/>
      <c r="D19792" s="87"/>
      <c r="E19792" s="87"/>
      <c r="F19792" s="87"/>
      <c r="G19792" s="87"/>
    </row>
    <row r="19793">
      <c r="A19793" s="86" t="str">
        <f>IFERROR(__xludf.DUMMYFUNCTION("""COMPUTED_VALUE"""),"")</f>
        <v/>
      </c>
      <c r="B19793" s="87"/>
      <c r="C19793" s="87"/>
      <c r="D19793" s="87"/>
      <c r="E19793" s="87"/>
      <c r="F19793" s="87"/>
      <c r="G19793" s="87"/>
    </row>
    <row r="19794">
      <c r="A19794" s="86" t="str">
        <f>IFERROR(__xludf.DUMMYFUNCTION("""COMPUTED_VALUE"""),"")</f>
        <v/>
      </c>
      <c r="B19794" s="87"/>
      <c r="C19794" s="87"/>
      <c r="D19794" s="87"/>
      <c r="E19794" s="87"/>
      <c r="F19794" s="87"/>
      <c r="G19794" s="87"/>
    </row>
    <row r="19795">
      <c r="A19795" s="86" t="str">
        <f>IFERROR(__xludf.DUMMYFUNCTION("""COMPUTED_VALUE"""),"")</f>
        <v/>
      </c>
      <c r="B19795" s="87"/>
      <c r="C19795" s="87"/>
      <c r="D19795" s="87"/>
      <c r="E19795" s="87"/>
      <c r="F19795" s="87"/>
      <c r="G19795" s="87"/>
    </row>
    <row r="19796">
      <c r="A19796" s="86" t="str">
        <f>IFERROR(__xludf.DUMMYFUNCTION("""COMPUTED_VALUE"""),"")</f>
        <v/>
      </c>
      <c r="B19796" s="87"/>
      <c r="C19796" s="87"/>
      <c r="D19796" s="87"/>
      <c r="E19796" s="87"/>
      <c r="F19796" s="87"/>
      <c r="G19796" s="87"/>
    </row>
    <row r="19797">
      <c r="A19797" s="86" t="str">
        <f>IFERROR(__xludf.DUMMYFUNCTION("""COMPUTED_VALUE"""),"")</f>
        <v/>
      </c>
      <c r="B19797" s="87"/>
      <c r="C19797" s="87"/>
      <c r="D19797" s="87"/>
      <c r="E19797" s="87"/>
      <c r="F19797" s="87"/>
      <c r="G19797" s="87"/>
    </row>
    <row r="19798">
      <c r="A19798" s="86" t="str">
        <f>IFERROR(__xludf.DUMMYFUNCTION("""COMPUTED_VALUE"""),"")</f>
        <v/>
      </c>
      <c r="B19798" s="87"/>
      <c r="C19798" s="87"/>
      <c r="D19798" s="87"/>
      <c r="E19798" s="87"/>
      <c r="F19798" s="87"/>
      <c r="G19798" s="87"/>
    </row>
    <row r="19799">
      <c r="A19799" s="86" t="str">
        <f>IFERROR(__xludf.DUMMYFUNCTION("""COMPUTED_VALUE"""),"")</f>
        <v/>
      </c>
      <c r="B19799" s="87"/>
      <c r="C19799" s="87"/>
      <c r="D19799" s="87"/>
      <c r="E19799" s="87"/>
      <c r="F19799" s="87"/>
      <c r="G19799" s="87"/>
    </row>
    <row r="19800">
      <c r="A19800" s="86" t="str">
        <f>IFERROR(__xludf.DUMMYFUNCTION("""COMPUTED_VALUE"""),"")</f>
        <v/>
      </c>
      <c r="B19800" s="87"/>
      <c r="C19800" s="87"/>
      <c r="D19800" s="87"/>
      <c r="E19800" s="87"/>
      <c r="F19800" s="87"/>
      <c r="G19800" s="87"/>
    </row>
    <row r="19801">
      <c r="A19801" s="86" t="str">
        <f>IFERROR(__xludf.DUMMYFUNCTION("""COMPUTED_VALUE"""),"")</f>
        <v/>
      </c>
      <c r="B19801" s="87"/>
      <c r="C19801" s="87"/>
      <c r="D19801" s="87"/>
      <c r="E19801" s="87"/>
      <c r="F19801" s="87"/>
      <c r="G19801" s="87"/>
    </row>
    <row r="19802">
      <c r="A19802" s="86" t="str">
        <f>IFERROR(__xludf.DUMMYFUNCTION("""COMPUTED_VALUE"""),"")</f>
        <v/>
      </c>
      <c r="B19802" s="87"/>
      <c r="C19802" s="87"/>
      <c r="D19802" s="87"/>
      <c r="E19802" s="87"/>
      <c r="F19802" s="87"/>
      <c r="G19802" s="87"/>
    </row>
    <row r="19803">
      <c r="A19803" s="86" t="str">
        <f>IFERROR(__xludf.DUMMYFUNCTION("""COMPUTED_VALUE"""),"")</f>
        <v/>
      </c>
      <c r="B19803" s="87"/>
      <c r="C19803" s="87"/>
      <c r="D19803" s="87"/>
      <c r="E19803" s="87"/>
      <c r="F19803" s="87"/>
      <c r="G19803" s="87"/>
    </row>
    <row r="19804">
      <c r="A19804" s="86" t="str">
        <f>IFERROR(__xludf.DUMMYFUNCTION("""COMPUTED_VALUE"""),"")</f>
        <v/>
      </c>
      <c r="B19804" s="87"/>
      <c r="C19804" s="87"/>
      <c r="D19804" s="87"/>
      <c r="E19804" s="87"/>
      <c r="F19804" s="87"/>
      <c r="G19804" s="87"/>
    </row>
    <row r="19805">
      <c r="A19805" s="86" t="str">
        <f>IFERROR(__xludf.DUMMYFUNCTION("""COMPUTED_VALUE"""),"")</f>
        <v/>
      </c>
      <c r="B19805" s="87"/>
      <c r="C19805" s="87"/>
      <c r="D19805" s="87"/>
      <c r="E19805" s="87"/>
      <c r="F19805" s="87"/>
      <c r="G19805" s="87"/>
    </row>
    <row r="19806">
      <c r="A19806" s="86" t="str">
        <f>IFERROR(__xludf.DUMMYFUNCTION("""COMPUTED_VALUE"""),"")</f>
        <v/>
      </c>
      <c r="B19806" s="87"/>
      <c r="C19806" s="87"/>
      <c r="D19806" s="87"/>
      <c r="E19806" s="87"/>
      <c r="F19806" s="87"/>
      <c r="G19806" s="87"/>
    </row>
    <row r="19807">
      <c r="A19807" s="86" t="str">
        <f>IFERROR(__xludf.DUMMYFUNCTION("""COMPUTED_VALUE"""),"")</f>
        <v/>
      </c>
      <c r="B19807" s="87"/>
      <c r="C19807" s="87"/>
      <c r="D19807" s="87"/>
      <c r="E19807" s="87"/>
      <c r="F19807" s="87"/>
      <c r="G19807" s="87"/>
    </row>
    <row r="19808">
      <c r="A19808" s="86" t="str">
        <f>IFERROR(__xludf.DUMMYFUNCTION("""COMPUTED_VALUE"""),"")</f>
        <v/>
      </c>
      <c r="B19808" s="87"/>
      <c r="C19808" s="87"/>
      <c r="D19808" s="87"/>
      <c r="E19808" s="87"/>
      <c r="F19808" s="87"/>
      <c r="G19808" s="87"/>
    </row>
    <row r="19809">
      <c r="A19809" s="86" t="str">
        <f>IFERROR(__xludf.DUMMYFUNCTION("""COMPUTED_VALUE"""),"")</f>
        <v/>
      </c>
      <c r="B19809" s="87"/>
      <c r="C19809" s="87"/>
      <c r="D19809" s="87"/>
      <c r="E19809" s="87"/>
      <c r="F19809" s="87"/>
      <c r="G19809" s="87"/>
    </row>
    <row r="19810">
      <c r="A19810" s="86" t="str">
        <f>IFERROR(__xludf.DUMMYFUNCTION("""COMPUTED_VALUE"""),"")</f>
        <v/>
      </c>
      <c r="B19810" s="87"/>
      <c r="C19810" s="87"/>
      <c r="D19810" s="87"/>
      <c r="E19810" s="87"/>
      <c r="F19810" s="87"/>
      <c r="G19810" s="87"/>
    </row>
    <row r="19811">
      <c r="A19811" s="86" t="str">
        <f>IFERROR(__xludf.DUMMYFUNCTION("""COMPUTED_VALUE"""),"")</f>
        <v/>
      </c>
      <c r="B19811" s="87"/>
      <c r="C19811" s="87"/>
      <c r="D19811" s="87"/>
      <c r="E19811" s="87"/>
      <c r="F19811" s="87"/>
      <c r="G19811" s="87"/>
    </row>
    <row r="19812">
      <c r="A19812" s="86" t="str">
        <f>IFERROR(__xludf.DUMMYFUNCTION("""COMPUTED_VALUE"""),"")</f>
        <v/>
      </c>
      <c r="B19812" s="87"/>
      <c r="C19812" s="87"/>
      <c r="D19812" s="87"/>
      <c r="E19812" s="87"/>
      <c r="F19812" s="87"/>
      <c r="G19812" s="87"/>
    </row>
    <row r="19813">
      <c r="A19813" s="86" t="str">
        <f>IFERROR(__xludf.DUMMYFUNCTION("""COMPUTED_VALUE"""),"")</f>
        <v/>
      </c>
      <c r="B19813" s="87"/>
      <c r="C19813" s="87"/>
      <c r="D19813" s="87"/>
      <c r="E19813" s="87"/>
      <c r="F19813" s="87"/>
      <c r="G19813" s="87"/>
    </row>
    <row r="19814">
      <c r="A19814" s="86" t="str">
        <f>IFERROR(__xludf.DUMMYFUNCTION("""COMPUTED_VALUE"""),"")</f>
        <v/>
      </c>
      <c r="B19814" s="87"/>
      <c r="C19814" s="87"/>
      <c r="D19814" s="87"/>
      <c r="E19814" s="87"/>
      <c r="F19814" s="87"/>
      <c r="G19814" s="87"/>
    </row>
    <row r="19815">
      <c r="A19815" s="86" t="str">
        <f>IFERROR(__xludf.DUMMYFUNCTION("""COMPUTED_VALUE"""),"")</f>
        <v/>
      </c>
      <c r="B19815" s="87"/>
      <c r="C19815" s="87"/>
      <c r="D19815" s="87"/>
      <c r="E19815" s="87"/>
      <c r="F19815" s="87"/>
      <c r="G19815" s="87"/>
    </row>
    <row r="19816">
      <c r="A19816" s="86" t="str">
        <f>IFERROR(__xludf.DUMMYFUNCTION("""COMPUTED_VALUE"""),"")</f>
        <v/>
      </c>
      <c r="B19816" s="87"/>
      <c r="C19816" s="87"/>
      <c r="D19816" s="87"/>
      <c r="E19816" s="87"/>
      <c r="F19816" s="87"/>
      <c r="G19816" s="87"/>
    </row>
    <row r="19817">
      <c r="A19817" s="86" t="str">
        <f>IFERROR(__xludf.DUMMYFUNCTION("""COMPUTED_VALUE"""),"")</f>
        <v/>
      </c>
      <c r="B19817" s="87"/>
      <c r="C19817" s="87"/>
      <c r="D19817" s="87"/>
      <c r="E19817" s="87"/>
      <c r="F19817" s="87"/>
      <c r="G19817" s="87"/>
    </row>
    <row r="19818">
      <c r="A19818" s="86" t="str">
        <f>IFERROR(__xludf.DUMMYFUNCTION("""COMPUTED_VALUE"""),"")</f>
        <v/>
      </c>
      <c r="B19818" s="87"/>
      <c r="C19818" s="87"/>
      <c r="D19818" s="87"/>
      <c r="E19818" s="87"/>
      <c r="F19818" s="87"/>
      <c r="G19818" s="87"/>
    </row>
    <row r="19819">
      <c r="A19819" s="86" t="str">
        <f>IFERROR(__xludf.DUMMYFUNCTION("""COMPUTED_VALUE"""),"")</f>
        <v/>
      </c>
      <c r="B19819" s="87"/>
      <c r="C19819" s="87"/>
      <c r="D19819" s="87"/>
      <c r="E19819" s="87"/>
      <c r="F19819" s="87"/>
      <c r="G19819" s="87"/>
    </row>
    <row r="19820">
      <c r="A19820" s="86" t="str">
        <f>IFERROR(__xludf.DUMMYFUNCTION("""COMPUTED_VALUE"""),"")</f>
        <v/>
      </c>
      <c r="B19820" s="87"/>
      <c r="C19820" s="87"/>
      <c r="D19820" s="87"/>
      <c r="E19820" s="87"/>
      <c r="F19820" s="87"/>
      <c r="G19820" s="87"/>
    </row>
    <row r="19821">
      <c r="A19821" s="86" t="str">
        <f>IFERROR(__xludf.DUMMYFUNCTION("""COMPUTED_VALUE"""),"")</f>
        <v/>
      </c>
      <c r="B19821" s="87"/>
      <c r="C19821" s="87"/>
      <c r="D19821" s="87"/>
      <c r="E19821" s="87"/>
      <c r="F19821" s="87"/>
      <c r="G19821" s="87"/>
    </row>
    <row r="19822">
      <c r="A19822" s="86" t="str">
        <f>IFERROR(__xludf.DUMMYFUNCTION("""COMPUTED_VALUE"""),"")</f>
        <v/>
      </c>
      <c r="B19822" s="87"/>
      <c r="C19822" s="87"/>
      <c r="D19822" s="87"/>
      <c r="E19822" s="87"/>
      <c r="F19822" s="87"/>
      <c r="G19822" s="87"/>
    </row>
    <row r="19823">
      <c r="A19823" s="86" t="str">
        <f>IFERROR(__xludf.DUMMYFUNCTION("""COMPUTED_VALUE"""),"")</f>
        <v/>
      </c>
      <c r="B19823" s="87"/>
      <c r="C19823" s="87"/>
      <c r="D19823" s="87"/>
      <c r="E19823" s="87"/>
      <c r="F19823" s="87"/>
      <c r="G19823" s="87"/>
    </row>
    <row r="19824">
      <c r="A19824" s="86" t="str">
        <f>IFERROR(__xludf.DUMMYFUNCTION("""COMPUTED_VALUE"""),"")</f>
        <v/>
      </c>
      <c r="B19824" s="87"/>
      <c r="C19824" s="87"/>
      <c r="D19824" s="87"/>
      <c r="E19824" s="87"/>
      <c r="F19824" s="87"/>
      <c r="G19824" s="87"/>
    </row>
    <row r="19825">
      <c r="A19825" s="86" t="str">
        <f>IFERROR(__xludf.DUMMYFUNCTION("""COMPUTED_VALUE"""),"")</f>
        <v/>
      </c>
      <c r="B19825" s="87"/>
      <c r="C19825" s="87"/>
      <c r="D19825" s="87"/>
      <c r="E19825" s="87"/>
      <c r="F19825" s="87"/>
      <c r="G19825" s="87"/>
    </row>
    <row r="19826">
      <c r="A19826" s="86" t="str">
        <f>IFERROR(__xludf.DUMMYFUNCTION("""COMPUTED_VALUE"""),"")</f>
        <v/>
      </c>
      <c r="B19826" s="87"/>
      <c r="C19826" s="87"/>
      <c r="D19826" s="87"/>
      <c r="E19826" s="87"/>
      <c r="F19826" s="87"/>
      <c r="G19826" s="87"/>
    </row>
    <row r="19827">
      <c r="A19827" s="86" t="str">
        <f>IFERROR(__xludf.DUMMYFUNCTION("""COMPUTED_VALUE"""),"")</f>
        <v/>
      </c>
      <c r="B19827" s="87"/>
      <c r="C19827" s="87"/>
      <c r="D19827" s="87"/>
      <c r="E19827" s="87"/>
      <c r="F19827" s="87"/>
      <c r="G19827" s="87"/>
    </row>
    <row r="19828">
      <c r="A19828" s="86" t="str">
        <f>IFERROR(__xludf.DUMMYFUNCTION("""COMPUTED_VALUE"""),"")</f>
        <v/>
      </c>
      <c r="B19828" s="87"/>
      <c r="C19828" s="87"/>
      <c r="D19828" s="87"/>
      <c r="E19828" s="87"/>
      <c r="F19828" s="87"/>
      <c r="G19828" s="87"/>
    </row>
    <row r="19829">
      <c r="A19829" s="86" t="str">
        <f>IFERROR(__xludf.DUMMYFUNCTION("""COMPUTED_VALUE"""),"")</f>
        <v/>
      </c>
      <c r="B19829" s="87"/>
      <c r="C19829" s="87"/>
      <c r="D19829" s="87"/>
      <c r="E19829" s="87"/>
      <c r="F19829" s="87"/>
      <c r="G19829" s="87"/>
    </row>
    <row r="19830">
      <c r="A19830" s="86" t="str">
        <f>IFERROR(__xludf.DUMMYFUNCTION("""COMPUTED_VALUE"""),"")</f>
        <v/>
      </c>
      <c r="B19830" s="87"/>
      <c r="C19830" s="87"/>
      <c r="D19830" s="87"/>
      <c r="E19830" s="87"/>
      <c r="F19830" s="87"/>
      <c r="G19830" s="87"/>
    </row>
    <row r="19831">
      <c r="A19831" s="86" t="str">
        <f>IFERROR(__xludf.DUMMYFUNCTION("""COMPUTED_VALUE"""),"")</f>
        <v/>
      </c>
      <c r="B19831" s="87"/>
      <c r="C19831" s="87"/>
      <c r="D19831" s="87"/>
      <c r="E19831" s="87"/>
      <c r="F19831" s="87"/>
      <c r="G19831" s="87"/>
    </row>
    <row r="19832">
      <c r="A19832" s="86" t="str">
        <f>IFERROR(__xludf.DUMMYFUNCTION("""COMPUTED_VALUE"""),"")</f>
        <v/>
      </c>
      <c r="B19832" s="87"/>
      <c r="C19832" s="87"/>
      <c r="D19832" s="87"/>
      <c r="E19832" s="87"/>
      <c r="F19832" s="87"/>
      <c r="G19832" s="87"/>
    </row>
    <row r="19833">
      <c r="A19833" s="86" t="str">
        <f>IFERROR(__xludf.DUMMYFUNCTION("""COMPUTED_VALUE"""),"")</f>
        <v/>
      </c>
      <c r="B19833" s="87"/>
      <c r="C19833" s="87"/>
      <c r="D19833" s="87"/>
      <c r="E19833" s="87"/>
      <c r="F19833" s="87"/>
      <c r="G19833" s="87"/>
    </row>
    <row r="19834">
      <c r="A19834" s="86" t="str">
        <f>IFERROR(__xludf.DUMMYFUNCTION("""COMPUTED_VALUE"""),"")</f>
        <v/>
      </c>
      <c r="B19834" s="87"/>
      <c r="C19834" s="87"/>
      <c r="D19834" s="87"/>
      <c r="E19834" s="87"/>
      <c r="F19834" s="87"/>
      <c r="G19834" s="87"/>
    </row>
    <row r="19835">
      <c r="A19835" s="86" t="str">
        <f>IFERROR(__xludf.DUMMYFUNCTION("""COMPUTED_VALUE"""),"")</f>
        <v/>
      </c>
      <c r="B19835" s="87"/>
      <c r="C19835" s="87"/>
      <c r="D19835" s="87"/>
      <c r="E19835" s="87"/>
      <c r="F19835" s="87"/>
      <c r="G19835" s="87"/>
    </row>
    <row r="19836">
      <c r="A19836" s="86" t="str">
        <f>IFERROR(__xludf.DUMMYFUNCTION("""COMPUTED_VALUE"""),"")</f>
        <v/>
      </c>
      <c r="B19836" s="87"/>
      <c r="C19836" s="87"/>
      <c r="D19836" s="87"/>
      <c r="E19836" s="87"/>
      <c r="F19836" s="87"/>
      <c r="G19836" s="87"/>
    </row>
    <row r="19837">
      <c r="A19837" s="86" t="str">
        <f>IFERROR(__xludf.DUMMYFUNCTION("""COMPUTED_VALUE"""),"")</f>
        <v/>
      </c>
      <c r="B19837" s="87"/>
      <c r="C19837" s="87"/>
      <c r="D19837" s="87"/>
      <c r="E19837" s="87"/>
      <c r="F19837" s="87"/>
      <c r="G19837" s="87"/>
    </row>
    <row r="19838">
      <c r="A19838" s="86" t="str">
        <f>IFERROR(__xludf.DUMMYFUNCTION("""COMPUTED_VALUE"""),"")</f>
        <v/>
      </c>
      <c r="B19838" s="87"/>
      <c r="C19838" s="87"/>
      <c r="D19838" s="87"/>
      <c r="E19838" s="87"/>
      <c r="F19838" s="87"/>
      <c r="G19838" s="87"/>
    </row>
    <row r="19839">
      <c r="A19839" s="86" t="str">
        <f>IFERROR(__xludf.DUMMYFUNCTION("""COMPUTED_VALUE"""),"")</f>
        <v/>
      </c>
      <c r="B19839" s="87"/>
      <c r="C19839" s="87"/>
      <c r="D19839" s="87"/>
      <c r="E19839" s="87"/>
      <c r="F19839" s="87"/>
      <c r="G19839" s="87"/>
    </row>
    <row r="19840">
      <c r="A19840" s="86" t="str">
        <f>IFERROR(__xludf.DUMMYFUNCTION("""COMPUTED_VALUE"""),"")</f>
        <v/>
      </c>
      <c r="B19840" s="87"/>
      <c r="C19840" s="87"/>
      <c r="D19840" s="87"/>
      <c r="E19840" s="87"/>
      <c r="F19840" s="87"/>
      <c r="G19840" s="87"/>
    </row>
    <row r="19841">
      <c r="A19841" s="86" t="str">
        <f>IFERROR(__xludf.DUMMYFUNCTION("""COMPUTED_VALUE"""),"")</f>
        <v/>
      </c>
      <c r="B19841" s="87"/>
      <c r="C19841" s="87"/>
      <c r="D19841" s="87"/>
      <c r="E19841" s="87"/>
      <c r="F19841" s="87"/>
      <c r="G19841" s="87"/>
    </row>
    <row r="19842">
      <c r="A19842" s="86" t="str">
        <f>IFERROR(__xludf.DUMMYFUNCTION("""COMPUTED_VALUE"""),"")</f>
        <v/>
      </c>
      <c r="B19842" s="87"/>
      <c r="C19842" s="87"/>
      <c r="D19842" s="87"/>
      <c r="E19842" s="87"/>
      <c r="F19842" s="87"/>
      <c r="G19842" s="87"/>
    </row>
    <row r="19843">
      <c r="A19843" s="86" t="str">
        <f>IFERROR(__xludf.DUMMYFUNCTION("""COMPUTED_VALUE"""),"")</f>
        <v/>
      </c>
      <c r="B19843" s="87"/>
      <c r="C19843" s="87"/>
      <c r="D19843" s="87"/>
      <c r="E19843" s="87"/>
      <c r="F19843" s="87"/>
      <c r="G19843" s="87"/>
    </row>
    <row r="19844">
      <c r="A19844" s="86" t="str">
        <f>IFERROR(__xludf.DUMMYFUNCTION("""COMPUTED_VALUE"""),"")</f>
        <v/>
      </c>
      <c r="B19844" s="87"/>
      <c r="C19844" s="87"/>
      <c r="D19844" s="87"/>
      <c r="E19844" s="87"/>
      <c r="F19844" s="87"/>
      <c r="G19844" s="87"/>
    </row>
    <row r="19845">
      <c r="A19845" s="86" t="str">
        <f>IFERROR(__xludf.DUMMYFUNCTION("""COMPUTED_VALUE"""),"")</f>
        <v/>
      </c>
      <c r="B19845" s="87"/>
      <c r="C19845" s="87"/>
      <c r="D19845" s="87"/>
      <c r="E19845" s="87"/>
      <c r="F19845" s="87"/>
      <c r="G19845" s="87"/>
    </row>
    <row r="19846">
      <c r="A19846" s="86" t="str">
        <f>IFERROR(__xludf.DUMMYFUNCTION("""COMPUTED_VALUE"""),"")</f>
        <v/>
      </c>
      <c r="B19846" s="87"/>
      <c r="C19846" s="87"/>
      <c r="D19846" s="87"/>
      <c r="E19846" s="87"/>
      <c r="F19846" s="87"/>
      <c r="G19846" s="87"/>
    </row>
    <row r="19847">
      <c r="A19847" s="86" t="str">
        <f>IFERROR(__xludf.DUMMYFUNCTION("""COMPUTED_VALUE"""),"")</f>
        <v/>
      </c>
      <c r="B19847" s="87"/>
      <c r="C19847" s="87"/>
      <c r="D19847" s="87"/>
      <c r="E19847" s="87"/>
      <c r="F19847" s="87"/>
      <c r="G19847" s="87"/>
    </row>
    <row r="19848">
      <c r="A19848" s="86" t="str">
        <f>IFERROR(__xludf.DUMMYFUNCTION("""COMPUTED_VALUE"""),"")</f>
        <v/>
      </c>
      <c r="B19848" s="87"/>
      <c r="C19848" s="87"/>
      <c r="D19848" s="87"/>
      <c r="E19848" s="87"/>
      <c r="F19848" s="87"/>
      <c r="G19848" s="87"/>
    </row>
    <row r="19849">
      <c r="A19849" s="86" t="str">
        <f>IFERROR(__xludf.DUMMYFUNCTION("""COMPUTED_VALUE"""),"")</f>
        <v/>
      </c>
      <c r="B19849" s="87"/>
      <c r="C19849" s="87"/>
      <c r="D19849" s="87"/>
      <c r="E19849" s="87"/>
      <c r="F19849" s="87"/>
      <c r="G19849" s="87"/>
    </row>
    <row r="19850">
      <c r="A19850" s="86" t="str">
        <f>IFERROR(__xludf.DUMMYFUNCTION("""COMPUTED_VALUE"""),"")</f>
        <v/>
      </c>
      <c r="B19850" s="87"/>
      <c r="C19850" s="87"/>
      <c r="D19850" s="87"/>
      <c r="E19850" s="87"/>
      <c r="F19850" s="87"/>
      <c r="G19850" s="87"/>
    </row>
    <row r="19851">
      <c r="A19851" s="86" t="str">
        <f>IFERROR(__xludf.DUMMYFUNCTION("""COMPUTED_VALUE"""),"")</f>
        <v/>
      </c>
      <c r="B19851" s="87"/>
      <c r="C19851" s="87"/>
      <c r="D19851" s="87"/>
      <c r="E19851" s="87"/>
      <c r="F19851" s="87"/>
      <c r="G19851" s="87"/>
    </row>
    <row r="19852">
      <c r="A19852" s="86" t="str">
        <f>IFERROR(__xludf.DUMMYFUNCTION("""COMPUTED_VALUE"""),"")</f>
        <v/>
      </c>
      <c r="B19852" s="87"/>
      <c r="C19852" s="87"/>
      <c r="D19852" s="87"/>
      <c r="E19852" s="87"/>
      <c r="F19852" s="87"/>
      <c r="G19852" s="87"/>
    </row>
    <row r="19853">
      <c r="A19853" s="86" t="str">
        <f>IFERROR(__xludf.DUMMYFUNCTION("""COMPUTED_VALUE"""),"")</f>
        <v/>
      </c>
      <c r="B19853" s="87"/>
      <c r="C19853" s="87"/>
      <c r="D19853" s="87"/>
      <c r="E19853" s="87"/>
      <c r="F19853" s="87"/>
      <c r="G19853" s="87"/>
    </row>
    <row r="19854">
      <c r="A19854" s="86" t="str">
        <f>IFERROR(__xludf.DUMMYFUNCTION("""COMPUTED_VALUE"""),"")</f>
        <v/>
      </c>
      <c r="B19854" s="87"/>
      <c r="C19854" s="87"/>
      <c r="D19854" s="87"/>
      <c r="E19854" s="87"/>
      <c r="F19854" s="87"/>
      <c r="G19854" s="87"/>
    </row>
    <row r="19855">
      <c r="A19855" s="86" t="str">
        <f>IFERROR(__xludf.DUMMYFUNCTION("""COMPUTED_VALUE"""),"")</f>
        <v/>
      </c>
      <c r="B19855" s="87"/>
      <c r="C19855" s="87"/>
      <c r="D19855" s="87"/>
      <c r="E19855" s="87"/>
      <c r="F19855" s="87"/>
      <c r="G19855" s="87"/>
    </row>
    <row r="19856">
      <c r="A19856" s="86" t="str">
        <f>IFERROR(__xludf.DUMMYFUNCTION("""COMPUTED_VALUE"""),"")</f>
        <v/>
      </c>
      <c r="B19856" s="87"/>
      <c r="C19856" s="87"/>
      <c r="D19856" s="87"/>
      <c r="E19856" s="87"/>
      <c r="F19856" s="87"/>
      <c r="G19856" s="87"/>
    </row>
    <row r="19857">
      <c r="A19857" s="86" t="str">
        <f>IFERROR(__xludf.DUMMYFUNCTION("""COMPUTED_VALUE"""),"")</f>
        <v/>
      </c>
      <c r="B19857" s="87"/>
      <c r="C19857" s="87"/>
      <c r="D19857" s="87"/>
      <c r="E19857" s="87"/>
      <c r="F19857" s="87"/>
      <c r="G19857" s="87"/>
    </row>
    <row r="19858">
      <c r="A19858" s="86" t="str">
        <f>IFERROR(__xludf.DUMMYFUNCTION("""COMPUTED_VALUE"""),"")</f>
        <v/>
      </c>
      <c r="B19858" s="87"/>
      <c r="C19858" s="87"/>
      <c r="D19858" s="87"/>
      <c r="E19858" s="87"/>
      <c r="F19858" s="87"/>
      <c r="G19858" s="87"/>
    </row>
    <row r="19859">
      <c r="A19859" s="86" t="str">
        <f>IFERROR(__xludf.DUMMYFUNCTION("""COMPUTED_VALUE"""),"")</f>
        <v/>
      </c>
      <c r="B19859" s="87"/>
      <c r="C19859" s="87"/>
      <c r="D19859" s="87"/>
      <c r="E19859" s="87"/>
      <c r="F19859" s="87"/>
      <c r="G19859" s="87"/>
    </row>
    <row r="19860">
      <c r="A19860" s="86" t="str">
        <f>IFERROR(__xludf.DUMMYFUNCTION("""COMPUTED_VALUE"""),"")</f>
        <v/>
      </c>
      <c r="B19860" s="87"/>
      <c r="C19860" s="87"/>
      <c r="D19860" s="87"/>
      <c r="E19860" s="87"/>
      <c r="F19860" s="87"/>
      <c r="G19860" s="87"/>
    </row>
    <row r="19861">
      <c r="A19861" s="86" t="str">
        <f>IFERROR(__xludf.DUMMYFUNCTION("""COMPUTED_VALUE"""),"")</f>
        <v/>
      </c>
      <c r="B19861" s="87"/>
      <c r="C19861" s="87"/>
      <c r="D19861" s="87"/>
      <c r="E19861" s="87"/>
      <c r="F19861" s="87"/>
      <c r="G19861" s="87"/>
    </row>
    <row r="19862">
      <c r="A19862" s="86" t="str">
        <f>IFERROR(__xludf.DUMMYFUNCTION("""COMPUTED_VALUE"""),"")</f>
        <v/>
      </c>
      <c r="B19862" s="87"/>
      <c r="C19862" s="87"/>
      <c r="D19862" s="87"/>
      <c r="E19862" s="87"/>
      <c r="F19862" s="87"/>
      <c r="G19862" s="87"/>
    </row>
    <row r="19863">
      <c r="A19863" s="86" t="str">
        <f>IFERROR(__xludf.DUMMYFUNCTION("""COMPUTED_VALUE"""),"")</f>
        <v/>
      </c>
      <c r="B19863" s="87"/>
      <c r="C19863" s="87"/>
      <c r="D19863" s="87"/>
      <c r="E19863" s="87"/>
      <c r="F19863" s="87"/>
      <c r="G19863" s="87"/>
    </row>
    <row r="19864">
      <c r="A19864" s="86" t="str">
        <f>IFERROR(__xludf.DUMMYFUNCTION("""COMPUTED_VALUE"""),"")</f>
        <v/>
      </c>
      <c r="B19864" s="87"/>
      <c r="C19864" s="87"/>
      <c r="D19864" s="87"/>
      <c r="E19864" s="87"/>
      <c r="F19864" s="87"/>
      <c r="G19864" s="87"/>
    </row>
    <row r="19865">
      <c r="A19865" s="86" t="str">
        <f>IFERROR(__xludf.DUMMYFUNCTION("""COMPUTED_VALUE"""),"")</f>
        <v/>
      </c>
      <c r="B19865" s="87"/>
      <c r="C19865" s="87"/>
      <c r="D19865" s="87"/>
      <c r="E19865" s="87"/>
      <c r="F19865" s="87"/>
      <c r="G19865" s="87"/>
    </row>
    <row r="19866">
      <c r="A19866" s="86" t="str">
        <f>IFERROR(__xludf.DUMMYFUNCTION("""COMPUTED_VALUE"""),"")</f>
        <v/>
      </c>
      <c r="B19866" s="87"/>
      <c r="C19866" s="87"/>
      <c r="D19866" s="87"/>
      <c r="E19866" s="87"/>
      <c r="F19866" s="87"/>
      <c r="G19866" s="87"/>
    </row>
    <row r="19867">
      <c r="A19867" s="86" t="str">
        <f>IFERROR(__xludf.DUMMYFUNCTION("""COMPUTED_VALUE"""),"")</f>
        <v/>
      </c>
      <c r="B19867" s="87"/>
      <c r="C19867" s="87"/>
      <c r="D19867" s="87"/>
      <c r="E19867" s="87"/>
      <c r="F19867" s="87"/>
      <c r="G19867" s="87"/>
    </row>
    <row r="19868">
      <c r="A19868" s="86" t="str">
        <f>IFERROR(__xludf.DUMMYFUNCTION("""COMPUTED_VALUE"""),"")</f>
        <v/>
      </c>
      <c r="B19868" s="87"/>
      <c r="C19868" s="87"/>
      <c r="D19868" s="87"/>
      <c r="E19868" s="87"/>
      <c r="F19868" s="87"/>
      <c r="G19868" s="87"/>
    </row>
    <row r="19869">
      <c r="A19869" s="86" t="str">
        <f>IFERROR(__xludf.DUMMYFUNCTION("""COMPUTED_VALUE"""),"")</f>
        <v/>
      </c>
      <c r="B19869" s="87"/>
      <c r="C19869" s="87"/>
      <c r="D19869" s="87"/>
      <c r="E19869" s="87"/>
      <c r="F19869" s="87"/>
      <c r="G19869" s="87"/>
    </row>
    <row r="19870">
      <c r="A19870" s="86" t="str">
        <f>IFERROR(__xludf.DUMMYFUNCTION("""COMPUTED_VALUE"""),"")</f>
        <v/>
      </c>
      <c r="B19870" s="87"/>
      <c r="C19870" s="87"/>
      <c r="D19870" s="87"/>
      <c r="E19870" s="87"/>
      <c r="F19870" s="87"/>
      <c r="G19870" s="87"/>
    </row>
    <row r="19871">
      <c r="A19871" s="86" t="str">
        <f>IFERROR(__xludf.DUMMYFUNCTION("""COMPUTED_VALUE"""),"")</f>
        <v/>
      </c>
      <c r="B19871" s="87"/>
      <c r="C19871" s="87"/>
      <c r="D19871" s="87"/>
      <c r="E19871" s="87"/>
      <c r="F19871" s="87"/>
      <c r="G19871" s="87"/>
    </row>
    <row r="19872">
      <c r="A19872" s="86" t="str">
        <f>IFERROR(__xludf.DUMMYFUNCTION("""COMPUTED_VALUE"""),"")</f>
        <v/>
      </c>
      <c r="B19872" s="87"/>
      <c r="C19872" s="87"/>
      <c r="D19872" s="87"/>
      <c r="E19872" s="87"/>
      <c r="F19872" s="87"/>
      <c r="G19872" s="87"/>
    </row>
    <row r="19873">
      <c r="A19873" s="86" t="str">
        <f>IFERROR(__xludf.DUMMYFUNCTION("""COMPUTED_VALUE"""),"")</f>
        <v/>
      </c>
      <c r="B19873" s="87"/>
      <c r="C19873" s="87"/>
      <c r="D19873" s="87"/>
      <c r="E19873" s="87"/>
      <c r="F19873" s="87"/>
      <c r="G19873" s="87"/>
    </row>
    <row r="19874">
      <c r="A19874" s="86" t="str">
        <f>IFERROR(__xludf.DUMMYFUNCTION("""COMPUTED_VALUE"""),"")</f>
        <v/>
      </c>
      <c r="B19874" s="87"/>
      <c r="C19874" s="87"/>
      <c r="D19874" s="87"/>
      <c r="E19874" s="87"/>
      <c r="F19874" s="87"/>
      <c r="G19874" s="87"/>
    </row>
    <row r="19875">
      <c r="A19875" s="86" t="str">
        <f>IFERROR(__xludf.DUMMYFUNCTION("""COMPUTED_VALUE"""),"")</f>
        <v/>
      </c>
      <c r="B19875" s="87"/>
      <c r="C19875" s="87"/>
      <c r="D19875" s="87"/>
      <c r="E19875" s="87"/>
      <c r="F19875" s="87"/>
      <c r="G19875" s="87"/>
    </row>
    <row r="19876">
      <c r="A19876" s="86" t="str">
        <f>IFERROR(__xludf.DUMMYFUNCTION("""COMPUTED_VALUE"""),"")</f>
        <v/>
      </c>
      <c r="B19876" s="87"/>
      <c r="C19876" s="87"/>
      <c r="D19876" s="87"/>
      <c r="E19876" s="87"/>
      <c r="F19876" s="87"/>
      <c r="G19876" s="87"/>
    </row>
    <row r="19877">
      <c r="A19877" s="86" t="str">
        <f>IFERROR(__xludf.DUMMYFUNCTION("""COMPUTED_VALUE"""),"")</f>
        <v/>
      </c>
      <c r="B19877" s="87"/>
      <c r="C19877" s="87"/>
      <c r="D19877" s="87"/>
      <c r="E19877" s="87"/>
      <c r="F19877" s="87"/>
      <c r="G19877" s="87"/>
    </row>
    <row r="19878">
      <c r="A19878" s="86" t="str">
        <f>IFERROR(__xludf.DUMMYFUNCTION("""COMPUTED_VALUE"""),"")</f>
        <v/>
      </c>
      <c r="B19878" s="87"/>
      <c r="C19878" s="87"/>
      <c r="D19878" s="87"/>
      <c r="E19878" s="87"/>
      <c r="F19878" s="87"/>
      <c r="G19878" s="87"/>
    </row>
    <row r="19879">
      <c r="A19879" s="86" t="str">
        <f>IFERROR(__xludf.DUMMYFUNCTION("""COMPUTED_VALUE"""),"")</f>
        <v/>
      </c>
      <c r="B19879" s="87"/>
      <c r="C19879" s="87"/>
      <c r="D19879" s="87"/>
      <c r="E19879" s="87"/>
      <c r="F19879" s="87"/>
      <c r="G19879" s="87"/>
    </row>
    <row r="19880">
      <c r="A19880" s="86" t="str">
        <f>IFERROR(__xludf.DUMMYFUNCTION("""COMPUTED_VALUE"""),"")</f>
        <v/>
      </c>
      <c r="B19880" s="87"/>
      <c r="C19880" s="87"/>
      <c r="D19880" s="87"/>
      <c r="E19880" s="87"/>
      <c r="F19880" s="87"/>
      <c r="G19880" s="87"/>
    </row>
    <row r="19881">
      <c r="A19881" s="86" t="str">
        <f>IFERROR(__xludf.DUMMYFUNCTION("""COMPUTED_VALUE"""),"")</f>
        <v/>
      </c>
      <c r="B19881" s="87"/>
      <c r="C19881" s="87"/>
      <c r="D19881" s="87"/>
      <c r="E19881" s="87"/>
      <c r="F19881" s="87"/>
      <c r="G19881" s="87"/>
    </row>
    <row r="19882">
      <c r="A19882" s="86" t="str">
        <f>IFERROR(__xludf.DUMMYFUNCTION("""COMPUTED_VALUE"""),"")</f>
        <v/>
      </c>
      <c r="B19882" s="87"/>
      <c r="C19882" s="87"/>
      <c r="D19882" s="87"/>
      <c r="E19882" s="87"/>
      <c r="F19882" s="87"/>
      <c r="G19882" s="87"/>
    </row>
    <row r="19883">
      <c r="A19883" s="86" t="str">
        <f>IFERROR(__xludf.DUMMYFUNCTION("""COMPUTED_VALUE"""),"")</f>
        <v/>
      </c>
      <c r="B19883" s="87"/>
      <c r="C19883" s="87"/>
      <c r="D19883" s="87"/>
      <c r="E19883" s="87"/>
      <c r="F19883" s="87"/>
      <c r="G19883" s="87"/>
    </row>
    <row r="19884">
      <c r="A19884" s="86" t="str">
        <f>IFERROR(__xludf.DUMMYFUNCTION("""COMPUTED_VALUE"""),"")</f>
        <v/>
      </c>
      <c r="B19884" s="87"/>
      <c r="C19884" s="87"/>
      <c r="D19884" s="87"/>
      <c r="E19884" s="87"/>
      <c r="F19884" s="87"/>
      <c r="G19884" s="87"/>
    </row>
    <row r="19885">
      <c r="A19885" s="86" t="str">
        <f>IFERROR(__xludf.DUMMYFUNCTION("""COMPUTED_VALUE"""),"")</f>
        <v/>
      </c>
      <c r="B19885" s="87"/>
      <c r="C19885" s="87"/>
      <c r="D19885" s="87"/>
      <c r="E19885" s="87"/>
      <c r="F19885" s="87"/>
      <c r="G19885" s="87"/>
    </row>
    <row r="19886">
      <c r="A19886" s="86" t="str">
        <f>IFERROR(__xludf.DUMMYFUNCTION("""COMPUTED_VALUE"""),"")</f>
        <v/>
      </c>
      <c r="B19886" s="87"/>
      <c r="C19886" s="87"/>
      <c r="D19886" s="87"/>
      <c r="E19886" s="87"/>
      <c r="F19886" s="87"/>
      <c r="G19886" s="87"/>
    </row>
    <row r="19887">
      <c r="A19887" s="86" t="str">
        <f>IFERROR(__xludf.DUMMYFUNCTION("""COMPUTED_VALUE"""),"")</f>
        <v/>
      </c>
      <c r="B19887" s="87"/>
      <c r="C19887" s="87"/>
      <c r="D19887" s="87"/>
      <c r="E19887" s="87"/>
      <c r="F19887" s="87"/>
      <c r="G19887" s="87"/>
    </row>
    <row r="19888">
      <c r="A19888" s="86" t="str">
        <f>IFERROR(__xludf.DUMMYFUNCTION("""COMPUTED_VALUE"""),"")</f>
        <v/>
      </c>
      <c r="B19888" s="87"/>
      <c r="C19888" s="87"/>
      <c r="D19888" s="87"/>
      <c r="E19888" s="87"/>
      <c r="F19888" s="87"/>
      <c r="G19888" s="87"/>
    </row>
    <row r="19889">
      <c r="A19889" s="86" t="str">
        <f>IFERROR(__xludf.DUMMYFUNCTION("""COMPUTED_VALUE"""),"")</f>
        <v/>
      </c>
      <c r="B19889" s="87"/>
      <c r="C19889" s="87"/>
      <c r="D19889" s="87"/>
      <c r="E19889" s="87"/>
      <c r="F19889" s="87"/>
      <c r="G19889" s="87"/>
    </row>
    <row r="19890">
      <c r="A19890" s="86" t="str">
        <f>IFERROR(__xludf.DUMMYFUNCTION("""COMPUTED_VALUE"""),"")</f>
        <v/>
      </c>
      <c r="B19890" s="87"/>
      <c r="C19890" s="87"/>
      <c r="D19890" s="87"/>
      <c r="E19890" s="87"/>
      <c r="F19890" s="87"/>
      <c r="G19890" s="87"/>
    </row>
    <row r="19891">
      <c r="A19891" s="86" t="str">
        <f>IFERROR(__xludf.DUMMYFUNCTION("""COMPUTED_VALUE"""),"")</f>
        <v/>
      </c>
      <c r="B19891" s="87"/>
      <c r="C19891" s="87"/>
      <c r="D19891" s="87"/>
      <c r="E19891" s="87"/>
      <c r="F19891" s="87"/>
      <c r="G19891" s="87"/>
    </row>
    <row r="19892">
      <c r="A19892" s="86" t="str">
        <f>IFERROR(__xludf.DUMMYFUNCTION("""COMPUTED_VALUE"""),"")</f>
        <v/>
      </c>
      <c r="B19892" s="87"/>
      <c r="C19892" s="87"/>
      <c r="D19892" s="87"/>
      <c r="E19892" s="87"/>
      <c r="F19892" s="87"/>
      <c r="G19892" s="87"/>
    </row>
    <row r="19893">
      <c r="A19893" s="86" t="str">
        <f>IFERROR(__xludf.DUMMYFUNCTION("""COMPUTED_VALUE"""),"")</f>
        <v/>
      </c>
      <c r="B19893" s="87"/>
      <c r="C19893" s="87"/>
      <c r="D19893" s="87"/>
      <c r="E19893" s="87"/>
      <c r="F19893" s="87"/>
      <c r="G19893" s="87"/>
    </row>
    <row r="19894">
      <c r="A19894" s="86" t="str">
        <f>IFERROR(__xludf.DUMMYFUNCTION("""COMPUTED_VALUE"""),"")</f>
        <v/>
      </c>
      <c r="B19894" s="87"/>
      <c r="C19894" s="87"/>
      <c r="D19894" s="87"/>
      <c r="E19894" s="87"/>
      <c r="F19894" s="87"/>
      <c r="G19894" s="87"/>
    </row>
    <row r="19895">
      <c r="A19895" s="86" t="str">
        <f>IFERROR(__xludf.DUMMYFUNCTION("""COMPUTED_VALUE"""),"")</f>
        <v/>
      </c>
      <c r="B19895" s="87"/>
      <c r="C19895" s="87"/>
      <c r="D19895" s="87"/>
      <c r="E19895" s="87"/>
      <c r="F19895" s="87"/>
      <c r="G19895" s="87"/>
    </row>
    <row r="19896">
      <c r="A19896" s="86" t="str">
        <f>IFERROR(__xludf.DUMMYFUNCTION("""COMPUTED_VALUE"""),"")</f>
        <v/>
      </c>
      <c r="B19896" s="87"/>
      <c r="C19896" s="87"/>
      <c r="D19896" s="87"/>
      <c r="E19896" s="87"/>
      <c r="F19896" s="87"/>
      <c r="G19896" s="87"/>
    </row>
    <row r="19897">
      <c r="A19897" s="86" t="str">
        <f>IFERROR(__xludf.DUMMYFUNCTION("""COMPUTED_VALUE"""),"")</f>
        <v/>
      </c>
      <c r="B19897" s="87"/>
      <c r="C19897" s="87"/>
      <c r="D19897" s="87"/>
      <c r="E19897" s="87"/>
      <c r="F19897" s="87"/>
      <c r="G19897" s="87"/>
    </row>
    <row r="19898">
      <c r="A19898" s="86" t="str">
        <f>IFERROR(__xludf.DUMMYFUNCTION("""COMPUTED_VALUE"""),"")</f>
        <v/>
      </c>
      <c r="B19898" s="87"/>
      <c r="C19898" s="87"/>
      <c r="D19898" s="87"/>
      <c r="E19898" s="87"/>
      <c r="F19898" s="87"/>
      <c r="G19898" s="87"/>
    </row>
    <row r="19899">
      <c r="A19899" s="86" t="str">
        <f>IFERROR(__xludf.DUMMYFUNCTION("""COMPUTED_VALUE"""),"")</f>
        <v/>
      </c>
      <c r="B19899" s="87"/>
      <c r="C19899" s="87"/>
      <c r="D19899" s="87"/>
      <c r="E19899" s="87"/>
      <c r="F19899" s="87"/>
      <c r="G19899" s="87"/>
    </row>
    <row r="19900">
      <c r="A19900" s="86" t="str">
        <f>IFERROR(__xludf.DUMMYFUNCTION("""COMPUTED_VALUE"""),"")</f>
        <v/>
      </c>
      <c r="B19900" s="87"/>
      <c r="C19900" s="87"/>
      <c r="D19900" s="87"/>
      <c r="E19900" s="87"/>
      <c r="F19900" s="87"/>
      <c r="G19900" s="87"/>
    </row>
    <row r="19901">
      <c r="A19901" s="86" t="str">
        <f>IFERROR(__xludf.DUMMYFUNCTION("""COMPUTED_VALUE"""),"")</f>
        <v/>
      </c>
      <c r="B19901" s="87"/>
      <c r="C19901" s="87"/>
      <c r="D19901" s="87"/>
      <c r="E19901" s="87"/>
      <c r="F19901" s="87"/>
      <c r="G19901" s="87"/>
    </row>
    <row r="19902">
      <c r="A19902" s="86" t="str">
        <f>IFERROR(__xludf.DUMMYFUNCTION("""COMPUTED_VALUE"""),"")</f>
        <v/>
      </c>
      <c r="B19902" s="87"/>
      <c r="C19902" s="87"/>
      <c r="D19902" s="87"/>
      <c r="E19902" s="87"/>
      <c r="F19902" s="87"/>
      <c r="G19902" s="87"/>
    </row>
    <row r="19903">
      <c r="A19903" s="86" t="str">
        <f>IFERROR(__xludf.DUMMYFUNCTION("""COMPUTED_VALUE"""),"")</f>
        <v/>
      </c>
      <c r="B19903" s="87"/>
      <c r="C19903" s="87"/>
      <c r="D19903" s="87"/>
      <c r="E19903" s="87"/>
      <c r="F19903" s="87"/>
      <c r="G19903" s="87"/>
    </row>
    <row r="19904">
      <c r="A19904" s="86" t="str">
        <f>IFERROR(__xludf.DUMMYFUNCTION("""COMPUTED_VALUE"""),"")</f>
        <v/>
      </c>
      <c r="B19904" s="87"/>
      <c r="C19904" s="87"/>
      <c r="D19904" s="87"/>
      <c r="E19904" s="87"/>
      <c r="F19904" s="87"/>
      <c r="G19904" s="87"/>
    </row>
    <row r="19905">
      <c r="A19905" s="86" t="str">
        <f>IFERROR(__xludf.DUMMYFUNCTION("""COMPUTED_VALUE"""),"")</f>
        <v/>
      </c>
      <c r="B19905" s="87"/>
      <c r="C19905" s="87"/>
      <c r="D19905" s="87"/>
      <c r="E19905" s="87"/>
      <c r="F19905" s="87"/>
      <c r="G19905" s="87"/>
    </row>
    <row r="19906">
      <c r="A19906" s="86" t="str">
        <f>IFERROR(__xludf.DUMMYFUNCTION("""COMPUTED_VALUE"""),"")</f>
        <v/>
      </c>
      <c r="B19906" s="87"/>
      <c r="C19906" s="87"/>
      <c r="D19906" s="87"/>
      <c r="E19906" s="87"/>
      <c r="F19906" s="87"/>
      <c r="G19906" s="87"/>
    </row>
    <row r="19907">
      <c r="A19907" s="86" t="str">
        <f>IFERROR(__xludf.DUMMYFUNCTION("""COMPUTED_VALUE"""),"")</f>
        <v/>
      </c>
      <c r="B19907" s="87"/>
      <c r="C19907" s="87"/>
      <c r="D19907" s="87"/>
      <c r="E19907" s="87"/>
      <c r="F19907" s="87"/>
      <c r="G19907" s="87"/>
    </row>
    <row r="19908">
      <c r="A19908" s="86" t="str">
        <f>IFERROR(__xludf.DUMMYFUNCTION("""COMPUTED_VALUE"""),"")</f>
        <v/>
      </c>
      <c r="B19908" s="87"/>
      <c r="C19908" s="87"/>
      <c r="D19908" s="87"/>
      <c r="E19908" s="87"/>
      <c r="F19908" s="87"/>
      <c r="G19908" s="87"/>
    </row>
    <row r="19909">
      <c r="A19909" s="86" t="str">
        <f>IFERROR(__xludf.DUMMYFUNCTION("""COMPUTED_VALUE"""),"")</f>
        <v/>
      </c>
      <c r="B19909" s="87"/>
      <c r="C19909" s="87"/>
      <c r="D19909" s="87"/>
      <c r="E19909" s="87"/>
      <c r="F19909" s="87"/>
      <c r="G19909" s="87"/>
    </row>
    <row r="19910">
      <c r="A19910" s="86" t="str">
        <f>IFERROR(__xludf.DUMMYFUNCTION("""COMPUTED_VALUE"""),"")</f>
        <v/>
      </c>
      <c r="B19910" s="87"/>
      <c r="C19910" s="87"/>
      <c r="D19910" s="87"/>
      <c r="E19910" s="87"/>
      <c r="F19910" s="87"/>
      <c r="G19910" s="87"/>
    </row>
    <row r="19911">
      <c r="A19911" s="86" t="str">
        <f>IFERROR(__xludf.DUMMYFUNCTION("""COMPUTED_VALUE"""),"")</f>
        <v/>
      </c>
      <c r="B19911" s="87"/>
      <c r="C19911" s="87"/>
      <c r="D19911" s="87"/>
      <c r="E19911" s="87"/>
      <c r="F19911" s="87"/>
      <c r="G19911" s="87"/>
    </row>
    <row r="19912">
      <c r="A19912" s="86" t="str">
        <f>IFERROR(__xludf.DUMMYFUNCTION("""COMPUTED_VALUE"""),"")</f>
        <v/>
      </c>
      <c r="B19912" s="87"/>
      <c r="C19912" s="87"/>
      <c r="D19912" s="87"/>
      <c r="E19912" s="87"/>
      <c r="F19912" s="87"/>
      <c r="G19912" s="87"/>
    </row>
    <row r="19913">
      <c r="A19913" s="86" t="str">
        <f>IFERROR(__xludf.DUMMYFUNCTION("""COMPUTED_VALUE"""),"")</f>
        <v/>
      </c>
      <c r="B19913" s="87"/>
      <c r="C19913" s="87"/>
      <c r="D19913" s="87"/>
      <c r="E19913" s="87"/>
      <c r="F19913" s="87"/>
      <c r="G19913" s="87"/>
    </row>
    <row r="19914">
      <c r="A19914" s="86" t="str">
        <f>IFERROR(__xludf.DUMMYFUNCTION("""COMPUTED_VALUE"""),"")</f>
        <v/>
      </c>
      <c r="B19914" s="87"/>
      <c r="C19914" s="87"/>
      <c r="D19914" s="87"/>
      <c r="E19914" s="87"/>
      <c r="F19914" s="87"/>
      <c r="G19914" s="87"/>
    </row>
    <row r="19915">
      <c r="A19915" s="86" t="str">
        <f>IFERROR(__xludf.DUMMYFUNCTION("""COMPUTED_VALUE"""),"")</f>
        <v/>
      </c>
      <c r="B19915" s="87"/>
      <c r="C19915" s="87"/>
      <c r="D19915" s="87"/>
      <c r="E19915" s="87"/>
      <c r="F19915" s="87"/>
      <c r="G19915" s="87"/>
    </row>
    <row r="19916">
      <c r="A19916" s="86" t="str">
        <f>IFERROR(__xludf.DUMMYFUNCTION("""COMPUTED_VALUE"""),"")</f>
        <v/>
      </c>
      <c r="B19916" s="87"/>
      <c r="C19916" s="87"/>
      <c r="D19916" s="87"/>
      <c r="E19916" s="87"/>
      <c r="F19916" s="87"/>
      <c r="G19916" s="87"/>
    </row>
    <row r="19917">
      <c r="A19917" s="86" t="str">
        <f>IFERROR(__xludf.DUMMYFUNCTION("""COMPUTED_VALUE"""),"")</f>
        <v/>
      </c>
      <c r="B19917" s="87"/>
      <c r="C19917" s="87"/>
      <c r="D19917" s="87"/>
      <c r="E19917" s="87"/>
      <c r="F19917" s="87"/>
      <c r="G19917" s="87"/>
    </row>
    <row r="19918">
      <c r="A19918" s="86" t="str">
        <f>IFERROR(__xludf.DUMMYFUNCTION("""COMPUTED_VALUE"""),"")</f>
        <v/>
      </c>
      <c r="B19918" s="87"/>
      <c r="C19918" s="87"/>
      <c r="D19918" s="87"/>
      <c r="E19918" s="87"/>
      <c r="F19918" s="87"/>
      <c r="G19918" s="87"/>
    </row>
    <row r="19919">
      <c r="A19919" s="86" t="str">
        <f>IFERROR(__xludf.DUMMYFUNCTION("""COMPUTED_VALUE"""),"")</f>
        <v/>
      </c>
      <c r="B19919" s="87"/>
      <c r="C19919" s="87"/>
      <c r="D19919" s="87"/>
      <c r="E19919" s="87"/>
      <c r="F19919" s="87"/>
      <c r="G19919" s="87"/>
    </row>
    <row r="19920">
      <c r="A19920" s="86" t="str">
        <f>IFERROR(__xludf.DUMMYFUNCTION("""COMPUTED_VALUE"""),"")</f>
        <v/>
      </c>
      <c r="B19920" s="87"/>
      <c r="C19920" s="87"/>
      <c r="D19920" s="87"/>
      <c r="E19920" s="87"/>
      <c r="F19920" s="87"/>
      <c r="G19920" s="87"/>
    </row>
    <row r="19921">
      <c r="A19921" s="86" t="str">
        <f>IFERROR(__xludf.DUMMYFUNCTION("""COMPUTED_VALUE"""),"")</f>
        <v/>
      </c>
      <c r="B19921" s="87"/>
      <c r="C19921" s="87"/>
      <c r="D19921" s="87"/>
      <c r="E19921" s="87"/>
      <c r="F19921" s="87"/>
      <c r="G19921" s="87"/>
    </row>
    <row r="19922">
      <c r="A19922" s="86" t="str">
        <f>IFERROR(__xludf.DUMMYFUNCTION("""COMPUTED_VALUE"""),"")</f>
        <v/>
      </c>
      <c r="B19922" s="87"/>
      <c r="C19922" s="87"/>
      <c r="D19922" s="87"/>
      <c r="E19922" s="87"/>
      <c r="F19922" s="87"/>
      <c r="G19922" s="87"/>
    </row>
    <row r="19923">
      <c r="A19923" s="86" t="str">
        <f>IFERROR(__xludf.DUMMYFUNCTION("""COMPUTED_VALUE"""),"")</f>
        <v/>
      </c>
      <c r="B19923" s="87"/>
      <c r="C19923" s="87"/>
      <c r="D19923" s="87"/>
      <c r="E19923" s="87"/>
      <c r="F19923" s="87"/>
      <c r="G19923" s="87"/>
    </row>
    <row r="19924">
      <c r="A19924" s="86" t="str">
        <f>IFERROR(__xludf.DUMMYFUNCTION("""COMPUTED_VALUE"""),"")</f>
        <v/>
      </c>
      <c r="B19924" s="87"/>
      <c r="C19924" s="87"/>
      <c r="D19924" s="87"/>
      <c r="E19924" s="87"/>
      <c r="F19924" s="87"/>
      <c r="G19924" s="87"/>
    </row>
    <row r="19925">
      <c r="A19925" s="86" t="str">
        <f>IFERROR(__xludf.DUMMYFUNCTION("""COMPUTED_VALUE"""),"")</f>
        <v/>
      </c>
      <c r="B19925" s="87"/>
      <c r="C19925" s="87"/>
      <c r="D19925" s="87"/>
      <c r="E19925" s="87"/>
      <c r="F19925" s="87"/>
      <c r="G19925" s="87"/>
    </row>
    <row r="19926">
      <c r="A19926" s="86" t="str">
        <f>IFERROR(__xludf.DUMMYFUNCTION("""COMPUTED_VALUE"""),"")</f>
        <v/>
      </c>
      <c r="B19926" s="87"/>
      <c r="C19926" s="87"/>
      <c r="D19926" s="87"/>
      <c r="E19926" s="87"/>
      <c r="F19926" s="87"/>
      <c r="G19926" s="87"/>
    </row>
    <row r="19927">
      <c r="A19927" s="86" t="str">
        <f>IFERROR(__xludf.DUMMYFUNCTION("""COMPUTED_VALUE"""),"")</f>
        <v/>
      </c>
      <c r="B19927" s="87"/>
      <c r="C19927" s="87"/>
      <c r="D19927" s="87"/>
      <c r="E19927" s="87"/>
      <c r="F19927" s="87"/>
      <c r="G19927" s="87"/>
    </row>
    <row r="19928">
      <c r="A19928" s="86" t="str">
        <f>IFERROR(__xludf.DUMMYFUNCTION("""COMPUTED_VALUE"""),"")</f>
        <v/>
      </c>
      <c r="B19928" s="87"/>
      <c r="C19928" s="87"/>
      <c r="D19928" s="87"/>
      <c r="E19928" s="87"/>
      <c r="F19928" s="87"/>
      <c r="G19928" s="87"/>
    </row>
    <row r="19929">
      <c r="A19929" s="86" t="str">
        <f>IFERROR(__xludf.DUMMYFUNCTION("""COMPUTED_VALUE"""),"")</f>
        <v/>
      </c>
      <c r="B19929" s="87"/>
      <c r="C19929" s="87"/>
      <c r="D19929" s="87"/>
      <c r="E19929" s="87"/>
      <c r="F19929" s="87"/>
      <c r="G19929" s="87"/>
    </row>
    <row r="19930">
      <c r="A19930" s="86" t="str">
        <f>IFERROR(__xludf.DUMMYFUNCTION("""COMPUTED_VALUE"""),"")</f>
        <v/>
      </c>
      <c r="B19930" s="87"/>
      <c r="C19930" s="87"/>
      <c r="D19930" s="87"/>
      <c r="E19930" s="87"/>
      <c r="F19930" s="87"/>
      <c r="G19930" s="87"/>
    </row>
    <row r="19931">
      <c r="A19931" s="86" t="str">
        <f>IFERROR(__xludf.DUMMYFUNCTION("""COMPUTED_VALUE"""),"")</f>
        <v/>
      </c>
      <c r="B19931" s="87"/>
      <c r="C19931" s="87"/>
      <c r="D19931" s="87"/>
      <c r="E19931" s="87"/>
      <c r="F19931" s="87"/>
      <c r="G19931" s="87"/>
    </row>
    <row r="19932">
      <c r="A19932" s="86" t="str">
        <f>IFERROR(__xludf.DUMMYFUNCTION("""COMPUTED_VALUE"""),"")</f>
        <v/>
      </c>
      <c r="B19932" s="87"/>
      <c r="C19932" s="87"/>
      <c r="D19932" s="87"/>
      <c r="E19932" s="87"/>
      <c r="F19932" s="87"/>
      <c r="G19932" s="87"/>
    </row>
    <row r="19933">
      <c r="A19933" s="86" t="str">
        <f>IFERROR(__xludf.DUMMYFUNCTION("""COMPUTED_VALUE"""),"")</f>
        <v/>
      </c>
      <c r="B19933" s="87"/>
      <c r="C19933" s="87"/>
      <c r="D19933" s="87"/>
      <c r="E19933" s="87"/>
      <c r="F19933" s="87"/>
      <c r="G19933" s="87"/>
    </row>
    <row r="19934">
      <c r="A19934" s="86" t="str">
        <f>IFERROR(__xludf.DUMMYFUNCTION("""COMPUTED_VALUE"""),"")</f>
        <v/>
      </c>
      <c r="B19934" s="87"/>
      <c r="C19934" s="87"/>
      <c r="D19934" s="87"/>
      <c r="E19934" s="87"/>
      <c r="F19934" s="87"/>
      <c r="G19934" s="87"/>
    </row>
    <row r="19935">
      <c r="A19935" s="86" t="str">
        <f>IFERROR(__xludf.DUMMYFUNCTION("""COMPUTED_VALUE"""),"")</f>
        <v/>
      </c>
      <c r="B19935" s="87"/>
      <c r="C19935" s="87"/>
      <c r="D19935" s="87"/>
      <c r="E19935" s="87"/>
      <c r="F19935" s="87"/>
      <c r="G19935" s="87"/>
    </row>
    <row r="19936">
      <c r="A19936" s="86" t="str">
        <f>IFERROR(__xludf.DUMMYFUNCTION("""COMPUTED_VALUE"""),"")</f>
        <v/>
      </c>
      <c r="B19936" s="87"/>
      <c r="C19936" s="87"/>
      <c r="D19936" s="87"/>
      <c r="E19936" s="87"/>
      <c r="F19936" s="87"/>
      <c r="G19936" s="87"/>
    </row>
    <row r="19937">
      <c r="A19937" s="86" t="str">
        <f>IFERROR(__xludf.DUMMYFUNCTION("""COMPUTED_VALUE"""),"")</f>
        <v/>
      </c>
      <c r="B19937" s="87"/>
      <c r="C19937" s="87"/>
      <c r="D19937" s="87"/>
      <c r="E19937" s="87"/>
      <c r="F19937" s="87"/>
      <c r="G19937" s="87"/>
    </row>
    <row r="19938">
      <c r="A19938" s="86" t="str">
        <f>IFERROR(__xludf.DUMMYFUNCTION("""COMPUTED_VALUE"""),"")</f>
        <v/>
      </c>
      <c r="B19938" s="87"/>
      <c r="C19938" s="87"/>
      <c r="D19938" s="87"/>
      <c r="E19938" s="87"/>
      <c r="F19938" s="87"/>
      <c r="G19938" s="87"/>
    </row>
    <row r="19939">
      <c r="A19939" s="86" t="str">
        <f>IFERROR(__xludf.DUMMYFUNCTION("""COMPUTED_VALUE"""),"")</f>
        <v/>
      </c>
      <c r="B19939" s="87"/>
      <c r="C19939" s="87"/>
      <c r="D19939" s="87"/>
      <c r="E19939" s="87"/>
      <c r="F19939" s="87"/>
      <c r="G19939" s="87"/>
    </row>
    <row r="19940">
      <c r="A19940" s="86" t="str">
        <f>IFERROR(__xludf.DUMMYFUNCTION("""COMPUTED_VALUE"""),"")</f>
        <v/>
      </c>
      <c r="B19940" s="87"/>
      <c r="C19940" s="87"/>
      <c r="D19940" s="87"/>
      <c r="E19940" s="87"/>
      <c r="F19940" s="87"/>
      <c r="G19940" s="87"/>
    </row>
    <row r="19941">
      <c r="A19941" s="86" t="str">
        <f>IFERROR(__xludf.DUMMYFUNCTION("""COMPUTED_VALUE"""),"")</f>
        <v/>
      </c>
      <c r="B19941" s="87"/>
      <c r="C19941" s="87"/>
      <c r="D19941" s="87"/>
      <c r="E19941" s="87"/>
      <c r="F19941" s="87"/>
      <c r="G19941" s="87"/>
    </row>
    <row r="19942">
      <c r="A19942" s="86" t="str">
        <f>IFERROR(__xludf.DUMMYFUNCTION("""COMPUTED_VALUE"""),"")</f>
        <v/>
      </c>
      <c r="B19942" s="87"/>
      <c r="C19942" s="87"/>
      <c r="D19942" s="87"/>
      <c r="E19942" s="87"/>
      <c r="F19942" s="87"/>
      <c r="G19942" s="87"/>
    </row>
    <row r="19943">
      <c r="A19943" s="86" t="str">
        <f>IFERROR(__xludf.DUMMYFUNCTION("""COMPUTED_VALUE"""),"")</f>
        <v/>
      </c>
      <c r="B19943" s="87"/>
      <c r="C19943" s="87"/>
      <c r="D19943" s="87"/>
      <c r="E19943" s="87"/>
      <c r="F19943" s="87"/>
      <c r="G19943" s="87"/>
    </row>
    <row r="19944">
      <c r="A19944" s="86" t="str">
        <f>IFERROR(__xludf.DUMMYFUNCTION("""COMPUTED_VALUE"""),"")</f>
        <v/>
      </c>
      <c r="B19944" s="87"/>
      <c r="C19944" s="87"/>
      <c r="D19944" s="87"/>
      <c r="E19944" s="87"/>
      <c r="F19944" s="87"/>
      <c r="G19944" s="87"/>
    </row>
    <row r="19945">
      <c r="A19945" s="86" t="str">
        <f>IFERROR(__xludf.DUMMYFUNCTION("""COMPUTED_VALUE"""),"")</f>
        <v/>
      </c>
      <c r="B19945" s="87"/>
      <c r="C19945" s="87"/>
      <c r="D19945" s="87"/>
      <c r="E19945" s="87"/>
      <c r="F19945" s="87"/>
      <c r="G19945" s="87"/>
    </row>
    <row r="19946">
      <c r="A19946" s="86" t="str">
        <f>IFERROR(__xludf.DUMMYFUNCTION("""COMPUTED_VALUE"""),"")</f>
        <v/>
      </c>
      <c r="B19946" s="87"/>
      <c r="C19946" s="87"/>
      <c r="D19946" s="87"/>
      <c r="E19946" s="87"/>
      <c r="F19946" s="87"/>
      <c r="G19946" s="87"/>
    </row>
    <row r="19947">
      <c r="A19947" s="86" t="str">
        <f>IFERROR(__xludf.DUMMYFUNCTION("""COMPUTED_VALUE"""),"")</f>
        <v/>
      </c>
      <c r="B19947" s="87"/>
      <c r="C19947" s="87"/>
      <c r="D19947" s="87"/>
      <c r="E19947" s="87"/>
      <c r="F19947" s="87"/>
      <c r="G19947" s="87"/>
    </row>
    <row r="19948">
      <c r="A19948" s="86" t="str">
        <f>IFERROR(__xludf.DUMMYFUNCTION("""COMPUTED_VALUE"""),"")</f>
        <v/>
      </c>
      <c r="B19948" s="87"/>
      <c r="C19948" s="87"/>
      <c r="D19948" s="87"/>
      <c r="E19948" s="87"/>
      <c r="F19948" s="87"/>
      <c r="G19948" s="87"/>
    </row>
    <row r="19949">
      <c r="A19949" s="86" t="str">
        <f>IFERROR(__xludf.DUMMYFUNCTION("""COMPUTED_VALUE"""),"")</f>
        <v/>
      </c>
      <c r="B19949" s="87"/>
      <c r="C19949" s="87"/>
      <c r="D19949" s="87"/>
      <c r="E19949" s="87"/>
      <c r="F19949" s="87"/>
      <c r="G19949" s="87"/>
    </row>
    <row r="19950">
      <c r="A19950" s="86" t="str">
        <f>IFERROR(__xludf.DUMMYFUNCTION("""COMPUTED_VALUE"""),"")</f>
        <v/>
      </c>
      <c r="B19950" s="87"/>
      <c r="C19950" s="87"/>
      <c r="D19950" s="87"/>
      <c r="E19950" s="87"/>
      <c r="F19950" s="87"/>
      <c r="G19950" s="87"/>
    </row>
    <row r="19951">
      <c r="A19951" s="86" t="str">
        <f>IFERROR(__xludf.DUMMYFUNCTION("""COMPUTED_VALUE"""),"")</f>
        <v/>
      </c>
      <c r="B19951" s="87"/>
      <c r="C19951" s="87"/>
      <c r="D19951" s="87"/>
      <c r="E19951" s="87"/>
      <c r="F19951" s="87"/>
      <c r="G19951" s="87"/>
    </row>
    <row r="19952">
      <c r="A19952" s="86" t="str">
        <f>IFERROR(__xludf.DUMMYFUNCTION("""COMPUTED_VALUE"""),"")</f>
        <v/>
      </c>
      <c r="B19952" s="87"/>
      <c r="C19952" s="87"/>
      <c r="D19952" s="87"/>
      <c r="E19952" s="87"/>
      <c r="F19952" s="87"/>
      <c r="G19952" s="87"/>
    </row>
    <row r="19953">
      <c r="A19953" s="86" t="str">
        <f>IFERROR(__xludf.DUMMYFUNCTION("""COMPUTED_VALUE"""),"")</f>
        <v/>
      </c>
      <c r="B19953" s="87"/>
      <c r="C19953" s="87"/>
      <c r="D19953" s="87"/>
      <c r="E19953" s="87"/>
      <c r="F19953" s="87"/>
      <c r="G19953" s="87"/>
    </row>
    <row r="19954">
      <c r="A19954" s="86" t="str">
        <f>IFERROR(__xludf.DUMMYFUNCTION("""COMPUTED_VALUE"""),"")</f>
        <v/>
      </c>
      <c r="B19954" s="87"/>
      <c r="C19954" s="87"/>
      <c r="D19954" s="87"/>
      <c r="E19954" s="87"/>
      <c r="F19954" s="87"/>
      <c r="G19954" s="87"/>
    </row>
    <row r="19955">
      <c r="A19955" s="86" t="str">
        <f>IFERROR(__xludf.DUMMYFUNCTION("""COMPUTED_VALUE"""),"")</f>
        <v/>
      </c>
      <c r="B19955" s="87"/>
      <c r="C19955" s="87"/>
      <c r="D19955" s="87"/>
      <c r="E19955" s="87"/>
      <c r="F19955" s="87"/>
      <c r="G19955" s="87"/>
    </row>
    <row r="19956">
      <c r="A19956" s="86" t="str">
        <f>IFERROR(__xludf.DUMMYFUNCTION("""COMPUTED_VALUE"""),"")</f>
        <v/>
      </c>
      <c r="B19956" s="87"/>
      <c r="C19956" s="87"/>
      <c r="D19956" s="87"/>
      <c r="E19956" s="87"/>
      <c r="F19956" s="87"/>
      <c r="G19956" s="87"/>
    </row>
    <row r="19957">
      <c r="A19957" s="86" t="str">
        <f>IFERROR(__xludf.DUMMYFUNCTION("""COMPUTED_VALUE"""),"")</f>
        <v/>
      </c>
      <c r="B19957" s="87"/>
      <c r="C19957" s="87"/>
      <c r="D19957" s="87"/>
      <c r="E19957" s="87"/>
      <c r="F19957" s="87"/>
      <c r="G19957" s="87"/>
    </row>
    <row r="19958">
      <c r="A19958" s="86" t="str">
        <f>IFERROR(__xludf.DUMMYFUNCTION("""COMPUTED_VALUE"""),"")</f>
        <v/>
      </c>
      <c r="B19958" s="87"/>
      <c r="C19958" s="87"/>
      <c r="D19958" s="87"/>
      <c r="E19958" s="87"/>
      <c r="F19958" s="87"/>
      <c r="G19958" s="87"/>
    </row>
    <row r="19959">
      <c r="A19959" s="86" t="str">
        <f>IFERROR(__xludf.DUMMYFUNCTION("""COMPUTED_VALUE"""),"")</f>
        <v/>
      </c>
      <c r="B19959" s="87"/>
      <c r="C19959" s="87"/>
      <c r="D19959" s="87"/>
      <c r="E19959" s="87"/>
      <c r="F19959" s="87"/>
      <c r="G19959" s="87"/>
    </row>
    <row r="19960">
      <c r="A19960" s="86" t="str">
        <f>IFERROR(__xludf.DUMMYFUNCTION("""COMPUTED_VALUE"""),"")</f>
        <v/>
      </c>
      <c r="B19960" s="87"/>
      <c r="C19960" s="87"/>
      <c r="D19960" s="87"/>
      <c r="E19960" s="87"/>
      <c r="F19960" s="87"/>
      <c r="G19960" s="87"/>
    </row>
    <row r="19961">
      <c r="A19961" s="86" t="str">
        <f>IFERROR(__xludf.DUMMYFUNCTION("""COMPUTED_VALUE"""),"")</f>
        <v/>
      </c>
      <c r="B19961" s="87"/>
      <c r="C19961" s="87"/>
      <c r="D19961" s="87"/>
      <c r="E19961" s="87"/>
      <c r="F19961" s="87"/>
      <c r="G19961" s="87"/>
    </row>
    <row r="19962">
      <c r="A19962" s="86" t="str">
        <f>IFERROR(__xludf.DUMMYFUNCTION("""COMPUTED_VALUE"""),"")</f>
        <v/>
      </c>
      <c r="B19962" s="87"/>
      <c r="C19962" s="87"/>
      <c r="D19962" s="87"/>
      <c r="E19962" s="87"/>
      <c r="F19962" s="87"/>
      <c r="G19962" s="87"/>
    </row>
    <row r="19963">
      <c r="A19963" s="86" t="str">
        <f>IFERROR(__xludf.DUMMYFUNCTION("""COMPUTED_VALUE"""),"")</f>
        <v/>
      </c>
      <c r="B19963" s="87"/>
      <c r="C19963" s="87"/>
      <c r="D19963" s="87"/>
      <c r="E19963" s="87"/>
      <c r="F19963" s="87"/>
      <c r="G19963" s="87"/>
    </row>
    <row r="19964">
      <c r="A19964" s="86" t="str">
        <f>IFERROR(__xludf.DUMMYFUNCTION("""COMPUTED_VALUE"""),"")</f>
        <v/>
      </c>
      <c r="B19964" s="87"/>
      <c r="C19964" s="87"/>
      <c r="D19964" s="87"/>
      <c r="E19964" s="87"/>
      <c r="F19964" s="87"/>
      <c r="G19964" s="87"/>
    </row>
    <row r="19965">
      <c r="A19965" s="86" t="str">
        <f>IFERROR(__xludf.DUMMYFUNCTION("""COMPUTED_VALUE"""),"")</f>
        <v/>
      </c>
      <c r="B19965" s="87"/>
      <c r="C19965" s="87"/>
      <c r="D19965" s="87"/>
      <c r="E19965" s="87"/>
      <c r="F19965" s="87"/>
      <c r="G19965" s="87"/>
    </row>
    <row r="19966">
      <c r="A19966" s="86" t="str">
        <f>IFERROR(__xludf.DUMMYFUNCTION("""COMPUTED_VALUE"""),"")</f>
        <v/>
      </c>
      <c r="B19966" s="87"/>
      <c r="C19966" s="87"/>
      <c r="D19966" s="87"/>
      <c r="E19966" s="87"/>
      <c r="F19966" s="87"/>
      <c r="G19966" s="87"/>
    </row>
    <row r="19967">
      <c r="A19967" s="86" t="str">
        <f>IFERROR(__xludf.DUMMYFUNCTION("""COMPUTED_VALUE"""),"")</f>
        <v/>
      </c>
      <c r="B19967" s="87"/>
      <c r="C19967" s="87"/>
      <c r="D19967" s="87"/>
      <c r="E19967" s="87"/>
      <c r="F19967" s="87"/>
      <c r="G19967" s="87"/>
    </row>
    <row r="19968">
      <c r="A19968" s="86" t="str">
        <f>IFERROR(__xludf.DUMMYFUNCTION("""COMPUTED_VALUE"""),"")</f>
        <v/>
      </c>
      <c r="B19968" s="87"/>
      <c r="C19968" s="87"/>
      <c r="D19968" s="87"/>
      <c r="E19968" s="87"/>
      <c r="F19968" s="87"/>
      <c r="G19968" s="87"/>
    </row>
    <row r="19969">
      <c r="A19969" s="86" t="str">
        <f>IFERROR(__xludf.DUMMYFUNCTION("""COMPUTED_VALUE"""),"")</f>
        <v/>
      </c>
      <c r="B19969" s="87"/>
      <c r="C19969" s="87"/>
      <c r="D19969" s="87"/>
      <c r="E19969" s="87"/>
      <c r="F19969" s="87"/>
      <c r="G19969" s="87"/>
    </row>
    <row r="19970">
      <c r="A19970" s="86" t="str">
        <f>IFERROR(__xludf.DUMMYFUNCTION("""COMPUTED_VALUE"""),"")</f>
        <v/>
      </c>
      <c r="B19970" s="87"/>
      <c r="C19970" s="87"/>
      <c r="D19970" s="87"/>
      <c r="E19970" s="87"/>
      <c r="F19970" s="87"/>
      <c r="G19970" s="87"/>
    </row>
    <row r="19971">
      <c r="A19971" s="86" t="str">
        <f>IFERROR(__xludf.DUMMYFUNCTION("""COMPUTED_VALUE"""),"")</f>
        <v/>
      </c>
      <c r="B19971" s="87"/>
      <c r="C19971" s="87"/>
      <c r="D19971" s="87"/>
      <c r="E19971" s="87"/>
      <c r="F19971" s="87"/>
      <c r="G19971" s="87"/>
    </row>
    <row r="19972">
      <c r="A19972" s="86" t="str">
        <f>IFERROR(__xludf.DUMMYFUNCTION("""COMPUTED_VALUE"""),"")</f>
        <v/>
      </c>
      <c r="B19972" s="87"/>
      <c r="C19972" s="87"/>
      <c r="D19972" s="87"/>
      <c r="E19972" s="87"/>
      <c r="F19972" s="87"/>
      <c r="G19972" s="87"/>
    </row>
    <row r="19973">
      <c r="A19973" s="86" t="str">
        <f>IFERROR(__xludf.DUMMYFUNCTION("""COMPUTED_VALUE"""),"")</f>
        <v/>
      </c>
      <c r="B19973" s="87"/>
      <c r="C19973" s="87"/>
      <c r="D19973" s="87"/>
      <c r="E19973" s="87"/>
      <c r="F19973" s="87"/>
      <c r="G19973" s="87"/>
    </row>
    <row r="19974">
      <c r="A19974" s="86" t="str">
        <f>IFERROR(__xludf.DUMMYFUNCTION("""COMPUTED_VALUE"""),"")</f>
        <v/>
      </c>
      <c r="B19974" s="87"/>
      <c r="C19974" s="87"/>
      <c r="D19974" s="87"/>
      <c r="E19974" s="87"/>
      <c r="F19974" s="87"/>
      <c r="G19974" s="87"/>
    </row>
    <row r="19975">
      <c r="A19975" s="86" t="str">
        <f>IFERROR(__xludf.DUMMYFUNCTION("""COMPUTED_VALUE"""),"")</f>
        <v/>
      </c>
      <c r="B19975" s="87"/>
      <c r="C19975" s="87"/>
      <c r="D19975" s="87"/>
      <c r="E19975" s="87"/>
      <c r="F19975" s="87"/>
      <c r="G19975" s="87"/>
    </row>
    <row r="19976">
      <c r="A19976" s="86" t="str">
        <f>IFERROR(__xludf.DUMMYFUNCTION("""COMPUTED_VALUE"""),"")</f>
        <v/>
      </c>
      <c r="B19976" s="87"/>
      <c r="C19976" s="87"/>
      <c r="D19976" s="87"/>
      <c r="E19976" s="87"/>
      <c r="F19976" s="87"/>
      <c r="G19976" s="87"/>
    </row>
    <row r="19977">
      <c r="A19977" s="86" t="str">
        <f>IFERROR(__xludf.DUMMYFUNCTION("""COMPUTED_VALUE"""),"")</f>
        <v/>
      </c>
      <c r="B19977" s="87"/>
      <c r="C19977" s="87"/>
      <c r="D19977" s="87"/>
      <c r="E19977" s="87"/>
      <c r="F19977" s="87"/>
      <c r="G19977" s="87"/>
    </row>
    <row r="19978">
      <c r="A19978" s="86" t="str">
        <f>IFERROR(__xludf.DUMMYFUNCTION("""COMPUTED_VALUE"""),"")</f>
        <v/>
      </c>
      <c r="B19978" s="87"/>
      <c r="C19978" s="87"/>
      <c r="D19978" s="87"/>
      <c r="E19978" s="87"/>
      <c r="F19978" s="87"/>
      <c r="G19978" s="87"/>
    </row>
    <row r="19979">
      <c r="A19979" s="86" t="str">
        <f>IFERROR(__xludf.DUMMYFUNCTION("""COMPUTED_VALUE"""),"")</f>
        <v/>
      </c>
      <c r="B19979" s="87"/>
      <c r="C19979" s="87"/>
      <c r="D19979" s="87"/>
      <c r="E19979" s="87"/>
      <c r="F19979" s="87"/>
      <c r="G19979" s="87"/>
    </row>
    <row r="19980">
      <c r="A19980" s="86" t="str">
        <f>IFERROR(__xludf.DUMMYFUNCTION("""COMPUTED_VALUE"""),"")</f>
        <v/>
      </c>
      <c r="B19980" s="87"/>
      <c r="C19980" s="87"/>
      <c r="D19980" s="87"/>
      <c r="E19980" s="87"/>
      <c r="F19980" s="87"/>
      <c r="G19980" s="87"/>
    </row>
    <row r="19981">
      <c r="A19981" s="86" t="str">
        <f>IFERROR(__xludf.DUMMYFUNCTION("""COMPUTED_VALUE"""),"")</f>
        <v/>
      </c>
      <c r="B19981" s="87"/>
      <c r="C19981" s="87"/>
      <c r="D19981" s="87"/>
      <c r="E19981" s="87"/>
      <c r="F19981" s="87"/>
      <c r="G19981" s="87"/>
    </row>
    <row r="19982">
      <c r="A19982" s="86" t="str">
        <f>IFERROR(__xludf.DUMMYFUNCTION("""COMPUTED_VALUE"""),"")</f>
        <v/>
      </c>
      <c r="B19982" s="87"/>
      <c r="C19982" s="87"/>
      <c r="D19982" s="87"/>
      <c r="E19982" s="87"/>
      <c r="F19982" s="87"/>
      <c r="G19982" s="87"/>
    </row>
    <row r="19983">
      <c r="A19983" s="86" t="str">
        <f>IFERROR(__xludf.DUMMYFUNCTION("""COMPUTED_VALUE"""),"")</f>
        <v/>
      </c>
      <c r="B19983" s="87"/>
      <c r="C19983" s="87"/>
      <c r="D19983" s="87"/>
      <c r="E19983" s="87"/>
      <c r="F19983" s="87"/>
      <c r="G19983" s="87"/>
    </row>
    <row r="19984">
      <c r="A19984" s="86" t="str">
        <f>IFERROR(__xludf.DUMMYFUNCTION("""COMPUTED_VALUE"""),"")</f>
        <v/>
      </c>
      <c r="B19984" s="87"/>
      <c r="C19984" s="87"/>
      <c r="D19984" s="87"/>
      <c r="E19984" s="87"/>
      <c r="F19984" s="87"/>
      <c r="G19984" s="87"/>
    </row>
    <row r="19985">
      <c r="A19985" s="86" t="str">
        <f>IFERROR(__xludf.DUMMYFUNCTION("""COMPUTED_VALUE"""),"")</f>
        <v/>
      </c>
      <c r="B19985" s="87"/>
      <c r="C19985" s="87"/>
      <c r="D19985" s="87"/>
      <c r="E19985" s="87"/>
      <c r="F19985" s="87"/>
      <c r="G19985" s="87"/>
    </row>
    <row r="19986">
      <c r="A19986" s="86" t="str">
        <f>IFERROR(__xludf.DUMMYFUNCTION("""COMPUTED_VALUE"""),"")</f>
        <v/>
      </c>
      <c r="B19986" s="87"/>
      <c r="C19986" s="87"/>
      <c r="D19986" s="87"/>
      <c r="E19986" s="87"/>
      <c r="F19986" s="87"/>
      <c r="G19986" s="87"/>
    </row>
    <row r="19987">
      <c r="A19987" s="86" t="str">
        <f>IFERROR(__xludf.DUMMYFUNCTION("""COMPUTED_VALUE"""),"")</f>
        <v/>
      </c>
      <c r="B19987" s="87"/>
      <c r="C19987" s="87"/>
      <c r="D19987" s="87"/>
      <c r="E19987" s="87"/>
      <c r="F19987" s="87"/>
      <c r="G19987" s="87"/>
    </row>
    <row r="19988">
      <c r="A19988" s="86" t="str">
        <f>IFERROR(__xludf.DUMMYFUNCTION("""COMPUTED_VALUE"""),"")</f>
        <v/>
      </c>
      <c r="B19988" s="87"/>
      <c r="C19988" s="87"/>
      <c r="D19988" s="87"/>
      <c r="E19988" s="87"/>
      <c r="F19988" s="87"/>
      <c r="G19988" s="87"/>
    </row>
    <row r="19989">
      <c r="A19989" s="86" t="str">
        <f>IFERROR(__xludf.DUMMYFUNCTION("""COMPUTED_VALUE"""),"")</f>
        <v/>
      </c>
      <c r="B19989" s="87"/>
      <c r="C19989" s="87"/>
      <c r="D19989" s="87"/>
      <c r="E19989" s="87"/>
      <c r="F19989" s="87"/>
      <c r="G19989" s="87"/>
    </row>
    <row r="19990">
      <c r="A19990" s="86" t="str">
        <f>IFERROR(__xludf.DUMMYFUNCTION("""COMPUTED_VALUE"""),"")</f>
        <v/>
      </c>
      <c r="B19990" s="87"/>
      <c r="C19990" s="87"/>
      <c r="D19990" s="87"/>
      <c r="E19990" s="87"/>
      <c r="F19990" s="87"/>
      <c r="G19990" s="87"/>
    </row>
    <row r="19991">
      <c r="A19991" s="86" t="str">
        <f>IFERROR(__xludf.DUMMYFUNCTION("""COMPUTED_VALUE"""),"")</f>
        <v/>
      </c>
      <c r="B19991" s="87"/>
      <c r="C19991" s="87"/>
      <c r="D19991" s="87"/>
      <c r="E19991" s="87"/>
      <c r="F19991" s="87"/>
      <c r="G19991" s="87"/>
    </row>
    <row r="19992">
      <c r="A19992" s="86" t="str">
        <f>IFERROR(__xludf.DUMMYFUNCTION("""COMPUTED_VALUE"""),"")</f>
        <v/>
      </c>
      <c r="B19992" s="87"/>
      <c r="C19992" s="87"/>
      <c r="D19992" s="87"/>
      <c r="E19992" s="87"/>
      <c r="F19992" s="87"/>
      <c r="G19992" s="87"/>
    </row>
    <row r="19993">
      <c r="A19993" s="86" t="str">
        <f>IFERROR(__xludf.DUMMYFUNCTION("""COMPUTED_VALUE"""),"")</f>
        <v/>
      </c>
      <c r="B19993" s="87"/>
      <c r="C19993" s="87"/>
      <c r="D19993" s="87"/>
      <c r="E19993" s="87"/>
      <c r="F19993" s="87"/>
      <c r="G19993" s="87"/>
    </row>
    <row r="19994">
      <c r="A19994" s="86" t="str">
        <f>IFERROR(__xludf.DUMMYFUNCTION("""COMPUTED_VALUE"""),"")</f>
        <v/>
      </c>
      <c r="B19994" s="87"/>
      <c r="C19994" s="87"/>
      <c r="D19994" s="87"/>
      <c r="E19994" s="87"/>
      <c r="F19994" s="87"/>
      <c r="G19994" s="87"/>
    </row>
    <row r="19995">
      <c r="A19995" s="86" t="str">
        <f>IFERROR(__xludf.DUMMYFUNCTION("""COMPUTED_VALUE"""),"")</f>
        <v/>
      </c>
      <c r="B19995" s="87"/>
      <c r="C19995" s="87"/>
      <c r="D19995" s="87"/>
      <c r="E19995" s="87"/>
      <c r="F19995" s="87"/>
      <c r="G19995" s="87"/>
    </row>
    <row r="19996">
      <c r="A19996" s="86" t="str">
        <f>IFERROR(__xludf.DUMMYFUNCTION("""COMPUTED_VALUE"""),"")</f>
        <v/>
      </c>
      <c r="B19996" s="87"/>
      <c r="C19996" s="87"/>
      <c r="D19996" s="87"/>
      <c r="E19996" s="87"/>
      <c r="F19996" s="87"/>
      <c r="G19996" s="87"/>
    </row>
    <row r="19997">
      <c r="A19997" s="86" t="str">
        <f>IFERROR(__xludf.DUMMYFUNCTION("""COMPUTED_VALUE"""),"")</f>
        <v/>
      </c>
      <c r="B19997" s="87"/>
      <c r="C19997" s="87"/>
      <c r="D19997" s="87"/>
      <c r="E19997" s="87"/>
      <c r="F19997" s="87"/>
      <c r="G19997" s="87"/>
    </row>
    <row r="19998">
      <c r="A19998" s="86" t="str">
        <f>IFERROR(__xludf.DUMMYFUNCTION("""COMPUTED_VALUE"""),"")</f>
        <v/>
      </c>
      <c r="B19998" s="87"/>
      <c r="C19998" s="87"/>
      <c r="D19998" s="87"/>
      <c r="E19998" s="87"/>
      <c r="F19998" s="87"/>
      <c r="G19998" s="87"/>
    </row>
    <row r="19999">
      <c r="A19999" s="86" t="str">
        <f>IFERROR(__xludf.DUMMYFUNCTION("""COMPUTED_VALUE"""),"")</f>
        <v/>
      </c>
      <c r="B19999" s="87"/>
      <c r="C19999" s="87"/>
      <c r="D19999" s="87"/>
      <c r="E19999" s="87"/>
      <c r="F19999" s="87"/>
      <c r="G19999" s="87"/>
    </row>
    <row r="20000">
      <c r="A20000" s="86" t="str">
        <f>IFERROR(__xludf.DUMMYFUNCTION("""COMPUTED_VALUE"""),"")</f>
        <v/>
      </c>
      <c r="B20000" s="87"/>
      <c r="C20000" s="87"/>
      <c r="D20000" s="87"/>
      <c r="E20000" s="87"/>
      <c r="F20000" s="87"/>
      <c r="G20000" s="87"/>
    </row>
    <row r="20001">
      <c r="A20001" s="86" t="str">
        <f>IFERROR(__xludf.DUMMYFUNCTION("""COMPUTED_VALUE"""),"")</f>
        <v/>
      </c>
      <c r="B20001" s="87"/>
      <c r="C20001" s="87"/>
      <c r="D20001" s="87"/>
      <c r="E20001" s="87"/>
      <c r="F20001" s="87"/>
      <c r="G20001" s="87"/>
    </row>
    <row r="20002">
      <c r="A20002" s="86" t="str">
        <f>IFERROR(__xludf.DUMMYFUNCTION("""COMPUTED_VALUE"""),"")</f>
        <v/>
      </c>
      <c r="B20002" s="87"/>
      <c r="C20002" s="87"/>
      <c r="D20002" s="87"/>
      <c r="E20002" s="87"/>
      <c r="F20002" s="87"/>
      <c r="G20002" s="87"/>
    </row>
    <row r="20003">
      <c r="A20003" s="86" t="str">
        <f>IFERROR(__xludf.DUMMYFUNCTION("""COMPUTED_VALUE"""),"")</f>
        <v/>
      </c>
      <c r="B20003" s="87"/>
      <c r="C20003" s="87"/>
      <c r="D20003" s="87"/>
      <c r="E20003" s="87"/>
      <c r="F20003" s="87"/>
      <c r="G20003" s="87"/>
    </row>
    <row r="20004">
      <c r="A20004" s="86" t="str">
        <f>IFERROR(__xludf.DUMMYFUNCTION("""COMPUTED_VALUE"""),"")</f>
        <v/>
      </c>
      <c r="B20004" s="87"/>
      <c r="C20004" s="87"/>
      <c r="D20004" s="87"/>
      <c r="E20004" s="87"/>
      <c r="F20004" s="87"/>
      <c r="G20004" s="87"/>
    </row>
    <row r="20005">
      <c r="A20005" s="86" t="str">
        <f>IFERROR(__xludf.DUMMYFUNCTION("""COMPUTED_VALUE"""),"")</f>
        <v/>
      </c>
      <c r="B20005" s="87"/>
      <c r="C20005" s="87"/>
      <c r="D20005" s="87"/>
      <c r="E20005" s="87"/>
      <c r="F20005" s="87"/>
      <c r="G20005" s="87"/>
    </row>
    <row r="20006">
      <c r="A20006" s="86" t="str">
        <f>IFERROR(__xludf.DUMMYFUNCTION("""COMPUTED_VALUE"""),"")</f>
        <v/>
      </c>
      <c r="B20006" s="87"/>
      <c r="C20006" s="87"/>
      <c r="D20006" s="87"/>
      <c r="E20006" s="87"/>
      <c r="F20006" s="87"/>
      <c r="G20006" s="87"/>
    </row>
    <row r="20007">
      <c r="A20007" s="86" t="str">
        <f>IFERROR(__xludf.DUMMYFUNCTION("""COMPUTED_VALUE"""),"")</f>
        <v/>
      </c>
      <c r="B20007" s="87"/>
      <c r="C20007" s="87"/>
      <c r="D20007" s="87"/>
      <c r="E20007" s="87"/>
      <c r="F20007" s="87"/>
      <c r="G20007" s="87"/>
    </row>
    <row r="20008">
      <c r="A20008" s="86" t="str">
        <f>IFERROR(__xludf.DUMMYFUNCTION("""COMPUTED_VALUE"""),"")</f>
        <v/>
      </c>
      <c r="B20008" s="87"/>
      <c r="C20008" s="87"/>
      <c r="D20008" s="87"/>
      <c r="E20008" s="87"/>
      <c r="F20008" s="87"/>
      <c r="G20008" s="87"/>
    </row>
    <row r="20009">
      <c r="A20009" s="86" t="str">
        <f>IFERROR(__xludf.DUMMYFUNCTION("""COMPUTED_VALUE"""),"")</f>
        <v/>
      </c>
      <c r="B20009" s="87"/>
      <c r="C20009" s="87"/>
      <c r="D20009" s="87"/>
      <c r="E20009" s="87"/>
      <c r="F20009" s="87"/>
      <c r="G20009" s="87"/>
    </row>
    <row r="20010">
      <c r="A20010" s="86" t="str">
        <f>IFERROR(__xludf.DUMMYFUNCTION("""COMPUTED_VALUE"""),"")</f>
        <v/>
      </c>
      <c r="B20010" s="87"/>
      <c r="C20010" s="87"/>
      <c r="D20010" s="87"/>
      <c r="E20010" s="87"/>
      <c r="F20010" s="87"/>
      <c r="G20010" s="87"/>
    </row>
    <row r="20011">
      <c r="A20011" s="86" t="str">
        <f>IFERROR(__xludf.DUMMYFUNCTION("""COMPUTED_VALUE"""),"")</f>
        <v/>
      </c>
      <c r="B20011" s="87"/>
      <c r="C20011" s="87"/>
      <c r="D20011" s="87"/>
      <c r="E20011" s="87"/>
      <c r="F20011" s="87"/>
      <c r="G20011" s="87"/>
    </row>
    <row r="20012">
      <c r="A20012" s="86" t="str">
        <f>IFERROR(__xludf.DUMMYFUNCTION("""COMPUTED_VALUE"""),"")</f>
        <v/>
      </c>
      <c r="B20012" s="87"/>
      <c r="C20012" s="87"/>
      <c r="D20012" s="87"/>
      <c r="E20012" s="87"/>
      <c r="F20012" s="87"/>
      <c r="G20012" s="87"/>
    </row>
    <row r="20013">
      <c r="A20013" s="86" t="str">
        <f>IFERROR(__xludf.DUMMYFUNCTION("""COMPUTED_VALUE"""),"")</f>
        <v/>
      </c>
      <c r="B20013" s="87"/>
      <c r="C20013" s="87"/>
      <c r="D20013" s="87"/>
      <c r="E20013" s="87"/>
      <c r="F20013" s="87"/>
      <c r="G20013" s="87"/>
    </row>
    <row r="20014">
      <c r="A20014" s="86" t="str">
        <f>IFERROR(__xludf.DUMMYFUNCTION("""COMPUTED_VALUE"""),"")</f>
        <v/>
      </c>
      <c r="B20014" s="87"/>
      <c r="C20014" s="87"/>
      <c r="D20014" s="87"/>
      <c r="E20014" s="87"/>
      <c r="F20014" s="87"/>
      <c r="G20014" s="87"/>
    </row>
    <row r="20015">
      <c r="A20015" s="86" t="str">
        <f>IFERROR(__xludf.DUMMYFUNCTION("""COMPUTED_VALUE"""),"")</f>
        <v/>
      </c>
      <c r="B20015" s="87"/>
      <c r="C20015" s="87"/>
      <c r="D20015" s="87"/>
      <c r="E20015" s="87"/>
      <c r="F20015" s="87"/>
      <c r="G20015" s="87"/>
    </row>
    <row r="20016">
      <c r="A20016" s="86" t="str">
        <f>IFERROR(__xludf.DUMMYFUNCTION("""COMPUTED_VALUE"""),"")</f>
        <v/>
      </c>
      <c r="B20016" s="87"/>
      <c r="C20016" s="87"/>
      <c r="D20016" s="87"/>
      <c r="E20016" s="87"/>
      <c r="F20016" s="87"/>
      <c r="G20016" s="87"/>
    </row>
    <row r="20017">
      <c r="A20017" s="86" t="str">
        <f>IFERROR(__xludf.DUMMYFUNCTION("""COMPUTED_VALUE"""),"")</f>
        <v/>
      </c>
      <c r="B20017" s="87"/>
      <c r="C20017" s="87"/>
      <c r="D20017" s="87"/>
      <c r="E20017" s="87"/>
      <c r="F20017" s="87"/>
      <c r="G20017" s="87"/>
    </row>
    <row r="20018">
      <c r="A20018" s="86" t="str">
        <f>IFERROR(__xludf.DUMMYFUNCTION("""COMPUTED_VALUE"""),"")</f>
        <v/>
      </c>
      <c r="B20018" s="87"/>
      <c r="C20018" s="87"/>
      <c r="D20018" s="87"/>
      <c r="E20018" s="87"/>
      <c r="F20018" s="87"/>
      <c r="G20018" s="87"/>
    </row>
    <row r="20019">
      <c r="A20019" s="86" t="str">
        <f>IFERROR(__xludf.DUMMYFUNCTION("""COMPUTED_VALUE"""),"")</f>
        <v/>
      </c>
      <c r="B20019" s="87"/>
      <c r="C20019" s="87"/>
      <c r="D20019" s="87"/>
      <c r="E20019" s="87"/>
      <c r="F20019" s="87"/>
      <c r="G20019" s="87"/>
    </row>
    <row r="20020">
      <c r="A20020" s="86" t="str">
        <f>IFERROR(__xludf.DUMMYFUNCTION("""COMPUTED_VALUE"""),"")</f>
        <v/>
      </c>
      <c r="B20020" s="87"/>
      <c r="C20020" s="87"/>
      <c r="D20020" s="87"/>
      <c r="E20020" s="87"/>
      <c r="F20020" s="87"/>
      <c r="G20020" s="87"/>
    </row>
    <row r="20021">
      <c r="A20021" s="86" t="str">
        <f>IFERROR(__xludf.DUMMYFUNCTION("""COMPUTED_VALUE"""),"")</f>
        <v/>
      </c>
      <c r="B20021" s="87"/>
      <c r="C20021" s="87"/>
      <c r="D20021" s="87"/>
      <c r="E20021" s="87"/>
      <c r="F20021" s="87"/>
      <c r="G20021" s="87"/>
    </row>
    <row r="20022">
      <c r="A20022" s="86" t="str">
        <f>IFERROR(__xludf.DUMMYFUNCTION("""COMPUTED_VALUE"""),"")</f>
        <v/>
      </c>
      <c r="B20022" s="87"/>
      <c r="C20022" s="87"/>
      <c r="D20022" s="87"/>
      <c r="E20022" s="87"/>
      <c r="F20022" s="87"/>
      <c r="G20022" s="87"/>
    </row>
    <row r="20023">
      <c r="A20023" s="86" t="str">
        <f>IFERROR(__xludf.DUMMYFUNCTION("""COMPUTED_VALUE"""),"")</f>
        <v/>
      </c>
      <c r="B20023" s="87"/>
      <c r="C20023" s="87"/>
      <c r="D20023" s="87"/>
      <c r="E20023" s="87"/>
      <c r="F20023" s="87"/>
      <c r="G20023" s="87"/>
    </row>
    <row r="20024">
      <c r="A20024" s="86" t="str">
        <f>IFERROR(__xludf.DUMMYFUNCTION("""COMPUTED_VALUE"""),"")</f>
        <v/>
      </c>
      <c r="B20024" s="87"/>
      <c r="C20024" s="87"/>
      <c r="D20024" s="87"/>
      <c r="E20024" s="87"/>
      <c r="F20024" s="87"/>
      <c r="G20024" s="87"/>
    </row>
    <row r="20025">
      <c r="A20025" s="86" t="str">
        <f>IFERROR(__xludf.DUMMYFUNCTION("""COMPUTED_VALUE"""),"")</f>
        <v/>
      </c>
      <c r="B20025" s="87"/>
      <c r="C20025" s="87"/>
      <c r="D20025" s="87"/>
      <c r="E20025" s="87"/>
      <c r="F20025" s="87"/>
      <c r="G20025" s="87"/>
    </row>
    <row r="20026">
      <c r="A20026" s="86" t="str">
        <f>IFERROR(__xludf.DUMMYFUNCTION("""COMPUTED_VALUE"""),"")</f>
        <v/>
      </c>
      <c r="B20026" s="87"/>
      <c r="C20026" s="87"/>
      <c r="D20026" s="87"/>
      <c r="E20026" s="87"/>
      <c r="F20026" s="87"/>
      <c r="G20026" s="87"/>
    </row>
    <row r="20027">
      <c r="A20027" s="86" t="str">
        <f>IFERROR(__xludf.DUMMYFUNCTION("""COMPUTED_VALUE"""),"")</f>
        <v/>
      </c>
      <c r="B20027" s="87"/>
      <c r="C20027" s="87"/>
      <c r="D20027" s="87"/>
      <c r="E20027" s="87"/>
      <c r="F20027" s="87"/>
      <c r="G20027" s="87"/>
    </row>
    <row r="20028">
      <c r="A20028" s="86" t="str">
        <f>IFERROR(__xludf.DUMMYFUNCTION("""COMPUTED_VALUE"""),"")</f>
        <v/>
      </c>
      <c r="B20028" s="87"/>
      <c r="C20028" s="87"/>
      <c r="D20028" s="87"/>
      <c r="E20028" s="87"/>
      <c r="F20028" s="87"/>
      <c r="G20028" s="87"/>
    </row>
    <row r="20029">
      <c r="A20029" s="86" t="str">
        <f>IFERROR(__xludf.DUMMYFUNCTION("""COMPUTED_VALUE"""),"")</f>
        <v/>
      </c>
      <c r="B20029" s="87"/>
      <c r="C20029" s="87"/>
      <c r="D20029" s="87"/>
      <c r="E20029" s="87"/>
      <c r="F20029" s="87"/>
      <c r="G20029" s="87"/>
    </row>
    <row r="20030">
      <c r="A20030" s="86" t="str">
        <f>IFERROR(__xludf.DUMMYFUNCTION("""COMPUTED_VALUE"""),"")</f>
        <v/>
      </c>
      <c r="B20030" s="87"/>
      <c r="C20030" s="87"/>
      <c r="D20030" s="87"/>
      <c r="E20030" s="87"/>
      <c r="F20030" s="87"/>
      <c r="G20030" s="87"/>
    </row>
    <row r="20031">
      <c r="A20031" s="86" t="str">
        <f>IFERROR(__xludf.DUMMYFUNCTION("""COMPUTED_VALUE"""),"")</f>
        <v/>
      </c>
      <c r="B20031" s="87"/>
      <c r="C20031" s="87"/>
      <c r="D20031" s="87"/>
      <c r="E20031" s="87"/>
      <c r="F20031" s="87"/>
      <c r="G20031" s="87"/>
    </row>
    <row r="20032">
      <c r="A20032" s="86" t="str">
        <f>IFERROR(__xludf.DUMMYFUNCTION("""COMPUTED_VALUE"""),"")</f>
        <v/>
      </c>
      <c r="B20032" s="87"/>
      <c r="C20032" s="87"/>
      <c r="D20032" s="87"/>
      <c r="E20032" s="87"/>
      <c r="F20032" s="87"/>
      <c r="G20032" s="87"/>
    </row>
    <row r="20033">
      <c r="A20033" s="86" t="str">
        <f>IFERROR(__xludf.DUMMYFUNCTION("""COMPUTED_VALUE"""),"")</f>
        <v/>
      </c>
      <c r="B20033" s="87"/>
      <c r="C20033" s="87"/>
      <c r="D20033" s="87"/>
      <c r="E20033" s="87"/>
      <c r="F20033" s="87"/>
      <c r="G20033" s="87"/>
    </row>
    <row r="20034">
      <c r="A20034" s="86" t="str">
        <f>IFERROR(__xludf.DUMMYFUNCTION("""COMPUTED_VALUE"""),"")</f>
        <v/>
      </c>
      <c r="B20034" s="87"/>
      <c r="C20034" s="87"/>
      <c r="D20034" s="87"/>
      <c r="E20034" s="87"/>
      <c r="F20034" s="87"/>
      <c r="G20034" s="87"/>
    </row>
    <row r="20035">
      <c r="A20035" s="86" t="str">
        <f>IFERROR(__xludf.DUMMYFUNCTION("""COMPUTED_VALUE"""),"")</f>
        <v/>
      </c>
      <c r="B20035" s="87"/>
      <c r="C20035" s="87"/>
      <c r="D20035" s="87"/>
      <c r="E20035" s="87"/>
      <c r="F20035" s="87"/>
      <c r="G20035" s="87"/>
    </row>
    <row r="20036">
      <c r="A20036" s="86" t="str">
        <f>IFERROR(__xludf.DUMMYFUNCTION("""COMPUTED_VALUE"""),"")</f>
        <v/>
      </c>
      <c r="B20036" s="87"/>
      <c r="C20036" s="87"/>
      <c r="D20036" s="87"/>
      <c r="E20036" s="87"/>
      <c r="F20036" s="87"/>
      <c r="G20036" s="87"/>
    </row>
    <row r="20037">
      <c r="A20037" s="86" t="str">
        <f>IFERROR(__xludf.DUMMYFUNCTION("""COMPUTED_VALUE"""),"")</f>
        <v/>
      </c>
      <c r="B20037" s="87"/>
      <c r="C20037" s="87"/>
      <c r="D20037" s="87"/>
      <c r="E20037" s="87"/>
      <c r="F20037" s="87"/>
      <c r="G20037" s="87"/>
    </row>
    <row r="20038">
      <c r="A20038" s="86" t="str">
        <f>IFERROR(__xludf.DUMMYFUNCTION("""COMPUTED_VALUE"""),"")</f>
        <v/>
      </c>
      <c r="B20038" s="87"/>
      <c r="C20038" s="87"/>
      <c r="D20038" s="87"/>
      <c r="E20038" s="87"/>
      <c r="F20038" s="87"/>
      <c r="G20038" s="87"/>
    </row>
    <row r="20039">
      <c r="A20039" s="86" t="str">
        <f>IFERROR(__xludf.DUMMYFUNCTION("""COMPUTED_VALUE"""),"")</f>
        <v/>
      </c>
      <c r="B20039" s="87"/>
      <c r="C20039" s="87"/>
      <c r="D20039" s="87"/>
      <c r="E20039" s="87"/>
      <c r="F20039" s="87"/>
      <c r="G20039" s="87"/>
    </row>
    <row r="20040">
      <c r="A20040" s="86" t="str">
        <f>IFERROR(__xludf.DUMMYFUNCTION("""COMPUTED_VALUE"""),"")</f>
        <v/>
      </c>
      <c r="B20040" s="87"/>
      <c r="C20040" s="87"/>
      <c r="D20040" s="87"/>
      <c r="E20040" s="87"/>
      <c r="F20040" s="87"/>
      <c r="G20040" s="87"/>
    </row>
    <row r="20041">
      <c r="A20041" s="86" t="str">
        <f>IFERROR(__xludf.DUMMYFUNCTION("""COMPUTED_VALUE"""),"")</f>
        <v/>
      </c>
      <c r="B20041" s="87"/>
      <c r="C20041" s="87"/>
      <c r="D20041" s="87"/>
      <c r="E20041" s="87"/>
      <c r="F20041" s="87"/>
      <c r="G20041" s="87"/>
    </row>
    <row r="20042">
      <c r="A20042" s="86" t="str">
        <f>IFERROR(__xludf.DUMMYFUNCTION("""COMPUTED_VALUE"""),"")</f>
        <v/>
      </c>
      <c r="B20042" s="87"/>
      <c r="C20042" s="87"/>
      <c r="D20042" s="87"/>
      <c r="E20042" s="87"/>
      <c r="F20042" s="87"/>
      <c r="G20042" s="87"/>
    </row>
    <row r="20043">
      <c r="A20043" s="86" t="str">
        <f>IFERROR(__xludf.DUMMYFUNCTION("""COMPUTED_VALUE"""),"")</f>
        <v/>
      </c>
      <c r="B20043" s="87"/>
      <c r="C20043" s="87"/>
      <c r="D20043" s="87"/>
      <c r="E20043" s="87"/>
      <c r="F20043" s="87"/>
      <c r="G20043" s="87"/>
    </row>
    <row r="20044">
      <c r="A20044" s="86" t="str">
        <f>IFERROR(__xludf.DUMMYFUNCTION("""COMPUTED_VALUE"""),"")</f>
        <v/>
      </c>
      <c r="B20044" s="87"/>
      <c r="C20044" s="87"/>
      <c r="D20044" s="87"/>
      <c r="E20044" s="87"/>
      <c r="F20044" s="87"/>
      <c r="G20044" s="87"/>
    </row>
    <row r="20045">
      <c r="A20045" s="86" t="str">
        <f>IFERROR(__xludf.DUMMYFUNCTION("""COMPUTED_VALUE"""),"")</f>
        <v/>
      </c>
      <c r="B20045" s="87"/>
      <c r="C20045" s="87"/>
      <c r="D20045" s="87"/>
      <c r="E20045" s="87"/>
      <c r="F20045" s="87"/>
      <c r="G20045" s="87"/>
    </row>
    <row r="20046">
      <c r="A20046" s="86" t="str">
        <f>IFERROR(__xludf.DUMMYFUNCTION("""COMPUTED_VALUE"""),"")</f>
        <v/>
      </c>
      <c r="B20046" s="87"/>
      <c r="C20046" s="87"/>
      <c r="D20046" s="87"/>
      <c r="E20046" s="87"/>
      <c r="F20046" s="87"/>
      <c r="G20046" s="87"/>
    </row>
    <row r="20047">
      <c r="A20047" s="86" t="str">
        <f>IFERROR(__xludf.DUMMYFUNCTION("""COMPUTED_VALUE"""),"")</f>
        <v/>
      </c>
      <c r="B20047" s="87"/>
      <c r="C20047" s="87"/>
      <c r="D20047" s="87"/>
      <c r="E20047" s="87"/>
      <c r="F20047" s="87"/>
      <c r="G20047" s="87"/>
    </row>
    <row r="20048">
      <c r="A20048" s="86" t="str">
        <f>IFERROR(__xludf.DUMMYFUNCTION("""COMPUTED_VALUE"""),"")</f>
        <v/>
      </c>
      <c r="B20048" s="87"/>
      <c r="C20048" s="87"/>
      <c r="D20048" s="87"/>
      <c r="E20048" s="87"/>
      <c r="F20048" s="87"/>
      <c r="G20048" s="87"/>
    </row>
    <row r="20049">
      <c r="A20049" s="86" t="str">
        <f>IFERROR(__xludf.DUMMYFUNCTION("""COMPUTED_VALUE"""),"")</f>
        <v/>
      </c>
      <c r="B20049" s="87"/>
      <c r="C20049" s="87"/>
      <c r="D20049" s="87"/>
      <c r="E20049" s="87"/>
      <c r="F20049" s="87"/>
      <c r="G20049" s="87"/>
    </row>
    <row r="20050">
      <c r="A20050" s="86" t="str">
        <f>IFERROR(__xludf.DUMMYFUNCTION("""COMPUTED_VALUE"""),"")</f>
        <v/>
      </c>
      <c r="B20050" s="87"/>
      <c r="C20050" s="87"/>
      <c r="D20050" s="87"/>
      <c r="E20050" s="87"/>
      <c r="F20050" s="87"/>
      <c r="G20050" s="87"/>
    </row>
    <row r="20051">
      <c r="A20051" s="86" t="str">
        <f>IFERROR(__xludf.DUMMYFUNCTION("""COMPUTED_VALUE"""),"")</f>
        <v/>
      </c>
      <c r="B20051" s="87"/>
      <c r="C20051" s="87"/>
      <c r="D20051" s="87"/>
      <c r="E20051" s="87"/>
      <c r="F20051" s="87"/>
      <c r="G20051" s="87"/>
    </row>
    <row r="20052">
      <c r="A20052" s="86" t="str">
        <f>IFERROR(__xludf.DUMMYFUNCTION("""COMPUTED_VALUE"""),"")</f>
        <v/>
      </c>
      <c r="B20052" s="87"/>
      <c r="C20052" s="87"/>
      <c r="D20052" s="87"/>
      <c r="E20052" s="87"/>
      <c r="F20052" s="87"/>
      <c r="G20052" s="87"/>
    </row>
    <row r="20053">
      <c r="A20053" s="86" t="str">
        <f>IFERROR(__xludf.DUMMYFUNCTION("""COMPUTED_VALUE"""),"")</f>
        <v/>
      </c>
      <c r="B20053" s="87"/>
      <c r="C20053" s="87"/>
      <c r="D20053" s="87"/>
      <c r="E20053" s="87"/>
      <c r="F20053" s="87"/>
      <c r="G20053" s="87"/>
    </row>
    <row r="20054">
      <c r="A20054" s="86" t="str">
        <f>IFERROR(__xludf.DUMMYFUNCTION("""COMPUTED_VALUE"""),"")</f>
        <v/>
      </c>
      <c r="B20054" s="87"/>
      <c r="C20054" s="87"/>
      <c r="D20054" s="87"/>
      <c r="E20054" s="87"/>
      <c r="F20054" s="87"/>
      <c r="G20054" s="87"/>
    </row>
    <row r="20055">
      <c r="A20055" s="86" t="str">
        <f>IFERROR(__xludf.DUMMYFUNCTION("""COMPUTED_VALUE"""),"")</f>
        <v/>
      </c>
      <c r="B20055" s="87"/>
      <c r="C20055" s="87"/>
      <c r="D20055" s="87"/>
      <c r="E20055" s="87"/>
      <c r="F20055" s="87"/>
      <c r="G20055" s="87"/>
    </row>
    <row r="20056">
      <c r="A20056" s="86" t="str">
        <f>IFERROR(__xludf.DUMMYFUNCTION("""COMPUTED_VALUE"""),"")</f>
        <v/>
      </c>
      <c r="B20056" s="87"/>
      <c r="C20056" s="87"/>
      <c r="D20056" s="87"/>
      <c r="E20056" s="87"/>
      <c r="F20056" s="87"/>
      <c r="G20056" s="87"/>
    </row>
    <row r="20057">
      <c r="A20057" s="86" t="str">
        <f>IFERROR(__xludf.DUMMYFUNCTION("""COMPUTED_VALUE"""),"")</f>
        <v/>
      </c>
      <c r="B20057" s="87"/>
      <c r="C20057" s="87"/>
      <c r="D20057" s="87"/>
      <c r="E20057" s="87"/>
      <c r="F20057" s="87"/>
      <c r="G20057" s="87"/>
    </row>
    <row r="20058">
      <c r="A20058" s="86" t="str">
        <f>IFERROR(__xludf.DUMMYFUNCTION("""COMPUTED_VALUE"""),"")</f>
        <v/>
      </c>
      <c r="B20058" s="87"/>
      <c r="C20058" s="87"/>
      <c r="D20058" s="87"/>
      <c r="E20058" s="87"/>
      <c r="F20058" s="87"/>
      <c r="G20058" s="87"/>
    </row>
    <row r="20059">
      <c r="A20059" s="86" t="str">
        <f>IFERROR(__xludf.DUMMYFUNCTION("""COMPUTED_VALUE"""),"")</f>
        <v/>
      </c>
      <c r="B20059" s="87"/>
      <c r="C20059" s="87"/>
      <c r="D20059" s="87"/>
      <c r="E20059" s="87"/>
      <c r="F20059" s="87"/>
      <c r="G20059" s="87"/>
    </row>
    <row r="20060">
      <c r="A20060" s="86" t="str">
        <f>IFERROR(__xludf.DUMMYFUNCTION("""COMPUTED_VALUE"""),"")</f>
        <v/>
      </c>
      <c r="B20060" s="87"/>
      <c r="C20060" s="87"/>
      <c r="D20060" s="87"/>
      <c r="E20060" s="87"/>
      <c r="F20060" s="87"/>
      <c r="G20060" s="87"/>
    </row>
    <row r="20061">
      <c r="A20061" s="86" t="str">
        <f>IFERROR(__xludf.DUMMYFUNCTION("""COMPUTED_VALUE"""),"")</f>
        <v/>
      </c>
      <c r="B20061" s="87"/>
      <c r="C20061" s="87"/>
      <c r="D20061" s="87"/>
      <c r="E20061" s="87"/>
      <c r="F20061" s="87"/>
      <c r="G20061" s="87"/>
    </row>
    <row r="20062">
      <c r="A20062" s="86" t="str">
        <f>IFERROR(__xludf.DUMMYFUNCTION("""COMPUTED_VALUE"""),"")</f>
        <v/>
      </c>
      <c r="B20062" s="87"/>
      <c r="C20062" s="87"/>
      <c r="D20062" s="87"/>
      <c r="E20062" s="87"/>
      <c r="F20062" s="87"/>
      <c r="G20062" s="87"/>
    </row>
    <row r="20063">
      <c r="A20063" s="86" t="str">
        <f>IFERROR(__xludf.DUMMYFUNCTION("""COMPUTED_VALUE"""),"")</f>
        <v/>
      </c>
      <c r="B20063" s="87"/>
      <c r="C20063" s="87"/>
      <c r="D20063" s="87"/>
      <c r="E20063" s="87"/>
      <c r="F20063" s="87"/>
      <c r="G20063" s="87"/>
    </row>
    <row r="20064">
      <c r="A20064" s="86" t="str">
        <f>IFERROR(__xludf.DUMMYFUNCTION("""COMPUTED_VALUE"""),"")</f>
        <v/>
      </c>
      <c r="B20064" s="87"/>
      <c r="C20064" s="87"/>
      <c r="D20064" s="87"/>
      <c r="E20064" s="87"/>
      <c r="F20064" s="87"/>
      <c r="G20064" s="87"/>
    </row>
    <row r="20065">
      <c r="A20065" s="86" t="str">
        <f>IFERROR(__xludf.DUMMYFUNCTION("""COMPUTED_VALUE"""),"")</f>
        <v/>
      </c>
      <c r="B20065" s="87"/>
      <c r="C20065" s="87"/>
      <c r="D20065" s="87"/>
      <c r="E20065" s="87"/>
      <c r="F20065" s="87"/>
      <c r="G20065" s="87"/>
    </row>
    <row r="20066">
      <c r="A20066" s="86" t="str">
        <f>IFERROR(__xludf.DUMMYFUNCTION("""COMPUTED_VALUE"""),"")</f>
        <v/>
      </c>
      <c r="B20066" s="87"/>
      <c r="C20066" s="87"/>
      <c r="D20066" s="87"/>
      <c r="E20066" s="87"/>
      <c r="F20066" s="87"/>
      <c r="G20066" s="87"/>
    </row>
    <row r="20067">
      <c r="A20067" s="86" t="str">
        <f>IFERROR(__xludf.DUMMYFUNCTION("""COMPUTED_VALUE"""),"")</f>
        <v/>
      </c>
      <c r="B20067" s="87"/>
      <c r="C20067" s="87"/>
      <c r="D20067" s="87"/>
      <c r="E20067" s="87"/>
      <c r="F20067" s="87"/>
      <c r="G20067" s="87"/>
    </row>
    <row r="20068">
      <c r="A20068" s="86" t="str">
        <f>IFERROR(__xludf.DUMMYFUNCTION("""COMPUTED_VALUE"""),"")</f>
        <v/>
      </c>
      <c r="B20068" s="87"/>
      <c r="C20068" s="87"/>
      <c r="D20068" s="87"/>
      <c r="E20068" s="87"/>
      <c r="F20068" s="87"/>
      <c r="G20068" s="87"/>
    </row>
    <row r="20069">
      <c r="A20069" s="86" t="str">
        <f>IFERROR(__xludf.DUMMYFUNCTION("""COMPUTED_VALUE"""),"")</f>
        <v/>
      </c>
      <c r="B20069" s="87"/>
      <c r="C20069" s="87"/>
      <c r="D20069" s="87"/>
      <c r="E20069" s="87"/>
      <c r="F20069" s="87"/>
      <c r="G20069" s="87"/>
    </row>
    <row r="20070">
      <c r="A20070" s="86" t="str">
        <f>IFERROR(__xludf.DUMMYFUNCTION("""COMPUTED_VALUE"""),"")</f>
        <v/>
      </c>
      <c r="B20070" s="87"/>
      <c r="C20070" s="87"/>
      <c r="D20070" s="87"/>
      <c r="E20070" s="87"/>
      <c r="F20070" s="87"/>
      <c r="G20070" s="87"/>
    </row>
    <row r="20071">
      <c r="A20071" s="86" t="str">
        <f>IFERROR(__xludf.DUMMYFUNCTION("""COMPUTED_VALUE"""),"")</f>
        <v/>
      </c>
      <c r="B20071" s="87"/>
      <c r="C20071" s="87"/>
      <c r="D20071" s="87"/>
      <c r="E20071" s="87"/>
      <c r="F20071" s="87"/>
      <c r="G20071" s="87"/>
    </row>
    <row r="20072">
      <c r="A20072" s="86" t="str">
        <f>IFERROR(__xludf.DUMMYFUNCTION("""COMPUTED_VALUE"""),"")</f>
        <v/>
      </c>
      <c r="B20072" s="87"/>
      <c r="C20072" s="87"/>
      <c r="D20072" s="87"/>
      <c r="E20072" s="87"/>
      <c r="F20072" s="87"/>
      <c r="G20072" s="87"/>
    </row>
    <row r="20073">
      <c r="A20073" s="86" t="str">
        <f>IFERROR(__xludf.DUMMYFUNCTION("""COMPUTED_VALUE"""),"")</f>
        <v/>
      </c>
      <c r="B20073" s="87"/>
      <c r="C20073" s="87"/>
      <c r="D20073" s="87"/>
      <c r="E20073" s="87"/>
      <c r="F20073" s="87"/>
      <c r="G20073" s="87"/>
    </row>
    <row r="20074">
      <c r="A20074" s="86" t="str">
        <f>IFERROR(__xludf.DUMMYFUNCTION("""COMPUTED_VALUE"""),"")</f>
        <v/>
      </c>
      <c r="B20074" s="87"/>
      <c r="C20074" s="87"/>
      <c r="D20074" s="87"/>
      <c r="E20074" s="87"/>
      <c r="F20074" s="87"/>
      <c r="G20074" s="87"/>
    </row>
    <row r="20075">
      <c r="A20075" s="86" t="str">
        <f>IFERROR(__xludf.DUMMYFUNCTION("""COMPUTED_VALUE"""),"")</f>
        <v/>
      </c>
      <c r="B20075" s="87"/>
      <c r="C20075" s="87"/>
      <c r="D20075" s="87"/>
      <c r="E20075" s="87"/>
      <c r="F20075" s="87"/>
      <c r="G20075" s="87"/>
    </row>
    <row r="20076">
      <c r="A20076" s="86" t="str">
        <f>IFERROR(__xludf.DUMMYFUNCTION("""COMPUTED_VALUE"""),"")</f>
        <v/>
      </c>
      <c r="B20076" s="87"/>
      <c r="C20076" s="87"/>
      <c r="D20076" s="87"/>
      <c r="E20076" s="87"/>
      <c r="F20076" s="87"/>
      <c r="G20076" s="87"/>
    </row>
    <row r="20077">
      <c r="A20077" s="86" t="str">
        <f>IFERROR(__xludf.DUMMYFUNCTION("""COMPUTED_VALUE"""),"")</f>
        <v/>
      </c>
      <c r="B20077" s="87"/>
      <c r="C20077" s="87"/>
      <c r="D20077" s="87"/>
      <c r="E20077" s="87"/>
      <c r="F20077" s="87"/>
      <c r="G20077" s="87"/>
    </row>
    <row r="20078">
      <c r="A20078" s="86" t="str">
        <f>IFERROR(__xludf.DUMMYFUNCTION("""COMPUTED_VALUE"""),"")</f>
        <v/>
      </c>
      <c r="B20078" s="87"/>
      <c r="C20078" s="87"/>
      <c r="D20078" s="87"/>
      <c r="E20078" s="87"/>
      <c r="F20078" s="87"/>
      <c r="G20078" s="87"/>
    </row>
    <row r="20079">
      <c r="A20079" s="86" t="str">
        <f>IFERROR(__xludf.DUMMYFUNCTION("""COMPUTED_VALUE"""),"")</f>
        <v/>
      </c>
      <c r="B20079" s="87"/>
      <c r="C20079" s="87"/>
      <c r="D20079" s="87"/>
      <c r="E20079" s="87"/>
      <c r="F20079" s="87"/>
      <c r="G20079" s="87"/>
    </row>
    <row r="20080">
      <c r="A20080" s="86" t="str">
        <f>IFERROR(__xludf.DUMMYFUNCTION("""COMPUTED_VALUE"""),"")</f>
        <v/>
      </c>
      <c r="B20080" s="87"/>
      <c r="C20080" s="87"/>
      <c r="D20080" s="87"/>
      <c r="E20080" s="87"/>
      <c r="F20080" s="87"/>
      <c r="G20080" s="87"/>
    </row>
    <row r="20081">
      <c r="A20081" s="86" t="str">
        <f>IFERROR(__xludf.DUMMYFUNCTION("""COMPUTED_VALUE"""),"")</f>
        <v/>
      </c>
      <c r="B20081" s="87"/>
      <c r="C20081" s="87"/>
      <c r="D20081" s="87"/>
      <c r="E20081" s="87"/>
      <c r="F20081" s="87"/>
      <c r="G20081" s="87"/>
    </row>
    <row r="20082">
      <c r="A20082" s="86" t="str">
        <f>IFERROR(__xludf.DUMMYFUNCTION("""COMPUTED_VALUE"""),"")</f>
        <v/>
      </c>
      <c r="B20082" s="87"/>
      <c r="C20082" s="87"/>
      <c r="D20082" s="87"/>
      <c r="E20082" s="87"/>
      <c r="F20082" s="87"/>
      <c r="G20082" s="87"/>
    </row>
    <row r="20083">
      <c r="A20083" s="86" t="str">
        <f>IFERROR(__xludf.DUMMYFUNCTION("""COMPUTED_VALUE"""),"")</f>
        <v/>
      </c>
      <c r="B20083" s="87"/>
      <c r="C20083" s="87"/>
      <c r="D20083" s="87"/>
      <c r="E20083" s="87"/>
      <c r="F20083" s="87"/>
      <c r="G20083" s="87"/>
    </row>
    <row r="20084">
      <c r="A20084" s="86" t="str">
        <f>IFERROR(__xludf.DUMMYFUNCTION("""COMPUTED_VALUE"""),"")</f>
        <v/>
      </c>
      <c r="B20084" s="87"/>
      <c r="C20084" s="87"/>
      <c r="D20084" s="87"/>
      <c r="E20084" s="87"/>
      <c r="F20084" s="87"/>
      <c r="G20084" s="87"/>
    </row>
    <row r="20085">
      <c r="A20085" s="86" t="str">
        <f>IFERROR(__xludf.DUMMYFUNCTION("""COMPUTED_VALUE"""),"")</f>
        <v/>
      </c>
      <c r="B20085" s="87"/>
      <c r="C20085" s="87"/>
      <c r="D20085" s="87"/>
      <c r="E20085" s="87"/>
      <c r="F20085" s="87"/>
      <c r="G20085" s="87"/>
    </row>
    <row r="20086">
      <c r="A20086" s="86" t="str">
        <f>IFERROR(__xludf.DUMMYFUNCTION("""COMPUTED_VALUE"""),"")</f>
        <v/>
      </c>
      <c r="B20086" s="87"/>
      <c r="C20086" s="87"/>
      <c r="D20086" s="87"/>
      <c r="E20086" s="87"/>
      <c r="F20086" s="87"/>
      <c r="G20086" s="87"/>
    </row>
    <row r="20087">
      <c r="A20087" s="86" t="str">
        <f>IFERROR(__xludf.DUMMYFUNCTION("""COMPUTED_VALUE"""),"")</f>
        <v/>
      </c>
      <c r="B20087" s="87"/>
      <c r="C20087" s="87"/>
      <c r="D20087" s="87"/>
      <c r="E20087" s="87"/>
      <c r="F20087" s="87"/>
      <c r="G20087" s="87"/>
    </row>
    <row r="20088">
      <c r="A20088" s="86" t="str">
        <f>IFERROR(__xludf.DUMMYFUNCTION("""COMPUTED_VALUE"""),"")</f>
        <v/>
      </c>
      <c r="B20088" s="87"/>
      <c r="C20088" s="87"/>
      <c r="D20088" s="87"/>
      <c r="E20088" s="87"/>
      <c r="F20088" s="87"/>
      <c r="G20088" s="87"/>
    </row>
    <row r="20089">
      <c r="A20089" s="86" t="str">
        <f>IFERROR(__xludf.DUMMYFUNCTION("""COMPUTED_VALUE"""),"")</f>
        <v/>
      </c>
      <c r="B20089" s="87"/>
      <c r="C20089" s="87"/>
      <c r="D20089" s="87"/>
      <c r="E20089" s="87"/>
      <c r="F20089" s="87"/>
      <c r="G20089" s="87"/>
    </row>
    <row r="20090">
      <c r="A20090" s="86" t="str">
        <f>IFERROR(__xludf.DUMMYFUNCTION("""COMPUTED_VALUE"""),"")</f>
        <v/>
      </c>
      <c r="B20090" s="87"/>
      <c r="C20090" s="87"/>
      <c r="D20090" s="87"/>
      <c r="E20090" s="87"/>
      <c r="F20090" s="87"/>
      <c r="G20090" s="87"/>
    </row>
    <row r="20091">
      <c r="A20091" s="86" t="str">
        <f>IFERROR(__xludf.DUMMYFUNCTION("""COMPUTED_VALUE"""),"")</f>
        <v/>
      </c>
      <c r="B20091" s="87"/>
      <c r="C20091" s="87"/>
      <c r="D20091" s="87"/>
      <c r="E20091" s="87"/>
      <c r="F20091" s="87"/>
      <c r="G20091" s="87"/>
    </row>
    <row r="20092">
      <c r="A20092" s="86" t="str">
        <f>IFERROR(__xludf.DUMMYFUNCTION("""COMPUTED_VALUE"""),"")</f>
        <v/>
      </c>
      <c r="B20092" s="87"/>
      <c r="C20092" s="87"/>
      <c r="D20092" s="87"/>
      <c r="E20092" s="87"/>
      <c r="F20092" s="87"/>
      <c r="G20092" s="87"/>
    </row>
    <row r="20093">
      <c r="A20093" s="86" t="str">
        <f>IFERROR(__xludf.DUMMYFUNCTION("""COMPUTED_VALUE"""),"")</f>
        <v/>
      </c>
      <c r="B20093" s="87"/>
      <c r="C20093" s="87"/>
      <c r="D20093" s="87"/>
      <c r="E20093" s="87"/>
      <c r="F20093" s="87"/>
      <c r="G20093" s="87"/>
    </row>
    <row r="20094">
      <c r="A20094" s="86" t="str">
        <f>IFERROR(__xludf.DUMMYFUNCTION("""COMPUTED_VALUE"""),"")</f>
        <v/>
      </c>
      <c r="B20094" s="87"/>
      <c r="C20094" s="87"/>
      <c r="D20094" s="87"/>
      <c r="E20094" s="87"/>
      <c r="F20094" s="87"/>
      <c r="G20094" s="87"/>
    </row>
    <row r="20095">
      <c r="A20095" s="86" t="str">
        <f>IFERROR(__xludf.DUMMYFUNCTION("""COMPUTED_VALUE"""),"")</f>
        <v/>
      </c>
      <c r="B20095" s="87"/>
      <c r="C20095" s="87"/>
      <c r="D20095" s="87"/>
      <c r="E20095" s="87"/>
      <c r="F20095" s="87"/>
      <c r="G20095" s="87"/>
    </row>
    <row r="20096">
      <c r="A20096" s="86" t="str">
        <f>IFERROR(__xludf.DUMMYFUNCTION("""COMPUTED_VALUE"""),"")</f>
        <v/>
      </c>
      <c r="B20096" s="87"/>
      <c r="C20096" s="87"/>
      <c r="D20096" s="87"/>
      <c r="E20096" s="87"/>
      <c r="F20096" s="87"/>
      <c r="G20096" s="87"/>
    </row>
    <row r="20097">
      <c r="A20097" s="86" t="str">
        <f>IFERROR(__xludf.DUMMYFUNCTION("""COMPUTED_VALUE"""),"")</f>
        <v/>
      </c>
      <c r="B20097" s="87"/>
      <c r="C20097" s="87"/>
      <c r="D20097" s="87"/>
      <c r="E20097" s="87"/>
      <c r="F20097" s="87"/>
      <c r="G20097" s="87"/>
    </row>
    <row r="20098">
      <c r="A20098" s="86" t="str">
        <f>IFERROR(__xludf.DUMMYFUNCTION("""COMPUTED_VALUE"""),"")</f>
        <v/>
      </c>
      <c r="B20098" s="87"/>
      <c r="C20098" s="87"/>
      <c r="D20098" s="87"/>
      <c r="E20098" s="87"/>
      <c r="F20098" s="87"/>
      <c r="G20098" s="87"/>
    </row>
    <row r="20099">
      <c r="A20099" s="86" t="str">
        <f>IFERROR(__xludf.DUMMYFUNCTION("""COMPUTED_VALUE"""),"")</f>
        <v/>
      </c>
      <c r="B20099" s="87"/>
      <c r="C20099" s="87"/>
      <c r="D20099" s="87"/>
      <c r="E20099" s="87"/>
      <c r="F20099" s="87"/>
      <c r="G20099" s="87"/>
    </row>
    <row r="20100">
      <c r="A20100" s="86" t="str">
        <f>IFERROR(__xludf.DUMMYFUNCTION("""COMPUTED_VALUE"""),"")</f>
        <v/>
      </c>
      <c r="B20100" s="87"/>
      <c r="C20100" s="87"/>
      <c r="D20100" s="87"/>
      <c r="E20100" s="87"/>
      <c r="F20100" s="87"/>
      <c r="G20100" s="87"/>
    </row>
    <row r="20101">
      <c r="A20101" s="86" t="str">
        <f>IFERROR(__xludf.DUMMYFUNCTION("""COMPUTED_VALUE"""),"")</f>
        <v/>
      </c>
      <c r="B20101" s="87"/>
      <c r="C20101" s="87"/>
      <c r="D20101" s="87"/>
      <c r="E20101" s="87"/>
      <c r="F20101" s="87"/>
      <c r="G20101" s="87"/>
    </row>
    <row r="20102">
      <c r="A20102" s="86" t="str">
        <f>IFERROR(__xludf.DUMMYFUNCTION("""COMPUTED_VALUE"""),"")</f>
        <v/>
      </c>
      <c r="B20102" s="87"/>
      <c r="C20102" s="87"/>
      <c r="D20102" s="87"/>
      <c r="E20102" s="87"/>
      <c r="F20102" s="87"/>
      <c r="G20102" s="87"/>
    </row>
    <row r="20103">
      <c r="A20103" s="86" t="str">
        <f>IFERROR(__xludf.DUMMYFUNCTION("""COMPUTED_VALUE"""),"")</f>
        <v/>
      </c>
      <c r="B20103" s="87"/>
      <c r="C20103" s="87"/>
      <c r="D20103" s="87"/>
      <c r="E20103" s="87"/>
      <c r="F20103" s="87"/>
      <c r="G20103" s="87"/>
    </row>
    <row r="20104">
      <c r="A20104" s="86" t="str">
        <f>IFERROR(__xludf.DUMMYFUNCTION("""COMPUTED_VALUE"""),"")</f>
        <v/>
      </c>
      <c r="B20104" s="87"/>
      <c r="C20104" s="87"/>
      <c r="D20104" s="87"/>
      <c r="E20104" s="87"/>
      <c r="F20104" s="87"/>
      <c r="G20104" s="87"/>
    </row>
    <row r="20105">
      <c r="A20105" s="86" t="str">
        <f>IFERROR(__xludf.DUMMYFUNCTION("""COMPUTED_VALUE"""),"")</f>
        <v/>
      </c>
      <c r="B20105" s="87"/>
      <c r="C20105" s="87"/>
      <c r="D20105" s="87"/>
      <c r="E20105" s="87"/>
      <c r="F20105" s="87"/>
      <c r="G20105" s="87"/>
    </row>
    <row r="20106">
      <c r="A20106" s="86" t="str">
        <f>IFERROR(__xludf.DUMMYFUNCTION("""COMPUTED_VALUE"""),"")</f>
        <v/>
      </c>
      <c r="B20106" s="87"/>
      <c r="C20106" s="87"/>
      <c r="D20106" s="87"/>
      <c r="E20106" s="87"/>
      <c r="F20106" s="87"/>
      <c r="G20106" s="87"/>
    </row>
    <row r="20107">
      <c r="A20107" s="86" t="str">
        <f>IFERROR(__xludf.DUMMYFUNCTION("""COMPUTED_VALUE"""),"")</f>
        <v/>
      </c>
      <c r="B20107" s="87"/>
      <c r="C20107" s="87"/>
      <c r="D20107" s="87"/>
      <c r="E20107" s="87"/>
      <c r="F20107" s="87"/>
      <c r="G20107" s="87"/>
    </row>
    <row r="20108">
      <c r="A20108" s="86" t="str">
        <f>IFERROR(__xludf.DUMMYFUNCTION("""COMPUTED_VALUE"""),"")</f>
        <v/>
      </c>
      <c r="B20108" s="87"/>
      <c r="C20108" s="87"/>
      <c r="D20108" s="87"/>
      <c r="E20108" s="87"/>
      <c r="F20108" s="87"/>
      <c r="G20108" s="87"/>
    </row>
    <row r="20109">
      <c r="A20109" s="86" t="str">
        <f>IFERROR(__xludf.DUMMYFUNCTION("""COMPUTED_VALUE"""),"")</f>
        <v/>
      </c>
      <c r="B20109" s="87"/>
      <c r="C20109" s="87"/>
      <c r="D20109" s="87"/>
      <c r="E20109" s="87"/>
      <c r="F20109" s="87"/>
      <c r="G20109" s="87"/>
    </row>
    <row r="20110">
      <c r="A20110" s="86" t="str">
        <f>IFERROR(__xludf.DUMMYFUNCTION("""COMPUTED_VALUE"""),"")</f>
        <v/>
      </c>
      <c r="B20110" s="87"/>
      <c r="C20110" s="87"/>
      <c r="D20110" s="87"/>
      <c r="E20110" s="87"/>
      <c r="F20110" s="87"/>
      <c r="G20110" s="87"/>
    </row>
    <row r="20111">
      <c r="A20111" s="86" t="str">
        <f>IFERROR(__xludf.DUMMYFUNCTION("""COMPUTED_VALUE"""),"")</f>
        <v/>
      </c>
      <c r="B20111" s="87"/>
      <c r="C20111" s="87"/>
      <c r="D20111" s="87"/>
      <c r="E20111" s="87"/>
      <c r="F20111" s="87"/>
      <c r="G20111" s="87"/>
    </row>
    <row r="20112">
      <c r="A20112" s="86" t="str">
        <f>IFERROR(__xludf.DUMMYFUNCTION("""COMPUTED_VALUE"""),"")</f>
        <v/>
      </c>
      <c r="B20112" s="87"/>
      <c r="C20112" s="87"/>
      <c r="D20112" s="87"/>
      <c r="E20112" s="87"/>
      <c r="F20112" s="87"/>
      <c r="G20112" s="87"/>
    </row>
    <row r="20113">
      <c r="A20113" s="86" t="str">
        <f>IFERROR(__xludf.DUMMYFUNCTION("""COMPUTED_VALUE"""),"")</f>
        <v/>
      </c>
      <c r="B20113" s="87"/>
      <c r="C20113" s="87"/>
      <c r="D20113" s="87"/>
      <c r="E20113" s="87"/>
      <c r="F20113" s="87"/>
      <c r="G20113" s="87"/>
    </row>
    <row r="20114">
      <c r="A20114" s="86" t="str">
        <f>IFERROR(__xludf.DUMMYFUNCTION("""COMPUTED_VALUE"""),"")</f>
        <v/>
      </c>
      <c r="B20114" s="87"/>
      <c r="C20114" s="87"/>
      <c r="D20114" s="87"/>
      <c r="E20114" s="87"/>
      <c r="F20114" s="87"/>
      <c r="G20114" s="87"/>
    </row>
    <row r="20115">
      <c r="A20115" s="86" t="str">
        <f>IFERROR(__xludf.DUMMYFUNCTION("""COMPUTED_VALUE"""),"")</f>
        <v/>
      </c>
      <c r="B20115" s="87"/>
      <c r="C20115" s="87"/>
      <c r="D20115" s="87"/>
      <c r="E20115" s="87"/>
      <c r="F20115" s="87"/>
      <c r="G20115" s="87"/>
    </row>
    <row r="20116">
      <c r="A20116" s="86" t="str">
        <f>IFERROR(__xludf.DUMMYFUNCTION("""COMPUTED_VALUE"""),"")</f>
        <v/>
      </c>
      <c r="B20116" s="87"/>
      <c r="C20116" s="87"/>
      <c r="D20116" s="87"/>
      <c r="E20116" s="87"/>
      <c r="F20116" s="87"/>
      <c r="G20116" s="87"/>
    </row>
    <row r="20117">
      <c r="A20117" s="86" t="str">
        <f>IFERROR(__xludf.DUMMYFUNCTION("""COMPUTED_VALUE"""),"")</f>
        <v/>
      </c>
      <c r="B20117" s="87"/>
      <c r="C20117" s="87"/>
      <c r="D20117" s="87"/>
      <c r="E20117" s="87"/>
      <c r="F20117" s="87"/>
      <c r="G20117" s="87"/>
    </row>
    <row r="20118">
      <c r="A20118" s="86" t="str">
        <f>IFERROR(__xludf.DUMMYFUNCTION("""COMPUTED_VALUE"""),"")</f>
        <v/>
      </c>
      <c r="B20118" s="87"/>
      <c r="C20118" s="87"/>
      <c r="D20118" s="87"/>
      <c r="E20118" s="87"/>
      <c r="F20118" s="87"/>
      <c r="G20118" s="87"/>
    </row>
    <row r="20119">
      <c r="A20119" s="86" t="str">
        <f>IFERROR(__xludf.DUMMYFUNCTION("""COMPUTED_VALUE"""),"")</f>
        <v/>
      </c>
      <c r="B20119" s="87"/>
      <c r="C20119" s="87"/>
      <c r="D20119" s="87"/>
      <c r="E20119" s="87"/>
      <c r="F20119" s="87"/>
      <c r="G20119" s="87"/>
    </row>
    <row r="20120">
      <c r="A20120" s="86" t="str">
        <f>IFERROR(__xludf.DUMMYFUNCTION("""COMPUTED_VALUE"""),"")</f>
        <v/>
      </c>
      <c r="B20120" s="87"/>
      <c r="C20120" s="87"/>
      <c r="D20120" s="87"/>
      <c r="E20120" s="87"/>
      <c r="F20120" s="87"/>
      <c r="G20120" s="87"/>
    </row>
    <row r="20121">
      <c r="A20121" s="86" t="str">
        <f>IFERROR(__xludf.DUMMYFUNCTION("""COMPUTED_VALUE"""),"")</f>
        <v/>
      </c>
      <c r="B20121" s="87"/>
      <c r="C20121" s="87"/>
      <c r="D20121" s="87"/>
      <c r="E20121" s="87"/>
      <c r="F20121" s="87"/>
      <c r="G20121" s="87"/>
    </row>
    <row r="20122">
      <c r="A20122" s="86" t="str">
        <f>IFERROR(__xludf.DUMMYFUNCTION("""COMPUTED_VALUE"""),"")</f>
        <v/>
      </c>
      <c r="B20122" s="87"/>
      <c r="C20122" s="87"/>
      <c r="D20122" s="87"/>
      <c r="E20122" s="87"/>
      <c r="F20122" s="87"/>
      <c r="G20122" s="87"/>
    </row>
    <row r="20123">
      <c r="A20123" s="86" t="str">
        <f>IFERROR(__xludf.DUMMYFUNCTION("""COMPUTED_VALUE"""),"")</f>
        <v/>
      </c>
      <c r="B20123" s="87"/>
      <c r="C20123" s="87"/>
      <c r="D20123" s="87"/>
      <c r="E20123" s="87"/>
      <c r="F20123" s="87"/>
      <c r="G20123" s="87"/>
    </row>
    <row r="20124">
      <c r="A20124" s="86" t="str">
        <f>IFERROR(__xludf.DUMMYFUNCTION("""COMPUTED_VALUE"""),"")</f>
        <v/>
      </c>
      <c r="B20124" s="87"/>
      <c r="C20124" s="87"/>
      <c r="D20124" s="87"/>
      <c r="E20124" s="87"/>
      <c r="F20124" s="87"/>
      <c r="G20124" s="87"/>
    </row>
    <row r="20125">
      <c r="A20125" s="86" t="str">
        <f>IFERROR(__xludf.DUMMYFUNCTION("""COMPUTED_VALUE"""),"")</f>
        <v/>
      </c>
      <c r="B20125" s="87"/>
      <c r="C20125" s="87"/>
      <c r="D20125" s="87"/>
      <c r="E20125" s="87"/>
      <c r="F20125" s="87"/>
      <c r="G20125" s="87"/>
    </row>
    <row r="20126">
      <c r="A20126" s="86" t="str">
        <f>IFERROR(__xludf.DUMMYFUNCTION("""COMPUTED_VALUE"""),"")</f>
        <v/>
      </c>
      <c r="B20126" s="87"/>
      <c r="C20126" s="87"/>
      <c r="D20126" s="87"/>
      <c r="E20126" s="87"/>
      <c r="F20126" s="87"/>
      <c r="G20126" s="87"/>
    </row>
    <row r="20127">
      <c r="A20127" s="86" t="str">
        <f>IFERROR(__xludf.DUMMYFUNCTION("""COMPUTED_VALUE"""),"")</f>
        <v/>
      </c>
      <c r="B20127" s="87"/>
      <c r="C20127" s="87"/>
      <c r="D20127" s="87"/>
      <c r="E20127" s="87"/>
      <c r="F20127" s="87"/>
      <c r="G20127" s="87"/>
    </row>
    <row r="20128">
      <c r="A20128" s="86" t="str">
        <f>IFERROR(__xludf.DUMMYFUNCTION("""COMPUTED_VALUE"""),"")</f>
        <v/>
      </c>
      <c r="B20128" s="87"/>
      <c r="C20128" s="87"/>
      <c r="D20128" s="87"/>
      <c r="E20128" s="87"/>
      <c r="F20128" s="87"/>
      <c r="G20128" s="87"/>
    </row>
    <row r="20129">
      <c r="A20129" s="86" t="str">
        <f>IFERROR(__xludf.DUMMYFUNCTION("""COMPUTED_VALUE"""),"")</f>
        <v/>
      </c>
      <c r="B20129" s="87"/>
      <c r="C20129" s="87"/>
      <c r="D20129" s="87"/>
      <c r="E20129" s="87"/>
      <c r="F20129" s="87"/>
      <c r="G20129" s="87"/>
    </row>
    <row r="20130">
      <c r="A20130" s="86" t="str">
        <f>IFERROR(__xludf.DUMMYFUNCTION("""COMPUTED_VALUE"""),"")</f>
        <v/>
      </c>
      <c r="B20130" s="87"/>
      <c r="C20130" s="87"/>
      <c r="D20130" s="87"/>
      <c r="E20130" s="87"/>
      <c r="F20130" s="87"/>
      <c r="G20130" s="87"/>
    </row>
    <row r="20131">
      <c r="A20131" s="86" t="str">
        <f>IFERROR(__xludf.DUMMYFUNCTION("""COMPUTED_VALUE"""),"")</f>
        <v/>
      </c>
      <c r="B20131" s="87"/>
      <c r="C20131" s="87"/>
      <c r="D20131" s="87"/>
      <c r="E20131" s="87"/>
      <c r="F20131" s="87"/>
      <c r="G20131" s="87"/>
    </row>
    <row r="20132">
      <c r="A20132" s="86" t="str">
        <f>IFERROR(__xludf.DUMMYFUNCTION("""COMPUTED_VALUE"""),"")</f>
        <v/>
      </c>
      <c r="B20132" s="87"/>
      <c r="C20132" s="87"/>
      <c r="D20132" s="87"/>
      <c r="E20132" s="87"/>
      <c r="F20132" s="87"/>
      <c r="G20132" s="87"/>
    </row>
    <row r="20133">
      <c r="A20133" s="86" t="str">
        <f>IFERROR(__xludf.DUMMYFUNCTION("""COMPUTED_VALUE"""),"")</f>
        <v/>
      </c>
      <c r="B20133" s="87"/>
      <c r="C20133" s="87"/>
      <c r="D20133" s="87"/>
      <c r="E20133" s="87"/>
      <c r="F20133" s="87"/>
      <c r="G20133" s="87"/>
    </row>
    <row r="20134">
      <c r="A20134" s="86" t="str">
        <f>IFERROR(__xludf.DUMMYFUNCTION("""COMPUTED_VALUE"""),"")</f>
        <v/>
      </c>
      <c r="B20134" s="87"/>
      <c r="C20134" s="87"/>
      <c r="D20134" s="87"/>
      <c r="E20134" s="87"/>
      <c r="F20134" s="87"/>
      <c r="G20134" s="87"/>
    </row>
    <row r="20135">
      <c r="A20135" s="86" t="str">
        <f>IFERROR(__xludf.DUMMYFUNCTION("""COMPUTED_VALUE"""),"")</f>
        <v/>
      </c>
      <c r="B20135" s="87"/>
      <c r="C20135" s="87"/>
      <c r="D20135" s="87"/>
      <c r="E20135" s="87"/>
      <c r="F20135" s="87"/>
      <c r="G20135" s="87"/>
    </row>
    <row r="20136">
      <c r="A20136" s="86" t="str">
        <f>IFERROR(__xludf.DUMMYFUNCTION("""COMPUTED_VALUE"""),"")</f>
        <v/>
      </c>
      <c r="B20136" s="87"/>
      <c r="C20136" s="87"/>
      <c r="D20136" s="87"/>
      <c r="E20136" s="87"/>
      <c r="F20136" s="87"/>
      <c r="G20136" s="87"/>
    </row>
    <row r="20137">
      <c r="A20137" s="86" t="str">
        <f>IFERROR(__xludf.DUMMYFUNCTION("""COMPUTED_VALUE"""),"")</f>
        <v/>
      </c>
      <c r="B20137" s="87"/>
      <c r="C20137" s="87"/>
      <c r="D20137" s="87"/>
      <c r="E20137" s="87"/>
      <c r="F20137" s="87"/>
      <c r="G20137" s="87"/>
    </row>
    <row r="20138">
      <c r="A20138" s="86" t="str">
        <f>IFERROR(__xludf.DUMMYFUNCTION("""COMPUTED_VALUE"""),"")</f>
        <v/>
      </c>
      <c r="B20138" s="87"/>
      <c r="C20138" s="87"/>
      <c r="D20138" s="87"/>
      <c r="E20138" s="87"/>
      <c r="F20138" s="87"/>
      <c r="G20138" s="87"/>
    </row>
    <row r="20139">
      <c r="A20139" s="86" t="str">
        <f>IFERROR(__xludf.DUMMYFUNCTION("""COMPUTED_VALUE"""),"")</f>
        <v/>
      </c>
      <c r="B20139" s="87"/>
      <c r="C20139" s="87"/>
      <c r="D20139" s="87"/>
      <c r="E20139" s="87"/>
      <c r="F20139" s="87"/>
      <c r="G20139" s="87"/>
    </row>
    <row r="20140">
      <c r="A20140" s="86" t="str">
        <f>IFERROR(__xludf.DUMMYFUNCTION("""COMPUTED_VALUE"""),"")</f>
        <v/>
      </c>
      <c r="B20140" s="87"/>
      <c r="C20140" s="87"/>
      <c r="D20140" s="87"/>
      <c r="E20140" s="87"/>
      <c r="F20140" s="87"/>
      <c r="G20140" s="87"/>
    </row>
    <row r="20141">
      <c r="A20141" s="86" t="str">
        <f>IFERROR(__xludf.DUMMYFUNCTION("""COMPUTED_VALUE"""),"")</f>
        <v/>
      </c>
      <c r="B20141" s="87"/>
      <c r="C20141" s="87"/>
      <c r="D20141" s="87"/>
      <c r="E20141" s="87"/>
      <c r="F20141" s="87"/>
      <c r="G20141" s="87"/>
    </row>
    <row r="20142">
      <c r="A20142" s="86" t="str">
        <f>IFERROR(__xludf.DUMMYFUNCTION("""COMPUTED_VALUE"""),"")</f>
        <v/>
      </c>
      <c r="B20142" s="87"/>
      <c r="C20142" s="87"/>
      <c r="D20142" s="87"/>
      <c r="E20142" s="87"/>
      <c r="F20142" s="87"/>
      <c r="G20142" s="87"/>
    </row>
    <row r="20143">
      <c r="A20143" s="86" t="str">
        <f>IFERROR(__xludf.DUMMYFUNCTION("""COMPUTED_VALUE"""),"")</f>
        <v/>
      </c>
      <c r="B20143" s="87"/>
      <c r="C20143" s="87"/>
      <c r="D20143" s="87"/>
      <c r="E20143" s="87"/>
      <c r="F20143" s="87"/>
      <c r="G20143" s="87"/>
    </row>
    <row r="20144">
      <c r="A20144" s="86" t="str">
        <f>IFERROR(__xludf.DUMMYFUNCTION("""COMPUTED_VALUE"""),"")</f>
        <v/>
      </c>
      <c r="B20144" s="87"/>
      <c r="C20144" s="87"/>
      <c r="D20144" s="87"/>
      <c r="E20144" s="87"/>
      <c r="F20144" s="87"/>
      <c r="G20144" s="87"/>
    </row>
    <row r="20145">
      <c r="A20145" s="86" t="str">
        <f>IFERROR(__xludf.DUMMYFUNCTION("""COMPUTED_VALUE"""),"")</f>
        <v/>
      </c>
      <c r="B20145" s="87"/>
      <c r="C20145" s="87"/>
      <c r="D20145" s="87"/>
      <c r="E20145" s="87"/>
      <c r="F20145" s="87"/>
      <c r="G20145" s="87"/>
    </row>
    <row r="20146">
      <c r="A20146" s="86" t="str">
        <f>IFERROR(__xludf.DUMMYFUNCTION("""COMPUTED_VALUE"""),"")</f>
        <v/>
      </c>
      <c r="B20146" s="87"/>
      <c r="C20146" s="87"/>
      <c r="D20146" s="87"/>
      <c r="E20146" s="87"/>
      <c r="F20146" s="87"/>
      <c r="G20146" s="87"/>
    </row>
    <row r="20147">
      <c r="A20147" s="86" t="str">
        <f>IFERROR(__xludf.DUMMYFUNCTION("""COMPUTED_VALUE"""),"")</f>
        <v/>
      </c>
      <c r="B20147" s="87"/>
      <c r="C20147" s="87"/>
      <c r="D20147" s="87"/>
      <c r="E20147" s="87"/>
      <c r="F20147" s="87"/>
      <c r="G20147" s="87"/>
    </row>
    <row r="20148">
      <c r="A20148" s="86" t="str">
        <f>IFERROR(__xludf.DUMMYFUNCTION("""COMPUTED_VALUE"""),"")</f>
        <v/>
      </c>
      <c r="B20148" s="87"/>
      <c r="C20148" s="87"/>
      <c r="D20148" s="87"/>
      <c r="E20148" s="87"/>
      <c r="F20148" s="87"/>
      <c r="G20148" s="87"/>
    </row>
    <row r="20149">
      <c r="A20149" s="86" t="str">
        <f>IFERROR(__xludf.DUMMYFUNCTION("""COMPUTED_VALUE"""),"")</f>
        <v/>
      </c>
      <c r="B20149" s="87"/>
      <c r="C20149" s="87"/>
      <c r="D20149" s="87"/>
      <c r="E20149" s="87"/>
      <c r="F20149" s="87"/>
      <c r="G20149" s="87"/>
    </row>
    <row r="20150">
      <c r="A20150" s="86" t="str">
        <f>IFERROR(__xludf.DUMMYFUNCTION("""COMPUTED_VALUE"""),"")</f>
        <v/>
      </c>
      <c r="B20150" s="87"/>
      <c r="C20150" s="87"/>
      <c r="D20150" s="87"/>
      <c r="E20150" s="87"/>
      <c r="F20150" s="87"/>
      <c r="G20150" s="87"/>
    </row>
    <row r="20151">
      <c r="A20151" s="86" t="str">
        <f>IFERROR(__xludf.DUMMYFUNCTION("""COMPUTED_VALUE"""),"")</f>
        <v/>
      </c>
      <c r="B20151" s="87"/>
      <c r="C20151" s="87"/>
      <c r="D20151" s="87"/>
      <c r="E20151" s="87"/>
      <c r="F20151" s="87"/>
      <c r="G20151" s="87"/>
    </row>
    <row r="20152">
      <c r="A20152" s="86" t="str">
        <f>IFERROR(__xludf.DUMMYFUNCTION("""COMPUTED_VALUE"""),"")</f>
        <v/>
      </c>
      <c r="B20152" s="87"/>
      <c r="C20152" s="87"/>
      <c r="D20152" s="87"/>
      <c r="E20152" s="87"/>
      <c r="F20152" s="87"/>
      <c r="G20152" s="87"/>
    </row>
    <row r="20153">
      <c r="A20153" s="86" t="str">
        <f>IFERROR(__xludf.DUMMYFUNCTION("""COMPUTED_VALUE"""),"")</f>
        <v/>
      </c>
      <c r="B20153" s="87"/>
      <c r="C20153" s="87"/>
      <c r="D20153" s="87"/>
      <c r="E20153" s="87"/>
      <c r="F20153" s="87"/>
      <c r="G20153" s="87"/>
    </row>
    <row r="20154">
      <c r="A20154" s="86" t="str">
        <f>IFERROR(__xludf.DUMMYFUNCTION("""COMPUTED_VALUE"""),"")</f>
        <v/>
      </c>
      <c r="B20154" s="87"/>
      <c r="C20154" s="87"/>
      <c r="D20154" s="87"/>
      <c r="E20154" s="87"/>
      <c r="F20154" s="87"/>
      <c r="G20154" s="87"/>
    </row>
    <row r="20155">
      <c r="A20155" s="86" t="str">
        <f>IFERROR(__xludf.DUMMYFUNCTION("""COMPUTED_VALUE"""),"")</f>
        <v/>
      </c>
      <c r="B20155" s="87"/>
      <c r="C20155" s="87"/>
      <c r="D20155" s="87"/>
      <c r="E20155" s="87"/>
      <c r="F20155" s="87"/>
      <c r="G20155" s="87"/>
    </row>
    <row r="20156">
      <c r="A20156" s="86" t="str">
        <f>IFERROR(__xludf.DUMMYFUNCTION("""COMPUTED_VALUE"""),"")</f>
        <v/>
      </c>
      <c r="B20156" s="87"/>
      <c r="C20156" s="87"/>
      <c r="D20156" s="87"/>
      <c r="E20156" s="87"/>
      <c r="F20156" s="87"/>
      <c r="G20156" s="87"/>
    </row>
    <row r="20157">
      <c r="A20157" s="86" t="str">
        <f>IFERROR(__xludf.DUMMYFUNCTION("""COMPUTED_VALUE"""),"")</f>
        <v/>
      </c>
      <c r="B20157" s="87"/>
      <c r="C20157" s="87"/>
      <c r="D20157" s="87"/>
      <c r="E20157" s="87"/>
      <c r="F20157" s="87"/>
      <c r="G20157" s="87"/>
    </row>
    <row r="20158">
      <c r="A20158" s="86" t="str">
        <f>IFERROR(__xludf.DUMMYFUNCTION("""COMPUTED_VALUE"""),"")</f>
        <v/>
      </c>
      <c r="B20158" s="87"/>
      <c r="C20158" s="87"/>
      <c r="D20158" s="87"/>
      <c r="E20158" s="87"/>
      <c r="F20158" s="87"/>
      <c r="G20158" s="87"/>
    </row>
    <row r="20159">
      <c r="A20159" s="86" t="str">
        <f>IFERROR(__xludf.DUMMYFUNCTION("""COMPUTED_VALUE"""),"")</f>
        <v/>
      </c>
      <c r="B20159" s="87"/>
      <c r="C20159" s="87"/>
      <c r="D20159" s="87"/>
      <c r="E20159" s="87"/>
      <c r="F20159" s="87"/>
      <c r="G20159" s="87"/>
    </row>
    <row r="20160">
      <c r="A20160" s="86" t="str">
        <f>IFERROR(__xludf.DUMMYFUNCTION("""COMPUTED_VALUE"""),"")</f>
        <v/>
      </c>
      <c r="B20160" s="87"/>
      <c r="C20160" s="87"/>
      <c r="D20160" s="87"/>
      <c r="E20160" s="87"/>
      <c r="F20160" s="87"/>
      <c r="G20160" s="87"/>
    </row>
    <row r="20161">
      <c r="A20161" s="86" t="str">
        <f>IFERROR(__xludf.DUMMYFUNCTION("""COMPUTED_VALUE"""),"")</f>
        <v/>
      </c>
      <c r="B20161" s="87"/>
      <c r="C20161" s="87"/>
      <c r="D20161" s="87"/>
      <c r="E20161" s="87"/>
      <c r="F20161" s="87"/>
      <c r="G20161" s="87"/>
    </row>
    <row r="20162">
      <c r="A20162" s="86" t="str">
        <f>IFERROR(__xludf.DUMMYFUNCTION("""COMPUTED_VALUE"""),"")</f>
        <v/>
      </c>
      <c r="B20162" s="87"/>
      <c r="C20162" s="87"/>
      <c r="D20162" s="87"/>
      <c r="E20162" s="87"/>
      <c r="F20162" s="87"/>
      <c r="G20162" s="87"/>
    </row>
    <row r="20163">
      <c r="A20163" s="86" t="str">
        <f>IFERROR(__xludf.DUMMYFUNCTION("""COMPUTED_VALUE"""),"")</f>
        <v/>
      </c>
      <c r="B20163" s="87"/>
      <c r="C20163" s="87"/>
      <c r="D20163" s="87"/>
      <c r="E20163" s="87"/>
      <c r="F20163" s="87"/>
      <c r="G20163" s="87"/>
    </row>
    <row r="20164">
      <c r="A20164" s="86" t="str">
        <f>IFERROR(__xludf.DUMMYFUNCTION("""COMPUTED_VALUE"""),"")</f>
        <v/>
      </c>
      <c r="B20164" s="87"/>
      <c r="C20164" s="87"/>
      <c r="D20164" s="87"/>
      <c r="E20164" s="87"/>
      <c r="F20164" s="87"/>
      <c r="G20164" s="87"/>
    </row>
    <row r="20165">
      <c r="A20165" s="86" t="str">
        <f>IFERROR(__xludf.DUMMYFUNCTION("""COMPUTED_VALUE"""),"")</f>
        <v/>
      </c>
      <c r="B20165" s="87"/>
      <c r="C20165" s="87"/>
      <c r="D20165" s="87"/>
      <c r="E20165" s="87"/>
      <c r="F20165" s="87"/>
      <c r="G20165" s="87"/>
    </row>
    <row r="20166">
      <c r="A20166" s="86" t="str">
        <f>IFERROR(__xludf.DUMMYFUNCTION("""COMPUTED_VALUE"""),"")</f>
        <v/>
      </c>
      <c r="B20166" s="87"/>
      <c r="C20166" s="87"/>
      <c r="D20166" s="87"/>
      <c r="E20166" s="87"/>
      <c r="F20166" s="87"/>
      <c r="G20166" s="87"/>
    </row>
    <row r="20167">
      <c r="A20167" s="86" t="str">
        <f>IFERROR(__xludf.DUMMYFUNCTION("""COMPUTED_VALUE"""),"")</f>
        <v/>
      </c>
      <c r="B20167" s="87"/>
      <c r="C20167" s="87"/>
      <c r="D20167" s="87"/>
      <c r="E20167" s="87"/>
      <c r="F20167" s="87"/>
      <c r="G20167" s="87"/>
    </row>
    <row r="20168">
      <c r="A20168" s="86" t="str">
        <f>IFERROR(__xludf.DUMMYFUNCTION("""COMPUTED_VALUE"""),"")</f>
        <v/>
      </c>
      <c r="B20168" s="87"/>
      <c r="C20168" s="87"/>
      <c r="D20168" s="87"/>
      <c r="E20168" s="87"/>
      <c r="F20168" s="87"/>
      <c r="G20168" s="87"/>
    </row>
    <row r="20169">
      <c r="A20169" s="86" t="str">
        <f>IFERROR(__xludf.DUMMYFUNCTION("""COMPUTED_VALUE"""),"")</f>
        <v/>
      </c>
      <c r="B20169" s="87"/>
      <c r="C20169" s="87"/>
      <c r="D20169" s="87"/>
      <c r="E20169" s="87"/>
      <c r="F20169" s="87"/>
      <c r="G20169" s="87"/>
    </row>
    <row r="20170">
      <c r="A20170" s="86" t="str">
        <f>IFERROR(__xludf.DUMMYFUNCTION("""COMPUTED_VALUE"""),"")</f>
        <v/>
      </c>
      <c r="B20170" s="87"/>
      <c r="C20170" s="87"/>
      <c r="D20170" s="87"/>
      <c r="E20170" s="87"/>
      <c r="F20170" s="87"/>
      <c r="G20170" s="87"/>
    </row>
    <row r="20171">
      <c r="A20171" s="86" t="str">
        <f>IFERROR(__xludf.DUMMYFUNCTION("""COMPUTED_VALUE"""),"")</f>
        <v/>
      </c>
      <c r="B20171" s="87"/>
      <c r="C20171" s="87"/>
      <c r="D20171" s="87"/>
      <c r="E20171" s="87"/>
      <c r="F20171" s="87"/>
      <c r="G20171" s="87"/>
    </row>
    <row r="20172">
      <c r="A20172" s="86" t="str">
        <f>IFERROR(__xludf.DUMMYFUNCTION("""COMPUTED_VALUE"""),"")</f>
        <v/>
      </c>
      <c r="B20172" s="87"/>
      <c r="C20172" s="87"/>
      <c r="D20172" s="87"/>
      <c r="E20172" s="87"/>
      <c r="F20172" s="87"/>
      <c r="G20172" s="87"/>
    </row>
    <row r="20173">
      <c r="A20173" s="86" t="str">
        <f>IFERROR(__xludf.DUMMYFUNCTION("""COMPUTED_VALUE"""),"")</f>
        <v/>
      </c>
      <c r="B20173" s="87"/>
      <c r="C20173" s="87"/>
      <c r="D20173" s="87"/>
      <c r="E20173" s="87"/>
      <c r="F20173" s="87"/>
      <c r="G20173" s="87"/>
    </row>
    <row r="20174">
      <c r="A20174" s="86" t="str">
        <f>IFERROR(__xludf.DUMMYFUNCTION("""COMPUTED_VALUE"""),"")</f>
        <v/>
      </c>
      <c r="B20174" s="87"/>
      <c r="C20174" s="87"/>
      <c r="D20174" s="87"/>
      <c r="E20174" s="87"/>
      <c r="F20174" s="87"/>
      <c r="G20174" s="87"/>
    </row>
    <row r="20175">
      <c r="A20175" s="86" t="str">
        <f>IFERROR(__xludf.DUMMYFUNCTION("""COMPUTED_VALUE"""),"")</f>
        <v/>
      </c>
      <c r="B20175" s="87"/>
      <c r="C20175" s="87"/>
      <c r="D20175" s="87"/>
      <c r="E20175" s="87"/>
      <c r="F20175" s="87"/>
      <c r="G20175" s="87"/>
    </row>
    <row r="20176">
      <c r="A20176" s="86" t="str">
        <f>IFERROR(__xludf.DUMMYFUNCTION("""COMPUTED_VALUE"""),"")</f>
        <v/>
      </c>
      <c r="B20176" s="87"/>
      <c r="C20176" s="87"/>
      <c r="D20176" s="87"/>
      <c r="E20176" s="87"/>
      <c r="F20176" s="87"/>
      <c r="G20176" s="87"/>
    </row>
    <row r="20177">
      <c r="A20177" s="86" t="str">
        <f>IFERROR(__xludf.DUMMYFUNCTION("""COMPUTED_VALUE"""),"")</f>
        <v/>
      </c>
      <c r="B20177" s="87"/>
      <c r="C20177" s="87"/>
      <c r="D20177" s="87"/>
      <c r="E20177" s="87"/>
      <c r="F20177" s="87"/>
      <c r="G20177" s="87"/>
    </row>
    <row r="20178">
      <c r="A20178" s="86" t="str">
        <f>IFERROR(__xludf.DUMMYFUNCTION("""COMPUTED_VALUE"""),"")</f>
        <v/>
      </c>
      <c r="B20178" s="87"/>
      <c r="C20178" s="87"/>
      <c r="D20178" s="87"/>
      <c r="E20178" s="87"/>
      <c r="F20178" s="87"/>
      <c r="G20178" s="87"/>
    </row>
    <row r="20179">
      <c r="A20179" s="86" t="str">
        <f>IFERROR(__xludf.DUMMYFUNCTION("""COMPUTED_VALUE"""),"")</f>
        <v/>
      </c>
      <c r="B20179" s="87"/>
      <c r="C20179" s="87"/>
      <c r="D20179" s="87"/>
      <c r="E20179" s="87"/>
      <c r="F20179" s="87"/>
      <c r="G20179" s="87"/>
    </row>
    <row r="20180">
      <c r="A20180" s="86" t="str">
        <f>IFERROR(__xludf.DUMMYFUNCTION("""COMPUTED_VALUE"""),"")</f>
        <v/>
      </c>
      <c r="B20180" s="87"/>
      <c r="C20180" s="87"/>
      <c r="D20180" s="87"/>
      <c r="E20180" s="87"/>
      <c r="F20180" s="87"/>
      <c r="G20180" s="87"/>
    </row>
    <row r="20181">
      <c r="A20181" s="86" t="str">
        <f>IFERROR(__xludf.DUMMYFUNCTION("""COMPUTED_VALUE"""),"")</f>
        <v/>
      </c>
      <c r="B20181" s="87"/>
      <c r="C20181" s="87"/>
      <c r="D20181" s="87"/>
      <c r="E20181" s="87"/>
      <c r="F20181" s="87"/>
      <c r="G20181" s="87"/>
    </row>
    <row r="20182">
      <c r="A20182" s="86" t="str">
        <f>IFERROR(__xludf.DUMMYFUNCTION("""COMPUTED_VALUE"""),"")</f>
        <v/>
      </c>
      <c r="B20182" s="87"/>
      <c r="C20182" s="87"/>
      <c r="D20182" s="87"/>
      <c r="E20182" s="87"/>
      <c r="F20182" s="87"/>
      <c r="G20182" s="87"/>
    </row>
    <row r="20183">
      <c r="A20183" s="86" t="str">
        <f>IFERROR(__xludf.DUMMYFUNCTION("""COMPUTED_VALUE"""),"")</f>
        <v/>
      </c>
      <c r="B20183" s="87"/>
      <c r="C20183" s="87"/>
      <c r="D20183" s="87"/>
      <c r="E20183" s="87"/>
      <c r="F20183" s="87"/>
      <c r="G20183" s="87"/>
    </row>
    <row r="20184">
      <c r="A20184" s="86" t="str">
        <f>IFERROR(__xludf.DUMMYFUNCTION("""COMPUTED_VALUE"""),"")</f>
        <v/>
      </c>
      <c r="B20184" s="87"/>
      <c r="C20184" s="87"/>
      <c r="D20184" s="87"/>
      <c r="E20184" s="87"/>
      <c r="F20184" s="87"/>
      <c r="G20184" s="87"/>
    </row>
    <row r="20185">
      <c r="A20185" s="86" t="str">
        <f>IFERROR(__xludf.DUMMYFUNCTION("""COMPUTED_VALUE"""),"")</f>
        <v/>
      </c>
      <c r="B20185" s="87"/>
      <c r="C20185" s="87"/>
      <c r="D20185" s="87"/>
      <c r="E20185" s="87"/>
      <c r="F20185" s="87"/>
      <c r="G20185" s="87"/>
    </row>
    <row r="20186">
      <c r="A20186" s="86" t="str">
        <f>IFERROR(__xludf.DUMMYFUNCTION("""COMPUTED_VALUE"""),"")</f>
        <v/>
      </c>
      <c r="B20186" s="87"/>
      <c r="C20186" s="87"/>
      <c r="D20186" s="87"/>
      <c r="E20186" s="87"/>
      <c r="F20186" s="87"/>
      <c r="G20186" s="87"/>
    </row>
    <row r="20187">
      <c r="A20187" s="86" t="str">
        <f>IFERROR(__xludf.DUMMYFUNCTION("""COMPUTED_VALUE"""),"")</f>
        <v/>
      </c>
      <c r="B20187" s="87"/>
      <c r="C20187" s="87"/>
      <c r="D20187" s="87"/>
      <c r="E20187" s="87"/>
      <c r="F20187" s="87"/>
      <c r="G20187" s="87"/>
    </row>
    <row r="20188">
      <c r="A20188" s="86" t="str">
        <f>IFERROR(__xludf.DUMMYFUNCTION("""COMPUTED_VALUE"""),"")</f>
        <v/>
      </c>
      <c r="B20188" s="87"/>
      <c r="C20188" s="87"/>
      <c r="D20188" s="87"/>
      <c r="E20188" s="87"/>
      <c r="F20188" s="87"/>
      <c r="G20188" s="87"/>
    </row>
    <row r="20189">
      <c r="A20189" s="86" t="str">
        <f>IFERROR(__xludf.DUMMYFUNCTION("""COMPUTED_VALUE"""),"")</f>
        <v/>
      </c>
      <c r="B20189" s="87"/>
      <c r="C20189" s="87"/>
      <c r="D20189" s="87"/>
      <c r="E20189" s="87"/>
      <c r="F20189" s="87"/>
      <c r="G20189" s="87"/>
    </row>
    <row r="20190">
      <c r="A20190" s="86" t="str">
        <f>IFERROR(__xludf.DUMMYFUNCTION("""COMPUTED_VALUE"""),"")</f>
        <v/>
      </c>
      <c r="B20190" s="87"/>
      <c r="C20190" s="87"/>
      <c r="D20190" s="87"/>
      <c r="E20190" s="87"/>
      <c r="F20190" s="87"/>
      <c r="G20190" s="87"/>
    </row>
    <row r="20191">
      <c r="A20191" s="86" t="str">
        <f>IFERROR(__xludf.DUMMYFUNCTION("""COMPUTED_VALUE"""),"")</f>
        <v/>
      </c>
      <c r="B20191" s="87"/>
      <c r="C20191" s="87"/>
      <c r="D20191" s="87"/>
      <c r="E20191" s="87"/>
      <c r="F20191" s="87"/>
      <c r="G20191" s="87"/>
    </row>
    <row r="20192">
      <c r="A20192" s="86" t="str">
        <f>IFERROR(__xludf.DUMMYFUNCTION("""COMPUTED_VALUE"""),"")</f>
        <v/>
      </c>
      <c r="B20192" s="87"/>
      <c r="C20192" s="87"/>
      <c r="D20192" s="87"/>
      <c r="E20192" s="87"/>
      <c r="F20192" s="87"/>
      <c r="G20192" s="87"/>
    </row>
    <row r="20193">
      <c r="A20193" s="86" t="str">
        <f>IFERROR(__xludf.DUMMYFUNCTION("""COMPUTED_VALUE"""),"")</f>
        <v/>
      </c>
      <c r="B20193" s="87"/>
      <c r="C20193" s="87"/>
      <c r="D20193" s="87"/>
      <c r="E20193" s="87"/>
      <c r="F20193" s="87"/>
      <c r="G20193" s="87"/>
    </row>
    <row r="20194">
      <c r="A20194" s="86" t="str">
        <f>IFERROR(__xludf.DUMMYFUNCTION("""COMPUTED_VALUE"""),"")</f>
        <v/>
      </c>
      <c r="B20194" s="87"/>
      <c r="C20194" s="87"/>
      <c r="D20194" s="87"/>
      <c r="E20194" s="87"/>
      <c r="F20194" s="87"/>
      <c r="G20194" s="87"/>
    </row>
    <row r="20195">
      <c r="A20195" s="86" t="str">
        <f>IFERROR(__xludf.DUMMYFUNCTION("""COMPUTED_VALUE"""),"")</f>
        <v/>
      </c>
      <c r="B20195" s="87"/>
      <c r="C20195" s="87"/>
      <c r="D20195" s="87"/>
      <c r="E20195" s="87"/>
      <c r="F20195" s="87"/>
      <c r="G20195" s="87"/>
    </row>
    <row r="20196">
      <c r="A20196" s="86" t="str">
        <f>IFERROR(__xludf.DUMMYFUNCTION("""COMPUTED_VALUE"""),"")</f>
        <v/>
      </c>
      <c r="B20196" s="87"/>
      <c r="C20196" s="87"/>
      <c r="D20196" s="87"/>
      <c r="E20196" s="87"/>
      <c r="F20196" s="87"/>
      <c r="G20196" s="87"/>
    </row>
    <row r="20197">
      <c r="A20197" s="86" t="str">
        <f>IFERROR(__xludf.DUMMYFUNCTION("""COMPUTED_VALUE"""),"")</f>
        <v/>
      </c>
      <c r="B20197" s="87"/>
      <c r="C20197" s="87"/>
      <c r="D20197" s="87"/>
      <c r="E20197" s="87"/>
      <c r="F20197" s="87"/>
      <c r="G20197" s="87"/>
    </row>
    <row r="20198">
      <c r="A20198" s="86" t="str">
        <f>IFERROR(__xludf.DUMMYFUNCTION("""COMPUTED_VALUE"""),"")</f>
        <v/>
      </c>
      <c r="B20198" s="87"/>
      <c r="C20198" s="87"/>
      <c r="D20198" s="87"/>
      <c r="E20198" s="87"/>
      <c r="F20198" s="87"/>
      <c r="G20198" s="87"/>
    </row>
    <row r="20199">
      <c r="A20199" s="86" t="str">
        <f>IFERROR(__xludf.DUMMYFUNCTION("""COMPUTED_VALUE"""),"")</f>
        <v/>
      </c>
      <c r="B20199" s="87"/>
      <c r="C20199" s="87"/>
      <c r="D20199" s="87"/>
      <c r="E20199" s="87"/>
      <c r="F20199" s="87"/>
      <c r="G20199" s="87"/>
    </row>
    <row r="20200">
      <c r="A20200" s="86" t="str">
        <f>IFERROR(__xludf.DUMMYFUNCTION("""COMPUTED_VALUE"""),"")</f>
        <v/>
      </c>
      <c r="B20200" s="87"/>
      <c r="C20200" s="87"/>
      <c r="D20200" s="87"/>
      <c r="E20200" s="87"/>
      <c r="F20200" s="87"/>
      <c r="G20200" s="87"/>
    </row>
    <row r="20201">
      <c r="A20201" s="86" t="str">
        <f>IFERROR(__xludf.DUMMYFUNCTION("""COMPUTED_VALUE"""),"")</f>
        <v/>
      </c>
      <c r="B20201" s="87"/>
      <c r="C20201" s="87"/>
      <c r="D20201" s="87"/>
      <c r="E20201" s="87"/>
      <c r="F20201" s="87"/>
      <c r="G20201" s="87"/>
    </row>
    <row r="20202">
      <c r="A20202" s="86" t="str">
        <f>IFERROR(__xludf.DUMMYFUNCTION("""COMPUTED_VALUE"""),"")</f>
        <v/>
      </c>
      <c r="B20202" s="87"/>
      <c r="C20202" s="87"/>
      <c r="D20202" s="87"/>
      <c r="E20202" s="87"/>
      <c r="F20202" s="87"/>
      <c r="G20202" s="87"/>
    </row>
    <row r="20203">
      <c r="A20203" s="86" t="str">
        <f>IFERROR(__xludf.DUMMYFUNCTION("""COMPUTED_VALUE"""),"")</f>
        <v/>
      </c>
      <c r="B20203" s="87"/>
      <c r="C20203" s="87"/>
      <c r="D20203" s="87"/>
      <c r="E20203" s="87"/>
      <c r="F20203" s="87"/>
      <c r="G20203" s="87"/>
    </row>
    <row r="20204">
      <c r="A20204" s="86" t="str">
        <f>IFERROR(__xludf.DUMMYFUNCTION("""COMPUTED_VALUE"""),"")</f>
        <v/>
      </c>
      <c r="B20204" s="87"/>
      <c r="C20204" s="87"/>
      <c r="D20204" s="87"/>
      <c r="E20204" s="87"/>
      <c r="F20204" s="87"/>
      <c r="G20204" s="87"/>
    </row>
    <row r="20205">
      <c r="A20205" s="86" t="str">
        <f>IFERROR(__xludf.DUMMYFUNCTION("""COMPUTED_VALUE"""),"")</f>
        <v/>
      </c>
      <c r="B20205" s="87"/>
      <c r="C20205" s="87"/>
      <c r="D20205" s="87"/>
      <c r="E20205" s="87"/>
      <c r="F20205" s="87"/>
      <c r="G20205" s="87"/>
    </row>
    <row r="20206">
      <c r="A20206" s="86" t="str">
        <f>IFERROR(__xludf.DUMMYFUNCTION("""COMPUTED_VALUE"""),"")</f>
        <v/>
      </c>
      <c r="B20206" s="87"/>
      <c r="C20206" s="87"/>
      <c r="D20206" s="87"/>
      <c r="E20206" s="87"/>
      <c r="F20206" s="87"/>
      <c r="G20206" s="87"/>
    </row>
    <row r="20207">
      <c r="A20207" s="86" t="str">
        <f>IFERROR(__xludf.DUMMYFUNCTION("""COMPUTED_VALUE"""),"")</f>
        <v/>
      </c>
      <c r="B20207" s="87"/>
      <c r="C20207" s="87"/>
      <c r="D20207" s="87"/>
      <c r="E20207" s="87"/>
      <c r="F20207" s="87"/>
      <c r="G20207" s="87"/>
    </row>
    <row r="20208">
      <c r="A20208" s="86" t="str">
        <f>IFERROR(__xludf.DUMMYFUNCTION("""COMPUTED_VALUE"""),"")</f>
        <v/>
      </c>
      <c r="B20208" s="87"/>
      <c r="C20208" s="87"/>
      <c r="D20208" s="87"/>
      <c r="E20208" s="87"/>
      <c r="F20208" s="87"/>
      <c r="G20208" s="87"/>
    </row>
    <row r="20209">
      <c r="A20209" s="86" t="str">
        <f>IFERROR(__xludf.DUMMYFUNCTION("""COMPUTED_VALUE"""),"")</f>
        <v/>
      </c>
      <c r="B20209" s="87"/>
      <c r="C20209" s="87"/>
      <c r="D20209" s="87"/>
      <c r="E20209" s="87"/>
      <c r="F20209" s="87"/>
      <c r="G20209" s="87"/>
    </row>
    <row r="20210">
      <c r="A20210" s="86" t="str">
        <f>IFERROR(__xludf.DUMMYFUNCTION("""COMPUTED_VALUE"""),"")</f>
        <v/>
      </c>
      <c r="B20210" s="87"/>
      <c r="C20210" s="87"/>
      <c r="D20210" s="87"/>
      <c r="E20210" s="87"/>
      <c r="F20210" s="87"/>
      <c r="G20210" s="87"/>
    </row>
    <row r="20211">
      <c r="A20211" s="86" t="str">
        <f>IFERROR(__xludf.DUMMYFUNCTION("""COMPUTED_VALUE"""),"")</f>
        <v/>
      </c>
      <c r="B20211" s="87"/>
      <c r="C20211" s="87"/>
      <c r="D20211" s="87"/>
      <c r="E20211" s="87"/>
      <c r="F20211" s="87"/>
      <c r="G20211" s="87"/>
    </row>
    <row r="20212">
      <c r="A20212" s="86" t="str">
        <f>IFERROR(__xludf.DUMMYFUNCTION("""COMPUTED_VALUE"""),"")</f>
        <v/>
      </c>
      <c r="B20212" s="87"/>
      <c r="C20212" s="87"/>
      <c r="D20212" s="87"/>
      <c r="E20212" s="87"/>
      <c r="F20212" s="87"/>
      <c r="G20212" s="87"/>
    </row>
    <row r="20213">
      <c r="A20213" s="86" t="str">
        <f>IFERROR(__xludf.DUMMYFUNCTION("""COMPUTED_VALUE"""),"")</f>
        <v/>
      </c>
      <c r="B20213" s="87"/>
      <c r="C20213" s="87"/>
      <c r="D20213" s="87"/>
      <c r="E20213" s="87"/>
      <c r="F20213" s="87"/>
      <c r="G20213" s="87"/>
    </row>
    <row r="20214">
      <c r="A20214" s="86" t="str">
        <f>IFERROR(__xludf.DUMMYFUNCTION("""COMPUTED_VALUE"""),"")</f>
        <v/>
      </c>
      <c r="B20214" s="87"/>
      <c r="C20214" s="87"/>
      <c r="D20214" s="87"/>
      <c r="E20214" s="87"/>
      <c r="F20214" s="87"/>
      <c r="G20214" s="87"/>
    </row>
    <row r="20215">
      <c r="A20215" s="86" t="str">
        <f>IFERROR(__xludf.DUMMYFUNCTION("""COMPUTED_VALUE"""),"")</f>
        <v/>
      </c>
      <c r="B20215" s="87"/>
      <c r="C20215" s="87"/>
      <c r="D20215" s="87"/>
      <c r="E20215" s="87"/>
      <c r="F20215" s="87"/>
      <c r="G20215" s="87"/>
    </row>
    <row r="20216">
      <c r="A20216" s="86" t="str">
        <f>IFERROR(__xludf.DUMMYFUNCTION("""COMPUTED_VALUE"""),"")</f>
        <v/>
      </c>
      <c r="B20216" s="87"/>
      <c r="C20216" s="87"/>
      <c r="D20216" s="87"/>
      <c r="E20216" s="87"/>
      <c r="F20216" s="87"/>
      <c r="G20216" s="87"/>
    </row>
    <row r="20217">
      <c r="A20217" s="86" t="str">
        <f>IFERROR(__xludf.DUMMYFUNCTION("""COMPUTED_VALUE"""),"")</f>
        <v/>
      </c>
      <c r="B20217" s="87"/>
      <c r="C20217" s="87"/>
      <c r="D20217" s="87"/>
      <c r="E20217" s="87"/>
      <c r="F20217" s="87"/>
      <c r="G20217" s="87"/>
    </row>
    <row r="20218">
      <c r="A20218" s="86" t="str">
        <f>IFERROR(__xludf.DUMMYFUNCTION("""COMPUTED_VALUE"""),"")</f>
        <v/>
      </c>
      <c r="B20218" s="87"/>
      <c r="C20218" s="87"/>
      <c r="D20218" s="87"/>
      <c r="E20218" s="87"/>
      <c r="F20218" s="87"/>
      <c r="G20218" s="87"/>
    </row>
    <row r="20219">
      <c r="A20219" s="86" t="str">
        <f>IFERROR(__xludf.DUMMYFUNCTION("""COMPUTED_VALUE"""),"")</f>
        <v/>
      </c>
      <c r="B20219" s="87"/>
      <c r="C20219" s="87"/>
      <c r="D20219" s="87"/>
      <c r="E20219" s="87"/>
      <c r="F20219" s="87"/>
      <c r="G20219" s="87"/>
    </row>
    <row r="20220">
      <c r="A20220" s="86" t="str">
        <f>IFERROR(__xludf.DUMMYFUNCTION("""COMPUTED_VALUE"""),"")</f>
        <v/>
      </c>
      <c r="B20220" s="87"/>
      <c r="C20220" s="87"/>
      <c r="D20220" s="87"/>
      <c r="E20220" s="87"/>
      <c r="F20220" s="87"/>
      <c r="G20220" s="87"/>
    </row>
    <row r="20221">
      <c r="A20221" s="86" t="str">
        <f>IFERROR(__xludf.DUMMYFUNCTION("""COMPUTED_VALUE"""),"")</f>
        <v/>
      </c>
      <c r="B20221" s="87"/>
      <c r="C20221" s="87"/>
      <c r="D20221" s="87"/>
      <c r="E20221" s="87"/>
      <c r="F20221" s="87"/>
      <c r="G20221" s="87"/>
    </row>
    <row r="20222">
      <c r="A20222" s="86" t="str">
        <f>IFERROR(__xludf.DUMMYFUNCTION("""COMPUTED_VALUE"""),"")</f>
        <v/>
      </c>
      <c r="B20222" s="87"/>
      <c r="C20222" s="87"/>
      <c r="D20222" s="87"/>
      <c r="E20222" s="87"/>
      <c r="F20222" s="87"/>
      <c r="G20222" s="87"/>
    </row>
    <row r="20223">
      <c r="A20223" s="86" t="str">
        <f>IFERROR(__xludf.DUMMYFUNCTION("""COMPUTED_VALUE"""),"")</f>
        <v/>
      </c>
      <c r="B20223" s="87"/>
      <c r="C20223" s="87"/>
      <c r="D20223" s="87"/>
      <c r="E20223" s="87"/>
      <c r="F20223" s="87"/>
      <c r="G20223" s="87"/>
    </row>
    <row r="20224">
      <c r="A20224" s="86" t="str">
        <f>IFERROR(__xludf.DUMMYFUNCTION("""COMPUTED_VALUE"""),"")</f>
        <v/>
      </c>
      <c r="B20224" s="87"/>
      <c r="C20224" s="87"/>
      <c r="D20224" s="87"/>
      <c r="E20224" s="87"/>
      <c r="F20224" s="87"/>
      <c r="G20224" s="87"/>
    </row>
    <row r="20225">
      <c r="A20225" s="86" t="str">
        <f>IFERROR(__xludf.DUMMYFUNCTION("""COMPUTED_VALUE"""),"")</f>
        <v/>
      </c>
      <c r="B20225" s="87"/>
      <c r="C20225" s="87"/>
      <c r="D20225" s="87"/>
      <c r="E20225" s="87"/>
      <c r="F20225" s="87"/>
      <c r="G20225" s="87"/>
    </row>
    <row r="20226">
      <c r="A20226" s="86" t="str">
        <f>IFERROR(__xludf.DUMMYFUNCTION("""COMPUTED_VALUE"""),"")</f>
        <v/>
      </c>
      <c r="B20226" s="87"/>
      <c r="C20226" s="87"/>
      <c r="D20226" s="87"/>
      <c r="E20226" s="87"/>
      <c r="F20226" s="87"/>
      <c r="G20226" s="87"/>
    </row>
    <row r="20227">
      <c r="A20227" s="86" t="str">
        <f>IFERROR(__xludf.DUMMYFUNCTION("""COMPUTED_VALUE"""),"")</f>
        <v/>
      </c>
      <c r="B20227" s="87"/>
      <c r="C20227" s="87"/>
      <c r="D20227" s="87"/>
      <c r="E20227" s="87"/>
      <c r="F20227" s="87"/>
      <c r="G20227" s="87"/>
    </row>
    <row r="20228">
      <c r="A20228" s="86" t="str">
        <f>IFERROR(__xludf.DUMMYFUNCTION("""COMPUTED_VALUE"""),"")</f>
        <v/>
      </c>
      <c r="B20228" s="87"/>
      <c r="C20228" s="87"/>
      <c r="D20228" s="87"/>
      <c r="E20228" s="87"/>
      <c r="F20228" s="87"/>
      <c r="G20228" s="87"/>
    </row>
    <row r="20229">
      <c r="A20229" s="86" t="str">
        <f>IFERROR(__xludf.DUMMYFUNCTION("""COMPUTED_VALUE"""),"")</f>
        <v/>
      </c>
      <c r="B20229" s="87"/>
      <c r="C20229" s="87"/>
      <c r="D20229" s="87"/>
      <c r="E20229" s="87"/>
      <c r="F20229" s="87"/>
      <c r="G20229" s="87"/>
    </row>
    <row r="20230">
      <c r="A20230" s="86" t="str">
        <f>IFERROR(__xludf.DUMMYFUNCTION("""COMPUTED_VALUE"""),"")</f>
        <v/>
      </c>
      <c r="B20230" s="87"/>
      <c r="C20230" s="87"/>
      <c r="D20230" s="87"/>
      <c r="E20230" s="87"/>
      <c r="F20230" s="87"/>
      <c r="G20230" s="87"/>
    </row>
    <row r="20231">
      <c r="A20231" s="86" t="str">
        <f>IFERROR(__xludf.DUMMYFUNCTION("""COMPUTED_VALUE"""),"")</f>
        <v/>
      </c>
      <c r="B20231" s="87"/>
      <c r="C20231" s="87"/>
      <c r="D20231" s="87"/>
      <c r="E20231" s="87"/>
      <c r="F20231" s="87"/>
      <c r="G20231" s="87"/>
    </row>
    <row r="20232">
      <c r="A20232" s="86" t="str">
        <f>IFERROR(__xludf.DUMMYFUNCTION("""COMPUTED_VALUE"""),"")</f>
        <v/>
      </c>
      <c r="B20232" s="87"/>
      <c r="C20232" s="87"/>
      <c r="D20232" s="87"/>
      <c r="E20232" s="87"/>
      <c r="F20232" s="87"/>
      <c r="G20232" s="87"/>
    </row>
    <row r="20233">
      <c r="A20233" s="86" t="str">
        <f>IFERROR(__xludf.DUMMYFUNCTION("""COMPUTED_VALUE"""),"")</f>
        <v/>
      </c>
      <c r="B20233" s="87"/>
      <c r="C20233" s="87"/>
      <c r="D20233" s="87"/>
      <c r="E20233" s="87"/>
      <c r="F20233" s="87"/>
      <c r="G20233" s="87"/>
    </row>
    <row r="20234">
      <c r="A20234" s="86" t="str">
        <f>IFERROR(__xludf.DUMMYFUNCTION("""COMPUTED_VALUE"""),"")</f>
        <v/>
      </c>
      <c r="B20234" s="87"/>
      <c r="C20234" s="87"/>
      <c r="D20234" s="87"/>
      <c r="E20234" s="87"/>
      <c r="F20234" s="87"/>
      <c r="G20234" s="87"/>
    </row>
    <row r="20235">
      <c r="A20235" s="86" t="str">
        <f>IFERROR(__xludf.DUMMYFUNCTION("""COMPUTED_VALUE"""),"")</f>
        <v/>
      </c>
      <c r="B20235" s="87"/>
      <c r="C20235" s="87"/>
      <c r="D20235" s="87"/>
      <c r="E20235" s="87"/>
      <c r="F20235" s="87"/>
      <c r="G20235" s="87"/>
    </row>
    <row r="20236">
      <c r="A20236" s="86" t="str">
        <f>IFERROR(__xludf.DUMMYFUNCTION("""COMPUTED_VALUE"""),"")</f>
        <v/>
      </c>
      <c r="B20236" s="87"/>
      <c r="C20236" s="87"/>
      <c r="D20236" s="87"/>
      <c r="E20236" s="87"/>
      <c r="F20236" s="87"/>
      <c r="G20236" s="87"/>
    </row>
    <row r="20237">
      <c r="A20237" s="86" t="str">
        <f>IFERROR(__xludf.DUMMYFUNCTION("""COMPUTED_VALUE"""),"")</f>
        <v/>
      </c>
      <c r="B20237" s="87"/>
      <c r="C20237" s="87"/>
      <c r="D20237" s="87"/>
      <c r="E20237" s="87"/>
      <c r="F20237" s="87"/>
      <c r="G20237" s="87"/>
    </row>
    <row r="20238">
      <c r="A20238" s="86" t="str">
        <f>IFERROR(__xludf.DUMMYFUNCTION("""COMPUTED_VALUE"""),"")</f>
        <v/>
      </c>
      <c r="B20238" s="87"/>
      <c r="C20238" s="87"/>
      <c r="D20238" s="87"/>
      <c r="E20238" s="87"/>
      <c r="F20238" s="87"/>
      <c r="G20238" s="87"/>
    </row>
    <row r="20239">
      <c r="A20239" s="86" t="str">
        <f>IFERROR(__xludf.DUMMYFUNCTION("""COMPUTED_VALUE"""),"")</f>
        <v/>
      </c>
      <c r="B20239" s="87"/>
      <c r="C20239" s="87"/>
      <c r="D20239" s="87"/>
      <c r="E20239" s="87"/>
      <c r="F20239" s="87"/>
      <c r="G20239" s="87"/>
    </row>
    <row r="20240">
      <c r="A20240" s="86" t="str">
        <f>IFERROR(__xludf.DUMMYFUNCTION("""COMPUTED_VALUE"""),"")</f>
        <v/>
      </c>
      <c r="B20240" s="87"/>
      <c r="C20240" s="87"/>
      <c r="D20240" s="87"/>
      <c r="E20240" s="87"/>
      <c r="F20240" s="87"/>
      <c r="G20240" s="87"/>
    </row>
    <row r="20241">
      <c r="A20241" s="86" t="str">
        <f>IFERROR(__xludf.DUMMYFUNCTION("""COMPUTED_VALUE"""),"")</f>
        <v/>
      </c>
      <c r="B20241" s="87"/>
      <c r="C20241" s="87"/>
      <c r="D20241" s="87"/>
      <c r="E20241" s="87"/>
      <c r="F20241" s="87"/>
      <c r="G20241" s="87"/>
    </row>
    <row r="20242">
      <c r="A20242" s="86" t="str">
        <f>IFERROR(__xludf.DUMMYFUNCTION("""COMPUTED_VALUE"""),"")</f>
        <v/>
      </c>
      <c r="B20242" s="87"/>
      <c r="C20242" s="87"/>
      <c r="D20242" s="87"/>
      <c r="E20242" s="87"/>
      <c r="F20242" s="87"/>
      <c r="G20242" s="87"/>
    </row>
    <row r="20243">
      <c r="A20243" s="86" t="str">
        <f>IFERROR(__xludf.DUMMYFUNCTION("""COMPUTED_VALUE"""),"")</f>
        <v/>
      </c>
      <c r="B20243" s="87"/>
      <c r="C20243" s="87"/>
      <c r="D20243" s="87"/>
      <c r="E20243" s="87"/>
      <c r="F20243" s="87"/>
      <c r="G20243" s="87"/>
    </row>
    <row r="20244">
      <c r="A20244" s="86" t="str">
        <f>IFERROR(__xludf.DUMMYFUNCTION("""COMPUTED_VALUE"""),"")</f>
        <v/>
      </c>
      <c r="B20244" s="87"/>
      <c r="C20244" s="87"/>
      <c r="D20244" s="87"/>
      <c r="E20244" s="87"/>
      <c r="F20244" s="87"/>
      <c r="G20244" s="87"/>
    </row>
    <row r="20245">
      <c r="A20245" s="86" t="str">
        <f>IFERROR(__xludf.DUMMYFUNCTION("""COMPUTED_VALUE"""),"")</f>
        <v/>
      </c>
      <c r="B20245" s="87"/>
      <c r="C20245" s="87"/>
      <c r="D20245" s="87"/>
      <c r="E20245" s="87"/>
      <c r="F20245" s="87"/>
      <c r="G20245" s="87"/>
    </row>
    <row r="20246">
      <c r="A20246" s="86" t="str">
        <f>IFERROR(__xludf.DUMMYFUNCTION("""COMPUTED_VALUE"""),"")</f>
        <v/>
      </c>
      <c r="B20246" s="87"/>
      <c r="C20246" s="87"/>
      <c r="D20246" s="87"/>
      <c r="E20246" s="87"/>
      <c r="F20246" s="87"/>
      <c r="G20246" s="87"/>
    </row>
    <row r="20247">
      <c r="A20247" s="86" t="str">
        <f>IFERROR(__xludf.DUMMYFUNCTION("""COMPUTED_VALUE"""),"")</f>
        <v/>
      </c>
      <c r="B20247" s="87"/>
      <c r="C20247" s="87"/>
      <c r="D20247" s="87"/>
      <c r="E20247" s="87"/>
      <c r="F20247" s="87"/>
      <c r="G20247" s="87"/>
    </row>
    <row r="20248">
      <c r="A20248" s="86" t="str">
        <f>IFERROR(__xludf.DUMMYFUNCTION("""COMPUTED_VALUE"""),"")</f>
        <v/>
      </c>
      <c r="B20248" s="87"/>
      <c r="C20248" s="87"/>
      <c r="D20248" s="87"/>
      <c r="E20248" s="87"/>
      <c r="F20248" s="87"/>
      <c r="G20248" s="87"/>
    </row>
    <row r="20249">
      <c r="A20249" s="86" t="str">
        <f>IFERROR(__xludf.DUMMYFUNCTION("""COMPUTED_VALUE"""),"")</f>
        <v/>
      </c>
      <c r="B20249" s="87"/>
      <c r="C20249" s="87"/>
      <c r="D20249" s="87"/>
      <c r="E20249" s="87"/>
      <c r="F20249" s="87"/>
      <c r="G20249" s="87"/>
    </row>
    <row r="20250">
      <c r="A20250" s="86" t="str">
        <f>IFERROR(__xludf.DUMMYFUNCTION("""COMPUTED_VALUE"""),"")</f>
        <v/>
      </c>
      <c r="B20250" s="87"/>
      <c r="C20250" s="87"/>
      <c r="D20250" s="87"/>
      <c r="E20250" s="87"/>
      <c r="F20250" s="87"/>
      <c r="G20250" s="87"/>
    </row>
    <row r="20251">
      <c r="A20251" s="86" t="str">
        <f>IFERROR(__xludf.DUMMYFUNCTION("""COMPUTED_VALUE"""),"")</f>
        <v/>
      </c>
      <c r="B20251" s="87"/>
      <c r="C20251" s="87"/>
      <c r="D20251" s="87"/>
      <c r="E20251" s="87"/>
      <c r="F20251" s="87"/>
      <c r="G20251" s="87"/>
    </row>
    <row r="20252">
      <c r="A20252" s="86" t="str">
        <f>IFERROR(__xludf.DUMMYFUNCTION("""COMPUTED_VALUE"""),"")</f>
        <v/>
      </c>
      <c r="B20252" s="87"/>
      <c r="C20252" s="87"/>
      <c r="D20252" s="87"/>
      <c r="E20252" s="87"/>
      <c r="F20252" s="87"/>
      <c r="G20252" s="87"/>
    </row>
    <row r="20253">
      <c r="A20253" s="86" t="str">
        <f>IFERROR(__xludf.DUMMYFUNCTION("""COMPUTED_VALUE"""),"")</f>
        <v/>
      </c>
      <c r="B20253" s="87"/>
      <c r="C20253" s="87"/>
      <c r="D20253" s="87"/>
      <c r="E20253" s="87"/>
      <c r="F20253" s="87"/>
      <c r="G20253" s="87"/>
    </row>
    <row r="20254">
      <c r="A20254" s="86" t="str">
        <f>IFERROR(__xludf.DUMMYFUNCTION("""COMPUTED_VALUE"""),"")</f>
        <v/>
      </c>
      <c r="B20254" s="87"/>
      <c r="C20254" s="87"/>
      <c r="D20254" s="87"/>
      <c r="E20254" s="87"/>
      <c r="F20254" s="87"/>
      <c r="G20254" s="87"/>
    </row>
    <row r="20255">
      <c r="A20255" s="86" t="str">
        <f>IFERROR(__xludf.DUMMYFUNCTION("""COMPUTED_VALUE"""),"")</f>
        <v/>
      </c>
      <c r="B20255" s="87"/>
      <c r="C20255" s="87"/>
      <c r="D20255" s="87"/>
      <c r="E20255" s="87"/>
      <c r="F20255" s="87"/>
      <c r="G20255" s="87"/>
    </row>
    <row r="20256">
      <c r="A20256" s="86" t="str">
        <f>IFERROR(__xludf.DUMMYFUNCTION("""COMPUTED_VALUE"""),"")</f>
        <v/>
      </c>
      <c r="B20256" s="87"/>
      <c r="C20256" s="87"/>
      <c r="D20256" s="87"/>
      <c r="E20256" s="87"/>
      <c r="F20256" s="87"/>
      <c r="G20256" s="87"/>
    </row>
    <row r="20257">
      <c r="A20257" s="86" t="str">
        <f>IFERROR(__xludf.DUMMYFUNCTION("""COMPUTED_VALUE"""),"")</f>
        <v/>
      </c>
      <c r="B20257" s="87"/>
      <c r="C20257" s="87"/>
      <c r="D20257" s="87"/>
      <c r="E20257" s="87"/>
      <c r="F20257" s="87"/>
      <c r="G20257" s="87"/>
    </row>
    <row r="20258">
      <c r="A20258" s="86" t="str">
        <f>IFERROR(__xludf.DUMMYFUNCTION("""COMPUTED_VALUE"""),"")</f>
        <v/>
      </c>
      <c r="B20258" s="87"/>
      <c r="C20258" s="87"/>
      <c r="D20258" s="87"/>
      <c r="E20258" s="87"/>
      <c r="F20258" s="87"/>
      <c r="G20258" s="87"/>
    </row>
    <row r="20259">
      <c r="A20259" s="86" t="str">
        <f>IFERROR(__xludf.DUMMYFUNCTION("""COMPUTED_VALUE"""),"")</f>
        <v/>
      </c>
      <c r="B20259" s="87"/>
      <c r="C20259" s="87"/>
      <c r="D20259" s="87"/>
      <c r="E20259" s="87"/>
      <c r="F20259" s="87"/>
      <c r="G20259" s="87"/>
    </row>
    <row r="20260">
      <c r="A20260" s="86" t="str">
        <f>IFERROR(__xludf.DUMMYFUNCTION("""COMPUTED_VALUE"""),"")</f>
        <v/>
      </c>
      <c r="B20260" s="87"/>
      <c r="C20260" s="87"/>
      <c r="D20260" s="87"/>
      <c r="E20260" s="87"/>
      <c r="F20260" s="87"/>
      <c r="G20260" s="87"/>
    </row>
    <row r="20261">
      <c r="A20261" s="86" t="str">
        <f>IFERROR(__xludf.DUMMYFUNCTION("""COMPUTED_VALUE"""),"")</f>
        <v/>
      </c>
      <c r="B20261" s="87"/>
      <c r="C20261" s="87"/>
      <c r="D20261" s="87"/>
      <c r="E20261" s="87"/>
      <c r="F20261" s="87"/>
      <c r="G20261" s="87"/>
    </row>
    <row r="20262">
      <c r="A20262" s="86" t="str">
        <f>IFERROR(__xludf.DUMMYFUNCTION("""COMPUTED_VALUE"""),"")</f>
        <v/>
      </c>
      <c r="B20262" s="87"/>
      <c r="C20262" s="87"/>
      <c r="D20262" s="87"/>
      <c r="E20262" s="87"/>
      <c r="F20262" s="87"/>
      <c r="G20262" s="87"/>
    </row>
    <row r="20263">
      <c r="A20263" s="86" t="str">
        <f>IFERROR(__xludf.DUMMYFUNCTION("""COMPUTED_VALUE"""),"")</f>
        <v/>
      </c>
      <c r="B20263" s="87"/>
      <c r="C20263" s="87"/>
      <c r="D20263" s="87"/>
      <c r="E20263" s="87"/>
      <c r="F20263" s="87"/>
      <c r="G20263" s="87"/>
    </row>
    <row r="20264">
      <c r="A20264" s="86" t="str">
        <f>IFERROR(__xludf.DUMMYFUNCTION("""COMPUTED_VALUE"""),"")</f>
        <v/>
      </c>
      <c r="B20264" s="87"/>
      <c r="C20264" s="87"/>
      <c r="D20264" s="87"/>
      <c r="E20264" s="87"/>
      <c r="F20264" s="87"/>
      <c r="G20264" s="87"/>
    </row>
    <row r="20265">
      <c r="A20265" s="86" t="str">
        <f>IFERROR(__xludf.DUMMYFUNCTION("""COMPUTED_VALUE"""),"")</f>
        <v/>
      </c>
      <c r="B20265" s="87"/>
      <c r="C20265" s="87"/>
      <c r="D20265" s="87"/>
      <c r="E20265" s="87"/>
      <c r="F20265" s="87"/>
      <c r="G20265" s="87"/>
    </row>
    <row r="20266">
      <c r="A20266" s="86" t="str">
        <f>IFERROR(__xludf.DUMMYFUNCTION("""COMPUTED_VALUE"""),"")</f>
        <v/>
      </c>
      <c r="B20266" s="87"/>
      <c r="C20266" s="87"/>
      <c r="D20266" s="87"/>
      <c r="E20266" s="87"/>
      <c r="F20266" s="87"/>
      <c r="G20266" s="87"/>
    </row>
    <row r="20267">
      <c r="A20267" s="86" t="str">
        <f>IFERROR(__xludf.DUMMYFUNCTION("""COMPUTED_VALUE"""),"")</f>
        <v/>
      </c>
      <c r="B20267" s="87"/>
      <c r="C20267" s="87"/>
      <c r="D20267" s="87"/>
      <c r="E20267" s="87"/>
      <c r="F20267" s="87"/>
      <c r="G20267" s="87"/>
    </row>
    <row r="20268">
      <c r="A20268" s="86" t="str">
        <f>IFERROR(__xludf.DUMMYFUNCTION("""COMPUTED_VALUE"""),"")</f>
        <v/>
      </c>
      <c r="B20268" s="87"/>
      <c r="C20268" s="87"/>
      <c r="D20268" s="87"/>
      <c r="E20268" s="87"/>
      <c r="F20268" s="87"/>
      <c r="G20268" s="87"/>
    </row>
    <row r="20269">
      <c r="A20269" s="86" t="str">
        <f>IFERROR(__xludf.DUMMYFUNCTION("""COMPUTED_VALUE"""),"")</f>
        <v/>
      </c>
      <c r="B20269" s="87"/>
      <c r="C20269" s="87"/>
      <c r="D20269" s="87"/>
      <c r="E20269" s="87"/>
      <c r="F20269" s="87"/>
      <c r="G20269" s="87"/>
    </row>
    <row r="20270">
      <c r="A20270" s="86" t="str">
        <f>IFERROR(__xludf.DUMMYFUNCTION("""COMPUTED_VALUE"""),"")</f>
        <v/>
      </c>
      <c r="B20270" s="87"/>
      <c r="C20270" s="87"/>
      <c r="D20270" s="87"/>
      <c r="E20270" s="87"/>
      <c r="F20270" s="87"/>
      <c r="G20270" s="87"/>
    </row>
    <row r="20271">
      <c r="A20271" s="86" t="str">
        <f>IFERROR(__xludf.DUMMYFUNCTION("""COMPUTED_VALUE"""),"")</f>
        <v/>
      </c>
      <c r="B20271" s="87"/>
      <c r="C20271" s="87"/>
      <c r="D20271" s="87"/>
      <c r="E20271" s="87"/>
      <c r="F20271" s="87"/>
      <c r="G20271" s="87"/>
    </row>
    <row r="20272">
      <c r="A20272" s="86" t="str">
        <f>IFERROR(__xludf.DUMMYFUNCTION("""COMPUTED_VALUE"""),"")</f>
        <v/>
      </c>
      <c r="B20272" s="87"/>
      <c r="C20272" s="87"/>
      <c r="D20272" s="87"/>
      <c r="E20272" s="87"/>
      <c r="F20272" s="87"/>
      <c r="G20272" s="87"/>
    </row>
    <row r="20273">
      <c r="A20273" s="86" t="str">
        <f>IFERROR(__xludf.DUMMYFUNCTION("""COMPUTED_VALUE"""),"")</f>
        <v/>
      </c>
      <c r="B20273" s="87"/>
      <c r="C20273" s="87"/>
      <c r="D20273" s="87"/>
      <c r="E20273" s="87"/>
      <c r="F20273" s="87"/>
      <c r="G20273" s="87"/>
    </row>
    <row r="20274">
      <c r="A20274" s="86" t="str">
        <f>IFERROR(__xludf.DUMMYFUNCTION("""COMPUTED_VALUE"""),"")</f>
        <v/>
      </c>
      <c r="B20274" s="87"/>
      <c r="C20274" s="87"/>
      <c r="D20274" s="87"/>
      <c r="E20274" s="87"/>
      <c r="F20274" s="87"/>
      <c r="G20274" s="87"/>
    </row>
    <row r="20275">
      <c r="A20275" s="86" t="str">
        <f>IFERROR(__xludf.DUMMYFUNCTION("""COMPUTED_VALUE"""),"")</f>
        <v/>
      </c>
      <c r="B20275" s="87"/>
      <c r="C20275" s="87"/>
      <c r="D20275" s="87"/>
      <c r="E20275" s="87"/>
      <c r="F20275" s="87"/>
      <c r="G20275" s="87"/>
    </row>
    <row r="20276">
      <c r="A20276" s="86" t="str">
        <f>IFERROR(__xludf.DUMMYFUNCTION("""COMPUTED_VALUE"""),"")</f>
        <v/>
      </c>
      <c r="B20276" s="87"/>
      <c r="C20276" s="87"/>
      <c r="D20276" s="87"/>
      <c r="E20276" s="87"/>
      <c r="F20276" s="87"/>
      <c r="G20276" s="87"/>
    </row>
    <row r="20277">
      <c r="A20277" s="86" t="str">
        <f>IFERROR(__xludf.DUMMYFUNCTION("""COMPUTED_VALUE"""),"")</f>
        <v/>
      </c>
      <c r="B20277" s="87"/>
      <c r="C20277" s="87"/>
      <c r="D20277" s="87"/>
      <c r="E20277" s="87"/>
      <c r="F20277" s="87"/>
      <c r="G20277" s="87"/>
    </row>
    <row r="20278">
      <c r="A20278" s="86" t="str">
        <f>IFERROR(__xludf.DUMMYFUNCTION("""COMPUTED_VALUE"""),"")</f>
        <v/>
      </c>
      <c r="B20278" s="87"/>
      <c r="C20278" s="87"/>
      <c r="D20278" s="87"/>
      <c r="E20278" s="87"/>
      <c r="F20278" s="87"/>
      <c r="G20278" s="87"/>
    </row>
    <row r="20279">
      <c r="A20279" s="86" t="str">
        <f>IFERROR(__xludf.DUMMYFUNCTION("""COMPUTED_VALUE"""),"")</f>
        <v/>
      </c>
      <c r="B20279" s="87"/>
      <c r="C20279" s="87"/>
      <c r="D20279" s="87"/>
      <c r="E20279" s="87"/>
      <c r="F20279" s="87"/>
      <c r="G20279" s="87"/>
    </row>
    <row r="20280">
      <c r="A20280" s="86" t="str">
        <f>IFERROR(__xludf.DUMMYFUNCTION("""COMPUTED_VALUE"""),"")</f>
        <v/>
      </c>
      <c r="B20280" s="87"/>
      <c r="C20280" s="87"/>
      <c r="D20280" s="87"/>
      <c r="E20280" s="87"/>
      <c r="F20280" s="87"/>
      <c r="G20280" s="87"/>
    </row>
    <row r="20281">
      <c r="A20281" s="86" t="str">
        <f>IFERROR(__xludf.DUMMYFUNCTION("""COMPUTED_VALUE"""),"")</f>
        <v/>
      </c>
      <c r="B20281" s="87"/>
      <c r="C20281" s="87"/>
      <c r="D20281" s="87"/>
      <c r="E20281" s="87"/>
      <c r="F20281" s="87"/>
      <c r="G20281" s="87"/>
    </row>
    <row r="20282">
      <c r="A20282" s="86" t="str">
        <f>IFERROR(__xludf.DUMMYFUNCTION("""COMPUTED_VALUE"""),"")</f>
        <v/>
      </c>
      <c r="B20282" s="87"/>
      <c r="C20282" s="87"/>
      <c r="D20282" s="87"/>
      <c r="E20282" s="87"/>
      <c r="F20282" s="87"/>
      <c r="G20282" s="87"/>
    </row>
    <row r="20283">
      <c r="A20283" s="86" t="str">
        <f>IFERROR(__xludf.DUMMYFUNCTION("""COMPUTED_VALUE"""),"")</f>
        <v/>
      </c>
      <c r="B20283" s="87"/>
      <c r="C20283" s="87"/>
      <c r="D20283" s="87"/>
      <c r="E20283" s="87"/>
      <c r="F20283" s="87"/>
      <c r="G20283" s="87"/>
    </row>
    <row r="20284">
      <c r="A20284" s="86" t="str">
        <f>IFERROR(__xludf.DUMMYFUNCTION("""COMPUTED_VALUE"""),"")</f>
        <v/>
      </c>
      <c r="B20284" s="87"/>
      <c r="C20284" s="87"/>
      <c r="D20284" s="87"/>
      <c r="E20284" s="87"/>
      <c r="F20284" s="87"/>
      <c r="G20284" s="87"/>
    </row>
    <row r="20285">
      <c r="A20285" s="86" t="str">
        <f>IFERROR(__xludf.DUMMYFUNCTION("""COMPUTED_VALUE"""),"")</f>
        <v/>
      </c>
      <c r="B20285" s="87"/>
      <c r="C20285" s="87"/>
      <c r="D20285" s="87"/>
      <c r="E20285" s="87"/>
      <c r="F20285" s="87"/>
      <c r="G20285" s="87"/>
    </row>
    <row r="20286">
      <c r="A20286" s="86" t="str">
        <f>IFERROR(__xludf.DUMMYFUNCTION("""COMPUTED_VALUE"""),"")</f>
        <v/>
      </c>
      <c r="B20286" s="87"/>
      <c r="C20286" s="87"/>
      <c r="D20286" s="87"/>
      <c r="E20286" s="87"/>
      <c r="F20286" s="87"/>
      <c r="G20286" s="87"/>
    </row>
    <row r="20287">
      <c r="A20287" s="86" t="str">
        <f>IFERROR(__xludf.DUMMYFUNCTION("""COMPUTED_VALUE"""),"")</f>
        <v/>
      </c>
      <c r="B20287" s="87"/>
      <c r="C20287" s="87"/>
      <c r="D20287" s="87"/>
      <c r="E20287" s="87"/>
      <c r="F20287" s="87"/>
      <c r="G20287" s="87"/>
    </row>
    <row r="20288">
      <c r="A20288" s="86" t="str">
        <f>IFERROR(__xludf.DUMMYFUNCTION("""COMPUTED_VALUE"""),"")</f>
        <v/>
      </c>
      <c r="B20288" s="87"/>
      <c r="C20288" s="87"/>
      <c r="D20288" s="87"/>
      <c r="E20288" s="87"/>
      <c r="F20288" s="87"/>
      <c r="G20288" s="87"/>
    </row>
    <row r="20289">
      <c r="A20289" s="86" t="str">
        <f>IFERROR(__xludf.DUMMYFUNCTION("""COMPUTED_VALUE"""),"")</f>
        <v/>
      </c>
      <c r="B20289" s="87"/>
      <c r="C20289" s="87"/>
      <c r="D20289" s="87"/>
      <c r="E20289" s="87"/>
      <c r="F20289" s="87"/>
      <c r="G20289" s="87"/>
    </row>
    <row r="20290">
      <c r="A20290" s="86" t="str">
        <f>IFERROR(__xludf.DUMMYFUNCTION("""COMPUTED_VALUE"""),"")</f>
        <v/>
      </c>
      <c r="B20290" s="87"/>
      <c r="C20290" s="87"/>
      <c r="D20290" s="87"/>
      <c r="E20290" s="87"/>
      <c r="F20290" s="87"/>
      <c r="G20290" s="87"/>
    </row>
    <row r="20291">
      <c r="A20291" s="86" t="str">
        <f>IFERROR(__xludf.DUMMYFUNCTION("""COMPUTED_VALUE"""),"")</f>
        <v/>
      </c>
      <c r="B20291" s="87"/>
      <c r="C20291" s="87"/>
      <c r="D20291" s="87"/>
      <c r="E20291" s="87"/>
      <c r="F20291" s="87"/>
      <c r="G20291" s="87"/>
    </row>
    <row r="20292">
      <c r="A20292" s="86" t="str">
        <f>IFERROR(__xludf.DUMMYFUNCTION("""COMPUTED_VALUE"""),"")</f>
        <v/>
      </c>
      <c r="B20292" s="87"/>
      <c r="C20292" s="87"/>
      <c r="D20292" s="87"/>
      <c r="E20292" s="87"/>
      <c r="F20292" s="87"/>
      <c r="G20292" s="87"/>
    </row>
    <row r="20293">
      <c r="A20293" s="86" t="str">
        <f>IFERROR(__xludf.DUMMYFUNCTION("""COMPUTED_VALUE"""),"")</f>
        <v/>
      </c>
      <c r="B20293" s="87"/>
      <c r="C20293" s="87"/>
      <c r="D20293" s="87"/>
      <c r="E20293" s="87"/>
      <c r="F20293" s="87"/>
      <c r="G20293" s="87"/>
    </row>
    <row r="20294">
      <c r="A20294" s="86" t="str">
        <f>IFERROR(__xludf.DUMMYFUNCTION("""COMPUTED_VALUE"""),"")</f>
        <v/>
      </c>
      <c r="B20294" s="87"/>
      <c r="C20294" s="87"/>
      <c r="D20294" s="87"/>
      <c r="E20294" s="87"/>
      <c r="F20294" s="87"/>
      <c r="G20294" s="87"/>
    </row>
    <row r="20295">
      <c r="A20295" s="86" t="str">
        <f>IFERROR(__xludf.DUMMYFUNCTION("""COMPUTED_VALUE"""),"")</f>
        <v/>
      </c>
      <c r="B20295" s="87"/>
      <c r="C20295" s="87"/>
      <c r="D20295" s="87"/>
      <c r="E20295" s="87"/>
      <c r="F20295" s="87"/>
      <c r="G20295" s="87"/>
    </row>
    <row r="20296">
      <c r="A20296" s="86" t="str">
        <f>IFERROR(__xludf.DUMMYFUNCTION("""COMPUTED_VALUE"""),"")</f>
        <v/>
      </c>
      <c r="B20296" s="87"/>
      <c r="C20296" s="87"/>
      <c r="D20296" s="87"/>
      <c r="E20296" s="87"/>
      <c r="F20296" s="87"/>
      <c r="G20296" s="87"/>
    </row>
    <row r="20297">
      <c r="A20297" s="86" t="str">
        <f>IFERROR(__xludf.DUMMYFUNCTION("""COMPUTED_VALUE"""),"")</f>
        <v/>
      </c>
      <c r="B20297" s="87"/>
      <c r="C20297" s="87"/>
      <c r="D20297" s="87"/>
      <c r="E20297" s="87"/>
      <c r="F20297" s="87"/>
      <c r="G20297" s="87"/>
    </row>
    <row r="20298">
      <c r="A20298" s="86" t="str">
        <f>IFERROR(__xludf.DUMMYFUNCTION("""COMPUTED_VALUE"""),"")</f>
        <v/>
      </c>
      <c r="B20298" s="87"/>
      <c r="C20298" s="87"/>
      <c r="D20298" s="87"/>
      <c r="E20298" s="87"/>
      <c r="F20298" s="87"/>
      <c r="G20298" s="87"/>
    </row>
    <row r="20299">
      <c r="A20299" s="86" t="str">
        <f>IFERROR(__xludf.DUMMYFUNCTION("""COMPUTED_VALUE"""),"")</f>
        <v/>
      </c>
      <c r="B20299" s="87"/>
      <c r="C20299" s="87"/>
      <c r="D20299" s="87"/>
      <c r="E20299" s="87"/>
      <c r="F20299" s="87"/>
      <c r="G20299" s="87"/>
    </row>
    <row r="20300">
      <c r="A20300" s="86" t="str">
        <f>IFERROR(__xludf.DUMMYFUNCTION("""COMPUTED_VALUE"""),"")</f>
        <v/>
      </c>
      <c r="B20300" s="87"/>
      <c r="C20300" s="87"/>
      <c r="D20300" s="87"/>
      <c r="E20300" s="87"/>
      <c r="F20300" s="87"/>
      <c r="G20300" s="87"/>
    </row>
    <row r="20301">
      <c r="A20301" s="86" t="str">
        <f>IFERROR(__xludf.DUMMYFUNCTION("""COMPUTED_VALUE"""),"")</f>
        <v/>
      </c>
      <c r="B20301" s="87"/>
      <c r="C20301" s="87"/>
      <c r="D20301" s="87"/>
      <c r="E20301" s="87"/>
      <c r="F20301" s="87"/>
      <c r="G20301" s="87"/>
    </row>
    <row r="20302">
      <c r="A20302" s="86" t="str">
        <f>IFERROR(__xludf.DUMMYFUNCTION("""COMPUTED_VALUE"""),"")</f>
        <v/>
      </c>
      <c r="B20302" s="87"/>
      <c r="C20302" s="87"/>
      <c r="D20302" s="87"/>
      <c r="E20302" s="87"/>
      <c r="F20302" s="87"/>
      <c r="G20302" s="87"/>
    </row>
    <row r="20303">
      <c r="A20303" s="86" t="str">
        <f>IFERROR(__xludf.DUMMYFUNCTION("""COMPUTED_VALUE"""),"")</f>
        <v/>
      </c>
      <c r="B20303" s="87"/>
      <c r="C20303" s="87"/>
      <c r="D20303" s="87"/>
      <c r="E20303" s="87"/>
      <c r="F20303" s="87"/>
      <c r="G20303" s="87"/>
    </row>
    <row r="20304">
      <c r="A20304" s="86" t="str">
        <f>IFERROR(__xludf.DUMMYFUNCTION("""COMPUTED_VALUE"""),"")</f>
        <v/>
      </c>
      <c r="B20304" s="87"/>
      <c r="C20304" s="87"/>
      <c r="D20304" s="87"/>
      <c r="E20304" s="87"/>
      <c r="F20304" s="87"/>
      <c r="G20304" s="87"/>
    </row>
    <row r="20305">
      <c r="A20305" s="86" t="str">
        <f>IFERROR(__xludf.DUMMYFUNCTION("""COMPUTED_VALUE"""),"")</f>
        <v/>
      </c>
      <c r="B20305" s="87"/>
      <c r="C20305" s="87"/>
      <c r="D20305" s="87"/>
      <c r="E20305" s="87"/>
      <c r="F20305" s="87"/>
      <c r="G20305" s="87"/>
    </row>
    <row r="20306">
      <c r="A20306" s="86" t="str">
        <f>IFERROR(__xludf.DUMMYFUNCTION("""COMPUTED_VALUE"""),"")</f>
        <v/>
      </c>
      <c r="B20306" s="87"/>
      <c r="C20306" s="87"/>
      <c r="D20306" s="87"/>
      <c r="E20306" s="87"/>
      <c r="F20306" s="87"/>
      <c r="G20306" s="87"/>
    </row>
    <row r="20307">
      <c r="A20307" s="86" t="str">
        <f>IFERROR(__xludf.DUMMYFUNCTION("""COMPUTED_VALUE"""),"")</f>
        <v/>
      </c>
      <c r="B20307" s="87"/>
      <c r="C20307" s="87"/>
      <c r="D20307" s="87"/>
      <c r="E20307" s="87"/>
      <c r="F20307" s="87"/>
      <c r="G20307" s="87"/>
    </row>
    <row r="20308">
      <c r="A20308" s="86" t="str">
        <f>IFERROR(__xludf.DUMMYFUNCTION("""COMPUTED_VALUE"""),"")</f>
        <v/>
      </c>
      <c r="B20308" s="87"/>
      <c r="C20308" s="87"/>
      <c r="D20308" s="87"/>
      <c r="E20308" s="87"/>
      <c r="F20308" s="87"/>
      <c r="G20308" s="87"/>
    </row>
    <row r="20309">
      <c r="A20309" s="86" t="str">
        <f>IFERROR(__xludf.DUMMYFUNCTION("""COMPUTED_VALUE"""),"")</f>
        <v/>
      </c>
      <c r="B20309" s="87"/>
      <c r="C20309" s="87"/>
      <c r="D20309" s="87"/>
      <c r="E20309" s="87"/>
      <c r="F20309" s="87"/>
      <c r="G20309" s="87"/>
    </row>
    <row r="20310">
      <c r="A20310" s="86" t="str">
        <f>IFERROR(__xludf.DUMMYFUNCTION("""COMPUTED_VALUE"""),"")</f>
        <v/>
      </c>
      <c r="B20310" s="87"/>
      <c r="C20310" s="87"/>
      <c r="D20310" s="87"/>
      <c r="E20310" s="87"/>
      <c r="F20310" s="87"/>
      <c r="G20310" s="87"/>
    </row>
    <row r="20311">
      <c r="A20311" s="86" t="str">
        <f>IFERROR(__xludf.DUMMYFUNCTION("""COMPUTED_VALUE"""),"")</f>
        <v/>
      </c>
      <c r="B20311" s="87"/>
      <c r="C20311" s="87"/>
      <c r="D20311" s="87"/>
      <c r="E20311" s="87"/>
      <c r="F20311" s="87"/>
      <c r="G20311" s="87"/>
    </row>
    <row r="20312">
      <c r="A20312" s="86" t="str">
        <f>IFERROR(__xludf.DUMMYFUNCTION("""COMPUTED_VALUE"""),"")</f>
        <v/>
      </c>
      <c r="B20312" s="87"/>
      <c r="C20312" s="87"/>
      <c r="D20312" s="87"/>
      <c r="E20312" s="87"/>
      <c r="F20312" s="87"/>
      <c r="G20312" s="87"/>
    </row>
    <row r="20313">
      <c r="A20313" s="86" t="str">
        <f>IFERROR(__xludf.DUMMYFUNCTION("""COMPUTED_VALUE"""),"")</f>
        <v/>
      </c>
      <c r="B20313" s="87"/>
      <c r="C20313" s="87"/>
      <c r="D20313" s="87"/>
      <c r="E20313" s="87"/>
      <c r="F20313" s="87"/>
      <c r="G20313" s="87"/>
    </row>
    <row r="20314">
      <c r="A20314" s="86" t="str">
        <f>IFERROR(__xludf.DUMMYFUNCTION("""COMPUTED_VALUE"""),"")</f>
        <v/>
      </c>
      <c r="B20314" s="87"/>
      <c r="C20314" s="87"/>
      <c r="D20314" s="87"/>
      <c r="E20314" s="87"/>
      <c r="F20314" s="87"/>
      <c r="G20314" s="87"/>
    </row>
    <row r="20315">
      <c r="A20315" s="86" t="str">
        <f>IFERROR(__xludf.DUMMYFUNCTION("""COMPUTED_VALUE"""),"")</f>
        <v/>
      </c>
      <c r="B20315" s="87"/>
      <c r="C20315" s="87"/>
      <c r="D20315" s="87"/>
      <c r="E20315" s="87"/>
      <c r="F20315" s="87"/>
      <c r="G20315" s="87"/>
    </row>
    <row r="20316">
      <c r="A20316" s="86" t="str">
        <f>IFERROR(__xludf.DUMMYFUNCTION("""COMPUTED_VALUE"""),"")</f>
        <v/>
      </c>
      <c r="B20316" s="87"/>
      <c r="C20316" s="87"/>
      <c r="D20316" s="87"/>
      <c r="E20316" s="87"/>
      <c r="F20316" s="87"/>
      <c r="G20316" s="87"/>
    </row>
    <row r="20317">
      <c r="A20317" s="86" t="str">
        <f>IFERROR(__xludf.DUMMYFUNCTION("""COMPUTED_VALUE"""),"")</f>
        <v/>
      </c>
      <c r="B20317" s="87"/>
      <c r="C20317" s="87"/>
      <c r="D20317" s="87"/>
      <c r="E20317" s="87"/>
      <c r="F20317" s="87"/>
      <c r="G20317" s="87"/>
    </row>
    <row r="20318">
      <c r="A20318" s="86" t="str">
        <f>IFERROR(__xludf.DUMMYFUNCTION("""COMPUTED_VALUE"""),"")</f>
        <v/>
      </c>
      <c r="B20318" s="87"/>
      <c r="C20318" s="87"/>
      <c r="D20318" s="87"/>
      <c r="E20318" s="87"/>
      <c r="F20318" s="87"/>
      <c r="G20318" s="87"/>
    </row>
    <row r="20319">
      <c r="A20319" s="86" t="str">
        <f>IFERROR(__xludf.DUMMYFUNCTION("""COMPUTED_VALUE"""),"")</f>
        <v/>
      </c>
      <c r="B20319" s="87"/>
      <c r="C20319" s="87"/>
      <c r="D20319" s="87"/>
      <c r="E20319" s="87"/>
      <c r="F20319" s="87"/>
      <c r="G20319" s="87"/>
    </row>
    <row r="20320">
      <c r="A20320" s="86" t="str">
        <f>IFERROR(__xludf.DUMMYFUNCTION("""COMPUTED_VALUE"""),"")</f>
        <v/>
      </c>
      <c r="B20320" s="87"/>
      <c r="C20320" s="87"/>
      <c r="D20320" s="87"/>
      <c r="E20320" s="87"/>
      <c r="F20320" s="87"/>
      <c r="G20320" s="87"/>
    </row>
    <row r="20321">
      <c r="A20321" s="86" t="str">
        <f>IFERROR(__xludf.DUMMYFUNCTION("""COMPUTED_VALUE"""),"")</f>
        <v/>
      </c>
      <c r="B20321" s="87"/>
      <c r="C20321" s="87"/>
      <c r="D20321" s="87"/>
      <c r="E20321" s="87"/>
      <c r="F20321" s="87"/>
      <c r="G20321" s="87"/>
    </row>
    <row r="20322">
      <c r="A20322" s="86" t="str">
        <f>IFERROR(__xludf.DUMMYFUNCTION("""COMPUTED_VALUE"""),"")</f>
        <v/>
      </c>
      <c r="B20322" s="87"/>
      <c r="C20322" s="87"/>
      <c r="D20322" s="87"/>
      <c r="E20322" s="87"/>
      <c r="F20322" s="87"/>
      <c r="G20322" s="87"/>
    </row>
    <row r="20323">
      <c r="A20323" s="86" t="str">
        <f>IFERROR(__xludf.DUMMYFUNCTION("""COMPUTED_VALUE"""),"")</f>
        <v/>
      </c>
      <c r="B20323" s="87"/>
      <c r="C20323" s="87"/>
      <c r="D20323" s="87"/>
      <c r="E20323" s="87"/>
      <c r="F20323" s="87"/>
      <c r="G20323" s="87"/>
    </row>
    <row r="20324">
      <c r="A20324" s="86" t="str">
        <f>IFERROR(__xludf.DUMMYFUNCTION("""COMPUTED_VALUE"""),"")</f>
        <v/>
      </c>
      <c r="B20324" s="87"/>
      <c r="C20324" s="87"/>
      <c r="D20324" s="87"/>
      <c r="E20324" s="87"/>
      <c r="F20324" s="87"/>
      <c r="G20324" s="87"/>
    </row>
    <row r="20325">
      <c r="A20325" s="86" t="str">
        <f>IFERROR(__xludf.DUMMYFUNCTION("""COMPUTED_VALUE"""),"")</f>
        <v/>
      </c>
      <c r="B20325" s="87"/>
      <c r="C20325" s="87"/>
      <c r="D20325" s="87"/>
      <c r="E20325" s="87"/>
      <c r="F20325" s="87"/>
      <c r="G20325" s="87"/>
    </row>
    <row r="20326">
      <c r="A20326" s="86" t="str">
        <f>IFERROR(__xludf.DUMMYFUNCTION("""COMPUTED_VALUE"""),"")</f>
        <v/>
      </c>
      <c r="B20326" s="87"/>
      <c r="C20326" s="87"/>
      <c r="D20326" s="87"/>
      <c r="E20326" s="87"/>
      <c r="F20326" s="87"/>
      <c r="G20326" s="87"/>
    </row>
    <row r="20327">
      <c r="A20327" s="86" t="str">
        <f>IFERROR(__xludf.DUMMYFUNCTION("""COMPUTED_VALUE"""),"")</f>
        <v/>
      </c>
      <c r="B20327" s="87"/>
      <c r="C20327" s="87"/>
      <c r="D20327" s="87"/>
      <c r="E20327" s="87"/>
      <c r="F20327" s="87"/>
      <c r="G20327" s="87"/>
    </row>
    <row r="20328">
      <c r="A20328" s="86" t="str">
        <f>IFERROR(__xludf.DUMMYFUNCTION("""COMPUTED_VALUE"""),"")</f>
        <v/>
      </c>
      <c r="B20328" s="87"/>
      <c r="C20328" s="87"/>
      <c r="D20328" s="87"/>
      <c r="E20328" s="87"/>
      <c r="F20328" s="87"/>
      <c r="G20328" s="87"/>
    </row>
    <row r="20329">
      <c r="A20329" s="86" t="str">
        <f>IFERROR(__xludf.DUMMYFUNCTION("""COMPUTED_VALUE"""),"")</f>
        <v/>
      </c>
      <c r="B20329" s="87"/>
      <c r="C20329" s="87"/>
      <c r="D20329" s="87"/>
      <c r="E20329" s="87"/>
      <c r="F20329" s="87"/>
      <c r="G20329" s="87"/>
    </row>
    <row r="20330">
      <c r="A20330" s="86" t="str">
        <f>IFERROR(__xludf.DUMMYFUNCTION("""COMPUTED_VALUE"""),"")</f>
        <v/>
      </c>
      <c r="B20330" s="87"/>
      <c r="C20330" s="87"/>
      <c r="D20330" s="87"/>
      <c r="E20330" s="87"/>
      <c r="F20330" s="87"/>
      <c r="G20330" s="87"/>
    </row>
    <row r="20331">
      <c r="A20331" s="86" t="str">
        <f>IFERROR(__xludf.DUMMYFUNCTION("""COMPUTED_VALUE"""),"")</f>
        <v/>
      </c>
      <c r="B20331" s="87"/>
      <c r="C20331" s="87"/>
      <c r="D20331" s="87"/>
      <c r="E20331" s="87"/>
      <c r="F20331" s="87"/>
      <c r="G20331" s="87"/>
    </row>
    <row r="20332">
      <c r="A20332" s="86" t="str">
        <f>IFERROR(__xludf.DUMMYFUNCTION("""COMPUTED_VALUE"""),"")</f>
        <v/>
      </c>
      <c r="B20332" s="87"/>
      <c r="C20332" s="87"/>
      <c r="D20332" s="87"/>
      <c r="E20332" s="87"/>
      <c r="F20332" s="87"/>
      <c r="G20332" s="87"/>
    </row>
    <row r="20333">
      <c r="A20333" s="86" t="str">
        <f>IFERROR(__xludf.DUMMYFUNCTION("""COMPUTED_VALUE"""),"")</f>
        <v/>
      </c>
      <c r="B20333" s="87"/>
      <c r="C20333" s="87"/>
      <c r="D20333" s="87"/>
      <c r="E20333" s="87"/>
      <c r="F20333" s="87"/>
      <c r="G20333" s="87"/>
    </row>
    <row r="20334">
      <c r="A20334" s="86" t="str">
        <f>IFERROR(__xludf.DUMMYFUNCTION("""COMPUTED_VALUE"""),"")</f>
        <v/>
      </c>
      <c r="B20334" s="87"/>
      <c r="C20334" s="87"/>
      <c r="D20334" s="87"/>
      <c r="E20334" s="87"/>
      <c r="F20334" s="87"/>
      <c r="G20334" s="87"/>
    </row>
    <row r="20335">
      <c r="A20335" s="86" t="str">
        <f>IFERROR(__xludf.DUMMYFUNCTION("""COMPUTED_VALUE"""),"")</f>
        <v/>
      </c>
      <c r="B20335" s="87"/>
      <c r="C20335" s="87"/>
      <c r="D20335" s="87"/>
      <c r="E20335" s="87"/>
      <c r="F20335" s="87"/>
      <c r="G20335" s="87"/>
    </row>
    <row r="20336">
      <c r="A20336" s="86" t="str">
        <f>IFERROR(__xludf.DUMMYFUNCTION("""COMPUTED_VALUE"""),"")</f>
        <v/>
      </c>
      <c r="B20336" s="87"/>
      <c r="C20336" s="87"/>
      <c r="D20336" s="87"/>
      <c r="E20336" s="87"/>
      <c r="F20336" s="87"/>
      <c r="G20336" s="87"/>
    </row>
    <row r="20337">
      <c r="A20337" s="86" t="str">
        <f>IFERROR(__xludf.DUMMYFUNCTION("""COMPUTED_VALUE"""),"")</f>
        <v/>
      </c>
      <c r="B20337" s="87"/>
      <c r="C20337" s="87"/>
      <c r="D20337" s="87"/>
      <c r="E20337" s="87"/>
      <c r="F20337" s="87"/>
      <c r="G20337" s="87"/>
    </row>
    <row r="20338">
      <c r="A20338" s="86" t="str">
        <f>IFERROR(__xludf.DUMMYFUNCTION("""COMPUTED_VALUE"""),"")</f>
        <v/>
      </c>
      <c r="B20338" s="87"/>
      <c r="C20338" s="87"/>
      <c r="D20338" s="87"/>
      <c r="E20338" s="87"/>
      <c r="F20338" s="87"/>
      <c r="G20338" s="87"/>
    </row>
    <row r="20339">
      <c r="A20339" s="86" t="str">
        <f>IFERROR(__xludf.DUMMYFUNCTION("""COMPUTED_VALUE"""),"")</f>
        <v/>
      </c>
      <c r="B20339" s="87"/>
      <c r="C20339" s="87"/>
      <c r="D20339" s="87"/>
      <c r="E20339" s="87"/>
      <c r="F20339" s="87"/>
      <c r="G20339" s="87"/>
    </row>
    <row r="20340">
      <c r="A20340" s="86" t="str">
        <f>IFERROR(__xludf.DUMMYFUNCTION("""COMPUTED_VALUE"""),"")</f>
        <v/>
      </c>
      <c r="B20340" s="87"/>
      <c r="C20340" s="87"/>
      <c r="D20340" s="87"/>
      <c r="E20340" s="87"/>
      <c r="F20340" s="87"/>
      <c r="G20340" s="87"/>
    </row>
    <row r="20341">
      <c r="A20341" s="86" t="str">
        <f>IFERROR(__xludf.DUMMYFUNCTION("""COMPUTED_VALUE"""),"")</f>
        <v/>
      </c>
      <c r="B20341" s="87"/>
      <c r="C20341" s="87"/>
      <c r="D20341" s="87"/>
      <c r="E20341" s="87"/>
      <c r="F20341" s="87"/>
      <c r="G20341" s="87"/>
    </row>
    <row r="20342">
      <c r="A20342" s="86" t="str">
        <f>IFERROR(__xludf.DUMMYFUNCTION("""COMPUTED_VALUE"""),"")</f>
        <v/>
      </c>
      <c r="B20342" s="87"/>
      <c r="C20342" s="87"/>
      <c r="D20342" s="87"/>
      <c r="E20342" s="87"/>
      <c r="F20342" s="87"/>
      <c r="G20342" s="87"/>
    </row>
    <row r="20343">
      <c r="A20343" s="86" t="str">
        <f>IFERROR(__xludf.DUMMYFUNCTION("""COMPUTED_VALUE"""),"")</f>
        <v/>
      </c>
      <c r="B20343" s="87"/>
      <c r="C20343" s="87"/>
      <c r="D20343" s="87"/>
      <c r="E20343" s="87"/>
      <c r="F20343" s="87"/>
      <c r="G20343" s="87"/>
    </row>
    <row r="20344">
      <c r="A20344" s="86" t="str">
        <f>IFERROR(__xludf.DUMMYFUNCTION("""COMPUTED_VALUE"""),"")</f>
        <v/>
      </c>
      <c r="B20344" s="87"/>
      <c r="C20344" s="87"/>
      <c r="D20344" s="87"/>
      <c r="E20344" s="87"/>
      <c r="F20344" s="87"/>
      <c r="G20344" s="87"/>
    </row>
    <row r="20345">
      <c r="A20345" s="86" t="str">
        <f>IFERROR(__xludf.DUMMYFUNCTION("""COMPUTED_VALUE"""),"")</f>
        <v/>
      </c>
      <c r="B20345" s="87"/>
      <c r="C20345" s="87"/>
      <c r="D20345" s="87"/>
      <c r="E20345" s="87"/>
      <c r="F20345" s="87"/>
      <c r="G20345" s="87"/>
    </row>
    <row r="20346">
      <c r="A20346" s="86" t="str">
        <f>IFERROR(__xludf.DUMMYFUNCTION("""COMPUTED_VALUE"""),"")</f>
        <v/>
      </c>
      <c r="B20346" s="87"/>
      <c r="C20346" s="87"/>
      <c r="D20346" s="87"/>
      <c r="E20346" s="87"/>
      <c r="F20346" s="87"/>
      <c r="G20346" s="87"/>
    </row>
    <row r="20347">
      <c r="A20347" s="86" t="str">
        <f>IFERROR(__xludf.DUMMYFUNCTION("""COMPUTED_VALUE"""),"")</f>
        <v/>
      </c>
      <c r="B20347" s="87"/>
      <c r="C20347" s="87"/>
      <c r="D20347" s="87"/>
      <c r="E20347" s="87"/>
      <c r="F20347" s="87"/>
      <c r="G20347" s="87"/>
    </row>
    <row r="20348">
      <c r="A20348" s="86" t="str">
        <f>IFERROR(__xludf.DUMMYFUNCTION("""COMPUTED_VALUE"""),"")</f>
        <v/>
      </c>
      <c r="B20348" s="87"/>
      <c r="C20348" s="87"/>
      <c r="D20348" s="87"/>
      <c r="E20348" s="87"/>
      <c r="F20348" s="87"/>
      <c r="G20348" s="87"/>
    </row>
    <row r="20349">
      <c r="A20349" s="86" t="str">
        <f>IFERROR(__xludf.DUMMYFUNCTION("""COMPUTED_VALUE"""),"")</f>
        <v/>
      </c>
      <c r="B20349" s="87"/>
      <c r="C20349" s="87"/>
      <c r="D20349" s="87"/>
      <c r="E20349" s="87"/>
      <c r="F20349" s="87"/>
      <c r="G20349" s="87"/>
    </row>
    <row r="20350">
      <c r="A20350" s="86" t="str">
        <f>IFERROR(__xludf.DUMMYFUNCTION("""COMPUTED_VALUE"""),"")</f>
        <v/>
      </c>
      <c r="B20350" s="87"/>
      <c r="C20350" s="87"/>
      <c r="D20350" s="87"/>
      <c r="E20350" s="87"/>
      <c r="F20350" s="87"/>
      <c r="G20350" s="87"/>
    </row>
    <row r="20351">
      <c r="A20351" s="86" t="str">
        <f>IFERROR(__xludf.DUMMYFUNCTION("""COMPUTED_VALUE"""),"")</f>
        <v/>
      </c>
      <c r="B20351" s="87"/>
      <c r="C20351" s="87"/>
      <c r="D20351" s="87"/>
      <c r="E20351" s="87"/>
      <c r="F20351" s="87"/>
      <c r="G20351" s="87"/>
    </row>
    <row r="20352">
      <c r="A20352" s="86" t="str">
        <f>IFERROR(__xludf.DUMMYFUNCTION("""COMPUTED_VALUE"""),"")</f>
        <v/>
      </c>
      <c r="B20352" s="87"/>
      <c r="C20352" s="87"/>
      <c r="D20352" s="87"/>
      <c r="E20352" s="87"/>
      <c r="F20352" s="87"/>
      <c r="G20352" s="87"/>
    </row>
    <row r="20353">
      <c r="A20353" s="86" t="str">
        <f>IFERROR(__xludf.DUMMYFUNCTION("""COMPUTED_VALUE"""),"")</f>
        <v/>
      </c>
      <c r="B20353" s="87"/>
      <c r="C20353" s="87"/>
      <c r="D20353" s="87"/>
      <c r="E20353" s="87"/>
      <c r="F20353" s="87"/>
      <c r="G20353" s="87"/>
    </row>
    <row r="20354">
      <c r="A20354" s="86" t="str">
        <f>IFERROR(__xludf.DUMMYFUNCTION("""COMPUTED_VALUE"""),"")</f>
        <v/>
      </c>
      <c r="B20354" s="87"/>
      <c r="C20354" s="87"/>
      <c r="D20354" s="87"/>
      <c r="E20354" s="87"/>
      <c r="F20354" s="87"/>
      <c r="G20354" s="87"/>
    </row>
    <row r="20355">
      <c r="A20355" s="86" t="str">
        <f>IFERROR(__xludf.DUMMYFUNCTION("""COMPUTED_VALUE"""),"")</f>
        <v/>
      </c>
      <c r="B20355" s="87"/>
      <c r="C20355" s="87"/>
      <c r="D20355" s="87"/>
      <c r="E20355" s="87"/>
      <c r="F20355" s="87"/>
      <c r="G20355" s="87"/>
    </row>
    <row r="20356">
      <c r="A20356" s="86" t="str">
        <f>IFERROR(__xludf.DUMMYFUNCTION("""COMPUTED_VALUE"""),"")</f>
        <v/>
      </c>
      <c r="B20356" s="87"/>
      <c r="C20356" s="87"/>
      <c r="D20356" s="87"/>
      <c r="E20356" s="87"/>
      <c r="F20356" s="87"/>
      <c r="G20356" s="87"/>
    </row>
    <row r="20357">
      <c r="A20357" s="86" t="str">
        <f>IFERROR(__xludf.DUMMYFUNCTION("""COMPUTED_VALUE"""),"")</f>
        <v/>
      </c>
      <c r="B20357" s="87"/>
      <c r="C20357" s="87"/>
      <c r="D20357" s="87"/>
      <c r="E20357" s="87"/>
      <c r="F20357" s="87"/>
      <c r="G20357" s="87"/>
    </row>
    <row r="20358">
      <c r="A20358" s="86" t="str">
        <f>IFERROR(__xludf.DUMMYFUNCTION("""COMPUTED_VALUE"""),"")</f>
        <v/>
      </c>
      <c r="B20358" s="87"/>
      <c r="C20358" s="87"/>
      <c r="D20358" s="87"/>
      <c r="E20358" s="87"/>
      <c r="F20358" s="87"/>
      <c r="G20358" s="87"/>
    </row>
    <row r="20359">
      <c r="A20359" s="86" t="str">
        <f>IFERROR(__xludf.DUMMYFUNCTION("""COMPUTED_VALUE"""),"")</f>
        <v/>
      </c>
      <c r="B20359" s="87"/>
      <c r="C20359" s="87"/>
      <c r="D20359" s="87"/>
      <c r="E20359" s="87"/>
      <c r="F20359" s="87"/>
      <c r="G20359" s="87"/>
    </row>
    <row r="20360">
      <c r="A20360" s="86" t="str">
        <f>IFERROR(__xludf.DUMMYFUNCTION("""COMPUTED_VALUE"""),"")</f>
        <v/>
      </c>
      <c r="B20360" s="87"/>
      <c r="C20360" s="87"/>
      <c r="D20360" s="87"/>
      <c r="E20360" s="87"/>
      <c r="F20360" s="87"/>
      <c r="G20360" s="87"/>
    </row>
    <row r="20361">
      <c r="A20361" s="86" t="str">
        <f>IFERROR(__xludf.DUMMYFUNCTION("""COMPUTED_VALUE"""),"")</f>
        <v/>
      </c>
      <c r="B20361" s="87"/>
      <c r="C20361" s="87"/>
      <c r="D20361" s="87"/>
      <c r="E20361" s="87"/>
      <c r="F20361" s="87"/>
      <c r="G20361" s="87"/>
    </row>
    <row r="20362">
      <c r="A20362" s="86" t="str">
        <f>IFERROR(__xludf.DUMMYFUNCTION("""COMPUTED_VALUE"""),"")</f>
        <v/>
      </c>
      <c r="B20362" s="87"/>
      <c r="C20362" s="87"/>
      <c r="D20362" s="87"/>
      <c r="E20362" s="87"/>
      <c r="F20362" s="87"/>
      <c r="G20362" s="87"/>
    </row>
    <row r="20363">
      <c r="A20363" s="86" t="str">
        <f>IFERROR(__xludf.DUMMYFUNCTION("""COMPUTED_VALUE"""),"")</f>
        <v/>
      </c>
      <c r="B20363" s="87"/>
      <c r="C20363" s="87"/>
      <c r="D20363" s="87"/>
      <c r="E20363" s="87"/>
      <c r="F20363" s="87"/>
      <c r="G20363" s="87"/>
    </row>
    <row r="20364">
      <c r="A20364" s="86" t="str">
        <f>IFERROR(__xludf.DUMMYFUNCTION("""COMPUTED_VALUE"""),"")</f>
        <v/>
      </c>
      <c r="B20364" s="87"/>
      <c r="C20364" s="87"/>
      <c r="D20364" s="87"/>
      <c r="E20364" s="87"/>
      <c r="F20364" s="87"/>
      <c r="G20364" s="87"/>
    </row>
    <row r="20365">
      <c r="A20365" s="86" t="str">
        <f>IFERROR(__xludf.DUMMYFUNCTION("""COMPUTED_VALUE"""),"")</f>
        <v/>
      </c>
      <c r="B20365" s="87"/>
      <c r="C20365" s="87"/>
      <c r="D20365" s="87"/>
      <c r="E20365" s="87"/>
      <c r="F20365" s="87"/>
      <c r="G20365" s="87"/>
    </row>
    <row r="20366">
      <c r="A20366" s="86" t="str">
        <f>IFERROR(__xludf.DUMMYFUNCTION("""COMPUTED_VALUE"""),"")</f>
        <v/>
      </c>
      <c r="B20366" s="87"/>
      <c r="C20366" s="87"/>
      <c r="D20366" s="87"/>
      <c r="E20366" s="87"/>
      <c r="F20366" s="87"/>
      <c r="G20366" s="87"/>
    </row>
    <row r="20367">
      <c r="A20367" s="86" t="str">
        <f>IFERROR(__xludf.DUMMYFUNCTION("""COMPUTED_VALUE"""),"")</f>
        <v/>
      </c>
      <c r="B20367" s="87"/>
      <c r="C20367" s="87"/>
      <c r="D20367" s="87"/>
      <c r="E20367" s="87"/>
      <c r="F20367" s="87"/>
      <c r="G20367" s="87"/>
    </row>
    <row r="20368">
      <c r="A20368" s="86" t="str">
        <f>IFERROR(__xludf.DUMMYFUNCTION("""COMPUTED_VALUE"""),"")</f>
        <v/>
      </c>
      <c r="B20368" s="87"/>
      <c r="C20368" s="87"/>
      <c r="D20368" s="87"/>
      <c r="E20368" s="87"/>
      <c r="F20368" s="87"/>
      <c r="G20368" s="87"/>
    </row>
    <row r="20369">
      <c r="A20369" s="86" t="str">
        <f>IFERROR(__xludf.DUMMYFUNCTION("""COMPUTED_VALUE"""),"")</f>
        <v/>
      </c>
      <c r="B20369" s="87"/>
      <c r="C20369" s="87"/>
      <c r="D20369" s="87"/>
      <c r="E20369" s="87"/>
      <c r="F20369" s="87"/>
      <c r="G20369" s="87"/>
    </row>
    <row r="20370">
      <c r="A20370" s="86" t="str">
        <f>IFERROR(__xludf.DUMMYFUNCTION("""COMPUTED_VALUE"""),"")</f>
        <v/>
      </c>
      <c r="B20370" s="87"/>
      <c r="C20370" s="87"/>
      <c r="D20370" s="87"/>
      <c r="E20370" s="87"/>
      <c r="F20370" s="87"/>
      <c r="G20370" s="87"/>
    </row>
    <row r="20371">
      <c r="A20371" s="86" t="str">
        <f>IFERROR(__xludf.DUMMYFUNCTION("""COMPUTED_VALUE"""),"")</f>
        <v/>
      </c>
      <c r="B20371" s="87"/>
      <c r="C20371" s="87"/>
      <c r="D20371" s="87"/>
      <c r="E20371" s="87"/>
      <c r="F20371" s="87"/>
      <c r="G20371" s="87"/>
    </row>
    <row r="20372">
      <c r="A20372" s="86" t="str">
        <f>IFERROR(__xludf.DUMMYFUNCTION("""COMPUTED_VALUE"""),"")</f>
        <v/>
      </c>
      <c r="B20372" s="87"/>
      <c r="C20372" s="87"/>
      <c r="D20372" s="87"/>
      <c r="E20372" s="87"/>
      <c r="F20372" s="87"/>
      <c r="G20372" s="87"/>
    </row>
    <row r="20373">
      <c r="A20373" s="86" t="str">
        <f>IFERROR(__xludf.DUMMYFUNCTION("""COMPUTED_VALUE"""),"")</f>
        <v/>
      </c>
      <c r="B20373" s="87"/>
      <c r="C20373" s="87"/>
      <c r="D20373" s="87"/>
      <c r="E20373" s="87"/>
      <c r="F20373" s="87"/>
      <c r="G20373" s="87"/>
    </row>
    <row r="20374">
      <c r="A20374" s="86" t="str">
        <f>IFERROR(__xludf.DUMMYFUNCTION("""COMPUTED_VALUE"""),"")</f>
        <v/>
      </c>
      <c r="B20374" s="87"/>
      <c r="C20374" s="87"/>
      <c r="D20374" s="87"/>
      <c r="E20374" s="87"/>
      <c r="F20374" s="87"/>
      <c r="G20374" s="87"/>
    </row>
    <row r="20375">
      <c r="A20375" s="86" t="str">
        <f>IFERROR(__xludf.DUMMYFUNCTION("""COMPUTED_VALUE"""),"")</f>
        <v/>
      </c>
      <c r="B20375" s="87"/>
      <c r="C20375" s="87"/>
      <c r="D20375" s="87"/>
      <c r="E20375" s="87"/>
      <c r="F20375" s="87"/>
      <c r="G20375" s="87"/>
    </row>
    <row r="20376">
      <c r="A20376" s="86" t="str">
        <f>IFERROR(__xludf.DUMMYFUNCTION("""COMPUTED_VALUE"""),"")</f>
        <v/>
      </c>
      <c r="B20376" s="87"/>
      <c r="C20376" s="87"/>
      <c r="D20376" s="87"/>
      <c r="E20376" s="87"/>
      <c r="F20376" s="87"/>
      <c r="G20376" s="87"/>
    </row>
    <row r="20377">
      <c r="A20377" s="86" t="str">
        <f>IFERROR(__xludf.DUMMYFUNCTION("""COMPUTED_VALUE"""),"")</f>
        <v/>
      </c>
      <c r="B20377" s="87"/>
      <c r="C20377" s="87"/>
      <c r="D20377" s="87"/>
      <c r="E20377" s="87"/>
      <c r="F20377" s="87"/>
      <c r="G20377" s="87"/>
    </row>
    <row r="20378">
      <c r="A20378" s="86" t="str">
        <f>IFERROR(__xludf.DUMMYFUNCTION("""COMPUTED_VALUE"""),"")</f>
        <v/>
      </c>
      <c r="B20378" s="87"/>
      <c r="C20378" s="87"/>
      <c r="D20378" s="87"/>
      <c r="E20378" s="87"/>
      <c r="F20378" s="87"/>
      <c r="G20378" s="87"/>
    </row>
    <row r="20379">
      <c r="A20379" s="86" t="str">
        <f>IFERROR(__xludf.DUMMYFUNCTION("""COMPUTED_VALUE"""),"")</f>
        <v/>
      </c>
      <c r="B20379" s="87"/>
      <c r="C20379" s="87"/>
      <c r="D20379" s="87"/>
      <c r="E20379" s="87"/>
      <c r="F20379" s="87"/>
      <c r="G20379" s="87"/>
    </row>
    <row r="20380">
      <c r="A20380" s="86" t="str">
        <f>IFERROR(__xludf.DUMMYFUNCTION("""COMPUTED_VALUE"""),"")</f>
        <v/>
      </c>
      <c r="B20380" s="87"/>
      <c r="C20380" s="87"/>
      <c r="D20380" s="87"/>
      <c r="E20380" s="87"/>
      <c r="F20380" s="87"/>
      <c r="G20380" s="87"/>
    </row>
    <row r="20381">
      <c r="A20381" s="86" t="str">
        <f>IFERROR(__xludf.DUMMYFUNCTION("""COMPUTED_VALUE"""),"")</f>
        <v/>
      </c>
      <c r="B20381" s="87"/>
      <c r="C20381" s="87"/>
      <c r="D20381" s="87"/>
      <c r="E20381" s="87"/>
      <c r="F20381" s="87"/>
      <c r="G20381" s="87"/>
    </row>
    <row r="20382">
      <c r="A20382" s="86" t="str">
        <f>IFERROR(__xludf.DUMMYFUNCTION("""COMPUTED_VALUE"""),"")</f>
        <v/>
      </c>
      <c r="B20382" s="87"/>
      <c r="C20382" s="87"/>
      <c r="D20382" s="87"/>
      <c r="E20382" s="87"/>
      <c r="F20382" s="87"/>
      <c r="G20382" s="87"/>
    </row>
    <row r="20383">
      <c r="A20383" s="86" t="str">
        <f>IFERROR(__xludf.DUMMYFUNCTION("""COMPUTED_VALUE"""),"")</f>
        <v/>
      </c>
      <c r="B20383" s="87"/>
      <c r="C20383" s="87"/>
      <c r="D20383" s="87"/>
      <c r="E20383" s="87"/>
      <c r="F20383" s="87"/>
      <c r="G20383" s="87"/>
    </row>
    <row r="20384">
      <c r="A20384" s="86" t="str">
        <f>IFERROR(__xludf.DUMMYFUNCTION("""COMPUTED_VALUE"""),"")</f>
        <v/>
      </c>
      <c r="B20384" s="87"/>
      <c r="C20384" s="87"/>
      <c r="D20384" s="87"/>
      <c r="E20384" s="87"/>
      <c r="F20384" s="87"/>
      <c r="G20384" s="87"/>
    </row>
    <row r="20385">
      <c r="A20385" s="86" t="str">
        <f>IFERROR(__xludf.DUMMYFUNCTION("""COMPUTED_VALUE"""),"")</f>
        <v/>
      </c>
      <c r="B20385" s="87"/>
      <c r="C20385" s="87"/>
      <c r="D20385" s="87"/>
      <c r="E20385" s="87"/>
      <c r="F20385" s="87"/>
      <c r="G20385" s="87"/>
    </row>
    <row r="20386">
      <c r="A20386" s="86" t="str">
        <f>IFERROR(__xludf.DUMMYFUNCTION("""COMPUTED_VALUE"""),"")</f>
        <v/>
      </c>
      <c r="B20386" s="87"/>
      <c r="C20386" s="87"/>
      <c r="D20386" s="87"/>
      <c r="E20386" s="87"/>
      <c r="F20386" s="87"/>
      <c r="G20386" s="87"/>
    </row>
    <row r="20387">
      <c r="A20387" s="86" t="str">
        <f>IFERROR(__xludf.DUMMYFUNCTION("""COMPUTED_VALUE"""),"")</f>
        <v/>
      </c>
      <c r="B20387" s="87"/>
      <c r="C20387" s="87"/>
      <c r="D20387" s="87"/>
      <c r="E20387" s="87"/>
      <c r="F20387" s="87"/>
      <c r="G20387" s="87"/>
    </row>
    <row r="20388">
      <c r="A20388" s="86" t="str">
        <f>IFERROR(__xludf.DUMMYFUNCTION("""COMPUTED_VALUE"""),"")</f>
        <v/>
      </c>
      <c r="B20388" s="87"/>
      <c r="C20388" s="87"/>
      <c r="D20388" s="87"/>
      <c r="E20388" s="87"/>
      <c r="F20388" s="87"/>
      <c r="G20388" s="87"/>
    </row>
    <row r="20389">
      <c r="A20389" s="86" t="str">
        <f>IFERROR(__xludf.DUMMYFUNCTION("""COMPUTED_VALUE"""),"")</f>
        <v/>
      </c>
      <c r="B20389" s="87"/>
      <c r="C20389" s="87"/>
      <c r="D20389" s="87"/>
      <c r="E20389" s="87"/>
      <c r="F20389" s="87"/>
      <c r="G20389" s="87"/>
    </row>
    <row r="20390">
      <c r="A20390" s="86" t="str">
        <f>IFERROR(__xludf.DUMMYFUNCTION("""COMPUTED_VALUE"""),"")</f>
        <v/>
      </c>
      <c r="B20390" s="87"/>
      <c r="C20390" s="87"/>
      <c r="D20390" s="87"/>
      <c r="E20390" s="87"/>
      <c r="F20390" s="87"/>
      <c r="G20390" s="87"/>
    </row>
    <row r="20391">
      <c r="A20391" s="86" t="str">
        <f>IFERROR(__xludf.DUMMYFUNCTION("""COMPUTED_VALUE"""),"")</f>
        <v/>
      </c>
      <c r="B20391" s="87"/>
      <c r="C20391" s="87"/>
      <c r="D20391" s="87"/>
      <c r="E20391" s="87"/>
      <c r="F20391" s="87"/>
      <c r="G20391" s="87"/>
    </row>
    <row r="20392">
      <c r="A20392" s="86" t="str">
        <f>IFERROR(__xludf.DUMMYFUNCTION("""COMPUTED_VALUE"""),"")</f>
        <v/>
      </c>
      <c r="B20392" s="87"/>
      <c r="C20392" s="87"/>
      <c r="D20392" s="87"/>
      <c r="E20392" s="87"/>
      <c r="F20392" s="87"/>
      <c r="G20392" s="87"/>
    </row>
    <row r="20393">
      <c r="A20393" s="86" t="str">
        <f>IFERROR(__xludf.DUMMYFUNCTION("""COMPUTED_VALUE"""),"")</f>
        <v/>
      </c>
      <c r="B20393" s="87"/>
      <c r="C20393" s="87"/>
      <c r="D20393" s="87"/>
      <c r="E20393" s="87"/>
      <c r="F20393" s="87"/>
      <c r="G20393" s="87"/>
    </row>
    <row r="20394">
      <c r="A20394" s="86" t="str">
        <f>IFERROR(__xludf.DUMMYFUNCTION("""COMPUTED_VALUE"""),"")</f>
        <v/>
      </c>
      <c r="B20394" s="87"/>
      <c r="C20394" s="87"/>
      <c r="D20394" s="87"/>
      <c r="E20394" s="87"/>
      <c r="F20394" s="87"/>
      <c r="G20394" s="87"/>
    </row>
    <row r="20395">
      <c r="A20395" s="86" t="str">
        <f>IFERROR(__xludf.DUMMYFUNCTION("""COMPUTED_VALUE"""),"")</f>
        <v/>
      </c>
      <c r="B20395" s="87"/>
      <c r="C20395" s="87"/>
      <c r="D20395" s="87"/>
      <c r="E20395" s="87"/>
      <c r="F20395" s="87"/>
      <c r="G20395" s="87"/>
    </row>
    <row r="20396">
      <c r="A20396" s="86" t="str">
        <f>IFERROR(__xludf.DUMMYFUNCTION("""COMPUTED_VALUE"""),"")</f>
        <v/>
      </c>
      <c r="B20396" s="87"/>
      <c r="C20396" s="87"/>
      <c r="D20396" s="87"/>
      <c r="E20396" s="87"/>
      <c r="F20396" s="87"/>
      <c r="G20396" s="87"/>
    </row>
    <row r="20397">
      <c r="A20397" s="86" t="str">
        <f>IFERROR(__xludf.DUMMYFUNCTION("""COMPUTED_VALUE"""),"")</f>
        <v/>
      </c>
      <c r="B20397" s="87"/>
      <c r="C20397" s="87"/>
      <c r="D20397" s="87"/>
      <c r="E20397" s="87"/>
      <c r="F20397" s="87"/>
      <c r="G20397" s="87"/>
    </row>
    <row r="20398">
      <c r="A20398" s="86" t="str">
        <f>IFERROR(__xludf.DUMMYFUNCTION("""COMPUTED_VALUE"""),"")</f>
        <v/>
      </c>
      <c r="B20398" s="87"/>
      <c r="C20398" s="87"/>
      <c r="D20398" s="87"/>
      <c r="E20398" s="87"/>
      <c r="F20398" s="87"/>
      <c r="G20398" s="87"/>
    </row>
    <row r="20399">
      <c r="A20399" s="86" t="str">
        <f>IFERROR(__xludf.DUMMYFUNCTION("""COMPUTED_VALUE"""),"")</f>
        <v/>
      </c>
      <c r="B20399" s="87"/>
      <c r="C20399" s="87"/>
      <c r="D20399" s="87"/>
      <c r="E20399" s="87"/>
      <c r="F20399" s="87"/>
      <c r="G20399" s="87"/>
    </row>
    <row r="20400">
      <c r="A20400" s="86" t="str">
        <f>IFERROR(__xludf.DUMMYFUNCTION("""COMPUTED_VALUE"""),"")</f>
        <v/>
      </c>
      <c r="B20400" s="87"/>
      <c r="C20400" s="87"/>
      <c r="D20400" s="87"/>
      <c r="E20400" s="87"/>
      <c r="F20400" s="87"/>
      <c r="G20400" s="87"/>
    </row>
    <row r="20401">
      <c r="A20401" s="86" t="str">
        <f>IFERROR(__xludf.DUMMYFUNCTION("""COMPUTED_VALUE"""),"")</f>
        <v/>
      </c>
      <c r="B20401" s="87"/>
      <c r="C20401" s="87"/>
      <c r="D20401" s="87"/>
      <c r="E20401" s="87"/>
      <c r="F20401" s="87"/>
      <c r="G20401" s="87"/>
    </row>
    <row r="20402">
      <c r="A20402" s="86" t="str">
        <f>IFERROR(__xludf.DUMMYFUNCTION("""COMPUTED_VALUE"""),"")</f>
        <v/>
      </c>
      <c r="B20402" s="87"/>
      <c r="C20402" s="87"/>
      <c r="D20402" s="87"/>
      <c r="E20402" s="87"/>
      <c r="F20402" s="87"/>
      <c r="G20402" s="87"/>
    </row>
    <row r="20403">
      <c r="A20403" s="86" t="str">
        <f>IFERROR(__xludf.DUMMYFUNCTION("""COMPUTED_VALUE"""),"")</f>
        <v/>
      </c>
      <c r="B20403" s="87"/>
      <c r="C20403" s="87"/>
      <c r="D20403" s="87"/>
      <c r="E20403" s="87"/>
      <c r="F20403" s="87"/>
      <c r="G20403" s="87"/>
    </row>
    <row r="20404">
      <c r="A20404" s="86" t="str">
        <f>IFERROR(__xludf.DUMMYFUNCTION("""COMPUTED_VALUE"""),"")</f>
        <v/>
      </c>
      <c r="B20404" s="87"/>
      <c r="C20404" s="87"/>
      <c r="D20404" s="87"/>
      <c r="E20404" s="87"/>
      <c r="F20404" s="87"/>
      <c r="G20404" s="87"/>
    </row>
    <row r="20405">
      <c r="A20405" s="86" t="str">
        <f>IFERROR(__xludf.DUMMYFUNCTION("""COMPUTED_VALUE"""),"")</f>
        <v/>
      </c>
      <c r="B20405" s="87"/>
      <c r="C20405" s="87"/>
      <c r="D20405" s="87"/>
      <c r="E20405" s="87"/>
      <c r="F20405" s="87"/>
      <c r="G20405" s="87"/>
    </row>
    <row r="20406">
      <c r="A20406" s="86" t="str">
        <f>IFERROR(__xludf.DUMMYFUNCTION("""COMPUTED_VALUE"""),"")</f>
        <v/>
      </c>
      <c r="B20406" s="87"/>
      <c r="C20406" s="87"/>
      <c r="D20406" s="87"/>
      <c r="E20406" s="87"/>
      <c r="F20406" s="87"/>
      <c r="G20406" s="87"/>
    </row>
    <row r="20407">
      <c r="A20407" s="86" t="str">
        <f>IFERROR(__xludf.DUMMYFUNCTION("""COMPUTED_VALUE"""),"")</f>
        <v/>
      </c>
      <c r="B20407" s="87"/>
      <c r="C20407" s="87"/>
      <c r="D20407" s="87"/>
      <c r="E20407" s="87"/>
      <c r="F20407" s="87"/>
      <c r="G20407" s="87"/>
    </row>
    <row r="20408">
      <c r="A20408" s="86" t="str">
        <f>IFERROR(__xludf.DUMMYFUNCTION("""COMPUTED_VALUE"""),"")</f>
        <v/>
      </c>
      <c r="B20408" s="87"/>
      <c r="C20408" s="87"/>
      <c r="D20408" s="87"/>
      <c r="E20408" s="87"/>
      <c r="F20408" s="87"/>
      <c r="G20408" s="87"/>
    </row>
    <row r="20409">
      <c r="A20409" s="86" t="str">
        <f>IFERROR(__xludf.DUMMYFUNCTION("""COMPUTED_VALUE"""),"")</f>
        <v/>
      </c>
      <c r="B20409" s="87"/>
      <c r="C20409" s="87"/>
      <c r="D20409" s="87"/>
      <c r="E20409" s="87"/>
      <c r="F20409" s="87"/>
      <c r="G20409" s="87"/>
    </row>
    <row r="20410">
      <c r="A20410" s="86" t="str">
        <f>IFERROR(__xludf.DUMMYFUNCTION("""COMPUTED_VALUE"""),"")</f>
        <v/>
      </c>
      <c r="B20410" s="87"/>
      <c r="C20410" s="87"/>
      <c r="D20410" s="87"/>
      <c r="E20410" s="87"/>
      <c r="F20410" s="87"/>
      <c r="G20410" s="87"/>
    </row>
    <row r="20411">
      <c r="A20411" s="86" t="str">
        <f>IFERROR(__xludf.DUMMYFUNCTION("""COMPUTED_VALUE"""),"")</f>
        <v/>
      </c>
      <c r="B20411" s="87"/>
      <c r="C20411" s="87"/>
      <c r="D20411" s="87"/>
      <c r="E20411" s="87"/>
      <c r="F20411" s="87"/>
      <c r="G20411" s="87"/>
    </row>
    <row r="20412">
      <c r="A20412" s="86" t="str">
        <f>IFERROR(__xludf.DUMMYFUNCTION("""COMPUTED_VALUE"""),"")</f>
        <v/>
      </c>
      <c r="B20412" s="87"/>
      <c r="C20412" s="87"/>
      <c r="D20412" s="87"/>
      <c r="E20412" s="87"/>
      <c r="F20412" s="87"/>
      <c r="G20412" s="87"/>
    </row>
    <row r="20413">
      <c r="A20413" s="86" t="str">
        <f>IFERROR(__xludf.DUMMYFUNCTION("""COMPUTED_VALUE"""),"")</f>
        <v/>
      </c>
      <c r="B20413" s="87"/>
      <c r="C20413" s="87"/>
      <c r="D20413" s="87"/>
      <c r="E20413" s="87"/>
      <c r="F20413" s="87"/>
      <c r="G20413" s="87"/>
    </row>
    <row r="20414">
      <c r="A20414" s="86" t="str">
        <f>IFERROR(__xludf.DUMMYFUNCTION("""COMPUTED_VALUE"""),"")</f>
        <v/>
      </c>
      <c r="B20414" s="87"/>
      <c r="C20414" s="87"/>
      <c r="D20414" s="87"/>
      <c r="E20414" s="87"/>
      <c r="F20414" s="87"/>
      <c r="G20414" s="87"/>
    </row>
    <row r="20415">
      <c r="A20415" s="86" t="str">
        <f>IFERROR(__xludf.DUMMYFUNCTION("""COMPUTED_VALUE"""),"")</f>
        <v/>
      </c>
      <c r="B20415" s="87"/>
      <c r="C20415" s="87"/>
      <c r="D20415" s="87"/>
      <c r="E20415" s="87"/>
      <c r="F20415" s="87"/>
      <c r="G20415" s="87"/>
    </row>
    <row r="20416">
      <c r="A20416" s="86" t="str">
        <f>IFERROR(__xludf.DUMMYFUNCTION("""COMPUTED_VALUE"""),"")</f>
        <v/>
      </c>
      <c r="B20416" s="87"/>
      <c r="C20416" s="87"/>
      <c r="D20416" s="87"/>
      <c r="E20416" s="87"/>
      <c r="F20416" s="87"/>
      <c r="G20416" s="87"/>
    </row>
    <row r="20417">
      <c r="A20417" s="86" t="str">
        <f>IFERROR(__xludf.DUMMYFUNCTION("""COMPUTED_VALUE"""),"")</f>
        <v/>
      </c>
      <c r="B20417" s="87"/>
      <c r="C20417" s="87"/>
      <c r="D20417" s="87"/>
      <c r="E20417" s="87"/>
      <c r="F20417" s="87"/>
      <c r="G20417" s="87"/>
    </row>
    <row r="20418">
      <c r="A20418" s="86" t="str">
        <f>IFERROR(__xludf.DUMMYFUNCTION("""COMPUTED_VALUE"""),"")</f>
        <v/>
      </c>
      <c r="B20418" s="87"/>
      <c r="C20418" s="87"/>
      <c r="D20418" s="87"/>
      <c r="E20418" s="87"/>
      <c r="F20418" s="87"/>
      <c r="G20418" s="87"/>
    </row>
    <row r="20419">
      <c r="A20419" s="86" t="str">
        <f>IFERROR(__xludf.DUMMYFUNCTION("""COMPUTED_VALUE"""),"")</f>
        <v/>
      </c>
      <c r="B20419" s="87"/>
      <c r="C20419" s="87"/>
      <c r="D20419" s="87"/>
      <c r="E20419" s="87"/>
      <c r="F20419" s="87"/>
      <c r="G20419" s="87"/>
    </row>
    <row r="20420">
      <c r="A20420" s="86" t="str">
        <f>IFERROR(__xludf.DUMMYFUNCTION("""COMPUTED_VALUE"""),"")</f>
        <v/>
      </c>
      <c r="B20420" s="87"/>
      <c r="C20420" s="87"/>
      <c r="D20420" s="87"/>
      <c r="E20420" s="87"/>
      <c r="F20420" s="87"/>
      <c r="G20420" s="87"/>
    </row>
    <row r="20421">
      <c r="A20421" s="86" t="str">
        <f>IFERROR(__xludf.DUMMYFUNCTION("""COMPUTED_VALUE"""),"")</f>
        <v/>
      </c>
      <c r="B20421" s="87"/>
      <c r="C20421" s="87"/>
      <c r="D20421" s="87"/>
      <c r="E20421" s="87"/>
      <c r="F20421" s="87"/>
      <c r="G20421" s="87"/>
    </row>
    <row r="20422">
      <c r="A20422" s="86" t="str">
        <f>IFERROR(__xludf.DUMMYFUNCTION("""COMPUTED_VALUE"""),"")</f>
        <v/>
      </c>
      <c r="B20422" s="87"/>
      <c r="C20422" s="87"/>
      <c r="D20422" s="87"/>
      <c r="E20422" s="87"/>
      <c r="F20422" s="87"/>
      <c r="G20422" s="87"/>
    </row>
    <row r="20423">
      <c r="A20423" s="86" t="str">
        <f>IFERROR(__xludf.DUMMYFUNCTION("""COMPUTED_VALUE"""),"")</f>
        <v/>
      </c>
      <c r="B20423" s="87"/>
      <c r="C20423" s="87"/>
      <c r="D20423" s="87"/>
      <c r="E20423" s="87"/>
      <c r="F20423" s="87"/>
      <c r="G20423" s="87"/>
    </row>
    <row r="20424">
      <c r="A20424" s="86" t="str">
        <f>IFERROR(__xludf.DUMMYFUNCTION("""COMPUTED_VALUE"""),"")</f>
        <v/>
      </c>
      <c r="B20424" s="87"/>
      <c r="C20424" s="87"/>
      <c r="D20424" s="87"/>
      <c r="E20424" s="87"/>
      <c r="F20424" s="87"/>
      <c r="G20424" s="87"/>
    </row>
    <row r="20425">
      <c r="A20425" s="86" t="str">
        <f>IFERROR(__xludf.DUMMYFUNCTION("""COMPUTED_VALUE"""),"")</f>
        <v/>
      </c>
      <c r="B20425" s="87"/>
      <c r="C20425" s="87"/>
      <c r="D20425" s="87"/>
      <c r="E20425" s="87"/>
      <c r="F20425" s="87"/>
      <c r="G20425" s="87"/>
    </row>
    <row r="20426">
      <c r="A20426" s="86" t="str">
        <f>IFERROR(__xludf.DUMMYFUNCTION("""COMPUTED_VALUE"""),"")</f>
        <v/>
      </c>
      <c r="B20426" s="87"/>
      <c r="C20426" s="87"/>
      <c r="D20426" s="87"/>
      <c r="E20426" s="87"/>
      <c r="F20426" s="87"/>
      <c r="G20426" s="87"/>
    </row>
    <row r="20427">
      <c r="A20427" s="86" t="str">
        <f>IFERROR(__xludf.DUMMYFUNCTION("""COMPUTED_VALUE"""),"")</f>
        <v/>
      </c>
      <c r="B20427" s="87"/>
      <c r="C20427" s="87"/>
      <c r="D20427" s="87"/>
      <c r="E20427" s="87"/>
      <c r="F20427" s="87"/>
      <c r="G20427" s="87"/>
    </row>
    <row r="20428">
      <c r="A20428" s="86" t="str">
        <f>IFERROR(__xludf.DUMMYFUNCTION("""COMPUTED_VALUE"""),"")</f>
        <v/>
      </c>
      <c r="B20428" s="87"/>
      <c r="C20428" s="87"/>
      <c r="D20428" s="87"/>
      <c r="E20428" s="87"/>
      <c r="F20428" s="87"/>
      <c r="G20428" s="87"/>
    </row>
    <row r="20429">
      <c r="A20429" s="86" t="str">
        <f>IFERROR(__xludf.DUMMYFUNCTION("""COMPUTED_VALUE"""),"")</f>
        <v/>
      </c>
      <c r="B20429" s="87"/>
      <c r="C20429" s="87"/>
      <c r="D20429" s="87"/>
      <c r="E20429" s="87"/>
      <c r="F20429" s="87"/>
      <c r="G20429" s="87"/>
    </row>
    <row r="20430">
      <c r="A20430" s="86" t="str">
        <f>IFERROR(__xludf.DUMMYFUNCTION("""COMPUTED_VALUE"""),"")</f>
        <v/>
      </c>
      <c r="B20430" s="87"/>
      <c r="C20430" s="87"/>
      <c r="D20430" s="87"/>
      <c r="E20430" s="87"/>
      <c r="F20430" s="87"/>
      <c r="G20430" s="87"/>
    </row>
    <row r="20431">
      <c r="A20431" s="86" t="str">
        <f>IFERROR(__xludf.DUMMYFUNCTION("""COMPUTED_VALUE"""),"")</f>
        <v/>
      </c>
      <c r="B20431" s="87"/>
      <c r="C20431" s="87"/>
      <c r="D20431" s="87"/>
      <c r="E20431" s="87"/>
      <c r="F20431" s="87"/>
      <c r="G20431" s="87"/>
    </row>
    <row r="20432">
      <c r="A20432" s="86" t="str">
        <f>IFERROR(__xludf.DUMMYFUNCTION("""COMPUTED_VALUE"""),"")</f>
        <v/>
      </c>
      <c r="B20432" s="87"/>
      <c r="C20432" s="87"/>
      <c r="D20432" s="87"/>
      <c r="E20432" s="87"/>
      <c r="F20432" s="87"/>
      <c r="G20432" s="87"/>
    </row>
    <row r="20433">
      <c r="A20433" s="86" t="str">
        <f>IFERROR(__xludf.DUMMYFUNCTION("""COMPUTED_VALUE"""),"")</f>
        <v/>
      </c>
      <c r="B20433" s="87"/>
      <c r="C20433" s="87"/>
      <c r="D20433" s="87"/>
      <c r="E20433" s="87"/>
      <c r="F20433" s="87"/>
      <c r="G20433" s="87"/>
    </row>
    <row r="20434">
      <c r="A20434" s="86" t="str">
        <f>IFERROR(__xludf.DUMMYFUNCTION("""COMPUTED_VALUE"""),"")</f>
        <v/>
      </c>
      <c r="B20434" s="87"/>
      <c r="C20434" s="87"/>
      <c r="D20434" s="87"/>
      <c r="E20434" s="87"/>
      <c r="F20434" s="87"/>
      <c r="G20434" s="87"/>
    </row>
    <row r="20435">
      <c r="A20435" s="86" t="str">
        <f>IFERROR(__xludf.DUMMYFUNCTION("""COMPUTED_VALUE"""),"")</f>
        <v/>
      </c>
      <c r="B20435" s="87"/>
      <c r="C20435" s="87"/>
      <c r="D20435" s="87"/>
      <c r="E20435" s="87"/>
      <c r="F20435" s="87"/>
      <c r="G20435" s="87"/>
    </row>
    <row r="20436">
      <c r="A20436" s="86" t="str">
        <f>IFERROR(__xludf.DUMMYFUNCTION("""COMPUTED_VALUE"""),"")</f>
        <v/>
      </c>
      <c r="B20436" s="87"/>
      <c r="C20436" s="87"/>
      <c r="D20436" s="87"/>
      <c r="E20436" s="87"/>
      <c r="F20436" s="87"/>
      <c r="G20436" s="87"/>
    </row>
    <row r="20437">
      <c r="A20437" s="86" t="str">
        <f>IFERROR(__xludf.DUMMYFUNCTION("""COMPUTED_VALUE"""),"")</f>
        <v/>
      </c>
      <c r="B20437" s="87"/>
      <c r="C20437" s="87"/>
      <c r="D20437" s="87"/>
      <c r="E20437" s="87"/>
      <c r="F20437" s="87"/>
      <c r="G20437" s="87"/>
    </row>
    <row r="20438">
      <c r="A20438" s="86" t="str">
        <f>IFERROR(__xludf.DUMMYFUNCTION("""COMPUTED_VALUE"""),"")</f>
        <v/>
      </c>
      <c r="B20438" s="87"/>
      <c r="C20438" s="87"/>
      <c r="D20438" s="87"/>
      <c r="E20438" s="87"/>
      <c r="F20438" s="87"/>
      <c r="G20438" s="87"/>
    </row>
    <row r="20439">
      <c r="A20439" s="86" t="str">
        <f>IFERROR(__xludf.DUMMYFUNCTION("""COMPUTED_VALUE"""),"")</f>
        <v/>
      </c>
      <c r="B20439" s="87"/>
      <c r="C20439" s="87"/>
      <c r="D20439" s="87"/>
      <c r="E20439" s="87"/>
      <c r="F20439" s="87"/>
      <c r="G20439" s="87"/>
    </row>
    <row r="20440">
      <c r="A20440" s="86" t="str">
        <f>IFERROR(__xludf.DUMMYFUNCTION("""COMPUTED_VALUE"""),"")</f>
        <v/>
      </c>
      <c r="B20440" s="87"/>
      <c r="C20440" s="87"/>
      <c r="D20440" s="87"/>
      <c r="E20440" s="87"/>
      <c r="F20440" s="87"/>
      <c r="G20440" s="87"/>
    </row>
    <row r="20441">
      <c r="A20441" s="86" t="str">
        <f>IFERROR(__xludf.DUMMYFUNCTION("""COMPUTED_VALUE"""),"")</f>
        <v/>
      </c>
      <c r="B20441" s="87"/>
      <c r="C20441" s="87"/>
      <c r="D20441" s="87"/>
      <c r="E20441" s="87"/>
      <c r="F20441" s="87"/>
      <c r="G20441" s="87"/>
    </row>
    <row r="20442">
      <c r="A20442" s="86" t="str">
        <f>IFERROR(__xludf.DUMMYFUNCTION("""COMPUTED_VALUE"""),"")</f>
        <v/>
      </c>
      <c r="B20442" s="87"/>
      <c r="C20442" s="87"/>
      <c r="D20442" s="87"/>
      <c r="E20442" s="87"/>
      <c r="F20442" s="87"/>
      <c r="G20442" s="87"/>
    </row>
    <row r="20443">
      <c r="A20443" s="86" t="str">
        <f>IFERROR(__xludf.DUMMYFUNCTION("""COMPUTED_VALUE"""),"")</f>
        <v/>
      </c>
      <c r="B20443" s="87"/>
      <c r="C20443" s="87"/>
      <c r="D20443" s="87"/>
      <c r="E20443" s="87"/>
      <c r="F20443" s="87"/>
      <c r="G20443" s="87"/>
    </row>
    <row r="20444">
      <c r="A20444" s="86" t="str">
        <f>IFERROR(__xludf.DUMMYFUNCTION("""COMPUTED_VALUE"""),"")</f>
        <v/>
      </c>
      <c r="B20444" s="87"/>
      <c r="C20444" s="87"/>
      <c r="D20444" s="87"/>
      <c r="E20444" s="87"/>
      <c r="F20444" s="87"/>
      <c r="G20444" s="87"/>
    </row>
    <row r="20445">
      <c r="A20445" s="86" t="str">
        <f>IFERROR(__xludf.DUMMYFUNCTION("""COMPUTED_VALUE"""),"")</f>
        <v/>
      </c>
      <c r="B20445" s="87"/>
      <c r="C20445" s="87"/>
      <c r="D20445" s="87"/>
      <c r="E20445" s="87"/>
      <c r="F20445" s="87"/>
      <c r="G20445" s="87"/>
    </row>
    <row r="20446">
      <c r="A20446" s="86" t="str">
        <f>IFERROR(__xludf.DUMMYFUNCTION("""COMPUTED_VALUE"""),"")</f>
        <v/>
      </c>
      <c r="B20446" s="87"/>
      <c r="C20446" s="87"/>
      <c r="D20446" s="87"/>
      <c r="E20446" s="87"/>
      <c r="F20446" s="87"/>
      <c r="G20446" s="87"/>
    </row>
    <row r="20447">
      <c r="A20447" s="86" t="str">
        <f>IFERROR(__xludf.DUMMYFUNCTION("""COMPUTED_VALUE"""),"")</f>
        <v/>
      </c>
      <c r="B20447" s="87"/>
      <c r="C20447" s="87"/>
      <c r="D20447" s="87"/>
      <c r="E20447" s="87"/>
      <c r="F20447" s="87"/>
      <c r="G20447" s="87"/>
    </row>
    <row r="20448">
      <c r="A20448" s="86" t="str">
        <f>IFERROR(__xludf.DUMMYFUNCTION("""COMPUTED_VALUE"""),"")</f>
        <v/>
      </c>
      <c r="B20448" s="87"/>
      <c r="C20448" s="87"/>
      <c r="D20448" s="87"/>
      <c r="E20448" s="87"/>
      <c r="F20448" s="87"/>
      <c r="G20448" s="87"/>
    </row>
    <row r="20449">
      <c r="A20449" s="86" t="str">
        <f>IFERROR(__xludf.DUMMYFUNCTION("""COMPUTED_VALUE"""),"")</f>
        <v/>
      </c>
      <c r="B20449" s="87"/>
      <c r="C20449" s="87"/>
      <c r="D20449" s="87"/>
      <c r="E20449" s="87"/>
      <c r="F20449" s="87"/>
      <c r="G20449" s="87"/>
    </row>
    <row r="20450">
      <c r="A20450" s="86" t="str">
        <f>IFERROR(__xludf.DUMMYFUNCTION("""COMPUTED_VALUE"""),"")</f>
        <v/>
      </c>
      <c r="B20450" s="87"/>
      <c r="C20450" s="87"/>
      <c r="D20450" s="87"/>
      <c r="E20450" s="87"/>
      <c r="F20450" s="87"/>
      <c r="G20450" s="87"/>
    </row>
    <row r="20451">
      <c r="A20451" s="86" t="str">
        <f>IFERROR(__xludf.DUMMYFUNCTION("""COMPUTED_VALUE"""),"")</f>
        <v/>
      </c>
      <c r="B20451" s="87"/>
      <c r="C20451" s="87"/>
      <c r="D20451" s="87"/>
      <c r="E20451" s="87"/>
      <c r="F20451" s="87"/>
      <c r="G20451" s="87"/>
    </row>
    <row r="20452">
      <c r="A20452" s="86" t="str">
        <f>IFERROR(__xludf.DUMMYFUNCTION("""COMPUTED_VALUE"""),"")</f>
        <v/>
      </c>
      <c r="B20452" s="87"/>
      <c r="C20452" s="87"/>
      <c r="D20452" s="87"/>
      <c r="E20452" s="87"/>
      <c r="F20452" s="87"/>
      <c r="G20452" s="87"/>
    </row>
    <row r="20453">
      <c r="A20453" s="86" t="str">
        <f>IFERROR(__xludf.DUMMYFUNCTION("""COMPUTED_VALUE"""),"")</f>
        <v/>
      </c>
      <c r="B20453" s="87"/>
      <c r="C20453" s="87"/>
      <c r="D20453" s="87"/>
      <c r="E20453" s="87"/>
      <c r="F20453" s="87"/>
      <c r="G20453" s="87"/>
    </row>
    <row r="20454">
      <c r="A20454" s="86" t="str">
        <f>IFERROR(__xludf.DUMMYFUNCTION("""COMPUTED_VALUE"""),"")</f>
        <v/>
      </c>
      <c r="B20454" s="87"/>
      <c r="C20454" s="87"/>
      <c r="D20454" s="87"/>
      <c r="E20454" s="87"/>
      <c r="F20454" s="87"/>
      <c r="G20454" s="87"/>
    </row>
    <row r="20455">
      <c r="A20455" s="86" t="str">
        <f>IFERROR(__xludf.DUMMYFUNCTION("""COMPUTED_VALUE"""),"")</f>
        <v/>
      </c>
      <c r="B20455" s="87"/>
      <c r="C20455" s="87"/>
      <c r="D20455" s="87"/>
      <c r="E20455" s="87"/>
      <c r="F20455" s="87"/>
      <c r="G20455" s="87"/>
    </row>
    <row r="20456">
      <c r="A20456" s="86" t="str">
        <f>IFERROR(__xludf.DUMMYFUNCTION("""COMPUTED_VALUE"""),"")</f>
        <v/>
      </c>
      <c r="B20456" s="87"/>
      <c r="C20456" s="87"/>
      <c r="D20456" s="87"/>
      <c r="E20456" s="87"/>
      <c r="F20456" s="87"/>
      <c r="G20456" s="87"/>
    </row>
    <row r="20457">
      <c r="A20457" s="86" t="str">
        <f>IFERROR(__xludf.DUMMYFUNCTION("""COMPUTED_VALUE"""),"")</f>
        <v/>
      </c>
      <c r="B20457" s="87"/>
      <c r="C20457" s="87"/>
      <c r="D20457" s="87"/>
      <c r="E20457" s="87"/>
      <c r="F20457" s="87"/>
      <c r="G20457" s="87"/>
    </row>
    <row r="20458">
      <c r="A20458" s="86" t="str">
        <f>IFERROR(__xludf.DUMMYFUNCTION("""COMPUTED_VALUE"""),"")</f>
        <v/>
      </c>
      <c r="B20458" s="87"/>
      <c r="C20458" s="87"/>
      <c r="D20458" s="87"/>
      <c r="E20458" s="87"/>
      <c r="F20458" s="87"/>
      <c r="G20458" s="87"/>
    </row>
    <row r="20459">
      <c r="A20459" s="86" t="str">
        <f>IFERROR(__xludf.DUMMYFUNCTION("""COMPUTED_VALUE"""),"")</f>
        <v/>
      </c>
      <c r="B20459" s="87"/>
      <c r="C20459" s="87"/>
      <c r="D20459" s="87"/>
      <c r="E20459" s="87"/>
      <c r="F20459" s="87"/>
      <c r="G20459" s="87"/>
    </row>
    <row r="20460">
      <c r="A20460" s="86" t="str">
        <f>IFERROR(__xludf.DUMMYFUNCTION("""COMPUTED_VALUE"""),"")</f>
        <v/>
      </c>
      <c r="B20460" s="87"/>
      <c r="C20460" s="87"/>
      <c r="D20460" s="87"/>
      <c r="E20460" s="87"/>
      <c r="F20460" s="87"/>
      <c r="G20460" s="87"/>
    </row>
    <row r="20461">
      <c r="A20461" s="86" t="str">
        <f>IFERROR(__xludf.DUMMYFUNCTION("""COMPUTED_VALUE"""),"")</f>
        <v/>
      </c>
      <c r="B20461" s="87"/>
      <c r="C20461" s="87"/>
      <c r="D20461" s="87"/>
      <c r="E20461" s="87"/>
      <c r="F20461" s="87"/>
      <c r="G20461" s="87"/>
    </row>
    <row r="20462">
      <c r="A20462" s="86" t="str">
        <f>IFERROR(__xludf.DUMMYFUNCTION("""COMPUTED_VALUE"""),"")</f>
        <v/>
      </c>
      <c r="B20462" s="87"/>
      <c r="C20462" s="87"/>
      <c r="D20462" s="87"/>
      <c r="E20462" s="87"/>
      <c r="F20462" s="87"/>
      <c r="G20462" s="87"/>
    </row>
    <row r="20463">
      <c r="A20463" s="86" t="str">
        <f>IFERROR(__xludf.DUMMYFUNCTION("""COMPUTED_VALUE"""),"")</f>
        <v/>
      </c>
      <c r="B20463" s="87"/>
      <c r="C20463" s="87"/>
      <c r="D20463" s="87"/>
      <c r="E20463" s="87"/>
      <c r="F20463" s="87"/>
      <c r="G20463" s="87"/>
    </row>
    <row r="20464">
      <c r="A20464" s="86" t="str">
        <f>IFERROR(__xludf.DUMMYFUNCTION("""COMPUTED_VALUE"""),"")</f>
        <v/>
      </c>
      <c r="B20464" s="87"/>
      <c r="C20464" s="87"/>
      <c r="D20464" s="87"/>
      <c r="E20464" s="87"/>
      <c r="F20464" s="87"/>
      <c r="G20464" s="87"/>
    </row>
    <row r="20465">
      <c r="A20465" s="86" t="str">
        <f>IFERROR(__xludf.DUMMYFUNCTION("""COMPUTED_VALUE"""),"")</f>
        <v/>
      </c>
      <c r="B20465" s="87"/>
      <c r="C20465" s="87"/>
      <c r="D20465" s="87"/>
      <c r="E20465" s="87"/>
      <c r="F20465" s="87"/>
      <c r="G20465" s="87"/>
    </row>
    <row r="20466">
      <c r="A20466" s="86" t="str">
        <f>IFERROR(__xludf.DUMMYFUNCTION("""COMPUTED_VALUE"""),"")</f>
        <v/>
      </c>
      <c r="B20466" s="87"/>
      <c r="C20466" s="87"/>
      <c r="D20466" s="87"/>
      <c r="E20466" s="87"/>
      <c r="F20466" s="87"/>
      <c r="G20466" s="87"/>
    </row>
    <row r="20467">
      <c r="A20467" s="86" t="str">
        <f>IFERROR(__xludf.DUMMYFUNCTION("""COMPUTED_VALUE"""),"")</f>
        <v/>
      </c>
      <c r="B20467" s="87"/>
      <c r="C20467" s="87"/>
      <c r="D20467" s="87"/>
      <c r="E20467" s="87"/>
      <c r="F20467" s="87"/>
      <c r="G20467" s="87"/>
    </row>
    <row r="20468">
      <c r="A20468" s="86" t="str">
        <f>IFERROR(__xludf.DUMMYFUNCTION("""COMPUTED_VALUE"""),"")</f>
        <v/>
      </c>
      <c r="B20468" s="87"/>
      <c r="C20468" s="87"/>
      <c r="D20468" s="87"/>
      <c r="E20468" s="87"/>
      <c r="F20468" s="87"/>
      <c r="G20468" s="87"/>
    </row>
    <row r="20469">
      <c r="A20469" s="86" t="str">
        <f>IFERROR(__xludf.DUMMYFUNCTION("""COMPUTED_VALUE"""),"")</f>
        <v/>
      </c>
      <c r="B20469" s="87"/>
      <c r="C20469" s="87"/>
      <c r="D20469" s="87"/>
      <c r="E20469" s="87"/>
      <c r="F20469" s="87"/>
      <c r="G20469" s="87"/>
    </row>
    <row r="20470">
      <c r="A20470" s="86" t="str">
        <f>IFERROR(__xludf.DUMMYFUNCTION("""COMPUTED_VALUE"""),"")</f>
        <v/>
      </c>
      <c r="B20470" s="87"/>
      <c r="C20470" s="87"/>
      <c r="D20470" s="87"/>
      <c r="E20470" s="87"/>
      <c r="F20470" s="87"/>
      <c r="G20470" s="87"/>
    </row>
    <row r="20471">
      <c r="A20471" s="86" t="str">
        <f>IFERROR(__xludf.DUMMYFUNCTION("""COMPUTED_VALUE"""),"")</f>
        <v/>
      </c>
      <c r="B20471" s="87"/>
      <c r="C20471" s="87"/>
      <c r="D20471" s="87"/>
      <c r="E20471" s="87"/>
      <c r="F20471" s="87"/>
      <c r="G20471" s="87"/>
    </row>
    <row r="20472">
      <c r="A20472" s="86" t="str">
        <f>IFERROR(__xludf.DUMMYFUNCTION("""COMPUTED_VALUE"""),"")</f>
        <v/>
      </c>
      <c r="B20472" s="87"/>
      <c r="C20472" s="87"/>
      <c r="D20472" s="87"/>
      <c r="E20472" s="87"/>
      <c r="F20472" s="87"/>
      <c r="G20472" s="87"/>
    </row>
    <row r="20473">
      <c r="A20473" s="86" t="str">
        <f>IFERROR(__xludf.DUMMYFUNCTION("""COMPUTED_VALUE"""),"")</f>
        <v/>
      </c>
      <c r="B20473" s="87"/>
      <c r="C20473" s="87"/>
      <c r="D20473" s="87"/>
      <c r="E20473" s="87"/>
      <c r="F20473" s="87"/>
      <c r="G20473" s="87"/>
    </row>
    <row r="20474">
      <c r="A20474" s="86" t="str">
        <f>IFERROR(__xludf.DUMMYFUNCTION("""COMPUTED_VALUE"""),"")</f>
        <v/>
      </c>
      <c r="B20474" s="87"/>
      <c r="C20474" s="87"/>
      <c r="D20474" s="87"/>
      <c r="E20474" s="87"/>
      <c r="F20474" s="87"/>
      <c r="G20474" s="87"/>
    </row>
    <row r="20475">
      <c r="A20475" s="86" t="str">
        <f>IFERROR(__xludf.DUMMYFUNCTION("""COMPUTED_VALUE"""),"")</f>
        <v/>
      </c>
      <c r="B20475" s="87"/>
      <c r="C20475" s="87"/>
      <c r="D20475" s="87"/>
      <c r="E20475" s="87"/>
      <c r="F20475" s="87"/>
      <c r="G20475" s="87"/>
    </row>
    <row r="20476">
      <c r="A20476" s="86" t="str">
        <f>IFERROR(__xludf.DUMMYFUNCTION("""COMPUTED_VALUE"""),"")</f>
        <v/>
      </c>
      <c r="B20476" s="87"/>
      <c r="C20476" s="87"/>
      <c r="D20476" s="87"/>
      <c r="E20476" s="87"/>
      <c r="F20476" s="87"/>
      <c r="G20476" s="87"/>
    </row>
    <row r="20477">
      <c r="A20477" s="86" t="str">
        <f>IFERROR(__xludf.DUMMYFUNCTION("""COMPUTED_VALUE"""),"")</f>
        <v/>
      </c>
      <c r="B20477" s="87"/>
      <c r="C20477" s="87"/>
      <c r="D20477" s="87"/>
      <c r="E20477" s="87"/>
      <c r="F20477" s="87"/>
      <c r="G20477" s="87"/>
    </row>
    <row r="20478">
      <c r="A20478" s="86" t="str">
        <f>IFERROR(__xludf.DUMMYFUNCTION("""COMPUTED_VALUE"""),"")</f>
        <v/>
      </c>
      <c r="B20478" s="87"/>
      <c r="C20478" s="87"/>
      <c r="D20478" s="87"/>
      <c r="E20478" s="87"/>
      <c r="F20478" s="87"/>
      <c r="G20478" s="87"/>
    </row>
    <row r="20479">
      <c r="A20479" s="86" t="str">
        <f>IFERROR(__xludf.DUMMYFUNCTION("""COMPUTED_VALUE"""),"")</f>
        <v/>
      </c>
      <c r="B20479" s="87"/>
      <c r="C20479" s="87"/>
      <c r="D20479" s="87"/>
      <c r="E20479" s="87"/>
      <c r="F20479" s="87"/>
      <c r="G20479" s="87"/>
    </row>
    <row r="20480">
      <c r="A20480" s="86" t="str">
        <f>IFERROR(__xludf.DUMMYFUNCTION("""COMPUTED_VALUE"""),"")</f>
        <v/>
      </c>
      <c r="B20480" s="87"/>
      <c r="C20480" s="87"/>
      <c r="D20480" s="87"/>
      <c r="E20480" s="87"/>
      <c r="F20480" s="87"/>
      <c r="G20480" s="87"/>
    </row>
    <row r="20481">
      <c r="A20481" s="86" t="str">
        <f>IFERROR(__xludf.DUMMYFUNCTION("""COMPUTED_VALUE"""),"")</f>
        <v/>
      </c>
      <c r="B20481" s="87"/>
      <c r="C20481" s="87"/>
      <c r="D20481" s="87"/>
      <c r="E20481" s="87"/>
      <c r="F20481" s="87"/>
      <c r="G20481" s="87"/>
    </row>
    <row r="20482">
      <c r="A20482" s="86" t="str">
        <f>IFERROR(__xludf.DUMMYFUNCTION("""COMPUTED_VALUE"""),"")</f>
        <v/>
      </c>
      <c r="B20482" s="87"/>
      <c r="C20482" s="87"/>
      <c r="D20482" s="87"/>
      <c r="E20482" s="87"/>
      <c r="F20482" s="87"/>
      <c r="G20482" s="87"/>
    </row>
    <row r="20483">
      <c r="A20483" s="86" t="str">
        <f>IFERROR(__xludf.DUMMYFUNCTION("""COMPUTED_VALUE"""),"")</f>
        <v/>
      </c>
      <c r="B20483" s="87"/>
      <c r="C20483" s="87"/>
      <c r="D20483" s="87"/>
      <c r="E20483" s="87"/>
      <c r="F20483" s="87"/>
      <c r="G20483" s="87"/>
    </row>
    <row r="20484">
      <c r="A20484" s="86" t="str">
        <f>IFERROR(__xludf.DUMMYFUNCTION("""COMPUTED_VALUE"""),"")</f>
        <v/>
      </c>
      <c r="B20484" s="87"/>
      <c r="C20484" s="87"/>
      <c r="D20484" s="87"/>
      <c r="E20484" s="87"/>
      <c r="F20484" s="87"/>
      <c r="G20484" s="87"/>
    </row>
    <row r="20485">
      <c r="A20485" s="86" t="str">
        <f>IFERROR(__xludf.DUMMYFUNCTION("""COMPUTED_VALUE"""),"")</f>
        <v/>
      </c>
      <c r="B20485" s="87"/>
      <c r="C20485" s="87"/>
      <c r="D20485" s="87"/>
      <c r="E20485" s="87"/>
      <c r="F20485" s="87"/>
      <c r="G20485" s="87"/>
    </row>
    <row r="20486">
      <c r="A20486" s="86" t="str">
        <f>IFERROR(__xludf.DUMMYFUNCTION("""COMPUTED_VALUE"""),"")</f>
        <v/>
      </c>
      <c r="B20486" s="87"/>
      <c r="C20486" s="87"/>
      <c r="D20486" s="87"/>
      <c r="E20486" s="87"/>
      <c r="F20486" s="87"/>
      <c r="G20486" s="87"/>
    </row>
    <row r="20487">
      <c r="A20487" s="86" t="str">
        <f>IFERROR(__xludf.DUMMYFUNCTION("""COMPUTED_VALUE"""),"")</f>
        <v/>
      </c>
      <c r="B20487" s="87"/>
      <c r="C20487" s="87"/>
      <c r="D20487" s="87"/>
      <c r="E20487" s="87"/>
      <c r="F20487" s="87"/>
      <c r="G20487" s="87"/>
    </row>
    <row r="20488">
      <c r="A20488" s="86" t="str">
        <f>IFERROR(__xludf.DUMMYFUNCTION("""COMPUTED_VALUE"""),"")</f>
        <v/>
      </c>
      <c r="B20488" s="87"/>
      <c r="C20488" s="87"/>
      <c r="D20488" s="87"/>
      <c r="E20488" s="87"/>
      <c r="F20488" s="87"/>
      <c r="G20488" s="87"/>
    </row>
    <row r="20489">
      <c r="A20489" s="86" t="str">
        <f>IFERROR(__xludf.DUMMYFUNCTION("""COMPUTED_VALUE"""),"")</f>
        <v/>
      </c>
      <c r="B20489" s="87"/>
      <c r="C20489" s="87"/>
      <c r="D20489" s="87"/>
      <c r="E20489" s="87"/>
      <c r="F20489" s="87"/>
      <c r="G20489" s="87"/>
    </row>
    <row r="20490">
      <c r="A20490" s="86" t="str">
        <f>IFERROR(__xludf.DUMMYFUNCTION("""COMPUTED_VALUE"""),"")</f>
        <v/>
      </c>
      <c r="B20490" s="87"/>
      <c r="C20490" s="87"/>
      <c r="D20490" s="87"/>
      <c r="E20490" s="87"/>
      <c r="F20490" s="87"/>
      <c r="G20490" s="87"/>
    </row>
    <row r="20491">
      <c r="A20491" s="86" t="str">
        <f>IFERROR(__xludf.DUMMYFUNCTION("""COMPUTED_VALUE"""),"")</f>
        <v/>
      </c>
      <c r="B20491" s="87"/>
      <c r="C20491" s="87"/>
      <c r="D20491" s="87"/>
      <c r="E20491" s="87"/>
      <c r="F20491" s="87"/>
      <c r="G20491" s="87"/>
    </row>
    <row r="20492">
      <c r="A20492" s="86" t="str">
        <f>IFERROR(__xludf.DUMMYFUNCTION("""COMPUTED_VALUE"""),"")</f>
        <v/>
      </c>
      <c r="B20492" s="87"/>
      <c r="C20492" s="87"/>
      <c r="D20492" s="87"/>
      <c r="E20492" s="87"/>
      <c r="F20492" s="87"/>
      <c r="G20492" s="87"/>
    </row>
    <row r="20493">
      <c r="A20493" s="86" t="str">
        <f>IFERROR(__xludf.DUMMYFUNCTION("""COMPUTED_VALUE"""),"")</f>
        <v/>
      </c>
      <c r="B20493" s="87"/>
      <c r="C20493" s="87"/>
      <c r="D20493" s="87"/>
      <c r="E20493" s="87"/>
      <c r="F20493" s="87"/>
      <c r="G20493" s="87"/>
    </row>
    <row r="20494">
      <c r="A20494" s="86" t="str">
        <f>IFERROR(__xludf.DUMMYFUNCTION("""COMPUTED_VALUE"""),"")</f>
        <v/>
      </c>
      <c r="B20494" s="87"/>
      <c r="C20494" s="87"/>
      <c r="D20494" s="87"/>
      <c r="E20494" s="87"/>
      <c r="F20494" s="87"/>
      <c r="G20494" s="87"/>
    </row>
    <row r="20495">
      <c r="A20495" s="86" t="str">
        <f>IFERROR(__xludf.DUMMYFUNCTION("""COMPUTED_VALUE"""),"")</f>
        <v/>
      </c>
      <c r="B20495" s="87"/>
      <c r="C20495" s="87"/>
      <c r="D20495" s="87"/>
      <c r="E20495" s="87"/>
      <c r="F20495" s="87"/>
      <c r="G20495" s="87"/>
    </row>
    <row r="20496">
      <c r="A20496" s="86" t="str">
        <f>IFERROR(__xludf.DUMMYFUNCTION("""COMPUTED_VALUE"""),"")</f>
        <v/>
      </c>
      <c r="B20496" s="87"/>
      <c r="C20496" s="87"/>
      <c r="D20496" s="87"/>
      <c r="E20496" s="87"/>
      <c r="F20496" s="87"/>
      <c r="G20496" s="87"/>
    </row>
    <row r="20497">
      <c r="A20497" s="86" t="str">
        <f>IFERROR(__xludf.DUMMYFUNCTION("""COMPUTED_VALUE"""),"")</f>
        <v/>
      </c>
      <c r="B20497" s="87"/>
      <c r="C20497" s="87"/>
      <c r="D20497" s="87"/>
      <c r="E20497" s="87"/>
      <c r="F20497" s="87"/>
      <c r="G20497" s="87"/>
    </row>
    <row r="20498">
      <c r="A20498" s="86" t="str">
        <f>IFERROR(__xludf.DUMMYFUNCTION("""COMPUTED_VALUE"""),"")</f>
        <v/>
      </c>
      <c r="B20498" s="87"/>
      <c r="C20498" s="87"/>
      <c r="D20498" s="87"/>
      <c r="E20498" s="87"/>
      <c r="F20498" s="87"/>
      <c r="G20498" s="87"/>
    </row>
    <row r="20499">
      <c r="A20499" s="86" t="str">
        <f>IFERROR(__xludf.DUMMYFUNCTION("""COMPUTED_VALUE"""),"")</f>
        <v/>
      </c>
      <c r="B20499" s="87"/>
      <c r="C20499" s="87"/>
      <c r="D20499" s="87"/>
      <c r="E20499" s="87"/>
      <c r="F20499" s="87"/>
      <c r="G20499" s="87"/>
    </row>
    <row r="20500">
      <c r="A20500" s="86" t="str">
        <f>IFERROR(__xludf.DUMMYFUNCTION("""COMPUTED_VALUE"""),"")</f>
        <v/>
      </c>
      <c r="B20500" s="87"/>
      <c r="C20500" s="87"/>
      <c r="D20500" s="87"/>
      <c r="E20500" s="87"/>
      <c r="F20500" s="87"/>
      <c r="G20500" s="87"/>
    </row>
    <row r="20501">
      <c r="A20501" s="86" t="str">
        <f>IFERROR(__xludf.DUMMYFUNCTION("""COMPUTED_VALUE"""),"")</f>
        <v/>
      </c>
      <c r="B20501" s="87"/>
      <c r="C20501" s="87"/>
      <c r="D20501" s="87"/>
      <c r="E20501" s="87"/>
      <c r="F20501" s="87"/>
      <c r="G20501" s="87"/>
    </row>
    <row r="20502">
      <c r="A20502" s="86" t="str">
        <f>IFERROR(__xludf.DUMMYFUNCTION("""COMPUTED_VALUE"""),"")</f>
        <v/>
      </c>
      <c r="B20502" s="87"/>
      <c r="C20502" s="87"/>
      <c r="D20502" s="87"/>
      <c r="E20502" s="87"/>
      <c r="F20502" s="87"/>
      <c r="G20502" s="87"/>
    </row>
    <row r="20503">
      <c r="A20503" s="86" t="str">
        <f>IFERROR(__xludf.DUMMYFUNCTION("""COMPUTED_VALUE"""),"")</f>
        <v/>
      </c>
      <c r="B20503" s="87"/>
      <c r="C20503" s="87"/>
      <c r="D20503" s="87"/>
      <c r="E20503" s="87"/>
      <c r="F20503" s="87"/>
      <c r="G20503" s="87"/>
    </row>
    <row r="20504">
      <c r="A20504" s="86" t="str">
        <f>IFERROR(__xludf.DUMMYFUNCTION("""COMPUTED_VALUE"""),"")</f>
        <v/>
      </c>
      <c r="B20504" s="87"/>
      <c r="C20504" s="87"/>
      <c r="D20504" s="87"/>
      <c r="E20504" s="87"/>
      <c r="F20504" s="87"/>
      <c r="G20504" s="87"/>
    </row>
    <row r="20505">
      <c r="A20505" s="86" t="str">
        <f>IFERROR(__xludf.DUMMYFUNCTION("""COMPUTED_VALUE"""),"")</f>
        <v/>
      </c>
      <c r="B20505" s="87"/>
      <c r="C20505" s="87"/>
      <c r="D20505" s="87"/>
      <c r="E20505" s="87"/>
      <c r="F20505" s="87"/>
      <c r="G20505" s="87"/>
    </row>
    <row r="20506">
      <c r="A20506" s="86" t="str">
        <f>IFERROR(__xludf.DUMMYFUNCTION("""COMPUTED_VALUE"""),"")</f>
        <v/>
      </c>
      <c r="B20506" s="87"/>
      <c r="C20506" s="87"/>
      <c r="D20506" s="87"/>
      <c r="E20506" s="87"/>
      <c r="F20506" s="87"/>
      <c r="G20506" s="87"/>
    </row>
    <row r="20507">
      <c r="A20507" s="86" t="str">
        <f>IFERROR(__xludf.DUMMYFUNCTION("""COMPUTED_VALUE"""),"")</f>
        <v/>
      </c>
      <c r="B20507" s="87"/>
      <c r="C20507" s="87"/>
      <c r="D20507" s="87"/>
      <c r="E20507" s="87"/>
      <c r="F20507" s="87"/>
      <c r="G20507" s="87"/>
    </row>
    <row r="20508">
      <c r="A20508" s="86" t="str">
        <f>IFERROR(__xludf.DUMMYFUNCTION("""COMPUTED_VALUE"""),"")</f>
        <v/>
      </c>
      <c r="B20508" s="87"/>
      <c r="C20508" s="87"/>
      <c r="D20508" s="87"/>
      <c r="E20508" s="87"/>
      <c r="F20508" s="87"/>
      <c r="G20508" s="87"/>
    </row>
    <row r="20509">
      <c r="A20509" s="86" t="str">
        <f>IFERROR(__xludf.DUMMYFUNCTION("""COMPUTED_VALUE"""),"")</f>
        <v/>
      </c>
      <c r="B20509" s="87"/>
      <c r="C20509" s="87"/>
      <c r="D20509" s="87"/>
      <c r="E20509" s="87"/>
      <c r="F20509" s="87"/>
      <c r="G20509" s="87"/>
    </row>
    <row r="20510">
      <c r="A20510" s="86" t="str">
        <f>IFERROR(__xludf.DUMMYFUNCTION("""COMPUTED_VALUE"""),"")</f>
        <v/>
      </c>
      <c r="B20510" s="87"/>
      <c r="C20510" s="87"/>
      <c r="D20510" s="87"/>
      <c r="E20510" s="87"/>
      <c r="F20510" s="87"/>
      <c r="G20510" s="87"/>
    </row>
    <row r="20511">
      <c r="A20511" s="86" t="str">
        <f>IFERROR(__xludf.DUMMYFUNCTION("""COMPUTED_VALUE"""),"")</f>
        <v/>
      </c>
      <c r="B20511" s="87"/>
      <c r="C20511" s="87"/>
      <c r="D20511" s="87"/>
      <c r="E20511" s="87"/>
      <c r="F20511" s="87"/>
      <c r="G20511" s="87"/>
    </row>
    <row r="20512">
      <c r="A20512" s="86" t="str">
        <f>IFERROR(__xludf.DUMMYFUNCTION("""COMPUTED_VALUE"""),"")</f>
        <v/>
      </c>
      <c r="B20512" s="87"/>
      <c r="C20512" s="87"/>
      <c r="D20512" s="87"/>
      <c r="E20512" s="87"/>
      <c r="F20512" s="87"/>
      <c r="G20512" s="87"/>
    </row>
    <row r="20513">
      <c r="A20513" s="86" t="str">
        <f>IFERROR(__xludf.DUMMYFUNCTION("""COMPUTED_VALUE"""),"")</f>
        <v/>
      </c>
      <c r="B20513" s="87"/>
      <c r="C20513" s="87"/>
      <c r="D20513" s="87"/>
      <c r="E20513" s="87"/>
      <c r="F20513" s="87"/>
      <c r="G20513" s="87"/>
    </row>
    <row r="20514">
      <c r="A20514" s="86" t="str">
        <f>IFERROR(__xludf.DUMMYFUNCTION("""COMPUTED_VALUE"""),"")</f>
        <v/>
      </c>
      <c r="B20514" s="87"/>
      <c r="C20514" s="87"/>
      <c r="D20514" s="87"/>
      <c r="E20514" s="87"/>
      <c r="F20514" s="87"/>
      <c r="G20514" s="87"/>
    </row>
    <row r="20515">
      <c r="A20515" s="86" t="str">
        <f>IFERROR(__xludf.DUMMYFUNCTION("""COMPUTED_VALUE"""),"")</f>
        <v/>
      </c>
      <c r="B20515" s="87"/>
      <c r="C20515" s="87"/>
      <c r="D20515" s="87"/>
      <c r="E20515" s="87"/>
      <c r="F20515" s="87"/>
      <c r="G20515" s="87"/>
    </row>
    <row r="20516">
      <c r="A20516" s="86" t="str">
        <f>IFERROR(__xludf.DUMMYFUNCTION("""COMPUTED_VALUE"""),"")</f>
        <v/>
      </c>
      <c r="B20516" s="87"/>
      <c r="C20516" s="87"/>
      <c r="D20516" s="87"/>
      <c r="E20516" s="87"/>
      <c r="F20516" s="87"/>
      <c r="G20516" s="87"/>
    </row>
    <row r="20517">
      <c r="A20517" s="86" t="str">
        <f>IFERROR(__xludf.DUMMYFUNCTION("""COMPUTED_VALUE"""),"")</f>
        <v/>
      </c>
      <c r="B20517" s="87"/>
      <c r="C20517" s="87"/>
      <c r="D20517" s="87"/>
      <c r="E20517" s="87"/>
      <c r="F20517" s="87"/>
      <c r="G20517" s="87"/>
    </row>
    <row r="20518">
      <c r="A20518" s="86" t="str">
        <f>IFERROR(__xludf.DUMMYFUNCTION("""COMPUTED_VALUE"""),"")</f>
        <v/>
      </c>
      <c r="B20518" s="87"/>
      <c r="C20518" s="87"/>
      <c r="D20518" s="87"/>
      <c r="E20518" s="87"/>
      <c r="F20518" s="87"/>
      <c r="G20518" s="87"/>
    </row>
    <row r="20519">
      <c r="A20519" s="86" t="str">
        <f>IFERROR(__xludf.DUMMYFUNCTION("""COMPUTED_VALUE"""),"")</f>
        <v/>
      </c>
      <c r="B20519" s="87"/>
      <c r="C20519" s="87"/>
      <c r="D20519" s="87"/>
      <c r="E20519" s="87"/>
      <c r="F20519" s="87"/>
      <c r="G20519" s="87"/>
    </row>
    <row r="20520">
      <c r="A20520" s="86" t="str">
        <f>IFERROR(__xludf.DUMMYFUNCTION("""COMPUTED_VALUE"""),"")</f>
        <v/>
      </c>
      <c r="B20520" s="87"/>
      <c r="C20520" s="87"/>
      <c r="D20520" s="87"/>
      <c r="E20520" s="87"/>
      <c r="F20520" s="87"/>
      <c r="G20520" s="87"/>
    </row>
    <row r="20521">
      <c r="A20521" s="86" t="str">
        <f>IFERROR(__xludf.DUMMYFUNCTION("""COMPUTED_VALUE"""),"")</f>
        <v/>
      </c>
      <c r="B20521" s="87"/>
      <c r="C20521" s="87"/>
      <c r="D20521" s="87"/>
      <c r="E20521" s="87"/>
      <c r="F20521" s="87"/>
      <c r="G20521" s="87"/>
    </row>
    <row r="20522">
      <c r="A20522" s="86" t="str">
        <f>IFERROR(__xludf.DUMMYFUNCTION("""COMPUTED_VALUE"""),"")</f>
        <v/>
      </c>
      <c r="B20522" s="87"/>
      <c r="C20522" s="87"/>
      <c r="D20522" s="87"/>
      <c r="E20522" s="87"/>
      <c r="F20522" s="87"/>
      <c r="G20522" s="87"/>
    </row>
    <row r="20523">
      <c r="A20523" s="86" t="str">
        <f>IFERROR(__xludf.DUMMYFUNCTION("""COMPUTED_VALUE"""),"")</f>
        <v/>
      </c>
      <c r="B20523" s="87"/>
      <c r="C20523" s="87"/>
      <c r="D20523" s="87"/>
      <c r="E20523" s="87"/>
      <c r="F20523" s="87"/>
      <c r="G20523" s="87"/>
    </row>
    <row r="20524">
      <c r="A20524" s="86" t="str">
        <f>IFERROR(__xludf.DUMMYFUNCTION("""COMPUTED_VALUE"""),"")</f>
        <v/>
      </c>
      <c r="B20524" s="87"/>
      <c r="C20524" s="87"/>
      <c r="D20524" s="87"/>
      <c r="E20524" s="87"/>
      <c r="F20524" s="87"/>
      <c r="G20524" s="87"/>
    </row>
    <row r="20525">
      <c r="A20525" s="86" t="str">
        <f>IFERROR(__xludf.DUMMYFUNCTION("""COMPUTED_VALUE"""),"")</f>
        <v/>
      </c>
      <c r="B20525" s="87"/>
      <c r="C20525" s="87"/>
      <c r="D20525" s="87"/>
      <c r="E20525" s="87"/>
      <c r="F20525" s="87"/>
      <c r="G20525" s="87"/>
    </row>
    <row r="20526">
      <c r="A20526" s="86" t="str">
        <f>IFERROR(__xludf.DUMMYFUNCTION("""COMPUTED_VALUE"""),"")</f>
        <v/>
      </c>
      <c r="B20526" s="87"/>
      <c r="C20526" s="87"/>
      <c r="D20526" s="87"/>
      <c r="E20526" s="87"/>
      <c r="F20526" s="87"/>
      <c r="G20526" s="87"/>
    </row>
    <row r="20527">
      <c r="A20527" s="86" t="str">
        <f>IFERROR(__xludf.DUMMYFUNCTION("""COMPUTED_VALUE"""),"")</f>
        <v/>
      </c>
      <c r="B20527" s="87"/>
      <c r="C20527" s="87"/>
      <c r="D20527" s="87"/>
      <c r="E20527" s="87"/>
      <c r="F20527" s="87"/>
      <c r="G20527" s="87"/>
    </row>
    <row r="20528">
      <c r="A20528" s="86" t="str">
        <f>IFERROR(__xludf.DUMMYFUNCTION("""COMPUTED_VALUE"""),"")</f>
        <v/>
      </c>
      <c r="B20528" s="87"/>
      <c r="C20528" s="87"/>
      <c r="D20528" s="87"/>
      <c r="E20528" s="87"/>
      <c r="F20528" s="87"/>
      <c r="G20528" s="87"/>
    </row>
    <row r="20529">
      <c r="A20529" s="86" t="str">
        <f>IFERROR(__xludf.DUMMYFUNCTION("""COMPUTED_VALUE"""),"")</f>
        <v/>
      </c>
      <c r="B20529" s="87"/>
      <c r="C20529" s="87"/>
      <c r="D20529" s="87"/>
      <c r="E20529" s="87"/>
      <c r="F20529" s="87"/>
      <c r="G20529" s="87"/>
    </row>
    <row r="20530">
      <c r="A20530" s="86" t="str">
        <f>IFERROR(__xludf.DUMMYFUNCTION("""COMPUTED_VALUE"""),"")</f>
        <v/>
      </c>
      <c r="B20530" s="87"/>
      <c r="C20530" s="87"/>
      <c r="D20530" s="87"/>
      <c r="E20530" s="87"/>
      <c r="F20530" s="87"/>
      <c r="G20530" s="87"/>
    </row>
    <row r="20531">
      <c r="A20531" s="86" t="str">
        <f>IFERROR(__xludf.DUMMYFUNCTION("""COMPUTED_VALUE"""),"")</f>
        <v/>
      </c>
      <c r="B20531" s="87"/>
      <c r="C20531" s="87"/>
      <c r="D20531" s="87"/>
      <c r="E20531" s="87"/>
      <c r="F20531" s="87"/>
      <c r="G20531" s="87"/>
    </row>
    <row r="20532">
      <c r="A20532" s="86" t="str">
        <f>IFERROR(__xludf.DUMMYFUNCTION("""COMPUTED_VALUE"""),"")</f>
        <v/>
      </c>
      <c r="B20532" s="87"/>
      <c r="C20532" s="87"/>
      <c r="D20532" s="87"/>
      <c r="E20532" s="87"/>
      <c r="F20532" s="87"/>
      <c r="G20532" s="87"/>
    </row>
    <row r="20533">
      <c r="A20533" s="86" t="str">
        <f>IFERROR(__xludf.DUMMYFUNCTION("""COMPUTED_VALUE"""),"")</f>
        <v/>
      </c>
      <c r="B20533" s="87"/>
      <c r="C20533" s="87"/>
      <c r="D20533" s="87"/>
      <c r="E20533" s="87"/>
      <c r="F20533" s="87"/>
      <c r="G20533" s="87"/>
    </row>
    <row r="20534">
      <c r="A20534" s="86" t="str">
        <f>IFERROR(__xludf.DUMMYFUNCTION("""COMPUTED_VALUE"""),"")</f>
        <v/>
      </c>
      <c r="B20534" s="87"/>
      <c r="C20534" s="87"/>
      <c r="D20534" s="87"/>
      <c r="E20534" s="87"/>
      <c r="F20534" s="87"/>
      <c r="G20534" s="87"/>
    </row>
    <row r="20535">
      <c r="A20535" s="86" t="str">
        <f>IFERROR(__xludf.DUMMYFUNCTION("""COMPUTED_VALUE"""),"")</f>
        <v/>
      </c>
      <c r="B20535" s="87"/>
      <c r="C20535" s="87"/>
      <c r="D20535" s="87"/>
      <c r="E20535" s="87"/>
      <c r="F20535" s="87"/>
      <c r="G20535" s="87"/>
    </row>
    <row r="20536">
      <c r="A20536" s="86" t="str">
        <f>IFERROR(__xludf.DUMMYFUNCTION("""COMPUTED_VALUE"""),"")</f>
        <v/>
      </c>
      <c r="B20536" s="87"/>
      <c r="C20536" s="87"/>
      <c r="D20536" s="87"/>
      <c r="E20536" s="87"/>
      <c r="F20536" s="87"/>
      <c r="G20536" s="87"/>
    </row>
    <row r="20537">
      <c r="A20537" s="86" t="str">
        <f>IFERROR(__xludf.DUMMYFUNCTION("""COMPUTED_VALUE"""),"")</f>
        <v/>
      </c>
      <c r="B20537" s="87"/>
      <c r="C20537" s="87"/>
      <c r="D20537" s="87"/>
      <c r="E20537" s="87"/>
      <c r="F20537" s="87"/>
      <c r="G20537" s="87"/>
    </row>
    <row r="20538">
      <c r="A20538" s="86" t="str">
        <f>IFERROR(__xludf.DUMMYFUNCTION("""COMPUTED_VALUE"""),"")</f>
        <v/>
      </c>
      <c r="B20538" s="87"/>
      <c r="C20538" s="87"/>
      <c r="D20538" s="87"/>
      <c r="E20538" s="87"/>
      <c r="F20538" s="87"/>
      <c r="G20538" s="87"/>
    </row>
    <row r="20539">
      <c r="A20539" s="86" t="str">
        <f>IFERROR(__xludf.DUMMYFUNCTION("""COMPUTED_VALUE"""),"")</f>
        <v/>
      </c>
      <c r="B20539" s="87"/>
      <c r="C20539" s="87"/>
      <c r="D20539" s="87"/>
      <c r="E20539" s="87"/>
      <c r="F20539" s="87"/>
      <c r="G20539" s="87"/>
    </row>
    <row r="20540">
      <c r="A20540" s="86" t="str">
        <f>IFERROR(__xludf.DUMMYFUNCTION("""COMPUTED_VALUE"""),"")</f>
        <v/>
      </c>
      <c r="B20540" s="87"/>
      <c r="C20540" s="87"/>
      <c r="D20540" s="87"/>
      <c r="E20540" s="87"/>
      <c r="F20540" s="87"/>
      <c r="G20540" s="87"/>
    </row>
    <row r="20541">
      <c r="A20541" s="86" t="str">
        <f>IFERROR(__xludf.DUMMYFUNCTION("""COMPUTED_VALUE"""),"")</f>
        <v/>
      </c>
      <c r="B20541" s="87"/>
      <c r="C20541" s="87"/>
      <c r="D20541" s="87"/>
      <c r="E20541" s="87"/>
      <c r="F20541" s="87"/>
      <c r="G20541" s="87"/>
    </row>
    <row r="20542">
      <c r="A20542" s="86" t="str">
        <f>IFERROR(__xludf.DUMMYFUNCTION("""COMPUTED_VALUE"""),"")</f>
        <v/>
      </c>
      <c r="B20542" s="87"/>
      <c r="C20542" s="87"/>
      <c r="D20542" s="87"/>
      <c r="E20542" s="87"/>
      <c r="F20542" s="87"/>
      <c r="G20542" s="87"/>
    </row>
    <row r="20543">
      <c r="A20543" s="86" t="str">
        <f>IFERROR(__xludf.DUMMYFUNCTION("""COMPUTED_VALUE"""),"")</f>
        <v/>
      </c>
      <c r="B20543" s="87"/>
      <c r="C20543" s="87"/>
      <c r="D20543" s="87"/>
      <c r="E20543" s="87"/>
      <c r="F20543" s="87"/>
      <c r="G20543" s="87"/>
    </row>
    <row r="20544">
      <c r="A20544" s="86" t="str">
        <f>IFERROR(__xludf.DUMMYFUNCTION("""COMPUTED_VALUE"""),"")</f>
        <v/>
      </c>
      <c r="B20544" s="87"/>
      <c r="C20544" s="87"/>
      <c r="D20544" s="87"/>
      <c r="E20544" s="87"/>
      <c r="F20544" s="87"/>
      <c r="G20544" s="87"/>
    </row>
    <row r="20545">
      <c r="A20545" s="86" t="str">
        <f>IFERROR(__xludf.DUMMYFUNCTION("""COMPUTED_VALUE"""),"")</f>
        <v/>
      </c>
      <c r="B20545" s="87"/>
      <c r="C20545" s="87"/>
      <c r="D20545" s="87"/>
      <c r="E20545" s="87"/>
      <c r="F20545" s="87"/>
      <c r="G20545" s="87"/>
    </row>
    <row r="20546">
      <c r="A20546" s="86" t="str">
        <f>IFERROR(__xludf.DUMMYFUNCTION("""COMPUTED_VALUE"""),"")</f>
        <v/>
      </c>
      <c r="B20546" s="87"/>
      <c r="C20546" s="87"/>
      <c r="D20546" s="87"/>
      <c r="E20546" s="87"/>
      <c r="F20546" s="87"/>
      <c r="G20546" s="87"/>
    </row>
    <row r="20547">
      <c r="A20547" s="86" t="str">
        <f>IFERROR(__xludf.DUMMYFUNCTION("""COMPUTED_VALUE"""),"")</f>
        <v/>
      </c>
      <c r="B20547" s="87"/>
      <c r="C20547" s="87"/>
      <c r="D20547" s="87"/>
      <c r="E20547" s="87"/>
      <c r="F20547" s="87"/>
      <c r="G20547" s="87"/>
    </row>
    <row r="20548">
      <c r="A20548" s="86" t="str">
        <f>IFERROR(__xludf.DUMMYFUNCTION("""COMPUTED_VALUE"""),"")</f>
        <v/>
      </c>
      <c r="B20548" s="87"/>
      <c r="C20548" s="87"/>
      <c r="D20548" s="87"/>
      <c r="E20548" s="87"/>
      <c r="F20548" s="87"/>
      <c r="G20548" s="87"/>
    </row>
    <row r="20549">
      <c r="A20549" s="86" t="str">
        <f>IFERROR(__xludf.DUMMYFUNCTION("""COMPUTED_VALUE"""),"")</f>
        <v/>
      </c>
      <c r="B20549" s="87"/>
      <c r="C20549" s="87"/>
      <c r="D20549" s="87"/>
      <c r="E20549" s="87"/>
      <c r="F20549" s="87"/>
      <c r="G20549" s="87"/>
    </row>
    <row r="20550">
      <c r="A20550" s="86" t="str">
        <f>IFERROR(__xludf.DUMMYFUNCTION("""COMPUTED_VALUE"""),"")</f>
        <v/>
      </c>
      <c r="B20550" s="87"/>
      <c r="C20550" s="87"/>
      <c r="D20550" s="87"/>
      <c r="E20550" s="87"/>
      <c r="F20550" s="87"/>
      <c r="G20550" s="87"/>
    </row>
    <row r="20551">
      <c r="A20551" s="86" t="str">
        <f>IFERROR(__xludf.DUMMYFUNCTION("""COMPUTED_VALUE"""),"")</f>
        <v/>
      </c>
      <c r="B20551" s="87"/>
      <c r="C20551" s="87"/>
      <c r="D20551" s="87"/>
      <c r="E20551" s="87"/>
      <c r="F20551" s="87"/>
      <c r="G20551" s="87"/>
    </row>
    <row r="20552">
      <c r="A20552" s="86" t="str">
        <f>IFERROR(__xludf.DUMMYFUNCTION("""COMPUTED_VALUE"""),"")</f>
        <v/>
      </c>
      <c r="B20552" s="87"/>
      <c r="C20552" s="87"/>
      <c r="D20552" s="87"/>
      <c r="E20552" s="87"/>
      <c r="F20552" s="87"/>
      <c r="G20552" s="87"/>
    </row>
    <row r="20553">
      <c r="A20553" s="86" t="str">
        <f>IFERROR(__xludf.DUMMYFUNCTION("""COMPUTED_VALUE"""),"")</f>
        <v/>
      </c>
      <c r="B20553" s="87"/>
      <c r="C20553" s="87"/>
      <c r="D20553" s="87"/>
      <c r="E20553" s="87"/>
      <c r="F20553" s="87"/>
      <c r="G20553" s="87"/>
    </row>
    <row r="20554">
      <c r="A20554" s="86" t="str">
        <f>IFERROR(__xludf.DUMMYFUNCTION("""COMPUTED_VALUE"""),"")</f>
        <v/>
      </c>
      <c r="B20554" s="87"/>
      <c r="C20554" s="87"/>
      <c r="D20554" s="87"/>
      <c r="E20554" s="87"/>
      <c r="F20554" s="87"/>
      <c r="G20554" s="87"/>
    </row>
    <row r="20555">
      <c r="A20555" s="86" t="str">
        <f>IFERROR(__xludf.DUMMYFUNCTION("""COMPUTED_VALUE"""),"")</f>
        <v/>
      </c>
      <c r="B20555" s="87"/>
      <c r="C20555" s="87"/>
      <c r="D20555" s="87"/>
      <c r="E20555" s="87"/>
      <c r="F20555" s="87"/>
      <c r="G20555" s="87"/>
    </row>
    <row r="20556">
      <c r="A20556" s="86" t="str">
        <f>IFERROR(__xludf.DUMMYFUNCTION("""COMPUTED_VALUE"""),"")</f>
        <v/>
      </c>
      <c r="B20556" s="87"/>
      <c r="C20556" s="87"/>
      <c r="D20556" s="87"/>
      <c r="E20556" s="87"/>
      <c r="F20556" s="87"/>
      <c r="G20556" s="87"/>
    </row>
    <row r="20557">
      <c r="A20557" s="86" t="str">
        <f>IFERROR(__xludf.DUMMYFUNCTION("""COMPUTED_VALUE"""),"")</f>
        <v/>
      </c>
      <c r="B20557" s="87"/>
      <c r="C20557" s="87"/>
      <c r="D20557" s="87"/>
      <c r="E20557" s="87"/>
      <c r="F20557" s="87"/>
      <c r="G20557" s="87"/>
    </row>
    <row r="20558">
      <c r="A20558" s="86" t="str">
        <f>IFERROR(__xludf.DUMMYFUNCTION("""COMPUTED_VALUE"""),"")</f>
        <v/>
      </c>
      <c r="B20558" s="87"/>
      <c r="C20558" s="87"/>
      <c r="D20558" s="87"/>
      <c r="E20558" s="87"/>
      <c r="F20558" s="87"/>
      <c r="G20558" s="87"/>
    </row>
    <row r="20559">
      <c r="A20559" s="86" t="str">
        <f>IFERROR(__xludf.DUMMYFUNCTION("""COMPUTED_VALUE"""),"")</f>
        <v/>
      </c>
      <c r="B20559" s="87"/>
      <c r="C20559" s="87"/>
      <c r="D20559" s="87"/>
      <c r="E20559" s="87"/>
      <c r="F20559" s="87"/>
      <c r="G20559" s="87"/>
    </row>
    <row r="20560">
      <c r="A20560" s="86" t="str">
        <f>IFERROR(__xludf.DUMMYFUNCTION("""COMPUTED_VALUE"""),"")</f>
        <v/>
      </c>
      <c r="B20560" s="87"/>
      <c r="C20560" s="87"/>
      <c r="D20560" s="87"/>
      <c r="E20560" s="87"/>
      <c r="F20560" s="87"/>
      <c r="G20560" s="87"/>
    </row>
    <row r="20561">
      <c r="A20561" s="86" t="str">
        <f>IFERROR(__xludf.DUMMYFUNCTION("""COMPUTED_VALUE"""),"")</f>
        <v/>
      </c>
      <c r="B20561" s="87"/>
      <c r="C20561" s="87"/>
      <c r="D20561" s="87"/>
      <c r="E20561" s="87"/>
      <c r="F20561" s="87"/>
      <c r="G20561" s="87"/>
    </row>
    <row r="20562">
      <c r="A20562" s="86" t="str">
        <f>IFERROR(__xludf.DUMMYFUNCTION("""COMPUTED_VALUE"""),"")</f>
        <v/>
      </c>
      <c r="B20562" s="87"/>
      <c r="C20562" s="87"/>
      <c r="D20562" s="87"/>
      <c r="E20562" s="87"/>
      <c r="F20562" s="87"/>
      <c r="G20562" s="87"/>
    </row>
    <row r="20563">
      <c r="A20563" s="86" t="str">
        <f>IFERROR(__xludf.DUMMYFUNCTION("""COMPUTED_VALUE"""),"")</f>
        <v/>
      </c>
      <c r="B20563" s="87"/>
      <c r="C20563" s="87"/>
      <c r="D20563" s="87"/>
      <c r="E20563" s="87"/>
      <c r="F20563" s="87"/>
      <c r="G20563" s="87"/>
    </row>
    <row r="20564">
      <c r="A20564" s="86" t="str">
        <f>IFERROR(__xludf.DUMMYFUNCTION("""COMPUTED_VALUE"""),"")</f>
        <v/>
      </c>
      <c r="B20564" s="87"/>
      <c r="C20564" s="87"/>
      <c r="D20564" s="87"/>
      <c r="E20564" s="87"/>
      <c r="F20564" s="87"/>
      <c r="G20564" s="87"/>
    </row>
    <row r="20565">
      <c r="A20565" s="86" t="str">
        <f>IFERROR(__xludf.DUMMYFUNCTION("""COMPUTED_VALUE"""),"")</f>
        <v/>
      </c>
      <c r="B20565" s="87"/>
      <c r="C20565" s="87"/>
      <c r="D20565" s="87"/>
      <c r="E20565" s="87"/>
      <c r="F20565" s="87"/>
      <c r="G20565" s="87"/>
    </row>
    <row r="20566">
      <c r="A20566" s="86" t="str">
        <f>IFERROR(__xludf.DUMMYFUNCTION("""COMPUTED_VALUE"""),"")</f>
        <v/>
      </c>
      <c r="B20566" s="87"/>
      <c r="C20566" s="87"/>
      <c r="D20566" s="87"/>
      <c r="E20566" s="87"/>
      <c r="F20566" s="87"/>
      <c r="G20566" s="87"/>
    </row>
    <row r="20567">
      <c r="A20567" s="86" t="str">
        <f>IFERROR(__xludf.DUMMYFUNCTION("""COMPUTED_VALUE"""),"")</f>
        <v/>
      </c>
      <c r="B20567" s="87"/>
      <c r="C20567" s="87"/>
      <c r="D20567" s="87"/>
      <c r="E20567" s="87"/>
      <c r="F20567" s="87"/>
      <c r="G20567" s="87"/>
    </row>
    <row r="20568">
      <c r="A20568" s="86" t="str">
        <f>IFERROR(__xludf.DUMMYFUNCTION("""COMPUTED_VALUE"""),"")</f>
        <v/>
      </c>
      <c r="B20568" s="87"/>
      <c r="C20568" s="87"/>
      <c r="D20568" s="87"/>
      <c r="E20568" s="87"/>
      <c r="F20568" s="87"/>
      <c r="G20568" s="87"/>
    </row>
    <row r="20569">
      <c r="A20569" s="86" t="str">
        <f>IFERROR(__xludf.DUMMYFUNCTION("""COMPUTED_VALUE"""),"")</f>
        <v/>
      </c>
      <c r="B20569" s="87"/>
      <c r="C20569" s="87"/>
      <c r="D20569" s="87"/>
      <c r="E20569" s="87"/>
      <c r="F20569" s="87"/>
      <c r="G20569" s="87"/>
    </row>
    <row r="20570">
      <c r="A20570" s="86" t="str">
        <f>IFERROR(__xludf.DUMMYFUNCTION("""COMPUTED_VALUE"""),"")</f>
        <v/>
      </c>
      <c r="B20570" s="87"/>
      <c r="C20570" s="87"/>
      <c r="D20570" s="87"/>
      <c r="E20570" s="87"/>
      <c r="F20570" s="87"/>
      <c r="G20570" s="87"/>
    </row>
    <row r="20571">
      <c r="A20571" s="86" t="str">
        <f>IFERROR(__xludf.DUMMYFUNCTION("""COMPUTED_VALUE"""),"")</f>
        <v/>
      </c>
      <c r="B20571" s="87"/>
      <c r="C20571" s="87"/>
      <c r="D20571" s="87"/>
      <c r="E20571" s="87"/>
      <c r="F20571" s="87"/>
      <c r="G20571" s="87"/>
    </row>
    <row r="20572">
      <c r="A20572" s="86" t="str">
        <f>IFERROR(__xludf.DUMMYFUNCTION("""COMPUTED_VALUE"""),"")</f>
        <v/>
      </c>
      <c r="B20572" s="87"/>
      <c r="C20572" s="87"/>
      <c r="D20572" s="87"/>
      <c r="E20572" s="87"/>
      <c r="F20572" s="87"/>
      <c r="G20572" s="87"/>
    </row>
    <row r="20573">
      <c r="A20573" s="86" t="str">
        <f>IFERROR(__xludf.DUMMYFUNCTION("""COMPUTED_VALUE"""),"")</f>
        <v/>
      </c>
      <c r="B20573" s="87"/>
      <c r="C20573" s="87"/>
      <c r="D20573" s="87"/>
      <c r="E20573" s="87"/>
      <c r="F20573" s="87"/>
      <c r="G20573" s="87"/>
    </row>
    <row r="20574">
      <c r="A20574" s="86" t="str">
        <f>IFERROR(__xludf.DUMMYFUNCTION("""COMPUTED_VALUE"""),"")</f>
        <v/>
      </c>
      <c r="B20574" s="87"/>
      <c r="C20574" s="87"/>
      <c r="D20574" s="87"/>
      <c r="E20574" s="87"/>
      <c r="F20574" s="87"/>
      <c r="G20574" s="87"/>
    </row>
    <row r="20575">
      <c r="A20575" s="86" t="str">
        <f>IFERROR(__xludf.DUMMYFUNCTION("""COMPUTED_VALUE"""),"")</f>
        <v/>
      </c>
      <c r="B20575" s="87"/>
      <c r="C20575" s="87"/>
      <c r="D20575" s="87"/>
      <c r="E20575" s="87"/>
      <c r="F20575" s="87"/>
      <c r="G20575" s="87"/>
    </row>
    <row r="20576">
      <c r="A20576" s="86" t="str">
        <f>IFERROR(__xludf.DUMMYFUNCTION("""COMPUTED_VALUE"""),"")</f>
        <v/>
      </c>
      <c r="B20576" s="87"/>
      <c r="C20576" s="87"/>
      <c r="D20576" s="87"/>
      <c r="E20576" s="87"/>
      <c r="F20576" s="87"/>
      <c r="G20576" s="87"/>
    </row>
    <row r="20577">
      <c r="A20577" s="86" t="str">
        <f>IFERROR(__xludf.DUMMYFUNCTION("""COMPUTED_VALUE"""),"")</f>
        <v/>
      </c>
      <c r="B20577" s="87"/>
      <c r="C20577" s="87"/>
      <c r="D20577" s="87"/>
      <c r="E20577" s="87"/>
      <c r="F20577" s="87"/>
      <c r="G20577" s="87"/>
    </row>
    <row r="20578">
      <c r="A20578" s="86" t="str">
        <f>IFERROR(__xludf.DUMMYFUNCTION("""COMPUTED_VALUE"""),"")</f>
        <v/>
      </c>
      <c r="B20578" s="87"/>
      <c r="C20578" s="87"/>
      <c r="D20578" s="87"/>
      <c r="E20578" s="87"/>
      <c r="F20578" s="87"/>
      <c r="G20578" s="87"/>
    </row>
    <row r="20579">
      <c r="A20579" s="86" t="str">
        <f>IFERROR(__xludf.DUMMYFUNCTION("""COMPUTED_VALUE"""),"")</f>
        <v/>
      </c>
      <c r="B20579" s="87"/>
      <c r="C20579" s="87"/>
      <c r="D20579" s="87"/>
      <c r="E20579" s="87"/>
      <c r="F20579" s="87"/>
      <c r="G20579" s="87"/>
    </row>
    <row r="20580">
      <c r="A20580" s="86" t="str">
        <f>IFERROR(__xludf.DUMMYFUNCTION("""COMPUTED_VALUE"""),"")</f>
        <v/>
      </c>
      <c r="B20580" s="87"/>
      <c r="C20580" s="87"/>
      <c r="D20580" s="87"/>
      <c r="E20580" s="87"/>
      <c r="F20580" s="87"/>
      <c r="G20580" s="87"/>
    </row>
    <row r="20581">
      <c r="A20581" s="86" t="str">
        <f>IFERROR(__xludf.DUMMYFUNCTION("""COMPUTED_VALUE"""),"")</f>
        <v/>
      </c>
      <c r="B20581" s="87"/>
      <c r="C20581" s="87"/>
      <c r="D20581" s="87"/>
      <c r="E20581" s="87"/>
      <c r="F20581" s="87"/>
      <c r="G20581" s="87"/>
    </row>
    <row r="20582">
      <c r="A20582" s="86" t="str">
        <f>IFERROR(__xludf.DUMMYFUNCTION("""COMPUTED_VALUE"""),"")</f>
        <v/>
      </c>
      <c r="B20582" s="87"/>
      <c r="C20582" s="87"/>
      <c r="D20582" s="87"/>
      <c r="E20582" s="87"/>
      <c r="F20582" s="87"/>
      <c r="G20582" s="87"/>
    </row>
    <row r="20583">
      <c r="A20583" s="86" t="str">
        <f>IFERROR(__xludf.DUMMYFUNCTION("""COMPUTED_VALUE"""),"")</f>
        <v/>
      </c>
      <c r="B20583" s="87"/>
      <c r="C20583" s="87"/>
      <c r="D20583" s="87"/>
      <c r="E20583" s="87"/>
      <c r="F20583" s="87"/>
      <c r="G20583" s="87"/>
    </row>
    <row r="20584">
      <c r="A20584" s="86" t="str">
        <f>IFERROR(__xludf.DUMMYFUNCTION("""COMPUTED_VALUE"""),"")</f>
        <v/>
      </c>
      <c r="B20584" s="87"/>
      <c r="C20584" s="87"/>
      <c r="D20584" s="87"/>
      <c r="E20584" s="87"/>
      <c r="F20584" s="87"/>
      <c r="G20584" s="87"/>
    </row>
    <row r="20585">
      <c r="A20585" s="86" t="str">
        <f>IFERROR(__xludf.DUMMYFUNCTION("""COMPUTED_VALUE"""),"")</f>
        <v/>
      </c>
      <c r="B20585" s="87"/>
      <c r="C20585" s="87"/>
      <c r="D20585" s="87"/>
      <c r="E20585" s="87"/>
      <c r="F20585" s="87"/>
      <c r="G20585" s="87"/>
    </row>
    <row r="20586">
      <c r="A20586" s="86" t="str">
        <f>IFERROR(__xludf.DUMMYFUNCTION("""COMPUTED_VALUE"""),"")</f>
        <v/>
      </c>
      <c r="B20586" s="87"/>
      <c r="C20586" s="87"/>
      <c r="D20586" s="87"/>
      <c r="E20586" s="87"/>
      <c r="F20586" s="87"/>
      <c r="G20586" s="87"/>
    </row>
    <row r="20587">
      <c r="A20587" s="86" t="str">
        <f>IFERROR(__xludf.DUMMYFUNCTION("""COMPUTED_VALUE"""),"")</f>
        <v/>
      </c>
      <c r="B20587" s="87"/>
      <c r="C20587" s="87"/>
      <c r="D20587" s="87"/>
      <c r="E20587" s="87"/>
      <c r="F20587" s="87"/>
      <c r="G20587" s="87"/>
    </row>
    <row r="20588">
      <c r="A20588" s="86" t="str">
        <f>IFERROR(__xludf.DUMMYFUNCTION("""COMPUTED_VALUE"""),"")</f>
        <v/>
      </c>
      <c r="B20588" s="87"/>
      <c r="C20588" s="87"/>
      <c r="D20588" s="87"/>
      <c r="E20588" s="87"/>
      <c r="F20588" s="87"/>
      <c r="G20588" s="87"/>
    </row>
    <row r="20589">
      <c r="A20589" s="86" t="str">
        <f>IFERROR(__xludf.DUMMYFUNCTION("""COMPUTED_VALUE"""),"")</f>
        <v/>
      </c>
      <c r="B20589" s="87"/>
      <c r="C20589" s="87"/>
      <c r="D20589" s="87"/>
      <c r="E20589" s="87"/>
      <c r="F20589" s="87"/>
      <c r="G20589" s="87"/>
    </row>
    <row r="20590">
      <c r="A20590" s="86" t="str">
        <f>IFERROR(__xludf.DUMMYFUNCTION("""COMPUTED_VALUE"""),"")</f>
        <v/>
      </c>
      <c r="B20590" s="87"/>
      <c r="C20590" s="87"/>
      <c r="D20590" s="87"/>
      <c r="E20590" s="87"/>
      <c r="F20590" s="87"/>
      <c r="G20590" s="87"/>
    </row>
    <row r="20591">
      <c r="A20591" s="86" t="str">
        <f>IFERROR(__xludf.DUMMYFUNCTION("""COMPUTED_VALUE"""),"")</f>
        <v/>
      </c>
      <c r="B20591" s="87"/>
      <c r="C20591" s="87"/>
      <c r="D20591" s="87"/>
      <c r="E20591" s="87"/>
      <c r="F20591" s="87"/>
      <c r="G20591" s="87"/>
    </row>
    <row r="20592">
      <c r="A20592" s="86" t="str">
        <f>IFERROR(__xludf.DUMMYFUNCTION("""COMPUTED_VALUE"""),"")</f>
        <v/>
      </c>
      <c r="B20592" s="87"/>
      <c r="C20592" s="87"/>
      <c r="D20592" s="87"/>
      <c r="E20592" s="87"/>
      <c r="F20592" s="87"/>
      <c r="G20592" s="87"/>
    </row>
    <row r="20593">
      <c r="A20593" s="86" t="str">
        <f>IFERROR(__xludf.DUMMYFUNCTION("""COMPUTED_VALUE"""),"")</f>
        <v/>
      </c>
      <c r="B20593" s="87"/>
      <c r="C20593" s="87"/>
      <c r="D20593" s="87"/>
      <c r="E20593" s="87"/>
      <c r="F20593" s="87"/>
      <c r="G20593" s="87"/>
    </row>
    <row r="20594">
      <c r="A20594" s="86" t="str">
        <f>IFERROR(__xludf.DUMMYFUNCTION("""COMPUTED_VALUE"""),"")</f>
        <v/>
      </c>
      <c r="B20594" s="87"/>
      <c r="C20594" s="87"/>
      <c r="D20594" s="87"/>
      <c r="E20594" s="87"/>
      <c r="F20594" s="87"/>
      <c r="G20594" s="87"/>
    </row>
    <row r="20595">
      <c r="A20595" s="86" t="str">
        <f>IFERROR(__xludf.DUMMYFUNCTION("""COMPUTED_VALUE"""),"")</f>
        <v/>
      </c>
      <c r="B20595" s="87"/>
      <c r="C20595" s="87"/>
      <c r="D20595" s="87"/>
      <c r="E20595" s="87"/>
      <c r="F20595" s="87"/>
      <c r="G20595" s="87"/>
    </row>
    <row r="20596">
      <c r="A20596" s="86" t="str">
        <f>IFERROR(__xludf.DUMMYFUNCTION("""COMPUTED_VALUE"""),"")</f>
        <v/>
      </c>
      <c r="B20596" s="87"/>
      <c r="C20596" s="87"/>
      <c r="D20596" s="87"/>
      <c r="E20596" s="87"/>
      <c r="F20596" s="87"/>
      <c r="G20596" s="87"/>
    </row>
    <row r="20597">
      <c r="A20597" s="86" t="str">
        <f>IFERROR(__xludf.DUMMYFUNCTION("""COMPUTED_VALUE"""),"")</f>
        <v/>
      </c>
      <c r="B20597" s="87"/>
      <c r="C20597" s="87"/>
      <c r="D20597" s="87"/>
      <c r="E20597" s="87"/>
      <c r="F20597" s="87"/>
      <c r="G20597" s="87"/>
    </row>
    <row r="20598">
      <c r="A20598" s="86" t="str">
        <f>IFERROR(__xludf.DUMMYFUNCTION("""COMPUTED_VALUE"""),"")</f>
        <v/>
      </c>
      <c r="B20598" s="87"/>
      <c r="C20598" s="87"/>
      <c r="D20598" s="87"/>
      <c r="E20598" s="87"/>
      <c r="F20598" s="87"/>
      <c r="G20598" s="87"/>
    </row>
    <row r="20599">
      <c r="A20599" s="86" t="str">
        <f>IFERROR(__xludf.DUMMYFUNCTION("""COMPUTED_VALUE"""),"")</f>
        <v/>
      </c>
      <c r="B20599" s="87"/>
      <c r="C20599" s="87"/>
      <c r="D20599" s="87"/>
      <c r="E20599" s="87"/>
      <c r="F20599" s="87"/>
      <c r="G20599" s="87"/>
    </row>
    <row r="20600">
      <c r="A20600" s="86" t="str">
        <f>IFERROR(__xludf.DUMMYFUNCTION("""COMPUTED_VALUE"""),"")</f>
        <v/>
      </c>
      <c r="B20600" s="87"/>
      <c r="C20600" s="87"/>
      <c r="D20600" s="87"/>
      <c r="E20600" s="87"/>
      <c r="F20600" s="87"/>
      <c r="G20600" s="87"/>
    </row>
    <row r="20601">
      <c r="A20601" s="86" t="str">
        <f>IFERROR(__xludf.DUMMYFUNCTION("""COMPUTED_VALUE"""),"")</f>
        <v/>
      </c>
      <c r="B20601" s="87"/>
      <c r="C20601" s="87"/>
      <c r="D20601" s="87"/>
      <c r="E20601" s="87"/>
      <c r="F20601" s="87"/>
      <c r="G20601" s="87"/>
    </row>
    <row r="20602">
      <c r="A20602" s="86" t="str">
        <f>IFERROR(__xludf.DUMMYFUNCTION("""COMPUTED_VALUE"""),"")</f>
        <v/>
      </c>
      <c r="B20602" s="87"/>
      <c r="C20602" s="87"/>
      <c r="D20602" s="87"/>
      <c r="E20602" s="87"/>
      <c r="F20602" s="87"/>
      <c r="G20602" s="87"/>
    </row>
    <row r="20603">
      <c r="A20603" s="86" t="str">
        <f>IFERROR(__xludf.DUMMYFUNCTION("""COMPUTED_VALUE"""),"")</f>
        <v/>
      </c>
      <c r="B20603" s="87"/>
      <c r="C20603" s="87"/>
      <c r="D20603" s="87"/>
      <c r="E20603" s="87"/>
      <c r="F20603" s="87"/>
      <c r="G20603" s="87"/>
    </row>
    <row r="20604">
      <c r="A20604" s="86" t="str">
        <f>IFERROR(__xludf.DUMMYFUNCTION("""COMPUTED_VALUE"""),"")</f>
        <v/>
      </c>
      <c r="B20604" s="87"/>
      <c r="C20604" s="87"/>
      <c r="D20604" s="87"/>
      <c r="E20604" s="87"/>
      <c r="F20604" s="87"/>
      <c r="G20604" s="87"/>
    </row>
    <row r="20605">
      <c r="A20605" s="86" t="str">
        <f>IFERROR(__xludf.DUMMYFUNCTION("""COMPUTED_VALUE"""),"")</f>
        <v/>
      </c>
      <c r="B20605" s="87"/>
      <c r="C20605" s="87"/>
      <c r="D20605" s="87"/>
      <c r="E20605" s="87"/>
      <c r="F20605" s="87"/>
      <c r="G20605" s="87"/>
    </row>
    <row r="20606">
      <c r="A20606" s="86" t="str">
        <f>IFERROR(__xludf.DUMMYFUNCTION("""COMPUTED_VALUE"""),"")</f>
        <v/>
      </c>
      <c r="B20606" s="87"/>
      <c r="C20606" s="87"/>
      <c r="D20606" s="87"/>
      <c r="E20606" s="87"/>
      <c r="F20606" s="87"/>
      <c r="G20606" s="87"/>
    </row>
    <row r="20607">
      <c r="A20607" s="86" t="str">
        <f>IFERROR(__xludf.DUMMYFUNCTION("""COMPUTED_VALUE"""),"")</f>
        <v/>
      </c>
      <c r="B20607" s="87"/>
      <c r="C20607" s="87"/>
      <c r="D20607" s="87"/>
      <c r="E20607" s="87"/>
      <c r="F20607" s="87"/>
      <c r="G20607" s="87"/>
    </row>
    <row r="20608">
      <c r="A20608" s="86" t="str">
        <f>IFERROR(__xludf.DUMMYFUNCTION("""COMPUTED_VALUE"""),"")</f>
        <v/>
      </c>
      <c r="B20608" s="87"/>
      <c r="C20608" s="87"/>
      <c r="D20608" s="87"/>
      <c r="E20608" s="87"/>
      <c r="F20608" s="87"/>
      <c r="G20608" s="87"/>
    </row>
    <row r="20609">
      <c r="A20609" s="86" t="str">
        <f>IFERROR(__xludf.DUMMYFUNCTION("""COMPUTED_VALUE"""),"")</f>
        <v/>
      </c>
      <c r="B20609" s="87"/>
      <c r="C20609" s="87"/>
      <c r="D20609" s="87"/>
      <c r="E20609" s="87"/>
      <c r="F20609" s="87"/>
      <c r="G20609" s="87"/>
    </row>
    <row r="20610">
      <c r="A20610" s="86" t="str">
        <f>IFERROR(__xludf.DUMMYFUNCTION("""COMPUTED_VALUE"""),"")</f>
        <v/>
      </c>
      <c r="B20610" s="87"/>
      <c r="C20610" s="87"/>
      <c r="D20610" s="87"/>
      <c r="E20610" s="87"/>
      <c r="F20610" s="87"/>
      <c r="G20610" s="87"/>
    </row>
    <row r="20611">
      <c r="A20611" s="86" t="str">
        <f>IFERROR(__xludf.DUMMYFUNCTION("""COMPUTED_VALUE"""),"")</f>
        <v/>
      </c>
      <c r="B20611" s="87"/>
      <c r="C20611" s="87"/>
      <c r="D20611" s="87"/>
      <c r="E20611" s="87"/>
      <c r="F20611" s="87"/>
      <c r="G20611" s="87"/>
    </row>
    <row r="20612">
      <c r="A20612" s="86" t="str">
        <f>IFERROR(__xludf.DUMMYFUNCTION("""COMPUTED_VALUE"""),"")</f>
        <v/>
      </c>
      <c r="B20612" s="87"/>
      <c r="C20612" s="87"/>
      <c r="D20612" s="87"/>
      <c r="E20612" s="87"/>
      <c r="F20612" s="87"/>
      <c r="G20612" s="87"/>
    </row>
    <row r="20613">
      <c r="A20613" s="86" t="str">
        <f>IFERROR(__xludf.DUMMYFUNCTION("""COMPUTED_VALUE"""),"")</f>
        <v/>
      </c>
      <c r="B20613" s="87"/>
      <c r="C20613" s="87"/>
      <c r="D20613" s="87"/>
      <c r="E20613" s="87"/>
      <c r="F20613" s="87"/>
      <c r="G20613" s="87"/>
    </row>
    <row r="20614">
      <c r="A20614" s="86" t="str">
        <f>IFERROR(__xludf.DUMMYFUNCTION("""COMPUTED_VALUE"""),"")</f>
        <v/>
      </c>
      <c r="B20614" s="87"/>
      <c r="C20614" s="87"/>
      <c r="D20614" s="87"/>
      <c r="E20614" s="87"/>
      <c r="F20614" s="87"/>
      <c r="G20614" s="87"/>
    </row>
    <row r="20615">
      <c r="A20615" s="86" t="str">
        <f>IFERROR(__xludf.DUMMYFUNCTION("""COMPUTED_VALUE"""),"")</f>
        <v/>
      </c>
      <c r="B20615" s="87"/>
      <c r="C20615" s="87"/>
      <c r="D20615" s="87"/>
      <c r="E20615" s="87"/>
      <c r="F20615" s="87"/>
      <c r="G20615" s="87"/>
    </row>
    <row r="20616">
      <c r="A20616" s="86" t="str">
        <f>IFERROR(__xludf.DUMMYFUNCTION("""COMPUTED_VALUE"""),"")</f>
        <v/>
      </c>
      <c r="B20616" s="87"/>
      <c r="C20616" s="87"/>
      <c r="D20616" s="87"/>
      <c r="E20616" s="87"/>
      <c r="F20616" s="87"/>
      <c r="G20616" s="87"/>
    </row>
    <row r="20617">
      <c r="A20617" s="86" t="str">
        <f>IFERROR(__xludf.DUMMYFUNCTION("""COMPUTED_VALUE"""),"")</f>
        <v/>
      </c>
      <c r="B20617" s="87"/>
      <c r="C20617" s="87"/>
      <c r="D20617" s="87"/>
      <c r="E20617" s="87"/>
      <c r="F20617" s="87"/>
      <c r="G20617" s="87"/>
    </row>
    <row r="20618">
      <c r="A20618" s="86" t="str">
        <f>IFERROR(__xludf.DUMMYFUNCTION("""COMPUTED_VALUE"""),"")</f>
        <v/>
      </c>
      <c r="B20618" s="87"/>
      <c r="C20618" s="87"/>
      <c r="D20618" s="87"/>
      <c r="E20618" s="87"/>
      <c r="F20618" s="87"/>
      <c r="G20618" s="87"/>
    </row>
    <row r="20619">
      <c r="A20619" s="86" t="str">
        <f>IFERROR(__xludf.DUMMYFUNCTION("""COMPUTED_VALUE"""),"")</f>
        <v/>
      </c>
      <c r="B20619" s="87"/>
      <c r="C20619" s="87"/>
      <c r="D20619" s="87"/>
      <c r="E20619" s="87"/>
      <c r="F20619" s="87"/>
      <c r="G20619" s="87"/>
    </row>
    <row r="20620">
      <c r="A20620" s="86" t="str">
        <f>IFERROR(__xludf.DUMMYFUNCTION("""COMPUTED_VALUE"""),"")</f>
        <v/>
      </c>
      <c r="B20620" s="87"/>
      <c r="C20620" s="87"/>
      <c r="D20620" s="87"/>
      <c r="E20620" s="87"/>
      <c r="F20620" s="87"/>
      <c r="G20620" s="87"/>
    </row>
    <row r="20621">
      <c r="A20621" s="86" t="str">
        <f>IFERROR(__xludf.DUMMYFUNCTION("""COMPUTED_VALUE"""),"")</f>
        <v/>
      </c>
      <c r="B20621" s="87"/>
      <c r="C20621" s="87"/>
      <c r="D20621" s="87"/>
      <c r="E20621" s="87"/>
      <c r="F20621" s="87"/>
      <c r="G20621" s="87"/>
    </row>
    <row r="20622">
      <c r="A20622" s="86" t="str">
        <f>IFERROR(__xludf.DUMMYFUNCTION("""COMPUTED_VALUE"""),"")</f>
        <v/>
      </c>
      <c r="B20622" s="87"/>
      <c r="C20622" s="87"/>
      <c r="D20622" s="87"/>
      <c r="E20622" s="87"/>
      <c r="F20622" s="87"/>
      <c r="G20622" s="87"/>
    </row>
    <row r="20623">
      <c r="A20623" s="86" t="str">
        <f>IFERROR(__xludf.DUMMYFUNCTION("""COMPUTED_VALUE"""),"")</f>
        <v/>
      </c>
      <c r="B20623" s="87"/>
      <c r="C20623" s="87"/>
      <c r="D20623" s="87"/>
      <c r="E20623" s="87"/>
      <c r="F20623" s="87"/>
      <c r="G20623" s="87"/>
    </row>
    <row r="20624">
      <c r="A20624" s="86" t="str">
        <f>IFERROR(__xludf.DUMMYFUNCTION("""COMPUTED_VALUE"""),"")</f>
        <v/>
      </c>
      <c r="B20624" s="87"/>
      <c r="C20624" s="87"/>
      <c r="D20624" s="87"/>
      <c r="E20624" s="87"/>
      <c r="F20624" s="87"/>
      <c r="G20624" s="87"/>
    </row>
    <row r="20625">
      <c r="A20625" s="86" t="str">
        <f>IFERROR(__xludf.DUMMYFUNCTION("""COMPUTED_VALUE"""),"")</f>
        <v/>
      </c>
      <c r="B20625" s="87"/>
      <c r="C20625" s="87"/>
      <c r="D20625" s="87"/>
      <c r="E20625" s="87"/>
      <c r="F20625" s="87"/>
      <c r="G20625" s="87"/>
    </row>
    <row r="20626">
      <c r="A20626" s="86" t="str">
        <f>IFERROR(__xludf.DUMMYFUNCTION("""COMPUTED_VALUE"""),"")</f>
        <v/>
      </c>
      <c r="B20626" s="87"/>
      <c r="C20626" s="87"/>
      <c r="D20626" s="87"/>
      <c r="E20626" s="87"/>
      <c r="F20626" s="87"/>
      <c r="G20626" s="87"/>
    </row>
    <row r="20627">
      <c r="A20627" s="86" t="str">
        <f>IFERROR(__xludf.DUMMYFUNCTION("""COMPUTED_VALUE"""),"")</f>
        <v/>
      </c>
      <c r="B20627" s="87"/>
      <c r="C20627" s="87"/>
      <c r="D20627" s="87"/>
      <c r="E20627" s="87"/>
      <c r="F20627" s="87"/>
      <c r="G20627" s="87"/>
    </row>
    <row r="20628">
      <c r="A20628" s="86" t="str">
        <f>IFERROR(__xludf.DUMMYFUNCTION("""COMPUTED_VALUE"""),"")</f>
        <v/>
      </c>
      <c r="B20628" s="87"/>
      <c r="C20628" s="87"/>
      <c r="D20628" s="87"/>
      <c r="E20628" s="87"/>
      <c r="F20628" s="87"/>
      <c r="G20628" s="87"/>
    </row>
    <row r="20629">
      <c r="A20629" s="86" t="str">
        <f>IFERROR(__xludf.DUMMYFUNCTION("""COMPUTED_VALUE"""),"")</f>
        <v/>
      </c>
      <c r="B20629" s="87"/>
      <c r="C20629" s="87"/>
      <c r="D20629" s="87"/>
      <c r="E20629" s="87"/>
      <c r="F20629" s="87"/>
      <c r="G20629" s="87"/>
    </row>
    <row r="20630">
      <c r="A20630" s="86" t="str">
        <f>IFERROR(__xludf.DUMMYFUNCTION("""COMPUTED_VALUE"""),"")</f>
        <v/>
      </c>
      <c r="B20630" s="87"/>
      <c r="C20630" s="87"/>
      <c r="D20630" s="87"/>
      <c r="E20630" s="87"/>
      <c r="F20630" s="87"/>
      <c r="G20630" s="87"/>
    </row>
    <row r="20631">
      <c r="A20631" s="86" t="str">
        <f>IFERROR(__xludf.DUMMYFUNCTION("""COMPUTED_VALUE"""),"")</f>
        <v/>
      </c>
      <c r="B20631" s="87"/>
      <c r="C20631" s="87"/>
      <c r="D20631" s="87"/>
      <c r="E20631" s="87"/>
      <c r="F20631" s="87"/>
      <c r="G20631" s="87"/>
    </row>
    <row r="20632">
      <c r="A20632" s="86" t="str">
        <f>IFERROR(__xludf.DUMMYFUNCTION("""COMPUTED_VALUE"""),"")</f>
        <v/>
      </c>
      <c r="B20632" s="87"/>
      <c r="C20632" s="87"/>
      <c r="D20632" s="87"/>
      <c r="E20632" s="87"/>
      <c r="F20632" s="87"/>
      <c r="G20632" s="87"/>
    </row>
    <row r="20633">
      <c r="A20633" s="86" t="str">
        <f>IFERROR(__xludf.DUMMYFUNCTION("""COMPUTED_VALUE"""),"")</f>
        <v/>
      </c>
      <c r="B20633" s="87"/>
      <c r="C20633" s="87"/>
      <c r="D20633" s="87"/>
      <c r="E20633" s="87"/>
      <c r="F20633" s="87"/>
      <c r="G20633" s="87"/>
    </row>
    <row r="20634">
      <c r="A20634" s="86" t="str">
        <f>IFERROR(__xludf.DUMMYFUNCTION("""COMPUTED_VALUE"""),"")</f>
        <v/>
      </c>
      <c r="B20634" s="87"/>
      <c r="C20634" s="87"/>
      <c r="D20634" s="87"/>
      <c r="E20634" s="87"/>
      <c r="F20634" s="87"/>
      <c r="G20634" s="87"/>
    </row>
    <row r="20635">
      <c r="A20635" s="86" t="str">
        <f>IFERROR(__xludf.DUMMYFUNCTION("""COMPUTED_VALUE"""),"")</f>
        <v/>
      </c>
      <c r="B20635" s="87"/>
      <c r="C20635" s="87"/>
      <c r="D20635" s="87"/>
      <c r="E20635" s="87"/>
      <c r="F20635" s="87"/>
      <c r="G20635" s="87"/>
    </row>
    <row r="20636">
      <c r="A20636" s="86" t="str">
        <f>IFERROR(__xludf.DUMMYFUNCTION("""COMPUTED_VALUE"""),"")</f>
        <v/>
      </c>
      <c r="B20636" s="87"/>
      <c r="C20636" s="87"/>
      <c r="D20636" s="87"/>
      <c r="E20636" s="87"/>
      <c r="F20636" s="87"/>
      <c r="G20636" s="87"/>
    </row>
    <row r="20637">
      <c r="A20637" s="86" t="str">
        <f>IFERROR(__xludf.DUMMYFUNCTION("""COMPUTED_VALUE"""),"")</f>
        <v/>
      </c>
      <c r="B20637" s="87"/>
      <c r="C20637" s="87"/>
      <c r="D20637" s="87"/>
      <c r="E20637" s="87"/>
      <c r="F20637" s="87"/>
      <c r="G20637" s="87"/>
    </row>
    <row r="20638">
      <c r="A20638" s="86" t="str">
        <f>IFERROR(__xludf.DUMMYFUNCTION("""COMPUTED_VALUE"""),"")</f>
        <v/>
      </c>
      <c r="B20638" s="87"/>
      <c r="C20638" s="87"/>
      <c r="D20638" s="87"/>
      <c r="E20638" s="87"/>
      <c r="F20638" s="87"/>
      <c r="G20638" s="87"/>
    </row>
    <row r="20639">
      <c r="A20639" s="86" t="str">
        <f>IFERROR(__xludf.DUMMYFUNCTION("""COMPUTED_VALUE"""),"")</f>
        <v/>
      </c>
      <c r="B20639" s="87"/>
      <c r="C20639" s="87"/>
      <c r="D20639" s="87"/>
      <c r="E20639" s="87"/>
      <c r="F20639" s="87"/>
      <c r="G20639" s="87"/>
    </row>
    <row r="20640">
      <c r="A20640" s="86" t="str">
        <f>IFERROR(__xludf.DUMMYFUNCTION("""COMPUTED_VALUE"""),"")</f>
        <v/>
      </c>
      <c r="B20640" s="87"/>
      <c r="C20640" s="87"/>
      <c r="D20640" s="87"/>
      <c r="E20640" s="87"/>
      <c r="F20640" s="87"/>
      <c r="G20640" s="87"/>
    </row>
    <row r="20641">
      <c r="A20641" s="86" t="str">
        <f>IFERROR(__xludf.DUMMYFUNCTION("""COMPUTED_VALUE"""),"")</f>
        <v/>
      </c>
      <c r="B20641" s="87"/>
      <c r="C20641" s="87"/>
      <c r="D20641" s="87"/>
      <c r="E20641" s="87"/>
      <c r="F20641" s="87"/>
      <c r="G20641" s="87"/>
    </row>
    <row r="20642">
      <c r="A20642" s="86" t="str">
        <f>IFERROR(__xludf.DUMMYFUNCTION("""COMPUTED_VALUE"""),"")</f>
        <v/>
      </c>
      <c r="B20642" s="87"/>
      <c r="C20642" s="87"/>
      <c r="D20642" s="87"/>
      <c r="E20642" s="87"/>
      <c r="F20642" s="87"/>
      <c r="G20642" s="87"/>
    </row>
    <row r="20643">
      <c r="A20643" s="86" t="str">
        <f>IFERROR(__xludf.DUMMYFUNCTION("""COMPUTED_VALUE"""),"")</f>
        <v/>
      </c>
      <c r="B20643" s="87"/>
      <c r="C20643" s="87"/>
      <c r="D20643" s="87"/>
      <c r="E20643" s="87"/>
      <c r="F20643" s="87"/>
      <c r="G20643" s="87"/>
    </row>
    <row r="20644">
      <c r="A20644" s="86" t="str">
        <f>IFERROR(__xludf.DUMMYFUNCTION("""COMPUTED_VALUE"""),"")</f>
        <v/>
      </c>
      <c r="B20644" s="87"/>
      <c r="C20644" s="87"/>
      <c r="D20644" s="87"/>
      <c r="E20644" s="87"/>
      <c r="F20644" s="87"/>
      <c r="G20644" s="87"/>
    </row>
    <row r="20645">
      <c r="A20645" s="86" t="str">
        <f>IFERROR(__xludf.DUMMYFUNCTION("""COMPUTED_VALUE"""),"")</f>
        <v/>
      </c>
      <c r="B20645" s="87"/>
      <c r="C20645" s="87"/>
      <c r="D20645" s="87"/>
      <c r="E20645" s="87"/>
      <c r="F20645" s="87"/>
      <c r="G20645" s="87"/>
    </row>
    <row r="20646">
      <c r="A20646" s="86" t="str">
        <f>IFERROR(__xludf.DUMMYFUNCTION("""COMPUTED_VALUE"""),"")</f>
        <v/>
      </c>
      <c r="B20646" s="87"/>
      <c r="C20646" s="87"/>
      <c r="D20646" s="87"/>
      <c r="E20646" s="87"/>
      <c r="F20646" s="87"/>
      <c r="G20646" s="87"/>
    </row>
    <row r="20647">
      <c r="A20647" s="86" t="str">
        <f>IFERROR(__xludf.DUMMYFUNCTION("""COMPUTED_VALUE"""),"")</f>
        <v/>
      </c>
      <c r="B20647" s="87"/>
      <c r="C20647" s="87"/>
      <c r="D20647" s="87"/>
      <c r="E20647" s="87"/>
      <c r="F20647" s="87"/>
      <c r="G20647" s="87"/>
    </row>
    <row r="20648">
      <c r="A20648" s="86" t="str">
        <f>IFERROR(__xludf.DUMMYFUNCTION("""COMPUTED_VALUE"""),"")</f>
        <v/>
      </c>
      <c r="B20648" s="87"/>
      <c r="C20648" s="87"/>
      <c r="D20648" s="87"/>
      <c r="E20648" s="87"/>
      <c r="F20648" s="87"/>
      <c r="G20648" s="87"/>
    </row>
    <row r="20649">
      <c r="A20649" s="86" t="str">
        <f>IFERROR(__xludf.DUMMYFUNCTION("""COMPUTED_VALUE"""),"")</f>
        <v/>
      </c>
      <c r="B20649" s="87"/>
      <c r="C20649" s="87"/>
      <c r="D20649" s="87"/>
      <c r="E20649" s="87"/>
      <c r="F20649" s="87"/>
      <c r="G20649" s="87"/>
    </row>
    <row r="20650">
      <c r="A20650" s="86" t="str">
        <f>IFERROR(__xludf.DUMMYFUNCTION("""COMPUTED_VALUE"""),"")</f>
        <v/>
      </c>
      <c r="B20650" s="87"/>
      <c r="C20650" s="87"/>
      <c r="D20650" s="87"/>
      <c r="E20650" s="87"/>
      <c r="F20650" s="87"/>
      <c r="G20650" s="87"/>
    </row>
    <row r="20651">
      <c r="A20651" s="86" t="str">
        <f>IFERROR(__xludf.DUMMYFUNCTION("""COMPUTED_VALUE"""),"")</f>
        <v/>
      </c>
      <c r="B20651" s="87"/>
      <c r="C20651" s="87"/>
      <c r="D20651" s="87"/>
      <c r="E20651" s="87"/>
      <c r="F20651" s="87"/>
      <c r="G20651" s="87"/>
    </row>
    <row r="20652">
      <c r="A20652" s="86" t="str">
        <f>IFERROR(__xludf.DUMMYFUNCTION("""COMPUTED_VALUE"""),"")</f>
        <v/>
      </c>
      <c r="B20652" s="87"/>
      <c r="C20652" s="87"/>
      <c r="D20652" s="87"/>
      <c r="E20652" s="87"/>
      <c r="F20652" s="87"/>
      <c r="G20652" s="87"/>
    </row>
    <row r="20653">
      <c r="A20653" s="86" t="str">
        <f>IFERROR(__xludf.DUMMYFUNCTION("""COMPUTED_VALUE"""),"")</f>
        <v/>
      </c>
      <c r="B20653" s="87"/>
      <c r="C20653" s="87"/>
      <c r="D20653" s="87"/>
      <c r="E20653" s="87"/>
      <c r="F20653" s="87"/>
      <c r="G20653" s="87"/>
    </row>
    <row r="20654">
      <c r="A20654" s="86" t="str">
        <f>IFERROR(__xludf.DUMMYFUNCTION("""COMPUTED_VALUE"""),"")</f>
        <v/>
      </c>
      <c r="B20654" s="87"/>
      <c r="C20654" s="87"/>
      <c r="D20654" s="87"/>
      <c r="E20654" s="87"/>
      <c r="F20654" s="87"/>
      <c r="G20654" s="87"/>
    </row>
    <row r="20655">
      <c r="A20655" s="86" t="str">
        <f>IFERROR(__xludf.DUMMYFUNCTION("""COMPUTED_VALUE"""),"")</f>
        <v/>
      </c>
      <c r="B20655" s="87"/>
      <c r="C20655" s="87"/>
      <c r="D20655" s="87"/>
      <c r="E20655" s="87"/>
      <c r="F20655" s="87"/>
      <c r="G20655" s="87"/>
    </row>
    <row r="20656">
      <c r="A20656" s="86" t="str">
        <f>IFERROR(__xludf.DUMMYFUNCTION("""COMPUTED_VALUE"""),"")</f>
        <v/>
      </c>
      <c r="B20656" s="87"/>
      <c r="C20656" s="87"/>
      <c r="D20656" s="87"/>
      <c r="E20656" s="87"/>
      <c r="F20656" s="87"/>
      <c r="G20656" s="87"/>
    </row>
    <row r="20657">
      <c r="A20657" s="86" t="str">
        <f>IFERROR(__xludf.DUMMYFUNCTION("""COMPUTED_VALUE"""),"")</f>
        <v/>
      </c>
      <c r="B20657" s="87"/>
      <c r="C20657" s="87"/>
      <c r="D20657" s="87"/>
      <c r="E20657" s="87"/>
      <c r="F20657" s="87"/>
      <c r="G20657" s="87"/>
    </row>
    <row r="20658">
      <c r="A20658" s="86" t="str">
        <f>IFERROR(__xludf.DUMMYFUNCTION("""COMPUTED_VALUE"""),"")</f>
        <v/>
      </c>
      <c r="B20658" s="87"/>
      <c r="C20658" s="87"/>
      <c r="D20658" s="87"/>
      <c r="E20658" s="87"/>
      <c r="F20658" s="87"/>
      <c r="G20658" s="87"/>
    </row>
    <row r="20659">
      <c r="A20659" s="86" t="str">
        <f>IFERROR(__xludf.DUMMYFUNCTION("""COMPUTED_VALUE"""),"")</f>
        <v/>
      </c>
      <c r="B20659" s="87"/>
      <c r="C20659" s="87"/>
      <c r="D20659" s="87"/>
      <c r="E20659" s="87"/>
      <c r="F20659" s="87"/>
      <c r="G20659" s="87"/>
    </row>
    <row r="20660">
      <c r="A20660" s="86" t="str">
        <f>IFERROR(__xludf.DUMMYFUNCTION("""COMPUTED_VALUE"""),"")</f>
        <v/>
      </c>
      <c r="B20660" s="87"/>
      <c r="C20660" s="87"/>
      <c r="D20660" s="87"/>
      <c r="E20660" s="87"/>
      <c r="F20660" s="87"/>
      <c r="G20660" s="87"/>
    </row>
    <row r="20661">
      <c r="A20661" s="86" t="str">
        <f>IFERROR(__xludf.DUMMYFUNCTION("""COMPUTED_VALUE"""),"")</f>
        <v/>
      </c>
      <c r="B20661" s="87"/>
      <c r="C20661" s="87"/>
      <c r="D20661" s="87"/>
      <c r="E20661" s="87"/>
      <c r="F20661" s="87"/>
      <c r="G20661" s="87"/>
    </row>
    <row r="20662">
      <c r="A20662" s="86" t="str">
        <f>IFERROR(__xludf.DUMMYFUNCTION("""COMPUTED_VALUE"""),"")</f>
        <v/>
      </c>
      <c r="B20662" s="87"/>
      <c r="C20662" s="87"/>
      <c r="D20662" s="87"/>
      <c r="E20662" s="87"/>
      <c r="F20662" s="87"/>
      <c r="G20662" s="87"/>
    </row>
    <row r="20663">
      <c r="A20663" s="86" t="str">
        <f>IFERROR(__xludf.DUMMYFUNCTION("""COMPUTED_VALUE"""),"")</f>
        <v/>
      </c>
      <c r="B20663" s="87"/>
      <c r="C20663" s="87"/>
      <c r="D20663" s="87"/>
      <c r="E20663" s="87"/>
      <c r="F20663" s="87"/>
      <c r="G20663" s="87"/>
    </row>
    <row r="20664">
      <c r="A20664" s="86" t="str">
        <f>IFERROR(__xludf.DUMMYFUNCTION("""COMPUTED_VALUE"""),"")</f>
        <v/>
      </c>
      <c r="B20664" s="87"/>
      <c r="C20664" s="87"/>
      <c r="D20664" s="87"/>
      <c r="E20664" s="87"/>
      <c r="F20664" s="87"/>
      <c r="G20664" s="87"/>
    </row>
    <row r="20665">
      <c r="A20665" s="86" t="str">
        <f>IFERROR(__xludf.DUMMYFUNCTION("""COMPUTED_VALUE"""),"")</f>
        <v/>
      </c>
      <c r="B20665" s="87"/>
      <c r="C20665" s="87"/>
      <c r="D20665" s="87"/>
      <c r="E20665" s="87"/>
      <c r="F20665" s="87"/>
      <c r="G20665" s="87"/>
    </row>
    <row r="20666">
      <c r="A20666" s="86" t="str">
        <f>IFERROR(__xludf.DUMMYFUNCTION("""COMPUTED_VALUE"""),"")</f>
        <v/>
      </c>
      <c r="B20666" s="87"/>
      <c r="C20666" s="87"/>
      <c r="D20666" s="87"/>
      <c r="E20666" s="87"/>
      <c r="F20666" s="87"/>
      <c r="G20666" s="87"/>
    </row>
    <row r="20667">
      <c r="A20667" s="86" t="str">
        <f>IFERROR(__xludf.DUMMYFUNCTION("""COMPUTED_VALUE"""),"")</f>
        <v/>
      </c>
      <c r="B20667" s="87"/>
      <c r="C20667" s="87"/>
      <c r="D20667" s="87"/>
      <c r="E20667" s="87"/>
      <c r="F20667" s="87"/>
      <c r="G20667" s="87"/>
    </row>
    <row r="20668">
      <c r="A20668" s="86" t="str">
        <f>IFERROR(__xludf.DUMMYFUNCTION("""COMPUTED_VALUE"""),"")</f>
        <v/>
      </c>
      <c r="B20668" s="87"/>
      <c r="C20668" s="87"/>
      <c r="D20668" s="87"/>
      <c r="E20668" s="87"/>
      <c r="F20668" s="87"/>
      <c r="G20668" s="87"/>
    </row>
    <row r="20669">
      <c r="A20669" s="86" t="str">
        <f>IFERROR(__xludf.DUMMYFUNCTION("""COMPUTED_VALUE"""),"")</f>
        <v/>
      </c>
      <c r="B20669" s="87"/>
      <c r="C20669" s="87"/>
      <c r="D20669" s="87"/>
      <c r="E20669" s="87"/>
      <c r="F20669" s="87"/>
      <c r="G20669" s="87"/>
    </row>
    <row r="20670">
      <c r="A20670" s="86" t="str">
        <f>IFERROR(__xludf.DUMMYFUNCTION("""COMPUTED_VALUE"""),"")</f>
        <v/>
      </c>
      <c r="B20670" s="87"/>
      <c r="C20670" s="87"/>
      <c r="D20670" s="87"/>
      <c r="E20670" s="87"/>
      <c r="F20670" s="87"/>
      <c r="G20670" s="87"/>
    </row>
    <row r="20671">
      <c r="A20671" s="86" t="str">
        <f>IFERROR(__xludf.DUMMYFUNCTION("""COMPUTED_VALUE"""),"")</f>
        <v/>
      </c>
      <c r="B20671" s="87"/>
      <c r="C20671" s="87"/>
      <c r="D20671" s="87"/>
      <c r="E20671" s="87"/>
      <c r="F20671" s="87"/>
      <c r="G20671" s="87"/>
    </row>
    <row r="20672">
      <c r="A20672" s="86" t="str">
        <f>IFERROR(__xludf.DUMMYFUNCTION("""COMPUTED_VALUE"""),"")</f>
        <v/>
      </c>
      <c r="B20672" s="87"/>
      <c r="C20672" s="87"/>
      <c r="D20672" s="87"/>
      <c r="E20672" s="87"/>
      <c r="F20672" s="87"/>
      <c r="G20672" s="87"/>
    </row>
    <row r="20673">
      <c r="A20673" s="86" t="str">
        <f>IFERROR(__xludf.DUMMYFUNCTION("""COMPUTED_VALUE"""),"")</f>
        <v/>
      </c>
      <c r="B20673" s="87"/>
      <c r="C20673" s="87"/>
      <c r="D20673" s="87"/>
      <c r="E20673" s="87"/>
      <c r="F20673" s="87"/>
      <c r="G20673" s="87"/>
    </row>
    <row r="20674">
      <c r="A20674" s="86" t="str">
        <f>IFERROR(__xludf.DUMMYFUNCTION("""COMPUTED_VALUE"""),"")</f>
        <v/>
      </c>
      <c r="B20674" s="87"/>
      <c r="C20674" s="87"/>
      <c r="D20674" s="87"/>
      <c r="E20674" s="87"/>
      <c r="F20674" s="87"/>
      <c r="G20674" s="87"/>
    </row>
    <row r="20675">
      <c r="A20675" s="86" t="str">
        <f>IFERROR(__xludf.DUMMYFUNCTION("""COMPUTED_VALUE"""),"")</f>
        <v/>
      </c>
      <c r="B20675" s="87"/>
      <c r="C20675" s="87"/>
      <c r="D20675" s="87"/>
      <c r="E20675" s="87"/>
      <c r="F20675" s="87"/>
      <c r="G20675" s="87"/>
    </row>
    <row r="20676">
      <c r="A20676" s="86" t="str">
        <f>IFERROR(__xludf.DUMMYFUNCTION("""COMPUTED_VALUE"""),"")</f>
        <v/>
      </c>
      <c r="B20676" s="87"/>
      <c r="C20676" s="87"/>
      <c r="D20676" s="87"/>
      <c r="E20676" s="87"/>
      <c r="F20676" s="87"/>
      <c r="G20676" s="87"/>
    </row>
    <row r="20677">
      <c r="A20677" s="86" t="str">
        <f>IFERROR(__xludf.DUMMYFUNCTION("""COMPUTED_VALUE"""),"")</f>
        <v/>
      </c>
      <c r="B20677" s="87"/>
      <c r="C20677" s="87"/>
      <c r="D20677" s="87"/>
      <c r="E20677" s="87"/>
      <c r="F20677" s="87"/>
      <c r="G20677" s="87"/>
    </row>
    <row r="20678">
      <c r="A20678" s="86" t="str">
        <f>IFERROR(__xludf.DUMMYFUNCTION("""COMPUTED_VALUE"""),"")</f>
        <v/>
      </c>
      <c r="B20678" s="87"/>
      <c r="C20678" s="87"/>
      <c r="D20678" s="87"/>
      <c r="E20678" s="87"/>
      <c r="F20678" s="87"/>
      <c r="G20678" s="87"/>
    </row>
    <row r="20679">
      <c r="A20679" s="86" t="str">
        <f>IFERROR(__xludf.DUMMYFUNCTION("""COMPUTED_VALUE"""),"")</f>
        <v/>
      </c>
      <c r="B20679" s="87"/>
      <c r="C20679" s="87"/>
      <c r="D20679" s="87"/>
      <c r="E20679" s="87"/>
      <c r="F20679" s="87"/>
      <c r="G20679" s="87"/>
    </row>
    <row r="20680">
      <c r="A20680" s="86" t="str">
        <f>IFERROR(__xludf.DUMMYFUNCTION("""COMPUTED_VALUE"""),"")</f>
        <v/>
      </c>
      <c r="B20680" s="87"/>
      <c r="C20680" s="87"/>
      <c r="D20680" s="87"/>
      <c r="E20680" s="87"/>
      <c r="F20680" s="87"/>
      <c r="G20680" s="87"/>
    </row>
    <row r="20681">
      <c r="A20681" s="86" t="str">
        <f>IFERROR(__xludf.DUMMYFUNCTION("""COMPUTED_VALUE"""),"")</f>
        <v/>
      </c>
      <c r="B20681" s="87"/>
      <c r="C20681" s="87"/>
      <c r="D20681" s="87"/>
      <c r="E20681" s="87"/>
      <c r="F20681" s="87"/>
      <c r="G20681" s="87"/>
    </row>
    <row r="20682">
      <c r="A20682" s="86" t="str">
        <f>IFERROR(__xludf.DUMMYFUNCTION("""COMPUTED_VALUE"""),"")</f>
        <v/>
      </c>
      <c r="B20682" s="87"/>
      <c r="C20682" s="87"/>
      <c r="D20682" s="87"/>
      <c r="E20682" s="87"/>
      <c r="F20682" s="87"/>
      <c r="G20682" s="87"/>
    </row>
    <row r="20683">
      <c r="A20683" s="86" t="str">
        <f>IFERROR(__xludf.DUMMYFUNCTION("""COMPUTED_VALUE"""),"")</f>
        <v/>
      </c>
      <c r="B20683" s="87"/>
      <c r="C20683" s="87"/>
      <c r="D20683" s="87"/>
      <c r="E20683" s="87"/>
      <c r="F20683" s="87"/>
      <c r="G20683" s="87"/>
    </row>
    <row r="20684">
      <c r="A20684" s="86" t="str">
        <f>IFERROR(__xludf.DUMMYFUNCTION("""COMPUTED_VALUE"""),"")</f>
        <v/>
      </c>
      <c r="B20684" s="87"/>
      <c r="C20684" s="87"/>
      <c r="D20684" s="87"/>
      <c r="E20684" s="87"/>
      <c r="F20684" s="87"/>
      <c r="G20684" s="87"/>
    </row>
    <row r="20685">
      <c r="A20685" s="86" t="str">
        <f>IFERROR(__xludf.DUMMYFUNCTION("""COMPUTED_VALUE"""),"")</f>
        <v/>
      </c>
      <c r="B20685" s="87"/>
      <c r="C20685" s="87"/>
      <c r="D20685" s="87"/>
      <c r="E20685" s="87"/>
      <c r="F20685" s="87"/>
      <c r="G20685" s="87"/>
    </row>
    <row r="20686">
      <c r="A20686" s="86" t="str">
        <f>IFERROR(__xludf.DUMMYFUNCTION("""COMPUTED_VALUE"""),"")</f>
        <v/>
      </c>
      <c r="B20686" s="87"/>
      <c r="C20686" s="87"/>
      <c r="D20686" s="87"/>
      <c r="E20686" s="87"/>
      <c r="F20686" s="87"/>
      <c r="G20686" s="87"/>
    </row>
    <row r="20687">
      <c r="A20687" s="86" t="str">
        <f>IFERROR(__xludf.DUMMYFUNCTION("""COMPUTED_VALUE"""),"")</f>
        <v/>
      </c>
      <c r="B20687" s="87"/>
      <c r="C20687" s="87"/>
      <c r="D20687" s="87"/>
      <c r="E20687" s="87"/>
      <c r="F20687" s="87"/>
      <c r="G20687" s="87"/>
    </row>
    <row r="20688">
      <c r="A20688" s="86" t="str">
        <f>IFERROR(__xludf.DUMMYFUNCTION("""COMPUTED_VALUE"""),"")</f>
        <v/>
      </c>
      <c r="B20688" s="87"/>
      <c r="C20688" s="87"/>
      <c r="D20688" s="87"/>
      <c r="E20688" s="87"/>
      <c r="F20688" s="87"/>
      <c r="G20688" s="87"/>
    </row>
    <row r="20689">
      <c r="A20689" s="86" t="str">
        <f>IFERROR(__xludf.DUMMYFUNCTION("""COMPUTED_VALUE"""),"")</f>
        <v/>
      </c>
      <c r="B20689" s="87"/>
      <c r="C20689" s="87"/>
      <c r="D20689" s="87"/>
      <c r="E20689" s="87"/>
      <c r="F20689" s="87"/>
      <c r="G20689" s="87"/>
    </row>
    <row r="20690">
      <c r="A20690" s="86" t="str">
        <f>IFERROR(__xludf.DUMMYFUNCTION("""COMPUTED_VALUE"""),"")</f>
        <v/>
      </c>
      <c r="B20690" s="87"/>
      <c r="C20690" s="87"/>
      <c r="D20690" s="87"/>
      <c r="E20690" s="87"/>
      <c r="F20690" s="87"/>
      <c r="G20690" s="87"/>
    </row>
    <row r="20691">
      <c r="A20691" s="86" t="str">
        <f>IFERROR(__xludf.DUMMYFUNCTION("""COMPUTED_VALUE"""),"")</f>
        <v/>
      </c>
      <c r="B20691" s="87"/>
      <c r="C20691" s="87"/>
      <c r="D20691" s="87"/>
      <c r="E20691" s="87"/>
      <c r="F20691" s="87"/>
      <c r="G20691" s="87"/>
    </row>
    <row r="20692">
      <c r="A20692" s="86" t="str">
        <f>IFERROR(__xludf.DUMMYFUNCTION("""COMPUTED_VALUE"""),"")</f>
        <v/>
      </c>
      <c r="B20692" s="87"/>
      <c r="C20692" s="87"/>
      <c r="D20692" s="87"/>
      <c r="E20692" s="87"/>
      <c r="F20692" s="87"/>
      <c r="G20692" s="87"/>
    </row>
    <row r="20693">
      <c r="A20693" s="86" t="str">
        <f>IFERROR(__xludf.DUMMYFUNCTION("""COMPUTED_VALUE"""),"")</f>
        <v/>
      </c>
      <c r="B20693" s="87"/>
      <c r="C20693" s="87"/>
      <c r="D20693" s="87"/>
      <c r="E20693" s="87"/>
      <c r="F20693" s="87"/>
      <c r="G20693" s="87"/>
    </row>
    <row r="20694">
      <c r="A20694" s="86" t="str">
        <f>IFERROR(__xludf.DUMMYFUNCTION("""COMPUTED_VALUE"""),"")</f>
        <v/>
      </c>
      <c r="B20694" s="87"/>
      <c r="C20694" s="87"/>
      <c r="D20694" s="87"/>
      <c r="E20694" s="87"/>
      <c r="F20694" s="87"/>
      <c r="G20694" s="87"/>
    </row>
    <row r="20695">
      <c r="A20695" s="86" t="str">
        <f>IFERROR(__xludf.DUMMYFUNCTION("""COMPUTED_VALUE"""),"")</f>
        <v/>
      </c>
      <c r="B20695" s="87"/>
      <c r="C20695" s="87"/>
      <c r="D20695" s="87"/>
      <c r="E20695" s="87"/>
      <c r="F20695" s="87"/>
      <c r="G20695" s="87"/>
    </row>
    <row r="20696">
      <c r="A20696" s="86" t="str">
        <f>IFERROR(__xludf.DUMMYFUNCTION("""COMPUTED_VALUE"""),"")</f>
        <v/>
      </c>
      <c r="B20696" s="87"/>
      <c r="C20696" s="87"/>
      <c r="D20696" s="87"/>
      <c r="E20696" s="87"/>
      <c r="F20696" s="87"/>
      <c r="G20696" s="87"/>
    </row>
    <row r="20697">
      <c r="A20697" s="86" t="str">
        <f>IFERROR(__xludf.DUMMYFUNCTION("""COMPUTED_VALUE"""),"")</f>
        <v/>
      </c>
      <c r="B20697" s="87"/>
      <c r="C20697" s="87"/>
      <c r="D20697" s="87"/>
      <c r="E20697" s="87"/>
      <c r="F20697" s="87"/>
      <c r="G20697" s="87"/>
    </row>
    <row r="20698">
      <c r="A20698" s="86" t="str">
        <f>IFERROR(__xludf.DUMMYFUNCTION("""COMPUTED_VALUE"""),"")</f>
        <v/>
      </c>
      <c r="B20698" s="87"/>
      <c r="C20698" s="87"/>
      <c r="D20698" s="87"/>
      <c r="E20698" s="87"/>
      <c r="F20698" s="87"/>
      <c r="G20698" s="87"/>
    </row>
    <row r="20699">
      <c r="A20699" s="86" t="str">
        <f>IFERROR(__xludf.DUMMYFUNCTION("""COMPUTED_VALUE"""),"")</f>
        <v/>
      </c>
      <c r="B20699" s="87"/>
      <c r="C20699" s="87"/>
      <c r="D20699" s="87"/>
      <c r="E20699" s="87"/>
      <c r="F20699" s="87"/>
      <c r="G20699" s="87"/>
    </row>
    <row r="20700">
      <c r="A20700" s="86" t="str">
        <f>IFERROR(__xludf.DUMMYFUNCTION("""COMPUTED_VALUE"""),"")</f>
        <v/>
      </c>
      <c r="B20700" s="87"/>
      <c r="C20700" s="87"/>
      <c r="D20700" s="87"/>
      <c r="E20700" s="87"/>
      <c r="F20700" s="87"/>
      <c r="G20700" s="87"/>
    </row>
    <row r="20701">
      <c r="A20701" s="86" t="str">
        <f>IFERROR(__xludf.DUMMYFUNCTION("""COMPUTED_VALUE"""),"")</f>
        <v/>
      </c>
      <c r="B20701" s="87"/>
      <c r="C20701" s="87"/>
      <c r="D20701" s="87"/>
      <c r="E20701" s="87"/>
      <c r="F20701" s="87"/>
      <c r="G20701" s="87"/>
    </row>
    <row r="20702">
      <c r="A20702" s="86" t="str">
        <f>IFERROR(__xludf.DUMMYFUNCTION("""COMPUTED_VALUE"""),"")</f>
        <v/>
      </c>
      <c r="B20702" s="87"/>
      <c r="C20702" s="87"/>
      <c r="D20702" s="87"/>
      <c r="E20702" s="87"/>
      <c r="F20702" s="87"/>
      <c r="G20702" s="87"/>
    </row>
    <row r="20703">
      <c r="A20703" s="86" t="str">
        <f>IFERROR(__xludf.DUMMYFUNCTION("""COMPUTED_VALUE"""),"")</f>
        <v/>
      </c>
      <c r="B20703" s="87"/>
      <c r="C20703" s="87"/>
      <c r="D20703" s="87"/>
      <c r="E20703" s="87"/>
      <c r="F20703" s="87"/>
      <c r="G20703" s="87"/>
    </row>
    <row r="20704">
      <c r="A20704" s="86" t="str">
        <f>IFERROR(__xludf.DUMMYFUNCTION("""COMPUTED_VALUE"""),"")</f>
        <v/>
      </c>
      <c r="B20704" s="87"/>
      <c r="C20704" s="87"/>
      <c r="D20704" s="87"/>
      <c r="E20704" s="87"/>
      <c r="F20704" s="87"/>
      <c r="G20704" s="87"/>
    </row>
    <row r="20705">
      <c r="A20705" s="86" t="str">
        <f>IFERROR(__xludf.DUMMYFUNCTION("""COMPUTED_VALUE"""),"")</f>
        <v/>
      </c>
      <c r="B20705" s="87"/>
      <c r="C20705" s="87"/>
      <c r="D20705" s="87"/>
      <c r="E20705" s="87"/>
      <c r="F20705" s="87"/>
      <c r="G20705" s="87"/>
    </row>
    <row r="20706">
      <c r="A20706" s="86" t="str">
        <f>IFERROR(__xludf.DUMMYFUNCTION("""COMPUTED_VALUE"""),"")</f>
        <v/>
      </c>
      <c r="B20706" s="87"/>
      <c r="C20706" s="87"/>
      <c r="D20706" s="87"/>
      <c r="E20706" s="87"/>
      <c r="F20706" s="87"/>
      <c r="G20706" s="87"/>
    </row>
    <row r="20707">
      <c r="A20707" s="86" t="str">
        <f>IFERROR(__xludf.DUMMYFUNCTION("""COMPUTED_VALUE"""),"")</f>
        <v/>
      </c>
      <c r="B20707" s="87"/>
      <c r="C20707" s="87"/>
      <c r="D20707" s="87"/>
      <c r="E20707" s="87"/>
      <c r="F20707" s="87"/>
      <c r="G20707" s="87"/>
    </row>
    <row r="20708">
      <c r="A20708" s="86" t="str">
        <f>IFERROR(__xludf.DUMMYFUNCTION("""COMPUTED_VALUE"""),"")</f>
        <v/>
      </c>
      <c r="B20708" s="87"/>
      <c r="C20708" s="87"/>
      <c r="D20708" s="87"/>
      <c r="E20708" s="87"/>
      <c r="F20708" s="87"/>
      <c r="G20708" s="87"/>
    </row>
    <row r="20709">
      <c r="A20709" s="86" t="str">
        <f>IFERROR(__xludf.DUMMYFUNCTION("""COMPUTED_VALUE"""),"")</f>
        <v/>
      </c>
      <c r="B20709" s="87"/>
      <c r="C20709" s="87"/>
      <c r="D20709" s="87"/>
      <c r="E20709" s="87"/>
      <c r="F20709" s="87"/>
      <c r="G20709" s="87"/>
    </row>
    <row r="20710">
      <c r="A20710" s="86" t="str">
        <f>IFERROR(__xludf.DUMMYFUNCTION("""COMPUTED_VALUE"""),"")</f>
        <v/>
      </c>
      <c r="B20710" s="87"/>
      <c r="C20710" s="87"/>
      <c r="D20710" s="87"/>
      <c r="E20710" s="87"/>
      <c r="F20710" s="87"/>
      <c r="G20710" s="87"/>
    </row>
    <row r="20711">
      <c r="A20711" s="86" t="str">
        <f>IFERROR(__xludf.DUMMYFUNCTION("""COMPUTED_VALUE"""),"")</f>
        <v/>
      </c>
      <c r="B20711" s="87"/>
      <c r="C20711" s="87"/>
      <c r="D20711" s="87"/>
      <c r="E20711" s="87"/>
      <c r="F20711" s="87"/>
      <c r="G20711" s="87"/>
    </row>
    <row r="20712">
      <c r="A20712" s="86" t="str">
        <f>IFERROR(__xludf.DUMMYFUNCTION("""COMPUTED_VALUE"""),"")</f>
        <v/>
      </c>
      <c r="B20712" s="87"/>
      <c r="C20712" s="87"/>
      <c r="D20712" s="87"/>
      <c r="E20712" s="87"/>
      <c r="F20712" s="87"/>
      <c r="G20712" s="87"/>
    </row>
    <row r="20713">
      <c r="A20713" s="86" t="str">
        <f>IFERROR(__xludf.DUMMYFUNCTION("""COMPUTED_VALUE"""),"")</f>
        <v/>
      </c>
      <c r="B20713" s="87"/>
      <c r="C20713" s="87"/>
      <c r="D20713" s="87"/>
      <c r="E20713" s="87"/>
      <c r="F20713" s="87"/>
      <c r="G20713" s="87"/>
    </row>
    <row r="20714">
      <c r="A20714" s="86" t="str">
        <f>IFERROR(__xludf.DUMMYFUNCTION("""COMPUTED_VALUE"""),"")</f>
        <v/>
      </c>
      <c r="B20714" s="87"/>
      <c r="C20714" s="87"/>
      <c r="D20714" s="87"/>
      <c r="E20714" s="87"/>
      <c r="F20714" s="87"/>
      <c r="G20714" s="87"/>
    </row>
    <row r="20715">
      <c r="A20715" s="86" t="str">
        <f>IFERROR(__xludf.DUMMYFUNCTION("""COMPUTED_VALUE"""),"")</f>
        <v/>
      </c>
      <c r="B20715" s="87"/>
      <c r="C20715" s="87"/>
      <c r="D20715" s="87"/>
      <c r="E20715" s="87"/>
      <c r="F20715" s="87"/>
      <c r="G20715" s="87"/>
    </row>
    <row r="20716">
      <c r="A20716" s="86" t="str">
        <f>IFERROR(__xludf.DUMMYFUNCTION("""COMPUTED_VALUE"""),"")</f>
        <v/>
      </c>
      <c r="B20716" s="87"/>
      <c r="C20716" s="87"/>
      <c r="D20716" s="87"/>
      <c r="E20716" s="87"/>
      <c r="F20716" s="87"/>
      <c r="G20716" s="87"/>
    </row>
    <row r="20717">
      <c r="A20717" s="86" t="str">
        <f>IFERROR(__xludf.DUMMYFUNCTION("""COMPUTED_VALUE"""),"")</f>
        <v/>
      </c>
      <c r="B20717" s="87"/>
      <c r="C20717" s="87"/>
      <c r="D20717" s="87"/>
      <c r="E20717" s="87"/>
      <c r="F20717" s="87"/>
      <c r="G20717" s="87"/>
    </row>
    <row r="20718">
      <c r="A20718" s="86" t="str">
        <f>IFERROR(__xludf.DUMMYFUNCTION("""COMPUTED_VALUE"""),"")</f>
        <v/>
      </c>
      <c r="B20718" s="87"/>
      <c r="C20718" s="87"/>
      <c r="D20718" s="87"/>
      <c r="E20718" s="87"/>
      <c r="F20718" s="87"/>
      <c r="G20718" s="87"/>
    </row>
    <row r="20719">
      <c r="A20719" s="86" t="str">
        <f>IFERROR(__xludf.DUMMYFUNCTION("""COMPUTED_VALUE"""),"")</f>
        <v/>
      </c>
      <c r="B20719" s="87"/>
      <c r="C20719" s="87"/>
      <c r="D20719" s="87"/>
      <c r="E20719" s="87"/>
      <c r="F20719" s="87"/>
      <c r="G20719" s="87"/>
    </row>
    <row r="20720">
      <c r="A20720" s="86" t="str">
        <f>IFERROR(__xludf.DUMMYFUNCTION("""COMPUTED_VALUE"""),"")</f>
        <v/>
      </c>
      <c r="B20720" s="87"/>
      <c r="C20720" s="87"/>
      <c r="D20720" s="87"/>
      <c r="E20720" s="87"/>
      <c r="F20720" s="87"/>
      <c r="G20720" s="87"/>
    </row>
    <row r="20721">
      <c r="A20721" s="86" t="str">
        <f>IFERROR(__xludf.DUMMYFUNCTION("""COMPUTED_VALUE"""),"")</f>
        <v/>
      </c>
      <c r="B20721" s="87"/>
      <c r="C20721" s="87"/>
      <c r="D20721" s="87"/>
      <c r="E20721" s="87"/>
      <c r="F20721" s="87"/>
      <c r="G20721" s="87"/>
    </row>
    <row r="20722">
      <c r="A20722" s="86" t="str">
        <f>IFERROR(__xludf.DUMMYFUNCTION("""COMPUTED_VALUE"""),"")</f>
        <v/>
      </c>
      <c r="B20722" s="87"/>
      <c r="C20722" s="87"/>
      <c r="D20722" s="87"/>
      <c r="E20722" s="87"/>
      <c r="F20722" s="87"/>
      <c r="G20722" s="87"/>
    </row>
    <row r="20723">
      <c r="A20723" s="86" t="str">
        <f>IFERROR(__xludf.DUMMYFUNCTION("""COMPUTED_VALUE"""),"")</f>
        <v/>
      </c>
      <c r="B20723" s="87"/>
      <c r="C20723" s="87"/>
      <c r="D20723" s="87"/>
      <c r="E20723" s="87"/>
      <c r="F20723" s="87"/>
      <c r="G20723" s="87"/>
    </row>
    <row r="20724">
      <c r="A20724" s="86" t="str">
        <f>IFERROR(__xludf.DUMMYFUNCTION("""COMPUTED_VALUE"""),"")</f>
        <v/>
      </c>
      <c r="B20724" s="87"/>
      <c r="C20724" s="87"/>
      <c r="D20724" s="87"/>
      <c r="E20724" s="87"/>
      <c r="F20724" s="87"/>
      <c r="G20724" s="87"/>
    </row>
    <row r="20725">
      <c r="A20725" s="86" t="str">
        <f>IFERROR(__xludf.DUMMYFUNCTION("""COMPUTED_VALUE"""),"")</f>
        <v/>
      </c>
      <c r="B20725" s="87"/>
      <c r="C20725" s="87"/>
      <c r="D20725" s="87"/>
      <c r="E20725" s="87"/>
      <c r="F20725" s="87"/>
      <c r="G20725" s="87"/>
    </row>
    <row r="20726">
      <c r="A20726" s="86" t="str">
        <f>IFERROR(__xludf.DUMMYFUNCTION("""COMPUTED_VALUE"""),"")</f>
        <v/>
      </c>
      <c r="B20726" s="87"/>
      <c r="C20726" s="87"/>
      <c r="D20726" s="87"/>
      <c r="E20726" s="87"/>
      <c r="F20726" s="87"/>
      <c r="G20726" s="87"/>
    </row>
    <row r="20727">
      <c r="A20727" s="86" t="str">
        <f>IFERROR(__xludf.DUMMYFUNCTION("""COMPUTED_VALUE"""),"")</f>
        <v/>
      </c>
      <c r="B20727" s="87"/>
      <c r="C20727" s="87"/>
      <c r="D20727" s="87"/>
      <c r="E20727" s="87"/>
      <c r="F20727" s="87"/>
      <c r="G20727" s="87"/>
    </row>
    <row r="20728">
      <c r="A20728" s="86" t="str">
        <f>IFERROR(__xludf.DUMMYFUNCTION("""COMPUTED_VALUE"""),"")</f>
        <v/>
      </c>
      <c r="B20728" s="87"/>
      <c r="C20728" s="87"/>
      <c r="D20728" s="87"/>
      <c r="E20728" s="87"/>
      <c r="F20728" s="87"/>
      <c r="G20728" s="87"/>
    </row>
    <row r="20729">
      <c r="A20729" s="86" t="str">
        <f>IFERROR(__xludf.DUMMYFUNCTION("""COMPUTED_VALUE"""),"")</f>
        <v/>
      </c>
      <c r="B20729" s="87"/>
      <c r="C20729" s="87"/>
      <c r="D20729" s="87"/>
      <c r="E20729" s="87"/>
      <c r="F20729" s="87"/>
      <c r="G20729" s="87"/>
    </row>
    <row r="20730">
      <c r="A20730" s="86" t="str">
        <f>IFERROR(__xludf.DUMMYFUNCTION("""COMPUTED_VALUE"""),"")</f>
        <v/>
      </c>
      <c r="B20730" s="87"/>
      <c r="C20730" s="87"/>
      <c r="D20730" s="87"/>
      <c r="E20730" s="87"/>
      <c r="F20730" s="87"/>
      <c r="G20730" s="87"/>
    </row>
    <row r="20731">
      <c r="A20731" s="86" t="str">
        <f>IFERROR(__xludf.DUMMYFUNCTION("""COMPUTED_VALUE"""),"")</f>
        <v/>
      </c>
      <c r="B20731" s="87"/>
      <c r="C20731" s="87"/>
      <c r="D20731" s="87"/>
      <c r="E20731" s="87"/>
      <c r="F20731" s="87"/>
      <c r="G20731" s="87"/>
    </row>
    <row r="20732">
      <c r="A20732" s="86" t="str">
        <f>IFERROR(__xludf.DUMMYFUNCTION("""COMPUTED_VALUE"""),"")</f>
        <v/>
      </c>
      <c r="B20732" s="87"/>
      <c r="C20732" s="87"/>
      <c r="D20732" s="87"/>
      <c r="E20732" s="87"/>
      <c r="F20732" s="87"/>
      <c r="G20732" s="87"/>
    </row>
    <row r="20733">
      <c r="A20733" s="86" t="str">
        <f>IFERROR(__xludf.DUMMYFUNCTION("""COMPUTED_VALUE"""),"")</f>
        <v/>
      </c>
      <c r="B20733" s="87"/>
      <c r="C20733" s="87"/>
      <c r="D20733" s="87"/>
      <c r="E20733" s="87"/>
      <c r="F20733" s="87"/>
      <c r="G20733" s="87"/>
    </row>
    <row r="20734">
      <c r="A20734" s="86" t="str">
        <f>IFERROR(__xludf.DUMMYFUNCTION("""COMPUTED_VALUE"""),"")</f>
        <v/>
      </c>
      <c r="B20734" s="87"/>
      <c r="C20734" s="87"/>
      <c r="D20734" s="87"/>
      <c r="E20734" s="87"/>
      <c r="F20734" s="87"/>
      <c r="G20734" s="87"/>
    </row>
    <row r="20735">
      <c r="A20735" s="86" t="str">
        <f>IFERROR(__xludf.DUMMYFUNCTION("""COMPUTED_VALUE"""),"")</f>
        <v/>
      </c>
      <c r="B20735" s="87"/>
      <c r="C20735" s="87"/>
      <c r="D20735" s="87"/>
      <c r="E20735" s="87"/>
      <c r="F20735" s="87"/>
      <c r="G20735" s="87"/>
    </row>
    <row r="20736">
      <c r="A20736" s="86" t="str">
        <f>IFERROR(__xludf.DUMMYFUNCTION("""COMPUTED_VALUE"""),"")</f>
        <v/>
      </c>
      <c r="B20736" s="87"/>
      <c r="C20736" s="87"/>
      <c r="D20736" s="87"/>
      <c r="E20736" s="87"/>
      <c r="F20736" s="87"/>
      <c r="G20736" s="87"/>
    </row>
    <row r="20737">
      <c r="A20737" s="86" t="str">
        <f>IFERROR(__xludf.DUMMYFUNCTION("""COMPUTED_VALUE"""),"")</f>
        <v/>
      </c>
      <c r="B20737" s="87"/>
      <c r="C20737" s="87"/>
      <c r="D20737" s="87"/>
      <c r="E20737" s="87"/>
      <c r="F20737" s="87"/>
      <c r="G20737" s="87"/>
    </row>
    <row r="20738">
      <c r="A20738" s="86" t="str">
        <f>IFERROR(__xludf.DUMMYFUNCTION("""COMPUTED_VALUE"""),"")</f>
        <v/>
      </c>
      <c r="B20738" s="87"/>
      <c r="C20738" s="87"/>
      <c r="D20738" s="87"/>
      <c r="E20738" s="87"/>
      <c r="F20738" s="87"/>
      <c r="G20738" s="87"/>
    </row>
    <row r="20739">
      <c r="A20739" s="86" t="str">
        <f>IFERROR(__xludf.DUMMYFUNCTION("""COMPUTED_VALUE"""),"")</f>
        <v/>
      </c>
      <c r="B20739" s="87"/>
      <c r="C20739" s="87"/>
      <c r="D20739" s="87"/>
      <c r="E20739" s="87"/>
      <c r="F20739" s="87"/>
      <c r="G20739" s="87"/>
    </row>
    <row r="20740">
      <c r="A20740" s="86" t="str">
        <f>IFERROR(__xludf.DUMMYFUNCTION("""COMPUTED_VALUE"""),"")</f>
        <v/>
      </c>
      <c r="B20740" s="87"/>
      <c r="C20740" s="87"/>
      <c r="D20740" s="87"/>
      <c r="E20740" s="87"/>
      <c r="F20740" s="87"/>
      <c r="G20740" s="87"/>
    </row>
    <row r="20741">
      <c r="A20741" s="86" t="str">
        <f>IFERROR(__xludf.DUMMYFUNCTION("""COMPUTED_VALUE"""),"")</f>
        <v/>
      </c>
      <c r="B20741" s="87"/>
      <c r="C20741" s="87"/>
      <c r="D20741" s="87"/>
      <c r="E20741" s="87"/>
      <c r="F20741" s="87"/>
      <c r="G20741" s="87"/>
    </row>
    <row r="20742">
      <c r="A20742" s="86" t="str">
        <f>IFERROR(__xludf.DUMMYFUNCTION("""COMPUTED_VALUE"""),"")</f>
        <v/>
      </c>
      <c r="B20742" s="87"/>
      <c r="C20742" s="87"/>
      <c r="D20742" s="87"/>
      <c r="E20742" s="87"/>
      <c r="F20742" s="87"/>
      <c r="G20742" s="87"/>
    </row>
    <row r="20743">
      <c r="A20743" s="86" t="str">
        <f>IFERROR(__xludf.DUMMYFUNCTION("""COMPUTED_VALUE"""),"")</f>
        <v/>
      </c>
      <c r="B20743" s="87"/>
      <c r="C20743" s="87"/>
      <c r="D20743" s="87"/>
      <c r="E20743" s="87"/>
      <c r="F20743" s="87"/>
      <c r="G20743" s="87"/>
    </row>
    <row r="20744">
      <c r="A20744" s="86" t="str">
        <f>IFERROR(__xludf.DUMMYFUNCTION("""COMPUTED_VALUE"""),"")</f>
        <v/>
      </c>
      <c r="B20744" s="87"/>
      <c r="C20744" s="87"/>
      <c r="D20744" s="87"/>
      <c r="E20744" s="87"/>
      <c r="F20744" s="87"/>
      <c r="G20744" s="87"/>
    </row>
    <row r="20745">
      <c r="A20745" s="86" t="str">
        <f>IFERROR(__xludf.DUMMYFUNCTION("""COMPUTED_VALUE"""),"")</f>
        <v/>
      </c>
      <c r="B20745" s="87"/>
      <c r="C20745" s="87"/>
      <c r="D20745" s="87"/>
      <c r="E20745" s="87"/>
      <c r="F20745" s="87"/>
      <c r="G20745" s="87"/>
    </row>
    <row r="20746">
      <c r="A20746" s="86" t="str">
        <f>IFERROR(__xludf.DUMMYFUNCTION("""COMPUTED_VALUE"""),"")</f>
        <v/>
      </c>
      <c r="B20746" s="87"/>
      <c r="C20746" s="87"/>
      <c r="D20746" s="87"/>
      <c r="E20746" s="87"/>
      <c r="F20746" s="87"/>
      <c r="G20746" s="87"/>
    </row>
    <row r="20747">
      <c r="A20747" s="86" t="str">
        <f>IFERROR(__xludf.DUMMYFUNCTION("""COMPUTED_VALUE"""),"")</f>
        <v/>
      </c>
      <c r="B20747" s="87"/>
      <c r="C20747" s="87"/>
      <c r="D20747" s="87"/>
      <c r="E20747" s="87"/>
      <c r="F20747" s="87"/>
      <c r="G20747" s="87"/>
    </row>
    <row r="20748">
      <c r="A20748" s="86" t="str">
        <f>IFERROR(__xludf.DUMMYFUNCTION("""COMPUTED_VALUE"""),"")</f>
        <v/>
      </c>
      <c r="B20748" s="87"/>
      <c r="C20748" s="87"/>
      <c r="D20748" s="87"/>
      <c r="E20748" s="87"/>
      <c r="F20748" s="87"/>
      <c r="G20748" s="87"/>
    </row>
    <row r="20749">
      <c r="A20749" s="86" t="str">
        <f>IFERROR(__xludf.DUMMYFUNCTION("""COMPUTED_VALUE"""),"")</f>
        <v/>
      </c>
      <c r="B20749" s="87"/>
      <c r="C20749" s="87"/>
      <c r="D20749" s="87"/>
      <c r="E20749" s="87"/>
      <c r="F20749" s="87"/>
      <c r="G20749" s="87"/>
    </row>
    <row r="20750">
      <c r="A20750" s="86" t="str">
        <f>IFERROR(__xludf.DUMMYFUNCTION("""COMPUTED_VALUE"""),"")</f>
        <v/>
      </c>
      <c r="B20750" s="87"/>
      <c r="C20750" s="87"/>
      <c r="D20750" s="87"/>
      <c r="E20750" s="87"/>
      <c r="F20750" s="87"/>
      <c r="G20750" s="87"/>
    </row>
    <row r="20751">
      <c r="A20751" s="86" t="str">
        <f>IFERROR(__xludf.DUMMYFUNCTION("""COMPUTED_VALUE"""),"")</f>
        <v/>
      </c>
      <c r="B20751" s="87"/>
      <c r="C20751" s="87"/>
      <c r="D20751" s="87"/>
      <c r="E20751" s="87"/>
      <c r="F20751" s="87"/>
      <c r="G20751" s="87"/>
    </row>
    <row r="20752">
      <c r="A20752" s="86" t="str">
        <f>IFERROR(__xludf.DUMMYFUNCTION("""COMPUTED_VALUE"""),"")</f>
        <v/>
      </c>
      <c r="B20752" s="87"/>
      <c r="C20752" s="87"/>
      <c r="D20752" s="87"/>
      <c r="E20752" s="87"/>
      <c r="F20752" s="87"/>
      <c r="G20752" s="87"/>
    </row>
    <row r="20753">
      <c r="A20753" s="86" t="str">
        <f>IFERROR(__xludf.DUMMYFUNCTION("""COMPUTED_VALUE"""),"")</f>
        <v/>
      </c>
      <c r="B20753" s="87"/>
      <c r="C20753" s="87"/>
      <c r="D20753" s="87"/>
      <c r="E20753" s="87"/>
      <c r="F20753" s="87"/>
      <c r="G20753" s="87"/>
    </row>
    <row r="20754">
      <c r="A20754" s="86" t="str">
        <f>IFERROR(__xludf.DUMMYFUNCTION("""COMPUTED_VALUE"""),"")</f>
        <v/>
      </c>
      <c r="B20754" s="87"/>
      <c r="C20754" s="87"/>
      <c r="D20754" s="87"/>
      <c r="E20754" s="87"/>
      <c r="F20754" s="87"/>
      <c r="G20754" s="87"/>
    </row>
    <row r="20755">
      <c r="A20755" s="86" t="str">
        <f>IFERROR(__xludf.DUMMYFUNCTION("""COMPUTED_VALUE"""),"")</f>
        <v/>
      </c>
      <c r="B20755" s="87"/>
      <c r="C20755" s="87"/>
      <c r="D20755" s="87"/>
      <c r="E20755" s="87"/>
      <c r="F20755" s="87"/>
      <c r="G20755" s="87"/>
    </row>
    <row r="20756">
      <c r="A20756" s="86" t="str">
        <f>IFERROR(__xludf.DUMMYFUNCTION("""COMPUTED_VALUE"""),"")</f>
        <v/>
      </c>
      <c r="B20756" s="87"/>
      <c r="C20756" s="87"/>
      <c r="D20756" s="87"/>
      <c r="E20756" s="87"/>
      <c r="F20756" s="87"/>
      <c r="G20756" s="87"/>
    </row>
    <row r="20757">
      <c r="A20757" s="86" t="str">
        <f>IFERROR(__xludf.DUMMYFUNCTION("""COMPUTED_VALUE"""),"")</f>
        <v/>
      </c>
      <c r="B20757" s="87"/>
      <c r="C20757" s="87"/>
      <c r="D20757" s="87"/>
      <c r="E20757" s="87"/>
      <c r="F20757" s="87"/>
      <c r="G20757" s="87"/>
    </row>
    <row r="20758">
      <c r="A20758" s="86" t="str">
        <f>IFERROR(__xludf.DUMMYFUNCTION("""COMPUTED_VALUE"""),"")</f>
        <v/>
      </c>
      <c r="B20758" s="87"/>
      <c r="C20758" s="87"/>
      <c r="D20758" s="87"/>
      <c r="E20758" s="87"/>
      <c r="F20758" s="87"/>
      <c r="G20758" s="87"/>
    </row>
    <row r="20759">
      <c r="A20759" s="86" t="str">
        <f>IFERROR(__xludf.DUMMYFUNCTION("""COMPUTED_VALUE"""),"")</f>
        <v/>
      </c>
      <c r="B20759" s="87"/>
      <c r="C20759" s="87"/>
      <c r="D20759" s="87"/>
      <c r="E20759" s="87"/>
      <c r="F20759" s="87"/>
      <c r="G20759" s="87"/>
    </row>
    <row r="20760">
      <c r="A20760" s="86" t="str">
        <f>IFERROR(__xludf.DUMMYFUNCTION("""COMPUTED_VALUE"""),"")</f>
        <v/>
      </c>
      <c r="B20760" s="87"/>
      <c r="C20760" s="87"/>
      <c r="D20760" s="87"/>
      <c r="E20760" s="87"/>
      <c r="F20760" s="87"/>
      <c r="G20760" s="87"/>
    </row>
    <row r="20761">
      <c r="A20761" s="86" t="str">
        <f>IFERROR(__xludf.DUMMYFUNCTION("""COMPUTED_VALUE"""),"")</f>
        <v/>
      </c>
      <c r="B20761" s="87"/>
      <c r="C20761" s="87"/>
      <c r="D20761" s="87"/>
      <c r="E20761" s="87"/>
      <c r="F20761" s="87"/>
      <c r="G20761" s="87"/>
    </row>
    <row r="20762">
      <c r="A20762" s="86" t="str">
        <f>IFERROR(__xludf.DUMMYFUNCTION("""COMPUTED_VALUE"""),"")</f>
        <v/>
      </c>
      <c r="B20762" s="87"/>
      <c r="C20762" s="87"/>
      <c r="D20762" s="87"/>
      <c r="E20762" s="87"/>
      <c r="F20762" s="87"/>
      <c r="G20762" s="87"/>
    </row>
    <row r="20763">
      <c r="A20763" s="86" t="str">
        <f>IFERROR(__xludf.DUMMYFUNCTION("""COMPUTED_VALUE"""),"")</f>
        <v/>
      </c>
      <c r="B20763" s="87"/>
      <c r="C20763" s="87"/>
      <c r="D20763" s="87"/>
      <c r="E20763" s="87"/>
      <c r="F20763" s="87"/>
      <c r="G20763" s="87"/>
    </row>
    <row r="20764">
      <c r="A20764" s="86" t="str">
        <f>IFERROR(__xludf.DUMMYFUNCTION("""COMPUTED_VALUE"""),"")</f>
        <v/>
      </c>
      <c r="B20764" s="87"/>
      <c r="C20764" s="87"/>
      <c r="D20764" s="87"/>
      <c r="E20764" s="87"/>
      <c r="F20764" s="87"/>
      <c r="G20764" s="87"/>
    </row>
    <row r="20765">
      <c r="A20765" s="86" t="str">
        <f>IFERROR(__xludf.DUMMYFUNCTION("""COMPUTED_VALUE"""),"")</f>
        <v/>
      </c>
      <c r="B20765" s="87"/>
      <c r="C20765" s="87"/>
      <c r="D20765" s="87"/>
      <c r="E20765" s="87"/>
      <c r="F20765" s="87"/>
      <c r="G20765" s="87"/>
    </row>
    <row r="20766">
      <c r="A20766" s="86" t="str">
        <f>IFERROR(__xludf.DUMMYFUNCTION("""COMPUTED_VALUE"""),"")</f>
        <v/>
      </c>
      <c r="B20766" s="87"/>
      <c r="C20766" s="87"/>
      <c r="D20766" s="87"/>
      <c r="E20766" s="87"/>
      <c r="F20766" s="87"/>
      <c r="G20766" s="87"/>
    </row>
    <row r="20767">
      <c r="A20767" s="86" t="str">
        <f>IFERROR(__xludf.DUMMYFUNCTION("""COMPUTED_VALUE"""),"")</f>
        <v/>
      </c>
      <c r="B20767" s="87"/>
      <c r="C20767" s="87"/>
      <c r="D20767" s="87"/>
      <c r="E20767" s="87"/>
      <c r="F20767" s="87"/>
      <c r="G20767" s="87"/>
    </row>
    <row r="20768">
      <c r="A20768" s="86" t="str">
        <f>IFERROR(__xludf.DUMMYFUNCTION("""COMPUTED_VALUE"""),"")</f>
        <v/>
      </c>
      <c r="B20768" s="87"/>
      <c r="C20768" s="87"/>
      <c r="D20768" s="87"/>
      <c r="E20768" s="87"/>
      <c r="F20768" s="87"/>
      <c r="G20768" s="87"/>
    </row>
    <row r="20769">
      <c r="A20769" s="86" t="str">
        <f>IFERROR(__xludf.DUMMYFUNCTION("""COMPUTED_VALUE"""),"")</f>
        <v/>
      </c>
      <c r="B20769" s="87"/>
      <c r="C20769" s="87"/>
      <c r="D20769" s="87"/>
      <c r="E20769" s="87"/>
      <c r="F20769" s="87"/>
      <c r="G20769" s="87"/>
    </row>
    <row r="20770">
      <c r="A20770" s="86" t="str">
        <f>IFERROR(__xludf.DUMMYFUNCTION("""COMPUTED_VALUE"""),"")</f>
        <v/>
      </c>
      <c r="B20770" s="87"/>
      <c r="C20770" s="87"/>
      <c r="D20770" s="87"/>
      <c r="E20770" s="87"/>
      <c r="F20770" s="87"/>
      <c r="G20770" s="87"/>
    </row>
    <row r="20771">
      <c r="A20771" s="86" t="str">
        <f>IFERROR(__xludf.DUMMYFUNCTION("""COMPUTED_VALUE"""),"")</f>
        <v/>
      </c>
      <c r="B20771" s="87"/>
      <c r="C20771" s="87"/>
      <c r="D20771" s="87"/>
      <c r="E20771" s="87"/>
      <c r="F20771" s="87"/>
      <c r="G20771" s="87"/>
    </row>
    <row r="20772">
      <c r="A20772" s="86" t="str">
        <f>IFERROR(__xludf.DUMMYFUNCTION("""COMPUTED_VALUE"""),"")</f>
        <v/>
      </c>
      <c r="B20772" s="87"/>
      <c r="C20772" s="87"/>
      <c r="D20772" s="87"/>
      <c r="E20772" s="87"/>
      <c r="F20772" s="87"/>
      <c r="G20772" s="87"/>
    </row>
    <row r="20773">
      <c r="A20773" s="86" t="str">
        <f>IFERROR(__xludf.DUMMYFUNCTION("""COMPUTED_VALUE"""),"")</f>
        <v/>
      </c>
      <c r="B20773" s="87"/>
      <c r="C20773" s="87"/>
      <c r="D20773" s="87"/>
      <c r="E20773" s="87"/>
      <c r="F20773" s="87"/>
      <c r="G20773" s="87"/>
    </row>
    <row r="20774">
      <c r="A20774" s="86" t="str">
        <f>IFERROR(__xludf.DUMMYFUNCTION("""COMPUTED_VALUE"""),"")</f>
        <v/>
      </c>
      <c r="B20774" s="87"/>
      <c r="C20774" s="87"/>
      <c r="D20774" s="87"/>
      <c r="E20774" s="87"/>
      <c r="F20774" s="87"/>
      <c r="G20774" s="87"/>
    </row>
    <row r="20775">
      <c r="A20775" s="86" t="str">
        <f>IFERROR(__xludf.DUMMYFUNCTION("""COMPUTED_VALUE"""),"")</f>
        <v/>
      </c>
      <c r="B20775" s="87"/>
      <c r="C20775" s="87"/>
      <c r="D20775" s="87"/>
      <c r="E20775" s="87"/>
      <c r="F20775" s="87"/>
      <c r="G20775" s="87"/>
    </row>
    <row r="20776">
      <c r="A20776" s="86" t="str">
        <f>IFERROR(__xludf.DUMMYFUNCTION("""COMPUTED_VALUE"""),"")</f>
        <v/>
      </c>
      <c r="B20776" s="87"/>
      <c r="C20776" s="87"/>
      <c r="D20776" s="87"/>
      <c r="E20776" s="87"/>
      <c r="F20776" s="87"/>
      <c r="G20776" s="87"/>
    </row>
    <row r="20777">
      <c r="A20777" s="86" t="str">
        <f>IFERROR(__xludf.DUMMYFUNCTION("""COMPUTED_VALUE"""),"")</f>
        <v/>
      </c>
      <c r="B20777" s="87"/>
      <c r="C20777" s="87"/>
      <c r="D20777" s="87"/>
      <c r="E20777" s="87"/>
      <c r="F20777" s="87"/>
      <c r="G20777" s="87"/>
    </row>
    <row r="20778">
      <c r="A20778" s="86" t="str">
        <f>IFERROR(__xludf.DUMMYFUNCTION("""COMPUTED_VALUE"""),"")</f>
        <v/>
      </c>
      <c r="B20778" s="87"/>
      <c r="C20778" s="87"/>
      <c r="D20778" s="87"/>
      <c r="E20778" s="87"/>
      <c r="F20778" s="87"/>
      <c r="G20778" s="87"/>
    </row>
    <row r="20779">
      <c r="A20779" s="86" t="str">
        <f>IFERROR(__xludf.DUMMYFUNCTION("""COMPUTED_VALUE"""),"")</f>
        <v/>
      </c>
      <c r="B20779" s="87"/>
      <c r="C20779" s="87"/>
      <c r="D20779" s="87"/>
      <c r="E20779" s="87"/>
      <c r="F20779" s="87"/>
      <c r="G20779" s="87"/>
    </row>
    <row r="20780">
      <c r="A20780" s="86" t="str">
        <f>IFERROR(__xludf.DUMMYFUNCTION("""COMPUTED_VALUE"""),"")</f>
        <v/>
      </c>
      <c r="B20780" s="87"/>
      <c r="C20780" s="87"/>
      <c r="D20780" s="87"/>
      <c r="E20780" s="87"/>
      <c r="F20780" s="87"/>
      <c r="G20780" s="87"/>
    </row>
    <row r="20781">
      <c r="A20781" s="86" t="str">
        <f>IFERROR(__xludf.DUMMYFUNCTION("""COMPUTED_VALUE"""),"")</f>
        <v/>
      </c>
      <c r="B20781" s="87"/>
      <c r="C20781" s="87"/>
      <c r="D20781" s="87"/>
      <c r="E20781" s="87"/>
      <c r="F20781" s="87"/>
      <c r="G20781" s="87"/>
    </row>
    <row r="20782">
      <c r="A20782" s="86" t="str">
        <f>IFERROR(__xludf.DUMMYFUNCTION("""COMPUTED_VALUE"""),"")</f>
        <v/>
      </c>
      <c r="B20782" s="87"/>
      <c r="C20782" s="87"/>
      <c r="D20782" s="87"/>
      <c r="E20782" s="87"/>
      <c r="F20782" s="87"/>
      <c r="G20782" s="87"/>
    </row>
    <row r="20783">
      <c r="A20783" s="86" t="str">
        <f>IFERROR(__xludf.DUMMYFUNCTION("""COMPUTED_VALUE"""),"")</f>
        <v/>
      </c>
      <c r="B20783" s="87"/>
      <c r="C20783" s="87"/>
      <c r="D20783" s="87"/>
      <c r="E20783" s="87"/>
      <c r="F20783" s="87"/>
      <c r="G20783" s="87"/>
    </row>
    <row r="20784">
      <c r="A20784" s="86" t="str">
        <f>IFERROR(__xludf.DUMMYFUNCTION("""COMPUTED_VALUE"""),"")</f>
        <v/>
      </c>
      <c r="B20784" s="87"/>
      <c r="C20784" s="87"/>
      <c r="D20784" s="87"/>
      <c r="E20784" s="87"/>
      <c r="F20784" s="87"/>
      <c r="G20784" s="87"/>
    </row>
    <row r="20785">
      <c r="A20785" s="86" t="str">
        <f>IFERROR(__xludf.DUMMYFUNCTION("""COMPUTED_VALUE"""),"")</f>
        <v/>
      </c>
      <c r="B20785" s="87"/>
      <c r="C20785" s="87"/>
      <c r="D20785" s="87"/>
      <c r="E20785" s="87"/>
      <c r="F20785" s="87"/>
      <c r="G20785" s="87"/>
    </row>
    <row r="20786">
      <c r="A20786" s="86" t="str">
        <f>IFERROR(__xludf.DUMMYFUNCTION("""COMPUTED_VALUE"""),"")</f>
        <v/>
      </c>
      <c r="B20786" s="87"/>
      <c r="C20786" s="87"/>
      <c r="D20786" s="87"/>
      <c r="E20786" s="87"/>
      <c r="F20786" s="87"/>
      <c r="G20786" s="87"/>
    </row>
    <row r="20787">
      <c r="A20787" s="86" t="str">
        <f>IFERROR(__xludf.DUMMYFUNCTION("""COMPUTED_VALUE"""),"")</f>
        <v/>
      </c>
      <c r="B20787" s="87"/>
      <c r="C20787" s="87"/>
      <c r="D20787" s="87"/>
      <c r="E20787" s="87"/>
      <c r="F20787" s="87"/>
      <c r="G20787" s="87"/>
    </row>
    <row r="20788">
      <c r="A20788" s="86" t="str">
        <f>IFERROR(__xludf.DUMMYFUNCTION("""COMPUTED_VALUE"""),"")</f>
        <v/>
      </c>
      <c r="B20788" s="87"/>
      <c r="C20788" s="87"/>
      <c r="D20788" s="87"/>
      <c r="E20788" s="87"/>
      <c r="F20788" s="87"/>
      <c r="G20788" s="87"/>
    </row>
    <row r="20789">
      <c r="A20789" s="86" t="str">
        <f>IFERROR(__xludf.DUMMYFUNCTION("""COMPUTED_VALUE"""),"")</f>
        <v/>
      </c>
      <c r="B20789" s="87"/>
      <c r="C20789" s="87"/>
      <c r="D20789" s="87"/>
      <c r="E20789" s="87"/>
      <c r="F20789" s="87"/>
      <c r="G20789" s="87"/>
    </row>
    <row r="20790">
      <c r="A20790" s="86" t="str">
        <f>IFERROR(__xludf.DUMMYFUNCTION("""COMPUTED_VALUE"""),"")</f>
        <v/>
      </c>
      <c r="B20790" s="87"/>
      <c r="C20790" s="87"/>
      <c r="D20790" s="87"/>
      <c r="E20790" s="87"/>
      <c r="F20790" s="87"/>
      <c r="G20790" s="87"/>
    </row>
    <row r="20791">
      <c r="A20791" s="86" t="str">
        <f>IFERROR(__xludf.DUMMYFUNCTION("""COMPUTED_VALUE"""),"")</f>
        <v/>
      </c>
      <c r="B20791" s="87"/>
      <c r="C20791" s="87"/>
      <c r="D20791" s="87"/>
      <c r="E20791" s="87"/>
      <c r="F20791" s="87"/>
      <c r="G20791" s="87"/>
    </row>
    <row r="20792">
      <c r="A20792" s="86" t="str">
        <f>IFERROR(__xludf.DUMMYFUNCTION("""COMPUTED_VALUE"""),"")</f>
        <v/>
      </c>
      <c r="B20792" s="87"/>
      <c r="C20792" s="87"/>
      <c r="D20792" s="87"/>
      <c r="E20792" s="87"/>
      <c r="F20792" s="87"/>
      <c r="G20792" s="87"/>
    </row>
    <row r="20793">
      <c r="A20793" s="86" t="str">
        <f>IFERROR(__xludf.DUMMYFUNCTION("""COMPUTED_VALUE"""),"")</f>
        <v/>
      </c>
      <c r="B20793" s="87"/>
      <c r="C20793" s="87"/>
      <c r="D20793" s="87"/>
      <c r="E20793" s="87"/>
      <c r="F20793" s="87"/>
      <c r="G20793" s="87"/>
    </row>
    <row r="20794">
      <c r="A20794" s="86" t="str">
        <f>IFERROR(__xludf.DUMMYFUNCTION("""COMPUTED_VALUE"""),"")</f>
        <v/>
      </c>
      <c r="B20794" s="87"/>
      <c r="C20794" s="87"/>
      <c r="D20794" s="87"/>
      <c r="E20794" s="87"/>
      <c r="F20794" s="87"/>
      <c r="G20794" s="87"/>
    </row>
    <row r="20795">
      <c r="A20795" s="86" t="str">
        <f>IFERROR(__xludf.DUMMYFUNCTION("""COMPUTED_VALUE"""),"")</f>
        <v/>
      </c>
      <c r="B20795" s="87"/>
      <c r="C20795" s="87"/>
      <c r="D20795" s="87"/>
      <c r="E20795" s="87"/>
      <c r="F20795" s="87"/>
      <c r="G20795" s="87"/>
    </row>
    <row r="20796">
      <c r="A20796" s="86" t="str">
        <f>IFERROR(__xludf.DUMMYFUNCTION("""COMPUTED_VALUE"""),"")</f>
        <v/>
      </c>
      <c r="B20796" s="87"/>
      <c r="C20796" s="87"/>
      <c r="D20796" s="87"/>
      <c r="E20796" s="87"/>
      <c r="F20796" s="87"/>
      <c r="G20796" s="87"/>
    </row>
    <row r="20797">
      <c r="A20797" s="86" t="str">
        <f>IFERROR(__xludf.DUMMYFUNCTION("""COMPUTED_VALUE"""),"")</f>
        <v/>
      </c>
      <c r="B20797" s="87"/>
      <c r="C20797" s="87"/>
      <c r="D20797" s="87"/>
      <c r="E20797" s="87"/>
      <c r="F20797" s="87"/>
      <c r="G20797" s="87"/>
    </row>
    <row r="20798">
      <c r="A20798" s="86" t="str">
        <f>IFERROR(__xludf.DUMMYFUNCTION("""COMPUTED_VALUE"""),"")</f>
        <v/>
      </c>
      <c r="B20798" s="87"/>
      <c r="C20798" s="87"/>
      <c r="D20798" s="87"/>
      <c r="E20798" s="87"/>
      <c r="F20798" s="87"/>
      <c r="G20798" s="87"/>
    </row>
    <row r="20799">
      <c r="A20799" s="86" t="str">
        <f>IFERROR(__xludf.DUMMYFUNCTION("""COMPUTED_VALUE"""),"")</f>
        <v/>
      </c>
      <c r="B20799" s="87"/>
      <c r="C20799" s="87"/>
      <c r="D20799" s="87"/>
      <c r="E20799" s="87"/>
      <c r="F20799" s="87"/>
      <c r="G20799" s="87"/>
    </row>
    <row r="20800">
      <c r="A20800" s="86" t="str">
        <f>IFERROR(__xludf.DUMMYFUNCTION("""COMPUTED_VALUE"""),"")</f>
        <v/>
      </c>
      <c r="B20800" s="87"/>
      <c r="C20800" s="87"/>
      <c r="D20800" s="87"/>
      <c r="E20800" s="87"/>
      <c r="F20800" s="87"/>
      <c r="G20800" s="87"/>
    </row>
    <row r="20801">
      <c r="A20801" s="86" t="str">
        <f>IFERROR(__xludf.DUMMYFUNCTION("""COMPUTED_VALUE"""),"")</f>
        <v/>
      </c>
      <c r="B20801" s="87"/>
      <c r="C20801" s="87"/>
      <c r="D20801" s="87"/>
      <c r="E20801" s="87"/>
      <c r="F20801" s="87"/>
      <c r="G20801" s="87"/>
    </row>
    <row r="20802">
      <c r="A20802" s="86" t="str">
        <f>IFERROR(__xludf.DUMMYFUNCTION("""COMPUTED_VALUE"""),"")</f>
        <v/>
      </c>
      <c r="B20802" s="87"/>
      <c r="C20802" s="87"/>
      <c r="D20802" s="87"/>
      <c r="E20802" s="87"/>
      <c r="F20802" s="87"/>
      <c r="G20802" s="87"/>
    </row>
    <row r="20803">
      <c r="A20803" s="86" t="str">
        <f>IFERROR(__xludf.DUMMYFUNCTION("""COMPUTED_VALUE"""),"")</f>
        <v/>
      </c>
      <c r="B20803" s="87"/>
      <c r="C20803" s="87"/>
      <c r="D20803" s="87"/>
      <c r="E20803" s="87"/>
      <c r="F20803" s="87"/>
      <c r="G20803" s="87"/>
    </row>
    <row r="20804">
      <c r="A20804" s="86" t="str">
        <f>IFERROR(__xludf.DUMMYFUNCTION("""COMPUTED_VALUE"""),"")</f>
        <v/>
      </c>
      <c r="B20804" s="87"/>
      <c r="C20804" s="87"/>
      <c r="D20804" s="87"/>
      <c r="E20804" s="87"/>
      <c r="F20804" s="87"/>
      <c r="G20804" s="87"/>
    </row>
    <row r="20805">
      <c r="A20805" s="86" t="str">
        <f>IFERROR(__xludf.DUMMYFUNCTION("""COMPUTED_VALUE"""),"")</f>
        <v/>
      </c>
      <c r="B20805" s="87"/>
      <c r="C20805" s="87"/>
      <c r="D20805" s="87"/>
      <c r="E20805" s="87"/>
      <c r="F20805" s="87"/>
      <c r="G20805" s="87"/>
    </row>
    <row r="20806">
      <c r="A20806" s="86" t="str">
        <f>IFERROR(__xludf.DUMMYFUNCTION("""COMPUTED_VALUE"""),"")</f>
        <v/>
      </c>
      <c r="B20806" s="87"/>
      <c r="C20806" s="87"/>
      <c r="D20806" s="87"/>
      <c r="E20806" s="87"/>
      <c r="F20806" s="87"/>
      <c r="G20806" s="87"/>
    </row>
    <row r="20807">
      <c r="A20807" s="86" t="str">
        <f>IFERROR(__xludf.DUMMYFUNCTION("""COMPUTED_VALUE"""),"")</f>
        <v/>
      </c>
      <c r="B20807" s="87"/>
      <c r="C20807" s="87"/>
      <c r="D20807" s="87"/>
      <c r="E20807" s="87"/>
      <c r="F20807" s="87"/>
      <c r="G20807" s="87"/>
    </row>
    <row r="20808">
      <c r="A20808" s="86" t="str">
        <f>IFERROR(__xludf.DUMMYFUNCTION("""COMPUTED_VALUE"""),"")</f>
        <v/>
      </c>
      <c r="B20808" s="87"/>
      <c r="C20808" s="87"/>
      <c r="D20808" s="87"/>
      <c r="E20808" s="87"/>
      <c r="F20808" s="87"/>
      <c r="G20808" s="87"/>
    </row>
    <row r="20809">
      <c r="A20809" s="86" t="str">
        <f>IFERROR(__xludf.DUMMYFUNCTION("""COMPUTED_VALUE"""),"")</f>
        <v/>
      </c>
      <c r="B20809" s="87"/>
      <c r="C20809" s="87"/>
      <c r="D20809" s="87"/>
      <c r="E20809" s="87"/>
      <c r="F20809" s="87"/>
      <c r="G20809" s="87"/>
    </row>
    <row r="20810">
      <c r="A20810" s="86" t="str">
        <f>IFERROR(__xludf.DUMMYFUNCTION("""COMPUTED_VALUE"""),"")</f>
        <v/>
      </c>
      <c r="B20810" s="87"/>
      <c r="C20810" s="87"/>
      <c r="D20810" s="87"/>
      <c r="E20810" s="87"/>
      <c r="F20810" s="87"/>
      <c r="G20810" s="87"/>
    </row>
    <row r="20811">
      <c r="A20811" s="86" t="str">
        <f>IFERROR(__xludf.DUMMYFUNCTION("""COMPUTED_VALUE"""),"")</f>
        <v/>
      </c>
      <c r="B20811" s="87"/>
      <c r="C20811" s="87"/>
      <c r="D20811" s="87"/>
      <c r="E20811" s="87"/>
      <c r="F20811" s="87"/>
      <c r="G20811" s="87"/>
    </row>
    <row r="20812">
      <c r="A20812" s="86" t="str">
        <f>IFERROR(__xludf.DUMMYFUNCTION("""COMPUTED_VALUE"""),"")</f>
        <v/>
      </c>
      <c r="B20812" s="87"/>
      <c r="C20812" s="87"/>
      <c r="D20812" s="87"/>
      <c r="E20812" s="87"/>
      <c r="F20812" s="87"/>
      <c r="G20812" s="87"/>
    </row>
    <row r="20813">
      <c r="A20813" s="86" t="str">
        <f>IFERROR(__xludf.DUMMYFUNCTION("""COMPUTED_VALUE"""),"")</f>
        <v/>
      </c>
      <c r="B20813" s="87"/>
      <c r="C20813" s="87"/>
      <c r="D20813" s="87"/>
      <c r="E20813" s="87"/>
      <c r="F20813" s="87"/>
      <c r="G20813" s="87"/>
    </row>
    <row r="20814">
      <c r="A20814" s="86" t="str">
        <f>IFERROR(__xludf.DUMMYFUNCTION("""COMPUTED_VALUE"""),"")</f>
        <v/>
      </c>
      <c r="B20814" s="87"/>
      <c r="C20814" s="87"/>
      <c r="D20814" s="87"/>
      <c r="E20814" s="87"/>
      <c r="F20814" s="87"/>
      <c r="G20814" s="87"/>
    </row>
    <row r="20815">
      <c r="A20815" s="86" t="str">
        <f>IFERROR(__xludf.DUMMYFUNCTION("""COMPUTED_VALUE"""),"")</f>
        <v/>
      </c>
      <c r="B20815" s="87"/>
      <c r="C20815" s="87"/>
      <c r="D20815" s="87"/>
      <c r="E20815" s="87"/>
      <c r="F20815" s="87"/>
      <c r="G20815" s="87"/>
    </row>
    <row r="20816">
      <c r="A20816" s="86" t="str">
        <f>IFERROR(__xludf.DUMMYFUNCTION("""COMPUTED_VALUE"""),"")</f>
        <v/>
      </c>
      <c r="B20816" s="87"/>
      <c r="C20816" s="87"/>
      <c r="D20816" s="87"/>
      <c r="E20816" s="87"/>
      <c r="F20816" s="87"/>
      <c r="G20816" s="87"/>
    </row>
    <row r="20817">
      <c r="A20817" s="86" t="str">
        <f>IFERROR(__xludf.DUMMYFUNCTION("""COMPUTED_VALUE"""),"")</f>
        <v/>
      </c>
      <c r="B20817" s="87"/>
      <c r="C20817" s="87"/>
      <c r="D20817" s="87"/>
      <c r="E20817" s="87"/>
      <c r="F20817" s="87"/>
      <c r="G20817" s="87"/>
    </row>
    <row r="20818">
      <c r="A20818" s="86" t="str">
        <f>IFERROR(__xludf.DUMMYFUNCTION("""COMPUTED_VALUE"""),"")</f>
        <v/>
      </c>
      <c r="B20818" s="87"/>
      <c r="C20818" s="87"/>
      <c r="D20818" s="87"/>
      <c r="E20818" s="87"/>
      <c r="F20818" s="87"/>
      <c r="G20818" s="87"/>
    </row>
    <row r="20819">
      <c r="A20819" s="86" t="str">
        <f>IFERROR(__xludf.DUMMYFUNCTION("""COMPUTED_VALUE"""),"")</f>
        <v/>
      </c>
      <c r="B20819" s="87"/>
      <c r="C20819" s="87"/>
      <c r="D20819" s="87"/>
      <c r="E20819" s="87"/>
      <c r="F20819" s="87"/>
      <c r="G20819" s="87"/>
    </row>
    <row r="20820">
      <c r="A20820" s="86" t="str">
        <f>IFERROR(__xludf.DUMMYFUNCTION("""COMPUTED_VALUE"""),"")</f>
        <v/>
      </c>
      <c r="B20820" s="87"/>
      <c r="C20820" s="87"/>
      <c r="D20820" s="87"/>
      <c r="E20820" s="87"/>
      <c r="F20820" s="87"/>
      <c r="G20820" s="87"/>
    </row>
    <row r="20821">
      <c r="A20821" s="86" t="str">
        <f>IFERROR(__xludf.DUMMYFUNCTION("""COMPUTED_VALUE"""),"")</f>
        <v/>
      </c>
      <c r="B20821" s="87"/>
      <c r="C20821" s="87"/>
      <c r="D20821" s="87"/>
      <c r="E20821" s="87"/>
      <c r="F20821" s="87"/>
      <c r="G20821" s="87"/>
    </row>
    <row r="20822">
      <c r="A20822" s="86" t="str">
        <f>IFERROR(__xludf.DUMMYFUNCTION("""COMPUTED_VALUE"""),"")</f>
        <v/>
      </c>
      <c r="B20822" s="87"/>
      <c r="C20822" s="87"/>
      <c r="D20822" s="87"/>
      <c r="E20822" s="87"/>
      <c r="F20822" s="87"/>
      <c r="G20822" s="87"/>
    </row>
    <row r="20823">
      <c r="A20823" s="86" t="str">
        <f>IFERROR(__xludf.DUMMYFUNCTION("""COMPUTED_VALUE"""),"")</f>
        <v/>
      </c>
      <c r="B20823" s="87"/>
      <c r="C20823" s="87"/>
      <c r="D20823" s="87"/>
      <c r="E20823" s="87"/>
      <c r="F20823" s="87"/>
      <c r="G20823" s="87"/>
    </row>
    <row r="20824">
      <c r="A20824" s="86" t="str">
        <f>IFERROR(__xludf.DUMMYFUNCTION("""COMPUTED_VALUE"""),"")</f>
        <v/>
      </c>
      <c r="B20824" s="87"/>
      <c r="C20824" s="87"/>
      <c r="D20824" s="87"/>
      <c r="E20824" s="87"/>
      <c r="F20824" s="87"/>
      <c r="G20824" s="87"/>
    </row>
    <row r="20825">
      <c r="A20825" s="86" t="str">
        <f>IFERROR(__xludf.DUMMYFUNCTION("""COMPUTED_VALUE"""),"")</f>
        <v/>
      </c>
      <c r="B20825" s="87"/>
      <c r="C20825" s="87"/>
      <c r="D20825" s="87"/>
      <c r="E20825" s="87"/>
      <c r="F20825" s="87"/>
      <c r="G20825" s="87"/>
    </row>
    <row r="20826">
      <c r="A20826" s="86" t="str">
        <f>IFERROR(__xludf.DUMMYFUNCTION("""COMPUTED_VALUE"""),"")</f>
        <v/>
      </c>
      <c r="B20826" s="87"/>
      <c r="C20826" s="87"/>
      <c r="D20826" s="87"/>
      <c r="E20826" s="87"/>
      <c r="F20826" s="87"/>
      <c r="G20826" s="87"/>
    </row>
    <row r="20827">
      <c r="A20827" s="86" t="str">
        <f>IFERROR(__xludf.DUMMYFUNCTION("""COMPUTED_VALUE"""),"")</f>
        <v/>
      </c>
      <c r="B20827" s="87"/>
      <c r="C20827" s="87"/>
      <c r="D20827" s="87"/>
      <c r="E20827" s="87"/>
      <c r="F20827" s="87"/>
      <c r="G20827" s="87"/>
    </row>
    <row r="20828">
      <c r="A20828" s="86" t="str">
        <f>IFERROR(__xludf.DUMMYFUNCTION("""COMPUTED_VALUE"""),"")</f>
        <v/>
      </c>
      <c r="B20828" s="87"/>
      <c r="C20828" s="87"/>
      <c r="D20828" s="87"/>
      <c r="E20828" s="87"/>
      <c r="F20828" s="87"/>
      <c r="G20828" s="87"/>
    </row>
    <row r="20829">
      <c r="A20829" s="86" t="str">
        <f>IFERROR(__xludf.DUMMYFUNCTION("""COMPUTED_VALUE"""),"")</f>
        <v/>
      </c>
      <c r="B20829" s="87"/>
      <c r="C20829" s="87"/>
      <c r="D20829" s="87"/>
      <c r="E20829" s="87"/>
      <c r="F20829" s="87"/>
      <c r="G20829" s="87"/>
    </row>
    <row r="20830">
      <c r="A20830" s="86" t="str">
        <f>IFERROR(__xludf.DUMMYFUNCTION("""COMPUTED_VALUE"""),"")</f>
        <v/>
      </c>
      <c r="B20830" s="87"/>
      <c r="C20830" s="87"/>
      <c r="D20830" s="87"/>
      <c r="E20830" s="87"/>
      <c r="F20830" s="87"/>
      <c r="G20830" s="87"/>
    </row>
    <row r="20831">
      <c r="A20831" s="86" t="str">
        <f>IFERROR(__xludf.DUMMYFUNCTION("""COMPUTED_VALUE"""),"")</f>
        <v/>
      </c>
      <c r="B20831" s="87"/>
      <c r="C20831" s="87"/>
      <c r="D20831" s="87"/>
      <c r="E20831" s="87"/>
      <c r="F20831" s="87"/>
      <c r="G20831" s="87"/>
    </row>
    <row r="20832">
      <c r="A20832" s="86" t="str">
        <f>IFERROR(__xludf.DUMMYFUNCTION("""COMPUTED_VALUE"""),"")</f>
        <v/>
      </c>
      <c r="B20832" s="87"/>
      <c r="C20832" s="87"/>
      <c r="D20832" s="87"/>
      <c r="E20832" s="87"/>
      <c r="F20832" s="87"/>
      <c r="G20832" s="87"/>
    </row>
    <row r="20833">
      <c r="A20833" s="86" t="str">
        <f>IFERROR(__xludf.DUMMYFUNCTION("""COMPUTED_VALUE"""),"")</f>
        <v/>
      </c>
      <c r="B20833" s="87"/>
      <c r="C20833" s="87"/>
      <c r="D20833" s="87"/>
      <c r="E20833" s="87"/>
      <c r="F20833" s="87"/>
      <c r="G20833" s="87"/>
    </row>
    <row r="20834">
      <c r="A20834" s="86" t="str">
        <f>IFERROR(__xludf.DUMMYFUNCTION("""COMPUTED_VALUE"""),"")</f>
        <v/>
      </c>
      <c r="B20834" s="87"/>
      <c r="C20834" s="87"/>
      <c r="D20834" s="87"/>
      <c r="E20834" s="87"/>
      <c r="F20834" s="87"/>
      <c r="G20834" s="87"/>
    </row>
    <row r="20835">
      <c r="A20835" s="86" t="str">
        <f>IFERROR(__xludf.DUMMYFUNCTION("""COMPUTED_VALUE"""),"")</f>
        <v/>
      </c>
      <c r="B20835" s="87"/>
      <c r="C20835" s="87"/>
      <c r="D20835" s="87"/>
      <c r="E20835" s="87"/>
      <c r="F20835" s="87"/>
      <c r="G20835" s="87"/>
    </row>
    <row r="20836">
      <c r="A20836" s="86" t="str">
        <f>IFERROR(__xludf.DUMMYFUNCTION("""COMPUTED_VALUE"""),"")</f>
        <v/>
      </c>
      <c r="B20836" s="87"/>
      <c r="C20836" s="87"/>
      <c r="D20836" s="87"/>
      <c r="E20836" s="87"/>
      <c r="F20836" s="87"/>
      <c r="G20836" s="87"/>
    </row>
    <row r="20837">
      <c r="A20837" s="86" t="str">
        <f>IFERROR(__xludf.DUMMYFUNCTION("""COMPUTED_VALUE"""),"")</f>
        <v/>
      </c>
      <c r="B20837" s="87"/>
      <c r="C20837" s="87"/>
      <c r="D20837" s="87"/>
      <c r="E20837" s="87"/>
      <c r="F20837" s="87"/>
      <c r="G20837" s="87"/>
    </row>
    <row r="20838">
      <c r="A20838" s="86" t="str">
        <f>IFERROR(__xludf.DUMMYFUNCTION("""COMPUTED_VALUE"""),"")</f>
        <v/>
      </c>
      <c r="B20838" s="87"/>
      <c r="C20838" s="87"/>
      <c r="D20838" s="87"/>
      <c r="E20838" s="87"/>
      <c r="F20838" s="87"/>
      <c r="G20838" s="87"/>
    </row>
    <row r="20839">
      <c r="A20839" s="86" t="str">
        <f>IFERROR(__xludf.DUMMYFUNCTION("""COMPUTED_VALUE"""),"")</f>
        <v/>
      </c>
      <c r="B20839" s="87"/>
      <c r="C20839" s="87"/>
      <c r="D20839" s="87"/>
      <c r="E20839" s="87"/>
      <c r="F20839" s="87"/>
      <c r="G20839" s="87"/>
    </row>
    <row r="20840">
      <c r="A20840" s="86" t="str">
        <f>IFERROR(__xludf.DUMMYFUNCTION("""COMPUTED_VALUE"""),"")</f>
        <v/>
      </c>
      <c r="B20840" s="87"/>
      <c r="C20840" s="87"/>
      <c r="D20840" s="87"/>
      <c r="E20840" s="87"/>
      <c r="F20840" s="87"/>
      <c r="G20840" s="87"/>
    </row>
    <row r="20841">
      <c r="A20841" s="86" t="str">
        <f>IFERROR(__xludf.DUMMYFUNCTION("""COMPUTED_VALUE"""),"")</f>
        <v/>
      </c>
      <c r="B20841" s="87"/>
      <c r="C20841" s="87"/>
      <c r="D20841" s="87"/>
      <c r="E20841" s="87"/>
      <c r="F20841" s="87"/>
      <c r="G20841" s="87"/>
    </row>
    <row r="20842">
      <c r="A20842" s="86" t="str">
        <f>IFERROR(__xludf.DUMMYFUNCTION("""COMPUTED_VALUE"""),"")</f>
        <v/>
      </c>
      <c r="B20842" s="87"/>
      <c r="C20842" s="87"/>
      <c r="D20842" s="87"/>
      <c r="E20842" s="87"/>
      <c r="F20842" s="87"/>
      <c r="G20842" s="87"/>
    </row>
    <row r="20843">
      <c r="A20843" s="86" t="str">
        <f>IFERROR(__xludf.DUMMYFUNCTION("""COMPUTED_VALUE"""),"")</f>
        <v/>
      </c>
      <c r="B20843" s="87"/>
      <c r="C20843" s="87"/>
      <c r="D20843" s="87"/>
      <c r="E20843" s="87"/>
      <c r="F20843" s="87"/>
      <c r="G20843" s="87"/>
    </row>
    <row r="20844">
      <c r="A20844" s="86" t="str">
        <f>IFERROR(__xludf.DUMMYFUNCTION("""COMPUTED_VALUE"""),"")</f>
        <v/>
      </c>
      <c r="B20844" s="87"/>
      <c r="C20844" s="87"/>
      <c r="D20844" s="87"/>
      <c r="E20844" s="87"/>
      <c r="F20844" s="87"/>
      <c r="G20844" s="87"/>
    </row>
    <row r="20845">
      <c r="A20845" s="86" t="str">
        <f>IFERROR(__xludf.DUMMYFUNCTION("""COMPUTED_VALUE"""),"")</f>
        <v/>
      </c>
      <c r="B20845" s="87"/>
      <c r="C20845" s="87"/>
      <c r="D20845" s="87"/>
      <c r="E20845" s="87"/>
      <c r="F20845" s="87"/>
      <c r="G20845" s="87"/>
    </row>
    <row r="20846">
      <c r="A20846" s="86" t="str">
        <f>IFERROR(__xludf.DUMMYFUNCTION("""COMPUTED_VALUE"""),"")</f>
        <v/>
      </c>
      <c r="B20846" s="87"/>
      <c r="C20846" s="87"/>
      <c r="D20846" s="87"/>
      <c r="E20846" s="87"/>
      <c r="F20846" s="87"/>
      <c r="G20846" s="87"/>
    </row>
    <row r="20847">
      <c r="A20847" s="86" t="str">
        <f>IFERROR(__xludf.DUMMYFUNCTION("""COMPUTED_VALUE"""),"")</f>
        <v/>
      </c>
      <c r="B20847" s="87"/>
      <c r="C20847" s="87"/>
      <c r="D20847" s="87"/>
      <c r="E20847" s="87"/>
      <c r="F20847" s="87"/>
      <c r="G20847" s="87"/>
    </row>
    <row r="20848">
      <c r="A20848" s="86" t="str">
        <f>IFERROR(__xludf.DUMMYFUNCTION("""COMPUTED_VALUE"""),"")</f>
        <v/>
      </c>
      <c r="B20848" s="87"/>
      <c r="C20848" s="87"/>
      <c r="D20848" s="87"/>
      <c r="E20848" s="87"/>
      <c r="F20848" s="87"/>
      <c r="G20848" s="87"/>
    </row>
    <row r="20849">
      <c r="A20849" s="86" t="str">
        <f>IFERROR(__xludf.DUMMYFUNCTION("""COMPUTED_VALUE"""),"")</f>
        <v/>
      </c>
      <c r="B20849" s="87"/>
      <c r="C20849" s="87"/>
      <c r="D20849" s="87"/>
      <c r="E20849" s="87"/>
      <c r="F20849" s="87"/>
      <c r="G20849" s="87"/>
    </row>
    <row r="20850">
      <c r="A20850" s="86" t="str">
        <f>IFERROR(__xludf.DUMMYFUNCTION("""COMPUTED_VALUE"""),"")</f>
        <v/>
      </c>
      <c r="B20850" s="87"/>
      <c r="C20850" s="87"/>
      <c r="D20850" s="87"/>
      <c r="E20850" s="87"/>
      <c r="F20850" s="87"/>
      <c r="G20850" s="87"/>
    </row>
    <row r="20851">
      <c r="A20851" s="86" t="str">
        <f>IFERROR(__xludf.DUMMYFUNCTION("""COMPUTED_VALUE"""),"")</f>
        <v/>
      </c>
      <c r="B20851" s="87"/>
      <c r="C20851" s="87"/>
      <c r="D20851" s="87"/>
      <c r="E20851" s="87"/>
      <c r="F20851" s="87"/>
      <c r="G20851" s="87"/>
    </row>
    <row r="20852">
      <c r="A20852" s="86" t="str">
        <f>IFERROR(__xludf.DUMMYFUNCTION("""COMPUTED_VALUE"""),"")</f>
        <v/>
      </c>
      <c r="B20852" s="87"/>
      <c r="C20852" s="87"/>
      <c r="D20852" s="87"/>
      <c r="E20852" s="87"/>
      <c r="F20852" s="87"/>
      <c r="G20852" s="87"/>
    </row>
    <row r="20853">
      <c r="A20853" s="86" t="str">
        <f>IFERROR(__xludf.DUMMYFUNCTION("""COMPUTED_VALUE"""),"")</f>
        <v/>
      </c>
      <c r="B20853" s="87"/>
      <c r="C20853" s="87"/>
      <c r="D20853" s="87"/>
      <c r="E20853" s="87"/>
      <c r="F20853" s="87"/>
      <c r="G20853" s="87"/>
    </row>
    <row r="20854">
      <c r="A20854" s="86" t="str">
        <f>IFERROR(__xludf.DUMMYFUNCTION("""COMPUTED_VALUE"""),"")</f>
        <v/>
      </c>
      <c r="B20854" s="87"/>
      <c r="C20854" s="87"/>
      <c r="D20854" s="87"/>
      <c r="E20854" s="87"/>
      <c r="F20854" s="87"/>
      <c r="G20854" s="87"/>
    </row>
    <row r="20855">
      <c r="A20855" s="86" t="str">
        <f>IFERROR(__xludf.DUMMYFUNCTION("""COMPUTED_VALUE"""),"")</f>
        <v/>
      </c>
      <c r="B20855" s="87"/>
      <c r="C20855" s="87"/>
      <c r="D20855" s="87"/>
      <c r="E20855" s="87"/>
      <c r="F20855" s="87"/>
      <c r="G20855" s="87"/>
    </row>
    <row r="20856">
      <c r="A20856" s="86" t="str">
        <f>IFERROR(__xludf.DUMMYFUNCTION("""COMPUTED_VALUE"""),"")</f>
        <v/>
      </c>
      <c r="B20856" s="87"/>
      <c r="C20856" s="87"/>
      <c r="D20856" s="87"/>
      <c r="E20856" s="87"/>
      <c r="F20856" s="87"/>
      <c r="G20856" s="87"/>
    </row>
    <row r="20857">
      <c r="A20857" s="86" t="str">
        <f>IFERROR(__xludf.DUMMYFUNCTION("""COMPUTED_VALUE"""),"")</f>
        <v/>
      </c>
      <c r="B20857" s="87"/>
      <c r="C20857" s="87"/>
      <c r="D20857" s="87"/>
      <c r="E20857" s="87"/>
      <c r="F20857" s="87"/>
      <c r="G20857" s="87"/>
    </row>
    <row r="20858">
      <c r="A20858" s="86" t="str">
        <f>IFERROR(__xludf.DUMMYFUNCTION("""COMPUTED_VALUE"""),"")</f>
        <v/>
      </c>
      <c r="B20858" s="87"/>
      <c r="C20858" s="87"/>
      <c r="D20858" s="87"/>
      <c r="E20858" s="87"/>
      <c r="F20858" s="87"/>
      <c r="G20858" s="87"/>
    </row>
    <row r="20859">
      <c r="A20859" s="86" t="str">
        <f>IFERROR(__xludf.DUMMYFUNCTION("""COMPUTED_VALUE"""),"")</f>
        <v/>
      </c>
      <c r="B20859" s="87"/>
      <c r="C20859" s="87"/>
      <c r="D20859" s="87"/>
      <c r="E20859" s="87"/>
      <c r="F20859" s="87"/>
      <c r="G20859" s="87"/>
    </row>
    <row r="20860">
      <c r="A20860" s="86" t="str">
        <f>IFERROR(__xludf.DUMMYFUNCTION("""COMPUTED_VALUE"""),"")</f>
        <v/>
      </c>
      <c r="B20860" s="87"/>
      <c r="C20860" s="87"/>
      <c r="D20860" s="87"/>
      <c r="E20860" s="87"/>
      <c r="F20860" s="87"/>
      <c r="G20860" s="87"/>
    </row>
    <row r="20861">
      <c r="A20861" s="86" t="str">
        <f>IFERROR(__xludf.DUMMYFUNCTION("""COMPUTED_VALUE"""),"")</f>
        <v/>
      </c>
      <c r="B20861" s="87"/>
      <c r="C20861" s="87"/>
      <c r="D20861" s="87"/>
      <c r="E20861" s="87"/>
      <c r="F20861" s="87"/>
      <c r="G20861" s="87"/>
    </row>
    <row r="20862">
      <c r="A20862" s="86" t="str">
        <f>IFERROR(__xludf.DUMMYFUNCTION("""COMPUTED_VALUE"""),"")</f>
        <v/>
      </c>
      <c r="B20862" s="87"/>
      <c r="C20862" s="87"/>
      <c r="D20862" s="87"/>
      <c r="E20862" s="87"/>
      <c r="F20862" s="87"/>
      <c r="G20862" s="87"/>
    </row>
    <row r="20863">
      <c r="A20863" s="86" t="str">
        <f>IFERROR(__xludf.DUMMYFUNCTION("""COMPUTED_VALUE"""),"")</f>
        <v/>
      </c>
      <c r="B20863" s="87"/>
      <c r="C20863" s="87"/>
      <c r="D20863" s="87"/>
      <c r="E20863" s="87"/>
      <c r="F20863" s="87"/>
      <c r="G20863" s="87"/>
    </row>
    <row r="20864">
      <c r="A20864" s="86" t="str">
        <f>IFERROR(__xludf.DUMMYFUNCTION("""COMPUTED_VALUE"""),"")</f>
        <v/>
      </c>
      <c r="B20864" s="87"/>
      <c r="C20864" s="87"/>
      <c r="D20864" s="87"/>
      <c r="E20864" s="87"/>
      <c r="F20864" s="87"/>
      <c r="G20864" s="87"/>
    </row>
    <row r="20865">
      <c r="A20865" s="86" t="str">
        <f>IFERROR(__xludf.DUMMYFUNCTION("""COMPUTED_VALUE"""),"")</f>
        <v/>
      </c>
      <c r="B20865" s="87"/>
      <c r="C20865" s="87"/>
      <c r="D20865" s="87"/>
      <c r="E20865" s="87"/>
      <c r="F20865" s="87"/>
      <c r="G20865" s="87"/>
    </row>
    <row r="20866">
      <c r="A20866" s="86" t="str">
        <f>IFERROR(__xludf.DUMMYFUNCTION("""COMPUTED_VALUE"""),"")</f>
        <v/>
      </c>
      <c r="B20866" s="87"/>
      <c r="C20866" s="87"/>
      <c r="D20866" s="87"/>
      <c r="E20866" s="87"/>
      <c r="F20866" s="87"/>
      <c r="G20866" s="87"/>
    </row>
    <row r="20867">
      <c r="A20867" s="86" t="str">
        <f>IFERROR(__xludf.DUMMYFUNCTION("""COMPUTED_VALUE"""),"")</f>
        <v/>
      </c>
      <c r="B20867" s="87"/>
      <c r="C20867" s="87"/>
      <c r="D20867" s="87"/>
      <c r="E20867" s="87"/>
      <c r="F20867" s="87"/>
      <c r="G20867" s="87"/>
    </row>
    <row r="20868">
      <c r="A20868" s="86" t="str">
        <f>IFERROR(__xludf.DUMMYFUNCTION("""COMPUTED_VALUE"""),"")</f>
        <v/>
      </c>
      <c r="B20868" s="87"/>
      <c r="C20868" s="87"/>
      <c r="D20868" s="87"/>
      <c r="E20868" s="87"/>
      <c r="F20868" s="87"/>
      <c r="G20868" s="87"/>
    </row>
    <row r="20869">
      <c r="A20869" s="86" t="str">
        <f>IFERROR(__xludf.DUMMYFUNCTION("""COMPUTED_VALUE"""),"")</f>
        <v/>
      </c>
      <c r="B20869" s="87"/>
      <c r="C20869" s="87"/>
      <c r="D20869" s="87"/>
      <c r="E20869" s="87"/>
      <c r="F20869" s="87"/>
      <c r="G20869" s="87"/>
    </row>
    <row r="20870">
      <c r="A20870" s="86" t="str">
        <f>IFERROR(__xludf.DUMMYFUNCTION("""COMPUTED_VALUE"""),"")</f>
        <v/>
      </c>
      <c r="B20870" s="87"/>
      <c r="C20870" s="87"/>
      <c r="D20870" s="87"/>
      <c r="E20870" s="87"/>
      <c r="F20870" s="87"/>
      <c r="G20870" s="87"/>
    </row>
    <row r="20871">
      <c r="A20871" s="86" t="str">
        <f>IFERROR(__xludf.DUMMYFUNCTION("""COMPUTED_VALUE"""),"")</f>
        <v/>
      </c>
      <c r="B20871" s="87"/>
      <c r="C20871" s="87"/>
      <c r="D20871" s="87"/>
      <c r="E20871" s="87"/>
      <c r="F20871" s="87"/>
      <c r="G20871" s="87"/>
    </row>
    <row r="20872">
      <c r="A20872" s="86" t="str">
        <f>IFERROR(__xludf.DUMMYFUNCTION("""COMPUTED_VALUE"""),"")</f>
        <v/>
      </c>
      <c r="B20872" s="87"/>
      <c r="C20872" s="87"/>
      <c r="D20872" s="87"/>
      <c r="E20872" s="87"/>
      <c r="F20872" s="87"/>
      <c r="G20872" s="87"/>
    </row>
    <row r="20873">
      <c r="A20873" s="86" t="str">
        <f>IFERROR(__xludf.DUMMYFUNCTION("""COMPUTED_VALUE"""),"")</f>
        <v/>
      </c>
      <c r="B20873" s="87"/>
      <c r="C20873" s="87"/>
      <c r="D20873" s="87"/>
      <c r="E20873" s="87"/>
      <c r="F20873" s="87"/>
      <c r="G20873" s="87"/>
    </row>
    <row r="20874">
      <c r="A20874" s="86" t="str">
        <f>IFERROR(__xludf.DUMMYFUNCTION("""COMPUTED_VALUE"""),"")</f>
        <v/>
      </c>
      <c r="B20874" s="87"/>
      <c r="C20874" s="87"/>
      <c r="D20874" s="87"/>
      <c r="E20874" s="87"/>
      <c r="F20874" s="87"/>
      <c r="G20874" s="87"/>
    </row>
    <row r="20875">
      <c r="A20875" s="86" t="str">
        <f>IFERROR(__xludf.DUMMYFUNCTION("""COMPUTED_VALUE"""),"")</f>
        <v/>
      </c>
      <c r="B20875" s="87"/>
      <c r="C20875" s="87"/>
      <c r="D20875" s="87"/>
      <c r="E20875" s="87"/>
      <c r="F20875" s="87"/>
      <c r="G20875" s="87"/>
    </row>
    <row r="20876">
      <c r="A20876" s="86" t="str">
        <f>IFERROR(__xludf.DUMMYFUNCTION("""COMPUTED_VALUE"""),"")</f>
        <v/>
      </c>
      <c r="B20876" s="87"/>
      <c r="C20876" s="87"/>
      <c r="D20876" s="87"/>
      <c r="E20876" s="87"/>
      <c r="F20876" s="87"/>
      <c r="G20876" s="87"/>
    </row>
    <row r="20877">
      <c r="A20877" s="86" t="str">
        <f>IFERROR(__xludf.DUMMYFUNCTION("""COMPUTED_VALUE"""),"")</f>
        <v/>
      </c>
      <c r="B20877" s="87"/>
      <c r="C20877" s="87"/>
      <c r="D20877" s="87"/>
      <c r="E20877" s="87"/>
      <c r="F20877" s="87"/>
      <c r="G20877" s="87"/>
    </row>
    <row r="20878">
      <c r="A20878" s="86" t="str">
        <f>IFERROR(__xludf.DUMMYFUNCTION("""COMPUTED_VALUE"""),"")</f>
        <v/>
      </c>
      <c r="B20878" s="87"/>
      <c r="C20878" s="87"/>
      <c r="D20878" s="87"/>
      <c r="E20878" s="87"/>
      <c r="F20878" s="87"/>
      <c r="G20878" s="87"/>
    </row>
    <row r="20879">
      <c r="A20879" s="86" t="str">
        <f>IFERROR(__xludf.DUMMYFUNCTION("""COMPUTED_VALUE"""),"")</f>
        <v/>
      </c>
      <c r="B20879" s="87"/>
      <c r="C20879" s="87"/>
      <c r="D20879" s="87"/>
      <c r="E20879" s="87"/>
      <c r="F20879" s="87"/>
      <c r="G20879" s="87"/>
    </row>
    <row r="20880">
      <c r="A20880" s="86" t="str">
        <f>IFERROR(__xludf.DUMMYFUNCTION("""COMPUTED_VALUE"""),"")</f>
        <v/>
      </c>
      <c r="B20880" s="87"/>
      <c r="C20880" s="87"/>
      <c r="D20880" s="87"/>
      <c r="E20880" s="87"/>
      <c r="F20880" s="87"/>
      <c r="G20880" s="87"/>
    </row>
    <row r="20881">
      <c r="A20881" s="86" t="str">
        <f>IFERROR(__xludf.DUMMYFUNCTION("""COMPUTED_VALUE"""),"")</f>
        <v/>
      </c>
      <c r="B20881" s="87"/>
      <c r="C20881" s="87"/>
      <c r="D20881" s="87"/>
      <c r="E20881" s="87"/>
      <c r="F20881" s="87"/>
      <c r="G20881" s="87"/>
    </row>
    <row r="20882">
      <c r="A20882" s="86" t="str">
        <f>IFERROR(__xludf.DUMMYFUNCTION("""COMPUTED_VALUE"""),"")</f>
        <v/>
      </c>
      <c r="B20882" s="87"/>
      <c r="C20882" s="87"/>
      <c r="D20882" s="87"/>
      <c r="E20882" s="87"/>
      <c r="F20882" s="87"/>
      <c r="G20882" s="87"/>
    </row>
    <row r="20883">
      <c r="A20883" s="86" t="str">
        <f>IFERROR(__xludf.DUMMYFUNCTION("""COMPUTED_VALUE"""),"")</f>
        <v/>
      </c>
      <c r="B20883" s="87"/>
      <c r="C20883" s="87"/>
      <c r="D20883" s="87"/>
      <c r="E20883" s="87"/>
      <c r="F20883" s="87"/>
      <c r="G20883" s="87"/>
    </row>
    <row r="20884">
      <c r="A20884" s="86" t="str">
        <f>IFERROR(__xludf.DUMMYFUNCTION("""COMPUTED_VALUE"""),"")</f>
        <v/>
      </c>
      <c r="B20884" s="87"/>
      <c r="C20884" s="87"/>
      <c r="D20884" s="87"/>
      <c r="E20884" s="87"/>
      <c r="F20884" s="87"/>
      <c r="G20884" s="87"/>
    </row>
    <row r="20885">
      <c r="A20885" s="86" t="str">
        <f>IFERROR(__xludf.DUMMYFUNCTION("""COMPUTED_VALUE"""),"")</f>
        <v/>
      </c>
      <c r="B20885" s="87"/>
      <c r="C20885" s="87"/>
      <c r="D20885" s="87"/>
      <c r="E20885" s="87"/>
      <c r="F20885" s="87"/>
      <c r="G20885" s="87"/>
    </row>
    <row r="20886">
      <c r="A20886" s="86" t="str">
        <f>IFERROR(__xludf.DUMMYFUNCTION("""COMPUTED_VALUE"""),"")</f>
        <v/>
      </c>
      <c r="B20886" s="87"/>
      <c r="C20886" s="87"/>
      <c r="D20886" s="87"/>
      <c r="E20886" s="87"/>
      <c r="F20886" s="87"/>
      <c r="G20886" s="87"/>
    </row>
    <row r="20887">
      <c r="A20887" s="86" t="str">
        <f>IFERROR(__xludf.DUMMYFUNCTION("""COMPUTED_VALUE"""),"")</f>
        <v/>
      </c>
      <c r="B20887" s="87"/>
      <c r="C20887" s="87"/>
      <c r="D20887" s="87"/>
      <c r="E20887" s="87"/>
      <c r="F20887" s="87"/>
      <c r="G20887" s="87"/>
    </row>
    <row r="20888">
      <c r="A20888" s="86" t="str">
        <f>IFERROR(__xludf.DUMMYFUNCTION("""COMPUTED_VALUE"""),"")</f>
        <v/>
      </c>
      <c r="B20888" s="87"/>
      <c r="C20888" s="87"/>
      <c r="D20888" s="87"/>
      <c r="E20888" s="87"/>
      <c r="F20888" s="87"/>
      <c r="G20888" s="87"/>
    </row>
    <row r="20889">
      <c r="A20889" s="86" t="str">
        <f>IFERROR(__xludf.DUMMYFUNCTION("""COMPUTED_VALUE"""),"")</f>
        <v/>
      </c>
      <c r="B20889" s="87"/>
      <c r="C20889" s="87"/>
      <c r="D20889" s="87"/>
      <c r="E20889" s="87"/>
      <c r="F20889" s="87"/>
      <c r="G20889" s="87"/>
    </row>
    <row r="20890">
      <c r="A20890" s="86" t="str">
        <f>IFERROR(__xludf.DUMMYFUNCTION("""COMPUTED_VALUE"""),"")</f>
        <v/>
      </c>
      <c r="B20890" s="87"/>
      <c r="C20890" s="87"/>
      <c r="D20890" s="87"/>
      <c r="E20890" s="87"/>
      <c r="F20890" s="87"/>
      <c r="G20890" s="87"/>
    </row>
    <row r="20891">
      <c r="A20891" s="86" t="str">
        <f>IFERROR(__xludf.DUMMYFUNCTION("""COMPUTED_VALUE"""),"")</f>
        <v/>
      </c>
      <c r="B20891" s="87"/>
      <c r="C20891" s="87"/>
      <c r="D20891" s="87"/>
      <c r="E20891" s="87"/>
      <c r="F20891" s="87"/>
      <c r="G20891" s="87"/>
    </row>
    <row r="20892">
      <c r="A20892" s="86" t="str">
        <f>IFERROR(__xludf.DUMMYFUNCTION("""COMPUTED_VALUE"""),"")</f>
        <v/>
      </c>
      <c r="B20892" s="87"/>
      <c r="C20892" s="87"/>
      <c r="D20892" s="87"/>
      <c r="E20892" s="87"/>
      <c r="F20892" s="87"/>
      <c r="G20892" s="87"/>
    </row>
    <row r="20893">
      <c r="A20893" s="86" t="str">
        <f>IFERROR(__xludf.DUMMYFUNCTION("""COMPUTED_VALUE"""),"")</f>
        <v/>
      </c>
      <c r="B20893" s="87"/>
      <c r="C20893" s="87"/>
      <c r="D20893" s="87"/>
      <c r="E20893" s="87"/>
      <c r="F20893" s="87"/>
      <c r="G20893" s="87"/>
    </row>
    <row r="20894">
      <c r="A20894" s="86" t="str">
        <f>IFERROR(__xludf.DUMMYFUNCTION("""COMPUTED_VALUE"""),"")</f>
        <v/>
      </c>
      <c r="B20894" s="87"/>
      <c r="C20894" s="87"/>
      <c r="D20894" s="87"/>
      <c r="E20894" s="87"/>
      <c r="F20894" s="87"/>
      <c r="G20894" s="87"/>
    </row>
    <row r="20895">
      <c r="A20895" s="86" t="str">
        <f>IFERROR(__xludf.DUMMYFUNCTION("""COMPUTED_VALUE"""),"")</f>
        <v/>
      </c>
      <c r="B20895" s="87"/>
      <c r="C20895" s="87"/>
      <c r="D20895" s="87"/>
      <c r="E20895" s="87"/>
      <c r="F20895" s="87"/>
      <c r="G20895" s="87"/>
    </row>
    <row r="20896">
      <c r="A20896" s="86" t="str">
        <f>IFERROR(__xludf.DUMMYFUNCTION("""COMPUTED_VALUE"""),"")</f>
        <v/>
      </c>
      <c r="B20896" s="87"/>
      <c r="C20896" s="87"/>
      <c r="D20896" s="87"/>
      <c r="E20896" s="87"/>
      <c r="F20896" s="87"/>
      <c r="G20896" s="87"/>
    </row>
    <row r="20897">
      <c r="A20897" s="86" t="str">
        <f>IFERROR(__xludf.DUMMYFUNCTION("""COMPUTED_VALUE"""),"")</f>
        <v/>
      </c>
      <c r="B20897" s="87"/>
      <c r="C20897" s="87"/>
      <c r="D20897" s="87"/>
      <c r="E20897" s="87"/>
      <c r="F20897" s="87"/>
      <c r="G20897" s="87"/>
    </row>
    <row r="20898">
      <c r="A20898" s="86" t="str">
        <f>IFERROR(__xludf.DUMMYFUNCTION("""COMPUTED_VALUE"""),"")</f>
        <v/>
      </c>
      <c r="B20898" s="87"/>
      <c r="C20898" s="87"/>
      <c r="D20898" s="87"/>
      <c r="E20898" s="87"/>
      <c r="F20898" s="87"/>
      <c r="G20898" s="87"/>
    </row>
    <row r="20899">
      <c r="A20899" s="86" t="str">
        <f>IFERROR(__xludf.DUMMYFUNCTION("""COMPUTED_VALUE"""),"")</f>
        <v/>
      </c>
      <c r="B20899" s="87"/>
      <c r="C20899" s="87"/>
      <c r="D20899" s="87"/>
      <c r="E20899" s="87"/>
      <c r="F20899" s="87"/>
      <c r="G20899" s="87"/>
    </row>
    <row r="20900">
      <c r="A20900" s="86" t="str">
        <f>IFERROR(__xludf.DUMMYFUNCTION("""COMPUTED_VALUE"""),"")</f>
        <v/>
      </c>
      <c r="B20900" s="87"/>
      <c r="C20900" s="87"/>
      <c r="D20900" s="87"/>
      <c r="E20900" s="87"/>
      <c r="F20900" s="87"/>
      <c r="G20900" s="87"/>
    </row>
    <row r="20901">
      <c r="A20901" s="86" t="str">
        <f>IFERROR(__xludf.DUMMYFUNCTION("""COMPUTED_VALUE"""),"")</f>
        <v/>
      </c>
      <c r="B20901" s="87"/>
      <c r="C20901" s="87"/>
      <c r="D20901" s="87"/>
      <c r="E20901" s="87"/>
      <c r="F20901" s="87"/>
      <c r="G20901" s="87"/>
    </row>
    <row r="20902">
      <c r="A20902" s="86" t="str">
        <f>IFERROR(__xludf.DUMMYFUNCTION("""COMPUTED_VALUE"""),"")</f>
        <v/>
      </c>
      <c r="B20902" s="87"/>
      <c r="C20902" s="87"/>
      <c r="D20902" s="87"/>
      <c r="E20902" s="87"/>
      <c r="F20902" s="87"/>
      <c r="G20902" s="87"/>
    </row>
    <row r="20903">
      <c r="A20903" s="86" t="str">
        <f>IFERROR(__xludf.DUMMYFUNCTION("""COMPUTED_VALUE"""),"")</f>
        <v/>
      </c>
      <c r="B20903" s="87"/>
      <c r="C20903" s="87"/>
      <c r="D20903" s="87"/>
      <c r="E20903" s="87"/>
      <c r="F20903" s="87"/>
      <c r="G20903" s="87"/>
    </row>
    <row r="20904">
      <c r="A20904" s="86" t="str">
        <f>IFERROR(__xludf.DUMMYFUNCTION("""COMPUTED_VALUE"""),"")</f>
        <v/>
      </c>
      <c r="B20904" s="87"/>
      <c r="C20904" s="87"/>
      <c r="D20904" s="87"/>
      <c r="E20904" s="87"/>
      <c r="F20904" s="87"/>
      <c r="G20904" s="87"/>
    </row>
    <row r="20905">
      <c r="A20905" s="86" t="str">
        <f>IFERROR(__xludf.DUMMYFUNCTION("""COMPUTED_VALUE"""),"")</f>
        <v/>
      </c>
      <c r="B20905" s="87"/>
      <c r="C20905" s="87"/>
      <c r="D20905" s="87"/>
      <c r="E20905" s="87"/>
      <c r="F20905" s="87"/>
      <c r="G20905" s="87"/>
    </row>
    <row r="20906">
      <c r="A20906" s="86" t="str">
        <f>IFERROR(__xludf.DUMMYFUNCTION("""COMPUTED_VALUE"""),"")</f>
        <v/>
      </c>
      <c r="B20906" s="87"/>
      <c r="C20906" s="87"/>
      <c r="D20906" s="87"/>
      <c r="E20906" s="87"/>
      <c r="F20906" s="87"/>
      <c r="G20906" s="87"/>
    </row>
    <row r="20907">
      <c r="A20907" s="86" t="str">
        <f>IFERROR(__xludf.DUMMYFUNCTION("""COMPUTED_VALUE"""),"")</f>
        <v/>
      </c>
      <c r="B20907" s="87"/>
      <c r="C20907" s="87"/>
      <c r="D20907" s="87"/>
      <c r="E20907" s="87"/>
      <c r="F20907" s="87"/>
      <c r="G20907" s="87"/>
    </row>
    <row r="20908">
      <c r="A20908" s="86" t="str">
        <f>IFERROR(__xludf.DUMMYFUNCTION("""COMPUTED_VALUE"""),"")</f>
        <v/>
      </c>
      <c r="B20908" s="87"/>
      <c r="C20908" s="87"/>
      <c r="D20908" s="87"/>
      <c r="E20908" s="87"/>
      <c r="F20908" s="87"/>
      <c r="G20908" s="87"/>
    </row>
    <row r="20909">
      <c r="A20909" s="86" t="str">
        <f>IFERROR(__xludf.DUMMYFUNCTION("""COMPUTED_VALUE"""),"")</f>
        <v/>
      </c>
      <c r="B20909" s="87"/>
      <c r="C20909" s="87"/>
      <c r="D20909" s="87"/>
      <c r="E20909" s="87"/>
      <c r="F20909" s="87"/>
      <c r="G20909" s="87"/>
    </row>
    <row r="20910">
      <c r="A20910" s="86" t="str">
        <f>IFERROR(__xludf.DUMMYFUNCTION("""COMPUTED_VALUE"""),"")</f>
        <v/>
      </c>
      <c r="B20910" s="87"/>
      <c r="C20910" s="87"/>
      <c r="D20910" s="87"/>
      <c r="E20910" s="87"/>
      <c r="F20910" s="87"/>
      <c r="G20910" s="87"/>
    </row>
    <row r="20911">
      <c r="A20911" s="86" t="str">
        <f>IFERROR(__xludf.DUMMYFUNCTION("""COMPUTED_VALUE"""),"")</f>
        <v/>
      </c>
      <c r="B20911" s="87"/>
      <c r="C20911" s="87"/>
      <c r="D20911" s="87"/>
      <c r="E20911" s="87"/>
      <c r="F20911" s="87"/>
      <c r="G20911" s="87"/>
    </row>
    <row r="20912">
      <c r="A20912" s="86" t="str">
        <f>IFERROR(__xludf.DUMMYFUNCTION("""COMPUTED_VALUE"""),"")</f>
        <v/>
      </c>
      <c r="B20912" s="87"/>
      <c r="C20912" s="87"/>
      <c r="D20912" s="87"/>
      <c r="E20912" s="87"/>
      <c r="F20912" s="87"/>
      <c r="G20912" s="87"/>
    </row>
    <row r="20913">
      <c r="A20913" s="86" t="str">
        <f>IFERROR(__xludf.DUMMYFUNCTION("""COMPUTED_VALUE"""),"")</f>
        <v/>
      </c>
      <c r="B20913" s="87"/>
      <c r="C20913" s="87"/>
      <c r="D20913" s="87"/>
      <c r="E20913" s="87"/>
      <c r="F20913" s="87"/>
      <c r="G20913" s="87"/>
    </row>
    <row r="20914">
      <c r="A20914" s="86" t="str">
        <f>IFERROR(__xludf.DUMMYFUNCTION("""COMPUTED_VALUE"""),"")</f>
        <v/>
      </c>
      <c r="B20914" s="87"/>
      <c r="C20914" s="87"/>
      <c r="D20914" s="87"/>
      <c r="E20914" s="87"/>
      <c r="F20914" s="87"/>
      <c r="G20914" s="87"/>
    </row>
    <row r="20915">
      <c r="A20915" s="86" t="str">
        <f>IFERROR(__xludf.DUMMYFUNCTION("""COMPUTED_VALUE"""),"")</f>
        <v/>
      </c>
      <c r="B20915" s="87"/>
      <c r="C20915" s="87"/>
      <c r="D20915" s="87"/>
      <c r="E20915" s="87"/>
      <c r="F20915" s="87"/>
      <c r="G20915" s="87"/>
    </row>
    <row r="20916">
      <c r="A20916" s="86" t="str">
        <f>IFERROR(__xludf.DUMMYFUNCTION("""COMPUTED_VALUE"""),"")</f>
        <v/>
      </c>
      <c r="B20916" s="87"/>
      <c r="C20916" s="87"/>
      <c r="D20916" s="87"/>
      <c r="E20916" s="87"/>
      <c r="F20916" s="87"/>
      <c r="G20916" s="87"/>
    </row>
    <row r="20917">
      <c r="A20917" s="86" t="str">
        <f>IFERROR(__xludf.DUMMYFUNCTION("""COMPUTED_VALUE"""),"")</f>
        <v/>
      </c>
      <c r="B20917" s="87"/>
      <c r="C20917" s="87"/>
      <c r="D20917" s="87"/>
      <c r="E20917" s="87"/>
      <c r="F20917" s="87"/>
      <c r="G20917" s="87"/>
    </row>
    <row r="20918">
      <c r="A20918" s="86" t="str">
        <f>IFERROR(__xludf.DUMMYFUNCTION("""COMPUTED_VALUE"""),"")</f>
        <v/>
      </c>
      <c r="B20918" s="87"/>
      <c r="C20918" s="87"/>
      <c r="D20918" s="87"/>
      <c r="E20918" s="87"/>
      <c r="F20918" s="87"/>
      <c r="G20918" s="87"/>
    </row>
    <row r="20919">
      <c r="A20919" s="86" t="str">
        <f>IFERROR(__xludf.DUMMYFUNCTION("""COMPUTED_VALUE"""),"")</f>
        <v/>
      </c>
      <c r="B20919" s="87"/>
      <c r="C20919" s="87"/>
      <c r="D20919" s="87"/>
      <c r="E20919" s="87"/>
      <c r="F20919" s="87"/>
      <c r="G20919" s="87"/>
    </row>
    <row r="20920">
      <c r="A20920" s="86" t="str">
        <f>IFERROR(__xludf.DUMMYFUNCTION("""COMPUTED_VALUE"""),"")</f>
        <v/>
      </c>
      <c r="B20920" s="87"/>
      <c r="C20920" s="87"/>
      <c r="D20920" s="87"/>
      <c r="E20920" s="87"/>
      <c r="F20920" s="87"/>
      <c r="G20920" s="87"/>
    </row>
    <row r="20921">
      <c r="A20921" s="86" t="str">
        <f>IFERROR(__xludf.DUMMYFUNCTION("""COMPUTED_VALUE"""),"")</f>
        <v/>
      </c>
      <c r="B20921" s="87"/>
      <c r="C20921" s="87"/>
      <c r="D20921" s="87"/>
      <c r="E20921" s="87"/>
      <c r="F20921" s="87"/>
      <c r="G20921" s="87"/>
    </row>
    <row r="20922">
      <c r="A20922" s="86" t="str">
        <f>IFERROR(__xludf.DUMMYFUNCTION("""COMPUTED_VALUE"""),"")</f>
        <v/>
      </c>
      <c r="B20922" s="87"/>
      <c r="C20922" s="87"/>
      <c r="D20922" s="87"/>
      <c r="E20922" s="87"/>
      <c r="F20922" s="87"/>
      <c r="G20922" s="87"/>
    </row>
    <row r="20923">
      <c r="A20923" s="86" t="str">
        <f>IFERROR(__xludf.DUMMYFUNCTION("""COMPUTED_VALUE"""),"")</f>
        <v/>
      </c>
      <c r="B20923" s="87"/>
      <c r="C20923" s="87"/>
      <c r="D20923" s="87"/>
      <c r="E20923" s="87"/>
      <c r="F20923" s="87"/>
      <c r="G20923" s="87"/>
    </row>
    <row r="20924">
      <c r="A20924" s="86" t="str">
        <f>IFERROR(__xludf.DUMMYFUNCTION("""COMPUTED_VALUE"""),"")</f>
        <v/>
      </c>
      <c r="B20924" s="87"/>
      <c r="C20924" s="87"/>
      <c r="D20924" s="87"/>
      <c r="E20924" s="87"/>
      <c r="F20924" s="87"/>
      <c r="G20924" s="87"/>
    </row>
    <row r="20925">
      <c r="A20925" s="86" t="str">
        <f>IFERROR(__xludf.DUMMYFUNCTION("""COMPUTED_VALUE"""),"")</f>
        <v/>
      </c>
      <c r="B20925" s="87"/>
      <c r="C20925" s="87"/>
      <c r="D20925" s="87"/>
      <c r="E20925" s="87"/>
      <c r="F20925" s="87"/>
      <c r="G20925" s="87"/>
    </row>
    <row r="20926">
      <c r="A20926" s="86" t="str">
        <f>IFERROR(__xludf.DUMMYFUNCTION("""COMPUTED_VALUE"""),"")</f>
        <v/>
      </c>
      <c r="B20926" s="87"/>
      <c r="C20926" s="87"/>
      <c r="D20926" s="87"/>
      <c r="E20926" s="87"/>
      <c r="F20926" s="87"/>
      <c r="G20926" s="87"/>
    </row>
    <row r="20927">
      <c r="A20927" s="86" t="str">
        <f>IFERROR(__xludf.DUMMYFUNCTION("""COMPUTED_VALUE"""),"")</f>
        <v/>
      </c>
      <c r="B20927" s="87"/>
      <c r="C20927" s="87"/>
      <c r="D20927" s="87"/>
      <c r="E20927" s="87"/>
      <c r="F20927" s="87"/>
      <c r="G20927" s="87"/>
    </row>
    <row r="20928">
      <c r="A20928" s="86" t="str">
        <f>IFERROR(__xludf.DUMMYFUNCTION("""COMPUTED_VALUE"""),"")</f>
        <v/>
      </c>
      <c r="B20928" s="87"/>
      <c r="C20928" s="87"/>
      <c r="D20928" s="87"/>
      <c r="E20928" s="87"/>
      <c r="F20928" s="87"/>
      <c r="G20928" s="87"/>
    </row>
    <row r="20929">
      <c r="A20929" s="86" t="str">
        <f>IFERROR(__xludf.DUMMYFUNCTION("""COMPUTED_VALUE"""),"")</f>
        <v/>
      </c>
      <c r="B20929" s="87"/>
      <c r="C20929" s="87"/>
      <c r="D20929" s="87"/>
      <c r="E20929" s="87"/>
      <c r="F20929" s="87"/>
      <c r="G20929" s="87"/>
    </row>
    <row r="20930">
      <c r="A20930" s="86" t="str">
        <f>IFERROR(__xludf.DUMMYFUNCTION("""COMPUTED_VALUE"""),"")</f>
        <v/>
      </c>
      <c r="B20930" s="87"/>
      <c r="C20930" s="87"/>
      <c r="D20930" s="87"/>
      <c r="E20930" s="87"/>
      <c r="F20930" s="87"/>
      <c r="G20930" s="87"/>
    </row>
    <row r="20931">
      <c r="A20931" s="86" t="str">
        <f>IFERROR(__xludf.DUMMYFUNCTION("""COMPUTED_VALUE"""),"")</f>
        <v/>
      </c>
      <c r="B20931" s="87"/>
      <c r="C20931" s="87"/>
      <c r="D20931" s="87"/>
      <c r="E20931" s="87"/>
      <c r="F20931" s="87"/>
      <c r="G20931" s="87"/>
    </row>
    <row r="20932">
      <c r="A20932" s="86" t="str">
        <f>IFERROR(__xludf.DUMMYFUNCTION("""COMPUTED_VALUE"""),"")</f>
        <v/>
      </c>
      <c r="B20932" s="87"/>
      <c r="C20932" s="87"/>
      <c r="D20932" s="87"/>
      <c r="E20932" s="87"/>
      <c r="F20932" s="87"/>
      <c r="G20932" s="87"/>
    </row>
    <row r="20933">
      <c r="A20933" s="86" t="str">
        <f>IFERROR(__xludf.DUMMYFUNCTION("""COMPUTED_VALUE"""),"")</f>
        <v/>
      </c>
      <c r="B20933" s="87"/>
      <c r="C20933" s="87"/>
      <c r="D20933" s="87"/>
      <c r="E20933" s="87"/>
      <c r="F20933" s="87"/>
      <c r="G20933" s="87"/>
    </row>
    <row r="20934">
      <c r="A20934" s="86" t="str">
        <f>IFERROR(__xludf.DUMMYFUNCTION("""COMPUTED_VALUE"""),"")</f>
        <v/>
      </c>
      <c r="B20934" s="87"/>
      <c r="C20934" s="87"/>
      <c r="D20934" s="87"/>
      <c r="E20934" s="87"/>
      <c r="F20934" s="87"/>
      <c r="G20934" s="87"/>
    </row>
    <row r="20935">
      <c r="A20935" s="86" t="str">
        <f>IFERROR(__xludf.DUMMYFUNCTION("""COMPUTED_VALUE"""),"")</f>
        <v/>
      </c>
      <c r="B20935" s="87"/>
      <c r="C20935" s="87"/>
      <c r="D20935" s="87"/>
      <c r="E20935" s="87"/>
      <c r="F20935" s="87"/>
      <c r="G20935" s="87"/>
    </row>
    <row r="20936">
      <c r="A20936" s="86" t="str">
        <f>IFERROR(__xludf.DUMMYFUNCTION("""COMPUTED_VALUE"""),"")</f>
        <v/>
      </c>
      <c r="B20936" s="87"/>
      <c r="C20936" s="87"/>
      <c r="D20936" s="87"/>
      <c r="E20936" s="87"/>
      <c r="F20936" s="87"/>
      <c r="G20936" s="87"/>
    </row>
    <row r="20937">
      <c r="A20937" s="86" t="str">
        <f>IFERROR(__xludf.DUMMYFUNCTION("""COMPUTED_VALUE"""),"")</f>
        <v/>
      </c>
      <c r="B20937" s="87"/>
      <c r="C20937" s="87"/>
      <c r="D20937" s="87"/>
      <c r="E20937" s="87"/>
      <c r="F20937" s="87"/>
      <c r="G20937" s="87"/>
    </row>
    <row r="20938">
      <c r="A20938" s="86" t="str">
        <f>IFERROR(__xludf.DUMMYFUNCTION("""COMPUTED_VALUE"""),"")</f>
        <v/>
      </c>
      <c r="B20938" s="87"/>
      <c r="C20938" s="87"/>
      <c r="D20938" s="87"/>
      <c r="E20938" s="87"/>
      <c r="F20938" s="87"/>
      <c r="G20938" s="87"/>
    </row>
    <row r="20939">
      <c r="A20939" s="86" t="str">
        <f>IFERROR(__xludf.DUMMYFUNCTION("""COMPUTED_VALUE"""),"")</f>
        <v/>
      </c>
      <c r="B20939" s="87"/>
      <c r="C20939" s="87"/>
      <c r="D20939" s="87"/>
      <c r="E20939" s="87"/>
      <c r="F20939" s="87"/>
      <c r="G20939" s="87"/>
    </row>
    <row r="20940">
      <c r="A20940" s="86" t="str">
        <f>IFERROR(__xludf.DUMMYFUNCTION("""COMPUTED_VALUE"""),"")</f>
        <v/>
      </c>
      <c r="B20940" s="87"/>
      <c r="C20940" s="87"/>
      <c r="D20940" s="87"/>
      <c r="E20940" s="87"/>
      <c r="F20940" s="87"/>
      <c r="G20940" s="87"/>
    </row>
    <row r="20941">
      <c r="A20941" s="86" t="str">
        <f>IFERROR(__xludf.DUMMYFUNCTION("""COMPUTED_VALUE"""),"")</f>
        <v/>
      </c>
      <c r="B20941" s="87"/>
      <c r="C20941" s="87"/>
      <c r="D20941" s="87"/>
      <c r="E20941" s="87"/>
      <c r="F20941" s="87"/>
      <c r="G20941" s="87"/>
    </row>
    <row r="20942">
      <c r="A20942" s="86" t="str">
        <f>IFERROR(__xludf.DUMMYFUNCTION("""COMPUTED_VALUE"""),"")</f>
        <v/>
      </c>
      <c r="B20942" s="87"/>
      <c r="C20942" s="87"/>
      <c r="D20942" s="87"/>
      <c r="E20942" s="87"/>
      <c r="F20942" s="87"/>
      <c r="G20942" s="87"/>
    </row>
    <row r="20943">
      <c r="A20943" s="86" t="str">
        <f>IFERROR(__xludf.DUMMYFUNCTION("""COMPUTED_VALUE"""),"")</f>
        <v/>
      </c>
      <c r="B20943" s="87"/>
      <c r="C20943" s="87"/>
      <c r="D20943" s="87"/>
      <c r="E20943" s="87"/>
      <c r="F20943" s="87"/>
      <c r="G20943" s="87"/>
    </row>
    <row r="20944">
      <c r="A20944" s="86" t="str">
        <f>IFERROR(__xludf.DUMMYFUNCTION("""COMPUTED_VALUE"""),"")</f>
        <v/>
      </c>
      <c r="B20944" s="87"/>
      <c r="C20944" s="87"/>
      <c r="D20944" s="87"/>
      <c r="E20944" s="87"/>
      <c r="F20944" s="87"/>
      <c r="G20944" s="87"/>
    </row>
    <row r="20945">
      <c r="A20945" s="86" t="str">
        <f>IFERROR(__xludf.DUMMYFUNCTION("""COMPUTED_VALUE"""),"")</f>
        <v/>
      </c>
      <c r="B20945" s="87"/>
      <c r="C20945" s="87"/>
      <c r="D20945" s="87"/>
      <c r="E20945" s="87"/>
      <c r="F20945" s="87"/>
      <c r="G20945" s="87"/>
    </row>
    <row r="20946">
      <c r="A20946" s="86" t="str">
        <f>IFERROR(__xludf.DUMMYFUNCTION("""COMPUTED_VALUE"""),"")</f>
        <v/>
      </c>
      <c r="B20946" s="87"/>
      <c r="C20946" s="87"/>
      <c r="D20946" s="87"/>
      <c r="E20946" s="87"/>
      <c r="F20946" s="87"/>
      <c r="G20946" s="87"/>
    </row>
    <row r="20947">
      <c r="A20947" s="86" t="str">
        <f>IFERROR(__xludf.DUMMYFUNCTION("""COMPUTED_VALUE"""),"")</f>
        <v/>
      </c>
      <c r="B20947" s="87"/>
      <c r="C20947" s="87"/>
      <c r="D20947" s="87"/>
      <c r="E20947" s="87"/>
      <c r="F20947" s="87"/>
      <c r="G20947" s="87"/>
    </row>
    <row r="20948">
      <c r="A20948" s="86" t="str">
        <f>IFERROR(__xludf.DUMMYFUNCTION("""COMPUTED_VALUE"""),"")</f>
        <v/>
      </c>
      <c r="B20948" s="87"/>
      <c r="C20948" s="87"/>
      <c r="D20948" s="87"/>
      <c r="E20948" s="87"/>
      <c r="F20948" s="87"/>
      <c r="G20948" s="87"/>
    </row>
    <row r="20949">
      <c r="A20949" s="86" t="str">
        <f>IFERROR(__xludf.DUMMYFUNCTION("""COMPUTED_VALUE"""),"")</f>
        <v/>
      </c>
      <c r="B20949" s="87"/>
      <c r="C20949" s="87"/>
      <c r="D20949" s="87"/>
      <c r="E20949" s="87"/>
      <c r="F20949" s="87"/>
      <c r="G20949" s="87"/>
    </row>
    <row r="20950">
      <c r="A20950" s="86" t="str">
        <f>IFERROR(__xludf.DUMMYFUNCTION("""COMPUTED_VALUE"""),"")</f>
        <v/>
      </c>
      <c r="B20950" s="87"/>
      <c r="C20950" s="87"/>
      <c r="D20950" s="87"/>
      <c r="E20950" s="87"/>
      <c r="F20950" s="87"/>
      <c r="G20950" s="87"/>
    </row>
    <row r="20951">
      <c r="A20951" s="86" t="str">
        <f>IFERROR(__xludf.DUMMYFUNCTION("""COMPUTED_VALUE"""),"")</f>
        <v/>
      </c>
      <c r="B20951" s="87"/>
      <c r="C20951" s="87"/>
      <c r="D20951" s="87"/>
      <c r="E20951" s="87"/>
      <c r="F20951" s="87"/>
      <c r="G20951" s="87"/>
    </row>
    <row r="20952">
      <c r="A20952" s="86" t="str">
        <f>IFERROR(__xludf.DUMMYFUNCTION("""COMPUTED_VALUE"""),"")</f>
        <v/>
      </c>
      <c r="B20952" s="87"/>
      <c r="C20952" s="87"/>
      <c r="D20952" s="87"/>
      <c r="E20952" s="87"/>
      <c r="F20952" s="87"/>
      <c r="G20952" s="87"/>
    </row>
    <row r="20953">
      <c r="A20953" s="86" t="str">
        <f>IFERROR(__xludf.DUMMYFUNCTION("""COMPUTED_VALUE"""),"")</f>
        <v/>
      </c>
      <c r="B20953" s="87"/>
      <c r="C20953" s="87"/>
      <c r="D20953" s="87"/>
      <c r="E20953" s="87"/>
      <c r="F20953" s="87"/>
      <c r="G20953" s="87"/>
    </row>
    <row r="20954">
      <c r="A20954" s="86" t="str">
        <f>IFERROR(__xludf.DUMMYFUNCTION("""COMPUTED_VALUE"""),"")</f>
        <v/>
      </c>
      <c r="B20954" s="87"/>
      <c r="C20954" s="87"/>
      <c r="D20954" s="87"/>
      <c r="E20954" s="87"/>
      <c r="F20954" s="87"/>
      <c r="G20954" s="87"/>
    </row>
    <row r="20955">
      <c r="A20955" s="86" t="str">
        <f>IFERROR(__xludf.DUMMYFUNCTION("""COMPUTED_VALUE"""),"")</f>
        <v/>
      </c>
      <c r="B20955" s="87"/>
      <c r="C20955" s="87"/>
      <c r="D20955" s="87"/>
      <c r="E20955" s="87"/>
      <c r="F20955" s="87"/>
      <c r="G20955" s="87"/>
    </row>
    <row r="20956">
      <c r="A20956" s="86" t="str">
        <f>IFERROR(__xludf.DUMMYFUNCTION("""COMPUTED_VALUE"""),"")</f>
        <v/>
      </c>
      <c r="B20956" s="87"/>
      <c r="C20956" s="87"/>
      <c r="D20956" s="87"/>
      <c r="E20956" s="87"/>
      <c r="F20956" s="87"/>
      <c r="G20956" s="87"/>
    </row>
    <row r="20957">
      <c r="A20957" s="86" t="str">
        <f>IFERROR(__xludf.DUMMYFUNCTION("""COMPUTED_VALUE"""),"")</f>
        <v/>
      </c>
      <c r="B20957" s="87"/>
      <c r="C20957" s="87"/>
      <c r="D20957" s="87"/>
      <c r="E20957" s="87"/>
      <c r="F20957" s="87"/>
      <c r="G20957" s="87"/>
    </row>
    <row r="20958">
      <c r="A20958" s="86" t="str">
        <f>IFERROR(__xludf.DUMMYFUNCTION("""COMPUTED_VALUE"""),"")</f>
        <v/>
      </c>
      <c r="B20958" s="87"/>
      <c r="C20958" s="87"/>
      <c r="D20958" s="87"/>
      <c r="E20958" s="87"/>
      <c r="F20958" s="87"/>
      <c r="G20958" s="87"/>
    </row>
    <row r="20959">
      <c r="A20959" s="86" t="str">
        <f>IFERROR(__xludf.DUMMYFUNCTION("""COMPUTED_VALUE"""),"")</f>
        <v/>
      </c>
      <c r="B20959" s="87"/>
      <c r="C20959" s="87"/>
      <c r="D20959" s="87"/>
      <c r="E20959" s="87"/>
      <c r="F20959" s="87"/>
      <c r="G20959" s="87"/>
    </row>
    <row r="20960">
      <c r="A20960" s="86" t="str">
        <f>IFERROR(__xludf.DUMMYFUNCTION("""COMPUTED_VALUE"""),"")</f>
        <v/>
      </c>
      <c r="B20960" s="87"/>
      <c r="C20960" s="87"/>
      <c r="D20960" s="87"/>
      <c r="E20960" s="87"/>
      <c r="F20960" s="87"/>
      <c r="G20960" s="87"/>
    </row>
    <row r="20961">
      <c r="A20961" s="86" t="str">
        <f>IFERROR(__xludf.DUMMYFUNCTION("""COMPUTED_VALUE"""),"")</f>
        <v/>
      </c>
      <c r="B20961" s="87"/>
      <c r="C20961" s="87"/>
      <c r="D20961" s="87"/>
      <c r="E20961" s="87"/>
      <c r="F20961" s="87"/>
      <c r="G20961" s="87"/>
    </row>
    <row r="20962">
      <c r="A20962" s="86" t="str">
        <f>IFERROR(__xludf.DUMMYFUNCTION("""COMPUTED_VALUE"""),"")</f>
        <v/>
      </c>
      <c r="B20962" s="87"/>
      <c r="C20962" s="87"/>
      <c r="D20962" s="87"/>
      <c r="E20962" s="87"/>
      <c r="F20962" s="87"/>
      <c r="G20962" s="87"/>
    </row>
    <row r="20963">
      <c r="A20963" s="86" t="str">
        <f>IFERROR(__xludf.DUMMYFUNCTION("""COMPUTED_VALUE"""),"")</f>
        <v/>
      </c>
      <c r="B20963" s="87"/>
      <c r="C20963" s="87"/>
      <c r="D20963" s="87"/>
      <c r="E20963" s="87"/>
      <c r="F20963" s="87"/>
      <c r="G20963" s="87"/>
    </row>
    <row r="20964">
      <c r="A20964" s="86" t="str">
        <f>IFERROR(__xludf.DUMMYFUNCTION("""COMPUTED_VALUE"""),"")</f>
        <v/>
      </c>
      <c r="B20964" s="87"/>
      <c r="C20964" s="87"/>
      <c r="D20964" s="87"/>
      <c r="E20964" s="87"/>
      <c r="F20964" s="87"/>
      <c r="G20964" s="87"/>
    </row>
    <row r="20965">
      <c r="A20965" s="86" t="str">
        <f>IFERROR(__xludf.DUMMYFUNCTION("""COMPUTED_VALUE"""),"")</f>
        <v/>
      </c>
      <c r="B20965" s="87"/>
      <c r="C20965" s="87"/>
      <c r="D20965" s="87"/>
      <c r="E20965" s="87"/>
      <c r="F20965" s="87"/>
      <c r="G20965" s="87"/>
    </row>
    <row r="20966">
      <c r="A20966" s="86" t="str">
        <f>IFERROR(__xludf.DUMMYFUNCTION("""COMPUTED_VALUE"""),"")</f>
        <v/>
      </c>
      <c r="B20966" s="87"/>
      <c r="C20966" s="87"/>
      <c r="D20966" s="87"/>
      <c r="E20966" s="87"/>
      <c r="F20966" s="87"/>
      <c r="G20966" s="87"/>
    </row>
    <row r="20967">
      <c r="A20967" s="86" t="str">
        <f>IFERROR(__xludf.DUMMYFUNCTION("""COMPUTED_VALUE"""),"")</f>
        <v/>
      </c>
      <c r="B20967" s="87"/>
      <c r="C20967" s="87"/>
      <c r="D20967" s="87"/>
      <c r="E20967" s="87"/>
      <c r="F20967" s="87"/>
      <c r="G20967" s="87"/>
    </row>
    <row r="20968">
      <c r="A20968" s="86" t="str">
        <f>IFERROR(__xludf.DUMMYFUNCTION("""COMPUTED_VALUE"""),"")</f>
        <v/>
      </c>
      <c r="B20968" s="87"/>
      <c r="C20968" s="87"/>
      <c r="D20968" s="87"/>
      <c r="E20968" s="87"/>
      <c r="F20968" s="87"/>
      <c r="G20968" s="87"/>
    </row>
    <row r="20969">
      <c r="A20969" s="86" t="str">
        <f>IFERROR(__xludf.DUMMYFUNCTION("""COMPUTED_VALUE"""),"")</f>
        <v/>
      </c>
      <c r="B20969" s="87"/>
      <c r="C20969" s="87"/>
      <c r="D20969" s="87"/>
      <c r="E20969" s="87"/>
      <c r="F20969" s="87"/>
      <c r="G20969" s="87"/>
    </row>
    <row r="20970">
      <c r="A20970" s="86" t="str">
        <f>IFERROR(__xludf.DUMMYFUNCTION("""COMPUTED_VALUE"""),"")</f>
        <v/>
      </c>
      <c r="B20970" s="87"/>
      <c r="C20970" s="87"/>
      <c r="D20970" s="87"/>
      <c r="E20970" s="87"/>
      <c r="F20970" s="87"/>
      <c r="G20970" s="87"/>
    </row>
    <row r="20971">
      <c r="A20971" s="86" t="str">
        <f>IFERROR(__xludf.DUMMYFUNCTION("""COMPUTED_VALUE"""),"")</f>
        <v/>
      </c>
      <c r="B20971" s="87"/>
      <c r="C20971" s="87"/>
      <c r="D20971" s="87"/>
      <c r="E20971" s="87"/>
      <c r="F20971" s="87"/>
      <c r="G20971" s="87"/>
    </row>
    <row r="20972">
      <c r="A20972" s="86" t="str">
        <f>IFERROR(__xludf.DUMMYFUNCTION("""COMPUTED_VALUE"""),"")</f>
        <v/>
      </c>
      <c r="B20972" s="87"/>
      <c r="C20972" s="87"/>
      <c r="D20972" s="87"/>
      <c r="E20972" s="87"/>
      <c r="F20972" s="87"/>
      <c r="G20972" s="87"/>
    </row>
    <row r="20973">
      <c r="A20973" s="86" t="str">
        <f>IFERROR(__xludf.DUMMYFUNCTION("""COMPUTED_VALUE"""),"")</f>
        <v/>
      </c>
      <c r="B20973" s="87"/>
      <c r="C20973" s="87"/>
      <c r="D20973" s="87"/>
      <c r="E20973" s="87"/>
      <c r="F20973" s="87"/>
      <c r="G20973" s="87"/>
    </row>
    <row r="20974">
      <c r="A20974" s="86" t="str">
        <f>IFERROR(__xludf.DUMMYFUNCTION("""COMPUTED_VALUE"""),"")</f>
        <v/>
      </c>
      <c r="B20974" s="87"/>
      <c r="C20974" s="87"/>
      <c r="D20974" s="87"/>
      <c r="E20974" s="87"/>
      <c r="F20974" s="87"/>
      <c r="G20974" s="87"/>
    </row>
    <row r="20975">
      <c r="A20975" s="86" t="str">
        <f>IFERROR(__xludf.DUMMYFUNCTION("""COMPUTED_VALUE"""),"")</f>
        <v/>
      </c>
      <c r="B20975" s="87"/>
      <c r="C20975" s="87"/>
      <c r="D20975" s="87"/>
      <c r="E20975" s="87"/>
      <c r="F20975" s="87"/>
      <c r="G20975" s="87"/>
    </row>
    <row r="20976">
      <c r="A20976" s="86" t="str">
        <f>IFERROR(__xludf.DUMMYFUNCTION("""COMPUTED_VALUE"""),"")</f>
        <v/>
      </c>
      <c r="B20976" s="87"/>
      <c r="C20976" s="87"/>
      <c r="D20976" s="87"/>
      <c r="E20976" s="87"/>
      <c r="F20976" s="87"/>
      <c r="G20976" s="87"/>
    </row>
    <row r="20977">
      <c r="A20977" s="86" t="str">
        <f>IFERROR(__xludf.DUMMYFUNCTION("""COMPUTED_VALUE"""),"")</f>
        <v/>
      </c>
      <c r="B20977" s="87"/>
      <c r="C20977" s="87"/>
      <c r="D20977" s="87"/>
      <c r="E20977" s="87"/>
      <c r="F20977" s="87"/>
      <c r="G20977" s="87"/>
    </row>
    <row r="20978">
      <c r="A20978" s="86" t="str">
        <f>IFERROR(__xludf.DUMMYFUNCTION("""COMPUTED_VALUE"""),"")</f>
        <v/>
      </c>
      <c r="B20978" s="87"/>
      <c r="C20978" s="87"/>
      <c r="D20978" s="87"/>
      <c r="E20978" s="87"/>
      <c r="F20978" s="87"/>
      <c r="G20978" s="87"/>
    </row>
    <row r="20979">
      <c r="A20979" s="86" t="str">
        <f>IFERROR(__xludf.DUMMYFUNCTION("""COMPUTED_VALUE"""),"")</f>
        <v/>
      </c>
      <c r="B20979" s="87"/>
      <c r="C20979" s="87"/>
      <c r="D20979" s="87"/>
      <c r="E20979" s="87"/>
      <c r="F20979" s="87"/>
      <c r="G20979" s="87"/>
    </row>
    <row r="20980">
      <c r="A20980" s="86" t="str">
        <f>IFERROR(__xludf.DUMMYFUNCTION("""COMPUTED_VALUE"""),"")</f>
        <v/>
      </c>
      <c r="B20980" s="87"/>
      <c r="C20980" s="87"/>
      <c r="D20980" s="87"/>
      <c r="E20980" s="87"/>
      <c r="F20980" s="87"/>
      <c r="G20980" s="87"/>
    </row>
    <row r="20981">
      <c r="A20981" s="86" t="str">
        <f>IFERROR(__xludf.DUMMYFUNCTION("""COMPUTED_VALUE"""),"")</f>
        <v/>
      </c>
      <c r="B20981" s="87"/>
      <c r="C20981" s="87"/>
      <c r="D20981" s="87"/>
      <c r="E20981" s="87"/>
      <c r="F20981" s="87"/>
      <c r="G20981" s="87"/>
    </row>
    <row r="20982">
      <c r="A20982" s="86" t="str">
        <f>IFERROR(__xludf.DUMMYFUNCTION("""COMPUTED_VALUE"""),"")</f>
        <v/>
      </c>
      <c r="B20982" s="87"/>
      <c r="C20982" s="87"/>
      <c r="D20982" s="87"/>
      <c r="E20982" s="87"/>
      <c r="F20982" s="87"/>
      <c r="G20982" s="87"/>
    </row>
    <row r="20983">
      <c r="A20983" s="86" t="str">
        <f>IFERROR(__xludf.DUMMYFUNCTION("""COMPUTED_VALUE"""),"")</f>
        <v/>
      </c>
      <c r="B20983" s="87"/>
      <c r="C20983" s="87"/>
      <c r="D20983" s="87"/>
      <c r="E20983" s="87"/>
      <c r="F20983" s="87"/>
      <c r="G20983" s="87"/>
    </row>
    <row r="20984">
      <c r="A20984" s="86" t="str">
        <f>IFERROR(__xludf.DUMMYFUNCTION("""COMPUTED_VALUE"""),"")</f>
        <v/>
      </c>
      <c r="B20984" s="87"/>
      <c r="C20984" s="87"/>
      <c r="D20984" s="87"/>
      <c r="E20984" s="87"/>
      <c r="F20984" s="87"/>
      <c r="G20984" s="87"/>
    </row>
    <row r="20985">
      <c r="A20985" s="86" t="str">
        <f>IFERROR(__xludf.DUMMYFUNCTION("""COMPUTED_VALUE"""),"")</f>
        <v/>
      </c>
      <c r="B20985" s="87"/>
      <c r="C20985" s="87"/>
      <c r="D20985" s="87"/>
      <c r="E20985" s="87"/>
      <c r="F20985" s="87"/>
      <c r="G20985" s="87"/>
    </row>
    <row r="20986">
      <c r="A20986" s="86" t="str">
        <f>IFERROR(__xludf.DUMMYFUNCTION("""COMPUTED_VALUE"""),"")</f>
        <v/>
      </c>
      <c r="B20986" s="87"/>
      <c r="C20986" s="87"/>
      <c r="D20986" s="87"/>
      <c r="E20986" s="87"/>
      <c r="F20986" s="87"/>
      <c r="G20986" s="87"/>
    </row>
    <row r="20987">
      <c r="A20987" s="86" t="str">
        <f>IFERROR(__xludf.DUMMYFUNCTION("""COMPUTED_VALUE"""),"")</f>
        <v/>
      </c>
      <c r="B20987" s="87"/>
      <c r="C20987" s="87"/>
      <c r="D20987" s="87"/>
      <c r="E20987" s="87"/>
      <c r="F20987" s="87"/>
      <c r="G20987" s="87"/>
    </row>
    <row r="20988">
      <c r="A20988" s="86" t="str">
        <f>IFERROR(__xludf.DUMMYFUNCTION("""COMPUTED_VALUE"""),"")</f>
        <v/>
      </c>
      <c r="B20988" s="87"/>
      <c r="C20988" s="87"/>
      <c r="D20988" s="87"/>
      <c r="E20988" s="87"/>
      <c r="F20988" s="87"/>
      <c r="G20988" s="87"/>
    </row>
    <row r="20989">
      <c r="A20989" s="86" t="str">
        <f>IFERROR(__xludf.DUMMYFUNCTION("""COMPUTED_VALUE"""),"")</f>
        <v/>
      </c>
      <c r="B20989" s="87"/>
      <c r="C20989" s="87"/>
      <c r="D20989" s="87"/>
      <c r="E20989" s="87"/>
      <c r="F20989" s="87"/>
      <c r="G20989" s="87"/>
    </row>
    <row r="20990">
      <c r="A20990" s="86" t="str">
        <f>IFERROR(__xludf.DUMMYFUNCTION("""COMPUTED_VALUE"""),"")</f>
        <v/>
      </c>
      <c r="B20990" s="87"/>
      <c r="C20990" s="87"/>
      <c r="D20990" s="87"/>
      <c r="E20990" s="87"/>
      <c r="F20990" s="87"/>
      <c r="G20990" s="87"/>
    </row>
    <row r="20991">
      <c r="A20991" s="86" t="str">
        <f>IFERROR(__xludf.DUMMYFUNCTION("""COMPUTED_VALUE"""),"")</f>
        <v/>
      </c>
      <c r="B20991" s="87"/>
      <c r="C20991" s="87"/>
      <c r="D20991" s="87"/>
      <c r="E20991" s="87"/>
      <c r="F20991" s="87"/>
      <c r="G20991" s="87"/>
    </row>
    <row r="20992">
      <c r="A20992" s="86" t="str">
        <f>IFERROR(__xludf.DUMMYFUNCTION("""COMPUTED_VALUE"""),"")</f>
        <v/>
      </c>
      <c r="B20992" s="87"/>
      <c r="C20992" s="87"/>
      <c r="D20992" s="87"/>
      <c r="E20992" s="87"/>
      <c r="F20992" s="87"/>
      <c r="G20992" s="87"/>
    </row>
    <row r="20993">
      <c r="A20993" s="86" t="str">
        <f>IFERROR(__xludf.DUMMYFUNCTION("""COMPUTED_VALUE"""),"")</f>
        <v/>
      </c>
      <c r="B20993" s="87"/>
      <c r="C20993" s="87"/>
      <c r="D20993" s="87"/>
      <c r="E20993" s="87"/>
      <c r="F20993" s="87"/>
      <c r="G20993" s="87"/>
    </row>
    <row r="20994">
      <c r="A20994" s="86" t="str">
        <f>IFERROR(__xludf.DUMMYFUNCTION("""COMPUTED_VALUE"""),"")</f>
        <v/>
      </c>
      <c r="B20994" s="87"/>
      <c r="C20994" s="87"/>
      <c r="D20994" s="87"/>
      <c r="E20994" s="87"/>
      <c r="F20994" s="87"/>
      <c r="G20994" s="87"/>
    </row>
    <row r="20995">
      <c r="A20995" s="86" t="str">
        <f>IFERROR(__xludf.DUMMYFUNCTION("""COMPUTED_VALUE"""),"")</f>
        <v/>
      </c>
      <c r="B20995" s="87"/>
      <c r="C20995" s="87"/>
      <c r="D20995" s="87"/>
      <c r="E20995" s="87"/>
      <c r="F20995" s="87"/>
      <c r="G20995" s="87"/>
    </row>
    <row r="20996">
      <c r="A20996" s="86" t="str">
        <f>IFERROR(__xludf.DUMMYFUNCTION("""COMPUTED_VALUE"""),"")</f>
        <v/>
      </c>
      <c r="B20996" s="87"/>
      <c r="C20996" s="87"/>
      <c r="D20996" s="87"/>
      <c r="E20996" s="87"/>
      <c r="F20996" s="87"/>
      <c r="G20996" s="87"/>
    </row>
    <row r="20997">
      <c r="A20997" s="86" t="str">
        <f>IFERROR(__xludf.DUMMYFUNCTION("""COMPUTED_VALUE"""),"")</f>
        <v/>
      </c>
      <c r="B20997" s="87"/>
      <c r="C20997" s="87"/>
      <c r="D20997" s="87"/>
      <c r="E20997" s="87"/>
      <c r="F20997" s="87"/>
      <c r="G20997" s="87"/>
    </row>
    <row r="20998">
      <c r="A20998" s="86" t="str">
        <f>IFERROR(__xludf.DUMMYFUNCTION("""COMPUTED_VALUE"""),"")</f>
        <v/>
      </c>
      <c r="B20998" s="87"/>
      <c r="C20998" s="87"/>
      <c r="D20998" s="87"/>
      <c r="E20998" s="87"/>
      <c r="F20998" s="87"/>
      <c r="G20998" s="87"/>
    </row>
    <row r="20999">
      <c r="A20999" s="86" t="str">
        <f>IFERROR(__xludf.DUMMYFUNCTION("""COMPUTED_VALUE"""),"")</f>
        <v/>
      </c>
      <c r="B20999" s="87"/>
      <c r="C20999" s="87"/>
      <c r="D20999" s="87"/>
      <c r="E20999" s="87"/>
      <c r="F20999" s="87"/>
      <c r="G20999" s="87"/>
    </row>
    <row r="21000">
      <c r="A21000" s="86" t="str">
        <f>IFERROR(__xludf.DUMMYFUNCTION("""COMPUTED_VALUE"""),"")</f>
        <v/>
      </c>
      <c r="B21000" s="87"/>
      <c r="C21000" s="87"/>
      <c r="D21000" s="87"/>
      <c r="E21000" s="87"/>
      <c r="F21000" s="87"/>
      <c r="G21000" s="87"/>
    </row>
    <row r="21001">
      <c r="A21001" s="86" t="str">
        <f>IFERROR(__xludf.DUMMYFUNCTION("""COMPUTED_VALUE"""),"")</f>
        <v/>
      </c>
      <c r="B21001" s="87"/>
      <c r="C21001" s="87"/>
      <c r="D21001" s="87"/>
      <c r="E21001" s="87"/>
      <c r="F21001" s="87"/>
      <c r="G21001" s="87"/>
    </row>
    <row r="21002">
      <c r="A21002" s="86" t="str">
        <f>IFERROR(__xludf.DUMMYFUNCTION("""COMPUTED_VALUE"""),"")</f>
        <v/>
      </c>
      <c r="B21002" s="87"/>
      <c r="C21002" s="87"/>
      <c r="D21002" s="87"/>
      <c r="E21002" s="87"/>
      <c r="F21002" s="87"/>
      <c r="G21002" s="87"/>
    </row>
    <row r="21003">
      <c r="A21003" s="86" t="str">
        <f>IFERROR(__xludf.DUMMYFUNCTION("""COMPUTED_VALUE"""),"")</f>
        <v/>
      </c>
      <c r="B21003" s="87"/>
      <c r="C21003" s="87"/>
      <c r="D21003" s="87"/>
      <c r="E21003" s="87"/>
      <c r="F21003" s="87"/>
      <c r="G21003" s="87"/>
    </row>
    <row r="21004">
      <c r="A21004" s="86" t="str">
        <f>IFERROR(__xludf.DUMMYFUNCTION("""COMPUTED_VALUE"""),"")</f>
        <v/>
      </c>
      <c r="B21004" s="87"/>
      <c r="C21004" s="87"/>
      <c r="D21004" s="87"/>
      <c r="E21004" s="87"/>
      <c r="F21004" s="87"/>
      <c r="G21004" s="87"/>
    </row>
    <row r="21005">
      <c r="A21005" s="86" t="str">
        <f>IFERROR(__xludf.DUMMYFUNCTION("""COMPUTED_VALUE"""),"")</f>
        <v/>
      </c>
      <c r="B21005" s="87"/>
      <c r="C21005" s="87"/>
      <c r="D21005" s="87"/>
      <c r="E21005" s="87"/>
      <c r="F21005" s="87"/>
      <c r="G21005" s="87"/>
    </row>
    <row r="21006">
      <c r="A21006" s="86" t="str">
        <f>IFERROR(__xludf.DUMMYFUNCTION("""COMPUTED_VALUE"""),"")</f>
        <v/>
      </c>
      <c r="B21006" s="87"/>
      <c r="C21006" s="87"/>
      <c r="D21006" s="87"/>
      <c r="E21006" s="87"/>
      <c r="F21006" s="87"/>
      <c r="G21006" s="87"/>
    </row>
    <row r="21007">
      <c r="A21007" s="86" t="str">
        <f>IFERROR(__xludf.DUMMYFUNCTION("""COMPUTED_VALUE"""),"")</f>
        <v/>
      </c>
      <c r="B21007" s="87"/>
      <c r="C21007" s="87"/>
      <c r="D21007" s="87"/>
      <c r="E21007" s="87"/>
      <c r="F21007" s="87"/>
      <c r="G21007" s="87"/>
    </row>
    <row r="21008">
      <c r="A21008" s="86" t="str">
        <f>IFERROR(__xludf.DUMMYFUNCTION("""COMPUTED_VALUE"""),"")</f>
        <v/>
      </c>
      <c r="B21008" s="87"/>
      <c r="C21008" s="87"/>
      <c r="D21008" s="87"/>
      <c r="E21008" s="87"/>
      <c r="F21008" s="87"/>
      <c r="G21008" s="87"/>
    </row>
    <row r="21009">
      <c r="A21009" s="86" t="str">
        <f>IFERROR(__xludf.DUMMYFUNCTION("""COMPUTED_VALUE"""),"")</f>
        <v/>
      </c>
      <c r="B21009" s="87"/>
      <c r="C21009" s="87"/>
      <c r="D21009" s="87"/>
      <c r="E21009" s="87"/>
      <c r="F21009" s="87"/>
      <c r="G21009" s="87"/>
    </row>
    <row r="21010">
      <c r="A21010" s="86" t="str">
        <f>IFERROR(__xludf.DUMMYFUNCTION("""COMPUTED_VALUE"""),"")</f>
        <v/>
      </c>
      <c r="B21010" s="87"/>
      <c r="C21010" s="87"/>
      <c r="D21010" s="87"/>
      <c r="E21010" s="87"/>
      <c r="F21010" s="87"/>
      <c r="G21010" s="87"/>
    </row>
    <row r="21011">
      <c r="A21011" s="86" t="str">
        <f>IFERROR(__xludf.DUMMYFUNCTION("""COMPUTED_VALUE"""),"")</f>
        <v/>
      </c>
      <c r="B21011" s="87"/>
      <c r="C21011" s="87"/>
      <c r="D21011" s="87"/>
      <c r="E21011" s="87"/>
      <c r="F21011" s="87"/>
      <c r="G21011" s="87"/>
    </row>
    <row r="21012">
      <c r="A21012" s="86" t="str">
        <f>IFERROR(__xludf.DUMMYFUNCTION("""COMPUTED_VALUE"""),"")</f>
        <v/>
      </c>
      <c r="B21012" s="87"/>
      <c r="C21012" s="87"/>
      <c r="D21012" s="87"/>
      <c r="E21012" s="87"/>
      <c r="F21012" s="87"/>
      <c r="G21012" s="87"/>
    </row>
    <row r="21013">
      <c r="A21013" s="86" t="str">
        <f>IFERROR(__xludf.DUMMYFUNCTION("""COMPUTED_VALUE"""),"")</f>
        <v/>
      </c>
      <c r="B21013" s="87"/>
      <c r="C21013" s="87"/>
      <c r="D21013" s="87"/>
      <c r="E21013" s="87"/>
      <c r="F21013" s="87"/>
      <c r="G21013" s="87"/>
    </row>
    <row r="21014">
      <c r="A21014" s="86" t="str">
        <f>IFERROR(__xludf.DUMMYFUNCTION("""COMPUTED_VALUE"""),"")</f>
        <v/>
      </c>
      <c r="B21014" s="87"/>
      <c r="C21014" s="87"/>
      <c r="D21014" s="87"/>
      <c r="E21014" s="87"/>
      <c r="F21014" s="87"/>
      <c r="G21014" s="87"/>
    </row>
    <row r="21015">
      <c r="A21015" s="86" t="str">
        <f>IFERROR(__xludf.DUMMYFUNCTION("""COMPUTED_VALUE"""),"")</f>
        <v/>
      </c>
      <c r="B21015" s="87"/>
      <c r="C21015" s="87"/>
      <c r="D21015" s="87"/>
      <c r="E21015" s="87"/>
      <c r="F21015" s="87"/>
      <c r="G21015" s="87"/>
    </row>
    <row r="21016">
      <c r="A21016" s="86" t="str">
        <f>IFERROR(__xludf.DUMMYFUNCTION("""COMPUTED_VALUE"""),"")</f>
        <v/>
      </c>
      <c r="B21016" s="87"/>
      <c r="C21016" s="87"/>
      <c r="D21016" s="87"/>
      <c r="E21016" s="87"/>
      <c r="F21016" s="87"/>
      <c r="G21016" s="87"/>
    </row>
    <row r="21017">
      <c r="A21017" s="86" t="str">
        <f>IFERROR(__xludf.DUMMYFUNCTION("""COMPUTED_VALUE"""),"")</f>
        <v/>
      </c>
      <c r="B21017" s="87"/>
      <c r="C21017" s="87"/>
      <c r="D21017" s="87"/>
      <c r="E21017" s="87"/>
      <c r="F21017" s="87"/>
      <c r="G21017" s="87"/>
    </row>
    <row r="21018">
      <c r="A21018" s="86" t="str">
        <f>IFERROR(__xludf.DUMMYFUNCTION("""COMPUTED_VALUE"""),"")</f>
        <v/>
      </c>
      <c r="B21018" s="87"/>
      <c r="C21018" s="87"/>
      <c r="D21018" s="87"/>
      <c r="E21018" s="87"/>
      <c r="F21018" s="87"/>
      <c r="G21018" s="87"/>
    </row>
    <row r="21019">
      <c r="A21019" s="86" t="str">
        <f>IFERROR(__xludf.DUMMYFUNCTION("""COMPUTED_VALUE"""),"")</f>
        <v/>
      </c>
      <c r="B21019" s="87"/>
      <c r="C21019" s="87"/>
      <c r="D21019" s="87"/>
      <c r="E21019" s="87"/>
      <c r="F21019" s="87"/>
      <c r="G21019" s="87"/>
    </row>
    <row r="21020">
      <c r="A21020" s="86" t="str">
        <f>IFERROR(__xludf.DUMMYFUNCTION("""COMPUTED_VALUE"""),"")</f>
        <v/>
      </c>
      <c r="B21020" s="87"/>
      <c r="C21020" s="87"/>
      <c r="D21020" s="87"/>
      <c r="E21020" s="87"/>
      <c r="F21020" s="87"/>
      <c r="G21020" s="87"/>
    </row>
    <row r="21021">
      <c r="A21021" s="86" t="str">
        <f>IFERROR(__xludf.DUMMYFUNCTION("""COMPUTED_VALUE"""),"")</f>
        <v/>
      </c>
      <c r="B21021" s="87"/>
      <c r="C21021" s="87"/>
      <c r="D21021" s="87"/>
      <c r="E21021" s="87"/>
      <c r="F21021" s="87"/>
      <c r="G21021" s="87"/>
    </row>
    <row r="21022">
      <c r="A21022" s="86" t="str">
        <f>IFERROR(__xludf.DUMMYFUNCTION("""COMPUTED_VALUE"""),"")</f>
        <v/>
      </c>
      <c r="B21022" s="87"/>
      <c r="C21022" s="87"/>
      <c r="D21022" s="87"/>
      <c r="E21022" s="87"/>
      <c r="F21022" s="87"/>
      <c r="G21022" s="87"/>
    </row>
    <row r="21023">
      <c r="A21023" s="86" t="str">
        <f>IFERROR(__xludf.DUMMYFUNCTION("""COMPUTED_VALUE"""),"")</f>
        <v/>
      </c>
      <c r="B21023" s="87"/>
      <c r="C21023" s="87"/>
      <c r="D21023" s="87"/>
      <c r="E21023" s="87"/>
      <c r="F21023" s="87"/>
      <c r="G21023" s="87"/>
    </row>
    <row r="21024">
      <c r="A21024" s="86" t="str">
        <f>IFERROR(__xludf.DUMMYFUNCTION("""COMPUTED_VALUE"""),"")</f>
        <v/>
      </c>
      <c r="B21024" s="87"/>
      <c r="C21024" s="87"/>
      <c r="D21024" s="87"/>
      <c r="E21024" s="87"/>
      <c r="F21024" s="87"/>
      <c r="G21024" s="87"/>
    </row>
    <row r="21025">
      <c r="A21025" s="86" t="str">
        <f>IFERROR(__xludf.DUMMYFUNCTION("""COMPUTED_VALUE"""),"")</f>
        <v/>
      </c>
      <c r="B21025" s="87"/>
      <c r="C21025" s="87"/>
      <c r="D21025" s="87"/>
      <c r="E21025" s="87"/>
      <c r="F21025" s="87"/>
      <c r="G21025" s="87"/>
    </row>
    <row r="21026">
      <c r="A21026" s="86" t="str">
        <f>IFERROR(__xludf.DUMMYFUNCTION("""COMPUTED_VALUE"""),"")</f>
        <v/>
      </c>
      <c r="B21026" s="87"/>
      <c r="C21026" s="87"/>
      <c r="D21026" s="87"/>
      <c r="E21026" s="87"/>
      <c r="F21026" s="87"/>
      <c r="G21026" s="87"/>
    </row>
    <row r="21027">
      <c r="A21027" s="86" t="str">
        <f>IFERROR(__xludf.DUMMYFUNCTION("""COMPUTED_VALUE"""),"")</f>
        <v/>
      </c>
      <c r="B21027" s="87"/>
      <c r="C21027" s="87"/>
      <c r="D21027" s="87"/>
      <c r="E21027" s="87"/>
      <c r="F21027" s="87"/>
      <c r="G21027" s="87"/>
    </row>
    <row r="21028">
      <c r="A21028" s="86" t="str">
        <f>IFERROR(__xludf.DUMMYFUNCTION("""COMPUTED_VALUE"""),"")</f>
        <v/>
      </c>
      <c r="B21028" s="87"/>
      <c r="C21028" s="87"/>
      <c r="D21028" s="87"/>
      <c r="E21028" s="87"/>
      <c r="F21028" s="87"/>
      <c r="G21028" s="87"/>
    </row>
    <row r="21029">
      <c r="A21029" s="86" t="str">
        <f>IFERROR(__xludf.DUMMYFUNCTION("""COMPUTED_VALUE"""),"")</f>
        <v/>
      </c>
      <c r="B21029" s="87"/>
      <c r="C21029" s="87"/>
      <c r="D21029" s="87"/>
      <c r="E21029" s="87"/>
      <c r="F21029" s="87"/>
      <c r="G21029" s="87"/>
    </row>
    <row r="21030">
      <c r="A21030" s="86" t="str">
        <f>IFERROR(__xludf.DUMMYFUNCTION("""COMPUTED_VALUE"""),"")</f>
        <v/>
      </c>
      <c r="B21030" s="87"/>
      <c r="C21030" s="87"/>
      <c r="D21030" s="87"/>
      <c r="E21030" s="87"/>
      <c r="F21030" s="87"/>
      <c r="G21030" s="87"/>
    </row>
    <row r="21031">
      <c r="A21031" s="86" t="str">
        <f>IFERROR(__xludf.DUMMYFUNCTION("""COMPUTED_VALUE"""),"")</f>
        <v/>
      </c>
      <c r="B21031" s="87"/>
      <c r="C21031" s="87"/>
      <c r="D21031" s="87"/>
      <c r="E21031" s="87"/>
      <c r="F21031" s="87"/>
      <c r="G21031" s="87"/>
    </row>
    <row r="21032">
      <c r="A21032" s="86" t="str">
        <f>IFERROR(__xludf.DUMMYFUNCTION("""COMPUTED_VALUE"""),"")</f>
        <v/>
      </c>
      <c r="B21032" s="87"/>
      <c r="C21032" s="87"/>
      <c r="D21032" s="87"/>
      <c r="E21032" s="87"/>
      <c r="F21032" s="87"/>
      <c r="G21032" s="87"/>
    </row>
    <row r="21033">
      <c r="A21033" s="86" t="str">
        <f>IFERROR(__xludf.DUMMYFUNCTION("""COMPUTED_VALUE"""),"")</f>
        <v/>
      </c>
      <c r="B21033" s="87"/>
      <c r="C21033" s="87"/>
      <c r="D21033" s="87"/>
      <c r="E21033" s="87"/>
      <c r="F21033" s="87"/>
      <c r="G21033" s="87"/>
    </row>
    <row r="21034">
      <c r="A21034" s="86" t="str">
        <f>IFERROR(__xludf.DUMMYFUNCTION("""COMPUTED_VALUE"""),"")</f>
        <v/>
      </c>
      <c r="B21034" s="87"/>
      <c r="C21034" s="87"/>
      <c r="D21034" s="87"/>
      <c r="E21034" s="87"/>
      <c r="F21034" s="87"/>
      <c r="G21034" s="87"/>
    </row>
    <row r="21035">
      <c r="A21035" s="86" t="str">
        <f>IFERROR(__xludf.DUMMYFUNCTION("""COMPUTED_VALUE"""),"")</f>
        <v/>
      </c>
      <c r="B21035" s="87"/>
      <c r="C21035" s="87"/>
      <c r="D21035" s="87"/>
      <c r="E21035" s="87"/>
      <c r="F21035" s="87"/>
      <c r="G21035" s="87"/>
    </row>
    <row r="21036">
      <c r="A21036" s="86" t="str">
        <f>IFERROR(__xludf.DUMMYFUNCTION("""COMPUTED_VALUE"""),"")</f>
        <v/>
      </c>
      <c r="B21036" s="87"/>
      <c r="C21036" s="87"/>
      <c r="D21036" s="87"/>
      <c r="E21036" s="87"/>
      <c r="F21036" s="87"/>
      <c r="G21036" s="87"/>
    </row>
    <row r="21037">
      <c r="A21037" s="86" t="str">
        <f>IFERROR(__xludf.DUMMYFUNCTION("""COMPUTED_VALUE"""),"")</f>
        <v/>
      </c>
      <c r="B21037" s="87"/>
      <c r="C21037" s="87"/>
      <c r="D21037" s="87"/>
      <c r="E21037" s="87"/>
      <c r="F21037" s="87"/>
      <c r="G21037" s="87"/>
    </row>
    <row r="21038">
      <c r="A21038" s="86" t="str">
        <f>IFERROR(__xludf.DUMMYFUNCTION("""COMPUTED_VALUE"""),"")</f>
        <v/>
      </c>
      <c r="B21038" s="87"/>
      <c r="C21038" s="87"/>
      <c r="D21038" s="87"/>
      <c r="E21038" s="87"/>
      <c r="F21038" s="87"/>
      <c r="G21038" s="87"/>
    </row>
    <row r="21039">
      <c r="A21039" s="86" t="str">
        <f>IFERROR(__xludf.DUMMYFUNCTION("""COMPUTED_VALUE"""),"")</f>
        <v/>
      </c>
      <c r="B21039" s="87"/>
      <c r="C21039" s="87"/>
      <c r="D21039" s="87"/>
      <c r="E21039" s="87"/>
      <c r="F21039" s="87"/>
      <c r="G21039" s="87"/>
    </row>
    <row r="21040">
      <c r="A21040" s="86" t="str">
        <f>IFERROR(__xludf.DUMMYFUNCTION("""COMPUTED_VALUE"""),"")</f>
        <v/>
      </c>
      <c r="B21040" s="87"/>
      <c r="C21040" s="87"/>
      <c r="D21040" s="87"/>
      <c r="E21040" s="87"/>
      <c r="F21040" s="87"/>
      <c r="G21040" s="87"/>
    </row>
    <row r="21041">
      <c r="A21041" s="86" t="str">
        <f>IFERROR(__xludf.DUMMYFUNCTION("""COMPUTED_VALUE"""),"")</f>
        <v/>
      </c>
      <c r="B21041" s="87"/>
      <c r="C21041" s="87"/>
      <c r="D21041" s="87"/>
      <c r="E21041" s="87"/>
      <c r="F21041" s="87"/>
      <c r="G21041" s="87"/>
    </row>
    <row r="21042">
      <c r="A21042" s="86" t="str">
        <f>IFERROR(__xludf.DUMMYFUNCTION("""COMPUTED_VALUE"""),"")</f>
        <v/>
      </c>
      <c r="B21042" s="87"/>
      <c r="C21042" s="87"/>
      <c r="D21042" s="87"/>
      <c r="E21042" s="87"/>
      <c r="F21042" s="87"/>
      <c r="G21042" s="87"/>
    </row>
    <row r="21043">
      <c r="A21043" s="86" t="str">
        <f>IFERROR(__xludf.DUMMYFUNCTION("""COMPUTED_VALUE"""),"")</f>
        <v/>
      </c>
      <c r="B21043" s="87"/>
      <c r="C21043" s="87"/>
      <c r="D21043" s="87"/>
      <c r="E21043" s="87"/>
      <c r="F21043" s="87"/>
      <c r="G21043" s="87"/>
    </row>
    <row r="21044">
      <c r="A21044" s="86" t="str">
        <f>IFERROR(__xludf.DUMMYFUNCTION("""COMPUTED_VALUE"""),"")</f>
        <v/>
      </c>
      <c r="B21044" s="87"/>
      <c r="C21044" s="87"/>
      <c r="D21044" s="87"/>
      <c r="E21044" s="87"/>
      <c r="F21044" s="87"/>
      <c r="G21044" s="87"/>
    </row>
    <row r="21045">
      <c r="A21045" s="86" t="str">
        <f>IFERROR(__xludf.DUMMYFUNCTION("""COMPUTED_VALUE"""),"")</f>
        <v/>
      </c>
      <c r="B21045" s="87"/>
      <c r="C21045" s="87"/>
      <c r="D21045" s="87"/>
      <c r="E21045" s="87"/>
      <c r="F21045" s="87"/>
      <c r="G21045" s="87"/>
    </row>
    <row r="21046">
      <c r="A21046" s="86" t="str">
        <f>IFERROR(__xludf.DUMMYFUNCTION("""COMPUTED_VALUE"""),"")</f>
        <v/>
      </c>
      <c r="B21046" s="87"/>
      <c r="C21046" s="87"/>
      <c r="D21046" s="87"/>
      <c r="E21046" s="87"/>
      <c r="F21046" s="87"/>
      <c r="G21046" s="87"/>
    </row>
    <row r="21047">
      <c r="A21047" s="86" t="str">
        <f>IFERROR(__xludf.DUMMYFUNCTION("""COMPUTED_VALUE"""),"")</f>
        <v/>
      </c>
      <c r="B21047" s="87"/>
      <c r="C21047" s="87"/>
      <c r="D21047" s="87"/>
      <c r="E21047" s="87"/>
      <c r="F21047" s="87"/>
      <c r="G21047" s="87"/>
    </row>
    <row r="21048">
      <c r="A21048" s="86" t="str">
        <f>IFERROR(__xludf.DUMMYFUNCTION("""COMPUTED_VALUE"""),"")</f>
        <v/>
      </c>
      <c r="B21048" s="87"/>
      <c r="C21048" s="87"/>
      <c r="D21048" s="87"/>
      <c r="E21048" s="87"/>
      <c r="F21048" s="87"/>
      <c r="G21048" s="87"/>
    </row>
    <row r="21049">
      <c r="A21049" s="86" t="str">
        <f>IFERROR(__xludf.DUMMYFUNCTION("""COMPUTED_VALUE"""),"")</f>
        <v/>
      </c>
      <c r="B21049" s="87"/>
      <c r="C21049" s="87"/>
      <c r="D21049" s="87"/>
      <c r="E21049" s="87"/>
      <c r="F21049" s="87"/>
      <c r="G21049" s="87"/>
    </row>
    <row r="21050">
      <c r="A21050" s="86" t="str">
        <f>IFERROR(__xludf.DUMMYFUNCTION("""COMPUTED_VALUE"""),"")</f>
        <v/>
      </c>
      <c r="B21050" s="87"/>
      <c r="C21050" s="87"/>
      <c r="D21050" s="87"/>
      <c r="E21050" s="87"/>
      <c r="F21050" s="87"/>
      <c r="G21050" s="87"/>
    </row>
    <row r="21051">
      <c r="A21051" s="86" t="str">
        <f>IFERROR(__xludf.DUMMYFUNCTION("""COMPUTED_VALUE"""),"")</f>
        <v/>
      </c>
      <c r="B21051" s="87"/>
      <c r="C21051" s="87"/>
      <c r="D21051" s="87"/>
      <c r="E21051" s="87"/>
      <c r="F21051" s="87"/>
      <c r="G21051" s="87"/>
    </row>
    <row r="21052">
      <c r="A21052" s="86" t="str">
        <f>IFERROR(__xludf.DUMMYFUNCTION("""COMPUTED_VALUE"""),"")</f>
        <v/>
      </c>
      <c r="B21052" s="87"/>
      <c r="C21052" s="87"/>
      <c r="D21052" s="87"/>
      <c r="E21052" s="87"/>
      <c r="F21052" s="87"/>
      <c r="G21052" s="87"/>
    </row>
    <row r="21053">
      <c r="A21053" s="86" t="str">
        <f>IFERROR(__xludf.DUMMYFUNCTION("""COMPUTED_VALUE"""),"")</f>
        <v/>
      </c>
      <c r="B21053" s="87"/>
      <c r="C21053" s="87"/>
      <c r="D21053" s="87"/>
      <c r="E21053" s="87"/>
      <c r="F21053" s="87"/>
      <c r="G21053" s="87"/>
    </row>
    <row r="21054">
      <c r="A21054" s="86" t="str">
        <f>IFERROR(__xludf.DUMMYFUNCTION("""COMPUTED_VALUE"""),"")</f>
        <v/>
      </c>
      <c r="B21054" s="87"/>
      <c r="C21054" s="87"/>
      <c r="D21054" s="87"/>
      <c r="E21054" s="87"/>
      <c r="F21054" s="87"/>
      <c r="G21054" s="87"/>
    </row>
    <row r="21055">
      <c r="A21055" s="86" t="str">
        <f>IFERROR(__xludf.DUMMYFUNCTION("""COMPUTED_VALUE"""),"")</f>
        <v/>
      </c>
      <c r="B21055" s="87"/>
      <c r="C21055" s="87"/>
      <c r="D21055" s="87"/>
      <c r="E21055" s="87"/>
      <c r="F21055" s="87"/>
      <c r="G21055" s="87"/>
    </row>
    <row r="21056">
      <c r="A21056" s="86" t="str">
        <f>IFERROR(__xludf.DUMMYFUNCTION("""COMPUTED_VALUE"""),"")</f>
        <v/>
      </c>
      <c r="B21056" s="87"/>
      <c r="C21056" s="87"/>
      <c r="D21056" s="87"/>
      <c r="E21056" s="87"/>
      <c r="F21056" s="87"/>
      <c r="G21056" s="87"/>
    </row>
    <row r="21057">
      <c r="A21057" s="86" t="str">
        <f>IFERROR(__xludf.DUMMYFUNCTION("""COMPUTED_VALUE"""),"")</f>
        <v/>
      </c>
      <c r="B21057" s="87"/>
      <c r="C21057" s="87"/>
      <c r="D21057" s="87"/>
      <c r="E21057" s="87"/>
      <c r="F21057" s="87"/>
      <c r="G21057" s="87"/>
    </row>
    <row r="21058">
      <c r="A21058" s="86" t="str">
        <f>IFERROR(__xludf.DUMMYFUNCTION("""COMPUTED_VALUE"""),"")</f>
        <v/>
      </c>
      <c r="B21058" s="87"/>
      <c r="C21058" s="87"/>
      <c r="D21058" s="87"/>
      <c r="E21058" s="87"/>
      <c r="F21058" s="87"/>
      <c r="G21058" s="87"/>
    </row>
    <row r="21059">
      <c r="A21059" s="86" t="str">
        <f>IFERROR(__xludf.DUMMYFUNCTION("""COMPUTED_VALUE"""),"")</f>
        <v/>
      </c>
      <c r="B21059" s="87"/>
      <c r="C21059" s="87"/>
      <c r="D21059" s="87"/>
      <c r="E21059" s="87"/>
      <c r="F21059" s="87"/>
      <c r="G21059" s="87"/>
    </row>
    <row r="21060">
      <c r="A21060" s="86" t="str">
        <f>IFERROR(__xludf.DUMMYFUNCTION("""COMPUTED_VALUE"""),"")</f>
        <v/>
      </c>
      <c r="B21060" s="87"/>
      <c r="C21060" s="87"/>
      <c r="D21060" s="87"/>
      <c r="E21060" s="87"/>
      <c r="F21060" s="87"/>
      <c r="G21060" s="87"/>
    </row>
    <row r="21061">
      <c r="A21061" s="86" t="str">
        <f>IFERROR(__xludf.DUMMYFUNCTION("""COMPUTED_VALUE"""),"")</f>
        <v/>
      </c>
      <c r="B21061" s="87"/>
      <c r="C21061" s="87"/>
      <c r="D21061" s="87"/>
      <c r="E21061" s="87"/>
      <c r="F21061" s="87"/>
      <c r="G21061" s="87"/>
    </row>
    <row r="21062">
      <c r="A21062" s="86" t="str">
        <f>IFERROR(__xludf.DUMMYFUNCTION("""COMPUTED_VALUE"""),"")</f>
        <v/>
      </c>
      <c r="B21062" s="87"/>
      <c r="C21062" s="87"/>
      <c r="D21062" s="87"/>
      <c r="E21062" s="87"/>
      <c r="F21062" s="87"/>
      <c r="G21062" s="87"/>
    </row>
    <row r="21063">
      <c r="A21063" s="86" t="str">
        <f>IFERROR(__xludf.DUMMYFUNCTION("""COMPUTED_VALUE"""),"")</f>
        <v/>
      </c>
      <c r="B21063" s="87"/>
      <c r="C21063" s="87"/>
      <c r="D21063" s="87"/>
      <c r="E21063" s="87"/>
      <c r="F21063" s="87"/>
      <c r="G21063" s="87"/>
    </row>
    <row r="21064">
      <c r="A21064" s="86" t="str">
        <f>IFERROR(__xludf.DUMMYFUNCTION("""COMPUTED_VALUE"""),"")</f>
        <v/>
      </c>
      <c r="B21064" s="87"/>
      <c r="C21064" s="87"/>
      <c r="D21064" s="87"/>
      <c r="E21064" s="87"/>
      <c r="F21064" s="87"/>
      <c r="G21064" s="87"/>
    </row>
    <row r="21065">
      <c r="A21065" s="86" t="str">
        <f>IFERROR(__xludf.DUMMYFUNCTION("""COMPUTED_VALUE"""),"")</f>
        <v/>
      </c>
      <c r="B21065" s="87"/>
      <c r="C21065" s="87"/>
      <c r="D21065" s="87"/>
      <c r="E21065" s="87"/>
      <c r="F21065" s="87"/>
      <c r="G21065" s="87"/>
    </row>
    <row r="21066">
      <c r="A21066" s="86" t="str">
        <f>IFERROR(__xludf.DUMMYFUNCTION("""COMPUTED_VALUE"""),"")</f>
        <v/>
      </c>
      <c r="B21066" s="87"/>
      <c r="C21066" s="87"/>
      <c r="D21066" s="87"/>
      <c r="E21066" s="87"/>
      <c r="F21066" s="87"/>
      <c r="G21066" s="87"/>
    </row>
    <row r="21067">
      <c r="A21067" s="86" t="str">
        <f>IFERROR(__xludf.DUMMYFUNCTION("""COMPUTED_VALUE"""),"")</f>
        <v/>
      </c>
      <c r="B21067" s="87"/>
      <c r="C21067" s="87"/>
      <c r="D21067" s="87"/>
      <c r="E21067" s="87"/>
      <c r="F21067" s="87"/>
      <c r="G21067" s="87"/>
    </row>
    <row r="21068">
      <c r="A21068" s="86" t="str">
        <f>IFERROR(__xludf.DUMMYFUNCTION("""COMPUTED_VALUE"""),"")</f>
        <v/>
      </c>
      <c r="B21068" s="87"/>
      <c r="C21068" s="87"/>
      <c r="D21068" s="87"/>
      <c r="E21068" s="87"/>
      <c r="F21068" s="87"/>
      <c r="G21068" s="87"/>
    </row>
    <row r="21069">
      <c r="A21069" s="86" t="str">
        <f>IFERROR(__xludf.DUMMYFUNCTION("""COMPUTED_VALUE"""),"")</f>
        <v/>
      </c>
      <c r="B21069" s="87"/>
      <c r="C21069" s="87"/>
      <c r="D21069" s="87"/>
      <c r="E21069" s="87"/>
      <c r="F21069" s="87"/>
      <c r="G21069" s="87"/>
    </row>
    <row r="21070">
      <c r="A21070" s="86" t="str">
        <f>IFERROR(__xludf.DUMMYFUNCTION("""COMPUTED_VALUE"""),"")</f>
        <v/>
      </c>
      <c r="B21070" s="87"/>
      <c r="C21070" s="87"/>
      <c r="D21070" s="87"/>
      <c r="E21070" s="87"/>
      <c r="F21070" s="87"/>
      <c r="G21070" s="87"/>
    </row>
    <row r="21071">
      <c r="A21071" s="86" t="str">
        <f>IFERROR(__xludf.DUMMYFUNCTION("""COMPUTED_VALUE"""),"")</f>
        <v/>
      </c>
      <c r="B21071" s="87"/>
      <c r="C21071" s="87"/>
      <c r="D21071" s="87"/>
      <c r="E21071" s="87"/>
      <c r="F21071" s="87"/>
      <c r="G21071" s="87"/>
    </row>
    <row r="21072">
      <c r="A21072" s="86" t="str">
        <f>IFERROR(__xludf.DUMMYFUNCTION("""COMPUTED_VALUE"""),"")</f>
        <v/>
      </c>
      <c r="B21072" s="87"/>
      <c r="C21072" s="87"/>
      <c r="D21072" s="87"/>
      <c r="E21072" s="87"/>
      <c r="F21072" s="87"/>
      <c r="G21072" s="87"/>
    </row>
    <row r="21073">
      <c r="A21073" s="86" t="str">
        <f>IFERROR(__xludf.DUMMYFUNCTION("""COMPUTED_VALUE"""),"")</f>
        <v/>
      </c>
      <c r="B21073" s="87"/>
      <c r="C21073" s="87"/>
      <c r="D21073" s="87"/>
      <c r="E21073" s="87"/>
      <c r="F21073" s="87"/>
      <c r="G21073" s="87"/>
    </row>
    <row r="21074">
      <c r="A21074" s="86" t="str">
        <f>IFERROR(__xludf.DUMMYFUNCTION("""COMPUTED_VALUE"""),"")</f>
        <v/>
      </c>
      <c r="B21074" s="87"/>
      <c r="C21074" s="87"/>
      <c r="D21074" s="87"/>
      <c r="E21074" s="87"/>
      <c r="F21074" s="87"/>
      <c r="G21074" s="87"/>
    </row>
    <row r="21075">
      <c r="A21075" s="86" t="str">
        <f>IFERROR(__xludf.DUMMYFUNCTION("""COMPUTED_VALUE"""),"")</f>
        <v/>
      </c>
      <c r="B21075" s="87"/>
      <c r="C21075" s="87"/>
      <c r="D21075" s="87"/>
      <c r="E21075" s="87"/>
      <c r="F21075" s="87"/>
      <c r="G21075" s="87"/>
    </row>
    <row r="21076">
      <c r="A21076" s="86" t="str">
        <f>IFERROR(__xludf.DUMMYFUNCTION("""COMPUTED_VALUE"""),"")</f>
        <v/>
      </c>
      <c r="B21076" s="87"/>
      <c r="C21076" s="87"/>
      <c r="D21076" s="87"/>
      <c r="E21076" s="87"/>
      <c r="F21076" s="87"/>
      <c r="G21076" s="87"/>
    </row>
    <row r="21077">
      <c r="A21077" s="86" t="str">
        <f>IFERROR(__xludf.DUMMYFUNCTION("""COMPUTED_VALUE"""),"")</f>
        <v/>
      </c>
      <c r="B21077" s="87"/>
      <c r="C21077" s="87"/>
      <c r="D21077" s="87"/>
      <c r="E21077" s="87"/>
      <c r="F21077" s="87"/>
      <c r="G21077" s="87"/>
    </row>
    <row r="21078">
      <c r="A21078" s="86" t="str">
        <f>IFERROR(__xludf.DUMMYFUNCTION("""COMPUTED_VALUE"""),"")</f>
        <v/>
      </c>
      <c r="B21078" s="87"/>
      <c r="C21078" s="87"/>
      <c r="D21078" s="87"/>
      <c r="E21078" s="87"/>
      <c r="F21078" s="87"/>
      <c r="G21078" s="87"/>
    </row>
    <row r="21079">
      <c r="A21079" s="86" t="str">
        <f>IFERROR(__xludf.DUMMYFUNCTION("""COMPUTED_VALUE"""),"")</f>
        <v/>
      </c>
      <c r="B21079" s="87"/>
      <c r="C21079" s="87"/>
      <c r="D21079" s="87"/>
      <c r="E21079" s="87"/>
      <c r="F21079" s="87"/>
      <c r="G21079" s="87"/>
    </row>
    <row r="21080">
      <c r="A21080" s="86" t="str">
        <f>IFERROR(__xludf.DUMMYFUNCTION("""COMPUTED_VALUE"""),"")</f>
        <v/>
      </c>
      <c r="B21080" s="87"/>
      <c r="C21080" s="87"/>
      <c r="D21080" s="87"/>
      <c r="E21080" s="87"/>
      <c r="F21080" s="87"/>
      <c r="G21080" s="87"/>
    </row>
    <row r="21081">
      <c r="A21081" s="86" t="str">
        <f>IFERROR(__xludf.DUMMYFUNCTION("""COMPUTED_VALUE"""),"")</f>
        <v/>
      </c>
      <c r="B21081" s="87"/>
      <c r="C21081" s="87"/>
      <c r="D21081" s="87"/>
      <c r="E21081" s="87"/>
      <c r="F21081" s="87"/>
      <c r="G21081" s="87"/>
    </row>
    <row r="21082">
      <c r="A21082" s="86" t="str">
        <f>IFERROR(__xludf.DUMMYFUNCTION("""COMPUTED_VALUE"""),"")</f>
        <v/>
      </c>
      <c r="B21082" s="87"/>
      <c r="C21082" s="87"/>
      <c r="D21082" s="87"/>
      <c r="E21082" s="87"/>
      <c r="F21082" s="87"/>
      <c r="G21082" s="87"/>
    </row>
    <row r="21083">
      <c r="A21083" s="86" t="str">
        <f>IFERROR(__xludf.DUMMYFUNCTION("""COMPUTED_VALUE"""),"")</f>
        <v/>
      </c>
      <c r="B21083" s="87"/>
      <c r="C21083" s="87"/>
      <c r="D21083" s="87"/>
      <c r="E21083" s="87"/>
      <c r="F21083" s="87"/>
      <c r="G21083" s="87"/>
    </row>
    <row r="21084">
      <c r="A21084" s="86" t="str">
        <f>IFERROR(__xludf.DUMMYFUNCTION("""COMPUTED_VALUE"""),"")</f>
        <v/>
      </c>
      <c r="B21084" s="87"/>
      <c r="C21084" s="87"/>
      <c r="D21084" s="87"/>
      <c r="E21084" s="87"/>
      <c r="F21084" s="87"/>
      <c r="G21084" s="87"/>
    </row>
    <row r="21085">
      <c r="A21085" s="86" t="str">
        <f>IFERROR(__xludf.DUMMYFUNCTION("""COMPUTED_VALUE"""),"")</f>
        <v/>
      </c>
      <c r="B21085" s="87"/>
      <c r="C21085" s="87"/>
      <c r="D21085" s="87"/>
      <c r="E21085" s="87"/>
      <c r="F21085" s="87"/>
      <c r="G21085" s="87"/>
    </row>
    <row r="21086">
      <c r="A21086" s="86" t="str">
        <f>IFERROR(__xludf.DUMMYFUNCTION("""COMPUTED_VALUE"""),"")</f>
        <v/>
      </c>
      <c r="B21086" s="87"/>
      <c r="C21086" s="87"/>
      <c r="D21086" s="87"/>
      <c r="E21086" s="87"/>
      <c r="F21086" s="87"/>
      <c r="G21086" s="87"/>
    </row>
    <row r="21087">
      <c r="A21087" s="86" t="str">
        <f>IFERROR(__xludf.DUMMYFUNCTION("""COMPUTED_VALUE"""),"")</f>
        <v/>
      </c>
      <c r="B21087" s="87"/>
      <c r="C21087" s="87"/>
      <c r="D21087" s="87"/>
      <c r="E21087" s="87"/>
      <c r="F21087" s="87"/>
      <c r="G21087" s="87"/>
    </row>
    <row r="21088">
      <c r="A21088" s="86" t="str">
        <f>IFERROR(__xludf.DUMMYFUNCTION("""COMPUTED_VALUE"""),"")</f>
        <v/>
      </c>
      <c r="B21088" s="87"/>
      <c r="C21088" s="87"/>
      <c r="D21088" s="87"/>
      <c r="E21088" s="87"/>
      <c r="F21088" s="87"/>
      <c r="G21088" s="87"/>
    </row>
    <row r="21089">
      <c r="A21089" s="86" t="str">
        <f>IFERROR(__xludf.DUMMYFUNCTION("""COMPUTED_VALUE"""),"")</f>
        <v/>
      </c>
      <c r="B21089" s="87"/>
      <c r="C21089" s="87"/>
      <c r="D21089" s="87"/>
      <c r="E21089" s="87"/>
      <c r="F21089" s="87"/>
      <c r="G21089" s="87"/>
    </row>
    <row r="21090">
      <c r="A21090" s="86" t="str">
        <f>IFERROR(__xludf.DUMMYFUNCTION("""COMPUTED_VALUE"""),"")</f>
        <v/>
      </c>
      <c r="B21090" s="87"/>
      <c r="C21090" s="87"/>
      <c r="D21090" s="87"/>
      <c r="E21090" s="87"/>
      <c r="F21090" s="87"/>
      <c r="G21090" s="87"/>
    </row>
    <row r="21091">
      <c r="A21091" s="86" t="str">
        <f>IFERROR(__xludf.DUMMYFUNCTION("""COMPUTED_VALUE"""),"")</f>
        <v/>
      </c>
      <c r="B21091" s="87"/>
      <c r="C21091" s="87"/>
      <c r="D21091" s="87"/>
      <c r="E21091" s="87"/>
      <c r="F21091" s="87"/>
      <c r="G21091" s="87"/>
    </row>
    <row r="21092">
      <c r="A21092" s="86" t="str">
        <f>IFERROR(__xludf.DUMMYFUNCTION("""COMPUTED_VALUE"""),"")</f>
        <v/>
      </c>
      <c r="B21092" s="87"/>
      <c r="C21092" s="87"/>
      <c r="D21092" s="87"/>
      <c r="E21092" s="87"/>
      <c r="F21092" s="87"/>
      <c r="G21092" s="87"/>
    </row>
    <row r="21093">
      <c r="A21093" s="86" t="str">
        <f>IFERROR(__xludf.DUMMYFUNCTION("""COMPUTED_VALUE"""),"")</f>
        <v/>
      </c>
      <c r="B21093" s="87"/>
      <c r="C21093" s="87"/>
      <c r="D21093" s="87"/>
      <c r="E21093" s="87"/>
      <c r="F21093" s="87"/>
      <c r="G21093" s="87"/>
    </row>
    <row r="21094">
      <c r="A21094" s="86" t="str">
        <f>IFERROR(__xludf.DUMMYFUNCTION("""COMPUTED_VALUE"""),"")</f>
        <v/>
      </c>
      <c r="B21094" s="87"/>
      <c r="C21094" s="87"/>
      <c r="D21094" s="87"/>
      <c r="E21094" s="87"/>
      <c r="F21094" s="87"/>
      <c r="G21094" s="87"/>
    </row>
    <row r="21095">
      <c r="A21095" s="86" t="str">
        <f>IFERROR(__xludf.DUMMYFUNCTION("""COMPUTED_VALUE"""),"")</f>
        <v/>
      </c>
      <c r="B21095" s="87"/>
      <c r="C21095" s="87"/>
      <c r="D21095" s="87"/>
      <c r="E21095" s="87"/>
      <c r="F21095" s="87"/>
      <c r="G21095" s="87"/>
    </row>
    <row r="21096">
      <c r="A21096" s="86" t="str">
        <f>IFERROR(__xludf.DUMMYFUNCTION("""COMPUTED_VALUE"""),"")</f>
        <v/>
      </c>
      <c r="B21096" s="87"/>
      <c r="C21096" s="87"/>
      <c r="D21096" s="87"/>
      <c r="E21096" s="87"/>
      <c r="F21096" s="87"/>
      <c r="G21096" s="87"/>
    </row>
    <row r="21097">
      <c r="A21097" s="86" t="str">
        <f>IFERROR(__xludf.DUMMYFUNCTION("""COMPUTED_VALUE"""),"")</f>
        <v/>
      </c>
      <c r="B21097" s="87"/>
      <c r="C21097" s="87"/>
      <c r="D21097" s="87"/>
      <c r="E21097" s="87"/>
      <c r="F21097" s="87"/>
      <c r="G21097" s="87"/>
    </row>
    <row r="21098">
      <c r="A21098" s="86" t="str">
        <f>IFERROR(__xludf.DUMMYFUNCTION("""COMPUTED_VALUE"""),"")</f>
        <v/>
      </c>
      <c r="B21098" s="87"/>
      <c r="C21098" s="87"/>
      <c r="D21098" s="87"/>
      <c r="E21098" s="87"/>
      <c r="F21098" s="87"/>
      <c r="G21098" s="87"/>
    </row>
    <row r="21099">
      <c r="A21099" s="86" t="str">
        <f>IFERROR(__xludf.DUMMYFUNCTION("""COMPUTED_VALUE"""),"")</f>
        <v/>
      </c>
      <c r="B21099" s="87"/>
      <c r="C21099" s="87"/>
      <c r="D21099" s="87"/>
      <c r="E21099" s="87"/>
      <c r="F21099" s="87"/>
      <c r="G21099" s="87"/>
    </row>
    <row r="21100">
      <c r="A21100" s="86" t="str">
        <f>IFERROR(__xludf.DUMMYFUNCTION("""COMPUTED_VALUE"""),"")</f>
        <v/>
      </c>
      <c r="B21100" s="87"/>
      <c r="C21100" s="87"/>
      <c r="D21100" s="87"/>
      <c r="E21100" s="87"/>
      <c r="F21100" s="87"/>
      <c r="G21100" s="87"/>
    </row>
    <row r="21101">
      <c r="A21101" s="86" t="str">
        <f>IFERROR(__xludf.DUMMYFUNCTION("""COMPUTED_VALUE"""),"")</f>
        <v/>
      </c>
      <c r="B21101" s="87"/>
      <c r="C21101" s="87"/>
      <c r="D21101" s="87"/>
      <c r="E21101" s="87"/>
      <c r="F21101" s="87"/>
      <c r="G21101" s="87"/>
    </row>
    <row r="21102">
      <c r="A21102" s="86" t="str">
        <f>IFERROR(__xludf.DUMMYFUNCTION("""COMPUTED_VALUE"""),"")</f>
        <v/>
      </c>
      <c r="B21102" s="87"/>
      <c r="C21102" s="87"/>
      <c r="D21102" s="87"/>
      <c r="E21102" s="87"/>
      <c r="F21102" s="87"/>
      <c r="G21102" s="87"/>
    </row>
    <row r="21103">
      <c r="A21103" s="86" t="str">
        <f>IFERROR(__xludf.DUMMYFUNCTION("""COMPUTED_VALUE"""),"")</f>
        <v/>
      </c>
      <c r="B21103" s="87"/>
      <c r="C21103" s="87"/>
      <c r="D21103" s="87"/>
      <c r="E21103" s="87"/>
      <c r="F21103" s="87"/>
      <c r="G21103" s="87"/>
    </row>
    <row r="21104">
      <c r="A21104" s="86" t="str">
        <f>IFERROR(__xludf.DUMMYFUNCTION("""COMPUTED_VALUE"""),"")</f>
        <v/>
      </c>
      <c r="B21104" s="87"/>
      <c r="C21104" s="87"/>
      <c r="D21104" s="87"/>
      <c r="E21104" s="87"/>
      <c r="F21104" s="87"/>
      <c r="G21104" s="87"/>
    </row>
    <row r="21105">
      <c r="A21105" s="86" t="str">
        <f>IFERROR(__xludf.DUMMYFUNCTION("""COMPUTED_VALUE"""),"")</f>
        <v/>
      </c>
      <c r="B21105" s="87"/>
      <c r="C21105" s="87"/>
      <c r="D21105" s="87"/>
      <c r="E21105" s="87"/>
      <c r="F21105" s="87"/>
      <c r="G21105" s="87"/>
    </row>
    <row r="21106">
      <c r="A21106" s="86" t="str">
        <f>IFERROR(__xludf.DUMMYFUNCTION("""COMPUTED_VALUE"""),"")</f>
        <v/>
      </c>
      <c r="B21106" s="87"/>
      <c r="C21106" s="87"/>
      <c r="D21106" s="87"/>
      <c r="E21106" s="87"/>
      <c r="F21106" s="87"/>
      <c r="G21106" s="87"/>
    </row>
    <row r="21107">
      <c r="A21107" s="86" t="str">
        <f>IFERROR(__xludf.DUMMYFUNCTION("""COMPUTED_VALUE"""),"")</f>
        <v/>
      </c>
      <c r="B21107" s="87"/>
      <c r="C21107" s="87"/>
      <c r="D21107" s="87"/>
      <c r="E21107" s="87"/>
      <c r="F21107" s="87"/>
      <c r="G21107" s="87"/>
    </row>
    <row r="21108">
      <c r="A21108" s="86" t="str">
        <f>IFERROR(__xludf.DUMMYFUNCTION("""COMPUTED_VALUE"""),"")</f>
        <v/>
      </c>
      <c r="B21108" s="87"/>
      <c r="C21108" s="87"/>
      <c r="D21108" s="87"/>
      <c r="E21108" s="87"/>
      <c r="F21108" s="87"/>
      <c r="G21108" s="87"/>
    </row>
    <row r="21109">
      <c r="A21109" s="86" t="str">
        <f>IFERROR(__xludf.DUMMYFUNCTION("""COMPUTED_VALUE"""),"")</f>
        <v/>
      </c>
      <c r="B21109" s="87"/>
      <c r="C21109" s="87"/>
      <c r="D21109" s="87"/>
      <c r="E21109" s="87"/>
      <c r="F21109" s="87"/>
      <c r="G21109" s="87"/>
    </row>
    <row r="21110">
      <c r="A21110" s="86" t="str">
        <f>IFERROR(__xludf.DUMMYFUNCTION("""COMPUTED_VALUE"""),"")</f>
        <v/>
      </c>
      <c r="B21110" s="87"/>
      <c r="C21110" s="87"/>
      <c r="D21110" s="87"/>
      <c r="E21110" s="87"/>
      <c r="F21110" s="87"/>
      <c r="G21110" s="87"/>
    </row>
    <row r="21111">
      <c r="A21111" s="86" t="str">
        <f>IFERROR(__xludf.DUMMYFUNCTION("""COMPUTED_VALUE"""),"")</f>
        <v/>
      </c>
      <c r="B21111" s="87"/>
      <c r="C21111" s="87"/>
      <c r="D21111" s="87"/>
      <c r="E21111" s="87"/>
      <c r="F21111" s="87"/>
      <c r="G21111" s="87"/>
    </row>
    <row r="21112">
      <c r="A21112" s="86" t="str">
        <f>IFERROR(__xludf.DUMMYFUNCTION("""COMPUTED_VALUE"""),"")</f>
        <v/>
      </c>
      <c r="B21112" s="87"/>
      <c r="C21112" s="87"/>
      <c r="D21112" s="87"/>
      <c r="E21112" s="87"/>
      <c r="F21112" s="87"/>
      <c r="G21112" s="87"/>
    </row>
    <row r="21113">
      <c r="A21113" s="86" t="str">
        <f>IFERROR(__xludf.DUMMYFUNCTION("""COMPUTED_VALUE"""),"")</f>
        <v/>
      </c>
      <c r="B21113" s="87"/>
      <c r="C21113" s="87"/>
      <c r="D21113" s="87"/>
      <c r="E21113" s="87"/>
      <c r="F21113" s="87"/>
      <c r="G21113" s="87"/>
    </row>
    <row r="21114">
      <c r="A21114" s="86" t="str">
        <f>IFERROR(__xludf.DUMMYFUNCTION("""COMPUTED_VALUE"""),"")</f>
        <v/>
      </c>
      <c r="B21114" s="87"/>
      <c r="C21114" s="87"/>
      <c r="D21114" s="87"/>
      <c r="E21114" s="87"/>
      <c r="F21114" s="87"/>
      <c r="G21114" s="87"/>
    </row>
    <row r="21115">
      <c r="A21115" s="86" t="str">
        <f>IFERROR(__xludf.DUMMYFUNCTION("""COMPUTED_VALUE"""),"")</f>
        <v/>
      </c>
      <c r="B21115" s="87"/>
      <c r="C21115" s="87"/>
      <c r="D21115" s="87"/>
      <c r="E21115" s="87"/>
      <c r="F21115" s="87"/>
      <c r="G21115" s="87"/>
    </row>
    <row r="21116">
      <c r="A21116" s="86" t="str">
        <f>IFERROR(__xludf.DUMMYFUNCTION("""COMPUTED_VALUE"""),"")</f>
        <v/>
      </c>
      <c r="B21116" s="87"/>
      <c r="C21116" s="87"/>
      <c r="D21116" s="87"/>
      <c r="E21116" s="87"/>
      <c r="F21116" s="87"/>
      <c r="G21116" s="87"/>
    </row>
    <row r="21117">
      <c r="A21117" s="86" t="str">
        <f>IFERROR(__xludf.DUMMYFUNCTION("""COMPUTED_VALUE"""),"")</f>
        <v/>
      </c>
      <c r="B21117" s="87"/>
      <c r="C21117" s="87"/>
      <c r="D21117" s="87"/>
      <c r="E21117" s="87"/>
      <c r="F21117" s="87"/>
      <c r="G21117" s="87"/>
    </row>
    <row r="21118">
      <c r="A21118" s="86" t="str">
        <f>IFERROR(__xludf.DUMMYFUNCTION("""COMPUTED_VALUE"""),"")</f>
        <v/>
      </c>
      <c r="B21118" s="87"/>
      <c r="C21118" s="87"/>
      <c r="D21118" s="87"/>
      <c r="E21118" s="87"/>
      <c r="F21118" s="87"/>
      <c r="G21118" s="87"/>
    </row>
    <row r="21119">
      <c r="A21119" s="86" t="str">
        <f>IFERROR(__xludf.DUMMYFUNCTION("""COMPUTED_VALUE"""),"")</f>
        <v/>
      </c>
      <c r="B21119" s="87"/>
      <c r="C21119" s="87"/>
      <c r="D21119" s="87"/>
      <c r="E21119" s="87"/>
      <c r="F21119" s="87"/>
      <c r="G21119" s="87"/>
    </row>
    <row r="21120">
      <c r="A21120" s="86" t="str">
        <f>IFERROR(__xludf.DUMMYFUNCTION("""COMPUTED_VALUE"""),"")</f>
        <v/>
      </c>
      <c r="B21120" s="87"/>
      <c r="C21120" s="87"/>
      <c r="D21120" s="87"/>
      <c r="E21120" s="87"/>
      <c r="F21120" s="87"/>
      <c r="G21120" s="87"/>
    </row>
    <row r="21121">
      <c r="A21121" s="86" t="str">
        <f>IFERROR(__xludf.DUMMYFUNCTION("""COMPUTED_VALUE"""),"")</f>
        <v/>
      </c>
      <c r="B21121" s="87"/>
      <c r="C21121" s="87"/>
      <c r="D21121" s="87"/>
      <c r="E21121" s="87"/>
      <c r="F21121" s="87"/>
      <c r="G21121" s="87"/>
    </row>
    <row r="21122">
      <c r="A21122" s="86" t="str">
        <f>IFERROR(__xludf.DUMMYFUNCTION("""COMPUTED_VALUE"""),"")</f>
        <v/>
      </c>
      <c r="B21122" s="87"/>
      <c r="C21122" s="87"/>
      <c r="D21122" s="87"/>
      <c r="E21122" s="87"/>
      <c r="F21122" s="87"/>
      <c r="G21122" s="87"/>
    </row>
    <row r="21123">
      <c r="A21123" s="86" t="str">
        <f>IFERROR(__xludf.DUMMYFUNCTION("""COMPUTED_VALUE"""),"")</f>
        <v/>
      </c>
      <c r="B21123" s="87"/>
      <c r="C21123" s="87"/>
      <c r="D21123" s="87"/>
      <c r="E21123" s="87"/>
      <c r="F21123" s="87"/>
      <c r="G21123" s="87"/>
    </row>
    <row r="21124">
      <c r="A21124" s="86" t="str">
        <f>IFERROR(__xludf.DUMMYFUNCTION("""COMPUTED_VALUE"""),"")</f>
        <v/>
      </c>
      <c r="B21124" s="87"/>
      <c r="C21124" s="87"/>
      <c r="D21124" s="87"/>
      <c r="E21124" s="87"/>
      <c r="F21124" s="87"/>
      <c r="G21124" s="87"/>
    </row>
    <row r="21125">
      <c r="A21125" s="86" t="str">
        <f>IFERROR(__xludf.DUMMYFUNCTION("""COMPUTED_VALUE"""),"")</f>
        <v/>
      </c>
      <c r="B21125" s="87"/>
      <c r="C21125" s="87"/>
      <c r="D21125" s="87"/>
      <c r="E21125" s="87"/>
      <c r="F21125" s="87"/>
      <c r="G21125" s="87"/>
    </row>
    <row r="21126">
      <c r="A21126" s="86" t="str">
        <f>IFERROR(__xludf.DUMMYFUNCTION("""COMPUTED_VALUE"""),"")</f>
        <v/>
      </c>
      <c r="B21126" s="87"/>
      <c r="C21126" s="87"/>
      <c r="D21126" s="87"/>
      <c r="E21126" s="87"/>
      <c r="F21126" s="87"/>
      <c r="G21126" s="87"/>
    </row>
    <row r="21127">
      <c r="A21127" s="86" t="str">
        <f>IFERROR(__xludf.DUMMYFUNCTION("""COMPUTED_VALUE"""),"")</f>
        <v/>
      </c>
      <c r="B21127" s="87"/>
      <c r="C21127" s="87"/>
      <c r="D21127" s="87"/>
      <c r="E21127" s="87"/>
      <c r="F21127" s="87"/>
      <c r="G21127" s="87"/>
    </row>
    <row r="21128">
      <c r="A21128" s="86" t="str">
        <f>IFERROR(__xludf.DUMMYFUNCTION("""COMPUTED_VALUE"""),"")</f>
        <v/>
      </c>
      <c r="B21128" s="87"/>
      <c r="C21128" s="87"/>
      <c r="D21128" s="87"/>
      <c r="E21128" s="87"/>
      <c r="F21128" s="87"/>
      <c r="G21128" s="87"/>
    </row>
    <row r="21129">
      <c r="A21129" s="86" t="str">
        <f>IFERROR(__xludf.DUMMYFUNCTION("""COMPUTED_VALUE"""),"")</f>
        <v/>
      </c>
      <c r="B21129" s="87"/>
      <c r="C21129" s="87"/>
      <c r="D21129" s="87"/>
      <c r="E21129" s="87"/>
      <c r="F21129" s="87"/>
      <c r="G21129" s="87"/>
    </row>
    <row r="21130">
      <c r="A21130" s="86" t="str">
        <f>IFERROR(__xludf.DUMMYFUNCTION("""COMPUTED_VALUE"""),"")</f>
        <v/>
      </c>
      <c r="B21130" s="87"/>
      <c r="C21130" s="87"/>
      <c r="D21130" s="87"/>
      <c r="E21130" s="87"/>
      <c r="F21130" s="87"/>
      <c r="G21130" s="87"/>
    </row>
    <row r="21131">
      <c r="A21131" s="86" t="str">
        <f>IFERROR(__xludf.DUMMYFUNCTION("""COMPUTED_VALUE"""),"")</f>
        <v/>
      </c>
      <c r="B21131" s="87"/>
      <c r="C21131" s="87"/>
      <c r="D21131" s="87"/>
      <c r="E21131" s="87"/>
      <c r="F21131" s="87"/>
      <c r="G21131" s="87"/>
    </row>
    <row r="21132">
      <c r="A21132" s="86" t="str">
        <f>IFERROR(__xludf.DUMMYFUNCTION("""COMPUTED_VALUE"""),"")</f>
        <v/>
      </c>
      <c r="B21132" s="87"/>
      <c r="C21132" s="87"/>
      <c r="D21132" s="87"/>
      <c r="E21132" s="87"/>
      <c r="F21132" s="87"/>
      <c r="G21132" s="87"/>
    </row>
    <row r="21133">
      <c r="A21133" s="86" t="str">
        <f>IFERROR(__xludf.DUMMYFUNCTION("""COMPUTED_VALUE"""),"")</f>
        <v/>
      </c>
      <c r="B21133" s="87"/>
      <c r="C21133" s="87"/>
      <c r="D21133" s="87"/>
      <c r="E21133" s="87"/>
      <c r="F21133" s="87"/>
      <c r="G21133" s="87"/>
    </row>
    <row r="21134">
      <c r="A21134" s="86" t="str">
        <f>IFERROR(__xludf.DUMMYFUNCTION("""COMPUTED_VALUE"""),"")</f>
        <v/>
      </c>
      <c r="B21134" s="87"/>
      <c r="C21134" s="87"/>
      <c r="D21134" s="87"/>
      <c r="E21134" s="87"/>
      <c r="F21134" s="87"/>
      <c r="G21134" s="87"/>
    </row>
    <row r="21135">
      <c r="A21135" s="86" t="str">
        <f>IFERROR(__xludf.DUMMYFUNCTION("""COMPUTED_VALUE"""),"")</f>
        <v/>
      </c>
      <c r="B21135" s="87"/>
      <c r="C21135" s="87"/>
      <c r="D21135" s="87"/>
      <c r="E21135" s="87"/>
      <c r="F21135" s="87"/>
      <c r="G21135" s="87"/>
    </row>
    <row r="21136">
      <c r="A21136" s="86" t="str">
        <f>IFERROR(__xludf.DUMMYFUNCTION("""COMPUTED_VALUE"""),"")</f>
        <v/>
      </c>
      <c r="B21136" s="87"/>
      <c r="C21136" s="87"/>
      <c r="D21136" s="87"/>
      <c r="E21136" s="87"/>
      <c r="F21136" s="87"/>
      <c r="G21136" s="87"/>
    </row>
    <row r="21137">
      <c r="A21137" s="86" t="str">
        <f>IFERROR(__xludf.DUMMYFUNCTION("""COMPUTED_VALUE"""),"")</f>
        <v/>
      </c>
      <c r="B21137" s="87"/>
      <c r="C21137" s="87"/>
      <c r="D21137" s="87"/>
      <c r="E21137" s="87"/>
      <c r="F21137" s="87"/>
      <c r="G21137" s="87"/>
    </row>
    <row r="21138">
      <c r="A21138" s="86" t="str">
        <f>IFERROR(__xludf.DUMMYFUNCTION("""COMPUTED_VALUE"""),"")</f>
        <v/>
      </c>
      <c r="B21138" s="87"/>
      <c r="C21138" s="87"/>
      <c r="D21138" s="87"/>
      <c r="E21138" s="87"/>
      <c r="F21138" s="87"/>
      <c r="G21138" s="87"/>
    </row>
    <row r="21139">
      <c r="A21139" s="86" t="str">
        <f>IFERROR(__xludf.DUMMYFUNCTION("""COMPUTED_VALUE"""),"")</f>
        <v/>
      </c>
      <c r="B21139" s="87"/>
      <c r="C21139" s="87"/>
      <c r="D21139" s="87"/>
      <c r="E21139" s="87"/>
      <c r="F21139" s="87"/>
      <c r="G21139" s="87"/>
    </row>
    <row r="21140">
      <c r="A21140" s="86" t="str">
        <f>IFERROR(__xludf.DUMMYFUNCTION("""COMPUTED_VALUE"""),"")</f>
        <v/>
      </c>
      <c r="B21140" s="87"/>
      <c r="C21140" s="87"/>
      <c r="D21140" s="87"/>
      <c r="E21140" s="87"/>
      <c r="F21140" s="87"/>
      <c r="G21140" s="87"/>
    </row>
    <row r="21141">
      <c r="A21141" s="86" t="str">
        <f>IFERROR(__xludf.DUMMYFUNCTION("""COMPUTED_VALUE"""),"")</f>
        <v/>
      </c>
      <c r="B21141" s="87"/>
      <c r="C21141" s="87"/>
      <c r="D21141" s="87"/>
      <c r="E21141" s="87"/>
      <c r="F21141" s="87"/>
      <c r="G21141" s="87"/>
    </row>
    <row r="21142">
      <c r="A21142" s="86" t="str">
        <f>IFERROR(__xludf.DUMMYFUNCTION("""COMPUTED_VALUE"""),"")</f>
        <v/>
      </c>
      <c r="B21142" s="87"/>
      <c r="C21142" s="87"/>
      <c r="D21142" s="87"/>
      <c r="E21142" s="87"/>
      <c r="F21142" s="87"/>
      <c r="G21142" s="87"/>
    </row>
    <row r="21143">
      <c r="A21143" s="86" t="str">
        <f>IFERROR(__xludf.DUMMYFUNCTION("""COMPUTED_VALUE"""),"")</f>
        <v/>
      </c>
      <c r="B21143" s="87"/>
      <c r="C21143" s="87"/>
      <c r="D21143" s="87"/>
      <c r="E21143" s="87"/>
      <c r="F21143" s="87"/>
      <c r="G21143" s="87"/>
    </row>
    <row r="21144">
      <c r="A21144" s="86" t="str">
        <f>IFERROR(__xludf.DUMMYFUNCTION("""COMPUTED_VALUE"""),"")</f>
        <v/>
      </c>
      <c r="B21144" s="87"/>
      <c r="C21144" s="87"/>
      <c r="D21144" s="87"/>
      <c r="E21144" s="87"/>
      <c r="F21144" s="87"/>
      <c r="G21144" s="87"/>
    </row>
    <row r="21145">
      <c r="A21145" s="86" t="str">
        <f>IFERROR(__xludf.DUMMYFUNCTION("""COMPUTED_VALUE"""),"")</f>
        <v/>
      </c>
      <c r="B21145" s="87"/>
      <c r="C21145" s="87"/>
      <c r="D21145" s="87"/>
      <c r="E21145" s="87"/>
      <c r="F21145" s="87"/>
      <c r="G21145" s="87"/>
    </row>
    <row r="21146">
      <c r="A21146" s="86" t="str">
        <f>IFERROR(__xludf.DUMMYFUNCTION("""COMPUTED_VALUE"""),"")</f>
        <v/>
      </c>
      <c r="B21146" s="87"/>
      <c r="C21146" s="87"/>
      <c r="D21146" s="87"/>
      <c r="E21146" s="87"/>
      <c r="F21146" s="87"/>
      <c r="G21146" s="87"/>
    </row>
    <row r="21147">
      <c r="A21147" s="86" t="str">
        <f>IFERROR(__xludf.DUMMYFUNCTION("""COMPUTED_VALUE"""),"")</f>
        <v/>
      </c>
      <c r="B21147" s="87"/>
      <c r="C21147" s="87"/>
      <c r="D21147" s="87"/>
      <c r="E21147" s="87"/>
      <c r="F21147" s="87"/>
      <c r="G21147" s="87"/>
    </row>
    <row r="21148">
      <c r="A21148" s="86" t="str">
        <f>IFERROR(__xludf.DUMMYFUNCTION("""COMPUTED_VALUE"""),"")</f>
        <v/>
      </c>
      <c r="B21148" s="87"/>
      <c r="C21148" s="87"/>
      <c r="D21148" s="87"/>
      <c r="E21148" s="87"/>
      <c r="F21148" s="87"/>
      <c r="G21148" s="87"/>
    </row>
    <row r="21149">
      <c r="A21149" s="86" t="str">
        <f>IFERROR(__xludf.DUMMYFUNCTION("""COMPUTED_VALUE"""),"")</f>
        <v/>
      </c>
      <c r="B21149" s="87"/>
      <c r="C21149" s="87"/>
      <c r="D21149" s="87"/>
      <c r="E21149" s="87"/>
      <c r="F21149" s="87"/>
      <c r="G21149" s="87"/>
    </row>
    <row r="21150">
      <c r="A21150" s="86" t="str">
        <f>IFERROR(__xludf.DUMMYFUNCTION("""COMPUTED_VALUE"""),"")</f>
        <v/>
      </c>
      <c r="B21150" s="87"/>
      <c r="C21150" s="87"/>
      <c r="D21150" s="87"/>
      <c r="E21150" s="87"/>
      <c r="F21150" s="87"/>
      <c r="G21150" s="87"/>
    </row>
    <row r="21151">
      <c r="A21151" s="86" t="str">
        <f>IFERROR(__xludf.DUMMYFUNCTION("""COMPUTED_VALUE"""),"")</f>
        <v/>
      </c>
      <c r="B21151" s="87"/>
      <c r="C21151" s="87"/>
      <c r="D21151" s="87"/>
      <c r="E21151" s="87"/>
      <c r="F21151" s="87"/>
      <c r="G21151" s="87"/>
    </row>
    <row r="21152">
      <c r="A21152" s="86" t="str">
        <f>IFERROR(__xludf.DUMMYFUNCTION("""COMPUTED_VALUE"""),"")</f>
        <v/>
      </c>
      <c r="B21152" s="87"/>
      <c r="C21152" s="87"/>
      <c r="D21152" s="87"/>
      <c r="E21152" s="87"/>
      <c r="F21152" s="87"/>
      <c r="G21152" s="87"/>
    </row>
    <row r="21153">
      <c r="A21153" s="86" t="str">
        <f>IFERROR(__xludf.DUMMYFUNCTION("""COMPUTED_VALUE"""),"")</f>
        <v/>
      </c>
      <c r="B21153" s="87"/>
      <c r="C21153" s="87"/>
      <c r="D21153" s="87"/>
      <c r="E21153" s="87"/>
      <c r="F21153" s="87"/>
      <c r="G21153" s="87"/>
    </row>
    <row r="21154">
      <c r="A21154" s="86" t="str">
        <f>IFERROR(__xludf.DUMMYFUNCTION("""COMPUTED_VALUE"""),"")</f>
        <v/>
      </c>
      <c r="B21154" s="87"/>
      <c r="C21154" s="87"/>
      <c r="D21154" s="87"/>
      <c r="E21154" s="87"/>
      <c r="F21154" s="87"/>
      <c r="G21154" s="87"/>
    </row>
    <row r="21155">
      <c r="A21155" s="86" t="str">
        <f>IFERROR(__xludf.DUMMYFUNCTION("""COMPUTED_VALUE"""),"")</f>
        <v/>
      </c>
      <c r="B21155" s="87"/>
      <c r="C21155" s="87"/>
      <c r="D21155" s="87"/>
      <c r="E21155" s="87"/>
      <c r="F21155" s="87"/>
      <c r="G21155" s="87"/>
    </row>
    <row r="21156">
      <c r="A21156" s="86" t="str">
        <f>IFERROR(__xludf.DUMMYFUNCTION("""COMPUTED_VALUE"""),"")</f>
        <v/>
      </c>
      <c r="B21156" s="87"/>
      <c r="C21156" s="87"/>
      <c r="D21156" s="87"/>
      <c r="E21156" s="87"/>
      <c r="F21156" s="87"/>
      <c r="G21156" s="87"/>
    </row>
    <row r="21157">
      <c r="A21157" s="86" t="str">
        <f>IFERROR(__xludf.DUMMYFUNCTION("""COMPUTED_VALUE"""),"")</f>
        <v/>
      </c>
      <c r="B21157" s="87"/>
      <c r="C21157" s="87"/>
      <c r="D21157" s="87"/>
      <c r="E21157" s="87"/>
      <c r="F21157" s="87"/>
      <c r="G21157" s="87"/>
    </row>
    <row r="21158">
      <c r="A21158" s="86" t="str">
        <f>IFERROR(__xludf.DUMMYFUNCTION("""COMPUTED_VALUE"""),"")</f>
        <v/>
      </c>
      <c r="B21158" s="87"/>
      <c r="C21158" s="87"/>
      <c r="D21158" s="87"/>
      <c r="E21158" s="87"/>
      <c r="F21158" s="87"/>
      <c r="G21158" s="87"/>
    </row>
    <row r="21159">
      <c r="A21159" s="86" t="str">
        <f>IFERROR(__xludf.DUMMYFUNCTION("""COMPUTED_VALUE"""),"")</f>
        <v/>
      </c>
      <c r="B21159" s="87"/>
      <c r="C21159" s="87"/>
      <c r="D21159" s="87"/>
      <c r="E21159" s="87"/>
      <c r="F21159" s="87"/>
      <c r="G21159" s="87"/>
    </row>
    <row r="21160">
      <c r="A21160" s="86" t="str">
        <f>IFERROR(__xludf.DUMMYFUNCTION("""COMPUTED_VALUE"""),"")</f>
        <v/>
      </c>
      <c r="B21160" s="87"/>
      <c r="C21160" s="87"/>
      <c r="D21160" s="87"/>
      <c r="E21160" s="87"/>
      <c r="F21160" s="87"/>
      <c r="G21160" s="87"/>
    </row>
    <row r="21161">
      <c r="A21161" s="86" t="str">
        <f>IFERROR(__xludf.DUMMYFUNCTION("""COMPUTED_VALUE"""),"")</f>
        <v/>
      </c>
      <c r="B21161" s="87"/>
      <c r="C21161" s="87"/>
      <c r="D21161" s="87"/>
      <c r="E21161" s="87"/>
      <c r="F21161" s="87"/>
      <c r="G21161" s="87"/>
    </row>
    <row r="21162">
      <c r="A21162" s="86" t="str">
        <f>IFERROR(__xludf.DUMMYFUNCTION("""COMPUTED_VALUE"""),"")</f>
        <v/>
      </c>
      <c r="B21162" s="87"/>
      <c r="C21162" s="87"/>
      <c r="D21162" s="87"/>
      <c r="E21162" s="87"/>
      <c r="F21162" s="87"/>
      <c r="G21162" s="87"/>
    </row>
    <row r="21163">
      <c r="A21163" s="86" t="str">
        <f>IFERROR(__xludf.DUMMYFUNCTION("""COMPUTED_VALUE"""),"")</f>
        <v/>
      </c>
      <c r="B21163" s="87"/>
      <c r="C21163" s="87"/>
      <c r="D21163" s="87"/>
      <c r="E21163" s="87"/>
      <c r="F21163" s="87"/>
      <c r="G21163" s="87"/>
    </row>
    <row r="21164">
      <c r="A21164" s="86" t="str">
        <f>IFERROR(__xludf.DUMMYFUNCTION("""COMPUTED_VALUE"""),"")</f>
        <v/>
      </c>
      <c r="B21164" s="87"/>
      <c r="C21164" s="87"/>
      <c r="D21164" s="87"/>
      <c r="E21164" s="87"/>
      <c r="F21164" s="87"/>
      <c r="G21164" s="87"/>
    </row>
    <row r="21165">
      <c r="A21165" s="86" t="str">
        <f>IFERROR(__xludf.DUMMYFUNCTION("""COMPUTED_VALUE"""),"")</f>
        <v/>
      </c>
      <c r="B21165" s="87"/>
      <c r="C21165" s="87"/>
      <c r="D21165" s="87"/>
      <c r="E21165" s="87"/>
      <c r="F21165" s="87"/>
      <c r="G21165" s="87"/>
    </row>
    <row r="21166">
      <c r="A21166" s="86" t="str">
        <f>IFERROR(__xludf.DUMMYFUNCTION("""COMPUTED_VALUE"""),"")</f>
        <v/>
      </c>
      <c r="B21166" s="87"/>
      <c r="C21166" s="87"/>
      <c r="D21166" s="87"/>
      <c r="E21166" s="87"/>
      <c r="F21166" s="87"/>
      <c r="G21166" s="87"/>
    </row>
    <row r="21167">
      <c r="A21167" s="86" t="str">
        <f>IFERROR(__xludf.DUMMYFUNCTION("""COMPUTED_VALUE"""),"")</f>
        <v/>
      </c>
      <c r="B21167" s="87"/>
      <c r="C21167" s="87"/>
      <c r="D21167" s="87"/>
      <c r="E21167" s="87"/>
      <c r="F21167" s="87"/>
      <c r="G21167" s="87"/>
    </row>
    <row r="21168">
      <c r="A21168" s="86" t="str">
        <f>IFERROR(__xludf.DUMMYFUNCTION("""COMPUTED_VALUE"""),"")</f>
        <v/>
      </c>
      <c r="B21168" s="87"/>
      <c r="C21168" s="87"/>
      <c r="D21168" s="87"/>
      <c r="E21168" s="87"/>
      <c r="F21168" s="87"/>
      <c r="G21168" s="87"/>
    </row>
    <row r="21169">
      <c r="A21169" s="86" t="str">
        <f>IFERROR(__xludf.DUMMYFUNCTION("""COMPUTED_VALUE"""),"")</f>
        <v/>
      </c>
      <c r="B21169" s="87"/>
      <c r="C21169" s="87"/>
      <c r="D21169" s="87"/>
      <c r="E21169" s="87"/>
      <c r="F21169" s="87"/>
      <c r="G21169" s="87"/>
    </row>
    <row r="21170">
      <c r="A21170" s="86" t="str">
        <f>IFERROR(__xludf.DUMMYFUNCTION("""COMPUTED_VALUE"""),"")</f>
        <v/>
      </c>
      <c r="B21170" s="87"/>
      <c r="C21170" s="87"/>
      <c r="D21170" s="87"/>
      <c r="E21170" s="87"/>
      <c r="F21170" s="87"/>
      <c r="G21170" s="87"/>
    </row>
    <row r="21171">
      <c r="A21171" s="86" t="str">
        <f>IFERROR(__xludf.DUMMYFUNCTION("""COMPUTED_VALUE"""),"")</f>
        <v/>
      </c>
      <c r="B21171" s="87"/>
      <c r="C21171" s="87"/>
      <c r="D21171" s="87"/>
      <c r="E21171" s="87"/>
      <c r="F21171" s="87"/>
      <c r="G21171" s="87"/>
    </row>
    <row r="21172">
      <c r="A21172" s="86" t="str">
        <f>IFERROR(__xludf.DUMMYFUNCTION("""COMPUTED_VALUE"""),"")</f>
        <v/>
      </c>
      <c r="B21172" s="87"/>
      <c r="C21172" s="87"/>
      <c r="D21172" s="87"/>
      <c r="E21172" s="87"/>
      <c r="F21172" s="87"/>
      <c r="G21172" s="87"/>
    </row>
    <row r="21173">
      <c r="A21173" s="86" t="str">
        <f>IFERROR(__xludf.DUMMYFUNCTION("""COMPUTED_VALUE"""),"")</f>
        <v/>
      </c>
      <c r="B21173" s="87"/>
      <c r="C21173" s="87"/>
      <c r="D21173" s="87"/>
      <c r="E21173" s="87"/>
      <c r="F21173" s="87"/>
      <c r="G21173" s="87"/>
    </row>
    <row r="21174">
      <c r="A21174" s="86" t="str">
        <f>IFERROR(__xludf.DUMMYFUNCTION("""COMPUTED_VALUE"""),"")</f>
        <v/>
      </c>
      <c r="B21174" s="87"/>
      <c r="C21174" s="87"/>
      <c r="D21174" s="87"/>
      <c r="E21174" s="87"/>
      <c r="F21174" s="87"/>
      <c r="G21174" s="87"/>
    </row>
    <row r="21175">
      <c r="A21175" s="86" t="str">
        <f>IFERROR(__xludf.DUMMYFUNCTION("""COMPUTED_VALUE"""),"")</f>
        <v/>
      </c>
      <c r="B21175" s="87"/>
      <c r="C21175" s="87"/>
      <c r="D21175" s="87"/>
      <c r="E21175" s="87"/>
      <c r="F21175" s="87"/>
      <c r="G21175" s="87"/>
    </row>
    <row r="21176">
      <c r="A21176" s="86" t="str">
        <f>IFERROR(__xludf.DUMMYFUNCTION("""COMPUTED_VALUE"""),"")</f>
        <v/>
      </c>
      <c r="B21176" s="87"/>
      <c r="C21176" s="87"/>
      <c r="D21176" s="87"/>
      <c r="E21176" s="87"/>
      <c r="F21176" s="87"/>
      <c r="G21176" s="87"/>
    </row>
    <row r="21177">
      <c r="A21177" s="86" t="str">
        <f>IFERROR(__xludf.DUMMYFUNCTION("""COMPUTED_VALUE"""),"")</f>
        <v/>
      </c>
      <c r="B21177" s="87"/>
      <c r="C21177" s="87"/>
      <c r="D21177" s="87"/>
      <c r="E21177" s="87"/>
      <c r="F21177" s="87"/>
      <c r="G21177" s="87"/>
    </row>
    <row r="21178">
      <c r="A21178" s="86" t="str">
        <f>IFERROR(__xludf.DUMMYFUNCTION("""COMPUTED_VALUE"""),"")</f>
        <v/>
      </c>
      <c r="B21178" s="87"/>
      <c r="C21178" s="87"/>
      <c r="D21178" s="87"/>
      <c r="E21178" s="87"/>
      <c r="F21178" s="87"/>
      <c r="G21178" s="87"/>
    </row>
    <row r="21179">
      <c r="A21179" s="86" t="str">
        <f>IFERROR(__xludf.DUMMYFUNCTION("""COMPUTED_VALUE"""),"")</f>
        <v/>
      </c>
      <c r="B21179" s="87"/>
      <c r="C21179" s="87"/>
      <c r="D21179" s="87"/>
      <c r="E21179" s="87"/>
      <c r="F21179" s="87"/>
      <c r="G21179" s="87"/>
    </row>
    <row r="21180">
      <c r="A21180" s="86" t="str">
        <f>IFERROR(__xludf.DUMMYFUNCTION("""COMPUTED_VALUE"""),"")</f>
        <v/>
      </c>
      <c r="B21180" s="87"/>
      <c r="C21180" s="87"/>
      <c r="D21180" s="87"/>
      <c r="E21180" s="87"/>
      <c r="F21180" s="87"/>
      <c r="G21180" s="87"/>
    </row>
    <row r="21181">
      <c r="A21181" s="86" t="str">
        <f>IFERROR(__xludf.DUMMYFUNCTION("""COMPUTED_VALUE"""),"")</f>
        <v/>
      </c>
      <c r="B21181" s="87"/>
      <c r="C21181" s="87"/>
      <c r="D21181" s="87"/>
      <c r="E21181" s="87"/>
      <c r="F21181" s="87"/>
      <c r="G21181" s="87"/>
    </row>
    <row r="21182">
      <c r="A21182" s="86" t="str">
        <f>IFERROR(__xludf.DUMMYFUNCTION("""COMPUTED_VALUE"""),"")</f>
        <v/>
      </c>
      <c r="B21182" s="87"/>
      <c r="C21182" s="87"/>
      <c r="D21182" s="87"/>
      <c r="E21182" s="87"/>
      <c r="F21182" s="87"/>
      <c r="G21182" s="87"/>
    </row>
    <row r="21183">
      <c r="A21183" s="86" t="str">
        <f>IFERROR(__xludf.DUMMYFUNCTION("""COMPUTED_VALUE"""),"")</f>
        <v/>
      </c>
      <c r="B21183" s="87"/>
      <c r="C21183" s="87"/>
      <c r="D21183" s="87"/>
      <c r="E21183" s="87"/>
      <c r="F21183" s="87"/>
      <c r="G21183" s="87"/>
    </row>
    <row r="21184">
      <c r="A21184" s="86" t="str">
        <f>IFERROR(__xludf.DUMMYFUNCTION("""COMPUTED_VALUE"""),"")</f>
        <v/>
      </c>
      <c r="B21184" s="87"/>
      <c r="C21184" s="87"/>
      <c r="D21184" s="87"/>
      <c r="E21184" s="87"/>
      <c r="F21184" s="87"/>
      <c r="G21184" s="87"/>
    </row>
    <row r="21185">
      <c r="A21185" s="86" t="str">
        <f>IFERROR(__xludf.DUMMYFUNCTION("""COMPUTED_VALUE"""),"")</f>
        <v/>
      </c>
      <c r="B21185" s="87"/>
      <c r="C21185" s="87"/>
      <c r="D21185" s="87"/>
      <c r="E21185" s="87"/>
      <c r="F21185" s="87"/>
      <c r="G21185" s="87"/>
    </row>
    <row r="21186">
      <c r="A21186" s="86" t="str">
        <f>IFERROR(__xludf.DUMMYFUNCTION("""COMPUTED_VALUE"""),"")</f>
        <v/>
      </c>
      <c r="B21186" s="87"/>
      <c r="C21186" s="87"/>
      <c r="D21186" s="87"/>
      <c r="E21186" s="87"/>
      <c r="F21186" s="87"/>
      <c r="G21186" s="87"/>
    </row>
    <row r="21187">
      <c r="A21187" s="86" t="str">
        <f>IFERROR(__xludf.DUMMYFUNCTION("""COMPUTED_VALUE"""),"")</f>
        <v/>
      </c>
      <c r="B21187" s="87"/>
      <c r="C21187" s="87"/>
      <c r="D21187" s="87"/>
      <c r="E21187" s="87"/>
      <c r="F21187" s="87"/>
      <c r="G21187" s="87"/>
    </row>
    <row r="21188">
      <c r="A21188" s="86" t="str">
        <f>IFERROR(__xludf.DUMMYFUNCTION("""COMPUTED_VALUE"""),"")</f>
        <v/>
      </c>
      <c r="B21188" s="87"/>
      <c r="C21188" s="87"/>
      <c r="D21188" s="87"/>
      <c r="E21188" s="87"/>
      <c r="F21188" s="87"/>
      <c r="G21188" s="87"/>
    </row>
    <row r="21189">
      <c r="A21189" s="86" t="str">
        <f>IFERROR(__xludf.DUMMYFUNCTION("""COMPUTED_VALUE"""),"")</f>
        <v/>
      </c>
      <c r="B21189" s="87"/>
      <c r="C21189" s="87"/>
      <c r="D21189" s="87"/>
      <c r="E21189" s="87"/>
      <c r="F21189" s="87"/>
      <c r="G21189" s="87"/>
    </row>
    <row r="21190">
      <c r="A21190" s="86" t="str">
        <f>IFERROR(__xludf.DUMMYFUNCTION("""COMPUTED_VALUE"""),"")</f>
        <v/>
      </c>
      <c r="B21190" s="87"/>
      <c r="C21190" s="87"/>
      <c r="D21190" s="87"/>
      <c r="E21190" s="87"/>
      <c r="F21190" s="87"/>
      <c r="G21190" s="87"/>
    </row>
    <row r="21191">
      <c r="A21191" s="86" t="str">
        <f>IFERROR(__xludf.DUMMYFUNCTION("""COMPUTED_VALUE"""),"")</f>
        <v/>
      </c>
      <c r="B21191" s="87"/>
      <c r="C21191" s="87"/>
      <c r="D21191" s="87"/>
      <c r="E21191" s="87"/>
      <c r="F21191" s="87"/>
      <c r="G21191" s="87"/>
    </row>
    <row r="21192">
      <c r="A21192" s="86" t="str">
        <f>IFERROR(__xludf.DUMMYFUNCTION("""COMPUTED_VALUE"""),"")</f>
        <v/>
      </c>
      <c r="B21192" s="87"/>
      <c r="C21192" s="87"/>
      <c r="D21192" s="87"/>
      <c r="E21192" s="87"/>
      <c r="F21192" s="87"/>
      <c r="G21192" s="87"/>
    </row>
    <row r="21193">
      <c r="A21193" s="86" t="str">
        <f>IFERROR(__xludf.DUMMYFUNCTION("""COMPUTED_VALUE"""),"")</f>
        <v/>
      </c>
      <c r="B21193" s="87"/>
      <c r="C21193" s="87"/>
      <c r="D21193" s="87"/>
      <c r="E21193" s="87"/>
      <c r="F21193" s="87"/>
      <c r="G21193" s="87"/>
    </row>
    <row r="21194">
      <c r="A21194" s="86" t="str">
        <f>IFERROR(__xludf.DUMMYFUNCTION("""COMPUTED_VALUE"""),"")</f>
        <v/>
      </c>
      <c r="B21194" s="87"/>
      <c r="C21194" s="87"/>
      <c r="D21194" s="87"/>
      <c r="E21194" s="87"/>
      <c r="F21194" s="87"/>
      <c r="G21194" s="87"/>
    </row>
    <row r="21195">
      <c r="A21195" s="86" t="str">
        <f>IFERROR(__xludf.DUMMYFUNCTION("""COMPUTED_VALUE"""),"")</f>
        <v/>
      </c>
      <c r="B21195" s="87"/>
      <c r="C21195" s="87"/>
      <c r="D21195" s="87"/>
      <c r="E21195" s="87"/>
      <c r="F21195" s="87"/>
      <c r="G21195" s="87"/>
    </row>
    <row r="21196">
      <c r="A21196" s="86" t="str">
        <f>IFERROR(__xludf.DUMMYFUNCTION("""COMPUTED_VALUE"""),"")</f>
        <v/>
      </c>
      <c r="B21196" s="87"/>
      <c r="C21196" s="87"/>
      <c r="D21196" s="87"/>
      <c r="E21196" s="87"/>
      <c r="F21196" s="87"/>
      <c r="G21196" s="87"/>
    </row>
    <row r="21197">
      <c r="A21197" s="86" t="str">
        <f>IFERROR(__xludf.DUMMYFUNCTION("""COMPUTED_VALUE"""),"")</f>
        <v/>
      </c>
      <c r="B21197" s="87"/>
      <c r="C21197" s="87"/>
      <c r="D21197" s="87"/>
      <c r="E21197" s="87"/>
      <c r="F21197" s="87"/>
      <c r="G21197" s="87"/>
    </row>
    <row r="21198">
      <c r="A21198" s="86" t="str">
        <f>IFERROR(__xludf.DUMMYFUNCTION("""COMPUTED_VALUE"""),"")</f>
        <v/>
      </c>
      <c r="B21198" s="87"/>
      <c r="C21198" s="87"/>
      <c r="D21198" s="87"/>
      <c r="E21198" s="87"/>
      <c r="F21198" s="87"/>
      <c r="G21198" s="87"/>
    </row>
    <row r="21199">
      <c r="A21199" s="86" t="str">
        <f>IFERROR(__xludf.DUMMYFUNCTION("""COMPUTED_VALUE"""),"")</f>
        <v/>
      </c>
      <c r="B21199" s="87"/>
      <c r="C21199" s="87"/>
      <c r="D21199" s="87"/>
      <c r="E21199" s="87"/>
      <c r="F21199" s="87"/>
      <c r="G21199" s="87"/>
    </row>
    <row r="21200">
      <c r="A21200" s="86" t="str">
        <f>IFERROR(__xludf.DUMMYFUNCTION("""COMPUTED_VALUE"""),"")</f>
        <v/>
      </c>
      <c r="B21200" s="87"/>
      <c r="C21200" s="87"/>
      <c r="D21200" s="87"/>
      <c r="E21200" s="87"/>
      <c r="F21200" s="87"/>
      <c r="G21200" s="87"/>
    </row>
    <row r="21201">
      <c r="A21201" s="86" t="str">
        <f>IFERROR(__xludf.DUMMYFUNCTION("""COMPUTED_VALUE"""),"")</f>
        <v/>
      </c>
      <c r="B21201" s="87"/>
      <c r="C21201" s="87"/>
      <c r="D21201" s="87"/>
      <c r="E21201" s="87"/>
      <c r="F21201" s="87"/>
      <c r="G21201" s="87"/>
    </row>
    <row r="21202">
      <c r="A21202" s="86" t="str">
        <f>IFERROR(__xludf.DUMMYFUNCTION("""COMPUTED_VALUE"""),"")</f>
        <v/>
      </c>
      <c r="B21202" s="87"/>
      <c r="C21202" s="87"/>
      <c r="D21202" s="87"/>
      <c r="E21202" s="87"/>
      <c r="F21202" s="87"/>
      <c r="G21202" s="87"/>
    </row>
    <row r="21203">
      <c r="A21203" s="86" t="str">
        <f>IFERROR(__xludf.DUMMYFUNCTION("""COMPUTED_VALUE"""),"")</f>
        <v/>
      </c>
      <c r="B21203" s="87"/>
      <c r="C21203" s="87"/>
      <c r="D21203" s="87"/>
      <c r="E21203" s="87"/>
      <c r="F21203" s="87"/>
      <c r="G21203" s="87"/>
    </row>
    <row r="21204">
      <c r="A21204" s="86" t="str">
        <f>IFERROR(__xludf.DUMMYFUNCTION("""COMPUTED_VALUE"""),"")</f>
        <v/>
      </c>
      <c r="B21204" s="87"/>
      <c r="C21204" s="87"/>
      <c r="D21204" s="87"/>
      <c r="E21204" s="87"/>
      <c r="F21204" s="87"/>
      <c r="G21204" s="87"/>
    </row>
    <row r="21205">
      <c r="A21205" s="86" t="str">
        <f>IFERROR(__xludf.DUMMYFUNCTION("""COMPUTED_VALUE"""),"")</f>
        <v/>
      </c>
      <c r="B21205" s="87"/>
      <c r="C21205" s="87"/>
      <c r="D21205" s="87"/>
      <c r="E21205" s="87"/>
      <c r="F21205" s="87"/>
      <c r="G21205" s="87"/>
    </row>
    <row r="21206">
      <c r="A21206" s="86" t="str">
        <f>IFERROR(__xludf.DUMMYFUNCTION("""COMPUTED_VALUE"""),"")</f>
        <v/>
      </c>
      <c r="B21206" s="87"/>
      <c r="C21206" s="87"/>
      <c r="D21206" s="87"/>
      <c r="E21206" s="87"/>
      <c r="F21206" s="87"/>
      <c r="G21206" s="87"/>
    </row>
    <row r="21207">
      <c r="A21207" s="86" t="str">
        <f>IFERROR(__xludf.DUMMYFUNCTION("""COMPUTED_VALUE"""),"")</f>
        <v/>
      </c>
      <c r="B21207" s="87"/>
      <c r="C21207" s="87"/>
      <c r="D21207" s="87"/>
      <c r="E21207" s="87"/>
      <c r="F21207" s="87"/>
      <c r="G21207" s="87"/>
    </row>
    <row r="21208">
      <c r="A21208" s="86" t="str">
        <f>IFERROR(__xludf.DUMMYFUNCTION("""COMPUTED_VALUE"""),"")</f>
        <v/>
      </c>
      <c r="B21208" s="87"/>
      <c r="C21208" s="87"/>
      <c r="D21208" s="87"/>
      <c r="E21208" s="87"/>
      <c r="F21208" s="87"/>
      <c r="G21208" s="87"/>
    </row>
    <row r="21209">
      <c r="A21209" s="86" t="str">
        <f>IFERROR(__xludf.DUMMYFUNCTION("""COMPUTED_VALUE"""),"")</f>
        <v/>
      </c>
      <c r="B21209" s="87"/>
      <c r="C21209" s="87"/>
      <c r="D21209" s="87"/>
      <c r="E21209" s="87"/>
      <c r="F21209" s="87"/>
      <c r="G21209" s="87"/>
    </row>
    <row r="21210">
      <c r="A21210" s="86" t="str">
        <f>IFERROR(__xludf.DUMMYFUNCTION("""COMPUTED_VALUE"""),"")</f>
        <v/>
      </c>
      <c r="B21210" s="87"/>
      <c r="C21210" s="87"/>
      <c r="D21210" s="87"/>
      <c r="E21210" s="87"/>
      <c r="F21210" s="87"/>
      <c r="G21210" s="87"/>
    </row>
    <row r="21211">
      <c r="A21211" s="86" t="str">
        <f>IFERROR(__xludf.DUMMYFUNCTION("""COMPUTED_VALUE"""),"")</f>
        <v/>
      </c>
      <c r="B21211" s="87"/>
      <c r="C21211" s="87"/>
      <c r="D21211" s="87"/>
      <c r="E21211" s="87"/>
      <c r="F21211" s="87"/>
      <c r="G21211" s="87"/>
    </row>
    <row r="21212">
      <c r="A21212" s="86" t="str">
        <f>IFERROR(__xludf.DUMMYFUNCTION("""COMPUTED_VALUE"""),"")</f>
        <v/>
      </c>
      <c r="B21212" s="87"/>
      <c r="C21212" s="87"/>
      <c r="D21212" s="87"/>
      <c r="E21212" s="87"/>
      <c r="F21212" s="87"/>
      <c r="G21212" s="87"/>
    </row>
    <row r="21213">
      <c r="A21213" s="86" t="str">
        <f>IFERROR(__xludf.DUMMYFUNCTION("""COMPUTED_VALUE"""),"")</f>
        <v/>
      </c>
      <c r="B21213" s="87"/>
      <c r="C21213" s="87"/>
      <c r="D21213" s="87"/>
      <c r="E21213" s="87"/>
      <c r="F21213" s="87"/>
      <c r="G21213" s="87"/>
    </row>
    <row r="21214">
      <c r="A21214" s="86" t="str">
        <f>IFERROR(__xludf.DUMMYFUNCTION("""COMPUTED_VALUE"""),"")</f>
        <v/>
      </c>
      <c r="B21214" s="87"/>
      <c r="C21214" s="87"/>
      <c r="D21214" s="87"/>
      <c r="E21214" s="87"/>
      <c r="F21214" s="87"/>
      <c r="G21214" s="87"/>
    </row>
    <row r="21215">
      <c r="A21215" s="86" t="str">
        <f>IFERROR(__xludf.DUMMYFUNCTION("""COMPUTED_VALUE"""),"")</f>
        <v/>
      </c>
      <c r="B21215" s="87"/>
      <c r="C21215" s="87"/>
      <c r="D21215" s="87"/>
      <c r="E21215" s="87"/>
      <c r="F21215" s="87"/>
      <c r="G21215" s="87"/>
    </row>
    <row r="21216">
      <c r="A21216" s="86" t="str">
        <f>IFERROR(__xludf.DUMMYFUNCTION("""COMPUTED_VALUE"""),"")</f>
        <v/>
      </c>
      <c r="B21216" s="87"/>
      <c r="C21216" s="87"/>
      <c r="D21216" s="87"/>
      <c r="E21216" s="87"/>
      <c r="F21216" s="87"/>
      <c r="G21216" s="87"/>
    </row>
    <row r="21217">
      <c r="A21217" s="86" t="str">
        <f>IFERROR(__xludf.DUMMYFUNCTION("""COMPUTED_VALUE"""),"")</f>
        <v/>
      </c>
      <c r="B21217" s="87"/>
      <c r="C21217" s="87"/>
      <c r="D21217" s="87"/>
      <c r="E21217" s="87"/>
      <c r="F21217" s="87"/>
      <c r="G21217" s="87"/>
    </row>
    <row r="21218">
      <c r="A21218" s="86" t="str">
        <f>IFERROR(__xludf.DUMMYFUNCTION("""COMPUTED_VALUE"""),"")</f>
        <v/>
      </c>
      <c r="B21218" s="87"/>
      <c r="C21218" s="87"/>
      <c r="D21218" s="87"/>
      <c r="E21218" s="87"/>
      <c r="F21218" s="87"/>
      <c r="G21218" s="87"/>
    </row>
    <row r="21219">
      <c r="A21219" s="86" t="str">
        <f>IFERROR(__xludf.DUMMYFUNCTION("""COMPUTED_VALUE"""),"")</f>
        <v/>
      </c>
      <c r="B21219" s="87"/>
      <c r="C21219" s="87"/>
      <c r="D21219" s="87"/>
      <c r="E21219" s="87"/>
      <c r="F21219" s="87"/>
      <c r="G21219" s="87"/>
    </row>
    <row r="21220">
      <c r="A21220" s="86" t="str">
        <f>IFERROR(__xludf.DUMMYFUNCTION("""COMPUTED_VALUE"""),"")</f>
        <v/>
      </c>
      <c r="B21220" s="87"/>
      <c r="C21220" s="87"/>
      <c r="D21220" s="87"/>
      <c r="E21220" s="87"/>
      <c r="F21220" s="87"/>
      <c r="G21220" s="87"/>
    </row>
    <row r="21221">
      <c r="A21221" s="86" t="str">
        <f>IFERROR(__xludf.DUMMYFUNCTION("""COMPUTED_VALUE"""),"")</f>
        <v/>
      </c>
      <c r="B21221" s="87"/>
      <c r="C21221" s="87"/>
      <c r="D21221" s="87"/>
      <c r="E21221" s="87"/>
      <c r="F21221" s="87"/>
      <c r="G21221" s="87"/>
    </row>
    <row r="21222">
      <c r="A21222" s="86" t="str">
        <f>IFERROR(__xludf.DUMMYFUNCTION("""COMPUTED_VALUE"""),"")</f>
        <v/>
      </c>
      <c r="B21222" s="87"/>
      <c r="C21222" s="87"/>
      <c r="D21222" s="87"/>
      <c r="E21222" s="87"/>
      <c r="F21222" s="87"/>
      <c r="G21222" s="87"/>
    </row>
    <row r="21223">
      <c r="A21223" s="86" t="str">
        <f>IFERROR(__xludf.DUMMYFUNCTION("""COMPUTED_VALUE"""),"")</f>
        <v/>
      </c>
      <c r="B21223" s="87"/>
      <c r="C21223" s="87"/>
      <c r="D21223" s="87"/>
      <c r="E21223" s="87"/>
      <c r="F21223" s="87"/>
      <c r="G21223" s="87"/>
    </row>
    <row r="21224">
      <c r="A21224" s="86" t="str">
        <f>IFERROR(__xludf.DUMMYFUNCTION("""COMPUTED_VALUE"""),"")</f>
        <v/>
      </c>
      <c r="B21224" s="87"/>
      <c r="C21224" s="87"/>
      <c r="D21224" s="87"/>
      <c r="E21224" s="87"/>
      <c r="F21224" s="87"/>
      <c r="G21224" s="87"/>
    </row>
    <row r="21225">
      <c r="A21225" s="86" t="str">
        <f>IFERROR(__xludf.DUMMYFUNCTION("""COMPUTED_VALUE"""),"")</f>
        <v/>
      </c>
      <c r="B21225" s="87"/>
      <c r="C21225" s="87"/>
      <c r="D21225" s="87"/>
      <c r="E21225" s="87"/>
      <c r="F21225" s="87"/>
      <c r="G21225" s="87"/>
    </row>
    <row r="21226">
      <c r="A21226" s="86" t="str">
        <f>IFERROR(__xludf.DUMMYFUNCTION("""COMPUTED_VALUE"""),"")</f>
        <v/>
      </c>
      <c r="B21226" s="87"/>
      <c r="C21226" s="87"/>
      <c r="D21226" s="87"/>
      <c r="E21226" s="87"/>
      <c r="F21226" s="87"/>
      <c r="G21226" s="87"/>
    </row>
    <row r="21227">
      <c r="A21227" s="86" t="str">
        <f>IFERROR(__xludf.DUMMYFUNCTION("""COMPUTED_VALUE"""),"")</f>
        <v/>
      </c>
      <c r="B21227" s="87"/>
      <c r="C21227" s="87"/>
      <c r="D21227" s="87"/>
      <c r="E21227" s="87"/>
      <c r="F21227" s="87"/>
      <c r="G21227" s="87"/>
    </row>
    <row r="21228">
      <c r="A21228" s="86" t="str">
        <f>IFERROR(__xludf.DUMMYFUNCTION("""COMPUTED_VALUE"""),"")</f>
        <v/>
      </c>
      <c r="B21228" s="87"/>
      <c r="C21228" s="87"/>
      <c r="D21228" s="87"/>
      <c r="E21228" s="87"/>
      <c r="F21228" s="87"/>
      <c r="G21228" s="87"/>
    </row>
    <row r="21229">
      <c r="A21229" s="86" t="str">
        <f>IFERROR(__xludf.DUMMYFUNCTION("""COMPUTED_VALUE"""),"")</f>
        <v/>
      </c>
      <c r="B21229" s="87"/>
      <c r="C21229" s="87"/>
      <c r="D21229" s="87"/>
      <c r="E21229" s="87"/>
      <c r="F21229" s="87"/>
      <c r="G21229" s="87"/>
    </row>
    <row r="21230">
      <c r="A21230" s="86" t="str">
        <f>IFERROR(__xludf.DUMMYFUNCTION("""COMPUTED_VALUE"""),"")</f>
        <v/>
      </c>
      <c r="B21230" s="87"/>
      <c r="C21230" s="87"/>
      <c r="D21230" s="87"/>
      <c r="E21230" s="87"/>
      <c r="F21230" s="87"/>
      <c r="G21230" s="87"/>
    </row>
    <row r="21231">
      <c r="A21231" s="86" t="str">
        <f>IFERROR(__xludf.DUMMYFUNCTION("""COMPUTED_VALUE"""),"")</f>
        <v/>
      </c>
      <c r="B21231" s="87"/>
      <c r="C21231" s="87"/>
      <c r="D21231" s="87"/>
      <c r="E21231" s="87"/>
      <c r="F21231" s="87"/>
      <c r="G21231" s="87"/>
    </row>
    <row r="21232">
      <c r="A21232" s="86" t="str">
        <f>IFERROR(__xludf.DUMMYFUNCTION("""COMPUTED_VALUE"""),"")</f>
        <v/>
      </c>
      <c r="B21232" s="87"/>
      <c r="C21232" s="87"/>
      <c r="D21232" s="87"/>
      <c r="E21232" s="87"/>
      <c r="F21232" s="87"/>
      <c r="G21232" s="87"/>
    </row>
    <row r="21233">
      <c r="A21233" s="86" t="str">
        <f>IFERROR(__xludf.DUMMYFUNCTION("""COMPUTED_VALUE"""),"")</f>
        <v/>
      </c>
      <c r="B21233" s="87"/>
      <c r="C21233" s="87"/>
      <c r="D21233" s="87"/>
      <c r="E21233" s="87"/>
      <c r="F21233" s="87"/>
      <c r="G21233" s="87"/>
    </row>
    <row r="21234">
      <c r="A21234" s="86" t="str">
        <f>IFERROR(__xludf.DUMMYFUNCTION("""COMPUTED_VALUE"""),"")</f>
        <v/>
      </c>
      <c r="B21234" s="87"/>
      <c r="C21234" s="87"/>
      <c r="D21234" s="87"/>
      <c r="E21234" s="87"/>
      <c r="F21234" s="87"/>
      <c r="G21234" s="87"/>
    </row>
    <row r="21235">
      <c r="A21235" s="86" t="str">
        <f>IFERROR(__xludf.DUMMYFUNCTION("""COMPUTED_VALUE"""),"")</f>
        <v/>
      </c>
      <c r="B21235" s="87"/>
      <c r="C21235" s="87"/>
      <c r="D21235" s="87"/>
      <c r="E21235" s="87"/>
      <c r="F21235" s="87"/>
      <c r="G21235" s="87"/>
    </row>
    <row r="21236">
      <c r="A21236" s="86" t="str">
        <f>IFERROR(__xludf.DUMMYFUNCTION("""COMPUTED_VALUE"""),"")</f>
        <v/>
      </c>
      <c r="B21236" s="87"/>
      <c r="C21236" s="87"/>
      <c r="D21236" s="87"/>
      <c r="E21236" s="87"/>
      <c r="F21236" s="87"/>
      <c r="G21236" s="87"/>
    </row>
    <row r="21237">
      <c r="A21237" s="86" t="str">
        <f>IFERROR(__xludf.DUMMYFUNCTION("""COMPUTED_VALUE"""),"")</f>
        <v/>
      </c>
      <c r="B21237" s="87"/>
      <c r="C21237" s="87"/>
      <c r="D21237" s="87"/>
      <c r="E21237" s="87"/>
      <c r="F21237" s="87"/>
      <c r="G21237" s="87"/>
    </row>
    <row r="21238">
      <c r="A21238" s="86" t="str">
        <f>IFERROR(__xludf.DUMMYFUNCTION("""COMPUTED_VALUE"""),"")</f>
        <v/>
      </c>
      <c r="B21238" s="87"/>
      <c r="C21238" s="87"/>
      <c r="D21238" s="87"/>
      <c r="E21238" s="87"/>
      <c r="F21238" s="87"/>
      <c r="G21238" s="87"/>
    </row>
    <row r="21239">
      <c r="A21239" s="86" t="str">
        <f>IFERROR(__xludf.DUMMYFUNCTION("""COMPUTED_VALUE"""),"")</f>
        <v/>
      </c>
      <c r="B21239" s="87"/>
      <c r="C21239" s="87"/>
      <c r="D21239" s="87"/>
      <c r="E21239" s="87"/>
      <c r="F21239" s="87"/>
      <c r="G21239" s="87"/>
    </row>
    <row r="21240">
      <c r="A21240" s="86" t="str">
        <f>IFERROR(__xludf.DUMMYFUNCTION("""COMPUTED_VALUE"""),"")</f>
        <v/>
      </c>
      <c r="B21240" s="87"/>
      <c r="C21240" s="87"/>
      <c r="D21240" s="87"/>
      <c r="E21240" s="87"/>
      <c r="F21240" s="87"/>
      <c r="G21240" s="87"/>
    </row>
    <row r="21241">
      <c r="A21241" s="86" t="str">
        <f>IFERROR(__xludf.DUMMYFUNCTION("""COMPUTED_VALUE"""),"")</f>
        <v/>
      </c>
      <c r="B21241" s="87"/>
      <c r="C21241" s="87"/>
      <c r="D21241" s="87"/>
      <c r="E21241" s="87"/>
      <c r="F21241" s="87"/>
      <c r="G21241" s="87"/>
    </row>
    <row r="21242">
      <c r="A21242" s="86" t="str">
        <f>IFERROR(__xludf.DUMMYFUNCTION("""COMPUTED_VALUE"""),"")</f>
        <v/>
      </c>
      <c r="B21242" s="87"/>
      <c r="C21242" s="87"/>
      <c r="D21242" s="87"/>
      <c r="E21242" s="87"/>
      <c r="F21242" s="87"/>
      <c r="G21242" s="87"/>
    </row>
    <row r="21243">
      <c r="A21243" s="86" t="str">
        <f>IFERROR(__xludf.DUMMYFUNCTION("""COMPUTED_VALUE"""),"")</f>
        <v/>
      </c>
      <c r="B21243" s="87"/>
      <c r="C21243" s="87"/>
      <c r="D21243" s="87"/>
      <c r="E21243" s="87"/>
      <c r="F21243" s="87"/>
      <c r="G21243" s="87"/>
    </row>
    <row r="21244">
      <c r="A21244" s="86" t="str">
        <f>IFERROR(__xludf.DUMMYFUNCTION("""COMPUTED_VALUE"""),"")</f>
        <v/>
      </c>
      <c r="B21244" s="87"/>
      <c r="C21244" s="87"/>
      <c r="D21244" s="87"/>
      <c r="E21244" s="87"/>
      <c r="F21244" s="87"/>
      <c r="G21244" s="87"/>
    </row>
    <row r="21245">
      <c r="A21245" s="86" t="str">
        <f>IFERROR(__xludf.DUMMYFUNCTION("""COMPUTED_VALUE"""),"")</f>
        <v/>
      </c>
      <c r="B21245" s="87"/>
      <c r="C21245" s="87"/>
      <c r="D21245" s="87"/>
      <c r="E21245" s="87"/>
      <c r="F21245" s="87"/>
      <c r="G21245" s="87"/>
    </row>
    <row r="21246">
      <c r="A21246" s="86" t="str">
        <f>IFERROR(__xludf.DUMMYFUNCTION("""COMPUTED_VALUE"""),"")</f>
        <v/>
      </c>
      <c r="B21246" s="87"/>
      <c r="C21246" s="87"/>
      <c r="D21246" s="87"/>
      <c r="E21246" s="87"/>
      <c r="F21246" s="87"/>
      <c r="G21246" s="87"/>
    </row>
    <row r="21247">
      <c r="A21247" s="86" t="str">
        <f>IFERROR(__xludf.DUMMYFUNCTION("""COMPUTED_VALUE"""),"")</f>
        <v/>
      </c>
      <c r="B21247" s="87"/>
      <c r="C21247" s="87"/>
      <c r="D21247" s="87"/>
      <c r="E21247" s="87"/>
      <c r="F21247" s="87"/>
      <c r="G21247" s="87"/>
    </row>
    <row r="21248">
      <c r="A21248" s="86" t="str">
        <f>IFERROR(__xludf.DUMMYFUNCTION("""COMPUTED_VALUE"""),"")</f>
        <v/>
      </c>
      <c r="B21248" s="87"/>
      <c r="C21248" s="87"/>
      <c r="D21248" s="87"/>
      <c r="E21248" s="87"/>
      <c r="F21248" s="87"/>
      <c r="G21248" s="87"/>
    </row>
    <row r="21249">
      <c r="A21249" s="86" t="str">
        <f>IFERROR(__xludf.DUMMYFUNCTION("""COMPUTED_VALUE"""),"")</f>
        <v/>
      </c>
      <c r="B21249" s="87"/>
      <c r="C21249" s="87"/>
      <c r="D21249" s="87"/>
      <c r="E21249" s="87"/>
      <c r="F21249" s="87"/>
      <c r="G21249" s="87"/>
    </row>
    <row r="21250">
      <c r="A21250" s="86" t="str">
        <f>IFERROR(__xludf.DUMMYFUNCTION("""COMPUTED_VALUE"""),"")</f>
        <v/>
      </c>
      <c r="B21250" s="87"/>
      <c r="C21250" s="87"/>
      <c r="D21250" s="87"/>
      <c r="E21250" s="87"/>
      <c r="F21250" s="87"/>
      <c r="G21250" s="87"/>
    </row>
    <row r="21251">
      <c r="A21251" s="86" t="str">
        <f>IFERROR(__xludf.DUMMYFUNCTION("""COMPUTED_VALUE"""),"")</f>
        <v/>
      </c>
      <c r="B21251" s="87"/>
      <c r="C21251" s="87"/>
      <c r="D21251" s="87"/>
      <c r="E21251" s="87"/>
      <c r="F21251" s="87"/>
      <c r="G21251" s="87"/>
    </row>
    <row r="21252">
      <c r="A21252" s="86" t="str">
        <f>IFERROR(__xludf.DUMMYFUNCTION("""COMPUTED_VALUE"""),"")</f>
        <v/>
      </c>
      <c r="B21252" s="87"/>
      <c r="C21252" s="87"/>
      <c r="D21252" s="87"/>
      <c r="E21252" s="87"/>
      <c r="F21252" s="87"/>
      <c r="G21252" s="87"/>
    </row>
    <row r="21253">
      <c r="A21253" s="86" t="str">
        <f>IFERROR(__xludf.DUMMYFUNCTION("""COMPUTED_VALUE"""),"")</f>
        <v/>
      </c>
      <c r="B21253" s="87"/>
      <c r="C21253" s="87"/>
      <c r="D21253" s="87"/>
      <c r="E21253" s="87"/>
      <c r="F21253" s="87"/>
      <c r="G21253" s="87"/>
    </row>
    <row r="21254">
      <c r="A21254" s="86" t="str">
        <f>IFERROR(__xludf.DUMMYFUNCTION("""COMPUTED_VALUE"""),"")</f>
        <v/>
      </c>
      <c r="B21254" s="87"/>
      <c r="C21254" s="87"/>
      <c r="D21254" s="87"/>
      <c r="E21254" s="87"/>
      <c r="F21254" s="87"/>
      <c r="G21254" s="87"/>
    </row>
    <row r="21255">
      <c r="A21255" s="86" t="str">
        <f>IFERROR(__xludf.DUMMYFUNCTION("""COMPUTED_VALUE"""),"")</f>
        <v/>
      </c>
      <c r="B21255" s="87"/>
      <c r="C21255" s="87"/>
      <c r="D21255" s="87"/>
      <c r="E21255" s="87"/>
      <c r="F21255" s="87"/>
      <c r="G21255" s="87"/>
    </row>
    <row r="21256">
      <c r="A21256" s="86" t="str">
        <f>IFERROR(__xludf.DUMMYFUNCTION("""COMPUTED_VALUE"""),"")</f>
        <v/>
      </c>
      <c r="B21256" s="87"/>
      <c r="C21256" s="87"/>
      <c r="D21256" s="87"/>
      <c r="E21256" s="87"/>
      <c r="F21256" s="87"/>
      <c r="G21256" s="87"/>
    </row>
    <row r="21257">
      <c r="A21257" s="86" t="str">
        <f>IFERROR(__xludf.DUMMYFUNCTION("""COMPUTED_VALUE"""),"")</f>
        <v/>
      </c>
      <c r="B21257" s="87"/>
      <c r="C21257" s="87"/>
      <c r="D21257" s="87"/>
      <c r="E21257" s="87"/>
      <c r="F21257" s="87"/>
      <c r="G21257" s="87"/>
    </row>
    <row r="21258">
      <c r="A21258" s="86" t="str">
        <f>IFERROR(__xludf.DUMMYFUNCTION("""COMPUTED_VALUE"""),"")</f>
        <v/>
      </c>
      <c r="B21258" s="87"/>
      <c r="C21258" s="87"/>
      <c r="D21258" s="87"/>
      <c r="E21258" s="87"/>
      <c r="F21258" s="87"/>
      <c r="G21258" s="87"/>
    </row>
    <row r="21259">
      <c r="A21259" s="86" t="str">
        <f>IFERROR(__xludf.DUMMYFUNCTION("""COMPUTED_VALUE"""),"")</f>
        <v/>
      </c>
      <c r="B21259" s="87"/>
      <c r="C21259" s="87"/>
      <c r="D21259" s="87"/>
      <c r="E21259" s="87"/>
      <c r="F21259" s="87"/>
      <c r="G21259" s="87"/>
    </row>
    <row r="21260">
      <c r="A21260" s="86" t="str">
        <f>IFERROR(__xludf.DUMMYFUNCTION("""COMPUTED_VALUE"""),"")</f>
        <v/>
      </c>
      <c r="B21260" s="87"/>
      <c r="C21260" s="87"/>
      <c r="D21260" s="87"/>
      <c r="E21260" s="87"/>
      <c r="F21260" s="87"/>
      <c r="G21260" s="87"/>
    </row>
    <row r="21261">
      <c r="A21261" s="86" t="str">
        <f>IFERROR(__xludf.DUMMYFUNCTION("""COMPUTED_VALUE"""),"")</f>
        <v/>
      </c>
      <c r="B21261" s="87"/>
      <c r="C21261" s="87"/>
      <c r="D21261" s="87"/>
      <c r="E21261" s="87"/>
      <c r="F21261" s="87"/>
      <c r="G21261" s="87"/>
    </row>
    <row r="21262">
      <c r="A21262" s="86" t="str">
        <f>IFERROR(__xludf.DUMMYFUNCTION("""COMPUTED_VALUE"""),"")</f>
        <v/>
      </c>
      <c r="B21262" s="87"/>
      <c r="C21262" s="87"/>
      <c r="D21262" s="87"/>
      <c r="E21262" s="87"/>
      <c r="F21262" s="87"/>
      <c r="G21262" s="87"/>
    </row>
    <row r="21263">
      <c r="A21263" s="86" t="str">
        <f>IFERROR(__xludf.DUMMYFUNCTION("""COMPUTED_VALUE"""),"")</f>
        <v/>
      </c>
      <c r="B21263" s="87"/>
      <c r="C21263" s="87"/>
      <c r="D21263" s="87"/>
      <c r="E21263" s="87"/>
      <c r="F21263" s="87"/>
      <c r="G21263" s="87"/>
    </row>
    <row r="21264">
      <c r="A21264" s="86" t="str">
        <f>IFERROR(__xludf.DUMMYFUNCTION("""COMPUTED_VALUE"""),"")</f>
        <v/>
      </c>
      <c r="B21264" s="87"/>
      <c r="C21264" s="87"/>
      <c r="D21264" s="87"/>
      <c r="E21264" s="87"/>
      <c r="F21264" s="87"/>
      <c r="G21264" s="87"/>
    </row>
    <row r="21265">
      <c r="A21265" s="86" t="str">
        <f>IFERROR(__xludf.DUMMYFUNCTION("""COMPUTED_VALUE"""),"")</f>
        <v/>
      </c>
      <c r="B21265" s="87"/>
      <c r="C21265" s="87"/>
      <c r="D21265" s="87"/>
      <c r="E21265" s="87"/>
      <c r="F21265" s="87"/>
      <c r="G21265" s="87"/>
    </row>
    <row r="21266">
      <c r="A21266" s="86" t="str">
        <f>IFERROR(__xludf.DUMMYFUNCTION("""COMPUTED_VALUE"""),"")</f>
        <v/>
      </c>
      <c r="B21266" s="87"/>
      <c r="C21266" s="87"/>
      <c r="D21266" s="87"/>
      <c r="E21266" s="87"/>
      <c r="F21266" s="87"/>
      <c r="G21266" s="87"/>
    </row>
    <row r="21267">
      <c r="A21267" s="86" t="str">
        <f>IFERROR(__xludf.DUMMYFUNCTION("""COMPUTED_VALUE"""),"")</f>
        <v/>
      </c>
      <c r="B21267" s="87"/>
      <c r="C21267" s="87"/>
      <c r="D21267" s="87"/>
      <c r="E21267" s="87"/>
      <c r="F21267" s="87"/>
      <c r="G21267" s="87"/>
    </row>
    <row r="21268">
      <c r="A21268" s="86" t="str">
        <f>IFERROR(__xludf.DUMMYFUNCTION("""COMPUTED_VALUE"""),"")</f>
        <v/>
      </c>
      <c r="B21268" s="87"/>
      <c r="C21268" s="87"/>
      <c r="D21268" s="87"/>
      <c r="E21268" s="87"/>
      <c r="F21268" s="87"/>
      <c r="G21268" s="87"/>
    </row>
    <row r="21269">
      <c r="A21269" s="86" t="str">
        <f>IFERROR(__xludf.DUMMYFUNCTION("""COMPUTED_VALUE"""),"")</f>
        <v/>
      </c>
      <c r="B21269" s="87"/>
      <c r="C21269" s="87"/>
      <c r="D21269" s="87"/>
      <c r="E21269" s="87"/>
      <c r="F21269" s="87"/>
      <c r="G21269" s="87"/>
    </row>
    <row r="21270">
      <c r="A21270" s="86" t="str">
        <f>IFERROR(__xludf.DUMMYFUNCTION("""COMPUTED_VALUE"""),"")</f>
        <v/>
      </c>
      <c r="B21270" s="87"/>
      <c r="C21270" s="87"/>
      <c r="D21270" s="87"/>
      <c r="E21270" s="87"/>
      <c r="F21270" s="87"/>
      <c r="G21270" s="87"/>
    </row>
    <row r="21271">
      <c r="A21271" s="86" t="str">
        <f>IFERROR(__xludf.DUMMYFUNCTION("""COMPUTED_VALUE"""),"")</f>
        <v/>
      </c>
      <c r="B21271" s="87"/>
      <c r="C21271" s="87"/>
      <c r="D21271" s="87"/>
      <c r="E21271" s="87"/>
      <c r="F21271" s="87"/>
      <c r="G21271" s="87"/>
    </row>
    <row r="21272">
      <c r="A21272" s="86" t="str">
        <f>IFERROR(__xludf.DUMMYFUNCTION("""COMPUTED_VALUE"""),"")</f>
        <v/>
      </c>
      <c r="B21272" s="87"/>
      <c r="C21272" s="87"/>
      <c r="D21272" s="87"/>
      <c r="E21272" s="87"/>
      <c r="F21272" s="87"/>
      <c r="G21272" s="87"/>
    </row>
    <row r="21273">
      <c r="A21273" s="86" t="str">
        <f>IFERROR(__xludf.DUMMYFUNCTION("""COMPUTED_VALUE"""),"")</f>
        <v/>
      </c>
      <c r="B21273" s="87"/>
      <c r="C21273" s="87"/>
      <c r="D21273" s="87"/>
      <c r="E21273" s="87"/>
      <c r="F21273" s="87"/>
      <c r="G21273" s="87"/>
    </row>
    <row r="21274">
      <c r="A21274" s="86" t="str">
        <f>IFERROR(__xludf.DUMMYFUNCTION("""COMPUTED_VALUE"""),"")</f>
        <v/>
      </c>
      <c r="B21274" s="87"/>
      <c r="C21274" s="87"/>
      <c r="D21274" s="87"/>
      <c r="E21274" s="87"/>
      <c r="F21274" s="87"/>
      <c r="G21274" s="87"/>
    </row>
    <row r="21275">
      <c r="A21275" s="86" t="str">
        <f>IFERROR(__xludf.DUMMYFUNCTION("""COMPUTED_VALUE"""),"")</f>
        <v/>
      </c>
      <c r="B21275" s="87"/>
      <c r="C21275" s="87"/>
      <c r="D21275" s="87"/>
      <c r="E21275" s="87"/>
      <c r="F21275" s="87"/>
      <c r="G21275" s="87"/>
    </row>
    <row r="21276">
      <c r="A21276" s="86" t="str">
        <f>IFERROR(__xludf.DUMMYFUNCTION("""COMPUTED_VALUE"""),"")</f>
        <v/>
      </c>
      <c r="B21276" s="87"/>
      <c r="C21276" s="87"/>
      <c r="D21276" s="87"/>
      <c r="E21276" s="87"/>
      <c r="F21276" s="87"/>
      <c r="G21276" s="87"/>
    </row>
    <row r="21277">
      <c r="A21277" s="86" t="str">
        <f>IFERROR(__xludf.DUMMYFUNCTION("""COMPUTED_VALUE"""),"")</f>
        <v/>
      </c>
      <c r="B21277" s="87"/>
      <c r="C21277" s="87"/>
      <c r="D21277" s="87"/>
      <c r="E21277" s="87"/>
      <c r="F21277" s="87"/>
      <c r="G21277" s="87"/>
    </row>
    <row r="21278">
      <c r="A21278" s="86" t="str">
        <f>IFERROR(__xludf.DUMMYFUNCTION("""COMPUTED_VALUE"""),"")</f>
        <v/>
      </c>
      <c r="B21278" s="87"/>
      <c r="C21278" s="87"/>
      <c r="D21278" s="87"/>
      <c r="E21278" s="87"/>
      <c r="F21278" s="87"/>
      <c r="G21278" s="87"/>
    </row>
    <row r="21279">
      <c r="A21279" s="86" t="str">
        <f>IFERROR(__xludf.DUMMYFUNCTION("""COMPUTED_VALUE"""),"")</f>
        <v/>
      </c>
      <c r="B21279" s="87"/>
      <c r="C21279" s="87"/>
      <c r="D21279" s="87"/>
      <c r="E21279" s="87"/>
      <c r="F21279" s="87"/>
      <c r="G21279" s="87"/>
    </row>
    <row r="21280">
      <c r="A21280" s="86" t="str">
        <f>IFERROR(__xludf.DUMMYFUNCTION("""COMPUTED_VALUE"""),"")</f>
        <v/>
      </c>
      <c r="B21280" s="87"/>
      <c r="C21280" s="87"/>
      <c r="D21280" s="87"/>
      <c r="E21280" s="87"/>
      <c r="F21280" s="87"/>
      <c r="G21280" s="87"/>
    </row>
    <row r="21281">
      <c r="A21281" s="86" t="str">
        <f>IFERROR(__xludf.DUMMYFUNCTION("""COMPUTED_VALUE"""),"")</f>
        <v/>
      </c>
      <c r="B21281" s="87"/>
      <c r="C21281" s="87"/>
      <c r="D21281" s="87"/>
      <c r="E21281" s="87"/>
      <c r="F21281" s="87"/>
      <c r="G21281" s="87"/>
    </row>
    <row r="21282">
      <c r="A21282" s="86" t="str">
        <f>IFERROR(__xludf.DUMMYFUNCTION("""COMPUTED_VALUE"""),"")</f>
        <v/>
      </c>
      <c r="B21282" s="87"/>
      <c r="C21282" s="87"/>
      <c r="D21282" s="87"/>
      <c r="E21282" s="87"/>
      <c r="F21282" s="87"/>
      <c r="G21282" s="87"/>
    </row>
    <row r="21283">
      <c r="A21283" s="86" t="str">
        <f>IFERROR(__xludf.DUMMYFUNCTION("""COMPUTED_VALUE"""),"")</f>
        <v/>
      </c>
      <c r="B21283" s="87"/>
      <c r="C21283" s="87"/>
      <c r="D21283" s="87"/>
      <c r="E21283" s="87"/>
      <c r="F21283" s="87"/>
      <c r="G21283" s="87"/>
    </row>
    <row r="21284">
      <c r="A21284" s="86" t="str">
        <f>IFERROR(__xludf.DUMMYFUNCTION("""COMPUTED_VALUE"""),"")</f>
        <v/>
      </c>
      <c r="B21284" s="87"/>
      <c r="C21284" s="87"/>
      <c r="D21284" s="87"/>
      <c r="E21284" s="87"/>
      <c r="F21284" s="87"/>
      <c r="G21284" s="87"/>
    </row>
    <row r="21285">
      <c r="A21285" s="86" t="str">
        <f>IFERROR(__xludf.DUMMYFUNCTION("""COMPUTED_VALUE"""),"")</f>
        <v/>
      </c>
      <c r="B21285" s="87"/>
      <c r="C21285" s="87"/>
      <c r="D21285" s="87"/>
      <c r="E21285" s="87"/>
      <c r="F21285" s="87"/>
      <c r="G21285" s="87"/>
    </row>
    <row r="21286">
      <c r="A21286" s="86" t="str">
        <f>IFERROR(__xludf.DUMMYFUNCTION("""COMPUTED_VALUE"""),"")</f>
        <v/>
      </c>
      <c r="B21286" s="87"/>
      <c r="C21286" s="87"/>
      <c r="D21286" s="87"/>
      <c r="E21286" s="87"/>
      <c r="F21286" s="87"/>
      <c r="G21286" s="87"/>
    </row>
    <row r="21287">
      <c r="A21287" s="86" t="str">
        <f>IFERROR(__xludf.DUMMYFUNCTION("""COMPUTED_VALUE"""),"")</f>
        <v/>
      </c>
      <c r="B21287" s="87"/>
      <c r="C21287" s="87"/>
      <c r="D21287" s="87"/>
      <c r="E21287" s="87"/>
      <c r="F21287" s="87"/>
      <c r="G21287" s="87"/>
    </row>
    <row r="21288">
      <c r="A21288" s="86" t="str">
        <f>IFERROR(__xludf.DUMMYFUNCTION("""COMPUTED_VALUE"""),"")</f>
        <v/>
      </c>
      <c r="B21288" s="87"/>
      <c r="C21288" s="87"/>
      <c r="D21288" s="87"/>
      <c r="E21288" s="87"/>
      <c r="F21288" s="87"/>
      <c r="G21288" s="87"/>
    </row>
    <row r="21289">
      <c r="A21289" s="86" t="str">
        <f>IFERROR(__xludf.DUMMYFUNCTION("""COMPUTED_VALUE"""),"")</f>
        <v/>
      </c>
      <c r="B21289" s="87"/>
      <c r="C21289" s="87"/>
      <c r="D21289" s="87"/>
      <c r="E21289" s="87"/>
      <c r="F21289" s="87"/>
      <c r="G21289" s="87"/>
    </row>
    <row r="21290">
      <c r="A21290" s="86" t="str">
        <f>IFERROR(__xludf.DUMMYFUNCTION("""COMPUTED_VALUE"""),"")</f>
        <v/>
      </c>
      <c r="B21290" s="87"/>
      <c r="C21290" s="87"/>
      <c r="D21290" s="87"/>
      <c r="E21290" s="87"/>
      <c r="F21290" s="87"/>
      <c r="G21290" s="87"/>
    </row>
    <row r="21291">
      <c r="A21291" s="86" t="str">
        <f>IFERROR(__xludf.DUMMYFUNCTION("""COMPUTED_VALUE"""),"")</f>
        <v/>
      </c>
      <c r="B21291" s="87"/>
      <c r="C21291" s="87"/>
      <c r="D21291" s="87"/>
      <c r="E21291" s="87"/>
      <c r="F21291" s="87"/>
      <c r="G21291" s="87"/>
    </row>
    <row r="21292">
      <c r="A21292" s="86" t="str">
        <f>IFERROR(__xludf.DUMMYFUNCTION("""COMPUTED_VALUE"""),"")</f>
        <v/>
      </c>
      <c r="B21292" s="87"/>
      <c r="C21292" s="87"/>
      <c r="D21292" s="87"/>
      <c r="E21292" s="87"/>
      <c r="F21292" s="87"/>
      <c r="G21292" s="87"/>
    </row>
    <row r="21293">
      <c r="A21293" s="86" t="str">
        <f>IFERROR(__xludf.DUMMYFUNCTION("""COMPUTED_VALUE"""),"")</f>
        <v/>
      </c>
      <c r="B21293" s="87"/>
      <c r="C21293" s="87"/>
      <c r="D21293" s="87"/>
      <c r="E21293" s="87"/>
      <c r="F21293" s="87"/>
      <c r="G21293" s="87"/>
    </row>
    <row r="21294">
      <c r="A21294" s="86" t="str">
        <f>IFERROR(__xludf.DUMMYFUNCTION("""COMPUTED_VALUE"""),"")</f>
        <v/>
      </c>
      <c r="B21294" s="87"/>
      <c r="C21294" s="87"/>
      <c r="D21294" s="87"/>
      <c r="E21294" s="87"/>
      <c r="F21294" s="87"/>
      <c r="G21294" s="87"/>
    </row>
    <row r="21295">
      <c r="A21295" s="86" t="str">
        <f>IFERROR(__xludf.DUMMYFUNCTION("""COMPUTED_VALUE"""),"")</f>
        <v/>
      </c>
      <c r="B21295" s="87"/>
      <c r="C21295" s="87"/>
      <c r="D21295" s="87"/>
      <c r="E21295" s="87"/>
      <c r="F21295" s="87"/>
      <c r="G21295" s="87"/>
    </row>
    <row r="21296">
      <c r="A21296" s="86" t="str">
        <f>IFERROR(__xludf.DUMMYFUNCTION("""COMPUTED_VALUE"""),"")</f>
        <v/>
      </c>
      <c r="B21296" s="87"/>
      <c r="C21296" s="87"/>
      <c r="D21296" s="87"/>
      <c r="E21296" s="87"/>
      <c r="F21296" s="87"/>
      <c r="G21296" s="87"/>
    </row>
    <row r="21297">
      <c r="A21297" s="86" t="str">
        <f>IFERROR(__xludf.DUMMYFUNCTION("""COMPUTED_VALUE"""),"")</f>
        <v/>
      </c>
      <c r="B21297" s="87"/>
      <c r="C21297" s="87"/>
      <c r="D21297" s="87"/>
      <c r="E21297" s="87"/>
      <c r="F21297" s="87"/>
      <c r="G21297" s="87"/>
    </row>
    <row r="21298">
      <c r="A21298" s="86" t="str">
        <f>IFERROR(__xludf.DUMMYFUNCTION("""COMPUTED_VALUE"""),"")</f>
        <v/>
      </c>
      <c r="B21298" s="87"/>
      <c r="C21298" s="87"/>
      <c r="D21298" s="87"/>
      <c r="E21298" s="87"/>
      <c r="F21298" s="87"/>
      <c r="G21298" s="87"/>
    </row>
    <row r="21299">
      <c r="A21299" s="86" t="str">
        <f>IFERROR(__xludf.DUMMYFUNCTION("""COMPUTED_VALUE"""),"")</f>
        <v/>
      </c>
      <c r="B21299" s="87"/>
      <c r="C21299" s="87"/>
      <c r="D21299" s="87"/>
      <c r="E21299" s="87"/>
      <c r="F21299" s="87"/>
      <c r="G21299" s="87"/>
    </row>
    <row r="21300">
      <c r="A21300" s="86" t="str">
        <f>IFERROR(__xludf.DUMMYFUNCTION("""COMPUTED_VALUE"""),"")</f>
        <v/>
      </c>
      <c r="B21300" s="87"/>
      <c r="C21300" s="87"/>
      <c r="D21300" s="87"/>
      <c r="E21300" s="87"/>
      <c r="F21300" s="87"/>
      <c r="G21300" s="87"/>
    </row>
    <row r="21301">
      <c r="A21301" s="86" t="str">
        <f>IFERROR(__xludf.DUMMYFUNCTION("""COMPUTED_VALUE"""),"")</f>
        <v/>
      </c>
      <c r="B21301" s="87"/>
      <c r="C21301" s="87"/>
      <c r="D21301" s="87"/>
      <c r="E21301" s="87"/>
      <c r="F21301" s="87"/>
      <c r="G21301" s="87"/>
    </row>
    <row r="21302">
      <c r="A21302" s="86" t="str">
        <f>IFERROR(__xludf.DUMMYFUNCTION("""COMPUTED_VALUE"""),"")</f>
        <v/>
      </c>
      <c r="B21302" s="87"/>
      <c r="C21302" s="87"/>
      <c r="D21302" s="87"/>
      <c r="E21302" s="87"/>
      <c r="F21302" s="87"/>
      <c r="G21302" s="87"/>
    </row>
    <row r="21303">
      <c r="A21303" s="86" t="str">
        <f>IFERROR(__xludf.DUMMYFUNCTION("""COMPUTED_VALUE"""),"")</f>
        <v/>
      </c>
      <c r="B21303" s="87"/>
      <c r="C21303" s="87"/>
      <c r="D21303" s="87"/>
      <c r="E21303" s="87"/>
      <c r="F21303" s="87"/>
      <c r="G21303" s="87"/>
    </row>
    <row r="21304">
      <c r="A21304" s="86" t="str">
        <f>IFERROR(__xludf.DUMMYFUNCTION("""COMPUTED_VALUE"""),"")</f>
        <v/>
      </c>
      <c r="B21304" s="87"/>
      <c r="C21304" s="87"/>
      <c r="D21304" s="87"/>
      <c r="E21304" s="87"/>
      <c r="F21304" s="87"/>
      <c r="G21304" s="87"/>
    </row>
    <row r="21305">
      <c r="A21305" s="86" t="str">
        <f>IFERROR(__xludf.DUMMYFUNCTION("""COMPUTED_VALUE"""),"")</f>
        <v/>
      </c>
      <c r="B21305" s="87"/>
      <c r="C21305" s="87"/>
      <c r="D21305" s="87"/>
      <c r="E21305" s="87"/>
      <c r="F21305" s="87"/>
      <c r="G21305" s="87"/>
    </row>
    <row r="21306">
      <c r="A21306" s="86" t="str">
        <f>IFERROR(__xludf.DUMMYFUNCTION("""COMPUTED_VALUE"""),"")</f>
        <v/>
      </c>
      <c r="B21306" s="87"/>
      <c r="C21306" s="87"/>
      <c r="D21306" s="87"/>
      <c r="E21306" s="87"/>
      <c r="F21306" s="87"/>
      <c r="G21306" s="87"/>
    </row>
    <row r="21307">
      <c r="A21307" s="86" t="str">
        <f>IFERROR(__xludf.DUMMYFUNCTION("""COMPUTED_VALUE"""),"")</f>
        <v/>
      </c>
      <c r="B21307" s="87"/>
      <c r="C21307" s="87"/>
      <c r="D21307" s="87"/>
      <c r="E21307" s="87"/>
      <c r="F21307" s="87"/>
      <c r="G21307" s="87"/>
    </row>
    <row r="21308">
      <c r="A21308" s="86" t="str">
        <f>IFERROR(__xludf.DUMMYFUNCTION("""COMPUTED_VALUE"""),"")</f>
        <v/>
      </c>
      <c r="B21308" s="87"/>
      <c r="C21308" s="87"/>
      <c r="D21308" s="87"/>
      <c r="E21308" s="87"/>
      <c r="F21308" s="87"/>
      <c r="G21308" s="87"/>
    </row>
    <row r="21309">
      <c r="A21309" s="86" t="str">
        <f>IFERROR(__xludf.DUMMYFUNCTION("""COMPUTED_VALUE"""),"")</f>
        <v/>
      </c>
      <c r="B21309" s="87"/>
      <c r="C21309" s="87"/>
      <c r="D21309" s="87"/>
      <c r="E21309" s="87"/>
      <c r="F21309" s="87"/>
      <c r="G21309" s="87"/>
    </row>
    <row r="21310">
      <c r="A21310" s="86" t="str">
        <f>IFERROR(__xludf.DUMMYFUNCTION("""COMPUTED_VALUE"""),"")</f>
        <v/>
      </c>
      <c r="B21310" s="87"/>
      <c r="C21310" s="87"/>
      <c r="D21310" s="87"/>
      <c r="E21310" s="87"/>
      <c r="F21310" s="87"/>
      <c r="G21310" s="87"/>
    </row>
    <row r="21311">
      <c r="A21311" s="86" t="str">
        <f>IFERROR(__xludf.DUMMYFUNCTION("""COMPUTED_VALUE"""),"")</f>
        <v/>
      </c>
      <c r="B21311" s="87"/>
      <c r="C21311" s="87"/>
      <c r="D21311" s="87"/>
      <c r="E21311" s="87"/>
      <c r="F21311" s="87"/>
      <c r="G21311" s="87"/>
    </row>
    <row r="21312">
      <c r="A21312" s="86" t="str">
        <f>IFERROR(__xludf.DUMMYFUNCTION("""COMPUTED_VALUE"""),"")</f>
        <v/>
      </c>
      <c r="B21312" s="87"/>
      <c r="C21312" s="87"/>
      <c r="D21312" s="87"/>
      <c r="E21312" s="87"/>
      <c r="F21312" s="87"/>
      <c r="G21312" s="87"/>
    </row>
    <row r="21313">
      <c r="A21313" s="86" t="str">
        <f>IFERROR(__xludf.DUMMYFUNCTION("""COMPUTED_VALUE"""),"")</f>
        <v/>
      </c>
      <c r="B21313" s="87"/>
      <c r="C21313" s="87"/>
      <c r="D21313" s="87"/>
      <c r="E21313" s="87"/>
      <c r="F21313" s="87"/>
      <c r="G21313" s="87"/>
    </row>
    <row r="21314">
      <c r="A21314" s="86" t="str">
        <f>IFERROR(__xludf.DUMMYFUNCTION("""COMPUTED_VALUE"""),"")</f>
        <v/>
      </c>
      <c r="B21314" s="87"/>
      <c r="C21314" s="87"/>
      <c r="D21314" s="87"/>
      <c r="E21314" s="87"/>
      <c r="F21314" s="87"/>
      <c r="G21314" s="87"/>
    </row>
    <row r="21315">
      <c r="A21315" s="86" t="str">
        <f>IFERROR(__xludf.DUMMYFUNCTION("""COMPUTED_VALUE"""),"")</f>
        <v/>
      </c>
      <c r="B21315" s="87"/>
      <c r="C21315" s="87"/>
      <c r="D21315" s="87"/>
      <c r="E21315" s="87"/>
      <c r="F21315" s="87"/>
      <c r="G21315" s="87"/>
    </row>
    <row r="21316">
      <c r="A21316" s="86" t="str">
        <f>IFERROR(__xludf.DUMMYFUNCTION("""COMPUTED_VALUE"""),"")</f>
        <v/>
      </c>
      <c r="B21316" s="87"/>
      <c r="C21316" s="87"/>
      <c r="D21316" s="87"/>
      <c r="E21316" s="87"/>
      <c r="F21316" s="87"/>
      <c r="G21316" s="87"/>
    </row>
    <row r="21317">
      <c r="A21317" s="86" t="str">
        <f>IFERROR(__xludf.DUMMYFUNCTION("""COMPUTED_VALUE"""),"")</f>
        <v/>
      </c>
      <c r="B21317" s="87"/>
      <c r="C21317" s="87"/>
      <c r="D21317" s="87"/>
      <c r="E21317" s="87"/>
      <c r="F21317" s="87"/>
      <c r="G21317" s="87"/>
    </row>
    <row r="21318">
      <c r="A21318" s="86" t="str">
        <f>IFERROR(__xludf.DUMMYFUNCTION("""COMPUTED_VALUE"""),"")</f>
        <v/>
      </c>
      <c r="B21318" s="87"/>
      <c r="C21318" s="87"/>
      <c r="D21318" s="87"/>
      <c r="E21318" s="87"/>
      <c r="F21318" s="87"/>
      <c r="G21318" s="87"/>
    </row>
    <row r="21319">
      <c r="A21319" s="86" t="str">
        <f>IFERROR(__xludf.DUMMYFUNCTION("""COMPUTED_VALUE"""),"")</f>
        <v/>
      </c>
      <c r="B21319" s="87"/>
      <c r="C21319" s="87"/>
      <c r="D21319" s="87"/>
      <c r="E21319" s="87"/>
      <c r="F21319" s="87"/>
      <c r="G21319" s="87"/>
    </row>
    <row r="21320">
      <c r="A21320" s="86" t="str">
        <f>IFERROR(__xludf.DUMMYFUNCTION("""COMPUTED_VALUE"""),"")</f>
        <v/>
      </c>
      <c r="B21320" s="87"/>
      <c r="C21320" s="87"/>
      <c r="D21320" s="87"/>
      <c r="E21320" s="87"/>
      <c r="F21320" s="87"/>
      <c r="G21320" s="87"/>
    </row>
    <row r="21321">
      <c r="A21321" s="86" t="str">
        <f>IFERROR(__xludf.DUMMYFUNCTION("""COMPUTED_VALUE"""),"")</f>
        <v/>
      </c>
      <c r="B21321" s="87"/>
      <c r="C21321" s="87"/>
      <c r="D21321" s="87"/>
      <c r="E21321" s="87"/>
      <c r="F21321" s="87"/>
      <c r="G21321" s="87"/>
    </row>
    <row r="21322">
      <c r="A21322" s="86" t="str">
        <f>IFERROR(__xludf.DUMMYFUNCTION("""COMPUTED_VALUE"""),"")</f>
        <v/>
      </c>
      <c r="B21322" s="87"/>
      <c r="C21322" s="87"/>
      <c r="D21322" s="87"/>
      <c r="E21322" s="87"/>
      <c r="F21322" s="87"/>
      <c r="G21322" s="87"/>
    </row>
    <row r="21323">
      <c r="A21323" s="86" t="str">
        <f>IFERROR(__xludf.DUMMYFUNCTION("""COMPUTED_VALUE"""),"")</f>
        <v/>
      </c>
      <c r="B21323" s="87"/>
      <c r="C21323" s="87"/>
      <c r="D21323" s="87"/>
      <c r="E21323" s="87"/>
      <c r="F21323" s="87"/>
      <c r="G21323" s="87"/>
    </row>
    <row r="21324">
      <c r="A21324" s="86" t="str">
        <f>IFERROR(__xludf.DUMMYFUNCTION("""COMPUTED_VALUE"""),"")</f>
        <v/>
      </c>
      <c r="B21324" s="87"/>
      <c r="C21324" s="87"/>
      <c r="D21324" s="87"/>
      <c r="E21324" s="87"/>
      <c r="F21324" s="87"/>
      <c r="G21324" s="87"/>
    </row>
    <row r="21325">
      <c r="A21325" s="86" t="str">
        <f>IFERROR(__xludf.DUMMYFUNCTION("""COMPUTED_VALUE"""),"")</f>
        <v/>
      </c>
      <c r="B21325" s="87"/>
      <c r="C21325" s="87"/>
      <c r="D21325" s="87"/>
      <c r="E21325" s="87"/>
      <c r="F21325" s="87"/>
      <c r="G21325" s="87"/>
    </row>
    <row r="21326">
      <c r="A21326" s="86" t="str">
        <f>IFERROR(__xludf.DUMMYFUNCTION("""COMPUTED_VALUE"""),"")</f>
        <v/>
      </c>
      <c r="B21326" s="87"/>
      <c r="C21326" s="87"/>
      <c r="D21326" s="87"/>
      <c r="E21326" s="87"/>
      <c r="F21326" s="87"/>
      <c r="G21326" s="87"/>
    </row>
    <row r="21327">
      <c r="A21327" s="86" t="str">
        <f>IFERROR(__xludf.DUMMYFUNCTION("""COMPUTED_VALUE"""),"")</f>
        <v/>
      </c>
      <c r="B21327" s="87"/>
      <c r="C21327" s="87"/>
      <c r="D21327" s="87"/>
      <c r="E21327" s="87"/>
      <c r="F21327" s="87"/>
      <c r="G21327" s="87"/>
    </row>
    <row r="21328">
      <c r="A21328" s="86" t="str">
        <f>IFERROR(__xludf.DUMMYFUNCTION("""COMPUTED_VALUE"""),"")</f>
        <v/>
      </c>
      <c r="B21328" s="87"/>
      <c r="C21328" s="87"/>
      <c r="D21328" s="87"/>
      <c r="E21328" s="87"/>
      <c r="F21328" s="87"/>
      <c r="G21328" s="87"/>
    </row>
    <row r="21329">
      <c r="A21329" s="86" t="str">
        <f>IFERROR(__xludf.DUMMYFUNCTION("""COMPUTED_VALUE"""),"")</f>
        <v/>
      </c>
      <c r="B21329" s="87"/>
      <c r="C21329" s="87"/>
      <c r="D21329" s="87"/>
      <c r="E21329" s="87"/>
      <c r="F21329" s="87"/>
      <c r="G21329" s="87"/>
    </row>
    <row r="21330">
      <c r="A21330" s="86" t="str">
        <f>IFERROR(__xludf.DUMMYFUNCTION("""COMPUTED_VALUE"""),"")</f>
        <v/>
      </c>
      <c r="B21330" s="87"/>
      <c r="C21330" s="87"/>
      <c r="D21330" s="87"/>
      <c r="E21330" s="87"/>
      <c r="F21330" s="87"/>
      <c r="G21330" s="87"/>
    </row>
    <row r="21331">
      <c r="A21331" s="86" t="str">
        <f>IFERROR(__xludf.DUMMYFUNCTION("""COMPUTED_VALUE"""),"")</f>
        <v/>
      </c>
      <c r="B21331" s="87"/>
      <c r="C21331" s="87"/>
      <c r="D21331" s="87"/>
      <c r="E21331" s="87"/>
      <c r="F21331" s="87"/>
      <c r="G21331" s="87"/>
    </row>
    <row r="21332">
      <c r="A21332" s="86" t="str">
        <f>IFERROR(__xludf.DUMMYFUNCTION("""COMPUTED_VALUE"""),"")</f>
        <v/>
      </c>
      <c r="B21332" s="87"/>
      <c r="C21332" s="87"/>
      <c r="D21332" s="87"/>
      <c r="E21332" s="87"/>
      <c r="F21332" s="87"/>
      <c r="G21332" s="87"/>
    </row>
    <row r="21333">
      <c r="A21333" s="86" t="str">
        <f>IFERROR(__xludf.DUMMYFUNCTION("""COMPUTED_VALUE"""),"")</f>
        <v/>
      </c>
      <c r="B21333" s="87"/>
      <c r="C21333" s="87"/>
      <c r="D21333" s="87"/>
      <c r="E21333" s="87"/>
      <c r="F21333" s="87"/>
      <c r="G21333" s="87"/>
    </row>
    <row r="21334">
      <c r="A21334" s="86" t="str">
        <f>IFERROR(__xludf.DUMMYFUNCTION("""COMPUTED_VALUE"""),"")</f>
        <v/>
      </c>
      <c r="B21334" s="87"/>
      <c r="C21334" s="87"/>
      <c r="D21334" s="87"/>
      <c r="E21334" s="87"/>
      <c r="F21334" s="87"/>
      <c r="G21334" s="87"/>
    </row>
    <row r="21335">
      <c r="A21335" s="86" t="str">
        <f>IFERROR(__xludf.DUMMYFUNCTION("""COMPUTED_VALUE"""),"")</f>
        <v/>
      </c>
      <c r="B21335" s="87"/>
      <c r="C21335" s="87"/>
      <c r="D21335" s="87"/>
      <c r="E21335" s="87"/>
      <c r="F21335" s="87"/>
      <c r="G21335" s="87"/>
    </row>
    <row r="21336">
      <c r="A21336" s="86" t="str">
        <f>IFERROR(__xludf.DUMMYFUNCTION("""COMPUTED_VALUE"""),"")</f>
        <v/>
      </c>
      <c r="B21336" s="87"/>
      <c r="C21336" s="87"/>
      <c r="D21336" s="87"/>
      <c r="E21336" s="87"/>
      <c r="F21336" s="87"/>
      <c r="G21336" s="87"/>
    </row>
    <row r="21337">
      <c r="A21337" s="86" t="str">
        <f>IFERROR(__xludf.DUMMYFUNCTION("""COMPUTED_VALUE"""),"")</f>
        <v/>
      </c>
      <c r="B21337" s="87"/>
      <c r="C21337" s="87"/>
      <c r="D21337" s="87"/>
      <c r="E21337" s="87"/>
      <c r="F21337" s="87"/>
      <c r="G21337" s="87"/>
    </row>
    <row r="21338">
      <c r="A21338" s="86" t="str">
        <f>IFERROR(__xludf.DUMMYFUNCTION("""COMPUTED_VALUE"""),"")</f>
        <v/>
      </c>
      <c r="B21338" s="87"/>
      <c r="C21338" s="87"/>
      <c r="D21338" s="87"/>
      <c r="E21338" s="87"/>
      <c r="F21338" s="87"/>
      <c r="G21338" s="87"/>
    </row>
    <row r="21339">
      <c r="A21339" s="86" t="str">
        <f>IFERROR(__xludf.DUMMYFUNCTION("""COMPUTED_VALUE"""),"")</f>
        <v/>
      </c>
      <c r="B21339" s="87"/>
      <c r="C21339" s="87"/>
      <c r="D21339" s="87"/>
      <c r="E21339" s="87"/>
      <c r="F21339" s="87"/>
      <c r="G21339" s="87"/>
    </row>
    <row r="21340">
      <c r="A21340" s="86" t="str">
        <f>IFERROR(__xludf.DUMMYFUNCTION("""COMPUTED_VALUE"""),"")</f>
        <v/>
      </c>
      <c r="B21340" s="87"/>
      <c r="C21340" s="87"/>
      <c r="D21340" s="87"/>
      <c r="E21340" s="87"/>
      <c r="F21340" s="87"/>
      <c r="G21340" s="87"/>
    </row>
    <row r="21341">
      <c r="A21341" s="86" t="str">
        <f>IFERROR(__xludf.DUMMYFUNCTION("""COMPUTED_VALUE"""),"")</f>
        <v/>
      </c>
      <c r="B21341" s="87"/>
      <c r="C21341" s="87"/>
      <c r="D21341" s="87"/>
      <c r="E21341" s="87"/>
      <c r="F21341" s="87"/>
      <c r="G21341" s="87"/>
    </row>
    <row r="21342">
      <c r="A21342" s="86" t="str">
        <f>IFERROR(__xludf.DUMMYFUNCTION("""COMPUTED_VALUE"""),"")</f>
        <v/>
      </c>
      <c r="B21342" s="87"/>
      <c r="C21342" s="87"/>
      <c r="D21342" s="87"/>
      <c r="E21342" s="87"/>
      <c r="F21342" s="87"/>
      <c r="G21342" s="87"/>
    </row>
    <row r="21343">
      <c r="A21343" s="86" t="str">
        <f>IFERROR(__xludf.DUMMYFUNCTION("""COMPUTED_VALUE"""),"")</f>
        <v/>
      </c>
      <c r="B21343" s="87"/>
      <c r="C21343" s="87"/>
      <c r="D21343" s="87"/>
      <c r="E21343" s="87"/>
      <c r="F21343" s="87"/>
      <c r="G21343" s="87"/>
    </row>
    <row r="21344">
      <c r="A21344" s="86" t="str">
        <f>IFERROR(__xludf.DUMMYFUNCTION("""COMPUTED_VALUE"""),"")</f>
        <v/>
      </c>
      <c r="B21344" s="87"/>
      <c r="C21344" s="87"/>
      <c r="D21344" s="87"/>
      <c r="E21344" s="87"/>
      <c r="F21344" s="87"/>
      <c r="G21344" s="87"/>
    </row>
    <row r="21345">
      <c r="A21345" s="86" t="str">
        <f>IFERROR(__xludf.DUMMYFUNCTION("""COMPUTED_VALUE"""),"")</f>
        <v/>
      </c>
      <c r="B21345" s="87"/>
      <c r="C21345" s="87"/>
      <c r="D21345" s="87"/>
      <c r="E21345" s="87"/>
      <c r="F21345" s="87"/>
      <c r="G21345" s="87"/>
    </row>
    <row r="21346">
      <c r="A21346" s="86" t="str">
        <f>IFERROR(__xludf.DUMMYFUNCTION("""COMPUTED_VALUE"""),"")</f>
        <v/>
      </c>
      <c r="B21346" s="87"/>
      <c r="C21346" s="87"/>
      <c r="D21346" s="87"/>
      <c r="E21346" s="87"/>
      <c r="F21346" s="87"/>
      <c r="G21346" s="87"/>
    </row>
    <row r="21347">
      <c r="A21347" s="86" t="str">
        <f>IFERROR(__xludf.DUMMYFUNCTION("""COMPUTED_VALUE"""),"")</f>
        <v/>
      </c>
      <c r="B21347" s="87"/>
      <c r="C21347" s="87"/>
      <c r="D21347" s="87"/>
      <c r="E21347" s="87"/>
      <c r="F21347" s="87"/>
      <c r="G21347" s="87"/>
    </row>
    <row r="21348">
      <c r="A21348" s="86" t="str">
        <f>IFERROR(__xludf.DUMMYFUNCTION("""COMPUTED_VALUE"""),"")</f>
        <v/>
      </c>
      <c r="B21348" s="87"/>
      <c r="C21348" s="87"/>
      <c r="D21348" s="87"/>
      <c r="E21348" s="87"/>
      <c r="F21348" s="87"/>
      <c r="G21348" s="87"/>
    </row>
    <row r="21349">
      <c r="A21349" s="86" t="str">
        <f>IFERROR(__xludf.DUMMYFUNCTION("""COMPUTED_VALUE"""),"")</f>
        <v/>
      </c>
      <c r="B21349" s="87"/>
      <c r="C21349" s="87"/>
      <c r="D21349" s="87"/>
      <c r="E21349" s="87"/>
      <c r="F21349" s="87"/>
      <c r="G21349" s="87"/>
    </row>
    <row r="21350">
      <c r="A21350" s="86" t="str">
        <f>IFERROR(__xludf.DUMMYFUNCTION("""COMPUTED_VALUE"""),"")</f>
        <v/>
      </c>
      <c r="B21350" s="87"/>
      <c r="C21350" s="87"/>
      <c r="D21350" s="87"/>
      <c r="E21350" s="87"/>
      <c r="F21350" s="87"/>
      <c r="G21350" s="87"/>
    </row>
    <row r="21351">
      <c r="A21351" s="86" t="str">
        <f>IFERROR(__xludf.DUMMYFUNCTION("""COMPUTED_VALUE"""),"")</f>
        <v/>
      </c>
      <c r="B21351" s="87"/>
      <c r="C21351" s="87"/>
      <c r="D21351" s="87"/>
      <c r="E21351" s="87"/>
      <c r="F21351" s="87"/>
      <c r="G21351" s="87"/>
    </row>
    <row r="21352">
      <c r="A21352" s="86" t="str">
        <f>IFERROR(__xludf.DUMMYFUNCTION("""COMPUTED_VALUE"""),"")</f>
        <v/>
      </c>
      <c r="B21352" s="87"/>
      <c r="C21352" s="87"/>
      <c r="D21352" s="87"/>
      <c r="E21352" s="87"/>
      <c r="F21352" s="87"/>
      <c r="G21352" s="87"/>
    </row>
    <row r="21353">
      <c r="A21353" s="86" t="str">
        <f>IFERROR(__xludf.DUMMYFUNCTION("""COMPUTED_VALUE"""),"")</f>
        <v/>
      </c>
      <c r="B21353" s="87"/>
      <c r="C21353" s="87"/>
      <c r="D21353" s="87"/>
      <c r="E21353" s="87"/>
      <c r="F21353" s="87"/>
      <c r="G21353" s="87"/>
    </row>
    <row r="21354">
      <c r="A21354" s="86" t="str">
        <f>IFERROR(__xludf.DUMMYFUNCTION("""COMPUTED_VALUE"""),"")</f>
        <v/>
      </c>
      <c r="B21354" s="87"/>
      <c r="C21354" s="87"/>
      <c r="D21354" s="87"/>
      <c r="E21354" s="87"/>
      <c r="F21354" s="87"/>
      <c r="G21354" s="87"/>
    </row>
    <row r="21355">
      <c r="A21355" s="86" t="str">
        <f>IFERROR(__xludf.DUMMYFUNCTION("""COMPUTED_VALUE"""),"")</f>
        <v/>
      </c>
      <c r="B21355" s="87"/>
      <c r="C21355" s="87"/>
      <c r="D21355" s="87"/>
      <c r="E21355" s="87"/>
      <c r="F21355" s="87"/>
      <c r="G21355" s="87"/>
    </row>
    <row r="21356">
      <c r="A21356" s="86" t="str">
        <f>IFERROR(__xludf.DUMMYFUNCTION("""COMPUTED_VALUE"""),"")</f>
        <v/>
      </c>
      <c r="B21356" s="87"/>
      <c r="C21356" s="87"/>
      <c r="D21356" s="87"/>
      <c r="E21356" s="87"/>
      <c r="F21356" s="87"/>
      <c r="G21356" s="87"/>
    </row>
    <row r="21357">
      <c r="A21357" s="86" t="str">
        <f>IFERROR(__xludf.DUMMYFUNCTION("""COMPUTED_VALUE"""),"")</f>
        <v/>
      </c>
      <c r="B21357" s="87"/>
      <c r="C21357" s="87"/>
      <c r="D21357" s="87"/>
      <c r="E21357" s="87"/>
      <c r="F21357" s="87"/>
      <c r="G21357" s="87"/>
    </row>
    <row r="21358">
      <c r="A21358" s="86" t="str">
        <f>IFERROR(__xludf.DUMMYFUNCTION("""COMPUTED_VALUE"""),"")</f>
        <v/>
      </c>
      <c r="B21358" s="87"/>
      <c r="C21358" s="87"/>
      <c r="D21358" s="87"/>
      <c r="E21358" s="87"/>
      <c r="F21358" s="87"/>
      <c r="G21358" s="87"/>
    </row>
    <row r="21359">
      <c r="A21359" s="86" t="str">
        <f>IFERROR(__xludf.DUMMYFUNCTION("""COMPUTED_VALUE"""),"")</f>
        <v/>
      </c>
      <c r="B21359" s="87"/>
      <c r="C21359" s="87"/>
      <c r="D21359" s="87"/>
      <c r="E21359" s="87"/>
      <c r="F21359" s="87"/>
      <c r="G21359" s="87"/>
    </row>
    <row r="21360">
      <c r="A21360" s="86" t="str">
        <f>IFERROR(__xludf.DUMMYFUNCTION("""COMPUTED_VALUE"""),"")</f>
        <v/>
      </c>
      <c r="B21360" s="87"/>
      <c r="C21360" s="87"/>
      <c r="D21360" s="87"/>
      <c r="E21360" s="87"/>
      <c r="F21360" s="87"/>
      <c r="G21360" s="87"/>
    </row>
    <row r="21361">
      <c r="A21361" s="86" t="str">
        <f>IFERROR(__xludf.DUMMYFUNCTION("""COMPUTED_VALUE"""),"")</f>
        <v/>
      </c>
      <c r="B21361" s="87"/>
      <c r="C21361" s="87"/>
      <c r="D21361" s="87"/>
      <c r="E21361" s="87"/>
      <c r="F21361" s="87"/>
      <c r="G21361" s="87"/>
    </row>
    <row r="21362">
      <c r="A21362" s="86" t="str">
        <f>IFERROR(__xludf.DUMMYFUNCTION("""COMPUTED_VALUE"""),"")</f>
        <v/>
      </c>
      <c r="B21362" s="87"/>
      <c r="C21362" s="87"/>
      <c r="D21362" s="87"/>
      <c r="E21362" s="87"/>
      <c r="F21362" s="87"/>
      <c r="G21362" s="87"/>
    </row>
    <row r="21363">
      <c r="A21363" s="86" t="str">
        <f>IFERROR(__xludf.DUMMYFUNCTION("""COMPUTED_VALUE"""),"")</f>
        <v/>
      </c>
      <c r="B21363" s="87"/>
      <c r="C21363" s="87"/>
      <c r="D21363" s="87"/>
      <c r="E21363" s="87"/>
      <c r="F21363" s="87"/>
      <c r="G21363" s="87"/>
    </row>
    <row r="21364">
      <c r="A21364" s="86" t="str">
        <f>IFERROR(__xludf.DUMMYFUNCTION("""COMPUTED_VALUE"""),"")</f>
        <v/>
      </c>
      <c r="B21364" s="87"/>
      <c r="C21364" s="87"/>
      <c r="D21364" s="87"/>
      <c r="E21364" s="87"/>
      <c r="F21364" s="87"/>
      <c r="G21364" s="87"/>
    </row>
    <row r="21365">
      <c r="A21365" s="86" t="str">
        <f>IFERROR(__xludf.DUMMYFUNCTION("""COMPUTED_VALUE"""),"")</f>
        <v/>
      </c>
      <c r="B21365" s="87"/>
      <c r="C21365" s="87"/>
      <c r="D21365" s="87"/>
      <c r="E21365" s="87"/>
      <c r="F21365" s="87"/>
      <c r="G21365" s="87"/>
    </row>
    <row r="21366">
      <c r="A21366" s="86" t="str">
        <f>IFERROR(__xludf.DUMMYFUNCTION("""COMPUTED_VALUE"""),"")</f>
        <v/>
      </c>
      <c r="B21366" s="87"/>
      <c r="C21366" s="87"/>
      <c r="D21366" s="87"/>
      <c r="E21366" s="87"/>
      <c r="F21366" s="87"/>
      <c r="G21366" s="87"/>
    </row>
    <row r="21367">
      <c r="A21367" s="86" t="str">
        <f>IFERROR(__xludf.DUMMYFUNCTION("""COMPUTED_VALUE"""),"")</f>
        <v/>
      </c>
      <c r="B21367" s="87"/>
      <c r="C21367" s="87"/>
      <c r="D21367" s="87"/>
      <c r="E21367" s="87"/>
      <c r="F21367" s="87"/>
      <c r="G21367" s="87"/>
    </row>
    <row r="21368">
      <c r="A21368" s="86" t="str">
        <f>IFERROR(__xludf.DUMMYFUNCTION("""COMPUTED_VALUE"""),"")</f>
        <v/>
      </c>
      <c r="B21368" s="87"/>
      <c r="C21368" s="87"/>
      <c r="D21368" s="87"/>
      <c r="E21368" s="87"/>
      <c r="F21368" s="87"/>
      <c r="G21368" s="87"/>
    </row>
    <row r="21369">
      <c r="A21369" s="86" t="str">
        <f>IFERROR(__xludf.DUMMYFUNCTION("""COMPUTED_VALUE"""),"")</f>
        <v/>
      </c>
      <c r="B21369" s="87"/>
      <c r="C21369" s="87"/>
      <c r="D21369" s="87"/>
      <c r="E21369" s="87"/>
      <c r="F21369" s="87"/>
      <c r="G21369" s="87"/>
    </row>
    <row r="21370">
      <c r="A21370" s="86" t="str">
        <f>IFERROR(__xludf.DUMMYFUNCTION("""COMPUTED_VALUE"""),"")</f>
        <v/>
      </c>
      <c r="B21370" s="87"/>
      <c r="C21370" s="87"/>
      <c r="D21370" s="87"/>
      <c r="E21370" s="87"/>
      <c r="F21370" s="87"/>
      <c r="G21370" s="87"/>
    </row>
    <row r="21371">
      <c r="A21371" s="86" t="str">
        <f>IFERROR(__xludf.DUMMYFUNCTION("""COMPUTED_VALUE"""),"")</f>
        <v/>
      </c>
      <c r="B21371" s="87"/>
      <c r="C21371" s="87"/>
      <c r="D21371" s="87"/>
      <c r="E21371" s="87"/>
      <c r="F21371" s="87"/>
      <c r="G21371" s="87"/>
    </row>
    <row r="21372">
      <c r="A21372" s="86" t="str">
        <f>IFERROR(__xludf.DUMMYFUNCTION("""COMPUTED_VALUE"""),"")</f>
        <v/>
      </c>
      <c r="B21372" s="87"/>
      <c r="C21372" s="87"/>
      <c r="D21372" s="87"/>
      <c r="E21372" s="87"/>
      <c r="F21372" s="87"/>
      <c r="G21372" s="87"/>
    </row>
    <row r="21373">
      <c r="A21373" s="86" t="str">
        <f>IFERROR(__xludf.DUMMYFUNCTION("""COMPUTED_VALUE"""),"")</f>
        <v/>
      </c>
      <c r="B21373" s="87"/>
      <c r="C21373" s="87"/>
      <c r="D21373" s="87"/>
      <c r="E21373" s="87"/>
      <c r="F21373" s="87"/>
      <c r="G21373" s="87"/>
    </row>
    <row r="21374">
      <c r="A21374" s="86" t="str">
        <f>IFERROR(__xludf.DUMMYFUNCTION("""COMPUTED_VALUE"""),"")</f>
        <v/>
      </c>
      <c r="B21374" s="87"/>
      <c r="C21374" s="87"/>
      <c r="D21374" s="87"/>
      <c r="E21374" s="87"/>
      <c r="F21374" s="87"/>
      <c r="G21374" s="87"/>
    </row>
    <row r="21375">
      <c r="A21375" s="86" t="str">
        <f>IFERROR(__xludf.DUMMYFUNCTION("""COMPUTED_VALUE"""),"")</f>
        <v/>
      </c>
      <c r="B21375" s="87"/>
      <c r="C21375" s="87"/>
      <c r="D21375" s="87"/>
      <c r="E21375" s="87"/>
      <c r="F21375" s="87"/>
      <c r="G21375" s="87"/>
    </row>
    <row r="21376">
      <c r="A21376" s="86" t="str">
        <f>IFERROR(__xludf.DUMMYFUNCTION("""COMPUTED_VALUE"""),"")</f>
        <v/>
      </c>
      <c r="B21376" s="87"/>
      <c r="C21376" s="87"/>
      <c r="D21376" s="87"/>
      <c r="E21376" s="87"/>
      <c r="F21376" s="87"/>
      <c r="G21376" s="87"/>
    </row>
    <row r="21377">
      <c r="A21377" s="86" t="str">
        <f>IFERROR(__xludf.DUMMYFUNCTION("""COMPUTED_VALUE"""),"")</f>
        <v/>
      </c>
      <c r="B21377" s="87"/>
      <c r="C21377" s="87"/>
      <c r="D21377" s="87"/>
      <c r="E21377" s="87"/>
      <c r="F21377" s="87"/>
      <c r="G21377" s="87"/>
    </row>
    <row r="21378">
      <c r="A21378" s="86" t="str">
        <f>IFERROR(__xludf.DUMMYFUNCTION("""COMPUTED_VALUE"""),"")</f>
        <v/>
      </c>
      <c r="B21378" s="87"/>
      <c r="C21378" s="87"/>
      <c r="D21378" s="87"/>
      <c r="E21378" s="87"/>
      <c r="F21378" s="87"/>
      <c r="G21378" s="87"/>
    </row>
    <row r="21379">
      <c r="A21379" s="86" t="str">
        <f>IFERROR(__xludf.DUMMYFUNCTION("""COMPUTED_VALUE"""),"")</f>
        <v/>
      </c>
      <c r="B21379" s="87"/>
      <c r="C21379" s="87"/>
      <c r="D21379" s="87"/>
      <c r="E21379" s="87"/>
      <c r="F21379" s="87"/>
      <c r="G21379" s="87"/>
    </row>
    <row r="21380">
      <c r="A21380" s="86" t="str">
        <f>IFERROR(__xludf.DUMMYFUNCTION("""COMPUTED_VALUE"""),"")</f>
        <v/>
      </c>
      <c r="B21380" s="87"/>
      <c r="C21380" s="87"/>
      <c r="D21380" s="87"/>
      <c r="E21380" s="87"/>
      <c r="F21380" s="87"/>
      <c r="G21380" s="87"/>
    </row>
    <row r="21381">
      <c r="A21381" s="86" t="str">
        <f>IFERROR(__xludf.DUMMYFUNCTION("""COMPUTED_VALUE"""),"")</f>
        <v/>
      </c>
      <c r="B21381" s="87"/>
      <c r="C21381" s="87"/>
      <c r="D21381" s="87"/>
      <c r="E21381" s="87"/>
      <c r="F21381" s="87"/>
      <c r="G21381" s="87"/>
    </row>
    <row r="21382">
      <c r="A21382" s="86" t="str">
        <f>IFERROR(__xludf.DUMMYFUNCTION("""COMPUTED_VALUE"""),"")</f>
        <v/>
      </c>
      <c r="B21382" s="87"/>
      <c r="C21382" s="87"/>
      <c r="D21382" s="87"/>
      <c r="E21382" s="87"/>
      <c r="F21382" s="87"/>
      <c r="G21382" s="87"/>
    </row>
    <row r="21383">
      <c r="A21383" s="86" t="str">
        <f>IFERROR(__xludf.DUMMYFUNCTION("""COMPUTED_VALUE"""),"")</f>
        <v/>
      </c>
      <c r="B21383" s="87"/>
      <c r="C21383" s="87"/>
      <c r="D21383" s="87"/>
      <c r="E21383" s="87"/>
      <c r="F21383" s="87"/>
      <c r="G21383" s="87"/>
    </row>
    <row r="21384">
      <c r="A21384" s="86" t="str">
        <f>IFERROR(__xludf.DUMMYFUNCTION("""COMPUTED_VALUE"""),"")</f>
        <v/>
      </c>
      <c r="B21384" s="87"/>
      <c r="C21384" s="87"/>
      <c r="D21384" s="87"/>
      <c r="E21384" s="87"/>
      <c r="F21384" s="87"/>
      <c r="G21384" s="87"/>
    </row>
    <row r="21385">
      <c r="A21385" s="86" t="str">
        <f>IFERROR(__xludf.DUMMYFUNCTION("""COMPUTED_VALUE"""),"")</f>
        <v/>
      </c>
      <c r="B21385" s="87"/>
      <c r="C21385" s="87"/>
      <c r="D21385" s="87"/>
      <c r="E21385" s="87"/>
      <c r="F21385" s="87"/>
      <c r="G21385" s="87"/>
    </row>
    <row r="21386">
      <c r="A21386" s="86" t="str">
        <f>IFERROR(__xludf.DUMMYFUNCTION("""COMPUTED_VALUE"""),"")</f>
        <v/>
      </c>
      <c r="B21386" s="87"/>
      <c r="C21386" s="87"/>
      <c r="D21386" s="87"/>
      <c r="E21386" s="87"/>
      <c r="F21386" s="87"/>
      <c r="G21386" s="87"/>
    </row>
    <row r="21387">
      <c r="A21387" s="86" t="str">
        <f>IFERROR(__xludf.DUMMYFUNCTION("""COMPUTED_VALUE"""),"")</f>
        <v/>
      </c>
      <c r="B21387" s="87"/>
      <c r="C21387" s="87"/>
      <c r="D21387" s="87"/>
      <c r="E21387" s="87"/>
      <c r="F21387" s="87"/>
      <c r="G21387" s="87"/>
    </row>
    <row r="21388">
      <c r="A21388" s="86" t="str">
        <f>IFERROR(__xludf.DUMMYFUNCTION("""COMPUTED_VALUE"""),"")</f>
        <v/>
      </c>
      <c r="B21388" s="87"/>
      <c r="C21388" s="87"/>
      <c r="D21388" s="87"/>
      <c r="E21388" s="87"/>
      <c r="F21388" s="87"/>
      <c r="G21388" s="87"/>
    </row>
    <row r="21389">
      <c r="A21389" s="86" t="str">
        <f>IFERROR(__xludf.DUMMYFUNCTION("""COMPUTED_VALUE"""),"")</f>
        <v/>
      </c>
      <c r="B21389" s="87"/>
      <c r="C21389" s="87"/>
      <c r="D21389" s="87"/>
      <c r="E21389" s="87"/>
      <c r="F21389" s="87"/>
      <c r="G21389" s="87"/>
    </row>
    <row r="21390">
      <c r="A21390" s="86" t="str">
        <f>IFERROR(__xludf.DUMMYFUNCTION("""COMPUTED_VALUE"""),"")</f>
        <v/>
      </c>
      <c r="B21390" s="87"/>
      <c r="C21390" s="87"/>
      <c r="D21390" s="87"/>
      <c r="E21390" s="87"/>
      <c r="F21390" s="87"/>
      <c r="G21390" s="87"/>
    </row>
    <row r="21391">
      <c r="A21391" s="86" t="str">
        <f>IFERROR(__xludf.DUMMYFUNCTION("""COMPUTED_VALUE"""),"")</f>
        <v/>
      </c>
      <c r="B21391" s="87"/>
      <c r="C21391" s="87"/>
      <c r="D21391" s="87"/>
      <c r="E21391" s="87"/>
      <c r="F21391" s="87"/>
      <c r="G21391" s="87"/>
    </row>
    <row r="21392">
      <c r="A21392" s="86" t="str">
        <f>IFERROR(__xludf.DUMMYFUNCTION("""COMPUTED_VALUE"""),"")</f>
        <v/>
      </c>
      <c r="B21392" s="87"/>
      <c r="C21392" s="87"/>
      <c r="D21392" s="87"/>
      <c r="E21392" s="87"/>
      <c r="F21392" s="87"/>
      <c r="G21392" s="87"/>
    </row>
    <row r="21393">
      <c r="A21393" s="86" t="str">
        <f>IFERROR(__xludf.DUMMYFUNCTION("""COMPUTED_VALUE"""),"")</f>
        <v/>
      </c>
      <c r="B21393" s="87"/>
      <c r="C21393" s="87"/>
      <c r="D21393" s="87"/>
      <c r="E21393" s="87"/>
      <c r="F21393" s="87"/>
      <c r="G21393" s="87"/>
    </row>
    <row r="21394">
      <c r="A21394" s="86" t="str">
        <f>IFERROR(__xludf.DUMMYFUNCTION("""COMPUTED_VALUE"""),"")</f>
        <v/>
      </c>
      <c r="B21394" s="87"/>
      <c r="C21394" s="87"/>
      <c r="D21394" s="87"/>
      <c r="E21394" s="87"/>
      <c r="F21394" s="87"/>
      <c r="G21394" s="87"/>
    </row>
    <row r="21395">
      <c r="A21395" s="86" t="str">
        <f>IFERROR(__xludf.DUMMYFUNCTION("""COMPUTED_VALUE"""),"")</f>
        <v/>
      </c>
      <c r="B21395" s="87"/>
      <c r="C21395" s="87"/>
      <c r="D21395" s="87"/>
      <c r="E21395" s="87"/>
      <c r="F21395" s="87"/>
      <c r="G21395" s="87"/>
    </row>
    <row r="21396">
      <c r="A21396" s="86" t="str">
        <f>IFERROR(__xludf.DUMMYFUNCTION("""COMPUTED_VALUE"""),"")</f>
        <v/>
      </c>
      <c r="B21396" s="87"/>
      <c r="C21396" s="87"/>
      <c r="D21396" s="87"/>
      <c r="E21396" s="87"/>
      <c r="F21396" s="87"/>
      <c r="G21396" s="87"/>
    </row>
    <row r="21397">
      <c r="A21397" s="86" t="str">
        <f>IFERROR(__xludf.DUMMYFUNCTION("""COMPUTED_VALUE"""),"")</f>
        <v/>
      </c>
      <c r="B21397" s="87"/>
      <c r="C21397" s="87"/>
      <c r="D21397" s="87"/>
      <c r="E21397" s="87"/>
      <c r="F21397" s="87"/>
      <c r="G21397" s="87"/>
    </row>
    <row r="21398">
      <c r="A21398" s="86" t="str">
        <f>IFERROR(__xludf.DUMMYFUNCTION("""COMPUTED_VALUE"""),"")</f>
        <v/>
      </c>
      <c r="B21398" s="87"/>
      <c r="C21398" s="87"/>
      <c r="D21398" s="87"/>
      <c r="E21398" s="87"/>
      <c r="F21398" s="87"/>
      <c r="G21398" s="87"/>
    </row>
    <row r="21399">
      <c r="A21399" s="86" t="str">
        <f>IFERROR(__xludf.DUMMYFUNCTION("""COMPUTED_VALUE"""),"")</f>
        <v/>
      </c>
      <c r="B21399" s="87"/>
      <c r="C21399" s="87"/>
      <c r="D21399" s="87"/>
      <c r="E21399" s="87"/>
      <c r="F21399" s="87"/>
      <c r="G21399" s="87"/>
    </row>
    <row r="21400">
      <c r="A21400" s="86" t="str">
        <f>IFERROR(__xludf.DUMMYFUNCTION("""COMPUTED_VALUE"""),"")</f>
        <v/>
      </c>
      <c r="B21400" s="87"/>
      <c r="C21400" s="87"/>
      <c r="D21400" s="87"/>
      <c r="E21400" s="87"/>
      <c r="F21400" s="87"/>
      <c r="G21400" s="87"/>
    </row>
    <row r="21401">
      <c r="A21401" s="86" t="str">
        <f>IFERROR(__xludf.DUMMYFUNCTION("""COMPUTED_VALUE"""),"")</f>
        <v/>
      </c>
      <c r="B21401" s="87"/>
      <c r="C21401" s="87"/>
      <c r="D21401" s="87"/>
      <c r="E21401" s="87"/>
      <c r="F21401" s="87"/>
      <c r="G21401" s="87"/>
    </row>
    <row r="21402">
      <c r="A21402" s="86" t="str">
        <f>IFERROR(__xludf.DUMMYFUNCTION("""COMPUTED_VALUE"""),"")</f>
        <v/>
      </c>
      <c r="B21402" s="87"/>
      <c r="C21402" s="87"/>
      <c r="D21402" s="87"/>
      <c r="E21402" s="87"/>
      <c r="F21402" s="87"/>
      <c r="G21402" s="87"/>
    </row>
    <row r="21403">
      <c r="A21403" s="86" t="str">
        <f>IFERROR(__xludf.DUMMYFUNCTION("""COMPUTED_VALUE"""),"")</f>
        <v/>
      </c>
      <c r="B21403" s="87"/>
      <c r="C21403" s="87"/>
      <c r="D21403" s="87"/>
      <c r="E21403" s="87"/>
      <c r="F21403" s="87"/>
      <c r="G21403" s="87"/>
    </row>
    <row r="21404">
      <c r="A21404" s="86" t="str">
        <f>IFERROR(__xludf.DUMMYFUNCTION("""COMPUTED_VALUE"""),"")</f>
        <v/>
      </c>
      <c r="B21404" s="87"/>
      <c r="C21404" s="87"/>
      <c r="D21404" s="87"/>
      <c r="E21404" s="87"/>
      <c r="F21404" s="87"/>
      <c r="G21404" s="87"/>
    </row>
    <row r="21405">
      <c r="A21405" s="86" t="str">
        <f>IFERROR(__xludf.DUMMYFUNCTION("""COMPUTED_VALUE"""),"")</f>
        <v/>
      </c>
      <c r="B21405" s="87"/>
      <c r="C21405" s="87"/>
      <c r="D21405" s="87"/>
      <c r="E21405" s="87"/>
      <c r="F21405" s="87"/>
      <c r="G21405" s="87"/>
    </row>
    <row r="21406">
      <c r="A21406" s="86" t="str">
        <f>IFERROR(__xludf.DUMMYFUNCTION("""COMPUTED_VALUE"""),"")</f>
        <v/>
      </c>
      <c r="B21406" s="87"/>
      <c r="C21406" s="87"/>
      <c r="D21406" s="87"/>
      <c r="E21406" s="87"/>
      <c r="F21406" s="87"/>
      <c r="G21406" s="87"/>
    </row>
    <row r="21407">
      <c r="A21407" s="86" t="str">
        <f>IFERROR(__xludf.DUMMYFUNCTION("""COMPUTED_VALUE"""),"")</f>
        <v/>
      </c>
      <c r="B21407" s="87"/>
      <c r="C21407" s="87"/>
      <c r="D21407" s="87"/>
      <c r="E21407" s="87"/>
      <c r="F21407" s="87"/>
      <c r="G21407" s="87"/>
    </row>
    <row r="21408">
      <c r="A21408" s="86" t="str">
        <f>IFERROR(__xludf.DUMMYFUNCTION("""COMPUTED_VALUE"""),"")</f>
        <v/>
      </c>
      <c r="B21408" s="87"/>
      <c r="C21408" s="87"/>
      <c r="D21408" s="87"/>
      <c r="E21408" s="87"/>
      <c r="F21408" s="87"/>
      <c r="G21408" s="87"/>
    </row>
    <row r="21409">
      <c r="A21409" s="86" t="str">
        <f>IFERROR(__xludf.DUMMYFUNCTION("""COMPUTED_VALUE"""),"")</f>
        <v/>
      </c>
      <c r="B21409" s="87"/>
      <c r="C21409" s="87"/>
      <c r="D21409" s="87"/>
      <c r="E21409" s="87"/>
      <c r="F21409" s="87"/>
      <c r="G21409" s="87"/>
    </row>
    <row r="21410">
      <c r="A21410" s="86" t="str">
        <f>IFERROR(__xludf.DUMMYFUNCTION("""COMPUTED_VALUE"""),"")</f>
        <v/>
      </c>
      <c r="B21410" s="87"/>
      <c r="C21410" s="87"/>
      <c r="D21410" s="87"/>
      <c r="E21410" s="87"/>
      <c r="F21410" s="87"/>
      <c r="G21410" s="87"/>
    </row>
    <row r="21411">
      <c r="A21411" s="86" t="str">
        <f>IFERROR(__xludf.DUMMYFUNCTION("""COMPUTED_VALUE"""),"")</f>
        <v/>
      </c>
      <c r="B21411" s="87"/>
      <c r="C21411" s="87"/>
      <c r="D21411" s="87"/>
      <c r="E21411" s="87"/>
      <c r="F21411" s="87"/>
      <c r="G21411" s="87"/>
    </row>
    <row r="21412">
      <c r="A21412" s="86" t="str">
        <f>IFERROR(__xludf.DUMMYFUNCTION("""COMPUTED_VALUE"""),"")</f>
        <v/>
      </c>
      <c r="B21412" s="87"/>
      <c r="C21412" s="87"/>
      <c r="D21412" s="87"/>
      <c r="E21412" s="87"/>
      <c r="F21412" s="87"/>
      <c r="G21412" s="87"/>
    </row>
    <row r="21413">
      <c r="A21413" s="86" t="str">
        <f>IFERROR(__xludf.DUMMYFUNCTION("""COMPUTED_VALUE"""),"")</f>
        <v/>
      </c>
      <c r="B21413" s="87"/>
      <c r="C21413" s="87"/>
      <c r="D21413" s="87"/>
      <c r="E21413" s="87"/>
      <c r="F21413" s="87"/>
      <c r="G21413" s="87"/>
    </row>
    <row r="21414">
      <c r="A21414" s="86" t="str">
        <f>IFERROR(__xludf.DUMMYFUNCTION("""COMPUTED_VALUE"""),"")</f>
        <v/>
      </c>
      <c r="B21414" s="87"/>
      <c r="C21414" s="87"/>
      <c r="D21414" s="87"/>
      <c r="E21414" s="87"/>
      <c r="F21414" s="87"/>
      <c r="G21414" s="87"/>
    </row>
    <row r="21415">
      <c r="A21415" s="86" t="str">
        <f>IFERROR(__xludf.DUMMYFUNCTION("""COMPUTED_VALUE"""),"")</f>
        <v/>
      </c>
      <c r="B21415" s="87"/>
      <c r="C21415" s="87"/>
      <c r="D21415" s="87"/>
      <c r="E21415" s="87"/>
      <c r="F21415" s="87"/>
      <c r="G21415" s="87"/>
    </row>
    <row r="21416">
      <c r="A21416" s="86" t="str">
        <f>IFERROR(__xludf.DUMMYFUNCTION("""COMPUTED_VALUE"""),"")</f>
        <v/>
      </c>
      <c r="B21416" s="87"/>
      <c r="C21416" s="87"/>
      <c r="D21416" s="87"/>
      <c r="E21416" s="87"/>
      <c r="F21416" s="87"/>
      <c r="G21416" s="87"/>
    </row>
    <row r="21417">
      <c r="A21417" s="86" t="str">
        <f>IFERROR(__xludf.DUMMYFUNCTION("""COMPUTED_VALUE"""),"")</f>
        <v/>
      </c>
      <c r="B21417" s="87"/>
      <c r="C21417" s="87"/>
      <c r="D21417" s="87"/>
      <c r="E21417" s="87"/>
      <c r="F21417" s="87"/>
      <c r="G21417" s="87"/>
    </row>
    <row r="21418">
      <c r="A21418" s="86" t="str">
        <f>IFERROR(__xludf.DUMMYFUNCTION("""COMPUTED_VALUE"""),"")</f>
        <v/>
      </c>
      <c r="B21418" s="87"/>
      <c r="C21418" s="87"/>
      <c r="D21418" s="87"/>
      <c r="E21418" s="87"/>
      <c r="F21418" s="87"/>
      <c r="G21418" s="87"/>
    </row>
    <row r="21419">
      <c r="A21419" s="86" t="str">
        <f>IFERROR(__xludf.DUMMYFUNCTION("""COMPUTED_VALUE"""),"")</f>
        <v/>
      </c>
      <c r="B21419" s="87"/>
      <c r="C21419" s="87"/>
      <c r="D21419" s="87"/>
      <c r="E21419" s="87"/>
      <c r="F21419" s="87"/>
      <c r="G21419" s="87"/>
    </row>
    <row r="21420">
      <c r="A21420" s="86" t="str">
        <f>IFERROR(__xludf.DUMMYFUNCTION("""COMPUTED_VALUE"""),"")</f>
        <v/>
      </c>
      <c r="B21420" s="87"/>
      <c r="C21420" s="87"/>
      <c r="D21420" s="87"/>
      <c r="E21420" s="87"/>
      <c r="F21420" s="87"/>
      <c r="G21420" s="87"/>
    </row>
    <row r="21421">
      <c r="A21421" s="86" t="str">
        <f>IFERROR(__xludf.DUMMYFUNCTION("""COMPUTED_VALUE"""),"")</f>
        <v/>
      </c>
      <c r="B21421" s="87"/>
      <c r="C21421" s="87"/>
      <c r="D21421" s="87"/>
      <c r="E21421" s="87"/>
      <c r="F21421" s="87"/>
      <c r="G21421" s="87"/>
    </row>
    <row r="21422">
      <c r="A21422" s="86" t="str">
        <f>IFERROR(__xludf.DUMMYFUNCTION("""COMPUTED_VALUE"""),"")</f>
        <v/>
      </c>
      <c r="B21422" s="87"/>
      <c r="C21422" s="87"/>
      <c r="D21422" s="87"/>
      <c r="E21422" s="87"/>
      <c r="F21422" s="87"/>
      <c r="G21422" s="87"/>
    </row>
    <row r="21423">
      <c r="A21423" s="86" t="str">
        <f>IFERROR(__xludf.DUMMYFUNCTION("""COMPUTED_VALUE"""),"")</f>
        <v/>
      </c>
      <c r="B21423" s="87"/>
      <c r="C21423" s="87"/>
      <c r="D21423" s="87"/>
      <c r="E21423" s="87"/>
      <c r="F21423" s="87"/>
      <c r="G21423" s="87"/>
    </row>
    <row r="21424">
      <c r="A21424" s="86" t="str">
        <f>IFERROR(__xludf.DUMMYFUNCTION("""COMPUTED_VALUE"""),"")</f>
        <v/>
      </c>
      <c r="B21424" s="87"/>
      <c r="C21424" s="87"/>
      <c r="D21424" s="87"/>
      <c r="E21424" s="87"/>
      <c r="F21424" s="87"/>
      <c r="G21424" s="87"/>
    </row>
    <row r="21425">
      <c r="A21425" s="86" t="str">
        <f>IFERROR(__xludf.DUMMYFUNCTION("""COMPUTED_VALUE"""),"")</f>
        <v/>
      </c>
      <c r="B21425" s="87"/>
      <c r="C21425" s="87"/>
      <c r="D21425" s="87"/>
      <c r="E21425" s="87"/>
      <c r="F21425" s="87"/>
      <c r="G21425" s="87"/>
    </row>
    <row r="21426">
      <c r="A21426" s="86" t="str">
        <f>IFERROR(__xludf.DUMMYFUNCTION("""COMPUTED_VALUE"""),"")</f>
        <v/>
      </c>
      <c r="B21426" s="87"/>
      <c r="C21426" s="87"/>
      <c r="D21426" s="87"/>
      <c r="E21426" s="87"/>
      <c r="F21426" s="87"/>
      <c r="G21426" s="87"/>
    </row>
    <row r="21427">
      <c r="A21427" s="86" t="str">
        <f>IFERROR(__xludf.DUMMYFUNCTION("""COMPUTED_VALUE"""),"")</f>
        <v/>
      </c>
      <c r="B21427" s="87"/>
      <c r="C21427" s="87"/>
      <c r="D21427" s="87"/>
      <c r="E21427" s="87"/>
      <c r="F21427" s="87"/>
      <c r="G21427" s="87"/>
    </row>
    <row r="21428">
      <c r="A21428" s="86" t="str">
        <f>IFERROR(__xludf.DUMMYFUNCTION("""COMPUTED_VALUE"""),"")</f>
        <v/>
      </c>
      <c r="B21428" s="87"/>
      <c r="C21428" s="87"/>
      <c r="D21428" s="87"/>
      <c r="E21428" s="87"/>
      <c r="F21428" s="87"/>
      <c r="G21428" s="87"/>
    </row>
    <row r="21429">
      <c r="A21429" s="86" t="str">
        <f>IFERROR(__xludf.DUMMYFUNCTION("""COMPUTED_VALUE"""),"")</f>
        <v/>
      </c>
      <c r="B21429" s="87"/>
      <c r="C21429" s="87"/>
      <c r="D21429" s="87"/>
      <c r="E21429" s="87"/>
      <c r="F21429" s="87"/>
      <c r="G21429" s="87"/>
    </row>
    <row r="21430">
      <c r="A21430" s="86" t="str">
        <f>IFERROR(__xludf.DUMMYFUNCTION("""COMPUTED_VALUE"""),"")</f>
        <v/>
      </c>
      <c r="B21430" s="87"/>
      <c r="C21430" s="87"/>
      <c r="D21430" s="87"/>
      <c r="E21430" s="87"/>
      <c r="F21430" s="87"/>
      <c r="G21430" s="87"/>
    </row>
    <row r="21431">
      <c r="A21431" s="86" t="str">
        <f>IFERROR(__xludf.DUMMYFUNCTION("""COMPUTED_VALUE"""),"")</f>
        <v/>
      </c>
      <c r="B21431" s="87"/>
      <c r="C21431" s="87"/>
      <c r="D21431" s="87"/>
      <c r="E21431" s="87"/>
      <c r="F21431" s="87"/>
      <c r="G21431" s="87"/>
    </row>
    <row r="21432">
      <c r="A21432" s="86" t="str">
        <f>IFERROR(__xludf.DUMMYFUNCTION("""COMPUTED_VALUE"""),"")</f>
        <v/>
      </c>
      <c r="B21432" s="87"/>
      <c r="C21432" s="87"/>
      <c r="D21432" s="87"/>
      <c r="E21432" s="87"/>
      <c r="F21432" s="87"/>
      <c r="G21432" s="87"/>
    </row>
    <row r="21433">
      <c r="A21433" s="86" t="str">
        <f>IFERROR(__xludf.DUMMYFUNCTION("""COMPUTED_VALUE"""),"")</f>
        <v/>
      </c>
      <c r="B21433" s="87"/>
      <c r="C21433" s="87"/>
      <c r="D21433" s="87"/>
      <c r="E21433" s="87"/>
      <c r="F21433" s="87"/>
      <c r="G21433" s="87"/>
    </row>
    <row r="21434">
      <c r="A21434" s="86" t="str">
        <f>IFERROR(__xludf.DUMMYFUNCTION("""COMPUTED_VALUE"""),"")</f>
        <v/>
      </c>
      <c r="B21434" s="87"/>
      <c r="C21434" s="87"/>
      <c r="D21434" s="87"/>
      <c r="E21434" s="87"/>
      <c r="F21434" s="87"/>
      <c r="G21434" s="87"/>
    </row>
    <row r="21435">
      <c r="A21435" s="86" t="str">
        <f>IFERROR(__xludf.DUMMYFUNCTION("""COMPUTED_VALUE"""),"")</f>
        <v/>
      </c>
      <c r="B21435" s="87"/>
      <c r="C21435" s="87"/>
      <c r="D21435" s="87"/>
      <c r="E21435" s="87"/>
      <c r="F21435" s="87"/>
      <c r="G21435" s="87"/>
    </row>
    <row r="21436">
      <c r="A21436" s="86" t="str">
        <f>IFERROR(__xludf.DUMMYFUNCTION("""COMPUTED_VALUE"""),"")</f>
        <v/>
      </c>
      <c r="B21436" s="87"/>
      <c r="C21436" s="87"/>
      <c r="D21436" s="87"/>
      <c r="E21436" s="87"/>
      <c r="F21436" s="87"/>
      <c r="G21436" s="87"/>
    </row>
    <row r="21437">
      <c r="A21437" s="86" t="str">
        <f>IFERROR(__xludf.DUMMYFUNCTION("""COMPUTED_VALUE"""),"")</f>
        <v/>
      </c>
      <c r="B21437" s="87"/>
      <c r="C21437" s="87"/>
      <c r="D21437" s="87"/>
      <c r="E21437" s="87"/>
      <c r="F21437" s="87"/>
      <c r="G21437" s="87"/>
    </row>
    <row r="21438">
      <c r="A21438" s="86" t="str">
        <f>IFERROR(__xludf.DUMMYFUNCTION("""COMPUTED_VALUE"""),"")</f>
        <v/>
      </c>
      <c r="B21438" s="87"/>
      <c r="C21438" s="87"/>
      <c r="D21438" s="87"/>
      <c r="E21438" s="87"/>
      <c r="F21438" s="87"/>
      <c r="G21438" s="87"/>
    </row>
    <row r="21439">
      <c r="A21439" s="86" t="str">
        <f>IFERROR(__xludf.DUMMYFUNCTION("""COMPUTED_VALUE"""),"")</f>
        <v/>
      </c>
      <c r="B21439" s="87"/>
      <c r="C21439" s="87"/>
      <c r="D21439" s="87"/>
      <c r="E21439" s="87"/>
      <c r="F21439" s="87"/>
      <c r="G21439" s="87"/>
    </row>
    <row r="21440">
      <c r="A21440" s="86" t="str">
        <f>IFERROR(__xludf.DUMMYFUNCTION("""COMPUTED_VALUE"""),"")</f>
        <v/>
      </c>
      <c r="B21440" s="87"/>
      <c r="C21440" s="87"/>
      <c r="D21440" s="87"/>
      <c r="E21440" s="87"/>
      <c r="F21440" s="87"/>
      <c r="G21440" s="87"/>
    </row>
    <row r="21441">
      <c r="A21441" s="86" t="str">
        <f>IFERROR(__xludf.DUMMYFUNCTION("""COMPUTED_VALUE"""),"")</f>
        <v/>
      </c>
      <c r="B21441" s="87"/>
      <c r="C21441" s="87"/>
      <c r="D21441" s="87"/>
      <c r="E21441" s="87"/>
      <c r="F21441" s="87"/>
      <c r="G21441" s="87"/>
    </row>
    <row r="21442">
      <c r="A21442" s="86" t="str">
        <f>IFERROR(__xludf.DUMMYFUNCTION("""COMPUTED_VALUE"""),"")</f>
        <v/>
      </c>
      <c r="B21442" s="87"/>
      <c r="C21442" s="87"/>
      <c r="D21442" s="87"/>
      <c r="E21442" s="87"/>
      <c r="F21442" s="87"/>
      <c r="G21442" s="87"/>
    </row>
    <row r="21443">
      <c r="A21443" s="86" t="str">
        <f>IFERROR(__xludf.DUMMYFUNCTION("""COMPUTED_VALUE"""),"")</f>
        <v/>
      </c>
      <c r="B21443" s="87"/>
      <c r="C21443" s="87"/>
      <c r="D21443" s="87"/>
      <c r="E21443" s="87"/>
      <c r="F21443" s="87"/>
      <c r="G21443" s="87"/>
    </row>
    <row r="21444">
      <c r="A21444" s="86" t="str">
        <f>IFERROR(__xludf.DUMMYFUNCTION("""COMPUTED_VALUE"""),"")</f>
        <v/>
      </c>
      <c r="B21444" s="87"/>
      <c r="C21444" s="87"/>
      <c r="D21444" s="87"/>
      <c r="E21444" s="87"/>
      <c r="F21444" s="87"/>
      <c r="G21444" s="87"/>
    </row>
    <row r="21445">
      <c r="A21445" s="86" t="str">
        <f>IFERROR(__xludf.DUMMYFUNCTION("""COMPUTED_VALUE"""),"")</f>
        <v/>
      </c>
      <c r="B21445" s="87"/>
      <c r="C21445" s="87"/>
      <c r="D21445" s="87"/>
      <c r="E21445" s="87"/>
      <c r="F21445" s="87"/>
      <c r="G21445" s="87"/>
    </row>
    <row r="21446">
      <c r="A21446" s="86" t="str">
        <f>IFERROR(__xludf.DUMMYFUNCTION("""COMPUTED_VALUE"""),"")</f>
        <v/>
      </c>
      <c r="B21446" s="87"/>
      <c r="C21446" s="87"/>
      <c r="D21446" s="87"/>
      <c r="E21446" s="87"/>
      <c r="F21446" s="87"/>
      <c r="G21446" s="87"/>
    </row>
    <row r="21447">
      <c r="A21447" s="86" t="str">
        <f>IFERROR(__xludf.DUMMYFUNCTION("""COMPUTED_VALUE"""),"")</f>
        <v/>
      </c>
      <c r="B21447" s="87"/>
      <c r="C21447" s="87"/>
      <c r="D21447" s="87"/>
      <c r="E21447" s="87"/>
      <c r="F21447" s="87"/>
      <c r="G21447" s="87"/>
    </row>
    <row r="21448">
      <c r="A21448" s="86" t="str">
        <f>IFERROR(__xludf.DUMMYFUNCTION("""COMPUTED_VALUE"""),"")</f>
        <v/>
      </c>
      <c r="B21448" s="87"/>
      <c r="C21448" s="87"/>
      <c r="D21448" s="87"/>
      <c r="E21448" s="87"/>
      <c r="F21448" s="87"/>
      <c r="G21448" s="87"/>
    </row>
    <row r="21449">
      <c r="A21449" s="86" t="str">
        <f>IFERROR(__xludf.DUMMYFUNCTION("""COMPUTED_VALUE"""),"")</f>
        <v/>
      </c>
      <c r="B21449" s="87"/>
      <c r="C21449" s="87"/>
      <c r="D21449" s="87"/>
      <c r="E21449" s="87"/>
      <c r="F21449" s="87"/>
      <c r="G21449" s="87"/>
    </row>
    <row r="21450">
      <c r="A21450" s="86" t="str">
        <f>IFERROR(__xludf.DUMMYFUNCTION("""COMPUTED_VALUE"""),"")</f>
        <v/>
      </c>
      <c r="B21450" s="87"/>
      <c r="C21450" s="87"/>
      <c r="D21450" s="87"/>
      <c r="E21450" s="87"/>
      <c r="F21450" s="87"/>
      <c r="G21450" s="87"/>
    </row>
    <row r="21451">
      <c r="A21451" s="86" t="str">
        <f>IFERROR(__xludf.DUMMYFUNCTION("""COMPUTED_VALUE"""),"")</f>
        <v/>
      </c>
      <c r="B21451" s="87"/>
      <c r="C21451" s="87"/>
      <c r="D21451" s="87"/>
      <c r="E21451" s="87"/>
      <c r="F21451" s="87"/>
      <c r="G21451" s="87"/>
    </row>
    <row r="21452">
      <c r="A21452" s="86" t="str">
        <f>IFERROR(__xludf.DUMMYFUNCTION("""COMPUTED_VALUE"""),"")</f>
        <v/>
      </c>
      <c r="B21452" s="87"/>
      <c r="C21452" s="87"/>
      <c r="D21452" s="87"/>
      <c r="E21452" s="87"/>
      <c r="F21452" s="87"/>
      <c r="G21452" s="87"/>
    </row>
    <row r="21453">
      <c r="A21453" s="86" t="str">
        <f>IFERROR(__xludf.DUMMYFUNCTION("""COMPUTED_VALUE"""),"")</f>
        <v/>
      </c>
      <c r="B21453" s="87"/>
      <c r="C21453" s="87"/>
      <c r="D21453" s="87"/>
      <c r="E21453" s="87"/>
      <c r="F21453" s="87"/>
      <c r="G21453" s="87"/>
    </row>
    <row r="21454">
      <c r="A21454" s="86" t="str">
        <f>IFERROR(__xludf.DUMMYFUNCTION("""COMPUTED_VALUE"""),"")</f>
        <v/>
      </c>
      <c r="B21454" s="87"/>
      <c r="C21454" s="87"/>
      <c r="D21454" s="87"/>
      <c r="E21454" s="87"/>
      <c r="F21454" s="87"/>
      <c r="G21454" s="87"/>
    </row>
    <row r="21455">
      <c r="A21455" s="86" t="str">
        <f>IFERROR(__xludf.DUMMYFUNCTION("""COMPUTED_VALUE"""),"")</f>
        <v/>
      </c>
      <c r="B21455" s="87"/>
      <c r="C21455" s="87"/>
      <c r="D21455" s="87"/>
      <c r="E21455" s="87"/>
      <c r="F21455" s="87"/>
      <c r="G21455" s="87"/>
    </row>
    <row r="21456">
      <c r="A21456" s="86" t="str">
        <f>IFERROR(__xludf.DUMMYFUNCTION("""COMPUTED_VALUE"""),"")</f>
        <v/>
      </c>
      <c r="B21456" s="87"/>
      <c r="C21456" s="87"/>
      <c r="D21456" s="87"/>
      <c r="E21456" s="87"/>
      <c r="F21456" s="87"/>
      <c r="G21456" s="87"/>
    </row>
    <row r="21457">
      <c r="A21457" s="86" t="str">
        <f>IFERROR(__xludf.DUMMYFUNCTION("""COMPUTED_VALUE"""),"")</f>
        <v/>
      </c>
      <c r="B21457" s="87"/>
      <c r="C21457" s="87"/>
      <c r="D21457" s="87"/>
      <c r="E21457" s="87"/>
      <c r="F21457" s="87"/>
      <c r="G21457" s="87"/>
    </row>
    <row r="21458">
      <c r="A21458" s="86" t="str">
        <f>IFERROR(__xludf.DUMMYFUNCTION("""COMPUTED_VALUE"""),"")</f>
        <v/>
      </c>
      <c r="B21458" s="87"/>
      <c r="C21458" s="87"/>
      <c r="D21458" s="87"/>
      <c r="E21458" s="87"/>
      <c r="F21458" s="87"/>
      <c r="G21458" s="87"/>
    </row>
    <row r="21459">
      <c r="A21459" s="86" t="str">
        <f>IFERROR(__xludf.DUMMYFUNCTION("""COMPUTED_VALUE"""),"")</f>
        <v/>
      </c>
      <c r="B21459" s="87"/>
      <c r="C21459" s="87"/>
      <c r="D21459" s="87"/>
      <c r="E21459" s="87"/>
      <c r="F21459" s="87"/>
      <c r="G21459" s="87"/>
    </row>
    <row r="21460">
      <c r="A21460" s="86" t="str">
        <f>IFERROR(__xludf.DUMMYFUNCTION("""COMPUTED_VALUE"""),"")</f>
        <v/>
      </c>
      <c r="B21460" s="87"/>
      <c r="C21460" s="87"/>
      <c r="D21460" s="87"/>
      <c r="E21460" s="87"/>
      <c r="F21460" s="87"/>
      <c r="G21460" s="87"/>
    </row>
    <row r="21461">
      <c r="A21461" s="86" t="str">
        <f>IFERROR(__xludf.DUMMYFUNCTION("""COMPUTED_VALUE"""),"")</f>
        <v/>
      </c>
      <c r="B21461" s="87"/>
      <c r="C21461" s="87"/>
      <c r="D21461" s="87"/>
      <c r="E21461" s="87"/>
      <c r="F21461" s="87"/>
      <c r="G21461" s="87"/>
    </row>
    <row r="21462">
      <c r="A21462" s="86" t="str">
        <f>IFERROR(__xludf.DUMMYFUNCTION("""COMPUTED_VALUE"""),"")</f>
        <v/>
      </c>
      <c r="B21462" s="87"/>
      <c r="C21462" s="87"/>
      <c r="D21462" s="87"/>
      <c r="E21462" s="87"/>
      <c r="F21462" s="87"/>
      <c r="G21462" s="87"/>
    </row>
    <row r="21463">
      <c r="A21463" s="86" t="str">
        <f>IFERROR(__xludf.DUMMYFUNCTION("""COMPUTED_VALUE"""),"")</f>
        <v/>
      </c>
      <c r="B21463" s="87"/>
      <c r="C21463" s="87"/>
      <c r="D21463" s="87"/>
      <c r="E21463" s="87"/>
      <c r="F21463" s="87"/>
      <c r="G21463" s="87"/>
    </row>
    <row r="21464">
      <c r="A21464" s="86" t="str">
        <f>IFERROR(__xludf.DUMMYFUNCTION("""COMPUTED_VALUE"""),"")</f>
        <v/>
      </c>
      <c r="B21464" s="87"/>
      <c r="C21464" s="87"/>
      <c r="D21464" s="87"/>
      <c r="E21464" s="87"/>
      <c r="F21464" s="87"/>
      <c r="G21464" s="87"/>
    </row>
    <row r="21465">
      <c r="A21465" s="86" t="str">
        <f>IFERROR(__xludf.DUMMYFUNCTION("""COMPUTED_VALUE"""),"")</f>
        <v/>
      </c>
      <c r="B21465" s="87"/>
      <c r="C21465" s="87"/>
      <c r="D21465" s="87"/>
      <c r="E21465" s="87"/>
      <c r="F21465" s="87"/>
      <c r="G21465" s="87"/>
    </row>
    <row r="21466">
      <c r="A21466" s="86" t="str">
        <f>IFERROR(__xludf.DUMMYFUNCTION("""COMPUTED_VALUE"""),"")</f>
        <v/>
      </c>
      <c r="B21466" s="87"/>
      <c r="C21466" s="87"/>
      <c r="D21466" s="87"/>
      <c r="E21466" s="87"/>
      <c r="F21466" s="87"/>
      <c r="G21466" s="87"/>
    </row>
    <row r="21467">
      <c r="A21467" s="86" t="str">
        <f>IFERROR(__xludf.DUMMYFUNCTION("""COMPUTED_VALUE"""),"")</f>
        <v/>
      </c>
      <c r="B21467" s="87"/>
      <c r="C21467" s="87"/>
      <c r="D21467" s="87"/>
      <c r="E21467" s="87"/>
      <c r="F21467" s="87"/>
      <c r="G21467" s="87"/>
    </row>
    <row r="21468">
      <c r="A21468" s="86" t="str">
        <f>IFERROR(__xludf.DUMMYFUNCTION("""COMPUTED_VALUE"""),"")</f>
        <v/>
      </c>
      <c r="B21468" s="87"/>
      <c r="C21468" s="87"/>
      <c r="D21468" s="87"/>
      <c r="E21468" s="87"/>
      <c r="F21468" s="87"/>
      <c r="G21468" s="87"/>
    </row>
    <row r="21469">
      <c r="A21469" s="86" t="str">
        <f>IFERROR(__xludf.DUMMYFUNCTION("""COMPUTED_VALUE"""),"")</f>
        <v/>
      </c>
      <c r="B21469" s="87"/>
      <c r="C21469" s="87"/>
      <c r="D21469" s="87"/>
      <c r="E21469" s="87"/>
      <c r="F21469" s="87"/>
      <c r="G21469" s="87"/>
    </row>
    <row r="21470">
      <c r="A21470" s="86" t="str">
        <f>IFERROR(__xludf.DUMMYFUNCTION("""COMPUTED_VALUE"""),"")</f>
        <v/>
      </c>
      <c r="B21470" s="87"/>
      <c r="C21470" s="87"/>
      <c r="D21470" s="87"/>
      <c r="E21470" s="87"/>
      <c r="F21470" s="87"/>
      <c r="G21470" s="87"/>
    </row>
    <row r="21471">
      <c r="A21471" s="86" t="str">
        <f>IFERROR(__xludf.DUMMYFUNCTION("""COMPUTED_VALUE"""),"")</f>
        <v/>
      </c>
      <c r="B21471" s="87"/>
      <c r="C21471" s="87"/>
      <c r="D21471" s="87"/>
      <c r="E21471" s="87"/>
      <c r="F21471" s="87"/>
      <c r="G21471" s="87"/>
    </row>
    <row r="21472">
      <c r="A21472" s="86" t="str">
        <f>IFERROR(__xludf.DUMMYFUNCTION("""COMPUTED_VALUE"""),"")</f>
        <v/>
      </c>
      <c r="B21472" s="87"/>
      <c r="C21472" s="87"/>
      <c r="D21472" s="87"/>
      <c r="E21472" s="87"/>
      <c r="F21472" s="87"/>
      <c r="G21472" s="87"/>
    </row>
    <row r="21473">
      <c r="A21473" s="86" t="str">
        <f>IFERROR(__xludf.DUMMYFUNCTION("""COMPUTED_VALUE"""),"")</f>
        <v/>
      </c>
      <c r="B21473" s="87"/>
      <c r="C21473" s="87"/>
      <c r="D21473" s="87"/>
      <c r="E21473" s="87"/>
      <c r="F21473" s="87"/>
      <c r="G21473" s="87"/>
    </row>
    <row r="21474">
      <c r="A21474" s="86" t="str">
        <f>IFERROR(__xludf.DUMMYFUNCTION("""COMPUTED_VALUE"""),"")</f>
        <v/>
      </c>
      <c r="B21474" s="87"/>
      <c r="C21474" s="87"/>
      <c r="D21474" s="87"/>
      <c r="E21474" s="87"/>
      <c r="F21474" s="87"/>
      <c r="G21474" s="87"/>
    </row>
    <row r="21475">
      <c r="A21475" s="86" t="str">
        <f>IFERROR(__xludf.DUMMYFUNCTION("""COMPUTED_VALUE"""),"")</f>
        <v/>
      </c>
      <c r="B21475" s="87"/>
      <c r="C21475" s="87"/>
      <c r="D21475" s="87"/>
      <c r="E21475" s="87"/>
      <c r="F21475" s="87"/>
      <c r="G21475" s="87"/>
    </row>
    <row r="21476">
      <c r="A21476" s="86" t="str">
        <f>IFERROR(__xludf.DUMMYFUNCTION("""COMPUTED_VALUE"""),"")</f>
        <v/>
      </c>
      <c r="B21476" s="87"/>
      <c r="C21476" s="87"/>
      <c r="D21476" s="87"/>
      <c r="E21476" s="87"/>
      <c r="F21476" s="87"/>
      <c r="G21476" s="87"/>
    </row>
    <row r="21477">
      <c r="A21477" s="86" t="str">
        <f>IFERROR(__xludf.DUMMYFUNCTION("""COMPUTED_VALUE"""),"")</f>
        <v/>
      </c>
      <c r="B21477" s="87"/>
      <c r="C21477" s="87"/>
      <c r="D21477" s="87"/>
      <c r="E21477" s="87"/>
      <c r="F21477" s="87"/>
      <c r="G21477" s="87"/>
    </row>
    <row r="21478">
      <c r="A21478" s="86" t="str">
        <f>IFERROR(__xludf.DUMMYFUNCTION("""COMPUTED_VALUE"""),"")</f>
        <v/>
      </c>
      <c r="B21478" s="87"/>
      <c r="C21478" s="87"/>
      <c r="D21478" s="87"/>
      <c r="E21478" s="87"/>
      <c r="F21478" s="87"/>
      <c r="G21478" s="87"/>
    </row>
    <row r="21479">
      <c r="A21479" s="86" t="str">
        <f>IFERROR(__xludf.DUMMYFUNCTION("""COMPUTED_VALUE"""),"")</f>
        <v/>
      </c>
      <c r="B21479" s="87"/>
      <c r="C21479" s="87"/>
      <c r="D21479" s="87"/>
      <c r="E21479" s="87"/>
      <c r="F21479" s="87"/>
      <c r="G21479" s="87"/>
    </row>
    <row r="21480">
      <c r="A21480" s="86" t="str">
        <f>IFERROR(__xludf.DUMMYFUNCTION("""COMPUTED_VALUE"""),"")</f>
        <v/>
      </c>
      <c r="B21480" s="87"/>
      <c r="C21480" s="87"/>
      <c r="D21480" s="87"/>
      <c r="E21480" s="87"/>
      <c r="F21480" s="87"/>
      <c r="G21480" s="87"/>
    </row>
    <row r="21481">
      <c r="A21481" s="86" t="str">
        <f>IFERROR(__xludf.DUMMYFUNCTION("""COMPUTED_VALUE"""),"")</f>
        <v/>
      </c>
      <c r="B21481" s="87"/>
      <c r="C21481" s="87"/>
      <c r="D21481" s="87"/>
      <c r="E21481" s="87"/>
      <c r="F21481" s="87"/>
      <c r="G21481" s="87"/>
    </row>
    <row r="21482">
      <c r="A21482" s="86" t="str">
        <f>IFERROR(__xludf.DUMMYFUNCTION("""COMPUTED_VALUE"""),"")</f>
        <v/>
      </c>
      <c r="B21482" s="87"/>
      <c r="C21482" s="87"/>
      <c r="D21482" s="87"/>
      <c r="E21482" s="87"/>
      <c r="F21482" s="87"/>
      <c r="G21482" s="87"/>
    </row>
    <row r="21483">
      <c r="A21483" s="86" t="str">
        <f>IFERROR(__xludf.DUMMYFUNCTION("""COMPUTED_VALUE"""),"")</f>
        <v/>
      </c>
      <c r="B21483" s="87"/>
      <c r="C21483" s="87"/>
      <c r="D21483" s="87"/>
      <c r="E21483" s="87"/>
      <c r="F21483" s="87"/>
      <c r="G21483" s="87"/>
    </row>
    <row r="21484">
      <c r="A21484" s="86" t="str">
        <f>IFERROR(__xludf.DUMMYFUNCTION("""COMPUTED_VALUE"""),"")</f>
        <v/>
      </c>
      <c r="B21484" s="87"/>
      <c r="C21484" s="87"/>
      <c r="D21484" s="87"/>
      <c r="E21484" s="87"/>
      <c r="F21484" s="87"/>
      <c r="G21484" s="87"/>
    </row>
    <row r="21485">
      <c r="A21485" s="86" t="str">
        <f>IFERROR(__xludf.DUMMYFUNCTION("""COMPUTED_VALUE"""),"")</f>
        <v/>
      </c>
      <c r="B21485" s="87"/>
      <c r="C21485" s="87"/>
      <c r="D21485" s="87"/>
      <c r="E21485" s="87"/>
      <c r="F21485" s="87"/>
      <c r="G21485" s="87"/>
    </row>
    <row r="21486">
      <c r="A21486" s="86" t="str">
        <f>IFERROR(__xludf.DUMMYFUNCTION("""COMPUTED_VALUE"""),"")</f>
        <v/>
      </c>
      <c r="B21486" s="87"/>
      <c r="C21486" s="87"/>
      <c r="D21486" s="87"/>
      <c r="E21486" s="87"/>
      <c r="F21486" s="87"/>
      <c r="G21486" s="87"/>
    </row>
    <row r="21487">
      <c r="A21487" s="86" t="str">
        <f>IFERROR(__xludf.DUMMYFUNCTION("""COMPUTED_VALUE"""),"")</f>
        <v/>
      </c>
      <c r="B21487" s="87"/>
      <c r="C21487" s="87"/>
      <c r="D21487" s="87"/>
      <c r="E21487" s="87"/>
      <c r="F21487" s="87"/>
      <c r="G21487" s="87"/>
    </row>
    <row r="21488">
      <c r="A21488" s="86" t="str">
        <f>IFERROR(__xludf.DUMMYFUNCTION("""COMPUTED_VALUE"""),"")</f>
        <v/>
      </c>
      <c r="B21488" s="87"/>
      <c r="C21488" s="87"/>
      <c r="D21488" s="87"/>
      <c r="E21488" s="87"/>
      <c r="F21488" s="87"/>
      <c r="G21488" s="87"/>
    </row>
    <row r="21489">
      <c r="A21489" s="86" t="str">
        <f>IFERROR(__xludf.DUMMYFUNCTION("""COMPUTED_VALUE"""),"")</f>
        <v/>
      </c>
      <c r="B21489" s="87"/>
      <c r="C21489" s="87"/>
      <c r="D21489" s="87"/>
      <c r="E21489" s="87"/>
      <c r="F21489" s="87"/>
      <c r="G21489" s="87"/>
    </row>
    <row r="21490">
      <c r="A21490" s="86" t="str">
        <f>IFERROR(__xludf.DUMMYFUNCTION("""COMPUTED_VALUE"""),"")</f>
        <v/>
      </c>
      <c r="B21490" s="87"/>
      <c r="C21490" s="87"/>
      <c r="D21490" s="87"/>
      <c r="E21490" s="87"/>
      <c r="F21490" s="87"/>
      <c r="G21490" s="87"/>
    </row>
    <row r="21491">
      <c r="A21491" s="86" t="str">
        <f>IFERROR(__xludf.DUMMYFUNCTION("""COMPUTED_VALUE"""),"")</f>
        <v/>
      </c>
      <c r="B21491" s="87"/>
      <c r="C21491" s="87"/>
      <c r="D21491" s="87"/>
      <c r="E21491" s="87"/>
      <c r="F21491" s="87"/>
      <c r="G21491" s="87"/>
    </row>
    <row r="21492">
      <c r="A21492" s="86" t="str">
        <f>IFERROR(__xludf.DUMMYFUNCTION("""COMPUTED_VALUE"""),"")</f>
        <v/>
      </c>
      <c r="B21492" s="87"/>
      <c r="C21492" s="87"/>
      <c r="D21492" s="87"/>
      <c r="E21492" s="87"/>
      <c r="F21492" s="87"/>
      <c r="G21492" s="87"/>
    </row>
    <row r="21493">
      <c r="A21493" s="86" t="str">
        <f>IFERROR(__xludf.DUMMYFUNCTION("""COMPUTED_VALUE"""),"")</f>
        <v/>
      </c>
      <c r="B21493" s="87"/>
      <c r="C21493" s="87"/>
      <c r="D21493" s="87"/>
      <c r="E21493" s="87"/>
      <c r="F21493" s="87"/>
      <c r="G21493" s="87"/>
    </row>
    <row r="21494">
      <c r="A21494" s="86" t="str">
        <f>IFERROR(__xludf.DUMMYFUNCTION("""COMPUTED_VALUE"""),"")</f>
        <v/>
      </c>
      <c r="B21494" s="87"/>
      <c r="C21494" s="87"/>
      <c r="D21494" s="87"/>
      <c r="E21494" s="87"/>
      <c r="F21494" s="87"/>
      <c r="G21494" s="87"/>
    </row>
    <row r="21495">
      <c r="A21495" s="86" t="str">
        <f>IFERROR(__xludf.DUMMYFUNCTION("""COMPUTED_VALUE"""),"")</f>
        <v/>
      </c>
      <c r="B21495" s="87"/>
      <c r="C21495" s="87"/>
      <c r="D21495" s="87"/>
      <c r="E21495" s="87"/>
      <c r="F21495" s="87"/>
      <c r="G21495" s="87"/>
    </row>
    <row r="21496">
      <c r="A21496" s="86" t="str">
        <f>IFERROR(__xludf.DUMMYFUNCTION("""COMPUTED_VALUE"""),"")</f>
        <v/>
      </c>
      <c r="B21496" s="87"/>
      <c r="C21496" s="87"/>
      <c r="D21496" s="87"/>
      <c r="E21496" s="87"/>
      <c r="F21496" s="87"/>
      <c r="G21496" s="87"/>
    </row>
    <row r="21497">
      <c r="A21497" s="86" t="str">
        <f>IFERROR(__xludf.DUMMYFUNCTION("""COMPUTED_VALUE"""),"")</f>
        <v/>
      </c>
      <c r="B21497" s="87"/>
      <c r="C21497" s="87"/>
      <c r="D21497" s="87"/>
      <c r="E21497" s="87"/>
      <c r="F21497" s="87"/>
      <c r="G21497" s="87"/>
    </row>
    <row r="21498">
      <c r="A21498" s="86" t="str">
        <f>IFERROR(__xludf.DUMMYFUNCTION("""COMPUTED_VALUE"""),"")</f>
        <v/>
      </c>
      <c r="B21498" s="87"/>
      <c r="C21498" s="87"/>
      <c r="D21498" s="87"/>
      <c r="E21498" s="87"/>
      <c r="F21498" s="87"/>
      <c r="G21498" s="87"/>
    </row>
    <row r="21499">
      <c r="A21499" s="86" t="str">
        <f>IFERROR(__xludf.DUMMYFUNCTION("""COMPUTED_VALUE"""),"")</f>
        <v/>
      </c>
      <c r="B21499" s="87"/>
      <c r="C21499" s="87"/>
      <c r="D21499" s="87"/>
      <c r="E21499" s="87"/>
      <c r="F21499" s="87"/>
      <c r="G21499" s="87"/>
    </row>
    <row r="21500">
      <c r="A21500" s="86" t="str">
        <f>IFERROR(__xludf.DUMMYFUNCTION("""COMPUTED_VALUE"""),"")</f>
        <v/>
      </c>
      <c r="B21500" s="87"/>
      <c r="C21500" s="87"/>
      <c r="D21500" s="87"/>
      <c r="E21500" s="87"/>
      <c r="F21500" s="87"/>
      <c r="G21500" s="87"/>
    </row>
    <row r="21501">
      <c r="A21501" s="86" t="str">
        <f>IFERROR(__xludf.DUMMYFUNCTION("""COMPUTED_VALUE"""),"")</f>
        <v/>
      </c>
      <c r="B21501" s="87"/>
      <c r="C21501" s="87"/>
      <c r="D21501" s="87"/>
      <c r="E21501" s="87"/>
      <c r="F21501" s="87"/>
      <c r="G21501" s="87"/>
    </row>
    <row r="21502">
      <c r="A21502" s="86" t="str">
        <f>IFERROR(__xludf.DUMMYFUNCTION("""COMPUTED_VALUE"""),"")</f>
        <v/>
      </c>
      <c r="B21502" s="87"/>
      <c r="C21502" s="87"/>
      <c r="D21502" s="87"/>
      <c r="E21502" s="87"/>
      <c r="F21502" s="87"/>
      <c r="G21502" s="87"/>
    </row>
    <row r="21503">
      <c r="A21503" s="86" t="str">
        <f>IFERROR(__xludf.DUMMYFUNCTION("""COMPUTED_VALUE"""),"")</f>
        <v/>
      </c>
      <c r="B21503" s="87"/>
      <c r="C21503" s="87"/>
      <c r="D21503" s="87"/>
      <c r="E21503" s="87"/>
      <c r="F21503" s="87"/>
      <c r="G21503" s="87"/>
    </row>
    <row r="21504">
      <c r="A21504" s="86" t="str">
        <f>IFERROR(__xludf.DUMMYFUNCTION("""COMPUTED_VALUE"""),"")</f>
        <v/>
      </c>
      <c r="B21504" s="87"/>
      <c r="C21504" s="87"/>
      <c r="D21504" s="87"/>
      <c r="E21504" s="87"/>
      <c r="F21504" s="87"/>
      <c r="G21504" s="87"/>
    </row>
    <row r="21505">
      <c r="A21505" s="86" t="str">
        <f>IFERROR(__xludf.DUMMYFUNCTION("""COMPUTED_VALUE"""),"")</f>
        <v/>
      </c>
      <c r="B21505" s="87"/>
      <c r="C21505" s="87"/>
      <c r="D21505" s="87"/>
      <c r="E21505" s="87"/>
      <c r="F21505" s="87"/>
      <c r="G21505" s="87"/>
    </row>
    <row r="21506">
      <c r="A21506" s="86" t="str">
        <f>IFERROR(__xludf.DUMMYFUNCTION("""COMPUTED_VALUE"""),"")</f>
        <v/>
      </c>
      <c r="B21506" s="87"/>
      <c r="C21506" s="87"/>
      <c r="D21506" s="87"/>
      <c r="E21506" s="87"/>
      <c r="F21506" s="87"/>
      <c r="G21506" s="87"/>
    </row>
    <row r="21507">
      <c r="A21507" s="86" t="str">
        <f>IFERROR(__xludf.DUMMYFUNCTION("""COMPUTED_VALUE"""),"")</f>
        <v/>
      </c>
      <c r="B21507" s="87"/>
      <c r="C21507" s="87"/>
      <c r="D21507" s="87"/>
      <c r="E21507" s="87"/>
      <c r="F21507" s="87"/>
      <c r="G21507" s="87"/>
    </row>
    <row r="21508">
      <c r="A21508" s="86" t="str">
        <f>IFERROR(__xludf.DUMMYFUNCTION("""COMPUTED_VALUE"""),"")</f>
        <v/>
      </c>
      <c r="B21508" s="87"/>
      <c r="C21508" s="87"/>
      <c r="D21508" s="87"/>
      <c r="E21508" s="87"/>
      <c r="F21508" s="87"/>
      <c r="G21508" s="87"/>
    </row>
    <row r="21509">
      <c r="A21509" s="86" t="str">
        <f>IFERROR(__xludf.DUMMYFUNCTION("""COMPUTED_VALUE"""),"")</f>
        <v/>
      </c>
      <c r="B21509" s="87"/>
      <c r="C21509" s="87"/>
      <c r="D21509" s="87"/>
      <c r="E21509" s="87"/>
      <c r="F21509" s="87"/>
      <c r="G21509" s="87"/>
    </row>
    <row r="21510">
      <c r="A21510" s="86" t="str">
        <f>IFERROR(__xludf.DUMMYFUNCTION("""COMPUTED_VALUE"""),"")</f>
        <v/>
      </c>
      <c r="B21510" s="87"/>
      <c r="C21510" s="87"/>
      <c r="D21510" s="87"/>
      <c r="E21510" s="87"/>
      <c r="F21510" s="87"/>
      <c r="G21510" s="87"/>
    </row>
    <row r="21511">
      <c r="A21511" s="86" t="str">
        <f>IFERROR(__xludf.DUMMYFUNCTION("""COMPUTED_VALUE"""),"")</f>
        <v/>
      </c>
      <c r="B21511" s="87"/>
      <c r="C21511" s="87"/>
      <c r="D21511" s="87"/>
      <c r="E21511" s="87"/>
      <c r="F21511" s="87"/>
      <c r="G21511" s="87"/>
    </row>
    <row r="21512">
      <c r="A21512" s="86" t="str">
        <f>IFERROR(__xludf.DUMMYFUNCTION("""COMPUTED_VALUE"""),"")</f>
        <v/>
      </c>
      <c r="B21512" s="87"/>
      <c r="C21512" s="87"/>
      <c r="D21512" s="87"/>
      <c r="E21512" s="87"/>
      <c r="F21512" s="87"/>
      <c r="G21512" s="87"/>
    </row>
    <row r="21513">
      <c r="A21513" s="86" t="str">
        <f>IFERROR(__xludf.DUMMYFUNCTION("""COMPUTED_VALUE"""),"")</f>
        <v/>
      </c>
      <c r="B21513" s="87"/>
      <c r="C21513" s="87"/>
      <c r="D21513" s="87"/>
      <c r="E21513" s="87"/>
      <c r="F21513" s="87"/>
      <c r="G21513" s="87"/>
    </row>
    <row r="21514">
      <c r="A21514" s="86" t="str">
        <f>IFERROR(__xludf.DUMMYFUNCTION("""COMPUTED_VALUE"""),"")</f>
        <v/>
      </c>
      <c r="B21514" s="87"/>
      <c r="C21514" s="87"/>
      <c r="D21514" s="87"/>
      <c r="E21514" s="87"/>
      <c r="F21514" s="87"/>
      <c r="G21514" s="87"/>
    </row>
    <row r="21515">
      <c r="A21515" s="86" t="str">
        <f>IFERROR(__xludf.DUMMYFUNCTION("""COMPUTED_VALUE"""),"")</f>
        <v/>
      </c>
      <c r="B21515" s="87"/>
      <c r="C21515" s="87"/>
      <c r="D21515" s="87"/>
      <c r="E21515" s="87"/>
      <c r="F21515" s="87"/>
      <c r="G21515" s="87"/>
    </row>
    <row r="21516">
      <c r="A21516" s="86" t="str">
        <f>IFERROR(__xludf.DUMMYFUNCTION("""COMPUTED_VALUE"""),"")</f>
        <v/>
      </c>
      <c r="B21516" s="87"/>
      <c r="C21516" s="87"/>
      <c r="D21516" s="87"/>
      <c r="E21516" s="87"/>
      <c r="F21516" s="87"/>
      <c r="G21516" s="87"/>
    </row>
    <row r="21517">
      <c r="A21517" s="86" t="str">
        <f>IFERROR(__xludf.DUMMYFUNCTION("""COMPUTED_VALUE"""),"")</f>
        <v/>
      </c>
      <c r="B21517" s="87"/>
      <c r="C21517" s="87"/>
      <c r="D21517" s="87"/>
      <c r="E21517" s="87"/>
      <c r="F21517" s="87"/>
      <c r="G21517" s="87"/>
    </row>
    <row r="21518">
      <c r="A21518" s="86" t="str">
        <f>IFERROR(__xludf.DUMMYFUNCTION("""COMPUTED_VALUE"""),"")</f>
        <v/>
      </c>
      <c r="B21518" s="87"/>
      <c r="C21518" s="87"/>
      <c r="D21518" s="87"/>
      <c r="E21518" s="87"/>
      <c r="F21518" s="87"/>
      <c r="G21518" s="87"/>
    </row>
    <row r="21519">
      <c r="A21519" s="86" t="str">
        <f>IFERROR(__xludf.DUMMYFUNCTION("""COMPUTED_VALUE"""),"")</f>
        <v/>
      </c>
      <c r="B21519" s="87"/>
      <c r="C21519" s="87"/>
      <c r="D21519" s="87"/>
      <c r="E21519" s="87"/>
      <c r="F21519" s="87"/>
      <c r="G21519" s="87"/>
    </row>
    <row r="21520">
      <c r="A21520" s="86" t="str">
        <f>IFERROR(__xludf.DUMMYFUNCTION("""COMPUTED_VALUE"""),"")</f>
        <v/>
      </c>
      <c r="B21520" s="87"/>
      <c r="C21520" s="87"/>
      <c r="D21520" s="87"/>
      <c r="E21520" s="87"/>
      <c r="F21520" s="87"/>
      <c r="G21520" s="87"/>
    </row>
    <row r="21521">
      <c r="A21521" s="86" t="str">
        <f>IFERROR(__xludf.DUMMYFUNCTION("""COMPUTED_VALUE"""),"")</f>
        <v/>
      </c>
      <c r="B21521" s="87"/>
      <c r="C21521" s="87"/>
      <c r="D21521" s="87"/>
      <c r="E21521" s="87"/>
      <c r="F21521" s="87"/>
      <c r="G21521" s="87"/>
    </row>
    <row r="21522">
      <c r="A21522" s="86" t="str">
        <f>IFERROR(__xludf.DUMMYFUNCTION("""COMPUTED_VALUE"""),"")</f>
        <v/>
      </c>
      <c r="B21522" s="87"/>
      <c r="C21522" s="87"/>
      <c r="D21522" s="87"/>
      <c r="E21522" s="87"/>
      <c r="F21522" s="87"/>
      <c r="G21522" s="87"/>
    </row>
    <row r="21523">
      <c r="A21523" s="86" t="str">
        <f>IFERROR(__xludf.DUMMYFUNCTION("""COMPUTED_VALUE"""),"")</f>
        <v/>
      </c>
      <c r="B21523" s="87"/>
      <c r="C21523" s="87"/>
      <c r="D21523" s="87"/>
      <c r="E21523" s="87"/>
      <c r="F21523" s="87"/>
      <c r="G21523" s="87"/>
    </row>
    <row r="21524">
      <c r="A21524" s="86" t="str">
        <f>IFERROR(__xludf.DUMMYFUNCTION("""COMPUTED_VALUE"""),"")</f>
        <v/>
      </c>
      <c r="B21524" s="87"/>
      <c r="C21524" s="87"/>
      <c r="D21524" s="87"/>
      <c r="E21524" s="87"/>
      <c r="F21524" s="87"/>
      <c r="G21524" s="87"/>
    </row>
    <row r="21525">
      <c r="A21525" s="86" t="str">
        <f>IFERROR(__xludf.DUMMYFUNCTION("""COMPUTED_VALUE"""),"")</f>
        <v/>
      </c>
      <c r="B21525" s="87"/>
      <c r="C21525" s="87"/>
      <c r="D21525" s="87"/>
      <c r="E21525" s="87"/>
      <c r="F21525" s="87"/>
      <c r="G21525" s="87"/>
    </row>
    <row r="21526">
      <c r="A21526" s="86" t="str">
        <f>IFERROR(__xludf.DUMMYFUNCTION("""COMPUTED_VALUE"""),"")</f>
        <v/>
      </c>
      <c r="B21526" s="87"/>
      <c r="C21526" s="87"/>
      <c r="D21526" s="87"/>
      <c r="E21526" s="87"/>
      <c r="F21526" s="87"/>
      <c r="G21526" s="87"/>
    </row>
    <row r="21527">
      <c r="A21527" s="86" t="str">
        <f>IFERROR(__xludf.DUMMYFUNCTION("""COMPUTED_VALUE"""),"")</f>
        <v/>
      </c>
      <c r="B21527" s="87"/>
      <c r="C21527" s="87"/>
      <c r="D21527" s="87"/>
      <c r="E21527" s="87"/>
      <c r="F21527" s="87"/>
      <c r="G21527" s="87"/>
    </row>
    <row r="21528">
      <c r="A21528" s="86" t="str">
        <f>IFERROR(__xludf.DUMMYFUNCTION("""COMPUTED_VALUE"""),"")</f>
        <v/>
      </c>
      <c r="B21528" s="87"/>
      <c r="C21528" s="87"/>
      <c r="D21528" s="87"/>
      <c r="E21528" s="87"/>
      <c r="F21528" s="87"/>
      <c r="G21528" s="87"/>
    </row>
    <row r="21529">
      <c r="A21529" s="86" t="str">
        <f>IFERROR(__xludf.DUMMYFUNCTION("""COMPUTED_VALUE"""),"")</f>
        <v/>
      </c>
      <c r="B21529" s="87"/>
      <c r="C21529" s="87"/>
      <c r="D21529" s="87"/>
      <c r="E21529" s="87"/>
      <c r="F21529" s="87"/>
      <c r="G21529" s="87"/>
    </row>
    <row r="21530">
      <c r="A21530" s="86" t="str">
        <f>IFERROR(__xludf.DUMMYFUNCTION("""COMPUTED_VALUE"""),"")</f>
        <v/>
      </c>
      <c r="B21530" s="87"/>
      <c r="C21530" s="87"/>
      <c r="D21530" s="87"/>
      <c r="E21530" s="87"/>
      <c r="F21530" s="87"/>
      <c r="G21530" s="87"/>
    </row>
    <row r="21531">
      <c r="A21531" s="86" t="str">
        <f>IFERROR(__xludf.DUMMYFUNCTION("""COMPUTED_VALUE"""),"")</f>
        <v/>
      </c>
      <c r="B21531" s="87"/>
      <c r="C21531" s="87"/>
      <c r="D21531" s="87"/>
      <c r="E21531" s="87"/>
      <c r="F21531" s="87"/>
      <c r="G21531" s="87"/>
    </row>
    <row r="21532">
      <c r="A21532" s="86" t="str">
        <f>IFERROR(__xludf.DUMMYFUNCTION("""COMPUTED_VALUE"""),"")</f>
        <v/>
      </c>
      <c r="B21532" s="87"/>
      <c r="C21532" s="87"/>
      <c r="D21532" s="87"/>
      <c r="E21532" s="87"/>
      <c r="F21532" s="87"/>
      <c r="G21532" s="87"/>
    </row>
    <row r="21533">
      <c r="A21533" s="86" t="str">
        <f>IFERROR(__xludf.DUMMYFUNCTION("""COMPUTED_VALUE"""),"")</f>
        <v/>
      </c>
      <c r="B21533" s="87"/>
      <c r="C21533" s="87"/>
      <c r="D21533" s="87"/>
      <c r="E21533" s="87"/>
      <c r="F21533" s="87"/>
      <c r="G21533" s="87"/>
    </row>
    <row r="21534">
      <c r="A21534" s="86" t="str">
        <f>IFERROR(__xludf.DUMMYFUNCTION("""COMPUTED_VALUE"""),"")</f>
        <v/>
      </c>
      <c r="B21534" s="87"/>
      <c r="C21534" s="87"/>
      <c r="D21534" s="87"/>
      <c r="E21534" s="87"/>
      <c r="F21534" s="87"/>
      <c r="G21534" s="87"/>
    </row>
    <row r="21535">
      <c r="A21535" s="86" t="str">
        <f>IFERROR(__xludf.DUMMYFUNCTION("""COMPUTED_VALUE"""),"")</f>
        <v/>
      </c>
      <c r="B21535" s="87"/>
      <c r="C21535" s="87"/>
      <c r="D21535" s="87"/>
      <c r="E21535" s="87"/>
      <c r="F21535" s="87"/>
      <c r="G21535" s="87"/>
    </row>
    <row r="21536">
      <c r="A21536" s="86" t="str">
        <f>IFERROR(__xludf.DUMMYFUNCTION("""COMPUTED_VALUE"""),"")</f>
        <v/>
      </c>
      <c r="B21536" s="87"/>
      <c r="C21536" s="87"/>
      <c r="D21536" s="87"/>
      <c r="E21536" s="87"/>
      <c r="F21536" s="87"/>
      <c r="G21536" s="87"/>
    </row>
    <row r="21537">
      <c r="A21537" s="86" t="str">
        <f>IFERROR(__xludf.DUMMYFUNCTION("""COMPUTED_VALUE"""),"")</f>
        <v/>
      </c>
      <c r="B21537" s="87"/>
      <c r="C21537" s="87"/>
      <c r="D21537" s="87"/>
      <c r="E21537" s="87"/>
      <c r="F21537" s="87"/>
      <c r="G21537" s="87"/>
    </row>
    <row r="21538">
      <c r="A21538" s="86" t="str">
        <f>IFERROR(__xludf.DUMMYFUNCTION("""COMPUTED_VALUE"""),"")</f>
        <v/>
      </c>
      <c r="B21538" s="87"/>
      <c r="C21538" s="87"/>
      <c r="D21538" s="87"/>
      <c r="E21538" s="87"/>
      <c r="F21538" s="87"/>
      <c r="G21538" s="87"/>
    </row>
    <row r="21539">
      <c r="A21539" s="86" t="str">
        <f>IFERROR(__xludf.DUMMYFUNCTION("""COMPUTED_VALUE"""),"")</f>
        <v/>
      </c>
      <c r="B21539" s="87"/>
      <c r="C21539" s="87"/>
      <c r="D21539" s="87"/>
      <c r="E21539" s="87"/>
      <c r="F21539" s="87"/>
      <c r="G21539" s="87"/>
    </row>
    <row r="21540">
      <c r="A21540" s="86" t="str">
        <f>IFERROR(__xludf.DUMMYFUNCTION("""COMPUTED_VALUE"""),"")</f>
        <v/>
      </c>
      <c r="B21540" s="87"/>
      <c r="C21540" s="87"/>
      <c r="D21540" s="87"/>
      <c r="E21540" s="87"/>
      <c r="F21540" s="87"/>
      <c r="G21540" s="87"/>
    </row>
    <row r="21541">
      <c r="A21541" s="86" t="str">
        <f>IFERROR(__xludf.DUMMYFUNCTION("""COMPUTED_VALUE"""),"")</f>
        <v/>
      </c>
      <c r="B21541" s="87"/>
      <c r="C21541" s="87"/>
      <c r="D21541" s="87"/>
      <c r="E21541" s="87"/>
      <c r="F21541" s="87"/>
      <c r="G21541" s="87"/>
    </row>
    <row r="21542">
      <c r="A21542" s="86" t="str">
        <f>IFERROR(__xludf.DUMMYFUNCTION("""COMPUTED_VALUE"""),"")</f>
        <v/>
      </c>
      <c r="B21542" s="87"/>
      <c r="C21542" s="87"/>
      <c r="D21542" s="87"/>
      <c r="E21542" s="87"/>
      <c r="F21542" s="87"/>
      <c r="G21542" s="87"/>
    </row>
    <row r="21543">
      <c r="A21543" s="86" t="str">
        <f>IFERROR(__xludf.DUMMYFUNCTION("""COMPUTED_VALUE"""),"")</f>
        <v/>
      </c>
      <c r="B21543" s="87"/>
      <c r="C21543" s="87"/>
      <c r="D21543" s="87"/>
      <c r="E21543" s="87"/>
      <c r="F21543" s="87"/>
      <c r="G21543" s="87"/>
    </row>
    <row r="21544">
      <c r="A21544" s="86" t="str">
        <f>IFERROR(__xludf.DUMMYFUNCTION("""COMPUTED_VALUE"""),"")</f>
        <v/>
      </c>
      <c r="B21544" s="87"/>
      <c r="C21544" s="87"/>
      <c r="D21544" s="87"/>
      <c r="E21544" s="87"/>
      <c r="F21544" s="87"/>
      <c r="G21544" s="87"/>
    </row>
    <row r="21545">
      <c r="A21545" s="86" t="str">
        <f>IFERROR(__xludf.DUMMYFUNCTION("""COMPUTED_VALUE"""),"")</f>
        <v/>
      </c>
      <c r="B21545" s="87"/>
      <c r="C21545" s="87"/>
      <c r="D21545" s="87"/>
      <c r="E21545" s="87"/>
      <c r="F21545" s="87"/>
      <c r="G21545" s="87"/>
    </row>
    <row r="21546">
      <c r="A21546" s="86" t="str">
        <f>IFERROR(__xludf.DUMMYFUNCTION("""COMPUTED_VALUE"""),"")</f>
        <v/>
      </c>
      <c r="B21546" s="87"/>
      <c r="C21546" s="87"/>
      <c r="D21546" s="87"/>
      <c r="E21546" s="87"/>
      <c r="F21546" s="87"/>
      <c r="G21546" s="87"/>
    </row>
    <row r="21547">
      <c r="A21547" s="86" t="str">
        <f>IFERROR(__xludf.DUMMYFUNCTION("""COMPUTED_VALUE"""),"")</f>
        <v/>
      </c>
      <c r="B21547" s="87"/>
      <c r="C21547" s="87"/>
      <c r="D21547" s="87"/>
      <c r="E21547" s="87"/>
      <c r="F21547" s="87"/>
      <c r="G21547" s="87"/>
    </row>
    <row r="21548">
      <c r="A21548" s="86" t="str">
        <f>IFERROR(__xludf.DUMMYFUNCTION("""COMPUTED_VALUE"""),"")</f>
        <v/>
      </c>
      <c r="B21548" s="87"/>
      <c r="C21548" s="87"/>
      <c r="D21548" s="87"/>
      <c r="E21548" s="87"/>
      <c r="F21548" s="87"/>
      <c r="G21548" s="87"/>
    </row>
    <row r="21549">
      <c r="A21549" s="86" t="str">
        <f>IFERROR(__xludf.DUMMYFUNCTION("""COMPUTED_VALUE"""),"")</f>
        <v/>
      </c>
      <c r="B21549" s="87"/>
      <c r="C21549" s="87"/>
      <c r="D21549" s="87"/>
      <c r="E21549" s="87"/>
      <c r="F21549" s="87"/>
      <c r="G21549" s="87"/>
    </row>
    <row r="21550">
      <c r="A21550" s="86" t="str">
        <f>IFERROR(__xludf.DUMMYFUNCTION("""COMPUTED_VALUE"""),"")</f>
        <v/>
      </c>
      <c r="B21550" s="87"/>
      <c r="C21550" s="87"/>
      <c r="D21550" s="87"/>
      <c r="E21550" s="87"/>
      <c r="F21550" s="87"/>
      <c r="G21550" s="87"/>
    </row>
    <row r="21551">
      <c r="A21551" s="86" t="str">
        <f>IFERROR(__xludf.DUMMYFUNCTION("""COMPUTED_VALUE"""),"")</f>
        <v/>
      </c>
      <c r="B21551" s="87"/>
      <c r="C21551" s="87"/>
      <c r="D21551" s="87"/>
      <c r="E21551" s="87"/>
      <c r="F21551" s="87"/>
      <c r="G21551" s="87"/>
    </row>
    <row r="21552">
      <c r="A21552" s="86" t="str">
        <f>IFERROR(__xludf.DUMMYFUNCTION("""COMPUTED_VALUE"""),"")</f>
        <v/>
      </c>
      <c r="B21552" s="87"/>
      <c r="C21552" s="87"/>
      <c r="D21552" s="87"/>
      <c r="E21552" s="87"/>
      <c r="F21552" s="87"/>
      <c r="G21552" s="87"/>
    </row>
    <row r="21553">
      <c r="A21553" s="86" t="str">
        <f>IFERROR(__xludf.DUMMYFUNCTION("""COMPUTED_VALUE"""),"")</f>
        <v/>
      </c>
      <c r="B21553" s="87"/>
      <c r="C21553" s="87"/>
      <c r="D21553" s="87"/>
      <c r="E21553" s="87"/>
      <c r="F21553" s="87"/>
      <c r="G21553" s="87"/>
    </row>
    <row r="21554">
      <c r="A21554" s="86" t="str">
        <f>IFERROR(__xludf.DUMMYFUNCTION("""COMPUTED_VALUE"""),"")</f>
        <v/>
      </c>
      <c r="B21554" s="87"/>
      <c r="C21554" s="87"/>
      <c r="D21554" s="87"/>
      <c r="E21554" s="87"/>
      <c r="F21554" s="87"/>
      <c r="G21554" s="87"/>
    </row>
    <row r="21555">
      <c r="A21555" s="86" t="str">
        <f>IFERROR(__xludf.DUMMYFUNCTION("""COMPUTED_VALUE"""),"")</f>
        <v/>
      </c>
      <c r="B21555" s="87"/>
      <c r="C21555" s="87"/>
      <c r="D21555" s="87"/>
      <c r="E21555" s="87"/>
      <c r="F21555" s="87"/>
      <c r="G21555" s="87"/>
    </row>
    <row r="21556">
      <c r="A21556" s="86" t="str">
        <f>IFERROR(__xludf.DUMMYFUNCTION("""COMPUTED_VALUE"""),"")</f>
        <v/>
      </c>
      <c r="B21556" s="87"/>
      <c r="C21556" s="87"/>
      <c r="D21556" s="87"/>
      <c r="E21556" s="87"/>
      <c r="F21556" s="87"/>
      <c r="G21556" s="87"/>
    </row>
    <row r="21557">
      <c r="A21557" s="86" t="str">
        <f>IFERROR(__xludf.DUMMYFUNCTION("""COMPUTED_VALUE"""),"")</f>
        <v/>
      </c>
      <c r="B21557" s="87"/>
      <c r="C21557" s="87"/>
      <c r="D21557" s="87"/>
      <c r="E21557" s="87"/>
      <c r="F21557" s="87"/>
      <c r="G21557" s="87"/>
    </row>
    <row r="21558">
      <c r="A21558" s="86" t="str">
        <f>IFERROR(__xludf.DUMMYFUNCTION("""COMPUTED_VALUE"""),"")</f>
        <v/>
      </c>
      <c r="B21558" s="87"/>
      <c r="C21558" s="87"/>
      <c r="D21558" s="87"/>
      <c r="E21558" s="87"/>
      <c r="F21558" s="87"/>
      <c r="G21558" s="87"/>
    </row>
    <row r="21559">
      <c r="A21559" s="86" t="str">
        <f>IFERROR(__xludf.DUMMYFUNCTION("""COMPUTED_VALUE"""),"")</f>
        <v/>
      </c>
      <c r="B21559" s="87"/>
      <c r="C21559" s="87"/>
      <c r="D21559" s="87"/>
      <c r="E21559" s="87"/>
      <c r="F21559" s="87"/>
      <c r="G21559" s="87"/>
    </row>
    <row r="21560">
      <c r="A21560" s="86" t="str">
        <f>IFERROR(__xludf.DUMMYFUNCTION("""COMPUTED_VALUE"""),"")</f>
        <v/>
      </c>
      <c r="B21560" s="87"/>
      <c r="C21560" s="87"/>
      <c r="D21560" s="87"/>
      <c r="E21560" s="87"/>
      <c r="F21560" s="87"/>
      <c r="G21560" s="87"/>
    </row>
    <row r="21561">
      <c r="A21561" s="86" t="str">
        <f>IFERROR(__xludf.DUMMYFUNCTION("""COMPUTED_VALUE"""),"")</f>
        <v/>
      </c>
      <c r="B21561" s="87"/>
      <c r="C21561" s="87"/>
      <c r="D21561" s="87"/>
      <c r="E21561" s="87"/>
      <c r="F21561" s="87"/>
      <c r="G21561" s="87"/>
    </row>
    <row r="21562">
      <c r="A21562" s="86" t="str">
        <f>IFERROR(__xludf.DUMMYFUNCTION("""COMPUTED_VALUE"""),"")</f>
        <v/>
      </c>
      <c r="B21562" s="87"/>
      <c r="C21562" s="87"/>
      <c r="D21562" s="87"/>
      <c r="E21562" s="87"/>
      <c r="F21562" s="87"/>
      <c r="G21562" s="87"/>
    </row>
    <row r="21563">
      <c r="A21563" s="86" t="str">
        <f>IFERROR(__xludf.DUMMYFUNCTION("""COMPUTED_VALUE"""),"")</f>
        <v/>
      </c>
      <c r="B21563" s="87"/>
      <c r="C21563" s="87"/>
      <c r="D21563" s="87"/>
      <c r="E21563" s="87"/>
      <c r="F21563" s="87"/>
      <c r="G21563" s="87"/>
    </row>
    <row r="21564">
      <c r="A21564" s="86" t="str">
        <f>IFERROR(__xludf.DUMMYFUNCTION("""COMPUTED_VALUE"""),"")</f>
        <v/>
      </c>
      <c r="B21564" s="87"/>
      <c r="C21564" s="87"/>
      <c r="D21564" s="87"/>
      <c r="E21564" s="87"/>
      <c r="F21564" s="87"/>
      <c r="G21564" s="87"/>
    </row>
    <row r="21565">
      <c r="A21565" s="86" t="str">
        <f>IFERROR(__xludf.DUMMYFUNCTION("""COMPUTED_VALUE"""),"")</f>
        <v/>
      </c>
      <c r="B21565" s="87"/>
      <c r="C21565" s="87"/>
      <c r="D21565" s="87"/>
      <c r="E21565" s="87"/>
      <c r="F21565" s="87"/>
      <c r="G21565" s="87"/>
    </row>
    <row r="21566">
      <c r="A21566" s="86" t="str">
        <f>IFERROR(__xludf.DUMMYFUNCTION("""COMPUTED_VALUE"""),"")</f>
        <v/>
      </c>
      <c r="B21566" s="87"/>
      <c r="C21566" s="87"/>
      <c r="D21566" s="87"/>
      <c r="E21566" s="87"/>
      <c r="F21566" s="87"/>
      <c r="G21566" s="87"/>
    </row>
    <row r="21567">
      <c r="A21567" s="86" t="str">
        <f>IFERROR(__xludf.DUMMYFUNCTION("""COMPUTED_VALUE"""),"")</f>
        <v/>
      </c>
      <c r="B21567" s="87"/>
      <c r="C21567" s="87"/>
      <c r="D21567" s="87"/>
      <c r="E21567" s="87"/>
      <c r="F21567" s="87"/>
      <c r="G21567" s="87"/>
    </row>
    <row r="21568">
      <c r="A21568" s="86" t="str">
        <f>IFERROR(__xludf.DUMMYFUNCTION("""COMPUTED_VALUE"""),"")</f>
        <v/>
      </c>
      <c r="B21568" s="87"/>
      <c r="C21568" s="87"/>
      <c r="D21568" s="87"/>
      <c r="E21568" s="87"/>
      <c r="F21568" s="87"/>
      <c r="G21568" s="87"/>
    </row>
    <row r="21569">
      <c r="A21569" s="86" t="str">
        <f>IFERROR(__xludf.DUMMYFUNCTION("""COMPUTED_VALUE"""),"")</f>
        <v/>
      </c>
      <c r="B21569" s="87"/>
      <c r="C21569" s="87"/>
      <c r="D21569" s="87"/>
      <c r="E21569" s="87"/>
      <c r="F21569" s="87"/>
      <c r="G21569" s="87"/>
    </row>
    <row r="21570">
      <c r="A21570" s="86" t="str">
        <f>IFERROR(__xludf.DUMMYFUNCTION("""COMPUTED_VALUE"""),"")</f>
        <v/>
      </c>
      <c r="B21570" s="87"/>
      <c r="C21570" s="87"/>
      <c r="D21570" s="87"/>
      <c r="E21570" s="87"/>
      <c r="F21570" s="87"/>
      <c r="G21570" s="87"/>
    </row>
    <row r="21571">
      <c r="A21571" s="86" t="str">
        <f>IFERROR(__xludf.DUMMYFUNCTION("""COMPUTED_VALUE"""),"")</f>
        <v/>
      </c>
      <c r="B21571" s="87"/>
      <c r="C21571" s="87"/>
      <c r="D21571" s="87"/>
      <c r="E21571" s="87"/>
      <c r="F21571" s="87"/>
      <c r="G21571" s="87"/>
    </row>
    <row r="21572">
      <c r="A21572" s="86" t="str">
        <f>IFERROR(__xludf.DUMMYFUNCTION("""COMPUTED_VALUE"""),"")</f>
        <v/>
      </c>
      <c r="B21572" s="87"/>
      <c r="C21572" s="87"/>
      <c r="D21572" s="87"/>
      <c r="E21572" s="87"/>
      <c r="F21572" s="87"/>
      <c r="G21572" s="87"/>
    </row>
    <row r="21573">
      <c r="A21573" s="86" t="str">
        <f>IFERROR(__xludf.DUMMYFUNCTION("""COMPUTED_VALUE"""),"")</f>
        <v/>
      </c>
      <c r="B21573" s="87"/>
      <c r="C21573" s="87"/>
      <c r="D21573" s="87"/>
      <c r="E21573" s="87"/>
      <c r="F21573" s="87"/>
      <c r="G21573" s="87"/>
    </row>
    <row r="21574">
      <c r="A21574" s="86" t="str">
        <f>IFERROR(__xludf.DUMMYFUNCTION("""COMPUTED_VALUE"""),"")</f>
        <v/>
      </c>
      <c r="B21574" s="87"/>
      <c r="C21574" s="87"/>
      <c r="D21574" s="87"/>
      <c r="E21574" s="87"/>
      <c r="F21574" s="87"/>
      <c r="G21574" s="87"/>
    </row>
    <row r="21575">
      <c r="A21575" s="86" t="str">
        <f>IFERROR(__xludf.DUMMYFUNCTION("""COMPUTED_VALUE"""),"")</f>
        <v/>
      </c>
      <c r="B21575" s="87"/>
      <c r="C21575" s="87"/>
      <c r="D21575" s="87"/>
      <c r="E21575" s="87"/>
      <c r="F21575" s="87"/>
      <c r="G21575" s="87"/>
    </row>
    <row r="21576">
      <c r="A21576" s="86" t="str">
        <f>IFERROR(__xludf.DUMMYFUNCTION("""COMPUTED_VALUE"""),"")</f>
        <v/>
      </c>
      <c r="B21576" s="87"/>
      <c r="C21576" s="87"/>
      <c r="D21576" s="87"/>
      <c r="E21576" s="87"/>
      <c r="F21576" s="87"/>
      <c r="G21576" s="87"/>
    </row>
    <row r="21577">
      <c r="A21577" s="86" t="str">
        <f>IFERROR(__xludf.DUMMYFUNCTION("""COMPUTED_VALUE"""),"")</f>
        <v/>
      </c>
      <c r="B21577" s="87"/>
      <c r="C21577" s="87"/>
      <c r="D21577" s="87"/>
      <c r="E21577" s="87"/>
      <c r="F21577" s="87"/>
      <c r="G21577" s="87"/>
    </row>
    <row r="21578">
      <c r="A21578" s="86" t="str">
        <f>IFERROR(__xludf.DUMMYFUNCTION("""COMPUTED_VALUE"""),"")</f>
        <v/>
      </c>
      <c r="B21578" s="87"/>
      <c r="C21578" s="87"/>
      <c r="D21578" s="87"/>
      <c r="E21578" s="87"/>
      <c r="F21578" s="87"/>
      <c r="G21578" s="87"/>
    </row>
    <row r="21579">
      <c r="A21579" s="86" t="str">
        <f>IFERROR(__xludf.DUMMYFUNCTION("""COMPUTED_VALUE"""),"")</f>
        <v/>
      </c>
      <c r="B21579" s="87"/>
      <c r="C21579" s="87"/>
      <c r="D21579" s="87"/>
      <c r="E21579" s="87"/>
      <c r="F21579" s="87"/>
      <c r="G21579" s="87"/>
    </row>
    <row r="21580">
      <c r="A21580" s="86" t="str">
        <f>IFERROR(__xludf.DUMMYFUNCTION("""COMPUTED_VALUE"""),"")</f>
        <v/>
      </c>
      <c r="B21580" s="87"/>
      <c r="C21580" s="87"/>
      <c r="D21580" s="87"/>
      <c r="E21580" s="87"/>
      <c r="F21580" s="87"/>
      <c r="G21580" s="87"/>
    </row>
    <row r="21581">
      <c r="A21581" s="86" t="str">
        <f>IFERROR(__xludf.DUMMYFUNCTION("""COMPUTED_VALUE"""),"")</f>
        <v/>
      </c>
      <c r="B21581" s="87"/>
      <c r="C21581" s="87"/>
      <c r="D21581" s="87"/>
      <c r="E21581" s="87"/>
      <c r="F21581" s="87"/>
      <c r="G21581" s="87"/>
    </row>
    <row r="21582">
      <c r="A21582" s="86" t="str">
        <f>IFERROR(__xludf.DUMMYFUNCTION("""COMPUTED_VALUE"""),"")</f>
        <v/>
      </c>
      <c r="B21582" s="87"/>
      <c r="C21582" s="87"/>
      <c r="D21582" s="87"/>
      <c r="E21582" s="87"/>
      <c r="F21582" s="87"/>
      <c r="G21582" s="87"/>
    </row>
    <row r="21583">
      <c r="A21583" s="86" t="str">
        <f>IFERROR(__xludf.DUMMYFUNCTION("""COMPUTED_VALUE"""),"")</f>
        <v/>
      </c>
      <c r="B21583" s="87"/>
      <c r="C21583" s="87"/>
      <c r="D21583" s="87"/>
      <c r="E21583" s="87"/>
      <c r="F21583" s="87"/>
      <c r="G21583" s="87"/>
    </row>
    <row r="21584">
      <c r="A21584" s="86" t="str">
        <f>IFERROR(__xludf.DUMMYFUNCTION("""COMPUTED_VALUE"""),"")</f>
        <v/>
      </c>
      <c r="B21584" s="87"/>
      <c r="C21584" s="87"/>
      <c r="D21584" s="87"/>
      <c r="E21584" s="87"/>
      <c r="F21584" s="87"/>
      <c r="G21584" s="87"/>
    </row>
    <row r="21585">
      <c r="A21585" s="86" t="str">
        <f>IFERROR(__xludf.DUMMYFUNCTION("""COMPUTED_VALUE"""),"")</f>
        <v/>
      </c>
      <c r="B21585" s="87"/>
      <c r="C21585" s="87"/>
      <c r="D21585" s="87"/>
      <c r="E21585" s="87"/>
      <c r="F21585" s="87"/>
      <c r="G21585" s="87"/>
    </row>
    <row r="21586">
      <c r="A21586" s="86" t="str">
        <f>IFERROR(__xludf.DUMMYFUNCTION("""COMPUTED_VALUE"""),"")</f>
        <v/>
      </c>
      <c r="B21586" s="87"/>
      <c r="C21586" s="87"/>
      <c r="D21586" s="87"/>
      <c r="E21586" s="87"/>
      <c r="F21586" s="87"/>
      <c r="G21586" s="87"/>
    </row>
    <row r="21587">
      <c r="A21587" s="86" t="str">
        <f>IFERROR(__xludf.DUMMYFUNCTION("""COMPUTED_VALUE"""),"")</f>
        <v/>
      </c>
      <c r="B21587" s="87"/>
      <c r="C21587" s="87"/>
      <c r="D21587" s="87"/>
      <c r="E21587" s="87"/>
      <c r="F21587" s="87"/>
      <c r="G21587" s="87"/>
    </row>
    <row r="21588">
      <c r="A21588" s="86" t="str">
        <f>IFERROR(__xludf.DUMMYFUNCTION("""COMPUTED_VALUE"""),"")</f>
        <v/>
      </c>
      <c r="B21588" s="87"/>
      <c r="C21588" s="87"/>
      <c r="D21588" s="87"/>
      <c r="E21588" s="87"/>
      <c r="F21588" s="87"/>
      <c r="G21588" s="87"/>
    </row>
    <row r="21589">
      <c r="A21589" s="86" t="str">
        <f>IFERROR(__xludf.DUMMYFUNCTION("""COMPUTED_VALUE"""),"")</f>
        <v/>
      </c>
      <c r="B21589" s="87"/>
      <c r="C21589" s="87"/>
      <c r="D21589" s="87"/>
      <c r="E21589" s="87"/>
      <c r="F21589" s="87"/>
      <c r="G21589" s="87"/>
    </row>
    <row r="21590">
      <c r="A21590" s="86" t="str">
        <f>IFERROR(__xludf.DUMMYFUNCTION("""COMPUTED_VALUE"""),"")</f>
        <v/>
      </c>
      <c r="B21590" s="87"/>
      <c r="C21590" s="87"/>
      <c r="D21590" s="87"/>
      <c r="E21590" s="87"/>
      <c r="F21590" s="87"/>
      <c r="G21590" s="87"/>
    </row>
    <row r="21591">
      <c r="A21591" s="86" t="str">
        <f>IFERROR(__xludf.DUMMYFUNCTION("""COMPUTED_VALUE"""),"")</f>
        <v/>
      </c>
      <c r="B21591" s="87"/>
      <c r="C21591" s="87"/>
      <c r="D21591" s="87"/>
      <c r="E21591" s="87"/>
      <c r="F21591" s="87"/>
      <c r="G21591" s="87"/>
    </row>
    <row r="21592">
      <c r="A21592" s="86" t="str">
        <f>IFERROR(__xludf.DUMMYFUNCTION("""COMPUTED_VALUE"""),"")</f>
        <v/>
      </c>
      <c r="B21592" s="87"/>
      <c r="C21592" s="87"/>
      <c r="D21592" s="87"/>
      <c r="E21592" s="87"/>
      <c r="F21592" s="87"/>
      <c r="G21592" s="87"/>
    </row>
    <row r="21593">
      <c r="A21593" s="86" t="str">
        <f>IFERROR(__xludf.DUMMYFUNCTION("""COMPUTED_VALUE"""),"")</f>
        <v/>
      </c>
      <c r="B21593" s="87"/>
      <c r="C21593" s="87"/>
      <c r="D21593" s="87"/>
      <c r="E21593" s="87"/>
      <c r="F21593" s="87"/>
      <c r="G21593" s="87"/>
    </row>
    <row r="21594">
      <c r="A21594" s="86" t="str">
        <f>IFERROR(__xludf.DUMMYFUNCTION("""COMPUTED_VALUE"""),"")</f>
        <v/>
      </c>
      <c r="B21594" s="87"/>
      <c r="C21594" s="87"/>
      <c r="D21594" s="87"/>
      <c r="E21594" s="87"/>
      <c r="F21594" s="87"/>
      <c r="G21594" s="87"/>
    </row>
    <row r="21595">
      <c r="A21595" s="86" t="str">
        <f>IFERROR(__xludf.DUMMYFUNCTION("""COMPUTED_VALUE"""),"")</f>
        <v/>
      </c>
      <c r="B21595" s="87"/>
      <c r="C21595" s="87"/>
      <c r="D21595" s="87"/>
      <c r="E21595" s="87"/>
      <c r="F21595" s="87"/>
      <c r="G21595" s="87"/>
    </row>
    <row r="21596">
      <c r="A21596" s="86" t="str">
        <f>IFERROR(__xludf.DUMMYFUNCTION("""COMPUTED_VALUE"""),"")</f>
        <v/>
      </c>
      <c r="B21596" s="87"/>
      <c r="C21596" s="87"/>
      <c r="D21596" s="87"/>
      <c r="E21596" s="87"/>
      <c r="F21596" s="87"/>
      <c r="G21596" s="87"/>
    </row>
    <row r="21597">
      <c r="A21597" s="86" t="str">
        <f>IFERROR(__xludf.DUMMYFUNCTION("""COMPUTED_VALUE"""),"")</f>
        <v/>
      </c>
      <c r="B21597" s="87"/>
      <c r="C21597" s="87"/>
      <c r="D21597" s="87"/>
      <c r="E21597" s="87"/>
      <c r="F21597" s="87"/>
      <c r="G21597" s="87"/>
    </row>
    <row r="21598">
      <c r="A21598" s="86" t="str">
        <f>IFERROR(__xludf.DUMMYFUNCTION("""COMPUTED_VALUE"""),"")</f>
        <v/>
      </c>
      <c r="B21598" s="87"/>
      <c r="C21598" s="87"/>
      <c r="D21598" s="87"/>
      <c r="E21598" s="87"/>
      <c r="F21598" s="87"/>
      <c r="G21598" s="87"/>
    </row>
    <row r="21599">
      <c r="A21599" s="86" t="str">
        <f>IFERROR(__xludf.DUMMYFUNCTION("""COMPUTED_VALUE"""),"")</f>
        <v/>
      </c>
      <c r="B21599" s="87"/>
      <c r="C21599" s="87"/>
      <c r="D21599" s="87"/>
      <c r="E21599" s="87"/>
      <c r="F21599" s="87"/>
      <c r="G21599" s="87"/>
    </row>
    <row r="21600">
      <c r="A21600" s="86" t="str">
        <f>IFERROR(__xludf.DUMMYFUNCTION("""COMPUTED_VALUE"""),"")</f>
        <v/>
      </c>
      <c r="B21600" s="87"/>
      <c r="C21600" s="87"/>
      <c r="D21600" s="87"/>
      <c r="E21600" s="87"/>
      <c r="F21600" s="87"/>
      <c r="G21600" s="87"/>
    </row>
    <row r="21601">
      <c r="A21601" s="86" t="str">
        <f>IFERROR(__xludf.DUMMYFUNCTION("""COMPUTED_VALUE"""),"")</f>
        <v/>
      </c>
      <c r="B21601" s="87"/>
      <c r="C21601" s="87"/>
      <c r="D21601" s="87"/>
      <c r="E21601" s="87"/>
      <c r="F21601" s="87"/>
      <c r="G21601" s="87"/>
    </row>
    <row r="21602">
      <c r="A21602" s="86" t="str">
        <f>IFERROR(__xludf.DUMMYFUNCTION("""COMPUTED_VALUE"""),"")</f>
        <v/>
      </c>
      <c r="B21602" s="87"/>
      <c r="C21602" s="87"/>
      <c r="D21602" s="87"/>
      <c r="E21602" s="87"/>
      <c r="F21602" s="87"/>
      <c r="G21602" s="87"/>
    </row>
    <row r="21603">
      <c r="A21603" s="86" t="str">
        <f>IFERROR(__xludf.DUMMYFUNCTION("""COMPUTED_VALUE"""),"")</f>
        <v/>
      </c>
      <c r="B21603" s="87"/>
      <c r="C21603" s="87"/>
      <c r="D21603" s="87"/>
      <c r="E21603" s="87"/>
      <c r="F21603" s="87"/>
      <c r="G21603" s="87"/>
    </row>
    <row r="21604">
      <c r="A21604" s="86" t="str">
        <f>IFERROR(__xludf.DUMMYFUNCTION("""COMPUTED_VALUE"""),"")</f>
        <v/>
      </c>
      <c r="B21604" s="87"/>
      <c r="C21604" s="87"/>
      <c r="D21604" s="87"/>
      <c r="E21604" s="87"/>
      <c r="F21604" s="87"/>
      <c r="G21604" s="87"/>
    </row>
    <row r="21605">
      <c r="A21605" s="86" t="str">
        <f>IFERROR(__xludf.DUMMYFUNCTION("""COMPUTED_VALUE"""),"")</f>
        <v/>
      </c>
      <c r="B21605" s="87"/>
      <c r="C21605" s="87"/>
      <c r="D21605" s="87"/>
      <c r="E21605" s="87"/>
      <c r="F21605" s="87"/>
      <c r="G21605" s="87"/>
    </row>
    <row r="21606">
      <c r="A21606" s="86" t="str">
        <f>IFERROR(__xludf.DUMMYFUNCTION("""COMPUTED_VALUE"""),"")</f>
        <v/>
      </c>
      <c r="B21606" s="87"/>
      <c r="C21606" s="87"/>
      <c r="D21606" s="87"/>
      <c r="E21606" s="87"/>
      <c r="F21606" s="87"/>
      <c r="G21606" s="87"/>
    </row>
    <row r="21607">
      <c r="A21607" s="86" t="str">
        <f>IFERROR(__xludf.DUMMYFUNCTION("""COMPUTED_VALUE"""),"")</f>
        <v/>
      </c>
      <c r="B21607" s="87"/>
      <c r="C21607" s="87"/>
      <c r="D21607" s="87"/>
      <c r="E21607" s="87"/>
      <c r="F21607" s="87"/>
      <c r="G21607" s="87"/>
    </row>
    <row r="21608">
      <c r="A21608" s="86" t="str">
        <f>IFERROR(__xludf.DUMMYFUNCTION("""COMPUTED_VALUE"""),"")</f>
        <v/>
      </c>
      <c r="B21608" s="87"/>
      <c r="C21608" s="87"/>
      <c r="D21608" s="87"/>
      <c r="E21608" s="87"/>
      <c r="F21608" s="87"/>
      <c r="G21608" s="87"/>
    </row>
    <row r="21609">
      <c r="A21609" s="86" t="str">
        <f>IFERROR(__xludf.DUMMYFUNCTION("""COMPUTED_VALUE"""),"")</f>
        <v/>
      </c>
      <c r="B21609" s="87"/>
      <c r="C21609" s="87"/>
      <c r="D21609" s="87"/>
      <c r="E21609" s="87"/>
      <c r="F21609" s="87"/>
      <c r="G21609" s="87"/>
    </row>
    <row r="21610">
      <c r="A21610" s="86" t="str">
        <f>IFERROR(__xludf.DUMMYFUNCTION("""COMPUTED_VALUE"""),"")</f>
        <v/>
      </c>
      <c r="B21610" s="87"/>
      <c r="C21610" s="87"/>
      <c r="D21610" s="87"/>
      <c r="E21610" s="87"/>
      <c r="F21610" s="87"/>
      <c r="G21610" s="87"/>
    </row>
    <row r="21611">
      <c r="A21611" s="86" t="str">
        <f>IFERROR(__xludf.DUMMYFUNCTION("""COMPUTED_VALUE"""),"")</f>
        <v/>
      </c>
      <c r="B21611" s="87"/>
      <c r="C21611" s="87"/>
      <c r="D21611" s="87"/>
      <c r="E21611" s="87"/>
      <c r="F21611" s="87"/>
      <c r="G21611" s="87"/>
    </row>
    <row r="21612">
      <c r="A21612" s="86" t="str">
        <f>IFERROR(__xludf.DUMMYFUNCTION("""COMPUTED_VALUE"""),"")</f>
        <v/>
      </c>
      <c r="B21612" s="87"/>
      <c r="C21612" s="87"/>
      <c r="D21612" s="87"/>
      <c r="E21612" s="87"/>
      <c r="F21612" s="87"/>
      <c r="G21612" s="87"/>
    </row>
    <row r="21613">
      <c r="A21613" s="86" t="str">
        <f>IFERROR(__xludf.DUMMYFUNCTION("""COMPUTED_VALUE"""),"")</f>
        <v/>
      </c>
      <c r="B21613" s="87"/>
      <c r="C21613" s="87"/>
      <c r="D21613" s="87"/>
      <c r="E21613" s="87"/>
      <c r="F21613" s="87"/>
      <c r="G21613" s="87"/>
    </row>
    <row r="21614">
      <c r="A21614" s="86" t="str">
        <f>IFERROR(__xludf.DUMMYFUNCTION("""COMPUTED_VALUE"""),"")</f>
        <v/>
      </c>
      <c r="B21614" s="87"/>
      <c r="C21614" s="87"/>
      <c r="D21614" s="87"/>
      <c r="E21614" s="87"/>
      <c r="F21614" s="87"/>
      <c r="G21614" s="87"/>
    </row>
    <row r="21615">
      <c r="A21615" s="86" t="str">
        <f>IFERROR(__xludf.DUMMYFUNCTION("""COMPUTED_VALUE"""),"")</f>
        <v/>
      </c>
      <c r="B21615" s="87"/>
      <c r="C21615" s="87"/>
      <c r="D21615" s="87"/>
      <c r="E21615" s="87"/>
      <c r="F21615" s="87"/>
      <c r="G21615" s="87"/>
    </row>
    <row r="21616">
      <c r="A21616" s="86" t="str">
        <f>IFERROR(__xludf.DUMMYFUNCTION("""COMPUTED_VALUE"""),"")</f>
        <v/>
      </c>
      <c r="B21616" s="87"/>
      <c r="C21616" s="87"/>
      <c r="D21616" s="87"/>
      <c r="E21616" s="87"/>
      <c r="F21616" s="87"/>
      <c r="G21616" s="87"/>
    </row>
    <row r="21617">
      <c r="A21617" s="86" t="str">
        <f>IFERROR(__xludf.DUMMYFUNCTION("""COMPUTED_VALUE"""),"")</f>
        <v/>
      </c>
      <c r="B21617" s="87"/>
      <c r="C21617" s="87"/>
      <c r="D21617" s="87"/>
      <c r="E21617" s="87"/>
      <c r="F21617" s="87"/>
      <c r="G21617" s="87"/>
    </row>
    <row r="21618">
      <c r="A21618" s="86" t="str">
        <f>IFERROR(__xludf.DUMMYFUNCTION("""COMPUTED_VALUE"""),"")</f>
        <v/>
      </c>
      <c r="B21618" s="87"/>
      <c r="C21618" s="87"/>
      <c r="D21618" s="87"/>
      <c r="E21618" s="87"/>
      <c r="F21618" s="87"/>
      <c r="G21618" s="87"/>
    </row>
    <row r="21619">
      <c r="A21619" s="86" t="str">
        <f>IFERROR(__xludf.DUMMYFUNCTION("""COMPUTED_VALUE"""),"")</f>
        <v/>
      </c>
      <c r="B21619" s="87"/>
      <c r="C21619" s="87"/>
      <c r="D21619" s="87"/>
      <c r="E21619" s="87"/>
      <c r="F21619" s="87"/>
      <c r="G21619" s="87"/>
    </row>
    <row r="21620">
      <c r="A21620" s="86" t="str">
        <f>IFERROR(__xludf.DUMMYFUNCTION("""COMPUTED_VALUE"""),"")</f>
        <v/>
      </c>
      <c r="B21620" s="87"/>
      <c r="C21620" s="87"/>
      <c r="D21620" s="87"/>
      <c r="E21620" s="87"/>
      <c r="F21620" s="87"/>
      <c r="G21620" s="87"/>
    </row>
    <row r="21621">
      <c r="A21621" s="86" t="str">
        <f>IFERROR(__xludf.DUMMYFUNCTION("""COMPUTED_VALUE"""),"")</f>
        <v/>
      </c>
      <c r="B21621" s="87"/>
      <c r="C21621" s="87"/>
      <c r="D21621" s="87"/>
      <c r="E21621" s="87"/>
      <c r="F21621" s="87"/>
      <c r="G21621" s="87"/>
    </row>
    <row r="21622">
      <c r="A21622" s="86" t="str">
        <f>IFERROR(__xludf.DUMMYFUNCTION("""COMPUTED_VALUE"""),"")</f>
        <v/>
      </c>
      <c r="B21622" s="87"/>
      <c r="C21622" s="87"/>
      <c r="D21622" s="87"/>
      <c r="E21622" s="87"/>
      <c r="F21622" s="87"/>
      <c r="G21622" s="87"/>
    </row>
    <row r="21623">
      <c r="A21623" s="86" t="str">
        <f>IFERROR(__xludf.DUMMYFUNCTION("""COMPUTED_VALUE"""),"")</f>
        <v/>
      </c>
      <c r="B21623" s="87"/>
      <c r="C21623" s="87"/>
      <c r="D21623" s="87"/>
      <c r="E21623" s="87"/>
      <c r="F21623" s="87"/>
      <c r="G21623" s="87"/>
    </row>
    <row r="21624">
      <c r="A21624" s="86" t="str">
        <f>IFERROR(__xludf.DUMMYFUNCTION("""COMPUTED_VALUE"""),"")</f>
        <v/>
      </c>
      <c r="B21624" s="87"/>
      <c r="C21624" s="87"/>
      <c r="D21624" s="87"/>
      <c r="E21624" s="87"/>
      <c r="F21624" s="87"/>
      <c r="G21624" s="87"/>
    </row>
    <row r="21625">
      <c r="A21625" s="86" t="str">
        <f>IFERROR(__xludf.DUMMYFUNCTION("""COMPUTED_VALUE"""),"")</f>
        <v/>
      </c>
      <c r="B21625" s="87"/>
      <c r="C21625" s="87"/>
      <c r="D21625" s="87"/>
      <c r="E21625" s="87"/>
      <c r="F21625" s="87"/>
      <c r="G21625" s="87"/>
    </row>
    <row r="21626">
      <c r="A21626" s="86" t="str">
        <f>IFERROR(__xludf.DUMMYFUNCTION("""COMPUTED_VALUE"""),"")</f>
        <v/>
      </c>
      <c r="B21626" s="87"/>
      <c r="C21626" s="87"/>
      <c r="D21626" s="87"/>
      <c r="E21626" s="87"/>
      <c r="F21626" s="87"/>
      <c r="G21626" s="87"/>
    </row>
    <row r="21627">
      <c r="A21627" s="86" t="str">
        <f>IFERROR(__xludf.DUMMYFUNCTION("""COMPUTED_VALUE"""),"")</f>
        <v/>
      </c>
      <c r="B21627" s="87"/>
      <c r="C21627" s="87"/>
      <c r="D21627" s="87"/>
      <c r="E21627" s="87"/>
      <c r="F21627" s="87"/>
      <c r="G21627" s="87"/>
    </row>
    <row r="21628">
      <c r="A21628" s="86" t="str">
        <f>IFERROR(__xludf.DUMMYFUNCTION("""COMPUTED_VALUE"""),"")</f>
        <v/>
      </c>
      <c r="B21628" s="87"/>
      <c r="C21628" s="87"/>
      <c r="D21628" s="87"/>
      <c r="E21628" s="87"/>
      <c r="F21628" s="87"/>
      <c r="G21628" s="87"/>
    </row>
    <row r="21629">
      <c r="A21629" s="86" t="str">
        <f>IFERROR(__xludf.DUMMYFUNCTION("""COMPUTED_VALUE"""),"")</f>
        <v/>
      </c>
      <c r="B21629" s="87"/>
      <c r="C21629" s="87"/>
      <c r="D21629" s="87"/>
      <c r="E21629" s="87"/>
      <c r="F21629" s="87"/>
      <c r="G21629" s="87"/>
    </row>
    <row r="21630">
      <c r="A21630" s="86" t="str">
        <f>IFERROR(__xludf.DUMMYFUNCTION("""COMPUTED_VALUE"""),"")</f>
        <v/>
      </c>
      <c r="B21630" s="87"/>
      <c r="C21630" s="87"/>
      <c r="D21630" s="87"/>
      <c r="E21630" s="87"/>
      <c r="F21630" s="87"/>
      <c r="G21630" s="87"/>
    </row>
    <row r="21631">
      <c r="A21631" s="86" t="str">
        <f>IFERROR(__xludf.DUMMYFUNCTION("""COMPUTED_VALUE"""),"")</f>
        <v/>
      </c>
      <c r="B21631" s="87"/>
      <c r="C21631" s="87"/>
      <c r="D21631" s="87"/>
      <c r="E21631" s="87"/>
      <c r="F21631" s="87"/>
      <c r="G21631" s="87"/>
    </row>
    <row r="21632">
      <c r="A21632" s="86" t="str">
        <f>IFERROR(__xludf.DUMMYFUNCTION("""COMPUTED_VALUE"""),"")</f>
        <v/>
      </c>
      <c r="B21632" s="87"/>
      <c r="C21632" s="87"/>
      <c r="D21632" s="87"/>
      <c r="E21632" s="87"/>
      <c r="F21632" s="87"/>
      <c r="G21632" s="87"/>
    </row>
    <row r="21633">
      <c r="A21633" s="86" t="str">
        <f>IFERROR(__xludf.DUMMYFUNCTION("""COMPUTED_VALUE"""),"")</f>
        <v/>
      </c>
      <c r="B21633" s="87"/>
      <c r="C21633" s="87"/>
      <c r="D21633" s="87"/>
      <c r="E21633" s="87"/>
      <c r="F21633" s="87"/>
      <c r="G21633" s="87"/>
    </row>
    <row r="21634">
      <c r="A21634" s="86" t="str">
        <f>IFERROR(__xludf.DUMMYFUNCTION("""COMPUTED_VALUE"""),"")</f>
        <v/>
      </c>
      <c r="B21634" s="87"/>
      <c r="C21634" s="87"/>
      <c r="D21634" s="87"/>
      <c r="E21634" s="87"/>
      <c r="F21634" s="87"/>
      <c r="G21634" s="87"/>
    </row>
    <row r="21635">
      <c r="A21635" s="86" t="str">
        <f>IFERROR(__xludf.DUMMYFUNCTION("""COMPUTED_VALUE"""),"")</f>
        <v/>
      </c>
      <c r="B21635" s="87"/>
      <c r="C21635" s="87"/>
      <c r="D21635" s="87"/>
      <c r="E21635" s="87"/>
      <c r="F21635" s="87"/>
      <c r="G21635" s="87"/>
    </row>
    <row r="21636">
      <c r="A21636" s="86" t="str">
        <f>IFERROR(__xludf.DUMMYFUNCTION("""COMPUTED_VALUE"""),"")</f>
        <v/>
      </c>
      <c r="B21636" s="87"/>
      <c r="C21636" s="87"/>
      <c r="D21636" s="87"/>
      <c r="E21636" s="87"/>
      <c r="F21636" s="87"/>
      <c r="G21636" s="87"/>
    </row>
    <row r="21637">
      <c r="A21637" s="86" t="str">
        <f>IFERROR(__xludf.DUMMYFUNCTION("""COMPUTED_VALUE"""),"")</f>
        <v/>
      </c>
      <c r="B21637" s="87"/>
      <c r="C21637" s="87"/>
      <c r="D21637" s="87"/>
      <c r="E21637" s="87"/>
      <c r="F21637" s="87"/>
      <c r="G21637" s="87"/>
    </row>
    <row r="21638">
      <c r="A21638" s="86" t="str">
        <f>IFERROR(__xludf.DUMMYFUNCTION("""COMPUTED_VALUE"""),"")</f>
        <v/>
      </c>
      <c r="B21638" s="87"/>
      <c r="C21638" s="87"/>
      <c r="D21638" s="87"/>
      <c r="E21638" s="87"/>
      <c r="F21638" s="87"/>
      <c r="G21638" s="87"/>
    </row>
    <row r="21639">
      <c r="A21639" s="86" t="str">
        <f>IFERROR(__xludf.DUMMYFUNCTION("""COMPUTED_VALUE"""),"")</f>
        <v/>
      </c>
      <c r="B21639" s="87"/>
      <c r="C21639" s="87"/>
      <c r="D21639" s="87"/>
      <c r="E21639" s="87"/>
      <c r="F21639" s="87"/>
      <c r="G21639" s="87"/>
    </row>
    <row r="21640">
      <c r="A21640" s="86" t="str">
        <f>IFERROR(__xludf.DUMMYFUNCTION("""COMPUTED_VALUE"""),"")</f>
        <v/>
      </c>
      <c r="B21640" s="87"/>
      <c r="C21640" s="87"/>
      <c r="D21640" s="87"/>
      <c r="E21640" s="87"/>
      <c r="F21640" s="87"/>
      <c r="G21640" s="87"/>
    </row>
    <row r="21641">
      <c r="A21641" s="86" t="str">
        <f>IFERROR(__xludf.DUMMYFUNCTION("""COMPUTED_VALUE"""),"")</f>
        <v/>
      </c>
      <c r="B21641" s="87"/>
      <c r="C21641" s="87"/>
      <c r="D21641" s="87"/>
      <c r="E21641" s="87"/>
      <c r="F21641" s="87"/>
      <c r="G21641" s="87"/>
    </row>
    <row r="21642">
      <c r="A21642" s="86" t="str">
        <f>IFERROR(__xludf.DUMMYFUNCTION("""COMPUTED_VALUE"""),"")</f>
        <v/>
      </c>
      <c r="B21642" s="87"/>
      <c r="C21642" s="87"/>
      <c r="D21642" s="87"/>
      <c r="E21642" s="87"/>
      <c r="F21642" s="87"/>
      <c r="G21642" s="87"/>
    </row>
    <row r="21643">
      <c r="A21643" s="86" t="str">
        <f>IFERROR(__xludf.DUMMYFUNCTION("""COMPUTED_VALUE"""),"")</f>
        <v/>
      </c>
      <c r="B21643" s="87"/>
      <c r="C21643" s="87"/>
      <c r="D21643" s="87"/>
      <c r="E21643" s="87"/>
      <c r="F21643" s="87"/>
      <c r="G21643" s="87"/>
    </row>
    <row r="21644">
      <c r="A21644" s="86" t="str">
        <f>IFERROR(__xludf.DUMMYFUNCTION("""COMPUTED_VALUE"""),"")</f>
        <v/>
      </c>
      <c r="B21644" s="87"/>
      <c r="C21644" s="87"/>
      <c r="D21644" s="87"/>
      <c r="E21644" s="87"/>
      <c r="F21644" s="87"/>
      <c r="G21644" s="87"/>
    </row>
    <row r="21645">
      <c r="A21645" s="86" t="str">
        <f>IFERROR(__xludf.DUMMYFUNCTION("""COMPUTED_VALUE"""),"")</f>
        <v/>
      </c>
      <c r="B21645" s="87"/>
      <c r="C21645" s="87"/>
      <c r="D21645" s="87"/>
      <c r="E21645" s="87"/>
      <c r="F21645" s="87"/>
      <c r="G21645" s="87"/>
    </row>
    <row r="21646">
      <c r="A21646" s="86" t="str">
        <f>IFERROR(__xludf.DUMMYFUNCTION("""COMPUTED_VALUE"""),"")</f>
        <v/>
      </c>
      <c r="B21646" s="87"/>
      <c r="C21646" s="87"/>
      <c r="D21646" s="87"/>
      <c r="E21646" s="87"/>
      <c r="F21646" s="87"/>
      <c r="G21646" s="87"/>
    </row>
    <row r="21647">
      <c r="A21647" s="86" t="str">
        <f>IFERROR(__xludf.DUMMYFUNCTION("""COMPUTED_VALUE"""),"")</f>
        <v/>
      </c>
      <c r="B21647" s="87"/>
      <c r="C21647" s="87"/>
      <c r="D21647" s="87"/>
      <c r="E21647" s="87"/>
      <c r="F21647" s="87"/>
      <c r="G21647" s="87"/>
    </row>
    <row r="21648">
      <c r="A21648" s="86" t="str">
        <f>IFERROR(__xludf.DUMMYFUNCTION("""COMPUTED_VALUE"""),"")</f>
        <v/>
      </c>
      <c r="B21648" s="87"/>
      <c r="C21648" s="87"/>
      <c r="D21648" s="87"/>
      <c r="E21648" s="87"/>
      <c r="F21648" s="87"/>
      <c r="G21648" s="87"/>
    </row>
    <row r="21649">
      <c r="A21649" s="86" t="str">
        <f>IFERROR(__xludf.DUMMYFUNCTION("""COMPUTED_VALUE"""),"")</f>
        <v/>
      </c>
      <c r="B21649" s="87"/>
      <c r="C21649" s="87"/>
      <c r="D21649" s="87"/>
      <c r="E21649" s="87"/>
      <c r="F21649" s="87"/>
      <c r="G21649" s="87"/>
    </row>
    <row r="21650">
      <c r="A21650" s="86" t="str">
        <f>IFERROR(__xludf.DUMMYFUNCTION("""COMPUTED_VALUE"""),"")</f>
        <v/>
      </c>
      <c r="B21650" s="87"/>
      <c r="C21650" s="87"/>
      <c r="D21650" s="87"/>
      <c r="E21650" s="87"/>
      <c r="F21650" s="87"/>
      <c r="G21650" s="87"/>
    </row>
    <row r="21651">
      <c r="A21651" s="86" t="str">
        <f>IFERROR(__xludf.DUMMYFUNCTION("""COMPUTED_VALUE"""),"")</f>
        <v/>
      </c>
      <c r="B21651" s="87"/>
      <c r="C21651" s="87"/>
      <c r="D21651" s="87"/>
      <c r="E21651" s="87"/>
      <c r="F21651" s="87"/>
      <c r="G21651" s="87"/>
    </row>
    <row r="21652">
      <c r="A21652" s="86" t="str">
        <f>IFERROR(__xludf.DUMMYFUNCTION("""COMPUTED_VALUE"""),"")</f>
        <v/>
      </c>
      <c r="B21652" s="87"/>
      <c r="C21652" s="87"/>
      <c r="D21652" s="87"/>
      <c r="E21652" s="87"/>
      <c r="F21652" s="87"/>
      <c r="G21652" s="87"/>
    </row>
    <row r="21653">
      <c r="A21653" s="86" t="str">
        <f>IFERROR(__xludf.DUMMYFUNCTION("""COMPUTED_VALUE"""),"")</f>
        <v/>
      </c>
      <c r="B21653" s="87"/>
      <c r="C21653" s="87"/>
      <c r="D21653" s="87"/>
      <c r="E21653" s="87"/>
      <c r="F21653" s="87"/>
      <c r="G21653" s="87"/>
    </row>
    <row r="21654">
      <c r="A21654" s="86" t="str">
        <f>IFERROR(__xludf.DUMMYFUNCTION("""COMPUTED_VALUE"""),"")</f>
        <v/>
      </c>
      <c r="B21654" s="87"/>
      <c r="C21654" s="87"/>
      <c r="D21654" s="87"/>
      <c r="E21654" s="87"/>
      <c r="F21654" s="87"/>
      <c r="G21654" s="87"/>
    </row>
    <row r="21655">
      <c r="A21655" s="86" t="str">
        <f>IFERROR(__xludf.DUMMYFUNCTION("""COMPUTED_VALUE"""),"")</f>
        <v/>
      </c>
      <c r="B21655" s="87"/>
      <c r="C21655" s="87"/>
      <c r="D21655" s="87"/>
      <c r="E21655" s="87"/>
      <c r="F21655" s="87"/>
      <c r="G21655" s="87"/>
    </row>
    <row r="21656">
      <c r="A21656" s="86" t="str">
        <f>IFERROR(__xludf.DUMMYFUNCTION("""COMPUTED_VALUE"""),"")</f>
        <v/>
      </c>
      <c r="B21656" s="87"/>
      <c r="C21656" s="87"/>
      <c r="D21656" s="87"/>
      <c r="E21656" s="87"/>
      <c r="F21656" s="87"/>
      <c r="G21656" s="87"/>
    </row>
    <row r="21657">
      <c r="A21657" s="86" t="str">
        <f>IFERROR(__xludf.DUMMYFUNCTION("""COMPUTED_VALUE"""),"")</f>
        <v/>
      </c>
      <c r="B21657" s="87"/>
      <c r="C21657" s="87"/>
      <c r="D21657" s="87"/>
      <c r="E21657" s="87"/>
      <c r="F21657" s="87"/>
      <c r="G21657" s="87"/>
    </row>
    <row r="21658">
      <c r="A21658" s="86" t="str">
        <f>IFERROR(__xludf.DUMMYFUNCTION("""COMPUTED_VALUE"""),"")</f>
        <v/>
      </c>
      <c r="B21658" s="87"/>
      <c r="C21658" s="87"/>
      <c r="D21658" s="87"/>
      <c r="E21658" s="87"/>
      <c r="F21658" s="87"/>
      <c r="G21658" s="87"/>
    </row>
    <row r="21659">
      <c r="A21659" s="86" t="str">
        <f>IFERROR(__xludf.DUMMYFUNCTION("""COMPUTED_VALUE"""),"")</f>
        <v/>
      </c>
      <c r="B21659" s="87"/>
      <c r="C21659" s="87"/>
      <c r="D21659" s="87"/>
      <c r="E21659" s="87"/>
      <c r="F21659" s="87"/>
      <c r="G21659" s="87"/>
    </row>
    <row r="21660">
      <c r="A21660" s="86" t="str">
        <f>IFERROR(__xludf.DUMMYFUNCTION("""COMPUTED_VALUE"""),"")</f>
        <v/>
      </c>
      <c r="B21660" s="87"/>
      <c r="C21660" s="87"/>
      <c r="D21660" s="87"/>
      <c r="E21660" s="87"/>
      <c r="F21660" s="87"/>
      <c r="G21660" s="87"/>
    </row>
    <row r="21661">
      <c r="A21661" s="86" t="str">
        <f>IFERROR(__xludf.DUMMYFUNCTION("""COMPUTED_VALUE"""),"")</f>
        <v/>
      </c>
      <c r="B21661" s="87"/>
      <c r="C21661" s="87"/>
      <c r="D21661" s="87"/>
      <c r="E21661" s="87"/>
      <c r="F21661" s="87"/>
      <c r="G21661" s="87"/>
    </row>
    <row r="21662">
      <c r="A21662" s="86" t="str">
        <f>IFERROR(__xludf.DUMMYFUNCTION("""COMPUTED_VALUE"""),"")</f>
        <v/>
      </c>
      <c r="B21662" s="87"/>
      <c r="C21662" s="87"/>
      <c r="D21662" s="87"/>
      <c r="E21662" s="87"/>
      <c r="F21662" s="87"/>
      <c r="G21662" s="87"/>
    </row>
    <row r="21663">
      <c r="A21663" s="86" t="str">
        <f>IFERROR(__xludf.DUMMYFUNCTION("""COMPUTED_VALUE"""),"")</f>
        <v/>
      </c>
      <c r="B21663" s="87"/>
      <c r="C21663" s="87"/>
      <c r="D21663" s="87"/>
      <c r="E21663" s="87"/>
      <c r="F21663" s="87"/>
      <c r="G21663" s="87"/>
    </row>
    <row r="21664">
      <c r="A21664" s="86" t="str">
        <f>IFERROR(__xludf.DUMMYFUNCTION("""COMPUTED_VALUE"""),"")</f>
        <v/>
      </c>
      <c r="B21664" s="87"/>
      <c r="C21664" s="87"/>
      <c r="D21664" s="87"/>
      <c r="E21664" s="87"/>
      <c r="F21664" s="87"/>
      <c r="G21664" s="87"/>
    </row>
    <row r="21665">
      <c r="A21665" s="86" t="str">
        <f>IFERROR(__xludf.DUMMYFUNCTION("""COMPUTED_VALUE"""),"")</f>
        <v/>
      </c>
      <c r="B21665" s="87"/>
      <c r="C21665" s="87"/>
      <c r="D21665" s="87"/>
      <c r="E21665" s="87"/>
      <c r="F21665" s="87"/>
      <c r="G21665" s="87"/>
    </row>
    <row r="21666">
      <c r="A21666" s="86" t="str">
        <f>IFERROR(__xludf.DUMMYFUNCTION("""COMPUTED_VALUE"""),"")</f>
        <v/>
      </c>
      <c r="B21666" s="87"/>
      <c r="C21666" s="87"/>
      <c r="D21666" s="87"/>
      <c r="E21666" s="87"/>
      <c r="F21666" s="87"/>
      <c r="G21666" s="87"/>
    </row>
    <row r="21667">
      <c r="A21667" s="86" t="str">
        <f>IFERROR(__xludf.DUMMYFUNCTION("""COMPUTED_VALUE"""),"")</f>
        <v/>
      </c>
      <c r="B21667" s="87"/>
      <c r="C21667" s="87"/>
      <c r="D21667" s="87"/>
      <c r="E21667" s="87"/>
      <c r="F21667" s="87"/>
      <c r="G21667" s="87"/>
    </row>
    <row r="21668">
      <c r="A21668" s="86" t="str">
        <f>IFERROR(__xludf.DUMMYFUNCTION("""COMPUTED_VALUE"""),"")</f>
        <v/>
      </c>
      <c r="B21668" s="87"/>
      <c r="C21668" s="87"/>
      <c r="D21668" s="87"/>
      <c r="E21668" s="87"/>
      <c r="F21668" s="87"/>
      <c r="G21668" s="87"/>
    </row>
    <row r="21669">
      <c r="A21669" s="86" t="str">
        <f>IFERROR(__xludf.DUMMYFUNCTION("""COMPUTED_VALUE"""),"")</f>
        <v/>
      </c>
      <c r="B21669" s="87"/>
      <c r="C21669" s="87"/>
      <c r="D21669" s="87"/>
      <c r="E21669" s="87"/>
      <c r="F21669" s="87"/>
      <c r="G21669" s="87"/>
    </row>
    <row r="21670">
      <c r="A21670" s="86" t="str">
        <f>IFERROR(__xludf.DUMMYFUNCTION("""COMPUTED_VALUE"""),"")</f>
        <v/>
      </c>
      <c r="B21670" s="87"/>
      <c r="C21670" s="87"/>
      <c r="D21670" s="87"/>
      <c r="E21670" s="87"/>
      <c r="F21670" s="87"/>
      <c r="G21670" s="87"/>
    </row>
    <row r="21671">
      <c r="A21671" s="86" t="str">
        <f>IFERROR(__xludf.DUMMYFUNCTION("""COMPUTED_VALUE"""),"")</f>
        <v/>
      </c>
      <c r="B21671" s="87"/>
      <c r="C21671" s="87"/>
      <c r="D21671" s="87"/>
      <c r="E21671" s="87"/>
      <c r="F21671" s="87"/>
      <c r="G21671" s="87"/>
    </row>
    <row r="21672">
      <c r="A21672" s="86" t="str">
        <f>IFERROR(__xludf.DUMMYFUNCTION("""COMPUTED_VALUE"""),"")</f>
        <v/>
      </c>
      <c r="B21672" s="87"/>
      <c r="C21672" s="87"/>
      <c r="D21672" s="87"/>
      <c r="E21672" s="87"/>
      <c r="F21672" s="87"/>
      <c r="G21672" s="87"/>
    </row>
    <row r="21673">
      <c r="A21673" s="86" t="str">
        <f>IFERROR(__xludf.DUMMYFUNCTION("""COMPUTED_VALUE"""),"")</f>
        <v/>
      </c>
      <c r="B21673" s="87"/>
      <c r="C21673" s="87"/>
      <c r="D21673" s="87"/>
      <c r="E21673" s="87"/>
      <c r="F21673" s="87"/>
      <c r="G21673" s="87"/>
    </row>
    <row r="21674">
      <c r="A21674" s="86" t="str">
        <f>IFERROR(__xludf.DUMMYFUNCTION("""COMPUTED_VALUE"""),"")</f>
        <v/>
      </c>
      <c r="B21674" s="87"/>
      <c r="C21674" s="87"/>
      <c r="D21674" s="87"/>
      <c r="E21674" s="87"/>
      <c r="F21674" s="87"/>
      <c r="G21674" s="87"/>
    </row>
    <row r="21675">
      <c r="A21675" s="86" t="str">
        <f>IFERROR(__xludf.DUMMYFUNCTION("""COMPUTED_VALUE"""),"")</f>
        <v/>
      </c>
      <c r="B21675" s="87"/>
      <c r="C21675" s="87"/>
      <c r="D21675" s="87"/>
      <c r="E21675" s="87"/>
      <c r="F21675" s="87"/>
      <c r="G21675" s="87"/>
    </row>
    <row r="21676">
      <c r="A21676" s="86" t="str">
        <f>IFERROR(__xludf.DUMMYFUNCTION("""COMPUTED_VALUE"""),"")</f>
        <v/>
      </c>
      <c r="B21676" s="87"/>
      <c r="C21676" s="87"/>
      <c r="D21676" s="87"/>
      <c r="E21676" s="87"/>
      <c r="F21676" s="87"/>
      <c r="G21676" s="87"/>
    </row>
    <row r="21677">
      <c r="A21677" s="86" t="str">
        <f>IFERROR(__xludf.DUMMYFUNCTION("""COMPUTED_VALUE"""),"")</f>
        <v/>
      </c>
      <c r="B21677" s="87"/>
      <c r="C21677" s="87"/>
      <c r="D21677" s="87"/>
      <c r="E21677" s="87"/>
      <c r="F21677" s="87"/>
      <c r="G21677" s="87"/>
    </row>
    <row r="21678">
      <c r="A21678" s="86" t="str">
        <f>IFERROR(__xludf.DUMMYFUNCTION("""COMPUTED_VALUE"""),"")</f>
        <v/>
      </c>
      <c r="B21678" s="87"/>
      <c r="C21678" s="87"/>
      <c r="D21678" s="87"/>
      <c r="E21678" s="87"/>
      <c r="F21678" s="87"/>
      <c r="G21678" s="87"/>
    </row>
    <row r="21679">
      <c r="A21679" s="86" t="str">
        <f>IFERROR(__xludf.DUMMYFUNCTION("""COMPUTED_VALUE"""),"")</f>
        <v/>
      </c>
      <c r="B21679" s="87"/>
      <c r="C21679" s="87"/>
      <c r="D21679" s="87"/>
      <c r="E21679" s="87"/>
      <c r="F21679" s="87"/>
      <c r="G21679" s="87"/>
    </row>
    <row r="21680">
      <c r="A21680" s="86" t="str">
        <f>IFERROR(__xludf.DUMMYFUNCTION("""COMPUTED_VALUE"""),"")</f>
        <v/>
      </c>
      <c r="B21680" s="87"/>
      <c r="C21680" s="87"/>
      <c r="D21680" s="87"/>
      <c r="E21680" s="87"/>
      <c r="F21680" s="87"/>
      <c r="G21680" s="87"/>
    </row>
    <row r="21681">
      <c r="A21681" s="86" t="str">
        <f>IFERROR(__xludf.DUMMYFUNCTION("""COMPUTED_VALUE"""),"")</f>
        <v/>
      </c>
      <c r="B21681" s="87"/>
      <c r="C21681" s="87"/>
      <c r="D21681" s="87"/>
      <c r="E21681" s="87"/>
      <c r="F21681" s="87"/>
      <c r="G21681" s="87"/>
    </row>
    <row r="21682">
      <c r="A21682" s="86" t="str">
        <f>IFERROR(__xludf.DUMMYFUNCTION("""COMPUTED_VALUE"""),"")</f>
        <v/>
      </c>
      <c r="B21682" s="87"/>
      <c r="C21682" s="87"/>
      <c r="D21682" s="87"/>
      <c r="E21682" s="87"/>
      <c r="F21682" s="87"/>
      <c r="G21682" s="87"/>
    </row>
    <row r="21683">
      <c r="A21683" s="86" t="str">
        <f>IFERROR(__xludf.DUMMYFUNCTION("""COMPUTED_VALUE"""),"")</f>
        <v/>
      </c>
      <c r="B21683" s="87"/>
      <c r="C21683" s="87"/>
      <c r="D21683" s="87"/>
      <c r="E21683" s="87"/>
      <c r="F21683" s="87"/>
      <c r="G21683" s="87"/>
    </row>
    <row r="21684">
      <c r="A21684" s="86" t="str">
        <f>IFERROR(__xludf.DUMMYFUNCTION("""COMPUTED_VALUE"""),"")</f>
        <v/>
      </c>
      <c r="B21684" s="87"/>
      <c r="C21684" s="87"/>
      <c r="D21684" s="87"/>
      <c r="E21684" s="87"/>
      <c r="F21684" s="87"/>
      <c r="G21684" s="87"/>
    </row>
    <row r="21685">
      <c r="A21685" s="86" t="str">
        <f>IFERROR(__xludf.DUMMYFUNCTION("""COMPUTED_VALUE"""),"")</f>
        <v/>
      </c>
      <c r="B21685" s="87"/>
      <c r="C21685" s="87"/>
      <c r="D21685" s="87"/>
      <c r="E21685" s="87"/>
      <c r="F21685" s="87"/>
      <c r="G21685" s="87"/>
    </row>
    <row r="21686">
      <c r="A21686" s="86" t="str">
        <f>IFERROR(__xludf.DUMMYFUNCTION("""COMPUTED_VALUE"""),"")</f>
        <v/>
      </c>
      <c r="B21686" s="87"/>
      <c r="C21686" s="87"/>
      <c r="D21686" s="87"/>
      <c r="E21686" s="87"/>
      <c r="F21686" s="87"/>
      <c r="G21686" s="87"/>
    </row>
    <row r="21687">
      <c r="A21687" s="86" t="str">
        <f>IFERROR(__xludf.DUMMYFUNCTION("""COMPUTED_VALUE"""),"")</f>
        <v/>
      </c>
      <c r="B21687" s="87"/>
      <c r="C21687" s="87"/>
      <c r="D21687" s="87"/>
      <c r="E21687" s="87"/>
      <c r="F21687" s="87"/>
      <c r="G21687" s="87"/>
    </row>
    <row r="21688">
      <c r="A21688" s="86" t="str">
        <f>IFERROR(__xludf.DUMMYFUNCTION("""COMPUTED_VALUE"""),"")</f>
        <v/>
      </c>
      <c r="B21688" s="87"/>
      <c r="C21688" s="87"/>
      <c r="D21688" s="87"/>
      <c r="E21688" s="87"/>
      <c r="F21688" s="87"/>
      <c r="G21688" s="87"/>
    </row>
    <row r="21689">
      <c r="A21689" s="86" t="str">
        <f>IFERROR(__xludf.DUMMYFUNCTION("""COMPUTED_VALUE"""),"")</f>
        <v/>
      </c>
      <c r="B21689" s="87"/>
      <c r="C21689" s="87"/>
      <c r="D21689" s="87"/>
      <c r="E21689" s="87"/>
      <c r="F21689" s="87"/>
      <c r="G21689" s="87"/>
    </row>
    <row r="21690">
      <c r="A21690" s="86" t="str">
        <f>IFERROR(__xludf.DUMMYFUNCTION("""COMPUTED_VALUE"""),"")</f>
        <v/>
      </c>
      <c r="B21690" s="87"/>
      <c r="C21690" s="87"/>
      <c r="D21690" s="87"/>
      <c r="E21690" s="87"/>
      <c r="F21690" s="87"/>
      <c r="G21690" s="87"/>
    </row>
    <row r="21691">
      <c r="A21691" s="86" t="str">
        <f>IFERROR(__xludf.DUMMYFUNCTION("""COMPUTED_VALUE"""),"")</f>
        <v/>
      </c>
      <c r="B21691" s="87"/>
      <c r="C21691" s="87"/>
      <c r="D21691" s="87"/>
      <c r="E21691" s="87"/>
      <c r="F21691" s="87"/>
      <c r="G21691" s="87"/>
    </row>
    <row r="21692">
      <c r="A21692" s="86" t="str">
        <f>IFERROR(__xludf.DUMMYFUNCTION("""COMPUTED_VALUE"""),"")</f>
        <v/>
      </c>
      <c r="B21692" s="87"/>
      <c r="C21692" s="87"/>
      <c r="D21692" s="87"/>
      <c r="E21692" s="87"/>
      <c r="F21692" s="87"/>
      <c r="G21692" s="87"/>
    </row>
    <row r="21693">
      <c r="A21693" s="86" t="str">
        <f>IFERROR(__xludf.DUMMYFUNCTION("""COMPUTED_VALUE"""),"")</f>
        <v/>
      </c>
      <c r="B21693" s="87"/>
      <c r="C21693" s="87"/>
      <c r="D21693" s="87"/>
      <c r="E21693" s="87"/>
      <c r="F21693" s="87"/>
      <c r="G21693" s="87"/>
    </row>
    <row r="21694">
      <c r="A21694" s="86" t="str">
        <f>IFERROR(__xludf.DUMMYFUNCTION("""COMPUTED_VALUE"""),"")</f>
        <v/>
      </c>
      <c r="B21694" s="87"/>
      <c r="C21694" s="87"/>
      <c r="D21694" s="87"/>
      <c r="E21694" s="87"/>
      <c r="F21694" s="87"/>
      <c r="G21694" s="87"/>
    </row>
    <row r="21695">
      <c r="A21695" s="86" t="str">
        <f>IFERROR(__xludf.DUMMYFUNCTION("""COMPUTED_VALUE"""),"")</f>
        <v/>
      </c>
      <c r="B21695" s="87"/>
      <c r="C21695" s="87"/>
      <c r="D21695" s="87"/>
      <c r="E21695" s="87"/>
      <c r="F21695" s="87"/>
      <c r="G21695" s="87"/>
    </row>
    <row r="21696">
      <c r="A21696" s="86" t="str">
        <f>IFERROR(__xludf.DUMMYFUNCTION("""COMPUTED_VALUE"""),"")</f>
        <v/>
      </c>
      <c r="B21696" s="87"/>
      <c r="C21696" s="87"/>
      <c r="D21696" s="87"/>
      <c r="E21696" s="87"/>
      <c r="F21696" s="87"/>
      <c r="G21696" s="87"/>
    </row>
    <row r="21697">
      <c r="A21697" s="86" t="str">
        <f>IFERROR(__xludf.DUMMYFUNCTION("""COMPUTED_VALUE"""),"")</f>
        <v/>
      </c>
      <c r="B21697" s="87"/>
      <c r="C21697" s="87"/>
      <c r="D21697" s="87"/>
      <c r="E21697" s="87"/>
      <c r="F21697" s="87"/>
      <c r="G21697" s="87"/>
    </row>
    <row r="21698">
      <c r="A21698" s="86" t="str">
        <f>IFERROR(__xludf.DUMMYFUNCTION("""COMPUTED_VALUE"""),"")</f>
        <v/>
      </c>
      <c r="B21698" s="87"/>
      <c r="C21698" s="87"/>
      <c r="D21698" s="87"/>
      <c r="E21698" s="87"/>
      <c r="F21698" s="87"/>
      <c r="G21698" s="87"/>
    </row>
    <row r="21699">
      <c r="A21699" s="86" t="str">
        <f>IFERROR(__xludf.DUMMYFUNCTION("""COMPUTED_VALUE"""),"")</f>
        <v/>
      </c>
      <c r="B21699" s="87"/>
      <c r="C21699" s="87"/>
      <c r="D21699" s="87"/>
      <c r="E21699" s="87"/>
      <c r="F21699" s="87"/>
      <c r="G21699" s="87"/>
    </row>
    <row r="21700">
      <c r="A21700" s="86" t="str">
        <f>IFERROR(__xludf.DUMMYFUNCTION("""COMPUTED_VALUE"""),"")</f>
        <v/>
      </c>
      <c r="B21700" s="87"/>
      <c r="C21700" s="87"/>
      <c r="D21700" s="87"/>
      <c r="E21700" s="87"/>
      <c r="F21700" s="87"/>
      <c r="G21700" s="87"/>
    </row>
    <row r="21701">
      <c r="A21701" s="86" t="str">
        <f>IFERROR(__xludf.DUMMYFUNCTION("""COMPUTED_VALUE"""),"")</f>
        <v/>
      </c>
      <c r="B21701" s="87"/>
      <c r="C21701" s="87"/>
      <c r="D21701" s="87"/>
      <c r="E21701" s="87"/>
      <c r="F21701" s="87"/>
      <c r="G21701" s="87"/>
    </row>
    <row r="21702">
      <c r="A21702" s="86" t="str">
        <f>IFERROR(__xludf.DUMMYFUNCTION("""COMPUTED_VALUE"""),"")</f>
        <v/>
      </c>
      <c r="B21702" s="87"/>
      <c r="C21702" s="87"/>
      <c r="D21702" s="87"/>
      <c r="E21702" s="87"/>
      <c r="F21702" s="87"/>
      <c r="G21702" s="87"/>
    </row>
    <row r="21703">
      <c r="A21703" s="86" t="str">
        <f>IFERROR(__xludf.DUMMYFUNCTION("""COMPUTED_VALUE"""),"")</f>
        <v/>
      </c>
      <c r="B21703" s="87"/>
      <c r="C21703" s="87"/>
      <c r="D21703" s="87"/>
      <c r="E21703" s="87"/>
      <c r="F21703" s="87"/>
      <c r="G21703" s="87"/>
    </row>
    <row r="21704">
      <c r="A21704" s="86" t="str">
        <f>IFERROR(__xludf.DUMMYFUNCTION("""COMPUTED_VALUE"""),"")</f>
        <v/>
      </c>
      <c r="B21704" s="87"/>
      <c r="C21704" s="87"/>
      <c r="D21704" s="87"/>
      <c r="E21704" s="87"/>
      <c r="F21704" s="87"/>
      <c r="G21704" s="87"/>
    </row>
    <row r="21705">
      <c r="A21705" s="86" t="str">
        <f>IFERROR(__xludf.DUMMYFUNCTION("""COMPUTED_VALUE"""),"")</f>
        <v/>
      </c>
      <c r="B21705" s="87"/>
      <c r="C21705" s="87"/>
      <c r="D21705" s="87"/>
      <c r="E21705" s="87"/>
      <c r="F21705" s="87"/>
      <c r="G21705" s="87"/>
    </row>
    <row r="21706">
      <c r="A21706" s="86" t="str">
        <f>IFERROR(__xludf.DUMMYFUNCTION("""COMPUTED_VALUE"""),"")</f>
        <v/>
      </c>
      <c r="B21706" s="87"/>
      <c r="C21706" s="87"/>
      <c r="D21706" s="87"/>
      <c r="E21706" s="87"/>
      <c r="F21706" s="87"/>
      <c r="G21706" s="87"/>
    </row>
    <row r="21707">
      <c r="A21707" s="86" t="str">
        <f>IFERROR(__xludf.DUMMYFUNCTION("""COMPUTED_VALUE"""),"")</f>
        <v/>
      </c>
      <c r="B21707" s="87"/>
      <c r="C21707" s="87"/>
      <c r="D21707" s="87"/>
      <c r="E21707" s="87"/>
      <c r="F21707" s="87"/>
      <c r="G21707" s="87"/>
    </row>
    <row r="21708">
      <c r="A21708" s="86" t="str">
        <f>IFERROR(__xludf.DUMMYFUNCTION("""COMPUTED_VALUE"""),"")</f>
        <v/>
      </c>
      <c r="B21708" s="87"/>
      <c r="C21708" s="87"/>
      <c r="D21708" s="87"/>
      <c r="E21708" s="87"/>
      <c r="F21708" s="87"/>
      <c r="G21708" s="87"/>
    </row>
    <row r="21709">
      <c r="A21709" s="86" t="str">
        <f>IFERROR(__xludf.DUMMYFUNCTION("""COMPUTED_VALUE"""),"")</f>
        <v/>
      </c>
      <c r="B21709" s="87"/>
      <c r="C21709" s="87"/>
      <c r="D21709" s="87"/>
      <c r="E21709" s="87"/>
      <c r="F21709" s="87"/>
      <c r="G21709" s="87"/>
    </row>
    <row r="21710">
      <c r="A21710" s="86" t="str">
        <f>IFERROR(__xludf.DUMMYFUNCTION("""COMPUTED_VALUE"""),"")</f>
        <v/>
      </c>
      <c r="B21710" s="87"/>
      <c r="C21710" s="87"/>
      <c r="D21710" s="87"/>
      <c r="E21710" s="87"/>
      <c r="F21710" s="87"/>
      <c r="G21710" s="87"/>
    </row>
    <row r="21711">
      <c r="A21711" s="86" t="str">
        <f>IFERROR(__xludf.DUMMYFUNCTION("""COMPUTED_VALUE"""),"")</f>
        <v/>
      </c>
      <c r="B21711" s="87"/>
      <c r="C21711" s="87"/>
      <c r="D21711" s="87"/>
      <c r="E21711" s="87"/>
      <c r="F21711" s="87"/>
      <c r="G21711" s="87"/>
    </row>
    <row r="21712">
      <c r="A21712" s="86" t="str">
        <f>IFERROR(__xludf.DUMMYFUNCTION("""COMPUTED_VALUE"""),"")</f>
        <v/>
      </c>
      <c r="B21712" s="87"/>
      <c r="C21712" s="87"/>
      <c r="D21712" s="87"/>
      <c r="E21712" s="87"/>
      <c r="F21712" s="87"/>
      <c r="G21712" s="87"/>
    </row>
    <row r="21713">
      <c r="A21713" s="86" t="str">
        <f>IFERROR(__xludf.DUMMYFUNCTION("""COMPUTED_VALUE"""),"")</f>
        <v/>
      </c>
      <c r="B21713" s="87"/>
      <c r="C21713" s="87"/>
      <c r="D21713" s="87"/>
      <c r="E21713" s="87"/>
      <c r="F21713" s="87"/>
      <c r="G21713" s="87"/>
    </row>
    <row r="21714">
      <c r="A21714" s="86" t="str">
        <f>IFERROR(__xludf.DUMMYFUNCTION("""COMPUTED_VALUE"""),"")</f>
        <v/>
      </c>
      <c r="B21714" s="87"/>
      <c r="C21714" s="87"/>
      <c r="D21714" s="87"/>
      <c r="E21714" s="87"/>
      <c r="F21714" s="87"/>
      <c r="G21714" s="87"/>
    </row>
    <row r="21715">
      <c r="A21715" s="86" t="str">
        <f>IFERROR(__xludf.DUMMYFUNCTION("""COMPUTED_VALUE"""),"")</f>
        <v/>
      </c>
      <c r="B21715" s="87"/>
      <c r="C21715" s="87"/>
      <c r="D21715" s="87"/>
      <c r="E21715" s="87"/>
      <c r="F21715" s="87"/>
      <c r="G21715" s="87"/>
    </row>
    <row r="21716">
      <c r="A21716" s="86" t="str">
        <f>IFERROR(__xludf.DUMMYFUNCTION("""COMPUTED_VALUE"""),"")</f>
        <v/>
      </c>
      <c r="B21716" s="87"/>
      <c r="C21716" s="87"/>
      <c r="D21716" s="87"/>
      <c r="E21716" s="87"/>
      <c r="F21716" s="87"/>
      <c r="G21716" s="87"/>
    </row>
    <row r="21717">
      <c r="A21717" s="86" t="str">
        <f>IFERROR(__xludf.DUMMYFUNCTION("""COMPUTED_VALUE"""),"")</f>
        <v/>
      </c>
      <c r="B21717" s="87"/>
      <c r="C21717" s="87"/>
      <c r="D21717" s="87"/>
      <c r="E21717" s="87"/>
      <c r="F21717" s="87"/>
      <c r="G21717" s="87"/>
    </row>
    <row r="21718">
      <c r="A21718" s="86" t="str">
        <f>IFERROR(__xludf.DUMMYFUNCTION("""COMPUTED_VALUE"""),"")</f>
        <v/>
      </c>
      <c r="B21718" s="87"/>
      <c r="C21718" s="87"/>
      <c r="D21718" s="87"/>
      <c r="E21718" s="87"/>
      <c r="F21718" s="87"/>
      <c r="G21718" s="87"/>
    </row>
    <row r="21719">
      <c r="A21719" s="86" t="str">
        <f>IFERROR(__xludf.DUMMYFUNCTION("""COMPUTED_VALUE"""),"")</f>
        <v/>
      </c>
      <c r="B21719" s="87"/>
      <c r="C21719" s="87"/>
      <c r="D21719" s="87"/>
      <c r="E21719" s="87"/>
      <c r="F21719" s="87"/>
      <c r="G21719" s="87"/>
    </row>
    <row r="21720">
      <c r="A21720" s="86" t="str">
        <f>IFERROR(__xludf.DUMMYFUNCTION("""COMPUTED_VALUE"""),"")</f>
        <v/>
      </c>
      <c r="B21720" s="87"/>
      <c r="C21720" s="87"/>
      <c r="D21720" s="87"/>
      <c r="E21720" s="87"/>
      <c r="F21720" s="87"/>
      <c r="G21720" s="87"/>
    </row>
    <row r="21721">
      <c r="A21721" s="86" t="str">
        <f>IFERROR(__xludf.DUMMYFUNCTION("""COMPUTED_VALUE"""),"")</f>
        <v/>
      </c>
      <c r="B21721" s="87"/>
      <c r="C21721" s="87"/>
      <c r="D21721" s="87"/>
      <c r="E21721" s="87"/>
      <c r="F21721" s="87"/>
      <c r="G21721" s="87"/>
    </row>
    <row r="21722">
      <c r="A21722" s="86" t="str">
        <f>IFERROR(__xludf.DUMMYFUNCTION("""COMPUTED_VALUE"""),"")</f>
        <v/>
      </c>
      <c r="B21722" s="87"/>
      <c r="C21722" s="87"/>
      <c r="D21722" s="87"/>
      <c r="E21722" s="87"/>
      <c r="F21722" s="87"/>
      <c r="G21722" s="87"/>
    </row>
    <row r="21723">
      <c r="A21723" s="86" t="str">
        <f>IFERROR(__xludf.DUMMYFUNCTION("""COMPUTED_VALUE"""),"")</f>
        <v/>
      </c>
      <c r="B21723" s="87"/>
      <c r="C21723" s="87"/>
      <c r="D21723" s="87"/>
      <c r="E21723" s="87"/>
      <c r="F21723" s="87"/>
      <c r="G21723" s="87"/>
    </row>
    <row r="21724">
      <c r="A21724" s="86" t="str">
        <f>IFERROR(__xludf.DUMMYFUNCTION("""COMPUTED_VALUE"""),"")</f>
        <v/>
      </c>
      <c r="B21724" s="87"/>
      <c r="C21724" s="87"/>
      <c r="D21724" s="87"/>
      <c r="E21724" s="87"/>
      <c r="F21724" s="87"/>
      <c r="G21724" s="87"/>
    </row>
    <row r="21725">
      <c r="A21725" s="86" t="str">
        <f>IFERROR(__xludf.DUMMYFUNCTION("""COMPUTED_VALUE"""),"")</f>
        <v/>
      </c>
      <c r="B21725" s="87"/>
      <c r="C21725" s="87"/>
      <c r="D21725" s="87"/>
      <c r="E21725" s="87"/>
      <c r="F21725" s="87"/>
      <c r="G21725" s="87"/>
    </row>
    <row r="21726">
      <c r="A21726" s="86" t="str">
        <f>IFERROR(__xludf.DUMMYFUNCTION("""COMPUTED_VALUE"""),"")</f>
        <v/>
      </c>
      <c r="B21726" s="87"/>
      <c r="C21726" s="87"/>
      <c r="D21726" s="87"/>
      <c r="E21726" s="87"/>
      <c r="F21726" s="87"/>
      <c r="G21726" s="87"/>
    </row>
    <row r="21727">
      <c r="A21727" s="86" t="str">
        <f>IFERROR(__xludf.DUMMYFUNCTION("""COMPUTED_VALUE"""),"")</f>
        <v/>
      </c>
      <c r="B21727" s="87"/>
      <c r="C21727" s="87"/>
      <c r="D21727" s="87"/>
      <c r="E21727" s="87"/>
      <c r="F21727" s="87"/>
      <c r="G21727" s="87"/>
    </row>
    <row r="21728">
      <c r="A21728" s="86" t="str">
        <f>IFERROR(__xludf.DUMMYFUNCTION("""COMPUTED_VALUE"""),"")</f>
        <v/>
      </c>
      <c r="B21728" s="87"/>
      <c r="C21728" s="87"/>
      <c r="D21728" s="87"/>
      <c r="E21728" s="87"/>
      <c r="F21728" s="87"/>
      <c r="G21728" s="87"/>
    </row>
    <row r="21729">
      <c r="A21729" s="86" t="str">
        <f>IFERROR(__xludf.DUMMYFUNCTION("""COMPUTED_VALUE"""),"")</f>
        <v/>
      </c>
      <c r="B21729" s="87"/>
      <c r="C21729" s="87"/>
      <c r="D21729" s="87"/>
      <c r="E21729" s="87"/>
      <c r="F21729" s="87"/>
      <c r="G21729" s="87"/>
    </row>
    <row r="21730">
      <c r="A21730" s="86" t="str">
        <f>IFERROR(__xludf.DUMMYFUNCTION("""COMPUTED_VALUE"""),"")</f>
        <v/>
      </c>
      <c r="B21730" s="87"/>
      <c r="C21730" s="87"/>
      <c r="D21730" s="87"/>
      <c r="E21730" s="87"/>
      <c r="F21730" s="87"/>
      <c r="G21730" s="87"/>
    </row>
    <row r="21731">
      <c r="A21731" s="86" t="str">
        <f>IFERROR(__xludf.DUMMYFUNCTION("""COMPUTED_VALUE"""),"")</f>
        <v/>
      </c>
      <c r="B21731" s="87"/>
      <c r="C21731" s="87"/>
      <c r="D21731" s="87"/>
      <c r="E21731" s="87"/>
      <c r="F21731" s="87"/>
      <c r="G21731" s="87"/>
    </row>
    <row r="21732">
      <c r="A21732" s="86" t="str">
        <f>IFERROR(__xludf.DUMMYFUNCTION("""COMPUTED_VALUE"""),"")</f>
        <v/>
      </c>
      <c r="B21732" s="87"/>
      <c r="C21732" s="87"/>
      <c r="D21732" s="87"/>
      <c r="E21732" s="87"/>
      <c r="F21732" s="87"/>
      <c r="G21732" s="87"/>
    </row>
    <row r="21733">
      <c r="A21733" s="86" t="str">
        <f>IFERROR(__xludf.DUMMYFUNCTION("""COMPUTED_VALUE"""),"")</f>
        <v/>
      </c>
      <c r="B21733" s="87"/>
      <c r="C21733" s="87"/>
      <c r="D21733" s="87"/>
      <c r="E21733" s="87"/>
      <c r="F21733" s="87"/>
      <c r="G21733" s="87"/>
    </row>
    <row r="21734">
      <c r="A21734" s="86" t="str">
        <f>IFERROR(__xludf.DUMMYFUNCTION("""COMPUTED_VALUE"""),"")</f>
        <v/>
      </c>
      <c r="B21734" s="87"/>
      <c r="C21734" s="87"/>
      <c r="D21734" s="87"/>
      <c r="E21734" s="87"/>
      <c r="F21734" s="87"/>
      <c r="G21734" s="87"/>
    </row>
    <row r="21735">
      <c r="A21735" s="86" t="str">
        <f>IFERROR(__xludf.DUMMYFUNCTION("""COMPUTED_VALUE"""),"")</f>
        <v/>
      </c>
      <c r="B21735" s="87"/>
      <c r="C21735" s="87"/>
      <c r="D21735" s="87"/>
      <c r="E21735" s="87"/>
      <c r="F21735" s="87"/>
      <c r="G21735" s="87"/>
    </row>
    <row r="21736">
      <c r="A21736" s="86" t="str">
        <f>IFERROR(__xludf.DUMMYFUNCTION("""COMPUTED_VALUE"""),"")</f>
        <v/>
      </c>
      <c r="B21736" s="87"/>
      <c r="C21736" s="87"/>
      <c r="D21736" s="87"/>
      <c r="E21736" s="87"/>
      <c r="F21736" s="87"/>
      <c r="G21736" s="87"/>
    </row>
    <row r="21737">
      <c r="A21737" s="86" t="str">
        <f>IFERROR(__xludf.DUMMYFUNCTION("""COMPUTED_VALUE"""),"")</f>
        <v/>
      </c>
      <c r="B21737" s="87"/>
      <c r="C21737" s="87"/>
      <c r="D21737" s="87"/>
      <c r="E21737" s="87"/>
      <c r="F21737" s="87"/>
      <c r="G21737" s="87"/>
    </row>
    <row r="21738">
      <c r="A21738" s="86" t="str">
        <f>IFERROR(__xludf.DUMMYFUNCTION("""COMPUTED_VALUE"""),"")</f>
        <v/>
      </c>
      <c r="B21738" s="87"/>
      <c r="C21738" s="87"/>
      <c r="D21738" s="87"/>
      <c r="E21738" s="87"/>
      <c r="F21738" s="87"/>
      <c r="G21738" s="87"/>
    </row>
    <row r="21739">
      <c r="A21739" s="86" t="str">
        <f>IFERROR(__xludf.DUMMYFUNCTION("""COMPUTED_VALUE"""),"")</f>
        <v/>
      </c>
      <c r="B21739" s="87"/>
      <c r="C21739" s="87"/>
      <c r="D21739" s="87"/>
      <c r="E21739" s="87"/>
      <c r="F21739" s="87"/>
      <c r="G21739" s="87"/>
    </row>
    <row r="21740">
      <c r="A21740" s="86" t="str">
        <f>IFERROR(__xludf.DUMMYFUNCTION("""COMPUTED_VALUE"""),"")</f>
        <v/>
      </c>
      <c r="B21740" s="87"/>
      <c r="C21740" s="87"/>
      <c r="D21740" s="87"/>
      <c r="E21740" s="87"/>
      <c r="F21740" s="87"/>
      <c r="G21740" s="87"/>
    </row>
    <row r="21741">
      <c r="A21741" s="86" t="str">
        <f>IFERROR(__xludf.DUMMYFUNCTION("""COMPUTED_VALUE"""),"")</f>
        <v/>
      </c>
      <c r="B21741" s="87"/>
      <c r="C21741" s="87"/>
      <c r="D21741" s="87"/>
      <c r="E21741" s="87"/>
      <c r="F21741" s="87"/>
      <c r="G21741" s="87"/>
    </row>
    <row r="21742">
      <c r="A21742" s="86" t="str">
        <f>IFERROR(__xludf.DUMMYFUNCTION("""COMPUTED_VALUE"""),"")</f>
        <v/>
      </c>
      <c r="B21742" s="87"/>
      <c r="C21742" s="87"/>
      <c r="D21742" s="87"/>
      <c r="E21742" s="87"/>
      <c r="F21742" s="87"/>
      <c r="G21742" s="87"/>
    </row>
    <row r="21743">
      <c r="A21743" s="86" t="str">
        <f>IFERROR(__xludf.DUMMYFUNCTION("""COMPUTED_VALUE"""),"")</f>
        <v/>
      </c>
      <c r="B21743" s="87"/>
      <c r="C21743" s="87"/>
      <c r="D21743" s="87"/>
      <c r="E21743" s="87"/>
      <c r="F21743" s="87"/>
      <c r="G21743" s="87"/>
    </row>
    <row r="21744">
      <c r="A21744" s="86" t="str">
        <f>IFERROR(__xludf.DUMMYFUNCTION("""COMPUTED_VALUE"""),"")</f>
        <v/>
      </c>
      <c r="B21744" s="87"/>
      <c r="C21744" s="87"/>
      <c r="D21744" s="87"/>
      <c r="E21744" s="87"/>
      <c r="F21744" s="87"/>
      <c r="G21744" s="87"/>
    </row>
    <row r="21745">
      <c r="A21745" s="86" t="str">
        <f>IFERROR(__xludf.DUMMYFUNCTION("""COMPUTED_VALUE"""),"")</f>
        <v/>
      </c>
      <c r="B21745" s="87"/>
      <c r="C21745" s="87"/>
      <c r="D21745" s="87"/>
      <c r="E21745" s="87"/>
      <c r="F21745" s="87"/>
      <c r="G21745" s="87"/>
    </row>
    <row r="21746">
      <c r="A21746" s="86" t="str">
        <f>IFERROR(__xludf.DUMMYFUNCTION("""COMPUTED_VALUE"""),"")</f>
        <v/>
      </c>
      <c r="B21746" s="87"/>
      <c r="C21746" s="87"/>
      <c r="D21746" s="87"/>
      <c r="E21746" s="87"/>
      <c r="F21746" s="87"/>
      <c r="G21746" s="87"/>
    </row>
    <row r="21747">
      <c r="A21747" s="86" t="str">
        <f>IFERROR(__xludf.DUMMYFUNCTION("""COMPUTED_VALUE"""),"")</f>
        <v/>
      </c>
      <c r="B21747" s="87"/>
      <c r="C21747" s="87"/>
      <c r="D21747" s="87"/>
      <c r="E21747" s="87"/>
      <c r="F21747" s="87"/>
      <c r="G21747" s="87"/>
    </row>
    <row r="21748">
      <c r="A21748" s="86" t="str">
        <f>IFERROR(__xludf.DUMMYFUNCTION("""COMPUTED_VALUE"""),"")</f>
        <v/>
      </c>
      <c r="B21748" s="87"/>
      <c r="C21748" s="87"/>
      <c r="D21748" s="87"/>
      <c r="E21748" s="87"/>
      <c r="F21748" s="87"/>
      <c r="G21748" s="87"/>
    </row>
    <row r="21749">
      <c r="A21749" s="86" t="str">
        <f>IFERROR(__xludf.DUMMYFUNCTION("""COMPUTED_VALUE"""),"")</f>
        <v/>
      </c>
      <c r="B21749" s="87"/>
      <c r="C21749" s="87"/>
      <c r="D21749" s="87"/>
      <c r="E21749" s="87"/>
      <c r="F21749" s="87"/>
      <c r="G21749" s="87"/>
    </row>
    <row r="21750">
      <c r="A21750" s="86" t="str">
        <f>IFERROR(__xludf.DUMMYFUNCTION("""COMPUTED_VALUE"""),"")</f>
        <v/>
      </c>
      <c r="B21750" s="87"/>
      <c r="C21750" s="87"/>
      <c r="D21750" s="87"/>
      <c r="E21750" s="87"/>
      <c r="F21750" s="87"/>
      <c r="G21750" s="87"/>
    </row>
    <row r="21751">
      <c r="A21751" s="86" t="str">
        <f>IFERROR(__xludf.DUMMYFUNCTION("""COMPUTED_VALUE"""),"")</f>
        <v/>
      </c>
      <c r="B21751" s="87"/>
      <c r="C21751" s="87"/>
      <c r="D21751" s="87"/>
      <c r="E21751" s="87"/>
      <c r="F21751" s="87"/>
      <c r="G21751" s="87"/>
    </row>
    <row r="21752">
      <c r="A21752" s="86" t="str">
        <f>IFERROR(__xludf.DUMMYFUNCTION("""COMPUTED_VALUE"""),"")</f>
        <v/>
      </c>
      <c r="B21752" s="87"/>
      <c r="C21752" s="87"/>
      <c r="D21752" s="87"/>
      <c r="E21752" s="87"/>
      <c r="F21752" s="87"/>
      <c r="G21752" s="87"/>
    </row>
    <row r="21753">
      <c r="A21753" s="86" t="str">
        <f>IFERROR(__xludf.DUMMYFUNCTION("""COMPUTED_VALUE"""),"")</f>
        <v/>
      </c>
      <c r="B21753" s="87"/>
      <c r="C21753" s="87"/>
      <c r="D21753" s="87"/>
      <c r="E21753" s="87"/>
      <c r="F21753" s="87"/>
      <c r="G21753" s="87"/>
    </row>
    <row r="21754">
      <c r="A21754" s="86" t="str">
        <f>IFERROR(__xludf.DUMMYFUNCTION("""COMPUTED_VALUE"""),"")</f>
        <v/>
      </c>
      <c r="B21754" s="87"/>
      <c r="C21754" s="87"/>
      <c r="D21754" s="87"/>
      <c r="E21754" s="87"/>
      <c r="F21754" s="87"/>
      <c r="G21754" s="87"/>
    </row>
    <row r="21755">
      <c r="A21755" s="86" t="str">
        <f>IFERROR(__xludf.DUMMYFUNCTION("""COMPUTED_VALUE"""),"")</f>
        <v/>
      </c>
      <c r="B21755" s="87"/>
      <c r="C21755" s="87"/>
      <c r="D21755" s="87"/>
      <c r="E21755" s="87"/>
      <c r="F21755" s="87"/>
      <c r="G21755" s="87"/>
    </row>
    <row r="21756">
      <c r="A21756" s="86" t="str">
        <f>IFERROR(__xludf.DUMMYFUNCTION("""COMPUTED_VALUE"""),"")</f>
        <v/>
      </c>
      <c r="B21756" s="87"/>
      <c r="C21756" s="87"/>
      <c r="D21756" s="87"/>
      <c r="E21756" s="87"/>
      <c r="F21756" s="87"/>
      <c r="G21756" s="87"/>
    </row>
    <row r="21757">
      <c r="A21757" s="86" t="str">
        <f>IFERROR(__xludf.DUMMYFUNCTION("""COMPUTED_VALUE"""),"")</f>
        <v/>
      </c>
      <c r="B21757" s="87"/>
      <c r="C21757" s="87"/>
      <c r="D21757" s="87"/>
      <c r="E21757" s="87"/>
      <c r="F21757" s="87"/>
      <c r="G21757" s="87"/>
    </row>
    <row r="21758">
      <c r="A21758" s="86" t="str">
        <f>IFERROR(__xludf.DUMMYFUNCTION("""COMPUTED_VALUE"""),"")</f>
        <v/>
      </c>
      <c r="B21758" s="87"/>
      <c r="C21758" s="87"/>
      <c r="D21758" s="87"/>
      <c r="E21758" s="87"/>
      <c r="F21758" s="87"/>
      <c r="G21758" s="87"/>
    </row>
    <row r="21759">
      <c r="A21759" s="86" t="str">
        <f>IFERROR(__xludf.DUMMYFUNCTION("""COMPUTED_VALUE"""),"")</f>
        <v/>
      </c>
      <c r="B21759" s="87"/>
      <c r="C21759" s="87"/>
      <c r="D21759" s="87"/>
      <c r="E21759" s="87"/>
      <c r="F21759" s="87"/>
      <c r="G21759" s="87"/>
    </row>
    <row r="21760">
      <c r="A21760" s="86" t="str">
        <f>IFERROR(__xludf.DUMMYFUNCTION("""COMPUTED_VALUE"""),"")</f>
        <v/>
      </c>
      <c r="B21760" s="87"/>
      <c r="C21760" s="87"/>
      <c r="D21760" s="87"/>
      <c r="E21760" s="87"/>
      <c r="F21760" s="87"/>
      <c r="G21760" s="87"/>
    </row>
    <row r="21761">
      <c r="A21761" s="86" t="str">
        <f>IFERROR(__xludf.DUMMYFUNCTION("""COMPUTED_VALUE"""),"")</f>
        <v/>
      </c>
      <c r="B21761" s="87"/>
      <c r="C21761" s="87"/>
      <c r="D21761" s="87"/>
      <c r="E21761" s="87"/>
      <c r="F21761" s="87"/>
      <c r="G21761" s="87"/>
    </row>
    <row r="21762">
      <c r="A21762" s="86" t="str">
        <f>IFERROR(__xludf.DUMMYFUNCTION("""COMPUTED_VALUE"""),"")</f>
        <v/>
      </c>
      <c r="B21762" s="87"/>
      <c r="C21762" s="87"/>
      <c r="D21762" s="87"/>
      <c r="E21762" s="87"/>
      <c r="F21762" s="87"/>
      <c r="G21762" s="87"/>
    </row>
    <row r="21763">
      <c r="A21763" s="86" t="str">
        <f>IFERROR(__xludf.DUMMYFUNCTION("""COMPUTED_VALUE"""),"")</f>
        <v/>
      </c>
      <c r="B21763" s="87"/>
      <c r="C21763" s="87"/>
      <c r="D21763" s="87"/>
      <c r="E21763" s="87"/>
      <c r="F21763" s="87"/>
      <c r="G21763" s="87"/>
    </row>
    <row r="21764">
      <c r="A21764" s="86" t="str">
        <f>IFERROR(__xludf.DUMMYFUNCTION("""COMPUTED_VALUE"""),"")</f>
        <v/>
      </c>
      <c r="B21764" s="87"/>
      <c r="C21764" s="87"/>
      <c r="D21764" s="87"/>
      <c r="E21764" s="87"/>
      <c r="F21764" s="87"/>
      <c r="G21764" s="87"/>
    </row>
    <row r="21765">
      <c r="A21765" s="86" t="str">
        <f>IFERROR(__xludf.DUMMYFUNCTION("""COMPUTED_VALUE"""),"")</f>
        <v/>
      </c>
      <c r="B21765" s="87"/>
      <c r="C21765" s="87"/>
      <c r="D21765" s="87"/>
      <c r="E21765" s="87"/>
      <c r="F21765" s="87"/>
      <c r="G21765" s="87"/>
    </row>
    <row r="21766">
      <c r="A21766" s="86" t="str">
        <f>IFERROR(__xludf.DUMMYFUNCTION("""COMPUTED_VALUE"""),"")</f>
        <v/>
      </c>
      <c r="B21766" s="87"/>
      <c r="C21766" s="87"/>
      <c r="D21766" s="87"/>
      <c r="E21766" s="87"/>
      <c r="F21766" s="87"/>
      <c r="G21766" s="87"/>
    </row>
    <row r="21767">
      <c r="A21767" s="86" t="str">
        <f>IFERROR(__xludf.DUMMYFUNCTION("""COMPUTED_VALUE"""),"")</f>
        <v/>
      </c>
      <c r="B21767" s="87"/>
      <c r="C21767" s="87"/>
      <c r="D21767" s="87"/>
      <c r="E21767" s="87"/>
      <c r="F21767" s="87"/>
      <c r="G21767" s="87"/>
    </row>
    <row r="21768">
      <c r="A21768" s="86" t="str">
        <f>IFERROR(__xludf.DUMMYFUNCTION("""COMPUTED_VALUE"""),"")</f>
        <v/>
      </c>
      <c r="B21768" s="87"/>
      <c r="C21768" s="87"/>
      <c r="D21768" s="87"/>
      <c r="E21768" s="87"/>
      <c r="F21768" s="87"/>
      <c r="G21768" s="87"/>
    </row>
    <row r="21769">
      <c r="A21769" s="86" t="str">
        <f>IFERROR(__xludf.DUMMYFUNCTION("""COMPUTED_VALUE"""),"")</f>
        <v/>
      </c>
      <c r="B21769" s="87"/>
      <c r="C21769" s="87"/>
      <c r="D21769" s="87"/>
      <c r="E21769" s="87"/>
      <c r="F21769" s="87"/>
      <c r="G21769" s="87"/>
    </row>
    <row r="21770">
      <c r="A21770" s="86" t="str">
        <f>IFERROR(__xludf.DUMMYFUNCTION("""COMPUTED_VALUE"""),"")</f>
        <v/>
      </c>
      <c r="B21770" s="87"/>
      <c r="C21770" s="87"/>
      <c r="D21770" s="87"/>
      <c r="E21770" s="87"/>
      <c r="F21770" s="87"/>
      <c r="G21770" s="87"/>
    </row>
    <row r="21771">
      <c r="A21771" s="86" t="str">
        <f>IFERROR(__xludf.DUMMYFUNCTION("""COMPUTED_VALUE"""),"")</f>
        <v/>
      </c>
      <c r="B21771" s="87"/>
      <c r="C21771" s="87"/>
      <c r="D21771" s="87"/>
      <c r="E21771" s="87"/>
      <c r="F21771" s="87"/>
      <c r="G21771" s="87"/>
    </row>
    <row r="21772">
      <c r="A21772" s="86" t="str">
        <f>IFERROR(__xludf.DUMMYFUNCTION("""COMPUTED_VALUE"""),"")</f>
        <v/>
      </c>
      <c r="B21772" s="87"/>
      <c r="C21772" s="87"/>
      <c r="D21772" s="87"/>
      <c r="E21772" s="87"/>
      <c r="F21772" s="87"/>
      <c r="G21772" s="87"/>
    </row>
    <row r="21773">
      <c r="A21773" s="86" t="str">
        <f>IFERROR(__xludf.DUMMYFUNCTION("""COMPUTED_VALUE"""),"")</f>
        <v/>
      </c>
      <c r="B21773" s="87"/>
      <c r="C21773" s="87"/>
      <c r="D21773" s="87"/>
      <c r="E21773" s="87"/>
      <c r="F21773" s="87"/>
      <c r="G21773" s="87"/>
    </row>
    <row r="21774">
      <c r="A21774" s="86" t="str">
        <f>IFERROR(__xludf.DUMMYFUNCTION("""COMPUTED_VALUE"""),"")</f>
        <v/>
      </c>
      <c r="B21774" s="87"/>
      <c r="C21774" s="87"/>
      <c r="D21774" s="87"/>
      <c r="E21774" s="87"/>
      <c r="F21774" s="87"/>
      <c r="G21774" s="87"/>
    </row>
    <row r="21775">
      <c r="A21775" s="86" t="str">
        <f>IFERROR(__xludf.DUMMYFUNCTION("""COMPUTED_VALUE"""),"")</f>
        <v/>
      </c>
      <c r="B21775" s="87"/>
      <c r="C21775" s="87"/>
      <c r="D21775" s="87"/>
      <c r="E21775" s="87"/>
      <c r="F21775" s="87"/>
      <c r="G21775" s="87"/>
    </row>
    <row r="21776">
      <c r="A21776" s="86" t="str">
        <f>IFERROR(__xludf.DUMMYFUNCTION("""COMPUTED_VALUE"""),"")</f>
        <v/>
      </c>
      <c r="B21776" s="87"/>
      <c r="C21776" s="87"/>
      <c r="D21776" s="87"/>
      <c r="E21776" s="87"/>
      <c r="F21776" s="87"/>
      <c r="G21776" s="87"/>
    </row>
    <row r="21777">
      <c r="A21777" s="86" t="str">
        <f>IFERROR(__xludf.DUMMYFUNCTION("""COMPUTED_VALUE"""),"")</f>
        <v/>
      </c>
      <c r="B21777" s="87"/>
      <c r="C21777" s="87"/>
      <c r="D21777" s="87"/>
      <c r="E21777" s="87"/>
      <c r="F21777" s="87"/>
      <c r="G21777" s="87"/>
    </row>
    <row r="21778">
      <c r="A21778" s="86" t="str">
        <f>IFERROR(__xludf.DUMMYFUNCTION("""COMPUTED_VALUE"""),"")</f>
        <v/>
      </c>
      <c r="B21778" s="87"/>
      <c r="C21778" s="87"/>
      <c r="D21778" s="87"/>
      <c r="E21778" s="87"/>
      <c r="F21778" s="87"/>
      <c r="G21778" s="87"/>
    </row>
    <row r="21779">
      <c r="A21779" s="86" t="str">
        <f>IFERROR(__xludf.DUMMYFUNCTION("""COMPUTED_VALUE"""),"")</f>
        <v/>
      </c>
      <c r="B21779" s="87"/>
      <c r="C21779" s="87"/>
      <c r="D21779" s="87"/>
      <c r="E21779" s="87"/>
      <c r="F21779" s="87"/>
      <c r="G21779" s="87"/>
    </row>
    <row r="21780">
      <c r="A21780" s="86" t="str">
        <f>IFERROR(__xludf.DUMMYFUNCTION("""COMPUTED_VALUE"""),"")</f>
        <v/>
      </c>
      <c r="B21780" s="87"/>
      <c r="C21780" s="87"/>
      <c r="D21780" s="87"/>
      <c r="E21780" s="87"/>
      <c r="F21780" s="87"/>
      <c r="G21780" s="87"/>
    </row>
    <row r="21781">
      <c r="A21781" s="86" t="str">
        <f>IFERROR(__xludf.DUMMYFUNCTION("""COMPUTED_VALUE"""),"")</f>
        <v/>
      </c>
      <c r="B21781" s="87"/>
      <c r="C21781" s="87"/>
      <c r="D21781" s="87"/>
      <c r="E21781" s="87"/>
      <c r="F21781" s="87"/>
      <c r="G21781" s="87"/>
    </row>
    <row r="21782">
      <c r="A21782" s="86" t="str">
        <f>IFERROR(__xludf.DUMMYFUNCTION("""COMPUTED_VALUE"""),"")</f>
        <v/>
      </c>
      <c r="B21782" s="87"/>
      <c r="C21782" s="87"/>
      <c r="D21782" s="87"/>
      <c r="E21782" s="87"/>
      <c r="F21782" s="87"/>
      <c r="G21782" s="87"/>
    </row>
    <row r="21783">
      <c r="A21783" s="86" t="str">
        <f>IFERROR(__xludf.DUMMYFUNCTION("""COMPUTED_VALUE"""),"")</f>
        <v/>
      </c>
      <c r="B21783" s="87"/>
      <c r="C21783" s="87"/>
      <c r="D21783" s="87"/>
      <c r="E21783" s="87"/>
      <c r="F21783" s="87"/>
      <c r="G21783" s="87"/>
    </row>
    <row r="21784">
      <c r="A21784" s="86" t="str">
        <f>IFERROR(__xludf.DUMMYFUNCTION("""COMPUTED_VALUE"""),"")</f>
        <v/>
      </c>
      <c r="B21784" s="87"/>
      <c r="C21784" s="87"/>
      <c r="D21784" s="87"/>
      <c r="E21784" s="87"/>
      <c r="F21784" s="87"/>
      <c r="G21784" s="87"/>
    </row>
    <row r="21785">
      <c r="A21785" s="86" t="str">
        <f>IFERROR(__xludf.DUMMYFUNCTION("""COMPUTED_VALUE"""),"")</f>
        <v/>
      </c>
      <c r="B21785" s="87"/>
      <c r="C21785" s="87"/>
      <c r="D21785" s="87"/>
      <c r="E21785" s="87"/>
      <c r="F21785" s="87"/>
      <c r="G21785" s="87"/>
    </row>
    <row r="21786">
      <c r="A21786" s="86" t="str">
        <f>IFERROR(__xludf.DUMMYFUNCTION("""COMPUTED_VALUE"""),"")</f>
        <v/>
      </c>
      <c r="B21786" s="87"/>
      <c r="C21786" s="87"/>
      <c r="D21786" s="87"/>
      <c r="E21786" s="87"/>
      <c r="F21786" s="87"/>
      <c r="G21786" s="87"/>
    </row>
    <row r="21787">
      <c r="A21787" s="86" t="str">
        <f>IFERROR(__xludf.DUMMYFUNCTION("""COMPUTED_VALUE"""),"")</f>
        <v/>
      </c>
      <c r="B21787" s="87"/>
      <c r="C21787" s="87"/>
      <c r="D21787" s="87"/>
      <c r="E21787" s="87"/>
      <c r="F21787" s="87"/>
      <c r="G21787" s="87"/>
    </row>
    <row r="21788">
      <c r="A21788" s="86" t="str">
        <f>IFERROR(__xludf.DUMMYFUNCTION("""COMPUTED_VALUE"""),"")</f>
        <v/>
      </c>
      <c r="B21788" s="87"/>
      <c r="C21788" s="87"/>
      <c r="D21788" s="87"/>
      <c r="E21788" s="87"/>
      <c r="F21788" s="87"/>
      <c r="G21788" s="87"/>
    </row>
    <row r="21789">
      <c r="A21789" s="86" t="str">
        <f>IFERROR(__xludf.DUMMYFUNCTION("""COMPUTED_VALUE"""),"")</f>
        <v/>
      </c>
      <c r="B21789" s="87"/>
      <c r="C21789" s="87"/>
      <c r="D21789" s="87"/>
      <c r="E21789" s="87"/>
      <c r="F21789" s="87"/>
      <c r="G21789" s="87"/>
    </row>
    <row r="21790">
      <c r="A21790" s="86" t="str">
        <f>IFERROR(__xludf.DUMMYFUNCTION("""COMPUTED_VALUE"""),"")</f>
        <v/>
      </c>
      <c r="B21790" s="87"/>
      <c r="C21790" s="87"/>
      <c r="D21790" s="87"/>
      <c r="E21790" s="87"/>
      <c r="F21790" s="87"/>
      <c r="G21790" s="87"/>
    </row>
    <row r="21791">
      <c r="A21791" s="86" t="str">
        <f>IFERROR(__xludf.DUMMYFUNCTION("""COMPUTED_VALUE"""),"")</f>
        <v/>
      </c>
      <c r="B21791" s="87"/>
      <c r="C21791" s="87"/>
      <c r="D21791" s="87"/>
      <c r="E21791" s="87"/>
      <c r="F21791" s="87"/>
      <c r="G21791" s="87"/>
    </row>
    <row r="21792">
      <c r="A21792" s="86" t="str">
        <f>IFERROR(__xludf.DUMMYFUNCTION("""COMPUTED_VALUE"""),"")</f>
        <v/>
      </c>
      <c r="B21792" s="87"/>
      <c r="C21792" s="87"/>
      <c r="D21792" s="87"/>
      <c r="E21792" s="87"/>
      <c r="F21792" s="87"/>
      <c r="G21792" s="87"/>
    </row>
    <row r="21793">
      <c r="A21793" s="86" t="str">
        <f>IFERROR(__xludf.DUMMYFUNCTION("""COMPUTED_VALUE"""),"")</f>
        <v/>
      </c>
      <c r="B21793" s="87"/>
      <c r="C21793" s="87"/>
      <c r="D21793" s="87"/>
      <c r="E21793" s="87"/>
      <c r="F21793" s="87"/>
      <c r="G21793" s="87"/>
    </row>
    <row r="21794">
      <c r="A21794" s="86" t="str">
        <f>IFERROR(__xludf.DUMMYFUNCTION("""COMPUTED_VALUE"""),"")</f>
        <v/>
      </c>
      <c r="B21794" s="87"/>
      <c r="C21794" s="87"/>
      <c r="D21794" s="87"/>
      <c r="E21794" s="87"/>
      <c r="F21794" s="87"/>
      <c r="G21794" s="87"/>
    </row>
    <row r="21795">
      <c r="A21795" s="86" t="str">
        <f>IFERROR(__xludf.DUMMYFUNCTION("""COMPUTED_VALUE"""),"")</f>
        <v/>
      </c>
      <c r="B21795" s="87"/>
      <c r="C21795" s="87"/>
      <c r="D21795" s="87"/>
      <c r="E21795" s="87"/>
      <c r="F21795" s="87"/>
      <c r="G21795" s="87"/>
    </row>
    <row r="21796">
      <c r="A21796" s="86" t="str">
        <f>IFERROR(__xludf.DUMMYFUNCTION("""COMPUTED_VALUE"""),"")</f>
        <v/>
      </c>
      <c r="B21796" s="87"/>
      <c r="C21796" s="87"/>
      <c r="D21796" s="87"/>
      <c r="E21796" s="87"/>
      <c r="F21796" s="87"/>
      <c r="G21796" s="87"/>
    </row>
    <row r="21797">
      <c r="A21797" s="86" t="str">
        <f>IFERROR(__xludf.DUMMYFUNCTION("""COMPUTED_VALUE"""),"")</f>
        <v/>
      </c>
      <c r="B21797" s="87"/>
      <c r="C21797" s="87"/>
      <c r="D21797" s="87"/>
      <c r="E21797" s="87"/>
      <c r="F21797" s="87"/>
      <c r="G21797" s="87"/>
    </row>
    <row r="21798">
      <c r="A21798" s="86" t="str">
        <f>IFERROR(__xludf.DUMMYFUNCTION("""COMPUTED_VALUE"""),"")</f>
        <v/>
      </c>
      <c r="B21798" s="87"/>
      <c r="C21798" s="87"/>
      <c r="D21798" s="87"/>
      <c r="E21798" s="87"/>
      <c r="F21798" s="87"/>
      <c r="G21798" s="87"/>
    </row>
    <row r="21799">
      <c r="A21799" s="86" t="str">
        <f>IFERROR(__xludf.DUMMYFUNCTION("""COMPUTED_VALUE"""),"")</f>
        <v/>
      </c>
      <c r="B21799" s="87"/>
      <c r="C21799" s="87"/>
      <c r="D21799" s="87"/>
      <c r="E21799" s="87"/>
      <c r="F21799" s="87"/>
      <c r="G21799" s="87"/>
    </row>
    <row r="21800">
      <c r="A21800" s="86" t="str">
        <f>IFERROR(__xludf.DUMMYFUNCTION("""COMPUTED_VALUE"""),"")</f>
        <v/>
      </c>
      <c r="B21800" s="87"/>
      <c r="C21800" s="87"/>
      <c r="D21800" s="87"/>
      <c r="E21800" s="87"/>
      <c r="F21800" s="87"/>
      <c r="G21800" s="87"/>
    </row>
    <row r="21801">
      <c r="A21801" s="86" t="str">
        <f>IFERROR(__xludf.DUMMYFUNCTION("""COMPUTED_VALUE"""),"")</f>
        <v/>
      </c>
      <c r="B21801" s="87"/>
      <c r="C21801" s="87"/>
      <c r="D21801" s="87"/>
      <c r="E21801" s="87"/>
      <c r="F21801" s="87"/>
      <c r="G21801" s="87"/>
    </row>
    <row r="21802">
      <c r="A21802" s="86" t="str">
        <f>IFERROR(__xludf.DUMMYFUNCTION("""COMPUTED_VALUE"""),"")</f>
        <v/>
      </c>
      <c r="B21802" s="87"/>
      <c r="C21802" s="87"/>
      <c r="D21802" s="87"/>
      <c r="E21802" s="87"/>
      <c r="F21802" s="87"/>
      <c r="G21802" s="87"/>
    </row>
    <row r="21803">
      <c r="A21803" s="86" t="str">
        <f>IFERROR(__xludf.DUMMYFUNCTION("""COMPUTED_VALUE"""),"")</f>
        <v/>
      </c>
      <c r="B21803" s="87"/>
      <c r="C21803" s="87"/>
      <c r="D21803" s="87"/>
      <c r="E21803" s="87"/>
      <c r="F21803" s="87"/>
      <c r="G21803" s="87"/>
    </row>
    <row r="21804">
      <c r="A21804" s="86" t="str">
        <f>IFERROR(__xludf.DUMMYFUNCTION("""COMPUTED_VALUE"""),"")</f>
        <v/>
      </c>
      <c r="B21804" s="87"/>
      <c r="C21804" s="87"/>
      <c r="D21804" s="87"/>
      <c r="E21804" s="87"/>
      <c r="F21804" s="87"/>
      <c r="G21804" s="87"/>
    </row>
    <row r="21805">
      <c r="A21805" s="86" t="str">
        <f>IFERROR(__xludf.DUMMYFUNCTION("""COMPUTED_VALUE"""),"")</f>
        <v/>
      </c>
      <c r="B21805" s="87"/>
      <c r="C21805" s="87"/>
      <c r="D21805" s="87"/>
      <c r="E21805" s="87"/>
      <c r="F21805" s="87"/>
      <c r="G21805" s="87"/>
    </row>
    <row r="21806">
      <c r="A21806" s="86" t="str">
        <f>IFERROR(__xludf.DUMMYFUNCTION("""COMPUTED_VALUE"""),"")</f>
        <v/>
      </c>
      <c r="B21806" s="87"/>
      <c r="C21806" s="87"/>
      <c r="D21806" s="87"/>
      <c r="E21806" s="87"/>
      <c r="F21806" s="87"/>
      <c r="G21806" s="87"/>
    </row>
    <row r="21807">
      <c r="A21807" s="86" t="str">
        <f>IFERROR(__xludf.DUMMYFUNCTION("""COMPUTED_VALUE"""),"")</f>
        <v/>
      </c>
      <c r="B21807" s="87"/>
      <c r="C21807" s="87"/>
      <c r="D21807" s="87"/>
      <c r="E21807" s="87"/>
      <c r="F21807" s="87"/>
      <c r="G21807" s="87"/>
    </row>
    <row r="21808">
      <c r="A21808" s="86" t="str">
        <f>IFERROR(__xludf.DUMMYFUNCTION("""COMPUTED_VALUE"""),"")</f>
        <v/>
      </c>
      <c r="B21808" s="87"/>
      <c r="C21808" s="87"/>
      <c r="D21808" s="87"/>
      <c r="E21808" s="87"/>
      <c r="F21808" s="87"/>
      <c r="G21808" s="87"/>
    </row>
    <row r="21809">
      <c r="A21809" s="86" t="str">
        <f>IFERROR(__xludf.DUMMYFUNCTION("""COMPUTED_VALUE"""),"")</f>
        <v/>
      </c>
      <c r="B21809" s="87"/>
      <c r="C21809" s="87"/>
      <c r="D21809" s="87"/>
      <c r="E21809" s="87"/>
      <c r="F21809" s="87"/>
      <c r="G21809" s="87"/>
    </row>
    <row r="21810">
      <c r="A21810" s="86" t="str">
        <f>IFERROR(__xludf.DUMMYFUNCTION("""COMPUTED_VALUE"""),"")</f>
        <v/>
      </c>
      <c r="B21810" s="87"/>
      <c r="C21810" s="87"/>
      <c r="D21810" s="87"/>
      <c r="E21810" s="87"/>
      <c r="F21810" s="87"/>
      <c r="G21810" s="87"/>
    </row>
    <row r="21811">
      <c r="A21811" s="86" t="str">
        <f>IFERROR(__xludf.DUMMYFUNCTION("""COMPUTED_VALUE"""),"")</f>
        <v/>
      </c>
      <c r="B21811" s="87"/>
      <c r="C21811" s="87"/>
      <c r="D21811" s="87"/>
      <c r="E21811" s="87"/>
      <c r="F21811" s="87"/>
      <c r="G21811" s="87"/>
    </row>
    <row r="21812">
      <c r="A21812" s="86" t="str">
        <f>IFERROR(__xludf.DUMMYFUNCTION("""COMPUTED_VALUE"""),"")</f>
        <v/>
      </c>
      <c r="B21812" s="87"/>
      <c r="C21812" s="87"/>
      <c r="D21812" s="87"/>
      <c r="E21812" s="87"/>
      <c r="F21812" s="87"/>
      <c r="G21812" s="87"/>
    </row>
    <row r="21813">
      <c r="A21813" s="86" t="str">
        <f>IFERROR(__xludf.DUMMYFUNCTION("""COMPUTED_VALUE"""),"")</f>
        <v/>
      </c>
      <c r="B21813" s="87"/>
      <c r="C21813" s="87"/>
      <c r="D21813" s="87"/>
      <c r="E21813" s="87"/>
      <c r="F21813" s="87"/>
      <c r="G21813" s="87"/>
    </row>
    <row r="21814">
      <c r="A21814" s="86" t="str">
        <f>IFERROR(__xludf.DUMMYFUNCTION("""COMPUTED_VALUE"""),"")</f>
        <v/>
      </c>
      <c r="B21814" s="87"/>
      <c r="C21814" s="87"/>
      <c r="D21814" s="87"/>
      <c r="E21814" s="87"/>
      <c r="F21814" s="87"/>
      <c r="G21814" s="87"/>
    </row>
    <row r="21815">
      <c r="A21815" s="86" t="str">
        <f>IFERROR(__xludf.DUMMYFUNCTION("""COMPUTED_VALUE"""),"")</f>
        <v/>
      </c>
      <c r="B21815" s="87"/>
      <c r="C21815" s="87"/>
      <c r="D21815" s="87"/>
      <c r="E21815" s="87"/>
      <c r="F21815" s="87"/>
      <c r="G21815" s="87"/>
    </row>
    <row r="21816">
      <c r="A21816" s="86" t="str">
        <f>IFERROR(__xludf.DUMMYFUNCTION("""COMPUTED_VALUE"""),"")</f>
        <v/>
      </c>
      <c r="B21816" s="87"/>
      <c r="C21816" s="87"/>
      <c r="D21816" s="87"/>
      <c r="E21816" s="87"/>
      <c r="F21816" s="87"/>
      <c r="G21816" s="87"/>
    </row>
    <row r="21817">
      <c r="A21817" s="86" t="str">
        <f>IFERROR(__xludf.DUMMYFUNCTION("""COMPUTED_VALUE"""),"")</f>
        <v/>
      </c>
      <c r="B21817" s="87"/>
      <c r="C21817" s="87"/>
      <c r="D21817" s="87"/>
      <c r="E21817" s="87"/>
      <c r="F21817" s="87"/>
      <c r="G21817" s="87"/>
    </row>
    <row r="21818">
      <c r="A21818" s="86" t="str">
        <f>IFERROR(__xludf.DUMMYFUNCTION("""COMPUTED_VALUE"""),"")</f>
        <v/>
      </c>
      <c r="B21818" s="87"/>
      <c r="C21818" s="87"/>
      <c r="D21818" s="87"/>
      <c r="E21818" s="87"/>
      <c r="F21818" s="87"/>
      <c r="G21818" s="87"/>
    </row>
    <row r="21819">
      <c r="A21819" s="86" t="str">
        <f>IFERROR(__xludf.DUMMYFUNCTION("""COMPUTED_VALUE"""),"")</f>
        <v/>
      </c>
      <c r="B21819" s="87"/>
      <c r="C21819" s="87"/>
      <c r="D21819" s="87"/>
      <c r="E21819" s="87"/>
      <c r="F21819" s="87"/>
      <c r="G21819" s="87"/>
    </row>
    <row r="21820">
      <c r="A21820" s="86" t="str">
        <f>IFERROR(__xludf.DUMMYFUNCTION("""COMPUTED_VALUE"""),"")</f>
        <v/>
      </c>
      <c r="B21820" s="87"/>
      <c r="C21820" s="87"/>
      <c r="D21820" s="87"/>
      <c r="E21820" s="87"/>
      <c r="F21820" s="87"/>
      <c r="G21820" s="87"/>
    </row>
    <row r="21821">
      <c r="A21821" s="86" t="str">
        <f>IFERROR(__xludf.DUMMYFUNCTION("""COMPUTED_VALUE"""),"")</f>
        <v/>
      </c>
      <c r="B21821" s="87"/>
      <c r="C21821" s="87"/>
      <c r="D21821" s="87"/>
      <c r="E21821" s="87"/>
      <c r="F21821" s="87"/>
      <c r="G21821" s="87"/>
    </row>
    <row r="21822">
      <c r="A21822" s="86" t="str">
        <f>IFERROR(__xludf.DUMMYFUNCTION("""COMPUTED_VALUE"""),"")</f>
        <v/>
      </c>
      <c r="B21822" s="87"/>
      <c r="C21822" s="87"/>
      <c r="D21822" s="87"/>
      <c r="E21822" s="87"/>
      <c r="F21822" s="87"/>
      <c r="G21822" s="87"/>
    </row>
    <row r="21823">
      <c r="A21823" s="86" t="str">
        <f>IFERROR(__xludf.DUMMYFUNCTION("""COMPUTED_VALUE"""),"")</f>
        <v/>
      </c>
      <c r="B21823" s="87"/>
      <c r="C21823" s="87"/>
      <c r="D21823" s="87"/>
      <c r="E21823" s="87"/>
      <c r="F21823" s="87"/>
      <c r="G21823" s="87"/>
    </row>
    <row r="21824">
      <c r="A21824" s="86" t="str">
        <f>IFERROR(__xludf.DUMMYFUNCTION("""COMPUTED_VALUE"""),"")</f>
        <v/>
      </c>
      <c r="B21824" s="87"/>
      <c r="C21824" s="87"/>
      <c r="D21824" s="87"/>
      <c r="E21824" s="87"/>
      <c r="F21824" s="87"/>
      <c r="G21824" s="87"/>
    </row>
    <row r="21825">
      <c r="A21825" s="86" t="str">
        <f>IFERROR(__xludf.DUMMYFUNCTION("""COMPUTED_VALUE"""),"")</f>
        <v/>
      </c>
      <c r="B21825" s="87"/>
      <c r="C21825" s="87"/>
      <c r="D21825" s="87"/>
      <c r="E21825" s="87"/>
      <c r="F21825" s="87"/>
      <c r="G21825" s="87"/>
    </row>
    <row r="21826">
      <c r="A21826" s="86" t="str">
        <f>IFERROR(__xludf.DUMMYFUNCTION("""COMPUTED_VALUE"""),"")</f>
        <v/>
      </c>
      <c r="B21826" s="87"/>
      <c r="C21826" s="87"/>
      <c r="D21826" s="87"/>
      <c r="E21826" s="87"/>
      <c r="F21826" s="87"/>
      <c r="G21826" s="87"/>
    </row>
    <row r="21827">
      <c r="A21827" s="86" t="str">
        <f>IFERROR(__xludf.DUMMYFUNCTION("""COMPUTED_VALUE"""),"")</f>
        <v/>
      </c>
      <c r="B21827" s="87"/>
      <c r="C21827" s="87"/>
      <c r="D21827" s="87"/>
      <c r="E21827" s="87"/>
      <c r="F21827" s="87"/>
      <c r="G21827" s="87"/>
    </row>
    <row r="21828">
      <c r="A21828" s="86" t="str">
        <f>IFERROR(__xludf.DUMMYFUNCTION("""COMPUTED_VALUE"""),"")</f>
        <v/>
      </c>
      <c r="B21828" s="87"/>
      <c r="C21828" s="87"/>
      <c r="D21828" s="87"/>
      <c r="E21828" s="87"/>
      <c r="F21828" s="87"/>
      <c r="G21828" s="87"/>
    </row>
    <row r="21829">
      <c r="A21829" s="86" t="str">
        <f>IFERROR(__xludf.DUMMYFUNCTION("""COMPUTED_VALUE"""),"")</f>
        <v/>
      </c>
      <c r="B21829" s="87"/>
      <c r="C21829" s="87"/>
      <c r="D21829" s="87"/>
      <c r="E21829" s="87"/>
      <c r="F21829" s="87"/>
      <c r="G21829" s="87"/>
    </row>
    <row r="21830">
      <c r="A21830" s="86" t="str">
        <f>IFERROR(__xludf.DUMMYFUNCTION("""COMPUTED_VALUE"""),"")</f>
        <v/>
      </c>
      <c r="B21830" s="87"/>
      <c r="C21830" s="87"/>
      <c r="D21830" s="87"/>
      <c r="E21830" s="87"/>
      <c r="F21830" s="87"/>
      <c r="G21830" s="87"/>
    </row>
    <row r="21831">
      <c r="A21831" s="86" t="str">
        <f>IFERROR(__xludf.DUMMYFUNCTION("""COMPUTED_VALUE"""),"")</f>
        <v/>
      </c>
      <c r="B21831" s="87"/>
      <c r="C21831" s="87"/>
      <c r="D21831" s="87"/>
      <c r="E21831" s="87"/>
      <c r="F21831" s="87"/>
      <c r="G21831" s="87"/>
    </row>
    <row r="21832">
      <c r="A21832" s="86" t="str">
        <f>IFERROR(__xludf.DUMMYFUNCTION("""COMPUTED_VALUE"""),"")</f>
        <v/>
      </c>
      <c r="B21832" s="87"/>
      <c r="C21832" s="87"/>
      <c r="D21832" s="87"/>
      <c r="E21832" s="87"/>
      <c r="F21832" s="87"/>
      <c r="G21832" s="87"/>
    </row>
    <row r="21833">
      <c r="A21833" s="86" t="str">
        <f>IFERROR(__xludf.DUMMYFUNCTION("""COMPUTED_VALUE"""),"")</f>
        <v/>
      </c>
      <c r="B21833" s="87"/>
      <c r="C21833" s="87"/>
      <c r="D21833" s="87"/>
      <c r="E21833" s="87"/>
      <c r="F21833" s="87"/>
      <c r="G21833" s="87"/>
    </row>
    <row r="21834">
      <c r="A21834" s="86" t="str">
        <f>IFERROR(__xludf.DUMMYFUNCTION("""COMPUTED_VALUE"""),"")</f>
        <v/>
      </c>
      <c r="B21834" s="87"/>
      <c r="C21834" s="87"/>
      <c r="D21834" s="87"/>
      <c r="E21834" s="87"/>
      <c r="F21834" s="87"/>
      <c r="G21834" s="87"/>
    </row>
    <row r="21835">
      <c r="A21835" s="86" t="str">
        <f>IFERROR(__xludf.DUMMYFUNCTION("""COMPUTED_VALUE"""),"")</f>
        <v/>
      </c>
      <c r="B21835" s="87"/>
      <c r="C21835" s="87"/>
      <c r="D21835" s="87"/>
      <c r="E21835" s="87"/>
      <c r="F21835" s="87"/>
      <c r="G21835" s="87"/>
    </row>
    <row r="21836">
      <c r="A21836" s="86" t="str">
        <f>IFERROR(__xludf.DUMMYFUNCTION("""COMPUTED_VALUE"""),"")</f>
        <v/>
      </c>
      <c r="B21836" s="87"/>
      <c r="C21836" s="87"/>
      <c r="D21836" s="87"/>
      <c r="E21836" s="87"/>
      <c r="F21836" s="87"/>
      <c r="G21836" s="87"/>
    </row>
    <row r="21837">
      <c r="A21837" s="86" t="str">
        <f>IFERROR(__xludf.DUMMYFUNCTION("""COMPUTED_VALUE"""),"")</f>
        <v/>
      </c>
      <c r="B21837" s="87"/>
      <c r="C21837" s="87"/>
      <c r="D21837" s="87"/>
      <c r="E21837" s="87"/>
      <c r="F21837" s="87"/>
      <c r="G21837" s="87"/>
    </row>
    <row r="21838">
      <c r="A21838" s="86" t="str">
        <f>IFERROR(__xludf.DUMMYFUNCTION("""COMPUTED_VALUE"""),"")</f>
        <v/>
      </c>
      <c r="B21838" s="87"/>
      <c r="C21838" s="87"/>
      <c r="D21838" s="87"/>
      <c r="E21838" s="87"/>
      <c r="F21838" s="87"/>
      <c r="G21838" s="87"/>
    </row>
    <row r="21839">
      <c r="A21839" s="86" t="str">
        <f>IFERROR(__xludf.DUMMYFUNCTION("""COMPUTED_VALUE"""),"")</f>
        <v/>
      </c>
      <c r="B21839" s="87"/>
      <c r="C21839" s="87"/>
      <c r="D21839" s="87"/>
      <c r="E21839" s="87"/>
      <c r="F21839" s="87"/>
      <c r="G21839" s="87"/>
    </row>
    <row r="21840">
      <c r="A21840" s="86" t="str">
        <f>IFERROR(__xludf.DUMMYFUNCTION("""COMPUTED_VALUE"""),"")</f>
        <v/>
      </c>
      <c r="B21840" s="87"/>
      <c r="C21840" s="87"/>
      <c r="D21840" s="87"/>
      <c r="E21840" s="87"/>
      <c r="F21840" s="87"/>
      <c r="G21840" s="87"/>
    </row>
    <row r="21841">
      <c r="A21841" s="86" t="str">
        <f>IFERROR(__xludf.DUMMYFUNCTION("""COMPUTED_VALUE"""),"")</f>
        <v/>
      </c>
      <c r="B21841" s="87"/>
      <c r="C21841" s="87"/>
      <c r="D21841" s="87"/>
      <c r="E21841" s="87"/>
      <c r="F21841" s="87"/>
      <c r="G21841" s="87"/>
    </row>
    <row r="21842">
      <c r="A21842" s="86" t="str">
        <f>IFERROR(__xludf.DUMMYFUNCTION("""COMPUTED_VALUE"""),"")</f>
        <v/>
      </c>
      <c r="B21842" s="87"/>
      <c r="C21842" s="87"/>
      <c r="D21842" s="87"/>
      <c r="E21842" s="87"/>
      <c r="F21842" s="87"/>
      <c r="G21842" s="87"/>
    </row>
    <row r="21843">
      <c r="A21843" s="86" t="str">
        <f>IFERROR(__xludf.DUMMYFUNCTION("""COMPUTED_VALUE"""),"")</f>
        <v/>
      </c>
      <c r="B21843" s="87"/>
      <c r="C21843" s="87"/>
      <c r="D21843" s="87"/>
      <c r="E21843" s="87"/>
      <c r="F21843" s="87"/>
      <c r="G21843" s="87"/>
    </row>
    <row r="21844">
      <c r="A21844" s="86" t="str">
        <f>IFERROR(__xludf.DUMMYFUNCTION("""COMPUTED_VALUE"""),"")</f>
        <v/>
      </c>
      <c r="B21844" s="87"/>
      <c r="C21844" s="87"/>
      <c r="D21844" s="87"/>
      <c r="E21844" s="87"/>
      <c r="F21844" s="87"/>
      <c r="G21844" s="87"/>
    </row>
    <row r="21845">
      <c r="A21845" s="86" t="str">
        <f>IFERROR(__xludf.DUMMYFUNCTION("""COMPUTED_VALUE"""),"")</f>
        <v/>
      </c>
      <c r="B21845" s="87"/>
      <c r="C21845" s="87"/>
      <c r="D21845" s="87"/>
      <c r="E21845" s="87"/>
      <c r="F21845" s="87"/>
      <c r="G21845" s="87"/>
    </row>
    <row r="21846">
      <c r="A21846" s="86" t="str">
        <f>IFERROR(__xludf.DUMMYFUNCTION("""COMPUTED_VALUE"""),"")</f>
        <v/>
      </c>
      <c r="B21846" s="87"/>
      <c r="C21846" s="87"/>
      <c r="D21846" s="87"/>
      <c r="E21846" s="87"/>
      <c r="F21846" s="87"/>
      <c r="G21846" s="87"/>
    </row>
    <row r="21847">
      <c r="A21847" s="86" t="str">
        <f>IFERROR(__xludf.DUMMYFUNCTION("""COMPUTED_VALUE"""),"")</f>
        <v/>
      </c>
      <c r="B21847" s="87"/>
      <c r="C21847" s="87"/>
      <c r="D21847" s="87"/>
      <c r="E21847" s="87"/>
      <c r="F21847" s="87"/>
      <c r="G21847" s="87"/>
    </row>
    <row r="21848">
      <c r="A21848" s="86" t="str">
        <f>IFERROR(__xludf.DUMMYFUNCTION("""COMPUTED_VALUE"""),"")</f>
        <v/>
      </c>
      <c r="B21848" s="87"/>
      <c r="C21848" s="87"/>
      <c r="D21848" s="87"/>
      <c r="E21848" s="87"/>
      <c r="F21848" s="87"/>
      <c r="G21848" s="87"/>
    </row>
    <row r="21849">
      <c r="A21849" s="86" t="str">
        <f>IFERROR(__xludf.DUMMYFUNCTION("""COMPUTED_VALUE"""),"")</f>
        <v/>
      </c>
      <c r="B21849" s="87"/>
      <c r="C21849" s="87"/>
      <c r="D21849" s="87"/>
      <c r="E21849" s="87"/>
      <c r="F21849" s="87"/>
      <c r="G21849" s="87"/>
    </row>
    <row r="21850">
      <c r="A21850" s="86" t="str">
        <f>IFERROR(__xludf.DUMMYFUNCTION("""COMPUTED_VALUE"""),"")</f>
        <v/>
      </c>
      <c r="B21850" s="87"/>
      <c r="C21850" s="87"/>
      <c r="D21850" s="87"/>
      <c r="E21850" s="87"/>
      <c r="F21850" s="87"/>
      <c r="G21850" s="87"/>
    </row>
    <row r="21851">
      <c r="A21851" s="86" t="str">
        <f>IFERROR(__xludf.DUMMYFUNCTION("""COMPUTED_VALUE"""),"")</f>
        <v/>
      </c>
      <c r="B21851" s="87"/>
      <c r="C21851" s="87"/>
      <c r="D21851" s="87"/>
      <c r="E21851" s="87"/>
      <c r="F21851" s="87"/>
      <c r="G21851" s="87"/>
    </row>
    <row r="21852">
      <c r="A21852" s="86" t="str">
        <f>IFERROR(__xludf.DUMMYFUNCTION("""COMPUTED_VALUE"""),"")</f>
        <v/>
      </c>
      <c r="B21852" s="87"/>
      <c r="C21852" s="87"/>
      <c r="D21852" s="87"/>
      <c r="E21852" s="87"/>
      <c r="F21852" s="87"/>
      <c r="G21852" s="87"/>
    </row>
    <row r="21853">
      <c r="A21853" s="86" t="str">
        <f>IFERROR(__xludf.DUMMYFUNCTION("""COMPUTED_VALUE"""),"")</f>
        <v/>
      </c>
      <c r="B21853" s="87"/>
      <c r="C21853" s="87"/>
      <c r="D21853" s="87"/>
      <c r="E21853" s="87"/>
      <c r="F21853" s="87"/>
      <c r="G21853" s="87"/>
    </row>
    <row r="21854">
      <c r="A21854" s="86" t="str">
        <f>IFERROR(__xludf.DUMMYFUNCTION("""COMPUTED_VALUE"""),"")</f>
        <v/>
      </c>
      <c r="B21854" s="87"/>
      <c r="C21854" s="87"/>
      <c r="D21854" s="87"/>
      <c r="E21854" s="87"/>
      <c r="F21854" s="87"/>
      <c r="G21854" s="87"/>
    </row>
    <row r="21855">
      <c r="A21855" s="86" t="str">
        <f>IFERROR(__xludf.DUMMYFUNCTION("""COMPUTED_VALUE"""),"")</f>
        <v/>
      </c>
      <c r="B21855" s="87"/>
      <c r="C21855" s="87"/>
      <c r="D21855" s="87"/>
      <c r="E21855" s="87"/>
      <c r="F21855" s="87"/>
      <c r="G21855" s="87"/>
    </row>
    <row r="21856">
      <c r="A21856" s="86" t="str">
        <f>IFERROR(__xludf.DUMMYFUNCTION("""COMPUTED_VALUE"""),"")</f>
        <v/>
      </c>
      <c r="B21856" s="87"/>
      <c r="C21856" s="87"/>
      <c r="D21856" s="87"/>
      <c r="E21856" s="87"/>
      <c r="F21856" s="87"/>
      <c r="G21856" s="87"/>
    </row>
    <row r="21857">
      <c r="A21857" s="86" t="str">
        <f>IFERROR(__xludf.DUMMYFUNCTION("""COMPUTED_VALUE"""),"")</f>
        <v/>
      </c>
      <c r="B21857" s="87"/>
      <c r="C21857" s="87"/>
      <c r="D21857" s="87"/>
      <c r="E21857" s="87"/>
      <c r="F21857" s="87"/>
      <c r="G21857" s="87"/>
    </row>
    <row r="21858">
      <c r="A21858" s="86" t="str">
        <f>IFERROR(__xludf.DUMMYFUNCTION("""COMPUTED_VALUE"""),"")</f>
        <v/>
      </c>
      <c r="B21858" s="87"/>
      <c r="C21858" s="87"/>
      <c r="D21858" s="87"/>
      <c r="E21858" s="87"/>
      <c r="F21858" s="87"/>
      <c r="G21858" s="87"/>
    </row>
    <row r="21859">
      <c r="A21859" s="86" t="str">
        <f>IFERROR(__xludf.DUMMYFUNCTION("""COMPUTED_VALUE"""),"")</f>
        <v/>
      </c>
      <c r="B21859" s="87"/>
      <c r="C21859" s="87"/>
      <c r="D21859" s="87"/>
      <c r="E21859" s="87"/>
      <c r="F21859" s="87"/>
      <c r="G21859" s="87"/>
    </row>
    <row r="21860">
      <c r="A21860" s="86" t="str">
        <f>IFERROR(__xludf.DUMMYFUNCTION("""COMPUTED_VALUE"""),"")</f>
        <v/>
      </c>
      <c r="B21860" s="87"/>
      <c r="C21860" s="87"/>
      <c r="D21860" s="87"/>
      <c r="E21860" s="87"/>
      <c r="F21860" s="87"/>
      <c r="G21860" s="87"/>
    </row>
    <row r="21861">
      <c r="A21861" s="86" t="str">
        <f>IFERROR(__xludf.DUMMYFUNCTION("""COMPUTED_VALUE"""),"")</f>
        <v/>
      </c>
      <c r="B21861" s="87"/>
      <c r="C21861" s="87"/>
      <c r="D21861" s="87"/>
      <c r="E21861" s="87"/>
      <c r="F21861" s="87"/>
      <c r="G21861" s="87"/>
    </row>
    <row r="21862">
      <c r="A21862" s="86" t="str">
        <f>IFERROR(__xludf.DUMMYFUNCTION("""COMPUTED_VALUE"""),"")</f>
        <v/>
      </c>
      <c r="B21862" s="87"/>
      <c r="C21862" s="87"/>
      <c r="D21862" s="87"/>
      <c r="E21862" s="87"/>
      <c r="F21862" s="87"/>
      <c r="G21862" s="87"/>
    </row>
    <row r="21863">
      <c r="A21863" s="86" t="str">
        <f>IFERROR(__xludf.DUMMYFUNCTION("""COMPUTED_VALUE"""),"")</f>
        <v/>
      </c>
      <c r="B21863" s="87"/>
      <c r="C21863" s="87"/>
      <c r="D21863" s="87"/>
      <c r="E21863" s="87"/>
      <c r="F21863" s="87"/>
      <c r="G21863" s="87"/>
    </row>
    <row r="21864">
      <c r="A21864" s="86" t="str">
        <f>IFERROR(__xludf.DUMMYFUNCTION("""COMPUTED_VALUE"""),"")</f>
        <v/>
      </c>
      <c r="B21864" s="87"/>
      <c r="C21864" s="87"/>
      <c r="D21864" s="87"/>
      <c r="E21864" s="87"/>
      <c r="F21864" s="87"/>
      <c r="G21864" s="87"/>
    </row>
    <row r="21865">
      <c r="A21865" s="86" t="str">
        <f>IFERROR(__xludf.DUMMYFUNCTION("""COMPUTED_VALUE"""),"")</f>
        <v/>
      </c>
      <c r="B21865" s="87"/>
      <c r="C21865" s="87"/>
      <c r="D21865" s="87"/>
      <c r="E21865" s="87"/>
      <c r="F21865" s="87"/>
      <c r="G21865" s="87"/>
    </row>
    <row r="21866">
      <c r="A21866" s="86" t="str">
        <f>IFERROR(__xludf.DUMMYFUNCTION("""COMPUTED_VALUE"""),"")</f>
        <v/>
      </c>
      <c r="B21866" s="87"/>
      <c r="C21866" s="87"/>
      <c r="D21866" s="87"/>
      <c r="E21866" s="87"/>
      <c r="F21866" s="87"/>
      <c r="G21866" s="87"/>
    </row>
    <row r="21867">
      <c r="A21867" s="86" t="str">
        <f>IFERROR(__xludf.DUMMYFUNCTION("""COMPUTED_VALUE"""),"")</f>
        <v/>
      </c>
      <c r="B21867" s="87"/>
      <c r="C21867" s="87"/>
      <c r="D21867" s="87"/>
      <c r="E21867" s="87"/>
      <c r="F21867" s="87"/>
      <c r="G21867" s="87"/>
    </row>
    <row r="21868">
      <c r="A21868" s="86" t="str">
        <f>IFERROR(__xludf.DUMMYFUNCTION("""COMPUTED_VALUE"""),"")</f>
        <v/>
      </c>
      <c r="B21868" s="87"/>
      <c r="C21868" s="87"/>
      <c r="D21868" s="87"/>
      <c r="E21868" s="87"/>
      <c r="F21868" s="87"/>
      <c r="G21868" s="87"/>
    </row>
    <row r="21869">
      <c r="A21869" s="86" t="str">
        <f>IFERROR(__xludf.DUMMYFUNCTION("""COMPUTED_VALUE"""),"")</f>
        <v/>
      </c>
      <c r="B21869" s="87"/>
      <c r="C21869" s="87"/>
      <c r="D21869" s="87"/>
      <c r="E21869" s="87"/>
      <c r="F21869" s="87"/>
      <c r="G21869" s="87"/>
    </row>
    <row r="21870">
      <c r="A21870" s="86" t="str">
        <f>IFERROR(__xludf.DUMMYFUNCTION("""COMPUTED_VALUE"""),"")</f>
        <v/>
      </c>
      <c r="B21870" s="87"/>
      <c r="C21870" s="87"/>
      <c r="D21870" s="87"/>
      <c r="E21870" s="87"/>
      <c r="F21870" s="87"/>
      <c r="G21870" s="87"/>
    </row>
    <row r="21871">
      <c r="A21871" s="86" t="str">
        <f>IFERROR(__xludf.DUMMYFUNCTION("""COMPUTED_VALUE"""),"")</f>
        <v/>
      </c>
      <c r="B21871" s="87"/>
      <c r="C21871" s="87"/>
      <c r="D21871" s="87"/>
      <c r="E21871" s="87"/>
      <c r="F21871" s="87"/>
      <c r="G21871" s="87"/>
    </row>
    <row r="21872">
      <c r="A21872" s="86" t="str">
        <f>IFERROR(__xludf.DUMMYFUNCTION("""COMPUTED_VALUE"""),"")</f>
        <v/>
      </c>
      <c r="B21872" s="87"/>
      <c r="C21872" s="87"/>
      <c r="D21872" s="87"/>
      <c r="E21872" s="87"/>
      <c r="F21872" s="87"/>
      <c r="G21872" s="87"/>
    </row>
    <row r="21873">
      <c r="A21873" s="86" t="str">
        <f>IFERROR(__xludf.DUMMYFUNCTION("""COMPUTED_VALUE"""),"")</f>
        <v/>
      </c>
      <c r="B21873" s="87"/>
      <c r="C21873" s="87"/>
      <c r="D21873" s="87"/>
      <c r="E21873" s="87"/>
      <c r="F21873" s="87"/>
      <c r="G21873" s="87"/>
    </row>
    <row r="21874">
      <c r="A21874" s="86" t="str">
        <f>IFERROR(__xludf.DUMMYFUNCTION("""COMPUTED_VALUE"""),"")</f>
        <v/>
      </c>
      <c r="B21874" s="87"/>
      <c r="C21874" s="87"/>
      <c r="D21874" s="87"/>
      <c r="E21874" s="87"/>
      <c r="F21874" s="87"/>
      <c r="G21874" s="87"/>
    </row>
    <row r="21875">
      <c r="A21875" s="86" t="str">
        <f>IFERROR(__xludf.DUMMYFUNCTION("""COMPUTED_VALUE"""),"")</f>
        <v/>
      </c>
      <c r="B21875" s="87"/>
      <c r="C21875" s="87"/>
      <c r="D21875" s="87"/>
      <c r="E21875" s="87"/>
      <c r="F21875" s="87"/>
      <c r="G21875" s="87"/>
    </row>
    <row r="21876">
      <c r="A21876" s="86" t="str">
        <f>IFERROR(__xludf.DUMMYFUNCTION("""COMPUTED_VALUE"""),"")</f>
        <v/>
      </c>
      <c r="B21876" s="87"/>
      <c r="C21876" s="87"/>
      <c r="D21876" s="87"/>
      <c r="E21876" s="87"/>
      <c r="F21876" s="87"/>
      <c r="G21876" s="87"/>
    </row>
    <row r="21877">
      <c r="A21877" s="86" t="str">
        <f>IFERROR(__xludf.DUMMYFUNCTION("""COMPUTED_VALUE"""),"")</f>
        <v/>
      </c>
      <c r="B21877" s="87"/>
      <c r="C21877" s="87"/>
      <c r="D21877" s="87"/>
      <c r="E21877" s="87"/>
      <c r="F21877" s="87"/>
      <c r="G21877" s="87"/>
    </row>
    <row r="21878">
      <c r="A21878" s="86" t="str">
        <f>IFERROR(__xludf.DUMMYFUNCTION("""COMPUTED_VALUE"""),"")</f>
        <v/>
      </c>
      <c r="B21878" s="87"/>
      <c r="C21878" s="87"/>
      <c r="D21878" s="87"/>
      <c r="E21878" s="87"/>
      <c r="F21878" s="87"/>
      <c r="G21878" s="87"/>
    </row>
    <row r="21879">
      <c r="A21879" s="86" t="str">
        <f>IFERROR(__xludf.DUMMYFUNCTION("""COMPUTED_VALUE"""),"")</f>
        <v/>
      </c>
      <c r="B21879" s="87"/>
      <c r="C21879" s="87"/>
      <c r="D21879" s="87"/>
      <c r="E21879" s="87"/>
      <c r="F21879" s="87"/>
      <c r="G21879" s="87"/>
    </row>
    <row r="21880">
      <c r="A21880" s="86" t="str">
        <f>IFERROR(__xludf.DUMMYFUNCTION("""COMPUTED_VALUE"""),"")</f>
        <v/>
      </c>
      <c r="B21880" s="87"/>
      <c r="C21880" s="87"/>
      <c r="D21880" s="87"/>
      <c r="E21880" s="87"/>
      <c r="F21880" s="87"/>
      <c r="G21880" s="87"/>
    </row>
    <row r="21881">
      <c r="A21881" s="86" t="str">
        <f>IFERROR(__xludf.DUMMYFUNCTION("""COMPUTED_VALUE"""),"")</f>
        <v/>
      </c>
      <c r="B21881" s="87"/>
      <c r="C21881" s="87"/>
      <c r="D21881" s="87"/>
      <c r="E21881" s="87"/>
      <c r="F21881" s="87"/>
      <c r="G21881" s="87"/>
    </row>
    <row r="21882">
      <c r="A21882" s="86" t="str">
        <f>IFERROR(__xludf.DUMMYFUNCTION("""COMPUTED_VALUE"""),"")</f>
        <v/>
      </c>
      <c r="B21882" s="87"/>
      <c r="C21882" s="87"/>
      <c r="D21882" s="87"/>
      <c r="E21882" s="87"/>
      <c r="F21882" s="87"/>
      <c r="G21882" s="87"/>
    </row>
    <row r="21883">
      <c r="A21883" s="86" t="str">
        <f>IFERROR(__xludf.DUMMYFUNCTION("""COMPUTED_VALUE"""),"")</f>
        <v/>
      </c>
      <c r="B21883" s="87"/>
      <c r="C21883" s="87"/>
      <c r="D21883" s="87"/>
      <c r="E21883" s="87"/>
      <c r="F21883" s="87"/>
      <c r="G21883" s="87"/>
    </row>
    <row r="21884">
      <c r="A21884" s="86" t="str">
        <f>IFERROR(__xludf.DUMMYFUNCTION("""COMPUTED_VALUE"""),"")</f>
        <v/>
      </c>
      <c r="B21884" s="87"/>
      <c r="C21884" s="87"/>
      <c r="D21884" s="87"/>
      <c r="E21884" s="87"/>
      <c r="F21884" s="87"/>
      <c r="G21884" s="87"/>
    </row>
    <row r="21885">
      <c r="A21885" s="86" t="str">
        <f>IFERROR(__xludf.DUMMYFUNCTION("""COMPUTED_VALUE"""),"")</f>
        <v/>
      </c>
      <c r="B21885" s="87"/>
      <c r="C21885" s="87"/>
      <c r="D21885" s="87"/>
      <c r="E21885" s="87"/>
      <c r="F21885" s="87"/>
      <c r="G21885" s="87"/>
    </row>
    <row r="21886">
      <c r="A21886" s="86" t="str">
        <f>IFERROR(__xludf.DUMMYFUNCTION("""COMPUTED_VALUE"""),"")</f>
        <v/>
      </c>
      <c r="B21886" s="87"/>
      <c r="C21886" s="87"/>
      <c r="D21886" s="87"/>
      <c r="E21886" s="87"/>
      <c r="F21886" s="87"/>
      <c r="G21886" s="87"/>
    </row>
    <row r="21887">
      <c r="A21887" s="86" t="str">
        <f>IFERROR(__xludf.DUMMYFUNCTION("""COMPUTED_VALUE"""),"")</f>
        <v/>
      </c>
      <c r="B21887" s="87"/>
      <c r="C21887" s="87"/>
      <c r="D21887" s="87"/>
      <c r="E21887" s="87"/>
      <c r="F21887" s="87"/>
      <c r="G21887" s="87"/>
    </row>
    <row r="21888">
      <c r="A21888" s="86" t="str">
        <f>IFERROR(__xludf.DUMMYFUNCTION("""COMPUTED_VALUE"""),"")</f>
        <v/>
      </c>
      <c r="B21888" s="87"/>
      <c r="C21888" s="87"/>
      <c r="D21888" s="87"/>
      <c r="E21888" s="87"/>
      <c r="F21888" s="87"/>
      <c r="G21888" s="87"/>
    </row>
    <row r="21889">
      <c r="A21889" s="86" t="str">
        <f>IFERROR(__xludf.DUMMYFUNCTION("""COMPUTED_VALUE"""),"")</f>
        <v/>
      </c>
      <c r="B21889" s="87"/>
      <c r="C21889" s="87"/>
      <c r="D21889" s="87"/>
      <c r="E21889" s="87"/>
      <c r="F21889" s="87"/>
      <c r="G21889" s="87"/>
    </row>
    <row r="21890">
      <c r="A21890" s="86" t="str">
        <f>IFERROR(__xludf.DUMMYFUNCTION("""COMPUTED_VALUE"""),"")</f>
        <v/>
      </c>
      <c r="B21890" s="87"/>
      <c r="C21890" s="87"/>
      <c r="D21890" s="87"/>
      <c r="E21890" s="87"/>
      <c r="F21890" s="87"/>
      <c r="G21890" s="87"/>
    </row>
    <row r="21891">
      <c r="A21891" s="86" t="str">
        <f>IFERROR(__xludf.DUMMYFUNCTION("""COMPUTED_VALUE"""),"")</f>
        <v/>
      </c>
      <c r="B21891" s="87"/>
      <c r="C21891" s="87"/>
      <c r="D21891" s="87"/>
      <c r="E21891" s="87"/>
      <c r="F21891" s="87"/>
      <c r="G21891" s="87"/>
    </row>
    <row r="21892">
      <c r="A21892" s="86" t="str">
        <f>IFERROR(__xludf.DUMMYFUNCTION("""COMPUTED_VALUE"""),"")</f>
        <v/>
      </c>
      <c r="B21892" s="87"/>
      <c r="C21892" s="87"/>
      <c r="D21892" s="87"/>
      <c r="E21892" s="87"/>
      <c r="F21892" s="87"/>
      <c r="G21892" s="87"/>
    </row>
    <row r="21893">
      <c r="A21893" s="86" t="str">
        <f>IFERROR(__xludf.DUMMYFUNCTION("""COMPUTED_VALUE"""),"")</f>
        <v/>
      </c>
      <c r="B21893" s="87"/>
      <c r="C21893" s="87"/>
      <c r="D21893" s="87"/>
      <c r="E21893" s="87"/>
      <c r="F21893" s="87"/>
      <c r="G21893" s="87"/>
    </row>
    <row r="21894">
      <c r="A21894" s="86" t="str">
        <f>IFERROR(__xludf.DUMMYFUNCTION("""COMPUTED_VALUE"""),"")</f>
        <v/>
      </c>
      <c r="B21894" s="87"/>
      <c r="C21894" s="87"/>
      <c r="D21894" s="87"/>
      <c r="E21894" s="87"/>
      <c r="F21894" s="87"/>
      <c r="G21894" s="87"/>
    </row>
    <row r="21895">
      <c r="A21895" s="86" t="str">
        <f>IFERROR(__xludf.DUMMYFUNCTION("""COMPUTED_VALUE"""),"")</f>
        <v/>
      </c>
      <c r="B21895" s="87"/>
      <c r="C21895" s="87"/>
      <c r="D21895" s="87"/>
      <c r="E21895" s="87"/>
      <c r="F21895" s="87"/>
      <c r="G21895" s="87"/>
    </row>
    <row r="21896">
      <c r="A21896" s="86" t="str">
        <f>IFERROR(__xludf.DUMMYFUNCTION("""COMPUTED_VALUE"""),"")</f>
        <v/>
      </c>
      <c r="B21896" s="87"/>
      <c r="C21896" s="87"/>
      <c r="D21896" s="87"/>
      <c r="E21896" s="87"/>
      <c r="F21896" s="87"/>
      <c r="G21896" s="87"/>
    </row>
    <row r="21897">
      <c r="A21897" s="86" t="str">
        <f>IFERROR(__xludf.DUMMYFUNCTION("""COMPUTED_VALUE"""),"")</f>
        <v/>
      </c>
      <c r="B21897" s="87"/>
      <c r="C21897" s="87"/>
      <c r="D21897" s="87"/>
      <c r="E21897" s="87"/>
      <c r="F21897" s="87"/>
      <c r="G21897" s="87"/>
    </row>
    <row r="21898">
      <c r="A21898" s="86" t="str">
        <f>IFERROR(__xludf.DUMMYFUNCTION("""COMPUTED_VALUE"""),"")</f>
        <v/>
      </c>
      <c r="B21898" s="87"/>
      <c r="C21898" s="87"/>
      <c r="D21898" s="87"/>
      <c r="E21898" s="87"/>
      <c r="F21898" s="87"/>
      <c r="G21898" s="87"/>
    </row>
    <row r="21899">
      <c r="A21899" s="86" t="str">
        <f>IFERROR(__xludf.DUMMYFUNCTION("""COMPUTED_VALUE"""),"")</f>
        <v/>
      </c>
      <c r="B21899" s="87"/>
      <c r="C21899" s="87"/>
      <c r="D21899" s="87"/>
      <c r="E21899" s="87"/>
      <c r="F21899" s="87"/>
      <c r="G21899" s="87"/>
    </row>
    <row r="21900">
      <c r="A21900" s="86" t="str">
        <f>IFERROR(__xludf.DUMMYFUNCTION("""COMPUTED_VALUE"""),"")</f>
        <v/>
      </c>
      <c r="B21900" s="87"/>
      <c r="C21900" s="87"/>
      <c r="D21900" s="87"/>
      <c r="E21900" s="87"/>
      <c r="F21900" s="87"/>
      <c r="G21900" s="87"/>
    </row>
    <row r="21901">
      <c r="A21901" s="86" t="str">
        <f>IFERROR(__xludf.DUMMYFUNCTION("""COMPUTED_VALUE"""),"")</f>
        <v/>
      </c>
      <c r="B21901" s="87"/>
      <c r="C21901" s="87"/>
      <c r="D21901" s="87"/>
      <c r="E21901" s="87"/>
      <c r="F21901" s="87"/>
      <c r="G21901" s="87"/>
    </row>
    <row r="21902">
      <c r="A21902" s="86" t="str">
        <f>IFERROR(__xludf.DUMMYFUNCTION("""COMPUTED_VALUE"""),"")</f>
        <v/>
      </c>
      <c r="B21902" s="87"/>
      <c r="C21902" s="87"/>
      <c r="D21902" s="87"/>
      <c r="E21902" s="87"/>
      <c r="F21902" s="87"/>
      <c r="G21902" s="87"/>
    </row>
    <row r="21903">
      <c r="A21903" s="86" t="str">
        <f>IFERROR(__xludf.DUMMYFUNCTION("""COMPUTED_VALUE"""),"")</f>
        <v/>
      </c>
      <c r="B21903" s="87"/>
      <c r="C21903" s="87"/>
      <c r="D21903" s="87"/>
      <c r="E21903" s="87"/>
      <c r="F21903" s="87"/>
      <c r="G21903" s="87"/>
    </row>
    <row r="21904">
      <c r="A21904" s="86" t="str">
        <f>IFERROR(__xludf.DUMMYFUNCTION("""COMPUTED_VALUE"""),"")</f>
        <v/>
      </c>
      <c r="B21904" s="87"/>
      <c r="C21904" s="87"/>
      <c r="D21904" s="87"/>
      <c r="E21904" s="87"/>
      <c r="F21904" s="87"/>
      <c r="G21904" s="87"/>
    </row>
    <row r="21905">
      <c r="A21905" s="86" t="str">
        <f>IFERROR(__xludf.DUMMYFUNCTION("""COMPUTED_VALUE"""),"")</f>
        <v/>
      </c>
      <c r="B21905" s="87"/>
      <c r="C21905" s="87"/>
      <c r="D21905" s="87"/>
      <c r="E21905" s="87"/>
      <c r="F21905" s="87"/>
      <c r="G21905" s="87"/>
    </row>
    <row r="21906">
      <c r="A21906" s="86" t="str">
        <f>IFERROR(__xludf.DUMMYFUNCTION("""COMPUTED_VALUE"""),"")</f>
        <v/>
      </c>
      <c r="B21906" s="87"/>
      <c r="C21906" s="87"/>
      <c r="D21906" s="87"/>
      <c r="E21906" s="87"/>
      <c r="F21906" s="87"/>
      <c r="G21906" s="87"/>
    </row>
    <row r="21907">
      <c r="A21907" s="86" t="str">
        <f>IFERROR(__xludf.DUMMYFUNCTION("""COMPUTED_VALUE"""),"")</f>
        <v/>
      </c>
      <c r="B21907" s="87"/>
      <c r="C21907" s="87"/>
      <c r="D21907" s="87"/>
      <c r="E21907" s="87"/>
      <c r="F21907" s="87"/>
      <c r="G21907" s="87"/>
    </row>
    <row r="21908">
      <c r="A21908" s="86" t="str">
        <f>IFERROR(__xludf.DUMMYFUNCTION("""COMPUTED_VALUE"""),"")</f>
        <v/>
      </c>
      <c r="B21908" s="87"/>
      <c r="C21908" s="87"/>
      <c r="D21908" s="87"/>
      <c r="E21908" s="87"/>
      <c r="F21908" s="87"/>
      <c r="G21908" s="87"/>
    </row>
    <row r="21909">
      <c r="A21909" s="86" t="str">
        <f>IFERROR(__xludf.DUMMYFUNCTION("""COMPUTED_VALUE"""),"")</f>
        <v/>
      </c>
      <c r="B21909" s="87"/>
      <c r="C21909" s="87"/>
      <c r="D21909" s="87"/>
      <c r="E21909" s="87"/>
      <c r="F21909" s="87"/>
      <c r="G21909" s="87"/>
    </row>
    <row r="21910">
      <c r="A21910" s="86" t="str">
        <f>IFERROR(__xludf.DUMMYFUNCTION("""COMPUTED_VALUE"""),"")</f>
        <v/>
      </c>
      <c r="B21910" s="87"/>
      <c r="C21910" s="87"/>
      <c r="D21910" s="87"/>
      <c r="E21910" s="87"/>
      <c r="F21910" s="87"/>
      <c r="G21910" s="87"/>
    </row>
    <row r="21911">
      <c r="A21911" s="86" t="str">
        <f>IFERROR(__xludf.DUMMYFUNCTION("""COMPUTED_VALUE"""),"")</f>
        <v/>
      </c>
      <c r="B21911" s="87"/>
      <c r="C21911" s="87"/>
      <c r="D21911" s="87"/>
      <c r="E21911" s="87"/>
      <c r="F21911" s="87"/>
      <c r="G21911" s="87"/>
    </row>
    <row r="21912">
      <c r="A21912" s="86" t="str">
        <f>IFERROR(__xludf.DUMMYFUNCTION("""COMPUTED_VALUE"""),"")</f>
        <v/>
      </c>
      <c r="B21912" s="87"/>
      <c r="C21912" s="87"/>
      <c r="D21912" s="87"/>
      <c r="E21912" s="87"/>
      <c r="F21912" s="87"/>
      <c r="G21912" s="87"/>
    </row>
    <row r="21913">
      <c r="A21913" s="86" t="str">
        <f>IFERROR(__xludf.DUMMYFUNCTION("""COMPUTED_VALUE"""),"")</f>
        <v/>
      </c>
      <c r="B21913" s="87"/>
      <c r="C21913" s="87"/>
      <c r="D21913" s="87"/>
      <c r="E21913" s="87"/>
      <c r="F21913" s="87"/>
      <c r="G21913" s="87"/>
    </row>
    <row r="21914">
      <c r="A21914" s="86" t="str">
        <f>IFERROR(__xludf.DUMMYFUNCTION("""COMPUTED_VALUE"""),"")</f>
        <v/>
      </c>
      <c r="B21914" s="87"/>
      <c r="C21914" s="87"/>
      <c r="D21914" s="87"/>
      <c r="E21914" s="87"/>
      <c r="F21914" s="87"/>
      <c r="G21914" s="87"/>
    </row>
    <row r="21915">
      <c r="A21915" s="86" t="str">
        <f>IFERROR(__xludf.DUMMYFUNCTION("""COMPUTED_VALUE"""),"")</f>
        <v/>
      </c>
      <c r="B21915" s="87"/>
      <c r="C21915" s="87"/>
      <c r="D21915" s="87"/>
      <c r="E21915" s="87"/>
      <c r="F21915" s="87"/>
      <c r="G21915" s="87"/>
    </row>
    <row r="21916">
      <c r="A21916" s="86" t="str">
        <f>IFERROR(__xludf.DUMMYFUNCTION("""COMPUTED_VALUE"""),"")</f>
        <v/>
      </c>
      <c r="B21916" s="87"/>
      <c r="C21916" s="87"/>
      <c r="D21916" s="87"/>
      <c r="E21916" s="87"/>
      <c r="F21916" s="87"/>
      <c r="G21916" s="87"/>
    </row>
    <row r="21917">
      <c r="A21917" s="86" t="str">
        <f>IFERROR(__xludf.DUMMYFUNCTION("""COMPUTED_VALUE"""),"")</f>
        <v/>
      </c>
      <c r="B21917" s="87"/>
      <c r="C21917" s="87"/>
      <c r="D21917" s="87"/>
      <c r="E21917" s="87"/>
      <c r="F21917" s="87"/>
      <c r="G21917" s="87"/>
    </row>
    <row r="21918">
      <c r="A21918" s="86" t="str">
        <f>IFERROR(__xludf.DUMMYFUNCTION("""COMPUTED_VALUE"""),"")</f>
        <v/>
      </c>
      <c r="B21918" s="87"/>
      <c r="C21918" s="87"/>
      <c r="D21918" s="87"/>
      <c r="E21918" s="87"/>
      <c r="F21918" s="87"/>
      <c r="G21918" s="87"/>
    </row>
    <row r="21919">
      <c r="A21919" s="86" t="str">
        <f>IFERROR(__xludf.DUMMYFUNCTION("""COMPUTED_VALUE"""),"")</f>
        <v/>
      </c>
      <c r="B21919" s="87"/>
      <c r="C21919" s="87"/>
      <c r="D21919" s="87"/>
      <c r="E21919" s="87"/>
      <c r="F21919" s="87"/>
      <c r="G21919" s="87"/>
    </row>
    <row r="21920">
      <c r="A21920" s="86" t="str">
        <f>IFERROR(__xludf.DUMMYFUNCTION("""COMPUTED_VALUE"""),"")</f>
        <v/>
      </c>
      <c r="B21920" s="87"/>
      <c r="C21920" s="87"/>
      <c r="D21920" s="87"/>
      <c r="E21920" s="87"/>
      <c r="F21920" s="87"/>
      <c r="G21920" s="87"/>
    </row>
    <row r="21921">
      <c r="A21921" s="86" t="str">
        <f>IFERROR(__xludf.DUMMYFUNCTION("""COMPUTED_VALUE"""),"")</f>
        <v/>
      </c>
      <c r="B21921" s="87"/>
      <c r="C21921" s="87"/>
      <c r="D21921" s="87"/>
      <c r="E21921" s="87"/>
      <c r="F21921" s="87"/>
      <c r="G21921" s="87"/>
    </row>
    <row r="21922">
      <c r="A21922" s="86" t="str">
        <f>IFERROR(__xludf.DUMMYFUNCTION("""COMPUTED_VALUE"""),"")</f>
        <v/>
      </c>
      <c r="B21922" s="87"/>
      <c r="C21922" s="87"/>
      <c r="D21922" s="87"/>
      <c r="E21922" s="87"/>
      <c r="F21922" s="87"/>
      <c r="G21922" s="87"/>
    </row>
    <row r="21923">
      <c r="A21923" s="86" t="str">
        <f>IFERROR(__xludf.DUMMYFUNCTION("""COMPUTED_VALUE"""),"")</f>
        <v/>
      </c>
      <c r="B21923" s="87"/>
      <c r="C21923" s="87"/>
      <c r="D21923" s="87"/>
      <c r="E21923" s="87"/>
      <c r="F21923" s="87"/>
      <c r="G21923" s="87"/>
    </row>
    <row r="21924">
      <c r="A21924" s="86" t="str">
        <f>IFERROR(__xludf.DUMMYFUNCTION("""COMPUTED_VALUE"""),"")</f>
        <v/>
      </c>
      <c r="B21924" s="87"/>
      <c r="C21924" s="87"/>
      <c r="D21924" s="87"/>
      <c r="E21924" s="87"/>
      <c r="F21924" s="87"/>
      <c r="G21924" s="87"/>
    </row>
    <row r="21925">
      <c r="A21925" s="86" t="str">
        <f>IFERROR(__xludf.DUMMYFUNCTION("""COMPUTED_VALUE"""),"")</f>
        <v/>
      </c>
      <c r="B21925" s="87"/>
      <c r="C21925" s="87"/>
      <c r="D21925" s="87"/>
      <c r="E21925" s="87"/>
      <c r="F21925" s="87"/>
      <c r="G21925" s="87"/>
    </row>
    <row r="21926">
      <c r="A21926" s="86" t="str">
        <f>IFERROR(__xludf.DUMMYFUNCTION("""COMPUTED_VALUE"""),"")</f>
        <v/>
      </c>
      <c r="B21926" s="87"/>
      <c r="C21926" s="87"/>
      <c r="D21926" s="87"/>
      <c r="E21926" s="87"/>
      <c r="F21926" s="87"/>
      <c r="G21926" s="87"/>
    </row>
    <row r="21927">
      <c r="A21927" s="86" t="str">
        <f>IFERROR(__xludf.DUMMYFUNCTION("""COMPUTED_VALUE"""),"")</f>
        <v/>
      </c>
      <c r="B21927" s="87"/>
      <c r="C21927" s="87"/>
      <c r="D21927" s="87"/>
      <c r="E21927" s="87"/>
      <c r="F21927" s="87"/>
      <c r="G21927" s="87"/>
    </row>
    <row r="21928">
      <c r="A21928" s="86" t="str">
        <f>IFERROR(__xludf.DUMMYFUNCTION("""COMPUTED_VALUE"""),"")</f>
        <v/>
      </c>
      <c r="B21928" s="87"/>
      <c r="C21928" s="87"/>
      <c r="D21928" s="87"/>
      <c r="E21928" s="87"/>
      <c r="F21928" s="87"/>
      <c r="G21928" s="87"/>
    </row>
    <row r="21929">
      <c r="A21929" s="86" t="str">
        <f>IFERROR(__xludf.DUMMYFUNCTION("""COMPUTED_VALUE"""),"")</f>
        <v/>
      </c>
      <c r="B21929" s="87"/>
      <c r="C21929" s="87"/>
      <c r="D21929" s="87"/>
      <c r="E21929" s="87"/>
      <c r="F21929" s="87"/>
      <c r="G21929" s="87"/>
    </row>
    <row r="21930">
      <c r="A21930" s="86" t="str">
        <f>IFERROR(__xludf.DUMMYFUNCTION("""COMPUTED_VALUE"""),"")</f>
        <v/>
      </c>
      <c r="B21930" s="87"/>
      <c r="C21930" s="87"/>
      <c r="D21930" s="87"/>
      <c r="E21930" s="87"/>
      <c r="F21930" s="87"/>
      <c r="G21930" s="87"/>
    </row>
    <row r="21931">
      <c r="A21931" s="86" t="str">
        <f>IFERROR(__xludf.DUMMYFUNCTION("""COMPUTED_VALUE"""),"")</f>
        <v/>
      </c>
      <c r="B21931" s="87"/>
      <c r="C21931" s="87"/>
      <c r="D21931" s="87"/>
      <c r="E21931" s="87"/>
      <c r="F21931" s="87"/>
      <c r="G21931" s="87"/>
    </row>
    <row r="21932">
      <c r="A21932" s="86" t="str">
        <f>IFERROR(__xludf.DUMMYFUNCTION("""COMPUTED_VALUE"""),"")</f>
        <v/>
      </c>
      <c r="B21932" s="87"/>
      <c r="C21932" s="87"/>
      <c r="D21932" s="87"/>
      <c r="E21932" s="87"/>
      <c r="F21932" s="87"/>
      <c r="G21932" s="87"/>
    </row>
    <row r="21933">
      <c r="A21933" s="86" t="str">
        <f>IFERROR(__xludf.DUMMYFUNCTION("""COMPUTED_VALUE"""),"")</f>
        <v/>
      </c>
      <c r="B21933" s="87"/>
      <c r="C21933" s="87"/>
      <c r="D21933" s="87"/>
      <c r="E21933" s="87"/>
      <c r="F21933" s="87"/>
      <c r="G21933" s="87"/>
    </row>
    <row r="21934">
      <c r="A21934" s="86" t="str">
        <f>IFERROR(__xludf.DUMMYFUNCTION("""COMPUTED_VALUE"""),"")</f>
        <v/>
      </c>
      <c r="B21934" s="87"/>
      <c r="C21934" s="87"/>
      <c r="D21934" s="87"/>
      <c r="E21934" s="87"/>
      <c r="F21934" s="87"/>
      <c r="G21934" s="87"/>
    </row>
    <row r="21935">
      <c r="A21935" s="86" t="str">
        <f>IFERROR(__xludf.DUMMYFUNCTION("""COMPUTED_VALUE"""),"")</f>
        <v/>
      </c>
      <c r="B21935" s="87"/>
      <c r="C21935" s="87"/>
      <c r="D21935" s="87"/>
      <c r="E21935" s="87"/>
      <c r="F21935" s="87"/>
      <c r="G21935" s="87"/>
    </row>
    <row r="21936">
      <c r="A21936" s="86" t="str">
        <f>IFERROR(__xludf.DUMMYFUNCTION("""COMPUTED_VALUE"""),"")</f>
        <v/>
      </c>
      <c r="B21936" s="87"/>
      <c r="C21936" s="87"/>
      <c r="D21936" s="87"/>
      <c r="E21936" s="87"/>
      <c r="F21936" s="87"/>
      <c r="G21936" s="87"/>
    </row>
    <row r="21937">
      <c r="A21937" s="86" t="str">
        <f>IFERROR(__xludf.DUMMYFUNCTION("""COMPUTED_VALUE"""),"")</f>
        <v/>
      </c>
      <c r="B21937" s="87"/>
      <c r="C21937" s="87"/>
      <c r="D21937" s="87"/>
      <c r="E21937" s="87"/>
      <c r="F21937" s="87"/>
      <c r="G21937" s="87"/>
    </row>
    <row r="21938">
      <c r="A21938" s="86" t="str">
        <f>IFERROR(__xludf.DUMMYFUNCTION("""COMPUTED_VALUE"""),"")</f>
        <v/>
      </c>
      <c r="B21938" s="87"/>
      <c r="C21938" s="87"/>
      <c r="D21938" s="87"/>
      <c r="E21938" s="87"/>
      <c r="F21938" s="87"/>
      <c r="G21938" s="87"/>
    </row>
    <row r="21939">
      <c r="A21939" s="86" t="str">
        <f>IFERROR(__xludf.DUMMYFUNCTION("""COMPUTED_VALUE"""),"")</f>
        <v/>
      </c>
      <c r="B21939" s="87"/>
      <c r="C21939" s="87"/>
      <c r="D21939" s="87"/>
      <c r="E21939" s="87"/>
      <c r="F21939" s="87"/>
      <c r="G21939" s="87"/>
    </row>
    <row r="21940">
      <c r="A21940" s="86" t="str">
        <f>IFERROR(__xludf.DUMMYFUNCTION("""COMPUTED_VALUE"""),"")</f>
        <v/>
      </c>
      <c r="B21940" s="87"/>
      <c r="C21940" s="87"/>
      <c r="D21940" s="87"/>
      <c r="E21940" s="87"/>
      <c r="F21940" s="87"/>
      <c r="G21940" s="87"/>
    </row>
    <row r="21941">
      <c r="A21941" s="86" t="str">
        <f>IFERROR(__xludf.DUMMYFUNCTION("""COMPUTED_VALUE"""),"")</f>
        <v/>
      </c>
      <c r="B21941" s="87"/>
      <c r="C21941" s="87"/>
      <c r="D21941" s="87"/>
      <c r="E21941" s="87"/>
      <c r="F21941" s="87"/>
      <c r="G21941" s="87"/>
    </row>
    <row r="21942">
      <c r="A21942" s="86" t="str">
        <f>IFERROR(__xludf.DUMMYFUNCTION("""COMPUTED_VALUE"""),"")</f>
        <v/>
      </c>
      <c r="B21942" s="87"/>
      <c r="C21942" s="87"/>
      <c r="D21942" s="87"/>
      <c r="E21942" s="87"/>
      <c r="F21942" s="87"/>
      <c r="G21942" s="87"/>
    </row>
    <row r="21943">
      <c r="A21943" s="86" t="str">
        <f>IFERROR(__xludf.DUMMYFUNCTION("""COMPUTED_VALUE"""),"")</f>
        <v/>
      </c>
      <c r="B21943" s="87"/>
      <c r="C21943" s="87"/>
      <c r="D21943" s="87"/>
      <c r="E21943" s="87"/>
      <c r="F21943" s="87"/>
      <c r="G21943" s="87"/>
    </row>
    <row r="21944">
      <c r="A21944" s="86" t="str">
        <f>IFERROR(__xludf.DUMMYFUNCTION("""COMPUTED_VALUE"""),"")</f>
        <v/>
      </c>
      <c r="B21944" s="87"/>
      <c r="C21944" s="87"/>
      <c r="D21944" s="87"/>
      <c r="E21944" s="87"/>
      <c r="F21944" s="87"/>
      <c r="G21944" s="87"/>
    </row>
    <row r="21945">
      <c r="A21945" s="86" t="str">
        <f>IFERROR(__xludf.DUMMYFUNCTION("""COMPUTED_VALUE"""),"")</f>
        <v/>
      </c>
      <c r="B21945" s="87"/>
      <c r="C21945" s="87"/>
      <c r="D21945" s="87"/>
      <c r="E21945" s="87"/>
      <c r="F21945" s="87"/>
      <c r="G21945" s="87"/>
    </row>
    <row r="21946">
      <c r="A21946" s="86" t="str">
        <f>IFERROR(__xludf.DUMMYFUNCTION("""COMPUTED_VALUE"""),"")</f>
        <v/>
      </c>
      <c r="B21946" s="87"/>
      <c r="C21946" s="87"/>
      <c r="D21946" s="87"/>
      <c r="E21946" s="87"/>
      <c r="F21946" s="87"/>
      <c r="G21946" s="87"/>
    </row>
    <row r="21947">
      <c r="A21947" s="86" t="str">
        <f>IFERROR(__xludf.DUMMYFUNCTION("""COMPUTED_VALUE"""),"")</f>
        <v/>
      </c>
      <c r="B21947" s="87"/>
      <c r="C21947" s="87"/>
      <c r="D21947" s="87"/>
      <c r="E21947" s="87"/>
      <c r="F21947" s="87"/>
      <c r="G21947" s="87"/>
    </row>
    <row r="21948">
      <c r="A21948" s="86" t="str">
        <f>IFERROR(__xludf.DUMMYFUNCTION("""COMPUTED_VALUE"""),"")</f>
        <v/>
      </c>
      <c r="B21948" s="87"/>
      <c r="C21948" s="87"/>
      <c r="D21948" s="87"/>
      <c r="E21948" s="87"/>
      <c r="F21948" s="87"/>
      <c r="G21948" s="87"/>
    </row>
    <row r="21949">
      <c r="A21949" s="86" t="str">
        <f>IFERROR(__xludf.DUMMYFUNCTION("""COMPUTED_VALUE"""),"")</f>
        <v/>
      </c>
      <c r="B21949" s="87"/>
      <c r="C21949" s="87"/>
      <c r="D21949" s="87"/>
      <c r="E21949" s="87"/>
      <c r="F21949" s="87"/>
      <c r="G21949" s="87"/>
    </row>
    <row r="21950">
      <c r="A21950" s="86" t="str">
        <f>IFERROR(__xludf.DUMMYFUNCTION("""COMPUTED_VALUE"""),"")</f>
        <v/>
      </c>
      <c r="B21950" s="87"/>
      <c r="C21950" s="87"/>
      <c r="D21950" s="87"/>
      <c r="E21950" s="87"/>
      <c r="F21950" s="87"/>
      <c r="G21950" s="87"/>
    </row>
    <row r="21951">
      <c r="A21951" s="86" t="str">
        <f>IFERROR(__xludf.DUMMYFUNCTION("""COMPUTED_VALUE"""),"")</f>
        <v/>
      </c>
      <c r="B21951" s="87"/>
      <c r="C21951" s="87"/>
      <c r="D21951" s="87"/>
      <c r="E21951" s="87"/>
      <c r="F21951" s="87"/>
      <c r="G21951" s="87"/>
    </row>
    <row r="21952">
      <c r="A21952" s="86" t="str">
        <f>IFERROR(__xludf.DUMMYFUNCTION("""COMPUTED_VALUE"""),"")</f>
        <v/>
      </c>
      <c r="B21952" s="87"/>
      <c r="C21952" s="87"/>
      <c r="D21952" s="87"/>
      <c r="E21952" s="87"/>
      <c r="F21952" s="87"/>
      <c r="G21952" s="87"/>
    </row>
    <row r="21953">
      <c r="A21953" s="86" t="str">
        <f>IFERROR(__xludf.DUMMYFUNCTION("""COMPUTED_VALUE"""),"")</f>
        <v/>
      </c>
      <c r="B21953" s="87"/>
      <c r="C21953" s="87"/>
      <c r="D21953" s="87"/>
      <c r="E21953" s="87"/>
      <c r="F21953" s="87"/>
      <c r="G21953" s="87"/>
    </row>
    <row r="21954">
      <c r="A21954" s="86" t="str">
        <f>IFERROR(__xludf.DUMMYFUNCTION("""COMPUTED_VALUE"""),"")</f>
        <v/>
      </c>
      <c r="B21954" s="87"/>
      <c r="C21954" s="87"/>
      <c r="D21954" s="87"/>
      <c r="E21954" s="87"/>
      <c r="F21954" s="87"/>
      <c r="G21954" s="87"/>
    </row>
    <row r="21955">
      <c r="A21955" s="86" t="str">
        <f>IFERROR(__xludf.DUMMYFUNCTION("""COMPUTED_VALUE"""),"")</f>
        <v/>
      </c>
      <c r="B21955" s="87"/>
      <c r="C21955" s="87"/>
      <c r="D21955" s="87"/>
      <c r="E21955" s="87"/>
      <c r="F21955" s="87"/>
      <c r="G21955" s="87"/>
    </row>
    <row r="21956">
      <c r="A21956" s="86" t="str">
        <f>IFERROR(__xludf.DUMMYFUNCTION("""COMPUTED_VALUE"""),"")</f>
        <v/>
      </c>
      <c r="B21956" s="87"/>
      <c r="C21956" s="87"/>
      <c r="D21956" s="87"/>
      <c r="E21956" s="87"/>
      <c r="F21956" s="87"/>
      <c r="G21956" s="87"/>
    </row>
    <row r="21957">
      <c r="A21957" s="86" t="str">
        <f>IFERROR(__xludf.DUMMYFUNCTION("""COMPUTED_VALUE"""),"")</f>
        <v/>
      </c>
      <c r="B21957" s="87"/>
      <c r="C21957" s="87"/>
      <c r="D21957" s="87"/>
      <c r="E21957" s="87"/>
      <c r="F21957" s="87"/>
      <c r="G21957" s="87"/>
    </row>
    <row r="21958">
      <c r="A21958" s="86" t="str">
        <f>IFERROR(__xludf.DUMMYFUNCTION("""COMPUTED_VALUE"""),"")</f>
        <v/>
      </c>
      <c r="B21958" s="87"/>
      <c r="C21958" s="87"/>
      <c r="D21958" s="87"/>
      <c r="E21958" s="87"/>
      <c r="F21958" s="87"/>
      <c r="G21958" s="87"/>
    </row>
    <row r="21959">
      <c r="A21959" s="86" t="str">
        <f>IFERROR(__xludf.DUMMYFUNCTION("""COMPUTED_VALUE"""),"")</f>
        <v/>
      </c>
      <c r="B21959" s="87"/>
      <c r="C21959" s="87"/>
      <c r="D21959" s="87"/>
      <c r="E21959" s="87"/>
      <c r="F21959" s="87"/>
      <c r="G21959" s="87"/>
    </row>
    <row r="21960">
      <c r="A21960" s="86" t="str">
        <f>IFERROR(__xludf.DUMMYFUNCTION("""COMPUTED_VALUE"""),"")</f>
        <v/>
      </c>
      <c r="B21960" s="87"/>
      <c r="C21960" s="87"/>
      <c r="D21960" s="87"/>
      <c r="E21960" s="87"/>
      <c r="F21960" s="87"/>
      <c r="G21960" s="87"/>
    </row>
    <row r="21961">
      <c r="A21961" s="86" t="str">
        <f>IFERROR(__xludf.DUMMYFUNCTION("""COMPUTED_VALUE"""),"")</f>
        <v/>
      </c>
      <c r="B21961" s="87"/>
      <c r="C21961" s="87"/>
      <c r="D21961" s="87"/>
      <c r="E21961" s="87"/>
      <c r="F21961" s="87"/>
      <c r="G21961" s="87"/>
    </row>
    <row r="21962">
      <c r="A21962" s="86" t="str">
        <f>IFERROR(__xludf.DUMMYFUNCTION("""COMPUTED_VALUE"""),"")</f>
        <v/>
      </c>
      <c r="B21962" s="87"/>
      <c r="C21962" s="87"/>
      <c r="D21962" s="87"/>
      <c r="E21962" s="87"/>
      <c r="F21962" s="87"/>
      <c r="G21962" s="87"/>
    </row>
    <row r="21963">
      <c r="A21963" s="86" t="str">
        <f>IFERROR(__xludf.DUMMYFUNCTION("""COMPUTED_VALUE"""),"")</f>
        <v/>
      </c>
      <c r="B21963" s="87"/>
      <c r="C21963" s="87"/>
      <c r="D21963" s="87"/>
      <c r="E21963" s="87"/>
      <c r="F21963" s="87"/>
      <c r="G21963" s="87"/>
    </row>
    <row r="21964">
      <c r="A21964" s="86" t="str">
        <f>IFERROR(__xludf.DUMMYFUNCTION("""COMPUTED_VALUE"""),"")</f>
        <v/>
      </c>
      <c r="B21964" s="87"/>
      <c r="C21964" s="87"/>
      <c r="D21964" s="87"/>
      <c r="E21964" s="87"/>
      <c r="F21964" s="87"/>
      <c r="G21964" s="87"/>
    </row>
    <row r="21965">
      <c r="A21965" s="86" t="str">
        <f>IFERROR(__xludf.DUMMYFUNCTION("""COMPUTED_VALUE"""),"")</f>
        <v/>
      </c>
      <c r="B21965" s="87"/>
      <c r="C21965" s="87"/>
      <c r="D21965" s="87"/>
      <c r="E21965" s="87"/>
      <c r="F21965" s="87"/>
      <c r="G21965" s="87"/>
    </row>
    <row r="21966">
      <c r="A21966" s="86" t="str">
        <f>IFERROR(__xludf.DUMMYFUNCTION("""COMPUTED_VALUE"""),"")</f>
        <v/>
      </c>
      <c r="B21966" s="87"/>
      <c r="C21966" s="87"/>
      <c r="D21966" s="87"/>
      <c r="E21966" s="87"/>
      <c r="F21966" s="87"/>
      <c r="G21966" s="87"/>
    </row>
    <row r="21967">
      <c r="A21967" s="86" t="str">
        <f>IFERROR(__xludf.DUMMYFUNCTION("""COMPUTED_VALUE"""),"")</f>
        <v/>
      </c>
      <c r="B21967" s="87"/>
      <c r="C21967" s="87"/>
      <c r="D21967" s="87"/>
      <c r="E21967" s="87"/>
      <c r="F21967" s="87"/>
      <c r="G21967" s="87"/>
    </row>
    <row r="21968">
      <c r="A21968" s="86" t="str">
        <f>IFERROR(__xludf.DUMMYFUNCTION("""COMPUTED_VALUE"""),"")</f>
        <v/>
      </c>
      <c r="B21968" s="87"/>
      <c r="C21968" s="87"/>
      <c r="D21968" s="87"/>
      <c r="E21968" s="87"/>
      <c r="F21968" s="87"/>
      <c r="G21968" s="87"/>
    </row>
    <row r="21969">
      <c r="A21969" s="86" t="str">
        <f>IFERROR(__xludf.DUMMYFUNCTION("""COMPUTED_VALUE"""),"")</f>
        <v/>
      </c>
      <c r="B21969" s="87"/>
      <c r="C21969" s="87"/>
      <c r="D21969" s="87"/>
      <c r="E21969" s="87"/>
      <c r="F21969" s="87"/>
      <c r="G21969" s="87"/>
    </row>
    <row r="21970">
      <c r="A21970" s="86" t="str">
        <f>IFERROR(__xludf.DUMMYFUNCTION("""COMPUTED_VALUE"""),"")</f>
        <v/>
      </c>
      <c r="B21970" s="87"/>
      <c r="C21970" s="87"/>
      <c r="D21970" s="87"/>
      <c r="E21970" s="87"/>
      <c r="F21970" s="87"/>
      <c r="G21970" s="87"/>
    </row>
    <row r="21971">
      <c r="A21971" s="86" t="str">
        <f>IFERROR(__xludf.DUMMYFUNCTION("""COMPUTED_VALUE"""),"")</f>
        <v/>
      </c>
      <c r="B21971" s="87"/>
      <c r="C21971" s="87"/>
      <c r="D21971" s="87"/>
      <c r="E21971" s="87"/>
      <c r="F21971" s="87"/>
      <c r="G21971" s="87"/>
    </row>
    <row r="21972">
      <c r="A21972" s="86" t="str">
        <f>IFERROR(__xludf.DUMMYFUNCTION("""COMPUTED_VALUE"""),"")</f>
        <v/>
      </c>
      <c r="B21972" s="87"/>
      <c r="C21972" s="87"/>
      <c r="D21972" s="87"/>
      <c r="E21972" s="87"/>
      <c r="F21972" s="87"/>
      <c r="G21972" s="87"/>
    </row>
    <row r="21973">
      <c r="A21973" s="86" t="str">
        <f>IFERROR(__xludf.DUMMYFUNCTION("""COMPUTED_VALUE"""),"")</f>
        <v/>
      </c>
      <c r="B21973" s="87"/>
      <c r="C21973" s="87"/>
      <c r="D21973" s="87"/>
      <c r="E21973" s="87"/>
      <c r="F21973" s="87"/>
      <c r="G21973" s="87"/>
    </row>
    <row r="21974">
      <c r="A21974" s="86" t="str">
        <f>IFERROR(__xludf.DUMMYFUNCTION("""COMPUTED_VALUE"""),"")</f>
        <v/>
      </c>
      <c r="B21974" s="87"/>
      <c r="C21974" s="87"/>
      <c r="D21974" s="87"/>
      <c r="E21974" s="87"/>
      <c r="F21974" s="87"/>
      <c r="G21974" s="87"/>
    </row>
    <row r="21975">
      <c r="A21975" s="86" t="str">
        <f>IFERROR(__xludf.DUMMYFUNCTION("""COMPUTED_VALUE"""),"")</f>
        <v/>
      </c>
      <c r="B21975" s="87"/>
      <c r="C21975" s="87"/>
      <c r="D21975" s="87"/>
      <c r="E21975" s="87"/>
      <c r="F21975" s="87"/>
      <c r="G21975" s="87"/>
    </row>
    <row r="21976">
      <c r="A21976" s="86" t="str">
        <f>IFERROR(__xludf.DUMMYFUNCTION("""COMPUTED_VALUE"""),"")</f>
        <v/>
      </c>
      <c r="B21976" s="87"/>
      <c r="C21976" s="87"/>
      <c r="D21976" s="87"/>
      <c r="E21976" s="87"/>
      <c r="F21976" s="87"/>
      <c r="G21976" s="87"/>
    </row>
    <row r="21977">
      <c r="A21977" s="86" t="str">
        <f>IFERROR(__xludf.DUMMYFUNCTION("""COMPUTED_VALUE"""),"")</f>
        <v/>
      </c>
      <c r="B21977" s="87"/>
      <c r="C21977" s="87"/>
      <c r="D21977" s="87"/>
      <c r="E21977" s="87"/>
      <c r="F21977" s="87"/>
      <c r="G21977" s="87"/>
    </row>
    <row r="21978">
      <c r="A21978" s="86" t="str">
        <f>IFERROR(__xludf.DUMMYFUNCTION("""COMPUTED_VALUE"""),"")</f>
        <v/>
      </c>
      <c r="B21978" s="87"/>
      <c r="C21978" s="87"/>
      <c r="D21978" s="87"/>
      <c r="E21978" s="87"/>
      <c r="F21978" s="87"/>
      <c r="G21978" s="87"/>
    </row>
    <row r="21979">
      <c r="A21979" s="86" t="str">
        <f>IFERROR(__xludf.DUMMYFUNCTION("""COMPUTED_VALUE"""),"")</f>
        <v/>
      </c>
      <c r="B21979" s="87"/>
      <c r="C21979" s="87"/>
      <c r="D21979" s="87"/>
      <c r="E21979" s="87"/>
      <c r="F21979" s="87"/>
      <c r="G21979" s="87"/>
    </row>
    <row r="21980">
      <c r="A21980" s="86" t="str">
        <f>IFERROR(__xludf.DUMMYFUNCTION("""COMPUTED_VALUE"""),"")</f>
        <v/>
      </c>
      <c r="B21980" s="87"/>
      <c r="C21980" s="87"/>
      <c r="D21980" s="87"/>
      <c r="E21980" s="87"/>
      <c r="F21980" s="87"/>
      <c r="G21980" s="87"/>
    </row>
    <row r="21981">
      <c r="A21981" s="86" t="str">
        <f>IFERROR(__xludf.DUMMYFUNCTION("""COMPUTED_VALUE"""),"")</f>
        <v/>
      </c>
      <c r="B21981" s="87"/>
      <c r="C21981" s="87"/>
      <c r="D21981" s="87"/>
      <c r="E21981" s="87"/>
      <c r="F21981" s="87"/>
      <c r="G21981" s="87"/>
    </row>
    <row r="21982">
      <c r="A21982" s="86" t="str">
        <f>IFERROR(__xludf.DUMMYFUNCTION("""COMPUTED_VALUE"""),"")</f>
        <v/>
      </c>
      <c r="B21982" s="87"/>
      <c r="C21982" s="87"/>
      <c r="D21982" s="87"/>
      <c r="E21982" s="87"/>
      <c r="F21982" s="87"/>
      <c r="G21982" s="87"/>
    </row>
    <row r="21983">
      <c r="A21983" s="86" t="str">
        <f>IFERROR(__xludf.DUMMYFUNCTION("""COMPUTED_VALUE"""),"")</f>
        <v/>
      </c>
      <c r="B21983" s="87"/>
      <c r="C21983" s="87"/>
      <c r="D21983" s="87"/>
      <c r="E21983" s="87"/>
      <c r="F21983" s="87"/>
      <c r="G21983" s="87"/>
    </row>
    <row r="21984">
      <c r="A21984" s="86" t="str">
        <f>IFERROR(__xludf.DUMMYFUNCTION("""COMPUTED_VALUE"""),"")</f>
        <v/>
      </c>
      <c r="B21984" s="87"/>
      <c r="C21984" s="87"/>
      <c r="D21984" s="87"/>
      <c r="E21984" s="87"/>
      <c r="F21984" s="87"/>
      <c r="G21984" s="87"/>
    </row>
    <row r="21985">
      <c r="A21985" s="86" t="str">
        <f>IFERROR(__xludf.DUMMYFUNCTION("""COMPUTED_VALUE"""),"")</f>
        <v/>
      </c>
      <c r="B21985" s="87"/>
      <c r="C21985" s="87"/>
      <c r="D21985" s="87"/>
      <c r="E21985" s="87"/>
      <c r="F21985" s="87"/>
      <c r="G21985" s="87"/>
    </row>
    <row r="21986">
      <c r="A21986" s="86" t="str">
        <f>IFERROR(__xludf.DUMMYFUNCTION("""COMPUTED_VALUE"""),"")</f>
        <v/>
      </c>
      <c r="B21986" s="87"/>
      <c r="C21986" s="87"/>
      <c r="D21986" s="87"/>
      <c r="E21986" s="87"/>
      <c r="F21986" s="87"/>
      <c r="G21986" s="87"/>
    </row>
    <row r="21987">
      <c r="A21987" s="86" t="str">
        <f>IFERROR(__xludf.DUMMYFUNCTION("""COMPUTED_VALUE"""),"")</f>
        <v/>
      </c>
      <c r="B21987" s="87"/>
      <c r="C21987" s="87"/>
      <c r="D21987" s="87"/>
      <c r="E21987" s="87"/>
      <c r="F21987" s="87"/>
      <c r="G21987" s="87"/>
    </row>
    <row r="21988">
      <c r="A21988" s="86" t="str">
        <f>IFERROR(__xludf.DUMMYFUNCTION("""COMPUTED_VALUE"""),"")</f>
        <v/>
      </c>
      <c r="B21988" s="87"/>
      <c r="C21988" s="87"/>
      <c r="D21988" s="87"/>
      <c r="E21988" s="87"/>
      <c r="F21988" s="87"/>
      <c r="G21988" s="87"/>
    </row>
    <row r="21989">
      <c r="A21989" s="86" t="str">
        <f>IFERROR(__xludf.DUMMYFUNCTION("""COMPUTED_VALUE"""),"")</f>
        <v/>
      </c>
      <c r="B21989" s="87"/>
      <c r="C21989" s="87"/>
      <c r="D21989" s="87"/>
      <c r="E21989" s="87"/>
      <c r="F21989" s="87"/>
      <c r="G21989" s="87"/>
    </row>
    <row r="21990">
      <c r="A21990" s="86" t="str">
        <f>IFERROR(__xludf.DUMMYFUNCTION("""COMPUTED_VALUE"""),"")</f>
        <v/>
      </c>
      <c r="B21990" s="87"/>
      <c r="C21990" s="87"/>
      <c r="D21990" s="87"/>
      <c r="E21990" s="87"/>
      <c r="F21990" s="87"/>
      <c r="G21990" s="87"/>
    </row>
    <row r="21991">
      <c r="A21991" s="86" t="str">
        <f>IFERROR(__xludf.DUMMYFUNCTION("""COMPUTED_VALUE"""),"")</f>
        <v/>
      </c>
      <c r="B21991" s="87"/>
      <c r="C21991" s="87"/>
      <c r="D21991" s="87"/>
      <c r="E21991" s="87"/>
      <c r="F21991" s="87"/>
      <c r="G21991" s="87"/>
    </row>
    <row r="21992">
      <c r="A21992" s="86" t="str">
        <f>IFERROR(__xludf.DUMMYFUNCTION("""COMPUTED_VALUE"""),"")</f>
        <v/>
      </c>
      <c r="B21992" s="87"/>
      <c r="C21992" s="87"/>
      <c r="D21992" s="87"/>
      <c r="E21992" s="87"/>
      <c r="F21992" s="87"/>
      <c r="G21992" s="87"/>
    </row>
    <row r="21993">
      <c r="A21993" s="86" t="str">
        <f>IFERROR(__xludf.DUMMYFUNCTION("""COMPUTED_VALUE"""),"")</f>
        <v/>
      </c>
      <c r="B21993" s="87"/>
      <c r="C21993" s="87"/>
      <c r="D21993" s="87"/>
      <c r="E21993" s="87"/>
      <c r="F21993" s="87"/>
      <c r="G21993" s="87"/>
    </row>
    <row r="21994">
      <c r="A21994" s="86" t="str">
        <f>IFERROR(__xludf.DUMMYFUNCTION("""COMPUTED_VALUE"""),"")</f>
        <v/>
      </c>
      <c r="B21994" s="87"/>
      <c r="C21994" s="87"/>
      <c r="D21994" s="87"/>
      <c r="E21994" s="87"/>
      <c r="F21994" s="87"/>
      <c r="G21994" s="87"/>
    </row>
    <row r="21995">
      <c r="A21995" s="86" t="str">
        <f>IFERROR(__xludf.DUMMYFUNCTION("""COMPUTED_VALUE"""),"")</f>
        <v/>
      </c>
      <c r="B21995" s="87"/>
      <c r="C21995" s="87"/>
      <c r="D21995" s="87"/>
      <c r="E21995" s="87"/>
      <c r="F21995" s="87"/>
      <c r="G21995" s="87"/>
    </row>
    <row r="21996">
      <c r="A21996" s="86" t="str">
        <f>IFERROR(__xludf.DUMMYFUNCTION("""COMPUTED_VALUE"""),"")</f>
        <v/>
      </c>
      <c r="B21996" s="87"/>
      <c r="C21996" s="87"/>
      <c r="D21996" s="87"/>
      <c r="E21996" s="87"/>
      <c r="F21996" s="87"/>
      <c r="G21996" s="87"/>
    </row>
    <row r="21997">
      <c r="A21997" s="86" t="str">
        <f>IFERROR(__xludf.DUMMYFUNCTION("""COMPUTED_VALUE"""),"")</f>
        <v/>
      </c>
      <c r="B21997" s="87"/>
      <c r="C21997" s="87"/>
      <c r="D21997" s="87"/>
      <c r="E21997" s="87"/>
      <c r="F21997" s="87"/>
      <c r="G21997" s="87"/>
    </row>
    <row r="21998">
      <c r="A21998" s="86" t="str">
        <f>IFERROR(__xludf.DUMMYFUNCTION("""COMPUTED_VALUE"""),"")</f>
        <v/>
      </c>
      <c r="B21998" s="87"/>
      <c r="C21998" s="87"/>
      <c r="D21998" s="87"/>
      <c r="E21998" s="87"/>
      <c r="F21998" s="87"/>
      <c r="G21998" s="87"/>
    </row>
    <row r="21999">
      <c r="A21999" s="86" t="str">
        <f>IFERROR(__xludf.DUMMYFUNCTION("""COMPUTED_VALUE"""),"")</f>
        <v/>
      </c>
      <c r="B21999" s="87"/>
      <c r="C21999" s="87"/>
      <c r="D21999" s="87"/>
      <c r="E21999" s="87"/>
      <c r="F21999" s="87"/>
      <c r="G21999" s="87"/>
    </row>
    <row r="22000">
      <c r="A22000" s="86" t="str">
        <f>IFERROR(__xludf.DUMMYFUNCTION("""COMPUTED_VALUE"""),"")</f>
        <v/>
      </c>
      <c r="B22000" s="87"/>
      <c r="C22000" s="87"/>
      <c r="D22000" s="87"/>
      <c r="E22000" s="87"/>
      <c r="F22000" s="87"/>
      <c r="G22000" s="87"/>
    </row>
    <row r="22001">
      <c r="A22001" s="86" t="str">
        <f>IFERROR(__xludf.DUMMYFUNCTION("""COMPUTED_VALUE"""),"")</f>
        <v/>
      </c>
      <c r="B22001" s="87"/>
      <c r="C22001" s="87"/>
      <c r="D22001" s="87"/>
      <c r="E22001" s="87"/>
      <c r="F22001" s="87"/>
      <c r="G22001" s="87"/>
    </row>
    <row r="22002">
      <c r="A22002" s="86" t="str">
        <f>IFERROR(__xludf.DUMMYFUNCTION("""COMPUTED_VALUE"""),"")</f>
        <v/>
      </c>
      <c r="B22002" s="87"/>
      <c r="C22002" s="87"/>
      <c r="D22002" s="87"/>
      <c r="E22002" s="87"/>
      <c r="F22002" s="87"/>
      <c r="G22002" s="87"/>
    </row>
    <row r="22003">
      <c r="A22003" s="86" t="str">
        <f>IFERROR(__xludf.DUMMYFUNCTION("""COMPUTED_VALUE"""),"")</f>
        <v/>
      </c>
      <c r="B22003" s="87"/>
      <c r="C22003" s="87"/>
      <c r="D22003" s="87"/>
      <c r="E22003" s="87"/>
      <c r="F22003" s="87"/>
      <c r="G22003" s="87"/>
    </row>
    <row r="22004">
      <c r="A22004" s="86" t="str">
        <f>IFERROR(__xludf.DUMMYFUNCTION("""COMPUTED_VALUE"""),"")</f>
        <v/>
      </c>
      <c r="B22004" s="87"/>
      <c r="C22004" s="87"/>
      <c r="D22004" s="87"/>
      <c r="E22004" s="87"/>
      <c r="F22004" s="87"/>
      <c r="G22004" s="87"/>
    </row>
    <row r="22005">
      <c r="A22005" s="86" t="str">
        <f>IFERROR(__xludf.DUMMYFUNCTION("""COMPUTED_VALUE"""),"")</f>
        <v/>
      </c>
      <c r="B22005" s="87"/>
      <c r="C22005" s="87"/>
      <c r="D22005" s="87"/>
      <c r="E22005" s="87"/>
      <c r="F22005" s="87"/>
      <c r="G22005" s="87"/>
    </row>
    <row r="22006">
      <c r="A22006" s="86" t="str">
        <f>IFERROR(__xludf.DUMMYFUNCTION("""COMPUTED_VALUE"""),"")</f>
        <v/>
      </c>
      <c r="B22006" s="87"/>
      <c r="C22006" s="87"/>
      <c r="D22006" s="87"/>
      <c r="E22006" s="87"/>
      <c r="F22006" s="87"/>
      <c r="G22006" s="87"/>
    </row>
    <row r="22007">
      <c r="A22007" s="86" t="str">
        <f>IFERROR(__xludf.DUMMYFUNCTION("""COMPUTED_VALUE"""),"")</f>
        <v/>
      </c>
      <c r="B22007" s="87"/>
      <c r="C22007" s="87"/>
      <c r="D22007" s="87"/>
      <c r="E22007" s="87"/>
      <c r="F22007" s="87"/>
      <c r="G22007" s="87"/>
    </row>
    <row r="22008">
      <c r="A22008" s="86" t="str">
        <f>IFERROR(__xludf.DUMMYFUNCTION("""COMPUTED_VALUE"""),"")</f>
        <v/>
      </c>
      <c r="B22008" s="87"/>
      <c r="C22008" s="87"/>
      <c r="D22008" s="87"/>
      <c r="E22008" s="87"/>
      <c r="F22008" s="87"/>
      <c r="G22008" s="87"/>
    </row>
    <row r="22009">
      <c r="A22009" s="86" t="str">
        <f>IFERROR(__xludf.DUMMYFUNCTION("""COMPUTED_VALUE"""),"")</f>
        <v/>
      </c>
      <c r="B22009" s="87"/>
      <c r="C22009" s="87"/>
      <c r="D22009" s="87"/>
      <c r="E22009" s="87"/>
      <c r="F22009" s="87"/>
      <c r="G22009" s="87"/>
    </row>
    <row r="22010">
      <c r="A22010" s="86" t="str">
        <f>IFERROR(__xludf.DUMMYFUNCTION("""COMPUTED_VALUE"""),"")</f>
        <v/>
      </c>
      <c r="B22010" s="87"/>
      <c r="C22010" s="87"/>
      <c r="D22010" s="87"/>
      <c r="E22010" s="87"/>
      <c r="F22010" s="87"/>
      <c r="G22010" s="87"/>
    </row>
    <row r="22011">
      <c r="A22011" s="86" t="str">
        <f>IFERROR(__xludf.DUMMYFUNCTION("""COMPUTED_VALUE"""),"")</f>
        <v/>
      </c>
      <c r="B22011" s="87"/>
      <c r="C22011" s="87"/>
      <c r="D22011" s="87"/>
      <c r="E22011" s="87"/>
      <c r="F22011" s="87"/>
      <c r="G22011" s="87"/>
    </row>
    <row r="22012">
      <c r="A22012" s="86" t="str">
        <f>IFERROR(__xludf.DUMMYFUNCTION("""COMPUTED_VALUE"""),"")</f>
        <v/>
      </c>
      <c r="B22012" s="87"/>
      <c r="C22012" s="87"/>
      <c r="D22012" s="87"/>
      <c r="E22012" s="87"/>
      <c r="F22012" s="87"/>
      <c r="G22012" s="87"/>
    </row>
    <row r="22013">
      <c r="A22013" s="86" t="str">
        <f>IFERROR(__xludf.DUMMYFUNCTION("""COMPUTED_VALUE"""),"")</f>
        <v/>
      </c>
      <c r="B22013" s="87"/>
      <c r="C22013" s="87"/>
      <c r="D22013" s="87"/>
      <c r="E22013" s="87"/>
      <c r="F22013" s="87"/>
      <c r="G22013" s="87"/>
    </row>
    <row r="22014">
      <c r="A22014" s="86" t="str">
        <f>IFERROR(__xludf.DUMMYFUNCTION("""COMPUTED_VALUE"""),"")</f>
        <v/>
      </c>
      <c r="B22014" s="87"/>
      <c r="C22014" s="87"/>
      <c r="D22014" s="87"/>
      <c r="E22014" s="87"/>
      <c r="F22014" s="87"/>
      <c r="G22014" s="87"/>
    </row>
    <row r="22015">
      <c r="A22015" s="86" t="str">
        <f>IFERROR(__xludf.DUMMYFUNCTION("""COMPUTED_VALUE"""),"")</f>
        <v/>
      </c>
      <c r="B22015" s="87"/>
      <c r="C22015" s="87"/>
      <c r="D22015" s="87"/>
      <c r="E22015" s="87"/>
      <c r="F22015" s="87"/>
      <c r="G22015" s="87"/>
    </row>
    <row r="22016">
      <c r="A22016" s="86" t="str">
        <f>IFERROR(__xludf.DUMMYFUNCTION("""COMPUTED_VALUE"""),"")</f>
        <v/>
      </c>
      <c r="B22016" s="87"/>
      <c r="C22016" s="87"/>
      <c r="D22016" s="87"/>
      <c r="E22016" s="87"/>
      <c r="F22016" s="87"/>
      <c r="G22016" s="87"/>
    </row>
    <row r="22017">
      <c r="A22017" s="86" t="str">
        <f>IFERROR(__xludf.DUMMYFUNCTION("""COMPUTED_VALUE"""),"")</f>
        <v/>
      </c>
      <c r="B22017" s="87"/>
      <c r="C22017" s="87"/>
      <c r="D22017" s="87"/>
      <c r="E22017" s="87"/>
      <c r="F22017" s="87"/>
      <c r="G22017" s="87"/>
    </row>
    <row r="22018">
      <c r="A22018" s="86" t="str">
        <f>IFERROR(__xludf.DUMMYFUNCTION("""COMPUTED_VALUE"""),"")</f>
        <v/>
      </c>
      <c r="B22018" s="87"/>
      <c r="C22018" s="87"/>
      <c r="D22018" s="87"/>
      <c r="E22018" s="87"/>
      <c r="F22018" s="87"/>
      <c r="G22018" s="87"/>
    </row>
    <row r="22019">
      <c r="A22019" s="86" t="str">
        <f>IFERROR(__xludf.DUMMYFUNCTION("""COMPUTED_VALUE"""),"")</f>
        <v/>
      </c>
      <c r="B22019" s="87"/>
      <c r="C22019" s="87"/>
      <c r="D22019" s="87"/>
      <c r="E22019" s="87"/>
      <c r="F22019" s="87"/>
      <c r="G22019" s="87"/>
    </row>
    <row r="22020">
      <c r="A22020" s="86" t="str">
        <f>IFERROR(__xludf.DUMMYFUNCTION("""COMPUTED_VALUE"""),"")</f>
        <v/>
      </c>
      <c r="B22020" s="87"/>
      <c r="C22020" s="87"/>
      <c r="D22020" s="87"/>
      <c r="E22020" s="87"/>
      <c r="F22020" s="87"/>
      <c r="G22020" s="87"/>
    </row>
    <row r="22021">
      <c r="A22021" s="86" t="str">
        <f>IFERROR(__xludf.DUMMYFUNCTION("""COMPUTED_VALUE"""),"")</f>
        <v/>
      </c>
      <c r="B22021" s="87"/>
      <c r="C22021" s="87"/>
      <c r="D22021" s="87"/>
      <c r="E22021" s="87"/>
      <c r="F22021" s="87"/>
      <c r="G22021" s="87"/>
    </row>
    <row r="22022">
      <c r="A22022" s="86" t="str">
        <f>IFERROR(__xludf.DUMMYFUNCTION("""COMPUTED_VALUE"""),"")</f>
        <v/>
      </c>
      <c r="B22022" s="87"/>
      <c r="C22022" s="87"/>
      <c r="D22022" s="87"/>
      <c r="E22022" s="87"/>
      <c r="F22022" s="87"/>
      <c r="G22022" s="87"/>
    </row>
    <row r="22023">
      <c r="A22023" s="86" t="str">
        <f>IFERROR(__xludf.DUMMYFUNCTION("""COMPUTED_VALUE"""),"")</f>
        <v/>
      </c>
      <c r="B22023" s="87"/>
      <c r="C22023" s="87"/>
      <c r="D22023" s="87"/>
      <c r="E22023" s="87"/>
      <c r="F22023" s="87"/>
      <c r="G22023" s="87"/>
    </row>
    <row r="22024">
      <c r="A22024" s="86" t="str">
        <f>IFERROR(__xludf.DUMMYFUNCTION("""COMPUTED_VALUE"""),"")</f>
        <v/>
      </c>
      <c r="B22024" s="87"/>
      <c r="C22024" s="87"/>
      <c r="D22024" s="87"/>
      <c r="E22024" s="87"/>
      <c r="F22024" s="87"/>
      <c r="G22024" s="87"/>
    </row>
    <row r="22025">
      <c r="A22025" s="86" t="str">
        <f>IFERROR(__xludf.DUMMYFUNCTION("""COMPUTED_VALUE"""),"")</f>
        <v/>
      </c>
      <c r="B22025" s="87"/>
      <c r="C22025" s="87"/>
      <c r="D22025" s="87"/>
      <c r="E22025" s="87"/>
      <c r="F22025" s="87"/>
      <c r="G22025" s="87"/>
    </row>
    <row r="22026">
      <c r="A22026" s="86" t="str">
        <f>IFERROR(__xludf.DUMMYFUNCTION("""COMPUTED_VALUE"""),"")</f>
        <v/>
      </c>
      <c r="B22026" s="87"/>
      <c r="C22026" s="87"/>
      <c r="D22026" s="87"/>
      <c r="E22026" s="87"/>
      <c r="F22026" s="87"/>
      <c r="G22026" s="87"/>
    </row>
    <row r="22027">
      <c r="A22027" s="86" t="str">
        <f>IFERROR(__xludf.DUMMYFUNCTION("""COMPUTED_VALUE"""),"")</f>
        <v/>
      </c>
      <c r="B22027" s="87"/>
      <c r="C22027" s="87"/>
      <c r="D22027" s="87"/>
      <c r="E22027" s="87"/>
      <c r="F22027" s="87"/>
      <c r="G22027" s="87"/>
    </row>
    <row r="22028">
      <c r="A22028" s="86" t="str">
        <f>IFERROR(__xludf.DUMMYFUNCTION("""COMPUTED_VALUE"""),"")</f>
        <v/>
      </c>
      <c r="B22028" s="87"/>
      <c r="C22028" s="87"/>
      <c r="D22028" s="87"/>
      <c r="E22028" s="87"/>
      <c r="F22028" s="87"/>
      <c r="G22028" s="87"/>
    </row>
    <row r="22029">
      <c r="A22029" s="86" t="str">
        <f>IFERROR(__xludf.DUMMYFUNCTION("""COMPUTED_VALUE"""),"")</f>
        <v/>
      </c>
      <c r="B22029" s="87"/>
      <c r="C22029" s="87"/>
      <c r="D22029" s="87"/>
      <c r="E22029" s="87"/>
      <c r="F22029" s="87"/>
      <c r="G22029" s="87"/>
    </row>
    <row r="22030">
      <c r="A22030" s="86" t="str">
        <f>IFERROR(__xludf.DUMMYFUNCTION("""COMPUTED_VALUE"""),"")</f>
        <v/>
      </c>
      <c r="B22030" s="87"/>
      <c r="C22030" s="87"/>
      <c r="D22030" s="87"/>
      <c r="E22030" s="87"/>
      <c r="F22030" s="87"/>
      <c r="G22030" s="87"/>
    </row>
    <row r="22031">
      <c r="A22031" s="86" t="str">
        <f>IFERROR(__xludf.DUMMYFUNCTION("""COMPUTED_VALUE"""),"")</f>
        <v/>
      </c>
      <c r="B22031" s="87"/>
      <c r="C22031" s="87"/>
      <c r="D22031" s="87"/>
      <c r="E22031" s="87"/>
      <c r="F22031" s="87"/>
      <c r="G22031" s="87"/>
    </row>
    <row r="22032">
      <c r="A22032" s="86" t="str">
        <f>IFERROR(__xludf.DUMMYFUNCTION("""COMPUTED_VALUE"""),"")</f>
        <v/>
      </c>
      <c r="B22032" s="87"/>
      <c r="C22032" s="87"/>
      <c r="D22032" s="87"/>
      <c r="E22032" s="87"/>
      <c r="F22032" s="87"/>
      <c r="G22032" s="87"/>
    </row>
    <row r="22033">
      <c r="A22033" s="86" t="str">
        <f>IFERROR(__xludf.DUMMYFUNCTION("""COMPUTED_VALUE"""),"")</f>
        <v/>
      </c>
      <c r="B22033" s="87"/>
      <c r="C22033" s="87"/>
      <c r="D22033" s="87"/>
      <c r="E22033" s="87"/>
      <c r="F22033" s="87"/>
      <c r="G22033" s="87"/>
    </row>
    <row r="22034">
      <c r="A22034" s="86" t="str">
        <f>IFERROR(__xludf.DUMMYFUNCTION("""COMPUTED_VALUE"""),"")</f>
        <v/>
      </c>
      <c r="B22034" s="87"/>
      <c r="C22034" s="87"/>
      <c r="D22034" s="87"/>
      <c r="E22034" s="87"/>
      <c r="F22034" s="87"/>
      <c r="G22034" s="87"/>
    </row>
    <row r="22035">
      <c r="A22035" s="86" t="str">
        <f>IFERROR(__xludf.DUMMYFUNCTION("""COMPUTED_VALUE"""),"")</f>
        <v/>
      </c>
      <c r="B22035" s="87"/>
      <c r="C22035" s="87"/>
      <c r="D22035" s="87"/>
      <c r="E22035" s="87"/>
      <c r="F22035" s="87"/>
      <c r="G22035" s="87"/>
    </row>
    <row r="22036">
      <c r="A22036" s="86" t="str">
        <f>IFERROR(__xludf.DUMMYFUNCTION("""COMPUTED_VALUE"""),"")</f>
        <v/>
      </c>
      <c r="B22036" s="87"/>
      <c r="C22036" s="87"/>
      <c r="D22036" s="87"/>
      <c r="E22036" s="87"/>
      <c r="F22036" s="87"/>
      <c r="G22036" s="87"/>
    </row>
    <row r="22037">
      <c r="A22037" s="86" t="str">
        <f>IFERROR(__xludf.DUMMYFUNCTION("""COMPUTED_VALUE"""),"")</f>
        <v/>
      </c>
      <c r="B22037" s="87"/>
      <c r="C22037" s="87"/>
      <c r="D22037" s="87"/>
      <c r="E22037" s="87"/>
      <c r="F22037" s="87"/>
      <c r="G22037" s="87"/>
    </row>
    <row r="22038">
      <c r="A22038" s="86" t="str">
        <f>IFERROR(__xludf.DUMMYFUNCTION("""COMPUTED_VALUE"""),"")</f>
        <v/>
      </c>
      <c r="B22038" s="87"/>
      <c r="C22038" s="87"/>
      <c r="D22038" s="87"/>
      <c r="E22038" s="87"/>
      <c r="F22038" s="87"/>
      <c r="G22038" s="87"/>
    </row>
    <row r="22039">
      <c r="A22039" s="86" t="str">
        <f>IFERROR(__xludf.DUMMYFUNCTION("""COMPUTED_VALUE"""),"")</f>
        <v/>
      </c>
      <c r="B22039" s="87"/>
      <c r="C22039" s="87"/>
      <c r="D22039" s="87"/>
      <c r="E22039" s="87"/>
      <c r="F22039" s="87"/>
      <c r="G22039" s="87"/>
    </row>
    <row r="22040">
      <c r="A22040" s="86" t="str">
        <f>IFERROR(__xludf.DUMMYFUNCTION("""COMPUTED_VALUE"""),"")</f>
        <v/>
      </c>
      <c r="B22040" s="87"/>
      <c r="C22040" s="87"/>
      <c r="D22040" s="87"/>
      <c r="E22040" s="87"/>
      <c r="F22040" s="87"/>
      <c r="G22040" s="87"/>
    </row>
    <row r="22041">
      <c r="A22041" s="86" t="str">
        <f>IFERROR(__xludf.DUMMYFUNCTION("""COMPUTED_VALUE"""),"")</f>
        <v/>
      </c>
      <c r="B22041" s="87"/>
      <c r="C22041" s="87"/>
      <c r="D22041" s="87"/>
      <c r="E22041" s="87"/>
      <c r="F22041" s="87"/>
      <c r="G22041" s="87"/>
    </row>
    <row r="22042">
      <c r="A22042" s="86" t="str">
        <f>IFERROR(__xludf.DUMMYFUNCTION("""COMPUTED_VALUE"""),"")</f>
        <v/>
      </c>
      <c r="B22042" s="87"/>
      <c r="C22042" s="87"/>
      <c r="D22042" s="87"/>
      <c r="E22042" s="87"/>
      <c r="F22042" s="87"/>
      <c r="G22042" s="87"/>
    </row>
    <row r="22043">
      <c r="A22043" s="86" t="str">
        <f>IFERROR(__xludf.DUMMYFUNCTION("""COMPUTED_VALUE"""),"")</f>
        <v/>
      </c>
      <c r="B22043" s="87"/>
      <c r="C22043" s="87"/>
      <c r="D22043" s="87"/>
      <c r="E22043" s="87"/>
      <c r="F22043" s="87"/>
      <c r="G22043" s="87"/>
    </row>
    <row r="22044">
      <c r="A22044" s="86" t="str">
        <f>IFERROR(__xludf.DUMMYFUNCTION("""COMPUTED_VALUE"""),"")</f>
        <v/>
      </c>
      <c r="B22044" s="87"/>
      <c r="C22044" s="87"/>
      <c r="D22044" s="87"/>
      <c r="E22044" s="87"/>
      <c r="F22044" s="87"/>
      <c r="G22044" s="87"/>
    </row>
    <row r="22045">
      <c r="A22045" s="86" t="str">
        <f>IFERROR(__xludf.DUMMYFUNCTION("""COMPUTED_VALUE"""),"")</f>
        <v/>
      </c>
      <c r="B22045" s="87"/>
      <c r="C22045" s="87"/>
      <c r="D22045" s="87"/>
      <c r="E22045" s="87"/>
      <c r="F22045" s="87"/>
      <c r="G22045" s="87"/>
    </row>
    <row r="22046">
      <c r="A22046" s="86" t="str">
        <f>IFERROR(__xludf.DUMMYFUNCTION("""COMPUTED_VALUE"""),"")</f>
        <v/>
      </c>
      <c r="B22046" s="87"/>
      <c r="C22046" s="87"/>
      <c r="D22046" s="87"/>
      <c r="E22046" s="87"/>
      <c r="F22046" s="87"/>
      <c r="G22046" s="87"/>
    </row>
    <row r="22047">
      <c r="A22047" s="86" t="str">
        <f>IFERROR(__xludf.DUMMYFUNCTION("""COMPUTED_VALUE"""),"")</f>
        <v/>
      </c>
      <c r="B22047" s="87"/>
      <c r="C22047" s="87"/>
      <c r="D22047" s="87"/>
      <c r="E22047" s="87"/>
      <c r="F22047" s="87"/>
      <c r="G22047" s="87"/>
    </row>
    <row r="22048">
      <c r="A22048" s="86" t="str">
        <f>IFERROR(__xludf.DUMMYFUNCTION("""COMPUTED_VALUE"""),"")</f>
        <v/>
      </c>
      <c r="B22048" s="87"/>
      <c r="C22048" s="87"/>
      <c r="D22048" s="87"/>
      <c r="E22048" s="87"/>
      <c r="F22048" s="87"/>
      <c r="G22048" s="87"/>
    </row>
    <row r="22049">
      <c r="A22049" s="86" t="str">
        <f>IFERROR(__xludf.DUMMYFUNCTION("""COMPUTED_VALUE"""),"")</f>
        <v/>
      </c>
      <c r="B22049" s="87"/>
      <c r="C22049" s="87"/>
      <c r="D22049" s="87"/>
      <c r="E22049" s="87"/>
      <c r="F22049" s="87"/>
      <c r="G22049" s="87"/>
    </row>
    <row r="22050">
      <c r="A22050" s="86" t="str">
        <f>IFERROR(__xludf.DUMMYFUNCTION("""COMPUTED_VALUE"""),"")</f>
        <v/>
      </c>
      <c r="B22050" s="87"/>
      <c r="C22050" s="87"/>
      <c r="D22050" s="87"/>
      <c r="E22050" s="87"/>
      <c r="F22050" s="87"/>
      <c r="G22050" s="87"/>
    </row>
    <row r="22051">
      <c r="A22051" s="86" t="str">
        <f>IFERROR(__xludf.DUMMYFUNCTION("""COMPUTED_VALUE"""),"")</f>
        <v/>
      </c>
      <c r="B22051" s="87"/>
      <c r="C22051" s="87"/>
      <c r="D22051" s="87"/>
      <c r="E22051" s="87"/>
      <c r="F22051" s="87"/>
      <c r="G22051" s="87"/>
    </row>
    <row r="22052">
      <c r="A22052" s="86" t="str">
        <f>IFERROR(__xludf.DUMMYFUNCTION("""COMPUTED_VALUE"""),"")</f>
        <v/>
      </c>
      <c r="B22052" s="87"/>
      <c r="C22052" s="87"/>
      <c r="D22052" s="87"/>
      <c r="E22052" s="87"/>
      <c r="F22052" s="87"/>
      <c r="G22052" s="87"/>
    </row>
    <row r="22053">
      <c r="A22053" s="86" t="str">
        <f>IFERROR(__xludf.DUMMYFUNCTION("""COMPUTED_VALUE"""),"")</f>
        <v/>
      </c>
      <c r="B22053" s="87"/>
      <c r="C22053" s="87"/>
      <c r="D22053" s="87"/>
      <c r="E22053" s="87"/>
      <c r="F22053" s="87"/>
      <c r="G22053" s="87"/>
    </row>
    <row r="22054">
      <c r="A22054" s="86" t="str">
        <f>IFERROR(__xludf.DUMMYFUNCTION("""COMPUTED_VALUE"""),"")</f>
        <v/>
      </c>
      <c r="B22054" s="87"/>
      <c r="C22054" s="87"/>
      <c r="D22054" s="87"/>
      <c r="E22054" s="87"/>
      <c r="F22054" s="87"/>
      <c r="G22054" s="87"/>
    </row>
    <row r="22055">
      <c r="A22055" s="86" t="str">
        <f>IFERROR(__xludf.DUMMYFUNCTION("""COMPUTED_VALUE"""),"")</f>
        <v/>
      </c>
      <c r="B22055" s="87"/>
      <c r="C22055" s="87"/>
      <c r="D22055" s="87"/>
      <c r="E22055" s="87"/>
      <c r="F22055" s="87"/>
      <c r="G22055" s="87"/>
    </row>
    <row r="22056">
      <c r="A22056" s="86" t="str">
        <f>IFERROR(__xludf.DUMMYFUNCTION("""COMPUTED_VALUE"""),"")</f>
        <v/>
      </c>
      <c r="B22056" s="87"/>
      <c r="C22056" s="87"/>
      <c r="D22056" s="87"/>
      <c r="E22056" s="87"/>
      <c r="F22056" s="87"/>
      <c r="G22056" s="87"/>
    </row>
    <row r="22057">
      <c r="A22057" s="86" t="str">
        <f>IFERROR(__xludf.DUMMYFUNCTION("""COMPUTED_VALUE"""),"")</f>
        <v/>
      </c>
      <c r="B22057" s="87"/>
      <c r="C22057" s="87"/>
      <c r="D22057" s="87"/>
      <c r="E22057" s="87"/>
      <c r="F22057" s="87"/>
      <c r="G22057" s="87"/>
    </row>
    <row r="22058">
      <c r="A22058" s="86" t="str">
        <f>IFERROR(__xludf.DUMMYFUNCTION("""COMPUTED_VALUE"""),"")</f>
        <v/>
      </c>
      <c r="B22058" s="87"/>
      <c r="C22058" s="87"/>
      <c r="D22058" s="87"/>
      <c r="E22058" s="87"/>
      <c r="F22058" s="87"/>
      <c r="G22058" s="87"/>
    </row>
    <row r="22059">
      <c r="A22059" s="86" t="str">
        <f>IFERROR(__xludf.DUMMYFUNCTION("""COMPUTED_VALUE"""),"")</f>
        <v/>
      </c>
      <c r="B22059" s="87"/>
      <c r="C22059" s="87"/>
      <c r="D22059" s="87"/>
      <c r="E22059" s="87"/>
      <c r="F22059" s="87"/>
      <c r="G22059" s="87"/>
    </row>
    <row r="22060">
      <c r="A22060" s="86" t="str">
        <f>IFERROR(__xludf.DUMMYFUNCTION("""COMPUTED_VALUE"""),"")</f>
        <v/>
      </c>
      <c r="B22060" s="87"/>
      <c r="C22060" s="87"/>
      <c r="D22060" s="87"/>
      <c r="E22060" s="87"/>
      <c r="F22060" s="87"/>
      <c r="G22060" s="87"/>
    </row>
    <row r="22061">
      <c r="A22061" s="86" t="str">
        <f>IFERROR(__xludf.DUMMYFUNCTION("""COMPUTED_VALUE"""),"")</f>
        <v/>
      </c>
      <c r="B22061" s="87"/>
      <c r="C22061" s="87"/>
      <c r="D22061" s="87"/>
      <c r="E22061" s="87"/>
      <c r="F22061" s="87"/>
      <c r="G22061" s="87"/>
    </row>
    <row r="22062">
      <c r="A22062" s="86" t="str">
        <f>IFERROR(__xludf.DUMMYFUNCTION("""COMPUTED_VALUE"""),"")</f>
        <v/>
      </c>
      <c r="B22062" s="87"/>
      <c r="C22062" s="87"/>
      <c r="D22062" s="87"/>
      <c r="E22062" s="87"/>
      <c r="F22062" s="87"/>
      <c r="G22062" s="87"/>
    </row>
    <row r="22063">
      <c r="A22063" s="86" t="str">
        <f>IFERROR(__xludf.DUMMYFUNCTION("""COMPUTED_VALUE"""),"")</f>
        <v/>
      </c>
      <c r="B22063" s="87"/>
      <c r="C22063" s="87"/>
      <c r="D22063" s="87"/>
      <c r="E22063" s="87"/>
      <c r="F22063" s="87"/>
      <c r="G22063" s="87"/>
    </row>
    <row r="22064">
      <c r="A22064" s="86" t="str">
        <f>IFERROR(__xludf.DUMMYFUNCTION("""COMPUTED_VALUE"""),"")</f>
        <v/>
      </c>
      <c r="B22064" s="87"/>
      <c r="C22064" s="87"/>
      <c r="D22064" s="87"/>
      <c r="E22064" s="87"/>
      <c r="F22064" s="87"/>
      <c r="G22064" s="87"/>
    </row>
    <row r="22065">
      <c r="A22065" s="86" t="str">
        <f>IFERROR(__xludf.DUMMYFUNCTION("""COMPUTED_VALUE"""),"")</f>
        <v/>
      </c>
      <c r="B22065" s="87"/>
      <c r="C22065" s="87"/>
      <c r="D22065" s="87"/>
      <c r="E22065" s="87"/>
      <c r="F22065" s="87"/>
      <c r="G22065" s="87"/>
    </row>
    <row r="22066">
      <c r="A22066" s="86" t="str">
        <f>IFERROR(__xludf.DUMMYFUNCTION("""COMPUTED_VALUE"""),"")</f>
        <v/>
      </c>
      <c r="B22066" s="87"/>
      <c r="C22066" s="87"/>
      <c r="D22066" s="87"/>
      <c r="E22066" s="87"/>
      <c r="F22066" s="87"/>
      <c r="G22066" s="87"/>
    </row>
    <row r="22067">
      <c r="A22067" s="86" t="str">
        <f>IFERROR(__xludf.DUMMYFUNCTION("""COMPUTED_VALUE"""),"")</f>
        <v/>
      </c>
      <c r="B22067" s="87"/>
      <c r="C22067" s="87"/>
      <c r="D22067" s="87"/>
      <c r="E22067" s="87"/>
      <c r="F22067" s="87"/>
      <c r="G22067" s="87"/>
    </row>
    <row r="22068">
      <c r="A22068" s="86" t="str">
        <f>IFERROR(__xludf.DUMMYFUNCTION("""COMPUTED_VALUE"""),"")</f>
        <v/>
      </c>
      <c r="B22068" s="87"/>
      <c r="C22068" s="87"/>
      <c r="D22068" s="87"/>
      <c r="E22068" s="87"/>
      <c r="F22068" s="87"/>
      <c r="G22068" s="87"/>
    </row>
    <row r="22069">
      <c r="A22069" s="86" t="str">
        <f>IFERROR(__xludf.DUMMYFUNCTION("""COMPUTED_VALUE"""),"")</f>
        <v/>
      </c>
      <c r="B22069" s="87"/>
      <c r="C22069" s="87"/>
      <c r="D22069" s="87"/>
      <c r="E22069" s="87"/>
      <c r="F22069" s="87"/>
      <c r="G22069" s="87"/>
    </row>
    <row r="22070">
      <c r="A22070" s="86" t="str">
        <f>IFERROR(__xludf.DUMMYFUNCTION("""COMPUTED_VALUE"""),"")</f>
        <v/>
      </c>
      <c r="B22070" s="87"/>
      <c r="C22070" s="87"/>
      <c r="D22070" s="87"/>
      <c r="E22070" s="87"/>
      <c r="F22070" s="87"/>
      <c r="G22070" s="87"/>
    </row>
    <row r="22071">
      <c r="A22071" s="86" t="str">
        <f>IFERROR(__xludf.DUMMYFUNCTION("""COMPUTED_VALUE"""),"")</f>
        <v/>
      </c>
      <c r="B22071" s="87"/>
      <c r="C22071" s="87"/>
      <c r="D22071" s="87"/>
      <c r="E22071" s="87"/>
      <c r="F22071" s="87"/>
      <c r="G22071" s="87"/>
    </row>
    <row r="22072">
      <c r="A22072" s="86" t="str">
        <f>IFERROR(__xludf.DUMMYFUNCTION("""COMPUTED_VALUE"""),"")</f>
        <v/>
      </c>
      <c r="B22072" s="87"/>
      <c r="C22072" s="87"/>
      <c r="D22072" s="87"/>
      <c r="E22072" s="87"/>
      <c r="F22072" s="87"/>
      <c r="G22072" s="87"/>
    </row>
    <row r="22073">
      <c r="A22073" s="86" t="str">
        <f>IFERROR(__xludf.DUMMYFUNCTION("""COMPUTED_VALUE"""),"")</f>
        <v/>
      </c>
      <c r="B22073" s="87"/>
      <c r="C22073" s="87"/>
      <c r="D22073" s="87"/>
      <c r="E22073" s="87"/>
      <c r="F22073" s="87"/>
      <c r="G22073" s="87"/>
    </row>
    <row r="22074">
      <c r="A22074" s="86" t="str">
        <f>IFERROR(__xludf.DUMMYFUNCTION("""COMPUTED_VALUE"""),"")</f>
        <v/>
      </c>
      <c r="B22074" s="87"/>
      <c r="C22074" s="87"/>
      <c r="D22074" s="87"/>
      <c r="E22074" s="87"/>
      <c r="F22074" s="87"/>
      <c r="G22074" s="87"/>
    </row>
    <row r="22075">
      <c r="A22075" s="86" t="str">
        <f>IFERROR(__xludf.DUMMYFUNCTION("""COMPUTED_VALUE"""),"")</f>
        <v/>
      </c>
      <c r="B22075" s="87"/>
      <c r="C22075" s="87"/>
      <c r="D22075" s="87"/>
      <c r="E22075" s="87"/>
      <c r="F22075" s="87"/>
      <c r="G22075" s="87"/>
    </row>
    <row r="22076">
      <c r="A22076" s="86" t="str">
        <f>IFERROR(__xludf.DUMMYFUNCTION("""COMPUTED_VALUE"""),"")</f>
        <v/>
      </c>
      <c r="B22076" s="87"/>
      <c r="C22076" s="87"/>
      <c r="D22076" s="87"/>
      <c r="E22076" s="87"/>
      <c r="F22076" s="87"/>
      <c r="G22076" s="87"/>
    </row>
    <row r="22077">
      <c r="A22077" s="86" t="str">
        <f>IFERROR(__xludf.DUMMYFUNCTION("""COMPUTED_VALUE"""),"")</f>
        <v/>
      </c>
      <c r="B22077" s="87"/>
      <c r="C22077" s="87"/>
      <c r="D22077" s="87"/>
      <c r="E22077" s="87"/>
      <c r="F22077" s="87"/>
      <c r="G22077" s="87"/>
    </row>
    <row r="22078">
      <c r="A22078" s="86" t="str">
        <f>IFERROR(__xludf.DUMMYFUNCTION("""COMPUTED_VALUE"""),"")</f>
        <v/>
      </c>
      <c r="B22078" s="87"/>
      <c r="C22078" s="87"/>
      <c r="D22078" s="87"/>
      <c r="E22078" s="87"/>
      <c r="F22078" s="87"/>
      <c r="G22078" s="87"/>
    </row>
    <row r="22079">
      <c r="A22079" s="86" t="str">
        <f>IFERROR(__xludf.DUMMYFUNCTION("""COMPUTED_VALUE"""),"")</f>
        <v/>
      </c>
      <c r="B22079" s="87"/>
      <c r="C22079" s="87"/>
      <c r="D22079" s="87"/>
      <c r="E22079" s="87"/>
      <c r="F22079" s="87"/>
      <c r="G22079" s="87"/>
    </row>
    <row r="22080">
      <c r="A22080" s="86" t="str">
        <f>IFERROR(__xludf.DUMMYFUNCTION("""COMPUTED_VALUE"""),"")</f>
        <v/>
      </c>
      <c r="B22080" s="87"/>
      <c r="C22080" s="87"/>
      <c r="D22080" s="87"/>
      <c r="E22080" s="87"/>
      <c r="F22080" s="87"/>
      <c r="G22080" s="87"/>
    </row>
    <row r="22081">
      <c r="A22081" s="86" t="str">
        <f>IFERROR(__xludf.DUMMYFUNCTION("""COMPUTED_VALUE"""),"")</f>
        <v/>
      </c>
      <c r="B22081" s="87"/>
      <c r="C22081" s="87"/>
      <c r="D22081" s="87"/>
      <c r="E22081" s="87"/>
      <c r="F22081" s="87"/>
      <c r="G22081" s="87"/>
    </row>
    <row r="22082">
      <c r="A22082" s="86" t="str">
        <f>IFERROR(__xludf.DUMMYFUNCTION("""COMPUTED_VALUE"""),"")</f>
        <v/>
      </c>
      <c r="B22082" s="87"/>
      <c r="C22082" s="87"/>
      <c r="D22082" s="87"/>
      <c r="E22082" s="87"/>
      <c r="F22082" s="87"/>
      <c r="G22082" s="87"/>
    </row>
    <row r="22083">
      <c r="A22083" s="86" t="str">
        <f>IFERROR(__xludf.DUMMYFUNCTION("""COMPUTED_VALUE"""),"")</f>
        <v/>
      </c>
      <c r="B22083" s="87"/>
      <c r="C22083" s="87"/>
      <c r="D22083" s="87"/>
      <c r="E22083" s="87"/>
      <c r="F22083" s="87"/>
      <c r="G22083" s="87"/>
    </row>
    <row r="22084">
      <c r="A22084" s="86" t="str">
        <f>IFERROR(__xludf.DUMMYFUNCTION("""COMPUTED_VALUE"""),"")</f>
        <v/>
      </c>
      <c r="B22084" s="87"/>
      <c r="C22084" s="87"/>
      <c r="D22084" s="87"/>
      <c r="E22084" s="87"/>
      <c r="F22084" s="87"/>
      <c r="G22084" s="87"/>
    </row>
    <row r="22085">
      <c r="A22085" s="86" t="str">
        <f>IFERROR(__xludf.DUMMYFUNCTION("""COMPUTED_VALUE"""),"")</f>
        <v/>
      </c>
      <c r="B22085" s="87"/>
      <c r="C22085" s="87"/>
      <c r="D22085" s="87"/>
      <c r="E22085" s="87"/>
      <c r="F22085" s="87"/>
      <c r="G22085" s="87"/>
    </row>
    <row r="22086">
      <c r="A22086" s="86" t="str">
        <f>IFERROR(__xludf.DUMMYFUNCTION("""COMPUTED_VALUE"""),"")</f>
        <v/>
      </c>
      <c r="B22086" s="87"/>
      <c r="C22086" s="87"/>
      <c r="D22086" s="87"/>
      <c r="E22086" s="87"/>
      <c r="F22086" s="87"/>
      <c r="G22086" s="87"/>
    </row>
    <row r="22087">
      <c r="A22087" s="86" t="str">
        <f>IFERROR(__xludf.DUMMYFUNCTION("""COMPUTED_VALUE"""),"")</f>
        <v/>
      </c>
      <c r="B22087" s="87"/>
      <c r="C22087" s="87"/>
      <c r="D22087" s="87"/>
      <c r="E22087" s="87"/>
      <c r="F22087" s="87"/>
      <c r="G22087" s="87"/>
    </row>
    <row r="22088">
      <c r="A22088" s="86" t="str">
        <f>IFERROR(__xludf.DUMMYFUNCTION("""COMPUTED_VALUE"""),"")</f>
        <v/>
      </c>
      <c r="B22088" s="87"/>
      <c r="C22088" s="87"/>
      <c r="D22088" s="87"/>
      <c r="E22088" s="87"/>
      <c r="F22088" s="87"/>
      <c r="G22088" s="87"/>
    </row>
    <row r="22089">
      <c r="A22089" s="86" t="str">
        <f>IFERROR(__xludf.DUMMYFUNCTION("""COMPUTED_VALUE"""),"")</f>
        <v/>
      </c>
      <c r="B22089" s="87"/>
      <c r="C22089" s="87"/>
      <c r="D22089" s="87"/>
      <c r="E22089" s="87"/>
      <c r="F22089" s="87"/>
      <c r="G22089" s="87"/>
    </row>
    <row r="22090">
      <c r="A22090" s="86" t="str">
        <f>IFERROR(__xludf.DUMMYFUNCTION("""COMPUTED_VALUE"""),"")</f>
        <v/>
      </c>
      <c r="B22090" s="87"/>
      <c r="C22090" s="87"/>
      <c r="D22090" s="87"/>
      <c r="E22090" s="87"/>
      <c r="F22090" s="87"/>
      <c r="G22090" s="87"/>
    </row>
    <row r="22091">
      <c r="A22091" s="86" t="str">
        <f>IFERROR(__xludf.DUMMYFUNCTION("""COMPUTED_VALUE"""),"")</f>
        <v/>
      </c>
      <c r="B22091" s="87"/>
      <c r="C22091" s="87"/>
      <c r="D22091" s="87"/>
      <c r="E22091" s="87"/>
      <c r="F22091" s="87"/>
      <c r="G22091" s="87"/>
    </row>
    <row r="22092">
      <c r="A22092" s="86" t="str">
        <f>IFERROR(__xludf.DUMMYFUNCTION("""COMPUTED_VALUE"""),"")</f>
        <v/>
      </c>
      <c r="B22092" s="87"/>
      <c r="C22092" s="87"/>
      <c r="D22092" s="87"/>
      <c r="E22092" s="87"/>
      <c r="F22092" s="87"/>
      <c r="G22092" s="87"/>
    </row>
    <row r="22093">
      <c r="A22093" s="86" t="str">
        <f>IFERROR(__xludf.DUMMYFUNCTION("""COMPUTED_VALUE"""),"")</f>
        <v/>
      </c>
      <c r="B22093" s="87"/>
      <c r="C22093" s="87"/>
      <c r="D22093" s="87"/>
      <c r="E22093" s="87"/>
      <c r="F22093" s="87"/>
      <c r="G22093" s="87"/>
    </row>
    <row r="22094">
      <c r="A22094" s="86" t="str">
        <f>IFERROR(__xludf.DUMMYFUNCTION("""COMPUTED_VALUE"""),"")</f>
        <v/>
      </c>
      <c r="B22094" s="87"/>
      <c r="C22094" s="87"/>
      <c r="D22094" s="87"/>
      <c r="E22094" s="87"/>
      <c r="F22094" s="87"/>
      <c r="G22094" s="87"/>
    </row>
    <row r="22095">
      <c r="A22095" s="86" t="str">
        <f>IFERROR(__xludf.DUMMYFUNCTION("""COMPUTED_VALUE"""),"")</f>
        <v/>
      </c>
      <c r="B22095" s="87"/>
      <c r="C22095" s="87"/>
      <c r="D22095" s="87"/>
      <c r="E22095" s="87"/>
      <c r="F22095" s="87"/>
      <c r="G22095" s="87"/>
    </row>
    <row r="22096">
      <c r="A22096" s="86" t="str">
        <f>IFERROR(__xludf.DUMMYFUNCTION("""COMPUTED_VALUE"""),"")</f>
        <v/>
      </c>
      <c r="B22096" s="87"/>
      <c r="C22096" s="87"/>
      <c r="D22096" s="87"/>
      <c r="E22096" s="87"/>
      <c r="F22096" s="87"/>
      <c r="G22096" s="87"/>
    </row>
    <row r="22097">
      <c r="A22097" s="86" t="str">
        <f>IFERROR(__xludf.DUMMYFUNCTION("""COMPUTED_VALUE"""),"")</f>
        <v/>
      </c>
      <c r="B22097" s="87"/>
      <c r="C22097" s="87"/>
      <c r="D22097" s="87"/>
      <c r="E22097" s="87"/>
      <c r="F22097" s="87"/>
      <c r="G22097" s="87"/>
    </row>
    <row r="22098">
      <c r="A22098" s="86" t="str">
        <f>IFERROR(__xludf.DUMMYFUNCTION("""COMPUTED_VALUE"""),"")</f>
        <v/>
      </c>
      <c r="B22098" s="87"/>
      <c r="C22098" s="87"/>
      <c r="D22098" s="87"/>
      <c r="E22098" s="87"/>
      <c r="F22098" s="87"/>
      <c r="G22098" s="87"/>
    </row>
    <row r="22099">
      <c r="A22099" s="86" t="str">
        <f>IFERROR(__xludf.DUMMYFUNCTION("""COMPUTED_VALUE"""),"")</f>
        <v/>
      </c>
      <c r="B22099" s="87"/>
      <c r="C22099" s="87"/>
      <c r="D22099" s="87"/>
      <c r="E22099" s="87"/>
      <c r="F22099" s="87"/>
      <c r="G22099" s="87"/>
    </row>
    <row r="22100">
      <c r="A22100" s="86" t="str">
        <f>IFERROR(__xludf.DUMMYFUNCTION("""COMPUTED_VALUE"""),"")</f>
        <v/>
      </c>
      <c r="B22100" s="87"/>
      <c r="C22100" s="87"/>
      <c r="D22100" s="87"/>
      <c r="E22100" s="87"/>
      <c r="F22100" s="87"/>
      <c r="G22100" s="87"/>
    </row>
    <row r="22101">
      <c r="A22101" s="86" t="str">
        <f>IFERROR(__xludf.DUMMYFUNCTION("""COMPUTED_VALUE"""),"")</f>
        <v/>
      </c>
      <c r="B22101" s="87"/>
      <c r="C22101" s="87"/>
      <c r="D22101" s="87"/>
      <c r="E22101" s="87"/>
      <c r="F22101" s="87"/>
      <c r="G22101" s="87"/>
    </row>
    <row r="22102">
      <c r="A22102" s="86" t="str">
        <f>IFERROR(__xludf.DUMMYFUNCTION("""COMPUTED_VALUE"""),"")</f>
        <v/>
      </c>
      <c r="B22102" s="87"/>
      <c r="C22102" s="87"/>
      <c r="D22102" s="87"/>
      <c r="E22102" s="87"/>
      <c r="F22102" s="87"/>
      <c r="G22102" s="87"/>
    </row>
    <row r="22103">
      <c r="A22103" s="86" t="str">
        <f>IFERROR(__xludf.DUMMYFUNCTION("""COMPUTED_VALUE"""),"")</f>
        <v/>
      </c>
      <c r="B22103" s="87"/>
      <c r="C22103" s="87"/>
      <c r="D22103" s="87"/>
      <c r="E22103" s="87"/>
      <c r="F22103" s="87"/>
      <c r="G22103" s="87"/>
    </row>
    <row r="22104">
      <c r="A22104" s="86" t="str">
        <f>IFERROR(__xludf.DUMMYFUNCTION("""COMPUTED_VALUE"""),"")</f>
        <v/>
      </c>
      <c r="B22104" s="87"/>
      <c r="C22104" s="87"/>
      <c r="D22104" s="87"/>
      <c r="E22104" s="87"/>
      <c r="F22104" s="87"/>
      <c r="G22104" s="87"/>
    </row>
    <row r="22105">
      <c r="A22105" s="86" t="str">
        <f>IFERROR(__xludf.DUMMYFUNCTION("""COMPUTED_VALUE"""),"")</f>
        <v/>
      </c>
      <c r="B22105" s="87"/>
      <c r="C22105" s="87"/>
      <c r="D22105" s="87"/>
      <c r="E22105" s="87"/>
      <c r="F22105" s="87"/>
      <c r="G22105" s="87"/>
    </row>
    <row r="22106">
      <c r="A22106" s="86" t="str">
        <f>IFERROR(__xludf.DUMMYFUNCTION("""COMPUTED_VALUE"""),"")</f>
        <v/>
      </c>
      <c r="B22106" s="87"/>
      <c r="C22106" s="87"/>
      <c r="D22106" s="87"/>
      <c r="E22106" s="87"/>
      <c r="F22106" s="87"/>
      <c r="G22106" s="87"/>
    </row>
    <row r="22107">
      <c r="A22107" s="86" t="str">
        <f>IFERROR(__xludf.DUMMYFUNCTION("""COMPUTED_VALUE"""),"")</f>
        <v/>
      </c>
      <c r="B22107" s="87"/>
      <c r="C22107" s="87"/>
      <c r="D22107" s="87"/>
      <c r="E22107" s="87"/>
      <c r="F22107" s="87"/>
      <c r="G22107" s="87"/>
    </row>
    <row r="22108">
      <c r="A22108" s="86" t="str">
        <f>IFERROR(__xludf.DUMMYFUNCTION("""COMPUTED_VALUE"""),"")</f>
        <v/>
      </c>
      <c r="B22108" s="87"/>
      <c r="C22108" s="87"/>
      <c r="D22108" s="87"/>
      <c r="E22108" s="87"/>
      <c r="F22108" s="87"/>
      <c r="G22108" s="87"/>
    </row>
    <row r="22109">
      <c r="A22109" s="86" t="str">
        <f>IFERROR(__xludf.DUMMYFUNCTION("""COMPUTED_VALUE"""),"")</f>
        <v/>
      </c>
      <c r="B22109" s="87"/>
      <c r="C22109" s="87"/>
      <c r="D22109" s="87"/>
      <c r="E22109" s="87"/>
      <c r="F22109" s="87"/>
      <c r="G22109" s="87"/>
    </row>
    <row r="22110">
      <c r="A22110" s="86" t="str">
        <f>IFERROR(__xludf.DUMMYFUNCTION("""COMPUTED_VALUE"""),"")</f>
        <v/>
      </c>
      <c r="B22110" s="87"/>
      <c r="C22110" s="87"/>
      <c r="D22110" s="87"/>
      <c r="E22110" s="87"/>
      <c r="F22110" s="87"/>
      <c r="G22110" s="87"/>
    </row>
    <row r="22111">
      <c r="A22111" s="86" t="str">
        <f>IFERROR(__xludf.DUMMYFUNCTION("""COMPUTED_VALUE"""),"")</f>
        <v/>
      </c>
      <c r="B22111" s="87"/>
      <c r="C22111" s="87"/>
      <c r="D22111" s="87"/>
      <c r="E22111" s="87"/>
      <c r="F22111" s="87"/>
      <c r="G22111" s="87"/>
    </row>
    <row r="22112">
      <c r="A22112" s="86" t="str">
        <f>IFERROR(__xludf.DUMMYFUNCTION("""COMPUTED_VALUE"""),"")</f>
        <v/>
      </c>
      <c r="B22112" s="87"/>
      <c r="C22112" s="87"/>
      <c r="D22112" s="87"/>
      <c r="E22112" s="87"/>
      <c r="F22112" s="87"/>
      <c r="G22112" s="87"/>
    </row>
    <row r="22113">
      <c r="A22113" s="86" t="str">
        <f>IFERROR(__xludf.DUMMYFUNCTION("""COMPUTED_VALUE"""),"")</f>
        <v/>
      </c>
      <c r="B22113" s="87"/>
      <c r="C22113" s="87"/>
      <c r="D22113" s="87"/>
      <c r="E22113" s="87"/>
      <c r="F22113" s="87"/>
      <c r="G22113" s="87"/>
    </row>
    <row r="22114">
      <c r="A22114" s="86" t="str">
        <f>IFERROR(__xludf.DUMMYFUNCTION("""COMPUTED_VALUE"""),"")</f>
        <v/>
      </c>
      <c r="B22114" s="87"/>
      <c r="C22114" s="87"/>
      <c r="D22114" s="87"/>
      <c r="E22114" s="87"/>
      <c r="F22114" s="87"/>
      <c r="G22114" s="87"/>
    </row>
    <row r="22115">
      <c r="A22115" s="86" t="str">
        <f>IFERROR(__xludf.DUMMYFUNCTION("""COMPUTED_VALUE"""),"")</f>
        <v/>
      </c>
      <c r="B22115" s="87"/>
      <c r="C22115" s="87"/>
      <c r="D22115" s="87"/>
      <c r="E22115" s="87"/>
      <c r="F22115" s="87"/>
      <c r="G22115" s="87"/>
    </row>
    <row r="22116">
      <c r="A22116" s="86" t="str">
        <f>IFERROR(__xludf.DUMMYFUNCTION("""COMPUTED_VALUE"""),"")</f>
        <v/>
      </c>
      <c r="B22116" s="87"/>
      <c r="C22116" s="87"/>
      <c r="D22116" s="87"/>
      <c r="E22116" s="87"/>
      <c r="F22116" s="87"/>
      <c r="G22116" s="87"/>
    </row>
    <row r="22117">
      <c r="A22117" s="86" t="str">
        <f>IFERROR(__xludf.DUMMYFUNCTION("""COMPUTED_VALUE"""),"")</f>
        <v/>
      </c>
      <c r="B22117" s="87"/>
      <c r="C22117" s="87"/>
      <c r="D22117" s="87"/>
      <c r="E22117" s="87"/>
      <c r="F22117" s="87"/>
      <c r="G22117" s="87"/>
    </row>
    <row r="22118">
      <c r="A22118" s="86" t="str">
        <f>IFERROR(__xludf.DUMMYFUNCTION("""COMPUTED_VALUE"""),"")</f>
        <v/>
      </c>
      <c r="B22118" s="87"/>
      <c r="C22118" s="87"/>
      <c r="D22118" s="87"/>
      <c r="E22118" s="87"/>
      <c r="F22118" s="87"/>
      <c r="G22118" s="87"/>
    </row>
    <row r="22119">
      <c r="A22119" s="86" t="str">
        <f>IFERROR(__xludf.DUMMYFUNCTION("""COMPUTED_VALUE"""),"")</f>
        <v/>
      </c>
      <c r="B22119" s="87"/>
      <c r="C22119" s="87"/>
      <c r="D22119" s="87"/>
      <c r="E22119" s="87"/>
      <c r="F22119" s="87"/>
      <c r="G22119" s="87"/>
    </row>
    <row r="22120">
      <c r="A22120" s="86" t="str">
        <f>IFERROR(__xludf.DUMMYFUNCTION("""COMPUTED_VALUE"""),"")</f>
        <v/>
      </c>
      <c r="B22120" s="87"/>
      <c r="C22120" s="87"/>
      <c r="D22120" s="87"/>
      <c r="E22120" s="87"/>
      <c r="F22120" s="87"/>
      <c r="G22120" s="87"/>
    </row>
    <row r="22121">
      <c r="A22121" s="86" t="str">
        <f>IFERROR(__xludf.DUMMYFUNCTION("""COMPUTED_VALUE"""),"")</f>
        <v/>
      </c>
      <c r="B22121" s="87"/>
      <c r="C22121" s="87"/>
      <c r="D22121" s="87"/>
      <c r="E22121" s="87"/>
      <c r="F22121" s="87"/>
      <c r="G22121" s="87"/>
    </row>
    <row r="22122">
      <c r="A22122" s="86" t="str">
        <f>IFERROR(__xludf.DUMMYFUNCTION("""COMPUTED_VALUE"""),"")</f>
        <v/>
      </c>
      <c r="B22122" s="87"/>
      <c r="C22122" s="87"/>
      <c r="D22122" s="87"/>
      <c r="E22122" s="87"/>
      <c r="F22122" s="87"/>
      <c r="G22122" s="87"/>
    </row>
    <row r="22123">
      <c r="A22123" s="86" t="str">
        <f>IFERROR(__xludf.DUMMYFUNCTION("""COMPUTED_VALUE"""),"")</f>
        <v/>
      </c>
      <c r="B22123" s="87"/>
      <c r="C22123" s="87"/>
      <c r="D22123" s="87"/>
      <c r="E22123" s="87"/>
      <c r="F22123" s="87"/>
      <c r="G22123" s="87"/>
    </row>
    <row r="22124">
      <c r="A22124" s="86" t="str">
        <f>IFERROR(__xludf.DUMMYFUNCTION("""COMPUTED_VALUE"""),"")</f>
        <v/>
      </c>
      <c r="B22124" s="87"/>
      <c r="C22124" s="87"/>
      <c r="D22124" s="87"/>
      <c r="E22124" s="87"/>
      <c r="F22124" s="87"/>
      <c r="G22124" s="87"/>
    </row>
    <row r="22125">
      <c r="A22125" s="86" t="str">
        <f>IFERROR(__xludf.DUMMYFUNCTION("""COMPUTED_VALUE"""),"")</f>
        <v/>
      </c>
      <c r="B22125" s="87"/>
      <c r="C22125" s="87"/>
      <c r="D22125" s="87"/>
      <c r="E22125" s="87"/>
      <c r="F22125" s="87"/>
      <c r="G22125" s="87"/>
    </row>
    <row r="22126">
      <c r="A22126" s="86" t="str">
        <f>IFERROR(__xludf.DUMMYFUNCTION("""COMPUTED_VALUE"""),"")</f>
        <v/>
      </c>
      <c r="B22126" s="87"/>
      <c r="C22126" s="87"/>
      <c r="D22126" s="87"/>
      <c r="E22126" s="87"/>
      <c r="F22126" s="87"/>
      <c r="G22126" s="87"/>
    </row>
    <row r="22127">
      <c r="A22127" s="86" t="str">
        <f>IFERROR(__xludf.DUMMYFUNCTION("""COMPUTED_VALUE"""),"")</f>
        <v/>
      </c>
      <c r="B22127" s="87"/>
      <c r="C22127" s="87"/>
      <c r="D22127" s="87"/>
      <c r="E22127" s="87"/>
      <c r="F22127" s="87"/>
      <c r="G22127" s="87"/>
    </row>
    <row r="22128">
      <c r="A22128" s="86" t="str">
        <f>IFERROR(__xludf.DUMMYFUNCTION("""COMPUTED_VALUE"""),"")</f>
        <v/>
      </c>
      <c r="B22128" s="87"/>
      <c r="C22128" s="87"/>
      <c r="D22128" s="87"/>
      <c r="E22128" s="87"/>
      <c r="F22128" s="87"/>
      <c r="G22128" s="87"/>
    </row>
    <row r="22129">
      <c r="A22129" s="86" t="str">
        <f>IFERROR(__xludf.DUMMYFUNCTION("""COMPUTED_VALUE"""),"")</f>
        <v/>
      </c>
      <c r="B22129" s="87"/>
      <c r="C22129" s="87"/>
      <c r="D22129" s="87"/>
      <c r="E22129" s="87"/>
      <c r="F22129" s="87"/>
      <c r="G22129" s="87"/>
    </row>
    <row r="22130">
      <c r="A22130" s="86" t="str">
        <f>IFERROR(__xludf.DUMMYFUNCTION("""COMPUTED_VALUE"""),"")</f>
        <v/>
      </c>
      <c r="B22130" s="87"/>
      <c r="C22130" s="87"/>
      <c r="D22130" s="87"/>
      <c r="E22130" s="87"/>
      <c r="F22130" s="87"/>
      <c r="G22130" s="87"/>
    </row>
    <row r="22131">
      <c r="A22131" s="86" t="str">
        <f>IFERROR(__xludf.DUMMYFUNCTION("""COMPUTED_VALUE"""),"")</f>
        <v/>
      </c>
      <c r="B22131" s="87"/>
      <c r="C22131" s="87"/>
      <c r="D22131" s="87"/>
      <c r="E22131" s="87"/>
      <c r="F22131" s="87"/>
      <c r="G22131" s="87"/>
    </row>
    <row r="22132">
      <c r="A22132" s="86" t="str">
        <f>IFERROR(__xludf.DUMMYFUNCTION("""COMPUTED_VALUE"""),"")</f>
        <v/>
      </c>
      <c r="B22132" s="87"/>
      <c r="C22132" s="87"/>
      <c r="D22132" s="87"/>
      <c r="E22132" s="87"/>
      <c r="F22132" s="87"/>
      <c r="G22132" s="87"/>
    </row>
    <row r="22133">
      <c r="A22133" s="86" t="str">
        <f>IFERROR(__xludf.DUMMYFUNCTION("""COMPUTED_VALUE"""),"")</f>
        <v/>
      </c>
      <c r="B22133" s="87"/>
      <c r="C22133" s="87"/>
      <c r="D22133" s="87"/>
      <c r="E22133" s="87"/>
      <c r="F22133" s="87"/>
      <c r="G22133" s="87"/>
    </row>
    <row r="22134">
      <c r="A22134" s="86" t="str">
        <f>IFERROR(__xludf.DUMMYFUNCTION("""COMPUTED_VALUE"""),"")</f>
        <v/>
      </c>
      <c r="B22134" s="87"/>
      <c r="C22134" s="87"/>
      <c r="D22134" s="87"/>
      <c r="E22134" s="87"/>
      <c r="F22134" s="87"/>
      <c r="G22134" s="87"/>
    </row>
    <row r="22135">
      <c r="A22135" s="86" t="str">
        <f>IFERROR(__xludf.DUMMYFUNCTION("""COMPUTED_VALUE"""),"")</f>
        <v/>
      </c>
      <c r="B22135" s="87"/>
      <c r="C22135" s="87"/>
      <c r="D22135" s="87"/>
      <c r="E22135" s="87"/>
      <c r="F22135" s="87"/>
      <c r="G22135" s="87"/>
    </row>
    <row r="22136">
      <c r="A22136" s="86" t="str">
        <f>IFERROR(__xludf.DUMMYFUNCTION("""COMPUTED_VALUE"""),"")</f>
        <v/>
      </c>
      <c r="B22136" s="87"/>
      <c r="C22136" s="87"/>
      <c r="D22136" s="87"/>
      <c r="E22136" s="87"/>
      <c r="F22136" s="87"/>
      <c r="G22136" s="87"/>
    </row>
    <row r="22137">
      <c r="A22137" s="86" t="str">
        <f>IFERROR(__xludf.DUMMYFUNCTION("""COMPUTED_VALUE"""),"")</f>
        <v/>
      </c>
      <c r="B22137" s="87"/>
      <c r="C22137" s="87"/>
      <c r="D22137" s="87"/>
      <c r="E22137" s="87"/>
      <c r="F22137" s="87"/>
      <c r="G22137" s="87"/>
    </row>
    <row r="22138">
      <c r="A22138" s="86" t="str">
        <f>IFERROR(__xludf.DUMMYFUNCTION("""COMPUTED_VALUE"""),"")</f>
        <v/>
      </c>
      <c r="B22138" s="87"/>
      <c r="C22138" s="87"/>
      <c r="D22138" s="87"/>
      <c r="E22138" s="87"/>
      <c r="F22138" s="87"/>
      <c r="G22138" s="87"/>
    </row>
    <row r="22139">
      <c r="A22139" s="86" t="str">
        <f>IFERROR(__xludf.DUMMYFUNCTION("""COMPUTED_VALUE"""),"")</f>
        <v/>
      </c>
      <c r="B22139" s="87"/>
      <c r="C22139" s="87"/>
      <c r="D22139" s="87"/>
      <c r="E22139" s="87"/>
      <c r="F22139" s="87"/>
      <c r="G22139" s="87"/>
    </row>
    <row r="22140">
      <c r="A22140" s="86" t="str">
        <f>IFERROR(__xludf.DUMMYFUNCTION("""COMPUTED_VALUE"""),"")</f>
        <v/>
      </c>
      <c r="B22140" s="87"/>
      <c r="C22140" s="87"/>
      <c r="D22140" s="87"/>
      <c r="E22140" s="87"/>
      <c r="F22140" s="87"/>
      <c r="G22140" s="87"/>
    </row>
    <row r="22141">
      <c r="A22141" s="86" t="str">
        <f>IFERROR(__xludf.DUMMYFUNCTION("""COMPUTED_VALUE"""),"")</f>
        <v/>
      </c>
      <c r="B22141" s="87"/>
      <c r="C22141" s="87"/>
      <c r="D22141" s="87"/>
      <c r="E22141" s="87"/>
      <c r="F22141" s="87"/>
      <c r="G22141" s="87"/>
    </row>
    <row r="22142">
      <c r="A22142" s="86" t="str">
        <f>IFERROR(__xludf.DUMMYFUNCTION("""COMPUTED_VALUE"""),"")</f>
        <v/>
      </c>
      <c r="B22142" s="87"/>
      <c r="C22142" s="87"/>
      <c r="D22142" s="87"/>
      <c r="E22142" s="87"/>
      <c r="F22142" s="87"/>
      <c r="G22142" s="87"/>
    </row>
    <row r="22143">
      <c r="A22143" s="86" t="str">
        <f>IFERROR(__xludf.DUMMYFUNCTION("""COMPUTED_VALUE"""),"")</f>
        <v/>
      </c>
      <c r="B22143" s="87"/>
      <c r="C22143" s="87"/>
      <c r="D22143" s="87"/>
      <c r="E22143" s="87"/>
      <c r="F22143" s="87"/>
      <c r="G22143" s="87"/>
    </row>
    <row r="22144">
      <c r="A22144" s="86" t="str">
        <f>IFERROR(__xludf.DUMMYFUNCTION("""COMPUTED_VALUE"""),"")</f>
        <v/>
      </c>
      <c r="B22144" s="87"/>
      <c r="C22144" s="87"/>
      <c r="D22144" s="87"/>
      <c r="E22144" s="87"/>
      <c r="F22144" s="87"/>
      <c r="G22144" s="87"/>
    </row>
    <row r="22145">
      <c r="A22145" s="86" t="str">
        <f>IFERROR(__xludf.DUMMYFUNCTION("""COMPUTED_VALUE"""),"")</f>
        <v/>
      </c>
      <c r="B22145" s="87"/>
      <c r="C22145" s="87"/>
      <c r="D22145" s="87"/>
      <c r="E22145" s="87"/>
      <c r="F22145" s="87"/>
      <c r="G22145" s="87"/>
    </row>
    <row r="22146">
      <c r="A22146" s="86" t="str">
        <f>IFERROR(__xludf.DUMMYFUNCTION("""COMPUTED_VALUE"""),"")</f>
        <v/>
      </c>
      <c r="B22146" s="87"/>
      <c r="C22146" s="87"/>
      <c r="D22146" s="87"/>
      <c r="E22146" s="87"/>
      <c r="F22146" s="87"/>
      <c r="G22146" s="87"/>
    </row>
    <row r="22147">
      <c r="A22147" s="86" t="str">
        <f>IFERROR(__xludf.DUMMYFUNCTION("""COMPUTED_VALUE"""),"")</f>
        <v/>
      </c>
      <c r="B22147" s="87"/>
      <c r="C22147" s="87"/>
      <c r="D22147" s="87"/>
      <c r="E22147" s="87"/>
      <c r="F22147" s="87"/>
      <c r="G22147" s="87"/>
    </row>
    <row r="22148">
      <c r="A22148" s="86" t="str">
        <f>IFERROR(__xludf.DUMMYFUNCTION("""COMPUTED_VALUE"""),"")</f>
        <v/>
      </c>
      <c r="B22148" s="87"/>
      <c r="C22148" s="87"/>
      <c r="D22148" s="87"/>
      <c r="E22148" s="87"/>
      <c r="F22148" s="87"/>
      <c r="G22148" s="87"/>
    </row>
    <row r="22149">
      <c r="A22149" s="86" t="str">
        <f>IFERROR(__xludf.DUMMYFUNCTION("""COMPUTED_VALUE"""),"")</f>
        <v/>
      </c>
      <c r="B22149" s="87"/>
      <c r="C22149" s="87"/>
      <c r="D22149" s="87"/>
      <c r="E22149" s="87"/>
      <c r="F22149" s="87"/>
      <c r="G22149" s="87"/>
    </row>
    <row r="22150">
      <c r="A22150" s="86" t="str">
        <f>IFERROR(__xludf.DUMMYFUNCTION("""COMPUTED_VALUE"""),"")</f>
        <v/>
      </c>
      <c r="B22150" s="87"/>
      <c r="C22150" s="87"/>
      <c r="D22150" s="87"/>
      <c r="E22150" s="87"/>
      <c r="F22150" s="87"/>
      <c r="G22150" s="87"/>
    </row>
    <row r="22151">
      <c r="A22151" s="86" t="str">
        <f>IFERROR(__xludf.DUMMYFUNCTION("""COMPUTED_VALUE"""),"")</f>
        <v/>
      </c>
      <c r="B22151" s="87"/>
      <c r="C22151" s="87"/>
      <c r="D22151" s="87"/>
      <c r="E22151" s="87"/>
      <c r="F22151" s="87"/>
      <c r="G22151" s="87"/>
    </row>
    <row r="22152">
      <c r="A22152" s="86" t="str">
        <f>IFERROR(__xludf.DUMMYFUNCTION("""COMPUTED_VALUE"""),"")</f>
        <v/>
      </c>
      <c r="B22152" s="87"/>
      <c r="C22152" s="87"/>
      <c r="D22152" s="87"/>
      <c r="E22152" s="87"/>
      <c r="F22152" s="87"/>
      <c r="G22152" s="87"/>
    </row>
    <row r="22153">
      <c r="A22153" s="86" t="str">
        <f>IFERROR(__xludf.DUMMYFUNCTION("""COMPUTED_VALUE"""),"")</f>
        <v/>
      </c>
      <c r="B22153" s="87"/>
      <c r="C22153" s="87"/>
      <c r="D22153" s="87"/>
      <c r="E22153" s="87"/>
      <c r="F22153" s="87"/>
      <c r="G22153" s="87"/>
    </row>
    <row r="22154">
      <c r="A22154" s="86" t="str">
        <f>IFERROR(__xludf.DUMMYFUNCTION("""COMPUTED_VALUE"""),"")</f>
        <v/>
      </c>
      <c r="B22154" s="87"/>
      <c r="C22154" s="87"/>
      <c r="D22154" s="87"/>
      <c r="E22154" s="87"/>
      <c r="F22154" s="87"/>
      <c r="G22154" s="87"/>
    </row>
    <row r="22155">
      <c r="A22155" s="87"/>
      <c r="B22155" s="87"/>
      <c r="C22155" s="87"/>
      <c r="D22155" s="87"/>
      <c r="E22155" s="87"/>
      <c r="F22155" s="87"/>
      <c r="G22155" s="87"/>
    </row>
    <row r="22156">
      <c r="A22156" s="87"/>
      <c r="B22156" s="87"/>
      <c r="C22156" s="87"/>
      <c r="D22156" s="87"/>
      <c r="E22156" s="87"/>
      <c r="F22156" s="87"/>
      <c r="G22156" s="87"/>
    </row>
    <row r="22157">
      <c r="A22157" s="87"/>
      <c r="B22157" s="87"/>
      <c r="C22157" s="87"/>
      <c r="D22157" s="87"/>
      <c r="E22157" s="87"/>
      <c r="F22157" s="87"/>
      <c r="G22157" s="87"/>
    </row>
    <row r="22158">
      <c r="A22158" s="87"/>
      <c r="B22158" s="87"/>
      <c r="C22158" s="87"/>
      <c r="D22158" s="87"/>
      <c r="E22158" s="87"/>
      <c r="F22158" s="87"/>
      <c r="G22158" s="87"/>
    </row>
    <row r="22159">
      <c r="A22159" s="87"/>
      <c r="B22159" s="87"/>
      <c r="C22159" s="87"/>
      <c r="D22159" s="87"/>
      <c r="E22159" s="87"/>
      <c r="F22159" s="87"/>
      <c r="G22159" s="87"/>
    </row>
    <row r="22160">
      <c r="A22160" s="87"/>
      <c r="B22160" s="87"/>
      <c r="C22160" s="87"/>
      <c r="D22160" s="87"/>
      <c r="E22160" s="87"/>
      <c r="F22160" s="87"/>
      <c r="G22160" s="87"/>
    </row>
    <row r="22161">
      <c r="A22161" s="87"/>
      <c r="B22161" s="87"/>
      <c r="C22161" s="87"/>
      <c r="D22161" s="87"/>
      <c r="E22161" s="87"/>
      <c r="F22161" s="87"/>
      <c r="G22161" s="87"/>
    </row>
    <row r="22162">
      <c r="A22162" s="87"/>
      <c r="B22162" s="87"/>
      <c r="C22162" s="87"/>
      <c r="D22162" s="87"/>
      <c r="E22162" s="87"/>
      <c r="F22162" s="87"/>
      <c r="G22162" s="87"/>
    </row>
    <row r="22163">
      <c r="A22163" s="87"/>
      <c r="B22163" s="87"/>
      <c r="C22163" s="87"/>
      <c r="D22163" s="87"/>
      <c r="E22163" s="87"/>
      <c r="F22163" s="87"/>
      <c r="G22163" s="87"/>
    </row>
    <row r="22164">
      <c r="A22164" s="87"/>
      <c r="B22164" s="87"/>
      <c r="C22164" s="87"/>
      <c r="D22164" s="87"/>
      <c r="E22164" s="87"/>
      <c r="F22164" s="87"/>
      <c r="G22164" s="87"/>
    </row>
    <row r="22165">
      <c r="A22165" s="87"/>
      <c r="B22165" s="87"/>
      <c r="C22165" s="87"/>
      <c r="D22165" s="87"/>
      <c r="E22165" s="87"/>
      <c r="F22165" s="87"/>
      <c r="G22165" s="87"/>
    </row>
    <row r="22166">
      <c r="A22166" s="87"/>
      <c r="B22166" s="87"/>
      <c r="C22166" s="87"/>
      <c r="D22166" s="87"/>
      <c r="E22166" s="87"/>
      <c r="F22166" s="87"/>
      <c r="G22166" s="87"/>
    </row>
    <row r="22167">
      <c r="A22167" s="87"/>
      <c r="B22167" s="87"/>
      <c r="C22167" s="87"/>
      <c r="D22167" s="87"/>
      <c r="E22167" s="87"/>
      <c r="F22167" s="87"/>
      <c r="G22167" s="87"/>
    </row>
    <row r="22168">
      <c r="A22168" s="87"/>
      <c r="B22168" s="87"/>
      <c r="C22168" s="87"/>
      <c r="D22168" s="87"/>
      <c r="E22168" s="87"/>
      <c r="F22168" s="87"/>
      <c r="G22168" s="87"/>
    </row>
    <row r="22169">
      <c r="A22169" s="87"/>
      <c r="B22169" s="87"/>
      <c r="C22169" s="87"/>
      <c r="D22169" s="87"/>
      <c r="E22169" s="87"/>
      <c r="F22169" s="87"/>
      <c r="G22169" s="87"/>
    </row>
    <row r="22170">
      <c r="A22170" s="87"/>
      <c r="B22170" s="87"/>
      <c r="C22170" s="87"/>
      <c r="D22170" s="87"/>
      <c r="E22170" s="87"/>
      <c r="F22170" s="87"/>
      <c r="G22170" s="87"/>
    </row>
    <row r="22171">
      <c r="A22171" s="87"/>
      <c r="B22171" s="87"/>
      <c r="C22171" s="87"/>
      <c r="D22171" s="87"/>
      <c r="E22171" s="87"/>
      <c r="F22171" s="87"/>
      <c r="G22171" s="87"/>
    </row>
    <row r="22172">
      <c r="A22172" s="87"/>
      <c r="B22172" s="87"/>
      <c r="C22172" s="87"/>
      <c r="D22172" s="87"/>
      <c r="E22172" s="87"/>
      <c r="F22172" s="87"/>
      <c r="G22172" s="87"/>
    </row>
    <row r="22173">
      <c r="A22173" s="87"/>
      <c r="B22173" s="87"/>
      <c r="C22173" s="87"/>
      <c r="D22173" s="87"/>
      <c r="E22173" s="87"/>
      <c r="F22173" s="87"/>
      <c r="G22173" s="87"/>
    </row>
    <row r="22174">
      <c r="A22174" s="87"/>
      <c r="B22174" s="87"/>
      <c r="C22174" s="87"/>
      <c r="D22174" s="87"/>
      <c r="E22174" s="87"/>
      <c r="F22174" s="87"/>
      <c r="G22174" s="87"/>
    </row>
    <row r="22175">
      <c r="A22175" s="87"/>
      <c r="B22175" s="87"/>
      <c r="C22175" s="87"/>
      <c r="D22175" s="87"/>
      <c r="E22175" s="87"/>
      <c r="F22175" s="87"/>
      <c r="G22175" s="87"/>
    </row>
    <row r="22176">
      <c r="A22176" s="87"/>
      <c r="B22176" s="87"/>
      <c r="C22176" s="87"/>
      <c r="D22176" s="87"/>
      <c r="E22176" s="87"/>
      <c r="F22176" s="87"/>
      <c r="G22176" s="87"/>
    </row>
    <row r="22177">
      <c r="A22177" s="87"/>
      <c r="B22177" s="87"/>
      <c r="C22177" s="87"/>
      <c r="D22177" s="87"/>
      <c r="E22177" s="87"/>
      <c r="F22177" s="87"/>
      <c r="G22177" s="87"/>
    </row>
    <row r="22178">
      <c r="A22178" s="87"/>
      <c r="B22178" s="87"/>
      <c r="C22178" s="87"/>
      <c r="D22178" s="87"/>
      <c r="E22178" s="87"/>
      <c r="F22178" s="87"/>
      <c r="G22178" s="87"/>
    </row>
    <row r="22179">
      <c r="A22179" s="87"/>
      <c r="B22179" s="87"/>
      <c r="C22179" s="87"/>
      <c r="D22179" s="87"/>
      <c r="E22179" s="87"/>
      <c r="F22179" s="87"/>
      <c r="G22179" s="87"/>
    </row>
    <row r="22180">
      <c r="A22180" s="87"/>
      <c r="B22180" s="87"/>
      <c r="C22180" s="87"/>
      <c r="D22180" s="87"/>
      <c r="E22180" s="87"/>
      <c r="F22180" s="87"/>
      <c r="G22180" s="87"/>
    </row>
    <row r="22181">
      <c r="A22181" s="87"/>
      <c r="B22181" s="87"/>
      <c r="C22181" s="87"/>
      <c r="D22181" s="87"/>
      <c r="E22181" s="87"/>
      <c r="F22181" s="87"/>
      <c r="G22181" s="87"/>
    </row>
    <row r="22182">
      <c r="A22182" s="87"/>
      <c r="B22182" s="87"/>
      <c r="C22182" s="87"/>
      <c r="D22182" s="87"/>
      <c r="E22182" s="87"/>
      <c r="F22182" s="87"/>
      <c r="G22182" s="87"/>
    </row>
    <row r="22183">
      <c r="A22183" s="87"/>
      <c r="B22183" s="87"/>
      <c r="C22183" s="87"/>
      <c r="D22183" s="87"/>
      <c r="E22183" s="87"/>
      <c r="F22183" s="87"/>
      <c r="G22183" s="87"/>
    </row>
    <row r="22184">
      <c r="A22184" s="87"/>
      <c r="B22184" s="87"/>
      <c r="C22184" s="87"/>
      <c r="D22184" s="87"/>
      <c r="E22184" s="87"/>
      <c r="F22184" s="87"/>
      <c r="G22184" s="87"/>
    </row>
    <row r="22185">
      <c r="A22185" s="87"/>
      <c r="B22185" s="87"/>
      <c r="C22185" s="87"/>
      <c r="D22185" s="87"/>
      <c r="E22185" s="87"/>
      <c r="F22185" s="87"/>
      <c r="G22185" s="87"/>
    </row>
    <row r="22186">
      <c r="A22186" s="87"/>
      <c r="B22186" s="87"/>
      <c r="C22186" s="87"/>
      <c r="D22186" s="87"/>
      <c r="E22186" s="87"/>
      <c r="F22186" s="87"/>
      <c r="G22186" s="87"/>
    </row>
    <row r="22187">
      <c r="A22187" s="87"/>
      <c r="B22187" s="87"/>
      <c r="C22187" s="87"/>
      <c r="D22187" s="87"/>
      <c r="E22187" s="87"/>
      <c r="F22187" s="87"/>
      <c r="G22187" s="87"/>
    </row>
    <row r="22188">
      <c r="A22188" s="87"/>
      <c r="B22188" s="87"/>
      <c r="C22188" s="87"/>
      <c r="D22188" s="87"/>
      <c r="E22188" s="87"/>
      <c r="F22188" s="87"/>
      <c r="G22188" s="87"/>
    </row>
    <row r="22189">
      <c r="A22189" s="87"/>
      <c r="B22189" s="87"/>
      <c r="C22189" s="87"/>
      <c r="D22189" s="87"/>
      <c r="E22189" s="87"/>
      <c r="F22189" s="87"/>
      <c r="G22189" s="87"/>
    </row>
    <row r="22190">
      <c r="A22190" s="87"/>
      <c r="B22190" s="87"/>
      <c r="C22190" s="87"/>
      <c r="D22190" s="87"/>
      <c r="E22190" s="87"/>
      <c r="F22190" s="87"/>
      <c r="G22190" s="87"/>
    </row>
    <row r="22191">
      <c r="A22191" s="87"/>
      <c r="B22191" s="87"/>
      <c r="C22191" s="87"/>
      <c r="D22191" s="87"/>
      <c r="E22191" s="87"/>
      <c r="F22191" s="87"/>
      <c r="G22191" s="87"/>
    </row>
    <row r="22192">
      <c r="A22192" s="87"/>
      <c r="B22192" s="87"/>
      <c r="C22192" s="87"/>
      <c r="D22192" s="87"/>
      <c r="E22192" s="87"/>
      <c r="F22192" s="87"/>
      <c r="G22192" s="87"/>
    </row>
    <row r="22193">
      <c r="A22193" s="87"/>
      <c r="B22193" s="87"/>
      <c r="C22193" s="87"/>
      <c r="D22193" s="87"/>
      <c r="E22193" s="87"/>
      <c r="F22193" s="87"/>
      <c r="G22193" s="87"/>
    </row>
    <row r="22194">
      <c r="A22194" s="87"/>
      <c r="B22194" s="87"/>
      <c r="C22194" s="87"/>
      <c r="D22194" s="87"/>
      <c r="E22194" s="87"/>
      <c r="F22194" s="87"/>
      <c r="G22194" s="87"/>
    </row>
    <row r="22195">
      <c r="A22195" s="87"/>
      <c r="B22195" s="87"/>
      <c r="C22195" s="87"/>
      <c r="D22195" s="87"/>
      <c r="E22195" s="87"/>
      <c r="F22195" s="87"/>
      <c r="G22195" s="87"/>
    </row>
    <row r="22196">
      <c r="A22196" s="87"/>
      <c r="B22196" s="87"/>
      <c r="C22196" s="87"/>
      <c r="D22196" s="87"/>
      <c r="E22196" s="87"/>
      <c r="F22196" s="87"/>
      <c r="G22196" s="87"/>
    </row>
    <row r="22197">
      <c r="A22197" s="87"/>
      <c r="B22197" s="87"/>
      <c r="C22197" s="87"/>
      <c r="D22197" s="87"/>
      <c r="E22197" s="87"/>
      <c r="F22197" s="87"/>
      <c r="G22197" s="87"/>
    </row>
    <row r="22198">
      <c r="A22198" s="87"/>
      <c r="B22198" s="87"/>
      <c r="C22198" s="87"/>
      <c r="D22198" s="87"/>
      <c r="E22198" s="87"/>
      <c r="F22198" s="87"/>
      <c r="G22198" s="87"/>
    </row>
    <row r="22199">
      <c r="A22199" s="87"/>
      <c r="B22199" s="87"/>
      <c r="C22199" s="87"/>
      <c r="D22199" s="87"/>
      <c r="E22199" s="87"/>
      <c r="F22199" s="87"/>
      <c r="G22199" s="87"/>
    </row>
    <row r="22200">
      <c r="A22200" s="87"/>
      <c r="B22200" s="87"/>
      <c r="C22200" s="87"/>
      <c r="D22200" s="87"/>
      <c r="E22200" s="87"/>
      <c r="F22200" s="87"/>
      <c r="G22200" s="87"/>
    </row>
    <row r="22201">
      <c r="A22201" s="87"/>
      <c r="B22201" s="87"/>
      <c r="C22201" s="87"/>
      <c r="D22201" s="87"/>
      <c r="E22201" s="87"/>
      <c r="F22201" s="87"/>
      <c r="G22201" s="87"/>
    </row>
    <row r="22202">
      <c r="A22202" s="87"/>
      <c r="B22202" s="87"/>
      <c r="C22202" s="87"/>
      <c r="D22202" s="87"/>
      <c r="E22202" s="87"/>
      <c r="F22202" s="87"/>
      <c r="G22202" s="87"/>
    </row>
    <row r="22203">
      <c r="A22203" s="87"/>
      <c r="B22203" s="87"/>
      <c r="C22203" s="87"/>
      <c r="D22203" s="87"/>
      <c r="E22203" s="87"/>
      <c r="F22203" s="87"/>
      <c r="G22203" s="87"/>
    </row>
    <row r="22204">
      <c r="A22204" s="87"/>
      <c r="B22204" s="87"/>
      <c r="C22204" s="87"/>
      <c r="D22204" s="87"/>
      <c r="E22204" s="87"/>
      <c r="F22204" s="87"/>
      <c r="G22204" s="87"/>
    </row>
    <row r="22205">
      <c r="A22205" s="87"/>
      <c r="B22205" s="87"/>
      <c r="C22205" s="87"/>
      <c r="D22205" s="87"/>
      <c r="E22205" s="87"/>
      <c r="F22205" s="87"/>
      <c r="G22205" s="87"/>
    </row>
    <row r="22206">
      <c r="A22206" s="87"/>
      <c r="B22206" s="87"/>
      <c r="C22206" s="87"/>
      <c r="D22206" s="87"/>
      <c r="E22206" s="87"/>
      <c r="F22206" s="87"/>
      <c r="G22206" s="87"/>
    </row>
    <row r="22207">
      <c r="A22207" s="87"/>
      <c r="B22207" s="87"/>
      <c r="C22207" s="87"/>
      <c r="D22207" s="87"/>
      <c r="E22207" s="87"/>
      <c r="F22207" s="87"/>
      <c r="G22207" s="87"/>
    </row>
    <row r="22208">
      <c r="A22208" s="87"/>
      <c r="B22208" s="87"/>
      <c r="C22208" s="87"/>
      <c r="D22208" s="87"/>
      <c r="E22208" s="87"/>
      <c r="F22208" s="87"/>
      <c r="G22208" s="87"/>
    </row>
    <row r="22209">
      <c r="A22209" s="87"/>
      <c r="B22209" s="87"/>
      <c r="C22209" s="87"/>
      <c r="D22209" s="87"/>
      <c r="E22209" s="87"/>
      <c r="F22209" s="87"/>
      <c r="G22209" s="87"/>
    </row>
    <row r="22210">
      <c r="A22210" s="87"/>
      <c r="B22210" s="87"/>
      <c r="C22210" s="87"/>
      <c r="D22210" s="87"/>
      <c r="E22210" s="87"/>
      <c r="F22210" s="87"/>
      <c r="G22210" s="87"/>
    </row>
    <row r="22211">
      <c r="A22211" s="87"/>
      <c r="B22211" s="87"/>
      <c r="C22211" s="87"/>
      <c r="D22211" s="87"/>
      <c r="E22211" s="87"/>
      <c r="F22211" s="87"/>
      <c r="G22211" s="87"/>
    </row>
    <row r="22212">
      <c r="A22212" s="87"/>
      <c r="B22212" s="87"/>
      <c r="C22212" s="87"/>
      <c r="D22212" s="87"/>
      <c r="E22212" s="87"/>
      <c r="F22212" s="87"/>
      <c r="G22212" s="87"/>
    </row>
    <row r="22213">
      <c r="A22213" s="87"/>
      <c r="B22213" s="87"/>
      <c r="C22213" s="87"/>
      <c r="D22213" s="87"/>
      <c r="E22213" s="87"/>
      <c r="F22213" s="87"/>
      <c r="G22213" s="87"/>
    </row>
    <row r="22214">
      <c r="A22214" s="87"/>
      <c r="B22214" s="87"/>
      <c r="C22214" s="87"/>
      <c r="D22214" s="87"/>
      <c r="E22214" s="87"/>
      <c r="F22214" s="87"/>
      <c r="G22214" s="87"/>
    </row>
    <row r="22215">
      <c r="A22215" s="87"/>
      <c r="B22215" s="87"/>
      <c r="C22215" s="87"/>
      <c r="D22215" s="87"/>
      <c r="E22215" s="87"/>
      <c r="F22215" s="87"/>
      <c r="G22215" s="87"/>
    </row>
    <row r="22216">
      <c r="A22216" s="87"/>
      <c r="B22216" s="87"/>
      <c r="C22216" s="87"/>
      <c r="D22216" s="87"/>
      <c r="E22216" s="87"/>
      <c r="F22216" s="87"/>
      <c r="G22216" s="87"/>
    </row>
    <row r="22217">
      <c r="A22217" s="87"/>
      <c r="B22217" s="87"/>
      <c r="C22217" s="87"/>
      <c r="D22217" s="87"/>
      <c r="E22217" s="87"/>
      <c r="F22217" s="87"/>
      <c r="G22217" s="87"/>
    </row>
    <row r="22218">
      <c r="A22218" s="87"/>
      <c r="B22218" s="87"/>
      <c r="C22218" s="87"/>
      <c r="D22218" s="87"/>
      <c r="E22218" s="87"/>
      <c r="F22218" s="87"/>
      <c r="G22218" s="87"/>
    </row>
    <row r="22219">
      <c r="A22219" s="87"/>
      <c r="B22219" s="87"/>
      <c r="C22219" s="87"/>
      <c r="D22219" s="87"/>
      <c r="E22219" s="87"/>
      <c r="F22219" s="87"/>
      <c r="G22219" s="87"/>
    </row>
    <row r="22220">
      <c r="A22220" s="87"/>
      <c r="B22220" s="87"/>
      <c r="C22220" s="87"/>
      <c r="D22220" s="87"/>
      <c r="E22220" s="87"/>
      <c r="F22220" s="87"/>
      <c r="G22220" s="87"/>
    </row>
    <row r="22221">
      <c r="A22221" s="87"/>
      <c r="B22221" s="87"/>
      <c r="C22221" s="87"/>
      <c r="D22221" s="87"/>
      <c r="E22221" s="87"/>
      <c r="F22221" s="87"/>
      <c r="G22221" s="87"/>
    </row>
    <row r="22222">
      <c r="A22222" s="87"/>
      <c r="B22222" s="87"/>
      <c r="C22222" s="87"/>
      <c r="D22222" s="87"/>
      <c r="E22222" s="87"/>
      <c r="F22222" s="87"/>
      <c r="G22222" s="87"/>
    </row>
    <row r="22223">
      <c r="A22223" s="87"/>
      <c r="B22223" s="87"/>
      <c r="C22223" s="87"/>
      <c r="D22223" s="87"/>
      <c r="E22223" s="87"/>
      <c r="F22223" s="87"/>
      <c r="G22223" s="87"/>
    </row>
    <row r="22224">
      <c r="A22224" s="87"/>
      <c r="B22224" s="87"/>
      <c r="C22224" s="87"/>
      <c r="D22224" s="87"/>
      <c r="E22224" s="87"/>
      <c r="F22224" s="87"/>
      <c r="G22224" s="87"/>
    </row>
    <row r="22225">
      <c r="A22225" s="87"/>
      <c r="B22225" s="87"/>
      <c r="C22225" s="87"/>
      <c r="D22225" s="87"/>
      <c r="E22225" s="87"/>
      <c r="F22225" s="87"/>
      <c r="G22225" s="87"/>
    </row>
    <row r="22226">
      <c r="A22226" s="87"/>
      <c r="B22226" s="87"/>
      <c r="C22226" s="87"/>
      <c r="D22226" s="87"/>
      <c r="E22226" s="87"/>
      <c r="F22226" s="87"/>
      <c r="G22226" s="87"/>
    </row>
    <row r="22227">
      <c r="A22227" s="87"/>
      <c r="B22227" s="87"/>
      <c r="C22227" s="87"/>
      <c r="D22227" s="87"/>
      <c r="E22227" s="87"/>
      <c r="F22227" s="87"/>
      <c r="G22227" s="87"/>
    </row>
    <row r="22228">
      <c r="A22228" s="87"/>
      <c r="B22228" s="87"/>
      <c r="C22228" s="87"/>
      <c r="D22228" s="87"/>
      <c r="E22228" s="87"/>
      <c r="F22228" s="87"/>
      <c r="G22228" s="87"/>
    </row>
    <row r="22229">
      <c r="A22229" s="87"/>
      <c r="B22229" s="87"/>
      <c r="C22229" s="87"/>
      <c r="D22229" s="87"/>
      <c r="E22229" s="87"/>
      <c r="F22229" s="87"/>
      <c r="G22229" s="87"/>
    </row>
    <row r="22230">
      <c r="A22230" s="87"/>
      <c r="B22230" s="87"/>
      <c r="C22230" s="87"/>
      <c r="D22230" s="87"/>
      <c r="E22230" s="87"/>
      <c r="F22230" s="87"/>
      <c r="G22230" s="87"/>
    </row>
    <row r="22231">
      <c r="A22231" s="87"/>
      <c r="B22231" s="87"/>
      <c r="C22231" s="87"/>
      <c r="D22231" s="87"/>
      <c r="E22231" s="87"/>
      <c r="F22231" s="87"/>
      <c r="G22231" s="87"/>
    </row>
    <row r="22232">
      <c r="A22232" s="87"/>
      <c r="B22232" s="87"/>
      <c r="C22232" s="87"/>
      <c r="D22232" s="87"/>
      <c r="E22232" s="87"/>
      <c r="F22232" s="87"/>
      <c r="G22232" s="87"/>
    </row>
    <row r="22233">
      <c r="A22233" s="87"/>
      <c r="B22233" s="87"/>
      <c r="C22233" s="87"/>
      <c r="D22233" s="87"/>
      <c r="E22233" s="87"/>
      <c r="F22233" s="87"/>
      <c r="G22233" s="87"/>
    </row>
    <row r="22234">
      <c r="A22234" s="87"/>
      <c r="B22234" s="87"/>
      <c r="C22234" s="87"/>
      <c r="D22234" s="87"/>
      <c r="E22234" s="87"/>
      <c r="F22234" s="87"/>
      <c r="G22234" s="87"/>
    </row>
    <row r="22235">
      <c r="A22235" s="87"/>
      <c r="B22235" s="87"/>
      <c r="C22235" s="87"/>
      <c r="D22235" s="87"/>
      <c r="E22235" s="87"/>
      <c r="F22235" s="87"/>
      <c r="G22235" s="87"/>
    </row>
    <row r="22236">
      <c r="A22236" s="87"/>
      <c r="B22236" s="87"/>
      <c r="C22236" s="87"/>
      <c r="D22236" s="87"/>
      <c r="E22236" s="87"/>
      <c r="F22236" s="87"/>
      <c r="G22236" s="87"/>
    </row>
    <row r="22237">
      <c r="A22237" s="87"/>
      <c r="B22237" s="87"/>
      <c r="C22237" s="87"/>
      <c r="D22237" s="87"/>
      <c r="E22237" s="87"/>
      <c r="F22237" s="87"/>
      <c r="G22237" s="87"/>
    </row>
    <row r="22238">
      <c r="A22238" s="87"/>
      <c r="B22238" s="87"/>
      <c r="C22238" s="87"/>
      <c r="D22238" s="87"/>
      <c r="E22238" s="87"/>
      <c r="F22238" s="87"/>
      <c r="G22238" s="87"/>
    </row>
    <row r="22239">
      <c r="A22239" s="87"/>
      <c r="B22239" s="87"/>
      <c r="C22239" s="87"/>
      <c r="D22239" s="87"/>
      <c r="E22239" s="87"/>
      <c r="F22239" s="87"/>
      <c r="G22239" s="87"/>
    </row>
    <row r="22240">
      <c r="A22240" s="87"/>
      <c r="B22240" s="87"/>
      <c r="C22240" s="87"/>
      <c r="D22240" s="87"/>
      <c r="E22240" s="87"/>
      <c r="F22240" s="87"/>
      <c r="G22240" s="87"/>
    </row>
    <row r="22241">
      <c r="A22241" s="87"/>
      <c r="B22241" s="87"/>
      <c r="C22241" s="87"/>
      <c r="D22241" s="87"/>
      <c r="E22241" s="87"/>
      <c r="F22241" s="87"/>
      <c r="G22241" s="87"/>
    </row>
    <row r="22242">
      <c r="A22242" s="87"/>
      <c r="B22242" s="87"/>
      <c r="C22242" s="87"/>
      <c r="D22242" s="87"/>
      <c r="E22242" s="87"/>
      <c r="F22242" s="87"/>
      <c r="G22242" s="87"/>
    </row>
    <row r="22243">
      <c r="A22243" s="87"/>
      <c r="B22243" s="87"/>
      <c r="C22243" s="87"/>
      <c r="D22243" s="87"/>
      <c r="E22243" s="87"/>
      <c r="F22243" s="87"/>
      <c r="G22243" s="87"/>
    </row>
    <row r="22244">
      <c r="A22244" s="87"/>
      <c r="B22244" s="87"/>
      <c r="C22244" s="87"/>
      <c r="D22244" s="87"/>
      <c r="E22244" s="87"/>
      <c r="F22244" s="87"/>
      <c r="G22244" s="87"/>
    </row>
    <row r="22245">
      <c r="A22245" s="87"/>
      <c r="B22245" s="87"/>
      <c r="C22245" s="87"/>
      <c r="D22245" s="87"/>
      <c r="E22245" s="87"/>
      <c r="F22245" s="87"/>
      <c r="G22245" s="87"/>
    </row>
    <row r="22246">
      <c r="A22246" s="87"/>
      <c r="B22246" s="87"/>
      <c r="C22246" s="87"/>
      <c r="D22246" s="87"/>
      <c r="E22246" s="87"/>
      <c r="F22246" s="87"/>
      <c r="G22246" s="87"/>
    </row>
    <row r="22247">
      <c r="A22247" s="87"/>
      <c r="B22247" s="87"/>
      <c r="C22247" s="87"/>
      <c r="D22247" s="87"/>
      <c r="E22247" s="87"/>
      <c r="F22247" s="87"/>
      <c r="G22247" s="87"/>
    </row>
    <row r="22248">
      <c r="A22248" s="87"/>
      <c r="B22248" s="87"/>
      <c r="C22248" s="87"/>
      <c r="D22248" s="87"/>
      <c r="E22248" s="87"/>
      <c r="F22248" s="87"/>
      <c r="G22248" s="87"/>
    </row>
    <row r="22249">
      <c r="A22249" s="87"/>
      <c r="B22249" s="87"/>
      <c r="C22249" s="87"/>
      <c r="D22249" s="87"/>
      <c r="E22249" s="87"/>
      <c r="F22249" s="87"/>
      <c r="G22249" s="87"/>
    </row>
    <row r="22250">
      <c r="A22250" s="87"/>
      <c r="B22250" s="87"/>
      <c r="C22250" s="87"/>
      <c r="D22250" s="87"/>
      <c r="E22250" s="87"/>
      <c r="F22250" s="87"/>
      <c r="G22250" s="87"/>
    </row>
    <row r="22251">
      <c r="A22251" s="87"/>
      <c r="B22251" s="87"/>
      <c r="C22251" s="87"/>
      <c r="D22251" s="87"/>
      <c r="E22251" s="87"/>
      <c r="F22251" s="87"/>
      <c r="G22251" s="87"/>
    </row>
    <row r="22252">
      <c r="A22252" s="87"/>
      <c r="B22252" s="87"/>
      <c r="C22252" s="87"/>
      <c r="D22252" s="87"/>
      <c r="E22252" s="87"/>
      <c r="F22252" s="87"/>
      <c r="G22252" s="87"/>
    </row>
    <row r="22253">
      <c r="A22253" s="87"/>
      <c r="B22253" s="87"/>
      <c r="C22253" s="87"/>
      <c r="D22253" s="87"/>
      <c r="E22253" s="87"/>
      <c r="F22253" s="87"/>
      <c r="G22253" s="87"/>
    </row>
    <row r="22254">
      <c r="A22254" s="87"/>
      <c r="B22254" s="87"/>
      <c r="C22254" s="87"/>
      <c r="D22254" s="87"/>
      <c r="E22254" s="87"/>
      <c r="F22254" s="87"/>
      <c r="G22254" s="87"/>
    </row>
    <row r="22255">
      <c r="A22255" s="87"/>
      <c r="B22255" s="87"/>
      <c r="C22255" s="87"/>
      <c r="D22255" s="87"/>
      <c r="E22255" s="87"/>
      <c r="F22255" s="87"/>
      <c r="G22255" s="87"/>
    </row>
    <row r="22256">
      <c r="A22256" s="87"/>
      <c r="B22256" s="87"/>
      <c r="C22256" s="87"/>
      <c r="D22256" s="87"/>
      <c r="E22256" s="87"/>
      <c r="F22256" s="87"/>
      <c r="G22256" s="87"/>
    </row>
    <row r="22257">
      <c r="A22257" s="87"/>
      <c r="B22257" s="87"/>
      <c r="C22257" s="87"/>
      <c r="D22257" s="87"/>
      <c r="E22257" s="87"/>
      <c r="F22257" s="87"/>
      <c r="G22257" s="87"/>
    </row>
    <row r="22258">
      <c r="A22258" s="87"/>
      <c r="B22258" s="87"/>
      <c r="C22258" s="87"/>
      <c r="D22258" s="87"/>
      <c r="E22258" s="87"/>
      <c r="F22258" s="87"/>
      <c r="G22258" s="87"/>
    </row>
    <row r="22259">
      <c r="A22259" s="87"/>
      <c r="B22259" s="87"/>
      <c r="C22259" s="87"/>
      <c r="D22259" s="87"/>
      <c r="E22259" s="87"/>
      <c r="F22259" s="87"/>
      <c r="G22259" s="87"/>
    </row>
    <row r="22260">
      <c r="A22260" s="87"/>
      <c r="B22260" s="87"/>
      <c r="C22260" s="87"/>
      <c r="D22260" s="87"/>
      <c r="E22260" s="87"/>
      <c r="F22260" s="87"/>
      <c r="G22260" s="87"/>
    </row>
    <row r="22261">
      <c r="A22261" s="87"/>
      <c r="B22261" s="87"/>
      <c r="C22261" s="87"/>
      <c r="D22261" s="87"/>
      <c r="E22261" s="87"/>
      <c r="F22261" s="87"/>
      <c r="G22261" s="87"/>
    </row>
    <row r="22262">
      <c r="A22262" s="87"/>
      <c r="B22262" s="87"/>
      <c r="C22262" s="87"/>
      <c r="D22262" s="87"/>
      <c r="E22262" s="87"/>
      <c r="F22262" s="87"/>
      <c r="G22262" s="87"/>
    </row>
    <row r="22263">
      <c r="A22263" s="87"/>
      <c r="B22263" s="87"/>
      <c r="C22263" s="87"/>
      <c r="D22263" s="87"/>
      <c r="E22263" s="87"/>
      <c r="F22263" s="87"/>
      <c r="G22263" s="87"/>
    </row>
    <row r="22264">
      <c r="A22264" s="87"/>
      <c r="B22264" s="87"/>
      <c r="C22264" s="87"/>
      <c r="D22264" s="87"/>
      <c r="E22264" s="87"/>
      <c r="F22264" s="87"/>
      <c r="G22264" s="87"/>
    </row>
    <row r="22265">
      <c r="A22265" s="87"/>
      <c r="B22265" s="87"/>
      <c r="C22265" s="87"/>
      <c r="D22265" s="87"/>
      <c r="E22265" s="87"/>
      <c r="F22265" s="87"/>
      <c r="G22265" s="87"/>
    </row>
    <row r="22266">
      <c r="A22266" s="87"/>
      <c r="B22266" s="87"/>
      <c r="C22266" s="87"/>
      <c r="D22266" s="87"/>
      <c r="E22266" s="87"/>
      <c r="F22266" s="87"/>
      <c r="G22266" s="87"/>
    </row>
    <row r="22267">
      <c r="A22267" s="87"/>
      <c r="B22267" s="87"/>
      <c r="C22267" s="87"/>
      <c r="D22267" s="87"/>
      <c r="E22267" s="87"/>
      <c r="F22267" s="87"/>
      <c r="G22267" s="87"/>
    </row>
    <row r="22268">
      <c r="A22268" s="87"/>
      <c r="B22268" s="87"/>
      <c r="C22268" s="87"/>
      <c r="D22268" s="87"/>
      <c r="E22268" s="87"/>
      <c r="F22268" s="87"/>
      <c r="G22268" s="87"/>
    </row>
    <row r="22269">
      <c r="A22269" s="87"/>
      <c r="B22269" s="87"/>
      <c r="C22269" s="87"/>
      <c r="D22269" s="87"/>
      <c r="E22269" s="87"/>
      <c r="F22269" s="87"/>
      <c r="G22269" s="87"/>
    </row>
    <row r="22270">
      <c r="A22270" s="87"/>
      <c r="B22270" s="87"/>
      <c r="C22270" s="87"/>
      <c r="D22270" s="87"/>
      <c r="E22270" s="87"/>
      <c r="F22270" s="87"/>
      <c r="G22270" s="87"/>
    </row>
    <row r="22271">
      <c r="A22271" s="87"/>
      <c r="B22271" s="87"/>
      <c r="C22271" s="87"/>
      <c r="D22271" s="87"/>
      <c r="E22271" s="87"/>
      <c r="F22271" s="87"/>
      <c r="G22271" s="87"/>
    </row>
    <row r="22272">
      <c r="A22272" s="87"/>
      <c r="B22272" s="87"/>
      <c r="C22272" s="87"/>
      <c r="D22272" s="87"/>
      <c r="E22272" s="87"/>
      <c r="F22272" s="87"/>
      <c r="G22272" s="87"/>
    </row>
    <row r="22273">
      <c r="A22273" s="87"/>
      <c r="B22273" s="87"/>
      <c r="C22273" s="87"/>
      <c r="D22273" s="87"/>
      <c r="E22273" s="87"/>
      <c r="F22273" s="87"/>
      <c r="G22273" s="87"/>
    </row>
    <row r="22274">
      <c r="A22274" s="87"/>
      <c r="B22274" s="87"/>
      <c r="C22274" s="87"/>
      <c r="D22274" s="87"/>
      <c r="E22274" s="87"/>
      <c r="F22274" s="87"/>
      <c r="G22274" s="87"/>
    </row>
    <row r="22275">
      <c r="A22275" s="87"/>
      <c r="B22275" s="87"/>
      <c r="C22275" s="87"/>
      <c r="D22275" s="87"/>
      <c r="E22275" s="87"/>
      <c r="F22275" s="87"/>
      <c r="G22275" s="87"/>
    </row>
    <row r="22276">
      <c r="A22276" s="87"/>
      <c r="B22276" s="87"/>
      <c r="C22276" s="87"/>
      <c r="D22276" s="87"/>
      <c r="E22276" s="87"/>
      <c r="F22276" s="87"/>
      <c r="G22276" s="87"/>
    </row>
    <row r="22277">
      <c r="A22277" s="87"/>
      <c r="B22277" s="87"/>
      <c r="C22277" s="87"/>
      <c r="D22277" s="87"/>
      <c r="E22277" s="87"/>
      <c r="F22277" s="87"/>
      <c r="G22277" s="87"/>
    </row>
    <row r="22278">
      <c r="A22278" s="87"/>
      <c r="B22278" s="87"/>
      <c r="C22278" s="87"/>
      <c r="D22278" s="87"/>
      <c r="E22278" s="87"/>
      <c r="F22278" s="87"/>
      <c r="G22278" s="87"/>
    </row>
    <row r="22279">
      <c r="A22279" s="87"/>
      <c r="B22279" s="87"/>
      <c r="C22279" s="87"/>
      <c r="D22279" s="87"/>
      <c r="E22279" s="87"/>
      <c r="F22279" s="87"/>
      <c r="G22279" s="87"/>
    </row>
    <row r="22280">
      <c r="A22280" s="87"/>
      <c r="B22280" s="87"/>
      <c r="C22280" s="87"/>
      <c r="D22280" s="87"/>
      <c r="E22280" s="87"/>
      <c r="F22280" s="87"/>
      <c r="G22280" s="87"/>
    </row>
    <row r="22281">
      <c r="A22281" s="87"/>
      <c r="B22281" s="87"/>
      <c r="C22281" s="87"/>
      <c r="D22281" s="87"/>
      <c r="E22281" s="87"/>
      <c r="F22281" s="87"/>
      <c r="G22281" s="87"/>
    </row>
    <row r="22282">
      <c r="A22282" s="87"/>
      <c r="B22282" s="87"/>
      <c r="C22282" s="87"/>
      <c r="D22282" s="87"/>
      <c r="E22282" s="87"/>
      <c r="F22282" s="87"/>
      <c r="G22282" s="87"/>
    </row>
    <row r="22283">
      <c r="A22283" s="87"/>
      <c r="B22283" s="87"/>
      <c r="C22283" s="87"/>
      <c r="D22283" s="87"/>
      <c r="E22283" s="87"/>
      <c r="F22283" s="87"/>
      <c r="G22283" s="87"/>
    </row>
    <row r="22284">
      <c r="A22284" s="87"/>
      <c r="B22284" s="87"/>
      <c r="C22284" s="87"/>
      <c r="D22284" s="87"/>
      <c r="E22284" s="87"/>
      <c r="F22284" s="87"/>
      <c r="G22284" s="87"/>
    </row>
    <row r="22285">
      <c r="A22285" s="87"/>
      <c r="B22285" s="87"/>
      <c r="C22285" s="87"/>
      <c r="D22285" s="87"/>
      <c r="E22285" s="87"/>
      <c r="F22285" s="87"/>
      <c r="G22285" s="87"/>
    </row>
    <row r="22286">
      <c r="A22286" s="87"/>
      <c r="B22286" s="87"/>
      <c r="C22286" s="87"/>
      <c r="D22286" s="87"/>
      <c r="E22286" s="87"/>
      <c r="F22286" s="87"/>
      <c r="G22286" s="87"/>
    </row>
    <row r="22287">
      <c r="A22287" s="87"/>
      <c r="B22287" s="87"/>
      <c r="C22287" s="87"/>
      <c r="D22287" s="87"/>
      <c r="E22287" s="87"/>
      <c r="F22287" s="87"/>
      <c r="G22287" s="87"/>
    </row>
    <row r="22288">
      <c r="A22288" s="87"/>
      <c r="B22288" s="87"/>
      <c r="C22288" s="87"/>
      <c r="D22288" s="87"/>
      <c r="E22288" s="87"/>
      <c r="F22288" s="87"/>
      <c r="G22288" s="87"/>
    </row>
    <row r="22289">
      <c r="A22289" s="87"/>
      <c r="B22289" s="87"/>
      <c r="C22289" s="87"/>
      <c r="D22289" s="87"/>
      <c r="E22289" s="87"/>
      <c r="F22289" s="87"/>
      <c r="G22289" s="87"/>
    </row>
    <row r="22290">
      <c r="A22290" s="87"/>
      <c r="B22290" s="87"/>
      <c r="C22290" s="87"/>
      <c r="D22290" s="87"/>
      <c r="E22290" s="87"/>
      <c r="F22290" s="87"/>
      <c r="G22290" s="87"/>
    </row>
    <row r="22291">
      <c r="A22291" s="87"/>
      <c r="B22291" s="87"/>
      <c r="C22291" s="87"/>
      <c r="D22291" s="87"/>
      <c r="E22291" s="87"/>
      <c r="F22291" s="87"/>
      <c r="G22291" s="87"/>
    </row>
    <row r="22292">
      <c r="A22292" s="87"/>
      <c r="B22292" s="87"/>
      <c r="C22292" s="87"/>
      <c r="D22292" s="87"/>
      <c r="E22292" s="87"/>
      <c r="F22292" s="87"/>
      <c r="G22292" s="87"/>
    </row>
    <row r="22293">
      <c r="A22293" s="87"/>
      <c r="B22293" s="87"/>
      <c r="C22293" s="87"/>
      <c r="D22293" s="87"/>
      <c r="E22293" s="87"/>
      <c r="F22293" s="87"/>
      <c r="G22293" s="87"/>
    </row>
    <row r="22294">
      <c r="A22294" s="87"/>
      <c r="B22294" s="87"/>
      <c r="C22294" s="87"/>
      <c r="D22294" s="87"/>
      <c r="E22294" s="87"/>
      <c r="F22294" s="87"/>
      <c r="G22294" s="87"/>
    </row>
    <row r="22295">
      <c r="A22295" s="87"/>
      <c r="B22295" s="87"/>
      <c r="C22295" s="87"/>
      <c r="D22295" s="87"/>
      <c r="E22295" s="87"/>
      <c r="F22295" s="87"/>
      <c r="G22295" s="87"/>
    </row>
    <row r="22296">
      <c r="A22296" s="87"/>
      <c r="B22296" s="87"/>
      <c r="C22296" s="87"/>
      <c r="D22296" s="87"/>
      <c r="E22296" s="87"/>
      <c r="F22296" s="87"/>
      <c r="G22296" s="87"/>
    </row>
    <row r="22297">
      <c r="A22297" s="87"/>
      <c r="B22297" s="87"/>
      <c r="C22297" s="87"/>
      <c r="D22297" s="87"/>
      <c r="E22297" s="87"/>
      <c r="F22297" s="87"/>
      <c r="G22297" s="87"/>
    </row>
    <row r="22298">
      <c r="A22298" s="87"/>
      <c r="B22298" s="87"/>
      <c r="C22298" s="87"/>
      <c r="D22298" s="87"/>
      <c r="E22298" s="87"/>
      <c r="F22298" s="87"/>
      <c r="G22298" s="87"/>
    </row>
    <row r="22299">
      <c r="A22299" s="87"/>
      <c r="B22299" s="87"/>
      <c r="C22299" s="87"/>
      <c r="D22299" s="87"/>
      <c r="E22299" s="87"/>
      <c r="F22299" s="87"/>
      <c r="G22299" s="87"/>
    </row>
    <row r="22300">
      <c r="A22300" s="87"/>
      <c r="B22300" s="87"/>
      <c r="C22300" s="87"/>
      <c r="D22300" s="87"/>
      <c r="E22300" s="87"/>
      <c r="F22300" s="87"/>
      <c r="G22300" s="87"/>
    </row>
    <row r="22301">
      <c r="A22301" s="87"/>
      <c r="B22301" s="87"/>
      <c r="C22301" s="87"/>
      <c r="D22301" s="87"/>
      <c r="E22301" s="87"/>
      <c r="F22301" s="87"/>
      <c r="G22301" s="87"/>
    </row>
    <row r="22302">
      <c r="A22302" s="87"/>
      <c r="B22302" s="87"/>
      <c r="C22302" s="87"/>
      <c r="D22302" s="87"/>
      <c r="E22302" s="87"/>
      <c r="F22302" s="87"/>
      <c r="G22302" s="87"/>
    </row>
    <row r="22303">
      <c r="A22303" s="87"/>
      <c r="B22303" s="87"/>
      <c r="C22303" s="87"/>
      <c r="D22303" s="87"/>
      <c r="E22303" s="87"/>
      <c r="F22303" s="87"/>
      <c r="G22303" s="87"/>
    </row>
    <row r="22304">
      <c r="A22304" s="87"/>
      <c r="B22304" s="87"/>
      <c r="C22304" s="87"/>
      <c r="D22304" s="87"/>
      <c r="E22304" s="87"/>
      <c r="F22304" s="87"/>
      <c r="G22304" s="87"/>
    </row>
    <row r="22305">
      <c r="A22305" s="87"/>
      <c r="B22305" s="87"/>
      <c r="C22305" s="87"/>
      <c r="D22305" s="87"/>
      <c r="E22305" s="87"/>
      <c r="F22305" s="87"/>
      <c r="G22305" s="87"/>
    </row>
    <row r="22306">
      <c r="A22306" s="87"/>
      <c r="B22306" s="87"/>
      <c r="C22306" s="87"/>
      <c r="D22306" s="87"/>
      <c r="E22306" s="87"/>
      <c r="F22306" s="87"/>
      <c r="G22306" s="87"/>
    </row>
    <row r="22307">
      <c r="A22307" s="87"/>
      <c r="B22307" s="87"/>
      <c r="C22307" s="87"/>
      <c r="D22307" s="87"/>
      <c r="E22307" s="87"/>
      <c r="F22307" s="87"/>
      <c r="G22307" s="87"/>
    </row>
    <row r="22308">
      <c r="A22308" s="87"/>
      <c r="B22308" s="87"/>
      <c r="C22308" s="87"/>
      <c r="D22308" s="87"/>
      <c r="E22308" s="87"/>
      <c r="F22308" s="87"/>
      <c r="G22308" s="87"/>
    </row>
    <row r="22309">
      <c r="A22309" s="87"/>
      <c r="B22309" s="87"/>
      <c r="C22309" s="87"/>
      <c r="D22309" s="87"/>
      <c r="E22309" s="87"/>
      <c r="F22309" s="87"/>
      <c r="G22309" s="87"/>
    </row>
    <row r="22310">
      <c r="A22310" s="87"/>
      <c r="B22310" s="87"/>
      <c r="C22310" s="87"/>
      <c r="D22310" s="87"/>
      <c r="E22310" s="87"/>
      <c r="F22310" s="87"/>
      <c r="G22310" s="87"/>
    </row>
    <row r="22311">
      <c r="A22311" s="87"/>
      <c r="B22311" s="87"/>
      <c r="C22311" s="87"/>
      <c r="D22311" s="87"/>
      <c r="E22311" s="87"/>
      <c r="F22311" s="87"/>
      <c r="G22311" s="87"/>
    </row>
    <row r="22312">
      <c r="A22312" s="87"/>
      <c r="B22312" s="87"/>
      <c r="C22312" s="87"/>
      <c r="D22312" s="87"/>
      <c r="E22312" s="87"/>
      <c r="F22312" s="87"/>
      <c r="G22312" s="87"/>
    </row>
    <row r="22313">
      <c r="A22313" s="87"/>
      <c r="B22313" s="87"/>
      <c r="C22313" s="87"/>
      <c r="D22313" s="87"/>
      <c r="E22313" s="87"/>
      <c r="F22313" s="87"/>
      <c r="G22313" s="87"/>
    </row>
    <row r="22314">
      <c r="A22314" s="87"/>
      <c r="B22314" s="87"/>
      <c r="C22314" s="87"/>
      <c r="D22314" s="87"/>
      <c r="E22314" s="87"/>
      <c r="F22314" s="87"/>
      <c r="G22314" s="87"/>
    </row>
    <row r="22315">
      <c r="A22315" s="87"/>
      <c r="B22315" s="87"/>
      <c r="C22315" s="87"/>
      <c r="D22315" s="87"/>
      <c r="E22315" s="87"/>
      <c r="F22315" s="87"/>
      <c r="G22315" s="87"/>
    </row>
    <row r="22316">
      <c r="A22316" s="87"/>
      <c r="B22316" s="87"/>
      <c r="C22316" s="87"/>
      <c r="D22316" s="87"/>
      <c r="E22316" s="87"/>
      <c r="F22316" s="87"/>
      <c r="G22316" s="87"/>
    </row>
    <row r="22317">
      <c r="A22317" s="87"/>
      <c r="B22317" s="87"/>
      <c r="C22317" s="87"/>
      <c r="D22317" s="87"/>
      <c r="E22317" s="87"/>
      <c r="F22317" s="87"/>
      <c r="G22317" s="87"/>
    </row>
    <row r="22318">
      <c r="A22318" s="87"/>
      <c r="B22318" s="87"/>
      <c r="C22318" s="87"/>
      <c r="D22318" s="87"/>
      <c r="E22318" s="87"/>
      <c r="F22318" s="87"/>
      <c r="G22318" s="87"/>
    </row>
    <row r="22319">
      <c r="A22319" s="87"/>
      <c r="B22319" s="87"/>
      <c r="C22319" s="87"/>
      <c r="D22319" s="87"/>
      <c r="E22319" s="87"/>
      <c r="F22319" s="87"/>
      <c r="G22319" s="87"/>
    </row>
    <row r="22320">
      <c r="A22320" s="87"/>
      <c r="B22320" s="87"/>
      <c r="C22320" s="87"/>
      <c r="D22320" s="87"/>
      <c r="E22320" s="87"/>
      <c r="F22320" s="87"/>
      <c r="G22320" s="87"/>
    </row>
    <row r="22321">
      <c r="A22321" s="87"/>
      <c r="B22321" s="87"/>
      <c r="C22321" s="87"/>
      <c r="D22321" s="87"/>
      <c r="E22321" s="87"/>
      <c r="F22321" s="87"/>
      <c r="G22321" s="87"/>
    </row>
    <row r="22322">
      <c r="A22322" s="87"/>
      <c r="B22322" s="87"/>
      <c r="C22322" s="87"/>
      <c r="D22322" s="87"/>
      <c r="E22322" s="87"/>
      <c r="F22322" s="87"/>
      <c r="G22322" s="87"/>
    </row>
    <row r="22323">
      <c r="A22323" s="87"/>
      <c r="B22323" s="87"/>
      <c r="C22323" s="87"/>
      <c r="D22323" s="87"/>
      <c r="E22323" s="87"/>
      <c r="F22323" s="87"/>
      <c r="G22323" s="87"/>
    </row>
    <row r="22324">
      <c r="A22324" s="87"/>
      <c r="B22324" s="87"/>
      <c r="C22324" s="87"/>
      <c r="D22324" s="87"/>
      <c r="E22324" s="87"/>
      <c r="F22324" s="87"/>
      <c r="G22324" s="87"/>
    </row>
    <row r="22325">
      <c r="A22325" s="87"/>
      <c r="B22325" s="87"/>
      <c r="C22325" s="87"/>
      <c r="D22325" s="87"/>
      <c r="E22325" s="87"/>
      <c r="F22325" s="87"/>
      <c r="G22325" s="87"/>
    </row>
    <row r="22326">
      <c r="A22326" s="87"/>
      <c r="B22326" s="87"/>
      <c r="C22326" s="87"/>
      <c r="D22326" s="87"/>
      <c r="E22326" s="87"/>
      <c r="F22326" s="87"/>
      <c r="G22326" s="87"/>
    </row>
    <row r="22327">
      <c r="A22327" s="87"/>
      <c r="B22327" s="87"/>
      <c r="C22327" s="87"/>
      <c r="D22327" s="87"/>
      <c r="E22327" s="87"/>
      <c r="F22327" s="87"/>
      <c r="G22327" s="87"/>
    </row>
    <row r="22328">
      <c r="A22328" s="87"/>
      <c r="B22328" s="87"/>
      <c r="C22328" s="87"/>
      <c r="D22328" s="87"/>
      <c r="E22328" s="87"/>
      <c r="F22328" s="87"/>
      <c r="G22328" s="87"/>
    </row>
    <row r="22329">
      <c r="A22329" s="87"/>
      <c r="B22329" s="87"/>
      <c r="C22329" s="87"/>
      <c r="D22329" s="87"/>
      <c r="E22329" s="87"/>
      <c r="F22329" s="87"/>
      <c r="G22329" s="87"/>
    </row>
    <row r="22330">
      <c r="A22330" s="87"/>
      <c r="B22330" s="87"/>
      <c r="C22330" s="87"/>
      <c r="D22330" s="87"/>
      <c r="E22330" s="87"/>
      <c r="F22330" s="87"/>
      <c r="G22330" s="87"/>
    </row>
    <row r="22331">
      <c r="A22331" s="87"/>
      <c r="B22331" s="87"/>
      <c r="C22331" s="87"/>
      <c r="D22331" s="87"/>
      <c r="E22331" s="87"/>
      <c r="F22331" s="87"/>
      <c r="G22331" s="87"/>
    </row>
    <row r="22332">
      <c r="A22332" s="87"/>
      <c r="B22332" s="87"/>
      <c r="C22332" s="87"/>
      <c r="D22332" s="87"/>
      <c r="E22332" s="87"/>
      <c r="F22332" s="87"/>
      <c r="G22332" s="87"/>
    </row>
    <row r="22333">
      <c r="A22333" s="87"/>
      <c r="B22333" s="87"/>
      <c r="C22333" s="87"/>
      <c r="D22333" s="87"/>
      <c r="E22333" s="87"/>
      <c r="F22333" s="87"/>
      <c r="G22333" s="87"/>
    </row>
    <row r="22334">
      <c r="A22334" s="87"/>
      <c r="B22334" s="87"/>
      <c r="C22334" s="87"/>
      <c r="D22334" s="87"/>
      <c r="E22334" s="87"/>
      <c r="F22334" s="87"/>
      <c r="G22334" s="87"/>
    </row>
    <row r="22335">
      <c r="A22335" s="87"/>
      <c r="B22335" s="87"/>
      <c r="C22335" s="87"/>
      <c r="D22335" s="87"/>
      <c r="E22335" s="87"/>
      <c r="F22335" s="87"/>
      <c r="G22335" s="87"/>
    </row>
    <row r="22336">
      <c r="A22336" s="87"/>
      <c r="B22336" s="87"/>
      <c r="C22336" s="87"/>
      <c r="D22336" s="87"/>
      <c r="E22336" s="87"/>
      <c r="F22336" s="87"/>
      <c r="G22336" s="87"/>
    </row>
    <row r="22337">
      <c r="A22337" s="87"/>
      <c r="B22337" s="87"/>
      <c r="C22337" s="87"/>
      <c r="D22337" s="87"/>
      <c r="E22337" s="87"/>
      <c r="F22337" s="87"/>
      <c r="G22337" s="87"/>
    </row>
    <row r="22338">
      <c r="A22338" s="87"/>
      <c r="B22338" s="87"/>
      <c r="C22338" s="87"/>
      <c r="D22338" s="87"/>
      <c r="E22338" s="87"/>
      <c r="F22338" s="87"/>
      <c r="G22338" s="87"/>
    </row>
    <row r="22339">
      <c r="A22339" s="87"/>
      <c r="B22339" s="87"/>
      <c r="C22339" s="87"/>
      <c r="D22339" s="87"/>
      <c r="E22339" s="87"/>
      <c r="F22339" s="87"/>
      <c r="G22339" s="87"/>
    </row>
    <row r="22340">
      <c r="A22340" s="87"/>
      <c r="B22340" s="87"/>
      <c r="C22340" s="87"/>
      <c r="D22340" s="87"/>
      <c r="E22340" s="87"/>
      <c r="F22340" s="87"/>
      <c r="G22340" s="87"/>
    </row>
    <row r="22341">
      <c r="A22341" s="87"/>
      <c r="B22341" s="87"/>
      <c r="C22341" s="87"/>
      <c r="D22341" s="87"/>
      <c r="E22341" s="87"/>
      <c r="F22341" s="87"/>
      <c r="G22341" s="87"/>
    </row>
    <row r="22342">
      <c r="A22342" s="87"/>
      <c r="B22342" s="87"/>
      <c r="C22342" s="87"/>
      <c r="D22342" s="87"/>
      <c r="E22342" s="87"/>
      <c r="F22342" s="87"/>
      <c r="G22342" s="87"/>
    </row>
    <row r="22343">
      <c r="A22343" s="87"/>
      <c r="B22343" s="87"/>
      <c r="C22343" s="87"/>
      <c r="D22343" s="87"/>
      <c r="E22343" s="87"/>
      <c r="F22343" s="87"/>
      <c r="G22343" s="87"/>
    </row>
    <row r="22344">
      <c r="A22344" s="87"/>
      <c r="B22344" s="87"/>
      <c r="C22344" s="87"/>
      <c r="D22344" s="87"/>
      <c r="E22344" s="87"/>
      <c r="F22344" s="87"/>
      <c r="G22344" s="87"/>
    </row>
    <row r="22345">
      <c r="A22345" s="87"/>
      <c r="B22345" s="87"/>
      <c r="C22345" s="87"/>
      <c r="D22345" s="87"/>
      <c r="E22345" s="87"/>
      <c r="F22345" s="87"/>
      <c r="G22345" s="87"/>
    </row>
    <row r="22346">
      <c r="A22346" s="87"/>
      <c r="B22346" s="87"/>
      <c r="C22346" s="87"/>
      <c r="D22346" s="87"/>
      <c r="E22346" s="87"/>
      <c r="F22346" s="87"/>
      <c r="G22346" s="87"/>
    </row>
    <row r="22347">
      <c r="A22347" s="87"/>
      <c r="B22347" s="87"/>
      <c r="C22347" s="87"/>
      <c r="D22347" s="87"/>
      <c r="E22347" s="87"/>
      <c r="F22347" s="87"/>
      <c r="G22347" s="87"/>
    </row>
    <row r="22348">
      <c r="A22348" s="87"/>
      <c r="B22348" s="87"/>
      <c r="C22348" s="87"/>
      <c r="D22348" s="87"/>
      <c r="E22348" s="87"/>
      <c r="F22348" s="87"/>
      <c r="G22348" s="87"/>
    </row>
    <row r="22349">
      <c r="A22349" s="87"/>
      <c r="B22349" s="87"/>
      <c r="C22349" s="87"/>
      <c r="D22349" s="87"/>
      <c r="E22349" s="87"/>
      <c r="F22349" s="87"/>
      <c r="G22349" s="87"/>
    </row>
    <row r="22350">
      <c r="A22350" s="87"/>
      <c r="B22350" s="87"/>
      <c r="C22350" s="87"/>
      <c r="D22350" s="87"/>
      <c r="E22350" s="87"/>
      <c r="F22350" s="87"/>
      <c r="G22350" s="87"/>
    </row>
    <row r="22351">
      <c r="A22351" s="87"/>
      <c r="B22351" s="87"/>
      <c r="C22351" s="87"/>
      <c r="D22351" s="87"/>
      <c r="E22351" s="87"/>
      <c r="F22351" s="87"/>
      <c r="G22351" s="87"/>
    </row>
    <row r="22352">
      <c r="A22352" s="87"/>
      <c r="B22352" s="87"/>
      <c r="C22352" s="87"/>
      <c r="D22352" s="87"/>
      <c r="E22352" s="87"/>
      <c r="F22352" s="87"/>
      <c r="G22352" s="87"/>
    </row>
    <row r="22353">
      <c r="A22353" s="87"/>
      <c r="B22353" s="87"/>
      <c r="C22353" s="87"/>
      <c r="D22353" s="87"/>
      <c r="E22353" s="87"/>
      <c r="F22353" s="87"/>
      <c r="G22353" s="87"/>
    </row>
    <row r="22354">
      <c r="A22354" s="87"/>
      <c r="B22354" s="87"/>
      <c r="C22354" s="87"/>
      <c r="D22354" s="87"/>
      <c r="E22354" s="87"/>
      <c r="F22354" s="87"/>
      <c r="G22354" s="87"/>
    </row>
    <row r="22355">
      <c r="A22355" s="87"/>
      <c r="B22355" s="87"/>
      <c r="C22355" s="87"/>
      <c r="D22355" s="87"/>
      <c r="E22355" s="87"/>
      <c r="F22355" s="87"/>
      <c r="G22355" s="87"/>
    </row>
    <row r="22356">
      <c r="A22356" s="87"/>
      <c r="B22356" s="87"/>
      <c r="C22356" s="87"/>
      <c r="D22356" s="87"/>
      <c r="E22356" s="87"/>
      <c r="F22356" s="87"/>
      <c r="G22356" s="87"/>
    </row>
    <row r="22357">
      <c r="A22357" s="87"/>
      <c r="B22357" s="87"/>
      <c r="C22357" s="87"/>
      <c r="D22357" s="87"/>
      <c r="E22357" s="87"/>
      <c r="F22357" s="87"/>
      <c r="G22357" s="87"/>
    </row>
    <row r="22358">
      <c r="A22358" s="87"/>
      <c r="B22358" s="87"/>
      <c r="C22358" s="87"/>
      <c r="D22358" s="87"/>
      <c r="E22358" s="87"/>
      <c r="F22358" s="87"/>
      <c r="G22358" s="87"/>
    </row>
    <row r="22359">
      <c r="A22359" s="87"/>
      <c r="B22359" s="87"/>
      <c r="C22359" s="87"/>
      <c r="D22359" s="87"/>
      <c r="E22359" s="87"/>
      <c r="F22359" s="87"/>
      <c r="G22359" s="87"/>
    </row>
    <row r="22360">
      <c r="A22360" s="87"/>
      <c r="B22360" s="87"/>
      <c r="C22360" s="87"/>
      <c r="D22360" s="87"/>
      <c r="E22360" s="87"/>
      <c r="F22360" s="87"/>
      <c r="G22360" s="87"/>
    </row>
    <row r="22361">
      <c r="A22361" s="87"/>
      <c r="B22361" s="87"/>
      <c r="C22361" s="87"/>
      <c r="D22361" s="87"/>
      <c r="E22361" s="87"/>
      <c r="F22361" s="87"/>
      <c r="G22361" s="87"/>
    </row>
    <row r="22362">
      <c r="A22362" s="87"/>
      <c r="B22362" s="87"/>
      <c r="C22362" s="87"/>
      <c r="D22362" s="87"/>
      <c r="E22362" s="87"/>
      <c r="F22362" s="87"/>
      <c r="G22362" s="87"/>
    </row>
    <row r="22363">
      <c r="A22363" s="87"/>
      <c r="B22363" s="87"/>
      <c r="C22363" s="87"/>
      <c r="D22363" s="87"/>
      <c r="E22363" s="87"/>
      <c r="F22363" s="87"/>
      <c r="G22363" s="87"/>
    </row>
    <row r="22364">
      <c r="A22364" s="87"/>
      <c r="B22364" s="87"/>
      <c r="C22364" s="87"/>
      <c r="D22364" s="87"/>
      <c r="E22364" s="87"/>
      <c r="F22364" s="87"/>
      <c r="G22364" s="87"/>
    </row>
    <row r="22365">
      <c r="A22365" s="87"/>
      <c r="B22365" s="87"/>
      <c r="C22365" s="87"/>
      <c r="D22365" s="87"/>
      <c r="E22365" s="87"/>
      <c r="F22365" s="87"/>
      <c r="G22365" s="87"/>
    </row>
    <row r="22366">
      <c r="A22366" s="87"/>
      <c r="B22366" s="87"/>
      <c r="C22366" s="87"/>
      <c r="D22366" s="87"/>
      <c r="E22366" s="87"/>
      <c r="F22366" s="87"/>
      <c r="G22366" s="87"/>
    </row>
    <row r="22367">
      <c r="A22367" s="87"/>
      <c r="B22367" s="87"/>
      <c r="C22367" s="87"/>
      <c r="D22367" s="87"/>
      <c r="E22367" s="87"/>
      <c r="F22367" s="87"/>
      <c r="G22367" s="87"/>
    </row>
    <row r="22368">
      <c r="A22368" s="87"/>
      <c r="B22368" s="87"/>
      <c r="C22368" s="87"/>
      <c r="D22368" s="87"/>
      <c r="E22368" s="87"/>
      <c r="F22368" s="87"/>
      <c r="G22368" s="87"/>
    </row>
    <row r="22369">
      <c r="A22369" s="87"/>
      <c r="B22369" s="87"/>
      <c r="C22369" s="87"/>
      <c r="D22369" s="87"/>
      <c r="E22369" s="87"/>
      <c r="F22369" s="87"/>
      <c r="G22369" s="87"/>
    </row>
    <row r="22370">
      <c r="A22370" s="87"/>
      <c r="B22370" s="87"/>
      <c r="C22370" s="87"/>
      <c r="D22370" s="87"/>
      <c r="E22370" s="87"/>
      <c r="F22370" s="87"/>
      <c r="G22370" s="87"/>
    </row>
    <row r="22371">
      <c r="A22371" s="87"/>
      <c r="B22371" s="87"/>
      <c r="C22371" s="87"/>
      <c r="D22371" s="87"/>
      <c r="E22371" s="87"/>
      <c r="F22371" s="87"/>
      <c r="G22371" s="87"/>
    </row>
    <row r="22372">
      <c r="A22372" s="87"/>
      <c r="B22372" s="87"/>
      <c r="C22372" s="87"/>
      <c r="D22372" s="87"/>
      <c r="E22372" s="87"/>
      <c r="F22372" s="87"/>
      <c r="G22372" s="87"/>
    </row>
    <row r="22373">
      <c r="A22373" s="87"/>
      <c r="B22373" s="87"/>
      <c r="C22373" s="87"/>
      <c r="D22373" s="87"/>
      <c r="E22373" s="87"/>
      <c r="F22373" s="87"/>
      <c r="G22373" s="87"/>
    </row>
    <row r="22374">
      <c r="A22374" s="87"/>
      <c r="B22374" s="87"/>
      <c r="C22374" s="87"/>
      <c r="D22374" s="87"/>
      <c r="E22374" s="87"/>
      <c r="F22374" s="87"/>
      <c r="G22374" s="87"/>
    </row>
    <row r="22375">
      <c r="A22375" s="87"/>
      <c r="B22375" s="87"/>
      <c r="C22375" s="87"/>
      <c r="D22375" s="87"/>
      <c r="E22375" s="87"/>
      <c r="F22375" s="87"/>
      <c r="G22375" s="87"/>
    </row>
    <row r="22376">
      <c r="A22376" s="87"/>
      <c r="B22376" s="87"/>
      <c r="C22376" s="87"/>
      <c r="D22376" s="87"/>
      <c r="E22376" s="87"/>
      <c r="F22376" s="87"/>
      <c r="G22376" s="87"/>
    </row>
    <row r="22377">
      <c r="A22377" s="87"/>
      <c r="B22377" s="87"/>
      <c r="C22377" s="87"/>
      <c r="D22377" s="87"/>
      <c r="E22377" s="87"/>
      <c r="F22377" s="87"/>
      <c r="G22377" s="87"/>
    </row>
    <row r="22378">
      <c r="A22378" s="87"/>
      <c r="B22378" s="87"/>
      <c r="C22378" s="87"/>
      <c r="D22378" s="87"/>
      <c r="E22378" s="87"/>
      <c r="F22378" s="87"/>
      <c r="G22378" s="87"/>
    </row>
    <row r="22379">
      <c r="A22379" s="87"/>
      <c r="B22379" s="87"/>
      <c r="C22379" s="87"/>
      <c r="D22379" s="87"/>
      <c r="E22379" s="87"/>
      <c r="F22379" s="87"/>
      <c r="G22379" s="87"/>
    </row>
    <row r="22380">
      <c r="A22380" s="87"/>
      <c r="B22380" s="87"/>
      <c r="C22380" s="87"/>
      <c r="D22380" s="87"/>
      <c r="E22380" s="87"/>
      <c r="F22380" s="87"/>
      <c r="G22380" s="87"/>
    </row>
    <row r="22381">
      <c r="A22381" s="87"/>
      <c r="B22381" s="87"/>
      <c r="C22381" s="87"/>
      <c r="D22381" s="87"/>
      <c r="E22381" s="87"/>
      <c r="F22381" s="87"/>
      <c r="G22381" s="87"/>
    </row>
    <row r="22382">
      <c r="A22382" s="87"/>
      <c r="B22382" s="87"/>
      <c r="C22382" s="87"/>
      <c r="D22382" s="87"/>
      <c r="E22382" s="87"/>
      <c r="F22382" s="87"/>
      <c r="G22382" s="87"/>
    </row>
    <row r="22383">
      <c r="A22383" s="87"/>
      <c r="B22383" s="87"/>
      <c r="C22383" s="87"/>
      <c r="D22383" s="87"/>
      <c r="E22383" s="87"/>
      <c r="F22383" s="87"/>
      <c r="G22383" s="87"/>
    </row>
    <row r="22384">
      <c r="A22384" s="87"/>
      <c r="B22384" s="87"/>
      <c r="C22384" s="87"/>
      <c r="D22384" s="87"/>
      <c r="E22384" s="87"/>
      <c r="F22384" s="87"/>
      <c r="G22384" s="87"/>
    </row>
    <row r="22385">
      <c r="A22385" s="87"/>
      <c r="B22385" s="87"/>
      <c r="C22385" s="87"/>
      <c r="D22385" s="87"/>
      <c r="E22385" s="87"/>
      <c r="F22385" s="87"/>
      <c r="G22385" s="87"/>
    </row>
    <row r="22386">
      <c r="A22386" s="87"/>
      <c r="B22386" s="87"/>
      <c r="C22386" s="87"/>
      <c r="D22386" s="87"/>
      <c r="E22386" s="87"/>
      <c r="F22386" s="87"/>
      <c r="G22386" s="87"/>
    </row>
    <row r="22387">
      <c r="A22387" s="87"/>
      <c r="B22387" s="87"/>
      <c r="C22387" s="87"/>
      <c r="D22387" s="87"/>
      <c r="E22387" s="87"/>
      <c r="F22387" s="87"/>
      <c r="G22387" s="87"/>
    </row>
    <row r="22388">
      <c r="A22388" s="87"/>
      <c r="B22388" s="87"/>
      <c r="C22388" s="87"/>
      <c r="D22388" s="87"/>
      <c r="E22388" s="87"/>
      <c r="F22388" s="87"/>
      <c r="G22388" s="87"/>
    </row>
    <row r="22389">
      <c r="A22389" s="87"/>
      <c r="B22389" s="87"/>
      <c r="C22389" s="87"/>
      <c r="D22389" s="87"/>
      <c r="E22389" s="87"/>
      <c r="F22389" s="87"/>
      <c r="G22389" s="87"/>
    </row>
    <row r="22390">
      <c r="A22390" s="87"/>
      <c r="B22390" s="87"/>
      <c r="C22390" s="87"/>
      <c r="D22390" s="87"/>
      <c r="E22390" s="87"/>
      <c r="F22390" s="87"/>
      <c r="G22390" s="87"/>
    </row>
    <row r="22391">
      <c r="A22391" s="87"/>
      <c r="B22391" s="87"/>
      <c r="C22391" s="87"/>
      <c r="D22391" s="87"/>
      <c r="E22391" s="87"/>
      <c r="F22391" s="87"/>
      <c r="G22391" s="87"/>
    </row>
    <row r="22392">
      <c r="A22392" s="87"/>
      <c r="B22392" s="87"/>
      <c r="C22392" s="87"/>
      <c r="D22392" s="87"/>
      <c r="E22392" s="87"/>
      <c r="F22392" s="87"/>
      <c r="G22392" s="87"/>
    </row>
    <row r="22393">
      <c r="A22393" s="87"/>
      <c r="B22393" s="87"/>
      <c r="C22393" s="87"/>
      <c r="D22393" s="87"/>
      <c r="E22393" s="87"/>
      <c r="F22393" s="87"/>
      <c r="G22393" s="87"/>
    </row>
    <row r="22394">
      <c r="A22394" s="87"/>
      <c r="B22394" s="87"/>
      <c r="C22394" s="87"/>
      <c r="D22394" s="87"/>
      <c r="E22394" s="87"/>
      <c r="F22394" s="87"/>
      <c r="G22394" s="87"/>
    </row>
    <row r="22395">
      <c r="A22395" s="87"/>
      <c r="B22395" s="87"/>
      <c r="C22395" s="87"/>
      <c r="D22395" s="87"/>
      <c r="E22395" s="87"/>
      <c r="F22395" s="87"/>
      <c r="G22395" s="87"/>
    </row>
    <row r="22396">
      <c r="A22396" s="87"/>
      <c r="B22396" s="87"/>
      <c r="C22396" s="87"/>
      <c r="D22396" s="87"/>
      <c r="E22396" s="87"/>
      <c r="F22396" s="87"/>
      <c r="G22396" s="87"/>
    </row>
    <row r="22397">
      <c r="A22397" s="87"/>
      <c r="B22397" s="87"/>
      <c r="C22397" s="87"/>
      <c r="D22397" s="87"/>
      <c r="E22397" s="87"/>
      <c r="F22397" s="87"/>
      <c r="G22397" s="87"/>
    </row>
    <row r="22398">
      <c r="A22398" s="87"/>
      <c r="B22398" s="87"/>
      <c r="C22398" s="87"/>
      <c r="D22398" s="87"/>
      <c r="E22398" s="87"/>
      <c r="F22398" s="87"/>
      <c r="G22398" s="87"/>
    </row>
    <row r="22399">
      <c r="A22399" s="87"/>
      <c r="B22399" s="87"/>
      <c r="C22399" s="87"/>
      <c r="D22399" s="87"/>
      <c r="E22399" s="87"/>
      <c r="F22399" s="87"/>
      <c r="G22399" s="87"/>
    </row>
    <row r="22400">
      <c r="A22400" s="87"/>
      <c r="B22400" s="87"/>
      <c r="C22400" s="87"/>
      <c r="D22400" s="87"/>
      <c r="E22400" s="87"/>
      <c r="F22400" s="87"/>
      <c r="G22400" s="87"/>
    </row>
    <row r="22401">
      <c r="A22401" s="87"/>
      <c r="B22401" s="87"/>
      <c r="C22401" s="87"/>
      <c r="D22401" s="87"/>
      <c r="E22401" s="87"/>
      <c r="F22401" s="87"/>
      <c r="G22401" s="87"/>
    </row>
    <row r="22402">
      <c r="A22402" s="87"/>
      <c r="B22402" s="87"/>
      <c r="C22402" s="87"/>
      <c r="D22402" s="87"/>
      <c r="E22402" s="87"/>
      <c r="F22402" s="87"/>
      <c r="G22402" s="87"/>
    </row>
    <row r="22403">
      <c r="A22403" s="87"/>
      <c r="B22403" s="87"/>
      <c r="C22403" s="87"/>
      <c r="D22403" s="87"/>
      <c r="E22403" s="87"/>
      <c r="F22403" s="87"/>
      <c r="G22403" s="87"/>
    </row>
    <row r="22404">
      <c r="A22404" s="87"/>
      <c r="B22404" s="87"/>
      <c r="C22404" s="87"/>
      <c r="D22404" s="87"/>
      <c r="E22404" s="87"/>
      <c r="F22404" s="87"/>
      <c r="G22404" s="87"/>
    </row>
    <row r="22405">
      <c r="A22405" s="87"/>
      <c r="B22405" s="87"/>
      <c r="C22405" s="87"/>
      <c r="D22405" s="87"/>
      <c r="E22405" s="87"/>
      <c r="F22405" s="87"/>
      <c r="G22405" s="87"/>
    </row>
    <row r="22406">
      <c r="A22406" s="87"/>
      <c r="B22406" s="87"/>
      <c r="C22406" s="87"/>
      <c r="D22406" s="87"/>
      <c r="E22406" s="87"/>
      <c r="F22406" s="87"/>
      <c r="G22406" s="87"/>
    </row>
    <row r="22407">
      <c r="A22407" s="87"/>
      <c r="B22407" s="87"/>
      <c r="C22407" s="87"/>
      <c r="D22407" s="87"/>
      <c r="E22407" s="87"/>
      <c r="F22407" s="87"/>
      <c r="G22407" s="87"/>
    </row>
    <row r="22408">
      <c r="A22408" s="87"/>
      <c r="B22408" s="87"/>
      <c r="C22408" s="87"/>
      <c r="D22408" s="87"/>
      <c r="E22408" s="87"/>
      <c r="F22408" s="87"/>
      <c r="G22408" s="87"/>
    </row>
    <row r="22409">
      <c r="A22409" s="87"/>
      <c r="B22409" s="87"/>
      <c r="C22409" s="87"/>
      <c r="D22409" s="87"/>
      <c r="E22409" s="87"/>
      <c r="F22409" s="87"/>
      <c r="G22409" s="87"/>
    </row>
    <row r="22410">
      <c r="A22410" s="87"/>
      <c r="B22410" s="87"/>
      <c r="C22410" s="87"/>
      <c r="D22410" s="87"/>
      <c r="E22410" s="87"/>
      <c r="F22410" s="87"/>
      <c r="G22410" s="87"/>
    </row>
    <row r="22411">
      <c r="A22411" s="87"/>
      <c r="B22411" s="87"/>
      <c r="C22411" s="87"/>
      <c r="D22411" s="87"/>
      <c r="E22411" s="87"/>
      <c r="F22411" s="87"/>
      <c r="G22411" s="87"/>
    </row>
    <row r="22412">
      <c r="A22412" s="87"/>
      <c r="B22412" s="87"/>
      <c r="C22412" s="87"/>
      <c r="D22412" s="87"/>
      <c r="E22412" s="87"/>
      <c r="F22412" s="87"/>
      <c r="G22412" s="87"/>
    </row>
    <row r="22413">
      <c r="A22413" s="87"/>
      <c r="B22413" s="87"/>
      <c r="C22413" s="87"/>
      <c r="D22413" s="87"/>
      <c r="E22413" s="87"/>
      <c r="F22413" s="87"/>
      <c r="G22413" s="87"/>
    </row>
    <row r="22414">
      <c r="A22414" s="87"/>
      <c r="B22414" s="87"/>
      <c r="C22414" s="87"/>
      <c r="D22414" s="87"/>
      <c r="E22414" s="87"/>
      <c r="F22414" s="87"/>
      <c r="G22414" s="87"/>
    </row>
    <row r="22415">
      <c r="A22415" s="87"/>
      <c r="B22415" s="87"/>
      <c r="C22415" s="87"/>
      <c r="D22415" s="87"/>
      <c r="E22415" s="87"/>
      <c r="F22415" s="87"/>
      <c r="G22415" s="87"/>
    </row>
    <row r="22416">
      <c r="A22416" s="87"/>
      <c r="B22416" s="87"/>
      <c r="C22416" s="87"/>
      <c r="D22416" s="87"/>
      <c r="E22416" s="87"/>
      <c r="F22416" s="87"/>
      <c r="G22416" s="87"/>
    </row>
    <row r="22417">
      <c r="A22417" s="87"/>
      <c r="B22417" s="87"/>
      <c r="C22417" s="87"/>
      <c r="D22417" s="87"/>
      <c r="E22417" s="87"/>
      <c r="F22417" s="87"/>
      <c r="G22417" s="87"/>
    </row>
    <row r="22418">
      <c r="A22418" s="87"/>
      <c r="B22418" s="87"/>
      <c r="C22418" s="87"/>
      <c r="D22418" s="87"/>
      <c r="E22418" s="87"/>
      <c r="F22418" s="87"/>
      <c r="G22418" s="87"/>
    </row>
    <row r="22419">
      <c r="A22419" s="87"/>
      <c r="B22419" s="87"/>
      <c r="C22419" s="87"/>
      <c r="D22419" s="87"/>
      <c r="E22419" s="87"/>
      <c r="F22419" s="87"/>
      <c r="G22419" s="87"/>
    </row>
    <row r="22420">
      <c r="A22420" s="87"/>
      <c r="B22420" s="87"/>
      <c r="C22420" s="87"/>
      <c r="D22420" s="87"/>
      <c r="E22420" s="87"/>
      <c r="F22420" s="87"/>
      <c r="G22420" s="87"/>
    </row>
    <row r="22421">
      <c r="A22421" s="87"/>
      <c r="B22421" s="87"/>
      <c r="C22421" s="87"/>
      <c r="D22421" s="87"/>
      <c r="E22421" s="87"/>
      <c r="F22421" s="87"/>
      <c r="G22421" s="87"/>
    </row>
    <row r="22422">
      <c r="A22422" s="87"/>
      <c r="B22422" s="87"/>
      <c r="C22422" s="87"/>
      <c r="D22422" s="87"/>
      <c r="E22422" s="87"/>
      <c r="F22422" s="87"/>
      <c r="G22422" s="87"/>
    </row>
    <row r="22423">
      <c r="A22423" s="87"/>
      <c r="B22423" s="87"/>
      <c r="C22423" s="87"/>
      <c r="D22423" s="87"/>
      <c r="E22423" s="87"/>
      <c r="F22423" s="87"/>
      <c r="G22423" s="87"/>
    </row>
    <row r="22424">
      <c r="A22424" s="87"/>
      <c r="B22424" s="87"/>
      <c r="C22424" s="87"/>
      <c r="D22424" s="87"/>
      <c r="E22424" s="87"/>
      <c r="F22424" s="87"/>
      <c r="G22424" s="87"/>
    </row>
    <row r="22425">
      <c r="A22425" s="87"/>
      <c r="B22425" s="87"/>
      <c r="C22425" s="87"/>
      <c r="D22425" s="87"/>
      <c r="E22425" s="87"/>
      <c r="F22425" s="87"/>
      <c r="G22425" s="87"/>
    </row>
    <row r="22426">
      <c r="A22426" s="87"/>
      <c r="B22426" s="87"/>
      <c r="C22426" s="87"/>
      <c r="D22426" s="87"/>
      <c r="E22426" s="87"/>
      <c r="F22426" s="87"/>
      <c r="G22426" s="87"/>
    </row>
    <row r="22427">
      <c r="A22427" s="87"/>
      <c r="B22427" s="87"/>
      <c r="C22427" s="87"/>
      <c r="D22427" s="87"/>
      <c r="E22427" s="87"/>
      <c r="F22427" s="87"/>
      <c r="G22427" s="87"/>
    </row>
    <row r="22428">
      <c r="A22428" s="87"/>
      <c r="B22428" s="87"/>
      <c r="C22428" s="87"/>
      <c r="D22428" s="87"/>
      <c r="E22428" s="87"/>
      <c r="F22428" s="87"/>
      <c r="G22428" s="87"/>
    </row>
    <row r="22429">
      <c r="A22429" s="87"/>
      <c r="B22429" s="87"/>
      <c r="C22429" s="87"/>
      <c r="D22429" s="87"/>
      <c r="E22429" s="87"/>
      <c r="F22429" s="87"/>
      <c r="G22429" s="87"/>
    </row>
    <row r="22430">
      <c r="A22430" s="87"/>
      <c r="B22430" s="87"/>
      <c r="C22430" s="87"/>
      <c r="D22430" s="87"/>
      <c r="E22430" s="87"/>
      <c r="F22430" s="87"/>
      <c r="G22430" s="87"/>
    </row>
    <row r="22431">
      <c r="A22431" s="87"/>
      <c r="B22431" s="87"/>
      <c r="C22431" s="87"/>
      <c r="D22431" s="87"/>
      <c r="E22431" s="87"/>
      <c r="F22431" s="87"/>
      <c r="G22431" s="87"/>
    </row>
    <row r="22432">
      <c r="A22432" s="87"/>
      <c r="B22432" s="87"/>
      <c r="C22432" s="87"/>
      <c r="D22432" s="87"/>
      <c r="E22432" s="87"/>
      <c r="F22432" s="87"/>
      <c r="G22432" s="87"/>
    </row>
    <row r="22433">
      <c r="A22433" s="87"/>
      <c r="B22433" s="87"/>
      <c r="C22433" s="87"/>
      <c r="D22433" s="87"/>
      <c r="E22433" s="87"/>
      <c r="F22433" s="87"/>
      <c r="G22433" s="87"/>
    </row>
    <row r="22434">
      <c r="A22434" s="87"/>
      <c r="B22434" s="87"/>
      <c r="C22434" s="87"/>
      <c r="D22434" s="87"/>
      <c r="E22434" s="87"/>
      <c r="F22434" s="87"/>
      <c r="G22434" s="87"/>
    </row>
    <row r="22435">
      <c r="A22435" s="87"/>
      <c r="B22435" s="87"/>
      <c r="C22435" s="87"/>
      <c r="D22435" s="87"/>
      <c r="E22435" s="87"/>
      <c r="F22435" s="87"/>
      <c r="G22435" s="87"/>
    </row>
    <row r="22436">
      <c r="A22436" s="87"/>
      <c r="B22436" s="87"/>
      <c r="C22436" s="87"/>
      <c r="D22436" s="87"/>
      <c r="E22436" s="87"/>
      <c r="F22436" s="87"/>
      <c r="G22436" s="87"/>
    </row>
    <row r="22437">
      <c r="A22437" s="87"/>
      <c r="B22437" s="87"/>
      <c r="C22437" s="87"/>
      <c r="D22437" s="87"/>
      <c r="E22437" s="87"/>
      <c r="F22437" s="87"/>
      <c r="G22437" s="87"/>
    </row>
    <row r="22438">
      <c r="A22438" s="87"/>
      <c r="B22438" s="87"/>
      <c r="C22438" s="87"/>
      <c r="D22438" s="87"/>
      <c r="E22438" s="87"/>
      <c r="F22438" s="87"/>
      <c r="G22438" s="87"/>
    </row>
    <row r="22439">
      <c r="A22439" s="87"/>
      <c r="B22439" s="87"/>
      <c r="C22439" s="87"/>
      <c r="D22439" s="87"/>
      <c r="E22439" s="87"/>
      <c r="F22439" s="87"/>
      <c r="G22439" s="87"/>
    </row>
    <row r="22440">
      <c r="A22440" s="87"/>
      <c r="B22440" s="87"/>
      <c r="C22440" s="87"/>
      <c r="D22440" s="87"/>
      <c r="E22440" s="87"/>
      <c r="F22440" s="87"/>
      <c r="G22440" s="87"/>
    </row>
    <row r="22441">
      <c r="A22441" s="87"/>
      <c r="B22441" s="87"/>
      <c r="C22441" s="87"/>
      <c r="D22441" s="87"/>
      <c r="E22441" s="87"/>
      <c r="F22441" s="87"/>
      <c r="G22441" s="87"/>
    </row>
    <row r="22442">
      <c r="A22442" s="87"/>
      <c r="B22442" s="87"/>
      <c r="C22442" s="87"/>
      <c r="D22442" s="87"/>
      <c r="E22442" s="87"/>
      <c r="F22442" s="87"/>
      <c r="G22442" s="87"/>
    </row>
    <row r="22443">
      <c r="A22443" s="87"/>
      <c r="B22443" s="87"/>
      <c r="C22443" s="87"/>
      <c r="D22443" s="87"/>
      <c r="E22443" s="87"/>
      <c r="F22443" s="87"/>
      <c r="G22443" s="87"/>
    </row>
    <row r="22444">
      <c r="A22444" s="87"/>
      <c r="B22444" s="87"/>
      <c r="C22444" s="87"/>
      <c r="D22444" s="87"/>
      <c r="E22444" s="87"/>
      <c r="F22444" s="87"/>
      <c r="G22444" s="87"/>
    </row>
    <row r="22445">
      <c r="A22445" s="87"/>
      <c r="B22445" s="87"/>
      <c r="C22445" s="87"/>
      <c r="D22445" s="87"/>
      <c r="E22445" s="87"/>
      <c r="F22445" s="87"/>
      <c r="G22445" s="87"/>
    </row>
    <row r="22446">
      <c r="A22446" s="87"/>
      <c r="B22446" s="87"/>
      <c r="C22446" s="87"/>
      <c r="D22446" s="87"/>
      <c r="E22446" s="87"/>
      <c r="F22446" s="87"/>
      <c r="G22446" s="87"/>
    </row>
    <row r="22447">
      <c r="A22447" s="87"/>
      <c r="B22447" s="87"/>
      <c r="C22447" s="87"/>
      <c r="D22447" s="87"/>
      <c r="E22447" s="87"/>
      <c r="F22447" s="87"/>
      <c r="G22447" s="87"/>
    </row>
    <row r="22448">
      <c r="A22448" s="87"/>
      <c r="B22448" s="87"/>
      <c r="C22448" s="87"/>
      <c r="D22448" s="87"/>
      <c r="E22448" s="87"/>
      <c r="F22448" s="87"/>
      <c r="G22448" s="87"/>
    </row>
    <row r="22449">
      <c r="A22449" s="87"/>
      <c r="B22449" s="87"/>
      <c r="C22449" s="87"/>
      <c r="D22449" s="87"/>
      <c r="E22449" s="87"/>
      <c r="F22449" s="87"/>
      <c r="G22449" s="87"/>
    </row>
    <row r="22450">
      <c r="A22450" s="87"/>
      <c r="B22450" s="87"/>
      <c r="C22450" s="87"/>
      <c r="D22450" s="87"/>
      <c r="E22450" s="87"/>
      <c r="F22450" s="87"/>
      <c r="G22450" s="87"/>
    </row>
    <row r="22451">
      <c r="A22451" s="87"/>
      <c r="B22451" s="87"/>
      <c r="C22451" s="87"/>
      <c r="D22451" s="87"/>
      <c r="E22451" s="87"/>
      <c r="F22451" s="87"/>
      <c r="G22451" s="87"/>
    </row>
    <row r="22452">
      <c r="A22452" s="87"/>
      <c r="B22452" s="87"/>
      <c r="C22452" s="87"/>
      <c r="D22452" s="87"/>
      <c r="E22452" s="87"/>
      <c r="F22452" s="87"/>
      <c r="G22452" s="87"/>
    </row>
    <row r="22453">
      <c r="A22453" s="87"/>
      <c r="B22453" s="87"/>
      <c r="C22453" s="87"/>
      <c r="D22453" s="87"/>
      <c r="E22453" s="87"/>
      <c r="F22453" s="87"/>
      <c r="G22453" s="87"/>
    </row>
    <row r="22454">
      <c r="A22454" s="87"/>
      <c r="B22454" s="87"/>
      <c r="C22454" s="87"/>
      <c r="D22454" s="87"/>
      <c r="E22454" s="87"/>
      <c r="F22454" s="87"/>
      <c r="G22454" s="87"/>
    </row>
    <row r="22455">
      <c r="A22455" s="87"/>
      <c r="B22455" s="87"/>
      <c r="C22455" s="87"/>
      <c r="D22455" s="87"/>
      <c r="E22455" s="87"/>
      <c r="F22455" s="87"/>
      <c r="G22455" s="87"/>
    </row>
    <row r="22456">
      <c r="A22456" s="87"/>
      <c r="B22456" s="87"/>
      <c r="C22456" s="87"/>
      <c r="D22456" s="87"/>
      <c r="E22456" s="87"/>
      <c r="F22456" s="87"/>
      <c r="G22456" s="87"/>
    </row>
    <row r="22457">
      <c r="A22457" s="87"/>
      <c r="B22457" s="87"/>
      <c r="C22457" s="87"/>
      <c r="D22457" s="87"/>
      <c r="E22457" s="87"/>
      <c r="F22457" s="87"/>
      <c r="G22457" s="87"/>
    </row>
    <row r="22458">
      <c r="A22458" s="87"/>
      <c r="B22458" s="87"/>
      <c r="C22458" s="87"/>
      <c r="D22458" s="87"/>
      <c r="E22458" s="87"/>
      <c r="F22458" s="87"/>
      <c r="G22458" s="87"/>
    </row>
    <row r="22459">
      <c r="A22459" s="87"/>
      <c r="B22459" s="87"/>
      <c r="C22459" s="87"/>
      <c r="D22459" s="87"/>
      <c r="E22459" s="87"/>
      <c r="F22459" s="87"/>
      <c r="G22459" s="87"/>
    </row>
    <row r="22460">
      <c r="A22460" s="87"/>
      <c r="B22460" s="87"/>
      <c r="C22460" s="87"/>
      <c r="D22460" s="87"/>
      <c r="E22460" s="87"/>
      <c r="F22460" s="87"/>
      <c r="G22460" s="87"/>
    </row>
    <row r="22461">
      <c r="A22461" s="87"/>
      <c r="B22461" s="87"/>
      <c r="C22461" s="87"/>
      <c r="D22461" s="87"/>
      <c r="E22461" s="87"/>
      <c r="F22461" s="87"/>
      <c r="G22461" s="87"/>
    </row>
    <row r="22462">
      <c r="A22462" s="87"/>
      <c r="B22462" s="87"/>
      <c r="C22462" s="87"/>
      <c r="D22462" s="87"/>
      <c r="E22462" s="87"/>
      <c r="F22462" s="87"/>
      <c r="G22462" s="87"/>
    </row>
    <row r="22463">
      <c r="A22463" s="87"/>
      <c r="B22463" s="87"/>
      <c r="C22463" s="87"/>
      <c r="D22463" s="87"/>
      <c r="E22463" s="87"/>
      <c r="F22463" s="87"/>
      <c r="G22463" s="87"/>
    </row>
    <row r="22464">
      <c r="A22464" s="87"/>
      <c r="B22464" s="87"/>
      <c r="C22464" s="87"/>
      <c r="D22464" s="87"/>
      <c r="E22464" s="87"/>
      <c r="F22464" s="87"/>
      <c r="G22464" s="87"/>
    </row>
    <row r="22465">
      <c r="A22465" s="87"/>
      <c r="B22465" s="87"/>
      <c r="C22465" s="87"/>
      <c r="D22465" s="87"/>
      <c r="E22465" s="87"/>
      <c r="F22465" s="87"/>
      <c r="G22465" s="87"/>
    </row>
    <row r="22466">
      <c r="A22466" s="87"/>
      <c r="B22466" s="87"/>
      <c r="C22466" s="87"/>
      <c r="D22466" s="87"/>
      <c r="E22466" s="87"/>
      <c r="F22466" s="87"/>
      <c r="G22466" s="87"/>
    </row>
    <row r="22467">
      <c r="A22467" s="87"/>
      <c r="B22467" s="87"/>
      <c r="C22467" s="87"/>
      <c r="D22467" s="87"/>
      <c r="E22467" s="87"/>
      <c r="F22467" s="87"/>
      <c r="G22467" s="87"/>
    </row>
    <row r="22468">
      <c r="A22468" s="87"/>
      <c r="B22468" s="87"/>
      <c r="C22468" s="87"/>
      <c r="D22468" s="87"/>
      <c r="E22468" s="87"/>
      <c r="F22468" s="87"/>
      <c r="G22468" s="87"/>
    </row>
    <row r="22469">
      <c r="A22469" s="87"/>
      <c r="B22469" s="87"/>
      <c r="C22469" s="87"/>
      <c r="D22469" s="87"/>
      <c r="E22469" s="87"/>
      <c r="F22469" s="87"/>
      <c r="G22469" s="87"/>
    </row>
    <row r="22470">
      <c r="A22470" s="87"/>
      <c r="B22470" s="87"/>
      <c r="C22470" s="87"/>
      <c r="D22470" s="87"/>
      <c r="E22470" s="87"/>
      <c r="F22470" s="87"/>
      <c r="G22470" s="87"/>
    </row>
    <row r="22471">
      <c r="A22471" s="87"/>
      <c r="B22471" s="87"/>
      <c r="C22471" s="87"/>
      <c r="D22471" s="87"/>
      <c r="E22471" s="87"/>
      <c r="F22471" s="87"/>
      <c r="G22471" s="87"/>
    </row>
    <row r="22472">
      <c r="A22472" s="87"/>
      <c r="B22472" s="87"/>
      <c r="C22472" s="87"/>
      <c r="D22472" s="87"/>
      <c r="E22472" s="87"/>
      <c r="F22472" s="87"/>
      <c r="G22472" s="87"/>
    </row>
    <row r="22473">
      <c r="A22473" s="87"/>
      <c r="B22473" s="87"/>
      <c r="C22473" s="87"/>
      <c r="D22473" s="87"/>
      <c r="E22473" s="87"/>
      <c r="F22473" s="87"/>
      <c r="G22473" s="87"/>
    </row>
    <row r="22474">
      <c r="A22474" s="87"/>
      <c r="B22474" s="87"/>
      <c r="C22474" s="87"/>
      <c r="D22474" s="87"/>
      <c r="E22474" s="87"/>
      <c r="F22474" s="87"/>
      <c r="G22474" s="87"/>
    </row>
    <row r="22475">
      <c r="A22475" s="87"/>
      <c r="B22475" s="87"/>
      <c r="C22475" s="87"/>
      <c r="D22475" s="87"/>
      <c r="E22475" s="87"/>
      <c r="F22475" s="87"/>
      <c r="G22475" s="87"/>
    </row>
    <row r="22476">
      <c r="A22476" s="87"/>
      <c r="B22476" s="87"/>
      <c r="C22476" s="87"/>
      <c r="D22476" s="87"/>
      <c r="E22476" s="87"/>
      <c r="F22476" s="87"/>
      <c r="G22476" s="87"/>
    </row>
    <row r="22477">
      <c r="A22477" s="87"/>
      <c r="B22477" s="87"/>
      <c r="C22477" s="87"/>
      <c r="D22477" s="87"/>
      <c r="E22477" s="87"/>
      <c r="F22477" s="87"/>
      <c r="G22477" s="87"/>
    </row>
    <row r="22478">
      <c r="A22478" s="87"/>
      <c r="B22478" s="87"/>
      <c r="C22478" s="87"/>
      <c r="D22478" s="87"/>
      <c r="E22478" s="87"/>
      <c r="F22478" s="87"/>
      <c r="G22478" s="87"/>
    </row>
    <row r="22479">
      <c r="A22479" s="87"/>
      <c r="B22479" s="87"/>
      <c r="C22479" s="87"/>
      <c r="D22479" s="87"/>
      <c r="E22479" s="87"/>
      <c r="F22479" s="87"/>
      <c r="G22479" s="87"/>
    </row>
    <row r="22480">
      <c r="A22480" s="87"/>
      <c r="B22480" s="87"/>
      <c r="C22480" s="87"/>
      <c r="D22480" s="87"/>
      <c r="E22480" s="87"/>
      <c r="F22480" s="87"/>
      <c r="G22480" s="87"/>
    </row>
    <row r="22481">
      <c r="A22481" s="87"/>
      <c r="B22481" s="87"/>
      <c r="C22481" s="87"/>
      <c r="D22481" s="87"/>
      <c r="E22481" s="87"/>
      <c r="F22481" s="87"/>
      <c r="G22481" s="87"/>
    </row>
    <row r="22482">
      <c r="A22482" s="87"/>
      <c r="B22482" s="87"/>
      <c r="C22482" s="87"/>
      <c r="D22482" s="87"/>
      <c r="E22482" s="87"/>
      <c r="F22482" s="87"/>
      <c r="G22482" s="87"/>
    </row>
    <row r="22483">
      <c r="A22483" s="87"/>
      <c r="B22483" s="87"/>
      <c r="C22483" s="87"/>
      <c r="D22483" s="87"/>
      <c r="E22483" s="87"/>
      <c r="F22483" s="87"/>
      <c r="G22483" s="87"/>
    </row>
    <row r="22484">
      <c r="A22484" s="87"/>
      <c r="B22484" s="87"/>
      <c r="C22484" s="87"/>
      <c r="D22484" s="87"/>
      <c r="E22484" s="87"/>
      <c r="F22484" s="87"/>
      <c r="G22484" s="87"/>
    </row>
    <row r="22485">
      <c r="A22485" s="87"/>
      <c r="B22485" s="87"/>
      <c r="C22485" s="87"/>
      <c r="D22485" s="87"/>
      <c r="E22485" s="87"/>
      <c r="F22485" s="87"/>
      <c r="G22485" s="87"/>
    </row>
    <row r="22486">
      <c r="A22486" s="87"/>
      <c r="B22486" s="87"/>
      <c r="C22486" s="87"/>
      <c r="D22486" s="87"/>
      <c r="E22486" s="87"/>
      <c r="F22486" s="87"/>
      <c r="G22486" s="87"/>
    </row>
    <row r="22487">
      <c r="A22487" s="87"/>
      <c r="B22487" s="87"/>
      <c r="C22487" s="87"/>
      <c r="D22487" s="87"/>
      <c r="E22487" s="87"/>
      <c r="F22487" s="87"/>
      <c r="G22487" s="87"/>
    </row>
    <row r="22488">
      <c r="A22488" s="87"/>
      <c r="B22488" s="87"/>
      <c r="C22488" s="87"/>
      <c r="D22488" s="87"/>
      <c r="E22488" s="87"/>
      <c r="F22488" s="87"/>
      <c r="G22488" s="87"/>
    </row>
    <row r="22489">
      <c r="A22489" s="87"/>
      <c r="B22489" s="87"/>
      <c r="C22489" s="87"/>
      <c r="D22489" s="87"/>
      <c r="E22489" s="87"/>
      <c r="F22489" s="87"/>
      <c r="G22489" s="87"/>
    </row>
    <row r="22490">
      <c r="A22490" s="87"/>
      <c r="B22490" s="87"/>
      <c r="C22490" s="87"/>
      <c r="D22490" s="87"/>
      <c r="E22490" s="87"/>
      <c r="F22490" s="87"/>
      <c r="G22490" s="87"/>
    </row>
    <row r="22491">
      <c r="A22491" s="87"/>
      <c r="B22491" s="87"/>
      <c r="C22491" s="87"/>
      <c r="D22491" s="87"/>
      <c r="E22491" s="87"/>
      <c r="F22491" s="87"/>
      <c r="G22491" s="87"/>
    </row>
    <row r="22492">
      <c r="A22492" s="87"/>
      <c r="B22492" s="87"/>
      <c r="C22492" s="87"/>
      <c r="D22492" s="87"/>
      <c r="E22492" s="87"/>
      <c r="F22492" s="87"/>
      <c r="G22492" s="87"/>
    </row>
    <row r="22493">
      <c r="A22493" s="87"/>
      <c r="B22493" s="87"/>
      <c r="C22493" s="87"/>
      <c r="D22493" s="87"/>
      <c r="E22493" s="87"/>
      <c r="F22493" s="87"/>
      <c r="G22493" s="87"/>
    </row>
    <row r="22494">
      <c r="A22494" s="87"/>
      <c r="B22494" s="87"/>
      <c r="C22494" s="87"/>
      <c r="D22494" s="87"/>
      <c r="E22494" s="87"/>
      <c r="F22494" s="87"/>
      <c r="G22494" s="87"/>
    </row>
    <row r="22495">
      <c r="A22495" s="87"/>
      <c r="B22495" s="87"/>
      <c r="C22495" s="87"/>
      <c r="D22495" s="87"/>
      <c r="E22495" s="87"/>
      <c r="F22495" s="87"/>
      <c r="G22495" s="87"/>
    </row>
    <row r="22496">
      <c r="A22496" s="87"/>
      <c r="B22496" s="87"/>
      <c r="C22496" s="87"/>
      <c r="D22496" s="87"/>
      <c r="E22496" s="87"/>
      <c r="F22496" s="87"/>
      <c r="G22496" s="87"/>
    </row>
    <row r="22497">
      <c r="A22497" s="87"/>
      <c r="B22497" s="87"/>
      <c r="C22497" s="87"/>
      <c r="D22497" s="87"/>
      <c r="E22497" s="87"/>
      <c r="F22497" s="87"/>
      <c r="G22497" s="87"/>
    </row>
    <row r="22498">
      <c r="A22498" s="87"/>
      <c r="B22498" s="87"/>
      <c r="C22498" s="87"/>
      <c r="D22498" s="87"/>
      <c r="E22498" s="87"/>
      <c r="F22498" s="87"/>
      <c r="G22498" s="87"/>
    </row>
    <row r="22499">
      <c r="A22499" s="87"/>
      <c r="B22499" s="87"/>
      <c r="C22499" s="87"/>
      <c r="D22499" s="87"/>
      <c r="E22499" s="87"/>
      <c r="F22499" s="87"/>
      <c r="G22499" s="87"/>
    </row>
    <row r="22500">
      <c r="A22500" s="87"/>
      <c r="B22500" s="87"/>
      <c r="C22500" s="87"/>
      <c r="D22500" s="87"/>
      <c r="E22500" s="87"/>
      <c r="F22500" s="87"/>
      <c r="G22500" s="87"/>
    </row>
    <row r="22501">
      <c r="A22501" s="87"/>
      <c r="B22501" s="87"/>
      <c r="C22501" s="87"/>
      <c r="D22501" s="87"/>
      <c r="E22501" s="87"/>
      <c r="F22501" s="87"/>
      <c r="G22501" s="87"/>
    </row>
    <row r="22502">
      <c r="A22502" s="87"/>
      <c r="B22502" s="87"/>
      <c r="C22502" s="87"/>
      <c r="D22502" s="87"/>
      <c r="E22502" s="87"/>
      <c r="F22502" s="87"/>
      <c r="G22502" s="87"/>
    </row>
    <row r="22503">
      <c r="A22503" s="87"/>
      <c r="B22503" s="87"/>
      <c r="C22503" s="87"/>
      <c r="D22503" s="87"/>
      <c r="E22503" s="87"/>
      <c r="F22503" s="87"/>
      <c r="G22503" s="87"/>
    </row>
    <row r="22504">
      <c r="A22504" s="87"/>
      <c r="B22504" s="87"/>
      <c r="C22504" s="87"/>
      <c r="D22504" s="87"/>
      <c r="E22504" s="87"/>
      <c r="F22504" s="87"/>
      <c r="G22504" s="87"/>
    </row>
    <row r="22505">
      <c r="A22505" s="87"/>
      <c r="B22505" s="87"/>
      <c r="C22505" s="87"/>
      <c r="D22505" s="87"/>
      <c r="E22505" s="87"/>
      <c r="F22505" s="87"/>
      <c r="G22505" s="87"/>
    </row>
    <row r="22506">
      <c r="A22506" s="87"/>
      <c r="B22506" s="87"/>
      <c r="C22506" s="87"/>
      <c r="D22506" s="87"/>
      <c r="E22506" s="87"/>
      <c r="F22506" s="87"/>
      <c r="G22506" s="87"/>
    </row>
    <row r="22507">
      <c r="A22507" s="87"/>
      <c r="B22507" s="87"/>
      <c r="C22507" s="87"/>
      <c r="D22507" s="87"/>
      <c r="E22507" s="87"/>
      <c r="F22507" s="87"/>
      <c r="G22507" s="87"/>
    </row>
    <row r="22508">
      <c r="A22508" s="87"/>
      <c r="B22508" s="87"/>
      <c r="C22508" s="87"/>
      <c r="D22508" s="87"/>
      <c r="E22508" s="87"/>
      <c r="F22508" s="87"/>
      <c r="G22508" s="87"/>
    </row>
    <row r="22509">
      <c r="A22509" s="87"/>
      <c r="B22509" s="87"/>
      <c r="C22509" s="87"/>
      <c r="D22509" s="87"/>
      <c r="E22509" s="87"/>
      <c r="F22509" s="87"/>
      <c r="G22509" s="87"/>
    </row>
    <row r="22510">
      <c r="A22510" s="87"/>
      <c r="B22510" s="87"/>
      <c r="C22510" s="87"/>
      <c r="D22510" s="87"/>
      <c r="E22510" s="87"/>
      <c r="F22510" s="87"/>
      <c r="G22510" s="87"/>
    </row>
    <row r="22511">
      <c r="A22511" s="87"/>
      <c r="B22511" s="87"/>
      <c r="C22511" s="87"/>
      <c r="D22511" s="87"/>
      <c r="E22511" s="87"/>
      <c r="F22511" s="87"/>
      <c r="G22511" s="87"/>
    </row>
    <row r="22512">
      <c r="A22512" s="87"/>
      <c r="B22512" s="87"/>
      <c r="C22512" s="87"/>
      <c r="D22512" s="87"/>
      <c r="E22512" s="87"/>
      <c r="F22512" s="87"/>
      <c r="G22512" s="87"/>
    </row>
    <row r="22513">
      <c r="A22513" s="87"/>
      <c r="B22513" s="87"/>
      <c r="C22513" s="87"/>
      <c r="D22513" s="87"/>
      <c r="E22513" s="87"/>
      <c r="F22513" s="87"/>
      <c r="G22513" s="87"/>
    </row>
    <row r="22514">
      <c r="A22514" s="87"/>
      <c r="B22514" s="87"/>
      <c r="C22514" s="87"/>
      <c r="D22514" s="87"/>
      <c r="E22514" s="87"/>
      <c r="F22514" s="87"/>
      <c r="G22514" s="87"/>
    </row>
    <row r="22515">
      <c r="A22515" s="87"/>
      <c r="B22515" s="87"/>
      <c r="C22515" s="87"/>
      <c r="D22515" s="87"/>
      <c r="E22515" s="87"/>
      <c r="F22515" s="87"/>
      <c r="G22515" s="87"/>
    </row>
    <row r="22516">
      <c r="A22516" s="87"/>
      <c r="B22516" s="87"/>
      <c r="C22516" s="87"/>
      <c r="D22516" s="87"/>
      <c r="E22516" s="87"/>
      <c r="F22516" s="87"/>
      <c r="G22516" s="87"/>
    </row>
    <row r="22517">
      <c r="A22517" s="87"/>
      <c r="B22517" s="87"/>
      <c r="C22517" s="87"/>
      <c r="D22517" s="87"/>
      <c r="E22517" s="87"/>
      <c r="F22517" s="87"/>
      <c r="G22517" s="87"/>
    </row>
    <row r="22518">
      <c r="A22518" s="87"/>
      <c r="B22518" s="87"/>
      <c r="C22518" s="87"/>
      <c r="D22518" s="87"/>
      <c r="E22518" s="87"/>
      <c r="F22518" s="87"/>
      <c r="G22518" s="87"/>
    </row>
    <row r="22519">
      <c r="A22519" s="87"/>
      <c r="B22519" s="87"/>
      <c r="C22519" s="87"/>
      <c r="D22519" s="87"/>
      <c r="E22519" s="87"/>
      <c r="F22519" s="87"/>
      <c r="G22519" s="87"/>
    </row>
    <row r="22520">
      <c r="A22520" s="87"/>
      <c r="B22520" s="87"/>
      <c r="C22520" s="87"/>
      <c r="D22520" s="87"/>
      <c r="E22520" s="87"/>
      <c r="F22520" s="87"/>
      <c r="G22520" s="87"/>
    </row>
    <row r="22521">
      <c r="A22521" s="87"/>
      <c r="B22521" s="87"/>
      <c r="C22521" s="87"/>
      <c r="D22521" s="87"/>
      <c r="E22521" s="87"/>
      <c r="F22521" s="87"/>
      <c r="G22521" s="87"/>
    </row>
    <row r="22522">
      <c r="A22522" s="87"/>
      <c r="B22522" s="87"/>
      <c r="C22522" s="87"/>
      <c r="D22522" s="87"/>
      <c r="E22522" s="87"/>
      <c r="F22522" s="87"/>
      <c r="G22522" s="87"/>
    </row>
    <row r="22523">
      <c r="A22523" s="87"/>
      <c r="B22523" s="87"/>
      <c r="C22523" s="87"/>
      <c r="D22523" s="87"/>
      <c r="E22523" s="87"/>
      <c r="F22523" s="87"/>
      <c r="G22523" s="87"/>
    </row>
    <row r="22524">
      <c r="A22524" s="87"/>
      <c r="B22524" s="87"/>
      <c r="C22524" s="87"/>
      <c r="D22524" s="87"/>
      <c r="E22524" s="87"/>
      <c r="F22524" s="87"/>
      <c r="G22524" s="87"/>
    </row>
    <row r="22525">
      <c r="A22525" s="87"/>
      <c r="B22525" s="87"/>
      <c r="C22525" s="87"/>
      <c r="D22525" s="87"/>
      <c r="E22525" s="87"/>
      <c r="F22525" s="87"/>
      <c r="G22525" s="87"/>
    </row>
    <row r="22526">
      <c r="A22526" s="87"/>
      <c r="B22526" s="87"/>
      <c r="C22526" s="87"/>
      <c r="D22526" s="87"/>
      <c r="E22526" s="87"/>
      <c r="F22526" s="87"/>
      <c r="G22526" s="87"/>
    </row>
    <row r="22527">
      <c r="A22527" s="87"/>
      <c r="B22527" s="87"/>
      <c r="C22527" s="87"/>
      <c r="D22527" s="87"/>
      <c r="E22527" s="87"/>
      <c r="F22527" s="87"/>
      <c r="G22527" s="87"/>
    </row>
    <row r="22528">
      <c r="A22528" s="87"/>
      <c r="B22528" s="87"/>
      <c r="C22528" s="87"/>
      <c r="D22528" s="87"/>
      <c r="E22528" s="87"/>
      <c r="F22528" s="87"/>
      <c r="G22528" s="87"/>
    </row>
    <row r="22529">
      <c r="A22529" s="87"/>
      <c r="B22529" s="87"/>
      <c r="C22529" s="87"/>
      <c r="D22529" s="87"/>
      <c r="E22529" s="87"/>
      <c r="F22529" s="87"/>
      <c r="G22529" s="87"/>
    </row>
    <row r="22530">
      <c r="A22530" s="87"/>
      <c r="B22530" s="87"/>
      <c r="C22530" s="87"/>
      <c r="D22530" s="87"/>
      <c r="E22530" s="87"/>
      <c r="F22530" s="87"/>
      <c r="G22530" s="87"/>
    </row>
    <row r="22531">
      <c r="A22531" s="87"/>
      <c r="B22531" s="87"/>
      <c r="C22531" s="87"/>
      <c r="D22531" s="87"/>
      <c r="E22531" s="87"/>
      <c r="F22531" s="87"/>
      <c r="G22531" s="87"/>
    </row>
    <row r="22532">
      <c r="A22532" s="87"/>
      <c r="B22532" s="87"/>
      <c r="C22532" s="87"/>
      <c r="D22532" s="87"/>
      <c r="E22532" s="87"/>
      <c r="F22532" s="87"/>
      <c r="G22532" s="87"/>
    </row>
    <row r="22533">
      <c r="A22533" s="87"/>
      <c r="B22533" s="87"/>
      <c r="C22533" s="87"/>
      <c r="D22533" s="87"/>
      <c r="E22533" s="87"/>
      <c r="F22533" s="87"/>
      <c r="G22533" s="87"/>
    </row>
    <row r="22534">
      <c r="A22534" s="87"/>
      <c r="B22534" s="87"/>
      <c r="C22534" s="87"/>
      <c r="D22534" s="87"/>
      <c r="E22534" s="87"/>
      <c r="F22534" s="87"/>
      <c r="G22534" s="87"/>
    </row>
    <row r="22535">
      <c r="A22535" s="87"/>
      <c r="B22535" s="87"/>
      <c r="C22535" s="87"/>
      <c r="D22535" s="87"/>
      <c r="E22535" s="87"/>
      <c r="F22535" s="87"/>
      <c r="G22535" s="87"/>
    </row>
    <row r="22536">
      <c r="A22536" s="87"/>
      <c r="B22536" s="87"/>
      <c r="C22536" s="87"/>
      <c r="D22536" s="87"/>
      <c r="E22536" s="87"/>
      <c r="F22536" s="87"/>
      <c r="G22536" s="87"/>
    </row>
    <row r="22537">
      <c r="A22537" s="87"/>
      <c r="B22537" s="87"/>
      <c r="C22537" s="87"/>
      <c r="D22537" s="87"/>
      <c r="E22537" s="87"/>
      <c r="F22537" s="87"/>
      <c r="G22537" s="87"/>
    </row>
    <row r="22538">
      <c r="A22538" s="87"/>
      <c r="B22538" s="87"/>
      <c r="C22538" s="87"/>
      <c r="D22538" s="87"/>
      <c r="E22538" s="87"/>
      <c r="F22538" s="87"/>
      <c r="G22538" s="87"/>
    </row>
    <row r="22539">
      <c r="A22539" s="87"/>
      <c r="B22539" s="87"/>
      <c r="C22539" s="87"/>
      <c r="D22539" s="87"/>
      <c r="E22539" s="87"/>
      <c r="F22539" s="87"/>
      <c r="G22539" s="87"/>
    </row>
    <row r="22540">
      <c r="A22540" s="87"/>
      <c r="B22540" s="87"/>
      <c r="C22540" s="87"/>
      <c r="D22540" s="87"/>
      <c r="E22540" s="87"/>
      <c r="F22540" s="87"/>
      <c r="G22540" s="87"/>
    </row>
    <row r="22541">
      <c r="A22541" s="87"/>
      <c r="B22541" s="87"/>
      <c r="C22541" s="87"/>
      <c r="D22541" s="87"/>
      <c r="E22541" s="87"/>
      <c r="F22541" s="87"/>
      <c r="G22541" s="87"/>
    </row>
    <row r="22542">
      <c r="A22542" s="87"/>
      <c r="B22542" s="87"/>
      <c r="C22542" s="87"/>
      <c r="D22542" s="87"/>
      <c r="E22542" s="87"/>
      <c r="F22542" s="87"/>
      <c r="G22542" s="87"/>
    </row>
    <row r="22543">
      <c r="A22543" s="87"/>
      <c r="B22543" s="87"/>
      <c r="C22543" s="87"/>
      <c r="D22543" s="87"/>
      <c r="E22543" s="87"/>
      <c r="F22543" s="87"/>
      <c r="G22543" s="87"/>
    </row>
    <row r="22544">
      <c r="A22544" s="87"/>
      <c r="B22544" s="87"/>
      <c r="C22544" s="87"/>
      <c r="D22544" s="87"/>
      <c r="E22544" s="87"/>
      <c r="F22544" s="87"/>
      <c r="G22544" s="87"/>
    </row>
    <row r="22545">
      <c r="A22545" s="87"/>
      <c r="B22545" s="87"/>
      <c r="C22545" s="87"/>
      <c r="D22545" s="87"/>
      <c r="E22545" s="87"/>
      <c r="F22545" s="87"/>
      <c r="G22545" s="87"/>
    </row>
    <row r="22546">
      <c r="A22546" s="87"/>
      <c r="B22546" s="87"/>
      <c r="C22546" s="87"/>
      <c r="D22546" s="87"/>
      <c r="E22546" s="87"/>
      <c r="F22546" s="87"/>
      <c r="G22546" s="87"/>
    </row>
    <row r="22547">
      <c r="A22547" s="87"/>
      <c r="B22547" s="87"/>
      <c r="C22547" s="87"/>
      <c r="D22547" s="87"/>
      <c r="E22547" s="87"/>
      <c r="F22547" s="87"/>
      <c r="G22547" s="87"/>
    </row>
    <row r="22548">
      <c r="A22548" s="87"/>
      <c r="B22548" s="87"/>
      <c r="C22548" s="87"/>
      <c r="D22548" s="87"/>
      <c r="E22548" s="87"/>
      <c r="F22548" s="87"/>
      <c r="G22548" s="87"/>
    </row>
    <row r="22549">
      <c r="A22549" s="87"/>
      <c r="B22549" s="87"/>
      <c r="C22549" s="87"/>
      <c r="D22549" s="87"/>
      <c r="E22549" s="87"/>
      <c r="F22549" s="87"/>
      <c r="G22549" s="87"/>
    </row>
    <row r="22550">
      <c r="A22550" s="87"/>
      <c r="B22550" s="87"/>
      <c r="C22550" s="87"/>
      <c r="D22550" s="87"/>
      <c r="E22550" s="87"/>
      <c r="F22550" s="87"/>
      <c r="G22550" s="87"/>
    </row>
    <row r="22551">
      <c r="A22551" s="87"/>
      <c r="B22551" s="87"/>
      <c r="C22551" s="87"/>
      <c r="D22551" s="87"/>
      <c r="E22551" s="87"/>
      <c r="F22551" s="87"/>
      <c r="G22551" s="87"/>
    </row>
    <row r="22552">
      <c r="A22552" s="87"/>
      <c r="B22552" s="87"/>
      <c r="C22552" s="87"/>
      <c r="D22552" s="87"/>
      <c r="E22552" s="87"/>
      <c r="F22552" s="87"/>
      <c r="G22552" s="87"/>
    </row>
    <row r="22553">
      <c r="A22553" s="87"/>
      <c r="B22553" s="87"/>
      <c r="C22553" s="87"/>
      <c r="D22553" s="87"/>
      <c r="E22553" s="87"/>
      <c r="F22553" s="87"/>
      <c r="G22553" s="87"/>
    </row>
    <row r="22554">
      <c r="A22554" s="87"/>
      <c r="B22554" s="87"/>
      <c r="C22554" s="87"/>
      <c r="D22554" s="87"/>
      <c r="E22554" s="87"/>
      <c r="F22554" s="87"/>
      <c r="G22554" s="87"/>
    </row>
    <row r="22555">
      <c r="A22555" s="87"/>
      <c r="B22555" s="87"/>
      <c r="C22555" s="87"/>
      <c r="D22555" s="87"/>
      <c r="E22555" s="87"/>
      <c r="F22555" s="87"/>
      <c r="G22555" s="87"/>
    </row>
    <row r="22556">
      <c r="A22556" s="87"/>
      <c r="B22556" s="87"/>
      <c r="C22556" s="87"/>
      <c r="D22556" s="87"/>
      <c r="E22556" s="87"/>
      <c r="F22556" s="87"/>
      <c r="G22556" s="87"/>
    </row>
    <row r="22557">
      <c r="A22557" s="87"/>
      <c r="B22557" s="87"/>
      <c r="C22557" s="87"/>
      <c r="D22557" s="87"/>
      <c r="E22557" s="87"/>
      <c r="F22557" s="87"/>
      <c r="G22557" s="87"/>
    </row>
    <row r="22558">
      <c r="A22558" s="87"/>
      <c r="B22558" s="87"/>
      <c r="C22558" s="87"/>
      <c r="D22558" s="87"/>
      <c r="E22558" s="87"/>
      <c r="F22558" s="87"/>
      <c r="G22558" s="87"/>
    </row>
    <row r="22559">
      <c r="A22559" s="87"/>
      <c r="B22559" s="87"/>
      <c r="C22559" s="87"/>
      <c r="D22559" s="87"/>
      <c r="E22559" s="87"/>
      <c r="F22559" s="87"/>
      <c r="G22559" s="87"/>
    </row>
    <row r="22560">
      <c r="A22560" s="87"/>
      <c r="B22560" s="87"/>
      <c r="C22560" s="87"/>
      <c r="D22560" s="87"/>
      <c r="E22560" s="87"/>
      <c r="F22560" s="87"/>
      <c r="G22560" s="87"/>
    </row>
    <row r="22561">
      <c r="A22561" s="87"/>
      <c r="B22561" s="87"/>
      <c r="C22561" s="87"/>
      <c r="D22561" s="87"/>
      <c r="E22561" s="87"/>
      <c r="F22561" s="87"/>
      <c r="G22561" s="87"/>
    </row>
    <row r="22562">
      <c r="A22562" s="87"/>
      <c r="B22562" s="87"/>
      <c r="C22562" s="87"/>
      <c r="D22562" s="87"/>
      <c r="E22562" s="87"/>
      <c r="F22562" s="87"/>
      <c r="G22562" s="87"/>
    </row>
    <row r="22563">
      <c r="A22563" s="87"/>
      <c r="B22563" s="87"/>
      <c r="C22563" s="87"/>
      <c r="D22563" s="87"/>
      <c r="E22563" s="87"/>
      <c r="F22563" s="87"/>
      <c r="G22563" s="87"/>
    </row>
    <row r="22564">
      <c r="A22564" s="87"/>
      <c r="B22564" s="87"/>
      <c r="C22564" s="87"/>
      <c r="D22564" s="87"/>
      <c r="E22564" s="87"/>
      <c r="F22564" s="87"/>
      <c r="G22564" s="87"/>
    </row>
    <row r="22565">
      <c r="A22565" s="87"/>
      <c r="B22565" s="87"/>
      <c r="C22565" s="87"/>
      <c r="D22565" s="87"/>
      <c r="E22565" s="87"/>
      <c r="F22565" s="87"/>
      <c r="G22565" s="87"/>
    </row>
    <row r="22566">
      <c r="A22566" s="87"/>
      <c r="B22566" s="87"/>
      <c r="C22566" s="87"/>
      <c r="D22566" s="87"/>
      <c r="E22566" s="87"/>
      <c r="F22566" s="87"/>
      <c r="G22566" s="87"/>
    </row>
    <row r="22567">
      <c r="A22567" s="87"/>
      <c r="B22567" s="87"/>
      <c r="C22567" s="87"/>
      <c r="D22567" s="87"/>
      <c r="E22567" s="87"/>
      <c r="F22567" s="87"/>
      <c r="G22567" s="87"/>
    </row>
    <row r="22568">
      <c r="A22568" s="87"/>
      <c r="B22568" s="87"/>
      <c r="C22568" s="87"/>
      <c r="D22568" s="87"/>
      <c r="E22568" s="87"/>
      <c r="F22568" s="87"/>
      <c r="G22568" s="87"/>
    </row>
    <row r="22569">
      <c r="A22569" s="87"/>
      <c r="B22569" s="87"/>
      <c r="C22569" s="87"/>
      <c r="D22569" s="87"/>
      <c r="E22569" s="87"/>
      <c r="F22569" s="87"/>
      <c r="G22569" s="87"/>
    </row>
    <row r="22570">
      <c r="A22570" s="87"/>
      <c r="B22570" s="87"/>
      <c r="C22570" s="87"/>
      <c r="D22570" s="87"/>
      <c r="E22570" s="87"/>
      <c r="F22570" s="87"/>
      <c r="G22570" s="87"/>
    </row>
    <row r="22571">
      <c r="A22571" s="87"/>
      <c r="B22571" s="87"/>
      <c r="C22571" s="87"/>
      <c r="D22571" s="87"/>
      <c r="E22571" s="87"/>
      <c r="F22571" s="87"/>
      <c r="G22571" s="87"/>
    </row>
    <row r="22572">
      <c r="A22572" s="87"/>
      <c r="B22572" s="87"/>
      <c r="C22572" s="87"/>
      <c r="D22572" s="87"/>
      <c r="E22572" s="87"/>
      <c r="F22572" s="87"/>
      <c r="G22572" s="87"/>
    </row>
    <row r="22573">
      <c r="A22573" s="87"/>
      <c r="B22573" s="87"/>
      <c r="C22573" s="87"/>
      <c r="D22573" s="87"/>
      <c r="E22573" s="87"/>
      <c r="F22573" s="87"/>
      <c r="G22573" s="87"/>
    </row>
    <row r="22574">
      <c r="A22574" s="87"/>
      <c r="B22574" s="87"/>
      <c r="C22574" s="87"/>
      <c r="D22574" s="87"/>
      <c r="E22574" s="87"/>
      <c r="F22574" s="87"/>
      <c r="G22574" s="87"/>
    </row>
    <row r="22575">
      <c r="A22575" s="87"/>
      <c r="B22575" s="87"/>
      <c r="C22575" s="87"/>
      <c r="D22575" s="87"/>
      <c r="E22575" s="87"/>
      <c r="F22575" s="87"/>
      <c r="G22575" s="87"/>
    </row>
    <row r="22576">
      <c r="A22576" s="87"/>
      <c r="B22576" s="87"/>
      <c r="C22576" s="87"/>
      <c r="D22576" s="87"/>
      <c r="E22576" s="87"/>
      <c r="F22576" s="87"/>
      <c r="G22576" s="87"/>
    </row>
    <row r="22577">
      <c r="A22577" s="87"/>
      <c r="B22577" s="87"/>
      <c r="C22577" s="87"/>
      <c r="D22577" s="87"/>
      <c r="E22577" s="87"/>
      <c r="F22577" s="87"/>
      <c r="G22577" s="87"/>
    </row>
    <row r="22578">
      <c r="A22578" s="87"/>
      <c r="B22578" s="87"/>
      <c r="C22578" s="87"/>
      <c r="D22578" s="87"/>
      <c r="E22578" s="87"/>
      <c r="F22578" s="87"/>
      <c r="G22578" s="87"/>
    </row>
    <row r="22579">
      <c r="A22579" s="87"/>
      <c r="B22579" s="87"/>
      <c r="C22579" s="87"/>
      <c r="D22579" s="87"/>
      <c r="E22579" s="87"/>
      <c r="F22579" s="87"/>
      <c r="G22579" s="87"/>
    </row>
    <row r="22580">
      <c r="A22580" s="87"/>
      <c r="B22580" s="87"/>
      <c r="C22580" s="87"/>
      <c r="D22580" s="87"/>
      <c r="E22580" s="87"/>
      <c r="F22580" s="87"/>
      <c r="G22580" s="87"/>
    </row>
    <row r="22581">
      <c r="A22581" s="87"/>
      <c r="B22581" s="87"/>
      <c r="C22581" s="87"/>
      <c r="D22581" s="87"/>
      <c r="E22581" s="87"/>
      <c r="F22581" s="87"/>
      <c r="G22581" s="87"/>
    </row>
    <row r="22582">
      <c r="A22582" s="87"/>
      <c r="B22582" s="87"/>
      <c r="C22582" s="87"/>
      <c r="D22582" s="87"/>
      <c r="E22582" s="87"/>
      <c r="F22582" s="87"/>
      <c r="G22582" s="87"/>
    </row>
    <row r="22583">
      <c r="A22583" s="87"/>
      <c r="B22583" s="87"/>
      <c r="C22583" s="87"/>
      <c r="D22583" s="87"/>
      <c r="E22583" s="87"/>
      <c r="F22583" s="87"/>
      <c r="G22583" s="87"/>
    </row>
    <row r="22584">
      <c r="A22584" s="87"/>
      <c r="B22584" s="87"/>
      <c r="C22584" s="87"/>
      <c r="D22584" s="87"/>
      <c r="E22584" s="87"/>
      <c r="F22584" s="87"/>
      <c r="G22584" s="87"/>
    </row>
    <row r="22585">
      <c r="A22585" s="87"/>
      <c r="B22585" s="87"/>
      <c r="C22585" s="87"/>
      <c r="D22585" s="87"/>
      <c r="E22585" s="87"/>
      <c r="F22585" s="87"/>
      <c r="G22585" s="87"/>
    </row>
    <row r="22586">
      <c r="A22586" s="87"/>
      <c r="B22586" s="87"/>
      <c r="C22586" s="87"/>
      <c r="D22586" s="87"/>
      <c r="E22586" s="87"/>
      <c r="F22586" s="87"/>
      <c r="G22586" s="87"/>
    </row>
    <row r="22587">
      <c r="A22587" s="87"/>
      <c r="B22587" s="87"/>
      <c r="C22587" s="87"/>
      <c r="D22587" s="87"/>
      <c r="E22587" s="87"/>
      <c r="F22587" s="87"/>
      <c r="G22587" s="87"/>
    </row>
    <row r="22588">
      <c r="A22588" s="87"/>
      <c r="B22588" s="87"/>
      <c r="C22588" s="87"/>
      <c r="D22588" s="87"/>
      <c r="E22588" s="87"/>
      <c r="F22588" s="87"/>
      <c r="G22588" s="87"/>
    </row>
    <row r="22589">
      <c r="A22589" s="87"/>
      <c r="B22589" s="87"/>
      <c r="C22589" s="87"/>
      <c r="D22589" s="87"/>
      <c r="E22589" s="87"/>
      <c r="F22589" s="87"/>
      <c r="G22589" s="87"/>
    </row>
    <row r="22590">
      <c r="A22590" s="87"/>
      <c r="B22590" s="87"/>
      <c r="C22590" s="87"/>
      <c r="D22590" s="87"/>
      <c r="E22590" s="87"/>
      <c r="F22590" s="87"/>
      <c r="G22590" s="87"/>
    </row>
    <row r="22591">
      <c r="A22591" s="87"/>
      <c r="B22591" s="87"/>
      <c r="C22591" s="87"/>
      <c r="D22591" s="87"/>
      <c r="E22591" s="87"/>
      <c r="F22591" s="87"/>
      <c r="G22591" s="87"/>
    </row>
    <row r="22592">
      <c r="A22592" s="87"/>
      <c r="B22592" s="87"/>
      <c r="C22592" s="87"/>
      <c r="D22592" s="87"/>
      <c r="E22592" s="87"/>
      <c r="F22592" s="87"/>
      <c r="G22592" s="87"/>
    </row>
    <row r="22593">
      <c r="A22593" s="87"/>
      <c r="B22593" s="87"/>
      <c r="C22593" s="87"/>
      <c r="D22593" s="87"/>
      <c r="E22593" s="87"/>
      <c r="F22593" s="87"/>
      <c r="G22593" s="87"/>
    </row>
    <row r="22594">
      <c r="A22594" s="87"/>
      <c r="B22594" s="87"/>
      <c r="C22594" s="87"/>
      <c r="D22594" s="87"/>
      <c r="E22594" s="87"/>
      <c r="F22594" s="87"/>
      <c r="G22594" s="87"/>
    </row>
    <row r="22595">
      <c r="A22595" s="87"/>
      <c r="B22595" s="87"/>
      <c r="C22595" s="87"/>
      <c r="D22595" s="87"/>
      <c r="E22595" s="87"/>
      <c r="F22595" s="87"/>
      <c r="G22595" s="87"/>
    </row>
    <row r="22596">
      <c r="A22596" s="87"/>
      <c r="B22596" s="87"/>
      <c r="C22596" s="87"/>
      <c r="D22596" s="87"/>
      <c r="E22596" s="87"/>
      <c r="F22596" s="87"/>
      <c r="G22596" s="87"/>
    </row>
    <row r="22597">
      <c r="A22597" s="87"/>
      <c r="B22597" s="87"/>
      <c r="C22597" s="87"/>
      <c r="D22597" s="87"/>
      <c r="E22597" s="87"/>
      <c r="F22597" s="87"/>
      <c r="G22597" s="87"/>
    </row>
    <row r="22598">
      <c r="A22598" s="87"/>
      <c r="B22598" s="87"/>
      <c r="C22598" s="87"/>
      <c r="D22598" s="87"/>
      <c r="E22598" s="87"/>
      <c r="F22598" s="87"/>
      <c r="G22598" s="87"/>
    </row>
    <row r="22599">
      <c r="A22599" s="87"/>
      <c r="B22599" s="87"/>
      <c r="C22599" s="87"/>
      <c r="D22599" s="87"/>
      <c r="E22599" s="87"/>
      <c r="F22599" s="87"/>
      <c r="G22599" s="87"/>
    </row>
    <row r="22600">
      <c r="A22600" s="87"/>
      <c r="B22600" s="87"/>
      <c r="C22600" s="87"/>
      <c r="D22600" s="87"/>
      <c r="E22600" s="87"/>
      <c r="F22600" s="87"/>
      <c r="G22600" s="87"/>
    </row>
    <row r="22601">
      <c r="A22601" s="87"/>
      <c r="B22601" s="87"/>
      <c r="C22601" s="87"/>
      <c r="D22601" s="87"/>
      <c r="E22601" s="87"/>
      <c r="F22601" s="87"/>
      <c r="G22601" s="87"/>
    </row>
    <row r="22602">
      <c r="A22602" s="87"/>
      <c r="B22602" s="87"/>
      <c r="C22602" s="87"/>
      <c r="D22602" s="87"/>
      <c r="E22602" s="87"/>
      <c r="F22602" s="87"/>
      <c r="G22602" s="87"/>
    </row>
    <row r="22603">
      <c r="A22603" s="87"/>
      <c r="B22603" s="87"/>
      <c r="C22603" s="87"/>
      <c r="D22603" s="87"/>
      <c r="E22603" s="87"/>
      <c r="F22603" s="87"/>
      <c r="G22603" s="87"/>
    </row>
    <row r="22604">
      <c r="A22604" s="87"/>
      <c r="B22604" s="87"/>
      <c r="C22604" s="87"/>
      <c r="D22604" s="87"/>
      <c r="E22604" s="87"/>
      <c r="F22604" s="87"/>
      <c r="G22604" s="87"/>
    </row>
    <row r="22605">
      <c r="A22605" s="87"/>
      <c r="B22605" s="87"/>
      <c r="C22605" s="87"/>
      <c r="D22605" s="87"/>
      <c r="E22605" s="87"/>
      <c r="F22605" s="87"/>
      <c r="G22605" s="87"/>
    </row>
    <row r="22606">
      <c r="A22606" s="87"/>
      <c r="B22606" s="87"/>
      <c r="C22606" s="87"/>
      <c r="D22606" s="87"/>
      <c r="E22606" s="87"/>
      <c r="F22606" s="87"/>
      <c r="G22606" s="87"/>
    </row>
    <row r="22607">
      <c r="A22607" s="87"/>
      <c r="B22607" s="87"/>
      <c r="C22607" s="87"/>
      <c r="D22607" s="87"/>
      <c r="E22607" s="87"/>
      <c r="F22607" s="87"/>
      <c r="G22607" s="87"/>
    </row>
    <row r="22608">
      <c r="A22608" s="87"/>
      <c r="B22608" s="87"/>
      <c r="C22608" s="87"/>
      <c r="D22608" s="87"/>
      <c r="E22608" s="87"/>
      <c r="F22608" s="87"/>
      <c r="G22608" s="87"/>
    </row>
    <row r="22609">
      <c r="A22609" s="87"/>
      <c r="B22609" s="87"/>
      <c r="C22609" s="87"/>
      <c r="D22609" s="87"/>
      <c r="E22609" s="87"/>
      <c r="F22609" s="87"/>
      <c r="G22609" s="87"/>
    </row>
    <row r="22610">
      <c r="A22610" s="87"/>
      <c r="B22610" s="87"/>
      <c r="C22610" s="87"/>
      <c r="D22610" s="87"/>
      <c r="E22610" s="87"/>
      <c r="F22610" s="87"/>
      <c r="G22610" s="87"/>
    </row>
    <row r="22611">
      <c r="A22611" s="87"/>
      <c r="B22611" s="87"/>
      <c r="C22611" s="87"/>
      <c r="D22611" s="87"/>
      <c r="E22611" s="87"/>
      <c r="F22611" s="87"/>
      <c r="G22611" s="87"/>
    </row>
    <row r="22612">
      <c r="A22612" s="87"/>
      <c r="B22612" s="87"/>
      <c r="C22612" s="87"/>
      <c r="D22612" s="87"/>
      <c r="E22612" s="87"/>
      <c r="F22612" s="87"/>
      <c r="G22612" s="87"/>
    </row>
    <row r="22613">
      <c r="A22613" s="87"/>
      <c r="B22613" s="87"/>
      <c r="C22613" s="87"/>
      <c r="D22613" s="87"/>
      <c r="E22613" s="87"/>
      <c r="F22613" s="87"/>
      <c r="G22613" s="87"/>
    </row>
    <row r="22614">
      <c r="A22614" s="87"/>
      <c r="B22614" s="87"/>
      <c r="C22614" s="87"/>
      <c r="D22614" s="87"/>
      <c r="E22614" s="87"/>
      <c r="F22614" s="87"/>
      <c r="G22614" s="87"/>
    </row>
    <row r="22615">
      <c r="A22615" s="87"/>
      <c r="B22615" s="87"/>
      <c r="C22615" s="87"/>
      <c r="D22615" s="87"/>
      <c r="E22615" s="87"/>
      <c r="F22615" s="87"/>
      <c r="G22615" s="87"/>
    </row>
    <row r="22616">
      <c r="A22616" s="87"/>
      <c r="B22616" s="87"/>
      <c r="C22616" s="87"/>
      <c r="D22616" s="87"/>
      <c r="E22616" s="87"/>
      <c r="F22616" s="87"/>
      <c r="G22616" s="87"/>
    </row>
    <row r="22617">
      <c r="A22617" s="87"/>
      <c r="B22617" s="87"/>
      <c r="C22617" s="87"/>
      <c r="D22617" s="87"/>
      <c r="E22617" s="87"/>
      <c r="F22617" s="87"/>
      <c r="G22617" s="87"/>
    </row>
    <row r="22618">
      <c r="A22618" s="87"/>
      <c r="B22618" s="87"/>
      <c r="C22618" s="87"/>
      <c r="D22618" s="87"/>
      <c r="E22618" s="87"/>
      <c r="F22618" s="87"/>
      <c r="G22618" s="87"/>
    </row>
    <row r="22619">
      <c r="A22619" s="87"/>
      <c r="B22619" s="87"/>
      <c r="C22619" s="87"/>
      <c r="D22619" s="87"/>
      <c r="E22619" s="87"/>
      <c r="F22619" s="87"/>
      <c r="G22619" s="87"/>
    </row>
    <row r="22620">
      <c r="A22620" s="87"/>
      <c r="B22620" s="87"/>
      <c r="C22620" s="87"/>
      <c r="D22620" s="87"/>
      <c r="E22620" s="87"/>
      <c r="F22620" s="87"/>
      <c r="G22620" s="87"/>
    </row>
    <row r="22621">
      <c r="A22621" s="87"/>
      <c r="B22621" s="87"/>
      <c r="C22621" s="87"/>
      <c r="D22621" s="87"/>
      <c r="E22621" s="87"/>
      <c r="F22621" s="87"/>
      <c r="G22621" s="87"/>
    </row>
    <row r="22622">
      <c r="A22622" s="87"/>
      <c r="B22622" s="87"/>
      <c r="C22622" s="87"/>
      <c r="D22622" s="87"/>
      <c r="E22622" s="87"/>
      <c r="F22622" s="87"/>
      <c r="G22622" s="87"/>
    </row>
    <row r="22623">
      <c r="A22623" s="87"/>
      <c r="B22623" s="87"/>
      <c r="C22623" s="87"/>
      <c r="D22623" s="87"/>
      <c r="E22623" s="87"/>
      <c r="F22623" s="87"/>
      <c r="G22623" s="87"/>
    </row>
    <row r="22624">
      <c r="A22624" s="87"/>
      <c r="B22624" s="87"/>
      <c r="C22624" s="87"/>
      <c r="D22624" s="87"/>
      <c r="E22624" s="87"/>
      <c r="F22624" s="87"/>
      <c r="G22624" s="87"/>
    </row>
    <row r="22625">
      <c r="A22625" s="87"/>
      <c r="B22625" s="87"/>
      <c r="C22625" s="87"/>
      <c r="D22625" s="87"/>
      <c r="E22625" s="87"/>
      <c r="F22625" s="87"/>
      <c r="G22625" s="87"/>
    </row>
    <row r="22626">
      <c r="A22626" s="87"/>
      <c r="B22626" s="87"/>
      <c r="C22626" s="87"/>
      <c r="D22626" s="87"/>
      <c r="E22626" s="87"/>
      <c r="F22626" s="87"/>
      <c r="G22626" s="87"/>
    </row>
    <row r="22627">
      <c r="A22627" s="87"/>
      <c r="B22627" s="87"/>
      <c r="C22627" s="87"/>
      <c r="D22627" s="87"/>
      <c r="E22627" s="87"/>
      <c r="F22627" s="87"/>
      <c r="G22627" s="87"/>
    </row>
    <row r="22628">
      <c r="A22628" s="87"/>
      <c r="B22628" s="87"/>
      <c r="C22628" s="87"/>
      <c r="D22628" s="87"/>
      <c r="E22628" s="87"/>
      <c r="F22628" s="87"/>
      <c r="G22628" s="87"/>
    </row>
    <row r="22629">
      <c r="A22629" s="87"/>
      <c r="B22629" s="87"/>
      <c r="C22629" s="87"/>
      <c r="D22629" s="87"/>
      <c r="E22629" s="87"/>
      <c r="F22629" s="87"/>
      <c r="G22629" s="87"/>
    </row>
    <row r="22630">
      <c r="A22630" s="87"/>
      <c r="B22630" s="87"/>
      <c r="C22630" s="87"/>
      <c r="D22630" s="87"/>
      <c r="E22630" s="87"/>
      <c r="F22630" s="87"/>
      <c r="G22630" s="87"/>
    </row>
    <row r="22631">
      <c r="A22631" s="87"/>
      <c r="B22631" s="87"/>
      <c r="C22631" s="87"/>
      <c r="D22631" s="87"/>
      <c r="E22631" s="87"/>
      <c r="F22631" s="87"/>
      <c r="G22631" s="87"/>
    </row>
    <row r="22632">
      <c r="A22632" s="87"/>
      <c r="B22632" s="87"/>
      <c r="C22632" s="87"/>
      <c r="D22632" s="87"/>
      <c r="E22632" s="87"/>
      <c r="F22632" s="87"/>
      <c r="G22632" s="87"/>
    </row>
    <row r="22633">
      <c r="A22633" s="87"/>
      <c r="B22633" s="87"/>
      <c r="C22633" s="87"/>
      <c r="D22633" s="87"/>
      <c r="E22633" s="87"/>
      <c r="F22633" s="87"/>
      <c r="G22633" s="87"/>
    </row>
    <row r="22634">
      <c r="A22634" s="87"/>
      <c r="B22634" s="87"/>
      <c r="C22634" s="87"/>
      <c r="D22634" s="87"/>
      <c r="E22634" s="87"/>
      <c r="F22634" s="87"/>
      <c r="G22634" s="87"/>
    </row>
    <row r="22635">
      <c r="A22635" s="87"/>
      <c r="B22635" s="87"/>
      <c r="C22635" s="87"/>
      <c r="D22635" s="87"/>
      <c r="E22635" s="87"/>
      <c r="F22635" s="87"/>
      <c r="G22635" s="87"/>
    </row>
    <row r="22636">
      <c r="A22636" s="87"/>
      <c r="B22636" s="87"/>
      <c r="C22636" s="87"/>
      <c r="D22636" s="87"/>
      <c r="E22636" s="87"/>
      <c r="F22636" s="87"/>
      <c r="G22636" s="87"/>
    </row>
    <row r="22637">
      <c r="A22637" s="87"/>
      <c r="B22637" s="87"/>
      <c r="C22637" s="87"/>
      <c r="D22637" s="87"/>
      <c r="E22637" s="87"/>
      <c r="F22637" s="87"/>
      <c r="G22637" s="87"/>
    </row>
    <row r="22638">
      <c r="A22638" s="87"/>
      <c r="B22638" s="87"/>
      <c r="C22638" s="87"/>
      <c r="D22638" s="87"/>
      <c r="E22638" s="87"/>
      <c r="F22638" s="87"/>
      <c r="G22638" s="87"/>
    </row>
    <row r="22639">
      <c r="A22639" s="87"/>
      <c r="B22639" s="87"/>
      <c r="C22639" s="87"/>
      <c r="D22639" s="87"/>
      <c r="E22639" s="87"/>
      <c r="F22639" s="87"/>
      <c r="G22639" s="87"/>
    </row>
    <row r="22640">
      <c r="A22640" s="87"/>
      <c r="B22640" s="87"/>
      <c r="C22640" s="87"/>
      <c r="D22640" s="87"/>
      <c r="E22640" s="87"/>
      <c r="F22640" s="87"/>
      <c r="G22640" s="87"/>
    </row>
    <row r="22641">
      <c r="A22641" s="87"/>
      <c r="B22641" s="87"/>
      <c r="C22641" s="87"/>
      <c r="D22641" s="87"/>
      <c r="E22641" s="87"/>
      <c r="F22641" s="87"/>
      <c r="G22641" s="87"/>
    </row>
    <row r="22642">
      <c r="A22642" s="87"/>
      <c r="B22642" s="87"/>
      <c r="C22642" s="87"/>
      <c r="D22642" s="87"/>
      <c r="E22642" s="87"/>
      <c r="F22642" s="87"/>
      <c r="G22642" s="87"/>
    </row>
    <row r="22643">
      <c r="A22643" s="87"/>
      <c r="B22643" s="87"/>
      <c r="C22643" s="87"/>
      <c r="D22643" s="87"/>
      <c r="E22643" s="87"/>
      <c r="F22643" s="87"/>
      <c r="G22643" s="87"/>
    </row>
    <row r="22644">
      <c r="A22644" s="87"/>
      <c r="B22644" s="87"/>
      <c r="C22644" s="87"/>
      <c r="D22644" s="87"/>
      <c r="E22644" s="87"/>
      <c r="F22644" s="87"/>
      <c r="G22644" s="87"/>
    </row>
    <row r="22645">
      <c r="A22645" s="87"/>
      <c r="B22645" s="87"/>
      <c r="C22645" s="87"/>
      <c r="D22645" s="87"/>
      <c r="E22645" s="87"/>
      <c r="F22645" s="87"/>
      <c r="G22645" s="87"/>
    </row>
    <row r="22646">
      <c r="A22646" s="87"/>
      <c r="B22646" s="87"/>
      <c r="C22646" s="87"/>
      <c r="D22646" s="87"/>
      <c r="E22646" s="87"/>
      <c r="F22646" s="87"/>
      <c r="G22646" s="87"/>
    </row>
    <row r="22647">
      <c r="A22647" s="87"/>
      <c r="B22647" s="87"/>
      <c r="C22647" s="87"/>
      <c r="D22647" s="87"/>
      <c r="E22647" s="87"/>
      <c r="F22647" s="87"/>
      <c r="G22647" s="87"/>
    </row>
    <row r="22648">
      <c r="A22648" s="87"/>
      <c r="B22648" s="87"/>
      <c r="C22648" s="87"/>
      <c r="D22648" s="87"/>
      <c r="E22648" s="87"/>
      <c r="F22648" s="87"/>
      <c r="G22648" s="87"/>
    </row>
    <row r="22649">
      <c r="A22649" s="87"/>
      <c r="B22649" s="87"/>
      <c r="C22649" s="87"/>
      <c r="D22649" s="87"/>
      <c r="E22649" s="87"/>
      <c r="F22649" s="87"/>
      <c r="G22649" s="87"/>
    </row>
    <row r="22650">
      <c r="A22650" s="87"/>
      <c r="B22650" s="87"/>
      <c r="C22650" s="87"/>
      <c r="D22650" s="87"/>
      <c r="E22650" s="87"/>
      <c r="F22650" s="87"/>
      <c r="G22650" s="87"/>
    </row>
    <row r="22651">
      <c r="A22651" s="87"/>
      <c r="B22651" s="87"/>
      <c r="C22651" s="87"/>
      <c r="D22651" s="87"/>
      <c r="E22651" s="87"/>
      <c r="F22651" s="87"/>
      <c r="G22651" s="87"/>
    </row>
    <row r="22652">
      <c r="A22652" s="87"/>
      <c r="B22652" s="87"/>
      <c r="C22652" s="87"/>
      <c r="D22652" s="87"/>
      <c r="E22652" s="87"/>
      <c r="F22652" s="87"/>
      <c r="G22652" s="87"/>
    </row>
    <row r="22653">
      <c r="A22653" s="87"/>
      <c r="B22653" s="87"/>
      <c r="C22653" s="87"/>
      <c r="D22653" s="87"/>
      <c r="E22653" s="87"/>
      <c r="F22653" s="87"/>
      <c r="G22653" s="87"/>
    </row>
    <row r="22654">
      <c r="A22654" s="87"/>
      <c r="B22654" s="87"/>
      <c r="C22654" s="87"/>
      <c r="D22654" s="87"/>
      <c r="E22654" s="87"/>
      <c r="F22654" s="87"/>
      <c r="G22654" s="8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6.88"/>
    <col customWidth="1" min="2" max="2" width="10.25"/>
    <col customWidth="1" min="3" max="3" width="10.63"/>
    <col customWidth="1" min="4" max="4" width="18.13"/>
    <col customWidth="1" min="5" max="5" width="22.38"/>
    <col customWidth="1" min="6" max="6" width="13.63"/>
    <col customWidth="1" min="7" max="7" width="20.88"/>
    <col customWidth="1" min="8" max="8" width="16.5"/>
    <col customWidth="1" min="9" max="9" width="11.5"/>
    <col customWidth="1" min="10" max="10" width="13.0"/>
    <col customWidth="1" min="11" max="11" width="14.13"/>
    <col customWidth="1" min="12" max="12" width="11.5"/>
    <col customWidth="1" min="13" max="13" width="14.88"/>
    <col customWidth="1" min="14" max="14" width="18.63"/>
    <col customWidth="1" min="15" max="15" width="26.13"/>
    <col customWidth="1" min="16" max="16" width="37.63"/>
    <col customWidth="1" min="17" max="17" width="19.25"/>
    <col customWidth="1" min="18" max="18" width="55.38"/>
    <col customWidth="1" min="19" max="19" width="33.0"/>
    <col customWidth="1" min="20" max="20" width="11.63"/>
    <col customWidth="1" min="21" max="21" width="11.88"/>
    <col customWidth="1" min="22" max="22" width="11.75"/>
    <col customWidth="1" min="23" max="23" width="17.75"/>
    <col customWidth="1" min="24" max="24" width="12.63"/>
    <col customWidth="1" min="25" max="25" width="12.0"/>
    <col customWidth="1" min="26" max="26" width="16.0"/>
    <col customWidth="1" min="27" max="27" width="12.63"/>
    <col customWidth="1" min="28" max="30" width="12.5"/>
    <col customWidth="1" min="31" max="31" width="19.38"/>
    <col customWidth="1" min="32" max="32" width="29.5"/>
    <col customWidth="1" min="33" max="34" width="11.88"/>
    <col customWidth="1" min="35" max="35" width="22.0"/>
    <col customWidth="1" min="36" max="36" width="14.63"/>
  </cols>
  <sheetData>
    <row r="1">
      <c r="A1" s="88"/>
      <c r="B1" s="88"/>
      <c r="C1" s="88"/>
      <c r="D1" s="88"/>
      <c r="E1" s="88"/>
      <c r="F1" s="88"/>
      <c r="G1" s="88"/>
      <c r="H1" s="88"/>
      <c r="I1" s="88"/>
      <c r="J1" s="88"/>
      <c r="K1" s="88"/>
      <c r="L1" s="88"/>
      <c r="M1" s="89" t="s">
        <v>224</v>
      </c>
      <c r="N1" s="88"/>
      <c r="O1" s="88"/>
      <c r="P1" s="88"/>
      <c r="Q1" s="90"/>
      <c r="R1" s="88"/>
      <c r="S1" s="88"/>
      <c r="T1" s="88"/>
      <c r="U1" s="88"/>
      <c r="V1" s="88"/>
      <c r="W1" s="88"/>
      <c r="X1" s="88"/>
      <c r="Y1" s="88"/>
      <c r="Z1" s="88"/>
      <c r="AA1" s="88"/>
      <c r="AB1" s="88"/>
      <c r="AC1" s="88"/>
      <c r="AD1" s="88"/>
      <c r="AE1" s="88"/>
      <c r="AF1" s="88"/>
      <c r="AG1" s="88"/>
      <c r="AH1" s="88"/>
      <c r="AI1" s="88"/>
      <c r="AJ1" s="88"/>
    </row>
    <row r="2" ht="33.75" customHeight="1">
      <c r="A2" s="91" t="s">
        <v>225</v>
      </c>
      <c r="B2" s="91" t="s">
        <v>226</v>
      </c>
      <c r="C2" s="91" t="s">
        <v>227</v>
      </c>
      <c r="D2" s="88"/>
      <c r="E2" s="92" t="s">
        <v>228</v>
      </c>
      <c r="F2" s="91" t="s">
        <v>229</v>
      </c>
      <c r="G2" s="91" t="s">
        <v>230</v>
      </c>
      <c r="H2" s="91" t="s">
        <v>231</v>
      </c>
      <c r="I2" s="88"/>
      <c r="J2" s="91" t="s">
        <v>232</v>
      </c>
      <c r="K2" s="91" t="s">
        <v>233</v>
      </c>
      <c r="L2" s="91" t="s">
        <v>234</v>
      </c>
      <c r="M2" s="91" t="s">
        <v>235</v>
      </c>
      <c r="N2" s="91" t="s">
        <v>236</v>
      </c>
      <c r="O2" s="91" t="s">
        <v>237</v>
      </c>
      <c r="P2" s="91" t="s">
        <v>238</v>
      </c>
      <c r="Q2" s="93" t="s">
        <v>239</v>
      </c>
      <c r="R2" s="91" t="s">
        <v>240</v>
      </c>
      <c r="S2" s="91" t="s">
        <v>241</v>
      </c>
      <c r="T2" s="91" t="s">
        <v>242</v>
      </c>
      <c r="U2" s="91" t="s">
        <v>243</v>
      </c>
      <c r="V2" s="91" t="s">
        <v>244</v>
      </c>
      <c r="W2" s="91" t="s">
        <v>245</v>
      </c>
      <c r="X2" s="91" t="s">
        <v>246</v>
      </c>
      <c r="Y2" s="94"/>
      <c r="Z2" s="91" t="s">
        <v>247</v>
      </c>
      <c r="AA2" s="91" t="s">
        <v>248</v>
      </c>
      <c r="AB2" s="91" t="s">
        <v>249</v>
      </c>
      <c r="AC2" s="91" t="s">
        <v>250</v>
      </c>
      <c r="AD2" s="95" t="s">
        <v>251</v>
      </c>
      <c r="AE2" s="91" t="s">
        <v>252</v>
      </c>
      <c r="AF2" s="91" t="s">
        <v>253</v>
      </c>
      <c r="AG2" s="91" t="s">
        <v>254</v>
      </c>
      <c r="AH2" s="95" t="s">
        <v>255</v>
      </c>
      <c r="AI2" s="95" t="s">
        <v>256</v>
      </c>
      <c r="AJ2" s="95" t="s">
        <v>257</v>
      </c>
    </row>
    <row r="3">
      <c r="A3" s="96" t="s">
        <v>258</v>
      </c>
      <c r="B3" s="96" t="s">
        <v>259</v>
      </c>
      <c r="C3" s="96" t="s">
        <v>259</v>
      </c>
      <c r="D3" s="96" t="s">
        <v>259</v>
      </c>
      <c r="E3" s="96" t="s">
        <v>260</v>
      </c>
      <c r="F3" s="96" t="s">
        <v>258</v>
      </c>
      <c r="G3" s="96" t="s">
        <v>260</v>
      </c>
      <c r="H3" s="96" t="s">
        <v>260</v>
      </c>
      <c r="I3" s="96" t="s">
        <v>259</v>
      </c>
      <c r="J3" s="96" t="s">
        <v>260</v>
      </c>
      <c r="K3" s="96" t="s">
        <v>259</v>
      </c>
      <c r="L3" s="96" t="s">
        <v>259</v>
      </c>
      <c r="M3" s="96" t="s">
        <v>259</v>
      </c>
      <c r="N3" s="96" t="s">
        <v>259</v>
      </c>
      <c r="O3" s="96" t="s">
        <v>259</v>
      </c>
      <c r="P3" s="96" t="s">
        <v>258</v>
      </c>
      <c r="Q3" s="97" t="s">
        <v>258</v>
      </c>
      <c r="R3" s="91" t="s">
        <v>258</v>
      </c>
      <c r="S3" s="96" t="s">
        <v>261</v>
      </c>
      <c r="T3" s="96" t="s">
        <v>261</v>
      </c>
      <c r="U3" s="96" t="s">
        <v>261</v>
      </c>
      <c r="V3" s="96" t="s">
        <v>261</v>
      </c>
      <c r="W3" s="96" t="s">
        <v>261</v>
      </c>
      <c r="X3" s="96" t="s">
        <v>261</v>
      </c>
      <c r="Y3" s="96" t="s">
        <v>261</v>
      </c>
      <c r="Z3" s="96" t="s">
        <v>261</v>
      </c>
      <c r="AA3" s="96" t="s">
        <v>261</v>
      </c>
      <c r="AB3" s="96" t="s">
        <v>261</v>
      </c>
      <c r="AC3" s="96" t="s">
        <v>261</v>
      </c>
      <c r="AD3" s="96" t="s">
        <v>261</v>
      </c>
      <c r="AE3" s="96" t="s">
        <v>261</v>
      </c>
      <c r="AF3" s="96" t="s">
        <v>261</v>
      </c>
      <c r="AG3" s="96" t="s">
        <v>261</v>
      </c>
      <c r="AH3" s="96" t="s">
        <v>261</v>
      </c>
      <c r="AI3" s="96" t="s">
        <v>259</v>
      </c>
      <c r="AJ3" s="96" t="s">
        <v>261</v>
      </c>
    </row>
    <row r="4">
      <c r="A4" s="98"/>
      <c r="B4" s="98"/>
      <c r="C4" s="98"/>
      <c r="D4" s="98"/>
      <c r="E4" s="98"/>
      <c r="F4" s="98"/>
      <c r="G4" s="98"/>
      <c r="H4" s="98"/>
      <c r="I4" s="98"/>
      <c r="J4" s="98"/>
      <c r="K4" s="98"/>
      <c r="L4" s="98"/>
      <c r="M4" s="98"/>
      <c r="N4" s="98"/>
      <c r="O4" s="99"/>
      <c r="P4" s="99"/>
      <c r="Q4" s="100"/>
      <c r="R4" s="99"/>
      <c r="S4" s="98"/>
      <c r="T4" s="99"/>
      <c r="U4" s="99"/>
      <c r="V4" s="98"/>
      <c r="W4" s="99"/>
      <c r="X4" s="99"/>
      <c r="Y4" s="99"/>
      <c r="Z4" s="101"/>
      <c r="AA4" s="102"/>
      <c r="AB4" s="102"/>
      <c r="AC4" s="102"/>
      <c r="AD4" s="102"/>
      <c r="AE4" s="103" t="s">
        <v>262</v>
      </c>
      <c r="AF4" s="102"/>
      <c r="AG4" s="102"/>
      <c r="AH4" s="102"/>
      <c r="AI4" s="104"/>
      <c r="AJ4" s="104"/>
    </row>
    <row r="5" ht="45.0" customHeight="1">
      <c r="A5" s="105" t="s">
        <v>263</v>
      </c>
      <c r="B5" s="105" t="s">
        <v>264</v>
      </c>
      <c r="C5" s="105" t="s">
        <v>265</v>
      </c>
      <c r="D5" s="105" t="s">
        <v>266</v>
      </c>
      <c r="E5" s="105" t="s">
        <v>267</v>
      </c>
      <c r="F5" s="105" t="s">
        <v>268</v>
      </c>
      <c r="G5" s="105" t="s">
        <v>269</v>
      </c>
      <c r="H5" s="105" t="s">
        <v>270</v>
      </c>
      <c r="I5" s="105" t="s">
        <v>271</v>
      </c>
      <c r="J5" s="105" t="s">
        <v>272</v>
      </c>
      <c r="K5" s="106" t="s">
        <v>273</v>
      </c>
      <c r="L5" s="106" t="s">
        <v>274</v>
      </c>
      <c r="M5" s="106" t="s">
        <v>275</v>
      </c>
      <c r="N5" s="106" t="s">
        <v>276</v>
      </c>
      <c r="O5" s="107" t="s">
        <v>277</v>
      </c>
      <c r="P5" s="107" t="s">
        <v>278</v>
      </c>
      <c r="Q5" s="108" t="s">
        <v>279</v>
      </c>
      <c r="R5" s="107" t="s">
        <v>280</v>
      </c>
      <c r="S5" s="106" t="s">
        <v>281</v>
      </c>
      <c r="T5" s="107" t="s">
        <v>282</v>
      </c>
      <c r="U5" s="107" t="s">
        <v>283</v>
      </c>
      <c r="V5" s="106" t="s">
        <v>284</v>
      </c>
      <c r="W5" s="107" t="s">
        <v>285</v>
      </c>
      <c r="X5" s="107" t="s">
        <v>286</v>
      </c>
      <c r="Y5" s="107" t="s">
        <v>287</v>
      </c>
      <c r="Z5" s="106" t="s">
        <v>288</v>
      </c>
      <c r="AA5" s="106" t="s">
        <v>289</v>
      </c>
      <c r="AB5" s="106" t="s">
        <v>290</v>
      </c>
      <c r="AC5" s="106" t="s">
        <v>291</v>
      </c>
      <c r="AD5" s="106" t="s">
        <v>292</v>
      </c>
      <c r="AE5" s="106" t="s">
        <v>293</v>
      </c>
      <c r="AF5" s="106" t="s">
        <v>294</v>
      </c>
      <c r="AG5" s="106" t="s">
        <v>295</v>
      </c>
      <c r="AH5" s="106" t="s">
        <v>296</v>
      </c>
      <c r="AI5" s="106" t="s">
        <v>297</v>
      </c>
      <c r="AJ5" s="106" t="s">
        <v>298</v>
      </c>
    </row>
    <row r="6" ht="22.5" customHeight="1">
      <c r="A6" s="109">
        <f t="array" ref="A6:A14">IF(LEN(B6:B14), ROW(B6:B14) - ROW(B6) + 1, "")</f>
        <v>1</v>
      </c>
      <c r="B6" s="110">
        <v>46113.0</v>
      </c>
      <c r="C6" s="110">
        <f t="shared" ref="C6:C14" si="1">B6+2</f>
        <v>46115</v>
      </c>
      <c r="D6" s="111" t="s">
        <v>299</v>
      </c>
      <c r="E6" s="112" t="s">
        <v>300</v>
      </c>
      <c r="F6" s="111" t="s">
        <v>301</v>
      </c>
      <c r="G6" s="113" t="s">
        <v>302</v>
      </c>
      <c r="H6" s="114">
        <v>100.0</v>
      </c>
      <c r="I6" s="111" t="s">
        <v>303</v>
      </c>
      <c r="J6" s="115"/>
      <c r="K6" s="111" t="s">
        <v>304</v>
      </c>
      <c r="L6" s="116">
        <v>46113.0</v>
      </c>
      <c r="M6" s="117">
        <f t="shared" ref="M6:M14" si="2">L6+3</f>
        <v>46116</v>
      </c>
      <c r="N6" s="118">
        <f t="shared" ref="N6:N14" si="3">M6+7</f>
        <v>46123</v>
      </c>
      <c r="O6" s="111" t="s">
        <v>305</v>
      </c>
      <c r="P6" s="119" t="str">
        <f t="array" ref="P6">IFERROR( XLOOKUP(O6,'1. DATA CHUNG'!U:U,'1. DATA CHUNG'!T:T),"")</f>
        <v>CÔNG TY TNHH SẢN XUẤT BAO BÌ ĐÔNG TÂY</v>
      </c>
      <c r="Q6" s="120" t="str">
        <f t="array" ref="Q6">IFERROR( XLOOKUP(O6,'1. DATA CHUNG'!U:U,'1. DATA CHUNG'!W:W),"")</f>
        <v>0316254811</v>
      </c>
      <c r="R6" s="121" t="str">
        <f t="array" ref="R6">IFERROR( XLOOKUP(O6,'1. DATA CHUNG'!U:U,'1. DATA CHUNG'!V:V),"")</f>
        <v>0827/3 Đường Võ Thị Thừa, Khu phố 3, Phường An Phú Đông, Quận 12, Thành phố Hồ Chí Minh, Việt Nam</v>
      </c>
      <c r="S6" s="121" t="str">
        <f t="shared" ref="S6:S14" si="4">R6</f>
        <v>0827/3 Đường Võ Thị Thừa, Khu phố 3, Phường An Phú Đông, Quận 12, Thành phố Hồ Chí Minh, Việt Nam</v>
      </c>
      <c r="T6" s="122"/>
      <c r="U6" s="112" t="s">
        <v>306</v>
      </c>
      <c r="V6" s="122"/>
      <c r="W6" s="112" t="s">
        <v>307</v>
      </c>
      <c r="X6" s="122"/>
      <c r="Y6" s="122"/>
      <c r="Z6" s="112" t="s">
        <v>308</v>
      </c>
      <c r="AA6" s="112" t="s">
        <v>309</v>
      </c>
      <c r="AB6" s="112" t="s">
        <v>310</v>
      </c>
      <c r="AC6" s="112" t="s">
        <v>311</v>
      </c>
      <c r="AD6" s="112" t="s">
        <v>312</v>
      </c>
      <c r="AE6" s="113" t="s">
        <v>313</v>
      </c>
      <c r="AF6" s="111" t="s">
        <v>314</v>
      </c>
      <c r="AG6" s="122"/>
      <c r="AH6" s="112" t="s">
        <v>315</v>
      </c>
      <c r="AI6" s="111" t="s">
        <v>316</v>
      </c>
      <c r="AJ6" s="122"/>
    </row>
    <row r="7" ht="22.5" customHeight="1">
      <c r="A7" s="109">
        <v>2.0</v>
      </c>
      <c r="B7" s="110">
        <v>46115.0</v>
      </c>
      <c r="C7" s="110">
        <f t="shared" si="1"/>
        <v>46117</v>
      </c>
      <c r="D7" s="111" t="s">
        <v>299</v>
      </c>
      <c r="E7" s="112" t="s">
        <v>317</v>
      </c>
      <c r="F7" s="111" t="s">
        <v>301</v>
      </c>
      <c r="G7" s="113" t="s">
        <v>302</v>
      </c>
      <c r="H7" s="114">
        <v>100.0</v>
      </c>
      <c r="I7" s="111" t="s">
        <v>303</v>
      </c>
      <c r="J7" s="115"/>
      <c r="K7" s="111" t="s">
        <v>304</v>
      </c>
      <c r="L7" s="116">
        <v>46113.0</v>
      </c>
      <c r="M7" s="117">
        <f t="shared" si="2"/>
        <v>46116</v>
      </c>
      <c r="N7" s="118">
        <f t="shared" si="3"/>
        <v>46123</v>
      </c>
      <c r="O7" s="111" t="s">
        <v>318</v>
      </c>
      <c r="P7" s="119" t="str">
        <f t="array" ref="P7">IFERROR( XLOOKUP(O7,'1. DATA CHUNG'!U:U,'1. DATA CHUNG'!T:T),"")</f>
        <v>CÔNG TY TNHH SẢN XUẤT BAO BÌ ĐÔNG BẮC</v>
      </c>
      <c r="Q7" s="120" t="str">
        <f t="array" ref="Q7">IFERROR( XLOOKUP(O7,'1. DATA CHUNG'!U:U,'1. DATA CHUNG'!W:W),"")</f>
        <v>0318450547</v>
      </c>
      <c r="R7" s="121" t="str">
        <f t="array" ref="R7">IFERROR( XLOOKUP(O7,'1. DATA CHUNG'!U:U,'1. DATA CHUNG'!V:V),"")</f>
        <v>Số 11 Đường 406 Ấp 2, Xã Củ Chi, TP Hồ Chí Minh, Việt Nam</v>
      </c>
      <c r="S7" s="121" t="str">
        <f t="shared" si="4"/>
        <v>Số 11 Đường 406 Ấp 2, Xã Củ Chi, TP Hồ Chí Minh, Việt Nam</v>
      </c>
      <c r="T7" s="122"/>
      <c r="U7" s="112" t="s">
        <v>319</v>
      </c>
      <c r="V7" s="122"/>
      <c r="W7" s="112" t="s">
        <v>307</v>
      </c>
      <c r="X7" s="122"/>
      <c r="Y7" s="122"/>
      <c r="Z7" s="112" t="s">
        <v>308</v>
      </c>
      <c r="AA7" s="112" t="s">
        <v>309</v>
      </c>
      <c r="AB7" s="112" t="s">
        <v>310</v>
      </c>
      <c r="AC7" s="112" t="s">
        <v>311</v>
      </c>
      <c r="AD7" s="112" t="s">
        <v>312</v>
      </c>
      <c r="AE7" s="113" t="s">
        <v>313</v>
      </c>
      <c r="AF7" s="111" t="s">
        <v>314</v>
      </c>
      <c r="AG7" s="122"/>
      <c r="AH7" s="112" t="s">
        <v>315</v>
      </c>
      <c r="AI7" s="111" t="s">
        <v>316</v>
      </c>
      <c r="AJ7" s="122"/>
    </row>
    <row r="8" ht="22.5" customHeight="1">
      <c r="A8" s="109">
        <v>3.0</v>
      </c>
      <c r="B8" s="110">
        <v>46115.0</v>
      </c>
      <c r="C8" s="110">
        <f t="shared" si="1"/>
        <v>46117</v>
      </c>
      <c r="D8" s="111" t="s">
        <v>299</v>
      </c>
      <c r="E8" s="123" t="s">
        <v>317</v>
      </c>
      <c r="F8" s="111" t="s">
        <v>301</v>
      </c>
      <c r="G8" s="113" t="s">
        <v>302</v>
      </c>
      <c r="H8" s="114">
        <v>100.0</v>
      </c>
      <c r="I8" s="111" t="s">
        <v>303</v>
      </c>
      <c r="J8" s="115"/>
      <c r="K8" s="111" t="s">
        <v>304</v>
      </c>
      <c r="L8" s="116">
        <v>46113.0</v>
      </c>
      <c r="M8" s="117">
        <f t="shared" si="2"/>
        <v>46116</v>
      </c>
      <c r="N8" s="118">
        <f t="shared" si="3"/>
        <v>46123</v>
      </c>
      <c r="O8" s="111" t="s">
        <v>320</v>
      </c>
      <c r="P8" s="124" t="s">
        <v>321</v>
      </c>
      <c r="Q8" s="120" t="str">
        <f t="array" ref="Q8">IFERROR( XLOOKUP(O8,'1. DATA CHUNG'!U:U,'1. DATA CHUNG'!W:W),"")</f>
        <v>0317050521</v>
      </c>
      <c r="R8" s="121" t="str">
        <f t="array" ref="R8">IFERROR( XLOOKUP(O8,'1. DATA CHUNG'!U:U,'1. DATA CHUNG'!V:V),"")</f>
        <v>240/32 Nguyễn Văn Luông, Phường Bình Phú, TP Hồ Chí Minh, Việt Nam</v>
      </c>
      <c r="S8" s="121" t="str">
        <f t="shared" si="4"/>
        <v>240/32 Nguyễn Văn Luông, Phường Bình Phú, TP Hồ Chí Minh, Việt Nam</v>
      </c>
      <c r="T8" s="122"/>
      <c r="U8" s="112" t="s">
        <v>322</v>
      </c>
      <c r="V8" s="122"/>
      <c r="W8" s="112" t="s">
        <v>307</v>
      </c>
      <c r="X8" s="122"/>
      <c r="Y8" s="122"/>
      <c r="Z8" s="112" t="s">
        <v>308</v>
      </c>
      <c r="AA8" s="112" t="s">
        <v>309</v>
      </c>
      <c r="AB8" s="112" t="s">
        <v>310</v>
      </c>
      <c r="AC8" s="112" t="s">
        <v>311</v>
      </c>
      <c r="AD8" s="112" t="s">
        <v>312</v>
      </c>
      <c r="AE8" s="113" t="s">
        <v>313</v>
      </c>
      <c r="AF8" s="111" t="s">
        <v>314</v>
      </c>
      <c r="AG8" s="112"/>
      <c r="AH8" s="112" t="s">
        <v>315</v>
      </c>
      <c r="AI8" s="111" t="s">
        <v>316</v>
      </c>
      <c r="AJ8" s="122"/>
    </row>
    <row r="9" ht="22.5" customHeight="1">
      <c r="A9" s="109">
        <v>4.0</v>
      </c>
      <c r="B9" s="110">
        <v>46113.0</v>
      </c>
      <c r="C9" s="110">
        <f t="shared" si="1"/>
        <v>46115</v>
      </c>
      <c r="D9" s="111" t="s">
        <v>299</v>
      </c>
      <c r="E9" s="112" t="s">
        <v>323</v>
      </c>
      <c r="F9" s="111" t="s">
        <v>301</v>
      </c>
      <c r="G9" s="113" t="s">
        <v>302</v>
      </c>
      <c r="H9" s="114">
        <v>100.0</v>
      </c>
      <c r="I9" s="111" t="s">
        <v>303</v>
      </c>
      <c r="J9" s="115"/>
      <c r="K9" s="111" t="s">
        <v>304</v>
      </c>
      <c r="L9" s="116">
        <v>46113.0</v>
      </c>
      <c r="M9" s="117">
        <f t="shared" si="2"/>
        <v>46116</v>
      </c>
      <c r="N9" s="118">
        <f t="shared" si="3"/>
        <v>46123</v>
      </c>
      <c r="O9" s="111" t="s">
        <v>324</v>
      </c>
      <c r="P9" s="119" t="str">
        <f t="array" ref="P9">IFERROR( XLOOKUP(O9,'1. DATA CHUNG'!U:U,'1. DATA CHUNG'!T:T),"")</f>
        <v>CÔNG TY TNHH SẢN XUẤT THƯƠNG MẠI G28</v>
      </c>
      <c r="Q9" s="120" t="str">
        <f t="array" ref="Q9">IFERROR( XLOOKUP(O9,'1. DATA CHUNG'!U:U,'1. DATA CHUNG'!W:W),"")</f>
        <v>1101926825</v>
      </c>
      <c r="R9" s="121" t="str">
        <f t="array" ref="R9">IFERROR( XLOOKUP(O9,'1. DATA CHUNG'!U:U,'1. DATA CHUNG'!V:V),"")</f>
        <v>ô LE5, Đường Số 2, KCN Xuyên Á, Xã Đức Lập, Tỉnh Tây Ninh, Việt Nam
XSX: 31/13 Ấp 4, Đường Dương Công Khi, Xã Xuân Thới Sơn, TP. Hồ Chí Minh.</v>
      </c>
      <c r="S9" s="121" t="str">
        <f t="shared" si="4"/>
        <v>ô LE5, Đường Số 2, KCN Xuyên Á, Xã Đức Lập, Tỉnh Tây Ninh, Việt Nam
XSX: 31/13 Ấp 4, Đường Dương Công Khi, Xã Xuân Thới Sơn, TP. Hồ Chí Minh.</v>
      </c>
      <c r="T9" s="122"/>
      <c r="U9" s="112" t="s">
        <v>325</v>
      </c>
      <c r="V9" s="122"/>
      <c r="W9" s="112" t="s">
        <v>307</v>
      </c>
      <c r="X9" s="122"/>
      <c r="Y9" s="122"/>
      <c r="Z9" s="112" t="s">
        <v>308</v>
      </c>
      <c r="AA9" s="112" t="s">
        <v>309</v>
      </c>
      <c r="AB9" s="112" t="s">
        <v>310</v>
      </c>
      <c r="AC9" s="112" t="s">
        <v>311</v>
      </c>
      <c r="AD9" s="112" t="s">
        <v>312</v>
      </c>
      <c r="AE9" s="113" t="s">
        <v>313</v>
      </c>
      <c r="AF9" s="111" t="s">
        <v>314</v>
      </c>
      <c r="AG9" s="122"/>
      <c r="AH9" s="112" t="s">
        <v>326</v>
      </c>
      <c r="AI9" s="111" t="s">
        <v>327</v>
      </c>
      <c r="AJ9" s="122"/>
    </row>
    <row r="10" ht="22.5" customHeight="1">
      <c r="A10" s="109">
        <v>5.0</v>
      </c>
      <c r="B10" s="125">
        <v>46120.0</v>
      </c>
      <c r="C10" s="110">
        <f t="shared" si="1"/>
        <v>46122</v>
      </c>
      <c r="D10" s="111" t="s">
        <v>299</v>
      </c>
      <c r="E10" s="112" t="s">
        <v>328</v>
      </c>
      <c r="F10" s="111" t="s">
        <v>301</v>
      </c>
      <c r="G10" s="113" t="s">
        <v>302</v>
      </c>
      <c r="H10" s="114">
        <v>100.0</v>
      </c>
      <c r="I10" s="111" t="s">
        <v>303</v>
      </c>
      <c r="J10" s="115"/>
      <c r="K10" s="111" t="s">
        <v>304</v>
      </c>
      <c r="L10" s="116">
        <v>46113.0</v>
      </c>
      <c r="M10" s="117">
        <f t="shared" si="2"/>
        <v>46116</v>
      </c>
      <c r="N10" s="118">
        <f t="shared" si="3"/>
        <v>46123</v>
      </c>
      <c r="O10" s="111" t="s">
        <v>329</v>
      </c>
      <c r="P10" s="119" t="str">
        <f t="array" ref="P10">IFERROR( XLOOKUP(O10,'1. DATA CHUNG'!U:U,'1. DATA CHUNG'!T:T),"")</f>
        <v>Công ty TNHH SX &amp; TM Duy Nhật</v>
      </c>
      <c r="Q10" s="120" t="str">
        <f t="array" ref="Q10">IFERROR( XLOOKUP(O10,'1. DATA CHUNG'!U:U,'1. DATA CHUNG'!W:W),"")</f>
        <v>2200717750</v>
      </c>
      <c r="R10" s="121" t="str">
        <f t="array" ref="R10">IFERROR( XLOOKUP(O10,'1. DATA CHUNG'!U:U,'1. DATA CHUNG'!V:V),"")</f>
        <v>Lô O, KCN An Nghiệp, Xã An Nghiệp, Tỉnh Vĩnh Long</v>
      </c>
      <c r="S10" s="121" t="str">
        <f t="shared" si="4"/>
        <v>Lô O, KCN An Nghiệp, Xã An Nghiệp, Tỉnh Vĩnh Long</v>
      </c>
      <c r="T10" s="122"/>
      <c r="U10" s="112" t="s">
        <v>330</v>
      </c>
      <c r="V10" s="122"/>
      <c r="W10" s="112" t="s">
        <v>307</v>
      </c>
      <c r="X10" s="122"/>
      <c r="Y10" s="122"/>
      <c r="Z10" s="112" t="s">
        <v>308</v>
      </c>
      <c r="AA10" s="112" t="s">
        <v>309</v>
      </c>
      <c r="AB10" s="112" t="s">
        <v>310</v>
      </c>
      <c r="AC10" s="112" t="s">
        <v>311</v>
      </c>
      <c r="AD10" s="112" t="s">
        <v>312</v>
      </c>
      <c r="AE10" s="113" t="s">
        <v>313</v>
      </c>
      <c r="AF10" s="111" t="s">
        <v>314</v>
      </c>
      <c r="AG10" s="122"/>
      <c r="AH10" s="112" t="s">
        <v>326</v>
      </c>
      <c r="AI10" s="111" t="s">
        <v>327</v>
      </c>
      <c r="AJ10" s="122"/>
    </row>
    <row r="11" ht="22.5" customHeight="1">
      <c r="A11" s="109">
        <v>6.0</v>
      </c>
      <c r="B11" s="125">
        <v>46120.0</v>
      </c>
      <c r="C11" s="110">
        <f t="shared" si="1"/>
        <v>46122</v>
      </c>
      <c r="D11" s="111" t="s">
        <v>299</v>
      </c>
      <c r="E11" s="112" t="s">
        <v>331</v>
      </c>
      <c r="F11" s="111" t="s">
        <v>301</v>
      </c>
      <c r="G11" s="113" t="s">
        <v>302</v>
      </c>
      <c r="H11" s="114">
        <v>100.0</v>
      </c>
      <c r="I11" s="111" t="s">
        <v>303</v>
      </c>
      <c r="J11" s="115"/>
      <c r="K11" s="111" t="s">
        <v>304</v>
      </c>
      <c r="L11" s="116">
        <v>46113.0</v>
      </c>
      <c r="M11" s="117">
        <f t="shared" si="2"/>
        <v>46116</v>
      </c>
      <c r="N11" s="118">
        <f t="shared" si="3"/>
        <v>46123</v>
      </c>
      <c r="O11" s="111" t="s">
        <v>332</v>
      </c>
      <c r="P11" s="124" t="s">
        <v>333</v>
      </c>
      <c r="Q11" s="120" t="str">
        <f t="array" ref="Q11">IFERROR( XLOOKUP(O11,'1. DATA CHUNG'!U:U,'1. DATA CHUNG'!W:W),"")</f>
        <v>0315839173</v>
      </c>
      <c r="R11" s="121" t="str">
        <f t="array" ref="R11">IFERROR( XLOOKUP(O11,'1. DATA CHUNG'!U:U,'1. DATA CHUNG'!V:V),"")</f>
        <v>Số 23 Đường 23, Khu phố 2, Phường Tam Bình, Thành phố Hồ Chí Minh, Việt Nam</v>
      </c>
      <c r="S11" s="121" t="str">
        <f t="shared" si="4"/>
        <v>Số 23 Đường 23, Khu phố 2, Phường Tam Bình, Thành phố Hồ Chí Minh, Việt Nam</v>
      </c>
      <c r="T11" s="122"/>
      <c r="U11" s="112" t="s">
        <v>334</v>
      </c>
      <c r="V11" s="122"/>
      <c r="W11" s="112" t="s">
        <v>307</v>
      </c>
      <c r="X11" s="122"/>
      <c r="Y11" s="122"/>
      <c r="Z11" s="112" t="s">
        <v>308</v>
      </c>
      <c r="AA11" s="112" t="s">
        <v>309</v>
      </c>
      <c r="AB11" s="112" t="s">
        <v>310</v>
      </c>
      <c r="AC11" s="112" t="s">
        <v>311</v>
      </c>
      <c r="AD11" s="112" t="s">
        <v>312</v>
      </c>
      <c r="AE11" s="113" t="s">
        <v>313</v>
      </c>
      <c r="AF11" s="111" t="s">
        <v>314</v>
      </c>
      <c r="AG11" s="122"/>
      <c r="AH11" s="112" t="s">
        <v>326</v>
      </c>
      <c r="AI11" s="111" t="s">
        <v>327</v>
      </c>
      <c r="AJ11" s="122"/>
    </row>
    <row r="12" ht="22.5" customHeight="1">
      <c r="A12" s="109">
        <v>7.0</v>
      </c>
      <c r="B12" s="125">
        <v>46120.0</v>
      </c>
      <c r="C12" s="110">
        <f t="shared" si="1"/>
        <v>46122</v>
      </c>
      <c r="D12" s="111" t="s">
        <v>299</v>
      </c>
      <c r="E12" s="112" t="s">
        <v>335</v>
      </c>
      <c r="F12" s="111" t="s">
        <v>301</v>
      </c>
      <c r="G12" s="113" t="s">
        <v>302</v>
      </c>
      <c r="H12" s="114">
        <v>100.0</v>
      </c>
      <c r="I12" s="111" t="s">
        <v>303</v>
      </c>
      <c r="J12" s="115"/>
      <c r="K12" s="111" t="s">
        <v>304</v>
      </c>
      <c r="L12" s="116">
        <v>46113.0</v>
      </c>
      <c r="M12" s="117">
        <f t="shared" si="2"/>
        <v>46116</v>
      </c>
      <c r="N12" s="118">
        <f t="shared" si="3"/>
        <v>46123</v>
      </c>
      <c r="O12" s="111" t="s">
        <v>336</v>
      </c>
      <c r="P12" s="119" t="str">
        <f t="array" ref="P12">IFERROR( XLOOKUP(O12,'1. DATA CHUNG'!U:U,'1. DATA CHUNG'!T:T),"")</f>
        <v>CÔNG TY CỔ PHẦN BAO BÌ TRỌNG TÍN</v>
      </c>
      <c r="Q12" s="120" t="str">
        <f t="array" ref="Q12">IFERROR( XLOOKUP(O12,'1. DATA CHUNG'!U:U,'1. DATA CHUNG'!W:W),"")</f>
        <v>0313183129</v>
      </c>
      <c r="R12" s="121" t="str">
        <f t="array" ref="R12">IFERROR( XLOOKUP(O12,'1. DATA CHUNG'!U:U,'1. DATA CHUNG'!V:V),"")</f>
        <v>Số 112/7 Đường Lê Thị Hà, Tổ 11, Ấp Chánh 1, Xã Hóc Môn, TP Hồ Chí Minh, Việt Nam</v>
      </c>
      <c r="S12" s="121" t="str">
        <f t="shared" si="4"/>
        <v>Số 112/7 Đường Lê Thị Hà, Tổ 11, Ấp Chánh 1, Xã Hóc Môn, TP Hồ Chí Minh, Việt Nam</v>
      </c>
      <c r="T12" s="122"/>
      <c r="U12" s="112" t="s">
        <v>337</v>
      </c>
      <c r="V12" s="122"/>
      <c r="W12" s="112" t="s">
        <v>307</v>
      </c>
      <c r="X12" s="122"/>
      <c r="Y12" s="126"/>
      <c r="Z12" s="112" t="s">
        <v>308</v>
      </c>
      <c r="AA12" s="112" t="s">
        <v>309</v>
      </c>
      <c r="AB12" s="112" t="s">
        <v>310</v>
      </c>
      <c r="AC12" s="112" t="s">
        <v>311</v>
      </c>
      <c r="AD12" s="112" t="s">
        <v>312</v>
      </c>
      <c r="AE12" s="113" t="s">
        <v>313</v>
      </c>
      <c r="AF12" s="111" t="s">
        <v>314</v>
      </c>
      <c r="AG12" s="122"/>
      <c r="AH12" s="112" t="s">
        <v>326</v>
      </c>
      <c r="AI12" s="111" t="s">
        <v>327</v>
      </c>
      <c r="AJ12" s="122"/>
    </row>
    <row r="13" ht="22.5" customHeight="1">
      <c r="A13" s="109">
        <v>8.0</v>
      </c>
      <c r="B13" s="125">
        <v>46129.0</v>
      </c>
      <c r="C13" s="110">
        <f t="shared" si="1"/>
        <v>46131</v>
      </c>
      <c r="D13" s="111" t="s">
        <v>299</v>
      </c>
      <c r="E13" s="112" t="s">
        <v>338</v>
      </c>
      <c r="F13" s="111" t="s">
        <v>301</v>
      </c>
      <c r="G13" s="113" t="s">
        <v>302</v>
      </c>
      <c r="H13" s="114">
        <v>100.0</v>
      </c>
      <c r="I13" s="111" t="s">
        <v>303</v>
      </c>
      <c r="J13" s="115"/>
      <c r="K13" s="111" t="s">
        <v>304</v>
      </c>
      <c r="L13" s="116">
        <v>46113.0</v>
      </c>
      <c r="M13" s="117">
        <f t="shared" si="2"/>
        <v>46116</v>
      </c>
      <c r="N13" s="118">
        <f t="shared" si="3"/>
        <v>46123</v>
      </c>
      <c r="O13" s="111" t="s">
        <v>339</v>
      </c>
      <c r="P13" s="124" t="s">
        <v>340</v>
      </c>
      <c r="Q13" s="120" t="str">
        <f t="array" ref="Q13">IFERROR( XLOOKUP(O13,'1. DATA CHUNG'!U:U,'1. DATA CHUNG'!W:W),"")</f>
        <v>1801699046</v>
      </c>
      <c r="R13" s="121" t="str">
        <f t="array" ref="R13">IFERROR( XLOOKUP(O13,'1. DATA CHUNG'!U:U,'1. DATA CHUNG'!V:V),"")</f>
        <v>Số 83, Đường B13, KDC 91B, Phường Tân An, Thành phố Cần Thơ, Việt Nam</v>
      </c>
      <c r="S13" s="121" t="str">
        <f t="shared" si="4"/>
        <v>Số 83, Đường B13, KDC 91B, Phường Tân An, Thành phố Cần Thơ, Việt Nam</v>
      </c>
      <c r="T13" s="122"/>
      <c r="U13" s="112" t="s">
        <v>341</v>
      </c>
      <c r="V13" s="122"/>
      <c r="W13" s="112" t="s">
        <v>307</v>
      </c>
      <c r="X13" s="122"/>
      <c r="Y13" s="122"/>
      <c r="Z13" s="112" t="s">
        <v>308</v>
      </c>
      <c r="AA13" s="112" t="s">
        <v>309</v>
      </c>
      <c r="AB13" s="112" t="s">
        <v>310</v>
      </c>
      <c r="AC13" s="112" t="s">
        <v>311</v>
      </c>
      <c r="AD13" s="112" t="s">
        <v>312</v>
      </c>
      <c r="AE13" s="113" t="s">
        <v>313</v>
      </c>
      <c r="AF13" s="111" t="s">
        <v>314</v>
      </c>
      <c r="AG13" s="122"/>
      <c r="AH13" s="112" t="s">
        <v>326</v>
      </c>
      <c r="AI13" s="111" t="s">
        <v>327</v>
      </c>
      <c r="AJ13" s="122"/>
    </row>
    <row r="14" ht="22.5" customHeight="1">
      <c r="A14" s="109">
        <v>9.0</v>
      </c>
      <c r="B14" s="125">
        <v>46129.0</v>
      </c>
      <c r="C14" s="110">
        <f t="shared" si="1"/>
        <v>46131</v>
      </c>
      <c r="D14" s="111" t="s">
        <v>299</v>
      </c>
      <c r="E14" s="112" t="s">
        <v>342</v>
      </c>
      <c r="F14" s="111" t="s">
        <v>301</v>
      </c>
      <c r="G14" s="113" t="s">
        <v>302</v>
      </c>
      <c r="H14" s="114">
        <v>100.0</v>
      </c>
      <c r="I14" s="111" t="s">
        <v>303</v>
      </c>
      <c r="J14" s="115"/>
      <c r="K14" s="111" t="s">
        <v>304</v>
      </c>
      <c r="L14" s="116">
        <v>46113.0</v>
      </c>
      <c r="M14" s="117">
        <f t="shared" si="2"/>
        <v>46116</v>
      </c>
      <c r="N14" s="118">
        <f t="shared" si="3"/>
        <v>46123</v>
      </c>
      <c r="O14" s="111" t="s">
        <v>343</v>
      </c>
      <c r="P14" s="119" t="str">
        <f t="array" ref="P14">IFERROR( XLOOKUP(O14,'1. DATA CHUNG'!U:U,'1. DATA CHUNG'!T:T),"")</f>
        <v>CÔNG TY TNHH GIẤY YUEN FOONG YU (VN)</v>
      </c>
      <c r="Q14" s="120" t="str">
        <f t="array" ref="Q14">IFERROR( XLOOKUP(O14,'1. DATA CHUNG'!U:U,'1. DATA CHUNG'!W:W),"")</f>
        <v>1100635534</v>
      </c>
      <c r="R14" s="121" t="str">
        <f t="array" ref="R14">IFERROR( XLOOKUP(O14,'1. DATA CHUNG'!U:U,'1. DATA CHUNG'!V:V),"")</f>
        <v>Lô E3, E4, E5, E6 khu công nghiệp Đức Hòa 1, Ấp 5, Xã Mỹ Hạnh, Tỉnh Tây Ninh, Việt Nam</v>
      </c>
      <c r="S14" s="121" t="str">
        <f t="shared" si="4"/>
        <v>Lô E3, E4, E5, E6 khu công nghiệp Đức Hòa 1, Ấp 5, Xã Mỹ Hạnh, Tỉnh Tây Ninh, Việt Nam</v>
      </c>
      <c r="T14" s="122"/>
      <c r="U14" s="112" t="s">
        <v>344</v>
      </c>
      <c r="V14" s="122"/>
      <c r="W14" s="112" t="s">
        <v>307</v>
      </c>
      <c r="X14" s="122"/>
      <c r="Y14" s="122"/>
      <c r="Z14" s="112" t="s">
        <v>308</v>
      </c>
      <c r="AA14" s="112" t="s">
        <v>309</v>
      </c>
      <c r="AB14" s="112" t="s">
        <v>310</v>
      </c>
      <c r="AC14" s="112" t="s">
        <v>311</v>
      </c>
      <c r="AD14" s="112" t="s">
        <v>312</v>
      </c>
      <c r="AE14" s="113" t="s">
        <v>313</v>
      </c>
      <c r="AF14" s="111" t="s">
        <v>314</v>
      </c>
      <c r="AG14" s="122"/>
      <c r="AH14" s="112" t="s">
        <v>326</v>
      </c>
      <c r="AI14" s="111" t="s">
        <v>327</v>
      </c>
      <c r="AJ14" s="122"/>
    </row>
  </sheetData>
  <dataValidations>
    <dataValidation type="list" allowBlank="1" showErrorMessage="1" sqref="AF6:AF14">
      <formula1>'1. DATA CHUNG'!$AK$4:$AK14</formula1>
    </dataValidation>
    <dataValidation type="list" allowBlank="1" showErrorMessage="1" sqref="D6:D14 F6:F14 I6:I14 K6:K14 O6:O14">
      <formula1>#REF!</formula1>
    </dataValidation>
    <dataValidation type="custom" allowBlank="1" showDropDown="1" showErrorMessage="1" sqref="B6:C14 L6:M14">
      <formula1>OR(NOT(ISERROR(DATEVALUE(B6))), AND(ISNUMBER(B6), LEFT(CELL("format", B6))="D"))</formula1>
    </dataValidation>
    <dataValidation type="list" allowBlank="1" showErrorMessage="1" sqref="AI6:AI14">
      <formula1>"Không duyệt,Duyệt,Tìm thêm/Trao đổi lại "</formula1>
    </dataValidation>
    <dataValidation type="custom" allowBlank="1" showDropDown="1" sqref="N6:N14">
      <formula1>OR(NOT(ISERROR(DATEVALUE(N6))), AND(ISNUMBER(N6), LEFT(CELL("format", N6))="D"))</formula1>
    </dataValidation>
    <dataValidation type="custom" allowBlank="1" showDropDown="1" sqref="H6:H14 J6:J14">
      <formula1>AND(ISNUMBER(H6),(NOT(OR(NOT(ISERROR(DATEVALUE(H6))), AND(ISNUMBER(H6), LEFT(CELL("format", H6))="D")))))</formula1>
    </dataValidation>
    <dataValidation allowBlank="1" showDropDown="1" sqref="P6:Q14"/>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4.5"/>
    <col customWidth="1" min="4" max="4" width="21.5"/>
    <col customWidth="1" min="5" max="5" width="22.38"/>
    <col customWidth="1" min="6" max="6" width="17.63"/>
    <col customWidth="1" min="7" max="7" width="22.38"/>
    <col customWidth="1" min="8" max="8" width="16.0"/>
    <col customWidth="1" min="9" max="9" width="14.75"/>
    <col customWidth="1" min="10" max="10" width="14.88"/>
    <col customWidth="1" min="11" max="11" width="14.13"/>
    <col customWidth="1" min="13" max="13" width="12.75"/>
    <col customWidth="1" min="14" max="14" width="19.38"/>
    <col customWidth="1" min="15" max="15" width="24.25"/>
    <col customWidth="1" min="16" max="16" width="18.0"/>
    <col customWidth="1" min="17" max="17" width="25.5"/>
    <col customWidth="1" min="18" max="18" width="22.13"/>
    <col customWidth="1" min="19" max="19" width="14.5"/>
    <col customWidth="1" min="22" max="22" width="13.5"/>
    <col customWidth="1" min="23" max="23" width="14.63"/>
    <col customWidth="1" min="24" max="24" width="19.38"/>
    <col customWidth="1" min="25" max="25" width="19.0"/>
    <col customWidth="1" min="26" max="26" width="14.75"/>
    <col customWidth="1" min="28" max="28" width="16.13"/>
    <col customWidth="1" min="29" max="29" width="15.75"/>
    <col customWidth="1" min="30" max="30" width="22.88"/>
    <col customWidth="1" min="31" max="31" width="15.25"/>
    <col customWidth="1" min="32" max="32" width="17.0"/>
    <col customWidth="1" min="33" max="33" width="16.75"/>
    <col customWidth="1" min="35" max="35" width="12.75"/>
    <col customWidth="1" min="37" max="37" width="23.13"/>
    <col customWidth="1" min="38" max="38" width="14.25"/>
  </cols>
  <sheetData>
    <row r="1">
      <c r="A1" s="14"/>
      <c r="B1" s="15"/>
      <c r="C1" s="15"/>
      <c r="D1" s="15"/>
      <c r="E1" s="15"/>
      <c r="F1" s="15"/>
      <c r="G1" s="15"/>
      <c r="H1" s="88"/>
      <c r="I1" s="15"/>
      <c r="J1" s="15"/>
      <c r="K1" s="15"/>
      <c r="L1" s="15"/>
      <c r="M1" s="127" t="s">
        <v>345</v>
      </c>
      <c r="N1" s="15"/>
      <c r="O1" s="15"/>
      <c r="P1" s="15"/>
      <c r="Q1" s="15"/>
      <c r="R1" s="15"/>
      <c r="S1" s="15"/>
      <c r="T1" s="15"/>
      <c r="U1" s="15"/>
      <c r="V1" s="128"/>
      <c r="W1" s="128"/>
      <c r="X1" s="128"/>
      <c r="Y1" s="128"/>
      <c r="Z1" s="128"/>
      <c r="AA1" s="15"/>
      <c r="AB1" s="15"/>
      <c r="AC1" s="15"/>
      <c r="AD1" s="15"/>
      <c r="AE1" s="15"/>
      <c r="AF1" s="15"/>
      <c r="AG1" s="15"/>
      <c r="AH1" s="15"/>
      <c r="AI1" s="88"/>
      <c r="AJ1" s="15"/>
      <c r="AK1" s="15"/>
      <c r="AL1" s="15"/>
      <c r="AM1" s="15"/>
    </row>
    <row r="2" ht="47.25" customHeight="1">
      <c r="A2" s="91" t="s">
        <v>225</v>
      </c>
      <c r="B2" s="91" t="s">
        <v>226</v>
      </c>
      <c r="C2" s="91" t="s">
        <v>227</v>
      </c>
      <c r="D2" s="88"/>
      <c r="E2" s="92" t="s">
        <v>228</v>
      </c>
      <c r="F2" s="91" t="s">
        <v>229</v>
      </c>
      <c r="G2" s="91" t="s">
        <v>230</v>
      </c>
      <c r="H2" s="91" t="s">
        <v>231</v>
      </c>
      <c r="I2" s="88"/>
      <c r="J2" s="91" t="s">
        <v>232</v>
      </c>
      <c r="K2" s="91" t="s">
        <v>233</v>
      </c>
      <c r="L2" s="91" t="s">
        <v>234</v>
      </c>
      <c r="M2" s="91" t="s">
        <v>235</v>
      </c>
      <c r="N2" s="91" t="s">
        <v>236</v>
      </c>
      <c r="O2" s="91" t="s">
        <v>237</v>
      </c>
      <c r="P2" s="91" t="s">
        <v>346</v>
      </c>
      <c r="Q2" s="94"/>
      <c r="R2" s="91" t="s">
        <v>347</v>
      </c>
      <c r="S2" s="91" t="s">
        <v>348</v>
      </c>
      <c r="T2" s="91" t="s">
        <v>349</v>
      </c>
      <c r="U2" s="91" t="s">
        <v>350</v>
      </c>
      <c r="V2" s="91" t="s">
        <v>351</v>
      </c>
      <c r="W2" s="91" t="s">
        <v>352</v>
      </c>
      <c r="X2" s="91" t="s">
        <v>353</v>
      </c>
      <c r="Y2" s="91" t="s">
        <v>354</v>
      </c>
      <c r="Z2" s="91" t="s">
        <v>355</v>
      </c>
      <c r="AA2" s="91" t="s">
        <v>356</v>
      </c>
      <c r="AB2" s="91" t="s">
        <v>356</v>
      </c>
      <c r="AC2" s="91" t="s">
        <v>357</v>
      </c>
      <c r="AD2" s="91" t="s">
        <v>358</v>
      </c>
      <c r="AE2" s="91" t="s">
        <v>359</v>
      </c>
      <c r="AF2" s="91" t="s">
        <v>360</v>
      </c>
      <c r="AG2" s="91" t="s">
        <v>361</v>
      </c>
      <c r="AH2" s="95" t="s">
        <v>362</v>
      </c>
      <c r="AI2" s="88"/>
      <c r="AJ2" s="95" t="s">
        <v>363</v>
      </c>
      <c r="AK2" s="95" t="s">
        <v>364</v>
      </c>
      <c r="AL2" s="95" t="s">
        <v>256</v>
      </c>
      <c r="AM2" s="95" t="s">
        <v>257</v>
      </c>
    </row>
    <row r="3">
      <c r="A3" s="96" t="s">
        <v>258</v>
      </c>
      <c r="B3" s="96" t="s">
        <v>259</v>
      </c>
      <c r="C3" s="96" t="s">
        <v>259</v>
      </c>
      <c r="D3" s="96" t="s">
        <v>259</v>
      </c>
      <c r="E3" s="96" t="s">
        <v>260</v>
      </c>
      <c r="F3" s="96" t="s">
        <v>258</v>
      </c>
      <c r="G3" s="96" t="s">
        <v>260</v>
      </c>
      <c r="H3" s="96" t="s">
        <v>260</v>
      </c>
      <c r="I3" s="96" t="s">
        <v>259</v>
      </c>
      <c r="J3" s="96" t="s">
        <v>260</v>
      </c>
      <c r="K3" s="96" t="s">
        <v>259</v>
      </c>
      <c r="L3" s="96" t="s">
        <v>259</v>
      </c>
      <c r="M3" s="96" t="s">
        <v>259</v>
      </c>
      <c r="N3" s="96" t="s">
        <v>259</v>
      </c>
      <c r="O3" s="96" t="s">
        <v>259</v>
      </c>
      <c r="P3" s="96" t="s">
        <v>261</v>
      </c>
      <c r="Q3" s="14"/>
      <c r="R3" s="96" t="s">
        <v>261</v>
      </c>
      <c r="S3" s="96" t="s">
        <v>261</v>
      </c>
      <c r="T3" s="96" t="s">
        <v>261</v>
      </c>
      <c r="U3" s="96" t="s">
        <v>259</v>
      </c>
      <c r="V3" s="96" t="s">
        <v>261</v>
      </c>
      <c r="W3" s="96" t="s">
        <v>261</v>
      </c>
      <c r="X3" s="96" t="s">
        <v>261</v>
      </c>
      <c r="Y3" s="96" t="s">
        <v>259</v>
      </c>
      <c r="Z3" s="96" t="s">
        <v>261</v>
      </c>
      <c r="AA3" s="96" t="s">
        <v>261</v>
      </c>
      <c r="AB3" s="96" t="s">
        <v>261</v>
      </c>
      <c r="AC3" s="96" t="s">
        <v>261</v>
      </c>
      <c r="AD3" s="96" t="s">
        <v>261</v>
      </c>
      <c r="AE3" s="96" t="s">
        <v>261</v>
      </c>
      <c r="AF3" s="96" t="s">
        <v>261</v>
      </c>
      <c r="AG3" s="96" t="s">
        <v>259</v>
      </c>
      <c r="AH3" s="96" t="s">
        <v>259</v>
      </c>
      <c r="AI3" s="96" t="s">
        <v>261</v>
      </c>
      <c r="AJ3" s="96" t="s">
        <v>261</v>
      </c>
      <c r="AK3" s="129" t="s">
        <v>261</v>
      </c>
      <c r="AL3" s="129" t="s">
        <v>259</v>
      </c>
      <c r="AM3" s="129" t="s">
        <v>261</v>
      </c>
    </row>
    <row r="4">
      <c r="A4" s="15"/>
      <c r="B4" s="15"/>
      <c r="C4" s="15"/>
      <c r="D4" s="15"/>
      <c r="E4" s="15"/>
      <c r="F4" s="15"/>
      <c r="G4" s="15"/>
      <c r="H4" s="88"/>
      <c r="I4" s="15"/>
      <c r="J4" s="15"/>
      <c r="K4" s="15"/>
      <c r="L4" s="15"/>
      <c r="M4" s="15"/>
      <c r="N4" s="15"/>
      <c r="O4" s="15"/>
      <c r="P4" s="15"/>
      <c r="Q4" s="15"/>
      <c r="R4" s="15"/>
      <c r="S4" s="15"/>
      <c r="T4" s="15"/>
      <c r="U4" s="15"/>
      <c r="V4" s="128"/>
      <c r="W4" s="128"/>
      <c r="X4" s="128"/>
      <c r="Y4" s="128"/>
      <c r="Z4" s="128"/>
      <c r="AA4" s="15"/>
      <c r="AB4" s="15"/>
      <c r="AC4" s="15"/>
      <c r="AD4" s="15"/>
      <c r="AE4" s="15"/>
      <c r="AF4" s="15"/>
      <c r="AG4" s="15"/>
      <c r="AH4" s="15"/>
      <c r="AI4" s="88"/>
      <c r="AJ4" s="15"/>
      <c r="AK4" s="15"/>
      <c r="AL4" s="15"/>
      <c r="AM4" s="15"/>
    </row>
    <row r="5" ht="45.0" customHeight="1">
      <c r="A5" s="105" t="s">
        <v>263</v>
      </c>
      <c r="B5" s="105" t="s">
        <v>264</v>
      </c>
      <c r="C5" s="105" t="s">
        <v>265</v>
      </c>
      <c r="D5" s="105" t="s">
        <v>266</v>
      </c>
      <c r="E5" s="105" t="s">
        <v>267</v>
      </c>
      <c r="F5" s="105" t="s">
        <v>268</v>
      </c>
      <c r="G5" s="105" t="s">
        <v>269</v>
      </c>
      <c r="H5" s="105" t="s">
        <v>270</v>
      </c>
      <c r="I5" s="105" t="s">
        <v>271</v>
      </c>
      <c r="J5" s="105" t="s">
        <v>272</v>
      </c>
      <c r="K5" s="106" t="s">
        <v>273</v>
      </c>
      <c r="L5" s="106" t="s">
        <v>365</v>
      </c>
      <c r="M5" s="106" t="s">
        <v>366</v>
      </c>
      <c r="N5" s="106" t="s">
        <v>367</v>
      </c>
      <c r="O5" s="107" t="s">
        <v>277</v>
      </c>
      <c r="P5" s="106" t="s">
        <v>368</v>
      </c>
      <c r="Q5" s="106" t="s">
        <v>369</v>
      </c>
      <c r="R5" s="107" t="s">
        <v>370</v>
      </c>
      <c r="S5" s="107" t="s">
        <v>371</v>
      </c>
      <c r="T5" s="106" t="s">
        <v>372</v>
      </c>
      <c r="U5" s="107" t="s">
        <v>373</v>
      </c>
      <c r="V5" s="130" t="s">
        <v>374</v>
      </c>
      <c r="W5" s="130" t="s">
        <v>375</v>
      </c>
      <c r="X5" s="130" t="s">
        <v>376</v>
      </c>
      <c r="Y5" s="130" t="s">
        <v>377</v>
      </c>
      <c r="Z5" s="130" t="s">
        <v>378</v>
      </c>
      <c r="AA5" s="106" t="s">
        <v>379</v>
      </c>
      <c r="AB5" s="106" t="s">
        <v>380</v>
      </c>
      <c r="AC5" s="106" t="s">
        <v>381</v>
      </c>
      <c r="AD5" s="106" t="s">
        <v>382</v>
      </c>
      <c r="AE5" s="106" t="s">
        <v>383</v>
      </c>
      <c r="AF5" s="106" t="s">
        <v>286</v>
      </c>
      <c r="AG5" s="107" t="s">
        <v>384</v>
      </c>
      <c r="AH5" s="106" t="s">
        <v>385</v>
      </c>
      <c r="AI5" s="107" t="s">
        <v>386</v>
      </c>
      <c r="AJ5" s="106" t="s">
        <v>387</v>
      </c>
      <c r="AK5" s="107" t="s">
        <v>388</v>
      </c>
      <c r="AL5" s="106" t="s">
        <v>316</v>
      </c>
      <c r="AM5" s="107" t="s">
        <v>389</v>
      </c>
    </row>
    <row r="6" ht="22.5" customHeight="1">
      <c r="A6" s="109">
        <f t="array" ref="A6:A14">IF(LEN(B6:B14), ROW(B6:B14) - ROW(B6) + 1, "")</f>
        <v>1</v>
      </c>
      <c r="B6" s="131">
        <v>46113.0</v>
      </c>
      <c r="C6" s="131">
        <f t="shared" ref="C6:C14" si="1">B6+2</f>
        <v>46115</v>
      </c>
      <c r="D6" s="132" t="s">
        <v>299</v>
      </c>
      <c r="E6" s="123" t="s">
        <v>300</v>
      </c>
      <c r="F6" s="132" t="s">
        <v>301</v>
      </c>
      <c r="G6" s="133" t="s">
        <v>302</v>
      </c>
      <c r="H6" s="134">
        <v>100.0</v>
      </c>
      <c r="I6" s="132" t="s">
        <v>303</v>
      </c>
      <c r="J6" s="135"/>
      <c r="K6" s="132" t="s">
        <v>304</v>
      </c>
      <c r="L6" s="136">
        <v>46113.0</v>
      </c>
      <c r="M6" s="137">
        <f t="shared" ref="M6:M14" si="2">L6+3</f>
        <v>46116</v>
      </c>
      <c r="N6" s="138">
        <f t="shared" ref="N6:N14" si="3">M6+7</f>
        <v>46123</v>
      </c>
      <c r="O6" s="132" t="s">
        <v>305</v>
      </c>
      <c r="P6" s="139" t="s">
        <v>390</v>
      </c>
      <c r="Q6" s="140" t="str">
        <f t="array" ref="Q6">IFERROR(XLOOKUP(P6,'2. DATA NL, VTBB'!C:C,'2. DATA NL, VTBB'!D:D),"")</f>
        <v>Thùng DC Chai Pet Tròn 35 450ml-500ml - (59x37x19.5cm)  - Trắng</v>
      </c>
      <c r="R6" s="141" t="str">
        <f t="shared" ref="R6:R14" si="4">Q6</f>
        <v>Thùng DC Chai Pet Tròn 35 450ml-500ml - (59x37x19.5cm)  - Trắng</v>
      </c>
      <c r="S6" s="142" t="str">
        <f>IFERROR(__xludf.DUMMYFUNCTION("IFERROR(MID(R6,FIND(""("",R6),FIND("")"",R6)-FIND(""("",R6)+1),REGEXEXTRACT(R6,""[0-9.]+x[0-9.]+x[0-9.]+[a-z]*""))"),"(59x37x19.5cm)")</f>
        <v>(59x37x19.5cm)</v>
      </c>
      <c r="T6" s="143" t="s">
        <v>391</v>
      </c>
      <c r="U6" s="142" t="str">
        <f t="shared" ref="U6:U14" si="5">I6</f>
        <v>Cái</v>
      </c>
      <c r="V6" s="134">
        <v>300.0</v>
      </c>
      <c r="W6" s="135">
        <f t="array" ref="W6">IFERROR(XLOOKUP(P6,'6. TIẾN ĐỘ MUA HÀNG'!L:L,'6. TIẾN ĐỘ MUA HÀNG'!Z:Z),"")</f>
        <v>20500</v>
      </c>
      <c r="X6" s="134">
        <v>15000.0</v>
      </c>
      <c r="Y6" s="144">
        <v>0.08</v>
      </c>
      <c r="Z6" s="135">
        <f t="shared" ref="Z6:Z14" si="6">X6*W6*(1+Y6)</f>
        <v>332100000</v>
      </c>
      <c r="AA6" s="143" t="s">
        <v>303</v>
      </c>
      <c r="AB6" s="135">
        <f t="shared" ref="AB6:AB14" si="7">Z6</f>
        <v>332100000</v>
      </c>
      <c r="AC6" s="134">
        <v>35000.0</v>
      </c>
      <c r="AD6" s="143" t="s">
        <v>392</v>
      </c>
      <c r="AE6" s="143" t="s">
        <v>393</v>
      </c>
      <c r="AF6" s="145"/>
      <c r="AG6" s="146" t="b">
        <v>0</v>
      </c>
      <c r="AH6" s="138">
        <f t="shared" ref="AH6:AH14" si="8">L6+3</f>
        <v>46116</v>
      </c>
      <c r="AI6" s="123">
        <v>1.0</v>
      </c>
      <c r="AJ6" s="123" t="s">
        <v>394</v>
      </c>
      <c r="AK6" s="132" t="s">
        <v>316</v>
      </c>
      <c r="AL6" s="132" t="s">
        <v>316</v>
      </c>
      <c r="AM6" s="142"/>
    </row>
    <row r="7" ht="22.5" customHeight="1">
      <c r="A7" s="109">
        <v>2.0</v>
      </c>
      <c r="B7" s="131">
        <v>46115.0</v>
      </c>
      <c r="C7" s="131">
        <f t="shared" si="1"/>
        <v>46117</v>
      </c>
      <c r="D7" s="132" t="s">
        <v>299</v>
      </c>
      <c r="E7" s="123" t="s">
        <v>317</v>
      </c>
      <c r="F7" s="132" t="s">
        <v>301</v>
      </c>
      <c r="G7" s="133" t="s">
        <v>302</v>
      </c>
      <c r="H7" s="134">
        <v>100.0</v>
      </c>
      <c r="I7" s="132" t="s">
        <v>303</v>
      </c>
      <c r="J7" s="135"/>
      <c r="K7" s="132" t="s">
        <v>304</v>
      </c>
      <c r="L7" s="136">
        <v>46113.0</v>
      </c>
      <c r="M7" s="137">
        <f t="shared" si="2"/>
        <v>46116</v>
      </c>
      <c r="N7" s="138">
        <f t="shared" si="3"/>
        <v>46123</v>
      </c>
      <c r="O7" s="132" t="s">
        <v>318</v>
      </c>
      <c r="P7" s="139" t="s">
        <v>390</v>
      </c>
      <c r="Q7" s="140" t="str">
        <f t="array" ref="Q7">IFERROR(XLOOKUP(P7,'2. DATA NL, VTBB'!C:C,'2. DATA NL, VTBB'!D:D),"")</f>
        <v>Thùng DC Chai Pet Tròn 35 450ml-500ml - (59x37x19.5cm)  - Trắng</v>
      </c>
      <c r="R7" s="141" t="str">
        <f t="shared" si="4"/>
        <v>Thùng DC Chai Pet Tròn 35 450ml-500ml - (59x37x19.5cm)  - Trắng</v>
      </c>
      <c r="S7" s="142" t="str">
        <f>IFERROR(__xludf.DUMMYFUNCTION("IFERROR(MID(R7,FIND(""("",R7),FIND("")"",R7)-FIND(""("",R7)+1),REGEXEXTRACT(R7,""[0-9.]+x[0-9.]+x[0-9.]+[a-z]*""))"),"(59x37x19.5cm)")</f>
        <v>(59x37x19.5cm)</v>
      </c>
      <c r="T7" s="143" t="s">
        <v>391</v>
      </c>
      <c r="U7" s="142" t="str">
        <f t="shared" si="5"/>
        <v>Cái</v>
      </c>
      <c r="V7" s="134">
        <v>100.0</v>
      </c>
      <c r="W7" s="134">
        <v>20600.0</v>
      </c>
      <c r="X7" s="134">
        <v>15000.0</v>
      </c>
      <c r="Y7" s="144">
        <v>0.08</v>
      </c>
      <c r="Z7" s="135">
        <f t="shared" si="6"/>
        <v>333720000</v>
      </c>
      <c r="AA7" s="143" t="s">
        <v>303</v>
      </c>
      <c r="AB7" s="135">
        <f t="shared" si="7"/>
        <v>333720000</v>
      </c>
      <c r="AC7" s="134">
        <v>35000.0</v>
      </c>
      <c r="AD7" s="143" t="s">
        <v>395</v>
      </c>
      <c r="AE7" s="143" t="s">
        <v>393</v>
      </c>
      <c r="AF7" s="147"/>
      <c r="AG7" s="146" t="b">
        <v>0</v>
      </c>
      <c r="AH7" s="138">
        <f t="shared" si="8"/>
        <v>46116</v>
      </c>
      <c r="AI7" s="123">
        <v>1.0</v>
      </c>
      <c r="AJ7" s="123" t="s">
        <v>394</v>
      </c>
      <c r="AK7" s="132" t="s">
        <v>316</v>
      </c>
      <c r="AL7" s="132" t="s">
        <v>316</v>
      </c>
      <c r="AM7" s="142"/>
    </row>
    <row r="8" ht="22.5" customHeight="1">
      <c r="A8" s="109">
        <v>3.0</v>
      </c>
      <c r="B8" s="131">
        <v>46113.0</v>
      </c>
      <c r="C8" s="131">
        <f t="shared" si="1"/>
        <v>46115</v>
      </c>
      <c r="D8" s="132" t="s">
        <v>299</v>
      </c>
      <c r="E8" s="123" t="s">
        <v>396</v>
      </c>
      <c r="F8" s="132" t="s">
        <v>301</v>
      </c>
      <c r="G8" s="133" t="s">
        <v>302</v>
      </c>
      <c r="H8" s="134">
        <v>100.0</v>
      </c>
      <c r="I8" s="132" t="s">
        <v>303</v>
      </c>
      <c r="J8" s="135"/>
      <c r="K8" s="132" t="s">
        <v>304</v>
      </c>
      <c r="L8" s="136">
        <v>46113.0</v>
      </c>
      <c r="M8" s="137">
        <f t="shared" si="2"/>
        <v>46116</v>
      </c>
      <c r="N8" s="138">
        <f t="shared" si="3"/>
        <v>46123</v>
      </c>
      <c r="O8" s="132" t="s">
        <v>320</v>
      </c>
      <c r="P8" s="139" t="s">
        <v>390</v>
      </c>
      <c r="Q8" s="140" t="str">
        <f t="array" ref="Q8">IFERROR(XLOOKUP(P8,'2. DATA NL, VTBB'!C:C,'2. DATA NL, VTBB'!D:D),"")</f>
        <v>Thùng DC Chai Pet Tròn 35 450ml-500ml - (59x37x19.5cm)  - Trắng</v>
      </c>
      <c r="R8" s="141" t="str">
        <f t="shared" si="4"/>
        <v>Thùng DC Chai Pet Tròn 35 450ml-500ml - (59x37x19.5cm)  - Trắng</v>
      </c>
      <c r="S8" s="142" t="str">
        <f>IFERROR(__xludf.DUMMYFUNCTION("IFERROR(MID(R8,FIND(""("",R8),FIND("")"",R8)-FIND(""("",R8)+1),REGEXEXTRACT(R8,""[0-9.]+x[0-9.]+x[0-9.]+[a-z]*""))"),"(59x37x19.5cm)")</f>
        <v>(59x37x19.5cm)</v>
      </c>
      <c r="T8" s="143" t="s">
        <v>391</v>
      </c>
      <c r="U8" s="142" t="str">
        <f t="shared" si="5"/>
        <v>Cái</v>
      </c>
      <c r="V8" s="134">
        <v>300.0</v>
      </c>
      <c r="W8" s="134">
        <v>20400.0</v>
      </c>
      <c r="X8" s="134">
        <v>15000.0</v>
      </c>
      <c r="Y8" s="144">
        <v>0.08</v>
      </c>
      <c r="Z8" s="135">
        <f t="shared" si="6"/>
        <v>330480000</v>
      </c>
      <c r="AA8" s="143" t="s">
        <v>303</v>
      </c>
      <c r="AB8" s="135">
        <f t="shared" si="7"/>
        <v>330480000</v>
      </c>
      <c r="AC8" s="134">
        <v>35000.0</v>
      </c>
      <c r="AD8" s="143" t="s">
        <v>309</v>
      </c>
      <c r="AE8" s="143" t="s">
        <v>393</v>
      </c>
      <c r="AF8" s="148"/>
      <c r="AG8" s="146" t="b">
        <v>0</v>
      </c>
      <c r="AH8" s="138">
        <f t="shared" si="8"/>
        <v>46116</v>
      </c>
      <c r="AI8" s="123">
        <v>1.0</v>
      </c>
      <c r="AJ8" s="123" t="s">
        <v>394</v>
      </c>
      <c r="AK8" s="132" t="s">
        <v>316</v>
      </c>
      <c r="AL8" s="132" t="s">
        <v>316</v>
      </c>
      <c r="AM8" s="142"/>
    </row>
    <row r="9" ht="22.5" customHeight="1">
      <c r="A9" s="109">
        <v>4.0</v>
      </c>
      <c r="B9" s="131">
        <v>46113.0</v>
      </c>
      <c r="C9" s="131">
        <f t="shared" si="1"/>
        <v>46115</v>
      </c>
      <c r="D9" s="132" t="s">
        <v>299</v>
      </c>
      <c r="E9" s="123" t="s">
        <v>323</v>
      </c>
      <c r="F9" s="132" t="s">
        <v>301</v>
      </c>
      <c r="G9" s="133" t="s">
        <v>302</v>
      </c>
      <c r="H9" s="134">
        <v>100.0</v>
      </c>
      <c r="I9" s="132" t="s">
        <v>303</v>
      </c>
      <c r="J9" s="135"/>
      <c r="K9" s="132" t="s">
        <v>304</v>
      </c>
      <c r="L9" s="136">
        <v>46113.0</v>
      </c>
      <c r="M9" s="137">
        <f t="shared" si="2"/>
        <v>46116</v>
      </c>
      <c r="N9" s="138">
        <f t="shared" si="3"/>
        <v>46123</v>
      </c>
      <c r="O9" s="132" t="s">
        <v>324</v>
      </c>
      <c r="P9" s="139" t="s">
        <v>390</v>
      </c>
      <c r="Q9" s="140" t="str">
        <f t="array" ref="Q9">IFERROR(XLOOKUP(P9,'2. DATA NL, VTBB'!C:C,'2. DATA NL, VTBB'!D:D),"")</f>
        <v>Thùng DC Chai Pet Tròn 35 450ml-500ml - (59x37x19.5cm)  - Trắng</v>
      </c>
      <c r="R9" s="141" t="str">
        <f t="shared" si="4"/>
        <v>Thùng DC Chai Pet Tròn 35 450ml-500ml - (59x37x19.5cm)  - Trắng</v>
      </c>
      <c r="S9" s="142" t="str">
        <f>IFERROR(__xludf.DUMMYFUNCTION("IFERROR(MID(R9,FIND(""("",R9),FIND("")"",R9)-FIND(""("",R9)+1),REGEXEXTRACT(R9,""[0-9.]+x[0-9.]+x[0-9.]+[a-z]*""))"),"(59x37x19.5cm)")</f>
        <v>(59x37x19.5cm)</v>
      </c>
      <c r="T9" s="143" t="s">
        <v>391</v>
      </c>
      <c r="U9" s="142" t="str">
        <f t="shared" si="5"/>
        <v>Cái</v>
      </c>
      <c r="V9" s="134">
        <v>300.0</v>
      </c>
      <c r="W9" s="134">
        <v>22000.0</v>
      </c>
      <c r="X9" s="134">
        <v>15000.0</v>
      </c>
      <c r="Y9" s="144">
        <v>0.08</v>
      </c>
      <c r="Z9" s="135">
        <f t="shared" si="6"/>
        <v>356400000</v>
      </c>
      <c r="AA9" s="143" t="s">
        <v>303</v>
      </c>
      <c r="AB9" s="135">
        <f t="shared" si="7"/>
        <v>356400000</v>
      </c>
      <c r="AC9" s="134">
        <v>35000.0</v>
      </c>
      <c r="AD9" s="143" t="s">
        <v>309</v>
      </c>
      <c r="AE9" s="143" t="s">
        <v>393</v>
      </c>
      <c r="AF9" s="147"/>
      <c r="AG9" s="146" t="b">
        <v>0</v>
      </c>
      <c r="AH9" s="138">
        <f t="shared" si="8"/>
        <v>46116</v>
      </c>
      <c r="AI9" s="123">
        <v>1.0</v>
      </c>
      <c r="AJ9" s="112" t="s">
        <v>326</v>
      </c>
      <c r="AK9" s="132" t="s">
        <v>327</v>
      </c>
      <c r="AL9" s="149"/>
      <c r="AM9" s="142"/>
    </row>
    <row r="10" ht="22.5" customHeight="1">
      <c r="A10" s="109">
        <v>5.0</v>
      </c>
      <c r="B10" s="150">
        <v>46120.0</v>
      </c>
      <c r="C10" s="131">
        <f t="shared" si="1"/>
        <v>46122</v>
      </c>
      <c r="D10" s="132" t="s">
        <v>299</v>
      </c>
      <c r="E10" s="123" t="s">
        <v>328</v>
      </c>
      <c r="F10" s="132" t="s">
        <v>301</v>
      </c>
      <c r="G10" s="133" t="s">
        <v>302</v>
      </c>
      <c r="H10" s="134">
        <v>100.0</v>
      </c>
      <c r="I10" s="132" t="s">
        <v>303</v>
      </c>
      <c r="J10" s="135"/>
      <c r="K10" s="132" t="s">
        <v>304</v>
      </c>
      <c r="L10" s="136">
        <v>46113.0</v>
      </c>
      <c r="M10" s="137">
        <f t="shared" si="2"/>
        <v>46116</v>
      </c>
      <c r="N10" s="138">
        <f t="shared" si="3"/>
        <v>46123</v>
      </c>
      <c r="O10" s="132" t="s">
        <v>329</v>
      </c>
      <c r="P10" s="139" t="s">
        <v>390</v>
      </c>
      <c r="Q10" s="140" t="str">
        <f t="array" ref="Q10">IFERROR(XLOOKUP(P10,'2. DATA NL, VTBB'!C:C,'2. DATA NL, VTBB'!D:D),"")</f>
        <v>Thùng DC Chai Pet Tròn 35 450ml-500ml - (59x37x19.5cm)  - Trắng</v>
      </c>
      <c r="R10" s="141" t="str">
        <f t="shared" si="4"/>
        <v>Thùng DC Chai Pet Tròn 35 450ml-500ml - (59x37x19.5cm)  - Trắng</v>
      </c>
      <c r="S10" s="142" t="str">
        <f>IFERROR(__xludf.DUMMYFUNCTION("IFERROR(MID(R10,FIND(""("",R10),FIND("")"",R10)-FIND(""("",R10)+1),REGEXEXTRACT(R10,""[0-9.]+x[0-9.]+x[0-9.]+[a-z]*""))"),"(59x37x19.5cm)")</f>
        <v>(59x37x19.5cm)</v>
      </c>
      <c r="T10" s="143" t="s">
        <v>391</v>
      </c>
      <c r="U10" s="142" t="str">
        <f t="shared" si="5"/>
        <v>Cái</v>
      </c>
      <c r="V10" s="134">
        <v>1000.0</v>
      </c>
      <c r="W10" s="134">
        <v>19750.0</v>
      </c>
      <c r="X10" s="134">
        <v>15000.0</v>
      </c>
      <c r="Y10" s="144">
        <v>0.08</v>
      </c>
      <c r="Z10" s="135">
        <f t="shared" si="6"/>
        <v>319950000</v>
      </c>
      <c r="AA10" s="143" t="s">
        <v>303</v>
      </c>
      <c r="AB10" s="135">
        <f t="shared" si="7"/>
        <v>319950000</v>
      </c>
      <c r="AC10" s="134">
        <v>35000.0</v>
      </c>
      <c r="AD10" s="143" t="s">
        <v>309</v>
      </c>
      <c r="AE10" s="143" t="s">
        <v>393</v>
      </c>
      <c r="AF10" s="147"/>
      <c r="AG10" s="146" t="b">
        <v>0</v>
      </c>
      <c r="AH10" s="138">
        <f t="shared" si="8"/>
        <v>46116</v>
      </c>
      <c r="AI10" s="123">
        <v>1.0</v>
      </c>
      <c r="AJ10" s="112" t="s">
        <v>326</v>
      </c>
      <c r="AK10" s="132" t="s">
        <v>327</v>
      </c>
      <c r="AL10" s="149"/>
      <c r="AM10" s="142"/>
    </row>
    <row r="11" ht="22.5" customHeight="1">
      <c r="A11" s="109">
        <v>6.0</v>
      </c>
      <c r="B11" s="150">
        <v>46120.0</v>
      </c>
      <c r="C11" s="131">
        <f t="shared" si="1"/>
        <v>46122</v>
      </c>
      <c r="D11" s="132" t="s">
        <v>299</v>
      </c>
      <c r="E11" s="123" t="s">
        <v>331</v>
      </c>
      <c r="F11" s="132" t="s">
        <v>301</v>
      </c>
      <c r="G11" s="133" t="s">
        <v>302</v>
      </c>
      <c r="H11" s="134">
        <v>100.0</v>
      </c>
      <c r="I11" s="132" t="s">
        <v>303</v>
      </c>
      <c r="J11" s="135"/>
      <c r="K11" s="132" t="s">
        <v>304</v>
      </c>
      <c r="L11" s="136">
        <v>46113.0</v>
      </c>
      <c r="M11" s="137">
        <f t="shared" si="2"/>
        <v>46116</v>
      </c>
      <c r="N11" s="138">
        <f t="shared" si="3"/>
        <v>46123</v>
      </c>
      <c r="O11" s="132" t="s">
        <v>332</v>
      </c>
      <c r="P11" s="139" t="s">
        <v>390</v>
      </c>
      <c r="Q11" s="140" t="str">
        <f t="array" ref="Q11">IFERROR(XLOOKUP(P11,'2. DATA NL, VTBB'!C:C,'2. DATA NL, VTBB'!D:D),"")</f>
        <v>Thùng DC Chai Pet Tròn 35 450ml-500ml - (59x37x19.5cm)  - Trắng</v>
      </c>
      <c r="R11" s="141" t="str">
        <f t="shared" si="4"/>
        <v>Thùng DC Chai Pet Tròn 35 450ml-500ml - (59x37x19.5cm)  - Trắng</v>
      </c>
      <c r="S11" s="142" t="str">
        <f>IFERROR(__xludf.DUMMYFUNCTION("IFERROR(MID(R11,FIND(""("",R11),FIND("")"",R11)-FIND(""("",R11)+1),REGEXEXTRACT(R11,""[0-9.]+x[0-9.]+x[0-9.]+[a-z]*""))"),"(59x37x19.5cm)")</f>
        <v>(59x37x19.5cm)</v>
      </c>
      <c r="T11" s="143" t="s">
        <v>391</v>
      </c>
      <c r="U11" s="142" t="str">
        <f t="shared" si="5"/>
        <v>Cái</v>
      </c>
      <c r="V11" s="134">
        <v>1000.0</v>
      </c>
      <c r="W11" s="134">
        <v>20400.0</v>
      </c>
      <c r="X11" s="134">
        <v>15000.0</v>
      </c>
      <c r="Y11" s="144">
        <v>0.08</v>
      </c>
      <c r="Z11" s="135">
        <f t="shared" si="6"/>
        <v>330480000</v>
      </c>
      <c r="AA11" s="143" t="s">
        <v>303</v>
      </c>
      <c r="AB11" s="135">
        <f t="shared" si="7"/>
        <v>330480000</v>
      </c>
      <c r="AC11" s="134">
        <v>35000.0</v>
      </c>
      <c r="AD11" s="143" t="s">
        <v>309</v>
      </c>
      <c r="AE11" s="143" t="s">
        <v>393</v>
      </c>
      <c r="AF11" s="147"/>
      <c r="AG11" s="146" t="b">
        <v>0</v>
      </c>
      <c r="AH11" s="138">
        <f t="shared" si="8"/>
        <v>46116</v>
      </c>
      <c r="AI11" s="123">
        <v>1.0</v>
      </c>
      <c r="AJ11" s="112" t="s">
        <v>326</v>
      </c>
      <c r="AK11" s="132" t="s">
        <v>327</v>
      </c>
      <c r="AL11" s="149"/>
      <c r="AM11" s="142"/>
    </row>
    <row r="12" ht="22.5" customHeight="1">
      <c r="A12" s="109">
        <v>7.0</v>
      </c>
      <c r="B12" s="150">
        <v>46120.0</v>
      </c>
      <c r="C12" s="131">
        <f t="shared" si="1"/>
        <v>46122</v>
      </c>
      <c r="D12" s="132" t="s">
        <v>299</v>
      </c>
      <c r="E12" s="123" t="s">
        <v>335</v>
      </c>
      <c r="F12" s="132" t="s">
        <v>301</v>
      </c>
      <c r="G12" s="133" t="s">
        <v>302</v>
      </c>
      <c r="H12" s="134">
        <v>100.0</v>
      </c>
      <c r="I12" s="132" t="s">
        <v>303</v>
      </c>
      <c r="J12" s="135"/>
      <c r="K12" s="132" t="s">
        <v>304</v>
      </c>
      <c r="L12" s="136">
        <v>46113.0</v>
      </c>
      <c r="M12" s="137">
        <f t="shared" si="2"/>
        <v>46116</v>
      </c>
      <c r="N12" s="138">
        <f t="shared" si="3"/>
        <v>46123</v>
      </c>
      <c r="O12" s="132" t="s">
        <v>336</v>
      </c>
      <c r="P12" s="139" t="s">
        <v>390</v>
      </c>
      <c r="Q12" s="140" t="str">
        <f t="array" ref="Q12">IFERROR(XLOOKUP(P12,'2. DATA NL, VTBB'!C:C,'2. DATA NL, VTBB'!D:D),"")</f>
        <v>Thùng DC Chai Pet Tròn 35 450ml-500ml - (59x37x19.5cm)  - Trắng</v>
      </c>
      <c r="R12" s="141" t="str">
        <f t="shared" si="4"/>
        <v>Thùng DC Chai Pet Tròn 35 450ml-500ml - (59x37x19.5cm)  - Trắng</v>
      </c>
      <c r="S12" s="142" t="str">
        <f>IFERROR(__xludf.DUMMYFUNCTION("IFERROR(MID(R12,FIND(""("",R12),FIND("")"",R12)-FIND(""("",R12)+1),REGEXEXTRACT(R12,""[0-9.]+x[0-9.]+x[0-9.]+[a-z]*""))"),"(59x37x19.5cm)")</f>
        <v>(59x37x19.5cm)</v>
      </c>
      <c r="T12" s="143" t="s">
        <v>391</v>
      </c>
      <c r="U12" s="142" t="str">
        <f t="shared" si="5"/>
        <v>Cái</v>
      </c>
      <c r="V12" s="134">
        <v>1000.0</v>
      </c>
      <c r="W12" s="134">
        <v>22500.0</v>
      </c>
      <c r="X12" s="134">
        <v>15000.0</v>
      </c>
      <c r="Y12" s="144">
        <v>0.08</v>
      </c>
      <c r="Z12" s="135">
        <f t="shared" si="6"/>
        <v>364500000</v>
      </c>
      <c r="AA12" s="143" t="s">
        <v>303</v>
      </c>
      <c r="AB12" s="135">
        <f t="shared" si="7"/>
        <v>364500000</v>
      </c>
      <c r="AC12" s="134">
        <v>35000.0</v>
      </c>
      <c r="AD12" s="143" t="s">
        <v>309</v>
      </c>
      <c r="AE12" s="143" t="s">
        <v>393</v>
      </c>
      <c r="AF12" s="147"/>
      <c r="AG12" s="146" t="b">
        <v>0</v>
      </c>
      <c r="AH12" s="138">
        <f t="shared" si="8"/>
        <v>46116</v>
      </c>
      <c r="AI12" s="123">
        <v>1.0</v>
      </c>
      <c r="AJ12" s="112" t="s">
        <v>326</v>
      </c>
      <c r="AK12" s="132" t="s">
        <v>327</v>
      </c>
      <c r="AL12" s="149"/>
      <c r="AM12" s="142"/>
    </row>
    <row r="13" ht="22.5" customHeight="1">
      <c r="A13" s="109">
        <v>8.0</v>
      </c>
      <c r="B13" s="150">
        <v>46129.0</v>
      </c>
      <c r="C13" s="131">
        <f t="shared" si="1"/>
        <v>46131</v>
      </c>
      <c r="D13" s="132" t="s">
        <v>299</v>
      </c>
      <c r="E13" s="123" t="s">
        <v>338</v>
      </c>
      <c r="F13" s="132" t="s">
        <v>301</v>
      </c>
      <c r="G13" s="133" t="s">
        <v>302</v>
      </c>
      <c r="H13" s="134">
        <v>100.0</v>
      </c>
      <c r="I13" s="132" t="s">
        <v>303</v>
      </c>
      <c r="J13" s="135"/>
      <c r="K13" s="132" t="s">
        <v>304</v>
      </c>
      <c r="L13" s="136">
        <v>46113.0</v>
      </c>
      <c r="M13" s="137">
        <f t="shared" si="2"/>
        <v>46116</v>
      </c>
      <c r="N13" s="138">
        <f t="shared" si="3"/>
        <v>46123</v>
      </c>
      <c r="O13" s="132" t="s">
        <v>339</v>
      </c>
      <c r="P13" s="139" t="s">
        <v>390</v>
      </c>
      <c r="Q13" s="140" t="str">
        <f t="array" ref="Q13">IFERROR(XLOOKUP(P13,'2. DATA NL, VTBB'!C:C,'2. DATA NL, VTBB'!D:D),"")</f>
        <v>Thùng DC Chai Pet Tròn 35 450ml-500ml - (59x37x19.5cm)  - Trắng</v>
      </c>
      <c r="R13" s="141" t="str">
        <f t="shared" si="4"/>
        <v>Thùng DC Chai Pet Tròn 35 450ml-500ml - (59x37x19.5cm)  - Trắng</v>
      </c>
      <c r="S13" s="142" t="str">
        <f>IFERROR(__xludf.DUMMYFUNCTION("IFERROR(MID(R13,FIND(""("",R13),FIND("")"",R13)-FIND(""("",R13)+1),REGEXEXTRACT(R13,""[0-9.]+x[0-9.]+x[0-9.]+[a-z]*""))"),"(59x37x19.5cm)")</f>
        <v>(59x37x19.5cm)</v>
      </c>
      <c r="T13" s="143" t="s">
        <v>391</v>
      </c>
      <c r="U13" s="142" t="str">
        <f t="shared" si="5"/>
        <v>Cái</v>
      </c>
      <c r="V13" s="134">
        <v>1000.0</v>
      </c>
      <c r="W13" s="134">
        <v>19500.0</v>
      </c>
      <c r="X13" s="134">
        <v>15000.0</v>
      </c>
      <c r="Y13" s="144">
        <v>0.08</v>
      </c>
      <c r="Z13" s="135">
        <f t="shared" si="6"/>
        <v>315900000</v>
      </c>
      <c r="AA13" s="143" t="s">
        <v>303</v>
      </c>
      <c r="AB13" s="135">
        <f t="shared" si="7"/>
        <v>315900000</v>
      </c>
      <c r="AC13" s="134">
        <v>35000.0</v>
      </c>
      <c r="AD13" s="143" t="s">
        <v>309</v>
      </c>
      <c r="AE13" s="143" t="s">
        <v>393</v>
      </c>
      <c r="AF13" s="147"/>
      <c r="AG13" s="146" t="b">
        <v>0</v>
      </c>
      <c r="AH13" s="138">
        <f t="shared" si="8"/>
        <v>46116</v>
      </c>
      <c r="AI13" s="123">
        <v>1.0</v>
      </c>
      <c r="AJ13" s="112" t="s">
        <v>326</v>
      </c>
      <c r="AK13" s="132" t="s">
        <v>327</v>
      </c>
      <c r="AL13" s="149"/>
      <c r="AM13" s="142"/>
    </row>
    <row r="14" ht="22.5" customHeight="1">
      <c r="A14" s="109">
        <v>9.0</v>
      </c>
      <c r="B14" s="150">
        <v>46129.0</v>
      </c>
      <c r="C14" s="131">
        <f t="shared" si="1"/>
        <v>46131</v>
      </c>
      <c r="D14" s="132" t="s">
        <v>299</v>
      </c>
      <c r="E14" s="123" t="s">
        <v>342</v>
      </c>
      <c r="F14" s="132" t="s">
        <v>301</v>
      </c>
      <c r="G14" s="133" t="s">
        <v>302</v>
      </c>
      <c r="H14" s="134">
        <v>100.0</v>
      </c>
      <c r="I14" s="132" t="s">
        <v>303</v>
      </c>
      <c r="J14" s="135"/>
      <c r="K14" s="132" t="s">
        <v>304</v>
      </c>
      <c r="L14" s="136">
        <v>46113.0</v>
      </c>
      <c r="M14" s="137">
        <f t="shared" si="2"/>
        <v>46116</v>
      </c>
      <c r="N14" s="138">
        <f t="shared" si="3"/>
        <v>46123</v>
      </c>
      <c r="O14" s="132" t="s">
        <v>343</v>
      </c>
      <c r="P14" s="139" t="s">
        <v>390</v>
      </c>
      <c r="Q14" s="140" t="str">
        <f t="array" ref="Q14">IFERROR(XLOOKUP(P14,'2. DATA NL, VTBB'!C:C,'2. DATA NL, VTBB'!D:D),"")</f>
        <v>Thùng DC Chai Pet Tròn 35 450ml-500ml - (59x37x19.5cm)  - Trắng</v>
      </c>
      <c r="R14" s="141" t="str">
        <f t="shared" si="4"/>
        <v>Thùng DC Chai Pet Tròn 35 450ml-500ml - (59x37x19.5cm)  - Trắng</v>
      </c>
      <c r="S14" s="142" t="str">
        <f>IFERROR(__xludf.DUMMYFUNCTION("IFERROR(MID(R14,FIND(""("",R14),FIND("")"",R14)-FIND(""("",R14)+1),REGEXEXTRACT(R14,""[0-9.]+x[0-9.]+x[0-9.]+[a-z]*""))"),"(59x37x19.5cm)")</f>
        <v>(59x37x19.5cm)</v>
      </c>
      <c r="T14" s="143" t="s">
        <v>391</v>
      </c>
      <c r="U14" s="142" t="str">
        <f t="shared" si="5"/>
        <v>Cái</v>
      </c>
      <c r="V14" s="134">
        <v>1000.0</v>
      </c>
      <c r="W14" s="134">
        <v>19500.0</v>
      </c>
      <c r="X14" s="134">
        <v>15000.0</v>
      </c>
      <c r="Y14" s="144">
        <v>0.08</v>
      </c>
      <c r="Z14" s="135">
        <f t="shared" si="6"/>
        <v>315900000</v>
      </c>
      <c r="AA14" s="143" t="s">
        <v>303</v>
      </c>
      <c r="AB14" s="135">
        <f t="shared" si="7"/>
        <v>315900000</v>
      </c>
      <c r="AC14" s="134">
        <v>35000.0</v>
      </c>
      <c r="AD14" s="143" t="s">
        <v>309</v>
      </c>
      <c r="AE14" s="143" t="s">
        <v>393</v>
      </c>
      <c r="AF14" s="147"/>
      <c r="AG14" s="146" t="b">
        <v>0</v>
      </c>
      <c r="AH14" s="138">
        <f t="shared" si="8"/>
        <v>46116</v>
      </c>
      <c r="AI14" s="123">
        <v>1.0</v>
      </c>
      <c r="AJ14" s="112" t="s">
        <v>326</v>
      </c>
      <c r="AK14" s="132" t="s">
        <v>327</v>
      </c>
      <c r="AL14" s="149"/>
      <c r="AM14" s="142"/>
    </row>
  </sheetData>
  <dataValidations>
    <dataValidation type="list" allowBlank="1" showErrorMessage="1" sqref="D6:D14 F6:F14 I6:I14 K6:K14 O6:P14 Y6:Y14">
      <formula1>#REF!</formula1>
    </dataValidation>
    <dataValidation type="custom" allowBlank="1" showDropDown="1" showErrorMessage="1" sqref="B6:C14 L6:M14 AH6:AH14">
      <formula1>OR(NOT(ISERROR(DATEVALUE(B6))), AND(ISNUMBER(B6), LEFT(CELL("format", B6))="D"))</formula1>
    </dataValidation>
    <dataValidation type="list" allowBlank="1" showErrorMessage="1" sqref="AK6:AL14">
      <formula1>"Duyệt,Không duyệt,Tìm thêm/Trao đổi lại "</formula1>
    </dataValidation>
    <dataValidation type="custom" allowBlank="1" showDropDown="1" sqref="N6:N14">
      <formula1>OR(NOT(ISERROR(DATEVALUE(N6))), AND(ISNUMBER(N6), LEFT(CELL("format", N6))="D"))</formula1>
    </dataValidation>
    <dataValidation type="custom" allowBlank="1" showDropDown="1" sqref="H6:H14 J6:J14 V6:X14 Z6:Z14 AB6:AC14">
      <formula1>AND(ISNUMBER(H6),(NOT(OR(NOT(ISERROR(DATEVALUE(H6))), AND(ISNUMBER(H6), LEFT(CELL("format", H6))="D")))))</formula1>
    </dataValidation>
    <dataValidation allowBlank="1" showDropDown="1" sqref="AF6:AF14"/>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26.0"/>
    <col customWidth="1" min="3" max="3" width="23.38"/>
    <col customWidth="1" min="4" max="4" width="18.63"/>
    <col customWidth="1" min="5" max="6" width="20.75"/>
    <col customWidth="1" min="7" max="7" width="21.88"/>
    <col customWidth="1" min="8" max="8" width="8.63"/>
    <col customWidth="1" min="9" max="9" width="9.0"/>
    <col customWidth="1" min="10" max="10" width="5.13"/>
    <col customWidth="1" min="11" max="11" width="7.88"/>
  </cols>
  <sheetData>
    <row r="1">
      <c r="A1" s="151"/>
      <c r="B1" s="152" t="s">
        <v>397</v>
      </c>
      <c r="C1" s="153"/>
      <c r="D1" s="154" t="s">
        <v>398</v>
      </c>
      <c r="E1" s="155"/>
      <c r="F1" s="156" t="s">
        <v>399</v>
      </c>
      <c r="G1" s="157"/>
      <c r="H1" s="151"/>
      <c r="I1" s="151"/>
      <c r="J1" s="151"/>
      <c r="K1" s="151"/>
      <c r="L1" s="151"/>
      <c r="M1" s="151"/>
      <c r="N1" s="151"/>
      <c r="O1" s="151"/>
      <c r="P1" s="151"/>
      <c r="Q1" s="151"/>
      <c r="R1" s="151"/>
      <c r="S1" s="151"/>
      <c r="T1" s="151"/>
      <c r="U1" s="151"/>
      <c r="V1" s="151"/>
      <c r="W1" s="151"/>
      <c r="X1" s="151"/>
      <c r="Y1" s="151"/>
      <c r="Z1" s="151"/>
    </row>
    <row r="2">
      <c r="A2" s="151"/>
      <c r="B2" s="158" t="s">
        <v>400</v>
      </c>
      <c r="C2" s="158" t="s">
        <v>271</v>
      </c>
      <c r="D2" s="159" t="s">
        <v>89</v>
      </c>
      <c r="E2" s="160" t="s">
        <v>401</v>
      </c>
      <c r="F2" s="160"/>
      <c r="G2" s="151"/>
      <c r="H2" s="151"/>
      <c r="I2" s="151"/>
      <c r="J2" s="151"/>
      <c r="K2" s="151"/>
      <c r="L2" s="151"/>
      <c r="M2" s="151"/>
      <c r="N2" s="151"/>
      <c r="O2" s="151"/>
      <c r="P2" s="151"/>
      <c r="Q2" s="151"/>
      <c r="R2" s="151"/>
      <c r="S2" s="151"/>
      <c r="T2" s="151"/>
      <c r="U2" s="151"/>
      <c r="V2" s="151"/>
      <c r="W2" s="151"/>
      <c r="X2" s="151"/>
      <c r="Y2" s="151"/>
      <c r="Z2" s="151"/>
    </row>
    <row r="3">
      <c r="A3" s="151"/>
      <c r="B3" s="161"/>
      <c r="C3" s="162"/>
      <c r="D3" s="163"/>
      <c r="E3" s="164"/>
      <c r="F3" s="164"/>
      <c r="G3" s="151"/>
      <c r="H3" s="151"/>
      <c r="I3" s="151"/>
      <c r="J3" s="151"/>
      <c r="K3" s="151"/>
      <c r="L3" s="151"/>
      <c r="M3" s="151"/>
      <c r="N3" s="151"/>
      <c r="O3" s="151"/>
      <c r="P3" s="151"/>
      <c r="Q3" s="151"/>
      <c r="R3" s="151"/>
      <c r="S3" s="151"/>
      <c r="T3" s="151"/>
      <c r="U3" s="151"/>
      <c r="V3" s="151"/>
      <c r="W3" s="151"/>
      <c r="X3" s="151"/>
      <c r="Y3" s="151"/>
      <c r="Z3" s="151"/>
    </row>
    <row r="4">
      <c r="A4" s="151"/>
      <c r="B4" s="165" t="s">
        <v>402</v>
      </c>
      <c r="C4" s="166"/>
      <c r="D4" s="167" t="s">
        <v>403</v>
      </c>
      <c r="E4" s="168"/>
      <c r="F4" s="168"/>
      <c r="G4" s="151"/>
      <c r="H4" s="151"/>
      <c r="I4" s="151"/>
      <c r="J4" s="151"/>
      <c r="K4" s="151"/>
      <c r="L4" s="151"/>
      <c r="M4" s="151"/>
      <c r="N4" s="151"/>
      <c r="O4" s="151"/>
      <c r="P4" s="151"/>
      <c r="Q4" s="151"/>
      <c r="R4" s="151"/>
      <c r="S4" s="151"/>
      <c r="T4" s="151"/>
      <c r="U4" s="151"/>
      <c r="V4" s="151"/>
      <c r="W4" s="151"/>
      <c r="X4" s="151"/>
      <c r="Y4" s="151"/>
      <c r="Z4" s="151"/>
    </row>
    <row r="5">
      <c r="A5" s="151"/>
      <c r="B5" s="169" t="s">
        <v>404</v>
      </c>
      <c r="C5" s="166"/>
      <c r="D5" s="167" t="s">
        <v>261</v>
      </c>
      <c r="E5" s="170" t="s">
        <v>405</v>
      </c>
      <c r="F5" s="170"/>
      <c r="G5" s="151"/>
      <c r="H5" s="151"/>
      <c r="I5" s="151"/>
      <c r="J5" s="151"/>
      <c r="K5" s="151"/>
      <c r="L5" s="151"/>
      <c r="M5" s="151"/>
      <c r="N5" s="151"/>
      <c r="O5" s="151"/>
      <c r="P5" s="151"/>
      <c r="Q5" s="151"/>
      <c r="R5" s="151"/>
      <c r="S5" s="151"/>
      <c r="T5" s="151"/>
      <c r="U5" s="151"/>
      <c r="V5" s="151"/>
      <c r="W5" s="151"/>
      <c r="X5" s="151"/>
      <c r="Y5" s="151"/>
      <c r="Z5" s="151"/>
    </row>
    <row r="6">
      <c r="A6" s="151"/>
      <c r="B6" s="169" t="s">
        <v>406</v>
      </c>
      <c r="C6" s="166"/>
      <c r="D6" s="167" t="s">
        <v>261</v>
      </c>
      <c r="E6" s="170" t="s">
        <v>407</v>
      </c>
      <c r="F6" s="170"/>
      <c r="G6" s="151"/>
      <c r="H6" s="151"/>
      <c r="I6" s="151"/>
      <c r="J6" s="151"/>
      <c r="K6" s="151"/>
      <c r="L6" s="151"/>
      <c r="M6" s="151"/>
      <c r="N6" s="151"/>
      <c r="O6" s="151"/>
      <c r="P6" s="151"/>
      <c r="Q6" s="151"/>
      <c r="R6" s="151"/>
      <c r="S6" s="151"/>
      <c r="T6" s="151"/>
      <c r="U6" s="151"/>
      <c r="V6" s="151"/>
      <c r="W6" s="151"/>
      <c r="X6" s="151"/>
      <c r="Y6" s="151"/>
      <c r="Z6" s="151"/>
    </row>
    <row r="7">
      <c r="A7" s="151"/>
      <c r="B7" s="169" t="s">
        <v>408</v>
      </c>
      <c r="C7" s="171"/>
      <c r="D7" s="172" t="s">
        <v>261</v>
      </c>
      <c r="E7" s="173" t="s">
        <v>409</v>
      </c>
      <c r="F7" s="173"/>
      <c r="G7" s="151"/>
      <c r="H7" s="174"/>
      <c r="I7" s="151"/>
      <c r="J7" s="151"/>
      <c r="K7" s="151"/>
      <c r="L7" s="151"/>
      <c r="M7" s="151"/>
      <c r="N7" s="151"/>
      <c r="O7" s="151"/>
      <c r="P7" s="151"/>
      <c r="Q7" s="151"/>
      <c r="R7" s="151"/>
      <c r="S7" s="151"/>
      <c r="T7" s="151"/>
      <c r="U7" s="151"/>
      <c r="V7" s="151"/>
      <c r="W7" s="151"/>
      <c r="X7" s="151"/>
      <c r="Y7" s="151"/>
      <c r="Z7" s="151"/>
    </row>
    <row r="8">
      <c r="A8" s="151"/>
      <c r="B8" s="169" t="s">
        <v>410</v>
      </c>
      <c r="C8" s="171" t="s">
        <v>411</v>
      </c>
      <c r="D8" s="175" t="s">
        <v>261</v>
      </c>
      <c r="E8" s="173">
        <v>29.0</v>
      </c>
      <c r="F8" s="173"/>
      <c r="G8" s="151"/>
      <c r="H8" s="174"/>
      <c r="I8" s="174"/>
      <c r="J8" s="174"/>
      <c r="K8" s="151"/>
      <c r="L8" s="151"/>
      <c r="M8" s="151"/>
      <c r="N8" s="151"/>
      <c r="O8" s="151"/>
      <c r="P8" s="151"/>
      <c r="Q8" s="151"/>
      <c r="R8" s="151"/>
      <c r="S8" s="151"/>
      <c r="T8" s="151"/>
      <c r="U8" s="151"/>
      <c r="V8" s="151"/>
      <c r="W8" s="151"/>
      <c r="X8" s="151"/>
      <c r="Y8" s="151"/>
      <c r="Z8" s="151"/>
    </row>
    <row r="9">
      <c r="A9" s="151"/>
      <c r="B9" s="169" t="s">
        <v>412</v>
      </c>
      <c r="C9" s="171" t="s">
        <v>411</v>
      </c>
      <c r="D9" s="175" t="s">
        <v>261</v>
      </c>
      <c r="E9" s="176">
        <v>16.6</v>
      </c>
      <c r="F9" s="176"/>
      <c r="G9" s="151"/>
      <c r="H9" s="174"/>
      <c r="I9" s="174"/>
      <c r="J9" s="174"/>
      <c r="K9" s="151"/>
      <c r="L9" s="151"/>
      <c r="M9" s="151"/>
      <c r="N9" s="151"/>
      <c r="O9" s="151"/>
      <c r="P9" s="151"/>
      <c r="Q9" s="151"/>
      <c r="R9" s="151"/>
      <c r="S9" s="151"/>
      <c r="T9" s="151"/>
      <c r="U9" s="151"/>
      <c r="V9" s="151"/>
      <c r="W9" s="151"/>
      <c r="X9" s="151"/>
      <c r="Y9" s="151"/>
      <c r="Z9" s="151"/>
    </row>
    <row r="10">
      <c r="A10" s="151"/>
      <c r="B10" s="169" t="s">
        <v>413</v>
      </c>
      <c r="C10" s="171" t="s">
        <v>414</v>
      </c>
      <c r="D10" s="175" t="s">
        <v>415</v>
      </c>
      <c r="E10" s="177">
        <f>E8*E9*2</f>
        <v>962.8</v>
      </c>
      <c r="F10" s="177"/>
      <c r="G10" s="151"/>
      <c r="H10" s="151"/>
      <c r="I10" s="151"/>
      <c r="J10" s="151"/>
      <c r="K10" s="151"/>
      <c r="L10" s="151"/>
      <c r="M10" s="151"/>
      <c r="N10" s="151"/>
      <c r="O10" s="151"/>
      <c r="P10" s="151"/>
      <c r="Q10" s="151"/>
      <c r="R10" s="151"/>
      <c r="S10" s="151"/>
      <c r="T10" s="151"/>
      <c r="U10" s="151"/>
      <c r="V10" s="151"/>
      <c r="W10" s="151"/>
      <c r="X10" s="151"/>
      <c r="Y10" s="151"/>
      <c r="Z10" s="151"/>
    </row>
    <row r="11">
      <c r="A11" s="151"/>
      <c r="B11" s="169" t="s">
        <v>416</v>
      </c>
      <c r="C11" s="171"/>
      <c r="D11" s="172" t="s">
        <v>261</v>
      </c>
      <c r="E11" s="173">
        <v>790.0</v>
      </c>
      <c r="F11" s="173"/>
      <c r="G11" s="151"/>
      <c r="H11" s="151"/>
      <c r="I11" s="151"/>
      <c r="J11" s="151"/>
      <c r="K11" s="151"/>
      <c r="L11" s="151"/>
      <c r="M11" s="151"/>
      <c r="N11" s="151"/>
      <c r="O11" s="151"/>
      <c r="P11" s="151"/>
      <c r="Q11" s="151"/>
      <c r="R11" s="151"/>
      <c r="S11" s="151"/>
      <c r="T11" s="151"/>
      <c r="U11" s="151"/>
      <c r="V11" s="151"/>
      <c r="W11" s="151"/>
      <c r="X11" s="151"/>
      <c r="Y11" s="151"/>
      <c r="Z11" s="151"/>
    </row>
    <row r="12">
      <c r="A12" s="151"/>
      <c r="B12" s="169" t="s">
        <v>417</v>
      </c>
      <c r="C12" s="171" t="s">
        <v>414</v>
      </c>
      <c r="D12" s="175" t="s">
        <v>258</v>
      </c>
      <c r="E12" s="178">
        <f>E11/E10</f>
        <v>0.8205234732</v>
      </c>
      <c r="F12" s="178"/>
      <c r="G12" s="151"/>
      <c r="H12" s="151"/>
      <c r="I12" s="151"/>
      <c r="J12" s="151"/>
      <c r="K12" s="151"/>
      <c r="L12" s="151"/>
      <c r="M12" s="151"/>
      <c r="N12" s="151"/>
      <c r="O12" s="151"/>
      <c r="P12" s="151"/>
      <c r="Q12" s="151"/>
      <c r="R12" s="151"/>
      <c r="S12" s="151"/>
      <c r="T12" s="151"/>
      <c r="U12" s="151"/>
      <c r="V12" s="151"/>
      <c r="W12" s="151"/>
      <c r="X12" s="151"/>
      <c r="Y12" s="151"/>
      <c r="Z12" s="151"/>
    </row>
    <row r="13">
      <c r="A13" s="151"/>
      <c r="B13" s="169" t="s">
        <v>418</v>
      </c>
      <c r="C13" s="166" t="s">
        <v>419</v>
      </c>
      <c r="D13" s="167" t="s">
        <v>261</v>
      </c>
      <c r="E13" s="170"/>
      <c r="F13" s="170"/>
      <c r="G13" s="151"/>
      <c r="H13" s="151"/>
      <c r="I13" s="151"/>
      <c r="J13" s="151"/>
      <c r="K13" s="151"/>
      <c r="L13" s="151"/>
      <c r="M13" s="151"/>
      <c r="N13" s="151"/>
      <c r="O13" s="151"/>
      <c r="P13" s="151"/>
      <c r="Q13" s="151"/>
      <c r="R13" s="151"/>
      <c r="S13" s="151"/>
      <c r="T13" s="151"/>
      <c r="U13" s="151"/>
      <c r="V13" s="151"/>
      <c r="W13" s="151"/>
      <c r="X13" s="151"/>
      <c r="Y13" s="151"/>
      <c r="Z13" s="151"/>
    </row>
    <row r="14">
      <c r="A14" s="151"/>
      <c r="B14" s="151"/>
      <c r="C14" s="179"/>
      <c r="D14" s="180"/>
      <c r="E14" s="151"/>
      <c r="F14" s="151"/>
      <c r="G14" s="151"/>
      <c r="H14" s="151"/>
      <c r="I14" s="151"/>
      <c r="J14" s="151"/>
      <c r="K14" s="151"/>
      <c r="L14" s="151"/>
      <c r="M14" s="151"/>
      <c r="N14" s="151"/>
      <c r="O14" s="151"/>
      <c r="P14" s="151"/>
      <c r="Q14" s="151"/>
      <c r="R14" s="151"/>
      <c r="S14" s="151"/>
      <c r="T14" s="151"/>
      <c r="U14" s="151"/>
      <c r="V14" s="151"/>
      <c r="W14" s="151"/>
      <c r="X14" s="151"/>
      <c r="Y14" s="151"/>
      <c r="Z14" s="151"/>
    </row>
    <row r="15">
      <c r="A15" s="181"/>
      <c r="B15" s="165" t="s">
        <v>420</v>
      </c>
      <c r="C15" s="182"/>
      <c r="D15" s="183" t="s">
        <v>403</v>
      </c>
      <c r="E15" s="168" t="s">
        <v>421</v>
      </c>
      <c r="F15" s="168"/>
      <c r="G15" s="181"/>
      <c r="H15" s="181"/>
      <c r="I15" s="181"/>
      <c r="J15" s="181"/>
      <c r="K15" s="181"/>
      <c r="L15" s="181"/>
      <c r="M15" s="181"/>
      <c r="N15" s="181"/>
      <c r="O15" s="181"/>
      <c r="P15" s="181"/>
      <c r="Q15" s="181"/>
      <c r="R15" s="181"/>
      <c r="S15" s="181"/>
      <c r="T15" s="181"/>
      <c r="U15" s="181"/>
      <c r="V15" s="181"/>
      <c r="W15" s="181"/>
      <c r="X15" s="181"/>
      <c r="Y15" s="181"/>
      <c r="Z15" s="181"/>
    </row>
    <row r="16">
      <c r="A16" s="151"/>
      <c r="B16" s="169" t="s">
        <v>422</v>
      </c>
      <c r="C16" s="166"/>
      <c r="D16" s="167" t="s">
        <v>261</v>
      </c>
      <c r="E16" s="170" t="s">
        <v>405</v>
      </c>
      <c r="F16" s="170"/>
      <c r="G16" s="151"/>
      <c r="H16" s="151"/>
      <c r="I16" s="151"/>
      <c r="J16" s="151"/>
      <c r="K16" s="151"/>
      <c r="L16" s="151"/>
      <c r="M16" s="151"/>
      <c r="N16" s="151"/>
      <c r="O16" s="151"/>
      <c r="P16" s="151"/>
      <c r="Q16" s="151"/>
      <c r="R16" s="151"/>
      <c r="S16" s="151"/>
      <c r="T16" s="151"/>
      <c r="U16" s="151"/>
      <c r="V16" s="151"/>
      <c r="W16" s="151"/>
      <c r="X16" s="151"/>
      <c r="Y16" s="151"/>
      <c r="Z16" s="151"/>
    </row>
    <row r="17">
      <c r="A17" s="151"/>
      <c r="B17" s="169" t="s">
        <v>406</v>
      </c>
      <c r="C17" s="166"/>
      <c r="D17" s="167" t="s">
        <v>261</v>
      </c>
      <c r="E17" s="170" t="s">
        <v>407</v>
      </c>
      <c r="F17" s="170"/>
      <c r="G17" s="151"/>
      <c r="H17" s="151"/>
      <c r="I17" s="151"/>
      <c r="J17" s="151"/>
      <c r="K17" s="151"/>
      <c r="L17" s="151"/>
      <c r="M17" s="151"/>
      <c r="N17" s="151"/>
      <c r="O17" s="151"/>
      <c r="P17" s="151"/>
      <c r="Q17" s="151"/>
      <c r="R17" s="151"/>
      <c r="S17" s="151"/>
      <c r="T17" s="151"/>
      <c r="U17" s="151"/>
      <c r="V17" s="151"/>
      <c r="W17" s="151"/>
      <c r="X17" s="151"/>
      <c r="Y17" s="151"/>
      <c r="Z17" s="151"/>
    </row>
    <row r="18">
      <c r="A18" s="151"/>
      <c r="B18" s="169" t="s">
        <v>408</v>
      </c>
      <c r="C18" s="171"/>
      <c r="D18" s="172" t="s">
        <v>261</v>
      </c>
      <c r="E18" s="173" t="s">
        <v>409</v>
      </c>
      <c r="F18" s="173"/>
      <c r="G18" s="151"/>
      <c r="H18" s="151"/>
      <c r="I18" s="151"/>
      <c r="J18" s="151"/>
      <c r="K18" s="151"/>
      <c r="L18" s="151"/>
      <c r="M18" s="151"/>
      <c r="N18" s="151"/>
      <c r="O18" s="151"/>
      <c r="P18" s="151"/>
      <c r="Q18" s="151"/>
      <c r="R18" s="151"/>
      <c r="S18" s="151"/>
      <c r="T18" s="151"/>
      <c r="U18" s="151"/>
      <c r="V18" s="151"/>
      <c r="W18" s="151"/>
      <c r="X18" s="151"/>
      <c r="Y18" s="151"/>
      <c r="Z18" s="151"/>
    </row>
    <row r="19">
      <c r="A19" s="151"/>
      <c r="B19" s="169" t="s">
        <v>410</v>
      </c>
      <c r="C19" s="171" t="s">
        <v>411</v>
      </c>
      <c r="D19" s="175" t="s">
        <v>261</v>
      </c>
      <c r="E19" s="173">
        <v>29.0</v>
      </c>
      <c r="F19" s="173"/>
      <c r="G19" s="151"/>
      <c r="H19" s="151"/>
      <c r="I19" s="151"/>
      <c r="J19" s="151"/>
      <c r="K19" s="151"/>
      <c r="L19" s="151"/>
      <c r="M19" s="151"/>
      <c r="N19" s="151"/>
      <c r="O19" s="151"/>
      <c r="P19" s="151"/>
      <c r="Q19" s="151"/>
      <c r="R19" s="151"/>
      <c r="S19" s="151"/>
      <c r="T19" s="151"/>
      <c r="U19" s="151"/>
      <c r="V19" s="151"/>
      <c r="W19" s="151"/>
      <c r="X19" s="151"/>
      <c r="Y19" s="151"/>
      <c r="Z19" s="151"/>
    </row>
    <row r="20">
      <c r="A20" s="151"/>
      <c r="B20" s="169" t="s">
        <v>412</v>
      </c>
      <c r="C20" s="171" t="s">
        <v>411</v>
      </c>
      <c r="D20" s="175" t="s">
        <v>261</v>
      </c>
      <c r="E20" s="176">
        <v>16.6</v>
      </c>
      <c r="F20" s="176"/>
      <c r="G20" s="151"/>
      <c r="H20" s="151"/>
      <c r="I20" s="151"/>
      <c r="J20" s="151"/>
      <c r="K20" s="151"/>
      <c r="L20" s="151"/>
      <c r="M20" s="151"/>
      <c r="N20" s="151"/>
      <c r="O20" s="151"/>
      <c r="P20" s="151"/>
      <c r="Q20" s="151"/>
      <c r="R20" s="151"/>
      <c r="S20" s="151"/>
      <c r="T20" s="151"/>
      <c r="U20" s="151"/>
      <c r="V20" s="151"/>
      <c r="W20" s="151"/>
      <c r="X20" s="151"/>
      <c r="Y20" s="151"/>
      <c r="Z20" s="151"/>
    </row>
    <row r="21">
      <c r="A21" s="151"/>
      <c r="B21" s="169" t="s">
        <v>413</v>
      </c>
      <c r="C21" s="171" t="s">
        <v>414</v>
      </c>
      <c r="D21" s="175" t="s">
        <v>423</v>
      </c>
      <c r="E21" s="177">
        <f>E19*E20</f>
        <v>481.4</v>
      </c>
      <c r="F21" s="177"/>
      <c r="G21" s="151"/>
      <c r="H21" s="151"/>
      <c r="I21" s="151"/>
      <c r="J21" s="151"/>
      <c r="K21" s="151"/>
      <c r="L21" s="151"/>
      <c r="M21" s="151"/>
      <c r="N21" s="151"/>
      <c r="O21" s="151"/>
      <c r="P21" s="151"/>
      <c r="Q21" s="151"/>
      <c r="R21" s="151"/>
      <c r="S21" s="151"/>
      <c r="T21" s="151"/>
      <c r="U21" s="151"/>
      <c r="V21" s="151"/>
      <c r="W21" s="151"/>
      <c r="X21" s="151"/>
      <c r="Y21" s="151"/>
      <c r="Z21" s="151"/>
    </row>
    <row r="22">
      <c r="A22" s="151"/>
      <c r="B22" s="169" t="s">
        <v>416</v>
      </c>
      <c r="C22" s="171"/>
      <c r="D22" s="172" t="s">
        <v>261</v>
      </c>
      <c r="E22" s="173">
        <v>790.0</v>
      </c>
      <c r="F22" s="173"/>
      <c r="G22" s="151"/>
      <c r="H22" s="151"/>
      <c r="I22" s="151"/>
      <c r="J22" s="151"/>
      <c r="K22" s="151"/>
      <c r="L22" s="151"/>
      <c r="M22" s="151"/>
      <c r="N22" s="151"/>
      <c r="O22" s="151"/>
      <c r="P22" s="151"/>
      <c r="Q22" s="151"/>
      <c r="R22" s="151"/>
      <c r="S22" s="151"/>
      <c r="T22" s="151"/>
      <c r="U22" s="151"/>
      <c r="V22" s="151"/>
      <c r="W22" s="151"/>
      <c r="X22" s="151"/>
      <c r="Y22" s="151"/>
      <c r="Z22" s="151"/>
    </row>
    <row r="23">
      <c r="A23" s="151"/>
      <c r="B23" s="169" t="s">
        <v>417</v>
      </c>
      <c r="C23" s="171" t="s">
        <v>414</v>
      </c>
      <c r="D23" s="175" t="s">
        <v>258</v>
      </c>
      <c r="E23" s="178">
        <f>E22/E21</f>
        <v>1.641046946</v>
      </c>
      <c r="F23" s="178"/>
      <c r="G23" s="151"/>
      <c r="H23" s="151"/>
      <c r="I23" s="151"/>
      <c r="J23" s="151"/>
      <c r="K23" s="151"/>
      <c r="L23" s="151"/>
      <c r="M23" s="151"/>
      <c r="N23" s="151"/>
      <c r="O23" s="151"/>
      <c r="P23" s="151"/>
      <c r="Q23" s="151"/>
      <c r="R23" s="151"/>
      <c r="S23" s="151"/>
      <c r="T23" s="151"/>
      <c r="U23" s="151"/>
      <c r="V23" s="151"/>
      <c r="W23" s="151"/>
      <c r="X23" s="151"/>
      <c r="Y23" s="151"/>
      <c r="Z23" s="151"/>
    </row>
    <row r="24">
      <c r="A24" s="151"/>
      <c r="B24" s="169" t="s">
        <v>418</v>
      </c>
      <c r="C24" s="166" t="s">
        <v>419</v>
      </c>
      <c r="D24" s="167" t="s">
        <v>261</v>
      </c>
      <c r="E24" s="170"/>
      <c r="F24" s="170"/>
      <c r="G24" s="151"/>
      <c r="H24" s="151"/>
      <c r="I24" s="151"/>
      <c r="J24" s="151"/>
      <c r="K24" s="151"/>
      <c r="L24" s="151"/>
      <c r="M24" s="151"/>
      <c r="N24" s="151"/>
      <c r="O24" s="151"/>
      <c r="P24" s="151"/>
      <c r="Q24" s="151"/>
      <c r="R24" s="151"/>
      <c r="S24" s="151"/>
      <c r="T24" s="151"/>
      <c r="U24" s="151"/>
      <c r="V24" s="151"/>
      <c r="W24" s="151"/>
      <c r="X24" s="151"/>
      <c r="Y24" s="151"/>
      <c r="Z24" s="151"/>
    </row>
    <row r="25">
      <c r="A25" s="151"/>
      <c r="B25" s="151"/>
      <c r="C25" s="179"/>
      <c r="D25" s="180"/>
      <c r="E25" s="151"/>
      <c r="F25" s="151"/>
      <c r="G25" s="151"/>
      <c r="H25" s="151"/>
      <c r="I25" s="151"/>
      <c r="J25" s="151"/>
      <c r="K25" s="151"/>
      <c r="L25" s="151"/>
      <c r="M25" s="151"/>
      <c r="N25" s="151"/>
      <c r="O25" s="151"/>
      <c r="P25" s="151"/>
      <c r="Q25" s="151"/>
      <c r="R25" s="151"/>
      <c r="S25" s="151"/>
      <c r="T25" s="151"/>
      <c r="U25" s="151"/>
      <c r="V25" s="151"/>
      <c r="W25" s="151"/>
      <c r="X25" s="151"/>
      <c r="Y25" s="151"/>
      <c r="Z25" s="151"/>
    </row>
    <row r="26">
      <c r="A26" s="181"/>
      <c r="B26" s="165" t="s">
        <v>424</v>
      </c>
      <c r="C26" s="182"/>
      <c r="D26" s="183" t="s">
        <v>403</v>
      </c>
      <c r="E26" s="168" t="s">
        <v>425</v>
      </c>
      <c r="F26" s="168"/>
      <c r="G26" s="181"/>
      <c r="H26" s="181"/>
      <c r="I26" s="181"/>
      <c r="J26" s="181"/>
      <c r="K26" s="181"/>
      <c r="L26" s="181"/>
      <c r="M26" s="181"/>
      <c r="N26" s="181"/>
      <c r="O26" s="181"/>
      <c r="P26" s="181"/>
      <c r="Q26" s="181"/>
      <c r="R26" s="181"/>
      <c r="S26" s="181"/>
      <c r="T26" s="181"/>
      <c r="U26" s="181"/>
      <c r="V26" s="181"/>
      <c r="W26" s="181"/>
      <c r="X26" s="181"/>
      <c r="Y26" s="181"/>
      <c r="Z26" s="181"/>
    </row>
    <row r="27">
      <c r="A27" s="151"/>
      <c r="B27" s="169" t="s">
        <v>426</v>
      </c>
      <c r="C27" s="171"/>
      <c r="D27" s="172" t="s">
        <v>261</v>
      </c>
      <c r="E27" s="173" t="s">
        <v>427</v>
      </c>
      <c r="F27" s="173"/>
      <c r="G27" s="151"/>
      <c r="H27" s="151"/>
      <c r="I27" s="151"/>
      <c r="J27" s="151"/>
      <c r="K27" s="151"/>
      <c r="L27" s="151"/>
      <c r="M27" s="151"/>
      <c r="N27" s="151"/>
      <c r="O27" s="151"/>
      <c r="P27" s="151"/>
      <c r="Q27" s="151"/>
      <c r="R27" s="151"/>
      <c r="S27" s="151"/>
      <c r="T27" s="151"/>
      <c r="U27" s="151"/>
      <c r="V27" s="151"/>
      <c r="W27" s="151"/>
      <c r="X27" s="151"/>
      <c r="Y27" s="151"/>
      <c r="Z27" s="151"/>
    </row>
    <row r="28">
      <c r="A28" s="151"/>
      <c r="B28" s="169" t="s">
        <v>406</v>
      </c>
      <c r="C28" s="171"/>
      <c r="D28" s="172" t="s">
        <v>261</v>
      </c>
      <c r="E28" s="173" t="s">
        <v>428</v>
      </c>
      <c r="F28" s="173"/>
      <c r="G28" s="151"/>
      <c r="H28" s="151"/>
      <c r="I28" s="151"/>
      <c r="J28" s="151"/>
      <c r="K28" s="151"/>
      <c r="L28" s="151"/>
      <c r="M28" s="151"/>
      <c r="N28" s="151"/>
      <c r="O28" s="151"/>
      <c r="P28" s="151"/>
      <c r="Q28" s="151"/>
      <c r="R28" s="151"/>
      <c r="S28" s="151"/>
      <c r="T28" s="151"/>
      <c r="U28" s="151"/>
      <c r="V28" s="151"/>
      <c r="W28" s="151"/>
      <c r="X28" s="151"/>
      <c r="Y28" s="151"/>
      <c r="Z28" s="151"/>
    </row>
    <row r="29">
      <c r="A29" s="151"/>
      <c r="B29" s="169" t="s">
        <v>408</v>
      </c>
      <c r="C29" s="171"/>
      <c r="D29" s="172" t="s">
        <v>261</v>
      </c>
      <c r="E29" s="173" t="s">
        <v>429</v>
      </c>
      <c r="F29" s="173"/>
      <c r="G29" s="151"/>
      <c r="H29" s="151"/>
      <c r="I29" s="151"/>
      <c r="J29" s="151"/>
      <c r="K29" s="151"/>
      <c r="L29" s="151"/>
      <c r="M29" s="151"/>
      <c r="N29" s="151"/>
      <c r="O29" s="151"/>
      <c r="P29" s="151"/>
      <c r="Q29" s="151"/>
      <c r="R29" s="151"/>
      <c r="S29" s="151"/>
      <c r="T29" s="151"/>
      <c r="U29" s="151"/>
      <c r="V29" s="151"/>
      <c r="W29" s="151"/>
      <c r="X29" s="151"/>
      <c r="Y29" s="151"/>
      <c r="Z29" s="151"/>
    </row>
    <row r="30">
      <c r="A30" s="151"/>
      <c r="B30" s="169" t="s">
        <v>410</v>
      </c>
      <c r="C30" s="171" t="s">
        <v>411</v>
      </c>
      <c r="D30" s="175" t="s">
        <v>261</v>
      </c>
      <c r="E30" s="173">
        <v>3.3</v>
      </c>
      <c r="F30" s="173"/>
      <c r="G30" s="151"/>
      <c r="H30" s="151"/>
      <c r="I30" s="151"/>
      <c r="J30" s="151"/>
      <c r="K30" s="151"/>
      <c r="L30" s="151"/>
      <c r="M30" s="151"/>
      <c r="N30" s="151"/>
      <c r="O30" s="151"/>
      <c r="P30" s="151"/>
      <c r="Q30" s="151"/>
      <c r="R30" s="151"/>
      <c r="S30" s="151"/>
      <c r="T30" s="151"/>
      <c r="U30" s="151"/>
      <c r="V30" s="151"/>
      <c r="W30" s="151"/>
      <c r="X30" s="151"/>
      <c r="Y30" s="151"/>
      <c r="Z30" s="151"/>
    </row>
    <row r="31">
      <c r="A31" s="151"/>
      <c r="B31" s="169" t="s">
        <v>412</v>
      </c>
      <c r="C31" s="171" t="s">
        <v>411</v>
      </c>
      <c r="D31" s="175" t="s">
        <v>261</v>
      </c>
      <c r="E31" s="173">
        <v>6.0</v>
      </c>
      <c r="F31" s="173"/>
      <c r="G31" s="151"/>
      <c r="H31" s="151"/>
      <c r="I31" s="151"/>
      <c r="J31" s="151"/>
      <c r="K31" s="151"/>
      <c r="L31" s="151"/>
      <c r="M31" s="151"/>
      <c r="N31" s="151"/>
      <c r="O31" s="151"/>
      <c r="P31" s="151"/>
      <c r="Q31" s="151"/>
      <c r="R31" s="151"/>
      <c r="S31" s="151"/>
      <c r="T31" s="151"/>
      <c r="U31" s="151"/>
      <c r="V31" s="151"/>
      <c r="W31" s="151"/>
      <c r="X31" s="151"/>
      <c r="Y31" s="151"/>
      <c r="Z31" s="151"/>
    </row>
    <row r="32">
      <c r="A32" s="151"/>
      <c r="B32" s="169" t="s">
        <v>413</v>
      </c>
      <c r="C32" s="171" t="s">
        <v>414</v>
      </c>
      <c r="D32" s="175" t="s">
        <v>423</v>
      </c>
      <c r="E32" s="177">
        <f>E30*E31</f>
        <v>19.8</v>
      </c>
      <c r="F32" s="177"/>
      <c r="G32" s="151"/>
      <c r="H32" s="151"/>
      <c r="I32" s="151"/>
      <c r="J32" s="151"/>
      <c r="K32" s="151"/>
      <c r="L32" s="151"/>
      <c r="M32" s="151"/>
      <c r="N32" s="151"/>
      <c r="O32" s="151"/>
      <c r="P32" s="151"/>
      <c r="Q32" s="151"/>
      <c r="R32" s="151"/>
      <c r="S32" s="151"/>
      <c r="T32" s="151"/>
      <c r="U32" s="151"/>
      <c r="V32" s="151"/>
      <c r="W32" s="151"/>
      <c r="X32" s="151"/>
      <c r="Y32" s="151"/>
      <c r="Z32" s="151"/>
    </row>
    <row r="33">
      <c r="A33" s="151"/>
      <c r="B33" s="169" t="s">
        <v>430</v>
      </c>
      <c r="C33" s="171"/>
      <c r="D33" s="172" t="s">
        <v>261</v>
      </c>
      <c r="E33" s="184">
        <f>150+120</f>
        <v>270</v>
      </c>
      <c r="F33" s="184"/>
      <c r="G33" s="151"/>
      <c r="H33" s="151"/>
      <c r="I33" s="151"/>
      <c r="J33" s="151"/>
      <c r="K33" s="151"/>
      <c r="L33" s="151"/>
      <c r="M33" s="151"/>
      <c r="N33" s="151"/>
      <c r="O33" s="151"/>
      <c r="P33" s="151"/>
      <c r="Q33" s="151"/>
      <c r="R33" s="151"/>
      <c r="S33" s="151"/>
      <c r="T33" s="151"/>
      <c r="U33" s="151"/>
      <c r="V33" s="151"/>
      <c r="W33" s="151"/>
      <c r="X33" s="151"/>
      <c r="Y33" s="151"/>
      <c r="Z33" s="151"/>
    </row>
    <row r="34">
      <c r="A34" s="151"/>
      <c r="B34" s="169" t="s">
        <v>417</v>
      </c>
      <c r="C34" s="171" t="s">
        <v>414</v>
      </c>
      <c r="D34" s="175" t="s">
        <v>258</v>
      </c>
      <c r="E34" s="178">
        <f>E33/E32</f>
        <v>13.63636364</v>
      </c>
      <c r="F34" s="178"/>
      <c r="G34" s="151"/>
      <c r="H34" s="151"/>
      <c r="I34" s="151"/>
      <c r="J34" s="151"/>
      <c r="K34" s="151"/>
      <c r="L34" s="151"/>
      <c r="M34" s="151"/>
      <c r="N34" s="151"/>
      <c r="O34" s="151"/>
      <c r="P34" s="151"/>
      <c r="Q34" s="151"/>
      <c r="R34" s="151"/>
      <c r="S34" s="151"/>
      <c r="T34" s="151"/>
      <c r="U34" s="151"/>
      <c r="V34" s="151"/>
      <c r="W34" s="151"/>
      <c r="X34" s="151"/>
      <c r="Y34" s="151"/>
      <c r="Z34" s="151"/>
    </row>
    <row r="35">
      <c r="A35" s="151"/>
      <c r="B35" s="169" t="s">
        <v>418</v>
      </c>
      <c r="C35" s="166" t="s">
        <v>419</v>
      </c>
      <c r="D35" s="167" t="s">
        <v>261</v>
      </c>
      <c r="E35" s="170"/>
      <c r="F35" s="170"/>
      <c r="G35" s="151"/>
      <c r="H35" s="151"/>
      <c r="I35" s="151"/>
      <c r="J35" s="151"/>
      <c r="K35" s="151"/>
      <c r="L35" s="151"/>
      <c r="M35" s="151"/>
      <c r="N35" s="151"/>
      <c r="O35" s="151"/>
      <c r="P35" s="151"/>
      <c r="Q35" s="151"/>
      <c r="R35" s="151"/>
      <c r="S35" s="151"/>
      <c r="T35" s="151"/>
      <c r="U35" s="151"/>
      <c r="V35" s="151"/>
      <c r="W35" s="151"/>
      <c r="X35" s="151"/>
      <c r="Y35" s="151"/>
      <c r="Z35" s="151"/>
    </row>
    <row r="36">
      <c r="A36" s="151"/>
      <c r="B36" s="151"/>
      <c r="C36" s="179"/>
      <c r="D36" s="180"/>
      <c r="E36" s="151"/>
      <c r="F36" s="151"/>
      <c r="G36" s="151"/>
      <c r="H36" s="151"/>
      <c r="I36" s="151"/>
      <c r="J36" s="151"/>
      <c r="K36" s="151"/>
      <c r="L36" s="151"/>
      <c r="M36" s="151"/>
      <c r="N36" s="151"/>
      <c r="O36" s="151"/>
      <c r="P36" s="151"/>
      <c r="Q36" s="151"/>
      <c r="R36" s="151"/>
      <c r="S36" s="151"/>
      <c r="T36" s="151"/>
      <c r="U36" s="151"/>
      <c r="V36" s="151"/>
      <c r="W36" s="151"/>
      <c r="X36" s="151"/>
      <c r="Y36" s="151"/>
      <c r="Z36" s="151"/>
    </row>
    <row r="37">
      <c r="A37" s="151"/>
      <c r="B37" s="165" t="s">
        <v>431</v>
      </c>
      <c r="C37" s="182"/>
      <c r="D37" s="183" t="s">
        <v>403</v>
      </c>
      <c r="E37" s="168" t="s">
        <v>432</v>
      </c>
      <c r="F37" s="168"/>
      <c r="G37" s="151"/>
      <c r="H37" s="151"/>
      <c r="I37" s="151"/>
      <c r="J37" s="151"/>
      <c r="K37" s="151"/>
      <c r="L37" s="151"/>
      <c r="M37" s="151"/>
      <c r="N37" s="151"/>
      <c r="O37" s="151"/>
      <c r="P37" s="151"/>
      <c r="Q37" s="151"/>
      <c r="R37" s="151"/>
      <c r="S37" s="151"/>
      <c r="T37" s="151"/>
      <c r="U37" s="151"/>
      <c r="V37" s="151"/>
      <c r="W37" s="151"/>
      <c r="X37" s="151"/>
      <c r="Y37" s="151"/>
      <c r="Z37" s="151"/>
    </row>
    <row r="38">
      <c r="A38" s="151"/>
      <c r="B38" s="169" t="s">
        <v>433</v>
      </c>
      <c r="C38" s="185"/>
      <c r="D38" s="186" t="s">
        <v>261</v>
      </c>
      <c r="E38" s="187">
        <v>4.0</v>
      </c>
      <c r="F38" s="187"/>
      <c r="G38" s="151"/>
      <c r="H38" s="151"/>
      <c r="I38" s="151"/>
      <c r="J38" s="151"/>
      <c r="K38" s="151"/>
      <c r="L38" s="151"/>
      <c r="M38" s="151"/>
      <c r="N38" s="151"/>
      <c r="O38" s="151"/>
      <c r="P38" s="151"/>
      <c r="Q38" s="151"/>
      <c r="R38" s="151"/>
      <c r="S38" s="151"/>
      <c r="T38" s="151"/>
      <c r="U38" s="151"/>
      <c r="V38" s="151"/>
      <c r="W38" s="151"/>
      <c r="X38" s="151"/>
      <c r="Y38" s="151"/>
      <c r="Z38" s="151"/>
    </row>
    <row r="39">
      <c r="A39" s="151"/>
      <c r="B39" s="169" t="s">
        <v>434</v>
      </c>
      <c r="C39" s="188"/>
      <c r="D39" s="189" t="s">
        <v>261</v>
      </c>
      <c r="E39" s="190">
        <v>2.0</v>
      </c>
      <c r="F39" s="190"/>
      <c r="G39" s="151"/>
      <c r="H39" s="151"/>
      <c r="I39" s="151"/>
      <c r="J39" s="151"/>
      <c r="K39" s="151"/>
      <c r="L39" s="151"/>
      <c r="M39" s="151"/>
      <c r="N39" s="151"/>
      <c r="O39" s="151"/>
      <c r="P39" s="151"/>
      <c r="Q39" s="151"/>
      <c r="R39" s="151"/>
      <c r="S39" s="151"/>
      <c r="T39" s="151"/>
      <c r="U39" s="151"/>
      <c r="V39" s="151"/>
      <c r="W39" s="151"/>
      <c r="X39" s="151"/>
      <c r="Y39" s="151"/>
      <c r="Z39" s="151"/>
    </row>
    <row r="40">
      <c r="A40" s="151"/>
      <c r="B40" s="169" t="s">
        <v>410</v>
      </c>
      <c r="C40" s="171" t="s">
        <v>411</v>
      </c>
      <c r="D40" s="175" t="s">
        <v>261</v>
      </c>
      <c r="E40" s="173">
        <v>45.0</v>
      </c>
      <c r="F40" s="173"/>
      <c r="G40" s="151"/>
      <c r="H40" s="151"/>
      <c r="I40" s="151"/>
      <c r="J40" s="151"/>
      <c r="K40" s="151"/>
      <c r="L40" s="151"/>
      <c r="M40" s="151"/>
      <c r="N40" s="151"/>
      <c r="O40" s="151"/>
      <c r="P40" s="151"/>
      <c r="Q40" s="151"/>
      <c r="R40" s="151"/>
      <c r="S40" s="151"/>
      <c r="T40" s="151"/>
      <c r="U40" s="151"/>
      <c r="V40" s="151"/>
      <c r="W40" s="151"/>
      <c r="X40" s="151"/>
      <c r="Y40" s="151"/>
      <c r="Z40" s="151"/>
    </row>
    <row r="41">
      <c r="A41" s="151"/>
      <c r="B41" s="169" t="s">
        <v>412</v>
      </c>
      <c r="C41" s="171" t="s">
        <v>411</v>
      </c>
      <c r="D41" s="175" t="s">
        <v>261</v>
      </c>
      <c r="E41" s="176">
        <v>35.5</v>
      </c>
      <c r="F41" s="176"/>
      <c r="G41" s="151"/>
      <c r="H41" s="151"/>
      <c r="I41" s="151"/>
      <c r="J41" s="151"/>
      <c r="K41" s="151"/>
      <c r="L41" s="151"/>
      <c r="M41" s="151"/>
      <c r="N41" s="151"/>
      <c r="O41" s="151"/>
      <c r="P41" s="151"/>
      <c r="Q41" s="151"/>
      <c r="R41" s="151"/>
      <c r="S41" s="151"/>
      <c r="T41" s="151"/>
      <c r="U41" s="151"/>
      <c r="V41" s="151"/>
      <c r="W41" s="151"/>
      <c r="X41" s="151"/>
      <c r="Y41" s="151"/>
      <c r="Z41" s="151"/>
    </row>
    <row r="42">
      <c r="A42" s="151"/>
      <c r="B42" s="169" t="s">
        <v>435</v>
      </c>
      <c r="C42" s="171" t="s">
        <v>411</v>
      </c>
      <c r="D42" s="175" t="s">
        <v>261</v>
      </c>
      <c r="E42" s="176">
        <v>26.5</v>
      </c>
      <c r="F42" s="176"/>
      <c r="G42" s="151"/>
      <c r="H42" s="151"/>
      <c r="I42" s="151"/>
      <c r="J42" s="151"/>
      <c r="K42" s="151"/>
      <c r="L42" s="151"/>
      <c r="M42" s="151"/>
      <c r="N42" s="151"/>
      <c r="O42" s="151"/>
      <c r="P42" s="151"/>
      <c r="Q42" s="151"/>
      <c r="R42" s="151"/>
      <c r="S42" s="151"/>
      <c r="T42" s="151"/>
      <c r="U42" s="151"/>
      <c r="V42" s="151"/>
      <c r="W42" s="151"/>
      <c r="X42" s="151"/>
      <c r="Y42" s="151"/>
      <c r="Z42" s="151"/>
    </row>
    <row r="43">
      <c r="A43" s="151"/>
      <c r="B43" s="169" t="s">
        <v>436</v>
      </c>
      <c r="C43" s="171" t="s">
        <v>414</v>
      </c>
      <c r="D43" s="175" t="s">
        <v>437</v>
      </c>
      <c r="E43" s="191">
        <f>2*((E41+E42)*(E40+E41+5))</f>
        <v>10602</v>
      </c>
      <c r="F43" s="191"/>
      <c r="G43" s="151"/>
      <c r="H43" s="151"/>
      <c r="I43" s="151"/>
      <c r="J43" s="151"/>
      <c r="K43" s="151"/>
      <c r="L43" s="151"/>
      <c r="M43" s="151"/>
      <c r="N43" s="151"/>
      <c r="O43" s="151"/>
      <c r="P43" s="151"/>
      <c r="Q43" s="151"/>
      <c r="R43" s="151"/>
      <c r="S43" s="151"/>
      <c r="T43" s="151"/>
      <c r="U43" s="151"/>
      <c r="V43" s="151"/>
      <c r="W43" s="151"/>
      <c r="X43" s="151"/>
      <c r="Y43" s="151"/>
      <c r="Z43" s="151"/>
    </row>
    <row r="44">
      <c r="A44" s="151"/>
      <c r="B44" s="169" t="s">
        <v>438</v>
      </c>
      <c r="C44" s="179"/>
      <c r="D44" s="192" t="s">
        <v>261</v>
      </c>
      <c r="E44" s="173">
        <v>20500.0</v>
      </c>
      <c r="F44" s="173"/>
      <c r="G44" s="151"/>
      <c r="H44" s="151"/>
      <c r="I44" s="151"/>
      <c r="J44" s="151"/>
      <c r="K44" s="151"/>
      <c r="L44" s="151"/>
      <c r="M44" s="151"/>
      <c r="N44" s="151"/>
      <c r="O44" s="151"/>
      <c r="P44" s="151"/>
      <c r="Q44" s="151"/>
      <c r="R44" s="151"/>
      <c r="S44" s="151"/>
      <c r="T44" s="151"/>
      <c r="U44" s="151"/>
      <c r="V44" s="151"/>
      <c r="W44" s="151"/>
      <c r="X44" s="151"/>
      <c r="Y44" s="151"/>
      <c r="Z44" s="151"/>
    </row>
    <row r="45">
      <c r="A45" s="151"/>
      <c r="B45" s="169" t="s">
        <v>417</v>
      </c>
      <c r="C45" s="171" t="s">
        <v>414</v>
      </c>
      <c r="D45" s="175" t="s">
        <v>258</v>
      </c>
      <c r="E45" s="193">
        <f>E44/E43</f>
        <v>1.933597434</v>
      </c>
      <c r="F45" s="193"/>
      <c r="G45" s="151"/>
      <c r="H45" s="151"/>
      <c r="I45" s="151"/>
      <c r="J45" s="151"/>
      <c r="K45" s="151"/>
      <c r="L45" s="151"/>
      <c r="M45" s="151"/>
      <c r="N45" s="151"/>
      <c r="O45" s="151"/>
      <c r="P45" s="151"/>
      <c r="Q45" s="151"/>
      <c r="R45" s="151"/>
      <c r="S45" s="151"/>
      <c r="T45" s="151"/>
      <c r="U45" s="151"/>
      <c r="V45" s="151"/>
      <c r="W45" s="151"/>
      <c r="X45" s="151"/>
      <c r="Y45" s="151"/>
      <c r="Z45" s="151"/>
    </row>
    <row r="46">
      <c r="A46" s="151"/>
      <c r="B46" s="169" t="s">
        <v>418</v>
      </c>
      <c r="C46" s="166" t="s">
        <v>419</v>
      </c>
      <c r="D46" s="167" t="s">
        <v>261</v>
      </c>
      <c r="E46" s="170"/>
      <c r="F46" s="170"/>
      <c r="G46" s="151"/>
      <c r="H46" s="151"/>
      <c r="I46" s="151"/>
      <c r="J46" s="151"/>
      <c r="K46" s="151"/>
      <c r="L46" s="151"/>
      <c r="M46" s="151"/>
      <c r="N46" s="151"/>
      <c r="O46" s="151"/>
      <c r="P46" s="151"/>
      <c r="Q46" s="151"/>
      <c r="R46" s="151"/>
      <c r="S46" s="151"/>
      <c r="T46" s="151"/>
      <c r="U46" s="151"/>
      <c r="V46" s="151"/>
      <c r="W46" s="151"/>
      <c r="X46" s="151"/>
      <c r="Y46" s="151"/>
      <c r="Z46" s="151"/>
    </row>
    <row r="47">
      <c r="A47" s="151"/>
      <c r="B47" s="174"/>
      <c r="C47" s="194"/>
      <c r="D47" s="195"/>
      <c r="E47" s="196"/>
      <c r="F47" s="196"/>
      <c r="G47" s="151"/>
      <c r="H47" s="151"/>
      <c r="I47" s="151"/>
      <c r="J47" s="151"/>
      <c r="K47" s="151"/>
      <c r="L47" s="151"/>
      <c r="M47" s="151"/>
      <c r="N47" s="151"/>
      <c r="O47" s="151"/>
      <c r="P47" s="151"/>
      <c r="Q47" s="151"/>
      <c r="R47" s="151"/>
      <c r="S47" s="151"/>
      <c r="T47" s="151"/>
      <c r="U47" s="151"/>
      <c r="V47" s="151"/>
      <c r="W47" s="151"/>
      <c r="X47" s="151"/>
      <c r="Y47" s="151"/>
      <c r="Z47" s="151"/>
    </row>
    <row r="48">
      <c r="A48" s="181"/>
      <c r="B48" s="197" t="s">
        <v>439</v>
      </c>
      <c r="C48" s="182"/>
      <c r="D48" s="183" t="s">
        <v>403</v>
      </c>
      <c r="E48" s="168" t="s">
        <v>432</v>
      </c>
      <c r="F48" s="168"/>
      <c r="G48" s="181"/>
      <c r="H48" s="181"/>
      <c r="I48" s="181"/>
      <c r="J48" s="181"/>
      <c r="K48" s="181"/>
      <c r="L48" s="181"/>
      <c r="M48" s="181"/>
      <c r="N48" s="181"/>
      <c r="O48" s="181"/>
      <c r="P48" s="181"/>
      <c r="Q48" s="181"/>
      <c r="R48" s="181"/>
      <c r="S48" s="181"/>
      <c r="T48" s="181"/>
      <c r="U48" s="181"/>
      <c r="V48" s="181"/>
      <c r="W48" s="181"/>
      <c r="X48" s="181"/>
      <c r="Y48" s="181"/>
      <c r="Z48" s="181"/>
    </row>
    <row r="49">
      <c r="A49" s="151"/>
      <c r="B49" s="169" t="s">
        <v>433</v>
      </c>
      <c r="C49" s="185"/>
      <c r="D49" s="186" t="s">
        <v>261</v>
      </c>
      <c r="E49" s="187">
        <v>4.0</v>
      </c>
      <c r="F49" s="187"/>
      <c r="G49" s="151"/>
      <c r="H49" s="151"/>
      <c r="I49" s="151"/>
      <c r="J49" s="151"/>
      <c r="K49" s="151"/>
      <c r="L49" s="151"/>
      <c r="M49" s="151"/>
      <c r="N49" s="151"/>
      <c r="O49" s="151"/>
      <c r="P49" s="151"/>
      <c r="Q49" s="151"/>
      <c r="R49" s="151"/>
      <c r="S49" s="151"/>
      <c r="T49" s="151"/>
      <c r="U49" s="151"/>
      <c r="V49" s="151"/>
      <c r="W49" s="151"/>
      <c r="X49" s="151"/>
      <c r="Y49" s="151"/>
      <c r="Z49" s="151"/>
    </row>
    <row r="50">
      <c r="A50" s="151"/>
      <c r="B50" s="169" t="s">
        <v>434</v>
      </c>
      <c r="C50" s="188"/>
      <c r="D50" s="189" t="s">
        <v>261</v>
      </c>
      <c r="E50" s="190">
        <v>2.0</v>
      </c>
      <c r="F50" s="190"/>
      <c r="G50" s="151"/>
      <c r="H50" s="151"/>
      <c r="I50" s="151"/>
      <c r="J50" s="151"/>
      <c r="K50" s="151"/>
      <c r="L50" s="151"/>
      <c r="M50" s="151"/>
      <c r="N50" s="151"/>
      <c r="O50" s="151"/>
      <c r="P50" s="151"/>
      <c r="Q50" s="151"/>
      <c r="R50" s="151"/>
      <c r="S50" s="151"/>
      <c r="T50" s="151"/>
      <c r="U50" s="151"/>
      <c r="V50" s="151"/>
      <c r="W50" s="151"/>
      <c r="X50" s="151"/>
      <c r="Y50" s="151"/>
      <c r="Z50" s="151"/>
    </row>
    <row r="51">
      <c r="A51" s="151"/>
      <c r="B51" s="169" t="s">
        <v>410</v>
      </c>
      <c r="C51" s="171" t="s">
        <v>411</v>
      </c>
      <c r="D51" s="175" t="s">
        <v>261</v>
      </c>
      <c r="E51" s="173">
        <v>45.0</v>
      </c>
      <c r="F51" s="173"/>
      <c r="G51" s="151"/>
      <c r="H51" s="151"/>
      <c r="I51" s="151"/>
      <c r="J51" s="151"/>
      <c r="K51" s="151"/>
      <c r="L51" s="151"/>
      <c r="M51" s="151"/>
      <c r="N51" s="151"/>
      <c r="O51" s="151"/>
      <c r="P51" s="151"/>
      <c r="Q51" s="151"/>
      <c r="R51" s="151"/>
      <c r="S51" s="151"/>
      <c r="T51" s="151"/>
      <c r="U51" s="151"/>
      <c r="V51" s="151"/>
      <c r="W51" s="151"/>
      <c r="X51" s="151"/>
      <c r="Y51" s="151"/>
      <c r="Z51" s="151"/>
    </row>
    <row r="52">
      <c r="A52" s="151"/>
      <c r="B52" s="169" t="s">
        <v>412</v>
      </c>
      <c r="C52" s="171" t="s">
        <v>411</v>
      </c>
      <c r="D52" s="175" t="s">
        <v>261</v>
      </c>
      <c r="E52" s="176">
        <v>35.5</v>
      </c>
      <c r="F52" s="176"/>
      <c r="G52" s="151"/>
      <c r="H52" s="151"/>
      <c r="I52" s="151"/>
      <c r="J52" s="151"/>
      <c r="K52" s="151"/>
      <c r="L52" s="151"/>
      <c r="M52" s="151"/>
      <c r="N52" s="151"/>
      <c r="O52" s="151"/>
      <c r="P52" s="151"/>
      <c r="Q52" s="151"/>
      <c r="R52" s="151"/>
      <c r="S52" s="151"/>
      <c r="T52" s="151"/>
      <c r="U52" s="151"/>
      <c r="V52" s="151"/>
      <c r="W52" s="151"/>
      <c r="X52" s="151"/>
      <c r="Y52" s="151"/>
      <c r="Z52" s="151"/>
    </row>
    <row r="53">
      <c r="A53" s="151"/>
      <c r="B53" s="169" t="s">
        <v>435</v>
      </c>
      <c r="C53" s="171" t="s">
        <v>411</v>
      </c>
      <c r="D53" s="175" t="s">
        <v>261</v>
      </c>
      <c r="E53" s="176">
        <v>26.5</v>
      </c>
      <c r="F53" s="176"/>
      <c r="G53" s="151"/>
      <c r="H53" s="151"/>
      <c r="I53" s="151"/>
      <c r="J53" s="151"/>
      <c r="K53" s="151"/>
      <c r="L53" s="151"/>
      <c r="M53" s="151"/>
      <c r="N53" s="151"/>
      <c r="O53" s="151"/>
      <c r="P53" s="151"/>
      <c r="Q53" s="151"/>
      <c r="R53" s="151"/>
      <c r="S53" s="151"/>
      <c r="T53" s="151"/>
      <c r="U53" s="151"/>
      <c r="V53" s="151"/>
      <c r="W53" s="151"/>
      <c r="X53" s="151"/>
      <c r="Y53" s="151"/>
      <c r="Z53" s="151"/>
    </row>
    <row r="54">
      <c r="A54" s="151"/>
      <c r="B54" s="169" t="s">
        <v>436</v>
      </c>
      <c r="C54" s="171" t="s">
        <v>414</v>
      </c>
      <c r="D54" s="175" t="s">
        <v>437</v>
      </c>
      <c r="E54" s="191">
        <f>2*((E52+E53)*(E51+E52+5))</f>
        <v>10602</v>
      </c>
      <c r="F54" s="191"/>
      <c r="G54" s="151"/>
      <c r="H54" s="151"/>
      <c r="I54" s="151"/>
      <c r="J54" s="151"/>
      <c r="K54" s="151"/>
      <c r="L54" s="151"/>
      <c r="M54" s="151"/>
      <c r="N54" s="151"/>
      <c r="O54" s="151"/>
      <c r="P54" s="151"/>
      <c r="Q54" s="151"/>
      <c r="R54" s="151"/>
      <c r="S54" s="151"/>
      <c r="T54" s="151"/>
      <c r="U54" s="151"/>
      <c r="V54" s="151"/>
      <c r="W54" s="151"/>
      <c r="X54" s="151"/>
      <c r="Y54" s="151"/>
      <c r="Z54" s="151"/>
    </row>
    <row r="55">
      <c r="A55" s="151"/>
      <c r="B55" s="169" t="s">
        <v>438</v>
      </c>
      <c r="C55" s="179"/>
      <c r="D55" s="192" t="s">
        <v>261</v>
      </c>
      <c r="E55" s="173">
        <v>20500.0</v>
      </c>
      <c r="F55" s="173"/>
      <c r="G55" s="151"/>
      <c r="H55" s="151"/>
      <c r="I55" s="151"/>
      <c r="J55" s="151"/>
      <c r="K55" s="151"/>
      <c r="L55" s="151"/>
      <c r="M55" s="151"/>
      <c r="N55" s="151"/>
      <c r="O55" s="151"/>
      <c r="P55" s="151"/>
      <c r="Q55" s="151"/>
      <c r="R55" s="151"/>
      <c r="S55" s="151"/>
      <c r="T55" s="151"/>
      <c r="U55" s="151"/>
      <c r="V55" s="151"/>
      <c r="W55" s="151"/>
      <c r="X55" s="151"/>
      <c r="Y55" s="151"/>
      <c r="Z55" s="151"/>
    </row>
    <row r="56">
      <c r="A56" s="151"/>
      <c r="B56" s="169" t="s">
        <v>417</v>
      </c>
      <c r="C56" s="171" t="s">
        <v>414</v>
      </c>
      <c r="D56" s="175" t="s">
        <v>258</v>
      </c>
      <c r="E56" s="193">
        <f>E55/E54</f>
        <v>1.933597434</v>
      </c>
      <c r="F56" s="193"/>
      <c r="G56" s="151"/>
      <c r="H56" s="151"/>
      <c r="I56" s="151"/>
      <c r="J56" s="151"/>
      <c r="K56" s="151"/>
      <c r="L56" s="151"/>
      <c r="M56" s="151"/>
      <c r="N56" s="151"/>
      <c r="O56" s="151"/>
      <c r="P56" s="151"/>
      <c r="Q56" s="151"/>
      <c r="R56" s="151"/>
      <c r="S56" s="151"/>
      <c r="T56" s="151"/>
      <c r="U56" s="151"/>
      <c r="V56" s="151"/>
      <c r="W56" s="151"/>
      <c r="X56" s="151"/>
      <c r="Y56" s="151"/>
      <c r="Z56" s="151"/>
    </row>
    <row r="57">
      <c r="A57" s="151"/>
      <c r="B57" s="169" t="s">
        <v>418</v>
      </c>
      <c r="C57" s="166" t="s">
        <v>419</v>
      </c>
      <c r="D57" s="167" t="s">
        <v>261</v>
      </c>
      <c r="E57" s="170"/>
      <c r="F57" s="170"/>
      <c r="G57" s="151"/>
      <c r="H57" s="151"/>
      <c r="I57" s="151"/>
      <c r="J57" s="151"/>
      <c r="K57" s="151"/>
      <c r="L57" s="151"/>
      <c r="M57" s="151"/>
      <c r="N57" s="151"/>
      <c r="O57" s="151"/>
      <c r="P57" s="151"/>
      <c r="Q57" s="151"/>
      <c r="R57" s="151"/>
      <c r="S57" s="151"/>
      <c r="T57" s="151"/>
      <c r="U57" s="151"/>
      <c r="V57" s="151"/>
      <c r="W57" s="151"/>
      <c r="X57" s="151"/>
      <c r="Y57" s="151"/>
      <c r="Z57" s="151"/>
    </row>
    <row r="58">
      <c r="A58" s="151"/>
      <c r="B58" s="151"/>
      <c r="C58" s="179"/>
      <c r="D58" s="180"/>
      <c r="E58" s="151"/>
      <c r="F58" s="151"/>
      <c r="G58" s="151"/>
      <c r="H58" s="151"/>
      <c r="I58" s="151"/>
      <c r="J58" s="151"/>
      <c r="K58" s="151"/>
      <c r="L58" s="151"/>
      <c r="M58" s="151"/>
      <c r="N58" s="151"/>
      <c r="O58" s="151"/>
      <c r="P58" s="151"/>
      <c r="Q58" s="151"/>
      <c r="R58" s="151"/>
      <c r="S58" s="151"/>
      <c r="T58" s="151"/>
      <c r="U58" s="151"/>
      <c r="V58" s="151"/>
      <c r="W58" s="151"/>
      <c r="X58" s="151"/>
      <c r="Y58" s="151"/>
      <c r="Z58" s="151"/>
    </row>
    <row r="59">
      <c r="A59" s="181"/>
      <c r="B59" s="165" t="s">
        <v>440</v>
      </c>
      <c r="C59" s="182"/>
      <c r="D59" s="183" t="s">
        <v>403</v>
      </c>
      <c r="E59" s="168" t="s">
        <v>441</v>
      </c>
      <c r="F59" s="168"/>
      <c r="G59" s="181"/>
      <c r="H59" s="181"/>
      <c r="I59" s="181"/>
      <c r="J59" s="181"/>
      <c r="K59" s="181"/>
      <c r="L59" s="181"/>
      <c r="M59" s="181"/>
      <c r="N59" s="181"/>
      <c r="O59" s="181"/>
      <c r="P59" s="181"/>
      <c r="Q59" s="181"/>
      <c r="R59" s="181"/>
      <c r="S59" s="181"/>
      <c r="T59" s="181"/>
      <c r="U59" s="181"/>
      <c r="V59" s="181"/>
      <c r="W59" s="181"/>
      <c r="X59" s="181"/>
      <c r="Y59" s="181"/>
      <c r="Z59" s="181"/>
    </row>
    <row r="60">
      <c r="A60" s="151"/>
      <c r="B60" s="169" t="s">
        <v>442</v>
      </c>
      <c r="C60" s="185"/>
      <c r="D60" s="186" t="s">
        <v>261</v>
      </c>
      <c r="E60" s="166" t="s">
        <v>443</v>
      </c>
      <c r="F60" s="166"/>
      <c r="G60" s="151"/>
      <c r="H60" s="151"/>
      <c r="I60" s="151"/>
      <c r="J60" s="151"/>
      <c r="K60" s="151"/>
      <c r="L60" s="151"/>
      <c r="M60" s="151"/>
      <c r="N60" s="151"/>
      <c r="O60" s="151"/>
      <c r="P60" s="151"/>
      <c r="Q60" s="151"/>
      <c r="R60" s="151"/>
      <c r="S60" s="151"/>
      <c r="T60" s="151"/>
      <c r="U60" s="151"/>
      <c r="V60" s="151"/>
      <c r="W60" s="151"/>
      <c r="X60" s="151"/>
      <c r="Y60" s="151"/>
      <c r="Z60" s="151"/>
    </row>
    <row r="61">
      <c r="A61" s="151"/>
      <c r="B61" s="169" t="s">
        <v>444</v>
      </c>
      <c r="C61" s="188" t="s">
        <v>445</v>
      </c>
      <c r="D61" s="198" t="s">
        <v>261</v>
      </c>
      <c r="E61" s="170">
        <v>1000.0</v>
      </c>
      <c r="F61" s="170"/>
      <c r="G61" s="151"/>
      <c r="H61" s="151"/>
      <c r="I61" s="151"/>
      <c r="J61" s="151"/>
      <c r="K61" s="151"/>
      <c r="L61" s="151"/>
      <c r="M61" s="151"/>
      <c r="N61" s="151"/>
      <c r="O61" s="151"/>
      <c r="P61" s="151"/>
      <c r="Q61" s="151"/>
      <c r="R61" s="151"/>
      <c r="S61" s="151"/>
      <c r="T61" s="151"/>
      <c r="U61" s="151"/>
      <c r="V61" s="151"/>
      <c r="W61" s="151"/>
      <c r="X61" s="151"/>
      <c r="Y61" s="151"/>
      <c r="Z61" s="151"/>
    </row>
    <row r="62">
      <c r="A62" s="151"/>
      <c r="B62" s="169" t="s">
        <v>446</v>
      </c>
      <c r="C62" s="171"/>
      <c r="D62" s="172" t="s">
        <v>261</v>
      </c>
      <c r="E62" s="170" t="s">
        <v>447</v>
      </c>
      <c r="F62" s="170"/>
      <c r="G62" s="151"/>
      <c r="H62" s="151"/>
      <c r="I62" s="151"/>
      <c r="J62" s="151"/>
      <c r="K62" s="151"/>
      <c r="L62" s="151"/>
      <c r="M62" s="151"/>
      <c r="N62" s="151"/>
      <c r="O62" s="151"/>
      <c r="P62" s="151"/>
      <c r="Q62" s="151"/>
      <c r="R62" s="151"/>
      <c r="S62" s="151"/>
      <c r="T62" s="151"/>
      <c r="U62" s="151"/>
      <c r="V62" s="151"/>
      <c r="W62" s="151"/>
      <c r="X62" s="151"/>
      <c r="Y62" s="151"/>
      <c r="Z62" s="151"/>
    </row>
    <row r="63">
      <c r="A63" s="151"/>
      <c r="B63" s="169" t="s">
        <v>448</v>
      </c>
      <c r="C63" s="171"/>
      <c r="D63" s="172" t="s">
        <v>261</v>
      </c>
      <c r="E63" s="170" t="s">
        <v>449</v>
      </c>
      <c r="F63" s="170"/>
      <c r="G63" s="151"/>
      <c r="H63" s="151"/>
      <c r="I63" s="151"/>
      <c r="J63" s="151"/>
      <c r="K63" s="151"/>
      <c r="L63" s="151"/>
      <c r="M63" s="151"/>
      <c r="N63" s="151"/>
      <c r="O63" s="151"/>
      <c r="P63" s="151"/>
      <c r="Q63" s="151"/>
      <c r="R63" s="151"/>
      <c r="S63" s="151"/>
      <c r="T63" s="151"/>
      <c r="U63" s="151"/>
      <c r="V63" s="151"/>
      <c r="W63" s="151"/>
      <c r="X63" s="151"/>
      <c r="Y63" s="151"/>
      <c r="Z63" s="151"/>
    </row>
    <row r="64">
      <c r="A64" s="151"/>
      <c r="B64" s="169" t="s">
        <v>450</v>
      </c>
      <c r="C64" s="171" t="s">
        <v>451</v>
      </c>
      <c r="D64" s="175" t="s">
        <v>261</v>
      </c>
      <c r="E64" s="177">
        <v>85.0</v>
      </c>
      <c r="F64" s="177"/>
      <c r="G64" s="151"/>
      <c r="H64" s="151"/>
      <c r="I64" s="151"/>
      <c r="J64" s="151"/>
      <c r="K64" s="151"/>
      <c r="L64" s="151"/>
      <c r="M64" s="151"/>
      <c r="N64" s="151"/>
      <c r="O64" s="151"/>
      <c r="P64" s="151"/>
      <c r="Q64" s="151"/>
      <c r="R64" s="151"/>
      <c r="S64" s="151"/>
      <c r="T64" s="151"/>
      <c r="U64" s="151"/>
      <c r="V64" s="151"/>
      <c r="W64" s="151"/>
      <c r="X64" s="151"/>
      <c r="Y64" s="151"/>
      <c r="Z64" s="151"/>
    </row>
    <row r="65">
      <c r="A65" s="151"/>
      <c r="B65" s="169" t="s">
        <v>452</v>
      </c>
      <c r="C65" s="171"/>
      <c r="D65" s="172" t="s">
        <v>261</v>
      </c>
      <c r="E65" s="173" t="s">
        <v>453</v>
      </c>
      <c r="F65" s="173"/>
      <c r="G65" s="151"/>
      <c r="H65" s="151"/>
      <c r="I65" s="151"/>
      <c r="J65" s="151"/>
      <c r="K65" s="151"/>
      <c r="L65" s="151"/>
      <c r="M65" s="151"/>
      <c r="N65" s="151"/>
      <c r="O65" s="151"/>
      <c r="P65" s="151"/>
      <c r="Q65" s="151"/>
      <c r="R65" s="151"/>
      <c r="S65" s="151"/>
      <c r="T65" s="151"/>
      <c r="U65" s="151"/>
      <c r="V65" s="151"/>
      <c r="W65" s="151"/>
      <c r="X65" s="151"/>
      <c r="Y65" s="151"/>
      <c r="Z65" s="151"/>
    </row>
    <row r="66">
      <c r="A66" s="151"/>
      <c r="B66" s="169" t="s">
        <v>454</v>
      </c>
      <c r="C66" s="179"/>
      <c r="D66" s="192" t="s">
        <v>261</v>
      </c>
      <c r="E66" s="173">
        <v>4477.0</v>
      </c>
      <c r="F66" s="173"/>
      <c r="G66" s="151"/>
      <c r="H66" s="151"/>
      <c r="I66" s="151"/>
      <c r="J66" s="151"/>
      <c r="K66" s="151"/>
      <c r="L66" s="151"/>
      <c r="M66" s="151"/>
      <c r="N66" s="151"/>
      <c r="O66" s="151"/>
      <c r="P66" s="151"/>
      <c r="Q66" s="151"/>
      <c r="R66" s="151"/>
      <c r="S66" s="151"/>
      <c r="T66" s="151"/>
      <c r="U66" s="151"/>
      <c r="V66" s="151"/>
      <c r="W66" s="151"/>
      <c r="X66" s="151"/>
      <c r="Y66" s="151"/>
      <c r="Z66" s="151"/>
    </row>
    <row r="67">
      <c r="A67" s="151"/>
      <c r="B67" s="169" t="s">
        <v>455</v>
      </c>
      <c r="C67" s="171" t="s">
        <v>451</v>
      </c>
      <c r="D67" s="175" t="s">
        <v>258</v>
      </c>
      <c r="E67" s="193">
        <f>E66/E64</f>
        <v>52.67058824</v>
      </c>
      <c r="F67" s="193"/>
      <c r="G67" s="151"/>
      <c r="H67" s="151"/>
      <c r="I67" s="151"/>
      <c r="J67" s="151"/>
      <c r="K67" s="151"/>
      <c r="L67" s="151"/>
      <c r="M67" s="151"/>
      <c r="N67" s="151"/>
      <c r="O67" s="151"/>
      <c r="P67" s="151"/>
      <c r="Q67" s="151"/>
      <c r="R67" s="151"/>
      <c r="S67" s="151"/>
      <c r="T67" s="151"/>
      <c r="U67" s="151"/>
      <c r="V67" s="151"/>
      <c r="W67" s="151"/>
      <c r="X67" s="151"/>
      <c r="Y67" s="151"/>
      <c r="Z67" s="151"/>
    </row>
    <row r="68">
      <c r="A68" s="151"/>
      <c r="B68" s="169" t="s">
        <v>418</v>
      </c>
      <c r="C68" s="166" t="s">
        <v>419</v>
      </c>
      <c r="D68" s="167" t="s">
        <v>261</v>
      </c>
      <c r="E68" s="170" t="s">
        <v>394</v>
      </c>
      <c r="F68" s="170"/>
      <c r="G68" s="151"/>
      <c r="H68" s="151"/>
      <c r="I68" s="151"/>
      <c r="J68" s="151"/>
      <c r="K68" s="151"/>
      <c r="L68" s="151"/>
      <c r="M68" s="151"/>
      <c r="N68" s="151"/>
      <c r="O68" s="151"/>
      <c r="P68" s="151"/>
      <c r="Q68" s="151"/>
      <c r="R68" s="151"/>
      <c r="S68" s="151"/>
      <c r="T68" s="151"/>
      <c r="U68" s="151"/>
      <c r="V68" s="151"/>
      <c r="W68" s="151"/>
      <c r="X68" s="151"/>
      <c r="Y68" s="151"/>
      <c r="Z68" s="151"/>
    </row>
    <row r="69">
      <c r="A69" s="151"/>
      <c r="B69" s="151"/>
      <c r="C69" s="179"/>
      <c r="D69" s="180"/>
      <c r="E69" s="151"/>
      <c r="F69" s="151"/>
      <c r="G69" s="151"/>
      <c r="H69" s="151"/>
      <c r="I69" s="151"/>
      <c r="J69" s="151"/>
      <c r="K69" s="151"/>
      <c r="L69" s="151"/>
      <c r="M69" s="151"/>
      <c r="N69" s="151"/>
      <c r="O69" s="151"/>
      <c r="P69" s="151"/>
      <c r="Q69" s="151"/>
      <c r="R69" s="151"/>
      <c r="S69" s="151"/>
      <c r="T69" s="151"/>
      <c r="U69" s="151"/>
      <c r="V69" s="151"/>
      <c r="W69" s="151"/>
      <c r="X69" s="151"/>
      <c r="Y69" s="151"/>
      <c r="Z69" s="151"/>
    </row>
    <row r="70">
      <c r="A70" s="181"/>
      <c r="B70" s="165" t="s">
        <v>456</v>
      </c>
      <c r="C70" s="182"/>
      <c r="D70" s="183" t="s">
        <v>403</v>
      </c>
      <c r="E70" s="168" t="s">
        <v>441</v>
      </c>
      <c r="F70" s="168"/>
      <c r="G70" s="181"/>
      <c r="H70" s="181"/>
      <c r="I70" s="181"/>
      <c r="J70" s="181"/>
      <c r="K70" s="181"/>
      <c r="L70" s="181"/>
      <c r="M70" s="181"/>
      <c r="N70" s="181"/>
      <c r="O70" s="181"/>
      <c r="P70" s="181"/>
      <c r="Q70" s="181"/>
      <c r="R70" s="181"/>
      <c r="S70" s="181"/>
      <c r="T70" s="181"/>
      <c r="U70" s="181"/>
      <c r="V70" s="181"/>
      <c r="W70" s="181"/>
      <c r="X70" s="181"/>
      <c r="Y70" s="181"/>
      <c r="Z70" s="181"/>
    </row>
    <row r="71">
      <c r="A71" s="151"/>
      <c r="B71" s="169" t="s">
        <v>442</v>
      </c>
      <c r="C71" s="185"/>
      <c r="D71" s="186" t="s">
        <v>261</v>
      </c>
      <c r="E71" s="166" t="s">
        <v>443</v>
      </c>
      <c r="F71" s="166"/>
      <c r="G71" s="151"/>
      <c r="H71" s="151"/>
      <c r="I71" s="151"/>
      <c r="J71" s="151"/>
      <c r="K71" s="151"/>
      <c r="L71" s="151"/>
      <c r="M71" s="151"/>
      <c r="N71" s="151"/>
      <c r="O71" s="151"/>
      <c r="P71" s="151"/>
      <c r="Q71" s="151"/>
      <c r="R71" s="151"/>
      <c r="S71" s="151"/>
      <c r="T71" s="151"/>
      <c r="U71" s="151"/>
      <c r="V71" s="151"/>
      <c r="W71" s="151"/>
      <c r="X71" s="151"/>
      <c r="Y71" s="151"/>
      <c r="Z71" s="151"/>
    </row>
    <row r="72">
      <c r="A72" s="151"/>
      <c r="B72" s="169" t="s">
        <v>444</v>
      </c>
      <c r="C72" s="188" t="s">
        <v>445</v>
      </c>
      <c r="D72" s="198" t="s">
        <v>261</v>
      </c>
      <c r="E72" s="170">
        <v>1000.0</v>
      </c>
      <c r="F72" s="170"/>
      <c r="G72" s="151"/>
      <c r="H72" s="151"/>
      <c r="I72" s="151"/>
      <c r="J72" s="151"/>
      <c r="K72" s="151"/>
      <c r="L72" s="151"/>
      <c r="M72" s="151"/>
      <c r="N72" s="151"/>
      <c r="O72" s="151"/>
      <c r="P72" s="151"/>
      <c r="Q72" s="151"/>
      <c r="R72" s="151"/>
      <c r="S72" s="151"/>
      <c r="T72" s="151"/>
      <c r="U72" s="151"/>
      <c r="V72" s="151"/>
      <c r="W72" s="151"/>
      <c r="X72" s="151"/>
      <c r="Y72" s="151"/>
      <c r="Z72" s="151"/>
    </row>
    <row r="73">
      <c r="A73" s="151"/>
      <c r="B73" s="169" t="s">
        <v>446</v>
      </c>
      <c r="C73" s="171"/>
      <c r="D73" s="172" t="s">
        <v>261</v>
      </c>
      <c r="E73" s="170" t="s">
        <v>447</v>
      </c>
      <c r="F73" s="170"/>
      <c r="G73" s="151"/>
      <c r="H73" s="151"/>
      <c r="I73" s="151"/>
      <c r="J73" s="151"/>
      <c r="K73" s="151"/>
      <c r="L73" s="151"/>
      <c r="M73" s="151"/>
      <c r="N73" s="151"/>
      <c r="O73" s="151"/>
      <c r="P73" s="151"/>
      <c r="Q73" s="151"/>
      <c r="R73" s="151"/>
      <c r="S73" s="151"/>
      <c r="T73" s="151"/>
      <c r="U73" s="151"/>
      <c r="V73" s="151"/>
      <c r="W73" s="151"/>
      <c r="X73" s="151"/>
      <c r="Y73" s="151"/>
      <c r="Z73" s="151"/>
    </row>
    <row r="74">
      <c r="A74" s="151"/>
      <c r="B74" s="169" t="s">
        <v>448</v>
      </c>
      <c r="C74" s="171"/>
      <c r="D74" s="172" t="s">
        <v>261</v>
      </c>
      <c r="E74" s="170" t="s">
        <v>449</v>
      </c>
      <c r="F74" s="170"/>
      <c r="G74" s="151"/>
      <c r="H74" s="151"/>
      <c r="I74" s="151"/>
      <c r="J74" s="151"/>
      <c r="K74" s="151"/>
      <c r="L74" s="151"/>
      <c r="M74" s="151"/>
      <c r="N74" s="151"/>
      <c r="O74" s="151"/>
      <c r="P74" s="151"/>
      <c r="Q74" s="151"/>
      <c r="R74" s="151"/>
      <c r="S74" s="151"/>
      <c r="T74" s="151"/>
      <c r="U74" s="151"/>
      <c r="V74" s="151"/>
      <c r="W74" s="151"/>
      <c r="X74" s="151"/>
      <c r="Y74" s="151"/>
      <c r="Z74" s="151"/>
    </row>
    <row r="75">
      <c r="A75" s="151"/>
      <c r="B75" s="169" t="s">
        <v>450</v>
      </c>
      <c r="C75" s="171" t="s">
        <v>451</v>
      </c>
      <c r="D75" s="175" t="s">
        <v>261</v>
      </c>
      <c r="E75" s="177">
        <v>85.0</v>
      </c>
      <c r="F75" s="177"/>
      <c r="G75" s="151"/>
      <c r="H75" s="151"/>
      <c r="I75" s="151"/>
      <c r="J75" s="151"/>
      <c r="K75" s="151"/>
      <c r="L75" s="151"/>
      <c r="M75" s="151"/>
      <c r="N75" s="151"/>
      <c r="O75" s="151"/>
      <c r="P75" s="151"/>
      <c r="Q75" s="151"/>
      <c r="R75" s="151"/>
      <c r="S75" s="151"/>
      <c r="T75" s="151"/>
      <c r="U75" s="151"/>
      <c r="V75" s="151"/>
      <c r="W75" s="151"/>
      <c r="X75" s="151"/>
      <c r="Y75" s="151"/>
      <c r="Z75" s="151"/>
    </row>
    <row r="76">
      <c r="A76" s="151"/>
      <c r="B76" s="169" t="s">
        <v>452</v>
      </c>
      <c r="C76" s="171"/>
      <c r="D76" s="172" t="s">
        <v>261</v>
      </c>
      <c r="E76" s="173" t="s">
        <v>453</v>
      </c>
      <c r="F76" s="173"/>
      <c r="G76" s="151"/>
      <c r="H76" s="151"/>
      <c r="I76" s="151"/>
      <c r="J76" s="151"/>
      <c r="K76" s="151"/>
      <c r="L76" s="151"/>
      <c r="M76" s="151"/>
      <c r="N76" s="151"/>
      <c r="O76" s="151"/>
      <c r="P76" s="151"/>
      <c r="Q76" s="151"/>
      <c r="R76" s="151"/>
      <c r="S76" s="151"/>
      <c r="T76" s="151"/>
      <c r="U76" s="151"/>
      <c r="V76" s="151"/>
      <c r="W76" s="151"/>
      <c r="X76" s="151"/>
      <c r="Y76" s="151"/>
      <c r="Z76" s="151"/>
    </row>
    <row r="77">
      <c r="A77" s="151"/>
      <c r="B77" s="169" t="s">
        <v>454</v>
      </c>
      <c r="C77" s="179"/>
      <c r="D77" s="192" t="s">
        <v>261</v>
      </c>
      <c r="E77" s="173">
        <v>4477.0</v>
      </c>
      <c r="F77" s="173"/>
      <c r="G77" s="151"/>
      <c r="H77" s="151"/>
      <c r="I77" s="151"/>
      <c r="J77" s="151"/>
      <c r="K77" s="151"/>
      <c r="L77" s="151"/>
      <c r="M77" s="151"/>
      <c r="N77" s="151"/>
      <c r="O77" s="151"/>
      <c r="P77" s="151"/>
      <c r="Q77" s="151"/>
      <c r="R77" s="151"/>
      <c r="S77" s="151"/>
      <c r="T77" s="151"/>
      <c r="U77" s="151"/>
      <c r="V77" s="151"/>
      <c r="W77" s="151"/>
      <c r="X77" s="151"/>
      <c r="Y77" s="151"/>
      <c r="Z77" s="151"/>
    </row>
    <row r="78">
      <c r="A78" s="151"/>
      <c r="B78" s="169" t="s">
        <v>455</v>
      </c>
      <c r="C78" s="171" t="s">
        <v>451</v>
      </c>
      <c r="D78" s="175" t="s">
        <v>258</v>
      </c>
      <c r="E78" s="193">
        <f>E77/E75</f>
        <v>52.67058824</v>
      </c>
      <c r="F78" s="193"/>
      <c r="G78" s="151"/>
      <c r="H78" s="151"/>
      <c r="I78" s="151"/>
      <c r="J78" s="151"/>
      <c r="K78" s="151"/>
      <c r="L78" s="151"/>
      <c r="M78" s="151"/>
      <c r="N78" s="151"/>
      <c r="O78" s="151"/>
      <c r="P78" s="151"/>
      <c r="Q78" s="151"/>
      <c r="R78" s="151"/>
      <c r="S78" s="151"/>
      <c r="T78" s="151"/>
      <c r="U78" s="151"/>
      <c r="V78" s="151"/>
      <c r="W78" s="151"/>
      <c r="X78" s="151"/>
      <c r="Y78" s="151"/>
      <c r="Z78" s="151"/>
    </row>
    <row r="79">
      <c r="A79" s="151"/>
      <c r="B79" s="169" t="s">
        <v>418</v>
      </c>
      <c r="C79" s="166" t="s">
        <v>419</v>
      </c>
      <c r="D79" s="167" t="s">
        <v>261</v>
      </c>
      <c r="E79" s="170" t="s">
        <v>394</v>
      </c>
      <c r="F79" s="170"/>
      <c r="G79" s="151"/>
      <c r="H79" s="151"/>
      <c r="I79" s="151"/>
      <c r="J79" s="151"/>
      <c r="K79" s="151"/>
      <c r="L79" s="151"/>
      <c r="M79" s="151"/>
      <c r="N79" s="151"/>
      <c r="O79" s="151"/>
      <c r="P79" s="151"/>
      <c r="Q79" s="151"/>
      <c r="R79" s="151"/>
      <c r="S79" s="151"/>
      <c r="T79" s="151"/>
      <c r="U79" s="151"/>
      <c r="V79" s="151"/>
      <c r="W79" s="151"/>
      <c r="X79" s="151"/>
      <c r="Y79" s="151"/>
      <c r="Z79" s="151"/>
    </row>
    <row r="80">
      <c r="A80" s="151"/>
      <c r="B80" s="151"/>
      <c r="C80" s="179"/>
      <c r="D80" s="180"/>
      <c r="E80" s="151"/>
      <c r="F80" s="151"/>
      <c r="G80" s="151"/>
      <c r="H80" s="151"/>
      <c r="I80" s="151"/>
      <c r="J80" s="151"/>
      <c r="K80" s="151"/>
      <c r="L80" s="151"/>
      <c r="M80" s="151"/>
      <c r="N80" s="151"/>
      <c r="O80" s="151"/>
      <c r="P80" s="151"/>
      <c r="Q80" s="151"/>
      <c r="R80" s="151"/>
      <c r="S80" s="151"/>
      <c r="T80" s="151"/>
      <c r="U80" s="151"/>
      <c r="V80" s="151"/>
      <c r="W80" s="151"/>
      <c r="X80" s="151"/>
      <c r="Y80" s="151"/>
      <c r="Z80" s="151"/>
    </row>
    <row r="81">
      <c r="A81" s="181"/>
      <c r="B81" s="165" t="s">
        <v>457</v>
      </c>
      <c r="C81" s="182"/>
      <c r="D81" s="183" t="s">
        <v>403</v>
      </c>
      <c r="E81" s="168" t="s">
        <v>441</v>
      </c>
      <c r="F81" s="168"/>
      <c r="G81" s="181"/>
      <c r="H81" s="181"/>
      <c r="I81" s="181"/>
      <c r="J81" s="181"/>
      <c r="K81" s="181"/>
      <c r="L81" s="181"/>
      <c r="M81" s="181"/>
      <c r="N81" s="181"/>
      <c r="O81" s="181"/>
      <c r="P81" s="181"/>
      <c r="Q81" s="181"/>
      <c r="R81" s="181"/>
      <c r="S81" s="181"/>
      <c r="T81" s="181"/>
      <c r="U81" s="181"/>
      <c r="V81" s="181"/>
      <c r="W81" s="181"/>
      <c r="X81" s="181"/>
      <c r="Y81" s="181"/>
      <c r="Z81" s="181"/>
    </row>
    <row r="82">
      <c r="A82" s="151"/>
      <c r="B82" s="169" t="s">
        <v>442</v>
      </c>
      <c r="C82" s="185"/>
      <c r="D82" s="186" t="s">
        <v>261</v>
      </c>
      <c r="E82" s="166" t="s">
        <v>443</v>
      </c>
      <c r="F82" s="166"/>
      <c r="G82" s="151"/>
      <c r="H82" s="151"/>
      <c r="I82" s="151"/>
      <c r="J82" s="151"/>
      <c r="K82" s="151"/>
      <c r="L82" s="151"/>
      <c r="M82" s="151"/>
      <c r="N82" s="151"/>
      <c r="O82" s="151"/>
      <c r="P82" s="151"/>
      <c r="Q82" s="151"/>
      <c r="R82" s="151"/>
      <c r="S82" s="151"/>
      <c r="T82" s="151"/>
      <c r="U82" s="151"/>
      <c r="V82" s="151"/>
      <c r="W82" s="151"/>
      <c r="X82" s="151"/>
      <c r="Y82" s="151"/>
      <c r="Z82" s="151"/>
    </row>
    <row r="83">
      <c r="A83" s="151"/>
      <c r="B83" s="169" t="s">
        <v>444</v>
      </c>
      <c r="C83" s="188" t="s">
        <v>445</v>
      </c>
      <c r="D83" s="198" t="s">
        <v>261</v>
      </c>
      <c r="E83" s="170">
        <v>1000.0</v>
      </c>
      <c r="F83" s="170"/>
      <c r="G83" s="151"/>
      <c r="H83" s="151"/>
      <c r="I83" s="151"/>
      <c r="J83" s="151"/>
      <c r="K83" s="151"/>
      <c r="L83" s="151"/>
      <c r="M83" s="151"/>
      <c r="N83" s="151"/>
      <c r="O83" s="151"/>
      <c r="P83" s="151"/>
      <c r="Q83" s="151"/>
      <c r="R83" s="151"/>
      <c r="S83" s="151"/>
      <c r="T83" s="151"/>
      <c r="U83" s="151"/>
      <c r="V83" s="151"/>
      <c r="W83" s="151"/>
      <c r="X83" s="151"/>
      <c r="Y83" s="151"/>
      <c r="Z83" s="151"/>
    </row>
    <row r="84">
      <c r="A84" s="151"/>
      <c r="B84" s="169" t="s">
        <v>446</v>
      </c>
      <c r="C84" s="171"/>
      <c r="D84" s="172" t="s">
        <v>261</v>
      </c>
      <c r="E84" s="170" t="s">
        <v>447</v>
      </c>
      <c r="F84" s="170"/>
      <c r="G84" s="151"/>
      <c r="H84" s="151"/>
      <c r="I84" s="151"/>
      <c r="J84" s="151"/>
      <c r="K84" s="151"/>
      <c r="L84" s="151"/>
      <c r="M84" s="151"/>
      <c r="N84" s="151"/>
      <c r="O84" s="151"/>
      <c r="P84" s="151"/>
      <c r="Q84" s="151"/>
      <c r="R84" s="151"/>
      <c r="S84" s="151"/>
      <c r="T84" s="151"/>
      <c r="U84" s="151"/>
      <c r="V84" s="151"/>
      <c r="W84" s="151"/>
      <c r="X84" s="151"/>
      <c r="Y84" s="151"/>
      <c r="Z84" s="151"/>
    </row>
    <row r="85">
      <c r="A85" s="151"/>
      <c r="B85" s="169" t="s">
        <v>448</v>
      </c>
      <c r="C85" s="171"/>
      <c r="D85" s="172" t="s">
        <v>261</v>
      </c>
      <c r="E85" s="170" t="s">
        <v>449</v>
      </c>
      <c r="F85" s="170"/>
      <c r="G85" s="151"/>
      <c r="H85" s="151"/>
      <c r="I85" s="151"/>
      <c r="J85" s="151"/>
      <c r="K85" s="151"/>
      <c r="L85" s="151"/>
      <c r="M85" s="151"/>
      <c r="N85" s="151"/>
      <c r="O85" s="151"/>
      <c r="P85" s="151"/>
      <c r="Q85" s="151"/>
      <c r="R85" s="151"/>
      <c r="S85" s="151"/>
      <c r="T85" s="151"/>
      <c r="U85" s="151"/>
      <c r="V85" s="151"/>
      <c r="W85" s="151"/>
      <c r="X85" s="151"/>
      <c r="Y85" s="151"/>
      <c r="Z85" s="151"/>
    </row>
    <row r="86">
      <c r="A86" s="151"/>
      <c r="B86" s="169" t="s">
        <v>450</v>
      </c>
      <c r="C86" s="171" t="s">
        <v>451</v>
      </c>
      <c r="D86" s="175" t="s">
        <v>261</v>
      </c>
      <c r="E86" s="177">
        <v>85.0</v>
      </c>
      <c r="F86" s="177"/>
      <c r="G86" s="151"/>
      <c r="H86" s="151"/>
      <c r="I86" s="151"/>
      <c r="J86" s="151"/>
      <c r="K86" s="151"/>
      <c r="L86" s="151"/>
      <c r="M86" s="151"/>
      <c r="N86" s="151"/>
      <c r="O86" s="151"/>
      <c r="P86" s="151"/>
      <c r="Q86" s="151"/>
      <c r="R86" s="151"/>
      <c r="S86" s="151"/>
      <c r="T86" s="151"/>
      <c r="U86" s="151"/>
      <c r="V86" s="151"/>
      <c r="W86" s="151"/>
      <c r="X86" s="151"/>
      <c r="Y86" s="151"/>
      <c r="Z86" s="151"/>
    </row>
    <row r="87">
      <c r="A87" s="151"/>
      <c r="B87" s="169" t="s">
        <v>452</v>
      </c>
      <c r="C87" s="171"/>
      <c r="D87" s="172" t="s">
        <v>261</v>
      </c>
      <c r="E87" s="173" t="s">
        <v>453</v>
      </c>
      <c r="F87" s="173"/>
      <c r="G87" s="151"/>
      <c r="H87" s="151"/>
      <c r="I87" s="151"/>
      <c r="J87" s="151"/>
      <c r="K87" s="151"/>
      <c r="L87" s="151"/>
      <c r="M87" s="151"/>
      <c r="N87" s="151"/>
      <c r="O87" s="151"/>
      <c r="P87" s="151"/>
      <c r="Q87" s="151"/>
      <c r="R87" s="151"/>
      <c r="S87" s="151"/>
      <c r="T87" s="151"/>
      <c r="U87" s="151"/>
      <c r="V87" s="151"/>
      <c r="W87" s="151"/>
      <c r="X87" s="151"/>
      <c r="Y87" s="151"/>
      <c r="Z87" s="151"/>
    </row>
    <row r="88">
      <c r="A88" s="151"/>
      <c r="B88" s="169" t="s">
        <v>454</v>
      </c>
      <c r="C88" s="179"/>
      <c r="D88" s="192" t="s">
        <v>261</v>
      </c>
      <c r="E88" s="173">
        <v>4477.0</v>
      </c>
      <c r="F88" s="173"/>
      <c r="G88" s="151"/>
      <c r="H88" s="151"/>
      <c r="I88" s="151"/>
      <c r="J88" s="151"/>
      <c r="K88" s="151"/>
      <c r="L88" s="151"/>
      <c r="M88" s="151"/>
      <c r="N88" s="151"/>
      <c r="O88" s="151"/>
      <c r="P88" s="151"/>
      <c r="Q88" s="151"/>
      <c r="R88" s="151"/>
      <c r="S88" s="151"/>
      <c r="T88" s="151"/>
      <c r="U88" s="151"/>
      <c r="V88" s="151"/>
      <c r="W88" s="151"/>
      <c r="X88" s="151"/>
      <c r="Y88" s="151"/>
      <c r="Z88" s="151"/>
    </row>
    <row r="89">
      <c r="A89" s="151"/>
      <c r="B89" s="169" t="s">
        <v>455</v>
      </c>
      <c r="C89" s="171" t="s">
        <v>451</v>
      </c>
      <c r="D89" s="175" t="s">
        <v>258</v>
      </c>
      <c r="E89" s="193">
        <f>E88/E86</f>
        <v>52.67058824</v>
      </c>
      <c r="F89" s="193"/>
      <c r="G89" s="151"/>
      <c r="H89" s="151"/>
      <c r="I89" s="151"/>
      <c r="J89" s="151"/>
      <c r="K89" s="151"/>
      <c r="L89" s="151"/>
      <c r="M89" s="151"/>
      <c r="N89" s="151"/>
      <c r="O89" s="151"/>
      <c r="P89" s="151"/>
      <c r="Q89" s="151"/>
      <c r="R89" s="151"/>
      <c r="S89" s="151"/>
      <c r="T89" s="151"/>
      <c r="U89" s="151"/>
      <c r="V89" s="151"/>
      <c r="W89" s="151"/>
      <c r="X89" s="151"/>
      <c r="Y89" s="151"/>
      <c r="Z89" s="151"/>
    </row>
    <row r="90">
      <c r="A90" s="151"/>
      <c r="B90" s="169" t="s">
        <v>418</v>
      </c>
      <c r="C90" s="166" t="s">
        <v>419</v>
      </c>
      <c r="D90" s="167" t="s">
        <v>261</v>
      </c>
      <c r="E90" s="170" t="s">
        <v>394</v>
      </c>
      <c r="F90" s="170"/>
      <c r="G90" s="151"/>
      <c r="H90" s="151"/>
      <c r="I90" s="151"/>
      <c r="J90" s="151"/>
      <c r="K90" s="151"/>
      <c r="L90" s="151"/>
      <c r="M90" s="151"/>
      <c r="N90" s="151"/>
      <c r="O90" s="151"/>
      <c r="P90" s="151"/>
      <c r="Q90" s="151"/>
      <c r="R90" s="151"/>
      <c r="S90" s="151"/>
      <c r="T90" s="151"/>
      <c r="U90" s="151"/>
      <c r="V90" s="151"/>
      <c r="W90" s="151"/>
      <c r="X90" s="151"/>
      <c r="Y90" s="151"/>
      <c r="Z90" s="151"/>
    </row>
    <row r="91">
      <c r="A91" s="151"/>
      <c r="B91" s="151"/>
      <c r="C91" s="179"/>
      <c r="D91" s="180"/>
      <c r="E91" s="151"/>
      <c r="F91" s="151"/>
      <c r="G91" s="151"/>
      <c r="H91" s="151"/>
      <c r="I91" s="151"/>
      <c r="J91" s="151"/>
      <c r="K91" s="151"/>
      <c r="L91" s="151"/>
      <c r="M91" s="151"/>
      <c r="N91" s="151"/>
      <c r="O91" s="151"/>
      <c r="P91" s="151"/>
      <c r="Q91" s="151"/>
      <c r="R91" s="151"/>
      <c r="S91" s="151"/>
      <c r="T91" s="151"/>
      <c r="U91" s="151"/>
      <c r="V91" s="151"/>
      <c r="W91" s="151"/>
      <c r="X91" s="151"/>
      <c r="Y91" s="151"/>
      <c r="Z91" s="151"/>
    </row>
    <row r="92">
      <c r="A92" s="181"/>
      <c r="B92" s="165" t="s">
        <v>458</v>
      </c>
      <c r="C92" s="182"/>
      <c r="D92" s="183" t="s">
        <v>403</v>
      </c>
      <c r="E92" s="168" t="s">
        <v>441</v>
      </c>
      <c r="F92" s="168"/>
      <c r="G92" s="181"/>
      <c r="H92" s="181"/>
      <c r="I92" s="181"/>
      <c r="J92" s="181"/>
      <c r="K92" s="181"/>
      <c r="L92" s="181"/>
      <c r="M92" s="181"/>
      <c r="N92" s="181"/>
      <c r="O92" s="181"/>
      <c r="P92" s="181"/>
      <c r="Q92" s="181"/>
      <c r="R92" s="181"/>
      <c r="S92" s="181"/>
      <c r="T92" s="181"/>
      <c r="U92" s="181"/>
      <c r="V92" s="181"/>
      <c r="W92" s="181"/>
      <c r="X92" s="181"/>
      <c r="Y92" s="181"/>
      <c r="Z92" s="181"/>
    </row>
    <row r="93">
      <c r="A93" s="151"/>
      <c r="B93" s="169" t="s">
        <v>442</v>
      </c>
      <c r="C93" s="185"/>
      <c r="D93" s="186" t="s">
        <v>261</v>
      </c>
      <c r="E93" s="166" t="s">
        <v>443</v>
      </c>
      <c r="F93" s="166"/>
      <c r="G93" s="151"/>
      <c r="H93" s="151"/>
      <c r="I93" s="151"/>
      <c r="J93" s="151"/>
      <c r="K93" s="151"/>
      <c r="L93" s="151"/>
      <c r="M93" s="151"/>
      <c r="N93" s="151"/>
      <c r="O93" s="151"/>
      <c r="P93" s="151"/>
      <c r="Q93" s="151"/>
      <c r="R93" s="151"/>
      <c r="S93" s="151"/>
      <c r="T93" s="151"/>
      <c r="U93" s="151"/>
      <c r="V93" s="151"/>
      <c r="W93" s="151"/>
      <c r="X93" s="151"/>
      <c r="Y93" s="151"/>
      <c r="Z93" s="151"/>
    </row>
    <row r="94">
      <c r="A94" s="151"/>
      <c r="B94" s="169" t="s">
        <v>444</v>
      </c>
      <c r="C94" s="188" t="s">
        <v>445</v>
      </c>
      <c r="D94" s="198" t="s">
        <v>261</v>
      </c>
      <c r="E94" s="170">
        <v>1000.0</v>
      </c>
      <c r="F94" s="170"/>
      <c r="G94" s="151"/>
      <c r="H94" s="151"/>
      <c r="I94" s="151"/>
      <c r="J94" s="151"/>
      <c r="K94" s="151"/>
      <c r="L94" s="151"/>
      <c r="M94" s="151"/>
      <c r="N94" s="151"/>
      <c r="O94" s="151"/>
      <c r="P94" s="151"/>
      <c r="Q94" s="151"/>
      <c r="R94" s="151"/>
      <c r="S94" s="151"/>
      <c r="T94" s="151"/>
      <c r="U94" s="151"/>
      <c r="V94" s="151"/>
      <c r="W94" s="151"/>
      <c r="X94" s="151"/>
      <c r="Y94" s="151"/>
      <c r="Z94" s="151"/>
    </row>
    <row r="95">
      <c r="A95" s="151"/>
      <c r="B95" s="169" t="s">
        <v>446</v>
      </c>
      <c r="C95" s="171"/>
      <c r="D95" s="172" t="s">
        <v>261</v>
      </c>
      <c r="E95" s="170" t="s">
        <v>447</v>
      </c>
      <c r="F95" s="170"/>
      <c r="G95" s="151"/>
      <c r="H95" s="151"/>
      <c r="I95" s="151"/>
      <c r="J95" s="151"/>
      <c r="K95" s="151"/>
      <c r="L95" s="151"/>
      <c r="M95" s="151"/>
      <c r="N95" s="151"/>
      <c r="O95" s="151"/>
      <c r="P95" s="151"/>
      <c r="Q95" s="151"/>
      <c r="R95" s="151"/>
      <c r="S95" s="151"/>
      <c r="T95" s="151"/>
      <c r="U95" s="151"/>
      <c r="V95" s="151"/>
      <c r="W95" s="151"/>
      <c r="X95" s="151"/>
      <c r="Y95" s="151"/>
      <c r="Z95" s="151"/>
    </row>
    <row r="96">
      <c r="A96" s="151"/>
      <c r="B96" s="169" t="s">
        <v>448</v>
      </c>
      <c r="C96" s="171"/>
      <c r="D96" s="172" t="s">
        <v>261</v>
      </c>
      <c r="E96" s="170" t="s">
        <v>449</v>
      </c>
      <c r="F96" s="170"/>
      <c r="G96" s="151"/>
      <c r="H96" s="151"/>
      <c r="I96" s="151"/>
      <c r="J96" s="151"/>
      <c r="K96" s="151"/>
      <c r="L96" s="151"/>
      <c r="M96" s="151"/>
      <c r="N96" s="151"/>
      <c r="O96" s="151"/>
      <c r="P96" s="151"/>
      <c r="Q96" s="151"/>
      <c r="R96" s="151"/>
      <c r="S96" s="151"/>
      <c r="T96" s="151"/>
      <c r="U96" s="151"/>
      <c r="V96" s="151"/>
      <c r="W96" s="151"/>
      <c r="X96" s="151"/>
      <c r="Y96" s="151"/>
      <c r="Z96" s="151"/>
    </row>
    <row r="97">
      <c r="A97" s="151"/>
      <c r="B97" s="169" t="s">
        <v>450</v>
      </c>
      <c r="C97" s="171" t="s">
        <v>451</v>
      </c>
      <c r="D97" s="175" t="s">
        <v>261</v>
      </c>
      <c r="E97" s="177">
        <v>85.0</v>
      </c>
      <c r="F97" s="177"/>
      <c r="G97" s="151"/>
      <c r="H97" s="151"/>
      <c r="I97" s="151"/>
      <c r="J97" s="151"/>
      <c r="K97" s="151"/>
      <c r="L97" s="151"/>
      <c r="M97" s="151"/>
      <c r="N97" s="151"/>
      <c r="O97" s="151"/>
      <c r="P97" s="151"/>
      <c r="Q97" s="151"/>
      <c r="R97" s="151"/>
      <c r="S97" s="151"/>
      <c r="T97" s="151"/>
      <c r="U97" s="151"/>
      <c r="V97" s="151"/>
      <c r="W97" s="151"/>
      <c r="X97" s="151"/>
      <c r="Y97" s="151"/>
      <c r="Z97" s="151"/>
    </row>
    <row r="98">
      <c r="A98" s="151"/>
      <c r="B98" s="169" t="s">
        <v>452</v>
      </c>
      <c r="C98" s="171"/>
      <c r="D98" s="172" t="s">
        <v>261</v>
      </c>
      <c r="E98" s="173" t="s">
        <v>453</v>
      </c>
      <c r="F98" s="173"/>
      <c r="G98" s="151"/>
      <c r="H98" s="151"/>
      <c r="I98" s="151"/>
      <c r="J98" s="151"/>
      <c r="K98" s="151"/>
      <c r="L98" s="151"/>
      <c r="M98" s="151"/>
      <c r="N98" s="151"/>
      <c r="O98" s="151"/>
      <c r="P98" s="151"/>
      <c r="Q98" s="151"/>
      <c r="R98" s="151"/>
      <c r="S98" s="151"/>
      <c r="T98" s="151"/>
      <c r="U98" s="151"/>
      <c r="V98" s="151"/>
      <c r="W98" s="151"/>
      <c r="X98" s="151"/>
      <c r="Y98" s="151"/>
      <c r="Z98" s="151"/>
    </row>
    <row r="99">
      <c r="A99" s="151"/>
      <c r="B99" s="169" t="s">
        <v>454</v>
      </c>
      <c r="C99" s="179"/>
      <c r="D99" s="192" t="s">
        <v>261</v>
      </c>
      <c r="E99" s="173">
        <v>4477.0</v>
      </c>
      <c r="F99" s="173"/>
      <c r="G99" s="151"/>
      <c r="H99" s="151"/>
      <c r="I99" s="151"/>
      <c r="J99" s="151"/>
      <c r="K99" s="151"/>
      <c r="L99" s="151"/>
      <c r="M99" s="151"/>
      <c r="N99" s="151"/>
      <c r="O99" s="151"/>
      <c r="P99" s="151"/>
      <c r="Q99" s="151"/>
      <c r="R99" s="151"/>
      <c r="S99" s="151"/>
      <c r="T99" s="151"/>
      <c r="U99" s="151"/>
      <c r="V99" s="151"/>
      <c r="W99" s="151"/>
      <c r="X99" s="151"/>
      <c r="Y99" s="151"/>
      <c r="Z99" s="151"/>
    </row>
    <row r="100">
      <c r="A100" s="151"/>
      <c r="B100" s="169" t="s">
        <v>455</v>
      </c>
      <c r="C100" s="171" t="s">
        <v>451</v>
      </c>
      <c r="D100" s="175" t="s">
        <v>258</v>
      </c>
      <c r="E100" s="193">
        <f>E99/E97</f>
        <v>52.67058824</v>
      </c>
      <c r="F100" s="193"/>
      <c r="G100" s="151"/>
      <c r="H100" s="151"/>
      <c r="I100" s="151"/>
      <c r="J100" s="151"/>
      <c r="K100" s="151"/>
      <c r="L100" s="151"/>
      <c r="M100" s="151"/>
      <c r="N100" s="151"/>
      <c r="O100" s="151"/>
      <c r="P100" s="151"/>
      <c r="Q100" s="151"/>
      <c r="R100" s="151"/>
      <c r="S100" s="151"/>
      <c r="T100" s="151"/>
      <c r="U100" s="151"/>
      <c r="V100" s="151"/>
      <c r="W100" s="151"/>
      <c r="X100" s="151"/>
      <c r="Y100" s="151"/>
      <c r="Z100" s="151"/>
    </row>
    <row r="101">
      <c r="A101" s="151"/>
      <c r="B101" s="169" t="s">
        <v>418</v>
      </c>
      <c r="C101" s="166" t="s">
        <v>419</v>
      </c>
      <c r="D101" s="167" t="s">
        <v>261</v>
      </c>
      <c r="E101" s="170" t="s">
        <v>394</v>
      </c>
      <c r="F101" s="170"/>
      <c r="G101" s="151"/>
      <c r="H101" s="151"/>
      <c r="I101" s="151"/>
      <c r="J101" s="151"/>
      <c r="K101" s="151"/>
      <c r="L101" s="151"/>
      <c r="M101" s="151"/>
      <c r="N101" s="151"/>
      <c r="O101" s="151"/>
      <c r="P101" s="151"/>
      <c r="Q101" s="151"/>
      <c r="R101" s="151"/>
      <c r="S101" s="151"/>
      <c r="T101" s="151"/>
      <c r="U101" s="151"/>
      <c r="V101" s="151"/>
      <c r="W101" s="151"/>
      <c r="X101" s="151"/>
      <c r="Y101" s="151"/>
      <c r="Z101" s="151"/>
    </row>
    <row r="102">
      <c r="A102" s="151"/>
      <c r="B102" s="151"/>
      <c r="C102" s="179"/>
      <c r="D102" s="180"/>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51"/>
    </row>
    <row r="103">
      <c r="A103" s="181"/>
      <c r="B103" s="165" t="s">
        <v>459</v>
      </c>
      <c r="C103" s="182" t="s">
        <v>271</v>
      </c>
      <c r="D103" s="183" t="s">
        <v>403</v>
      </c>
      <c r="E103" s="168" t="s">
        <v>432</v>
      </c>
      <c r="F103" s="168"/>
      <c r="G103" s="181"/>
      <c r="H103" s="181"/>
      <c r="I103" s="181"/>
      <c r="J103" s="181"/>
      <c r="K103" s="181"/>
      <c r="L103" s="181"/>
      <c r="M103" s="181"/>
      <c r="N103" s="181"/>
      <c r="O103" s="181"/>
      <c r="P103" s="181"/>
      <c r="Q103" s="181"/>
      <c r="R103" s="181"/>
      <c r="S103" s="181"/>
      <c r="T103" s="181"/>
      <c r="U103" s="181"/>
      <c r="V103" s="181"/>
      <c r="W103" s="181"/>
      <c r="X103" s="181"/>
      <c r="Y103" s="181"/>
      <c r="Z103" s="181"/>
    </row>
    <row r="104">
      <c r="A104" s="151"/>
      <c r="B104" s="169" t="s">
        <v>460</v>
      </c>
      <c r="C104" s="185"/>
      <c r="D104" s="186" t="s">
        <v>261</v>
      </c>
      <c r="E104" s="187"/>
      <c r="F104" s="187"/>
      <c r="G104" s="151"/>
      <c r="H104" s="151"/>
      <c r="I104" s="151"/>
      <c r="J104" s="151"/>
      <c r="K104" s="151"/>
      <c r="L104" s="151"/>
      <c r="M104" s="151"/>
      <c r="N104" s="151"/>
      <c r="O104" s="151"/>
      <c r="P104" s="151"/>
      <c r="Q104" s="151"/>
      <c r="R104" s="151"/>
      <c r="S104" s="151"/>
      <c r="T104" s="151"/>
      <c r="U104" s="151"/>
      <c r="V104" s="151"/>
      <c r="W104" s="151"/>
      <c r="X104" s="151"/>
      <c r="Y104" s="151"/>
      <c r="Z104" s="151"/>
    </row>
    <row r="105">
      <c r="A105" s="151"/>
      <c r="B105" s="169" t="s">
        <v>461</v>
      </c>
      <c r="C105" s="185" t="s">
        <v>462</v>
      </c>
      <c r="D105" s="199" t="s">
        <v>261</v>
      </c>
      <c r="E105" s="187"/>
      <c r="F105" s="187"/>
      <c r="G105" s="151"/>
      <c r="H105" s="151"/>
      <c r="I105" s="151"/>
      <c r="J105" s="151"/>
      <c r="K105" s="151"/>
      <c r="L105" s="151"/>
      <c r="M105" s="151"/>
      <c r="N105" s="151"/>
      <c r="O105" s="151"/>
      <c r="P105" s="151"/>
      <c r="Q105" s="151"/>
      <c r="R105" s="151"/>
      <c r="S105" s="151"/>
      <c r="T105" s="151"/>
      <c r="U105" s="151"/>
      <c r="V105" s="151"/>
      <c r="W105" s="151"/>
      <c r="X105" s="151"/>
      <c r="Y105" s="151"/>
      <c r="Z105" s="151"/>
    </row>
    <row r="106">
      <c r="A106" s="151"/>
      <c r="B106" s="169" t="s">
        <v>463</v>
      </c>
      <c r="C106" s="188" t="s">
        <v>464</v>
      </c>
      <c r="D106" s="198" t="s">
        <v>261</v>
      </c>
      <c r="E106" s="190">
        <v>5.0</v>
      </c>
      <c r="F106" s="190"/>
      <c r="G106" s="151"/>
      <c r="H106" s="151"/>
      <c r="I106" s="151"/>
      <c r="J106" s="151"/>
      <c r="K106" s="151"/>
      <c r="L106" s="151"/>
      <c r="M106" s="151"/>
      <c r="N106" s="151"/>
      <c r="O106" s="151"/>
      <c r="P106" s="151"/>
      <c r="Q106" s="151"/>
      <c r="R106" s="151"/>
      <c r="S106" s="151"/>
      <c r="T106" s="151"/>
      <c r="U106" s="151"/>
      <c r="V106" s="151"/>
      <c r="W106" s="151"/>
      <c r="X106" s="151"/>
      <c r="Y106" s="151"/>
      <c r="Z106" s="151"/>
    </row>
    <row r="107">
      <c r="A107" s="151"/>
      <c r="B107" s="169" t="s">
        <v>465</v>
      </c>
      <c r="C107" s="188" t="s">
        <v>466</v>
      </c>
      <c r="D107" s="198" t="s">
        <v>261</v>
      </c>
      <c r="E107" s="190"/>
      <c r="F107" s="190"/>
      <c r="G107" s="151"/>
      <c r="H107" s="151"/>
      <c r="I107" s="151"/>
      <c r="J107" s="151"/>
      <c r="K107" s="151"/>
      <c r="L107" s="151"/>
      <c r="M107" s="151"/>
      <c r="N107" s="151"/>
      <c r="O107" s="151"/>
      <c r="P107" s="151"/>
      <c r="Q107" s="151"/>
      <c r="R107" s="151"/>
      <c r="S107" s="151"/>
      <c r="T107" s="151"/>
      <c r="U107" s="151"/>
      <c r="V107" s="151"/>
      <c r="W107" s="151"/>
      <c r="X107" s="151"/>
      <c r="Y107" s="151"/>
      <c r="Z107" s="151"/>
    </row>
    <row r="108">
      <c r="A108" s="151"/>
      <c r="B108" s="169" t="s">
        <v>467</v>
      </c>
      <c r="C108" s="171"/>
      <c r="D108" s="172" t="s">
        <v>261</v>
      </c>
      <c r="E108" s="173">
        <v>1.5</v>
      </c>
      <c r="F108" s="173"/>
      <c r="G108" s="151"/>
      <c r="H108" s="151"/>
      <c r="I108" s="151"/>
      <c r="J108" s="151"/>
      <c r="K108" s="151"/>
      <c r="L108" s="151"/>
      <c r="M108" s="151"/>
      <c r="N108" s="151"/>
      <c r="O108" s="151"/>
      <c r="P108" s="151"/>
      <c r="Q108" s="151"/>
      <c r="R108" s="151"/>
      <c r="S108" s="151"/>
      <c r="T108" s="151"/>
      <c r="U108" s="151"/>
      <c r="V108" s="151"/>
      <c r="W108" s="151"/>
      <c r="X108" s="151"/>
      <c r="Y108" s="151"/>
      <c r="Z108" s="151"/>
    </row>
    <row r="109">
      <c r="A109" s="151"/>
      <c r="B109" s="169" t="s">
        <v>468</v>
      </c>
      <c r="C109" s="171" t="s">
        <v>464</v>
      </c>
      <c r="D109" s="200" t="s">
        <v>469</v>
      </c>
      <c r="E109" s="190">
        <f>E108*E106</f>
        <v>7.5</v>
      </c>
      <c r="F109" s="190"/>
      <c r="G109" s="151"/>
      <c r="H109" s="151"/>
      <c r="I109" s="151"/>
      <c r="J109" s="151"/>
      <c r="K109" s="151"/>
      <c r="L109" s="151"/>
      <c r="M109" s="151"/>
      <c r="N109" s="151"/>
      <c r="O109" s="151"/>
      <c r="P109" s="151"/>
      <c r="Q109" s="151"/>
      <c r="R109" s="151"/>
      <c r="S109" s="151"/>
      <c r="T109" s="151"/>
      <c r="U109" s="151"/>
      <c r="V109" s="151"/>
      <c r="W109" s="151"/>
      <c r="X109" s="151"/>
      <c r="Y109" s="151"/>
      <c r="Z109" s="151"/>
    </row>
    <row r="110">
      <c r="A110" s="151"/>
      <c r="B110" s="169" t="s">
        <v>418</v>
      </c>
      <c r="C110" s="166" t="s">
        <v>419</v>
      </c>
      <c r="D110" s="167" t="s">
        <v>261</v>
      </c>
      <c r="E110" s="170"/>
      <c r="F110" s="170"/>
      <c r="G110" s="151"/>
      <c r="H110" s="151"/>
      <c r="I110" s="151"/>
      <c r="J110" s="151"/>
      <c r="K110" s="151"/>
      <c r="L110" s="151"/>
      <c r="M110" s="151"/>
      <c r="N110" s="151"/>
      <c r="O110" s="151"/>
      <c r="P110" s="151"/>
      <c r="Q110" s="151"/>
      <c r="R110" s="151"/>
      <c r="S110" s="151"/>
      <c r="T110" s="151"/>
      <c r="U110" s="151"/>
      <c r="V110" s="151"/>
      <c r="W110" s="151"/>
      <c r="X110" s="151"/>
      <c r="Y110" s="151"/>
      <c r="Z110" s="151"/>
    </row>
    <row r="111">
      <c r="A111" s="151"/>
      <c r="B111" s="151"/>
      <c r="C111" s="179"/>
      <c r="D111" s="180"/>
      <c r="E111" s="151"/>
      <c r="F111" s="151"/>
      <c r="G111" s="151"/>
      <c r="H111" s="151"/>
      <c r="I111" s="151"/>
      <c r="J111" s="151"/>
      <c r="K111" s="151"/>
      <c r="L111" s="151"/>
      <c r="M111" s="151"/>
      <c r="N111" s="151"/>
      <c r="O111" s="151"/>
      <c r="P111" s="151"/>
      <c r="Q111" s="151"/>
      <c r="R111" s="151"/>
      <c r="S111" s="151"/>
      <c r="T111" s="151"/>
      <c r="U111" s="151"/>
      <c r="V111" s="151"/>
      <c r="W111" s="151"/>
      <c r="X111" s="151"/>
      <c r="Y111" s="151"/>
      <c r="Z111" s="151"/>
    </row>
    <row r="112">
      <c r="A112" s="151"/>
      <c r="B112" s="151"/>
      <c r="C112" s="179"/>
      <c r="D112" s="180"/>
      <c r="E112" s="151"/>
      <c r="F112" s="151"/>
      <c r="G112" s="151"/>
      <c r="H112" s="151"/>
      <c r="I112" s="151"/>
      <c r="J112" s="151"/>
      <c r="K112" s="151"/>
      <c r="L112" s="151"/>
      <c r="M112" s="151"/>
      <c r="N112" s="151"/>
      <c r="O112" s="151"/>
      <c r="P112" s="151"/>
      <c r="Q112" s="151"/>
      <c r="R112" s="151"/>
      <c r="S112" s="151"/>
      <c r="T112" s="151"/>
      <c r="U112" s="151"/>
      <c r="V112" s="151"/>
      <c r="W112" s="151"/>
      <c r="X112" s="151"/>
      <c r="Y112" s="151"/>
      <c r="Z112" s="151"/>
    </row>
    <row r="113">
      <c r="A113" s="151"/>
      <c r="B113" s="151"/>
      <c r="C113" s="179"/>
      <c r="D113" s="180"/>
      <c r="E113" s="151"/>
      <c r="F113" s="151"/>
      <c r="G113" s="151"/>
      <c r="H113" s="151"/>
      <c r="I113" s="151"/>
      <c r="J113" s="151"/>
      <c r="K113" s="151"/>
      <c r="L113" s="151"/>
      <c r="M113" s="151"/>
      <c r="N113" s="151"/>
      <c r="O113" s="151"/>
      <c r="P113" s="151"/>
      <c r="Q113" s="151"/>
      <c r="R113" s="151"/>
      <c r="S113" s="151"/>
      <c r="T113" s="151"/>
      <c r="U113" s="151"/>
      <c r="V113" s="151"/>
      <c r="W113" s="151"/>
      <c r="X113" s="151"/>
      <c r="Y113" s="151"/>
      <c r="Z113" s="151"/>
    </row>
    <row r="114">
      <c r="A114" s="151"/>
      <c r="B114" s="151"/>
      <c r="C114" s="179"/>
      <c r="D114" s="180"/>
      <c r="E114" s="151"/>
      <c r="F114" s="151"/>
      <c r="G114" s="151"/>
      <c r="H114" s="151"/>
      <c r="I114" s="151"/>
      <c r="J114" s="151"/>
      <c r="K114" s="151"/>
      <c r="L114" s="151"/>
      <c r="M114" s="151"/>
      <c r="N114" s="151"/>
      <c r="O114" s="151"/>
      <c r="P114" s="151"/>
      <c r="Q114" s="151"/>
      <c r="R114" s="151"/>
      <c r="S114" s="151"/>
      <c r="T114" s="151"/>
      <c r="U114" s="151"/>
      <c r="V114" s="151"/>
      <c r="W114" s="151"/>
      <c r="X114" s="151"/>
      <c r="Y114" s="151"/>
      <c r="Z114" s="151"/>
    </row>
    <row r="115">
      <c r="A115" s="151"/>
      <c r="B115" s="151"/>
      <c r="C115" s="179"/>
      <c r="D115" s="180"/>
      <c r="E115" s="151"/>
      <c r="F115" s="151"/>
      <c r="G115" s="151"/>
      <c r="H115" s="151"/>
      <c r="I115" s="151"/>
      <c r="J115" s="151"/>
      <c r="K115" s="151"/>
      <c r="L115" s="151"/>
      <c r="M115" s="151"/>
      <c r="N115" s="151"/>
      <c r="O115" s="151"/>
      <c r="P115" s="151"/>
      <c r="Q115" s="151"/>
      <c r="R115" s="151"/>
      <c r="S115" s="151"/>
      <c r="T115" s="151"/>
      <c r="U115" s="151"/>
      <c r="V115" s="151"/>
      <c r="W115" s="151"/>
      <c r="X115" s="151"/>
      <c r="Y115" s="151"/>
      <c r="Z115" s="151"/>
    </row>
    <row r="116">
      <c r="A116" s="151"/>
      <c r="B116" s="151"/>
      <c r="C116" s="179"/>
      <c r="D116" s="180"/>
      <c r="E116" s="151"/>
      <c r="F116" s="151"/>
      <c r="G116" s="151"/>
      <c r="H116" s="151"/>
      <c r="I116" s="151"/>
      <c r="J116" s="151"/>
      <c r="K116" s="151"/>
      <c r="L116" s="151"/>
      <c r="M116" s="151"/>
      <c r="N116" s="151"/>
      <c r="O116" s="151"/>
      <c r="P116" s="151"/>
      <c r="Q116" s="151"/>
      <c r="R116" s="151"/>
      <c r="S116" s="151"/>
      <c r="T116" s="151"/>
      <c r="U116" s="151"/>
      <c r="V116" s="151"/>
      <c r="W116" s="151"/>
      <c r="X116" s="151"/>
      <c r="Y116" s="151"/>
      <c r="Z116" s="151"/>
    </row>
    <row r="117">
      <c r="A117" s="151"/>
      <c r="B117" s="151"/>
      <c r="C117" s="179"/>
      <c r="D117" s="180"/>
      <c r="E117" s="151"/>
      <c r="F117" s="151"/>
      <c r="G117" s="151"/>
      <c r="H117" s="151"/>
      <c r="I117" s="151"/>
      <c r="J117" s="151"/>
      <c r="K117" s="151"/>
      <c r="L117" s="151"/>
      <c r="M117" s="151"/>
      <c r="N117" s="151"/>
      <c r="O117" s="151"/>
      <c r="P117" s="151"/>
      <c r="Q117" s="151"/>
      <c r="R117" s="151"/>
      <c r="S117" s="151"/>
      <c r="T117" s="151"/>
      <c r="U117" s="151"/>
      <c r="V117" s="151"/>
      <c r="W117" s="151"/>
      <c r="X117" s="151"/>
      <c r="Y117" s="151"/>
      <c r="Z117" s="151"/>
    </row>
    <row r="118">
      <c r="A118" s="151"/>
      <c r="B118" s="151"/>
      <c r="C118" s="179"/>
      <c r="D118" s="180"/>
      <c r="E118" s="151"/>
      <c r="F118" s="151"/>
      <c r="G118" s="151"/>
      <c r="H118" s="151"/>
      <c r="I118" s="151"/>
      <c r="J118" s="151"/>
      <c r="K118" s="151"/>
      <c r="L118" s="151"/>
      <c r="M118" s="151"/>
      <c r="N118" s="151"/>
      <c r="O118" s="151"/>
      <c r="P118" s="151"/>
      <c r="Q118" s="151"/>
      <c r="R118" s="151"/>
      <c r="S118" s="151"/>
      <c r="T118" s="151"/>
      <c r="U118" s="151"/>
      <c r="V118" s="151"/>
      <c r="W118" s="151"/>
      <c r="X118" s="151"/>
      <c r="Y118" s="151"/>
      <c r="Z118" s="151"/>
    </row>
    <row r="119">
      <c r="A119" s="151"/>
      <c r="B119" s="151"/>
      <c r="C119" s="179"/>
      <c r="D119" s="180"/>
      <c r="E119" s="151"/>
      <c r="F119" s="151"/>
      <c r="G119" s="151"/>
      <c r="H119" s="151"/>
      <c r="I119" s="151"/>
      <c r="J119" s="151"/>
      <c r="K119" s="151"/>
      <c r="L119" s="151"/>
      <c r="M119" s="151"/>
      <c r="N119" s="151"/>
      <c r="O119" s="151"/>
      <c r="P119" s="151"/>
      <c r="Q119" s="151"/>
      <c r="R119" s="151"/>
      <c r="S119" s="151"/>
      <c r="T119" s="151"/>
      <c r="U119" s="151"/>
      <c r="V119" s="151"/>
      <c r="W119" s="151"/>
      <c r="X119" s="151"/>
      <c r="Y119" s="151"/>
      <c r="Z119" s="151"/>
    </row>
    <row r="120">
      <c r="A120" s="151"/>
      <c r="B120" s="151"/>
      <c r="C120" s="179"/>
      <c r="D120" s="180"/>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1"/>
    </row>
    <row r="121">
      <c r="A121" s="151"/>
      <c r="B121" s="151"/>
      <c r="C121" s="179"/>
      <c r="D121" s="180"/>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51"/>
    </row>
    <row r="122">
      <c r="A122" s="151"/>
      <c r="B122" s="151"/>
      <c r="C122" s="179"/>
      <c r="D122" s="180"/>
      <c r="E122" s="151"/>
      <c r="F122" s="151"/>
      <c r="G122" s="151"/>
      <c r="H122" s="151"/>
      <c r="I122" s="151"/>
      <c r="J122" s="151"/>
      <c r="K122" s="151"/>
      <c r="L122" s="151"/>
      <c r="M122" s="151"/>
      <c r="N122" s="151"/>
      <c r="O122" s="151"/>
      <c r="P122" s="151"/>
      <c r="Q122" s="151"/>
      <c r="R122" s="151"/>
      <c r="S122" s="151"/>
      <c r="T122" s="151"/>
      <c r="U122" s="151"/>
      <c r="V122" s="151"/>
      <c r="W122" s="151"/>
      <c r="X122" s="151"/>
      <c r="Y122" s="151"/>
      <c r="Z122" s="151"/>
    </row>
    <row r="123">
      <c r="A123" s="151"/>
      <c r="B123" s="151"/>
      <c r="C123" s="179"/>
      <c r="D123" s="180"/>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51"/>
    </row>
    <row r="124">
      <c r="A124" s="151"/>
      <c r="B124" s="151"/>
      <c r="C124" s="179"/>
      <c r="D124" s="180"/>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51"/>
    </row>
    <row r="125">
      <c r="A125" s="151"/>
      <c r="B125" s="151"/>
      <c r="C125" s="179"/>
      <c r="D125" s="180"/>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51"/>
    </row>
    <row r="126">
      <c r="A126" s="151"/>
      <c r="B126" s="151"/>
      <c r="C126" s="179"/>
      <c r="D126" s="180"/>
      <c r="E126" s="151"/>
      <c r="F126" s="151"/>
      <c r="G126" s="151"/>
      <c r="H126" s="151"/>
      <c r="I126" s="151"/>
      <c r="J126" s="151"/>
      <c r="K126" s="151"/>
      <c r="L126" s="151"/>
      <c r="M126" s="151"/>
      <c r="N126" s="151"/>
      <c r="O126" s="151"/>
      <c r="P126" s="151"/>
      <c r="Q126" s="151"/>
      <c r="R126" s="151"/>
      <c r="S126" s="151"/>
      <c r="T126" s="151"/>
      <c r="U126" s="151"/>
      <c r="V126" s="151"/>
      <c r="W126" s="151"/>
      <c r="X126" s="151"/>
      <c r="Y126" s="151"/>
      <c r="Z126" s="151"/>
    </row>
    <row r="127">
      <c r="A127" s="151"/>
      <c r="B127" s="151"/>
      <c r="C127" s="179"/>
      <c r="D127" s="180"/>
      <c r="E127" s="151"/>
      <c r="F127" s="151"/>
      <c r="G127" s="151"/>
      <c r="H127" s="151"/>
      <c r="I127" s="151"/>
      <c r="J127" s="151"/>
      <c r="K127" s="151"/>
      <c r="L127" s="151"/>
      <c r="M127" s="151"/>
      <c r="N127" s="151"/>
      <c r="O127" s="151"/>
      <c r="P127" s="151"/>
      <c r="Q127" s="151"/>
      <c r="R127" s="151"/>
      <c r="S127" s="151"/>
      <c r="T127" s="151"/>
      <c r="U127" s="151"/>
      <c r="V127" s="151"/>
      <c r="W127" s="151"/>
      <c r="X127" s="151"/>
      <c r="Y127" s="151"/>
      <c r="Z127" s="151"/>
    </row>
    <row r="128">
      <c r="A128" s="151"/>
      <c r="B128" s="151"/>
      <c r="C128" s="179"/>
      <c r="D128" s="180"/>
      <c r="E128" s="151"/>
      <c r="F128" s="151"/>
      <c r="G128" s="151"/>
      <c r="H128" s="151"/>
      <c r="I128" s="151"/>
      <c r="J128" s="151"/>
      <c r="K128" s="151"/>
      <c r="L128" s="151"/>
      <c r="M128" s="151"/>
      <c r="N128" s="151"/>
      <c r="O128" s="151"/>
      <c r="P128" s="151"/>
      <c r="Q128" s="151"/>
      <c r="R128" s="151"/>
      <c r="S128" s="151"/>
      <c r="T128" s="151"/>
      <c r="U128" s="151"/>
      <c r="V128" s="151"/>
      <c r="W128" s="151"/>
      <c r="X128" s="151"/>
      <c r="Y128" s="151"/>
      <c r="Z128" s="151"/>
    </row>
    <row r="129">
      <c r="A129" s="151"/>
      <c r="B129" s="151"/>
      <c r="C129" s="179"/>
      <c r="D129" s="180"/>
      <c r="E129" s="151"/>
      <c r="F129" s="151"/>
      <c r="G129" s="151"/>
      <c r="H129" s="151"/>
      <c r="I129" s="151"/>
      <c r="J129" s="151"/>
      <c r="K129" s="151"/>
      <c r="L129" s="151"/>
      <c r="M129" s="151"/>
      <c r="N129" s="151"/>
      <c r="O129" s="151"/>
      <c r="P129" s="151"/>
      <c r="Q129" s="151"/>
      <c r="R129" s="151"/>
      <c r="S129" s="151"/>
      <c r="T129" s="151"/>
      <c r="U129" s="151"/>
      <c r="V129" s="151"/>
      <c r="W129" s="151"/>
      <c r="X129" s="151"/>
      <c r="Y129" s="151"/>
      <c r="Z129" s="151"/>
    </row>
    <row r="130">
      <c r="A130" s="151"/>
      <c r="B130" s="151"/>
      <c r="C130" s="179"/>
      <c r="D130" s="180"/>
      <c r="E130" s="151"/>
      <c r="F130" s="151"/>
      <c r="G130" s="151"/>
      <c r="H130" s="151"/>
      <c r="I130" s="151"/>
      <c r="J130" s="151"/>
      <c r="K130" s="151"/>
      <c r="L130" s="151"/>
      <c r="M130" s="151"/>
      <c r="N130" s="151"/>
      <c r="O130" s="151"/>
      <c r="P130" s="151"/>
      <c r="Q130" s="151"/>
      <c r="R130" s="151"/>
      <c r="S130" s="151"/>
      <c r="T130" s="151"/>
      <c r="U130" s="151"/>
      <c r="V130" s="151"/>
      <c r="W130" s="151"/>
      <c r="X130" s="151"/>
      <c r="Y130" s="151"/>
      <c r="Z130" s="151"/>
    </row>
    <row r="131">
      <c r="A131" s="151"/>
      <c r="B131" s="151"/>
      <c r="C131" s="179"/>
      <c r="D131" s="180"/>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51"/>
    </row>
    <row r="132">
      <c r="A132" s="151"/>
      <c r="B132" s="151"/>
      <c r="C132" s="179"/>
      <c r="D132" s="180"/>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51"/>
    </row>
    <row r="133">
      <c r="A133" s="151"/>
      <c r="B133" s="151"/>
      <c r="C133" s="179"/>
      <c r="D133" s="180"/>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row>
    <row r="134">
      <c r="A134" s="151"/>
      <c r="B134" s="151"/>
      <c r="C134" s="179"/>
      <c r="D134" s="180"/>
      <c r="E134" s="151"/>
      <c r="F134" s="151"/>
      <c r="G134" s="151"/>
      <c r="H134" s="151"/>
      <c r="I134" s="151"/>
      <c r="J134" s="151"/>
      <c r="K134" s="151"/>
      <c r="L134" s="151"/>
      <c r="M134" s="151"/>
      <c r="N134" s="151"/>
      <c r="O134" s="151"/>
      <c r="P134" s="151"/>
      <c r="Q134" s="151"/>
      <c r="R134" s="151"/>
      <c r="S134" s="151"/>
      <c r="T134" s="151"/>
      <c r="U134" s="151"/>
      <c r="V134" s="151"/>
      <c r="W134" s="151"/>
      <c r="X134" s="151"/>
      <c r="Y134" s="151"/>
      <c r="Z134" s="151"/>
    </row>
    <row r="135">
      <c r="A135" s="151"/>
      <c r="B135" s="151"/>
      <c r="C135" s="179"/>
      <c r="D135" s="180"/>
      <c r="E135" s="151"/>
      <c r="F135" s="151"/>
      <c r="G135" s="151"/>
      <c r="H135" s="151"/>
      <c r="I135" s="151"/>
      <c r="J135" s="151"/>
      <c r="K135" s="151"/>
      <c r="L135" s="151"/>
      <c r="M135" s="151"/>
      <c r="N135" s="151"/>
      <c r="O135" s="151"/>
      <c r="P135" s="151"/>
      <c r="Q135" s="151"/>
      <c r="R135" s="151"/>
      <c r="S135" s="151"/>
      <c r="T135" s="151"/>
      <c r="U135" s="151"/>
      <c r="V135" s="151"/>
      <c r="W135" s="151"/>
      <c r="X135" s="151"/>
      <c r="Y135" s="151"/>
      <c r="Z135" s="151"/>
    </row>
    <row r="136">
      <c r="A136" s="151"/>
      <c r="B136" s="151"/>
      <c r="C136" s="179"/>
      <c r="D136" s="180"/>
      <c r="E136" s="151"/>
      <c r="F136" s="151"/>
      <c r="G136" s="151"/>
      <c r="H136" s="151"/>
      <c r="I136" s="151"/>
      <c r="J136" s="151"/>
      <c r="K136" s="151"/>
      <c r="L136" s="151"/>
      <c r="M136" s="151"/>
      <c r="N136" s="151"/>
      <c r="O136" s="151"/>
      <c r="P136" s="151"/>
      <c r="Q136" s="151"/>
      <c r="R136" s="151"/>
      <c r="S136" s="151"/>
      <c r="T136" s="151"/>
      <c r="U136" s="151"/>
      <c r="V136" s="151"/>
      <c r="W136" s="151"/>
      <c r="X136" s="151"/>
      <c r="Y136" s="151"/>
      <c r="Z136" s="151"/>
    </row>
    <row r="137">
      <c r="A137" s="151"/>
      <c r="B137" s="151"/>
      <c r="C137" s="179"/>
      <c r="D137" s="180"/>
      <c r="E137" s="151"/>
      <c r="F137" s="151"/>
      <c r="G137" s="151"/>
      <c r="H137" s="151"/>
      <c r="I137" s="151"/>
      <c r="J137" s="151"/>
      <c r="K137" s="151"/>
      <c r="L137" s="151"/>
      <c r="M137" s="151"/>
      <c r="N137" s="151"/>
      <c r="O137" s="151"/>
      <c r="P137" s="151"/>
      <c r="Q137" s="151"/>
      <c r="R137" s="151"/>
      <c r="S137" s="151"/>
      <c r="T137" s="151"/>
      <c r="U137" s="151"/>
      <c r="V137" s="151"/>
      <c r="W137" s="151"/>
      <c r="X137" s="151"/>
      <c r="Y137" s="151"/>
      <c r="Z137" s="151"/>
    </row>
    <row r="138">
      <c r="A138" s="151"/>
      <c r="B138" s="151"/>
      <c r="C138" s="179"/>
      <c r="D138" s="180"/>
      <c r="E138" s="151"/>
      <c r="F138" s="151"/>
      <c r="G138" s="151"/>
      <c r="H138" s="151"/>
      <c r="I138" s="151"/>
      <c r="J138" s="151"/>
      <c r="K138" s="151"/>
      <c r="L138" s="151"/>
      <c r="M138" s="151"/>
      <c r="N138" s="151"/>
      <c r="O138" s="151"/>
      <c r="P138" s="151"/>
      <c r="Q138" s="151"/>
      <c r="R138" s="151"/>
      <c r="S138" s="151"/>
      <c r="T138" s="151"/>
      <c r="U138" s="151"/>
      <c r="V138" s="151"/>
      <c r="W138" s="151"/>
      <c r="X138" s="151"/>
      <c r="Y138" s="151"/>
      <c r="Z138" s="151"/>
    </row>
    <row r="139">
      <c r="A139" s="151"/>
      <c r="B139" s="151"/>
      <c r="C139" s="179"/>
      <c r="D139" s="180"/>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row>
    <row r="140">
      <c r="A140" s="151"/>
      <c r="B140" s="151"/>
      <c r="C140" s="179"/>
      <c r="D140" s="180"/>
      <c r="E140" s="151"/>
      <c r="F140" s="151"/>
      <c r="G140" s="151"/>
      <c r="H140" s="151"/>
      <c r="I140" s="151"/>
      <c r="J140" s="151"/>
      <c r="K140" s="151"/>
      <c r="L140" s="151"/>
      <c r="M140" s="151"/>
      <c r="N140" s="151"/>
      <c r="O140" s="151"/>
      <c r="P140" s="151"/>
      <c r="Q140" s="151"/>
      <c r="R140" s="151"/>
      <c r="S140" s="151"/>
      <c r="T140" s="151"/>
      <c r="U140" s="151"/>
      <c r="V140" s="151"/>
      <c r="W140" s="151"/>
      <c r="X140" s="151"/>
      <c r="Y140" s="151"/>
      <c r="Z140" s="151"/>
    </row>
    <row r="141">
      <c r="A141" s="151"/>
      <c r="B141" s="151"/>
      <c r="C141" s="179"/>
      <c r="D141" s="180"/>
      <c r="E141" s="151"/>
      <c r="F141" s="151"/>
      <c r="G141" s="151"/>
      <c r="H141" s="151"/>
      <c r="I141" s="151"/>
      <c r="J141" s="151"/>
      <c r="K141" s="151"/>
      <c r="L141" s="151"/>
      <c r="M141" s="151"/>
      <c r="N141" s="151"/>
      <c r="O141" s="151"/>
      <c r="P141" s="151"/>
      <c r="Q141" s="151"/>
      <c r="R141" s="151"/>
      <c r="S141" s="151"/>
      <c r="T141" s="151"/>
      <c r="U141" s="151"/>
      <c r="V141" s="151"/>
      <c r="W141" s="151"/>
      <c r="X141" s="151"/>
      <c r="Y141" s="151"/>
      <c r="Z141" s="151"/>
    </row>
    <row r="142">
      <c r="A142" s="151"/>
      <c r="B142" s="151"/>
      <c r="C142" s="179"/>
      <c r="D142" s="180"/>
      <c r="E142" s="151"/>
      <c r="F142" s="151"/>
      <c r="G142" s="151"/>
      <c r="H142" s="151"/>
      <c r="I142" s="151"/>
      <c r="J142" s="151"/>
      <c r="K142" s="151"/>
      <c r="L142" s="151"/>
      <c r="M142" s="151"/>
      <c r="N142" s="151"/>
      <c r="O142" s="151"/>
      <c r="P142" s="151"/>
      <c r="Q142" s="151"/>
      <c r="R142" s="151"/>
      <c r="S142" s="151"/>
      <c r="T142" s="151"/>
      <c r="U142" s="151"/>
      <c r="V142" s="151"/>
      <c r="W142" s="151"/>
      <c r="X142" s="151"/>
      <c r="Y142" s="151"/>
      <c r="Z142" s="151"/>
    </row>
    <row r="143">
      <c r="A143" s="151"/>
      <c r="B143" s="151"/>
      <c r="C143" s="179"/>
      <c r="D143" s="180"/>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51"/>
    </row>
    <row r="144">
      <c r="A144" s="151"/>
      <c r="B144" s="151"/>
      <c r="C144" s="179"/>
      <c r="D144" s="180"/>
      <c r="E144" s="151"/>
      <c r="F144" s="151"/>
      <c r="G144" s="151"/>
      <c r="H144" s="151"/>
      <c r="I144" s="151"/>
      <c r="J144" s="151"/>
      <c r="K144" s="151"/>
      <c r="L144" s="151"/>
      <c r="M144" s="151"/>
      <c r="N144" s="151"/>
      <c r="O144" s="151"/>
      <c r="P144" s="151"/>
      <c r="Q144" s="151"/>
      <c r="R144" s="151"/>
      <c r="S144" s="151"/>
      <c r="T144" s="151"/>
      <c r="U144" s="151"/>
      <c r="V144" s="151"/>
      <c r="W144" s="151"/>
      <c r="X144" s="151"/>
      <c r="Y144" s="151"/>
      <c r="Z144" s="151"/>
    </row>
    <row r="145">
      <c r="A145" s="151"/>
      <c r="B145" s="151"/>
      <c r="C145" s="179"/>
      <c r="D145" s="180"/>
      <c r="E145" s="151"/>
      <c r="F145" s="151"/>
      <c r="G145" s="151"/>
      <c r="H145" s="151"/>
      <c r="I145" s="151"/>
      <c r="J145" s="151"/>
      <c r="K145" s="151"/>
      <c r="L145" s="151"/>
      <c r="M145" s="151"/>
      <c r="N145" s="151"/>
      <c r="O145" s="151"/>
      <c r="P145" s="151"/>
      <c r="Q145" s="151"/>
      <c r="R145" s="151"/>
      <c r="S145" s="151"/>
      <c r="T145" s="151"/>
      <c r="U145" s="151"/>
      <c r="V145" s="151"/>
      <c r="W145" s="151"/>
      <c r="X145" s="151"/>
      <c r="Y145" s="151"/>
      <c r="Z145" s="151"/>
    </row>
    <row r="146">
      <c r="A146" s="151"/>
      <c r="B146" s="151"/>
      <c r="C146" s="179"/>
      <c r="D146" s="180"/>
      <c r="E146" s="151"/>
      <c r="F146" s="151"/>
      <c r="G146" s="151"/>
      <c r="H146" s="151"/>
      <c r="I146" s="151"/>
      <c r="J146" s="151"/>
      <c r="K146" s="151"/>
      <c r="L146" s="151"/>
      <c r="M146" s="151"/>
      <c r="N146" s="151"/>
      <c r="O146" s="151"/>
      <c r="P146" s="151"/>
      <c r="Q146" s="151"/>
      <c r="R146" s="151"/>
      <c r="S146" s="151"/>
      <c r="T146" s="151"/>
      <c r="U146" s="151"/>
      <c r="V146" s="151"/>
      <c r="W146" s="151"/>
      <c r="X146" s="151"/>
      <c r="Y146" s="151"/>
      <c r="Z146" s="151"/>
    </row>
    <row r="147">
      <c r="A147" s="151"/>
      <c r="B147" s="151"/>
      <c r="C147" s="179"/>
      <c r="D147" s="180"/>
      <c r="E147" s="151"/>
      <c r="F147" s="151"/>
      <c r="G147" s="151"/>
      <c r="H147" s="151"/>
      <c r="I147" s="151"/>
      <c r="J147" s="151"/>
      <c r="K147" s="151"/>
      <c r="L147" s="151"/>
      <c r="M147" s="151"/>
      <c r="N147" s="151"/>
      <c r="O147" s="151"/>
      <c r="P147" s="151"/>
      <c r="Q147" s="151"/>
      <c r="R147" s="151"/>
      <c r="S147" s="151"/>
      <c r="T147" s="151"/>
      <c r="U147" s="151"/>
      <c r="V147" s="151"/>
      <c r="W147" s="151"/>
      <c r="X147" s="151"/>
      <c r="Y147" s="151"/>
      <c r="Z147" s="151"/>
    </row>
    <row r="148">
      <c r="A148" s="151"/>
      <c r="B148" s="151"/>
      <c r="C148" s="179"/>
      <c r="D148" s="180"/>
      <c r="E148" s="151"/>
      <c r="F148" s="151"/>
      <c r="G148" s="151"/>
      <c r="H148" s="151"/>
      <c r="I148" s="151"/>
      <c r="J148" s="151"/>
      <c r="K148" s="151"/>
      <c r="L148" s="151"/>
      <c r="M148" s="151"/>
      <c r="N148" s="151"/>
      <c r="O148" s="151"/>
      <c r="P148" s="151"/>
      <c r="Q148" s="151"/>
      <c r="R148" s="151"/>
      <c r="S148" s="151"/>
      <c r="T148" s="151"/>
      <c r="U148" s="151"/>
      <c r="V148" s="151"/>
      <c r="W148" s="151"/>
      <c r="X148" s="151"/>
      <c r="Y148" s="151"/>
      <c r="Z148" s="151"/>
    </row>
    <row r="149">
      <c r="A149" s="151"/>
      <c r="B149" s="151"/>
      <c r="C149" s="179"/>
      <c r="D149" s="180"/>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1"/>
    </row>
    <row r="150">
      <c r="A150" s="151"/>
      <c r="B150" s="151"/>
      <c r="C150" s="179"/>
      <c r="D150" s="180"/>
      <c r="E150" s="151"/>
      <c r="F150" s="151"/>
      <c r="G150" s="151"/>
      <c r="H150" s="151"/>
      <c r="I150" s="151"/>
      <c r="J150" s="151"/>
      <c r="K150" s="151"/>
      <c r="L150" s="151"/>
      <c r="M150" s="151"/>
      <c r="N150" s="151"/>
      <c r="O150" s="151"/>
      <c r="P150" s="151"/>
      <c r="Q150" s="151"/>
      <c r="R150" s="151"/>
      <c r="S150" s="151"/>
      <c r="T150" s="151"/>
      <c r="U150" s="151"/>
      <c r="V150" s="151"/>
      <c r="W150" s="151"/>
      <c r="X150" s="151"/>
      <c r="Y150" s="151"/>
      <c r="Z150" s="151"/>
    </row>
    <row r="151">
      <c r="A151" s="151"/>
      <c r="B151" s="151"/>
      <c r="C151" s="179"/>
      <c r="D151" s="180"/>
      <c r="E151" s="151"/>
      <c r="F151" s="151"/>
      <c r="G151" s="151"/>
      <c r="H151" s="151"/>
      <c r="I151" s="151"/>
      <c r="J151" s="151"/>
      <c r="K151" s="151"/>
      <c r="L151" s="151"/>
      <c r="M151" s="151"/>
      <c r="N151" s="151"/>
      <c r="O151" s="151"/>
      <c r="P151" s="151"/>
      <c r="Q151" s="151"/>
      <c r="R151" s="151"/>
      <c r="S151" s="151"/>
      <c r="T151" s="151"/>
      <c r="U151" s="151"/>
      <c r="V151" s="151"/>
      <c r="W151" s="151"/>
      <c r="X151" s="151"/>
      <c r="Y151" s="151"/>
      <c r="Z151" s="151"/>
    </row>
    <row r="152">
      <c r="A152" s="151"/>
      <c r="B152" s="151"/>
      <c r="C152" s="179"/>
      <c r="D152" s="180"/>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row>
    <row r="153">
      <c r="A153" s="151"/>
      <c r="B153" s="151"/>
      <c r="C153" s="179"/>
      <c r="D153" s="180"/>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row>
    <row r="154">
      <c r="A154" s="151"/>
      <c r="B154" s="151"/>
      <c r="C154" s="179"/>
      <c r="D154" s="180"/>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row>
    <row r="155">
      <c r="A155" s="151"/>
      <c r="B155" s="151"/>
      <c r="C155" s="179"/>
      <c r="D155" s="180"/>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row>
    <row r="156">
      <c r="A156" s="151"/>
      <c r="B156" s="151"/>
      <c r="C156" s="179"/>
      <c r="D156" s="180"/>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row>
    <row r="157">
      <c r="A157" s="151"/>
      <c r="B157" s="151"/>
      <c r="C157" s="179"/>
      <c r="D157" s="180"/>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51"/>
    </row>
    <row r="158">
      <c r="A158" s="151"/>
      <c r="B158" s="151"/>
      <c r="C158" s="179"/>
      <c r="D158" s="180"/>
      <c r="E158" s="151"/>
      <c r="F158" s="151"/>
      <c r="G158" s="151"/>
      <c r="H158" s="151"/>
      <c r="I158" s="151"/>
      <c r="J158" s="151"/>
      <c r="K158" s="151"/>
      <c r="L158" s="151"/>
      <c r="M158" s="151"/>
      <c r="N158" s="151"/>
      <c r="O158" s="151"/>
      <c r="P158" s="151"/>
      <c r="Q158" s="151"/>
      <c r="R158" s="151"/>
      <c r="S158" s="151"/>
      <c r="T158" s="151"/>
      <c r="U158" s="151"/>
      <c r="V158" s="151"/>
      <c r="W158" s="151"/>
      <c r="X158" s="151"/>
      <c r="Y158" s="151"/>
      <c r="Z158" s="151"/>
    </row>
    <row r="159">
      <c r="A159" s="151"/>
      <c r="B159" s="151"/>
      <c r="C159" s="179"/>
      <c r="D159" s="180"/>
      <c r="E159" s="151"/>
      <c r="F159" s="151"/>
      <c r="G159" s="151"/>
      <c r="H159" s="151"/>
      <c r="I159" s="151"/>
      <c r="J159" s="151"/>
      <c r="K159" s="151"/>
      <c r="L159" s="151"/>
      <c r="M159" s="151"/>
      <c r="N159" s="151"/>
      <c r="O159" s="151"/>
      <c r="P159" s="151"/>
      <c r="Q159" s="151"/>
      <c r="R159" s="151"/>
      <c r="S159" s="151"/>
      <c r="T159" s="151"/>
      <c r="U159" s="151"/>
      <c r="V159" s="151"/>
      <c r="W159" s="151"/>
      <c r="X159" s="151"/>
      <c r="Y159" s="151"/>
      <c r="Z159" s="151"/>
    </row>
    <row r="160">
      <c r="A160" s="151"/>
      <c r="B160" s="151"/>
      <c r="C160" s="179"/>
      <c r="D160" s="180"/>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51"/>
    </row>
    <row r="161">
      <c r="A161" s="151"/>
      <c r="B161" s="151"/>
      <c r="C161" s="179"/>
      <c r="D161" s="180"/>
      <c r="E161" s="151"/>
      <c r="F161" s="151"/>
      <c r="G161" s="151"/>
      <c r="H161" s="151"/>
      <c r="I161" s="151"/>
      <c r="J161" s="151"/>
      <c r="K161" s="151"/>
      <c r="L161" s="151"/>
      <c r="M161" s="151"/>
      <c r="N161" s="151"/>
      <c r="O161" s="151"/>
      <c r="P161" s="151"/>
      <c r="Q161" s="151"/>
      <c r="R161" s="151"/>
      <c r="S161" s="151"/>
      <c r="T161" s="151"/>
      <c r="U161" s="151"/>
      <c r="V161" s="151"/>
      <c r="W161" s="151"/>
      <c r="X161" s="151"/>
      <c r="Y161" s="151"/>
      <c r="Z161" s="151"/>
    </row>
    <row r="162">
      <c r="A162" s="151"/>
      <c r="B162" s="151"/>
      <c r="C162" s="179"/>
      <c r="D162" s="180"/>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51"/>
    </row>
    <row r="163">
      <c r="A163" s="151"/>
      <c r="B163" s="151"/>
      <c r="C163" s="179"/>
      <c r="D163" s="180"/>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51"/>
    </row>
    <row r="164">
      <c r="A164" s="151"/>
      <c r="B164" s="151"/>
      <c r="C164" s="179"/>
      <c r="D164" s="180"/>
      <c r="E164" s="151"/>
      <c r="F164" s="151"/>
      <c r="G164" s="151"/>
      <c r="H164" s="151"/>
      <c r="I164" s="151"/>
      <c r="J164" s="151"/>
      <c r="K164" s="151"/>
      <c r="L164" s="151"/>
      <c r="M164" s="151"/>
      <c r="N164" s="151"/>
      <c r="O164" s="151"/>
      <c r="P164" s="151"/>
      <c r="Q164" s="151"/>
      <c r="R164" s="151"/>
      <c r="S164" s="151"/>
      <c r="T164" s="151"/>
      <c r="U164" s="151"/>
      <c r="V164" s="151"/>
      <c r="W164" s="151"/>
      <c r="X164" s="151"/>
      <c r="Y164" s="151"/>
      <c r="Z164" s="151"/>
    </row>
    <row r="165">
      <c r="A165" s="151"/>
      <c r="B165" s="151"/>
      <c r="C165" s="179"/>
      <c r="D165" s="180"/>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51"/>
    </row>
    <row r="166">
      <c r="A166" s="151"/>
      <c r="B166" s="151"/>
      <c r="C166" s="179"/>
      <c r="D166" s="180"/>
      <c r="E166" s="151"/>
      <c r="F166" s="151"/>
      <c r="G166" s="151"/>
      <c r="H166" s="151"/>
      <c r="I166" s="151"/>
      <c r="J166" s="151"/>
      <c r="K166" s="151"/>
      <c r="L166" s="151"/>
      <c r="M166" s="151"/>
      <c r="N166" s="151"/>
      <c r="O166" s="151"/>
      <c r="P166" s="151"/>
      <c r="Q166" s="151"/>
      <c r="R166" s="151"/>
      <c r="S166" s="151"/>
      <c r="T166" s="151"/>
      <c r="U166" s="151"/>
      <c r="V166" s="151"/>
      <c r="W166" s="151"/>
      <c r="X166" s="151"/>
      <c r="Y166" s="151"/>
      <c r="Z166" s="151"/>
    </row>
    <row r="167">
      <c r="A167" s="151"/>
      <c r="B167" s="151"/>
      <c r="C167" s="179"/>
      <c r="D167" s="180"/>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51"/>
    </row>
    <row r="168">
      <c r="A168" s="151"/>
      <c r="B168" s="151"/>
      <c r="C168" s="179"/>
      <c r="D168" s="180"/>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row>
    <row r="169">
      <c r="A169" s="151"/>
      <c r="B169" s="151"/>
      <c r="C169" s="179"/>
      <c r="D169" s="180"/>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51"/>
    </row>
    <row r="170">
      <c r="A170" s="151"/>
      <c r="B170" s="151"/>
      <c r="C170" s="179"/>
      <c r="D170" s="180"/>
      <c r="E170" s="151"/>
      <c r="F170" s="151"/>
      <c r="G170" s="151"/>
      <c r="H170" s="151"/>
      <c r="I170" s="151"/>
      <c r="J170" s="151"/>
      <c r="K170" s="151"/>
      <c r="L170" s="151"/>
      <c r="M170" s="151"/>
      <c r="N170" s="151"/>
      <c r="O170" s="151"/>
      <c r="P170" s="151"/>
      <c r="Q170" s="151"/>
      <c r="R170" s="151"/>
      <c r="S170" s="151"/>
      <c r="T170" s="151"/>
      <c r="U170" s="151"/>
      <c r="V170" s="151"/>
      <c r="W170" s="151"/>
      <c r="X170" s="151"/>
      <c r="Y170" s="151"/>
      <c r="Z170" s="151"/>
    </row>
    <row r="171">
      <c r="A171" s="151"/>
      <c r="B171" s="151"/>
      <c r="C171" s="179"/>
      <c r="D171" s="180"/>
      <c r="E171" s="151"/>
      <c r="F171" s="151"/>
      <c r="G171" s="151"/>
      <c r="H171" s="151"/>
      <c r="I171" s="151"/>
      <c r="J171" s="151"/>
      <c r="K171" s="151"/>
      <c r="L171" s="151"/>
      <c r="M171" s="151"/>
      <c r="N171" s="151"/>
      <c r="O171" s="151"/>
      <c r="P171" s="151"/>
      <c r="Q171" s="151"/>
      <c r="R171" s="151"/>
      <c r="S171" s="151"/>
      <c r="T171" s="151"/>
      <c r="U171" s="151"/>
      <c r="V171" s="151"/>
      <c r="W171" s="151"/>
      <c r="X171" s="151"/>
      <c r="Y171" s="151"/>
      <c r="Z171" s="151"/>
    </row>
    <row r="172">
      <c r="A172" s="151"/>
      <c r="B172" s="151"/>
      <c r="C172" s="179"/>
      <c r="D172" s="180"/>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51"/>
    </row>
    <row r="173">
      <c r="A173" s="151"/>
      <c r="B173" s="151"/>
      <c r="C173" s="179"/>
      <c r="D173" s="180"/>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51"/>
    </row>
    <row r="174">
      <c r="A174" s="151"/>
      <c r="B174" s="151"/>
      <c r="C174" s="179"/>
      <c r="D174" s="180"/>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51"/>
    </row>
    <row r="175">
      <c r="A175" s="151"/>
      <c r="B175" s="151"/>
      <c r="C175" s="179"/>
      <c r="D175" s="180"/>
      <c r="E175" s="151"/>
      <c r="F175" s="151"/>
      <c r="G175" s="151"/>
      <c r="H175" s="151"/>
      <c r="I175" s="151"/>
      <c r="J175" s="151"/>
      <c r="K175" s="151"/>
      <c r="L175" s="151"/>
      <c r="M175" s="151"/>
      <c r="N175" s="151"/>
      <c r="O175" s="151"/>
      <c r="P175" s="151"/>
      <c r="Q175" s="151"/>
      <c r="R175" s="151"/>
      <c r="S175" s="151"/>
      <c r="T175" s="151"/>
      <c r="U175" s="151"/>
      <c r="V175" s="151"/>
      <c r="W175" s="151"/>
      <c r="X175" s="151"/>
      <c r="Y175" s="151"/>
      <c r="Z175" s="151"/>
    </row>
    <row r="176">
      <c r="A176" s="151"/>
      <c r="B176" s="151"/>
      <c r="C176" s="179"/>
      <c r="D176" s="180"/>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row>
    <row r="177">
      <c r="A177" s="151"/>
      <c r="B177" s="151"/>
      <c r="C177" s="179"/>
      <c r="D177" s="180"/>
      <c r="E177" s="151"/>
      <c r="F177" s="151"/>
      <c r="G177" s="151"/>
      <c r="H177" s="151"/>
      <c r="I177" s="151"/>
      <c r="J177" s="151"/>
      <c r="K177" s="151"/>
      <c r="L177" s="151"/>
      <c r="M177" s="151"/>
      <c r="N177" s="151"/>
      <c r="O177" s="151"/>
      <c r="P177" s="151"/>
      <c r="Q177" s="151"/>
      <c r="R177" s="151"/>
      <c r="S177" s="151"/>
      <c r="T177" s="151"/>
      <c r="U177" s="151"/>
      <c r="V177" s="151"/>
      <c r="W177" s="151"/>
      <c r="X177" s="151"/>
      <c r="Y177" s="151"/>
      <c r="Z177" s="151"/>
    </row>
    <row r="178">
      <c r="A178" s="151"/>
      <c r="B178" s="151"/>
      <c r="C178" s="179"/>
      <c r="D178" s="180"/>
      <c r="E178" s="151"/>
      <c r="F178" s="151"/>
      <c r="G178" s="151"/>
      <c r="H178" s="151"/>
      <c r="I178" s="151"/>
      <c r="J178" s="151"/>
      <c r="K178" s="151"/>
      <c r="L178" s="151"/>
      <c r="M178" s="151"/>
      <c r="N178" s="151"/>
      <c r="O178" s="151"/>
      <c r="P178" s="151"/>
      <c r="Q178" s="151"/>
      <c r="R178" s="151"/>
      <c r="S178" s="151"/>
      <c r="T178" s="151"/>
      <c r="U178" s="151"/>
      <c r="V178" s="151"/>
      <c r="W178" s="151"/>
      <c r="X178" s="151"/>
      <c r="Y178" s="151"/>
      <c r="Z178" s="151"/>
    </row>
    <row r="179">
      <c r="A179" s="151"/>
      <c r="B179" s="151"/>
      <c r="C179" s="179"/>
      <c r="D179" s="180"/>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row>
    <row r="180">
      <c r="A180" s="151"/>
      <c r="B180" s="151"/>
      <c r="C180" s="179"/>
      <c r="D180" s="180"/>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row>
    <row r="181">
      <c r="A181" s="151"/>
      <c r="B181" s="151"/>
      <c r="C181" s="179"/>
      <c r="D181" s="180"/>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row>
    <row r="182">
      <c r="A182" s="151"/>
      <c r="B182" s="151"/>
      <c r="C182" s="179"/>
      <c r="D182" s="180"/>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51"/>
    </row>
    <row r="183">
      <c r="A183" s="151"/>
      <c r="B183" s="151"/>
      <c r="C183" s="179"/>
      <c r="D183" s="180"/>
      <c r="E183" s="151"/>
      <c r="F183" s="151"/>
      <c r="G183" s="151"/>
      <c r="H183" s="151"/>
      <c r="I183" s="151"/>
      <c r="J183" s="151"/>
      <c r="K183" s="151"/>
      <c r="L183" s="151"/>
      <c r="M183" s="151"/>
      <c r="N183" s="151"/>
      <c r="O183" s="151"/>
      <c r="P183" s="151"/>
      <c r="Q183" s="151"/>
      <c r="R183" s="151"/>
      <c r="S183" s="151"/>
      <c r="T183" s="151"/>
      <c r="U183" s="151"/>
      <c r="V183" s="151"/>
      <c r="W183" s="151"/>
      <c r="X183" s="151"/>
      <c r="Y183" s="151"/>
      <c r="Z183" s="151"/>
    </row>
    <row r="184">
      <c r="A184" s="151"/>
      <c r="B184" s="151"/>
      <c r="C184" s="179"/>
      <c r="D184" s="180"/>
      <c r="E184" s="151"/>
      <c r="F184" s="151"/>
      <c r="G184" s="151"/>
      <c r="H184" s="151"/>
      <c r="I184" s="151"/>
      <c r="J184" s="151"/>
      <c r="K184" s="151"/>
      <c r="L184" s="151"/>
      <c r="M184" s="151"/>
      <c r="N184" s="151"/>
      <c r="O184" s="151"/>
      <c r="P184" s="151"/>
      <c r="Q184" s="151"/>
      <c r="R184" s="151"/>
      <c r="S184" s="151"/>
      <c r="T184" s="151"/>
      <c r="U184" s="151"/>
      <c r="V184" s="151"/>
      <c r="W184" s="151"/>
      <c r="X184" s="151"/>
      <c r="Y184" s="151"/>
      <c r="Z184" s="151"/>
    </row>
    <row r="185">
      <c r="A185" s="151"/>
      <c r="B185" s="151"/>
      <c r="C185" s="179"/>
      <c r="D185" s="180"/>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51"/>
    </row>
    <row r="186">
      <c r="A186" s="151"/>
      <c r="B186" s="151"/>
      <c r="C186" s="179"/>
      <c r="D186" s="180"/>
      <c r="E186" s="151"/>
      <c r="F186" s="151"/>
      <c r="G186" s="151"/>
      <c r="H186" s="151"/>
      <c r="I186" s="151"/>
      <c r="J186" s="151"/>
      <c r="K186" s="151"/>
      <c r="L186" s="151"/>
      <c r="M186" s="151"/>
      <c r="N186" s="151"/>
      <c r="O186" s="151"/>
      <c r="P186" s="151"/>
      <c r="Q186" s="151"/>
      <c r="R186" s="151"/>
      <c r="S186" s="151"/>
      <c r="T186" s="151"/>
      <c r="U186" s="151"/>
      <c r="V186" s="151"/>
      <c r="W186" s="151"/>
      <c r="X186" s="151"/>
      <c r="Y186" s="151"/>
      <c r="Z186" s="151"/>
    </row>
    <row r="187">
      <c r="A187" s="151"/>
      <c r="B187" s="151"/>
      <c r="C187" s="179"/>
      <c r="D187" s="180"/>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51"/>
    </row>
    <row r="188">
      <c r="A188" s="151"/>
      <c r="B188" s="151"/>
      <c r="C188" s="179"/>
      <c r="D188" s="180"/>
      <c r="E188" s="151"/>
      <c r="F188" s="151"/>
      <c r="G188" s="151"/>
      <c r="H188" s="151"/>
      <c r="I188" s="151"/>
      <c r="J188" s="151"/>
      <c r="K188" s="151"/>
      <c r="L188" s="151"/>
      <c r="M188" s="151"/>
      <c r="N188" s="151"/>
      <c r="O188" s="151"/>
      <c r="P188" s="151"/>
      <c r="Q188" s="151"/>
      <c r="R188" s="151"/>
      <c r="S188" s="151"/>
      <c r="T188" s="151"/>
      <c r="U188" s="151"/>
      <c r="V188" s="151"/>
      <c r="W188" s="151"/>
      <c r="X188" s="151"/>
      <c r="Y188" s="151"/>
      <c r="Z188" s="151"/>
    </row>
    <row r="189">
      <c r="A189" s="151"/>
      <c r="B189" s="151"/>
      <c r="C189" s="179"/>
      <c r="D189" s="180"/>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51"/>
    </row>
    <row r="190">
      <c r="A190" s="151"/>
      <c r="B190" s="151"/>
      <c r="C190" s="179"/>
      <c r="D190" s="180"/>
      <c r="E190" s="151"/>
      <c r="F190" s="151"/>
      <c r="G190" s="151"/>
      <c r="H190" s="151"/>
      <c r="I190" s="151"/>
      <c r="J190" s="151"/>
      <c r="K190" s="151"/>
      <c r="L190" s="151"/>
      <c r="M190" s="151"/>
      <c r="N190" s="151"/>
      <c r="O190" s="151"/>
      <c r="P190" s="151"/>
      <c r="Q190" s="151"/>
      <c r="R190" s="151"/>
      <c r="S190" s="151"/>
      <c r="T190" s="151"/>
      <c r="U190" s="151"/>
      <c r="V190" s="151"/>
      <c r="W190" s="151"/>
      <c r="X190" s="151"/>
      <c r="Y190" s="151"/>
      <c r="Z190" s="151"/>
    </row>
    <row r="191">
      <c r="A191" s="151"/>
      <c r="B191" s="151"/>
      <c r="C191" s="179"/>
      <c r="D191" s="180"/>
      <c r="E191" s="151"/>
      <c r="F191" s="151"/>
      <c r="G191" s="151"/>
      <c r="H191" s="151"/>
      <c r="I191" s="151"/>
      <c r="J191" s="151"/>
      <c r="K191" s="151"/>
      <c r="L191" s="151"/>
      <c r="M191" s="151"/>
      <c r="N191" s="151"/>
      <c r="O191" s="151"/>
      <c r="P191" s="151"/>
      <c r="Q191" s="151"/>
      <c r="R191" s="151"/>
      <c r="S191" s="151"/>
      <c r="T191" s="151"/>
      <c r="U191" s="151"/>
      <c r="V191" s="151"/>
      <c r="W191" s="151"/>
      <c r="X191" s="151"/>
      <c r="Y191" s="151"/>
      <c r="Z191" s="151"/>
    </row>
    <row r="192">
      <c r="A192" s="151"/>
      <c r="B192" s="151"/>
      <c r="C192" s="179"/>
      <c r="D192" s="180"/>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51"/>
    </row>
    <row r="193">
      <c r="A193" s="151"/>
      <c r="B193" s="151"/>
      <c r="C193" s="179"/>
      <c r="D193" s="180"/>
      <c r="E193" s="151"/>
      <c r="F193" s="151"/>
      <c r="G193" s="151"/>
      <c r="H193" s="151"/>
      <c r="I193" s="151"/>
      <c r="J193" s="151"/>
      <c r="K193" s="151"/>
      <c r="L193" s="151"/>
      <c r="M193" s="151"/>
      <c r="N193" s="151"/>
      <c r="O193" s="151"/>
      <c r="P193" s="151"/>
      <c r="Q193" s="151"/>
      <c r="R193" s="151"/>
      <c r="S193" s="151"/>
      <c r="T193" s="151"/>
      <c r="U193" s="151"/>
      <c r="V193" s="151"/>
      <c r="W193" s="151"/>
      <c r="X193" s="151"/>
      <c r="Y193" s="151"/>
      <c r="Z193" s="151"/>
    </row>
    <row r="194">
      <c r="A194" s="151"/>
      <c r="B194" s="151"/>
      <c r="C194" s="179"/>
      <c r="D194" s="180"/>
      <c r="E194" s="151"/>
      <c r="F194" s="151"/>
      <c r="G194" s="151"/>
      <c r="H194" s="151"/>
      <c r="I194" s="151"/>
      <c r="J194" s="151"/>
      <c r="K194" s="151"/>
      <c r="L194" s="151"/>
      <c r="M194" s="151"/>
      <c r="N194" s="151"/>
      <c r="O194" s="151"/>
      <c r="P194" s="151"/>
      <c r="Q194" s="151"/>
      <c r="R194" s="151"/>
      <c r="S194" s="151"/>
      <c r="T194" s="151"/>
      <c r="U194" s="151"/>
      <c r="V194" s="151"/>
      <c r="W194" s="151"/>
      <c r="X194" s="151"/>
      <c r="Y194" s="151"/>
      <c r="Z194" s="151"/>
    </row>
    <row r="195">
      <c r="A195" s="151"/>
      <c r="B195" s="151"/>
      <c r="C195" s="179"/>
      <c r="D195" s="180"/>
      <c r="E195" s="151"/>
      <c r="F195" s="151"/>
      <c r="G195" s="151"/>
      <c r="H195" s="151"/>
      <c r="I195" s="151"/>
      <c r="J195" s="151"/>
      <c r="K195" s="151"/>
      <c r="L195" s="151"/>
      <c r="M195" s="151"/>
      <c r="N195" s="151"/>
      <c r="O195" s="151"/>
      <c r="P195" s="151"/>
      <c r="Q195" s="151"/>
      <c r="R195" s="151"/>
      <c r="S195" s="151"/>
      <c r="T195" s="151"/>
      <c r="U195" s="151"/>
      <c r="V195" s="151"/>
      <c r="W195" s="151"/>
      <c r="X195" s="151"/>
      <c r="Y195" s="151"/>
      <c r="Z195" s="151"/>
    </row>
    <row r="196">
      <c r="A196" s="151"/>
      <c r="B196" s="151"/>
      <c r="C196" s="179"/>
      <c r="D196" s="180"/>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51"/>
    </row>
    <row r="197">
      <c r="A197" s="151"/>
      <c r="B197" s="151"/>
      <c r="C197" s="179"/>
      <c r="D197" s="180"/>
      <c r="E197" s="151"/>
      <c r="F197" s="151"/>
      <c r="G197" s="151"/>
      <c r="H197" s="151"/>
      <c r="I197" s="151"/>
      <c r="J197" s="151"/>
      <c r="K197" s="151"/>
      <c r="L197" s="151"/>
      <c r="M197" s="151"/>
      <c r="N197" s="151"/>
      <c r="O197" s="151"/>
      <c r="P197" s="151"/>
      <c r="Q197" s="151"/>
      <c r="R197" s="151"/>
      <c r="S197" s="151"/>
      <c r="T197" s="151"/>
      <c r="U197" s="151"/>
      <c r="V197" s="151"/>
      <c r="W197" s="151"/>
      <c r="X197" s="151"/>
      <c r="Y197" s="151"/>
      <c r="Z197" s="151"/>
    </row>
    <row r="198">
      <c r="A198" s="151"/>
      <c r="B198" s="151"/>
      <c r="C198" s="179"/>
      <c r="D198" s="180"/>
      <c r="E198" s="151"/>
      <c r="F198" s="151"/>
      <c r="G198" s="151"/>
      <c r="H198" s="151"/>
      <c r="I198" s="151"/>
      <c r="J198" s="151"/>
      <c r="K198" s="151"/>
      <c r="L198" s="151"/>
      <c r="M198" s="151"/>
      <c r="N198" s="151"/>
      <c r="O198" s="151"/>
      <c r="P198" s="151"/>
      <c r="Q198" s="151"/>
      <c r="R198" s="151"/>
      <c r="S198" s="151"/>
      <c r="T198" s="151"/>
      <c r="U198" s="151"/>
      <c r="V198" s="151"/>
      <c r="W198" s="151"/>
      <c r="X198" s="151"/>
      <c r="Y198" s="151"/>
      <c r="Z198" s="151"/>
    </row>
    <row r="199">
      <c r="A199" s="151"/>
      <c r="B199" s="151"/>
      <c r="C199" s="179"/>
      <c r="D199" s="180"/>
      <c r="E199" s="151"/>
      <c r="F199" s="151"/>
      <c r="G199" s="151"/>
      <c r="H199" s="151"/>
      <c r="I199" s="151"/>
      <c r="J199" s="151"/>
      <c r="K199" s="151"/>
      <c r="L199" s="151"/>
      <c r="M199" s="151"/>
      <c r="N199" s="151"/>
      <c r="O199" s="151"/>
      <c r="P199" s="151"/>
      <c r="Q199" s="151"/>
      <c r="R199" s="151"/>
      <c r="S199" s="151"/>
      <c r="T199" s="151"/>
      <c r="U199" s="151"/>
      <c r="V199" s="151"/>
      <c r="W199" s="151"/>
      <c r="X199" s="151"/>
      <c r="Y199" s="151"/>
      <c r="Z199" s="151"/>
    </row>
    <row r="200">
      <c r="A200" s="151"/>
      <c r="B200" s="151"/>
      <c r="C200" s="179"/>
      <c r="D200" s="180"/>
      <c r="E200" s="151"/>
      <c r="F200" s="151"/>
      <c r="G200" s="151"/>
      <c r="H200" s="151"/>
      <c r="I200" s="151"/>
      <c r="J200" s="151"/>
      <c r="K200" s="151"/>
      <c r="L200" s="151"/>
      <c r="M200" s="151"/>
      <c r="N200" s="151"/>
      <c r="O200" s="151"/>
      <c r="P200" s="151"/>
      <c r="Q200" s="151"/>
      <c r="R200" s="151"/>
      <c r="S200" s="151"/>
      <c r="T200" s="151"/>
      <c r="U200" s="151"/>
      <c r="V200" s="151"/>
      <c r="W200" s="151"/>
      <c r="X200" s="151"/>
      <c r="Y200" s="151"/>
      <c r="Z200" s="151"/>
    </row>
    <row r="201">
      <c r="A201" s="151"/>
      <c r="B201" s="151"/>
      <c r="C201" s="179"/>
      <c r="D201" s="180"/>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51"/>
    </row>
    <row r="202">
      <c r="A202" s="151"/>
      <c r="B202" s="151"/>
      <c r="C202" s="179"/>
      <c r="D202" s="180"/>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51"/>
    </row>
    <row r="203">
      <c r="A203" s="151"/>
      <c r="B203" s="151"/>
      <c r="C203" s="179"/>
      <c r="D203" s="180"/>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row>
    <row r="204">
      <c r="A204" s="151"/>
      <c r="B204" s="151"/>
      <c r="C204" s="179"/>
      <c r="D204" s="180"/>
      <c r="E204" s="151"/>
      <c r="F204" s="151"/>
      <c r="G204" s="151"/>
      <c r="H204" s="151"/>
      <c r="I204" s="151"/>
      <c r="J204" s="151"/>
      <c r="K204" s="151"/>
      <c r="L204" s="151"/>
      <c r="M204" s="151"/>
      <c r="N204" s="151"/>
      <c r="O204" s="151"/>
      <c r="P204" s="151"/>
      <c r="Q204" s="151"/>
      <c r="R204" s="151"/>
      <c r="S204" s="151"/>
      <c r="T204" s="151"/>
      <c r="U204" s="151"/>
      <c r="V204" s="151"/>
      <c r="W204" s="151"/>
      <c r="X204" s="151"/>
      <c r="Y204" s="151"/>
      <c r="Z204" s="151"/>
    </row>
    <row r="205">
      <c r="A205" s="151"/>
      <c r="B205" s="151"/>
      <c r="C205" s="179"/>
      <c r="D205" s="180"/>
      <c r="E205" s="151"/>
      <c r="F205" s="151"/>
      <c r="G205" s="151"/>
      <c r="H205" s="151"/>
      <c r="I205" s="151"/>
      <c r="J205" s="151"/>
      <c r="K205" s="151"/>
      <c r="L205" s="151"/>
      <c r="M205" s="151"/>
      <c r="N205" s="151"/>
      <c r="O205" s="151"/>
      <c r="P205" s="151"/>
      <c r="Q205" s="151"/>
      <c r="R205" s="151"/>
      <c r="S205" s="151"/>
      <c r="T205" s="151"/>
      <c r="U205" s="151"/>
      <c r="V205" s="151"/>
      <c r="W205" s="151"/>
      <c r="X205" s="151"/>
      <c r="Y205" s="151"/>
      <c r="Z205" s="151"/>
    </row>
    <row r="206">
      <c r="A206" s="151"/>
      <c r="B206" s="151"/>
      <c r="C206" s="179"/>
      <c r="D206" s="180"/>
      <c r="E206" s="151"/>
      <c r="F206" s="151"/>
      <c r="G206" s="151"/>
      <c r="H206" s="151"/>
      <c r="I206" s="151"/>
      <c r="J206" s="151"/>
      <c r="K206" s="151"/>
      <c r="L206" s="151"/>
      <c r="M206" s="151"/>
      <c r="N206" s="151"/>
      <c r="O206" s="151"/>
      <c r="P206" s="151"/>
      <c r="Q206" s="151"/>
      <c r="R206" s="151"/>
      <c r="S206" s="151"/>
      <c r="T206" s="151"/>
      <c r="U206" s="151"/>
      <c r="V206" s="151"/>
      <c r="W206" s="151"/>
      <c r="X206" s="151"/>
      <c r="Y206" s="151"/>
      <c r="Z206" s="151"/>
    </row>
    <row r="207">
      <c r="A207" s="151"/>
      <c r="B207" s="151"/>
      <c r="C207" s="179"/>
      <c r="D207" s="180"/>
      <c r="E207" s="151"/>
      <c r="F207" s="151"/>
      <c r="G207" s="151"/>
      <c r="H207" s="151"/>
      <c r="I207" s="151"/>
      <c r="J207" s="151"/>
      <c r="K207" s="151"/>
      <c r="L207" s="151"/>
      <c r="M207" s="151"/>
      <c r="N207" s="151"/>
      <c r="O207" s="151"/>
      <c r="P207" s="151"/>
      <c r="Q207" s="151"/>
      <c r="R207" s="151"/>
      <c r="S207" s="151"/>
      <c r="T207" s="151"/>
      <c r="U207" s="151"/>
      <c r="V207" s="151"/>
      <c r="W207" s="151"/>
      <c r="X207" s="151"/>
      <c r="Y207" s="151"/>
      <c r="Z207" s="151"/>
    </row>
    <row r="208">
      <c r="A208" s="151"/>
      <c r="B208" s="151"/>
      <c r="C208" s="179"/>
      <c r="D208" s="180"/>
      <c r="E208" s="151"/>
      <c r="F208" s="151"/>
      <c r="G208" s="151"/>
      <c r="H208" s="151"/>
      <c r="I208" s="151"/>
      <c r="J208" s="151"/>
      <c r="K208" s="151"/>
      <c r="L208" s="151"/>
      <c r="M208" s="151"/>
      <c r="N208" s="151"/>
      <c r="O208" s="151"/>
      <c r="P208" s="151"/>
      <c r="Q208" s="151"/>
      <c r="R208" s="151"/>
      <c r="S208" s="151"/>
      <c r="T208" s="151"/>
      <c r="U208" s="151"/>
      <c r="V208" s="151"/>
      <c r="W208" s="151"/>
      <c r="X208" s="151"/>
      <c r="Y208" s="151"/>
      <c r="Z208" s="151"/>
    </row>
    <row r="209">
      <c r="A209" s="151"/>
      <c r="B209" s="151"/>
      <c r="C209" s="179"/>
      <c r="D209" s="180"/>
      <c r="E209" s="151"/>
      <c r="F209" s="151"/>
      <c r="G209" s="151"/>
      <c r="H209" s="151"/>
      <c r="I209" s="151"/>
      <c r="J209" s="151"/>
      <c r="K209" s="151"/>
      <c r="L209" s="151"/>
      <c r="M209" s="151"/>
      <c r="N209" s="151"/>
      <c r="O209" s="151"/>
      <c r="P209" s="151"/>
      <c r="Q209" s="151"/>
      <c r="R209" s="151"/>
      <c r="S209" s="151"/>
      <c r="T209" s="151"/>
      <c r="U209" s="151"/>
      <c r="V209" s="151"/>
      <c r="W209" s="151"/>
      <c r="X209" s="151"/>
      <c r="Y209" s="151"/>
      <c r="Z209" s="151"/>
    </row>
    <row r="210">
      <c r="A210" s="151"/>
      <c r="B210" s="151"/>
      <c r="C210" s="179"/>
      <c r="D210" s="180"/>
      <c r="E210" s="151"/>
      <c r="F210" s="151"/>
      <c r="G210" s="151"/>
      <c r="H210" s="151"/>
      <c r="I210" s="151"/>
      <c r="J210" s="151"/>
      <c r="K210" s="151"/>
      <c r="L210" s="151"/>
      <c r="M210" s="151"/>
      <c r="N210" s="151"/>
      <c r="O210" s="151"/>
      <c r="P210" s="151"/>
      <c r="Q210" s="151"/>
      <c r="R210" s="151"/>
      <c r="S210" s="151"/>
      <c r="T210" s="151"/>
      <c r="U210" s="151"/>
      <c r="V210" s="151"/>
      <c r="W210" s="151"/>
      <c r="X210" s="151"/>
      <c r="Y210" s="151"/>
      <c r="Z210" s="151"/>
    </row>
    <row r="211">
      <c r="A211" s="151"/>
      <c r="B211" s="151"/>
      <c r="C211" s="179"/>
      <c r="D211" s="180"/>
      <c r="E211" s="151"/>
      <c r="F211" s="151"/>
      <c r="G211" s="151"/>
      <c r="H211" s="151"/>
      <c r="I211" s="151"/>
      <c r="J211" s="151"/>
      <c r="K211" s="151"/>
      <c r="L211" s="151"/>
      <c r="M211" s="151"/>
      <c r="N211" s="151"/>
      <c r="O211" s="151"/>
      <c r="P211" s="151"/>
      <c r="Q211" s="151"/>
      <c r="R211" s="151"/>
      <c r="S211" s="151"/>
      <c r="T211" s="151"/>
      <c r="U211" s="151"/>
      <c r="V211" s="151"/>
      <c r="W211" s="151"/>
      <c r="X211" s="151"/>
      <c r="Y211" s="151"/>
      <c r="Z211" s="151"/>
    </row>
    <row r="212">
      <c r="A212" s="151"/>
      <c r="B212" s="151"/>
      <c r="C212" s="179"/>
      <c r="D212" s="180"/>
      <c r="E212" s="151"/>
      <c r="F212" s="151"/>
      <c r="G212" s="151"/>
      <c r="H212" s="151"/>
      <c r="I212" s="151"/>
      <c r="J212" s="151"/>
      <c r="K212" s="151"/>
      <c r="L212" s="151"/>
      <c r="M212" s="151"/>
      <c r="N212" s="151"/>
      <c r="O212" s="151"/>
      <c r="P212" s="151"/>
      <c r="Q212" s="151"/>
      <c r="R212" s="151"/>
      <c r="S212" s="151"/>
      <c r="T212" s="151"/>
      <c r="U212" s="151"/>
      <c r="V212" s="151"/>
      <c r="W212" s="151"/>
      <c r="X212" s="151"/>
      <c r="Y212" s="151"/>
      <c r="Z212" s="151"/>
    </row>
    <row r="213">
      <c r="A213" s="151"/>
      <c r="B213" s="151"/>
      <c r="C213" s="179"/>
      <c r="D213" s="180"/>
      <c r="E213" s="151"/>
      <c r="F213" s="151"/>
      <c r="G213" s="151"/>
      <c r="H213" s="151"/>
      <c r="I213" s="151"/>
      <c r="J213" s="151"/>
      <c r="K213" s="151"/>
      <c r="L213" s="151"/>
      <c r="M213" s="151"/>
      <c r="N213" s="151"/>
      <c r="O213" s="151"/>
      <c r="P213" s="151"/>
      <c r="Q213" s="151"/>
      <c r="R213" s="151"/>
      <c r="S213" s="151"/>
      <c r="T213" s="151"/>
      <c r="U213" s="151"/>
      <c r="V213" s="151"/>
      <c r="W213" s="151"/>
      <c r="X213" s="151"/>
      <c r="Y213" s="151"/>
      <c r="Z213" s="151"/>
    </row>
    <row r="214">
      <c r="A214" s="151"/>
      <c r="B214" s="151"/>
      <c r="C214" s="179"/>
      <c r="D214" s="180"/>
      <c r="E214" s="151"/>
      <c r="F214" s="151"/>
      <c r="G214" s="151"/>
      <c r="H214" s="151"/>
      <c r="I214" s="151"/>
      <c r="J214" s="151"/>
      <c r="K214" s="151"/>
      <c r="L214" s="151"/>
      <c r="M214" s="151"/>
      <c r="N214" s="151"/>
      <c r="O214" s="151"/>
      <c r="P214" s="151"/>
      <c r="Q214" s="151"/>
      <c r="R214" s="151"/>
      <c r="S214" s="151"/>
      <c r="T214" s="151"/>
      <c r="U214" s="151"/>
      <c r="V214" s="151"/>
      <c r="W214" s="151"/>
      <c r="X214" s="151"/>
      <c r="Y214" s="151"/>
      <c r="Z214" s="151"/>
    </row>
    <row r="215">
      <c r="A215" s="151"/>
      <c r="B215" s="151"/>
      <c r="C215" s="179"/>
      <c r="D215" s="180"/>
      <c r="E215" s="151"/>
      <c r="F215" s="151"/>
      <c r="G215" s="151"/>
      <c r="H215" s="151"/>
      <c r="I215" s="151"/>
      <c r="J215" s="151"/>
      <c r="K215" s="151"/>
      <c r="L215" s="151"/>
      <c r="M215" s="151"/>
      <c r="N215" s="151"/>
      <c r="O215" s="151"/>
      <c r="P215" s="151"/>
      <c r="Q215" s="151"/>
      <c r="R215" s="151"/>
      <c r="S215" s="151"/>
      <c r="T215" s="151"/>
      <c r="U215" s="151"/>
      <c r="V215" s="151"/>
      <c r="W215" s="151"/>
      <c r="X215" s="151"/>
      <c r="Y215" s="151"/>
      <c r="Z215" s="151"/>
    </row>
    <row r="216">
      <c r="A216" s="151"/>
      <c r="B216" s="151"/>
      <c r="C216" s="179"/>
      <c r="D216" s="180"/>
      <c r="E216" s="151"/>
      <c r="F216" s="151"/>
      <c r="G216" s="151"/>
      <c r="H216" s="151"/>
      <c r="I216" s="151"/>
      <c r="J216" s="151"/>
      <c r="K216" s="151"/>
      <c r="L216" s="151"/>
      <c r="M216" s="151"/>
      <c r="N216" s="151"/>
      <c r="O216" s="151"/>
      <c r="P216" s="151"/>
      <c r="Q216" s="151"/>
      <c r="R216" s="151"/>
      <c r="S216" s="151"/>
      <c r="T216" s="151"/>
      <c r="U216" s="151"/>
      <c r="V216" s="151"/>
      <c r="W216" s="151"/>
      <c r="X216" s="151"/>
      <c r="Y216" s="151"/>
      <c r="Z216" s="151"/>
    </row>
    <row r="217">
      <c r="A217" s="151"/>
      <c r="B217" s="151"/>
      <c r="C217" s="179"/>
      <c r="D217" s="180"/>
      <c r="E217" s="151"/>
      <c r="F217" s="151"/>
      <c r="G217" s="151"/>
      <c r="H217" s="151"/>
      <c r="I217" s="151"/>
      <c r="J217" s="151"/>
      <c r="K217" s="151"/>
      <c r="L217" s="151"/>
      <c r="M217" s="151"/>
      <c r="N217" s="151"/>
      <c r="O217" s="151"/>
      <c r="P217" s="151"/>
      <c r="Q217" s="151"/>
      <c r="R217" s="151"/>
      <c r="S217" s="151"/>
      <c r="T217" s="151"/>
      <c r="U217" s="151"/>
      <c r="V217" s="151"/>
      <c r="W217" s="151"/>
      <c r="X217" s="151"/>
      <c r="Y217" s="151"/>
      <c r="Z217" s="151"/>
    </row>
    <row r="218">
      <c r="A218" s="151"/>
      <c r="B218" s="151"/>
      <c r="C218" s="179"/>
      <c r="D218" s="180"/>
      <c r="E218" s="151"/>
      <c r="F218" s="151"/>
      <c r="G218" s="151"/>
      <c r="H218" s="151"/>
      <c r="I218" s="151"/>
      <c r="J218" s="151"/>
      <c r="K218" s="151"/>
      <c r="L218" s="151"/>
      <c r="M218" s="151"/>
      <c r="N218" s="151"/>
      <c r="O218" s="151"/>
      <c r="P218" s="151"/>
      <c r="Q218" s="151"/>
      <c r="R218" s="151"/>
      <c r="S218" s="151"/>
      <c r="T218" s="151"/>
      <c r="U218" s="151"/>
      <c r="V218" s="151"/>
      <c r="W218" s="151"/>
      <c r="X218" s="151"/>
      <c r="Y218" s="151"/>
      <c r="Z218" s="151"/>
    </row>
    <row r="219">
      <c r="A219" s="151"/>
      <c r="B219" s="151"/>
      <c r="C219" s="179"/>
      <c r="D219" s="180"/>
      <c r="E219" s="151"/>
      <c r="F219" s="151"/>
      <c r="G219" s="151"/>
      <c r="H219" s="151"/>
      <c r="I219" s="151"/>
      <c r="J219" s="151"/>
      <c r="K219" s="151"/>
      <c r="L219" s="151"/>
      <c r="M219" s="151"/>
      <c r="N219" s="151"/>
      <c r="O219" s="151"/>
      <c r="P219" s="151"/>
      <c r="Q219" s="151"/>
      <c r="R219" s="151"/>
      <c r="S219" s="151"/>
      <c r="T219" s="151"/>
      <c r="U219" s="151"/>
      <c r="V219" s="151"/>
      <c r="W219" s="151"/>
      <c r="X219" s="151"/>
      <c r="Y219" s="151"/>
      <c r="Z219" s="151"/>
    </row>
    <row r="220">
      <c r="A220" s="151"/>
      <c r="B220" s="151"/>
      <c r="C220" s="179"/>
      <c r="D220" s="180"/>
      <c r="E220" s="151"/>
      <c r="F220" s="151"/>
      <c r="G220" s="151"/>
      <c r="H220" s="151"/>
      <c r="I220" s="151"/>
      <c r="J220" s="151"/>
      <c r="K220" s="151"/>
      <c r="L220" s="151"/>
      <c r="M220" s="151"/>
      <c r="N220" s="151"/>
      <c r="O220" s="151"/>
      <c r="P220" s="151"/>
      <c r="Q220" s="151"/>
      <c r="R220" s="151"/>
      <c r="S220" s="151"/>
      <c r="T220" s="151"/>
      <c r="U220" s="151"/>
      <c r="V220" s="151"/>
      <c r="W220" s="151"/>
      <c r="X220" s="151"/>
      <c r="Y220" s="151"/>
      <c r="Z220" s="151"/>
    </row>
    <row r="221">
      <c r="A221" s="151"/>
      <c r="B221" s="151"/>
      <c r="C221" s="179"/>
      <c r="D221" s="180"/>
      <c r="E221" s="151"/>
      <c r="F221" s="151"/>
      <c r="G221" s="151"/>
      <c r="H221" s="151"/>
      <c r="I221" s="151"/>
      <c r="J221" s="151"/>
      <c r="K221" s="151"/>
      <c r="L221" s="151"/>
      <c r="M221" s="151"/>
      <c r="N221" s="151"/>
      <c r="O221" s="151"/>
      <c r="P221" s="151"/>
      <c r="Q221" s="151"/>
      <c r="R221" s="151"/>
      <c r="S221" s="151"/>
      <c r="T221" s="151"/>
      <c r="U221" s="151"/>
      <c r="V221" s="151"/>
      <c r="W221" s="151"/>
      <c r="X221" s="151"/>
      <c r="Y221" s="151"/>
      <c r="Z221" s="151"/>
    </row>
    <row r="222">
      <c r="A222" s="151"/>
      <c r="B222" s="151"/>
      <c r="C222" s="179"/>
      <c r="D222" s="180"/>
      <c r="E222" s="151"/>
      <c r="F222" s="151"/>
      <c r="G222" s="151"/>
      <c r="H222" s="151"/>
      <c r="I222" s="151"/>
      <c r="J222" s="151"/>
      <c r="K222" s="151"/>
      <c r="L222" s="151"/>
      <c r="M222" s="151"/>
      <c r="N222" s="151"/>
      <c r="O222" s="151"/>
      <c r="P222" s="151"/>
      <c r="Q222" s="151"/>
      <c r="R222" s="151"/>
      <c r="S222" s="151"/>
      <c r="T222" s="151"/>
      <c r="U222" s="151"/>
      <c r="V222" s="151"/>
      <c r="W222" s="151"/>
      <c r="X222" s="151"/>
      <c r="Y222" s="151"/>
      <c r="Z222" s="151"/>
    </row>
    <row r="223">
      <c r="A223" s="151"/>
      <c r="B223" s="151"/>
      <c r="C223" s="179"/>
      <c r="D223" s="180"/>
      <c r="E223" s="151"/>
      <c r="F223" s="151"/>
      <c r="G223" s="151"/>
      <c r="H223" s="151"/>
      <c r="I223" s="151"/>
      <c r="J223" s="151"/>
      <c r="K223" s="151"/>
      <c r="L223" s="151"/>
      <c r="M223" s="151"/>
      <c r="N223" s="151"/>
      <c r="O223" s="151"/>
      <c r="P223" s="151"/>
      <c r="Q223" s="151"/>
      <c r="R223" s="151"/>
      <c r="S223" s="151"/>
      <c r="T223" s="151"/>
      <c r="U223" s="151"/>
      <c r="V223" s="151"/>
      <c r="W223" s="151"/>
      <c r="X223" s="151"/>
      <c r="Y223" s="151"/>
      <c r="Z223" s="151"/>
    </row>
    <row r="224">
      <c r="A224" s="151"/>
      <c r="B224" s="151"/>
      <c r="C224" s="179"/>
      <c r="D224" s="180"/>
      <c r="E224" s="151"/>
      <c r="F224" s="151"/>
      <c r="G224" s="151"/>
      <c r="H224" s="151"/>
      <c r="I224" s="151"/>
      <c r="J224" s="151"/>
      <c r="K224" s="151"/>
      <c r="L224" s="151"/>
      <c r="M224" s="151"/>
      <c r="N224" s="151"/>
      <c r="O224" s="151"/>
      <c r="P224" s="151"/>
      <c r="Q224" s="151"/>
      <c r="R224" s="151"/>
      <c r="S224" s="151"/>
      <c r="T224" s="151"/>
      <c r="U224" s="151"/>
      <c r="V224" s="151"/>
      <c r="W224" s="151"/>
      <c r="X224" s="151"/>
      <c r="Y224" s="151"/>
      <c r="Z224" s="151"/>
    </row>
    <row r="225">
      <c r="A225" s="151"/>
      <c r="B225" s="151"/>
      <c r="C225" s="179"/>
      <c r="D225" s="180"/>
      <c r="E225" s="151"/>
      <c r="F225" s="151"/>
      <c r="G225" s="151"/>
      <c r="H225" s="151"/>
      <c r="I225" s="151"/>
      <c r="J225" s="151"/>
      <c r="K225" s="151"/>
      <c r="L225" s="151"/>
      <c r="M225" s="151"/>
      <c r="N225" s="151"/>
      <c r="O225" s="151"/>
      <c r="P225" s="151"/>
      <c r="Q225" s="151"/>
      <c r="R225" s="151"/>
      <c r="S225" s="151"/>
      <c r="T225" s="151"/>
      <c r="U225" s="151"/>
      <c r="V225" s="151"/>
      <c r="W225" s="151"/>
      <c r="X225" s="151"/>
      <c r="Y225" s="151"/>
      <c r="Z225" s="151"/>
    </row>
    <row r="226">
      <c r="A226" s="151"/>
      <c r="B226" s="151"/>
      <c r="C226" s="179"/>
      <c r="D226" s="180"/>
      <c r="E226" s="151"/>
      <c r="F226" s="151"/>
      <c r="G226" s="151"/>
      <c r="H226" s="151"/>
      <c r="I226" s="151"/>
      <c r="J226" s="151"/>
      <c r="K226" s="151"/>
      <c r="L226" s="151"/>
      <c r="M226" s="151"/>
      <c r="N226" s="151"/>
      <c r="O226" s="151"/>
      <c r="P226" s="151"/>
      <c r="Q226" s="151"/>
      <c r="R226" s="151"/>
      <c r="S226" s="151"/>
      <c r="T226" s="151"/>
      <c r="U226" s="151"/>
      <c r="V226" s="151"/>
      <c r="W226" s="151"/>
      <c r="X226" s="151"/>
      <c r="Y226" s="151"/>
      <c r="Z226" s="151"/>
    </row>
    <row r="227">
      <c r="A227" s="151"/>
      <c r="B227" s="151"/>
      <c r="C227" s="179"/>
      <c r="D227" s="180"/>
      <c r="E227" s="151"/>
      <c r="F227" s="151"/>
      <c r="G227" s="151"/>
      <c r="H227" s="151"/>
      <c r="I227" s="151"/>
      <c r="J227" s="151"/>
      <c r="K227" s="151"/>
      <c r="L227" s="151"/>
      <c r="M227" s="151"/>
      <c r="N227" s="151"/>
      <c r="O227" s="151"/>
      <c r="P227" s="151"/>
      <c r="Q227" s="151"/>
      <c r="R227" s="151"/>
      <c r="S227" s="151"/>
      <c r="T227" s="151"/>
      <c r="U227" s="151"/>
      <c r="V227" s="151"/>
      <c r="W227" s="151"/>
      <c r="X227" s="151"/>
      <c r="Y227" s="151"/>
      <c r="Z227" s="151"/>
    </row>
    <row r="228">
      <c r="A228" s="151"/>
      <c r="B228" s="151"/>
      <c r="C228" s="179"/>
      <c r="D228" s="180"/>
      <c r="E228" s="151"/>
      <c r="F228" s="151"/>
      <c r="G228" s="151"/>
      <c r="H228" s="151"/>
      <c r="I228" s="151"/>
      <c r="J228" s="151"/>
      <c r="K228" s="151"/>
      <c r="L228" s="151"/>
      <c r="M228" s="151"/>
      <c r="N228" s="151"/>
      <c r="O228" s="151"/>
      <c r="P228" s="151"/>
      <c r="Q228" s="151"/>
      <c r="R228" s="151"/>
      <c r="S228" s="151"/>
      <c r="T228" s="151"/>
      <c r="U228" s="151"/>
      <c r="V228" s="151"/>
      <c r="W228" s="151"/>
      <c r="X228" s="151"/>
      <c r="Y228" s="151"/>
      <c r="Z228" s="151"/>
    </row>
    <row r="229">
      <c r="A229" s="151"/>
      <c r="B229" s="151"/>
      <c r="C229" s="179"/>
      <c r="D229" s="180"/>
      <c r="E229" s="151"/>
      <c r="F229" s="151"/>
      <c r="G229" s="151"/>
      <c r="H229" s="151"/>
      <c r="I229" s="151"/>
      <c r="J229" s="151"/>
      <c r="K229" s="151"/>
      <c r="L229" s="151"/>
      <c r="M229" s="151"/>
      <c r="N229" s="151"/>
      <c r="O229" s="151"/>
      <c r="P229" s="151"/>
      <c r="Q229" s="151"/>
      <c r="R229" s="151"/>
      <c r="S229" s="151"/>
      <c r="T229" s="151"/>
      <c r="U229" s="151"/>
      <c r="V229" s="151"/>
      <c r="W229" s="151"/>
      <c r="X229" s="151"/>
      <c r="Y229" s="151"/>
      <c r="Z229" s="151"/>
    </row>
    <row r="230">
      <c r="A230" s="151"/>
      <c r="B230" s="151"/>
      <c r="C230" s="179"/>
      <c r="D230" s="180"/>
      <c r="E230" s="151"/>
      <c r="F230" s="151"/>
      <c r="G230" s="151"/>
      <c r="H230" s="151"/>
      <c r="I230" s="151"/>
      <c r="J230" s="151"/>
      <c r="K230" s="151"/>
      <c r="L230" s="151"/>
      <c r="M230" s="151"/>
      <c r="N230" s="151"/>
      <c r="O230" s="151"/>
      <c r="P230" s="151"/>
      <c r="Q230" s="151"/>
      <c r="R230" s="151"/>
      <c r="S230" s="151"/>
      <c r="T230" s="151"/>
      <c r="U230" s="151"/>
      <c r="V230" s="151"/>
      <c r="W230" s="151"/>
      <c r="X230" s="151"/>
      <c r="Y230" s="151"/>
      <c r="Z230" s="151"/>
    </row>
    <row r="231">
      <c r="A231" s="151"/>
      <c r="B231" s="151"/>
      <c r="C231" s="179"/>
      <c r="D231" s="180"/>
      <c r="E231" s="151"/>
      <c r="F231" s="151"/>
      <c r="G231" s="151"/>
      <c r="H231" s="151"/>
      <c r="I231" s="151"/>
      <c r="J231" s="151"/>
      <c r="K231" s="151"/>
      <c r="L231" s="151"/>
      <c r="M231" s="151"/>
      <c r="N231" s="151"/>
      <c r="O231" s="151"/>
      <c r="P231" s="151"/>
      <c r="Q231" s="151"/>
      <c r="R231" s="151"/>
      <c r="S231" s="151"/>
      <c r="T231" s="151"/>
      <c r="U231" s="151"/>
      <c r="V231" s="151"/>
      <c r="W231" s="151"/>
      <c r="X231" s="151"/>
      <c r="Y231" s="151"/>
      <c r="Z231" s="151"/>
    </row>
    <row r="232">
      <c r="A232" s="151"/>
      <c r="B232" s="151"/>
      <c r="C232" s="179"/>
      <c r="D232" s="180"/>
      <c r="E232" s="151"/>
      <c r="F232" s="151"/>
      <c r="G232" s="151"/>
      <c r="H232" s="151"/>
      <c r="I232" s="151"/>
      <c r="J232" s="151"/>
      <c r="K232" s="151"/>
      <c r="L232" s="151"/>
      <c r="M232" s="151"/>
      <c r="N232" s="151"/>
      <c r="O232" s="151"/>
      <c r="P232" s="151"/>
      <c r="Q232" s="151"/>
      <c r="R232" s="151"/>
      <c r="S232" s="151"/>
      <c r="T232" s="151"/>
      <c r="U232" s="151"/>
      <c r="V232" s="151"/>
      <c r="W232" s="151"/>
      <c r="X232" s="151"/>
      <c r="Y232" s="151"/>
      <c r="Z232" s="151"/>
    </row>
    <row r="233">
      <c r="A233" s="151"/>
      <c r="B233" s="151"/>
      <c r="C233" s="179"/>
      <c r="D233" s="180"/>
      <c r="E233" s="151"/>
      <c r="F233" s="151"/>
      <c r="G233" s="151"/>
      <c r="H233" s="151"/>
      <c r="I233" s="151"/>
      <c r="J233" s="151"/>
      <c r="K233" s="151"/>
      <c r="L233" s="151"/>
      <c r="M233" s="151"/>
      <c r="N233" s="151"/>
      <c r="O233" s="151"/>
      <c r="P233" s="151"/>
      <c r="Q233" s="151"/>
      <c r="R233" s="151"/>
      <c r="S233" s="151"/>
      <c r="T233" s="151"/>
      <c r="U233" s="151"/>
      <c r="V233" s="151"/>
      <c r="W233" s="151"/>
      <c r="X233" s="151"/>
      <c r="Y233" s="151"/>
      <c r="Z233" s="151"/>
    </row>
    <row r="234">
      <c r="A234" s="151"/>
      <c r="B234" s="151"/>
      <c r="C234" s="179"/>
      <c r="D234" s="180"/>
      <c r="E234" s="151"/>
      <c r="F234" s="151"/>
      <c r="G234" s="151"/>
      <c r="H234" s="151"/>
      <c r="I234" s="151"/>
      <c r="J234" s="151"/>
      <c r="K234" s="151"/>
      <c r="L234" s="151"/>
      <c r="M234" s="151"/>
      <c r="N234" s="151"/>
      <c r="O234" s="151"/>
      <c r="P234" s="151"/>
      <c r="Q234" s="151"/>
      <c r="R234" s="151"/>
      <c r="S234" s="151"/>
      <c r="T234" s="151"/>
      <c r="U234" s="151"/>
      <c r="V234" s="151"/>
      <c r="W234" s="151"/>
      <c r="X234" s="151"/>
      <c r="Y234" s="151"/>
      <c r="Z234" s="151"/>
    </row>
    <row r="235">
      <c r="A235" s="151"/>
      <c r="B235" s="151"/>
      <c r="C235" s="179"/>
      <c r="D235" s="180"/>
      <c r="E235" s="151"/>
      <c r="F235" s="151"/>
      <c r="G235" s="151"/>
      <c r="H235" s="151"/>
      <c r="I235" s="151"/>
      <c r="J235" s="151"/>
      <c r="K235" s="151"/>
      <c r="L235" s="151"/>
      <c r="M235" s="151"/>
      <c r="N235" s="151"/>
      <c r="O235" s="151"/>
      <c r="P235" s="151"/>
      <c r="Q235" s="151"/>
      <c r="R235" s="151"/>
      <c r="S235" s="151"/>
      <c r="T235" s="151"/>
      <c r="U235" s="151"/>
      <c r="V235" s="151"/>
      <c r="W235" s="151"/>
      <c r="X235" s="151"/>
      <c r="Y235" s="151"/>
      <c r="Z235" s="151"/>
    </row>
    <row r="236">
      <c r="A236" s="151"/>
      <c r="B236" s="151"/>
      <c r="C236" s="179"/>
      <c r="D236" s="180"/>
      <c r="E236" s="151"/>
      <c r="F236" s="151"/>
      <c r="G236" s="151"/>
      <c r="H236" s="151"/>
      <c r="I236" s="151"/>
      <c r="J236" s="151"/>
      <c r="K236" s="151"/>
      <c r="L236" s="151"/>
      <c r="M236" s="151"/>
      <c r="N236" s="151"/>
      <c r="O236" s="151"/>
      <c r="P236" s="151"/>
      <c r="Q236" s="151"/>
      <c r="R236" s="151"/>
      <c r="S236" s="151"/>
      <c r="T236" s="151"/>
      <c r="U236" s="151"/>
      <c r="V236" s="151"/>
      <c r="W236" s="151"/>
      <c r="X236" s="151"/>
      <c r="Y236" s="151"/>
      <c r="Z236" s="151"/>
    </row>
    <row r="237">
      <c r="A237" s="151"/>
      <c r="B237" s="151"/>
      <c r="C237" s="179"/>
      <c r="D237" s="180"/>
      <c r="E237" s="151"/>
      <c r="F237" s="151"/>
      <c r="G237" s="151"/>
      <c r="H237" s="151"/>
      <c r="I237" s="151"/>
      <c r="J237" s="151"/>
      <c r="K237" s="151"/>
      <c r="L237" s="151"/>
      <c r="M237" s="151"/>
      <c r="N237" s="151"/>
      <c r="O237" s="151"/>
      <c r="P237" s="151"/>
      <c r="Q237" s="151"/>
      <c r="R237" s="151"/>
      <c r="S237" s="151"/>
      <c r="T237" s="151"/>
      <c r="U237" s="151"/>
      <c r="V237" s="151"/>
      <c r="W237" s="151"/>
      <c r="X237" s="151"/>
      <c r="Y237" s="151"/>
      <c r="Z237" s="151"/>
    </row>
    <row r="238">
      <c r="A238" s="151"/>
      <c r="B238" s="151"/>
      <c r="C238" s="179"/>
      <c r="D238" s="180"/>
      <c r="E238" s="151"/>
      <c r="F238" s="151"/>
      <c r="G238" s="151"/>
      <c r="H238" s="151"/>
      <c r="I238" s="151"/>
      <c r="J238" s="151"/>
      <c r="K238" s="151"/>
      <c r="L238" s="151"/>
      <c r="M238" s="151"/>
      <c r="N238" s="151"/>
      <c r="O238" s="151"/>
      <c r="P238" s="151"/>
      <c r="Q238" s="151"/>
      <c r="R238" s="151"/>
      <c r="S238" s="151"/>
      <c r="T238" s="151"/>
      <c r="U238" s="151"/>
      <c r="V238" s="151"/>
      <c r="W238" s="151"/>
      <c r="X238" s="151"/>
      <c r="Y238" s="151"/>
      <c r="Z238" s="151"/>
    </row>
    <row r="239">
      <c r="A239" s="151"/>
      <c r="B239" s="151"/>
      <c r="C239" s="179"/>
      <c r="D239" s="180"/>
      <c r="E239" s="151"/>
      <c r="F239" s="151"/>
      <c r="G239" s="151"/>
      <c r="H239" s="151"/>
      <c r="I239" s="151"/>
      <c r="J239" s="151"/>
      <c r="K239" s="151"/>
      <c r="L239" s="151"/>
      <c r="M239" s="151"/>
      <c r="N239" s="151"/>
      <c r="O239" s="151"/>
      <c r="P239" s="151"/>
      <c r="Q239" s="151"/>
      <c r="R239" s="151"/>
      <c r="S239" s="151"/>
      <c r="T239" s="151"/>
      <c r="U239" s="151"/>
      <c r="V239" s="151"/>
      <c r="W239" s="151"/>
      <c r="X239" s="151"/>
      <c r="Y239" s="151"/>
      <c r="Z239" s="151"/>
    </row>
    <row r="240">
      <c r="A240" s="151"/>
      <c r="B240" s="151"/>
      <c r="C240" s="179"/>
      <c r="D240" s="180"/>
      <c r="E240" s="151"/>
      <c r="F240" s="151"/>
      <c r="G240" s="151"/>
      <c r="H240" s="151"/>
      <c r="I240" s="151"/>
      <c r="J240" s="151"/>
      <c r="K240" s="151"/>
      <c r="L240" s="151"/>
      <c r="M240" s="151"/>
      <c r="N240" s="151"/>
      <c r="O240" s="151"/>
      <c r="P240" s="151"/>
      <c r="Q240" s="151"/>
      <c r="R240" s="151"/>
      <c r="S240" s="151"/>
      <c r="T240" s="151"/>
      <c r="U240" s="151"/>
      <c r="V240" s="151"/>
      <c r="W240" s="151"/>
      <c r="X240" s="151"/>
      <c r="Y240" s="151"/>
      <c r="Z240" s="151"/>
    </row>
    <row r="241">
      <c r="A241" s="151"/>
      <c r="B241" s="151"/>
      <c r="C241" s="179"/>
      <c r="D241" s="180"/>
      <c r="E241" s="151"/>
      <c r="F241" s="151"/>
      <c r="G241" s="151"/>
      <c r="H241" s="151"/>
      <c r="I241" s="151"/>
      <c r="J241" s="151"/>
      <c r="K241" s="151"/>
      <c r="L241" s="151"/>
      <c r="M241" s="151"/>
      <c r="N241" s="151"/>
      <c r="O241" s="151"/>
      <c r="P241" s="151"/>
      <c r="Q241" s="151"/>
      <c r="R241" s="151"/>
      <c r="S241" s="151"/>
      <c r="T241" s="151"/>
      <c r="U241" s="151"/>
      <c r="V241" s="151"/>
      <c r="W241" s="151"/>
      <c r="X241" s="151"/>
      <c r="Y241" s="151"/>
      <c r="Z241" s="151"/>
    </row>
    <row r="242">
      <c r="A242" s="151"/>
      <c r="B242" s="151"/>
      <c r="C242" s="179"/>
      <c r="D242" s="180"/>
      <c r="E242" s="151"/>
      <c r="F242" s="151"/>
      <c r="G242" s="151"/>
      <c r="H242" s="151"/>
      <c r="I242" s="151"/>
      <c r="J242" s="151"/>
      <c r="K242" s="151"/>
      <c r="L242" s="151"/>
      <c r="M242" s="151"/>
      <c r="N242" s="151"/>
      <c r="O242" s="151"/>
      <c r="P242" s="151"/>
      <c r="Q242" s="151"/>
      <c r="R242" s="151"/>
      <c r="S242" s="151"/>
      <c r="T242" s="151"/>
      <c r="U242" s="151"/>
      <c r="V242" s="151"/>
      <c r="W242" s="151"/>
      <c r="X242" s="151"/>
      <c r="Y242" s="151"/>
      <c r="Z242" s="151"/>
    </row>
    <row r="243">
      <c r="A243" s="151"/>
      <c r="B243" s="151"/>
      <c r="C243" s="179"/>
      <c r="D243" s="180"/>
      <c r="E243" s="151"/>
      <c r="F243" s="151"/>
      <c r="G243" s="151"/>
      <c r="H243" s="151"/>
      <c r="I243" s="151"/>
      <c r="J243" s="151"/>
      <c r="K243" s="151"/>
      <c r="L243" s="151"/>
      <c r="M243" s="151"/>
      <c r="N243" s="151"/>
      <c r="O243" s="151"/>
      <c r="P243" s="151"/>
      <c r="Q243" s="151"/>
      <c r="R243" s="151"/>
      <c r="S243" s="151"/>
      <c r="T243" s="151"/>
      <c r="U243" s="151"/>
      <c r="V243" s="151"/>
      <c r="W243" s="151"/>
      <c r="X243" s="151"/>
      <c r="Y243" s="151"/>
      <c r="Z243" s="151"/>
    </row>
    <row r="244">
      <c r="A244" s="151"/>
      <c r="B244" s="151"/>
      <c r="C244" s="179"/>
      <c r="D244" s="180"/>
      <c r="E244" s="151"/>
      <c r="F244" s="151"/>
      <c r="G244" s="151"/>
      <c r="H244" s="151"/>
      <c r="I244" s="151"/>
      <c r="J244" s="151"/>
      <c r="K244" s="151"/>
      <c r="L244" s="151"/>
      <c r="M244" s="151"/>
      <c r="N244" s="151"/>
      <c r="O244" s="151"/>
      <c r="P244" s="151"/>
      <c r="Q244" s="151"/>
      <c r="R244" s="151"/>
      <c r="S244" s="151"/>
      <c r="T244" s="151"/>
      <c r="U244" s="151"/>
      <c r="V244" s="151"/>
      <c r="W244" s="151"/>
      <c r="X244" s="151"/>
      <c r="Y244" s="151"/>
      <c r="Z244" s="151"/>
    </row>
    <row r="245">
      <c r="A245" s="151"/>
      <c r="B245" s="151"/>
      <c r="C245" s="179"/>
      <c r="D245" s="180"/>
      <c r="E245" s="151"/>
      <c r="F245" s="151"/>
      <c r="G245" s="151"/>
      <c r="H245" s="151"/>
      <c r="I245" s="151"/>
      <c r="J245" s="151"/>
      <c r="K245" s="151"/>
      <c r="L245" s="151"/>
      <c r="M245" s="151"/>
      <c r="N245" s="151"/>
      <c r="O245" s="151"/>
      <c r="P245" s="151"/>
      <c r="Q245" s="151"/>
      <c r="R245" s="151"/>
      <c r="S245" s="151"/>
      <c r="T245" s="151"/>
      <c r="U245" s="151"/>
      <c r="V245" s="151"/>
      <c r="W245" s="151"/>
      <c r="X245" s="151"/>
      <c r="Y245" s="151"/>
      <c r="Z245" s="151"/>
    </row>
    <row r="246">
      <c r="A246" s="151"/>
      <c r="B246" s="151"/>
      <c r="C246" s="179"/>
      <c r="D246" s="180"/>
      <c r="E246" s="151"/>
      <c r="F246" s="151"/>
      <c r="G246" s="151"/>
      <c r="H246" s="151"/>
      <c r="I246" s="151"/>
      <c r="J246" s="151"/>
      <c r="K246" s="151"/>
      <c r="L246" s="151"/>
      <c r="M246" s="151"/>
      <c r="N246" s="151"/>
      <c r="O246" s="151"/>
      <c r="P246" s="151"/>
      <c r="Q246" s="151"/>
      <c r="R246" s="151"/>
      <c r="S246" s="151"/>
      <c r="T246" s="151"/>
      <c r="U246" s="151"/>
      <c r="V246" s="151"/>
      <c r="W246" s="151"/>
      <c r="X246" s="151"/>
      <c r="Y246" s="151"/>
      <c r="Z246" s="151"/>
    </row>
    <row r="247">
      <c r="A247" s="151"/>
      <c r="B247" s="151"/>
      <c r="C247" s="179"/>
      <c r="D247" s="180"/>
      <c r="E247" s="151"/>
      <c r="F247" s="151"/>
      <c r="G247" s="151"/>
      <c r="H247" s="151"/>
      <c r="I247" s="151"/>
      <c r="J247" s="151"/>
      <c r="K247" s="151"/>
      <c r="L247" s="151"/>
      <c r="M247" s="151"/>
      <c r="N247" s="151"/>
      <c r="O247" s="151"/>
      <c r="P247" s="151"/>
      <c r="Q247" s="151"/>
      <c r="R247" s="151"/>
      <c r="S247" s="151"/>
      <c r="T247" s="151"/>
      <c r="U247" s="151"/>
      <c r="V247" s="151"/>
      <c r="W247" s="151"/>
      <c r="X247" s="151"/>
      <c r="Y247" s="151"/>
      <c r="Z247" s="151"/>
    </row>
    <row r="248">
      <c r="A248" s="151"/>
      <c r="B248" s="151"/>
      <c r="C248" s="179"/>
      <c r="D248" s="180"/>
      <c r="E248" s="151"/>
      <c r="F248" s="151"/>
      <c r="G248" s="151"/>
      <c r="H248" s="151"/>
      <c r="I248" s="151"/>
      <c r="J248" s="151"/>
      <c r="K248" s="151"/>
      <c r="L248" s="151"/>
      <c r="M248" s="151"/>
      <c r="N248" s="151"/>
      <c r="O248" s="151"/>
      <c r="P248" s="151"/>
      <c r="Q248" s="151"/>
      <c r="R248" s="151"/>
      <c r="S248" s="151"/>
      <c r="T248" s="151"/>
      <c r="U248" s="151"/>
      <c r="V248" s="151"/>
      <c r="W248" s="151"/>
      <c r="X248" s="151"/>
      <c r="Y248" s="151"/>
      <c r="Z248" s="151"/>
    </row>
    <row r="249">
      <c r="A249" s="151"/>
      <c r="B249" s="151"/>
      <c r="C249" s="179"/>
      <c r="D249" s="180"/>
      <c r="E249" s="151"/>
      <c r="F249" s="151"/>
      <c r="G249" s="151"/>
      <c r="H249" s="151"/>
      <c r="I249" s="151"/>
      <c r="J249" s="151"/>
      <c r="K249" s="151"/>
      <c r="L249" s="151"/>
      <c r="M249" s="151"/>
      <c r="N249" s="151"/>
      <c r="O249" s="151"/>
      <c r="P249" s="151"/>
      <c r="Q249" s="151"/>
      <c r="R249" s="151"/>
      <c r="S249" s="151"/>
      <c r="T249" s="151"/>
      <c r="U249" s="151"/>
      <c r="V249" s="151"/>
      <c r="W249" s="151"/>
      <c r="X249" s="151"/>
      <c r="Y249" s="151"/>
      <c r="Z249" s="151"/>
    </row>
    <row r="250">
      <c r="A250" s="151"/>
      <c r="B250" s="151"/>
      <c r="C250" s="179"/>
      <c r="D250" s="180"/>
      <c r="E250" s="151"/>
      <c r="F250" s="151"/>
      <c r="G250" s="151"/>
      <c r="H250" s="151"/>
      <c r="I250" s="151"/>
      <c r="J250" s="151"/>
      <c r="K250" s="151"/>
      <c r="L250" s="151"/>
      <c r="M250" s="151"/>
      <c r="N250" s="151"/>
      <c r="O250" s="151"/>
      <c r="P250" s="151"/>
      <c r="Q250" s="151"/>
      <c r="R250" s="151"/>
      <c r="S250" s="151"/>
      <c r="T250" s="151"/>
      <c r="U250" s="151"/>
      <c r="V250" s="151"/>
      <c r="W250" s="151"/>
      <c r="X250" s="151"/>
      <c r="Y250" s="151"/>
      <c r="Z250" s="151"/>
    </row>
    <row r="251">
      <c r="A251" s="151"/>
      <c r="B251" s="151"/>
      <c r="C251" s="179"/>
      <c r="D251" s="180"/>
      <c r="E251" s="151"/>
      <c r="F251" s="151"/>
      <c r="G251" s="151"/>
      <c r="H251" s="151"/>
      <c r="I251" s="151"/>
      <c r="J251" s="151"/>
      <c r="K251" s="151"/>
      <c r="L251" s="151"/>
      <c r="M251" s="151"/>
      <c r="N251" s="151"/>
      <c r="O251" s="151"/>
      <c r="P251" s="151"/>
      <c r="Q251" s="151"/>
      <c r="R251" s="151"/>
      <c r="S251" s="151"/>
      <c r="T251" s="151"/>
      <c r="U251" s="151"/>
      <c r="V251" s="151"/>
      <c r="W251" s="151"/>
      <c r="X251" s="151"/>
      <c r="Y251" s="151"/>
      <c r="Z251" s="151"/>
    </row>
    <row r="252">
      <c r="A252" s="151"/>
      <c r="B252" s="151"/>
      <c r="C252" s="179"/>
      <c r="D252" s="180"/>
      <c r="E252" s="151"/>
      <c r="F252" s="151"/>
      <c r="G252" s="151"/>
      <c r="H252" s="151"/>
      <c r="I252" s="151"/>
      <c r="J252" s="151"/>
      <c r="K252" s="151"/>
      <c r="L252" s="151"/>
      <c r="M252" s="151"/>
      <c r="N252" s="151"/>
      <c r="O252" s="151"/>
      <c r="P252" s="151"/>
      <c r="Q252" s="151"/>
      <c r="R252" s="151"/>
      <c r="S252" s="151"/>
      <c r="T252" s="151"/>
      <c r="U252" s="151"/>
      <c r="V252" s="151"/>
      <c r="W252" s="151"/>
      <c r="X252" s="151"/>
      <c r="Y252" s="151"/>
      <c r="Z252" s="151"/>
    </row>
    <row r="253">
      <c r="A253" s="151"/>
      <c r="B253" s="151"/>
      <c r="C253" s="179"/>
      <c r="D253" s="180"/>
      <c r="E253" s="151"/>
      <c r="F253" s="151"/>
      <c r="G253" s="151"/>
      <c r="H253" s="151"/>
      <c r="I253" s="151"/>
      <c r="J253" s="151"/>
      <c r="K253" s="151"/>
      <c r="L253" s="151"/>
      <c r="M253" s="151"/>
      <c r="N253" s="151"/>
      <c r="O253" s="151"/>
      <c r="P253" s="151"/>
      <c r="Q253" s="151"/>
      <c r="R253" s="151"/>
      <c r="S253" s="151"/>
      <c r="T253" s="151"/>
      <c r="U253" s="151"/>
      <c r="V253" s="151"/>
      <c r="W253" s="151"/>
      <c r="X253" s="151"/>
      <c r="Y253" s="151"/>
      <c r="Z253" s="151"/>
    </row>
    <row r="254">
      <c r="A254" s="151"/>
      <c r="B254" s="151"/>
      <c r="C254" s="179"/>
      <c r="D254" s="180"/>
      <c r="E254" s="151"/>
      <c r="F254" s="151"/>
      <c r="G254" s="151"/>
      <c r="H254" s="151"/>
      <c r="I254" s="151"/>
      <c r="J254" s="151"/>
      <c r="K254" s="151"/>
      <c r="L254" s="151"/>
      <c r="M254" s="151"/>
      <c r="N254" s="151"/>
      <c r="O254" s="151"/>
      <c r="P254" s="151"/>
      <c r="Q254" s="151"/>
      <c r="R254" s="151"/>
      <c r="S254" s="151"/>
      <c r="T254" s="151"/>
      <c r="U254" s="151"/>
      <c r="V254" s="151"/>
      <c r="W254" s="151"/>
      <c r="X254" s="151"/>
      <c r="Y254" s="151"/>
      <c r="Z254" s="151"/>
    </row>
    <row r="255">
      <c r="A255" s="151"/>
      <c r="B255" s="151"/>
      <c r="C255" s="179"/>
      <c r="D255" s="180"/>
      <c r="E255" s="151"/>
      <c r="F255" s="151"/>
      <c r="G255" s="151"/>
      <c r="H255" s="151"/>
      <c r="I255" s="151"/>
      <c r="J255" s="151"/>
      <c r="K255" s="151"/>
      <c r="L255" s="151"/>
      <c r="M255" s="151"/>
      <c r="N255" s="151"/>
      <c r="O255" s="151"/>
      <c r="P255" s="151"/>
      <c r="Q255" s="151"/>
      <c r="R255" s="151"/>
      <c r="S255" s="151"/>
      <c r="T255" s="151"/>
      <c r="U255" s="151"/>
      <c r="V255" s="151"/>
      <c r="W255" s="151"/>
      <c r="X255" s="151"/>
      <c r="Y255" s="151"/>
      <c r="Z255" s="151"/>
    </row>
    <row r="256">
      <c r="A256" s="151"/>
      <c r="B256" s="151"/>
      <c r="C256" s="179"/>
      <c r="D256" s="180"/>
      <c r="E256" s="151"/>
      <c r="F256" s="151"/>
      <c r="G256" s="151"/>
      <c r="H256" s="151"/>
      <c r="I256" s="151"/>
      <c r="J256" s="151"/>
      <c r="K256" s="151"/>
      <c r="L256" s="151"/>
      <c r="M256" s="151"/>
      <c r="N256" s="151"/>
      <c r="O256" s="151"/>
      <c r="P256" s="151"/>
      <c r="Q256" s="151"/>
      <c r="R256" s="151"/>
      <c r="S256" s="151"/>
      <c r="T256" s="151"/>
      <c r="U256" s="151"/>
      <c r="V256" s="151"/>
      <c r="W256" s="151"/>
      <c r="X256" s="151"/>
      <c r="Y256" s="151"/>
      <c r="Z256" s="151"/>
    </row>
    <row r="257">
      <c r="A257" s="151"/>
      <c r="B257" s="151"/>
      <c r="C257" s="179"/>
      <c r="D257" s="180"/>
      <c r="E257" s="151"/>
      <c r="F257" s="151"/>
      <c r="G257" s="151"/>
      <c r="H257" s="151"/>
      <c r="I257" s="151"/>
      <c r="J257" s="151"/>
      <c r="K257" s="151"/>
      <c r="L257" s="151"/>
      <c r="M257" s="151"/>
      <c r="N257" s="151"/>
      <c r="O257" s="151"/>
      <c r="P257" s="151"/>
      <c r="Q257" s="151"/>
      <c r="R257" s="151"/>
      <c r="S257" s="151"/>
      <c r="T257" s="151"/>
      <c r="U257" s="151"/>
      <c r="V257" s="151"/>
      <c r="W257" s="151"/>
      <c r="X257" s="151"/>
      <c r="Y257" s="151"/>
      <c r="Z257" s="151"/>
    </row>
    <row r="258">
      <c r="A258" s="151"/>
      <c r="B258" s="151"/>
      <c r="C258" s="179"/>
      <c r="D258" s="180"/>
      <c r="E258" s="151"/>
      <c r="F258" s="151"/>
      <c r="G258" s="151"/>
      <c r="H258" s="151"/>
      <c r="I258" s="151"/>
      <c r="J258" s="151"/>
      <c r="K258" s="151"/>
      <c r="L258" s="151"/>
      <c r="M258" s="151"/>
      <c r="N258" s="151"/>
      <c r="O258" s="151"/>
      <c r="P258" s="151"/>
      <c r="Q258" s="151"/>
      <c r="R258" s="151"/>
      <c r="S258" s="151"/>
      <c r="T258" s="151"/>
      <c r="U258" s="151"/>
      <c r="V258" s="151"/>
      <c r="W258" s="151"/>
      <c r="X258" s="151"/>
      <c r="Y258" s="151"/>
      <c r="Z258" s="151"/>
    </row>
    <row r="259">
      <c r="A259" s="151"/>
      <c r="B259" s="151"/>
      <c r="C259" s="179"/>
      <c r="D259" s="180"/>
      <c r="E259" s="151"/>
      <c r="F259" s="151"/>
      <c r="G259" s="151"/>
      <c r="H259" s="151"/>
      <c r="I259" s="151"/>
      <c r="J259" s="151"/>
      <c r="K259" s="151"/>
      <c r="L259" s="151"/>
      <c r="M259" s="151"/>
      <c r="N259" s="151"/>
      <c r="O259" s="151"/>
      <c r="P259" s="151"/>
      <c r="Q259" s="151"/>
      <c r="R259" s="151"/>
      <c r="S259" s="151"/>
      <c r="T259" s="151"/>
      <c r="U259" s="151"/>
      <c r="V259" s="151"/>
      <c r="W259" s="151"/>
      <c r="X259" s="151"/>
      <c r="Y259" s="151"/>
      <c r="Z259" s="151"/>
    </row>
    <row r="260">
      <c r="A260" s="151"/>
      <c r="B260" s="151"/>
      <c r="C260" s="179"/>
      <c r="D260" s="180"/>
      <c r="E260" s="151"/>
      <c r="F260" s="151"/>
      <c r="G260" s="151"/>
      <c r="H260" s="151"/>
      <c r="I260" s="151"/>
      <c r="J260" s="151"/>
      <c r="K260" s="151"/>
      <c r="L260" s="151"/>
      <c r="M260" s="151"/>
      <c r="N260" s="151"/>
      <c r="O260" s="151"/>
      <c r="P260" s="151"/>
      <c r="Q260" s="151"/>
      <c r="R260" s="151"/>
      <c r="S260" s="151"/>
      <c r="T260" s="151"/>
      <c r="U260" s="151"/>
      <c r="V260" s="151"/>
      <c r="W260" s="151"/>
      <c r="X260" s="151"/>
      <c r="Y260" s="151"/>
      <c r="Z260" s="151"/>
    </row>
    <row r="261">
      <c r="A261" s="151"/>
      <c r="B261" s="151"/>
      <c r="C261" s="179"/>
      <c r="D261" s="180"/>
      <c r="E261" s="151"/>
      <c r="F261" s="151"/>
      <c r="G261" s="151"/>
      <c r="H261" s="151"/>
      <c r="I261" s="151"/>
      <c r="J261" s="151"/>
      <c r="K261" s="151"/>
      <c r="L261" s="151"/>
      <c r="M261" s="151"/>
      <c r="N261" s="151"/>
      <c r="O261" s="151"/>
      <c r="P261" s="151"/>
      <c r="Q261" s="151"/>
      <c r="R261" s="151"/>
      <c r="S261" s="151"/>
      <c r="T261" s="151"/>
      <c r="U261" s="151"/>
      <c r="V261" s="151"/>
      <c r="W261" s="151"/>
      <c r="X261" s="151"/>
      <c r="Y261" s="151"/>
      <c r="Z261" s="151"/>
    </row>
    <row r="262">
      <c r="A262" s="151"/>
      <c r="B262" s="151"/>
      <c r="C262" s="179"/>
      <c r="D262" s="180"/>
      <c r="E262" s="151"/>
      <c r="F262" s="151"/>
      <c r="G262" s="151"/>
      <c r="H262" s="151"/>
      <c r="I262" s="151"/>
      <c r="J262" s="151"/>
      <c r="K262" s="151"/>
      <c r="L262" s="151"/>
      <c r="M262" s="151"/>
      <c r="N262" s="151"/>
      <c r="O262" s="151"/>
      <c r="P262" s="151"/>
      <c r="Q262" s="151"/>
      <c r="R262" s="151"/>
      <c r="S262" s="151"/>
      <c r="T262" s="151"/>
      <c r="U262" s="151"/>
      <c r="V262" s="151"/>
      <c r="W262" s="151"/>
      <c r="X262" s="151"/>
      <c r="Y262" s="151"/>
      <c r="Z262" s="151"/>
    </row>
    <row r="263">
      <c r="A263" s="151"/>
      <c r="B263" s="151"/>
      <c r="C263" s="179"/>
      <c r="D263" s="180"/>
      <c r="E263" s="151"/>
      <c r="F263" s="151"/>
      <c r="G263" s="151"/>
      <c r="H263" s="151"/>
      <c r="I263" s="151"/>
      <c r="J263" s="151"/>
      <c r="K263" s="151"/>
      <c r="L263" s="151"/>
      <c r="M263" s="151"/>
      <c r="N263" s="151"/>
      <c r="O263" s="151"/>
      <c r="P263" s="151"/>
      <c r="Q263" s="151"/>
      <c r="R263" s="151"/>
      <c r="S263" s="151"/>
      <c r="T263" s="151"/>
      <c r="U263" s="151"/>
      <c r="V263" s="151"/>
      <c r="W263" s="151"/>
      <c r="X263" s="151"/>
      <c r="Y263" s="151"/>
      <c r="Z263" s="151"/>
    </row>
    <row r="264">
      <c r="A264" s="151"/>
      <c r="B264" s="151"/>
      <c r="C264" s="179"/>
      <c r="D264" s="180"/>
      <c r="E264" s="151"/>
      <c r="F264" s="151"/>
      <c r="G264" s="151"/>
      <c r="H264" s="151"/>
      <c r="I264" s="151"/>
      <c r="J264" s="151"/>
      <c r="K264" s="151"/>
      <c r="L264" s="151"/>
      <c r="M264" s="151"/>
      <c r="N264" s="151"/>
      <c r="O264" s="151"/>
      <c r="P264" s="151"/>
      <c r="Q264" s="151"/>
      <c r="R264" s="151"/>
      <c r="S264" s="151"/>
      <c r="T264" s="151"/>
      <c r="U264" s="151"/>
      <c r="V264" s="151"/>
      <c r="W264" s="151"/>
      <c r="X264" s="151"/>
      <c r="Y264" s="151"/>
      <c r="Z264" s="151"/>
    </row>
    <row r="265">
      <c r="A265" s="151"/>
      <c r="B265" s="151"/>
      <c r="C265" s="179"/>
      <c r="D265" s="180"/>
      <c r="E265" s="151"/>
      <c r="F265" s="151"/>
      <c r="G265" s="151"/>
      <c r="H265" s="151"/>
      <c r="I265" s="151"/>
      <c r="J265" s="151"/>
      <c r="K265" s="151"/>
      <c r="L265" s="151"/>
      <c r="M265" s="151"/>
      <c r="N265" s="151"/>
      <c r="O265" s="151"/>
      <c r="P265" s="151"/>
      <c r="Q265" s="151"/>
      <c r="R265" s="151"/>
      <c r="S265" s="151"/>
      <c r="T265" s="151"/>
      <c r="U265" s="151"/>
      <c r="V265" s="151"/>
      <c r="W265" s="151"/>
      <c r="X265" s="151"/>
      <c r="Y265" s="151"/>
      <c r="Z265" s="151"/>
    </row>
    <row r="266">
      <c r="A266" s="151"/>
      <c r="B266" s="151"/>
      <c r="C266" s="179"/>
      <c r="D266" s="180"/>
      <c r="E266" s="151"/>
      <c r="F266" s="151"/>
      <c r="G266" s="151"/>
      <c r="H266" s="151"/>
      <c r="I266" s="151"/>
      <c r="J266" s="151"/>
      <c r="K266" s="151"/>
      <c r="L266" s="151"/>
      <c r="M266" s="151"/>
      <c r="N266" s="151"/>
      <c r="O266" s="151"/>
      <c r="P266" s="151"/>
      <c r="Q266" s="151"/>
      <c r="R266" s="151"/>
      <c r="S266" s="151"/>
      <c r="T266" s="151"/>
      <c r="U266" s="151"/>
      <c r="V266" s="151"/>
      <c r="W266" s="151"/>
      <c r="X266" s="151"/>
      <c r="Y266" s="151"/>
      <c r="Z266" s="151"/>
    </row>
    <row r="267">
      <c r="A267" s="151"/>
      <c r="B267" s="151"/>
      <c r="C267" s="179"/>
      <c r="D267" s="180"/>
      <c r="E267" s="151"/>
      <c r="F267" s="151"/>
      <c r="G267" s="151"/>
      <c r="H267" s="151"/>
      <c r="I267" s="151"/>
      <c r="J267" s="151"/>
      <c r="K267" s="151"/>
      <c r="L267" s="151"/>
      <c r="M267" s="151"/>
      <c r="N267" s="151"/>
      <c r="O267" s="151"/>
      <c r="P267" s="151"/>
      <c r="Q267" s="151"/>
      <c r="R267" s="151"/>
      <c r="S267" s="151"/>
      <c r="T267" s="151"/>
      <c r="U267" s="151"/>
      <c r="V267" s="151"/>
      <c r="W267" s="151"/>
      <c r="X267" s="151"/>
      <c r="Y267" s="151"/>
      <c r="Z267" s="151"/>
    </row>
    <row r="268">
      <c r="A268" s="151"/>
      <c r="B268" s="151"/>
      <c r="C268" s="179"/>
      <c r="D268" s="180"/>
      <c r="E268" s="151"/>
      <c r="F268" s="151"/>
      <c r="G268" s="151"/>
      <c r="H268" s="151"/>
      <c r="I268" s="151"/>
      <c r="J268" s="151"/>
      <c r="K268" s="151"/>
      <c r="L268" s="151"/>
      <c r="M268" s="151"/>
      <c r="N268" s="151"/>
      <c r="O268" s="151"/>
      <c r="P268" s="151"/>
      <c r="Q268" s="151"/>
      <c r="R268" s="151"/>
      <c r="S268" s="151"/>
      <c r="T268" s="151"/>
      <c r="U268" s="151"/>
      <c r="V268" s="151"/>
      <c r="W268" s="151"/>
      <c r="X268" s="151"/>
      <c r="Y268" s="151"/>
      <c r="Z268" s="151"/>
    </row>
    <row r="269">
      <c r="A269" s="151"/>
      <c r="B269" s="151"/>
      <c r="C269" s="179"/>
      <c r="D269" s="180"/>
      <c r="E269" s="151"/>
      <c r="F269" s="151"/>
      <c r="G269" s="151"/>
      <c r="H269" s="151"/>
      <c r="I269" s="151"/>
      <c r="J269" s="151"/>
      <c r="K269" s="151"/>
      <c r="L269" s="151"/>
      <c r="M269" s="151"/>
      <c r="N269" s="151"/>
      <c r="O269" s="151"/>
      <c r="P269" s="151"/>
      <c r="Q269" s="151"/>
      <c r="R269" s="151"/>
      <c r="S269" s="151"/>
      <c r="T269" s="151"/>
      <c r="U269" s="151"/>
      <c r="V269" s="151"/>
      <c r="W269" s="151"/>
      <c r="X269" s="151"/>
      <c r="Y269" s="151"/>
      <c r="Z269" s="151"/>
    </row>
    <row r="270">
      <c r="A270" s="151"/>
      <c r="B270" s="151"/>
      <c r="C270" s="179"/>
      <c r="D270" s="180"/>
      <c r="E270" s="151"/>
      <c r="F270" s="151"/>
      <c r="G270" s="151"/>
      <c r="H270" s="151"/>
      <c r="I270" s="151"/>
      <c r="J270" s="151"/>
      <c r="K270" s="151"/>
      <c r="L270" s="151"/>
      <c r="M270" s="151"/>
      <c r="N270" s="151"/>
      <c r="O270" s="151"/>
      <c r="P270" s="151"/>
      <c r="Q270" s="151"/>
      <c r="R270" s="151"/>
      <c r="S270" s="151"/>
      <c r="T270" s="151"/>
      <c r="U270" s="151"/>
      <c r="V270" s="151"/>
      <c r="W270" s="151"/>
      <c r="X270" s="151"/>
      <c r="Y270" s="151"/>
      <c r="Z270" s="151"/>
    </row>
    <row r="271">
      <c r="A271" s="151"/>
      <c r="B271" s="151"/>
      <c r="C271" s="179"/>
      <c r="D271" s="180"/>
      <c r="E271" s="151"/>
      <c r="F271" s="151"/>
      <c r="G271" s="151"/>
      <c r="H271" s="151"/>
      <c r="I271" s="151"/>
      <c r="J271" s="151"/>
      <c r="K271" s="151"/>
      <c r="L271" s="151"/>
      <c r="M271" s="151"/>
      <c r="N271" s="151"/>
      <c r="O271" s="151"/>
      <c r="P271" s="151"/>
      <c r="Q271" s="151"/>
      <c r="R271" s="151"/>
      <c r="S271" s="151"/>
      <c r="T271" s="151"/>
      <c r="U271" s="151"/>
      <c r="V271" s="151"/>
      <c r="W271" s="151"/>
      <c r="X271" s="151"/>
      <c r="Y271" s="151"/>
      <c r="Z271" s="151"/>
    </row>
    <row r="272">
      <c r="A272" s="151"/>
      <c r="B272" s="151"/>
      <c r="C272" s="179"/>
      <c r="D272" s="180"/>
      <c r="E272" s="151"/>
      <c r="F272" s="151"/>
      <c r="G272" s="151"/>
      <c r="H272" s="151"/>
      <c r="I272" s="151"/>
      <c r="J272" s="151"/>
      <c r="K272" s="151"/>
      <c r="L272" s="151"/>
      <c r="M272" s="151"/>
      <c r="N272" s="151"/>
      <c r="O272" s="151"/>
      <c r="P272" s="151"/>
      <c r="Q272" s="151"/>
      <c r="R272" s="151"/>
      <c r="S272" s="151"/>
      <c r="T272" s="151"/>
      <c r="U272" s="151"/>
      <c r="V272" s="151"/>
      <c r="W272" s="151"/>
      <c r="X272" s="151"/>
      <c r="Y272" s="151"/>
      <c r="Z272" s="151"/>
    </row>
    <row r="273">
      <c r="A273" s="151"/>
      <c r="B273" s="151"/>
      <c r="C273" s="179"/>
      <c r="D273" s="180"/>
      <c r="E273" s="151"/>
      <c r="F273" s="151"/>
      <c r="G273" s="151"/>
      <c r="H273" s="151"/>
      <c r="I273" s="151"/>
      <c r="J273" s="151"/>
      <c r="K273" s="151"/>
      <c r="L273" s="151"/>
      <c r="M273" s="151"/>
      <c r="N273" s="151"/>
      <c r="O273" s="151"/>
      <c r="P273" s="151"/>
      <c r="Q273" s="151"/>
      <c r="R273" s="151"/>
      <c r="S273" s="151"/>
      <c r="T273" s="151"/>
      <c r="U273" s="151"/>
      <c r="V273" s="151"/>
      <c r="W273" s="151"/>
      <c r="X273" s="151"/>
      <c r="Y273" s="151"/>
      <c r="Z273" s="151"/>
    </row>
    <row r="274">
      <c r="A274" s="151"/>
      <c r="B274" s="151"/>
      <c r="C274" s="179"/>
      <c r="D274" s="180"/>
      <c r="E274" s="151"/>
      <c r="F274" s="151"/>
      <c r="G274" s="151"/>
      <c r="H274" s="151"/>
      <c r="I274" s="151"/>
      <c r="J274" s="151"/>
      <c r="K274" s="151"/>
      <c r="L274" s="151"/>
      <c r="M274" s="151"/>
      <c r="N274" s="151"/>
      <c r="O274" s="151"/>
      <c r="P274" s="151"/>
      <c r="Q274" s="151"/>
      <c r="R274" s="151"/>
      <c r="S274" s="151"/>
      <c r="T274" s="151"/>
      <c r="U274" s="151"/>
      <c r="V274" s="151"/>
      <c r="W274" s="151"/>
      <c r="X274" s="151"/>
      <c r="Y274" s="151"/>
      <c r="Z274" s="151"/>
    </row>
    <row r="275">
      <c r="A275" s="151"/>
      <c r="B275" s="151"/>
      <c r="C275" s="179"/>
      <c r="D275" s="180"/>
      <c r="E275" s="151"/>
      <c r="F275" s="151"/>
      <c r="G275" s="151"/>
      <c r="H275" s="151"/>
      <c r="I275" s="151"/>
      <c r="J275" s="151"/>
      <c r="K275" s="151"/>
      <c r="L275" s="151"/>
      <c r="M275" s="151"/>
      <c r="N275" s="151"/>
      <c r="O275" s="151"/>
      <c r="P275" s="151"/>
      <c r="Q275" s="151"/>
      <c r="R275" s="151"/>
      <c r="S275" s="151"/>
      <c r="T275" s="151"/>
      <c r="U275" s="151"/>
      <c r="V275" s="151"/>
      <c r="W275" s="151"/>
      <c r="X275" s="151"/>
      <c r="Y275" s="151"/>
      <c r="Z275" s="151"/>
    </row>
    <row r="276">
      <c r="A276" s="151"/>
      <c r="B276" s="151"/>
      <c r="C276" s="179"/>
      <c r="D276" s="180"/>
      <c r="E276" s="151"/>
      <c r="F276" s="151"/>
      <c r="G276" s="151"/>
      <c r="H276" s="151"/>
      <c r="I276" s="151"/>
      <c r="J276" s="151"/>
      <c r="K276" s="151"/>
      <c r="L276" s="151"/>
      <c r="M276" s="151"/>
      <c r="N276" s="151"/>
      <c r="O276" s="151"/>
      <c r="P276" s="151"/>
      <c r="Q276" s="151"/>
      <c r="R276" s="151"/>
      <c r="S276" s="151"/>
      <c r="T276" s="151"/>
      <c r="U276" s="151"/>
      <c r="V276" s="151"/>
      <c r="W276" s="151"/>
      <c r="X276" s="151"/>
      <c r="Y276" s="151"/>
      <c r="Z276" s="151"/>
    </row>
    <row r="277">
      <c r="A277" s="151"/>
      <c r="B277" s="151"/>
      <c r="C277" s="179"/>
      <c r="D277" s="180"/>
      <c r="E277" s="151"/>
      <c r="F277" s="151"/>
      <c r="G277" s="151"/>
      <c r="H277" s="151"/>
      <c r="I277" s="151"/>
      <c r="J277" s="151"/>
      <c r="K277" s="151"/>
      <c r="L277" s="151"/>
      <c r="M277" s="151"/>
      <c r="N277" s="151"/>
      <c r="O277" s="151"/>
      <c r="P277" s="151"/>
      <c r="Q277" s="151"/>
      <c r="R277" s="151"/>
      <c r="S277" s="151"/>
      <c r="T277" s="151"/>
      <c r="U277" s="151"/>
      <c r="V277" s="151"/>
      <c r="W277" s="151"/>
      <c r="X277" s="151"/>
      <c r="Y277" s="151"/>
      <c r="Z277" s="151"/>
    </row>
    <row r="278">
      <c r="A278" s="151"/>
      <c r="B278" s="151"/>
      <c r="C278" s="179"/>
      <c r="D278" s="180"/>
      <c r="E278" s="151"/>
      <c r="F278" s="151"/>
      <c r="G278" s="151"/>
      <c r="H278" s="151"/>
      <c r="I278" s="151"/>
      <c r="J278" s="151"/>
      <c r="K278" s="151"/>
      <c r="L278" s="151"/>
      <c r="M278" s="151"/>
      <c r="N278" s="151"/>
      <c r="O278" s="151"/>
      <c r="P278" s="151"/>
      <c r="Q278" s="151"/>
      <c r="R278" s="151"/>
      <c r="S278" s="151"/>
      <c r="T278" s="151"/>
      <c r="U278" s="151"/>
      <c r="V278" s="151"/>
      <c r="W278" s="151"/>
      <c r="X278" s="151"/>
      <c r="Y278" s="151"/>
      <c r="Z278" s="151"/>
    </row>
    <row r="279">
      <c r="A279" s="151"/>
      <c r="B279" s="151"/>
      <c r="C279" s="179"/>
      <c r="D279" s="180"/>
      <c r="E279" s="151"/>
      <c r="F279" s="151"/>
      <c r="G279" s="151"/>
      <c r="H279" s="151"/>
      <c r="I279" s="151"/>
      <c r="J279" s="151"/>
      <c r="K279" s="151"/>
      <c r="L279" s="151"/>
      <c r="M279" s="151"/>
      <c r="N279" s="151"/>
      <c r="O279" s="151"/>
      <c r="P279" s="151"/>
      <c r="Q279" s="151"/>
      <c r="R279" s="151"/>
      <c r="S279" s="151"/>
      <c r="T279" s="151"/>
      <c r="U279" s="151"/>
      <c r="V279" s="151"/>
      <c r="W279" s="151"/>
      <c r="X279" s="151"/>
      <c r="Y279" s="151"/>
      <c r="Z279" s="151"/>
    </row>
    <row r="280">
      <c r="A280" s="151"/>
      <c r="B280" s="151"/>
      <c r="C280" s="179"/>
      <c r="D280" s="180"/>
      <c r="E280" s="151"/>
      <c r="F280" s="151"/>
      <c r="G280" s="151"/>
      <c r="H280" s="151"/>
      <c r="I280" s="151"/>
      <c r="J280" s="151"/>
      <c r="K280" s="151"/>
      <c r="L280" s="151"/>
      <c r="M280" s="151"/>
      <c r="N280" s="151"/>
      <c r="O280" s="151"/>
      <c r="P280" s="151"/>
      <c r="Q280" s="151"/>
      <c r="R280" s="151"/>
      <c r="S280" s="151"/>
      <c r="T280" s="151"/>
      <c r="U280" s="151"/>
      <c r="V280" s="151"/>
      <c r="W280" s="151"/>
      <c r="X280" s="151"/>
      <c r="Y280" s="151"/>
      <c r="Z280" s="151"/>
    </row>
    <row r="281">
      <c r="A281" s="151"/>
      <c r="B281" s="151"/>
      <c r="C281" s="179"/>
      <c r="D281" s="180"/>
      <c r="E281" s="151"/>
      <c r="F281" s="151"/>
      <c r="G281" s="151"/>
      <c r="H281" s="151"/>
      <c r="I281" s="151"/>
      <c r="J281" s="151"/>
      <c r="K281" s="151"/>
      <c r="L281" s="151"/>
      <c r="M281" s="151"/>
      <c r="N281" s="151"/>
      <c r="O281" s="151"/>
      <c r="P281" s="151"/>
      <c r="Q281" s="151"/>
      <c r="R281" s="151"/>
      <c r="S281" s="151"/>
      <c r="T281" s="151"/>
      <c r="U281" s="151"/>
      <c r="V281" s="151"/>
      <c r="W281" s="151"/>
      <c r="X281" s="151"/>
      <c r="Y281" s="151"/>
      <c r="Z281" s="151"/>
    </row>
    <row r="282">
      <c r="A282" s="151"/>
      <c r="B282" s="151"/>
      <c r="C282" s="179"/>
      <c r="D282" s="180"/>
      <c r="E282" s="151"/>
      <c r="F282" s="151"/>
      <c r="G282" s="151"/>
      <c r="H282" s="151"/>
      <c r="I282" s="151"/>
      <c r="J282" s="151"/>
      <c r="K282" s="151"/>
      <c r="L282" s="151"/>
      <c r="M282" s="151"/>
      <c r="N282" s="151"/>
      <c r="O282" s="151"/>
      <c r="P282" s="151"/>
      <c r="Q282" s="151"/>
      <c r="R282" s="151"/>
      <c r="S282" s="151"/>
      <c r="T282" s="151"/>
      <c r="U282" s="151"/>
      <c r="V282" s="151"/>
      <c r="W282" s="151"/>
      <c r="X282" s="151"/>
      <c r="Y282" s="151"/>
      <c r="Z282" s="151"/>
    </row>
    <row r="283">
      <c r="A283" s="151"/>
      <c r="B283" s="151"/>
      <c r="C283" s="179"/>
      <c r="D283" s="180"/>
      <c r="E283" s="151"/>
      <c r="F283" s="151"/>
      <c r="G283" s="151"/>
      <c r="H283" s="151"/>
      <c r="I283" s="151"/>
      <c r="J283" s="151"/>
      <c r="K283" s="151"/>
      <c r="L283" s="151"/>
      <c r="M283" s="151"/>
      <c r="N283" s="151"/>
      <c r="O283" s="151"/>
      <c r="P283" s="151"/>
      <c r="Q283" s="151"/>
      <c r="R283" s="151"/>
      <c r="S283" s="151"/>
      <c r="T283" s="151"/>
      <c r="U283" s="151"/>
      <c r="V283" s="151"/>
      <c r="W283" s="151"/>
      <c r="X283" s="151"/>
      <c r="Y283" s="151"/>
      <c r="Z283" s="151"/>
    </row>
    <row r="284">
      <c r="A284" s="151"/>
      <c r="B284" s="151"/>
      <c r="C284" s="179"/>
      <c r="D284" s="180"/>
      <c r="E284" s="151"/>
      <c r="F284" s="151"/>
      <c r="G284" s="151"/>
      <c r="H284" s="151"/>
      <c r="I284" s="151"/>
      <c r="J284" s="151"/>
      <c r="K284" s="151"/>
      <c r="L284" s="151"/>
      <c r="M284" s="151"/>
      <c r="N284" s="151"/>
      <c r="O284" s="151"/>
      <c r="P284" s="151"/>
      <c r="Q284" s="151"/>
      <c r="R284" s="151"/>
      <c r="S284" s="151"/>
      <c r="T284" s="151"/>
      <c r="U284" s="151"/>
      <c r="V284" s="151"/>
      <c r="W284" s="151"/>
      <c r="X284" s="151"/>
      <c r="Y284" s="151"/>
      <c r="Z284" s="151"/>
    </row>
    <row r="285">
      <c r="A285" s="151"/>
      <c r="B285" s="151"/>
      <c r="C285" s="179"/>
      <c r="D285" s="180"/>
      <c r="E285" s="151"/>
      <c r="F285" s="151"/>
      <c r="G285" s="151"/>
      <c r="H285" s="151"/>
      <c r="I285" s="151"/>
      <c r="J285" s="151"/>
      <c r="K285" s="151"/>
      <c r="L285" s="151"/>
      <c r="M285" s="151"/>
      <c r="N285" s="151"/>
      <c r="O285" s="151"/>
      <c r="P285" s="151"/>
      <c r="Q285" s="151"/>
      <c r="R285" s="151"/>
      <c r="S285" s="151"/>
      <c r="T285" s="151"/>
      <c r="U285" s="151"/>
      <c r="V285" s="151"/>
      <c r="W285" s="151"/>
      <c r="X285" s="151"/>
      <c r="Y285" s="151"/>
      <c r="Z285" s="151"/>
    </row>
    <row r="286">
      <c r="A286" s="151"/>
      <c r="B286" s="151"/>
      <c r="C286" s="179"/>
      <c r="D286" s="180"/>
      <c r="E286" s="151"/>
      <c r="F286" s="151"/>
      <c r="G286" s="151"/>
      <c r="H286" s="151"/>
      <c r="I286" s="151"/>
      <c r="J286" s="151"/>
      <c r="K286" s="151"/>
      <c r="L286" s="151"/>
      <c r="M286" s="151"/>
      <c r="N286" s="151"/>
      <c r="O286" s="151"/>
      <c r="P286" s="151"/>
      <c r="Q286" s="151"/>
      <c r="R286" s="151"/>
      <c r="S286" s="151"/>
      <c r="T286" s="151"/>
      <c r="U286" s="151"/>
      <c r="V286" s="151"/>
      <c r="W286" s="151"/>
      <c r="X286" s="151"/>
      <c r="Y286" s="151"/>
      <c r="Z286" s="151"/>
    </row>
    <row r="287">
      <c r="A287" s="151"/>
      <c r="B287" s="151"/>
      <c r="C287" s="179"/>
      <c r="D287" s="180"/>
      <c r="E287" s="151"/>
      <c r="F287" s="151"/>
      <c r="G287" s="151"/>
      <c r="H287" s="151"/>
      <c r="I287" s="151"/>
      <c r="J287" s="151"/>
      <c r="K287" s="151"/>
      <c r="L287" s="151"/>
      <c r="M287" s="151"/>
      <c r="N287" s="151"/>
      <c r="O287" s="151"/>
      <c r="P287" s="151"/>
      <c r="Q287" s="151"/>
      <c r="R287" s="151"/>
      <c r="S287" s="151"/>
      <c r="T287" s="151"/>
      <c r="U287" s="151"/>
      <c r="V287" s="151"/>
      <c r="W287" s="151"/>
      <c r="X287" s="151"/>
      <c r="Y287" s="151"/>
      <c r="Z287" s="151"/>
    </row>
    <row r="288">
      <c r="A288" s="151"/>
      <c r="B288" s="151"/>
      <c r="C288" s="179"/>
      <c r="D288" s="180"/>
      <c r="E288" s="151"/>
      <c r="F288" s="151"/>
      <c r="G288" s="151"/>
      <c r="H288" s="151"/>
      <c r="I288" s="151"/>
      <c r="J288" s="151"/>
      <c r="K288" s="151"/>
      <c r="L288" s="151"/>
      <c r="M288" s="151"/>
      <c r="N288" s="151"/>
      <c r="O288" s="151"/>
      <c r="P288" s="151"/>
      <c r="Q288" s="151"/>
      <c r="R288" s="151"/>
      <c r="S288" s="151"/>
      <c r="T288" s="151"/>
      <c r="U288" s="151"/>
      <c r="V288" s="151"/>
      <c r="W288" s="151"/>
      <c r="X288" s="151"/>
      <c r="Y288" s="151"/>
      <c r="Z288" s="151"/>
    </row>
    <row r="289">
      <c r="A289" s="151"/>
      <c r="B289" s="151"/>
      <c r="C289" s="179"/>
      <c r="D289" s="180"/>
      <c r="E289" s="151"/>
      <c r="F289" s="151"/>
      <c r="G289" s="151"/>
      <c r="H289" s="151"/>
      <c r="I289" s="151"/>
      <c r="J289" s="151"/>
      <c r="K289" s="151"/>
      <c r="L289" s="151"/>
      <c r="M289" s="151"/>
      <c r="N289" s="151"/>
      <c r="O289" s="151"/>
      <c r="P289" s="151"/>
      <c r="Q289" s="151"/>
      <c r="R289" s="151"/>
      <c r="S289" s="151"/>
      <c r="T289" s="151"/>
      <c r="U289" s="151"/>
      <c r="V289" s="151"/>
      <c r="W289" s="151"/>
      <c r="X289" s="151"/>
      <c r="Y289" s="151"/>
      <c r="Z289" s="151"/>
    </row>
    <row r="290">
      <c r="A290" s="151"/>
      <c r="B290" s="151"/>
      <c r="C290" s="179"/>
      <c r="D290" s="180"/>
      <c r="E290" s="151"/>
      <c r="F290" s="151"/>
      <c r="G290" s="151"/>
      <c r="H290" s="151"/>
      <c r="I290" s="151"/>
      <c r="J290" s="151"/>
      <c r="K290" s="151"/>
      <c r="L290" s="151"/>
      <c r="M290" s="151"/>
      <c r="N290" s="151"/>
      <c r="O290" s="151"/>
      <c r="P290" s="151"/>
      <c r="Q290" s="151"/>
      <c r="R290" s="151"/>
      <c r="S290" s="151"/>
      <c r="T290" s="151"/>
      <c r="U290" s="151"/>
      <c r="V290" s="151"/>
      <c r="W290" s="151"/>
      <c r="X290" s="151"/>
      <c r="Y290" s="151"/>
      <c r="Z290" s="151"/>
    </row>
    <row r="291">
      <c r="A291" s="151"/>
      <c r="B291" s="151"/>
      <c r="C291" s="179"/>
      <c r="D291" s="180"/>
      <c r="E291" s="151"/>
      <c r="F291" s="151"/>
      <c r="G291" s="151"/>
      <c r="H291" s="151"/>
      <c r="I291" s="151"/>
      <c r="J291" s="151"/>
      <c r="K291" s="151"/>
      <c r="L291" s="151"/>
      <c r="M291" s="151"/>
      <c r="N291" s="151"/>
      <c r="O291" s="151"/>
      <c r="P291" s="151"/>
      <c r="Q291" s="151"/>
      <c r="R291" s="151"/>
      <c r="S291" s="151"/>
      <c r="T291" s="151"/>
      <c r="U291" s="151"/>
      <c r="V291" s="151"/>
      <c r="W291" s="151"/>
      <c r="X291" s="151"/>
      <c r="Y291" s="151"/>
      <c r="Z291" s="151"/>
    </row>
    <row r="292">
      <c r="A292" s="151"/>
      <c r="B292" s="151"/>
      <c r="C292" s="179"/>
      <c r="D292" s="180"/>
      <c r="E292" s="151"/>
      <c r="F292" s="151"/>
      <c r="G292" s="151"/>
      <c r="H292" s="151"/>
      <c r="I292" s="151"/>
      <c r="J292" s="151"/>
      <c r="K292" s="151"/>
      <c r="L292" s="151"/>
      <c r="M292" s="151"/>
      <c r="N292" s="151"/>
      <c r="O292" s="151"/>
      <c r="P292" s="151"/>
      <c r="Q292" s="151"/>
      <c r="R292" s="151"/>
      <c r="S292" s="151"/>
      <c r="T292" s="151"/>
      <c r="U292" s="151"/>
      <c r="V292" s="151"/>
      <c r="W292" s="151"/>
      <c r="X292" s="151"/>
      <c r="Y292" s="151"/>
      <c r="Z292" s="151"/>
    </row>
    <row r="293">
      <c r="A293" s="151"/>
      <c r="B293" s="151"/>
      <c r="C293" s="179"/>
      <c r="D293" s="180"/>
      <c r="E293" s="151"/>
      <c r="F293" s="151"/>
      <c r="G293" s="151"/>
      <c r="H293" s="151"/>
      <c r="I293" s="151"/>
      <c r="J293" s="151"/>
      <c r="K293" s="151"/>
      <c r="L293" s="151"/>
      <c r="M293" s="151"/>
      <c r="N293" s="151"/>
      <c r="O293" s="151"/>
      <c r="P293" s="151"/>
      <c r="Q293" s="151"/>
      <c r="R293" s="151"/>
      <c r="S293" s="151"/>
      <c r="T293" s="151"/>
      <c r="U293" s="151"/>
      <c r="V293" s="151"/>
      <c r="W293" s="151"/>
      <c r="X293" s="151"/>
      <c r="Y293" s="151"/>
      <c r="Z293" s="151"/>
    </row>
    <row r="294">
      <c r="A294" s="151"/>
      <c r="B294" s="151"/>
      <c r="C294" s="179"/>
      <c r="D294" s="180"/>
      <c r="E294" s="151"/>
      <c r="F294" s="151"/>
      <c r="G294" s="151"/>
      <c r="H294" s="151"/>
      <c r="I294" s="151"/>
      <c r="J294" s="151"/>
      <c r="K294" s="151"/>
      <c r="L294" s="151"/>
      <c r="M294" s="151"/>
      <c r="N294" s="151"/>
      <c r="O294" s="151"/>
      <c r="P294" s="151"/>
      <c r="Q294" s="151"/>
      <c r="R294" s="151"/>
      <c r="S294" s="151"/>
      <c r="T294" s="151"/>
      <c r="U294" s="151"/>
      <c r="V294" s="151"/>
      <c r="W294" s="151"/>
      <c r="X294" s="151"/>
      <c r="Y294" s="151"/>
      <c r="Z294" s="151"/>
    </row>
    <row r="295">
      <c r="A295" s="151"/>
      <c r="B295" s="151"/>
      <c r="C295" s="179"/>
      <c r="D295" s="180"/>
      <c r="E295" s="151"/>
      <c r="F295" s="151"/>
      <c r="G295" s="151"/>
      <c r="H295" s="151"/>
      <c r="I295" s="151"/>
      <c r="J295" s="151"/>
      <c r="K295" s="151"/>
      <c r="L295" s="151"/>
      <c r="M295" s="151"/>
      <c r="N295" s="151"/>
      <c r="O295" s="151"/>
      <c r="P295" s="151"/>
      <c r="Q295" s="151"/>
      <c r="R295" s="151"/>
      <c r="S295" s="151"/>
      <c r="T295" s="151"/>
      <c r="U295" s="151"/>
      <c r="V295" s="151"/>
      <c r="W295" s="151"/>
      <c r="X295" s="151"/>
      <c r="Y295" s="151"/>
      <c r="Z295" s="151"/>
    </row>
    <row r="296">
      <c r="A296" s="151"/>
      <c r="B296" s="151"/>
      <c r="C296" s="179"/>
      <c r="D296" s="180"/>
      <c r="E296" s="151"/>
      <c r="F296" s="151"/>
      <c r="G296" s="151"/>
      <c r="H296" s="151"/>
      <c r="I296" s="151"/>
      <c r="J296" s="151"/>
      <c r="K296" s="151"/>
      <c r="L296" s="151"/>
      <c r="M296" s="151"/>
      <c r="N296" s="151"/>
      <c r="O296" s="151"/>
      <c r="P296" s="151"/>
      <c r="Q296" s="151"/>
      <c r="R296" s="151"/>
      <c r="S296" s="151"/>
      <c r="T296" s="151"/>
      <c r="U296" s="151"/>
      <c r="V296" s="151"/>
      <c r="W296" s="151"/>
      <c r="X296" s="151"/>
      <c r="Y296" s="151"/>
      <c r="Z296" s="151"/>
    </row>
    <row r="297">
      <c r="A297" s="151"/>
      <c r="B297" s="151"/>
      <c r="C297" s="179"/>
      <c r="D297" s="180"/>
      <c r="E297" s="151"/>
      <c r="F297" s="151"/>
      <c r="G297" s="151"/>
      <c r="H297" s="151"/>
      <c r="I297" s="151"/>
      <c r="J297" s="151"/>
      <c r="K297" s="151"/>
      <c r="L297" s="151"/>
      <c r="M297" s="151"/>
      <c r="N297" s="151"/>
      <c r="O297" s="151"/>
      <c r="P297" s="151"/>
      <c r="Q297" s="151"/>
      <c r="R297" s="151"/>
      <c r="S297" s="151"/>
      <c r="T297" s="151"/>
      <c r="U297" s="151"/>
      <c r="V297" s="151"/>
      <c r="W297" s="151"/>
      <c r="X297" s="151"/>
      <c r="Y297" s="151"/>
      <c r="Z297" s="151"/>
    </row>
    <row r="298">
      <c r="A298" s="151"/>
      <c r="B298" s="151"/>
      <c r="C298" s="179"/>
      <c r="D298" s="180"/>
      <c r="E298" s="151"/>
      <c r="F298" s="151"/>
      <c r="G298" s="151"/>
      <c r="H298" s="151"/>
      <c r="I298" s="151"/>
      <c r="J298" s="151"/>
      <c r="K298" s="151"/>
      <c r="L298" s="151"/>
      <c r="M298" s="151"/>
      <c r="N298" s="151"/>
      <c r="O298" s="151"/>
      <c r="P298" s="151"/>
      <c r="Q298" s="151"/>
      <c r="R298" s="151"/>
      <c r="S298" s="151"/>
      <c r="T298" s="151"/>
      <c r="U298" s="151"/>
      <c r="V298" s="151"/>
      <c r="W298" s="151"/>
      <c r="X298" s="151"/>
      <c r="Y298" s="151"/>
      <c r="Z298" s="151"/>
    </row>
    <row r="299">
      <c r="A299" s="151"/>
      <c r="B299" s="151"/>
      <c r="C299" s="179"/>
      <c r="D299" s="180"/>
      <c r="E299" s="151"/>
      <c r="F299" s="151"/>
      <c r="G299" s="151"/>
      <c r="H299" s="151"/>
      <c r="I299" s="151"/>
      <c r="J299" s="151"/>
      <c r="K299" s="151"/>
      <c r="L299" s="151"/>
      <c r="M299" s="151"/>
      <c r="N299" s="151"/>
      <c r="O299" s="151"/>
      <c r="P299" s="151"/>
      <c r="Q299" s="151"/>
      <c r="R299" s="151"/>
      <c r="S299" s="151"/>
      <c r="T299" s="151"/>
      <c r="U299" s="151"/>
      <c r="V299" s="151"/>
      <c r="W299" s="151"/>
      <c r="X299" s="151"/>
      <c r="Y299" s="151"/>
      <c r="Z299" s="151"/>
    </row>
    <row r="300">
      <c r="A300" s="151"/>
      <c r="B300" s="151"/>
      <c r="C300" s="179"/>
      <c r="D300" s="180"/>
      <c r="E300" s="151"/>
      <c r="F300" s="151"/>
      <c r="G300" s="151"/>
      <c r="H300" s="151"/>
      <c r="I300" s="151"/>
      <c r="J300" s="151"/>
      <c r="K300" s="151"/>
      <c r="L300" s="151"/>
      <c r="M300" s="151"/>
      <c r="N300" s="151"/>
      <c r="O300" s="151"/>
      <c r="P300" s="151"/>
      <c r="Q300" s="151"/>
      <c r="R300" s="151"/>
      <c r="S300" s="151"/>
      <c r="T300" s="151"/>
      <c r="U300" s="151"/>
      <c r="V300" s="151"/>
      <c r="W300" s="151"/>
      <c r="X300" s="151"/>
      <c r="Y300" s="151"/>
      <c r="Z300" s="151"/>
    </row>
    <row r="301">
      <c r="A301" s="151"/>
      <c r="B301" s="151"/>
      <c r="C301" s="179"/>
      <c r="D301" s="180"/>
      <c r="E301" s="151"/>
      <c r="F301" s="151"/>
      <c r="G301" s="151"/>
      <c r="H301" s="151"/>
      <c r="I301" s="151"/>
      <c r="J301" s="151"/>
      <c r="K301" s="151"/>
      <c r="L301" s="151"/>
      <c r="M301" s="151"/>
      <c r="N301" s="151"/>
      <c r="O301" s="151"/>
      <c r="P301" s="151"/>
      <c r="Q301" s="151"/>
      <c r="R301" s="151"/>
      <c r="S301" s="151"/>
      <c r="T301" s="151"/>
      <c r="U301" s="151"/>
      <c r="V301" s="151"/>
      <c r="W301" s="151"/>
      <c r="X301" s="151"/>
      <c r="Y301" s="151"/>
      <c r="Z301" s="151"/>
    </row>
    <row r="302">
      <c r="A302" s="151"/>
      <c r="B302" s="151"/>
      <c r="C302" s="179"/>
      <c r="D302" s="180"/>
      <c r="E302" s="151"/>
      <c r="F302" s="151"/>
      <c r="G302" s="151"/>
      <c r="H302" s="151"/>
      <c r="I302" s="151"/>
      <c r="J302" s="151"/>
      <c r="K302" s="151"/>
      <c r="L302" s="151"/>
      <c r="M302" s="151"/>
      <c r="N302" s="151"/>
      <c r="O302" s="151"/>
      <c r="P302" s="151"/>
      <c r="Q302" s="151"/>
      <c r="R302" s="151"/>
      <c r="S302" s="151"/>
      <c r="T302" s="151"/>
      <c r="U302" s="151"/>
      <c r="V302" s="151"/>
      <c r="W302" s="151"/>
      <c r="X302" s="151"/>
      <c r="Y302" s="151"/>
      <c r="Z302" s="151"/>
    </row>
    <row r="303">
      <c r="A303" s="151"/>
      <c r="B303" s="151"/>
      <c r="C303" s="179"/>
      <c r="D303" s="180"/>
      <c r="E303" s="151"/>
      <c r="F303" s="151"/>
      <c r="G303" s="151"/>
      <c r="H303" s="151"/>
      <c r="I303" s="151"/>
      <c r="J303" s="151"/>
      <c r="K303" s="151"/>
      <c r="L303" s="151"/>
      <c r="M303" s="151"/>
      <c r="N303" s="151"/>
      <c r="O303" s="151"/>
      <c r="P303" s="151"/>
      <c r="Q303" s="151"/>
      <c r="R303" s="151"/>
      <c r="S303" s="151"/>
      <c r="T303" s="151"/>
      <c r="U303" s="151"/>
      <c r="V303" s="151"/>
      <c r="W303" s="151"/>
      <c r="X303" s="151"/>
      <c r="Y303" s="151"/>
      <c r="Z303" s="151"/>
    </row>
    <row r="304">
      <c r="A304" s="151"/>
      <c r="B304" s="151"/>
      <c r="C304" s="179"/>
      <c r="D304" s="180"/>
      <c r="E304" s="151"/>
      <c r="F304" s="151"/>
      <c r="G304" s="151"/>
      <c r="H304" s="151"/>
      <c r="I304" s="151"/>
      <c r="J304" s="151"/>
      <c r="K304" s="151"/>
      <c r="L304" s="151"/>
      <c r="M304" s="151"/>
      <c r="N304" s="151"/>
      <c r="O304" s="151"/>
      <c r="P304" s="151"/>
      <c r="Q304" s="151"/>
      <c r="R304" s="151"/>
      <c r="S304" s="151"/>
      <c r="T304" s="151"/>
      <c r="U304" s="151"/>
      <c r="V304" s="151"/>
      <c r="W304" s="151"/>
      <c r="X304" s="151"/>
      <c r="Y304" s="151"/>
      <c r="Z304" s="151"/>
    </row>
    <row r="305">
      <c r="A305" s="151"/>
      <c r="B305" s="151"/>
      <c r="C305" s="179"/>
      <c r="D305" s="180"/>
      <c r="E305" s="151"/>
      <c r="F305" s="151"/>
      <c r="G305" s="151"/>
      <c r="H305" s="151"/>
      <c r="I305" s="151"/>
      <c r="J305" s="151"/>
      <c r="K305" s="151"/>
      <c r="L305" s="151"/>
      <c r="M305" s="151"/>
      <c r="N305" s="151"/>
      <c r="O305" s="151"/>
      <c r="P305" s="151"/>
      <c r="Q305" s="151"/>
      <c r="R305" s="151"/>
      <c r="S305" s="151"/>
      <c r="T305" s="151"/>
      <c r="U305" s="151"/>
      <c r="V305" s="151"/>
      <c r="W305" s="151"/>
      <c r="X305" s="151"/>
      <c r="Y305" s="151"/>
      <c r="Z305" s="151"/>
    </row>
    <row r="306">
      <c r="A306" s="151"/>
      <c r="B306" s="151"/>
      <c r="C306" s="179"/>
      <c r="D306" s="180"/>
      <c r="E306" s="151"/>
      <c r="F306" s="151"/>
      <c r="G306" s="151"/>
      <c r="H306" s="151"/>
      <c r="I306" s="151"/>
      <c r="J306" s="151"/>
      <c r="K306" s="151"/>
      <c r="L306" s="151"/>
      <c r="M306" s="151"/>
      <c r="N306" s="151"/>
      <c r="O306" s="151"/>
      <c r="P306" s="151"/>
      <c r="Q306" s="151"/>
      <c r="R306" s="151"/>
      <c r="S306" s="151"/>
      <c r="T306" s="151"/>
      <c r="U306" s="151"/>
      <c r="V306" s="151"/>
      <c r="W306" s="151"/>
      <c r="X306" s="151"/>
      <c r="Y306" s="151"/>
      <c r="Z306" s="151"/>
    </row>
    <row r="307">
      <c r="A307" s="151"/>
      <c r="B307" s="151"/>
      <c r="C307" s="179"/>
      <c r="D307" s="180"/>
      <c r="E307" s="151"/>
      <c r="F307" s="151"/>
      <c r="G307" s="151"/>
      <c r="H307" s="151"/>
      <c r="I307" s="151"/>
      <c r="J307" s="151"/>
      <c r="K307" s="151"/>
      <c r="L307" s="151"/>
      <c r="M307" s="151"/>
      <c r="N307" s="151"/>
      <c r="O307" s="151"/>
      <c r="P307" s="151"/>
      <c r="Q307" s="151"/>
      <c r="R307" s="151"/>
      <c r="S307" s="151"/>
      <c r="T307" s="151"/>
      <c r="U307" s="151"/>
      <c r="V307" s="151"/>
      <c r="W307" s="151"/>
      <c r="X307" s="151"/>
      <c r="Y307" s="151"/>
      <c r="Z307" s="151"/>
    </row>
    <row r="308">
      <c r="A308" s="151"/>
      <c r="B308" s="151"/>
      <c r="C308" s="179"/>
      <c r="D308" s="180"/>
      <c r="E308" s="151"/>
      <c r="F308" s="151"/>
      <c r="G308" s="151"/>
      <c r="H308" s="151"/>
      <c r="I308" s="151"/>
      <c r="J308" s="151"/>
      <c r="K308" s="151"/>
      <c r="L308" s="151"/>
      <c r="M308" s="151"/>
      <c r="N308" s="151"/>
      <c r="O308" s="151"/>
      <c r="P308" s="151"/>
      <c r="Q308" s="151"/>
      <c r="R308" s="151"/>
      <c r="S308" s="151"/>
      <c r="T308" s="151"/>
      <c r="U308" s="151"/>
      <c r="V308" s="151"/>
      <c r="W308" s="151"/>
      <c r="X308" s="151"/>
      <c r="Y308" s="151"/>
      <c r="Z308" s="151"/>
    </row>
    <row r="309">
      <c r="A309" s="151"/>
      <c r="B309" s="151"/>
      <c r="C309" s="179"/>
      <c r="D309" s="180"/>
      <c r="E309" s="151"/>
      <c r="F309" s="151"/>
      <c r="G309" s="151"/>
      <c r="H309" s="151"/>
      <c r="I309" s="151"/>
      <c r="J309" s="151"/>
      <c r="K309" s="151"/>
      <c r="L309" s="151"/>
      <c r="M309" s="151"/>
      <c r="N309" s="151"/>
      <c r="O309" s="151"/>
      <c r="P309" s="151"/>
      <c r="Q309" s="151"/>
      <c r="R309" s="151"/>
      <c r="S309" s="151"/>
      <c r="T309" s="151"/>
      <c r="U309" s="151"/>
      <c r="V309" s="151"/>
      <c r="W309" s="151"/>
      <c r="X309" s="151"/>
      <c r="Y309" s="151"/>
      <c r="Z309" s="151"/>
    </row>
    <row r="310">
      <c r="A310" s="151"/>
      <c r="B310" s="151"/>
      <c r="C310" s="179"/>
      <c r="D310" s="180"/>
      <c r="E310" s="151"/>
      <c r="F310" s="151"/>
      <c r="G310" s="151"/>
      <c r="H310" s="151"/>
      <c r="I310" s="151"/>
      <c r="J310" s="151"/>
      <c r="K310" s="151"/>
      <c r="L310" s="151"/>
      <c r="M310" s="151"/>
      <c r="N310" s="151"/>
      <c r="O310" s="151"/>
      <c r="P310" s="151"/>
      <c r="Q310" s="151"/>
      <c r="R310" s="151"/>
      <c r="S310" s="151"/>
      <c r="T310" s="151"/>
      <c r="U310" s="151"/>
      <c r="V310" s="151"/>
      <c r="W310" s="151"/>
      <c r="X310" s="151"/>
      <c r="Y310" s="151"/>
      <c r="Z310" s="151"/>
    </row>
    <row r="311">
      <c r="A311" s="151"/>
      <c r="B311" s="151"/>
      <c r="C311" s="179"/>
      <c r="D311" s="180"/>
      <c r="E311" s="151"/>
      <c r="F311" s="151"/>
      <c r="G311" s="151"/>
      <c r="H311" s="151"/>
      <c r="I311" s="151"/>
      <c r="J311" s="151"/>
      <c r="K311" s="151"/>
      <c r="L311" s="151"/>
      <c r="M311" s="151"/>
      <c r="N311" s="151"/>
      <c r="O311" s="151"/>
      <c r="P311" s="151"/>
      <c r="Q311" s="151"/>
      <c r="R311" s="151"/>
      <c r="S311" s="151"/>
      <c r="T311" s="151"/>
      <c r="U311" s="151"/>
      <c r="V311" s="151"/>
      <c r="W311" s="151"/>
      <c r="X311" s="151"/>
      <c r="Y311" s="151"/>
      <c r="Z311" s="151"/>
    </row>
    <row r="312">
      <c r="A312" s="151"/>
      <c r="B312" s="151"/>
      <c r="C312" s="179"/>
      <c r="D312" s="180"/>
      <c r="E312" s="151"/>
      <c r="F312" s="151"/>
      <c r="G312" s="151"/>
      <c r="H312" s="151"/>
      <c r="I312" s="151"/>
      <c r="J312" s="151"/>
      <c r="K312" s="151"/>
      <c r="L312" s="151"/>
      <c r="M312" s="151"/>
      <c r="N312" s="151"/>
      <c r="O312" s="151"/>
      <c r="P312" s="151"/>
      <c r="Q312" s="151"/>
      <c r="R312" s="151"/>
      <c r="S312" s="151"/>
      <c r="T312" s="151"/>
      <c r="U312" s="151"/>
      <c r="V312" s="151"/>
      <c r="W312" s="151"/>
      <c r="X312" s="151"/>
      <c r="Y312" s="151"/>
      <c r="Z312" s="151"/>
    </row>
    <row r="313">
      <c r="A313" s="151"/>
      <c r="B313" s="151"/>
      <c r="C313" s="179"/>
      <c r="D313" s="180"/>
      <c r="E313" s="151"/>
      <c r="F313" s="151"/>
      <c r="G313" s="151"/>
      <c r="H313" s="151"/>
      <c r="I313" s="151"/>
      <c r="J313" s="151"/>
      <c r="K313" s="151"/>
      <c r="L313" s="151"/>
      <c r="M313" s="151"/>
      <c r="N313" s="151"/>
      <c r="O313" s="151"/>
      <c r="P313" s="151"/>
      <c r="Q313" s="151"/>
      <c r="R313" s="151"/>
      <c r="S313" s="151"/>
      <c r="T313" s="151"/>
      <c r="U313" s="151"/>
      <c r="V313" s="151"/>
      <c r="W313" s="151"/>
      <c r="X313" s="151"/>
      <c r="Y313" s="151"/>
      <c r="Z313" s="151"/>
    </row>
    <row r="314">
      <c r="A314" s="151"/>
      <c r="B314" s="151"/>
      <c r="C314" s="179"/>
      <c r="D314" s="180"/>
      <c r="E314" s="151"/>
      <c r="F314" s="151"/>
      <c r="G314" s="151"/>
      <c r="H314" s="151"/>
      <c r="I314" s="151"/>
      <c r="J314" s="151"/>
      <c r="K314" s="151"/>
      <c r="L314" s="151"/>
      <c r="M314" s="151"/>
      <c r="N314" s="151"/>
      <c r="O314" s="151"/>
      <c r="P314" s="151"/>
      <c r="Q314" s="151"/>
      <c r="R314" s="151"/>
      <c r="S314" s="151"/>
      <c r="T314" s="151"/>
      <c r="U314" s="151"/>
      <c r="V314" s="151"/>
      <c r="W314" s="151"/>
      <c r="X314" s="151"/>
      <c r="Y314" s="151"/>
      <c r="Z314" s="151"/>
    </row>
    <row r="315">
      <c r="A315" s="151"/>
      <c r="B315" s="151"/>
      <c r="C315" s="179"/>
      <c r="D315" s="180"/>
      <c r="E315" s="151"/>
      <c r="F315" s="151"/>
      <c r="G315" s="151"/>
      <c r="H315" s="151"/>
      <c r="I315" s="151"/>
      <c r="J315" s="151"/>
      <c r="K315" s="151"/>
      <c r="L315" s="151"/>
      <c r="M315" s="151"/>
      <c r="N315" s="151"/>
      <c r="O315" s="151"/>
      <c r="P315" s="151"/>
      <c r="Q315" s="151"/>
      <c r="R315" s="151"/>
      <c r="S315" s="151"/>
      <c r="T315" s="151"/>
      <c r="U315" s="151"/>
      <c r="V315" s="151"/>
      <c r="W315" s="151"/>
      <c r="X315" s="151"/>
      <c r="Y315" s="151"/>
      <c r="Z315" s="151"/>
    </row>
    <row r="316">
      <c r="A316" s="151"/>
      <c r="B316" s="151"/>
      <c r="C316" s="179"/>
      <c r="D316" s="180"/>
      <c r="E316" s="151"/>
      <c r="F316" s="151"/>
      <c r="G316" s="151"/>
      <c r="H316" s="151"/>
      <c r="I316" s="151"/>
      <c r="J316" s="151"/>
      <c r="K316" s="151"/>
      <c r="L316" s="151"/>
      <c r="M316" s="151"/>
      <c r="N316" s="151"/>
      <c r="O316" s="151"/>
      <c r="P316" s="151"/>
      <c r="Q316" s="151"/>
      <c r="R316" s="151"/>
      <c r="S316" s="151"/>
      <c r="T316" s="151"/>
      <c r="U316" s="151"/>
      <c r="V316" s="151"/>
      <c r="W316" s="151"/>
      <c r="X316" s="151"/>
      <c r="Y316" s="151"/>
      <c r="Z316" s="151"/>
    </row>
    <row r="317">
      <c r="A317" s="151"/>
      <c r="B317" s="151"/>
      <c r="C317" s="179"/>
      <c r="D317" s="180"/>
      <c r="E317" s="151"/>
      <c r="F317" s="151"/>
      <c r="G317" s="151"/>
      <c r="H317" s="151"/>
      <c r="I317" s="151"/>
      <c r="J317" s="151"/>
      <c r="K317" s="151"/>
      <c r="L317" s="151"/>
      <c r="M317" s="151"/>
      <c r="N317" s="151"/>
      <c r="O317" s="151"/>
      <c r="P317" s="151"/>
      <c r="Q317" s="151"/>
      <c r="R317" s="151"/>
      <c r="S317" s="151"/>
      <c r="T317" s="151"/>
      <c r="U317" s="151"/>
      <c r="V317" s="151"/>
      <c r="W317" s="151"/>
      <c r="X317" s="151"/>
      <c r="Y317" s="151"/>
      <c r="Z317" s="151"/>
    </row>
    <row r="318">
      <c r="A318" s="151"/>
      <c r="B318" s="151"/>
      <c r="C318" s="179"/>
      <c r="D318" s="180"/>
      <c r="E318" s="151"/>
      <c r="F318" s="151"/>
      <c r="G318" s="151"/>
      <c r="H318" s="151"/>
      <c r="I318" s="151"/>
      <c r="J318" s="151"/>
      <c r="K318" s="151"/>
      <c r="L318" s="151"/>
      <c r="M318" s="151"/>
      <c r="N318" s="151"/>
      <c r="O318" s="151"/>
      <c r="P318" s="151"/>
      <c r="Q318" s="151"/>
      <c r="R318" s="151"/>
      <c r="S318" s="151"/>
      <c r="T318" s="151"/>
      <c r="U318" s="151"/>
      <c r="V318" s="151"/>
      <c r="W318" s="151"/>
      <c r="X318" s="151"/>
      <c r="Y318" s="151"/>
      <c r="Z318" s="151"/>
    </row>
    <row r="319">
      <c r="A319" s="151"/>
      <c r="B319" s="151"/>
      <c r="C319" s="179"/>
      <c r="D319" s="180"/>
      <c r="E319" s="151"/>
      <c r="F319" s="151"/>
      <c r="G319" s="151"/>
      <c r="H319" s="151"/>
      <c r="I319" s="151"/>
      <c r="J319" s="151"/>
      <c r="K319" s="151"/>
      <c r="L319" s="151"/>
      <c r="M319" s="151"/>
      <c r="N319" s="151"/>
      <c r="O319" s="151"/>
      <c r="P319" s="151"/>
      <c r="Q319" s="151"/>
      <c r="R319" s="151"/>
      <c r="S319" s="151"/>
      <c r="T319" s="151"/>
      <c r="U319" s="151"/>
      <c r="V319" s="151"/>
      <c r="W319" s="151"/>
      <c r="X319" s="151"/>
      <c r="Y319" s="151"/>
      <c r="Z319" s="151"/>
    </row>
    <row r="320">
      <c r="A320" s="151"/>
      <c r="B320" s="151"/>
      <c r="C320" s="179"/>
      <c r="D320" s="180"/>
      <c r="E320" s="151"/>
      <c r="F320" s="151"/>
      <c r="G320" s="151"/>
      <c r="H320" s="151"/>
      <c r="I320" s="151"/>
      <c r="J320" s="151"/>
      <c r="K320" s="151"/>
      <c r="L320" s="151"/>
      <c r="M320" s="151"/>
      <c r="N320" s="151"/>
      <c r="O320" s="151"/>
      <c r="P320" s="151"/>
      <c r="Q320" s="151"/>
      <c r="R320" s="151"/>
      <c r="S320" s="151"/>
      <c r="T320" s="151"/>
      <c r="U320" s="151"/>
      <c r="V320" s="151"/>
      <c r="W320" s="151"/>
      <c r="X320" s="151"/>
      <c r="Y320" s="151"/>
      <c r="Z320" s="151"/>
    </row>
    <row r="321">
      <c r="A321" s="151"/>
      <c r="B321" s="151"/>
      <c r="C321" s="179"/>
      <c r="D321" s="180"/>
      <c r="E321" s="151"/>
      <c r="F321" s="151"/>
      <c r="G321" s="151"/>
      <c r="H321" s="151"/>
      <c r="I321" s="151"/>
      <c r="J321" s="151"/>
      <c r="K321" s="151"/>
      <c r="L321" s="151"/>
      <c r="M321" s="151"/>
      <c r="N321" s="151"/>
      <c r="O321" s="151"/>
      <c r="P321" s="151"/>
      <c r="Q321" s="151"/>
      <c r="R321" s="151"/>
      <c r="S321" s="151"/>
      <c r="T321" s="151"/>
      <c r="U321" s="151"/>
      <c r="V321" s="151"/>
      <c r="W321" s="151"/>
      <c r="X321" s="151"/>
      <c r="Y321" s="151"/>
      <c r="Z321" s="151"/>
    </row>
    <row r="322">
      <c r="A322" s="151"/>
      <c r="B322" s="151"/>
      <c r="C322" s="179"/>
      <c r="D322" s="180"/>
      <c r="E322" s="151"/>
      <c r="F322" s="151"/>
      <c r="G322" s="151"/>
      <c r="H322" s="151"/>
      <c r="I322" s="151"/>
      <c r="J322" s="151"/>
      <c r="K322" s="151"/>
      <c r="L322" s="151"/>
      <c r="M322" s="151"/>
      <c r="N322" s="151"/>
      <c r="O322" s="151"/>
      <c r="P322" s="151"/>
      <c r="Q322" s="151"/>
      <c r="R322" s="151"/>
      <c r="S322" s="151"/>
      <c r="T322" s="151"/>
      <c r="U322" s="151"/>
      <c r="V322" s="151"/>
      <c r="W322" s="151"/>
      <c r="X322" s="151"/>
      <c r="Y322" s="151"/>
      <c r="Z322" s="151"/>
    </row>
    <row r="323">
      <c r="A323" s="151"/>
      <c r="B323" s="151"/>
      <c r="C323" s="179"/>
      <c r="D323" s="180"/>
      <c r="E323" s="151"/>
      <c r="F323" s="151"/>
      <c r="G323" s="151"/>
      <c r="H323" s="151"/>
      <c r="I323" s="151"/>
      <c r="J323" s="151"/>
      <c r="K323" s="151"/>
      <c r="L323" s="151"/>
      <c r="M323" s="151"/>
      <c r="N323" s="151"/>
      <c r="O323" s="151"/>
      <c r="P323" s="151"/>
      <c r="Q323" s="151"/>
      <c r="R323" s="151"/>
      <c r="S323" s="151"/>
      <c r="T323" s="151"/>
      <c r="U323" s="151"/>
      <c r="V323" s="151"/>
      <c r="W323" s="151"/>
      <c r="X323" s="151"/>
      <c r="Y323" s="151"/>
      <c r="Z323" s="151"/>
    </row>
    <row r="324">
      <c r="A324" s="151"/>
      <c r="B324" s="151"/>
      <c r="C324" s="179"/>
      <c r="D324" s="180"/>
      <c r="E324" s="151"/>
      <c r="F324" s="151"/>
      <c r="G324" s="151"/>
      <c r="H324" s="151"/>
      <c r="I324" s="151"/>
      <c r="J324" s="151"/>
      <c r="K324" s="151"/>
      <c r="L324" s="151"/>
      <c r="M324" s="151"/>
      <c r="N324" s="151"/>
      <c r="O324" s="151"/>
      <c r="P324" s="151"/>
      <c r="Q324" s="151"/>
      <c r="R324" s="151"/>
      <c r="S324" s="151"/>
      <c r="T324" s="151"/>
      <c r="U324" s="151"/>
      <c r="V324" s="151"/>
      <c r="W324" s="151"/>
      <c r="X324" s="151"/>
      <c r="Y324" s="151"/>
      <c r="Z324" s="151"/>
    </row>
    <row r="325">
      <c r="A325" s="151"/>
      <c r="B325" s="151"/>
      <c r="C325" s="179"/>
      <c r="D325" s="180"/>
      <c r="E325" s="151"/>
      <c r="F325" s="151"/>
      <c r="G325" s="151"/>
      <c r="H325" s="151"/>
      <c r="I325" s="151"/>
      <c r="J325" s="151"/>
      <c r="K325" s="151"/>
      <c r="L325" s="151"/>
      <c r="M325" s="151"/>
      <c r="N325" s="151"/>
      <c r="O325" s="151"/>
      <c r="P325" s="151"/>
      <c r="Q325" s="151"/>
      <c r="R325" s="151"/>
      <c r="S325" s="151"/>
      <c r="T325" s="151"/>
      <c r="U325" s="151"/>
      <c r="V325" s="151"/>
      <c r="W325" s="151"/>
      <c r="X325" s="151"/>
      <c r="Y325" s="151"/>
      <c r="Z325" s="151"/>
    </row>
    <row r="326">
      <c r="A326" s="151"/>
      <c r="B326" s="151"/>
      <c r="C326" s="179"/>
      <c r="D326" s="180"/>
      <c r="E326" s="151"/>
      <c r="F326" s="151"/>
      <c r="G326" s="151"/>
      <c r="H326" s="151"/>
      <c r="I326" s="151"/>
      <c r="J326" s="151"/>
      <c r="K326" s="151"/>
      <c r="L326" s="151"/>
      <c r="M326" s="151"/>
      <c r="N326" s="151"/>
      <c r="O326" s="151"/>
      <c r="P326" s="151"/>
      <c r="Q326" s="151"/>
      <c r="R326" s="151"/>
      <c r="S326" s="151"/>
      <c r="T326" s="151"/>
      <c r="U326" s="151"/>
      <c r="V326" s="151"/>
      <c r="W326" s="151"/>
      <c r="X326" s="151"/>
      <c r="Y326" s="151"/>
      <c r="Z326" s="151"/>
    </row>
    <row r="327">
      <c r="A327" s="151"/>
      <c r="B327" s="151"/>
      <c r="C327" s="179"/>
      <c r="D327" s="180"/>
      <c r="E327" s="151"/>
      <c r="F327" s="151"/>
      <c r="G327" s="151"/>
      <c r="H327" s="151"/>
      <c r="I327" s="151"/>
      <c r="J327" s="151"/>
      <c r="K327" s="151"/>
      <c r="L327" s="151"/>
      <c r="M327" s="151"/>
      <c r="N327" s="151"/>
      <c r="O327" s="151"/>
      <c r="P327" s="151"/>
      <c r="Q327" s="151"/>
      <c r="R327" s="151"/>
      <c r="S327" s="151"/>
      <c r="T327" s="151"/>
      <c r="U327" s="151"/>
      <c r="V327" s="151"/>
      <c r="W327" s="151"/>
      <c r="X327" s="151"/>
      <c r="Y327" s="151"/>
      <c r="Z327" s="151"/>
    </row>
    <row r="328">
      <c r="A328" s="151"/>
      <c r="B328" s="151"/>
      <c r="C328" s="179"/>
      <c r="D328" s="180"/>
      <c r="E328" s="151"/>
      <c r="F328" s="151"/>
      <c r="G328" s="151"/>
      <c r="H328" s="151"/>
      <c r="I328" s="151"/>
      <c r="J328" s="151"/>
      <c r="K328" s="151"/>
      <c r="L328" s="151"/>
      <c r="M328" s="151"/>
      <c r="N328" s="151"/>
      <c r="O328" s="151"/>
      <c r="P328" s="151"/>
      <c r="Q328" s="151"/>
      <c r="R328" s="151"/>
      <c r="S328" s="151"/>
      <c r="T328" s="151"/>
      <c r="U328" s="151"/>
      <c r="V328" s="151"/>
      <c r="W328" s="151"/>
      <c r="X328" s="151"/>
      <c r="Y328" s="151"/>
      <c r="Z328" s="151"/>
    </row>
    <row r="329">
      <c r="A329" s="151"/>
      <c r="B329" s="151"/>
      <c r="C329" s="179"/>
      <c r="D329" s="180"/>
      <c r="E329" s="151"/>
      <c r="F329" s="151"/>
      <c r="G329" s="151"/>
      <c r="H329" s="151"/>
      <c r="I329" s="151"/>
      <c r="J329" s="151"/>
      <c r="K329" s="151"/>
      <c r="L329" s="151"/>
      <c r="M329" s="151"/>
      <c r="N329" s="151"/>
      <c r="O329" s="151"/>
      <c r="P329" s="151"/>
      <c r="Q329" s="151"/>
      <c r="R329" s="151"/>
      <c r="S329" s="151"/>
      <c r="T329" s="151"/>
      <c r="U329" s="151"/>
      <c r="V329" s="151"/>
      <c r="W329" s="151"/>
      <c r="X329" s="151"/>
      <c r="Y329" s="151"/>
      <c r="Z329" s="151"/>
    </row>
    <row r="330">
      <c r="A330" s="151"/>
      <c r="B330" s="151"/>
      <c r="C330" s="179"/>
      <c r="D330" s="180"/>
      <c r="E330" s="151"/>
      <c r="F330" s="151"/>
      <c r="G330" s="151"/>
      <c r="H330" s="151"/>
      <c r="I330" s="151"/>
      <c r="J330" s="151"/>
      <c r="K330" s="151"/>
      <c r="L330" s="151"/>
      <c r="M330" s="151"/>
      <c r="N330" s="151"/>
      <c r="O330" s="151"/>
      <c r="P330" s="151"/>
      <c r="Q330" s="151"/>
      <c r="R330" s="151"/>
      <c r="S330" s="151"/>
      <c r="T330" s="151"/>
      <c r="U330" s="151"/>
      <c r="V330" s="151"/>
      <c r="W330" s="151"/>
      <c r="X330" s="151"/>
      <c r="Y330" s="151"/>
      <c r="Z330" s="151"/>
    </row>
    <row r="331">
      <c r="A331" s="151"/>
      <c r="B331" s="151"/>
      <c r="C331" s="179"/>
      <c r="D331" s="180"/>
      <c r="E331" s="151"/>
      <c r="F331" s="151"/>
      <c r="G331" s="151"/>
      <c r="H331" s="151"/>
      <c r="I331" s="151"/>
      <c r="J331" s="151"/>
      <c r="K331" s="151"/>
      <c r="L331" s="151"/>
      <c r="M331" s="151"/>
      <c r="N331" s="151"/>
      <c r="O331" s="151"/>
      <c r="P331" s="151"/>
      <c r="Q331" s="151"/>
      <c r="R331" s="151"/>
      <c r="S331" s="151"/>
      <c r="T331" s="151"/>
      <c r="U331" s="151"/>
      <c r="V331" s="151"/>
      <c r="W331" s="151"/>
      <c r="X331" s="151"/>
      <c r="Y331" s="151"/>
      <c r="Z331" s="151"/>
    </row>
    <row r="332">
      <c r="A332" s="151"/>
      <c r="B332" s="151"/>
      <c r="C332" s="179"/>
      <c r="D332" s="180"/>
      <c r="E332" s="151"/>
      <c r="F332" s="151"/>
      <c r="G332" s="151"/>
      <c r="H332" s="151"/>
      <c r="I332" s="151"/>
      <c r="J332" s="151"/>
      <c r="K332" s="151"/>
      <c r="L332" s="151"/>
      <c r="M332" s="151"/>
      <c r="N332" s="151"/>
      <c r="O332" s="151"/>
      <c r="P332" s="151"/>
      <c r="Q332" s="151"/>
      <c r="R332" s="151"/>
      <c r="S332" s="151"/>
      <c r="T332" s="151"/>
      <c r="U332" s="151"/>
      <c r="V332" s="151"/>
      <c r="W332" s="151"/>
      <c r="X332" s="151"/>
      <c r="Y332" s="151"/>
      <c r="Z332" s="151"/>
    </row>
    <row r="333">
      <c r="A333" s="151"/>
      <c r="B333" s="151"/>
      <c r="C333" s="179"/>
      <c r="D333" s="180"/>
      <c r="E333" s="151"/>
      <c r="F333" s="151"/>
      <c r="G333" s="151"/>
      <c r="H333" s="151"/>
      <c r="I333" s="151"/>
      <c r="J333" s="151"/>
      <c r="K333" s="151"/>
      <c r="L333" s="151"/>
      <c r="M333" s="151"/>
      <c r="N333" s="151"/>
      <c r="O333" s="151"/>
      <c r="P333" s="151"/>
      <c r="Q333" s="151"/>
      <c r="R333" s="151"/>
      <c r="S333" s="151"/>
      <c r="T333" s="151"/>
      <c r="U333" s="151"/>
      <c r="V333" s="151"/>
      <c r="W333" s="151"/>
      <c r="X333" s="151"/>
      <c r="Y333" s="151"/>
      <c r="Z333" s="151"/>
    </row>
    <row r="334">
      <c r="A334" s="151"/>
      <c r="B334" s="151"/>
      <c r="C334" s="179"/>
      <c r="D334" s="180"/>
      <c r="E334" s="151"/>
      <c r="F334" s="151"/>
      <c r="G334" s="151"/>
      <c r="H334" s="151"/>
      <c r="I334" s="151"/>
      <c r="J334" s="151"/>
      <c r="K334" s="151"/>
      <c r="L334" s="151"/>
      <c r="M334" s="151"/>
      <c r="N334" s="151"/>
      <c r="O334" s="151"/>
      <c r="P334" s="151"/>
      <c r="Q334" s="151"/>
      <c r="R334" s="151"/>
      <c r="S334" s="151"/>
      <c r="T334" s="151"/>
      <c r="U334" s="151"/>
      <c r="V334" s="151"/>
      <c r="W334" s="151"/>
      <c r="X334" s="151"/>
      <c r="Y334" s="151"/>
      <c r="Z334" s="151"/>
    </row>
    <row r="335">
      <c r="A335" s="151"/>
      <c r="B335" s="151"/>
      <c r="C335" s="179"/>
      <c r="D335" s="180"/>
      <c r="E335" s="151"/>
      <c r="F335" s="151"/>
      <c r="G335" s="151"/>
      <c r="H335" s="151"/>
      <c r="I335" s="151"/>
      <c r="J335" s="151"/>
      <c r="K335" s="151"/>
      <c r="L335" s="151"/>
      <c r="M335" s="151"/>
      <c r="N335" s="151"/>
      <c r="O335" s="151"/>
      <c r="P335" s="151"/>
      <c r="Q335" s="151"/>
      <c r="R335" s="151"/>
      <c r="S335" s="151"/>
      <c r="T335" s="151"/>
      <c r="U335" s="151"/>
      <c r="V335" s="151"/>
      <c r="W335" s="151"/>
      <c r="X335" s="151"/>
      <c r="Y335" s="151"/>
      <c r="Z335" s="151"/>
    </row>
    <row r="336">
      <c r="A336" s="151"/>
      <c r="B336" s="151"/>
      <c r="C336" s="179"/>
      <c r="D336" s="180"/>
      <c r="E336" s="151"/>
      <c r="F336" s="151"/>
      <c r="G336" s="151"/>
      <c r="H336" s="151"/>
      <c r="I336" s="151"/>
      <c r="J336" s="151"/>
      <c r="K336" s="151"/>
      <c r="L336" s="151"/>
      <c r="M336" s="151"/>
      <c r="N336" s="151"/>
      <c r="O336" s="151"/>
      <c r="P336" s="151"/>
      <c r="Q336" s="151"/>
      <c r="R336" s="151"/>
      <c r="S336" s="151"/>
      <c r="T336" s="151"/>
      <c r="U336" s="151"/>
      <c r="V336" s="151"/>
      <c r="W336" s="151"/>
      <c r="X336" s="151"/>
      <c r="Y336" s="151"/>
      <c r="Z336" s="151"/>
    </row>
    <row r="337">
      <c r="A337" s="151"/>
      <c r="B337" s="151"/>
      <c r="C337" s="179"/>
      <c r="D337" s="180"/>
      <c r="E337" s="151"/>
      <c r="F337" s="151"/>
      <c r="G337" s="151"/>
      <c r="H337" s="151"/>
      <c r="I337" s="151"/>
      <c r="J337" s="151"/>
      <c r="K337" s="151"/>
      <c r="L337" s="151"/>
      <c r="M337" s="151"/>
      <c r="N337" s="151"/>
      <c r="O337" s="151"/>
      <c r="P337" s="151"/>
      <c r="Q337" s="151"/>
      <c r="R337" s="151"/>
      <c r="S337" s="151"/>
      <c r="T337" s="151"/>
      <c r="U337" s="151"/>
      <c r="V337" s="151"/>
      <c r="W337" s="151"/>
      <c r="X337" s="151"/>
      <c r="Y337" s="151"/>
      <c r="Z337" s="151"/>
    </row>
    <row r="338">
      <c r="A338" s="151"/>
      <c r="B338" s="151"/>
      <c r="C338" s="179"/>
      <c r="D338" s="180"/>
      <c r="E338" s="151"/>
      <c r="F338" s="151"/>
      <c r="G338" s="151"/>
      <c r="H338" s="151"/>
      <c r="I338" s="151"/>
      <c r="J338" s="151"/>
      <c r="K338" s="151"/>
      <c r="L338" s="151"/>
      <c r="M338" s="151"/>
      <c r="N338" s="151"/>
      <c r="O338" s="151"/>
      <c r="P338" s="151"/>
      <c r="Q338" s="151"/>
      <c r="R338" s="151"/>
      <c r="S338" s="151"/>
      <c r="T338" s="151"/>
      <c r="U338" s="151"/>
      <c r="V338" s="151"/>
      <c r="W338" s="151"/>
      <c r="X338" s="151"/>
      <c r="Y338" s="151"/>
      <c r="Z338" s="151"/>
    </row>
    <row r="339">
      <c r="A339" s="151"/>
      <c r="B339" s="151"/>
      <c r="C339" s="179"/>
      <c r="D339" s="180"/>
      <c r="E339" s="151"/>
      <c r="F339" s="151"/>
      <c r="G339" s="151"/>
      <c r="H339" s="151"/>
      <c r="I339" s="151"/>
      <c r="J339" s="151"/>
      <c r="K339" s="151"/>
      <c r="L339" s="151"/>
      <c r="M339" s="151"/>
      <c r="N339" s="151"/>
      <c r="O339" s="151"/>
      <c r="P339" s="151"/>
      <c r="Q339" s="151"/>
      <c r="R339" s="151"/>
      <c r="S339" s="151"/>
      <c r="T339" s="151"/>
      <c r="U339" s="151"/>
      <c r="V339" s="151"/>
      <c r="W339" s="151"/>
      <c r="X339" s="151"/>
      <c r="Y339" s="151"/>
      <c r="Z339" s="151"/>
    </row>
    <row r="340">
      <c r="A340" s="151"/>
      <c r="B340" s="151"/>
      <c r="C340" s="179"/>
      <c r="D340" s="180"/>
      <c r="E340" s="151"/>
      <c r="F340" s="151"/>
      <c r="G340" s="151"/>
      <c r="H340" s="151"/>
      <c r="I340" s="151"/>
      <c r="J340" s="151"/>
      <c r="K340" s="151"/>
      <c r="L340" s="151"/>
      <c r="M340" s="151"/>
      <c r="N340" s="151"/>
      <c r="O340" s="151"/>
      <c r="P340" s="151"/>
      <c r="Q340" s="151"/>
      <c r="R340" s="151"/>
      <c r="S340" s="151"/>
      <c r="T340" s="151"/>
      <c r="U340" s="151"/>
      <c r="V340" s="151"/>
      <c r="W340" s="151"/>
      <c r="X340" s="151"/>
      <c r="Y340" s="151"/>
      <c r="Z340" s="151"/>
    </row>
    <row r="341">
      <c r="A341" s="151"/>
      <c r="B341" s="151"/>
      <c r="C341" s="179"/>
      <c r="D341" s="180"/>
      <c r="E341" s="151"/>
      <c r="F341" s="151"/>
      <c r="G341" s="151"/>
      <c r="H341" s="151"/>
      <c r="I341" s="151"/>
      <c r="J341" s="151"/>
      <c r="K341" s="151"/>
      <c r="L341" s="151"/>
      <c r="M341" s="151"/>
      <c r="N341" s="151"/>
      <c r="O341" s="151"/>
      <c r="P341" s="151"/>
      <c r="Q341" s="151"/>
      <c r="R341" s="151"/>
      <c r="S341" s="151"/>
      <c r="T341" s="151"/>
      <c r="U341" s="151"/>
      <c r="V341" s="151"/>
      <c r="W341" s="151"/>
      <c r="X341" s="151"/>
      <c r="Y341" s="151"/>
      <c r="Z341" s="151"/>
    </row>
    <row r="342">
      <c r="A342" s="151"/>
      <c r="B342" s="151"/>
      <c r="C342" s="179"/>
      <c r="D342" s="180"/>
      <c r="E342" s="151"/>
      <c r="F342" s="151"/>
      <c r="G342" s="151"/>
      <c r="H342" s="151"/>
      <c r="I342" s="151"/>
      <c r="J342" s="151"/>
      <c r="K342" s="151"/>
      <c r="L342" s="151"/>
      <c r="M342" s="151"/>
      <c r="N342" s="151"/>
      <c r="O342" s="151"/>
      <c r="P342" s="151"/>
      <c r="Q342" s="151"/>
      <c r="R342" s="151"/>
      <c r="S342" s="151"/>
      <c r="T342" s="151"/>
      <c r="U342" s="151"/>
      <c r="V342" s="151"/>
      <c r="W342" s="151"/>
      <c r="X342" s="151"/>
      <c r="Y342" s="151"/>
      <c r="Z342" s="151"/>
    </row>
    <row r="343">
      <c r="A343" s="151"/>
      <c r="B343" s="151"/>
      <c r="C343" s="179"/>
      <c r="D343" s="180"/>
      <c r="E343" s="151"/>
      <c r="F343" s="151"/>
      <c r="G343" s="151"/>
      <c r="H343" s="151"/>
      <c r="I343" s="151"/>
      <c r="J343" s="151"/>
      <c r="K343" s="151"/>
      <c r="L343" s="151"/>
      <c r="M343" s="151"/>
      <c r="N343" s="151"/>
      <c r="O343" s="151"/>
      <c r="P343" s="151"/>
      <c r="Q343" s="151"/>
      <c r="R343" s="151"/>
      <c r="S343" s="151"/>
      <c r="T343" s="151"/>
      <c r="U343" s="151"/>
      <c r="V343" s="151"/>
      <c r="W343" s="151"/>
      <c r="X343" s="151"/>
      <c r="Y343" s="151"/>
      <c r="Z343" s="151"/>
    </row>
    <row r="344">
      <c r="A344" s="151"/>
      <c r="B344" s="151"/>
      <c r="C344" s="179"/>
      <c r="D344" s="180"/>
      <c r="E344" s="151"/>
      <c r="F344" s="151"/>
      <c r="G344" s="151"/>
      <c r="H344" s="151"/>
      <c r="I344" s="151"/>
      <c r="J344" s="151"/>
      <c r="K344" s="151"/>
      <c r="L344" s="151"/>
      <c r="M344" s="151"/>
      <c r="N344" s="151"/>
      <c r="O344" s="151"/>
      <c r="P344" s="151"/>
      <c r="Q344" s="151"/>
      <c r="R344" s="151"/>
      <c r="S344" s="151"/>
      <c r="T344" s="151"/>
      <c r="U344" s="151"/>
      <c r="V344" s="151"/>
      <c r="W344" s="151"/>
      <c r="X344" s="151"/>
      <c r="Y344" s="151"/>
      <c r="Z344" s="151"/>
    </row>
    <row r="345">
      <c r="A345" s="151"/>
      <c r="B345" s="151"/>
      <c r="C345" s="179"/>
      <c r="D345" s="180"/>
      <c r="E345" s="151"/>
      <c r="F345" s="151"/>
      <c r="G345" s="151"/>
      <c r="H345" s="151"/>
      <c r="I345" s="151"/>
      <c r="J345" s="151"/>
      <c r="K345" s="151"/>
      <c r="L345" s="151"/>
      <c r="M345" s="151"/>
      <c r="N345" s="151"/>
      <c r="O345" s="151"/>
      <c r="P345" s="151"/>
      <c r="Q345" s="151"/>
      <c r="R345" s="151"/>
      <c r="S345" s="151"/>
      <c r="T345" s="151"/>
      <c r="U345" s="151"/>
      <c r="V345" s="151"/>
      <c r="W345" s="151"/>
      <c r="X345" s="151"/>
      <c r="Y345" s="151"/>
      <c r="Z345" s="151"/>
    </row>
    <row r="346">
      <c r="A346" s="151"/>
      <c r="B346" s="151"/>
      <c r="C346" s="179"/>
      <c r="D346" s="180"/>
      <c r="E346" s="151"/>
      <c r="F346" s="151"/>
      <c r="G346" s="151"/>
      <c r="H346" s="151"/>
      <c r="I346" s="151"/>
      <c r="J346" s="151"/>
      <c r="K346" s="151"/>
      <c r="L346" s="151"/>
      <c r="M346" s="151"/>
      <c r="N346" s="151"/>
      <c r="O346" s="151"/>
      <c r="P346" s="151"/>
      <c r="Q346" s="151"/>
      <c r="R346" s="151"/>
      <c r="S346" s="151"/>
      <c r="T346" s="151"/>
      <c r="U346" s="151"/>
      <c r="V346" s="151"/>
      <c r="W346" s="151"/>
      <c r="X346" s="151"/>
      <c r="Y346" s="151"/>
      <c r="Z346" s="151"/>
    </row>
    <row r="347">
      <c r="A347" s="151"/>
      <c r="B347" s="151"/>
      <c r="C347" s="179"/>
      <c r="D347" s="180"/>
      <c r="E347" s="151"/>
      <c r="F347" s="151"/>
      <c r="G347" s="151"/>
      <c r="H347" s="151"/>
      <c r="I347" s="151"/>
      <c r="J347" s="151"/>
      <c r="K347" s="151"/>
      <c r="L347" s="151"/>
      <c r="M347" s="151"/>
      <c r="N347" s="151"/>
      <c r="O347" s="151"/>
      <c r="P347" s="151"/>
      <c r="Q347" s="151"/>
      <c r="R347" s="151"/>
      <c r="S347" s="151"/>
      <c r="T347" s="151"/>
      <c r="U347" s="151"/>
      <c r="V347" s="151"/>
      <c r="W347" s="151"/>
      <c r="X347" s="151"/>
      <c r="Y347" s="151"/>
      <c r="Z347" s="151"/>
    </row>
    <row r="348">
      <c r="A348" s="151"/>
      <c r="B348" s="151"/>
      <c r="C348" s="179"/>
      <c r="D348" s="180"/>
      <c r="E348" s="151"/>
      <c r="F348" s="151"/>
      <c r="G348" s="151"/>
      <c r="H348" s="151"/>
      <c r="I348" s="151"/>
      <c r="J348" s="151"/>
      <c r="K348" s="151"/>
      <c r="L348" s="151"/>
      <c r="M348" s="151"/>
      <c r="N348" s="151"/>
      <c r="O348" s="151"/>
      <c r="P348" s="151"/>
      <c r="Q348" s="151"/>
      <c r="R348" s="151"/>
      <c r="S348" s="151"/>
      <c r="T348" s="151"/>
      <c r="U348" s="151"/>
      <c r="V348" s="151"/>
      <c r="W348" s="151"/>
      <c r="X348" s="151"/>
      <c r="Y348" s="151"/>
      <c r="Z348" s="151"/>
    </row>
    <row r="349">
      <c r="A349" s="151"/>
      <c r="B349" s="151"/>
      <c r="C349" s="179"/>
      <c r="D349" s="180"/>
      <c r="E349" s="151"/>
      <c r="F349" s="151"/>
      <c r="G349" s="151"/>
      <c r="H349" s="151"/>
      <c r="I349" s="151"/>
      <c r="J349" s="151"/>
      <c r="K349" s="151"/>
      <c r="L349" s="151"/>
      <c r="M349" s="151"/>
      <c r="N349" s="151"/>
      <c r="O349" s="151"/>
      <c r="P349" s="151"/>
      <c r="Q349" s="151"/>
      <c r="R349" s="151"/>
      <c r="S349" s="151"/>
      <c r="T349" s="151"/>
      <c r="U349" s="151"/>
      <c r="V349" s="151"/>
      <c r="W349" s="151"/>
      <c r="X349" s="151"/>
      <c r="Y349" s="151"/>
      <c r="Z349" s="151"/>
    </row>
    <row r="350">
      <c r="A350" s="151"/>
      <c r="B350" s="151"/>
      <c r="C350" s="179"/>
      <c r="D350" s="180"/>
      <c r="E350" s="151"/>
      <c r="F350" s="151"/>
      <c r="G350" s="151"/>
      <c r="H350" s="151"/>
      <c r="I350" s="151"/>
      <c r="J350" s="151"/>
      <c r="K350" s="151"/>
      <c r="L350" s="151"/>
      <c r="M350" s="151"/>
      <c r="N350" s="151"/>
      <c r="O350" s="151"/>
      <c r="P350" s="151"/>
      <c r="Q350" s="151"/>
      <c r="R350" s="151"/>
      <c r="S350" s="151"/>
      <c r="T350" s="151"/>
      <c r="U350" s="151"/>
      <c r="V350" s="151"/>
      <c r="W350" s="151"/>
      <c r="X350" s="151"/>
      <c r="Y350" s="151"/>
      <c r="Z350" s="151"/>
    </row>
    <row r="351">
      <c r="A351" s="151"/>
      <c r="B351" s="151"/>
      <c r="C351" s="179"/>
      <c r="D351" s="180"/>
      <c r="E351" s="151"/>
      <c r="F351" s="151"/>
      <c r="G351" s="151"/>
      <c r="H351" s="151"/>
      <c r="I351" s="151"/>
      <c r="J351" s="151"/>
      <c r="K351" s="151"/>
      <c r="L351" s="151"/>
      <c r="M351" s="151"/>
      <c r="N351" s="151"/>
      <c r="O351" s="151"/>
      <c r="P351" s="151"/>
      <c r="Q351" s="151"/>
      <c r="R351" s="151"/>
      <c r="S351" s="151"/>
      <c r="T351" s="151"/>
      <c r="U351" s="151"/>
      <c r="V351" s="151"/>
      <c r="W351" s="151"/>
      <c r="X351" s="151"/>
      <c r="Y351" s="151"/>
      <c r="Z351" s="151"/>
    </row>
    <row r="352">
      <c r="A352" s="151"/>
      <c r="B352" s="151"/>
      <c r="C352" s="179"/>
      <c r="D352" s="180"/>
      <c r="E352" s="151"/>
      <c r="F352" s="151"/>
      <c r="G352" s="151"/>
      <c r="H352" s="151"/>
      <c r="I352" s="151"/>
      <c r="J352" s="151"/>
      <c r="K352" s="151"/>
      <c r="L352" s="151"/>
      <c r="M352" s="151"/>
      <c r="N352" s="151"/>
      <c r="O352" s="151"/>
      <c r="P352" s="151"/>
      <c r="Q352" s="151"/>
      <c r="R352" s="151"/>
      <c r="S352" s="151"/>
      <c r="T352" s="151"/>
      <c r="U352" s="151"/>
      <c r="V352" s="151"/>
      <c r="W352" s="151"/>
      <c r="X352" s="151"/>
      <c r="Y352" s="151"/>
      <c r="Z352" s="151"/>
    </row>
    <row r="353">
      <c r="A353" s="151"/>
      <c r="B353" s="151"/>
      <c r="C353" s="179"/>
      <c r="D353" s="180"/>
      <c r="E353" s="151"/>
      <c r="F353" s="151"/>
      <c r="G353" s="151"/>
      <c r="H353" s="151"/>
      <c r="I353" s="151"/>
      <c r="J353" s="151"/>
      <c r="K353" s="151"/>
      <c r="L353" s="151"/>
      <c r="M353" s="151"/>
      <c r="N353" s="151"/>
      <c r="O353" s="151"/>
      <c r="P353" s="151"/>
      <c r="Q353" s="151"/>
      <c r="R353" s="151"/>
      <c r="S353" s="151"/>
      <c r="T353" s="151"/>
      <c r="U353" s="151"/>
      <c r="V353" s="151"/>
      <c r="W353" s="151"/>
      <c r="X353" s="151"/>
      <c r="Y353" s="151"/>
      <c r="Z353" s="151"/>
    </row>
    <row r="354">
      <c r="A354" s="151"/>
      <c r="B354" s="151"/>
      <c r="C354" s="179"/>
      <c r="D354" s="180"/>
      <c r="E354" s="151"/>
      <c r="F354" s="151"/>
      <c r="G354" s="151"/>
      <c r="H354" s="151"/>
      <c r="I354" s="151"/>
      <c r="J354" s="151"/>
      <c r="K354" s="151"/>
      <c r="L354" s="151"/>
      <c r="M354" s="151"/>
      <c r="N354" s="151"/>
      <c r="O354" s="151"/>
      <c r="P354" s="151"/>
      <c r="Q354" s="151"/>
      <c r="R354" s="151"/>
      <c r="S354" s="151"/>
      <c r="T354" s="151"/>
      <c r="U354" s="151"/>
      <c r="V354" s="151"/>
      <c r="W354" s="151"/>
      <c r="X354" s="151"/>
      <c r="Y354" s="151"/>
      <c r="Z354" s="151"/>
    </row>
    <row r="355">
      <c r="A355" s="151"/>
      <c r="B355" s="151"/>
      <c r="C355" s="179"/>
      <c r="D355" s="180"/>
      <c r="E355" s="151"/>
      <c r="F355" s="151"/>
      <c r="G355" s="151"/>
      <c r="H355" s="151"/>
      <c r="I355" s="151"/>
      <c r="J355" s="151"/>
      <c r="K355" s="151"/>
      <c r="L355" s="151"/>
      <c r="M355" s="151"/>
      <c r="N355" s="151"/>
      <c r="O355" s="151"/>
      <c r="P355" s="151"/>
      <c r="Q355" s="151"/>
      <c r="R355" s="151"/>
      <c r="S355" s="151"/>
      <c r="T355" s="151"/>
      <c r="U355" s="151"/>
      <c r="V355" s="151"/>
      <c r="W355" s="151"/>
      <c r="X355" s="151"/>
      <c r="Y355" s="151"/>
      <c r="Z355" s="151"/>
    </row>
    <row r="356">
      <c r="A356" s="151"/>
      <c r="B356" s="151"/>
      <c r="C356" s="179"/>
      <c r="D356" s="180"/>
      <c r="E356" s="151"/>
      <c r="F356" s="151"/>
      <c r="G356" s="151"/>
      <c r="H356" s="151"/>
      <c r="I356" s="151"/>
      <c r="J356" s="151"/>
      <c r="K356" s="151"/>
      <c r="L356" s="151"/>
      <c r="M356" s="151"/>
      <c r="N356" s="151"/>
      <c r="O356" s="151"/>
      <c r="P356" s="151"/>
      <c r="Q356" s="151"/>
      <c r="R356" s="151"/>
      <c r="S356" s="151"/>
      <c r="T356" s="151"/>
      <c r="U356" s="151"/>
      <c r="V356" s="151"/>
      <c r="W356" s="151"/>
      <c r="X356" s="151"/>
      <c r="Y356" s="151"/>
      <c r="Z356" s="151"/>
    </row>
    <row r="357">
      <c r="A357" s="151"/>
      <c r="B357" s="151"/>
      <c r="C357" s="179"/>
      <c r="D357" s="180"/>
      <c r="E357" s="151"/>
      <c r="F357" s="151"/>
      <c r="G357" s="151"/>
      <c r="H357" s="151"/>
      <c r="I357" s="151"/>
      <c r="J357" s="151"/>
      <c r="K357" s="151"/>
      <c r="L357" s="151"/>
      <c r="M357" s="151"/>
      <c r="N357" s="151"/>
      <c r="O357" s="151"/>
      <c r="P357" s="151"/>
      <c r="Q357" s="151"/>
      <c r="R357" s="151"/>
      <c r="S357" s="151"/>
      <c r="T357" s="151"/>
      <c r="U357" s="151"/>
      <c r="V357" s="151"/>
      <c r="W357" s="151"/>
      <c r="X357" s="151"/>
      <c r="Y357" s="151"/>
      <c r="Z357" s="151"/>
    </row>
    <row r="358">
      <c r="A358" s="151"/>
      <c r="B358" s="151"/>
      <c r="C358" s="179"/>
      <c r="D358" s="180"/>
      <c r="E358" s="151"/>
      <c r="F358" s="151"/>
      <c r="G358" s="151"/>
      <c r="H358" s="151"/>
      <c r="I358" s="151"/>
      <c r="J358" s="151"/>
      <c r="K358" s="151"/>
      <c r="L358" s="151"/>
      <c r="M358" s="151"/>
      <c r="N358" s="151"/>
      <c r="O358" s="151"/>
      <c r="P358" s="151"/>
      <c r="Q358" s="151"/>
      <c r="R358" s="151"/>
      <c r="S358" s="151"/>
      <c r="T358" s="151"/>
      <c r="U358" s="151"/>
      <c r="V358" s="151"/>
      <c r="W358" s="151"/>
      <c r="X358" s="151"/>
      <c r="Y358" s="151"/>
      <c r="Z358" s="151"/>
    </row>
    <row r="359">
      <c r="A359" s="151"/>
      <c r="B359" s="151"/>
      <c r="C359" s="179"/>
      <c r="D359" s="180"/>
      <c r="E359" s="151"/>
      <c r="F359" s="151"/>
      <c r="G359" s="151"/>
      <c r="H359" s="151"/>
      <c r="I359" s="151"/>
      <c r="J359" s="151"/>
      <c r="K359" s="151"/>
      <c r="L359" s="151"/>
      <c r="M359" s="151"/>
      <c r="N359" s="151"/>
      <c r="O359" s="151"/>
      <c r="P359" s="151"/>
      <c r="Q359" s="151"/>
      <c r="R359" s="151"/>
      <c r="S359" s="151"/>
      <c r="T359" s="151"/>
      <c r="U359" s="151"/>
      <c r="V359" s="151"/>
      <c r="W359" s="151"/>
      <c r="X359" s="151"/>
      <c r="Y359" s="151"/>
      <c r="Z359" s="151"/>
    </row>
    <row r="360">
      <c r="A360" s="151"/>
      <c r="B360" s="151"/>
      <c r="C360" s="179"/>
      <c r="D360" s="180"/>
      <c r="E360" s="151"/>
      <c r="F360" s="151"/>
      <c r="G360" s="151"/>
      <c r="H360" s="151"/>
      <c r="I360" s="151"/>
      <c r="J360" s="151"/>
      <c r="K360" s="151"/>
      <c r="L360" s="151"/>
      <c r="M360" s="151"/>
      <c r="N360" s="151"/>
      <c r="O360" s="151"/>
      <c r="P360" s="151"/>
      <c r="Q360" s="151"/>
      <c r="R360" s="151"/>
      <c r="S360" s="151"/>
      <c r="T360" s="151"/>
      <c r="U360" s="151"/>
      <c r="V360" s="151"/>
      <c r="W360" s="151"/>
      <c r="X360" s="151"/>
      <c r="Y360" s="151"/>
      <c r="Z360" s="151"/>
    </row>
    <row r="361">
      <c r="A361" s="151"/>
      <c r="B361" s="151"/>
      <c r="C361" s="179"/>
      <c r="D361" s="180"/>
      <c r="E361" s="151"/>
      <c r="F361" s="151"/>
      <c r="G361" s="151"/>
      <c r="H361" s="151"/>
      <c r="I361" s="151"/>
      <c r="J361" s="151"/>
      <c r="K361" s="151"/>
      <c r="L361" s="151"/>
      <c r="M361" s="151"/>
      <c r="N361" s="151"/>
      <c r="O361" s="151"/>
      <c r="P361" s="151"/>
      <c r="Q361" s="151"/>
      <c r="R361" s="151"/>
      <c r="S361" s="151"/>
      <c r="T361" s="151"/>
      <c r="U361" s="151"/>
      <c r="V361" s="151"/>
      <c r="W361" s="151"/>
      <c r="X361" s="151"/>
      <c r="Y361" s="151"/>
      <c r="Z361" s="151"/>
    </row>
    <row r="362">
      <c r="A362" s="151"/>
      <c r="B362" s="151"/>
      <c r="C362" s="179"/>
      <c r="D362" s="180"/>
      <c r="E362" s="151"/>
      <c r="F362" s="151"/>
      <c r="G362" s="151"/>
      <c r="H362" s="151"/>
      <c r="I362" s="151"/>
      <c r="J362" s="151"/>
      <c r="K362" s="151"/>
      <c r="L362" s="151"/>
      <c r="M362" s="151"/>
      <c r="N362" s="151"/>
      <c r="O362" s="151"/>
      <c r="P362" s="151"/>
      <c r="Q362" s="151"/>
      <c r="R362" s="151"/>
      <c r="S362" s="151"/>
      <c r="T362" s="151"/>
      <c r="U362" s="151"/>
      <c r="V362" s="151"/>
      <c r="W362" s="151"/>
      <c r="X362" s="151"/>
      <c r="Y362" s="151"/>
      <c r="Z362" s="151"/>
    </row>
    <row r="363">
      <c r="A363" s="151"/>
      <c r="B363" s="151"/>
      <c r="C363" s="179"/>
      <c r="D363" s="180"/>
      <c r="E363" s="151"/>
      <c r="F363" s="151"/>
      <c r="G363" s="151"/>
      <c r="H363" s="151"/>
      <c r="I363" s="151"/>
      <c r="J363" s="151"/>
      <c r="K363" s="151"/>
      <c r="L363" s="151"/>
      <c r="M363" s="151"/>
      <c r="N363" s="151"/>
      <c r="O363" s="151"/>
      <c r="P363" s="151"/>
      <c r="Q363" s="151"/>
      <c r="R363" s="151"/>
      <c r="S363" s="151"/>
      <c r="T363" s="151"/>
      <c r="U363" s="151"/>
      <c r="V363" s="151"/>
      <c r="W363" s="151"/>
      <c r="X363" s="151"/>
      <c r="Y363" s="151"/>
      <c r="Z363" s="151"/>
    </row>
    <row r="364">
      <c r="A364" s="151"/>
      <c r="B364" s="151"/>
      <c r="C364" s="179"/>
      <c r="D364" s="180"/>
      <c r="E364" s="151"/>
      <c r="F364" s="151"/>
      <c r="G364" s="151"/>
      <c r="H364" s="151"/>
      <c r="I364" s="151"/>
      <c r="J364" s="151"/>
      <c r="K364" s="151"/>
      <c r="L364" s="151"/>
      <c r="M364" s="151"/>
      <c r="N364" s="151"/>
      <c r="O364" s="151"/>
      <c r="P364" s="151"/>
      <c r="Q364" s="151"/>
      <c r="R364" s="151"/>
      <c r="S364" s="151"/>
      <c r="T364" s="151"/>
      <c r="U364" s="151"/>
      <c r="V364" s="151"/>
      <c r="W364" s="151"/>
      <c r="X364" s="151"/>
      <c r="Y364" s="151"/>
      <c r="Z364" s="151"/>
    </row>
    <row r="365">
      <c r="A365" s="151"/>
      <c r="B365" s="151"/>
      <c r="C365" s="179"/>
      <c r="D365" s="180"/>
      <c r="E365" s="151"/>
      <c r="F365" s="151"/>
      <c r="G365" s="151"/>
      <c r="H365" s="151"/>
      <c r="I365" s="151"/>
      <c r="J365" s="151"/>
      <c r="K365" s="151"/>
      <c r="L365" s="151"/>
      <c r="M365" s="151"/>
      <c r="N365" s="151"/>
      <c r="O365" s="151"/>
      <c r="P365" s="151"/>
      <c r="Q365" s="151"/>
      <c r="R365" s="151"/>
      <c r="S365" s="151"/>
      <c r="T365" s="151"/>
      <c r="U365" s="151"/>
      <c r="V365" s="151"/>
      <c r="W365" s="151"/>
      <c r="X365" s="151"/>
      <c r="Y365" s="151"/>
      <c r="Z365" s="151"/>
    </row>
    <row r="366">
      <c r="A366" s="151"/>
      <c r="B366" s="151"/>
      <c r="C366" s="179"/>
      <c r="D366" s="180"/>
      <c r="E366" s="151"/>
      <c r="F366" s="151"/>
      <c r="G366" s="151"/>
      <c r="H366" s="151"/>
      <c r="I366" s="151"/>
      <c r="J366" s="151"/>
      <c r="K366" s="151"/>
      <c r="L366" s="151"/>
      <c r="M366" s="151"/>
      <c r="N366" s="151"/>
      <c r="O366" s="151"/>
      <c r="P366" s="151"/>
      <c r="Q366" s="151"/>
      <c r="R366" s="151"/>
      <c r="S366" s="151"/>
      <c r="T366" s="151"/>
      <c r="U366" s="151"/>
      <c r="V366" s="151"/>
      <c r="W366" s="151"/>
      <c r="X366" s="151"/>
      <c r="Y366" s="151"/>
      <c r="Z366" s="151"/>
    </row>
    <row r="367">
      <c r="A367" s="151"/>
      <c r="B367" s="151"/>
      <c r="C367" s="179"/>
      <c r="D367" s="180"/>
      <c r="E367" s="151"/>
      <c r="F367" s="151"/>
      <c r="G367" s="151"/>
      <c r="H367" s="151"/>
      <c r="I367" s="151"/>
      <c r="J367" s="151"/>
      <c r="K367" s="151"/>
      <c r="L367" s="151"/>
      <c r="M367" s="151"/>
      <c r="N367" s="151"/>
      <c r="O367" s="151"/>
      <c r="P367" s="151"/>
      <c r="Q367" s="151"/>
      <c r="R367" s="151"/>
      <c r="S367" s="151"/>
      <c r="T367" s="151"/>
      <c r="U367" s="151"/>
      <c r="V367" s="151"/>
      <c r="W367" s="151"/>
      <c r="X367" s="151"/>
      <c r="Y367" s="151"/>
      <c r="Z367" s="151"/>
    </row>
    <row r="368">
      <c r="A368" s="151"/>
      <c r="B368" s="151"/>
      <c r="C368" s="179"/>
      <c r="D368" s="180"/>
      <c r="E368" s="151"/>
      <c r="F368" s="151"/>
      <c r="G368" s="151"/>
      <c r="H368" s="151"/>
      <c r="I368" s="151"/>
      <c r="J368" s="151"/>
      <c r="K368" s="151"/>
      <c r="L368" s="151"/>
      <c r="M368" s="151"/>
      <c r="N368" s="151"/>
      <c r="O368" s="151"/>
      <c r="P368" s="151"/>
      <c r="Q368" s="151"/>
      <c r="R368" s="151"/>
      <c r="S368" s="151"/>
      <c r="T368" s="151"/>
      <c r="U368" s="151"/>
      <c r="V368" s="151"/>
      <c r="W368" s="151"/>
      <c r="X368" s="151"/>
      <c r="Y368" s="151"/>
      <c r="Z368" s="151"/>
    </row>
    <row r="369">
      <c r="A369" s="151"/>
      <c r="B369" s="151"/>
      <c r="C369" s="179"/>
      <c r="D369" s="180"/>
      <c r="E369" s="151"/>
      <c r="F369" s="151"/>
      <c r="G369" s="151"/>
      <c r="H369" s="151"/>
      <c r="I369" s="151"/>
      <c r="J369" s="151"/>
      <c r="K369" s="151"/>
      <c r="L369" s="151"/>
      <c r="M369" s="151"/>
      <c r="N369" s="151"/>
      <c r="O369" s="151"/>
      <c r="P369" s="151"/>
      <c r="Q369" s="151"/>
      <c r="R369" s="151"/>
      <c r="S369" s="151"/>
      <c r="T369" s="151"/>
      <c r="U369" s="151"/>
      <c r="V369" s="151"/>
      <c r="W369" s="151"/>
      <c r="X369" s="151"/>
      <c r="Y369" s="151"/>
      <c r="Z369" s="151"/>
    </row>
    <row r="370">
      <c r="A370" s="151"/>
      <c r="B370" s="151"/>
      <c r="C370" s="179"/>
      <c r="D370" s="180"/>
      <c r="E370" s="151"/>
      <c r="F370" s="151"/>
      <c r="G370" s="151"/>
      <c r="H370" s="151"/>
      <c r="I370" s="151"/>
      <c r="J370" s="151"/>
      <c r="K370" s="151"/>
      <c r="L370" s="151"/>
      <c r="M370" s="151"/>
      <c r="N370" s="151"/>
      <c r="O370" s="151"/>
      <c r="P370" s="151"/>
      <c r="Q370" s="151"/>
      <c r="R370" s="151"/>
      <c r="S370" s="151"/>
      <c r="T370" s="151"/>
      <c r="U370" s="151"/>
      <c r="V370" s="151"/>
      <c r="W370" s="151"/>
      <c r="X370" s="151"/>
      <c r="Y370" s="151"/>
      <c r="Z370" s="151"/>
    </row>
    <row r="371">
      <c r="A371" s="151"/>
      <c r="B371" s="151"/>
      <c r="C371" s="179"/>
      <c r="D371" s="180"/>
      <c r="E371" s="151"/>
      <c r="F371" s="151"/>
      <c r="G371" s="151"/>
      <c r="H371" s="151"/>
      <c r="I371" s="151"/>
      <c r="J371" s="151"/>
      <c r="K371" s="151"/>
      <c r="L371" s="151"/>
      <c r="M371" s="151"/>
      <c r="N371" s="151"/>
      <c r="O371" s="151"/>
      <c r="P371" s="151"/>
      <c r="Q371" s="151"/>
      <c r="R371" s="151"/>
      <c r="S371" s="151"/>
      <c r="T371" s="151"/>
      <c r="U371" s="151"/>
      <c r="V371" s="151"/>
      <c r="W371" s="151"/>
      <c r="X371" s="151"/>
      <c r="Y371" s="151"/>
      <c r="Z371" s="151"/>
    </row>
    <row r="372">
      <c r="A372" s="151"/>
      <c r="B372" s="151"/>
      <c r="C372" s="179"/>
      <c r="D372" s="180"/>
      <c r="E372" s="151"/>
      <c r="F372" s="151"/>
      <c r="G372" s="151"/>
      <c r="H372" s="151"/>
      <c r="I372" s="151"/>
      <c r="J372" s="151"/>
      <c r="K372" s="151"/>
      <c r="L372" s="151"/>
      <c r="M372" s="151"/>
      <c r="N372" s="151"/>
      <c r="O372" s="151"/>
      <c r="P372" s="151"/>
      <c r="Q372" s="151"/>
      <c r="R372" s="151"/>
      <c r="S372" s="151"/>
      <c r="T372" s="151"/>
      <c r="U372" s="151"/>
      <c r="V372" s="151"/>
      <c r="W372" s="151"/>
      <c r="X372" s="151"/>
      <c r="Y372" s="151"/>
      <c r="Z372" s="151"/>
    </row>
    <row r="373">
      <c r="A373" s="151"/>
      <c r="B373" s="151"/>
      <c r="C373" s="179"/>
      <c r="D373" s="180"/>
      <c r="E373" s="151"/>
      <c r="F373" s="151"/>
      <c r="G373" s="151"/>
      <c r="H373" s="151"/>
      <c r="I373" s="151"/>
      <c r="J373" s="151"/>
      <c r="K373" s="151"/>
      <c r="L373" s="151"/>
      <c r="M373" s="151"/>
      <c r="N373" s="151"/>
      <c r="O373" s="151"/>
      <c r="P373" s="151"/>
      <c r="Q373" s="151"/>
      <c r="R373" s="151"/>
      <c r="S373" s="151"/>
      <c r="T373" s="151"/>
      <c r="U373" s="151"/>
      <c r="V373" s="151"/>
      <c r="W373" s="151"/>
      <c r="X373" s="151"/>
      <c r="Y373" s="151"/>
      <c r="Z373" s="151"/>
    </row>
    <row r="374">
      <c r="A374" s="151"/>
      <c r="B374" s="151"/>
      <c r="C374" s="179"/>
      <c r="D374" s="180"/>
      <c r="E374" s="151"/>
      <c r="F374" s="151"/>
      <c r="G374" s="151"/>
      <c r="H374" s="151"/>
      <c r="I374" s="151"/>
      <c r="J374" s="151"/>
      <c r="K374" s="151"/>
      <c r="L374" s="151"/>
      <c r="M374" s="151"/>
      <c r="N374" s="151"/>
      <c r="O374" s="151"/>
      <c r="P374" s="151"/>
      <c r="Q374" s="151"/>
      <c r="R374" s="151"/>
      <c r="S374" s="151"/>
      <c r="T374" s="151"/>
      <c r="U374" s="151"/>
      <c r="V374" s="151"/>
      <c r="W374" s="151"/>
      <c r="X374" s="151"/>
      <c r="Y374" s="151"/>
      <c r="Z374" s="151"/>
    </row>
    <row r="375">
      <c r="A375" s="151"/>
      <c r="B375" s="151"/>
      <c r="C375" s="179"/>
      <c r="D375" s="180"/>
      <c r="E375" s="151"/>
      <c r="F375" s="151"/>
      <c r="G375" s="151"/>
      <c r="H375" s="151"/>
      <c r="I375" s="151"/>
      <c r="J375" s="151"/>
      <c r="K375" s="151"/>
      <c r="L375" s="151"/>
      <c r="M375" s="151"/>
      <c r="N375" s="151"/>
      <c r="O375" s="151"/>
      <c r="P375" s="151"/>
      <c r="Q375" s="151"/>
      <c r="R375" s="151"/>
      <c r="S375" s="151"/>
      <c r="T375" s="151"/>
      <c r="U375" s="151"/>
      <c r="V375" s="151"/>
      <c r="W375" s="151"/>
      <c r="X375" s="151"/>
      <c r="Y375" s="151"/>
      <c r="Z375" s="151"/>
    </row>
    <row r="376">
      <c r="A376" s="151"/>
      <c r="B376" s="151"/>
      <c r="C376" s="179"/>
      <c r="D376" s="180"/>
      <c r="E376" s="151"/>
      <c r="F376" s="151"/>
      <c r="G376" s="151"/>
      <c r="H376" s="151"/>
      <c r="I376" s="151"/>
      <c r="J376" s="151"/>
      <c r="K376" s="151"/>
      <c r="L376" s="151"/>
      <c r="M376" s="151"/>
      <c r="N376" s="151"/>
      <c r="O376" s="151"/>
      <c r="P376" s="151"/>
      <c r="Q376" s="151"/>
      <c r="R376" s="151"/>
      <c r="S376" s="151"/>
      <c r="T376" s="151"/>
      <c r="U376" s="151"/>
      <c r="V376" s="151"/>
      <c r="W376" s="151"/>
      <c r="X376" s="151"/>
      <c r="Y376" s="151"/>
      <c r="Z376" s="151"/>
    </row>
    <row r="377">
      <c r="A377" s="151"/>
      <c r="B377" s="151"/>
      <c r="C377" s="179"/>
      <c r="D377" s="180"/>
      <c r="E377" s="151"/>
      <c r="F377" s="151"/>
      <c r="G377" s="151"/>
      <c r="H377" s="151"/>
      <c r="I377" s="151"/>
      <c r="J377" s="151"/>
      <c r="K377" s="151"/>
      <c r="L377" s="151"/>
      <c r="M377" s="151"/>
      <c r="N377" s="151"/>
      <c r="O377" s="151"/>
      <c r="P377" s="151"/>
      <c r="Q377" s="151"/>
      <c r="R377" s="151"/>
      <c r="S377" s="151"/>
      <c r="T377" s="151"/>
      <c r="U377" s="151"/>
      <c r="V377" s="151"/>
      <c r="W377" s="151"/>
      <c r="X377" s="151"/>
      <c r="Y377" s="151"/>
      <c r="Z377" s="151"/>
    </row>
    <row r="378">
      <c r="A378" s="151"/>
      <c r="B378" s="151"/>
      <c r="C378" s="179"/>
      <c r="D378" s="180"/>
      <c r="E378" s="151"/>
      <c r="F378" s="151"/>
      <c r="G378" s="151"/>
      <c r="H378" s="151"/>
      <c r="I378" s="151"/>
      <c r="J378" s="151"/>
      <c r="K378" s="151"/>
      <c r="L378" s="151"/>
      <c r="M378" s="151"/>
      <c r="N378" s="151"/>
      <c r="O378" s="151"/>
      <c r="P378" s="151"/>
      <c r="Q378" s="151"/>
      <c r="R378" s="151"/>
      <c r="S378" s="151"/>
      <c r="T378" s="151"/>
      <c r="U378" s="151"/>
      <c r="V378" s="151"/>
      <c r="W378" s="151"/>
      <c r="X378" s="151"/>
      <c r="Y378" s="151"/>
      <c r="Z378" s="151"/>
    </row>
    <row r="379">
      <c r="A379" s="151"/>
      <c r="B379" s="151"/>
      <c r="C379" s="179"/>
      <c r="D379" s="180"/>
      <c r="E379" s="151"/>
      <c r="F379" s="151"/>
      <c r="G379" s="151"/>
      <c r="H379" s="151"/>
      <c r="I379" s="151"/>
      <c r="J379" s="151"/>
      <c r="K379" s="151"/>
      <c r="L379" s="151"/>
      <c r="M379" s="151"/>
      <c r="N379" s="151"/>
      <c r="O379" s="151"/>
      <c r="P379" s="151"/>
      <c r="Q379" s="151"/>
      <c r="R379" s="151"/>
      <c r="S379" s="151"/>
      <c r="T379" s="151"/>
      <c r="U379" s="151"/>
      <c r="V379" s="151"/>
      <c r="W379" s="151"/>
      <c r="X379" s="151"/>
      <c r="Y379" s="151"/>
      <c r="Z379" s="151"/>
    </row>
    <row r="380">
      <c r="A380" s="151"/>
      <c r="B380" s="151"/>
      <c r="C380" s="179"/>
      <c r="D380" s="180"/>
      <c r="E380" s="151"/>
      <c r="F380" s="151"/>
      <c r="G380" s="151"/>
      <c r="H380" s="151"/>
      <c r="I380" s="151"/>
      <c r="J380" s="151"/>
      <c r="K380" s="151"/>
      <c r="L380" s="151"/>
      <c r="M380" s="151"/>
      <c r="N380" s="151"/>
      <c r="O380" s="151"/>
      <c r="P380" s="151"/>
      <c r="Q380" s="151"/>
      <c r="R380" s="151"/>
      <c r="S380" s="151"/>
      <c r="T380" s="151"/>
      <c r="U380" s="151"/>
      <c r="V380" s="151"/>
      <c r="W380" s="151"/>
      <c r="X380" s="151"/>
      <c r="Y380" s="151"/>
      <c r="Z380" s="151"/>
    </row>
    <row r="381">
      <c r="A381" s="151"/>
      <c r="B381" s="151"/>
      <c r="C381" s="179"/>
      <c r="D381" s="180"/>
      <c r="E381" s="151"/>
      <c r="F381" s="151"/>
      <c r="G381" s="151"/>
      <c r="H381" s="151"/>
      <c r="I381" s="151"/>
      <c r="J381" s="151"/>
      <c r="K381" s="151"/>
      <c r="L381" s="151"/>
      <c r="M381" s="151"/>
      <c r="N381" s="151"/>
      <c r="O381" s="151"/>
      <c r="P381" s="151"/>
      <c r="Q381" s="151"/>
      <c r="R381" s="151"/>
      <c r="S381" s="151"/>
      <c r="T381" s="151"/>
      <c r="U381" s="151"/>
      <c r="V381" s="151"/>
      <c r="W381" s="151"/>
      <c r="X381" s="151"/>
      <c r="Y381" s="151"/>
      <c r="Z381" s="151"/>
    </row>
    <row r="382">
      <c r="A382" s="151"/>
      <c r="B382" s="151"/>
      <c r="C382" s="179"/>
      <c r="D382" s="180"/>
      <c r="E382" s="151"/>
      <c r="F382" s="151"/>
      <c r="G382" s="151"/>
      <c r="H382" s="151"/>
      <c r="I382" s="151"/>
      <c r="J382" s="151"/>
      <c r="K382" s="151"/>
      <c r="L382" s="151"/>
      <c r="M382" s="151"/>
      <c r="N382" s="151"/>
      <c r="O382" s="151"/>
      <c r="P382" s="151"/>
      <c r="Q382" s="151"/>
      <c r="R382" s="151"/>
      <c r="S382" s="151"/>
      <c r="T382" s="151"/>
      <c r="U382" s="151"/>
      <c r="V382" s="151"/>
      <c r="W382" s="151"/>
      <c r="X382" s="151"/>
      <c r="Y382" s="151"/>
      <c r="Z382" s="151"/>
    </row>
    <row r="383">
      <c r="A383" s="151"/>
      <c r="B383" s="151"/>
      <c r="C383" s="179"/>
      <c r="D383" s="180"/>
      <c r="E383" s="151"/>
      <c r="F383" s="151"/>
      <c r="G383" s="151"/>
      <c r="H383" s="151"/>
      <c r="I383" s="151"/>
      <c r="J383" s="151"/>
      <c r="K383" s="151"/>
      <c r="L383" s="151"/>
      <c r="M383" s="151"/>
      <c r="N383" s="151"/>
      <c r="O383" s="151"/>
      <c r="P383" s="151"/>
      <c r="Q383" s="151"/>
      <c r="R383" s="151"/>
      <c r="S383" s="151"/>
      <c r="T383" s="151"/>
      <c r="U383" s="151"/>
      <c r="V383" s="151"/>
      <c r="W383" s="151"/>
      <c r="X383" s="151"/>
      <c r="Y383" s="151"/>
      <c r="Z383" s="151"/>
    </row>
    <row r="384">
      <c r="A384" s="151"/>
      <c r="B384" s="151"/>
      <c r="C384" s="179"/>
      <c r="D384" s="180"/>
      <c r="E384" s="151"/>
      <c r="F384" s="151"/>
      <c r="G384" s="151"/>
      <c r="H384" s="151"/>
      <c r="I384" s="151"/>
      <c r="J384" s="151"/>
      <c r="K384" s="151"/>
      <c r="L384" s="151"/>
      <c r="M384" s="151"/>
      <c r="N384" s="151"/>
      <c r="O384" s="151"/>
      <c r="P384" s="151"/>
      <c r="Q384" s="151"/>
      <c r="R384" s="151"/>
      <c r="S384" s="151"/>
      <c r="T384" s="151"/>
      <c r="U384" s="151"/>
      <c r="V384" s="151"/>
      <c r="W384" s="151"/>
      <c r="X384" s="151"/>
      <c r="Y384" s="151"/>
      <c r="Z384" s="151"/>
    </row>
    <row r="385">
      <c r="A385" s="151"/>
      <c r="B385" s="151"/>
      <c r="C385" s="179"/>
      <c r="D385" s="180"/>
      <c r="E385" s="151"/>
      <c r="F385" s="151"/>
      <c r="G385" s="151"/>
      <c r="H385" s="151"/>
      <c r="I385" s="151"/>
      <c r="J385" s="151"/>
      <c r="K385" s="151"/>
      <c r="L385" s="151"/>
      <c r="M385" s="151"/>
      <c r="N385" s="151"/>
      <c r="O385" s="151"/>
      <c r="P385" s="151"/>
      <c r="Q385" s="151"/>
      <c r="R385" s="151"/>
      <c r="S385" s="151"/>
      <c r="T385" s="151"/>
      <c r="U385" s="151"/>
      <c r="V385" s="151"/>
      <c r="W385" s="151"/>
      <c r="X385" s="151"/>
      <c r="Y385" s="151"/>
      <c r="Z385" s="151"/>
    </row>
    <row r="386">
      <c r="A386" s="151"/>
      <c r="B386" s="151"/>
      <c r="C386" s="179"/>
      <c r="D386" s="180"/>
      <c r="E386" s="151"/>
      <c r="F386" s="151"/>
      <c r="G386" s="151"/>
      <c r="H386" s="151"/>
      <c r="I386" s="151"/>
      <c r="J386" s="151"/>
      <c r="K386" s="151"/>
      <c r="L386" s="151"/>
      <c r="M386" s="151"/>
      <c r="N386" s="151"/>
      <c r="O386" s="151"/>
      <c r="P386" s="151"/>
      <c r="Q386" s="151"/>
      <c r="R386" s="151"/>
      <c r="S386" s="151"/>
      <c r="T386" s="151"/>
      <c r="U386" s="151"/>
      <c r="V386" s="151"/>
      <c r="W386" s="151"/>
      <c r="X386" s="151"/>
      <c r="Y386" s="151"/>
      <c r="Z386" s="151"/>
    </row>
    <row r="387">
      <c r="A387" s="151"/>
      <c r="B387" s="151"/>
      <c r="C387" s="179"/>
      <c r="D387" s="180"/>
      <c r="E387" s="151"/>
      <c r="F387" s="151"/>
      <c r="G387" s="151"/>
      <c r="H387" s="151"/>
      <c r="I387" s="151"/>
      <c r="J387" s="151"/>
      <c r="K387" s="151"/>
      <c r="L387" s="151"/>
      <c r="M387" s="151"/>
      <c r="N387" s="151"/>
      <c r="O387" s="151"/>
      <c r="P387" s="151"/>
      <c r="Q387" s="151"/>
      <c r="R387" s="151"/>
      <c r="S387" s="151"/>
      <c r="T387" s="151"/>
      <c r="U387" s="151"/>
      <c r="V387" s="151"/>
      <c r="W387" s="151"/>
      <c r="X387" s="151"/>
      <c r="Y387" s="151"/>
      <c r="Z387" s="151"/>
    </row>
    <row r="388">
      <c r="A388" s="151"/>
      <c r="B388" s="151"/>
      <c r="C388" s="179"/>
      <c r="D388" s="180"/>
      <c r="E388" s="151"/>
      <c r="F388" s="151"/>
      <c r="G388" s="151"/>
      <c r="H388" s="151"/>
      <c r="I388" s="151"/>
      <c r="J388" s="151"/>
      <c r="K388" s="151"/>
      <c r="L388" s="151"/>
      <c r="M388" s="151"/>
      <c r="N388" s="151"/>
      <c r="O388" s="151"/>
      <c r="P388" s="151"/>
      <c r="Q388" s="151"/>
      <c r="R388" s="151"/>
      <c r="S388" s="151"/>
      <c r="T388" s="151"/>
      <c r="U388" s="151"/>
      <c r="V388" s="151"/>
      <c r="W388" s="151"/>
      <c r="X388" s="151"/>
      <c r="Y388" s="151"/>
      <c r="Z388" s="151"/>
    </row>
    <row r="389">
      <c r="A389" s="151"/>
      <c r="B389" s="151"/>
      <c r="C389" s="179"/>
      <c r="D389" s="180"/>
      <c r="E389" s="151"/>
      <c r="F389" s="151"/>
      <c r="G389" s="151"/>
      <c r="H389" s="151"/>
      <c r="I389" s="151"/>
      <c r="J389" s="151"/>
      <c r="K389" s="151"/>
      <c r="L389" s="151"/>
      <c r="M389" s="151"/>
      <c r="N389" s="151"/>
      <c r="O389" s="151"/>
      <c r="P389" s="151"/>
      <c r="Q389" s="151"/>
      <c r="R389" s="151"/>
      <c r="S389" s="151"/>
      <c r="T389" s="151"/>
      <c r="U389" s="151"/>
      <c r="V389" s="151"/>
      <c r="W389" s="151"/>
      <c r="X389" s="151"/>
      <c r="Y389" s="151"/>
      <c r="Z389" s="151"/>
    </row>
    <row r="390">
      <c r="A390" s="151"/>
      <c r="B390" s="151"/>
      <c r="C390" s="179"/>
      <c r="D390" s="180"/>
      <c r="E390" s="151"/>
      <c r="F390" s="151"/>
      <c r="G390" s="151"/>
      <c r="H390" s="151"/>
      <c r="I390" s="151"/>
      <c r="J390" s="151"/>
      <c r="K390" s="151"/>
      <c r="L390" s="151"/>
      <c r="M390" s="151"/>
      <c r="N390" s="151"/>
      <c r="O390" s="151"/>
      <c r="P390" s="151"/>
      <c r="Q390" s="151"/>
      <c r="R390" s="151"/>
      <c r="S390" s="151"/>
      <c r="T390" s="151"/>
      <c r="U390" s="151"/>
      <c r="V390" s="151"/>
      <c r="W390" s="151"/>
      <c r="X390" s="151"/>
      <c r="Y390" s="151"/>
      <c r="Z390" s="151"/>
    </row>
    <row r="391">
      <c r="A391" s="151"/>
      <c r="B391" s="151"/>
      <c r="C391" s="179"/>
      <c r="D391" s="180"/>
      <c r="E391" s="151"/>
      <c r="F391" s="151"/>
      <c r="G391" s="151"/>
      <c r="H391" s="151"/>
      <c r="I391" s="151"/>
      <c r="J391" s="151"/>
      <c r="K391" s="151"/>
      <c r="L391" s="151"/>
      <c r="M391" s="151"/>
      <c r="N391" s="151"/>
      <c r="O391" s="151"/>
      <c r="P391" s="151"/>
      <c r="Q391" s="151"/>
      <c r="R391" s="151"/>
      <c r="S391" s="151"/>
      <c r="T391" s="151"/>
      <c r="U391" s="151"/>
      <c r="V391" s="151"/>
      <c r="W391" s="151"/>
      <c r="X391" s="151"/>
      <c r="Y391" s="151"/>
      <c r="Z391" s="151"/>
    </row>
    <row r="392">
      <c r="A392" s="151"/>
      <c r="B392" s="151"/>
      <c r="C392" s="179"/>
      <c r="D392" s="180"/>
      <c r="E392" s="151"/>
      <c r="F392" s="151"/>
      <c r="G392" s="151"/>
      <c r="H392" s="151"/>
      <c r="I392" s="151"/>
      <c r="J392" s="151"/>
      <c r="K392" s="151"/>
      <c r="L392" s="151"/>
      <c r="M392" s="151"/>
      <c r="N392" s="151"/>
      <c r="O392" s="151"/>
      <c r="P392" s="151"/>
      <c r="Q392" s="151"/>
      <c r="R392" s="151"/>
      <c r="S392" s="151"/>
      <c r="T392" s="151"/>
      <c r="U392" s="151"/>
      <c r="V392" s="151"/>
      <c r="W392" s="151"/>
      <c r="X392" s="151"/>
      <c r="Y392" s="151"/>
      <c r="Z392" s="151"/>
    </row>
    <row r="393">
      <c r="A393" s="151"/>
      <c r="B393" s="151"/>
      <c r="C393" s="179"/>
      <c r="D393" s="180"/>
      <c r="E393" s="151"/>
      <c r="F393" s="151"/>
      <c r="G393" s="151"/>
      <c r="H393" s="151"/>
      <c r="I393" s="151"/>
      <c r="J393" s="151"/>
      <c r="K393" s="151"/>
      <c r="L393" s="151"/>
      <c r="M393" s="151"/>
      <c r="N393" s="151"/>
      <c r="O393" s="151"/>
      <c r="P393" s="151"/>
      <c r="Q393" s="151"/>
      <c r="R393" s="151"/>
      <c r="S393" s="151"/>
      <c r="T393" s="151"/>
      <c r="U393" s="151"/>
      <c r="V393" s="151"/>
      <c r="W393" s="151"/>
      <c r="X393" s="151"/>
      <c r="Y393" s="151"/>
      <c r="Z393" s="151"/>
    </row>
    <row r="394">
      <c r="A394" s="151"/>
      <c r="B394" s="151"/>
      <c r="C394" s="179"/>
      <c r="D394" s="180"/>
      <c r="E394" s="151"/>
      <c r="F394" s="151"/>
      <c r="G394" s="151"/>
      <c r="H394" s="151"/>
      <c r="I394" s="151"/>
      <c r="J394" s="151"/>
      <c r="K394" s="151"/>
      <c r="L394" s="151"/>
      <c r="M394" s="151"/>
      <c r="N394" s="151"/>
      <c r="O394" s="151"/>
      <c r="P394" s="151"/>
      <c r="Q394" s="151"/>
      <c r="R394" s="151"/>
      <c r="S394" s="151"/>
      <c r="T394" s="151"/>
      <c r="U394" s="151"/>
      <c r="V394" s="151"/>
      <c r="W394" s="151"/>
      <c r="X394" s="151"/>
      <c r="Y394" s="151"/>
      <c r="Z394" s="151"/>
    </row>
    <row r="395">
      <c r="A395" s="151"/>
      <c r="B395" s="151"/>
      <c r="C395" s="179"/>
      <c r="D395" s="180"/>
      <c r="E395" s="151"/>
      <c r="F395" s="151"/>
      <c r="G395" s="151"/>
      <c r="H395" s="151"/>
      <c r="I395" s="151"/>
      <c r="J395" s="151"/>
      <c r="K395" s="151"/>
      <c r="L395" s="151"/>
      <c r="M395" s="151"/>
      <c r="N395" s="151"/>
      <c r="O395" s="151"/>
      <c r="P395" s="151"/>
      <c r="Q395" s="151"/>
      <c r="R395" s="151"/>
      <c r="S395" s="151"/>
      <c r="T395" s="151"/>
      <c r="U395" s="151"/>
      <c r="V395" s="151"/>
      <c r="W395" s="151"/>
      <c r="X395" s="151"/>
      <c r="Y395" s="151"/>
      <c r="Z395" s="151"/>
    </row>
    <row r="396">
      <c r="A396" s="151"/>
      <c r="B396" s="151"/>
      <c r="C396" s="179"/>
      <c r="D396" s="180"/>
      <c r="E396" s="151"/>
      <c r="F396" s="151"/>
      <c r="G396" s="151"/>
      <c r="H396" s="151"/>
      <c r="I396" s="151"/>
      <c r="J396" s="151"/>
      <c r="K396" s="151"/>
      <c r="L396" s="151"/>
      <c r="M396" s="151"/>
      <c r="N396" s="151"/>
      <c r="O396" s="151"/>
      <c r="P396" s="151"/>
      <c r="Q396" s="151"/>
      <c r="R396" s="151"/>
      <c r="S396" s="151"/>
      <c r="T396" s="151"/>
      <c r="U396" s="151"/>
      <c r="V396" s="151"/>
      <c r="W396" s="151"/>
      <c r="X396" s="151"/>
      <c r="Y396" s="151"/>
      <c r="Z396" s="151"/>
    </row>
    <row r="397">
      <c r="A397" s="151"/>
      <c r="B397" s="151"/>
      <c r="C397" s="179"/>
      <c r="D397" s="180"/>
      <c r="E397" s="151"/>
      <c r="F397" s="151"/>
      <c r="G397" s="151"/>
      <c r="H397" s="151"/>
      <c r="I397" s="151"/>
      <c r="J397" s="151"/>
      <c r="K397" s="151"/>
      <c r="L397" s="151"/>
      <c r="M397" s="151"/>
      <c r="N397" s="151"/>
      <c r="O397" s="151"/>
      <c r="P397" s="151"/>
      <c r="Q397" s="151"/>
      <c r="R397" s="151"/>
      <c r="S397" s="151"/>
      <c r="T397" s="151"/>
      <c r="U397" s="151"/>
      <c r="V397" s="151"/>
      <c r="W397" s="151"/>
      <c r="X397" s="151"/>
      <c r="Y397" s="151"/>
      <c r="Z397" s="151"/>
    </row>
    <row r="398">
      <c r="A398" s="151"/>
      <c r="B398" s="151"/>
      <c r="C398" s="179"/>
      <c r="D398" s="180"/>
      <c r="E398" s="151"/>
      <c r="F398" s="151"/>
      <c r="G398" s="151"/>
      <c r="H398" s="151"/>
      <c r="I398" s="151"/>
      <c r="J398" s="151"/>
      <c r="K398" s="151"/>
      <c r="L398" s="151"/>
      <c r="M398" s="151"/>
      <c r="N398" s="151"/>
      <c r="O398" s="151"/>
      <c r="P398" s="151"/>
      <c r="Q398" s="151"/>
      <c r="R398" s="151"/>
      <c r="S398" s="151"/>
      <c r="T398" s="151"/>
      <c r="U398" s="151"/>
      <c r="V398" s="151"/>
      <c r="W398" s="151"/>
      <c r="X398" s="151"/>
      <c r="Y398" s="151"/>
      <c r="Z398" s="151"/>
    </row>
    <row r="399">
      <c r="A399" s="151"/>
      <c r="B399" s="151"/>
      <c r="C399" s="179"/>
      <c r="D399" s="180"/>
      <c r="E399" s="151"/>
      <c r="F399" s="151"/>
      <c r="G399" s="151"/>
      <c r="H399" s="151"/>
      <c r="I399" s="151"/>
      <c r="J399" s="151"/>
      <c r="K399" s="151"/>
      <c r="L399" s="151"/>
      <c r="M399" s="151"/>
      <c r="N399" s="151"/>
      <c r="O399" s="151"/>
      <c r="P399" s="151"/>
      <c r="Q399" s="151"/>
      <c r="R399" s="151"/>
      <c r="S399" s="151"/>
      <c r="T399" s="151"/>
      <c r="U399" s="151"/>
      <c r="V399" s="151"/>
      <c r="W399" s="151"/>
      <c r="X399" s="151"/>
      <c r="Y399" s="151"/>
      <c r="Z399" s="151"/>
    </row>
    <row r="400">
      <c r="A400" s="151"/>
      <c r="B400" s="151"/>
      <c r="C400" s="179"/>
      <c r="D400" s="180"/>
      <c r="E400" s="151"/>
      <c r="F400" s="151"/>
      <c r="G400" s="151"/>
      <c r="H400" s="151"/>
      <c r="I400" s="151"/>
      <c r="J400" s="151"/>
      <c r="K400" s="151"/>
      <c r="L400" s="151"/>
      <c r="M400" s="151"/>
      <c r="N400" s="151"/>
      <c r="O400" s="151"/>
      <c r="P400" s="151"/>
      <c r="Q400" s="151"/>
      <c r="R400" s="151"/>
      <c r="S400" s="151"/>
      <c r="T400" s="151"/>
      <c r="U400" s="151"/>
      <c r="V400" s="151"/>
      <c r="W400" s="151"/>
      <c r="X400" s="151"/>
      <c r="Y400" s="151"/>
      <c r="Z400" s="151"/>
    </row>
    <row r="401">
      <c r="A401" s="151"/>
      <c r="B401" s="151"/>
      <c r="C401" s="179"/>
      <c r="D401" s="180"/>
      <c r="E401" s="151"/>
      <c r="F401" s="151"/>
      <c r="G401" s="151"/>
      <c r="H401" s="151"/>
      <c r="I401" s="151"/>
      <c r="J401" s="151"/>
      <c r="K401" s="151"/>
      <c r="L401" s="151"/>
      <c r="M401" s="151"/>
      <c r="N401" s="151"/>
      <c r="O401" s="151"/>
      <c r="P401" s="151"/>
      <c r="Q401" s="151"/>
      <c r="R401" s="151"/>
      <c r="S401" s="151"/>
      <c r="T401" s="151"/>
      <c r="U401" s="151"/>
      <c r="V401" s="151"/>
      <c r="W401" s="151"/>
      <c r="X401" s="151"/>
      <c r="Y401" s="151"/>
      <c r="Z401" s="151"/>
    </row>
    <row r="402">
      <c r="A402" s="151"/>
      <c r="B402" s="151"/>
      <c r="C402" s="179"/>
      <c r="D402" s="180"/>
      <c r="E402" s="151"/>
      <c r="F402" s="151"/>
      <c r="G402" s="151"/>
      <c r="H402" s="151"/>
      <c r="I402" s="151"/>
      <c r="J402" s="151"/>
      <c r="K402" s="151"/>
      <c r="L402" s="151"/>
      <c r="M402" s="151"/>
      <c r="N402" s="151"/>
      <c r="O402" s="151"/>
      <c r="P402" s="151"/>
      <c r="Q402" s="151"/>
      <c r="R402" s="151"/>
      <c r="S402" s="151"/>
      <c r="T402" s="151"/>
      <c r="U402" s="151"/>
      <c r="V402" s="151"/>
      <c r="W402" s="151"/>
      <c r="X402" s="151"/>
      <c r="Y402" s="151"/>
      <c r="Z402" s="151"/>
    </row>
    <row r="403">
      <c r="A403" s="151"/>
      <c r="B403" s="151"/>
      <c r="C403" s="179"/>
      <c r="D403" s="180"/>
      <c r="E403" s="151"/>
      <c r="F403" s="151"/>
      <c r="G403" s="151"/>
      <c r="H403" s="151"/>
      <c r="I403" s="151"/>
      <c r="J403" s="151"/>
      <c r="K403" s="151"/>
      <c r="L403" s="151"/>
      <c r="M403" s="151"/>
      <c r="N403" s="151"/>
      <c r="O403" s="151"/>
      <c r="P403" s="151"/>
      <c r="Q403" s="151"/>
      <c r="R403" s="151"/>
      <c r="S403" s="151"/>
      <c r="T403" s="151"/>
      <c r="U403" s="151"/>
      <c r="V403" s="151"/>
      <c r="W403" s="151"/>
      <c r="X403" s="151"/>
      <c r="Y403" s="151"/>
      <c r="Z403" s="151"/>
    </row>
    <row r="404">
      <c r="A404" s="151"/>
      <c r="B404" s="151"/>
      <c r="C404" s="179"/>
      <c r="D404" s="180"/>
      <c r="E404" s="151"/>
      <c r="F404" s="151"/>
      <c r="G404" s="151"/>
      <c r="H404" s="151"/>
      <c r="I404" s="151"/>
      <c r="J404" s="151"/>
      <c r="K404" s="151"/>
      <c r="L404" s="151"/>
      <c r="M404" s="151"/>
      <c r="N404" s="151"/>
      <c r="O404" s="151"/>
      <c r="P404" s="151"/>
      <c r="Q404" s="151"/>
      <c r="R404" s="151"/>
      <c r="S404" s="151"/>
      <c r="T404" s="151"/>
      <c r="U404" s="151"/>
      <c r="V404" s="151"/>
      <c r="W404" s="151"/>
      <c r="X404" s="151"/>
      <c r="Y404" s="151"/>
      <c r="Z404" s="151"/>
    </row>
    <row r="405">
      <c r="A405" s="151"/>
      <c r="B405" s="151"/>
      <c r="C405" s="179"/>
      <c r="D405" s="180"/>
      <c r="E405" s="151"/>
      <c r="F405" s="151"/>
      <c r="G405" s="151"/>
      <c r="H405" s="151"/>
      <c r="I405" s="151"/>
      <c r="J405" s="151"/>
      <c r="K405" s="151"/>
      <c r="L405" s="151"/>
      <c r="M405" s="151"/>
      <c r="N405" s="151"/>
      <c r="O405" s="151"/>
      <c r="P405" s="151"/>
      <c r="Q405" s="151"/>
      <c r="R405" s="151"/>
      <c r="S405" s="151"/>
      <c r="T405" s="151"/>
      <c r="U405" s="151"/>
      <c r="V405" s="151"/>
      <c r="W405" s="151"/>
      <c r="X405" s="151"/>
      <c r="Y405" s="151"/>
      <c r="Z405" s="151"/>
    </row>
    <row r="406">
      <c r="A406" s="151"/>
      <c r="B406" s="151"/>
      <c r="C406" s="179"/>
      <c r="D406" s="180"/>
      <c r="E406" s="151"/>
      <c r="F406" s="151"/>
      <c r="G406" s="151"/>
      <c r="H406" s="151"/>
      <c r="I406" s="151"/>
      <c r="J406" s="151"/>
      <c r="K406" s="151"/>
      <c r="L406" s="151"/>
      <c r="M406" s="151"/>
      <c r="N406" s="151"/>
      <c r="O406" s="151"/>
      <c r="P406" s="151"/>
      <c r="Q406" s="151"/>
      <c r="R406" s="151"/>
      <c r="S406" s="151"/>
      <c r="T406" s="151"/>
      <c r="U406" s="151"/>
      <c r="V406" s="151"/>
      <c r="W406" s="151"/>
      <c r="X406" s="151"/>
      <c r="Y406" s="151"/>
      <c r="Z406" s="151"/>
    </row>
    <row r="407">
      <c r="A407" s="151"/>
      <c r="B407" s="151"/>
      <c r="C407" s="179"/>
      <c r="D407" s="180"/>
      <c r="E407" s="151"/>
      <c r="F407" s="151"/>
      <c r="G407" s="151"/>
      <c r="H407" s="151"/>
      <c r="I407" s="151"/>
      <c r="J407" s="151"/>
      <c r="K407" s="151"/>
      <c r="L407" s="151"/>
      <c r="M407" s="151"/>
      <c r="N407" s="151"/>
      <c r="O407" s="151"/>
      <c r="P407" s="151"/>
      <c r="Q407" s="151"/>
      <c r="R407" s="151"/>
      <c r="S407" s="151"/>
      <c r="T407" s="151"/>
      <c r="U407" s="151"/>
      <c r="V407" s="151"/>
      <c r="W407" s="151"/>
      <c r="X407" s="151"/>
      <c r="Y407" s="151"/>
      <c r="Z407" s="151"/>
    </row>
    <row r="408">
      <c r="A408" s="151"/>
      <c r="B408" s="151"/>
      <c r="C408" s="179"/>
      <c r="D408" s="180"/>
      <c r="E408" s="151"/>
      <c r="F408" s="151"/>
      <c r="G408" s="151"/>
      <c r="H408" s="151"/>
      <c r="I408" s="151"/>
      <c r="J408" s="151"/>
      <c r="K408" s="151"/>
      <c r="L408" s="151"/>
      <c r="M408" s="151"/>
      <c r="N408" s="151"/>
      <c r="O408" s="151"/>
      <c r="P408" s="151"/>
      <c r="Q408" s="151"/>
      <c r="R408" s="151"/>
      <c r="S408" s="151"/>
      <c r="T408" s="151"/>
      <c r="U408" s="151"/>
      <c r="V408" s="151"/>
      <c r="W408" s="151"/>
      <c r="X408" s="151"/>
      <c r="Y408" s="151"/>
      <c r="Z408" s="151"/>
    </row>
    <row r="409">
      <c r="A409" s="151"/>
      <c r="B409" s="151"/>
      <c r="C409" s="179"/>
      <c r="D409" s="180"/>
      <c r="E409" s="151"/>
      <c r="F409" s="151"/>
      <c r="G409" s="151"/>
      <c r="H409" s="151"/>
      <c r="I409" s="151"/>
      <c r="J409" s="151"/>
      <c r="K409" s="151"/>
      <c r="L409" s="151"/>
      <c r="M409" s="151"/>
      <c r="N409" s="151"/>
      <c r="O409" s="151"/>
      <c r="P409" s="151"/>
      <c r="Q409" s="151"/>
      <c r="R409" s="151"/>
      <c r="S409" s="151"/>
      <c r="T409" s="151"/>
      <c r="U409" s="151"/>
      <c r="V409" s="151"/>
      <c r="W409" s="151"/>
      <c r="X409" s="151"/>
      <c r="Y409" s="151"/>
      <c r="Z409" s="151"/>
    </row>
    <row r="410">
      <c r="A410" s="151"/>
      <c r="B410" s="151"/>
      <c r="C410" s="179"/>
      <c r="D410" s="180"/>
      <c r="E410" s="151"/>
      <c r="F410" s="151"/>
      <c r="G410" s="151"/>
      <c r="H410" s="151"/>
      <c r="I410" s="151"/>
      <c r="J410" s="151"/>
      <c r="K410" s="151"/>
      <c r="L410" s="151"/>
      <c r="M410" s="151"/>
      <c r="N410" s="151"/>
      <c r="O410" s="151"/>
      <c r="P410" s="151"/>
      <c r="Q410" s="151"/>
      <c r="R410" s="151"/>
      <c r="S410" s="151"/>
      <c r="T410" s="151"/>
      <c r="U410" s="151"/>
      <c r="V410" s="151"/>
      <c r="W410" s="151"/>
      <c r="X410" s="151"/>
      <c r="Y410" s="151"/>
      <c r="Z410" s="151"/>
    </row>
    <row r="411">
      <c r="A411" s="151"/>
      <c r="B411" s="151"/>
      <c r="C411" s="179"/>
      <c r="D411" s="180"/>
      <c r="E411" s="151"/>
      <c r="F411" s="151"/>
      <c r="G411" s="151"/>
      <c r="H411" s="151"/>
      <c r="I411" s="151"/>
      <c r="J411" s="151"/>
      <c r="K411" s="151"/>
      <c r="L411" s="151"/>
      <c r="M411" s="151"/>
      <c r="N411" s="151"/>
      <c r="O411" s="151"/>
      <c r="P411" s="151"/>
      <c r="Q411" s="151"/>
      <c r="R411" s="151"/>
      <c r="S411" s="151"/>
      <c r="T411" s="151"/>
      <c r="U411" s="151"/>
      <c r="V411" s="151"/>
      <c r="W411" s="151"/>
      <c r="X411" s="151"/>
      <c r="Y411" s="151"/>
      <c r="Z411" s="151"/>
    </row>
    <row r="412">
      <c r="A412" s="151"/>
      <c r="B412" s="151"/>
      <c r="C412" s="179"/>
      <c r="D412" s="180"/>
      <c r="E412" s="151"/>
      <c r="F412" s="151"/>
      <c r="G412" s="151"/>
      <c r="H412" s="151"/>
      <c r="I412" s="151"/>
      <c r="J412" s="151"/>
      <c r="K412" s="151"/>
      <c r="L412" s="151"/>
      <c r="M412" s="151"/>
      <c r="N412" s="151"/>
      <c r="O412" s="151"/>
      <c r="P412" s="151"/>
      <c r="Q412" s="151"/>
      <c r="R412" s="151"/>
      <c r="S412" s="151"/>
      <c r="T412" s="151"/>
      <c r="U412" s="151"/>
      <c r="V412" s="151"/>
      <c r="W412" s="151"/>
      <c r="X412" s="151"/>
      <c r="Y412" s="151"/>
      <c r="Z412" s="151"/>
    </row>
    <row r="413">
      <c r="A413" s="151"/>
      <c r="B413" s="151"/>
      <c r="C413" s="179"/>
      <c r="D413" s="180"/>
      <c r="E413" s="151"/>
      <c r="F413" s="151"/>
      <c r="G413" s="151"/>
      <c r="H413" s="151"/>
      <c r="I413" s="151"/>
      <c r="J413" s="151"/>
      <c r="K413" s="151"/>
      <c r="L413" s="151"/>
      <c r="M413" s="151"/>
      <c r="N413" s="151"/>
      <c r="O413" s="151"/>
      <c r="P413" s="151"/>
      <c r="Q413" s="151"/>
      <c r="R413" s="151"/>
      <c r="S413" s="151"/>
      <c r="T413" s="151"/>
      <c r="U413" s="151"/>
      <c r="V413" s="151"/>
      <c r="W413" s="151"/>
      <c r="X413" s="151"/>
      <c r="Y413" s="151"/>
      <c r="Z413" s="151"/>
    </row>
    <row r="414">
      <c r="A414" s="151"/>
      <c r="B414" s="151"/>
      <c r="C414" s="179"/>
      <c r="D414" s="180"/>
      <c r="E414" s="151"/>
      <c r="F414" s="151"/>
      <c r="G414" s="151"/>
      <c r="H414" s="151"/>
      <c r="I414" s="151"/>
      <c r="J414" s="151"/>
      <c r="K414" s="151"/>
      <c r="L414" s="151"/>
      <c r="M414" s="151"/>
      <c r="N414" s="151"/>
      <c r="O414" s="151"/>
      <c r="P414" s="151"/>
      <c r="Q414" s="151"/>
      <c r="R414" s="151"/>
      <c r="S414" s="151"/>
      <c r="T414" s="151"/>
      <c r="U414" s="151"/>
      <c r="V414" s="151"/>
      <c r="W414" s="151"/>
      <c r="X414" s="151"/>
      <c r="Y414" s="151"/>
      <c r="Z414" s="151"/>
    </row>
    <row r="415">
      <c r="A415" s="151"/>
      <c r="B415" s="151"/>
      <c r="C415" s="179"/>
      <c r="D415" s="180"/>
      <c r="E415" s="151"/>
      <c r="F415" s="151"/>
      <c r="G415" s="151"/>
      <c r="H415" s="151"/>
      <c r="I415" s="151"/>
      <c r="J415" s="151"/>
      <c r="K415" s="151"/>
      <c r="L415" s="151"/>
      <c r="M415" s="151"/>
      <c r="N415" s="151"/>
      <c r="O415" s="151"/>
      <c r="P415" s="151"/>
      <c r="Q415" s="151"/>
      <c r="R415" s="151"/>
      <c r="S415" s="151"/>
      <c r="T415" s="151"/>
      <c r="U415" s="151"/>
      <c r="V415" s="151"/>
      <c r="W415" s="151"/>
      <c r="X415" s="151"/>
      <c r="Y415" s="151"/>
      <c r="Z415" s="151"/>
    </row>
    <row r="416">
      <c r="A416" s="151"/>
      <c r="B416" s="151"/>
      <c r="C416" s="179"/>
      <c r="D416" s="180"/>
      <c r="E416" s="151"/>
      <c r="F416" s="151"/>
      <c r="G416" s="151"/>
      <c r="H416" s="151"/>
      <c r="I416" s="151"/>
      <c r="J416" s="151"/>
      <c r="K416" s="151"/>
      <c r="L416" s="151"/>
      <c r="M416" s="151"/>
      <c r="N416" s="151"/>
      <c r="O416" s="151"/>
      <c r="P416" s="151"/>
      <c r="Q416" s="151"/>
      <c r="R416" s="151"/>
      <c r="S416" s="151"/>
      <c r="T416" s="151"/>
      <c r="U416" s="151"/>
      <c r="V416" s="151"/>
      <c r="W416" s="151"/>
      <c r="X416" s="151"/>
      <c r="Y416" s="151"/>
      <c r="Z416" s="151"/>
    </row>
    <row r="417">
      <c r="A417" s="151"/>
      <c r="B417" s="151"/>
      <c r="C417" s="179"/>
      <c r="D417" s="180"/>
      <c r="E417" s="151"/>
      <c r="F417" s="151"/>
      <c r="G417" s="151"/>
      <c r="H417" s="151"/>
      <c r="I417" s="151"/>
      <c r="J417" s="151"/>
      <c r="K417" s="151"/>
      <c r="L417" s="151"/>
      <c r="M417" s="151"/>
      <c r="N417" s="151"/>
      <c r="O417" s="151"/>
      <c r="P417" s="151"/>
      <c r="Q417" s="151"/>
      <c r="R417" s="151"/>
      <c r="S417" s="151"/>
      <c r="T417" s="151"/>
      <c r="U417" s="151"/>
      <c r="V417" s="151"/>
      <c r="W417" s="151"/>
      <c r="X417" s="151"/>
      <c r="Y417" s="151"/>
      <c r="Z417" s="151"/>
    </row>
    <row r="418">
      <c r="A418" s="151"/>
      <c r="B418" s="151"/>
      <c r="C418" s="179"/>
      <c r="D418" s="180"/>
      <c r="E418" s="151"/>
      <c r="F418" s="151"/>
      <c r="G418" s="151"/>
      <c r="H418" s="151"/>
      <c r="I418" s="151"/>
      <c r="J418" s="151"/>
      <c r="K418" s="151"/>
      <c r="L418" s="151"/>
      <c r="M418" s="151"/>
      <c r="N418" s="151"/>
      <c r="O418" s="151"/>
      <c r="P418" s="151"/>
      <c r="Q418" s="151"/>
      <c r="R418" s="151"/>
      <c r="S418" s="151"/>
      <c r="T418" s="151"/>
      <c r="U418" s="151"/>
      <c r="V418" s="151"/>
      <c r="W418" s="151"/>
      <c r="X418" s="151"/>
      <c r="Y418" s="151"/>
      <c r="Z418" s="151"/>
    </row>
    <row r="419">
      <c r="A419" s="151"/>
      <c r="B419" s="151"/>
      <c r="C419" s="179"/>
      <c r="D419" s="180"/>
      <c r="E419" s="151"/>
      <c r="F419" s="151"/>
      <c r="G419" s="151"/>
      <c r="H419" s="151"/>
      <c r="I419" s="151"/>
      <c r="J419" s="151"/>
      <c r="K419" s="151"/>
      <c r="L419" s="151"/>
      <c r="M419" s="151"/>
      <c r="N419" s="151"/>
      <c r="O419" s="151"/>
      <c r="P419" s="151"/>
      <c r="Q419" s="151"/>
      <c r="R419" s="151"/>
      <c r="S419" s="151"/>
      <c r="T419" s="151"/>
      <c r="U419" s="151"/>
      <c r="V419" s="151"/>
      <c r="W419" s="151"/>
      <c r="X419" s="151"/>
      <c r="Y419" s="151"/>
      <c r="Z419" s="151"/>
    </row>
    <row r="420">
      <c r="A420" s="151"/>
      <c r="B420" s="151"/>
      <c r="C420" s="179"/>
      <c r="D420" s="180"/>
      <c r="E420" s="151"/>
      <c r="F420" s="151"/>
      <c r="G420" s="151"/>
      <c r="H420" s="151"/>
      <c r="I420" s="151"/>
      <c r="J420" s="151"/>
      <c r="K420" s="151"/>
      <c r="L420" s="151"/>
      <c r="M420" s="151"/>
      <c r="N420" s="151"/>
      <c r="O420" s="151"/>
      <c r="P420" s="151"/>
      <c r="Q420" s="151"/>
      <c r="R420" s="151"/>
      <c r="S420" s="151"/>
      <c r="T420" s="151"/>
      <c r="U420" s="151"/>
      <c r="V420" s="151"/>
      <c r="W420" s="151"/>
      <c r="X420" s="151"/>
      <c r="Y420" s="151"/>
      <c r="Z420" s="151"/>
    </row>
    <row r="421">
      <c r="A421" s="151"/>
      <c r="B421" s="151"/>
      <c r="C421" s="179"/>
      <c r="D421" s="180"/>
      <c r="E421" s="151"/>
      <c r="F421" s="151"/>
      <c r="G421" s="151"/>
      <c r="H421" s="151"/>
      <c r="I421" s="151"/>
      <c r="J421" s="151"/>
      <c r="K421" s="151"/>
      <c r="L421" s="151"/>
      <c r="M421" s="151"/>
      <c r="N421" s="151"/>
      <c r="O421" s="151"/>
      <c r="P421" s="151"/>
      <c r="Q421" s="151"/>
      <c r="R421" s="151"/>
      <c r="S421" s="151"/>
      <c r="T421" s="151"/>
      <c r="U421" s="151"/>
      <c r="V421" s="151"/>
      <c r="W421" s="151"/>
      <c r="X421" s="151"/>
      <c r="Y421" s="151"/>
      <c r="Z421" s="151"/>
    </row>
    <row r="422">
      <c r="A422" s="151"/>
      <c r="B422" s="151"/>
      <c r="C422" s="179"/>
      <c r="D422" s="180"/>
      <c r="E422" s="151"/>
      <c r="F422" s="151"/>
      <c r="G422" s="151"/>
      <c r="H422" s="151"/>
      <c r="I422" s="151"/>
      <c r="J422" s="151"/>
      <c r="K422" s="151"/>
      <c r="L422" s="151"/>
      <c r="M422" s="151"/>
      <c r="N422" s="151"/>
      <c r="O422" s="151"/>
      <c r="P422" s="151"/>
      <c r="Q422" s="151"/>
      <c r="R422" s="151"/>
      <c r="S422" s="151"/>
      <c r="T422" s="151"/>
      <c r="U422" s="151"/>
      <c r="V422" s="151"/>
      <c r="W422" s="151"/>
      <c r="X422" s="151"/>
      <c r="Y422" s="151"/>
      <c r="Z422" s="151"/>
    </row>
    <row r="423">
      <c r="A423" s="151"/>
      <c r="B423" s="151"/>
      <c r="C423" s="179"/>
      <c r="D423" s="180"/>
      <c r="E423" s="151"/>
      <c r="F423" s="151"/>
      <c r="G423" s="151"/>
      <c r="H423" s="151"/>
      <c r="I423" s="151"/>
      <c r="J423" s="151"/>
      <c r="K423" s="151"/>
      <c r="L423" s="151"/>
      <c r="M423" s="151"/>
      <c r="N423" s="151"/>
      <c r="O423" s="151"/>
      <c r="P423" s="151"/>
      <c r="Q423" s="151"/>
      <c r="R423" s="151"/>
      <c r="S423" s="151"/>
      <c r="T423" s="151"/>
      <c r="U423" s="151"/>
      <c r="V423" s="151"/>
      <c r="W423" s="151"/>
      <c r="X423" s="151"/>
      <c r="Y423" s="151"/>
      <c r="Z423" s="151"/>
    </row>
    <row r="424">
      <c r="A424" s="151"/>
      <c r="B424" s="151"/>
      <c r="C424" s="179"/>
      <c r="D424" s="180"/>
      <c r="E424" s="151"/>
      <c r="F424" s="151"/>
      <c r="G424" s="151"/>
      <c r="H424" s="151"/>
      <c r="I424" s="151"/>
      <c r="J424" s="151"/>
      <c r="K424" s="151"/>
      <c r="L424" s="151"/>
      <c r="M424" s="151"/>
      <c r="N424" s="151"/>
      <c r="O424" s="151"/>
      <c r="P424" s="151"/>
      <c r="Q424" s="151"/>
      <c r="R424" s="151"/>
      <c r="S424" s="151"/>
      <c r="T424" s="151"/>
      <c r="U424" s="151"/>
      <c r="V424" s="151"/>
      <c r="W424" s="151"/>
      <c r="X424" s="151"/>
      <c r="Y424" s="151"/>
      <c r="Z424" s="151"/>
    </row>
    <row r="425">
      <c r="A425" s="151"/>
      <c r="B425" s="151"/>
      <c r="C425" s="179"/>
      <c r="D425" s="180"/>
      <c r="E425" s="151"/>
      <c r="F425" s="151"/>
      <c r="G425" s="151"/>
      <c r="H425" s="151"/>
      <c r="I425" s="151"/>
      <c r="J425" s="151"/>
      <c r="K425" s="151"/>
      <c r="L425" s="151"/>
      <c r="M425" s="151"/>
      <c r="N425" s="151"/>
      <c r="O425" s="151"/>
      <c r="P425" s="151"/>
      <c r="Q425" s="151"/>
      <c r="R425" s="151"/>
      <c r="S425" s="151"/>
      <c r="T425" s="151"/>
      <c r="U425" s="151"/>
      <c r="V425" s="151"/>
      <c r="W425" s="151"/>
      <c r="X425" s="151"/>
      <c r="Y425" s="151"/>
      <c r="Z425" s="151"/>
    </row>
    <row r="426">
      <c r="A426" s="151"/>
      <c r="B426" s="151"/>
      <c r="C426" s="179"/>
      <c r="D426" s="180"/>
      <c r="E426" s="151"/>
      <c r="F426" s="151"/>
      <c r="G426" s="151"/>
      <c r="H426" s="151"/>
      <c r="I426" s="151"/>
      <c r="J426" s="151"/>
      <c r="K426" s="151"/>
      <c r="L426" s="151"/>
      <c r="M426" s="151"/>
      <c r="N426" s="151"/>
      <c r="O426" s="151"/>
      <c r="P426" s="151"/>
      <c r="Q426" s="151"/>
      <c r="R426" s="151"/>
      <c r="S426" s="151"/>
      <c r="T426" s="151"/>
      <c r="U426" s="151"/>
      <c r="V426" s="151"/>
      <c r="W426" s="151"/>
      <c r="X426" s="151"/>
      <c r="Y426" s="151"/>
      <c r="Z426" s="151"/>
    </row>
    <row r="427">
      <c r="A427" s="151"/>
      <c r="B427" s="151"/>
      <c r="C427" s="179"/>
      <c r="D427" s="180"/>
      <c r="E427" s="151"/>
      <c r="F427" s="151"/>
      <c r="G427" s="151"/>
      <c r="H427" s="151"/>
      <c r="I427" s="151"/>
      <c r="J427" s="151"/>
      <c r="K427" s="151"/>
      <c r="L427" s="151"/>
      <c r="M427" s="151"/>
      <c r="N427" s="151"/>
      <c r="O427" s="151"/>
      <c r="P427" s="151"/>
      <c r="Q427" s="151"/>
      <c r="R427" s="151"/>
      <c r="S427" s="151"/>
      <c r="T427" s="151"/>
      <c r="U427" s="151"/>
      <c r="V427" s="151"/>
      <c r="W427" s="151"/>
      <c r="X427" s="151"/>
      <c r="Y427" s="151"/>
      <c r="Z427" s="151"/>
    </row>
    <row r="428">
      <c r="A428" s="151"/>
      <c r="B428" s="151"/>
      <c r="C428" s="179"/>
      <c r="D428" s="180"/>
      <c r="E428" s="151"/>
      <c r="F428" s="151"/>
      <c r="G428" s="151"/>
      <c r="H428" s="151"/>
      <c r="I428" s="151"/>
      <c r="J428" s="151"/>
      <c r="K428" s="151"/>
      <c r="L428" s="151"/>
      <c r="M428" s="151"/>
      <c r="N428" s="151"/>
      <c r="O428" s="151"/>
      <c r="P428" s="151"/>
      <c r="Q428" s="151"/>
      <c r="R428" s="151"/>
      <c r="S428" s="151"/>
      <c r="T428" s="151"/>
      <c r="U428" s="151"/>
      <c r="V428" s="151"/>
      <c r="W428" s="151"/>
      <c r="X428" s="151"/>
      <c r="Y428" s="151"/>
      <c r="Z428" s="151"/>
    </row>
    <row r="429">
      <c r="A429" s="151"/>
      <c r="B429" s="151"/>
      <c r="C429" s="179"/>
      <c r="D429" s="180"/>
      <c r="E429" s="151"/>
      <c r="F429" s="151"/>
      <c r="G429" s="151"/>
      <c r="H429" s="151"/>
      <c r="I429" s="151"/>
      <c r="J429" s="151"/>
      <c r="K429" s="151"/>
      <c r="L429" s="151"/>
      <c r="M429" s="151"/>
      <c r="N429" s="151"/>
      <c r="O429" s="151"/>
      <c r="P429" s="151"/>
      <c r="Q429" s="151"/>
      <c r="R429" s="151"/>
      <c r="S429" s="151"/>
      <c r="T429" s="151"/>
      <c r="U429" s="151"/>
      <c r="V429" s="151"/>
      <c r="W429" s="151"/>
      <c r="X429" s="151"/>
      <c r="Y429" s="151"/>
      <c r="Z429" s="151"/>
    </row>
    <row r="430">
      <c r="A430" s="151"/>
      <c r="B430" s="151"/>
      <c r="C430" s="179"/>
      <c r="D430" s="180"/>
      <c r="E430" s="151"/>
      <c r="F430" s="151"/>
      <c r="G430" s="151"/>
      <c r="H430" s="151"/>
      <c r="I430" s="151"/>
      <c r="J430" s="151"/>
      <c r="K430" s="151"/>
      <c r="L430" s="151"/>
      <c r="M430" s="151"/>
      <c r="N430" s="151"/>
      <c r="O430" s="151"/>
      <c r="P430" s="151"/>
      <c r="Q430" s="151"/>
      <c r="R430" s="151"/>
      <c r="S430" s="151"/>
      <c r="T430" s="151"/>
      <c r="U430" s="151"/>
      <c r="V430" s="151"/>
      <c r="W430" s="151"/>
      <c r="X430" s="151"/>
      <c r="Y430" s="151"/>
      <c r="Z430" s="151"/>
    </row>
    <row r="431">
      <c r="A431" s="151"/>
      <c r="B431" s="151"/>
      <c r="C431" s="179"/>
      <c r="D431" s="180"/>
      <c r="E431" s="151"/>
      <c r="F431" s="151"/>
      <c r="G431" s="151"/>
      <c r="H431" s="151"/>
      <c r="I431" s="151"/>
      <c r="J431" s="151"/>
      <c r="K431" s="151"/>
      <c r="L431" s="151"/>
      <c r="M431" s="151"/>
      <c r="N431" s="151"/>
      <c r="O431" s="151"/>
      <c r="P431" s="151"/>
      <c r="Q431" s="151"/>
      <c r="R431" s="151"/>
      <c r="S431" s="151"/>
      <c r="T431" s="151"/>
      <c r="U431" s="151"/>
      <c r="V431" s="151"/>
      <c r="W431" s="151"/>
      <c r="X431" s="151"/>
      <c r="Y431" s="151"/>
      <c r="Z431" s="151"/>
    </row>
    <row r="432">
      <c r="A432" s="151"/>
      <c r="B432" s="151"/>
      <c r="C432" s="179"/>
      <c r="D432" s="180"/>
      <c r="E432" s="151"/>
      <c r="F432" s="151"/>
      <c r="G432" s="151"/>
      <c r="H432" s="151"/>
      <c r="I432" s="151"/>
      <c r="J432" s="151"/>
      <c r="K432" s="151"/>
      <c r="L432" s="151"/>
      <c r="M432" s="151"/>
      <c r="N432" s="151"/>
      <c r="O432" s="151"/>
      <c r="P432" s="151"/>
      <c r="Q432" s="151"/>
      <c r="R432" s="151"/>
      <c r="S432" s="151"/>
      <c r="T432" s="151"/>
      <c r="U432" s="151"/>
      <c r="V432" s="151"/>
      <c r="W432" s="151"/>
      <c r="X432" s="151"/>
      <c r="Y432" s="151"/>
      <c r="Z432" s="151"/>
    </row>
    <row r="433">
      <c r="A433" s="151"/>
      <c r="B433" s="151"/>
      <c r="C433" s="179"/>
      <c r="D433" s="180"/>
      <c r="E433" s="151"/>
      <c r="F433" s="151"/>
      <c r="G433" s="151"/>
      <c r="H433" s="151"/>
      <c r="I433" s="151"/>
      <c r="J433" s="151"/>
      <c r="K433" s="151"/>
      <c r="L433" s="151"/>
      <c r="M433" s="151"/>
      <c r="N433" s="151"/>
      <c r="O433" s="151"/>
      <c r="P433" s="151"/>
      <c r="Q433" s="151"/>
      <c r="R433" s="151"/>
      <c r="S433" s="151"/>
      <c r="T433" s="151"/>
      <c r="U433" s="151"/>
      <c r="V433" s="151"/>
      <c r="W433" s="151"/>
      <c r="X433" s="151"/>
      <c r="Y433" s="151"/>
      <c r="Z433" s="151"/>
    </row>
    <row r="434">
      <c r="A434" s="151"/>
      <c r="B434" s="151"/>
      <c r="C434" s="179"/>
      <c r="D434" s="180"/>
      <c r="E434" s="151"/>
      <c r="F434" s="151"/>
      <c r="G434" s="151"/>
      <c r="H434" s="151"/>
      <c r="I434" s="151"/>
      <c r="J434" s="151"/>
      <c r="K434" s="151"/>
      <c r="L434" s="151"/>
      <c r="M434" s="151"/>
      <c r="N434" s="151"/>
      <c r="O434" s="151"/>
      <c r="P434" s="151"/>
      <c r="Q434" s="151"/>
      <c r="R434" s="151"/>
      <c r="S434" s="151"/>
      <c r="T434" s="151"/>
      <c r="U434" s="151"/>
      <c r="V434" s="151"/>
      <c r="W434" s="151"/>
      <c r="X434" s="151"/>
      <c r="Y434" s="151"/>
      <c r="Z434" s="151"/>
    </row>
    <row r="435">
      <c r="A435" s="151"/>
      <c r="B435" s="151"/>
      <c r="C435" s="179"/>
      <c r="D435" s="180"/>
      <c r="E435" s="151"/>
      <c r="F435" s="151"/>
      <c r="G435" s="151"/>
      <c r="H435" s="151"/>
      <c r="I435" s="151"/>
      <c r="J435" s="151"/>
      <c r="K435" s="151"/>
      <c r="L435" s="151"/>
      <c r="M435" s="151"/>
      <c r="N435" s="151"/>
      <c r="O435" s="151"/>
      <c r="P435" s="151"/>
      <c r="Q435" s="151"/>
      <c r="R435" s="151"/>
      <c r="S435" s="151"/>
      <c r="T435" s="151"/>
      <c r="U435" s="151"/>
      <c r="V435" s="151"/>
      <c r="W435" s="151"/>
      <c r="X435" s="151"/>
      <c r="Y435" s="151"/>
      <c r="Z435" s="151"/>
    </row>
    <row r="436">
      <c r="A436" s="151"/>
      <c r="B436" s="151"/>
      <c r="C436" s="179"/>
      <c r="D436" s="180"/>
      <c r="E436" s="151"/>
      <c r="F436" s="151"/>
      <c r="G436" s="151"/>
      <c r="H436" s="151"/>
      <c r="I436" s="151"/>
      <c r="J436" s="151"/>
      <c r="K436" s="151"/>
      <c r="L436" s="151"/>
      <c r="M436" s="151"/>
      <c r="N436" s="151"/>
      <c r="O436" s="151"/>
      <c r="P436" s="151"/>
      <c r="Q436" s="151"/>
      <c r="R436" s="151"/>
      <c r="S436" s="151"/>
      <c r="T436" s="151"/>
      <c r="U436" s="151"/>
      <c r="V436" s="151"/>
      <c r="W436" s="151"/>
      <c r="X436" s="151"/>
      <c r="Y436" s="151"/>
      <c r="Z436" s="151"/>
    </row>
    <row r="437">
      <c r="A437" s="151"/>
      <c r="B437" s="151"/>
      <c r="C437" s="179"/>
      <c r="D437" s="180"/>
      <c r="E437" s="151"/>
      <c r="F437" s="151"/>
      <c r="G437" s="151"/>
      <c r="H437" s="151"/>
      <c r="I437" s="151"/>
      <c r="J437" s="151"/>
      <c r="K437" s="151"/>
      <c r="L437" s="151"/>
      <c r="M437" s="151"/>
      <c r="N437" s="151"/>
      <c r="O437" s="151"/>
      <c r="P437" s="151"/>
      <c r="Q437" s="151"/>
      <c r="R437" s="151"/>
      <c r="S437" s="151"/>
      <c r="T437" s="151"/>
      <c r="U437" s="151"/>
      <c r="V437" s="151"/>
      <c r="W437" s="151"/>
      <c r="X437" s="151"/>
      <c r="Y437" s="151"/>
      <c r="Z437" s="151"/>
    </row>
    <row r="438">
      <c r="A438" s="151"/>
      <c r="B438" s="151"/>
      <c r="C438" s="179"/>
      <c r="D438" s="180"/>
      <c r="E438" s="151"/>
      <c r="F438" s="151"/>
      <c r="G438" s="151"/>
      <c r="H438" s="151"/>
      <c r="I438" s="151"/>
      <c r="J438" s="151"/>
      <c r="K438" s="151"/>
      <c r="L438" s="151"/>
      <c r="M438" s="151"/>
      <c r="N438" s="151"/>
      <c r="O438" s="151"/>
      <c r="P438" s="151"/>
      <c r="Q438" s="151"/>
      <c r="R438" s="151"/>
      <c r="S438" s="151"/>
      <c r="T438" s="151"/>
      <c r="U438" s="151"/>
      <c r="V438" s="151"/>
      <c r="W438" s="151"/>
      <c r="X438" s="151"/>
      <c r="Y438" s="151"/>
      <c r="Z438" s="151"/>
    </row>
    <row r="439">
      <c r="A439" s="151"/>
      <c r="B439" s="151"/>
      <c r="C439" s="179"/>
      <c r="D439" s="180"/>
      <c r="E439" s="151"/>
      <c r="F439" s="151"/>
      <c r="G439" s="151"/>
      <c r="H439" s="151"/>
      <c r="I439" s="151"/>
      <c r="J439" s="151"/>
      <c r="K439" s="151"/>
      <c r="L439" s="151"/>
      <c r="M439" s="151"/>
      <c r="N439" s="151"/>
      <c r="O439" s="151"/>
      <c r="P439" s="151"/>
      <c r="Q439" s="151"/>
      <c r="R439" s="151"/>
      <c r="S439" s="151"/>
      <c r="T439" s="151"/>
      <c r="U439" s="151"/>
      <c r="V439" s="151"/>
      <c r="W439" s="151"/>
      <c r="X439" s="151"/>
      <c r="Y439" s="151"/>
      <c r="Z439" s="151"/>
    </row>
    <row r="440">
      <c r="A440" s="151"/>
      <c r="B440" s="151"/>
      <c r="C440" s="179"/>
      <c r="D440" s="180"/>
      <c r="E440" s="151"/>
      <c r="F440" s="151"/>
      <c r="G440" s="151"/>
      <c r="H440" s="151"/>
      <c r="I440" s="151"/>
      <c r="J440" s="151"/>
      <c r="K440" s="151"/>
      <c r="L440" s="151"/>
      <c r="M440" s="151"/>
      <c r="N440" s="151"/>
      <c r="O440" s="151"/>
      <c r="P440" s="151"/>
      <c r="Q440" s="151"/>
      <c r="R440" s="151"/>
      <c r="S440" s="151"/>
      <c r="T440" s="151"/>
      <c r="U440" s="151"/>
      <c r="V440" s="151"/>
      <c r="W440" s="151"/>
      <c r="X440" s="151"/>
      <c r="Y440" s="151"/>
      <c r="Z440" s="151"/>
    </row>
    <row r="441">
      <c r="A441" s="151"/>
      <c r="B441" s="151"/>
      <c r="C441" s="179"/>
      <c r="D441" s="180"/>
      <c r="E441" s="151"/>
      <c r="F441" s="151"/>
      <c r="G441" s="151"/>
      <c r="H441" s="151"/>
      <c r="I441" s="151"/>
      <c r="J441" s="151"/>
      <c r="K441" s="151"/>
      <c r="L441" s="151"/>
      <c r="M441" s="151"/>
      <c r="N441" s="151"/>
      <c r="O441" s="151"/>
      <c r="P441" s="151"/>
      <c r="Q441" s="151"/>
      <c r="R441" s="151"/>
      <c r="S441" s="151"/>
      <c r="T441" s="151"/>
      <c r="U441" s="151"/>
      <c r="V441" s="151"/>
      <c r="W441" s="151"/>
      <c r="X441" s="151"/>
      <c r="Y441" s="151"/>
      <c r="Z441" s="151"/>
    </row>
    <row r="442">
      <c r="A442" s="151"/>
      <c r="B442" s="151"/>
      <c r="C442" s="179"/>
      <c r="D442" s="180"/>
      <c r="E442" s="151"/>
      <c r="F442" s="151"/>
      <c r="G442" s="151"/>
      <c r="H442" s="151"/>
      <c r="I442" s="151"/>
      <c r="J442" s="151"/>
      <c r="K442" s="151"/>
      <c r="L442" s="151"/>
      <c r="M442" s="151"/>
      <c r="N442" s="151"/>
      <c r="O442" s="151"/>
      <c r="P442" s="151"/>
      <c r="Q442" s="151"/>
      <c r="R442" s="151"/>
      <c r="S442" s="151"/>
      <c r="T442" s="151"/>
      <c r="U442" s="151"/>
      <c r="V442" s="151"/>
      <c r="W442" s="151"/>
      <c r="X442" s="151"/>
      <c r="Y442" s="151"/>
      <c r="Z442" s="151"/>
    </row>
    <row r="443">
      <c r="A443" s="151"/>
      <c r="B443" s="151"/>
      <c r="C443" s="179"/>
      <c r="D443" s="180"/>
      <c r="E443" s="151"/>
      <c r="F443" s="151"/>
      <c r="G443" s="151"/>
      <c r="H443" s="151"/>
      <c r="I443" s="151"/>
      <c r="J443" s="151"/>
      <c r="K443" s="151"/>
      <c r="L443" s="151"/>
      <c r="M443" s="151"/>
      <c r="N443" s="151"/>
      <c r="O443" s="151"/>
      <c r="P443" s="151"/>
      <c r="Q443" s="151"/>
      <c r="R443" s="151"/>
      <c r="S443" s="151"/>
      <c r="T443" s="151"/>
      <c r="U443" s="151"/>
      <c r="V443" s="151"/>
      <c r="W443" s="151"/>
      <c r="X443" s="151"/>
      <c r="Y443" s="151"/>
      <c r="Z443" s="151"/>
    </row>
    <row r="444">
      <c r="A444" s="151"/>
      <c r="B444" s="151"/>
      <c r="C444" s="179"/>
      <c r="D444" s="180"/>
      <c r="E444" s="151"/>
      <c r="F444" s="151"/>
      <c r="G444" s="151"/>
      <c r="H444" s="151"/>
      <c r="I444" s="151"/>
      <c r="J444" s="151"/>
      <c r="K444" s="151"/>
      <c r="L444" s="151"/>
      <c r="M444" s="151"/>
      <c r="N444" s="151"/>
      <c r="O444" s="151"/>
      <c r="P444" s="151"/>
      <c r="Q444" s="151"/>
      <c r="R444" s="151"/>
      <c r="S444" s="151"/>
      <c r="T444" s="151"/>
      <c r="U444" s="151"/>
      <c r="V444" s="151"/>
      <c r="W444" s="151"/>
      <c r="X444" s="151"/>
      <c r="Y444" s="151"/>
      <c r="Z444" s="151"/>
    </row>
    <row r="445">
      <c r="A445" s="151"/>
      <c r="B445" s="151"/>
      <c r="C445" s="179"/>
      <c r="D445" s="180"/>
      <c r="E445" s="151"/>
      <c r="F445" s="151"/>
      <c r="G445" s="151"/>
      <c r="H445" s="151"/>
      <c r="I445" s="151"/>
      <c r="J445" s="151"/>
      <c r="K445" s="151"/>
      <c r="L445" s="151"/>
      <c r="M445" s="151"/>
      <c r="N445" s="151"/>
      <c r="O445" s="151"/>
      <c r="P445" s="151"/>
      <c r="Q445" s="151"/>
      <c r="R445" s="151"/>
      <c r="S445" s="151"/>
      <c r="T445" s="151"/>
      <c r="U445" s="151"/>
      <c r="V445" s="151"/>
      <c r="W445" s="151"/>
      <c r="X445" s="151"/>
      <c r="Y445" s="151"/>
      <c r="Z445" s="151"/>
    </row>
    <row r="446">
      <c r="A446" s="151"/>
      <c r="B446" s="151"/>
      <c r="C446" s="179"/>
      <c r="D446" s="180"/>
      <c r="E446" s="151"/>
      <c r="F446" s="151"/>
      <c r="G446" s="151"/>
      <c r="H446" s="151"/>
      <c r="I446" s="151"/>
      <c r="J446" s="151"/>
      <c r="K446" s="151"/>
      <c r="L446" s="151"/>
      <c r="M446" s="151"/>
      <c r="N446" s="151"/>
      <c r="O446" s="151"/>
      <c r="P446" s="151"/>
      <c r="Q446" s="151"/>
      <c r="R446" s="151"/>
      <c r="S446" s="151"/>
      <c r="T446" s="151"/>
      <c r="U446" s="151"/>
      <c r="V446" s="151"/>
      <c r="W446" s="151"/>
      <c r="X446" s="151"/>
      <c r="Y446" s="151"/>
      <c r="Z446" s="151"/>
    </row>
    <row r="447">
      <c r="A447" s="151"/>
      <c r="B447" s="151"/>
      <c r="C447" s="179"/>
      <c r="D447" s="180"/>
      <c r="E447" s="151"/>
      <c r="F447" s="151"/>
      <c r="G447" s="151"/>
      <c r="H447" s="151"/>
      <c r="I447" s="151"/>
      <c r="J447" s="151"/>
      <c r="K447" s="151"/>
      <c r="L447" s="151"/>
      <c r="M447" s="151"/>
      <c r="N447" s="151"/>
      <c r="O447" s="151"/>
      <c r="P447" s="151"/>
      <c r="Q447" s="151"/>
      <c r="R447" s="151"/>
      <c r="S447" s="151"/>
      <c r="T447" s="151"/>
      <c r="U447" s="151"/>
      <c r="V447" s="151"/>
      <c r="W447" s="151"/>
      <c r="X447" s="151"/>
      <c r="Y447" s="151"/>
      <c r="Z447" s="151"/>
    </row>
    <row r="448">
      <c r="A448" s="151"/>
      <c r="B448" s="151"/>
      <c r="C448" s="179"/>
      <c r="D448" s="180"/>
      <c r="E448" s="151"/>
      <c r="F448" s="151"/>
      <c r="G448" s="151"/>
      <c r="H448" s="151"/>
      <c r="I448" s="151"/>
      <c r="J448" s="151"/>
      <c r="K448" s="151"/>
      <c r="L448" s="151"/>
      <c r="M448" s="151"/>
      <c r="N448" s="151"/>
      <c r="O448" s="151"/>
      <c r="P448" s="151"/>
      <c r="Q448" s="151"/>
      <c r="R448" s="151"/>
      <c r="S448" s="151"/>
      <c r="T448" s="151"/>
      <c r="U448" s="151"/>
      <c r="V448" s="151"/>
      <c r="W448" s="151"/>
      <c r="X448" s="151"/>
      <c r="Y448" s="151"/>
      <c r="Z448" s="151"/>
    </row>
    <row r="449">
      <c r="A449" s="151"/>
      <c r="B449" s="151"/>
      <c r="C449" s="179"/>
      <c r="D449" s="180"/>
      <c r="E449" s="151"/>
      <c r="F449" s="151"/>
      <c r="G449" s="151"/>
      <c r="H449" s="151"/>
      <c r="I449" s="151"/>
      <c r="J449" s="151"/>
      <c r="K449" s="151"/>
      <c r="L449" s="151"/>
      <c r="M449" s="151"/>
      <c r="N449" s="151"/>
      <c r="O449" s="151"/>
      <c r="P449" s="151"/>
      <c r="Q449" s="151"/>
      <c r="R449" s="151"/>
      <c r="S449" s="151"/>
      <c r="T449" s="151"/>
      <c r="U449" s="151"/>
      <c r="V449" s="151"/>
      <c r="W449" s="151"/>
      <c r="X449" s="151"/>
      <c r="Y449" s="151"/>
      <c r="Z449" s="151"/>
    </row>
    <row r="450">
      <c r="A450" s="151"/>
      <c r="B450" s="151"/>
      <c r="C450" s="179"/>
      <c r="D450" s="180"/>
      <c r="E450" s="151"/>
      <c r="F450" s="151"/>
      <c r="G450" s="151"/>
      <c r="H450" s="151"/>
      <c r="I450" s="151"/>
      <c r="J450" s="151"/>
      <c r="K450" s="151"/>
      <c r="L450" s="151"/>
      <c r="M450" s="151"/>
      <c r="N450" s="151"/>
      <c r="O450" s="151"/>
      <c r="P450" s="151"/>
      <c r="Q450" s="151"/>
      <c r="R450" s="151"/>
      <c r="S450" s="151"/>
      <c r="T450" s="151"/>
      <c r="U450" s="151"/>
      <c r="V450" s="151"/>
      <c r="W450" s="151"/>
      <c r="X450" s="151"/>
      <c r="Y450" s="151"/>
      <c r="Z450" s="151"/>
    </row>
    <row r="451">
      <c r="A451" s="151"/>
      <c r="B451" s="151"/>
      <c r="C451" s="179"/>
      <c r="D451" s="180"/>
      <c r="E451" s="151"/>
      <c r="F451" s="151"/>
      <c r="G451" s="151"/>
      <c r="H451" s="151"/>
      <c r="I451" s="151"/>
      <c r="J451" s="151"/>
      <c r="K451" s="151"/>
      <c r="L451" s="151"/>
      <c r="M451" s="151"/>
      <c r="N451" s="151"/>
      <c r="O451" s="151"/>
      <c r="P451" s="151"/>
      <c r="Q451" s="151"/>
      <c r="R451" s="151"/>
      <c r="S451" s="151"/>
      <c r="T451" s="151"/>
      <c r="U451" s="151"/>
      <c r="V451" s="151"/>
      <c r="W451" s="151"/>
      <c r="X451" s="151"/>
      <c r="Y451" s="151"/>
      <c r="Z451" s="151"/>
    </row>
    <row r="452">
      <c r="A452" s="151"/>
      <c r="B452" s="151"/>
      <c r="C452" s="179"/>
      <c r="D452" s="180"/>
      <c r="E452" s="151"/>
      <c r="F452" s="151"/>
      <c r="G452" s="151"/>
      <c r="H452" s="151"/>
      <c r="I452" s="151"/>
      <c r="J452" s="151"/>
      <c r="K452" s="151"/>
      <c r="L452" s="151"/>
      <c r="M452" s="151"/>
      <c r="N452" s="151"/>
      <c r="O452" s="151"/>
      <c r="P452" s="151"/>
      <c r="Q452" s="151"/>
      <c r="R452" s="151"/>
      <c r="S452" s="151"/>
      <c r="T452" s="151"/>
      <c r="U452" s="151"/>
      <c r="V452" s="151"/>
      <c r="W452" s="151"/>
      <c r="X452" s="151"/>
      <c r="Y452" s="151"/>
      <c r="Z452" s="151"/>
    </row>
    <row r="453">
      <c r="A453" s="151"/>
      <c r="B453" s="151"/>
      <c r="C453" s="179"/>
      <c r="D453" s="180"/>
      <c r="E453" s="151"/>
      <c r="F453" s="151"/>
      <c r="G453" s="151"/>
      <c r="H453" s="151"/>
      <c r="I453" s="151"/>
      <c r="J453" s="151"/>
      <c r="K453" s="151"/>
      <c r="L453" s="151"/>
      <c r="M453" s="151"/>
      <c r="N453" s="151"/>
      <c r="O453" s="151"/>
      <c r="P453" s="151"/>
      <c r="Q453" s="151"/>
      <c r="R453" s="151"/>
      <c r="S453" s="151"/>
      <c r="T453" s="151"/>
      <c r="U453" s="151"/>
      <c r="V453" s="151"/>
      <c r="W453" s="151"/>
      <c r="X453" s="151"/>
      <c r="Y453" s="151"/>
      <c r="Z453" s="151"/>
    </row>
    <row r="454">
      <c r="A454" s="151"/>
      <c r="B454" s="151"/>
      <c r="C454" s="179"/>
      <c r="D454" s="180"/>
      <c r="E454" s="151"/>
      <c r="F454" s="151"/>
      <c r="G454" s="151"/>
      <c r="H454" s="151"/>
      <c r="I454" s="151"/>
      <c r="J454" s="151"/>
      <c r="K454" s="151"/>
      <c r="L454" s="151"/>
      <c r="M454" s="151"/>
      <c r="N454" s="151"/>
      <c r="O454" s="151"/>
      <c r="P454" s="151"/>
      <c r="Q454" s="151"/>
      <c r="R454" s="151"/>
      <c r="S454" s="151"/>
      <c r="T454" s="151"/>
      <c r="U454" s="151"/>
      <c r="V454" s="151"/>
      <c r="W454" s="151"/>
      <c r="X454" s="151"/>
      <c r="Y454" s="151"/>
      <c r="Z454" s="151"/>
    </row>
    <row r="455">
      <c r="A455" s="151"/>
      <c r="B455" s="151"/>
      <c r="C455" s="179"/>
      <c r="D455" s="180"/>
      <c r="E455" s="151"/>
      <c r="F455" s="151"/>
      <c r="G455" s="151"/>
      <c r="H455" s="151"/>
      <c r="I455" s="151"/>
      <c r="J455" s="151"/>
      <c r="K455" s="151"/>
      <c r="L455" s="151"/>
      <c r="M455" s="151"/>
      <c r="N455" s="151"/>
      <c r="O455" s="151"/>
      <c r="P455" s="151"/>
      <c r="Q455" s="151"/>
      <c r="R455" s="151"/>
      <c r="S455" s="151"/>
      <c r="T455" s="151"/>
      <c r="U455" s="151"/>
      <c r="V455" s="151"/>
      <c r="W455" s="151"/>
      <c r="X455" s="151"/>
      <c r="Y455" s="151"/>
      <c r="Z455" s="151"/>
    </row>
    <row r="456">
      <c r="A456" s="151"/>
      <c r="B456" s="151"/>
      <c r="C456" s="179"/>
      <c r="D456" s="180"/>
      <c r="E456" s="151"/>
      <c r="F456" s="151"/>
      <c r="G456" s="151"/>
      <c r="H456" s="151"/>
      <c r="I456" s="151"/>
      <c r="J456" s="151"/>
      <c r="K456" s="151"/>
      <c r="L456" s="151"/>
      <c r="M456" s="151"/>
      <c r="N456" s="151"/>
      <c r="O456" s="151"/>
      <c r="P456" s="151"/>
      <c r="Q456" s="151"/>
      <c r="R456" s="151"/>
      <c r="S456" s="151"/>
      <c r="T456" s="151"/>
      <c r="U456" s="151"/>
      <c r="V456" s="151"/>
      <c r="W456" s="151"/>
      <c r="X456" s="151"/>
      <c r="Y456" s="151"/>
      <c r="Z456" s="151"/>
    </row>
    <row r="457">
      <c r="A457" s="151"/>
      <c r="B457" s="151"/>
      <c r="C457" s="179"/>
      <c r="D457" s="180"/>
      <c r="E457" s="151"/>
      <c r="F457" s="151"/>
      <c r="G457" s="151"/>
      <c r="H457" s="151"/>
      <c r="I457" s="151"/>
      <c r="J457" s="151"/>
      <c r="K457" s="151"/>
      <c r="L457" s="151"/>
      <c r="M457" s="151"/>
      <c r="N457" s="151"/>
      <c r="O457" s="151"/>
      <c r="P457" s="151"/>
      <c r="Q457" s="151"/>
      <c r="R457" s="151"/>
      <c r="S457" s="151"/>
      <c r="T457" s="151"/>
      <c r="U457" s="151"/>
      <c r="V457" s="151"/>
      <c r="W457" s="151"/>
      <c r="X457" s="151"/>
      <c r="Y457" s="151"/>
      <c r="Z457" s="151"/>
    </row>
    <row r="458">
      <c r="A458" s="151"/>
      <c r="B458" s="151"/>
      <c r="C458" s="179"/>
      <c r="D458" s="180"/>
      <c r="E458" s="151"/>
      <c r="F458" s="151"/>
      <c r="G458" s="151"/>
      <c r="H458" s="151"/>
      <c r="I458" s="151"/>
      <c r="J458" s="151"/>
      <c r="K458" s="151"/>
      <c r="L458" s="151"/>
      <c r="M458" s="151"/>
      <c r="N458" s="151"/>
      <c r="O458" s="151"/>
      <c r="P458" s="151"/>
      <c r="Q458" s="151"/>
      <c r="R458" s="151"/>
      <c r="S458" s="151"/>
      <c r="T458" s="151"/>
      <c r="U458" s="151"/>
      <c r="V458" s="151"/>
      <c r="W458" s="151"/>
      <c r="X458" s="151"/>
      <c r="Y458" s="151"/>
      <c r="Z458" s="151"/>
    </row>
    <row r="459">
      <c r="A459" s="151"/>
      <c r="B459" s="151"/>
      <c r="C459" s="179"/>
      <c r="D459" s="180"/>
      <c r="E459" s="151"/>
      <c r="F459" s="151"/>
      <c r="G459" s="151"/>
      <c r="H459" s="151"/>
      <c r="I459" s="151"/>
      <c r="J459" s="151"/>
      <c r="K459" s="151"/>
      <c r="L459" s="151"/>
      <c r="M459" s="151"/>
      <c r="N459" s="151"/>
      <c r="O459" s="151"/>
      <c r="P459" s="151"/>
      <c r="Q459" s="151"/>
      <c r="R459" s="151"/>
      <c r="S459" s="151"/>
      <c r="T459" s="151"/>
      <c r="U459" s="151"/>
      <c r="V459" s="151"/>
      <c r="W459" s="151"/>
      <c r="X459" s="151"/>
      <c r="Y459" s="151"/>
      <c r="Z459" s="151"/>
    </row>
    <row r="460">
      <c r="A460" s="151"/>
      <c r="B460" s="151"/>
      <c r="C460" s="179"/>
      <c r="D460" s="180"/>
      <c r="E460" s="151"/>
      <c r="F460" s="151"/>
      <c r="G460" s="151"/>
      <c r="H460" s="151"/>
      <c r="I460" s="151"/>
      <c r="J460" s="151"/>
      <c r="K460" s="151"/>
      <c r="L460" s="151"/>
      <c r="M460" s="151"/>
      <c r="N460" s="151"/>
      <c r="O460" s="151"/>
      <c r="P460" s="151"/>
      <c r="Q460" s="151"/>
      <c r="R460" s="151"/>
      <c r="S460" s="151"/>
      <c r="T460" s="151"/>
      <c r="U460" s="151"/>
      <c r="V460" s="151"/>
      <c r="W460" s="151"/>
      <c r="X460" s="151"/>
      <c r="Y460" s="151"/>
      <c r="Z460" s="151"/>
    </row>
    <row r="461">
      <c r="A461" s="151"/>
      <c r="B461" s="151"/>
      <c r="C461" s="179"/>
      <c r="D461" s="180"/>
      <c r="E461" s="151"/>
      <c r="F461" s="151"/>
      <c r="G461" s="151"/>
      <c r="H461" s="151"/>
      <c r="I461" s="151"/>
      <c r="J461" s="151"/>
      <c r="K461" s="151"/>
      <c r="L461" s="151"/>
      <c r="M461" s="151"/>
      <c r="N461" s="151"/>
      <c r="O461" s="151"/>
      <c r="P461" s="151"/>
      <c r="Q461" s="151"/>
      <c r="R461" s="151"/>
      <c r="S461" s="151"/>
      <c r="T461" s="151"/>
      <c r="U461" s="151"/>
      <c r="V461" s="151"/>
      <c r="W461" s="151"/>
      <c r="X461" s="151"/>
      <c r="Y461" s="151"/>
      <c r="Z461" s="151"/>
    </row>
    <row r="462">
      <c r="A462" s="151"/>
      <c r="B462" s="151"/>
      <c r="C462" s="179"/>
      <c r="D462" s="180"/>
      <c r="E462" s="151"/>
      <c r="F462" s="151"/>
      <c r="G462" s="151"/>
      <c r="H462" s="151"/>
      <c r="I462" s="151"/>
      <c r="J462" s="151"/>
      <c r="K462" s="151"/>
      <c r="L462" s="151"/>
      <c r="M462" s="151"/>
      <c r="N462" s="151"/>
      <c r="O462" s="151"/>
      <c r="P462" s="151"/>
      <c r="Q462" s="151"/>
      <c r="R462" s="151"/>
      <c r="S462" s="151"/>
      <c r="T462" s="151"/>
      <c r="U462" s="151"/>
      <c r="V462" s="151"/>
      <c r="W462" s="151"/>
      <c r="X462" s="151"/>
      <c r="Y462" s="151"/>
      <c r="Z462" s="151"/>
    </row>
    <row r="463">
      <c r="A463" s="151"/>
      <c r="B463" s="151"/>
      <c r="C463" s="179"/>
      <c r="D463" s="180"/>
      <c r="E463" s="151"/>
      <c r="F463" s="151"/>
      <c r="G463" s="151"/>
      <c r="H463" s="151"/>
      <c r="I463" s="151"/>
      <c r="J463" s="151"/>
      <c r="K463" s="151"/>
      <c r="L463" s="151"/>
      <c r="M463" s="151"/>
      <c r="N463" s="151"/>
      <c r="O463" s="151"/>
      <c r="P463" s="151"/>
      <c r="Q463" s="151"/>
      <c r="R463" s="151"/>
      <c r="S463" s="151"/>
      <c r="T463" s="151"/>
      <c r="U463" s="151"/>
      <c r="V463" s="151"/>
      <c r="W463" s="151"/>
      <c r="X463" s="151"/>
      <c r="Y463" s="151"/>
      <c r="Z463" s="151"/>
    </row>
    <row r="464">
      <c r="A464" s="151"/>
      <c r="B464" s="151"/>
      <c r="C464" s="179"/>
      <c r="D464" s="180"/>
      <c r="E464" s="151"/>
      <c r="F464" s="151"/>
      <c r="G464" s="151"/>
      <c r="H464" s="151"/>
      <c r="I464" s="151"/>
      <c r="J464" s="151"/>
      <c r="K464" s="151"/>
      <c r="L464" s="151"/>
      <c r="M464" s="151"/>
      <c r="N464" s="151"/>
      <c r="O464" s="151"/>
      <c r="P464" s="151"/>
      <c r="Q464" s="151"/>
      <c r="R464" s="151"/>
      <c r="S464" s="151"/>
      <c r="T464" s="151"/>
      <c r="U464" s="151"/>
      <c r="V464" s="151"/>
      <c r="W464" s="151"/>
      <c r="X464" s="151"/>
      <c r="Y464" s="151"/>
      <c r="Z464" s="151"/>
    </row>
    <row r="465">
      <c r="A465" s="151"/>
      <c r="B465" s="151"/>
      <c r="C465" s="179"/>
      <c r="D465" s="180"/>
      <c r="E465" s="151"/>
      <c r="F465" s="151"/>
      <c r="G465" s="151"/>
      <c r="H465" s="151"/>
      <c r="I465" s="151"/>
      <c r="J465" s="151"/>
      <c r="K465" s="151"/>
      <c r="L465" s="151"/>
      <c r="M465" s="151"/>
      <c r="N465" s="151"/>
      <c r="O465" s="151"/>
      <c r="P465" s="151"/>
      <c r="Q465" s="151"/>
      <c r="R465" s="151"/>
      <c r="S465" s="151"/>
      <c r="T465" s="151"/>
      <c r="U465" s="151"/>
      <c r="V465" s="151"/>
      <c r="W465" s="151"/>
      <c r="X465" s="151"/>
      <c r="Y465" s="151"/>
      <c r="Z465" s="151"/>
    </row>
    <row r="466">
      <c r="A466" s="151"/>
      <c r="B466" s="151"/>
      <c r="C466" s="179"/>
      <c r="D466" s="180"/>
      <c r="E466" s="151"/>
      <c r="F466" s="151"/>
      <c r="G466" s="151"/>
      <c r="H466" s="151"/>
      <c r="I466" s="151"/>
      <c r="J466" s="151"/>
      <c r="K466" s="151"/>
      <c r="L466" s="151"/>
      <c r="M466" s="151"/>
      <c r="N466" s="151"/>
      <c r="O466" s="151"/>
      <c r="P466" s="151"/>
      <c r="Q466" s="151"/>
      <c r="R466" s="151"/>
      <c r="S466" s="151"/>
      <c r="T466" s="151"/>
      <c r="U466" s="151"/>
      <c r="V466" s="151"/>
      <c r="W466" s="151"/>
      <c r="X466" s="151"/>
      <c r="Y466" s="151"/>
      <c r="Z466" s="151"/>
    </row>
    <row r="467">
      <c r="A467" s="151"/>
      <c r="B467" s="151"/>
      <c r="C467" s="179"/>
      <c r="D467" s="180"/>
      <c r="E467" s="151"/>
      <c r="F467" s="151"/>
      <c r="G467" s="151"/>
      <c r="H467" s="151"/>
      <c r="I467" s="151"/>
      <c r="J467" s="151"/>
      <c r="K467" s="151"/>
      <c r="L467" s="151"/>
      <c r="M467" s="151"/>
      <c r="N467" s="151"/>
      <c r="O467" s="151"/>
      <c r="P467" s="151"/>
      <c r="Q467" s="151"/>
      <c r="R467" s="151"/>
      <c r="S467" s="151"/>
      <c r="T467" s="151"/>
      <c r="U467" s="151"/>
      <c r="V467" s="151"/>
      <c r="W467" s="151"/>
      <c r="X467" s="151"/>
      <c r="Y467" s="151"/>
      <c r="Z467" s="151"/>
    </row>
    <row r="468">
      <c r="A468" s="151"/>
      <c r="B468" s="151"/>
      <c r="C468" s="179"/>
      <c r="D468" s="180"/>
      <c r="E468" s="151"/>
      <c r="F468" s="151"/>
      <c r="G468" s="151"/>
      <c r="H468" s="151"/>
      <c r="I468" s="151"/>
      <c r="J468" s="151"/>
      <c r="K468" s="151"/>
      <c r="L468" s="151"/>
      <c r="M468" s="151"/>
      <c r="N468" s="151"/>
      <c r="O468" s="151"/>
      <c r="P468" s="151"/>
      <c r="Q468" s="151"/>
      <c r="R468" s="151"/>
      <c r="S468" s="151"/>
      <c r="T468" s="151"/>
      <c r="U468" s="151"/>
      <c r="V468" s="151"/>
      <c r="W468" s="151"/>
      <c r="X468" s="151"/>
      <c r="Y468" s="151"/>
      <c r="Z468" s="151"/>
    </row>
    <row r="469">
      <c r="A469" s="151"/>
      <c r="B469" s="151"/>
      <c r="C469" s="179"/>
      <c r="D469" s="180"/>
      <c r="E469" s="151"/>
      <c r="F469" s="151"/>
      <c r="G469" s="151"/>
      <c r="H469" s="151"/>
      <c r="I469" s="151"/>
      <c r="J469" s="151"/>
      <c r="K469" s="151"/>
      <c r="L469" s="151"/>
      <c r="M469" s="151"/>
      <c r="N469" s="151"/>
      <c r="O469" s="151"/>
      <c r="P469" s="151"/>
      <c r="Q469" s="151"/>
      <c r="R469" s="151"/>
      <c r="S469" s="151"/>
      <c r="T469" s="151"/>
      <c r="U469" s="151"/>
      <c r="V469" s="151"/>
      <c r="W469" s="151"/>
      <c r="X469" s="151"/>
      <c r="Y469" s="151"/>
      <c r="Z469" s="151"/>
    </row>
    <row r="470">
      <c r="A470" s="151"/>
      <c r="B470" s="151"/>
      <c r="C470" s="179"/>
      <c r="D470" s="180"/>
      <c r="E470" s="151"/>
      <c r="F470" s="151"/>
      <c r="G470" s="151"/>
      <c r="H470" s="151"/>
      <c r="I470" s="151"/>
      <c r="J470" s="151"/>
      <c r="K470" s="151"/>
      <c r="L470" s="151"/>
      <c r="M470" s="151"/>
      <c r="N470" s="151"/>
      <c r="O470" s="151"/>
      <c r="P470" s="151"/>
      <c r="Q470" s="151"/>
      <c r="R470" s="151"/>
      <c r="S470" s="151"/>
      <c r="T470" s="151"/>
      <c r="U470" s="151"/>
      <c r="V470" s="151"/>
      <c r="W470" s="151"/>
      <c r="X470" s="151"/>
      <c r="Y470" s="151"/>
      <c r="Z470" s="151"/>
    </row>
    <row r="471">
      <c r="A471" s="151"/>
      <c r="B471" s="151"/>
      <c r="C471" s="179"/>
      <c r="D471" s="180"/>
      <c r="E471" s="151"/>
      <c r="F471" s="151"/>
      <c r="G471" s="151"/>
      <c r="H471" s="151"/>
      <c r="I471" s="151"/>
      <c r="J471" s="151"/>
      <c r="K471" s="151"/>
      <c r="L471" s="151"/>
      <c r="M471" s="151"/>
      <c r="N471" s="151"/>
      <c r="O471" s="151"/>
      <c r="P471" s="151"/>
      <c r="Q471" s="151"/>
      <c r="R471" s="151"/>
      <c r="S471" s="151"/>
      <c r="T471" s="151"/>
      <c r="U471" s="151"/>
      <c r="V471" s="151"/>
      <c r="W471" s="151"/>
      <c r="X471" s="151"/>
      <c r="Y471" s="151"/>
      <c r="Z471" s="151"/>
    </row>
    <row r="472">
      <c r="A472" s="151"/>
      <c r="B472" s="151"/>
      <c r="C472" s="179"/>
      <c r="D472" s="180"/>
      <c r="E472" s="151"/>
      <c r="F472" s="151"/>
      <c r="G472" s="151"/>
      <c r="H472" s="151"/>
      <c r="I472" s="151"/>
      <c r="J472" s="151"/>
      <c r="K472" s="151"/>
      <c r="L472" s="151"/>
      <c r="M472" s="151"/>
      <c r="N472" s="151"/>
      <c r="O472" s="151"/>
      <c r="P472" s="151"/>
      <c r="Q472" s="151"/>
      <c r="R472" s="151"/>
      <c r="S472" s="151"/>
      <c r="T472" s="151"/>
      <c r="U472" s="151"/>
      <c r="V472" s="151"/>
      <c r="W472" s="151"/>
      <c r="X472" s="151"/>
      <c r="Y472" s="151"/>
      <c r="Z472" s="151"/>
    </row>
    <row r="473">
      <c r="A473" s="151"/>
      <c r="B473" s="151"/>
      <c r="C473" s="179"/>
      <c r="D473" s="180"/>
      <c r="E473" s="151"/>
      <c r="F473" s="151"/>
      <c r="G473" s="151"/>
      <c r="H473" s="151"/>
      <c r="I473" s="151"/>
      <c r="J473" s="151"/>
      <c r="K473" s="151"/>
      <c r="L473" s="151"/>
      <c r="M473" s="151"/>
      <c r="N473" s="151"/>
      <c r="O473" s="151"/>
      <c r="P473" s="151"/>
      <c r="Q473" s="151"/>
      <c r="R473" s="151"/>
      <c r="S473" s="151"/>
      <c r="T473" s="151"/>
      <c r="U473" s="151"/>
      <c r="V473" s="151"/>
      <c r="W473" s="151"/>
      <c r="X473" s="151"/>
      <c r="Y473" s="151"/>
      <c r="Z473" s="151"/>
    </row>
    <row r="474">
      <c r="A474" s="151"/>
      <c r="B474" s="151"/>
      <c r="C474" s="179"/>
      <c r="D474" s="180"/>
      <c r="E474" s="151"/>
      <c r="F474" s="151"/>
      <c r="G474" s="151"/>
      <c r="H474" s="151"/>
      <c r="I474" s="151"/>
      <c r="J474" s="151"/>
      <c r="K474" s="151"/>
      <c r="L474" s="151"/>
      <c r="M474" s="151"/>
      <c r="N474" s="151"/>
      <c r="O474" s="151"/>
      <c r="P474" s="151"/>
      <c r="Q474" s="151"/>
      <c r="R474" s="151"/>
      <c r="S474" s="151"/>
      <c r="T474" s="151"/>
      <c r="U474" s="151"/>
      <c r="V474" s="151"/>
      <c r="W474" s="151"/>
      <c r="X474" s="151"/>
      <c r="Y474" s="151"/>
      <c r="Z474" s="151"/>
    </row>
    <row r="475">
      <c r="A475" s="151"/>
      <c r="B475" s="151"/>
      <c r="C475" s="179"/>
      <c r="D475" s="180"/>
      <c r="E475" s="151"/>
      <c r="F475" s="151"/>
      <c r="G475" s="151"/>
      <c r="H475" s="151"/>
      <c r="I475" s="151"/>
      <c r="J475" s="151"/>
      <c r="K475" s="151"/>
      <c r="L475" s="151"/>
      <c r="M475" s="151"/>
      <c r="N475" s="151"/>
      <c r="O475" s="151"/>
      <c r="P475" s="151"/>
      <c r="Q475" s="151"/>
      <c r="R475" s="151"/>
      <c r="S475" s="151"/>
      <c r="T475" s="151"/>
      <c r="U475" s="151"/>
      <c r="V475" s="151"/>
      <c r="W475" s="151"/>
      <c r="X475" s="151"/>
      <c r="Y475" s="151"/>
      <c r="Z475" s="151"/>
    </row>
    <row r="476">
      <c r="A476" s="151"/>
      <c r="B476" s="151"/>
      <c r="C476" s="179"/>
      <c r="D476" s="180"/>
      <c r="E476" s="151"/>
      <c r="F476" s="151"/>
      <c r="G476" s="151"/>
      <c r="H476" s="151"/>
      <c r="I476" s="151"/>
      <c r="J476" s="151"/>
      <c r="K476" s="151"/>
      <c r="L476" s="151"/>
      <c r="M476" s="151"/>
      <c r="N476" s="151"/>
      <c r="O476" s="151"/>
      <c r="P476" s="151"/>
      <c r="Q476" s="151"/>
      <c r="R476" s="151"/>
      <c r="S476" s="151"/>
      <c r="T476" s="151"/>
      <c r="U476" s="151"/>
      <c r="V476" s="151"/>
      <c r="W476" s="151"/>
      <c r="X476" s="151"/>
      <c r="Y476" s="151"/>
      <c r="Z476" s="151"/>
    </row>
    <row r="477">
      <c r="A477" s="151"/>
      <c r="B477" s="151"/>
      <c r="C477" s="179"/>
      <c r="D477" s="180"/>
      <c r="E477" s="151"/>
      <c r="F477" s="151"/>
      <c r="G477" s="151"/>
      <c r="H477" s="151"/>
      <c r="I477" s="151"/>
      <c r="J477" s="151"/>
      <c r="K477" s="151"/>
      <c r="L477" s="151"/>
      <c r="M477" s="151"/>
      <c r="N477" s="151"/>
      <c r="O477" s="151"/>
      <c r="P477" s="151"/>
      <c r="Q477" s="151"/>
      <c r="R477" s="151"/>
      <c r="S477" s="151"/>
      <c r="T477" s="151"/>
      <c r="U477" s="151"/>
      <c r="V477" s="151"/>
      <c r="W477" s="151"/>
      <c r="X477" s="151"/>
      <c r="Y477" s="151"/>
      <c r="Z477" s="151"/>
    </row>
    <row r="478">
      <c r="A478" s="151"/>
      <c r="B478" s="151"/>
      <c r="C478" s="179"/>
      <c r="D478" s="180"/>
      <c r="E478" s="151"/>
      <c r="F478" s="151"/>
      <c r="G478" s="151"/>
      <c r="H478" s="151"/>
      <c r="I478" s="151"/>
      <c r="J478" s="151"/>
      <c r="K478" s="151"/>
      <c r="L478" s="151"/>
      <c r="M478" s="151"/>
      <c r="N478" s="151"/>
      <c r="O478" s="151"/>
      <c r="P478" s="151"/>
      <c r="Q478" s="151"/>
      <c r="R478" s="151"/>
      <c r="S478" s="151"/>
      <c r="T478" s="151"/>
      <c r="U478" s="151"/>
      <c r="V478" s="151"/>
      <c r="W478" s="151"/>
      <c r="X478" s="151"/>
      <c r="Y478" s="151"/>
      <c r="Z478" s="151"/>
    </row>
    <row r="479">
      <c r="A479" s="151"/>
      <c r="B479" s="151"/>
      <c r="C479" s="179"/>
      <c r="D479" s="180"/>
      <c r="E479" s="151"/>
      <c r="F479" s="151"/>
      <c r="G479" s="151"/>
      <c r="H479" s="151"/>
      <c r="I479" s="151"/>
      <c r="J479" s="151"/>
      <c r="K479" s="151"/>
      <c r="L479" s="151"/>
      <c r="M479" s="151"/>
      <c r="N479" s="151"/>
      <c r="O479" s="151"/>
      <c r="P479" s="151"/>
      <c r="Q479" s="151"/>
      <c r="R479" s="151"/>
      <c r="S479" s="151"/>
      <c r="T479" s="151"/>
      <c r="U479" s="151"/>
      <c r="V479" s="151"/>
      <c r="W479" s="151"/>
      <c r="X479" s="151"/>
      <c r="Y479" s="151"/>
      <c r="Z479" s="151"/>
    </row>
    <row r="480">
      <c r="A480" s="151"/>
      <c r="B480" s="151"/>
      <c r="C480" s="179"/>
      <c r="D480" s="180"/>
      <c r="E480" s="151"/>
      <c r="F480" s="151"/>
      <c r="G480" s="151"/>
      <c r="H480" s="151"/>
      <c r="I480" s="151"/>
      <c r="J480" s="151"/>
      <c r="K480" s="151"/>
      <c r="L480" s="151"/>
      <c r="M480" s="151"/>
      <c r="N480" s="151"/>
      <c r="O480" s="151"/>
      <c r="P480" s="151"/>
      <c r="Q480" s="151"/>
      <c r="R480" s="151"/>
      <c r="S480" s="151"/>
      <c r="T480" s="151"/>
      <c r="U480" s="151"/>
      <c r="V480" s="151"/>
      <c r="W480" s="151"/>
      <c r="X480" s="151"/>
      <c r="Y480" s="151"/>
      <c r="Z480" s="151"/>
    </row>
    <row r="481">
      <c r="A481" s="151"/>
      <c r="B481" s="151"/>
      <c r="C481" s="179"/>
      <c r="D481" s="180"/>
      <c r="E481" s="151"/>
      <c r="F481" s="151"/>
      <c r="G481" s="151"/>
      <c r="H481" s="151"/>
      <c r="I481" s="151"/>
      <c r="J481" s="151"/>
      <c r="K481" s="151"/>
      <c r="L481" s="151"/>
      <c r="M481" s="151"/>
      <c r="N481" s="151"/>
      <c r="O481" s="151"/>
      <c r="P481" s="151"/>
      <c r="Q481" s="151"/>
      <c r="R481" s="151"/>
      <c r="S481" s="151"/>
      <c r="T481" s="151"/>
      <c r="U481" s="151"/>
      <c r="V481" s="151"/>
      <c r="W481" s="151"/>
      <c r="X481" s="151"/>
      <c r="Y481" s="151"/>
      <c r="Z481" s="151"/>
    </row>
    <row r="482">
      <c r="A482" s="151"/>
      <c r="B482" s="151"/>
      <c r="C482" s="179"/>
      <c r="D482" s="180"/>
      <c r="E482" s="151"/>
      <c r="F482" s="151"/>
      <c r="G482" s="151"/>
      <c r="H482" s="151"/>
      <c r="I482" s="151"/>
      <c r="J482" s="151"/>
      <c r="K482" s="151"/>
      <c r="L482" s="151"/>
      <c r="M482" s="151"/>
      <c r="N482" s="151"/>
      <c r="O482" s="151"/>
      <c r="P482" s="151"/>
      <c r="Q482" s="151"/>
      <c r="R482" s="151"/>
      <c r="S482" s="151"/>
      <c r="T482" s="151"/>
      <c r="U482" s="151"/>
      <c r="V482" s="151"/>
      <c r="W482" s="151"/>
      <c r="X482" s="151"/>
      <c r="Y482" s="151"/>
      <c r="Z482" s="151"/>
    </row>
    <row r="483">
      <c r="A483" s="151"/>
      <c r="B483" s="151"/>
      <c r="C483" s="179"/>
      <c r="D483" s="180"/>
      <c r="E483" s="151"/>
      <c r="F483" s="151"/>
      <c r="G483" s="151"/>
      <c r="H483" s="151"/>
      <c r="I483" s="151"/>
      <c r="J483" s="151"/>
      <c r="K483" s="151"/>
      <c r="L483" s="151"/>
      <c r="M483" s="151"/>
      <c r="N483" s="151"/>
      <c r="O483" s="151"/>
      <c r="P483" s="151"/>
      <c r="Q483" s="151"/>
      <c r="R483" s="151"/>
      <c r="S483" s="151"/>
      <c r="T483" s="151"/>
      <c r="U483" s="151"/>
      <c r="V483" s="151"/>
      <c r="W483" s="151"/>
      <c r="X483" s="151"/>
      <c r="Y483" s="151"/>
      <c r="Z483" s="151"/>
    </row>
    <row r="484">
      <c r="A484" s="151"/>
      <c r="B484" s="151"/>
      <c r="C484" s="179"/>
      <c r="D484" s="180"/>
      <c r="E484" s="151"/>
      <c r="F484" s="151"/>
      <c r="G484" s="151"/>
      <c r="H484" s="151"/>
      <c r="I484" s="151"/>
      <c r="J484" s="151"/>
      <c r="K484" s="151"/>
      <c r="L484" s="151"/>
      <c r="M484" s="151"/>
      <c r="N484" s="151"/>
      <c r="O484" s="151"/>
      <c r="P484" s="151"/>
      <c r="Q484" s="151"/>
      <c r="R484" s="151"/>
      <c r="S484" s="151"/>
      <c r="T484" s="151"/>
      <c r="U484" s="151"/>
      <c r="V484" s="151"/>
      <c r="W484" s="151"/>
      <c r="X484" s="151"/>
      <c r="Y484" s="151"/>
      <c r="Z484" s="151"/>
    </row>
    <row r="485">
      <c r="A485" s="151"/>
      <c r="B485" s="151"/>
      <c r="C485" s="179"/>
      <c r="D485" s="180"/>
      <c r="E485" s="151"/>
      <c r="F485" s="151"/>
      <c r="G485" s="151"/>
      <c r="H485" s="151"/>
      <c r="I485" s="151"/>
      <c r="J485" s="151"/>
      <c r="K485" s="151"/>
      <c r="L485" s="151"/>
      <c r="M485" s="151"/>
      <c r="N485" s="151"/>
      <c r="O485" s="151"/>
      <c r="P485" s="151"/>
      <c r="Q485" s="151"/>
      <c r="R485" s="151"/>
      <c r="S485" s="151"/>
      <c r="T485" s="151"/>
      <c r="U485" s="151"/>
      <c r="V485" s="151"/>
      <c r="W485" s="151"/>
      <c r="X485" s="151"/>
      <c r="Y485" s="151"/>
      <c r="Z485" s="151"/>
    </row>
    <row r="486">
      <c r="A486" s="151"/>
      <c r="B486" s="151"/>
      <c r="C486" s="179"/>
      <c r="D486" s="180"/>
      <c r="E486" s="151"/>
      <c r="F486" s="151"/>
      <c r="G486" s="151"/>
      <c r="H486" s="151"/>
      <c r="I486" s="151"/>
      <c r="J486" s="151"/>
      <c r="K486" s="151"/>
      <c r="L486" s="151"/>
      <c r="M486" s="151"/>
      <c r="N486" s="151"/>
      <c r="O486" s="151"/>
      <c r="P486" s="151"/>
      <c r="Q486" s="151"/>
      <c r="R486" s="151"/>
      <c r="S486" s="151"/>
      <c r="T486" s="151"/>
      <c r="U486" s="151"/>
      <c r="V486" s="151"/>
      <c r="W486" s="151"/>
      <c r="X486" s="151"/>
      <c r="Y486" s="151"/>
      <c r="Z486" s="151"/>
    </row>
    <row r="487">
      <c r="A487" s="151"/>
      <c r="B487" s="151"/>
      <c r="C487" s="179"/>
      <c r="D487" s="180"/>
      <c r="E487" s="151"/>
      <c r="F487" s="151"/>
      <c r="G487" s="151"/>
      <c r="H487" s="151"/>
      <c r="I487" s="151"/>
      <c r="J487" s="151"/>
      <c r="K487" s="151"/>
      <c r="L487" s="151"/>
      <c r="M487" s="151"/>
      <c r="N487" s="151"/>
      <c r="O487" s="151"/>
      <c r="P487" s="151"/>
      <c r="Q487" s="151"/>
      <c r="R487" s="151"/>
      <c r="S487" s="151"/>
      <c r="T487" s="151"/>
      <c r="U487" s="151"/>
      <c r="V487" s="151"/>
      <c r="W487" s="151"/>
      <c r="X487" s="151"/>
      <c r="Y487" s="151"/>
      <c r="Z487" s="151"/>
    </row>
    <row r="488">
      <c r="A488" s="151"/>
      <c r="B488" s="151"/>
      <c r="C488" s="179"/>
      <c r="D488" s="180"/>
      <c r="E488" s="151"/>
      <c r="F488" s="151"/>
      <c r="G488" s="151"/>
      <c r="H488" s="151"/>
      <c r="I488" s="151"/>
      <c r="J488" s="151"/>
      <c r="K488" s="151"/>
      <c r="L488" s="151"/>
      <c r="M488" s="151"/>
      <c r="N488" s="151"/>
      <c r="O488" s="151"/>
      <c r="P488" s="151"/>
      <c r="Q488" s="151"/>
      <c r="R488" s="151"/>
      <c r="S488" s="151"/>
      <c r="T488" s="151"/>
      <c r="U488" s="151"/>
      <c r="V488" s="151"/>
      <c r="W488" s="151"/>
      <c r="X488" s="151"/>
      <c r="Y488" s="151"/>
      <c r="Z488" s="151"/>
    </row>
    <row r="489">
      <c r="A489" s="151"/>
      <c r="B489" s="151"/>
      <c r="C489" s="179"/>
      <c r="D489" s="180"/>
      <c r="E489" s="151"/>
      <c r="F489" s="151"/>
      <c r="G489" s="151"/>
      <c r="H489" s="151"/>
      <c r="I489" s="151"/>
      <c r="J489" s="151"/>
      <c r="K489" s="151"/>
      <c r="L489" s="151"/>
      <c r="M489" s="151"/>
      <c r="N489" s="151"/>
      <c r="O489" s="151"/>
      <c r="P489" s="151"/>
      <c r="Q489" s="151"/>
      <c r="R489" s="151"/>
      <c r="S489" s="151"/>
      <c r="T489" s="151"/>
      <c r="U489" s="151"/>
      <c r="V489" s="151"/>
      <c r="W489" s="151"/>
      <c r="X489" s="151"/>
      <c r="Y489" s="151"/>
      <c r="Z489" s="151"/>
    </row>
    <row r="490">
      <c r="A490" s="151"/>
      <c r="B490" s="151"/>
      <c r="C490" s="179"/>
      <c r="D490" s="180"/>
      <c r="E490" s="151"/>
      <c r="F490" s="151"/>
      <c r="G490" s="151"/>
      <c r="H490" s="151"/>
      <c r="I490" s="151"/>
      <c r="J490" s="151"/>
      <c r="K490" s="151"/>
      <c r="L490" s="151"/>
      <c r="M490" s="151"/>
      <c r="N490" s="151"/>
      <c r="O490" s="151"/>
      <c r="P490" s="151"/>
      <c r="Q490" s="151"/>
      <c r="R490" s="151"/>
      <c r="S490" s="151"/>
      <c r="T490" s="151"/>
      <c r="U490" s="151"/>
      <c r="V490" s="151"/>
      <c r="W490" s="151"/>
      <c r="X490" s="151"/>
      <c r="Y490" s="151"/>
      <c r="Z490" s="151"/>
    </row>
    <row r="491">
      <c r="A491" s="151"/>
      <c r="B491" s="151"/>
      <c r="C491" s="179"/>
      <c r="D491" s="180"/>
      <c r="E491" s="151"/>
      <c r="F491" s="151"/>
      <c r="G491" s="151"/>
      <c r="H491" s="151"/>
      <c r="I491" s="151"/>
      <c r="J491" s="151"/>
      <c r="K491" s="151"/>
      <c r="L491" s="151"/>
      <c r="M491" s="151"/>
      <c r="N491" s="151"/>
      <c r="O491" s="151"/>
      <c r="P491" s="151"/>
      <c r="Q491" s="151"/>
      <c r="R491" s="151"/>
      <c r="S491" s="151"/>
      <c r="T491" s="151"/>
      <c r="U491" s="151"/>
      <c r="V491" s="151"/>
      <c r="W491" s="151"/>
      <c r="X491" s="151"/>
      <c r="Y491" s="151"/>
      <c r="Z491" s="151"/>
    </row>
    <row r="492">
      <c r="A492" s="151"/>
      <c r="B492" s="151"/>
      <c r="C492" s="179"/>
      <c r="D492" s="180"/>
      <c r="E492" s="151"/>
      <c r="F492" s="151"/>
      <c r="G492" s="151"/>
      <c r="H492" s="151"/>
      <c r="I492" s="151"/>
      <c r="J492" s="151"/>
      <c r="K492" s="151"/>
      <c r="L492" s="151"/>
      <c r="M492" s="151"/>
      <c r="N492" s="151"/>
      <c r="O492" s="151"/>
      <c r="P492" s="151"/>
      <c r="Q492" s="151"/>
      <c r="R492" s="151"/>
      <c r="S492" s="151"/>
      <c r="T492" s="151"/>
      <c r="U492" s="151"/>
      <c r="V492" s="151"/>
      <c r="W492" s="151"/>
      <c r="X492" s="151"/>
      <c r="Y492" s="151"/>
      <c r="Z492" s="151"/>
    </row>
    <row r="493">
      <c r="A493" s="151"/>
      <c r="B493" s="151"/>
      <c r="C493" s="179"/>
      <c r="D493" s="180"/>
      <c r="E493" s="151"/>
      <c r="F493" s="151"/>
      <c r="G493" s="151"/>
      <c r="H493" s="151"/>
      <c r="I493" s="151"/>
      <c r="J493" s="151"/>
      <c r="K493" s="151"/>
      <c r="L493" s="151"/>
      <c r="M493" s="151"/>
      <c r="N493" s="151"/>
      <c r="O493" s="151"/>
      <c r="P493" s="151"/>
      <c r="Q493" s="151"/>
      <c r="R493" s="151"/>
      <c r="S493" s="151"/>
      <c r="T493" s="151"/>
      <c r="U493" s="151"/>
      <c r="V493" s="151"/>
      <c r="W493" s="151"/>
      <c r="X493" s="151"/>
      <c r="Y493" s="151"/>
      <c r="Z493" s="151"/>
    </row>
    <row r="494">
      <c r="A494" s="151"/>
      <c r="B494" s="151"/>
      <c r="C494" s="179"/>
      <c r="D494" s="180"/>
      <c r="E494" s="151"/>
      <c r="F494" s="151"/>
      <c r="G494" s="151"/>
      <c r="H494" s="151"/>
      <c r="I494" s="151"/>
      <c r="J494" s="151"/>
      <c r="K494" s="151"/>
      <c r="L494" s="151"/>
      <c r="M494" s="151"/>
      <c r="N494" s="151"/>
      <c r="O494" s="151"/>
      <c r="P494" s="151"/>
      <c r="Q494" s="151"/>
      <c r="R494" s="151"/>
      <c r="S494" s="151"/>
      <c r="T494" s="151"/>
      <c r="U494" s="151"/>
      <c r="V494" s="151"/>
      <c r="W494" s="151"/>
      <c r="X494" s="151"/>
      <c r="Y494" s="151"/>
      <c r="Z494" s="151"/>
    </row>
    <row r="495">
      <c r="A495" s="151"/>
      <c r="B495" s="151"/>
      <c r="C495" s="179"/>
      <c r="D495" s="180"/>
      <c r="E495" s="151"/>
      <c r="F495" s="151"/>
      <c r="G495" s="151"/>
      <c r="H495" s="151"/>
      <c r="I495" s="151"/>
      <c r="J495" s="151"/>
      <c r="K495" s="151"/>
      <c r="L495" s="151"/>
      <c r="M495" s="151"/>
      <c r="N495" s="151"/>
      <c r="O495" s="151"/>
      <c r="P495" s="151"/>
      <c r="Q495" s="151"/>
      <c r="R495" s="151"/>
      <c r="S495" s="151"/>
      <c r="T495" s="151"/>
      <c r="U495" s="151"/>
      <c r="V495" s="151"/>
      <c r="W495" s="151"/>
      <c r="X495" s="151"/>
      <c r="Y495" s="151"/>
      <c r="Z495" s="151"/>
    </row>
    <row r="496">
      <c r="A496" s="151"/>
      <c r="B496" s="151"/>
      <c r="C496" s="179"/>
      <c r="D496" s="180"/>
      <c r="E496" s="151"/>
      <c r="F496" s="151"/>
      <c r="G496" s="151"/>
      <c r="H496" s="151"/>
      <c r="I496" s="151"/>
      <c r="J496" s="151"/>
      <c r="K496" s="151"/>
      <c r="L496" s="151"/>
      <c r="M496" s="151"/>
      <c r="N496" s="151"/>
      <c r="O496" s="151"/>
      <c r="P496" s="151"/>
      <c r="Q496" s="151"/>
      <c r="R496" s="151"/>
      <c r="S496" s="151"/>
      <c r="T496" s="151"/>
      <c r="U496" s="151"/>
      <c r="V496" s="151"/>
      <c r="W496" s="151"/>
      <c r="X496" s="151"/>
      <c r="Y496" s="151"/>
      <c r="Z496" s="151"/>
    </row>
    <row r="497">
      <c r="A497" s="151"/>
      <c r="B497" s="151"/>
      <c r="C497" s="179"/>
      <c r="D497" s="180"/>
      <c r="E497" s="151"/>
      <c r="F497" s="151"/>
      <c r="G497" s="151"/>
      <c r="H497" s="151"/>
      <c r="I497" s="151"/>
      <c r="J497" s="151"/>
      <c r="K497" s="151"/>
      <c r="L497" s="151"/>
      <c r="M497" s="151"/>
      <c r="N497" s="151"/>
      <c r="O497" s="151"/>
      <c r="P497" s="151"/>
      <c r="Q497" s="151"/>
      <c r="R497" s="151"/>
      <c r="S497" s="151"/>
      <c r="T497" s="151"/>
      <c r="U497" s="151"/>
      <c r="V497" s="151"/>
      <c r="W497" s="151"/>
      <c r="X497" s="151"/>
      <c r="Y497" s="151"/>
      <c r="Z497" s="151"/>
    </row>
    <row r="498">
      <c r="A498" s="151"/>
      <c r="B498" s="151"/>
      <c r="C498" s="179"/>
      <c r="D498" s="180"/>
      <c r="E498" s="151"/>
      <c r="F498" s="151"/>
      <c r="G498" s="151"/>
      <c r="H498" s="151"/>
      <c r="I498" s="151"/>
      <c r="J498" s="151"/>
      <c r="K498" s="151"/>
      <c r="L498" s="151"/>
      <c r="M498" s="151"/>
      <c r="N498" s="151"/>
      <c r="O498" s="151"/>
      <c r="P498" s="151"/>
      <c r="Q498" s="151"/>
      <c r="R498" s="151"/>
      <c r="S498" s="151"/>
      <c r="T498" s="151"/>
      <c r="U498" s="151"/>
      <c r="V498" s="151"/>
      <c r="W498" s="151"/>
      <c r="X498" s="151"/>
      <c r="Y498" s="151"/>
      <c r="Z498" s="151"/>
    </row>
    <row r="499">
      <c r="A499" s="151"/>
      <c r="B499" s="151"/>
      <c r="C499" s="179"/>
      <c r="D499" s="180"/>
      <c r="E499" s="151"/>
      <c r="F499" s="151"/>
      <c r="G499" s="151"/>
      <c r="H499" s="151"/>
      <c r="I499" s="151"/>
      <c r="J499" s="151"/>
      <c r="K499" s="151"/>
      <c r="L499" s="151"/>
      <c r="M499" s="151"/>
      <c r="N499" s="151"/>
      <c r="O499" s="151"/>
      <c r="P499" s="151"/>
      <c r="Q499" s="151"/>
      <c r="R499" s="151"/>
      <c r="S499" s="151"/>
      <c r="T499" s="151"/>
      <c r="U499" s="151"/>
      <c r="V499" s="151"/>
      <c r="W499" s="151"/>
      <c r="X499" s="151"/>
      <c r="Y499" s="151"/>
      <c r="Z499" s="151"/>
    </row>
    <row r="500">
      <c r="A500" s="151"/>
      <c r="B500" s="151"/>
      <c r="C500" s="179"/>
      <c r="D500" s="180"/>
      <c r="E500" s="151"/>
      <c r="F500" s="151"/>
      <c r="G500" s="151"/>
      <c r="H500" s="151"/>
      <c r="I500" s="151"/>
      <c r="J500" s="151"/>
      <c r="K500" s="151"/>
      <c r="L500" s="151"/>
      <c r="M500" s="151"/>
      <c r="N500" s="151"/>
      <c r="O500" s="151"/>
      <c r="P500" s="151"/>
      <c r="Q500" s="151"/>
      <c r="R500" s="151"/>
      <c r="S500" s="151"/>
      <c r="T500" s="151"/>
      <c r="U500" s="151"/>
      <c r="V500" s="151"/>
      <c r="W500" s="151"/>
      <c r="X500" s="151"/>
      <c r="Y500" s="151"/>
      <c r="Z500" s="151"/>
    </row>
    <row r="501">
      <c r="A501" s="151"/>
      <c r="B501" s="151"/>
      <c r="C501" s="179"/>
      <c r="D501" s="180"/>
      <c r="E501" s="151"/>
      <c r="F501" s="151"/>
      <c r="G501" s="151"/>
      <c r="H501" s="151"/>
      <c r="I501" s="151"/>
      <c r="J501" s="151"/>
      <c r="K501" s="151"/>
      <c r="L501" s="151"/>
      <c r="M501" s="151"/>
      <c r="N501" s="151"/>
      <c r="O501" s="151"/>
      <c r="P501" s="151"/>
      <c r="Q501" s="151"/>
      <c r="R501" s="151"/>
      <c r="S501" s="151"/>
      <c r="T501" s="151"/>
      <c r="U501" s="151"/>
      <c r="V501" s="151"/>
      <c r="W501" s="151"/>
      <c r="X501" s="151"/>
      <c r="Y501" s="151"/>
      <c r="Z501" s="151"/>
    </row>
    <row r="502">
      <c r="A502" s="151"/>
      <c r="B502" s="151"/>
      <c r="C502" s="179"/>
      <c r="D502" s="180"/>
      <c r="E502" s="151"/>
      <c r="F502" s="151"/>
      <c r="G502" s="151"/>
      <c r="H502" s="151"/>
      <c r="I502" s="151"/>
      <c r="J502" s="151"/>
      <c r="K502" s="151"/>
      <c r="L502" s="151"/>
      <c r="M502" s="151"/>
      <c r="N502" s="151"/>
      <c r="O502" s="151"/>
      <c r="P502" s="151"/>
      <c r="Q502" s="151"/>
      <c r="R502" s="151"/>
      <c r="S502" s="151"/>
      <c r="T502" s="151"/>
      <c r="U502" s="151"/>
      <c r="V502" s="151"/>
      <c r="W502" s="151"/>
      <c r="X502" s="151"/>
      <c r="Y502" s="151"/>
      <c r="Z502" s="151"/>
    </row>
    <row r="503">
      <c r="A503" s="151"/>
      <c r="B503" s="151"/>
      <c r="C503" s="179"/>
      <c r="D503" s="180"/>
      <c r="E503" s="151"/>
      <c r="F503" s="151"/>
      <c r="G503" s="151"/>
      <c r="H503" s="151"/>
      <c r="I503" s="151"/>
      <c r="J503" s="151"/>
      <c r="K503" s="151"/>
      <c r="L503" s="151"/>
      <c r="M503" s="151"/>
      <c r="N503" s="151"/>
      <c r="O503" s="151"/>
      <c r="P503" s="151"/>
      <c r="Q503" s="151"/>
      <c r="R503" s="151"/>
      <c r="S503" s="151"/>
      <c r="T503" s="151"/>
      <c r="U503" s="151"/>
      <c r="V503" s="151"/>
      <c r="W503" s="151"/>
      <c r="X503" s="151"/>
      <c r="Y503" s="151"/>
      <c r="Z503" s="151"/>
    </row>
    <row r="504">
      <c r="A504" s="151"/>
      <c r="B504" s="151"/>
      <c r="C504" s="179"/>
      <c r="D504" s="180"/>
      <c r="E504" s="151"/>
      <c r="F504" s="151"/>
      <c r="G504" s="151"/>
      <c r="H504" s="151"/>
      <c r="I504" s="151"/>
      <c r="J504" s="151"/>
      <c r="K504" s="151"/>
      <c r="L504" s="151"/>
      <c r="M504" s="151"/>
      <c r="N504" s="151"/>
      <c r="O504" s="151"/>
      <c r="P504" s="151"/>
      <c r="Q504" s="151"/>
      <c r="R504" s="151"/>
      <c r="S504" s="151"/>
      <c r="T504" s="151"/>
      <c r="U504" s="151"/>
      <c r="V504" s="151"/>
      <c r="W504" s="151"/>
      <c r="X504" s="151"/>
      <c r="Y504" s="151"/>
      <c r="Z504" s="151"/>
    </row>
    <row r="505">
      <c r="A505" s="151"/>
      <c r="B505" s="151"/>
      <c r="C505" s="179"/>
      <c r="D505" s="180"/>
      <c r="E505" s="151"/>
      <c r="F505" s="151"/>
      <c r="G505" s="151"/>
      <c r="H505" s="151"/>
      <c r="I505" s="151"/>
      <c r="J505" s="151"/>
      <c r="K505" s="151"/>
      <c r="L505" s="151"/>
      <c r="M505" s="151"/>
      <c r="N505" s="151"/>
      <c r="O505" s="151"/>
      <c r="P505" s="151"/>
      <c r="Q505" s="151"/>
      <c r="R505" s="151"/>
      <c r="S505" s="151"/>
      <c r="T505" s="151"/>
      <c r="U505" s="151"/>
      <c r="V505" s="151"/>
      <c r="W505" s="151"/>
      <c r="X505" s="151"/>
      <c r="Y505" s="151"/>
      <c r="Z505" s="151"/>
    </row>
    <row r="506">
      <c r="A506" s="151"/>
      <c r="B506" s="151"/>
      <c r="C506" s="179"/>
      <c r="D506" s="180"/>
      <c r="E506" s="151"/>
      <c r="F506" s="151"/>
      <c r="G506" s="151"/>
      <c r="H506" s="151"/>
      <c r="I506" s="151"/>
      <c r="J506" s="151"/>
      <c r="K506" s="151"/>
      <c r="L506" s="151"/>
      <c r="M506" s="151"/>
      <c r="N506" s="151"/>
      <c r="O506" s="151"/>
      <c r="P506" s="151"/>
      <c r="Q506" s="151"/>
      <c r="R506" s="151"/>
      <c r="S506" s="151"/>
      <c r="T506" s="151"/>
      <c r="U506" s="151"/>
      <c r="V506" s="151"/>
      <c r="W506" s="151"/>
      <c r="X506" s="151"/>
      <c r="Y506" s="151"/>
      <c r="Z506" s="151"/>
    </row>
    <row r="507">
      <c r="A507" s="151"/>
      <c r="B507" s="151"/>
      <c r="C507" s="179"/>
      <c r="D507" s="180"/>
      <c r="E507" s="151"/>
      <c r="F507" s="151"/>
      <c r="G507" s="151"/>
      <c r="H507" s="151"/>
      <c r="I507" s="151"/>
      <c r="J507" s="151"/>
      <c r="K507" s="151"/>
      <c r="L507" s="151"/>
      <c r="M507" s="151"/>
      <c r="N507" s="151"/>
      <c r="O507" s="151"/>
      <c r="P507" s="151"/>
      <c r="Q507" s="151"/>
      <c r="R507" s="151"/>
      <c r="S507" s="151"/>
      <c r="T507" s="151"/>
      <c r="U507" s="151"/>
      <c r="V507" s="151"/>
      <c r="W507" s="151"/>
      <c r="X507" s="151"/>
      <c r="Y507" s="151"/>
      <c r="Z507" s="151"/>
    </row>
    <row r="508">
      <c r="A508" s="151"/>
      <c r="B508" s="151"/>
      <c r="C508" s="179"/>
      <c r="D508" s="180"/>
      <c r="E508" s="151"/>
      <c r="F508" s="151"/>
      <c r="G508" s="151"/>
      <c r="H508" s="151"/>
      <c r="I508" s="151"/>
      <c r="J508" s="151"/>
      <c r="K508" s="151"/>
      <c r="L508" s="151"/>
      <c r="M508" s="151"/>
      <c r="N508" s="151"/>
      <c r="O508" s="151"/>
      <c r="P508" s="151"/>
      <c r="Q508" s="151"/>
      <c r="R508" s="151"/>
      <c r="S508" s="151"/>
      <c r="T508" s="151"/>
      <c r="U508" s="151"/>
      <c r="V508" s="151"/>
      <c r="W508" s="151"/>
      <c r="X508" s="151"/>
      <c r="Y508" s="151"/>
      <c r="Z508" s="151"/>
    </row>
    <row r="509">
      <c r="A509" s="151"/>
      <c r="B509" s="151"/>
      <c r="C509" s="179"/>
      <c r="D509" s="180"/>
      <c r="E509" s="151"/>
      <c r="F509" s="151"/>
      <c r="G509" s="151"/>
      <c r="H509" s="151"/>
      <c r="I509" s="151"/>
      <c r="J509" s="151"/>
      <c r="K509" s="151"/>
      <c r="L509" s="151"/>
      <c r="M509" s="151"/>
      <c r="N509" s="151"/>
      <c r="O509" s="151"/>
      <c r="P509" s="151"/>
      <c r="Q509" s="151"/>
      <c r="R509" s="151"/>
      <c r="S509" s="151"/>
      <c r="T509" s="151"/>
      <c r="U509" s="151"/>
      <c r="V509" s="151"/>
      <c r="W509" s="151"/>
      <c r="X509" s="151"/>
      <c r="Y509" s="151"/>
      <c r="Z509" s="151"/>
    </row>
    <row r="510">
      <c r="A510" s="151"/>
      <c r="B510" s="151"/>
      <c r="C510" s="179"/>
      <c r="D510" s="180"/>
      <c r="E510" s="151"/>
      <c r="F510" s="151"/>
      <c r="G510" s="151"/>
      <c r="H510" s="151"/>
      <c r="I510" s="151"/>
      <c r="J510" s="151"/>
      <c r="K510" s="151"/>
      <c r="L510" s="151"/>
      <c r="M510" s="151"/>
      <c r="N510" s="151"/>
      <c r="O510" s="151"/>
      <c r="P510" s="151"/>
      <c r="Q510" s="151"/>
      <c r="R510" s="151"/>
      <c r="S510" s="151"/>
      <c r="T510" s="151"/>
      <c r="U510" s="151"/>
      <c r="V510" s="151"/>
      <c r="W510" s="151"/>
      <c r="X510" s="151"/>
      <c r="Y510" s="151"/>
      <c r="Z510" s="151"/>
    </row>
    <row r="511">
      <c r="A511" s="151"/>
      <c r="B511" s="151"/>
      <c r="C511" s="179"/>
      <c r="D511" s="180"/>
      <c r="E511" s="151"/>
      <c r="F511" s="151"/>
      <c r="G511" s="151"/>
      <c r="H511" s="151"/>
      <c r="I511" s="151"/>
      <c r="J511" s="151"/>
      <c r="K511" s="151"/>
      <c r="L511" s="151"/>
      <c r="M511" s="151"/>
      <c r="N511" s="151"/>
      <c r="O511" s="151"/>
      <c r="P511" s="151"/>
      <c r="Q511" s="151"/>
      <c r="R511" s="151"/>
      <c r="S511" s="151"/>
      <c r="T511" s="151"/>
      <c r="U511" s="151"/>
      <c r="V511" s="151"/>
      <c r="W511" s="151"/>
      <c r="X511" s="151"/>
      <c r="Y511" s="151"/>
      <c r="Z511" s="151"/>
    </row>
    <row r="512">
      <c r="A512" s="151"/>
      <c r="B512" s="151"/>
      <c r="C512" s="179"/>
      <c r="D512" s="180"/>
      <c r="E512" s="151"/>
      <c r="F512" s="151"/>
      <c r="G512" s="151"/>
      <c r="H512" s="151"/>
      <c r="I512" s="151"/>
      <c r="J512" s="151"/>
      <c r="K512" s="151"/>
      <c r="L512" s="151"/>
      <c r="M512" s="151"/>
      <c r="N512" s="151"/>
      <c r="O512" s="151"/>
      <c r="P512" s="151"/>
      <c r="Q512" s="151"/>
      <c r="R512" s="151"/>
      <c r="S512" s="151"/>
      <c r="T512" s="151"/>
      <c r="U512" s="151"/>
      <c r="V512" s="151"/>
      <c r="W512" s="151"/>
      <c r="X512" s="151"/>
      <c r="Y512" s="151"/>
      <c r="Z512" s="151"/>
    </row>
    <row r="513">
      <c r="A513" s="151"/>
      <c r="B513" s="151"/>
      <c r="C513" s="179"/>
      <c r="D513" s="180"/>
      <c r="E513" s="151"/>
      <c r="F513" s="151"/>
      <c r="G513" s="151"/>
      <c r="H513" s="151"/>
      <c r="I513" s="151"/>
      <c r="J513" s="151"/>
      <c r="K513" s="151"/>
      <c r="L513" s="151"/>
      <c r="M513" s="151"/>
      <c r="N513" s="151"/>
      <c r="O513" s="151"/>
      <c r="P513" s="151"/>
      <c r="Q513" s="151"/>
      <c r="R513" s="151"/>
      <c r="S513" s="151"/>
      <c r="T513" s="151"/>
      <c r="U513" s="151"/>
      <c r="V513" s="151"/>
      <c r="W513" s="151"/>
      <c r="X513" s="151"/>
      <c r="Y513" s="151"/>
      <c r="Z513" s="151"/>
    </row>
    <row r="514">
      <c r="A514" s="151"/>
      <c r="B514" s="151"/>
      <c r="C514" s="179"/>
      <c r="D514" s="180"/>
      <c r="E514" s="151"/>
      <c r="F514" s="151"/>
      <c r="G514" s="151"/>
      <c r="H514" s="151"/>
      <c r="I514" s="151"/>
      <c r="J514" s="151"/>
      <c r="K514" s="151"/>
      <c r="L514" s="151"/>
      <c r="M514" s="151"/>
      <c r="N514" s="151"/>
      <c r="O514" s="151"/>
      <c r="P514" s="151"/>
      <c r="Q514" s="151"/>
      <c r="R514" s="151"/>
      <c r="S514" s="151"/>
      <c r="T514" s="151"/>
      <c r="U514" s="151"/>
      <c r="V514" s="151"/>
      <c r="W514" s="151"/>
      <c r="X514" s="151"/>
      <c r="Y514" s="151"/>
      <c r="Z514" s="151"/>
    </row>
    <row r="515">
      <c r="A515" s="151"/>
      <c r="B515" s="151"/>
      <c r="C515" s="179"/>
      <c r="D515" s="180"/>
      <c r="E515" s="151"/>
      <c r="F515" s="151"/>
      <c r="G515" s="151"/>
      <c r="H515" s="151"/>
      <c r="I515" s="151"/>
      <c r="J515" s="151"/>
      <c r="K515" s="151"/>
      <c r="L515" s="151"/>
      <c r="M515" s="151"/>
      <c r="N515" s="151"/>
      <c r="O515" s="151"/>
      <c r="P515" s="151"/>
      <c r="Q515" s="151"/>
      <c r="R515" s="151"/>
      <c r="S515" s="151"/>
      <c r="T515" s="151"/>
      <c r="U515" s="151"/>
      <c r="V515" s="151"/>
      <c r="W515" s="151"/>
      <c r="X515" s="151"/>
      <c r="Y515" s="151"/>
      <c r="Z515" s="151"/>
    </row>
    <row r="516">
      <c r="A516" s="151"/>
      <c r="B516" s="151"/>
      <c r="C516" s="179"/>
      <c r="D516" s="180"/>
      <c r="E516" s="151"/>
      <c r="F516" s="151"/>
      <c r="G516" s="151"/>
      <c r="H516" s="151"/>
      <c r="I516" s="151"/>
      <c r="J516" s="151"/>
      <c r="K516" s="151"/>
      <c r="L516" s="151"/>
      <c r="M516" s="151"/>
      <c r="N516" s="151"/>
      <c r="O516" s="151"/>
      <c r="P516" s="151"/>
      <c r="Q516" s="151"/>
      <c r="R516" s="151"/>
      <c r="S516" s="151"/>
      <c r="T516" s="151"/>
      <c r="U516" s="151"/>
      <c r="V516" s="151"/>
      <c r="W516" s="151"/>
      <c r="X516" s="151"/>
      <c r="Y516" s="151"/>
      <c r="Z516" s="151"/>
    </row>
    <row r="517">
      <c r="A517" s="151"/>
      <c r="B517" s="151"/>
      <c r="C517" s="179"/>
      <c r="D517" s="180"/>
      <c r="E517" s="151"/>
      <c r="F517" s="151"/>
      <c r="G517" s="151"/>
      <c r="H517" s="151"/>
      <c r="I517" s="151"/>
      <c r="J517" s="151"/>
      <c r="K517" s="151"/>
      <c r="L517" s="151"/>
      <c r="M517" s="151"/>
      <c r="N517" s="151"/>
      <c r="O517" s="151"/>
      <c r="P517" s="151"/>
      <c r="Q517" s="151"/>
      <c r="R517" s="151"/>
      <c r="S517" s="151"/>
      <c r="T517" s="151"/>
      <c r="U517" s="151"/>
      <c r="V517" s="151"/>
      <c r="W517" s="151"/>
      <c r="X517" s="151"/>
      <c r="Y517" s="151"/>
      <c r="Z517" s="151"/>
    </row>
    <row r="518">
      <c r="A518" s="151"/>
      <c r="B518" s="151"/>
      <c r="C518" s="179"/>
      <c r="D518" s="180"/>
      <c r="E518" s="151"/>
      <c r="F518" s="151"/>
      <c r="G518" s="151"/>
      <c r="H518" s="151"/>
      <c r="I518" s="151"/>
      <c r="J518" s="151"/>
      <c r="K518" s="151"/>
      <c r="L518" s="151"/>
      <c r="M518" s="151"/>
      <c r="N518" s="151"/>
      <c r="O518" s="151"/>
      <c r="P518" s="151"/>
      <c r="Q518" s="151"/>
      <c r="R518" s="151"/>
      <c r="S518" s="151"/>
      <c r="T518" s="151"/>
      <c r="U518" s="151"/>
      <c r="V518" s="151"/>
      <c r="W518" s="151"/>
      <c r="X518" s="151"/>
      <c r="Y518" s="151"/>
      <c r="Z518" s="151"/>
    </row>
    <row r="519">
      <c r="A519" s="151"/>
      <c r="B519" s="151"/>
      <c r="C519" s="179"/>
      <c r="D519" s="180"/>
      <c r="E519" s="151"/>
      <c r="F519" s="151"/>
      <c r="G519" s="151"/>
      <c r="H519" s="151"/>
      <c r="I519" s="151"/>
      <c r="J519" s="151"/>
      <c r="K519" s="151"/>
      <c r="L519" s="151"/>
      <c r="M519" s="151"/>
      <c r="N519" s="151"/>
      <c r="O519" s="151"/>
      <c r="P519" s="151"/>
      <c r="Q519" s="151"/>
      <c r="R519" s="151"/>
      <c r="S519" s="151"/>
      <c r="T519" s="151"/>
      <c r="U519" s="151"/>
      <c r="V519" s="151"/>
      <c r="W519" s="151"/>
      <c r="X519" s="151"/>
      <c r="Y519" s="151"/>
      <c r="Z519" s="151"/>
    </row>
    <row r="520">
      <c r="A520" s="151"/>
      <c r="B520" s="151"/>
      <c r="C520" s="179"/>
      <c r="D520" s="180"/>
      <c r="E520" s="151"/>
      <c r="F520" s="151"/>
      <c r="G520" s="151"/>
      <c r="H520" s="151"/>
      <c r="I520" s="151"/>
      <c r="J520" s="151"/>
      <c r="K520" s="151"/>
      <c r="L520" s="151"/>
      <c r="M520" s="151"/>
      <c r="N520" s="151"/>
      <c r="O520" s="151"/>
      <c r="P520" s="151"/>
      <c r="Q520" s="151"/>
      <c r="R520" s="151"/>
      <c r="S520" s="151"/>
      <c r="T520" s="151"/>
      <c r="U520" s="151"/>
      <c r="V520" s="151"/>
      <c r="W520" s="151"/>
      <c r="X520" s="151"/>
      <c r="Y520" s="151"/>
      <c r="Z520" s="151"/>
    </row>
    <row r="521">
      <c r="A521" s="151"/>
      <c r="B521" s="151"/>
      <c r="C521" s="179"/>
      <c r="D521" s="180"/>
      <c r="E521" s="151"/>
      <c r="F521" s="151"/>
      <c r="G521" s="151"/>
      <c r="H521" s="151"/>
      <c r="I521" s="151"/>
      <c r="J521" s="151"/>
      <c r="K521" s="151"/>
      <c r="L521" s="151"/>
      <c r="M521" s="151"/>
      <c r="N521" s="151"/>
      <c r="O521" s="151"/>
      <c r="P521" s="151"/>
      <c r="Q521" s="151"/>
      <c r="R521" s="151"/>
      <c r="S521" s="151"/>
      <c r="T521" s="151"/>
      <c r="U521" s="151"/>
      <c r="V521" s="151"/>
      <c r="W521" s="151"/>
      <c r="X521" s="151"/>
      <c r="Y521" s="151"/>
      <c r="Z521" s="151"/>
    </row>
    <row r="522">
      <c r="A522" s="151"/>
      <c r="B522" s="151"/>
      <c r="C522" s="179"/>
      <c r="D522" s="180"/>
      <c r="E522" s="151"/>
      <c r="F522" s="151"/>
      <c r="G522" s="151"/>
      <c r="H522" s="151"/>
      <c r="I522" s="151"/>
      <c r="J522" s="151"/>
      <c r="K522" s="151"/>
      <c r="L522" s="151"/>
      <c r="M522" s="151"/>
      <c r="N522" s="151"/>
      <c r="O522" s="151"/>
      <c r="P522" s="151"/>
      <c r="Q522" s="151"/>
      <c r="R522" s="151"/>
      <c r="S522" s="151"/>
      <c r="T522" s="151"/>
      <c r="U522" s="151"/>
      <c r="V522" s="151"/>
      <c r="W522" s="151"/>
      <c r="X522" s="151"/>
      <c r="Y522" s="151"/>
      <c r="Z522" s="151"/>
    </row>
    <row r="523">
      <c r="A523" s="151"/>
      <c r="B523" s="151"/>
      <c r="C523" s="179"/>
      <c r="D523" s="180"/>
      <c r="E523" s="151"/>
      <c r="F523" s="151"/>
      <c r="G523" s="151"/>
      <c r="H523" s="151"/>
      <c r="I523" s="151"/>
      <c r="J523" s="151"/>
      <c r="K523" s="151"/>
      <c r="L523" s="151"/>
      <c r="M523" s="151"/>
      <c r="N523" s="151"/>
      <c r="O523" s="151"/>
      <c r="P523" s="151"/>
      <c r="Q523" s="151"/>
      <c r="R523" s="151"/>
      <c r="S523" s="151"/>
      <c r="T523" s="151"/>
      <c r="U523" s="151"/>
      <c r="V523" s="151"/>
      <c r="W523" s="151"/>
      <c r="X523" s="151"/>
      <c r="Y523" s="151"/>
      <c r="Z523" s="151"/>
    </row>
    <row r="524">
      <c r="A524" s="151"/>
      <c r="B524" s="151"/>
      <c r="C524" s="179"/>
      <c r="D524" s="180"/>
      <c r="E524" s="151"/>
      <c r="F524" s="151"/>
      <c r="G524" s="151"/>
      <c r="H524" s="151"/>
      <c r="I524" s="151"/>
      <c r="J524" s="151"/>
      <c r="K524" s="151"/>
      <c r="L524" s="151"/>
      <c r="M524" s="151"/>
      <c r="N524" s="151"/>
      <c r="O524" s="151"/>
      <c r="P524" s="151"/>
      <c r="Q524" s="151"/>
      <c r="R524" s="151"/>
      <c r="S524" s="151"/>
      <c r="T524" s="151"/>
      <c r="U524" s="151"/>
      <c r="V524" s="151"/>
      <c r="W524" s="151"/>
      <c r="X524" s="151"/>
      <c r="Y524" s="151"/>
      <c r="Z524" s="151"/>
    </row>
    <row r="525">
      <c r="A525" s="151"/>
      <c r="B525" s="151"/>
      <c r="C525" s="179"/>
      <c r="D525" s="180"/>
      <c r="E525" s="151"/>
      <c r="F525" s="151"/>
      <c r="G525" s="151"/>
      <c r="H525" s="151"/>
      <c r="I525" s="151"/>
      <c r="J525" s="151"/>
      <c r="K525" s="151"/>
      <c r="L525" s="151"/>
      <c r="M525" s="151"/>
      <c r="N525" s="151"/>
      <c r="O525" s="151"/>
      <c r="P525" s="151"/>
      <c r="Q525" s="151"/>
      <c r="R525" s="151"/>
      <c r="S525" s="151"/>
      <c r="T525" s="151"/>
      <c r="U525" s="151"/>
      <c r="V525" s="151"/>
      <c r="W525" s="151"/>
      <c r="X525" s="151"/>
      <c r="Y525" s="151"/>
      <c r="Z525" s="151"/>
    </row>
    <row r="526">
      <c r="A526" s="151"/>
      <c r="B526" s="151"/>
      <c r="C526" s="179"/>
      <c r="D526" s="180"/>
      <c r="E526" s="151"/>
      <c r="F526" s="151"/>
      <c r="G526" s="151"/>
      <c r="H526" s="151"/>
      <c r="I526" s="151"/>
      <c r="J526" s="151"/>
      <c r="K526" s="151"/>
      <c r="L526" s="151"/>
      <c r="M526" s="151"/>
      <c r="N526" s="151"/>
      <c r="O526" s="151"/>
      <c r="P526" s="151"/>
      <c r="Q526" s="151"/>
      <c r="R526" s="151"/>
      <c r="S526" s="151"/>
      <c r="T526" s="151"/>
      <c r="U526" s="151"/>
      <c r="V526" s="151"/>
      <c r="W526" s="151"/>
      <c r="X526" s="151"/>
      <c r="Y526" s="151"/>
      <c r="Z526" s="151"/>
    </row>
    <row r="527">
      <c r="A527" s="151"/>
      <c r="B527" s="151"/>
      <c r="C527" s="179"/>
      <c r="D527" s="180"/>
      <c r="E527" s="151"/>
      <c r="F527" s="151"/>
      <c r="G527" s="151"/>
      <c r="H527" s="151"/>
      <c r="I527" s="151"/>
      <c r="J527" s="151"/>
      <c r="K527" s="151"/>
      <c r="L527" s="151"/>
      <c r="M527" s="151"/>
      <c r="N527" s="151"/>
      <c r="O527" s="151"/>
      <c r="P527" s="151"/>
      <c r="Q527" s="151"/>
      <c r="R527" s="151"/>
      <c r="S527" s="151"/>
      <c r="T527" s="151"/>
      <c r="U527" s="151"/>
      <c r="V527" s="151"/>
      <c r="W527" s="151"/>
      <c r="X527" s="151"/>
      <c r="Y527" s="151"/>
      <c r="Z527" s="151"/>
    </row>
    <row r="528">
      <c r="A528" s="151"/>
      <c r="B528" s="151"/>
      <c r="C528" s="179"/>
      <c r="D528" s="180"/>
      <c r="E528" s="151"/>
      <c r="F528" s="151"/>
      <c r="G528" s="151"/>
      <c r="H528" s="151"/>
      <c r="I528" s="151"/>
      <c r="J528" s="151"/>
      <c r="K528" s="151"/>
      <c r="L528" s="151"/>
      <c r="M528" s="151"/>
      <c r="N528" s="151"/>
      <c r="O528" s="151"/>
      <c r="P528" s="151"/>
      <c r="Q528" s="151"/>
      <c r="R528" s="151"/>
      <c r="S528" s="151"/>
      <c r="T528" s="151"/>
      <c r="U528" s="151"/>
      <c r="V528" s="151"/>
      <c r="W528" s="151"/>
      <c r="X528" s="151"/>
      <c r="Y528" s="151"/>
      <c r="Z528" s="151"/>
    </row>
    <row r="529">
      <c r="A529" s="151"/>
      <c r="B529" s="151"/>
      <c r="C529" s="179"/>
      <c r="D529" s="180"/>
      <c r="E529" s="151"/>
      <c r="F529" s="151"/>
      <c r="G529" s="151"/>
      <c r="H529" s="151"/>
      <c r="I529" s="151"/>
      <c r="J529" s="151"/>
      <c r="K529" s="151"/>
      <c r="L529" s="151"/>
      <c r="M529" s="151"/>
      <c r="N529" s="151"/>
      <c r="O529" s="151"/>
      <c r="P529" s="151"/>
      <c r="Q529" s="151"/>
      <c r="R529" s="151"/>
      <c r="S529" s="151"/>
      <c r="T529" s="151"/>
      <c r="U529" s="151"/>
      <c r="V529" s="151"/>
      <c r="W529" s="151"/>
      <c r="X529" s="151"/>
      <c r="Y529" s="151"/>
      <c r="Z529" s="151"/>
    </row>
    <row r="530">
      <c r="A530" s="151"/>
      <c r="B530" s="151"/>
      <c r="C530" s="179"/>
      <c r="D530" s="180"/>
      <c r="E530" s="151"/>
      <c r="F530" s="151"/>
      <c r="G530" s="151"/>
      <c r="H530" s="151"/>
      <c r="I530" s="151"/>
      <c r="J530" s="151"/>
      <c r="K530" s="151"/>
      <c r="L530" s="151"/>
      <c r="M530" s="151"/>
      <c r="N530" s="151"/>
      <c r="O530" s="151"/>
      <c r="P530" s="151"/>
      <c r="Q530" s="151"/>
      <c r="R530" s="151"/>
      <c r="S530" s="151"/>
      <c r="T530" s="151"/>
      <c r="U530" s="151"/>
      <c r="V530" s="151"/>
      <c r="W530" s="151"/>
      <c r="X530" s="151"/>
      <c r="Y530" s="151"/>
      <c r="Z530" s="151"/>
    </row>
    <row r="531">
      <c r="A531" s="151"/>
      <c r="B531" s="151"/>
      <c r="C531" s="179"/>
      <c r="D531" s="180"/>
      <c r="E531" s="151"/>
      <c r="F531" s="151"/>
      <c r="G531" s="151"/>
      <c r="H531" s="151"/>
      <c r="I531" s="151"/>
      <c r="J531" s="151"/>
      <c r="K531" s="151"/>
      <c r="L531" s="151"/>
      <c r="M531" s="151"/>
      <c r="N531" s="151"/>
      <c r="O531" s="151"/>
      <c r="P531" s="151"/>
      <c r="Q531" s="151"/>
      <c r="R531" s="151"/>
      <c r="S531" s="151"/>
      <c r="T531" s="151"/>
      <c r="U531" s="151"/>
      <c r="V531" s="151"/>
      <c r="W531" s="151"/>
      <c r="X531" s="151"/>
      <c r="Y531" s="151"/>
      <c r="Z531" s="151"/>
    </row>
    <row r="532">
      <c r="A532" s="151"/>
      <c r="B532" s="151"/>
      <c r="C532" s="179"/>
      <c r="D532" s="180"/>
      <c r="E532" s="151"/>
      <c r="F532" s="151"/>
      <c r="G532" s="151"/>
      <c r="H532" s="151"/>
      <c r="I532" s="151"/>
      <c r="J532" s="151"/>
      <c r="K532" s="151"/>
      <c r="L532" s="151"/>
      <c r="M532" s="151"/>
      <c r="N532" s="151"/>
      <c r="O532" s="151"/>
      <c r="P532" s="151"/>
      <c r="Q532" s="151"/>
      <c r="R532" s="151"/>
      <c r="S532" s="151"/>
      <c r="T532" s="151"/>
      <c r="U532" s="151"/>
      <c r="V532" s="151"/>
      <c r="W532" s="151"/>
      <c r="X532" s="151"/>
      <c r="Y532" s="151"/>
      <c r="Z532" s="151"/>
    </row>
    <row r="533">
      <c r="A533" s="151"/>
      <c r="B533" s="151"/>
      <c r="C533" s="179"/>
      <c r="D533" s="180"/>
      <c r="E533" s="151"/>
      <c r="F533" s="151"/>
      <c r="G533" s="151"/>
      <c r="H533" s="151"/>
      <c r="I533" s="151"/>
      <c r="J533" s="151"/>
      <c r="K533" s="151"/>
      <c r="L533" s="151"/>
      <c r="M533" s="151"/>
      <c r="N533" s="151"/>
      <c r="O533" s="151"/>
      <c r="P533" s="151"/>
      <c r="Q533" s="151"/>
      <c r="R533" s="151"/>
      <c r="S533" s="151"/>
      <c r="T533" s="151"/>
      <c r="U533" s="151"/>
      <c r="V533" s="151"/>
      <c r="W533" s="151"/>
      <c r="X533" s="151"/>
      <c r="Y533" s="151"/>
      <c r="Z533" s="151"/>
    </row>
    <row r="534">
      <c r="A534" s="151"/>
      <c r="B534" s="151"/>
      <c r="C534" s="179"/>
      <c r="D534" s="180"/>
      <c r="E534" s="151"/>
      <c r="F534" s="151"/>
      <c r="G534" s="151"/>
      <c r="H534" s="151"/>
      <c r="I534" s="151"/>
      <c r="J534" s="151"/>
      <c r="K534" s="151"/>
      <c r="L534" s="151"/>
      <c r="M534" s="151"/>
      <c r="N534" s="151"/>
      <c r="O534" s="151"/>
      <c r="P534" s="151"/>
      <c r="Q534" s="151"/>
      <c r="R534" s="151"/>
      <c r="S534" s="151"/>
      <c r="T534" s="151"/>
      <c r="U534" s="151"/>
      <c r="V534" s="151"/>
      <c r="W534" s="151"/>
      <c r="X534" s="151"/>
      <c r="Y534" s="151"/>
      <c r="Z534" s="151"/>
    </row>
    <row r="535">
      <c r="A535" s="151"/>
      <c r="B535" s="151"/>
      <c r="C535" s="179"/>
      <c r="D535" s="180"/>
      <c r="E535" s="151"/>
      <c r="F535" s="151"/>
      <c r="G535" s="151"/>
      <c r="H535" s="151"/>
      <c r="I535" s="151"/>
      <c r="J535" s="151"/>
      <c r="K535" s="151"/>
      <c r="L535" s="151"/>
      <c r="M535" s="151"/>
      <c r="N535" s="151"/>
      <c r="O535" s="151"/>
      <c r="P535" s="151"/>
      <c r="Q535" s="151"/>
      <c r="R535" s="151"/>
      <c r="S535" s="151"/>
      <c r="T535" s="151"/>
      <c r="U535" s="151"/>
      <c r="V535" s="151"/>
      <c r="W535" s="151"/>
      <c r="X535" s="151"/>
      <c r="Y535" s="151"/>
      <c r="Z535" s="151"/>
    </row>
    <row r="536">
      <c r="A536" s="151"/>
      <c r="B536" s="151"/>
      <c r="C536" s="179"/>
      <c r="D536" s="180"/>
      <c r="E536" s="151"/>
      <c r="F536" s="151"/>
      <c r="G536" s="151"/>
      <c r="H536" s="151"/>
      <c r="I536" s="151"/>
      <c r="J536" s="151"/>
      <c r="K536" s="151"/>
      <c r="L536" s="151"/>
      <c r="M536" s="151"/>
      <c r="N536" s="151"/>
      <c r="O536" s="151"/>
      <c r="P536" s="151"/>
      <c r="Q536" s="151"/>
      <c r="R536" s="151"/>
      <c r="S536" s="151"/>
      <c r="T536" s="151"/>
      <c r="U536" s="151"/>
      <c r="V536" s="151"/>
      <c r="W536" s="151"/>
      <c r="X536" s="151"/>
      <c r="Y536" s="151"/>
      <c r="Z536" s="151"/>
    </row>
    <row r="537">
      <c r="A537" s="151"/>
      <c r="B537" s="151"/>
      <c r="C537" s="179"/>
      <c r="D537" s="180"/>
      <c r="E537" s="151"/>
      <c r="F537" s="151"/>
      <c r="G537" s="151"/>
      <c r="H537" s="151"/>
      <c r="I537" s="151"/>
      <c r="J537" s="151"/>
      <c r="K537" s="151"/>
      <c r="L537" s="151"/>
      <c r="M537" s="151"/>
      <c r="N537" s="151"/>
      <c r="O537" s="151"/>
      <c r="P537" s="151"/>
      <c r="Q537" s="151"/>
      <c r="R537" s="151"/>
      <c r="S537" s="151"/>
      <c r="T537" s="151"/>
      <c r="U537" s="151"/>
      <c r="V537" s="151"/>
      <c r="W537" s="151"/>
      <c r="X537" s="151"/>
      <c r="Y537" s="151"/>
      <c r="Z537" s="151"/>
    </row>
    <row r="538">
      <c r="A538" s="151"/>
      <c r="B538" s="151"/>
      <c r="C538" s="179"/>
      <c r="D538" s="180"/>
      <c r="E538" s="151"/>
      <c r="F538" s="151"/>
      <c r="G538" s="151"/>
      <c r="H538" s="151"/>
      <c r="I538" s="151"/>
      <c r="J538" s="151"/>
      <c r="K538" s="151"/>
      <c r="L538" s="151"/>
      <c r="M538" s="151"/>
      <c r="N538" s="151"/>
      <c r="O538" s="151"/>
      <c r="P538" s="151"/>
      <c r="Q538" s="151"/>
      <c r="R538" s="151"/>
      <c r="S538" s="151"/>
      <c r="T538" s="151"/>
      <c r="U538" s="151"/>
      <c r="V538" s="151"/>
      <c r="W538" s="151"/>
      <c r="X538" s="151"/>
      <c r="Y538" s="151"/>
      <c r="Z538" s="151"/>
    </row>
    <row r="539">
      <c r="A539" s="151"/>
      <c r="B539" s="151"/>
      <c r="C539" s="179"/>
      <c r="D539" s="180"/>
      <c r="E539" s="151"/>
      <c r="F539" s="151"/>
      <c r="G539" s="151"/>
      <c r="H539" s="151"/>
      <c r="I539" s="151"/>
      <c r="J539" s="151"/>
      <c r="K539" s="151"/>
      <c r="L539" s="151"/>
      <c r="M539" s="151"/>
      <c r="N539" s="151"/>
      <c r="O539" s="151"/>
      <c r="P539" s="151"/>
      <c r="Q539" s="151"/>
      <c r="R539" s="151"/>
      <c r="S539" s="151"/>
      <c r="T539" s="151"/>
      <c r="U539" s="151"/>
      <c r="V539" s="151"/>
      <c r="W539" s="151"/>
      <c r="X539" s="151"/>
      <c r="Y539" s="151"/>
      <c r="Z539" s="151"/>
    </row>
    <row r="540">
      <c r="A540" s="151"/>
      <c r="B540" s="151"/>
      <c r="C540" s="179"/>
      <c r="D540" s="180"/>
      <c r="E540" s="151"/>
      <c r="F540" s="151"/>
      <c r="G540" s="151"/>
      <c r="H540" s="151"/>
      <c r="I540" s="151"/>
      <c r="J540" s="151"/>
      <c r="K540" s="151"/>
      <c r="L540" s="151"/>
      <c r="M540" s="151"/>
      <c r="N540" s="151"/>
      <c r="O540" s="151"/>
      <c r="P540" s="151"/>
      <c r="Q540" s="151"/>
      <c r="R540" s="151"/>
      <c r="S540" s="151"/>
      <c r="T540" s="151"/>
      <c r="U540" s="151"/>
      <c r="V540" s="151"/>
      <c r="W540" s="151"/>
      <c r="X540" s="151"/>
      <c r="Y540" s="151"/>
      <c r="Z540" s="151"/>
    </row>
    <row r="541">
      <c r="A541" s="151"/>
      <c r="B541" s="151"/>
      <c r="C541" s="179"/>
      <c r="D541" s="180"/>
      <c r="E541" s="151"/>
      <c r="F541" s="151"/>
      <c r="G541" s="151"/>
      <c r="H541" s="151"/>
      <c r="I541" s="151"/>
      <c r="J541" s="151"/>
      <c r="K541" s="151"/>
      <c r="L541" s="151"/>
      <c r="M541" s="151"/>
      <c r="N541" s="151"/>
      <c r="O541" s="151"/>
      <c r="P541" s="151"/>
      <c r="Q541" s="151"/>
      <c r="R541" s="151"/>
      <c r="S541" s="151"/>
      <c r="T541" s="151"/>
      <c r="U541" s="151"/>
      <c r="V541" s="151"/>
      <c r="W541" s="151"/>
      <c r="X541" s="151"/>
      <c r="Y541" s="151"/>
      <c r="Z541" s="151"/>
    </row>
    <row r="542">
      <c r="A542" s="151"/>
      <c r="B542" s="151"/>
      <c r="C542" s="179"/>
      <c r="D542" s="180"/>
      <c r="E542" s="151"/>
      <c r="F542" s="151"/>
      <c r="G542" s="151"/>
      <c r="H542" s="151"/>
      <c r="I542" s="151"/>
      <c r="J542" s="151"/>
      <c r="K542" s="151"/>
      <c r="L542" s="151"/>
      <c r="M542" s="151"/>
      <c r="N542" s="151"/>
      <c r="O542" s="151"/>
      <c r="P542" s="151"/>
      <c r="Q542" s="151"/>
      <c r="R542" s="151"/>
      <c r="S542" s="151"/>
      <c r="T542" s="151"/>
      <c r="U542" s="151"/>
      <c r="V542" s="151"/>
      <c r="W542" s="151"/>
      <c r="X542" s="151"/>
      <c r="Y542" s="151"/>
      <c r="Z542" s="151"/>
    </row>
    <row r="543">
      <c r="A543" s="151"/>
      <c r="B543" s="151"/>
      <c r="C543" s="179"/>
      <c r="D543" s="180"/>
      <c r="E543" s="151"/>
      <c r="F543" s="151"/>
      <c r="G543" s="151"/>
      <c r="H543" s="151"/>
      <c r="I543" s="151"/>
      <c r="J543" s="151"/>
      <c r="K543" s="151"/>
      <c r="L543" s="151"/>
      <c r="M543" s="151"/>
      <c r="N543" s="151"/>
      <c r="O543" s="151"/>
      <c r="P543" s="151"/>
      <c r="Q543" s="151"/>
      <c r="R543" s="151"/>
      <c r="S543" s="151"/>
      <c r="T543" s="151"/>
      <c r="U543" s="151"/>
      <c r="V543" s="151"/>
      <c r="W543" s="151"/>
      <c r="X543" s="151"/>
      <c r="Y543" s="151"/>
      <c r="Z543" s="151"/>
    </row>
    <row r="544">
      <c r="A544" s="151"/>
      <c r="B544" s="151"/>
      <c r="C544" s="179"/>
      <c r="D544" s="180"/>
      <c r="E544" s="151"/>
      <c r="F544" s="151"/>
      <c r="G544" s="151"/>
      <c r="H544" s="151"/>
      <c r="I544" s="151"/>
      <c r="J544" s="151"/>
      <c r="K544" s="151"/>
      <c r="L544" s="151"/>
      <c r="M544" s="151"/>
      <c r="N544" s="151"/>
      <c r="O544" s="151"/>
      <c r="P544" s="151"/>
      <c r="Q544" s="151"/>
      <c r="R544" s="151"/>
      <c r="S544" s="151"/>
      <c r="T544" s="151"/>
      <c r="U544" s="151"/>
      <c r="V544" s="151"/>
      <c r="W544" s="151"/>
      <c r="X544" s="151"/>
      <c r="Y544" s="151"/>
      <c r="Z544" s="151"/>
    </row>
    <row r="545">
      <c r="A545" s="151"/>
      <c r="B545" s="151"/>
      <c r="C545" s="179"/>
      <c r="D545" s="180"/>
      <c r="E545" s="151"/>
      <c r="F545" s="151"/>
      <c r="G545" s="151"/>
      <c r="H545" s="151"/>
      <c r="I545" s="151"/>
      <c r="J545" s="151"/>
      <c r="K545" s="151"/>
      <c r="L545" s="151"/>
      <c r="M545" s="151"/>
      <c r="N545" s="151"/>
      <c r="O545" s="151"/>
      <c r="P545" s="151"/>
      <c r="Q545" s="151"/>
      <c r="R545" s="151"/>
      <c r="S545" s="151"/>
      <c r="T545" s="151"/>
      <c r="U545" s="151"/>
      <c r="V545" s="151"/>
      <c r="W545" s="151"/>
      <c r="X545" s="151"/>
      <c r="Y545" s="151"/>
      <c r="Z545" s="151"/>
    </row>
    <row r="546">
      <c r="A546" s="151"/>
      <c r="B546" s="151"/>
      <c r="C546" s="179"/>
      <c r="D546" s="180"/>
      <c r="E546" s="151"/>
      <c r="F546" s="151"/>
      <c r="G546" s="151"/>
      <c r="H546" s="151"/>
      <c r="I546" s="151"/>
      <c r="J546" s="151"/>
      <c r="K546" s="151"/>
      <c r="L546" s="151"/>
      <c r="M546" s="151"/>
      <c r="N546" s="151"/>
      <c r="O546" s="151"/>
      <c r="P546" s="151"/>
      <c r="Q546" s="151"/>
      <c r="R546" s="151"/>
      <c r="S546" s="151"/>
      <c r="T546" s="151"/>
      <c r="U546" s="151"/>
      <c r="V546" s="151"/>
      <c r="W546" s="151"/>
      <c r="X546" s="151"/>
      <c r="Y546" s="151"/>
      <c r="Z546" s="151"/>
    </row>
    <row r="547">
      <c r="A547" s="151"/>
      <c r="B547" s="151"/>
      <c r="C547" s="179"/>
      <c r="D547" s="180"/>
      <c r="E547" s="151"/>
      <c r="F547" s="151"/>
      <c r="G547" s="151"/>
      <c r="H547" s="151"/>
      <c r="I547" s="151"/>
      <c r="J547" s="151"/>
      <c r="K547" s="151"/>
      <c r="L547" s="151"/>
      <c r="M547" s="151"/>
      <c r="N547" s="151"/>
      <c r="O547" s="151"/>
      <c r="P547" s="151"/>
      <c r="Q547" s="151"/>
      <c r="R547" s="151"/>
      <c r="S547" s="151"/>
      <c r="T547" s="151"/>
      <c r="U547" s="151"/>
      <c r="V547" s="151"/>
      <c r="W547" s="151"/>
      <c r="X547" s="151"/>
      <c r="Y547" s="151"/>
      <c r="Z547" s="151"/>
    </row>
    <row r="548">
      <c r="A548" s="151"/>
      <c r="B548" s="151"/>
      <c r="C548" s="179"/>
      <c r="D548" s="180"/>
      <c r="E548" s="151"/>
      <c r="F548" s="151"/>
      <c r="G548" s="151"/>
      <c r="H548" s="151"/>
      <c r="I548" s="151"/>
      <c r="J548" s="151"/>
      <c r="K548" s="151"/>
      <c r="L548" s="151"/>
      <c r="M548" s="151"/>
      <c r="N548" s="151"/>
      <c r="O548" s="151"/>
      <c r="P548" s="151"/>
      <c r="Q548" s="151"/>
      <c r="R548" s="151"/>
      <c r="S548" s="151"/>
      <c r="T548" s="151"/>
      <c r="U548" s="151"/>
      <c r="V548" s="151"/>
      <c r="W548" s="151"/>
      <c r="X548" s="151"/>
      <c r="Y548" s="151"/>
      <c r="Z548" s="151"/>
    </row>
    <row r="549">
      <c r="A549" s="151"/>
      <c r="B549" s="151"/>
      <c r="C549" s="179"/>
      <c r="D549" s="180"/>
      <c r="E549" s="151"/>
      <c r="F549" s="151"/>
      <c r="G549" s="151"/>
      <c r="H549" s="151"/>
      <c r="I549" s="151"/>
      <c r="J549" s="151"/>
      <c r="K549" s="151"/>
      <c r="L549" s="151"/>
      <c r="M549" s="151"/>
      <c r="N549" s="151"/>
      <c r="O549" s="151"/>
      <c r="P549" s="151"/>
      <c r="Q549" s="151"/>
      <c r="R549" s="151"/>
      <c r="S549" s="151"/>
      <c r="T549" s="151"/>
      <c r="U549" s="151"/>
      <c r="V549" s="151"/>
      <c r="W549" s="151"/>
      <c r="X549" s="151"/>
      <c r="Y549" s="151"/>
      <c r="Z549" s="151"/>
    </row>
    <row r="550">
      <c r="A550" s="151"/>
      <c r="B550" s="151"/>
      <c r="C550" s="179"/>
      <c r="D550" s="180"/>
      <c r="E550" s="151"/>
      <c r="F550" s="151"/>
      <c r="G550" s="151"/>
      <c r="H550" s="151"/>
      <c r="I550" s="151"/>
      <c r="J550" s="151"/>
      <c r="K550" s="151"/>
      <c r="L550" s="151"/>
      <c r="M550" s="151"/>
      <c r="N550" s="151"/>
      <c r="O550" s="151"/>
      <c r="P550" s="151"/>
      <c r="Q550" s="151"/>
      <c r="R550" s="151"/>
      <c r="S550" s="151"/>
      <c r="T550" s="151"/>
      <c r="U550" s="151"/>
      <c r="V550" s="151"/>
      <c r="W550" s="151"/>
      <c r="X550" s="151"/>
      <c r="Y550" s="151"/>
      <c r="Z550" s="151"/>
    </row>
    <row r="551">
      <c r="A551" s="151"/>
      <c r="B551" s="151"/>
      <c r="C551" s="179"/>
      <c r="D551" s="180"/>
      <c r="E551" s="151"/>
      <c r="F551" s="151"/>
      <c r="G551" s="151"/>
      <c r="H551" s="151"/>
      <c r="I551" s="151"/>
      <c r="J551" s="151"/>
      <c r="K551" s="151"/>
      <c r="L551" s="151"/>
      <c r="M551" s="151"/>
      <c r="N551" s="151"/>
      <c r="O551" s="151"/>
      <c r="P551" s="151"/>
      <c r="Q551" s="151"/>
      <c r="R551" s="151"/>
      <c r="S551" s="151"/>
      <c r="T551" s="151"/>
      <c r="U551" s="151"/>
      <c r="V551" s="151"/>
      <c r="W551" s="151"/>
      <c r="X551" s="151"/>
      <c r="Y551" s="151"/>
      <c r="Z551" s="151"/>
    </row>
    <row r="552">
      <c r="A552" s="151"/>
      <c r="B552" s="151"/>
      <c r="C552" s="179"/>
      <c r="D552" s="180"/>
      <c r="E552" s="151"/>
      <c r="F552" s="151"/>
      <c r="G552" s="151"/>
      <c r="H552" s="151"/>
      <c r="I552" s="151"/>
      <c r="J552" s="151"/>
      <c r="K552" s="151"/>
      <c r="L552" s="151"/>
      <c r="M552" s="151"/>
      <c r="N552" s="151"/>
      <c r="O552" s="151"/>
      <c r="P552" s="151"/>
      <c r="Q552" s="151"/>
      <c r="R552" s="151"/>
      <c r="S552" s="151"/>
      <c r="T552" s="151"/>
      <c r="U552" s="151"/>
      <c r="V552" s="151"/>
      <c r="W552" s="151"/>
      <c r="X552" s="151"/>
      <c r="Y552" s="151"/>
      <c r="Z552" s="151"/>
    </row>
    <row r="553">
      <c r="A553" s="151"/>
      <c r="B553" s="151"/>
      <c r="C553" s="179"/>
      <c r="D553" s="180"/>
      <c r="E553" s="151"/>
      <c r="F553" s="151"/>
      <c r="G553" s="151"/>
      <c r="H553" s="151"/>
      <c r="I553" s="151"/>
      <c r="J553" s="151"/>
      <c r="K553" s="151"/>
      <c r="L553" s="151"/>
      <c r="M553" s="151"/>
      <c r="N553" s="151"/>
      <c r="O553" s="151"/>
      <c r="P553" s="151"/>
      <c r="Q553" s="151"/>
      <c r="R553" s="151"/>
      <c r="S553" s="151"/>
      <c r="T553" s="151"/>
      <c r="U553" s="151"/>
      <c r="V553" s="151"/>
      <c r="W553" s="151"/>
      <c r="X553" s="151"/>
      <c r="Y553" s="151"/>
      <c r="Z553" s="151"/>
    </row>
    <row r="554">
      <c r="A554" s="151"/>
      <c r="B554" s="151"/>
      <c r="C554" s="179"/>
      <c r="D554" s="180"/>
      <c r="E554" s="151"/>
      <c r="F554" s="151"/>
      <c r="G554" s="151"/>
      <c r="H554" s="151"/>
      <c r="I554" s="151"/>
      <c r="J554" s="151"/>
      <c r="K554" s="151"/>
      <c r="L554" s="151"/>
      <c r="M554" s="151"/>
      <c r="N554" s="151"/>
      <c r="O554" s="151"/>
      <c r="P554" s="151"/>
      <c r="Q554" s="151"/>
      <c r="R554" s="151"/>
      <c r="S554" s="151"/>
      <c r="T554" s="151"/>
      <c r="U554" s="151"/>
      <c r="V554" s="151"/>
      <c r="W554" s="151"/>
      <c r="X554" s="151"/>
      <c r="Y554" s="151"/>
      <c r="Z554" s="151"/>
    </row>
    <row r="555">
      <c r="A555" s="151"/>
      <c r="B555" s="151"/>
      <c r="C555" s="179"/>
      <c r="D555" s="180"/>
      <c r="E555" s="151"/>
      <c r="F555" s="151"/>
      <c r="G555" s="151"/>
      <c r="H555" s="151"/>
      <c r="I555" s="151"/>
      <c r="J555" s="151"/>
      <c r="K555" s="151"/>
      <c r="L555" s="151"/>
      <c r="M555" s="151"/>
      <c r="N555" s="151"/>
      <c r="O555" s="151"/>
      <c r="P555" s="151"/>
      <c r="Q555" s="151"/>
      <c r="R555" s="151"/>
      <c r="S555" s="151"/>
      <c r="T555" s="151"/>
      <c r="U555" s="151"/>
      <c r="V555" s="151"/>
      <c r="W555" s="151"/>
      <c r="X555" s="151"/>
      <c r="Y555" s="151"/>
      <c r="Z555" s="151"/>
    </row>
    <row r="556">
      <c r="A556" s="151"/>
      <c r="B556" s="151"/>
      <c r="C556" s="179"/>
      <c r="D556" s="180"/>
      <c r="E556" s="151"/>
      <c r="F556" s="151"/>
      <c r="G556" s="151"/>
      <c r="H556" s="151"/>
      <c r="I556" s="151"/>
      <c r="J556" s="151"/>
      <c r="K556" s="151"/>
      <c r="L556" s="151"/>
      <c r="M556" s="151"/>
      <c r="N556" s="151"/>
      <c r="O556" s="151"/>
      <c r="P556" s="151"/>
      <c r="Q556" s="151"/>
      <c r="R556" s="151"/>
      <c r="S556" s="151"/>
      <c r="T556" s="151"/>
      <c r="U556" s="151"/>
      <c r="V556" s="151"/>
      <c r="W556" s="151"/>
      <c r="X556" s="151"/>
      <c r="Y556" s="151"/>
      <c r="Z556" s="151"/>
    </row>
    <row r="557">
      <c r="A557" s="151"/>
      <c r="B557" s="151"/>
      <c r="C557" s="179"/>
      <c r="D557" s="180"/>
      <c r="E557" s="151"/>
      <c r="F557" s="151"/>
      <c r="G557" s="151"/>
      <c r="H557" s="151"/>
      <c r="I557" s="151"/>
      <c r="J557" s="151"/>
      <c r="K557" s="151"/>
      <c r="L557" s="151"/>
      <c r="M557" s="151"/>
      <c r="N557" s="151"/>
      <c r="O557" s="151"/>
      <c r="P557" s="151"/>
      <c r="Q557" s="151"/>
      <c r="R557" s="151"/>
      <c r="S557" s="151"/>
      <c r="T557" s="151"/>
      <c r="U557" s="151"/>
      <c r="V557" s="151"/>
      <c r="W557" s="151"/>
      <c r="X557" s="151"/>
      <c r="Y557" s="151"/>
      <c r="Z557" s="151"/>
    </row>
    <row r="558">
      <c r="A558" s="151"/>
      <c r="B558" s="151"/>
      <c r="C558" s="179"/>
      <c r="D558" s="180"/>
      <c r="E558" s="151"/>
      <c r="F558" s="151"/>
      <c r="G558" s="151"/>
      <c r="H558" s="151"/>
      <c r="I558" s="151"/>
      <c r="J558" s="151"/>
      <c r="K558" s="151"/>
      <c r="L558" s="151"/>
      <c r="M558" s="151"/>
      <c r="N558" s="151"/>
      <c r="O558" s="151"/>
      <c r="P558" s="151"/>
      <c r="Q558" s="151"/>
      <c r="R558" s="151"/>
      <c r="S558" s="151"/>
      <c r="T558" s="151"/>
      <c r="U558" s="151"/>
      <c r="V558" s="151"/>
      <c r="W558" s="151"/>
      <c r="X558" s="151"/>
      <c r="Y558" s="151"/>
      <c r="Z558" s="151"/>
    </row>
    <row r="559">
      <c r="A559" s="151"/>
      <c r="B559" s="151"/>
      <c r="C559" s="179"/>
      <c r="D559" s="180"/>
      <c r="E559" s="151"/>
      <c r="F559" s="151"/>
      <c r="G559" s="151"/>
      <c r="H559" s="151"/>
      <c r="I559" s="151"/>
      <c r="J559" s="151"/>
      <c r="K559" s="151"/>
      <c r="L559" s="151"/>
      <c r="M559" s="151"/>
      <c r="N559" s="151"/>
      <c r="O559" s="151"/>
      <c r="P559" s="151"/>
      <c r="Q559" s="151"/>
      <c r="R559" s="151"/>
      <c r="S559" s="151"/>
      <c r="T559" s="151"/>
      <c r="U559" s="151"/>
      <c r="V559" s="151"/>
      <c r="W559" s="151"/>
      <c r="X559" s="151"/>
      <c r="Y559" s="151"/>
      <c r="Z559" s="151"/>
    </row>
    <row r="560">
      <c r="A560" s="151"/>
      <c r="B560" s="151"/>
      <c r="C560" s="179"/>
      <c r="D560" s="180"/>
      <c r="E560" s="151"/>
      <c r="F560" s="151"/>
      <c r="G560" s="151"/>
      <c r="H560" s="151"/>
      <c r="I560" s="151"/>
      <c r="J560" s="151"/>
      <c r="K560" s="151"/>
      <c r="L560" s="151"/>
      <c r="M560" s="151"/>
      <c r="N560" s="151"/>
      <c r="O560" s="151"/>
      <c r="P560" s="151"/>
      <c r="Q560" s="151"/>
      <c r="R560" s="151"/>
      <c r="S560" s="151"/>
      <c r="T560" s="151"/>
      <c r="U560" s="151"/>
      <c r="V560" s="151"/>
      <c r="W560" s="151"/>
      <c r="X560" s="151"/>
      <c r="Y560" s="151"/>
      <c r="Z560" s="151"/>
    </row>
    <row r="561">
      <c r="A561" s="151"/>
      <c r="B561" s="151"/>
      <c r="C561" s="179"/>
      <c r="D561" s="180"/>
      <c r="E561" s="151"/>
      <c r="F561" s="151"/>
      <c r="G561" s="151"/>
      <c r="H561" s="151"/>
      <c r="I561" s="151"/>
      <c r="J561" s="151"/>
      <c r="K561" s="151"/>
      <c r="L561" s="151"/>
      <c r="M561" s="151"/>
      <c r="N561" s="151"/>
      <c r="O561" s="151"/>
      <c r="P561" s="151"/>
      <c r="Q561" s="151"/>
      <c r="R561" s="151"/>
      <c r="S561" s="151"/>
      <c r="T561" s="151"/>
      <c r="U561" s="151"/>
      <c r="V561" s="151"/>
      <c r="W561" s="151"/>
      <c r="X561" s="151"/>
      <c r="Y561" s="151"/>
      <c r="Z561" s="151"/>
    </row>
    <row r="562">
      <c r="A562" s="151"/>
      <c r="B562" s="151"/>
      <c r="C562" s="179"/>
      <c r="D562" s="180"/>
      <c r="E562" s="151"/>
      <c r="F562" s="151"/>
      <c r="G562" s="151"/>
      <c r="H562" s="151"/>
      <c r="I562" s="151"/>
      <c r="J562" s="151"/>
      <c r="K562" s="151"/>
      <c r="L562" s="151"/>
      <c r="M562" s="151"/>
      <c r="N562" s="151"/>
      <c r="O562" s="151"/>
      <c r="P562" s="151"/>
      <c r="Q562" s="151"/>
      <c r="R562" s="151"/>
      <c r="S562" s="151"/>
      <c r="T562" s="151"/>
      <c r="U562" s="151"/>
      <c r="V562" s="151"/>
      <c r="W562" s="151"/>
      <c r="X562" s="151"/>
      <c r="Y562" s="151"/>
      <c r="Z562" s="151"/>
    </row>
    <row r="563">
      <c r="A563" s="151"/>
      <c r="B563" s="151"/>
      <c r="C563" s="179"/>
      <c r="D563" s="180"/>
      <c r="E563" s="151"/>
      <c r="F563" s="151"/>
      <c r="G563" s="151"/>
      <c r="H563" s="151"/>
      <c r="I563" s="151"/>
      <c r="J563" s="151"/>
      <c r="K563" s="151"/>
      <c r="L563" s="151"/>
      <c r="M563" s="151"/>
      <c r="N563" s="151"/>
      <c r="O563" s="151"/>
      <c r="P563" s="151"/>
      <c r="Q563" s="151"/>
      <c r="R563" s="151"/>
      <c r="S563" s="151"/>
      <c r="T563" s="151"/>
      <c r="U563" s="151"/>
      <c r="V563" s="151"/>
      <c r="W563" s="151"/>
      <c r="X563" s="151"/>
      <c r="Y563" s="151"/>
      <c r="Z563" s="151"/>
    </row>
    <row r="564">
      <c r="A564" s="151"/>
      <c r="B564" s="151"/>
      <c r="C564" s="179"/>
      <c r="D564" s="180"/>
      <c r="E564" s="151"/>
      <c r="F564" s="151"/>
      <c r="G564" s="151"/>
      <c r="H564" s="151"/>
      <c r="I564" s="151"/>
      <c r="J564" s="151"/>
      <c r="K564" s="151"/>
      <c r="L564" s="151"/>
      <c r="M564" s="151"/>
      <c r="N564" s="151"/>
      <c r="O564" s="151"/>
      <c r="P564" s="151"/>
      <c r="Q564" s="151"/>
      <c r="R564" s="151"/>
      <c r="S564" s="151"/>
      <c r="T564" s="151"/>
      <c r="U564" s="151"/>
      <c r="V564" s="151"/>
      <c r="W564" s="151"/>
      <c r="X564" s="151"/>
      <c r="Y564" s="151"/>
      <c r="Z564" s="151"/>
    </row>
    <row r="565">
      <c r="A565" s="151"/>
      <c r="B565" s="151"/>
      <c r="C565" s="179"/>
      <c r="D565" s="180"/>
      <c r="E565" s="151"/>
      <c r="F565" s="151"/>
      <c r="G565" s="151"/>
      <c r="H565" s="151"/>
      <c r="I565" s="151"/>
      <c r="J565" s="151"/>
      <c r="K565" s="151"/>
      <c r="L565" s="151"/>
      <c r="M565" s="151"/>
      <c r="N565" s="151"/>
      <c r="O565" s="151"/>
      <c r="P565" s="151"/>
      <c r="Q565" s="151"/>
      <c r="R565" s="151"/>
      <c r="S565" s="151"/>
      <c r="T565" s="151"/>
      <c r="U565" s="151"/>
      <c r="V565" s="151"/>
      <c r="W565" s="151"/>
      <c r="X565" s="151"/>
      <c r="Y565" s="151"/>
      <c r="Z565" s="151"/>
    </row>
    <row r="566">
      <c r="A566" s="151"/>
      <c r="B566" s="151"/>
      <c r="C566" s="179"/>
      <c r="D566" s="180"/>
      <c r="E566" s="151"/>
      <c r="F566" s="151"/>
      <c r="G566" s="151"/>
      <c r="H566" s="151"/>
      <c r="I566" s="151"/>
      <c r="J566" s="151"/>
      <c r="K566" s="151"/>
      <c r="L566" s="151"/>
      <c r="M566" s="151"/>
      <c r="N566" s="151"/>
      <c r="O566" s="151"/>
      <c r="P566" s="151"/>
      <c r="Q566" s="151"/>
      <c r="R566" s="151"/>
      <c r="S566" s="151"/>
      <c r="T566" s="151"/>
      <c r="U566" s="151"/>
      <c r="V566" s="151"/>
      <c r="W566" s="151"/>
      <c r="X566" s="151"/>
      <c r="Y566" s="151"/>
      <c r="Z566" s="151"/>
    </row>
    <row r="567">
      <c r="A567" s="151"/>
      <c r="B567" s="151"/>
      <c r="C567" s="179"/>
      <c r="D567" s="180"/>
      <c r="E567" s="151"/>
      <c r="F567" s="151"/>
      <c r="G567" s="151"/>
      <c r="H567" s="151"/>
      <c r="I567" s="151"/>
      <c r="J567" s="151"/>
      <c r="K567" s="151"/>
      <c r="L567" s="151"/>
      <c r="M567" s="151"/>
      <c r="N567" s="151"/>
      <c r="O567" s="151"/>
      <c r="P567" s="151"/>
      <c r="Q567" s="151"/>
      <c r="R567" s="151"/>
      <c r="S567" s="151"/>
      <c r="T567" s="151"/>
      <c r="U567" s="151"/>
      <c r="V567" s="151"/>
      <c r="W567" s="151"/>
      <c r="X567" s="151"/>
      <c r="Y567" s="151"/>
      <c r="Z567" s="151"/>
    </row>
    <row r="568">
      <c r="A568" s="151"/>
      <c r="B568" s="151"/>
      <c r="C568" s="179"/>
      <c r="D568" s="180"/>
      <c r="E568" s="151"/>
      <c r="F568" s="151"/>
      <c r="G568" s="151"/>
      <c r="H568" s="151"/>
      <c r="I568" s="151"/>
      <c r="J568" s="151"/>
      <c r="K568" s="151"/>
      <c r="L568" s="151"/>
      <c r="M568" s="151"/>
      <c r="N568" s="151"/>
      <c r="O568" s="151"/>
      <c r="P568" s="151"/>
      <c r="Q568" s="151"/>
      <c r="R568" s="151"/>
      <c r="S568" s="151"/>
      <c r="T568" s="151"/>
      <c r="U568" s="151"/>
      <c r="V568" s="151"/>
      <c r="W568" s="151"/>
      <c r="X568" s="151"/>
      <c r="Y568" s="151"/>
      <c r="Z568" s="151"/>
    </row>
    <row r="569">
      <c r="A569" s="151"/>
      <c r="B569" s="151"/>
      <c r="C569" s="179"/>
      <c r="D569" s="180"/>
      <c r="E569" s="151"/>
      <c r="F569" s="151"/>
      <c r="G569" s="151"/>
      <c r="H569" s="151"/>
      <c r="I569" s="151"/>
      <c r="J569" s="151"/>
      <c r="K569" s="151"/>
      <c r="L569" s="151"/>
      <c r="M569" s="151"/>
      <c r="N569" s="151"/>
      <c r="O569" s="151"/>
      <c r="P569" s="151"/>
      <c r="Q569" s="151"/>
      <c r="R569" s="151"/>
      <c r="S569" s="151"/>
      <c r="T569" s="151"/>
      <c r="U569" s="151"/>
      <c r="V569" s="151"/>
      <c r="W569" s="151"/>
      <c r="X569" s="151"/>
      <c r="Y569" s="151"/>
      <c r="Z569" s="151"/>
    </row>
    <row r="570">
      <c r="A570" s="151"/>
      <c r="B570" s="151"/>
      <c r="C570" s="179"/>
      <c r="D570" s="180"/>
      <c r="E570" s="151"/>
      <c r="F570" s="151"/>
      <c r="G570" s="151"/>
      <c r="H570" s="151"/>
      <c r="I570" s="151"/>
      <c r="J570" s="151"/>
      <c r="K570" s="151"/>
      <c r="L570" s="151"/>
      <c r="M570" s="151"/>
      <c r="N570" s="151"/>
      <c r="O570" s="151"/>
      <c r="P570" s="151"/>
      <c r="Q570" s="151"/>
      <c r="R570" s="151"/>
      <c r="S570" s="151"/>
      <c r="T570" s="151"/>
      <c r="U570" s="151"/>
      <c r="V570" s="151"/>
      <c r="W570" s="151"/>
      <c r="X570" s="151"/>
      <c r="Y570" s="151"/>
      <c r="Z570" s="151"/>
    </row>
    <row r="571">
      <c r="A571" s="151"/>
      <c r="B571" s="151"/>
      <c r="C571" s="179"/>
      <c r="D571" s="180"/>
      <c r="E571" s="151"/>
      <c r="F571" s="151"/>
      <c r="G571" s="151"/>
      <c r="H571" s="151"/>
      <c r="I571" s="151"/>
      <c r="J571" s="151"/>
      <c r="K571" s="151"/>
      <c r="L571" s="151"/>
      <c r="M571" s="151"/>
      <c r="N571" s="151"/>
      <c r="O571" s="151"/>
      <c r="P571" s="151"/>
      <c r="Q571" s="151"/>
      <c r="R571" s="151"/>
      <c r="S571" s="151"/>
      <c r="T571" s="151"/>
      <c r="U571" s="151"/>
      <c r="V571" s="151"/>
      <c r="W571" s="151"/>
      <c r="X571" s="151"/>
      <c r="Y571" s="151"/>
      <c r="Z571" s="151"/>
    </row>
    <row r="572">
      <c r="A572" s="151"/>
      <c r="B572" s="151"/>
      <c r="C572" s="179"/>
      <c r="D572" s="180"/>
      <c r="E572" s="151"/>
      <c r="F572" s="151"/>
      <c r="G572" s="151"/>
      <c r="H572" s="151"/>
      <c r="I572" s="151"/>
      <c r="J572" s="151"/>
      <c r="K572" s="151"/>
      <c r="L572" s="151"/>
      <c r="M572" s="151"/>
      <c r="N572" s="151"/>
      <c r="O572" s="151"/>
      <c r="P572" s="151"/>
      <c r="Q572" s="151"/>
      <c r="R572" s="151"/>
      <c r="S572" s="151"/>
      <c r="T572" s="151"/>
      <c r="U572" s="151"/>
      <c r="V572" s="151"/>
      <c r="W572" s="151"/>
      <c r="X572" s="151"/>
      <c r="Y572" s="151"/>
      <c r="Z572" s="151"/>
    </row>
    <row r="573">
      <c r="A573" s="151"/>
      <c r="B573" s="151"/>
      <c r="C573" s="179"/>
      <c r="D573" s="180"/>
      <c r="E573" s="151"/>
      <c r="F573" s="151"/>
      <c r="G573" s="151"/>
      <c r="H573" s="151"/>
      <c r="I573" s="151"/>
      <c r="J573" s="151"/>
      <c r="K573" s="151"/>
      <c r="L573" s="151"/>
      <c r="M573" s="151"/>
      <c r="N573" s="151"/>
      <c r="O573" s="151"/>
      <c r="P573" s="151"/>
      <c r="Q573" s="151"/>
      <c r="R573" s="151"/>
      <c r="S573" s="151"/>
      <c r="T573" s="151"/>
      <c r="U573" s="151"/>
      <c r="V573" s="151"/>
      <c r="W573" s="151"/>
      <c r="X573" s="151"/>
      <c r="Y573" s="151"/>
      <c r="Z573" s="151"/>
    </row>
    <row r="574">
      <c r="A574" s="151"/>
      <c r="B574" s="151"/>
      <c r="C574" s="179"/>
      <c r="D574" s="180"/>
      <c r="E574" s="151"/>
      <c r="F574" s="151"/>
      <c r="G574" s="151"/>
      <c r="H574" s="151"/>
      <c r="I574" s="151"/>
      <c r="J574" s="151"/>
      <c r="K574" s="151"/>
      <c r="L574" s="151"/>
      <c r="M574" s="151"/>
      <c r="N574" s="151"/>
      <c r="O574" s="151"/>
      <c r="P574" s="151"/>
      <c r="Q574" s="151"/>
      <c r="R574" s="151"/>
      <c r="S574" s="151"/>
      <c r="T574" s="151"/>
      <c r="U574" s="151"/>
      <c r="V574" s="151"/>
      <c r="W574" s="151"/>
      <c r="X574" s="151"/>
      <c r="Y574" s="151"/>
      <c r="Z574" s="151"/>
    </row>
    <row r="575">
      <c r="A575" s="151"/>
      <c r="B575" s="151"/>
      <c r="C575" s="179"/>
      <c r="D575" s="180"/>
      <c r="E575" s="151"/>
      <c r="F575" s="151"/>
      <c r="G575" s="151"/>
      <c r="H575" s="151"/>
      <c r="I575" s="151"/>
      <c r="J575" s="151"/>
      <c r="K575" s="151"/>
      <c r="L575" s="151"/>
      <c r="M575" s="151"/>
      <c r="N575" s="151"/>
      <c r="O575" s="151"/>
      <c r="P575" s="151"/>
      <c r="Q575" s="151"/>
      <c r="R575" s="151"/>
      <c r="S575" s="151"/>
      <c r="T575" s="151"/>
      <c r="U575" s="151"/>
      <c r="V575" s="151"/>
      <c r="W575" s="151"/>
      <c r="X575" s="151"/>
      <c r="Y575" s="151"/>
      <c r="Z575" s="151"/>
    </row>
    <row r="576">
      <c r="A576" s="151"/>
      <c r="B576" s="151"/>
      <c r="C576" s="179"/>
      <c r="D576" s="180"/>
      <c r="E576" s="151"/>
      <c r="F576" s="151"/>
      <c r="G576" s="151"/>
      <c r="H576" s="151"/>
      <c r="I576" s="151"/>
      <c r="J576" s="151"/>
      <c r="K576" s="151"/>
      <c r="L576" s="151"/>
      <c r="M576" s="151"/>
      <c r="N576" s="151"/>
      <c r="O576" s="151"/>
      <c r="P576" s="151"/>
      <c r="Q576" s="151"/>
      <c r="R576" s="151"/>
      <c r="S576" s="151"/>
      <c r="T576" s="151"/>
      <c r="U576" s="151"/>
      <c r="V576" s="151"/>
      <c r="W576" s="151"/>
      <c r="X576" s="151"/>
      <c r="Y576" s="151"/>
      <c r="Z576" s="151"/>
    </row>
    <row r="577">
      <c r="A577" s="151"/>
      <c r="B577" s="151"/>
      <c r="C577" s="179"/>
      <c r="D577" s="180"/>
      <c r="E577" s="151"/>
      <c r="F577" s="151"/>
      <c r="G577" s="151"/>
      <c r="H577" s="151"/>
      <c r="I577" s="151"/>
      <c r="J577" s="151"/>
      <c r="K577" s="151"/>
      <c r="L577" s="151"/>
      <c r="M577" s="151"/>
      <c r="N577" s="151"/>
      <c r="O577" s="151"/>
      <c r="P577" s="151"/>
      <c r="Q577" s="151"/>
      <c r="R577" s="151"/>
      <c r="S577" s="151"/>
      <c r="T577" s="151"/>
      <c r="U577" s="151"/>
      <c r="V577" s="151"/>
      <c r="W577" s="151"/>
      <c r="X577" s="151"/>
      <c r="Y577" s="151"/>
      <c r="Z577" s="151"/>
    </row>
    <row r="578">
      <c r="A578" s="151"/>
      <c r="B578" s="151"/>
      <c r="C578" s="179"/>
      <c r="D578" s="180"/>
      <c r="E578" s="151"/>
      <c r="F578" s="151"/>
      <c r="G578" s="151"/>
      <c r="H578" s="151"/>
      <c r="I578" s="151"/>
      <c r="J578" s="151"/>
      <c r="K578" s="151"/>
      <c r="L578" s="151"/>
      <c r="M578" s="151"/>
      <c r="N578" s="151"/>
      <c r="O578" s="151"/>
      <c r="P578" s="151"/>
      <c r="Q578" s="151"/>
      <c r="R578" s="151"/>
      <c r="S578" s="151"/>
      <c r="T578" s="151"/>
      <c r="U578" s="151"/>
      <c r="V578" s="151"/>
      <c r="W578" s="151"/>
      <c r="X578" s="151"/>
      <c r="Y578" s="151"/>
      <c r="Z578" s="151"/>
    </row>
    <row r="579">
      <c r="A579" s="151"/>
      <c r="B579" s="151"/>
      <c r="C579" s="179"/>
      <c r="D579" s="180"/>
      <c r="E579" s="151"/>
      <c r="F579" s="151"/>
      <c r="G579" s="151"/>
      <c r="H579" s="151"/>
      <c r="I579" s="151"/>
      <c r="J579" s="151"/>
      <c r="K579" s="151"/>
      <c r="L579" s="151"/>
      <c r="M579" s="151"/>
      <c r="N579" s="151"/>
      <c r="O579" s="151"/>
      <c r="P579" s="151"/>
      <c r="Q579" s="151"/>
      <c r="R579" s="151"/>
      <c r="S579" s="151"/>
      <c r="T579" s="151"/>
      <c r="U579" s="151"/>
      <c r="V579" s="151"/>
      <c r="W579" s="151"/>
      <c r="X579" s="151"/>
      <c r="Y579" s="151"/>
      <c r="Z579" s="151"/>
    </row>
    <row r="580">
      <c r="A580" s="151"/>
      <c r="B580" s="151"/>
      <c r="C580" s="179"/>
      <c r="D580" s="180"/>
      <c r="E580" s="151"/>
      <c r="F580" s="151"/>
      <c r="G580" s="151"/>
      <c r="H580" s="151"/>
      <c r="I580" s="151"/>
      <c r="J580" s="151"/>
      <c r="K580" s="151"/>
      <c r="L580" s="151"/>
      <c r="M580" s="151"/>
      <c r="N580" s="151"/>
      <c r="O580" s="151"/>
      <c r="P580" s="151"/>
      <c r="Q580" s="151"/>
      <c r="R580" s="151"/>
      <c r="S580" s="151"/>
      <c r="T580" s="151"/>
      <c r="U580" s="151"/>
      <c r="V580" s="151"/>
      <c r="W580" s="151"/>
      <c r="X580" s="151"/>
      <c r="Y580" s="151"/>
      <c r="Z580" s="151"/>
    </row>
    <row r="581">
      <c r="A581" s="151"/>
      <c r="B581" s="151"/>
      <c r="C581" s="179"/>
      <c r="D581" s="180"/>
      <c r="E581" s="151"/>
      <c r="F581" s="151"/>
      <c r="G581" s="151"/>
      <c r="H581" s="151"/>
      <c r="I581" s="151"/>
      <c r="J581" s="151"/>
      <c r="K581" s="151"/>
      <c r="L581" s="151"/>
      <c r="M581" s="151"/>
      <c r="N581" s="151"/>
      <c r="O581" s="151"/>
      <c r="P581" s="151"/>
      <c r="Q581" s="151"/>
      <c r="R581" s="151"/>
      <c r="S581" s="151"/>
      <c r="T581" s="151"/>
      <c r="U581" s="151"/>
      <c r="V581" s="151"/>
      <c r="W581" s="151"/>
      <c r="X581" s="151"/>
      <c r="Y581" s="151"/>
      <c r="Z581" s="151"/>
    </row>
    <row r="582">
      <c r="A582" s="151"/>
      <c r="B582" s="151"/>
      <c r="C582" s="179"/>
      <c r="D582" s="180"/>
      <c r="E582" s="151"/>
      <c r="F582" s="151"/>
      <c r="G582" s="151"/>
      <c r="H582" s="151"/>
      <c r="I582" s="151"/>
      <c r="J582" s="151"/>
      <c r="K582" s="151"/>
      <c r="L582" s="151"/>
      <c r="M582" s="151"/>
      <c r="N582" s="151"/>
      <c r="O582" s="151"/>
      <c r="P582" s="151"/>
      <c r="Q582" s="151"/>
      <c r="R582" s="151"/>
      <c r="S582" s="151"/>
      <c r="T582" s="151"/>
      <c r="U582" s="151"/>
      <c r="V582" s="151"/>
      <c r="W582" s="151"/>
      <c r="X582" s="151"/>
      <c r="Y582" s="151"/>
      <c r="Z582" s="151"/>
    </row>
    <row r="583">
      <c r="A583" s="151"/>
      <c r="B583" s="151"/>
      <c r="C583" s="179"/>
      <c r="D583" s="180"/>
      <c r="E583" s="151"/>
      <c r="F583" s="151"/>
      <c r="G583" s="151"/>
      <c r="H583" s="151"/>
      <c r="I583" s="151"/>
      <c r="J583" s="151"/>
      <c r="K583" s="151"/>
      <c r="L583" s="151"/>
      <c r="M583" s="151"/>
      <c r="N583" s="151"/>
      <c r="O583" s="151"/>
      <c r="P583" s="151"/>
      <c r="Q583" s="151"/>
      <c r="R583" s="151"/>
      <c r="S583" s="151"/>
      <c r="T583" s="151"/>
      <c r="U583" s="151"/>
      <c r="V583" s="151"/>
      <c r="W583" s="151"/>
      <c r="X583" s="151"/>
      <c r="Y583" s="151"/>
      <c r="Z583" s="151"/>
    </row>
    <row r="584">
      <c r="A584" s="151"/>
      <c r="B584" s="151"/>
      <c r="C584" s="179"/>
      <c r="D584" s="180"/>
      <c r="E584" s="151"/>
      <c r="F584" s="151"/>
      <c r="G584" s="151"/>
      <c r="H584" s="151"/>
      <c r="I584" s="151"/>
      <c r="J584" s="151"/>
      <c r="K584" s="151"/>
      <c r="L584" s="151"/>
      <c r="M584" s="151"/>
      <c r="N584" s="151"/>
      <c r="O584" s="151"/>
      <c r="P584" s="151"/>
      <c r="Q584" s="151"/>
      <c r="R584" s="151"/>
      <c r="S584" s="151"/>
      <c r="T584" s="151"/>
      <c r="U584" s="151"/>
      <c r="V584" s="151"/>
      <c r="W584" s="151"/>
      <c r="X584" s="151"/>
      <c r="Y584" s="151"/>
      <c r="Z584" s="151"/>
    </row>
    <row r="585">
      <c r="A585" s="151"/>
      <c r="B585" s="151"/>
      <c r="C585" s="179"/>
      <c r="D585" s="180"/>
      <c r="E585" s="151"/>
      <c r="F585" s="151"/>
      <c r="G585" s="151"/>
      <c r="H585" s="151"/>
      <c r="I585" s="151"/>
      <c r="J585" s="151"/>
      <c r="K585" s="151"/>
      <c r="L585" s="151"/>
      <c r="M585" s="151"/>
      <c r="N585" s="151"/>
      <c r="O585" s="151"/>
      <c r="P585" s="151"/>
      <c r="Q585" s="151"/>
      <c r="R585" s="151"/>
      <c r="S585" s="151"/>
      <c r="T585" s="151"/>
      <c r="U585" s="151"/>
      <c r="V585" s="151"/>
      <c r="W585" s="151"/>
      <c r="X585" s="151"/>
      <c r="Y585" s="151"/>
      <c r="Z585" s="151"/>
    </row>
    <row r="586">
      <c r="A586" s="151"/>
      <c r="B586" s="151"/>
      <c r="C586" s="179"/>
      <c r="D586" s="180"/>
      <c r="E586" s="151"/>
      <c r="F586" s="151"/>
      <c r="G586" s="151"/>
      <c r="H586" s="151"/>
      <c r="I586" s="151"/>
      <c r="J586" s="151"/>
      <c r="K586" s="151"/>
      <c r="L586" s="151"/>
      <c r="M586" s="151"/>
      <c r="N586" s="151"/>
      <c r="O586" s="151"/>
      <c r="P586" s="151"/>
      <c r="Q586" s="151"/>
      <c r="R586" s="151"/>
      <c r="S586" s="151"/>
      <c r="T586" s="151"/>
      <c r="U586" s="151"/>
      <c r="V586" s="151"/>
      <c r="W586" s="151"/>
      <c r="X586" s="151"/>
      <c r="Y586" s="151"/>
      <c r="Z586" s="151"/>
    </row>
    <row r="587">
      <c r="A587" s="151"/>
      <c r="B587" s="151"/>
      <c r="C587" s="179"/>
      <c r="D587" s="180"/>
      <c r="E587" s="151"/>
      <c r="F587" s="151"/>
      <c r="G587" s="151"/>
      <c r="H587" s="151"/>
      <c r="I587" s="151"/>
      <c r="J587" s="151"/>
      <c r="K587" s="151"/>
      <c r="L587" s="151"/>
      <c r="M587" s="151"/>
      <c r="N587" s="151"/>
      <c r="O587" s="151"/>
      <c r="P587" s="151"/>
      <c r="Q587" s="151"/>
      <c r="R587" s="151"/>
      <c r="S587" s="151"/>
      <c r="T587" s="151"/>
      <c r="U587" s="151"/>
      <c r="V587" s="151"/>
      <c r="W587" s="151"/>
      <c r="X587" s="151"/>
      <c r="Y587" s="151"/>
      <c r="Z587" s="151"/>
    </row>
    <row r="588">
      <c r="A588" s="151"/>
      <c r="B588" s="151"/>
      <c r="C588" s="179"/>
      <c r="D588" s="180"/>
      <c r="E588" s="151"/>
      <c r="F588" s="151"/>
      <c r="G588" s="151"/>
      <c r="H588" s="151"/>
      <c r="I588" s="151"/>
      <c r="J588" s="151"/>
      <c r="K588" s="151"/>
      <c r="L588" s="151"/>
      <c r="M588" s="151"/>
      <c r="N588" s="151"/>
      <c r="O588" s="151"/>
      <c r="P588" s="151"/>
      <c r="Q588" s="151"/>
      <c r="R588" s="151"/>
      <c r="S588" s="151"/>
      <c r="T588" s="151"/>
      <c r="U588" s="151"/>
      <c r="V588" s="151"/>
      <c r="W588" s="151"/>
      <c r="X588" s="151"/>
      <c r="Y588" s="151"/>
      <c r="Z588" s="151"/>
    </row>
    <row r="589">
      <c r="A589" s="151"/>
      <c r="B589" s="151"/>
      <c r="C589" s="179"/>
      <c r="D589" s="180"/>
      <c r="E589" s="151"/>
      <c r="F589" s="151"/>
      <c r="G589" s="151"/>
      <c r="H589" s="151"/>
      <c r="I589" s="151"/>
      <c r="J589" s="151"/>
      <c r="K589" s="151"/>
      <c r="L589" s="151"/>
      <c r="M589" s="151"/>
      <c r="N589" s="151"/>
      <c r="O589" s="151"/>
      <c r="P589" s="151"/>
      <c r="Q589" s="151"/>
      <c r="R589" s="151"/>
      <c r="S589" s="151"/>
      <c r="T589" s="151"/>
      <c r="U589" s="151"/>
      <c r="V589" s="151"/>
      <c r="W589" s="151"/>
      <c r="X589" s="151"/>
      <c r="Y589" s="151"/>
      <c r="Z589" s="151"/>
    </row>
    <row r="590">
      <c r="A590" s="151"/>
      <c r="B590" s="151"/>
      <c r="C590" s="179"/>
      <c r="D590" s="180"/>
      <c r="E590" s="151"/>
      <c r="F590" s="151"/>
      <c r="G590" s="151"/>
      <c r="H590" s="151"/>
      <c r="I590" s="151"/>
      <c r="J590" s="151"/>
      <c r="K590" s="151"/>
      <c r="L590" s="151"/>
      <c r="M590" s="151"/>
      <c r="N590" s="151"/>
      <c r="O590" s="151"/>
      <c r="P590" s="151"/>
      <c r="Q590" s="151"/>
      <c r="R590" s="151"/>
      <c r="S590" s="151"/>
      <c r="T590" s="151"/>
      <c r="U590" s="151"/>
      <c r="V590" s="151"/>
      <c r="W590" s="151"/>
      <c r="X590" s="151"/>
      <c r="Y590" s="151"/>
      <c r="Z590" s="151"/>
    </row>
    <row r="591">
      <c r="A591" s="151"/>
      <c r="B591" s="151"/>
      <c r="C591" s="179"/>
      <c r="D591" s="180"/>
      <c r="E591" s="151"/>
      <c r="F591" s="151"/>
      <c r="G591" s="151"/>
      <c r="H591" s="151"/>
      <c r="I591" s="151"/>
      <c r="J591" s="151"/>
      <c r="K591" s="151"/>
      <c r="L591" s="151"/>
      <c r="M591" s="151"/>
      <c r="N591" s="151"/>
      <c r="O591" s="151"/>
      <c r="P591" s="151"/>
      <c r="Q591" s="151"/>
      <c r="R591" s="151"/>
      <c r="S591" s="151"/>
      <c r="T591" s="151"/>
      <c r="U591" s="151"/>
      <c r="V591" s="151"/>
      <c r="W591" s="151"/>
      <c r="X591" s="151"/>
      <c r="Y591" s="151"/>
      <c r="Z591" s="151"/>
    </row>
    <row r="592">
      <c r="A592" s="151"/>
      <c r="B592" s="151"/>
      <c r="C592" s="179"/>
      <c r="D592" s="180"/>
      <c r="E592" s="151"/>
      <c r="F592" s="151"/>
      <c r="G592" s="151"/>
      <c r="H592" s="151"/>
      <c r="I592" s="151"/>
      <c r="J592" s="151"/>
      <c r="K592" s="151"/>
      <c r="L592" s="151"/>
      <c r="M592" s="151"/>
      <c r="N592" s="151"/>
      <c r="O592" s="151"/>
      <c r="P592" s="151"/>
      <c r="Q592" s="151"/>
      <c r="R592" s="151"/>
      <c r="S592" s="151"/>
      <c r="T592" s="151"/>
      <c r="U592" s="151"/>
      <c r="V592" s="151"/>
      <c r="W592" s="151"/>
      <c r="X592" s="151"/>
      <c r="Y592" s="151"/>
      <c r="Z592" s="151"/>
    </row>
    <row r="593">
      <c r="A593" s="151"/>
      <c r="B593" s="151"/>
      <c r="C593" s="179"/>
      <c r="D593" s="180"/>
      <c r="E593" s="151"/>
      <c r="F593" s="151"/>
      <c r="G593" s="151"/>
      <c r="H593" s="151"/>
      <c r="I593" s="151"/>
      <c r="J593" s="151"/>
      <c r="K593" s="151"/>
      <c r="L593" s="151"/>
      <c r="M593" s="151"/>
      <c r="N593" s="151"/>
      <c r="O593" s="151"/>
      <c r="P593" s="151"/>
      <c r="Q593" s="151"/>
      <c r="R593" s="151"/>
      <c r="S593" s="151"/>
      <c r="T593" s="151"/>
      <c r="U593" s="151"/>
      <c r="V593" s="151"/>
      <c r="W593" s="151"/>
      <c r="X593" s="151"/>
      <c r="Y593" s="151"/>
      <c r="Z593" s="151"/>
    </row>
    <row r="594">
      <c r="A594" s="151"/>
      <c r="B594" s="151"/>
      <c r="C594" s="179"/>
      <c r="D594" s="180"/>
      <c r="E594" s="151"/>
      <c r="F594" s="151"/>
      <c r="G594" s="151"/>
      <c r="H594" s="151"/>
      <c r="I594" s="151"/>
      <c r="J594" s="151"/>
      <c r="K594" s="151"/>
      <c r="L594" s="151"/>
      <c r="M594" s="151"/>
      <c r="N594" s="151"/>
      <c r="O594" s="151"/>
      <c r="P594" s="151"/>
      <c r="Q594" s="151"/>
      <c r="R594" s="151"/>
      <c r="S594" s="151"/>
      <c r="T594" s="151"/>
      <c r="U594" s="151"/>
      <c r="V594" s="151"/>
      <c r="W594" s="151"/>
      <c r="X594" s="151"/>
      <c r="Y594" s="151"/>
      <c r="Z594" s="151"/>
    </row>
    <row r="595">
      <c r="A595" s="151"/>
      <c r="B595" s="151"/>
      <c r="C595" s="179"/>
      <c r="D595" s="180"/>
      <c r="E595" s="151"/>
      <c r="F595" s="151"/>
      <c r="G595" s="151"/>
      <c r="H595" s="151"/>
      <c r="I595" s="151"/>
      <c r="J595" s="151"/>
      <c r="K595" s="151"/>
      <c r="L595" s="151"/>
      <c r="M595" s="151"/>
      <c r="N595" s="151"/>
      <c r="O595" s="151"/>
      <c r="P595" s="151"/>
      <c r="Q595" s="151"/>
      <c r="R595" s="151"/>
      <c r="S595" s="151"/>
      <c r="T595" s="151"/>
      <c r="U595" s="151"/>
      <c r="V595" s="151"/>
      <c r="W595" s="151"/>
      <c r="X595" s="151"/>
      <c r="Y595" s="151"/>
      <c r="Z595" s="151"/>
    </row>
    <row r="596">
      <c r="A596" s="151"/>
      <c r="B596" s="151"/>
      <c r="C596" s="179"/>
      <c r="D596" s="180"/>
      <c r="E596" s="151"/>
      <c r="F596" s="151"/>
      <c r="G596" s="151"/>
      <c r="H596" s="151"/>
      <c r="I596" s="151"/>
      <c r="J596" s="151"/>
      <c r="K596" s="151"/>
      <c r="L596" s="151"/>
      <c r="M596" s="151"/>
      <c r="N596" s="151"/>
      <c r="O596" s="151"/>
      <c r="P596" s="151"/>
      <c r="Q596" s="151"/>
      <c r="R596" s="151"/>
      <c r="S596" s="151"/>
      <c r="T596" s="151"/>
      <c r="U596" s="151"/>
      <c r="V596" s="151"/>
      <c r="W596" s="151"/>
      <c r="X596" s="151"/>
      <c r="Y596" s="151"/>
      <c r="Z596" s="151"/>
    </row>
    <row r="597">
      <c r="A597" s="151"/>
      <c r="B597" s="151"/>
      <c r="C597" s="179"/>
      <c r="D597" s="180"/>
      <c r="E597" s="151"/>
      <c r="F597" s="151"/>
      <c r="G597" s="151"/>
      <c r="H597" s="151"/>
      <c r="I597" s="151"/>
      <c r="J597" s="151"/>
      <c r="K597" s="151"/>
      <c r="L597" s="151"/>
      <c r="M597" s="151"/>
      <c r="N597" s="151"/>
      <c r="O597" s="151"/>
      <c r="P597" s="151"/>
      <c r="Q597" s="151"/>
      <c r="R597" s="151"/>
      <c r="S597" s="151"/>
      <c r="T597" s="151"/>
      <c r="U597" s="151"/>
      <c r="V597" s="151"/>
      <c r="W597" s="151"/>
      <c r="X597" s="151"/>
      <c r="Y597" s="151"/>
      <c r="Z597" s="151"/>
    </row>
    <row r="598">
      <c r="A598" s="151"/>
      <c r="B598" s="151"/>
      <c r="C598" s="179"/>
      <c r="D598" s="180"/>
      <c r="E598" s="151"/>
      <c r="F598" s="151"/>
      <c r="G598" s="151"/>
      <c r="H598" s="151"/>
      <c r="I598" s="151"/>
      <c r="J598" s="151"/>
      <c r="K598" s="151"/>
      <c r="L598" s="151"/>
      <c r="M598" s="151"/>
      <c r="N598" s="151"/>
      <c r="O598" s="151"/>
      <c r="P598" s="151"/>
      <c r="Q598" s="151"/>
      <c r="R598" s="151"/>
      <c r="S598" s="151"/>
      <c r="T598" s="151"/>
      <c r="U598" s="151"/>
      <c r="V598" s="151"/>
      <c r="W598" s="151"/>
      <c r="X598" s="151"/>
      <c r="Y598" s="151"/>
      <c r="Z598" s="151"/>
    </row>
    <row r="599">
      <c r="A599" s="151"/>
      <c r="B599" s="151"/>
      <c r="C599" s="179"/>
      <c r="D599" s="180"/>
      <c r="E599" s="151"/>
      <c r="F599" s="151"/>
      <c r="G599" s="151"/>
      <c r="H599" s="151"/>
      <c r="I599" s="151"/>
      <c r="J599" s="151"/>
      <c r="K599" s="151"/>
      <c r="L599" s="151"/>
      <c r="M599" s="151"/>
      <c r="N599" s="151"/>
      <c r="O599" s="151"/>
      <c r="P599" s="151"/>
      <c r="Q599" s="151"/>
      <c r="R599" s="151"/>
      <c r="S599" s="151"/>
      <c r="T599" s="151"/>
      <c r="U599" s="151"/>
      <c r="V599" s="151"/>
      <c r="W599" s="151"/>
      <c r="X599" s="151"/>
      <c r="Y599" s="151"/>
      <c r="Z599" s="151"/>
    </row>
    <row r="600">
      <c r="A600" s="151"/>
      <c r="B600" s="151"/>
      <c r="C600" s="179"/>
      <c r="D600" s="180"/>
      <c r="E600" s="151"/>
      <c r="F600" s="151"/>
      <c r="G600" s="151"/>
      <c r="H600" s="151"/>
      <c r="I600" s="151"/>
      <c r="J600" s="151"/>
      <c r="K600" s="151"/>
      <c r="L600" s="151"/>
      <c r="M600" s="151"/>
      <c r="N600" s="151"/>
      <c r="O600" s="151"/>
      <c r="P600" s="151"/>
      <c r="Q600" s="151"/>
      <c r="R600" s="151"/>
      <c r="S600" s="151"/>
      <c r="T600" s="151"/>
      <c r="U600" s="151"/>
      <c r="V600" s="151"/>
      <c r="W600" s="151"/>
      <c r="X600" s="151"/>
      <c r="Y600" s="151"/>
      <c r="Z600" s="151"/>
    </row>
    <row r="601">
      <c r="A601" s="151"/>
      <c r="B601" s="151"/>
      <c r="C601" s="179"/>
      <c r="D601" s="180"/>
      <c r="E601" s="151"/>
      <c r="F601" s="151"/>
      <c r="G601" s="151"/>
      <c r="H601" s="151"/>
      <c r="I601" s="151"/>
      <c r="J601" s="151"/>
      <c r="K601" s="151"/>
      <c r="L601" s="151"/>
      <c r="M601" s="151"/>
      <c r="N601" s="151"/>
      <c r="O601" s="151"/>
      <c r="P601" s="151"/>
      <c r="Q601" s="151"/>
      <c r="R601" s="151"/>
      <c r="S601" s="151"/>
      <c r="T601" s="151"/>
      <c r="U601" s="151"/>
      <c r="V601" s="151"/>
      <c r="W601" s="151"/>
      <c r="X601" s="151"/>
      <c r="Y601" s="151"/>
      <c r="Z601" s="151"/>
    </row>
    <row r="602">
      <c r="A602" s="151"/>
      <c r="B602" s="151"/>
      <c r="C602" s="179"/>
      <c r="D602" s="180"/>
      <c r="E602" s="151"/>
      <c r="F602" s="151"/>
      <c r="G602" s="151"/>
      <c r="H602" s="151"/>
      <c r="I602" s="151"/>
      <c r="J602" s="151"/>
      <c r="K602" s="151"/>
      <c r="L602" s="151"/>
      <c r="M602" s="151"/>
      <c r="N602" s="151"/>
      <c r="O602" s="151"/>
      <c r="P602" s="151"/>
      <c r="Q602" s="151"/>
      <c r="R602" s="151"/>
      <c r="S602" s="151"/>
      <c r="T602" s="151"/>
      <c r="U602" s="151"/>
      <c r="V602" s="151"/>
      <c r="W602" s="151"/>
      <c r="X602" s="151"/>
      <c r="Y602" s="151"/>
      <c r="Z602" s="151"/>
    </row>
    <row r="603">
      <c r="A603" s="151"/>
      <c r="B603" s="151"/>
      <c r="C603" s="179"/>
      <c r="D603" s="180"/>
      <c r="E603" s="151"/>
      <c r="F603" s="151"/>
      <c r="G603" s="151"/>
      <c r="H603" s="151"/>
      <c r="I603" s="151"/>
      <c r="J603" s="151"/>
      <c r="K603" s="151"/>
      <c r="L603" s="151"/>
      <c r="M603" s="151"/>
      <c r="N603" s="151"/>
      <c r="O603" s="151"/>
      <c r="P603" s="151"/>
      <c r="Q603" s="151"/>
      <c r="R603" s="151"/>
      <c r="S603" s="151"/>
      <c r="T603" s="151"/>
      <c r="U603" s="151"/>
      <c r="V603" s="151"/>
      <c r="W603" s="151"/>
      <c r="X603" s="151"/>
      <c r="Y603" s="151"/>
      <c r="Z603" s="151"/>
    </row>
    <row r="604">
      <c r="A604" s="151"/>
      <c r="B604" s="151"/>
      <c r="C604" s="179"/>
      <c r="D604" s="180"/>
      <c r="E604" s="151"/>
      <c r="F604" s="151"/>
      <c r="G604" s="151"/>
      <c r="H604" s="151"/>
      <c r="I604" s="151"/>
      <c r="J604" s="151"/>
      <c r="K604" s="151"/>
      <c r="L604" s="151"/>
      <c r="M604" s="151"/>
      <c r="N604" s="151"/>
      <c r="O604" s="151"/>
      <c r="P604" s="151"/>
      <c r="Q604" s="151"/>
      <c r="R604" s="151"/>
      <c r="S604" s="151"/>
      <c r="T604" s="151"/>
      <c r="U604" s="151"/>
      <c r="V604" s="151"/>
      <c r="W604" s="151"/>
      <c r="X604" s="151"/>
      <c r="Y604" s="151"/>
      <c r="Z604" s="151"/>
    </row>
    <row r="605">
      <c r="A605" s="151"/>
      <c r="B605" s="151"/>
      <c r="C605" s="179"/>
      <c r="D605" s="180"/>
      <c r="E605" s="151"/>
      <c r="F605" s="151"/>
      <c r="G605" s="151"/>
      <c r="H605" s="151"/>
      <c r="I605" s="151"/>
      <c r="J605" s="151"/>
      <c r="K605" s="151"/>
      <c r="L605" s="151"/>
      <c r="M605" s="151"/>
      <c r="N605" s="151"/>
      <c r="O605" s="151"/>
      <c r="P605" s="151"/>
      <c r="Q605" s="151"/>
      <c r="R605" s="151"/>
      <c r="S605" s="151"/>
      <c r="T605" s="151"/>
      <c r="U605" s="151"/>
      <c r="V605" s="151"/>
      <c r="W605" s="151"/>
      <c r="X605" s="151"/>
      <c r="Y605" s="151"/>
      <c r="Z605" s="151"/>
    </row>
    <row r="606">
      <c r="A606" s="151"/>
      <c r="B606" s="151"/>
      <c r="C606" s="179"/>
      <c r="D606" s="180"/>
      <c r="E606" s="151"/>
      <c r="F606" s="151"/>
      <c r="G606" s="151"/>
      <c r="H606" s="151"/>
      <c r="I606" s="151"/>
      <c r="J606" s="151"/>
      <c r="K606" s="151"/>
      <c r="L606" s="151"/>
      <c r="M606" s="151"/>
      <c r="N606" s="151"/>
      <c r="O606" s="151"/>
      <c r="P606" s="151"/>
      <c r="Q606" s="151"/>
      <c r="R606" s="151"/>
      <c r="S606" s="151"/>
      <c r="T606" s="151"/>
      <c r="U606" s="151"/>
      <c r="V606" s="151"/>
      <c r="W606" s="151"/>
      <c r="X606" s="151"/>
      <c r="Y606" s="151"/>
      <c r="Z606" s="151"/>
    </row>
    <row r="607">
      <c r="A607" s="151"/>
      <c r="B607" s="151"/>
      <c r="C607" s="179"/>
      <c r="D607" s="180"/>
      <c r="E607" s="151"/>
      <c r="F607" s="151"/>
      <c r="G607" s="151"/>
      <c r="H607" s="151"/>
      <c r="I607" s="151"/>
      <c r="J607" s="151"/>
      <c r="K607" s="151"/>
      <c r="L607" s="151"/>
      <c r="M607" s="151"/>
      <c r="N607" s="151"/>
      <c r="O607" s="151"/>
      <c r="P607" s="151"/>
      <c r="Q607" s="151"/>
      <c r="R607" s="151"/>
      <c r="S607" s="151"/>
      <c r="T607" s="151"/>
      <c r="U607" s="151"/>
      <c r="V607" s="151"/>
      <c r="W607" s="151"/>
      <c r="X607" s="151"/>
      <c r="Y607" s="151"/>
      <c r="Z607" s="151"/>
    </row>
    <row r="608">
      <c r="A608" s="151"/>
      <c r="B608" s="151"/>
      <c r="C608" s="179"/>
      <c r="D608" s="180"/>
      <c r="E608" s="151"/>
      <c r="F608" s="151"/>
      <c r="G608" s="151"/>
      <c r="H608" s="151"/>
      <c r="I608" s="151"/>
      <c r="J608" s="151"/>
      <c r="K608" s="151"/>
      <c r="L608" s="151"/>
      <c r="M608" s="151"/>
      <c r="N608" s="151"/>
      <c r="O608" s="151"/>
      <c r="P608" s="151"/>
      <c r="Q608" s="151"/>
      <c r="R608" s="151"/>
      <c r="S608" s="151"/>
      <c r="T608" s="151"/>
      <c r="U608" s="151"/>
      <c r="V608" s="151"/>
      <c r="W608" s="151"/>
      <c r="X608" s="151"/>
      <c r="Y608" s="151"/>
      <c r="Z608" s="151"/>
    </row>
    <row r="609">
      <c r="A609" s="151"/>
      <c r="B609" s="151"/>
      <c r="C609" s="179"/>
      <c r="D609" s="180"/>
      <c r="E609" s="151"/>
      <c r="F609" s="151"/>
      <c r="G609" s="151"/>
      <c r="H609" s="151"/>
      <c r="I609" s="151"/>
      <c r="J609" s="151"/>
      <c r="K609" s="151"/>
      <c r="L609" s="151"/>
      <c r="M609" s="151"/>
      <c r="N609" s="151"/>
      <c r="O609" s="151"/>
      <c r="P609" s="151"/>
      <c r="Q609" s="151"/>
      <c r="R609" s="151"/>
      <c r="S609" s="151"/>
      <c r="T609" s="151"/>
      <c r="U609" s="151"/>
      <c r="V609" s="151"/>
      <c r="W609" s="151"/>
      <c r="X609" s="151"/>
      <c r="Y609" s="151"/>
      <c r="Z609" s="151"/>
    </row>
    <row r="610">
      <c r="A610" s="151"/>
      <c r="B610" s="151"/>
      <c r="C610" s="179"/>
      <c r="D610" s="180"/>
      <c r="E610" s="151"/>
      <c r="F610" s="151"/>
      <c r="G610" s="151"/>
      <c r="H610" s="151"/>
      <c r="I610" s="151"/>
      <c r="J610" s="151"/>
      <c r="K610" s="151"/>
      <c r="L610" s="151"/>
      <c r="M610" s="151"/>
      <c r="N610" s="151"/>
      <c r="O610" s="151"/>
      <c r="P610" s="151"/>
      <c r="Q610" s="151"/>
      <c r="R610" s="151"/>
      <c r="S610" s="151"/>
      <c r="T610" s="151"/>
      <c r="U610" s="151"/>
      <c r="V610" s="151"/>
      <c r="W610" s="151"/>
      <c r="X610" s="151"/>
      <c r="Y610" s="151"/>
      <c r="Z610" s="151"/>
    </row>
    <row r="611">
      <c r="A611" s="151"/>
      <c r="B611" s="151"/>
      <c r="C611" s="179"/>
      <c r="D611" s="180"/>
      <c r="E611" s="151"/>
      <c r="F611" s="151"/>
      <c r="G611" s="151"/>
      <c r="H611" s="151"/>
      <c r="I611" s="151"/>
      <c r="J611" s="151"/>
      <c r="K611" s="151"/>
      <c r="L611" s="151"/>
      <c r="M611" s="151"/>
      <c r="N611" s="151"/>
      <c r="O611" s="151"/>
      <c r="P611" s="151"/>
      <c r="Q611" s="151"/>
      <c r="R611" s="151"/>
      <c r="S611" s="151"/>
      <c r="T611" s="151"/>
      <c r="U611" s="151"/>
      <c r="V611" s="151"/>
      <c r="W611" s="151"/>
      <c r="X611" s="151"/>
      <c r="Y611" s="151"/>
      <c r="Z611" s="151"/>
    </row>
    <row r="612">
      <c r="A612" s="151"/>
      <c r="B612" s="151"/>
      <c r="C612" s="179"/>
      <c r="D612" s="180"/>
      <c r="E612" s="151"/>
      <c r="F612" s="151"/>
      <c r="G612" s="151"/>
      <c r="H612" s="151"/>
      <c r="I612" s="151"/>
      <c r="J612" s="151"/>
      <c r="K612" s="151"/>
      <c r="L612" s="151"/>
      <c r="M612" s="151"/>
      <c r="N612" s="151"/>
      <c r="O612" s="151"/>
      <c r="P612" s="151"/>
      <c r="Q612" s="151"/>
      <c r="R612" s="151"/>
      <c r="S612" s="151"/>
      <c r="T612" s="151"/>
      <c r="U612" s="151"/>
      <c r="V612" s="151"/>
      <c r="W612" s="151"/>
      <c r="X612" s="151"/>
      <c r="Y612" s="151"/>
      <c r="Z612" s="151"/>
    </row>
    <row r="613">
      <c r="A613" s="151"/>
      <c r="B613" s="151"/>
      <c r="C613" s="179"/>
      <c r="D613" s="180"/>
      <c r="E613" s="151"/>
      <c r="F613" s="151"/>
      <c r="G613" s="151"/>
      <c r="H613" s="151"/>
      <c r="I613" s="151"/>
      <c r="J613" s="151"/>
      <c r="K613" s="151"/>
      <c r="L613" s="151"/>
      <c r="M613" s="151"/>
      <c r="N613" s="151"/>
      <c r="O613" s="151"/>
      <c r="P613" s="151"/>
      <c r="Q613" s="151"/>
      <c r="R613" s="151"/>
      <c r="S613" s="151"/>
      <c r="T613" s="151"/>
      <c r="U613" s="151"/>
      <c r="V613" s="151"/>
      <c r="W613" s="151"/>
      <c r="X613" s="151"/>
      <c r="Y613" s="151"/>
      <c r="Z613" s="151"/>
    </row>
    <row r="614">
      <c r="A614" s="151"/>
      <c r="B614" s="151"/>
      <c r="C614" s="179"/>
      <c r="D614" s="180"/>
      <c r="E614" s="151"/>
      <c r="F614" s="151"/>
      <c r="G614" s="151"/>
      <c r="H614" s="151"/>
      <c r="I614" s="151"/>
      <c r="J614" s="151"/>
      <c r="K614" s="151"/>
      <c r="L614" s="151"/>
      <c r="M614" s="151"/>
      <c r="N614" s="151"/>
      <c r="O614" s="151"/>
      <c r="P614" s="151"/>
      <c r="Q614" s="151"/>
      <c r="R614" s="151"/>
      <c r="S614" s="151"/>
      <c r="T614" s="151"/>
      <c r="U614" s="151"/>
      <c r="V614" s="151"/>
      <c r="W614" s="151"/>
      <c r="X614" s="151"/>
      <c r="Y614" s="151"/>
      <c r="Z614" s="151"/>
    </row>
    <row r="615">
      <c r="A615" s="151"/>
      <c r="B615" s="151"/>
      <c r="C615" s="179"/>
      <c r="D615" s="180"/>
      <c r="E615" s="151"/>
      <c r="F615" s="151"/>
      <c r="G615" s="151"/>
      <c r="H615" s="151"/>
      <c r="I615" s="151"/>
      <c r="J615" s="151"/>
      <c r="K615" s="151"/>
      <c r="L615" s="151"/>
      <c r="M615" s="151"/>
      <c r="N615" s="151"/>
      <c r="O615" s="151"/>
      <c r="P615" s="151"/>
      <c r="Q615" s="151"/>
      <c r="R615" s="151"/>
      <c r="S615" s="151"/>
      <c r="T615" s="151"/>
      <c r="U615" s="151"/>
      <c r="V615" s="151"/>
      <c r="W615" s="151"/>
      <c r="X615" s="151"/>
      <c r="Y615" s="151"/>
      <c r="Z615" s="151"/>
    </row>
    <row r="616">
      <c r="A616" s="151"/>
      <c r="B616" s="151"/>
      <c r="C616" s="179"/>
      <c r="D616" s="180"/>
      <c r="E616" s="151"/>
      <c r="F616" s="151"/>
      <c r="G616" s="151"/>
      <c r="H616" s="151"/>
      <c r="I616" s="151"/>
      <c r="J616" s="151"/>
      <c r="K616" s="151"/>
      <c r="L616" s="151"/>
      <c r="M616" s="151"/>
      <c r="N616" s="151"/>
      <c r="O616" s="151"/>
      <c r="P616" s="151"/>
      <c r="Q616" s="151"/>
      <c r="R616" s="151"/>
      <c r="S616" s="151"/>
      <c r="T616" s="151"/>
      <c r="U616" s="151"/>
      <c r="V616" s="151"/>
      <c r="W616" s="151"/>
      <c r="X616" s="151"/>
      <c r="Y616" s="151"/>
      <c r="Z616" s="151"/>
    </row>
    <row r="617">
      <c r="A617" s="151"/>
      <c r="B617" s="151"/>
      <c r="C617" s="179"/>
      <c r="D617" s="180"/>
      <c r="E617" s="151"/>
      <c r="F617" s="151"/>
      <c r="G617" s="151"/>
      <c r="H617" s="151"/>
      <c r="I617" s="151"/>
      <c r="J617" s="151"/>
      <c r="K617" s="151"/>
      <c r="L617" s="151"/>
      <c r="M617" s="151"/>
      <c r="N617" s="151"/>
      <c r="O617" s="151"/>
      <c r="P617" s="151"/>
      <c r="Q617" s="151"/>
      <c r="R617" s="151"/>
      <c r="S617" s="151"/>
      <c r="T617" s="151"/>
      <c r="U617" s="151"/>
      <c r="V617" s="151"/>
      <c r="W617" s="151"/>
      <c r="X617" s="151"/>
      <c r="Y617" s="151"/>
      <c r="Z617" s="151"/>
    </row>
    <row r="618">
      <c r="A618" s="151"/>
      <c r="B618" s="151"/>
      <c r="C618" s="179"/>
      <c r="D618" s="180"/>
      <c r="E618" s="151"/>
      <c r="F618" s="151"/>
      <c r="G618" s="151"/>
      <c r="H618" s="151"/>
      <c r="I618" s="151"/>
      <c r="J618" s="151"/>
      <c r="K618" s="151"/>
      <c r="L618" s="151"/>
      <c r="M618" s="151"/>
      <c r="N618" s="151"/>
      <c r="O618" s="151"/>
      <c r="P618" s="151"/>
      <c r="Q618" s="151"/>
      <c r="R618" s="151"/>
      <c r="S618" s="151"/>
      <c r="T618" s="151"/>
      <c r="U618" s="151"/>
      <c r="V618" s="151"/>
      <c r="W618" s="151"/>
      <c r="X618" s="151"/>
      <c r="Y618" s="151"/>
      <c r="Z618" s="151"/>
    </row>
    <row r="619">
      <c r="A619" s="151"/>
      <c r="B619" s="151"/>
      <c r="C619" s="179"/>
      <c r="D619" s="180"/>
      <c r="E619" s="151"/>
      <c r="F619" s="151"/>
      <c r="G619" s="151"/>
      <c r="H619" s="151"/>
      <c r="I619" s="151"/>
      <c r="J619" s="151"/>
      <c r="K619" s="151"/>
      <c r="L619" s="151"/>
      <c r="M619" s="151"/>
      <c r="N619" s="151"/>
      <c r="O619" s="151"/>
      <c r="P619" s="151"/>
      <c r="Q619" s="151"/>
      <c r="R619" s="151"/>
      <c r="S619" s="151"/>
      <c r="T619" s="151"/>
      <c r="U619" s="151"/>
      <c r="V619" s="151"/>
      <c r="W619" s="151"/>
      <c r="X619" s="151"/>
      <c r="Y619" s="151"/>
      <c r="Z619" s="151"/>
    </row>
    <row r="620">
      <c r="A620" s="151"/>
      <c r="B620" s="151"/>
      <c r="C620" s="179"/>
      <c r="D620" s="180"/>
      <c r="E620" s="151"/>
      <c r="F620" s="151"/>
      <c r="G620" s="151"/>
      <c r="H620" s="151"/>
      <c r="I620" s="151"/>
      <c r="J620" s="151"/>
      <c r="K620" s="151"/>
      <c r="L620" s="151"/>
      <c r="M620" s="151"/>
      <c r="N620" s="151"/>
      <c r="O620" s="151"/>
      <c r="P620" s="151"/>
      <c r="Q620" s="151"/>
      <c r="R620" s="151"/>
      <c r="S620" s="151"/>
      <c r="T620" s="151"/>
      <c r="U620" s="151"/>
      <c r="V620" s="151"/>
      <c r="W620" s="151"/>
      <c r="X620" s="151"/>
      <c r="Y620" s="151"/>
      <c r="Z620" s="151"/>
    </row>
    <row r="621">
      <c r="A621" s="151"/>
      <c r="B621" s="151"/>
      <c r="C621" s="179"/>
      <c r="D621" s="180"/>
      <c r="E621" s="151"/>
      <c r="F621" s="151"/>
      <c r="G621" s="151"/>
      <c r="H621" s="151"/>
      <c r="I621" s="151"/>
      <c r="J621" s="151"/>
      <c r="K621" s="151"/>
      <c r="L621" s="151"/>
      <c r="M621" s="151"/>
      <c r="N621" s="151"/>
      <c r="O621" s="151"/>
      <c r="P621" s="151"/>
      <c r="Q621" s="151"/>
      <c r="R621" s="151"/>
      <c r="S621" s="151"/>
      <c r="T621" s="151"/>
      <c r="U621" s="151"/>
      <c r="V621" s="151"/>
      <c r="W621" s="151"/>
      <c r="X621" s="151"/>
      <c r="Y621" s="151"/>
      <c r="Z621" s="151"/>
    </row>
    <row r="622">
      <c r="A622" s="151"/>
      <c r="B622" s="151"/>
      <c r="C622" s="179"/>
      <c r="D622" s="180"/>
      <c r="E622" s="151"/>
      <c r="F622" s="151"/>
      <c r="G622" s="151"/>
      <c r="H622" s="151"/>
      <c r="I622" s="151"/>
      <c r="J622" s="151"/>
      <c r="K622" s="151"/>
      <c r="L622" s="151"/>
      <c r="M622" s="151"/>
      <c r="N622" s="151"/>
      <c r="O622" s="151"/>
      <c r="P622" s="151"/>
      <c r="Q622" s="151"/>
      <c r="R622" s="151"/>
      <c r="S622" s="151"/>
      <c r="T622" s="151"/>
      <c r="U622" s="151"/>
      <c r="V622" s="151"/>
      <c r="W622" s="151"/>
      <c r="X622" s="151"/>
      <c r="Y622" s="151"/>
      <c r="Z622" s="151"/>
    </row>
    <row r="623">
      <c r="A623" s="151"/>
      <c r="B623" s="151"/>
      <c r="C623" s="179"/>
      <c r="D623" s="180"/>
      <c r="E623" s="151"/>
      <c r="F623" s="151"/>
      <c r="G623" s="151"/>
      <c r="H623" s="151"/>
      <c r="I623" s="151"/>
      <c r="J623" s="151"/>
      <c r="K623" s="151"/>
      <c r="L623" s="151"/>
      <c r="M623" s="151"/>
      <c r="N623" s="151"/>
      <c r="O623" s="151"/>
      <c r="P623" s="151"/>
      <c r="Q623" s="151"/>
      <c r="R623" s="151"/>
      <c r="S623" s="151"/>
      <c r="T623" s="151"/>
      <c r="U623" s="151"/>
      <c r="V623" s="151"/>
      <c r="W623" s="151"/>
      <c r="X623" s="151"/>
      <c r="Y623" s="151"/>
      <c r="Z623" s="151"/>
    </row>
    <row r="624">
      <c r="A624" s="151"/>
      <c r="B624" s="151"/>
      <c r="C624" s="179"/>
      <c r="D624" s="180"/>
      <c r="E624" s="151"/>
      <c r="F624" s="151"/>
      <c r="G624" s="151"/>
      <c r="H624" s="151"/>
      <c r="I624" s="151"/>
      <c r="J624" s="151"/>
      <c r="K624" s="151"/>
      <c r="L624" s="151"/>
      <c r="M624" s="151"/>
      <c r="N624" s="151"/>
      <c r="O624" s="151"/>
      <c r="P624" s="151"/>
      <c r="Q624" s="151"/>
      <c r="R624" s="151"/>
      <c r="S624" s="151"/>
      <c r="T624" s="151"/>
      <c r="U624" s="151"/>
      <c r="V624" s="151"/>
      <c r="W624" s="151"/>
      <c r="X624" s="151"/>
      <c r="Y624" s="151"/>
      <c r="Z624" s="151"/>
    </row>
    <row r="625">
      <c r="A625" s="151"/>
      <c r="B625" s="151"/>
      <c r="C625" s="179"/>
      <c r="D625" s="180"/>
      <c r="E625" s="151"/>
      <c r="F625" s="151"/>
      <c r="G625" s="151"/>
      <c r="H625" s="151"/>
      <c r="I625" s="151"/>
      <c r="J625" s="151"/>
      <c r="K625" s="151"/>
      <c r="L625" s="151"/>
      <c r="M625" s="151"/>
      <c r="N625" s="151"/>
      <c r="O625" s="151"/>
      <c r="P625" s="151"/>
      <c r="Q625" s="151"/>
      <c r="R625" s="151"/>
      <c r="S625" s="151"/>
      <c r="T625" s="151"/>
      <c r="U625" s="151"/>
      <c r="V625" s="151"/>
      <c r="W625" s="151"/>
      <c r="X625" s="151"/>
      <c r="Y625" s="151"/>
      <c r="Z625" s="151"/>
    </row>
    <row r="626">
      <c r="A626" s="151"/>
      <c r="B626" s="151"/>
      <c r="C626" s="179"/>
      <c r="D626" s="180"/>
      <c r="E626" s="151"/>
      <c r="F626" s="151"/>
      <c r="G626" s="151"/>
      <c r="H626" s="151"/>
      <c r="I626" s="151"/>
      <c r="J626" s="151"/>
      <c r="K626" s="151"/>
      <c r="L626" s="151"/>
      <c r="M626" s="151"/>
      <c r="N626" s="151"/>
      <c r="O626" s="151"/>
      <c r="P626" s="151"/>
      <c r="Q626" s="151"/>
      <c r="R626" s="151"/>
      <c r="S626" s="151"/>
      <c r="T626" s="151"/>
      <c r="U626" s="151"/>
      <c r="V626" s="151"/>
      <c r="W626" s="151"/>
      <c r="X626" s="151"/>
      <c r="Y626" s="151"/>
      <c r="Z626" s="151"/>
    </row>
    <row r="627">
      <c r="A627" s="151"/>
      <c r="B627" s="151"/>
      <c r="C627" s="179"/>
      <c r="D627" s="180"/>
      <c r="E627" s="151"/>
      <c r="F627" s="151"/>
      <c r="G627" s="151"/>
      <c r="H627" s="151"/>
      <c r="I627" s="151"/>
      <c r="J627" s="151"/>
      <c r="K627" s="151"/>
      <c r="L627" s="151"/>
      <c r="M627" s="151"/>
      <c r="N627" s="151"/>
      <c r="O627" s="151"/>
      <c r="P627" s="151"/>
      <c r="Q627" s="151"/>
      <c r="R627" s="151"/>
      <c r="S627" s="151"/>
      <c r="T627" s="151"/>
      <c r="U627" s="151"/>
      <c r="V627" s="151"/>
      <c r="W627" s="151"/>
      <c r="X627" s="151"/>
      <c r="Y627" s="151"/>
      <c r="Z627" s="151"/>
    </row>
    <row r="628">
      <c r="A628" s="151"/>
      <c r="B628" s="151"/>
      <c r="C628" s="179"/>
      <c r="D628" s="180"/>
      <c r="E628" s="151"/>
      <c r="F628" s="151"/>
      <c r="G628" s="151"/>
      <c r="H628" s="151"/>
      <c r="I628" s="151"/>
      <c r="J628" s="151"/>
      <c r="K628" s="151"/>
      <c r="L628" s="151"/>
      <c r="M628" s="151"/>
      <c r="N628" s="151"/>
      <c r="O628" s="151"/>
      <c r="P628" s="151"/>
      <c r="Q628" s="151"/>
      <c r="R628" s="151"/>
      <c r="S628" s="151"/>
      <c r="T628" s="151"/>
      <c r="U628" s="151"/>
      <c r="V628" s="151"/>
      <c r="W628" s="151"/>
      <c r="X628" s="151"/>
      <c r="Y628" s="151"/>
      <c r="Z628" s="151"/>
    </row>
    <row r="629">
      <c r="A629" s="151"/>
      <c r="B629" s="151"/>
      <c r="C629" s="179"/>
      <c r="D629" s="180"/>
      <c r="E629" s="151"/>
      <c r="F629" s="151"/>
      <c r="G629" s="151"/>
      <c r="H629" s="151"/>
      <c r="I629" s="151"/>
      <c r="J629" s="151"/>
      <c r="K629" s="151"/>
      <c r="L629" s="151"/>
      <c r="M629" s="151"/>
      <c r="N629" s="151"/>
      <c r="O629" s="151"/>
      <c r="P629" s="151"/>
      <c r="Q629" s="151"/>
      <c r="R629" s="151"/>
      <c r="S629" s="151"/>
      <c r="T629" s="151"/>
      <c r="U629" s="151"/>
      <c r="V629" s="151"/>
      <c r="W629" s="151"/>
      <c r="X629" s="151"/>
      <c r="Y629" s="151"/>
      <c r="Z629" s="151"/>
    </row>
    <row r="630">
      <c r="A630" s="151"/>
      <c r="B630" s="151"/>
      <c r="C630" s="179"/>
      <c r="D630" s="180"/>
      <c r="E630" s="151"/>
      <c r="F630" s="151"/>
      <c r="G630" s="151"/>
      <c r="H630" s="151"/>
      <c r="I630" s="151"/>
      <c r="J630" s="151"/>
      <c r="K630" s="151"/>
      <c r="L630" s="151"/>
      <c r="M630" s="151"/>
      <c r="N630" s="151"/>
      <c r="O630" s="151"/>
      <c r="P630" s="151"/>
      <c r="Q630" s="151"/>
      <c r="R630" s="151"/>
      <c r="S630" s="151"/>
      <c r="T630" s="151"/>
      <c r="U630" s="151"/>
      <c r="V630" s="151"/>
      <c r="W630" s="151"/>
      <c r="X630" s="151"/>
      <c r="Y630" s="151"/>
      <c r="Z630" s="151"/>
    </row>
    <row r="631">
      <c r="A631" s="151"/>
      <c r="B631" s="151"/>
      <c r="C631" s="179"/>
      <c r="D631" s="180"/>
      <c r="E631" s="151"/>
      <c r="F631" s="151"/>
      <c r="G631" s="151"/>
      <c r="H631" s="151"/>
      <c r="I631" s="151"/>
      <c r="J631" s="151"/>
      <c r="K631" s="151"/>
      <c r="L631" s="151"/>
      <c r="M631" s="151"/>
      <c r="N631" s="151"/>
      <c r="O631" s="151"/>
      <c r="P631" s="151"/>
      <c r="Q631" s="151"/>
      <c r="R631" s="151"/>
      <c r="S631" s="151"/>
      <c r="T631" s="151"/>
      <c r="U631" s="151"/>
      <c r="V631" s="151"/>
      <c r="W631" s="151"/>
      <c r="X631" s="151"/>
      <c r="Y631" s="151"/>
      <c r="Z631" s="151"/>
    </row>
    <row r="632">
      <c r="A632" s="151"/>
      <c r="B632" s="151"/>
      <c r="C632" s="179"/>
      <c r="D632" s="180"/>
      <c r="E632" s="151"/>
      <c r="F632" s="151"/>
      <c r="G632" s="151"/>
      <c r="H632" s="151"/>
      <c r="I632" s="151"/>
      <c r="J632" s="151"/>
      <c r="K632" s="151"/>
      <c r="L632" s="151"/>
      <c r="M632" s="151"/>
      <c r="N632" s="151"/>
      <c r="O632" s="151"/>
      <c r="P632" s="151"/>
      <c r="Q632" s="151"/>
      <c r="R632" s="151"/>
      <c r="S632" s="151"/>
      <c r="T632" s="151"/>
      <c r="U632" s="151"/>
      <c r="V632" s="151"/>
      <c r="W632" s="151"/>
      <c r="X632" s="151"/>
      <c r="Y632" s="151"/>
      <c r="Z632" s="151"/>
    </row>
    <row r="633">
      <c r="A633" s="151"/>
      <c r="B633" s="151"/>
      <c r="C633" s="179"/>
      <c r="D633" s="180"/>
      <c r="E633" s="151"/>
      <c r="F633" s="151"/>
      <c r="G633" s="151"/>
      <c r="H633" s="151"/>
      <c r="I633" s="151"/>
      <c r="J633" s="151"/>
      <c r="K633" s="151"/>
      <c r="L633" s="151"/>
      <c r="M633" s="151"/>
      <c r="N633" s="151"/>
      <c r="O633" s="151"/>
      <c r="P633" s="151"/>
      <c r="Q633" s="151"/>
      <c r="R633" s="151"/>
      <c r="S633" s="151"/>
      <c r="T633" s="151"/>
      <c r="U633" s="151"/>
      <c r="V633" s="151"/>
      <c r="W633" s="151"/>
      <c r="X633" s="151"/>
      <c r="Y633" s="151"/>
      <c r="Z633" s="151"/>
    </row>
    <row r="634">
      <c r="A634" s="151"/>
      <c r="B634" s="151"/>
      <c r="C634" s="179"/>
      <c r="D634" s="180"/>
      <c r="E634" s="151"/>
      <c r="F634" s="151"/>
      <c r="G634" s="151"/>
      <c r="H634" s="151"/>
      <c r="I634" s="151"/>
      <c r="J634" s="151"/>
      <c r="K634" s="151"/>
      <c r="L634" s="151"/>
      <c r="M634" s="151"/>
      <c r="N634" s="151"/>
      <c r="O634" s="151"/>
      <c r="P634" s="151"/>
      <c r="Q634" s="151"/>
      <c r="R634" s="151"/>
      <c r="S634" s="151"/>
      <c r="T634" s="151"/>
      <c r="U634" s="151"/>
      <c r="V634" s="151"/>
      <c r="W634" s="151"/>
      <c r="X634" s="151"/>
      <c r="Y634" s="151"/>
      <c r="Z634" s="151"/>
    </row>
    <row r="635">
      <c r="A635" s="151"/>
      <c r="B635" s="151"/>
      <c r="C635" s="179"/>
      <c r="D635" s="180"/>
      <c r="E635" s="151"/>
      <c r="F635" s="151"/>
      <c r="G635" s="151"/>
      <c r="H635" s="151"/>
      <c r="I635" s="151"/>
      <c r="J635" s="151"/>
      <c r="K635" s="151"/>
      <c r="L635" s="151"/>
      <c r="M635" s="151"/>
      <c r="N635" s="151"/>
      <c r="O635" s="151"/>
      <c r="P635" s="151"/>
      <c r="Q635" s="151"/>
      <c r="R635" s="151"/>
      <c r="S635" s="151"/>
      <c r="T635" s="151"/>
      <c r="U635" s="151"/>
      <c r="V635" s="151"/>
      <c r="W635" s="151"/>
      <c r="X635" s="151"/>
      <c r="Y635" s="151"/>
      <c r="Z635" s="151"/>
    </row>
    <row r="636">
      <c r="A636" s="151"/>
      <c r="B636" s="151"/>
      <c r="C636" s="179"/>
      <c r="D636" s="180"/>
      <c r="E636" s="151"/>
      <c r="F636" s="151"/>
      <c r="G636" s="151"/>
      <c r="H636" s="151"/>
      <c r="I636" s="151"/>
      <c r="J636" s="151"/>
      <c r="K636" s="151"/>
      <c r="L636" s="151"/>
      <c r="M636" s="151"/>
      <c r="N636" s="151"/>
      <c r="O636" s="151"/>
      <c r="P636" s="151"/>
      <c r="Q636" s="151"/>
      <c r="R636" s="151"/>
      <c r="S636" s="151"/>
      <c r="T636" s="151"/>
      <c r="U636" s="151"/>
      <c r="V636" s="151"/>
      <c r="W636" s="151"/>
      <c r="X636" s="151"/>
      <c r="Y636" s="151"/>
      <c r="Z636" s="151"/>
    </row>
    <row r="637">
      <c r="A637" s="151"/>
      <c r="B637" s="151"/>
      <c r="C637" s="179"/>
      <c r="D637" s="180"/>
      <c r="E637" s="151"/>
      <c r="F637" s="151"/>
      <c r="G637" s="151"/>
      <c r="H637" s="151"/>
      <c r="I637" s="151"/>
      <c r="J637" s="151"/>
      <c r="K637" s="151"/>
      <c r="L637" s="151"/>
      <c r="M637" s="151"/>
      <c r="N637" s="151"/>
      <c r="O637" s="151"/>
      <c r="P637" s="151"/>
      <c r="Q637" s="151"/>
      <c r="R637" s="151"/>
      <c r="S637" s="151"/>
      <c r="T637" s="151"/>
      <c r="U637" s="151"/>
      <c r="V637" s="151"/>
      <c r="W637" s="151"/>
      <c r="X637" s="151"/>
      <c r="Y637" s="151"/>
      <c r="Z637" s="151"/>
    </row>
    <row r="638">
      <c r="A638" s="151"/>
      <c r="B638" s="151"/>
      <c r="C638" s="179"/>
      <c r="D638" s="180"/>
      <c r="E638" s="151"/>
      <c r="F638" s="151"/>
      <c r="G638" s="151"/>
      <c r="H638" s="151"/>
      <c r="I638" s="151"/>
      <c r="J638" s="151"/>
      <c r="K638" s="151"/>
      <c r="L638" s="151"/>
      <c r="M638" s="151"/>
      <c r="N638" s="151"/>
      <c r="O638" s="151"/>
      <c r="P638" s="151"/>
      <c r="Q638" s="151"/>
      <c r="R638" s="151"/>
      <c r="S638" s="151"/>
      <c r="T638" s="151"/>
      <c r="U638" s="151"/>
      <c r="V638" s="151"/>
      <c r="W638" s="151"/>
      <c r="X638" s="151"/>
      <c r="Y638" s="151"/>
      <c r="Z638" s="151"/>
    </row>
    <row r="639">
      <c r="A639" s="151"/>
      <c r="B639" s="151"/>
      <c r="C639" s="179"/>
      <c r="D639" s="180"/>
      <c r="E639" s="151"/>
      <c r="F639" s="151"/>
      <c r="G639" s="151"/>
      <c r="H639" s="151"/>
      <c r="I639" s="151"/>
      <c r="J639" s="151"/>
      <c r="K639" s="151"/>
      <c r="L639" s="151"/>
      <c r="M639" s="151"/>
      <c r="N639" s="151"/>
      <c r="O639" s="151"/>
      <c r="P639" s="151"/>
      <c r="Q639" s="151"/>
      <c r="R639" s="151"/>
      <c r="S639" s="151"/>
      <c r="T639" s="151"/>
      <c r="U639" s="151"/>
      <c r="V639" s="151"/>
      <c r="W639" s="151"/>
      <c r="X639" s="151"/>
      <c r="Y639" s="151"/>
      <c r="Z639" s="151"/>
    </row>
    <row r="640">
      <c r="A640" s="151"/>
      <c r="B640" s="151"/>
      <c r="C640" s="179"/>
      <c r="D640" s="180"/>
      <c r="E640" s="151"/>
      <c r="F640" s="151"/>
      <c r="G640" s="151"/>
      <c r="H640" s="151"/>
      <c r="I640" s="151"/>
      <c r="J640" s="151"/>
      <c r="K640" s="151"/>
      <c r="L640" s="151"/>
      <c r="M640" s="151"/>
      <c r="N640" s="151"/>
      <c r="O640" s="151"/>
      <c r="P640" s="151"/>
      <c r="Q640" s="151"/>
      <c r="R640" s="151"/>
      <c r="S640" s="151"/>
      <c r="T640" s="151"/>
      <c r="U640" s="151"/>
      <c r="V640" s="151"/>
      <c r="W640" s="151"/>
      <c r="X640" s="151"/>
      <c r="Y640" s="151"/>
      <c r="Z640" s="151"/>
    </row>
    <row r="641">
      <c r="A641" s="151"/>
      <c r="B641" s="151"/>
      <c r="C641" s="179"/>
      <c r="D641" s="180"/>
      <c r="E641" s="151"/>
      <c r="F641" s="151"/>
      <c r="G641" s="151"/>
      <c r="H641" s="151"/>
      <c r="I641" s="151"/>
      <c r="J641" s="151"/>
      <c r="K641" s="151"/>
      <c r="L641" s="151"/>
      <c r="M641" s="151"/>
      <c r="N641" s="151"/>
      <c r="O641" s="151"/>
      <c r="P641" s="151"/>
      <c r="Q641" s="151"/>
      <c r="R641" s="151"/>
      <c r="S641" s="151"/>
      <c r="T641" s="151"/>
      <c r="U641" s="151"/>
      <c r="V641" s="151"/>
      <c r="W641" s="151"/>
      <c r="X641" s="151"/>
      <c r="Y641" s="151"/>
      <c r="Z641" s="151"/>
    </row>
    <row r="642">
      <c r="A642" s="151"/>
      <c r="B642" s="151"/>
      <c r="C642" s="179"/>
      <c r="D642" s="180"/>
      <c r="E642" s="151"/>
      <c r="F642" s="151"/>
      <c r="G642" s="151"/>
      <c r="H642" s="151"/>
      <c r="I642" s="151"/>
      <c r="J642" s="151"/>
      <c r="K642" s="151"/>
      <c r="L642" s="151"/>
      <c r="M642" s="151"/>
      <c r="N642" s="151"/>
      <c r="O642" s="151"/>
      <c r="P642" s="151"/>
      <c r="Q642" s="151"/>
      <c r="R642" s="151"/>
      <c r="S642" s="151"/>
      <c r="T642" s="151"/>
      <c r="U642" s="151"/>
      <c r="V642" s="151"/>
      <c r="W642" s="151"/>
      <c r="X642" s="151"/>
      <c r="Y642" s="151"/>
      <c r="Z642" s="151"/>
    </row>
    <row r="643">
      <c r="A643" s="151"/>
      <c r="B643" s="151"/>
      <c r="C643" s="179"/>
      <c r="D643" s="180"/>
      <c r="E643" s="151"/>
      <c r="F643" s="151"/>
      <c r="G643" s="151"/>
      <c r="H643" s="151"/>
      <c r="I643" s="151"/>
      <c r="J643" s="151"/>
      <c r="K643" s="151"/>
      <c r="L643" s="151"/>
      <c r="M643" s="151"/>
      <c r="N643" s="151"/>
      <c r="O643" s="151"/>
      <c r="P643" s="151"/>
      <c r="Q643" s="151"/>
      <c r="R643" s="151"/>
      <c r="S643" s="151"/>
      <c r="T643" s="151"/>
      <c r="U643" s="151"/>
      <c r="V643" s="151"/>
      <c r="W643" s="151"/>
      <c r="X643" s="151"/>
      <c r="Y643" s="151"/>
      <c r="Z643" s="151"/>
    </row>
    <row r="644">
      <c r="A644" s="151"/>
      <c r="B644" s="151"/>
      <c r="C644" s="179"/>
      <c r="D644" s="180"/>
      <c r="E644" s="151"/>
      <c r="F644" s="151"/>
      <c r="G644" s="151"/>
      <c r="H644" s="151"/>
      <c r="I644" s="151"/>
      <c r="J644" s="151"/>
      <c r="K644" s="151"/>
      <c r="L644" s="151"/>
      <c r="M644" s="151"/>
      <c r="N644" s="151"/>
      <c r="O644" s="151"/>
      <c r="P644" s="151"/>
      <c r="Q644" s="151"/>
      <c r="R644" s="151"/>
      <c r="S644" s="151"/>
      <c r="T644" s="151"/>
      <c r="U644" s="151"/>
      <c r="V644" s="151"/>
      <c r="W644" s="151"/>
      <c r="X644" s="151"/>
      <c r="Y644" s="151"/>
      <c r="Z644" s="151"/>
    </row>
    <row r="645">
      <c r="A645" s="151"/>
      <c r="B645" s="151"/>
      <c r="C645" s="179"/>
      <c r="D645" s="180"/>
      <c r="E645" s="151"/>
      <c r="F645" s="151"/>
      <c r="G645" s="151"/>
      <c r="H645" s="151"/>
      <c r="I645" s="151"/>
      <c r="J645" s="151"/>
      <c r="K645" s="151"/>
      <c r="L645" s="151"/>
      <c r="M645" s="151"/>
      <c r="N645" s="151"/>
      <c r="O645" s="151"/>
      <c r="P645" s="151"/>
      <c r="Q645" s="151"/>
      <c r="R645" s="151"/>
      <c r="S645" s="151"/>
      <c r="T645" s="151"/>
      <c r="U645" s="151"/>
      <c r="V645" s="151"/>
      <c r="W645" s="151"/>
      <c r="X645" s="151"/>
      <c r="Y645" s="151"/>
      <c r="Z645" s="151"/>
    </row>
    <row r="646">
      <c r="A646" s="151"/>
      <c r="B646" s="151"/>
      <c r="C646" s="179"/>
      <c r="D646" s="180"/>
      <c r="E646" s="151"/>
      <c r="F646" s="151"/>
      <c r="G646" s="151"/>
      <c r="H646" s="151"/>
      <c r="I646" s="151"/>
      <c r="J646" s="151"/>
      <c r="K646" s="151"/>
      <c r="L646" s="151"/>
      <c r="M646" s="151"/>
      <c r="N646" s="151"/>
      <c r="O646" s="151"/>
      <c r="P646" s="151"/>
      <c r="Q646" s="151"/>
      <c r="R646" s="151"/>
      <c r="S646" s="151"/>
      <c r="T646" s="151"/>
      <c r="U646" s="151"/>
      <c r="V646" s="151"/>
      <c r="W646" s="151"/>
      <c r="X646" s="151"/>
      <c r="Y646" s="151"/>
      <c r="Z646" s="151"/>
    </row>
    <row r="647">
      <c r="A647" s="151"/>
      <c r="B647" s="151"/>
      <c r="C647" s="179"/>
      <c r="D647" s="180"/>
      <c r="E647" s="151"/>
      <c r="F647" s="151"/>
      <c r="G647" s="151"/>
      <c r="H647" s="151"/>
      <c r="I647" s="151"/>
      <c r="J647" s="151"/>
      <c r="K647" s="151"/>
      <c r="L647" s="151"/>
      <c r="M647" s="151"/>
      <c r="N647" s="151"/>
      <c r="O647" s="151"/>
      <c r="P647" s="151"/>
      <c r="Q647" s="151"/>
      <c r="R647" s="151"/>
      <c r="S647" s="151"/>
      <c r="T647" s="151"/>
      <c r="U647" s="151"/>
      <c r="V647" s="151"/>
      <c r="W647" s="151"/>
      <c r="X647" s="151"/>
      <c r="Y647" s="151"/>
      <c r="Z647" s="151"/>
    </row>
    <row r="648">
      <c r="A648" s="151"/>
      <c r="B648" s="151"/>
      <c r="C648" s="179"/>
      <c r="D648" s="180"/>
      <c r="E648" s="151"/>
      <c r="F648" s="151"/>
      <c r="G648" s="151"/>
      <c r="H648" s="151"/>
      <c r="I648" s="151"/>
      <c r="J648" s="151"/>
      <c r="K648" s="151"/>
      <c r="L648" s="151"/>
      <c r="M648" s="151"/>
      <c r="N648" s="151"/>
      <c r="O648" s="151"/>
      <c r="P648" s="151"/>
      <c r="Q648" s="151"/>
      <c r="R648" s="151"/>
      <c r="S648" s="151"/>
      <c r="T648" s="151"/>
      <c r="U648" s="151"/>
      <c r="V648" s="151"/>
      <c r="W648" s="151"/>
      <c r="X648" s="151"/>
      <c r="Y648" s="151"/>
      <c r="Z648" s="151"/>
    </row>
    <row r="649">
      <c r="A649" s="151"/>
      <c r="B649" s="151"/>
      <c r="C649" s="179"/>
      <c r="D649" s="180"/>
      <c r="E649" s="151"/>
      <c r="F649" s="151"/>
      <c r="G649" s="151"/>
      <c r="H649" s="151"/>
      <c r="I649" s="151"/>
      <c r="J649" s="151"/>
      <c r="K649" s="151"/>
      <c r="L649" s="151"/>
      <c r="M649" s="151"/>
      <c r="N649" s="151"/>
      <c r="O649" s="151"/>
      <c r="P649" s="151"/>
      <c r="Q649" s="151"/>
      <c r="R649" s="151"/>
      <c r="S649" s="151"/>
      <c r="T649" s="151"/>
      <c r="U649" s="151"/>
      <c r="V649" s="151"/>
      <c r="W649" s="151"/>
      <c r="X649" s="151"/>
      <c r="Y649" s="151"/>
      <c r="Z649" s="151"/>
    </row>
    <row r="650">
      <c r="A650" s="151"/>
      <c r="B650" s="151"/>
      <c r="C650" s="179"/>
      <c r="D650" s="180"/>
      <c r="E650" s="151"/>
      <c r="F650" s="151"/>
      <c r="G650" s="151"/>
      <c r="H650" s="151"/>
      <c r="I650" s="151"/>
      <c r="J650" s="151"/>
      <c r="K650" s="151"/>
      <c r="L650" s="151"/>
      <c r="M650" s="151"/>
      <c r="N650" s="151"/>
      <c r="O650" s="151"/>
      <c r="P650" s="151"/>
      <c r="Q650" s="151"/>
      <c r="R650" s="151"/>
      <c r="S650" s="151"/>
      <c r="T650" s="151"/>
      <c r="U650" s="151"/>
      <c r="V650" s="151"/>
      <c r="W650" s="151"/>
      <c r="X650" s="151"/>
      <c r="Y650" s="151"/>
      <c r="Z650" s="151"/>
    </row>
    <row r="651">
      <c r="A651" s="151"/>
      <c r="B651" s="151"/>
      <c r="C651" s="179"/>
      <c r="D651" s="180"/>
      <c r="E651" s="151"/>
      <c r="F651" s="151"/>
      <c r="G651" s="151"/>
      <c r="H651" s="151"/>
      <c r="I651" s="151"/>
      <c r="J651" s="151"/>
      <c r="K651" s="151"/>
      <c r="L651" s="151"/>
      <c r="M651" s="151"/>
      <c r="N651" s="151"/>
      <c r="O651" s="151"/>
      <c r="P651" s="151"/>
      <c r="Q651" s="151"/>
      <c r="R651" s="151"/>
      <c r="S651" s="151"/>
      <c r="T651" s="151"/>
      <c r="U651" s="151"/>
      <c r="V651" s="151"/>
      <c r="W651" s="151"/>
      <c r="X651" s="151"/>
      <c r="Y651" s="151"/>
      <c r="Z651" s="151"/>
    </row>
    <row r="652">
      <c r="A652" s="151"/>
      <c r="B652" s="151"/>
      <c r="C652" s="179"/>
      <c r="D652" s="180"/>
      <c r="E652" s="151"/>
      <c r="F652" s="151"/>
      <c r="G652" s="151"/>
      <c r="H652" s="151"/>
      <c r="I652" s="151"/>
      <c r="J652" s="151"/>
      <c r="K652" s="151"/>
      <c r="L652" s="151"/>
      <c r="M652" s="151"/>
      <c r="N652" s="151"/>
      <c r="O652" s="151"/>
      <c r="P652" s="151"/>
      <c r="Q652" s="151"/>
      <c r="R652" s="151"/>
      <c r="S652" s="151"/>
      <c r="T652" s="151"/>
      <c r="U652" s="151"/>
      <c r="V652" s="151"/>
      <c r="W652" s="151"/>
      <c r="X652" s="151"/>
      <c r="Y652" s="151"/>
      <c r="Z652" s="151"/>
    </row>
    <row r="653">
      <c r="A653" s="151"/>
      <c r="B653" s="151"/>
      <c r="C653" s="179"/>
      <c r="D653" s="180"/>
      <c r="E653" s="151"/>
      <c r="F653" s="151"/>
      <c r="G653" s="151"/>
      <c r="H653" s="151"/>
      <c r="I653" s="151"/>
      <c r="J653" s="151"/>
      <c r="K653" s="151"/>
      <c r="L653" s="151"/>
      <c r="M653" s="151"/>
      <c r="N653" s="151"/>
      <c r="O653" s="151"/>
      <c r="P653" s="151"/>
      <c r="Q653" s="151"/>
      <c r="R653" s="151"/>
      <c r="S653" s="151"/>
      <c r="T653" s="151"/>
      <c r="U653" s="151"/>
      <c r="V653" s="151"/>
      <c r="W653" s="151"/>
      <c r="X653" s="151"/>
      <c r="Y653" s="151"/>
      <c r="Z653" s="151"/>
    </row>
    <row r="654">
      <c r="A654" s="151"/>
      <c r="B654" s="151"/>
      <c r="C654" s="179"/>
      <c r="D654" s="180"/>
      <c r="E654" s="151"/>
      <c r="F654" s="151"/>
      <c r="G654" s="151"/>
      <c r="H654" s="151"/>
      <c r="I654" s="151"/>
      <c r="J654" s="151"/>
      <c r="K654" s="151"/>
      <c r="L654" s="151"/>
      <c r="M654" s="151"/>
      <c r="N654" s="151"/>
      <c r="O654" s="151"/>
      <c r="P654" s="151"/>
      <c r="Q654" s="151"/>
      <c r="R654" s="151"/>
      <c r="S654" s="151"/>
      <c r="T654" s="151"/>
      <c r="U654" s="151"/>
      <c r="V654" s="151"/>
      <c r="W654" s="151"/>
      <c r="X654" s="151"/>
      <c r="Y654" s="151"/>
      <c r="Z654" s="151"/>
    </row>
    <row r="655">
      <c r="A655" s="151"/>
      <c r="B655" s="151"/>
      <c r="C655" s="179"/>
      <c r="D655" s="180"/>
      <c r="E655" s="151"/>
      <c r="F655" s="151"/>
      <c r="G655" s="151"/>
      <c r="H655" s="151"/>
      <c r="I655" s="151"/>
      <c r="J655" s="151"/>
      <c r="K655" s="151"/>
      <c r="L655" s="151"/>
      <c r="M655" s="151"/>
      <c r="N655" s="151"/>
      <c r="O655" s="151"/>
      <c r="P655" s="151"/>
      <c r="Q655" s="151"/>
      <c r="R655" s="151"/>
      <c r="S655" s="151"/>
      <c r="T655" s="151"/>
      <c r="U655" s="151"/>
      <c r="V655" s="151"/>
      <c r="W655" s="151"/>
      <c r="X655" s="151"/>
      <c r="Y655" s="151"/>
      <c r="Z655" s="151"/>
    </row>
    <row r="656">
      <c r="A656" s="151"/>
      <c r="B656" s="151"/>
      <c r="C656" s="179"/>
      <c r="D656" s="180"/>
      <c r="E656" s="151"/>
      <c r="F656" s="151"/>
      <c r="G656" s="151"/>
      <c r="H656" s="151"/>
      <c r="I656" s="151"/>
      <c r="J656" s="151"/>
      <c r="K656" s="151"/>
      <c r="L656" s="151"/>
      <c r="M656" s="151"/>
      <c r="N656" s="151"/>
      <c r="O656" s="151"/>
      <c r="P656" s="151"/>
      <c r="Q656" s="151"/>
      <c r="R656" s="151"/>
      <c r="S656" s="151"/>
      <c r="T656" s="151"/>
      <c r="U656" s="151"/>
      <c r="V656" s="151"/>
      <c r="W656" s="151"/>
      <c r="X656" s="151"/>
      <c r="Y656" s="151"/>
      <c r="Z656" s="151"/>
    </row>
    <row r="657">
      <c r="A657" s="151"/>
      <c r="B657" s="151"/>
      <c r="C657" s="179"/>
      <c r="D657" s="180"/>
      <c r="E657" s="151"/>
      <c r="F657" s="151"/>
      <c r="G657" s="151"/>
      <c r="H657" s="151"/>
      <c r="I657" s="151"/>
      <c r="J657" s="151"/>
      <c r="K657" s="151"/>
      <c r="L657" s="151"/>
      <c r="M657" s="151"/>
      <c r="N657" s="151"/>
      <c r="O657" s="151"/>
      <c r="P657" s="151"/>
      <c r="Q657" s="151"/>
      <c r="R657" s="151"/>
      <c r="S657" s="151"/>
      <c r="T657" s="151"/>
      <c r="U657" s="151"/>
      <c r="V657" s="151"/>
      <c r="W657" s="151"/>
      <c r="X657" s="151"/>
      <c r="Y657" s="151"/>
      <c r="Z657" s="151"/>
    </row>
    <row r="658">
      <c r="A658" s="151"/>
      <c r="B658" s="151"/>
      <c r="C658" s="179"/>
      <c r="D658" s="180"/>
      <c r="E658" s="151"/>
      <c r="F658" s="151"/>
      <c r="G658" s="151"/>
      <c r="H658" s="151"/>
      <c r="I658" s="151"/>
      <c r="J658" s="151"/>
      <c r="K658" s="151"/>
      <c r="L658" s="151"/>
      <c r="M658" s="151"/>
      <c r="N658" s="151"/>
      <c r="O658" s="151"/>
      <c r="P658" s="151"/>
      <c r="Q658" s="151"/>
      <c r="R658" s="151"/>
      <c r="S658" s="151"/>
      <c r="T658" s="151"/>
      <c r="U658" s="151"/>
      <c r="V658" s="151"/>
      <c r="W658" s="151"/>
      <c r="X658" s="151"/>
      <c r="Y658" s="151"/>
      <c r="Z658" s="151"/>
    </row>
    <row r="659">
      <c r="A659" s="151"/>
      <c r="B659" s="151"/>
      <c r="C659" s="179"/>
      <c r="D659" s="180"/>
      <c r="E659" s="151"/>
      <c r="F659" s="151"/>
      <c r="G659" s="151"/>
      <c r="H659" s="151"/>
      <c r="I659" s="151"/>
      <c r="J659" s="151"/>
      <c r="K659" s="151"/>
      <c r="L659" s="151"/>
      <c r="M659" s="151"/>
      <c r="N659" s="151"/>
      <c r="O659" s="151"/>
      <c r="P659" s="151"/>
      <c r="Q659" s="151"/>
      <c r="R659" s="151"/>
      <c r="S659" s="151"/>
      <c r="T659" s="151"/>
      <c r="U659" s="151"/>
      <c r="V659" s="151"/>
      <c r="W659" s="151"/>
      <c r="X659" s="151"/>
      <c r="Y659" s="151"/>
      <c r="Z659" s="151"/>
    </row>
    <row r="660">
      <c r="A660" s="151"/>
      <c r="B660" s="151"/>
      <c r="C660" s="179"/>
      <c r="D660" s="180"/>
      <c r="E660" s="151"/>
      <c r="F660" s="151"/>
      <c r="G660" s="151"/>
      <c r="H660" s="151"/>
      <c r="I660" s="151"/>
      <c r="J660" s="151"/>
      <c r="K660" s="151"/>
      <c r="L660" s="151"/>
      <c r="M660" s="151"/>
      <c r="N660" s="151"/>
      <c r="O660" s="151"/>
      <c r="P660" s="151"/>
      <c r="Q660" s="151"/>
      <c r="R660" s="151"/>
      <c r="S660" s="151"/>
      <c r="T660" s="151"/>
      <c r="U660" s="151"/>
      <c r="V660" s="151"/>
      <c r="W660" s="151"/>
      <c r="X660" s="151"/>
      <c r="Y660" s="151"/>
      <c r="Z660" s="151"/>
    </row>
    <row r="661">
      <c r="A661" s="151"/>
      <c r="B661" s="151"/>
      <c r="C661" s="179"/>
      <c r="D661" s="180"/>
      <c r="E661" s="151"/>
      <c r="F661" s="151"/>
      <c r="G661" s="151"/>
      <c r="H661" s="151"/>
      <c r="I661" s="151"/>
      <c r="J661" s="151"/>
      <c r="K661" s="151"/>
      <c r="L661" s="151"/>
      <c r="M661" s="151"/>
      <c r="N661" s="151"/>
      <c r="O661" s="151"/>
      <c r="P661" s="151"/>
      <c r="Q661" s="151"/>
      <c r="R661" s="151"/>
      <c r="S661" s="151"/>
      <c r="T661" s="151"/>
      <c r="U661" s="151"/>
      <c r="V661" s="151"/>
      <c r="W661" s="151"/>
      <c r="X661" s="151"/>
      <c r="Y661" s="151"/>
      <c r="Z661" s="151"/>
    </row>
    <row r="662">
      <c r="A662" s="151"/>
      <c r="B662" s="151"/>
      <c r="C662" s="179"/>
      <c r="D662" s="180"/>
      <c r="E662" s="151"/>
      <c r="F662" s="151"/>
      <c r="G662" s="151"/>
      <c r="H662" s="151"/>
      <c r="I662" s="151"/>
      <c r="J662" s="151"/>
      <c r="K662" s="151"/>
      <c r="L662" s="151"/>
      <c r="M662" s="151"/>
      <c r="N662" s="151"/>
      <c r="O662" s="151"/>
      <c r="P662" s="151"/>
      <c r="Q662" s="151"/>
      <c r="R662" s="151"/>
      <c r="S662" s="151"/>
      <c r="T662" s="151"/>
      <c r="U662" s="151"/>
      <c r="V662" s="151"/>
      <c r="W662" s="151"/>
      <c r="X662" s="151"/>
      <c r="Y662" s="151"/>
      <c r="Z662" s="151"/>
    </row>
    <row r="663">
      <c r="A663" s="151"/>
      <c r="B663" s="151"/>
      <c r="C663" s="179"/>
      <c r="D663" s="180"/>
      <c r="E663" s="151"/>
      <c r="F663" s="151"/>
      <c r="G663" s="151"/>
      <c r="H663" s="151"/>
      <c r="I663" s="151"/>
      <c r="J663" s="151"/>
      <c r="K663" s="151"/>
      <c r="L663" s="151"/>
      <c r="M663" s="151"/>
      <c r="N663" s="151"/>
      <c r="O663" s="151"/>
      <c r="P663" s="151"/>
      <c r="Q663" s="151"/>
      <c r="R663" s="151"/>
      <c r="S663" s="151"/>
      <c r="T663" s="151"/>
      <c r="U663" s="151"/>
      <c r="V663" s="151"/>
      <c r="W663" s="151"/>
      <c r="X663" s="151"/>
      <c r="Y663" s="151"/>
      <c r="Z663" s="151"/>
    </row>
    <row r="664">
      <c r="A664" s="151"/>
      <c r="B664" s="151"/>
      <c r="C664" s="179"/>
      <c r="D664" s="180"/>
      <c r="E664" s="151"/>
      <c r="F664" s="151"/>
      <c r="G664" s="151"/>
      <c r="H664" s="151"/>
      <c r="I664" s="151"/>
      <c r="J664" s="151"/>
      <c r="K664" s="151"/>
      <c r="L664" s="151"/>
      <c r="M664" s="151"/>
      <c r="N664" s="151"/>
      <c r="O664" s="151"/>
      <c r="P664" s="151"/>
      <c r="Q664" s="151"/>
      <c r="R664" s="151"/>
      <c r="S664" s="151"/>
      <c r="T664" s="151"/>
      <c r="U664" s="151"/>
      <c r="V664" s="151"/>
      <c r="W664" s="151"/>
      <c r="X664" s="151"/>
      <c r="Y664" s="151"/>
      <c r="Z664" s="151"/>
    </row>
    <row r="665">
      <c r="A665" s="151"/>
      <c r="B665" s="151"/>
      <c r="C665" s="179"/>
      <c r="D665" s="180"/>
      <c r="E665" s="151"/>
      <c r="F665" s="151"/>
      <c r="G665" s="151"/>
      <c r="H665" s="151"/>
      <c r="I665" s="151"/>
      <c r="J665" s="151"/>
      <c r="K665" s="151"/>
      <c r="L665" s="151"/>
      <c r="M665" s="151"/>
      <c r="N665" s="151"/>
      <c r="O665" s="151"/>
      <c r="P665" s="151"/>
      <c r="Q665" s="151"/>
      <c r="R665" s="151"/>
      <c r="S665" s="151"/>
      <c r="T665" s="151"/>
      <c r="U665" s="151"/>
      <c r="V665" s="151"/>
      <c r="W665" s="151"/>
      <c r="X665" s="151"/>
      <c r="Y665" s="151"/>
      <c r="Z665" s="151"/>
    </row>
    <row r="666">
      <c r="A666" s="151"/>
      <c r="B666" s="151"/>
      <c r="C666" s="179"/>
      <c r="D666" s="180"/>
      <c r="E666" s="151"/>
      <c r="F666" s="151"/>
      <c r="G666" s="151"/>
      <c r="H666" s="151"/>
      <c r="I666" s="151"/>
      <c r="J666" s="151"/>
      <c r="K666" s="151"/>
      <c r="L666" s="151"/>
      <c r="M666" s="151"/>
      <c r="N666" s="151"/>
      <c r="O666" s="151"/>
      <c r="P666" s="151"/>
      <c r="Q666" s="151"/>
      <c r="R666" s="151"/>
      <c r="S666" s="151"/>
      <c r="T666" s="151"/>
      <c r="U666" s="151"/>
      <c r="V666" s="151"/>
      <c r="W666" s="151"/>
      <c r="X666" s="151"/>
      <c r="Y666" s="151"/>
      <c r="Z666" s="151"/>
    </row>
    <row r="667">
      <c r="A667" s="151"/>
      <c r="B667" s="151"/>
      <c r="C667" s="179"/>
      <c r="D667" s="180"/>
      <c r="E667" s="151"/>
      <c r="F667" s="151"/>
      <c r="G667" s="151"/>
      <c r="H667" s="151"/>
      <c r="I667" s="151"/>
      <c r="J667" s="151"/>
      <c r="K667" s="151"/>
      <c r="L667" s="151"/>
      <c r="M667" s="151"/>
      <c r="N667" s="151"/>
      <c r="O667" s="151"/>
      <c r="P667" s="151"/>
      <c r="Q667" s="151"/>
      <c r="R667" s="151"/>
      <c r="S667" s="151"/>
      <c r="T667" s="151"/>
      <c r="U667" s="151"/>
      <c r="V667" s="151"/>
      <c r="W667" s="151"/>
      <c r="X667" s="151"/>
      <c r="Y667" s="151"/>
      <c r="Z667" s="151"/>
    </row>
    <row r="668">
      <c r="A668" s="151"/>
      <c r="B668" s="151"/>
      <c r="C668" s="179"/>
      <c r="D668" s="180"/>
      <c r="E668" s="151"/>
      <c r="F668" s="151"/>
      <c r="G668" s="151"/>
      <c r="H668" s="151"/>
      <c r="I668" s="151"/>
      <c r="J668" s="151"/>
      <c r="K668" s="151"/>
      <c r="L668" s="151"/>
      <c r="M668" s="151"/>
      <c r="N668" s="151"/>
      <c r="O668" s="151"/>
      <c r="P668" s="151"/>
      <c r="Q668" s="151"/>
      <c r="R668" s="151"/>
      <c r="S668" s="151"/>
      <c r="T668" s="151"/>
      <c r="U668" s="151"/>
      <c r="V668" s="151"/>
      <c r="W668" s="151"/>
      <c r="X668" s="151"/>
      <c r="Y668" s="151"/>
      <c r="Z668" s="151"/>
    </row>
    <row r="669">
      <c r="A669" s="151"/>
      <c r="B669" s="151"/>
      <c r="C669" s="179"/>
      <c r="D669" s="180"/>
      <c r="E669" s="151"/>
      <c r="F669" s="151"/>
      <c r="G669" s="151"/>
      <c r="H669" s="151"/>
      <c r="I669" s="151"/>
      <c r="J669" s="151"/>
      <c r="K669" s="151"/>
      <c r="L669" s="151"/>
      <c r="M669" s="151"/>
      <c r="N669" s="151"/>
      <c r="O669" s="151"/>
      <c r="P669" s="151"/>
      <c r="Q669" s="151"/>
      <c r="R669" s="151"/>
      <c r="S669" s="151"/>
      <c r="T669" s="151"/>
      <c r="U669" s="151"/>
      <c r="V669" s="151"/>
      <c r="W669" s="151"/>
      <c r="X669" s="151"/>
      <c r="Y669" s="151"/>
      <c r="Z669" s="151"/>
    </row>
    <row r="670">
      <c r="A670" s="151"/>
      <c r="B670" s="151"/>
      <c r="C670" s="179"/>
      <c r="D670" s="180"/>
      <c r="E670" s="151"/>
      <c r="F670" s="151"/>
      <c r="G670" s="151"/>
      <c r="H670" s="151"/>
      <c r="I670" s="151"/>
      <c r="J670" s="151"/>
      <c r="K670" s="151"/>
      <c r="L670" s="151"/>
      <c r="M670" s="151"/>
      <c r="N670" s="151"/>
      <c r="O670" s="151"/>
      <c r="P670" s="151"/>
      <c r="Q670" s="151"/>
      <c r="R670" s="151"/>
      <c r="S670" s="151"/>
      <c r="T670" s="151"/>
      <c r="U670" s="151"/>
      <c r="V670" s="151"/>
      <c r="W670" s="151"/>
      <c r="X670" s="151"/>
      <c r="Y670" s="151"/>
      <c r="Z670" s="151"/>
    </row>
    <row r="671">
      <c r="A671" s="151"/>
      <c r="B671" s="151"/>
      <c r="C671" s="179"/>
      <c r="D671" s="180"/>
      <c r="E671" s="151"/>
      <c r="F671" s="151"/>
      <c r="G671" s="151"/>
      <c r="H671" s="151"/>
      <c r="I671" s="151"/>
      <c r="J671" s="151"/>
      <c r="K671" s="151"/>
      <c r="L671" s="151"/>
      <c r="M671" s="151"/>
      <c r="N671" s="151"/>
      <c r="O671" s="151"/>
      <c r="P671" s="151"/>
      <c r="Q671" s="151"/>
      <c r="R671" s="151"/>
      <c r="S671" s="151"/>
      <c r="T671" s="151"/>
      <c r="U671" s="151"/>
      <c r="V671" s="151"/>
      <c r="W671" s="151"/>
      <c r="X671" s="151"/>
      <c r="Y671" s="151"/>
      <c r="Z671" s="151"/>
    </row>
    <row r="672">
      <c r="A672" s="151"/>
      <c r="B672" s="151"/>
      <c r="C672" s="179"/>
      <c r="D672" s="180"/>
      <c r="E672" s="151"/>
      <c r="F672" s="151"/>
      <c r="G672" s="151"/>
      <c r="H672" s="151"/>
      <c r="I672" s="151"/>
      <c r="J672" s="151"/>
      <c r="K672" s="151"/>
      <c r="L672" s="151"/>
      <c r="M672" s="151"/>
      <c r="N672" s="151"/>
      <c r="O672" s="151"/>
      <c r="P672" s="151"/>
      <c r="Q672" s="151"/>
      <c r="R672" s="151"/>
      <c r="S672" s="151"/>
      <c r="T672" s="151"/>
      <c r="U672" s="151"/>
      <c r="V672" s="151"/>
      <c r="W672" s="151"/>
      <c r="X672" s="151"/>
      <c r="Y672" s="151"/>
      <c r="Z672" s="151"/>
    </row>
    <row r="673">
      <c r="A673" s="151"/>
      <c r="B673" s="151"/>
      <c r="C673" s="179"/>
      <c r="D673" s="180"/>
      <c r="E673" s="151"/>
      <c r="F673" s="151"/>
      <c r="G673" s="151"/>
      <c r="H673" s="151"/>
      <c r="I673" s="151"/>
      <c r="J673" s="151"/>
      <c r="K673" s="151"/>
      <c r="L673" s="151"/>
      <c r="M673" s="151"/>
      <c r="N673" s="151"/>
      <c r="O673" s="151"/>
      <c r="P673" s="151"/>
      <c r="Q673" s="151"/>
      <c r="R673" s="151"/>
      <c r="S673" s="151"/>
      <c r="T673" s="151"/>
      <c r="U673" s="151"/>
      <c r="V673" s="151"/>
      <c r="W673" s="151"/>
      <c r="X673" s="151"/>
      <c r="Y673" s="151"/>
      <c r="Z673" s="151"/>
    </row>
    <row r="674">
      <c r="A674" s="151"/>
      <c r="B674" s="151"/>
      <c r="C674" s="179"/>
      <c r="D674" s="180"/>
      <c r="E674" s="151"/>
      <c r="F674" s="151"/>
      <c r="G674" s="151"/>
      <c r="H674" s="151"/>
      <c r="I674" s="151"/>
      <c r="J674" s="151"/>
      <c r="K674" s="151"/>
      <c r="L674" s="151"/>
      <c r="M674" s="151"/>
      <c r="N674" s="151"/>
      <c r="O674" s="151"/>
      <c r="P674" s="151"/>
      <c r="Q674" s="151"/>
      <c r="R674" s="151"/>
      <c r="S674" s="151"/>
      <c r="T674" s="151"/>
      <c r="U674" s="151"/>
      <c r="V674" s="151"/>
      <c r="W674" s="151"/>
      <c r="X674" s="151"/>
      <c r="Y674" s="151"/>
      <c r="Z674" s="151"/>
    </row>
    <row r="675">
      <c r="A675" s="151"/>
      <c r="B675" s="151"/>
      <c r="C675" s="179"/>
      <c r="D675" s="180"/>
      <c r="E675" s="151"/>
      <c r="F675" s="151"/>
      <c r="G675" s="151"/>
      <c r="H675" s="151"/>
      <c r="I675" s="151"/>
      <c r="J675" s="151"/>
      <c r="K675" s="151"/>
      <c r="L675" s="151"/>
      <c r="M675" s="151"/>
      <c r="N675" s="151"/>
      <c r="O675" s="151"/>
      <c r="P675" s="151"/>
      <c r="Q675" s="151"/>
      <c r="R675" s="151"/>
      <c r="S675" s="151"/>
      <c r="T675" s="151"/>
      <c r="U675" s="151"/>
      <c r="V675" s="151"/>
      <c r="W675" s="151"/>
      <c r="X675" s="151"/>
      <c r="Y675" s="151"/>
      <c r="Z675" s="151"/>
    </row>
    <row r="676">
      <c r="A676" s="151"/>
      <c r="B676" s="151"/>
      <c r="C676" s="179"/>
      <c r="D676" s="180"/>
      <c r="E676" s="151"/>
      <c r="F676" s="151"/>
      <c r="G676" s="151"/>
      <c r="H676" s="151"/>
      <c r="I676" s="151"/>
      <c r="J676" s="151"/>
      <c r="K676" s="151"/>
      <c r="L676" s="151"/>
      <c r="M676" s="151"/>
      <c r="N676" s="151"/>
      <c r="O676" s="151"/>
      <c r="P676" s="151"/>
      <c r="Q676" s="151"/>
      <c r="R676" s="151"/>
      <c r="S676" s="151"/>
      <c r="T676" s="151"/>
      <c r="U676" s="151"/>
      <c r="V676" s="151"/>
      <c r="W676" s="151"/>
      <c r="X676" s="151"/>
      <c r="Y676" s="151"/>
      <c r="Z676" s="151"/>
    </row>
    <row r="677">
      <c r="A677" s="151"/>
      <c r="B677" s="151"/>
      <c r="C677" s="179"/>
      <c r="D677" s="180"/>
      <c r="E677" s="151"/>
      <c r="F677" s="151"/>
      <c r="G677" s="151"/>
      <c r="H677" s="151"/>
      <c r="I677" s="151"/>
      <c r="J677" s="151"/>
      <c r="K677" s="151"/>
      <c r="L677" s="151"/>
      <c r="M677" s="151"/>
      <c r="N677" s="151"/>
      <c r="O677" s="151"/>
      <c r="P677" s="151"/>
      <c r="Q677" s="151"/>
      <c r="R677" s="151"/>
      <c r="S677" s="151"/>
      <c r="T677" s="151"/>
      <c r="U677" s="151"/>
      <c r="V677" s="151"/>
      <c r="W677" s="151"/>
      <c r="X677" s="151"/>
      <c r="Y677" s="151"/>
      <c r="Z677" s="151"/>
    </row>
    <row r="678">
      <c r="A678" s="151"/>
      <c r="B678" s="151"/>
      <c r="C678" s="179"/>
      <c r="D678" s="180"/>
      <c r="E678" s="151"/>
      <c r="F678" s="151"/>
      <c r="G678" s="151"/>
      <c r="H678" s="151"/>
      <c r="I678" s="151"/>
      <c r="J678" s="151"/>
      <c r="K678" s="151"/>
      <c r="L678" s="151"/>
      <c r="M678" s="151"/>
      <c r="N678" s="151"/>
      <c r="O678" s="151"/>
      <c r="P678" s="151"/>
      <c r="Q678" s="151"/>
      <c r="R678" s="151"/>
      <c r="S678" s="151"/>
      <c r="T678" s="151"/>
      <c r="U678" s="151"/>
      <c r="V678" s="151"/>
      <c r="W678" s="151"/>
      <c r="X678" s="151"/>
      <c r="Y678" s="151"/>
      <c r="Z678" s="151"/>
    </row>
    <row r="679">
      <c r="A679" s="151"/>
      <c r="B679" s="151"/>
      <c r="C679" s="179"/>
      <c r="D679" s="180"/>
      <c r="E679" s="151"/>
      <c r="F679" s="151"/>
      <c r="G679" s="151"/>
      <c r="H679" s="151"/>
      <c r="I679" s="151"/>
      <c r="J679" s="151"/>
      <c r="K679" s="151"/>
      <c r="L679" s="151"/>
      <c r="M679" s="151"/>
      <c r="N679" s="151"/>
      <c r="O679" s="151"/>
      <c r="P679" s="151"/>
      <c r="Q679" s="151"/>
      <c r="R679" s="151"/>
      <c r="S679" s="151"/>
      <c r="T679" s="151"/>
      <c r="U679" s="151"/>
      <c r="V679" s="151"/>
      <c r="W679" s="151"/>
      <c r="X679" s="151"/>
      <c r="Y679" s="151"/>
      <c r="Z679" s="151"/>
    </row>
    <row r="680">
      <c r="A680" s="151"/>
      <c r="B680" s="151"/>
      <c r="C680" s="179"/>
      <c r="D680" s="180"/>
      <c r="E680" s="151"/>
      <c r="F680" s="151"/>
      <c r="G680" s="151"/>
      <c r="H680" s="151"/>
      <c r="I680" s="151"/>
      <c r="J680" s="151"/>
      <c r="K680" s="151"/>
      <c r="L680" s="151"/>
      <c r="M680" s="151"/>
      <c r="N680" s="151"/>
      <c r="O680" s="151"/>
      <c r="P680" s="151"/>
      <c r="Q680" s="151"/>
      <c r="R680" s="151"/>
      <c r="S680" s="151"/>
      <c r="T680" s="151"/>
      <c r="U680" s="151"/>
      <c r="V680" s="151"/>
      <c r="W680" s="151"/>
      <c r="X680" s="151"/>
      <c r="Y680" s="151"/>
      <c r="Z680" s="151"/>
    </row>
    <row r="681">
      <c r="A681" s="151"/>
      <c r="B681" s="151"/>
      <c r="C681" s="179"/>
      <c r="D681" s="180"/>
      <c r="E681" s="151"/>
      <c r="F681" s="151"/>
      <c r="G681" s="151"/>
      <c r="H681" s="151"/>
      <c r="I681" s="151"/>
      <c r="J681" s="151"/>
      <c r="K681" s="151"/>
      <c r="L681" s="151"/>
      <c r="M681" s="151"/>
      <c r="N681" s="151"/>
      <c r="O681" s="151"/>
      <c r="P681" s="151"/>
      <c r="Q681" s="151"/>
      <c r="R681" s="151"/>
      <c r="S681" s="151"/>
      <c r="T681" s="151"/>
      <c r="U681" s="151"/>
      <c r="V681" s="151"/>
      <c r="W681" s="151"/>
      <c r="X681" s="151"/>
      <c r="Y681" s="151"/>
      <c r="Z681" s="151"/>
    </row>
    <row r="682">
      <c r="A682" s="151"/>
      <c r="B682" s="151"/>
      <c r="C682" s="179"/>
      <c r="D682" s="180"/>
      <c r="E682" s="151"/>
      <c r="F682" s="151"/>
      <c r="G682" s="151"/>
      <c r="H682" s="151"/>
      <c r="I682" s="151"/>
      <c r="J682" s="151"/>
      <c r="K682" s="151"/>
      <c r="L682" s="151"/>
      <c r="M682" s="151"/>
      <c r="N682" s="151"/>
      <c r="O682" s="151"/>
      <c r="P682" s="151"/>
      <c r="Q682" s="151"/>
      <c r="R682" s="151"/>
      <c r="S682" s="151"/>
      <c r="T682" s="151"/>
      <c r="U682" s="151"/>
      <c r="V682" s="151"/>
      <c r="W682" s="151"/>
      <c r="X682" s="151"/>
      <c r="Y682" s="151"/>
      <c r="Z682" s="151"/>
    </row>
    <row r="683">
      <c r="A683" s="151"/>
      <c r="B683" s="151"/>
      <c r="C683" s="179"/>
      <c r="D683" s="180"/>
      <c r="E683" s="151"/>
      <c r="F683" s="151"/>
      <c r="G683" s="151"/>
      <c r="H683" s="151"/>
      <c r="I683" s="151"/>
      <c r="J683" s="151"/>
      <c r="K683" s="151"/>
      <c r="L683" s="151"/>
      <c r="M683" s="151"/>
      <c r="N683" s="151"/>
      <c r="O683" s="151"/>
      <c r="P683" s="151"/>
      <c r="Q683" s="151"/>
      <c r="R683" s="151"/>
      <c r="S683" s="151"/>
      <c r="T683" s="151"/>
      <c r="U683" s="151"/>
      <c r="V683" s="151"/>
      <c r="W683" s="151"/>
      <c r="X683" s="151"/>
      <c r="Y683" s="151"/>
      <c r="Z683" s="151"/>
    </row>
    <row r="684">
      <c r="A684" s="151"/>
      <c r="B684" s="151"/>
      <c r="C684" s="179"/>
      <c r="D684" s="180"/>
      <c r="E684" s="151"/>
      <c r="F684" s="151"/>
      <c r="G684" s="151"/>
      <c r="H684" s="151"/>
      <c r="I684" s="151"/>
      <c r="J684" s="151"/>
      <c r="K684" s="151"/>
      <c r="L684" s="151"/>
      <c r="M684" s="151"/>
      <c r="N684" s="151"/>
      <c r="O684" s="151"/>
      <c r="P684" s="151"/>
      <c r="Q684" s="151"/>
      <c r="R684" s="151"/>
      <c r="S684" s="151"/>
      <c r="T684" s="151"/>
      <c r="U684" s="151"/>
      <c r="V684" s="151"/>
      <c r="W684" s="151"/>
      <c r="X684" s="151"/>
      <c r="Y684" s="151"/>
      <c r="Z684" s="151"/>
    </row>
    <row r="685">
      <c r="A685" s="151"/>
      <c r="B685" s="151"/>
      <c r="C685" s="179"/>
      <c r="D685" s="180"/>
      <c r="E685" s="151"/>
      <c r="F685" s="151"/>
      <c r="G685" s="151"/>
      <c r="H685" s="151"/>
      <c r="I685" s="151"/>
      <c r="J685" s="151"/>
      <c r="K685" s="151"/>
      <c r="L685" s="151"/>
      <c r="M685" s="151"/>
      <c r="N685" s="151"/>
      <c r="O685" s="151"/>
      <c r="P685" s="151"/>
      <c r="Q685" s="151"/>
      <c r="R685" s="151"/>
      <c r="S685" s="151"/>
      <c r="T685" s="151"/>
      <c r="U685" s="151"/>
      <c r="V685" s="151"/>
      <c r="W685" s="151"/>
      <c r="X685" s="151"/>
      <c r="Y685" s="151"/>
      <c r="Z685" s="151"/>
    </row>
    <row r="686">
      <c r="A686" s="151"/>
      <c r="B686" s="151"/>
      <c r="C686" s="179"/>
      <c r="D686" s="180"/>
      <c r="E686" s="151"/>
      <c r="F686" s="151"/>
      <c r="G686" s="151"/>
      <c r="H686" s="151"/>
      <c r="I686" s="151"/>
      <c r="J686" s="151"/>
      <c r="K686" s="151"/>
      <c r="L686" s="151"/>
      <c r="M686" s="151"/>
      <c r="N686" s="151"/>
      <c r="O686" s="151"/>
      <c r="P686" s="151"/>
      <c r="Q686" s="151"/>
      <c r="R686" s="151"/>
      <c r="S686" s="151"/>
      <c r="T686" s="151"/>
      <c r="U686" s="151"/>
      <c r="V686" s="151"/>
      <c r="W686" s="151"/>
      <c r="X686" s="151"/>
      <c r="Y686" s="151"/>
      <c r="Z686" s="151"/>
    </row>
    <row r="687">
      <c r="A687" s="151"/>
      <c r="B687" s="151"/>
      <c r="C687" s="179"/>
      <c r="D687" s="180"/>
      <c r="E687" s="151"/>
      <c r="F687" s="151"/>
      <c r="G687" s="151"/>
      <c r="H687" s="151"/>
      <c r="I687" s="151"/>
      <c r="J687" s="151"/>
      <c r="K687" s="151"/>
      <c r="L687" s="151"/>
      <c r="M687" s="151"/>
      <c r="N687" s="151"/>
      <c r="O687" s="151"/>
      <c r="P687" s="151"/>
      <c r="Q687" s="151"/>
      <c r="R687" s="151"/>
      <c r="S687" s="151"/>
      <c r="T687" s="151"/>
      <c r="U687" s="151"/>
      <c r="V687" s="151"/>
      <c r="W687" s="151"/>
      <c r="X687" s="151"/>
      <c r="Y687" s="151"/>
      <c r="Z687" s="151"/>
    </row>
    <row r="688">
      <c r="A688" s="151"/>
      <c r="B688" s="151"/>
      <c r="C688" s="179"/>
      <c r="D688" s="180"/>
      <c r="E688" s="151"/>
      <c r="F688" s="151"/>
      <c r="G688" s="151"/>
      <c r="H688" s="151"/>
      <c r="I688" s="151"/>
      <c r="J688" s="151"/>
      <c r="K688" s="151"/>
      <c r="L688" s="151"/>
      <c r="M688" s="151"/>
      <c r="N688" s="151"/>
      <c r="O688" s="151"/>
      <c r="P688" s="151"/>
      <c r="Q688" s="151"/>
      <c r="R688" s="151"/>
      <c r="S688" s="151"/>
      <c r="T688" s="151"/>
      <c r="U688" s="151"/>
      <c r="V688" s="151"/>
      <c r="W688" s="151"/>
      <c r="X688" s="151"/>
      <c r="Y688" s="151"/>
      <c r="Z688" s="151"/>
    </row>
    <row r="689">
      <c r="A689" s="151"/>
      <c r="B689" s="151"/>
      <c r="C689" s="179"/>
      <c r="D689" s="180"/>
      <c r="E689" s="151"/>
      <c r="F689" s="151"/>
      <c r="G689" s="151"/>
      <c r="H689" s="151"/>
      <c r="I689" s="151"/>
      <c r="J689" s="151"/>
      <c r="K689" s="151"/>
      <c r="L689" s="151"/>
      <c r="M689" s="151"/>
      <c r="N689" s="151"/>
      <c r="O689" s="151"/>
      <c r="P689" s="151"/>
      <c r="Q689" s="151"/>
      <c r="R689" s="151"/>
      <c r="S689" s="151"/>
      <c r="T689" s="151"/>
      <c r="U689" s="151"/>
      <c r="V689" s="151"/>
      <c r="W689" s="151"/>
      <c r="X689" s="151"/>
      <c r="Y689" s="151"/>
      <c r="Z689" s="151"/>
    </row>
    <row r="690">
      <c r="A690" s="151"/>
      <c r="B690" s="151"/>
      <c r="C690" s="179"/>
      <c r="D690" s="180"/>
      <c r="E690" s="151"/>
      <c r="F690" s="151"/>
      <c r="G690" s="151"/>
      <c r="H690" s="151"/>
      <c r="I690" s="151"/>
      <c r="J690" s="151"/>
      <c r="K690" s="151"/>
      <c r="L690" s="151"/>
      <c r="M690" s="151"/>
      <c r="N690" s="151"/>
      <c r="O690" s="151"/>
      <c r="P690" s="151"/>
      <c r="Q690" s="151"/>
      <c r="R690" s="151"/>
      <c r="S690" s="151"/>
      <c r="T690" s="151"/>
      <c r="U690" s="151"/>
      <c r="V690" s="151"/>
      <c r="W690" s="151"/>
      <c r="X690" s="151"/>
      <c r="Y690" s="151"/>
      <c r="Z690" s="151"/>
    </row>
    <row r="691">
      <c r="A691" s="151"/>
      <c r="B691" s="151"/>
      <c r="C691" s="179"/>
      <c r="D691" s="180"/>
      <c r="E691" s="151"/>
      <c r="F691" s="151"/>
      <c r="G691" s="151"/>
      <c r="H691" s="151"/>
      <c r="I691" s="151"/>
      <c r="J691" s="151"/>
      <c r="K691" s="151"/>
      <c r="L691" s="151"/>
      <c r="M691" s="151"/>
      <c r="N691" s="151"/>
      <c r="O691" s="151"/>
      <c r="P691" s="151"/>
      <c r="Q691" s="151"/>
      <c r="R691" s="151"/>
      <c r="S691" s="151"/>
      <c r="T691" s="151"/>
      <c r="U691" s="151"/>
      <c r="V691" s="151"/>
      <c r="W691" s="151"/>
      <c r="X691" s="151"/>
      <c r="Y691" s="151"/>
      <c r="Z691" s="151"/>
    </row>
    <row r="692">
      <c r="A692" s="151"/>
      <c r="B692" s="151"/>
      <c r="C692" s="179"/>
      <c r="D692" s="180"/>
      <c r="E692" s="151"/>
      <c r="F692" s="151"/>
      <c r="G692" s="151"/>
      <c r="H692" s="151"/>
      <c r="I692" s="151"/>
      <c r="J692" s="151"/>
      <c r="K692" s="151"/>
      <c r="L692" s="151"/>
      <c r="M692" s="151"/>
      <c r="N692" s="151"/>
      <c r="O692" s="151"/>
      <c r="P692" s="151"/>
      <c r="Q692" s="151"/>
      <c r="R692" s="151"/>
      <c r="S692" s="151"/>
      <c r="T692" s="151"/>
      <c r="U692" s="151"/>
      <c r="V692" s="151"/>
      <c r="W692" s="151"/>
      <c r="X692" s="151"/>
      <c r="Y692" s="151"/>
      <c r="Z692" s="151"/>
    </row>
    <row r="693">
      <c r="A693" s="151"/>
      <c r="B693" s="151"/>
      <c r="C693" s="179"/>
      <c r="D693" s="180"/>
      <c r="E693" s="151"/>
      <c r="F693" s="151"/>
      <c r="G693" s="151"/>
      <c r="H693" s="151"/>
      <c r="I693" s="151"/>
      <c r="J693" s="151"/>
      <c r="K693" s="151"/>
      <c r="L693" s="151"/>
      <c r="M693" s="151"/>
      <c r="N693" s="151"/>
      <c r="O693" s="151"/>
      <c r="P693" s="151"/>
      <c r="Q693" s="151"/>
      <c r="R693" s="151"/>
      <c r="S693" s="151"/>
      <c r="T693" s="151"/>
      <c r="U693" s="151"/>
      <c r="V693" s="151"/>
      <c r="W693" s="151"/>
      <c r="X693" s="151"/>
      <c r="Y693" s="151"/>
      <c r="Z693" s="151"/>
    </row>
    <row r="694">
      <c r="A694" s="151"/>
      <c r="B694" s="151"/>
      <c r="C694" s="179"/>
      <c r="D694" s="180"/>
      <c r="E694" s="151"/>
      <c r="F694" s="151"/>
      <c r="G694" s="151"/>
      <c r="H694" s="151"/>
      <c r="I694" s="151"/>
      <c r="J694" s="151"/>
      <c r="K694" s="151"/>
      <c r="L694" s="151"/>
      <c r="M694" s="151"/>
      <c r="N694" s="151"/>
      <c r="O694" s="151"/>
      <c r="P694" s="151"/>
      <c r="Q694" s="151"/>
      <c r="R694" s="151"/>
      <c r="S694" s="151"/>
      <c r="T694" s="151"/>
      <c r="U694" s="151"/>
      <c r="V694" s="151"/>
      <c r="W694" s="151"/>
      <c r="X694" s="151"/>
      <c r="Y694" s="151"/>
      <c r="Z694" s="151"/>
    </row>
    <row r="695">
      <c r="A695" s="151"/>
      <c r="B695" s="151"/>
      <c r="C695" s="179"/>
      <c r="D695" s="180"/>
      <c r="E695" s="151"/>
      <c r="F695" s="151"/>
      <c r="G695" s="151"/>
      <c r="H695" s="151"/>
      <c r="I695" s="151"/>
      <c r="J695" s="151"/>
      <c r="K695" s="151"/>
      <c r="L695" s="151"/>
      <c r="M695" s="151"/>
      <c r="N695" s="151"/>
      <c r="O695" s="151"/>
      <c r="P695" s="151"/>
      <c r="Q695" s="151"/>
      <c r="R695" s="151"/>
      <c r="S695" s="151"/>
      <c r="T695" s="151"/>
      <c r="U695" s="151"/>
      <c r="V695" s="151"/>
      <c r="W695" s="151"/>
      <c r="X695" s="151"/>
      <c r="Y695" s="151"/>
      <c r="Z695" s="151"/>
    </row>
    <row r="696">
      <c r="A696" s="151"/>
      <c r="B696" s="151"/>
      <c r="C696" s="179"/>
      <c r="D696" s="180"/>
      <c r="E696" s="151"/>
      <c r="F696" s="151"/>
      <c r="G696" s="151"/>
      <c r="H696" s="151"/>
      <c r="I696" s="151"/>
      <c r="J696" s="151"/>
      <c r="K696" s="151"/>
      <c r="L696" s="151"/>
      <c r="M696" s="151"/>
      <c r="N696" s="151"/>
      <c r="O696" s="151"/>
      <c r="P696" s="151"/>
      <c r="Q696" s="151"/>
      <c r="R696" s="151"/>
      <c r="S696" s="151"/>
      <c r="T696" s="151"/>
      <c r="U696" s="151"/>
      <c r="V696" s="151"/>
      <c r="W696" s="151"/>
      <c r="X696" s="151"/>
      <c r="Y696" s="151"/>
      <c r="Z696" s="151"/>
    </row>
    <row r="697">
      <c r="A697" s="151"/>
      <c r="B697" s="151"/>
      <c r="C697" s="179"/>
      <c r="D697" s="180"/>
      <c r="E697" s="151"/>
      <c r="F697" s="151"/>
      <c r="G697" s="151"/>
      <c r="H697" s="151"/>
      <c r="I697" s="151"/>
      <c r="J697" s="151"/>
      <c r="K697" s="151"/>
      <c r="L697" s="151"/>
      <c r="M697" s="151"/>
      <c r="N697" s="151"/>
      <c r="O697" s="151"/>
      <c r="P697" s="151"/>
      <c r="Q697" s="151"/>
      <c r="R697" s="151"/>
      <c r="S697" s="151"/>
      <c r="T697" s="151"/>
      <c r="U697" s="151"/>
      <c r="V697" s="151"/>
      <c r="W697" s="151"/>
      <c r="X697" s="151"/>
      <c r="Y697" s="151"/>
      <c r="Z697" s="151"/>
    </row>
    <row r="698">
      <c r="A698" s="151"/>
      <c r="B698" s="151"/>
      <c r="C698" s="179"/>
      <c r="D698" s="180"/>
      <c r="E698" s="151"/>
      <c r="F698" s="151"/>
      <c r="G698" s="151"/>
      <c r="H698" s="151"/>
      <c r="I698" s="151"/>
      <c r="J698" s="151"/>
      <c r="K698" s="151"/>
      <c r="L698" s="151"/>
      <c r="M698" s="151"/>
      <c r="N698" s="151"/>
      <c r="O698" s="151"/>
      <c r="P698" s="151"/>
      <c r="Q698" s="151"/>
      <c r="R698" s="151"/>
      <c r="S698" s="151"/>
      <c r="T698" s="151"/>
      <c r="U698" s="151"/>
      <c r="V698" s="151"/>
      <c r="W698" s="151"/>
      <c r="X698" s="151"/>
      <c r="Y698" s="151"/>
      <c r="Z698" s="151"/>
    </row>
    <row r="699">
      <c r="A699" s="151"/>
      <c r="B699" s="151"/>
      <c r="C699" s="179"/>
      <c r="D699" s="180"/>
      <c r="E699" s="151"/>
      <c r="F699" s="151"/>
      <c r="G699" s="151"/>
      <c r="H699" s="151"/>
      <c r="I699" s="151"/>
      <c r="J699" s="151"/>
      <c r="K699" s="151"/>
      <c r="L699" s="151"/>
      <c r="M699" s="151"/>
      <c r="N699" s="151"/>
      <c r="O699" s="151"/>
      <c r="P699" s="151"/>
      <c r="Q699" s="151"/>
      <c r="R699" s="151"/>
      <c r="S699" s="151"/>
      <c r="T699" s="151"/>
      <c r="U699" s="151"/>
      <c r="V699" s="151"/>
      <c r="W699" s="151"/>
      <c r="X699" s="151"/>
      <c r="Y699" s="151"/>
      <c r="Z699" s="151"/>
    </row>
    <row r="700">
      <c r="A700" s="151"/>
      <c r="B700" s="151"/>
      <c r="C700" s="179"/>
      <c r="D700" s="180"/>
      <c r="E700" s="151"/>
      <c r="F700" s="151"/>
      <c r="G700" s="151"/>
      <c r="H700" s="151"/>
      <c r="I700" s="151"/>
      <c r="J700" s="151"/>
      <c r="K700" s="151"/>
      <c r="L700" s="151"/>
      <c r="M700" s="151"/>
      <c r="N700" s="151"/>
      <c r="O700" s="151"/>
      <c r="P700" s="151"/>
      <c r="Q700" s="151"/>
      <c r="R700" s="151"/>
      <c r="S700" s="151"/>
      <c r="T700" s="151"/>
      <c r="U700" s="151"/>
      <c r="V700" s="151"/>
      <c r="W700" s="151"/>
      <c r="X700" s="151"/>
      <c r="Y700" s="151"/>
      <c r="Z700" s="151"/>
    </row>
    <row r="701">
      <c r="A701" s="151"/>
      <c r="B701" s="151"/>
      <c r="C701" s="179"/>
      <c r="D701" s="180"/>
      <c r="E701" s="151"/>
      <c r="F701" s="151"/>
      <c r="G701" s="151"/>
      <c r="H701" s="151"/>
      <c r="I701" s="151"/>
      <c r="J701" s="151"/>
      <c r="K701" s="151"/>
      <c r="L701" s="151"/>
      <c r="M701" s="151"/>
      <c r="N701" s="151"/>
      <c r="O701" s="151"/>
      <c r="P701" s="151"/>
      <c r="Q701" s="151"/>
      <c r="R701" s="151"/>
      <c r="S701" s="151"/>
      <c r="T701" s="151"/>
      <c r="U701" s="151"/>
      <c r="V701" s="151"/>
      <c r="W701" s="151"/>
      <c r="X701" s="151"/>
      <c r="Y701" s="151"/>
      <c r="Z701" s="151"/>
    </row>
    <row r="702">
      <c r="A702" s="151"/>
      <c r="B702" s="151"/>
      <c r="C702" s="179"/>
      <c r="D702" s="180"/>
      <c r="E702" s="151"/>
      <c r="F702" s="151"/>
      <c r="G702" s="151"/>
      <c r="H702" s="151"/>
      <c r="I702" s="151"/>
      <c r="J702" s="151"/>
      <c r="K702" s="151"/>
      <c r="L702" s="151"/>
      <c r="M702" s="151"/>
      <c r="N702" s="151"/>
      <c r="O702" s="151"/>
      <c r="P702" s="151"/>
      <c r="Q702" s="151"/>
      <c r="R702" s="151"/>
      <c r="S702" s="151"/>
      <c r="T702" s="151"/>
      <c r="U702" s="151"/>
      <c r="V702" s="151"/>
      <c r="W702" s="151"/>
      <c r="X702" s="151"/>
      <c r="Y702" s="151"/>
      <c r="Z702" s="151"/>
    </row>
    <row r="703">
      <c r="A703" s="151"/>
      <c r="B703" s="151"/>
      <c r="C703" s="179"/>
      <c r="D703" s="180"/>
      <c r="E703" s="151"/>
      <c r="F703" s="151"/>
      <c r="G703" s="151"/>
      <c r="H703" s="151"/>
      <c r="I703" s="151"/>
      <c r="J703" s="151"/>
      <c r="K703" s="151"/>
      <c r="L703" s="151"/>
      <c r="M703" s="151"/>
      <c r="N703" s="151"/>
      <c r="O703" s="151"/>
      <c r="P703" s="151"/>
      <c r="Q703" s="151"/>
      <c r="R703" s="151"/>
      <c r="S703" s="151"/>
      <c r="T703" s="151"/>
      <c r="U703" s="151"/>
      <c r="V703" s="151"/>
      <c r="W703" s="151"/>
      <c r="X703" s="151"/>
      <c r="Y703" s="151"/>
      <c r="Z703" s="151"/>
    </row>
    <row r="704">
      <c r="A704" s="151"/>
      <c r="B704" s="151"/>
      <c r="C704" s="179"/>
      <c r="D704" s="180"/>
      <c r="E704" s="151"/>
      <c r="F704" s="151"/>
      <c r="G704" s="151"/>
      <c r="H704" s="151"/>
      <c r="I704" s="151"/>
      <c r="J704" s="151"/>
      <c r="K704" s="151"/>
      <c r="L704" s="151"/>
      <c r="M704" s="151"/>
      <c r="N704" s="151"/>
      <c r="O704" s="151"/>
      <c r="P704" s="151"/>
      <c r="Q704" s="151"/>
      <c r="R704" s="151"/>
      <c r="S704" s="151"/>
      <c r="T704" s="151"/>
      <c r="U704" s="151"/>
      <c r="V704" s="151"/>
      <c r="W704" s="151"/>
      <c r="X704" s="151"/>
      <c r="Y704" s="151"/>
      <c r="Z704" s="151"/>
    </row>
    <row r="705">
      <c r="A705" s="151"/>
      <c r="B705" s="151"/>
      <c r="C705" s="179"/>
      <c r="D705" s="180"/>
      <c r="E705" s="151"/>
      <c r="F705" s="151"/>
      <c r="G705" s="151"/>
      <c r="H705" s="151"/>
      <c r="I705" s="151"/>
      <c r="J705" s="151"/>
      <c r="K705" s="151"/>
      <c r="L705" s="151"/>
      <c r="M705" s="151"/>
      <c r="N705" s="151"/>
      <c r="O705" s="151"/>
      <c r="P705" s="151"/>
      <c r="Q705" s="151"/>
      <c r="R705" s="151"/>
      <c r="S705" s="151"/>
      <c r="T705" s="151"/>
      <c r="U705" s="151"/>
      <c r="V705" s="151"/>
      <c r="W705" s="151"/>
      <c r="X705" s="151"/>
      <c r="Y705" s="151"/>
      <c r="Z705" s="151"/>
    </row>
    <row r="706">
      <c r="A706" s="151"/>
      <c r="B706" s="151"/>
      <c r="C706" s="179"/>
      <c r="D706" s="180"/>
      <c r="E706" s="151"/>
      <c r="F706" s="151"/>
      <c r="G706" s="151"/>
      <c r="H706" s="151"/>
      <c r="I706" s="151"/>
      <c r="J706" s="151"/>
      <c r="K706" s="151"/>
      <c r="L706" s="151"/>
      <c r="M706" s="151"/>
      <c r="N706" s="151"/>
      <c r="O706" s="151"/>
      <c r="P706" s="151"/>
      <c r="Q706" s="151"/>
      <c r="R706" s="151"/>
      <c r="S706" s="151"/>
      <c r="T706" s="151"/>
      <c r="U706" s="151"/>
      <c r="V706" s="151"/>
      <c r="W706" s="151"/>
      <c r="X706" s="151"/>
      <c r="Y706" s="151"/>
      <c r="Z706" s="151"/>
    </row>
    <row r="707">
      <c r="A707" s="151"/>
      <c r="B707" s="151"/>
      <c r="C707" s="179"/>
      <c r="D707" s="180"/>
      <c r="E707" s="151"/>
      <c r="F707" s="151"/>
      <c r="G707" s="151"/>
      <c r="H707" s="151"/>
      <c r="I707" s="151"/>
      <c r="J707" s="151"/>
      <c r="K707" s="151"/>
      <c r="L707" s="151"/>
      <c r="M707" s="151"/>
      <c r="N707" s="151"/>
      <c r="O707" s="151"/>
      <c r="P707" s="151"/>
      <c r="Q707" s="151"/>
      <c r="R707" s="151"/>
      <c r="S707" s="151"/>
      <c r="T707" s="151"/>
      <c r="U707" s="151"/>
      <c r="V707" s="151"/>
      <c r="W707" s="151"/>
      <c r="X707" s="151"/>
      <c r="Y707" s="151"/>
      <c r="Z707" s="151"/>
    </row>
    <row r="708">
      <c r="A708" s="151"/>
      <c r="B708" s="151"/>
      <c r="C708" s="179"/>
      <c r="D708" s="180"/>
      <c r="E708" s="151"/>
      <c r="F708" s="151"/>
      <c r="G708" s="151"/>
      <c r="H708" s="151"/>
      <c r="I708" s="151"/>
      <c r="J708" s="151"/>
      <c r="K708" s="151"/>
      <c r="L708" s="151"/>
      <c r="M708" s="151"/>
      <c r="N708" s="151"/>
      <c r="O708" s="151"/>
      <c r="P708" s="151"/>
      <c r="Q708" s="151"/>
      <c r="R708" s="151"/>
      <c r="S708" s="151"/>
      <c r="T708" s="151"/>
      <c r="U708" s="151"/>
      <c r="V708" s="151"/>
      <c r="W708" s="151"/>
      <c r="X708" s="151"/>
      <c r="Y708" s="151"/>
      <c r="Z708" s="151"/>
    </row>
    <row r="709">
      <c r="A709" s="151"/>
      <c r="B709" s="151"/>
      <c r="C709" s="179"/>
      <c r="D709" s="180"/>
      <c r="E709" s="151"/>
      <c r="F709" s="151"/>
      <c r="G709" s="151"/>
      <c r="H709" s="151"/>
      <c r="I709" s="151"/>
      <c r="J709" s="151"/>
      <c r="K709" s="151"/>
      <c r="L709" s="151"/>
      <c r="M709" s="151"/>
      <c r="N709" s="151"/>
      <c r="O709" s="151"/>
      <c r="P709" s="151"/>
      <c r="Q709" s="151"/>
      <c r="R709" s="151"/>
      <c r="S709" s="151"/>
      <c r="T709" s="151"/>
      <c r="U709" s="151"/>
      <c r="V709" s="151"/>
      <c r="W709" s="151"/>
      <c r="X709" s="151"/>
      <c r="Y709" s="151"/>
      <c r="Z709" s="151"/>
    </row>
    <row r="710">
      <c r="A710" s="151"/>
      <c r="B710" s="151"/>
      <c r="C710" s="179"/>
      <c r="D710" s="180"/>
      <c r="E710" s="151"/>
      <c r="F710" s="151"/>
      <c r="G710" s="151"/>
      <c r="H710" s="151"/>
      <c r="I710" s="151"/>
      <c r="J710" s="151"/>
      <c r="K710" s="151"/>
      <c r="L710" s="151"/>
      <c r="M710" s="151"/>
      <c r="N710" s="151"/>
      <c r="O710" s="151"/>
      <c r="P710" s="151"/>
      <c r="Q710" s="151"/>
      <c r="R710" s="151"/>
      <c r="S710" s="151"/>
      <c r="T710" s="151"/>
      <c r="U710" s="151"/>
      <c r="V710" s="151"/>
      <c r="W710" s="151"/>
      <c r="X710" s="151"/>
      <c r="Y710" s="151"/>
      <c r="Z710" s="151"/>
    </row>
    <row r="711">
      <c r="A711" s="151"/>
      <c r="B711" s="151"/>
      <c r="C711" s="179"/>
      <c r="D711" s="180"/>
      <c r="E711" s="151"/>
      <c r="F711" s="151"/>
      <c r="G711" s="151"/>
      <c r="H711" s="151"/>
      <c r="I711" s="151"/>
      <c r="J711" s="151"/>
      <c r="K711" s="151"/>
      <c r="L711" s="151"/>
      <c r="M711" s="151"/>
      <c r="N711" s="151"/>
      <c r="O711" s="151"/>
      <c r="P711" s="151"/>
      <c r="Q711" s="151"/>
      <c r="R711" s="151"/>
      <c r="S711" s="151"/>
      <c r="T711" s="151"/>
      <c r="U711" s="151"/>
      <c r="V711" s="151"/>
      <c r="W711" s="151"/>
      <c r="X711" s="151"/>
      <c r="Y711" s="151"/>
      <c r="Z711" s="151"/>
    </row>
    <row r="712">
      <c r="A712" s="151"/>
      <c r="B712" s="151"/>
      <c r="C712" s="179"/>
      <c r="D712" s="180"/>
      <c r="E712" s="151"/>
      <c r="F712" s="151"/>
      <c r="G712" s="151"/>
      <c r="H712" s="151"/>
      <c r="I712" s="151"/>
      <c r="J712" s="151"/>
      <c r="K712" s="151"/>
      <c r="L712" s="151"/>
      <c r="M712" s="151"/>
      <c r="N712" s="151"/>
      <c r="O712" s="151"/>
      <c r="P712" s="151"/>
      <c r="Q712" s="151"/>
      <c r="R712" s="151"/>
      <c r="S712" s="151"/>
      <c r="T712" s="151"/>
      <c r="U712" s="151"/>
      <c r="V712" s="151"/>
      <c r="W712" s="151"/>
      <c r="X712" s="151"/>
      <c r="Y712" s="151"/>
      <c r="Z712" s="151"/>
    </row>
    <row r="713">
      <c r="A713" s="151"/>
      <c r="B713" s="151"/>
      <c r="C713" s="179"/>
      <c r="D713" s="180"/>
      <c r="E713" s="151"/>
      <c r="F713" s="151"/>
      <c r="G713" s="151"/>
      <c r="H713" s="151"/>
      <c r="I713" s="151"/>
      <c r="J713" s="151"/>
      <c r="K713" s="151"/>
      <c r="L713" s="151"/>
      <c r="M713" s="151"/>
      <c r="N713" s="151"/>
      <c r="O713" s="151"/>
      <c r="P713" s="151"/>
      <c r="Q713" s="151"/>
      <c r="R713" s="151"/>
      <c r="S713" s="151"/>
      <c r="T713" s="151"/>
      <c r="U713" s="151"/>
      <c r="V713" s="151"/>
      <c r="W713" s="151"/>
      <c r="X713" s="151"/>
      <c r="Y713" s="151"/>
      <c r="Z713" s="151"/>
    </row>
    <row r="714">
      <c r="A714" s="151"/>
      <c r="B714" s="151"/>
      <c r="C714" s="179"/>
      <c r="D714" s="180"/>
      <c r="E714" s="151"/>
      <c r="F714" s="151"/>
      <c r="G714" s="151"/>
      <c r="H714" s="151"/>
      <c r="I714" s="151"/>
      <c r="J714" s="151"/>
      <c r="K714" s="151"/>
      <c r="L714" s="151"/>
      <c r="M714" s="151"/>
      <c r="N714" s="151"/>
      <c r="O714" s="151"/>
      <c r="P714" s="151"/>
      <c r="Q714" s="151"/>
      <c r="R714" s="151"/>
      <c r="S714" s="151"/>
      <c r="T714" s="151"/>
      <c r="U714" s="151"/>
      <c r="V714" s="151"/>
      <c r="W714" s="151"/>
      <c r="X714" s="151"/>
      <c r="Y714" s="151"/>
      <c r="Z714" s="151"/>
    </row>
    <row r="715">
      <c r="A715" s="151"/>
      <c r="B715" s="151"/>
      <c r="C715" s="179"/>
      <c r="D715" s="180"/>
      <c r="E715" s="151"/>
      <c r="F715" s="151"/>
      <c r="G715" s="151"/>
      <c r="H715" s="151"/>
      <c r="I715" s="151"/>
      <c r="J715" s="151"/>
      <c r="K715" s="151"/>
      <c r="L715" s="151"/>
      <c r="M715" s="151"/>
      <c r="N715" s="151"/>
      <c r="O715" s="151"/>
      <c r="P715" s="151"/>
      <c r="Q715" s="151"/>
      <c r="R715" s="151"/>
      <c r="S715" s="151"/>
      <c r="T715" s="151"/>
      <c r="U715" s="151"/>
      <c r="V715" s="151"/>
      <c r="W715" s="151"/>
      <c r="X715" s="151"/>
      <c r="Y715" s="151"/>
      <c r="Z715" s="151"/>
    </row>
    <row r="716">
      <c r="A716" s="151"/>
      <c r="B716" s="151"/>
      <c r="C716" s="179"/>
      <c r="D716" s="180"/>
      <c r="E716" s="151"/>
      <c r="F716" s="151"/>
      <c r="G716" s="151"/>
      <c r="H716" s="151"/>
      <c r="I716" s="151"/>
      <c r="J716" s="151"/>
      <c r="K716" s="151"/>
      <c r="L716" s="151"/>
      <c r="M716" s="151"/>
      <c r="N716" s="151"/>
      <c r="O716" s="151"/>
      <c r="P716" s="151"/>
      <c r="Q716" s="151"/>
      <c r="R716" s="151"/>
      <c r="S716" s="151"/>
      <c r="T716" s="151"/>
      <c r="U716" s="151"/>
      <c r="V716" s="151"/>
      <c r="W716" s="151"/>
      <c r="X716" s="151"/>
      <c r="Y716" s="151"/>
      <c r="Z716" s="151"/>
    </row>
    <row r="717">
      <c r="A717" s="151"/>
      <c r="B717" s="151"/>
      <c r="C717" s="179"/>
      <c r="D717" s="180"/>
      <c r="E717" s="151"/>
      <c r="F717" s="151"/>
      <c r="G717" s="151"/>
      <c r="H717" s="151"/>
      <c r="I717" s="151"/>
      <c r="J717" s="151"/>
      <c r="K717" s="151"/>
      <c r="L717" s="151"/>
      <c r="M717" s="151"/>
      <c r="N717" s="151"/>
      <c r="O717" s="151"/>
      <c r="P717" s="151"/>
      <c r="Q717" s="151"/>
      <c r="R717" s="151"/>
      <c r="S717" s="151"/>
      <c r="T717" s="151"/>
      <c r="U717" s="151"/>
      <c r="V717" s="151"/>
      <c r="W717" s="151"/>
      <c r="X717" s="151"/>
      <c r="Y717" s="151"/>
      <c r="Z717" s="151"/>
    </row>
    <row r="718">
      <c r="A718" s="151"/>
      <c r="B718" s="151"/>
      <c r="C718" s="179"/>
      <c r="D718" s="180"/>
      <c r="E718" s="151"/>
      <c r="F718" s="151"/>
      <c r="G718" s="151"/>
      <c r="H718" s="151"/>
      <c r="I718" s="151"/>
      <c r="J718" s="151"/>
      <c r="K718" s="151"/>
      <c r="L718" s="151"/>
      <c r="M718" s="151"/>
      <c r="N718" s="151"/>
      <c r="O718" s="151"/>
      <c r="P718" s="151"/>
      <c r="Q718" s="151"/>
      <c r="R718" s="151"/>
      <c r="S718" s="151"/>
      <c r="T718" s="151"/>
      <c r="U718" s="151"/>
      <c r="V718" s="151"/>
      <c r="W718" s="151"/>
      <c r="X718" s="151"/>
      <c r="Y718" s="151"/>
      <c r="Z718" s="151"/>
    </row>
    <row r="719">
      <c r="A719" s="151"/>
      <c r="B719" s="151"/>
      <c r="C719" s="179"/>
      <c r="D719" s="180"/>
      <c r="E719" s="151"/>
      <c r="F719" s="151"/>
      <c r="G719" s="151"/>
      <c r="H719" s="151"/>
      <c r="I719" s="151"/>
      <c r="J719" s="151"/>
      <c r="K719" s="151"/>
      <c r="L719" s="151"/>
      <c r="M719" s="151"/>
      <c r="N719" s="151"/>
      <c r="O719" s="151"/>
      <c r="P719" s="151"/>
      <c r="Q719" s="151"/>
      <c r="R719" s="151"/>
      <c r="S719" s="151"/>
      <c r="T719" s="151"/>
      <c r="U719" s="151"/>
      <c r="V719" s="151"/>
      <c r="W719" s="151"/>
      <c r="X719" s="151"/>
      <c r="Y719" s="151"/>
      <c r="Z719" s="151"/>
    </row>
    <row r="720">
      <c r="A720" s="151"/>
      <c r="B720" s="151"/>
      <c r="C720" s="179"/>
      <c r="D720" s="180"/>
      <c r="E720" s="151"/>
      <c r="F720" s="151"/>
      <c r="G720" s="151"/>
      <c r="H720" s="151"/>
      <c r="I720" s="151"/>
      <c r="J720" s="151"/>
      <c r="K720" s="151"/>
      <c r="L720" s="151"/>
      <c r="M720" s="151"/>
      <c r="N720" s="151"/>
      <c r="O720" s="151"/>
      <c r="P720" s="151"/>
      <c r="Q720" s="151"/>
      <c r="R720" s="151"/>
      <c r="S720" s="151"/>
      <c r="T720" s="151"/>
      <c r="U720" s="151"/>
      <c r="V720" s="151"/>
      <c r="W720" s="151"/>
      <c r="X720" s="151"/>
      <c r="Y720" s="151"/>
      <c r="Z720" s="151"/>
    </row>
    <row r="721">
      <c r="A721" s="151"/>
      <c r="B721" s="151"/>
      <c r="C721" s="179"/>
      <c r="D721" s="180"/>
      <c r="E721" s="151"/>
      <c r="F721" s="151"/>
      <c r="G721" s="151"/>
      <c r="H721" s="151"/>
      <c r="I721" s="151"/>
      <c r="J721" s="151"/>
      <c r="K721" s="151"/>
      <c r="L721" s="151"/>
      <c r="M721" s="151"/>
      <c r="N721" s="151"/>
      <c r="O721" s="151"/>
      <c r="P721" s="151"/>
      <c r="Q721" s="151"/>
      <c r="R721" s="151"/>
      <c r="S721" s="151"/>
      <c r="T721" s="151"/>
      <c r="U721" s="151"/>
      <c r="V721" s="151"/>
      <c r="W721" s="151"/>
      <c r="X721" s="151"/>
      <c r="Y721" s="151"/>
      <c r="Z721" s="151"/>
    </row>
    <row r="722">
      <c r="A722" s="151"/>
      <c r="B722" s="151"/>
      <c r="C722" s="179"/>
      <c r="D722" s="180"/>
      <c r="E722" s="151"/>
      <c r="F722" s="151"/>
      <c r="G722" s="151"/>
      <c r="H722" s="151"/>
      <c r="I722" s="151"/>
      <c r="J722" s="151"/>
      <c r="K722" s="151"/>
      <c r="L722" s="151"/>
      <c r="M722" s="151"/>
      <c r="N722" s="151"/>
      <c r="O722" s="151"/>
      <c r="P722" s="151"/>
      <c r="Q722" s="151"/>
      <c r="R722" s="151"/>
      <c r="S722" s="151"/>
      <c r="T722" s="151"/>
      <c r="U722" s="151"/>
      <c r="V722" s="151"/>
      <c r="W722" s="151"/>
      <c r="X722" s="151"/>
      <c r="Y722" s="151"/>
      <c r="Z722" s="151"/>
    </row>
    <row r="723">
      <c r="A723" s="151"/>
      <c r="B723" s="151"/>
      <c r="C723" s="179"/>
      <c r="D723" s="180"/>
      <c r="E723" s="151"/>
      <c r="F723" s="151"/>
      <c r="G723" s="151"/>
      <c r="H723" s="151"/>
      <c r="I723" s="151"/>
      <c r="J723" s="151"/>
      <c r="K723" s="151"/>
      <c r="L723" s="151"/>
      <c r="M723" s="151"/>
      <c r="N723" s="151"/>
      <c r="O723" s="151"/>
      <c r="P723" s="151"/>
      <c r="Q723" s="151"/>
      <c r="R723" s="151"/>
      <c r="S723" s="151"/>
      <c r="T723" s="151"/>
      <c r="U723" s="151"/>
      <c r="V723" s="151"/>
      <c r="W723" s="151"/>
      <c r="X723" s="151"/>
      <c r="Y723" s="151"/>
      <c r="Z723" s="151"/>
    </row>
    <row r="724">
      <c r="A724" s="151"/>
      <c r="B724" s="151"/>
      <c r="C724" s="179"/>
      <c r="D724" s="180"/>
      <c r="E724" s="151"/>
      <c r="F724" s="151"/>
      <c r="G724" s="151"/>
      <c r="H724" s="151"/>
      <c r="I724" s="151"/>
      <c r="J724" s="151"/>
      <c r="K724" s="151"/>
      <c r="L724" s="151"/>
      <c r="M724" s="151"/>
      <c r="N724" s="151"/>
      <c r="O724" s="151"/>
      <c r="P724" s="151"/>
      <c r="Q724" s="151"/>
      <c r="R724" s="151"/>
      <c r="S724" s="151"/>
      <c r="T724" s="151"/>
      <c r="U724" s="151"/>
      <c r="V724" s="151"/>
      <c r="W724" s="151"/>
      <c r="X724" s="151"/>
      <c r="Y724" s="151"/>
      <c r="Z724" s="151"/>
    </row>
    <row r="725">
      <c r="A725" s="151"/>
      <c r="B725" s="151"/>
      <c r="C725" s="179"/>
      <c r="D725" s="180"/>
      <c r="E725" s="151"/>
      <c r="F725" s="151"/>
      <c r="G725" s="151"/>
      <c r="H725" s="151"/>
      <c r="I725" s="151"/>
      <c r="J725" s="151"/>
      <c r="K725" s="151"/>
      <c r="L725" s="151"/>
      <c r="M725" s="151"/>
      <c r="N725" s="151"/>
      <c r="O725" s="151"/>
      <c r="P725" s="151"/>
      <c r="Q725" s="151"/>
      <c r="R725" s="151"/>
      <c r="S725" s="151"/>
      <c r="T725" s="151"/>
      <c r="U725" s="151"/>
      <c r="V725" s="151"/>
      <c r="W725" s="151"/>
      <c r="X725" s="151"/>
      <c r="Y725" s="151"/>
      <c r="Z725" s="151"/>
    </row>
    <row r="726">
      <c r="A726" s="151"/>
      <c r="B726" s="151"/>
      <c r="C726" s="179"/>
      <c r="D726" s="180"/>
      <c r="E726" s="151"/>
      <c r="F726" s="151"/>
      <c r="G726" s="151"/>
      <c r="H726" s="151"/>
      <c r="I726" s="151"/>
      <c r="J726" s="151"/>
      <c r="K726" s="151"/>
      <c r="L726" s="151"/>
      <c r="M726" s="151"/>
      <c r="N726" s="151"/>
      <c r="O726" s="151"/>
      <c r="P726" s="151"/>
      <c r="Q726" s="151"/>
      <c r="R726" s="151"/>
      <c r="S726" s="151"/>
      <c r="T726" s="151"/>
      <c r="U726" s="151"/>
      <c r="V726" s="151"/>
      <c r="W726" s="151"/>
      <c r="X726" s="151"/>
      <c r="Y726" s="151"/>
      <c r="Z726" s="151"/>
    </row>
    <row r="727">
      <c r="A727" s="151"/>
      <c r="B727" s="151"/>
      <c r="C727" s="179"/>
      <c r="D727" s="180"/>
      <c r="E727" s="151"/>
      <c r="F727" s="151"/>
      <c r="G727" s="151"/>
      <c r="H727" s="151"/>
      <c r="I727" s="151"/>
      <c r="J727" s="151"/>
      <c r="K727" s="151"/>
      <c r="L727" s="151"/>
      <c r="M727" s="151"/>
      <c r="N727" s="151"/>
      <c r="O727" s="151"/>
      <c r="P727" s="151"/>
      <c r="Q727" s="151"/>
      <c r="R727" s="151"/>
      <c r="S727" s="151"/>
      <c r="T727" s="151"/>
      <c r="U727" s="151"/>
      <c r="V727" s="151"/>
      <c r="W727" s="151"/>
      <c r="X727" s="151"/>
      <c r="Y727" s="151"/>
      <c r="Z727" s="151"/>
    </row>
    <row r="728">
      <c r="A728" s="151"/>
      <c r="B728" s="151"/>
      <c r="C728" s="179"/>
      <c r="D728" s="180"/>
      <c r="E728" s="151"/>
      <c r="F728" s="151"/>
      <c r="G728" s="151"/>
      <c r="H728" s="151"/>
      <c r="I728" s="151"/>
      <c r="J728" s="151"/>
      <c r="K728" s="151"/>
      <c r="L728" s="151"/>
      <c r="M728" s="151"/>
      <c r="N728" s="151"/>
      <c r="O728" s="151"/>
      <c r="P728" s="151"/>
      <c r="Q728" s="151"/>
      <c r="R728" s="151"/>
      <c r="S728" s="151"/>
      <c r="T728" s="151"/>
      <c r="U728" s="151"/>
      <c r="V728" s="151"/>
      <c r="W728" s="151"/>
      <c r="X728" s="151"/>
      <c r="Y728" s="151"/>
      <c r="Z728" s="151"/>
    </row>
    <row r="729">
      <c r="A729" s="151"/>
      <c r="B729" s="151"/>
      <c r="C729" s="179"/>
      <c r="D729" s="180"/>
      <c r="E729" s="151"/>
      <c r="F729" s="151"/>
      <c r="G729" s="151"/>
      <c r="H729" s="151"/>
      <c r="I729" s="151"/>
      <c r="J729" s="151"/>
      <c r="K729" s="151"/>
      <c r="L729" s="151"/>
      <c r="M729" s="151"/>
      <c r="N729" s="151"/>
      <c r="O729" s="151"/>
      <c r="P729" s="151"/>
      <c r="Q729" s="151"/>
      <c r="R729" s="151"/>
      <c r="S729" s="151"/>
      <c r="T729" s="151"/>
      <c r="U729" s="151"/>
      <c r="V729" s="151"/>
      <c r="W729" s="151"/>
      <c r="X729" s="151"/>
      <c r="Y729" s="151"/>
      <c r="Z729" s="151"/>
    </row>
    <row r="730">
      <c r="A730" s="151"/>
      <c r="B730" s="151"/>
      <c r="C730" s="179"/>
      <c r="D730" s="180"/>
      <c r="E730" s="151"/>
      <c r="F730" s="151"/>
      <c r="G730" s="151"/>
      <c r="H730" s="151"/>
      <c r="I730" s="151"/>
      <c r="J730" s="151"/>
      <c r="K730" s="151"/>
      <c r="L730" s="151"/>
      <c r="M730" s="151"/>
      <c r="N730" s="151"/>
      <c r="O730" s="151"/>
      <c r="P730" s="151"/>
      <c r="Q730" s="151"/>
      <c r="R730" s="151"/>
      <c r="S730" s="151"/>
      <c r="T730" s="151"/>
      <c r="U730" s="151"/>
      <c r="V730" s="151"/>
      <c r="W730" s="151"/>
      <c r="X730" s="151"/>
      <c r="Y730" s="151"/>
      <c r="Z730" s="151"/>
    </row>
    <row r="731">
      <c r="A731" s="151"/>
      <c r="B731" s="151"/>
      <c r="C731" s="179"/>
      <c r="D731" s="180"/>
      <c r="E731" s="151"/>
      <c r="F731" s="151"/>
      <c r="G731" s="151"/>
      <c r="H731" s="151"/>
      <c r="I731" s="151"/>
      <c r="J731" s="151"/>
      <c r="K731" s="151"/>
      <c r="L731" s="151"/>
      <c r="M731" s="151"/>
      <c r="N731" s="151"/>
      <c r="O731" s="151"/>
      <c r="P731" s="151"/>
      <c r="Q731" s="151"/>
      <c r="R731" s="151"/>
      <c r="S731" s="151"/>
      <c r="T731" s="151"/>
      <c r="U731" s="151"/>
      <c r="V731" s="151"/>
      <c r="W731" s="151"/>
      <c r="X731" s="151"/>
      <c r="Y731" s="151"/>
      <c r="Z731" s="151"/>
    </row>
    <row r="732">
      <c r="A732" s="151"/>
      <c r="B732" s="151"/>
      <c r="C732" s="179"/>
      <c r="D732" s="180"/>
      <c r="E732" s="151"/>
      <c r="F732" s="151"/>
      <c r="G732" s="151"/>
      <c r="H732" s="151"/>
      <c r="I732" s="151"/>
      <c r="J732" s="151"/>
      <c r="K732" s="151"/>
      <c r="L732" s="151"/>
      <c r="M732" s="151"/>
      <c r="N732" s="151"/>
      <c r="O732" s="151"/>
      <c r="P732" s="151"/>
      <c r="Q732" s="151"/>
      <c r="R732" s="151"/>
      <c r="S732" s="151"/>
      <c r="T732" s="151"/>
      <c r="U732" s="151"/>
      <c r="V732" s="151"/>
      <c r="W732" s="151"/>
      <c r="X732" s="151"/>
      <c r="Y732" s="151"/>
      <c r="Z732" s="151"/>
    </row>
    <row r="733">
      <c r="A733" s="151"/>
      <c r="B733" s="151"/>
      <c r="C733" s="179"/>
      <c r="D733" s="180"/>
      <c r="E733" s="151"/>
      <c r="F733" s="151"/>
      <c r="G733" s="151"/>
      <c r="H733" s="151"/>
      <c r="I733" s="151"/>
      <c r="J733" s="151"/>
      <c r="K733" s="151"/>
      <c r="L733" s="151"/>
      <c r="M733" s="151"/>
      <c r="N733" s="151"/>
      <c r="O733" s="151"/>
      <c r="P733" s="151"/>
      <c r="Q733" s="151"/>
      <c r="R733" s="151"/>
      <c r="S733" s="151"/>
      <c r="T733" s="151"/>
      <c r="U733" s="151"/>
      <c r="V733" s="151"/>
      <c r="W733" s="151"/>
      <c r="X733" s="151"/>
      <c r="Y733" s="151"/>
      <c r="Z733" s="151"/>
    </row>
    <row r="734">
      <c r="A734" s="151"/>
      <c r="B734" s="151"/>
      <c r="C734" s="179"/>
      <c r="D734" s="180"/>
      <c r="E734" s="151"/>
      <c r="F734" s="151"/>
      <c r="G734" s="151"/>
      <c r="H734" s="151"/>
      <c r="I734" s="151"/>
      <c r="J734" s="151"/>
      <c r="K734" s="151"/>
      <c r="L734" s="151"/>
      <c r="M734" s="151"/>
      <c r="N734" s="151"/>
      <c r="O734" s="151"/>
      <c r="P734" s="151"/>
      <c r="Q734" s="151"/>
      <c r="R734" s="151"/>
      <c r="S734" s="151"/>
      <c r="T734" s="151"/>
      <c r="U734" s="151"/>
      <c r="V734" s="151"/>
      <c r="W734" s="151"/>
      <c r="X734" s="151"/>
      <c r="Y734" s="151"/>
      <c r="Z734" s="151"/>
    </row>
    <row r="735">
      <c r="A735" s="151"/>
      <c r="B735" s="151"/>
      <c r="C735" s="179"/>
      <c r="D735" s="180"/>
      <c r="E735" s="151"/>
      <c r="F735" s="151"/>
      <c r="G735" s="151"/>
      <c r="H735" s="151"/>
      <c r="I735" s="151"/>
      <c r="J735" s="151"/>
      <c r="K735" s="151"/>
      <c r="L735" s="151"/>
      <c r="M735" s="151"/>
      <c r="N735" s="151"/>
      <c r="O735" s="151"/>
      <c r="P735" s="151"/>
      <c r="Q735" s="151"/>
      <c r="R735" s="151"/>
      <c r="S735" s="151"/>
      <c r="T735" s="151"/>
      <c r="U735" s="151"/>
      <c r="V735" s="151"/>
      <c r="W735" s="151"/>
      <c r="X735" s="151"/>
      <c r="Y735" s="151"/>
      <c r="Z735" s="151"/>
    </row>
    <row r="736">
      <c r="A736" s="151"/>
      <c r="B736" s="151"/>
      <c r="C736" s="179"/>
      <c r="D736" s="180"/>
      <c r="E736" s="151"/>
      <c r="F736" s="151"/>
      <c r="G736" s="151"/>
      <c r="H736" s="151"/>
      <c r="I736" s="151"/>
      <c r="J736" s="151"/>
      <c r="K736" s="151"/>
      <c r="L736" s="151"/>
      <c r="M736" s="151"/>
      <c r="N736" s="151"/>
      <c r="O736" s="151"/>
      <c r="P736" s="151"/>
      <c r="Q736" s="151"/>
      <c r="R736" s="151"/>
      <c r="S736" s="151"/>
      <c r="T736" s="151"/>
      <c r="U736" s="151"/>
      <c r="V736" s="151"/>
      <c r="W736" s="151"/>
      <c r="X736" s="151"/>
      <c r="Y736" s="151"/>
      <c r="Z736" s="151"/>
    </row>
    <row r="737">
      <c r="A737" s="151"/>
      <c r="B737" s="151"/>
      <c r="C737" s="179"/>
      <c r="D737" s="180"/>
      <c r="E737" s="151"/>
      <c r="F737" s="151"/>
      <c r="G737" s="151"/>
      <c r="H737" s="151"/>
      <c r="I737" s="151"/>
      <c r="J737" s="151"/>
      <c r="K737" s="151"/>
      <c r="L737" s="151"/>
      <c r="M737" s="151"/>
      <c r="N737" s="151"/>
      <c r="O737" s="151"/>
      <c r="P737" s="151"/>
      <c r="Q737" s="151"/>
      <c r="R737" s="151"/>
      <c r="S737" s="151"/>
      <c r="T737" s="151"/>
      <c r="U737" s="151"/>
      <c r="V737" s="151"/>
      <c r="W737" s="151"/>
      <c r="X737" s="151"/>
      <c r="Y737" s="151"/>
      <c r="Z737" s="151"/>
    </row>
    <row r="738">
      <c r="A738" s="151"/>
      <c r="B738" s="151"/>
      <c r="C738" s="179"/>
      <c r="D738" s="180"/>
      <c r="E738" s="151"/>
      <c r="F738" s="151"/>
      <c r="G738" s="151"/>
      <c r="H738" s="151"/>
      <c r="I738" s="151"/>
      <c r="J738" s="151"/>
      <c r="K738" s="151"/>
      <c r="L738" s="151"/>
      <c r="M738" s="151"/>
      <c r="N738" s="151"/>
      <c r="O738" s="151"/>
      <c r="P738" s="151"/>
      <c r="Q738" s="151"/>
      <c r="R738" s="151"/>
      <c r="S738" s="151"/>
      <c r="T738" s="151"/>
      <c r="U738" s="151"/>
      <c r="V738" s="151"/>
      <c r="W738" s="151"/>
      <c r="X738" s="151"/>
      <c r="Y738" s="151"/>
      <c r="Z738" s="151"/>
    </row>
    <row r="739">
      <c r="A739" s="151"/>
      <c r="B739" s="151"/>
      <c r="C739" s="179"/>
      <c r="D739" s="180"/>
      <c r="E739" s="151"/>
      <c r="F739" s="151"/>
      <c r="G739" s="151"/>
      <c r="H739" s="151"/>
      <c r="I739" s="151"/>
      <c r="J739" s="151"/>
      <c r="K739" s="151"/>
      <c r="L739" s="151"/>
      <c r="M739" s="151"/>
      <c r="N739" s="151"/>
      <c r="O739" s="151"/>
      <c r="P739" s="151"/>
      <c r="Q739" s="151"/>
      <c r="R739" s="151"/>
      <c r="S739" s="151"/>
      <c r="T739" s="151"/>
      <c r="U739" s="151"/>
      <c r="V739" s="151"/>
      <c r="W739" s="151"/>
      <c r="X739" s="151"/>
      <c r="Y739" s="151"/>
      <c r="Z739" s="151"/>
    </row>
    <row r="740">
      <c r="A740" s="151"/>
      <c r="B740" s="151"/>
      <c r="C740" s="179"/>
      <c r="D740" s="180"/>
      <c r="E740" s="151"/>
      <c r="F740" s="151"/>
      <c r="G740" s="151"/>
      <c r="H740" s="151"/>
      <c r="I740" s="151"/>
      <c r="J740" s="151"/>
      <c r="K740" s="151"/>
      <c r="L740" s="151"/>
      <c r="M740" s="151"/>
      <c r="N740" s="151"/>
      <c r="O740" s="151"/>
      <c r="P740" s="151"/>
      <c r="Q740" s="151"/>
      <c r="R740" s="151"/>
      <c r="S740" s="151"/>
      <c r="T740" s="151"/>
      <c r="U740" s="151"/>
      <c r="V740" s="151"/>
      <c r="W740" s="151"/>
      <c r="X740" s="151"/>
      <c r="Y740" s="151"/>
      <c r="Z740" s="151"/>
    </row>
    <row r="741">
      <c r="A741" s="151"/>
      <c r="B741" s="151"/>
      <c r="C741" s="179"/>
      <c r="D741" s="180"/>
      <c r="E741" s="151"/>
      <c r="F741" s="151"/>
      <c r="G741" s="151"/>
      <c r="H741" s="151"/>
      <c r="I741" s="151"/>
      <c r="J741" s="151"/>
      <c r="K741" s="151"/>
      <c r="L741" s="151"/>
      <c r="M741" s="151"/>
      <c r="N741" s="151"/>
      <c r="O741" s="151"/>
      <c r="P741" s="151"/>
      <c r="Q741" s="151"/>
      <c r="R741" s="151"/>
      <c r="S741" s="151"/>
      <c r="T741" s="151"/>
      <c r="U741" s="151"/>
      <c r="V741" s="151"/>
      <c r="W741" s="151"/>
      <c r="X741" s="151"/>
      <c r="Y741" s="151"/>
      <c r="Z741" s="151"/>
    </row>
    <row r="742">
      <c r="A742" s="151"/>
      <c r="B742" s="151"/>
      <c r="C742" s="179"/>
      <c r="D742" s="180"/>
      <c r="E742" s="151"/>
      <c r="F742" s="151"/>
      <c r="G742" s="151"/>
      <c r="H742" s="151"/>
      <c r="I742" s="151"/>
      <c r="J742" s="151"/>
      <c r="K742" s="151"/>
      <c r="L742" s="151"/>
      <c r="M742" s="151"/>
      <c r="N742" s="151"/>
      <c r="O742" s="151"/>
      <c r="P742" s="151"/>
      <c r="Q742" s="151"/>
      <c r="R742" s="151"/>
      <c r="S742" s="151"/>
      <c r="T742" s="151"/>
      <c r="U742" s="151"/>
      <c r="V742" s="151"/>
      <c r="W742" s="151"/>
      <c r="X742" s="151"/>
      <c r="Y742" s="151"/>
      <c r="Z742" s="151"/>
    </row>
    <row r="743">
      <c r="A743" s="151"/>
      <c r="B743" s="151"/>
      <c r="C743" s="179"/>
      <c r="D743" s="180"/>
      <c r="E743" s="151"/>
      <c r="F743" s="151"/>
      <c r="G743" s="151"/>
      <c r="H743" s="151"/>
      <c r="I743" s="151"/>
      <c r="J743" s="151"/>
      <c r="K743" s="151"/>
      <c r="L743" s="151"/>
      <c r="M743" s="151"/>
      <c r="N743" s="151"/>
      <c r="O743" s="151"/>
      <c r="P743" s="151"/>
      <c r="Q743" s="151"/>
      <c r="R743" s="151"/>
      <c r="S743" s="151"/>
      <c r="T743" s="151"/>
      <c r="U743" s="151"/>
      <c r="V743" s="151"/>
      <c r="W743" s="151"/>
      <c r="X743" s="151"/>
      <c r="Y743" s="151"/>
      <c r="Z743" s="151"/>
    </row>
    <row r="744">
      <c r="A744" s="151"/>
      <c r="B744" s="151"/>
      <c r="C744" s="179"/>
      <c r="D744" s="180"/>
      <c r="E744" s="151"/>
      <c r="F744" s="151"/>
      <c r="G744" s="151"/>
      <c r="H744" s="151"/>
      <c r="I744" s="151"/>
      <c r="J744" s="151"/>
      <c r="K744" s="151"/>
      <c r="L744" s="151"/>
      <c r="M744" s="151"/>
      <c r="N744" s="151"/>
      <c r="O744" s="151"/>
      <c r="P744" s="151"/>
      <c r="Q744" s="151"/>
      <c r="R744" s="151"/>
      <c r="S744" s="151"/>
      <c r="T744" s="151"/>
      <c r="U744" s="151"/>
      <c r="V744" s="151"/>
      <c r="W744" s="151"/>
      <c r="X744" s="151"/>
      <c r="Y744" s="151"/>
      <c r="Z744" s="151"/>
    </row>
    <row r="745">
      <c r="A745" s="151"/>
      <c r="B745" s="151"/>
      <c r="C745" s="179"/>
      <c r="D745" s="180"/>
      <c r="E745" s="151"/>
      <c r="F745" s="151"/>
      <c r="G745" s="151"/>
      <c r="H745" s="151"/>
      <c r="I745" s="151"/>
      <c r="J745" s="151"/>
      <c r="K745" s="151"/>
      <c r="L745" s="151"/>
      <c r="M745" s="151"/>
      <c r="N745" s="151"/>
      <c r="O745" s="151"/>
      <c r="P745" s="151"/>
      <c r="Q745" s="151"/>
      <c r="R745" s="151"/>
      <c r="S745" s="151"/>
      <c r="T745" s="151"/>
      <c r="U745" s="151"/>
      <c r="V745" s="151"/>
      <c r="W745" s="151"/>
      <c r="X745" s="151"/>
      <c r="Y745" s="151"/>
      <c r="Z745" s="151"/>
    </row>
    <row r="746">
      <c r="A746" s="151"/>
      <c r="B746" s="151"/>
      <c r="C746" s="179"/>
      <c r="D746" s="180"/>
      <c r="E746" s="151"/>
      <c r="F746" s="151"/>
      <c r="G746" s="151"/>
      <c r="H746" s="151"/>
      <c r="I746" s="151"/>
      <c r="J746" s="151"/>
      <c r="K746" s="151"/>
      <c r="L746" s="151"/>
      <c r="M746" s="151"/>
      <c r="N746" s="151"/>
      <c r="O746" s="151"/>
      <c r="P746" s="151"/>
      <c r="Q746" s="151"/>
      <c r="R746" s="151"/>
      <c r="S746" s="151"/>
      <c r="T746" s="151"/>
      <c r="U746" s="151"/>
      <c r="V746" s="151"/>
      <c r="W746" s="151"/>
      <c r="X746" s="151"/>
      <c r="Y746" s="151"/>
      <c r="Z746" s="151"/>
    </row>
    <row r="747">
      <c r="A747" s="151"/>
      <c r="B747" s="151"/>
      <c r="C747" s="179"/>
      <c r="D747" s="180"/>
      <c r="E747" s="151"/>
      <c r="F747" s="151"/>
      <c r="G747" s="151"/>
      <c r="H747" s="151"/>
      <c r="I747" s="151"/>
      <c r="J747" s="151"/>
      <c r="K747" s="151"/>
      <c r="L747" s="151"/>
      <c r="M747" s="151"/>
      <c r="N747" s="151"/>
      <c r="O747" s="151"/>
      <c r="P747" s="151"/>
      <c r="Q747" s="151"/>
      <c r="R747" s="151"/>
      <c r="S747" s="151"/>
      <c r="T747" s="151"/>
      <c r="U747" s="151"/>
      <c r="V747" s="151"/>
      <c r="W747" s="151"/>
      <c r="X747" s="151"/>
      <c r="Y747" s="151"/>
      <c r="Z747" s="151"/>
    </row>
    <row r="748">
      <c r="A748" s="151"/>
      <c r="B748" s="151"/>
      <c r="C748" s="179"/>
      <c r="D748" s="180"/>
      <c r="E748" s="151"/>
      <c r="F748" s="151"/>
      <c r="G748" s="151"/>
      <c r="H748" s="151"/>
      <c r="I748" s="151"/>
      <c r="J748" s="151"/>
      <c r="K748" s="151"/>
      <c r="L748" s="151"/>
      <c r="M748" s="151"/>
      <c r="N748" s="151"/>
      <c r="O748" s="151"/>
      <c r="P748" s="151"/>
      <c r="Q748" s="151"/>
      <c r="R748" s="151"/>
      <c r="S748" s="151"/>
      <c r="T748" s="151"/>
      <c r="U748" s="151"/>
      <c r="V748" s="151"/>
      <c r="W748" s="151"/>
      <c r="X748" s="151"/>
      <c r="Y748" s="151"/>
      <c r="Z748" s="151"/>
    </row>
    <row r="749">
      <c r="A749" s="151"/>
      <c r="B749" s="151"/>
      <c r="C749" s="179"/>
      <c r="D749" s="180"/>
      <c r="E749" s="151"/>
      <c r="F749" s="151"/>
      <c r="G749" s="151"/>
      <c r="H749" s="151"/>
      <c r="I749" s="151"/>
      <c r="J749" s="151"/>
      <c r="K749" s="151"/>
      <c r="L749" s="151"/>
      <c r="M749" s="151"/>
      <c r="N749" s="151"/>
      <c r="O749" s="151"/>
      <c r="P749" s="151"/>
      <c r="Q749" s="151"/>
      <c r="R749" s="151"/>
      <c r="S749" s="151"/>
      <c r="T749" s="151"/>
      <c r="U749" s="151"/>
      <c r="V749" s="151"/>
      <c r="W749" s="151"/>
      <c r="X749" s="151"/>
      <c r="Y749" s="151"/>
      <c r="Z749" s="151"/>
    </row>
    <row r="750">
      <c r="A750" s="151"/>
      <c r="B750" s="151"/>
      <c r="C750" s="179"/>
      <c r="D750" s="180"/>
      <c r="E750" s="151"/>
      <c r="F750" s="151"/>
      <c r="G750" s="151"/>
      <c r="H750" s="151"/>
      <c r="I750" s="151"/>
      <c r="J750" s="151"/>
      <c r="K750" s="151"/>
      <c r="L750" s="151"/>
      <c r="M750" s="151"/>
      <c r="N750" s="151"/>
      <c r="O750" s="151"/>
      <c r="P750" s="151"/>
      <c r="Q750" s="151"/>
      <c r="R750" s="151"/>
      <c r="S750" s="151"/>
      <c r="T750" s="151"/>
      <c r="U750" s="151"/>
      <c r="V750" s="151"/>
      <c r="W750" s="151"/>
      <c r="X750" s="151"/>
      <c r="Y750" s="151"/>
      <c r="Z750" s="151"/>
    </row>
    <row r="751">
      <c r="A751" s="151"/>
      <c r="B751" s="151"/>
      <c r="C751" s="179"/>
      <c r="D751" s="180"/>
      <c r="E751" s="151"/>
      <c r="F751" s="151"/>
      <c r="G751" s="151"/>
      <c r="H751" s="151"/>
      <c r="I751" s="151"/>
      <c r="J751" s="151"/>
      <c r="K751" s="151"/>
      <c r="L751" s="151"/>
      <c r="M751" s="151"/>
      <c r="N751" s="151"/>
      <c r="O751" s="151"/>
      <c r="P751" s="151"/>
      <c r="Q751" s="151"/>
      <c r="R751" s="151"/>
      <c r="S751" s="151"/>
      <c r="T751" s="151"/>
      <c r="U751" s="151"/>
      <c r="V751" s="151"/>
      <c r="W751" s="151"/>
      <c r="X751" s="151"/>
      <c r="Y751" s="151"/>
      <c r="Z751" s="151"/>
    </row>
    <row r="752">
      <c r="A752" s="151"/>
      <c r="B752" s="151"/>
      <c r="C752" s="179"/>
      <c r="D752" s="180"/>
      <c r="E752" s="151"/>
      <c r="F752" s="151"/>
      <c r="G752" s="151"/>
      <c r="H752" s="151"/>
      <c r="I752" s="151"/>
      <c r="J752" s="151"/>
      <c r="K752" s="151"/>
      <c r="L752" s="151"/>
      <c r="M752" s="151"/>
      <c r="N752" s="151"/>
      <c r="O752" s="151"/>
      <c r="P752" s="151"/>
      <c r="Q752" s="151"/>
      <c r="R752" s="151"/>
      <c r="S752" s="151"/>
      <c r="T752" s="151"/>
      <c r="U752" s="151"/>
      <c r="V752" s="151"/>
      <c r="W752" s="151"/>
      <c r="X752" s="151"/>
      <c r="Y752" s="151"/>
      <c r="Z752" s="151"/>
    </row>
    <row r="753">
      <c r="A753" s="151"/>
      <c r="B753" s="151"/>
      <c r="C753" s="179"/>
      <c r="D753" s="180"/>
      <c r="E753" s="151"/>
      <c r="F753" s="151"/>
      <c r="G753" s="151"/>
      <c r="H753" s="151"/>
      <c r="I753" s="151"/>
      <c r="J753" s="151"/>
      <c r="K753" s="151"/>
      <c r="L753" s="151"/>
      <c r="M753" s="151"/>
      <c r="N753" s="151"/>
      <c r="O753" s="151"/>
      <c r="P753" s="151"/>
      <c r="Q753" s="151"/>
      <c r="R753" s="151"/>
      <c r="S753" s="151"/>
      <c r="T753" s="151"/>
      <c r="U753" s="151"/>
      <c r="V753" s="151"/>
      <c r="W753" s="151"/>
      <c r="X753" s="151"/>
      <c r="Y753" s="151"/>
      <c r="Z753" s="151"/>
    </row>
    <row r="754">
      <c r="A754" s="151"/>
      <c r="B754" s="151"/>
      <c r="C754" s="179"/>
      <c r="D754" s="180"/>
      <c r="E754" s="151"/>
      <c r="F754" s="151"/>
      <c r="G754" s="151"/>
      <c r="H754" s="151"/>
      <c r="I754" s="151"/>
      <c r="J754" s="151"/>
      <c r="K754" s="151"/>
      <c r="L754" s="151"/>
      <c r="M754" s="151"/>
      <c r="N754" s="151"/>
      <c r="O754" s="151"/>
      <c r="P754" s="151"/>
      <c r="Q754" s="151"/>
      <c r="R754" s="151"/>
      <c r="S754" s="151"/>
      <c r="T754" s="151"/>
      <c r="U754" s="151"/>
      <c r="V754" s="151"/>
      <c r="W754" s="151"/>
      <c r="X754" s="151"/>
      <c r="Y754" s="151"/>
      <c r="Z754" s="151"/>
    </row>
    <row r="755">
      <c r="A755" s="151"/>
      <c r="B755" s="151"/>
      <c r="C755" s="179"/>
      <c r="D755" s="180"/>
      <c r="E755" s="151"/>
      <c r="F755" s="151"/>
      <c r="G755" s="151"/>
      <c r="H755" s="151"/>
      <c r="I755" s="151"/>
      <c r="J755" s="151"/>
      <c r="K755" s="151"/>
      <c r="L755" s="151"/>
      <c r="M755" s="151"/>
      <c r="N755" s="151"/>
      <c r="O755" s="151"/>
      <c r="P755" s="151"/>
      <c r="Q755" s="151"/>
      <c r="R755" s="151"/>
      <c r="S755" s="151"/>
      <c r="T755" s="151"/>
      <c r="U755" s="151"/>
      <c r="V755" s="151"/>
      <c r="W755" s="151"/>
      <c r="X755" s="151"/>
      <c r="Y755" s="151"/>
      <c r="Z755" s="151"/>
    </row>
    <row r="756">
      <c r="A756" s="151"/>
      <c r="B756" s="151"/>
      <c r="C756" s="179"/>
      <c r="D756" s="180"/>
      <c r="E756" s="151"/>
      <c r="F756" s="151"/>
      <c r="G756" s="151"/>
      <c r="H756" s="151"/>
      <c r="I756" s="151"/>
      <c r="J756" s="151"/>
      <c r="K756" s="151"/>
      <c r="L756" s="151"/>
      <c r="M756" s="151"/>
      <c r="N756" s="151"/>
      <c r="O756" s="151"/>
      <c r="P756" s="151"/>
      <c r="Q756" s="151"/>
      <c r="R756" s="151"/>
      <c r="S756" s="151"/>
      <c r="T756" s="151"/>
      <c r="U756" s="151"/>
      <c r="V756" s="151"/>
      <c r="W756" s="151"/>
      <c r="X756" s="151"/>
      <c r="Y756" s="151"/>
      <c r="Z756" s="151"/>
    </row>
    <row r="757">
      <c r="A757" s="151"/>
      <c r="B757" s="151"/>
      <c r="C757" s="179"/>
      <c r="D757" s="180"/>
      <c r="E757" s="151"/>
      <c r="F757" s="151"/>
      <c r="G757" s="151"/>
      <c r="H757" s="151"/>
      <c r="I757" s="151"/>
      <c r="J757" s="151"/>
      <c r="K757" s="151"/>
      <c r="L757" s="151"/>
      <c r="M757" s="151"/>
      <c r="N757" s="151"/>
      <c r="O757" s="151"/>
      <c r="P757" s="151"/>
      <c r="Q757" s="151"/>
      <c r="R757" s="151"/>
      <c r="S757" s="151"/>
      <c r="T757" s="151"/>
      <c r="U757" s="151"/>
      <c r="V757" s="151"/>
      <c r="W757" s="151"/>
      <c r="X757" s="151"/>
      <c r="Y757" s="151"/>
      <c r="Z757" s="151"/>
    </row>
    <row r="758">
      <c r="A758" s="151"/>
      <c r="B758" s="151"/>
      <c r="C758" s="179"/>
      <c r="D758" s="180"/>
      <c r="E758" s="151"/>
      <c r="F758" s="151"/>
      <c r="G758" s="151"/>
      <c r="H758" s="151"/>
      <c r="I758" s="151"/>
      <c r="J758" s="151"/>
      <c r="K758" s="151"/>
      <c r="L758" s="151"/>
      <c r="M758" s="151"/>
      <c r="N758" s="151"/>
      <c r="O758" s="151"/>
      <c r="P758" s="151"/>
      <c r="Q758" s="151"/>
      <c r="R758" s="151"/>
      <c r="S758" s="151"/>
      <c r="T758" s="151"/>
      <c r="U758" s="151"/>
      <c r="V758" s="151"/>
      <c r="W758" s="151"/>
      <c r="X758" s="151"/>
      <c r="Y758" s="151"/>
      <c r="Z758" s="151"/>
    </row>
    <row r="759">
      <c r="A759" s="151"/>
      <c r="B759" s="151"/>
      <c r="C759" s="179"/>
      <c r="D759" s="180"/>
      <c r="E759" s="151"/>
      <c r="F759" s="151"/>
      <c r="G759" s="151"/>
      <c r="H759" s="151"/>
      <c r="I759" s="151"/>
      <c r="J759" s="151"/>
      <c r="K759" s="151"/>
      <c r="L759" s="151"/>
      <c r="M759" s="151"/>
      <c r="N759" s="151"/>
      <c r="O759" s="151"/>
      <c r="P759" s="151"/>
      <c r="Q759" s="151"/>
      <c r="R759" s="151"/>
      <c r="S759" s="151"/>
      <c r="T759" s="151"/>
      <c r="U759" s="151"/>
      <c r="V759" s="151"/>
      <c r="W759" s="151"/>
      <c r="X759" s="151"/>
      <c r="Y759" s="151"/>
      <c r="Z759" s="151"/>
    </row>
    <row r="760">
      <c r="A760" s="151"/>
      <c r="B760" s="151"/>
      <c r="C760" s="179"/>
      <c r="D760" s="180"/>
      <c r="E760" s="151"/>
      <c r="F760" s="151"/>
      <c r="G760" s="151"/>
      <c r="H760" s="151"/>
      <c r="I760" s="151"/>
      <c r="J760" s="151"/>
      <c r="K760" s="151"/>
      <c r="L760" s="151"/>
      <c r="M760" s="151"/>
      <c r="N760" s="151"/>
      <c r="O760" s="151"/>
      <c r="P760" s="151"/>
      <c r="Q760" s="151"/>
      <c r="R760" s="151"/>
      <c r="S760" s="151"/>
      <c r="T760" s="151"/>
      <c r="U760" s="151"/>
      <c r="V760" s="151"/>
      <c r="W760" s="151"/>
      <c r="X760" s="151"/>
      <c r="Y760" s="151"/>
      <c r="Z760" s="151"/>
    </row>
    <row r="761">
      <c r="A761" s="151"/>
      <c r="B761" s="151"/>
      <c r="C761" s="179"/>
      <c r="D761" s="180"/>
      <c r="E761" s="151"/>
      <c r="F761" s="151"/>
      <c r="G761" s="151"/>
      <c r="H761" s="151"/>
      <c r="I761" s="151"/>
      <c r="J761" s="151"/>
      <c r="K761" s="151"/>
      <c r="L761" s="151"/>
      <c r="M761" s="151"/>
      <c r="N761" s="151"/>
      <c r="O761" s="151"/>
      <c r="P761" s="151"/>
      <c r="Q761" s="151"/>
      <c r="R761" s="151"/>
      <c r="S761" s="151"/>
      <c r="T761" s="151"/>
      <c r="U761" s="151"/>
      <c r="V761" s="151"/>
      <c r="W761" s="151"/>
      <c r="X761" s="151"/>
      <c r="Y761" s="151"/>
      <c r="Z761" s="151"/>
    </row>
    <row r="762">
      <c r="A762" s="151"/>
      <c r="B762" s="151"/>
      <c r="C762" s="179"/>
      <c r="D762" s="180"/>
      <c r="E762" s="151"/>
      <c r="F762" s="151"/>
      <c r="G762" s="151"/>
      <c r="H762" s="151"/>
      <c r="I762" s="151"/>
      <c r="J762" s="151"/>
      <c r="K762" s="151"/>
      <c r="L762" s="151"/>
      <c r="M762" s="151"/>
      <c r="N762" s="151"/>
      <c r="O762" s="151"/>
      <c r="P762" s="151"/>
      <c r="Q762" s="151"/>
      <c r="R762" s="151"/>
      <c r="S762" s="151"/>
      <c r="T762" s="151"/>
      <c r="U762" s="151"/>
      <c r="V762" s="151"/>
      <c r="W762" s="151"/>
      <c r="X762" s="151"/>
      <c r="Y762" s="151"/>
      <c r="Z762" s="151"/>
    </row>
    <row r="763">
      <c r="A763" s="151"/>
      <c r="B763" s="151"/>
      <c r="C763" s="179"/>
      <c r="D763" s="180"/>
      <c r="E763" s="151"/>
      <c r="F763" s="151"/>
      <c r="G763" s="151"/>
      <c r="H763" s="151"/>
      <c r="I763" s="151"/>
      <c r="J763" s="151"/>
      <c r="K763" s="151"/>
      <c r="L763" s="151"/>
      <c r="M763" s="151"/>
      <c r="N763" s="151"/>
      <c r="O763" s="151"/>
      <c r="P763" s="151"/>
      <c r="Q763" s="151"/>
      <c r="R763" s="151"/>
      <c r="S763" s="151"/>
      <c r="T763" s="151"/>
      <c r="U763" s="151"/>
      <c r="V763" s="151"/>
      <c r="W763" s="151"/>
      <c r="X763" s="151"/>
      <c r="Y763" s="151"/>
      <c r="Z763" s="151"/>
    </row>
    <row r="764">
      <c r="A764" s="151"/>
      <c r="B764" s="151"/>
      <c r="C764" s="179"/>
      <c r="D764" s="180"/>
      <c r="E764" s="151"/>
      <c r="F764" s="151"/>
      <c r="G764" s="151"/>
      <c r="H764" s="151"/>
      <c r="I764" s="151"/>
      <c r="J764" s="151"/>
      <c r="K764" s="151"/>
      <c r="L764" s="151"/>
      <c r="M764" s="151"/>
      <c r="N764" s="151"/>
      <c r="O764" s="151"/>
      <c r="P764" s="151"/>
      <c r="Q764" s="151"/>
      <c r="R764" s="151"/>
      <c r="S764" s="151"/>
      <c r="T764" s="151"/>
      <c r="U764" s="151"/>
      <c r="V764" s="151"/>
      <c r="W764" s="151"/>
      <c r="X764" s="151"/>
      <c r="Y764" s="151"/>
      <c r="Z764" s="151"/>
    </row>
    <row r="765">
      <c r="A765" s="151"/>
      <c r="B765" s="151"/>
      <c r="C765" s="179"/>
      <c r="D765" s="180"/>
      <c r="E765" s="151"/>
      <c r="F765" s="151"/>
      <c r="G765" s="151"/>
      <c r="H765" s="151"/>
      <c r="I765" s="151"/>
      <c r="J765" s="151"/>
      <c r="K765" s="151"/>
      <c r="L765" s="151"/>
      <c r="M765" s="151"/>
      <c r="N765" s="151"/>
      <c r="O765" s="151"/>
      <c r="P765" s="151"/>
      <c r="Q765" s="151"/>
      <c r="R765" s="151"/>
      <c r="S765" s="151"/>
      <c r="T765" s="151"/>
      <c r="U765" s="151"/>
      <c r="V765" s="151"/>
      <c r="W765" s="151"/>
      <c r="X765" s="151"/>
      <c r="Y765" s="151"/>
      <c r="Z765" s="151"/>
    </row>
    <row r="766">
      <c r="A766" s="151"/>
      <c r="B766" s="151"/>
      <c r="C766" s="179"/>
      <c r="D766" s="180"/>
      <c r="E766" s="151"/>
      <c r="F766" s="151"/>
      <c r="G766" s="151"/>
      <c r="H766" s="151"/>
      <c r="I766" s="151"/>
      <c r="J766" s="151"/>
      <c r="K766" s="151"/>
      <c r="L766" s="151"/>
      <c r="M766" s="151"/>
      <c r="N766" s="151"/>
      <c r="O766" s="151"/>
      <c r="P766" s="151"/>
      <c r="Q766" s="151"/>
      <c r="R766" s="151"/>
      <c r="S766" s="151"/>
      <c r="T766" s="151"/>
      <c r="U766" s="151"/>
      <c r="V766" s="151"/>
      <c r="W766" s="151"/>
      <c r="X766" s="151"/>
      <c r="Y766" s="151"/>
      <c r="Z766" s="151"/>
    </row>
    <row r="767">
      <c r="A767" s="151"/>
      <c r="B767" s="151"/>
      <c r="C767" s="179"/>
      <c r="D767" s="180"/>
      <c r="E767" s="151"/>
      <c r="F767" s="151"/>
      <c r="G767" s="151"/>
      <c r="H767" s="151"/>
      <c r="I767" s="151"/>
      <c r="J767" s="151"/>
      <c r="K767" s="151"/>
      <c r="L767" s="151"/>
      <c r="M767" s="151"/>
      <c r="N767" s="151"/>
      <c r="O767" s="151"/>
      <c r="P767" s="151"/>
      <c r="Q767" s="151"/>
      <c r="R767" s="151"/>
      <c r="S767" s="151"/>
      <c r="T767" s="151"/>
      <c r="U767" s="151"/>
      <c r="V767" s="151"/>
      <c r="W767" s="151"/>
      <c r="X767" s="151"/>
      <c r="Y767" s="151"/>
      <c r="Z767" s="151"/>
    </row>
    <row r="768">
      <c r="A768" s="151"/>
      <c r="B768" s="151"/>
      <c r="C768" s="179"/>
      <c r="D768" s="180"/>
      <c r="E768" s="151"/>
      <c r="F768" s="151"/>
      <c r="G768" s="151"/>
      <c r="H768" s="151"/>
      <c r="I768" s="151"/>
      <c r="J768" s="151"/>
      <c r="K768" s="151"/>
      <c r="L768" s="151"/>
      <c r="M768" s="151"/>
      <c r="N768" s="151"/>
      <c r="O768" s="151"/>
      <c r="P768" s="151"/>
      <c r="Q768" s="151"/>
      <c r="R768" s="151"/>
      <c r="S768" s="151"/>
      <c r="T768" s="151"/>
      <c r="U768" s="151"/>
      <c r="V768" s="151"/>
      <c r="W768" s="151"/>
      <c r="X768" s="151"/>
      <c r="Y768" s="151"/>
      <c r="Z768" s="151"/>
    </row>
    <row r="769">
      <c r="A769" s="151"/>
      <c r="B769" s="151"/>
      <c r="C769" s="179"/>
      <c r="D769" s="180"/>
      <c r="E769" s="151"/>
      <c r="F769" s="151"/>
      <c r="G769" s="151"/>
      <c r="H769" s="151"/>
      <c r="I769" s="151"/>
      <c r="J769" s="151"/>
      <c r="K769" s="151"/>
      <c r="L769" s="151"/>
      <c r="M769" s="151"/>
      <c r="N769" s="151"/>
      <c r="O769" s="151"/>
      <c r="P769" s="151"/>
      <c r="Q769" s="151"/>
      <c r="R769" s="151"/>
      <c r="S769" s="151"/>
      <c r="T769" s="151"/>
      <c r="U769" s="151"/>
      <c r="V769" s="151"/>
      <c r="W769" s="151"/>
      <c r="X769" s="151"/>
      <c r="Y769" s="151"/>
      <c r="Z769" s="151"/>
    </row>
    <row r="770">
      <c r="A770" s="151"/>
      <c r="B770" s="151"/>
      <c r="C770" s="179"/>
      <c r="D770" s="180"/>
      <c r="E770" s="151"/>
      <c r="F770" s="151"/>
      <c r="G770" s="151"/>
      <c r="H770" s="151"/>
      <c r="I770" s="151"/>
      <c r="J770" s="151"/>
      <c r="K770" s="151"/>
      <c r="L770" s="151"/>
      <c r="M770" s="151"/>
      <c r="N770" s="151"/>
      <c r="O770" s="151"/>
      <c r="P770" s="151"/>
      <c r="Q770" s="151"/>
      <c r="R770" s="151"/>
      <c r="S770" s="151"/>
      <c r="T770" s="151"/>
      <c r="U770" s="151"/>
      <c r="V770" s="151"/>
      <c r="W770" s="151"/>
      <c r="X770" s="151"/>
      <c r="Y770" s="151"/>
      <c r="Z770" s="151"/>
    </row>
    <row r="771">
      <c r="A771" s="151"/>
      <c r="B771" s="151"/>
      <c r="C771" s="179"/>
      <c r="D771" s="180"/>
      <c r="E771" s="151"/>
      <c r="F771" s="151"/>
      <c r="G771" s="151"/>
      <c r="H771" s="151"/>
      <c r="I771" s="151"/>
      <c r="J771" s="151"/>
      <c r="K771" s="151"/>
      <c r="L771" s="151"/>
      <c r="M771" s="151"/>
      <c r="N771" s="151"/>
      <c r="O771" s="151"/>
      <c r="P771" s="151"/>
      <c r="Q771" s="151"/>
      <c r="R771" s="151"/>
      <c r="S771" s="151"/>
      <c r="T771" s="151"/>
      <c r="U771" s="151"/>
      <c r="V771" s="151"/>
      <c r="W771" s="151"/>
      <c r="X771" s="151"/>
      <c r="Y771" s="151"/>
      <c r="Z771" s="151"/>
    </row>
    <row r="772">
      <c r="A772" s="151"/>
      <c r="B772" s="151"/>
      <c r="C772" s="179"/>
      <c r="D772" s="180"/>
      <c r="E772" s="151"/>
      <c r="F772" s="151"/>
      <c r="G772" s="151"/>
      <c r="H772" s="151"/>
      <c r="I772" s="151"/>
      <c r="J772" s="151"/>
      <c r="K772" s="151"/>
      <c r="L772" s="151"/>
      <c r="M772" s="151"/>
      <c r="N772" s="151"/>
      <c r="O772" s="151"/>
      <c r="P772" s="151"/>
      <c r="Q772" s="151"/>
      <c r="R772" s="151"/>
      <c r="S772" s="151"/>
      <c r="T772" s="151"/>
      <c r="U772" s="151"/>
      <c r="V772" s="151"/>
      <c r="W772" s="151"/>
      <c r="X772" s="151"/>
      <c r="Y772" s="151"/>
      <c r="Z772" s="151"/>
    </row>
    <row r="773">
      <c r="A773" s="151"/>
      <c r="B773" s="151"/>
      <c r="C773" s="179"/>
      <c r="D773" s="180"/>
      <c r="E773" s="151"/>
      <c r="F773" s="151"/>
      <c r="G773" s="151"/>
      <c r="H773" s="151"/>
      <c r="I773" s="151"/>
      <c r="J773" s="151"/>
      <c r="K773" s="151"/>
      <c r="L773" s="151"/>
      <c r="M773" s="151"/>
      <c r="N773" s="151"/>
      <c r="O773" s="151"/>
      <c r="P773" s="151"/>
      <c r="Q773" s="151"/>
      <c r="R773" s="151"/>
      <c r="S773" s="151"/>
      <c r="T773" s="151"/>
      <c r="U773" s="151"/>
      <c r="V773" s="151"/>
      <c r="W773" s="151"/>
      <c r="X773" s="151"/>
      <c r="Y773" s="151"/>
      <c r="Z773" s="151"/>
    </row>
    <row r="774">
      <c r="A774" s="151"/>
      <c r="B774" s="151"/>
      <c r="C774" s="179"/>
      <c r="D774" s="180"/>
      <c r="E774" s="151"/>
      <c r="F774" s="151"/>
      <c r="G774" s="151"/>
      <c r="H774" s="151"/>
      <c r="I774" s="151"/>
      <c r="J774" s="151"/>
      <c r="K774" s="151"/>
      <c r="L774" s="151"/>
      <c r="M774" s="151"/>
      <c r="N774" s="151"/>
      <c r="O774" s="151"/>
      <c r="P774" s="151"/>
      <c r="Q774" s="151"/>
      <c r="R774" s="151"/>
      <c r="S774" s="151"/>
      <c r="T774" s="151"/>
      <c r="U774" s="151"/>
      <c r="V774" s="151"/>
      <c r="W774" s="151"/>
      <c r="X774" s="151"/>
      <c r="Y774" s="151"/>
      <c r="Z774" s="151"/>
    </row>
    <row r="775">
      <c r="A775" s="151"/>
      <c r="B775" s="151"/>
      <c r="C775" s="179"/>
      <c r="D775" s="180"/>
      <c r="E775" s="151"/>
      <c r="F775" s="151"/>
      <c r="G775" s="151"/>
      <c r="H775" s="151"/>
      <c r="I775" s="151"/>
      <c r="J775" s="151"/>
      <c r="K775" s="151"/>
      <c r="L775" s="151"/>
      <c r="M775" s="151"/>
      <c r="N775" s="151"/>
      <c r="O775" s="151"/>
      <c r="P775" s="151"/>
      <c r="Q775" s="151"/>
      <c r="R775" s="151"/>
      <c r="S775" s="151"/>
      <c r="T775" s="151"/>
      <c r="U775" s="151"/>
      <c r="V775" s="151"/>
      <c r="W775" s="151"/>
      <c r="X775" s="151"/>
      <c r="Y775" s="151"/>
      <c r="Z775" s="151"/>
    </row>
    <row r="776">
      <c r="A776" s="151"/>
      <c r="B776" s="151"/>
      <c r="C776" s="179"/>
      <c r="D776" s="180"/>
      <c r="E776" s="151"/>
      <c r="F776" s="151"/>
      <c r="G776" s="151"/>
      <c r="H776" s="151"/>
      <c r="I776" s="151"/>
      <c r="J776" s="151"/>
      <c r="K776" s="151"/>
      <c r="L776" s="151"/>
      <c r="M776" s="151"/>
      <c r="N776" s="151"/>
      <c r="O776" s="151"/>
      <c r="P776" s="151"/>
      <c r="Q776" s="151"/>
      <c r="R776" s="151"/>
      <c r="S776" s="151"/>
      <c r="T776" s="151"/>
      <c r="U776" s="151"/>
      <c r="V776" s="151"/>
      <c r="W776" s="151"/>
      <c r="X776" s="151"/>
      <c r="Y776" s="151"/>
      <c r="Z776" s="151"/>
    </row>
    <row r="777">
      <c r="A777" s="151"/>
      <c r="B777" s="151"/>
      <c r="C777" s="179"/>
      <c r="D777" s="180"/>
      <c r="E777" s="151"/>
      <c r="F777" s="151"/>
      <c r="G777" s="151"/>
      <c r="H777" s="151"/>
      <c r="I777" s="151"/>
      <c r="J777" s="151"/>
      <c r="K777" s="151"/>
      <c r="L777" s="151"/>
      <c r="M777" s="151"/>
      <c r="N777" s="151"/>
      <c r="O777" s="151"/>
      <c r="P777" s="151"/>
      <c r="Q777" s="151"/>
      <c r="R777" s="151"/>
      <c r="S777" s="151"/>
      <c r="T777" s="151"/>
      <c r="U777" s="151"/>
      <c r="V777" s="151"/>
      <c r="W777" s="151"/>
      <c r="X777" s="151"/>
      <c r="Y777" s="151"/>
      <c r="Z777" s="151"/>
    </row>
    <row r="778">
      <c r="A778" s="151"/>
      <c r="B778" s="151"/>
      <c r="C778" s="179"/>
      <c r="D778" s="180"/>
      <c r="E778" s="151"/>
      <c r="F778" s="151"/>
      <c r="G778" s="151"/>
      <c r="H778" s="151"/>
      <c r="I778" s="151"/>
      <c r="J778" s="151"/>
      <c r="K778" s="151"/>
      <c r="L778" s="151"/>
      <c r="M778" s="151"/>
      <c r="N778" s="151"/>
      <c r="O778" s="151"/>
      <c r="P778" s="151"/>
      <c r="Q778" s="151"/>
      <c r="R778" s="151"/>
      <c r="S778" s="151"/>
      <c r="T778" s="151"/>
      <c r="U778" s="151"/>
      <c r="V778" s="151"/>
      <c r="W778" s="151"/>
      <c r="X778" s="151"/>
      <c r="Y778" s="151"/>
      <c r="Z778" s="151"/>
    </row>
    <row r="779">
      <c r="A779" s="151"/>
      <c r="B779" s="151"/>
      <c r="C779" s="179"/>
      <c r="D779" s="180"/>
      <c r="E779" s="151"/>
      <c r="F779" s="151"/>
      <c r="G779" s="151"/>
      <c r="H779" s="151"/>
      <c r="I779" s="151"/>
      <c r="J779" s="151"/>
      <c r="K779" s="151"/>
      <c r="L779" s="151"/>
      <c r="M779" s="151"/>
      <c r="N779" s="151"/>
      <c r="O779" s="151"/>
      <c r="P779" s="151"/>
      <c r="Q779" s="151"/>
      <c r="R779" s="151"/>
      <c r="S779" s="151"/>
      <c r="T779" s="151"/>
      <c r="U779" s="151"/>
      <c r="V779" s="151"/>
      <c r="W779" s="151"/>
      <c r="X779" s="151"/>
      <c r="Y779" s="151"/>
      <c r="Z779" s="151"/>
    </row>
    <row r="780">
      <c r="A780" s="151"/>
      <c r="B780" s="151"/>
      <c r="C780" s="179"/>
      <c r="D780" s="180"/>
      <c r="E780" s="151"/>
      <c r="F780" s="151"/>
      <c r="G780" s="151"/>
      <c r="H780" s="151"/>
      <c r="I780" s="151"/>
      <c r="J780" s="151"/>
      <c r="K780" s="151"/>
      <c r="L780" s="151"/>
      <c r="M780" s="151"/>
      <c r="N780" s="151"/>
      <c r="O780" s="151"/>
      <c r="P780" s="151"/>
      <c r="Q780" s="151"/>
      <c r="R780" s="151"/>
      <c r="S780" s="151"/>
      <c r="T780" s="151"/>
      <c r="U780" s="151"/>
      <c r="V780" s="151"/>
      <c r="W780" s="151"/>
      <c r="X780" s="151"/>
      <c r="Y780" s="151"/>
      <c r="Z780" s="151"/>
    </row>
    <row r="781">
      <c r="A781" s="151"/>
      <c r="B781" s="151"/>
      <c r="C781" s="179"/>
      <c r="D781" s="180"/>
      <c r="E781" s="151"/>
      <c r="F781" s="151"/>
      <c r="G781" s="151"/>
      <c r="H781" s="151"/>
      <c r="I781" s="151"/>
      <c r="J781" s="151"/>
      <c r="K781" s="151"/>
      <c r="L781" s="151"/>
      <c r="M781" s="151"/>
      <c r="N781" s="151"/>
      <c r="O781" s="151"/>
      <c r="P781" s="151"/>
      <c r="Q781" s="151"/>
      <c r="R781" s="151"/>
      <c r="S781" s="151"/>
      <c r="T781" s="151"/>
      <c r="U781" s="151"/>
      <c r="V781" s="151"/>
      <c r="W781" s="151"/>
      <c r="X781" s="151"/>
      <c r="Y781" s="151"/>
      <c r="Z781" s="151"/>
    </row>
    <row r="782">
      <c r="A782" s="151"/>
      <c r="B782" s="151"/>
      <c r="C782" s="179"/>
      <c r="D782" s="180"/>
      <c r="E782" s="151"/>
      <c r="F782" s="151"/>
      <c r="G782" s="151"/>
      <c r="H782" s="151"/>
      <c r="I782" s="151"/>
      <c r="J782" s="151"/>
      <c r="K782" s="151"/>
      <c r="L782" s="151"/>
      <c r="M782" s="151"/>
      <c r="N782" s="151"/>
      <c r="O782" s="151"/>
      <c r="P782" s="151"/>
      <c r="Q782" s="151"/>
      <c r="R782" s="151"/>
      <c r="S782" s="151"/>
      <c r="T782" s="151"/>
      <c r="U782" s="151"/>
      <c r="V782" s="151"/>
      <c r="W782" s="151"/>
      <c r="X782" s="151"/>
      <c r="Y782" s="151"/>
      <c r="Z782" s="151"/>
    </row>
    <row r="783">
      <c r="A783" s="151"/>
      <c r="B783" s="151"/>
      <c r="C783" s="179"/>
      <c r="D783" s="180"/>
      <c r="E783" s="151"/>
      <c r="F783" s="151"/>
      <c r="G783" s="151"/>
      <c r="H783" s="151"/>
      <c r="I783" s="151"/>
      <c r="J783" s="151"/>
      <c r="K783" s="151"/>
      <c r="L783" s="151"/>
      <c r="M783" s="151"/>
      <c r="N783" s="151"/>
      <c r="O783" s="151"/>
      <c r="P783" s="151"/>
      <c r="Q783" s="151"/>
      <c r="R783" s="151"/>
      <c r="S783" s="151"/>
      <c r="T783" s="151"/>
      <c r="U783" s="151"/>
      <c r="V783" s="151"/>
      <c r="W783" s="151"/>
      <c r="X783" s="151"/>
      <c r="Y783" s="151"/>
      <c r="Z783" s="151"/>
    </row>
    <row r="784">
      <c r="A784" s="151"/>
      <c r="B784" s="151"/>
      <c r="C784" s="179"/>
      <c r="D784" s="180"/>
      <c r="E784" s="151"/>
      <c r="F784" s="151"/>
      <c r="G784" s="151"/>
      <c r="H784" s="151"/>
      <c r="I784" s="151"/>
      <c r="J784" s="151"/>
      <c r="K784" s="151"/>
      <c r="L784" s="151"/>
      <c r="M784" s="151"/>
      <c r="N784" s="151"/>
      <c r="O784" s="151"/>
      <c r="P784" s="151"/>
      <c r="Q784" s="151"/>
      <c r="R784" s="151"/>
      <c r="S784" s="151"/>
      <c r="T784" s="151"/>
      <c r="U784" s="151"/>
      <c r="V784" s="151"/>
      <c r="W784" s="151"/>
      <c r="X784" s="151"/>
      <c r="Y784" s="151"/>
      <c r="Z784" s="151"/>
    </row>
    <row r="785">
      <c r="A785" s="151"/>
      <c r="B785" s="151"/>
      <c r="C785" s="179"/>
      <c r="D785" s="180"/>
      <c r="E785" s="151"/>
      <c r="F785" s="151"/>
      <c r="G785" s="151"/>
      <c r="H785" s="151"/>
      <c r="I785" s="151"/>
      <c r="J785" s="151"/>
      <c r="K785" s="151"/>
      <c r="L785" s="151"/>
      <c r="M785" s="151"/>
      <c r="N785" s="151"/>
      <c r="O785" s="151"/>
      <c r="P785" s="151"/>
      <c r="Q785" s="151"/>
      <c r="R785" s="151"/>
      <c r="S785" s="151"/>
      <c r="T785" s="151"/>
      <c r="U785" s="151"/>
      <c r="V785" s="151"/>
      <c r="W785" s="151"/>
      <c r="X785" s="151"/>
      <c r="Y785" s="151"/>
      <c r="Z785" s="151"/>
    </row>
    <row r="786">
      <c r="A786" s="151"/>
      <c r="B786" s="151"/>
      <c r="C786" s="179"/>
      <c r="D786" s="180"/>
      <c r="E786" s="151"/>
      <c r="F786" s="151"/>
      <c r="G786" s="151"/>
      <c r="H786" s="151"/>
      <c r="I786" s="151"/>
      <c r="J786" s="151"/>
      <c r="K786" s="151"/>
      <c r="L786" s="151"/>
      <c r="M786" s="151"/>
      <c r="N786" s="151"/>
      <c r="O786" s="151"/>
      <c r="P786" s="151"/>
      <c r="Q786" s="151"/>
      <c r="R786" s="151"/>
      <c r="S786" s="151"/>
      <c r="T786" s="151"/>
      <c r="U786" s="151"/>
      <c r="V786" s="151"/>
      <c r="W786" s="151"/>
      <c r="X786" s="151"/>
      <c r="Y786" s="151"/>
      <c r="Z786" s="151"/>
    </row>
    <row r="787">
      <c r="A787" s="151"/>
      <c r="B787" s="151"/>
      <c r="C787" s="179"/>
      <c r="D787" s="180"/>
      <c r="E787" s="151"/>
      <c r="F787" s="151"/>
      <c r="G787" s="151"/>
      <c r="H787" s="151"/>
      <c r="I787" s="151"/>
      <c r="J787" s="151"/>
      <c r="K787" s="151"/>
      <c r="L787" s="151"/>
      <c r="M787" s="151"/>
      <c r="N787" s="151"/>
      <c r="O787" s="151"/>
      <c r="P787" s="151"/>
      <c r="Q787" s="151"/>
      <c r="R787" s="151"/>
      <c r="S787" s="151"/>
      <c r="T787" s="151"/>
      <c r="U787" s="151"/>
      <c r="V787" s="151"/>
      <c r="W787" s="151"/>
      <c r="X787" s="151"/>
      <c r="Y787" s="151"/>
      <c r="Z787" s="151"/>
    </row>
    <row r="788">
      <c r="A788" s="151"/>
      <c r="B788" s="151"/>
      <c r="C788" s="179"/>
      <c r="D788" s="180"/>
      <c r="E788" s="151"/>
      <c r="F788" s="151"/>
      <c r="G788" s="151"/>
      <c r="H788" s="151"/>
      <c r="I788" s="151"/>
      <c r="J788" s="151"/>
      <c r="K788" s="151"/>
      <c r="L788" s="151"/>
      <c r="M788" s="151"/>
      <c r="N788" s="151"/>
      <c r="O788" s="151"/>
      <c r="P788" s="151"/>
      <c r="Q788" s="151"/>
      <c r="R788" s="151"/>
      <c r="S788" s="151"/>
      <c r="T788" s="151"/>
      <c r="U788" s="151"/>
      <c r="V788" s="151"/>
      <c r="W788" s="151"/>
      <c r="X788" s="151"/>
      <c r="Y788" s="151"/>
      <c r="Z788" s="151"/>
    </row>
    <row r="789">
      <c r="A789" s="151"/>
      <c r="B789" s="151"/>
      <c r="C789" s="179"/>
      <c r="D789" s="180"/>
      <c r="E789" s="151"/>
      <c r="F789" s="151"/>
      <c r="G789" s="151"/>
      <c r="H789" s="151"/>
      <c r="I789" s="151"/>
      <c r="J789" s="151"/>
      <c r="K789" s="151"/>
      <c r="L789" s="151"/>
      <c r="M789" s="151"/>
      <c r="N789" s="151"/>
      <c r="O789" s="151"/>
      <c r="P789" s="151"/>
      <c r="Q789" s="151"/>
      <c r="R789" s="151"/>
      <c r="S789" s="151"/>
      <c r="T789" s="151"/>
      <c r="U789" s="151"/>
      <c r="V789" s="151"/>
      <c r="W789" s="151"/>
      <c r="X789" s="151"/>
      <c r="Y789" s="151"/>
      <c r="Z789" s="151"/>
    </row>
    <row r="790">
      <c r="A790" s="151"/>
      <c r="B790" s="151"/>
      <c r="C790" s="179"/>
      <c r="D790" s="180"/>
      <c r="E790" s="151"/>
      <c r="F790" s="151"/>
      <c r="G790" s="151"/>
      <c r="H790" s="151"/>
      <c r="I790" s="151"/>
      <c r="J790" s="151"/>
      <c r="K790" s="151"/>
      <c r="L790" s="151"/>
      <c r="M790" s="151"/>
      <c r="N790" s="151"/>
      <c r="O790" s="151"/>
      <c r="P790" s="151"/>
      <c r="Q790" s="151"/>
      <c r="R790" s="151"/>
      <c r="S790" s="151"/>
      <c r="T790" s="151"/>
      <c r="U790" s="151"/>
      <c r="V790" s="151"/>
      <c r="W790" s="151"/>
      <c r="X790" s="151"/>
      <c r="Y790" s="151"/>
      <c r="Z790" s="151"/>
    </row>
    <row r="791">
      <c r="A791" s="151"/>
      <c r="B791" s="151"/>
      <c r="C791" s="179"/>
      <c r="D791" s="180"/>
      <c r="E791" s="151"/>
      <c r="F791" s="151"/>
      <c r="G791" s="151"/>
      <c r="H791" s="151"/>
      <c r="I791" s="151"/>
      <c r="J791" s="151"/>
      <c r="K791" s="151"/>
      <c r="L791" s="151"/>
      <c r="M791" s="151"/>
      <c r="N791" s="151"/>
      <c r="O791" s="151"/>
      <c r="P791" s="151"/>
      <c r="Q791" s="151"/>
      <c r="R791" s="151"/>
      <c r="S791" s="151"/>
      <c r="T791" s="151"/>
      <c r="U791" s="151"/>
      <c r="V791" s="151"/>
      <c r="W791" s="151"/>
      <c r="X791" s="151"/>
      <c r="Y791" s="151"/>
      <c r="Z791" s="151"/>
    </row>
    <row r="792">
      <c r="A792" s="151"/>
      <c r="B792" s="151"/>
      <c r="C792" s="179"/>
      <c r="D792" s="180"/>
      <c r="E792" s="151"/>
      <c r="F792" s="151"/>
      <c r="G792" s="151"/>
      <c r="H792" s="151"/>
      <c r="I792" s="151"/>
      <c r="J792" s="151"/>
      <c r="K792" s="151"/>
      <c r="L792" s="151"/>
      <c r="M792" s="151"/>
      <c r="N792" s="151"/>
      <c r="O792" s="151"/>
      <c r="P792" s="151"/>
      <c r="Q792" s="151"/>
      <c r="R792" s="151"/>
      <c r="S792" s="151"/>
      <c r="T792" s="151"/>
      <c r="U792" s="151"/>
      <c r="V792" s="151"/>
      <c r="W792" s="151"/>
      <c r="X792" s="151"/>
      <c r="Y792" s="151"/>
      <c r="Z792" s="151"/>
    </row>
    <row r="793">
      <c r="A793" s="151"/>
      <c r="B793" s="151"/>
      <c r="C793" s="179"/>
      <c r="D793" s="180"/>
      <c r="E793" s="151"/>
      <c r="F793" s="151"/>
      <c r="G793" s="151"/>
      <c r="H793" s="151"/>
      <c r="I793" s="151"/>
      <c r="J793" s="151"/>
      <c r="K793" s="151"/>
      <c r="L793" s="151"/>
      <c r="M793" s="151"/>
      <c r="N793" s="151"/>
      <c r="O793" s="151"/>
      <c r="P793" s="151"/>
      <c r="Q793" s="151"/>
      <c r="R793" s="151"/>
      <c r="S793" s="151"/>
      <c r="T793" s="151"/>
      <c r="U793" s="151"/>
      <c r="V793" s="151"/>
      <c r="W793" s="151"/>
      <c r="X793" s="151"/>
      <c r="Y793" s="151"/>
      <c r="Z793" s="151"/>
    </row>
    <row r="794">
      <c r="A794" s="151"/>
      <c r="B794" s="151"/>
      <c r="C794" s="179"/>
      <c r="D794" s="180"/>
      <c r="E794" s="151"/>
      <c r="F794" s="151"/>
      <c r="G794" s="151"/>
      <c r="H794" s="151"/>
      <c r="I794" s="151"/>
      <c r="J794" s="151"/>
      <c r="K794" s="151"/>
      <c r="L794" s="151"/>
      <c r="M794" s="151"/>
      <c r="N794" s="151"/>
      <c r="O794" s="151"/>
      <c r="P794" s="151"/>
      <c r="Q794" s="151"/>
      <c r="R794" s="151"/>
      <c r="S794" s="151"/>
      <c r="T794" s="151"/>
      <c r="U794" s="151"/>
      <c r="V794" s="151"/>
      <c r="W794" s="151"/>
      <c r="X794" s="151"/>
      <c r="Y794" s="151"/>
      <c r="Z794" s="151"/>
    </row>
    <row r="795">
      <c r="A795" s="151"/>
      <c r="B795" s="151"/>
      <c r="C795" s="179"/>
      <c r="D795" s="180"/>
      <c r="E795" s="151"/>
      <c r="F795" s="151"/>
      <c r="G795" s="151"/>
      <c r="H795" s="151"/>
      <c r="I795" s="151"/>
      <c r="J795" s="151"/>
      <c r="K795" s="151"/>
      <c r="L795" s="151"/>
      <c r="M795" s="151"/>
      <c r="N795" s="151"/>
      <c r="O795" s="151"/>
      <c r="P795" s="151"/>
      <c r="Q795" s="151"/>
      <c r="R795" s="151"/>
      <c r="S795" s="151"/>
      <c r="T795" s="151"/>
      <c r="U795" s="151"/>
      <c r="V795" s="151"/>
      <c r="W795" s="151"/>
      <c r="X795" s="151"/>
      <c r="Y795" s="151"/>
      <c r="Z795" s="151"/>
    </row>
    <row r="796">
      <c r="A796" s="151"/>
      <c r="B796" s="151"/>
      <c r="C796" s="179"/>
      <c r="D796" s="180"/>
      <c r="E796" s="151"/>
      <c r="F796" s="151"/>
      <c r="G796" s="151"/>
      <c r="H796" s="151"/>
      <c r="I796" s="151"/>
      <c r="J796" s="151"/>
      <c r="K796" s="151"/>
      <c r="L796" s="151"/>
      <c r="M796" s="151"/>
      <c r="N796" s="151"/>
      <c r="O796" s="151"/>
      <c r="P796" s="151"/>
      <c r="Q796" s="151"/>
      <c r="R796" s="151"/>
      <c r="S796" s="151"/>
      <c r="T796" s="151"/>
      <c r="U796" s="151"/>
      <c r="V796" s="151"/>
      <c r="W796" s="151"/>
      <c r="X796" s="151"/>
      <c r="Y796" s="151"/>
      <c r="Z796" s="151"/>
    </row>
    <row r="797">
      <c r="A797" s="151"/>
      <c r="B797" s="151"/>
      <c r="C797" s="179"/>
      <c r="D797" s="180"/>
      <c r="E797" s="151"/>
      <c r="F797" s="151"/>
      <c r="G797" s="151"/>
      <c r="H797" s="151"/>
      <c r="I797" s="151"/>
      <c r="J797" s="151"/>
      <c r="K797" s="151"/>
      <c r="L797" s="151"/>
      <c r="M797" s="151"/>
      <c r="N797" s="151"/>
      <c r="O797" s="151"/>
      <c r="P797" s="151"/>
      <c r="Q797" s="151"/>
      <c r="R797" s="151"/>
      <c r="S797" s="151"/>
      <c r="T797" s="151"/>
      <c r="U797" s="151"/>
      <c r="V797" s="151"/>
      <c r="W797" s="151"/>
      <c r="X797" s="151"/>
      <c r="Y797" s="151"/>
      <c r="Z797" s="151"/>
    </row>
    <row r="798">
      <c r="A798" s="151"/>
      <c r="B798" s="151"/>
      <c r="C798" s="179"/>
      <c r="D798" s="180"/>
      <c r="E798" s="151"/>
      <c r="F798" s="151"/>
      <c r="G798" s="151"/>
      <c r="H798" s="151"/>
      <c r="I798" s="151"/>
      <c r="J798" s="151"/>
      <c r="K798" s="151"/>
      <c r="L798" s="151"/>
      <c r="M798" s="151"/>
      <c r="N798" s="151"/>
      <c r="O798" s="151"/>
      <c r="P798" s="151"/>
      <c r="Q798" s="151"/>
      <c r="R798" s="151"/>
      <c r="S798" s="151"/>
      <c r="T798" s="151"/>
      <c r="U798" s="151"/>
      <c r="V798" s="151"/>
      <c r="W798" s="151"/>
      <c r="X798" s="151"/>
      <c r="Y798" s="151"/>
      <c r="Z798" s="151"/>
    </row>
    <row r="799">
      <c r="A799" s="151"/>
      <c r="B799" s="151"/>
      <c r="C799" s="179"/>
      <c r="D799" s="180"/>
      <c r="E799" s="151"/>
      <c r="F799" s="151"/>
      <c r="G799" s="151"/>
      <c r="H799" s="151"/>
      <c r="I799" s="151"/>
      <c r="J799" s="151"/>
      <c r="K799" s="151"/>
      <c r="L799" s="151"/>
      <c r="M799" s="151"/>
      <c r="N799" s="151"/>
      <c r="O799" s="151"/>
      <c r="P799" s="151"/>
      <c r="Q799" s="151"/>
      <c r="R799" s="151"/>
      <c r="S799" s="151"/>
      <c r="T799" s="151"/>
      <c r="U799" s="151"/>
      <c r="V799" s="151"/>
      <c r="W799" s="151"/>
      <c r="X799" s="151"/>
      <c r="Y799" s="151"/>
      <c r="Z799" s="151"/>
    </row>
    <row r="800">
      <c r="A800" s="151"/>
      <c r="B800" s="151"/>
      <c r="C800" s="179"/>
      <c r="D800" s="180"/>
      <c r="E800" s="151"/>
      <c r="F800" s="151"/>
      <c r="G800" s="151"/>
      <c r="H800" s="151"/>
      <c r="I800" s="151"/>
      <c r="J800" s="151"/>
      <c r="K800" s="151"/>
      <c r="L800" s="151"/>
      <c r="M800" s="151"/>
      <c r="N800" s="151"/>
      <c r="O800" s="151"/>
      <c r="P800" s="151"/>
      <c r="Q800" s="151"/>
      <c r="R800" s="151"/>
      <c r="S800" s="151"/>
      <c r="T800" s="151"/>
      <c r="U800" s="151"/>
      <c r="V800" s="151"/>
      <c r="W800" s="151"/>
      <c r="X800" s="151"/>
      <c r="Y800" s="151"/>
      <c r="Z800" s="151"/>
    </row>
    <row r="801">
      <c r="A801" s="151"/>
      <c r="B801" s="151"/>
      <c r="C801" s="179"/>
      <c r="D801" s="180"/>
      <c r="E801" s="151"/>
      <c r="F801" s="151"/>
      <c r="G801" s="151"/>
      <c r="H801" s="151"/>
      <c r="I801" s="151"/>
      <c r="J801" s="151"/>
      <c r="K801" s="151"/>
      <c r="L801" s="151"/>
      <c r="M801" s="151"/>
      <c r="N801" s="151"/>
      <c r="O801" s="151"/>
      <c r="P801" s="151"/>
      <c r="Q801" s="151"/>
      <c r="R801" s="151"/>
      <c r="S801" s="151"/>
      <c r="T801" s="151"/>
      <c r="U801" s="151"/>
      <c r="V801" s="151"/>
      <c r="W801" s="151"/>
      <c r="X801" s="151"/>
      <c r="Y801" s="151"/>
      <c r="Z801" s="151"/>
    </row>
    <row r="802">
      <c r="A802" s="151"/>
      <c r="B802" s="151"/>
      <c r="C802" s="179"/>
      <c r="D802" s="180"/>
      <c r="E802" s="151"/>
      <c r="F802" s="151"/>
      <c r="G802" s="151"/>
      <c r="H802" s="151"/>
      <c r="I802" s="151"/>
      <c r="J802" s="151"/>
      <c r="K802" s="151"/>
      <c r="L802" s="151"/>
      <c r="M802" s="151"/>
      <c r="N802" s="151"/>
      <c r="O802" s="151"/>
      <c r="P802" s="151"/>
      <c r="Q802" s="151"/>
      <c r="R802" s="151"/>
      <c r="S802" s="151"/>
      <c r="T802" s="151"/>
      <c r="U802" s="151"/>
      <c r="V802" s="151"/>
      <c r="W802" s="151"/>
      <c r="X802" s="151"/>
      <c r="Y802" s="151"/>
      <c r="Z802" s="151"/>
    </row>
    <row r="803">
      <c r="A803" s="151"/>
      <c r="B803" s="151"/>
      <c r="C803" s="179"/>
      <c r="D803" s="180"/>
      <c r="E803" s="151"/>
      <c r="F803" s="151"/>
      <c r="G803" s="151"/>
      <c r="H803" s="151"/>
      <c r="I803" s="151"/>
      <c r="J803" s="151"/>
      <c r="K803" s="151"/>
      <c r="L803" s="151"/>
      <c r="M803" s="151"/>
      <c r="N803" s="151"/>
      <c r="O803" s="151"/>
      <c r="P803" s="151"/>
      <c r="Q803" s="151"/>
      <c r="R803" s="151"/>
      <c r="S803" s="151"/>
      <c r="T803" s="151"/>
      <c r="U803" s="151"/>
      <c r="V803" s="151"/>
      <c r="W803" s="151"/>
      <c r="X803" s="151"/>
      <c r="Y803" s="151"/>
      <c r="Z803" s="151"/>
    </row>
    <row r="804">
      <c r="A804" s="151"/>
      <c r="B804" s="151"/>
      <c r="C804" s="179"/>
      <c r="D804" s="180"/>
      <c r="E804" s="151"/>
      <c r="F804" s="151"/>
      <c r="G804" s="151"/>
      <c r="H804" s="151"/>
      <c r="I804" s="151"/>
      <c r="J804" s="151"/>
      <c r="K804" s="151"/>
      <c r="L804" s="151"/>
      <c r="M804" s="151"/>
      <c r="N804" s="151"/>
      <c r="O804" s="151"/>
      <c r="P804" s="151"/>
      <c r="Q804" s="151"/>
      <c r="R804" s="151"/>
      <c r="S804" s="151"/>
      <c r="T804" s="151"/>
      <c r="U804" s="151"/>
      <c r="V804" s="151"/>
      <c r="W804" s="151"/>
      <c r="X804" s="151"/>
      <c r="Y804" s="151"/>
      <c r="Z804" s="151"/>
    </row>
    <row r="805">
      <c r="A805" s="151"/>
      <c r="B805" s="151"/>
      <c r="C805" s="179"/>
      <c r="D805" s="180"/>
      <c r="E805" s="151"/>
      <c r="F805" s="151"/>
      <c r="G805" s="151"/>
      <c r="H805" s="151"/>
      <c r="I805" s="151"/>
      <c r="J805" s="151"/>
      <c r="K805" s="151"/>
      <c r="L805" s="151"/>
      <c r="M805" s="151"/>
      <c r="N805" s="151"/>
      <c r="O805" s="151"/>
      <c r="P805" s="151"/>
      <c r="Q805" s="151"/>
      <c r="R805" s="151"/>
      <c r="S805" s="151"/>
      <c r="T805" s="151"/>
      <c r="U805" s="151"/>
      <c r="V805" s="151"/>
      <c r="W805" s="151"/>
      <c r="X805" s="151"/>
      <c r="Y805" s="151"/>
      <c r="Z805" s="151"/>
    </row>
    <row r="806">
      <c r="A806" s="151"/>
      <c r="B806" s="151"/>
      <c r="C806" s="179"/>
      <c r="D806" s="180"/>
      <c r="E806" s="151"/>
      <c r="F806" s="151"/>
      <c r="G806" s="151"/>
      <c r="H806" s="151"/>
      <c r="I806" s="151"/>
      <c r="J806" s="151"/>
      <c r="K806" s="151"/>
      <c r="L806" s="151"/>
      <c r="M806" s="151"/>
      <c r="N806" s="151"/>
      <c r="O806" s="151"/>
      <c r="P806" s="151"/>
      <c r="Q806" s="151"/>
      <c r="R806" s="151"/>
      <c r="S806" s="151"/>
      <c r="T806" s="151"/>
      <c r="U806" s="151"/>
      <c r="V806" s="151"/>
      <c r="W806" s="151"/>
      <c r="X806" s="151"/>
      <c r="Y806" s="151"/>
      <c r="Z806" s="151"/>
    </row>
    <row r="807">
      <c r="A807" s="151"/>
      <c r="B807" s="151"/>
      <c r="C807" s="179"/>
      <c r="D807" s="180"/>
      <c r="E807" s="151"/>
      <c r="F807" s="151"/>
      <c r="G807" s="151"/>
      <c r="H807" s="151"/>
      <c r="I807" s="151"/>
      <c r="J807" s="151"/>
      <c r="K807" s="151"/>
      <c r="L807" s="151"/>
      <c r="M807" s="151"/>
      <c r="N807" s="151"/>
      <c r="O807" s="151"/>
      <c r="P807" s="151"/>
      <c r="Q807" s="151"/>
      <c r="R807" s="151"/>
      <c r="S807" s="151"/>
      <c r="T807" s="151"/>
      <c r="U807" s="151"/>
      <c r="V807" s="151"/>
      <c r="W807" s="151"/>
      <c r="X807" s="151"/>
      <c r="Y807" s="151"/>
      <c r="Z807" s="151"/>
    </row>
    <row r="808">
      <c r="A808" s="151"/>
      <c r="B808" s="151"/>
      <c r="C808" s="179"/>
      <c r="D808" s="180"/>
      <c r="E808" s="151"/>
      <c r="F808" s="151"/>
      <c r="G808" s="151"/>
      <c r="H808" s="151"/>
      <c r="I808" s="151"/>
      <c r="J808" s="151"/>
      <c r="K808" s="151"/>
      <c r="L808" s="151"/>
      <c r="M808" s="151"/>
      <c r="N808" s="151"/>
      <c r="O808" s="151"/>
      <c r="P808" s="151"/>
      <c r="Q808" s="151"/>
      <c r="R808" s="151"/>
      <c r="S808" s="151"/>
      <c r="T808" s="151"/>
      <c r="U808" s="151"/>
      <c r="V808" s="151"/>
      <c r="W808" s="151"/>
      <c r="X808" s="151"/>
      <c r="Y808" s="151"/>
      <c r="Z808" s="151"/>
    </row>
    <row r="809">
      <c r="A809" s="151"/>
      <c r="B809" s="151"/>
      <c r="C809" s="179"/>
      <c r="D809" s="180"/>
      <c r="E809" s="151"/>
      <c r="F809" s="151"/>
      <c r="G809" s="151"/>
      <c r="H809" s="151"/>
      <c r="I809" s="151"/>
      <c r="J809" s="151"/>
      <c r="K809" s="151"/>
      <c r="L809" s="151"/>
      <c r="M809" s="151"/>
      <c r="N809" s="151"/>
      <c r="O809" s="151"/>
      <c r="P809" s="151"/>
      <c r="Q809" s="151"/>
      <c r="R809" s="151"/>
      <c r="S809" s="151"/>
      <c r="T809" s="151"/>
      <c r="U809" s="151"/>
      <c r="V809" s="151"/>
      <c r="W809" s="151"/>
      <c r="X809" s="151"/>
      <c r="Y809" s="151"/>
      <c r="Z809" s="151"/>
    </row>
    <row r="810">
      <c r="A810" s="151"/>
      <c r="B810" s="151"/>
      <c r="C810" s="179"/>
      <c r="D810" s="180"/>
      <c r="E810" s="151"/>
      <c r="F810" s="151"/>
      <c r="G810" s="151"/>
      <c r="H810" s="151"/>
      <c r="I810" s="151"/>
      <c r="J810" s="151"/>
      <c r="K810" s="151"/>
      <c r="L810" s="151"/>
      <c r="M810" s="151"/>
      <c r="N810" s="151"/>
      <c r="O810" s="151"/>
      <c r="P810" s="151"/>
      <c r="Q810" s="151"/>
      <c r="R810" s="151"/>
      <c r="S810" s="151"/>
      <c r="T810" s="151"/>
      <c r="U810" s="151"/>
      <c r="V810" s="151"/>
      <c r="W810" s="151"/>
      <c r="X810" s="151"/>
      <c r="Y810" s="151"/>
      <c r="Z810" s="151"/>
    </row>
    <row r="811">
      <c r="A811" s="151"/>
      <c r="B811" s="151"/>
      <c r="C811" s="179"/>
      <c r="D811" s="180"/>
      <c r="E811" s="151"/>
      <c r="F811" s="151"/>
      <c r="G811" s="151"/>
      <c r="H811" s="151"/>
      <c r="I811" s="151"/>
      <c r="J811" s="151"/>
      <c r="K811" s="151"/>
      <c r="L811" s="151"/>
      <c r="M811" s="151"/>
      <c r="N811" s="151"/>
      <c r="O811" s="151"/>
      <c r="P811" s="151"/>
      <c r="Q811" s="151"/>
      <c r="R811" s="151"/>
      <c r="S811" s="151"/>
      <c r="T811" s="151"/>
      <c r="U811" s="151"/>
      <c r="V811" s="151"/>
      <c r="W811" s="151"/>
      <c r="X811" s="151"/>
      <c r="Y811" s="151"/>
      <c r="Z811" s="151"/>
    </row>
    <row r="812">
      <c r="A812" s="151"/>
      <c r="B812" s="151"/>
      <c r="C812" s="179"/>
      <c r="D812" s="180"/>
      <c r="E812" s="151"/>
      <c r="F812" s="151"/>
      <c r="G812" s="151"/>
      <c r="H812" s="151"/>
      <c r="I812" s="151"/>
      <c r="J812" s="151"/>
      <c r="K812" s="151"/>
      <c r="L812" s="151"/>
      <c r="M812" s="151"/>
      <c r="N812" s="151"/>
      <c r="O812" s="151"/>
      <c r="P812" s="151"/>
      <c r="Q812" s="151"/>
      <c r="R812" s="151"/>
      <c r="S812" s="151"/>
      <c r="T812" s="151"/>
      <c r="U812" s="151"/>
      <c r="V812" s="151"/>
      <c r="W812" s="151"/>
      <c r="X812" s="151"/>
      <c r="Y812" s="151"/>
      <c r="Z812" s="151"/>
    </row>
    <row r="813">
      <c r="A813" s="151"/>
      <c r="B813" s="151"/>
      <c r="C813" s="179"/>
      <c r="D813" s="180"/>
      <c r="E813" s="151"/>
      <c r="F813" s="151"/>
      <c r="G813" s="151"/>
      <c r="H813" s="151"/>
      <c r="I813" s="151"/>
      <c r="J813" s="151"/>
      <c r="K813" s="151"/>
      <c r="L813" s="151"/>
      <c r="M813" s="151"/>
      <c r="N813" s="151"/>
      <c r="O813" s="151"/>
      <c r="P813" s="151"/>
      <c r="Q813" s="151"/>
      <c r="R813" s="151"/>
      <c r="S813" s="151"/>
      <c r="T813" s="151"/>
      <c r="U813" s="151"/>
      <c r="V813" s="151"/>
      <c r="W813" s="151"/>
      <c r="X813" s="151"/>
      <c r="Y813" s="151"/>
      <c r="Z813" s="151"/>
    </row>
    <row r="814">
      <c r="A814" s="151"/>
      <c r="B814" s="151"/>
      <c r="C814" s="179"/>
      <c r="D814" s="180"/>
      <c r="E814" s="151"/>
      <c r="F814" s="151"/>
      <c r="G814" s="151"/>
      <c r="H814" s="151"/>
      <c r="I814" s="151"/>
      <c r="J814" s="151"/>
      <c r="K814" s="151"/>
      <c r="L814" s="151"/>
      <c r="M814" s="151"/>
      <c r="N814" s="151"/>
      <c r="O814" s="151"/>
      <c r="P814" s="151"/>
      <c r="Q814" s="151"/>
      <c r="R814" s="151"/>
      <c r="S814" s="151"/>
      <c r="T814" s="151"/>
      <c r="U814" s="151"/>
      <c r="V814" s="151"/>
      <c r="W814" s="151"/>
      <c r="X814" s="151"/>
      <c r="Y814" s="151"/>
      <c r="Z814" s="151"/>
    </row>
    <row r="815">
      <c r="A815" s="151"/>
      <c r="B815" s="151"/>
      <c r="C815" s="179"/>
      <c r="D815" s="180"/>
      <c r="E815" s="151"/>
      <c r="F815" s="151"/>
      <c r="G815" s="151"/>
      <c r="H815" s="151"/>
      <c r="I815" s="151"/>
      <c r="J815" s="151"/>
      <c r="K815" s="151"/>
      <c r="L815" s="151"/>
      <c r="M815" s="151"/>
      <c r="N815" s="151"/>
      <c r="O815" s="151"/>
      <c r="P815" s="151"/>
      <c r="Q815" s="151"/>
      <c r="R815" s="151"/>
      <c r="S815" s="151"/>
      <c r="T815" s="151"/>
      <c r="U815" s="151"/>
      <c r="V815" s="151"/>
      <c r="W815" s="151"/>
      <c r="X815" s="151"/>
      <c r="Y815" s="151"/>
      <c r="Z815" s="151"/>
    </row>
    <row r="816">
      <c r="A816" s="151"/>
      <c r="B816" s="151"/>
      <c r="C816" s="179"/>
      <c r="D816" s="180"/>
      <c r="E816" s="151"/>
      <c r="F816" s="151"/>
      <c r="G816" s="151"/>
      <c r="H816" s="151"/>
      <c r="I816" s="151"/>
      <c r="J816" s="151"/>
      <c r="K816" s="151"/>
      <c r="L816" s="151"/>
      <c r="M816" s="151"/>
      <c r="N816" s="151"/>
      <c r="O816" s="151"/>
      <c r="P816" s="151"/>
      <c r="Q816" s="151"/>
      <c r="R816" s="151"/>
      <c r="S816" s="151"/>
      <c r="T816" s="151"/>
      <c r="U816" s="151"/>
      <c r="V816" s="151"/>
      <c r="W816" s="151"/>
      <c r="X816" s="151"/>
      <c r="Y816" s="151"/>
      <c r="Z816" s="151"/>
    </row>
    <row r="817">
      <c r="A817" s="151"/>
      <c r="B817" s="151"/>
      <c r="C817" s="179"/>
      <c r="D817" s="180"/>
      <c r="E817" s="151"/>
      <c r="F817" s="151"/>
      <c r="G817" s="151"/>
      <c r="H817" s="151"/>
      <c r="I817" s="151"/>
      <c r="J817" s="151"/>
      <c r="K817" s="151"/>
      <c r="L817" s="151"/>
      <c r="M817" s="151"/>
      <c r="N817" s="151"/>
      <c r="O817" s="151"/>
      <c r="P817" s="151"/>
      <c r="Q817" s="151"/>
      <c r="R817" s="151"/>
      <c r="S817" s="151"/>
      <c r="T817" s="151"/>
      <c r="U817" s="151"/>
      <c r="V817" s="151"/>
      <c r="W817" s="151"/>
      <c r="X817" s="151"/>
      <c r="Y817" s="151"/>
      <c r="Z817" s="151"/>
    </row>
    <row r="818">
      <c r="A818" s="151"/>
      <c r="B818" s="151"/>
      <c r="C818" s="179"/>
      <c r="D818" s="180"/>
      <c r="E818" s="151"/>
      <c r="F818" s="151"/>
      <c r="G818" s="151"/>
      <c r="H818" s="151"/>
      <c r="I818" s="151"/>
      <c r="J818" s="151"/>
      <c r="K818" s="151"/>
      <c r="L818" s="151"/>
      <c r="M818" s="151"/>
      <c r="N818" s="151"/>
      <c r="O818" s="151"/>
      <c r="P818" s="151"/>
      <c r="Q818" s="151"/>
      <c r="R818" s="151"/>
      <c r="S818" s="151"/>
      <c r="T818" s="151"/>
      <c r="U818" s="151"/>
      <c r="V818" s="151"/>
      <c r="W818" s="151"/>
      <c r="X818" s="151"/>
      <c r="Y818" s="151"/>
      <c r="Z818" s="151"/>
    </row>
    <row r="819">
      <c r="A819" s="151"/>
      <c r="B819" s="151"/>
      <c r="C819" s="179"/>
      <c r="D819" s="180"/>
      <c r="E819" s="151"/>
      <c r="F819" s="151"/>
      <c r="G819" s="151"/>
      <c r="H819" s="151"/>
      <c r="I819" s="151"/>
      <c r="J819" s="151"/>
      <c r="K819" s="151"/>
      <c r="L819" s="151"/>
      <c r="M819" s="151"/>
      <c r="N819" s="151"/>
      <c r="O819" s="151"/>
      <c r="P819" s="151"/>
      <c r="Q819" s="151"/>
      <c r="R819" s="151"/>
      <c r="S819" s="151"/>
      <c r="T819" s="151"/>
      <c r="U819" s="151"/>
      <c r="V819" s="151"/>
      <c r="W819" s="151"/>
      <c r="X819" s="151"/>
      <c r="Y819" s="151"/>
      <c r="Z819" s="151"/>
    </row>
    <row r="820">
      <c r="A820" s="151"/>
      <c r="B820" s="151"/>
      <c r="C820" s="179"/>
      <c r="D820" s="180"/>
      <c r="E820" s="151"/>
      <c r="F820" s="151"/>
      <c r="G820" s="151"/>
      <c r="H820" s="151"/>
      <c r="I820" s="151"/>
      <c r="J820" s="151"/>
      <c r="K820" s="151"/>
      <c r="L820" s="151"/>
      <c r="M820" s="151"/>
      <c r="N820" s="151"/>
      <c r="O820" s="151"/>
      <c r="P820" s="151"/>
      <c r="Q820" s="151"/>
      <c r="R820" s="151"/>
      <c r="S820" s="151"/>
      <c r="T820" s="151"/>
      <c r="U820" s="151"/>
      <c r="V820" s="151"/>
      <c r="W820" s="151"/>
      <c r="X820" s="151"/>
      <c r="Y820" s="151"/>
      <c r="Z820" s="151"/>
    </row>
    <row r="821">
      <c r="A821" s="151"/>
      <c r="B821" s="151"/>
      <c r="C821" s="179"/>
      <c r="D821" s="180"/>
      <c r="E821" s="151"/>
      <c r="F821" s="151"/>
      <c r="G821" s="151"/>
      <c r="H821" s="151"/>
      <c r="I821" s="151"/>
      <c r="J821" s="151"/>
      <c r="K821" s="151"/>
      <c r="L821" s="151"/>
      <c r="M821" s="151"/>
      <c r="N821" s="151"/>
      <c r="O821" s="151"/>
      <c r="P821" s="151"/>
      <c r="Q821" s="151"/>
      <c r="R821" s="151"/>
      <c r="S821" s="151"/>
      <c r="T821" s="151"/>
      <c r="U821" s="151"/>
      <c r="V821" s="151"/>
      <c r="W821" s="151"/>
      <c r="X821" s="151"/>
      <c r="Y821" s="151"/>
      <c r="Z821" s="151"/>
    </row>
    <row r="822">
      <c r="A822" s="151"/>
      <c r="B822" s="151"/>
      <c r="C822" s="179"/>
      <c r="D822" s="180"/>
      <c r="E822" s="151"/>
      <c r="F822" s="151"/>
      <c r="G822" s="151"/>
      <c r="H822" s="151"/>
      <c r="I822" s="151"/>
      <c r="J822" s="151"/>
      <c r="K822" s="151"/>
      <c r="L822" s="151"/>
      <c r="M822" s="151"/>
      <c r="N822" s="151"/>
      <c r="O822" s="151"/>
      <c r="P822" s="151"/>
      <c r="Q822" s="151"/>
      <c r="R822" s="151"/>
      <c r="S822" s="151"/>
      <c r="T822" s="151"/>
      <c r="U822" s="151"/>
      <c r="V822" s="151"/>
      <c r="W822" s="151"/>
      <c r="X822" s="151"/>
      <c r="Y822" s="151"/>
      <c r="Z822" s="151"/>
    </row>
    <row r="823">
      <c r="A823" s="151"/>
      <c r="B823" s="151"/>
      <c r="C823" s="179"/>
      <c r="D823" s="180"/>
      <c r="E823" s="151"/>
      <c r="F823" s="151"/>
      <c r="G823" s="151"/>
      <c r="H823" s="151"/>
      <c r="I823" s="151"/>
      <c r="J823" s="151"/>
      <c r="K823" s="151"/>
      <c r="L823" s="151"/>
      <c r="M823" s="151"/>
      <c r="N823" s="151"/>
      <c r="O823" s="151"/>
      <c r="P823" s="151"/>
      <c r="Q823" s="151"/>
      <c r="R823" s="151"/>
      <c r="S823" s="151"/>
      <c r="T823" s="151"/>
      <c r="U823" s="151"/>
      <c r="V823" s="151"/>
      <c r="W823" s="151"/>
      <c r="X823" s="151"/>
      <c r="Y823" s="151"/>
      <c r="Z823" s="151"/>
    </row>
    <row r="824">
      <c r="A824" s="151"/>
      <c r="B824" s="151"/>
      <c r="C824" s="179"/>
      <c r="D824" s="180"/>
      <c r="E824" s="151"/>
      <c r="F824" s="151"/>
      <c r="G824" s="151"/>
      <c r="H824" s="151"/>
      <c r="I824" s="151"/>
      <c r="J824" s="151"/>
      <c r="K824" s="151"/>
      <c r="L824" s="151"/>
      <c r="M824" s="151"/>
      <c r="N824" s="151"/>
      <c r="O824" s="151"/>
      <c r="P824" s="151"/>
      <c r="Q824" s="151"/>
      <c r="R824" s="151"/>
      <c r="S824" s="151"/>
      <c r="T824" s="151"/>
      <c r="U824" s="151"/>
      <c r="V824" s="151"/>
      <c r="W824" s="151"/>
      <c r="X824" s="151"/>
      <c r="Y824" s="151"/>
      <c r="Z824" s="151"/>
    </row>
    <row r="825">
      <c r="A825" s="151"/>
      <c r="B825" s="151"/>
      <c r="C825" s="179"/>
      <c r="D825" s="180"/>
      <c r="E825" s="151"/>
      <c r="F825" s="151"/>
      <c r="G825" s="151"/>
      <c r="H825" s="151"/>
      <c r="I825" s="151"/>
      <c r="J825" s="151"/>
      <c r="K825" s="151"/>
      <c r="L825" s="151"/>
      <c r="M825" s="151"/>
      <c r="N825" s="151"/>
      <c r="O825" s="151"/>
      <c r="P825" s="151"/>
      <c r="Q825" s="151"/>
      <c r="R825" s="151"/>
      <c r="S825" s="151"/>
      <c r="T825" s="151"/>
      <c r="U825" s="151"/>
      <c r="V825" s="151"/>
      <c r="W825" s="151"/>
      <c r="X825" s="151"/>
      <c r="Y825" s="151"/>
      <c r="Z825" s="151"/>
    </row>
    <row r="826">
      <c r="A826" s="151"/>
      <c r="B826" s="151"/>
      <c r="C826" s="179"/>
      <c r="D826" s="180"/>
      <c r="E826" s="151"/>
      <c r="F826" s="151"/>
      <c r="G826" s="151"/>
      <c r="H826" s="151"/>
      <c r="I826" s="151"/>
      <c r="J826" s="151"/>
      <c r="K826" s="151"/>
      <c r="L826" s="151"/>
      <c r="M826" s="151"/>
      <c r="N826" s="151"/>
      <c r="O826" s="151"/>
      <c r="P826" s="151"/>
      <c r="Q826" s="151"/>
      <c r="R826" s="151"/>
      <c r="S826" s="151"/>
      <c r="T826" s="151"/>
      <c r="U826" s="151"/>
      <c r="V826" s="151"/>
      <c r="W826" s="151"/>
      <c r="X826" s="151"/>
      <c r="Y826" s="151"/>
      <c r="Z826" s="151"/>
    </row>
    <row r="827">
      <c r="A827" s="151"/>
      <c r="B827" s="151"/>
      <c r="C827" s="179"/>
      <c r="D827" s="180"/>
      <c r="E827" s="151"/>
      <c r="F827" s="151"/>
      <c r="G827" s="151"/>
      <c r="H827" s="151"/>
      <c r="I827" s="151"/>
      <c r="J827" s="151"/>
      <c r="K827" s="151"/>
      <c r="L827" s="151"/>
      <c r="M827" s="151"/>
      <c r="N827" s="151"/>
      <c r="O827" s="151"/>
      <c r="P827" s="151"/>
      <c r="Q827" s="151"/>
      <c r="R827" s="151"/>
      <c r="S827" s="151"/>
      <c r="T827" s="151"/>
      <c r="U827" s="151"/>
      <c r="V827" s="151"/>
      <c r="W827" s="151"/>
      <c r="X827" s="151"/>
      <c r="Y827" s="151"/>
      <c r="Z827" s="151"/>
    </row>
    <row r="828">
      <c r="A828" s="151"/>
      <c r="B828" s="151"/>
      <c r="C828" s="179"/>
      <c r="D828" s="180"/>
      <c r="E828" s="151"/>
      <c r="F828" s="151"/>
      <c r="G828" s="151"/>
      <c r="H828" s="151"/>
      <c r="I828" s="151"/>
      <c r="J828" s="151"/>
      <c r="K828" s="151"/>
      <c r="L828" s="151"/>
      <c r="M828" s="151"/>
      <c r="N828" s="151"/>
      <c r="O828" s="151"/>
      <c r="P828" s="151"/>
      <c r="Q828" s="151"/>
      <c r="R828" s="151"/>
      <c r="S828" s="151"/>
      <c r="T828" s="151"/>
      <c r="U828" s="151"/>
      <c r="V828" s="151"/>
      <c r="W828" s="151"/>
      <c r="X828" s="151"/>
      <c r="Y828" s="151"/>
      <c r="Z828" s="151"/>
    </row>
    <row r="829">
      <c r="A829" s="151"/>
      <c r="B829" s="151"/>
      <c r="C829" s="179"/>
      <c r="D829" s="180"/>
      <c r="E829" s="151"/>
      <c r="F829" s="151"/>
      <c r="G829" s="151"/>
      <c r="H829" s="151"/>
      <c r="I829" s="151"/>
      <c r="J829" s="151"/>
      <c r="K829" s="151"/>
      <c r="L829" s="151"/>
      <c r="M829" s="151"/>
      <c r="N829" s="151"/>
      <c r="O829" s="151"/>
      <c r="P829" s="151"/>
      <c r="Q829" s="151"/>
      <c r="R829" s="151"/>
      <c r="S829" s="151"/>
      <c r="T829" s="151"/>
      <c r="U829" s="151"/>
      <c r="V829" s="151"/>
      <c r="W829" s="151"/>
      <c r="X829" s="151"/>
      <c r="Y829" s="151"/>
      <c r="Z829" s="151"/>
    </row>
    <row r="830">
      <c r="A830" s="151"/>
      <c r="B830" s="151"/>
      <c r="C830" s="179"/>
      <c r="D830" s="180"/>
      <c r="E830" s="151"/>
      <c r="F830" s="151"/>
      <c r="G830" s="151"/>
      <c r="H830" s="151"/>
      <c r="I830" s="151"/>
      <c r="J830" s="151"/>
      <c r="K830" s="151"/>
      <c r="L830" s="151"/>
      <c r="M830" s="151"/>
      <c r="N830" s="151"/>
      <c r="O830" s="151"/>
      <c r="P830" s="151"/>
      <c r="Q830" s="151"/>
      <c r="R830" s="151"/>
      <c r="S830" s="151"/>
      <c r="T830" s="151"/>
      <c r="U830" s="151"/>
      <c r="V830" s="151"/>
      <c r="W830" s="151"/>
      <c r="X830" s="151"/>
      <c r="Y830" s="151"/>
      <c r="Z830" s="151"/>
    </row>
    <row r="831">
      <c r="A831" s="151"/>
      <c r="B831" s="151"/>
      <c r="C831" s="179"/>
      <c r="D831" s="180"/>
      <c r="E831" s="151"/>
      <c r="F831" s="151"/>
      <c r="G831" s="151"/>
      <c r="H831" s="151"/>
      <c r="I831" s="151"/>
      <c r="J831" s="151"/>
      <c r="K831" s="151"/>
      <c r="L831" s="151"/>
      <c r="M831" s="151"/>
      <c r="N831" s="151"/>
      <c r="O831" s="151"/>
      <c r="P831" s="151"/>
      <c r="Q831" s="151"/>
      <c r="R831" s="151"/>
      <c r="S831" s="151"/>
      <c r="T831" s="151"/>
      <c r="U831" s="151"/>
      <c r="V831" s="151"/>
      <c r="W831" s="151"/>
      <c r="X831" s="151"/>
      <c r="Y831" s="151"/>
      <c r="Z831" s="151"/>
    </row>
    <row r="832">
      <c r="A832" s="151"/>
      <c r="B832" s="151"/>
      <c r="C832" s="179"/>
      <c r="D832" s="180"/>
      <c r="E832" s="151"/>
      <c r="F832" s="151"/>
      <c r="G832" s="151"/>
      <c r="H832" s="151"/>
      <c r="I832" s="151"/>
      <c r="J832" s="151"/>
      <c r="K832" s="151"/>
      <c r="L832" s="151"/>
      <c r="M832" s="151"/>
      <c r="N832" s="151"/>
      <c r="O832" s="151"/>
      <c r="P832" s="151"/>
      <c r="Q832" s="151"/>
      <c r="R832" s="151"/>
      <c r="S832" s="151"/>
      <c r="T832" s="151"/>
      <c r="U832" s="151"/>
      <c r="V832" s="151"/>
      <c r="W832" s="151"/>
      <c r="X832" s="151"/>
      <c r="Y832" s="151"/>
      <c r="Z832" s="151"/>
    </row>
    <row r="833">
      <c r="A833" s="151"/>
      <c r="B833" s="151"/>
      <c r="C833" s="179"/>
      <c r="D833" s="180"/>
      <c r="E833" s="151"/>
      <c r="F833" s="151"/>
      <c r="G833" s="151"/>
      <c r="H833" s="151"/>
      <c r="I833" s="151"/>
      <c r="J833" s="151"/>
      <c r="K833" s="151"/>
      <c r="L833" s="151"/>
      <c r="M833" s="151"/>
      <c r="N833" s="151"/>
      <c r="O833" s="151"/>
      <c r="P833" s="151"/>
      <c r="Q833" s="151"/>
      <c r="R833" s="151"/>
      <c r="S833" s="151"/>
      <c r="T833" s="151"/>
      <c r="U833" s="151"/>
      <c r="V833" s="151"/>
      <c r="W833" s="151"/>
      <c r="X833" s="151"/>
      <c r="Y833" s="151"/>
      <c r="Z833" s="151"/>
    </row>
    <row r="834">
      <c r="A834" s="151"/>
      <c r="B834" s="151"/>
      <c r="C834" s="179"/>
      <c r="D834" s="180"/>
      <c r="E834" s="151"/>
      <c r="F834" s="151"/>
      <c r="G834" s="151"/>
      <c r="H834" s="151"/>
      <c r="I834" s="151"/>
      <c r="J834" s="151"/>
      <c r="K834" s="151"/>
      <c r="L834" s="151"/>
      <c r="M834" s="151"/>
      <c r="N834" s="151"/>
      <c r="O834" s="151"/>
      <c r="P834" s="151"/>
      <c r="Q834" s="151"/>
      <c r="R834" s="151"/>
      <c r="S834" s="151"/>
      <c r="T834" s="151"/>
      <c r="U834" s="151"/>
      <c r="V834" s="151"/>
      <c r="W834" s="151"/>
      <c r="X834" s="151"/>
      <c r="Y834" s="151"/>
      <c r="Z834" s="151"/>
    </row>
    <row r="835">
      <c r="A835" s="151"/>
      <c r="B835" s="151"/>
      <c r="C835" s="179"/>
      <c r="D835" s="180"/>
      <c r="E835" s="151"/>
      <c r="F835" s="151"/>
      <c r="G835" s="151"/>
      <c r="H835" s="151"/>
      <c r="I835" s="151"/>
      <c r="J835" s="151"/>
      <c r="K835" s="151"/>
      <c r="L835" s="151"/>
      <c r="M835" s="151"/>
      <c r="N835" s="151"/>
      <c r="O835" s="151"/>
      <c r="P835" s="151"/>
      <c r="Q835" s="151"/>
      <c r="R835" s="151"/>
      <c r="S835" s="151"/>
      <c r="T835" s="151"/>
      <c r="U835" s="151"/>
      <c r="V835" s="151"/>
      <c r="W835" s="151"/>
      <c r="X835" s="151"/>
      <c r="Y835" s="151"/>
      <c r="Z835" s="151"/>
    </row>
    <row r="836">
      <c r="A836" s="151"/>
      <c r="B836" s="151"/>
      <c r="C836" s="179"/>
      <c r="D836" s="180"/>
      <c r="E836" s="151"/>
      <c r="F836" s="151"/>
      <c r="G836" s="151"/>
      <c r="H836" s="151"/>
      <c r="I836" s="151"/>
      <c r="J836" s="151"/>
      <c r="K836" s="151"/>
      <c r="L836" s="151"/>
      <c r="M836" s="151"/>
      <c r="N836" s="151"/>
      <c r="O836" s="151"/>
      <c r="P836" s="151"/>
      <c r="Q836" s="151"/>
      <c r="R836" s="151"/>
      <c r="S836" s="151"/>
      <c r="T836" s="151"/>
      <c r="U836" s="151"/>
      <c r="V836" s="151"/>
      <c r="W836" s="151"/>
      <c r="X836" s="151"/>
      <c r="Y836" s="151"/>
      <c r="Z836" s="151"/>
    </row>
    <row r="837">
      <c r="A837" s="151"/>
      <c r="B837" s="151"/>
      <c r="C837" s="179"/>
      <c r="D837" s="180"/>
      <c r="E837" s="151"/>
      <c r="F837" s="151"/>
      <c r="G837" s="151"/>
      <c r="H837" s="151"/>
      <c r="I837" s="151"/>
      <c r="J837" s="151"/>
      <c r="K837" s="151"/>
      <c r="L837" s="151"/>
      <c r="M837" s="151"/>
      <c r="N837" s="151"/>
      <c r="O837" s="151"/>
      <c r="P837" s="151"/>
      <c r="Q837" s="151"/>
      <c r="R837" s="151"/>
      <c r="S837" s="151"/>
      <c r="T837" s="151"/>
      <c r="U837" s="151"/>
      <c r="V837" s="151"/>
      <c r="W837" s="151"/>
      <c r="X837" s="151"/>
      <c r="Y837" s="151"/>
      <c r="Z837" s="151"/>
    </row>
    <row r="838">
      <c r="A838" s="151"/>
      <c r="B838" s="151"/>
      <c r="C838" s="179"/>
      <c r="D838" s="180"/>
      <c r="E838" s="151"/>
      <c r="F838" s="151"/>
      <c r="G838" s="151"/>
      <c r="H838" s="151"/>
      <c r="I838" s="151"/>
      <c r="J838" s="151"/>
      <c r="K838" s="151"/>
      <c r="L838" s="151"/>
      <c r="M838" s="151"/>
      <c r="N838" s="151"/>
      <c r="O838" s="151"/>
      <c r="P838" s="151"/>
      <c r="Q838" s="151"/>
      <c r="R838" s="151"/>
      <c r="S838" s="151"/>
      <c r="T838" s="151"/>
      <c r="U838" s="151"/>
      <c r="V838" s="151"/>
      <c r="W838" s="151"/>
      <c r="X838" s="151"/>
      <c r="Y838" s="151"/>
      <c r="Z838" s="151"/>
    </row>
    <row r="839">
      <c r="A839" s="151"/>
      <c r="B839" s="151"/>
      <c r="C839" s="179"/>
      <c r="D839" s="180"/>
      <c r="E839" s="151"/>
      <c r="F839" s="151"/>
      <c r="G839" s="151"/>
      <c r="H839" s="151"/>
      <c r="I839" s="151"/>
      <c r="J839" s="151"/>
      <c r="K839" s="151"/>
      <c r="L839" s="151"/>
      <c r="M839" s="151"/>
      <c r="N839" s="151"/>
      <c r="O839" s="151"/>
      <c r="P839" s="151"/>
      <c r="Q839" s="151"/>
      <c r="R839" s="151"/>
      <c r="S839" s="151"/>
      <c r="T839" s="151"/>
      <c r="U839" s="151"/>
      <c r="V839" s="151"/>
      <c r="W839" s="151"/>
      <c r="X839" s="151"/>
      <c r="Y839" s="151"/>
      <c r="Z839" s="151"/>
    </row>
    <row r="840">
      <c r="A840" s="151"/>
      <c r="B840" s="151"/>
      <c r="C840" s="179"/>
      <c r="D840" s="180"/>
      <c r="E840" s="151"/>
      <c r="F840" s="151"/>
      <c r="G840" s="151"/>
      <c r="H840" s="151"/>
      <c r="I840" s="151"/>
      <c r="J840" s="151"/>
      <c r="K840" s="151"/>
      <c r="L840" s="151"/>
      <c r="M840" s="151"/>
      <c r="N840" s="151"/>
      <c r="O840" s="151"/>
      <c r="P840" s="151"/>
      <c r="Q840" s="151"/>
      <c r="R840" s="151"/>
      <c r="S840" s="151"/>
      <c r="T840" s="151"/>
      <c r="U840" s="151"/>
      <c r="V840" s="151"/>
      <c r="W840" s="151"/>
      <c r="X840" s="151"/>
      <c r="Y840" s="151"/>
      <c r="Z840" s="151"/>
    </row>
    <row r="841">
      <c r="A841" s="151"/>
      <c r="B841" s="151"/>
      <c r="C841" s="179"/>
      <c r="D841" s="180"/>
      <c r="E841" s="151"/>
      <c r="F841" s="151"/>
      <c r="G841" s="151"/>
      <c r="H841" s="151"/>
      <c r="I841" s="151"/>
      <c r="J841" s="151"/>
      <c r="K841" s="151"/>
      <c r="L841" s="151"/>
      <c r="M841" s="151"/>
      <c r="N841" s="151"/>
      <c r="O841" s="151"/>
      <c r="P841" s="151"/>
      <c r="Q841" s="151"/>
      <c r="R841" s="151"/>
      <c r="S841" s="151"/>
      <c r="T841" s="151"/>
      <c r="U841" s="151"/>
      <c r="V841" s="151"/>
      <c r="W841" s="151"/>
      <c r="X841" s="151"/>
      <c r="Y841" s="151"/>
      <c r="Z841" s="151"/>
    </row>
    <row r="842">
      <c r="A842" s="151"/>
      <c r="B842" s="151"/>
      <c r="C842" s="179"/>
      <c r="D842" s="180"/>
      <c r="E842" s="151"/>
      <c r="F842" s="151"/>
      <c r="G842" s="151"/>
      <c r="H842" s="151"/>
      <c r="I842" s="151"/>
      <c r="J842" s="151"/>
      <c r="K842" s="151"/>
      <c r="L842" s="151"/>
      <c r="M842" s="151"/>
      <c r="N842" s="151"/>
      <c r="O842" s="151"/>
      <c r="P842" s="151"/>
      <c r="Q842" s="151"/>
      <c r="R842" s="151"/>
      <c r="S842" s="151"/>
      <c r="T842" s="151"/>
      <c r="U842" s="151"/>
      <c r="V842" s="151"/>
      <c r="W842" s="151"/>
      <c r="X842" s="151"/>
      <c r="Y842" s="151"/>
      <c r="Z842" s="151"/>
    </row>
    <row r="843">
      <c r="A843" s="151"/>
      <c r="B843" s="151"/>
      <c r="C843" s="179"/>
      <c r="D843" s="180"/>
      <c r="E843" s="151"/>
      <c r="F843" s="151"/>
      <c r="G843" s="151"/>
      <c r="H843" s="151"/>
      <c r="I843" s="151"/>
      <c r="J843" s="151"/>
      <c r="K843" s="151"/>
      <c r="L843" s="151"/>
      <c r="M843" s="151"/>
      <c r="N843" s="151"/>
      <c r="O843" s="151"/>
      <c r="P843" s="151"/>
      <c r="Q843" s="151"/>
      <c r="R843" s="151"/>
      <c r="S843" s="151"/>
      <c r="T843" s="151"/>
      <c r="U843" s="151"/>
      <c r="V843" s="151"/>
      <c r="W843" s="151"/>
      <c r="X843" s="151"/>
      <c r="Y843" s="151"/>
      <c r="Z843" s="151"/>
    </row>
    <row r="844">
      <c r="A844" s="151"/>
      <c r="B844" s="151"/>
      <c r="C844" s="179"/>
      <c r="D844" s="180"/>
      <c r="E844" s="151"/>
      <c r="F844" s="151"/>
      <c r="G844" s="151"/>
      <c r="H844" s="151"/>
      <c r="I844" s="151"/>
      <c r="J844" s="151"/>
      <c r="K844" s="151"/>
      <c r="L844" s="151"/>
      <c r="M844" s="151"/>
      <c r="N844" s="151"/>
      <c r="O844" s="151"/>
      <c r="P844" s="151"/>
      <c r="Q844" s="151"/>
      <c r="R844" s="151"/>
      <c r="S844" s="151"/>
      <c r="T844" s="151"/>
      <c r="U844" s="151"/>
      <c r="V844" s="151"/>
      <c r="W844" s="151"/>
      <c r="X844" s="151"/>
      <c r="Y844" s="151"/>
      <c r="Z844" s="151"/>
    </row>
    <row r="845">
      <c r="A845" s="151"/>
      <c r="B845" s="151"/>
      <c r="C845" s="179"/>
      <c r="D845" s="180"/>
      <c r="E845" s="151"/>
      <c r="F845" s="151"/>
      <c r="G845" s="151"/>
      <c r="H845" s="151"/>
      <c r="I845" s="151"/>
      <c r="J845" s="151"/>
      <c r="K845" s="151"/>
      <c r="L845" s="151"/>
      <c r="M845" s="151"/>
      <c r="N845" s="151"/>
      <c r="O845" s="151"/>
      <c r="P845" s="151"/>
      <c r="Q845" s="151"/>
      <c r="R845" s="151"/>
      <c r="S845" s="151"/>
      <c r="T845" s="151"/>
      <c r="U845" s="151"/>
      <c r="V845" s="151"/>
      <c r="W845" s="151"/>
      <c r="X845" s="151"/>
      <c r="Y845" s="151"/>
      <c r="Z845" s="151"/>
    </row>
    <row r="846">
      <c r="A846" s="151"/>
      <c r="B846" s="151"/>
      <c r="C846" s="179"/>
      <c r="D846" s="180"/>
      <c r="E846" s="151"/>
      <c r="F846" s="151"/>
      <c r="G846" s="151"/>
      <c r="H846" s="151"/>
      <c r="I846" s="151"/>
      <c r="J846" s="151"/>
      <c r="K846" s="151"/>
      <c r="L846" s="151"/>
      <c r="M846" s="151"/>
      <c r="N846" s="151"/>
      <c r="O846" s="151"/>
      <c r="P846" s="151"/>
      <c r="Q846" s="151"/>
      <c r="R846" s="151"/>
      <c r="S846" s="151"/>
      <c r="T846" s="151"/>
      <c r="U846" s="151"/>
      <c r="V846" s="151"/>
      <c r="W846" s="151"/>
      <c r="X846" s="151"/>
      <c r="Y846" s="151"/>
      <c r="Z846" s="151"/>
    </row>
    <row r="847">
      <c r="A847" s="151"/>
      <c r="B847" s="151"/>
      <c r="C847" s="179"/>
      <c r="D847" s="180"/>
      <c r="E847" s="151"/>
      <c r="F847" s="151"/>
      <c r="G847" s="151"/>
      <c r="H847" s="151"/>
      <c r="I847" s="151"/>
      <c r="J847" s="151"/>
      <c r="K847" s="151"/>
      <c r="L847" s="151"/>
      <c r="M847" s="151"/>
      <c r="N847" s="151"/>
      <c r="O847" s="151"/>
      <c r="P847" s="151"/>
      <c r="Q847" s="151"/>
      <c r="R847" s="151"/>
      <c r="S847" s="151"/>
      <c r="T847" s="151"/>
      <c r="U847" s="151"/>
      <c r="V847" s="151"/>
      <c r="W847" s="151"/>
      <c r="X847" s="151"/>
      <c r="Y847" s="151"/>
      <c r="Z847" s="151"/>
    </row>
    <row r="848">
      <c r="A848" s="151"/>
      <c r="B848" s="151"/>
      <c r="C848" s="179"/>
      <c r="D848" s="180"/>
      <c r="E848" s="151"/>
      <c r="F848" s="151"/>
      <c r="G848" s="151"/>
      <c r="H848" s="151"/>
      <c r="I848" s="151"/>
      <c r="J848" s="151"/>
      <c r="K848" s="151"/>
      <c r="L848" s="151"/>
      <c r="M848" s="151"/>
      <c r="N848" s="151"/>
      <c r="O848" s="151"/>
      <c r="P848" s="151"/>
      <c r="Q848" s="151"/>
      <c r="R848" s="151"/>
      <c r="S848" s="151"/>
      <c r="T848" s="151"/>
      <c r="U848" s="151"/>
      <c r="V848" s="151"/>
      <c r="W848" s="151"/>
      <c r="X848" s="151"/>
      <c r="Y848" s="151"/>
      <c r="Z848" s="151"/>
    </row>
    <row r="849">
      <c r="A849" s="151"/>
      <c r="B849" s="151"/>
      <c r="C849" s="179"/>
      <c r="D849" s="180"/>
      <c r="E849" s="151"/>
      <c r="F849" s="151"/>
      <c r="G849" s="151"/>
      <c r="H849" s="151"/>
      <c r="I849" s="151"/>
      <c r="J849" s="151"/>
      <c r="K849" s="151"/>
      <c r="L849" s="151"/>
      <c r="M849" s="151"/>
      <c r="N849" s="151"/>
      <c r="O849" s="151"/>
      <c r="P849" s="151"/>
      <c r="Q849" s="151"/>
      <c r="R849" s="151"/>
      <c r="S849" s="151"/>
      <c r="T849" s="151"/>
      <c r="U849" s="151"/>
      <c r="V849" s="151"/>
      <c r="W849" s="151"/>
      <c r="X849" s="151"/>
      <c r="Y849" s="151"/>
      <c r="Z849" s="151"/>
    </row>
    <row r="850">
      <c r="A850" s="151"/>
      <c r="B850" s="151"/>
      <c r="C850" s="179"/>
      <c r="D850" s="180"/>
      <c r="E850" s="151"/>
      <c r="F850" s="151"/>
      <c r="G850" s="151"/>
      <c r="H850" s="151"/>
      <c r="I850" s="151"/>
      <c r="J850" s="151"/>
      <c r="K850" s="151"/>
      <c r="L850" s="151"/>
      <c r="M850" s="151"/>
      <c r="N850" s="151"/>
      <c r="O850" s="151"/>
      <c r="P850" s="151"/>
      <c r="Q850" s="151"/>
      <c r="R850" s="151"/>
      <c r="S850" s="151"/>
      <c r="T850" s="151"/>
      <c r="U850" s="151"/>
      <c r="V850" s="151"/>
      <c r="W850" s="151"/>
      <c r="X850" s="151"/>
      <c r="Y850" s="151"/>
      <c r="Z850" s="151"/>
    </row>
    <row r="851">
      <c r="A851" s="151"/>
      <c r="B851" s="151"/>
      <c r="C851" s="179"/>
      <c r="D851" s="180"/>
      <c r="E851" s="151"/>
      <c r="F851" s="151"/>
      <c r="G851" s="151"/>
      <c r="H851" s="151"/>
      <c r="I851" s="151"/>
      <c r="J851" s="151"/>
      <c r="K851" s="151"/>
      <c r="L851" s="151"/>
      <c r="M851" s="151"/>
      <c r="N851" s="151"/>
      <c r="O851" s="151"/>
      <c r="P851" s="151"/>
      <c r="Q851" s="151"/>
      <c r="R851" s="151"/>
      <c r="S851" s="151"/>
      <c r="T851" s="151"/>
      <c r="U851" s="151"/>
      <c r="V851" s="151"/>
      <c r="W851" s="151"/>
      <c r="X851" s="151"/>
      <c r="Y851" s="151"/>
      <c r="Z851" s="151"/>
    </row>
    <row r="852">
      <c r="A852" s="151"/>
      <c r="B852" s="151"/>
      <c r="C852" s="179"/>
      <c r="D852" s="180"/>
      <c r="E852" s="151"/>
      <c r="F852" s="151"/>
      <c r="G852" s="151"/>
      <c r="H852" s="151"/>
      <c r="I852" s="151"/>
      <c r="J852" s="151"/>
      <c r="K852" s="151"/>
      <c r="L852" s="151"/>
      <c r="M852" s="151"/>
      <c r="N852" s="151"/>
      <c r="O852" s="151"/>
      <c r="P852" s="151"/>
      <c r="Q852" s="151"/>
      <c r="R852" s="151"/>
      <c r="S852" s="151"/>
      <c r="T852" s="151"/>
      <c r="U852" s="151"/>
      <c r="V852" s="151"/>
      <c r="W852" s="151"/>
      <c r="X852" s="151"/>
      <c r="Y852" s="151"/>
      <c r="Z852" s="151"/>
    </row>
    <row r="853">
      <c r="A853" s="151"/>
      <c r="B853" s="151"/>
      <c r="C853" s="179"/>
      <c r="D853" s="180"/>
      <c r="E853" s="151"/>
      <c r="F853" s="151"/>
      <c r="G853" s="151"/>
      <c r="H853" s="151"/>
      <c r="I853" s="151"/>
      <c r="J853" s="151"/>
      <c r="K853" s="151"/>
      <c r="L853" s="151"/>
      <c r="M853" s="151"/>
      <c r="N853" s="151"/>
      <c r="O853" s="151"/>
      <c r="P853" s="151"/>
      <c r="Q853" s="151"/>
      <c r="R853" s="151"/>
      <c r="S853" s="151"/>
      <c r="T853" s="151"/>
      <c r="U853" s="151"/>
      <c r="V853" s="151"/>
      <c r="W853" s="151"/>
      <c r="X853" s="151"/>
      <c r="Y853" s="151"/>
      <c r="Z853" s="151"/>
    </row>
    <row r="854">
      <c r="A854" s="151"/>
      <c r="B854" s="151"/>
      <c r="C854" s="179"/>
      <c r="D854" s="180"/>
      <c r="E854" s="151"/>
      <c r="F854" s="151"/>
      <c r="G854" s="151"/>
      <c r="H854" s="151"/>
      <c r="I854" s="151"/>
      <c r="J854" s="151"/>
      <c r="K854" s="151"/>
      <c r="L854" s="151"/>
      <c r="M854" s="151"/>
      <c r="N854" s="151"/>
      <c r="O854" s="151"/>
      <c r="P854" s="151"/>
      <c r="Q854" s="151"/>
      <c r="R854" s="151"/>
      <c r="S854" s="151"/>
      <c r="T854" s="151"/>
      <c r="U854" s="151"/>
      <c r="V854" s="151"/>
      <c r="W854" s="151"/>
      <c r="X854" s="151"/>
      <c r="Y854" s="151"/>
      <c r="Z854" s="151"/>
    </row>
    <row r="855">
      <c r="A855" s="151"/>
      <c r="B855" s="151"/>
      <c r="C855" s="179"/>
      <c r="D855" s="180"/>
      <c r="E855" s="151"/>
      <c r="F855" s="151"/>
      <c r="G855" s="151"/>
      <c r="H855" s="151"/>
      <c r="I855" s="151"/>
      <c r="J855" s="151"/>
      <c r="K855" s="151"/>
      <c r="L855" s="151"/>
      <c r="M855" s="151"/>
      <c r="N855" s="151"/>
      <c r="O855" s="151"/>
      <c r="P855" s="151"/>
      <c r="Q855" s="151"/>
      <c r="R855" s="151"/>
      <c r="S855" s="151"/>
      <c r="T855" s="151"/>
      <c r="U855" s="151"/>
      <c r="V855" s="151"/>
      <c r="W855" s="151"/>
      <c r="X855" s="151"/>
      <c r="Y855" s="151"/>
      <c r="Z855" s="151"/>
    </row>
    <row r="856">
      <c r="A856" s="151"/>
      <c r="B856" s="151"/>
      <c r="C856" s="179"/>
      <c r="D856" s="180"/>
      <c r="E856" s="151"/>
      <c r="F856" s="151"/>
      <c r="G856" s="151"/>
      <c r="H856" s="151"/>
      <c r="I856" s="151"/>
      <c r="J856" s="151"/>
      <c r="K856" s="151"/>
      <c r="L856" s="151"/>
      <c r="M856" s="151"/>
      <c r="N856" s="151"/>
      <c r="O856" s="151"/>
      <c r="P856" s="151"/>
      <c r="Q856" s="151"/>
      <c r="R856" s="151"/>
      <c r="S856" s="151"/>
      <c r="T856" s="151"/>
      <c r="U856" s="151"/>
      <c r="V856" s="151"/>
      <c r="W856" s="151"/>
      <c r="X856" s="151"/>
      <c r="Y856" s="151"/>
      <c r="Z856" s="151"/>
    </row>
    <row r="857">
      <c r="A857" s="151"/>
      <c r="B857" s="151"/>
      <c r="C857" s="179"/>
      <c r="D857" s="180"/>
      <c r="E857" s="151"/>
      <c r="F857" s="151"/>
      <c r="G857" s="151"/>
      <c r="H857" s="151"/>
      <c r="I857" s="151"/>
      <c r="J857" s="151"/>
      <c r="K857" s="151"/>
      <c r="L857" s="151"/>
      <c r="M857" s="151"/>
      <c r="N857" s="151"/>
      <c r="O857" s="151"/>
      <c r="P857" s="151"/>
      <c r="Q857" s="151"/>
      <c r="R857" s="151"/>
      <c r="S857" s="151"/>
      <c r="T857" s="151"/>
      <c r="U857" s="151"/>
      <c r="V857" s="151"/>
      <c r="W857" s="151"/>
      <c r="X857" s="151"/>
      <c r="Y857" s="151"/>
      <c r="Z857" s="151"/>
    </row>
    <row r="858">
      <c r="A858" s="151"/>
      <c r="B858" s="151"/>
      <c r="C858" s="179"/>
      <c r="D858" s="180"/>
      <c r="E858" s="151"/>
      <c r="F858" s="151"/>
      <c r="G858" s="151"/>
      <c r="H858" s="151"/>
      <c r="I858" s="151"/>
      <c r="J858" s="151"/>
      <c r="K858" s="151"/>
      <c r="L858" s="151"/>
      <c r="M858" s="151"/>
      <c r="N858" s="151"/>
      <c r="O858" s="151"/>
      <c r="P858" s="151"/>
      <c r="Q858" s="151"/>
      <c r="R858" s="151"/>
      <c r="S858" s="151"/>
      <c r="T858" s="151"/>
      <c r="U858" s="151"/>
      <c r="V858" s="151"/>
      <c r="W858" s="151"/>
      <c r="X858" s="151"/>
      <c r="Y858" s="151"/>
      <c r="Z858" s="151"/>
    </row>
    <row r="859">
      <c r="A859" s="151"/>
      <c r="B859" s="151"/>
      <c r="C859" s="179"/>
      <c r="D859" s="180"/>
      <c r="E859" s="151"/>
      <c r="F859" s="151"/>
      <c r="G859" s="151"/>
      <c r="H859" s="151"/>
      <c r="I859" s="151"/>
      <c r="J859" s="151"/>
      <c r="K859" s="151"/>
      <c r="L859" s="151"/>
      <c r="M859" s="151"/>
      <c r="N859" s="151"/>
      <c r="O859" s="151"/>
      <c r="P859" s="151"/>
      <c r="Q859" s="151"/>
      <c r="R859" s="151"/>
      <c r="S859" s="151"/>
      <c r="T859" s="151"/>
      <c r="U859" s="151"/>
      <c r="V859" s="151"/>
      <c r="W859" s="151"/>
      <c r="X859" s="151"/>
      <c r="Y859" s="151"/>
      <c r="Z859" s="151"/>
    </row>
    <row r="860">
      <c r="A860" s="151"/>
      <c r="B860" s="151"/>
      <c r="C860" s="179"/>
      <c r="D860" s="180"/>
      <c r="E860" s="151"/>
      <c r="F860" s="151"/>
      <c r="G860" s="151"/>
      <c r="H860" s="151"/>
      <c r="I860" s="151"/>
      <c r="J860" s="151"/>
      <c r="K860" s="151"/>
      <c r="L860" s="151"/>
      <c r="M860" s="151"/>
      <c r="N860" s="151"/>
      <c r="O860" s="151"/>
      <c r="P860" s="151"/>
      <c r="Q860" s="151"/>
      <c r="R860" s="151"/>
      <c r="S860" s="151"/>
      <c r="T860" s="151"/>
      <c r="U860" s="151"/>
      <c r="V860" s="151"/>
      <c r="W860" s="151"/>
      <c r="X860" s="151"/>
      <c r="Y860" s="151"/>
      <c r="Z860" s="151"/>
    </row>
    <row r="861">
      <c r="A861" s="151"/>
      <c r="B861" s="151"/>
      <c r="C861" s="179"/>
      <c r="D861" s="180"/>
      <c r="E861" s="151"/>
      <c r="F861" s="151"/>
      <c r="G861" s="151"/>
      <c r="H861" s="151"/>
      <c r="I861" s="151"/>
      <c r="J861" s="151"/>
      <c r="K861" s="151"/>
      <c r="L861" s="151"/>
      <c r="M861" s="151"/>
      <c r="N861" s="151"/>
      <c r="O861" s="151"/>
      <c r="P861" s="151"/>
      <c r="Q861" s="151"/>
      <c r="R861" s="151"/>
      <c r="S861" s="151"/>
      <c r="T861" s="151"/>
      <c r="U861" s="151"/>
      <c r="V861" s="151"/>
      <c r="W861" s="151"/>
      <c r="X861" s="151"/>
      <c r="Y861" s="151"/>
      <c r="Z861" s="151"/>
    </row>
    <row r="862">
      <c r="A862" s="151"/>
      <c r="B862" s="151"/>
      <c r="C862" s="179"/>
      <c r="D862" s="180"/>
      <c r="E862" s="151"/>
      <c r="F862" s="151"/>
      <c r="G862" s="151"/>
      <c r="H862" s="151"/>
      <c r="I862" s="151"/>
      <c r="J862" s="151"/>
      <c r="K862" s="151"/>
      <c r="L862" s="151"/>
      <c r="M862" s="151"/>
      <c r="N862" s="151"/>
      <c r="O862" s="151"/>
      <c r="P862" s="151"/>
      <c r="Q862" s="151"/>
      <c r="R862" s="151"/>
      <c r="S862" s="151"/>
      <c r="T862" s="151"/>
      <c r="U862" s="151"/>
      <c r="V862" s="151"/>
      <c r="W862" s="151"/>
      <c r="X862" s="151"/>
      <c r="Y862" s="151"/>
      <c r="Z862" s="151"/>
    </row>
    <row r="863">
      <c r="A863" s="151"/>
      <c r="B863" s="151"/>
      <c r="C863" s="179"/>
      <c r="D863" s="180"/>
      <c r="E863" s="151"/>
      <c r="F863" s="151"/>
      <c r="G863" s="151"/>
      <c r="H863" s="151"/>
      <c r="I863" s="151"/>
      <c r="J863" s="151"/>
      <c r="K863" s="151"/>
      <c r="L863" s="151"/>
      <c r="M863" s="151"/>
      <c r="N863" s="151"/>
      <c r="O863" s="151"/>
      <c r="P863" s="151"/>
      <c r="Q863" s="151"/>
      <c r="R863" s="151"/>
      <c r="S863" s="151"/>
      <c r="T863" s="151"/>
      <c r="U863" s="151"/>
      <c r="V863" s="151"/>
      <c r="W863" s="151"/>
      <c r="X863" s="151"/>
      <c r="Y863" s="151"/>
      <c r="Z863" s="151"/>
    </row>
    <row r="864">
      <c r="A864" s="151"/>
      <c r="B864" s="151"/>
      <c r="C864" s="179"/>
      <c r="D864" s="180"/>
      <c r="E864" s="151"/>
      <c r="F864" s="151"/>
      <c r="G864" s="151"/>
      <c r="H864" s="151"/>
      <c r="I864" s="151"/>
      <c r="J864" s="151"/>
      <c r="K864" s="151"/>
      <c r="L864" s="151"/>
      <c r="M864" s="151"/>
      <c r="N864" s="151"/>
      <c r="O864" s="151"/>
      <c r="P864" s="151"/>
      <c r="Q864" s="151"/>
      <c r="R864" s="151"/>
      <c r="S864" s="151"/>
      <c r="T864" s="151"/>
      <c r="U864" s="151"/>
      <c r="V864" s="151"/>
      <c r="W864" s="151"/>
      <c r="X864" s="151"/>
      <c r="Y864" s="151"/>
      <c r="Z864" s="151"/>
    </row>
    <row r="865">
      <c r="A865" s="151"/>
      <c r="B865" s="151"/>
      <c r="C865" s="179"/>
      <c r="D865" s="180"/>
      <c r="E865" s="151"/>
      <c r="F865" s="151"/>
      <c r="G865" s="151"/>
      <c r="H865" s="151"/>
      <c r="I865" s="151"/>
      <c r="J865" s="151"/>
      <c r="K865" s="151"/>
      <c r="L865" s="151"/>
      <c r="M865" s="151"/>
      <c r="N865" s="151"/>
      <c r="O865" s="151"/>
      <c r="P865" s="151"/>
      <c r="Q865" s="151"/>
      <c r="R865" s="151"/>
      <c r="S865" s="151"/>
      <c r="T865" s="151"/>
      <c r="U865" s="151"/>
      <c r="V865" s="151"/>
      <c r="W865" s="151"/>
      <c r="X865" s="151"/>
      <c r="Y865" s="151"/>
      <c r="Z865" s="151"/>
    </row>
    <row r="866">
      <c r="A866" s="151"/>
      <c r="B866" s="151"/>
      <c r="C866" s="179"/>
      <c r="D866" s="180"/>
      <c r="E866" s="151"/>
      <c r="F866" s="151"/>
      <c r="G866" s="151"/>
      <c r="H866" s="151"/>
      <c r="I866" s="151"/>
      <c r="J866" s="151"/>
      <c r="K866" s="151"/>
      <c r="L866" s="151"/>
      <c r="M866" s="151"/>
      <c r="N866" s="151"/>
      <c r="O866" s="151"/>
      <c r="P866" s="151"/>
      <c r="Q866" s="151"/>
      <c r="R866" s="151"/>
      <c r="S866" s="151"/>
      <c r="T866" s="151"/>
      <c r="U866" s="151"/>
      <c r="V866" s="151"/>
      <c r="W866" s="151"/>
      <c r="X866" s="151"/>
      <c r="Y866" s="151"/>
      <c r="Z866" s="151"/>
    </row>
    <row r="867">
      <c r="A867" s="151"/>
      <c r="B867" s="151"/>
      <c r="C867" s="179"/>
      <c r="D867" s="180"/>
      <c r="E867" s="151"/>
      <c r="F867" s="151"/>
      <c r="G867" s="151"/>
      <c r="H867" s="151"/>
      <c r="I867" s="151"/>
      <c r="J867" s="151"/>
      <c r="K867" s="151"/>
      <c r="L867" s="151"/>
      <c r="M867" s="151"/>
      <c r="N867" s="151"/>
      <c r="O867" s="151"/>
      <c r="P867" s="151"/>
      <c r="Q867" s="151"/>
      <c r="R867" s="151"/>
      <c r="S867" s="151"/>
      <c r="T867" s="151"/>
      <c r="U867" s="151"/>
      <c r="V867" s="151"/>
      <c r="W867" s="151"/>
      <c r="X867" s="151"/>
      <c r="Y867" s="151"/>
      <c r="Z867" s="151"/>
    </row>
    <row r="868">
      <c r="A868" s="151"/>
      <c r="B868" s="151"/>
      <c r="C868" s="179"/>
      <c r="D868" s="180"/>
      <c r="E868" s="151"/>
      <c r="F868" s="151"/>
      <c r="G868" s="151"/>
      <c r="H868" s="151"/>
      <c r="I868" s="151"/>
      <c r="J868" s="151"/>
      <c r="K868" s="151"/>
      <c r="L868" s="151"/>
      <c r="M868" s="151"/>
      <c r="N868" s="151"/>
      <c r="O868" s="151"/>
      <c r="P868" s="151"/>
      <c r="Q868" s="151"/>
      <c r="R868" s="151"/>
      <c r="S868" s="151"/>
      <c r="T868" s="151"/>
      <c r="U868" s="151"/>
      <c r="V868" s="151"/>
      <c r="W868" s="151"/>
      <c r="X868" s="151"/>
      <c r="Y868" s="151"/>
      <c r="Z868" s="151"/>
    </row>
    <row r="869">
      <c r="A869" s="151"/>
      <c r="B869" s="151"/>
      <c r="C869" s="179"/>
      <c r="D869" s="180"/>
      <c r="E869" s="151"/>
      <c r="F869" s="151"/>
      <c r="G869" s="151"/>
      <c r="H869" s="151"/>
      <c r="I869" s="151"/>
      <c r="J869" s="151"/>
      <c r="K869" s="151"/>
      <c r="L869" s="151"/>
      <c r="M869" s="151"/>
      <c r="N869" s="151"/>
      <c r="O869" s="151"/>
      <c r="P869" s="151"/>
      <c r="Q869" s="151"/>
      <c r="R869" s="151"/>
      <c r="S869" s="151"/>
      <c r="T869" s="151"/>
      <c r="U869" s="151"/>
      <c r="V869" s="151"/>
      <c r="W869" s="151"/>
      <c r="X869" s="151"/>
      <c r="Y869" s="151"/>
      <c r="Z869" s="151"/>
    </row>
    <row r="870">
      <c r="A870" s="151"/>
      <c r="B870" s="151"/>
      <c r="C870" s="179"/>
      <c r="D870" s="180"/>
      <c r="E870" s="151"/>
      <c r="F870" s="151"/>
      <c r="G870" s="151"/>
      <c r="H870" s="151"/>
      <c r="I870" s="151"/>
      <c r="J870" s="151"/>
      <c r="K870" s="151"/>
      <c r="L870" s="151"/>
      <c r="M870" s="151"/>
      <c r="N870" s="151"/>
      <c r="O870" s="151"/>
      <c r="P870" s="151"/>
      <c r="Q870" s="151"/>
      <c r="R870" s="151"/>
      <c r="S870" s="151"/>
      <c r="T870" s="151"/>
      <c r="U870" s="151"/>
      <c r="V870" s="151"/>
      <c r="W870" s="151"/>
      <c r="X870" s="151"/>
      <c r="Y870" s="151"/>
      <c r="Z870" s="151"/>
    </row>
    <row r="871">
      <c r="A871" s="151"/>
      <c r="B871" s="151"/>
      <c r="C871" s="179"/>
      <c r="D871" s="180"/>
      <c r="E871" s="151"/>
      <c r="F871" s="151"/>
      <c r="G871" s="151"/>
      <c r="H871" s="151"/>
      <c r="I871" s="151"/>
      <c r="J871" s="151"/>
      <c r="K871" s="151"/>
      <c r="L871" s="151"/>
      <c r="M871" s="151"/>
      <c r="N871" s="151"/>
      <c r="O871" s="151"/>
      <c r="P871" s="151"/>
      <c r="Q871" s="151"/>
      <c r="R871" s="151"/>
      <c r="S871" s="151"/>
      <c r="T871" s="151"/>
      <c r="U871" s="151"/>
      <c r="V871" s="151"/>
      <c r="W871" s="151"/>
      <c r="X871" s="151"/>
      <c r="Y871" s="151"/>
      <c r="Z871" s="151"/>
    </row>
    <row r="872">
      <c r="A872" s="151"/>
      <c r="B872" s="151"/>
      <c r="C872" s="179"/>
      <c r="D872" s="180"/>
      <c r="E872" s="151"/>
      <c r="F872" s="151"/>
      <c r="G872" s="151"/>
      <c r="H872" s="151"/>
      <c r="I872" s="151"/>
      <c r="J872" s="151"/>
      <c r="K872" s="151"/>
      <c r="L872" s="151"/>
      <c r="M872" s="151"/>
      <c r="N872" s="151"/>
      <c r="O872" s="151"/>
      <c r="P872" s="151"/>
      <c r="Q872" s="151"/>
      <c r="R872" s="151"/>
      <c r="S872" s="151"/>
      <c r="T872" s="151"/>
      <c r="U872" s="151"/>
      <c r="V872" s="151"/>
      <c r="W872" s="151"/>
      <c r="X872" s="151"/>
      <c r="Y872" s="151"/>
      <c r="Z872" s="151"/>
    </row>
    <row r="873">
      <c r="A873" s="151"/>
      <c r="B873" s="151"/>
      <c r="C873" s="179"/>
      <c r="D873" s="180"/>
      <c r="E873" s="151"/>
      <c r="F873" s="151"/>
      <c r="G873" s="151"/>
      <c r="H873" s="151"/>
      <c r="I873" s="151"/>
      <c r="J873" s="151"/>
      <c r="K873" s="151"/>
      <c r="L873" s="151"/>
      <c r="M873" s="151"/>
      <c r="N873" s="151"/>
      <c r="O873" s="151"/>
      <c r="P873" s="151"/>
      <c r="Q873" s="151"/>
      <c r="R873" s="151"/>
      <c r="S873" s="151"/>
      <c r="T873" s="151"/>
      <c r="U873" s="151"/>
      <c r="V873" s="151"/>
      <c r="W873" s="151"/>
      <c r="X873" s="151"/>
      <c r="Y873" s="151"/>
      <c r="Z873" s="151"/>
    </row>
    <row r="874">
      <c r="A874" s="151"/>
      <c r="B874" s="151"/>
      <c r="C874" s="179"/>
      <c r="D874" s="180"/>
      <c r="E874" s="151"/>
      <c r="F874" s="151"/>
      <c r="G874" s="151"/>
      <c r="H874" s="151"/>
      <c r="I874" s="151"/>
      <c r="J874" s="151"/>
      <c r="K874" s="151"/>
      <c r="L874" s="151"/>
      <c r="M874" s="151"/>
      <c r="N874" s="151"/>
      <c r="O874" s="151"/>
      <c r="P874" s="151"/>
      <c r="Q874" s="151"/>
      <c r="R874" s="151"/>
      <c r="S874" s="151"/>
      <c r="T874" s="151"/>
      <c r="U874" s="151"/>
      <c r="V874" s="151"/>
      <c r="W874" s="151"/>
      <c r="X874" s="151"/>
      <c r="Y874" s="151"/>
      <c r="Z874" s="151"/>
    </row>
    <row r="875">
      <c r="A875" s="151"/>
      <c r="B875" s="151"/>
      <c r="C875" s="179"/>
      <c r="D875" s="180"/>
      <c r="E875" s="151"/>
      <c r="F875" s="151"/>
      <c r="G875" s="151"/>
      <c r="H875" s="151"/>
      <c r="I875" s="151"/>
      <c r="J875" s="151"/>
      <c r="K875" s="151"/>
      <c r="L875" s="151"/>
      <c r="M875" s="151"/>
      <c r="N875" s="151"/>
      <c r="O875" s="151"/>
      <c r="P875" s="151"/>
      <c r="Q875" s="151"/>
      <c r="R875" s="151"/>
      <c r="S875" s="151"/>
      <c r="T875" s="151"/>
      <c r="U875" s="151"/>
      <c r="V875" s="151"/>
      <c r="W875" s="151"/>
      <c r="X875" s="151"/>
      <c r="Y875" s="151"/>
      <c r="Z875" s="151"/>
    </row>
    <row r="876">
      <c r="A876" s="151"/>
      <c r="B876" s="151"/>
      <c r="C876" s="179"/>
      <c r="D876" s="180"/>
      <c r="E876" s="151"/>
      <c r="F876" s="151"/>
      <c r="G876" s="151"/>
      <c r="H876" s="151"/>
      <c r="I876" s="151"/>
      <c r="J876" s="151"/>
      <c r="K876" s="151"/>
      <c r="L876" s="151"/>
      <c r="M876" s="151"/>
      <c r="N876" s="151"/>
      <c r="O876" s="151"/>
      <c r="P876" s="151"/>
      <c r="Q876" s="151"/>
      <c r="R876" s="151"/>
      <c r="S876" s="151"/>
      <c r="T876" s="151"/>
      <c r="U876" s="151"/>
      <c r="V876" s="151"/>
      <c r="W876" s="151"/>
      <c r="X876" s="151"/>
      <c r="Y876" s="151"/>
      <c r="Z876" s="151"/>
    </row>
    <row r="877">
      <c r="A877" s="151"/>
      <c r="B877" s="151"/>
      <c r="C877" s="179"/>
      <c r="D877" s="180"/>
      <c r="E877" s="151"/>
      <c r="F877" s="151"/>
      <c r="G877" s="151"/>
      <c r="H877" s="151"/>
      <c r="I877" s="151"/>
      <c r="J877" s="151"/>
      <c r="K877" s="151"/>
      <c r="L877" s="151"/>
      <c r="M877" s="151"/>
      <c r="N877" s="151"/>
      <c r="O877" s="151"/>
      <c r="P877" s="151"/>
      <c r="Q877" s="151"/>
      <c r="R877" s="151"/>
      <c r="S877" s="151"/>
      <c r="T877" s="151"/>
      <c r="U877" s="151"/>
      <c r="V877" s="151"/>
      <c r="W877" s="151"/>
      <c r="X877" s="151"/>
      <c r="Y877" s="151"/>
      <c r="Z877" s="151"/>
    </row>
    <row r="878">
      <c r="A878" s="151"/>
      <c r="B878" s="151"/>
      <c r="C878" s="179"/>
      <c r="D878" s="180"/>
      <c r="E878" s="151"/>
      <c r="F878" s="151"/>
      <c r="G878" s="151"/>
      <c r="H878" s="151"/>
      <c r="I878" s="151"/>
      <c r="J878" s="151"/>
      <c r="K878" s="151"/>
      <c r="L878" s="151"/>
      <c r="M878" s="151"/>
      <c r="N878" s="151"/>
      <c r="O878" s="151"/>
      <c r="P878" s="151"/>
      <c r="Q878" s="151"/>
      <c r="R878" s="151"/>
      <c r="S878" s="151"/>
      <c r="T878" s="151"/>
      <c r="U878" s="151"/>
      <c r="V878" s="151"/>
      <c r="W878" s="151"/>
      <c r="X878" s="151"/>
      <c r="Y878" s="151"/>
      <c r="Z878" s="151"/>
    </row>
    <row r="879">
      <c r="A879" s="151"/>
      <c r="B879" s="151"/>
      <c r="C879" s="179"/>
      <c r="D879" s="180"/>
      <c r="E879" s="151"/>
      <c r="F879" s="151"/>
      <c r="G879" s="151"/>
      <c r="H879" s="151"/>
      <c r="I879" s="151"/>
      <c r="J879" s="151"/>
      <c r="K879" s="151"/>
      <c r="L879" s="151"/>
      <c r="M879" s="151"/>
      <c r="N879" s="151"/>
      <c r="O879" s="151"/>
      <c r="P879" s="151"/>
      <c r="Q879" s="151"/>
      <c r="R879" s="151"/>
      <c r="S879" s="151"/>
      <c r="T879" s="151"/>
      <c r="U879" s="151"/>
      <c r="V879" s="151"/>
      <c r="W879" s="151"/>
      <c r="X879" s="151"/>
      <c r="Y879" s="151"/>
      <c r="Z879" s="151"/>
    </row>
    <row r="880">
      <c r="A880" s="151"/>
      <c r="B880" s="151"/>
      <c r="C880" s="179"/>
      <c r="D880" s="180"/>
      <c r="E880" s="151"/>
      <c r="F880" s="151"/>
      <c r="G880" s="151"/>
      <c r="H880" s="151"/>
      <c r="I880" s="151"/>
      <c r="J880" s="151"/>
      <c r="K880" s="151"/>
      <c r="L880" s="151"/>
      <c r="M880" s="151"/>
      <c r="N880" s="151"/>
      <c r="O880" s="151"/>
      <c r="P880" s="151"/>
      <c r="Q880" s="151"/>
      <c r="R880" s="151"/>
      <c r="S880" s="151"/>
      <c r="T880" s="151"/>
      <c r="U880" s="151"/>
      <c r="V880" s="151"/>
      <c r="W880" s="151"/>
      <c r="X880" s="151"/>
      <c r="Y880" s="151"/>
      <c r="Z880" s="151"/>
    </row>
    <row r="881">
      <c r="A881" s="151"/>
      <c r="B881" s="151"/>
      <c r="C881" s="179"/>
      <c r="D881" s="180"/>
      <c r="E881" s="151"/>
      <c r="F881" s="151"/>
      <c r="G881" s="151"/>
      <c r="H881" s="151"/>
      <c r="I881" s="151"/>
      <c r="J881" s="151"/>
      <c r="K881" s="151"/>
      <c r="L881" s="151"/>
      <c r="M881" s="151"/>
      <c r="N881" s="151"/>
      <c r="O881" s="151"/>
      <c r="P881" s="151"/>
      <c r="Q881" s="151"/>
      <c r="R881" s="151"/>
      <c r="S881" s="151"/>
      <c r="T881" s="151"/>
      <c r="U881" s="151"/>
      <c r="V881" s="151"/>
      <c r="W881" s="151"/>
      <c r="X881" s="151"/>
      <c r="Y881" s="151"/>
      <c r="Z881" s="151"/>
    </row>
    <row r="882">
      <c r="A882" s="151"/>
      <c r="B882" s="151"/>
      <c r="C882" s="179"/>
      <c r="D882" s="180"/>
      <c r="E882" s="151"/>
      <c r="F882" s="151"/>
      <c r="G882" s="151"/>
      <c r="H882" s="151"/>
      <c r="I882" s="151"/>
      <c r="J882" s="151"/>
      <c r="K882" s="151"/>
      <c r="L882" s="151"/>
      <c r="M882" s="151"/>
      <c r="N882" s="151"/>
      <c r="O882" s="151"/>
      <c r="P882" s="151"/>
      <c r="Q882" s="151"/>
      <c r="R882" s="151"/>
      <c r="S882" s="151"/>
      <c r="T882" s="151"/>
      <c r="U882" s="151"/>
      <c r="V882" s="151"/>
      <c r="W882" s="151"/>
      <c r="X882" s="151"/>
      <c r="Y882" s="151"/>
      <c r="Z882" s="151"/>
    </row>
    <row r="883">
      <c r="A883" s="151"/>
      <c r="B883" s="151"/>
      <c r="C883" s="179"/>
      <c r="D883" s="180"/>
      <c r="E883" s="151"/>
      <c r="F883" s="151"/>
      <c r="G883" s="151"/>
      <c r="H883" s="151"/>
      <c r="I883" s="151"/>
      <c r="J883" s="151"/>
      <c r="K883" s="151"/>
      <c r="L883" s="151"/>
      <c r="M883" s="151"/>
      <c r="N883" s="151"/>
      <c r="O883" s="151"/>
      <c r="P883" s="151"/>
      <c r="Q883" s="151"/>
      <c r="R883" s="151"/>
      <c r="S883" s="151"/>
      <c r="T883" s="151"/>
      <c r="U883" s="151"/>
      <c r="V883" s="151"/>
      <c r="W883" s="151"/>
      <c r="X883" s="151"/>
      <c r="Y883" s="151"/>
      <c r="Z883" s="151"/>
    </row>
    <row r="884">
      <c r="A884" s="151"/>
      <c r="B884" s="151"/>
      <c r="C884" s="179"/>
      <c r="D884" s="180"/>
      <c r="E884" s="151"/>
      <c r="F884" s="151"/>
      <c r="G884" s="151"/>
      <c r="H884" s="151"/>
      <c r="I884" s="151"/>
      <c r="J884" s="151"/>
      <c r="K884" s="151"/>
      <c r="L884" s="151"/>
      <c r="M884" s="151"/>
      <c r="N884" s="151"/>
      <c r="O884" s="151"/>
      <c r="P884" s="151"/>
      <c r="Q884" s="151"/>
      <c r="R884" s="151"/>
      <c r="S884" s="151"/>
      <c r="T884" s="151"/>
      <c r="U884" s="151"/>
      <c r="V884" s="151"/>
      <c r="W884" s="151"/>
      <c r="X884" s="151"/>
      <c r="Y884" s="151"/>
      <c r="Z884" s="151"/>
    </row>
    <row r="885">
      <c r="A885" s="151"/>
      <c r="B885" s="151"/>
      <c r="C885" s="179"/>
      <c r="D885" s="180"/>
      <c r="E885" s="151"/>
      <c r="F885" s="151"/>
      <c r="G885" s="151"/>
      <c r="H885" s="151"/>
      <c r="I885" s="151"/>
      <c r="J885" s="151"/>
      <c r="K885" s="151"/>
      <c r="L885" s="151"/>
      <c r="M885" s="151"/>
      <c r="N885" s="151"/>
      <c r="O885" s="151"/>
      <c r="P885" s="151"/>
      <c r="Q885" s="151"/>
      <c r="R885" s="151"/>
      <c r="S885" s="151"/>
      <c r="T885" s="151"/>
      <c r="U885" s="151"/>
      <c r="V885" s="151"/>
      <c r="W885" s="151"/>
      <c r="X885" s="151"/>
      <c r="Y885" s="151"/>
      <c r="Z885" s="151"/>
    </row>
    <row r="886">
      <c r="A886" s="151"/>
      <c r="B886" s="151"/>
      <c r="C886" s="179"/>
      <c r="D886" s="180"/>
      <c r="E886" s="151"/>
      <c r="F886" s="151"/>
      <c r="G886" s="151"/>
      <c r="H886" s="151"/>
      <c r="I886" s="151"/>
      <c r="J886" s="151"/>
      <c r="K886" s="151"/>
      <c r="L886" s="151"/>
      <c r="M886" s="151"/>
      <c r="N886" s="151"/>
      <c r="O886" s="151"/>
      <c r="P886" s="151"/>
      <c r="Q886" s="151"/>
      <c r="R886" s="151"/>
      <c r="S886" s="151"/>
      <c r="T886" s="151"/>
      <c r="U886" s="151"/>
      <c r="V886" s="151"/>
      <c r="W886" s="151"/>
      <c r="X886" s="151"/>
      <c r="Y886" s="151"/>
      <c r="Z886" s="151"/>
    </row>
    <row r="887">
      <c r="A887" s="151"/>
      <c r="B887" s="151"/>
      <c r="C887" s="179"/>
      <c r="D887" s="180"/>
      <c r="E887" s="151"/>
      <c r="F887" s="151"/>
      <c r="G887" s="151"/>
      <c r="H887" s="151"/>
      <c r="I887" s="151"/>
      <c r="J887" s="151"/>
      <c r="K887" s="151"/>
      <c r="L887" s="151"/>
      <c r="M887" s="151"/>
      <c r="N887" s="151"/>
      <c r="O887" s="151"/>
      <c r="P887" s="151"/>
      <c r="Q887" s="151"/>
      <c r="R887" s="151"/>
      <c r="S887" s="151"/>
      <c r="T887" s="151"/>
      <c r="U887" s="151"/>
      <c r="V887" s="151"/>
      <c r="W887" s="151"/>
      <c r="X887" s="151"/>
      <c r="Y887" s="151"/>
      <c r="Z887" s="151"/>
    </row>
    <row r="888">
      <c r="A888" s="151"/>
      <c r="B888" s="151"/>
      <c r="C888" s="179"/>
      <c r="D888" s="180"/>
      <c r="E888" s="151"/>
      <c r="F888" s="151"/>
      <c r="G888" s="151"/>
      <c r="H888" s="151"/>
      <c r="I888" s="151"/>
      <c r="J888" s="151"/>
      <c r="K888" s="151"/>
      <c r="L888" s="151"/>
      <c r="M888" s="151"/>
      <c r="N888" s="151"/>
      <c r="O888" s="151"/>
      <c r="P888" s="151"/>
      <c r="Q888" s="151"/>
      <c r="R888" s="151"/>
      <c r="S888" s="151"/>
      <c r="T888" s="151"/>
      <c r="U888" s="151"/>
      <c r="V888" s="151"/>
      <c r="W888" s="151"/>
      <c r="X888" s="151"/>
      <c r="Y888" s="151"/>
      <c r="Z888" s="151"/>
    </row>
    <row r="889">
      <c r="A889" s="151"/>
      <c r="B889" s="151"/>
      <c r="C889" s="179"/>
      <c r="D889" s="180"/>
      <c r="E889" s="151"/>
      <c r="F889" s="151"/>
      <c r="G889" s="151"/>
      <c r="H889" s="151"/>
      <c r="I889" s="151"/>
      <c r="J889" s="151"/>
      <c r="K889" s="151"/>
      <c r="L889" s="151"/>
      <c r="M889" s="151"/>
      <c r="N889" s="151"/>
      <c r="O889" s="151"/>
      <c r="P889" s="151"/>
      <c r="Q889" s="151"/>
      <c r="R889" s="151"/>
      <c r="S889" s="151"/>
      <c r="T889" s="151"/>
      <c r="U889" s="151"/>
      <c r="V889" s="151"/>
      <c r="W889" s="151"/>
      <c r="X889" s="151"/>
      <c r="Y889" s="151"/>
      <c r="Z889" s="151"/>
    </row>
    <row r="890">
      <c r="A890" s="151"/>
      <c r="B890" s="151"/>
      <c r="C890" s="179"/>
      <c r="D890" s="180"/>
      <c r="E890" s="151"/>
      <c r="F890" s="151"/>
      <c r="G890" s="151"/>
      <c r="H890" s="151"/>
      <c r="I890" s="151"/>
      <c r="J890" s="151"/>
      <c r="K890" s="151"/>
      <c r="L890" s="151"/>
      <c r="M890" s="151"/>
      <c r="N890" s="151"/>
      <c r="O890" s="151"/>
      <c r="P890" s="151"/>
      <c r="Q890" s="151"/>
      <c r="R890" s="151"/>
      <c r="S890" s="151"/>
      <c r="T890" s="151"/>
      <c r="U890" s="151"/>
      <c r="V890" s="151"/>
      <c r="W890" s="151"/>
      <c r="X890" s="151"/>
      <c r="Y890" s="151"/>
      <c r="Z890" s="151"/>
    </row>
    <row r="891">
      <c r="A891" s="151"/>
      <c r="B891" s="151"/>
      <c r="C891" s="179"/>
      <c r="D891" s="180"/>
      <c r="E891" s="151"/>
      <c r="F891" s="151"/>
      <c r="G891" s="151"/>
      <c r="H891" s="151"/>
      <c r="I891" s="151"/>
      <c r="J891" s="151"/>
      <c r="K891" s="151"/>
      <c r="L891" s="151"/>
      <c r="M891" s="151"/>
      <c r="N891" s="151"/>
      <c r="O891" s="151"/>
      <c r="P891" s="151"/>
      <c r="Q891" s="151"/>
      <c r="R891" s="151"/>
      <c r="S891" s="151"/>
      <c r="T891" s="151"/>
      <c r="U891" s="151"/>
      <c r="V891" s="151"/>
      <c r="W891" s="151"/>
      <c r="X891" s="151"/>
      <c r="Y891" s="151"/>
      <c r="Z891" s="151"/>
    </row>
    <row r="892">
      <c r="A892" s="151"/>
      <c r="B892" s="151"/>
      <c r="C892" s="179"/>
      <c r="D892" s="180"/>
      <c r="E892" s="151"/>
      <c r="F892" s="151"/>
      <c r="G892" s="151"/>
      <c r="H892" s="151"/>
      <c r="I892" s="151"/>
      <c r="J892" s="151"/>
      <c r="K892" s="151"/>
      <c r="L892" s="151"/>
      <c r="M892" s="151"/>
      <c r="N892" s="151"/>
      <c r="O892" s="151"/>
      <c r="P892" s="151"/>
      <c r="Q892" s="151"/>
      <c r="R892" s="151"/>
      <c r="S892" s="151"/>
      <c r="T892" s="151"/>
      <c r="U892" s="151"/>
      <c r="V892" s="151"/>
      <c r="W892" s="151"/>
      <c r="X892" s="151"/>
      <c r="Y892" s="151"/>
      <c r="Z892" s="151"/>
    </row>
    <row r="893">
      <c r="A893" s="151"/>
      <c r="B893" s="151"/>
      <c r="C893" s="179"/>
      <c r="D893" s="180"/>
      <c r="E893" s="151"/>
      <c r="F893" s="151"/>
      <c r="G893" s="151"/>
      <c r="H893" s="151"/>
      <c r="I893" s="151"/>
      <c r="J893" s="151"/>
      <c r="K893" s="151"/>
      <c r="L893" s="151"/>
      <c r="M893" s="151"/>
      <c r="N893" s="151"/>
      <c r="O893" s="151"/>
      <c r="P893" s="151"/>
      <c r="Q893" s="151"/>
      <c r="R893" s="151"/>
      <c r="S893" s="151"/>
      <c r="T893" s="151"/>
      <c r="U893" s="151"/>
      <c r="V893" s="151"/>
      <c r="W893" s="151"/>
      <c r="X893" s="151"/>
      <c r="Y893" s="151"/>
      <c r="Z893" s="151"/>
    </row>
    <row r="894">
      <c r="A894" s="151"/>
      <c r="B894" s="151"/>
      <c r="C894" s="179"/>
      <c r="D894" s="180"/>
      <c r="E894" s="151"/>
      <c r="F894" s="151"/>
      <c r="G894" s="151"/>
      <c r="H894" s="151"/>
      <c r="I894" s="151"/>
      <c r="J894" s="151"/>
      <c r="K894" s="151"/>
      <c r="L894" s="151"/>
      <c r="M894" s="151"/>
      <c r="N894" s="151"/>
      <c r="O894" s="151"/>
      <c r="P894" s="151"/>
      <c r="Q894" s="151"/>
      <c r="R894" s="151"/>
      <c r="S894" s="151"/>
      <c r="T894" s="151"/>
      <c r="U894" s="151"/>
      <c r="V894" s="151"/>
      <c r="W894" s="151"/>
      <c r="X894" s="151"/>
      <c r="Y894" s="151"/>
      <c r="Z894" s="151"/>
    </row>
    <row r="895">
      <c r="A895" s="151"/>
      <c r="B895" s="151"/>
      <c r="C895" s="179"/>
      <c r="D895" s="180"/>
      <c r="E895" s="151"/>
      <c r="F895" s="151"/>
      <c r="G895" s="151"/>
      <c r="H895" s="151"/>
      <c r="I895" s="151"/>
      <c r="J895" s="151"/>
      <c r="K895" s="151"/>
      <c r="L895" s="151"/>
      <c r="M895" s="151"/>
      <c r="N895" s="151"/>
      <c r="O895" s="151"/>
      <c r="P895" s="151"/>
      <c r="Q895" s="151"/>
      <c r="R895" s="151"/>
      <c r="S895" s="151"/>
      <c r="T895" s="151"/>
      <c r="U895" s="151"/>
      <c r="V895" s="151"/>
      <c r="W895" s="151"/>
      <c r="X895" s="151"/>
      <c r="Y895" s="151"/>
      <c r="Z895" s="151"/>
    </row>
    <row r="896">
      <c r="A896" s="151"/>
      <c r="B896" s="151"/>
      <c r="C896" s="179"/>
      <c r="D896" s="180"/>
      <c r="E896" s="151"/>
      <c r="F896" s="151"/>
      <c r="G896" s="151"/>
      <c r="H896" s="151"/>
      <c r="I896" s="151"/>
      <c r="J896" s="151"/>
      <c r="K896" s="151"/>
      <c r="L896" s="151"/>
      <c r="M896" s="151"/>
      <c r="N896" s="151"/>
      <c r="O896" s="151"/>
      <c r="P896" s="151"/>
      <c r="Q896" s="151"/>
      <c r="R896" s="151"/>
      <c r="S896" s="151"/>
      <c r="T896" s="151"/>
      <c r="U896" s="151"/>
      <c r="V896" s="151"/>
      <c r="W896" s="151"/>
      <c r="X896" s="151"/>
      <c r="Y896" s="151"/>
      <c r="Z896" s="151"/>
    </row>
    <row r="897">
      <c r="A897" s="151"/>
      <c r="B897" s="151"/>
      <c r="C897" s="179"/>
      <c r="D897" s="180"/>
      <c r="E897" s="151"/>
      <c r="F897" s="151"/>
      <c r="G897" s="151"/>
      <c r="H897" s="151"/>
      <c r="I897" s="151"/>
      <c r="J897" s="151"/>
      <c r="K897" s="151"/>
      <c r="L897" s="151"/>
      <c r="M897" s="151"/>
      <c r="N897" s="151"/>
      <c r="O897" s="151"/>
      <c r="P897" s="151"/>
      <c r="Q897" s="151"/>
      <c r="R897" s="151"/>
      <c r="S897" s="151"/>
      <c r="T897" s="151"/>
      <c r="U897" s="151"/>
      <c r="V897" s="151"/>
      <c r="W897" s="151"/>
      <c r="X897" s="151"/>
      <c r="Y897" s="151"/>
      <c r="Z897" s="151"/>
    </row>
    <row r="898">
      <c r="A898" s="151"/>
      <c r="B898" s="151"/>
      <c r="C898" s="179"/>
      <c r="D898" s="180"/>
      <c r="E898" s="151"/>
      <c r="F898" s="151"/>
      <c r="G898" s="151"/>
      <c r="H898" s="151"/>
      <c r="I898" s="151"/>
      <c r="J898" s="151"/>
      <c r="K898" s="151"/>
      <c r="L898" s="151"/>
      <c r="M898" s="151"/>
      <c r="N898" s="151"/>
      <c r="O898" s="151"/>
      <c r="P898" s="151"/>
      <c r="Q898" s="151"/>
      <c r="R898" s="151"/>
      <c r="S898" s="151"/>
      <c r="T898" s="151"/>
      <c r="U898" s="151"/>
      <c r="V898" s="151"/>
      <c r="W898" s="151"/>
      <c r="X898" s="151"/>
      <c r="Y898" s="151"/>
      <c r="Z898" s="151"/>
    </row>
    <row r="899">
      <c r="A899" s="151"/>
      <c r="B899" s="151"/>
      <c r="C899" s="179"/>
      <c r="D899" s="180"/>
      <c r="E899" s="151"/>
      <c r="F899" s="151"/>
      <c r="G899" s="151"/>
      <c r="H899" s="151"/>
      <c r="I899" s="151"/>
      <c r="J899" s="151"/>
      <c r="K899" s="151"/>
      <c r="L899" s="151"/>
      <c r="M899" s="151"/>
      <c r="N899" s="151"/>
      <c r="O899" s="151"/>
      <c r="P899" s="151"/>
      <c r="Q899" s="151"/>
      <c r="R899" s="151"/>
      <c r="S899" s="151"/>
      <c r="T899" s="151"/>
      <c r="U899" s="151"/>
      <c r="V899" s="151"/>
      <c r="W899" s="151"/>
      <c r="X899" s="151"/>
      <c r="Y899" s="151"/>
      <c r="Z899" s="151"/>
    </row>
    <row r="900">
      <c r="A900" s="151"/>
      <c r="B900" s="151"/>
      <c r="C900" s="179"/>
      <c r="D900" s="180"/>
      <c r="E900" s="151"/>
      <c r="F900" s="151"/>
      <c r="G900" s="151"/>
      <c r="H900" s="151"/>
      <c r="I900" s="151"/>
      <c r="J900" s="151"/>
      <c r="K900" s="151"/>
      <c r="L900" s="151"/>
      <c r="M900" s="151"/>
      <c r="N900" s="151"/>
      <c r="O900" s="151"/>
      <c r="P900" s="151"/>
      <c r="Q900" s="151"/>
      <c r="R900" s="151"/>
      <c r="S900" s="151"/>
      <c r="T900" s="151"/>
      <c r="U900" s="151"/>
      <c r="V900" s="151"/>
      <c r="W900" s="151"/>
      <c r="X900" s="151"/>
      <c r="Y900" s="151"/>
      <c r="Z900" s="151"/>
    </row>
    <row r="901">
      <c r="A901" s="151"/>
      <c r="B901" s="151"/>
      <c r="C901" s="179"/>
      <c r="D901" s="180"/>
      <c r="E901" s="151"/>
      <c r="F901" s="151"/>
      <c r="G901" s="151"/>
      <c r="H901" s="151"/>
      <c r="I901" s="151"/>
      <c r="J901" s="151"/>
      <c r="K901" s="151"/>
      <c r="L901" s="151"/>
      <c r="M901" s="151"/>
      <c r="N901" s="151"/>
      <c r="O901" s="151"/>
      <c r="P901" s="151"/>
      <c r="Q901" s="151"/>
      <c r="R901" s="151"/>
      <c r="S901" s="151"/>
      <c r="T901" s="151"/>
      <c r="U901" s="151"/>
      <c r="V901" s="151"/>
      <c r="W901" s="151"/>
      <c r="X901" s="151"/>
      <c r="Y901" s="151"/>
      <c r="Z901" s="151"/>
    </row>
    <row r="902">
      <c r="A902" s="151"/>
      <c r="B902" s="151"/>
      <c r="C902" s="179"/>
      <c r="D902" s="180"/>
      <c r="E902" s="151"/>
      <c r="F902" s="151"/>
      <c r="G902" s="151"/>
      <c r="H902" s="151"/>
      <c r="I902" s="151"/>
      <c r="J902" s="151"/>
      <c r="K902" s="151"/>
      <c r="L902" s="151"/>
      <c r="M902" s="151"/>
      <c r="N902" s="151"/>
      <c r="O902" s="151"/>
      <c r="P902" s="151"/>
      <c r="Q902" s="151"/>
      <c r="R902" s="151"/>
      <c r="S902" s="151"/>
      <c r="T902" s="151"/>
      <c r="U902" s="151"/>
      <c r="V902" s="151"/>
      <c r="W902" s="151"/>
      <c r="X902" s="151"/>
      <c r="Y902" s="151"/>
      <c r="Z902" s="151"/>
    </row>
    <row r="903">
      <c r="A903" s="151"/>
      <c r="B903" s="151"/>
      <c r="C903" s="179"/>
      <c r="D903" s="180"/>
      <c r="E903" s="151"/>
      <c r="F903" s="151"/>
      <c r="G903" s="151"/>
      <c r="H903" s="151"/>
      <c r="I903" s="151"/>
      <c r="J903" s="151"/>
      <c r="K903" s="151"/>
      <c r="L903" s="151"/>
      <c r="M903" s="151"/>
      <c r="N903" s="151"/>
      <c r="O903" s="151"/>
      <c r="P903" s="151"/>
      <c r="Q903" s="151"/>
      <c r="R903" s="151"/>
      <c r="S903" s="151"/>
      <c r="T903" s="151"/>
      <c r="U903" s="151"/>
      <c r="V903" s="151"/>
      <c r="W903" s="151"/>
      <c r="X903" s="151"/>
      <c r="Y903" s="151"/>
      <c r="Z903" s="151"/>
    </row>
    <row r="904">
      <c r="A904" s="151"/>
      <c r="B904" s="151"/>
      <c r="C904" s="179"/>
      <c r="D904" s="180"/>
      <c r="E904" s="151"/>
      <c r="F904" s="151"/>
      <c r="G904" s="151"/>
      <c r="H904" s="151"/>
      <c r="I904" s="151"/>
      <c r="J904" s="151"/>
      <c r="K904" s="151"/>
      <c r="L904" s="151"/>
      <c r="M904" s="151"/>
      <c r="N904" s="151"/>
      <c r="O904" s="151"/>
      <c r="P904" s="151"/>
      <c r="Q904" s="151"/>
      <c r="R904" s="151"/>
      <c r="S904" s="151"/>
      <c r="T904" s="151"/>
      <c r="U904" s="151"/>
      <c r="V904" s="151"/>
      <c r="W904" s="151"/>
      <c r="X904" s="151"/>
      <c r="Y904" s="151"/>
      <c r="Z904" s="151"/>
    </row>
    <row r="905">
      <c r="A905" s="151"/>
      <c r="B905" s="151"/>
      <c r="C905" s="179"/>
      <c r="D905" s="180"/>
      <c r="E905" s="151"/>
      <c r="F905" s="151"/>
      <c r="G905" s="151"/>
      <c r="H905" s="151"/>
      <c r="I905" s="151"/>
      <c r="J905" s="151"/>
      <c r="K905" s="151"/>
      <c r="L905" s="151"/>
      <c r="M905" s="151"/>
      <c r="N905" s="151"/>
      <c r="O905" s="151"/>
      <c r="P905" s="151"/>
      <c r="Q905" s="151"/>
      <c r="R905" s="151"/>
      <c r="S905" s="151"/>
      <c r="T905" s="151"/>
      <c r="U905" s="151"/>
      <c r="V905" s="151"/>
      <c r="W905" s="151"/>
      <c r="X905" s="151"/>
      <c r="Y905" s="151"/>
      <c r="Z905" s="151"/>
    </row>
    <row r="906">
      <c r="A906" s="151"/>
      <c r="B906" s="151"/>
      <c r="C906" s="179"/>
      <c r="D906" s="180"/>
      <c r="E906" s="151"/>
      <c r="F906" s="151"/>
      <c r="G906" s="151"/>
      <c r="H906" s="151"/>
      <c r="I906" s="151"/>
      <c r="J906" s="151"/>
      <c r="K906" s="151"/>
      <c r="L906" s="151"/>
      <c r="M906" s="151"/>
      <c r="N906" s="151"/>
      <c r="O906" s="151"/>
      <c r="P906" s="151"/>
      <c r="Q906" s="151"/>
      <c r="R906" s="151"/>
      <c r="S906" s="151"/>
      <c r="T906" s="151"/>
      <c r="U906" s="151"/>
      <c r="V906" s="151"/>
      <c r="W906" s="151"/>
      <c r="X906" s="151"/>
      <c r="Y906" s="151"/>
      <c r="Z906" s="151"/>
    </row>
    <row r="907">
      <c r="A907" s="151"/>
      <c r="B907" s="151"/>
      <c r="C907" s="179"/>
      <c r="D907" s="180"/>
      <c r="E907" s="151"/>
      <c r="F907" s="151"/>
      <c r="G907" s="151"/>
      <c r="H907" s="151"/>
      <c r="I907" s="151"/>
      <c r="J907" s="151"/>
      <c r="K907" s="151"/>
      <c r="L907" s="151"/>
      <c r="M907" s="151"/>
      <c r="N907" s="151"/>
      <c r="O907" s="151"/>
      <c r="P907" s="151"/>
      <c r="Q907" s="151"/>
      <c r="R907" s="151"/>
      <c r="S907" s="151"/>
      <c r="T907" s="151"/>
      <c r="U907" s="151"/>
      <c r="V907" s="151"/>
      <c r="W907" s="151"/>
      <c r="X907" s="151"/>
      <c r="Y907" s="151"/>
      <c r="Z907" s="151"/>
    </row>
    <row r="908">
      <c r="A908" s="151"/>
      <c r="B908" s="151"/>
      <c r="C908" s="179"/>
      <c r="D908" s="180"/>
      <c r="E908" s="151"/>
      <c r="F908" s="151"/>
      <c r="G908" s="151"/>
      <c r="H908" s="151"/>
      <c r="I908" s="151"/>
      <c r="J908" s="151"/>
      <c r="K908" s="151"/>
      <c r="L908" s="151"/>
      <c r="M908" s="151"/>
      <c r="N908" s="151"/>
      <c r="O908" s="151"/>
      <c r="P908" s="151"/>
      <c r="Q908" s="151"/>
      <c r="R908" s="151"/>
      <c r="S908" s="151"/>
      <c r="T908" s="151"/>
      <c r="U908" s="151"/>
      <c r="V908" s="151"/>
      <c r="W908" s="151"/>
      <c r="X908" s="151"/>
      <c r="Y908" s="151"/>
      <c r="Z908" s="151"/>
    </row>
    <row r="909">
      <c r="A909" s="151"/>
      <c r="B909" s="151"/>
      <c r="C909" s="179"/>
      <c r="D909" s="180"/>
      <c r="E909" s="151"/>
      <c r="F909" s="151"/>
      <c r="G909" s="151"/>
      <c r="H909" s="151"/>
      <c r="I909" s="151"/>
      <c r="J909" s="151"/>
      <c r="K909" s="151"/>
      <c r="L909" s="151"/>
      <c r="M909" s="151"/>
      <c r="N909" s="151"/>
      <c r="O909" s="151"/>
      <c r="P909" s="151"/>
      <c r="Q909" s="151"/>
      <c r="R909" s="151"/>
      <c r="S909" s="151"/>
      <c r="T909" s="151"/>
      <c r="U909" s="151"/>
      <c r="V909" s="151"/>
      <c r="W909" s="151"/>
      <c r="X909" s="151"/>
      <c r="Y909" s="151"/>
      <c r="Z909" s="151"/>
    </row>
    <row r="910">
      <c r="A910" s="151"/>
      <c r="B910" s="151"/>
      <c r="C910" s="179"/>
      <c r="D910" s="180"/>
      <c r="E910" s="151"/>
      <c r="F910" s="151"/>
      <c r="G910" s="151"/>
      <c r="H910" s="151"/>
      <c r="I910" s="151"/>
      <c r="J910" s="151"/>
      <c r="K910" s="151"/>
      <c r="L910" s="151"/>
      <c r="M910" s="151"/>
      <c r="N910" s="151"/>
      <c r="O910" s="151"/>
      <c r="P910" s="151"/>
      <c r="Q910" s="151"/>
      <c r="R910" s="151"/>
      <c r="S910" s="151"/>
      <c r="T910" s="151"/>
      <c r="U910" s="151"/>
      <c r="V910" s="151"/>
      <c r="W910" s="151"/>
      <c r="X910" s="151"/>
      <c r="Y910" s="151"/>
      <c r="Z910" s="151"/>
    </row>
    <row r="911">
      <c r="A911" s="151"/>
      <c r="B911" s="151"/>
      <c r="C911" s="179"/>
      <c r="D911" s="180"/>
      <c r="E911" s="151"/>
      <c r="F911" s="151"/>
      <c r="G911" s="151"/>
      <c r="H911" s="151"/>
      <c r="I911" s="151"/>
      <c r="J911" s="151"/>
      <c r="K911" s="151"/>
      <c r="L911" s="151"/>
      <c r="M911" s="151"/>
      <c r="N911" s="151"/>
      <c r="O911" s="151"/>
      <c r="P911" s="151"/>
      <c r="Q911" s="151"/>
      <c r="R911" s="151"/>
      <c r="S911" s="151"/>
      <c r="T911" s="151"/>
      <c r="U911" s="151"/>
      <c r="V911" s="151"/>
      <c r="W911" s="151"/>
      <c r="X911" s="151"/>
      <c r="Y911" s="151"/>
      <c r="Z911" s="151"/>
    </row>
    <row r="912">
      <c r="A912" s="151"/>
      <c r="B912" s="151"/>
      <c r="C912" s="179"/>
      <c r="D912" s="180"/>
      <c r="E912" s="151"/>
      <c r="F912" s="151"/>
      <c r="G912" s="151"/>
      <c r="H912" s="151"/>
      <c r="I912" s="151"/>
      <c r="J912" s="151"/>
      <c r="K912" s="151"/>
      <c r="L912" s="151"/>
      <c r="M912" s="151"/>
      <c r="N912" s="151"/>
      <c r="O912" s="151"/>
      <c r="P912" s="151"/>
      <c r="Q912" s="151"/>
      <c r="R912" s="151"/>
      <c r="S912" s="151"/>
      <c r="T912" s="151"/>
      <c r="U912" s="151"/>
      <c r="V912" s="151"/>
      <c r="W912" s="151"/>
      <c r="X912" s="151"/>
      <c r="Y912" s="151"/>
      <c r="Z912" s="151"/>
    </row>
    <row r="913">
      <c r="A913" s="151"/>
      <c r="B913" s="151"/>
      <c r="C913" s="179"/>
      <c r="D913" s="180"/>
      <c r="E913" s="151"/>
      <c r="F913" s="151"/>
      <c r="G913" s="151"/>
      <c r="H913" s="151"/>
      <c r="I913" s="151"/>
      <c r="J913" s="151"/>
      <c r="K913" s="151"/>
      <c r="L913" s="151"/>
      <c r="M913" s="151"/>
      <c r="N913" s="151"/>
      <c r="O913" s="151"/>
      <c r="P913" s="151"/>
      <c r="Q913" s="151"/>
      <c r="R913" s="151"/>
      <c r="S913" s="151"/>
      <c r="T913" s="151"/>
      <c r="U913" s="151"/>
      <c r="V913" s="151"/>
      <c r="W913" s="151"/>
      <c r="X913" s="151"/>
      <c r="Y913" s="151"/>
      <c r="Z913" s="151"/>
    </row>
    <row r="914">
      <c r="A914" s="151"/>
      <c r="B914" s="151"/>
      <c r="C914" s="179"/>
      <c r="D914" s="180"/>
      <c r="E914" s="151"/>
      <c r="F914" s="151"/>
      <c r="G914" s="151"/>
      <c r="H914" s="151"/>
      <c r="I914" s="151"/>
      <c r="J914" s="151"/>
      <c r="K914" s="151"/>
      <c r="L914" s="151"/>
      <c r="M914" s="151"/>
      <c r="N914" s="151"/>
      <c r="O914" s="151"/>
      <c r="P914" s="151"/>
      <c r="Q914" s="151"/>
      <c r="R914" s="151"/>
      <c r="S914" s="151"/>
      <c r="T914" s="151"/>
      <c r="U914" s="151"/>
      <c r="V914" s="151"/>
      <c r="W914" s="151"/>
      <c r="X914" s="151"/>
      <c r="Y914" s="151"/>
      <c r="Z914" s="151"/>
    </row>
    <row r="915">
      <c r="A915" s="151"/>
      <c r="B915" s="151"/>
      <c r="C915" s="179"/>
      <c r="D915" s="180"/>
      <c r="E915" s="151"/>
      <c r="F915" s="151"/>
      <c r="G915" s="151"/>
      <c r="H915" s="151"/>
      <c r="I915" s="151"/>
      <c r="J915" s="151"/>
      <c r="K915" s="151"/>
      <c r="L915" s="151"/>
      <c r="M915" s="151"/>
      <c r="N915" s="151"/>
      <c r="O915" s="151"/>
      <c r="P915" s="151"/>
      <c r="Q915" s="151"/>
      <c r="R915" s="151"/>
      <c r="S915" s="151"/>
      <c r="T915" s="151"/>
      <c r="U915" s="151"/>
      <c r="V915" s="151"/>
      <c r="W915" s="151"/>
      <c r="X915" s="151"/>
      <c r="Y915" s="151"/>
      <c r="Z915" s="151"/>
    </row>
    <row r="916">
      <c r="A916" s="151"/>
      <c r="B916" s="151"/>
      <c r="C916" s="179"/>
      <c r="D916" s="180"/>
      <c r="E916" s="151"/>
      <c r="F916" s="151"/>
      <c r="G916" s="151"/>
      <c r="H916" s="151"/>
      <c r="I916" s="151"/>
      <c r="J916" s="151"/>
      <c r="K916" s="151"/>
      <c r="L916" s="151"/>
      <c r="M916" s="151"/>
      <c r="N916" s="151"/>
      <c r="O916" s="151"/>
      <c r="P916" s="151"/>
      <c r="Q916" s="151"/>
      <c r="R916" s="151"/>
      <c r="S916" s="151"/>
      <c r="T916" s="151"/>
      <c r="U916" s="151"/>
      <c r="V916" s="151"/>
      <c r="W916" s="151"/>
      <c r="X916" s="151"/>
      <c r="Y916" s="151"/>
      <c r="Z916" s="151"/>
    </row>
    <row r="917">
      <c r="A917" s="151"/>
      <c r="B917" s="151"/>
      <c r="C917" s="179"/>
      <c r="D917" s="180"/>
      <c r="E917" s="151"/>
      <c r="F917" s="151"/>
      <c r="G917" s="151"/>
      <c r="H917" s="151"/>
      <c r="I917" s="151"/>
      <c r="J917" s="151"/>
      <c r="K917" s="151"/>
      <c r="L917" s="151"/>
      <c r="M917" s="151"/>
      <c r="N917" s="151"/>
      <c r="O917" s="151"/>
      <c r="P917" s="151"/>
      <c r="Q917" s="151"/>
      <c r="R917" s="151"/>
      <c r="S917" s="151"/>
      <c r="T917" s="151"/>
      <c r="U917" s="151"/>
      <c r="V917" s="151"/>
      <c r="W917" s="151"/>
      <c r="X917" s="151"/>
      <c r="Y917" s="151"/>
      <c r="Z917" s="151"/>
    </row>
    <row r="918">
      <c r="A918" s="151"/>
      <c r="B918" s="151"/>
      <c r="C918" s="179"/>
      <c r="D918" s="180"/>
      <c r="E918" s="151"/>
      <c r="F918" s="151"/>
      <c r="G918" s="151"/>
      <c r="H918" s="151"/>
      <c r="I918" s="151"/>
      <c r="J918" s="151"/>
      <c r="K918" s="151"/>
      <c r="L918" s="151"/>
      <c r="M918" s="151"/>
      <c r="N918" s="151"/>
      <c r="O918" s="151"/>
      <c r="P918" s="151"/>
      <c r="Q918" s="151"/>
      <c r="R918" s="151"/>
      <c r="S918" s="151"/>
      <c r="T918" s="151"/>
      <c r="U918" s="151"/>
      <c r="V918" s="151"/>
      <c r="W918" s="151"/>
      <c r="X918" s="151"/>
      <c r="Y918" s="151"/>
      <c r="Z918" s="151"/>
    </row>
    <row r="919">
      <c r="A919" s="151"/>
      <c r="B919" s="151"/>
      <c r="C919" s="179"/>
      <c r="D919" s="180"/>
      <c r="E919" s="151"/>
      <c r="F919" s="151"/>
      <c r="G919" s="151"/>
      <c r="H919" s="151"/>
      <c r="I919" s="151"/>
      <c r="J919" s="151"/>
      <c r="K919" s="151"/>
      <c r="L919" s="151"/>
      <c r="M919" s="151"/>
      <c r="N919" s="151"/>
      <c r="O919" s="151"/>
      <c r="P919" s="151"/>
      <c r="Q919" s="151"/>
      <c r="R919" s="151"/>
      <c r="S919" s="151"/>
      <c r="T919" s="151"/>
      <c r="U919" s="151"/>
      <c r="V919" s="151"/>
      <c r="W919" s="151"/>
      <c r="X919" s="151"/>
      <c r="Y919" s="151"/>
      <c r="Z919" s="151"/>
    </row>
    <row r="920">
      <c r="A920" s="151"/>
      <c r="B920" s="151"/>
      <c r="C920" s="179"/>
      <c r="D920" s="180"/>
      <c r="E920" s="151"/>
      <c r="F920" s="151"/>
      <c r="G920" s="151"/>
      <c r="H920" s="151"/>
      <c r="I920" s="151"/>
      <c r="J920" s="151"/>
      <c r="K920" s="151"/>
      <c r="L920" s="151"/>
      <c r="M920" s="151"/>
      <c r="N920" s="151"/>
      <c r="O920" s="151"/>
      <c r="P920" s="151"/>
      <c r="Q920" s="151"/>
      <c r="R920" s="151"/>
      <c r="S920" s="151"/>
      <c r="T920" s="151"/>
      <c r="U920" s="151"/>
      <c r="V920" s="151"/>
      <c r="W920" s="151"/>
      <c r="X920" s="151"/>
      <c r="Y920" s="151"/>
      <c r="Z920" s="151"/>
    </row>
    <row r="921">
      <c r="A921" s="151"/>
      <c r="B921" s="151"/>
      <c r="C921" s="179"/>
      <c r="D921" s="180"/>
      <c r="E921" s="151"/>
      <c r="F921" s="151"/>
      <c r="G921" s="151"/>
      <c r="H921" s="151"/>
      <c r="I921" s="151"/>
      <c r="J921" s="151"/>
      <c r="K921" s="151"/>
      <c r="L921" s="151"/>
      <c r="M921" s="151"/>
      <c r="N921" s="151"/>
      <c r="O921" s="151"/>
      <c r="P921" s="151"/>
      <c r="Q921" s="151"/>
      <c r="R921" s="151"/>
      <c r="S921" s="151"/>
      <c r="T921" s="151"/>
      <c r="U921" s="151"/>
      <c r="V921" s="151"/>
      <c r="W921" s="151"/>
      <c r="X921" s="151"/>
      <c r="Y921" s="151"/>
      <c r="Z921" s="151"/>
    </row>
    <row r="922">
      <c r="A922" s="151"/>
      <c r="B922" s="151"/>
      <c r="C922" s="179"/>
      <c r="D922" s="180"/>
      <c r="E922" s="151"/>
      <c r="F922" s="151"/>
      <c r="G922" s="151"/>
      <c r="H922" s="151"/>
      <c r="I922" s="151"/>
      <c r="J922" s="151"/>
      <c r="K922" s="151"/>
      <c r="L922" s="151"/>
      <c r="M922" s="151"/>
      <c r="N922" s="151"/>
      <c r="O922" s="151"/>
      <c r="P922" s="151"/>
      <c r="Q922" s="151"/>
      <c r="R922" s="151"/>
      <c r="S922" s="151"/>
      <c r="T922" s="151"/>
      <c r="U922" s="151"/>
      <c r="V922" s="151"/>
      <c r="W922" s="151"/>
      <c r="X922" s="151"/>
      <c r="Y922" s="151"/>
      <c r="Z922" s="151"/>
    </row>
    <row r="923">
      <c r="A923" s="151"/>
      <c r="B923" s="151"/>
      <c r="C923" s="179"/>
      <c r="D923" s="180"/>
      <c r="E923" s="151"/>
      <c r="F923" s="151"/>
      <c r="G923" s="151"/>
      <c r="H923" s="151"/>
      <c r="I923" s="151"/>
      <c r="J923" s="151"/>
      <c r="K923" s="151"/>
      <c r="L923" s="151"/>
      <c r="M923" s="151"/>
      <c r="N923" s="151"/>
      <c r="O923" s="151"/>
      <c r="P923" s="151"/>
      <c r="Q923" s="151"/>
      <c r="R923" s="151"/>
      <c r="S923" s="151"/>
      <c r="T923" s="151"/>
      <c r="U923" s="151"/>
      <c r="V923" s="151"/>
      <c r="W923" s="151"/>
      <c r="X923" s="151"/>
      <c r="Y923" s="151"/>
      <c r="Z923" s="151"/>
    </row>
    <row r="924">
      <c r="A924" s="151"/>
      <c r="B924" s="151"/>
      <c r="C924" s="179"/>
      <c r="D924" s="180"/>
      <c r="E924" s="151"/>
      <c r="F924" s="151"/>
      <c r="G924" s="151"/>
      <c r="H924" s="151"/>
      <c r="I924" s="151"/>
      <c r="J924" s="151"/>
      <c r="K924" s="151"/>
      <c r="L924" s="151"/>
      <c r="M924" s="151"/>
      <c r="N924" s="151"/>
      <c r="O924" s="151"/>
      <c r="P924" s="151"/>
      <c r="Q924" s="151"/>
      <c r="R924" s="151"/>
      <c r="S924" s="151"/>
      <c r="T924" s="151"/>
      <c r="U924" s="151"/>
      <c r="V924" s="151"/>
      <c r="W924" s="151"/>
      <c r="X924" s="151"/>
      <c r="Y924" s="151"/>
      <c r="Z924" s="151"/>
    </row>
    <row r="925">
      <c r="A925" s="151"/>
      <c r="B925" s="151"/>
      <c r="C925" s="179"/>
      <c r="D925" s="180"/>
      <c r="E925" s="151"/>
      <c r="F925" s="151"/>
      <c r="G925" s="151"/>
      <c r="H925" s="151"/>
      <c r="I925" s="151"/>
      <c r="J925" s="151"/>
      <c r="K925" s="151"/>
      <c r="L925" s="151"/>
      <c r="M925" s="151"/>
      <c r="N925" s="151"/>
      <c r="O925" s="151"/>
      <c r="P925" s="151"/>
      <c r="Q925" s="151"/>
      <c r="R925" s="151"/>
      <c r="S925" s="151"/>
      <c r="T925" s="151"/>
      <c r="U925" s="151"/>
      <c r="V925" s="151"/>
      <c r="W925" s="151"/>
      <c r="X925" s="151"/>
      <c r="Y925" s="151"/>
      <c r="Z925" s="151"/>
    </row>
    <row r="926">
      <c r="A926" s="151"/>
      <c r="B926" s="151"/>
      <c r="C926" s="179"/>
      <c r="D926" s="180"/>
      <c r="E926" s="151"/>
      <c r="F926" s="151"/>
      <c r="G926" s="151"/>
      <c r="H926" s="151"/>
      <c r="I926" s="151"/>
      <c r="J926" s="151"/>
      <c r="K926" s="151"/>
      <c r="L926" s="151"/>
      <c r="M926" s="151"/>
      <c r="N926" s="151"/>
      <c r="O926" s="151"/>
      <c r="P926" s="151"/>
      <c r="Q926" s="151"/>
      <c r="R926" s="151"/>
      <c r="S926" s="151"/>
      <c r="T926" s="151"/>
      <c r="U926" s="151"/>
      <c r="V926" s="151"/>
      <c r="W926" s="151"/>
      <c r="X926" s="151"/>
      <c r="Y926" s="151"/>
      <c r="Z926" s="151"/>
    </row>
    <row r="927">
      <c r="A927" s="151"/>
      <c r="B927" s="151"/>
      <c r="C927" s="179"/>
      <c r="D927" s="180"/>
      <c r="E927" s="151"/>
      <c r="F927" s="151"/>
      <c r="G927" s="151"/>
      <c r="H927" s="151"/>
      <c r="I927" s="151"/>
      <c r="J927" s="151"/>
      <c r="K927" s="151"/>
      <c r="L927" s="151"/>
      <c r="M927" s="151"/>
      <c r="N927" s="151"/>
      <c r="O927" s="151"/>
      <c r="P927" s="151"/>
      <c r="Q927" s="151"/>
      <c r="R927" s="151"/>
      <c r="S927" s="151"/>
      <c r="T927" s="151"/>
      <c r="U927" s="151"/>
      <c r="V927" s="151"/>
      <c r="W927" s="151"/>
      <c r="X927" s="151"/>
      <c r="Y927" s="151"/>
      <c r="Z927" s="151"/>
    </row>
    <row r="928">
      <c r="A928" s="151"/>
      <c r="B928" s="151"/>
      <c r="C928" s="179"/>
      <c r="D928" s="180"/>
      <c r="E928" s="151"/>
      <c r="F928" s="151"/>
      <c r="G928" s="151"/>
      <c r="H928" s="151"/>
      <c r="I928" s="151"/>
      <c r="J928" s="151"/>
      <c r="K928" s="151"/>
      <c r="L928" s="151"/>
      <c r="M928" s="151"/>
      <c r="N928" s="151"/>
      <c r="O928" s="151"/>
      <c r="P928" s="151"/>
      <c r="Q928" s="151"/>
      <c r="R928" s="151"/>
      <c r="S928" s="151"/>
      <c r="T928" s="151"/>
      <c r="U928" s="151"/>
      <c r="V928" s="151"/>
      <c r="W928" s="151"/>
      <c r="X928" s="151"/>
      <c r="Y928" s="151"/>
      <c r="Z928" s="151"/>
    </row>
    <row r="929">
      <c r="A929" s="151"/>
      <c r="B929" s="151"/>
      <c r="C929" s="179"/>
      <c r="D929" s="180"/>
      <c r="E929" s="151"/>
      <c r="F929" s="151"/>
      <c r="G929" s="151"/>
      <c r="H929" s="151"/>
      <c r="I929" s="151"/>
      <c r="J929" s="151"/>
      <c r="K929" s="151"/>
      <c r="L929" s="151"/>
      <c r="M929" s="151"/>
      <c r="N929" s="151"/>
      <c r="O929" s="151"/>
      <c r="P929" s="151"/>
      <c r="Q929" s="151"/>
      <c r="R929" s="151"/>
      <c r="S929" s="151"/>
      <c r="T929" s="151"/>
      <c r="U929" s="151"/>
      <c r="V929" s="151"/>
      <c r="W929" s="151"/>
      <c r="X929" s="151"/>
      <c r="Y929" s="151"/>
      <c r="Z929" s="151"/>
    </row>
    <row r="930">
      <c r="A930" s="151"/>
      <c r="B930" s="151"/>
      <c r="C930" s="179"/>
      <c r="D930" s="180"/>
      <c r="E930" s="151"/>
      <c r="F930" s="151"/>
      <c r="G930" s="151"/>
      <c r="H930" s="151"/>
      <c r="I930" s="151"/>
      <c r="J930" s="151"/>
      <c r="K930" s="151"/>
      <c r="L930" s="151"/>
      <c r="M930" s="151"/>
      <c r="N930" s="151"/>
      <c r="O930" s="151"/>
      <c r="P930" s="151"/>
      <c r="Q930" s="151"/>
      <c r="R930" s="151"/>
      <c r="S930" s="151"/>
      <c r="T930" s="151"/>
      <c r="U930" s="151"/>
      <c r="V930" s="151"/>
      <c r="W930" s="151"/>
      <c r="X930" s="151"/>
      <c r="Y930" s="151"/>
      <c r="Z930" s="151"/>
    </row>
    <row r="931">
      <c r="A931" s="151"/>
      <c r="B931" s="151"/>
      <c r="C931" s="179"/>
      <c r="D931" s="180"/>
      <c r="E931" s="151"/>
      <c r="F931" s="151"/>
      <c r="G931" s="151"/>
      <c r="H931" s="151"/>
      <c r="I931" s="151"/>
      <c r="J931" s="151"/>
      <c r="K931" s="151"/>
      <c r="L931" s="151"/>
      <c r="M931" s="151"/>
      <c r="N931" s="151"/>
      <c r="O931" s="151"/>
      <c r="P931" s="151"/>
      <c r="Q931" s="151"/>
      <c r="R931" s="151"/>
      <c r="S931" s="151"/>
      <c r="T931" s="151"/>
      <c r="U931" s="151"/>
      <c r="V931" s="151"/>
      <c r="W931" s="151"/>
      <c r="X931" s="151"/>
      <c r="Y931" s="151"/>
      <c r="Z931" s="151"/>
    </row>
    <row r="932">
      <c r="A932" s="151"/>
      <c r="B932" s="151"/>
      <c r="C932" s="179"/>
      <c r="D932" s="180"/>
      <c r="E932" s="151"/>
      <c r="F932" s="151"/>
      <c r="G932" s="151"/>
      <c r="H932" s="151"/>
      <c r="I932" s="151"/>
      <c r="J932" s="151"/>
      <c r="K932" s="151"/>
      <c r="L932" s="151"/>
      <c r="M932" s="151"/>
      <c r="N932" s="151"/>
      <c r="O932" s="151"/>
      <c r="P932" s="151"/>
      <c r="Q932" s="151"/>
      <c r="R932" s="151"/>
      <c r="S932" s="151"/>
      <c r="T932" s="151"/>
      <c r="U932" s="151"/>
      <c r="V932" s="151"/>
      <c r="W932" s="151"/>
      <c r="X932" s="151"/>
      <c r="Y932" s="151"/>
      <c r="Z932" s="151"/>
    </row>
    <row r="933">
      <c r="A933" s="151"/>
      <c r="B933" s="151"/>
      <c r="C933" s="179"/>
      <c r="D933" s="180"/>
      <c r="E933" s="151"/>
      <c r="F933" s="151"/>
      <c r="G933" s="151"/>
      <c r="H933" s="151"/>
      <c r="I933" s="151"/>
      <c r="J933" s="151"/>
      <c r="K933" s="151"/>
      <c r="L933" s="151"/>
      <c r="M933" s="151"/>
      <c r="N933" s="151"/>
      <c r="O933" s="151"/>
      <c r="P933" s="151"/>
      <c r="Q933" s="151"/>
      <c r="R933" s="151"/>
      <c r="S933" s="151"/>
      <c r="T933" s="151"/>
      <c r="U933" s="151"/>
      <c r="V933" s="151"/>
      <c r="W933" s="151"/>
      <c r="X933" s="151"/>
      <c r="Y933" s="151"/>
      <c r="Z933" s="151"/>
    </row>
    <row r="934">
      <c r="A934" s="151"/>
      <c r="B934" s="151"/>
      <c r="C934" s="179"/>
      <c r="D934" s="180"/>
      <c r="E934" s="151"/>
      <c r="F934" s="151"/>
      <c r="G934" s="151"/>
      <c r="H934" s="151"/>
      <c r="I934" s="151"/>
      <c r="J934" s="151"/>
      <c r="K934" s="151"/>
      <c r="L934" s="151"/>
      <c r="M934" s="151"/>
      <c r="N934" s="151"/>
      <c r="O934" s="151"/>
      <c r="P934" s="151"/>
      <c r="Q934" s="151"/>
      <c r="R934" s="151"/>
      <c r="S934" s="151"/>
      <c r="T934" s="151"/>
      <c r="U934" s="151"/>
      <c r="V934" s="151"/>
      <c r="W934" s="151"/>
      <c r="X934" s="151"/>
      <c r="Y934" s="151"/>
      <c r="Z934" s="151"/>
    </row>
    <row r="935">
      <c r="A935" s="151"/>
      <c r="B935" s="151"/>
      <c r="C935" s="179"/>
      <c r="D935" s="180"/>
      <c r="E935" s="151"/>
      <c r="F935" s="151"/>
      <c r="G935" s="151"/>
      <c r="H935" s="151"/>
      <c r="I935" s="151"/>
      <c r="J935" s="151"/>
      <c r="K935" s="151"/>
      <c r="L935" s="151"/>
      <c r="M935" s="151"/>
      <c r="N935" s="151"/>
      <c r="O935" s="151"/>
      <c r="P935" s="151"/>
      <c r="Q935" s="151"/>
      <c r="R935" s="151"/>
      <c r="S935" s="151"/>
      <c r="T935" s="151"/>
      <c r="U935" s="151"/>
      <c r="V935" s="151"/>
      <c r="W935" s="151"/>
      <c r="X935" s="151"/>
      <c r="Y935" s="151"/>
      <c r="Z935" s="151"/>
    </row>
    <row r="936">
      <c r="A936" s="151"/>
      <c r="B936" s="151"/>
      <c r="C936" s="179"/>
      <c r="D936" s="180"/>
      <c r="E936" s="151"/>
      <c r="F936" s="151"/>
      <c r="G936" s="151"/>
      <c r="H936" s="151"/>
      <c r="I936" s="151"/>
      <c r="J936" s="151"/>
      <c r="K936" s="151"/>
      <c r="L936" s="151"/>
      <c r="M936" s="151"/>
      <c r="N936" s="151"/>
      <c r="O936" s="151"/>
      <c r="P936" s="151"/>
      <c r="Q936" s="151"/>
      <c r="R936" s="151"/>
      <c r="S936" s="151"/>
      <c r="T936" s="151"/>
      <c r="U936" s="151"/>
      <c r="V936" s="151"/>
      <c r="W936" s="151"/>
      <c r="X936" s="151"/>
      <c r="Y936" s="151"/>
      <c r="Z936" s="151"/>
    </row>
    <row r="937">
      <c r="A937" s="151"/>
      <c r="B937" s="151"/>
      <c r="C937" s="179"/>
      <c r="D937" s="180"/>
      <c r="E937" s="151"/>
      <c r="F937" s="151"/>
      <c r="G937" s="151"/>
      <c r="H937" s="151"/>
      <c r="I937" s="151"/>
      <c r="J937" s="151"/>
      <c r="K937" s="151"/>
      <c r="L937" s="151"/>
      <c r="M937" s="151"/>
      <c r="N937" s="151"/>
      <c r="O937" s="151"/>
      <c r="P937" s="151"/>
      <c r="Q937" s="151"/>
      <c r="R937" s="151"/>
      <c r="S937" s="151"/>
      <c r="T937" s="151"/>
      <c r="U937" s="151"/>
      <c r="V937" s="151"/>
      <c r="W937" s="151"/>
      <c r="X937" s="151"/>
      <c r="Y937" s="151"/>
      <c r="Z937" s="151"/>
    </row>
    <row r="938">
      <c r="A938" s="151"/>
      <c r="B938" s="151"/>
      <c r="C938" s="179"/>
      <c r="D938" s="180"/>
      <c r="E938" s="151"/>
      <c r="F938" s="151"/>
      <c r="G938" s="151"/>
      <c r="H938" s="151"/>
      <c r="I938" s="151"/>
      <c r="J938" s="151"/>
      <c r="K938" s="151"/>
      <c r="L938" s="151"/>
      <c r="M938" s="151"/>
      <c r="N938" s="151"/>
      <c r="O938" s="151"/>
      <c r="P938" s="151"/>
      <c r="Q938" s="151"/>
      <c r="R938" s="151"/>
      <c r="S938" s="151"/>
      <c r="T938" s="151"/>
      <c r="U938" s="151"/>
      <c r="V938" s="151"/>
      <c r="W938" s="151"/>
      <c r="X938" s="151"/>
      <c r="Y938" s="151"/>
      <c r="Z938" s="151"/>
    </row>
    <row r="939">
      <c r="A939" s="151"/>
      <c r="B939" s="151"/>
      <c r="C939" s="179"/>
      <c r="D939" s="180"/>
      <c r="E939" s="151"/>
      <c r="F939" s="151"/>
      <c r="G939" s="151"/>
      <c r="H939" s="151"/>
      <c r="I939" s="151"/>
      <c r="J939" s="151"/>
      <c r="K939" s="151"/>
      <c r="L939" s="151"/>
      <c r="M939" s="151"/>
      <c r="N939" s="151"/>
      <c r="O939" s="151"/>
      <c r="P939" s="151"/>
      <c r="Q939" s="151"/>
      <c r="R939" s="151"/>
      <c r="S939" s="151"/>
      <c r="T939" s="151"/>
      <c r="U939" s="151"/>
      <c r="V939" s="151"/>
      <c r="W939" s="151"/>
      <c r="X939" s="151"/>
      <c r="Y939" s="151"/>
      <c r="Z939" s="151"/>
    </row>
    <row r="940">
      <c r="A940" s="151"/>
      <c r="B940" s="151"/>
      <c r="C940" s="179"/>
      <c r="D940" s="180"/>
      <c r="E940" s="151"/>
      <c r="F940" s="151"/>
      <c r="G940" s="151"/>
      <c r="H940" s="151"/>
      <c r="I940" s="151"/>
      <c r="J940" s="151"/>
      <c r="K940" s="151"/>
      <c r="L940" s="151"/>
      <c r="M940" s="151"/>
      <c r="N940" s="151"/>
      <c r="O940" s="151"/>
      <c r="P940" s="151"/>
      <c r="Q940" s="151"/>
      <c r="R940" s="151"/>
      <c r="S940" s="151"/>
      <c r="T940" s="151"/>
      <c r="U940" s="151"/>
      <c r="V940" s="151"/>
      <c r="W940" s="151"/>
      <c r="X940" s="151"/>
      <c r="Y940" s="151"/>
      <c r="Z940" s="151"/>
    </row>
    <row r="941">
      <c r="A941" s="151"/>
      <c r="B941" s="151"/>
      <c r="C941" s="179"/>
      <c r="D941" s="180"/>
      <c r="E941" s="151"/>
      <c r="F941" s="151"/>
      <c r="G941" s="151"/>
      <c r="H941" s="151"/>
      <c r="I941" s="151"/>
      <c r="J941" s="151"/>
      <c r="K941" s="151"/>
      <c r="L941" s="151"/>
      <c r="M941" s="151"/>
      <c r="N941" s="151"/>
      <c r="O941" s="151"/>
      <c r="P941" s="151"/>
      <c r="Q941" s="151"/>
      <c r="R941" s="151"/>
      <c r="S941" s="151"/>
      <c r="T941" s="151"/>
      <c r="U941" s="151"/>
      <c r="V941" s="151"/>
      <c r="W941" s="151"/>
      <c r="X941" s="151"/>
      <c r="Y941" s="151"/>
      <c r="Z941" s="151"/>
    </row>
    <row r="942">
      <c r="A942" s="151"/>
      <c r="B942" s="151"/>
      <c r="C942" s="179"/>
      <c r="D942" s="180"/>
      <c r="E942" s="151"/>
      <c r="F942" s="151"/>
      <c r="G942" s="151"/>
      <c r="H942" s="151"/>
      <c r="I942" s="151"/>
      <c r="J942" s="151"/>
      <c r="K942" s="151"/>
      <c r="L942" s="151"/>
      <c r="M942" s="151"/>
      <c r="N942" s="151"/>
      <c r="O942" s="151"/>
      <c r="P942" s="151"/>
      <c r="Q942" s="151"/>
      <c r="R942" s="151"/>
      <c r="S942" s="151"/>
      <c r="T942" s="151"/>
      <c r="U942" s="151"/>
      <c r="V942" s="151"/>
      <c r="W942" s="151"/>
      <c r="X942" s="151"/>
      <c r="Y942" s="151"/>
      <c r="Z942" s="151"/>
    </row>
    <row r="943">
      <c r="A943" s="151"/>
      <c r="B943" s="151"/>
      <c r="C943" s="179"/>
      <c r="D943" s="180"/>
      <c r="E943" s="151"/>
      <c r="F943" s="151"/>
      <c r="G943" s="151"/>
      <c r="H943" s="151"/>
      <c r="I943" s="151"/>
      <c r="J943" s="151"/>
      <c r="K943" s="151"/>
      <c r="L943" s="151"/>
      <c r="M943" s="151"/>
      <c r="N943" s="151"/>
      <c r="O943" s="151"/>
      <c r="P943" s="151"/>
      <c r="Q943" s="151"/>
      <c r="R943" s="151"/>
      <c r="S943" s="151"/>
      <c r="T943" s="151"/>
      <c r="U943" s="151"/>
      <c r="V943" s="151"/>
      <c r="W943" s="151"/>
      <c r="X943" s="151"/>
      <c r="Y943" s="151"/>
      <c r="Z943" s="151"/>
    </row>
    <row r="944">
      <c r="A944" s="151"/>
      <c r="B944" s="151"/>
      <c r="C944" s="179"/>
      <c r="D944" s="180"/>
      <c r="E944" s="151"/>
      <c r="F944" s="151"/>
      <c r="G944" s="151"/>
      <c r="H944" s="151"/>
      <c r="I944" s="151"/>
      <c r="J944" s="151"/>
      <c r="K944" s="151"/>
      <c r="L944" s="151"/>
      <c r="M944" s="151"/>
      <c r="N944" s="151"/>
      <c r="O944" s="151"/>
      <c r="P944" s="151"/>
      <c r="Q944" s="151"/>
      <c r="R944" s="151"/>
      <c r="S944" s="151"/>
      <c r="T944" s="151"/>
      <c r="U944" s="151"/>
      <c r="V944" s="151"/>
      <c r="W944" s="151"/>
      <c r="X944" s="151"/>
      <c r="Y944" s="151"/>
      <c r="Z944" s="151"/>
    </row>
    <row r="945">
      <c r="A945" s="151"/>
      <c r="B945" s="151"/>
      <c r="C945" s="179"/>
      <c r="D945" s="180"/>
      <c r="E945" s="151"/>
      <c r="F945" s="151"/>
      <c r="G945" s="151"/>
      <c r="H945" s="151"/>
      <c r="I945" s="151"/>
      <c r="J945" s="151"/>
      <c r="K945" s="151"/>
      <c r="L945" s="151"/>
      <c r="M945" s="151"/>
      <c r="N945" s="151"/>
      <c r="O945" s="151"/>
      <c r="P945" s="151"/>
      <c r="Q945" s="151"/>
      <c r="R945" s="151"/>
      <c r="S945" s="151"/>
      <c r="T945" s="151"/>
      <c r="U945" s="151"/>
      <c r="V945" s="151"/>
      <c r="W945" s="151"/>
      <c r="X945" s="151"/>
      <c r="Y945" s="151"/>
      <c r="Z945" s="151"/>
    </row>
    <row r="946">
      <c r="A946" s="151"/>
      <c r="B946" s="151"/>
      <c r="C946" s="179"/>
      <c r="D946" s="180"/>
      <c r="E946" s="151"/>
      <c r="F946" s="151"/>
      <c r="G946" s="151"/>
      <c r="H946" s="151"/>
      <c r="I946" s="151"/>
      <c r="J946" s="151"/>
      <c r="K946" s="151"/>
      <c r="L946" s="151"/>
      <c r="M946" s="151"/>
      <c r="N946" s="151"/>
      <c r="O946" s="151"/>
      <c r="P946" s="151"/>
      <c r="Q946" s="151"/>
      <c r="R946" s="151"/>
      <c r="S946" s="151"/>
      <c r="T946" s="151"/>
      <c r="U946" s="151"/>
      <c r="V946" s="151"/>
      <c r="W946" s="151"/>
      <c r="X946" s="151"/>
      <c r="Y946" s="151"/>
      <c r="Z946" s="151"/>
    </row>
    <row r="947">
      <c r="A947" s="151"/>
      <c r="B947" s="151"/>
      <c r="C947" s="179"/>
      <c r="D947" s="180"/>
      <c r="E947" s="151"/>
      <c r="F947" s="151"/>
      <c r="G947" s="151"/>
      <c r="H947" s="151"/>
      <c r="I947" s="151"/>
      <c r="J947" s="151"/>
      <c r="K947" s="151"/>
      <c r="L947" s="151"/>
      <c r="M947" s="151"/>
      <c r="N947" s="151"/>
      <c r="O947" s="151"/>
      <c r="P947" s="151"/>
      <c r="Q947" s="151"/>
      <c r="R947" s="151"/>
      <c r="S947" s="151"/>
      <c r="T947" s="151"/>
      <c r="U947" s="151"/>
      <c r="V947" s="151"/>
      <c r="W947" s="151"/>
      <c r="X947" s="151"/>
      <c r="Y947" s="151"/>
      <c r="Z947" s="151"/>
    </row>
    <row r="948">
      <c r="A948" s="151"/>
      <c r="B948" s="151"/>
      <c r="C948" s="179"/>
      <c r="D948" s="180"/>
      <c r="E948" s="151"/>
      <c r="F948" s="151"/>
      <c r="G948" s="151"/>
      <c r="H948" s="151"/>
      <c r="I948" s="151"/>
      <c r="J948" s="151"/>
      <c r="K948" s="151"/>
      <c r="L948" s="151"/>
      <c r="M948" s="151"/>
      <c r="N948" s="151"/>
      <c r="O948" s="151"/>
      <c r="P948" s="151"/>
      <c r="Q948" s="151"/>
      <c r="R948" s="151"/>
      <c r="S948" s="151"/>
      <c r="T948" s="151"/>
      <c r="U948" s="151"/>
      <c r="V948" s="151"/>
      <c r="W948" s="151"/>
      <c r="X948" s="151"/>
      <c r="Y948" s="151"/>
      <c r="Z948" s="151"/>
    </row>
    <row r="949">
      <c r="A949" s="151"/>
      <c r="B949" s="151"/>
      <c r="C949" s="179"/>
      <c r="D949" s="180"/>
      <c r="E949" s="151"/>
      <c r="F949" s="151"/>
      <c r="G949" s="151"/>
      <c r="H949" s="151"/>
      <c r="I949" s="151"/>
      <c r="J949" s="151"/>
      <c r="K949" s="151"/>
      <c r="L949" s="151"/>
      <c r="M949" s="151"/>
      <c r="N949" s="151"/>
      <c r="O949" s="151"/>
      <c r="P949" s="151"/>
      <c r="Q949" s="151"/>
      <c r="R949" s="151"/>
      <c r="S949" s="151"/>
      <c r="T949" s="151"/>
      <c r="U949" s="151"/>
      <c r="V949" s="151"/>
      <c r="W949" s="151"/>
      <c r="X949" s="151"/>
      <c r="Y949" s="151"/>
      <c r="Z949" s="151"/>
    </row>
    <row r="950">
      <c r="A950" s="151"/>
      <c r="B950" s="151"/>
      <c r="C950" s="179"/>
      <c r="D950" s="180"/>
      <c r="E950" s="151"/>
      <c r="F950" s="151"/>
      <c r="G950" s="151"/>
      <c r="H950" s="151"/>
      <c r="I950" s="151"/>
      <c r="J950" s="151"/>
      <c r="K950" s="151"/>
      <c r="L950" s="151"/>
      <c r="M950" s="151"/>
      <c r="N950" s="151"/>
      <c r="O950" s="151"/>
      <c r="P950" s="151"/>
      <c r="Q950" s="151"/>
      <c r="R950" s="151"/>
      <c r="S950" s="151"/>
      <c r="T950" s="151"/>
      <c r="U950" s="151"/>
      <c r="V950" s="151"/>
      <c r="W950" s="151"/>
      <c r="X950" s="151"/>
      <c r="Y950" s="151"/>
      <c r="Z950" s="151"/>
    </row>
    <row r="951">
      <c r="A951" s="151"/>
      <c r="B951" s="151"/>
      <c r="C951" s="179"/>
      <c r="D951" s="180"/>
      <c r="E951" s="151"/>
      <c r="F951" s="151"/>
      <c r="G951" s="151"/>
      <c r="H951" s="151"/>
      <c r="I951" s="151"/>
      <c r="J951" s="151"/>
      <c r="K951" s="151"/>
      <c r="L951" s="151"/>
      <c r="M951" s="151"/>
      <c r="N951" s="151"/>
      <c r="O951" s="151"/>
      <c r="P951" s="151"/>
      <c r="Q951" s="151"/>
      <c r="R951" s="151"/>
      <c r="S951" s="151"/>
      <c r="T951" s="151"/>
      <c r="U951" s="151"/>
      <c r="V951" s="151"/>
      <c r="W951" s="151"/>
      <c r="X951" s="151"/>
      <c r="Y951" s="151"/>
      <c r="Z951" s="151"/>
    </row>
    <row r="952">
      <c r="A952" s="151"/>
      <c r="B952" s="151"/>
      <c r="C952" s="179"/>
      <c r="D952" s="180"/>
      <c r="E952" s="151"/>
      <c r="F952" s="151"/>
      <c r="G952" s="151"/>
      <c r="H952" s="151"/>
      <c r="I952" s="151"/>
      <c r="J952" s="151"/>
      <c r="K952" s="151"/>
      <c r="L952" s="151"/>
      <c r="M952" s="151"/>
      <c r="N952" s="151"/>
      <c r="O952" s="151"/>
      <c r="P952" s="151"/>
      <c r="Q952" s="151"/>
      <c r="R952" s="151"/>
      <c r="S952" s="151"/>
      <c r="T952" s="151"/>
      <c r="U952" s="151"/>
      <c r="V952" s="151"/>
      <c r="W952" s="151"/>
      <c r="X952" s="151"/>
      <c r="Y952" s="151"/>
      <c r="Z952" s="151"/>
    </row>
    <row r="953">
      <c r="A953" s="151"/>
      <c r="B953" s="151"/>
      <c r="C953" s="179"/>
      <c r="D953" s="180"/>
      <c r="E953" s="151"/>
      <c r="F953" s="151"/>
      <c r="G953" s="151"/>
      <c r="H953" s="151"/>
      <c r="I953" s="151"/>
      <c r="J953" s="151"/>
      <c r="K953" s="151"/>
      <c r="L953" s="151"/>
      <c r="M953" s="151"/>
      <c r="N953" s="151"/>
      <c r="O953" s="151"/>
      <c r="P953" s="151"/>
      <c r="Q953" s="151"/>
      <c r="R953" s="151"/>
      <c r="S953" s="151"/>
      <c r="T953" s="151"/>
      <c r="U953" s="151"/>
      <c r="V953" s="151"/>
      <c r="W953" s="151"/>
      <c r="X953" s="151"/>
      <c r="Y953" s="151"/>
      <c r="Z953" s="151"/>
    </row>
    <row r="954">
      <c r="A954" s="151"/>
      <c r="B954" s="151"/>
      <c r="C954" s="179"/>
      <c r="D954" s="180"/>
      <c r="E954" s="151"/>
      <c r="F954" s="151"/>
      <c r="G954" s="151"/>
      <c r="H954" s="151"/>
      <c r="I954" s="151"/>
      <c r="J954" s="151"/>
      <c r="K954" s="151"/>
      <c r="L954" s="151"/>
      <c r="M954" s="151"/>
      <c r="N954" s="151"/>
      <c r="O954" s="151"/>
      <c r="P954" s="151"/>
      <c r="Q954" s="151"/>
      <c r="R954" s="151"/>
      <c r="S954" s="151"/>
      <c r="T954" s="151"/>
      <c r="U954" s="151"/>
      <c r="V954" s="151"/>
      <c r="W954" s="151"/>
      <c r="X954" s="151"/>
      <c r="Y954" s="151"/>
      <c r="Z954" s="151"/>
    </row>
    <row r="955">
      <c r="A955" s="151"/>
      <c r="B955" s="151"/>
      <c r="C955" s="179"/>
      <c r="D955" s="180"/>
      <c r="E955" s="151"/>
      <c r="F955" s="151"/>
      <c r="G955" s="151"/>
      <c r="H955" s="151"/>
      <c r="I955" s="151"/>
      <c r="J955" s="151"/>
      <c r="K955" s="151"/>
      <c r="L955" s="151"/>
      <c r="M955" s="151"/>
      <c r="N955" s="151"/>
      <c r="O955" s="151"/>
      <c r="P955" s="151"/>
      <c r="Q955" s="151"/>
      <c r="R955" s="151"/>
      <c r="S955" s="151"/>
      <c r="T955" s="151"/>
      <c r="U955" s="151"/>
      <c r="V955" s="151"/>
      <c r="W955" s="151"/>
      <c r="X955" s="151"/>
      <c r="Y955" s="151"/>
      <c r="Z955" s="151"/>
    </row>
    <row r="956">
      <c r="A956" s="151"/>
      <c r="B956" s="151"/>
      <c r="C956" s="179"/>
      <c r="D956" s="180"/>
      <c r="E956" s="151"/>
      <c r="F956" s="151"/>
      <c r="G956" s="151"/>
      <c r="H956" s="151"/>
      <c r="I956" s="151"/>
      <c r="J956" s="151"/>
      <c r="K956" s="151"/>
      <c r="L956" s="151"/>
      <c r="M956" s="151"/>
      <c r="N956" s="151"/>
      <c r="O956" s="151"/>
      <c r="P956" s="151"/>
      <c r="Q956" s="151"/>
      <c r="R956" s="151"/>
      <c r="S956" s="151"/>
      <c r="T956" s="151"/>
      <c r="U956" s="151"/>
      <c r="V956" s="151"/>
      <c r="W956" s="151"/>
      <c r="X956" s="151"/>
      <c r="Y956" s="151"/>
      <c r="Z956" s="151"/>
    </row>
    <row r="957">
      <c r="A957" s="151"/>
      <c r="B957" s="151"/>
      <c r="C957" s="179"/>
      <c r="D957" s="180"/>
      <c r="E957" s="151"/>
      <c r="F957" s="151"/>
      <c r="G957" s="151"/>
      <c r="H957" s="151"/>
      <c r="I957" s="151"/>
      <c r="J957" s="151"/>
      <c r="K957" s="151"/>
      <c r="L957" s="151"/>
      <c r="M957" s="151"/>
      <c r="N957" s="151"/>
      <c r="O957" s="151"/>
      <c r="P957" s="151"/>
      <c r="Q957" s="151"/>
      <c r="R957" s="151"/>
      <c r="S957" s="151"/>
      <c r="T957" s="151"/>
      <c r="U957" s="151"/>
      <c r="V957" s="151"/>
      <c r="W957" s="151"/>
      <c r="X957" s="151"/>
      <c r="Y957" s="151"/>
      <c r="Z957" s="151"/>
    </row>
    <row r="958">
      <c r="A958" s="151"/>
      <c r="B958" s="151"/>
      <c r="C958" s="179"/>
      <c r="D958" s="180"/>
      <c r="E958" s="151"/>
      <c r="F958" s="151"/>
      <c r="G958" s="151"/>
      <c r="H958" s="151"/>
      <c r="I958" s="151"/>
      <c r="J958" s="151"/>
      <c r="K958" s="151"/>
      <c r="L958" s="151"/>
      <c r="M958" s="151"/>
      <c r="N958" s="151"/>
      <c r="O958" s="151"/>
      <c r="P958" s="151"/>
      <c r="Q958" s="151"/>
      <c r="R958" s="151"/>
      <c r="S958" s="151"/>
      <c r="T958" s="151"/>
      <c r="U958" s="151"/>
      <c r="V958" s="151"/>
      <c r="W958" s="151"/>
      <c r="X958" s="151"/>
      <c r="Y958" s="151"/>
      <c r="Z958" s="151"/>
    </row>
    <row r="959">
      <c r="A959" s="151"/>
      <c r="B959" s="151"/>
      <c r="C959" s="179"/>
      <c r="D959" s="180"/>
      <c r="E959" s="151"/>
      <c r="F959" s="151"/>
      <c r="G959" s="151"/>
      <c r="H959" s="151"/>
      <c r="I959" s="151"/>
      <c r="J959" s="151"/>
      <c r="K959" s="151"/>
      <c r="L959" s="151"/>
      <c r="M959" s="151"/>
      <c r="N959" s="151"/>
      <c r="O959" s="151"/>
      <c r="P959" s="151"/>
      <c r="Q959" s="151"/>
      <c r="R959" s="151"/>
      <c r="S959" s="151"/>
      <c r="T959" s="151"/>
      <c r="U959" s="151"/>
      <c r="V959" s="151"/>
      <c r="W959" s="151"/>
      <c r="X959" s="151"/>
      <c r="Y959" s="151"/>
      <c r="Z959" s="151"/>
    </row>
    <row r="960">
      <c r="A960" s="151"/>
      <c r="B960" s="151"/>
      <c r="C960" s="179"/>
      <c r="D960" s="180"/>
      <c r="E960" s="151"/>
      <c r="F960" s="151"/>
      <c r="G960" s="151"/>
      <c r="H960" s="151"/>
      <c r="I960" s="151"/>
      <c r="J960" s="151"/>
      <c r="K960" s="151"/>
      <c r="L960" s="151"/>
      <c r="M960" s="151"/>
      <c r="N960" s="151"/>
      <c r="O960" s="151"/>
      <c r="P960" s="151"/>
      <c r="Q960" s="151"/>
      <c r="R960" s="151"/>
      <c r="S960" s="151"/>
      <c r="T960" s="151"/>
      <c r="U960" s="151"/>
      <c r="V960" s="151"/>
      <c r="W960" s="151"/>
      <c r="X960" s="151"/>
      <c r="Y960" s="151"/>
      <c r="Z960" s="151"/>
    </row>
    <row r="961">
      <c r="A961" s="151"/>
      <c r="B961" s="151"/>
      <c r="C961" s="179"/>
      <c r="D961" s="180"/>
      <c r="E961" s="151"/>
      <c r="F961" s="151"/>
      <c r="G961" s="151"/>
      <c r="H961" s="151"/>
      <c r="I961" s="151"/>
      <c r="J961" s="151"/>
      <c r="K961" s="151"/>
      <c r="L961" s="151"/>
      <c r="M961" s="151"/>
      <c r="N961" s="151"/>
      <c r="O961" s="151"/>
      <c r="P961" s="151"/>
      <c r="Q961" s="151"/>
      <c r="R961" s="151"/>
      <c r="S961" s="151"/>
      <c r="T961" s="151"/>
      <c r="U961" s="151"/>
      <c r="V961" s="151"/>
      <c r="W961" s="151"/>
      <c r="X961" s="151"/>
      <c r="Y961" s="151"/>
      <c r="Z961" s="151"/>
    </row>
    <row r="962">
      <c r="A962" s="151"/>
      <c r="B962" s="151"/>
      <c r="C962" s="179"/>
      <c r="D962" s="180"/>
      <c r="E962" s="151"/>
      <c r="F962" s="151"/>
      <c r="G962" s="151"/>
      <c r="H962" s="151"/>
      <c r="I962" s="151"/>
      <c r="J962" s="151"/>
      <c r="K962" s="151"/>
      <c r="L962" s="151"/>
      <c r="M962" s="151"/>
      <c r="N962" s="151"/>
      <c r="O962" s="151"/>
      <c r="P962" s="151"/>
      <c r="Q962" s="151"/>
      <c r="R962" s="151"/>
      <c r="S962" s="151"/>
      <c r="T962" s="151"/>
      <c r="U962" s="151"/>
      <c r="V962" s="151"/>
      <c r="W962" s="151"/>
      <c r="X962" s="151"/>
      <c r="Y962" s="151"/>
      <c r="Z962" s="151"/>
    </row>
    <row r="963">
      <c r="A963" s="151"/>
      <c r="B963" s="151"/>
      <c r="C963" s="179"/>
      <c r="D963" s="180"/>
      <c r="E963" s="151"/>
      <c r="F963" s="151"/>
      <c r="G963" s="151"/>
      <c r="H963" s="151"/>
      <c r="I963" s="151"/>
      <c r="J963" s="151"/>
      <c r="K963" s="151"/>
      <c r="L963" s="151"/>
      <c r="M963" s="151"/>
      <c r="N963" s="151"/>
      <c r="O963" s="151"/>
      <c r="P963" s="151"/>
      <c r="Q963" s="151"/>
      <c r="R963" s="151"/>
      <c r="S963" s="151"/>
      <c r="T963" s="151"/>
      <c r="U963" s="151"/>
      <c r="V963" s="151"/>
      <c r="W963" s="151"/>
      <c r="X963" s="151"/>
      <c r="Y963" s="151"/>
      <c r="Z963" s="151"/>
    </row>
    <row r="964">
      <c r="A964" s="151"/>
      <c r="B964" s="151"/>
      <c r="C964" s="179"/>
      <c r="D964" s="180"/>
      <c r="E964" s="151"/>
      <c r="F964" s="151"/>
      <c r="G964" s="151"/>
      <c r="H964" s="151"/>
      <c r="I964" s="151"/>
      <c r="J964" s="151"/>
      <c r="K964" s="151"/>
      <c r="L964" s="151"/>
      <c r="M964" s="151"/>
      <c r="N964" s="151"/>
      <c r="O964" s="151"/>
      <c r="P964" s="151"/>
      <c r="Q964" s="151"/>
      <c r="R964" s="151"/>
      <c r="S964" s="151"/>
      <c r="T964" s="151"/>
      <c r="U964" s="151"/>
      <c r="V964" s="151"/>
      <c r="W964" s="151"/>
      <c r="X964" s="151"/>
      <c r="Y964" s="151"/>
      <c r="Z964" s="151"/>
    </row>
    <row r="965">
      <c r="A965" s="151"/>
      <c r="B965" s="151"/>
      <c r="C965" s="179"/>
      <c r="D965" s="180"/>
      <c r="E965" s="151"/>
      <c r="F965" s="151"/>
      <c r="G965" s="151"/>
      <c r="H965" s="151"/>
      <c r="I965" s="151"/>
      <c r="J965" s="151"/>
      <c r="K965" s="151"/>
      <c r="L965" s="151"/>
      <c r="M965" s="151"/>
      <c r="N965" s="151"/>
      <c r="O965" s="151"/>
      <c r="P965" s="151"/>
      <c r="Q965" s="151"/>
      <c r="R965" s="151"/>
      <c r="S965" s="151"/>
      <c r="T965" s="151"/>
      <c r="U965" s="151"/>
      <c r="V965" s="151"/>
      <c r="W965" s="151"/>
      <c r="X965" s="151"/>
      <c r="Y965" s="151"/>
      <c r="Z965" s="151"/>
    </row>
    <row r="966">
      <c r="A966" s="151"/>
      <c r="B966" s="151"/>
      <c r="C966" s="179"/>
      <c r="D966" s="180"/>
      <c r="E966" s="151"/>
      <c r="F966" s="151"/>
      <c r="G966" s="151"/>
      <c r="H966" s="151"/>
      <c r="I966" s="151"/>
      <c r="J966" s="151"/>
      <c r="K966" s="151"/>
      <c r="L966" s="151"/>
      <c r="M966" s="151"/>
      <c r="N966" s="151"/>
      <c r="O966" s="151"/>
      <c r="P966" s="151"/>
      <c r="Q966" s="151"/>
      <c r="R966" s="151"/>
      <c r="S966" s="151"/>
      <c r="T966" s="151"/>
      <c r="U966" s="151"/>
      <c r="V966" s="151"/>
      <c r="W966" s="151"/>
      <c r="X966" s="151"/>
      <c r="Y966" s="151"/>
      <c r="Z966" s="151"/>
    </row>
    <row r="967">
      <c r="A967" s="151"/>
      <c r="B967" s="151"/>
      <c r="C967" s="179"/>
      <c r="D967" s="180"/>
      <c r="E967" s="151"/>
      <c r="F967" s="151"/>
      <c r="G967" s="151"/>
      <c r="H967" s="151"/>
      <c r="I967" s="151"/>
      <c r="J967" s="151"/>
      <c r="K967" s="151"/>
      <c r="L967" s="151"/>
      <c r="M967" s="151"/>
      <c r="N967" s="151"/>
      <c r="O967" s="151"/>
      <c r="P967" s="151"/>
      <c r="Q967" s="151"/>
      <c r="R967" s="151"/>
      <c r="S967" s="151"/>
      <c r="T967" s="151"/>
      <c r="U967" s="151"/>
      <c r="V967" s="151"/>
      <c r="W967" s="151"/>
      <c r="X967" s="151"/>
      <c r="Y967" s="151"/>
      <c r="Z967" s="151"/>
    </row>
    <row r="968">
      <c r="A968" s="151"/>
      <c r="B968" s="151"/>
      <c r="C968" s="179"/>
      <c r="D968" s="180"/>
      <c r="E968" s="151"/>
      <c r="F968" s="151"/>
      <c r="G968" s="151"/>
      <c r="H968" s="151"/>
      <c r="I968" s="151"/>
      <c r="J968" s="151"/>
      <c r="K968" s="151"/>
      <c r="L968" s="151"/>
      <c r="M968" s="151"/>
      <c r="N968" s="151"/>
      <c r="O968" s="151"/>
      <c r="P968" s="151"/>
      <c r="Q968" s="151"/>
      <c r="R968" s="151"/>
      <c r="S968" s="151"/>
      <c r="T968" s="151"/>
      <c r="U968" s="151"/>
      <c r="V968" s="151"/>
      <c r="W968" s="151"/>
      <c r="X968" s="151"/>
      <c r="Y968" s="151"/>
      <c r="Z968" s="151"/>
    </row>
    <row r="969">
      <c r="A969" s="151"/>
      <c r="B969" s="151"/>
      <c r="C969" s="179"/>
      <c r="D969" s="180"/>
      <c r="E969" s="151"/>
      <c r="F969" s="151"/>
      <c r="G969" s="151"/>
      <c r="H969" s="151"/>
      <c r="I969" s="151"/>
      <c r="J969" s="151"/>
      <c r="K969" s="151"/>
      <c r="L969" s="151"/>
      <c r="M969" s="151"/>
      <c r="N969" s="151"/>
      <c r="O969" s="151"/>
      <c r="P969" s="151"/>
      <c r="Q969" s="151"/>
      <c r="R969" s="151"/>
      <c r="S969" s="151"/>
      <c r="T969" s="151"/>
      <c r="U969" s="151"/>
      <c r="V969" s="151"/>
      <c r="W969" s="151"/>
      <c r="X969" s="151"/>
      <c r="Y969" s="151"/>
      <c r="Z969" s="151"/>
    </row>
    <row r="970">
      <c r="A970" s="151"/>
      <c r="B970" s="151"/>
      <c r="C970" s="179"/>
      <c r="D970" s="180"/>
      <c r="E970" s="151"/>
      <c r="F970" s="151"/>
      <c r="G970" s="151"/>
      <c r="H970" s="151"/>
      <c r="I970" s="151"/>
      <c r="J970" s="151"/>
      <c r="K970" s="151"/>
      <c r="L970" s="151"/>
      <c r="M970" s="151"/>
      <c r="N970" s="151"/>
      <c r="O970" s="151"/>
      <c r="P970" s="151"/>
      <c r="Q970" s="151"/>
      <c r="R970" s="151"/>
      <c r="S970" s="151"/>
      <c r="T970" s="151"/>
      <c r="U970" s="151"/>
      <c r="V970" s="151"/>
      <c r="W970" s="151"/>
      <c r="X970" s="151"/>
      <c r="Y970" s="151"/>
      <c r="Z970" s="151"/>
    </row>
    <row r="971">
      <c r="A971" s="151"/>
      <c r="B971" s="151"/>
      <c r="C971" s="179"/>
      <c r="D971" s="180"/>
      <c r="E971" s="151"/>
      <c r="F971" s="151"/>
      <c r="G971" s="151"/>
      <c r="H971" s="151"/>
      <c r="I971" s="151"/>
      <c r="J971" s="151"/>
      <c r="K971" s="151"/>
      <c r="L971" s="151"/>
      <c r="M971" s="151"/>
      <c r="N971" s="151"/>
      <c r="O971" s="151"/>
      <c r="P971" s="151"/>
      <c r="Q971" s="151"/>
      <c r="R971" s="151"/>
      <c r="S971" s="151"/>
      <c r="T971" s="151"/>
      <c r="U971" s="151"/>
      <c r="V971" s="151"/>
      <c r="W971" s="151"/>
      <c r="X971" s="151"/>
      <c r="Y971" s="151"/>
      <c r="Z971" s="151"/>
    </row>
    <row r="972">
      <c r="A972" s="151"/>
      <c r="B972" s="151"/>
      <c r="C972" s="179"/>
      <c r="D972" s="180"/>
      <c r="E972" s="151"/>
      <c r="F972" s="151"/>
      <c r="G972" s="151"/>
      <c r="H972" s="151"/>
      <c r="I972" s="151"/>
      <c r="J972" s="151"/>
      <c r="K972" s="151"/>
      <c r="L972" s="151"/>
      <c r="M972" s="151"/>
      <c r="N972" s="151"/>
      <c r="O972" s="151"/>
      <c r="P972" s="151"/>
      <c r="Q972" s="151"/>
      <c r="R972" s="151"/>
      <c r="S972" s="151"/>
      <c r="T972" s="151"/>
      <c r="U972" s="151"/>
      <c r="V972" s="151"/>
      <c r="W972" s="151"/>
      <c r="X972" s="151"/>
      <c r="Y972" s="151"/>
      <c r="Z972" s="151"/>
    </row>
    <row r="973">
      <c r="A973" s="151"/>
      <c r="B973" s="151"/>
      <c r="C973" s="179"/>
      <c r="D973" s="180"/>
      <c r="E973" s="151"/>
      <c r="F973" s="151"/>
      <c r="G973" s="151"/>
      <c r="H973" s="151"/>
      <c r="I973" s="151"/>
      <c r="J973" s="151"/>
      <c r="K973" s="151"/>
      <c r="L973" s="151"/>
      <c r="M973" s="151"/>
      <c r="N973" s="151"/>
      <c r="O973" s="151"/>
      <c r="P973" s="151"/>
      <c r="Q973" s="151"/>
      <c r="R973" s="151"/>
      <c r="S973" s="151"/>
      <c r="T973" s="151"/>
      <c r="U973" s="151"/>
      <c r="V973" s="151"/>
      <c r="W973" s="151"/>
      <c r="X973" s="151"/>
      <c r="Y973" s="151"/>
      <c r="Z973" s="151"/>
    </row>
    <row r="974">
      <c r="A974" s="151"/>
      <c r="B974" s="151"/>
      <c r="C974" s="179"/>
      <c r="D974" s="180"/>
      <c r="E974" s="151"/>
      <c r="F974" s="151"/>
      <c r="G974" s="151"/>
      <c r="H974" s="151"/>
      <c r="I974" s="151"/>
      <c r="J974" s="151"/>
      <c r="K974" s="151"/>
      <c r="L974" s="151"/>
      <c r="M974" s="151"/>
      <c r="N974" s="151"/>
      <c r="O974" s="151"/>
      <c r="P974" s="151"/>
      <c r="Q974" s="151"/>
      <c r="R974" s="151"/>
      <c r="S974" s="151"/>
      <c r="T974" s="151"/>
      <c r="U974" s="151"/>
      <c r="V974" s="151"/>
      <c r="W974" s="151"/>
      <c r="X974" s="151"/>
      <c r="Y974" s="151"/>
      <c r="Z974" s="151"/>
    </row>
    <row r="975">
      <c r="A975" s="151"/>
      <c r="B975" s="151"/>
      <c r="C975" s="179"/>
      <c r="D975" s="180"/>
      <c r="E975" s="151"/>
      <c r="F975" s="151"/>
      <c r="G975" s="151"/>
      <c r="H975" s="151"/>
      <c r="I975" s="151"/>
      <c r="J975" s="151"/>
      <c r="K975" s="151"/>
      <c r="L975" s="151"/>
      <c r="M975" s="151"/>
      <c r="N975" s="151"/>
      <c r="O975" s="151"/>
      <c r="P975" s="151"/>
      <c r="Q975" s="151"/>
      <c r="R975" s="151"/>
      <c r="S975" s="151"/>
      <c r="T975" s="151"/>
      <c r="U975" s="151"/>
      <c r="V975" s="151"/>
      <c r="W975" s="151"/>
      <c r="X975" s="151"/>
      <c r="Y975" s="151"/>
      <c r="Z975" s="151"/>
    </row>
    <row r="976">
      <c r="A976" s="151"/>
      <c r="B976" s="151"/>
      <c r="C976" s="179"/>
      <c r="D976" s="180"/>
      <c r="E976" s="151"/>
      <c r="F976" s="151"/>
      <c r="G976" s="151"/>
      <c r="H976" s="151"/>
      <c r="I976" s="151"/>
      <c r="J976" s="151"/>
      <c r="K976" s="151"/>
      <c r="L976" s="151"/>
      <c r="M976" s="151"/>
      <c r="N976" s="151"/>
      <c r="O976" s="151"/>
      <c r="P976" s="151"/>
      <c r="Q976" s="151"/>
      <c r="R976" s="151"/>
      <c r="S976" s="151"/>
      <c r="T976" s="151"/>
      <c r="U976" s="151"/>
      <c r="V976" s="151"/>
      <c r="W976" s="151"/>
      <c r="X976" s="151"/>
      <c r="Y976" s="151"/>
      <c r="Z976" s="151"/>
    </row>
    <row r="977">
      <c r="A977" s="151"/>
      <c r="B977" s="151"/>
      <c r="C977" s="179"/>
      <c r="D977" s="180"/>
      <c r="E977" s="151"/>
      <c r="F977" s="151"/>
      <c r="G977" s="151"/>
      <c r="H977" s="151"/>
      <c r="I977" s="151"/>
      <c r="J977" s="151"/>
      <c r="K977" s="151"/>
      <c r="L977" s="151"/>
      <c r="M977" s="151"/>
      <c r="N977" s="151"/>
      <c r="O977" s="151"/>
      <c r="P977" s="151"/>
      <c r="Q977" s="151"/>
      <c r="R977" s="151"/>
      <c r="S977" s="151"/>
      <c r="T977" s="151"/>
      <c r="U977" s="151"/>
      <c r="V977" s="151"/>
      <c r="W977" s="151"/>
      <c r="X977" s="151"/>
      <c r="Y977" s="151"/>
      <c r="Z977" s="151"/>
    </row>
    <row r="978">
      <c r="A978" s="151"/>
      <c r="B978" s="151"/>
      <c r="C978" s="179"/>
      <c r="D978" s="180"/>
      <c r="E978" s="151"/>
      <c r="F978" s="151"/>
      <c r="G978" s="151"/>
      <c r="H978" s="151"/>
      <c r="I978" s="151"/>
      <c r="J978" s="151"/>
      <c r="K978" s="151"/>
      <c r="L978" s="151"/>
      <c r="M978" s="151"/>
      <c r="N978" s="151"/>
      <c r="O978" s="151"/>
      <c r="P978" s="151"/>
      <c r="Q978" s="151"/>
      <c r="R978" s="151"/>
      <c r="S978" s="151"/>
      <c r="T978" s="151"/>
      <c r="U978" s="151"/>
      <c r="V978" s="151"/>
      <c r="W978" s="151"/>
      <c r="X978" s="151"/>
      <c r="Y978" s="151"/>
      <c r="Z978" s="151"/>
    </row>
    <row r="979">
      <c r="A979" s="151"/>
      <c r="B979" s="151"/>
      <c r="C979" s="179"/>
      <c r="D979" s="180"/>
      <c r="E979" s="151"/>
      <c r="F979" s="151"/>
      <c r="G979" s="151"/>
      <c r="H979" s="151"/>
      <c r="I979" s="151"/>
      <c r="J979" s="151"/>
      <c r="K979" s="151"/>
      <c r="L979" s="151"/>
      <c r="M979" s="151"/>
      <c r="N979" s="151"/>
      <c r="O979" s="151"/>
      <c r="P979" s="151"/>
      <c r="Q979" s="151"/>
      <c r="R979" s="151"/>
      <c r="S979" s="151"/>
      <c r="T979" s="151"/>
      <c r="U979" s="151"/>
      <c r="V979" s="151"/>
      <c r="W979" s="151"/>
      <c r="X979" s="151"/>
      <c r="Y979" s="151"/>
      <c r="Z979" s="151"/>
    </row>
    <row r="980">
      <c r="A980" s="151"/>
      <c r="B980" s="151"/>
      <c r="C980" s="179"/>
      <c r="D980" s="180"/>
      <c r="E980" s="151"/>
      <c r="F980" s="151"/>
      <c r="G980" s="151"/>
      <c r="H980" s="151"/>
      <c r="I980" s="151"/>
      <c r="J980" s="151"/>
      <c r="K980" s="151"/>
      <c r="L980" s="151"/>
      <c r="M980" s="151"/>
      <c r="N980" s="151"/>
      <c r="O980" s="151"/>
      <c r="P980" s="151"/>
      <c r="Q980" s="151"/>
      <c r="R980" s="151"/>
      <c r="S980" s="151"/>
      <c r="T980" s="151"/>
      <c r="U980" s="151"/>
      <c r="V980" s="151"/>
      <c r="W980" s="151"/>
      <c r="X980" s="151"/>
      <c r="Y980" s="151"/>
      <c r="Z980" s="151"/>
    </row>
    <row r="981">
      <c r="A981" s="151"/>
      <c r="B981" s="151"/>
      <c r="C981" s="179"/>
      <c r="D981" s="180"/>
      <c r="E981" s="151"/>
      <c r="F981" s="151"/>
      <c r="G981" s="151"/>
      <c r="H981" s="151"/>
      <c r="I981" s="151"/>
      <c r="J981" s="151"/>
      <c r="K981" s="151"/>
      <c r="L981" s="151"/>
      <c r="M981" s="151"/>
      <c r="N981" s="151"/>
      <c r="O981" s="151"/>
      <c r="P981" s="151"/>
      <c r="Q981" s="151"/>
      <c r="R981" s="151"/>
      <c r="S981" s="151"/>
      <c r="T981" s="151"/>
      <c r="U981" s="151"/>
      <c r="V981" s="151"/>
      <c r="W981" s="151"/>
      <c r="X981" s="151"/>
      <c r="Y981" s="151"/>
      <c r="Z981" s="151"/>
    </row>
    <row r="982">
      <c r="A982" s="151"/>
      <c r="B982" s="151"/>
      <c r="C982" s="179"/>
      <c r="D982" s="180"/>
      <c r="E982" s="151"/>
      <c r="F982" s="151"/>
      <c r="G982" s="151"/>
      <c r="H982" s="151"/>
      <c r="I982" s="151"/>
      <c r="J982" s="151"/>
      <c r="K982" s="151"/>
      <c r="L982" s="151"/>
      <c r="M982" s="151"/>
      <c r="N982" s="151"/>
      <c r="O982" s="151"/>
      <c r="P982" s="151"/>
      <c r="Q982" s="151"/>
      <c r="R982" s="151"/>
      <c r="S982" s="151"/>
      <c r="T982" s="151"/>
      <c r="U982" s="151"/>
      <c r="V982" s="151"/>
      <c r="W982" s="151"/>
      <c r="X982" s="151"/>
      <c r="Y982" s="151"/>
      <c r="Z982" s="151"/>
    </row>
    <row r="983">
      <c r="A983" s="151"/>
      <c r="B983" s="151"/>
      <c r="C983" s="179"/>
      <c r="D983" s="180"/>
      <c r="E983" s="151"/>
      <c r="F983" s="151"/>
      <c r="G983" s="151"/>
      <c r="H983" s="151"/>
      <c r="I983" s="151"/>
      <c r="J983" s="151"/>
      <c r="K983" s="151"/>
      <c r="L983" s="151"/>
      <c r="M983" s="151"/>
      <c r="N983" s="151"/>
      <c r="O983" s="151"/>
      <c r="P983" s="151"/>
      <c r="Q983" s="151"/>
      <c r="R983" s="151"/>
      <c r="S983" s="151"/>
      <c r="T983" s="151"/>
      <c r="U983" s="151"/>
      <c r="V983" s="151"/>
      <c r="W983" s="151"/>
      <c r="X983" s="151"/>
      <c r="Y983" s="151"/>
      <c r="Z983" s="151"/>
    </row>
    <row r="984">
      <c r="A984" s="151"/>
      <c r="B984" s="151"/>
      <c r="C984" s="179"/>
      <c r="D984" s="180"/>
      <c r="E984" s="151"/>
      <c r="F984" s="151"/>
      <c r="G984" s="151"/>
      <c r="H984" s="151"/>
      <c r="I984" s="151"/>
      <c r="J984" s="151"/>
      <c r="K984" s="151"/>
      <c r="L984" s="151"/>
      <c r="M984" s="151"/>
      <c r="N984" s="151"/>
      <c r="O984" s="151"/>
      <c r="P984" s="151"/>
      <c r="Q984" s="151"/>
      <c r="R984" s="151"/>
      <c r="S984" s="151"/>
      <c r="T984" s="151"/>
      <c r="U984" s="151"/>
      <c r="V984" s="151"/>
      <c r="W984" s="151"/>
      <c r="X984" s="151"/>
      <c r="Y984" s="151"/>
      <c r="Z984" s="151"/>
    </row>
    <row r="985">
      <c r="A985" s="151"/>
      <c r="B985" s="151"/>
      <c r="C985" s="179"/>
      <c r="D985" s="180"/>
      <c r="E985" s="151"/>
      <c r="F985" s="151"/>
      <c r="G985" s="151"/>
      <c r="H985" s="151"/>
      <c r="I985" s="151"/>
      <c r="J985" s="151"/>
      <c r="K985" s="151"/>
      <c r="L985" s="151"/>
      <c r="M985" s="151"/>
      <c r="N985" s="151"/>
      <c r="O985" s="151"/>
      <c r="P985" s="151"/>
      <c r="Q985" s="151"/>
      <c r="R985" s="151"/>
      <c r="S985" s="151"/>
      <c r="T985" s="151"/>
      <c r="U985" s="151"/>
      <c r="V985" s="151"/>
      <c r="W985" s="151"/>
      <c r="X985" s="151"/>
      <c r="Y985" s="151"/>
      <c r="Z985" s="151"/>
    </row>
    <row r="986">
      <c r="A986" s="151"/>
      <c r="B986" s="151"/>
      <c r="C986" s="179"/>
      <c r="D986" s="180"/>
      <c r="E986" s="151"/>
      <c r="F986" s="151"/>
      <c r="G986" s="151"/>
      <c r="H986" s="151"/>
      <c r="I986" s="151"/>
      <c r="J986" s="151"/>
      <c r="K986" s="151"/>
      <c r="L986" s="151"/>
      <c r="M986" s="151"/>
      <c r="N986" s="151"/>
      <c r="O986" s="151"/>
      <c r="P986" s="151"/>
      <c r="Q986" s="151"/>
      <c r="R986" s="151"/>
      <c r="S986" s="151"/>
      <c r="T986" s="151"/>
      <c r="U986" s="151"/>
      <c r="V986" s="151"/>
      <c r="W986" s="151"/>
      <c r="X986" s="151"/>
      <c r="Y986" s="151"/>
      <c r="Z986" s="151"/>
    </row>
    <row r="987">
      <c r="A987" s="151"/>
      <c r="B987" s="151"/>
      <c r="C987" s="179"/>
      <c r="D987" s="180"/>
      <c r="E987" s="151"/>
      <c r="F987" s="151"/>
      <c r="G987" s="151"/>
      <c r="H987" s="151"/>
      <c r="I987" s="151"/>
      <c r="J987" s="151"/>
      <c r="K987" s="151"/>
      <c r="L987" s="151"/>
      <c r="M987" s="151"/>
      <c r="N987" s="151"/>
      <c r="O987" s="151"/>
      <c r="P987" s="151"/>
      <c r="Q987" s="151"/>
      <c r="R987" s="151"/>
      <c r="S987" s="151"/>
      <c r="T987" s="151"/>
      <c r="U987" s="151"/>
      <c r="V987" s="151"/>
      <c r="W987" s="151"/>
      <c r="X987" s="151"/>
      <c r="Y987" s="151"/>
      <c r="Z987" s="151"/>
    </row>
    <row r="988">
      <c r="A988" s="151"/>
      <c r="B988" s="151"/>
      <c r="C988" s="179"/>
      <c r="D988" s="180"/>
      <c r="E988" s="151"/>
      <c r="F988" s="151"/>
      <c r="G988" s="151"/>
      <c r="H988" s="151"/>
      <c r="I988" s="151"/>
      <c r="J988" s="151"/>
      <c r="K988" s="151"/>
      <c r="L988" s="151"/>
      <c r="M988" s="151"/>
      <c r="N988" s="151"/>
      <c r="O988" s="151"/>
      <c r="P988" s="151"/>
      <c r="Q988" s="151"/>
      <c r="R988" s="151"/>
      <c r="S988" s="151"/>
      <c r="T988" s="151"/>
      <c r="U988" s="151"/>
      <c r="V988" s="151"/>
      <c r="W988" s="151"/>
      <c r="X988" s="151"/>
      <c r="Y988" s="151"/>
      <c r="Z988" s="151"/>
    </row>
    <row r="989">
      <c r="A989" s="151"/>
      <c r="B989" s="151"/>
      <c r="C989" s="179"/>
      <c r="D989" s="180"/>
      <c r="E989" s="151"/>
      <c r="F989" s="151"/>
      <c r="G989" s="151"/>
      <c r="H989" s="151"/>
      <c r="I989" s="151"/>
      <c r="J989" s="151"/>
      <c r="K989" s="151"/>
      <c r="L989" s="151"/>
      <c r="M989" s="151"/>
      <c r="N989" s="151"/>
      <c r="O989" s="151"/>
      <c r="P989" s="151"/>
      <c r="Q989" s="151"/>
      <c r="R989" s="151"/>
      <c r="S989" s="151"/>
      <c r="T989" s="151"/>
      <c r="U989" s="151"/>
      <c r="V989" s="151"/>
      <c r="W989" s="151"/>
      <c r="X989" s="151"/>
      <c r="Y989" s="151"/>
      <c r="Z989" s="151"/>
    </row>
    <row r="990">
      <c r="A990" s="151"/>
      <c r="B990" s="151"/>
      <c r="C990" s="179"/>
      <c r="D990" s="180"/>
      <c r="E990" s="151"/>
      <c r="F990" s="151"/>
      <c r="G990" s="151"/>
      <c r="H990" s="151"/>
      <c r="I990" s="151"/>
      <c r="J990" s="151"/>
      <c r="K990" s="151"/>
      <c r="L990" s="151"/>
      <c r="M990" s="151"/>
      <c r="N990" s="151"/>
      <c r="O990" s="151"/>
      <c r="P990" s="151"/>
      <c r="Q990" s="151"/>
      <c r="R990" s="151"/>
      <c r="S990" s="151"/>
      <c r="T990" s="151"/>
      <c r="U990" s="151"/>
      <c r="V990" s="151"/>
      <c r="W990" s="151"/>
      <c r="X990" s="151"/>
      <c r="Y990" s="151"/>
      <c r="Z990" s="151"/>
    </row>
    <row r="991">
      <c r="A991" s="151"/>
      <c r="B991" s="151"/>
      <c r="C991" s="179"/>
      <c r="D991" s="180"/>
      <c r="E991" s="151"/>
      <c r="F991" s="151"/>
      <c r="G991" s="151"/>
      <c r="H991" s="151"/>
      <c r="I991" s="151"/>
      <c r="J991" s="151"/>
      <c r="K991" s="151"/>
      <c r="L991" s="151"/>
      <c r="M991" s="151"/>
      <c r="N991" s="151"/>
      <c r="O991" s="151"/>
      <c r="P991" s="151"/>
      <c r="Q991" s="151"/>
      <c r="R991" s="151"/>
      <c r="S991" s="151"/>
      <c r="T991" s="151"/>
      <c r="U991" s="151"/>
      <c r="V991" s="151"/>
      <c r="W991" s="151"/>
      <c r="X991" s="151"/>
      <c r="Y991" s="151"/>
      <c r="Z991" s="151"/>
    </row>
    <row r="992">
      <c r="A992" s="151"/>
      <c r="B992" s="151"/>
      <c r="C992" s="179"/>
      <c r="D992" s="180"/>
      <c r="E992" s="151"/>
      <c r="F992" s="151"/>
      <c r="G992" s="151"/>
      <c r="H992" s="151"/>
      <c r="I992" s="151"/>
      <c r="J992" s="151"/>
      <c r="K992" s="151"/>
      <c r="L992" s="151"/>
      <c r="M992" s="151"/>
      <c r="N992" s="151"/>
      <c r="O992" s="151"/>
      <c r="P992" s="151"/>
      <c r="Q992" s="151"/>
      <c r="R992" s="151"/>
      <c r="S992" s="151"/>
      <c r="T992" s="151"/>
      <c r="U992" s="151"/>
      <c r="V992" s="151"/>
      <c r="W992" s="151"/>
      <c r="X992" s="151"/>
      <c r="Y992" s="151"/>
      <c r="Z992" s="151"/>
    </row>
    <row r="993">
      <c r="A993" s="151"/>
      <c r="B993" s="151"/>
      <c r="C993" s="179"/>
      <c r="D993" s="180"/>
      <c r="E993" s="151"/>
      <c r="F993" s="151"/>
      <c r="G993" s="151"/>
      <c r="H993" s="151"/>
      <c r="I993" s="151"/>
      <c r="J993" s="151"/>
      <c r="K993" s="151"/>
      <c r="L993" s="151"/>
      <c r="M993" s="151"/>
      <c r="N993" s="151"/>
      <c r="O993" s="151"/>
      <c r="P993" s="151"/>
      <c r="Q993" s="151"/>
      <c r="R993" s="151"/>
      <c r="S993" s="151"/>
      <c r="T993" s="151"/>
      <c r="U993" s="151"/>
      <c r="V993" s="151"/>
      <c r="W993" s="151"/>
      <c r="X993" s="151"/>
      <c r="Y993" s="151"/>
      <c r="Z993" s="151"/>
    </row>
    <row r="994">
      <c r="A994" s="151"/>
      <c r="B994" s="151"/>
      <c r="C994" s="179"/>
      <c r="D994" s="180"/>
      <c r="E994" s="151"/>
      <c r="F994" s="151"/>
      <c r="G994" s="151"/>
      <c r="H994" s="151"/>
      <c r="I994" s="151"/>
      <c r="J994" s="151"/>
      <c r="K994" s="151"/>
      <c r="L994" s="151"/>
      <c r="M994" s="151"/>
      <c r="N994" s="151"/>
      <c r="O994" s="151"/>
      <c r="P994" s="151"/>
      <c r="Q994" s="151"/>
      <c r="R994" s="151"/>
      <c r="S994" s="151"/>
      <c r="T994" s="151"/>
      <c r="U994" s="151"/>
      <c r="V994" s="151"/>
      <c r="W994" s="151"/>
      <c r="X994" s="151"/>
      <c r="Y994" s="151"/>
      <c r="Z994" s="151"/>
    </row>
    <row r="995">
      <c r="A995" s="151"/>
      <c r="B995" s="151"/>
      <c r="C995" s="179"/>
      <c r="D995" s="180"/>
      <c r="E995" s="151"/>
      <c r="F995" s="151"/>
      <c r="G995" s="151"/>
      <c r="H995" s="151"/>
      <c r="I995" s="151"/>
      <c r="J995" s="151"/>
      <c r="K995" s="151"/>
      <c r="L995" s="151"/>
      <c r="M995" s="151"/>
      <c r="N995" s="151"/>
      <c r="O995" s="151"/>
      <c r="P995" s="151"/>
      <c r="Q995" s="151"/>
      <c r="R995" s="151"/>
      <c r="S995" s="151"/>
      <c r="T995" s="151"/>
      <c r="U995" s="151"/>
      <c r="V995" s="151"/>
      <c r="W995" s="151"/>
      <c r="X995" s="151"/>
      <c r="Y995" s="151"/>
      <c r="Z995" s="151"/>
    </row>
    <row r="996">
      <c r="A996" s="151"/>
      <c r="B996" s="151"/>
      <c r="C996" s="179"/>
      <c r="D996" s="180"/>
      <c r="E996" s="151"/>
      <c r="F996" s="151"/>
      <c r="G996" s="151"/>
      <c r="H996" s="151"/>
      <c r="I996" s="151"/>
      <c r="J996" s="151"/>
      <c r="K996" s="151"/>
      <c r="L996" s="151"/>
      <c r="M996" s="151"/>
      <c r="N996" s="151"/>
      <c r="O996" s="151"/>
      <c r="P996" s="151"/>
      <c r="Q996" s="151"/>
      <c r="R996" s="151"/>
      <c r="S996" s="151"/>
      <c r="T996" s="151"/>
      <c r="U996" s="151"/>
      <c r="V996" s="151"/>
      <c r="W996" s="151"/>
      <c r="X996" s="151"/>
      <c r="Y996" s="151"/>
      <c r="Z996" s="151"/>
    </row>
    <row r="997">
      <c r="A997" s="151"/>
      <c r="B997" s="151"/>
      <c r="C997" s="179"/>
      <c r="D997" s="180"/>
      <c r="E997" s="151"/>
      <c r="F997" s="151"/>
      <c r="G997" s="151"/>
      <c r="H997" s="151"/>
      <c r="I997" s="151"/>
      <c r="J997" s="151"/>
      <c r="K997" s="151"/>
      <c r="L997" s="151"/>
      <c r="M997" s="151"/>
      <c r="N997" s="151"/>
      <c r="O997" s="151"/>
      <c r="P997" s="151"/>
      <c r="Q997" s="151"/>
      <c r="R997" s="151"/>
      <c r="S997" s="151"/>
      <c r="T997" s="151"/>
      <c r="U997" s="151"/>
      <c r="V997" s="151"/>
      <c r="W997" s="151"/>
      <c r="X997" s="151"/>
      <c r="Y997" s="151"/>
      <c r="Z997" s="151"/>
    </row>
    <row r="998">
      <c r="A998" s="151"/>
      <c r="B998" s="151"/>
      <c r="C998" s="179"/>
      <c r="D998" s="180"/>
      <c r="E998" s="151"/>
      <c r="F998" s="151"/>
      <c r="G998" s="151"/>
      <c r="H998" s="151"/>
      <c r="I998" s="151"/>
      <c r="J998" s="151"/>
      <c r="K998" s="151"/>
      <c r="L998" s="151"/>
      <c r="M998" s="151"/>
      <c r="N998" s="151"/>
      <c r="O998" s="151"/>
      <c r="P998" s="151"/>
      <c r="Q998" s="151"/>
      <c r="R998" s="151"/>
      <c r="S998" s="151"/>
      <c r="T998" s="151"/>
      <c r="U998" s="151"/>
      <c r="V998" s="151"/>
      <c r="W998" s="151"/>
      <c r="X998" s="151"/>
      <c r="Y998" s="151"/>
      <c r="Z998" s="151"/>
    </row>
    <row r="999">
      <c r="A999" s="151"/>
      <c r="B999" s="151"/>
      <c r="C999" s="179"/>
      <c r="D999" s="180"/>
      <c r="E999" s="151"/>
      <c r="F999" s="151"/>
      <c r="G999" s="151"/>
      <c r="H999" s="151"/>
      <c r="I999" s="151"/>
      <c r="J999" s="151"/>
      <c r="K999" s="151"/>
      <c r="L999" s="151"/>
      <c r="M999" s="151"/>
      <c r="N999" s="151"/>
      <c r="O999" s="151"/>
      <c r="P999" s="151"/>
      <c r="Q999" s="151"/>
      <c r="R999" s="151"/>
      <c r="S999" s="151"/>
      <c r="T999" s="151"/>
      <c r="U999" s="151"/>
      <c r="V999" s="151"/>
      <c r="W999" s="151"/>
      <c r="X999" s="151"/>
      <c r="Y999" s="151"/>
      <c r="Z999" s="151"/>
    </row>
    <row r="1000">
      <c r="A1000" s="151"/>
      <c r="B1000" s="151"/>
      <c r="C1000" s="179"/>
      <c r="D1000" s="180"/>
      <c r="E1000" s="151"/>
      <c r="F1000" s="151"/>
      <c r="G1000" s="151"/>
      <c r="H1000" s="151"/>
      <c r="I1000" s="151"/>
      <c r="J1000" s="151"/>
      <c r="K1000" s="151"/>
      <c r="L1000" s="151"/>
      <c r="M1000" s="151"/>
      <c r="N1000" s="151"/>
      <c r="O1000" s="151"/>
      <c r="P1000" s="151"/>
      <c r="Q1000" s="151"/>
      <c r="R1000" s="151"/>
      <c r="S1000" s="151"/>
      <c r="T1000" s="151"/>
      <c r="U1000" s="151"/>
      <c r="V1000" s="151"/>
      <c r="W1000" s="151"/>
      <c r="X1000" s="151"/>
      <c r="Y1000" s="151"/>
      <c r="Z1000" s="151"/>
    </row>
    <row r="1001">
      <c r="A1001" s="151"/>
      <c r="B1001" s="151"/>
      <c r="C1001" s="179"/>
      <c r="D1001" s="180"/>
      <c r="E1001" s="151"/>
      <c r="F1001" s="151"/>
      <c r="G1001" s="151"/>
      <c r="H1001" s="151"/>
      <c r="I1001" s="151"/>
      <c r="J1001" s="151"/>
      <c r="K1001" s="151"/>
      <c r="L1001" s="151"/>
      <c r="M1001" s="151"/>
      <c r="N1001" s="151"/>
      <c r="O1001" s="151"/>
      <c r="P1001" s="151"/>
      <c r="Q1001" s="151"/>
      <c r="R1001" s="151"/>
      <c r="S1001" s="151"/>
      <c r="T1001" s="151"/>
      <c r="U1001" s="151"/>
      <c r="V1001" s="151"/>
      <c r="W1001" s="151"/>
      <c r="X1001" s="151"/>
      <c r="Y1001" s="151"/>
      <c r="Z1001" s="151"/>
    </row>
    <row r="1002">
      <c r="A1002" s="151"/>
      <c r="B1002" s="151"/>
      <c r="C1002" s="179"/>
      <c r="D1002" s="180"/>
      <c r="E1002" s="151"/>
      <c r="F1002" s="151"/>
      <c r="G1002" s="151"/>
      <c r="H1002" s="151"/>
      <c r="I1002" s="151"/>
      <c r="J1002" s="151"/>
      <c r="K1002" s="151"/>
      <c r="L1002" s="151"/>
      <c r="M1002" s="151"/>
      <c r="N1002" s="151"/>
      <c r="O1002" s="151"/>
      <c r="P1002" s="151"/>
      <c r="Q1002" s="151"/>
      <c r="R1002" s="151"/>
      <c r="S1002" s="151"/>
      <c r="T1002" s="151"/>
      <c r="U1002" s="151"/>
      <c r="V1002" s="151"/>
      <c r="W1002" s="151"/>
      <c r="X1002" s="151"/>
      <c r="Y1002" s="151"/>
      <c r="Z1002" s="151"/>
    </row>
    <row r="1003">
      <c r="A1003" s="151"/>
      <c r="B1003" s="151"/>
      <c r="C1003" s="179"/>
      <c r="D1003" s="180"/>
      <c r="E1003" s="151"/>
      <c r="F1003" s="151"/>
      <c r="G1003" s="151"/>
      <c r="H1003" s="151"/>
      <c r="I1003" s="151"/>
      <c r="J1003" s="151"/>
      <c r="K1003" s="151"/>
      <c r="L1003" s="151"/>
      <c r="M1003" s="151"/>
      <c r="N1003" s="151"/>
      <c r="O1003" s="151"/>
      <c r="P1003" s="151"/>
      <c r="Q1003" s="151"/>
      <c r="R1003" s="151"/>
      <c r="S1003" s="151"/>
      <c r="T1003" s="151"/>
      <c r="U1003" s="151"/>
      <c r="V1003" s="151"/>
      <c r="W1003" s="151"/>
      <c r="X1003" s="151"/>
      <c r="Y1003" s="151"/>
      <c r="Z1003" s="151"/>
    </row>
    <row r="1004">
      <c r="A1004" s="151"/>
      <c r="B1004" s="151"/>
      <c r="C1004" s="179"/>
      <c r="D1004" s="180"/>
      <c r="E1004" s="151"/>
      <c r="F1004" s="151"/>
      <c r="G1004" s="151"/>
      <c r="H1004" s="151"/>
      <c r="I1004" s="151"/>
      <c r="J1004" s="151"/>
      <c r="K1004" s="151"/>
      <c r="L1004" s="151"/>
      <c r="M1004" s="151"/>
      <c r="N1004" s="151"/>
      <c r="O1004" s="151"/>
      <c r="P1004" s="151"/>
      <c r="Q1004" s="151"/>
      <c r="R1004" s="151"/>
      <c r="S1004" s="151"/>
      <c r="T1004" s="151"/>
      <c r="U1004" s="151"/>
      <c r="V1004" s="151"/>
      <c r="W1004" s="151"/>
      <c r="X1004" s="151"/>
      <c r="Y1004" s="151"/>
      <c r="Z1004" s="151"/>
    </row>
    <row r="1005">
      <c r="A1005" s="151"/>
      <c r="B1005" s="151"/>
      <c r="C1005" s="179"/>
      <c r="D1005" s="180"/>
      <c r="E1005" s="151"/>
      <c r="F1005" s="151"/>
      <c r="G1005" s="151"/>
      <c r="H1005" s="151"/>
      <c r="I1005" s="151"/>
      <c r="J1005" s="151"/>
      <c r="K1005" s="151"/>
      <c r="L1005" s="151"/>
      <c r="M1005" s="151"/>
      <c r="N1005" s="151"/>
      <c r="O1005" s="151"/>
      <c r="P1005" s="151"/>
      <c r="Q1005" s="151"/>
      <c r="R1005" s="151"/>
      <c r="S1005" s="151"/>
      <c r="T1005" s="151"/>
      <c r="U1005" s="151"/>
      <c r="V1005" s="151"/>
      <c r="W1005" s="151"/>
      <c r="X1005" s="151"/>
      <c r="Y1005" s="151"/>
      <c r="Z1005" s="151"/>
    </row>
    <row r="1006">
      <c r="A1006" s="151"/>
      <c r="B1006" s="151"/>
      <c r="C1006" s="179"/>
      <c r="D1006" s="180"/>
      <c r="E1006" s="151"/>
      <c r="F1006" s="151"/>
      <c r="G1006" s="151"/>
      <c r="H1006" s="151"/>
      <c r="I1006" s="151"/>
      <c r="J1006" s="151"/>
      <c r="K1006" s="151"/>
      <c r="L1006" s="151"/>
      <c r="M1006" s="151"/>
      <c r="N1006" s="151"/>
      <c r="O1006" s="151"/>
      <c r="P1006" s="151"/>
      <c r="Q1006" s="151"/>
      <c r="R1006" s="151"/>
      <c r="S1006" s="151"/>
      <c r="T1006" s="151"/>
      <c r="U1006" s="151"/>
      <c r="V1006" s="151"/>
      <c r="W1006" s="151"/>
      <c r="X1006" s="151"/>
      <c r="Y1006" s="151"/>
      <c r="Z1006" s="151"/>
    </row>
    <row r="1007">
      <c r="A1007" s="151"/>
      <c r="B1007" s="151"/>
      <c r="C1007" s="179"/>
      <c r="D1007" s="180"/>
      <c r="E1007" s="151"/>
      <c r="F1007" s="151"/>
      <c r="G1007" s="151"/>
      <c r="H1007" s="151"/>
      <c r="I1007" s="151"/>
      <c r="J1007" s="151"/>
      <c r="K1007" s="151"/>
      <c r="L1007" s="151"/>
      <c r="M1007" s="151"/>
      <c r="N1007" s="151"/>
      <c r="O1007" s="151"/>
      <c r="P1007" s="151"/>
      <c r="Q1007" s="151"/>
      <c r="R1007" s="151"/>
      <c r="S1007" s="151"/>
      <c r="T1007" s="151"/>
      <c r="U1007" s="151"/>
      <c r="V1007" s="151"/>
      <c r="W1007" s="151"/>
      <c r="X1007" s="151"/>
      <c r="Y1007" s="151"/>
      <c r="Z1007" s="151"/>
    </row>
    <row r="1008">
      <c r="A1008" s="151"/>
      <c r="B1008" s="151"/>
      <c r="C1008" s="179"/>
      <c r="D1008" s="180"/>
      <c r="E1008" s="151"/>
      <c r="F1008" s="151"/>
      <c r="G1008" s="151"/>
      <c r="H1008" s="151"/>
      <c r="I1008" s="151"/>
      <c r="J1008" s="151"/>
      <c r="K1008" s="151"/>
      <c r="L1008" s="151"/>
      <c r="M1008" s="151"/>
      <c r="N1008" s="151"/>
      <c r="O1008" s="151"/>
      <c r="P1008" s="151"/>
      <c r="Q1008" s="151"/>
      <c r="R1008" s="151"/>
      <c r="S1008" s="151"/>
      <c r="T1008" s="151"/>
      <c r="U1008" s="151"/>
      <c r="V1008" s="151"/>
      <c r="W1008" s="151"/>
      <c r="X1008" s="151"/>
      <c r="Y1008" s="151"/>
      <c r="Z1008" s="151"/>
    </row>
    <row r="1009">
      <c r="A1009" s="151"/>
      <c r="B1009" s="151"/>
      <c r="C1009" s="179"/>
      <c r="D1009" s="180"/>
      <c r="E1009" s="151"/>
      <c r="F1009" s="151"/>
      <c r="G1009" s="151"/>
      <c r="H1009" s="151"/>
      <c r="I1009" s="151"/>
      <c r="J1009" s="151"/>
      <c r="K1009" s="151"/>
      <c r="L1009" s="151"/>
      <c r="M1009" s="151"/>
      <c r="N1009" s="151"/>
      <c r="O1009" s="151"/>
      <c r="P1009" s="151"/>
      <c r="Q1009" s="151"/>
      <c r="R1009" s="151"/>
      <c r="S1009" s="151"/>
      <c r="T1009" s="151"/>
      <c r="U1009" s="151"/>
      <c r="V1009" s="151"/>
      <c r="W1009" s="151"/>
      <c r="X1009" s="151"/>
      <c r="Y1009" s="151"/>
      <c r="Z1009" s="151"/>
    </row>
    <row r="1010">
      <c r="A1010" s="151"/>
      <c r="B1010" s="151"/>
      <c r="C1010" s="179"/>
      <c r="D1010" s="180"/>
      <c r="E1010" s="151"/>
      <c r="F1010" s="151"/>
      <c r="G1010" s="151"/>
      <c r="H1010" s="151"/>
      <c r="I1010" s="151"/>
      <c r="J1010" s="151"/>
      <c r="K1010" s="151"/>
      <c r="L1010" s="151"/>
      <c r="M1010" s="151"/>
      <c r="N1010" s="151"/>
      <c r="O1010" s="151"/>
      <c r="P1010" s="151"/>
      <c r="Q1010" s="151"/>
      <c r="R1010" s="151"/>
      <c r="S1010" s="151"/>
      <c r="T1010" s="151"/>
      <c r="U1010" s="151"/>
      <c r="V1010" s="151"/>
      <c r="W1010" s="151"/>
      <c r="X1010" s="151"/>
      <c r="Y1010" s="151"/>
      <c r="Z1010" s="151"/>
    </row>
    <row r="1011">
      <c r="A1011" s="151"/>
      <c r="B1011" s="151"/>
      <c r="C1011" s="179"/>
      <c r="D1011" s="180"/>
      <c r="E1011" s="151"/>
      <c r="F1011" s="151"/>
      <c r="G1011" s="151"/>
      <c r="H1011" s="151"/>
      <c r="I1011" s="151"/>
      <c r="J1011" s="151"/>
      <c r="K1011" s="151"/>
      <c r="L1011" s="151"/>
      <c r="M1011" s="151"/>
      <c r="N1011" s="151"/>
      <c r="O1011" s="151"/>
      <c r="P1011" s="151"/>
      <c r="Q1011" s="151"/>
      <c r="R1011" s="151"/>
      <c r="S1011" s="151"/>
      <c r="T1011" s="151"/>
      <c r="U1011" s="151"/>
      <c r="V1011" s="151"/>
      <c r="W1011" s="151"/>
      <c r="X1011" s="151"/>
      <c r="Y1011" s="151"/>
      <c r="Z1011" s="15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75"/>
    <col customWidth="1" min="4" max="4" width="12.75"/>
    <col customWidth="1" min="5" max="5" width="13.5"/>
    <col customWidth="1" min="6" max="6" width="17.13"/>
    <col customWidth="1" min="7" max="7" width="23.25"/>
    <col customWidth="1" min="8" max="8" width="16.38"/>
    <col customWidth="1" min="9" max="9" width="19.63"/>
    <col customWidth="1" min="10" max="10" width="14.5"/>
    <col customWidth="1" min="11" max="11" width="17.63"/>
    <col customWidth="1" min="12" max="12" width="17.38"/>
    <col customWidth="1" min="13" max="13" width="43.38"/>
    <col customWidth="1" min="14" max="14" width="18.88"/>
    <col customWidth="1" min="15" max="15" width="39.75"/>
    <col customWidth="1" min="16" max="16" width="18.88"/>
    <col customWidth="1" min="17" max="17" width="12.75"/>
    <col customWidth="1" min="18" max="18" width="19.5"/>
    <col customWidth="1" min="19" max="19" width="19.13"/>
    <col customWidth="1" min="20" max="20" width="12.75"/>
    <col customWidth="1" min="21" max="21" width="15.75"/>
    <col customWidth="1" min="22" max="22" width="14.63"/>
    <col customWidth="1" min="23" max="23" width="12.75"/>
    <col customWidth="1" min="24" max="24" width="13.5"/>
    <col customWidth="1" min="25" max="25" width="14.38"/>
    <col customWidth="1" min="26" max="26" width="12.88"/>
    <col customWidth="1" min="28" max="28" width="14.75"/>
    <col customWidth="1" min="29" max="29" width="17.38"/>
    <col customWidth="1" min="31" max="31" width="10.38"/>
    <col customWidth="1" min="32" max="32" width="11.63"/>
    <col customWidth="1" min="33" max="33" width="22.25"/>
    <col customWidth="1" min="34" max="34" width="19.38"/>
    <col customWidth="1" min="35" max="35" width="13.63"/>
    <col customWidth="1" min="36" max="37" width="15.75"/>
    <col customWidth="1" min="38" max="38" width="17.75"/>
    <col customWidth="1" min="39" max="39" width="14.88"/>
    <col customWidth="1" min="40" max="40" width="13.38"/>
    <col customWidth="1" min="41" max="41" width="14.75"/>
    <col customWidth="1" min="43" max="43" width="17.63"/>
    <col customWidth="1" min="44" max="45" width="37.63"/>
    <col customWidth="1" min="46" max="46" width="25.13"/>
  </cols>
  <sheetData>
    <row r="1">
      <c r="A1" s="91" t="s">
        <v>258</v>
      </c>
      <c r="B1" s="91" t="s">
        <v>259</v>
      </c>
      <c r="C1" s="91" t="s">
        <v>259</v>
      </c>
      <c r="D1" s="91" t="s">
        <v>259</v>
      </c>
      <c r="E1" s="91" t="s">
        <v>259</v>
      </c>
      <c r="F1" s="91" t="s">
        <v>259</v>
      </c>
      <c r="G1" s="91" t="s">
        <v>259</v>
      </c>
      <c r="H1" s="91" t="s">
        <v>259</v>
      </c>
      <c r="I1" s="91" t="s">
        <v>259</v>
      </c>
      <c r="J1" s="91" t="s">
        <v>261</v>
      </c>
      <c r="K1" s="91" t="s">
        <v>259</v>
      </c>
      <c r="L1" s="91" t="s">
        <v>259</v>
      </c>
      <c r="M1" s="91" t="s">
        <v>258</v>
      </c>
      <c r="N1" s="91" t="s">
        <v>261</v>
      </c>
      <c r="O1" s="91" t="s">
        <v>470</v>
      </c>
      <c r="P1" s="91" t="s">
        <v>259</v>
      </c>
      <c r="Q1" s="91" t="s">
        <v>259</v>
      </c>
      <c r="R1" s="91" t="s">
        <v>259</v>
      </c>
      <c r="S1" s="91" t="s">
        <v>259</v>
      </c>
      <c r="T1" s="91" t="s">
        <v>261</v>
      </c>
      <c r="U1" s="91" t="s">
        <v>259</v>
      </c>
      <c r="V1" s="201" t="s">
        <v>261</v>
      </c>
      <c r="W1" s="91" t="s">
        <v>259</v>
      </c>
      <c r="X1" s="91" t="s">
        <v>261</v>
      </c>
      <c r="Y1" s="91" t="s">
        <v>261</v>
      </c>
      <c r="Z1" s="201" t="s">
        <v>261</v>
      </c>
      <c r="AA1" s="91" t="s">
        <v>259</v>
      </c>
      <c r="AB1" s="201" t="s">
        <v>258</v>
      </c>
      <c r="AC1" s="91" t="s">
        <v>261</v>
      </c>
      <c r="AD1" s="91" t="s">
        <v>259</v>
      </c>
      <c r="AE1" s="91" t="s">
        <v>261</v>
      </c>
      <c r="AF1" s="91" t="s">
        <v>261</v>
      </c>
      <c r="AG1" s="91" t="s">
        <v>261</v>
      </c>
      <c r="AH1" s="91" t="s">
        <v>258</v>
      </c>
      <c r="AI1" s="91" t="s">
        <v>258</v>
      </c>
      <c r="AJ1" s="201" t="s">
        <v>261</v>
      </c>
      <c r="AK1" s="202" t="s">
        <v>258</v>
      </c>
      <c r="AL1" s="91" t="s">
        <v>258</v>
      </c>
      <c r="AM1" s="91" t="s">
        <v>258</v>
      </c>
      <c r="AN1" s="91" t="s">
        <v>258</v>
      </c>
      <c r="AO1" s="203" t="s">
        <v>258</v>
      </c>
      <c r="AP1" s="91" t="s">
        <v>258</v>
      </c>
      <c r="AQ1" s="91" t="s">
        <v>471</v>
      </c>
      <c r="AR1" s="91" t="s">
        <v>258</v>
      </c>
      <c r="AS1" s="91" t="s">
        <v>258</v>
      </c>
      <c r="AT1" s="91" t="s">
        <v>472</v>
      </c>
    </row>
    <row r="2" ht="60.0" customHeight="1">
      <c r="A2" s="91" t="s">
        <v>473</v>
      </c>
      <c r="B2" s="91" t="s">
        <v>474</v>
      </c>
      <c r="C2" s="91" t="s">
        <v>475</v>
      </c>
      <c r="D2" s="91" t="s">
        <v>476</v>
      </c>
      <c r="E2" s="91" t="s">
        <v>477</v>
      </c>
      <c r="F2" s="91" t="s">
        <v>478</v>
      </c>
      <c r="G2" s="91" t="s">
        <v>479</v>
      </c>
      <c r="H2" s="91" t="s">
        <v>480</v>
      </c>
      <c r="I2" s="91" t="s">
        <v>481</v>
      </c>
      <c r="J2" s="91" t="s">
        <v>482</v>
      </c>
      <c r="K2" s="91" t="s">
        <v>483</v>
      </c>
      <c r="L2" s="91" t="s">
        <v>484</v>
      </c>
      <c r="M2" s="91" t="s">
        <v>485</v>
      </c>
      <c r="N2" s="91" t="s">
        <v>486</v>
      </c>
      <c r="O2" s="91" t="s">
        <v>487</v>
      </c>
      <c r="P2" s="91" t="s">
        <v>488</v>
      </c>
      <c r="Q2" s="91" t="s">
        <v>489</v>
      </c>
      <c r="R2" s="91" t="s">
        <v>490</v>
      </c>
      <c r="S2" s="91" t="s">
        <v>491</v>
      </c>
      <c r="T2" s="91" t="s">
        <v>492</v>
      </c>
      <c r="U2" s="91" t="s">
        <v>493</v>
      </c>
      <c r="V2" s="201" t="s">
        <v>494</v>
      </c>
      <c r="W2" s="91" t="s">
        <v>495</v>
      </c>
      <c r="X2" s="201" t="s">
        <v>496</v>
      </c>
      <c r="Y2" s="91" t="s">
        <v>497</v>
      </c>
      <c r="Z2" s="201" t="s">
        <v>498</v>
      </c>
      <c r="AA2" s="91" t="s">
        <v>499</v>
      </c>
      <c r="AB2" s="201" t="s">
        <v>500</v>
      </c>
      <c r="AC2" s="91" t="s">
        <v>501</v>
      </c>
      <c r="AD2" s="91" t="s">
        <v>502</v>
      </c>
      <c r="AE2" s="204" t="s">
        <v>503</v>
      </c>
      <c r="AF2" s="91" t="s">
        <v>504</v>
      </c>
      <c r="AG2" s="91" t="s">
        <v>505</v>
      </c>
      <c r="AH2" s="91" t="s">
        <v>506</v>
      </c>
      <c r="AI2" s="91" t="s">
        <v>507</v>
      </c>
      <c r="AJ2" s="201" t="s">
        <v>508</v>
      </c>
      <c r="AK2" s="202" t="s">
        <v>509</v>
      </c>
      <c r="AL2" s="91" t="s">
        <v>510</v>
      </c>
      <c r="AM2" s="91" t="s">
        <v>511</v>
      </c>
      <c r="AN2" s="91" t="s">
        <v>512</v>
      </c>
      <c r="AO2" s="203" t="s">
        <v>513</v>
      </c>
      <c r="AP2" s="91" t="s">
        <v>514</v>
      </c>
      <c r="AQ2" s="91" t="s">
        <v>515</v>
      </c>
      <c r="AR2" s="91" t="s">
        <v>516</v>
      </c>
      <c r="AS2" s="91" t="s">
        <v>517</v>
      </c>
      <c r="AT2" s="91" t="s">
        <v>518</v>
      </c>
    </row>
    <row r="3">
      <c r="A3" s="91"/>
      <c r="B3" s="91"/>
      <c r="C3" s="91"/>
      <c r="D3" s="91"/>
      <c r="E3" s="91"/>
      <c r="F3" s="91"/>
      <c r="G3" s="91"/>
      <c r="H3" s="91"/>
      <c r="I3" s="91" t="s">
        <v>519</v>
      </c>
      <c r="J3" s="91"/>
      <c r="K3" s="91"/>
      <c r="L3" s="91"/>
      <c r="M3" s="91"/>
      <c r="N3" s="91"/>
      <c r="O3" s="91"/>
      <c r="P3" s="91"/>
      <c r="Q3" s="91"/>
      <c r="R3" s="91"/>
      <c r="S3" s="91"/>
      <c r="T3" s="91"/>
      <c r="U3" s="91"/>
      <c r="V3" s="91"/>
      <c r="W3" s="91"/>
      <c r="X3" s="91"/>
      <c r="Y3" s="91" t="s">
        <v>519</v>
      </c>
      <c r="Z3" s="91"/>
      <c r="AA3" s="91"/>
      <c r="AB3" s="91"/>
      <c r="AC3" s="91"/>
      <c r="AD3" s="91"/>
      <c r="AE3" s="91"/>
      <c r="AF3" s="91" t="s">
        <v>519</v>
      </c>
      <c r="AG3" s="91"/>
      <c r="AH3" s="91"/>
      <c r="AI3" s="91"/>
      <c r="AJ3" s="91"/>
      <c r="AK3" s="91"/>
      <c r="AL3" s="91"/>
      <c r="AM3" s="91"/>
      <c r="AN3" s="91"/>
      <c r="AO3" s="91"/>
      <c r="AP3" s="91"/>
      <c r="AQ3" s="91"/>
      <c r="AR3" s="91"/>
      <c r="AS3" s="91"/>
      <c r="AT3" s="91"/>
    </row>
    <row r="4" ht="45.0" customHeight="1">
      <c r="A4" s="205" t="s">
        <v>117</v>
      </c>
      <c r="B4" s="106" t="s">
        <v>264</v>
      </c>
      <c r="C4" s="106" t="s">
        <v>520</v>
      </c>
      <c r="D4" s="106" t="s">
        <v>521</v>
      </c>
      <c r="E4" s="106" t="s">
        <v>522</v>
      </c>
      <c r="F4" s="106" t="s">
        <v>523</v>
      </c>
      <c r="G4" s="106" t="s">
        <v>524</v>
      </c>
      <c r="H4" s="107" t="s">
        <v>273</v>
      </c>
      <c r="I4" s="105" t="s">
        <v>525</v>
      </c>
      <c r="J4" s="106" t="s">
        <v>526</v>
      </c>
      <c r="K4" s="106" t="s">
        <v>527</v>
      </c>
      <c r="L4" s="106" t="s">
        <v>528</v>
      </c>
      <c r="M4" s="206" t="s">
        <v>529</v>
      </c>
      <c r="N4" s="106" t="s">
        <v>530</v>
      </c>
      <c r="O4" s="106" t="s">
        <v>531</v>
      </c>
      <c r="P4" s="207" t="s">
        <v>532</v>
      </c>
      <c r="Q4" s="106" t="s">
        <v>533</v>
      </c>
      <c r="R4" s="106" t="s">
        <v>534</v>
      </c>
      <c r="S4" s="106" t="s">
        <v>535</v>
      </c>
      <c r="T4" s="106" t="s">
        <v>536</v>
      </c>
      <c r="U4" s="106" t="s">
        <v>537</v>
      </c>
      <c r="V4" s="130" t="s">
        <v>538</v>
      </c>
      <c r="W4" s="106" t="s">
        <v>271</v>
      </c>
      <c r="X4" s="130" t="s">
        <v>539</v>
      </c>
      <c r="Y4" s="105" t="s">
        <v>540</v>
      </c>
      <c r="Z4" s="130" t="s">
        <v>541</v>
      </c>
      <c r="AA4" s="107" t="s">
        <v>377</v>
      </c>
      <c r="AB4" s="130" t="s">
        <v>542</v>
      </c>
      <c r="AC4" s="106" t="s">
        <v>543</v>
      </c>
      <c r="AD4" s="106" t="s">
        <v>544</v>
      </c>
      <c r="AE4" s="106" t="s">
        <v>545</v>
      </c>
      <c r="AF4" s="105" t="s">
        <v>546</v>
      </c>
      <c r="AG4" s="106" t="s">
        <v>547</v>
      </c>
      <c r="AH4" s="106" t="s">
        <v>548</v>
      </c>
      <c r="AI4" s="106" t="s">
        <v>549</v>
      </c>
      <c r="AJ4" s="130" t="s">
        <v>550</v>
      </c>
      <c r="AK4" s="208" t="s">
        <v>551</v>
      </c>
      <c r="AL4" s="130" t="s">
        <v>552</v>
      </c>
      <c r="AM4" s="130" t="s">
        <v>553</v>
      </c>
      <c r="AN4" s="106" t="s">
        <v>554</v>
      </c>
      <c r="AO4" s="209" t="s">
        <v>555</v>
      </c>
      <c r="AP4" s="106" t="s">
        <v>556</v>
      </c>
      <c r="AQ4" s="106" t="s">
        <v>557</v>
      </c>
      <c r="AR4" s="106" t="s">
        <v>558</v>
      </c>
      <c r="AS4" s="106" t="s">
        <v>559</v>
      </c>
      <c r="AT4" s="106" t="s">
        <v>560</v>
      </c>
    </row>
    <row r="5" ht="32.25" customHeight="1">
      <c r="A5" s="109">
        <f t="array" ref="A5:A76">IF(LEN(B5:B76), ROW(B5:B76) - ROW(B5) + 1, "")</f>
        <v>1</v>
      </c>
      <c r="B5" s="210">
        <v>46097.0</v>
      </c>
      <c r="C5" s="210">
        <f>B5+15</f>
        <v>46112</v>
      </c>
      <c r="D5" s="210">
        <f t="shared" ref="D5:D23" si="1">B5+20</f>
        <v>46117</v>
      </c>
      <c r="E5" s="211">
        <v>46119.0</v>
      </c>
      <c r="F5" s="212" t="s">
        <v>561</v>
      </c>
      <c r="G5" s="213" t="s">
        <v>562</v>
      </c>
      <c r="H5" s="212" t="s">
        <v>304</v>
      </c>
      <c r="I5" s="213" t="s">
        <v>305</v>
      </c>
      <c r="J5" s="214" t="s">
        <v>563</v>
      </c>
      <c r="K5" s="213" t="s">
        <v>301</v>
      </c>
      <c r="L5" s="215" t="s">
        <v>564</v>
      </c>
      <c r="M5" s="216" t="str">
        <f t="array" ref="M5">IFERROR(XLOOKUP(L5,'2. DATA NL, VTBB'!C:C,'2. DATA NL, VTBB'!D:D),"")</f>
        <v>Thùng NEWTEX chai HDPE 500ml x 40 chai (60.5x38.5x20.5cm) - Trắng viền cam</v>
      </c>
      <c r="N5" s="217"/>
      <c r="O5" s="217" t="str">
        <f t="array" ref="O5">IFERROR( XLOOKUP(L5,'2. DATA NL, VTBB'!C:C,'2. DATA NL, VTBB'!E:E),"")</f>
        <v>CHIM ƯNG 3.8EC</v>
      </c>
      <c r="P5" s="213" t="s">
        <v>565</v>
      </c>
      <c r="Q5" s="218"/>
      <c r="R5" s="219" t="s">
        <v>566</v>
      </c>
      <c r="S5" s="219" t="s">
        <v>567</v>
      </c>
      <c r="T5" s="113">
        <f t="shared" ref="T5:T76" si="2">X5/100</f>
        <v>1</v>
      </c>
      <c r="U5" s="219" t="s">
        <v>568</v>
      </c>
      <c r="V5" s="220">
        <v>100.0</v>
      </c>
      <c r="W5" s="213" t="s">
        <v>303</v>
      </c>
      <c r="X5" s="220">
        <v>100.0</v>
      </c>
      <c r="Y5" s="221">
        <v>112.0</v>
      </c>
      <c r="Z5" s="222">
        <v>24400.0</v>
      </c>
      <c r="AA5" s="223">
        <v>0.08</v>
      </c>
      <c r="AB5" s="222">
        <f t="shared" ref="AB5:AB23" si="3">(Z5*X5)+AA5*(Z5*X5)</f>
        <v>2635200</v>
      </c>
      <c r="AC5" s="224"/>
      <c r="AD5" s="210">
        <v>46097.0</v>
      </c>
      <c r="AE5" s="225">
        <v>779.0</v>
      </c>
      <c r="AF5" s="226">
        <v>1.0</v>
      </c>
      <c r="AG5" s="224"/>
      <c r="AH5" s="227">
        <f>IFERROR(__xludf.DUMMYFUNCTION("IFERROR(INDEX( SORT(FILTER(
        {'1. DATA CHUNG'!$J$4:$J$105 , '1. DATA CHUNG'!$L$4:$L$105}, (TRIM('1. DATA CHUNG'!$I$4:$I$105)=TRIM(K5)) * IF(COUNTIFS('1. DATA CHUNG'!$I$4:$I$105,K5,'1. DATA CHUNG'!$M$4:$M$105,Q5), '1. DATA CHUNG'!$M$4:$M$105=Q5, 1) "&amp;"* ('1. DATA CHUNG'!$L$4:$L$105&lt;=TODAY()) ),   2, 0),  1, 1), 
  IFERROR( INDEX(FILTER('1. DATA CHUNG'!$J$4:$J$105, (TRIM('1. DATA CHUNG'!$I$4:$I$105)=TRIM(K5)) * IF(COUNTIFS('1. DATA CHUNG'!$I$4:$I$105,K5,'1. DATA CHUNG'!$M$4:$M$105,Q5), '1. DATA CHUNG'!$"&amp;"M$4:$M$105=Q5, 1) * ('1. DATA CHUNG'!$L$4:$L$105="""")), 1), ""Không tìm thấy"" ))"),18.0)</f>
        <v>18</v>
      </c>
      <c r="AI5" s="228">
        <f t="shared" ref="AI5:AI76" si="4">IFERROR( IF(OR(B5="", AH5="0"), "",B5+AH5),"")</f>
        <v>46115</v>
      </c>
      <c r="AJ5" s="114">
        <v>45000.0</v>
      </c>
      <c r="AK5" s="229">
        <f t="shared" ref="AK5:AK32" si="5">T5*AJ5</f>
        <v>45000</v>
      </c>
      <c r="AL5" s="229">
        <f t="shared" ref="AL5:AL76" si="6">IFERROR( IF(OR(D5="", E5=""), "", D5-E5),"")</f>
        <v>-2</v>
      </c>
      <c r="AM5" s="229">
        <f t="shared" ref="AM5:AM76" si="7">IFERROR( IF(OR(AI5="", E5=""), "", AI5-E5),"")</f>
        <v>-4</v>
      </c>
      <c r="AN5" s="230">
        <f t="shared" ref="AN5:AN76" si="8">IF(OR(AI5="", C5=""), "",AI5-C5)</f>
        <v>3</v>
      </c>
      <c r="AO5" s="231" t="str">
        <f t="shared" ref="AO5:AO76" si="9">IF(B5="", "", TEXT(B5, "mm/yyyy"))</f>
        <v>03/2026</v>
      </c>
      <c r="AP5" s="224" t="str">
        <f t="array" ref="AP5">IFERROR(XLOOKUP(L5,'2. DATA NL, VTBB'!C:C,'2. DATA NL, VTBB'!F:F),"")</f>
        <v>HH0239</v>
      </c>
      <c r="AQ5" s="226" t="s">
        <v>302</v>
      </c>
      <c r="AR5" s="232" t="str">
        <f t="array" ref="AR5">IFERROR(XLOOKUP(L5,'2. DATA NL, VTBB'!C:C,'2. DATA NL, VTBB'!G:G),"")</f>
        <v>GC - II - 653 - Huy Phát - A-CARI (chai nhôm đỏ) - 240ml - 40</v>
      </c>
      <c r="AS5" s="232" t="str">
        <f t="array" ref="AS5">IFERROR(XLOOKUP(L5,'2. DATA NL, VTBB'!C:C,'2. DATA NL, VTBB'!G:G),"")</f>
        <v>GC - II - 653 - Huy Phát - A-CARI (chai nhôm đỏ) - 240ml - 40</v>
      </c>
      <c r="AT5" s="111" t="s">
        <v>314</v>
      </c>
    </row>
    <row r="6" ht="32.25" customHeight="1">
      <c r="A6" s="109">
        <v>2.0</v>
      </c>
      <c r="B6" s="210">
        <v>46097.0</v>
      </c>
      <c r="C6" s="210">
        <f t="shared" ref="C6:C8" si="10">B6+18</f>
        <v>46115</v>
      </c>
      <c r="D6" s="210">
        <f t="shared" si="1"/>
        <v>46117</v>
      </c>
      <c r="E6" s="211">
        <v>46119.0</v>
      </c>
      <c r="F6" s="212" t="s">
        <v>561</v>
      </c>
      <c r="G6" s="213" t="s">
        <v>562</v>
      </c>
      <c r="H6" s="212" t="s">
        <v>304</v>
      </c>
      <c r="I6" s="213" t="s">
        <v>305</v>
      </c>
      <c r="J6" s="214" t="s">
        <v>569</v>
      </c>
      <c r="K6" s="213" t="s">
        <v>301</v>
      </c>
      <c r="L6" s="215" t="s">
        <v>570</v>
      </c>
      <c r="M6" s="216" t="str">
        <f t="array" ref="M6">IFERROR(XLOOKUP(L6,'2. DATA NL, VTBB'!C:C,'2. DATA NL, VTBB'!D:D),"")</f>
        <v>Thùng NHP Chai HDPE 500ml x 40 chai (60x38x20cm) - Trắng viền xanh dương đỏ</v>
      </c>
      <c r="N6" s="217"/>
      <c r="O6" s="217" t="str">
        <f t="array" ref="O6">IFERROR( XLOOKUP(L6,'2. DATA NL, VTBB'!C:C,'2. DATA NL, VTBB'!E:E),"")</f>
        <v>RAYXANH 200WP</v>
      </c>
      <c r="P6" s="213" t="s">
        <v>565</v>
      </c>
      <c r="Q6" s="218"/>
      <c r="R6" s="219" t="s">
        <v>566</v>
      </c>
      <c r="S6" s="219" t="s">
        <v>567</v>
      </c>
      <c r="T6" s="113">
        <f t="shared" si="2"/>
        <v>1</v>
      </c>
      <c r="U6" s="219" t="s">
        <v>568</v>
      </c>
      <c r="V6" s="220">
        <v>100.0</v>
      </c>
      <c r="W6" s="213" t="s">
        <v>303</v>
      </c>
      <c r="X6" s="220">
        <v>100.0</v>
      </c>
      <c r="Y6" s="221">
        <v>115.0</v>
      </c>
      <c r="Z6" s="222">
        <v>23500.0</v>
      </c>
      <c r="AA6" s="223">
        <v>0.08</v>
      </c>
      <c r="AB6" s="222">
        <f t="shared" si="3"/>
        <v>2538000</v>
      </c>
      <c r="AC6" s="224"/>
      <c r="AD6" s="210">
        <v>46097.0</v>
      </c>
      <c r="AE6" s="225">
        <v>780.0</v>
      </c>
      <c r="AF6" s="226">
        <v>1.0</v>
      </c>
      <c r="AG6" s="224"/>
      <c r="AH6" s="227">
        <f>IFERROR(__xludf.DUMMYFUNCTION("IFERROR(INDEX( SORT(FILTER(
        {'1. DATA CHUNG'!$J$4:$J$105 , '1. DATA CHUNG'!$L$4:$L$105}, (TRIM('1. DATA CHUNG'!$I$4:$I$105)=TRIM(K6)) * IF(COUNTIFS('1. DATA CHUNG'!$I$4:$I$105,K6,'1. DATA CHUNG'!$M$4:$M$105,Q6), '1. DATA CHUNG'!$M$4:$M$105=Q6, 1) "&amp;"* ('1. DATA CHUNG'!$L$4:$L$105&lt;=TODAY()) ),   2, 0),  1, 1), 
  IFERROR( INDEX(FILTER('1. DATA CHUNG'!$J$4:$J$105, (TRIM('1. DATA CHUNG'!$I$4:$I$105)=TRIM(K6)) * IF(COUNTIFS('1. DATA CHUNG'!$I$4:$I$105,K6,'1. DATA CHUNG'!$M$4:$M$105,Q6), '1. DATA CHUNG'!$"&amp;"M$4:$M$105=Q6, 1) * ('1. DATA CHUNG'!$L$4:$L$105="""")), 1), ""Không tìm thấy"" ))"),18.0)</f>
        <v>18</v>
      </c>
      <c r="AI6" s="228">
        <f t="shared" si="4"/>
        <v>46115</v>
      </c>
      <c r="AJ6" s="114">
        <v>45000.0</v>
      </c>
      <c r="AK6" s="229">
        <f t="shared" si="5"/>
        <v>45000</v>
      </c>
      <c r="AL6" s="229">
        <f t="shared" si="6"/>
        <v>-2</v>
      </c>
      <c r="AM6" s="229">
        <f t="shared" si="7"/>
        <v>-4</v>
      </c>
      <c r="AN6" s="230">
        <f t="shared" si="8"/>
        <v>0</v>
      </c>
      <c r="AO6" s="231" t="str">
        <f t="shared" si="9"/>
        <v>03/2026</v>
      </c>
      <c r="AP6" s="224" t="str">
        <f t="array" ref="AP6">IFERROR(XLOOKUP(L6,'2. DATA NL, VTBB'!C:C,'2. DATA NL, VTBB'!F:F),"")</f>
        <v>HH0287</v>
      </c>
      <c r="AQ6" s="226" t="s">
        <v>302</v>
      </c>
      <c r="AR6" s="232" t="str">
        <f t="array" ref="AR6">IFERROR(XLOOKUP(L6,'2. DATA NL, VTBB'!C:C,'2. DATA NL, VTBB'!G:G),"")</f>
        <v>GC - II - 701 - GNH - Ray xanh 200WP - 80gr - 150</v>
      </c>
      <c r="AS6" s="232" t="str">
        <f t="array" ref="AS6">IFERROR(XLOOKUP(L6,'2. DATA NL, VTBB'!C:C,'2. DATA NL, VTBB'!G:G),"")</f>
        <v>GC - II - 701 - GNH - Ray xanh 200WP - 80gr - 150</v>
      </c>
      <c r="AT6" s="111" t="s">
        <v>314</v>
      </c>
    </row>
    <row r="7" ht="32.25" customHeight="1">
      <c r="A7" s="109">
        <v>3.0</v>
      </c>
      <c r="B7" s="210">
        <v>46097.0</v>
      </c>
      <c r="C7" s="210">
        <f t="shared" si="10"/>
        <v>46115</v>
      </c>
      <c r="D7" s="210">
        <f t="shared" si="1"/>
        <v>46117</v>
      </c>
      <c r="E7" s="211">
        <v>46113.0</v>
      </c>
      <c r="F7" s="212" t="s">
        <v>561</v>
      </c>
      <c r="G7" s="213" t="s">
        <v>562</v>
      </c>
      <c r="H7" s="212" t="s">
        <v>304</v>
      </c>
      <c r="I7" s="213" t="s">
        <v>305</v>
      </c>
      <c r="J7" s="214" t="s">
        <v>571</v>
      </c>
      <c r="K7" s="213" t="s">
        <v>301</v>
      </c>
      <c r="L7" s="215" t="s">
        <v>572</v>
      </c>
      <c r="M7" s="216" t="str">
        <f t="array" ref="M7">IFERROR(XLOOKUP(L7,'2. DATA NL, VTBB'!C:C,'2. DATA NL, VTBB'!D:D),"")</f>
        <v>Thùng IDA chai PET tròn cổ 43 450ml x 40 chai (61.5x38.5x19cm) - Trắng xanh lá</v>
      </c>
      <c r="N7" s="217"/>
      <c r="O7" s="217" t="str">
        <f t="array" ref="O7">IFERROR( XLOOKUP(L7,'2. DATA NL, VTBB'!C:C,'2. DATA NL, VTBB'!E:E),"")</f>
        <v>Vi lượng Quantity New</v>
      </c>
      <c r="P7" s="213" t="s">
        <v>565</v>
      </c>
      <c r="Q7" s="218"/>
      <c r="R7" s="111" t="s">
        <v>573</v>
      </c>
      <c r="S7" s="219" t="s">
        <v>574</v>
      </c>
      <c r="T7" s="113">
        <f t="shared" si="2"/>
        <v>4</v>
      </c>
      <c r="U7" s="219" t="s">
        <v>568</v>
      </c>
      <c r="V7" s="220">
        <v>400.0</v>
      </c>
      <c r="W7" s="213" t="s">
        <v>303</v>
      </c>
      <c r="X7" s="220">
        <v>400.0</v>
      </c>
      <c r="Y7" s="221">
        <v>349.0</v>
      </c>
      <c r="Z7" s="222">
        <v>23400.0</v>
      </c>
      <c r="AA7" s="223">
        <v>0.08</v>
      </c>
      <c r="AB7" s="222">
        <f t="shared" si="3"/>
        <v>10108800</v>
      </c>
      <c r="AC7" s="224"/>
      <c r="AD7" s="210">
        <v>46097.0</v>
      </c>
      <c r="AE7" s="225">
        <v>724.0</v>
      </c>
      <c r="AF7" s="226">
        <v>1.0</v>
      </c>
      <c r="AG7" s="224"/>
      <c r="AH7" s="227">
        <f>IFERROR(__xludf.DUMMYFUNCTION("IFERROR(INDEX( SORT(FILTER(
        {'1. DATA CHUNG'!$J$4:$J$105 , '1. DATA CHUNG'!$L$4:$L$105}, (TRIM('1. DATA CHUNG'!$I$4:$I$105)=TRIM(K7)) * IF(COUNTIFS('1. DATA CHUNG'!$I$4:$I$105,K7,'1. DATA CHUNG'!$M$4:$M$105,Q7), '1. DATA CHUNG'!$M$4:$M$105=Q7, 1) "&amp;"* ('1. DATA CHUNG'!$L$4:$L$105&lt;=TODAY()) ),   2, 0),  1, 1), 
  IFERROR( INDEX(FILTER('1. DATA CHUNG'!$J$4:$J$105, (TRIM('1. DATA CHUNG'!$I$4:$I$105)=TRIM(K7)) * IF(COUNTIFS('1. DATA CHUNG'!$I$4:$I$105,K7,'1. DATA CHUNG'!$M$4:$M$105,Q7), '1. DATA CHUNG'!$"&amp;"M$4:$M$105=Q7, 1) * ('1. DATA CHUNG'!$L$4:$L$105="""")), 1), ""Không tìm thấy"" ))"),18.0)</f>
        <v>18</v>
      </c>
      <c r="AI7" s="228">
        <f t="shared" si="4"/>
        <v>46115</v>
      </c>
      <c r="AJ7" s="114">
        <v>45000.0</v>
      </c>
      <c r="AK7" s="229">
        <f t="shared" si="5"/>
        <v>180000</v>
      </c>
      <c r="AL7" s="229">
        <f t="shared" si="6"/>
        <v>4</v>
      </c>
      <c r="AM7" s="229">
        <f t="shared" si="7"/>
        <v>2</v>
      </c>
      <c r="AN7" s="230">
        <f t="shared" si="8"/>
        <v>0</v>
      </c>
      <c r="AO7" s="231" t="str">
        <f t="shared" si="9"/>
        <v>03/2026</v>
      </c>
      <c r="AP7" s="224" t="str">
        <f t="array" ref="AP7">IFERROR(XLOOKUP(L7,'2. DATA NL, VTBB'!C:C,'2. DATA NL, VTBB'!F:F),"")</f>
        <v>HH0277</v>
      </c>
      <c r="AQ7" s="226" t="s">
        <v>302</v>
      </c>
      <c r="AR7" s="232" t="str">
        <f t="array" ref="AR7">IFERROR(XLOOKUP(L7,'2. DATA NL, VTBB'!C:C,'2. DATA NL, VTBB'!G:G),"")</f>
        <v>GC - II - 693 - A Thời GNH - Siêu bung đọt mai (chai HD) - 1L - 20</v>
      </c>
      <c r="AS7" s="232" t="str">
        <f t="array" ref="AS7">IFERROR(XLOOKUP(L7,'2. DATA NL, VTBB'!C:C,'2. DATA NL, VTBB'!G:G),"")</f>
        <v>GC - II - 693 - A Thời GNH - Siêu bung đọt mai (chai HD) - 1L - 20</v>
      </c>
      <c r="AT7" s="219" t="s">
        <v>314</v>
      </c>
    </row>
    <row r="8" ht="32.25" customHeight="1">
      <c r="A8" s="109">
        <v>4.0</v>
      </c>
      <c r="B8" s="210">
        <v>46097.0</v>
      </c>
      <c r="C8" s="210">
        <f t="shared" si="10"/>
        <v>46115</v>
      </c>
      <c r="D8" s="210">
        <f t="shared" si="1"/>
        <v>46117</v>
      </c>
      <c r="E8" s="211">
        <v>46119.0</v>
      </c>
      <c r="F8" s="212" t="s">
        <v>561</v>
      </c>
      <c r="G8" s="213" t="s">
        <v>562</v>
      </c>
      <c r="H8" s="212" t="s">
        <v>304</v>
      </c>
      <c r="I8" s="213" t="s">
        <v>305</v>
      </c>
      <c r="J8" s="214" t="s">
        <v>575</v>
      </c>
      <c r="K8" s="213" t="s">
        <v>301</v>
      </c>
      <c r="L8" s="215" t="s">
        <v>576</v>
      </c>
      <c r="M8" s="216" t="str">
        <f t="array" ref="M8">IFERROR(XLOOKUP(L8,'2. DATA NL, VTBB'!C:C,'2. DATA NL, VTBB'!D:D),"")</f>
        <v>Thùng QUANG ĐĂNG chai HD 1 lít x 20 chai (45.5x36x25.5cm) - Trắng viền xanh dương</v>
      </c>
      <c r="N8" s="217"/>
      <c r="O8" s="217" t="str">
        <f t="array" ref="O8">IFERROR( XLOOKUP(L8,'2. DATA NL, VTBB'!C:C,'2. DATA NL, VTBB'!E:E),"")</f>
        <v>NPK Bổ sung Vi lượng Basel NPK 6-6-8 IDA 33</v>
      </c>
      <c r="P8" s="213" t="s">
        <v>565</v>
      </c>
      <c r="Q8" s="226" t="b">
        <v>0</v>
      </c>
      <c r="R8" s="219" t="s">
        <v>566</v>
      </c>
      <c r="S8" s="219" t="s">
        <v>567</v>
      </c>
      <c r="T8" s="113">
        <f t="shared" si="2"/>
        <v>1</v>
      </c>
      <c r="U8" s="219" t="s">
        <v>568</v>
      </c>
      <c r="V8" s="220">
        <v>100.0</v>
      </c>
      <c r="W8" s="213" t="s">
        <v>303</v>
      </c>
      <c r="X8" s="220">
        <v>100.0</v>
      </c>
      <c r="Y8" s="233">
        <v>110.0</v>
      </c>
      <c r="Z8" s="222">
        <v>19750.0</v>
      </c>
      <c r="AA8" s="223">
        <v>0.08</v>
      </c>
      <c r="AB8" s="222">
        <f t="shared" si="3"/>
        <v>2133000</v>
      </c>
      <c r="AC8" s="224"/>
      <c r="AD8" s="210">
        <v>46097.0</v>
      </c>
      <c r="AE8" s="225">
        <v>781.0</v>
      </c>
      <c r="AF8" s="226">
        <v>1.0</v>
      </c>
      <c r="AG8" s="224"/>
      <c r="AH8" s="227">
        <f>IFERROR(__xludf.DUMMYFUNCTION("IFERROR(INDEX( SORT(FILTER(
        {'1. DATA CHUNG'!$J$4:$J$105 , '1. DATA CHUNG'!$L$4:$L$105}, (TRIM('1. DATA CHUNG'!$I$4:$I$105)=TRIM(K8)) * IF(COUNTIFS('1. DATA CHUNG'!$I$4:$I$105,K8,'1. DATA CHUNG'!$M$4:$M$105,Q8), '1. DATA CHUNG'!$M$4:$M$105=Q8, 1) "&amp;"* ('1. DATA CHUNG'!$L$4:$L$105&lt;=TODAY()) ),   2, 0),  1, 1), 
  IFERROR( INDEX(FILTER('1. DATA CHUNG'!$J$4:$J$105, (TRIM('1. DATA CHUNG'!$I$4:$I$105)=TRIM(K8)) * IF(COUNTIFS('1. DATA CHUNG'!$I$4:$I$105,K8,'1. DATA CHUNG'!$M$4:$M$105,Q8), '1. DATA CHUNG'!$"&amp;"M$4:$M$105=Q8, 1) * ('1. DATA CHUNG'!$L$4:$L$105="""")), 1), ""Không tìm thấy"" ))"),18.0)</f>
        <v>18</v>
      </c>
      <c r="AI8" s="228">
        <f t="shared" si="4"/>
        <v>46115</v>
      </c>
      <c r="AJ8" s="114">
        <v>45000.0</v>
      </c>
      <c r="AK8" s="229">
        <f t="shared" si="5"/>
        <v>45000</v>
      </c>
      <c r="AL8" s="229">
        <f t="shared" si="6"/>
        <v>-2</v>
      </c>
      <c r="AM8" s="229">
        <f t="shared" si="7"/>
        <v>-4</v>
      </c>
      <c r="AN8" s="230">
        <f t="shared" si="8"/>
        <v>0</v>
      </c>
      <c r="AO8" s="231" t="str">
        <f t="shared" si="9"/>
        <v>03/2026</v>
      </c>
      <c r="AP8" s="224" t="str">
        <f t="array" ref="AP8">IFERROR(XLOOKUP(L8,'2. DATA NL, VTBB'!C:C,'2. DATA NL, VTBB'!F:F),"")</f>
        <v>HH0286</v>
      </c>
      <c r="AQ8" s="226" t="s">
        <v>302</v>
      </c>
      <c r="AR8" s="232" t="str">
        <f t="array" ref="AR8">IFERROR(XLOOKUP(L8,'2. DATA NL, VTBB'!C:C,'2. DATA NL, VTBB'!G:G),"")</f>
        <v>IDA Global - I - 700 - Toto Boost - 30ml - 400</v>
      </c>
      <c r="AS8" s="232" t="str">
        <f t="array" ref="AS8">IFERROR(XLOOKUP(L8,'2. DATA NL, VTBB'!C:C,'2. DATA NL, VTBB'!G:G),"")</f>
        <v>IDA Global - I - 700 - Toto Boost - 30ml - 400</v>
      </c>
      <c r="AT8" s="111" t="s">
        <v>314</v>
      </c>
    </row>
    <row r="9" ht="32.25" customHeight="1">
      <c r="A9" s="109">
        <v>5.0</v>
      </c>
      <c r="B9" s="210">
        <v>46099.0</v>
      </c>
      <c r="C9" s="210">
        <f>B9+15</f>
        <v>46114</v>
      </c>
      <c r="D9" s="210">
        <f t="shared" si="1"/>
        <v>46119</v>
      </c>
      <c r="E9" s="211">
        <v>46112.0</v>
      </c>
      <c r="F9" s="212" t="s">
        <v>561</v>
      </c>
      <c r="G9" s="213" t="s">
        <v>562</v>
      </c>
      <c r="H9" s="212" t="s">
        <v>304</v>
      </c>
      <c r="I9" s="213" t="s">
        <v>305</v>
      </c>
      <c r="J9" s="214" t="s">
        <v>577</v>
      </c>
      <c r="K9" s="213" t="s">
        <v>301</v>
      </c>
      <c r="L9" s="215" t="s">
        <v>578</v>
      </c>
      <c r="M9" s="216" t="str">
        <f t="array" ref="M9">IFERROR(XLOOKUP(L9,'2. DATA NL, VTBB'!C:C,'2. DATA NL, VTBB'!D:D),"")</f>
        <v>Thùng DC Chai Pet Tròn 43 450ml-500ml - 61.5x38.5x19 - Trắng</v>
      </c>
      <c r="N9" s="217"/>
      <c r="O9" s="217" t="str">
        <f t="array" ref="O9">IFERROR( XLOOKUP(L9,'2. DATA NL, VTBB'!C:C,'2. DATA NL, VTBB'!E:E),"")</f>
        <v>Vi lượng AV4</v>
      </c>
      <c r="P9" s="213" t="s">
        <v>565</v>
      </c>
      <c r="Q9" s="218"/>
      <c r="R9" s="111" t="s">
        <v>573</v>
      </c>
      <c r="S9" s="219" t="s">
        <v>574</v>
      </c>
      <c r="T9" s="113">
        <f t="shared" si="2"/>
        <v>5</v>
      </c>
      <c r="U9" s="219" t="s">
        <v>568</v>
      </c>
      <c r="V9" s="220">
        <v>500.0</v>
      </c>
      <c r="W9" s="213" t="s">
        <v>303</v>
      </c>
      <c r="X9" s="220">
        <v>500.0</v>
      </c>
      <c r="Y9" s="221">
        <v>500.0</v>
      </c>
      <c r="Z9" s="222">
        <v>21700.0</v>
      </c>
      <c r="AA9" s="223">
        <v>0.08</v>
      </c>
      <c r="AB9" s="222">
        <f t="shared" si="3"/>
        <v>11718000</v>
      </c>
      <c r="AC9" s="224"/>
      <c r="AD9" s="210">
        <v>46099.0</v>
      </c>
      <c r="AE9" s="225">
        <v>716.0</v>
      </c>
      <c r="AF9" s="226">
        <v>1.0</v>
      </c>
      <c r="AG9" s="224"/>
      <c r="AH9" s="227">
        <f>IFERROR(__xludf.DUMMYFUNCTION("IFERROR(INDEX( SORT(FILTER(
        {'1. DATA CHUNG'!$J$4:$J$105 , '1. DATA CHUNG'!$L$4:$L$105}, (TRIM('1. DATA CHUNG'!$I$4:$I$105)=TRIM(K9)) * IF(COUNTIFS('1. DATA CHUNG'!$I$4:$I$105,K9,'1. DATA CHUNG'!$M$4:$M$105,Q9), '1. DATA CHUNG'!$M$4:$M$105=Q9, 1) "&amp;"* ('1. DATA CHUNG'!$L$4:$L$105&lt;=TODAY()) ),   2, 0),  1, 1), 
  IFERROR( INDEX(FILTER('1. DATA CHUNG'!$J$4:$J$105, (TRIM('1. DATA CHUNG'!$I$4:$I$105)=TRIM(K9)) * IF(COUNTIFS('1. DATA CHUNG'!$I$4:$I$105,K9,'1. DATA CHUNG'!$M$4:$M$105,Q9), '1. DATA CHUNG'!$"&amp;"M$4:$M$105=Q9, 1) * ('1. DATA CHUNG'!$L$4:$L$105="""")), 1), ""Không tìm thấy"" ))"),18.0)</f>
        <v>18</v>
      </c>
      <c r="AI9" s="228">
        <f t="shared" si="4"/>
        <v>46117</v>
      </c>
      <c r="AJ9" s="114">
        <v>45000.0</v>
      </c>
      <c r="AK9" s="229">
        <f t="shared" si="5"/>
        <v>225000</v>
      </c>
      <c r="AL9" s="229">
        <f t="shared" si="6"/>
        <v>7</v>
      </c>
      <c r="AM9" s="229">
        <f t="shared" si="7"/>
        <v>5</v>
      </c>
      <c r="AN9" s="230">
        <f t="shared" si="8"/>
        <v>3</v>
      </c>
      <c r="AO9" s="231" t="str">
        <f t="shared" si="9"/>
        <v>03/2026</v>
      </c>
      <c r="AP9" s="224" t="str">
        <f t="array" ref="AP9">IFERROR(XLOOKUP(L9,'2. DATA NL, VTBB'!C:C,'2. DATA NL, VTBB'!F:F),"")</f>
        <v>HH0004</v>
      </c>
      <c r="AQ9" s="226" t="s">
        <v>302</v>
      </c>
      <c r="AR9" s="232" t="str">
        <f t="array" ref="AR9">IFERROR(XLOOKUP(L9,'2. DATA NL, VTBB'!C:C,'2. DATA NL, VTBB'!G:G),"")</f>
        <v>GC - II - 24 - Aqua Gold ra bông xoài 1kg -25</v>
      </c>
      <c r="AS9" s="232" t="str">
        <f t="array" ref="AS9">IFERROR(XLOOKUP(L9,'2. DATA NL, VTBB'!C:C,'2. DATA NL, VTBB'!G:G),"")</f>
        <v>GC - II - 24 - Aqua Gold ra bông xoài 1kg -25</v>
      </c>
      <c r="AT9" s="219" t="s">
        <v>314</v>
      </c>
    </row>
    <row r="10" ht="32.25" customHeight="1">
      <c r="A10" s="109">
        <v>6.0</v>
      </c>
      <c r="B10" s="210">
        <v>46099.0</v>
      </c>
      <c r="C10" s="210">
        <f t="shared" ref="C10:C12" si="11">B10+18</f>
        <v>46117</v>
      </c>
      <c r="D10" s="210">
        <f t="shared" si="1"/>
        <v>46119</v>
      </c>
      <c r="E10" s="211">
        <v>46113.0</v>
      </c>
      <c r="F10" s="212" t="s">
        <v>561</v>
      </c>
      <c r="G10" s="213" t="s">
        <v>562</v>
      </c>
      <c r="H10" s="212" t="s">
        <v>304</v>
      </c>
      <c r="I10" s="213" t="s">
        <v>305</v>
      </c>
      <c r="J10" s="214" t="s">
        <v>579</v>
      </c>
      <c r="K10" s="213" t="s">
        <v>301</v>
      </c>
      <c r="L10" s="215" t="s">
        <v>578</v>
      </c>
      <c r="M10" s="216" t="str">
        <f t="array" ref="M10">IFERROR(XLOOKUP(L10,'2. DATA NL, VTBB'!C:C,'2. DATA NL, VTBB'!D:D),"")</f>
        <v>Thùng DC Chai Pet Tròn 43 450ml-500ml - 61.5x38.5x19 - Trắng</v>
      </c>
      <c r="N10" s="217"/>
      <c r="O10" s="217" t="str">
        <f t="array" ref="O10">IFERROR( XLOOKUP(L10,'2. DATA NL, VTBB'!C:C,'2. DATA NL, VTBB'!E:E),"")</f>
        <v>Vi lượng AV4</v>
      </c>
      <c r="P10" s="213" t="s">
        <v>565</v>
      </c>
      <c r="Q10" s="218"/>
      <c r="R10" s="219" t="s">
        <v>566</v>
      </c>
      <c r="S10" s="219" t="s">
        <v>567</v>
      </c>
      <c r="T10" s="113">
        <f t="shared" si="2"/>
        <v>1</v>
      </c>
      <c r="U10" s="219" t="s">
        <v>568</v>
      </c>
      <c r="V10" s="220">
        <v>100.0</v>
      </c>
      <c r="W10" s="213" t="s">
        <v>303</v>
      </c>
      <c r="X10" s="220">
        <v>100.0</v>
      </c>
      <c r="Y10" s="221">
        <v>90.0</v>
      </c>
      <c r="Z10" s="222">
        <v>21700.0</v>
      </c>
      <c r="AA10" s="223">
        <v>0.08</v>
      </c>
      <c r="AB10" s="222">
        <f t="shared" si="3"/>
        <v>2343600</v>
      </c>
      <c r="AC10" s="224"/>
      <c r="AD10" s="210">
        <v>46099.0</v>
      </c>
      <c r="AE10" s="225">
        <v>725.0</v>
      </c>
      <c r="AF10" s="226">
        <v>1.0</v>
      </c>
      <c r="AG10" s="224"/>
      <c r="AH10" s="227">
        <f>IFERROR(__xludf.DUMMYFUNCTION("IFERROR(INDEX( SORT(FILTER(
        {'1. DATA CHUNG'!$J$4:$J$105 , '1. DATA CHUNG'!$L$4:$L$105}, (TRIM('1. DATA CHUNG'!$I$4:$I$105)=TRIM(K10)) * IF(COUNTIFS('1. DATA CHUNG'!$I$4:$I$105,K10,'1. DATA CHUNG'!$M$4:$M$105,Q10), '1. DATA CHUNG'!$M$4:$M$105=Q10,"&amp;" 1) * ('1. DATA CHUNG'!$L$4:$L$105&lt;=TODAY()) ),   2, 0),  1, 1), 
  IFERROR( INDEX(FILTER('1. DATA CHUNG'!$J$4:$J$105, (TRIM('1. DATA CHUNG'!$I$4:$I$105)=TRIM(K10)) * IF(COUNTIFS('1. DATA CHUNG'!$I$4:$I$105,K10,'1. DATA CHUNG'!$M$4:$M$105,Q10), '1. DATA C"&amp;"HUNG'!$M$4:$M$105=Q10, 1) * ('1. DATA CHUNG'!$L$4:$L$105="""")), 1), ""Không tìm thấy"" ))"),18.0)</f>
        <v>18</v>
      </c>
      <c r="AI10" s="228">
        <f t="shared" si="4"/>
        <v>46117</v>
      </c>
      <c r="AJ10" s="114">
        <v>45000.0</v>
      </c>
      <c r="AK10" s="229">
        <f t="shared" si="5"/>
        <v>45000</v>
      </c>
      <c r="AL10" s="229">
        <f t="shared" si="6"/>
        <v>6</v>
      </c>
      <c r="AM10" s="229">
        <f t="shared" si="7"/>
        <v>4</v>
      </c>
      <c r="AN10" s="230">
        <f t="shared" si="8"/>
        <v>0</v>
      </c>
      <c r="AO10" s="231" t="str">
        <f t="shared" si="9"/>
        <v>03/2026</v>
      </c>
      <c r="AP10" s="224" t="str">
        <f t="array" ref="AP10">IFERROR(XLOOKUP(L10,'2. DATA NL, VTBB'!C:C,'2. DATA NL, VTBB'!F:F),"")</f>
        <v>HH0004</v>
      </c>
      <c r="AQ10" s="226" t="s">
        <v>302</v>
      </c>
      <c r="AR10" s="232" t="str">
        <f t="array" ref="AR10">IFERROR(XLOOKUP(L10,'2. DATA NL, VTBB'!C:C,'2. DATA NL, VTBB'!G:G),"")</f>
        <v>GC - II - 24 - Aqua Gold ra bông xoài 1kg -25</v>
      </c>
      <c r="AS10" s="232" t="str">
        <f t="array" ref="AS10">IFERROR(XLOOKUP(L10,'2. DATA NL, VTBB'!C:C,'2. DATA NL, VTBB'!G:G),"")</f>
        <v>GC - II - 24 - Aqua Gold ra bông xoài 1kg -25</v>
      </c>
      <c r="AT10" s="111" t="s">
        <v>314</v>
      </c>
    </row>
    <row r="11" ht="32.25" customHeight="1">
      <c r="A11" s="109">
        <v>7.0</v>
      </c>
      <c r="B11" s="210">
        <v>46099.0</v>
      </c>
      <c r="C11" s="210">
        <f t="shared" si="11"/>
        <v>46117</v>
      </c>
      <c r="D11" s="210">
        <f t="shared" si="1"/>
        <v>46119</v>
      </c>
      <c r="E11" s="211">
        <v>46122.0</v>
      </c>
      <c r="F11" s="212" t="s">
        <v>561</v>
      </c>
      <c r="G11" s="213" t="s">
        <v>580</v>
      </c>
      <c r="H11" s="212" t="s">
        <v>304</v>
      </c>
      <c r="I11" s="213" t="s">
        <v>305</v>
      </c>
      <c r="J11" s="214" t="s">
        <v>581</v>
      </c>
      <c r="K11" s="213" t="s">
        <v>301</v>
      </c>
      <c r="L11" s="215" t="s">
        <v>582</v>
      </c>
      <c r="M11" s="216" t="str">
        <f t="array" ref="M11">IFERROR(XLOOKUP(L11,'2. DATA NL, VTBB'!C:C,'2. DATA NL, VTBB'!D:D),"")</f>
        <v>Thùng IDA chai vuông 450ml, 480ml, 500ml x 40 chai (42x36x22.5cm) - Xanh lá</v>
      </c>
      <c r="N11" s="217"/>
      <c r="O11" s="217" t="str">
        <f t="array" ref="O11">IFERROR( XLOOKUP(L11,'2. DATA NL, VTBB'!C:C,'2. DATA NL, VTBB'!E:E),"")</f>
        <v>TVZEB 800WP</v>
      </c>
      <c r="P11" s="213" t="s">
        <v>565</v>
      </c>
      <c r="Q11" s="218"/>
      <c r="R11" s="111" t="s">
        <v>573</v>
      </c>
      <c r="S11" s="219" t="s">
        <v>574</v>
      </c>
      <c r="T11" s="113">
        <f t="shared" si="2"/>
        <v>1</v>
      </c>
      <c r="U11" s="219" t="s">
        <v>568</v>
      </c>
      <c r="V11" s="220">
        <v>100.0</v>
      </c>
      <c r="W11" s="213" t="s">
        <v>303</v>
      </c>
      <c r="X11" s="220">
        <v>100.0</v>
      </c>
      <c r="Y11" s="221">
        <v>110.0</v>
      </c>
      <c r="Z11" s="234">
        <v>18850.0</v>
      </c>
      <c r="AA11" s="223">
        <v>0.08</v>
      </c>
      <c r="AB11" s="222">
        <f t="shared" si="3"/>
        <v>2035800</v>
      </c>
      <c r="AC11" s="224"/>
      <c r="AD11" s="210">
        <v>46099.0</v>
      </c>
      <c r="AE11" s="225">
        <v>808.0</v>
      </c>
      <c r="AF11" s="226">
        <v>1.0</v>
      </c>
      <c r="AG11" s="224"/>
      <c r="AH11" s="227">
        <f>IFERROR(__xludf.DUMMYFUNCTION("IFERROR(INDEX( SORT(FILTER(
        {'1. DATA CHUNG'!$J$4:$J$105 , '1. DATA CHUNG'!$L$4:$L$105}, (TRIM('1. DATA CHUNG'!$I$4:$I$105)=TRIM(K11)) * IF(COUNTIFS('1. DATA CHUNG'!$I$4:$I$105,K11,'1. DATA CHUNG'!$M$4:$M$105,Q11), '1. DATA CHUNG'!$M$4:$M$105=Q11,"&amp;" 1) * ('1. DATA CHUNG'!$L$4:$L$105&lt;=TODAY()) ),   2, 0),  1, 1), 
  IFERROR( INDEX(FILTER('1. DATA CHUNG'!$J$4:$J$105, (TRIM('1. DATA CHUNG'!$I$4:$I$105)=TRIM(K11)) * IF(COUNTIFS('1. DATA CHUNG'!$I$4:$I$105,K11,'1. DATA CHUNG'!$M$4:$M$105,Q11), '1. DATA C"&amp;"HUNG'!$M$4:$M$105=Q11, 1) * ('1. DATA CHUNG'!$L$4:$L$105="""")), 1), ""Không tìm thấy"" ))"),18.0)</f>
        <v>18</v>
      </c>
      <c r="AI11" s="228">
        <f t="shared" si="4"/>
        <v>46117</v>
      </c>
      <c r="AJ11" s="114">
        <v>45000.0</v>
      </c>
      <c r="AK11" s="229">
        <f t="shared" si="5"/>
        <v>45000</v>
      </c>
      <c r="AL11" s="229">
        <f t="shared" si="6"/>
        <v>-3</v>
      </c>
      <c r="AM11" s="229">
        <f t="shared" si="7"/>
        <v>-5</v>
      </c>
      <c r="AN11" s="230">
        <f t="shared" si="8"/>
        <v>0</v>
      </c>
      <c r="AO11" s="231" t="str">
        <f t="shared" si="9"/>
        <v>03/2026</v>
      </c>
      <c r="AP11" s="224" t="str">
        <f t="array" ref="AP11">IFERROR(XLOOKUP(L11,'2. DATA NL, VTBB'!C:C,'2. DATA NL, VTBB'!F:F),"")</f>
        <v>HH0089</v>
      </c>
      <c r="AQ11" s="226" t="s">
        <v>302</v>
      </c>
      <c r="AR11" s="232" t="str">
        <f t="array" ref="AR11">IFERROR(XLOOKUP(L11,'2. DATA NL, VTBB'!C:C,'2. DATA NL, VTBB'!G:G),"")</f>
        <v>GC - 448 - I - Thiên Di - Mancozeb Xanh (Nhãn xanh Lá) - 100gr - 100</v>
      </c>
      <c r="AS11" s="232" t="str">
        <f t="array" ref="AS11">IFERROR(XLOOKUP(L11,'2. DATA NL, VTBB'!C:C,'2. DATA NL, VTBB'!G:G),"")</f>
        <v>GC - 448 - I - Thiên Di - Mancozeb Xanh (Nhãn xanh Lá) - 100gr - 100</v>
      </c>
      <c r="AT11" s="219" t="s">
        <v>314</v>
      </c>
    </row>
    <row r="12" ht="32.25" customHeight="1">
      <c r="A12" s="109">
        <v>8.0</v>
      </c>
      <c r="B12" s="210">
        <v>46099.0</v>
      </c>
      <c r="C12" s="210">
        <f t="shared" si="11"/>
        <v>46117</v>
      </c>
      <c r="D12" s="210">
        <f t="shared" si="1"/>
        <v>46119</v>
      </c>
      <c r="E12" s="211">
        <v>46122.0</v>
      </c>
      <c r="F12" s="212" t="s">
        <v>561</v>
      </c>
      <c r="G12" s="213" t="s">
        <v>580</v>
      </c>
      <c r="H12" s="212" t="s">
        <v>304</v>
      </c>
      <c r="I12" s="213" t="s">
        <v>305</v>
      </c>
      <c r="J12" s="214" t="s">
        <v>583</v>
      </c>
      <c r="K12" s="213" t="s">
        <v>301</v>
      </c>
      <c r="L12" s="215" t="s">
        <v>582</v>
      </c>
      <c r="M12" s="216" t="str">
        <f t="array" ref="M12">IFERROR(XLOOKUP(L12,'2. DATA NL, VTBB'!C:C,'2. DATA NL, VTBB'!D:D),"")</f>
        <v>Thùng IDA chai vuông 450ml, 480ml, 500ml x 40 chai (42x36x22.5cm) - Xanh lá</v>
      </c>
      <c r="N12" s="217"/>
      <c r="O12" s="217" t="str">
        <f t="array" ref="O12">IFERROR( XLOOKUP(L12,'2. DATA NL, VTBB'!C:C,'2. DATA NL, VTBB'!E:E),"")</f>
        <v>TVZEB 800WP</v>
      </c>
      <c r="P12" s="213" t="s">
        <v>565</v>
      </c>
      <c r="Q12" s="218"/>
      <c r="R12" s="111" t="s">
        <v>584</v>
      </c>
      <c r="S12" s="219" t="s">
        <v>574</v>
      </c>
      <c r="T12" s="113">
        <f t="shared" si="2"/>
        <v>1</v>
      </c>
      <c r="U12" s="219" t="s">
        <v>568</v>
      </c>
      <c r="V12" s="220">
        <v>100.0</v>
      </c>
      <c r="W12" s="213" t="s">
        <v>303</v>
      </c>
      <c r="X12" s="220">
        <v>100.0</v>
      </c>
      <c r="Y12" s="221">
        <v>106.0</v>
      </c>
      <c r="Z12" s="234">
        <v>18850.0</v>
      </c>
      <c r="AA12" s="223">
        <v>0.08</v>
      </c>
      <c r="AB12" s="222">
        <f t="shared" si="3"/>
        <v>2035800</v>
      </c>
      <c r="AC12" s="224"/>
      <c r="AD12" s="210">
        <v>46099.0</v>
      </c>
      <c r="AE12" s="225">
        <v>809.0</v>
      </c>
      <c r="AF12" s="226">
        <v>1.0</v>
      </c>
      <c r="AG12" s="224"/>
      <c r="AH12" s="227">
        <f>IFERROR(__xludf.DUMMYFUNCTION("IFERROR(INDEX( SORT(FILTER(
        {'1. DATA CHUNG'!$J$4:$J$105 , '1. DATA CHUNG'!$L$4:$L$105}, (TRIM('1. DATA CHUNG'!$I$4:$I$105)=TRIM(K12)) * IF(COUNTIFS('1. DATA CHUNG'!$I$4:$I$105,K12,'1. DATA CHUNG'!$M$4:$M$105,Q12), '1. DATA CHUNG'!$M$4:$M$105=Q12,"&amp;" 1) * ('1. DATA CHUNG'!$L$4:$L$105&lt;=TODAY()) ),   2, 0),  1, 1), 
  IFERROR( INDEX(FILTER('1. DATA CHUNG'!$J$4:$J$105, (TRIM('1. DATA CHUNG'!$I$4:$I$105)=TRIM(K12)) * IF(COUNTIFS('1. DATA CHUNG'!$I$4:$I$105,K12,'1. DATA CHUNG'!$M$4:$M$105,Q12), '1. DATA C"&amp;"HUNG'!$M$4:$M$105=Q12, 1) * ('1. DATA CHUNG'!$L$4:$L$105="""")), 1), ""Không tìm thấy"" ))"),18.0)</f>
        <v>18</v>
      </c>
      <c r="AI12" s="228">
        <f t="shared" si="4"/>
        <v>46117</v>
      </c>
      <c r="AJ12" s="114">
        <v>45000.0</v>
      </c>
      <c r="AK12" s="229">
        <f t="shared" si="5"/>
        <v>45000</v>
      </c>
      <c r="AL12" s="229">
        <f t="shared" si="6"/>
        <v>-3</v>
      </c>
      <c r="AM12" s="229">
        <f t="shared" si="7"/>
        <v>-5</v>
      </c>
      <c r="AN12" s="230">
        <f t="shared" si="8"/>
        <v>0</v>
      </c>
      <c r="AO12" s="231" t="str">
        <f t="shared" si="9"/>
        <v>03/2026</v>
      </c>
      <c r="AP12" s="224" t="str">
        <f t="array" ref="AP12">IFERROR(XLOOKUP(L12,'2. DATA NL, VTBB'!C:C,'2. DATA NL, VTBB'!F:F),"")</f>
        <v>HH0089</v>
      </c>
      <c r="AQ12" s="226" t="s">
        <v>302</v>
      </c>
      <c r="AR12" s="232" t="str">
        <f t="array" ref="AR12">IFERROR(XLOOKUP(L12,'2. DATA NL, VTBB'!C:C,'2. DATA NL, VTBB'!G:G),"")</f>
        <v>GC - 448 - I - Thiên Di - Mancozeb Xanh (Nhãn xanh Lá) - 100gr - 100</v>
      </c>
      <c r="AS12" s="232" t="str">
        <f t="array" ref="AS12">IFERROR(XLOOKUP(L12,'2. DATA NL, VTBB'!C:C,'2. DATA NL, VTBB'!G:G),"")</f>
        <v>GC - 448 - I - Thiên Di - Mancozeb Xanh (Nhãn xanh Lá) - 100gr - 100</v>
      </c>
      <c r="AT12" s="219" t="s">
        <v>314</v>
      </c>
    </row>
    <row r="13" ht="32.25" customHeight="1">
      <c r="A13" s="109">
        <v>9.0</v>
      </c>
      <c r="B13" s="210">
        <v>46100.0</v>
      </c>
      <c r="C13" s="210">
        <f>B13+25</f>
        <v>46125</v>
      </c>
      <c r="D13" s="210">
        <f t="shared" si="1"/>
        <v>46120</v>
      </c>
      <c r="E13" s="211">
        <v>46126.0</v>
      </c>
      <c r="F13" s="212" t="s">
        <v>561</v>
      </c>
      <c r="G13" s="213" t="s">
        <v>562</v>
      </c>
      <c r="H13" s="212" t="s">
        <v>304</v>
      </c>
      <c r="I13" s="213" t="s">
        <v>305</v>
      </c>
      <c r="J13" s="214" t="s">
        <v>585</v>
      </c>
      <c r="K13" s="213" t="s">
        <v>301</v>
      </c>
      <c r="L13" s="215" t="s">
        <v>586</v>
      </c>
      <c r="M13" s="216" t="str">
        <f t="array" ref="M13">IFERROR(XLOOKUP(L13,'2. DATA NL, VTBB'!C:C,'2. DATA NL, VTBB'!D:D),"")</f>
        <v>Thùng dùng chung ABA Chai 250ml x 40 chai (53.5x33.5x15.5cm) - Trắng</v>
      </c>
      <c r="N13" s="217"/>
      <c r="O13" s="217" t="str">
        <f t="array" ref="O13">IFERROR( XLOOKUP(L13,'2. DATA NL, VTBB'!C:C,'2. DATA NL, VTBB'!E:E),"")</f>
        <v>Creek 51WG</v>
      </c>
      <c r="P13" s="213" t="s">
        <v>565</v>
      </c>
      <c r="Q13" s="218"/>
      <c r="R13" s="219" t="s">
        <v>566</v>
      </c>
      <c r="S13" s="219" t="s">
        <v>567</v>
      </c>
      <c r="T13" s="113">
        <f t="shared" si="2"/>
        <v>3</v>
      </c>
      <c r="U13" s="219" t="s">
        <v>568</v>
      </c>
      <c r="V13" s="220">
        <v>300.0</v>
      </c>
      <c r="W13" s="213" t="s">
        <v>303</v>
      </c>
      <c r="X13" s="220">
        <v>300.0</v>
      </c>
      <c r="Y13" s="221">
        <v>310.0</v>
      </c>
      <c r="Z13" s="222">
        <v>16700.0</v>
      </c>
      <c r="AA13" s="223">
        <v>0.08</v>
      </c>
      <c r="AB13" s="222">
        <f t="shared" si="3"/>
        <v>5410800</v>
      </c>
      <c r="AC13" s="224"/>
      <c r="AD13" s="210">
        <v>46100.0</v>
      </c>
      <c r="AE13" s="225">
        <v>853.0</v>
      </c>
      <c r="AF13" s="226">
        <v>1.0</v>
      </c>
      <c r="AG13" s="235" t="s">
        <v>587</v>
      </c>
      <c r="AH13" s="227">
        <f>IFERROR(__xludf.DUMMYFUNCTION("IFERROR(INDEX( SORT(FILTER(
        {'1. DATA CHUNG'!$J$4:$J$105 , '1. DATA CHUNG'!$L$4:$L$105}, (TRIM('1. DATA CHUNG'!$I$4:$I$105)=TRIM(K13)) * IF(COUNTIFS('1. DATA CHUNG'!$I$4:$I$105,K13,'1. DATA CHUNG'!$M$4:$M$105,Q13), '1. DATA CHUNG'!$M$4:$M$105=Q13,"&amp;" 1) * ('1. DATA CHUNG'!$L$4:$L$105&lt;=TODAY()) ),   2, 0),  1, 1), 
  IFERROR( INDEX(FILTER('1. DATA CHUNG'!$J$4:$J$105, (TRIM('1. DATA CHUNG'!$I$4:$I$105)=TRIM(K13)) * IF(COUNTIFS('1. DATA CHUNG'!$I$4:$I$105,K13,'1. DATA CHUNG'!$M$4:$M$105,Q13), '1. DATA C"&amp;"HUNG'!$M$4:$M$105=Q13, 1) * ('1. DATA CHUNG'!$L$4:$L$105="""")), 1), ""Không tìm thấy"" ))"),18.0)</f>
        <v>18</v>
      </c>
      <c r="AI13" s="228">
        <f t="shared" si="4"/>
        <v>46118</v>
      </c>
      <c r="AJ13" s="114">
        <v>35000.0</v>
      </c>
      <c r="AK13" s="229">
        <f t="shared" si="5"/>
        <v>105000</v>
      </c>
      <c r="AL13" s="229">
        <f t="shared" si="6"/>
        <v>-6</v>
      </c>
      <c r="AM13" s="229">
        <f t="shared" si="7"/>
        <v>-8</v>
      </c>
      <c r="AN13" s="230">
        <f t="shared" si="8"/>
        <v>-7</v>
      </c>
      <c r="AO13" s="231" t="str">
        <f t="shared" si="9"/>
        <v>03/2026</v>
      </c>
      <c r="AP13" s="224" t="str">
        <f t="array" ref="AP13">IFERROR(XLOOKUP(L13,'2. DATA NL, VTBB'!C:C,'2. DATA NL, VTBB'!F:F),"")</f>
        <v>HH0080</v>
      </c>
      <c r="AQ13" s="226" t="s">
        <v>302</v>
      </c>
      <c r="AR13" s="232" t="str">
        <f t="array" ref="AR13">IFERROR(XLOOKUP(L13,'2. DATA NL, VTBB'!C:C,'2. DATA NL, VTBB'!G:G),"")</f>
        <v>IDA Global - I - 442 - Creek 51WG (Dạng cốm) - 30gr - 300</v>
      </c>
      <c r="AS13" s="232" t="str">
        <f t="array" ref="AS13">IFERROR(XLOOKUP(L13,'2. DATA NL, VTBB'!C:C,'2. DATA NL, VTBB'!G:G),"")</f>
        <v>IDA Global - I - 442 - Creek 51WG (Dạng cốm) - 30gr - 300</v>
      </c>
      <c r="AT13" s="111" t="s">
        <v>314</v>
      </c>
    </row>
    <row r="14" ht="32.25" customHeight="1">
      <c r="A14" s="109">
        <v>10.0</v>
      </c>
      <c r="B14" s="210">
        <v>46100.0</v>
      </c>
      <c r="C14" s="210">
        <f t="shared" ref="C14:C15" si="12">B14+18</f>
        <v>46118</v>
      </c>
      <c r="D14" s="210">
        <f t="shared" si="1"/>
        <v>46120</v>
      </c>
      <c r="E14" s="211">
        <v>46118.0</v>
      </c>
      <c r="F14" s="212" t="s">
        <v>561</v>
      </c>
      <c r="G14" s="111" t="s">
        <v>580</v>
      </c>
      <c r="H14" s="212" t="s">
        <v>304</v>
      </c>
      <c r="I14" s="213" t="s">
        <v>305</v>
      </c>
      <c r="J14" s="236" t="s">
        <v>588</v>
      </c>
      <c r="K14" s="213" t="s">
        <v>301</v>
      </c>
      <c r="L14" s="215" t="s">
        <v>589</v>
      </c>
      <c r="M14" s="216" t="str">
        <f t="array" ref="M14">IFERROR(XLOOKUP(L14,'2. DATA NL, VTBB'!C:C,'2. DATA NL, VTBB'!D:D),"")</f>
        <v>Thùng IDA chai FLOWER TOP 450ml x 40 chai (49x31x23cm) - Trắng xanh lá</v>
      </c>
      <c r="N14" s="217"/>
      <c r="O14" s="217" t="str">
        <f t="array" ref="O14">IFERROR( XLOOKUP(L14,'2. DATA NL, VTBB'!C:C,'2. DATA NL, VTBB'!E:E),"")</f>
        <v>Vi lượng BM-KABO</v>
      </c>
      <c r="P14" s="213" t="s">
        <v>565</v>
      </c>
      <c r="Q14" s="218"/>
      <c r="R14" s="111" t="s">
        <v>590</v>
      </c>
      <c r="S14" s="219" t="s">
        <v>574</v>
      </c>
      <c r="T14" s="113">
        <f t="shared" si="2"/>
        <v>5</v>
      </c>
      <c r="U14" s="219" t="s">
        <v>568</v>
      </c>
      <c r="V14" s="220">
        <v>500.0</v>
      </c>
      <c r="W14" s="213" t="s">
        <v>303</v>
      </c>
      <c r="X14" s="220">
        <v>500.0</v>
      </c>
      <c r="Y14" s="221">
        <v>543.0</v>
      </c>
      <c r="Z14" s="222">
        <v>18300.0</v>
      </c>
      <c r="AA14" s="223">
        <v>0.08</v>
      </c>
      <c r="AB14" s="222">
        <f t="shared" si="3"/>
        <v>9882000</v>
      </c>
      <c r="AC14" s="224"/>
      <c r="AD14" s="210">
        <v>46100.0</v>
      </c>
      <c r="AE14" s="225">
        <v>761.0</v>
      </c>
      <c r="AF14" s="226">
        <v>1.0</v>
      </c>
      <c r="AG14" s="224"/>
      <c r="AH14" s="227">
        <f>IFERROR(__xludf.DUMMYFUNCTION("IFERROR(INDEX( SORT(FILTER(
        {'1. DATA CHUNG'!$J$4:$J$105 , '1. DATA CHUNG'!$L$4:$L$105}, (TRIM('1. DATA CHUNG'!$I$4:$I$105)=TRIM(K14)) * IF(COUNTIFS('1. DATA CHUNG'!$I$4:$I$105,K14,'1. DATA CHUNG'!$M$4:$M$105,Q14), '1. DATA CHUNG'!$M$4:$M$105=Q14,"&amp;" 1) * ('1. DATA CHUNG'!$L$4:$L$105&lt;=TODAY()) ),   2, 0),  1, 1), 
  IFERROR( INDEX(FILTER('1. DATA CHUNG'!$J$4:$J$105, (TRIM('1. DATA CHUNG'!$I$4:$I$105)=TRIM(K14)) * IF(COUNTIFS('1. DATA CHUNG'!$I$4:$I$105,K14,'1. DATA CHUNG'!$M$4:$M$105,Q14), '1. DATA C"&amp;"HUNG'!$M$4:$M$105=Q14, 1) * ('1. DATA CHUNG'!$L$4:$L$105="""")), 1), ""Không tìm thấy"" ))"),18.0)</f>
        <v>18</v>
      </c>
      <c r="AI14" s="228">
        <f t="shared" si="4"/>
        <v>46118</v>
      </c>
      <c r="AJ14" s="114">
        <v>45000.0</v>
      </c>
      <c r="AK14" s="229">
        <f t="shared" si="5"/>
        <v>225000</v>
      </c>
      <c r="AL14" s="229">
        <f t="shared" si="6"/>
        <v>2</v>
      </c>
      <c r="AM14" s="229">
        <f t="shared" si="7"/>
        <v>0</v>
      </c>
      <c r="AN14" s="230">
        <f t="shared" si="8"/>
        <v>0</v>
      </c>
      <c r="AO14" s="231" t="str">
        <f t="shared" si="9"/>
        <v>03/2026</v>
      </c>
      <c r="AP14" s="224" t="str">
        <f t="array" ref="AP14">IFERROR(XLOOKUP(L14,'2. DATA NL, VTBB'!C:C,'2. DATA NL, VTBB'!F:F),"")</f>
        <v>HH0276</v>
      </c>
      <c r="AQ14" s="226" t="s">
        <v>302</v>
      </c>
      <c r="AR14" s="232" t="str">
        <f t="array" ref="AR14">IFERROR(XLOOKUP(L14,'2. DATA NL, VTBB'!C:C,'2. DATA NL, VTBB'!G:G),"")</f>
        <v>GC - II - 692 - A Thời GNH - Siêu Lớn Trái - 500ml (chai HD)- 40</v>
      </c>
      <c r="AS14" s="232" t="str">
        <f t="array" ref="AS14">IFERROR(XLOOKUP(L14,'2. DATA NL, VTBB'!C:C,'2. DATA NL, VTBB'!G:G),"")</f>
        <v>GC - II - 692 - A Thời GNH - Siêu Lớn Trái - 500ml (chai HD)- 40</v>
      </c>
      <c r="AT14" s="219" t="s">
        <v>314</v>
      </c>
    </row>
    <row r="15" ht="32.25" customHeight="1">
      <c r="A15" s="109">
        <v>11.0</v>
      </c>
      <c r="B15" s="210">
        <v>46102.0</v>
      </c>
      <c r="C15" s="210">
        <f t="shared" si="12"/>
        <v>46120</v>
      </c>
      <c r="D15" s="210">
        <f t="shared" si="1"/>
        <v>46122</v>
      </c>
      <c r="E15" s="211">
        <v>46123.0</v>
      </c>
      <c r="F15" s="212" t="s">
        <v>561</v>
      </c>
      <c r="G15" s="213" t="s">
        <v>562</v>
      </c>
      <c r="H15" s="212" t="s">
        <v>304</v>
      </c>
      <c r="I15" s="213" t="s">
        <v>305</v>
      </c>
      <c r="J15" s="214" t="s">
        <v>591</v>
      </c>
      <c r="K15" s="111" t="s">
        <v>301</v>
      </c>
      <c r="L15" s="215" t="s">
        <v>592</v>
      </c>
      <c r="M15" s="216" t="str">
        <f t="array" ref="M15">IFERROR(XLOOKUP(L15,'2. DATA NL, VTBB'!C:C,'2. DATA NL, VTBB'!D:D),"")</f>
        <v>Thùng ASAHI NHẬT BẢN chai 500ml x 40 chai (59.5x37.5x18.5cm) - Trắng xanh đậm</v>
      </c>
      <c r="N15" s="217"/>
      <c r="O15" s="217" t="str">
        <f t="array" ref="O15">IFERROR( XLOOKUP(L15,'2. DATA NL, VTBB'!C:C,'2. DATA NL, VTBB'!E:E),"")</f>
        <v>Chitin 3.6EC</v>
      </c>
      <c r="P15" s="213" t="s">
        <v>565</v>
      </c>
      <c r="Q15" s="218"/>
      <c r="R15" s="219" t="s">
        <v>566</v>
      </c>
      <c r="S15" s="219" t="s">
        <v>567</v>
      </c>
      <c r="T15" s="113">
        <f t="shared" si="2"/>
        <v>3</v>
      </c>
      <c r="U15" s="219" t="s">
        <v>568</v>
      </c>
      <c r="V15" s="220">
        <v>100.0</v>
      </c>
      <c r="W15" s="213" t="s">
        <v>303</v>
      </c>
      <c r="X15" s="220">
        <v>300.0</v>
      </c>
      <c r="Y15" s="221">
        <v>316.0</v>
      </c>
      <c r="Z15" s="222">
        <v>21500.0</v>
      </c>
      <c r="AA15" s="223">
        <v>0.08</v>
      </c>
      <c r="AB15" s="222">
        <f t="shared" si="3"/>
        <v>6966000</v>
      </c>
      <c r="AC15" s="224"/>
      <c r="AD15" s="210">
        <v>46102.0</v>
      </c>
      <c r="AE15" s="225">
        <v>829.0</v>
      </c>
      <c r="AF15" s="226">
        <v>1.0</v>
      </c>
      <c r="AG15" s="224"/>
      <c r="AH15" s="227">
        <f>IFERROR(__xludf.DUMMYFUNCTION("IFERROR(INDEX( SORT(FILTER(
        {'1. DATA CHUNG'!$J$4:$J$105 , '1. DATA CHUNG'!$L$4:$L$105}, (TRIM('1. DATA CHUNG'!$I$4:$I$105)=TRIM(K15)) * IF(COUNTIFS('1. DATA CHUNG'!$I$4:$I$105,K15,'1. DATA CHUNG'!$M$4:$M$105,Q15), '1. DATA CHUNG'!$M$4:$M$105=Q15,"&amp;" 1) * ('1. DATA CHUNG'!$L$4:$L$105&lt;=TODAY()) ),   2, 0),  1, 1), 
  IFERROR( INDEX(FILTER('1. DATA CHUNG'!$J$4:$J$105, (TRIM('1. DATA CHUNG'!$I$4:$I$105)=TRIM(K15)) * IF(COUNTIFS('1. DATA CHUNG'!$I$4:$I$105,K15,'1. DATA CHUNG'!$M$4:$M$105,Q15), '1. DATA C"&amp;"HUNG'!$M$4:$M$105=Q15, 1) * ('1. DATA CHUNG'!$L$4:$L$105="""")), 1), ""Không tìm thấy"" ))"),18.0)</f>
        <v>18</v>
      </c>
      <c r="AI15" s="228">
        <f t="shared" si="4"/>
        <v>46120</v>
      </c>
      <c r="AJ15" s="114">
        <v>35000.0</v>
      </c>
      <c r="AK15" s="229">
        <f t="shared" si="5"/>
        <v>105000</v>
      </c>
      <c r="AL15" s="229">
        <f t="shared" si="6"/>
        <v>-1</v>
      </c>
      <c r="AM15" s="229">
        <f t="shared" si="7"/>
        <v>-3</v>
      </c>
      <c r="AN15" s="230">
        <f t="shared" si="8"/>
        <v>0</v>
      </c>
      <c r="AO15" s="231" t="str">
        <f t="shared" si="9"/>
        <v>03/2026</v>
      </c>
      <c r="AP15" s="224" t="str">
        <f t="array" ref="AP15">IFERROR(XLOOKUP(L15,'2. DATA NL, VTBB'!C:C,'2. DATA NL, VTBB'!F:F),"")</f>
        <v>HH0290</v>
      </c>
      <c r="AQ15" s="226" t="s">
        <v>302</v>
      </c>
      <c r="AR15" s="232" t="str">
        <f t="array" ref="AR15">IFERROR(XLOOKUP(L15,'2. DATA NL, VTBB'!C:C,'2. DATA NL, VTBB'!G:G),"")</f>
        <v>GC - II - 704 - A Mạnh - Vua nhện (chai nhôm trắng)- 240ml - 60</v>
      </c>
      <c r="AS15" s="232" t="str">
        <f t="array" ref="AS15">IFERROR(XLOOKUP(L15,'2. DATA NL, VTBB'!C:C,'2. DATA NL, VTBB'!G:G),"")</f>
        <v>GC - II - 704 - A Mạnh - Vua nhện (chai nhôm trắng)- 240ml - 60</v>
      </c>
      <c r="AT15" s="111" t="s">
        <v>314</v>
      </c>
    </row>
    <row r="16" ht="32.25" customHeight="1">
      <c r="A16" s="109">
        <v>12.0</v>
      </c>
      <c r="B16" s="210">
        <v>46102.0</v>
      </c>
      <c r="C16" s="210">
        <f>B16+23</f>
        <v>46125</v>
      </c>
      <c r="D16" s="210">
        <f t="shared" si="1"/>
        <v>46122</v>
      </c>
      <c r="E16" s="211">
        <v>46126.0</v>
      </c>
      <c r="F16" s="212" t="s">
        <v>561</v>
      </c>
      <c r="G16" s="213" t="s">
        <v>562</v>
      </c>
      <c r="H16" s="212" t="s">
        <v>304</v>
      </c>
      <c r="I16" s="213" t="s">
        <v>305</v>
      </c>
      <c r="J16" s="214" t="s">
        <v>593</v>
      </c>
      <c r="K16" s="111" t="s">
        <v>301</v>
      </c>
      <c r="L16" s="215" t="s">
        <v>564</v>
      </c>
      <c r="M16" s="216" t="str">
        <f t="array" ref="M16">IFERROR(XLOOKUP(L16,'2. DATA NL, VTBB'!C:C,'2. DATA NL, VTBB'!D:D),"")</f>
        <v>Thùng NEWTEX chai HDPE 500ml x 40 chai (60.5x38.5x20.5cm) - Trắng viền cam</v>
      </c>
      <c r="N16" s="217"/>
      <c r="O16" s="217" t="str">
        <f t="array" ref="O16">IFERROR( XLOOKUP(L16,'2. DATA NL, VTBB'!C:C,'2. DATA NL, VTBB'!E:E),"")</f>
        <v>CHIM ƯNG 3.8EC</v>
      </c>
      <c r="P16" s="213" t="s">
        <v>565</v>
      </c>
      <c r="Q16" s="218"/>
      <c r="R16" s="219" t="s">
        <v>566</v>
      </c>
      <c r="S16" s="219" t="s">
        <v>567</v>
      </c>
      <c r="T16" s="113">
        <f t="shared" si="2"/>
        <v>3</v>
      </c>
      <c r="U16" s="219" t="s">
        <v>568</v>
      </c>
      <c r="V16" s="220">
        <v>200.0</v>
      </c>
      <c r="W16" s="213" t="s">
        <v>303</v>
      </c>
      <c r="X16" s="220">
        <v>300.0</v>
      </c>
      <c r="Y16" s="221">
        <v>315.0</v>
      </c>
      <c r="Z16" s="222">
        <v>24400.0</v>
      </c>
      <c r="AA16" s="223">
        <v>0.08</v>
      </c>
      <c r="AB16" s="222">
        <f t="shared" si="3"/>
        <v>7905600</v>
      </c>
      <c r="AC16" s="224"/>
      <c r="AD16" s="210">
        <v>46102.0</v>
      </c>
      <c r="AE16" s="225">
        <v>854.0</v>
      </c>
      <c r="AF16" s="226">
        <v>1.0</v>
      </c>
      <c r="AG16" s="235" t="s">
        <v>587</v>
      </c>
      <c r="AH16" s="227">
        <f>IFERROR(__xludf.DUMMYFUNCTION("IFERROR(INDEX( SORT(FILTER(
        {'1. DATA CHUNG'!$J$4:$J$105 , '1. DATA CHUNG'!$L$4:$L$105}, (TRIM('1. DATA CHUNG'!$I$4:$I$105)=TRIM(K16)) * IF(COUNTIFS('1. DATA CHUNG'!$I$4:$I$105,K16,'1. DATA CHUNG'!$M$4:$M$105,Q16), '1. DATA CHUNG'!$M$4:$M$105=Q16,"&amp;" 1) * ('1. DATA CHUNG'!$L$4:$L$105&lt;=TODAY()) ),   2, 0),  1, 1), 
  IFERROR( INDEX(FILTER('1. DATA CHUNG'!$J$4:$J$105, (TRIM('1. DATA CHUNG'!$I$4:$I$105)=TRIM(K16)) * IF(COUNTIFS('1. DATA CHUNG'!$I$4:$I$105,K16,'1. DATA CHUNG'!$M$4:$M$105,Q16), '1. DATA C"&amp;"HUNG'!$M$4:$M$105=Q16, 1) * ('1. DATA CHUNG'!$L$4:$L$105="""")), 1), ""Không tìm thấy"" ))"),18.0)</f>
        <v>18</v>
      </c>
      <c r="AI16" s="228">
        <f t="shared" si="4"/>
        <v>46120</v>
      </c>
      <c r="AJ16" s="114">
        <v>35000.0</v>
      </c>
      <c r="AK16" s="229">
        <f t="shared" si="5"/>
        <v>105000</v>
      </c>
      <c r="AL16" s="229">
        <f t="shared" si="6"/>
        <v>-4</v>
      </c>
      <c r="AM16" s="229">
        <f t="shared" si="7"/>
        <v>-6</v>
      </c>
      <c r="AN16" s="230">
        <f t="shared" si="8"/>
        <v>-5</v>
      </c>
      <c r="AO16" s="231" t="str">
        <f t="shared" si="9"/>
        <v>03/2026</v>
      </c>
      <c r="AP16" s="224" t="str">
        <f t="array" ref="AP16">IFERROR(XLOOKUP(L16,'2. DATA NL, VTBB'!C:C,'2. DATA NL, VTBB'!F:F),"")</f>
        <v>HH0239</v>
      </c>
      <c r="AQ16" s="226" t="s">
        <v>302</v>
      </c>
      <c r="AR16" s="232" t="str">
        <f t="array" ref="AR16">IFERROR(XLOOKUP(L16,'2. DATA NL, VTBB'!C:C,'2. DATA NL, VTBB'!G:G),"")</f>
        <v>GC - II - 653 - Huy Phát - A-CARI (chai nhôm đỏ) - 240ml - 40</v>
      </c>
      <c r="AS16" s="232" t="str">
        <f t="array" ref="AS16">IFERROR(XLOOKUP(L16,'2. DATA NL, VTBB'!C:C,'2. DATA NL, VTBB'!G:G),"")</f>
        <v>GC - II - 653 - Huy Phát - A-CARI (chai nhôm đỏ) - 240ml - 40</v>
      </c>
      <c r="AT16" s="111" t="s">
        <v>314</v>
      </c>
    </row>
    <row r="17" ht="32.25" customHeight="1">
      <c r="A17" s="109">
        <v>13.0</v>
      </c>
      <c r="B17" s="210">
        <v>46104.0</v>
      </c>
      <c r="C17" s="210">
        <f t="shared" ref="C17:C23" si="13">B17+18</f>
        <v>46122</v>
      </c>
      <c r="D17" s="210">
        <f t="shared" si="1"/>
        <v>46124</v>
      </c>
      <c r="E17" s="211">
        <v>46123.0</v>
      </c>
      <c r="F17" s="212" t="s">
        <v>561</v>
      </c>
      <c r="G17" s="213" t="s">
        <v>562</v>
      </c>
      <c r="H17" s="212" t="s">
        <v>304</v>
      </c>
      <c r="I17" s="213" t="s">
        <v>305</v>
      </c>
      <c r="J17" s="113" t="s">
        <v>594</v>
      </c>
      <c r="K17" s="111" t="s">
        <v>301</v>
      </c>
      <c r="L17" s="215" t="s">
        <v>595</v>
      </c>
      <c r="M17" s="216" t="str">
        <f t="array" ref="M17">IFERROR(XLOOKUP(L17,'2. DATA NL, VTBB'!C:C,'2. DATA NL, VTBB'!D:D),"")</f>
        <v>Thùng dùng chung ABA chai tròn 1 lít x 20 chai (20 gói/ thùng) - (45.5x35.5x27cm) - Trắng</v>
      </c>
      <c r="N17" s="217"/>
      <c r="O17" s="217" t="str">
        <f t="array" ref="O17">IFERROR( XLOOKUP(L17,'2. DATA NL, VTBB'!C:C,'2. DATA NL, VTBB'!E:E),"")</f>
        <v>Vi lượng AV4-BO633</v>
      </c>
      <c r="P17" s="213" t="s">
        <v>565</v>
      </c>
      <c r="Q17" s="218"/>
      <c r="R17" s="219" t="s">
        <v>566</v>
      </c>
      <c r="S17" s="219" t="s">
        <v>567</v>
      </c>
      <c r="T17" s="113">
        <f t="shared" si="2"/>
        <v>5</v>
      </c>
      <c r="U17" s="219" t="s">
        <v>568</v>
      </c>
      <c r="V17" s="220">
        <v>200.0</v>
      </c>
      <c r="W17" s="213" t="s">
        <v>303</v>
      </c>
      <c r="X17" s="220">
        <v>500.0</v>
      </c>
      <c r="Y17" s="221">
        <v>514.0</v>
      </c>
      <c r="Z17" s="222">
        <v>19750.0</v>
      </c>
      <c r="AA17" s="223">
        <v>0.08</v>
      </c>
      <c r="AB17" s="222">
        <f t="shared" si="3"/>
        <v>10665000</v>
      </c>
      <c r="AC17" s="224"/>
      <c r="AD17" s="210">
        <v>46104.0</v>
      </c>
      <c r="AE17" s="225">
        <v>828.0</v>
      </c>
      <c r="AF17" s="226">
        <v>1.0</v>
      </c>
      <c r="AG17" s="224"/>
      <c r="AH17" s="227">
        <f>IFERROR(__xludf.DUMMYFUNCTION("IFERROR(INDEX( SORT(FILTER(
        {'1. DATA CHUNG'!$J$4:$J$105 , '1. DATA CHUNG'!$L$4:$L$105}, (TRIM('1. DATA CHUNG'!$I$4:$I$105)=TRIM(K17)) * IF(COUNTIFS('1. DATA CHUNG'!$I$4:$I$105,K17,'1. DATA CHUNG'!$M$4:$M$105,Q17), '1. DATA CHUNG'!$M$4:$M$105=Q17,"&amp;" 1) * ('1. DATA CHUNG'!$L$4:$L$105&lt;=TODAY()) ),   2, 0),  1, 1), 
  IFERROR( INDEX(FILTER('1. DATA CHUNG'!$J$4:$J$105, (TRIM('1. DATA CHUNG'!$I$4:$I$105)=TRIM(K17)) * IF(COUNTIFS('1. DATA CHUNG'!$I$4:$I$105,K17,'1. DATA CHUNG'!$M$4:$M$105,Q17), '1. DATA C"&amp;"HUNG'!$M$4:$M$105=Q17, 1) * ('1. DATA CHUNG'!$L$4:$L$105="""")), 1), ""Không tìm thấy"" ))"),18.0)</f>
        <v>18</v>
      </c>
      <c r="AI17" s="228">
        <f t="shared" si="4"/>
        <v>46122</v>
      </c>
      <c r="AJ17" s="114">
        <v>35000.0</v>
      </c>
      <c r="AK17" s="229">
        <f t="shared" si="5"/>
        <v>175000</v>
      </c>
      <c r="AL17" s="229">
        <f t="shared" si="6"/>
        <v>1</v>
      </c>
      <c r="AM17" s="229">
        <f t="shared" si="7"/>
        <v>-1</v>
      </c>
      <c r="AN17" s="230">
        <f t="shared" si="8"/>
        <v>0</v>
      </c>
      <c r="AO17" s="231" t="str">
        <f t="shared" si="9"/>
        <v>03/2026</v>
      </c>
      <c r="AP17" s="224" t="str">
        <f t="array" ref="AP17">IFERROR(XLOOKUP(L17,'2. DATA NL, VTBB'!C:C,'2. DATA NL, VTBB'!F:F),"")</f>
        <v>HH0078</v>
      </c>
      <c r="AQ17" s="226" t="s">
        <v>302</v>
      </c>
      <c r="AR17" s="232" t="str">
        <f t="array" ref="AR17">IFERROR(XLOOKUP(L17,'2. DATA NL, VTBB'!C:C,'2. DATA NL, VTBB'!G:G),"")</f>
        <v>GC - II - 434 - Ariplant - Siêu ra hoa sầu riêng (mới) - 250 gr- 100</v>
      </c>
      <c r="AS17" s="232" t="str">
        <f t="array" ref="AS17">IFERROR(XLOOKUP(L17,'2. DATA NL, VTBB'!C:C,'2. DATA NL, VTBB'!G:G),"")</f>
        <v>GC - II - 434 - Ariplant - Siêu ra hoa sầu riêng (mới) - 250 gr- 100</v>
      </c>
      <c r="AT17" s="111" t="s">
        <v>314</v>
      </c>
    </row>
    <row r="18" ht="32.25" customHeight="1">
      <c r="A18" s="109">
        <v>14.0</v>
      </c>
      <c r="B18" s="210">
        <v>46104.0</v>
      </c>
      <c r="C18" s="210">
        <f t="shared" si="13"/>
        <v>46122</v>
      </c>
      <c r="D18" s="210">
        <f t="shared" si="1"/>
        <v>46124</v>
      </c>
      <c r="E18" s="211">
        <v>46123.0</v>
      </c>
      <c r="F18" s="212" t="s">
        <v>561</v>
      </c>
      <c r="G18" s="213" t="s">
        <v>562</v>
      </c>
      <c r="H18" s="212" t="s">
        <v>304</v>
      </c>
      <c r="I18" s="213" t="s">
        <v>305</v>
      </c>
      <c r="J18" s="214" t="s">
        <v>594</v>
      </c>
      <c r="K18" s="111" t="s">
        <v>301</v>
      </c>
      <c r="L18" s="215" t="s">
        <v>596</v>
      </c>
      <c r="M18" s="216" t="str">
        <f t="array" ref="M18">IFERROR(XLOOKUP(L18,'2. DATA NL, VTBB'!C:C,'2. DATA NL, VTBB'!D:D),"")</f>
        <v>Thùng chung Chai HDPE 500ml x 40 chai  (64.5x40.5x19cm) - Nâu trơn</v>
      </c>
      <c r="N18" s="217"/>
      <c r="O18" s="217" t="str">
        <f t="array" ref="O18">IFERROR( XLOOKUP(L18,'2. DATA NL, VTBB'!C:C,'2. DATA NL, VTBB'!E:E),"")</f>
        <v>Centertaner 500WP</v>
      </c>
      <c r="P18" s="213" t="s">
        <v>565</v>
      </c>
      <c r="Q18" s="218"/>
      <c r="R18" s="219" t="s">
        <v>566</v>
      </c>
      <c r="S18" s="219" t="s">
        <v>567</v>
      </c>
      <c r="T18" s="113">
        <f t="shared" si="2"/>
        <v>3</v>
      </c>
      <c r="U18" s="219" t="s">
        <v>568</v>
      </c>
      <c r="V18" s="220">
        <v>300.0</v>
      </c>
      <c r="W18" s="213" t="s">
        <v>303</v>
      </c>
      <c r="X18" s="220">
        <v>300.0</v>
      </c>
      <c r="Y18" s="221">
        <v>320.0</v>
      </c>
      <c r="Z18" s="222">
        <v>21500.0</v>
      </c>
      <c r="AA18" s="223">
        <v>0.08</v>
      </c>
      <c r="AB18" s="222">
        <f t="shared" si="3"/>
        <v>6966000</v>
      </c>
      <c r="AC18" s="224"/>
      <c r="AD18" s="210">
        <v>46104.0</v>
      </c>
      <c r="AE18" s="225">
        <v>830.0</v>
      </c>
      <c r="AF18" s="226">
        <v>1.0</v>
      </c>
      <c r="AG18" s="224"/>
      <c r="AH18" s="227">
        <f>IFERROR(__xludf.DUMMYFUNCTION("IFERROR(INDEX( SORT(FILTER(
        {'1. DATA CHUNG'!$J$4:$J$105 , '1. DATA CHUNG'!$L$4:$L$105}, (TRIM('1. DATA CHUNG'!$I$4:$I$105)=TRIM(K18)) * IF(COUNTIFS('1. DATA CHUNG'!$I$4:$I$105,K18,'1. DATA CHUNG'!$M$4:$M$105,Q18), '1. DATA CHUNG'!$M$4:$M$105=Q18,"&amp;" 1) * ('1. DATA CHUNG'!$L$4:$L$105&lt;=TODAY()) ),   2, 0),  1, 1), 
  IFERROR( INDEX(FILTER('1. DATA CHUNG'!$J$4:$J$105, (TRIM('1. DATA CHUNG'!$I$4:$I$105)=TRIM(K18)) * IF(COUNTIFS('1. DATA CHUNG'!$I$4:$I$105,K18,'1. DATA CHUNG'!$M$4:$M$105,Q18), '1. DATA C"&amp;"HUNG'!$M$4:$M$105=Q18, 1) * ('1. DATA CHUNG'!$L$4:$L$105="""")), 1), ""Không tìm thấy"" ))"),18.0)</f>
        <v>18</v>
      </c>
      <c r="AI18" s="228">
        <f t="shared" si="4"/>
        <v>46122</v>
      </c>
      <c r="AJ18" s="114">
        <v>35000.0</v>
      </c>
      <c r="AK18" s="229">
        <f t="shared" si="5"/>
        <v>105000</v>
      </c>
      <c r="AL18" s="229">
        <f t="shared" si="6"/>
        <v>1</v>
      </c>
      <c r="AM18" s="229">
        <f t="shared" si="7"/>
        <v>-1</v>
      </c>
      <c r="AN18" s="230">
        <f t="shared" si="8"/>
        <v>0</v>
      </c>
      <c r="AO18" s="231" t="str">
        <f t="shared" si="9"/>
        <v>03/2026</v>
      </c>
      <c r="AP18" s="224" t="str">
        <f t="array" ref="AP18">IFERROR(XLOOKUP(L18,'2. DATA NL, VTBB'!C:C,'2. DATA NL, VTBB'!F:F),"")</f>
        <v>HH0274</v>
      </c>
      <c r="AQ18" s="226" t="s">
        <v>302</v>
      </c>
      <c r="AR18" s="232" t="str">
        <f t="array" ref="AR18">IFERROR(XLOOKUP(L18,'2. DATA NL, VTBB'!C:C,'2. DATA NL, VTBB'!G:G),"")</f>
        <v>IDA Global - I - 690 - Centertaner 500 WP (túi nhôm) - 12 gr - 400</v>
      </c>
      <c r="AS18" s="232" t="str">
        <f t="array" ref="AS18">IFERROR(XLOOKUP(L18,'2. DATA NL, VTBB'!C:C,'2. DATA NL, VTBB'!G:G),"")</f>
        <v>IDA Global - I - 690 - Centertaner 500 WP (túi nhôm) - 12 gr - 400</v>
      </c>
      <c r="AT18" s="111" t="s">
        <v>314</v>
      </c>
    </row>
    <row r="19" ht="32.25" customHeight="1">
      <c r="A19" s="109">
        <v>15.0</v>
      </c>
      <c r="B19" s="210">
        <v>46105.0</v>
      </c>
      <c r="C19" s="210">
        <f t="shared" si="13"/>
        <v>46123</v>
      </c>
      <c r="D19" s="210">
        <f t="shared" si="1"/>
        <v>46125</v>
      </c>
      <c r="E19" s="211">
        <v>46123.0</v>
      </c>
      <c r="F19" s="212" t="s">
        <v>561</v>
      </c>
      <c r="G19" s="213" t="s">
        <v>562</v>
      </c>
      <c r="H19" s="212" t="s">
        <v>304</v>
      </c>
      <c r="I19" s="213" t="s">
        <v>305</v>
      </c>
      <c r="J19" s="214" t="s">
        <v>597</v>
      </c>
      <c r="K19" s="213" t="s">
        <v>301</v>
      </c>
      <c r="L19" s="215" t="s">
        <v>598</v>
      </c>
      <c r="M19" s="216" t="str">
        <f t="array" ref="M19">IFERROR(XLOOKUP(L19,'2. DATA NL, VTBB'!C:C,'2. DATA NL, VTBB'!D:D),"")</f>
        <v>Thùng Newtex chai 100ml x 60 chai (36.5x30.5x22.5cm) - Trắng viền cam</v>
      </c>
      <c r="N19" s="217"/>
      <c r="O19" s="217" t="str">
        <f t="array" ref="O19">IFERROR( XLOOKUP(L19,'2. DATA NL, VTBB'!C:C,'2. DATA NL, VTBB'!E:E),"")</f>
        <v>Chitin 3.6EC</v>
      </c>
      <c r="P19" s="213" t="s">
        <v>565</v>
      </c>
      <c r="Q19" s="218"/>
      <c r="R19" s="111" t="s">
        <v>599</v>
      </c>
      <c r="S19" s="219" t="s">
        <v>574</v>
      </c>
      <c r="T19" s="113">
        <f t="shared" si="2"/>
        <v>3</v>
      </c>
      <c r="U19" s="219" t="s">
        <v>568</v>
      </c>
      <c r="V19" s="220">
        <v>500.0</v>
      </c>
      <c r="W19" s="213" t="s">
        <v>303</v>
      </c>
      <c r="X19" s="220">
        <v>300.0</v>
      </c>
      <c r="Y19" s="221">
        <v>329.0</v>
      </c>
      <c r="Z19" s="222">
        <v>14800.0</v>
      </c>
      <c r="AA19" s="223">
        <v>0.08</v>
      </c>
      <c r="AB19" s="222">
        <f t="shared" si="3"/>
        <v>4795200</v>
      </c>
      <c r="AC19" s="224"/>
      <c r="AD19" s="210">
        <v>46105.0</v>
      </c>
      <c r="AE19" s="225">
        <v>827.0</v>
      </c>
      <c r="AF19" s="226">
        <v>1.0</v>
      </c>
      <c r="AG19" s="224"/>
      <c r="AH19" s="227">
        <f>IFERROR(__xludf.DUMMYFUNCTION("IFERROR(INDEX( SORT(FILTER(
        {'1. DATA CHUNG'!$J$4:$J$105 , '1. DATA CHUNG'!$L$4:$L$105}, (TRIM('1. DATA CHUNG'!$I$4:$I$105)=TRIM(K19)) * IF(COUNTIFS('1. DATA CHUNG'!$I$4:$I$105,K19,'1. DATA CHUNG'!$M$4:$M$105,Q19), '1. DATA CHUNG'!$M$4:$M$105=Q19,"&amp;" 1) * ('1. DATA CHUNG'!$L$4:$L$105&lt;=TODAY()) ),   2, 0),  1, 1), 
  IFERROR( INDEX(FILTER('1. DATA CHUNG'!$J$4:$J$105, (TRIM('1. DATA CHUNG'!$I$4:$I$105)=TRIM(K19)) * IF(COUNTIFS('1. DATA CHUNG'!$I$4:$I$105,K19,'1. DATA CHUNG'!$M$4:$M$105,Q19), '1. DATA C"&amp;"HUNG'!$M$4:$M$105=Q19, 1) * ('1. DATA CHUNG'!$L$4:$L$105="""")), 1), ""Không tìm thấy"" ))"),18.0)</f>
        <v>18</v>
      </c>
      <c r="AI19" s="228">
        <f t="shared" si="4"/>
        <v>46123</v>
      </c>
      <c r="AJ19" s="114">
        <v>35000.0</v>
      </c>
      <c r="AK19" s="229">
        <f t="shared" si="5"/>
        <v>105000</v>
      </c>
      <c r="AL19" s="229">
        <f t="shared" si="6"/>
        <v>2</v>
      </c>
      <c r="AM19" s="229">
        <f t="shared" si="7"/>
        <v>0</v>
      </c>
      <c r="AN19" s="230">
        <f t="shared" si="8"/>
        <v>0</v>
      </c>
      <c r="AO19" s="231" t="str">
        <f t="shared" si="9"/>
        <v>03/2026</v>
      </c>
      <c r="AP19" s="224" t="str">
        <f t="array" ref="AP19">IFERROR(XLOOKUP(L19,'2. DATA NL, VTBB'!C:C,'2. DATA NL, VTBB'!F:F),"")</f>
        <v>HH0291</v>
      </c>
      <c r="AQ19" s="226" t="s">
        <v>302</v>
      </c>
      <c r="AR19" s="232" t="str">
        <f t="array" ref="AR19">IFERROR(XLOOKUP(L19,'2. DATA NL, VTBB'!C:C,'2. DATA NL, VTBB'!G:G),"")</f>
        <v>GC - II - 704 - A Mạnh - Vua nhện (chai nhôm trắng)- 240ml - 60</v>
      </c>
      <c r="AS19" s="232" t="str">
        <f t="array" ref="AS19">IFERROR(XLOOKUP(L19,'2. DATA NL, VTBB'!C:C,'2. DATA NL, VTBB'!G:G),"")</f>
        <v>GC - II - 704 - A Mạnh - Vua nhện (chai nhôm trắng)- 240ml - 60</v>
      </c>
      <c r="AT19" s="219" t="s">
        <v>314</v>
      </c>
    </row>
    <row r="20" ht="32.25" customHeight="1">
      <c r="A20" s="109">
        <v>16.0</v>
      </c>
      <c r="B20" s="210">
        <v>46107.0</v>
      </c>
      <c r="C20" s="210">
        <f t="shared" si="13"/>
        <v>46125</v>
      </c>
      <c r="D20" s="210">
        <f t="shared" si="1"/>
        <v>46127</v>
      </c>
      <c r="E20" s="211">
        <v>46123.0</v>
      </c>
      <c r="F20" s="212" t="s">
        <v>561</v>
      </c>
      <c r="G20" s="111" t="s">
        <v>580</v>
      </c>
      <c r="H20" s="212" t="s">
        <v>304</v>
      </c>
      <c r="I20" s="213" t="s">
        <v>305</v>
      </c>
      <c r="J20" s="214" t="s">
        <v>600</v>
      </c>
      <c r="K20" s="213" t="s">
        <v>301</v>
      </c>
      <c r="L20" s="215" t="s">
        <v>601</v>
      </c>
      <c r="M20" s="216" t="str">
        <f t="array" ref="M20">IFERROR(XLOOKUP(L20,'2. DATA NL, VTBB'!C:C,'2. DATA NL, VTBB'!D:D),"")</f>
        <v>Thùng IDA Chai Nhôm Tròn 240ml x 60 chai - 56x34x18.5cm - Trắng viền xanh lá</v>
      </c>
      <c r="N20" s="217"/>
      <c r="O20" s="217" t="str">
        <f t="array" ref="O20">IFERROR( XLOOKUP(L20,'2. DATA NL, VTBB'!C:C,'2. DATA NL, VTBB'!E:E),"")</f>
        <v>CHIM ƯNG 3.8EC</v>
      </c>
      <c r="P20" s="213" t="s">
        <v>565</v>
      </c>
      <c r="Q20" s="218"/>
      <c r="R20" s="111" t="s">
        <v>573</v>
      </c>
      <c r="S20" s="219" t="s">
        <v>574</v>
      </c>
      <c r="T20" s="113">
        <f t="shared" si="2"/>
        <v>4</v>
      </c>
      <c r="U20" s="219" t="s">
        <v>568</v>
      </c>
      <c r="V20" s="220">
        <v>300.0</v>
      </c>
      <c r="W20" s="213" t="s">
        <v>303</v>
      </c>
      <c r="X20" s="220">
        <v>400.0</v>
      </c>
      <c r="Y20" s="221">
        <v>405.0</v>
      </c>
      <c r="Z20" s="222">
        <v>19500.0</v>
      </c>
      <c r="AA20" s="223">
        <v>0.08</v>
      </c>
      <c r="AB20" s="222">
        <f t="shared" si="3"/>
        <v>8424000</v>
      </c>
      <c r="AC20" s="224"/>
      <c r="AD20" s="210">
        <v>46107.0</v>
      </c>
      <c r="AE20" s="225">
        <v>826.0</v>
      </c>
      <c r="AF20" s="226">
        <v>1.0</v>
      </c>
      <c r="AG20" s="224"/>
      <c r="AH20" s="227">
        <f>IFERROR(__xludf.DUMMYFUNCTION("IFERROR(INDEX( SORT(FILTER(
        {'1. DATA CHUNG'!$J$4:$J$105 , '1. DATA CHUNG'!$L$4:$L$105}, (TRIM('1. DATA CHUNG'!$I$4:$I$105)=TRIM(K20)) * IF(COUNTIFS('1. DATA CHUNG'!$I$4:$I$105,K20,'1. DATA CHUNG'!$M$4:$M$105,Q20), '1. DATA CHUNG'!$M$4:$M$105=Q20,"&amp;" 1) * ('1. DATA CHUNG'!$L$4:$L$105&lt;=TODAY()) ),   2, 0),  1, 1), 
  IFERROR( INDEX(FILTER('1. DATA CHUNG'!$J$4:$J$105, (TRIM('1. DATA CHUNG'!$I$4:$I$105)=TRIM(K20)) * IF(COUNTIFS('1. DATA CHUNG'!$I$4:$I$105,K20,'1. DATA CHUNG'!$M$4:$M$105,Q20), '1. DATA C"&amp;"HUNG'!$M$4:$M$105=Q20, 1) * ('1. DATA CHUNG'!$L$4:$L$105="""")), 1), ""Không tìm thấy"" ))"),18.0)</f>
        <v>18</v>
      </c>
      <c r="AI20" s="228">
        <f t="shared" si="4"/>
        <v>46125</v>
      </c>
      <c r="AJ20" s="114">
        <v>35000.0</v>
      </c>
      <c r="AK20" s="229">
        <f t="shared" si="5"/>
        <v>140000</v>
      </c>
      <c r="AL20" s="229">
        <f t="shared" si="6"/>
        <v>4</v>
      </c>
      <c r="AM20" s="229">
        <f t="shared" si="7"/>
        <v>2</v>
      </c>
      <c r="AN20" s="230">
        <f t="shared" si="8"/>
        <v>0</v>
      </c>
      <c r="AO20" s="231" t="str">
        <f t="shared" si="9"/>
        <v>03/2026</v>
      </c>
      <c r="AP20" s="224" t="str">
        <f t="array" ref="AP20">IFERROR(XLOOKUP(L20,'2. DATA NL, VTBB'!C:C,'2. DATA NL, VTBB'!F:F),"")</f>
        <v>HH0293</v>
      </c>
      <c r="AQ20" s="226" t="s">
        <v>302</v>
      </c>
      <c r="AR20" s="232" t="str">
        <f t="array" ref="AR20">IFERROR(XLOOKUP(L20,'2. DATA NL, VTBB'!C:C,'2. DATA NL, VTBB'!G:G),"")</f>
        <v>IDA Global - I - 706 - X-Spider (chai Pape) (BTP Đỏ) - 240ml - 40 ([btp],t,c)</v>
      </c>
      <c r="AS20" s="232" t="str">
        <f t="array" ref="AS20">IFERROR(XLOOKUP(L20,'2. DATA NL, VTBB'!C:C,'2. DATA NL, VTBB'!G:G),"")</f>
        <v>IDA Global - I - 706 - X-Spider (chai Pape) (BTP Đỏ) - 240ml - 40 ([btp],t,c)</v>
      </c>
      <c r="AT20" s="219" t="s">
        <v>314</v>
      </c>
    </row>
    <row r="21" ht="32.25" customHeight="1">
      <c r="A21" s="109">
        <v>17.0</v>
      </c>
      <c r="B21" s="210">
        <v>46107.0</v>
      </c>
      <c r="C21" s="210">
        <f t="shared" si="13"/>
        <v>46125</v>
      </c>
      <c r="D21" s="210">
        <f t="shared" si="1"/>
        <v>46127</v>
      </c>
      <c r="E21" s="211">
        <v>46125.0</v>
      </c>
      <c r="F21" s="212" t="s">
        <v>561</v>
      </c>
      <c r="G21" s="111" t="s">
        <v>580</v>
      </c>
      <c r="H21" s="212" t="s">
        <v>304</v>
      </c>
      <c r="I21" s="213" t="s">
        <v>305</v>
      </c>
      <c r="J21" s="214" t="s">
        <v>602</v>
      </c>
      <c r="K21" s="213" t="s">
        <v>301</v>
      </c>
      <c r="L21" s="215" t="s">
        <v>572</v>
      </c>
      <c r="M21" s="216" t="str">
        <f t="array" ref="M21">IFERROR(XLOOKUP(L21,'2. DATA NL, VTBB'!C:C,'2. DATA NL, VTBB'!D:D),"")</f>
        <v>Thùng IDA chai PET tròn cổ 43 450ml x 40 chai (61.5x38.5x19cm) - Trắng xanh lá</v>
      </c>
      <c r="N21" s="217"/>
      <c r="O21" s="217" t="str">
        <f t="array" ref="O21">IFERROR( XLOOKUP(L21,'2. DATA NL, VTBB'!C:C,'2. DATA NL, VTBB'!E:E),"")</f>
        <v>Vi lượng Quantity New</v>
      </c>
      <c r="P21" s="213" t="s">
        <v>565</v>
      </c>
      <c r="Q21" s="218"/>
      <c r="R21" s="111" t="s">
        <v>573</v>
      </c>
      <c r="S21" s="219" t="s">
        <v>574</v>
      </c>
      <c r="T21" s="113">
        <f t="shared" si="2"/>
        <v>3</v>
      </c>
      <c r="U21" s="219" t="s">
        <v>568</v>
      </c>
      <c r="V21" s="220">
        <v>300.0</v>
      </c>
      <c r="W21" s="213" t="s">
        <v>303</v>
      </c>
      <c r="X21" s="220">
        <v>300.0</v>
      </c>
      <c r="Y21" s="237">
        <v>300.0</v>
      </c>
      <c r="Z21" s="222">
        <v>23400.0</v>
      </c>
      <c r="AA21" s="223">
        <v>0.08</v>
      </c>
      <c r="AB21" s="222">
        <f t="shared" si="3"/>
        <v>7581600</v>
      </c>
      <c r="AC21" s="224"/>
      <c r="AD21" s="210">
        <v>46107.0</v>
      </c>
      <c r="AE21" s="225">
        <v>841.0</v>
      </c>
      <c r="AF21" s="226">
        <v>1.0</v>
      </c>
      <c r="AG21" s="224"/>
      <c r="AH21" s="227">
        <f>IFERROR(__xludf.DUMMYFUNCTION("IFERROR(INDEX( SORT(FILTER(
        {'1. DATA CHUNG'!$J$4:$J$105 , '1. DATA CHUNG'!$L$4:$L$105}, (TRIM('1. DATA CHUNG'!$I$4:$I$105)=TRIM(K21)) * IF(COUNTIFS('1. DATA CHUNG'!$I$4:$I$105,K21,'1. DATA CHUNG'!$M$4:$M$105,Q21), '1. DATA CHUNG'!$M$4:$M$105=Q21,"&amp;" 1) * ('1. DATA CHUNG'!$L$4:$L$105&lt;=TODAY()) ),   2, 0),  1, 1), 
  IFERROR( INDEX(FILTER('1. DATA CHUNG'!$J$4:$J$105, (TRIM('1. DATA CHUNG'!$I$4:$I$105)=TRIM(K21)) * IF(COUNTIFS('1. DATA CHUNG'!$I$4:$I$105,K21,'1. DATA CHUNG'!$M$4:$M$105,Q21), '1. DATA C"&amp;"HUNG'!$M$4:$M$105=Q21, 1) * ('1. DATA CHUNG'!$L$4:$L$105="""")), 1), ""Không tìm thấy"" ))"),18.0)</f>
        <v>18</v>
      </c>
      <c r="AI21" s="228">
        <f t="shared" si="4"/>
        <v>46125</v>
      </c>
      <c r="AJ21" s="114">
        <v>35000.0</v>
      </c>
      <c r="AK21" s="229">
        <f t="shared" si="5"/>
        <v>105000</v>
      </c>
      <c r="AL21" s="229">
        <f t="shared" si="6"/>
        <v>2</v>
      </c>
      <c r="AM21" s="229">
        <f t="shared" si="7"/>
        <v>0</v>
      </c>
      <c r="AN21" s="230">
        <f t="shared" si="8"/>
        <v>0</v>
      </c>
      <c r="AO21" s="231" t="str">
        <f t="shared" si="9"/>
        <v>03/2026</v>
      </c>
      <c r="AP21" s="224" t="str">
        <f t="array" ref="AP21">IFERROR(XLOOKUP(L21,'2. DATA NL, VTBB'!C:C,'2. DATA NL, VTBB'!F:F),"")</f>
        <v>HH0277</v>
      </c>
      <c r="AQ21" s="226" t="s">
        <v>302</v>
      </c>
      <c r="AR21" s="232" t="str">
        <f t="array" ref="AR21">IFERROR(XLOOKUP(L21,'2. DATA NL, VTBB'!C:C,'2. DATA NL, VTBB'!G:G),"")</f>
        <v>GC - II - 693 - A Thời GNH - Siêu bung đọt mai (chai HD) - 1L - 20</v>
      </c>
      <c r="AS21" s="232" t="str">
        <f t="array" ref="AS21">IFERROR(XLOOKUP(L21,'2. DATA NL, VTBB'!C:C,'2. DATA NL, VTBB'!G:G),"")</f>
        <v>GC - II - 693 - A Thời GNH - Siêu bung đọt mai (chai HD) - 1L - 20</v>
      </c>
      <c r="AT21" s="219" t="s">
        <v>314</v>
      </c>
    </row>
    <row r="22" ht="32.25" customHeight="1">
      <c r="A22" s="109">
        <v>18.0</v>
      </c>
      <c r="B22" s="238">
        <v>46112.0</v>
      </c>
      <c r="C22" s="210">
        <f t="shared" si="13"/>
        <v>46130</v>
      </c>
      <c r="D22" s="210">
        <f t="shared" si="1"/>
        <v>46132</v>
      </c>
      <c r="E22" s="211">
        <v>46125.0</v>
      </c>
      <c r="F22" s="212" t="s">
        <v>561</v>
      </c>
      <c r="G22" s="219" t="s">
        <v>580</v>
      </c>
      <c r="H22" s="212" t="s">
        <v>304</v>
      </c>
      <c r="I22" s="213" t="s">
        <v>305</v>
      </c>
      <c r="J22" s="113" t="s">
        <v>603</v>
      </c>
      <c r="K22" s="213" t="s">
        <v>301</v>
      </c>
      <c r="L22" s="215" t="s">
        <v>572</v>
      </c>
      <c r="M22" s="216" t="str">
        <f t="array" ref="M22">IFERROR(XLOOKUP(L22,'2. DATA NL, VTBB'!C:C,'2. DATA NL, VTBB'!D:D),"")</f>
        <v>Thùng IDA chai PET tròn cổ 43 450ml x 40 chai (61.5x38.5x19cm) - Trắng xanh lá</v>
      </c>
      <c r="N22" s="239"/>
      <c r="O22" s="217"/>
      <c r="P22" s="213" t="s">
        <v>565</v>
      </c>
      <c r="Q22" s="113" t="b">
        <v>0</v>
      </c>
      <c r="R22" s="111" t="s">
        <v>573</v>
      </c>
      <c r="S22" s="219" t="s">
        <v>574</v>
      </c>
      <c r="T22" s="113">
        <f t="shared" si="2"/>
        <v>3</v>
      </c>
      <c r="U22" s="219" t="s">
        <v>568</v>
      </c>
      <c r="V22" s="220">
        <v>300.0</v>
      </c>
      <c r="W22" s="213" t="s">
        <v>303</v>
      </c>
      <c r="X22" s="234">
        <v>300.0</v>
      </c>
      <c r="Y22" s="240">
        <v>310.0</v>
      </c>
      <c r="Z22" s="222">
        <v>23400.0</v>
      </c>
      <c r="AA22" s="223">
        <v>0.08</v>
      </c>
      <c r="AB22" s="222">
        <f t="shared" si="3"/>
        <v>7581600</v>
      </c>
      <c r="AC22" s="122"/>
      <c r="AD22" s="210">
        <v>46107.0</v>
      </c>
      <c r="AE22" s="225">
        <v>841.0</v>
      </c>
      <c r="AF22" s="226">
        <v>1.0</v>
      </c>
      <c r="AG22" s="122"/>
      <c r="AH22" s="227">
        <f>IFERROR(__xludf.DUMMYFUNCTION("IFERROR(INDEX( SORT(FILTER(
        {'1. DATA CHUNG'!$J$4:$J$105 , '1. DATA CHUNG'!$L$4:$L$105}, (TRIM('1. DATA CHUNG'!$I$4:$I$105)=TRIM(K22)) * IF(COUNTIFS('1. DATA CHUNG'!$I$4:$I$105,K22,'1. DATA CHUNG'!$M$4:$M$105,Q22), '1. DATA CHUNG'!$M$4:$M$105=Q22,"&amp;" 1) * ('1. DATA CHUNG'!$L$4:$L$105&lt;=TODAY()) ),   2, 0),  1, 1), 
  IFERROR( INDEX(FILTER('1. DATA CHUNG'!$J$4:$J$105, (TRIM('1. DATA CHUNG'!$I$4:$I$105)=TRIM(K22)) * IF(COUNTIFS('1. DATA CHUNG'!$I$4:$I$105,K22,'1. DATA CHUNG'!$M$4:$M$105,Q22), '1. DATA C"&amp;"HUNG'!$M$4:$M$105=Q22, 1) * ('1. DATA CHUNG'!$L$4:$L$105="""")), 1), ""Không tìm thấy"" ))"),18.0)</f>
        <v>18</v>
      </c>
      <c r="AI22" s="228">
        <f t="shared" si="4"/>
        <v>46130</v>
      </c>
      <c r="AJ22" s="114">
        <v>35000.0</v>
      </c>
      <c r="AK22" s="229">
        <f t="shared" si="5"/>
        <v>105000</v>
      </c>
      <c r="AL22" s="229">
        <f t="shared" si="6"/>
        <v>7</v>
      </c>
      <c r="AM22" s="229">
        <f t="shared" si="7"/>
        <v>5</v>
      </c>
      <c r="AN22" s="230">
        <f t="shared" si="8"/>
        <v>0</v>
      </c>
      <c r="AO22" s="231" t="str">
        <f t="shared" si="9"/>
        <v>03/2026</v>
      </c>
      <c r="AP22" s="224" t="str">
        <f t="array" ref="AP22">IFERROR(XLOOKUP(L22,'2. DATA NL, VTBB'!C:C,'2. DATA NL, VTBB'!F:F),"")</f>
        <v>HH0277</v>
      </c>
      <c r="AQ22" s="226" t="s">
        <v>302</v>
      </c>
      <c r="AR22" s="241"/>
      <c r="AS22" s="241"/>
      <c r="AT22" s="219" t="s">
        <v>314</v>
      </c>
    </row>
    <row r="23" ht="32.25" customHeight="1">
      <c r="A23" s="109">
        <v>19.0</v>
      </c>
      <c r="B23" s="238">
        <v>46112.0</v>
      </c>
      <c r="C23" s="210">
        <f t="shared" si="13"/>
        <v>46130</v>
      </c>
      <c r="D23" s="210">
        <f t="shared" si="1"/>
        <v>46132</v>
      </c>
      <c r="E23" s="211">
        <v>46125.0</v>
      </c>
      <c r="F23" s="212" t="s">
        <v>561</v>
      </c>
      <c r="G23" s="219" t="s">
        <v>562</v>
      </c>
      <c r="H23" s="212" t="s">
        <v>304</v>
      </c>
      <c r="I23" s="213" t="s">
        <v>305</v>
      </c>
      <c r="J23" s="113" t="s">
        <v>604</v>
      </c>
      <c r="K23" s="213" t="s">
        <v>301</v>
      </c>
      <c r="L23" s="215" t="s">
        <v>572</v>
      </c>
      <c r="M23" s="216" t="str">
        <f t="array" ref="M23">IFERROR(XLOOKUP(L23,'2. DATA NL, VTBB'!C:C,'2. DATA NL, VTBB'!D:D),"")</f>
        <v>Thùng IDA chai PET tròn cổ 43 450ml x 40 chai (61.5x38.5x19cm) - Trắng xanh lá</v>
      </c>
      <c r="N23" s="239"/>
      <c r="O23" s="217"/>
      <c r="P23" s="213" t="s">
        <v>565</v>
      </c>
      <c r="Q23" s="113" t="b">
        <v>0</v>
      </c>
      <c r="R23" s="111" t="s">
        <v>573</v>
      </c>
      <c r="S23" s="219" t="s">
        <v>574</v>
      </c>
      <c r="T23" s="113">
        <f t="shared" si="2"/>
        <v>3</v>
      </c>
      <c r="U23" s="219" t="s">
        <v>568</v>
      </c>
      <c r="V23" s="220">
        <v>300.0</v>
      </c>
      <c r="W23" s="213" t="s">
        <v>303</v>
      </c>
      <c r="X23" s="234">
        <v>300.0</v>
      </c>
      <c r="Y23" s="240">
        <v>300.0</v>
      </c>
      <c r="Z23" s="222">
        <v>23400.0</v>
      </c>
      <c r="AA23" s="223">
        <v>0.08</v>
      </c>
      <c r="AB23" s="222">
        <f t="shared" si="3"/>
        <v>7581600</v>
      </c>
      <c r="AC23" s="122"/>
      <c r="AD23" s="210">
        <v>46107.0</v>
      </c>
      <c r="AE23" s="240">
        <v>842.0</v>
      </c>
      <c r="AF23" s="226">
        <v>1.0</v>
      </c>
      <c r="AG23" s="122"/>
      <c r="AH23" s="227">
        <f>IFERROR(__xludf.DUMMYFUNCTION("IFERROR(INDEX( SORT(FILTER(
        {'1. DATA CHUNG'!$J$4:$J$105 , '1. DATA CHUNG'!$L$4:$L$105}, (TRIM('1. DATA CHUNG'!$I$4:$I$105)=TRIM(K23)) * IF(COUNTIFS('1. DATA CHUNG'!$I$4:$I$105,K23,'1. DATA CHUNG'!$M$4:$M$105,Q23), '1. DATA CHUNG'!$M$4:$M$105=Q23,"&amp;" 1) * ('1. DATA CHUNG'!$L$4:$L$105&lt;=TODAY()) ),   2, 0),  1, 1), 
  IFERROR( INDEX(FILTER('1. DATA CHUNG'!$J$4:$J$105, (TRIM('1. DATA CHUNG'!$I$4:$I$105)=TRIM(K23)) * IF(COUNTIFS('1. DATA CHUNG'!$I$4:$I$105,K23,'1. DATA CHUNG'!$M$4:$M$105,Q23), '1. DATA C"&amp;"HUNG'!$M$4:$M$105=Q23, 1) * ('1. DATA CHUNG'!$L$4:$L$105="""")), 1), ""Không tìm thấy"" ))"),18.0)</f>
        <v>18</v>
      </c>
      <c r="AI23" s="228">
        <f t="shared" si="4"/>
        <v>46130</v>
      </c>
      <c r="AJ23" s="114">
        <v>35000.0</v>
      </c>
      <c r="AK23" s="229">
        <f t="shared" si="5"/>
        <v>105000</v>
      </c>
      <c r="AL23" s="229">
        <f t="shared" si="6"/>
        <v>7</v>
      </c>
      <c r="AM23" s="229">
        <f t="shared" si="7"/>
        <v>5</v>
      </c>
      <c r="AN23" s="230">
        <f t="shared" si="8"/>
        <v>0</v>
      </c>
      <c r="AO23" s="231" t="str">
        <f t="shared" si="9"/>
        <v>03/2026</v>
      </c>
      <c r="AP23" s="224" t="str">
        <f t="array" ref="AP23">IFERROR(XLOOKUP(L23,'2. DATA NL, VTBB'!C:C,'2. DATA NL, VTBB'!F:F),"")</f>
        <v>HH0277</v>
      </c>
      <c r="AQ23" s="226" t="s">
        <v>302</v>
      </c>
      <c r="AR23" s="241"/>
      <c r="AS23" s="241"/>
      <c r="AT23" s="219" t="s">
        <v>314</v>
      </c>
    </row>
    <row r="24" ht="32.25" customHeight="1">
      <c r="A24" s="109">
        <v>20.0</v>
      </c>
      <c r="B24" s="238">
        <v>46113.0</v>
      </c>
      <c r="C24" s="210">
        <f t="shared" ref="C24:C30" si="14">B24+20</f>
        <v>46133</v>
      </c>
      <c r="D24" s="210">
        <f t="shared" ref="D24:D76" si="15">B24+25</f>
        <v>46138</v>
      </c>
      <c r="E24" s="238">
        <v>46136.0</v>
      </c>
      <c r="F24" s="219" t="s">
        <v>561</v>
      </c>
      <c r="G24" s="219" t="s">
        <v>562</v>
      </c>
      <c r="H24" s="219" t="s">
        <v>304</v>
      </c>
      <c r="I24" s="219" t="s">
        <v>305</v>
      </c>
      <c r="J24" s="242" t="s">
        <v>605</v>
      </c>
      <c r="K24" s="212" t="s">
        <v>301</v>
      </c>
      <c r="L24" s="219" t="s">
        <v>606</v>
      </c>
      <c r="M24" s="243" t="str">
        <f t="array" ref="M24">IFERROR(XLOOKUP(L24,'2. DATA NL, VTBB'!C:C,'2. DATA NL, VTBB'!D:D),"")</f>
        <v>Thùng NHP 100 (300) gói - (47.5x41.5x28cm) - Trắng viền xanh dương đỏ</v>
      </c>
      <c r="N24" s="239"/>
      <c r="O24" s="217" t="str">
        <f t="array" ref="O24">IFERROR( XLOOKUP(L24,'2. DATA NL, VTBB'!C:C,'2. DATA NL, VTBB'!E:E),"")</f>
        <v>Chitin 3.6EC</v>
      </c>
      <c r="P24" s="219" t="s">
        <v>565</v>
      </c>
      <c r="Q24" s="113" t="b">
        <v>0</v>
      </c>
      <c r="R24" s="219" t="s">
        <v>584</v>
      </c>
      <c r="S24" s="219" t="s">
        <v>574</v>
      </c>
      <c r="T24" s="113">
        <f t="shared" si="2"/>
        <v>0.3</v>
      </c>
      <c r="U24" s="219" t="s">
        <v>568</v>
      </c>
      <c r="V24" s="234">
        <f t="shared" ref="V24:V76" si="16">X24</f>
        <v>30</v>
      </c>
      <c r="W24" s="213" t="s">
        <v>303</v>
      </c>
      <c r="X24" s="234">
        <v>30.0</v>
      </c>
      <c r="Y24" s="240">
        <v>33.0</v>
      </c>
      <c r="Z24" s="234">
        <v>24500.0</v>
      </c>
      <c r="AA24" s="244">
        <v>0.08</v>
      </c>
      <c r="AB24" s="222">
        <f t="shared" ref="AB24:AB76" si="17">(Z24*Y24)+AA24*(Z24*Y24)</f>
        <v>873180</v>
      </c>
      <c r="AC24" s="122"/>
      <c r="AD24" s="210">
        <v>46107.0</v>
      </c>
      <c r="AE24" s="240">
        <v>950.0</v>
      </c>
      <c r="AF24" s="226">
        <v>1.0</v>
      </c>
      <c r="AG24" s="122"/>
      <c r="AH24" s="222">
        <f>IFERROR(__xludf.DUMMYFUNCTION("IFERROR( INDEX( SORT(  FILTER(  {'1. DATA CHUNG'!$J$4:$J$105 , '1. DATA CHUNG'!$L$4:$L$105}, 
                (TRIM('1. DATA CHUNG'!$I$4:$I$105) = TRIM(K24)) * IF(SUMPRODUCT(('1. DATA CHUNG'!$I$4:$I$105=K24) * ('1. DATA CHUNG'!$M$4:$M$105=Q24)), '1. DATA "&amp;"CHUNG'!$M$4:$M$105=Q24, 1) * ('1. DATA CHUNG'!$L$4:$L$105 &lt;= TODAY()) ),    2, 0),  1, 1 ), 
    IFERROR( INDEX( FILTER( '1. DATA CHUNG'!$J$4:$J$105, 
                (TRIM('1. DATA CHUNG'!$I$4:$I$105) = TRIM(K24)) * IF(SUMPRODUCT(('1. DATA CHUNG'!$I$4:$I"&amp;"$105=K24) * ('1. DATA CHUNG'!$M$4:$M$105=Q24)), '1. DATA CHUNG'!$M$4:$M$105=Q24, 1) * ('1. DATA CHUNG'!$L$4:$L$105 = """") ),  1),  ""Không tìm thấy""))"),18.0)</f>
        <v>18</v>
      </c>
      <c r="AI24" s="245">
        <f t="shared" si="4"/>
        <v>46131</v>
      </c>
      <c r="AJ24" s="114">
        <v>35000.0</v>
      </c>
      <c r="AK24" s="222">
        <f t="shared" si="5"/>
        <v>10500</v>
      </c>
      <c r="AL24" s="229">
        <f t="shared" si="6"/>
        <v>2</v>
      </c>
      <c r="AM24" s="229">
        <f t="shared" si="7"/>
        <v>-5</v>
      </c>
      <c r="AN24" s="230">
        <f t="shared" si="8"/>
        <v>-2</v>
      </c>
      <c r="AO24" s="246" t="str">
        <f t="shared" si="9"/>
        <v>04/2026</v>
      </c>
      <c r="AP24" s="122" t="str">
        <f t="array" ref="AP24">IFERROR(XLOOKUP(L24,'2. DATA NL, VTBB'!C:C,'2. DATA NL, VTBB'!F:F),"")</f>
        <v>HH0292</v>
      </c>
      <c r="AQ24" s="226" t="s">
        <v>302</v>
      </c>
      <c r="AR24" s="241" t="str">
        <f t="array" ref="AR24">IFERROR(XLOOKUP(L24,'2. DATA NL, VTBB'!C:C,'2. DATA NL, VTBB'!G:G),"")</f>
        <v>IDA Global - I - 705 - ĐL Nguyễn Huy Phú -Nhện đỏ - Chai nhôm đỏ - 240ml - 60</v>
      </c>
      <c r="AS24" s="241" t="str">
        <f t="array" ref="AS24">IFERROR(XLOOKUP(L24,'2. DATA NL, VTBB'!C:C,'2. DATA NL, VTBB'!G:G),"")</f>
        <v>IDA Global - I - 705 - ĐL Nguyễn Huy Phú -Nhện đỏ - Chai nhôm đỏ - 240ml - 60</v>
      </c>
      <c r="AT24" s="219" t="s">
        <v>314</v>
      </c>
    </row>
    <row r="25" ht="32.25" customHeight="1">
      <c r="A25" s="109">
        <v>21.0</v>
      </c>
      <c r="B25" s="238">
        <v>46113.0</v>
      </c>
      <c r="C25" s="210">
        <f t="shared" si="14"/>
        <v>46133</v>
      </c>
      <c r="D25" s="210">
        <f t="shared" si="15"/>
        <v>46138</v>
      </c>
      <c r="E25" s="238">
        <v>46136.0</v>
      </c>
      <c r="F25" s="219" t="s">
        <v>561</v>
      </c>
      <c r="G25" s="219" t="s">
        <v>562</v>
      </c>
      <c r="H25" s="219" t="s">
        <v>304</v>
      </c>
      <c r="I25" s="219" t="s">
        <v>305</v>
      </c>
      <c r="J25" s="242" t="s">
        <v>607</v>
      </c>
      <c r="K25" s="212" t="s">
        <v>301</v>
      </c>
      <c r="L25" s="219" t="s">
        <v>606</v>
      </c>
      <c r="M25" s="243" t="str">
        <f t="array" ref="M25">IFERROR(XLOOKUP(L25,'2. DATA NL, VTBB'!C:C,'2. DATA NL, VTBB'!D:D),"")</f>
        <v>Thùng NHP 100 (300) gói - (47.5x41.5x28cm) - Trắng viền xanh dương đỏ</v>
      </c>
      <c r="N25" s="239"/>
      <c r="O25" s="217" t="str">
        <f t="array" ref="O25">IFERROR( XLOOKUP(L25,'2. DATA NL, VTBB'!C:C,'2. DATA NL, VTBB'!E:E),"")</f>
        <v>Chitin 3.6EC</v>
      </c>
      <c r="P25" s="219" t="s">
        <v>565</v>
      </c>
      <c r="Q25" s="113" t="b">
        <v>0</v>
      </c>
      <c r="R25" s="219" t="s">
        <v>573</v>
      </c>
      <c r="S25" s="219" t="s">
        <v>574</v>
      </c>
      <c r="T25" s="113">
        <f t="shared" si="2"/>
        <v>0.7</v>
      </c>
      <c r="U25" s="219" t="s">
        <v>568</v>
      </c>
      <c r="V25" s="234">
        <f t="shared" si="16"/>
        <v>70</v>
      </c>
      <c r="W25" s="213" t="s">
        <v>303</v>
      </c>
      <c r="X25" s="234">
        <v>70.0</v>
      </c>
      <c r="Y25" s="240">
        <v>75.0</v>
      </c>
      <c r="Z25" s="234">
        <v>24500.0</v>
      </c>
      <c r="AA25" s="244">
        <v>0.08</v>
      </c>
      <c r="AB25" s="222">
        <f t="shared" si="17"/>
        <v>1984500</v>
      </c>
      <c r="AC25" s="122"/>
      <c r="AD25" s="238">
        <v>46113.0</v>
      </c>
      <c r="AE25" s="240">
        <v>949.0</v>
      </c>
      <c r="AF25" s="226">
        <v>1.0</v>
      </c>
      <c r="AG25" s="122"/>
      <c r="AH25" s="222">
        <f>IFERROR(__xludf.DUMMYFUNCTION("IFERROR( INDEX( SORT(  FILTER(  {'1. DATA CHUNG'!$J$4:$J$105 , '1. DATA CHUNG'!$L$4:$L$105}, 
                (TRIM('1. DATA CHUNG'!$I$4:$I$105) = TRIM(K25)) * IF(SUMPRODUCT(('1. DATA CHUNG'!$I$4:$I$105=K25) * ('1. DATA CHUNG'!$M$4:$M$105=Q25)), '1. DATA "&amp;"CHUNG'!$M$4:$M$105=Q25, 1) * ('1. DATA CHUNG'!$L$4:$L$105 &lt;= TODAY()) ),    2, 0),  1, 1 ), 
    IFERROR( INDEX( FILTER( '1. DATA CHUNG'!$J$4:$J$105, 
                (TRIM('1. DATA CHUNG'!$I$4:$I$105) = TRIM(K25)) * IF(SUMPRODUCT(('1. DATA CHUNG'!$I$4:$I"&amp;"$105=K25) * ('1. DATA CHUNG'!$M$4:$M$105=Q25)), '1. DATA CHUNG'!$M$4:$M$105=Q25, 1) * ('1. DATA CHUNG'!$L$4:$L$105 = """") ),  1),  ""Không tìm thấy""))"),18.0)</f>
        <v>18</v>
      </c>
      <c r="AI25" s="245">
        <f t="shared" si="4"/>
        <v>46131</v>
      </c>
      <c r="AJ25" s="114">
        <v>35000.0</v>
      </c>
      <c r="AK25" s="222">
        <f t="shared" si="5"/>
        <v>24500</v>
      </c>
      <c r="AL25" s="229">
        <f t="shared" si="6"/>
        <v>2</v>
      </c>
      <c r="AM25" s="229">
        <f t="shared" si="7"/>
        <v>-5</v>
      </c>
      <c r="AN25" s="230">
        <f t="shared" si="8"/>
        <v>-2</v>
      </c>
      <c r="AO25" s="246" t="str">
        <f t="shared" si="9"/>
        <v>04/2026</v>
      </c>
      <c r="AP25" s="122" t="str">
        <f t="array" ref="AP25">IFERROR(XLOOKUP(L25,'2. DATA NL, VTBB'!C:C,'2. DATA NL, VTBB'!F:F),"")</f>
        <v>HH0292</v>
      </c>
      <c r="AQ25" s="226" t="s">
        <v>302</v>
      </c>
      <c r="AR25" s="241" t="str">
        <f t="array" ref="AR25">IFERROR(XLOOKUP(L25,'2. DATA NL, VTBB'!C:C,'2. DATA NL, VTBB'!G:G),"")</f>
        <v>IDA Global - I - 705 - ĐL Nguyễn Huy Phú -Nhện đỏ - Chai nhôm đỏ - 240ml - 60</v>
      </c>
      <c r="AS25" s="241" t="str">
        <f t="array" ref="AS25">IFERROR(XLOOKUP(L25,'2. DATA NL, VTBB'!C:C,'2. DATA NL, VTBB'!G:G),"")</f>
        <v>IDA Global - I - 705 - ĐL Nguyễn Huy Phú -Nhện đỏ - Chai nhôm đỏ - 240ml - 60</v>
      </c>
      <c r="AT25" s="111" t="s">
        <v>314</v>
      </c>
    </row>
    <row r="26" ht="32.25" customHeight="1">
      <c r="A26" s="109">
        <v>22.0</v>
      </c>
      <c r="B26" s="238">
        <v>46113.0</v>
      </c>
      <c r="C26" s="210">
        <f t="shared" si="14"/>
        <v>46133</v>
      </c>
      <c r="D26" s="210">
        <f t="shared" si="15"/>
        <v>46138</v>
      </c>
      <c r="E26" s="247">
        <v>46130.0</v>
      </c>
      <c r="F26" s="219" t="s">
        <v>561</v>
      </c>
      <c r="G26" s="219" t="s">
        <v>562</v>
      </c>
      <c r="H26" s="219" t="s">
        <v>304</v>
      </c>
      <c r="I26" s="219" t="s">
        <v>305</v>
      </c>
      <c r="J26" s="242" t="s">
        <v>608</v>
      </c>
      <c r="K26" s="212" t="s">
        <v>301</v>
      </c>
      <c r="L26" s="219" t="s">
        <v>609</v>
      </c>
      <c r="M26" s="243" t="str">
        <f t="array" ref="M26">IFERROR(XLOOKUP(L26,'2. DATA NL, VTBB'!C:C,'2. DATA NL, VTBB'!D:D),"")</f>
        <v>Thùng Tago đựng 20 hộp/thùng (44x39.5x32cm) - Trắng xanh lá viền vàng</v>
      </c>
      <c r="N26" s="239"/>
      <c r="O26" s="217" t="str">
        <f t="array" ref="O26">IFERROR( XLOOKUP(L26,'2. DATA NL, VTBB'!C:C,'2. DATA NL, VTBB'!E:E),"")</f>
        <v>TVZEB 800WP</v>
      </c>
      <c r="P26" s="219" t="s">
        <v>565</v>
      </c>
      <c r="Q26" s="113" t="b">
        <v>0</v>
      </c>
      <c r="R26" s="219" t="s">
        <v>566</v>
      </c>
      <c r="S26" s="219" t="s">
        <v>567</v>
      </c>
      <c r="T26" s="113">
        <f t="shared" si="2"/>
        <v>3</v>
      </c>
      <c r="U26" s="219" t="s">
        <v>568</v>
      </c>
      <c r="V26" s="234">
        <f t="shared" si="16"/>
        <v>300</v>
      </c>
      <c r="W26" s="213" t="s">
        <v>303</v>
      </c>
      <c r="X26" s="234">
        <v>300.0</v>
      </c>
      <c r="Y26" s="240">
        <v>276.0</v>
      </c>
      <c r="Z26" s="234">
        <v>24500.0</v>
      </c>
      <c r="AA26" s="244">
        <v>0.08</v>
      </c>
      <c r="AB26" s="222">
        <f t="shared" si="17"/>
        <v>7302960</v>
      </c>
      <c r="AC26" s="122"/>
      <c r="AD26" s="248">
        <f t="shared" ref="AD26:AD76" si="18">B26</f>
        <v>46113</v>
      </c>
      <c r="AE26" s="240">
        <v>886.0</v>
      </c>
      <c r="AF26" s="226">
        <v>1.0</v>
      </c>
      <c r="AG26" s="126"/>
      <c r="AH26" s="222">
        <f>IFERROR(__xludf.DUMMYFUNCTION("IFERROR( INDEX( SORT(  FILTER(  {'1. DATA CHUNG'!$J$4:$J$105 , '1. DATA CHUNG'!$L$4:$L$105}, 
                (TRIM('1. DATA CHUNG'!$I$4:$I$105) = TRIM(K26)) * IF(SUMPRODUCT(('1. DATA CHUNG'!$I$4:$I$105=K26) * ('1. DATA CHUNG'!$M$4:$M$105=Q26)), '1. DATA "&amp;"CHUNG'!$M$4:$M$105=Q26, 1) * ('1. DATA CHUNG'!$L$4:$L$105 &lt;= TODAY()) ),    2, 0),  1, 1 ), 
    IFERROR( INDEX( FILTER( '1. DATA CHUNG'!$J$4:$J$105, 
                (TRIM('1. DATA CHUNG'!$I$4:$I$105) = TRIM(K26)) * IF(SUMPRODUCT(('1. DATA CHUNG'!$I$4:$I"&amp;"$105=K26) * ('1. DATA CHUNG'!$M$4:$M$105=Q26)), '1. DATA CHUNG'!$M$4:$M$105=Q26, 1) * ('1. DATA CHUNG'!$L$4:$L$105 = """") ),  1),  ""Không tìm thấy""))"),18.0)</f>
        <v>18</v>
      </c>
      <c r="AI26" s="245">
        <f t="shared" si="4"/>
        <v>46131</v>
      </c>
      <c r="AJ26" s="114">
        <v>35000.0</v>
      </c>
      <c r="AK26" s="222">
        <f t="shared" si="5"/>
        <v>105000</v>
      </c>
      <c r="AL26" s="229">
        <f t="shared" si="6"/>
        <v>8</v>
      </c>
      <c r="AM26" s="229">
        <f t="shared" si="7"/>
        <v>1</v>
      </c>
      <c r="AN26" s="230">
        <f t="shared" si="8"/>
        <v>-2</v>
      </c>
      <c r="AO26" s="246" t="str">
        <f t="shared" si="9"/>
        <v>04/2026</v>
      </c>
      <c r="AP26" s="122" t="str">
        <f t="array" ref="AP26">IFERROR(XLOOKUP(L26,'2. DATA NL, VTBB'!C:C,'2. DATA NL, VTBB'!F:F),"")</f>
        <v>HH0270</v>
      </c>
      <c r="AQ26" s="226" t="s">
        <v>302</v>
      </c>
      <c r="AR26" s="241" t="str">
        <f t="array" ref="AR26">IFERROR(XLOOKUP(L26,'2. DATA NL, VTBB'!C:C,'2. DATA NL, VTBB'!G:G),"")</f>
        <v>GC - IV - 689 - Kim Ngọc - Mancozeb Xanh - 1 kg - 20</v>
      </c>
      <c r="AS26" s="241" t="str">
        <f t="array" ref="AS26">IFERROR(XLOOKUP(L26,'2. DATA NL, VTBB'!C:C,'2. DATA NL, VTBB'!G:G),"")</f>
        <v>GC - IV - 689 - Kim Ngọc - Mancozeb Xanh - 1 kg - 20</v>
      </c>
      <c r="AT26" s="111" t="s">
        <v>314</v>
      </c>
    </row>
    <row r="27" ht="32.25" customHeight="1">
      <c r="A27" s="109">
        <v>23.0</v>
      </c>
      <c r="B27" s="238">
        <v>46113.0</v>
      </c>
      <c r="C27" s="210">
        <f t="shared" si="14"/>
        <v>46133</v>
      </c>
      <c r="D27" s="210">
        <f t="shared" si="15"/>
        <v>46138</v>
      </c>
      <c r="E27" s="249">
        <v>46135.0</v>
      </c>
      <c r="F27" s="219" t="s">
        <v>561</v>
      </c>
      <c r="G27" s="219" t="s">
        <v>562</v>
      </c>
      <c r="H27" s="219" t="s">
        <v>304</v>
      </c>
      <c r="I27" s="219" t="s">
        <v>305</v>
      </c>
      <c r="J27" s="242" t="s">
        <v>608</v>
      </c>
      <c r="K27" s="212" t="s">
        <v>301</v>
      </c>
      <c r="L27" s="219" t="s">
        <v>610</v>
      </c>
      <c r="M27" s="243" t="str">
        <f t="array" ref="M27">IFERROR(XLOOKUP(L27,'2. DATA NL, VTBB'!C:C,'2. DATA NL, VTBB'!D:D),"")</f>
        <v>Thùng SHINO chai 325ml x 40 chai (55.5x35.5x15.5cm) - Trắng viền xanh</v>
      </c>
      <c r="N27" s="239"/>
      <c r="O27" s="217" t="str">
        <f t="array" ref="O27">IFERROR( XLOOKUP(L27,'2. DATA NL, VTBB'!C:C,'2. DATA NL, VTBB'!E:E),"")</f>
        <v>INMANDA 100WP</v>
      </c>
      <c r="P27" s="219" t="s">
        <v>565</v>
      </c>
      <c r="Q27" s="113" t="b">
        <v>0</v>
      </c>
      <c r="R27" s="219" t="s">
        <v>566</v>
      </c>
      <c r="S27" s="219" t="s">
        <v>567</v>
      </c>
      <c r="T27" s="113">
        <f t="shared" si="2"/>
        <v>3</v>
      </c>
      <c r="U27" s="219" t="s">
        <v>568</v>
      </c>
      <c r="V27" s="234">
        <f t="shared" si="16"/>
        <v>300</v>
      </c>
      <c r="W27" s="213" t="s">
        <v>303</v>
      </c>
      <c r="X27" s="234">
        <v>300.0</v>
      </c>
      <c r="Y27" s="240">
        <v>306.0</v>
      </c>
      <c r="Z27" s="234">
        <v>19200.0</v>
      </c>
      <c r="AA27" s="244">
        <v>0.08</v>
      </c>
      <c r="AB27" s="222">
        <f t="shared" si="17"/>
        <v>6345216</v>
      </c>
      <c r="AC27" s="122"/>
      <c r="AD27" s="248">
        <f t="shared" si="18"/>
        <v>46113</v>
      </c>
      <c r="AE27" s="240">
        <v>937.0</v>
      </c>
      <c r="AF27" s="226">
        <v>1.0</v>
      </c>
      <c r="AG27" s="122"/>
      <c r="AH27" s="222">
        <f>IFERROR(__xludf.DUMMYFUNCTION("IFERROR( INDEX( SORT(  FILTER(  {'1. DATA CHUNG'!$J$4:$J$105 , '1. DATA CHUNG'!$L$4:$L$105}, 
                (TRIM('1. DATA CHUNG'!$I$4:$I$105) = TRIM(K27)) * IF(SUMPRODUCT(('1. DATA CHUNG'!$I$4:$I$105=K27) * ('1. DATA CHUNG'!$M$4:$M$105=Q27)), '1. DATA "&amp;"CHUNG'!$M$4:$M$105=Q27, 1) * ('1. DATA CHUNG'!$L$4:$L$105 &lt;= TODAY()) ),    2, 0),  1, 1 ), 
    IFERROR( INDEX( FILTER( '1. DATA CHUNG'!$J$4:$J$105, 
                (TRIM('1. DATA CHUNG'!$I$4:$I$105) = TRIM(K27)) * IF(SUMPRODUCT(('1. DATA CHUNG'!$I$4:$I"&amp;"$105=K27) * ('1. DATA CHUNG'!$M$4:$M$105=Q27)), '1. DATA CHUNG'!$M$4:$M$105=Q27, 1) * ('1. DATA CHUNG'!$L$4:$L$105 = """") ),  1),  ""Không tìm thấy""))"),18.0)</f>
        <v>18</v>
      </c>
      <c r="AI27" s="245">
        <f t="shared" si="4"/>
        <v>46131</v>
      </c>
      <c r="AJ27" s="114">
        <v>35000.0</v>
      </c>
      <c r="AK27" s="222">
        <f t="shared" si="5"/>
        <v>105000</v>
      </c>
      <c r="AL27" s="229">
        <f t="shared" si="6"/>
        <v>3</v>
      </c>
      <c r="AM27" s="229">
        <f t="shared" si="7"/>
        <v>-4</v>
      </c>
      <c r="AN27" s="230">
        <f t="shared" si="8"/>
        <v>-2</v>
      </c>
      <c r="AO27" s="246" t="str">
        <f t="shared" si="9"/>
        <v>04/2026</v>
      </c>
      <c r="AP27" s="122" t="str">
        <f t="array" ref="AP27">IFERROR(XLOOKUP(L27,'2. DATA NL, VTBB'!C:C,'2. DATA NL, VTBB'!F:F),"")</f>
        <v>HH0238</v>
      </c>
      <c r="AQ27" s="226" t="s">
        <v>302</v>
      </c>
      <c r="AR27" s="241" t="str">
        <f t="array" ref="AR27">IFERROR(XLOOKUP(L27,'2. DATA NL, VTBB'!C:C,'2. DATA NL, VTBB'!G:G),"")</f>
        <v>GC - II - 650 - MK Group - Anda 100WP - 100gr - 100</v>
      </c>
      <c r="AS27" s="241" t="str">
        <f t="array" ref="AS27">IFERROR(XLOOKUP(L27,'2. DATA NL, VTBB'!C:C,'2. DATA NL, VTBB'!G:G),"")</f>
        <v>GC - II - 650 - MK Group - Anda 100WP - 100gr - 100</v>
      </c>
      <c r="AT27" s="111" t="s">
        <v>314</v>
      </c>
    </row>
    <row r="28" ht="32.25" customHeight="1">
      <c r="A28" s="109">
        <v>24.0</v>
      </c>
      <c r="B28" s="238">
        <v>46114.0</v>
      </c>
      <c r="C28" s="210">
        <f t="shared" si="14"/>
        <v>46134</v>
      </c>
      <c r="D28" s="210">
        <f t="shared" si="15"/>
        <v>46139</v>
      </c>
      <c r="E28" s="247">
        <v>46132.0</v>
      </c>
      <c r="F28" s="219" t="s">
        <v>561</v>
      </c>
      <c r="G28" s="219" t="s">
        <v>562</v>
      </c>
      <c r="H28" s="219" t="s">
        <v>304</v>
      </c>
      <c r="I28" s="219" t="s">
        <v>305</v>
      </c>
      <c r="J28" s="242" t="s">
        <v>611</v>
      </c>
      <c r="K28" s="212" t="s">
        <v>301</v>
      </c>
      <c r="L28" s="219" t="s">
        <v>390</v>
      </c>
      <c r="M28" s="243" t="str">
        <f t="array" ref="M28">IFERROR(XLOOKUP(L28,'2. DATA NL, VTBB'!C:C,'2. DATA NL, VTBB'!D:D),"")</f>
        <v>Thùng DC Chai Pet Tròn 35 450ml-500ml - (59x37x19.5cm)  - Trắng</v>
      </c>
      <c r="N28" s="126"/>
      <c r="O28" s="217" t="str">
        <f t="array" ref="O28">IFERROR( XLOOKUP(L28,'2. DATA NL, VTBB'!C:C,'2. DATA NL, VTBB'!E:E),"")</f>
        <v>Vi lượng AV-US2</v>
      </c>
      <c r="P28" s="219" t="s">
        <v>565</v>
      </c>
      <c r="Q28" s="113" t="b">
        <v>0</v>
      </c>
      <c r="R28" s="219" t="s">
        <v>573</v>
      </c>
      <c r="S28" s="219" t="s">
        <v>574</v>
      </c>
      <c r="T28" s="113">
        <f t="shared" si="2"/>
        <v>3</v>
      </c>
      <c r="U28" s="219" t="s">
        <v>568</v>
      </c>
      <c r="V28" s="234">
        <f t="shared" si="16"/>
        <v>300</v>
      </c>
      <c r="W28" s="213" t="s">
        <v>303</v>
      </c>
      <c r="X28" s="234">
        <v>300.0</v>
      </c>
      <c r="Y28" s="240">
        <v>277.0</v>
      </c>
      <c r="Z28" s="234">
        <v>20500.0</v>
      </c>
      <c r="AA28" s="244">
        <v>0.08</v>
      </c>
      <c r="AB28" s="222">
        <f t="shared" si="17"/>
        <v>6132780</v>
      </c>
      <c r="AC28" s="122"/>
      <c r="AD28" s="248">
        <f t="shared" si="18"/>
        <v>46114</v>
      </c>
      <c r="AE28" s="240">
        <v>894.0</v>
      </c>
      <c r="AF28" s="226">
        <v>1.0</v>
      </c>
      <c r="AG28" s="122"/>
      <c r="AH28" s="222">
        <f>IFERROR(__xludf.DUMMYFUNCTION("IFERROR( INDEX( SORT(  FILTER(  {'1. DATA CHUNG'!$J$4:$J$105 , '1. DATA CHUNG'!$L$4:$L$105}, 
                (TRIM('1. DATA CHUNG'!$I$4:$I$105) = TRIM(K28)) * IF(SUMPRODUCT(('1. DATA CHUNG'!$I$4:$I$105=K28) * ('1. DATA CHUNG'!$M$4:$M$105=Q28)), '1. DATA "&amp;"CHUNG'!$M$4:$M$105=Q28, 1) * ('1. DATA CHUNG'!$L$4:$L$105 &lt;= TODAY()) ),    2, 0),  1, 1 ), 
    IFERROR( INDEX( FILTER( '1. DATA CHUNG'!$J$4:$J$105, 
                (TRIM('1. DATA CHUNG'!$I$4:$I$105) = TRIM(K28)) * IF(SUMPRODUCT(('1. DATA CHUNG'!$I$4:$I"&amp;"$105=K28) * ('1. DATA CHUNG'!$M$4:$M$105=Q28)), '1. DATA CHUNG'!$M$4:$M$105=Q28, 1) * ('1. DATA CHUNG'!$L$4:$L$105 = """") ),  1),  ""Không tìm thấy""))"),18.0)</f>
        <v>18</v>
      </c>
      <c r="AI28" s="245">
        <f t="shared" si="4"/>
        <v>46132</v>
      </c>
      <c r="AJ28" s="114">
        <v>35000.0</v>
      </c>
      <c r="AK28" s="222">
        <f t="shared" si="5"/>
        <v>105000</v>
      </c>
      <c r="AL28" s="229">
        <f t="shared" si="6"/>
        <v>7</v>
      </c>
      <c r="AM28" s="229">
        <f t="shared" si="7"/>
        <v>0</v>
      </c>
      <c r="AN28" s="230">
        <f t="shared" si="8"/>
        <v>-2</v>
      </c>
      <c r="AO28" s="246" t="str">
        <f t="shared" si="9"/>
        <v>04/2026</v>
      </c>
      <c r="AP28" s="122" t="str">
        <f t="array" ref="AP28">IFERROR(XLOOKUP(L28,'2. DATA NL, VTBB'!C:C,'2. DATA NL, VTBB'!F:F),"")</f>
        <v>HH0005</v>
      </c>
      <c r="AQ28" s="226" t="s">
        <v>302</v>
      </c>
      <c r="AR28" s="241" t="str">
        <f t="array" ref="AR28">IFERROR(XLOOKUP(L28,'2. DATA NL, VTBB'!C:C,'2. DATA NL, VTBB'!G:G),"")</f>
        <v>GC - II - 33.1 - Siêu ra hoa xoài - 1kg - 25</v>
      </c>
      <c r="AS28" s="241" t="str">
        <f t="array" ref="AS28">IFERROR(XLOOKUP(L28,'2. DATA NL, VTBB'!C:C,'2. DATA NL, VTBB'!G:G),"")</f>
        <v>GC - II - 33.1 - Siêu ra hoa xoài - 1kg - 25</v>
      </c>
      <c r="AT28" s="111" t="s">
        <v>314</v>
      </c>
    </row>
    <row r="29" ht="32.25" customHeight="1">
      <c r="A29" s="109">
        <v>25.0</v>
      </c>
      <c r="B29" s="238">
        <v>46114.0</v>
      </c>
      <c r="C29" s="210">
        <f t="shared" si="14"/>
        <v>46134</v>
      </c>
      <c r="D29" s="210">
        <f t="shared" si="15"/>
        <v>46139</v>
      </c>
      <c r="E29" s="238">
        <v>46136.0</v>
      </c>
      <c r="F29" s="219" t="s">
        <v>561</v>
      </c>
      <c r="G29" s="219" t="s">
        <v>562</v>
      </c>
      <c r="H29" s="219" t="s">
        <v>304</v>
      </c>
      <c r="I29" s="219" t="s">
        <v>305</v>
      </c>
      <c r="J29" s="242" t="s">
        <v>612</v>
      </c>
      <c r="K29" s="212" t="s">
        <v>301</v>
      </c>
      <c r="L29" s="219" t="s">
        <v>613</v>
      </c>
      <c r="M29" s="243" t="str">
        <f t="array" ref="M29">IFERROR(XLOOKUP(L29,'2. DATA NL, VTBB'!C:C,'2. DATA NL, VTBB'!D:D),"")</f>
        <v>Thùng Dùng Chung ABA 100g x100 gói (46x39x21cm) - Trắng</v>
      </c>
      <c r="N29" s="126"/>
      <c r="O29" s="217" t="str">
        <f t="array" ref="O29">IFERROR( XLOOKUP(L29,'2. DATA NL, VTBB'!C:C,'2. DATA NL, VTBB'!E:E),"")</f>
        <v>Prima 04</v>
      </c>
      <c r="P29" s="219" t="s">
        <v>565</v>
      </c>
      <c r="Q29" s="113" t="b">
        <v>0</v>
      </c>
      <c r="R29" s="219" t="s">
        <v>573</v>
      </c>
      <c r="S29" s="219" t="s">
        <v>574</v>
      </c>
      <c r="T29" s="113">
        <f t="shared" si="2"/>
        <v>2</v>
      </c>
      <c r="U29" s="219" t="s">
        <v>568</v>
      </c>
      <c r="V29" s="234">
        <f t="shared" si="16"/>
        <v>200</v>
      </c>
      <c r="W29" s="213" t="s">
        <v>303</v>
      </c>
      <c r="X29" s="234">
        <v>200.0</v>
      </c>
      <c r="Y29" s="240">
        <v>200.0</v>
      </c>
      <c r="Z29" s="234">
        <v>20300.0</v>
      </c>
      <c r="AA29" s="244">
        <v>0.08</v>
      </c>
      <c r="AB29" s="222">
        <f t="shared" si="17"/>
        <v>4384800</v>
      </c>
      <c r="AC29" s="122"/>
      <c r="AD29" s="248">
        <f t="shared" si="18"/>
        <v>46114</v>
      </c>
      <c r="AE29" s="240">
        <v>948.0</v>
      </c>
      <c r="AF29" s="226">
        <v>1.0</v>
      </c>
      <c r="AG29" s="122"/>
      <c r="AH29" s="222">
        <f>IFERROR(__xludf.DUMMYFUNCTION("IFERROR( INDEX( SORT(  FILTER(  {'1. DATA CHUNG'!$J$4:$J$105 , '1. DATA CHUNG'!$L$4:$L$105}, 
                (TRIM('1. DATA CHUNG'!$I$4:$I$105) = TRIM(K29)) * IF(SUMPRODUCT(('1. DATA CHUNG'!$I$4:$I$105=K29) * ('1. DATA CHUNG'!$M$4:$M$105=Q29)), '1. DATA "&amp;"CHUNG'!$M$4:$M$105=Q29, 1) * ('1. DATA CHUNG'!$L$4:$L$105 &lt;= TODAY()) ),    2, 0),  1, 1 ), 
    IFERROR( INDEX( FILTER( '1. DATA CHUNG'!$J$4:$J$105, 
                (TRIM('1. DATA CHUNG'!$I$4:$I$105) = TRIM(K29)) * IF(SUMPRODUCT(('1. DATA CHUNG'!$I$4:$I"&amp;"$105=K29) * ('1. DATA CHUNG'!$M$4:$M$105=Q29)), '1. DATA CHUNG'!$M$4:$M$105=Q29, 1) * ('1. DATA CHUNG'!$L$4:$L$105 = """") ),  1),  ""Không tìm thấy""))"),18.0)</f>
        <v>18</v>
      </c>
      <c r="AI29" s="245">
        <f t="shared" si="4"/>
        <v>46132</v>
      </c>
      <c r="AJ29" s="114">
        <v>35000.0</v>
      </c>
      <c r="AK29" s="222">
        <f t="shared" si="5"/>
        <v>70000</v>
      </c>
      <c r="AL29" s="229">
        <f t="shared" si="6"/>
        <v>3</v>
      </c>
      <c r="AM29" s="229">
        <f t="shared" si="7"/>
        <v>-4</v>
      </c>
      <c r="AN29" s="230">
        <f t="shared" si="8"/>
        <v>-2</v>
      </c>
      <c r="AO29" s="246" t="str">
        <f t="shared" si="9"/>
        <v>04/2026</v>
      </c>
      <c r="AP29" s="122" t="str">
        <f t="array" ref="AP29">IFERROR(XLOOKUP(L29,'2. DATA NL, VTBB'!C:C,'2. DATA NL, VTBB'!F:F),"")</f>
        <v>HH0112</v>
      </c>
      <c r="AQ29" s="226" t="s">
        <v>302</v>
      </c>
      <c r="AR29" s="241" t="str">
        <f t="array" ref="AR29">IFERROR(XLOOKUP(L29,'2. DATA NL, VTBB'!C:C,'2. DATA NL, VTBB'!G:G),"")</f>
        <v>GC - II - 485 - LuTa vẩy cá (Humic vẩy) - 10kg - 1</v>
      </c>
      <c r="AS29" s="241" t="str">
        <f t="array" ref="AS29">IFERROR(XLOOKUP(L29,'2. DATA NL, VTBB'!C:C,'2. DATA NL, VTBB'!G:G),"")</f>
        <v>GC - II - 485 - LuTa vẩy cá (Humic vẩy) - 10kg - 1</v>
      </c>
      <c r="AT29" s="111" t="s">
        <v>314</v>
      </c>
    </row>
    <row r="30" ht="32.25" customHeight="1">
      <c r="A30" s="109">
        <v>26.0</v>
      </c>
      <c r="B30" s="238">
        <v>46114.0</v>
      </c>
      <c r="C30" s="210">
        <f t="shared" si="14"/>
        <v>46134</v>
      </c>
      <c r="D30" s="210">
        <f t="shared" si="15"/>
        <v>46139</v>
      </c>
      <c r="E30" s="238">
        <v>46137.0</v>
      </c>
      <c r="F30" s="219" t="s">
        <v>561</v>
      </c>
      <c r="G30" s="219" t="s">
        <v>562</v>
      </c>
      <c r="H30" s="219" t="s">
        <v>304</v>
      </c>
      <c r="I30" s="219" t="s">
        <v>305</v>
      </c>
      <c r="J30" s="242" t="s">
        <v>614</v>
      </c>
      <c r="K30" s="212" t="s">
        <v>301</v>
      </c>
      <c r="L30" s="219" t="s">
        <v>613</v>
      </c>
      <c r="M30" s="243" t="str">
        <f t="array" ref="M30">IFERROR(XLOOKUP(L30,'2. DATA NL, VTBB'!C:C,'2. DATA NL, VTBB'!D:D),"")</f>
        <v>Thùng Dùng Chung ABA 100g x100 gói (46x39x21cm) - Trắng</v>
      </c>
      <c r="N30" s="126"/>
      <c r="O30" s="217" t="str">
        <f t="array" ref="O30">IFERROR( XLOOKUP(L30,'2. DATA NL, VTBB'!C:C,'2. DATA NL, VTBB'!E:E),"")</f>
        <v>Prima 04</v>
      </c>
      <c r="P30" s="219" t="s">
        <v>565</v>
      </c>
      <c r="Q30" s="113" t="b">
        <v>0</v>
      </c>
      <c r="R30" s="219" t="s">
        <v>584</v>
      </c>
      <c r="S30" s="219" t="s">
        <v>574</v>
      </c>
      <c r="T30" s="113">
        <f t="shared" si="2"/>
        <v>2</v>
      </c>
      <c r="U30" s="219" t="s">
        <v>568</v>
      </c>
      <c r="V30" s="234">
        <f t="shared" si="16"/>
        <v>200</v>
      </c>
      <c r="W30" s="213" t="s">
        <v>303</v>
      </c>
      <c r="X30" s="234">
        <v>200.0</v>
      </c>
      <c r="Y30" s="240">
        <v>200.0</v>
      </c>
      <c r="Z30" s="234">
        <v>20300.0</v>
      </c>
      <c r="AA30" s="244">
        <v>0.08</v>
      </c>
      <c r="AB30" s="222">
        <f t="shared" si="17"/>
        <v>4384800</v>
      </c>
      <c r="AC30" s="122"/>
      <c r="AD30" s="248">
        <f t="shared" si="18"/>
        <v>46114</v>
      </c>
      <c r="AE30" s="240">
        <v>959.0</v>
      </c>
      <c r="AF30" s="226">
        <v>1.0</v>
      </c>
      <c r="AG30" s="126"/>
      <c r="AH30" s="222">
        <f>IFERROR(__xludf.DUMMYFUNCTION("IFERROR( INDEX( SORT(  FILTER(  {'1. DATA CHUNG'!$J$4:$J$105 , '1. DATA CHUNG'!$L$4:$L$105}, 
                (TRIM('1. DATA CHUNG'!$I$4:$I$105) = TRIM(K30)) * IF(SUMPRODUCT(('1. DATA CHUNG'!$I$4:$I$105=K30) * ('1. DATA CHUNG'!$M$4:$M$105=Q30)), '1. DATA "&amp;"CHUNG'!$M$4:$M$105=Q30, 1) * ('1. DATA CHUNG'!$L$4:$L$105 &lt;= TODAY()) ),    2, 0),  1, 1 ), 
    IFERROR( INDEX( FILTER( '1. DATA CHUNG'!$J$4:$J$105, 
                (TRIM('1. DATA CHUNG'!$I$4:$I$105) = TRIM(K30)) * IF(SUMPRODUCT(('1. DATA CHUNG'!$I$4:$I"&amp;"$105=K30) * ('1. DATA CHUNG'!$M$4:$M$105=Q30)), '1. DATA CHUNG'!$M$4:$M$105=Q30, 1) * ('1. DATA CHUNG'!$L$4:$L$105 = """") ),  1),  ""Không tìm thấy""))"),18.0)</f>
        <v>18</v>
      </c>
      <c r="AI30" s="245">
        <f t="shared" si="4"/>
        <v>46132</v>
      </c>
      <c r="AJ30" s="114">
        <v>35000.0</v>
      </c>
      <c r="AK30" s="222">
        <f t="shared" si="5"/>
        <v>70000</v>
      </c>
      <c r="AL30" s="229">
        <f t="shared" si="6"/>
        <v>2</v>
      </c>
      <c r="AM30" s="229">
        <f t="shared" si="7"/>
        <v>-5</v>
      </c>
      <c r="AN30" s="230">
        <f t="shared" si="8"/>
        <v>-2</v>
      </c>
      <c r="AO30" s="246" t="str">
        <f t="shared" si="9"/>
        <v>04/2026</v>
      </c>
      <c r="AP30" s="122" t="str">
        <f t="array" ref="AP30">IFERROR(XLOOKUP(L30,'2. DATA NL, VTBB'!C:C,'2. DATA NL, VTBB'!F:F),"")</f>
        <v>HH0112</v>
      </c>
      <c r="AQ30" s="226" t="s">
        <v>302</v>
      </c>
      <c r="AR30" s="241" t="str">
        <f t="array" ref="AR30">IFERROR(XLOOKUP(L30,'2. DATA NL, VTBB'!C:C,'2. DATA NL, VTBB'!G:G),"")</f>
        <v>GC - II - 485 - LuTa vẩy cá (Humic vẩy) - 10kg - 1</v>
      </c>
      <c r="AS30" s="241" t="str">
        <f t="array" ref="AS30">IFERROR(XLOOKUP(L30,'2. DATA NL, VTBB'!C:C,'2. DATA NL, VTBB'!G:G),"")</f>
        <v>GC - II - 485 - LuTa vẩy cá (Humic vẩy) - 10kg - 1</v>
      </c>
      <c r="AT30" s="111" t="s">
        <v>314</v>
      </c>
    </row>
    <row r="31" ht="32.25" customHeight="1">
      <c r="A31" s="109">
        <v>27.0</v>
      </c>
      <c r="B31" s="238">
        <v>46116.0</v>
      </c>
      <c r="C31" s="210">
        <f t="shared" ref="C31:C51" si="19">B31+18</f>
        <v>46134</v>
      </c>
      <c r="D31" s="210">
        <f t="shared" si="15"/>
        <v>46141</v>
      </c>
      <c r="E31" s="247">
        <v>46130.0</v>
      </c>
      <c r="F31" s="219" t="s">
        <v>561</v>
      </c>
      <c r="G31" s="219" t="s">
        <v>562</v>
      </c>
      <c r="H31" s="219" t="s">
        <v>304</v>
      </c>
      <c r="I31" s="219" t="s">
        <v>305</v>
      </c>
      <c r="J31" s="242" t="s">
        <v>615</v>
      </c>
      <c r="K31" s="212" t="s">
        <v>301</v>
      </c>
      <c r="L31" s="219" t="s">
        <v>616</v>
      </c>
      <c r="M31" s="243" t="str">
        <f t="array" ref="M31">IFERROR(XLOOKUP(L31,'2. DATA NL, VTBB'!C:C,'2. DATA NL, VTBB'!D:D),"")</f>
        <v>Thùng Chai HD 500ml x 40 chai (60x38x20cm) - Thùng Trắng viền đen</v>
      </c>
      <c r="N31" s="126"/>
      <c r="O31" s="217" t="str">
        <f t="array" ref="O31">IFERROR( XLOOKUP(L31,'2. DATA NL, VTBB'!C:C,'2. DATA NL, VTBB'!E:E),"")</f>
        <v>Pim.Pim 75WP</v>
      </c>
      <c r="P31" s="219" t="s">
        <v>565</v>
      </c>
      <c r="Q31" s="113" t="b">
        <v>0</v>
      </c>
      <c r="R31" s="219" t="s">
        <v>566</v>
      </c>
      <c r="S31" s="219" t="s">
        <v>567</v>
      </c>
      <c r="T31" s="113">
        <f t="shared" si="2"/>
        <v>3</v>
      </c>
      <c r="U31" s="219" t="s">
        <v>568</v>
      </c>
      <c r="V31" s="234">
        <f t="shared" si="16"/>
        <v>300</v>
      </c>
      <c r="W31" s="213" t="s">
        <v>303</v>
      </c>
      <c r="X31" s="234">
        <v>300.0</v>
      </c>
      <c r="Y31" s="240">
        <v>310.0</v>
      </c>
      <c r="Z31" s="234">
        <v>21500.0</v>
      </c>
      <c r="AA31" s="244">
        <v>0.08</v>
      </c>
      <c r="AB31" s="222">
        <f t="shared" si="17"/>
        <v>7198200</v>
      </c>
      <c r="AC31" s="122"/>
      <c r="AD31" s="248">
        <f t="shared" si="18"/>
        <v>46116</v>
      </c>
      <c r="AE31" s="240">
        <v>887.0</v>
      </c>
      <c r="AF31" s="226">
        <v>1.0</v>
      </c>
      <c r="AG31" s="126"/>
      <c r="AH31" s="222">
        <f>IFERROR(__xludf.DUMMYFUNCTION("IFERROR( INDEX( SORT(  FILTER(  {'1. DATA CHUNG'!$J$4:$J$105 , '1. DATA CHUNG'!$L$4:$L$105}, 
                (TRIM('1. DATA CHUNG'!$I$4:$I$105) = TRIM(K31)) * IF(SUMPRODUCT(('1. DATA CHUNG'!$I$4:$I$105=K31) * ('1. DATA CHUNG'!$M$4:$M$105=Q31)), '1. DATA "&amp;"CHUNG'!$M$4:$M$105=Q31, 1) * ('1. DATA CHUNG'!$L$4:$L$105 &lt;= TODAY()) ),    2, 0),  1, 1 ), 
    IFERROR( INDEX( FILTER( '1. DATA CHUNG'!$J$4:$J$105, 
                (TRIM('1. DATA CHUNG'!$I$4:$I$105) = TRIM(K31)) * IF(SUMPRODUCT(('1. DATA CHUNG'!$I$4:$I"&amp;"$105=K31) * ('1. DATA CHUNG'!$M$4:$M$105=Q31)), '1. DATA CHUNG'!$M$4:$M$105=Q31, 1) * ('1. DATA CHUNG'!$L$4:$L$105 = """") ),  1),  ""Không tìm thấy""))"),18.0)</f>
        <v>18</v>
      </c>
      <c r="AI31" s="245">
        <f t="shared" si="4"/>
        <v>46134</v>
      </c>
      <c r="AJ31" s="114">
        <v>35000.0</v>
      </c>
      <c r="AK31" s="222">
        <f t="shared" si="5"/>
        <v>105000</v>
      </c>
      <c r="AL31" s="229">
        <f t="shared" si="6"/>
        <v>11</v>
      </c>
      <c r="AM31" s="229">
        <f t="shared" si="7"/>
        <v>4</v>
      </c>
      <c r="AN31" s="230">
        <f t="shared" si="8"/>
        <v>0</v>
      </c>
      <c r="AO31" s="246" t="str">
        <f t="shared" si="9"/>
        <v>04/2026</v>
      </c>
      <c r="AP31" s="122" t="str">
        <f t="array" ref="AP31">IFERROR(XLOOKUP(L31,'2. DATA NL, VTBB'!C:C,'2. DATA NL, VTBB'!F:F),"")</f>
        <v>HH0146</v>
      </c>
      <c r="AQ31" s="226" t="s">
        <v>302</v>
      </c>
      <c r="AR31" s="241" t="str">
        <f t="array" ref="AR31">IFERROR(XLOOKUP(L31,'2. DATA NL, VTBB'!C:C,'2. DATA NL, VTBB'!G:G),"")</f>
        <v>IDA Global - I - 530.2 - Sức mạnh Tricyclazole - New 35gr - 300</v>
      </c>
      <c r="AS31" s="241" t="str">
        <f t="array" ref="AS31">IFERROR(XLOOKUP(L31,'2. DATA NL, VTBB'!C:C,'2. DATA NL, VTBB'!G:G),"")</f>
        <v>IDA Global - I - 530.2 - Sức mạnh Tricyclazole - New 35gr - 300</v>
      </c>
      <c r="AT31" s="111" t="s">
        <v>314</v>
      </c>
    </row>
    <row r="32" ht="32.25" customHeight="1">
      <c r="A32" s="109">
        <v>28.0</v>
      </c>
      <c r="B32" s="238">
        <v>46116.0</v>
      </c>
      <c r="C32" s="210">
        <f t="shared" si="19"/>
        <v>46134</v>
      </c>
      <c r="D32" s="210">
        <f t="shared" si="15"/>
        <v>46141</v>
      </c>
      <c r="E32" s="247">
        <v>46130.0</v>
      </c>
      <c r="F32" s="219" t="s">
        <v>561</v>
      </c>
      <c r="G32" s="219" t="s">
        <v>562</v>
      </c>
      <c r="H32" s="219" t="s">
        <v>304</v>
      </c>
      <c r="I32" s="219" t="s">
        <v>305</v>
      </c>
      <c r="J32" s="242" t="s">
        <v>617</v>
      </c>
      <c r="K32" s="212" t="s">
        <v>301</v>
      </c>
      <c r="L32" s="111" t="s">
        <v>618</v>
      </c>
      <c r="M32" s="243" t="str">
        <f t="array" ref="M32">IFERROR(XLOOKUP(L32,'2. DATA NL, VTBB'!C:C,'2. DATA NL, VTBB'!D:D),"")</f>
        <v>Thùng IDA chai HDPE tròn 500ml x 40 chai (58x37x21cm) - Trắng xanh lá</v>
      </c>
      <c r="N32" s="126"/>
      <c r="O32" s="217" t="str">
        <f t="array" ref="O32">IFERROR( XLOOKUP(L32,'2. DATA NL, VTBB'!C:C,'2. DATA NL, VTBB'!E:E),"")</f>
        <v>Remy 19EC</v>
      </c>
      <c r="P32" s="219" t="s">
        <v>565</v>
      </c>
      <c r="Q32" s="113" t="b">
        <v>0</v>
      </c>
      <c r="R32" s="219" t="s">
        <v>573</v>
      </c>
      <c r="S32" s="219" t="s">
        <v>574</v>
      </c>
      <c r="T32" s="113">
        <f t="shared" si="2"/>
        <v>3</v>
      </c>
      <c r="U32" s="219" t="s">
        <v>568</v>
      </c>
      <c r="V32" s="234">
        <f t="shared" si="16"/>
        <v>300</v>
      </c>
      <c r="W32" s="213" t="s">
        <v>303</v>
      </c>
      <c r="X32" s="234">
        <v>300.0</v>
      </c>
      <c r="Y32" s="240">
        <v>311.0</v>
      </c>
      <c r="Z32" s="234">
        <v>22000.0</v>
      </c>
      <c r="AA32" s="244">
        <v>0.08</v>
      </c>
      <c r="AB32" s="222">
        <f t="shared" si="17"/>
        <v>7389360</v>
      </c>
      <c r="AC32" s="122"/>
      <c r="AD32" s="248">
        <f t="shared" si="18"/>
        <v>46116</v>
      </c>
      <c r="AE32" s="240">
        <v>881.0</v>
      </c>
      <c r="AF32" s="226">
        <v>1.0</v>
      </c>
      <c r="AG32" s="122"/>
      <c r="AH32" s="222">
        <f>IFERROR(__xludf.DUMMYFUNCTION("IFERROR( INDEX( SORT(  FILTER(  {'1. DATA CHUNG'!$J$4:$J$105 , '1. DATA CHUNG'!$L$4:$L$105}, 
                (TRIM('1. DATA CHUNG'!$I$4:$I$105) = TRIM(K32)) * IF(SUMPRODUCT(('1. DATA CHUNG'!$I$4:$I$105=K32) * ('1. DATA CHUNG'!$M$4:$M$105=Q32)), '1. DATA "&amp;"CHUNG'!$M$4:$M$105=Q32, 1) * ('1. DATA CHUNG'!$L$4:$L$105 &lt;= TODAY()) ),    2, 0),  1, 1 ), 
    IFERROR( INDEX( FILTER( '1. DATA CHUNG'!$J$4:$J$105, 
                (TRIM('1. DATA CHUNG'!$I$4:$I$105) = TRIM(K32)) * IF(SUMPRODUCT(('1. DATA CHUNG'!$I$4:$I"&amp;"$105=K32) * ('1. DATA CHUNG'!$M$4:$M$105=Q32)), '1. DATA CHUNG'!$M$4:$M$105=Q32, 1) * ('1. DATA CHUNG'!$L$4:$L$105 = """") ),  1),  ""Không tìm thấy""))"),18.0)</f>
        <v>18</v>
      </c>
      <c r="AI32" s="245">
        <f t="shared" si="4"/>
        <v>46134</v>
      </c>
      <c r="AJ32" s="114">
        <v>35000.0</v>
      </c>
      <c r="AK32" s="222">
        <f t="shared" si="5"/>
        <v>105000</v>
      </c>
      <c r="AL32" s="229">
        <f t="shared" si="6"/>
        <v>11</v>
      </c>
      <c r="AM32" s="229">
        <f t="shared" si="7"/>
        <v>4</v>
      </c>
      <c r="AN32" s="230">
        <f t="shared" si="8"/>
        <v>0</v>
      </c>
      <c r="AO32" s="119" t="str">
        <f t="shared" si="9"/>
        <v>04/2026</v>
      </c>
      <c r="AP32" s="122" t="str">
        <f t="array" ref="AP32">IFERROR(XLOOKUP(L32,'2. DATA NL, VTBB'!C:C,'2. DATA NL, VTBB'!F:F),"")</f>
        <v>HH0263</v>
      </c>
      <c r="AQ32" s="226" t="s">
        <v>302</v>
      </c>
      <c r="AR32" s="241" t="str">
        <f t="array" ref="AR32">IFERROR(XLOOKUP(L32,'2. DATA NL, VTBB'!C:C,'2. DATA NL, VTBB'!G:G),"")</f>
        <v>GC - II - 682 - Đồng Phát - Doffatine 19 - 450ml - 40</v>
      </c>
      <c r="AS32" s="241" t="str">
        <f t="array" ref="AS32">IFERROR(XLOOKUP(L32,'2. DATA NL, VTBB'!C:C,'2. DATA NL, VTBB'!G:G),"")</f>
        <v>GC - II - 682 - Đồng Phát - Doffatine 19 - 450ml - 40</v>
      </c>
      <c r="AT32" s="111" t="s">
        <v>314</v>
      </c>
    </row>
    <row r="33" ht="32.25" customHeight="1">
      <c r="A33" s="109">
        <v>29.0</v>
      </c>
      <c r="B33" s="238">
        <v>46116.0</v>
      </c>
      <c r="C33" s="210">
        <f t="shared" si="19"/>
        <v>46134</v>
      </c>
      <c r="D33" s="210">
        <f t="shared" si="15"/>
        <v>46141</v>
      </c>
      <c r="E33" s="247">
        <v>46140.0</v>
      </c>
      <c r="F33" s="219" t="s">
        <v>561</v>
      </c>
      <c r="G33" s="219" t="s">
        <v>562</v>
      </c>
      <c r="H33" s="219" t="s">
        <v>304</v>
      </c>
      <c r="I33" s="219" t="s">
        <v>305</v>
      </c>
      <c r="J33" s="242" t="s">
        <v>617</v>
      </c>
      <c r="K33" s="212" t="s">
        <v>301</v>
      </c>
      <c r="L33" s="111" t="s">
        <v>619</v>
      </c>
      <c r="M33" s="243" t="str">
        <f t="array" ref="M33">IFERROR(XLOOKUP(L33,'2. DATA NL, VTBB'!C:C,'2. DATA NL, VTBB'!D:D),"")</f>
        <v>Thùng IDA chai HDPE/PAPE PICOSUPER 280SC 250ml, 240ml, 200ml x 40 chai (49.5x30.5x15cm) - Trắng xanh lam</v>
      </c>
      <c r="N33" s="126"/>
      <c r="O33" s="126" t="str">
        <f t="array" ref="O33">IFERROR( XLOOKUP(L33,'2. DATA NL, VTBB'!C:C,'2. DATA NL, VTBB'!E:E),"")</f>
        <v>TVZEB 800WP</v>
      </c>
      <c r="P33" s="219" t="s">
        <v>565</v>
      </c>
      <c r="Q33" s="126"/>
      <c r="R33" s="219" t="s">
        <v>573</v>
      </c>
      <c r="S33" s="219" t="s">
        <v>574</v>
      </c>
      <c r="T33" s="113">
        <f t="shared" si="2"/>
        <v>3</v>
      </c>
      <c r="U33" s="219" t="s">
        <v>568</v>
      </c>
      <c r="V33" s="234">
        <f t="shared" si="16"/>
        <v>300</v>
      </c>
      <c r="W33" s="213" t="s">
        <v>303</v>
      </c>
      <c r="X33" s="114">
        <v>300.0</v>
      </c>
      <c r="Y33" s="250">
        <v>310.0</v>
      </c>
      <c r="Z33" s="114">
        <v>15000.0</v>
      </c>
      <c r="AA33" s="244">
        <v>0.08</v>
      </c>
      <c r="AB33" s="222">
        <f t="shared" si="17"/>
        <v>5022000</v>
      </c>
      <c r="AC33" s="122"/>
      <c r="AD33" s="248">
        <f t="shared" si="18"/>
        <v>46116</v>
      </c>
      <c r="AE33" s="251">
        <v>995.0</v>
      </c>
      <c r="AF33" s="226">
        <v>1.0</v>
      </c>
      <c r="AG33" s="112"/>
      <c r="AH33" s="222">
        <f>IFERROR(__xludf.DUMMYFUNCTION("IFERROR( INDEX( SORT(  FILTER(  {'1. DATA CHUNG'!$J$4:$J$105 , '1. DATA CHUNG'!$L$4:$L$105}, 
                (TRIM('1. DATA CHUNG'!$I$4:$I$105) = TRIM(K33)) * IF(SUMPRODUCT(('1. DATA CHUNG'!$I$4:$I$105=K33) * ('1. DATA CHUNG'!$M$4:$M$105=Q33)), '1. DATA "&amp;"CHUNG'!$M$4:$M$105=Q33, 1) * ('1. DATA CHUNG'!$L$4:$L$105 &lt;= TODAY()) ),    2, 0),  1, 1 ), 
    IFERROR( INDEX( FILTER( '1. DATA CHUNG'!$J$4:$J$105, 
                (TRIM('1. DATA CHUNG'!$I$4:$I$105) = TRIM(K33)) * IF(SUMPRODUCT(('1. DATA CHUNG'!$I$4:$I"&amp;"$105=K33) * ('1. DATA CHUNG'!$M$4:$M$105=Q33)), '1. DATA CHUNG'!$M$4:$M$105=Q33, 1) * ('1. DATA CHUNG'!$L$4:$L$105 = """") ),  1),  ""Không tìm thấy""))"),18.0)</f>
        <v>18</v>
      </c>
      <c r="AI33" s="245">
        <f t="shared" si="4"/>
        <v>46134</v>
      </c>
      <c r="AJ33" s="114">
        <v>35000.0</v>
      </c>
      <c r="AK33" s="222">
        <f t="shared" ref="AK33:AK42" si="20">T32*AJ33</f>
        <v>105000</v>
      </c>
      <c r="AL33" s="229">
        <f t="shared" si="6"/>
        <v>1</v>
      </c>
      <c r="AM33" s="229">
        <f t="shared" si="7"/>
        <v>-6</v>
      </c>
      <c r="AN33" s="230">
        <f t="shared" si="8"/>
        <v>0</v>
      </c>
      <c r="AO33" s="119" t="str">
        <f t="shared" si="9"/>
        <v>04/2026</v>
      </c>
      <c r="AP33" s="122" t="str">
        <f t="array" ref="AP33">IFERROR(XLOOKUP(L33,'2. DATA NL, VTBB'!C:C,'2. DATA NL, VTBB'!F:F),"")</f>
        <v>HH0280</v>
      </c>
      <c r="AQ33" s="226" t="s">
        <v>302</v>
      </c>
      <c r="AR33" s="241" t="str">
        <f t="array" ref="AR33">IFERROR(XLOOKUP(L33,'2. DATA NL, VTBB'!C:C,'2. DATA NL, VTBB'!G:G),"")</f>
        <v>GC - II - 697 - Agriplant - Mancozeb Xanh - 1kg - 20</v>
      </c>
      <c r="AS33" s="241" t="str">
        <f t="array" ref="AS33">IFERROR(XLOOKUP(L33,'2. DATA NL, VTBB'!C:C,'2. DATA NL, VTBB'!G:G),"")</f>
        <v>GC - II - 697 - Agriplant - Mancozeb Xanh - 1kg - 20</v>
      </c>
      <c r="AT33" s="111" t="s">
        <v>314</v>
      </c>
    </row>
    <row r="34" ht="32.25" customHeight="1">
      <c r="A34" s="109">
        <v>30.0</v>
      </c>
      <c r="B34" s="238">
        <v>46122.0</v>
      </c>
      <c r="C34" s="210">
        <f t="shared" si="19"/>
        <v>46140</v>
      </c>
      <c r="D34" s="210">
        <f t="shared" si="15"/>
        <v>46147</v>
      </c>
      <c r="E34" s="247">
        <v>46147.0</v>
      </c>
      <c r="F34" s="219" t="s">
        <v>561</v>
      </c>
      <c r="G34" s="219" t="s">
        <v>580</v>
      </c>
      <c r="H34" s="219" t="s">
        <v>304</v>
      </c>
      <c r="I34" s="219" t="s">
        <v>305</v>
      </c>
      <c r="J34" s="242" t="s">
        <v>620</v>
      </c>
      <c r="K34" s="212" t="s">
        <v>301</v>
      </c>
      <c r="L34" s="111" t="s">
        <v>621</v>
      </c>
      <c r="M34" s="243" t="str">
        <f t="array" ref="M34">IFERROR(XLOOKUP(L34,'2. DATA NL, VTBB'!C:C,'2. DATA NL, VTBB'!D:D),"")</f>
        <v>Thùng IDA gói Centertaner lớn 50gr x 100 gói (48.5x36.5x16.5cm) - Trắng xanh lá</v>
      </c>
      <c r="N34" s="126"/>
      <c r="O34" s="126" t="str">
        <f t="array" ref="O34">IFERROR( XLOOKUP(L34,'2. DATA NL, VTBB'!C:C,'2. DATA NL, VTBB'!E:E),"")</f>
        <v>Tikabamec 3.6EC</v>
      </c>
      <c r="P34" s="219" t="s">
        <v>565</v>
      </c>
      <c r="Q34" s="126"/>
      <c r="R34" s="219" t="s">
        <v>622</v>
      </c>
      <c r="S34" s="219" t="s">
        <v>574</v>
      </c>
      <c r="T34" s="113">
        <f t="shared" si="2"/>
        <v>3</v>
      </c>
      <c r="U34" s="219" t="s">
        <v>568</v>
      </c>
      <c r="V34" s="234">
        <f t="shared" si="16"/>
        <v>300</v>
      </c>
      <c r="W34" s="213" t="s">
        <v>303</v>
      </c>
      <c r="X34" s="114">
        <v>300.0</v>
      </c>
      <c r="Y34" s="251">
        <v>319.0</v>
      </c>
      <c r="Z34" s="114">
        <v>18600.0</v>
      </c>
      <c r="AA34" s="244">
        <v>0.08</v>
      </c>
      <c r="AB34" s="222">
        <f t="shared" si="17"/>
        <v>6408072</v>
      </c>
      <c r="AC34" s="122"/>
      <c r="AD34" s="248">
        <f t="shared" si="18"/>
        <v>46122</v>
      </c>
      <c r="AE34" s="251">
        <v>1020.0</v>
      </c>
      <c r="AF34" s="226">
        <v>1.0</v>
      </c>
      <c r="AG34" s="112" t="s">
        <v>623</v>
      </c>
      <c r="AH34" s="222">
        <f>IFERROR(__xludf.DUMMYFUNCTION("IFERROR( INDEX( SORT(  FILTER(  {'1. DATA CHUNG'!$J$4:$J$105 , '1. DATA CHUNG'!$L$4:$L$105}, 
                (TRIM('1. DATA CHUNG'!$I$4:$I$105) = TRIM(K34)) * IF(SUMPRODUCT(('1. DATA CHUNG'!$I$4:$I$105=K34) * ('1. DATA CHUNG'!$M$4:$M$105=Q34)), '1. DATA "&amp;"CHUNG'!$M$4:$M$105=Q34, 1) * ('1. DATA CHUNG'!$L$4:$L$105 &lt;= TODAY()) ),    2, 0),  1, 1 ), 
    IFERROR( INDEX( FILTER( '1. DATA CHUNG'!$J$4:$J$105, 
                (TRIM('1. DATA CHUNG'!$I$4:$I$105) = TRIM(K34)) * IF(SUMPRODUCT(('1. DATA CHUNG'!$I$4:$I"&amp;"$105=K34) * ('1. DATA CHUNG'!$M$4:$M$105=Q34)), '1. DATA CHUNG'!$M$4:$M$105=Q34, 1) * ('1. DATA CHUNG'!$L$4:$L$105 = """") ),  1),  ""Không tìm thấy""))"),18.0)</f>
        <v>18</v>
      </c>
      <c r="AI34" s="245">
        <f t="shared" si="4"/>
        <v>46140</v>
      </c>
      <c r="AJ34" s="114">
        <v>35000.0</v>
      </c>
      <c r="AK34" s="222">
        <f t="shared" si="20"/>
        <v>105000</v>
      </c>
      <c r="AL34" s="229">
        <f t="shared" si="6"/>
        <v>0</v>
      </c>
      <c r="AM34" s="229">
        <f t="shared" si="7"/>
        <v>-7</v>
      </c>
      <c r="AN34" s="230">
        <f t="shared" si="8"/>
        <v>0</v>
      </c>
      <c r="AO34" s="119" t="str">
        <f t="shared" si="9"/>
        <v>04/2026</v>
      </c>
      <c r="AP34" s="122" t="str">
        <f t="array" ref="AP34">IFERROR(XLOOKUP(L34,'2. DATA NL, VTBB'!C:C,'2. DATA NL, VTBB'!F:F),"")</f>
        <v>HH0190</v>
      </c>
      <c r="AQ34" s="226" t="s">
        <v>302</v>
      </c>
      <c r="AR34" s="241" t="str">
        <f t="array" ref="AR34">IFERROR(XLOOKUP(L34,'2. DATA NL, VTBB'!C:C,'2. DATA NL, VTBB'!G:G),"")</f>
        <v>GC - II - 597 - MK Group - Amec 3.6EC (Pet tròn) (nước trong) (thân trắng, nắp trắng) - 450ml - 40</v>
      </c>
      <c r="AS34" s="241" t="str">
        <f t="array" ref="AS34">IFERROR(XLOOKUP(L34,'2. DATA NL, VTBB'!C:C,'2. DATA NL, VTBB'!G:G),"")</f>
        <v>GC - II - 597 - MK Group - Amec 3.6EC (Pet tròn) (nước trong) (thân trắng, nắp trắng) - 450ml - 40</v>
      </c>
      <c r="AT34" s="111" t="s">
        <v>314</v>
      </c>
    </row>
    <row r="35" ht="32.25" customHeight="1">
      <c r="A35" s="109">
        <v>31.0</v>
      </c>
      <c r="B35" s="238">
        <v>46122.0</v>
      </c>
      <c r="C35" s="210">
        <f t="shared" si="19"/>
        <v>46140</v>
      </c>
      <c r="D35" s="210">
        <f t="shared" si="15"/>
        <v>46147</v>
      </c>
      <c r="E35" s="247">
        <v>46137.0</v>
      </c>
      <c r="F35" s="219" t="s">
        <v>561</v>
      </c>
      <c r="G35" s="219" t="s">
        <v>580</v>
      </c>
      <c r="H35" s="219" t="s">
        <v>304</v>
      </c>
      <c r="I35" s="219" t="s">
        <v>305</v>
      </c>
      <c r="J35" s="242" t="s">
        <v>624</v>
      </c>
      <c r="K35" s="212" t="s">
        <v>301</v>
      </c>
      <c r="L35" s="111" t="s">
        <v>625</v>
      </c>
      <c r="M35" s="243" t="str">
        <f t="array" ref="M35">IFERROR(XLOOKUP(L35,'2. DATA NL, VTBB'!C:C,'2. DATA NL, VTBB'!D:D),"")</f>
        <v>Thùng IDA Chai Pet Vuông 35 450ml -500ml x 40 chai (44.5x39x20cm) - Trắng xanh lá</v>
      </c>
      <c r="N35" s="126"/>
      <c r="O35" s="126" t="str">
        <f t="array" ref="O35">IFERROR( XLOOKUP(L35,'2. DATA NL, VTBB'!C:C,'2. DATA NL, VTBB'!E:E),"")</f>
        <v>Vi lượng Quantity New</v>
      </c>
      <c r="P35" s="219" t="s">
        <v>565</v>
      </c>
      <c r="Q35" s="126" t="b">
        <v>0</v>
      </c>
      <c r="R35" s="219" t="s">
        <v>573</v>
      </c>
      <c r="S35" s="219" t="s">
        <v>574</v>
      </c>
      <c r="T35" s="113">
        <f t="shared" si="2"/>
        <v>3</v>
      </c>
      <c r="U35" s="219" t="s">
        <v>568</v>
      </c>
      <c r="V35" s="234">
        <f t="shared" si="16"/>
        <v>300</v>
      </c>
      <c r="W35" s="213" t="s">
        <v>303</v>
      </c>
      <c r="X35" s="114">
        <v>300.0</v>
      </c>
      <c r="Y35" s="251">
        <v>306.0</v>
      </c>
      <c r="Z35" s="114">
        <v>18700.0</v>
      </c>
      <c r="AA35" s="244">
        <v>0.08</v>
      </c>
      <c r="AB35" s="222">
        <f t="shared" si="17"/>
        <v>6179976</v>
      </c>
      <c r="AC35" s="122"/>
      <c r="AD35" s="248">
        <f t="shared" si="18"/>
        <v>46122</v>
      </c>
      <c r="AE35" s="251">
        <v>961.0</v>
      </c>
      <c r="AF35" s="226">
        <v>1.0</v>
      </c>
      <c r="AG35" s="126"/>
      <c r="AH35" s="222">
        <f>IFERROR(__xludf.DUMMYFUNCTION("IFERROR( INDEX( SORT(  FILTER(  {'1. DATA CHUNG'!$J$4:$J$105 , '1. DATA CHUNG'!$L$4:$L$105}, 
                (TRIM('1. DATA CHUNG'!$I$4:$I$105) = TRIM(K35)) * IF(SUMPRODUCT(('1. DATA CHUNG'!$I$4:$I$105=K35) * ('1. DATA CHUNG'!$M$4:$M$105=Q35)), '1. DATA "&amp;"CHUNG'!$M$4:$M$105=Q35, 1) * ('1. DATA CHUNG'!$L$4:$L$105 &lt;= TODAY()) ),    2, 0),  1, 1 ), 
    IFERROR( INDEX( FILTER( '1. DATA CHUNG'!$J$4:$J$105, 
                (TRIM('1. DATA CHUNG'!$I$4:$I$105) = TRIM(K35)) * IF(SUMPRODUCT(('1. DATA CHUNG'!$I$4:$I"&amp;"$105=K35) * ('1. DATA CHUNG'!$M$4:$M$105=Q35)), '1. DATA CHUNG'!$M$4:$M$105=Q35, 1) * ('1. DATA CHUNG'!$L$4:$L$105 = """") ),  1),  ""Không tìm thấy""))"),18.0)</f>
        <v>18</v>
      </c>
      <c r="AI35" s="245">
        <f t="shared" si="4"/>
        <v>46140</v>
      </c>
      <c r="AJ35" s="114">
        <v>35000.0</v>
      </c>
      <c r="AK35" s="222">
        <f t="shared" si="20"/>
        <v>105000</v>
      </c>
      <c r="AL35" s="229">
        <f t="shared" si="6"/>
        <v>10</v>
      </c>
      <c r="AM35" s="229">
        <f t="shared" si="7"/>
        <v>3</v>
      </c>
      <c r="AN35" s="230">
        <f t="shared" si="8"/>
        <v>0</v>
      </c>
      <c r="AO35" s="119" t="str">
        <f t="shared" si="9"/>
        <v>04/2026</v>
      </c>
      <c r="AP35" s="122" t="str">
        <f t="array" ref="AP35">IFERROR(XLOOKUP(L35,'2. DATA NL, VTBB'!C:C,'2. DATA NL, VTBB'!F:F),"")</f>
        <v>HH0173</v>
      </c>
      <c r="AQ35" s="226" t="s">
        <v>302</v>
      </c>
      <c r="AR35" s="241" t="str">
        <f t="array" ref="AR35">IFERROR(XLOOKUP(L35,'2. DATA NL, VTBB'!C:C,'2. DATA NL, VTBB'!G:G),"")</f>
        <v>GC - II - 583 - A Thời GNH - Siêu ra hoa (Chai HD) - 500ml - 40</v>
      </c>
      <c r="AS35" s="241" t="str">
        <f t="array" ref="AS35">IFERROR(XLOOKUP(L35,'2. DATA NL, VTBB'!C:C,'2. DATA NL, VTBB'!G:G),"")</f>
        <v>GC - II - 583 - A Thời GNH - Siêu ra hoa (Chai HD) - 500ml - 40</v>
      </c>
      <c r="AT35" s="111" t="s">
        <v>314</v>
      </c>
    </row>
    <row r="36" ht="32.25" customHeight="1">
      <c r="A36" s="109">
        <v>32.0</v>
      </c>
      <c r="B36" s="238">
        <v>46122.0</v>
      </c>
      <c r="C36" s="210">
        <f t="shared" si="19"/>
        <v>46140</v>
      </c>
      <c r="D36" s="210">
        <f t="shared" si="15"/>
        <v>46147</v>
      </c>
      <c r="E36" s="247">
        <v>46139.0</v>
      </c>
      <c r="F36" s="219" t="s">
        <v>561</v>
      </c>
      <c r="G36" s="219" t="s">
        <v>562</v>
      </c>
      <c r="H36" s="219" t="s">
        <v>304</v>
      </c>
      <c r="I36" s="219" t="s">
        <v>320</v>
      </c>
      <c r="J36" s="242" t="s">
        <v>626</v>
      </c>
      <c r="K36" s="212" t="s">
        <v>301</v>
      </c>
      <c r="L36" s="111" t="s">
        <v>627</v>
      </c>
      <c r="M36" s="243" t="str">
        <f t="array" ref="M36">IFERROR(XLOOKUP(L36,'2. DATA NL, VTBB'!C:C,'2. DATA NL, VTBB'!D:D),"")</f>
        <v>Thùng R3 chai 350ml x 40 chai (55.5x35.5x15.5cm) - Xanh viền xanh trắng vàng</v>
      </c>
      <c r="N36" s="126"/>
      <c r="O36" s="126" t="str">
        <f t="array" ref="O36">IFERROR( XLOOKUP(L36,'2. DATA NL, VTBB'!C:C,'2. DATA NL, VTBB'!E:E),"")</f>
        <v>Prima 04</v>
      </c>
      <c r="P36" s="219" t="s">
        <v>565</v>
      </c>
      <c r="Q36" s="126" t="b">
        <v>0</v>
      </c>
      <c r="R36" s="219" t="s">
        <v>566</v>
      </c>
      <c r="S36" s="219" t="s">
        <v>567</v>
      </c>
      <c r="T36" s="113">
        <f t="shared" si="2"/>
        <v>1.5</v>
      </c>
      <c r="U36" s="219" t="s">
        <v>568</v>
      </c>
      <c r="V36" s="234">
        <f t="shared" si="16"/>
        <v>150</v>
      </c>
      <c r="W36" s="213" t="s">
        <v>303</v>
      </c>
      <c r="X36" s="114">
        <v>150.0</v>
      </c>
      <c r="Y36" s="251">
        <v>147.0</v>
      </c>
      <c r="Z36" s="114">
        <v>19000.0</v>
      </c>
      <c r="AA36" s="244">
        <v>0.08</v>
      </c>
      <c r="AB36" s="222">
        <f t="shared" si="17"/>
        <v>3016440</v>
      </c>
      <c r="AC36" s="122"/>
      <c r="AD36" s="248">
        <f t="shared" si="18"/>
        <v>46122</v>
      </c>
      <c r="AE36" s="251">
        <v>158.0</v>
      </c>
      <c r="AF36" s="226">
        <v>1.0</v>
      </c>
      <c r="AG36" s="112"/>
      <c r="AH36" s="222">
        <f>IFERROR(__xludf.DUMMYFUNCTION("IFERROR( INDEX( SORT(  FILTER(  {'1. DATA CHUNG'!$J$4:$J$105 , '1. DATA CHUNG'!$L$4:$L$105}, 
                (TRIM('1. DATA CHUNG'!$I$4:$I$105) = TRIM(K36)) * IF(SUMPRODUCT(('1. DATA CHUNG'!$I$4:$I$105=K36) * ('1. DATA CHUNG'!$M$4:$M$105=Q36)), '1. DATA "&amp;"CHUNG'!$M$4:$M$105=Q36, 1) * ('1. DATA CHUNG'!$L$4:$L$105 &lt;= TODAY()) ),    2, 0),  1, 1 ), 
    IFERROR( INDEX( FILTER( '1. DATA CHUNG'!$J$4:$J$105, 
                (TRIM('1. DATA CHUNG'!$I$4:$I$105) = TRIM(K36)) * IF(SUMPRODUCT(('1. DATA CHUNG'!$I$4:$I"&amp;"$105=K36) * ('1. DATA CHUNG'!$M$4:$M$105=Q36)), '1. DATA CHUNG'!$M$4:$M$105=Q36, 1) * ('1. DATA CHUNG'!$L$4:$L$105 = """") ),  1),  ""Không tìm thấy""))"),18.0)</f>
        <v>18</v>
      </c>
      <c r="AI36" s="245">
        <f t="shared" si="4"/>
        <v>46140</v>
      </c>
      <c r="AJ36" s="114">
        <v>35000.0</v>
      </c>
      <c r="AK36" s="222">
        <f t="shared" si="20"/>
        <v>105000</v>
      </c>
      <c r="AL36" s="229">
        <f t="shared" si="6"/>
        <v>8</v>
      </c>
      <c r="AM36" s="229">
        <f t="shared" si="7"/>
        <v>1</v>
      </c>
      <c r="AN36" s="230">
        <f t="shared" si="8"/>
        <v>0</v>
      </c>
      <c r="AO36" s="119" t="str">
        <f t="shared" si="9"/>
        <v>04/2026</v>
      </c>
      <c r="AP36" s="122" t="str">
        <f t="array" ref="AP36">IFERROR(XLOOKUP(L36,'2. DATA NL, VTBB'!C:C,'2. DATA NL, VTBB'!F:F),"")</f>
        <v>HH0247</v>
      </c>
      <c r="AQ36" s="226" t="s">
        <v>302</v>
      </c>
      <c r="AR36" s="241" t="str">
        <f t="array" ref="AR36">IFERROR(XLOOKUP(L36,'2. DATA NL, VTBB'!C:C,'2. DATA NL, VTBB'!G:G),"")</f>
        <v>GC - II - 665 - Nông Lâm Hoà Phát - Humiix Us - 1kg - 25 ([btp],t)</v>
      </c>
      <c r="AS36" s="241" t="str">
        <f t="array" ref="AS36">IFERROR(XLOOKUP(L36,'2. DATA NL, VTBB'!C:C,'2. DATA NL, VTBB'!G:G),"")</f>
        <v>GC - II - 665 - Nông Lâm Hoà Phát - Humiix Us - 1kg - 25 ([btp],t)</v>
      </c>
      <c r="AT36" s="111" t="s">
        <v>628</v>
      </c>
    </row>
    <row r="37" ht="32.25" customHeight="1">
      <c r="A37" s="109">
        <v>33.0</v>
      </c>
      <c r="B37" s="238">
        <v>46122.0</v>
      </c>
      <c r="C37" s="210">
        <f t="shared" si="19"/>
        <v>46140</v>
      </c>
      <c r="D37" s="210">
        <f t="shared" si="15"/>
        <v>46147</v>
      </c>
      <c r="E37" s="247">
        <v>46139.0</v>
      </c>
      <c r="F37" s="219" t="s">
        <v>561</v>
      </c>
      <c r="G37" s="219" t="s">
        <v>562</v>
      </c>
      <c r="H37" s="219" t="s">
        <v>304</v>
      </c>
      <c r="I37" s="219" t="s">
        <v>320</v>
      </c>
      <c r="J37" s="242" t="s">
        <v>626</v>
      </c>
      <c r="K37" s="212" t="s">
        <v>301</v>
      </c>
      <c r="L37" s="111" t="s">
        <v>627</v>
      </c>
      <c r="M37" s="243" t="str">
        <f t="array" ref="M37">IFERROR(XLOOKUP(L37,'2. DATA NL, VTBB'!C:C,'2. DATA NL, VTBB'!D:D),"")</f>
        <v>Thùng R3 chai 350ml x 40 chai (55.5x35.5x15.5cm) - Xanh viền xanh trắng vàng</v>
      </c>
      <c r="N37" s="126"/>
      <c r="O37" s="126" t="str">
        <f t="array" ref="O37">IFERROR( XLOOKUP(L37,'2. DATA NL, VTBB'!C:C,'2. DATA NL, VTBB'!E:E),"")</f>
        <v>Prima 04</v>
      </c>
      <c r="P37" s="219" t="s">
        <v>565</v>
      </c>
      <c r="Q37" s="126" t="b">
        <v>0</v>
      </c>
      <c r="R37" s="219" t="s">
        <v>573</v>
      </c>
      <c r="S37" s="219" t="s">
        <v>574</v>
      </c>
      <c r="T37" s="113">
        <f t="shared" si="2"/>
        <v>1.5</v>
      </c>
      <c r="U37" s="219" t="s">
        <v>568</v>
      </c>
      <c r="V37" s="234">
        <f t="shared" si="16"/>
        <v>150</v>
      </c>
      <c r="W37" s="213" t="s">
        <v>303</v>
      </c>
      <c r="X37" s="114">
        <v>150.0</v>
      </c>
      <c r="Y37" s="251">
        <v>150.0</v>
      </c>
      <c r="Z37" s="114">
        <v>19000.0</v>
      </c>
      <c r="AA37" s="244">
        <v>0.08</v>
      </c>
      <c r="AB37" s="222">
        <f t="shared" si="17"/>
        <v>3078000</v>
      </c>
      <c r="AC37" s="122"/>
      <c r="AD37" s="248">
        <f t="shared" si="18"/>
        <v>46122</v>
      </c>
      <c r="AE37" s="251">
        <v>158.0</v>
      </c>
      <c r="AF37" s="226">
        <v>1.0</v>
      </c>
      <c r="AG37" s="112"/>
      <c r="AH37" s="222">
        <f>IFERROR(__xludf.DUMMYFUNCTION("IFERROR( INDEX( SORT(  FILTER(  {'1. DATA CHUNG'!$J$4:$J$105 , '1. DATA CHUNG'!$L$4:$L$105}, 
                (TRIM('1. DATA CHUNG'!$I$4:$I$105) = TRIM(K37)) * IF(SUMPRODUCT(('1. DATA CHUNG'!$I$4:$I$105=K37) * ('1. DATA CHUNG'!$M$4:$M$105=Q37)), '1. DATA "&amp;"CHUNG'!$M$4:$M$105=Q37, 1) * ('1. DATA CHUNG'!$L$4:$L$105 &lt;= TODAY()) ),    2, 0),  1, 1 ), 
    IFERROR( INDEX( FILTER( '1. DATA CHUNG'!$J$4:$J$105, 
                (TRIM('1. DATA CHUNG'!$I$4:$I$105) = TRIM(K37)) * IF(SUMPRODUCT(('1. DATA CHUNG'!$I$4:$I"&amp;"$105=K37) * ('1. DATA CHUNG'!$M$4:$M$105=Q37)), '1. DATA CHUNG'!$M$4:$M$105=Q37, 1) * ('1. DATA CHUNG'!$L$4:$L$105 = """") ),  1),  ""Không tìm thấy""))"),18.0)</f>
        <v>18</v>
      </c>
      <c r="AI37" s="245">
        <f t="shared" si="4"/>
        <v>46140</v>
      </c>
      <c r="AJ37" s="114">
        <v>35000.0</v>
      </c>
      <c r="AK37" s="222">
        <f t="shared" si="20"/>
        <v>52500</v>
      </c>
      <c r="AL37" s="229">
        <f t="shared" si="6"/>
        <v>8</v>
      </c>
      <c r="AM37" s="229">
        <f t="shared" si="7"/>
        <v>1</v>
      </c>
      <c r="AN37" s="230">
        <f t="shared" si="8"/>
        <v>0</v>
      </c>
      <c r="AO37" s="119" t="str">
        <f t="shared" si="9"/>
        <v>04/2026</v>
      </c>
      <c r="AP37" s="122" t="str">
        <f t="array" ref="AP37">IFERROR(XLOOKUP(L37,'2. DATA NL, VTBB'!C:C,'2. DATA NL, VTBB'!F:F),"")</f>
        <v>HH0247</v>
      </c>
      <c r="AQ37" s="226" t="s">
        <v>302</v>
      </c>
      <c r="AR37" s="241" t="str">
        <f t="array" ref="AR37">IFERROR(XLOOKUP(L37,'2. DATA NL, VTBB'!C:C,'2. DATA NL, VTBB'!G:G),"")</f>
        <v>GC - II - 665 - Nông Lâm Hoà Phát - Humiix Us - 1kg - 25 ([btp],t)</v>
      </c>
      <c r="AS37" s="241" t="str">
        <f t="array" ref="AS37">IFERROR(XLOOKUP(L37,'2. DATA NL, VTBB'!C:C,'2. DATA NL, VTBB'!G:G),"")</f>
        <v>GC - II - 665 - Nông Lâm Hoà Phát - Humiix Us - 1kg - 25 ([btp],t)</v>
      </c>
      <c r="AT37" s="111" t="s">
        <v>628</v>
      </c>
    </row>
    <row r="38" ht="32.25" customHeight="1">
      <c r="A38" s="109">
        <v>34.0</v>
      </c>
      <c r="B38" s="238">
        <v>46122.0</v>
      </c>
      <c r="C38" s="210">
        <f t="shared" si="19"/>
        <v>46140</v>
      </c>
      <c r="D38" s="210">
        <f t="shared" si="15"/>
        <v>46147</v>
      </c>
      <c r="E38" s="247">
        <v>46147.0</v>
      </c>
      <c r="F38" s="219" t="s">
        <v>561</v>
      </c>
      <c r="G38" s="219" t="s">
        <v>562</v>
      </c>
      <c r="H38" s="219" t="s">
        <v>304</v>
      </c>
      <c r="I38" s="219" t="s">
        <v>320</v>
      </c>
      <c r="J38" s="242" t="s">
        <v>626</v>
      </c>
      <c r="K38" s="212" t="s">
        <v>301</v>
      </c>
      <c r="L38" s="111" t="s">
        <v>629</v>
      </c>
      <c r="M38" s="243" t="str">
        <f t="array" ref="M38">IFERROR(XLOOKUP(L38,'2. DATA NL, VTBB'!C:C,'2. DATA NL, VTBB'!D:D),"")</f>
        <v>Thùng Nano Fish can 5 Lít x 4 can (40.5x32.5x25cm) - Trắng</v>
      </c>
      <c r="N38" s="126"/>
      <c r="O38" s="126" t="str">
        <f t="array" ref="O38">IFERROR( XLOOKUP(L38,'2. DATA NL, VTBB'!C:C,'2. DATA NL, VTBB'!E:E),"")</f>
        <v>Solonapy 300SC</v>
      </c>
      <c r="P38" s="219" t="s">
        <v>565</v>
      </c>
      <c r="Q38" s="126" t="b">
        <v>0</v>
      </c>
      <c r="R38" s="219" t="s">
        <v>566</v>
      </c>
      <c r="S38" s="219" t="s">
        <v>567</v>
      </c>
      <c r="T38" s="113">
        <f t="shared" si="2"/>
        <v>2</v>
      </c>
      <c r="U38" s="219" t="s">
        <v>568</v>
      </c>
      <c r="V38" s="234">
        <f t="shared" si="16"/>
        <v>200</v>
      </c>
      <c r="W38" s="213" t="s">
        <v>303</v>
      </c>
      <c r="X38" s="114">
        <v>200.0</v>
      </c>
      <c r="Y38" s="251">
        <v>200.0</v>
      </c>
      <c r="Z38" s="114">
        <v>16400.0</v>
      </c>
      <c r="AA38" s="244">
        <v>0.08</v>
      </c>
      <c r="AB38" s="222">
        <f t="shared" si="17"/>
        <v>3542400</v>
      </c>
      <c r="AC38" s="122"/>
      <c r="AD38" s="248">
        <f t="shared" si="18"/>
        <v>46122</v>
      </c>
      <c r="AE38" s="251">
        <v>158.0</v>
      </c>
      <c r="AF38" s="226">
        <v>1.0</v>
      </c>
      <c r="AG38" s="112"/>
      <c r="AH38" s="222">
        <f>IFERROR(__xludf.DUMMYFUNCTION("IFERROR( INDEX( SORT(  FILTER(  {'1. DATA CHUNG'!$J$4:$J$105 , '1. DATA CHUNG'!$L$4:$L$105}, 
                (TRIM('1. DATA CHUNG'!$I$4:$I$105) = TRIM(K38)) * IF(SUMPRODUCT(('1. DATA CHUNG'!$I$4:$I$105=K38) * ('1. DATA CHUNG'!$M$4:$M$105=Q38)), '1. DATA "&amp;"CHUNG'!$M$4:$M$105=Q38, 1) * ('1. DATA CHUNG'!$L$4:$L$105 &lt;= TODAY()) ),    2, 0),  1, 1 ), 
    IFERROR( INDEX( FILTER( '1. DATA CHUNG'!$J$4:$J$105, 
                (TRIM('1. DATA CHUNG'!$I$4:$I$105) = TRIM(K38)) * IF(SUMPRODUCT(('1. DATA CHUNG'!$I$4:$I"&amp;"$105=K38) * ('1. DATA CHUNG'!$M$4:$M$105=Q38)), '1. DATA CHUNG'!$M$4:$M$105=Q38, 1) * ('1. DATA CHUNG'!$L$4:$L$105 = """") ),  1),  ""Không tìm thấy""))"),18.0)</f>
        <v>18</v>
      </c>
      <c r="AI38" s="245">
        <f t="shared" si="4"/>
        <v>46140</v>
      </c>
      <c r="AJ38" s="114">
        <v>35000.0</v>
      </c>
      <c r="AK38" s="222">
        <f t="shared" si="20"/>
        <v>52500</v>
      </c>
      <c r="AL38" s="229">
        <f t="shared" si="6"/>
        <v>0</v>
      </c>
      <c r="AM38" s="229">
        <f t="shared" si="7"/>
        <v>-7</v>
      </c>
      <c r="AN38" s="230">
        <f t="shared" si="8"/>
        <v>0</v>
      </c>
      <c r="AO38" s="119" t="str">
        <f t="shared" si="9"/>
        <v>04/2026</v>
      </c>
      <c r="AP38" s="122" t="str">
        <f t="array" ref="AP38">IFERROR(XLOOKUP(L38,'2. DATA NL, VTBB'!C:C,'2. DATA NL, VTBB'!F:F),"")</f>
        <v>HH0086</v>
      </c>
      <c r="AQ38" s="226" t="s">
        <v>302</v>
      </c>
      <c r="AR38" s="241" t="str">
        <f t="array" ref="AR38">IFERROR(XLOOKUP(L38,'2. DATA NL, VTBB'!C:C,'2. DATA NL, VTBB'!G:G),"")</f>
        <v>IDA Global - I - 445 - Sức Mạnh Cá Mập 300 (PET) - 240ml - 40</v>
      </c>
      <c r="AS38" s="241" t="str">
        <f t="array" ref="AS38">IFERROR(XLOOKUP(L38,'2. DATA NL, VTBB'!C:C,'2. DATA NL, VTBB'!G:G),"")</f>
        <v>IDA Global - I - 445 - Sức Mạnh Cá Mập 300 (PET) - 240ml - 40</v>
      </c>
      <c r="AT38" s="111" t="s">
        <v>628</v>
      </c>
    </row>
    <row r="39" ht="32.25" customHeight="1">
      <c r="A39" s="109">
        <v>35.0</v>
      </c>
      <c r="B39" s="238">
        <v>46122.0</v>
      </c>
      <c r="C39" s="210">
        <f t="shared" si="19"/>
        <v>46140</v>
      </c>
      <c r="D39" s="210">
        <f t="shared" si="15"/>
        <v>46147</v>
      </c>
      <c r="E39" s="247">
        <v>46139.0</v>
      </c>
      <c r="F39" s="219" t="s">
        <v>561</v>
      </c>
      <c r="G39" s="219" t="s">
        <v>562</v>
      </c>
      <c r="H39" s="219" t="s">
        <v>304</v>
      </c>
      <c r="I39" s="219" t="s">
        <v>305</v>
      </c>
      <c r="J39" s="242" t="s">
        <v>630</v>
      </c>
      <c r="K39" s="212" t="s">
        <v>301</v>
      </c>
      <c r="L39" s="111" t="s">
        <v>578</v>
      </c>
      <c r="M39" s="243" t="str">
        <f t="array" ref="M39">IFERROR(XLOOKUP(L39,'2. DATA NL, VTBB'!C:C,'2. DATA NL, VTBB'!D:D),"")</f>
        <v>Thùng DC Chai Pet Tròn 43 450ml-500ml - 61.5x38.5x19 - Trắng</v>
      </c>
      <c r="N39" s="126"/>
      <c r="O39" s="126" t="str">
        <f t="array" ref="O39">IFERROR( XLOOKUP(L39,'2. DATA NL, VTBB'!C:C,'2. DATA NL, VTBB'!E:E),"")</f>
        <v>Vi lượng AV4</v>
      </c>
      <c r="P39" s="219" t="s">
        <v>565</v>
      </c>
      <c r="Q39" s="126" t="b">
        <v>0</v>
      </c>
      <c r="R39" s="219" t="s">
        <v>573</v>
      </c>
      <c r="S39" s="219" t="s">
        <v>574</v>
      </c>
      <c r="T39" s="113">
        <f t="shared" si="2"/>
        <v>5</v>
      </c>
      <c r="U39" s="219" t="s">
        <v>568</v>
      </c>
      <c r="V39" s="234">
        <f t="shared" si="16"/>
        <v>500</v>
      </c>
      <c r="W39" s="213" t="s">
        <v>303</v>
      </c>
      <c r="X39" s="114">
        <v>500.0</v>
      </c>
      <c r="Y39" s="251">
        <v>506.0</v>
      </c>
      <c r="Z39" s="114">
        <v>21700.0</v>
      </c>
      <c r="AA39" s="244">
        <v>0.08</v>
      </c>
      <c r="AB39" s="222">
        <f t="shared" si="17"/>
        <v>11858616</v>
      </c>
      <c r="AC39" s="122"/>
      <c r="AD39" s="248">
        <f t="shared" si="18"/>
        <v>46122</v>
      </c>
      <c r="AE39" s="251">
        <v>979.0</v>
      </c>
      <c r="AF39" s="226">
        <v>1.0</v>
      </c>
      <c r="AG39" s="126"/>
      <c r="AH39" s="222">
        <f>IFERROR(__xludf.DUMMYFUNCTION("IFERROR( INDEX( SORT(  FILTER(  {'1. DATA CHUNG'!$J$4:$J$105 , '1. DATA CHUNG'!$L$4:$L$105}, 
                (TRIM('1. DATA CHUNG'!$I$4:$I$105) = TRIM(K39)) * IF(SUMPRODUCT(('1. DATA CHUNG'!$I$4:$I$105=K39) * ('1. DATA CHUNG'!$M$4:$M$105=Q39)), '1. DATA "&amp;"CHUNG'!$M$4:$M$105=Q39, 1) * ('1. DATA CHUNG'!$L$4:$L$105 &lt;= TODAY()) ),    2, 0),  1, 1 ), 
    IFERROR( INDEX( FILTER( '1. DATA CHUNG'!$J$4:$J$105, 
                (TRIM('1. DATA CHUNG'!$I$4:$I$105) = TRIM(K39)) * IF(SUMPRODUCT(('1. DATA CHUNG'!$I$4:$I"&amp;"$105=K39) * ('1. DATA CHUNG'!$M$4:$M$105=Q39)), '1. DATA CHUNG'!$M$4:$M$105=Q39, 1) * ('1. DATA CHUNG'!$L$4:$L$105 = """") ),  1),  ""Không tìm thấy""))"),18.0)</f>
        <v>18</v>
      </c>
      <c r="AI39" s="245">
        <f t="shared" si="4"/>
        <v>46140</v>
      </c>
      <c r="AJ39" s="114">
        <v>35000.0</v>
      </c>
      <c r="AK39" s="222">
        <f t="shared" si="20"/>
        <v>70000</v>
      </c>
      <c r="AL39" s="229">
        <f t="shared" si="6"/>
        <v>8</v>
      </c>
      <c r="AM39" s="229">
        <f t="shared" si="7"/>
        <v>1</v>
      </c>
      <c r="AN39" s="230">
        <f t="shared" si="8"/>
        <v>0</v>
      </c>
      <c r="AO39" s="119" t="str">
        <f t="shared" si="9"/>
        <v>04/2026</v>
      </c>
      <c r="AP39" s="122" t="str">
        <f t="array" ref="AP39">IFERROR(XLOOKUP(L39,'2. DATA NL, VTBB'!C:C,'2. DATA NL, VTBB'!F:F),"")</f>
        <v>HH0004</v>
      </c>
      <c r="AQ39" s="226" t="s">
        <v>302</v>
      </c>
      <c r="AR39" s="241" t="str">
        <f t="array" ref="AR39">IFERROR(XLOOKUP(L39,'2. DATA NL, VTBB'!C:C,'2. DATA NL, VTBB'!G:G),"")</f>
        <v>GC - II - 24 - Aqua Gold ra bông xoài 1kg -25</v>
      </c>
      <c r="AS39" s="241" t="str">
        <f t="array" ref="AS39">IFERROR(XLOOKUP(L39,'2. DATA NL, VTBB'!C:C,'2. DATA NL, VTBB'!G:G),"")</f>
        <v>GC - II - 24 - Aqua Gold ra bông xoài 1kg -25</v>
      </c>
      <c r="AT39" s="111" t="s">
        <v>314</v>
      </c>
    </row>
    <row r="40" ht="32.25" customHeight="1">
      <c r="A40" s="109">
        <v>36.0</v>
      </c>
      <c r="B40" s="238">
        <v>46123.0</v>
      </c>
      <c r="C40" s="210">
        <f t="shared" si="19"/>
        <v>46141</v>
      </c>
      <c r="D40" s="210">
        <f t="shared" si="15"/>
        <v>46148</v>
      </c>
      <c r="E40" s="247">
        <v>46140.0</v>
      </c>
      <c r="F40" s="219" t="s">
        <v>561</v>
      </c>
      <c r="G40" s="219" t="s">
        <v>580</v>
      </c>
      <c r="H40" s="219" t="s">
        <v>304</v>
      </c>
      <c r="I40" s="219" t="s">
        <v>305</v>
      </c>
      <c r="J40" s="242" t="s">
        <v>631</v>
      </c>
      <c r="K40" s="212" t="s">
        <v>301</v>
      </c>
      <c r="L40" s="111" t="s">
        <v>619</v>
      </c>
      <c r="M40" s="243" t="str">
        <f t="array" ref="M40">IFERROR(XLOOKUP(L40,'2. DATA NL, VTBB'!C:C,'2. DATA NL, VTBB'!D:D),"")</f>
        <v>Thùng IDA chai HDPE/PAPE PICOSUPER 280SC 250ml, 240ml, 200ml x 40 chai (49.5x30.5x15cm) - Trắng xanh lam</v>
      </c>
      <c r="N40" s="126"/>
      <c r="O40" s="126" t="str">
        <f t="array" ref="O40">IFERROR( XLOOKUP(L40,'2. DATA NL, VTBB'!C:C,'2. DATA NL, VTBB'!E:E),"")</f>
        <v>TVZEB 800WP</v>
      </c>
      <c r="P40" s="219" t="s">
        <v>565</v>
      </c>
      <c r="Q40" s="126" t="b">
        <v>0</v>
      </c>
      <c r="R40" s="219" t="s">
        <v>573</v>
      </c>
      <c r="S40" s="219" t="s">
        <v>574</v>
      </c>
      <c r="T40" s="113">
        <f t="shared" si="2"/>
        <v>3</v>
      </c>
      <c r="U40" s="219" t="s">
        <v>568</v>
      </c>
      <c r="V40" s="234">
        <f t="shared" si="16"/>
        <v>300</v>
      </c>
      <c r="W40" s="213" t="s">
        <v>303</v>
      </c>
      <c r="X40" s="114">
        <v>300.0</v>
      </c>
      <c r="Y40" s="250">
        <v>310.0</v>
      </c>
      <c r="Z40" s="114">
        <v>15000.0</v>
      </c>
      <c r="AA40" s="244">
        <v>0.08</v>
      </c>
      <c r="AB40" s="222">
        <f t="shared" si="17"/>
        <v>5022000</v>
      </c>
      <c r="AC40" s="122"/>
      <c r="AD40" s="248">
        <f t="shared" si="18"/>
        <v>46123</v>
      </c>
      <c r="AE40" s="251">
        <v>996.0</v>
      </c>
      <c r="AF40" s="226">
        <v>1.0</v>
      </c>
      <c r="AG40" s="112"/>
      <c r="AH40" s="222">
        <f>IFERROR(__xludf.DUMMYFUNCTION("IFERROR( INDEX( SORT(  FILTER(  {'1. DATA CHUNG'!$J$4:$J$105 , '1. DATA CHUNG'!$L$4:$L$105}, 
                (TRIM('1. DATA CHUNG'!$I$4:$I$105) = TRIM(K40)) * IF(SUMPRODUCT(('1. DATA CHUNG'!$I$4:$I$105=K40) * ('1. DATA CHUNG'!$M$4:$M$105=Q40)), '1. DATA "&amp;"CHUNG'!$M$4:$M$105=Q40, 1) * ('1. DATA CHUNG'!$L$4:$L$105 &lt;= TODAY()) ),    2, 0),  1, 1 ), 
    IFERROR( INDEX( FILTER( '1. DATA CHUNG'!$J$4:$J$105, 
                (TRIM('1. DATA CHUNG'!$I$4:$I$105) = TRIM(K40)) * IF(SUMPRODUCT(('1. DATA CHUNG'!$I$4:$I"&amp;"$105=K40) * ('1. DATA CHUNG'!$M$4:$M$105=Q40)), '1. DATA CHUNG'!$M$4:$M$105=Q40, 1) * ('1. DATA CHUNG'!$L$4:$L$105 = """") ),  1),  ""Không tìm thấy""))"),18.0)</f>
        <v>18</v>
      </c>
      <c r="AI40" s="245">
        <f t="shared" si="4"/>
        <v>46141</v>
      </c>
      <c r="AJ40" s="114">
        <v>35000.0</v>
      </c>
      <c r="AK40" s="222">
        <f t="shared" si="20"/>
        <v>175000</v>
      </c>
      <c r="AL40" s="229">
        <f t="shared" si="6"/>
        <v>8</v>
      </c>
      <c r="AM40" s="229">
        <f t="shared" si="7"/>
        <v>1</v>
      </c>
      <c r="AN40" s="230">
        <f t="shared" si="8"/>
        <v>0</v>
      </c>
      <c r="AO40" s="119" t="str">
        <f t="shared" si="9"/>
        <v>04/2026</v>
      </c>
      <c r="AP40" s="122" t="str">
        <f t="array" ref="AP40">IFERROR(XLOOKUP(L40,'2. DATA NL, VTBB'!C:C,'2. DATA NL, VTBB'!F:F),"")</f>
        <v>HH0280</v>
      </c>
      <c r="AQ40" s="226" t="s">
        <v>302</v>
      </c>
      <c r="AR40" s="241" t="str">
        <f t="array" ref="AR40">IFERROR(XLOOKUP(L40,'2. DATA NL, VTBB'!C:C,'2. DATA NL, VTBB'!G:G),"")</f>
        <v>GC - II - 697 - Agriplant - Mancozeb Xanh - 1kg - 20</v>
      </c>
      <c r="AS40" s="241" t="str">
        <f t="array" ref="AS40">IFERROR(XLOOKUP(L40,'2. DATA NL, VTBB'!C:C,'2. DATA NL, VTBB'!G:G),"")</f>
        <v>GC - II - 697 - Agriplant - Mancozeb Xanh - 1kg - 20</v>
      </c>
      <c r="AT40" s="111" t="s">
        <v>314</v>
      </c>
    </row>
    <row r="41" ht="32.25" customHeight="1">
      <c r="A41" s="109">
        <v>37.0</v>
      </c>
      <c r="B41" s="238">
        <v>46126.0</v>
      </c>
      <c r="C41" s="210">
        <f t="shared" si="19"/>
        <v>46144</v>
      </c>
      <c r="D41" s="210">
        <f t="shared" si="15"/>
        <v>46151</v>
      </c>
      <c r="E41" s="247">
        <v>46137.0</v>
      </c>
      <c r="F41" s="219" t="s">
        <v>561</v>
      </c>
      <c r="G41" s="219" t="s">
        <v>562</v>
      </c>
      <c r="H41" s="219" t="s">
        <v>304</v>
      </c>
      <c r="I41" s="219" t="s">
        <v>305</v>
      </c>
      <c r="J41" s="242" t="s">
        <v>632</v>
      </c>
      <c r="K41" s="212" t="s">
        <v>301</v>
      </c>
      <c r="L41" s="111" t="s">
        <v>633</v>
      </c>
      <c r="M41" s="243" t="str">
        <f t="array" ref="M41">IFERROR(XLOOKUP(L41,'2. DATA NL, VTBB'!C:C,'2. DATA NL, VTBB'!D:D),"")</f>
        <v>Thùng Dùng Chung  15gr  x 400 gói (55.5x39x34cm) - Trắng</v>
      </c>
      <c r="N41" s="126"/>
      <c r="O41" s="126"/>
      <c r="P41" s="219" t="s">
        <v>565</v>
      </c>
      <c r="Q41" s="126" t="b">
        <v>0</v>
      </c>
      <c r="R41" s="219" t="s">
        <v>573</v>
      </c>
      <c r="S41" s="219" t="s">
        <v>574</v>
      </c>
      <c r="T41" s="113">
        <f t="shared" si="2"/>
        <v>3</v>
      </c>
      <c r="U41" s="219" t="s">
        <v>568</v>
      </c>
      <c r="V41" s="234">
        <f t="shared" si="16"/>
        <v>300</v>
      </c>
      <c r="W41" s="213" t="s">
        <v>303</v>
      </c>
      <c r="X41" s="114">
        <v>300.0</v>
      </c>
      <c r="Y41" s="251">
        <v>306.0</v>
      </c>
      <c r="Z41" s="114">
        <v>26950.0</v>
      </c>
      <c r="AA41" s="244">
        <v>0.08</v>
      </c>
      <c r="AB41" s="222">
        <f t="shared" si="17"/>
        <v>8906436</v>
      </c>
      <c r="AC41" s="122"/>
      <c r="AD41" s="248">
        <f t="shared" si="18"/>
        <v>46126</v>
      </c>
      <c r="AE41" s="251">
        <v>960.0</v>
      </c>
      <c r="AF41" s="226">
        <v>1.0</v>
      </c>
      <c r="AG41" s="126"/>
      <c r="AH41" s="222">
        <f>IFERROR(__xludf.DUMMYFUNCTION("IFERROR( INDEX( SORT(  FILTER(  {'1. DATA CHUNG'!$J$4:$J$105 , '1. DATA CHUNG'!$L$4:$L$105}, 
                (TRIM('1. DATA CHUNG'!$I$4:$I$105) = TRIM(K41)) * IF(SUMPRODUCT(('1. DATA CHUNG'!$I$4:$I$105=K41) * ('1. DATA CHUNG'!$M$4:$M$105=Q41)), '1. DATA "&amp;"CHUNG'!$M$4:$M$105=Q41, 1) * ('1. DATA CHUNG'!$L$4:$L$105 &lt;= TODAY()) ),    2, 0),  1, 1 ), 
    IFERROR( INDEX( FILTER( '1. DATA CHUNG'!$J$4:$J$105, 
                (TRIM('1. DATA CHUNG'!$I$4:$I$105) = TRIM(K41)) * IF(SUMPRODUCT(('1. DATA CHUNG'!$I$4:$I"&amp;"$105=K41) * ('1. DATA CHUNG'!$M$4:$M$105=Q41)), '1. DATA CHUNG'!$M$4:$M$105=Q41, 1) * ('1. DATA CHUNG'!$L$4:$L$105 = """") ),  1),  ""Không tìm thấy""))"),18.0)</f>
        <v>18</v>
      </c>
      <c r="AI41" s="245">
        <f t="shared" si="4"/>
        <v>46144</v>
      </c>
      <c r="AJ41" s="114">
        <v>35000.0</v>
      </c>
      <c r="AK41" s="222">
        <f t="shared" si="20"/>
        <v>105000</v>
      </c>
      <c r="AL41" s="229">
        <f t="shared" si="6"/>
        <v>14</v>
      </c>
      <c r="AM41" s="229">
        <f t="shared" si="7"/>
        <v>7</v>
      </c>
      <c r="AN41" s="230">
        <f t="shared" si="8"/>
        <v>0</v>
      </c>
      <c r="AO41" s="119" t="str">
        <f t="shared" si="9"/>
        <v>04/2026</v>
      </c>
      <c r="AP41" s="122" t="str">
        <f t="array" ref="AP41">IFERROR(XLOOKUP(L41,'2. DATA NL, VTBB'!C:C,'2. DATA NL, VTBB'!F:F),"")</f>
        <v>HH0228</v>
      </c>
      <c r="AQ41" s="226" t="s">
        <v>302</v>
      </c>
      <c r="AR41" s="241" t="str">
        <f t="array" ref="AR41">IFERROR(XLOOKUP(L41,'2. DATA NL, VTBB'!C:C,'2. DATA NL, VTBB'!G:G),"")</f>
        <v>GC - II - 640 - AGC NEW - Lougent 450SC (chai PET tròn) - 240ml - 40</v>
      </c>
      <c r="AS41" s="241" t="str">
        <f t="array" ref="AS41">IFERROR(XLOOKUP(L41,'2. DATA NL, VTBB'!C:C,'2. DATA NL, VTBB'!G:G),"")</f>
        <v>GC - II - 640 - AGC NEW - Lougent 450SC (chai PET tròn) - 240ml - 40</v>
      </c>
      <c r="AT41" s="111" t="s">
        <v>314</v>
      </c>
    </row>
    <row r="42" ht="32.25" customHeight="1">
      <c r="A42" s="109">
        <v>38.0</v>
      </c>
      <c r="B42" s="238">
        <v>46126.0</v>
      </c>
      <c r="C42" s="210">
        <f t="shared" si="19"/>
        <v>46144</v>
      </c>
      <c r="D42" s="210">
        <f t="shared" si="15"/>
        <v>46151</v>
      </c>
      <c r="E42" s="247">
        <v>46139.0</v>
      </c>
      <c r="F42" s="219" t="s">
        <v>561</v>
      </c>
      <c r="G42" s="219" t="s">
        <v>562</v>
      </c>
      <c r="H42" s="219" t="s">
        <v>304</v>
      </c>
      <c r="I42" s="219" t="s">
        <v>305</v>
      </c>
      <c r="J42" s="242" t="s">
        <v>634</v>
      </c>
      <c r="K42" s="212" t="s">
        <v>301</v>
      </c>
      <c r="L42" s="111" t="s">
        <v>635</v>
      </c>
      <c r="M42" s="243" t="str">
        <f t="array" ref="M42">IFERROR(XLOOKUP(L42,'2. DATA NL, VTBB'!C:C,'2. DATA NL, VTBB'!D:D),"")</f>
        <v>Thùng Agritech 100g x 100, 120, 150 gói (47.5x41.5x28cm) - Trắng viền xanh dương</v>
      </c>
      <c r="N42" s="126"/>
      <c r="O42" s="126"/>
      <c r="P42" s="219" t="s">
        <v>565</v>
      </c>
      <c r="Q42" s="126" t="b">
        <v>0</v>
      </c>
      <c r="R42" s="219" t="s">
        <v>573</v>
      </c>
      <c r="S42" s="219" t="s">
        <v>574</v>
      </c>
      <c r="T42" s="113">
        <f t="shared" si="2"/>
        <v>1</v>
      </c>
      <c r="U42" s="219" t="s">
        <v>568</v>
      </c>
      <c r="V42" s="234">
        <f t="shared" si="16"/>
        <v>100</v>
      </c>
      <c r="W42" s="213" t="s">
        <v>303</v>
      </c>
      <c r="X42" s="114">
        <v>100.0</v>
      </c>
      <c r="Y42" s="251">
        <v>216.0</v>
      </c>
      <c r="Z42" s="114">
        <v>23600.0</v>
      </c>
      <c r="AA42" s="244">
        <v>0.08</v>
      </c>
      <c r="AB42" s="222">
        <f t="shared" si="17"/>
        <v>5505408</v>
      </c>
      <c r="AC42" s="122"/>
      <c r="AD42" s="248">
        <f t="shared" si="18"/>
        <v>46126</v>
      </c>
      <c r="AE42" s="251">
        <v>980.0</v>
      </c>
      <c r="AF42" s="226">
        <v>1.0</v>
      </c>
      <c r="AG42" s="126"/>
      <c r="AH42" s="222">
        <f>IFERROR(__xludf.DUMMYFUNCTION("IFERROR( INDEX( SORT(  FILTER(  {'1. DATA CHUNG'!$J$4:$J$105 , '1. DATA CHUNG'!$L$4:$L$105}, 
                (TRIM('1. DATA CHUNG'!$I$4:$I$105) = TRIM(K42)) * IF(SUMPRODUCT(('1. DATA CHUNG'!$I$4:$I$105=K42) * ('1. DATA CHUNG'!$M$4:$M$105=Q42)), '1. DATA "&amp;"CHUNG'!$M$4:$M$105=Q42, 1) * ('1. DATA CHUNG'!$L$4:$L$105 &lt;= TODAY()) ),    2, 0),  1, 1 ), 
    IFERROR( INDEX( FILTER( '1. DATA CHUNG'!$J$4:$J$105, 
                (TRIM('1. DATA CHUNG'!$I$4:$I$105) = TRIM(K42)) * IF(SUMPRODUCT(('1. DATA CHUNG'!$I$4:$I"&amp;"$105=K42) * ('1. DATA CHUNG'!$M$4:$M$105=Q42)), '1. DATA CHUNG'!$M$4:$M$105=Q42, 1) * ('1. DATA CHUNG'!$L$4:$L$105 = """") ),  1),  ""Không tìm thấy""))"),18.0)</f>
        <v>18</v>
      </c>
      <c r="AI42" s="245">
        <f t="shared" si="4"/>
        <v>46144</v>
      </c>
      <c r="AJ42" s="114">
        <v>35000.0</v>
      </c>
      <c r="AK42" s="222">
        <f t="shared" si="20"/>
        <v>105000</v>
      </c>
      <c r="AL42" s="229">
        <f t="shared" si="6"/>
        <v>12</v>
      </c>
      <c r="AM42" s="229">
        <f t="shared" si="7"/>
        <v>5</v>
      </c>
      <c r="AN42" s="230">
        <f t="shared" si="8"/>
        <v>0</v>
      </c>
      <c r="AO42" s="119" t="str">
        <f t="shared" si="9"/>
        <v>04/2026</v>
      </c>
      <c r="AP42" s="122" t="str">
        <f t="array" ref="AP42">IFERROR(XLOOKUP(L42,'2. DATA NL, VTBB'!C:C,'2. DATA NL, VTBB'!F:F),"")</f>
        <v>HH0265</v>
      </c>
      <c r="AQ42" s="226" t="s">
        <v>302</v>
      </c>
      <c r="AR42" s="241" t="str">
        <f t="array" ref="AR42">IFERROR(XLOOKUP(L42,'2. DATA NL, VTBB'!C:C,'2. DATA NL, VTBB'!G:G),"")</f>
        <v>GC - II - 684 - AGC - Remy 19EC (chai tròn) - 450ml - 40</v>
      </c>
      <c r="AS42" s="241"/>
      <c r="AT42" s="111" t="s">
        <v>314</v>
      </c>
    </row>
    <row r="43" ht="32.25" customHeight="1">
      <c r="A43" s="109">
        <v>39.0</v>
      </c>
      <c r="B43" s="238">
        <v>46127.0</v>
      </c>
      <c r="C43" s="210">
        <f t="shared" si="19"/>
        <v>46145</v>
      </c>
      <c r="D43" s="210">
        <f t="shared" si="15"/>
        <v>46152</v>
      </c>
      <c r="E43" s="247">
        <v>46139.0</v>
      </c>
      <c r="F43" s="219" t="s">
        <v>561</v>
      </c>
      <c r="G43" s="219" t="s">
        <v>562</v>
      </c>
      <c r="H43" s="219" t="s">
        <v>304</v>
      </c>
      <c r="I43" s="219" t="s">
        <v>305</v>
      </c>
      <c r="J43" s="242" t="s">
        <v>636</v>
      </c>
      <c r="K43" s="212" t="s">
        <v>301</v>
      </c>
      <c r="L43" s="111" t="s">
        <v>637</v>
      </c>
      <c r="M43" s="243" t="str">
        <f t="array" ref="M43">IFERROR(XLOOKUP(L43,'2. DATA NL, VTBB'!C:C,'2. DATA NL, VTBB'!D:D),"")</f>
        <v>Thùng DC Chai Pet Vuông 35 450ml-500ml - (47x38.5x19cm) - Trắng viền đen</v>
      </c>
      <c r="N43" s="126"/>
      <c r="O43" s="126"/>
      <c r="P43" s="219" t="s">
        <v>565</v>
      </c>
      <c r="Q43" s="126" t="b">
        <v>0</v>
      </c>
      <c r="R43" s="219" t="s">
        <v>573</v>
      </c>
      <c r="S43" s="219" t="s">
        <v>574</v>
      </c>
      <c r="T43" s="113">
        <f t="shared" si="2"/>
        <v>3</v>
      </c>
      <c r="U43" s="219" t="s">
        <v>568</v>
      </c>
      <c r="V43" s="234">
        <f t="shared" si="16"/>
        <v>300</v>
      </c>
      <c r="W43" s="213" t="s">
        <v>303</v>
      </c>
      <c r="X43" s="114">
        <v>300.0</v>
      </c>
      <c r="Y43" s="251">
        <v>300.0</v>
      </c>
      <c r="Z43" s="114">
        <v>19300.0</v>
      </c>
      <c r="AA43" s="244">
        <v>0.08</v>
      </c>
      <c r="AB43" s="222">
        <f t="shared" si="17"/>
        <v>6253200</v>
      </c>
      <c r="AC43" s="122"/>
      <c r="AD43" s="248">
        <f t="shared" si="18"/>
        <v>46127</v>
      </c>
      <c r="AE43" s="251">
        <v>978.0</v>
      </c>
      <c r="AF43" s="226">
        <v>1.0</v>
      </c>
      <c r="AG43" s="126"/>
      <c r="AH43" s="222">
        <f>IFERROR(__xludf.DUMMYFUNCTION("IFERROR( INDEX( SORT(  FILTER(  {'1. DATA CHUNG'!$J$4:$J$105 , '1. DATA CHUNG'!$L$4:$L$105}, 
                (TRIM('1. DATA CHUNG'!$I$4:$I$105) = TRIM(K43)) * IF(SUMPRODUCT(('1. DATA CHUNG'!$I$4:$I$105=K43) * ('1. DATA CHUNG'!$M$4:$M$105=Q43)), '1. DATA "&amp;"CHUNG'!$M$4:$M$105=Q43, 1) * ('1. DATA CHUNG'!$L$4:$L$105 &lt;= TODAY()) ),    2, 0),  1, 1 ), 
    IFERROR( INDEX( FILTER( '1. DATA CHUNG'!$J$4:$J$105, 
                (TRIM('1. DATA CHUNG'!$I$4:$I$105) = TRIM(K43)) * IF(SUMPRODUCT(('1. DATA CHUNG'!$I$4:$I"&amp;"$105=K43) * ('1. DATA CHUNG'!$M$4:$M$105=Q43)), '1. DATA CHUNG'!$M$4:$M$105=Q43, 1) * ('1. DATA CHUNG'!$L$4:$L$105 = """") ),  1),  ""Không tìm thấy""))"),18.0)</f>
        <v>18</v>
      </c>
      <c r="AI43" s="245">
        <f t="shared" si="4"/>
        <v>46145</v>
      </c>
      <c r="AJ43" s="114">
        <v>35000.0</v>
      </c>
      <c r="AK43" s="222">
        <f>T41*AJ43</f>
        <v>105000</v>
      </c>
      <c r="AL43" s="229">
        <f t="shared" si="6"/>
        <v>13</v>
      </c>
      <c r="AM43" s="229">
        <f t="shared" si="7"/>
        <v>6</v>
      </c>
      <c r="AN43" s="230">
        <f t="shared" si="8"/>
        <v>0</v>
      </c>
      <c r="AO43" s="119" t="str">
        <f t="shared" si="9"/>
        <v>04/2026</v>
      </c>
      <c r="AP43" s="122" t="str">
        <f t="array" ref="AP43">IFERROR(XLOOKUP(L43,'2. DATA NL, VTBB'!C:C,'2. DATA NL, VTBB'!F:F),"")</f>
        <v>HH0003</v>
      </c>
      <c r="AQ43" s="226" t="s">
        <v>302</v>
      </c>
      <c r="AR43" s="241" t="str">
        <f t="array" ref="AR43">IFERROR(XLOOKUP(L43,'2. DATA NL, VTBB'!C:C,'2. DATA NL, VTBB'!G:G),"")</f>
        <v>GC - II- 13.1 - Lớn Trái Thanh Long (Đỏ) - 22 kg - 1 ([btp],n)</v>
      </c>
      <c r="AS43" s="241" t="str">
        <f t="array" ref="AS43">IFERROR(XLOOKUP(L43,'2. DATA NL, VTBB'!C:C,'2. DATA NL, VTBB'!G:G),"")</f>
        <v>GC - II- 13.1 - Lớn Trái Thanh Long (Đỏ) - 22 kg - 1 ([btp],n)</v>
      </c>
      <c r="AT43" s="111" t="s">
        <v>314</v>
      </c>
    </row>
    <row r="44" ht="32.25" customHeight="1">
      <c r="A44" s="109">
        <v>40.0</v>
      </c>
      <c r="B44" s="238">
        <v>46127.0</v>
      </c>
      <c r="C44" s="210">
        <f t="shared" si="19"/>
        <v>46145</v>
      </c>
      <c r="D44" s="210">
        <f t="shared" si="15"/>
        <v>46152</v>
      </c>
      <c r="E44" s="247">
        <v>46139.0</v>
      </c>
      <c r="F44" s="219" t="s">
        <v>561</v>
      </c>
      <c r="G44" s="219" t="s">
        <v>562</v>
      </c>
      <c r="H44" s="219" t="s">
        <v>304</v>
      </c>
      <c r="I44" s="219" t="s">
        <v>305</v>
      </c>
      <c r="J44" s="242" t="s">
        <v>638</v>
      </c>
      <c r="K44" s="212" t="s">
        <v>301</v>
      </c>
      <c r="L44" s="111" t="s">
        <v>637</v>
      </c>
      <c r="M44" s="243" t="str">
        <f t="array" ref="M44">IFERROR(XLOOKUP(L44,'2. DATA NL, VTBB'!C:C,'2. DATA NL, VTBB'!D:D),"")</f>
        <v>Thùng DC Chai Pet Vuông 35 450ml-500ml - (47x38.5x19cm) - Trắng viền đen</v>
      </c>
      <c r="N44" s="126"/>
      <c r="O44" s="126"/>
      <c r="P44" s="219" t="s">
        <v>565</v>
      </c>
      <c r="Q44" s="126" t="b">
        <v>0</v>
      </c>
      <c r="R44" s="219" t="s">
        <v>566</v>
      </c>
      <c r="S44" s="219" t="s">
        <v>567</v>
      </c>
      <c r="T44" s="113">
        <f t="shared" si="2"/>
        <v>2</v>
      </c>
      <c r="U44" s="219" t="s">
        <v>568</v>
      </c>
      <c r="V44" s="234">
        <f t="shared" si="16"/>
        <v>200</v>
      </c>
      <c r="W44" s="213" t="s">
        <v>303</v>
      </c>
      <c r="X44" s="114">
        <v>200.0</v>
      </c>
      <c r="Y44" s="251">
        <v>212.0</v>
      </c>
      <c r="Z44" s="114">
        <v>19300.0</v>
      </c>
      <c r="AA44" s="244">
        <v>0.08</v>
      </c>
      <c r="AB44" s="222">
        <f t="shared" si="17"/>
        <v>4418928</v>
      </c>
      <c r="AC44" s="122"/>
      <c r="AD44" s="248">
        <f t="shared" si="18"/>
        <v>46127</v>
      </c>
      <c r="AE44" s="251">
        <v>981.0</v>
      </c>
      <c r="AF44" s="226">
        <v>1.0</v>
      </c>
      <c r="AG44" s="112"/>
      <c r="AH44" s="222">
        <f>IFERROR(__xludf.DUMMYFUNCTION("IFERROR( INDEX( SORT(  FILTER(  {'1. DATA CHUNG'!$J$4:$J$105 , '1. DATA CHUNG'!$L$4:$L$105}, 
                (TRIM('1. DATA CHUNG'!$I$4:$I$105) = TRIM(K44)) * IF(SUMPRODUCT(('1. DATA CHUNG'!$I$4:$I$105=K44) * ('1. DATA CHUNG'!$M$4:$M$105=Q44)), '1. DATA "&amp;"CHUNG'!$M$4:$M$105=Q44, 1) * ('1. DATA CHUNG'!$L$4:$L$105 &lt;= TODAY()) ),    2, 0),  1, 1 ), 
    IFERROR( INDEX( FILTER( '1. DATA CHUNG'!$J$4:$J$105, 
                (TRIM('1. DATA CHUNG'!$I$4:$I$105) = TRIM(K44)) * IF(SUMPRODUCT(('1. DATA CHUNG'!$I$4:$I"&amp;"$105=K44) * ('1. DATA CHUNG'!$M$4:$M$105=Q44)), '1. DATA CHUNG'!$M$4:$M$105=Q44, 1) * ('1. DATA CHUNG'!$L$4:$L$105 = """") ),  1),  ""Không tìm thấy""))"),18.0)</f>
        <v>18</v>
      </c>
      <c r="AI44" s="245">
        <f t="shared" si="4"/>
        <v>46145</v>
      </c>
      <c r="AJ44" s="114">
        <v>35000.0</v>
      </c>
      <c r="AK44" s="222">
        <f t="shared" ref="AK44:AK59" si="21">T43*AJ44</f>
        <v>105000</v>
      </c>
      <c r="AL44" s="229">
        <f t="shared" si="6"/>
        <v>13</v>
      </c>
      <c r="AM44" s="229">
        <f t="shared" si="7"/>
        <v>6</v>
      </c>
      <c r="AN44" s="230">
        <f t="shared" si="8"/>
        <v>0</v>
      </c>
      <c r="AO44" s="119" t="str">
        <f t="shared" si="9"/>
        <v>04/2026</v>
      </c>
      <c r="AP44" s="122" t="str">
        <f t="array" ref="AP44">IFERROR(XLOOKUP(L44,'2. DATA NL, VTBB'!C:C,'2. DATA NL, VTBB'!F:F),"")</f>
        <v>HH0003</v>
      </c>
      <c r="AQ44" s="226" t="s">
        <v>302</v>
      </c>
      <c r="AR44" s="241" t="str">
        <f t="array" ref="AR44">IFERROR(XLOOKUP(L44,'2. DATA NL, VTBB'!C:C,'2. DATA NL, VTBB'!G:G),"")</f>
        <v>GC - II- 13.1 - Lớn Trái Thanh Long (Đỏ) - 22 kg - 1 ([btp],n)</v>
      </c>
      <c r="AS44" s="241" t="str">
        <f t="array" ref="AS44">IFERROR(XLOOKUP(L44,'2. DATA NL, VTBB'!C:C,'2. DATA NL, VTBB'!G:G),"")</f>
        <v>GC - II- 13.1 - Lớn Trái Thanh Long (Đỏ) - 22 kg - 1 ([btp],n)</v>
      </c>
      <c r="AT44" s="111" t="s">
        <v>314</v>
      </c>
    </row>
    <row r="45" ht="32.25" customHeight="1">
      <c r="A45" s="109">
        <v>41.0</v>
      </c>
      <c r="B45" s="238">
        <v>46129.0</v>
      </c>
      <c r="C45" s="210">
        <f t="shared" si="19"/>
        <v>46147</v>
      </c>
      <c r="D45" s="210">
        <f t="shared" si="15"/>
        <v>46154</v>
      </c>
      <c r="E45" s="247">
        <v>46148.0</v>
      </c>
      <c r="F45" s="219" t="s">
        <v>561</v>
      </c>
      <c r="G45" s="219" t="s">
        <v>580</v>
      </c>
      <c r="H45" s="219" t="s">
        <v>304</v>
      </c>
      <c r="I45" s="219" t="s">
        <v>305</v>
      </c>
      <c r="J45" s="242" t="s">
        <v>639</v>
      </c>
      <c r="K45" s="212" t="s">
        <v>301</v>
      </c>
      <c r="L45" s="111" t="s">
        <v>640</v>
      </c>
      <c r="M45" s="243" t="str">
        <f t="array" ref="M45">IFERROR(XLOOKUP(L45,'2. DATA NL, VTBB'!C:C,'2. DATA NL, VTBB'!D:D),"")</f>
        <v>Thùng IDA 100gr x100 gói (47.5x41.5x28cm) - Trắng xanh lá</v>
      </c>
      <c r="N45" s="126"/>
      <c r="O45" s="126"/>
      <c r="P45" s="219" t="s">
        <v>565</v>
      </c>
      <c r="Q45" s="126" t="b">
        <v>0</v>
      </c>
      <c r="R45" s="219" t="s">
        <v>584</v>
      </c>
      <c r="S45" s="219" t="s">
        <v>574</v>
      </c>
      <c r="T45" s="113">
        <f t="shared" si="2"/>
        <v>3</v>
      </c>
      <c r="U45" s="219" t="s">
        <v>568</v>
      </c>
      <c r="V45" s="234">
        <f t="shared" si="16"/>
        <v>300</v>
      </c>
      <c r="W45" s="213" t="s">
        <v>303</v>
      </c>
      <c r="X45" s="114">
        <v>300.0</v>
      </c>
      <c r="Y45" s="251">
        <v>302.0</v>
      </c>
      <c r="Z45" s="114">
        <v>23600.0</v>
      </c>
      <c r="AA45" s="244">
        <v>0.08</v>
      </c>
      <c r="AB45" s="222">
        <f t="shared" si="17"/>
        <v>7697376</v>
      </c>
      <c r="AC45" s="122"/>
      <c r="AD45" s="248">
        <f t="shared" si="18"/>
        <v>46129</v>
      </c>
      <c r="AE45" s="251">
        <v>1030.0</v>
      </c>
      <c r="AF45" s="226">
        <v>1.0</v>
      </c>
      <c r="AG45" s="112" t="s">
        <v>623</v>
      </c>
      <c r="AH45" s="222">
        <f>IFERROR(__xludf.DUMMYFUNCTION("IFERROR( INDEX( SORT(  FILTER(  {'1. DATA CHUNG'!$J$4:$J$105 , '1. DATA CHUNG'!$L$4:$L$105}, 
                (TRIM('1. DATA CHUNG'!$I$4:$I$105) = TRIM(K45)) * IF(SUMPRODUCT(('1. DATA CHUNG'!$I$4:$I$105=K45) * ('1. DATA CHUNG'!$M$4:$M$105=Q45)), '1. DATA "&amp;"CHUNG'!$M$4:$M$105=Q45, 1) * ('1. DATA CHUNG'!$L$4:$L$105 &lt;= TODAY()) ),    2, 0),  1, 1 ), 
    IFERROR( INDEX( FILTER( '1. DATA CHUNG'!$J$4:$J$105, 
                (TRIM('1. DATA CHUNG'!$I$4:$I$105) = TRIM(K45)) * IF(SUMPRODUCT(('1. DATA CHUNG'!$I$4:$I"&amp;"$105=K45) * ('1. DATA CHUNG'!$M$4:$M$105=Q45)), '1. DATA CHUNG'!$M$4:$M$105=Q45, 1) * ('1. DATA CHUNG'!$L$4:$L$105 = """") ),  1),  ""Không tìm thấy""))"),18.0)</f>
        <v>18</v>
      </c>
      <c r="AI45" s="245">
        <f t="shared" si="4"/>
        <v>46147</v>
      </c>
      <c r="AJ45" s="114">
        <v>35000.0</v>
      </c>
      <c r="AK45" s="222">
        <f t="shared" si="21"/>
        <v>70000</v>
      </c>
      <c r="AL45" s="229">
        <f t="shared" si="6"/>
        <v>6</v>
      </c>
      <c r="AM45" s="229">
        <f t="shared" si="7"/>
        <v>-1</v>
      </c>
      <c r="AN45" s="230">
        <f t="shared" si="8"/>
        <v>0</v>
      </c>
      <c r="AO45" s="119" t="str">
        <f t="shared" si="9"/>
        <v>04/2026</v>
      </c>
      <c r="AP45" s="122" t="str">
        <f t="array" ref="AP45">IFERROR(XLOOKUP(L45,'2. DATA NL, VTBB'!C:C,'2. DATA NL, VTBB'!F:F),"")</f>
        <v>HH0202</v>
      </c>
      <c r="AQ45" s="226" t="s">
        <v>302</v>
      </c>
      <c r="AR45" s="241" t="str">
        <f t="array" ref="AR45">IFERROR(XLOOKUP(L45,'2. DATA NL, VTBB'!C:C,'2. DATA NL, VTBB'!G:G),"")</f>
        <v>GC - II - 612 - AGC NEW - Bamec 3.6 (Nước Trong) (Pet tròn) - 450ml - 40</v>
      </c>
      <c r="AS45" s="241" t="str">
        <f t="array" ref="AS45">IFERROR(XLOOKUP(L45,'2. DATA NL, VTBB'!C:C,'2. DATA NL, VTBB'!G:G),"")</f>
        <v>GC - II - 612 - AGC NEW - Bamec 3.6 (Nước Trong) (Pet tròn) - 450ml - 40</v>
      </c>
      <c r="AT45" s="111" t="s">
        <v>314</v>
      </c>
    </row>
    <row r="46" ht="32.25" customHeight="1">
      <c r="A46" s="109">
        <v>42.0</v>
      </c>
      <c r="B46" s="238">
        <v>46129.0</v>
      </c>
      <c r="C46" s="210">
        <f t="shared" si="19"/>
        <v>46147</v>
      </c>
      <c r="D46" s="210">
        <f t="shared" si="15"/>
        <v>46154</v>
      </c>
      <c r="E46" s="247">
        <v>46140.0</v>
      </c>
      <c r="F46" s="219" t="s">
        <v>561</v>
      </c>
      <c r="G46" s="219" t="s">
        <v>562</v>
      </c>
      <c r="H46" s="219" t="s">
        <v>304</v>
      </c>
      <c r="I46" s="219" t="s">
        <v>305</v>
      </c>
      <c r="J46" s="242" t="s">
        <v>641</v>
      </c>
      <c r="K46" s="212" t="s">
        <v>301</v>
      </c>
      <c r="L46" s="111" t="s">
        <v>578</v>
      </c>
      <c r="M46" s="243" t="str">
        <f t="array" ref="M46">IFERROR(XLOOKUP(L46,'2. DATA NL, VTBB'!C:C,'2. DATA NL, VTBB'!D:D),"")</f>
        <v>Thùng DC Chai Pet Tròn 43 450ml-500ml - 61.5x38.5x19 - Trắng</v>
      </c>
      <c r="N46" s="126"/>
      <c r="O46" s="126"/>
      <c r="P46" s="219" t="s">
        <v>565</v>
      </c>
      <c r="Q46" s="126" t="b">
        <v>0</v>
      </c>
      <c r="R46" s="219" t="s">
        <v>642</v>
      </c>
      <c r="S46" s="219" t="s">
        <v>567</v>
      </c>
      <c r="T46" s="113">
        <f t="shared" si="2"/>
        <v>3</v>
      </c>
      <c r="U46" s="219" t="s">
        <v>568</v>
      </c>
      <c r="V46" s="234">
        <f t="shared" si="16"/>
        <v>300</v>
      </c>
      <c r="W46" s="213" t="s">
        <v>303</v>
      </c>
      <c r="X46" s="114">
        <v>300.0</v>
      </c>
      <c r="Y46" s="250">
        <v>306.0</v>
      </c>
      <c r="Z46" s="114">
        <v>21700.0</v>
      </c>
      <c r="AA46" s="244">
        <v>0.08</v>
      </c>
      <c r="AB46" s="222">
        <f t="shared" si="17"/>
        <v>7171416</v>
      </c>
      <c r="AC46" s="122"/>
      <c r="AD46" s="248">
        <f t="shared" si="18"/>
        <v>46129</v>
      </c>
      <c r="AE46" s="251">
        <v>994.0</v>
      </c>
      <c r="AF46" s="226">
        <v>1.0</v>
      </c>
      <c r="AG46" s="112"/>
      <c r="AH46" s="222">
        <f>IFERROR(__xludf.DUMMYFUNCTION("IFERROR( INDEX( SORT(  FILTER(  {'1. DATA CHUNG'!$J$4:$J$105 , '1. DATA CHUNG'!$L$4:$L$105}, 
                (TRIM('1. DATA CHUNG'!$I$4:$I$105) = TRIM(K46)) * IF(SUMPRODUCT(('1. DATA CHUNG'!$I$4:$I$105=K46) * ('1. DATA CHUNG'!$M$4:$M$105=Q46)), '1. DATA "&amp;"CHUNG'!$M$4:$M$105=Q46, 1) * ('1. DATA CHUNG'!$L$4:$L$105 &lt;= TODAY()) ),    2, 0),  1, 1 ), 
    IFERROR( INDEX( FILTER( '1. DATA CHUNG'!$J$4:$J$105, 
                (TRIM('1. DATA CHUNG'!$I$4:$I$105) = TRIM(K46)) * IF(SUMPRODUCT(('1. DATA CHUNG'!$I$4:$I"&amp;"$105=K46) * ('1. DATA CHUNG'!$M$4:$M$105=Q46)), '1. DATA CHUNG'!$M$4:$M$105=Q46, 1) * ('1. DATA CHUNG'!$L$4:$L$105 = """") ),  1),  ""Không tìm thấy""))"),18.0)</f>
        <v>18</v>
      </c>
      <c r="AI46" s="245">
        <f t="shared" si="4"/>
        <v>46147</v>
      </c>
      <c r="AJ46" s="114">
        <v>35000.0</v>
      </c>
      <c r="AK46" s="222">
        <f t="shared" si="21"/>
        <v>105000</v>
      </c>
      <c r="AL46" s="229">
        <f t="shared" si="6"/>
        <v>14</v>
      </c>
      <c r="AM46" s="229">
        <f t="shared" si="7"/>
        <v>7</v>
      </c>
      <c r="AN46" s="230">
        <f t="shared" si="8"/>
        <v>0</v>
      </c>
      <c r="AO46" s="119" t="str">
        <f t="shared" si="9"/>
        <v>04/2026</v>
      </c>
      <c r="AP46" s="122" t="str">
        <f t="array" ref="AP46">IFERROR(XLOOKUP(L46,'2. DATA NL, VTBB'!C:C,'2. DATA NL, VTBB'!F:F),"")</f>
        <v>HH0004</v>
      </c>
      <c r="AQ46" s="226" t="s">
        <v>302</v>
      </c>
      <c r="AR46" s="241" t="str">
        <f t="array" ref="AR46">IFERROR(XLOOKUP(L46,'2. DATA NL, VTBB'!C:C,'2. DATA NL, VTBB'!G:G),"")</f>
        <v>GC - II - 24 - Aqua Gold ra bông xoài 1kg -25</v>
      </c>
      <c r="AS46" s="241" t="str">
        <f t="array" ref="AS46">IFERROR(XLOOKUP(L46,'2. DATA NL, VTBB'!C:C,'2. DATA NL, VTBB'!G:G),"")</f>
        <v>GC - II - 24 - Aqua Gold ra bông xoài 1kg -25</v>
      </c>
      <c r="AT46" s="111" t="s">
        <v>314</v>
      </c>
    </row>
    <row r="47" ht="32.25" customHeight="1">
      <c r="A47" s="109">
        <v>43.0</v>
      </c>
      <c r="B47" s="238">
        <v>46132.0</v>
      </c>
      <c r="C47" s="210">
        <f t="shared" si="19"/>
        <v>46150</v>
      </c>
      <c r="D47" s="210">
        <f t="shared" si="15"/>
        <v>46157</v>
      </c>
      <c r="E47" s="247">
        <v>46150.0</v>
      </c>
      <c r="F47" s="219" t="s">
        <v>561</v>
      </c>
      <c r="G47" s="219" t="s">
        <v>562</v>
      </c>
      <c r="H47" s="219" t="s">
        <v>304</v>
      </c>
      <c r="I47" s="219" t="s">
        <v>305</v>
      </c>
      <c r="J47" s="242" t="s">
        <v>643</v>
      </c>
      <c r="K47" s="212" t="s">
        <v>301</v>
      </c>
      <c r="L47" s="111" t="s">
        <v>644</v>
      </c>
      <c r="M47" s="243" t="str">
        <f t="array" ref="M47">IFERROR(XLOOKUP(L47,'2. DATA NL, VTBB'!C:C,'2. DATA NL, VTBB'!D:D),"")</f>
        <v>Thùng NHP Chai 250ml x 40 chai (46x30x18cm) - Trắng viền xanh dương đỏ</v>
      </c>
      <c r="N47" s="126"/>
      <c r="O47" s="126"/>
      <c r="P47" s="219" t="s">
        <v>565</v>
      </c>
      <c r="Q47" s="126" t="b">
        <v>0</v>
      </c>
      <c r="R47" s="219" t="s">
        <v>573</v>
      </c>
      <c r="S47" s="219" t="s">
        <v>574</v>
      </c>
      <c r="T47" s="113">
        <f t="shared" si="2"/>
        <v>3</v>
      </c>
      <c r="U47" s="219" t="s">
        <v>568</v>
      </c>
      <c r="V47" s="234">
        <f t="shared" si="16"/>
        <v>300</v>
      </c>
      <c r="W47" s="213" t="s">
        <v>303</v>
      </c>
      <c r="X47" s="114">
        <v>300.0</v>
      </c>
      <c r="Y47" s="251">
        <v>320.0</v>
      </c>
      <c r="Z47" s="114">
        <v>15200.0</v>
      </c>
      <c r="AA47" s="244">
        <v>0.08</v>
      </c>
      <c r="AB47" s="222">
        <f t="shared" si="17"/>
        <v>5253120</v>
      </c>
      <c r="AC47" s="122"/>
      <c r="AD47" s="248">
        <f t="shared" si="18"/>
        <v>46132</v>
      </c>
      <c r="AE47" s="251">
        <v>1046.0</v>
      </c>
      <c r="AF47" s="226">
        <v>1.0</v>
      </c>
      <c r="AG47" s="112" t="s">
        <v>623</v>
      </c>
      <c r="AH47" s="222">
        <f>IFERROR(__xludf.DUMMYFUNCTION("IFERROR( INDEX( SORT(  FILTER(  {'1. DATA CHUNG'!$J$4:$J$105 , '1. DATA CHUNG'!$L$4:$L$105}, 
                (TRIM('1. DATA CHUNG'!$I$4:$I$105) = TRIM(K47)) * IF(SUMPRODUCT(('1. DATA CHUNG'!$I$4:$I$105=K47) * ('1. DATA CHUNG'!$M$4:$M$105=Q47)), '1. DATA "&amp;"CHUNG'!$M$4:$M$105=Q47, 1) * ('1. DATA CHUNG'!$L$4:$L$105 &lt;= TODAY()) ),    2, 0),  1, 1 ), 
    IFERROR( INDEX( FILTER( '1. DATA CHUNG'!$J$4:$J$105, 
                (TRIM('1. DATA CHUNG'!$I$4:$I$105) = TRIM(K47)) * IF(SUMPRODUCT(('1. DATA CHUNG'!$I$4:$I"&amp;"$105=K47) * ('1. DATA CHUNG'!$M$4:$M$105=Q47)), '1. DATA CHUNG'!$M$4:$M$105=Q47, 1) * ('1. DATA CHUNG'!$L$4:$L$105 = """") ),  1),  ""Không tìm thấy""))"),18.0)</f>
        <v>18</v>
      </c>
      <c r="AI47" s="245">
        <f t="shared" si="4"/>
        <v>46150</v>
      </c>
      <c r="AJ47" s="114">
        <v>35000.0</v>
      </c>
      <c r="AK47" s="222">
        <f t="shared" si="21"/>
        <v>105000</v>
      </c>
      <c r="AL47" s="229">
        <f t="shared" si="6"/>
        <v>7</v>
      </c>
      <c r="AM47" s="229">
        <f t="shared" si="7"/>
        <v>0</v>
      </c>
      <c r="AN47" s="230">
        <f t="shared" si="8"/>
        <v>0</v>
      </c>
      <c r="AO47" s="119" t="str">
        <f t="shared" si="9"/>
        <v>04/2026</v>
      </c>
      <c r="AP47" s="122" t="str">
        <f t="array" ref="AP47">IFERROR(XLOOKUP(L47,'2. DATA NL, VTBB'!C:C,'2. DATA NL, VTBB'!F:F),"")</f>
        <v>HH0264</v>
      </c>
      <c r="AQ47" s="226" t="s">
        <v>302</v>
      </c>
      <c r="AR47" s="241" t="str">
        <f t="array" ref="AR47">IFERROR(XLOOKUP(L47,'2. DATA NL, VTBB'!C:C,'2. DATA NL, VTBB'!G:G),"")</f>
        <v>GC - II - 683 - AGC - Kamycinjapane 20SL (chai tròn) - 450ml - 40</v>
      </c>
      <c r="AS47" s="241" t="str">
        <f t="array" ref="AS47">IFERROR(XLOOKUP(L47,'2. DATA NL, VTBB'!C:C,'2. DATA NL, VTBB'!G:G),"")</f>
        <v>GC - II - 683 - AGC - Kamycinjapane 20SL (chai tròn) - 450ml - 40</v>
      </c>
      <c r="AT47" s="111" t="s">
        <v>314</v>
      </c>
    </row>
    <row r="48" ht="32.25" customHeight="1">
      <c r="A48" s="109">
        <v>44.0</v>
      </c>
      <c r="B48" s="238">
        <v>46132.0</v>
      </c>
      <c r="C48" s="210">
        <f t="shared" si="19"/>
        <v>46150</v>
      </c>
      <c r="D48" s="210">
        <f t="shared" si="15"/>
        <v>46157</v>
      </c>
      <c r="E48" s="247">
        <v>46150.0</v>
      </c>
      <c r="F48" s="219" t="s">
        <v>561</v>
      </c>
      <c r="G48" s="219" t="s">
        <v>562</v>
      </c>
      <c r="H48" s="219" t="s">
        <v>304</v>
      </c>
      <c r="I48" s="219" t="s">
        <v>305</v>
      </c>
      <c r="J48" s="242" t="s">
        <v>645</v>
      </c>
      <c r="K48" s="212" t="s">
        <v>301</v>
      </c>
      <c r="L48" s="111" t="s">
        <v>646</v>
      </c>
      <c r="M48" s="243" t="str">
        <f t="array" ref="M48">IFERROR(XLOOKUP(L48,'2. DATA NL, VTBB'!C:C,'2. DATA NL, VTBB'!D:D),"")</f>
        <v>Thùng dùng chung ABA Chai 450 ml x 30 chai (45.5x38x21cm) - Trắng</v>
      </c>
      <c r="N48" s="126"/>
      <c r="O48" s="126"/>
      <c r="P48" s="219" t="s">
        <v>565</v>
      </c>
      <c r="Q48" s="126" t="b">
        <v>0</v>
      </c>
      <c r="R48" s="219" t="s">
        <v>573</v>
      </c>
      <c r="S48" s="219" t="s">
        <v>574</v>
      </c>
      <c r="T48" s="113">
        <f t="shared" si="2"/>
        <v>3</v>
      </c>
      <c r="U48" s="219" t="s">
        <v>568</v>
      </c>
      <c r="V48" s="234">
        <f t="shared" si="16"/>
        <v>300</v>
      </c>
      <c r="W48" s="213" t="s">
        <v>303</v>
      </c>
      <c r="X48" s="114">
        <v>300.0</v>
      </c>
      <c r="Y48" s="251">
        <v>310.0</v>
      </c>
      <c r="Z48" s="114">
        <v>19700.0</v>
      </c>
      <c r="AA48" s="244">
        <v>0.08</v>
      </c>
      <c r="AB48" s="222">
        <f t="shared" si="17"/>
        <v>6595560</v>
      </c>
      <c r="AC48" s="122"/>
      <c r="AD48" s="248">
        <f t="shared" si="18"/>
        <v>46132</v>
      </c>
      <c r="AE48" s="251">
        <v>1045.0</v>
      </c>
      <c r="AF48" s="226">
        <v>1.0</v>
      </c>
      <c r="AG48" s="112" t="s">
        <v>623</v>
      </c>
      <c r="AH48" s="222">
        <f>IFERROR(__xludf.DUMMYFUNCTION("IFERROR( INDEX( SORT(  FILTER(  {'1. DATA CHUNG'!$J$4:$J$105 , '1. DATA CHUNG'!$L$4:$L$105}, 
                (TRIM('1. DATA CHUNG'!$I$4:$I$105) = TRIM(K48)) * IF(SUMPRODUCT(('1. DATA CHUNG'!$I$4:$I$105=K48) * ('1. DATA CHUNG'!$M$4:$M$105=Q48)), '1. DATA "&amp;"CHUNG'!$M$4:$M$105=Q48, 1) * ('1. DATA CHUNG'!$L$4:$L$105 &lt;= TODAY()) ),    2, 0),  1, 1 ), 
    IFERROR( INDEX( FILTER( '1. DATA CHUNG'!$J$4:$J$105, 
                (TRIM('1. DATA CHUNG'!$I$4:$I$105) = TRIM(K48)) * IF(SUMPRODUCT(('1. DATA CHUNG'!$I$4:$I"&amp;"$105=K48) * ('1. DATA CHUNG'!$M$4:$M$105=Q48)), '1. DATA CHUNG'!$M$4:$M$105=Q48, 1) * ('1. DATA CHUNG'!$L$4:$L$105 = """") ),  1),  ""Không tìm thấy""))"),18.0)</f>
        <v>18</v>
      </c>
      <c r="AI48" s="245">
        <f t="shared" si="4"/>
        <v>46150</v>
      </c>
      <c r="AJ48" s="114">
        <v>35000.0</v>
      </c>
      <c r="AK48" s="222">
        <f t="shared" si="21"/>
        <v>105000</v>
      </c>
      <c r="AL48" s="229">
        <f t="shared" si="6"/>
        <v>7</v>
      </c>
      <c r="AM48" s="229">
        <f t="shared" si="7"/>
        <v>0</v>
      </c>
      <c r="AN48" s="230">
        <f t="shared" si="8"/>
        <v>0</v>
      </c>
      <c r="AO48" s="119" t="str">
        <f t="shared" si="9"/>
        <v>04/2026</v>
      </c>
      <c r="AP48" s="122" t="str">
        <f t="array" ref="AP48">IFERROR(XLOOKUP(L48,'2. DATA NL, VTBB'!C:C,'2. DATA NL, VTBB'!F:F),"")</f>
        <v>HH0061</v>
      </c>
      <c r="AQ48" s="226" t="s">
        <v>302</v>
      </c>
      <c r="AR48" s="241" t="str">
        <f t="array" ref="AR48">IFERROR(XLOOKUP(L48,'2. DATA NL, VTBB'!C:C,'2. DATA NL, VTBB'!G:G),"")</f>
        <v>IDA Global - I - 401.2 - Chito - M55 (drone) (mới)- 500ml - 40</v>
      </c>
      <c r="AS48" s="241" t="str">
        <f t="array" ref="AS48">IFERROR(XLOOKUP(L48,'2. DATA NL, VTBB'!C:C,'2. DATA NL, VTBB'!G:G),"")</f>
        <v>IDA Global - I - 401.2 - Chito - M55 (drone) (mới)- 500ml - 40</v>
      </c>
      <c r="AT48" s="111" t="s">
        <v>314</v>
      </c>
    </row>
    <row r="49" ht="32.25" customHeight="1">
      <c r="A49" s="109">
        <v>45.0</v>
      </c>
      <c r="B49" s="238">
        <v>46137.0</v>
      </c>
      <c r="C49" s="210">
        <f t="shared" si="19"/>
        <v>46155</v>
      </c>
      <c r="D49" s="210">
        <f t="shared" si="15"/>
        <v>46162</v>
      </c>
      <c r="E49" s="247">
        <v>46154.0</v>
      </c>
      <c r="F49" s="219" t="s">
        <v>561</v>
      </c>
      <c r="G49" s="219" t="s">
        <v>562</v>
      </c>
      <c r="H49" s="219" t="s">
        <v>304</v>
      </c>
      <c r="I49" s="219" t="s">
        <v>305</v>
      </c>
      <c r="J49" s="242" t="s">
        <v>647</v>
      </c>
      <c r="K49" s="212" t="s">
        <v>301</v>
      </c>
      <c r="L49" s="111" t="s">
        <v>648</v>
      </c>
      <c r="M49" s="243" t="str">
        <f t="array" ref="M49">IFERROR(XLOOKUP(L49,'2. DATA NL, VTBB'!C:C,'2. DATA NL, VTBB'!D:D),"")</f>
        <v>Thùng DONA VINA Chai HD Vuông 500ml x 40 chai (47x38.5x19cm) - Trắng xanh lá đỏ</v>
      </c>
      <c r="N49" s="126"/>
      <c r="O49" s="126"/>
      <c r="P49" s="219" t="s">
        <v>565</v>
      </c>
      <c r="Q49" s="126" t="b">
        <v>0</v>
      </c>
      <c r="R49" s="219" t="s">
        <v>566</v>
      </c>
      <c r="S49" s="219" t="s">
        <v>567</v>
      </c>
      <c r="T49" s="113">
        <f t="shared" si="2"/>
        <v>3</v>
      </c>
      <c r="U49" s="219" t="s">
        <v>568</v>
      </c>
      <c r="V49" s="234">
        <f t="shared" si="16"/>
        <v>300</v>
      </c>
      <c r="W49" s="213" t="s">
        <v>303</v>
      </c>
      <c r="X49" s="114">
        <v>300.0</v>
      </c>
      <c r="Y49" s="251">
        <v>321.0</v>
      </c>
      <c r="Z49" s="114">
        <v>19200.0</v>
      </c>
      <c r="AA49" s="244">
        <v>0.08</v>
      </c>
      <c r="AB49" s="222">
        <f t="shared" si="17"/>
        <v>6656256</v>
      </c>
      <c r="AC49" s="122"/>
      <c r="AD49" s="248">
        <f t="shared" si="18"/>
        <v>46137</v>
      </c>
      <c r="AE49" s="251">
        <v>1095.0</v>
      </c>
      <c r="AF49" s="226">
        <v>1.0</v>
      </c>
      <c r="AG49" s="112" t="s">
        <v>623</v>
      </c>
      <c r="AH49" s="222">
        <f>IFERROR(__xludf.DUMMYFUNCTION("IFERROR( INDEX( SORT(  FILTER(  {'1. DATA CHUNG'!$J$4:$J$105 , '1. DATA CHUNG'!$L$4:$L$105}, 
                (TRIM('1. DATA CHUNG'!$I$4:$I$105) = TRIM(K49)) * IF(SUMPRODUCT(('1. DATA CHUNG'!$I$4:$I$105=K49) * ('1. DATA CHUNG'!$M$4:$M$105=Q49)), '1. DATA "&amp;"CHUNG'!$M$4:$M$105=Q49, 1) * ('1. DATA CHUNG'!$L$4:$L$105 &lt;= TODAY()) ),    2, 0),  1, 1 ), 
    IFERROR( INDEX( FILTER( '1. DATA CHUNG'!$J$4:$J$105, 
                (TRIM('1. DATA CHUNG'!$I$4:$I$105) = TRIM(K49)) * IF(SUMPRODUCT(('1. DATA CHUNG'!$I$4:$I"&amp;"$105=K49) * ('1. DATA CHUNG'!$M$4:$M$105=Q49)), '1. DATA CHUNG'!$M$4:$M$105=Q49, 1) * ('1. DATA CHUNG'!$L$4:$L$105 = """") ),  1),  ""Không tìm thấy""))"),18.0)</f>
        <v>18</v>
      </c>
      <c r="AI49" s="245">
        <f t="shared" si="4"/>
        <v>46155</v>
      </c>
      <c r="AJ49" s="114">
        <v>35000.0</v>
      </c>
      <c r="AK49" s="222">
        <f t="shared" si="21"/>
        <v>105000</v>
      </c>
      <c r="AL49" s="229">
        <f t="shared" si="6"/>
        <v>8</v>
      </c>
      <c r="AM49" s="229">
        <f t="shared" si="7"/>
        <v>1</v>
      </c>
      <c r="AN49" s="230">
        <f t="shared" si="8"/>
        <v>0</v>
      </c>
      <c r="AO49" s="119" t="str">
        <f t="shared" si="9"/>
        <v>04/2026</v>
      </c>
      <c r="AP49" s="122" t="str">
        <f t="array" ref="AP49">IFERROR(XLOOKUP(L49,'2. DATA NL, VTBB'!C:C,'2. DATA NL, VTBB'!F:F),"")</f>
        <v>HH0300</v>
      </c>
      <c r="AQ49" s="226" t="s">
        <v>302</v>
      </c>
      <c r="AR49" s="241" t="str">
        <f t="array" ref="AR49">IFERROR(XLOOKUP(L49,'2. DATA NL, VTBB'!C:C,'2. DATA NL, VTBB'!G:G),"")</f>
        <v>IDA Global - I - 711 - Vua chim trĩ (chai HD)- 100ml - 100 ([btp] ,t,c)</v>
      </c>
      <c r="AS49" s="241" t="str">
        <f t="array" ref="AS49">IFERROR(XLOOKUP(L49,'2. DATA NL, VTBB'!C:C,'2. DATA NL, VTBB'!G:G),"")</f>
        <v>IDA Global - I - 711 - Vua chim trĩ (chai HD)- 100ml - 100 ([btp] ,t,c)</v>
      </c>
      <c r="AT49" s="111" t="s">
        <v>314</v>
      </c>
    </row>
    <row r="50" ht="32.25" customHeight="1">
      <c r="A50" s="109">
        <v>46.0</v>
      </c>
      <c r="B50" s="238">
        <v>46139.0</v>
      </c>
      <c r="C50" s="210">
        <f t="shared" si="19"/>
        <v>46157</v>
      </c>
      <c r="D50" s="210">
        <f t="shared" si="15"/>
        <v>46164</v>
      </c>
      <c r="E50" s="247">
        <v>46154.0</v>
      </c>
      <c r="F50" s="219" t="s">
        <v>561</v>
      </c>
      <c r="G50" s="219" t="s">
        <v>562</v>
      </c>
      <c r="H50" s="219" t="s">
        <v>304</v>
      </c>
      <c r="I50" s="219" t="s">
        <v>305</v>
      </c>
      <c r="J50" s="242" t="s">
        <v>649</v>
      </c>
      <c r="K50" s="212" t="s">
        <v>301</v>
      </c>
      <c r="L50" s="111" t="s">
        <v>586</v>
      </c>
      <c r="M50" s="243" t="str">
        <f t="array" ref="M50">IFERROR(XLOOKUP(L50,'2. DATA NL, VTBB'!C:C,'2. DATA NL, VTBB'!D:D),"")</f>
        <v>Thùng dùng chung ABA Chai 250ml x 40 chai (53.5x33.5x15.5cm) - Trắng</v>
      </c>
      <c r="N50" s="126"/>
      <c r="O50" s="126"/>
      <c r="P50" s="219" t="s">
        <v>565</v>
      </c>
      <c r="Q50" s="126" t="b">
        <v>0</v>
      </c>
      <c r="R50" s="219" t="s">
        <v>566</v>
      </c>
      <c r="S50" s="219" t="s">
        <v>567</v>
      </c>
      <c r="T50" s="113">
        <f t="shared" si="2"/>
        <v>3</v>
      </c>
      <c r="U50" s="219" t="s">
        <v>568</v>
      </c>
      <c r="V50" s="234">
        <f t="shared" si="16"/>
        <v>300</v>
      </c>
      <c r="W50" s="213" t="s">
        <v>303</v>
      </c>
      <c r="X50" s="114">
        <v>300.0</v>
      </c>
      <c r="Y50" s="251">
        <v>316.0</v>
      </c>
      <c r="Z50" s="114">
        <v>16700.0</v>
      </c>
      <c r="AA50" s="244">
        <v>0.08</v>
      </c>
      <c r="AB50" s="222">
        <f t="shared" si="17"/>
        <v>5699376</v>
      </c>
      <c r="AC50" s="122"/>
      <c r="AD50" s="248">
        <f t="shared" si="18"/>
        <v>46139</v>
      </c>
      <c r="AE50" s="251">
        <v>1093.0</v>
      </c>
      <c r="AF50" s="226">
        <v>1.0</v>
      </c>
      <c r="AG50" s="126"/>
      <c r="AH50" s="222">
        <f>IFERROR(__xludf.DUMMYFUNCTION("IFERROR( INDEX( SORT(  FILTER(  {'1. DATA CHUNG'!$J$4:$J$105 , '1. DATA CHUNG'!$L$4:$L$105}, 
                (TRIM('1. DATA CHUNG'!$I$4:$I$105) = TRIM(K50)) * IF(SUMPRODUCT(('1. DATA CHUNG'!$I$4:$I$105=K50) * ('1. DATA CHUNG'!$M$4:$M$105=Q50)), '1. DATA "&amp;"CHUNG'!$M$4:$M$105=Q50, 1) * ('1. DATA CHUNG'!$L$4:$L$105 &lt;= TODAY()) ),    2, 0),  1, 1 ), 
    IFERROR( INDEX( FILTER( '1. DATA CHUNG'!$J$4:$J$105, 
                (TRIM('1. DATA CHUNG'!$I$4:$I$105) = TRIM(K50)) * IF(SUMPRODUCT(('1. DATA CHUNG'!$I$4:$I"&amp;"$105=K50) * ('1. DATA CHUNG'!$M$4:$M$105=Q50)), '1. DATA CHUNG'!$M$4:$M$105=Q50, 1) * ('1. DATA CHUNG'!$L$4:$L$105 = """") ),  1),  ""Không tìm thấy""))"),18.0)</f>
        <v>18</v>
      </c>
      <c r="AI50" s="245">
        <f t="shared" si="4"/>
        <v>46157</v>
      </c>
      <c r="AJ50" s="114">
        <v>35000.0</v>
      </c>
      <c r="AK50" s="222">
        <f t="shared" si="21"/>
        <v>105000</v>
      </c>
      <c r="AL50" s="229">
        <f t="shared" si="6"/>
        <v>10</v>
      </c>
      <c r="AM50" s="229">
        <f t="shared" si="7"/>
        <v>3</v>
      </c>
      <c r="AN50" s="230">
        <f t="shared" si="8"/>
        <v>0</v>
      </c>
      <c r="AO50" s="119" t="str">
        <f t="shared" si="9"/>
        <v>04/2026</v>
      </c>
      <c r="AP50" s="122" t="str">
        <f t="array" ref="AP50">IFERROR(XLOOKUP(L50,'2. DATA NL, VTBB'!C:C,'2. DATA NL, VTBB'!F:F),"")</f>
        <v>HH0080</v>
      </c>
      <c r="AQ50" s="226" t="s">
        <v>302</v>
      </c>
      <c r="AR50" s="241" t="str">
        <f t="array" ref="AR50">IFERROR(XLOOKUP(L50,'2. DATA NL, VTBB'!C:C,'2. DATA NL, VTBB'!G:G),"")</f>
        <v>IDA Global - I - 442 - Creek 51WG (Dạng cốm) - 30gr - 300</v>
      </c>
      <c r="AS50" s="241" t="str">
        <f t="array" ref="AS50">IFERROR(XLOOKUP(L50,'2. DATA NL, VTBB'!C:C,'2. DATA NL, VTBB'!G:G),"")</f>
        <v>IDA Global - I - 442 - Creek 51WG (Dạng cốm) - 30gr - 300</v>
      </c>
      <c r="AT50" s="111" t="s">
        <v>314</v>
      </c>
    </row>
    <row r="51" ht="32.25" customHeight="1">
      <c r="A51" s="109">
        <v>47.0</v>
      </c>
      <c r="B51" s="238">
        <v>46139.0</v>
      </c>
      <c r="C51" s="210">
        <f t="shared" si="19"/>
        <v>46157</v>
      </c>
      <c r="D51" s="210">
        <f t="shared" si="15"/>
        <v>46164</v>
      </c>
      <c r="E51" s="247">
        <v>46154.0</v>
      </c>
      <c r="F51" s="219" t="s">
        <v>561</v>
      </c>
      <c r="G51" s="219" t="s">
        <v>562</v>
      </c>
      <c r="H51" s="219" t="s">
        <v>304</v>
      </c>
      <c r="I51" s="219" t="s">
        <v>318</v>
      </c>
      <c r="J51" s="242" t="s">
        <v>650</v>
      </c>
      <c r="K51" s="212" t="s">
        <v>301</v>
      </c>
      <c r="L51" s="111" t="s">
        <v>651</v>
      </c>
      <c r="M51" s="243" t="str">
        <f t="array" ref="M51">IFERROR(XLOOKUP(L51,'2. DATA NL, VTBB'!C:C,'2. DATA NL, VTBB'!D:D),"")</f>
        <v>Thùng DONAVINA chai HDPE 500ml x 40 chai (60x35.5x21.5cm) - Trắng xanh lá đỏ</v>
      </c>
      <c r="N51" s="126"/>
      <c r="O51" s="126"/>
      <c r="P51" s="219" t="s">
        <v>565</v>
      </c>
      <c r="Q51" s="126" t="b">
        <v>0</v>
      </c>
      <c r="R51" s="219" t="s">
        <v>566</v>
      </c>
      <c r="S51" s="219" t="s">
        <v>567</v>
      </c>
      <c r="T51" s="113">
        <f t="shared" si="2"/>
        <v>1</v>
      </c>
      <c r="U51" s="219" t="s">
        <v>568</v>
      </c>
      <c r="V51" s="234">
        <f t="shared" si="16"/>
        <v>100</v>
      </c>
      <c r="W51" s="213" t="s">
        <v>303</v>
      </c>
      <c r="X51" s="114">
        <v>100.0</v>
      </c>
      <c r="Y51" s="251">
        <v>107.0</v>
      </c>
      <c r="Z51" s="114">
        <v>23600.0</v>
      </c>
      <c r="AA51" s="244">
        <v>0.08</v>
      </c>
      <c r="AB51" s="222">
        <f t="shared" si="17"/>
        <v>2727216</v>
      </c>
      <c r="AC51" s="122"/>
      <c r="AD51" s="248">
        <f t="shared" si="18"/>
        <v>46139</v>
      </c>
      <c r="AE51" s="251">
        <v>82.0</v>
      </c>
      <c r="AF51" s="226">
        <v>1.0</v>
      </c>
      <c r="AG51" s="126"/>
      <c r="AH51" s="222">
        <f>IFERROR(__xludf.DUMMYFUNCTION("IFERROR( INDEX( SORT(  FILTER(  {'1. DATA CHUNG'!$J$4:$J$105 , '1. DATA CHUNG'!$L$4:$L$105}, 
                (TRIM('1. DATA CHUNG'!$I$4:$I$105) = TRIM(K51)) * IF(SUMPRODUCT(('1. DATA CHUNG'!$I$4:$I$105=K51) * ('1. DATA CHUNG'!$M$4:$M$105=Q51)), '1. DATA "&amp;"CHUNG'!$M$4:$M$105=Q51, 1) * ('1. DATA CHUNG'!$L$4:$L$105 &lt;= TODAY()) ),    2, 0),  1, 1 ), 
    IFERROR( INDEX( FILTER( '1. DATA CHUNG'!$J$4:$J$105, 
                (TRIM('1. DATA CHUNG'!$I$4:$I$105) = TRIM(K51)) * IF(SUMPRODUCT(('1. DATA CHUNG'!$I$4:$I"&amp;"$105=K51) * ('1. DATA CHUNG'!$M$4:$M$105=Q51)), '1. DATA CHUNG'!$M$4:$M$105=Q51, 1) * ('1. DATA CHUNG'!$L$4:$L$105 = """") ),  1),  ""Không tìm thấy""))"),18.0)</f>
        <v>18</v>
      </c>
      <c r="AI51" s="245">
        <f t="shared" si="4"/>
        <v>46157</v>
      </c>
      <c r="AJ51" s="114">
        <v>35000.0</v>
      </c>
      <c r="AK51" s="222">
        <f t="shared" si="21"/>
        <v>105000</v>
      </c>
      <c r="AL51" s="229">
        <f t="shared" si="6"/>
        <v>10</v>
      </c>
      <c r="AM51" s="229">
        <f t="shared" si="7"/>
        <v>3</v>
      </c>
      <c r="AN51" s="230">
        <f t="shared" si="8"/>
        <v>0</v>
      </c>
      <c r="AO51" s="119" t="str">
        <f t="shared" si="9"/>
        <v>04/2026</v>
      </c>
      <c r="AP51" s="122" t="str">
        <f t="array" ref="AP51">IFERROR(XLOOKUP(L51,'2. DATA NL, VTBB'!C:C,'2. DATA NL, VTBB'!F:F),"")</f>
        <v>HH0302</v>
      </c>
      <c r="AQ51" s="226" t="s">
        <v>302</v>
      </c>
      <c r="AR51" s="241" t="str">
        <f t="array" ref="AR51">IFERROR(XLOOKUP(L51,'2. DATA NL, VTBB'!C:C,'2. DATA NL, VTBB'!G:G),"")</f>
        <v>IDA Global - I - 713 - Picosuper 280SC (chai Pape) (BTP Trắng) - 250ml - 40 ([btp],t,c)</v>
      </c>
      <c r="AS51" s="241" t="str">
        <f t="array" ref="AS51">IFERROR(XLOOKUP(L51,'2. DATA NL, VTBB'!C:C,'2. DATA NL, VTBB'!G:G),"")</f>
        <v>IDA Global - I - 713 - Picosuper 280SC (chai Pape) (BTP Trắng) - 250ml - 40 ([btp],t,c)</v>
      </c>
      <c r="AT51" s="111" t="s">
        <v>628</v>
      </c>
    </row>
    <row r="52" ht="32.25" customHeight="1">
      <c r="A52" s="109">
        <v>48.0</v>
      </c>
      <c r="B52" s="238">
        <v>46140.0</v>
      </c>
      <c r="C52" s="210">
        <f t="shared" ref="C52:C57" si="22">B52+20</f>
        <v>46160</v>
      </c>
      <c r="D52" s="210">
        <f t="shared" si="15"/>
        <v>46165</v>
      </c>
      <c r="E52" s="247">
        <v>46154.0</v>
      </c>
      <c r="F52" s="219" t="s">
        <v>561</v>
      </c>
      <c r="G52" s="219" t="s">
        <v>562</v>
      </c>
      <c r="H52" s="219" t="s">
        <v>304</v>
      </c>
      <c r="I52" s="219" t="s">
        <v>305</v>
      </c>
      <c r="J52" s="242" t="s">
        <v>652</v>
      </c>
      <c r="K52" s="212" t="s">
        <v>301</v>
      </c>
      <c r="L52" s="111" t="s">
        <v>578</v>
      </c>
      <c r="M52" s="243" t="str">
        <f t="array" ref="M52">IFERROR(XLOOKUP(L52,'2. DATA NL, VTBB'!C:C,'2. DATA NL, VTBB'!D:D),"")</f>
        <v>Thùng DC Chai Pet Tròn 43 450ml-500ml - 61.5x38.5x19 - Trắng</v>
      </c>
      <c r="N52" s="126"/>
      <c r="O52" s="126"/>
      <c r="P52" s="219" t="s">
        <v>565</v>
      </c>
      <c r="Q52" s="126" t="b">
        <v>0</v>
      </c>
      <c r="R52" s="219" t="s">
        <v>566</v>
      </c>
      <c r="S52" s="219" t="s">
        <v>567</v>
      </c>
      <c r="T52" s="113">
        <f t="shared" si="2"/>
        <v>3</v>
      </c>
      <c r="U52" s="219" t="s">
        <v>568</v>
      </c>
      <c r="V52" s="234">
        <f t="shared" si="16"/>
        <v>300</v>
      </c>
      <c r="W52" s="213" t="s">
        <v>303</v>
      </c>
      <c r="X52" s="114">
        <v>300.0</v>
      </c>
      <c r="Y52" s="251">
        <v>309.0</v>
      </c>
      <c r="Z52" s="114">
        <v>21700.0</v>
      </c>
      <c r="AA52" s="244">
        <v>0.08</v>
      </c>
      <c r="AB52" s="222">
        <f t="shared" si="17"/>
        <v>7241724</v>
      </c>
      <c r="AC52" s="122"/>
      <c r="AD52" s="248">
        <f t="shared" si="18"/>
        <v>46140</v>
      </c>
      <c r="AE52" s="251">
        <v>1092.0</v>
      </c>
      <c r="AF52" s="226">
        <v>1.0</v>
      </c>
      <c r="AG52" s="126"/>
      <c r="AH52" s="222">
        <f>IFERROR(__xludf.DUMMYFUNCTION("IFERROR( INDEX( SORT(  FILTER(  {'1. DATA CHUNG'!$J$4:$J$105 , '1. DATA CHUNG'!$L$4:$L$105}, 
                (TRIM('1. DATA CHUNG'!$I$4:$I$105) = TRIM(K52)) * IF(SUMPRODUCT(('1. DATA CHUNG'!$I$4:$I$105=K52) * ('1. DATA CHUNG'!$M$4:$M$105=Q52)), '1. DATA "&amp;"CHUNG'!$M$4:$M$105=Q52, 1) * ('1. DATA CHUNG'!$L$4:$L$105 &lt;= TODAY()) ),    2, 0),  1, 1 ), 
    IFERROR( INDEX( FILTER( '1. DATA CHUNG'!$J$4:$J$105, 
                (TRIM('1. DATA CHUNG'!$I$4:$I$105) = TRIM(K52)) * IF(SUMPRODUCT(('1. DATA CHUNG'!$I$4:$I"&amp;"$105=K52) * ('1. DATA CHUNG'!$M$4:$M$105=Q52)), '1. DATA CHUNG'!$M$4:$M$105=Q52, 1) * ('1. DATA CHUNG'!$L$4:$L$105 = """") ),  1),  ""Không tìm thấy""))"),18.0)</f>
        <v>18</v>
      </c>
      <c r="AI52" s="245">
        <f t="shared" si="4"/>
        <v>46158</v>
      </c>
      <c r="AJ52" s="114">
        <v>35000.0</v>
      </c>
      <c r="AK52" s="222">
        <f t="shared" si="21"/>
        <v>35000</v>
      </c>
      <c r="AL52" s="229">
        <f t="shared" si="6"/>
        <v>11</v>
      </c>
      <c r="AM52" s="229">
        <f t="shared" si="7"/>
        <v>4</v>
      </c>
      <c r="AN52" s="230">
        <f t="shared" si="8"/>
        <v>-2</v>
      </c>
      <c r="AO52" s="119" t="str">
        <f t="shared" si="9"/>
        <v>04/2026</v>
      </c>
      <c r="AP52" s="122" t="str">
        <f t="array" ref="AP52">IFERROR(XLOOKUP(L52,'2. DATA NL, VTBB'!C:C,'2. DATA NL, VTBB'!F:F),"")</f>
        <v>HH0004</v>
      </c>
      <c r="AQ52" s="226" t="s">
        <v>302</v>
      </c>
      <c r="AR52" s="241" t="str">
        <f t="array" ref="AR52">IFERROR(XLOOKUP(L52,'2. DATA NL, VTBB'!C:C,'2. DATA NL, VTBB'!G:G),"")</f>
        <v>GC - II - 24 - Aqua Gold ra bông xoài 1kg -25</v>
      </c>
      <c r="AS52" s="241" t="str">
        <f t="array" ref="AS52">IFERROR(XLOOKUP(L52,'2. DATA NL, VTBB'!C:C,'2. DATA NL, VTBB'!G:G),"")</f>
        <v>GC - II - 24 - Aqua Gold ra bông xoài 1kg -25</v>
      </c>
      <c r="AT52" s="111" t="s">
        <v>314</v>
      </c>
    </row>
    <row r="53" ht="32.25" customHeight="1">
      <c r="A53" s="109">
        <v>49.0</v>
      </c>
      <c r="B53" s="238">
        <v>46141.0</v>
      </c>
      <c r="C53" s="210">
        <f t="shared" si="22"/>
        <v>46161</v>
      </c>
      <c r="D53" s="210">
        <f t="shared" si="15"/>
        <v>46166</v>
      </c>
      <c r="E53" s="247">
        <v>46158.0</v>
      </c>
      <c r="F53" s="219" t="s">
        <v>561</v>
      </c>
      <c r="G53" s="219" t="s">
        <v>562</v>
      </c>
      <c r="H53" s="219" t="s">
        <v>304</v>
      </c>
      <c r="I53" s="219" t="s">
        <v>318</v>
      </c>
      <c r="J53" s="242" t="s">
        <v>653</v>
      </c>
      <c r="K53" s="212" t="s">
        <v>301</v>
      </c>
      <c r="L53" s="111" t="s">
        <v>654</v>
      </c>
      <c r="M53" s="243" t="str">
        <f t="array" ref="M53">IFERROR(XLOOKUP(L53,'2. DATA NL, VTBB'!C:C,'2. DATA NL, VTBB'!D:D),"")</f>
        <v>Thùng Sen Hồng 1kg x 25 gói (50x35x25.5cm) - Trắng viền xanh lá</v>
      </c>
      <c r="N53" s="126"/>
      <c r="O53" s="126"/>
      <c r="P53" s="219" t="s">
        <v>565</v>
      </c>
      <c r="Q53" s="126" t="b">
        <v>0</v>
      </c>
      <c r="R53" s="219" t="s">
        <v>566</v>
      </c>
      <c r="S53" s="219" t="s">
        <v>567</v>
      </c>
      <c r="T53" s="113">
        <f t="shared" si="2"/>
        <v>1</v>
      </c>
      <c r="U53" s="219" t="s">
        <v>568</v>
      </c>
      <c r="V53" s="234">
        <f t="shared" si="16"/>
        <v>100</v>
      </c>
      <c r="W53" s="213" t="s">
        <v>303</v>
      </c>
      <c r="X53" s="114">
        <v>100.0</v>
      </c>
      <c r="Y53" s="251">
        <v>110.0</v>
      </c>
      <c r="Z53" s="252">
        <v>22500.0</v>
      </c>
      <c r="AA53" s="244">
        <v>0.08</v>
      </c>
      <c r="AB53" s="222">
        <f t="shared" si="17"/>
        <v>2673000</v>
      </c>
      <c r="AC53" s="122"/>
      <c r="AD53" s="248">
        <f t="shared" si="18"/>
        <v>46141</v>
      </c>
      <c r="AE53" s="251">
        <v>86.0</v>
      </c>
      <c r="AF53" s="226">
        <v>1.0</v>
      </c>
      <c r="AG53" s="126"/>
      <c r="AH53" s="222">
        <f>IFERROR(__xludf.DUMMYFUNCTION("IFERROR( INDEX( SORT(  FILTER(  {'1. DATA CHUNG'!$J$4:$J$105 , '1. DATA CHUNG'!$L$4:$L$105}, 
                (TRIM('1. DATA CHUNG'!$I$4:$I$105) = TRIM(K53)) * IF(SUMPRODUCT(('1. DATA CHUNG'!$I$4:$I$105=K53) * ('1. DATA CHUNG'!$M$4:$M$105=Q53)), '1. DATA "&amp;"CHUNG'!$M$4:$M$105=Q53, 1) * ('1. DATA CHUNG'!$L$4:$L$105 &lt;= TODAY()) ),    2, 0),  1, 1 ), 
    IFERROR( INDEX( FILTER( '1. DATA CHUNG'!$J$4:$J$105, 
                (TRIM('1. DATA CHUNG'!$I$4:$I$105) = TRIM(K53)) * IF(SUMPRODUCT(('1. DATA CHUNG'!$I$4:$I"&amp;"$105=K53) * ('1. DATA CHUNG'!$M$4:$M$105=Q53)), '1. DATA CHUNG'!$M$4:$M$105=Q53, 1) * ('1. DATA CHUNG'!$L$4:$L$105 = """") ),  1),  ""Không tìm thấy""))"),18.0)</f>
        <v>18</v>
      </c>
      <c r="AI53" s="245">
        <f t="shared" si="4"/>
        <v>46159</v>
      </c>
      <c r="AJ53" s="114">
        <v>35000.0</v>
      </c>
      <c r="AK53" s="222">
        <f t="shared" si="21"/>
        <v>105000</v>
      </c>
      <c r="AL53" s="229">
        <f t="shared" si="6"/>
        <v>8</v>
      </c>
      <c r="AM53" s="229">
        <f t="shared" si="7"/>
        <v>1</v>
      </c>
      <c r="AN53" s="230">
        <f t="shared" si="8"/>
        <v>-2</v>
      </c>
      <c r="AO53" s="119" t="str">
        <f t="shared" si="9"/>
        <v>04/2026</v>
      </c>
      <c r="AP53" s="122" t="str">
        <f t="array" ref="AP53">IFERROR(XLOOKUP(L53,'2. DATA NL, VTBB'!C:C,'2. DATA NL, VTBB'!F:F),"")</f>
        <v>HH0303</v>
      </c>
      <c r="AQ53" s="226" t="s">
        <v>302</v>
      </c>
      <c r="AR53" s="241" t="str">
        <f t="array" ref="AR53">IFERROR(XLOOKUP(L53,'2. DATA NL, VTBB'!C:C,'2. DATA NL, VTBB'!G:G),"")</f>
        <v>IDA Global - I - 713.1 - Picosuper 280SC (Chai Pape)(nước trắng sữa) - 240ml - 40 ([btp],t,c)</v>
      </c>
      <c r="AS53" s="241" t="str">
        <f t="array" ref="AS53">IFERROR(XLOOKUP(L53,'2. DATA NL, VTBB'!C:C,'2. DATA NL, VTBB'!G:G),"")</f>
        <v>IDA Global - I - 713.1 - Picosuper 280SC (Chai Pape)(nước trắng sữa) - 240ml - 40 ([btp],t,c)</v>
      </c>
      <c r="AT53" s="111" t="s">
        <v>628</v>
      </c>
    </row>
    <row r="54" ht="32.25" customHeight="1">
      <c r="A54" s="109">
        <v>50.0</v>
      </c>
      <c r="B54" s="238">
        <v>46146.0</v>
      </c>
      <c r="C54" s="210">
        <f t="shared" si="22"/>
        <v>46166</v>
      </c>
      <c r="D54" s="210">
        <f t="shared" si="15"/>
        <v>46171</v>
      </c>
      <c r="E54" s="247">
        <v>46154.0</v>
      </c>
      <c r="F54" s="219" t="s">
        <v>561</v>
      </c>
      <c r="G54" s="219" t="s">
        <v>562</v>
      </c>
      <c r="H54" s="219" t="s">
        <v>304</v>
      </c>
      <c r="I54" s="219" t="s">
        <v>305</v>
      </c>
      <c r="J54" s="242" t="s">
        <v>655</v>
      </c>
      <c r="K54" s="212" t="s">
        <v>301</v>
      </c>
      <c r="L54" s="111" t="s">
        <v>595</v>
      </c>
      <c r="M54" s="243" t="str">
        <f t="array" ref="M54">IFERROR(XLOOKUP(L54,'2. DATA NL, VTBB'!C:C,'2. DATA NL, VTBB'!D:D),"")</f>
        <v>Thùng dùng chung ABA chai tròn 1 lít x 20 chai (20 gói/ thùng) - (45.5x35.5x27cm) - Trắng</v>
      </c>
      <c r="N54" s="126"/>
      <c r="O54" s="126"/>
      <c r="P54" s="219" t="s">
        <v>565</v>
      </c>
      <c r="Q54" s="126" t="b">
        <v>0</v>
      </c>
      <c r="R54" s="219" t="s">
        <v>566</v>
      </c>
      <c r="S54" s="219" t="s">
        <v>567</v>
      </c>
      <c r="T54" s="113">
        <f t="shared" si="2"/>
        <v>3</v>
      </c>
      <c r="U54" s="219" t="s">
        <v>568</v>
      </c>
      <c r="V54" s="234">
        <f t="shared" si="16"/>
        <v>300</v>
      </c>
      <c r="W54" s="213" t="s">
        <v>303</v>
      </c>
      <c r="X54" s="114">
        <v>300.0</v>
      </c>
      <c r="Y54" s="251">
        <v>306.0</v>
      </c>
      <c r="Z54" s="114">
        <v>19750.0</v>
      </c>
      <c r="AA54" s="244">
        <v>0.08</v>
      </c>
      <c r="AB54" s="222">
        <f t="shared" si="17"/>
        <v>6526980</v>
      </c>
      <c r="AC54" s="122"/>
      <c r="AD54" s="248">
        <f t="shared" si="18"/>
        <v>46146</v>
      </c>
      <c r="AE54" s="251">
        <v>1094.0</v>
      </c>
      <c r="AF54" s="226">
        <v>1.0</v>
      </c>
      <c r="AG54" s="126"/>
      <c r="AH54" s="222">
        <f>IFERROR(__xludf.DUMMYFUNCTION("IFERROR( INDEX( SORT(  FILTER(  {'1. DATA CHUNG'!$J$4:$J$105 , '1. DATA CHUNG'!$L$4:$L$105}, 
                (TRIM('1. DATA CHUNG'!$I$4:$I$105) = TRIM(K54)) * IF(SUMPRODUCT(('1. DATA CHUNG'!$I$4:$I$105=K54) * ('1. DATA CHUNG'!$M$4:$M$105=Q54)), '1. DATA "&amp;"CHUNG'!$M$4:$M$105=Q54, 1) * ('1. DATA CHUNG'!$L$4:$L$105 &lt;= TODAY()) ),    2, 0),  1, 1 ), 
    IFERROR( INDEX( FILTER( '1. DATA CHUNG'!$J$4:$J$105, 
                (TRIM('1. DATA CHUNG'!$I$4:$I$105) = TRIM(K54)) * IF(SUMPRODUCT(('1. DATA CHUNG'!$I$4:$I"&amp;"$105=K54) * ('1. DATA CHUNG'!$M$4:$M$105=Q54)), '1. DATA CHUNG'!$M$4:$M$105=Q54, 1) * ('1. DATA CHUNG'!$L$4:$L$105 = """") ),  1),  ""Không tìm thấy""))"),18.0)</f>
        <v>18</v>
      </c>
      <c r="AI54" s="245">
        <f t="shared" si="4"/>
        <v>46164</v>
      </c>
      <c r="AJ54" s="114">
        <v>35000.0</v>
      </c>
      <c r="AK54" s="222">
        <f t="shared" si="21"/>
        <v>35000</v>
      </c>
      <c r="AL54" s="229">
        <f t="shared" si="6"/>
        <v>17</v>
      </c>
      <c r="AM54" s="229">
        <f t="shared" si="7"/>
        <v>10</v>
      </c>
      <c r="AN54" s="230">
        <f t="shared" si="8"/>
        <v>-2</v>
      </c>
      <c r="AO54" s="119" t="str">
        <f t="shared" si="9"/>
        <v>05/2026</v>
      </c>
      <c r="AP54" s="122" t="str">
        <f t="array" ref="AP54">IFERROR(XLOOKUP(L54,'2. DATA NL, VTBB'!C:C,'2. DATA NL, VTBB'!F:F),"")</f>
        <v>HH0078</v>
      </c>
      <c r="AQ54" s="226" t="s">
        <v>302</v>
      </c>
      <c r="AR54" s="241" t="str">
        <f t="array" ref="AR54">IFERROR(XLOOKUP(L54,'2. DATA NL, VTBB'!C:C,'2. DATA NL, VTBB'!G:G),"")</f>
        <v>GC - II - 434 - Ariplant - Siêu ra hoa sầu riêng (mới) - 250 gr- 100</v>
      </c>
      <c r="AS54" s="241" t="str">
        <f t="array" ref="AS54">IFERROR(XLOOKUP(L54,'2. DATA NL, VTBB'!C:C,'2. DATA NL, VTBB'!G:G),"")</f>
        <v>GC - II - 434 - Ariplant - Siêu ra hoa sầu riêng (mới) - 250 gr- 100</v>
      </c>
      <c r="AT54" s="111" t="s">
        <v>314</v>
      </c>
    </row>
    <row r="55" ht="32.25" customHeight="1">
      <c r="A55" s="109">
        <v>51.0</v>
      </c>
      <c r="B55" s="238">
        <v>46146.0</v>
      </c>
      <c r="C55" s="210">
        <f t="shared" si="22"/>
        <v>46166</v>
      </c>
      <c r="D55" s="210">
        <f t="shared" si="15"/>
        <v>46171</v>
      </c>
      <c r="E55" s="247">
        <v>46151.0</v>
      </c>
      <c r="F55" s="219" t="s">
        <v>561</v>
      </c>
      <c r="G55" s="219" t="s">
        <v>580</v>
      </c>
      <c r="H55" s="219" t="s">
        <v>304</v>
      </c>
      <c r="I55" s="219" t="s">
        <v>305</v>
      </c>
      <c r="J55" s="242" t="s">
        <v>656</v>
      </c>
      <c r="K55" s="212" t="s">
        <v>301</v>
      </c>
      <c r="L55" s="111" t="s">
        <v>637</v>
      </c>
      <c r="M55" s="243" t="str">
        <f t="array" ref="M55">IFERROR(XLOOKUP(L55,'2. DATA NL, VTBB'!C:C,'2. DATA NL, VTBB'!D:D),"")</f>
        <v>Thùng DC Chai Pet Vuông 35 450ml-500ml - (47x38.5x19cm) - Trắng viền đen</v>
      </c>
      <c r="N55" s="126"/>
      <c r="O55" s="126"/>
      <c r="P55" s="219" t="s">
        <v>565</v>
      </c>
      <c r="Q55" s="126" t="b">
        <v>0</v>
      </c>
      <c r="R55" s="219" t="s">
        <v>642</v>
      </c>
      <c r="S55" s="219" t="s">
        <v>567</v>
      </c>
      <c r="T55" s="113">
        <f t="shared" si="2"/>
        <v>2</v>
      </c>
      <c r="U55" s="219" t="s">
        <v>568</v>
      </c>
      <c r="V55" s="234">
        <f t="shared" si="16"/>
        <v>200</v>
      </c>
      <c r="W55" s="213" t="s">
        <v>303</v>
      </c>
      <c r="X55" s="114">
        <v>200.0</v>
      </c>
      <c r="Y55" s="251">
        <v>210.0</v>
      </c>
      <c r="Z55" s="114">
        <v>19300.0</v>
      </c>
      <c r="AA55" s="244">
        <v>0.08</v>
      </c>
      <c r="AB55" s="222">
        <f t="shared" si="17"/>
        <v>4377240</v>
      </c>
      <c r="AC55" s="122"/>
      <c r="AD55" s="248">
        <f t="shared" si="18"/>
        <v>46146</v>
      </c>
      <c r="AE55" s="251">
        <v>1056.0</v>
      </c>
      <c r="AF55" s="226">
        <v>1.0</v>
      </c>
      <c r="AG55" s="126"/>
      <c r="AH55" s="222">
        <f>IFERROR(__xludf.DUMMYFUNCTION("IFERROR( INDEX( SORT(  FILTER(  {'1. DATA CHUNG'!$J$4:$J$105 , '1. DATA CHUNG'!$L$4:$L$105}, 
                (TRIM('1. DATA CHUNG'!$I$4:$I$105) = TRIM(K55)) * IF(SUMPRODUCT(('1. DATA CHUNG'!$I$4:$I$105=K55) * ('1. DATA CHUNG'!$M$4:$M$105=Q55)), '1. DATA "&amp;"CHUNG'!$M$4:$M$105=Q55, 1) * ('1. DATA CHUNG'!$L$4:$L$105 &lt;= TODAY()) ),    2, 0),  1, 1 ), 
    IFERROR( INDEX( FILTER( '1. DATA CHUNG'!$J$4:$J$105, 
                (TRIM('1. DATA CHUNG'!$I$4:$I$105) = TRIM(K55)) * IF(SUMPRODUCT(('1. DATA CHUNG'!$I$4:$I"&amp;"$105=K55) * ('1. DATA CHUNG'!$M$4:$M$105=Q55)), '1. DATA CHUNG'!$M$4:$M$105=Q55, 1) * ('1. DATA CHUNG'!$L$4:$L$105 = """") ),  1),  ""Không tìm thấy""))"),18.0)</f>
        <v>18</v>
      </c>
      <c r="AI55" s="245">
        <f t="shared" si="4"/>
        <v>46164</v>
      </c>
      <c r="AJ55" s="114">
        <v>35000.0</v>
      </c>
      <c r="AK55" s="222">
        <f t="shared" si="21"/>
        <v>105000</v>
      </c>
      <c r="AL55" s="229">
        <f t="shared" si="6"/>
        <v>20</v>
      </c>
      <c r="AM55" s="229">
        <f t="shared" si="7"/>
        <v>13</v>
      </c>
      <c r="AN55" s="230">
        <f t="shared" si="8"/>
        <v>-2</v>
      </c>
      <c r="AO55" s="119" t="str">
        <f t="shared" si="9"/>
        <v>05/2026</v>
      </c>
      <c r="AP55" s="122" t="str">
        <f t="array" ref="AP55">IFERROR(XLOOKUP(L55,'2. DATA NL, VTBB'!C:C,'2. DATA NL, VTBB'!F:F),"")</f>
        <v>HH0003</v>
      </c>
      <c r="AQ55" s="226" t="s">
        <v>302</v>
      </c>
      <c r="AR55" s="241" t="str">
        <f t="array" ref="AR55">IFERROR(XLOOKUP(L55,'2. DATA NL, VTBB'!C:C,'2. DATA NL, VTBB'!G:G),"")</f>
        <v>GC - II- 13.1 - Lớn Trái Thanh Long (Đỏ) - 22 kg - 1 ([btp],n)</v>
      </c>
      <c r="AS55" s="241" t="str">
        <f t="array" ref="AS55">IFERROR(XLOOKUP(L55,'2. DATA NL, VTBB'!C:C,'2. DATA NL, VTBB'!G:G),"")</f>
        <v>GC - II- 13.1 - Lớn Trái Thanh Long (Đỏ) - 22 kg - 1 ([btp],n)</v>
      </c>
      <c r="AT55" s="111" t="s">
        <v>314</v>
      </c>
    </row>
    <row r="56" ht="32.25" customHeight="1">
      <c r="A56" s="109">
        <v>52.0</v>
      </c>
      <c r="B56" s="238">
        <v>46146.0</v>
      </c>
      <c r="C56" s="210">
        <f t="shared" si="22"/>
        <v>46166</v>
      </c>
      <c r="D56" s="210">
        <f t="shared" si="15"/>
        <v>46171</v>
      </c>
      <c r="E56" s="247">
        <v>46151.0</v>
      </c>
      <c r="F56" s="219" t="s">
        <v>561</v>
      </c>
      <c r="G56" s="219" t="s">
        <v>562</v>
      </c>
      <c r="H56" s="219" t="s">
        <v>304</v>
      </c>
      <c r="I56" s="219" t="s">
        <v>305</v>
      </c>
      <c r="J56" s="242" t="s">
        <v>657</v>
      </c>
      <c r="K56" s="212" t="s">
        <v>301</v>
      </c>
      <c r="L56" s="111" t="s">
        <v>637</v>
      </c>
      <c r="M56" s="243" t="str">
        <f t="array" ref="M56">IFERROR(XLOOKUP(L56,'2. DATA NL, VTBB'!C:C,'2. DATA NL, VTBB'!D:D),"")</f>
        <v>Thùng DC Chai Pet Vuông 35 450ml-500ml - (47x38.5x19cm) - Trắng viền đen</v>
      </c>
      <c r="N56" s="126"/>
      <c r="O56" s="126"/>
      <c r="P56" s="219" t="s">
        <v>565</v>
      </c>
      <c r="Q56" s="126" t="b">
        <v>0</v>
      </c>
      <c r="R56" s="219" t="s">
        <v>642</v>
      </c>
      <c r="S56" s="219" t="s">
        <v>567</v>
      </c>
      <c r="T56" s="113">
        <f t="shared" si="2"/>
        <v>1</v>
      </c>
      <c r="U56" s="219" t="s">
        <v>568</v>
      </c>
      <c r="V56" s="234">
        <f t="shared" si="16"/>
        <v>100</v>
      </c>
      <c r="W56" s="213" t="s">
        <v>303</v>
      </c>
      <c r="X56" s="114">
        <v>100.0</v>
      </c>
      <c r="Y56" s="251">
        <v>107.0</v>
      </c>
      <c r="Z56" s="114">
        <v>19300.0</v>
      </c>
      <c r="AA56" s="244">
        <v>0.08</v>
      </c>
      <c r="AB56" s="222">
        <f t="shared" si="17"/>
        <v>2230308</v>
      </c>
      <c r="AC56" s="122"/>
      <c r="AD56" s="248">
        <f t="shared" si="18"/>
        <v>46146</v>
      </c>
      <c r="AE56" s="251">
        <v>1057.0</v>
      </c>
      <c r="AF56" s="226">
        <v>1.0</v>
      </c>
      <c r="AG56" s="126"/>
      <c r="AH56" s="222">
        <f>IFERROR(__xludf.DUMMYFUNCTION("IFERROR( INDEX( SORT(  FILTER(  {'1. DATA CHUNG'!$J$4:$J$105 , '1. DATA CHUNG'!$L$4:$L$105}, 
                (TRIM('1. DATA CHUNG'!$I$4:$I$105) = TRIM(K56)) * IF(SUMPRODUCT(('1. DATA CHUNG'!$I$4:$I$105=K56) * ('1. DATA CHUNG'!$M$4:$M$105=Q56)), '1. DATA "&amp;"CHUNG'!$M$4:$M$105=Q56, 1) * ('1. DATA CHUNG'!$L$4:$L$105 &lt;= TODAY()) ),    2, 0),  1, 1 ), 
    IFERROR( INDEX( FILTER( '1. DATA CHUNG'!$J$4:$J$105, 
                (TRIM('1. DATA CHUNG'!$I$4:$I$105) = TRIM(K56)) * IF(SUMPRODUCT(('1. DATA CHUNG'!$I$4:$I"&amp;"$105=K56) * ('1. DATA CHUNG'!$M$4:$M$105=Q56)), '1. DATA CHUNG'!$M$4:$M$105=Q56, 1) * ('1. DATA CHUNG'!$L$4:$L$105 = """") ),  1),  ""Không tìm thấy""))"),18.0)</f>
        <v>18</v>
      </c>
      <c r="AI56" s="245">
        <f t="shared" si="4"/>
        <v>46164</v>
      </c>
      <c r="AJ56" s="114">
        <v>35000.0</v>
      </c>
      <c r="AK56" s="222">
        <f t="shared" si="21"/>
        <v>70000</v>
      </c>
      <c r="AL56" s="229">
        <f t="shared" si="6"/>
        <v>20</v>
      </c>
      <c r="AM56" s="229">
        <f t="shared" si="7"/>
        <v>13</v>
      </c>
      <c r="AN56" s="230">
        <f t="shared" si="8"/>
        <v>-2</v>
      </c>
      <c r="AO56" s="119" t="str">
        <f t="shared" si="9"/>
        <v>05/2026</v>
      </c>
      <c r="AP56" s="122" t="str">
        <f t="array" ref="AP56">IFERROR(XLOOKUP(L56,'2. DATA NL, VTBB'!C:C,'2. DATA NL, VTBB'!F:F),"")</f>
        <v>HH0003</v>
      </c>
      <c r="AQ56" s="226" t="s">
        <v>302</v>
      </c>
      <c r="AR56" s="241" t="str">
        <f t="array" ref="AR56">IFERROR(XLOOKUP(L56,'2. DATA NL, VTBB'!C:C,'2. DATA NL, VTBB'!G:G),"")</f>
        <v>GC - II- 13.1 - Lớn Trái Thanh Long (Đỏ) - 22 kg - 1 ([btp],n)</v>
      </c>
      <c r="AS56" s="241" t="str">
        <f t="array" ref="AS56">IFERROR(XLOOKUP(L56,'2. DATA NL, VTBB'!C:C,'2. DATA NL, VTBB'!G:G),"")</f>
        <v>GC - II- 13.1 - Lớn Trái Thanh Long (Đỏ) - 22 kg - 1 ([btp],n)</v>
      </c>
      <c r="AT56" s="111" t="s">
        <v>314</v>
      </c>
    </row>
    <row r="57" ht="32.25" customHeight="1">
      <c r="A57" s="109">
        <v>53.0</v>
      </c>
      <c r="B57" s="238">
        <v>46154.0</v>
      </c>
      <c r="C57" s="210">
        <f t="shared" si="22"/>
        <v>46174</v>
      </c>
      <c r="D57" s="210">
        <f t="shared" si="15"/>
        <v>46179</v>
      </c>
      <c r="E57" s="247">
        <v>46158.0</v>
      </c>
      <c r="F57" s="219" t="s">
        <v>561</v>
      </c>
      <c r="G57" s="219" t="s">
        <v>562</v>
      </c>
      <c r="H57" s="219" t="s">
        <v>304</v>
      </c>
      <c r="I57" s="219" t="s">
        <v>305</v>
      </c>
      <c r="J57" s="113" t="s">
        <v>658</v>
      </c>
      <c r="K57" s="212" t="s">
        <v>301</v>
      </c>
      <c r="L57" s="111" t="s">
        <v>595</v>
      </c>
      <c r="M57" s="243" t="str">
        <f t="array" ref="M57">IFERROR(XLOOKUP(L57,'2. DATA NL, VTBB'!C:C,'2. DATA NL, VTBB'!D:D),"")</f>
        <v>Thùng dùng chung ABA chai tròn 1 lít x 20 chai (20 gói/ thùng) - (45.5x35.5x27cm) - Trắng</v>
      </c>
      <c r="N57" s="126"/>
      <c r="O57" s="126"/>
      <c r="P57" s="219" t="s">
        <v>565</v>
      </c>
      <c r="Q57" s="126" t="b">
        <v>0</v>
      </c>
      <c r="R57" s="219" t="s">
        <v>573</v>
      </c>
      <c r="S57" s="219" t="s">
        <v>574</v>
      </c>
      <c r="T57" s="113">
        <f t="shared" si="2"/>
        <v>3</v>
      </c>
      <c r="U57" s="219" t="s">
        <v>568</v>
      </c>
      <c r="V57" s="234">
        <f t="shared" si="16"/>
        <v>300</v>
      </c>
      <c r="W57" s="213" t="s">
        <v>303</v>
      </c>
      <c r="X57" s="114">
        <v>300.0</v>
      </c>
      <c r="Y57" s="251">
        <v>312.0</v>
      </c>
      <c r="Z57" s="114">
        <v>19750.0</v>
      </c>
      <c r="AA57" s="244">
        <v>0.08</v>
      </c>
      <c r="AB57" s="222">
        <f t="shared" si="17"/>
        <v>6654960</v>
      </c>
      <c r="AC57" s="122"/>
      <c r="AD57" s="248">
        <f t="shared" si="18"/>
        <v>46154</v>
      </c>
      <c r="AE57" s="251">
        <v>1133.0</v>
      </c>
      <c r="AF57" s="226">
        <v>1.0</v>
      </c>
      <c r="AG57" s="126"/>
      <c r="AH57" s="222">
        <f>IFERROR(__xludf.DUMMYFUNCTION("IFERROR( INDEX( SORT(  FILTER(  {'1. DATA CHUNG'!$J$4:$J$105 , '1. DATA CHUNG'!$L$4:$L$105}, 
                (TRIM('1. DATA CHUNG'!$I$4:$I$105) = TRIM(K57)) * IF(SUMPRODUCT(('1. DATA CHUNG'!$I$4:$I$105=K57) * ('1. DATA CHUNG'!$M$4:$M$105=Q57)), '1. DATA "&amp;"CHUNG'!$M$4:$M$105=Q57, 1) * ('1. DATA CHUNG'!$L$4:$L$105 &lt;= TODAY()) ),    2, 0),  1, 1 ), 
    IFERROR( INDEX( FILTER( '1. DATA CHUNG'!$J$4:$J$105, 
                (TRIM('1. DATA CHUNG'!$I$4:$I$105) = TRIM(K57)) * IF(SUMPRODUCT(('1. DATA CHUNG'!$I$4:$I"&amp;"$105=K57) * ('1. DATA CHUNG'!$M$4:$M$105=Q57)), '1. DATA CHUNG'!$M$4:$M$105=Q57, 1) * ('1. DATA CHUNG'!$L$4:$L$105 = """") ),  1),  ""Không tìm thấy""))"),18.0)</f>
        <v>18</v>
      </c>
      <c r="AI57" s="245">
        <f t="shared" si="4"/>
        <v>46172</v>
      </c>
      <c r="AJ57" s="114">
        <v>35000.0</v>
      </c>
      <c r="AK57" s="222">
        <f t="shared" si="21"/>
        <v>35000</v>
      </c>
      <c r="AL57" s="229">
        <f t="shared" si="6"/>
        <v>21</v>
      </c>
      <c r="AM57" s="229">
        <f t="shared" si="7"/>
        <v>14</v>
      </c>
      <c r="AN57" s="230">
        <f t="shared" si="8"/>
        <v>-2</v>
      </c>
      <c r="AO57" s="119" t="str">
        <f t="shared" si="9"/>
        <v>05/2026</v>
      </c>
      <c r="AP57" s="122" t="str">
        <f t="array" ref="AP57">IFERROR(XLOOKUP(L57,'2. DATA NL, VTBB'!C:C,'2. DATA NL, VTBB'!F:F),"")</f>
        <v>HH0078</v>
      </c>
      <c r="AQ57" s="226" t="s">
        <v>302</v>
      </c>
      <c r="AR57" s="241" t="str">
        <f t="array" ref="AR57">IFERROR(XLOOKUP(L57,'2. DATA NL, VTBB'!C:C,'2. DATA NL, VTBB'!G:G),"")</f>
        <v>GC - II - 434 - Ariplant - Siêu ra hoa sầu riêng (mới) - 250 gr- 100</v>
      </c>
      <c r="AS57" s="241" t="str">
        <f t="array" ref="AS57">IFERROR(XLOOKUP(L57,'2. DATA NL, VTBB'!C:C,'2. DATA NL, VTBB'!G:G),"")</f>
        <v>GC - II - 434 - Ariplant - Siêu ra hoa sầu riêng (mới) - 250 gr- 100</v>
      </c>
      <c r="AT57" s="111" t="s">
        <v>314</v>
      </c>
    </row>
    <row r="58" ht="32.25" customHeight="1">
      <c r="A58" s="109">
        <v>54.0</v>
      </c>
      <c r="B58" s="238">
        <v>46154.0</v>
      </c>
      <c r="C58" s="210">
        <f t="shared" ref="C58:C62" si="23">B58+15</f>
        <v>46169</v>
      </c>
      <c r="D58" s="210">
        <f t="shared" si="15"/>
        <v>46179</v>
      </c>
      <c r="E58" s="247">
        <v>46172.0</v>
      </c>
      <c r="F58" s="219" t="s">
        <v>561</v>
      </c>
      <c r="G58" s="219" t="s">
        <v>562</v>
      </c>
      <c r="H58" s="219" t="s">
        <v>304</v>
      </c>
      <c r="I58" s="219" t="s">
        <v>305</v>
      </c>
      <c r="J58" s="113" t="s">
        <v>659</v>
      </c>
      <c r="K58" s="212" t="s">
        <v>301</v>
      </c>
      <c r="L58" s="111" t="s">
        <v>660</v>
      </c>
      <c r="M58" s="243" t="str">
        <f t="array" ref="M58">IFERROR(XLOOKUP(L58,'2. DATA NL, VTBB'!C:C,'2. DATA NL, VTBB'!D:D),"")</f>
        <v>Thùng Sen Hồng chai 500mlx40 chai (61.5x38.5x19cm) - Trắng viền xanh lá</v>
      </c>
      <c r="N58" s="126"/>
      <c r="O58" s="126"/>
      <c r="P58" s="219" t="s">
        <v>565</v>
      </c>
      <c r="Q58" s="126" t="b">
        <v>0</v>
      </c>
      <c r="R58" s="219" t="s">
        <v>566</v>
      </c>
      <c r="S58" s="219" t="s">
        <v>567</v>
      </c>
      <c r="T58" s="113">
        <f t="shared" si="2"/>
        <v>1</v>
      </c>
      <c r="U58" s="219" t="s">
        <v>568</v>
      </c>
      <c r="V58" s="234">
        <f t="shared" si="16"/>
        <v>100</v>
      </c>
      <c r="W58" s="213" t="s">
        <v>303</v>
      </c>
      <c r="X58" s="114">
        <v>100.0</v>
      </c>
      <c r="Y58" s="251">
        <v>110.0</v>
      </c>
      <c r="Z58" s="114">
        <v>23400.0</v>
      </c>
      <c r="AA58" s="244">
        <v>0.08</v>
      </c>
      <c r="AB58" s="222">
        <f t="shared" si="17"/>
        <v>2779920</v>
      </c>
      <c r="AC58" s="122"/>
      <c r="AD58" s="248">
        <f t="shared" si="18"/>
        <v>46154</v>
      </c>
      <c r="AE58" s="251">
        <v>1251.0</v>
      </c>
      <c r="AF58" s="226">
        <v>1.0</v>
      </c>
      <c r="AG58" s="112" t="s">
        <v>661</v>
      </c>
      <c r="AH58" s="222">
        <f>IFERROR(__xludf.DUMMYFUNCTION("IFERROR( INDEX( SORT(  FILTER(  {'1. DATA CHUNG'!$J$4:$J$105 , '1. DATA CHUNG'!$L$4:$L$105}, 
                (TRIM('1. DATA CHUNG'!$I$4:$I$105) = TRIM(K58)) * IF(SUMPRODUCT(('1. DATA CHUNG'!$I$4:$I$105=K58) * ('1. DATA CHUNG'!$M$4:$M$105=Q58)), '1. DATA "&amp;"CHUNG'!$M$4:$M$105=Q58, 1) * ('1. DATA CHUNG'!$L$4:$L$105 &lt;= TODAY()) ),    2, 0),  1, 1 ), 
    IFERROR( INDEX( FILTER( '1. DATA CHUNG'!$J$4:$J$105, 
                (TRIM('1. DATA CHUNG'!$I$4:$I$105) = TRIM(K58)) * IF(SUMPRODUCT(('1. DATA CHUNG'!$I$4:$I"&amp;"$105=K58) * ('1. DATA CHUNG'!$M$4:$M$105=Q58)), '1. DATA CHUNG'!$M$4:$M$105=Q58, 1) * ('1. DATA CHUNG'!$L$4:$L$105 = """") ),  1),  ""Không tìm thấy""))"),18.0)</f>
        <v>18</v>
      </c>
      <c r="AI58" s="245">
        <f t="shared" si="4"/>
        <v>46172</v>
      </c>
      <c r="AJ58" s="114">
        <v>35000.0</v>
      </c>
      <c r="AK58" s="222">
        <f t="shared" si="21"/>
        <v>105000</v>
      </c>
      <c r="AL58" s="229">
        <f t="shared" si="6"/>
        <v>7</v>
      </c>
      <c r="AM58" s="229">
        <f t="shared" si="7"/>
        <v>0</v>
      </c>
      <c r="AN58" s="230">
        <f t="shared" si="8"/>
        <v>3</v>
      </c>
      <c r="AO58" s="119" t="str">
        <f t="shared" si="9"/>
        <v>05/2026</v>
      </c>
      <c r="AP58" s="122" t="str">
        <f t="array" ref="AP58">IFERROR(XLOOKUP(L58,'2. DATA NL, VTBB'!C:C,'2. DATA NL, VTBB'!F:F),"")</f>
        <v>HH0304</v>
      </c>
      <c r="AQ58" s="226" t="s">
        <v>302</v>
      </c>
      <c r="AR58" s="241" t="str">
        <f t="array" ref="AR58">IFERROR(XLOOKUP(L58,'2. DATA NL, VTBB'!C:C,'2. DATA NL, VTBB'!G:G),"")</f>
        <v>IDA Global - I - 713.1 - Picosuper 280SC (Chai Pape)(nước trắng sữa) - 240ml - 40 ([btp],t,c)</v>
      </c>
      <c r="AS58" s="241" t="str">
        <f t="array" ref="AS58">IFERROR(XLOOKUP(L58,'2. DATA NL, VTBB'!C:C,'2. DATA NL, VTBB'!G:G),"")</f>
        <v>IDA Global - I - 713.1 - Picosuper 280SC (Chai Pape)(nước trắng sữa) - 240ml - 40 ([btp],t,c)</v>
      </c>
      <c r="AT58" s="111" t="s">
        <v>314</v>
      </c>
    </row>
    <row r="59" ht="32.25" customHeight="1">
      <c r="A59" s="109">
        <v>55.0</v>
      </c>
      <c r="B59" s="238">
        <v>46162.0</v>
      </c>
      <c r="C59" s="210">
        <f t="shared" si="23"/>
        <v>46177</v>
      </c>
      <c r="D59" s="210">
        <f t="shared" si="15"/>
        <v>46187</v>
      </c>
      <c r="E59" s="247">
        <v>46169.0</v>
      </c>
      <c r="F59" s="219" t="s">
        <v>561</v>
      </c>
      <c r="G59" s="219" t="s">
        <v>562</v>
      </c>
      <c r="H59" s="219" t="s">
        <v>304</v>
      </c>
      <c r="I59" s="219" t="s">
        <v>305</v>
      </c>
      <c r="J59" s="113" t="s">
        <v>662</v>
      </c>
      <c r="K59" s="212" t="s">
        <v>301</v>
      </c>
      <c r="L59" s="111" t="s">
        <v>663</v>
      </c>
      <c r="M59" s="243" t="str">
        <f t="array" ref="M59">IFERROR(XLOOKUP(L59,'2. DATA NL, VTBB'!C:C,'2. DATA NL, VTBB'!D:D),"")</f>
        <v>Thùng Dùng Chung 1kg x 20 gói (50x35x30.5cm) - Trắng viền đen</v>
      </c>
      <c r="N59" s="126"/>
      <c r="O59" s="126"/>
      <c r="P59" s="219" t="s">
        <v>565</v>
      </c>
      <c r="Q59" s="126" t="b">
        <v>0</v>
      </c>
      <c r="R59" s="219" t="s">
        <v>566</v>
      </c>
      <c r="S59" s="219" t="s">
        <v>567</v>
      </c>
      <c r="T59" s="113">
        <f t="shared" si="2"/>
        <v>2</v>
      </c>
      <c r="U59" s="219" t="s">
        <v>568</v>
      </c>
      <c r="V59" s="234">
        <f t="shared" si="16"/>
        <v>200</v>
      </c>
      <c r="W59" s="213" t="s">
        <v>303</v>
      </c>
      <c r="X59" s="114">
        <v>200.0</v>
      </c>
      <c r="Y59" s="251">
        <v>208.0</v>
      </c>
      <c r="Z59" s="114">
        <v>21950.0</v>
      </c>
      <c r="AA59" s="244">
        <v>0.08</v>
      </c>
      <c r="AB59" s="222">
        <f t="shared" si="17"/>
        <v>4930848</v>
      </c>
      <c r="AC59" s="122"/>
      <c r="AD59" s="248">
        <f t="shared" si="18"/>
        <v>46162</v>
      </c>
      <c r="AE59" s="251">
        <v>1214.0</v>
      </c>
      <c r="AF59" s="226">
        <v>1.0</v>
      </c>
      <c r="AG59" s="112"/>
      <c r="AH59" s="222">
        <f>IFERROR(__xludf.DUMMYFUNCTION("IFERROR( INDEX( SORT(  FILTER(  {'1. DATA CHUNG'!$J$4:$J$105 , '1. DATA CHUNG'!$L$4:$L$105}, 
                (TRIM('1. DATA CHUNG'!$I$4:$I$105) = TRIM(K59)) * IF(SUMPRODUCT(('1. DATA CHUNG'!$I$4:$I$105=K59) * ('1. DATA CHUNG'!$M$4:$M$105=Q59)), '1. DATA "&amp;"CHUNG'!$M$4:$M$105=Q59, 1) * ('1. DATA CHUNG'!$L$4:$L$105 &lt;= TODAY()) ),    2, 0),  1, 1 ), 
    IFERROR( INDEX( FILTER( '1. DATA CHUNG'!$J$4:$J$105, 
                (TRIM('1. DATA CHUNG'!$I$4:$I$105) = TRIM(K59)) * IF(SUMPRODUCT(('1. DATA CHUNG'!$I$4:$I"&amp;"$105=K59) * ('1. DATA CHUNG'!$M$4:$M$105=Q59)), '1. DATA CHUNG'!$M$4:$M$105=Q59, 1) * ('1. DATA CHUNG'!$L$4:$L$105 = """") ),  1),  ""Không tìm thấy""))"),18.0)</f>
        <v>18</v>
      </c>
      <c r="AI59" s="245">
        <f t="shared" si="4"/>
        <v>46180</v>
      </c>
      <c r="AJ59" s="114">
        <v>35000.0</v>
      </c>
      <c r="AK59" s="222">
        <f t="shared" si="21"/>
        <v>35000</v>
      </c>
      <c r="AL59" s="229">
        <f t="shared" si="6"/>
        <v>18</v>
      </c>
      <c r="AM59" s="229">
        <f t="shared" si="7"/>
        <v>11</v>
      </c>
      <c r="AN59" s="230">
        <f t="shared" si="8"/>
        <v>3</v>
      </c>
      <c r="AO59" s="119" t="str">
        <f t="shared" si="9"/>
        <v>05/2026</v>
      </c>
      <c r="AP59" s="122" t="str">
        <f t="array" ref="AP59">IFERROR(XLOOKUP(L59,'2. DATA NL, VTBB'!C:C,'2. DATA NL, VTBB'!F:F),"")</f>
        <v>HH0262</v>
      </c>
      <c r="AQ59" s="226" t="s">
        <v>302</v>
      </c>
      <c r="AR59" s="241" t="str">
        <f t="array" ref="AR59">IFERROR(XLOOKUP(L59,'2. DATA NL, VTBB'!C:C,'2. DATA NL, VTBB'!G:G),"")</f>
        <v>GC - II - 681 - Agrikey VN - Agronil (flexo) - 500gr - 30</v>
      </c>
      <c r="AS59" s="241" t="str">
        <f t="array" ref="AS59">IFERROR(XLOOKUP(L59,'2. DATA NL, VTBB'!C:C,'2. DATA NL, VTBB'!G:G),"")</f>
        <v>GC - II - 681 - Agrikey VN - Agronil (flexo) - 500gr - 30</v>
      </c>
      <c r="AT59" s="111" t="s">
        <v>314</v>
      </c>
    </row>
    <row r="60" ht="32.25" customHeight="1">
      <c r="A60" s="109">
        <v>56.0</v>
      </c>
      <c r="B60" s="238">
        <v>46162.0</v>
      </c>
      <c r="C60" s="210">
        <f t="shared" si="23"/>
        <v>46177</v>
      </c>
      <c r="D60" s="210">
        <f t="shared" si="15"/>
        <v>46187</v>
      </c>
      <c r="E60" s="247">
        <v>46169.0</v>
      </c>
      <c r="F60" s="219" t="s">
        <v>561</v>
      </c>
      <c r="G60" s="219" t="s">
        <v>562</v>
      </c>
      <c r="H60" s="219" t="s">
        <v>304</v>
      </c>
      <c r="I60" s="219" t="s">
        <v>305</v>
      </c>
      <c r="J60" s="113" t="s">
        <v>664</v>
      </c>
      <c r="K60" s="212" t="s">
        <v>301</v>
      </c>
      <c r="L60" s="111" t="s">
        <v>665</v>
      </c>
      <c r="M60" s="243" t="str">
        <f t="array" ref="M60">IFERROR(XLOOKUP(L60,'2. DATA NL, VTBB'!C:C,'2. DATA NL, VTBB'!D:D),"")</f>
        <v>Thùng dùng chung ABA chai 100ml, 120ml x 50chai (54x28x12cm) - Trắng trơn</v>
      </c>
      <c r="N60" s="126"/>
      <c r="O60" s="126"/>
      <c r="P60" s="219" t="s">
        <v>565</v>
      </c>
      <c r="Q60" s="126" t="b">
        <v>0</v>
      </c>
      <c r="R60" s="219" t="s">
        <v>566</v>
      </c>
      <c r="S60" s="219" t="s">
        <v>567</v>
      </c>
      <c r="T60" s="113">
        <f t="shared" si="2"/>
        <v>1</v>
      </c>
      <c r="U60" s="219" t="s">
        <v>568</v>
      </c>
      <c r="V60" s="234">
        <f t="shared" si="16"/>
        <v>100</v>
      </c>
      <c r="W60" s="213" t="s">
        <v>303</v>
      </c>
      <c r="X60" s="114">
        <v>100.0</v>
      </c>
      <c r="Y60" s="251">
        <v>100.0</v>
      </c>
      <c r="Z60" s="114">
        <v>14500.0</v>
      </c>
      <c r="AA60" s="244">
        <v>0.08</v>
      </c>
      <c r="AB60" s="222">
        <f t="shared" si="17"/>
        <v>1566000</v>
      </c>
      <c r="AC60" s="122"/>
      <c r="AD60" s="248">
        <f t="shared" si="18"/>
        <v>46162</v>
      </c>
      <c r="AE60" s="251">
        <v>1215.0</v>
      </c>
      <c r="AF60" s="226">
        <v>1.0</v>
      </c>
      <c r="AG60" s="112"/>
      <c r="AH60" s="222">
        <f>IFERROR(__xludf.DUMMYFUNCTION("IFERROR( INDEX( SORT(  FILTER(  {'1. DATA CHUNG'!$J$4:$J$105 , '1. DATA CHUNG'!$L$4:$L$105}, 
                (TRIM('1. DATA CHUNG'!$I$4:$I$105) = TRIM(K60)) * IF(SUMPRODUCT(('1. DATA CHUNG'!$I$4:$I$105=K60) * ('1. DATA CHUNG'!$M$4:$M$105=Q60)), '1. DATA "&amp;"CHUNG'!$M$4:$M$105=Q60, 1) * ('1. DATA CHUNG'!$L$4:$L$105 &lt;= TODAY()) ),    2, 0),  1, 1 ), 
    IFERROR( INDEX( FILTER( '1. DATA CHUNG'!$J$4:$J$105, 
                (TRIM('1. DATA CHUNG'!$I$4:$I$105) = TRIM(K60)) * IF(SUMPRODUCT(('1. DATA CHUNG'!$I$4:$I"&amp;"$105=K60) * ('1. DATA CHUNG'!$M$4:$M$105=Q60)), '1. DATA CHUNG'!$M$4:$M$105=Q60, 1) * ('1. DATA CHUNG'!$L$4:$L$105 = """") ),  1),  ""Không tìm thấy""))"),18.0)</f>
        <v>18</v>
      </c>
      <c r="AI60" s="245">
        <f t="shared" si="4"/>
        <v>46180</v>
      </c>
      <c r="AJ60" s="114">
        <v>35000.0</v>
      </c>
      <c r="AK60" s="222">
        <f>T61*AJ60</f>
        <v>35000</v>
      </c>
      <c r="AL60" s="229">
        <f t="shared" si="6"/>
        <v>18</v>
      </c>
      <c r="AM60" s="229">
        <f t="shared" si="7"/>
        <v>11</v>
      </c>
      <c r="AN60" s="230">
        <f t="shared" si="8"/>
        <v>3</v>
      </c>
      <c r="AO60" s="119" t="str">
        <f t="shared" si="9"/>
        <v>05/2026</v>
      </c>
      <c r="AP60" s="122" t="str">
        <f t="array" ref="AP60">IFERROR(XLOOKUP(L60,'2. DATA NL, VTBB'!C:C,'2. DATA NL, VTBB'!F:F),"")</f>
        <v>HH0077</v>
      </c>
      <c r="AQ60" s="226" t="s">
        <v>302</v>
      </c>
      <c r="AR60" s="241" t="str">
        <f t="array" ref="AR60">IFERROR(XLOOKUP(L60,'2. DATA NL, VTBB'!C:C,'2. DATA NL, VTBB'!G:G),"")</f>
        <v>GC - II - 433 - Agriplant - Bio Siêu Ra Hoa Xoài - 1kg - 25</v>
      </c>
      <c r="AS60" s="241" t="str">
        <f t="array" ref="AS60">IFERROR(XLOOKUP(L60,'2. DATA NL, VTBB'!C:C,'2. DATA NL, VTBB'!G:G),"")</f>
        <v>GC - II - 433 - Agriplant - Bio Siêu Ra Hoa Xoài - 1kg - 25</v>
      </c>
      <c r="AT60" s="111" t="s">
        <v>314</v>
      </c>
    </row>
    <row r="61" ht="32.25" customHeight="1">
      <c r="A61" s="109">
        <v>57.0</v>
      </c>
      <c r="B61" s="238">
        <v>46162.0</v>
      </c>
      <c r="C61" s="210">
        <f t="shared" si="23"/>
        <v>46177</v>
      </c>
      <c r="D61" s="210">
        <f t="shared" si="15"/>
        <v>46187</v>
      </c>
      <c r="E61" s="247">
        <v>46169.0</v>
      </c>
      <c r="F61" s="219" t="s">
        <v>561</v>
      </c>
      <c r="G61" s="219" t="s">
        <v>562</v>
      </c>
      <c r="H61" s="219" t="s">
        <v>304</v>
      </c>
      <c r="I61" s="219" t="s">
        <v>305</v>
      </c>
      <c r="J61" s="113" t="s">
        <v>664</v>
      </c>
      <c r="K61" s="212" t="s">
        <v>301</v>
      </c>
      <c r="L61" s="111" t="s">
        <v>665</v>
      </c>
      <c r="M61" s="243" t="str">
        <f t="array" ref="M61">IFERROR(XLOOKUP(L61,'2. DATA NL, VTBB'!C:C,'2. DATA NL, VTBB'!D:D),"")</f>
        <v>Thùng dùng chung ABA chai 100ml, 120ml x 50chai (54x28x12cm) - Trắng trơn</v>
      </c>
      <c r="N61" s="126"/>
      <c r="O61" s="126"/>
      <c r="P61" s="219" t="s">
        <v>565</v>
      </c>
      <c r="Q61" s="126" t="b">
        <v>0</v>
      </c>
      <c r="R61" s="219" t="s">
        <v>573</v>
      </c>
      <c r="S61" s="219" t="s">
        <v>574</v>
      </c>
      <c r="T61" s="113">
        <f t="shared" si="2"/>
        <v>1</v>
      </c>
      <c r="U61" s="219" t="s">
        <v>568</v>
      </c>
      <c r="V61" s="234">
        <f t="shared" si="16"/>
        <v>100</v>
      </c>
      <c r="W61" s="213" t="s">
        <v>303</v>
      </c>
      <c r="X61" s="114">
        <v>100.0</v>
      </c>
      <c r="Y61" s="251">
        <v>108.0</v>
      </c>
      <c r="Z61" s="114">
        <v>14500.0</v>
      </c>
      <c r="AA61" s="244">
        <v>0.08</v>
      </c>
      <c r="AB61" s="222">
        <f t="shared" si="17"/>
        <v>1691280</v>
      </c>
      <c r="AC61" s="122"/>
      <c r="AD61" s="248">
        <f t="shared" si="18"/>
        <v>46162</v>
      </c>
      <c r="AE61" s="251">
        <v>1216.0</v>
      </c>
      <c r="AF61" s="226">
        <v>1.0</v>
      </c>
      <c r="AG61" s="112"/>
      <c r="AH61" s="222">
        <f>IFERROR(__xludf.DUMMYFUNCTION("IFERROR( INDEX( SORT(  FILTER(  {'1. DATA CHUNG'!$J$4:$J$105 , '1. DATA CHUNG'!$L$4:$L$105}, 
                (TRIM('1. DATA CHUNG'!$I$4:$I$105) = TRIM(K61)) * IF(SUMPRODUCT(('1. DATA CHUNG'!$I$4:$I$105=K61) * ('1. DATA CHUNG'!$M$4:$M$105=Q61)), '1. DATA "&amp;"CHUNG'!$M$4:$M$105=Q61, 1) * ('1. DATA CHUNG'!$L$4:$L$105 &lt;= TODAY()) ),    2, 0),  1, 1 ), 
    IFERROR( INDEX( FILTER( '1. DATA CHUNG'!$J$4:$J$105, 
                (TRIM('1. DATA CHUNG'!$I$4:$I$105) = TRIM(K61)) * IF(SUMPRODUCT(('1. DATA CHUNG'!$I$4:$I"&amp;"$105=K61) * ('1. DATA CHUNG'!$M$4:$M$105=Q61)), '1. DATA CHUNG'!$M$4:$M$105=Q61, 1) * ('1. DATA CHUNG'!$L$4:$L$105 = """") ),  1),  ""Không tìm thấy""))"),18.0)</f>
        <v>18</v>
      </c>
      <c r="AI61" s="245">
        <f t="shared" si="4"/>
        <v>46180</v>
      </c>
      <c r="AJ61" s="114">
        <v>35000.0</v>
      </c>
      <c r="AK61" s="222">
        <f t="shared" ref="AK61:AK62" si="24">T59*AJ61</f>
        <v>70000</v>
      </c>
      <c r="AL61" s="229">
        <f t="shared" si="6"/>
        <v>18</v>
      </c>
      <c r="AM61" s="229">
        <f t="shared" si="7"/>
        <v>11</v>
      </c>
      <c r="AN61" s="230">
        <f t="shared" si="8"/>
        <v>3</v>
      </c>
      <c r="AO61" s="119" t="str">
        <f t="shared" si="9"/>
        <v>05/2026</v>
      </c>
      <c r="AP61" s="122" t="str">
        <f t="array" ref="AP61">IFERROR(XLOOKUP(L61,'2. DATA NL, VTBB'!C:C,'2. DATA NL, VTBB'!F:F),"")</f>
        <v>HH0077</v>
      </c>
      <c r="AQ61" s="226" t="s">
        <v>302</v>
      </c>
      <c r="AR61" s="241" t="str">
        <f t="array" ref="AR61">IFERROR(XLOOKUP(L61,'2. DATA NL, VTBB'!C:C,'2. DATA NL, VTBB'!G:G),"")</f>
        <v>GC - II - 433 - Agriplant - Bio Siêu Ra Hoa Xoài - 1kg - 25</v>
      </c>
      <c r="AS61" s="241" t="str">
        <f t="array" ref="AS61">IFERROR(XLOOKUP(L61,'2. DATA NL, VTBB'!C:C,'2. DATA NL, VTBB'!G:G),"")</f>
        <v>GC - II - 433 - Agriplant - Bio Siêu Ra Hoa Xoài - 1kg - 25</v>
      </c>
      <c r="AT61" s="111" t="s">
        <v>314</v>
      </c>
    </row>
    <row r="62" ht="32.25" customHeight="1">
      <c r="A62" s="109">
        <v>58.0</v>
      </c>
      <c r="B62" s="238">
        <v>46162.0</v>
      </c>
      <c r="C62" s="210">
        <f t="shared" si="23"/>
        <v>46177</v>
      </c>
      <c r="D62" s="210">
        <f t="shared" si="15"/>
        <v>46187</v>
      </c>
      <c r="E62" s="247">
        <v>46172.0</v>
      </c>
      <c r="F62" s="219" t="s">
        <v>561</v>
      </c>
      <c r="G62" s="219" t="s">
        <v>562</v>
      </c>
      <c r="H62" s="219" t="s">
        <v>304</v>
      </c>
      <c r="I62" s="219" t="s">
        <v>305</v>
      </c>
      <c r="J62" s="113" t="s">
        <v>666</v>
      </c>
      <c r="K62" s="212" t="s">
        <v>301</v>
      </c>
      <c r="L62" s="111" t="s">
        <v>667</v>
      </c>
      <c r="M62" s="243" t="str">
        <f t="array" ref="M62">IFERROR(XLOOKUP(L62,'2. DATA NL, VTBB'!C:C,'2. DATA NL, VTBB'!D:D),"")</f>
        <v>Thùng chung SHINO 240, 250ml x 40 chai (53 x 32.5 x 14.5cm) - Trắng viền xanh lá</v>
      </c>
      <c r="N62" s="126"/>
      <c r="O62" s="126"/>
      <c r="P62" s="219" t="s">
        <v>565</v>
      </c>
      <c r="Q62" s="126" t="b">
        <v>0</v>
      </c>
      <c r="R62" s="219" t="s">
        <v>573</v>
      </c>
      <c r="S62" s="219" t="s">
        <v>574</v>
      </c>
      <c r="T62" s="113">
        <f t="shared" si="2"/>
        <v>1</v>
      </c>
      <c r="U62" s="219" t="s">
        <v>568</v>
      </c>
      <c r="V62" s="234">
        <f t="shared" si="16"/>
        <v>100</v>
      </c>
      <c r="W62" s="213" t="s">
        <v>303</v>
      </c>
      <c r="X62" s="114">
        <v>100.0</v>
      </c>
      <c r="Y62" s="251">
        <v>104.0</v>
      </c>
      <c r="Z62" s="114">
        <v>16800.0</v>
      </c>
      <c r="AA62" s="244">
        <v>0.08</v>
      </c>
      <c r="AB62" s="222">
        <f t="shared" si="17"/>
        <v>1886976</v>
      </c>
      <c r="AC62" s="122"/>
      <c r="AD62" s="248">
        <f t="shared" si="18"/>
        <v>46162</v>
      </c>
      <c r="AE62" s="251">
        <v>1250.0</v>
      </c>
      <c r="AF62" s="226">
        <v>1.0</v>
      </c>
      <c r="AG62" s="126"/>
      <c r="AH62" s="222">
        <f>IFERROR(__xludf.DUMMYFUNCTION("IFERROR( INDEX( SORT(  FILTER(  {'1. DATA CHUNG'!$J$4:$J$105 , '1. DATA CHUNG'!$L$4:$L$105}, 
                (TRIM('1. DATA CHUNG'!$I$4:$I$105) = TRIM(K62)) * IF(SUMPRODUCT(('1. DATA CHUNG'!$I$4:$I$105=K62) * ('1. DATA CHUNG'!$M$4:$M$105=Q62)), '1. DATA "&amp;"CHUNG'!$M$4:$M$105=Q62, 1) * ('1. DATA CHUNG'!$L$4:$L$105 &lt;= TODAY()) ),    2, 0),  1, 1 ), 
    IFERROR( INDEX( FILTER( '1. DATA CHUNG'!$J$4:$J$105, 
                (TRIM('1. DATA CHUNG'!$I$4:$I$105) = TRIM(K62)) * IF(SUMPRODUCT(('1. DATA CHUNG'!$I$4:$I"&amp;"$105=K62) * ('1. DATA CHUNG'!$M$4:$M$105=Q62)), '1. DATA CHUNG'!$M$4:$M$105=Q62, 1) * ('1. DATA CHUNG'!$L$4:$L$105 = """") ),  1),  ""Không tìm thấy""))"),18.0)</f>
        <v>18</v>
      </c>
      <c r="AI62" s="245">
        <f t="shared" si="4"/>
        <v>46180</v>
      </c>
      <c r="AJ62" s="114">
        <v>35000.0</v>
      </c>
      <c r="AK62" s="222">
        <f t="shared" si="24"/>
        <v>35000</v>
      </c>
      <c r="AL62" s="229">
        <f t="shared" si="6"/>
        <v>15</v>
      </c>
      <c r="AM62" s="229">
        <f t="shared" si="7"/>
        <v>8</v>
      </c>
      <c r="AN62" s="230">
        <f t="shared" si="8"/>
        <v>3</v>
      </c>
      <c r="AO62" s="119" t="str">
        <f t="shared" si="9"/>
        <v>05/2026</v>
      </c>
      <c r="AP62" s="122" t="str">
        <f t="array" ref="AP62">IFERROR(XLOOKUP(L62,'2. DATA NL, VTBB'!C:C,'2. DATA NL, VTBB'!F:F),"")</f>
        <v>HH0306</v>
      </c>
      <c r="AQ62" s="226" t="s">
        <v>302</v>
      </c>
      <c r="AR62" s="241" t="str">
        <f t="array" ref="AR62">IFERROR(XLOOKUP(L62,'2. DATA NL, VTBB'!C:C,'2. DATA NL, VTBB'!G:G),"")</f>
        <v>IDA Global - I - 715 - Chloronil (flexo) - 100gr - 100 ([btp] , t)</v>
      </c>
      <c r="AS62" s="241" t="str">
        <f t="array" ref="AS62">IFERROR(XLOOKUP(L62,'2. DATA NL, VTBB'!C:C,'2. DATA NL, VTBB'!G:G),"")</f>
        <v>IDA Global - I - 715 - Chloronil (flexo) - 100gr - 100 ([btp] , t)</v>
      </c>
      <c r="AT62" s="111" t="s">
        <v>314</v>
      </c>
    </row>
    <row r="63" ht="32.25" customHeight="1">
      <c r="A63" s="109">
        <v>59.0</v>
      </c>
      <c r="B63" s="238">
        <v>46165.0</v>
      </c>
      <c r="C63" s="210">
        <f t="shared" ref="C63:C76" si="25">B63+18</f>
        <v>46183</v>
      </c>
      <c r="D63" s="210">
        <f t="shared" si="15"/>
        <v>46190</v>
      </c>
      <c r="E63" s="247">
        <v>46181.0</v>
      </c>
      <c r="F63" s="219" t="s">
        <v>668</v>
      </c>
      <c r="G63" s="219" t="s">
        <v>669</v>
      </c>
      <c r="H63" s="219" t="s">
        <v>304</v>
      </c>
      <c r="I63" s="219" t="s">
        <v>305</v>
      </c>
      <c r="J63" s="113" t="s">
        <v>670</v>
      </c>
      <c r="K63" s="212" t="s">
        <v>301</v>
      </c>
      <c r="L63" s="111" t="s">
        <v>671</v>
      </c>
      <c r="M63" s="243" t="str">
        <f t="array" ref="M63">IFERROR(XLOOKUP(L63,'2. DATA NL, VTBB'!C:C,'2. DATA NL, VTBB'!D:D),"")</f>
        <v>Thùng carton nâu 5 lớp ,cán màng Icare (50.5x37.5x34cm) Phủ bì</v>
      </c>
      <c r="N63" s="126"/>
      <c r="O63" s="126"/>
      <c r="P63" s="219" t="s">
        <v>672</v>
      </c>
      <c r="Q63" s="126" t="b">
        <v>0</v>
      </c>
      <c r="R63" s="219" t="s">
        <v>673</v>
      </c>
      <c r="S63" s="219" t="s">
        <v>567</v>
      </c>
      <c r="T63" s="113">
        <f t="shared" si="2"/>
        <v>0.2</v>
      </c>
      <c r="U63" s="219" t="s">
        <v>568</v>
      </c>
      <c r="V63" s="234">
        <f t="shared" si="16"/>
        <v>20</v>
      </c>
      <c r="W63" s="213" t="s">
        <v>303</v>
      </c>
      <c r="X63" s="114">
        <v>20.0</v>
      </c>
      <c r="Y63" s="251">
        <v>28.0</v>
      </c>
      <c r="Z63" s="114">
        <v>23500.0</v>
      </c>
      <c r="AA63" s="244">
        <v>0.08</v>
      </c>
      <c r="AB63" s="222">
        <f t="shared" si="17"/>
        <v>710640</v>
      </c>
      <c r="AC63" s="122"/>
      <c r="AD63" s="248">
        <f t="shared" si="18"/>
        <v>46165</v>
      </c>
      <c r="AE63" s="251">
        <v>1320.0</v>
      </c>
      <c r="AF63" s="226">
        <v>1.0</v>
      </c>
      <c r="AG63" s="126"/>
      <c r="AH63" s="222">
        <f>IFERROR(__xludf.DUMMYFUNCTION("IFERROR( INDEX( SORT(  FILTER(  {'1. DATA CHUNG'!$J$4:$J$105 , '1. DATA CHUNG'!$L$4:$L$105}, 
                (TRIM('1. DATA CHUNG'!$I$4:$I$105) = TRIM(K63)) * IF(SUMPRODUCT(('1. DATA CHUNG'!$I$4:$I$105=K63) * ('1. DATA CHUNG'!$M$4:$M$105=Q63)), '1. DATA "&amp;"CHUNG'!$M$4:$M$105=Q63, 1) * ('1. DATA CHUNG'!$L$4:$L$105 &lt;= TODAY()) ),    2, 0),  1, 1 ), 
    IFERROR( INDEX( FILTER( '1. DATA CHUNG'!$J$4:$J$105, 
                (TRIM('1. DATA CHUNG'!$I$4:$I$105) = TRIM(K63)) * IF(SUMPRODUCT(('1. DATA CHUNG'!$I$4:$I"&amp;"$105=K63) * ('1. DATA CHUNG'!$M$4:$M$105=Q63)), '1. DATA CHUNG'!$M$4:$M$105=Q63, 1) * ('1. DATA CHUNG'!$L$4:$L$105 = """") ),  1),  ""Không tìm thấy""))"),18.0)</f>
        <v>18</v>
      </c>
      <c r="AI63" s="245">
        <f t="shared" si="4"/>
        <v>46183</v>
      </c>
      <c r="AJ63" s="114">
        <v>35000.0</v>
      </c>
      <c r="AK63" s="222">
        <f t="shared" ref="AK63:AK76" si="26">T62*AJ63</f>
        <v>35000</v>
      </c>
      <c r="AL63" s="229">
        <f t="shared" si="6"/>
        <v>9</v>
      </c>
      <c r="AM63" s="229">
        <f t="shared" si="7"/>
        <v>2</v>
      </c>
      <c r="AN63" s="230">
        <f t="shared" si="8"/>
        <v>0</v>
      </c>
      <c r="AO63" s="119" t="str">
        <f t="shared" si="9"/>
        <v>05/2026</v>
      </c>
      <c r="AP63" s="122" t="str">
        <f t="array" ref="AP63">IFERROR(XLOOKUP(L63,'2. DATA NL, VTBB'!C:C,'2. DATA NL, VTBB'!F:F),"")</f>
        <v/>
      </c>
      <c r="AQ63" s="226" t="s">
        <v>302</v>
      </c>
      <c r="AR63" s="241" t="str">
        <f t="array" ref="AR63">IFERROR(XLOOKUP(L63,'2. DATA NL, VTBB'!C:C,'2. DATA NL, VTBB'!G:G),"")</f>
        <v/>
      </c>
      <c r="AS63" s="241" t="str">
        <f t="array" ref="AS63">IFERROR(XLOOKUP(L63,'2. DATA NL, VTBB'!C:C,'2. DATA NL, VTBB'!G:G),"")</f>
        <v/>
      </c>
      <c r="AT63" s="111" t="s">
        <v>314</v>
      </c>
    </row>
    <row r="64" ht="32.25" customHeight="1">
      <c r="A64" s="109">
        <v>60.0</v>
      </c>
      <c r="B64" s="238">
        <v>46165.0</v>
      </c>
      <c r="C64" s="210">
        <f t="shared" si="25"/>
        <v>46183</v>
      </c>
      <c r="D64" s="210">
        <f t="shared" si="15"/>
        <v>46190</v>
      </c>
      <c r="E64" s="247">
        <v>46181.0</v>
      </c>
      <c r="F64" s="219" t="s">
        <v>668</v>
      </c>
      <c r="G64" s="219" t="s">
        <v>674</v>
      </c>
      <c r="H64" s="219" t="s">
        <v>304</v>
      </c>
      <c r="I64" s="219" t="s">
        <v>305</v>
      </c>
      <c r="J64" s="113" t="s">
        <v>675</v>
      </c>
      <c r="K64" s="212" t="s">
        <v>301</v>
      </c>
      <c r="L64" s="111" t="s">
        <v>671</v>
      </c>
      <c r="M64" s="243" t="str">
        <f t="array" ref="M64">IFERROR(XLOOKUP(L64,'2. DATA NL, VTBB'!C:C,'2. DATA NL, VTBB'!D:D),"")</f>
        <v>Thùng carton nâu 5 lớp ,cán màng Icare (50.5x37.5x34cm) Phủ bì</v>
      </c>
      <c r="N64" s="126"/>
      <c r="O64" s="126"/>
      <c r="P64" s="219" t="s">
        <v>672</v>
      </c>
      <c r="Q64" s="126" t="b">
        <v>0</v>
      </c>
      <c r="R64" s="219" t="s">
        <v>673</v>
      </c>
      <c r="S64" s="219" t="s">
        <v>567</v>
      </c>
      <c r="T64" s="113">
        <f t="shared" si="2"/>
        <v>0.8</v>
      </c>
      <c r="U64" s="219" t="s">
        <v>568</v>
      </c>
      <c r="V64" s="234">
        <f t="shared" si="16"/>
        <v>80</v>
      </c>
      <c r="W64" s="213" t="s">
        <v>303</v>
      </c>
      <c r="X64" s="114">
        <v>80.0</v>
      </c>
      <c r="Y64" s="251">
        <v>80.0</v>
      </c>
      <c r="Z64" s="114">
        <v>23500.0</v>
      </c>
      <c r="AA64" s="244">
        <v>0.08</v>
      </c>
      <c r="AB64" s="222">
        <f t="shared" si="17"/>
        <v>2030400</v>
      </c>
      <c r="AC64" s="122"/>
      <c r="AD64" s="248">
        <f t="shared" si="18"/>
        <v>46165</v>
      </c>
      <c r="AE64" s="251">
        <v>1319.0</v>
      </c>
      <c r="AF64" s="226">
        <v>1.0</v>
      </c>
      <c r="AG64" s="126"/>
      <c r="AH64" s="222">
        <f>IFERROR(__xludf.DUMMYFUNCTION("IFERROR( INDEX( SORT(  FILTER(  {'1. DATA CHUNG'!$J$4:$J$105 , '1. DATA CHUNG'!$L$4:$L$105}, 
                (TRIM('1. DATA CHUNG'!$I$4:$I$105) = TRIM(K64)) * IF(SUMPRODUCT(('1. DATA CHUNG'!$I$4:$I$105=K64) * ('1. DATA CHUNG'!$M$4:$M$105=Q64)), '1. DATA "&amp;"CHUNG'!$M$4:$M$105=Q64, 1) * ('1. DATA CHUNG'!$L$4:$L$105 &lt;= TODAY()) ),    2, 0),  1, 1 ), 
    IFERROR( INDEX( FILTER( '1. DATA CHUNG'!$J$4:$J$105, 
                (TRIM('1. DATA CHUNG'!$I$4:$I$105) = TRIM(K64)) * IF(SUMPRODUCT(('1. DATA CHUNG'!$I$4:$I"&amp;"$105=K64) * ('1. DATA CHUNG'!$M$4:$M$105=Q64)), '1. DATA CHUNG'!$M$4:$M$105=Q64, 1) * ('1. DATA CHUNG'!$L$4:$L$105 = """") ),  1),  ""Không tìm thấy""))"),18.0)</f>
        <v>18</v>
      </c>
      <c r="AI64" s="245">
        <f t="shared" si="4"/>
        <v>46183</v>
      </c>
      <c r="AJ64" s="114">
        <v>35000.0</v>
      </c>
      <c r="AK64" s="222">
        <f t="shared" si="26"/>
        <v>7000</v>
      </c>
      <c r="AL64" s="229">
        <f t="shared" si="6"/>
        <v>9</v>
      </c>
      <c r="AM64" s="229">
        <f t="shared" si="7"/>
        <v>2</v>
      </c>
      <c r="AN64" s="230">
        <f t="shared" si="8"/>
        <v>0</v>
      </c>
      <c r="AO64" s="119" t="str">
        <f t="shared" si="9"/>
        <v>05/2026</v>
      </c>
      <c r="AP64" s="122" t="str">
        <f t="array" ref="AP64">IFERROR(XLOOKUP(L64,'2. DATA NL, VTBB'!C:C,'2. DATA NL, VTBB'!F:F),"")</f>
        <v/>
      </c>
      <c r="AQ64" s="226" t="s">
        <v>302</v>
      </c>
      <c r="AR64" s="241" t="str">
        <f t="array" ref="AR64">IFERROR(XLOOKUP(L64,'2. DATA NL, VTBB'!C:C,'2. DATA NL, VTBB'!G:G),"")</f>
        <v/>
      </c>
      <c r="AS64" s="241" t="str">
        <f t="array" ref="AS64">IFERROR(XLOOKUP(L64,'2. DATA NL, VTBB'!C:C,'2. DATA NL, VTBB'!G:G),"")</f>
        <v/>
      </c>
      <c r="AT64" s="111" t="s">
        <v>314</v>
      </c>
    </row>
    <row r="65" ht="32.25" customHeight="1">
      <c r="A65" s="109">
        <v>61.0</v>
      </c>
      <c r="B65" s="238">
        <v>46168.0</v>
      </c>
      <c r="C65" s="210">
        <f t="shared" si="25"/>
        <v>46186</v>
      </c>
      <c r="D65" s="210">
        <f t="shared" si="15"/>
        <v>46193</v>
      </c>
      <c r="E65" s="247">
        <v>46181.0</v>
      </c>
      <c r="F65" s="219" t="s">
        <v>299</v>
      </c>
      <c r="G65" s="219" t="s">
        <v>562</v>
      </c>
      <c r="H65" s="219" t="s">
        <v>304</v>
      </c>
      <c r="I65" s="219" t="s">
        <v>305</v>
      </c>
      <c r="J65" s="113" t="s">
        <v>676</v>
      </c>
      <c r="K65" s="212" t="s">
        <v>301</v>
      </c>
      <c r="L65" s="111" t="s">
        <v>677</v>
      </c>
      <c r="M65" s="243" t="str">
        <f t="array" ref="M65">IFERROR(XLOOKUP(L65,'2. DATA NL, VTBB'!C:C,'2. DATA NL, VTBB'!D:D),"")</f>
        <v>Thùng Japan chai HDPE 500ml x 30 chai (42x35x24.5cm) - Trắng viền xanh dương</v>
      </c>
      <c r="N65" s="126"/>
      <c r="O65" s="126"/>
      <c r="P65" s="219" t="s">
        <v>672</v>
      </c>
      <c r="Q65" s="126" t="b">
        <v>0</v>
      </c>
      <c r="R65" s="219" t="s">
        <v>566</v>
      </c>
      <c r="S65" s="219" t="s">
        <v>567</v>
      </c>
      <c r="T65" s="113">
        <f t="shared" si="2"/>
        <v>1</v>
      </c>
      <c r="U65" s="219" t="s">
        <v>568</v>
      </c>
      <c r="V65" s="234">
        <f t="shared" si="16"/>
        <v>100</v>
      </c>
      <c r="W65" s="213" t="s">
        <v>303</v>
      </c>
      <c r="X65" s="114">
        <v>100.0</v>
      </c>
      <c r="Y65" s="251">
        <v>110.0</v>
      </c>
      <c r="Z65" s="114">
        <v>18300.0</v>
      </c>
      <c r="AA65" s="244">
        <v>0.08</v>
      </c>
      <c r="AB65" s="222">
        <f t="shared" si="17"/>
        <v>2174040</v>
      </c>
      <c r="AC65" s="122"/>
      <c r="AD65" s="248">
        <f t="shared" si="18"/>
        <v>46168</v>
      </c>
      <c r="AE65" s="251">
        <v>1303.0</v>
      </c>
      <c r="AF65" s="226">
        <v>1.0</v>
      </c>
      <c r="AG65" s="126"/>
      <c r="AH65" s="222">
        <f>IFERROR(__xludf.DUMMYFUNCTION("IFERROR( INDEX( SORT(  FILTER(  {'1. DATA CHUNG'!$J$4:$J$105 , '1. DATA CHUNG'!$L$4:$L$105}, 
                (TRIM('1. DATA CHUNG'!$I$4:$I$105) = TRIM(K65)) * IF(SUMPRODUCT(('1. DATA CHUNG'!$I$4:$I$105=K65) * ('1. DATA CHUNG'!$M$4:$M$105=Q65)), '1. DATA "&amp;"CHUNG'!$M$4:$M$105=Q65, 1) * ('1. DATA CHUNG'!$L$4:$L$105 &lt;= TODAY()) ),    2, 0),  1, 1 ), 
    IFERROR( INDEX( FILTER( '1. DATA CHUNG'!$J$4:$J$105, 
                (TRIM('1. DATA CHUNG'!$I$4:$I$105) = TRIM(K65)) * IF(SUMPRODUCT(('1. DATA CHUNG'!$I$4:$I"&amp;"$105=K65) * ('1. DATA CHUNG'!$M$4:$M$105=Q65)), '1. DATA CHUNG'!$M$4:$M$105=Q65, 1) * ('1. DATA CHUNG'!$L$4:$L$105 = """") ),  1),  ""Không tìm thấy""))"),18.0)</f>
        <v>18</v>
      </c>
      <c r="AI65" s="245">
        <f t="shared" si="4"/>
        <v>46186</v>
      </c>
      <c r="AJ65" s="114">
        <v>35000.0</v>
      </c>
      <c r="AK65" s="222">
        <f t="shared" si="26"/>
        <v>28000</v>
      </c>
      <c r="AL65" s="229">
        <f t="shared" si="6"/>
        <v>12</v>
      </c>
      <c r="AM65" s="229">
        <f t="shared" si="7"/>
        <v>5</v>
      </c>
      <c r="AN65" s="230">
        <f t="shared" si="8"/>
        <v>0</v>
      </c>
      <c r="AO65" s="119" t="str">
        <f t="shared" si="9"/>
        <v>05/2026</v>
      </c>
      <c r="AP65" s="122" t="str">
        <f t="array" ref="AP65">IFERROR(XLOOKUP(L65,'2. DATA NL, VTBB'!C:C,'2. DATA NL, VTBB'!F:F),"")</f>
        <v>HH0307</v>
      </c>
      <c r="AQ65" s="226" t="s">
        <v>302</v>
      </c>
      <c r="AR65" s="241" t="str">
        <f t="array" ref="AR65">IFERROR(XLOOKUP(L65,'2. DATA NL, VTBB'!C:C,'2. DATA NL, VTBB'!G:G),"")</f>
        <v>IDA Global - I - 716 - Toto - Boost (chai HD) - 240ml - 40 ([btp],t,c)</v>
      </c>
      <c r="AS65" s="241" t="str">
        <f t="array" ref="AS65">IFERROR(XLOOKUP(L65,'2. DATA NL, VTBB'!C:C,'2. DATA NL, VTBB'!G:G),"")</f>
        <v>IDA Global - I - 716 - Toto - Boost (chai HD) - 240ml - 40 ([btp],t,c)</v>
      </c>
      <c r="AT65" s="111" t="s">
        <v>314</v>
      </c>
    </row>
    <row r="66" ht="32.25" customHeight="1">
      <c r="A66" s="109">
        <v>62.0</v>
      </c>
      <c r="B66" s="238">
        <v>46175.0</v>
      </c>
      <c r="C66" s="210">
        <f t="shared" si="25"/>
        <v>46193</v>
      </c>
      <c r="D66" s="210">
        <f t="shared" si="15"/>
        <v>46200</v>
      </c>
      <c r="E66" s="247">
        <v>46181.0</v>
      </c>
      <c r="F66" s="219" t="s">
        <v>561</v>
      </c>
      <c r="G66" s="219" t="s">
        <v>562</v>
      </c>
      <c r="H66" s="219" t="s">
        <v>304</v>
      </c>
      <c r="I66" s="219" t="s">
        <v>305</v>
      </c>
      <c r="J66" s="113" t="s">
        <v>678</v>
      </c>
      <c r="K66" s="212" t="s">
        <v>301</v>
      </c>
      <c r="L66" s="111" t="s">
        <v>578</v>
      </c>
      <c r="M66" s="243" t="str">
        <f t="array" ref="M66">IFERROR(XLOOKUP(L66,'2. DATA NL, VTBB'!C:C,'2. DATA NL, VTBB'!D:D),"")</f>
        <v>Thùng DC Chai Pet Tròn 43 450ml-500ml - 61.5x38.5x19 - Trắng</v>
      </c>
      <c r="N66" s="126"/>
      <c r="O66" s="126"/>
      <c r="P66" s="219" t="s">
        <v>672</v>
      </c>
      <c r="Q66" s="126" t="b">
        <v>0</v>
      </c>
      <c r="R66" s="219" t="s">
        <v>573</v>
      </c>
      <c r="S66" s="219" t="s">
        <v>574</v>
      </c>
      <c r="T66" s="113">
        <f t="shared" si="2"/>
        <v>3</v>
      </c>
      <c r="U66" s="219" t="s">
        <v>568</v>
      </c>
      <c r="V66" s="234">
        <f t="shared" si="16"/>
        <v>300</v>
      </c>
      <c r="W66" s="213" t="s">
        <v>303</v>
      </c>
      <c r="X66" s="114">
        <v>300.0</v>
      </c>
      <c r="Y66" s="251">
        <v>310.0</v>
      </c>
      <c r="Z66" s="114">
        <v>21700.0</v>
      </c>
      <c r="AA66" s="244">
        <v>0.08</v>
      </c>
      <c r="AB66" s="222">
        <f t="shared" si="17"/>
        <v>7265160</v>
      </c>
      <c r="AC66" s="122"/>
      <c r="AD66" s="248">
        <f t="shared" si="18"/>
        <v>46175</v>
      </c>
      <c r="AE66" s="251">
        <v>1302.0</v>
      </c>
      <c r="AF66" s="226">
        <v>1.0</v>
      </c>
      <c r="AG66" s="126"/>
      <c r="AH66" s="222">
        <f>IFERROR(__xludf.DUMMYFUNCTION("IFERROR( INDEX( SORT(  FILTER(  {'1. DATA CHUNG'!$J$4:$J$105 , '1. DATA CHUNG'!$L$4:$L$105}, 
                (TRIM('1. DATA CHUNG'!$I$4:$I$105) = TRIM(K66)) * IF(SUMPRODUCT(('1. DATA CHUNG'!$I$4:$I$105=K66) * ('1. DATA CHUNG'!$M$4:$M$105=Q66)), '1. DATA "&amp;"CHUNG'!$M$4:$M$105=Q66, 1) * ('1. DATA CHUNG'!$L$4:$L$105 &lt;= TODAY()) ),    2, 0),  1, 1 ), 
    IFERROR( INDEX( FILTER( '1. DATA CHUNG'!$J$4:$J$105, 
                (TRIM('1. DATA CHUNG'!$I$4:$I$105) = TRIM(K66)) * IF(SUMPRODUCT(('1. DATA CHUNG'!$I$4:$I"&amp;"$105=K66) * ('1. DATA CHUNG'!$M$4:$M$105=Q66)), '1. DATA CHUNG'!$M$4:$M$105=Q66, 1) * ('1. DATA CHUNG'!$L$4:$L$105 = """") ),  1),  ""Không tìm thấy""))"),18.0)</f>
        <v>18</v>
      </c>
      <c r="AI66" s="245">
        <f t="shared" si="4"/>
        <v>46193</v>
      </c>
      <c r="AJ66" s="114">
        <v>35000.0</v>
      </c>
      <c r="AK66" s="222">
        <f t="shared" si="26"/>
        <v>35000</v>
      </c>
      <c r="AL66" s="229">
        <f t="shared" si="6"/>
        <v>19</v>
      </c>
      <c r="AM66" s="229">
        <f t="shared" si="7"/>
        <v>12</v>
      </c>
      <c r="AN66" s="230">
        <f t="shared" si="8"/>
        <v>0</v>
      </c>
      <c r="AO66" s="119" t="str">
        <f t="shared" si="9"/>
        <v>06/2026</v>
      </c>
      <c r="AP66" s="122" t="str">
        <f t="array" ref="AP66">IFERROR(XLOOKUP(L66,'2. DATA NL, VTBB'!C:C,'2. DATA NL, VTBB'!F:F),"")</f>
        <v>HH0004</v>
      </c>
      <c r="AQ66" s="226" t="s">
        <v>302</v>
      </c>
      <c r="AR66" s="241" t="str">
        <f t="array" ref="AR66">IFERROR(XLOOKUP(L66,'2. DATA NL, VTBB'!C:C,'2. DATA NL, VTBB'!G:G),"")</f>
        <v>GC - II - 24 - Aqua Gold ra bông xoài 1kg -25</v>
      </c>
      <c r="AS66" s="241" t="str">
        <f t="array" ref="AS66">IFERROR(XLOOKUP(L66,'2. DATA NL, VTBB'!C:C,'2. DATA NL, VTBB'!G:G),"")</f>
        <v>GC - II - 24 - Aqua Gold ra bông xoài 1kg -25</v>
      </c>
      <c r="AT66" s="111" t="s">
        <v>314</v>
      </c>
    </row>
    <row r="67" ht="32.25" customHeight="1">
      <c r="A67" s="109">
        <v>63.0</v>
      </c>
      <c r="B67" s="238">
        <v>46176.0</v>
      </c>
      <c r="C67" s="210">
        <f t="shared" si="25"/>
        <v>46194</v>
      </c>
      <c r="D67" s="210">
        <f t="shared" si="15"/>
        <v>46201</v>
      </c>
      <c r="E67" s="247">
        <v>46186.0</v>
      </c>
      <c r="F67" s="219" t="s">
        <v>561</v>
      </c>
      <c r="G67" s="219" t="s">
        <v>562</v>
      </c>
      <c r="H67" s="219" t="s">
        <v>304</v>
      </c>
      <c r="I67" s="219" t="s">
        <v>305</v>
      </c>
      <c r="J67" s="113" t="s">
        <v>679</v>
      </c>
      <c r="K67" s="212" t="s">
        <v>301</v>
      </c>
      <c r="L67" s="111" t="s">
        <v>680</v>
      </c>
      <c r="M67" s="243" t="str">
        <f t="array" ref="M67">IFERROR(XLOOKUP(L67,'2. DATA NL, VTBB'!C:C,'2. DATA NL, VTBB'!D:D),"")</f>
        <v>Thùng Dùng Chung ABA 100g x100 gói (47.5x41.5x28cm) - Trắng</v>
      </c>
      <c r="N67" s="126"/>
      <c r="O67" s="126"/>
      <c r="P67" s="219" t="s">
        <v>672</v>
      </c>
      <c r="Q67" s="126" t="b">
        <v>0</v>
      </c>
      <c r="R67" s="219" t="s">
        <v>573</v>
      </c>
      <c r="S67" s="219" t="s">
        <v>574</v>
      </c>
      <c r="T67" s="113">
        <f t="shared" si="2"/>
        <v>2</v>
      </c>
      <c r="U67" s="219" t="s">
        <v>568</v>
      </c>
      <c r="V67" s="234">
        <f t="shared" si="16"/>
        <v>200</v>
      </c>
      <c r="W67" s="213" t="s">
        <v>303</v>
      </c>
      <c r="X67" s="114">
        <v>200.0</v>
      </c>
      <c r="Y67" s="251">
        <v>214.0</v>
      </c>
      <c r="Z67" s="114">
        <v>23200.0</v>
      </c>
      <c r="AA67" s="244">
        <v>0.08</v>
      </c>
      <c r="AB67" s="222">
        <f t="shared" si="17"/>
        <v>5361984</v>
      </c>
      <c r="AC67" s="122"/>
      <c r="AD67" s="248">
        <f t="shared" si="18"/>
        <v>46176</v>
      </c>
      <c r="AE67" s="251">
        <v>1370.0</v>
      </c>
      <c r="AF67" s="226">
        <v>1.0</v>
      </c>
      <c r="AG67" s="126"/>
      <c r="AH67" s="222">
        <f>IFERROR(__xludf.DUMMYFUNCTION("IFERROR( INDEX( SORT(  FILTER(  {'1. DATA CHUNG'!$J$4:$J$105 , '1. DATA CHUNG'!$L$4:$L$105}, 
                (TRIM('1. DATA CHUNG'!$I$4:$I$105) = TRIM(K67)) * IF(SUMPRODUCT(('1. DATA CHUNG'!$I$4:$I$105=K67) * ('1. DATA CHUNG'!$M$4:$M$105=Q67)), '1. DATA "&amp;"CHUNG'!$M$4:$M$105=Q67, 1) * ('1. DATA CHUNG'!$L$4:$L$105 &lt;= TODAY()) ),    2, 0),  1, 1 ), 
    IFERROR( INDEX( FILTER( '1. DATA CHUNG'!$J$4:$J$105, 
                (TRIM('1. DATA CHUNG'!$I$4:$I$105) = TRIM(K67)) * IF(SUMPRODUCT(('1. DATA CHUNG'!$I$4:$I"&amp;"$105=K67) * ('1. DATA CHUNG'!$M$4:$M$105=Q67)), '1. DATA CHUNG'!$M$4:$M$105=Q67, 1) * ('1. DATA CHUNG'!$L$4:$L$105 = """") ),  1),  ""Không tìm thấy""))"),18.0)</f>
        <v>18</v>
      </c>
      <c r="AI67" s="245">
        <f t="shared" si="4"/>
        <v>46194</v>
      </c>
      <c r="AJ67" s="114">
        <v>35000.0</v>
      </c>
      <c r="AK67" s="222">
        <f t="shared" si="26"/>
        <v>105000</v>
      </c>
      <c r="AL67" s="229">
        <f t="shared" si="6"/>
        <v>15</v>
      </c>
      <c r="AM67" s="229">
        <f t="shared" si="7"/>
        <v>8</v>
      </c>
      <c r="AN67" s="230">
        <f t="shared" si="8"/>
        <v>0</v>
      </c>
      <c r="AO67" s="119" t="str">
        <f t="shared" si="9"/>
        <v>06/2026</v>
      </c>
      <c r="AP67" s="122" t="str">
        <f t="array" ref="AP67">IFERROR(XLOOKUP(L67,'2. DATA NL, VTBB'!C:C,'2. DATA NL, VTBB'!F:F),"")</f>
        <v>HH0162</v>
      </c>
      <c r="AQ67" s="226" t="s">
        <v>302</v>
      </c>
      <c r="AR67" s="241" t="str">
        <f t="array" ref="AR67">IFERROR(XLOOKUP(L67,'2. DATA NL, VTBB'!C:C,'2. DATA NL, VTBB'!G:G),"")</f>
        <v>GC - II - 575 - A Thời GNH - Calbor (Chai HD) - 500ml - 40</v>
      </c>
      <c r="AS67" s="241" t="str">
        <f t="array" ref="AS67">IFERROR(XLOOKUP(L67,'2. DATA NL, VTBB'!C:C,'2. DATA NL, VTBB'!G:G),"")</f>
        <v>GC - II - 575 - A Thời GNH - Calbor (Chai HD) - 500ml - 40</v>
      </c>
      <c r="AT67" s="111" t="s">
        <v>314</v>
      </c>
    </row>
    <row r="68" ht="32.25" customHeight="1">
      <c r="A68" s="109">
        <v>64.0</v>
      </c>
      <c r="B68" s="238">
        <v>46176.0</v>
      </c>
      <c r="C68" s="210">
        <f t="shared" si="25"/>
        <v>46194</v>
      </c>
      <c r="D68" s="210">
        <f t="shared" si="15"/>
        <v>46201</v>
      </c>
      <c r="E68" s="247">
        <v>46185.0</v>
      </c>
      <c r="F68" s="219" t="s">
        <v>299</v>
      </c>
      <c r="G68" s="219" t="s">
        <v>562</v>
      </c>
      <c r="H68" s="219" t="s">
        <v>304</v>
      </c>
      <c r="I68" s="219" t="s">
        <v>681</v>
      </c>
      <c r="J68" s="253" t="s">
        <v>682</v>
      </c>
      <c r="K68" s="212" t="s">
        <v>301</v>
      </c>
      <c r="L68" s="111" t="s">
        <v>683</v>
      </c>
      <c r="M68" s="243" t="str">
        <f t="array" ref="M68">IFERROR(XLOOKUP(L68,'2. DATA NL, VTBB'!C:C,'2. DATA NL, VTBB'!D:D),"")</f>
        <v>Thùng DC chai Pet tròn 60ml x 100 chai (48.5x25x17.5cm) - Trắng</v>
      </c>
      <c r="N68" s="126"/>
      <c r="O68" s="126"/>
      <c r="P68" s="219" t="s">
        <v>672</v>
      </c>
      <c r="Q68" s="126" t="b">
        <v>0</v>
      </c>
      <c r="R68" s="219" t="s">
        <v>566</v>
      </c>
      <c r="S68" s="219" t="s">
        <v>567</v>
      </c>
      <c r="T68" s="113">
        <f t="shared" si="2"/>
        <v>1</v>
      </c>
      <c r="U68" s="219" t="s">
        <v>568</v>
      </c>
      <c r="V68" s="234">
        <f t="shared" si="16"/>
        <v>100</v>
      </c>
      <c r="W68" s="213" t="s">
        <v>303</v>
      </c>
      <c r="X68" s="114">
        <v>100.0</v>
      </c>
      <c r="Y68" s="251">
        <v>108.0</v>
      </c>
      <c r="Z68" s="114">
        <v>13300.0</v>
      </c>
      <c r="AA68" s="244">
        <v>0.08</v>
      </c>
      <c r="AB68" s="222">
        <f t="shared" si="17"/>
        <v>1551312</v>
      </c>
      <c r="AC68" s="122"/>
      <c r="AD68" s="248">
        <f t="shared" si="18"/>
        <v>46176</v>
      </c>
      <c r="AE68" s="251">
        <v>108.0</v>
      </c>
      <c r="AF68" s="226">
        <v>1.0</v>
      </c>
      <c r="AG68" s="126"/>
      <c r="AH68" s="222">
        <f>IFERROR(__xludf.DUMMYFUNCTION("IFERROR( INDEX( SORT(  FILTER(  {'1. DATA CHUNG'!$J$4:$J$105 , '1. DATA CHUNG'!$L$4:$L$105}, 
                (TRIM('1. DATA CHUNG'!$I$4:$I$105) = TRIM(K68)) * IF(SUMPRODUCT(('1. DATA CHUNG'!$I$4:$I$105=K68) * ('1. DATA CHUNG'!$M$4:$M$105=Q68)), '1. DATA "&amp;"CHUNG'!$M$4:$M$105=Q68, 1) * ('1. DATA CHUNG'!$L$4:$L$105 &lt;= TODAY()) ),    2, 0),  1, 1 ), 
    IFERROR( INDEX( FILTER( '1. DATA CHUNG'!$J$4:$J$105, 
                (TRIM('1. DATA CHUNG'!$I$4:$I$105) = TRIM(K68)) * IF(SUMPRODUCT(('1. DATA CHUNG'!$I$4:$I"&amp;"$105=K68) * ('1. DATA CHUNG'!$M$4:$M$105=Q68)), '1. DATA CHUNG'!$M$4:$M$105=Q68, 1) * ('1. DATA CHUNG'!$L$4:$L$105 = """") ),  1),  ""Không tìm thấy""))"),18.0)</f>
        <v>18</v>
      </c>
      <c r="AI68" s="245">
        <f t="shared" si="4"/>
        <v>46194</v>
      </c>
      <c r="AJ68" s="114">
        <v>35000.0</v>
      </c>
      <c r="AK68" s="222">
        <f t="shared" si="26"/>
        <v>70000</v>
      </c>
      <c r="AL68" s="229">
        <f t="shared" si="6"/>
        <v>16</v>
      </c>
      <c r="AM68" s="229">
        <f t="shared" si="7"/>
        <v>9</v>
      </c>
      <c r="AN68" s="230">
        <f t="shared" si="8"/>
        <v>0</v>
      </c>
      <c r="AO68" s="119" t="str">
        <f t="shared" si="9"/>
        <v>06/2026</v>
      </c>
      <c r="AP68" s="122" t="str">
        <f t="array" ref="AP68">IFERROR(XLOOKUP(L68,'2. DATA NL, VTBB'!C:C,'2. DATA NL, VTBB'!F:F),"")</f>
        <v>HH0138</v>
      </c>
      <c r="AQ68" s="226" t="s">
        <v>302</v>
      </c>
      <c r="AR68" s="241" t="str">
        <f t="array" ref="AR68">IFERROR(XLOOKUP(L68,'2. DATA NL, VTBB'!C:C,'2. DATA NL, VTBB'!G:G),"")</f>
        <v>GC - II - 524 - BM - Diệt đạo ôn cháy lá - 25 gr - 300</v>
      </c>
      <c r="AS68" s="241" t="str">
        <f t="array" ref="AS68">IFERROR(XLOOKUP(L68,'2. DATA NL, VTBB'!C:C,'2. DATA NL, VTBB'!G:G),"")</f>
        <v>GC - II - 524 - BM - Diệt đạo ôn cháy lá - 25 gr - 300</v>
      </c>
      <c r="AT68" s="111" t="s">
        <v>314</v>
      </c>
    </row>
    <row r="69" ht="32.25" customHeight="1">
      <c r="A69" s="109">
        <v>65.0</v>
      </c>
      <c r="B69" s="238">
        <v>46176.0</v>
      </c>
      <c r="C69" s="210">
        <f t="shared" si="25"/>
        <v>46194</v>
      </c>
      <c r="D69" s="210">
        <f t="shared" si="15"/>
        <v>46201</v>
      </c>
      <c r="E69" s="247">
        <v>46185.0</v>
      </c>
      <c r="F69" s="219" t="s">
        <v>561</v>
      </c>
      <c r="G69" s="219" t="s">
        <v>562</v>
      </c>
      <c r="H69" s="219" t="s">
        <v>304</v>
      </c>
      <c r="I69" s="219" t="s">
        <v>681</v>
      </c>
      <c r="J69" s="253" t="s">
        <v>684</v>
      </c>
      <c r="K69" s="212" t="s">
        <v>301</v>
      </c>
      <c r="L69" s="111" t="s">
        <v>586</v>
      </c>
      <c r="M69" s="243" t="str">
        <f t="array" ref="M69">IFERROR(XLOOKUP(L69,'2. DATA NL, VTBB'!C:C,'2. DATA NL, VTBB'!D:D),"")</f>
        <v>Thùng dùng chung ABA Chai 250ml x 40 chai (53.5x33.5x15.5cm) - Trắng</v>
      </c>
      <c r="N69" s="126"/>
      <c r="O69" s="126"/>
      <c r="P69" s="219" t="s">
        <v>672</v>
      </c>
      <c r="Q69" s="126" t="b">
        <v>0</v>
      </c>
      <c r="R69" s="219" t="s">
        <v>573</v>
      </c>
      <c r="S69" s="219" t="s">
        <v>574</v>
      </c>
      <c r="T69" s="113">
        <f t="shared" si="2"/>
        <v>2</v>
      </c>
      <c r="U69" s="219" t="s">
        <v>568</v>
      </c>
      <c r="V69" s="234">
        <f t="shared" si="16"/>
        <v>200</v>
      </c>
      <c r="W69" s="213" t="s">
        <v>303</v>
      </c>
      <c r="X69" s="114">
        <v>200.0</v>
      </c>
      <c r="Y69" s="251">
        <v>220.0</v>
      </c>
      <c r="Z69" s="114">
        <v>18300.0</v>
      </c>
      <c r="AA69" s="244">
        <v>0.08</v>
      </c>
      <c r="AB69" s="222">
        <f t="shared" si="17"/>
        <v>4348080</v>
      </c>
      <c r="AC69" s="122"/>
      <c r="AD69" s="248">
        <f t="shared" si="18"/>
        <v>46176</v>
      </c>
      <c r="AE69" s="251">
        <v>108.0</v>
      </c>
      <c r="AF69" s="226">
        <v>1.0</v>
      </c>
      <c r="AG69" s="126"/>
      <c r="AH69" s="222">
        <f>IFERROR(__xludf.DUMMYFUNCTION("IFERROR( INDEX( SORT(  FILTER(  {'1. DATA CHUNG'!$J$4:$J$105 , '1. DATA CHUNG'!$L$4:$L$105}, 
                (TRIM('1. DATA CHUNG'!$I$4:$I$105) = TRIM(K69)) * IF(SUMPRODUCT(('1. DATA CHUNG'!$I$4:$I$105=K69) * ('1. DATA CHUNG'!$M$4:$M$105=Q69)), '1. DATA "&amp;"CHUNG'!$M$4:$M$105=Q69, 1) * ('1. DATA CHUNG'!$L$4:$L$105 &lt;= TODAY()) ),    2, 0),  1, 1 ), 
    IFERROR( INDEX( FILTER( '1. DATA CHUNG'!$J$4:$J$105, 
                (TRIM('1. DATA CHUNG'!$I$4:$I$105) = TRIM(K69)) * IF(SUMPRODUCT(('1. DATA CHUNG'!$I$4:$I"&amp;"$105=K69) * ('1. DATA CHUNG'!$M$4:$M$105=Q69)), '1. DATA CHUNG'!$M$4:$M$105=Q69, 1) * ('1. DATA CHUNG'!$L$4:$L$105 = """") ),  1),  ""Không tìm thấy""))"),18.0)</f>
        <v>18</v>
      </c>
      <c r="AI69" s="245">
        <f t="shared" si="4"/>
        <v>46194</v>
      </c>
      <c r="AJ69" s="114">
        <v>35000.0</v>
      </c>
      <c r="AK69" s="222">
        <f t="shared" si="26"/>
        <v>35000</v>
      </c>
      <c r="AL69" s="229">
        <f t="shared" si="6"/>
        <v>16</v>
      </c>
      <c r="AM69" s="229">
        <f t="shared" si="7"/>
        <v>9</v>
      </c>
      <c r="AN69" s="230">
        <f t="shared" si="8"/>
        <v>0</v>
      </c>
      <c r="AO69" s="119" t="str">
        <f t="shared" si="9"/>
        <v>06/2026</v>
      </c>
      <c r="AP69" s="122" t="str">
        <f t="array" ref="AP69">IFERROR(XLOOKUP(L69,'2. DATA NL, VTBB'!C:C,'2. DATA NL, VTBB'!F:F),"")</f>
        <v>HH0080</v>
      </c>
      <c r="AQ69" s="226" t="s">
        <v>302</v>
      </c>
      <c r="AR69" s="241" t="str">
        <f t="array" ref="AR69">IFERROR(XLOOKUP(L69,'2. DATA NL, VTBB'!C:C,'2. DATA NL, VTBB'!G:G),"")</f>
        <v>IDA Global - I - 442 - Creek 51WG (Dạng cốm) - 30gr - 300</v>
      </c>
      <c r="AS69" s="241" t="str">
        <f t="array" ref="AS69">IFERROR(XLOOKUP(L69,'2. DATA NL, VTBB'!C:C,'2. DATA NL, VTBB'!G:G),"")</f>
        <v>IDA Global - I - 442 - Creek 51WG (Dạng cốm) - 30gr - 300</v>
      </c>
      <c r="AT69" s="111" t="s">
        <v>314</v>
      </c>
    </row>
    <row r="70" ht="32.25" customHeight="1">
      <c r="A70" s="109">
        <v>66.0</v>
      </c>
      <c r="B70" s="238">
        <v>46182.0</v>
      </c>
      <c r="C70" s="210">
        <f t="shared" si="25"/>
        <v>46200</v>
      </c>
      <c r="D70" s="210">
        <f t="shared" si="15"/>
        <v>46207</v>
      </c>
      <c r="E70" s="247">
        <v>46188.0</v>
      </c>
      <c r="F70" s="219" t="s">
        <v>561</v>
      </c>
      <c r="G70" s="219" t="s">
        <v>562</v>
      </c>
      <c r="H70" s="219" t="s">
        <v>304</v>
      </c>
      <c r="I70" s="219" t="s">
        <v>305</v>
      </c>
      <c r="J70" s="113" t="s">
        <v>685</v>
      </c>
      <c r="K70" s="212" t="s">
        <v>301</v>
      </c>
      <c r="L70" s="254" t="s">
        <v>686</v>
      </c>
      <c r="M70" s="243" t="str">
        <f t="array" ref="M70">IFERROR(XLOOKUP(L70,'2. DATA NL, VTBB'!C:C,'2. DATA NL, VTBB'!D:D),"")</f>
        <v>Thùng chung chai PET 350ml x 40 chai (55.5x35x17.5cm) - Trắng viền đen</v>
      </c>
      <c r="N70" s="126"/>
      <c r="O70" s="126"/>
      <c r="P70" s="219" t="s">
        <v>672</v>
      </c>
      <c r="Q70" s="126" t="b">
        <v>0</v>
      </c>
      <c r="R70" s="219" t="s">
        <v>573</v>
      </c>
      <c r="S70" s="219" t="s">
        <v>574</v>
      </c>
      <c r="T70" s="113">
        <f t="shared" si="2"/>
        <v>1.5</v>
      </c>
      <c r="U70" s="219" t="s">
        <v>568</v>
      </c>
      <c r="V70" s="234">
        <f t="shared" si="16"/>
        <v>150</v>
      </c>
      <c r="W70" s="213" t="s">
        <v>303</v>
      </c>
      <c r="X70" s="114">
        <v>150.0</v>
      </c>
      <c r="Y70" s="251">
        <f>105+60</f>
        <v>165</v>
      </c>
      <c r="Z70" s="114">
        <v>19300.0</v>
      </c>
      <c r="AA70" s="244">
        <v>0.08</v>
      </c>
      <c r="AB70" s="222">
        <f t="shared" si="17"/>
        <v>3439260</v>
      </c>
      <c r="AC70" s="122"/>
      <c r="AD70" s="248">
        <f t="shared" si="18"/>
        <v>46182</v>
      </c>
      <c r="AE70" s="251">
        <v>1376.0</v>
      </c>
      <c r="AF70" s="226">
        <v>1.0</v>
      </c>
      <c r="AG70" s="126"/>
      <c r="AH70" s="222">
        <f>IFERROR(__xludf.DUMMYFUNCTION("IFERROR( INDEX( SORT(  FILTER(  {'1. DATA CHUNG'!$J$4:$J$105 , '1. DATA CHUNG'!$L$4:$L$105}, 
                (TRIM('1. DATA CHUNG'!$I$4:$I$105) = TRIM(K70)) * IF(SUMPRODUCT(('1. DATA CHUNG'!$I$4:$I$105=K70) * ('1. DATA CHUNG'!$M$4:$M$105=Q70)), '1. DATA "&amp;"CHUNG'!$M$4:$M$105=Q70, 1) * ('1. DATA CHUNG'!$L$4:$L$105 &lt;= TODAY()) ),    2, 0),  1, 1 ), 
    IFERROR( INDEX( FILTER( '1. DATA CHUNG'!$J$4:$J$105, 
                (TRIM('1. DATA CHUNG'!$I$4:$I$105) = TRIM(K70)) * IF(SUMPRODUCT(('1. DATA CHUNG'!$I$4:$I"&amp;"$105=K70) * ('1. DATA CHUNG'!$M$4:$M$105=Q70)), '1. DATA CHUNG'!$M$4:$M$105=Q70, 1) * ('1. DATA CHUNG'!$L$4:$L$105 = """") ),  1),  ""Không tìm thấy""))"),18.0)</f>
        <v>18</v>
      </c>
      <c r="AI70" s="245">
        <f t="shared" si="4"/>
        <v>46200</v>
      </c>
      <c r="AJ70" s="114">
        <v>35000.0</v>
      </c>
      <c r="AK70" s="222">
        <f t="shared" si="26"/>
        <v>70000</v>
      </c>
      <c r="AL70" s="229">
        <f t="shared" si="6"/>
        <v>19</v>
      </c>
      <c r="AM70" s="229">
        <f t="shared" si="7"/>
        <v>12</v>
      </c>
      <c r="AN70" s="230">
        <f t="shared" si="8"/>
        <v>0</v>
      </c>
      <c r="AO70" s="119" t="str">
        <f t="shared" si="9"/>
        <v>06/2026</v>
      </c>
      <c r="AP70" s="122" t="str">
        <f t="array" ref="AP70">IFERROR(XLOOKUP(L70,'2. DATA NL, VTBB'!C:C,'2. DATA NL, VTBB'!F:F),"")</f>
        <v>HH0309</v>
      </c>
      <c r="AQ70" s="226" t="s">
        <v>302</v>
      </c>
      <c r="AR70" s="241" t="str">
        <f t="array" ref="AR70">IFERROR(XLOOKUP(L70,'2. DATA NL, VTBB'!C:C,'2. DATA NL, VTBB'!G:G),"")</f>
        <v>GC - IV - 721 - Agritech - Tikabamec 3.6 EC (PET tròn) (nước đục) - 450ml - 40</v>
      </c>
      <c r="AS70" s="241" t="str">
        <f t="array" ref="AS70">IFERROR(XLOOKUP(L70,'2. DATA NL, VTBB'!C:C,'2. DATA NL, VTBB'!G:G),"")</f>
        <v>GC - IV - 721 - Agritech - Tikabamec 3.6 EC (PET tròn) (nước đục) - 450ml - 40</v>
      </c>
      <c r="AT70" s="111" t="s">
        <v>314</v>
      </c>
    </row>
    <row r="71" ht="32.25" customHeight="1">
      <c r="A71" s="109">
        <v>67.0</v>
      </c>
      <c r="B71" s="238">
        <v>46183.0</v>
      </c>
      <c r="C71" s="210">
        <f t="shared" si="25"/>
        <v>46201</v>
      </c>
      <c r="D71" s="210">
        <f t="shared" si="15"/>
        <v>46208</v>
      </c>
      <c r="E71" s="255"/>
      <c r="F71" s="219" t="s">
        <v>299</v>
      </c>
      <c r="G71" s="219" t="s">
        <v>562</v>
      </c>
      <c r="H71" s="219" t="s">
        <v>304</v>
      </c>
      <c r="I71" s="219" t="s">
        <v>305</v>
      </c>
      <c r="J71" s="113" t="s">
        <v>687</v>
      </c>
      <c r="K71" s="212" t="s">
        <v>301</v>
      </c>
      <c r="L71" s="111" t="s">
        <v>688</v>
      </c>
      <c r="M71" s="243" t="str">
        <f t="array" ref="M71">IFERROR(XLOOKUP(L71,'2. DATA NL, VTBB'!C:C,'2. DATA NL, VTBB'!D:D),"")</f>
        <v>Thùng Tago chai HDPE 500ml x 40 chai (60x35.5x21.5cm) - Trắng viền xanh lá</v>
      </c>
      <c r="N71" s="126"/>
      <c r="O71" s="126"/>
      <c r="P71" s="219" t="s">
        <v>672</v>
      </c>
      <c r="Q71" s="126" t="b">
        <v>0</v>
      </c>
      <c r="R71" s="219" t="s">
        <v>566</v>
      </c>
      <c r="S71" s="219" t="s">
        <v>567</v>
      </c>
      <c r="T71" s="113">
        <f t="shared" si="2"/>
        <v>3</v>
      </c>
      <c r="U71" s="219" t="s">
        <v>568</v>
      </c>
      <c r="V71" s="234">
        <f t="shared" si="16"/>
        <v>300</v>
      </c>
      <c r="W71" s="213" t="s">
        <v>303</v>
      </c>
      <c r="X71" s="114">
        <v>300.0</v>
      </c>
      <c r="Y71" s="256"/>
      <c r="Z71" s="114">
        <v>21500.0</v>
      </c>
      <c r="AA71" s="244">
        <v>0.08</v>
      </c>
      <c r="AB71" s="222">
        <f t="shared" si="17"/>
        <v>0</v>
      </c>
      <c r="AC71" s="122"/>
      <c r="AD71" s="248">
        <f t="shared" si="18"/>
        <v>46183</v>
      </c>
      <c r="AE71" s="251"/>
      <c r="AF71" s="226">
        <v>1.0</v>
      </c>
      <c r="AG71" s="126"/>
      <c r="AH71" s="222">
        <f>IFERROR(__xludf.DUMMYFUNCTION("IFERROR( INDEX( SORT(  FILTER(  {'1. DATA CHUNG'!$J$4:$J$105 , '1. DATA CHUNG'!$L$4:$L$105}, 
                (TRIM('1. DATA CHUNG'!$I$4:$I$105) = TRIM(K71)) * IF(SUMPRODUCT(('1. DATA CHUNG'!$I$4:$I$105=K71) * ('1. DATA CHUNG'!$M$4:$M$105=Q71)), '1. DATA "&amp;"CHUNG'!$M$4:$M$105=Q71, 1) * ('1. DATA CHUNG'!$L$4:$L$105 &lt;= TODAY()) ),    2, 0),  1, 1 ), 
    IFERROR( INDEX( FILTER( '1. DATA CHUNG'!$J$4:$J$105, 
                (TRIM('1. DATA CHUNG'!$I$4:$I$105) = TRIM(K71)) * IF(SUMPRODUCT(('1. DATA CHUNG'!$I$4:$I"&amp;"$105=K71) * ('1. DATA CHUNG'!$M$4:$M$105=Q71)), '1. DATA CHUNG'!$M$4:$M$105=Q71, 1) * ('1. DATA CHUNG'!$L$4:$L$105 = """") ),  1),  ""Không tìm thấy""))"),18.0)</f>
        <v>18</v>
      </c>
      <c r="AI71" s="245">
        <f t="shared" si="4"/>
        <v>46201</v>
      </c>
      <c r="AJ71" s="114">
        <v>35000.0</v>
      </c>
      <c r="AK71" s="222">
        <f t="shared" si="26"/>
        <v>52500</v>
      </c>
      <c r="AL71" s="229" t="str">
        <f t="shared" si="6"/>
        <v/>
      </c>
      <c r="AM71" s="229" t="str">
        <f t="shared" si="7"/>
        <v/>
      </c>
      <c r="AN71" s="230">
        <f t="shared" si="8"/>
        <v>0</v>
      </c>
      <c r="AO71" s="119" t="str">
        <f t="shared" si="9"/>
        <v>06/2026</v>
      </c>
      <c r="AP71" s="122" t="str">
        <f t="array" ref="AP71">IFERROR(XLOOKUP(L71,'2. DATA NL, VTBB'!C:C,'2. DATA NL, VTBB'!F:F),"")</f>
        <v>HH0308</v>
      </c>
      <c r="AQ71" s="226" t="s">
        <v>302</v>
      </c>
      <c r="AR71" s="241" t="str">
        <f t="array" ref="AR71">IFERROR(XLOOKUP(L71,'2. DATA NL, VTBB'!C:C,'2. DATA NL, VTBB'!G:G),"")</f>
        <v>GC - IV - 720 - Agritech - Tikabamec 3.6 EC (PET tròn) (nước đục) - 450ml - 40</v>
      </c>
      <c r="AS71" s="241" t="str">
        <f t="array" ref="AS71">IFERROR(XLOOKUP(L71,'2. DATA NL, VTBB'!C:C,'2. DATA NL, VTBB'!G:G),"")</f>
        <v>GC - IV - 720 - Agritech - Tikabamec 3.6 EC (PET tròn) (nước đục) - 450ml - 40</v>
      </c>
      <c r="AT71" s="111" t="s">
        <v>314</v>
      </c>
    </row>
    <row r="72" ht="32.25" customHeight="1">
      <c r="A72" s="109">
        <v>68.0</v>
      </c>
      <c r="B72" s="238">
        <v>46183.0</v>
      </c>
      <c r="C72" s="210">
        <f t="shared" si="25"/>
        <v>46201</v>
      </c>
      <c r="D72" s="210">
        <f t="shared" si="15"/>
        <v>46208</v>
      </c>
      <c r="E72" s="247">
        <v>46188.0</v>
      </c>
      <c r="F72" s="219" t="s">
        <v>299</v>
      </c>
      <c r="G72" s="219" t="s">
        <v>562</v>
      </c>
      <c r="H72" s="219" t="s">
        <v>304</v>
      </c>
      <c r="I72" s="219" t="s">
        <v>305</v>
      </c>
      <c r="J72" s="113" t="s">
        <v>689</v>
      </c>
      <c r="K72" s="212" t="s">
        <v>301</v>
      </c>
      <c r="L72" s="111" t="s">
        <v>596</v>
      </c>
      <c r="M72" s="243" t="str">
        <f t="array" ref="M72">IFERROR(XLOOKUP(L72,'2. DATA NL, VTBB'!C:C,'2. DATA NL, VTBB'!D:D),"")</f>
        <v>Thùng chung Chai HDPE 500ml x 40 chai  (64.5x40.5x19cm) - Nâu trơn</v>
      </c>
      <c r="N72" s="126"/>
      <c r="O72" s="126"/>
      <c r="P72" s="219" t="s">
        <v>672</v>
      </c>
      <c r="Q72" s="126" t="b">
        <v>0</v>
      </c>
      <c r="R72" s="219" t="s">
        <v>566</v>
      </c>
      <c r="S72" s="219" t="s">
        <v>567</v>
      </c>
      <c r="T72" s="113">
        <f t="shared" si="2"/>
        <v>3</v>
      </c>
      <c r="U72" s="219" t="s">
        <v>568</v>
      </c>
      <c r="V72" s="234">
        <f t="shared" si="16"/>
        <v>300</v>
      </c>
      <c r="W72" s="213" t="s">
        <v>303</v>
      </c>
      <c r="X72" s="114">
        <v>300.0</v>
      </c>
      <c r="Y72" s="251">
        <v>310.0</v>
      </c>
      <c r="Z72" s="114">
        <v>22800.0</v>
      </c>
      <c r="AA72" s="244">
        <v>0.08</v>
      </c>
      <c r="AB72" s="222">
        <f t="shared" si="17"/>
        <v>7633440</v>
      </c>
      <c r="AC72" s="122"/>
      <c r="AD72" s="248">
        <f t="shared" si="18"/>
        <v>46183</v>
      </c>
      <c r="AE72" s="251">
        <v>1377.0</v>
      </c>
      <c r="AF72" s="226">
        <v>1.0</v>
      </c>
      <c r="AG72" s="126"/>
      <c r="AH72" s="222">
        <f>IFERROR(__xludf.DUMMYFUNCTION("IFERROR( INDEX( SORT(  FILTER(  {'1. DATA CHUNG'!$J$4:$J$105 , '1. DATA CHUNG'!$L$4:$L$105}, 
                (TRIM('1. DATA CHUNG'!$I$4:$I$105) = TRIM(K72)) * IF(SUMPRODUCT(('1. DATA CHUNG'!$I$4:$I$105=K72) * ('1. DATA CHUNG'!$M$4:$M$105=Q72)), '1. DATA "&amp;"CHUNG'!$M$4:$M$105=Q72, 1) * ('1. DATA CHUNG'!$L$4:$L$105 &lt;= TODAY()) ),    2, 0),  1, 1 ), 
    IFERROR( INDEX( FILTER( '1. DATA CHUNG'!$J$4:$J$105, 
                (TRIM('1. DATA CHUNG'!$I$4:$I$105) = TRIM(K72)) * IF(SUMPRODUCT(('1. DATA CHUNG'!$I$4:$I"&amp;"$105=K72) * ('1. DATA CHUNG'!$M$4:$M$105=Q72)), '1. DATA CHUNG'!$M$4:$M$105=Q72, 1) * ('1. DATA CHUNG'!$L$4:$L$105 = """") ),  1),  ""Không tìm thấy""))"),18.0)</f>
        <v>18</v>
      </c>
      <c r="AI72" s="245">
        <f t="shared" si="4"/>
        <v>46201</v>
      </c>
      <c r="AJ72" s="114">
        <v>35000.0</v>
      </c>
      <c r="AK72" s="222">
        <f t="shared" si="26"/>
        <v>105000</v>
      </c>
      <c r="AL72" s="229">
        <f t="shared" si="6"/>
        <v>20</v>
      </c>
      <c r="AM72" s="229">
        <f t="shared" si="7"/>
        <v>13</v>
      </c>
      <c r="AN72" s="230">
        <f t="shared" si="8"/>
        <v>0</v>
      </c>
      <c r="AO72" s="119" t="str">
        <f t="shared" si="9"/>
        <v>06/2026</v>
      </c>
      <c r="AP72" s="122" t="str">
        <f t="array" ref="AP72">IFERROR(XLOOKUP(L72,'2. DATA NL, VTBB'!C:C,'2. DATA NL, VTBB'!F:F),"")</f>
        <v>HH0274</v>
      </c>
      <c r="AQ72" s="226" t="s">
        <v>302</v>
      </c>
      <c r="AR72" s="241" t="str">
        <f t="array" ref="AR72">IFERROR(XLOOKUP(L72,'2. DATA NL, VTBB'!C:C,'2. DATA NL, VTBB'!G:G),"")</f>
        <v>IDA Global - I - 690 - Centertaner 500 WP (túi nhôm) - 12 gr - 400</v>
      </c>
      <c r="AS72" s="241" t="str">
        <f t="array" ref="AS72">IFERROR(XLOOKUP(L72,'2. DATA NL, VTBB'!C:C,'2. DATA NL, VTBB'!G:G),"")</f>
        <v>IDA Global - I - 690 - Centertaner 500 WP (túi nhôm) - 12 gr - 400</v>
      </c>
      <c r="AT72" s="111" t="s">
        <v>314</v>
      </c>
    </row>
    <row r="73" ht="32.25" customHeight="1">
      <c r="A73" s="109">
        <v>69.0</v>
      </c>
      <c r="B73" s="238">
        <v>46184.0</v>
      </c>
      <c r="C73" s="210">
        <f t="shared" si="25"/>
        <v>46202</v>
      </c>
      <c r="D73" s="210">
        <f t="shared" si="15"/>
        <v>46209</v>
      </c>
      <c r="E73" s="255"/>
      <c r="F73" s="219" t="s">
        <v>561</v>
      </c>
      <c r="G73" s="219" t="s">
        <v>562</v>
      </c>
      <c r="H73" s="219" t="s">
        <v>304</v>
      </c>
      <c r="I73" s="219" t="s">
        <v>305</v>
      </c>
      <c r="J73" s="113" t="s">
        <v>690</v>
      </c>
      <c r="K73" s="212" t="s">
        <v>301</v>
      </c>
      <c r="L73" s="111" t="s">
        <v>691</v>
      </c>
      <c r="M73" s="243" t="str">
        <f t="array" ref="M73">IFERROR(XLOOKUP(L73,'2. DATA NL, VTBB'!C:C,'2. DATA NL, VTBB'!D:D),"")</f>
        <v>Thùng dùng chung 1kg x 20 gói (50x35x33.5cm) - Trắng viền đen</v>
      </c>
      <c r="N73" s="126"/>
      <c r="O73" s="126"/>
      <c r="P73" s="219" t="s">
        <v>672</v>
      </c>
      <c r="Q73" s="126" t="b">
        <v>0</v>
      </c>
      <c r="R73" s="219" t="s">
        <v>573</v>
      </c>
      <c r="S73" s="219" t="s">
        <v>574</v>
      </c>
      <c r="T73" s="113">
        <f t="shared" si="2"/>
        <v>1</v>
      </c>
      <c r="U73" s="219" t="s">
        <v>568</v>
      </c>
      <c r="V73" s="234">
        <f t="shared" si="16"/>
        <v>100</v>
      </c>
      <c r="W73" s="213" t="s">
        <v>303</v>
      </c>
      <c r="X73" s="114">
        <v>100.0</v>
      </c>
      <c r="Y73" s="256"/>
      <c r="Z73" s="114">
        <v>22500.0</v>
      </c>
      <c r="AA73" s="244">
        <v>0.08</v>
      </c>
      <c r="AB73" s="222">
        <f t="shared" si="17"/>
        <v>0</v>
      </c>
      <c r="AC73" s="122"/>
      <c r="AD73" s="248">
        <f t="shared" si="18"/>
        <v>46184</v>
      </c>
      <c r="AE73" s="251"/>
      <c r="AF73" s="226">
        <v>1.0</v>
      </c>
      <c r="AG73" s="126"/>
      <c r="AH73" s="222">
        <f>IFERROR(__xludf.DUMMYFUNCTION("IFERROR( INDEX( SORT(  FILTER(  {'1. DATA CHUNG'!$J$4:$J$105 , '1. DATA CHUNG'!$L$4:$L$105}, 
                (TRIM('1. DATA CHUNG'!$I$4:$I$105) = TRIM(K73)) * IF(SUMPRODUCT(('1. DATA CHUNG'!$I$4:$I$105=K73) * ('1. DATA CHUNG'!$M$4:$M$105=Q73)), '1. DATA "&amp;"CHUNG'!$M$4:$M$105=Q73, 1) * ('1. DATA CHUNG'!$L$4:$L$105 &lt;= TODAY()) ),    2, 0),  1, 1 ), 
    IFERROR( INDEX( FILTER( '1. DATA CHUNG'!$J$4:$J$105, 
                (TRIM('1. DATA CHUNG'!$I$4:$I$105) = TRIM(K73)) * IF(SUMPRODUCT(('1. DATA CHUNG'!$I$4:$I"&amp;"$105=K73) * ('1. DATA CHUNG'!$M$4:$M$105=Q73)), '1. DATA CHUNG'!$M$4:$M$105=Q73, 1) * ('1. DATA CHUNG'!$L$4:$L$105 = """") ),  1),  ""Không tìm thấy""))"),18.0)</f>
        <v>18</v>
      </c>
      <c r="AI73" s="245">
        <f t="shared" si="4"/>
        <v>46202</v>
      </c>
      <c r="AJ73" s="114">
        <v>35000.0</v>
      </c>
      <c r="AK73" s="222">
        <f t="shared" si="26"/>
        <v>105000</v>
      </c>
      <c r="AL73" s="229" t="str">
        <f t="shared" si="6"/>
        <v/>
      </c>
      <c r="AM73" s="229" t="str">
        <f t="shared" si="7"/>
        <v/>
      </c>
      <c r="AN73" s="230">
        <f t="shared" si="8"/>
        <v>0</v>
      </c>
      <c r="AO73" s="119" t="str">
        <f t="shared" si="9"/>
        <v>06/2026</v>
      </c>
      <c r="AP73" s="122" t="str">
        <f t="array" ref="AP73">IFERROR(XLOOKUP(L73,'2. DATA NL, VTBB'!C:C,'2. DATA NL, VTBB'!F:F),"")</f>
        <v>HH0310</v>
      </c>
      <c r="AQ73" s="226" t="s">
        <v>302</v>
      </c>
      <c r="AR73" s="241" t="str">
        <f t="array" ref="AR73">IFERROR(XLOOKUP(L73,'2. DATA NL, VTBB'!C:C,'2. DATA NL, VTBB'!G:G),"")</f>
        <v>IDA Global - I - 722 - Vua chim trĩ (chai HD)- 240ml - 40 ([btp],t)</v>
      </c>
      <c r="AS73" s="241" t="str">
        <f t="array" ref="AS73">IFERROR(XLOOKUP(L73,'2. DATA NL, VTBB'!C:C,'2. DATA NL, VTBB'!G:G),"")</f>
        <v>IDA Global - I - 722 - Vua chim trĩ (chai HD)- 240ml - 40 ([btp],t)</v>
      </c>
      <c r="AT73" s="111" t="s">
        <v>314</v>
      </c>
    </row>
    <row r="74" ht="32.25" customHeight="1">
      <c r="A74" s="109">
        <v>70.0</v>
      </c>
      <c r="B74" s="238">
        <v>46184.0</v>
      </c>
      <c r="C74" s="210">
        <f t="shared" si="25"/>
        <v>46202</v>
      </c>
      <c r="D74" s="210">
        <f t="shared" si="15"/>
        <v>46209</v>
      </c>
      <c r="E74" s="247">
        <v>46190.0</v>
      </c>
      <c r="F74" s="219" t="s">
        <v>561</v>
      </c>
      <c r="G74" s="219" t="s">
        <v>562</v>
      </c>
      <c r="H74" s="219" t="s">
        <v>304</v>
      </c>
      <c r="I74" s="219" t="s">
        <v>305</v>
      </c>
      <c r="J74" s="113" t="s">
        <v>692</v>
      </c>
      <c r="K74" s="212" t="s">
        <v>301</v>
      </c>
      <c r="L74" s="254" t="s">
        <v>691</v>
      </c>
      <c r="M74" s="243" t="str">
        <f t="array" ref="M74">IFERROR(XLOOKUP(L74,'2. DATA NL, VTBB'!C:C,'2. DATA NL, VTBB'!D:D),"")</f>
        <v>Thùng dùng chung 1kg x 20 gói (50x35x33.5cm) - Trắng viền đen</v>
      </c>
      <c r="N74" s="126"/>
      <c r="O74" s="126"/>
      <c r="P74" s="219" t="s">
        <v>672</v>
      </c>
      <c r="Q74" s="126" t="b">
        <v>0</v>
      </c>
      <c r="R74" s="219" t="s">
        <v>584</v>
      </c>
      <c r="S74" s="219" t="s">
        <v>574</v>
      </c>
      <c r="T74" s="113">
        <f t="shared" si="2"/>
        <v>1</v>
      </c>
      <c r="U74" s="219" t="s">
        <v>568</v>
      </c>
      <c r="V74" s="234">
        <f t="shared" si="16"/>
        <v>100</v>
      </c>
      <c r="W74" s="213" t="s">
        <v>303</v>
      </c>
      <c r="X74" s="114">
        <v>100.0</v>
      </c>
      <c r="Y74" s="251">
        <v>109.0</v>
      </c>
      <c r="Z74" s="114">
        <v>22500.0</v>
      </c>
      <c r="AA74" s="244">
        <v>0.08</v>
      </c>
      <c r="AB74" s="222">
        <f t="shared" si="17"/>
        <v>2648700</v>
      </c>
      <c r="AC74" s="122"/>
      <c r="AD74" s="248">
        <f t="shared" si="18"/>
        <v>46184</v>
      </c>
      <c r="AE74" s="251">
        <v>1.0</v>
      </c>
      <c r="AF74" s="226">
        <v>1.0</v>
      </c>
      <c r="AG74" s="126"/>
      <c r="AH74" s="222">
        <f>IFERROR(__xludf.DUMMYFUNCTION("IFERROR( INDEX( SORT(  FILTER(  {'1. DATA CHUNG'!$J$4:$J$105 , '1. DATA CHUNG'!$L$4:$L$105}, 
                (TRIM('1. DATA CHUNG'!$I$4:$I$105) = TRIM(K74)) * IF(SUMPRODUCT(('1. DATA CHUNG'!$I$4:$I$105=K74) * ('1. DATA CHUNG'!$M$4:$M$105=Q74)), '1. DATA "&amp;"CHUNG'!$M$4:$M$105=Q74, 1) * ('1. DATA CHUNG'!$L$4:$L$105 &lt;= TODAY()) ),    2, 0),  1, 1 ), 
    IFERROR( INDEX( FILTER( '1. DATA CHUNG'!$J$4:$J$105, 
                (TRIM('1. DATA CHUNG'!$I$4:$I$105) = TRIM(K74)) * IF(SUMPRODUCT(('1. DATA CHUNG'!$I$4:$I"&amp;"$105=K74) * ('1. DATA CHUNG'!$M$4:$M$105=Q74)), '1. DATA CHUNG'!$M$4:$M$105=Q74, 1) * ('1. DATA CHUNG'!$L$4:$L$105 = """") ),  1),  ""Không tìm thấy""))"),18.0)</f>
        <v>18</v>
      </c>
      <c r="AI74" s="245">
        <f t="shared" si="4"/>
        <v>46202</v>
      </c>
      <c r="AJ74" s="114">
        <v>35000.0</v>
      </c>
      <c r="AK74" s="222">
        <f t="shared" si="26"/>
        <v>35000</v>
      </c>
      <c r="AL74" s="229">
        <f t="shared" si="6"/>
        <v>19</v>
      </c>
      <c r="AM74" s="229">
        <f t="shared" si="7"/>
        <v>12</v>
      </c>
      <c r="AN74" s="230">
        <f t="shared" si="8"/>
        <v>0</v>
      </c>
      <c r="AO74" s="119" t="str">
        <f t="shared" si="9"/>
        <v>06/2026</v>
      </c>
      <c r="AP74" s="122" t="str">
        <f t="array" ref="AP74">IFERROR(XLOOKUP(L74,'2. DATA NL, VTBB'!C:C,'2. DATA NL, VTBB'!F:F),"")</f>
        <v>HH0310</v>
      </c>
      <c r="AQ74" s="226" t="s">
        <v>302</v>
      </c>
      <c r="AR74" s="241" t="str">
        <f t="array" ref="AR74">IFERROR(XLOOKUP(L74,'2. DATA NL, VTBB'!C:C,'2. DATA NL, VTBB'!G:G),"")</f>
        <v>IDA Global - I - 722 - Vua chim trĩ (chai HD)- 240ml - 40 ([btp],t)</v>
      </c>
      <c r="AS74" s="241" t="str">
        <f t="array" ref="AS74">IFERROR(XLOOKUP(L74,'2. DATA NL, VTBB'!C:C,'2. DATA NL, VTBB'!G:G),"")</f>
        <v>IDA Global - I - 722 - Vua chim trĩ (chai HD)- 240ml - 40 ([btp],t)</v>
      </c>
      <c r="AT74" s="111" t="s">
        <v>314</v>
      </c>
    </row>
    <row r="75" ht="32.25" customHeight="1">
      <c r="A75" s="109">
        <v>71.0</v>
      </c>
      <c r="B75" s="238">
        <v>46186.0</v>
      </c>
      <c r="C75" s="210">
        <f t="shared" si="25"/>
        <v>46204</v>
      </c>
      <c r="D75" s="210">
        <f t="shared" si="15"/>
        <v>46211</v>
      </c>
      <c r="E75" s="255"/>
      <c r="F75" s="219" t="s">
        <v>299</v>
      </c>
      <c r="G75" s="219" t="s">
        <v>562</v>
      </c>
      <c r="H75" s="219" t="s">
        <v>304</v>
      </c>
      <c r="I75" s="219" t="s">
        <v>305</v>
      </c>
      <c r="J75" s="113" t="s">
        <v>693</v>
      </c>
      <c r="K75" s="212" t="s">
        <v>301</v>
      </c>
      <c r="L75" s="111" t="s">
        <v>616</v>
      </c>
      <c r="M75" s="243" t="str">
        <f t="array" ref="M75">IFERROR(XLOOKUP(L75,'2. DATA NL, VTBB'!C:C,'2. DATA NL, VTBB'!D:D),"")</f>
        <v>Thùng Chai HD 500ml x 40 chai (60x38x20cm) - Thùng Trắng viền đen</v>
      </c>
      <c r="N75" s="126"/>
      <c r="O75" s="126"/>
      <c r="P75" s="219" t="s">
        <v>672</v>
      </c>
      <c r="Q75" s="126" t="b">
        <v>0</v>
      </c>
      <c r="R75" s="219" t="s">
        <v>566</v>
      </c>
      <c r="S75" s="219" t="s">
        <v>567</v>
      </c>
      <c r="T75" s="113">
        <f t="shared" si="2"/>
        <v>3</v>
      </c>
      <c r="U75" s="219" t="s">
        <v>568</v>
      </c>
      <c r="V75" s="234">
        <f t="shared" si="16"/>
        <v>300</v>
      </c>
      <c r="W75" s="213" t="s">
        <v>303</v>
      </c>
      <c r="X75" s="114">
        <v>300.0</v>
      </c>
      <c r="Y75" s="256"/>
      <c r="Z75" s="114">
        <v>22000.0</v>
      </c>
      <c r="AA75" s="244">
        <v>0.08</v>
      </c>
      <c r="AB75" s="222">
        <f t="shared" si="17"/>
        <v>0</v>
      </c>
      <c r="AC75" s="122"/>
      <c r="AD75" s="248">
        <f t="shared" si="18"/>
        <v>46186</v>
      </c>
      <c r="AE75" s="257"/>
      <c r="AF75" s="226">
        <v>1.0</v>
      </c>
      <c r="AG75" s="126"/>
      <c r="AH75" s="222">
        <f>IFERROR(__xludf.DUMMYFUNCTION("IFERROR( INDEX( SORT(  FILTER(  {'1. DATA CHUNG'!$J$4:$J$105 , '1. DATA CHUNG'!$L$4:$L$105}, 
                (TRIM('1. DATA CHUNG'!$I$4:$I$105) = TRIM(K75)) * IF(SUMPRODUCT(('1. DATA CHUNG'!$I$4:$I$105=K75) * ('1. DATA CHUNG'!$M$4:$M$105=Q75)), '1. DATA "&amp;"CHUNG'!$M$4:$M$105=Q75, 1) * ('1. DATA CHUNG'!$L$4:$L$105 &lt;= TODAY()) ),    2, 0),  1, 1 ), 
    IFERROR( INDEX( FILTER( '1. DATA CHUNG'!$J$4:$J$105, 
                (TRIM('1. DATA CHUNG'!$I$4:$I$105) = TRIM(K75)) * IF(SUMPRODUCT(('1. DATA CHUNG'!$I$4:$I"&amp;"$105=K75) * ('1. DATA CHUNG'!$M$4:$M$105=Q75)), '1. DATA CHUNG'!$M$4:$M$105=Q75, 1) * ('1. DATA CHUNG'!$L$4:$L$105 = """") ),  1),  ""Không tìm thấy""))"),18.0)</f>
        <v>18</v>
      </c>
      <c r="AI75" s="245">
        <f t="shared" si="4"/>
        <v>46204</v>
      </c>
      <c r="AJ75" s="114">
        <v>35000.0</v>
      </c>
      <c r="AK75" s="222">
        <f t="shared" si="26"/>
        <v>35000</v>
      </c>
      <c r="AL75" s="229" t="str">
        <f t="shared" si="6"/>
        <v/>
      </c>
      <c r="AM75" s="229" t="str">
        <f t="shared" si="7"/>
        <v/>
      </c>
      <c r="AN75" s="230">
        <f t="shared" si="8"/>
        <v>0</v>
      </c>
      <c r="AO75" s="119" t="str">
        <f t="shared" si="9"/>
        <v>06/2026</v>
      </c>
      <c r="AP75" s="122" t="str">
        <f t="array" ref="AP75">IFERROR(XLOOKUP(L75,'2. DATA NL, VTBB'!C:C,'2. DATA NL, VTBB'!F:F),"")</f>
        <v>HH0146</v>
      </c>
      <c r="AQ75" s="226" t="s">
        <v>302</v>
      </c>
      <c r="AR75" s="241" t="str">
        <f t="array" ref="AR75">IFERROR(XLOOKUP(L75,'2. DATA NL, VTBB'!C:C,'2. DATA NL, VTBB'!G:G),"")</f>
        <v>IDA Global - I - 530.2 - Sức mạnh Tricyclazole - New 35gr - 300</v>
      </c>
      <c r="AS75" s="241" t="str">
        <f t="array" ref="AS75">IFERROR(XLOOKUP(L75,'2. DATA NL, VTBB'!C:C,'2. DATA NL, VTBB'!G:G),"")</f>
        <v>IDA Global - I - 530.2 - Sức mạnh Tricyclazole - New 35gr - 300</v>
      </c>
      <c r="AT75" s="111" t="s">
        <v>314</v>
      </c>
    </row>
    <row r="76" ht="32.25" customHeight="1">
      <c r="A76" s="109">
        <v>72.0</v>
      </c>
      <c r="B76" s="238">
        <v>46186.0</v>
      </c>
      <c r="C76" s="210">
        <f t="shared" si="25"/>
        <v>46204</v>
      </c>
      <c r="D76" s="210">
        <f t="shared" si="15"/>
        <v>46211</v>
      </c>
      <c r="E76" s="255"/>
      <c r="F76" s="219" t="s">
        <v>299</v>
      </c>
      <c r="G76" s="219" t="s">
        <v>562</v>
      </c>
      <c r="H76" s="219" t="s">
        <v>304</v>
      </c>
      <c r="I76" s="219" t="s">
        <v>305</v>
      </c>
      <c r="J76" s="113" t="s">
        <v>693</v>
      </c>
      <c r="K76" s="212" t="s">
        <v>301</v>
      </c>
      <c r="L76" s="111" t="s">
        <v>694</v>
      </c>
      <c r="M76" s="243" t="str">
        <f t="array" ref="M76">IFERROR(XLOOKUP(L76,'2. DATA NL, VTBB'!C:C,'2. DATA NL, VTBB'!D:D),"")</f>
        <v>Thùng can 5 lít x 4 can (39*26*31.5cm) - Trắng</v>
      </c>
      <c r="N76" s="126"/>
      <c r="O76" s="126"/>
      <c r="P76" s="219" t="s">
        <v>672</v>
      </c>
      <c r="Q76" s="126" t="b">
        <v>0</v>
      </c>
      <c r="R76" s="219" t="s">
        <v>566</v>
      </c>
      <c r="S76" s="219" t="s">
        <v>567</v>
      </c>
      <c r="T76" s="113">
        <f t="shared" si="2"/>
        <v>1</v>
      </c>
      <c r="U76" s="219" t="s">
        <v>568</v>
      </c>
      <c r="V76" s="234">
        <f t="shared" si="16"/>
        <v>100</v>
      </c>
      <c r="W76" s="213" t="s">
        <v>303</v>
      </c>
      <c r="X76" s="114">
        <v>100.0</v>
      </c>
      <c r="Y76" s="256"/>
      <c r="Z76" s="114">
        <v>15300.0</v>
      </c>
      <c r="AA76" s="244">
        <v>0.08</v>
      </c>
      <c r="AB76" s="222">
        <f t="shared" si="17"/>
        <v>0</v>
      </c>
      <c r="AC76" s="122"/>
      <c r="AD76" s="248">
        <f t="shared" si="18"/>
        <v>46186</v>
      </c>
      <c r="AE76" s="257"/>
      <c r="AF76" s="226">
        <v>1.0</v>
      </c>
      <c r="AG76" s="126"/>
      <c r="AH76" s="222">
        <f>IFERROR(__xludf.DUMMYFUNCTION("IFERROR( INDEX( SORT(  FILTER(  {'1. DATA CHUNG'!$J$4:$J$105 , '1. DATA CHUNG'!$L$4:$L$105}, 
                (TRIM('1. DATA CHUNG'!$I$4:$I$105) = TRIM(K76)) * IF(SUMPRODUCT(('1. DATA CHUNG'!$I$4:$I$105=K76) * ('1. DATA CHUNG'!$M$4:$M$105=Q76)), '1. DATA "&amp;"CHUNG'!$M$4:$M$105=Q76, 1) * ('1. DATA CHUNG'!$L$4:$L$105 &lt;= TODAY()) ),    2, 0),  1, 1 ), 
    IFERROR( INDEX( FILTER( '1. DATA CHUNG'!$J$4:$J$105, 
                (TRIM('1. DATA CHUNG'!$I$4:$I$105) = TRIM(K76)) * IF(SUMPRODUCT(('1. DATA CHUNG'!$I$4:$I"&amp;"$105=K76) * ('1. DATA CHUNG'!$M$4:$M$105=Q76)), '1. DATA CHUNG'!$M$4:$M$105=Q76, 1) * ('1. DATA CHUNG'!$L$4:$L$105 = """") ),  1),  ""Không tìm thấy""))"),18.0)</f>
        <v>18</v>
      </c>
      <c r="AI76" s="245">
        <f t="shared" si="4"/>
        <v>46204</v>
      </c>
      <c r="AJ76" s="114">
        <v>35000.0</v>
      </c>
      <c r="AK76" s="222">
        <f t="shared" si="26"/>
        <v>105000</v>
      </c>
      <c r="AL76" s="229" t="str">
        <f t="shared" si="6"/>
        <v/>
      </c>
      <c r="AM76" s="229" t="str">
        <f t="shared" si="7"/>
        <v/>
      </c>
      <c r="AN76" s="230">
        <f t="shared" si="8"/>
        <v>0</v>
      </c>
      <c r="AO76" s="119" t="str">
        <f t="shared" si="9"/>
        <v>06/2026</v>
      </c>
      <c r="AP76" s="122" t="str">
        <f t="array" ref="AP76">IFERROR(XLOOKUP(L76,'2. DATA NL, VTBB'!C:C,'2. DATA NL, VTBB'!F:F),"")</f>
        <v>HH0043</v>
      </c>
      <c r="AQ76" s="226" t="s">
        <v>302</v>
      </c>
      <c r="AR76" s="241" t="str">
        <f t="array" ref="AR76">IFERROR(XLOOKUP(L76,'2. DATA NL, VTBB'!C:C,'2. DATA NL, VTBB'!G:G),"")</f>
        <v>GC - II - 357 - AK - T-AK02 - 500ml - 40</v>
      </c>
      <c r="AS76" s="241" t="str">
        <f t="array" ref="AS76">IFERROR(XLOOKUP(L76,'2. DATA NL, VTBB'!C:C,'2. DATA NL, VTBB'!G:G),"")</f>
        <v>GC - II - 357 - AK - T-AK02 - 500ml - 40</v>
      </c>
      <c r="AT76" s="111" t="s">
        <v>314</v>
      </c>
    </row>
  </sheetData>
  <customSheetViews>
    <customSheetView guid="{04F31CAD-6FA3-47C3-8F93-9335FAE89CAE}" filter="1" showAutoFilter="1">
      <autoFilter ref="$A$4:$AT$33"/>
    </customSheetView>
    <customSheetView guid="{F78D5D96-DFA3-4174-ADE0-F17D313665BE}" filter="1" showAutoFilter="1">
      <autoFilter ref="$A$4:$AT$76">
        <filterColumn colId="11">
          <filters>
            <filter val="THC0077"/>
            <filter val="THC0138"/>
            <filter val="THC0310"/>
            <filter val="THC0043"/>
            <filter val="THC0262"/>
            <filter val="THC0162"/>
            <filter val="THC0309"/>
            <filter val="THC0308"/>
            <filter val="THC0307"/>
            <filter val="THC0306"/>
            <filter val="THC0304"/>
            <filter val="THC0303"/>
            <filter val="VT00035"/>
            <filter val="THC0265"/>
          </filters>
        </filterColumn>
      </autoFilter>
    </customSheetView>
  </customSheetViews>
  <conditionalFormatting sqref="AN5:AN76">
    <cfRule type="expression" dxfId="5" priority="1">
      <formula>AN5 &gt; 0</formula>
    </cfRule>
  </conditionalFormatting>
  <conditionalFormatting sqref="AL5:AM76">
    <cfRule type="expression" dxfId="6" priority="2">
      <formula>AL5&lt;0</formula>
    </cfRule>
  </conditionalFormatting>
  <conditionalFormatting sqref="AL5:AL76">
    <cfRule type="expression" dxfId="6" priority="3">
      <formula>AL5&lt;0</formula>
    </cfRule>
  </conditionalFormatting>
  <conditionalFormatting sqref="D5:D76">
    <cfRule type="expression" dxfId="7" priority="4">
      <formula>IF(B5="", " ", AND(B5-TODAY()&lt;=-3, D5=""))</formula>
    </cfRule>
  </conditionalFormatting>
  <dataValidations>
    <dataValidation type="list" allowBlank="1" showErrorMessage="1" sqref="AA24:AA76">
      <formula1>'1. DATA CHUNG'!$AI$4:$AI76</formula1>
    </dataValidation>
    <dataValidation type="list" allowBlank="1" showErrorMessage="1" sqref="G5:I76 K5:L76 R5:S76 U5:U76 W5:W76 AT5:AT76">
      <formula1>#REF!</formula1>
    </dataValidation>
    <dataValidation type="custom" allowBlank="1" showDropDown="1" showInputMessage="1" showErrorMessage="1" prompt="Nhập ngày hợp lệ" sqref="B5:E26 B27:D27 B28:E76 AD5:AD76">
      <formula1>OR(NOT(ISERROR(DATEVALUE(B5))), AND(ISNUMBER(B5), LEFT(CELL("format", B5))="D"))</formula1>
    </dataValidation>
    <dataValidation type="custom" allowBlank="1" showDropDown="1" sqref="AI5:AI76">
      <formula1>OR(NOT(ISERROR(DATEVALUE(AI5))), AND(ISNUMBER(AI5), LEFT(CELL("format", AI5))="D"))</formula1>
    </dataValidation>
    <dataValidation type="custom" allowBlank="1" showDropDown="1" sqref="V5:V76 X5:X76 Z5:Z76 AB5:AB76 AH5:AH76 AJ5:AM76">
      <formula1>AND(ISNUMBER(V5),(NOT(OR(NOT(ISERROR(DATEVALUE(V5))), AND(ISNUMBER(V5), LEFT(CELL("format", V5))="D")))))</formula1>
    </dataValidation>
    <dataValidation type="list" allowBlank="1" showErrorMessage="1" sqref="AA5:AA23">
      <formula1>"8%,10%"</formula1>
    </dataValidation>
    <dataValidation type="list" allowBlank="1" showInputMessage="1" showErrorMessage="1" prompt="Nhấp và nhập một giá trị trong dải ô" sqref="F5:F76">
      <formula1>#REF!</formula1>
    </dataValidation>
    <dataValidation allowBlank="1" showDropDown="1" sqref="AO5:AO76"/>
    <dataValidation type="list" allowBlank="1" showErrorMessage="1" sqref="P5:P76">
      <formula1>#REF!</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8.63"/>
    <col customWidth="1" min="6" max="6" width="19.88"/>
    <col customWidth="1" min="7" max="7" width="19.25"/>
    <col customWidth="1" min="8" max="8" width="16.38"/>
    <col customWidth="1" min="9" max="9" width="18.38"/>
    <col customWidth="1" min="10" max="10" width="14.25"/>
    <col customWidth="1" min="11" max="11" width="14.75"/>
    <col customWidth="1" min="12" max="12" width="17.63"/>
    <col customWidth="1" min="13" max="13" width="39.75"/>
    <col customWidth="1" min="14" max="14" width="20.63"/>
    <col customWidth="1" min="15" max="15" width="37.13"/>
    <col customWidth="1" min="16" max="16" width="18.88"/>
    <col customWidth="1" min="18" max="18" width="14.0"/>
    <col customWidth="1" min="19" max="19" width="15.75"/>
    <col customWidth="1" min="25" max="25" width="13.0"/>
    <col customWidth="1" min="29" max="29" width="17.38"/>
    <col customWidth="1" min="31" max="31" width="10.38"/>
    <col customWidth="1" min="32" max="32" width="11.63"/>
    <col customWidth="1" min="33" max="33" width="22.25"/>
    <col customWidth="1" min="34" max="34" width="19.75"/>
    <col customWidth="1" min="38" max="38" width="15.88"/>
    <col customWidth="1" min="40" max="40" width="13.38"/>
    <col customWidth="1" min="43" max="43" width="17.63"/>
    <col customWidth="1" min="44" max="44" width="30.13"/>
    <col customWidth="1" min="45" max="45" width="26.5"/>
    <col customWidth="1" min="46" max="46" width="25.13"/>
  </cols>
  <sheetData>
    <row r="1" ht="14.25" customHeight="1">
      <c r="A1" s="91" t="s">
        <v>258</v>
      </c>
      <c r="B1" s="91" t="s">
        <v>259</v>
      </c>
      <c r="C1" s="91" t="s">
        <v>259</v>
      </c>
      <c r="D1" s="91" t="s">
        <v>259</v>
      </c>
      <c r="E1" s="91" t="s">
        <v>259</v>
      </c>
      <c r="F1" s="91" t="s">
        <v>259</v>
      </c>
      <c r="G1" s="91" t="s">
        <v>259</v>
      </c>
      <c r="H1" s="91" t="s">
        <v>259</v>
      </c>
      <c r="I1" s="91" t="s">
        <v>259</v>
      </c>
      <c r="J1" s="91" t="s">
        <v>261</v>
      </c>
      <c r="K1" s="91" t="s">
        <v>259</v>
      </c>
      <c r="L1" s="91" t="s">
        <v>259</v>
      </c>
      <c r="M1" s="91" t="s">
        <v>258</v>
      </c>
      <c r="N1" s="91" t="s">
        <v>261</v>
      </c>
      <c r="O1" s="91" t="s">
        <v>470</v>
      </c>
      <c r="P1" s="91" t="s">
        <v>259</v>
      </c>
      <c r="Q1" s="91" t="s">
        <v>259</v>
      </c>
      <c r="R1" s="91" t="s">
        <v>259</v>
      </c>
      <c r="S1" s="91" t="s">
        <v>259</v>
      </c>
      <c r="T1" s="91" t="s">
        <v>261</v>
      </c>
      <c r="U1" s="91" t="s">
        <v>259</v>
      </c>
      <c r="V1" s="201" t="s">
        <v>261</v>
      </c>
      <c r="W1" s="91" t="s">
        <v>259</v>
      </c>
      <c r="X1" s="201" t="s">
        <v>261</v>
      </c>
      <c r="Y1" s="91" t="s">
        <v>261</v>
      </c>
      <c r="Z1" s="201" t="s">
        <v>261</v>
      </c>
      <c r="AA1" s="91" t="s">
        <v>259</v>
      </c>
      <c r="AB1" s="201" t="s">
        <v>258</v>
      </c>
      <c r="AC1" s="91" t="s">
        <v>261</v>
      </c>
      <c r="AD1" s="91" t="s">
        <v>259</v>
      </c>
      <c r="AE1" s="91" t="s">
        <v>261</v>
      </c>
      <c r="AF1" s="91" t="s">
        <v>261</v>
      </c>
      <c r="AG1" s="91" t="s">
        <v>261</v>
      </c>
      <c r="AH1" s="91" t="s">
        <v>258</v>
      </c>
      <c r="AI1" s="258" t="s">
        <v>258</v>
      </c>
      <c r="AJ1" s="259" t="s">
        <v>261</v>
      </c>
      <c r="AK1" s="260" t="s">
        <v>258</v>
      </c>
      <c r="AL1" s="258" t="s">
        <v>258</v>
      </c>
      <c r="AM1" s="258" t="s">
        <v>258</v>
      </c>
      <c r="AN1" s="258" t="s">
        <v>258</v>
      </c>
      <c r="AO1" s="203" t="s">
        <v>258</v>
      </c>
      <c r="AP1" s="91" t="s">
        <v>258</v>
      </c>
      <c r="AQ1" s="91" t="s">
        <v>471</v>
      </c>
      <c r="AR1" s="91" t="s">
        <v>258</v>
      </c>
      <c r="AS1" s="91" t="s">
        <v>258</v>
      </c>
      <c r="AT1" s="91" t="s">
        <v>472</v>
      </c>
    </row>
    <row r="2" ht="49.5" customHeight="1">
      <c r="A2" s="91" t="s">
        <v>473</v>
      </c>
      <c r="B2" s="91" t="s">
        <v>474</v>
      </c>
      <c r="C2" s="91" t="s">
        <v>475</v>
      </c>
      <c r="D2" s="91" t="s">
        <v>476</v>
      </c>
      <c r="E2" s="91" t="s">
        <v>477</v>
      </c>
      <c r="F2" s="91" t="s">
        <v>478</v>
      </c>
      <c r="G2" s="91" t="s">
        <v>479</v>
      </c>
      <c r="H2" s="91" t="s">
        <v>480</v>
      </c>
      <c r="I2" s="91" t="s">
        <v>481</v>
      </c>
      <c r="J2" s="91" t="s">
        <v>482</v>
      </c>
      <c r="K2" s="91" t="s">
        <v>483</v>
      </c>
      <c r="L2" s="91" t="s">
        <v>484</v>
      </c>
      <c r="M2" s="91" t="s">
        <v>485</v>
      </c>
      <c r="N2" s="91" t="s">
        <v>486</v>
      </c>
      <c r="O2" s="91" t="s">
        <v>487</v>
      </c>
      <c r="P2" s="91" t="s">
        <v>488</v>
      </c>
      <c r="Q2" s="91" t="s">
        <v>489</v>
      </c>
      <c r="R2" s="91" t="s">
        <v>490</v>
      </c>
      <c r="S2" s="91" t="s">
        <v>491</v>
      </c>
      <c r="T2" s="91" t="s">
        <v>492</v>
      </c>
      <c r="U2" s="91" t="s">
        <v>493</v>
      </c>
      <c r="V2" s="201" t="s">
        <v>494</v>
      </c>
      <c r="W2" s="91" t="s">
        <v>495</v>
      </c>
      <c r="X2" s="201" t="s">
        <v>496</v>
      </c>
      <c r="Y2" s="91" t="s">
        <v>497</v>
      </c>
      <c r="Z2" s="201" t="s">
        <v>498</v>
      </c>
      <c r="AA2" s="91" t="s">
        <v>499</v>
      </c>
      <c r="AB2" s="201" t="s">
        <v>500</v>
      </c>
      <c r="AC2" s="91" t="s">
        <v>501</v>
      </c>
      <c r="AD2" s="91" t="s">
        <v>502</v>
      </c>
      <c r="AE2" s="91" t="s">
        <v>503</v>
      </c>
      <c r="AF2" s="91" t="s">
        <v>504</v>
      </c>
      <c r="AG2" s="91" t="s">
        <v>505</v>
      </c>
      <c r="AH2" s="91" t="s">
        <v>506</v>
      </c>
      <c r="AI2" s="258" t="s">
        <v>507</v>
      </c>
      <c r="AJ2" s="259" t="s">
        <v>508</v>
      </c>
      <c r="AK2" s="260" t="s">
        <v>509</v>
      </c>
      <c r="AL2" s="258" t="s">
        <v>510</v>
      </c>
      <c r="AM2" s="258" t="s">
        <v>511</v>
      </c>
      <c r="AN2" s="258" t="s">
        <v>512</v>
      </c>
      <c r="AO2" s="203" t="s">
        <v>513</v>
      </c>
      <c r="AP2" s="91" t="s">
        <v>514</v>
      </c>
      <c r="AQ2" s="91" t="s">
        <v>515</v>
      </c>
      <c r="AR2" s="91" t="s">
        <v>516</v>
      </c>
      <c r="AS2" s="91" t="s">
        <v>517</v>
      </c>
      <c r="AT2" s="91" t="s">
        <v>518</v>
      </c>
    </row>
    <row r="3" ht="50.25" customHeight="1">
      <c r="A3" s="261" t="s">
        <v>263</v>
      </c>
      <c r="B3" s="261" t="s">
        <v>264</v>
      </c>
      <c r="C3" s="261" t="s">
        <v>520</v>
      </c>
      <c r="D3" s="261" t="s">
        <v>695</v>
      </c>
      <c r="E3" s="261" t="s">
        <v>522</v>
      </c>
      <c r="F3" s="261" t="s">
        <v>523</v>
      </c>
      <c r="G3" s="261" t="s">
        <v>524</v>
      </c>
      <c r="H3" s="262" t="s">
        <v>273</v>
      </c>
      <c r="I3" s="263" t="s">
        <v>525</v>
      </c>
      <c r="J3" s="261" t="s">
        <v>526</v>
      </c>
      <c r="K3" s="261" t="s">
        <v>527</v>
      </c>
      <c r="L3" s="261" t="s">
        <v>528</v>
      </c>
      <c r="M3" s="261" t="s">
        <v>529</v>
      </c>
      <c r="N3" s="261" t="s">
        <v>530</v>
      </c>
      <c r="O3" s="261" t="s">
        <v>531</v>
      </c>
      <c r="P3" s="261" t="s">
        <v>532</v>
      </c>
      <c r="Q3" s="261" t="s">
        <v>533</v>
      </c>
      <c r="R3" s="261" t="s">
        <v>534</v>
      </c>
      <c r="S3" s="261" t="s">
        <v>535</v>
      </c>
      <c r="T3" s="261" t="s">
        <v>536</v>
      </c>
      <c r="U3" s="261" t="s">
        <v>537</v>
      </c>
      <c r="V3" s="264" t="s">
        <v>538</v>
      </c>
      <c r="W3" s="261" t="s">
        <v>271</v>
      </c>
      <c r="X3" s="264" t="s">
        <v>539</v>
      </c>
      <c r="Y3" s="263" t="s">
        <v>540</v>
      </c>
      <c r="Z3" s="264" t="s">
        <v>541</v>
      </c>
      <c r="AA3" s="262" t="s">
        <v>377</v>
      </c>
      <c r="AB3" s="264" t="s">
        <v>542</v>
      </c>
      <c r="AC3" s="261" t="s">
        <v>543</v>
      </c>
      <c r="AD3" s="261" t="s">
        <v>544</v>
      </c>
      <c r="AE3" s="261" t="s">
        <v>545</v>
      </c>
      <c r="AF3" s="263" t="s">
        <v>546</v>
      </c>
      <c r="AG3" s="261" t="s">
        <v>547</v>
      </c>
      <c r="AH3" s="265" t="s">
        <v>548</v>
      </c>
      <c r="AI3" s="266" t="s">
        <v>549</v>
      </c>
      <c r="AJ3" s="267" t="s">
        <v>550</v>
      </c>
      <c r="AK3" s="268" t="s">
        <v>551</v>
      </c>
      <c r="AL3" s="267" t="s">
        <v>552</v>
      </c>
      <c r="AM3" s="267" t="s">
        <v>553</v>
      </c>
      <c r="AN3" s="269" t="s">
        <v>554</v>
      </c>
      <c r="AO3" s="270" t="s">
        <v>555</v>
      </c>
      <c r="AP3" s="261" t="s">
        <v>556</v>
      </c>
      <c r="AQ3" s="261" t="s">
        <v>557</v>
      </c>
      <c r="AR3" s="261" t="s">
        <v>558</v>
      </c>
      <c r="AS3" s="261" t="s">
        <v>559</v>
      </c>
      <c r="AT3" s="271" t="s">
        <v>560</v>
      </c>
    </row>
    <row r="4" ht="30.75" customHeight="1">
      <c r="A4" s="272">
        <f>ROW(A5)-2</f>
        <v>3</v>
      </c>
      <c r="B4" s="273">
        <v>45979.0</v>
      </c>
      <c r="C4" s="273">
        <v>45986.0</v>
      </c>
      <c r="D4" s="273">
        <f t="shared" ref="D4:D17" si="1">B4+15</f>
        <v>45994</v>
      </c>
      <c r="E4" s="273">
        <f>B4+10</f>
        <v>45989</v>
      </c>
      <c r="F4" s="274" t="s">
        <v>561</v>
      </c>
      <c r="G4" s="274" t="s">
        <v>696</v>
      </c>
      <c r="H4" s="274" t="s">
        <v>304</v>
      </c>
      <c r="I4" s="275" t="s">
        <v>305</v>
      </c>
      <c r="J4" s="276"/>
      <c r="K4" s="275" t="s">
        <v>301</v>
      </c>
      <c r="L4" s="277" t="s">
        <v>697</v>
      </c>
      <c r="M4" s="278" t="str">
        <f t="array" ref="M4">IFERROR(XLOOKUP(L4,'2. DATA NL, VTBB'!C:C,'2. DATA NL, VTBB'!D:D),"")</f>
        <v>Thùng NEWTEX Chai PET tam giác 240ml x 40 chai (47.7x30x16cm) - Trắng viền cam</v>
      </c>
      <c r="N4" s="279"/>
      <c r="O4" s="280" t="str">
        <f t="array" ref="O4">IFERROR( XLOOKUP(L4,'2. DATA NL, VTBB'!C:C,'2. DATA NL, VTBB'!E:E),"")</f>
        <v>Mekongvil 5SC</v>
      </c>
      <c r="P4" s="275" t="s">
        <v>565</v>
      </c>
      <c r="Q4" s="274" t="b">
        <v>0</v>
      </c>
      <c r="R4" s="281" t="s">
        <v>698</v>
      </c>
      <c r="S4" s="279"/>
      <c r="T4" s="279"/>
      <c r="U4" s="279"/>
      <c r="V4" s="282">
        <v>100.0</v>
      </c>
      <c r="W4" s="275" t="s">
        <v>699</v>
      </c>
      <c r="X4" s="282">
        <v>100.0</v>
      </c>
      <c r="Y4" s="283">
        <v>104.0</v>
      </c>
      <c r="Z4" s="284">
        <v>15800.0</v>
      </c>
      <c r="AA4" s="285">
        <v>0.08</v>
      </c>
      <c r="AB4" s="282">
        <v>1774656.0</v>
      </c>
      <c r="AC4" s="277"/>
      <c r="AD4" s="273">
        <v>45979.0</v>
      </c>
      <c r="AE4" s="279">
        <v>1860.0</v>
      </c>
      <c r="AF4" s="277"/>
      <c r="AG4" s="277"/>
      <c r="AH4" s="286">
        <f>IFERROR(__xludf.DUMMYFUNCTION("IFERROR(INDEX( SORT(FILTER(
        {'1. DATA CHUNG'!$J$4:$J$105 , '1. DATA CHUNG'!$L$4:$L$105}, (TRIM('1. DATA CHUNG'!$I$4:$I$105)=TRIM(K4)) * IF(COUNTIFS('1. DATA CHUNG'!$I$4:$I$105,K4,'1. DATA CHUNG'!$M$4:$M$105,Q4), '1. DATA CHUNG'!$M$4:$M$105=Q4, 1) "&amp;"* ('1. DATA CHUNG'!$L$4:$L$105&lt;=TODAY()) ),   2, 0),  1, 1), 
  IFERROR( INDEX(FILTER('1. DATA CHUNG'!$J$4:$J$105, (TRIM('1. DATA CHUNG'!$I$4:$I$105)=TRIM(K4)) * IF(COUNTIFS('1. DATA CHUNG'!$I$4:$I$105,K4,'1. DATA CHUNG'!$M$4:$M$105,Q4), '1. DATA CHUNG'!$"&amp;"M$4:$M$105=Q4, 1) * ('1. DATA CHUNG'!$L$4:$L$105="""")), 1), ""Không tìm thấy"" ))"),18.0)</f>
        <v>18</v>
      </c>
      <c r="AI4" s="273">
        <f t="shared" ref="AI4:AI508" si="2">IFERROR( IF(OR(B4="", AH4="0"), "",B4+AH4),"")</f>
        <v>45997</v>
      </c>
      <c r="AJ4" s="287"/>
      <c r="AK4" s="286">
        <f t="shared" ref="AK4:AK508" si="3">T4*AJ4</f>
        <v>0</v>
      </c>
      <c r="AL4" s="287">
        <f t="shared" ref="AL4:AL508" si="4">IFERROR( IF(OR(D4="", E4=""), "", D4-E4),"")</f>
        <v>5</v>
      </c>
      <c r="AM4" s="287">
        <f t="shared" ref="AM4:AM508" si="5">IFERROR( IF(OR(AI4="", E4=""), "", AI4-E4),"")</f>
        <v>8</v>
      </c>
      <c r="AN4" s="279">
        <f t="shared" ref="AN4:AN508" si="6">IF(OR(AI4="", C4=""), "",AI4-C4)</f>
        <v>11</v>
      </c>
      <c r="AO4" s="288" t="str">
        <f t="shared" ref="AO4:AO466" si="7">IF(B4="", "", TEXT(B4, "mm/yyyy"))</f>
        <v>11/2025</v>
      </c>
      <c r="AP4" s="272" t="str">
        <f t="array" ref="AP4">IFERROR(XLOOKUP(L4,'2. DATA NL, VTBB'!C:C,'2. DATA NL, VTBB'!F:F),"")</f>
        <v>HH0252</v>
      </c>
      <c r="AQ4" s="277" t="str">
        <f t="array" ref="AQ4">IF(OR(K4="Nhãn", K4="Nhãn thùng",K4="Nhãn Túi"), K4 &amp; " " &amp; IFERROR(XLOOKUP(L4, '2. DATA NL, VTBB'!C:C, '2. DATA NL, VTBB'!E:E), ""), "")</f>
        <v/>
      </c>
      <c r="AR4" s="278" t="str">
        <f t="array" ref="AR4">IFERROR(XLOOKUP(L4,'2. DATA NL, VTBB'!C:C,'2. DATA NL, VTBB'!G:G),"")</f>
        <v>GC - II - 670 - Châu Giang - Mekongvil 5SC (chai HD) - 1L - 20</v>
      </c>
      <c r="AS4" s="278" t="str">
        <f t="array" ref="AS4">IFERROR(XLOOKUP(L4,'2. DATA NL, VTBB'!C:C,'2. DATA NL, VTBB'!G:G),"")</f>
        <v>GC - II - 670 - Châu Giang - Mekongvil 5SC (chai HD) - 1L - 20</v>
      </c>
      <c r="AT4" s="279"/>
    </row>
    <row r="5" ht="30.75" customHeight="1">
      <c r="A5" s="272">
        <f t="shared" ref="A5:A6" si="8">ROW(A3)-2</f>
        <v>1</v>
      </c>
      <c r="B5" s="273">
        <v>45980.0</v>
      </c>
      <c r="C5" s="273">
        <v>45987.0</v>
      </c>
      <c r="D5" s="273">
        <f t="shared" si="1"/>
        <v>45995</v>
      </c>
      <c r="E5" s="289">
        <v>45993.0</v>
      </c>
      <c r="F5" s="274" t="s">
        <v>561</v>
      </c>
      <c r="G5" s="275" t="s">
        <v>562</v>
      </c>
      <c r="H5" s="274" t="s">
        <v>304</v>
      </c>
      <c r="I5" s="275" t="s">
        <v>305</v>
      </c>
      <c r="J5" s="279" t="s">
        <v>700</v>
      </c>
      <c r="K5" s="275" t="s">
        <v>301</v>
      </c>
      <c r="L5" s="277" t="s">
        <v>701</v>
      </c>
      <c r="M5" s="278" t="str">
        <f t="array" ref="M5">IFERROR(XLOOKUP(L5,'2. DATA NL, VTBB'!C:C,'2. DATA NL, VTBB'!D:D),"")</f>
        <v>Thùng DONA VINA Chai HD Vuông 500ml x 40 chai (47x35.5x19cm) - Trắng xanh lá đỏ</v>
      </c>
      <c r="N5" s="279"/>
      <c r="O5" s="280" t="str">
        <f t="array" ref="O5">IFERROR( XLOOKUP(L5,'2. DATA NL, VTBB'!C:C,'2. DATA NL, VTBB'!E:E),"")</f>
        <v>Mekongvil 5SC</v>
      </c>
      <c r="P5" s="275" t="s">
        <v>565</v>
      </c>
      <c r="Q5" s="274" t="b">
        <v>0</v>
      </c>
      <c r="R5" s="290" t="s">
        <v>566</v>
      </c>
      <c r="S5" s="279"/>
      <c r="T5" s="279"/>
      <c r="U5" s="279"/>
      <c r="V5" s="282">
        <v>100.0</v>
      </c>
      <c r="W5" s="275" t="s">
        <v>699</v>
      </c>
      <c r="X5" s="282">
        <v>100.0</v>
      </c>
      <c r="Y5" s="283">
        <v>105.0</v>
      </c>
      <c r="Z5" s="284">
        <v>18600.0</v>
      </c>
      <c r="AA5" s="285">
        <v>0.08</v>
      </c>
      <c r="AB5" s="282">
        <v>2109240.0</v>
      </c>
      <c r="AC5" s="277"/>
      <c r="AD5" s="273">
        <v>45980.0</v>
      </c>
      <c r="AE5" s="279">
        <v>1899.0</v>
      </c>
      <c r="AF5" s="277"/>
      <c r="AG5" s="277"/>
      <c r="AH5" s="286">
        <f>IFERROR(__xludf.DUMMYFUNCTION("IFERROR(INDEX( SORT(FILTER(
        {'1. DATA CHUNG'!$J$4:$J$105 , '1. DATA CHUNG'!$L$4:$L$105}, (TRIM('1. DATA CHUNG'!$I$4:$I$105)=TRIM(K5)) * IF(COUNTIFS('1. DATA CHUNG'!$I$4:$I$105,K5,'1. DATA CHUNG'!$M$4:$M$105,Q5), '1. DATA CHUNG'!$M$4:$M$105=Q5, 1) "&amp;"* ('1. DATA CHUNG'!$L$4:$L$105&lt;=TODAY()) ),   2, 0),  1, 1), 
  IFERROR( INDEX(FILTER('1. DATA CHUNG'!$J$4:$J$105, (TRIM('1. DATA CHUNG'!$I$4:$I$105)=TRIM(K5)) * IF(COUNTIFS('1. DATA CHUNG'!$I$4:$I$105,K5,'1. DATA CHUNG'!$M$4:$M$105,Q5), '1. DATA CHUNG'!$"&amp;"M$4:$M$105=Q5, 1) * ('1. DATA CHUNG'!$L$4:$L$105="""")), 1), ""Không tìm thấy"" ))"),18.0)</f>
        <v>18</v>
      </c>
      <c r="AI5" s="273">
        <f t="shared" si="2"/>
        <v>45998</v>
      </c>
      <c r="AJ5" s="287"/>
      <c r="AK5" s="286">
        <f t="shared" si="3"/>
        <v>0</v>
      </c>
      <c r="AL5" s="287">
        <f t="shared" si="4"/>
        <v>2</v>
      </c>
      <c r="AM5" s="287">
        <f t="shared" si="5"/>
        <v>5</v>
      </c>
      <c r="AN5" s="279">
        <f t="shared" si="6"/>
        <v>11</v>
      </c>
      <c r="AO5" s="288" t="str">
        <f t="shared" si="7"/>
        <v>11/2025</v>
      </c>
      <c r="AP5" s="277" t="str">
        <f t="array" ref="AP5">IFERROR(XLOOKUP(L5,'2. DATA NL, VTBB'!C:C,'2. DATA NL, VTBB'!F:F),"")</f>
        <v>HH0251</v>
      </c>
      <c r="AQ5" s="277" t="str">
        <f t="array" ref="AQ5">IF(OR(K5="Nhãn", K5="Nhãn thùng",K5="Nhãn Túi"), K5 &amp; " " &amp; IFERROR(XLOOKUP(L5, '2. DATA NL, VTBB'!C:C, '2. DATA NL, VTBB'!E:E), ""), "")</f>
        <v/>
      </c>
      <c r="AR5" s="278" t="str">
        <f t="array" ref="AR5">IFERROR(XLOOKUP(L5,'2. DATA NL, VTBB'!C:C,'2. DATA NL, VTBB'!G:G),"")</f>
        <v>GC - II - 669 - A Hoài - Annvil Duc (Chai HD cao cấp) - 1L - 20</v>
      </c>
      <c r="AS5" s="278" t="str">
        <f t="array" ref="AS5">IFERROR(XLOOKUP(L5,'2. DATA NL, VTBB'!C:C,'2. DATA NL, VTBB'!G:G),"")</f>
        <v>GC - II - 669 - A Hoài - Annvil Duc (Chai HD cao cấp) - 1L - 20</v>
      </c>
      <c r="AT5" s="279"/>
    </row>
    <row r="6" ht="30.75" customHeight="1">
      <c r="A6" s="272">
        <f t="shared" si="8"/>
        <v>2</v>
      </c>
      <c r="B6" s="273">
        <v>45985.0</v>
      </c>
      <c r="C6" s="273">
        <v>45992.0</v>
      </c>
      <c r="D6" s="273">
        <f t="shared" si="1"/>
        <v>46000</v>
      </c>
      <c r="E6" s="273">
        <f t="shared" ref="E6:E10" si="9">B6+10</f>
        <v>45995</v>
      </c>
      <c r="F6" s="274" t="s">
        <v>561</v>
      </c>
      <c r="G6" s="275" t="s">
        <v>696</v>
      </c>
      <c r="H6" s="274" t="s">
        <v>304</v>
      </c>
      <c r="I6" s="275" t="s">
        <v>305</v>
      </c>
      <c r="J6" s="279" t="s">
        <v>702</v>
      </c>
      <c r="K6" s="275" t="s">
        <v>301</v>
      </c>
      <c r="L6" s="277" t="s">
        <v>703</v>
      </c>
      <c r="M6" s="278" t="str">
        <f t="array" ref="M6">IFERROR(XLOOKUP(L6,'2. DATA NL, VTBB'!C:C,'2. DATA NL, VTBB'!D:D),"")</f>
        <v>Thùng NHP Chai 250ml x 40 chai (53.5x33.5x15.5cm) - Trắng viền xanh dương đỏ</v>
      </c>
      <c r="N6" s="279"/>
      <c r="O6" s="280" t="str">
        <f t="array" ref="O6">IFERROR( XLOOKUP(L6,'2. DATA NL, VTBB'!C:C,'2. DATA NL, VTBB'!E:E),"")</f>
        <v>Tikabamec 3.6EC</v>
      </c>
      <c r="P6" s="275" t="s">
        <v>565</v>
      </c>
      <c r="Q6" s="274" t="b">
        <v>0</v>
      </c>
      <c r="R6" s="291" t="s">
        <v>573</v>
      </c>
      <c r="S6" s="279"/>
      <c r="T6" s="279"/>
      <c r="U6" s="279"/>
      <c r="V6" s="282">
        <v>100.0</v>
      </c>
      <c r="W6" s="275" t="s">
        <v>699</v>
      </c>
      <c r="X6" s="282">
        <v>100.0</v>
      </c>
      <c r="Y6" s="283">
        <v>102.0</v>
      </c>
      <c r="Z6" s="287">
        <v>17500.0</v>
      </c>
      <c r="AA6" s="285">
        <v>0.08</v>
      </c>
      <c r="AB6" s="282">
        <v>1927800.0</v>
      </c>
      <c r="AC6" s="277"/>
      <c r="AD6" s="273">
        <v>45985.0</v>
      </c>
      <c r="AE6" s="279">
        <v>1943.0</v>
      </c>
      <c r="AF6" s="277"/>
      <c r="AG6" s="277"/>
      <c r="AH6" s="286">
        <f>IFERROR(__xludf.DUMMYFUNCTION("IFERROR(INDEX( SORT(FILTER(
        {'1. DATA CHUNG'!$J$4:$J$105 , '1. DATA CHUNG'!$L$4:$L$105}, (TRIM('1. DATA CHUNG'!$I$4:$I$105)=TRIM(K6)) * IF(COUNTIFS('1. DATA CHUNG'!$I$4:$I$105,K6,'1. DATA CHUNG'!$M$4:$M$105,Q6), '1. DATA CHUNG'!$M$4:$M$105=Q6, 1) "&amp;"* ('1. DATA CHUNG'!$L$4:$L$105&lt;=TODAY()) ),   2, 0),  1, 1), 
  IFERROR( INDEX(FILTER('1. DATA CHUNG'!$J$4:$J$105, (TRIM('1. DATA CHUNG'!$I$4:$I$105)=TRIM(K6)) * IF(COUNTIFS('1. DATA CHUNG'!$I$4:$I$105,K6,'1. DATA CHUNG'!$M$4:$M$105,Q6), '1. DATA CHUNG'!$"&amp;"M$4:$M$105=Q6, 1) * ('1. DATA CHUNG'!$L$4:$L$105="""")), 1), ""Không tìm thấy"" ))"),18.0)</f>
        <v>18</v>
      </c>
      <c r="AI6" s="273">
        <f t="shared" si="2"/>
        <v>46003</v>
      </c>
      <c r="AJ6" s="287"/>
      <c r="AK6" s="286">
        <f t="shared" si="3"/>
        <v>0</v>
      </c>
      <c r="AL6" s="287">
        <f t="shared" si="4"/>
        <v>5</v>
      </c>
      <c r="AM6" s="287">
        <f t="shared" si="5"/>
        <v>8</v>
      </c>
      <c r="AN6" s="279">
        <f t="shared" si="6"/>
        <v>11</v>
      </c>
      <c r="AO6" s="288" t="str">
        <f t="shared" si="7"/>
        <v>11/2025</v>
      </c>
      <c r="AP6" s="277" t="str">
        <f t="array" ref="AP6">IFERROR(XLOOKUP(L6,'2. DATA NL, VTBB'!C:C,'2. DATA NL, VTBB'!F:F),"")</f>
        <v>HH0258</v>
      </c>
      <c r="AQ6" s="277" t="str">
        <f t="array" ref="AQ6">IF(OR(K6="Nhãn", K6="Nhãn thùng",K6="Nhãn Túi"), K6 &amp; " " &amp; IFERROR(XLOOKUP(L6, '2. DATA NL, VTBB'!C:C, '2. DATA NL, VTBB'!E:E), ""), "")</f>
        <v/>
      </c>
      <c r="AR6" s="278" t="str">
        <f t="array" ref="AR6">IFERROR(XLOOKUP(L6,'2. DATA NL, VTBB'!C:C,'2. DATA NL, VTBB'!G:G),"")</f>
        <v>GC - II - 676 - Agriplant - Sâu - nhện (PET tròn) (BTP trong)- 450ml - 40</v>
      </c>
      <c r="AS6" s="278" t="str">
        <f t="array" ref="AS6">IFERROR(XLOOKUP(L6,'2. DATA NL, VTBB'!C:C,'2. DATA NL, VTBB'!G:G),"")</f>
        <v>GC - II - 676 - Agriplant - Sâu - nhện (PET tròn) (BTP trong)- 450ml - 40</v>
      </c>
      <c r="AT6" s="277"/>
    </row>
    <row r="7" ht="30.75" customHeight="1">
      <c r="A7" s="272">
        <f t="shared" ref="A7:A22" si="10">ROW(A6)-2</f>
        <v>4</v>
      </c>
      <c r="B7" s="273">
        <v>45985.0</v>
      </c>
      <c r="C7" s="273">
        <v>45992.0</v>
      </c>
      <c r="D7" s="273">
        <f t="shared" si="1"/>
        <v>46000</v>
      </c>
      <c r="E7" s="273">
        <f t="shared" si="9"/>
        <v>45995</v>
      </c>
      <c r="F7" s="274" t="s">
        <v>561</v>
      </c>
      <c r="G7" s="275" t="s">
        <v>562</v>
      </c>
      <c r="H7" s="274" t="s">
        <v>304</v>
      </c>
      <c r="I7" s="275" t="s">
        <v>305</v>
      </c>
      <c r="J7" s="279" t="s">
        <v>704</v>
      </c>
      <c r="K7" s="275" t="s">
        <v>301</v>
      </c>
      <c r="L7" s="277" t="s">
        <v>705</v>
      </c>
      <c r="M7" s="278" t="str">
        <f t="array" ref="M7">IFERROR(XLOOKUP(L7,'2. DATA NL, VTBB'!C:C,'2. DATA NL, VTBB'!D:D),"")</f>
        <v>Thùng Newtex Chai 1 lít x 20 chai (48.5x39x24.5cm) - Trắng viền cam</v>
      </c>
      <c r="N7" s="279"/>
      <c r="O7" s="280" t="str">
        <f t="array" ref="O7">IFERROR( XLOOKUP(L7,'2. DATA NL, VTBB'!C:C,'2. DATA NL, VTBB'!E:E),"")</f>
        <v>THALONIL 75WP</v>
      </c>
      <c r="P7" s="275" t="s">
        <v>565</v>
      </c>
      <c r="Q7" s="274" t="b">
        <v>0</v>
      </c>
      <c r="R7" s="290" t="s">
        <v>566</v>
      </c>
      <c r="S7" s="279"/>
      <c r="T7" s="279"/>
      <c r="U7" s="279"/>
      <c r="V7" s="282">
        <v>100.0</v>
      </c>
      <c r="W7" s="275" t="s">
        <v>699</v>
      </c>
      <c r="X7" s="282">
        <v>100.0</v>
      </c>
      <c r="Y7" s="283">
        <v>105.0</v>
      </c>
      <c r="Z7" s="287">
        <v>21500.0</v>
      </c>
      <c r="AA7" s="285">
        <v>0.08</v>
      </c>
      <c r="AB7" s="282">
        <v>2438100.0</v>
      </c>
      <c r="AC7" s="277"/>
      <c r="AD7" s="273">
        <v>45985.0</v>
      </c>
      <c r="AE7" s="279">
        <v>1941.0</v>
      </c>
      <c r="AF7" s="277"/>
      <c r="AG7" s="277"/>
      <c r="AH7" s="286">
        <f>IFERROR(__xludf.DUMMYFUNCTION("IFERROR(INDEX( SORT(FILTER(
        {'1. DATA CHUNG'!$J$4:$J$105 , '1. DATA CHUNG'!$L$4:$L$105}, (TRIM('1. DATA CHUNG'!$I$4:$I$105)=TRIM(K7)) * IF(COUNTIFS('1. DATA CHUNG'!$I$4:$I$105,K7,'1. DATA CHUNG'!$M$4:$M$105,Q7), '1. DATA CHUNG'!$M$4:$M$105=Q7, 1) "&amp;"* ('1. DATA CHUNG'!$L$4:$L$105&lt;=TODAY()) ),   2, 0),  1, 1), 
  IFERROR( INDEX(FILTER('1. DATA CHUNG'!$J$4:$J$105, (TRIM('1. DATA CHUNG'!$I$4:$I$105)=TRIM(K7)) * IF(COUNTIFS('1. DATA CHUNG'!$I$4:$I$105,K7,'1. DATA CHUNG'!$M$4:$M$105,Q7), '1. DATA CHUNG'!$"&amp;"M$4:$M$105=Q7, 1) * ('1. DATA CHUNG'!$L$4:$L$105="""")), 1), ""Không tìm thấy"" ))"),18.0)</f>
        <v>18</v>
      </c>
      <c r="AI7" s="273">
        <f t="shared" si="2"/>
        <v>46003</v>
      </c>
      <c r="AJ7" s="287"/>
      <c r="AK7" s="286">
        <f t="shared" si="3"/>
        <v>0</v>
      </c>
      <c r="AL7" s="287">
        <f t="shared" si="4"/>
        <v>5</v>
      </c>
      <c r="AM7" s="287">
        <f t="shared" si="5"/>
        <v>8</v>
      </c>
      <c r="AN7" s="279">
        <f t="shared" si="6"/>
        <v>11</v>
      </c>
      <c r="AO7" s="288" t="str">
        <f t="shared" si="7"/>
        <v>11/2025</v>
      </c>
      <c r="AP7" s="277" t="str">
        <f t="array" ref="AP7">IFERROR(XLOOKUP(L7,'2. DATA NL, VTBB'!C:C,'2. DATA NL, VTBB'!F:F),"")</f>
        <v>HH0260</v>
      </c>
      <c r="AQ7" s="277" t="str">
        <f t="array" ref="AQ7">IF(OR(K7="Nhãn", K7="Nhãn thùng",K7="Nhãn Túi"), K7 &amp; " " &amp; IFERROR(XLOOKUP(L7, '2. DATA NL, VTBB'!C:C, '2. DATA NL, VTBB'!E:E), ""), "")</f>
        <v/>
      </c>
      <c r="AR7" s="278" t="str">
        <f t="array" ref="AR7">IFERROR(XLOOKUP(L7,'2. DATA NL, VTBB'!C:C,'2. DATA NL, VTBB'!G:G),"")</f>
        <v>GC - II - 678 - AU - Chlorothalonil (flexo)- 100gr - 100</v>
      </c>
      <c r="AS7" s="278" t="str">
        <f t="array" ref="AS7">IFERROR(XLOOKUP(L7,'2. DATA NL, VTBB'!C:C,'2. DATA NL, VTBB'!G:G),"")</f>
        <v>GC - II - 678 - AU - Chlorothalonil (flexo)- 100gr - 100</v>
      </c>
      <c r="AT7" s="277"/>
    </row>
    <row r="8" ht="30.75" customHeight="1">
      <c r="A8" s="272">
        <f t="shared" si="10"/>
        <v>5</v>
      </c>
      <c r="B8" s="273">
        <v>45985.0</v>
      </c>
      <c r="C8" s="273">
        <v>45992.0</v>
      </c>
      <c r="D8" s="273">
        <f t="shared" si="1"/>
        <v>46000</v>
      </c>
      <c r="E8" s="273">
        <f t="shared" si="9"/>
        <v>45995</v>
      </c>
      <c r="F8" s="274" t="s">
        <v>561</v>
      </c>
      <c r="G8" s="275" t="s">
        <v>562</v>
      </c>
      <c r="H8" s="274" t="s">
        <v>304</v>
      </c>
      <c r="I8" s="275" t="s">
        <v>305</v>
      </c>
      <c r="J8" s="279" t="s">
        <v>704</v>
      </c>
      <c r="K8" s="275" t="s">
        <v>301</v>
      </c>
      <c r="L8" s="277" t="s">
        <v>706</v>
      </c>
      <c r="M8" s="278" t="str">
        <f t="array" ref="M8">IFERROR(XLOOKUP(L8,'2. DATA NL, VTBB'!C:C,'2. DATA NL, VTBB'!D:D),"")</f>
        <v>Thùng NHP Chai HDPE 500ml x 40 chai (58x36.5x19cm) - Trắng viền xanh dương đỏ</v>
      </c>
      <c r="N8" s="279"/>
      <c r="O8" s="280" t="str">
        <f t="array" ref="O8">IFERROR( XLOOKUP(L8,'2. DATA NL, VTBB'!C:C,'2. DATA NL, VTBB'!E:E),"")</f>
        <v>Prima 04</v>
      </c>
      <c r="P8" s="275" t="s">
        <v>565</v>
      </c>
      <c r="Q8" s="274" t="b">
        <v>0</v>
      </c>
      <c r="R8" s="290" t="s">
        <v>566</v>
      </c>
      <c r="S8" s="279"/>
      <c r="T8" s="279"/>
      <c r="U8" s="279"/>
      <c r="V8" s="282">
        <v>100.0</v>
      </c>
      <c r="W8" s="275" t="s">
        <v>699</v>
      </c>
      <c r="X8" s="282">
        <v>100.0</v>
      </c>
      <c r="Y8" s="283">
        <v>110.0</v>
      </c>
      <c r="Z8" s="287">
        <v>20800.0</v>
      </c>
      <c r="AA8" s="285">
        <v>0.08</v>
      </c>
      <c r="AB8" s="282">
        <v>2471040.0</v>
      </c>
      <c r="AC8" s="277"/>
      <c r="AD8" s="273">
        <v>45985.0</v>
      </c>
      <c r="AE8" s="279">
        <v>1942.0</v>
      </c>
      <c r="AF8" s="277"/>
      <c r="AG8" s="280"/>
      <c r="AH8" s="286">
        <f>IFERROR(__xludf.DUMMYFUNCTION("IFERROR(INDEX( SORT(FILTER(
        {'1. DATA CHUNG'!$J$4:$J$105 , '1. DATA CHUNG'!$L$4:$L$105}, (TRIM('1. DATA CHUNG'!$I$4:$I$105)=TRIM(K8)) * IF(COUNTIFS('1. DATA CHUNG'!$I$4:$I$105,K8,'1. DATA CHUNG'!$M$4:$M$105,Q8), '1. DATA CHUNG'!$M$4:$M$105=Q8, 1) "&amp;"* ('1. DATA CHUNG'!$L$4:$L$105&lt;=TODAY()) ),   2, 0),  1, 1), 
  IFERROR( INDEX(FILTER('1. DATA CHUNG'!$J$4:$J$105, (TRIM('1. DATA CHUNG'!$I$4:$I$105)=TRIM(K8)) * IF(COUNTIFS('1. DATA CHUNG'!$I$4:$I$105,K8,'1. DATA CHUNG'!$M$4:$M$105,Q8), '1. DATA CHUNG'!$"&amp;"M$4:$M$105=Q8, 1) * ('1. DATA CHUNG'!$L$4:$L$105="""")), 1), ""Không tìm thấy"" ))"),18.0)</f>
        <v>18</v>
      </c>
      <c r="AI8" s="273">
        <f t="shared" si="2"/>
        <v>46003</v>
      </c>
      <c r="AJ8" s="287"/>
      <c r="AK8" s="286">
        <f t="shared" si="3"/>
        <v>0</v>
      </c>
      <c r="AL8" s="287">
        <f t="shared" si="4"/>
        <v>5</v>
      </c>
      <c r="AM8" s="287">
        <f t="shared" si="5"/>
        <v>8</v>
      </c>
      <c r="AN8" s="279">
        <f t="shared" si="6"/>
        <v>11</v>
      </c>
      <c r="AO8" s="288" t="str">
        <f t="shared" si="7"/>
        <v>11/2025</v>
      </c>
      <c r="AP8" s="277" t="str">
        <f t="array" ref="AP8">IFERROR(XLOOKUP(L8,'2. DATA NL, VTBB'!C:C,'2. DATA NL, VTBB'!F:F),"")</f>
        <v>HH0250</v>
      </c>
      <c r="AQ8" s="277" t="str">
        <f t="array" ref="AQ8">IF(OR(K8="Nhãn", K8="Nhãn thùng",K8="Nhãn Túi"), K8 &amp; " " &amp; IFERROR(XLOOKUP(L8, '2. DATA NL, VTBB'!C:C, '2. DATA NL, VTBB'!E:E), ""), "")</f>
        <v/>
      </c>
      <c r="AR8" s="278" t="str">
        <f t="array" ref="AR8">IFERROR(XLOOKUP(L8,'2. DATA NL, VTBB'!C:C,'2. DATA NL, VTBB'!G:G),"")</f>
        <v>GC - II - 668 - Agriplant - Bio Strong Gold - 5L - 4 ([btp],t,c)</v>
      </c>
      <c r="AS8" s="278" t="str">
        <f t="array" ref="AS8">IFERROR(XLOOKUP(L8,'2. DATA NL, VTBB'!C:C,'2. DATA NL, VTBB'!G:G),"")</f>
        <v>GC - II - 668 - Agriplant - Bio Strong Gold - 5L - 4 ([btp],t,c)</v>
      </c>
      <c r="AT8" s="277"/>
    </row>
    <row r="9" ht="30.75" customHeight="1">
      <c r="A9" s="272">
        <f t="shared" si="10"/>
        <v>6</v>
      </c>
      <c r="B9" s="273">
        <v>45987.0</v>
      </c>
      <c r="C9" s="273">
        <v>45994.0</v>
      </c>
      <c r="D9" s="273">
        <f t="shared" si="1"/>
        <v>46002</v>
      </c>
      <c r="E9" s="273">
        <f t="shared" si="9"/>
        <v>45997</v>
      </c>
      <c r="F9" s="274" t="s">
        <v>561</v>
      </c>
      <c r="G9" s="275" t="s">
        <v>580</v>
      </c>
      <c r="H9" s="274" t="s">
        <v>304</v>
      </c>
      <c r="I9" s="275" t="s">
        <v>305</v>
      </c>
      <c r="J9" s="276"/>
      <c r="K9" s="275" t="s">
        <v>301</v>
      </c>
      <c r="L9" s="277" t="s">
        <v>582</v>
      </c>
      <c r="M9" s="278" t="str">
        <f t="array" ref="M9">IFERROR(XLOOKUP(L9,'2. DATA NL, VTBB'!C:C,'2. DATA NL, VTBB'!D:D),"")</f>
        <v>Thùng IDA chai vuông 450ml, 480ml, 500ml x 40 chai (42x36x22.5cm) - Xanh lá</v>
      </c>
      <c r="N9" s="280"/>
      <c r="O9" s="280" t="str">
        <f t="array" ref="O9">IFERROR( XLOOKUP(L9,'2. DATA NL, VTBB'!C:C,'2. DATA NL, VTBB'!E:E),"")</f>
        <v>TVZEB 800WP</v>
      </c>
      <c r="P9" s="275" t="s">
        <v>565</v>
      </c>
      <c r="Q9" s="274" t="b">
        <v>0</v>
      </c>
      <c r="R9" s="281" t="s">
        <v>698</v>
      </c>
      <c r="S9" s="279"/>
      <c r="T9" s="279"/>
      <c r="U9" s="279"/>
      <c r="V9" s="282">
        <v>100.0</v>
      </c>
      <c r="W9" s="275" t="s">
        <v>699</v>
      </c>
      <c r="X9" s="282">
        <v>100.0</v>
      </c>
      <c r="Y9" s="283">
        <v>100.0</v>
      </c>
      <c r="Z9" s="292"/>
      <c r="AA9" s="285">
        <v>0.08</v>
      </c>
      <c r="AB9" s="282">
        <v>0.0</v>
      </c>
      <c r="AC9" s="277"/>
      <c r="AD9" s="273">
        <v>45987.0</v>
      </c>
      <c r="AE9" s="276"/>
      <c r="AF9" s="277"/>
      <c r="AG9" s="277"/>
      <c r="AH9" s="286">
        <f>IFERROR(__xludf.DUMMYFUNCTION("IFERROR(INDEX( SORT(FILTER(
        {'1. DATA CHUNG'!$J$4:$J$105 , '1. DATA CHUNG'!$L$4:$L$105}, (TRIM('1. DATA CHUNG'!$I$4:$I$105)=TRIM(K9)) * IF(COUNTIFS('1. DATA CHUNG'!$I$4:$I$105,K9,'1. DATA CHUNG'!$M$4:$M$105,Q9), '1. DATA CHUNG'!$M$4:$M$105=Q9, 1) "&amp;"* ('1. DATA CHUNG'!$L$4:$L$105&lt;=TODAY()) ),   2, 0),  1, 1), 
  IFERROR( INDEX(FILTER('1. DATA CHUNG'!$J$4:$J$105, (TRIM('1. DATA CHUNG'!$I$4:$I$105)=TRIM(K9)) * IF(COUNTIFS('1. DATA CHUNG'!$I$4:$I$105,K9,'1. DATA CHUNG'!$M$4:$M$105,Q9), '1. DATA CHUNG'!$"&amp;"M$4:$M$105=Q9, 1) * ('1. DATA CHUNG'!$L$4:$L$105="""")), 1), ""Không tìm thấy"" ))"),18.0)</f>
        <v>18</v>
      </c>
      <c r="AI9" s="273">
        <f t="shared" si="2"/>
        <v>46005</v>
      </c>
      <c r="AJ9" s="287"/>
      <c r="AK9" s="286">
        <f t="shared" si="3"/>
        <v>0</v>
      </c>
      <c r="AL9" s="287">
        <f t="shared" si="4"/>
        <v>5</v>
      </c>
      <c r="AM9" s="287">
        <f t="shared" si="5"/>
        <v>8</v>
      </c>
      <c r="AN9" s="279">
        <f t="shared" si="6"/>
        <v>11</v>
      </c>
      <c r="AO9" s="288" t="str">
        <f t="shared" si="7"/>
        <v>11/2025</v>
      </c>
      <c r="AP9" s="277" t="str">
        <f t="array" ref="AP9">IFERROR(XLOOKUP(L9,'2. DATA NL, VTBB'!C:C,'2. DATA NL, VTBB'!F:F),"")</f>
        <v>HH0089</v>
      </c>
      <c r="AQ9" s="277" t="str">
        <f t="array" ref="AQ9">IF(OR(K9="Nhãn", K9="Nhãn thùng",K9="Nhãn Túi"), K9 &amp; " " &amp; IFERROR(XLOOKUP(L9, '2. DATA NL, VTBB'!C:C, '2. DATA NL, VTBB'!E:E), ""), "")</f>
        <v/>
      </c>
      <c r="AR9" s="278" t="str">
        <f t="array" ref="AR9">IFERROR(XLOOKUP(L9,'2. DATA NL, VTBB'!C:C,'2. DATA NL, VTBB'!G:G),"")</f>
        <v>GC - 448 - I - Thiên Di - Mancozeb Xanh (Nhãn xanh Lá) - 100gr - 100</v>
      </c>
      <c r="AS9" s="278" t="str">
        <f t="array" ref="AS9">IFERROR(XLOOKUP(L9,'2. DATA NL, VTBB'!C:C,'2. DATA NL, VTBB'!G:G),"")</f>
        <v>GC - 448 - I - Thiên Di - Mancozeb Xanh (Nhãn xanh Lá) - 100gr - 100</v>
      </c>
      <c r="AT9" s="277"/>
    </row>
    <row r="10" ht="30.75" customHeight="1">
      <c r="A10" s="272">
        <f t="shared" si="10"/>
        <v>7</v>
      </c>
      <c r="B10" s="273">
        <v>45992.0</v>
      </c>
      <c r="C10" s="273">
        <v>45999.0</v>
      </c>
      <c r="D10" s="273">
        <f t="shared" si="1"/>
        <v>46007</v>
      </c>
      <c r="E10" s="273">
        <f t="shared" si="9"/>
        <v>46002</v>
      </c>
      <c r="F10" s="274" t="s">
        <v>561</v>
      </c>
      <c r="G10" s="275" t="s">
        <v>562</v>
      </c>
      <c r="H10" s="274" t="s">
        <v>304</v>
      </c>
      <c r="I10" s="275" t="s">
        <v>305</v>
      </c>
      <c r="J10" s="276"/>
      <c r="K10" s="275" t="s">
        <v>301</v>
      </c>
      <c r="L10" s="277" t="s">
        <v>707</v>
      </c>
      <c r="M10" s="278" t="str">
        <f t="array" ref="M10">IFERROR(XLOOKUP(L10,'2. DATA NL, VTBB'!C:C,'2. DATA NL, VTBB'!D:D),"")</f>
        <v>Thùng IDA chai HDPE tròn 500ml x 40 chai (56.5x36.5x21cm) - Trắng xanh lá</v>
      </c>
      <c r="N10" s="280"/>
      <c r="O10" s="280" t="str">
        <f t="array" ref="O10">IFERROR( XLOOKUP(L10,'2. DATA NL, VTBB'!C:C,'2. DATA NL, VTBB'!E:E),"")</f>
        <v>COCHAY 200SL</v>
      </c>
      <c r="P10" s="275" t="s">
        <v>565</v>
      </c>
      <c r="Q10" s="274" t="b">
        <v>0</v>
      </c>
      <c r="R10" s="290" t="s">
        <v>566</v>
      </c>
      <c r="S10" s="279"/>
      <c r="T10" s="279"/>
      <c r="U10" s="279"/>
      <c r="V10" s="282">
        <v>200.0</v>
      </c>
      <c r="W10" s="275" t="s">
        <v>699</v>
      </c>
      <c r="X10" s="282">
        <v>200.0</v>
      </c>
      <c r="Y10" s="283">
        <v>200.0</v>
      </c>
      <c r="Z10" s="284">
        <v>22000.0</v>
      </c>
      <c r="AA10" s="285">
        <v>0.08</v>
      </c>
      <c r="AB10" s="282">
        <v>4752000.0</v>
      </c>
      <c r="AC10" s="277"/>
      <c r="AD10" s="273">
        <v>45992.0</v>
      </c>
      <c r="AE10" s="276"/>
      <c r="AF10" s="277"/>
      <c r="AG10" s="277"/>
      <c r="AH10" s="286">
        <f>IFERROR(__xludf.DUMMYFUNCTION("IFERROR(INDEX( SORT(FILTER(
        {'1. DATA CHUNG'!$J$4:$J$105 , '1. DATA CHUNG'!$L$4:$L$105}, (TRIM('1. DATA CHUNG'!$I$4:$I$105)=TRIM(K10)) * IF(COUNTIFS('1. DATA CHUNG'!$I$4:$I$105,K10,'1. DATA CHUNG'!$M$4:$M$105,Q10), '1. DATA CHUNG'!$M$4:$M$105=Q10,"&amp;" 1) * ('1. DATA CHUNG'!$L$4:$L$105&lt;=TODAY()) ),   2, 0),  1, 1), 
  IFERROR( INDEX(FILTER('1. DATA CHUNG'!$J$4:$J$105, (TRIM('1. DATA CHUNG'!$I$4:$I$105)=TRIM(K10)) * IF(COUNTIFS('1. DATA CHUNG'!$I$4:$I$105,K10,'1. DATA CHUNG'!$M$4:$M$105,Q10), '1. DATA C"&amp;"HUNG'!$M$4:$M$105=Q10, 1) * ('1. DATA CHUNG'!$L$4:$L$105="""")), 1), ""Không tìm thấy"" ))"),18.0)</f>
        <v>18</v>
      </c>
      <c r="AI10" s="273">
        <f t="shared" si="2"/>
        <v>46010</v>
      </c>
      <c r="AJ10" s="287"/>
      <c r="AK10" s="286">
        <f t="shared" si="3"/>
        <v>0</v>
      </c>
      <c r="AL10" s="287">
        <f t="shared" si="4"/>
        <v>5</v>
      </c>
      <c r="AM10" s="287">
        <f t="shared" si="5"/>
        <v>8</v>
      </c>
      <c r="AN10" s="279">
        <f t="shared" si="6"/>
        <v>11</v>
      </c>
      <c r="AO10" s="288" t="str">
        <f t="shared" si="7"/>
        <v>12/2025</v>
      </c>
      <c r="AP10" s="277" t="str">
        <f t="array" ref="AP10">IFERROR(XLOOKUP(L10,'2. DATA NL, VTBB'!C:C,'2. DATA NL, VTBB'!F:F),"")</f>
        <v>HH0224</v>
      </c>
      <c r="AQ10" s="277" t="str">
        <f t="array" ref="AQ10">IF(OR(K10="Nhãn", K10="Nhãn thùng",K10="Nhãn Túi"), K10 &amp; " " &amp; IFERROR(XLOOKUP(L10, '2. DATA NL, VTBB'!C:C, '2. DATA NL, VTBB'!E:E), ""), "")</f>
        <v/>
      </c>
      <c r="AR10" s="278" t="str">
        <f t="array" ref="AR10">IFERROR(XLOOKUP(L10,'2. DATA NL, VTBB'!C:C,'2. DATA NL, VTBB'!G:G),"")</f>
        <v>GC - II - K - 637 - AGC NEW - Cochay N0.3 (chai vuông) - 900ml- 20</v>
      </c>
      <c r="AS10" s="278" t="str">
        <f t="array" ref="AS10">IFERROR(XLOOKUP(L10,'2. DATA NL, VTBB'!C:C,'2. DATA NL, VTBB'!G:G),"")</f>
        <v>GC - II - K - 637 - AGC NEW - Cochay N0.3 (chai vuông) - 900ml- 20</v>
      </c>
      <c r="AT10" s="277"/>
    </row>
    <row r="11" ht="30.75" customHeight="1">
      <c r="A11" s="272">
        <f t="shared" si="10"/>
        <v>8</v>
      </c>
      <c r="B11" s="273">
        <v>45992.0</v>
      </c>
      <c r="C11" s="273">
        <v>45999.0</v>
      </c>
      <c r="D11" s="273">
        <f t="shared" si="1"/>
        <v>46007</v>
      </c>
      <c r="E11" s="293">
        <v>46001.0</v>
      </c>
      <c r="F11" s="274" t="s">
        <v>561</v>
      </c>
      <c r="G11" s="275" t="s">
        <v>562</v>
      </c>
      <c r="H11" s="274" t="s">
        <v>304</v>
      </c>
      <c r="I11" s="275" t="s">
        <v>305</v>
      </c>
      <c r="J11" s="279" t="s">
        <v>708</v>
      </c>
      <c r="K11" s="275" t="s">
        <v>301</v>
      </c>
      <c r="L11" s="277" t="s">
        <v>709</v>
      </c>
      <c r="M11" s="278" t="str">
        <f t="array" ref="M11">IFERROR(XLOOKUP(L11,'2. DATA NL, VTBB'!C:C,'2. DATA NL, VTBB'!D:D),"")</f>
        <v>Thùng C.P Gói 50ml x 10 hộp AGRI FOS AB (52x34x22cm) - Trắng viền đỏ</v>
      </c>
      <c r="N11" s="280"/>
      <c r="O11" s="280" t="str">
        <f t="array" ref="O11">IFERROR( XLOOKUP(L11,'2. DATA NL, VTBB'!C:C,'2. DATA NL, VTBB'!E:E),"")</f>
        <v>Mekongvil 5SC</v>
      </c>
      <c r="P11" s="275" t="s">
        <v>565</v>
      </c>
      <c r="Q11" s="274" t="b">
        <v>0</v>
      </c>
      <c r="R11" s="290" t="s">
        <v>566</v>
      </c>
      <c r="S11" s="279"/>
      <c r="T11" s="279"/>
      <c r="U11" s="279"/>
      <c r="V11" s="282">
        <v>200.0</v>
      </c>
      <c r="W11" s="275" t="s">
        <v>699</v>
      </c>
      <c r="X11" s="282">
        <v>200.0</v>
      </c>
      <c r="Y11" s="283">
        <v>218.0</v>
      </c>
      <c r="Z11" s="287">
        <v>37600.0</v>
      </c>
      <c r="AA11" s="285">
        <v>0.08</v>
      </c>
      <c r="AB11" s="282">
        <v>8852544.0</v>
      </c>
      <c r="AC11" s="277"/>
      <c r="AD11" s="273">
        <v>45992.0</v>
      </c>
      <c r="AE11" s="279">
        <v>1969.0</v>
      </c>
      <c r="AF11" s="280"/>
      <c r="AG11" s="280"/>
      <c r="AH11" s="286">
        <f>IFERROR(__xludf.DUMMYFUNCTION("IFERROR(INDEX( SORT(FILTER(
        {'1. DATA CHUNG'!$J$4:$J$105 , '1. DATA CHUNG'!$L$4:$L$105}, (TRIM('1. DATA CHUNG'!$I$4:$I$105)=TRIM(K11)) * IF(COUNTIFS('1. DATA CHUNG'!$I$4:$I$105,K11,'1. DATA CHUNG'!$M$4:$M$105,Q11), '1. DATA CHUNG'!$M$4:$M$105=Q11,"&amp;" 1) * ('1. DATA CHUNG'!$L$4:$L$105&lt;=TODAY()) ),   2, 0),  1, 1), 
  IFERROR( INDEX(FILTER('1. DATA CHUNG'!$J$4:$J$105, (TRIM('1. DATA CHUNG'!$I$4:$I$105)=TRIM(K11)) * IF(COUNTIFS('1. DATA CHUNG'!$I$4:$I$105,K11,'1. DATA CHUNG'!$M$4:$M$105,Q11), '1. DATA C"&amp;"HUNG'!$M$4:$M$105=Q11, 1) * ('1. DATA CHUNG'!$L$4:$L$105="""")), 1), ""Không tìm thấy"" ))"),18.0)</f>
        <v>18</v>
      </c>
      <c r="AI11" s="273">
        <f t="shared" si="2"/>
        <v>46010</v>
      </c>
      <c r="AJ11" s="287"/>
      <c r="AK11" s="286">
        <f t="shared" si="3"/>
        <v>0</v>
      </c>
      <c r="AL11" s="287">
        <f t="shared" si="4"/>
        <v>6</v>
      </c>
      <c r="AM11" s="287">
        <f t="shared" si="5"/>
        <v>9</v>
      </c>
      <c r="AN11" s="279">
        <f t="shared" si="6"/>
        <v>11</v>
      </c>
      <c r="AO11" s="288" t="str">
        <f t="shared" si="7"/>
        <v>12/2025</v>
      </c>
      <c r="AP11" s="277" t="str">
        <f t="array" ref="AP11">IFERROR(XLOOKUP(L11,'2. DATA NL, VTBB'!C:C,'2. DATA NL, VTBB'!F:F),"")</f>
        <v>HH0257</v>
      </c>
      <c r="AQ11" s="277" t="str">
        <f t="array" ref="AQ11">IF(OR(K11="Nhãn", K11="Nhãn thùng",K11="Nhãn Túi"), K11 &amp; " " &amp; IFERROR(XLOOKUP(L11, '2. DATA NL, VTBB'!C:C, '2. DATA NL, VTBB'!E:E), ""), "")</f>
        <v/>
      </c>
      <c r="AR11" s="278" t="str">
        <f t="array" ref="AR11">IFERROR(XLOOKUP(L11,'2. DATA NL, VTBB'!C:C,'2. DATA NL, VTBB'!G:G),"")</f>
        <v>GC - II - 675 - BM - Vil 5SC - 1L - 20</v>
      </c>
      <c r="AS11" s="278" t="str">
        <f t="array" ref="AS11">IFERROR(XLOOKUP(L11,'2. DATA NL, VTBB'!C:C,'2. DATA NL, VTBB'!G:G),"")</f>
        <v>GC - II - 675 - BM - Vil 5SC - 1L - 20</v>
      </c>
      <c r="AT11" s="277"/>
    </row>
    <row r="12" ht="30.75" customHeight="1">
      <c r="A12" s="272">
        <f t="shared" si="10"/>
        <v>9</v>
      </c>
      <c r="B12" s="273">
        <v>45992.0</v>
      </c>
      <c r="C12" s="273">
        <v>45999.0</v>
      </c>
      <c r="D12" s="273">
        <f t="shared" si="1"/>
        <v>46007</v>
      </c>
      <c r="E12" s="273">
        <f t="shared" ref="E12:E17" si="11">B12+10</f>
        <v>46002</v>
      </c>
      <c r="F12" s="274" t="s">
        <v>561</v>
      </c>
      <c r="G12" s="275" t="s">
        <v>562</v>
      </c>
      <c r="H12" s="274" t="s">
        <v>304</v>
      </c>
      <c r="I12" s="275" t="s">
        <v>305</v>
      </c>
      <c r="J12" s="279" t="s">
        <v>708</v>
      </c>
      <c r="K12" s="275" t="s">
        <v>301</v>
      </c>
      <c r="L12" s="277" t="s">
        <v>710</v>
      </c>
      <c r="M12" s="278" t="str">
        <f t="array" ref="M12">IFERROR(XLOOKUP(L12,'2. DATA NL, VTBB'!C:C,'2. DATA NL, VTBB'!D:D),"")</f>
        <v>Thùng chung chai tròn cao 500ml x 40 chai (55.5x35x21.5cm) - Trắng</v>
      </c>
      <c r="N12" s="280"/>
      <c r="O12" s="280" t="str">
        <f t="array" ref="O12">IFERROR( XLOOKUP(L12,'2. DATA NL, VTBB'!C:C,'2. DATA NL, VTBB'!E:E),"")</f>
        <v>TVZEB 800WP</v>
      </c>
      <c r="P12" s="275" t="s">
        <v>565</v>
      </c>
      <c r="Q12" s="274" t="b">
        <v>0</v>
      </c>
      <c r="R12" s="290" t="s">
        <v>566</v>
      </c>
      <c r="S12" s="279"/>
      <c r="T12" s="279"/>
      <c r="U12" s="279"/>
      <c r="V12" s="282">
        <v>300.0</v>
      </c>
      <c r="W12" s="275" t="s">
        <v>699</v>
      </c>
      <c r="X12" s="282">
        <v>300.0</v>
      </c>
      <c r="Y12" s="283">
        <v>300.0</v>
      </c>
      <c r="Z12" s="284">
        <v>19800.0</v>
      </c>
      <c r="AA12" s="285">
        <v>0.08</v>
      </c>
      <c r="AB12" s="282">
        <v>6415200.0</v>
      </c>
      <c r="AC12" s="277"/>
      <c r="AD12" s="273">
        <v>45992.0</v>
      </c>
      <c r="AE12" s="279">
        <v>1968.0</v>
      </c>
      <c r="AF12" s="277"/>
      <c r="AG12" s="280"/>
      <c r="AH12" s="286">
        <f>IFERROR(__xludf.DUMMYFUNCTION("IFERROR(INDEX( SORT(FILTER(
        {'1. DATA CHUNG'!$J$4:$J$105 , '1. DATA CHUNG'!$L$4:$L$105}, (TRIM('1. DATA CHUNG'!$I$4:$I$105)=TRIM(K12)) * IF(COUNTIFS('1. DATA CHUNG'!$I$4:$I$105,K12,'1. DATA CHUNG'!$M$4:$M$105,Q12), '1. DATA CHUNG'!$M$4:$M$105=Q12,"&amp;" 1) * ('1. DATA CHUNG'!$L$4:$L$105&lt;=TODAY()) ),   2, 0),  1, 1), 
  IFERROR( INDEX(FILTER('1. DATA CHUNG'!$J$4:$J$105, (TRIM('1. DATA CHUNG'!$I$4:$I$105)=TRIM(K12)) * IF(COUNTIFS('1. DATA CHUNG'!$I$4:$I$105,K12,'1. DATA CHUNG'!$M$4:$M$105,Q12), '1. DATA C"&amp;"HUNG'!$M$4:$M$105=Q12, 1) * ('1. DATA CHUNG'!$L$4:$L$105="""")), 1), ""Không tìm thấy"" ))"),18.0)</f>
        <v>18</v>
      </c>
      <c r="AI12" s="273">
        <f t="shared" si="2"/>
        <v>46010</v>
      </c>
      <c r="AJ12" s="287"/>
      <c r="AK12" s="286">
        <f t="shared" si="3"/>
        <v>0</v>
      </c>
      <c r="AL12" s="287">
        <f t="shared" si="4"/>
        <v>5</v>
      </c>
      <c r="AM12" s="287">
        <f t="shared" si="5"/>
        <v>8</v>
      </c>
      <c r="AN12" s="279">
        <f t="shared" si="6"/>
        <v>11</v>
      </c>
      <c r="AO12" s="288" t="str">
        <f t="shared" si="7"/>
        <v>12/2025</v>
      </c>
      <c r="AP12" s="277" t="str">
        <f t="array" ref="AP12">IFERROR(XLOOKUP(L12,'2. DATA NL, VTBB'!C:C,'2. DATA NL, VTBB'!F:F),"")</f>
        <v>HH0091</v>
      </c>
      <c r="AQ12" s="277" t="str">
        <f t="array" ref="AQ12">IF(OR(K12="Nhãn", K12="Nhãn thùng",K12="Nhãn Túi"), K12 &amp; " " &amp; IFERROR(XLOOKUP(L12, '2. DATA NL, VTBB'!C:C, '2. DATA NL, VTBB'!E:E), ""), "")</f>
        <v/>
      </c>
      <c r="AR12" s="278" t="str">
        <f t="array" ref="AR12">IFERROR(XLOOKUP(L12,'2. DATA NL, VTBB'!C:C,'2. DATA NL, VTBB'!G:G),"")</f>
        <v>GC - I - 449 - Thiên Di - Mancozeb Xanh (Nhãn xanh Dương) - 1kg - 20</v>
      </c>
      <c r="AS12" s="278" t="str">
        <f t="array" ref="AS12">IFERROR(XLOOKUP(L12,'2. DATA NL, VTBB'!C:C,'2. DATA NL, VTBB'!G:G),"")</f>
        <v>GC - I - 449 - Thiên Di - Mancozeb Xanh (Nhãn xanh Dương) - 1kg - 20</v>
      </c>
      <c r="AT12" s="277"/>
    </row>
    <row r="13" ht="30.75" customHeight="1">
      <c r="A13" s="272">
        <f t="shared" si="10"/>
        <v>10</v>
      </c>
      <c r="B13" s="273">
        <v>45992.0</v>
      </c>
      <c r="C13" s="273">
        <v>45999.0</v>
      </c>
      <c r="D13" s="273">
        <f t="shared" si="1"/>
        <v>46007</v>
      </c>
      <c r="E13" s="273">
        <f t="shared" si="11"/>
        <v>46002</v>
      </c>
      <c r="F13" s="274" t="s">
        <v>561</v>
      </c>
      <c r="G13" s="275" t="s">
        <v>562</v>
      </c>
      <c r="H13" s="274" t="s">
        <v>304</v>
      </c>
      <c r="I13" s="275" t="s">
        <v>305</v>
      </c>
      <c r="J13" s="279" t="s">
        <v>711</v>
      </c>
      <c r="K13" s="275" t="s">
        <v>301</v>
      </c>
      <c r="L13" s="277" t="s">
        <v>712</v>
      </c>
      <c r="M13" s="278" t="str">
        <f t="array" ref="M13">IFERROR(XLOOKUP(L13,'2. DATA NL, VTBB'!C:C,'2. DATA NL, VTBB'!D:D),"")</f>
        <v>Thùng Shino chai HDPE 500ml x 30 chai (45.5x38x21cm) - Trắng nâu</v>
      </c>
      <c r="N13" s="280"/>
      <c r="O13" s="280" t="str">
        <f t="array" ref="O13">IFERROR( XLOOKUP(L13,'2. DATA NL, VTBB'!C:C,'2. DATA NL, VTBB'!E:E),"")</f>
        <v>CHIM ƯNG 3.8EC</v>
      </c>
      <c r="P13" s="275" t="s">
        <v>565</v>
      </c>
      <c r="Q13" s="274" t="b">
        <v>0</v>
      </c>
      <c r="R13" s="290" t="s">
        <v>566</v>
      </c>
      <c r="S13" s="279"/>
      <c r="T13" s="279"/>
      <c r="U13" s="279"/>
      <c r="V13" s="282">
        <v>100.0</v>
      </c>
      <c r="W13" s="275" t="s">
        <v>699</v>
      </c>
      <c r="X13" s="282">
        <v>100.0</v>
      </c>
      <c r="Y13" s="283">
        <v>104.0</v>
      </c>
      <c r="Z13" s="284">
        <v>20500.0</v>
      </c>
      <c r="AA13" s="285">
        <v>0.08</v>
      </c>
      <c r="AB13" s="282">
        <v>2302560.0</v>
      </c>
      <c r="AC13" s="277"/>
      <c r="AD13" s="273">
        <v>45992.0</v>
      </c>
      <c r="AE13" s="279">
        <v>1985.0</v>
      </c>
      <c r="AF13" s="277"/>
      <c r="AG13" s="277"/>
      <c r="AH13" s="294">
        <f>IFERROR(__xludf.DUMMYFUNCTION("IFERROR(INDEX( SORT(FILTER(
        {'1. DATA CHUNG'!$J$4:$J$105 , '1. DATA CHUNG'!$L$4:$L$105}, (TRIM('1. DATA CHUNG'!$I$4:$I$105)=TRIM(K13)) * IF(COUNTIFS('1. DATA CHUNG'!$I$4:$I$105,K13,'1. DATA CHUNG'!$M$4:$M$105,Q13), '1. DATA CHUNG'!$M$4:$M$105=Q13,"&amp;" 1) * ('1. DATA CHUNG'!$L$4:$L$105&lt;=TODAY()) ),   2, 0),  1, 1), 
  IFERROR( INDEX(FILTER('1. DATA CHUNG'!$J$4:$J$105, (TRIM('1. DATA CHUNG'!$I$4:$I$105)=TRIM(K13)) * IF(COUNTIFS('1. DATA CHUNG'!$I$4:$I$105,K13,'1. DATA CHUNG'!$M$4:$M$105,Q13), '1. DATA C"&amp;"HUNG'!$M$4:$M$105=Q13, 1) * ('1. DATA CHUNG'!$L$4:$L$105="""")), 1), ""Không tìm thấy"" ))"),18.0)</f>
        <v>18</v>
      </c>
      <c r="AI13" s="273">
        <f t="shared" si="2"/>
        <v>46010</v>
      </c>
      <c r="AJ13" s="287"/>
      <c r="AK13" s="286">
        <f t="shared" si="3"/>
        <v>0</v>
      </c>
      <c r="AL13" s="287">
        <f t="shared" si="4"/>
        <v>5</v>
      </c>
      <c r="AM13" s="287">
        <f t="shared" si="5"/>
        <v>8</v>
      </c>
      <c r="AN13" s="279">
        <f t="shared" si="6"/>
        <v>11</v>
      </c>
      <c r="AO13" s="295" t="str">
        <f t="shared" si="7"/>
        <v>12/2025</v>
      </c>
      <c r="AP13" s="277" t="str">
        <f t="array" ref="AP13">IFERROR(XLOOKUP(L13,'2. DATA NL, VTBB'!C:C,'2. DATA NL, VTBB'!F:F),"")</f>
        <v>HH0206</v>
      </c>
      <c r="AQ13" s="277" t="str">
        <f t="array" ref="AQ13">IF(OR(K13="Nhãn", K13="Nhãn thùng",K13="Nhãn Túi"), K13 &amp; " " &amp; IFERROR(XLOOKUP(L13, '2. DATA NL, VTBB'!C:C, '2. DATA NL, VTBB'!E:E), ""), "")</f>
        <v/>
      </c>
      <c r="AR13" s="278" t="str">
        <f t="array" ref="AR13">IFERROR(XLOOKUP(L13,'2. DATA NL, VTBB'!C:C,'2. DATA NL, VTBB'!G:G),"")</f>
        <v>GC - II - 618 - AGC NEW - Leafroll (chai nhôm đỏ) - 240ml - 40</v>
      </c>
      <c r="AS13" s="278" t="str">
        <f t="array" ref="AS13">IFERROR(XLOOKUP(L13,'2. DATA NL, VTBB'!C:C,'2. DATA NL, VTBB'!G:G),"")</f>
        <v>GC - II - 618 - AGC NEW - Leafroll (chai nhôm đỏ) - 240ml - 40</v>
      </c>
      <c r="AT13" s="277"/>
    </row>
    <row r="14" ht="30.75" customHeight="1">
      <c r="A14" s="272">
        <f t="shared" si="10"/>
        <v>11</v>
      </c>
      <c r="B14" s="273">
        <v>45992.0</v>
      </c>
      <c r="C14" s="273">
        <v>45999.0</v>
      </c>
      <c r="D14" s="273">
        <f t="shared" si="1"/>
        <v>46007</v>
      </c>
      <c r="E14" s="273">
        <f t="shared" si="11"/>
        <v>46002</v>
      </c>
      <c r="F14" s="274" t="s">
        <v>561</v>
      </c>
      <c r="G14" s="275" t="s">
        <v>562</v>
      </c>
      <c r="H14" s="274" t="s">
        <v>304</v>
      </c>
      <c r="I14" s="275" t="s">
        <v>305</v>
      </c>
      <c r="J14" s="279" t="s">
        <v>711</v>
      </c>
      <c r="K14" s="275" t="s">
        <v>301</v>
      </c>
      <c r="L14" s="277" t="s">
        <v>713</v>
      </c>
      <c r="M14" s="278" t="str">
        <f t="array" ref="M14">IFERROR(XLOOKUP(L14,'2. DATA NL, VTBB'!C:C,'2. DATA NL, VTBB'!D:D),"")</f>
        <v>Thùng NEWTECH Chai HD 500ml x 30 chai (43.7x36.5x20.5cm) - Trắng viền xanh lá</v>
      </c>
      <c r="N14" s="280"/>
      <c r="O14" s="280" t="str">
        <f t="array" ref="O14">IFERROR( XLOOKUP(L14,'2. DATA NL, VTBB'!C:C,'2. DATA NL, VTBB'!E:E),"")</f>
        <v>TOPZOLE 800WG</v>
      </c>
      <c r="P14" s="275" t="s">
        <v>565</v>
      </c>
      <c r="Q14" s="280"/>
      <c r="R14" s="290" t="s">
        <v>566</v>
      </c>
      <c r="S14" s="280"/>
      <c r="T14" s="280"/>
      <c r="U14" s="280"/>
      <c r="V14" s="283">
        <v>100.0</v>
      </c>
      <c r="W14" s="275" t="s">
        <v>699</v>
      </c>
      <c r="X14" s="283">
        <v>100.0</v>
      </c>
      <c r="Y14" s="283">
        <v>110.0</v>
      </c>
      <c r="Z14" s="284">
        <v>18300.0</v>
      </c>
      <c r="AA14" s="285">
        <v>0.08</v>
      </c>
      <c r="AB14" s="282">
        <v>2174040.0</v>
      </c>
      <c r="AC14" s="277"/>
      <c r="AD14" s="273">
        <v>45992.0</v>
      </c>
      <c r="AE14" s="272">
        <v>1984.0</v>
      </c>
      <c r="AF14" s="277"/>
      <c r="AG14" s="280"/>
      <c r="AH14" s="294">
        <f>IFERROR(__xludf.DUMMYFUNCTION("IFERROR(INDEX( SORT(FILTER(
        {'1. DATA CHUNG'!$J$4:$J$105 , '1. DATA CHUNG'!$L$4:$L$105}, (TRIM('1. DATA CHUNG'!$I$4:$I$105)=TRIM(K14)) * IF(COUNTIFS('1. DATA CHUNG'!$I$4:$I$105,K14,'1. DATA CHUNG'!$M$4:$M$105,Q14), '1. DATA CHUNG'!$M$4:$M$105=Q14,"&amp;" 1) * ('1. DATA CHUNG'!$L$4:$L$105&lt;=TODAY()) ),   2, 0),  1, 1), 
  IFERROR( INDEX(FILTER('1. DATA CHUNG'!$J$4:$J$105, (TRIM('1. DATA CHUNG'!$I$4:$I$105)=TRIM(K14)) * IF(COUNTIFS('1. DATA CHUNG'!$I$4:$I$105,K14,'1. DATA CHUNG'!$M$4:$M$105,Q14), '1. DATA C"&amp;"HUNG'!$M$4:$M$105=Q14, 1) * ('1. DATA CHUNG'!$L$4:$L$105="""")), 1), ""Không tìm thấy"" ))"),18.0)</f>
        <v>18</v>
      </c>
      <c r="AI14" s="273">
        <f t="shared" si="2"/>
        <v>46010</v>
      </c>
      <c r="AJ14" s="287"/>
      <c r="AK14" s="286">
        <f t="shared" si="3"/>
        <v>0</v>
      </c>
      <c r="AL14" s="287">
        <f t="shared" si="4"/>
        <v>5</v>
      </c>
      <c r="AM14" s="287">
        <f t="shared" si="5"/>
        <v>8</v>
      </c>
      <c r="AN14" s="279">
        <f t="shared" si="6"/>
        <v>11</v>
      </c>
      <c r="AO14" s="295" t="str">
        <f t="shared" si="7"/>
        <v>12/2025</v>
      </c>
      <c r="AP14" s="277" t="str">
        <f t="array" ref="AP14">IFERROR(XLOOKUP(L14,'2. DATA NL, VTBB'!C:C,'2. DATA NL, VTBB'!F:F),"")</f>
        <v>HH0208</v>
      </c>
      <c r="AQ14" s="277" t="str">
        <f t="array" ref="AQ14">IF(OR(K14="Nhãn", K14="Nhãn thùng",K14="Nhãn Túi"), K14 &amp; " " &amp; IFERROR(XLOOKUP(L14, '2. DATA NL, VTBB'!C:C, '2. DATA NL, VTBB'!E:E), ""), "")</f>
        <v/>
      </c>
      <c r="AR14" s="278" t="str">
        <f t="array" ref="AR14">IFERROR(XLOOKUP(L14,'2. DATA NL, VTBB'!C:C,'2. DATA NL, VTBB'!G:G),"")</f>
        <v>GC - II - 622 - MK Group - Siêu Trừ Đạo Ôn Vi Khuẩn - 15.6 gr - 300</v>
      </c>
      <c r="AS14" s="278" t="str">
        <f t="array" ref="AS14">IFERROR(XLOOKUP(L14,'2. DATA NL, VTBB'!C:C,'2. DATA NL, VTBB'!G:G),"")</f>
        <v>GC - II - 622 - MK Group - Siêu Trừ Đạo Ôn Vi Khuẩn - 15.6 gr - 300</v>
      </c>
      <c r="AT14" s="277"/>
    </row>
    <row r="15" ht="30.75" customHeight="1">
      <c r="A15" s="272">
        <f t="shared" si="10"/>
        <v>12</v>
      </c>
      <c r="B15" s="273">
        <v>45992.0</v>
      </c>
      <c r="C15" s="273">
        <v>45999.0</v>
      </c>
      <c r="D15" s="273">
        <f t="shared" si="1"/>
        <v>46007</v>
      </c>
      <c r="E15" s="273">
        <f t="shared" si="11"/>
        <v>46002</v>
      </c>
      <c r="F15" s="274" t="s">
        <v>561</v>
      </c>
      <c r="G15" s="275" t="s">
        <v>562</v>
      </c>
      <c r="H15" s="274" t="s">
        <v>304</v>
      </c>
      <c r="I15" s="275" t="s">
        <v>305</v>
      </c>
      <c r="J15" s="279" t="s">
        <v>711</v>
      </c>
      <c r="K15" s="275" t="s">
        <v>301</v>
      </c>
      <c r="L15" s="277" t="s">
        <v>714</v>
      </c>
      <c r="M15" s="278" t="str">
        <f t="array" ref="M15">IFERROR(XLOOKUP(L15,'2. DATA NL, VTBB'!C:C,'2. DATA NL, VTBB'!D:D),"")</f>
        <v>Thùng JAPAN CROP SCIENCE Chai PET tròn 500ml x 40 chai (55x34.5x19cm) - Trắng viền xanh dương</v>
      </c>
      <c r="N15" s="280"/>
      <c r="O15" s="280" t="str">
        <f t="array" ref="O15">IFERROR( XLOOKUP(L15,'2. DATA NL, VTBB'!C:C,'2. DATA NL, VTBB'!E:E),"")</f>
        <v>CHIM ƯNG 3.8EC</v>
      </c>
      <c r="P15" s="275" t="s">
        <v>565</v>
      </c>
      <c r="Q15" s="280"/>
      <c r="R15" s="290" t="s">
        <v>566</v>
      </c>
      <c r="S15" s="280"/>
      <c r="T15" s="280"/>
      <c r="U15" s="280"/>
      <c r="V15" s="283">
        <v>100.0</v>
      </c>
      <c r="W15" s="275" t="s">
        <v>699</v>
      </c>
      <c r="X15" s="283">
        <v>100.0</v>
      </c>
      <c r="Y15" s="283">
        <v>110.0</v>
      </c>
      <c r="Z15" s="284">
        <v>19200.0</v>
      </c>
      <c r="AA15" s="285">
        <v>0.08</v>
      </c>
      <c r="AB15" s="282">
        <v>2280960.0</v>
      </c>
      <c r="AC15" s="277"/>
      <c r="AD15" s="273">
        <v>45992.0</v>
      </c>
      <c r="AE15" s="272">
        <v>1986.0</v>
      </c>
      <c r="AF15" s="277"/>
      <c r="AG15" s="280"/>
      <c r="AH15" s="294">
        <f>IFERROR(__xludf.DUMMYFUNCTION("IFERROR(INDEX( SORT(FILTER(
        {'1. DATA CHUNG'!$J$4:$J$105 , '1. DATA CHUNG'!$L$4:$L$105}, (TRIM('1. DATA CHUNG'!$I$4:$I$105)=TRIM(K15)) * IF(COUNTIFS('1. DATA CHUNG'!$I$4:$I$105,K15,'1. DATA CHUNG'!$M$4:$M$105,Q15), '1. DATA CHUNG'!$M$4:$M$105=Q15,"&amp;" 1) * ('1. DATA CHUNG'!$L$4:$L$105&lt;=TODAY()) ),   2, 0),  1, 1), 
  IFERROR( INDEX(FILTER('1. DATA CHUNG'!$J$4:$J$105, (TRIM('1. DATA CHUNG'!$I$4:$I$105)=TRIM(K15)) * IF(COUNTIFS('1. DATA CHUNG'!$I$4:$I$105,K15,'1. DATA CHUNG'!$M$4:$M$105,Q15), '1. DATA C"&amp;"HUNG'!$M$4:$M$105=Q15, 1) * ('1. DATA CHUNG'!$L$4:$L$105="""")), 1), ""Không tìm thấy"" ))"),18.0)</f>
        <v>18</v>
      </c>
      <c r="AI15" s="273">
        <f t="shared" si="2"/>
        <v>46010</v>
      </c>
      <c r="AJ15" s="287"/>
      <c r="AK15" s="286">
        <f t="shared" si="3"/>
        <v>0</v>
      </c>
      <c r="AL15" s="287">
        <f t="shared" si="4"/>
        <v>5</v>
      </c>
      <c r="AM15" s="287">
        <f t="shared" si="5"/>
        <v>8</v>
      </c>
      <c r="AN15" s="279">
        <f t="shared" si="6"/>
        <v>11</v>
      </c>
      <c r="AO15" s="295" t="str">
        <f t="shared" si="7"/>
        <v>12/2025</v>
      </c>
      <c r="AP15" s="277" t="str">
        <f t="array" ref="AP15">IFERROR(XLOOKUP(L15,'2. DATA NL, VTBB'!C:C,'2. DATA NL, VTBB'!F:F),"")</f>
        <v>HH0261</v>
      </c>
      <c r="AQ15" s="277" t="str">
        <f t="array" ref="AQ15">IF(OR(K15="Nhãn", K15="Nhãn thùng",K15="Nhãn Túi"), K15 &amp; " " &amp; IFERROR(XLOOKUP(L15, '2. DATA NL, VTBB'!C:C, '2. DATA NL, VTBB'!E:E), ""), "")</f>
        <v/>
      </c>
      <c r="AR15" s="278" t="str">
        <f t="array" ref="AR15">IFERROR(XLOOKUP(L15,'2. DATA NL, VTBB'!C:C,'2. DATA NL, VTBB'!G:G),"")</f>
        <v>GC - I - 679 - AU - Diều Hâu Đen (chai nhôm xanh dương) - 240ml - 40</v>
      </c>
      <c r="AS15" s="278" t="str">
        <f t="array" ref="AS15">IFERROR(XLOOKUP(L15,'2. DATA NL, VTBB'!C:C,'2. DATA NL, VTBB'!G:G),"")</f>
        <v>GC - I - 679 - AU - Diều Hâu Đen (chai nhôm xanh dương) - 240ml - 40</v>
      </c>
      <c r="AT15" s="277"/>
    </row>
    <row r="16" ht="30.75" customHeight="1">
      <c r="A16" s="272">
        <f t="shared" si="10"/>
        <v>13</v>
      </c>
      <c r="B16" s="273">
        <v>45992.0</v>
      </c>
      <c r="C16" s="273">
        <v>45999.0</v>
      </c>
      <c r="D16" s="273">
        <f t="shared" si="1"/>
        <v>46007</v>
      </c>
      <c r="E16" s="273">
        <f t="shared" si="11"/>
        <v>46002</v>
      </c>
      <c r="F16" s="274" t="s">
        <v>561</v>
      </c>
      <c r="G16" s="275" t="s">
        <v>562</v>
      </c>
      <c r="H16" s="274" t="s">
        <v>304</v>
      </c>
      <c r="I16" s="275" t="s">
        <v>305</v>
      </c>
      <c r="J16" s="279" t="s">
        <v>711</v>
      </c>
      <c r="K16" s="275" t="s">
        <v>301</v>
      </c>
      <c r="L16" s="277" t="s">
        <v>646</v>
      </c>
      <c r="M16" s="278" t="str">
        <f t="array" ref="M16">IFERROR(XLOOKUP(L16,'2. DATA NL, VTBB'!C:C,'2. DATA NL, VTBB'!D:D),"")</f>
        <v>Thùng dùng chung ABA Chai 450 ml x 30 chai (45.5x38x21cm) - Trắng</v>
      </c>
      <c r="N16" s="280"/>
      <c r="O16" s="280" t="str">
        <f t="array" ref="O16">IFERROR( XLOOKUP(L16,'2. DATA NL, VTBB'!C:C,'2. DATA NL, VTBB'!E:E),"")</f>
        <v>Vi lượng Basel IDA 50</v>
      </c>
      <c r="P16" s="275" t="s">
        <v>565</v>
      </c>
      <c r="Q16" s="280"/>
      <c r="R16" s="290" t="s">
        <v>566</v>
      </c>
      <c r="S16" s="280"/>
      <c r="T16" s="280"/>
      <c r="U16" s="280"/>
      <c r="V16" s="283">
        <v>200.0</v>
      </c>
      <c r="W16" s="275" t="s">
        <v>699</v>
      </c>
      <c r="X16" s="283">
        <v>200.0</v>
      </c>
      <c r="Y16" s="283">
        <v>206.0</v>
      </c>
      <c r="Z16" s="284">
        <v>19700.0</v>
      </c>
      <c r="AA16" s="285">
        <v>0.08</v>
      </c>
      <c r="AB16" s="282">
        <v>4382856.0</v>
      </c>
      <c r="AC16" s="277"/>
      <c r="AD16" s="273">
        <v>45992.0</v>
      </c>
      <c r="AE16" s="272">
        <v>1983.0</v>
      </c>
      <c r="AF16" s="277"/>
      <c r="AG16" s="280"/>
      <c r="AH16" s="294">
        <f>IFERROR(__xludf.DUMMYFUNCTION("IFERROR(INDEX( SORT(FILTER(
        {'1. DATA CHUNG'!$J$4:$J$105 , '1. DATA CHUNG'!$L$4:$L$105}, (TRIM('1. DATA CHUNG'!$I$4:$I$105)=TRIM(K16)) * IF(COUNTIFS('1. DATA CHUNG'!$I$4:$I$105,K16,'1. DATA CHUNG'!$M$4:$M$105,Q16), '1. DATA CHUNG'!$M$4:$M$105=Q16,"&amp;" 1) * ('1. DATA CHUNG'!$L$4:$L$105&lt;=TODAY()) ),   2, 0),  1, 1), 
  IFERROR( INDEX(FILTER('1. DATA CHUNG'!$J$4:$J$105, (TRIM('1. DATA CHUNG'!$I$4:$I$105)=TRIM(K16)) * IF(COUNTIFS('1. DATA CHUNG'!$I$4:$I$105,K16,'1. DATA CHUNG'!$M$4:$M$105,Q16), '1. DATA C"&amp;"HUNG'!$M$4:$M$105=Q16, 1) * ('1. DATA CHUNG'!$L$4:$L$105="""")), 1), ""Không tìm thấy"" ))"),18.0)</f>
        <v>18</v>
      </c>
      <c r="AI16" s="273">
        <f t="shared" si="2"/>
        <v>46010</v>
      </c>
      <c r="AJ16" s="287"/>
      <c r="AK16" s="286">
        <f t="shared" si="3"/>
        <v>0</v>
      </c>
      <c r="AL16" s="287">
        <f t="shared" si="4"/>
        <v>5</v>
      </c>
      <c r="AM16" s="287">
        <f t="shared" si="5"/>
        <v>8</v>
      </c>
      <c r="AN16" s="279">
        <f t="shared" si="6"/>
        <v>11</v>
      </c>
      <c r="AO16" s="295" t="str">
        <f t="shared" si="7"/>
        <v>12/2025</v>
      </c>
      <c r="AP16" s="277" t="str">
        <f t="array" ref="AP16">IFERROR(XLOOKUP(L16,'2. DATA NL, VTBB'!C:C,'2. DATA NL, VTBB'!F:F),"")</f>
        <v>HH0061</v>
      </c>
      <c r="AQ16" s="277" t="str">
        <f t="array" ref="AQ16">IF(OR(K16="Nhãn", K16="Nhãn thùng",K16="Nhãn Túi"), K16 &amp; " " &amp; IFERROR(XLOOKUP(L16, '2. DATA NL, VTBB'!C:C, '2. DATA NL, VTBB'!E:E), ""), "")</f>
        <v/>
      </c>
      <c r="AR16" s="278" t="str">
        <f t="array" ref="AR16">IFERROR(XLOOKUP(L16,'2. DATA NL, VTBB'!C:C,'2. DATA NL, VTBB'!G:G),"")</f>
        <v>IDA Global - I - 401.2 - Chito - M55 (drone) (mới)- 500ml - 40</v>
      </c>
      <c r="AS16" s="278" t="str">
        <f t="array" ref="AS16">IFERROR(XLOOKUP(L16,'2. DATA NL, VTBB'!C:C,'2. DATA NL, VTBB'!G:G),"")</f>
        <v>IDA Global - I - 401.2 - Chito - M55 (drone) (mới)- 500ml - 40</v>
      </c>
      <c r="AT16" s="277"/>
    </row>
    <row r="17" ht="30.75" customHeight="1">
      <c r="A17" s="272">
        <f t="shared" si="10"/>
        <v>14</v>
      </c>
      <c r="B17" s="273">
        <v>45992.0</v>
      </c>
      <c r="C17" s="273">
        <v>45999.0</v>
      </c>
      <c r="D17" s="273">
        <f t="shared" si="1"/>
        <v>46007</v>
      </c>
      <c r="E17" s="273">
        <f t="shared" si="11"/>
        <v>46002</v>
      </c>
      <c r="F17" s="274" t="s">
        <v>561</v>
      </c>
      <c r="G17" s="275" t="s">
        <v>562</v>
      </c>
      <c r="H17" s="274" t="s">
        <v>304</v>
      </c>
      <c r="I17" s="275" t="s">
        <v>305</v>
      </c>
      <c r="J17" s="279" t="s">
        <v>715</v>
      </c>
      <c r="K17" s="275" t="s">
        <v>301</v>
      </c>
      <c r="L17" s="277" t="s">
        <v>710</v>
      </c>
      <c r="M17" s="278" t="str">
        <f t="array" ref="M17">IFERROR(XLOOKUP(L17,'2. DATA NL, VTBB'!C:C,'2. DATA NL, VTBB'!D:D),"")</f>
        <v>Thùng chung chai tròn cao 500ml x 40 chai (55.5x35x21.5cm) - Trắng</v>
      </c>
      <c r="N17" s="280"/>
      <c r="O17" s="280" t="str">
        <f t="array" ref="O17">IFERROR( XLOOKUP(L17,'2. DATA NL, VTBB'!C:C,'2. DATA NL, VTBB'!E:E),"")</f>
        <v>TVZEB 800WP</v>
      </c>
      <c r="P17" s="275" t="s">
        <v>565</v>
      </c>
      <c r="Q17" s="280"/>
      <c r="R17" s="290" t="s">
        <v>566</v>
      </c>
      <c r="S17" s="280"/>
      <c r="T17" s="280"/>
      <c r="U17" s="280"/>
      <c r="V17" s="283">
        <v>200.0</v>
      </c>
      <c r="W17" s="275" t="s">
        <v>699</v>
      </c>
      <c r="X17" s="283">
        <v>200.0</v>
      </c>
      <c r="Y17" s="283">
        <v>213.0</v>
      </c>
      <c r="Z17" s="287">
        <v>19800.0</v>
      </c>
      <c r="AA17" s="285">
        <v>0.08</v>
      </c>
      <c r="AB17" s="282">
        <v>4554792.0</v>
      </c>
      <c r="AC17" s="277"/>
      <c r="AD17" s="273">
        <v>45992.0</v>
      </c>
      <c r="AE17" s="272">
        <v>1968.0</v>
      </c>
      <c r="AF17" s="277"/>
      <c r="AG17" s="280"/>
      <c r="AH17" s="294">
        <f>IFERROR(__xludf.DUMMYFUNCTION("IFERROR(INDEX( SORT(FILTER(
        {'1. DATA CHUNG'!$J$4:$J$105 , '1. DATA CHUNG'!$L$4:$L$105}, (TRIM('1. DATA CHUNG'!$I$4:$I$105)=TRIM(K17)) * IF(COUNTIFS('1. DATA CHUNG'!$I$4:$I$105,K17,'1. DATA CHUNG'!$M$4:$M$105,Q17), '1. DATA CHUNG'!$M$4:$M$105=Q17,"&amp;" 1) * ('1. DATA CHUNG'!$L$4:$L$105&lt;=TODAY()) ),   2, 0),  1, 1), 
  IFERROR( INDEX(FILTER('1. DATA CHUNG'!$J$4:$J$105, (TRIM('1. DATA CHUNG'!$I$4:$I$105)=TRIM(K17)) * IF(COUNTIFS('1. DATA CHUNG'!$I$4:$I$105,K17,'1. DATA CHUNG'!$M$4:$M$105,Q17), '1. DATA C"&amp;"HUNG'!$M$4:$M$105=Q17, 1) * ('1. DATA CHUNG'!$L$4:$L$105="""")), 1), ""Không tìm thấy"" ))"),18.0)</f>
        <v>18</v>
      </c>
      <c r="AI17" s="273">
        <f t="shared" si="2"/>
        <v>46010</v>
      </c>
      <c r="AJ17" s="287"/>
      <c r="AK17" s="286">
        <f t="shared" si="3"/>
        <v>0</v>
      </c>
      <c r="AL17" s="287">
        <f t="shared" si="4"/>
        <v>5</v>
      </c>
      <c r="AM17" s="287">
        <f t="shared" si="5"/>
        <v>8</v>
      </c>
      <c r="AN17" s="279">
        <f t="shared" si="6"/>
        <v>11</v>
      </c>
      <c r="AO17" s="295" t="str">
        <f t="shared" si="7"/>
        <v>12/2025</v>
      </c>
      <c r="AP17" s="277" t="str">
        <f t="array" ref="AP17">IFERROR(XLOOKUP(L17,'2. DATA NL, VTBB'!C:C,'2. DATA NL, VTBB'!F:F),"")</f>
        <v>HH0091</v>
      </c>
      <c r="AQ17" s="277" t="str">
        <f t="array" ref="AQ17">IF(OR(K17="Nhãn", K17="Nhãn thùng",K17="Nhãn Túi"), K17 &amp; " " &amp; IFERROR(XLOOKUP(L17, '2. DATA NL, VTBB'!C:C, '2. DATA NL, VTBB'!E:E), ""), "")</f>
        <v/>
      </c>
      <c r="AR17" s="278" t="str">
        <f t="array" ref="AR17">IFERROR(XLOOKUP(L17,'2. DATA NL, VTBB'!C:C,'2. DATA NL, VTBB'!G:G),"")</f>
        <v>GC - I - 449 - Thiên Di - Mancozeb Xanh (Nhãn xanh Dương) - 1kg - 20</v>
      </c>
      <c r="AS17" s="278" t="str">
        <f t="array" ref="AS17">IFERROR(XLOOKUP(L17,'2. DATA NL, VTBB'!C:C,'2. DATA NL, VTBB'!G:G),"")</f>
        <v>GC - I - 449 - Thiên Di - Mancozeb Xanh (Nhãn xanh Dương) - 1kg - 20</v>
      </c>
      <c r="AT17" s="277"/>
    </row>
    <row r="18" ht="30.75" customHeight="1">
      <c r="A18" s="281">
        <f t="shared" si="10"/>
        <v>15</v>
      </c>
      <c r="B18" s="296">
        <v>45806.0</v>
      </c>
      <c r="C18" s="296">
        <v>45806.0</v>
      </c>
      <c r="D18" s="296">
        <v>45806.0</v>
      </c>
      <c r="E18" s="296">
        <v>45818.0</v>
      </c>
      <c r="F18" s="290" t="s">
        <v>561</v>
      </c>
      <c r="G18" s="291" t="s">
        <v>580</v>
      </c>
      <c r="H18" s="290" t="s">
        <v>304</v>
      </c>
      <c r="I18" s="291" t="s">
        <v>305</v>
      </c>
      <c r="J18" s="297" t="s">
        <v>716</v>
      </c>
      <c r="K18" s="298" t="s">
        <v>717</v>
      </c>
      <c r="L18" s="298" t="s">
        <v>718</v>
      </c>
      <c r="M18" s="299" t="str">
        <f t="array" ref="M18">IFERROR(XLOOKUP(L18,'2. DATA NL, VTBB'!C:C,'2. DATA NL, VTBB'!D:D),"")</f>
        <v>Bán thành phẩm nhập khẩu Abamectin 3.6% W/W EC nâu</v>
      </c>
      <c r="N18" s="300"/>
      <c r="O18" s="300" t="str">
        <f t="array" ref="O18">IFERROR( XLOOKUP(L18,'2. DATA NL, VTBB'!C:C,'2. DATA NL, VTBB'!E:E),"")</f>
        <v/>
      </c>
      <c r="P18" s="291" t="s">
        <v>565</v>
      </c>
      <c r="Q18" s="301"/>
      <c r="R18" s="291" t="s">
        <v>573</v>
      </c>
      <c r="S18" s="300"/>
      <c r="T18" s="300"/>
      <c r="U18" s="300"/>
      <c r="V18" s="302">
        <v>16000.0</v>
      </c>
      <c r="W18" s="291" t="s">
        <v>719</v>
      </c>
      <c r="X18" s="302">
        <v>16000.0</v>
      </c>
      <c r="Y18" s="303">
        <v>16000.0</v>
      </c>
      <c r="Z18" s="304">
        <v>2.88</v>
      </c>
      <c r="AA18" s="305"/>
      <c r="AB18" s="303">
        <v>46080.0</v>
      </c>
      <c r="AC18" s="306"/>
      <c r="AD18" s="301"/>
      <c r="AE18" s="307"/>
      <c r="AF18" s="306"/>
      <c r="AG18" s="306"/>
      <c r="AH18" s="308" t="str">
        <f>IFERROR(__xludf.DUMMYFUNCTION("IFERROR(INDEX( SORT(FILTER(
        {'1. DATA CHUNG'!$J$4:$J$105 , '1. DATA CHUNG'!$L$4:$L$105}, (TRIM('1. DATA CHUNG'!$I$4:$I$105)=TRIM(K18)) * IF(COUNTIFS('1. DATA CHUNG'!$I$4:$I$105,K18,'1. DATA CHUNG'!$M$4:$M$105,Q18), '1. DATA CHUNG'!$M$4:$M$105=Q18,"&amp;" 1) * ('1. DATA CHUNG'!$L$4:$L$105&lt;=TODAY()) ),   2, 0),  1, 1), 
  IFERROR( INDEX(FILTER('1. DATA CHUNG'!$J$4:$J$105, (TRIM('1. DATA CHUNG'!$I$4:$I$105)=TRIM(K18)) * IF(COUNTIFS('1. DATA CHUNG'!$I$4:$I$105,K18,'1. DATA CHUNG'!$M$4:$M$105,Q18), '1. DATA C"&amp;"HUNG'!$M$4:$M$105=Q18, 1) * ('1. DATA CHUNG'!$L$4:$L$105="""")), 1), ""Không tìm thấy"" ))"),"Không tìm thấy")</f>
        <v>Không tìm thấy</v>
      </c>
      <c r="AI18" s="273" t="str">
        <f t="shared" si="2"/>
        <v/>
      </c>
      <c r="AJ18" s="287"/>
      <c r="AK18" s="286">
        <f t="shared" si="3"/>
        <v>0</v>
      </c>
      <c r="AL18" s="287">
        <f t="shared" si="4"/>
        <v>-12</v>
      </c>
      <c r="AM18" s="287" t="str">
        <f t="shared" si="5"/>
        <v/>
      </c>
      <c r="AN18" s="279" t="str">
        <f t="shared" si="6"/>
        <v/>
      </c>
      <c r="AO18" s="309" t="str">
        <f t="shared" si="7"/>
        <v>05/2025</v>
      </c>
      <c r="AP18" s="306" t="str">
        <f t="array" ref="AP18">IFERROR(XLOOKUP(L18,'2. DATA NL, VTBB'!C:C,'2. DATA NL, VTBB'!F:F),"")</f>
        <v/>
      </c>
      <c r="AQ18" s="306" t="str">
        <f t="array" ref="AQ18">IF(OR(K18="Nhãn", K18="Nhãn thùng",K18="Nhãn Túi"), K18 &amp; " " &amp; IFERROR(XLOOKUP(L18, '2. DATA NL, VTBB'!C:C, '2. DATA NL, VTBB'!E:E), ""), "")</f>
        <v/>
      </c>
      <c r="AR18" s="278" t="str">
        <f t="array" ref="AR18">IFERROR(XLOOKUP(L18,'2. DATA NL, VTBB'!C:C,'2. DATA NL, VTBB'!G:G),"")</f>
        <v/>
      </c>
      <c r="AS18" s="278" t="str">
        <f t="array" ref="AS18">IFERROR(XLOOKUP(L18,'2. DATA NL, VTBB'!C:C,'2. DATA NL, VTBB'!G:G),"")</f>
        <v/>
      </c>
      <c r="AT18" s="306"/>
    </row>
    <row r="19" ht="30.75" customHeight="1">
      <c r="A19" s="281">
        <f t="shared" si="10"/>
        <v>16</v>
      </c>
      <c r="B19" s="296">
        <v>45524.0</v>
      </c>
      <c r="C19" s="296">
        <v>45524.0</v>
      </c>
      <c r="D19" s="296">
        <v>45524.0</v>
      </c>
      <c r="E19" s="296">
        <v>45644.0</v>
      </c>
      <c r="F19" s="290" t="s">
        <v>561</v>
      </c>
      <c r="G19" s="291" t="s">
        <v>580</v>
      </c>
      <c r="H19" s="290" t="s">
        <v>304</v>
      </c>
      <c r="I19" s="298" t="s">
        <v>720</v>
      </c>
      <c r="J19" s="297" t="s">
        <v>721</v>
      </c>
      <c r="K19" s="298" t="s">
        <v>717</v>
      </c>
      <c r="L19" s="298" t="s">
        <v>718</v>
      </c>
      <c r="M19" s="299" t="str">
        <f t="array" ref="M19">IFERROR(XLOOKUP(L19,'2. DATA NL, VTBB'!C:C,'2. DATA NL, VTBB'!D:D),"")</f>
        <v>Bán thành phẩm nhập khẩu Abamectin 3.6% W/W EC nâu</v>
      </c>
      <c r="N19" s="300"/>
      <c r="O19" s="300" t="str">
        <f t="array" ref="O19">IFERROR( XLOOKUP(L19,'2. DATA NL, VTBB'!C:C,'2. DATA NL, VTBB'!E:E),"")</f>
        <v/>
      </c>
      <c r="P19" s="291" t="s">
        <v>565</v>
      </c>
      <c r="Q19" s="301"/>
      <c r="R19" s="291" t="s">
        <v>573</v>
      </c>
      <c r="S19" s="300"/>
      <c r="T19" s="300"/>
      <c r="U19" s="300"/>
      <c r="V19" s="302">
        <v>16000.0</v>
      </c>
      <c r="W19" s="291" t="s">
        <v>719</v>
      </c>
      <c r="X19" s="302">
        <v>16000.0</v>
      </c>
      <c r="Y19" s="303">
        <v>16000.0</v>
      </c>
      <c r="Z19" s="304">
        <v>2.85</v>
      </c>
      <c r="AA19" s="305"/>
      <c r="AB19" s="303">
        <v>45600.0</v>
      </c>
      <c r="AC19" s="306"/>
      <c r="AD19" s="301"/>
      <c r="AE19" s="307"/>
      <c r="AF19" s="306"/>
      <c r="AG19" s="306"/>
      <c r="AH19" s="308" t="str">
        <f>IFERROR(__xludf.DUMMYFUNCTION("IFERROR(INDEX( SORT(FILTER(
        {'1. DATA CHUNG'!$J$4:$J$105 , '1. DATA CHUNG'!$L$4:$L$105}, (TRIM('1. DATA CHUNG'!$I$4:$I$105)=TRIM(K19)) * IF(COUNTIFS('1. DATA CHUNG'!$I$4:$I$105,K19,'1. DATA CHUNG'!$M$4:$M$105,Q19), '1. DATA CHUNG'!$M$4:$M$105=Q19,"&amp;" 1) * ('1. DATA CHUNG'!$L$4:$L$105&lt;=TODAY()) ),   2, 0),  1, 1), 
  IFERROR( INDEX(FILTER('1. DATA CHUNG'!$J$4:$J$105, (TRIM('1. DATA CHUNG'!$I$4:$I$105)=TRIM(K19)) * IF(COUNTIFS('1. DATA CHUNG'!$I$4:$I$105,K19,'1. DATA CHUNG'!$M$4:$M$105,Q19), '1. DATA C"&amp;"HUNG'!$M$4:$M$105=Q19, 1) * ('1. DATA CHUNG'!$L$4:$L$105="""")), 1), ""Không tìm thấy"" ))"),"Không tìm thấy")</f>
        <v>Không tìm thấy</v>
      </c>
      <c r="AI19" s="273" t="str">
        <f t="shared" si="2"/>
        <v/>
      </c>
      <c r="AJ19" s="287"/>
      <c r="AK19" s="286">
        <f t="shared" si="3"/>
        <v>0</v>
      </c>
      <c r="AL19" s="287">
        <f t="shared" si="4"/>
        <v>-120</v>
      </c>
      <c r="AM19" s="287" t="str">
        <f t="shared" si="5"/>
        <v/>
      </c>
      <c r="AN19" s="279" t="str">
        <f t="shared" si="6"/>
        <v/>
      </c>
      <c r="AO19" s="309" t="str">
        <f t="shared" si="7"/>
        <v>08/2024</v>
      </c>
      <c r="AP19" s="306" t="str">
        <f t="array" ref="AP19">IFERROR(XLOOKUP(L19,'2. DATA NL, VTBB'!C:C,'2. DATA NL, VTBB'!F:F),"")</f>
        <v/>
      </c>
      <c r="AQ19" s="306" t="str">
        <f t="array" ref="AQ19">IF(OR(K19="Nhãn", K19="Nhãn thùng",K19="Nhãn Túi"), K19 &amp; " " &amp; IFERROR(XLOOKUP(L19, '2. DATA NL, VTBB'!C:C, '2. DATA NL, VTBB'!E:E), ""), "")</f>
        <v/>
      </c>
      <c r="AR19" s="278" t="str">
        <f t="array" ref="AR19">IFERROR(XLOOKUP(L19,'2. DATA NL, VTBB'!C:C,'2. DATA NL, VTBB'!G:G),"")</f>
        <v/>
      </c>
      <c r="AS19" s="278" t="str">
        <f t="array" ref="AS19">IFERROR(XLOOKUP(L19,'2. DATA NL, VTBB'!C:C,'2. DATA NL, VTBB'!G:G),"")</f>
        <v/>
      </c>
      <c r="AT19" s="306"/>
    </row>
    <row r="20" ht="30.75" customHeight="1">
      <c r="A20" s="281">
        <f t="shared" si="10"/>
        <v>17</v>
      </c>
      <c r="B20" s="296">
        <v>45673.0</v>
      </c>
      <c r="C20" s="296">
        <v>45673.0</v>
      </c>
      <c r="D20" s="296">
        <v>45673.0</v>
      </c>
      <c r="E20" s="296">
        <v>45700.0</v>
      </c>
      <c r="F20" s="290" t="s">
        <v>561</v>
      </c>
      <c r="G20" s="291" t="s">
        <v>580</v>
      </c>
      <c r="H20" s="290" t="s">
        <v>304</v>
      </c>
      <c r="I20" s="298" t="s">
        <v>720</v>
      </c>
      <c r="J20" s="297" t="s">
        <v>722</v>
      </c>
      <c r="K20" s="298" t="s">
        <v>717</v>
      </c>
      <c r="L20" s="298" t="s">
        <v>718</v>
      </c>
      <c r="M20" s="299" t="str">
        <f t="array" ref="M20">IFERROR(XLOOKUP(L20,'2. DATA NL, VTBB'!C:C,'2. DATA NL, VTBB'!D:D),"")</f>
        <v>Bán thành phẩm nhập khẩu Abamectin 3.6% W/W EC nâu</v>
      </c>
      <c r="N20" s="300"/>
      <c r="O20" s="300" t="str">
        <f t="array" ref="O20">IFERROR( XLOOKUP(L20,'2. DATA NL, VTBB'!C:C,'2. DATA NL, VTBB'!E:E),"")</f>
        <v/>
      </c>
      <c r="P20" s="291" t="s">
        <v>565</v>
      </c>
      <c r="Q20" s="301"/>
      <c r="R20" s="291" t="s">
        <v>573</v>
      </c>
      <c r="S20" s="300"/>
      <c r="T20" s="300"/>
      <c r="U20" s="300"/>
      <c r="V20" s="302">
        <v>16000.0</v>
      </c>
      <c r="W20" s="291" t="s">
        <v>719</v>
      </c>
      <c r="X20" s="302">
        <v>16000.0</v>
      </c>
      <c r="Y20" s="303">
        <v>16000.0</v>
      </c>
      <c r="Z20" s="304">
        <v>2.87</v>
      </c>
      <c r="AA20" s="305"/>
      <c r="AB20" s="303">
        <v>45920.0</v>
      </c>
      <c r="AC20" s="306"/>
      <c r="AD20" s="301"/>
      <c r="AE20" s="307"/>
      <c r="AF20" s="306"/>
      <c r="AG20" s="306"/>
      <c r="AH20" s="308" t="str">
        <f>IFERROR(__xludf.DUMMYFUNCTION("IFERROR(INDEX( SORT(FILTER(
        {'1. DATA CHUNG'!$J$4:$J$105 , '1. DATA CHUNG'!$L$4:$L$105}, (TRIM('1. DATA CHUNG'!$I$4:$I$105)=TRIM(K20)) * IF(COUNTIFS('1. DATA CHUNG'!$I$4:$I$105,K20,'1. DATA CHUNG'!$M$4:$M$105,Q20), '1. DATA CHUNG'!$M$4:$M$105=Q20,"&amp;" 1) * ('1. DATA CHUNG'!$L$4:$L$105&lt;=TODAY()) ),   2, 0),  1, 1), 
  IFERROR( INDEX(FILTER('1. DATA CHUNG'!$J$4:$J$105, (TRIM('1. DATA CHUNG'!$I$4:$I$105)=TRIM(K20)) * IF(COUNTIFS('1. DATA CHUNG'!$I$4:$I$105,K20,'1. DATA CHUNG'!$M$4:$M$105,Q20), '1. DATA C"&amp;"HUNG'!$M$4:$M$105=Q20, 1) * ('1. DATA CHUNG'!$L$4:$L$105="""")), 1), ""Không tìm thấy"" ))"),"Không tìm thấy")</f>
        <v>Không tìm thấy</v>
      </c>
      <c r="AI20" s="273" t="str">
        <f t="shared" si="2"/>
        <v/>
      </c>
      <c r="AJ20" s="287"/>
      <c r="AK20" s="286">
        <f t="shared" si="3"/>
        <v>0</v>
      </c>
      <c r="AL20" s="287">
        <f t="shared" si="4"/>
        <v>-27</v>
      </c>
      <c r="AM20" s="287" t="str">
        <f t="shared" si="5"/>
        <v/>
      </c>
      <c r="AN20" s="279" t="str">
        <f t="shared" si="6"/>
        <v/>
      </c>
      <c r="AO20" s="309" t="str">
        <f t="shared" si="7"/>
        <v>01/2025</v>
      </c>
      <c r="AP20" s="306" t="str">
        <f t="array" ref="AP20">IFERROR(XLOOKUP(L20,'2. DATA NL, VTBB'!C:C,'2. DATA NL, VTBB'!F:F),"")</f>
        <v/>
      </c>
      <c r="AQ20" s="306" t="str">
        <f t="array" ref="AQ20">IF(OR(K20="Nhãn", K20="Nhãn thùng",K20="Nhãn Túi"), K20 &amp; " " &amp; IFERROR(XLOOKUP(L20, '2. DATA NL, VTBB'!C:C, '2. DATA NL, VTBB'!E:E), ""), "")</f>
        <v/>
      </c>
      <c r="AR20" s="278" t="str">
        <f t="array" ref="AR20">IFERROR(XLOOKUP(L20,'2. DATA NL, VTBB'!C:C,'2. DATA NL, VTBB'!G:G),"")</f>
        <v/>
      </c>
      <c r="AS20" s="278" t="str">
        <f t="array" ref="AS20">IFERROR(XLOOKUP(L20,'2. DATA NL, VTBB'!C:C,'2. DATA NL, VTBB'!G:G),"")</f>
        <v/>
      </c>
      <c r="AT20" s="306"/>
    </row>
    <row r="21" ht="30.75" customHeight="1">
      <c r="A21" s="281">
        <f t="shared" si="10"/>
        <v>18</v>
      </c>
      <c r="B21" s="296">
        <v>46024.0</v>
      </c>
      <c r="C21" s="296">
        <v>46024.0</v>
      </c>
      <c r="D21" s="296">
        <v>46024.0</v>
      </c>
      <c r="E21" s="296">
        <v>46024.0</v>
      </c>
      <c r="F21" s="290" t="s">
        <v>561</v>
      </c>
      <c r="G21" s="291" t="s">
        <v>562</v>
      </c>
      <c r="H21" s="290" t="s">
        <v>304</v>
      </c>
      <c r="I21" s="298" t="s">
        <v>723</v>
      </c>
      <c r="J21" s="297" t="s">
        <v>724</v>
      </c>
      <c r="K21" s="298" t="s">
        <v>717</v>
      </c>
      <c r="L21" s="298" t="s">
        <v>718</v>
      </c>
      <c r="M21" s="299" t="str">
        <f t="array" ref="M21">IFERROR(XLOOKUP(L21,'2. DATA NL, VTBB'!C:C,'2. DATA NL, VTBB'!D:D),"")</f>
        <v>Bán thành phẩm nhập khẩu Abamectin 3.6% W/W EC nâu</v>
      </c>
      <c r="N21" s="300"/>
      <c r="O21" s="300" t="str">
        <f t="array" ref="O21">IFERROR( XLOOKUP(L21,'2. DATA NL, VTBB'!C:C,'2. DATA NL, VTBB'!E:E),"")</f>
        <v/>
      </c>
      <c r="P21" s="291" t="s">
        <v>565</v>
      </c>
      <c r="Q21" s="301"/>
      <c r="R21" s="291" t="s">
        <v>573</v>
      </c>
      <c r="S21" s="300"/>
      <c r="T21" s="300"/>
      <c r="U21" s="300"/>
      <c r="V21" s="302">
        <v>32000.0</v>
      </c>
      <c r="W21" s="291" t="s">
        <v>719</v>
      </c>
      <c r="X21" s="302">
        <v>32000.0</v>
      </c>
      <c r="Y21" s="303">
        <v>32000.0</v>
      </c>
      <c r="Z21" s="304">
        <v>2.65</v>
      </c>
      <c r="AA21" s="305"/>
      <c r="AB21" s="303">
        <v>84800.0</v>
      </c>
      <c r="AC21" s="306"/>
      <c r="AD21" s="301"/>
      <c r="AE21" s="307"/>
      <c r="AF21" s="306"/>
      <c r="AG21" s="306"/>
      <c r="AH21" s="308" t="str">
        <f>IFERROR(__xludf.DUMMYFUNCTION("IFERROR(INDEX( SORT(FILTER(
        {'1. DATA CHUNG'!$J$4:$J$105 , '1. DATA CHUNG'!$L$4:$L$105}, (TRIM('1. DATA CHUNG'!$I$4:$I$105)=TRIM(K21)) * IF(COUNTIFS('1. DATA CHUNG'!$I$4:$I$105,K21,'1. DATA CHUNG'!$M$4:$M$105,Q21), '1. DATA CHUNG'!$M$4:$M$105=Q21,"&amp;" 1) * ('1. DATA CHUNG'!$L$4:$L$105&lt;=TODAY()) ),   2, 0),  1, 1), 
  IFERROR( INDEX(FILTER('1. DATA CHUNG'!$J$4:$J$105, (TRIM('1. DATA CHUNG'!$I$4:$I$105)=TRIM(K21)) * IF(COUNTIFS('1. DATA CHUNG'!$I$4:$I$105,K21,'1. DATA CHUNG'!$M$4:$M$105,Q21), '1. DATA C"&amp;"HUNG'!$M$4:$M$105=Q21, 1) * ('1. DATA CHUNG'!$L$4:$L$105="""")), 1), ""Không tìm thấy"" ))"),"Không tìm thấy")</f>
        <v>Không tìm thấy</v>
      </c>
      <c r="AI21" s="273" t="str">
        <f t="shared" si="2"/>
        <v/>
      </c>
      <c r="AJ21" s="287"/>
      <c r="AK21" s="286">
        <f t="shared" si="3"/>
        <v>0</v>
      </c>
      <c r="AL21" s="287">
        <f t="shared" si="4"/>
        <v>0</v>
      </c>
      <c r="AM21" s="287" t="str">
        <f t="shared" si="5"/>
        <v/>
      </c>
      <c r="AN21" s="279" t="str">
        <f t="shared" si="6"/>
        <v/>
      </c>
      <c r="AO21" s="309" t="str">
        <f t="shared" si="7"/>
        <v>01/2026</v>
      </c>
      <c r="AP21" s="306" t="str">
        <f t="array" ref="AP21">IFERROR(XLOOKUP(L21,'2. DATA NL, VTBB'!C:C,'2. DATA NL, VTBB'!F:F),"")</f>
        <v/>
      </c>
      <c r="AQ21" s="306" t="str">
        <f t="array" ref="AQ21">IF(OR(K21="Nhãn", K21="Nhãn thùng",K21="Nhãn Túi"), K21 &amp; " " &amp; IFERROR(XLOOKUP(L21, '2. DATA NL, VTBB'!C:C, '2. DATA NL, VTBB'!E:E), ""), "")</f>
        <v/>
      </c>
      <c r="AR21" s="278" t="str">
        <f t="array" ref="AR21">IFERROR(XLOOKUP(L21,'2. DATA NL, VTBB'!C:C,'2. DATA NL, VTBB'!G:G),"")</f>
        <v/>
      </c>
      <c r="AS21" s="278" t="str">
        <f t="array" ref="AS21">IFERROR(XLOOKUP(L21,'2. DATA NL, VTBB'!C:C,'2. DATA NL, VTBB'!G:G),"")</f>
        <v/>
      </c>
      <c r="AT21" s="306"/>
    </row>
    <row r="22" ht="30.75" customHeight="1">
      <c r="A22" s="281">
        <f t="shared" si="10"/>
        <v>19</v>
      </c>
      <c r="B22" s="296">
        <v>46024.0</v>
      </c>
      <c r="C22" s="296">
        <v>46024.0</v>
      </c>
      <c r="D22" s="296">
        <v>46024.0</v>
      </c>
      <c r="E22" s="296">
        <v>46024.0</v>
      </c>
      <c r="F22" s="290" t="s">
        <v>561</v>
      </c>
      <c r="G22" s="291" t="s">
        <v>562</v>
      </c>
      <c r="H22" s="290" t="s">
        <v>304</v>
      </c>
      <c r="I22" s="298" t="s">
        <v>723</v>
      </c>
      <c r="J22" s="297" t="s">
        <v>725</v>
      </c>
      <c r="K22" s="298" t="s">
        <v>717</v>
      </c>
      <c r="L22" s="298" t="s">
        <v>718</v>
      </c>
      <c r="M22" s="299" t="str">
        <f t="array" ref="M22">IFERROR(XLOOKUP(L22,'2. DATA NL, VTBB'!C:C,'2. DATA NL, VTBB'!D:D),"")</f>
        <v>Bán thành phẩm nhập khẩu Abamectin 3.6% W/W EC nâu</v>
      </c>
      <c r="N22" s="300"/>
      <c r="O22" s="300" t="str">
        <f t="array" ref="O22">IFERROR( XLOOKUP(L22,'2. DATA NL, VTBB'!C:C,'2. DATA NL, VTBB'!E:E),"")</f>
        <v/>
      </c>
      <c r="P22" s="291" t="s">
        <v>565</v>
      </c>
      <c r="Q22" s="300"/>
      <c r="R22" s="291" t="s">
        <v>573</v>
      </c>
      <c r="S22" s="300"/>
      <c r="T22" s="300"/>
      <c r="U22" s="300"/>
      <c r="V22" s="302">
        <v>16000.0</v>
      </c>
      <c r="W22" s="291" t="s">
        <v>719</v>
      </c>
      <c r="X22" s="302">
        <v>16000.0</v>
      </c>
      <c r="Y22" s="303">
        <v>16000.0</v>
      </c>
      <c r="Z22" s="304">
        <v>2.65</v>
      </c>
      <c r="AA22" s="305"/>
      <c r="AB22" s="303">
        <v>42400.0</v>
      </c>
      <c r="AC22" s="306"/>
      <c r="AD22" s="301"/>
      <c r="AE22" s="310"/>
      <c r="AF22" s="300"/>
      <c r="AG22" s="306"/>
      <c r="AH22" s="308" t="str">
        <f>IFERROR(__xludf.DUMMYFUNCTION("IFERROR(INDEX( SORT(FILTER(
        {'1. DATA CHUNG'!$J$4:$J$105 , '1. DATA CHUNG'!$L$4:$L$105}, (TRIM('1. DATA CHUNG'!$I$4:$I$105)=TRIM(K22)) * IF(COUNTIFS('1. DATA CHUNG'!$I$4:$I$105,K22,'1. DATA CHUNG'!$M$4:$M$105,Q22), '1. DATA CHUNG'!$M$4:$M$105=Q22,"&amp;" 1) * ('1. DATA CHUNG'!$L$4:$L$105&lt;=TODAY()) ),   2, 0),  1, 1), 
  IFERROR( INDEX(FILTER('1. DATA CHUNG'!$J$4:$J$105, (TRIM('1. DATA CHUNG'!$I$4:$I$105)=TRIM(K22)) * IF(COUNTIFS('1. DATA CHUNG'!$I$4:$I$105,K22,'1. DATA CHUNG'!$M$4:$M$105,Q22), '1. DATA C"&amp;"HUNG'!$M$4:$M$105=Q22, 1) * ('1. DATA CHUNG'!$L$4:$L$105="""")), 1), ""Không tìm thấy"" ))"),"Không tìm thấy")</f>
        <v>Không tìm thấy</v>
      </c>
      <c r="AI22" s="273" t="str">
        <f t="shared" si="2"/>
        <v/>
      </c>
      <c r="AJ22" s="287"/>
      <c r="AK22" s="286">
        <f t="shared" si="3"/>
        <v>0</v>
      </c>
      <c r="AL22" s="287">
        <f t="shared" si="4"/>
        <v>0</v>
      </c>
      <c r="AM22" s="287" t="str">
        <f t="shared" si="5"/>
        <v/>
      </c>
      <c r="AN22" s="279" t="str">
        <f t="shared" si="6"/>
        <v/>
      </c>
      <c r="AO22" s="309" t="str">
        <f t="shared" si="7"/>
        <v>01/2026</v>
      </c>
      <c r="AP22" s="306" t="str">
        <f t="array" ref="AP22">IFERROR(XLOOKUP(L22,'2. DATA NL, VTBB'!C:C,'2. DATA NL, VTBB'!F:F),"")</f>
        <v/>
      </c>
      <c r="AQ22" s="306" t="str">
        <f t="array" ref="AQ22">IF(OR(K22="Nhãn", K22="Nhãn thùng",K22="Nhãn Túi"), K22 &amp; " " &amp; IFERROR(XLOOKUP(L22, '2. DATA NL, VTBB'!C:C, '2. DATA NL, VTBB'!E:E), ""), "")</f>
        <v/>
      </c>
      <c r="AR22" s="278" t="str">
        <f t="array" ref="AR22">IFERROR(XLOOKUP(L22,'2. DATA NL, VTBB'!C:C,'2. DATA NL, VTBB'!G:G),"")</f>
        <v/>
      </c>
      <c r="AS22" s="278" t="str">
        <f t="array" ref="AS22">IFERROR(XLOOKUP(L22,'2. DATA NL, VTBB'!C:C,'2. DATA NL, VTBB'!G:G),"")</f>
        <v/>
      </c>
      <c r="AT22" s="306"/>
    </row>
    <row r="23" ht="30.75" customHeight="1">
      <c r="A23" s="272">
        <f>ROW(A20)-2</f>
        <v>18</v>
      </c>
      <c r="B23" s="273">
        <v>45992.0</v>
      </c>
      <c r="C23" s="273">
        <v>45993.0</v>
      </c>
      <c r="D23" s="273">
        <f t="shared" ref="D23:D36" si="12">B23+3</f>
        <v>45995</v>
      </c>
      <c r="E23" s="273">
        <v>45992.0</v>
      </c>
      <c r="F23" s="274" t="s">
        <v>561</v>
      </c>
      <c r="G23" s="275" t="s">
        <v>562</v>
      </c>
      <c r="H23" s="274" t="s">
        <v>304</v>
      </c>
      <c r="I23" s="275" t="s">
        <v>726</v>
      </c>
      <c r="J23" s="279" t="s">
        <v>727</v>
      </c>
      <c r="K23" s="275" t="s">
        <v>728</v>
      </c>
      <c r="L23" s="277" t="s">
        <v>729</v>
      </c>
      <c r="M23" s="278" t="str">
        <f t="array" ref="M23">IFERROR(XLOOKUP(L23,'2. DATA NL, VTBB'!C:C,'2. DATA NL, VTBB'!D:D),"")</f>
        <v>Chai HDPE tròn cổ 49 500ml (65gr) - trắng - Nắp trắng, có cốc đong</v>
      </c>
      <c r="N23" s="280"/>
      <c r="O23" s="280" t="str">
        <f t="array" ref="O23">IFERROR( XLOOKUP(L23,'2. DATA NL, VTBB'!C:C,'2. DATA NL, VTBB'!E:E),"")</f>
        <v>TVZEB 800WP</v>
      </c>
      <c r="P23" s="275" t="s">
        <v>565</v>
      </c>
      <c r="Q23" s="311"/>
      <c r="R23" s="291" t="s">
        <v>590</v>
      </c>
      <c r="S23" s="280"/>
      <c r="T23" s="280"/>
      <c r="U23" s="280"/>
      <c r="V23" s="283">
        <v>2000.0</v>
      </c>
      <c r="W23" s="275" t="s">
        <v>699</v>
      </c>
      <c r="X23" s="283">
        <v>2000.0</v>
      </c>
      <c r="Y23" s="274">
        <v>2016.0</v>
      </c>
      <c r="Z23" s="287">
        <v>2800.0</v>
      </c>
      <c r="AA23" s="285">
        <v>0.08</v>
      </c>
      <c r="AB23" s="282">
        <v>6096384.0</v>
      </c>
      <c r="AC23" s="277"/>
      <c r="AD23" s="273">
        <v>45992.0</v>
      </c>
      <c r="AE23" s="272">
        <v>2199.0</v>
      </c>
      <c r="AF23" s="277"/>
      <c r="AG23" s="277"/>
      <c r="AH23" s="294">
        <f>IFERROR(__xludf.DUMMYFUNCTION("IFERROR(INDEX( SORT(FILTER(
        {'1. DATA CHUNG'!$J$4:$J$105 , '1. DATA CHUNG'!$L$4:$L$105}, (TRIM('1. DATA CHUNG'!$I$4:$I$105)=TRIM(K23)) * IF(COUNTIFS('1. DATA CHUNG'!$I$4:$I$105,K23,'1. DATA CHUNG'!$M$4:$M$105,Q23), '1. DATA CHUNG'!$M$4:$M$105=Q23,"&amp;" 1) * ('1. DATA CHUNG'!$L$4:$L$105&lt;=TODAY()) ),   2, 0),  1, 1), 
  IFERROR( INDEX(FILTER('1. DATA CHUNG'!$J$4:$J$105, (TRIM('1. DATA CHUNG'!$I$4:$I$105)=TRIM(K23)) * IF(COUNTIFS('1. DATA CHUNG'!$I$4:$I$105,K23,'1. DATA CHUNG'!$M$4:$M$105,Q23), '1. DATA C"&amp;"HUNG'!$M$4:$M$105=Q23, 1) * ('1. DATA CHUNG'!$L$4:$L$105="""")), 1), ""Không tìm thấy"" ))"),7.0)</f>
        <v>7</v>
      </c>
      <c r="AI23" s="273">
        <f t="shared" si="2"/>
        <v>45999</v>
      </c>
      <c r="AJ23" s="287"/>
      <c r="AK23" s="286">
        <f t="shared" si="3"/>
        <v>0</v>
      </c>
      <c r="AL23" s="287">
        <f t="shared" si="4"/>
        <v>3</v>
      </c>
      <c r="AM23" s="287">
        <f t="shared" si="5"/>
        <v>7</v>
      </c>
      <c r="AN23" s="279">
        <f t="shared" si="6"/>
        <v>6</v>
      </c>
      <c r="AO23" s="295" t="str">
        <f t="shared" si="7"/>
        <v>12/2025</v>
      </c>
      <c r="AP23" s="277" t="str">
        <f t="array" ref="AP23">IFERROR(XLOOKUP(L23,'2. DATA NL, VTBB'!C:C,'2. DATA NL, VTBB'!F:F),"")</f>
        <v>HH0058</v>
      </c>
      <c r="AQ23" s="277" t="str">
        <f t="array" ref="AQ23">IF(OR(K23="Nhãn", K23="Nhãn thùng",K23="Nhãn Túi"), K23 &amp; " " &amp; IFERROR(XLOOKUP(L23, '2. DATA NL, VTBB'!C:C, '2. DATA NL, VTBB'!E:E), ""), "")</f>
        <v/>
      </c>
      <c r="AR23" s="278" t="str">
        <f t="array" ref="AR23">IFERROR(XLOOKUP(L23,'2. DATA NL, VTBB'!C:C,'2. DATA NL, VTBB'!G:G),"")</f>
        <v>LOT IDA Global - I - 492 - Mancozeb xanh - 1 kg - 20</v>
      </c>
      <c r="AS23" s="278" t="str">
        <f t="array" ref="AS23">IFERROR(XLOOKUP(L23,'2. DATA NL, VTBB'!C:C,'2. DATA NL, VTBB'!G:G),"")</f>
        <v>LOT IDA Global - I - 492 - Mancozeb xanh - 1 kg - 20</v>
      </c>
      <c r="AT23" s="277"/>
    </row>
    <row r="24" ht="30.75" customHeight="1">
      <c r="A24" s="272">
        <f t="shared" ref="A24:A75" si="13">ROW(A23)-2</f>
        <v>21</v>
      </c>
      <c r="B24" s="273">
        <v>45992.0</v>
      </c>
      <c r="C24" s="273">
        <v>45993.0</v>
      </c>
      <c r="D24" s="273">
        <f t="shared" si="12"/>
        <v>45995</v>
      </c>
      <c r="E24" s="273">
        <v>45992.0</v>
      </c>
      <c r="F24" s="274" t="s">
        <v>561</v>
      </c>
      <c r="G24" s="275" t="s">
        <v>562</v>
      </c>
      <c r="H24" s="274" t="s">
        <v>304</v>
      </c>
      <c r="I24" s="275" t="s">
        <v>726</v>
      </c>
      <c r="J24" s="279" t="s">
        <v>727</v>
      </c>
      <c r="K24" s="275" t="s">
        <v>730</v>
      </c>
      <c r="L24" s="277" t="s">
        <v>731</v>
      </c>
      <c r="M24" s="278" t="str">
        <f t="array" ref="M24">IFERROR(XLOOKUP(L24,'2. DATA NL, VTBB'!C:C,'2. DATA NL, VTBB'!D:D),"")</f>
        <v>Nắp HDPE cổ 49 (7.5gr)  có gurantee  - Trắng</v>
      </c>
      <c r="N24" s="280"/>
      <c r="O24" s="280" t="str">
        <f t="array" ref="O24">IFERROR( XLOOKUP(L24,'2. DATA NL, VTBB'!C:C,'2. DATA NL, VTBB'!E:E),"")</f>
        <v>Chitin 3.6EC</v>
      </c>
      <c r="P24" s="275" t="s">
        <v>565</v>
      </c>
      <c r="Q24" s="311"/>
      <c r="R24" s="291" t="s">
        <v>590</v>
      </c>
      <c r="S24" s="280"/>
      <c r="T24" s="280"/>
      <c r="U24" s="280"/>
      <c r="V24" s="283">
        <v>2000.0</v>
      </c>
      <c r="W24" s="275" t="s">
        <v>699</v>
      </c>
      <c r="X24" s="283">
        <v>2000.0</v>
      </c>
      <c r="Y24" s="274">
        <v>2016.0</v>
      </c>
      <c r="Z24" s="287">
        <v>900.0</v>
      </c>
      <c r="AA24" s="285">
        <v>0.08</v>
      </c>
      <c r="AB24" s="282">
        <v>1959552.0</v>
      </c>
      <c r="AC24" s="277"/>
      <c r="AD24" s="273">
        <v>45992.0</v>
      </c>
      <c r="AE24" s="272">
        <v>2199.0</v>
      </c>
      <c r="AF24" s="277"/>
      <c r="AG24" s="277"/>
      <c r="AH24" s="294">
        <f>IFERROR(__xludf.DUMMYFUNCTION("IFERROR(INDEX( SORT(FILTER(
        {'1. DATA CHUNG'!$J$4:$J$105 , '1. DATA CHUNG'!$L$4:$L$105}, (TRIM('1. DATA CHUNG'!$I$4:$I$105)=TRIM(K24)) * IF(COUNTIFS('1. DATA CHUNG'!$I$4:$I$105,K24,'1. DATA CHUNG'!$M$4:$M$105,Q24), '1. DATA CHUNG'!$M$4:$M$105=Q24,"&amp;" 1) * ('1. DATA CHUNG'!$L$4:$L$105&lt;=TODAY()) ),   2, 0),  1, 1), 
  IFERROR( INDEX(FILTER('1. DATA CHUNG'!$J$4:$J$105, (TRIM('1. DATA CHUNG'!$I$4:$I$105)=TRIM(K24)) * IF(COUNTIFS('1. DATA CHUNG'!$I$4:$I$105,K24,'1. DATA CHUNG'!$M$4:$M$105,Q24), '1. DATA C"&amp;"HUNG'!$M$4:$M$105=Q24, 1) * ('1. DATA CHUNG'!$L$4:$L$105="""")), 1), ""Không tìm thấy"" ))"),7.0)</f>
        <v>7</v>
      </c>
      <c r="AI24" s="273">
        <f t="shared" si="2"/>
        <v>45999</v>
      </c>
      <c r="AJ24" s="287"/>
      <c r="AK24" s="286">
        <f t="shared" si="3"/>
        <v>0</v>
      </c>
      <c r="AL24" s="287">
        <f t="shared" si="4"/>
        <v>3</v>
      </c>
      <c r="AM24" s="287">
        <f t="shared" si="5"/>
        <v>7</v>
      </c>
      <c r="AN24" s="279">
        <f t="shared" si="6"/>
        <v>6</v>
      </c>
      <c r="AO24" s="295" t="str">
        <f t="shared" si="7"/>
        <v>12/2025</v>
      </c>
      <c r="AP24" s="277" t="str">
        <f t="array" ref="AP24">IFERROR(XLOOKUP(L24,'2. DATA NL, VTBB'!C:C,'2. DATA NL, VTBB'!F:F),"")</f>
        <v>HH0144</v>
      </c>
      <c r="AQ24" s="277" t="str">
        <f t="array" ref="AQ24">IF(OR(K24="Nhãn", K24="Nhãn thùng",K24="Nhãn Túi"), K24 &amp; " " &amp; IFERROR(XLOOKUP(L24, '2. DATA NL, VTBB'!C:C, '2. DATA NL, VTBB'!E:E), ""), "")</f>
        <v/>
      </c>
      <c r="AR24" s="278" t="str">
        <f t="array" ref="AR24">IFERROR(XLOOKUP(L24,'2. DATA NL, VTBB'!C:C,'2. DATA NL, VTBB'!G:G),"")</f>
        <v>GC - IV - 862 - Agritech - Agritech Abamectin 36 (Chai Vuông) (Nước nâu đen) - 450ml - 40</v>
      </c>
      <c r="AS24" s="278" t="str">
        <f t="array" ref="AS24">IFERROR(XLOOKUP(L24,'2. DATA NL, VTBB'!C:C,'2. DATA NL, VTBB'!G:G),"")</f>
        <v>GC - IV - 862 - Agritech - Agritech Abamectin 36 (Chai Vuông) (Nước nâu đen) - 450ml - 40</v>
      </c>
      <c r="AT24" s="277"/>
    </row>
    <row r="25" ht="30.75" customHeight="1">
      <c r="A25" s="272">
        <f t="shared" si="13"/>
        <v>22</v>
      </c>
      <c r="B25" s="273">
        <v>45992.0</v>
      </c>
      <c r="C25" s="273">
        <v>45993.0</v>
      </c>
      <c r="D25" s="273">
        <f t="shared" si="12"/>
        <v>45995</v>
      </c>
      <c r="E25" s="273">
        <v>45992.0</v>
      </c>
      <c r="F25" s="274" t="s">
        <v>561</v>
      </c>
      <c r="G25" s="275" t="s">
        <v>562</v>
      </c>
      <c r="H25" s="274" t="s">
        <v>304</v>
      </c>
      <c r="I25" s="275" t="s">
        <v>726</v>
      </c>
      <c r="J25" s="279" t="s">
        <v>727</v>
      </c>
      <c r="K25" s="275" t="s">
        <v>732</v>
      </c>
      <c r="L25" s="277" t="s">
        <v>733</v>
      </c>
      <c r="M25" s="278" t="str">
        <f t="array" ref="M25">IFERROR(XLOOKUP(L25,'2. DATA NL, VTBB'!C:C,'2. DATA NL, VTBB'!D:D),"")</f>
        <v>Cốc đong cổ 49 50ml - Trắng trong</v>
      </c>
      <c r="N25" s="280"/>
      <c r="O25" s="280" t="str">
        <f t="array" ref="O25">IFERROR( XLOOKUP(L25,'2. DATA NL, VTBB'!C:C,'2. DATA NL, VTBB'!E:E),"")</f>
        <v>PICOSUPER 280SC</v>
      </c>
      <c r="P25" s="275" t="s">
        <v>565</v>
      </c>
      <c r="Q25" s="311"/>
      <c r="R25" s="291" t="s">
        <v>590</v>
      </c>
      <c r="S25" s="280"/>
      <c r="T25" s="280"/>
      <c r="U25" s="280"/>
      <c r="V25" s="283">
        <v>2000.0</v>
      </c>
      <c r="W25" s="275" t="s">
        <v>699</v>
      </c>
      <c r="X25" s="283">
        <v>2000.0</v>
      </c>
      <c r="Y25" s="274">
        <v>2016.0</v>
      </c>
      <c r="Z25" s="287">
        <v>600.0</v>
      </c>
      <c r="AA25" s="285">
        <v>0.08</v>
      </c>
      <c r="AB25" s="282">
        <v>1306368.0</v>
      </c>
      <c r="AC25" s="277"/>
      <c r="AD25" s="273">
        <v>45992.0</v>
      </c>
      <c r="AE25" s="272">
        <v>2199.0</v>
      </c>
      <c r="AF25" s="277"/>
      <c r="AG25" s="277"/>
      <c r="AH25" s="294">
        <f>IFERROR(__xludf.DUMMYFUNCTION("IFERROR(INDEX( SORT(FILTER(
        {'1. DATA CHUNG'!$J$4:$J$105 , '1. DATA CHUNG'!$L$4:$L$105}, (TRIM('1. DATA CHUNG'!$I$4:$I$105)=TRIM(K25)) * IF(COUNTIFS('1. DATA CHUNG'!$I$4:$I$105,K25,'1. DATA CHUNG'!$M$4:$M$105,Q25), '1. DATA CHUNG'!$M$4:$M$105=Q25,"&amp;" 1) * ('1. DATA CHUNG'!$L$4:$L$105&lt;=TODAY()) ),   2, 0),  1, 1), 
  IFERROR( INDEX(FILTER('1. DATA CHUNG'!$J$4:$J$105, (TRIM('1. DATA CHUNG'!$I$4:$I$105)=TRIM(K25)) * IF(COUNTIFS('1. DATA CHUNG'!$I$4:$I$105,K25,'1. DATA CHUNG'!$M$4:$M$105,Q25), '1. DATA C"&amp;"HUNG'!$M$4:$M$105=Q25, 1) * ('1. DATA CHUNG'!$L$4:$L$105="""")), 1), ""Không tìm thấy"" ))"),7.0)</f>
        <v>7</v>
      </c>
      <c r="AI25" s="273">
        <f t="shared" si="2"/>
        <v>45999</v>
      </c>
      <c r="AJ25" s="287"/>
      <c r="AK25" s="286">
        <f t="shared" si="3"/>
        <v>0</v>
      </c>
      <c r="AL25" s="287">
        <f t="shared" si="4"/>
        <v>3</v>
      </c>
      <c r="AM25" s="287">
        <f t="shared" si="5"/>
        <v>7</v>
      </c>
      <c r="AN25" s="279">
        <f t="shared" si="6"/>
        <v>6</v>
      </c>
      <c r="AO25" s="295" t="str">
        <f t="shared" si="7"/>
        <v>12/2025</v>
      </c>
      <c r="AP25" s="277" t="str">
        <f t="array" ref="AP25">IFERROR(XLOOKUP(L25,'2. DATA NL, VTBB'!C:C,'2. DATA NL, VTBB'!F:F),"")</f>
        <v>HH0004</v>
      </c>
      <c r="AQ25" s="277" t="str">
        <f t="array" ref="AQ25">IF(OR(K25="Nhãn", K25="Nhãn thùng",K25="Nhãn Túi"), K25 &amp; " " &amp; IFERROR(XLOOKUP(L25, '2. DATA NL, VTBB'!C:C, '2. DATA NL, VTBB'!E:E), ""), "")</f>
        <v/>
      </c>
      <c r="AR25" s="278" t="str">
        <f t="array" ref="AR25">IFERROR(XLOOKUP(L25,'2. DATA NL, VTBB'!C:C,'2. DATA NL, VTBB'!G:G),"")</f>
        <v>IDA Global - I - 713.1 - Picosuper 280SC (Chai Pape)(nước trắng sữa) - 240ml - 40 ([btp],t,c)</v>
      </c>
      <c r="AS25" s="278" t="str">
        <f t="array" ref="AS25">IFERROR(XLOOKUP(L25,'2. DATA NL, VTBB'!C:C,'2. DATA NL, VTBB'!G:G),"")</f>
        <v>IDA Global - I - 713.1 - Picosuper 280SC (Chai Pape)(nước trắng sữa) - 240ml - 40 ([btp],t,c)</v>
      </c>
      <c r="AT25" s="277"/>
    </row>
    <row r="26" ht="30.75" customHeight="1">
      <c r="A26" s="272">
        <f t="shared" si="13"/>
        <v>23</v>
      </c>
      <c r="B26" s="273">
        <v>45992.0</v>
      </c>
      <c r="C26" s="273">
        <v>45993.0</v>
      </c>
      <c r="D26" s="273">
        <f t="shared" si="12"/>
        <v>45995</v>
      </c>
      <c r="E26" s="273">
        <v>45992.0</v>
      </c>
      <c r="F26" s="274" t="s">
        <v>561</v>
      </c>
      <c r="G26" s="275" t="s">
        <v>562</v>
      </c>
      <c r="H26" s="274" t="s">
        <v>304</v>
      </c>
      <c r="I26" s="275" t="s">
        <v>726</v>
      </c>
      <c r="J26" s="279" t="s">
        <v>734</v>
      </c>
      <c r="K26" s="275" t="s">
        <v>728</v>
      </c>
      <c r="L26" s="277" t="s">
        <v>735</v>
      </c>
      <c r="M26" s="278" t="str">
        <f t="array" ref="M26">IFERROR(XLOOKUP(L26,'2. DATA NL, VTBB'!C:C,'2. DATA NL, VTBB'!D:D),"")</f>
        <v>Chai PET vuông cổ 35 450ml, 500ml (60g) vàng ASIA</v>
      </c>
      <c r="N26" s="280"/>
      <c r="O26" s="280" t="str">
        <f t="array" ref="O26">IFERROR( XLOOKUP(L26,'2. DATA NL, VTBB'!C:C,'2. DATA NL, VTBB'!E:E),"")</f>
        <v>Vi lượng Basel IDA 47</v>
      </c>
      <c r="P26" s="275" t="s">
        <v>565</v>
      </c>
      <c r="Q26" s="311"/>
      <c r="R26" s="291" t="s">
        <v>573</v>
      </c>
      <c r="S26" s="280"/>
      <c r="T26" s="280"/>
      <c r="U26" s="280"/>
      <c r="V26" s="283">
        <v>800.0</v>
      </c>
      <c r="W26" s="275" t="s">
        <v>699</v>
      </c>
      <c r="X26" s="283">
        <v>800.0</v>
      </c>
      <c r="Y26" s="274">
        <v>800.0</v>
      </c>
      <c r="Z26" s="287">
        <v>2600.0</v>
      </c>
      <c r="AA26" s="285">
        <v>0.08</v>
      </c>
      <c r="AB26" s="282">
        <v>2246400.0</v>
      </c>
      <c r="AC26" s="277"/>
      <c r="AD26" s="273">
        <v>45992.0</v>
      </c>
      <c r="AE26" s="272">
        <v>2208.0</v>
      </c>
      <c r="AF26" s="277"/>
      <c r="AG26" s="277"/>
      <c r="AH26" s="294">
        <f>IFERROR(__xludf.DUMMYFUNCTION("IFERROR(INDEX( SORT(FILTER(
        {'1. DATA CHUNG'!$J$4:$J$105 , '1. DATA CHUNG'!$L$4:$L$105}, (TRIM('1. DATA CHUNG'!$I$4:$I$105)=TRIM(K26)) * IF(COUNTIFS('1. DATA CHUNG'!$I$4:$I$105,K26,'1. DATA CHUNG'!$M$4:$M$105,Q26), '1. DATA CHUNG'!$M$4:$M$105=Q26,"&amp;" 1) * ('1. DATA CHUNG'!$L$4:$L$105&lt;=TODAY()) ),   2, 0),  1, 1), 
  IFERROR( INDEX(FILTER('1. DATA CHUNG'!$J$4:$J$105, (TRIM('1. DATA CHUNG'!$I$4:$I$105)=TRIM(K26)) * IF(COUNTIFS('1. DATA CHUNG'!$I$4:$I$105,K26,'1. DATA CHUNG'!$M$4:$M$105,Q26), '1. DATA C"&amp;"HUNG'!$M$4:$M$105=Q26, 1) * ('1. DATA CHUNG'!$L$4:$L$105="""")), 1), ""Không tìm thấy"" ))"),7.0)</f>
        <v>7</v>
      </c>
      <c r="AI26" s="273">
        <f t="shared" si="2"/>
        <v>45999</v>
      </c>
      <c r="AJ26" s="287"/>
      <c r="AK26" s="286">
        <f t="shared" si="3"/>
        <v>0</v>
      </c>
      <c r="AL26" s="287">
        <f t="shared" si="4"/>
        <v>3</v>
      </c>
      <c r="AM26" s="287">
        <f t="shared" si="5"/>
        <v>7</v>
      </c>
      <c r="AN26" s="279">
        <f t="shared" si="6"/>
        <v>6</v>
      </c>
      <c r="AO26" s="295" t="str">
        <f t="shared" si="7"/>
        <v>12/2025</v>
      </c>
      <c r="AP26" s="277" t="str">
        <f t="array" ref="AP26">IFERROR(XLOOKUP(L26,'2. DATA NL, VTBB'!C:C,'2. DATA NL, VTBB'!F:F),"")</f>
        <v>HH0012</v>
      </c>
      <c r="AQ26" s="277" t="str">
        <f t="array" ref="AQ26">IF(OR(K26="Nhãn", K26="Nhãn thùng",K26="Nhãn Túi"), K26 &amp; " " &amp; IFERROR(XLOOKUP(L26, '2. DATA NL, VTBB'!C:C, '2. DATA NL, VTBB'!E:E), ""), "")</f>
        <v/>
      </c>
      <c r="AR26" s="278" t="str">
        <f t="array" ref="AR26">IFERROR(XLOOKUP(L26,'2. DATA NL, VTBB'!C:C,'2. DATA NL, VTBB'!G:G),"")</f>
        <v>GC - I - 260 - Bohex SC - 450ml - 40</v>
      </c>
      <c r="AS26" s="278" t="str">
        <f t="array" ref="AS26">IFERROR(XLOOKUP(L26,'2. DATA NL, VTBB'!C:C,'2. DATA NL, VTBB'!G:G),"")</f>
        <v>GC - I - 260 - Bohex SC - 450ml - 40</v>
      </c>
      <c r="AT26" s="277"/>
    </row>
    <row r="27" ht="30.75" customHeight="1">
      <c r="A27" s="272">
        <f t="shared" si="13"/>
        <v>24</v>
      </c>
      <c r="B27" s="273">
        <v>45992.0</v>
      </c>
      <c r="C27" s="273">
        <v>45993.0</v>
      </c>
      <c r="D27" s="273">
        <f t="shared" si="12"/>
        <v>45995</v>
      </c>
      <c r="E27" s="273">
        <v>45992.0</v>
      </c>
      <c r="F27" s="274" t="s">
        <v>561</v>
      </c>
      <c r="G27" s="275" t="s">
        <v>562</v>
      </c>
      <c r="H27" s="274" t="s">
        <v>304</v>
      </c>
      <c r="I27" s="275" t="s">
        <v>726</v>
      </c>
      <c r="J27" s="279" t="s">
        <v>734</v>
      </c>
      <c r="K27" s="275" t="s">
        <v>730</v>
      </c>
      <c r="L27" s="277" t="s">
        <v>736</v>
      </c>
      <c r="M27" s="278" t="str">
        <f t="array" ref="M27">IFERROR(XLOOKUP(L27,'2. DATA NL, VTBB'!C:C,'2. DATA NL, VTBB'!D:D),"")</f>
        <v>Nắp PET cổ 35 (4.3g) đỏ</v>
      </c>
      <c r="N27" s="280"/>
      <c r="O27" s="280" t="str">
        <f t="array" ref="O27">IFERROR( XLOOKUP(L27,'2. DATA NL, VTBB'!C:C,'2. DATA NL, VTBB'!E:E),"")</f>
        <v>Vi lượng AV4</v>
      </c>
      <c r="P27" s="275" t="s">
        <v>565</v>
      </c>
      <c r="Q27" s="311"/>
      <c r="R27" s="291" t="s">
        <v>573</v>
      </c>
      <c r="S27" s="280"/>
      <c r="T27" s="280"/>
      <c r="U27" s="280"/>
      <c r="V27" s="283">
        <v>800.0</v>
      </c>
      <c r="W27" s="275" t="s">
        <v>699</v>
      </c>
      <c r="X27" s="283">
        <v>800.0</v>
      </c>
      <c r="Y27" s="274">
        <v>800.0</v>
      </c>
      <c r="Z27" s="287">
        <v>600.0</v>
      </c>
      <c r="AA27" s="285">
        <v>0.08</v>
      </c>
      <c r="AB27" s="282">
        <v>518400.0</v>
      </c>
      <c r="AC27" s="277"/>
      <c r="AD27" s="273">
        <v>45992.0</v>
      </c>
      <c r="AE27" s="272">
        <v>2208.0</v>
      </c>
      <c r="AF27" s="277"/>
      <c r="AG27" s="277"/>
      <c r="AH27" s="294">
        <f>IFERROR(__xludf.DUMMYFUNCTION("IFERROR(INDEX( SORT(FILTER(
        {'1. DATA CHUNG'!$J$4:$J$105 , '1. DATA CHUNG'!$L$4:$L$105}, (TRIM('1. DATA CHUNG'!$I$4:$I$105)=TRIM(K27)) * IF(COUNTIFS('1. DATA CHUNG'!$I$4:$I$105,K27,'1. DATA CHUNG'!$M$4:$M$105,Q27), '1. DATA CHUNG'!$M$4:$M$105=Q27,"&amp;" 1) * ('1. DATA CHUNG'!$L$4:$L$105&lt;=TODAY()) ),   2, 0),  1, 1), 
  IFERROR( INDEX(FILTER('1. DATA CHUNG'!$J$4:$J$105, (TRIM('1. DATA CHUNG'!$I$4:$I$105)=TRIM(K27)) * IF(COUNTIFS('1. DATA CHUNG'!$I$4:$I$105,K27,'1. DATA CHUNG'!$M$4:$M$105,Q27), '1. DATA C"&amp;"HUNG'!$M$4:$M$105=Q27, 1) * ('1. DATA CHUNG'!$L$4:$L$105="""")), 1), ""Không tìm thấy"" ))"),7.0)</f>
        <v>7</v>
      </c>
      <c r="AI27" s="273">
        <f t="shared" si="2"/>
        <v>45999</v>
      </c>
      <c r="AJ27" s="287"/>
      <c r="AK27" s="286">
        <f t="shared" si="3"/>
        <v>0</v>
      </c>
      <c r="AL27" s="287">
        <f t="shared" si="4"/>
        <v>3</v>
      </c>
      <c r="AM27" s="287">
        <f t="shared" si="5"/>
        <v>7</v>
      </c>
      <c r="AN27" s="279">
        <f t="shared" si="6"/>
        <v>6</v>
      </c>
      <c r="AO27" s="295" t="str">
        <f t="shared" si="7"/>
        <v>12/2025</v>
      </c>
      <c r="AP27" s="277" t="str">
        <f t="array" ref="AP27">IFERROR(XLOOKUP(L27,'2. DATA NL, VTBB'!C:C,'2. DATA NL, VTBB'!F:F),"")</f>
        <v>HH0002</v>
      </c>
      <c r="AQ27" s="277" t="str">
        <f t="array" ref="AQ27">IF(OR(K27="Nhãn", K27="Nhãn thùng",K27="Nhãn Túi"), K27 &amp; " " &amp; IFERROR(XLOOKUP(L27, '2. DATA NL, VTBB'!C:C, '2. DATA NL, VTBB'!E:E), ""), "")</f>
        <v/>
      </c>
      <c r="AR27" s="278" t="str">
        <f t="array" ref="AR27">IFERROR(XLOOKUP(L27,'2. DATA NL, VTBB'!C:C,'2. DATA NL, VTBB'!G:G),"")</f>
        <v>GC - II - 24 - Aqua Gold ra bông xoài 1kg -25</v>
      </c>
      <c r="AS27" s="278" t="str">
        <f t="array" ref="AS27">IFERROR(XLOOKUP(L27,'2. DATA NL, VTBB'!C:C,'2. DATA NL, VTBB'!G:G),"")</f>
        <v>GC - II - 24 - Aqua Gold ra bông xoài 1kg -25</v>
      </c>
      <c r="AT27" s="277"/>
    </row>
    <row r="28" ht="30.75" customHeight="1">
      <c r="A28" s="272">
        <f t="shared" si="13"/>
        <v>25</v>
      </c>
      <c r="B28" s="273">
        <v>45992.0</v>
      </c>
      <c r="C28" s="273">
        <v>45993.0</v>
      </c>
      <c r="D28" s="273">
        <f t="shared" si="12"/>
        <v>45995</v>
      </c>
      <c r="E28" s="273">
        <v>45994.0</v>
      </c>
      <c r="F28" s="274" t="s">
        <v>561</v>
      </c>
      <c r="G28" s="275" t="s">
        <v>562</v>
      </c>
      <c r="H28" s="274" t="s">
        <v>304</v>
      </c>
      <c r="I28" s="275" t="s">
        <v>726</v>
      </c>
      <c r="J28" s="279" t="s">
        <v>737</v>
      </c>
      <c r="K28" s="275" t="s">
        <v>728</v>
      </c>
      <c r="L28" s="277" t="s">
        <v>738</v>
      </c>
      <c r="M28" s="278" t="str">
        <f t="array" ref="M28">IFERROR(XLOOKUP(L28,'2. DATA NL, VTBB'!C:C,'2. DATA NL, VTBB'!D:D),"")</f>
        <v>Chai PET vuông cổ 35 450ml, 500ml (60g) trắng ASIA</v>
      </c>
      <c r="N28" s="280"/>
      <c r="O28" s="280" t="str">
        <f t="array" ref="O28">IFERROR( XLOOKUP(L28,'2. DATA NL, VTBB'!C:C,'2. DATA NL, VTBB'!E:E),"")</f>
        <v>AnnongManco 80WP</v>
      </c>
      <c r="P28" s="275" t="s">
        <v>565</v>
      </c>
      <c r="Q28" s="311"/>
      <c r="R28" s="291" t="s">
        <v>573</v>
      </c>
      <c r="S28" s="280"/>
      <c r="T28" s="280"/>
      <c r="U28" s="280"/>
      <c r="V28" s="283">
        <v>2000.0</v>
      </c>
      <c r="W28" s="275" t="s">
        <v>699</v>
      </c>
      <c r="X28" s="283">
        <v>2000.0</v>
      </c>
      <c r="Y28" s="274">
        <v>2080.0</v>
      </c>
      <c r="Z28" s="284">
        <v>2600.0</v>
      </c>
      <c r="AA28" s="285">
        <v>0.08</v>
      </c>
      <c r="AB28" s="282">
        <v>5840640.0</v>
      </c>
      <c r="AC28" s="277"/>
      <c r="AD28" s="273">
        <v>45992.0</v>
      </c>
      <c r="AE28" s="272">
        <v>2208.0</v>
      </c>
      <c r="AF28" s="277"/>
      <c r="AG28" s="277"/>
      <c r="AH28" s="294">
        <f>IFERROR(__xludf.DUMMYFUNCTION("IFERROR(INDEX( SORT(FILTER(
        {'1. DATA CHUNG'!$J$4:$J$105 , '1. DATA CHUNG'!$L$4:$L$105}, (TRIM('1. DATA CHUNG'!$I$4:$I$105)=TRIM(K28)) * IF(COUNTIFS('1. DATA CHUNG'!$I$4:$I$105,K28,'1. DATA CHUNG'!$M$4:$M$105,Q28), '1. DATA CHUNG'!$M$4:$M$105=Q28,"&amp;" 1) * ('1. DATA CHUNG'!$L$4:$L$105&lt;=TODAY()) ),   2, 0),  1, 1), 
  IFERROR( INDEX(FILTER('1. DATA CHUNG'!$J$4:$J$105, (TRIM('1. DATA CHUNG'!$I$4:$I$105)=TRIM(K28)) * IF(COUNTIFS('1. DATA CHUNG'!$I$4:$I$105,K28,'1. DATA CHUNG'!$M$4:$M$105,Q28), '1. DATA C"&amp;"HUNG'!$M$4:$M$105=Q28, 1) * ('1. DATA CHUNG'!$L$4:$L$105="""")), 1), ""Không tìm thấy"" ))"),7.0)</f>
        <v>7</v>
      </c>
      <c r="AI28" s="273">
        <f t="shared" si="2"/>
        <v>45999</v>
      </c>
      <c r="AJ28" s="287"/>
      <c r="AK28" s="286">
        <f t="shared" si="3"/>
        <v>0</v>
      </c>
      <c r="AL28" s="287">
        <f t="shared" si="4"/>
        <v>1</v>
      </c>
      <c r="AM28" s="287">
        <f t="shared" si="5"/>
        <v>5</v>
      </c>
      <c r="AN28" s="279">
        <f t="shared" si="6"/>
        <v>6</v>
      </c>
      <c r="AO28" s="295" t="str">
        <f t="shared" si="7"/>
        <v>12/2025</v>
      </c>
      <c r="AP28" s="277" t="str">
        <f t="array" ref="AP28">IFERROR(XLOOKUP(L28,'2. DATA NL, VTBB'!C:C,'2. DATA NL, VTBB'!F:F),"")</f>
        <v>HH0006</v>
      </c>
      <c r="AQ28" s="277" t="str">
        <f t="array" ref="AQ28">IF(OR(K28="Nhãn", K28="Nhãn thùng",K28="Nhãn Túi"), K28 &amp; " " &amp; IFERROR(XLOOKUP(L28, '2. DATA NL, VTBB'!C:C, '2. DATA NL, VTBB'!E:E), ""), "")</f>
        <v/>
      </c>
      <c r="AR28" s="278" t="str">
        <f t="array" ref="AR28">IFERROR(XLOOKUP(L28,'2. DATA NL, VTBB'!C:C,'2. DATA NL, VTBB'!G:G),"")</f>
        <v>GC - I - 207 - Mancozeb Xanh - Xanh Cam - 1kg - 20</v>
      </c>
      <c r="AS28" s="278" t="str">
        <f t="array" ref="AS28">IFERROR(XLOOKUP(L28,'2. DATA NL, VTBB'!C:C,'2. DATA NL, VTBB'!G:G),"")</f>
        <v>GC - I - 207 - Mancozeb Xanh - Xanh Cam - 1kg - 20</v>
      </c>
      <c r="AT28" s="277"/>
    </row>
    <row r="29" ht="30.75" customHeight="1">
      <c r="A29" s="272">
        <f t="shared" si="13"/>
        <v>26</v>
      </c>
      <c r="B29" s="273">
        <v>45992.0</v>
      </c>
      <c r="C29" s="273">
        <v>45993.0</v>
      </c>
      <c r="D29" s="273">
        <f t="shared" si="12"/>
        <v>45995</v>
      </c>
      <c r="E29" s="273">
        <v>45994.0</v>
      </c>
      <c r="F29" s="274" t="s">
        <v>561</v>
      </c>
      <c r="G29" s="275" t="s">
        <v>562</v>
      </c>
      <c r="H29" s="274" t="s">
        <v>304</v>
      </c>
      <c r="I29" s="275" t="s">
        <v>726</v>
      </c>
      <c r="J29" s="279" t="s">
        <v>737</v>
      </c>
      <c r="K29" s="275" t="s">
        <v>730</v>
      </c>
      <c r="L29" s="277" t="s">
        <v>736</v>
      </c>
      <c r="M29" s="278" t="str">
        <f t="array" ref="M29">IFERROR(XLOOKUP(L29,'2. DATA NL, VTBB'!C:C,'2. DATA NL, VTBB'!D:D),"")</f>
        <v>Nắp PET cổ 35 (4.3g) đỏ</v>
      </c>
      <c r="N29" s="280"/>
      <c r="O29" s="280" t="str">
        <f t="array" ref="O29">IFERROR( XLOOKUP(L29,'2. DATA NL, VTBB'!C:C,'2. DATA NL, VTBB'!E:E),"")</f>
        <v>Vi lượng AV4</v>
      </c>
      <c r="P29" s="275" t="s">
        <v>565</v>
      </c>
      <c r="Q29" s="311"/>
      <c r="R29" s="291" t="s">
        <v>573</v>
      </c>
      <c r="S29" s="280"/>
      <c r="T29" s="280"/>
      <c r="U29" s="280"/>
      <c r="V29" s="283">
        <v>2000.0</v>
      </c>
      <c r="W29" s="275" t="s">
        <v>699</v>
      </c>
      <c r="X29" s="283">
        <v>2000.0</v>
      </c>
      <c r="Y29" s="274">
        <v>2080.0</v>
      </c>
      <c r="Z29" s="284">
        <v>600.0</v>
      </c>
      <c r="AA29" s="285">
        <v>0.08</v>
      </c>
      <c r="AB29" s="282">
        <v>1347840.0</v>
      </c>
      <c r="AC29" s="277"/>
      <c r="AD29" s="273">
        <v>45992.0</v>
      </c>
      <c r="AE29" s="272">
        <v>2208.0</v>
      </c>
      <c r="AF29" s="277"/>
      <c r="AG29" s="277"/>
      <c r="AH29" s="294">
        <f>IFERROR(__xludf.DUMMYFUNCTION("IFERROR(INDEX( SORT(FILTER(
        {'1. DATA CHUNG'!$J$4:$J$105 , '1. DATA CHUNG'!$L$4:$L$105}, (TRIM('1. DATA CHUNG'!$I$4:$I$105)=TRIM(K29)) * IF(COUNTIFS('1. DATA CHUNG'!$I$4:$I$105,K29,'1. DATA CHUNG'!$M$4:$M$105,Q29), '1. DATA CHUNG'!$M$4:$M$105=Q29,"&amp;" 1) * ('1. DATA CHUNG'!$L$4:$L$105&lt;=TODAY()) ),   2, 0),  1, 1), 
  IFERROR( INDEX(FILTER('1. DATA CHUNG'!$J$4:$J$105, (TRIM('1. DATA CHUNG'!$I$4:$I$105)=TRIM(K29)) * IF(COUNTIFS('1. DATA CHUNG'!$I$4:$I$105,K29,'1. DATA CHUNG'!$M$4:$M$105,Q29), '1. DATA C"&amp;"HUNG'!$M$4:$M$105=Q29, 1) * ('1. DATA CHUNG'!$L$4:$L$105="""")), 1), ""Không tìm thấy"" ))"),7.0)</f>
        <v>7</v>
      </c>
      <c r="AI29" s="273">
        <f t="shared" si="2"/>
        <v>45999</v>
      </c>
      <c r="AJ29" s="287"/>
      <c r="AK29" s="286">
        <f t="shared" si="3"/>
        <v>0</v>
      </c>
      <c r="AL29" s="287">
        <f t="shared" si="4"/>
        <v>1</v>
      </c>
      <c r="AM29" s="287">
        <f t="shared" si="5"/>
        <v>5</v>
      </c>
      <c r="AN29" s="279">
        <f t="shared" si="6"/>
        <v>6</v>
      </c>
      <c r="AO29" s="295" t="str">
        <f t="shared" si="7"/>
        <v>12/2025</v>
      </c>
      <c r="AP29" s="277" t="str">
        <f t="array" ref="AP29">IFERROR(XLOOKUP(L29,'2. DATA NL, VTBB'!C:C,'2. DATA NL, VTBB'!F:F),"")</f>
        <v>HH0002</v>
      </c>
      <c r="AQ29" s="277" t="str">
        <f t="array" ref="AQ29">IF(OR(K29="Nhãn", K29="Nhãn thùng",K29="Nhãn Túi"), K29 &amp; " " &amp; IFERROR(XLOOKUP(L29, '2. DATA NL, VTBB'!C:C, '2. DATA NL, VTBB'!E:E), ""), "")</f>
        <v/>
      </c>
      <c r="AR29" s="278" t="str">
        <f t="array" ref="AR29">IFERROR(XLOOKUP(L29,'2. DATA NL, VTBB'!C:C,'2. DATA NL, VTBB'!G:G),"")</f>
        <v>GC - II - 24 - Aqua Gold ra bông xoài 1kg -25</v>
      </c>
      <c r="AS29" s="278" t="str">
        <f t="array" ref="AS29">IFERROR(XLOOKUP(L29,'2. DATA NL, VTBB'!C:C,'2. DATA NL, VTBB'!G:G),"")</f>
        <v>GC - II - 24 - Aqua Gold ra bông xoài 1kg -25</v>
      </c>
      <c r="AT29" s="277"/>
    </row>
    <row r="30" ht="30.75" customHeight="1">
      <c r="A30" s="272">
        <f t="shared" si="13"/>
        <v>27</v>
      </c>
      <c r="B30" s="273">
        <v>45992.0</v>
      </c>
      <c r="C30" s="273">
        <v>45993.0</v>
      </c>
      <c r="D30" s="273">
        <f t="shared" si="12"/>
        <v>45995</v>
      </c>
      <c r="E30" s="273">
        <v>45992.0</v>
      </c>
      <c r="F30" s="274" t="s">
        <v>561</v>
      </c>
      <c r="G30" s="275" t="s">
        <v>696</v>
      </c>
      <c r="H30" s="274" t="s">
        <v>304</v>
      </c>
      <c r="I30" s="275" t="s">
        <v>726</v>
      </c>
      <c r="J30" s="279" t="s">
        <v>739</v>
      </c>
      <c r="K30" s="275" t="s">
        <v>728</v>
      </c>
      <c r="L30" s="277" t="s">
        <v>740</v>
      </c>
      <c r="M30" s="278" t="str">
        <f t="array" ref="M30">IFERROR(XLOOKUP(L30,'2. DATA NL, VTBB'!C:C,'2. DATA NL, VTBB'!D:D),"")</f>
        <v>PN - Chai HDPE tròn cổ 45 1Lít (110g) - Xám (không ganty)</v>
      </c>
      <c r="N30" s="280"/>
      <c r="O30" s="280" t="str">
        <f t="array" ref="O30">IFERROR( XLOOKUP(L30,'2. DATA NL, VTBB'!C:C,'2. DATA NL, VTBB'!E:E),"")</f>
        <v>Chitin 3.6EC</v>
      </c>
      <c r="P30" s="275" t="s">
        <v>565</v>
      </c>
      <c r="Q30" s="311"/>
      <c r="R30" s="291" t="s">
        <v>573</v>
      </c>
      <c r="S30" s="280"/>
      <c r="T30" s="280"/>
      <c r="U30" s="280"/>
      <c r="V30" s="283">
        <v>1000.0</v>
      </c>
      <c r="W30" s="275" t="s">
        <v>699</v>
      </c>
      <c r="X30" s="283">
        <v>1000.0</v>
      </c>
      <c r="Y30" s="274">
        <v>1050.0</v>
      </c>
      <c r="Z30" s="287">
        <v>4700.0</v>
      </c>
      <c r="AA30" s="285">
        <v>0.08</v>
      </c>
      <c r="AB30" s="282">
        <v>5329800.0</v>
      </c>
      <c r="AC30" s="277"/>
      <c r="AD30" s="273">
        <v>45992.0</v>
      </c>
      <c r="AE30" s="272">
        <v>2207.0</v>
      </c>
      <c r="AF30" s="277"/>
      <c r="AG30" s="277"/>
      <c r="AH30" s="294">
        <f>IFERROR(__xludf.DUMMYFUNCTION("IFERROR(INDEX( SORT(FILTER(
        {'1. DATA CHUNG'!$J$4:$J$105 , '1. DATA CHUNG'!$L$4:$L$105}, (TRIM('1. DATA CHUNG'!$I$4:$I$105)=TRIM(K30)) * IF(COUNTIFS('1. DATA CHUNG'!$I$4:$I$105,K30,'1. DATA CHUNG'!$M$4:$M$105,Q30), '1. DATA CHUNG'!$M$4:$M$105=Q30,"&amp;" 1) * ('1. DATA CHUNG'!$L$4:$L$105&lt;=TODAY()) ),   2, 0),  1, 1), 
  IFERROR( INDEX(FILTER('1. DATA CHUNG'!$J$4:$J$105, (TRIM('1. DATA CHUNG'!$I$4:$I$105)=TRIM(K30)) * IF(COUNTIFS('1. DATA CHUNG'!$I$4:$I$105,K30,'1. DATA CHUNG'!$M$4:$M$105,Q30), '1. DATA C"&amp;"HUNG'!$M$4:$M$105=Q30, 1) * ('1. DATA CHUNG'!$L$4:$L$105="""")), 1), ""Không tìm thấy"" ))"),7.0)</f>
        <v>7</v>
      </c>
      <c r="AI30" s="273">
        <f t="shared" si="2"/>
        <v>45999</v>
      </c>
      <c r="AJ30" s="287"/>
      <c r="AK30" s="286">
        <f t="shared" si="3"/>
        <v>0</v>
      </c>
      <c r="AL30" s="287">
        <f t="shared" si="4"/>
        <v>3</v>
      </c>
      <c r="AM30" s="287">
        <f t="shared" si="5"/>
        <v>7</v>
      </c>
      <c r="AN30" s="279">
        <f t="shared" si="6"/>
        <v>6</v>
      </c>
      <c r="AO30" s="295" t="str">
        <f t="shared" si="7"/>
        <v>12/2025</v>
      </c>
      <c r="AP30" s="277" t="str">
        <f t="array" ref="AP30">IFERROR(XLOOKUP(L30,'2. DATA NL, VTBB'!C:C,'2. DATA NL, VTBB'!F:F),"")</f>
        <v>HH0237</v>
      </c>
      <c r="AQ30" s="277" t="str">
        <f t="array" ref="AQ30">IF(OR(K30="Nhãn", K30="Nhãn thùng",K30="Nhãn Túi"), K30 &amp; " " &amp; IFERROR(XLOOKUP(L30, '2. DATA NL, VTBB'!C:C, '2. DATA NL, VTBB'!E:E), ""), "")</f>
        <v/>
      </c>
      <c r="AR30" s="278" t="str">
        <f t="array" ref="AR30">IFERROR(XLOOKUP(L30,'2. DATA NL, VTBB'!C:C,'2. DATA NL, VTBB'!G:G),"")</f>
        <v>LOT IDA Global - I - 881 - ĐL Trung Nhã - Avermectin (Pet vuông) (nắp vàng)(nước nâu đen) - 450ml - 40</v>
      </c>
      <c r="AS30" s="278" t="str">
        <f t="array" ref="AS30">IFERROR(XLOOKUP(L30,'2. DATA NL, VTBB'!C:C,'2. DATA NL, VTBB'!G:G),"")</f>
        <v>LOT IDA Global - I - 881 - ĐL Trung Nhã - Avermectin (Pet vuông) (nắp vàng)(nước nâu đen) - 450ml - 40</v>
      </c>
      <c r="AT30" s="277"/>
    </row>
    <row r="31" ht="30.75" customHeight="1">
      <c r="A31" s="272">
        <f t="shared" si="13"/>
        <v>28</v>
      </c>
      <c r="B31" s="273">
        <v>45992.0</v>
      </c>
      <c r="C31" s="273">
        <v>45993.0</v>
      </c>
      <c r="D31" s="273">
        <f t="shared" si="12"/>
        <v>45995</v>
      </c>
      <c r="E31" s="273">
        <v>45992.0</v>
      </c>
      <c r="F31" s="274" t="s">
        <v>561</v>
      </c>
      <c r="G31" s="275" t="s">
        <v>696</v>
      </c>
      <c r="H31" s="274" t="s">
        <v>304</v>
      </c>
      <c r="I31" s="275" t="s">
        <v>726</v>
      </c>
      <c r="J31" s="279" t="s">
        <v>739</v>
      </c>
      <c r="K31" s="275" t="s">
        <v>730</v>
      </c>
      <c r="L31" s="277" t="s">
        <v>741</v>
      </c>
      <c r="M31" s="278" t="str">
        <f t="array" ref="M31">IFERROR(XLOOKUP(L31,'2. DATA NL, VTBB'!C:C,'2. DATA NL, VTBB'!D:D),"")</f>
        <v>PN- Nắp HDPE cổ 45 (8g) - Xanh Lá (không ganty)</v>
      </c>
      <c r="N31" s="280"/>
      <c r="O31" s="280" t="str">
        <f t="array" ref="O31">IFERROR( XLOOKUP(L31,'2. DATA NL, VTBB'!C:C,'2. DATA NL, VTBB'!E:E),"")</f>
        <v>Chitin 3.6EC</v>
      </c>
      <c r="P31" s="275" t="s">
        <v>565</v>
      </c>
      <c r="Q31" s="311"/>
      <c r="R31" s="291" t="s">
        <v>573</v>
      </c>
      <c r="S31" s="280"/>
      <c r="T31" s="280"/>
      <c r="U31" s="280"/>
      <c r="V31" s="283">
        <v>1000.0</v>
      </c>
      <c r="W31" s="275" t="s">
        <v>699</v>
      </c>
      <c r="X31" s="283">
        <v>1000.0</v>
      </c>
      <c r="Y31" s="274">
        <v>1050.0</v>
      </c>
      <c r="Z31" s="284">
        <v>900.0</v>
      </c>
      <c r="AA31" s="285">
        <v>0.08</v>
      </c>
      <c r="AB31" s="282">
        <v>1020600.0</v>
      </c>
      <c r="AC31" s="277"/>
      <c r="AD31" s="273">
        <v>45992.0</v>
      </c>
      <c r="AE31" s="272">
        <v>2207.0</v>
      </c>
      <c r="AF31" s="277"/>
      <c r="AG31" s="277"/>
      <c r="AH31" s="294">
        <f>IFERROR(__xludf.DUMMYFUNCTION("IFERROR(INDEX( SORT(FILTER(
        {'1. DATA CHUNG'!$J$4:$J$105 , '1. DATA CHUNG'!$L$4:$L$105}, (TRIM('1. DATA CHUNG'!$I$4:$I$105)=TRIM(K31)) * IF(COUNTIFS('1. DATA CHUNG'!$I$4:$I$105,K31,'1. DATA CHUNG'!$M$4:$M$105,Q31), '1. DATA CHUNG'!$M$4:$M$105=Q31,"&amp;" 1) * ('1. DATA CHUNG'!$L$4:$L$105&lt;=TODAY()) ),   2, 0),  1, 1), 
  IFERROR( INDEX(FILTER('1. DATA CHUNG'!$J$4:$J$105, (TRIM('1. DATA CHUNG'!$I$4:$I$105)=TRIM(K31)) * IF(COUNTIFS('1. DATA CHUNG'!$I$4:$I$105,K31,'1. DATA CHUNG'!$M$4:$M$105,Q31), '1. DATA C"&amp;"HUNG'!$M$4:$M$105=Q31, 1) * ('1. DATA CHUNG'!$L$4:$L$105="""")), 1), ""Không tìm thấy"" ))"),7.0)</f>
        <v>7</v>
      </c>
      <c r="AI31" s="273">
        <f t="shared" si="2"/>
        <v>45999</v>
      </c>
      <c r="AJ31" s="287"/>
      <c r="AK31" s="286">
        <f t="shared" si="3"/>
        <v>0</v>
      </c>
      <c r="AL31" s="287">
        <f t="shared" si="4"/>
        <v>3</v>
      </c>
      <c r="AM31" s="287">
        <f t="shared" si="5"/>
        <v>7</v>
      </c>
      <c r="AN31" s="279">
        <f t="shared" si="6"/>
        <v>6</v>
      </c>
      <c r="AO31" s="295" t="str">
        <f t="shared" si="7"/>
        <v>12/2025</v>
      </c>
      <c r="AP31" s="277" t="str">
        <f t="array" ref="AP31">IFERROR(XLOOKUP(L31,'2. DATA NL, VTBB'!C:C,'2. DATA NL, VTBB'!F:F),"")</f>
        <v>HH0159</v>
      </c>
      <c r="AQ31" s="277" t="str">
        <f t="array" ref="AQ31">IF(OR(K31="Nhãn", K31="Nhãn thùng",K31="Nhãn Túi"), K31 &amp; " " &amp; IFERROR(XLOOKUP(L31, '2. DATA NL, VTBB'!C:C, '2. DATA NL, VTBB'!E:E), ""), "")</f>
        <v/>
      </c>
      <c r="AR31" s="278" t="str">
        <f t="array" ref="AR31">IFERROR(XLOOKUP(L31,'2. DATA NL, VTBB'!C:C,'2. DATA NL, VTBB'!G:G),"")</f>
        <v>LOT IDA Global - I - 882 - CT Notraco - Avermectin (Pet tròn) (nắp vàng)(nước nâu đen) - 450ml - 40</v>
      </c>
      <c r="AS31" s="278" t="str">
        <f t="array" ref="AS31">IFERROR(XLOOKUP(L31,'2. DATA NL, VTBB'!C:C,'2. DATA NL, VTBB'!G:G),"")</f>
        <v>LOT IDA Global - I - 882 - CT Notraco - Avermectin (Pet tròn) (nắp vàng)(nước nâu đen) - 450ml - 40</v>
      </c>
      <c r="AT31" s="277"/>
    </row>
    <row r="32" ht="30.75" customHeight="1">
      <c r="A32" s="272">
        <f t="shared" si="13"/>
        <v>29</v>
      </c>
      <c r="B32" s="273">
        <v>45992.0</v>
      </c>
      <c r="C32" s="273">
        <v>45993.0</v>
      </c>
      <c r="D32" s="273">
        <f t="shared" si="12"/>
        <v>45995</v>
      </c>
      <c r="E32" s="273">
        <v>45992.0</v>
      </c>
      <c r="F32" s="274" t="s">
        <v>561</v>
      </c>
      <c r="G32" s="275" t="s">
        <v>696</v>
      </c>
      <c r="H32" s="274" t="s">
        <v>304</v>
      </c>
      <c r="I32" s="275" t="s">
        <v>726</v>
      </c>
      <c r="J32" s="279" t="s">
        <v>739</v>
      </c>
      <c r="K32" s="275" t="s">
        <v>728</v>
      </c>
      <c r="L32" s="277" t="s">
        <v>742</v>
      </c>
      <c r="M32" s="278" t="str">
        <f t="array" ref="M32">IFERROR(XLOOKUP(L32,'2. DATA NL, VTBB'!C:C,'2. DATA NL, VTBB'!D:D),"")</f>
        <v>PN - Chai HDPE tròn cổ 45 1Lít (110g) - Trắng (không ganty)</v>
      </c>
      <c r="N32" s="280"/>
      <c r="O32" s="280" t="str">
        <f t="array" ref="O32">IFERROR( XLOOKUP(L32,'2. DATA NL, VTBB'!C:C,'2. DATA NL, VTBB'!E:E),"")</f>
        <v>CA MAP 350SC</v>
      </c>
      <c r="P32" s="275" t="s">
        <v>565</v>
      </c>
      <c r="Q32" s="280"/>
      <c r="R32" s="291" t="s">
        <v>573</v>
      </c>
      <c r="S32" s="280"/>
      <c r="T32" s="280"/>
      <c r="U32" s="280"/>
      <c r="V32" s="283">
        <v>600.0</v>
      </c>
      <c r="W32" s="275" t="s">
        <v>699</v>
      </c>
      <c r="X32" s="283">
        <v>600.0</v>
      </c>
      <c r="Y32" s="274">
        <v>600.0</v>
      </c>
      <c r="Z32" s="287">
        <v>4700.0</v>
      </c>
      <c r="AA32" s="285">
        <v>0.08</v>
      </c>
      <c r="AB32" s="282">
        <v>3045600.0</v>
      </c>
      <c r="AC32" s="277"/>
      <c r="AD32" s="273">
        <v>45992.0</v>
      </c>
      <c r="AE32" s="272">
        <v>2207.0</v>
      </c>
      <c r="AF32" s="277"/>
      <c r="AG32" s="280"/>
      <c r="AH32" s="294">
        <f>IFERROR(__xludf.DUMMYFUNCTION("IFERROR(INDEX( SORT(FILTER(
        {'1. DATA CHUNG'!$J$4:$J$105 , '1. DATA CHUNG'!$L$4:$L$105}, (TRIM('1. DATA CHUNG'!$I$4:$I$105)=TRIM(K32)) * IF(COUNTIFS('1. DATA CHUNG'!$I$4:$I$105,K32,'1. DATA CHUNG'!$M$4:$M$105,Q32), '1. DATA CHUNG'!$M$4:$M$105=Q32,"&amp;" 1) * ('1. DATA CHUNG'!$L$4:$L$105&lt;=TODAY()) ),   2, 0),  1, 1), 
  IFERROR( INDEX(FILTER('1. DATA CHUNG'!$J$4:$J$105, (TRIM('1. DATA CHUNG'!$I$4:$I$105)=TRIM(K32)) * IF(COUNTIFS('1. DATA CHUNG'!$I$4:$I$105,K32,'1. DATA CHUNG'!$M$4:$M$105,Q32), '1. DATA C"&amp;"HUNG'!$M$4:$M$105=Q32, 1) * ('1. DATA CHUNG'!$L$4:$L$105="""")), 1), ""Không tìm thấy"" ))"),7.0)</f>
        <v>7</v>
      </c>
      <c r="AI32" s="273">
        <f t="shared" si="2"/>
        <v>45999</v>
      </c>
      <c r="AJ32" s="287"/>
      <c r="AK32" s="286">
        <f t="shared" si="3"/>
        <v>0</v>
      </c>
      <c r="AL32" s="287">
        <f t="shared" si="4"/>
        <v>3</v>
      </c>
      <c r="AM32" s="287">
        <f t="shared" si="5"/>
        <v>7</v>
      </c>
      <c r="AN32" s="279">
        <f t="shared" si="6"/>
        <v>6</v>
      </c>
      <c r="AO32" s="295" t="str">
        <f t="shared" si="7"/>
        <v>12/2025</v>
      </c>
      <c r="AP32" s="277" t="str">
        <f t="array" ref="AP32">IFERROR(XLOOKUP(L32,'2. DATA NL, VTBB'!C:C,'2. DATA NL, VTBB'!F:F),"")</f>
        <v>HH0151</v>
      </c>
      <c r="AQ32" s="277" t="str">
        <f t="array" ref="AQ32">IF(OR(K32="Nhãn", K32="Nhãn thùng",K32="Nhãn Túi"), K32 &amp; " " &amp; IFERROR(XLOOKUP(L32, '2. DATA NL, VTBB'!C:C, '2. DATA NL, VTBB'!E:E), ""), "")</f>
        <v/>
      </c>
      <c r="AR32" s="278" t="str">
        <f t="array" ref="AR32">IFERROR(XLOOKUP(L32,'2. DATA NL, VTBB'!C:C,'2. DATA NL, VTBB'!G:G),"")</f>
        <v>IDA Global - I - 725 - Cá mập 350SC (chai HD) - 100ml - 100 ([btp],t,c)</v>
      </c>
      <c r="AS32" s="278" t="str">
        <f t="array" ref="AS32">IFERROR(XLOOKUP(L32,'2. DATA NL, VTBB'!C:C,'2. DATA NL, VTBB'!G:G),"")</f>
        <v>IDA Global - I - 725 - Cá mập 350SC (chai HD) - 100ml - 100 ([btp],t,c)</v>
      </c>
      <c r="AT32" s="277"/>
    </row>
    <row r="33" ht="30.75" customHeight="1">
      <c r="A33" s="272">
        <f t="shared" si="13"/>
        <v>30</v>
      </c>
      <c r="B33" s="273">
        <v>45992.0</v>
      </c>
      <c r="C33" s="273">
        <v>45993.0</v>
      </c>
      <c r="D33" s="273">
        <f t="shared" si="12"/>
        <v>45995</v>
      </c>
      <c r="E33" s="273">
        <v>45992.0</v>
      </c>
      <c r="F33" s="274" t="s">
        <v>561</v>
      </c>
      <c r="G33" s="275" t="s">
        <v>696</v>
      </c>
      <c r="H33" s="274" t="s">
        <v>304</v>
      </c>
      <c r="I33" s="275" t="s">
        <v>726</v>
      </c>
      <c r="J33" s="279" t="s">
        <v>739</v>
      </c>
      <c r="K33" s="275" t="s">
        <v>730</v>
      </c>
      <c r="L33" s="277" t="s">
        <v>743</v>
      </c>
      <c r="M33" s="278" t="str">
        <f t="array" ref="M33">IFERROR(XLOOKUP(L33,'2. DATA NL, VTBB'!C:C,'2. DATA NL, VTBB'!D:D),"")</f>
        <v>PN -  Nắp HDPE cổ 45 Xanh Dương (không ganty)</v>
      </c>
      <c r="N33" s="280"/>
      <c r="O33" s="280" t="str">
        <f t="array" ref="O33">IFERROR( XLOOKUP(L33,'2. DATA NL, VTBB'!C:C,'2. DATA NL, VTBB'!E:E),"")</f>
        <v>NEW FUZE 200SC</v>
      </c>
      <c r="P33" s="275" t="s">
        <v>565</v>
      </c>
      <c r="Q33" s="280"/>
      <c r="R33" s="291" t="s">
        <v>573</v>
      </c>
      <c r="S33" s="280"/>
      <c r="T33" s="280"/>
      <c r="U33" s="280"/>
      <c r="V33" s="283">
        <v>600.0</v>
      </c>
      <c r="W33" s="275" t="s">
        <v>699</v>
      </c>
      <c r="X33" s="283">
        <v>600.0</v>
      </c>
      <c r="Y33" s="274">
        <v>600.0</v>
      </c>
      <c r="Z33" s="287">
        <v>900.0</v>
      </c>
      <c r="AA33" s="285">
        <v>0.08</v>
      </c>
      <c r="AB33" s="282">
        <v>583200.0</v>
      </c>
      <c r="AC33" s="277"/>
      <c r="AD33" s="273">
        <v>45992.0</v>
      </c>
      <c r="AE33" s="272">
        <v>2207.0</v>
      </c>
      <c r="AF33" s="277"/>
      <c r="AG33" s="280"/>
      <c r="AH33" s="294">
        <f>IFERROR(__xludf.DUMMYFUNCTION("IFERROR(INDEX( SORT(FILTER(
        {'1. DATA CHUNG'!$J$4:$J$105 , '1. DATA CHUNG'!$L$4:$L$105}, (TRIM('1. DATA CHUNG'!$I$4:$I$105)=TRIM(K33)) * IF(COUNTIFS('1. DATA CHUNG'!$I$4:$I$105,K33,'1. DATA CHUNG'!$M$4:$M$105,Q33), '1. DATA CHUNG'!$M$4:$M$105=Q33,"&amp;" 1) * ('1. DATA CHUNG'!$L$4:$L$105&lt;=TODAY()) ),   2, 0),  1, 1), 
  IFERROR( INDEX(FILTER('1. DATA CHUNG'!$J$4:$J$105, (TRIM('1. DATA CHUNG'!$I$4:$I$105)=TRIM(K33)) * IF(COUNTIFS('1. DATA CHUNG'!$I$4:$I$105,K33,'1. DATA CHUNG'!$M$4:$M$105,Q33), '1. DATA C"&amp;"HUNG'!$M$4:$M$105=Q33, 1) * ('1. DATA CHUNG'!$L$4:$L$105="""")), 1), ""Không tìm thấy"" ))"),7.0)</f>
        <v>7</v>
      </c>
      <c r="AI33" s="273">
        <f t="shared" si="2"/>
        <v>45999</v>
      </c>
      <c r="AJ33" s="287"/>
      <c r="AK33" s="286">
        <f t="shared" si="3"/>
        <v>0</v>
      </c>
      <c r="AL33" s="287">
        <f t="shared" si="4"/>
        <v>3</v>
      </c>
      <c r="AM33" s="287">
        <f t="shared" si="5"/>
        <v>7</v>
      </c>
      <c r="AN33" s="279">
        <f t="shared" si="6"/>
        <v>6</v>
      </c>
      <c r="AO33" s="295" t="str">
        <f t="shared" si="7"/>
        <v>12/2025</v>
      </c>
      <c r="AP33" s="277" t="str">
        <f t="array" ref="AP33">IFERROR(XLOOKUP(L33,'2. DATA NL, VTBB'!C:C,'2. DATA NL, VTBB'!F:F),"")</f>
        <v>HH0113</v>
      </c>
      <c r="AQ33" s="277" t="str">
        <f t="array" ref="AQ33">IF(OR(K33="Nhãn", K33="Nhãn thùng",K33="Nhãn Túi"), K33 &amp; " " &amp; IFERROR(XLOOKUP(L33, '2. DATA NL, VTBB'!C:C, '2. DATA NL, VTBB'!E:E), ""), "")</f>
        <v/>
      </c>
      <c r="AR33" s="278" t="str">
        <f t="array" ref="AR33">IFERROR(XLOOKUP(L33,'2. DATA NL, VTBB'!C:C,'2. DATA NL, VTBB'!G:G),"")</f>
        <v>IDA Global - I - 727 - Ếch vàng 200 (chai HD) - 100ML - 100 ([btp],t,c)</v>
      </c>
      <c r="AS33" s="278" t="str">
        <f t="array" ref="AS33">IFERROR(XLOOKUP(L33,'2. DATA NL, VTBB'!C:C,'2. DATA NL, VTBB'!G:G),"")</f>
        <v>IDA Global - I - 727 - Ếch vàng 200 (chai HD) - 100ML - 100 ([btp],t,c)</v>
      </c>
      <c r="AT33" s="277"/>
    </row>
    <row r="34" ht="30.75" customHeight="1">
      <c r="A34" s="272">
        <f t="shared" si="13"/>
        <v>31</v>
      </c>
      <c r="B34" s="273">
        <v>45992.0</v>
      </c>
      <c r="C34" s="273">
        <v>45993.0</v>
      </c>
      <c r="D34" s="273">
        <f t="shared" si="12"/>
        <v>45995</v>
      </c>
      <c r="E34" s="273">
        <v>45994.0</v>
      </c>
      <c r="F34" s="274" t="s">
        <v>561</v>
      </c>
      <c r="G34" s="275" t="s">
        <v>696</v>
      </c>
      <c r="H34" s="274" t="s">
        <v>304</v>
      </c>
      <c r="I34" s="275" t="s">
        <v>744</v>
      </c>
      <c r="J34" s="279" t="s">
        <v>581</v>
      </c>
      <c r="K34" s="275" t="s">
        <v>728</v>
      </c>
      <c r="L34" s="277" t="s">
        <v>745</v>
      </c>
      <c r="M34" s="278" t="str">
        <f t="array" ref="M34">IFERROR(XLOOKUP(L34,'2. DATA NL, VTBB'!C:C,'2. DATA NL, VTBB'!D:D),"")</f>
        <v>Chai PAPE tròn cổ 43 240,250ml (40gr) Trắng (PHL)</v>
      </c>
      <c r="N34" s="280"/>
      <c r="O34" s="280" t="str">
        <f t="array" ref="O34">IFERROR( XLOOKUP(L34,'2. DATA NL, VTBB'!C:C,'2. DATA NL, VTBB'!E:E),"")</f>
        <v>Mekongvil 5SC</v>
      </c>
      <c r="P34" s="275" t="s">
        <v>565</v>
      </c>
      <c r="Q34" s="311"/>
      <c r="R34" s="291" t="s">
        <v>573</v>
      </c>
      <c r="S34" s="280"/>
      <c r="T34" s="280"/>
      <c r="U34" s="280"/>
      <c r="V34" s="283">
        <v>2000.0</v>
      </c>
      <c r="W34" s="275" t="s">
        <v>699</v>
      </c>
      <c r="X34" s="283">
        <v>2000.0</v>
      </c>
      <c r="Y34" s="274">
        <v>2000.0</v>
      </c>
      <c r="Z34" s="287">
        <v>4600.0</v>
      </c>
      <c r="AA34" s="285">
        <v>0.08</v>
      </c>
      <c r="AB34" s="282">
        <v>9936000.0</v>
      </c>
      <c r="AC34" s="277"/>
      <c r="AD34" s="273">
        <v>45992.0</v>
      </c>
      <c r="AE34" s="272">
        <v>3420.0</v>
      </c>
      <c r="AF34" s="277"/>
      <c r="AG34" s="277"/>
      <c r="AH34" s="294">
        <f>IFERROR(__xludf.DUMMYFUNCTION("IFERROR(INDEX( SORT(FILTER(
        {'1. DATA CHUNG'!$J$4:$J$105 , '1. DATA CHUNG'!$L$4:$L$105}, (TRIM('1. DATA CHUNG'!$I$4:$I$105)=TRIM(K34)) * IF(COUNTIFS('1. DATA CHUNG'!$I$4:$I$105,K34,'1. DATA CHUNG'!$M$4:$M$105,Q34), '1. DATA CHUNG'!$M$4:$M$105=Q34,"&amp;" 1) * ('1. DATA CHUNG'!$L$4:$L$105&lt;=TODAY()) ),   2, 0),  1, 1), 
  IFERROR( INDEX(FILTER('1. DATA CHUNG'!$J$4:$J$105, (TRIM('1. DATA CHUNG'!$I$4:$I$105)=TRIM(K34)) * IF(COUNTIFS('1. DATA CHUNG'!$I$4:$I$105,K34,'1. DATA CHUNG'!$M$4:$M$105,Q34), '1. DATA C"&amp;"HUNG'!$M$4:$M$105=Q34, 1) * ('1. DATA CHUNG'!$L$4:$L$105="""")), 1), ""Không tìm thấy"" ))"),7.0)</f>
        <v>7</v>
      </c>
      <c r="AI34" s="273">
        <f t="shared" si="2"/>
        <v>45999</v>
      </c>
      <c r="AJ34" s="287"/>
      <c r="AK34" s="286">
        <f t="shared" si="3"/>
        <v>0</v>
      </c>
      <c r="AL34" s="287">
        <f t="shared" si="4"/>
        <v>1</v>
      </c>
      <c r="AM34" s="287">
        <f t="shared" si="5"/>
        <v>5</v>
      </c>
      <c r="AN34" s="279">
        <f t="shared" si="6"/>
        <v>6</v>
      </c>
      <c r="AO34" s="295" t="str">
        <f t="shared" si="7"/>
        <v>12/2025</v>
      </c>
      <c r="AP34" s="277" t="str">
        <f t="array" ref="AP34">IFERROR(XLOOKUP(L34,'2. DATA NL, VTBB'!C:C,'2. DATA NL, VTBB'!F:F),"")</f>
        <v>HH0098</v>
      </c>
      <c r="AQ34" s="277" t="str">
        <f t="array" ref="AQ34">IF(OR(K34="Nhãn", K34="Nhãn thùng",K34="Nhãn Túi"), K34 &amp; " " &amp; IFERROR(XLOOKUP(L34, '2. DATA NL, VTBB'!C:C, '2. DATA NL, VTBB'!E:E), ""), "")</f>
        <v/>
      </c>
      <c r="AR34" s="278" t="str">
        <f t="array" ref="AR34">IFERROR(XLOOKUP(L34,'2. DATA NL, VTBB'!C:C,'2. DATA NL, VTBB'!G:G),"")</f>
        <v>GC - II - 611 - AGC NEW- Gvil 5SC (mới) (HD) - 1 Lit - 20 (btp,nl)</v>
      </c>
      <c r="AS34" s="278" t="str">
        <f t="array" ref="AS34">IFERROR(XLOOKUP(L34,'2. DATA NL, VTBB'!C:C,'2. DATA NL, VTBB'!G:G),"")</f>
        <v>GC - II - 611 - AGC NEW- Gvil 5SC (mới) (HD) - 1 Lit - 20 (btp,nl)</v>
      </c>
      <c r="AT34" s="277"/>
    </row>
    <row r="35" ht="30.75" customHeight="1">
      <c r="A35" s="272">
        <f t="shared" si="13"/>
        <v>32</v>
      </c>
      <c r="B35" s="273">
        <v>45992.0</v>
      </c>
      <c r="C35" s="273">
        <v>45993.0</v>
      </c>
      <c r="D35" s="273">
        <f t="shared" si="12"/>
        <v>45995</v>
      </c>
      <c r="E35" s="273">
        <v>45994.0</v>
      </c>
      <c r="F35" s="274" t="s">
        <v>561</v>
      </c>
      <c r="G35" s="275" t="s">
        <v>696</v>
      </c>
      <c r="H35" s="274" t="s">
        <v>304</v>
      </c>
      <c r="I35" s="275" t="s">
        <v>744</v>
      </c>
      <c r="J35" s="279" t="s">
        <v>581</v>
      </c>
      <c r="K35" s="275" t="s">
        <v>730</v>
      </c>
      <c r="L35" s="277" t="s">
        <v>746</v>
      </c>
      <c r="M35" s="278" t="str">
        <f t="array" ref="M35">IFERROR(XLOOKUP(L35,'2. DATA NL, VTBB'!C:C,'2. DATA NL, VTBB'!D:D),"")</f>
        <v>Nắp HDPE cổ 43 (10g) trắng</v>
      </c>
      <c r="N35" s="280"/>
      <c r="O35" s="280" t="str">
        <f t="array" ref="O35">IFERROR( XLOOKUP(L35,'2. DATA NL, VTBB'!C:C,'2. DATA NL, VTBB'!E:E),"")</f>
        <v>Vi lượng Basel DANA 20</v>
      </c>
      <c r="P35" s="275" t="s">
        <v>565</v>
      </c>
      <c r="Q35" s="311"/>
      <c r="R35" s="291" t="s">
        <v>573</v>
      </c>
      <c r="S35" s="280"/>
      <c r="T35" s="280"/>
      <c r="U35" s="280"/>
      <c r="V35" s="283">
        <v>2000.0</v>
      </c>
      <c r="W35" s="275" t="s">
        <v>699</v>
      </c>
      <c r="X35" s="283">
        <v>2000.0</v>
      </c>
      <c r="Y35" s="274">
        <v>2000.0</v>
      </c>
      <c r="Z35" s="287">
        <v>1000.0</v>
      </c>
      <c r="AA35" s="285">
        <v>0.08</v>
      </c>
      <c r="AB35" s="282">
        <v>2160000.0</v>
      </c>
      <c r="AC35" s="277"/>
      <c r="AD35" s="273">
        <v>45992.0</v>
      </c>
      <c r="AE35" s="272">
        <v>3420.0</v>
      </c>
      <c r="AF35" s="277"/>
      <c r="AG35" s="277"/>
      <c r="AH35" s="294">
        <f>IFERROR(__xludf.DUMMYFUNCTION("IFERROR(INDEX( SORT(FILTER(
        {'1. DATA CHUNG'!$J$4:$J$105 , '1. DATA CHUNG'!$L$4:$L$105}, (TRIM('1. DATA CHUNG'!$I$4:$I$105)=TRIM(K35)) * IF(COUNTIFS('1. DATA CHUNG'!$I$4:$I$105,K35,'1. DATA CHUNG'!$M$4:$M$105,Q35), '1. DATA CHUNG'!$M$4:$M$105=Q35,"&amp;" 1) * ('1. DATA CHUNG'!$L$4:$L$105&lt;=TODAY()) ),   2, 0),  1, 1), 
  IFERROR( INDEX(FILTER('1. DATA CHUNG'!$J$4:$J$105, (TRIM('1. DATA CHUNG'!$I$4:$I$105)=TRIM(K35)) * IF(COUNTIFS('1. DATA CHUNG'!$I$4:$I$105,K35,'1. DATA CHUNG'!$M$4:$M$105,Q35), '1. DATA C"&amp;"HUNG'!$M$4:$M$105=Q35, 1) * ('1. DATA CHUNG'!$L$4:$L$105="""")), 1), ""Không tìm thấy"" ))"),7.0)</f>
        <v>7</v>
      </c>
      <c r="AI35" s="273">
        <f t="shared" si="2"/>
        <v>45999</v>
      </c>
      <c r="AJ35" s="287"/>
      <c r="AK35" s="286">
        <f t="shared" si="3"/>
        <v>0</v>
      </c>
      <c r="AL35" s="287">
        <f t="shared" si="4"/>
        <v>1</v>
      </c>
      <c r="AM35" s="287">
        <f t="shared" si="5"/>
        <v>5</v>
      </c>
      <c r="AN35" s="279">
        <f t="shared" si="6"/>
        <v>6</v>
      </c>
      <c r="AO35" s="295" t="str">
        <f t="shared" si="7"/>
        <v>12/2025</v>
      </c>
      <c r="AP35" s="277" t="str">
        <f t="array" ref="AP35">IFERROR(XLOOKUP(L35,'2. DATA NL, VTBB'!C:C,'2. DATA NL, VTBB'!F:F),"")</f>
        <v>HH0023</v>
      </c>
      <c r="AQ35" s="277" t="str">
        <f t="array" ref="AQ35">IF(OR(K35="Nhãn", K35="Nhãn thùng",K35="Nhãn Túi"), K35 &amp; " " &amp; IFERROR(XLOOKUP(L35, '2. DATA NL, VTBB'!C:C, '2. DATA NL, VTBB'!E:E), ""), "")</f>
        <v/>
      </c>
      <c r="AR35" s="278" t="str">
        <f t="array" ref="AR35">IFERROR(XLOOKUP(L35,'2. DATA NL, VTBB'!C:C,'2. DATA NL, VTBB'!G:G),"")</f>
        <v>GC - I - 359 - AU - Stronger Plus - 500ml - 40</v>
      </c>
      <c r="AS35" s="278" t="str">
        <f t="array" ref="AS35">IFERROR(XLOOKUP(L35,'2. DATA NL, VTBB'!C:C,'2. DATA NL, VTBB'!G:G),"")</f>
        <v>GC - I - 359 - AU - Stronger Plus - 500ml - 40</v>
      </c>
      <c r="AT35" s="277"/>
    </row>
    <row r="36" ht="30.75" customHeight="1">
      <c r="A36" s="272">
        <f t="shared" si="13"/>
        <v>33</v>
      </c>
      <c r="B36" s="273">
        <v>45992.0</v>
      </c>
      <c r="C36" s="273">
        <v>45993.0</v>
      </c>
      <c r="D36" s="273">
        <f t="shared" si="12"/>
        <v>45995</v>
      </c>
      <c r="E36" s="273">
        <v>45994.0</v>
      </c>
      <c r="F36" s="274" t="s">
        <v>561</v>
      </c>
      <c r="G36" s="275" t="s">
        <v>696</v>
      </c>
      <c r="H36" s="274" t="s">
        <v>304</v>
      </c>
      <c r="I36" s="275" t="s">
        <v>744</v>
      </c>
      <c r="J36" s="279" t="s">
        <v>581</v>
      </c>
      <c r="K36" s="275" t="s">
        <v>732</v>
      </c>
      <c r="L36" s="277" t="s">
        <v>747</v>
      </c>
      <c r="M36" s="278" t="str">
        <f t="array" ref="M36">IFERROR(XLOOKUP(L36,'2. DATA NL, VTBB'!C:C,'2. DATA NL, VTBB'!D:D),"")</f>
        <v>Cóc đong cổ 43 50ml (5gr) - Trắng trong</v>
      </c>
      <c r="N36" s="280"/>
      <c r="O36" s="280" t="str">
        <f t="array" ref="O36">IFERROR( XLOOKUP(L36,'2. DATA NL, VTBB'!C:C,'2. DATA NL, VTBB'!E:E),"")</f>
        <v>Vi lượng Quantity New</v>
      </c>
      <c r="P36" s="275" t="s">
        <v>565</v>
      </c>
      <c r="Q36" s="311"/>
      <c r="R36" s="291" t="s">
        <v>573</v>
      </c>
      <c r="S36" s="280"/>
      <c r="T36" s="280"/>
      <c r="U36" s="280"/>
      <c r="V36" s="283">
        <v>2000.0</v>
      </c>
      <c r="W36" s="275" t="s">
        <v>699</v>
      </c>
      <c r="X36" s="283">
        <v>2000.0</v>
      </c>
      <c r="Y36" s="274">
        <v>2000.0</v>
      </c>
      <c r="Z36" s="284">
        <v>650.0</v>
      </c>
      <c r="AA36" s="285">
        <v>0.08</v>
      </c>
      <c r="AB36" s="282">
        <v>1404000.0</v>
      </c>
      <c r="AC36" s="277"/>
      <c r="AD36" s="273">
        <v>45992.0</v>
      </c>
      <c r="AE36" s="272">
        <v>3420.0</v>
      </c>
      <c r="AF36" s="277"/>
      <c r="AG36" s="277"/>
      <c r="AH36" s="294">
        <f>IFERROR(__xludf.DUMMYFUNCTION("IFERROR(INDEX( SORT(FILTER(
        {'1. DATA CHUNG'!$J$4:$J$105 , '1. DATA CHUNG'!$L$4:$L$105}, (TRIM('1. DATA CHUNG'!$I$4:$I$105)=TRIM(K36)) * IF(COUNTIFS('1. DATA CHUNG'!$I$4:$I$105,K36,'1. DATA CHUNG'!$M$4:$M$105,Q36), '1. DATA CHUNG'!$M$4:$M$105=Q36,"&amp;" 1) * ('1. DATA CHUNG'!$L$4:$L$105&lt;=TODAY()) ),   2, 0),  1, 1), 
  IFERROR( INDEX(FILTER('1. DATA CHUNG'!$J$4:$J$105, (TRIM('1. DATA CHUNG'!$I$4:$I$105)=TRIM(K36)) * IF(COUNTIFS('1. DATA CHUNG'!$I$4:$I$105,K36,'1. DATA CHUNG'!$M$4:$M$105,Q36), '1. DATA C"&amp;"HUNG'!$M$4:$M$105=Q36, 1) * ('1. DATA CHUNG'!$L$4:$L$105="""")), 1), ""Không tìm thấy"" ))"),7.0)</f>
        <v>7</v>
      </c>
      <c r="AI36" s="273">
        <f t="shared" si="2"/>
        <v>45999</v>
      </c>
      <c r="AJ36" s="287"/>
      <c r="AK36" s="286">
        <f t="shared" si="3"/>
        <v>0</v>
      </c>
      <c r="AL36" s="287">
        <f t="shared" si="4"/>
        <v>1</v>
      </c>
      <c r="AM36" s="287">
        <f t="shared" si="5"/>
        <v>5</v>
      </c>
      <c r="AN36" s="279">
        <f t="shared" si="6"/>
        <v>6</v>
      </c>
      <c r="AO36" s="295" t="str">
        <f t="shared" si="7"/>
        <v>12/2025</v>
      </c>
      <c r="AP36" s="277" t="str">
        <f t="array" ref="AP36">IFERROR(XLOOKUP(L36,'2. DATA NL, VTBB'!C:C,'2. DATA NL, VTBB'!F:F),"")</f>
        <v>HH0002</v>
      </c>
      <c r="AQ36" s="277" t="str">
        <f t="array" ref="AQ36">IF(OR(K36="Nhãn", K36="Nhãn thùng",K36="Nhãn Túi"), K36 &amp; " " &amp; IFERROR(XLOOKUP(L36, '2. DATA NL, VTBB'!C:C, '2. DATA NL, VTBB'!E:E), ""), "")</f>
        <v/>
      </c>
      <c r="AR36" s="278" t="str">
        <f t="array" ref="AR36">IFERROR(XLOOKUP(L36,'2. DATA NL, VTBB'!C:C,'2. DATA NL, VTBB'!G:G),"")</f>
        <v>GC - II - 587 - A Thời GNH - Siêu Vô gạo (Chai HD) - 500 ml - 40</v>
      </c>
      <c r="AS36" s="278" t="str">
        <f t="array" ref="AS36">IFERROR(XLOOKUP(L36,'2. DATA NL, VTBB'!C:C,'2. DATA NL, VTBB'!G:G),"")</f>
        <v>GC - II - 587 - A Thời GNH - Siêu Vô gạo (Chai HD) - 500 ml - 40</v>
      </c>
      <c r="AT36" s="277"/>
    </row>
    <row r="37" ht="30.75" customHeight="1">
      <c r="A37" s="272">
        <f t="shared" si="13"/>
        <v>34</v>
      </c>
      <c r="B37" s="273">
        <v>45992.0</v>
      </c>
      <c r="C37" s="273">
        <v>45999.0</v>
      </c>
      <c r="D37" s="273">
        <f t="shared" ref="D37:D38" si="14">B37+15</f>
        <v>46007</v>
      </c>
      <c r="E37" s="273">
        <v>46001.0</v>
      </c>
      <c r="F37" s="274" t="s">
        <v>561</v>
      </c>
      <c r="G37" s="275" t="s">
        <v>562</v>
      </c>
      <c r="H37" s="274" t="s">
        <v>304</v>
      </c>
      <c r="I37" s="275" t="s">
        <v>305</v>
      </c>
      <c r="J37" s="279" t="s">
        <v>748</v>
      </c>
      <c r="K37" s="275" t="s">
        <v>301</v>
      </c>
      <c r="L37" s="277" t="s">
        <v>749</v>
      </c>
      <c r="M37" s="278" t="str">
        <f t="array" ref="M37">IFERROR(XLOOKUP(L37,'2. DATA NL, VTBB'!C:C,'2. DATA NL, VTBB'!D:D),"")</f>
        <v>Thùng C.P Gói 50g x 10 hộp SIAMB 16 30-10-10 (62x34x24cm) - Trắng viền tím</v>
      </c>
      <c r="N37" s="280"/>
      <c r="O37" s="280" t="str">
        <f t="array" ref="O37">IFERROR( XLOOKUP(L37,'2. DATA NL, VTBB'!C:C,'2. DATA NL, VTBB'!E:E),"")</f>
        <v>THALONIL 75WP</v>
      </c>
      <c r="P37" s="275" t="s">
        <v>565</v>
      </c>
      <c r="Q37" s="311"/>
      <c r="R37" s="290" t="s">
        <v>566</v>
      </c>
      <c r="S37" s="280"/>
      <c r="T37" s="280"/>
      <c r="U37" s="280"/>
      <c r="V37" s="283">
        <v>200.0</v>
      </c>
      <c r="W37" s="275" t="s">
        <v>699</v>
      </c>
      <c r="X37" s="283">
        <v>200.0</v>
      </c>
      <c r="Y37" s="274">
        <v>218.0</v>
      </c>
      <c r="Z37" s="279">
        <v>37600.0</v>
      </c>
      <c r="AA37" s="285">
        <v>0.08</v>
      </c>
      <c r="AB37" s="282">
        <v>8852544.0</v>
      </c>
      <c r="AC37" s="277"/>
      <c r="AD37" s="273">
        <v>45992.0</v>
      </c>
      <c r="AE37" s="272">
        <v>1969.0</v>
      </c>
      <c r="AF37" s="277"/>
      <c r="AG37" s="277"/>
      <c r="AH37" s="294">
        <f>IFERROR(__xludf.DUMMYFUNCTION("IFERROR(INDEX( SORT(FILTER(
        {'1. DATA CHUNG'!$J$4:$J$105 , '1. DATA CHUNG'!$L$4:$L$105}, (TRIM('1. DATA CHUNG'!$I$4:$I$105)=TRIM(K37)) * IF(COUNTIFS('1. DATA CHUNG'!$I$4:$I$105,K37,'1. DATA CHUNG'!$M$4:$M$105,Q37), '1. DATA CHUNG'!$M$4:$M$105=Q37,"&amp;" 1) * ('1. DATA CHUNG'!$L$4:$L$105&lt;=TODAY()) ),   2, 0),  1, 1), 
  IFERROR( INDEX(FILTER('1. DATA CHUNG'!$J$4:$J$105, (TRIM('1. DATA CHUNG'!$I$4:$I$105)=TRIM(K37)) * IF(COUNTIFS('1. DATA CHUNG'!$I$4:$I$105,K37,'1. DATA CHUNG'!$M$4:$M$105,Q37), '1. DATA C"&amp;"HUNG'!$M$4:$M$105=Q37, 1) * ('1. DATA CHUNG'!$L$4:$L$105="""")), 1), ""Không tìm thấy"" ))"),18.0)</f>
        <v>18</v>
      </c>
      <c r="AI37" s="273">
        <f t="shared" si="2"/>
        <v>46010</v>
      </c>
      <c r="AJ37" s="287"/>
      <c r="AK37" s="286">
        <f t="shared" si="3"/>
        <v>0</v>
      </c>
      <c r="AL37" s="287">
        <f t="shared" si="4"/>
        <v>6</v>
      </c>
      <c r="AM37" s="287">
        <f t="shared" si="5"/>
        <v>9</v>
      </c>
      <c r="AN37" s="279">
        <f t="shared" si="6"/>
        <v>11</v>
      </c>
      <c r="AO37" s="295" t="str">
        <f t="shared" si="7"/>
        <v>12/2025</v>
      </c>
      <c r="AP37" s="277" t="str">
        <f t="array" ref="AP37">IFERROR(XLOOKUP(L37,'2. DATA NL, VTBB'!C:C,'2. DATA NL, VTBB'!F:F),"")</f>
        <v>HH0256</v>
      </c>
      <c r="AQ37" s="277" t="str">
        <f t="array" ref="AQ37">IF(OR(K37="Nhãn", K37="Nhãn thùng",K37="Nhãn Túi"), K37 &amp; " " &amp; IFERROR(XLOOKUP(L37, '2. DATA NL, VTBB'!C:C, '2. DATA NL, VTBB'!E:E), ""), "")</f>
        <v/>
      </c>
      <c r="AR37" s="278" t="str">
        <f t="array" ref="AR37">IFERROR(XLOOKUP(L37,'2. DATA NL, VTBB'!C:C,'2. DATA NL, VTBB'!G:G),"")</f>
        <v>GC - IV - 674 - Agriscience - Thalonil 75WP (túi nhôm) - 100gr -100</v>
      </c>
      <c r="AS37" s="278" t="str">
        <f t="array" ref="AS37">IFERROR(XLOOKUP(L37,'2. DATA NL, VTBB'!C:C,'2. DATA NL, VTBB'!G:G),"")</f>
        <v>GC - IV - 674 - Agriscience - Thalonil 75WP (túi nhôm) - 100gr -100</v>
      </c>
      <c r="AT37" s="277"/>
    </row>
    <row r="38" ht="30.75" customHeight="1">
      <c r="A38" s="272">
        <f t="shared" si="13"/>
        <v>35</v>
      </c>
      <c r="B38" s="273">
        <v>45994.0</v>
      </c>
      <c r="C38" s="273">
        <v>46001.0</v>
      </c>
      <c r="D38" s="273">
        <f t="shared" si="14"/>
        <v>46009</v>
      </c>
      <c r="E38" s="293">
        <v>46010.0</v>
      </c>
      <c r="F38" s="274" t="s">
        <v>561</v>
      </c>
      <c r="G38" s="275" t="s">
        <v>696</v>
      </c>
      <c r="H38" s="274" t="s">
        <v>304</v>
      </c>
      <c r="I38" s="275" t="s">
        <v>305</v>
      </c>
      <c r="J38" s="279" t="s">
        <v>750</v>
      </c>
      <c r="K38" s="275" t="s">
        <v>301</v>
      </c>
      <c r="L38" s="277" t="s">
        <v>751</v>
      </c>
      <c r="M38" s="278" t="str">
        <f t="array" ref="M38">IFERROR(XLOOKUP(L38,'2. DATA NL, VTBB'!C:C,'2. DATA NL, VTBB'!D:D),"")</f>
        <v>Thùng VISANTO 100g x 100 gói (47.5x41.5x28cm) - Trắng xanh dương</v>
      </c>
      <c r="N38" s="280"/>
      <c r="O38" s="280" t="str">
        <f t="array" ref="O38">IFERROR( XLOOKUP(L38,'2. DATA NL, VTBB'!C:C,'2. DATA NL, VTBB'!E:E),"")</f>
        <v>THALONIL 75WP</v>
      </c>
      <c r="P38" s="275" t="s">
        <v>565</v>
      </c>
      <c r="Q38" s="311"/>
      <c r="R38" s="291" t="s">
        <v>584</v>
      </c>
      <c r="S38" s="280"/>
      <c r="T38" s="280"/>
      <c r="U38" s="280"/>
      <c r="V38" s="283">
        <v>200.0</v>
      </c>
      <c r="W38" s="275" t="s">
        <v>699</v>
      </c>
      <c r="X38" s="283">
        <v>200.0</v>
      </c>
      <c r="Y38" s="274">
        <v>207.0</v>
      </c>
      <c r="Z38" s="287">
        <v>23600.0</v>
      </c>
      <c r="AA38" s="285">
        <v>0.08</v>
      </c>
      <c r="AB38" s="282">
        <v>5276016.0</v>
      </c>
      <c r="AC38" s="277"/>
      <c r="AD38" s="273">
        <v>45994.0</v>
      </c>
      <c r="AE38" s="272">
        <v>2014.0</v>
      </c>
      <c r="AF38" s="277"/>
      <c r="AG38" s="277"/>
      <c r="AH38" s="294">
        <f>IFERROR(__xludf.DUMMYFUNCTION("IFERROR(INDEX( SORT(FILTER(
        {'1. DATA CHUNG'!$J$4:$J$105 , '1. DATA CHUNG'!$L$4:$L$105}, (TRIM('1. DATA CHUNG'!$I$4:$I$105)=TRIM(K38)) * IF(COUNTIFS('1. DATA CHUNG'!$I$4:$I$105,K38,'1. DATA CHUNG'!$M$4:$M$105,Q38), '1. DATA CHUNG'!$M$4:$M$105=Q38,"&amp;" 1) * ('1. DATA CHUNG'!$L$4:$L$105&lt;=TODAY()) ),   2, 0),  1, 1), 
  IFERROR( INDEX(FILTER('1. DATA CHUNG'!$J$4:$J$105, (TRIM('1. DATA CHUNG'!$I$4:$I$105)=TRIM(K38)) * IF(COUNTIFS('1. DATA CHUNG'!$I$4:$I$105,K38,'1. DATA CHUNG'!$M$4:$M$105,Q38), '1. DATA C"&amp;"HUNG'!$M$4:$M$105=Q38, 1) * ('1. DATA CHUNG'!$L$4:$L$105="""")), 1), ""Không tìm thấy"" ))"),18.0)</f>
        <v>18</v>
      </c>
      <c r="AI38" s="273">
        <f t="shared" si="2"/>
        <v>46012</v>
      </c>
      <c r="AJ38" s="287"/>
      <c r="AK38" s="286">
        <f t="shared" si="3"/>
        <v>0</v>
      </c>
      <c r="AL38" s="287">
        <f t="shared" si="4"/>
        <v>-1</v>
      </c>
      <c r="AM38" s="287">
        <f t="shared" si="5"/>
        <v>2</v>
      </c>
      <c r="AN38" s="279">
        <f t="shared" si="6"/>
        <v>11</v>
      </c>
      <c r="AO38" s="295" t="str">
        <f t="shared" si="7"/>
        <v>12/2025</v>
      </c>
      <c r="AP38" s="277" t="str">
        <f t="array" ref="AP38">IFERROR(XLOOKUP(L38,'2. DATA NL, VTBB'!C:C,'2. DATA NL, VTBB'!F:F),"")</f>
        <v>HH0244</v>
      </c>
      <c r="AQ38" s="277" t="str">
        <f t="array" ref="AQ38">IF(OR(K38="Nhãn", K38="Nhãn thùng",K38="Nhãn Túi"), K38 &amp; " " &amp; IFERROR(XLOOKUP(L38, '2. DATA NL, VTBB'!C:C, '2. DATA NL, VTBB'!E:E), ""), "")</f>
        <v/>
      </c>
      <c r="AR38" s="278" t="str">
        <f t="array" ref="AR38">IFERROR(XLOOKUP(L38,'2. DATA NL, VTBB'!C:C,'2. DATA NL, VTBB'!G:G),"")</f>
        <v>GC - II - 658 - Giang Tây - Thalonil 75WP (flexo) - 250gr - 52</v>
      </c>
      <c r="AS38" s="278" t="str">
        <f t="array" ref="AS38">IFERROR(XLOOKUP(L38,'2. DATA NL, VTBB'!C:C,'2. DATA NL, VTBB'!G:G),"")</f>
        <v>GC - II - 658 - Giang Tây - Thalonil 75WP (flexo) - 250gr - 52</v>
      </c>
      <c r="AT38" s="277"/>
    </row>
    <row r="39" ht="30.75" customHeight="1">
      <c r="A39" s="272">
        <f t="shared" si="13"/>
        <v>36</v>
      </c>
      <c r="B39" s="273">
        <v>45996.0</v>
      </c>
      <c r="C39" s="273">
        <v>45997.0</v>
      </c>
      <c r="D39" s="273">
        <f t="shared" ref="D39:D47" si="15">B39+3</f>
        <v>45999</v>
      </c>
      <c r="E39" s="289">
        <v>46000.0</v>
      </c>
      <c r="F39" s="274" t="s">
        <v>561</v>
      </c>
      <c r="G39" s="275" t="s">
        <v>562</v>
      </c>
      <c r="H39" s="274" t="s">
        <v>304</v>
      </c>
      <c r="I39" s="275" t="s">
        <v>744</v>
      </c>
      <c r="J39" s="279" t="s">
        <v>752</v>
      </c>
      <c r="K39" s="275" t="s">
        <v>728</v>
      </c>
      <c r="L39" s="277" t="s">
        <v>753</v>
      </c>
      <c r="M39" s="278" t="str">
        <f t="array" ref="M39">IFERROR(XLOOKUP(L39,'2. DATA NL, VTBB'!C:C,'2. DATA NL, VTBB'!D:D),"")</f>
        <v>Chai HDPE 300ml, tròn 2G vai Beehive cổ 50 (45g) - Trắng</v>
      </c>
      <c r="N39" s="280"/>
      <c r="O39" s="280" t="str">
        <f t="array" ref="O39">IFERROR( XLOOKUP(L39,'2. DATA NL, VTBB'!C:C,'2. DATA NL, VTBB'!E:E),"")</f>
        <v>CITIZEN 333SC</v>
      </c>
      <c r="P39" s="275" t="s">
        <v>565</v>
      </c>
      <c r="Q39" s="311"/>
      <c r="R39" s="290" t="s">
        <v>566</v>
      </c>
      <c r="S39" s="280"/>
      <c r="T39" s="280"/>
      <c r="U39" s="280"/>
      <c r="V39" s="283">
        <v>5000.0</v>
      </c>
      <c r="W39" s="275" t="s">
        <v>699</v>
      </c>
      <c r="X39" s="283">
        <v>5000.0</v>
      </c>
      <c r="Y39" s="274">
        <v>5040.0</v>
      </c>
      <c r="Z39" s="279">
        <v>2600.0</v>
      </c>
      <c r="AA39" s="285">
        <v>0.08</v>
      </c>
      <c r="AB39" s="282">
        <v>1.415232E7</v>
      </c>
      <c r="AC39" s="277"/>
      <c r="AD39" s="273">
        <v>45996.0</v>
      </c>
      <c r="AE39" s="272">
        <v>3575.0</v>
      </c>
      <c r="AF39" s="277"/>
      <c r="AG39" s="277"/>
      <c r="AH39" s="294">
        <f>IFERROR(__xludf.DUMMYFUNCTION("IFERROR(INDEX( SORT(FILTER(
        {'1. DATA CHUNG'!$J$4:$J$105 , '1. DATA CHUNG'!$L$4:$L$105}, (TRIM('1. DATA CHUNG'!$I$4:$I$105)=TRIM(K39)) * IF(COUNTIFS('1. DATA CHUNG'!$I$4:$I$105,K39,'1. DATA CHUNG'!$M$4:$M$105,Q39), '1. DATA CHUNG'!$M$4:$M$105=Q39,"&amp;" 1) * ('1. DATA CHUNG'!$L$4:$L$105&lt;=TODAY()) ),   2, 0),  1, 1), 
  IFERROR( INDEX(FILTER('1. DATA CHUNG'!$J$4:$J$105, (TRIM('1. DATA CHUNG'!$I$4:$I$105)=TRIM(K39)) * IF(COUNTIFS('1. DATA CHUNG'!$I$4:$I$105,K39,'1. DATA CHUNG'!$M$4:$M$105,Q39), '1. DATA C"&amp;"HUNG'!$M$4:$M$105=Q39, 1) * ('1. DATA CHUNG'!$L$4:$L$105="""")), 1), ""Không tìm thấy"" ))"),7.0)</f>
        <v>7</v>
      </c>
      <c r="AI39" s="273">
        <f t="shared" si="2"/>
        <v>46003</v>
      </c>
      <c r="AJ39" s="287"/>
      <c r="AK39" s="286">
        <f t="shared" si="3"/>
        <v>0</v>
      </c>
      <c r="AL39" s="287">
        <f t="shared" si="4"/>
        <v>-1</v>
      </c>
      <c r="AM39" s="287">
        <f t="shared" si="5"/>
        <v>3</v>
      </c>
      <c r="AN39" s="279">
        <f t="shared" si="6"/>
        <v>6</v>
      </c>
      <c r="AO39" s="295" t="str">
        <f t="shared" si="7"/>
        <v>12/2025</v>
      </c>
      <c r="AP39" s="277" t="str">
        <f t="array" ref="AP39">IFERROR(XLOOKUP(L39,'2. DATA NL, VTBB'!C:C,'2. DATA NL, VTBB'!F:F),"")</f>
        <v>HH0231</v>
      </c>
      <c r="AQ39" s="277" t="str">
        <f t="array" ref="AQ39">IF(OR(K39="Nhãn", K39="Nhãn thùng",K39="Nhãn Túi"), K39 &amp; " " &amp; IFERROR(XLOOKUP(L39, '2. DATA NL, VTBB'!C:C, '2. DATA NL, VTBB'!E:E), ""), "")</f>
        <v/>
      </c>
      <c r="AR39" s="278" t="str">
        <f t="array" ref="AR39">IFERROR(XLOOKUP(L39,'2. DATA NL, VTBB'!C:C,'2. DATA NL, VTBB'!G:G),"")</f>
        <v>IDA Global - I - 872 - Citizen 333SC (Drone) (chai HD)(nước cam sữa) - 450ml - 40</v>
      </c>
      <c r="AS39" s="278" t="str">
        <f t="array" ref="AS39">IFERROR(XLOOKUP(L39,'2. DATA NL, VTBB'!C:C,'2. DATA NL, VTBB'!G:G),"")</f>
        <v>IDA Global - I - 872 - Citizen 333SC (Drone) (chai HD)(nước cam sữa) - 450ml - 40</v>
      </c>
      <c r="AT39" s="277"/>
    </row>
    <row r="40" ht="30.75" customHeight="1">
      <c r="A40" s="272">
        <f t="shared" si="13"/>
        <v>37</v>
      </c>
      <c r="B40" s="273">
        <v>45996.0</v>
      </c>
      <c r="C40" s="273">
        <v>45997.0</v>
      </c>
      <c r="D40" s="273">
        <f t="shared" si="15"/>
        <v>45999</v>
      </c>
      <c r="E40" s="289">
        <v>46000.0</v>
      </c>
      <c r="F40" s="274" t="s">
        <v>561</v>
      </c>
      <c r="G40" s="275" t="s">
        <v>562</v>
      </c>
      <c r="H40" s="274" t="s">
        <v>304</v>
      </c>
      <c r="I40" s="275" t="s">
        <v>744</v>
      </c>
      <c r="J40" s="279" t="s">
        <v>752</v>
      </c>
      <c r="K40" s="275" t="s">
        <v>730</v>
      </c>
      <c r="L40" s="277" t="s">
        <v>754</v>
      </c>
      <c r="M40" s="278" t="str">
        <f t="array" ref="M40">IFERROR(XLOOKUP(L40,'2. DATA NL, VTBB'!C:C,'2. DATA NL, VTBB'!D:D),"")</f>
        <v>Nắp HDPE cổ 50 gruratee - Trắng</v>
      </c>
      <c r="N40" s="280"/>
      <c r="O40" s="280" t="str">
        <f t="array" ref="O40">IFERROR( XLOOKUP(L40,'2. DATA NL, VTBB'!C:C,'2. DATA NL, VTBB'!E:E),"")</f>
        <v>Chitin 3.6EC</v>
      </c>
      <c r="P40" s="275" t="s">
        <v>565</v>
      </c>
      <c r="Q40" s="311"/>
      <c r="R40" s="290" t="s">
        <v>566</v>
      </c>
      <c r="S40" s="280"/>
      <c r="T40" s="280"/>
      <c r="U40" s="280"/>
      <c r="V40" s="283">
        <v>2000.0</v>
      </c>
      <c r="W40" s="275" t="s">
        <v>699</v>
      </c>
      <c r="X40" s="283">
        <v>2000.0</v>
      </c>
      <c r="Y40" s="274">
        <v>5040.0</v>
      </c>
      <c r="Z40" s="287">
        <v>1200.0</v>
      </c>
      <c r="AA40" s="285">
        <v>0.08</v>
      </c>
      <c r="AB40" s="282">
        <v>6531840.0</v>
      </c>
      <c r="AC40" s="277"/>
      <c r="AD40" s="273">
        <v>45996.0</v>
      </c>
      <c r="AE40" s="272">
        <v>3575.0</v>
      </c>
      <c r="AF40" s="277"/>
      <c r="AG40" s="277"/>
      <c r="AH40" s="294">
        <f>IFERROR(__xludf.DUMMYFUNCTION("IFERROR(INDEX( SORT(FILTER(
        {'1. DATA CHUNG'!$J$4:$J$105 , '1. DATA CHUNG'!$L$4:$L$105}, (TRIM('1. DATA CHUNG'!$I$4:$I$105)=TRIM(K40)) * IF(COUNTIFS('1. DATA CHUNG'!$I$4:$I$105,K40,'1. DATA CHUNG'!$M$4:$M$105,Q40), '1. DATA CHUNG'!$M$4:$M$105=Q40,"&amp;" 1) * ('1. DATA CHUNG'!$L$4:$L$105&lt;=TODAY()) ),   2, 0),  1, 1), 
  IFERROR( INDEX(FILTER('1. DATA CHUNG'!$J$4:$J$105, (TRIM('1. DATA CHUNG'!$I$4:$I$105)=TRIM(K40)) * IF(COUNTIFS('1. DATA CHUNG'!$I$4:$I$105,K40,'1. DATA CHUNG'!$M$4:$M$105,Q40), '1. DATA C"&amp;"HUNG'!$M$4:$M$105=Q40, 1) * ('1. DATA CHUNG'!$L$4:$L$105="""")), 1), ""Không tìm thấy"" ))"),7.0)</f>
        <v>7</v>
      </c>
      <c r="AI40" s="273">
        <f t="shared" si="2"/>
        <v>46003</v>
      </c>
      <c r="AJ40" s="287"/>
      <c r="AK40" s="286">
        <f t="shared" si="3"/>
        <v>0</v>
      </c>
      <c r="AL40" s="287">
        <f t="shared" si="4"/>
        <v>-1</v>
      </c>
      <c r="AM40" s="287">
        <f t="shared" si="5"/>
        <v>3</v>
      </c>
      <c r="AN40" s="279">
        <f t="shared" si="6"/>
        <v>6</v>
      </c>
      <c r="AO40" s="295" t="str">
        <f t="shared" si="7"/>
        <v>12/2025</v>
      </c>
      <c r="AP40" s="277" t="str">
        <f t="array" ref="AP40">IFERROR(XLOOKUP(L40,'2. DATA NL, VTBB'!C:C,'2. DATA NL, VTBB'!F:F),"")</f>
        <v>HH0153</v>
      </c>
      <c r="AQ40" s="277" t="str">
        <f t="array" ref="AQ40">IF(OR(K40="Nhãn", K40="Nhãn thùng",K40="Nhãn Túi"), K40 &amp; " " &amp; IFERROR(XLOOKUP(L40, '2. DATA NL, VTBB'!C:C, '2. DATA NL, VTBB'!E:E), ""), "")</f>
        <v/>
      </c>
      <c r="AR40" s="278" t="str">
        <f t="array" ref="AR40">IFERROR(XLOOKUP(L40,'2. DATA NL, VTBB'!C:C,'2. DATA NL, VTBB'!G:G),"")</f>
        <v>LOT IDA Global - I - 870 - ĐL Nhựt Mẫn - Avermectin (Pet tròn) (nắp đỏ)(nước nâu đen) - 450ml - 40</v>
      </c>
      <c r="AS40" s="278" t="str">
        <f t="array" ref="AS40">IFERROR(XLOOKUP(L40,'2. DATA NL, VTBB'!C:C,'2. DATA NL, VTBB'!G:G),"")</f>
        <v>LOT IDA Global - I - 870 - ĐL Nhựt Mẫn - Avermectin (Pet tròn) (nắp đỏ)(nước nâu đen) - 450ml - 40</v>
      </c>
      <c r="AT40" s="277"/>
    </row>
    <row r="41" ht="30.75" customHeight="1">
      <c r="A41" s="272">
        <f t="shared" si="13"/>
        <v>38</v>
      </c>
      <c r="B41" s="289">
        <v>45997.0</v>
      </c>
      <c r="C41" s="273">
        <v>45998.0</v>
      </c>
      <c r="D41" s="273">
        <f t="shared" si="15"/>
        <v>46000</v>
      </c>
      <c r="E41" s="289">
        <f t="shared" ref="E41:E43" si="16">B41+4</f>
        <v>46001</v>
      </c>
      <c r="F41" s="274" t="s">
        <v>561</v>
      </c>
      <c r="G41" s="275" t="s">
        <v>562</v>
      </c>
      <c r="H41" s="274" t="s">
        <v>304</v>
      </c>
      <c r="I41" s="275" t="s">
        <v>755</v>
      </c>
      <c r="J41" s="279" t="s">
        <v>756</v>
      </c>
      <c r="K41" s="275" t="s">
        <v>728</v>
      </c>
      <c r="L41" s="277" t="s">
        <v>757</v>
      </c>
      <c r="M41" s="278" t="str">
        <f t="array" ref="M41">IFERROR(XLOOKUP(L41,'2. DATA NL, VTBB'!C:C,'2. DATA NL, VTBB'!D:D),"")</f>
        <v>TP - Chai HDPE tròn cổ 48 có Gurantee 500ml (63gr) -Trắng</v>
      </c>
      <c r="N41" s="280"/>
      <c r="O41" s="280" t="str">
        <f t="array" ref="O41">IFERROR( XLOOKUP(L41,'2. DATA NL, VTBB'!C:C,'2. DATA NL, VTBB'!E:E),"")</f>
        <v>Tikabamec 3.6EC</v>
      </c>
      <c r="P41" s="275" t="s">
        <v>565</v>
      </c>
      <c r="Q41" s="311"/>
      <c r="R41" s="290" t="s">
        <v>566</v>
      </c>
      <c r="S41" s="280"/>
      <c r="T41" s="280"/>
      <c r="U41" s="280"/>
      <c r="V41" s="283">
        <v>2000.0</v>
      </c>
      <c r="W41" s="275" t="s">
        <v>699</v>
      </c>
      <c r="X41" s="283">
        <v>2000.0</v>
      </c>
      <c r="Y41" s="274">
        <v>2075.0</v>
      </c>
      <c r="Z41" s="279">
        <v>3400.0</v>
      </c>
      <c r="AA41" s="285">
        <v>0.08</v>
      </c>
      <c r="AB41" s="282">
        <v>7619400.0</v>
      </c>
      <c r="AC41" s="277"/>
      <c r="AD41" s="289">
        <v>45997.0</v>
      </c>
      <c r="AE41" s="272">
        <v>2205.0</v>
      </c>
      <c r="AF41" s="277"/>
      <c r="AG41" s="277"/>
      <c r="AH41" s="294">
        <f>IFERROR(__xludf.DUMMYFUNCTION("IFERROR(INDEX( SORT(FILTER(
        {'1. DATA CHUNG'!$J$4:$J$105 , '1. DATA CHUNG'!$L$4:$L$105}, (TRIM('1. DATA CHUNG'!$I$4:$I$105)=TRIM(K41)) * IF(COUNTIFS('1. DATA CHUNG'!$I$4:$I$105,K41,'1. DATA CHUNG'!$M$4:$M$105,Q41), '1. DATA CHUNG'!$M$4:$M$105=Q41,"&amp;" 1) * ('1. DATA CHUNG'!$L$4:$L$105&lt;=TODAY()) ),   2, 0),  1, 1), 
  IFERROR( INDEX(FILTER('1. DATA CHUNG'!$J$4:$J$105, (TRIM('1. DATA CHUNG'!$I$4:$I$105)=TRIM(K41)) * IF(COUNTIFS('1. DATA CHUNG'!$I$4:$I$105,K41,'1. DATA CHUNG'!$M$4:$M$105,Q41), '1. DATA C"&amp;"HUNG'!$M$4:$M$105=Q41, 1) * ('1. DATA CHUNG'!$L$4:$L$105="""")), 1), ""Không tìm thấy"" ))"),7.0)</f>
        <v>7</v>
      </c>
      <c r="AI41" s="273">
        <f t="shared" si="2"/>
        <v>46004</v>
      </c>
      <c r="AJ41" s="287"/>
      <c r="AK41" s="286">
        <f t="shared" si="3"/>
        <v>0</v>
      </c>
      <c r="AL41" s="287">
        <f t="shared" si="4"/>
        <v>-1</v>
      </c>
      <c r="AM41" s="287">
        <f t="shared" si="5"/>
        <v>3</v>
      </c>
      <c r="AN41" s="279">
        <f t="shared" si="6"/>
        <v>6</v>
      </c>
      <c r="AO41" s="295" t="str">
        <f t="shared" si="7"/>
        <v>12/2025</v>
      </c>
      <c r="AP41" s="277" t="str">
        <f t="array" ref="AP41">IFERROR(XLOOKUP(L41,'2. DATA NL, VTBB'!C:C,'2. DATA NL, VTBB'!F:F),"")</f>
        <v>HH0169</v>
      </c>
      <c r="AQ41" s="277" t="str">
        <f t="array" ref="AQ41">IF(OR(K41="Nhãn", K41="Nhãn thùng",K41="Nhãn Túi"), K41 &amp; " " &amp; IFERROR(XLOOKUP(L41, '2. DATA NL, VTBB'!C:C, '2. DATA NL, VTBB'!E:E), ""), "")</f>
        <v/>
      </c>
      <c r="AR41" s="278" t="str">
        <f t="array" ref="AR41">IFERROR(XLOOKUP(L41,'2. DATA NL, VTBB'!C:C,'2. DATA NL, VTBB'!G:G),"")</f>
        <v>GC - IV - 746 - AU - Abamectin (PET tròn) (nước đục) - 450ml - 40</v>
      </c>
      <c r="AS41" s="278" t="str">
        <f t="array" ref="AS41">IFERROR(XLOOKUP(L41,'2. DATA NL, VTBB'!C:C,'2. DATA NL, VTBB'!G:G),"")</f>
        <v>GC - IV - 746 - AU - Abamectin (PET tròn) (nước đục) - 450ml - 40</v>
      </c>
      <c r="AT41" s="277"/>
    </row>
    <row r="42" ht="30.75" customHeight="1">
      <c r="A42" s="272">
        <f t="shared" si="13"/>
        <v>39</v>
      </c>
      <c r="B42" s="289">
        <v>45997.0</v>
      </c>
      <c r="C42" s="273">
        <v>45998.0</v>
      </c>
      <c r="D42" s="273">
        <f t="shared" si="15"/>
        <v>46000</v>
      </c>
      <c r="E42" s="289">
        <f t="shared" si="16"/>
        <v>46001</v>
      </c>
      <c r="F42" s="274" t="s">
        <v>561</v>
      </c>
      <c r="G42" s="275" t="s">
        <v>562</v>
      </c>
      <c r="H42" s="274" t="s">
        <v>304</v>
      </c>
      <c r="I42" s="275" t="s">
        <v>755</v>
      </c>
      <c r="J42" s="279" t="s">
        <v>756</v>
      </c>
      <c r="K42" s="275" t="s">
        <v>730</v>
      </c>
      <c r="L42" s="277" t="s">
        <v>758</v>
      </c>
      <c r="M42" s="278" t="str">
        <f t="array" ref="M42">IFERROR(XLOOKUP(L42,'2. DATA NL, VTBB'!C:C,'2. DATA NL, VTBB'!D:D),"")</f>
        <v>TP - Nắp PP có Gurantee cổ 48 500ml (10gr)- Trắng</v>
      </c>
      <c r="N42" s="280"/>
      <c r="O42" s="280" t="str">
        <f t="array" ref="O42">IFERROR( XLOOKUP(L42,'2. DATA NL, VTBB'!C:C,'2. DATA NL, VTBB'!E:E),"")</f>
        <v>TVZEB 800WP</v>
      </c>
      <c r="P42" s="275" t="s">
        <v>565</v>
      </c>
      <c r="Q42" s="311"/>
      <c r="R42" s="290" t="s">
        <v>566</v>
      </c>
      <c r="S42" s="280"/>
      <c r="T42" s="280"/>
      <c r="U42" s="280"/>
      <c r="V42" s="283">
        <v>2000.0</v>
      </c>
      <c r="W42" s="275" t="s">
        <v>699</v>
      </c>
      <c r="X42" s="283">
        <v>2000.0</v>
      </c>
      <c r="Y42" s="274">
        <v>2075.0</v>
      </c>
      <c r="Z42" s="279">
        <v>900.0</v>
      </c>
      <c r="AA42" s="285">
        <v>0.08</v>
      </c>
      <c r="AB42" s="282">
        <v>2016900.0</v>
      </c>
      <c r="AC42" s="277"/>
      <c r="AD42" s="289">
        <v>45997.0</v>
      </c>
      <c r="AE42" s="272">
        <v>2205.0</v>
      </c>
      <c r="AF42" s="277"/>
      <c r="AG42" s="277"/>
      <c r="AH42" s="294">
        <f>IFERROR(__xludf.DUMMYFUNCTION("IFERROR(INDEX( SORT(FILTER(
        {'1. DATA CHUNG'!$J$4:$J$105 , '1. DATA CHUNG'!$L$4:$L$105}, (TRIM('1. DATA CHUNG'!$I$4:$I$105)=TRIM(K42)) * IF(COUNTIFS('1. DATA CHUNG'!$I$4:$I$105,K42,'1. DATA CHUNG'!$M$4:$M$105,Q42), '1. DATA CHUNG'!$M$4:$M$105=Q42,"&amp;" 1) * ('1. DATA CHUNG'!$L$4:$L$105&lt;=TODAY()) ),   2, 0),  1, 1), 
  IFERROR( INDEX(FILTER('1. DATA CHUNG'!$J$4:$J$105, (TRIM('1. DATA CHUNG'!$I$4:$I$105)=TRIM(K42)) * IF(COUNTIFS('1. DATA CHUNG'!$I$4:$I$105,K42,'1. DATA CHUNG'!$M$4:$M$105,Q42), '1. DATA C"&amp;"HUNG'!$M$4:$M$105=Q42, 1) * ('1. DATA CHUNG'!$L$4:$L$105="""")), 1), ""Không tìm thấy"" ))"),7.0)</f>
        <v>7</v>
      </c>
      <c r="AI42" s="273">
        <f t="shared" si="2"/>
        <v>46004</v>
      </c>
      <c r="AJ42" s="287"/>
      <c r="AK42" s="286">
        <f t="shared" si="3"/>
        <v>0</v>
      </c>
      <c r="AL42" s="287">
        <f t="shared" si="4"/>
        <v>-1</v>
      </c>
      <c r="AM42" s="287">
        <f t="shared" si="5"/>
        <v>3</v>
      </c>
      <c r="AN42" s="279">
        <f t="shared" si="6"/>
        <v>6</v>
      </c>
      <c r="AO42" s="295" t="str">
        <f t="shared" si="7"/>
        <v>12/2025</v>
      </c>
      <c r="AP42" s="277" t="str">
        <f t="array" ref="AP42">IFERROR(XLOOKUP(L42,'2. DATA NL, VTBB'!C:C,'2. DATA NL, VTBB'!F:F),"")</f>
        <v>HH0120</v>
      </c>
      <c r="AQ42" s="277" t="str">
        <f t="array" ref="AQ42">IF(OR(K42="Nhãn", K42="Nhãn thùng",K42="Nhãn Túi"), K42 &amp; " " &amp; IFERROR(XLOOKUP(L42, '2. DATA NL, VTBB'!C:C, '2. DATA NL, VTBB'!E:E), ""), "")</f>
        <v/>
      </c>
      <c r="AR42" s="278" t="str">
        <f t="array" ref="AR42">IFERROR(XLOOKUP(L42,'2. DATA NL, VTBB'!C:C,'2. DATA NL, VTBB'!G:G),"")</f>
        <v>GC - IV - 747 - Thiên Di - Mancozeb - 100gr - 100</v>
      </c>
      <c r="AS42" s="278" t="str">
        <f t="array" ref="AS42">IFERROR(XLOOKUP(L42,'2. DATA NL, VTBB'!C:C,'2. DATA NL, VTBB'!G:G),"")</f>
        <v>GC - IV - 747 - Thiên Di - Mancozeb - 100gr - 100</v>
      </c>
      <c r="AT42" s="277"/>
    </row>
    <row r="43" ht="30.75" customHeight="1">
      <c r="A43" s="272">
        <f t="shared" si="13"/>
        <v>40</v>
      </c>
      <c r="B43" s="289">
        <v>45997.0</v>
      </c>
      <c r="C43" s="273">
        <v>45998.0</v>
      </c>
      <c r="D43" s="273">
        <f t="shared" si="15"/>
        <v>46000</v>
      </c>
      <c r="E43" s="289">
        <f t="shared" si="16"/>
        <v>46001</v>
      </c>
      <c r="F43" s="274" t="s">
        <v>561</v>
      </c>
      <c r="G43" s="275" t="s">
        <v>696</v>
      </c>
      <c r="H43" s="274" t="s">
        <v>304</v>
      </c>
      <c r="I43" s="275" t="s">
        <v>759</v>
      </c>
      <c r="J43" s="279" t="s">
        <v>760</v>
      </c>
      <c r="K43" s="275" t="s">
        <v>730</v>
      </c>
      <c r="L43" s="277" t="s">
        <v>761</v>
      </c>
      <c r="M43" s="278" t="str">
        <f t="array" ref="M43">IFERROR(XLOOKUP(L43,'2. DATA NL, VTBB'!C:C,'2. DATA NL, VTBB'!D:D),"")</f>
        <v>AT - Nắp HD có Guarantee cổ 39 (8.2gr) - Xanh lá tươi</v>
      </c>
      <c r="N43" s="280"/>
      <c r="O43" s="280" t="str">
        <f t="array" ref="O43">IFERROR( XLOOKUP(L43,'2. DATA NL, VTBB'!C:C,'2. DATA NL, VTBB'!E:E),"")</f>
        <v>Chitin 3.6EC</v>
      </c>
      <c r="P43" s="275" t="s">
        <v>565</v>
      </c>
      <c r="Q43" s="311"/>
      <c r="R43" s="290" t="s">
        <v>566</v>
      </c>
      <c r="S43" s="280"/>
      <c r="T43" s="280"/>
      <c r="U43" s="280"/>
      <c r="V43" s="283">
        <v>500.0</v>
      </c>
      <c r="W43" s="275" t="s">
        <v>699</v>
      </c>
      <c r="X43" s="283">
        <v>500.0</v>
      </c>
      <c r="Y43" s="274">
        <v>500.0</v>
      </c>
      <c r="Z43" s="279">
        <v>1300.0</v>
      </c>
      <c r="AA43" s="285">
        <v>0.08</v>
      </c>
      <c r="AB43" s="282">
        <v>702000.0</v>
      </c>
      <c r="AC43" s="277"/>
      <c r="AD43" s="289">
        <v>45997.0</v>
      </c>
      <c r="AE43" s="272">
        <v>91.0</v>
      </c>
      <c r="AF43" s="277"/>
      <c r="AG43" s="277"/>
      <c r="AH43" s="294">
        <f>IFERROR(__xludf.DUMMYFUNCTION("IFERROR(INDEX( SORT(FILTER(
        {'1. DATA CHUNG'!$J$4:$J$105 , '1. DATA CHUNG'!$L$4:$L$105}, (TRIM('1. DATA CHUNG'!$I$4:$I$105)=TRIM(K43)) * IF(COUNTIFS('1. DATA CHUNG'!$I$4:$I$105,K43,'1. DATA CHUNG'!$M$4:$M$105,Q43), '1. DATA CHUNG'!$M$4:$M$105=Q43,"&amp;" 1) * ('1. DATA CHUNG'!$L$4:$L$105&lt;=TODAY()) ),   2, 0),  1, 1), 
  IFERROR( INDEX(FILTER('1. DATA CHUNG'!$J$4:$J$105, (TRIM('1. DATA CHUNG'!$I$4:$I$105)=TRIM(K43)) * IF(COUNTIFS('1. DATA CHUNG'!$I$4:$I$105,K43,'1. DATA CHUNG'!$M$4:$M$105,Q43), '1. DATA C"&amp;"HUNG'!$M$4:$M$105=Q43, 1) * ('1. DATA CHUNG'!$L$4:$L$105="""")), 1), ""Không tìm thấy"" ))"),7.0)</f>
        <v>7</v>
      </c>
      <c r="AI43" s="273">
        <f t="shared" si="2"/>
        <v>46004</v>
      </c>
      <c r="AJ43" s="287"/>
      <c r="AK43" s="286">
        <f t="shared" si="3"/>
        <v>0</v>
      </c>
      <c r="AL43" s="287">
        <f t="shared" si="4"/>
        <v>-1</v>
      </c>
      <c r="AM43" s="287">
        <f t="shared" si="5"/>
        <v>3</v>
      </c>
      <c r="AN43" s="279">
        <f t="shared" si="6"/>
        <v>6</v>
      </c>
      <c r="AO43" s="295" t="str">
        <f t="shared" si="7"/>
        <v>12/2025</v>
      </c>
      <c r="AP43" s="277" t="str">
        <f t="array" ref="AP43">IFERROR(XLOOKUP(L43,'2. DATA NL, VTBB'!C:C,'2. DATA NL, VTBB'!F:F),"")</f>
        <v>HH0137</v>
      </c>
      <c r="AQ43" s="277" t="str">
        <f t="array" ref="AQ43">IF(OR(K43="Nhãn", K43="Nhãn thùng",K43="Nhãn Túi"), K43 &amp; " " &amp; IFERROR(XLOOKUP(L43, '2. DATA NL, VTBB'!C:C, '2. DATA NL, VTBB'!E:E), ""), "")</f>
        <v/>
      </c>
      <c r="AR43" s="278" t="str">
        <f t="array" ref="AR43">IFERROR(XLOOKUP(L43,'2. DATA NL, VTBB'!C:C,'2. DATA NL, VTBB'!G:G),"")</f>
        <v>LOT IDA Global - I - 845 - ĐL Hồng Phong - Avermectin 36 (Pet vuông) (nắp vàng)(nước nâu đen) - 450ml - 40</v>
      </c>
      <c r="AS43" s="278" t="str">
        <f t="array" ref="AS43">IFERROR(XLOOKUP(L43,'2. DATA NL, VTBB'!C:C,'2. DATA NL, VTBB'!G:G),"")</f>
        <v>LOT IDA Global - I - 845 - ĐL Hồng Phong - Avermectin 36 (Pet vuông) (nắp vàng)(nước nâu đen) - 450ml - 40</v>
      </c>
      <c r="AT43" s="277"/>
    </row>
    <row r="44" ht="30.75" customHeight="1">
      <c r="A44" s="272">
        <f t="shared" si="13"/>
        <v>41</v>
      </c>
      <c r="B44" s="289">
        <v>45999.0</v>
      </c>
      <c r="C44" s="273">
        <v>46000.0</v>
      </c>
      <c r="D44" s="273">
        <f t="shared" si="15"/>
        <v>46002</v>
      </c>
      <c r="E44" s="289">
        <v>46001.0</v>
      </c>
      <c r="F44" s="274" t="s">
        <v>561</v>
      </c>
      <c r="G44" s="275" t="s">
        <v>562</v>
      </c>
      <c r="H44" s="274" t="s">
        <v>304</v>
      </c>
      <c r="I44" s="275" t="s">
        <v>726</v>
      </c>
      <c r="J44" s="279" t="s">
        <v>762</v>
      </c>
      <c r="K44" s="275" t="s">
        <v>728</v>
      </c>
      <c r="L44" s="277" t="s">
        <v>763</v>
      </c>
      <c r="M44" s="278" t="str">
        <f t="array" ref="M44">IFERROR(XLOOKUP(L44,'2. DATA NL, VTBB'!C:C,'2. DATA NL, VTBB'!D:D),"")</f>
        <v>Chai HDPE tròn 1 Lít cổ 50 (120gr) - Trắng</v>
      </c>
      <c r="N44" s="280"/>
      <c r="O44" s="280" t="str">
        <f t="array" ref="O44">IFERROR( XLOOKUP(L44,'2. DATA NL, VTBB'!C:C,'2. DATA NL, VTBB'!E:E),"")</f>
        <v>Prima 04</v>
      </c>
      <c r="P44" s="275" t="s">
        <v>565</v>
      </c>
      <c r="Q44" s="311"/>
      <c r="R44" s="290" t="s">
        <v>566</v>
      </c>
      <c r="S44" s="280"/>
      <c r="T44" s="280"/>
      <c r="U44" s="280"/>
      <c r="V44" s="283">
        <v>2000.0</v>
      </c>
      <c r="W44" s="275" t="s">
        <v>699</v>
      </c>
      <c r="X44" s="283">
        <v>2000.0</v>
      </c>
      <c r="Y44" s="274">
        <v>2025.0</v>
      </c>
      <c r="Z44" s="287">
        <v>5000.0</v>
      </c>
      <c r="AA44" s="285">
        <v>0.08</v>
      </c>
      <c r="AB44" s="282">
        <v>1.0935E7</v>
      </c>
      <c r="AC44" s="277"/>
      <c r="AD44" s="289">
        <v>45999.0</v>
      </c>
      <c r="AE44" s="272">
        <v>2258.0</v>
      </c>
      <c r="AF44" s="277"/>
      <c r="AG44" s="277"/>
      <c r="AH44" s="294">
        <f>IFERROR(__xludf.DUMMYFUNCTION("IFERROR(INDEX( SORT(FILTER(
        {'1. DATA CHUNG'!$J$4:$J$105 , '1. DATA CHUNG'!$L$4:$L$105}, (TRIM('1. DATA CHUNG'!$I$4:$I$105)=TRIM(K44)) * IF(COUNTIFS('1. DATA CHUNG'!$I$4:$I$105,K44,'1. DATA CHUNG'!$M$4:$M$105,Q44), '1. DATA CHUNG'!$M$4:$M$105=Q44,"&amp;" 1) * ('1. DATA CHUNG'!$L$4:$L$105&lt;=TODAY()) ),   2, 0),  1, 1), 
  IFERROR( INDEX(FILTER('1. DATA CHUNG'!$J$4:$J$105, (TRIM('1. DATA CHUNG'!$I$4:$I$105)=TRIM(K44)) * IF(COUNTIFS('1. DATA CHUNG'!$I$4:$I$105,K44,'1. DATA CHUNG'!$M$4:$M$105,Q44), '1. DATA C"&amp;"HUNG'!$M$4:$M$105=Q44, 1) * ('1. DATA CHUNG'!$L$4:$L$105="""")), 1), ""Không tìm thấy"" ))"),7.0)</f>
        <v>7</v>
      </c>
      <c r="AI44" s="273">
        <f t="shared" si="2"/>
        <v>46006</v>
      </c>
      <c r="AJ44" s="287"/>
      <c r="AK44" s="286">
        <f t="shared" si="3"/>
        <v>0</v>
      </c>
      <c r="AL44" s="287">
        <f t="shared" si="4"/>
        <v>1</v>
      </c>
      <c r="AM44" s="287">
        <f t="shared" si="5"/>
        <v>5</v>
      </c>
      <c r="AN44" s="279">
        <f t="shared" si="6"/>
        <v>6</v>
      </c>
      <c r="AO44" s="295" t="str">
        <f t="shared" si="7"/>
        <v>12/2025</v>
      </c>
      <c r="AP44" s="277" t="str">
        <f t="array" ref="AP44">IFERROR(XLOOKUP(L44,'2. DATA NL, VTBB'!C:C,'2. DATA NL, VTBB'!F:F),"")</f>
        <v>HH0116</v>
      </c>
      <c r="AQ44" s="277" t="str">
        <f t="array" ref="AQ44">IF(OR(K44="Nhãn", K44="Nhãn thùng",K44="Nhãn Túi"), K44 &amp; " " &amp; IFERROR(XLOOKUP(L44, '2. DATA NL, VTBB'!C:C, '2. DATA NL, VTBB'!E:E), ""), "")</f>
        <v/>
      </c>
      <c r="AR44" s="278" t="str">
        <f t="array" ref="AR44">IFERROR(XLOOKUP(L44,'2. DATA NL, VTBB'!C:C,'2. DATA NL, VTBB'!G:G),"")</f>
        <v>GC - II - 666 - AU - Gel Humiix - 20 kg - 1 ([btp],x,n)</v>
      </c>
      <c r="AS44" s="278" t="str">
        <f t="array" ref="AS44">IFERROR(XLOOKUP(L44,'2. DATA NL, VTBB'!C:C,'2. DATA NL, VTBB'!G:G),"")</f>
        <v>GC - II - 666 - AU - Gel Humiix - 20 kg - 1 ([btp],x,n)</v>
      </c>
      <c r="AT44" s="277"/>
    </row>
    <row r="45" ht="30.75" customHeight="1">
      <c r="A45" s="272">
        <f t="shared" si="13"/>
        <v>42</v>
      </c>
      <c r="B45" s="289">
        <v>45999.0</v>
      </c>
      <c r="C45" s="273">
        <v>46000.0</v>
      </c>
      <c r="D45" s="273">
        <f t="shared" si="15"/>
        <v>46002</v>
      </c>
      <c r="E45" s="289">
        <v>46001.0</v>
      </c>
      <c r="F45" s="274" t="s">
        <v>561</v>
      </c>
      <c r="G45" s="275" t="s">
        <v>562</v>
      </c>
      <c r="H45" s="274" t="s">
        <v>304</v>
      </c>
      <c r="I45" s="275" t="s">
        <v>726</v>
      </c>
      <c r="J45" s="279" t="s">
        <v>762</v>
      </c>
      <c r="K45" s="275" t="s">
        <v>730</v>
      </c>
      <c r="L45" s="277" t="s">
        <v>764</v>
      </c>
      <c r="M45" s="278" t="str">
        <f t="array" ref="M45">IFERROR(XLOOKUP(L45,'2. DATA NL, VTBB'!C:C,'2. DATA NL, VTBB'!D:D),"")</f>
        <v>Nắp HDPE có bèo cổ 50 (10gr) - Trắng</v>
      </c>
      <c r="N45" s="280"/>
      <c r="O45" s="280" t="str">
        <f t="array" ref="O45">IFERROR( XLOOKUP(L45,'2. DATA NL, VTBB'!C:C,'2. DATA NL, VTBB'!E:E),"")</f>
        <v>Vi lượng Quantity New</v>
      </c>
      <c r="P45" s="275" t="s">
        <v>565</v>
      </c>
      <c r="Q45" s="311"/>
      <c r="R45" s="290" t="s">
        <v>566</v>
      </c>
      <c r="S45" s="280"/>
      <c r="T45" s="280"/>
      <c r="U45" s="280"/>
      <c r="V45" s="283">
        <v>2000.0</v>
      </c>
      <c r="W45" s="275" t="s">
        <v>699</v>
      </c>
      <c r="X45" s="283">
        <v>2000.0</v>
      </c>
      <c r="Y45" s="274">
        <v>2025.0</v>
      </c>
      <c r="Z45" s="287">
        <v>900.0</v>
      </c>
      <c r="AA45" s="285">
        <v>0.08</v>
      </c>
      <c r="AB45" s="282">
        <v>1968300.0</v>
      </c>
      <c r="AC45" s="277"/>
      <c r="AD45" s="289">
        <v>45999.0</v>
      </c>
      <c r="AE45" s="272">
        <v>2258.0</v>
      </c>
      <c r="AF45" s="277"/>
      <c r="AG45" s="277"/>
      <c r="AH45" s="294">
        <f>IFERROR(__xludf.DUMMYFUNCTION("IFERROR(INDEX( SORT(FILTER(
        {'1. DATA CHUNG'!$J$4:$J$105 , '1. DATA CHUNG'!$L$4:$L$105}, (TRIM('1. DATA CHUNG'!$I$4:$I$105)=TRIM(K45)) * IF(COUNTIFS('1. DATA CHUNG'!$I$4:$I$105,K45,'1. DATA CHUNG'!$M$4:$M$105,Q45), '1. DATA CHUNG'!$M$4:$M$105=Q45,"&amp;" 1) * ('1. DATA CHUNG'!$L$4:$L$105&lt;=TODAY()) ),   2, 0),  1, 1), 
  IFERROR( INDEX(FILTER('1. DATA CHUNG'!$J$4:$J$105, (TRIM('1. DATA CHUNG'!$I$4:$I$105)=TRIM(K45)) * IF(COUNTIFS('1. DATA CHUNG'!$I$4:$I$105,K45,'1. DATA CHUNG'!$M$4:$M$105,Q45), '1. DATA C"&amp;"HUNG'!$M$4:$M$105=Q45, 1) * ('1. DATA CHUNG'!$L$4:$L$105="""")), 1), ""Không tìm thấy"" ))"),7.0)</f>
        <v>7</v>
      </c>
      <c r="AI45" s="273">
        <f t="shared" si="2"/>
        <v>46006</v>
      </c>
      <c r="AJ45" s="287"/>
      <c r="AK45" s="286">
        <f t="shared" si="3"/>
        <v>0</v>
      </c>
      <c r="AL45" s="287">
        <f t="shared" si="4"/>
        <v>1</v>
      </c>
      <c r="AM45" s="287">
        <f t="shared" si="5"/>
        <v>5</v>
      </c>
      <c r="AN45" s="279">
        <f t="shared" si="6"/>
        <v>6</v>
      </c>
      <c r="AO45" s="295" t="str">
        <f t="shared" si="7"/>
        <v>12/2025</v>
      </c>
      <c r="AP45" s="277" t="str">
        <f t="array" ref="AP45">IFERROR(XLOOKUP(L45,'2. DATA NL, VTBB'!C:C,'2. DATA NL, VTBB'!F:F),"")</f>
        <v>HH0070</v>
      </c>
      <c r="AQ45" s="277" t="str">
        <f t="array" ref="AQ45">IF(OR(K45="Nhãn", K45="Nhãn thùng",K45="Nhãn Túi"), K45 &amp; " " &amp; IFERROR(XLOOKUP(L45, '2. DATA NL, VTBB'!C:C, '2. DATA NL, VTBB'!E:E), ""), "")</f>
        <v/>
      </c>
      <c r="AR45" s="278" t="str">
        <f t="array" ref="AR45">IFERROR(XLOOKUP(L45,'2. DATA NL, VTBB'!C:C,'2. DATA NL, VTBB'!G:G),"")</f>
        <v>GC - II - 591 - A Thời GNH - Chuyên lác (Chai HD) - 1L - 20</v>
      </c>
      <c r="AS45" s="278" t="str">
        <f t="array" ref="AS45">IFERROR(XLOOKUP(L45,'2. DATA NL, VTBB'!C:C,'2. DATA NL, VTBB'!G:G),"")</f>
        <v>GC - II - 591 - A Thời GNH - Chuyên lác (Chai HD) - 1L - 20</v>
      </c>
      <c r="AT45" s="277"/>
    </row>
    <row r="46" ht="30.75" customHeight="1">
      <c r="A46" s="272">
        <f t="shared" si="13"/>
        <v>43</v>
      </c>
      <c r="B46" s="289">
        <v>45999.0</v>
      </c>
      <c r="C46" s="273">
        <v>46000.0</v>
      </c>
      <c r="D46" s="273">
        <f t="shared" si="15"/>
        <v>46002</v>
      </c>
      <c r="E46" s="289">
        <v>45999.0</v>
      </c>
      <c r="F46" s="274" t="s">
        <v>561</v>
      </c>
      <c r="G46" s="275" t="s">
        <v>562</v>
      </c>
      <c r="H46" s="274" t="s">
        <v>304</v>
      </c>
      <c r="I46" s="275" t="s">
        <v>765</v>
      </c>
      <c r="J46" s="279" t="s">
        <v>766</v>
      </c>
      <c r="K46" s="275" t="s">
        <v>767</v>
      </c>
      <c r="L46" s="277" t="s">
        <v>768</v>
      </c>
      <c r="M46" s="278" t="str">
        <f t="array" ref="M46">IFERROR(XLOOKUP(L46,'2. DATA NL, VTBB'!C:C,'2. DATA NL, VTBB'!D:D),"")</f>
        <v>Can HDPE 5L vuông trắng, 4 chấm chống trượt (315gr) - Nắp trắng (13gr)</v>
      </c>
      <c r="N46" s="280"/>
      <c r="O46" s="280" t="str">
        <f t="array" ref="O46">IFERROR( XLOOKUP(L46,'2. DATA NL, VTBB'!C:C,'2. DATA NL, VTBB'!E:E),"")</f>
        <v>Vi lượng Quantity New</v>
      </c>
      <c r="P46" s="275" t="s">
        <v>565</v>
      </c>
      <c r="Q46" s="311"/>
      <c r="R46" s="290" t="s">
        <v>566</v>
      </c>
      <c r="S46" s="280"/>
      <c r="T46" s="280"/>
      <c r="U46" s="280"/>
      <c r="V46" s="283">
        <v>100.0</v>
      </c>
      <c r="W46" s="275" t="s">
        <v>699</v>
      </c>
      <c r="X46" s="283">
        <v>100.0</v>
      </c>
      <c r="Y46" s="274">
        <v>120.0</v>
      </c>
      <c r="Z46" s="287">
        <v>19300.0</v>
      </c>
      <c r="AA46" s="285">
        <v>0.08</v>
      </c>
      <c r="AB46" s="282">
        <v>2501280.0</v>
      </c>
      <c r="AC46" s="277"/>
      <c r="AD46" s="289">
        <v>45999.0</v>
      </c>
      <c r="AE46" s="272">
        <v>913.0</v>
      </c>
      <c r="AF46" s="277"/>
      <c r="AG46" s="277"/>
      <c r="AH46" s="294">
        <f>IFERROR(__xludf.DUMMYFUNCTION("IFERROR(INDEX( SORT(FILTER(
        {'1. DATA CHUNG'!$J$4:$J$105 , '1. DATA CHUNG'!$L$4:$L$105}, (TRIM('1. DATA CHUNG'!$I$4:$I$105)=TRIM(K46)) * IF(COUNTIFS('1. DATA CHUNG'!$I$4:$I$105,K46,'1. DATA CHUNG'!$M$4:$M$105,Q46), '1. DATA CHUNG'!$M$4:$M$105=Q46,"&amp;" 1) * ('1. DATA CHUNG'!$L$4:$L$105&lt;=TODAY()) ),   2, 0),  1, 1), 
  IFERROR( INDEX(FILTER('1. DATA CHUNG'!$J$4:$J$105, (TRIM('1. DATA CHUNG'!$I$4:$I$105)=TRIM(K46)) * IF(COUNTIFS('1. DATA CHUNG'!$I$4:$I$105,K46,'1. DATA CHUNG'!$M$4:$M$105,Q46), '1. DATA C"&amp;"HUNG'!$M$4:$M$105=Q46, 1) * ('1. DATA CHUNG'!$L$4:$L$105="""")), 1), ""Không tìm thấy"" ))"),5.0)</f>
        <v>5</v>
      </c>
      <c r="AI46" s="273">
        <f t="shared" si="2"/>
        <v>46004</v>
      </c>
      <c r="AJ46" s="287"/>
      <c r="AK46" s="286">
        <f t="shared" si="3"/>
        <v>0</v>
      </c>
      <c r="AL46" s="287">
        <f t="shared" si="4"/>
        <v>3</v>
      </c>
      <c r="AM46" s="287">
        <f t="shared" si="5"/>
        <v>5</v>
      </c>
      <c r="AN46" s="279">
        <f t="shared" si="6"/>
        <v>4</v>
      </c>
      <c r="AO46" s="295" t="str">
        <f t="shared" si="7"/>
        <v>12/2025</v>
      </c>
      <c r="AP46" s="277" t="str">
        <f t="array" ref="AP46">IFERROR(XLOOKUP(L46,'2. DATA NL, VTBB'!C:C,'2. DATA NL, VTBB'!F:F),"")</f>
        <v>HH0005</v>
      </c>
      <c r="AQ46" s="277" t="str">
        <f t="array" ref="AQ46">IF(OR(K46="Nhãn", K46="Nhãn thùng",K46="Nhãn Túi"), K46 &amp; " " &amp; IFERROR(XLOOKUP(L46, '2. DATA NL, VTBB'!C:C, '2. DATA NL, VTBB'!E:E), ""), "")</f>
        <v/>
      </c>
      <c r="AR46" s="278" t="str">
        <f t="array" ref="AR46">IFERROR(XLOOKUP(L46,'2. DATA NL, VTBB'!C:C,'2. DATA NL, VTBB'!G:G),"")</f>
        <v>GC - II - 578 - A Thời GNH - Kamax (Chai HD) - 100ml - 100</v>
      </c>
      <c r="AS46" s="278" t="str">
        <f t="array" ref="AS46">IFERROR(XLOOKUP(L46,'2. DATA NL, VTBB'!C:C,'2. DATA NL, VTBB'!G:G),"")</f>
        <v>GC - II - 578 - A Thời GNH - Kamax (Chai HD) - 100ml - 100</v>
      </c>
      <c r="AT46" s="277"/>
    </row>
    <row r="47" ht="30.75" customHeight="1">
      <c r="A47" s="272">
        <f t="shared" si="13"/>
        <v>44</v>
      </c>
      <c r="B47" s="289">
        <v>45999.0</v>
      </c>
      <c r="C47" s="273">
        <v>46000.0</v>
      </c>
      <c r="D47" s="273">
        <f t="shared" si="15"/>
        <v>46002</v>
      </c>
      <c r="E47" s="289">
        <v>45999.0</v>
      </c>
      <c r="F47" s="274" t="s">
        <v>561</v>
      </c>
      <c r="G47" s="275" t="s">
        <v>562</v>
      </c>
      <c r="H47" s="274" t="s">
        <v>304</v>
      </c>
      <c r="I47" s="275" t="s">
        <v>765</v>
      </c>
      <c r="J47" s="279" t="s">
        <v>766</v>
      </c>
      <c r="K47" s="275" t="s">
        <v>730</v>
      </c>
      <c r="L47" s="277" t="s">
        <v>769</v>
      </c>
      <c r="M47" s="278" t="str">
        <f t="array" ref="M47">IFERROR(XLOOKUP(L47,'2. DATA NL, VTBB'!C:C,'2. DATA NL, VTBB'!D:D),"")</f>
        <v>Nắp can HDPE 5L (13gr) - Trắng</v>
      </c>
      <c r="N47" s="280"/>
      <c r="O47" s="280" t="str">
        <f t="array" ref="O47">IFERROR( XLOOKUP(L47,'2. DATA NL, VTBB'!C:C,'2. DATA NL, VTBB'!E:E),"")</f>
        <v>Oxycin 100WP</v>
      </c>
      <c r="P47" s="275" t="s">
        <v>565</v>
      </c>
      <c r="Q47" s="311"/>
      <c r="R47" s="290" t="s">
        <v>566</v>
      </c>
      <c r="S47" s="280"/>
      <c r="T47" s="280"/>
      <c r="U47" s="280"/>
      <c r="V47" s="283">
        <v>100.0</v>
      </c>
      <c r="W47" s="275" t="s">
        <v>699</v>
      </c>
      <c r="X47" s="283">
        <v>100.0</v>
      </c>
      <c r="Y47" s="274">
        <v>120.0</v>
      </c>
      <c r="Z47" s="279">
        <v>1900.0</v>
      </c>
      <c r="AA47" s="285">
        <v>0.08</v>
      </c>
      <c r="AB47" s="282">
        <v>246240.0</v>
      </c>
      <c r="AC47" s="277"/>
      <c r="AD47" s="289">
        <v>45999.0</v>
      </c>
      <c r="AE47" s="272">
        <v>913.0</v>
      </c>
      <c r="AF47" s="277"/>
      <c r="AG47" s="277"/>
      <c r="AH47" s="294">
        <f>IFERROR(__xludf.DUMMYFUNCTION("IFERROR(INDEX( SORT(FILTER(
        {'1. DATA CHUNG'!$J$4:$J$105 , '1. DATA CHUNG'!$L$4:$L$105}, (TRIM('1. DATA CHUNG'!$I$4:$I$105)=TRIM(K47)) * IF(COUNTIFS('1. DATA CHUNG'!$I$4:$I$105,K47,'1. DATA CHUNG'!$M$4:$M$105,Q47), '1. DATA CHUNG'!$M$4:$M$105=Q47,"&amp;" 1) * ('1. DATA CHUNG'!$L$4:$L$105&lt;=TODAY()) ),   2, 0),  1, 1), 
  IFERROR( INDEX(FILTER('1. DATA CHUNG'!$J$4:$J$105, (TRIM('1. DATA CHUNG'!$I$4:$I$105)=TRIM(K47)) * IF(COUNTIFS('1. DATA CHUNG'!$I$4:$I$105,K47,'1. DATA CHUNG'!$M$4:$M$105,Q47), '1. DATA C"&amp;"HUNG'!$M$4:$M$105=Q47, 1) * ('1. DATA CHUNG'!$L$4:$L$105="""")), 1), ""Không tìm thấy"" ))"),7.0)</f>
        <v>7</v>
      </c>
      <c r="AI47" s="273">
        <f t="shared" si="2"/>
        <v>46006</v>
      </c>
      <c r="AJ47" s="287"/>
      <c r="AK47" s="286">
        <f t="shared" si="3"/>
        <v>0</v>
      </c>
      <c r="AL47" s="287">
        <f t="shared" si="4"/>
        <v>3</v>
      </c>
      <c r="AM47" s="287">
        <f t="shared" si="5"/>
        <v>7</v>
      </c>
      <c r="AN47" s="279">
        <f t="shared" si="6"/>
        <v>6</v>
      </c>
      <c r="AO47" s="295" t="str">
        <f t="shared" si="7"/>
        <v>12/2025</v>
      </c>
      <c r="AP47" s="277" t="str">
        <f t="array" ref="AP47">IFERROR(XLOOKUP(L47,'2. DATA NL, VTBB'!C:C,'2. DATA NL, VTBB'!F:F),"")</f>
        <v>HH0129</v>
      </c>
      <c r="AQ47" s="277" t="str">
        <f t="array" ref="AQ47">IF(OR(K47="Nhãn", K47="Nhãn thùng",K47="Nhãn Túi"), K47 &amp; " " &amp; IFERROR(XLOOKUP(L47, '2. DATA NL, VTBB'!C:C, '2. DATA NL, VTBB'!E:E), ""), "")</f>
        <v/>
      </c>
      <c r="AR47" s="278" t="str">
        <f t="array" ref="AR47">IFERROR(XLOOKUP(L47,'2. DATA NL, VTBB'!C:C,'2. DATA NL, VTBB'!G:G),"")</f>
        <v>GC - IV - 809 - Hưng Thạnh Phát - Diệt sạch vi khuẩn (bột trắng) - 25gr - 300</v>
      </c>
      <c r="AS47" s="278" t="str">
        <f t="array" ref="AS47">IFERROR(XLOOKUP(L47,'2. DATA NL, VTBB'!C:C,'2. DATA NL, VTBB'!G:G),"")</f>
        <v>GC - IV - 809 - Hưng Thạnh Phát - Diệt sạch vi khuẩn (bột trắng) - 25gr - 300</v>
      </c>
      <c r="AT47" s="277"/>
    </row>
    <row r="48" ht="30.75" customHeight="1">
      <c r="A48" s="272">
        <f t="shared" si="13"/>
        <v>45</v>
      </c>
      <c r="B48" s="273">
        <v>45994.0</v>
      </c>
      <c r="C48" s="273">
        <v>46001.0</v>
      </c>
      <c r="D48" s="273">
        <f t="shared" ref="D48:D51" si="17">B48+15</f>
        <v>46009</v>
      </c>
      <c r="E48" s="273">
        <f t="shared" ref="E48:E49" si="18">B48+10</f>
        <v>46004</v>
      </c>
      <c r="F48" s="274" t="s">
        <v>561</v>
      </c>
      <c r="G48" s="275" t="s">
        <v>562</v>
      </c>
      <c r="H48" s="274" t="s">
        <v>304</v>
      </c>
      <c r="I48" s="275" t="s">
        <v>305</v>
      </c>
      <c r="J48" s="279" t="s">
        <v>770</v>
      </c>
      <c r="K48" s="275" t="s">
        <v>301</v>
      </c>
      <c r="L48" s="277" t="s">
        <v>618</v>
      </c>
      <c r="M48" s="278" t="str">
        <f t="array" ref="M48">IFERROR(XLOOKUP(L48,'2. DATA NL, VTBB'!C:C,'2. DATA NL, VTBB'!D:D),"")</f>
        <v>Thùng IDA chai HDPE tròn 500ml x 40 chai (58x37x21cm) - Trắng xanh lá</v>
      </c>
      <c r="N48" s="280"/>
      <c r="O48" s="280" t="str">
        <f t="array" ref="O48">IFERROR( XLOOKUP(L48,'2. DATA NL, VTBB'!C:C,'2. DATA NL, VTBB'!E:E),"")</f>
        <v>Remy 19EC</v>
      </c>
      <c r="P48" s="275" t="s">
        <v>565</v>
      </c>
      <c r="Q48" s="311"/>
      <c r="R48" s="290" t="s">
        <v>566</v>
      </c>
      <c r="S48" s="280"/>
      <c r="T48" s="280"/>
      <c r="U48" s="280"/>
      <c r="V48" s="283">
        <v>200.0</v>
      </c>
      <c r="W48" s="275" t="s">
        <v>699</v>
      </c>
      <c r="X48" s="283">
        <v>200.0</v>
      </c>
      <c r="Y48" s="274">
        <v>213.0</v>
      </c>
      <c r="Z48" s="279">
        <v>22000.0</v>
      </c>
      <c r="AA48" s="285">
        <v>0.08</v>
      </c>
      <c r="AB48" s="282">
        <v>5060880.0</v>
      </c>
      <c r="AC48" s="277"/>
      <c r="AD48" s="273">
        <v>45994.0</v>
      </c>
      <c r="AE48" s="272">
        <v>1982.0</v>
      </c>
      <c r="AF48" s="277"/>
      <c r="AG48" s="277"/>
      <c r="AH48" s="294">
        <f>IFERROR(__xludf.DUMMYFUNCTION("IFERROR(INDEX( SORT(FILTER(
        {'1. DATA CHUNG'!$J$4:$J$105 , '1. DATA CHUNG'!$L$4:$L$105}, (TRIM('1. DATA CHUNG'!$I$4:$I$105)=TRIM(K48)) * IF(COUNTIFS('1. DATA CHUNG'!$I$4:$I$105,K48,'1. DATA CHUNG'!$M$4:$M$105,Q48), '1. DATA CHUNG'!$M$4:$M$105=Q48,"&amp;" 1) * ('1. DATA CHUNG'!$L$4:$L$105&lt;=TODAY()) ),   2, 0),  1, 1), 
  IFERROR( INDEX(FILTER('1. DATA CHUNG'!$J$4:$J$105, (TRIM('1. DATA CHUNG'!$I$4:$I$105)=TRIM(K48)) * IF(COUNTIFS('1. DATA CHUNG'!$I$4:$I$105,K48,'1. DATA CHUNG'!$M$4:$M$105,Q48), '1. DATA C"&amp;"HUNG'!$M$4:$M$105=Q48, 1) * ('1. DATA CHUNG'!$L$4:$L$105="""")), 1), ""Không tìm thấy"" ))"),18.0)</f>
        <v>18</v>
      </c>
      <c r="AI48" s="273">
        <f t="shared" si="2"/>
        <v>46012</v>
      </c>
      <c r="AJ48" s="287"/>
      <c r="AK48" s="286">
        <f t="shared" si="3"/>
        <v>0</v>
      </c>
      <c r="AL48" s="287">
        <f t="shared" si="4"/>
        <v>5</v>
      </c>
      <c r="AM48" s="287">
        <f t="shared" si="5"/>
        <v>8</v>
      </c>
      <c r="AN48" s="279">
        <f t="shared" si="6"/>
        <v>11</v>
      </c>
      <c r="AO48" s="295" t="str">
        <f t="shared" si="7"/>
        <v>12/2025</v>
      </c>
      <c r="AP48" s="277" t="str">
        <f t="array" ref="AP48">IFERROR(XLOOKUP(L48,'2. DATA NL, VTBB'!C:C,'2. DATA NL, VTBB'!F:F),"")</f>
        <v>HH0263</v>
      </c>
      <c r="AQ48" s="277" t="str">
        <f t="array" ref="AQ48">IF(OR(K48="Nhãn", K48="Nhãn thùng",K48="Nhãn Túi"), K48 &amp; " " &amp; IFERROR(XLOOKUP(L48, '2. DATA NL, VTBB'!C:C, '2. DATA NL, VTBB'!E:E), ""), "")</f>
        <v/>
      </c>
      <c r="AR48" s="278" t="str">
        <f t="array" ref="AR48">IFERROR(XLOOKUP(L48,'2. DATA NL, VTBB'!C:C,'2. DATA NL, VTBB'!G:G),"")</f>
        <v>GC - II - 682 - Đồng Phát - Doffatine 19 - 450ml - 40</v>
      </c>
      <c r="AS48" s="278" t="str">
        <f t="array" ref="AS48">IFERROR(XLOOKUP(L48,'2. DATA NL, VTBB'!C:C,'2. DATA NL, VTBB'!G:G),"")</f>
        <v>GC - II - 682 - Đồng Phát - Doffatine 19 - 450ml - 40</v>
      </c>
      <c r="AT48" s="277"/>
    </row>
    <row r="49" ht="30.75" customHeight="1">
      <c r="A49" s="272">
        <f t="shared" si="13"/>
        <v>46</v>
      </c>
      <c r="B49" s="289">
        <v>45999.0</v>
      </c>
      <c r="C49" s="289">
        <v>46006.0</v>
      </c>
      <c r="D49" s="289">
        <f t="shared" si="17"/>
        <v>46014</v>
      </c>
      <c r="E49" s="289">
        <f t="shared" si="18"/>
        <v>46009</v>
      </c>
      <c r="F49" s="274" t="s">
        <v>561</v>
      </c>
      <c r="G49" s="275" t="s">
        <v>562</v>
      </c>
      <c r="H49" s="274" t="s">
        <v>304</v>
      </c>
      <c r="I49" s="275" t="s">
        <v>305</v>
      </c>
      <c r="J49" s="279" t="s">
        <v>771</v>
      </c>
      <c r="K49" s="275" t="s">
        <v>301</v>
      </c>
      <c r="L49" s="277" t="s">
        <v>629</v>
      </c>
      <c r="M49" s="278" t="str">
        <f t="array" ref="M49">IFERROR(XLOOKUP(L49,'2. DATA NL, VTBB'!C:C,'2. DATA NL, VTBB'!D:D),"")</f>
        <v>Thùng Nano Fish can 5 Lít x 4 can (40.5x32.5x25cm) - Trắng</v>
      </c>
      <c r="N49" s="280"/>
      <c r="O49" s="280" t="str">
        <f t="array" ref="O49">IFERROR( XLOOKUP(L49,'2. DATA NL, VTBB'!C:C,'2. DATA NL, VTBB'!E:E),"")</f>
        <v>Solonapy 300SC</v>
      </c>
      <c r="P49" s="275" t="s">
        <v>565</v>
      </c>
      <c r="Q49" s="311"/>
      <c r="R49" s="290" t="s">
        <v>566</v>
      </c>
      <c r="S49" s="280"/>
      <c r="T49" s="280"/>
      <c r="U49" s="280"/>
      <c r="V49" s="283">
        <v>100.0</v>
      </c>
      <c r="W49" s="275" t="s">
        <v>699</v>
      </c>
      <c r="X49" s="283">
        <v>100.0</v>
      </c>
      <c r="Y49" s="274">
        <v>100.0</v>
      </c>
      <c r="Z49" s="287">
        <v>16400.0</v>
      </c>
      <c r="AA49" s="285">
        <v>0.08</v>
      </c>
      <c r="AB49" s="282">
        <v>1771200.0</v>
      </c>
      <c r="AC49" s="277"/>
      <c r="AD49" s="289">
        <v>45999.0</v>
      </c>
      <c r="AE49" s="312"/>
      <c r="AF49" s="277"/>
      <c r="AG49" s="277"/>
      <c r="AH49" s="294">
        <f>IFERROR(__xludf.DUMMYFUNCTION("IFERROR(INDEX( SORT(FILTER(
        {'1. DATA CHUNG'!$J$4:$J$105 , '1. DATA CHUNG'!$L$4:$L$105}, (TRIM('1. DATA CHUNG'!$I$4:$I$105)=TRIM(K49)) * IF(COUNTIFS('1. DATA CHUNG'!$I$4:$I$105,K49,'1. DATA CHUNG'!$M$4:$M$105,Q49), '1. DATA CHUNG'!$M$4:$M$105=Q49,"&amp;" 1) * ('1. DATA CHUNG'!$L$4:$L$105&lt;=TODAY()) ),   2, 0),  1, 1), 
  IFERROR( INDEX(FILTER('1. DATA CHUNG'!$J$4:$J$105, (TRIM('1. DATA CHUNG'!$I$4:$I$105)=TRIM(K49)) * IF(COUNTIFS('1. DATA CHUNG'!$I$4:$I$105,K49,'1. DATA CHUNG'!$M$4:$M$105,Q49), '1. DATA C"&amp;"HUNG'!$M$4:$M$105=Q49, 1) * ('1. DATA CHUNG'!$L$4:$L$105="""")), 1), ""Không tìm thấy"" ))"),18.0)</f>
        <v>18</v>
      </c>
      <c r="AI49" s="273">
        <f t="shared" si="2"/>
        <v>46017</v>
      </c>
      <c r="AJ49" s="287"/>
      <c r="AK49" s="286">
        <f t="shared" si="3"/>
        <v>0</v>
      </c>
      <c r="AL49" s="287">
        <f t="shared" si="4"/>
        <v>5</v>
      </c>
      <c r="AM49" s="287">
        <f t="shared" si="5"/>
        <v>8</v>
      </c>
      <c r="AN49" s="279">
        <f t="shared" si="6"/>
        <v>11</v>
      </c>
      <c r="AO49" s="295" t="str">
        <f t="shared" si="7"/>
        <v>12/2025</v>
      </c>
      <c r="AP49" s="277" t="str">
        <f t="array" ref="AP49">IFERROR(XLOOKUP(L49,'2. DATA NL, VTBB'!C:C,'2. DATA NL, VTBB'!F:F),"")</f>
        <v>HH0086</v>
      </c>
      <c r="AQ49" s="277" t="str">
        <f t="array" ref="AQ49">IF(OR(K49="Nhãn", K49="Nhãn thùng",K49="Nhãn Túi"), K49 &amp; " " &amp; IFERROR(XLOOKUP(L49, '2. DATA NL, VTBB'!C:C, '2. DATA NL, VTBB'!E:E), ""), "")</f>
        <v/>
      </c>
      <c r="AR49" s="278" t="str">
        <f t="array" ref="AR49">IFERROR(XLOOKUP(L49,'2. DATA NL, VTBB'!C:C,'2. DATA NL, VTBB'!G:G),"")</f>
        <v>IDA Global - I - 445 - Sức Mạnh Cá Mập 300 (PET) - 240ml - 40</v>
      </c>
      <c r="AS49" s="278" t="str">
        <f t="array" ref="AS49">IFERROR(XLOOKUP(L49,'2. DATA NL, VTBB'!C:C,'2. DATA NL, VTBB'!G:G),"")</f>
        <v>IDA Global - I - 445 - Sức Mạnh Cá Mập 300 (PET) - 240ml - 40</v>
      </c>
      <c r="AT49" s="277"/>
    </row>
    <row r="50" ht="30.75" customHeight="1">
      <c r="A50" s="272">
        <f t="shared" si="13"/>
        <v>47</v>
      </c>
      <c r="B50" s="289">
        <v>45999.0</v>
      </c>
      <c r="C50" s="289">
        <v>46006.0</v>
      </c>
      <c r="D50" s="289">
        <f t="shared" si="17"/>
        <v>46014</v>
      </c>
      <c r="E50" s="293">
        <v>46008.0</v>
      </c>
      <c r="F50" s="274" t="s">
        <v>561</v>
      </c>
      <c r="G50" s="275" t="s">
        <v>562</v>
      </c>
      <c r="H50" s="274" t="s">
        <v>304</v>
      </c>
      <c r="I50" s="275" t="s">
        <v>305</v>
      </c>
      <c r="J50" s="279" t="s">
        <v>771</v>
      </c>
      <c r="K50" s="275" t="s">
        <v>301</v>
      </c>
      <c r="L50" s="277" t="s">
        <v>772</v>
      </c>
      <c r="M50" s="278" t="str">
        <f t="array" ref="M50">IFERROR(XLOOKUP(L50,'2. DATA NL, VTBB'!C:C,'2. DATA NL, VTBB'!D:D),"")</f>
        <v>Thùng dùng chung ABA 1kg (50x35x28.5cm) - Trắng</v>
      </c>
      <c r="N50" s="280"/>
      <c r="O50" s="280" t="str">
        <f t="array" ref="O50">IFERROR( XLOOKUP(L50,'2. DATA NL, VTBB'!C:C,'2. DATA NL, VTBB'!E:E),"")</f>
        <v>Leafroll 260SC</v>
      </c>
      <c r="P50" s="275" t="s">
        <v>565</v>
      </c>
      <c r="Q50" s="311"/>
      <c r="R50" s="290" t="s">
        <v>566</v>
      </c>
      <c r="S50" s="280"/>
      <c r="T50" s="280"/>
      <c r="U50" s="280"/>
      <c r="V50" s="283">
        <v>200.0</v>
      </c>
      <c r="W50" s="275" t="s">
        <v>699</v>
      </c>
      <c r="X50" s="283">
        <v>200.0</v>
      </c>
      <c r="Y50" s="274">
        <v>210.0</v>
      </c>
      <c r="Z50" s="279">
        <v>21400.0</v>
      </c>
      <c r="AA50" s="285">
        <v>0.08</v>
      </c>
      <c r="AB50" s="282">
        <v>4494000.0</v>
      </c>
      <c r="AC50" s="277"/>
      <c r="AD50" s="289">
        <v>45999.0</v>
      </c>
      <c r="AE50" s="272">
        <v>2001.0</v>
      </c>
      <c r="AF50" s="277"/>
      <c r="AG50" s="277"/>
      <c r="AH50" s="294">
        <f>IFERROR(__xludf.DUMMYFUNCTION("IFERROR(INDEX( SORT(FILTER(
        {'1. DATA CHUNG'!$J$4:$J$105 , '1. DATA CHUNG'!$L$4:$L$105}, (TRIM('1. DATA CHUNG'!$I$4:$I$105)=TRIM(K50)) * IF(COUNTIFS('1. DATA CHUNG'!$I$4:$I$105,K50,'1. DATA CHUNG'!$M$4:$M$105,Q50), '1. DATA CHUNG'!$M$4:$M$105=Q50,"&amp;" 1) * ('1. DATA CHUNG'!$L$4:$L$105&lt;=TODAY()) ),   2, 0),  1, 1), 
  IFERROR( INDEX(FILTER('1. DATA CHUNG'!$J$4:$J$105, (TRIM('1. DATA CHUNG'!$I$4:$I$105)=TRIM(K50)) * IF(COUNTIFS('1. DATA CHUNG'!$I$4:$I$105,K50,'1. DATA CHUNG'!$M$4:$M$105,Q50), '1. DATA C"&amp;"HUNG'!$M$4:$M$105=Q50, 1) * ('1. DATA CHUNG'!$L$4:$L$105="""")), 1), ""Không tìm thấy"" ))"),18.0)</f>
        <v>18</v>
      </c>
      <c r="AI50" s="273">
        <f t="shared" si="2"/>
        <v>46017</v>
      </c>
      <c r="AJ50" s="287"/>
      <c r="AK50" s="286">
        <f t="shared" si="3"/>
        <v>0</v>
      </c>
      <c r="AL50" s="287">
        <f t="shared" si="4"/>
        <v>6</v>
      </c>
      <c r="AM50" s="287">
        <f t="shared" si="5"/>
        <v>9</v>
      </c>
      <c r="AN50" s="279">
        <f t="shared" si="6"/>
        <v>11</v>
      </c>
      <c r="AO50" s="295" t="str">
        <f t="shared" si="7"/>
        <v>12/2025</v>
      </c>
      <c r="AP50" s="277" t="str">
        <f t="array" ref="AP50">IFERROR(XLOOKUP(L50,'2. DATA NL, VTBB'!C:C,'2. DATA NL, VTBB'!F:F),"")</f>
        <v>HH0079</v>
      </c>
      <c r="AQ50" s="277" t="str">
        <f t="array" ref="AQ50">IF(OR(K50="Nhãn", K50="Nhãn thùng",K50="Nhãn Túi"), K50 &amp; " " &amp; IFERROR(XLOOKUP(L50, '2. DATA NL, VTBB'!C:C, '2. DATA NL, VTBB'!E:E), ""), "")</f>
        <v/>
      </c>
      <c r="AR50" s="278" t="str">
        <f t="array" ref="AR50">IFERROR(XLOOKUP(L50,'2. DATA NL, VTBB'!C:C,'2. DATA NL, VTBB'!G:G),"")</f>
        <v>IDA Global - I - 436 - Leafroll 260SC - 220ml - 40</v>
      </c>
      <c r="AS50" s="278" t="str">
        <f t="array" ref="AS50">IFERROR(XLOOKUP(L50,'2. DATA NL, VTBB'!C:C,'2. DATA NL, VTBB'!G:G),"")</f>
        <v>IDA Global - I - 436 - Leafroll 260SC - 220ml - 40</v>
      </c>
      <c r="AT50" s="277"/>
    </row>
    <row r="51" ht="30.75" customHeight="1">
      <c r="A51" s="272">
        <f t="shared" si="13"/>
        <v>48</v>
      </c>
      <c r="B51" s="289">
        <v>45999.0</v>
      </c>
      <c r="C51" s="289">
        <v>46006.0</v>
      </c>
      <c r="D51" s="289">
        <f t="shared" si="17"/>
        <v>46014</v>
      </c>
      <c r="E51" s="289">
        <f>B51+10</f>
        <v>46009</v>
      </c>
      <c r="F51" s="274" t="s">
        <v>561</v>
      </c>
      <c r="G51" s="275" t="s">
        <v>562</v>
      </c>
      <c r="H51" s="274" t="s">
        <v>304</v>
      </c>
      <c r="I51" s="275" t="s">
        <v>305</v>
      </c>
      <c r="J51" s="279" t="s">
        <v>771</v>
      </c>
      <c r="K51" s="275" t="s">
        <v>301</v>
      </c>
      <c r="L51" s="277" t="s">
        <v>595</v>
      </c>
      <c r="M51" s="278" t="str">
        <f t="array" ref="M51">IFERROR(XLOOKUP(L51,'2. DATA NL, VTBB'!C:C,'2. DATA NL, VTBB'!D:D),"")</f>
        <v>Thùng dùng chung ABA chai tròn 1 lít x 20 chai (20 gói/ thùng) - (45.5x35.5x27cm) - Trắng</v>
      </c>
      <c r="N51" s="280"/>
      <c r="O51" s="280" t="str">
        <f t="array" ref="O51">IFERROR( XLOOKUP(L51,'2. DATA NL, VTBB'!C:C,'2. DATA NL, VTBB'!E:E),"")</f>
        <v>Vi lượng AV4-BO633</v>
      </c>
      <c r="P51" s="275" t="s">
        <v>565</v>
      </c>
      <c r="Q51" s="311"/>
      <c r="R51" s="290" t="s">
        <v>566</v>
      </c>
      <c r="S51" s="280"/>
      <c r="T51" s="280"/>
      <c r="U51" s="277"/>
      <c r="V51" s="283">
        <v>500.0</v>
      </c>
      <c r="W51" s="275" t="s">
        <v>699</v>
      </c>
      <c r="X51" s="283">
        <v>500.0</v>
      </c>
      <c r="Y51" s="274">
        <v>509.0</v>
      </c>
      <c r="Z51" s="279">
        <v>19750.0</v>
      </c>
      <c r="AA51" s="285">
        <v>0.08</v>
      </c>
      <c r="AB51" s="282">
        <v>1.085697E7</v>
      </c>
      <c r="AC51" s="277"/>
      <c r="AD51" s="289">
        <v>45999.0</v>
      </c>
      <c r="AE51" s="272">
        <v>2010.0</v>
      </c>
      <c r="AF51" s="277"/>
      <c r="AG51" s="277"/>
      <c r="AH51" s="294">
        <f>IFERROR(__xludf.DUMMYFUNCTION("IFERROR(INDEX( SORT(FILTER(
        {'1. DATA CHUNG'!$J$4:$J$105 , '1. DATA CHUNG'!$L$4:$L$105}, (TRIM('1. DATA CHUNG'!$I$4:$I$105)=TRIM(K51)) * IF(COUNTIFS('1. DATA CHUNG'!$I$4:$I$105,K51,'1. DATA CHUNG'!$M$4:$M$105,Q51), '1. DATA CHUNG'!$M$4:$M$105=Q51,"&amp;" 1) * ('1. DATA CHUNG'!$L$4:$L$105&lt;=TODAY()) ),   2, 0),  1, 1), 
  IFERROR( INDEX(FILTER('1. DATA CHUNG'!$J$4:$J$105, (TRIM('1. DATA CHUNG'!$I$4:$I$105)=TRIM(K51)) * IF(COUNTIFS('1. DATA CHUNG'!$I$4:$I$105,K51,'1. DATA CHUNG'!$M$4:$M$105,Q51), '1. DATA C"&amp;"HUNG'!$M$4:$M$105=Q51, 1) * ('1. DATA CHUNG'!$L$4:$L$105="""")), 1), ""Không tìm thấy"" ))"),18.0)</f>
        <v>18</v>
      </c>
      <c r="AI51" s="273">
        <f t="shared" si="2"/>
        <v>46017</v>
      </c>
      <c r="AJ51" s="287"/>
      <c r="AK51" s="286">
        <f t="shared" si="3"/>
        <v>0</v>
      </c>
      <c r="AL51" s="287">
        <f t="shared" si="4"/>
        <v>5</v>
      </c>
      <c r="AM51" s="287">
        <f t="shared" si="5"/>
        <v>8</v>
      </c>
      <c r="AN51" s="279">
        <f t="shared" si="6"/>
        <v>11</v>
      </c>
      <c r="AO51" s="295" t="str">
        <f t="shared" si="7"/>
        <v>12/2025</v>
      </c>
      <c r="AP51" s="277" t="str">
        <f t="array" ref="AP51">IFERROR(XLOOKUP(L51,'2. DATA NL, VTBB'!C:C,'2. DATA NL, VTBB'!F:F),"")</f>
        <v>HH0078</v>
      </c>
      <c r="AQ51" s="277" t="str">
        <f t="array" ref="AQ51">IF(OR(K51="Nhãn", K51="Nhãn thùng",K51="Nhãn Túi"), K51 &amp; " " &amp; IFERROR(XLOOKUP(L51, '2. DATA NL, VTBB'!C:C, '2. DATA NL, VTBB'!E:E), ""), "")</f>
        <v/>
      </c>
      <c r="AR51" s="278" t="str">
        <f t="array" ref="AR51">IFERROR(XLOOKUP(L51,'2. DATA NL, VTBB'!C:C,'2. DATA NL, VTBB'!G:G),"")</f>
        <v>GC - II - 434 - Ariplant - Siêu ra hoa sầu riêng (mới) - 250 gr- 100</v>
      </c>
      <c r="AS51" s="278" t="str">
        <f t="array" ref="AS51">IFERROR(XLOOKUP(L51,'2. DATA NL, VTBB'!C:C,'2. DATA NL, VTBB'!G:G),"")</f>
        <v>GC - II - 434 - Ariplant - Siêu ra hoa sầu riêng (mới) - 250 gr- 100</v>
      </c>
      <c r="AT51" s="277"/>
    </row>
    <row r="52" ht="30.75" customHeight="1">
      <c r="A52" s="272">
        <f t="shared" si="13"/>
        <v>49</v>
      </c>
      <c r="B52" s="289">
        <v>45999.0</v>
      </c>
      <c r="C52" s="273">
        <v>46000.0</v>
      </c>
      <c r="D52" s="273">
        <f t="shared" ref="D52:D72" si="19">B52+3</f>
        <v>46002</v>
      </c>
      <c r="E52" s="289">
        <v>46001.0</v>
      </c>
      <c r="F52" s="274" t="s">
        <v>561</v>
      </c>
      <c r="G52" s="275" t="s">
        <v>562</v>
      </c>
      <c r="H52" s="274" t="s">
        <v>304</v>
      </c>
      <c r="I52" s="275" t="s">
        <v>744</v>
      </c>
      <c r="J52" s="279" t="s">
        <v>773</v>
      </c>
      <c r="K52" s="275" t="s">
        <v>728</v>
      </c>
      <c r="L52" s="277" t="s">
        <v>774</v>
      </c>
      <c r="M52" s="278" t="str">
        <f t="array" ref="M52">IFERROR(XLOOKUP(L52,'2. DATA NL, VTBB'!C:C,'2. DATA NL, VTBB'!D:D),"")</f>
        <v>Chai PET tròn 500ml cổ 38 (64g) - Màu xanh Tiffany</v>
      </c>
      <c r="N52" s="280"/>
      <c r="O52" s="280" t="str">
        <f t="array" ref="O52">IFERROR( XLOOKUP(L52,'2. DATA NL, VTBB'!C:C,'2. DATA NL, VTBB'!E:E),"")</f>
        <v>Chitin 3.6EC</v>
      </c>
      <c r="P52" s="275" t="s">
        <v>565</v>
      </c>
      <c r="Q52" s="311"/>
      <c r="R52" s="290" t="s">
        <v>566</v>
      </c>
      <c r="S52" s="280"/>
      <c r="T52" s="280"/>
      <c r="U52" s="277"/>
      <c r="V52" s="283">
        <v>1000.0</v>
      </c>
      <c r="W52" s="275" t="s">
        <v>699</v>
      </c>
      <c r="X52" s="283">
        <v>1000.0</v>
      </c>
      <c r="Y52" s="274">
        <v>1120.0</v>
      </c>
      <c r="Z52" s="279">
        <v>3400.0</v>
      </c>
      <c r="AA52" s="285">
        <v>0.08</v>
      </c>
      <c r="AB52" s="282">
        <v>4112640.0</v>
      </c>
      <c r="AC52" s="277"/>
      <c r="AD52" s="289">
        <v>45999.0</v>
      </c>
      <c r="AE52" s="272">
        <v>3527.0</v>
      </c>
      <c r="AF52" s="277"/>
      <c r="AG52" s="277"/>
      <c r="AH52" s="294">
        <f>IFERROR(__xludf.DUMMYFUNCTION("IFERROR(INDEX( SORT(FILTER(
        {'1. DATA CHUNG'!$J$4:$J$105 , '1. DATA CHUNG'!$L$4:$L$105}, (TRIM('1. DATA CHUNG'!$I$4:$I$105)=TRIM(K52)) * IF(COUNTIFS('1. DATA CHUNG'!$I$4:$I$105,K52,'1. DATA CHUNG'!$M$4:$M$105,Q52), '1. DATA CHUNG'!$M$4:$M$105=Q52,"&amp;" 1) * ('1. DATA CHUNG'!$L$4:$L$105&lt;=TODAY()) ),   2, 0),  1, 1), 
  IFERROR( INDEX(FILTER('1. DATA CHUNG'!$J$4:$J$105, (TRIM('1. DATA CHUNG'!$I$4:$I$105)=TRIM(K52)) * IF(COUNTIFS('1. DATA CHUNG'!$I$4:$I$105,K52,'1. DATA CHUNG'!$M$4:$M$105,Q52), '1. DATA C"&amp;"HUNG'!$M$4:$M$105=Q52, 1) * ('1. DATA CHUNG'!$L$4:$L$105="""")), 1), ""Không tìm thấy"" ))"),7.0)</f>
        <v>7</v>
      </c>
      <c r="AI52" s="273">
        <f t="shared" si="2"/>
        <v>46006</v>
      </c>
      <c r="AJ52" s="287"/>
      <c r="AK52" s="286">
        <f t="shared" si="3"/>
        <v>0</v>
      </c>
      <c r="AL52" s="287">
        <f t="shared" si="4"/>
        <v>1</v>
      </c>
      <c r="AM52" s="287">
        <f t="shared" si="5"/>
        <v>5</v>
      </c>
      <c r="AN52" s="279">
        <f t="shared" si="6"/>
        <v>6</v>
      </c>
      <c r="AO52" s="295" t="str">
        <f t="shared" si="7"/>
        <v>12/2025</v>
      </c>
      <c r="AP52" s="277" t="str">
        <f t="array" ref="AP52">IFERROR(XLOOKUP(L52,'2. DATA NL, VTBB'!C:C,'2. DATA NL, VTBB'!F:F),"")</f>
        <v>HH0240</v>
      </c>
      <c r="AQ52" s="277" t="str">
        <f t="array" ref="AQ52">IF(OR(K52="Nhãn", K52="Nhãn thùng",K52="Nhãn Túi"), K52 &amp; " " &amp; IFERROR(XLOOKUP(L52, '2. DATA NL, VTBB'!C:C, '2. DATA NL, VTBB'!E:E), ""), "")</f>
        <v/>
      </c>
      <c r="AR52" s="278" t="str">
        <f t="array" ref="AR52">IFERROR(XLOOKUP(L52,'2. DATA NL, VTBB'!C:C,'2. DATA NL, VTBB'!G:G),"")</f>
        <v>LOT IDA Global - I - 891 - ĐL Hoàng Ngọc - Avermectin 36 (Pet vuông) (nắp vàng)(nước nâu đen) - 450ml - 40</v>
      </c>
      <c r="AS52" s="278" t="str">
        <f t="array" ref="AS52">IFERROR(XLOOKUP(L52,'2. DATA NL, VTBB'!C:C,'2. DATA NL, VTBB'!G:G),"")</f>
        <v>LOT IDA Global - I - 891 - ĐL Hoàng Ngọc - Avermectin 36 (Pet vuông) (nắp vàng)(nước nâu đen) - 450ml - 40</v>
      </c>
      <c r="AT52" s="277"/>
    </row>
    <row r="53" ht="30.75" customHeight="1">
      <c r="A53" s="272">
        <f t="shared" si="13"/>
        <v>50</v>
      </c>
      <c r="B53" s="289">
        <v>45999.0</v>
      </c>
      <c r="C53" s="273">
        <v>46000.0</v>
      </c>
      <c r="D53" s="273">
        <f t="shared" si="19"/>
        <v>46002</v>
      </c>
      <c r="E53" s="289">
        <v>46001.0</v>
      </c>
      <c r="F53" s="274" t="s">
        <v>561</v>
      </c>
      <c r="G53" s="275" t="s">
        <v>562</v>
      </c>
      <c r="H53" s="274" t="s">
        <v>304</v>
      </c>
      <c r="I53" s="275" t="s">
        <v>744</v>
      </c>
      <c r="J53" s="279" t="s">
        <v>773</v>
      </c>
      <c r="K53" s="275" t="s">
        <v>730</v>
      </c>
      <c r="L53" s="277" t="s">
        <v>775</v>
      </c>
      <c r="M53" s="278" t="str">
        <f t="array" ref="M53">IFERROR(XLOOKUP(L53,'2. DATA NL, VTBB'!C:C,'2. DATA NL, VTBB'!D:D),"")</f>
        <v>Chai PET tròn 500ml cổ 38 (64g) - Màu vàng</v>
      </c>
      <c r="N53" s="280"/>
      <c r="O53" s="280" t="str">
        <f t="array" ref="O53">IFERROR( XLOOKUP(L53,'2. DATA NL, VTBB'!C:C,'2. DATA NL, VTBB'!E:E),"")</f>
        <v>Chitin 3.6EC</v>
      </c>
      <c r="P53" s="275" t="s">
        <v>565</v>
      </c>
      <c r="Q53" s="311"/>
      <c r="R53" s="290" t="s">
        <v>566</v>
      </c>
      <c r="S53" s="280"/>
      <c r="T53" s="280"/>
      <c r="U53" s="277"/>
      <c r="V53" s="283">
        <v>1000.0</v>
      </c>
      <c r="W53" s="275" t="s">
        <v>699</v>
      </c>
      <c r="X53" s="283">
        <v>1000.0</v>
      </c>
      <c r="Y53" s="274">
        <v>1120.0</v>
      </c>
      <c r="Z53" s="287">
        <v>3400.0</v>
      </c>
      <c r="AA53" s="285">
        <v>0.08</v>
      </c>
      <c r="AB53" s="282">
        <v>4112640.0</v>
      </c>
      <c r="AC53" s="277"/>
      <c r="AD53" s="289">
        <v>45999.0</v>
      </c>
      <c r="AE53" s="272">
        <v>3527.0</v>
      </c>
      <c r="AF53" s="277"/>
      <c r="AG53" s="277"/>
      <c r="AH53" s="294">
        <f>IFERROR(__xludf.DUMMYFUNCTION("IFERROR(INDEX( SORT(FILTER(
        {'1. DATA CHUNG'!$J$4:$J$105 , '1. DATA CHUNG'!$L$4:$L$105}, (TRIM('1. DATA CHUNG'!$I$4:$I$105)=TRIM(K53)) * IF(COUNTIFS('1. DATA CHUNG'!$I$4:$I$105,K53,'1. DATA CHUNG'!$M$4:$M$105,Q53), '1. DATA CHUNG'!$M$4:$M$105=Q53,"&amp;" 1) * ('1. DATA CHUNG'!$L$4:$L$105&lt;=TODAY()) ),   2, 0),  1, 1), 
  IFERROR( INDEX(FILTER('1. DATA CHUNG'!$J$4:$J$105, (TRIM('1. DATA CHUNG'!$I$4:$I$105)=TRIM(K53)) * IF(COUNTIFS('1. DATA CHUNG'!$I$4:$I$105,K53,'1. DATA CHUNG'!$M$4:$M$105,Q53), '1. DATA C"&amp;"HUNG'!$M$4:$M$105=Q53, 1) * ('1. DATA CHUNG'!$L$4:$L$105="""")), 1), ""Không tìm thấy"" ))"),7.0)</f>
        <v>7</v>
      </c>
      <c r="AI53" s="273">
        <f t="shared" si="2"/>
        <v>46006</v>
      </c>
      <c r="AJ53" s="287"/>
      <c r="AK53" s="286">
        <f t="shared" si="3"/>
        <v>0</v>
      </c>
      <c r="AL53" s="287">
        <f t="shared" si="4"/>
        <v>1</v>
      </c>
      <c r="AM53" s="287">
        <f t="shared" si="5"/>
        <v>5</v>
      </c>
      <c r="AN53" s="279">
        <f t="shared" si="6"/>
        <v>6</v>
      </c>
      <c r="AO53" s="295" t="str">
        <f t="shared" si="7"/>
        <v>12/2025</v>
      </c>
      <c r="AP53" s="277" t="str">
        <f t="array" ref="AP53">IFERROR(XLOOKUP(L53,'2. DATA NL, VTBB'!C:C,'2. DATA NL, VTBB'!F:F),"")</f>
        <v>HH0241</v>
      </c>
      <c r="AQ53" s="277" t="str">
        <f t="array" ref="AQ53">IF(OR(K53="Nhãn", K53="Nhãn thùng",K53="Nhãn Túi"), K53 &amp; " " &amp; IFERROR(XLOOKUP(L53, '2. DATA NL, VTBB'!C:C, '2. DATA NL, VTBB'!E:E), ""), "")</f>
        <v/>
      </c>
      <c r="AR53" s="278" t="str">
        <f t="array" ref="AR53">IFERROR(XLOOKUP(L53,'2. DATA NL, VTBB'!C:C,'2. DATA NL, VTBB'!G:G),"")</f>
        <v>LOT IDA Global - I - 891 - ĐL Hoàng Ngọc - Avermectin 36 (Pet vuông) (nắp vàng)(nước nâu đen) - 450ml - 40</v>
      </c>
      <c r="AS53" s="278" t="str">
        <f t="array" ref="AS53">IFERROR(XLOOKUP(L53,'2. DATA NL, VTBB'!C:C,'2. DATA NL, VTBB'!G:G),"")</f>
        <v>LOT IDA Global - I - 891 - ĐL Hoàng Ngọc - Avermectin 36 (Pet vuông) (nắp vàng)(nước nâu đen) - 450ml - 40</v>
      </c>
      <c r="AT53" s="277"/>
    </row>
    <row r="54" ht="30.75" customHeight="1">
      <c r="A54" s="272">
        <f t="shared" si="13"/>
        <v>51</v>
      </c>
      <c r="B54" s="289">
        <v>45999.0</v>
      </c>
      <c r="C54" s="273">
        <v>46000.0</v>
      </c>
      <c r="D54" s="273">
        <f t="shared" si="19"/>
        <v>46002</v>
      </c>
      <c r="E54" s="289">
        <v>46001.0</v>
      </c>
      <c r="F54" s="274" t="s">
        <v>561</v>
      </c>
      <c r="G54" s="275" t="s">
        <v>562</v>
      </c>
      <c r="H54" s="274" t="s">
        <v>304</v>
      </c>
      <c r="I54" s="275" t="s">
        <v>744</v>
      </c>
      <c r="J54" s="279" t="s">
        <v>773</v>
      </c>
      <c r="K54" s="275" t="s">
        <v>730</v>
      </c>
      <c r="L54" s="277" t="s">
        <v>776</v>
      </c>
      <c r="M54" s="278" t="str">
        <f t="array" ref="M54">IFERROR(XLOOKUP(L54,'2. DATA NL, VTBB'!C:C,'2. DATA NL, VTBB'!D:D),"")</f>
        <v>Nắp PET cổ 38 (7gr) gầy- Màu trắng</v>
      </c>
      <c r="N54" s="280"/>
      <c r="O54" s="280" t="str">
        <f t="array" ref="O54">IFERROR( XLOOKUP(L54,'2. DATA NL, VTBB'!C:C,'2. DATA NL, VTBB'!E:E),"")</f>
        <v>BYPHAN 800WP</v>
      </c>
      <c r="P54" s="275" t="s">
        <v>565</v>
      </c>
      <c r="Q54" s="311"/>
      <c r="R54" s="290" t="s">
        <v>566</v>
      </c>
      <c r="S54" s="280"/>
      <c r="T54" s="280"/>
      <c r="U54" s="277"/>
      <c r="V54" s="283">
        <v>2000.0</v>
      </c>
      <c r="W54" s="275" t="s">
        <v>699</v>
      </c>
      <c r="X54" s="283">
        <v>2000.0</v>
      </c>
      <c r="Y54" s="274">
        <v>2240.0</v>
      </c>
      <c r="Z54" s="279">
        <v>750.0</v>
      </c>
      <c r="AA54" s="285">
        <v>0.08</v>
      </c>
      <c r="AB54" s="282">
        <v>1814400.0</v>
      </c>
      <c r="AC54" s="277"/>
      <c r="AD54" s="289">
        <v>45999.0</v>
      </c>
      <c r="AE54" s="272">
        <v>3527.0</v>
      </c>
      <c r="AF54" s="277"/>
      <c r="AG54" s="277"/>
      <c r="AH54" s="294">
        <f>IFERROR(__xludf.DUMMYFUNCTION("IFERROR(INDEX( SORT(FILTER(
        {'1. DATA CHUNG'!$J$4:$J$105 , '1. DATA CHUNG'!$L$4:$L$105}, (TRIM('1. DATA CHUNG'!$I$4:$I$105)=TRIM(K54)) * IF(COUNTIFS('1. DATA CHUNG'!$I$4:$I$105,K54,'1. DATA CHUNG'!$M$4:$M$105,Q54), '1. DATA CHUNG'!$M$4:$M$105=Q54,"&amp;" 1) * ('1. DATA CHUNG'!$L$4:$L$105&lt;=TODAY()) ),   2, 0),  1, 1), 
  IFERROR( INDEX(FILTER('1. DATA CHUNG'!$J$4:$J$105, (TRIM('1. DATA CHUNG'!$I$4:$I$105)=TRIM(K54)) * IF(COUNTIFS('1. DATA CHUNG'!$I$4:$I$105,K54,'1. DATA CHUNG'!$M$4:$M$105,Q54), '1. DATA C"&amp;"HUNG'!$M$4:$M$105=Q54, 1) * ('1. DATA CHUNG'!$L$4:$L$105="""")), 1), ""Không tìm thấy"" ))"),7.0)</f>
        <v>7</v>
      </c>
      <c r="AI54" s="273">
        <f t="shared" si="2"/>
        <v>46006</v>
      </c>
      <c r="AJ54" s="287"/>
      <c r="AK54" s="286">
        <f t="shared" si="3"/>
        <v>0</v>
      </c>
      <c r="AL54" s="287">
        <f t="shared" si="4"/>
        <v>1</v>
      </c>
      <c r="AM54" s="287">
        <f t="shared" si="5"/>
        <v>5</v>
      </c>
      <c r="AN54" s="279">
        <f t="shared" si="6"/>
        <v>6</v>
      </c>
      <c r="AO54" s="295" t="str">
        <f t="shared" si="7"/>
        <v>12/2025</v>
      </c>
      <c r="AP54" s="277" t="str">
        <f t="array" ref="AP54">IFERROR(XLOOKUP(L54,'2. DATA NL, VTBB'!C:C,'2. DATA NL, VTBB'!F:F),"")</f>
        <v>HH0138</v>
      </c>
      <c r="AQ54" s="277" t="str">
        <f t="array" ref="AQ54">IF(OR(K54="Nhãn", K54="Nhãn thùng",K54="Nhãn Túi"), K54 &amp; " " &amp; IFERROR(XLOOKUP(L54, '2. DATA NL, VTBB'!C:C, '2. DATA NL, VTBB'!E:E), ""), "")</f>
        <v/>
      </c>
      <c r="AR54" s="278" t="str">
        <f t="array" ref="AR54">IFERROR(XLOOKUP(L54,'2. DATA NL, VTBB'!C:C,'2. DATA NL, VTBB'!G:G),"")</f>
        <v>LOT IDA Global - I - 847 - ĐL Hồng Liệt - Mancozeb xanh - 1 Kg - 20</v>
      </c>
      <c r="AS54" s="278" t="str">
        <f t="array" ref="AS54">IFERROR(XLOOKUP(L54,'2. DATA NL, VTBB'!C:C,'2. DATA NL, VTBB'!G:G),"")</f>
        <v>LOT IDA Global - I - 847 - ĐL Hồng Liệt - Mancozeb xanh - 1 Kg - 20</v>
      </c>
      <c r="AT54" s="277"/>
    </row>
    <row r="55" ht="30.75" customHeight="1">
      <c r="A55" s="272">
        <f t="shared" si="13"/>
        <v>52</v>
      </c>
      <c r="B55" s="289">
        <v>45999.0</v>
      </c>
      <c r="C55" s="273">
        <v>46000.0</v>
      </c>
      <c r="D55" s="273">
        <f t="shared" si="19"/>
        <v>46002</v>
      </c>
      <c r="E55" s="289">
        <v>46004.0</v>
      </c>
      <c r="F55" s="274" t="s">
        <v>561</v>
      </c>
      <c r="G55" s="275" t="s">
        <v>562</v>
      </c>
      <c r="H55" s="274" t="s">
        <v>304</v>
      </c>
      <c r="I55" s="275" t="s">
        <v>726</v>
      </c>
      <c r="J55" s="279" t="s">
        <v>762</v>
      </c>
      <c r="K55" s="275" t="s">
        <v>728</v>
      </c>
      <c r="L55" s="277" t="s">
        <v>763</v>
      </c>
      <c r="M55" s="278" t="str">
        <f t="array" ref="M55">IFERROR(XLOOKUP(L55,'2. DATA NL, VTBB'!C:C,'2. DATA NL, VTBB'!D:D),"")</f>
        <v>Chai HDPE tròn 1 Lít cổ 50 (120gr) - Trắng</v>
      </c>
      <c r="N55" s="280"/>
      <c r="O55" s="280" t="str">
        <f t="array" ref="O55">IFERROR( XLOOKUP(L55,'2. DATA NL, VTBB'!C:C,'2. DATA NL, VTBB'!E:E),"")</f>
        <v>Prima 04</v>
      </c>
      <c r="P55" s="275" t="s">
        <v>565</v>
      </c>
      <c r="Q55" s="311"/>
      <c r="R55" s="290" t="s">
        <v>566</v>
      </c>
      <c r="S55" s="280"/>
      <c r="T55" s="280"/>
      <c r="U55" s="277"/>
      <c r="V55" s="283">
        <v>2000.0</v>
      </c>
      <c r="W55" s="275" t="s">
        <v>699</v>
      </c>
      <c r="X55" s="283">
        <v>2000.0</v>
      </c>
      <c r="Y55" s="274">
        <v>2025.0</v>
      </c>
      <c r="Z55" s="287">
        <v>5000.0</v>
      </c>
      <c r="AA55" s="285">
        <v>0.08</v>
      </c>
      <c r="AB55" s="282">
        <v>1.0935E7</v>
      </c>
      <c r="AC55" s="277"/>
      <c r="AD55" s="289">
        <v>45999.0</v>
      </c>
      <c r="AE55" s="272">
        <v>2341.0</v>
      </c>
      <c r="AF55" s="277"/>
      <c r="AG55" s="277"/>
      <c r="AH55" s="294">
        <f>IFERROR(__xludf.DUMMYFUNCTION("IFERROR(INDEX( SORT(FILTER(
        {'1. DATA CHUNG'!$J$4:$J$105 , '1. DATA CHUNG'!$L$4:$L$105}, (TRIM('1. DATA CHUNG'!$I$4:$I$105)=TRIM(K55)) * IF(COUNTIFS('1. DATA CHUNG'!$I$4:$I$105,K55,'1. DATA CHUNG'!$M$4:$M$105,Q55), '1. DATA CHUNG'!$M$4:$M$105=Q55,"&amp;" 1) * ('1. DATA CHUNG'!$L$4:$L$105&lt;=TODAY()) ),   2, 0),  1, 1), 
  IFERROR( INDEX(FILTER('1. DATA CHUNG'!$J$4:$J$105, (TRIM('1. DATA CHUNG'!$I$4:$I$105)=TRIM(K55)) * IF(COUNTIFS('1. DATA CHUNG'!$I$4:$I$105,K55,'1. DATA CHUNG'!$M$4:$M$105,Q55), '1. DATA C"&amp;"HUNG'!$M$4:$M$105=Q55, 1) * ('1. DATA CHUNG'!$L$4:$L$105="""")), 1), ""Không tìm thấy"" ))"),7.0)</f>
        <v>7</v>
      </c>
      <c r="AI55" s="273">
        <f t="shared" si="2"/>
        <v>46006</v>
      </c>
      <c r="AJ55" s="287"/>
      <c r="AK55" s="286">
        <f t="shared" si="3"/>
        <v>0</v>
      </c>
      <c r="AL55" s="287">
        <f t="shared" si="4"/>
        <v>-2</v>
      </c>
      <c r="AM55" s="287">
        <f t="shared" si="5"/>
        <v>2</v>
      </c>
      <c r="AN55" s="279">
        <f t="shared" si="6"/>
        <v>6</v>
      </c>
      <c r="AO55" s="295" t="str">
        <f t="shared" si="7"/>
        <v>12/2025</v>
      </c>
      <c r="AP55" s="277" t="str">
        <f t="array" ref="AP55">IFERROR(XLOOKUP(L55,'2. DATA NL, VTBB'!C:C,'2. DATA NL, VTBB'!F:F),"")</f>
        <v>HH0116</v>
      </c>
      <c r="AQ55" s="277" t="str">
        <f t="array" ref="AQ55">IF(OR(K55="Nhãn", K55="Nhãn thùng",K55="Nhãn Túi"), K55 &amp; " " &amp; IFERROR(XLOOKUP(L55, '2. DATA NL, VTBB'!C:C, '2. DATA NL, VTBB'!E:E), ""), "")</f>
        <v/>
      </c>
      <c r="AR55" s="278" t="str">
        <f t="array" ref="AR55">IFERROR(XLOOKUP(L55,'2. DATA NL, VTBB'!C:C,'2. DATA NL, VTBB'!G:G),"")</f>
        <v>GC - II - 666 - AU - Gel Humiix - 20 kg - 1 ([btp],x,n)</v>
      </c>
      <c r="AS55" s="278" t="str">
        <f t="array" ref="AS55">IFERROR(XLOOKUP(L55,'2. DATA NL, VTBB'!C:C,'2. DATA NL, VTBB'!G:G),"")</f>
        <v>GC - II - 666 - AU - Gel Humiix - 20 kg - 1 ([btp],x,n)</v>
      </c>
      <c r="AT55" s="277"/>
    </row>
    <row r="56" ht="30.75" customHeight="1">
      <c r="A56" s="272">
        <f t="shared" si="13"/>
        <v>53</v>
      </c>
      <c r="B56" s="289">
        <v>45999.0</v>
      </c>
      <c r="C56" s="273">
        <v>46000.0</v>
      </c>
      <c r="D56" s="273">
        <f t="shared" si="19"/>
        <v>46002</v>
      </c>
      <c r="E56" s="289">
        <v>46004.0</v>
      </c>
      <c r="F56" s="274" t="s">
        <v>561</v>
      </c>
      <c r="G56" s="275" t="s">
        <v>562</v>
      </c>
      <c r="H56" s="274" t="s">
        <v>304</v>
      </c>
      <c r="I56" s="275" t="s">
        <v>726</v>
      </c>
      <c r="J56" s="279" t="s">
        <v>762</v>
      </c>
      <c r="K56" s="275" t="s">
        <v>730</v>
      </c>
      <c r="L56" s="277" t="s">
        <v>764</v>
      </c>
      <c r="M56" s="278" t="str">
        <f t="array" ref="M56">IFERROR(XLOOKUP(L56,'2. DATA NL, VTBB'!C:C,'2. DATA NL, VTBB'!D:D),"")</f>
        <v>Nắp HDPE có bèo cổ 50 (10gr) - Trắng</v>
      </c>
      <c r="N56" s="280"/>
      <c r="O56" s="280" t="str">
        <f t="array" ref="O56">IFERROR( XLOOKUP(L56,'2. DATA NL, VTBB'!C:C,'2. DATA NL, VTBB'!E:E),"")</f>
        <v>Vi lượng Quantity New</v>
      </c>
      <c r="P56" s="275" t="s">
        <v>565</v>
      </c>
      <c r="Q56" s="311"/>
      <c r="R56" s="290" t="s">
        <v>566</v>
      </c>
      <c r="S56" s="280"/>
      <c r="T56" s="280"/>
      <c r="U56" s="277"/>
      <c r="V56" s="283">
        <v>2000.0</v>
      </c>
      <c r="W56" s="275" t="s">
        <v>699</v>
      </c>
      <c r="X56" s="283">
        <v>2000.0</v>
      </c>
      <c r="Y56" s="274">
        <v>2025.0</v>
      </c>
      <c r="Z56" s="287">
        <v>900.0</v>
      </c>
      <c r="AA56" s="285">
        <v>0.08</v>
      </c>
      <c r="AB56" s="282">
        <v>1968300.0</v>
      </c>
      <c r="AC56" s="277"/>
      <c r="AD56" s="289">
        <v>45999.0</v>
      </c>
      <c r="AE56" s="272">
        <v>2341.0</v>
      </c>
      <c r="AF56" s="277"/>
      <c r="AG56" s="277"/>
      <c r="AH56" s="294">
        <f>IFERROR(__xludf.DUMMYFUNCTION("IFERROR(INDEX( SORT(FILTER(
        {'1. DATA CHUNG'!$J$4:$J$105 , '1. DATA CHUNG'!$L$4:$L$105}, (TRIM('1. DATA CHUNG'!$I$4:$I$105)=TRIM(K56)) * IF(COUNTIFS('1. DATA CHUNG'!$I$4:$I$105,K56,'1. DATA CHUNG'!$M$4:$M$105,Q56), '1. DATA CHUNG'!$M$4:$M$105=Q56,"&amp;" 1) * ('1. DATA CHUNG'!$L$4:$L$105&lt;=TODAY()) ),   2, 0),  1, 1), 
  IFERROR( INDEX(FILTER('1. DATA CHUNG'!$J$4:$J$105, (TRIM('1. DATA CHUNG'!$I$4:$I$105)=TRIM(K56)) * IF(COUNTIFS('1. DATA CHUNG'!$I$4:$I$105,K56,'1. DATA CHUNG'!$M$4:$M$105,Q56), '1. DATA C"&amp;"HUNG'!$M$4:$M$105=Q56, 1) * ('1. DATA CHUNG'!$L$4:$L$105="""")), 1), ""Không tìm thấy"" ))"),7.0)</f>
        <v>7</v>
      </c>
      <c r="AI56" s="273">
        <f t="shared" si="2"/>
        <v>46006</v>
      </c>
      <c r="AJ56" s="287"/>
      <c r="AK56" s="286">
        <f t="shared" si="3"/>
        <v>0</v>
      </c>
      <c r="AL56" s="287">
        <f t="shared" si="4"/>
        <v>-2</v>
      </c>
      <c r="AM56" s="287">
        <f t="shared" si="5"/>
        <v>2</v>
      </c>
      <c r="AN56" s="279">
        <f t="shared" si="6"/>
        <v>6</v>
      </c>
      <c r="AO56" s="295" t="str">
        <f t="shared" si="7"/>
        <v>12/2025</v>
      </c>
      <c r="AP56" s="277" t="str">
        <f t="array" ref="AP56">IFERROR(XLOOKUP(L56,'2. DATA NL, VTBB'!C:C,'2. DATA NL, VTBB'!F:F),"")</f>
        <v>HH0070</v>
      </c>
      <c r="AQ56" s="277" t="str">
        <f t="array" ref="AQ56">IF(OR(K56="Nhãn", K56="Nhãn thùng",K56="Nhãn Túi"), K56 &amp; " " &amp; IFERROR(XLOOKUP(L56, '2. DATA NL, VTBB'!C:C, '2. DATA NL, VTBB'!E:E), ""), "")</f>
        <v/>
      </c>
      <c r="AR56" s="278" t="str">
        <f t="array" ref="AR56">IFERROR(XLOOKUP(L56,'2. DATA NL, VTBB'!C:C,'2. DATA NL, VTBB'!G:G),"")</f>
        <v>GC - II - 591 - A Thời GNH - Chuyên lác (Chai HD) - 1L - 20</v>
      </c>
      <c r="AS56" s="278" t="str">
        <f t="array" ref="AS56">IFERROR(XLOOKUP(L56,'2. DATA NL, VTBB'!C:C,'2. DATA NL, VTBB'!G:G),"")</f>
        <v>GC - II - 591 - A Thời GNH - Chuyên lác (Chai HD) - 1L - 20</v>
      </c>
      <c r="AT56" s="277"/>
    </row>
    <row r="57" ht="30.75" customHeight="1">
      <c r="A57" s="272">
        <f t="shared" si="13"/>
        <v>54</v>
      </c>
      <c r="B57" s="289">
        <v>46000.0</v>
      </c>
      <c r="C57" s="273">
        <v>46001.0</v>
      </c>
      <c r="D57" s="273">
        <f t="shared" si="19"/>
        <v>46003</v>
      </c>
      <c r="E57" s="289">
        <v>46001.0</v>
      </c>
      <c r="F57" s="274" t="s">
        <v>561</v>
      </c>
      <c r="G57" s="275" t="s">
        <v>562</v>
      </c>
      <c r="H57" s="274" t="s">
        <v>304</v>
      </c>
      <c r="I57" s="275" t="s">
        <v>726</v>
      </c>
      <c r="J57" s="279" t="s">
        <v>777</v>
      </c>
      <c r="K57" s="275" t="s">
        <v>728</v>
      </c>
      <c r="L57" s="277" t="s">
        <v>778</v>
      </c>
      <c r="M57" s="278" t="str">
        <f t="array" ref="M57">IFERROR(XLOOKUP(L57,'2. DATA NL, VTBB'!C:C,'2. DATA NL, VTBB'!D:D),"")</f>
        <v>Chai PET tròn cổ 44 500ml (45g) Trắng</v>
      </c>
      <c r="N57" s="280"/>
      <c r="O57" s="280" t="str">
        <f t="array" ref="O57">IFERROR( XLOOKUP(L57,'2. DATA NL, VTBB'!C:C,'2. DATA NL, VTBB'!E:E),"")</f>
        <v>Chitin 3.6EC</v>
      </c>
      <c r="P57" s="275" t="s">
        <v>565</v>
      </c>
      <c r="Q57" s="311"/>
      <c r="R57" s="291" t="s">
        <v>573</v>
      </c>
      <c r="S57" s="280"/>
      <c r="T57" s="280"/>
      <c r="U57" s="277"/>
      <c r="V57" s="283">
        <v>2000.0</v>
      </c>
      <c r="W57" s="275" t="s">
        <v>699</v>
      </c>
      <c r="X57" s="283">
        <v>2000.0</v>
      </c>
      <c r="Y57" s="274">
        <v>2016.0</v>
      </c>
      <c r="Z57" s="287">
        <v>1900.0</v>
      </c>
      <c r="AA57" s="285">
        <v>0.08</v>
      </c>
      <c r="AB57" s="282">
        <v>4136832.0</v>
      </c>
      <c r="AC57" s="277"/>
      <c r="AD57" s="289">
        <v>46000.0</v>
      </c>
      <c r="AE57" s="272">
        <v>2287.0</v>
      </c>
      <c r="AF57" s="277"/>
      <c r="AG57" s="277"/>
      <c r="AH57" s="294">
        <f>IFERROR(__xludf.DUMMYFUNCTION("IFERROR(INDEX( SORT(FILTER(
        {'1. DATA CHUNG'!$J$4:$J$105 , '1. DATA CHUNG'!$L$4:$L$105}, (TRIM('1. DATA CHUNG'!$I$4:$I$105)=TRIM(K57)) * IF(COUNTIFS('1. DATA CHUNG'!$I$4:$I$105,K57,'1. DATA CHUNG'!$M$4:$M$105,Q57), '1. DATA CHUNG'!$M$4:$M$105=Q57,"&amp;" 1) * ('1. DATA CHUNG'!$L$4:$L$105&lt;=TODAY()) ),   2, 0),  1, 1), 
  IFERROR( INDEX(FILTER('1. DATA CHUNG'!$J$4:$J$105, (TRIM('1. DATA CHUNG'!$I$4:$I$105)=TRIM(K57)) * IF(COUNTIFS('1. DATA CHUNG'!$I$4:$I$105,K57,'1. DATA CHUNG'!$M$4:$M$105,Q57), '1. DATA C"&amp;"HUNG'!$M$4:$M$105=Q57, 1) * ('1. DATA CHUNG'!$L$4:$L$105="""")), 1), ""Không tìm thấy"" ))"),7.0)</f>
        <v>7</v>
      </c>
      <c r="AI57" s="273">
        <f t="shared" si="2"/>
        <v>46007</v>
      </c>
      <c r="AJ57" s="287"/>
      <c r="AK57" s="286">
        <f t="shared" si="3"/>
        <v>0</v>
      </c>
      <c r="AL57" s="287">
        <f t="shared" si="4"/>
        <v>2</v>
      </c>
      <c r="AM57" s="287">
        <f t="shared" si="5"/>
        <v>6</v>
      </c>
      <c r="AN57" s="279">
        <f t="shared" si="6"/>
        <v>6</v>
      </c>
      <c r="AO57" s="295" t="str">
        <f t="shared" si="7"/>
        <v>12/2025</v>
      </c>
      <c r="AP57" s="277" t="str">
        <f t="array" ref="AP57">IFERROR(XLOOKUP(L57,'2. DATA NL, VTBB'!C:C,'2. DATA NL, VTBB'!F:F),"")</f>
        <v>HH0234</v>
      </c>
      <c r="AQ57" s="277" t="str">
        <f t="array" ref="AQ57">IF(OR(K57="Nhãn", K57="Nhãn thùng",K57="Nhãn Túi"), K57 &amp; " " &amp; IFERROR(XLOOKUP(L57, '2. DATA NL, VTBB'!C:C, '2. DATA NL, VTBB'!E:E), ""), "")</f>
        <v/>
      </c>
      <c r="AR57" s="278" t="str">
        <f t="array" ref="AR57">IFERROR(XLOOKUP(L57,'2. DATA NL, VTBB'!C:C,'2. DATA NL, VTBB'!G:G),"")</f>
        <v>LOT IDA Global - I - 875 - ĐL Bảo Tại - Avermectin 36 (Pet tròn) (nắp đỏ)(nước nâu đen) - 450ml - 40</v>
      </c>
      <c r="AS57" s="278" t="str">
        <f t="array" ref="AS57">IFERROR(XLOOKUP(L57,'2. DATA NL, VTBB'!C:C,'2. DATA NL, VTBB'!G:G),"")</f>
        <v>LOT IDA Global - I - 875 - ĐL Bảo Tại - Avermectin 36 (Pet tròn) (nắp đỏ)(nước nâu đen) - 450ml - 40</v>
      </c>
      <c r="AT57" s="277"/>
    </row>
    <row r="58" ht="30.75" customHeight="1">
      <c r="A58" s="272">
        <f t="shared" si="13"/>
        <v>55</v>
      </c>
      <c r="B58" s="289">
        <v>46000.0</v>
      </c>
      <c r="C58" s="273">
        <v>46001.0</v>
      </c>
      <c r="D58" s="273">
        <f t="shared" si="19"/>
        <v>46003</v>
      </c>
      <c r="E58" s="289">
        <v>46001.0</v>
      </c>
      <c r="F58" s="274" t="s">
        <v>561</v>
      </c>
      <c r="G58" s="275" t="s">
        <v>562</v>
      </c>
      <c r="H58" s="274" t="s">
        <v>304</v>
      </c>
      <c r="I58" s="275" t="s">
        <v>726</v>
      </c>
      <c r="J58" s="279" t="s">
        <v>777</v>
      </c>
      <c r="K58" s="275" t="s">
        <v>730</v>
      </c>
      <c r="L58" s="277" t="s">
        <v>779</v>
      </c>
      <c r="M58" s="278" t="str">
        <f t="array" ref="M58">IFERROR(XLOOKUP(L58,'2. DATA NL, VTBB'!C:C,'2. DATA NL, VTBB'!D:D),"")</f>
        <v>Nắp PET cổ 44 (9g) - Trắng</v>
      </c>
      <c r="N58" s="280"/>
      <c r="O58" s="280" t="str">
        <f t="array" ref="O58">IFERROR( XLOOKUP(L58,'2. DATA NL, VTBB'!C:C,'2. DATA NL, VTBB'!E:E),"")</f>
        <v>IMIPRID 10WP</v>
      </c>
      <c r="P58" s="275" t="s">
        <v>565</v>
      </c>
      <c r="Q58" s="311"/>
      <c r="R58" s="291" t="s">
        <v>573</v>
      </c>
      <c r="S58" s="280"/>
      <c r="T58" s="280"/>
      <c r="U58" s="277"/>
      <c r="V58" s="283">
        <v>2000.0</v>
      </c>
      <c r="W58" s="275" t="s">
        <v>699</v>
      </c>
      <c r="X58" s="283">
        <v>2000.0</v>
      </c>
      <c r="Y58" s="274">
        <v>2016.0</v>
      </c>
      <c r="Z58" s="279">
        <v>900.0</v>
      </c>
      <c r="AA58" s="285">
        <v>0.08</v>
      </c>
      <c r="AB58" s="282">
        <v>1959552.0</v>
      </c>
      <c r="AC58" s="277"/>
      <c r="AD58" s="289">
        <v>46000.0</v>
      </c>
      <c r="AE58" s="272">
        <v>2287.0</v>
      </c>
      <c r="AF58" s="277"/>
      <c r="AG58" s="277"/>
      <c r="AH58" s="294">
        <f>IFERROR(__xludf.DUMMYFUNCTION("IFERROR(INDEX( SORT(FILTER(
        {'1. DATA CHUNG'!$J$4:$J$105 , '1. DATA CHUNG'!$L$4:$L$105}, (TRIM('1. DATA CHUNG'!$I$4:$I$105)=TRIM(K58)) * IF(COUNTIFS('1. DATA CHUNG'!$I$4:$I$105,K58,'1. DATA CHUNG'!$M$4:$M$105,Q58), '1. DATA CHUNG'!$M$4:$M$105=Q58,"&amp;" 1) * ('1. DATA CHUNG'!$L$4:$L$105&lt;=TODAY()) ),   2, 0),  1, 1), 
  IFERROR( INDEX(FILTER('1. DATA CHUNG'!$J$4:$J$105, (TRIM('1. DATA CHUNG'!$I$4:$I$105)=TRIM(K58)) * IF(COUNTIFS('1. DATA CHUNG'!$I$4:$I$105,K58,'1. DATA CHUNG'!$M$4:$M$105,Q58), '1. DATA C"&amp;"HUNG'!$M$4:$M$105=Q58, 1) * ('1. DATA CHUNG'!$L$4:$L$105="""")), 1), ""Không tìm thấy"" ))"),7.0)</f>
        <v>7</v>
      </c>
      <c r="AI58" s="273">
        <f t="shared" si="2"/>
        <v>46007</v>
      </c>
      <c r="AJ58" s="287"/>
      <c r="AK58" s="286">
        <f t="shared" si="3"/>
        <v>0</v>
      </c>
      <c r="AL58" s="287">
        <f t="shared" si="4"/>
        <v>2</v>
      </c>
      <c r="AM58" s="287">
        <f t="shared" si="5"/>
        <v>6</v>
      </c>
      <c r="AN58" s="279">
        <f t="shared" si="6"/>
        <v>6</v>
      </c>
      <c r="AO58" s="295" t="str">
        <f t="shared" si="7"/>
        <v>12/2025</v>
      </c>
      <c r="AP58" s="277" t="str">
        <f t="array" ref="AP58">IFERROR(XLOOKUP(L58,'2. DATA NL, VTBB'!C:C,'2. DATA NL, VTBB'!F:F),"")</f>
        <v>HH0163</v>
      </c>
      <c r="AQ58" s="277" t="str">
        <f t="array" ref="AQ58">IF(OR(K58="Nhãn", K58="Nhãn thùng",K58="Nhãn Túi"), K58 &amp; " " &amp; IFERROR(XLOOKUP(L58, '2. DATA NL, VTBB'!C:C, '2. DATA NL, VTBB'!E:E), ""), "")</f>
        <v/>
      </c>
      <c r="AR58" s="278" t="str">
        <f t="array" ref="AR58">IFERROR(XLOOKUP(L58,'2. DATA NL, VTBB'!C:C,'2. DATA NL, VTBB'!G:G),"")</f>
        <v>GC - IV - 888.1 - Huy Phát - BI Pro Max (Bột trắng) - 100gr - 100</v>
      </c>
      <c r="AS58" s="278" t="str">
        <f t="array" ref="AS58">IFERROR(XLOOKUP(L58,'2. DATA NL, VTBB'!C:C,'2. DATA NL, VTBB'!G:G),"")</f>
        <v>GC - IV - 888.1 - Huy Phát - BI Pro Max (Bột trắng) - 100gr - 100</v>
      </c>
      <c r="AT58" s="277"/>
    </row>
    <row r="59" ht="30.75" customHeight="1">
      <c r="A59" s="272">
        <f t="shared" si="13"/>
        <v>56</v>
      </c>
      <c r="B59" s="289">
        <v>46000.0</v>
      </c>
      <c r="C59" s="273">
        <v>46001.0</v>
      </c>
      <c r="D59" s="273">
        <f t="shared" si="19"/>
        <v>46003</v>
      </c>
      <c r="E59" s="289">
        <v>46001.0</v>
      </c>
      <c r="F59" s="274" t="s">
        <v>561</v>
      </c>
      <c r="G59" s="275" t="s">
        <v>562</v>
      </c>
      <c r="H59" s="274" t="s">
        <v>304</v>
      </c>
      <c r="I59" s="275" t="s">
        <v>726</v>
      </c>
      <c r="J59" s="279" t="s">
        <v>777</v>
      </c>
      <c r="K59" s="275" t="s">
        <v>728</v>
      </c>
      <c r="L59" s="277" t="s">
        <v>778</v>
      </c>
      <c r="M59" s="278" t="str">
        <f t="array" ref="M59">IFERROR(XLOOKUP(L59,'2. DATA NL, VTBB'!C:C,'2. DATA NL, VTBB'!D:D),"")</f>
        <v>Chai PET tròn cổ 44 500ml (45g) Trắng</v>
      </c>
      <c r="N59" s="280"/>
      <c r="O59" s="280" t="str">
        <f t="array" ref="O59">IFERROR( XLOOKUP(L59,'2. DATA NL, VTBB'!C:C,'2. DATA NL, VTBB'!E:E),"")</f>
        <v>Chitin 3.6EC</v>
      </c>
      <c r="P59" s="275" t="s">
        <v>565</v>
      </c>
      <c r="Q59" s="311"/>
      <c r="R59" s="291" t="s">
        <v>573</v>
      </c>
      <c r="S59" s="280"/>
      <c r="T59" s="280"/>
      <c r="U59" s="277"/>
      <c r="V59" s="283">
        <v>5000.0</v>
      </c>
      <c r="W59" s="275" t="s">
        <v>699</v>
      </c>
      <c r="X59" s="283">
        <v>5000.0</v>
      </c>
      <c r="Y59" s="274">
        <v>5040.0</v>
      </c>
      <c r="Z59" s="287">
        <v>1900.0</v>
      </c>
      <c r="AA59" s="285">
        <v>0.08</v>
      </c>
      <c r="AB59" s="282">
        <v>1.034208E7</v>
      </c>
      <c r="AC59" s="277"/>
      <c r="AD59" s="289">
        <v>46000.0</v>
      </c>
      <c r="AE59" s="272">
        <v>2287.0</v>
      </c>
      <c r="AF59" s="277"/>
      <c r="AG59" s="277"/>
      <c r="AH59" s="294">
        <f>IFERROR(__xludf.DUMMYFUNCTION("IFERROR(INDEX( SORT(FILTER(
        {'1. DATA CHUNG'!$J$4:$J$105 , '1. DATA CHUNG'!$L$4:$L$105}, (TRIM('1. DATA CHUNG'!$I$4:$I$105)=TRIM(K59)) * IF(COUNTIFS('1. DATA CHUNG'!$I$4:$I$105,K59,'1. DATA CHUNG'!$M$4:$M$105,Q59), '1. DATA CHUNG'!$M$4:$M$105=Q59,"&amp;" 1) * ('1. DATA CHUNG'!$L$4:$L$105&lt;=TODAY()) ),   2, 0),  1, 1), 
  IFERROR( INDEX(FILTER('1. DATA CHUNG'!$J$4:$J$105, (TRIM('1. DATA CHUNG'!$I$4:$I$105)=TRIM(K59)) * IF(COUNTIFS('1. DATA CHUNG'!$I$4:$I$105,K59,'1. DATA CHUNG'!$M$4:$M$105,Q59), '1. DATA C"&amp;"HUNG'!$M$4:$M$105=Q59, 1) * ('1. DATA CHUNG'!$L$4:$L$105="""")), 1), ""Không tìm thấy"" ))"),7.0)</f>
        <v>7</v>
      </c>
      <c r="AI59" s="273">
        <f t="shared" si="2"/>
        <v>46007</v>
      </c>
      <c r="AJ59" s="287"/>
      <c r="AK59" s="286">
        <f t="shared" si="3"/>
        <v>0</v>
      </c>
      <c r="AL59" s="287">
        <f t="shared" si="4"/>
        <v>2</v>
      </c>
      <c r="AM59" s="287">
        <f t="shared" si="5"/>
        <v>6</v>
      </c>
      <c r="AN59" s="279">
        <f t="shared" si="6"/>
        <v>6</v>
      </c>
      <c r="AO59" s="295" t="str">
        <f t="shared" si="7"/>
        <v>12/2025</v>
      </c>
      <c r="AP59" s="277" t="str">
        <f t="array" ref="AP59">IFERROR(XLOOKUP(L59,'2. DATA NL, VTBB'!C:C,'2. DATA NL, VTBB'!F:F),"")</f>
        <v>HH0234</v>
      </c>
      <c r="AQ59" s="277" t="str">
        <f t="array" ref="AQ59">IF(OR(K59="Nhãn", K59="Nhãn thùng",K59="Nhãn Túi"), K59 &amp; " " &amp; IFERROR(XLOOKUP(L59, '2. DATA NL, VTBB'!C:C, '2. DATA NL, VTBB'!E:E), ""), "")</f>
        <v/>
      </c>
      <c r="AR59" s="278" t="str">
        <f t="array" ref="AR59">IFERROR(XLOOKUP(L59,'2. DATA NL, VTBB'!C:C,'2. DATA NL, VTBB'!G:G),"")</f>
        <v>LOT IDA Global - I - 875 - ĐL Bảo Tại - Avermectin 36 (Pet tròn) (nắp đỏ)(nước nâu đen) - 450ml - 40</v>
      </c>
      <c r="AS59" s="278" t="str">
        <f t="array" ref="AS59">IFERROR(XLOOKUP(L59,'2. DATA NL, VTBB'!C:C,'2. DATA NL, VTBB'!G:G),"")</f>
        <v>LOT IDA Global - I - 875 - ĐL Bảo Tại - Avermectin 36 (Pet tròn) (nắp đỏ)(nước nâu đen) - 450ml - 40</v>
      </c>
      <c r="AT59" s="277"/>
    </row>
    <row r="60" ht="30.75" customHeight="1">
      <c r="A60" s="272">
        <f t="shared" si="13"/>
        <v>57</v>
      </c>
      <c r="B60" s="289">
        <v>46000.0</v>
      </c>
      <c r="C60" s="273">
        <v>46001.0</v>
      </c>
      <c r="D60" s="273">
        <f t="shared" si="19"/>
        <v>46003</v>
      </c>
      <c r="E60" s="289">
        <v>46001.0</v>
      </c>
      <c r="F60" s="274" t="s">
        <v>561</v>
      </c>
      <c r="G60" s="275" t="s">
        <v>562</v>
      </c>
      <c r="H60" s="274" t="s">
        <v>304</v>
      </c>
      <c r="I60" s="275" t="s">
        <v>726</v>
      </c>
      <c r="J60" s="279" t="s">
        <v>777</v>
      </c>
      <c r="K60" s="275" t="s">
        <v>730</v>
      </c>
      <c r="L60" s="277" t="s">
        <v>780</v>
      </c>
      <c r="M60" s="278" t="str">
        <f t="array" ref="M60">IFERROR(XLOOKUP(L60,'2. DATA NL, VTBB'!C:C,'2. DATA NL, VTBB'!D:D),"")</f>
        <v>Nắp PET cổ 44 (9g) Đỏ</v>
      </c>
      <c r="N60" s="280"/>
      <c r="O60" s="280" t="str">
        <f t="array" ref="O60">IFERROR( XLOOKUP(L60,'2. DATA NL, VTBB'!C:C,'2. DATA NL, VTBB'!E:E),"")</f>
        <v>Chitin 3.6EC</v>
      </c>
      <c r="P60" s="275" t="s">
        <v>565</v>
      </c>
      <c r="Q60" s="311"/>
      <c r="R60" s="291" t="s">
        <v>573</v>
      </c>
      <c r="S60" s="280"/>
      <c r="T60" s="280"/>
      <c r="U60" s="277"/>
      <c r="V60" s="283">
        <v>5000.0</v>
      </c>
      <c r="W60" s="275" t="s">
        <v>699</v>
      </c>
      <c r="X60" s="283">
        <v>5000.0</v>
      </c>
      <c r="Y60" s="274">
        <v>5040.0</v>
      </c>
      <c r="Z60" s="279">
        <v>900.0</v>
      </c>
      <c r="AA60" s="285">
        <v>0.08</v>
      </c>
      <c r="AB60" s="282">
        <v>4898880.0</v>
      </c>
      <c r="AC60" s="277"/>
      <c r="AD60" s="289">
        <v>46000.0</v>
      </c>
      <c r="AE60" s="272">
        <v>2287.0</v>
      </c>
      <c r="AF60" s="277"/>
      <c r="AG60" s="277"/>
      <c r="AH60" s="294">
        <f>IFERROR(__xludf.DUMMYFUNCTION("IFERROR(INDEX( SORT(FILTER(
        {'1. DATA CHUNG'!$J$4:$J$105 , '1. DATA CHUNG'!$L$4:$L$105}, (TRIM('1. DATA CHUNG'!$I$4:$I$105)=TRIM(K60)) * IF(COUNTIFS('1. DATA CHUNG'!$I$4:$I$105,K60,'1. DATA CHUNG'!$M$4:$M$105,Q60), '1. DATA CHUNG'!$M$4:$M$105=Q60,"&amp;" 1) * ('1. DATA CHUNG'!$L$4:$L$105&lt;=TODAY()) ),   2, 0),  1, 1), 
  IFERROR( INDEX(FILTER('1. DATA CHUNG'!$J$4:$J$105, (TRIM('1. DATA CHUNG'!$I$4:$I$105)=TRIM(K60)) * IF(COUNTIFS('1. DATA CHUNG'!$I$4:$I$105,K60,'1. DATA CHUNG'!$M$4:$M$105,Q60), '1. DATA C"&amp;"HUNG'!$M$4:$M$105=Q60, 1) * ('1. DATA CHUNG'!$L$4:$L$105="""")), 1), ""Không tìm thấy"" ))"),7.0)</f>
        <v>7</v>
      </c>
      <c r="AI60" s="273">
        <f t="shared" si="2"/>
        <v>46007</v>
      </c>
      <c r="AJ60" s="287"/>
      <c r="AK60" s="286">
        <f t="shared" si="3"/>
        <v>0</v>
      </c>
      <c r="AL60" s="287">
        <f t="shared" si="4"/>
        <v>2</v>
      </c>
      <c r="AM60" s="287">
        <f t="shared" si="5"/>
        <v>6</v>
      </c>
      <c r="AN60" s="279">
        <f t="shared" si="6"/>
        <v>6</v>
      </c>
      <c r="AO60" s="295" t="str">
        <f t="shared" si="7"/>
        <v>12/2025</v>
      </c>
      <c r="AP60" s="277" t="str">
        <f t="array" ref="AP60">IFERROR(XLOOKUP(L60,'2. DATA NL, VTBB'!C:C,'2. DATA NL, VTBB'!F:F),"")</f>
        <v>HH0156</v>
      </c>
      <c r="AQ60" s="277" t="str">
        <f t="array" ref="AQ60">IF(OR(K60="Nhãn", K60="Nhãn thùng",K60="Nhãn Túi"), K60 &amp; " " &amp; IFERROR(XLOOKUP(L60, '2. DATA NL, VTBB'!C:C, '2. DATA NL, VTBB'!E:E), ""), "")</f>
        <v/>
      </c>
      <c r="AR60" s="278" t="str">
        <f t="array" ref="AR60">IFERROR(XLOOKUP(L60,'2. DATA NL, VTBB'!C:C,'2. DATA NL, VTBB'!G:G),"")</f>
        <v>LOT IDA Global - I - 875 - ĐL Bảo Tại - Avermectin 36 (Pet tròn) (nắp đỏ)(nước nâu đen) - 450ml - 40</v>
      </c>
      <c r="AS60" s="278" t="str">
        <f t="array" ref="AS60">IFERROR(XLOOKUP(L60,'2. DATA NL, VTBB'!C:C,'2. DATA NL, VTBB'!G:G),"")</f>
        <v>LOT IDA Global - I - 875 - ĐL Bảo Tại - Avermectin 36 (Pet tròn) (nắp đỏ)(nước nâu đen) - 450ml - 40</v>
      </c>
      <c r="AT60" s="277"/>
    </row>
    <row r="61" ht="30.75" customHeight="1">
      <c r="A61" s="272">
        <f t="shared" si="13"/>
        <v>58</v>
      </c>
      <c r="B61" s="289">
        <v>46000.0</v>
      </c>
      <c r="C61" s="273">
        <v>46001.0</v>
      </c>
      <c r="D61" s="273">
        <f t="shared" si="19"/>
        <v>46003</v>
      </c>
      <c r="E61" s="289">
        <v>46001.0</v>
      </c>
      <c r="F61" s="274" t="s">
        <v>561</v>
      </c>
      <c r="G61" s="275" t="s">
        <v>696</v>
      </c>
      <c r="H61" s="274" t="s">
        <v>304</v>
      </c>
      <c r="I61" s="275" t="s">
        <v>726</v>
      </c>
      <c r="J61" s="279" t="s">
        <v>624</v>
      </c>
      <c r="K61" s="275" t="s">
        <v>728</v>
      </c>
      <c r="L61" s="277" t="s">
        <v>763</v>
      </c>
      <c r="M61" s="278" t="str">
        <f t="array" ref="M61">IFERROR(XLOOKUP(L61,'2. DATA NL, VTBB'!C:C,'2. DATA NL, VTBB'!D:D),"")</f>
        <v>Chai HDPE tròn 1 Lít cổ 50 (120gr) - Trắng</v>
      </c>
      <c r="N61" s="280"/>
      <c r="O61" s="280" t="str">
        <f t="array" ref="O61">IFERROR( XLOOKUP(L61,'2. DATA NL, VTBB'!C:C,'2. DATA NL, VTBB'!E:E),"")</f>
        <v>Prima 04</v>
      </c>
      <c r="P61" s="275" t="s">
        <v>565</v>
      </c>
      <c r="Q61" s="311"/>
      <c r="R61" s="291" t="s">
        <v>573</v>
      </c>
      <c r="S61" s="280"/>
      <c r="T61" s="280"/>
      <c r="U61" s="277"/>
      <c r="V61" s="283">
        <v>500.0</v>
      </c>
      <c r="W61" s="275" t="s">
        <v>699</v>
      </c>
      <c r="X61" s="283">
        <v>500.0</v>
      </c>
      <c r="Y61" s="274">
        <v>525.0</v>
      </c>
      <c r="Z61" s="287">
        <v>5000.0</v>
      </c>
      <c r="AA61" s="285">
        <v>0.08</v>
      </c>
      <c r="AB61" s="282">
        <v>2835000.0</v>
      </c>
      <c r="AC61" s="277"/>
      <c r="AD61" s="289">
        <v>46000.0</v>
      </c>
      <c r="AE61" s="272">
        <v>2288.0</v>
      </c>
      <c r="AF61" s="277"/>
      <c r="AG61" s="277"/>
      <c r="AH61" s="294">
        <f>IFERROR(__xludf.DUMMYFUNCTION("IFERROR(INDEX( SORT(FILTER(
        {'1. DATA CHUNG'!$J$4:$J$105 , '1. DATA CHUNG'!$L$4:$L$105}, (TRIM('1. DATA CHUNG'!$I$4:$I$105)=TRIM(K61)) * IF(COUNTIFS('1. DATA CHUNG'!$I$4:$I$105,K61,'1. DATA CHUNG'!$M$4:$M$105,Q61), '1. DATA CHUNG'!$M$4:$M$105=Q61,"&amp;" 1) * ('1. DATA CHUNG'!$L$4:$L$105&lt;=TODAY()) ),   2, 0),  1, 1), 
  IFERROR( INDEX(FILTER('1. DATA CHUNG'!$J$4:$J$105, (TRIM('1. DATA CHUNG'!$I$4:$I$105)=TRIM(K61)) * IF(COUNTIFS('1. DATA CHUNG'!$I$4:$I$105,K61,'1. DATA CHUNG'!$M$4:$M$105,Q61), '1. DATA C"&amp;"HUNG'!$M$4:$M$105=Q61, 1) * ('1. DATA CHUNG'!$L$4:$L$105="""")), 1), ""Không tìm thấy"" ))"),7.0)</f>
        <v>7</v>
      </c>
      <c r="AI61" s="273">
        <f t="shared" si="2"/>
        <v>46007</v>
      </c>
      <c r="AJ61" s="287"/>
      <c r="AK61" s="286">
        <f t="shared" si="3"/>
        <v>0</v>
      </c>
      <c r="AL61" s="287">
        <f t="shared" si="4"/>
        <v>2</v>
      </c>
      <c r="AM61" s="287">
        <f t="shared" si="5"/>
        <v>6</v>
      </c>
      <c r="AN61" s="279">
        <f t="shared" si="6"/>
        <v>6</v>
      </c>
      <c r="AO61" s="295" t="str">
        <f t="shared" si="7"/>
        <v>12/2025</v>
      </c>
      <c r="AP61" s="277" t="str">
        <f t="array" ref="AP61">IFERROR(XLOOKUP(L61,'2. DATA NL, VTBB'!C:C,'2. DATA NL, VTBB'!F:F),"")</f>
        <v>HH0116</v>
      </c>
      <c r="AQ61" s="277" t="str">
        <f t="array" ref="AQ61">IF(OR(K61="Nhãn", K61="Nhãn thùng",K61="Nhãn Túi"), K61 &amp; " " &amp; IFERROR(XLOOKUP(L61, '2. DATA NL, VTBB'!C:C, '2. DATA NL, VTBB'!E:E), ""), "")</f>
        <v/>
      </c>
      <c r="AR61" s="278" t="str">
        <f t="array" ref="AR61">IFERROR(XLOOKUP(L61,'2. DATA NL, VTBB'!C:C,'2. DATA NL, VTBB'!G:G),"")</f>
        <v>GC - II - 666 - AU - Gel Humiix - 20 kg - 1 ([btp],x,n)</v>
      </c>
      <c r="AS61" s="278" t="str">
        <f t="array" ref="AS61">IFERROR(XLOOKUP(L61,'2. DATA NL, VTBB'!C:C,'2. DATA NL, VTBB'!G:G),"")</f>
        <v>GC - II - 666 - AU - Gel Humiix - 20 kg - 1 ([btp],x,n)</v>
      </c>
      <c r="AT61" s="277"/>
    </row>
    <row r="62" ht="30.75" customHeight="1">
      <c r="A62" s="272">
        <f t="shared" si="13"/>
        <v>59</v>
      </c>
      <c r="B62" s="289">
        <v>46000.0</v>
      </c>
      <c r="C62" s="273">
        <v>46001.0</v>
      </c>
      <c r="D62" s="273">
        <f t="shared" si="19"/>
        <v>46003</v>
      </c>
      <c r="E62" s="289">
        <v>46001.0</v>
      </c>
      <c r="F62" s="274" t="s">
        <v>561</v>
      </c>
      <c r="G62" s="275" t="s">
        <v>696</v>
      </c>
      <c r="H62" s="274" t="s">
        <v>304</v>
      </c>
      <c r="I62" s="275" t="s">
        <v>726</v>
      </c>
      <c r="J62" s="279" t="s">
        <v>624</v>
      </c>
      <c r="K62" s="275" t="s">
        <v>730</v>
      </c>
      <c r="L62" s="277" t="s">
        <v>764</v>
      </c>
      <c r="M62" s="278" t="str">
        <f t="array" ref="M62">IFERROR(XLOOKUP(L62,'2. DATA NL, VTBB'!C:C,'2. DATA NL, VTBB'!D:D),"")</f>
        <v>Nắp HDPE có bèo cổ 50 (10gr) - Trắng</v>
      </c>
      <c r="N62" s="280"/>
      <c r="O62" s="280" t="str">
        <f t="array" ref="O62">IFERROR( XLOOKUP(L62,'2. DATA NL, VTBB'!C:C,'2. DATA NL, VTBB'!E:E),"")</f>
        <v>Vi lượng Quantity New</v>
      </c>
      <c r="P62" s="275" t="s">
        <v>565</v>
      </c>
      <c r="Q62" s="311"/>
      <c r="R62" s="291" t="s">
        <v>573</v>
      </c>
      <c r="S62" s="280"/>
      <c r="T62" s="280"/>
      <c r="U62" s="277"/>
      <c r="V62" s="283">
        <v>500.0</v>
      </c>
      <c r="W62" s="275" t="s">
        <v>699</v>
      </c>
      <c r="X62" s="283">
        <v>500.0</v>
      </c>
      <c r="Y62" s="274">
        <v>525.0</v>
      </c>
      <c r="Z62" s="287">
        <v>900.0</v>
      </c>
      <c r="AA62" s="285">
        <v>0.08</v>
      </c>
      <c r="AB62" s="282">
        <v>510300.0</v>
      </c>
      <c r="AC62" s="277"/>
      <c r="AD62" s="289">
        <v>46000.0</v>
      </c>
      <c r="AE62" s="272">
        <v>2288.0</v>
      </c>
      <c r="AF62" s="277"/>
      <c r="AG62" s="277"/>
      <c r="AH62" s="294">
        <f>IFERROR(__xludf.DUMMYFUNCTION("IFERROR(INDEX( SORT(FILTER(
        {'1. DATA CHUNG'!$J$4:$J$105 , '1. DATA CHUNG'!$L$4:$L$105}, (TRIM('1. DATA CHUNG'!$I$4:$I$105)=TRIM(K62)) * IF(COUNTIFS('1. DATA CHUNG'!$I$4:$I$105,K62,'1. DATA CHUNG'!$M$4:$M$105,Q62), '1. DATA CHUNG'!$M$4:$M$105=Q62,"&amp;" 1) * ('1. DATA CHUNG'!$L$4:$L$105&lt;=TODAY()) ),   2, 0),  1, 1), 
  IFERROR( INDEX(FILTER('1. DATA CHUNG'!$J$4:$J$105, (TRIM('1. DATA CHUNG'!$I$4:$I$105)=TRIM(K62)) * IF(COUNTIFS('1. DATA CHUNG'!$I$4:$I$105,K62,'1. DATA CHUNG'!$M$4:$M$105,Q62), '1. DATA C"&amp;"HUNG'!$M$4:$M$105=Q62, 1) * ('1. DATA CHUNG'!$L$4:$L$105="""")), 1), ""Không tìm thấy"" ))"),7.0)</f>
        <v>7</v>
      </c>
      <c r="AI62" s="273">
        <f t="shared" si="2"/>
        <v>46007</v>
      </c>
      <c r="AJ62" s="287"/>
      <c r="AK62" s="286">
        <f t="shared" si="3"/>
        <v>0</v>
      </c>
      <c r="AL62" s="287">
        <f t="shared" si="4"/>
        <v>2</v>
      </c>
      <c r="AM62" s="287">
        <f t="shared" si="5"/>
        <v>6</v>
      </c>
      <c r="AN62" s="279">
        <f t="shared" si="6"/>
        <v>6</v>
      </c>
      <c r="AO62" s="295" t="str">
        <f t="shared" si="7"/>
        <v>12/2025</v>
      </c>
      <c r="AP62" s="277" t="str">
        <f t="array" ref="AP62">IFERROR(XLOOKUP(L62,'2. DATA NL, VTBB'!C:C,'2. DATA NL, VTBB'!F:F),"")</f>
        <v>HH0070</v>
      </c>
      <c r="AQ62" s="277" t="str">
        <f t="array" ref="AQ62">IF(OR(K62="Nhãn", K62="Nhãn thùng",K62="Nhãn Túi"), K62 &amp; " " &amp; IFERROR(XLOOKUP(L62, '2. DATA NL, VTBB'!C:C, '2. DATA NL, VTBB'!E:E), ""), "")</f>
        <v/>
      </c>
      <c r="AR62" s="278" t="str">
        <f t="array" ref="AR62">IFERROR(XLOOKUP(L62,'2. DATA NL, VTBB'!C:C,'2. DATA NL, VTBB'!G:G),"")</f>
        <v>GC - II - 591 - A Thời GNH - Chuyên lác (Chai HD) - 1L - 20</v>
      </c>
      <c r="AS62" s="278" t="str">
        <f t="array" ref="AS62">IFERROR(XLOOKUP(L62,'2. DATA NL, VTBB'!C:C,'2. DATA NL, VTBB'!G:G),"")</f>
        <v>GC - II - 591 - A Thời GNH - Chuyên lác (Chai HD) - 1L - 20</v>
      </c>
      <c r="AT62" s="277"/>
    </row>
    <row r="63" ht="30.75" customHeight="1">
      <c r="A63" s="272">
        <f t="shared" si="13"/>
        <v>60</v>
      </c>
      <c r="B63" s="289">
        <v>46000.0</v>
      </c>
      <c r="C63" s="273">
        <v>46001.0</v>
      </c>
      <c r="D63" s="273">
        <f t="shared" si="19"/>
        <v>46003</v>
      </c>
      <c r="E63" s="289">
        <v>46001.0</v>
      </c>
      <c r="F63" s="274" t="s">
        <v>561</v>
      </c>
      <c r="G63" s="275" t="s">
        <v>580</v>
      </c>
      <c r="H63" s="274" t="s">
        <v>304</v>
      </c>
      <c r="I63" s="275" t="s">
        <v>726</v>
      </c>
      <c r="J63" s="279" t="s">
        <v>781</v>
      </c>
      <c r="K63" s="275" t="s">
        <v>728</v>
      </c>
      <c r="L63" s="277" t="s">
        <v>742</v>
      </c>
      <c r="M63" s="278" t="str">
        <f t="array" ref="M63">IFERROR(XLOOKUP(L63,'2. DATA NL, VTBB'!C:C,'2. DATA NL, VTBB'!D:D),"")</f>
        <v>PN - Chai HDPE tròn cổ 45 1Lít (110g) - Trắng (không ganty)</v>
      </c>
      <c r="N63" s="280"/>
      <c r="O63" s="280" t="str">
        <f t="array" ref="O63">IFERROR( XLOOKUP(L63,'2. DATA NL, VTBB'!C:C,'2. DATA NL, VTBB'!E:E),"")</f>
        <v>CA MAP 350SC</v>
      </c>
      <c r="P63" s="275" t="s">
        <v>565</v>
      </c>
      <c r="Q63" s="311"/>
      <c r="R63" s="291" t="s">
        <v>573</v>
      </c>
      <c r="S63" s="280"/>
      <c r="T63" s="280"/>
      <c r="U63" s="277"/>
      <c r="V63" s="283">
        <v>1000.0</v>
      </c>
      <c r="W63" s="275" t="s">
        <v>699</v>
      </c>
      <c r="X63" s="283">
        <v>1000.0</v>
      </c>
      <c r="Y63" s="274">
        <v>1050.0</v>
      </c>
      <c r="Z63" s="287">
        <v>4700.0</v>
      </c>
      <c r="AA63" s="285">
        <v>0.08</v>
      </c>
      <c r="AB63" s="282">
        <v>5329800.0</v>
      </c>
      <c r="AC63" s="277"/>
      <c r="AD63" s="289">
        <v>46000.0</v>
      </c>
      <c r="AE63" s="272">
        <v>2289.0</v>
      </c>
      <c r="AF63" s="277"/>
      <c r="AG63" s="277"/>
      <c r="AH63" s="294">
        <f>IFERROR(__xludf.DUMMYFUNCTION("IFERROR(INDEX( SORT(FILTER(
        {'1. DATA CHUNG'!$J$4:$J$105 , '1. DATA CHUNG'!$L$4:$L$105}, (TRIM('1. DATA CHUNG'!$I$4:$I$105)=TRIM(K63)) * IF(COUNTIFS('1. DATA CHUNG'!$I$4:$I$105,K63,'1. DATA CHUNG'!$M$4:$M$105,Q63), '1. DATA CHUNG'!$M$4:$M$105=Q63,"&amp;" 1) * ('1. DATA CHUNG'!$L$4:$L$105&lt;=TODAY()) ),   2, 0),  1, 1), 
  IFERROR( INDEX(FILTER('1. DATA CHUNG'!$J$4:$J$105, (TRIM('1. DATA CHUNG'!$I$4:$I$105)=TRIM(K63)) * IF(COUNTIFS('1. DATA CHUNG'!$I$4:$I$105,K63,'1. DATA CHUNG'!$M$4:$M$105,Q63), '1. DATA C"&amp;"HUNG'!$M$4:$M$105=Q63, 1) * ('1. DATA CHUNG'!$L$4:$L$105="""")), 1), ""Không tìm thấy"" ))"),7.0)</f>
        <v>7</v>
      </c>
      <c r="AI63" s="273">
        <f t="shared" si="2"/>
        <v>46007</v>
      </c>
      <c r="AJ63" s="287"/>
      <c r="AK63" s="286">
        <f t="shared" si="3"/>
        <v>0</v>
      </c>
      <c r="AL63" s="287">
        <f t="shared" si="4"/>
        <v>2</v>
      </c>
      <c r="AM63" s="287">
        <f t="shared" si="5"/>
        <v>6</v>
      </c>
      <c r="AN63" s="279">
        <f t="shared" si="6"/>
        <v>6</v>
      </c>
      <c r="AO63" s="295" t="str">
        <f t="shared" si="7"/>
        <v>12/2025</v>
      </c>
      <c r="AP63" s="277" t="str">
        <f t="array" ref="AP63">IFERROR(XLOOKUP(L63,'2. DATA NL, VTBB'!C:C,'2. DATA NL, VTBB'!F:F),"")</f>
        <v>HH0151</v>
      </c>
      <c r="AQ63" s="277" t="str">
        <f t="array" ref="AQ63">IF(OR(K63="Nhãn", K63="Nhãn thùng",K63="Nhãn Túi"), K63 &amp; " " &amp; IFERROR(XLOOKUP(L63, '2. DATA NL, VTBB'!C:C, '2. DATA NL, VTBB'!E:E), ""), "")</f>
        <v/>
      </c>
      <c r="AR63" s="278" t="str">
        <f t="array" ref="AR63">IFERROR(XLOOKUP(L63,'2. DATA NL, VTBB'!C:C,'2. DATA NL, VTBB'!G:G),"")</f>
        <v>IDA Global - I - 725 - Cá mập 350SC (chai HD) - 100ml - 100 ([btp],t,c)</v>
      </c>
      <c r="AS63" s="278" t="str">
        <f t="array" ref="AS63">IFERROR(XLOOKUP(L63,'2. DATA NL, VTBB'!C:C,'2. DATA NL, VTBB'!G:G),"")</f>
        <v>IDA Global - I - 725 - Cá mập 350SC (chai HD) - 100ml - 100 ([btp],t,c)</v>
      </c>
      <c r="AT63" s="277"/>
    </row>
    <row r="64" ht="30.75" customHeight="1">
      <c r="A64" s="272">
        <f t="shared" si="13"/>
        <v>61</v>
      </c>
      <c r="B64" s="289">
        <v>46000.0</v>
      </c>
      <c r="C64" s="273">
        <v>46001.0</v>
      </c>
      <c r="D64" s="273">
        <f t="shared" si="19"/>
        <v>46003</v>
      </c>
      <c r="E64" s="289">
        <v>46001.0</v>
      </c>
      <c r="F64" s="274" t="s">
        <v>561</v>
      </c>
      <c r="G64" s="275" t="s">
        <v>580</v>
      </c>
      <c r="H64" s="274" t="s">
        <v>304</v>
      </c>
      <c r="I64" s="275" t="s">
        <v>726</v>
      </c>
      <c r="J64" s="279" t="s">
        <v>781</v>
      </c>
      <c r="K64" s="275" t="s">
        <v>730</v>
      </c>
      <c r="L64" s="277" t="s">
        <v>782</v>
      </c>
      <c r="M64" s="278" t="str">
        <f t="array" ref="M64">IFERROR(XLOOKUP(L64,'2. DATA NL, VTBB'!C:C,'2. DATA NL, VTBB'!D:D),"")</f>
        <v>PN - Nắp HDPE cổ 45 Trắng (không ganty)</v>
      </c>
      <c r="N64" s="280"/>
      <c r="O64" s="280" t="str">
        <f t="array" ref="O64">IFERROR( XLOOKUP(L64,'2. DATA NL, VTBB'!C:C,'2. DATA NL, VTBB'!E:E),"")</f>
        <v>Vi lượng Quantity New</v>
      </c>
      <c r="P64" s="275" t="s">
        <v>565</v>
      </c>
      <c r="Q64" s="311"/>
      <c r="R64" s="291" t="s">
        <v>573</v>
      </c>
      <c r="S64" s="280"/>
      <c r="T64" s="280"/>
      <c r="U64" s="277"/>
      <c r="V64" s="283">
        <v>1000.0</v>
      </c>
      <c r="W64" s="275" t="s">
        <v>699</v>
      </c>
      <c r="X64" s="283">
        <v>1000.0</v>
      </c>
      <c r="Y64" s="274">
        <v>1050.0</v>
      </c>
      <c r="Z64" s="287">
        <v>900.0</v>
      </c>
      <c r="AA64" s="285">
        <v>0.08</v>
      </c>
      <c r="AB64" s="282">
        <v>1020600.0</v>
      </c>
      <c r="AC64" s="277"/>
      <c r="AD64" s="289">
        <v>46000.0</v>
      </c>
      <c r="AE64" s="272">
        <v>2289.0</v>
      </c>
      <c r="AF64" s="277"/>
      <c r="AG64" s="277"/>
      <c r="AH64" s="294">
        <f>IFERROR(__xludf.DUMMYFUNCTION("IFERROR(INDEX( SORT(FILTER(
        {'1. DATA CHUNG'!$J$4:$J$105 , '1. DATA CHUNG'!$L$4:$L$105}, (TRIM('1. DATA CHUNG'!$I$4:$I$105)=TRIM(K64)) * IF(COUNTIFS('1. DATA CHUNG'!$I$4:$I$105,K64,'1. DATA CHUNG'!$M$4:$M$105,Q64), '1. DATA CHUNG'!$M$4:$M$105=Q64,"&amp;" 1) * ('1. DATA CHUNG'!$L$4:$L$105&lt;=TODAY()) ),   2, 0),  1, 1), 
  IFERROR( INDEX(FILTER('1. DATA CHUNG'!$J$4:$J$105, (TRIM('1. DATA CHUNG'!$I$4:$I$105)=TRIM(K64)) * IF(COUNTIFS('1. DATA CHUNG'!$I$4:$I$105,K64,'1. DATA CHUNG'!$M$4:$M$105,Q64), '1. DATA C"&amp;"HUNG'!$M$4:$M$105=Q64, 1) * ('1. DATA CHUNG'!$L$4:$L$105="""")), 1), ""Không tìm thấy"" ))"),7.0)</f>
        <v>7</v>
      </c>
      <c r="AI64" s="273">
        <f t="shared" si="2"/>
        <v>46007</v>
      </c>
      <c r="AJ64" s="287"/>
      <c r="AK64" s="286">
        <f t="shared" si="3"/>
        <v>0</v>
      </c>
      <c r="AL64" s="287">
        <f t="shared" si="4"/>
        <v>2</v>
      </c>
      <c r="AM64" s="287">
        <f t="shared" si="5"/>
        <v>6</v>
      </c>
      <c r="AN64" s="279">
        <f t="shared" si="6"/>
        <v>6</v>
      </c>
      <c r="AO64" s="295" t="str">
        <f t="shared" si="7"/>
        <v>12/2025</v>
      </c>
      <c r="AP64" s="277" t="str">
        <f t="array" ref="AP64">IFERROR(XLOOKUP(L64,'2. DATA NL, VTBB'!C:C,'2. DATA NL, VTBB'!F:F),"")</f>
        <v>HH0112</v>
      </c>
      <c r="AQ64" s="277" t="str">
        <f t="array" ref="AQ64">IF(OR(K64="Nhãn", K64="Nhãn thùng",K64="Nhãn Túi"), K64 &amp; " " &amp; IFERROR(XLOOKUP(L64, '2. DATA NL, VTBB'!C:C, '2. DATA NL, VTBB'!E:E), ""), "")</f>
        <v/>
      </c>
      <c r="AR64" s="278" t="str">
        <f t="array" ref="AR64">IFERROR(XLOOKUP(L64,'2. DATA NL, VTBB'!C:C,'2. DATA NL, VTBB'!G:G),"")</f>
        <v>IDA Global - I - 726 - Vita Boost (chai HD)- 500 ml - 40 ([btp],t,c)</v>
      </c>
      <c r="AS64" s="278" t="str">
        <f t="array" ref="AS64">IFERROR(XLOOKUP(L64,'2. DATA NL, VTBB'!C:C,'2. DATA NL, VTBB'!G:G),"")</f>
        <v>IDA Global - I - 726 - Vita Boost (chai HD)- 500 ml - 40 ([btp],t,c)</v>
      </c>
      <c r="AT64" s="277"/>
    </row>
    <row r="65" ht="30.75" customHeight="1">
      <c r="A65" s="272">
        <f t="shared" si="13"/>
        <v>62</v>
      </c>
      <c r="B65" s="289">
        <v>46000.0</v>
      </c>
      <c r="C65" s="273">
        <v>46001.0</v>
      </c>
      <c r="D65" s="273">
        <f t="shared" si="19"/>
        <v>46003</v>
      </c>
      <c r="E65" s="289">
        <v>46001.0</v>
      </c>
      <c r="F65" s="274" t="s">
        <v>561</v>
      </c>
      <c r="G65" s="275" t="s">
        <v>580</v>
      </c>
      <c r="H65" s="274" t="s">
        <v>304</v>
      </c>
      <c r="I65" s="275" t="s">
        <v>726</v>
      </c>
      <c r="J65" s="279" t="s">
        <v>781</v>
      </c>
      <c r="K65" s="275" t="s">
        <v>728</v>
      </c>
      <c r="L65" s="277" t="s">
        <v>738</v>
      </c>
      <c r="M65" s="278" t="str">
        <f t="array" ref="M65">IFERROR(XLOOKUP(L65,'2. DATA NL, VTBB'!C:C,'2. DATA NL, VTBB'!D:D),"")</f>
        <v>Chai PET vuông cổ 35 450ml, 500ml (60g) trắng ASIA</v>
      </c>
      <c r="N65" s="280"/>
      <c r="O65" s="280" t="str">
        <f t="array" ref="O65">IFERROR( XLOOKUP(L65,'2. DATA NL, VTBB'!C:C,'2. DATA NL, VTBB'!E:E),"")</f>
        <v>AnnongManco 80WP</v>
      </c>
      <c r="P65" s="275" t="s">
        <v>565</v>
      </c>
      <c r="Q65" s="311"/>
      <c r="R65" s="291" t="s">
        <v>573</v>
      </c>
      <c r="S65" s="280"/>
      <c r="T65" s="280"/>
      <c r="U65" s="277"/>
      <c r="V65" s="283">
        <v>1000.0</v>
      </c>
      <c r="W65" s="275" t="s">
        <v>699</v>
      </c>
      <c r="X65" s="283">
        <v>1000.0</v>
      </c>
      <c r="Y65" s="274">
        <v>1120.0</v>
      </c>
      <c r="Z65" s="279">
        <v>2600.0</v>
      </c>
      <c r="AA65" s="285">
        <v>0.08</v>
      </c>
      <c r="AB65" s="282">
        <v>3144960.0</v>
      </c>
      <c r="AC65" s="277"/>
      <c r="AD65" s="289">
        <v>46000.0</v>
      </c>
      <c r="AE65" s="272">
        <v>2289.0</v>
      </c>
      <c r="AF65" s="277"/>
      <c r="AG65" s="277"/>
      <c r="AH65" s="294">
        <f>IFERROR(__xludf.DUMMYFUNCTION("IFERROR(INDEX( SORT(FILTER(
        {'1. DATA CHUNG'!$J$4:$J$105 , '1. DATA CHUNG'!$L$4:$L$105}, (TRIM('1. DATA CHUNG'!$I$4:$I$105)=TRIM(K65)) * IF(COUNTIFS('1. DATA CHUNG'!$I$4:$I$105,K65,'1. DATA CHUNG'!$M$4:$M$105,Q65), '1. DATA CHUNG'!$M$4:$M$105=Q65,"&amp;" 1) * ('1. DATA CHUNG'!$L$4:$L$105&lt;=TODAY()) ),   2, 0),  1, 1), 
  IFERROR( INDEX(FILTER('1. DATA CHUNG'!$J$4:$J$105, (TRIM('1. DATA CHUNG'!$I$4:$I$105)=TRIM(K65)) * IF(COUNTIFS('1. DATA CHUNG'!$I$4:$I$105,K65,'1. DATA CHUNG'!$M$4:$M$105,Q65), '1. DATA C"&amp;"HUNG'!$M$4:$M$105=Q65, 1) * ('1. DATA CHUNG'!$L$4:$L$105="""")), 1), ""Không tìm thấy"" ))"),7.0)</f>
        <v>7</v>
      </c>
      <c r="AI65" s="273">
        <f t="shared" si="2"/>
        <v>46007</v>
      </c>
      <c r="AJ65" s="287"/>
      <c r="AK65" s="286">
        <f t="shared" si="3"/>
        <v>0</v>
      </c>
      <c r="AL65" s="287">
        <f t="shared" si="4"/>
        <v>2</v>
      </c>
      <c r="AM65" s="287">
        <f t="shared" si="5"/>
        <v>6</v>
      </c>
      <c r="AN65" s="279">
        <f t="shared" si="6"/>
        <v>6</v>
      </c>
      <c r="AO65" s="295" t="str">
        <f t="shared" si="7"/>
        <v>12/2025</v>
      </c>
      <c r="AP65" s="277" t="str">
        <f t="array" ref="AP65">IFERROR(XLOOKUP(L65,'2. DATA NL, VTBB'!C:C,'2. DATA NL, VTBB'!F:F),"")</f>
        <v>HH0006</v>
      </c>
      <c r="AQ65" s="277" t="str">
        <f t="array" ref="AQ65">IF(OR(K65="Nhãn", K65="Nhãn thùng",K65="Nhãn Túi"), K65 &amp; " " &amp; IFERROR(XLOOKUP(L65, '2. DATA NL, VTBB'!C:C, '2. DATA NL, VTBB'!E:E), ""), "")</f>
        <v/>
      </c>
      <c r="AR65" s="278" t="str">
        <f t="array" ref="AR65">IFERROR(XLOOKUP(L65,'2. DATA NL, VTBB'!C:C,'2. DATA NL, VTBB'!G:G),"")</f>
        <v>GC - I - 207 - Mancozeb Xanh - Xanh Cam - 1kg - 20</v>
      </c>
      <c r="AS65" s="278" t="str">
        <f t="array" ref="AS65">IFERROR(XLOOKUP(L65,'2. DATA NL, VTBB'!C:C,'2. DATA NL, VTBB'!G:G),"")</f>
        <v>GC - I - 207 - Mancozeb Xanh - Xanh Cam - 1kg - 20</v>
      </c>
      <c r="AT65" s="277"/>
    </row>
    <row r="66" ht="30.75" customHeight="1">
      <c r="A66" s="272">
        <f t="shared" si="13"/>
        <v>63</v>
      </c>
      <c r="B66" s="289">
        <v>46000.0</v>
      </c>
      <c r="C66" s="273">
        <v>46001.0</v>
      </c>
      <c r="D66" s="273">
        <f t="shared" si="19"/>
        <v>46003</v>
      </c>
      <c r="E66" s="289">
        <v>46001.0</v>
      </c>
      <c r="F66" s="274" t="s">
        <v>561</v>
      </c>
      <c r="G66" s="275" t="s">
        <v>580</v>
      </c>
      <c r="H66" s="274" t="s">
        <v>304</v>
      </c>
      <c r="I66" s="275" t="s">
        <v>726</v>
      </c>
      <c r="J66" s="279" t="s">
        <v>781</v>
      </c>
      <c r="K66" s="275" t="s">
        <v>730</v>
      </c>
      <c r="L66" s="277" t="s">
        <v>783</v>
      </c>
      <c r="M66" s="278" t="str">
        <f t="array" ref="M66">IFERROR(XLOOKUP(L66,'2. DATA NL, VTBB'!C:C,'2. DATA NL, VTBB'!D:D),"")</f>
        <v>Nắp PET cổ 35 (4.3g) vàng</v>
      </c>
      <c r="N66" s="280"/>
      <c r="O66" s="280" t="str">
        <f t="array" ref="O66">IFERROR( XLOOKUP(L66,'2. DATA NL, VTBB'!C:C,'2. DATA NL, VTBB'!E:E),"")</f>
        <v/>
      </c>
      <c r="P66" s="275" t="s">
        <v>565</v>
      </c>
      <c r="Q66" s="311"/>
      <c r="R66" s="291" t="s">
        <v>573</v>
      </c>
      <c r="S66" s="280"/>
      <c r="T66" s="280"/>
      <c r="U66" s="277"/>
      <c r="V66" s="283">
        <v>1000.0</v>
      </c>
      <c r="W66" s="275" t="s">
        <v>699</v>
      </c>
      <c r="X66" s="283">
        <v>1000.0</v>
      </c>
      <c r="Y66" s="274">
        <v>1120.0</v>
      </c>
      <c r="Z66" s="279">
        <v>600.0</v>
      </c>
      <c r="AA66" s="285">
        <v>0.08</v>
      </c>
      <c r="AB66" s="282">
        <v>725760.0</v>
      </c>
      <c r="AC66" s="277"/>
      <c r="AD66" s="289">
        <v>46000.0</v>
      </c>
      <c r="AE66" s="272">
        <v>2289.0</v>
      </c>
      <c r="AF66" s="277"/>
      <c r="AG66" s="277"/>
      <c r="AH66" s="294">
        <f>IFERROR(__xludf.DUMMYFUNCTION("IFERROR(INDEX( SORT(FILTER(
        {'1. DATA CHUNG'!$J$4:$J$105 , '1. DATA CHUNG'!$L$4:$L$105}, (TRIM('1. DATA CHUNG'!$I$4:$I$105)=TRIM(K66)) * IF(COUNTIFS('1. DATA CHUNG'!$I$4:$I$105,K66,'1. DATA CHUNG'!$M$4:$M$105,Q66), '1. DATA CHUNG'!$M$4:$M$105=Q66,"&amp;" 1) * ('1. DATA CHUNG'!$L$4:$L$105&lt;=TODAY()) ),   2, 0),  1, 1), 
  IFERROR( INDEX(FILTER('1. DATA CHUNG'!$J$4:$J$105, (TRIM('1. DATA CHUNG'!$I$4:$I$105)=TRIM(K66)) * IF(COUNTIFS('1. DATA CHUNG'!$I$4:$I$105,K66,'1. DATA CHUNG'!$M$4:$M$105,Q66), '1. DATA C"&amp;"HUNG'!$M$4:$M$105=Q66, 1) * ('1. DATA CHUNG'!$L$4:$L$105="""")), 1), ""Không tìm thấy"" ))"),7.0)</f>
        <v>7</v>
      </c>
      <c r="AI66" s="273">
        <f t="shared" si="2"/>
        <v>46007</v>
      </c>
      <c r="AJ66" s="287"/>
      <c r="AK66" s="286">
        <f t="shared" si="3"/>
        <v>0</v>
      </c>
      <c r="AL66" s="287">
        <f t="shared" si="4"/>
        <v>2</v>
      </c>
      <c r="AM66" s="287">
        <f t="shared" si="5"/>
        <v>6</v>
      </c>
      <c r="AN66" s="279">
        <f t="shared" si="6"/>
        <v>6</v>
      </c>
      <c r="AO66" s="295" t="str">
        <f t="shared" si="7"/>
        <v>12/2025</v>
      </c>
      <c r="AP66" s="277" t="str">
        <f t="array" ref="AP66">IFERROR(XLOOKUP(L66,'2. DATA NL, VTBB'!C:C,'2. DATA NL, VTBB'!F:F),"")</f>
        <v>HH0001</v>
      </c>
      <c r="AQ66" s="277" t="str">
        <f t="array" ref="AQ66">IF(OR(K66="Nhãn", K66="Nhãn thùng",K66="Nhãn Túi"), K66 &amp; " " &amp; IFERROR(XLOOKUP(L66, '2. DATA NL, VTBB'!C:C, '2. DATA NL, VTBB'!E:E), ""), "")</f>
        <v/>
      </c>
      <c r="AR66" s="278" t="str">
        <f t="array" ref="AR66">IFERROR(XLOOKUP(L66,'2. DATA NL, VTBB'!C:C,'2. DATA NL, VTBB'!G:G),"")</f>
        <v/>
      </c>
      <c r="AS66" s="278" t="str">
        <f t="array" ref="AS66">IFERROR(XLOOKUP(L66,'2. DATA NL, VTBB'!C:C,'2. DATA NL, VTBB'!G:G),"")</f>
        <v/>
      </c>
      <c r="AT66" s="277"/>
    </row>
    <row r="67" ht="30.75" customHeight="1">
      <c r="A67" s="272">
        <f t="shared" si="13"/>
        <v>64</v>
      </c>
      <c r="B67" s="289">
        <v>46001.0</v>
      </c>
      <c r="C67" s="273">
        <v>46002.0</v>
      </c>
      <c r="D67" s="273">
        <f t="shared" si="19"/>
        <v>46004</v>
      </c>
      <c r="E67" s="289">
        <v>46003.0</v>
      </c>
      <c r="F67" s="274" t="s">
        <v>561</v>
      </c>
      <c r="G67" s="275" t="s">
        <v>562</v>
      </c>
      <c r="H67" s="274" t="s">
        <v>304</v>
      </c>
      <c r="I67" s="275" t="s">
        <v>744</v>
      </c>
      <c r="J67" s="279" t="s">
        <v>784</v>
      </c>
      <c r="K67" s="275" t="s">
        <v>728</v>
      </c>
      <c r="L67" s="277" t="s">
        <v>785</v>
      </c>
      <c r="M67" s="278" t="str">
        <f t="array" ref="M67">IFERROR(XLOOKUP(L67,'2. DATA NL, VTBB'!C:C,'2. DATA NL, VTBB'!D:D),"")</f>
        <v>Chai HDPE tròn cổ 50 500ml, vai vuông (60g) Gruratee - Trắng</v>
      </c>
      <c r="N67" s="280"/>
      <c r="O67" s="280" t="str">
        <f t="array" ref="O67">IFERROR( XLOOKUP(L67,'2. DATA NL, VTBB'!C:C,'2. DATA NL, VTBB'!E:E),"")</f>
        <v>Chitin 3.6EC</v>
      </c>
      <c r="P67" s="275" t="s">
        <v>565</v>
      </c>
      <c r="Q67" s="311"/>
      <c r="R67" s="290" t="s">
        <v>566</v>
      </c>
      <c r="S67" s="280"/>
      <c r="T67" s="280"/>
      <c r="U67" s="277"/>
      <c r="V67" s="283">
        <v>2000.0</v>
      </c>
      <c r="W67" s="275" t="s">
        <v>699</v>
      </c>
      <c r="X67" s="283">
        <v>2000.0</v>
      </c>
      <c r="Y67" s="274">
        <v>2040.0</v>
      </c>
      <c r="Z67" s="279">
        <v>3300.0</v>
      </c>
      <c r="AA67" s="285">
        <v>0.08</v>
      </c>
      <c r="AB67" s="282">
        <v>7270560.0</v>
      </c>
      <c r="AC67" s="277"/>
      <c r="AD67" s="289">
        <v>46001.0</v>
      </c>
      <c r="AE67" s="272">
        <v>3575.0</v>
      </c>
      <c r="AF67" s="277"/>
      <c r="AG67" s="277"/>
      <c r="AH67" s="294">
        <f>IFERROR(__xludf.DUMMYFUNCTION("IFERROR(INDEX( SORT(FILTER(
        {'1. DATA CHUNG'!$J$4:$J$105 , '1. DATA CHUNG'!$L$4:$L$105}, (TRIM('1. DATA CHUNG'!$I$4:$I$105)=TRIM(K67)) * IF(COUNTIFS('1. DATA CHUNG'!$I$4:$I$105,K67,'1. DATA CHUNG'!$M$4:$M$105,Q67), '1. DATA CHUNG'!$M$4:$M$105=Q67,"&amp;" 1) * ('1. DATA CHUNG'!$L$4:$L$105&lt;=TODAY()) ),   2, 0),  1, 1), 
  IFERROR( INDEX(FILTER('1. DATA CHUNG'!$J$4:$J$105, (TRIM('1. DATA CHUNG'!$I$4:$I$105)=TRIM(K67)) * IF(COUNTIFS('1. DATA CHUNG'!$I$4:$I$105,K67,'1. DATA CHUNG'!$M$4:$M$105,Q67), '1. DATA C"&amp;"HUNG'!$M$4:$M$105=Q67, 1) * ('1. DATA CHUNG'!$L$4:$L$105="""")), 1), ""Không tìm thấy"" ))"),7.0)</f>
        <v>7</v>
      </c>
      <c r="AI67" s="273">
        <f t="shared" si="2"/>
        <v>46008</v>
      </c>
      <c r="AJ67" s="287"/>
      <c r="AK67" s="286">
        <f t="shared" si="3"/>
        <v>0</v>
      </c>
      <c r="AL67" s="287">
        <f t="shared" si="4"/>
        <v>1</v>
      </c>
      <c r="AM67" s="287">
        <f t="shared" si="5"/>
        <v>5</v>
      </c>
      <c r="AN67" s="279">
        <f t="shared" si="6"/>
        <v>6</v>
      </c>
      <c r="AO67" s="295" t="str">
        <f t="shared" si="7"/>
        <v>12/2025</v>
      </c>
      <c r="AP67" s="277" t="str">
        <f t="array" ref="AP67">IFERROR(XLOOKUP(L67,'2. DATA NL, VTBB'!C:C,'2. DATA NL, VTBB'!F:F),"")</f>
        <v>HH0229</v>
      </c>
      <c r="AQ67" s="277" t="str">
        <f t="array" ref="AQ67">IF(OR(K67="Nhãn", K67="Nhãn thùng",K67="Nhãn Túi"), K67 &amp; " " &amp; IFERROR(XLOOKUP(L67, '2. DATA NL, VTBB'!C:C, '2. DATA NL, VTBB'!E:E), ""), "")</f>
        <v/>
      </c>
      <c r="AR67" s="278" t="str">
        <f t="array" ref="AR67">IFERROR(XLOOKUP(L67,'2. DATA NL, VTBB'!C:C,'2. DATA NL, VTBB'!G:G),"")</f>
        <v>LOT IDA Global - I - 870 - ĐL Nhựt Mẫn - Avermectin (Pet tròn) (nắp đỏ)(nước nâu đen) - 450ml - 40</v>
      </c>
      <c r="AS67" s="278" t="str">
        <f t="array" ref="AS67">IFERROR(XLOOKUP(L67,'2. DATA NL, VTBB'!C:C,'2. DATA NL, VTBB'!G:G),"")</f>
        <v>LOT IDA Global - I - 870 - ĐL Nhựt Mẫn - Avermectin (Pet tròn) (nắp đỏ)(nước nâu đen) - 450ml - 40</v>
      </c>
      <c r="AT67" s="277"/>
    </row>
    <row r="68" ht="30.75" customHeight="1">
      <c r="A68" s="272">
        <f t="shared" si="13"/>
        <v>65</v>
      </c>
      <c r="B68" s="289">
        <v>46001.0</v>
      </c>
      <c r="C68" s="273">
        <v>46002.0</v>
      </c>
      <c r="D68" s="273">
        <f t="shared" si="19"/>
        <v>46004</v>
      </c>
      <c r="E68" s="289">
        <v>46003.0</v>
      </c>
      <c r="F68" s="274" t="s">
        <v>561</v>
      </c>
      <c r="G68" s="275" t="s">
        <v>562</v>
      </c>
      <c r="H68" s="274" t="s">
        <v>304</v>
      </c>
      <c r="I68" s="275" t="s">
        <v>744</v>
      </c>
      <c r="J68" s="279" t="s">
        <v>784</v>
      </c>
      <c r="K68" s="275" t="s">
        <v>730</v>
      </c>
      <c r="L68" s="277" t="s">
        <v>754</v>
      </c>
      <c r="M68" s="278" t="str">
        <f t="array" ref="M68">IFERROR(XLOOKUP(L68,'2. DATA NL, VTBB'!C:C,'2. DATA NL, VTBB'!D:D),"")</f>
        <v>Nắp HDPE cổ 50 gruratee - Trắng</v>
      </c>
      <c r="N68" s="280"/>
      <c r="O68" s="280" t="str">
        <f t="array" ref="O68">IFERROR( XLOOKUP(L68,'2. DATA NL, VTBB'!C:C,'2. DATA NL, VTBB'!E:E),"")</f>
        <v>Chitin 3.6EC</v>
      </c>
      <c r="P68" s="275" t="s">
        <v>565</v>
      </c>
      <c r="Q68" s="311"/>
      <c r="R68" s="290" t="s">
        <v>566</v>
      </c>
      <c r="S68" s="280"/>
      <c r="T68" s="280"/>
      <c r="U68" s="277"/>
      <c r="V68" s="283">
        <v>2000.0</v>
      </c>
      <c r="W68" s="275" t="s">
        <v>699</v>
      </c>
      <c r="X68" s="283">
        <v>2000.0</v>
      </c>
      <c r="Y68" s="274">
        <v>2040.0</v>
      </c>
      <c r="Z68" s="279">
        <v>1200.0</v>
      </c>
      <c r="AA68" s="285">
        <v>0.08</v>
      </c>
      <c r="AB68" s="282">
        <v>2643840.0</v>
      </c>
      <c r="AC68" s="277"/>
      <c r="AD68" s="289">
        <v>46001.0</v>
      </c>
      <c r="AE68" s="272">
        <v>3575.0</v>
      </c>
      <c r="AF68" s="277"/>
      <c r="AG68" s="277"/>
      <c r="AH68" s="294">
        <f>IFERROR(__xludf.DUMMYFUNCTION("IFERROR(INDEX( SORT(FILTER(
        {'1. DATA CHUNG'!$J$4:$J$105 , '1. DATA CHUNG'!$L$4:$L$105}, (TRIM('1. DATA CHUNG'!$I$4:$I$105)=TRIM(K68)) * IF(COUNTIFS('1. DATA CHUNG'!$I$4:$I$105,K68,'1. DATA CHUNG'!$M$4:$M$105,Q68), '1. DATA CHUNG'!$M$4:$M$105=Q68,"&amp;" 1) * ('1. DATA CHUNG'!$L$4:$L$105&lt;=TODAY()) ),   2, 0),  1, 1), 
  IFERROR( INDEX(FILTER('1. DATA CHUNG'!$J$4:$J$105, (TRIM('1. DATA CHUNG'!$I$4:$I$105)=TRIM(K68)) * IF(COUNTIFS('1. DATA CHUNG'!$I$4:$I$105,K68,'1. DATA CHUNG'!$M$4:$M$105,Q68), '1. DATA C"&amp;"HUNG'!$M$4:$M$105=Q68, 1) * ('1. DATA CHUNG'!$L$4:$L$105="""")), 1), ""Không tìm thấy"" ))"),7.0)</f>
        <v>7</v>
      </c>
      <c r="AI68" s="273">
        <f t="shared" si="2"/>
        <v>46008</v>
      </c>
      <c r="AJ68" s="287"/>
      <c r="AK68" s="286">
        <f t="shared" si="3"/>
        <v>0</v>
      </c>
      <c r="AL68" s="287">
        <f t="shared" si="4"/>
        <v>1</v>
      </c>
      <c r="AM68" s="287">
        <f t="shared" si="5"/>
        <v>5</v>
      </c>
      <c r="AN68" s="279">
        <f t="shared" si="6"/>
        <v>6</v>
      </c>
      <c r="AO68" s="295" t="str">
        <f t="shared" si="7"/>
        <v>12/2025</v>
      </c>
      <c r="AP68" s="277" t="str">
        <f t="array" ref="AP68">IFERROR(XLOOKUP(L68,'2. DATA NL, VTBB'!C:C,'2. DATA NL, VTBB'!F:F),"")</f>
        <v>HH0153</v>
      </c>
      <c r="AQ68" s="277" t="str">
        <f t="array" ref="AQ68">IF(OR(K68="Nhãn", K68="Nhãn thùng",K68="Nhãn Túi"), K68 &amp; " " &amp; IFERROR(XLOOKUP(L68, '2. DATA NL, VTBB'!C:C, '2. DATA NL, VTBB'!E:E), ""), "")</f>
        <v/>
      </c>
      <c r="AR68" s="278" t="str">
        <f t="array" ref="AR68">IFERROR(XLOOKUP(L68,'2. DATA NL, VTBB'!C:C,'2. DATA NL, VTBB'!G:G),"")</f>
        <v>LOT IDA Global - I - 870 - ĐL Nhựt Mẫn - Avermectin (Pet tròn) (nắp đỏ)(nước nâu đen) - 450ml - 40</v>
      </c>
      <c r="AS68" s="278" t="str">
        <f t="array" ref="AS68">IFERROR(XLOOKUP(L68,'2. DATA NL, VTBB'!C:C,'2. DATA NL, VTBB'!G:G),"")</f>
        <v>LOT IDA Global - I - 870 - ĐL Nhựt Mẫn - Avermectin (Pet tròn) (nắp đỏ)(nước nâu đen) - 450ml - 40</v>
      </c>
      <c r="AT68" s="277"/>
    </row>
    <row r="69" ht="30.75" customHeight="1">
      <c r="A69" s="272">
        <f t="shared" si="13"/>
        <v>66</v>
      </c>
      <c r="B69" s="289">
        <v>46001.0</v>
      </c>
      <c r="C69" s="273">
        <v>46002.0</v>
      </c>
      <c r="D69" s="273">
        <f t="shared" si="19"/>
        <v>46004</v>
      </c>
      <c r="E69" s="289">
        <v>46003.0</v>
      </c>
      <c r="F69" s="274" t="s">
        <v>561</v>
      </c>
      <c r="G69" s="275" t="s">
        <v>562</v>
      </c>
      <c r="H69" s="274" t="s">
        <v>304</v>
      </c>
      <c r="I69" s="275" t="s">
        <v>726</v>
      </c>
      <c r="J69" s="279" t="s">
        <v>786</v>
      </c>
      <c r="K69" s="275" t="s">
        <v>728</v>
      </c>
      <c r="L69" s="277" t="s">
        <v>763</v>
      </c>
      <c r="M69" s="278" t="str">
        <f t="array" ref="M69">IFERROR(XLOOKUP(L69,'2. DATA NL, VTBB'!C:C,'2. DATA NL, VTBB'!D:D),"")</f>
        <v>Chai HDPE tròn 1 Lít cổ 50 (120gr) - Trắng</v>
      </c>
      <c r="N69" s="280"/>
      <c r="O69" s="280" t="str">
        <f t="array" ref="O69">IFERROR( XLOOKUP(L69,'2. DATA NL, VTBB'!C:C,'2. DATA NL, VTBB'!E:E),"")</f>
        <v>Prima 04</v>
      </c>
      <c r="P69" s="275" t="s">
        <v>565</v>
      </c>
      <c r="Q69" s="311"/>
      <c r="R69" s="290" t="s">
        <v>566</v>
      </c>
      <c r="S69" s="280"/>
      <c r="T69" s="280"/>
      <c r="U69" s="277"/>
      <c r="V69" s="283">
        <v>6000.0</v>
      </c>
      <c r="W69" s="275" t="s">
        <v>699</v>
      </c>
      <c r="X69" s="283">
        <v>6000.0</v>
      </c>
      <c r="Y69" s="274">
        <v>6000.0</v>
      </c>
      <c r="Z69" s="287">
        <v>5000.0</v>
      </c>
      <c r="AA69" s="285">
        <v>0.08</v>
      </c>
      <c r="AB69" s="282">
        <v>3.24E7</v>
      </c>
      <c r="AC69" s="277"/>
      <c r="AD69" s="289">
        <v>46001.0</v>
      </c>
      <c r="AE69" s="272">
        <v>2286.0</v>
      </c>
      <c r="AF69" s="277"/>
      <c r="AG69" s="277"/>
      <c r="AH69" s="294">
        <f>IFERROR(__xludf.DUMMYFUNCTION("IFERROR(INDEX( SORT(FILTER(
        {'1. DATA CHUNG'!$J$4:$J$105 , '1. DATA CHUNG'!$L$4:$L$105}, (TRIM('1. DATA CHUNG'!$I$4:$I$105)=TRIM(K69)) * IF(COUNTIFS('1. DATA CHUNG'!$I$4:$I$105,K69,'1. DATA CHUNG'!$M$4:$M$105,Q69), '1. DATA CHUNG'!$M$4:$M$105=Q69,"&amp;" 1) * ('1. DATA CHUNG'!$L$4:$L$105&lt;=TODAY()) ),   2, 0),  1, 1), 
  IFERROR( INDEX(FILTER('1. DATA CHUNG'!$J$4:$J$105, (TRIM('1. DATA CHUNG'!$I$4:$I$105)=TRIM(K69)) * IF(COUNTIFS('1. DATA CHUNG'!$I$4:$I$105,K69,'1. DATA CHUNG'!$M$4:$M$105,Q69), '1. DATA C"&amp;"HUNG'!$M$4:$M$105=Q69, 1) * ('1. DATA CHUNG'!$L$4:$L$105="""")), 1), ""Không tìm thấy"" ))"),7.0)</f>
        <v>7</v>
      </c>
      <c r="AI69" s="273">
        <f t="shared" si="2"/>
        <v>46008</v>
      </c>
      <c r="AJ69" s="287"/>
      <c r="AK69" s="286">
        <f t="shared" si="3"/>
        <v>0</v>
      </c>
      <c r="AL69" s="287">
        <f t="shared" si="4"/>
        <v>1</v>
      </c>
      <c r="AM69" s="287">
        <f t="shared" si="5"/>
        <v>5</v>
      </c>
      <c r="AN69" s="279">
        <f t="shared" si="6"/>
        <v>6</v>
      </c>
      <c r="AO69" s="295" t="str">
        <f t="shared" si="7"/>
        <v>12/2025</v>
      </c>
      <c r="AP69" s="277" t="str">
        <f t="array" ref="AP69">IFERROR(XLOOKUP(L69,'2. DATA NL, VTBB'!C:C,'2. DATA NL, VTBB'!F:F),"")</f>
        <v>HH0116</v>
      </c>
      <c r="AQ69" s="277" t="str">
        <f t="array" ref="AQ69">IF(OR(K69="Nhãn", K69="Nhãn thùng",K69="Nhãn Túi"), K69 &amp; " " &amp; IFERROR(XLOOKUP(L69, '2. DATA NL, VTBB'!C:C, '2. DATA NL, VTBB'!E:E), ""), "")</f>
        <v/>
      </c>
      <c r="AR69" s="278" t="str">
        <f t="array" ref="AR69">IFERROR(XLOOKUP(L69,'2. DATA NL, VTBB'!C:C,'2. DATA NL, VTBB'!G:G),"")</f>
        <v>GC - II - 666 - AU - Gel Humiix - 20 kg - 1 ([btp],x,n)</v>
      </c>
      <c r="AS69" s="278" t="str">
        <f t="array" ref="AS69">IFERROR(XLOOKUP(L69,'2. DATA NL, VTBB'!C:C,'2. DATA NL, VTBB'!G:G),"")</f>
        <v>GC - II - 666 - AU - Gel Humiix - 20 kg - 1 ([btp],x,n)</v>
      </c>
      <c r="AT69" s="277"/>
    </row>
    <row r="70" ht="30.75" customHeight="1">
      <c r="A70" s="272">
        <f t="shared" si="13"/>
        <v>67</v>
      </c>
      <c r="B70" s="289">
        <v>46001.0</v>
      </c>
      <c r="C70" s="273">
        <v>46002.0</v>
      </c>
      <c r="D70" s="273">
        <f t="shared" si="19"/>
        <v>46004</v>
      </c>
      <c r="E70" s="289">
        <v>46003.0</v>
      </c>
      <c r="F70" s="274" t="s">
        <v>561</v>
      </c>
      <c r="G70" s="275" t="s">
        <v>562</v>
      </c>
      <c r="H70" s="274" t="s">
        <v>304</v>
      </c>
      <c r="I70" s="275" t="s">
        <v>726</v>
      </c>
      <c r="J70" s="279" t="s">
        <v>786</v>
      </c>
      <c r="K70" s="275" t="s">
        <v>730</v>
      </c>
      <c r="L70" s="277" t="s">
        <v>764</v>
      </c>
      <c r="M70" s="278" t="str">
        <f t="array" ref="M70">IFERROR(XLOOKUP(L70,'2. DATA NL, VTBB'!C:C,'2. DATA NL, VTBB'!D:D),"")</f>
        <v>Nắp HDPE có bèo cổ 50 (10gr) - Trắng</v>
      </c>
      <c r="N70" s="280"/>
      <c r="O70" s="280" t="str">
        <f t="array" ref="O70">IFERROR( XLOOKUP(L70,'2. DATA NL, VTBB'!C:C,'2. DATA NL, VTBB'!E:E),"")</f>
        <v>Vi lượng Quantity New</v>
      </c>
      <c r="P70" s="275" t="s">
        <v>565</v>
      </c>
      <c r="Q70" s="311"/>
      <c r="R70" s="290" t="s">
        <v>566</v>
      </c>
      <c r="S70" s="280"/>
      <c r="T70" s="280"/>
      <c r="U70" s="277"/>
      <c r="V70" s="283">
        <v>6000.0</v>
      </c>
      <c r="W70" s="275" t="s">
        <v>699</v>
      </c>
      <c r="X70" s="283">
        <v>6000.0</v>
      </c>
      <c r="Y70" s="274">
        <v>6000.0</v>
      </c>
      <c r="Z70" s="287">
        <v>900.0</v>
      </c>
      <c r="AA70" s="285">
        <v>0.08</v>
      </c>
      <c r="AB70" s="282">
        <v>5832000.0</v>
      </c>
      <c r="AC70" s="277"/>
      <c r="AD70" s="289">
        <v>46001.0</v>
      </c>
      <c r="AE70" s="272">
        <v>2286.0</v>
      </c>
      <c r="AF70" s="277"/>
      <c r="AG70" s="277"/>
      <c r="AH70" s="294">
        <f>IFERROR(__xludf.DUMMYFUNCTION("IFERROR(INDEX( SORT(FILTER(
        {'1. DATA CHUNG'!$J$4:$J$105 , '1. DATA CHUNG'!$L$4:$L$105}, (TRIM('1. DATA CHUNG'!$I$4:$I$105)=TRIM(K70)) * IF(COUNTIFS('1. DATA CHUNG'!$I$4:$I$105,K70,'1. DATA CHUNG'!$M$4:$M$105,Q70), '1. DATA CHUNG'!$M$4:$M$105=Q70,"&amp;" 1) * ('1. DATA CHUNG'!$L$4:$L$105&lt;=TODAY()) ),   2, 0),  1, 1), 
  IFERROR( INDEX(FILTER('1. DATA CHUNG'!$J$4:$J$105, (TRIM('1. DATA CHUNG'!$I$4:$I$105)=TRIM(K70)) * IF(COUNTIFS('1. DATA CHUNG'!$I$4:$I$105,K70,'1. DATA CHUNG'!$M$4:$M$105,Q70), '1. DATA C"&amp;"HUNG'!$M$4:$M$105=Q70, 1) * ('1. DATA CHUNG'!$L$4:$L$105="""")), 1), ""Không tìm thấy"" ))"),7.0)</f>
        <v>7</v>
      </c>
      <c r="AI70" s="273">
        <f t="shared" si="2"/>
        <v>46008</v>
      </c>
      <c r="AJ70" s="287"/>
      <c r="AK70" s="286">
        <f t="shared" si="3"/>
        <v>0</v>
      </c>
      <c r="AL70" s="287">
        <f t="shared" si="4"/>
        <v>1</v>
      </c>
      <c r="AM70" s="287">
        <f t="shared" si="5"/>
        <v>5</v>
      </c>
      <c r="AN70" s="279">
        <f t="shared" si="6"/>
        <v>6</v>
      </c>
      <c r="AO70" s="295" t="str">
        <f t="shared" si="7"/>
        <v>12/2025</v>
      </c>
      <c r="AP70" s="277" t="str">
        <f t="array" ref="AP70">IFERROR(XLOOKUP(L70,'2. DATA NL, VTBB'!C:C,'2. DATA NL, VTBB'!F:F),"")</f>
        <v>HH0070</v>
      </c>
      <c r="AQ70" s="277" t="str">
        <f t="array" ref="AQ70">IF(OR(K70="Nhãn", K70="Nhãn thùng",K70="Nhãn Túi"), K70 &amp; " " &amp; IFERROR(XLOOKUP(L70, '2. DATA NL, VTBB'!C:C, '2. DATA NL, VTBB'!E:E), ""), "")</f>
        <v/>
      </c>
      <c r="AR70" s="278" t="str">
        <f t="array" ref="AR70">IFERROR(XLOOKUP(L70,'2. DATA NL, VTBB'!C:C,'2. DATA NL, VTBB'!G:G),"")</f>
        <v>GC - II - 591 - A Thời GNH - Chuyên lác (Chai HD) - 1L - 20</v>
      </c>
      <c r="AS70" s="278" t="str">
        <f t="array" ref="AS70">IFERROR(XLOOKUP(L70,'2. DATA NL, VTBB'!C:C,'2. DATA NL, VTBB'!G:G),"")</f>
        <v>GC - II - 591 - A Thời GNH - Chuyên lác (Chai HD) - 1L - 20</v>
      </c>
      <c r="AT70" s="277"/>
    </row>
    <row r="71" ht="30.75" customHeight="1">
      <c r="A71" s="272">
        <f t="shared" si="13"/>
        <v>68</v>
      </c>
      <c r="B71" s="289">
        <v>46001.0</v>
      </c>
      <c r="C71" s="273">
        <v>46002.0</v>
      </c>
      <c r="D71" s="273">
        <f t="shared" si="19"/>
        <v>46004</v>
      </c>
      <c r="E71" s="289">
        <v>46009.0</v>
      </c>
      <c r="F71" s="274" t="s">
        <v>561</v>
      </c>
      <c r="G71" s="275" t="s">
        <v>562</v>
      </c>
      <c r="H71" s="274" t="s">
        <v>304</v>
      </c>
      <c r="I71" s="275" t="s">
        <v>726</v>
      </c>
      <c r="J71" s="279" t="s">
        <v>787</v>
      </c>
      <c r="K71" s="275" t="s">
        <v>728</v>
      </c>
      <c r="L71" s="277" t="s">
        <v>788</v>
      </c>
      <c r="M71" s="278" t="str">
        <f t="array" ref="M71">IFERROR(XLOOKUP(L71,'2. DATA NL, VTBB'!C:C,'2. DATA NL, VTBB'!D:D),"")</f>
        <v>PN - Chai HDPE tròn cổ 63 500ml  (80g)  - Trắng</v>
      </c>
      <c r="N71" s="280"/>
      <c r="O71" s="280" t="str">
        <f t="array" ref="O71">IFERROR( XLOOKUP(L71,'2. DATA NL, VTBB'!C:C,'2. DATA NL, VTBB'!E:E),"")</f>
        <v>Creek 2.1EC</v>
      </c>
      <c r="P71" s="275" t="s">
        <v>565</v>
      </c>
      <c r="Q71" s="311"/>
      <c r="R71" s="290" t="s">
        <v>566</v>
      </c>
      <c r="S71" s="280"/>
      <c r="T71" s="280"/>
      <c r="U71" s="277"/>
      <c r="V71" s="283">
        <v>2000.0</v>
      </c>
      <c r="W71" s="275" t="s">
        <v>699</v>
      </c>
      <c r="X71" s="283">
        <v>2000.0</v>
      </c>
      <c r="Y71" s="274">
        <v>2016.0</v>
      </c>
      <c r="Z71" s="279">
        <v>3100.0</v>
      </c>
      <c r="AA71" s="285">
        <v>0.08</v>
      </c>
      <c r="AB71" s="282">
        <v>6749568.0</v>
      </c>
      <c r="AC71" s="277"/>
      <c r="AD71" s="289">
        <v>46001.0</v>
      </c>
      <c r="AE71" s="272">
        <v>2344.0</v>
      </c>
      <c r="AF71" s="277"/>
      <c r="AG71" s="277"/>
      <c r="AH71" s="294">
        <f>IFERROR(__xludf.DUMMYFUNCTION("IFERROR(INDEX( SORT(FILTER(
        {'1. DATA CHUNG'!$J$4:$J$105 , '1. DATA CHUNG'!$L$4:$L$105}, (TRIM('1. DATA CHUNG'!$I$4:$I$105)=TRIM(K71)) * IF(COUNTIFS('1. DATA CHUNG'!$I$4:$I$105,K71,'1. DATA CHUNG'!$M$4:$M$105,Q71), '1. DATA CHUNG'!$M$4:$M$105=Q71,"&amp;" 1) * ('1. DATA CHUNG'!$L$4:$L$105&lt;=TODAY()) ),   2, 0),  1, 1), 
  IFERROR( INDEX(FILTER('1. DATA CHUNG'!$J$4:$J$105, (TRIM('1. DATA CHUNG'!$I$4:$I$105)=TRIM(K71)) * IF(COUNTIFS('1. DATA CHUNG'!$I$4:$I$105,K71,'1. DATA CHUNG'!$M$4:$M$105,Q71), '1. DATA C"&amp;"HUNG'!$M$4:$M$105=Q71, 1) * ('1. DATA CHUNG'!$L$4:$L$105="""")), 1), ""Không tìm thấy"" ))"),7.0)</f>
        <v>7</v>
      </c>
      <c r="AI71" s="273">
        <f t="shared" si="2"/>
        <v>46008</v>
      </c>
      <c r="AJ71" s="287"/>
      <c r="AK71" s="286">
        <f t="shared" si="3"/>
        <v>0</v>
      </c>
      <c r="AL71" s="287">
        <f t="shared" si="4"/>
        <v>-5</v>
      </c>
      <c r="AM71" s="287">
        <f t="shared" si="5"/>
        <v>-1</v>
      </c>
      <c r="AN71" s="279">
        <f t="shared" si="6"/>
        <v>6</v>
      </c>
      <c r="AO71" s="295" t="str">
        <f t="shared" si="7"/>
        <v>12/2025</v>
      </c>
      <c r="AP71" s="277" t="str">
        <f t="array" ref="AP71">IFERROR(XLOOKUP(L71,'2. DATA NL, VTBB'!C:C,'2. DATA NL, VTBB'!F:F),"")</f>
        <v>HH0212</v>
      </c>
      <c r="AQ71" s="277" t="str">
        <f t="array" ref="AQ71">IF(OR(K71="Nhãn", K71="Nhãn thùng",K71="Nhãn Túi"), K71 &amp; " " &amp; IFERROR(XLOOKUP(L71, '2. DATA NL, VTBB'!C:C, '2. DATA NL, VTBB'!E:E), ""), "")</f>
        <v/>
      </c>
      <c r="AR71" s="278" t="str">
        <f t="array" ref="AR71">IFERROR(XLOOKUP(L71,'2. DATA NL, VTBB'!C:C,'2. DATA NL, VTBB'!G:G),"")</f>
        <v>GC - IV - 833 - Huy Phát - HP Pro Max (nước đỏ)(Pet Vuông)- 400ml - 40</v>
      </c>
      <c r="AS71" s="278" t="str">
        <f t="array" ref="AS71">IFERROR(XLOOKUP(L71,'2. DATA NL, VTBB'!C:C,'2. DATA NL, VTBB'!G:G),"")</f>
        <v>GC - IV - 833 - Huy Phát - HP Pro Max (nước đỏ)(Pet Vuông)- 400ml - 40</v>
      </c>
      <c r="AT71" s="277"/>
    </row>
    <row r="72" ht="30.75" customHeight="1">
      <c r="A72" s="272">
        <f t="shared" si="13"/>
        <v>69</v>
      </c>
      <c r="B72" s="289">
        <v>46001.0</v>
      </c>
      <c r="C72" s="273">
        <v>46002.0</v>
      </c>
      <c r="D72" s="273">
        <f t="shared" si="19"/>
        <v>46004</v>
      </c>
      <c r="E72" s="289">
        <v>46009.0</v>
      </c>
      <c r="F72" s="274" t="s">
        <v>561</v>
      </c>
      <c r="G72" s="275" t="s">
        <v>562</v>
      </c>
      <c r="H72" s="274" t="s">
        <v>304</v>
      </c>
      <c r="I72" s="275" t="s">
        <v>726</v>
      </c>
      <c r="J72" s="279" t="s">
        <v>787</v>
      </c>
      <c r="K72" s="275" t="s">
        <v>730</v>
      </c>
      <c r="L72" s="277" t="s">
        <v>789</v>
      </c>
      <c r="M72" s="278" t="str">
        <f t="array" ref="M72">IFERROR(XLOOKUP(L72,'2. DATA NL, VTBB'!C:C,'2. DATA NL, VTBB'!D:D),"")</f>
        <v>PN - Nắp HDPE cổ 63 có gurantee  - Trắng</v>
      </c>
      <c r="N72" s="280"/>
      <c r="O72" s="280" t="str">
        <f t="array" ref="O72">IFERROR( XLOOKUP(L72,'2. DATA NL, VTBB'!C:C,'2. DATA NL, VTBB'!E:E),"")</f>
        <v>Creek 2.1EC</v>
      </c>
      <c r="P72" s="275" t="s">
        <v>565</v>
      </c>
      <c r="Q72" s="311"/>
      <c r="R72" s="290" t="s">
        <v>566</v>
      </c>
      <c r="S72" s="280"/>
      <c r="T72" s="280"/>
      <c r="U72" s="277"/>
      <c r="V72" s="283">
        <v>2000.0</v>
      </c>
      <c r="W72" s="275" t="s">
        <v>699</v>
      </c>
      <c r="X72" s="283">
        <v>2000.0</v>
      </c>
      <c r="Y72" s="274">
        <v>2016.0</v>
      </c>
      <c r="Z72" s="279">
        <v>1200.0</v>
      </c>
      <c r="AA72" s="285">
        <v>0.08</v>
      </c>
      <c r="AB72" s="282">
        <v>2612736.0</v>
      </c>
      <c r="AC72" s="277"/>
      <c r="AD72" s="289">
        <v>46001.0</v>
      </c>
      <c r="AE72" s="272">
        <v>2344.0</v>
      </c>
      <c r="AF72" s="277"/>
      <c r="AG72" s="277"/>
      <c r="AH72" s="294">
        <f>IFERROR(__xludf.DUMMYFUNCTION("IFERROR(INDEX( SORT(FILTER(
        {'1. DATA CHUNG'!$J$4:$J$105 , '1. DATA CHUNG'!$L$4:$L$105}, (TRIM('1. DATA CHUNG'!$I$4:$I$105)=TRIM(K72)) * IF(COUNTIFS('1. DATA CHUNG'!$I$4:$I$105,K72,'1. DATA CHUNG'!$M$4:$M$105,Q72), '1. DATA CHUNG'!$M$4:$M$105=Q72,"&amp;" 1) * ('1. DATA CHUNG'!$L$4:$L$105&lt;=TODAY()) ),   2, 0),  1, 1), 
  IFERROR( INDEX(FILTER('1. DATA CHUNG'!$J$4:$J$105, (TRIM('1. DATA CHUNG'!$I$4:$I$105)=TRIM(K72)) * IF(COUNTIFS('1. DATA CHUNG'!$I$4:$I$105,K72,'1. DATA CHUNG'!$M$4:$M$105,Q72), '1. DATA C"&amp;"HUNG'!$M$4:$M$105=Q72, 1) * ('1. DATA CHUNG'!$L$4:$L$105="""")), 1), ""Không tìm thấy"" ))"),7.0)</f>
        <v>7</v>
      </c>
      <c r="AI72" s="273">
        <f t="shared" si="2"/>
        <v>46008</v>
      </c>
      <c r="AJ72" s="287"/>
      <c r="AK72" s="286">
        <f t="shared" si="3"/>
        <v>0</v>
      </c>
      <c r="AL72" s="287">
        <f t="shared" si="4"/>
        <v>-5</v>
      </c>
      <c r="AM72" s="287">
        <f t="shared" si="5"/>
        <v>-1</v>
      </c>
      <c r="AN72" s="279">
        <f t="shared" si="6"/>
        <v>6</v>
      </c>
      <c r="AO72" s="295" t="str">
        <f t="shared" si="7"/>
        <v>12/2025</v>
      </c>
      <c r="AP72" s="277" t="str">
        <f t="array" ref="AP72">IFERROR(XLOOKUP(L72,'2. DATA NL, VTBB'!C:C,'2. DATA NL, VTBB'!F:F),"")</f>
        <v>HH0136</v>
      </c>
      <c r="AQ72" s="277" t="str">
        <f t="array" ref="AQ72">IF(OR(K72="Nhãn", K72="Nhãn thùng",K72="Nhãn Túi"), K72 &amp; " " &amp; IFERROR(XLOOKUP(L72, '2. DATA NL, VTBB'!C:C, '2. DATA NL, VTBB'!E:E), ""), "")</f>
        <v/>
      </c>
      <c r="AR72" s="278" t="str">
        <f t="array" ref="AR72">IFERROR(XLOOKUP(L72,'2. DATA NL, VTBB'!C:C,'2. DATA NL, VTBB'!G:G),"")</f>
        <v>GC - IV - 833 - Huy Phát - HP Pro Max (nước đỏ)(Pet Vuông)- 400ml - 40</v>
      </c>
      <c r="AS72" s="278" t="str">
        <f t="array" ref="AS72">IFERROR(XLOOKUP(L72,'2. DATA NL, VTBB'!C:C,'2. DATA NL, VTBB'!G:G),"")</f>
        <v>GC - IV - 833 - Huy Phát - HP Pro Max (nước đỏ)(Pet Vuông)- 400ml - 40</v>
      </c>
      <c r="AT72" s="277"/>
    </row>
    <row r="73" ht="30.75" customHeight="1">
      <c r="A73" s="272">
        <f t="shared" si="13"/>
        <v>70</v>
      </c>
      <c r="B73" s="289">
        <v>46001.0</v>
      </c>
      <c r="C73" s="289">
        <v>46008.0</v>
      </c>
      <c r="D73" s="289">
        <f t="shared" ref="D73:D76" si="20">B73+15</f>
        <v>46016</v>
      </c>
      <c r="E73" s="289">
        <f t="shared" ref="E73:E74" si="21">B73+10</f>
        <v>46011</v>
      </c>
      <c r="F73" s="274" t="s">
        <v>561</v>
      </c>
      <c r="G73" s="275" t="s">
        <v>580</v>
      </c>
      <c r="H73" s="274" t="s">
        <v>304</v>
      </c>
      <c r="I73" s="275" t="s">
        <v>305</v>
      </c>
      <c r="J73" s="279" t="s">
        <v>790</v>
      </c>
      <c r="K73" s="275" t="s">
        <v>301</v>
      </c>
      <c r="L73" s="277" t="s">
        <v>791</v>
      </c>
      <c r="M73" s="278" t="str">
        <f t="array" ref="M73">IFERROR(XLOOKUP(L73,'2. DATA NL, VTBB'!C:C,'2. DATA NL, VTBB'!D:D),"")</f>
        <v>Thùng IDA 100gr x 100, 300 gói (44.5x37.5x21cm) - Trắng xanh lá</v>
      </c>
      <c r="N73" s="280"/>
      <c r="O73" s="280" t="str">
        <f t="array" ref="O73">IFERROR( XLOOKUP(L73,'2. DATA NL, VTBB'!C:C,'2. DATA NL, VTBB'!E:E),"")</f>
        <v>THALONIL 75WP</v>
      </c>
      <c r="P73" s="275" t="s">
        <v>565</v>
      </c>
      <c r="Q73" s="311"/>
      <c r="R73" s="291" t="s">
        <v>584</v>
      </c>
      <c r="S73" s="280"/>
      <c r="T73" s="280"/>
      <c r="U73" s="277"/>
      <c r="V73" s="283">
        <v>200.0</v>
      </c>
      <c r="W73" s="275" t="s">
        <v>699</v>
      </c>
      <c r="X73" s="283">
        <v>200.0</v>
      </c>
      <c r="Y73" s="274">
        <v>200.0</v>
      </c>
      <c r="Z73" s="279">
        <v>18800.0</v>
      </c>
      <c r="AA73" s="285">
        <v>0.08</v>
      </c>
      <c r="AB73" s="282">
        <v>4060800.0</v>
      </c>
      <c r="AC73" s="277"/>
      <c r="AD73" s="289">
        <v>46001.0</v>
      </c>
      <c r="AE73" s="312"/>
      <c r="AF73" s="277"/>
      <c r="AG73" s="277"/>
      <c r="AH73" s="294">
        <f>IFERROR(__xludf.DUMMYFUNCTION("IFERROR(INDEX( SORT(FILTER(
        {'1. DATA CHUNG'!$J$4:$J$105 , '1. DATA CHUNG'!$L$4:$L$105}, (TRIM('1. DATA CHUNG'!$I$4:$I$105)=TRIM(K73)) * IF(COUNTIFS('1. DATA CHUNG'!$I$4:$I$105,K73,'1. DATA CHUNG'!$M$4:$M$105,Q73), '1. DATA CHUNG'!$M$4:$M$105=Q73,"&amp;" 1) * ('1. DATA CHUNG'!$L$4:$L$105&lt;=TODAY()) ),   2, 0),  1, 1), 
  IFERROR( INDEX(FILTER('1. DATA CHUNG'!$J$4:$J$105, (TRIM('1. DATA CHUNG'!$I$4:$I$105)=TRIM(K73)) * IF(COUNTIFS('1. DATA CHUNG'!$I$4:$I$105,K73,'1. DATA CHUNG'!$M$4:$M$105,Q73), '1. DATA C"&amp;"HUNG'!$M$4:$M$105=Q73, 1) * ('1. DATA CHUNG'!$L$4:$L$105="""")), 1), ""Không tìm thấy"" ))"),18.0)</f>
        <v>18</v>
      </c>
      <c r="AI73" s="273">
        <f t="shared" si="2"/>
        <v>46019</v>
      </c>
      <c r="AJ73" s="287"/>
      <c r="AK73" s="286">
        <f t="shared" si="3"/>
        <v>0</v>
      </c>
      <c r="AL73" s="287">
        <f t="shared" si="4"/>
        <v>5</v>
      </c>
      <c r="AM73" s="287">
        <f t="shared" si="5"/>
        <v>8</v>
      </c>
      <c r="AN73" s="279">
        <f t="shared" si="6"/>
        <v>11</v>
      </c>
      <c r="AO73" s="295" t="str">
        <f t="shared" si="7"/>
        <v>12/2025</v>
      </c>
      <c r="AP73" s="277" t="str">
        <f t="array" ref="AP73">IFERROR(XLOOKUP(L73,'2. DATA NL, VTBB'!C:C,'2. DATA NL, VTBB'!F:F),"")</f>
        <v>HH0210</v>
      </c>
      <c r="AQ73" s="277" t="str">
        <f t="array" ref="AQ73">IF(OR(K73="Nhãn", K73="Nhãn thùng",K73="Nhãn Túi"), K73 &amp; " " &amp; IFERROR(XLOOKUP(L73, '2. DATA NL, VTBB'!C:C, '2. DATA NL, VTBB'!E:E), ""), "")</f>
        <v/>
      </c>
      <c r="AR73" s="278" t="str">
        <f t="array" ref="AR73">IFERROR(XLOOKUP(L73,'2. DATA NL, VTBB'!C:C,'2. DATA NL, VTBB'!G:G),"")</f>
        <v>GC - II - 624 - MK Group - Siêu Trừ Nấm (flexo) - 250gr - 60</v>
      </c>
      <c r="AS73" s="278" t="str">
        <f t="array" ref="AS73">IFERROR(XLOOKUP(L73,'2. DATA NL, VTBB'!C:C,'2. DATA NL, VTBB'!G:G),"")</f>
        <v>GC - II - 624 - MK Group - Siêu Trừ Nấm (flexo) - 250gr - 60</v>
      </c>
      <c r="AT73" s="277"/>
    </row>
    <row r="74" ht="30.75" customHeight="1">
      <c r="A74" s="272">
        <f t="shared" si="13"/>
        <v>71</v>
      </c>
      <c r="B74" s="289">
        <v>46001.0</v>
      </c>
      <c r="C74" s="289">
        <v>46008.0</v>
      </c>
      <c r="D74" s="289">
        <f t="shared" si="20"/>
        <v>46016</v>
      </c>
      <c r="E74" s="289">
        <f t="shared" si="21"/>
        <v>46011</v>
      </c>
      <c r="F74" s="274" t="s">
        <v>561</v>
      </c>
      <c r="G74" s="275" t="s">
        <v>580</v>
      </c>
      <c r="H74" s="274" t="s">
        <v>304</v>
      </c>
      <c r="I74" s="275" t="s">
        <v>305</v>
      </c>
      <c r="J74" s="279" t="s">
        <v>790</v>
      </c>
      <c r="K74" s="275" t="s">
        <v>301</v>
      </c>
      <c r="L74" s="277" t="s">
        <v>791</v>
      </c>
      <c r="M74" s="278" t="str">
        <f t="array" ref="M74">IFERROR(XLOOKUP(L74,'2. DATA NL, VTBB'!C:C,'2. DATA NL, VTBB'!D:D),"")</f>
        <v>Thùng IDA 100gr x 100, 300 gói (44.5x37.5x21cm) - Trắng xanh lá</v>
      </c>
      <c r="N74" s="280"/>
      <c r="O74" s="280" t="str">
        <f t="array" ref="O74">IFERROR( XLOOKUP(L74,'2. DATA NL, VTBB'!C:C,'2. DATA NL, VTBB'!E:E),"")</f>
        <v>THALONIL 75WP</v>
      </c>
      <c r="P74" s="275" t="s">
        <v>565</v>
      </c>
      <c r="Q74" s="311"/>
      <c r="R74" s="291" t="s">
        <v>573</v>
      </c>
      <c r="S74" s="280"/>
      <c r="T74" s="280"/>
      <c r="U74" s="277"/>
      <c r="V74" s="283">
        <v>100.0</v>
      </c>
      <c r="W74" s="275" t="s">
        <v>699</v>
      </c>
      <c r="X74" s="283">
        <v>100.0</v>
      </c>
      <c r="Y74" s="274">
        <v>100.0</v>
      </c>
      <c r="Z74" s="287">
        <v>18800.0</v>
      </c>
      <c r="AA74" s="285">
        <v>0.08</v>
      </c>
      <c r="AB74" s="282">
        <v>2030400.0</v>
      </c>
      <c r="AC74" s="277"/>
      <c r="AD74" s="289">
        <v>46001.0</v>
      </c>
      <c r="AE74" s="312"/>
      <c r="AF74" s="277"/>
      <c r="AG74" s="277"/>
      <c r="AH74" s="294">
        <f>IFERROR(__xludf.DUMMYFUNCTION("IFERROR(INDEX( SORT(FILTER(
        {'1. DATA CHUNG'!$J$4:$J$105 , '1. DATA CHUNG'!$L$4:$L$105}, (TRIM('1. DATA CHUNG'!$I$4:$I$105)=TRIM(K74)) * IF(COUNTIFS('1. DATA CHUNG'!$I$4:$I$105,K74,'1. DATA CHUNG'!$M$4:$M$105,Q74), '1. DATA CHUNG'!$M$4:$M$105=Q74,"&amp;" 1) * ('1. DATA CHUNG'!$L$4:$L$105&lt;=TODAY()) ),   2, 0),  1, 1), 
  IFERROR( INDEX(FILTER('1. DATA CHUNG'!$J$4:$J$105, (TRIM('1. DATA CHUNG'!$I$4:$I$105)=TRIM(K74)) * IF(COUNTIFS('1. DATA CHUNG'!$I$4:$I$105,K74,'1. DATA CHUNG'!$M$4:$M$105,Q74), '1. DATA C"&amp;"HUNG'!$M$4:$M$105=Q74, 1) * ('1. DATA CHUNG'!$L$4:$L$105="""")), 1), ""Không tìm thấy"" ))"),18.0)</f>
        <v>18</v>
      </c>
      <c r="AI74" s="273">
        <f t="shared" si="2"/>
        <v>46019</v>
      </c>
      <c r="AJ74" s="287"/>
      <c r="AK74" s="286">
        <f t="shared" si="3"/>
        <v>0</v>
      </c>
      <c r="AL74" s="287">
        <f t="shared" si="4"/>
        <v>5</v>
      </c>
      <c r="AM74" s="287">
        <f t="shared" si="5"/>
        <v>8</v>
      </c>
      <c r="AN74" s="279">
        <f t="shared" si="6"/>
        <v>11</v>
      </c>
      <c r="AO74" s="295" t="str">
        <f t="shared" si="7"/>
        <v>12/2025</v>
      </c>
      <c r="AP74" s="277" t="str">
        <f t="array" ref="AP74">IFERROR(XLOOKUP(L74,'2. DATA NL, VTBB'!C:C,'2. DATA NL, VTBB'!F:F),"")</f>
        <v>HH0210</v>
      </c>
      <c r="AQ74" s="277" t="str">
        <f t="array" ref="AQ74">IF(OR(K74="Nhãn", K74="Nhãn thùng",K74="Nhãn Túi"), K74 &amp; " " &amp; IFERROR(XLOOKUP(L74, '2. DATA NL, VTBB'!C:C, '2. DATA NL, VTBB'!E:E), ""), "")</f>
        <v/>
      </c>
      <c r="AR74" s="278" t="str">
        <f t="array" ref="AR74">IFERROR(XLOOKUP(L74,'2. DATA NL, VTBB'!C:C,'2. DATA NL, VTBB'!G:G),"")</f>
        <v>GC - II - 624 - MK Group - Siêu Trừ Nấm (flexo) - 250gr - 60</v>
      </c>
      <c r="AS74" s="278" t="str">
        <f t="array" ref="AS74">IFERROR(XLOOKUP(L74,'2. DATA NL, VTBB'!C:C,'2. DATA NL, VTBB'!G:G),"")</f>
        <v>GC - II - 624 - MK Group - Siêu Trừ Nấm (flexo) - 250gr - 60</v>
      </c>
      <c r="AT74" s="277"/>
    </row>
    <row r="75" ht="30.75" customHeight="1">
      <c r="A75" s="272">
        <f t="shared" si="13"/>
        <v>72</v>
      </c>
      <c r="B75" s="289">
        <v>46001.0</v>
      </c>
      <c r="C75" s="289">
        <v>46008.0</v>
      </c>
      <c r="D75" s="289">
        <f t="shared" si="20"/>
        <v>46016</v>
      </c>
      <c r="E75" s="293">
        <v>46013.0</v>
      </c>
      <c r="F75" s="274" t="s">
        <v>561</v>
      </c>
      <c r="G75" s="275" t="s">
        <v>562</v>
      </c>
      <c r="H75" s="274" t="s">
        <v>304</v>
      </c>
      <c r="I75" s="275" t="s">
        <v>305</v>
      </c>
      <c r="J75" s="279" t="s">
        <v>792</v>
      </c>
      <c r="K75" s="275" t="s">
        <v>301</v>
      </c>
      <c r="L75" s="277" t="s">
        <v>793</v>
      </c>
      <c r="M75" s="278" t="str">
        <f t="array" ref="M75">IFERROR(XLOOKUP(L75,'2. DATA NL, VTBB'!C:C,'2. DATA NL, VTBB'!D:D),"")</f>
        <v>Thùng chung Chai HDPE 500ml x 40 chai  (64.5x40.5x19cm) - Trắng trơn</v>
      </c>
      <c r="N75" s="280"/>
      <c r="O75" s="280" t="str">
        <f t="array" ref="O75">IFERROR( XLOOKUP(L75,'2. DATA NL, VTBB'!C:C,'2. DATA NL, VTBB'!E:E),"")</f>
        <v>Vi lượng Quantity New</v>
      </c>
      <c r="P75" s="275" t="s">
        <v>565</v>
      </c>
      <c r="Q75" s="311"/>
      <c r="R75" s="290" t="s">
        <v>566</v>
      </c>
      <c r="S75" s="280"/>
      <c r="T75" s="280"/>
      <c r="U75" s="277"/>
      <c r="V75" s="283">
        <v>100.0</v>
      </c>
      <c r="W75" s="275" t="s">
        <v>699</v>
      </c>
      <c r="X75" s="283">
        <v>100.0</v>
      </c>
      <c r="Y75" s="274">
        <v>103.0</v>
      </c>
      <c r="Z75" s="279">
        <v>22800.0</v>
      </c>
      <c r="AA75" s="285">
        <v>0.08</v>
      </c>
      <c r="AB75" s="282">
        <v>2536272.0</v>
      </c>
      <c r="AC75" s="277"/>
      <c r="AD75" s="289">
        <v>46001.0</v>
      </c>
      <c r="AE75" s="272">
        <v>2054.0</v>
      </c>
      <c r="AF75" s="277"/>
      <c r="AG75" s="277"/>
      <c r="AH75" s="294">
        <f>IFERROR(__xludf.DUMMYFUNCTION("IFERROR(INDEX( SORT(FILTER(
        {'1. DATA CHUNG'!$J$4:$J$105 , '1. DATA CHUNG'!$L$4:$L$105}, (TRIM('1. DATA CHUNG'!$I$4:$I$105)=TRIM(K75)) * IF(COUNTIFS('1. DATA CHUNG'!$I$4:$I$105,K75,'1. DATA CHUNG'!$M$4:$M$105,Q75), '1. DATA CHUNG'!$M$4:$M$105=Q75,"&amp;" 1) * ('1. DATA CHUNG'!$L$4:$L$105&lt;=TODAY()) ),   2, 0),  1, 1), 
  IFERROR( INDEX(FILTER('1. DATA CHUNG'!$J$4:$J$105, (TRIM('1. DATA CHUNG'!$I$4:$I$105)=TRIM(K75)) * IF(COUNTIFS('1. DATA CHUNG'!$I$4:$I$105,K75,'1. DATA CHUNG'!$M$4:$M$105,Q75), '1. DATA C"&amp;"HUNG'!$M$4:$M$105=Q75, 1) * ('1. DATA CHUNG'!$L$4:$L$105="""")), 1), ""Không tìm thấy"" ))"),18.0)</f>
        <v>18</v>
      </c>
      <c r="AI75" s="273">
        <f t="shared" si="2"/>
        <v>46019</v>
      </c>
      <c r="AJ75" s="287"/>
      <c r="AK75" s="286">
        <f t="shared" si="3"/>
        <v>0</v>
      </c>
      <c r="AL75" s="287">
        <f t="shared" si="4"/>
        <v>3</v>
      </c>
      <c r="AM75" s="287">
        <f t="shared" si="5"/>
        <v>6</v>
      </c>
      <c r="AN75" s="279">
        <f t="shared" si="6"/>
        <v>11</v>
      </c>
      <c r="AO75" s="295" t="str">
        <f t="shared" si="7"/>
        <v>12/2025</v>
      </c>
      <c r="AP75" s="277" t="str">
        <f t="array" ref="AP75">IFERROR(XLOOKUP(L75,'2. DATA NL, VTBB'!C:C,'2. DATA NL, VTBB'!F:F),"")</f>
        <v>HH0170</v>
      </c>
      <c r="AQ75" s="277" t="str">
        <f t="array" ref="AQ75">IF(OR(K75="Nhãn", K75="Nhãn thùng",K75="Nhãn Túi"), K75 &amp; " " &amp; IFERROR(XLOOKUP(L75, '2. DATA NL, VTBB'!C:C, '2. DATA NL, VTBB'!E:E), ""), "")</f>
        <v/>
      </c>
      <c r="AR75" s="278" t="str">
        <f t="array" ref="AR75">IFERROR(XLOOKUP(L75,'2. DATA NL, VTBB'!C:C,'2. DATA NL, VTBB'!G:G),"")</f>
        <v>GC - II - 581 - A Thời GNH - Bung Chồi Vọt Đọt (Cây có múi) (Chai HD) - 500ml - 40</v>
      </c>
      <c r="AS75" s="278" t="str">
        <f t="array" ref="AS75">IFERROR(XLOOKUP(L75,'2. DATA NL, VTBB'!C:C,'2. DATA NL, VTBB'!G:G),"")</f>
        <v>GC - II - 581 - A Thời GNH - Bung Chồi Vọt Đọt (Cây có múi) (Chai HD) - 500ml - 40</v>
      </c>
      <c r="AT75" s="277"/>
    </row>
    <row r="76" ht="30.75" customHeight="1">
      <c r="A76" s="272">
        <f>ROW(A74)-2</f>
        <v>72</v>
      </c>
      <c r="B76" s="289">
        <v>46001.0</v>
      </c>
      <c r="C76" s="289">
        <v>46008.0</v>
      </c>
      <c r="D76" s="289">
        <f t="shared" si="20"/>
        <v>46016</v>
      </c>
      <c r="E76" s="293">
        <v>46018.0</v>
      </c>
      <c r="F76" s="274" t="s">
        <v>561</v>
      </c>
      <c r="G76" s="275" t="s">
        <v>580</v>
      </c>
      <c r="H76" s="274" t="s">
        <v>304</v>
      </c>
      <c r="I76" s="275" t="s">
        <v>305</v>
      </c>
      <c r="J76" s="279" t="s">
        <v>794</v>
      </c>
      <c r="K76" s="275" t="s">
        <v>301</v>
      </c>
      <c r="L76" s="277" t="s">
        <v>644</v>
      </c>
      <c r="M76" s="278" t="str">
        <f t="array" ref="M76">IFERROR(XLOOKUP(L76,'2. DATA NL, VTBB'!C:C,'2. DATA NL, VTBB'!D:D),"")</f>
        <v>Thùng NHP Chai 250ml x 40 chai (46x30x18cm) - Trắng viền xanh dương đỏ</v>
      </c>
      <c r="N76" s="280"/>
      <c r="O76" s="280" t="str">
        <f t="array" ref="O76">IFERROR( XLOOKUP(L76,'2. DATA NL, VTBB'!C:C,'2. DATA NL, VTBB'!E:E),"")</f>
        <v>Kamycinjapane 20SL</v>
      </c>
      <c r="P76" s="275" t="s">
        <v>565</v>
      </c>
      <c r="Q76" s="311"/>
      <c r="R76" s="291" t="s">
        <v>573</v>
      </c>
      <c r="S76" s="280"/>
      <c r="T76" s="280"/>
      <c r="U76" s="277"/>
      <c r="V76" s="283">
        <v>100.0</v>
      </c>
      <c r="W76" s="275" t="s">
        <v>699</v>
      </c>
      <c r="X76" s="283">
        <v>100.0</v>
      </c>
      <c r="Y76" s="274">
        <v>100.0</v>
      </c>
      <c r="Z76" s="279">
        <v>15200.0</v>
      </c>
      <c r="AA76" s="285">
        <v>0.08</v>
      </c>
      <c r="AB76" s="282">
        <v>1641600.0</v>
      </c>
      <c r="AC76" s="277"/>
      <c r="AD76" s="289">
        <v>46001.0</v>
      </c>
      <c r="AE76" s="272">
        <v>2097.0</v>
      </c>
      <c r="AF76" s="277"/>
      <c r="AG76" s="277"/>
      <c r="AH76" s="294">
        <f>IFERROR(__xludf.DUMMYFUNCTION("IFERROR(INDEX( SORT(FILTER(
        {'1. DATA CHUNG'!$J$4:$J$105 , '1. DATA CHUNG'!$L$4:$L$105}, (TRIM('1. DATA CHUNG'!$I$4:$I$105)=TRIM(K76)) * IF(COUNTIFS('1. DATA CHUNG'!$I$4:$I$105,K76,'1. DATA CHUNG'!$M$4:$M$105,Q76), '1. DATA CHUNG'!$M$4:$M$105=Q76,"&amp;" 1) * ('1. DATA CHUNG'!$L$4:$L$105&lt;=TODAY()) ),   2, 0),  1, 1), 
  IFERROR( INDEX(FILTER('1. DATA CHUNG'!$J$4:$J$105, (TRIM('1. DATA CHUNG'!$I$4:$I$105)=TRIM(K76)) * IF(COUNTIFS('1. DATA CHUNG'!$I$4:$I$105,K76,'1. DATA CHUNG'!$M$4:$M$105,Q76), '1. DATA C"&amp;"HUNG'!$M$4:$M$105=Q76, 1) * ('1. DATA CHUNG'!$L$4:$L$105="""")), 1), ""Không tìm thấy"" ))"),18.0)</f>
        <v>18</v>
      </c>
      <c r="AI76" s="273">
        <f t="shared" si="2"/>
        <v>46019</v>
      </c>
      <c r="AJ76" s="287"/>
      <c r="AK76" s="286">
        <f t="shared" si="3"/>
        <v>0</v>
      </c>
      <c r="AL76" s="287">
        <f t="shared" si="4"/>
        <v>-2</v>
      </c>
      <c r="AM76" s="287">
        <f t="shared" si="5"/>
        <v>1</v>
      </c>
      <c r="AN76" s="279">
        <f t="shared" si="6"/>
        <v>11</v>
      </c>
      <c r="AO76" s="295" t="str">
        <f t="shared" si="7"/>
        <v>12/2025</v>
      </c>
      <c r="AP76" s="277" t="str">
        <f t="array" ref="AP76">IFERROR(XLOOKUP(L76,'2. DATA NL, VTBB'!C:C,'2. DATA NL, VTBB'!F:F),"")</f>
        <v>HH0264</v>
      </c>
      <c r="AQ76" s="277" t="str">
        <f t="array" ref="AQ76">IF(OR(K76="Nhãn", K76="Nhãn thùng",K76="Nhãn Túi"), K76 &amp; " " &amp; IFERROR(XLOOKUP(L76, '2. DATA NL, VTBB'!C:C, '2. DATA NL, VTBB'!E:E), ""), "")</f>
        <v/>
      </c>
      <c r="AR76" s="278" t="str">
        <f t="array" ref="AR76">IFERROR(XLOOKUP(L76,'2. DATA NL, VTBB'!C:C,'2. DATA NL, VTBB'!G:G),"")</f>
        <v>GC - II - 683 - AGC - Kamycinjapane 20SL (chai tròn) - 450ml - 40</v>
      </c>
      <c r="AS76" s="278" t="str">
        <f t="array" ref="AS76">IFERROR(XLOOKUP(L76,'2. DATA NL, VTBB'!C:C,'2. DATA NL, VTBB'!G:G),"")</f>
        <v>GC - II - 683 - AGC - Kamycinjapane 20SL (chai tròn) - 450ml - 40</v>
      </c>
      <c r="AT76" s="277"/>
    </row>
    <row r="77" ht="30.75" customHeight="1">
      <c r="A77" s="272">
        <f>ROW(A78)-2</f>
        <v>76</v>
      </c>
      <c r="B77" s="289">
        <v>46002.0</v>
      </c>
      <c r="C77" s="273">
        <v>46003.0</v>
      </c>
      <c r="D77" s="273">
        <f t="shared" ref="D77:D78" si="22">B77+3</f>
        <v>46005</v>
      </c>
      <c r="E77" s="289">
        <v>46009.0</v>
      </c>
      <c r="F77" s="274" t="s">
        <v>561</v>
      </c>
      <c r="G77" s="275" t="s">
        <v>562</v>
      </c>
      <c r="H77" s="274" t="s">
        <v>304</v>
      </c>
      <c r="I77" s="275" t="s">
        <v>726</v>
      </c>
      <c r="J77" s="279" t="s">
        <v>795</v>
      </c>
      <c r="K77" s="275" t="s">
        <v>728</v>
      </c>
      <c r="L77" s="277" t="s">
        <v>778</v>
      </c>
      <c r="M77" s="278" t="str">
        <f t="array" ref="M77">IFERROR(XLOOKUP(L77,'2. DATA NL, VTBB'!C:C,'2. DATA NL, VTBB'!D:D),"")</f>
        <v>Chai PET tròn cổ 44 500ml (45g) Trắng</v>
      </c>
      <c r="N77" s="280"/>
      <c r="O77" s="280" t="str">
        <f t="array" ref="O77">IFERROR( XLOOKUP(L77,'2. DATA NL, VTBB'!C:C,'2. DATA NL, VTBB'!E:E),"")</f>
        <v>Chitin 3.6EC</v>
      </c>
      <c r="P77" s="275" t="s">
        <v>565</v>
      </c>
      <c r="Q77" s="311"/>
      <c r="R77" s="291" t="s">
        <v>590</v>
      </c>
      <c r="S77" s="280"/>
      <c r="T77" s="280"/>
      <c r="U77" s="277"/>
      <c r="V77" s="283">
        <v>2000.0</v>
      </c>
      <c r="W77" s="275" t="s">
        <v>699</v>
      </c>
      <c r="X77" s="283">
        <v>2000.0</v>
      </c>
      <c r="Y77" s="274">
        <v>1890.0</v>
      </c>
      <c r="Z77" s="279">
        <v>1900.0</v>
      </c>
      <c r="AA77" s="285">
        <v>0.08</v>
      </c>
      <c r="AB77" s="282">
        <v>3878280.0</v>
      </c>
      <c r="AC77" s="277"/>
      <c r="AD77" s="289">
        <v>46002.0</v>
      </c>
      <c r="AE77" s="272" t="s">
        <v>796</v>
      </c>
      <c r="AF77" s="277"/>
      <c r="AG77" s="277"/>
      <c r="AH77" s="294">
        <f>IFERROR(__xludf.DUMMYFUNCTION("IFERROR(INDEX( SORT(FILTER(
        {'1. DATA CHUNG'!$J$4:$J$105 , '1. DATA CHUNG'!$L$4:$L$105}, (TRIM('1. DATA CHUNG'!$I$4:$I$105)=TRIM(K77)) * IF(COUNTIFS('1. DATA CHUNG'!$I$4:$I$105,K77,'1. DATA CHUNG'!$M$4:$M$105,Q77), '1. DATA CHUNG'!$M$4:$M$105=Q77,"&amp;" 1) * ('1. DATA CHUNG'!$L$4:$L$105&lt;=TODAY()) ),   2, 0),  1, 1), 
  IFERROR( INDEX(FILTER('1. DATA CHUNG'!$J$4:$J$105, (TRIM('1. DATA CHUNG'!$I$4:$I$105)=TRIM(K77)) * IF(COUNTIFS('1. DATA CHUNG'!$I$4:$I$105,K77,'1. DATA CHUNG'!$M$4:$M$105,Q77), '1. DATA C"&amp;"HUNG'!$M$4:$M$105=Q77, 1) * ('1. DATA CHUNG'!$L$4:$L$105="""")), 1), ""Không tìm thấy"" ))"),7.0)</f>
        <v>7</v>
      </c>
      <c r="AI77" s="273">
        <f t="shared" si="2"/>
        <v>46009</v>
      </c>
      <c r="AJ77" s="287"/>
      <c r="AK77" s="286">
        <f t="shared" si="3"/>
        <v>0</v>
      </c>
      <c r="AL77" s="287">
        <f t="shared" si="4"/>
        <v>-4</v>
      </c>
      <c r="AM77" s="287">
        <f t="shared" si="5"/>
        <v>0</v>
      </c>
      <c r="AN77" s="279">
        <f t="shared" si="6"/>
        <v>6</v>
      </c>
      <c r="AO77" s="295" t="str">
        <f t="shared" si="7"/>
        <v>12/2025</v>
      </c>
      <c r="AP77" s="277" t="str">
        <f t="array" ref="AP77">IFERROR(XLOOKUP(L77,'2. DATA NL, VTBB'!C:C,'2. DATA NL, VTBB'!F:F),"")</f>
        <v>HH0234</v>
      </c>
      <c r="AQ77" s="277" t="str">
        <f t="array" ref="AQ77">IF(OR(K77="Nhãn", K77="Nhãn thùng",K77="Nhãn Túi"), K77 &amp; " " &amp; IFERROR(XLOOKUP(L77, '2. DATA NL, VTBB'!C:C, '2. DATA NL, VTBB'!E:E), ""), "")</f>
        <v/>
      </c>
      <c r="AR77" s="278" t="str">
        <f t="array" ref="AR77">IFERROR(XLOOKUP(L77,'2. DATA NL, VTBB'!C:C,'2. DATA NL, VTBB'!G:G),"")</f>
        <v>LOT IDA Global - I - 875 - ĐL Bảo Tại - Avermectin 36 (Pet tròn) (nắp đỏ)(nước nâu đen) - 450ml - 40</v>
      </c>
      <c r="AS77" s="278" t="str">
        <f t="array" ref="AS77">IFERROR(XLOOKUP(L77,'2. DATA NL, VTBB'!C:C,'2. DATA NL, VTBB'!G:G),"")</f>
        <v>LOT IDA Global - I - 875 - ĐL Bảo Tại - Avermectin 36 (Pet tròn) (nắp đỏ)(nước nâu đen) - 450ml - 40</v>
      </c>
      <c r="AT77" s="277"/>
    </row>
    <row r="78" ht="30.75" customHeight="1">
      <c r="A78" s="272">
        <f t="shared" ref="A78:A79" si="23">ROW(A76)-2</f>
        <v>74</v>
      </c>
      <c r="B78" s="289">
        <v>46002.0</v>
      </c>
      <c r="C78" s="273">
        <v>46003.0</v>
      </c>
      <c r="D78" s="273">
        <f t="shared" si="22"/>
        <v>46005</v>
      </c>
      <c r="E78" s="289">
        <v>46009.0</v>
      </c>
      <c r="F78" s="274" t="s">
        <v>561</v>
      </c>
      <c r="G78" s="275" t="s">
        <v>562</v>
      </c>
      <c r="H78" s="274" t="s">
        <v>304</v>
      </c>
      <c r="I78" s="275" t="s">
        <v>726</v>
      </c>
      <c r="J78" s="279" t="s">
        <v>795</v>
      </c>
      <c r="K78" s="275" t="s">
        <v>730</v>
      </c>
      <c r="L78" s="277" t="s">
        <v>797</v>
      </c>
      <c r="M78" s="278" t="str">
        <f t="array" ref="M78">IFERROR(XLOOKUP(L78,'2. DATA NL, VTBB'!C:C,'2. DATA NL, VTBB'!D:D),"")</f>
        <v>Nắp PET cổ 44 (9g) - Vàng</v>
      </c>
      <c r="N78" s="280"/>
      <c r="O78" s="280" t="str">
        <f t="array" ref="O78">IFERROR( XLOOKUP(L78,'2. DATA NL, VTBB'!C:C,'2. DATA NL, VTBB'!E:E),"")</f>
        <v>SHA CHONG JING 95WP</v>
      </c>
      <c r="P78" s="275" t="s">
        <v>565</v>
      </c>
      <c r="Q78" s="311"/>
      <c r="R78" s="291" t="s">
        <v>590</v>
      </c>
      <c r="S78" s="280"/>
      <c r="T78" s="280"/>
      <c r="U78" s="277"/>
      <c r="V78" s="283">
        <v>2000.0</v>
      </c>
      <c r="W78" s="275" t="s">
        <v>699</v>
      </c>
      <c r="X78" s="283">
        <v>2000.0</v>
      </c>
      <c r="Y78" s="274">
        <v>1890.0</v>
      </c>
      <c r="Z78" s="287">
        <v>900.0</v>
      </c>
      <c r="AA78" s="285">
        <v>0.08</v>
      </c>
      <c r="AB78" s="282">
        <v>1837080.0</v>
      </c>
      <c r="AC78" s="277"/>
      <c r="AD78" s="289">
        <v>46002.0</v>
      </c>
      <c r="AE78" s="272" t="s">
        <v>796</v>
      </c>
      <c r="AF78" s="277"/>
      <c r="AG78" s="277"/>
      <c r="AH78" s="294">
        <f>IFERROR(__xludf.DUMMYFUNCTION("IFERROR(INDEX( SORT(FILTER(
        {'1. DATA CHUNG'!$J$4:$J$105 , '1. DATA CHUNG'!$L$4:$L$105}, (TRIM('1. DATA CHUNG'!$I$4:$I$105)=TRIM(K78)) * IF(COUNTIFS('1. DATA CHUNG'!$I$4:$I$105,K78,'1. DATA CHUNG'!$M$4:$M$105,Q78), '1. DATA CHUNG'!$M$4:$M$105=Q78,"&amp;" 1) * ('1. DATA CHUNG'!$L$4:$L$105&lt;=TODAY()) ),   2, 0),  1, 1), 
  IFERROR( INDEX(FILTER('1. DATA CHUNG'!$J$4:$J$105, (TRIM('1. DATA CHUNG'!$I$4:$I$105)=TRIM(K78)) * IF(COUNTIFS('1. DATA CHUNG'!$I$4:$I$105,K78,'1. DATA CHUNG'!$M$4:$M$105,Q78), '1. DATA C"&amp;"HUNG'!$M$4:$M$105=Q78, 1) * ('1. DATA CHUNG'!$L$4:$L$105="""")), 1), ""Không tìm thấy"" ))"),7.0)</f>
        <v>7</v>
      </c>
      <c r="AI78" s="273">
        <f t="shared" si="2"/>
        <v>46009</v>
      </c>
      <c r="AJ78" s="287"/>
      <c r="AK78" s="286">
        <f t="shared" si="3"/>
        <v>0</v>
      </c>
      <c r="AL78" s="287">
        <f t="shared" si="4"/>
        <v>-4</v>
      </c>
      <c r="AM78" s="287">
        <f t="shared" si="5"/>
        <v>0</v>
      </c>
      <c r="AN78" s="279">
        <f t="shared" si="6"/>
        <v>6</v>
      </c>
      <c r="AO78" s="295" t="str">
        <f t="shared" si="7"/>
        <v>12/2025</v>
      </c>
      <c r="AP78" s="277" t="str">
        <f t="array" ref="AP78">IFERROR(XLOOKUP(L78,'2. DATA NL, VTBB'!C:C,'2. DATA NL, VTBB'!F:F),"")</f>
        <v>HH0166</v>
      </c>
      <c r="AQ78" s="277" t="str">
        <f t="array" ref="AQ78">IF(OR(K78="Nhãn", K78="Nhãn thùng",K78="Nhãn Túi"), K78 &amp; " " &amp; IFERROR(XLOOKUP(L78, '2. DATA NL, VTBB'!C:C, '2. DATA NL, VTBB'!E:E), ""), "")</f>
        <v/>
      </c>
      <c r="AR78" s="278" t="str">
        <f t="array" ref="AR78">IFERROR(XLOOKUP(L78,'2. DATA NL, VTBB'!C:C,'2. DATA NL, VTBB'!G:G),"")</f>
        <v>GC - IV - 893 - Thái Hoàng - Đầu Gà (Nhãn Trục) - 80gr - 150</v>
      </c>
      <c r="AS78" s="278" t="str">
        <f t="array" ref="AS78">IFERROR(XLOOKUP(L78,'2. DATA NL, VTBB'!C:C,'2. DATA NL, VTBB'!G:G),"")</f>
        <v>GC - IV - 893 - Thái Hoàng - Đầu Gà (Nhãn Trục) - 80gr - 150</v>
      </c>
      <c r="AT78" s="277"/>
    </row>
    <row r="79" ht="30.75" customHeight="1">
      <c r="A79" s="272">
        <f t="shared" si="23"/>
        <v>75</v>
      </c>
      <c r="B79" s="289">
        <v>46004.0</v>
      </c>
      <c r="C79" s="289">
        <v>46011.0</v>
      </c>
      <c r="D79" s="289">
        <f>B79+15</f>
        <v>46019</v>
      </c>
      <c r="E79" s="289">
        <v>46013.0</v>
      </c>
      <c r="F79" s="274" t="s">
        <v>561</v>
      </c>
      <c r="G79" s="275" t="s">
        <v>696</v>
      </c>
      <c r="H79" s="274" t="s">
        <v>304</v>
      </c>
      <c r="I79" s="275" t="s">
        <v>305</v>
      </c>
      <c r="J79" s="279" t="s">
        <v>798</v>
      </c>
      <c r="K79" s="275" t="s">
        <v>301</v>
      </c>
      <c r="L79" s="277" t="s">
        <v>799</v>
      </c>
      <c r="M79" s="278" t="str">
        <f t="array" ref="M79">IFERROR(XLOOKUP(L79,'2. DATA NL, VTBB'!C:C,'2. DATA NL, VTBB'!D:D),"")</f>
        <v>Thùng VISANTO Chai Pet vuông 500ml x 30 chai (47x34x18cm) - Trắng xanh dương</v>
      </c>
      <c r="N79" s="280"/>
      <c r="O79" s="280" t="str">
        <f t="array" ref="O79">IFERROR( XLOOKUP(L79,'2. DATA NL, VTBB'!C:C,'2. DATA NL, VTBB'!E:E),"")</f>
        <v>Mekongvil 5SC</v>
      </c>
      <c r="P79" s="275" t="s">
        <v>565</v>
      </c>
      <c r="Q79" s="311"/>
      <c r="R79" s="291" t="s">
        <v>573</v>
      </c>
      <c r="S79" s="280"/>
      <c r="T79" s="280"/>
      <c r="U79" s="277"/>
      <c r="V79" s="283">
        <v>200.0</v>
      </c>
      <c r="W79" s="275" t="s">
        <v>699</v>
      </c>
      <c r="X79" s="283">
        <v>200.0</v>
      </c>
      <c r="Y79" s="274">
        <v>200.0</v>
      </c>
      <c r="Z79" s="279">
        <v>16500.0</v>
      </c>
      <c r="AA79" s="285">
        <v>0.08</v>
      </c>
      <c r="AB79" s="282">
        <v>3564000.0</v>
      </c>
      <c r="AC79" s="277"/>
      <c r="AD79" s="289">
        <v>46004.0</v>
      </c>
      <c r="AE79" s="312"/>
      <c r="AF79" s="277"/>
      <c r="AG79" s="277"/>
      <c r="AH79" s="294">
        <f>IFERROR(__xludf.DUMMYFUNCTION("IFERROR(INDEX( SORT(FILTER(
        {'1. DATA CHUNG'!$J$4:$J$105 , '1. DATA CHUNG'!$L$4:$L$105}, (TRIM('1. DATA CHUNG'!$I$4:$I$105)=TRIM(K79)) * IF(COUNTIFS('1. DATA CHUNG'!$I$4:$I$105,K79,'1. DATA CHUNG'!$M$4:$M$105,Q79), '1. DATA CHUNG'!$M$4:$M$105=Q79,"&amp;" 1) * ('1. DATA CHUNG'!$L$4:$L$105&lt;=TODAY()) ),   2, 0),  1, 1), 
  IFERROR( INDEX(FILTER('1. DATA CHUNG'!$J$4:$J$105, (TRIM('1. DATA CHUNG'!$I$4:$I$105)=TRIM(K79)) * IF(COUNTIFS('1. DATA CHUNG'!$I$4:$I$105,K79,'1. DATA CHUNG'!$M$4:$M$105,Q79), '1. DATA C"&amp;"HUNG'!$M$4:$M$105=Q79, 1) * ('1. DATA CHUNG'!$L$4:$L$105="""")), 1), ""Không tìm thấy"" ))"),18.0)</f>
        <v>18</v>
      </c>
      <c r="AI79" s="273">
        <f t="shared" si="2"/>
        <v>46022</v>
      </c>
      <c r="AJ79" s="287"/>
      <c r="AK79" s="286">
        <f t="shared" si="3"/>
        <v>0</v>
      </c>
      <c r="AL79" s="287">
        <f t="shared" si="4"/>
        <v>6</v>
      </c>
      <c r="AM79" s="287">
        <f t="shared" si="5"/>
        <v>9</v>
      </c>
      <c r="AN79" s="279">
        <f t="shared" si="6"/>
        <v>11</v>
      </c>
      <c r="AO79" s="295" t="str">
        <f t="shared" si="7"/>
        <v>12/2025</v>
      </c>
      <c r="AP79" s="277" t="str">
        <f t="array" ref="AP79">IFERROR(XLOOKUP(L79,'2. DATA NL, VTBB'!C:C,'2. DATA NL, VTBB'!F:F),"")</f>
        <v>HH0245</v>
      </c>
      <c r="AQ79" s="277" t="str">
        <f t="array" ref="AQ79">IF(OR(K79="Nhãn", K79="Nhãn thùng",K79="Nhãn Túi"), K79 &amp; " " &amp; IFERROR(XLOOKUP(L79, '2. DATA NL, VTBB'!C:C, '2. DATA NL, VTBB'!E:E), ""), "")</f>
        <v/>
      </c>
      <c r="AR79" s="278" t="str">
        <f t="array" ref="AR79">IFERROR(XLOOKUP(L79,'2. DATA NL, VTBB'!C:C,'2. DATA NL, VTBB'!G:G),"")</f>
        <v>LOT IDA Global - I - 659 - ĐL Cô Ba - Hexa 5 sao- 1 Lít - 20(btp,nl)</v>
      </c>
      <c r="AS79" s="278" t="str">
        <f t="array" ref="AS79">IFERROR(XLOOKUP(L79,'2. DATA NL, VTBB'!C:C,'2. DATA NL, VTBB'!G:G),"")</f>
        <v>LOT IDA Global - I - 659 - ĐL Cô Ba - Hexa 5 sao- 1 Lít - 20(btp,nl)</v>
      </c>
      <c r="AT79" s="277"/>
    </row>
    <row r="80" ht="30.75" customHeight="1">
      <c r="A80" s="272">
        <f t="shared" ref="A80:A121" si="24">ROW(A79)-2</f>
        <v>77</v>
      </c>
      <c r="B80" s="289">
        <v>46006.0</v>
      </c>
      <c r="C80" s="273">
        <v>46007.0</v>
      </c>
      <c r="D80" s="273">
        <f t="shared" ref="D80:D92" si="25">B80+3</f>
        <v>46009</v>
      </c>
      <c r="E80" s="289">
        <v>46010.0</v>
      </c>
      <c r="F80" s="274" t="s">
        <v>561</v>
      </c>
      <c r="G80" s="275" t="s">
        <v>580</v>
      </c>
      <c r="H80" s="274" t="s">
        <v>304</v>
      </c>
      <c r="I80" s="275" t="s">
        <v>744</v>
      </c>
      <c r="J80" s="279" t="s">
        <v>800</v>
      </c>
      <c r="K80" s="275" t="s">
        <v>728</v>
      </c>
      <c r="L80" s="277" t="s">
        <v>801</v>
      </c>
      <c r="M80" s="278" t="str">
        <f t="array" ref="M80">IFERROR(XLOOKUP(L80,'2. DATA NL, VTBB'!C:C,'2. DATA NL, VTBB'!D:D),"")</f>
        <v>Chai HDPE tròn cổ 43 250ml (40gr) logo IDA màu trắng</v>
      </c>
      <c r="N80" s="280"/>
      <c r="O80" s="280" t="str">
        <f t="array" ref="O80">IFERROR( XLOOKUP(L80,'2. DATA NL, VTBB'!C:C,'2. DATA NL, VTBB'!E:E),"")</f>
        <v>Vi lượng AV-CFC
(Dạng rắn)</v>
      </c>
      <c r="P80" s="275" t="s">
        <v>565</v>
      </c>
      <c r="Q80" s="311"/>
      <c r="R80" s="291" t="s">
        <v>573</v>
      </c>
      <c r="S80" s="280"/>
      <c r="T80" s="280"/>
      <c r="U80" s="277"/>
      <c r="V80" s="283">
        <v>5000.0</v>
      </c>
      <c r="W80" s="275" t="s">
        <v>699</v>
      </c>
      <c r="X80" s="283">
        <v>5000.0</v>
      </c>
      <c r="Y80" s="274">
        <v>5000.0</v>
      </c>
      <c r="Z80" s="279">
        <v>2300.0</v>
      </c>
      <c r="AA80" s="285">
        <v>0.08</v>
      </c>
      <c r="AB80" s="282">
        <v>1.242E7</v>
      </c>
      <c r="AC80" s="277"/>
      <c r="AD80" s="289">
        <v>46006.0</v>
      </c>
      <c r="AE80" s="272">
        <v>3817.0</v>
      </c>
      <c r="AF80" s="277"/>
      <c r="AG80" s="277"/>
      <c r="AH80" s="294">
        <f>IFERROR(__xludf.DUMMYFUNCTION("IFERROR(INDEX( SORT(FILTER(
        {'1. DATA CHUNG'!$J$4:$J$105 , '1. DATA CHUNG'!$L$4:$L$105}, (TRIM('1. DATA CHUNG'!$I$4:$I$105)=TRIM(K80)) * IF(COUNTIFS('1. DATA CHUNG'!$I$4:$I$105,K80,'1. DATA CHUNG'!$M$4:$M$105,Q80), '1. DATA CHUNG'!$M$4:$M$105=Q80,"&amp;" 1) * ('1. DATA CHUNG'!$L$4:$L$105&lt;=TODAY()) ),   2, 0),  1, 1), 
  IFERROR( INDEX(FILTER('1. DATA CHUNG'!$J$4:$J$105, (TRIM('1. DATA CHUNG'!$I$4:$I$105)=TRIM(K80)) * IF(COUNTIFS('1. DATA CHUNG'!$I$4:$I$105,K80,'1. DATA CHUNG'!$M$4:$M$105,Q80), '1. DATA C"&amp;"HUNG'!$M$4:$M$105=Q80, 1) * ('1. DATA CHUNG'!$L$4:$L$105="""")), 1), ""Không tìm thấy"" ))"),7.0)</f>
        <v>7</v>
      </c>
      <c r="AI80" s="273">
        <f t="shared" si="2"/>
        <v>46013</v>
      </c>
      <c r="AJ80" s="287"/>
      <c r="AK80" s="286">
        <f t="shared" si="3"/>
        <v>0</v>
      </c>
      <c r="AL80" s="287">
        <f t="shared" si="4"/>
        <v>-1</v>
      </c>
      <c r="AM80" s="287">
        <f t="shared" si="5"/>
        <v>3</v>
      </c>
      <c r="AN80" s="279">
        <f t="shared" si="6"/>
        <v>6</v>
      </c>
      <c r="AO80" s="295" t="str">
        <f t="shared" si="7"/>
        <v>12/2025</v>
      </c>
      <c r="AP80" s="277" t="str">
        <f t="array" ref="AP80">IFERROR(XLOOKUP(L80,'2. DATA NL, VTBB'!C:C,'2. DATA NL, VTBB'!F:F),"")</f>
        <v>HH0025</v>
      </c>
      <c r="AQ80" s="277" t="str">
        <f t="array" ref="AQ80">IF(OR(K80="Nhãn", K80="Nhãn thùng",K80="Nhãn Túi"), K80 &amp; " " &amp; IFERROR(XLOOKUP(L80, '2. DATA NL, VTBB'!C:C, '2. DATA NL, VTBB'!E:E), ""), "")</f>
        <v/>
      </c>
      <c r="AR80" s="278" t="str">
        <f t="array" ref="AR80">IFERROR(XLOOKUP(L80,'2. DATA NL, VTBB'!C:C,'2. DATA NL, VTBB'!G:G),"")</f>
        <v>IDA Global - I - 365.1 - Humi Total (Xanh Dương) - 1kg - 25</v>
      </c>
      <c r="AS80" s="278" t="str">
        <f t="array" ref="AS80">IFERROR(XLOOKUP(L80,'2. DATA NL, VTBB'!C:C,'2. DATA NL, VTBB'!G:G),"")</f>
        <v>IDA Global - I - 365.1 - Humi Total (Xanh Dương) - 1kg - 25</v>
      </c>
      <c r="AT80" s="277"/>
    </row>
    <row r="81" ht="30.75" customHeight="1">
      <c r="A81" s="272">
        <f t="shared" si="24"/>
        <v>78</v>
      </c>
      <c r="B81" s="289">
        <v>46006.0</v>
      </c>
      <c r="C81" s="273">
        <v>46007.0</v>
      </c>
      <c r="D81" s="273">
        <f t="shared" si="25"/>
        <v>46009</v>
      </c>
      <c r="E81" s="289">
        <v>46010.0</v>
      </c>
      <c r="F81" s="274" t="s">
        <v>561</v>
      </c>
      <c r="G81" s="275" t="s">
        <v>580</v>
      </c>
      <c r="H81" s="274" t="s">
        <v>304</v>
      </c>
      <c r="I81" s="275" t="s">
        <v>744</v>
      </c>
      <c r="J81" s="279" t="s">
        <v>800</v>
      </c>
      <c r="K81" s="275" t="s">
        <v>730</v>
      </c>
      <c r="L81" s="277" t="s">
        <v>802</v>
      </c>
      <c r="M81" s="278" t="str">
        <f t="array" ref="M81">IFERROR(XLOOKUP(L81,'2. DATA NL, VTBB'!C:C,'2. DATA NL, VTBB'!D:D),"")</f>
        <v>Nắp HDPE cổ 43 (10gr) logo IDA màu đỏ</v>
      </c>
      <c r="N81" s="280"/>
      <c r="O81" s="280" t="str">
        <f t="array" ref="O81">IFERROR( XLOOKUP(L81,'2. DATA NL, VTBB'!C:C,'2. DATA NL, VTBB'!E:E),"")</f>
        <v>Creek 2.1EC</v>
      </c>
      <c r="P81" s="275" t="s">
        <v>565</v>
      </c>
      <c r="Q81" s="311"/>
      <c r="R81" s="291" t="s">
        <v>573</v>
      </c>
      <c r="S81" s="280"/>
      <c r="T81" s="280"/>
      <c r="U81" s="277"/>
      <c r="V81" s="283">
        <v>2000.0</v>
      </c>
      <c r="W81" s="275" t="s">
        <v>699</v>
      </c>
      <c r="X81" s="283">
        <v>2000.0</v>
      </c>
      <c r="Y81" s="274">
        <v>2000.0</v>
      </c>
      <c r="Z81" s="279">
        <v>1000.0</v>
      </c>
      <c r="AA81" s="285">
        <v>0.08</v>
      </c>
      <c r="AB81" s="282">
        <v>2160000.0</v>
      </c>
      <c r="AC81" s="277"/>
      <c r="AD81" s="289">
        <v>46006.0</v>
      </c>
      <c r="AE81" s="272">
        <v>3817.0</v>
      </c>
      <c r="AF81" s="277"/>
      <c r="AG81" s="277"/>
      <c r="AH81" s="294">
        <f>IFERROR(__xludf.DUMMYFUNCTION("IFERROR(INDEX( SORT(FILTER(
        {'1. DATA CHUNG'!$J$4:$J$105 , '1. DATA CHUNG'!$L$4:$L$105}, (TRIM('1. DATA CHUNG'!$I$4:$I$105)=TRIM(K81)) * IF(COUNTIFS('1. DATA CHUNG'!$I$4:$I$105,K81,'1. DATA CHUNG'!$M$4:$M$105,Q81), '1. DATA CHUNG'!$M$4:$M$105=Q81,"&amp;" 1) * ('1. DATA CHUNG'!$L$4:$L$105&lt;=TODAY()) ),   2, 0),  1, 1), 
  IFERROR( INDEX(FILTER('1. DATA CHUNG'!$J$4:$J$105, (TRIM('1. DATA CHUNG'!$I$4:$I$105)=TRIM(K81)) * IF(COUNTIFS('1. DATA CHUNG'!$I$4:$I$105,K81,'1. DATA CHUNG'!$M$4:$M$105,Q81), '1. DATA C"&amp;"HUNG'!$M$4:$M$105=Q81, 1) * ('1. DATA CHUNG'!$L$4:$L$105="""")), 1), ""Không tìm thấy"" ))"),7.0)</f>
        <v>7</v>
      </c>
      <c r="AI81" s="273">
        <f t="shared" si="2"/>
        <v>46013</v>
      </c>
      <c r="AJ81" s="287"/>
      <c r="AK81" s="286">
        <f t="shared" si="3"/>
        <v>0</v>
      </c>
      <c r="AL81" s="287">
        <f t="shared" si="4"/>
        <v>-1</v>
      </c>
      <c r="AM81" s="287">
        <f t="shared" si="5"/>
        <v>3</v>
      </c>
      <c r="AN81" s="279">
        <f t="shared" si="6"/>
        <v>6</v>
      </c>
      <c r="AO81" s="295" t="str">
        <f t="shared" si="7"/>
        <v>12/2025</v>
      </c>
      <c r="AP81" s="277" t="str">
        <f t="array" ref="AP81">IFERROR(XLOOKUP(L81,'2. DATA NL, VTBB'!C:C,'2. DATA NL, VTBB'!F:F),"")</f>
        <v>HH0015</v>
      </c>
      <c r="AQ81" s="277" t="str">
        <f t="array" ref="AQ81">IF(OR(K81="Nhãn", K81="Nhãn thùng",K81="Nhãn Túi"), K81 &amp; " " &amp; IFERROR(XLOOKUP(L81, '2. DATA NL, VTBB'!C:C, '2. DATA NL, VTBB'!E:E), ""), "")</f>
        <v/>
      </c>
      <c r="AR81" s="278" t="str">
        <f t="array" ref="AR81">IFERROR(XLOOKUP(L81,'2. DATA NL, VTBB'!C:C,'2. DATA NL, VTBB'!G:G),"")</f>
        <v>GC - II - 300 - Agriplant - Creek 2.1EC (chai vuông nhãn đỏ) - 450ml - 40</v>
      </c>
      <c r="AS81" s="278" t="str">
        <f t="array" ref="AS81">IFERROR(XLOOKUP(L81,'2. DATA NL, VTBB'!C:C,'2. DATA NL, VTBB'!G:G),"")</f>
        <v>GC - II - 300 - Agriplant - Creek 2.1EC (chai vuông nhãn đỏ) - 450ml - 40</v>
      </c>
      <c r="AT81" s="277"/>
    </row>
    <row r="82" ht="30.75" customHeight="1">
      <c r="A82" s="272">
        <f t="shared" si="24"/>
        <v>79</v>
      </c>
      <c r="B82" s="289">
        <v>46006.0</v>
      </c>
      <c r="C82" s="273">
        <v>46007.0</v>
      </c>
      <c r="D82" s="273">
        <f t="shared" si="25"/>
        <v>46009</v>
      </c>
      <c r="E82" s="289">
        <v>46009.0</v>
      </c>
      <c r="F82" s="274" t="s">
        <v>561</v>
      </c>
      <c r="G82" s="275" t="s">
        <v>696</v>
      </c>
      <c r="H82" s="274" t="s">
        <v>304</v>
      </c>
      <c r="I82" s="275" t="s">
        <v>726</v>
      </c>
      <c r="J82" s="279" t="s">
        <v>803</v>
      </c>
      <c r="K82" s="275" t="s">
        <v>728</v>
      </c>
      <c r="L82" s="277" t="s">
        <v>740</v>
      </c>
      <c r="M82" s="278" t="str">
        <f t="array" ref="M82">IFERROR(XLOOKUP(L82,'2. DATA NL, VTBB'!C:C,'2. DATA NL, VTBB'!D:D),"")</f>
        <v>PN - Chai HDPE tròn cổ 45 1Lít (110g) - Xám (không ganty)</v>
      </c>
      <c r="N82" s="280"/>
      <c r="O82" s="280" t="str">
        <f t="array" ref="O82">IFERROR( XLOOKUP(L82,'2. DATA NL, VTBB'!C:C,'2. DATA NL, VTBB'!E:E),"")</f>
        <v>Chitin 3.6EC</v>
      </c>
      <c r="P82" s="275" t="s">
        <v>565</v>
      </c>
      <c r="Q82" s="311"/>
      <c r="R82" s="291" t="s">
        <v>573</v>
      </c>
      <c r="S82" s="280"/>
      <c r="T82" s="280"/>
      <c r="U82" s="277"/>
      <c r="V82" s="283">
        <v>1000.0</v>
      </c>
      <c r="W82" s="275" t="s">
        <v>699</v>
      </c>
      <c r="X82" s="283">
        <v>1000.0</v>
      </c>
      <c r="Y82" s="274">
        <v>1050.0</v>
      </c>
      <c r="Z82" s="287">
        <v>4700.0</v>
      </c>
      <c r="AA82" s="285">
        <v>0.08</v>
      </c>
      <c r="AB82" s="282">
        <v>5329800.0</v>
      </c>
      <c r="AC82" s="277"/>
      <c r="AD82" s="289">
        <v>46006.0</v>
      </c>
      <c r="AE82" s="272">
        <v>2341.0</v>
      </c>
      <c r="AF82" s="277"/>
      <c r="AG82" s="277"/>
      <c r="AH82" s="294">
        <f>IFERROR(__xludf.DUMMYFUNCTION("IFERROR(INDEX( SORT(FILTER(
        {'1. DATA CHUNG'!$J$4:$J$105 , '1. DATA CHUNG'!$L$4:$L$105}, (TRIM('1. DATA CHUNG'!$I$4:$I$105)=TRIM(K82)) * IF(COUNTIFS('1. DATA CHUNG'!$I$4:$I$105,K82,'1. DATA CHUNG'!$M$4:$M$105,Q82), '1. DATA CHUNG'!$M$4:$M$105=Q82,"&amp;" 1) * ('1. DATA CHUNG'!$L$4:$L$105&lt;=TODAY()) ),   2, 0),  1, 1), 
  IFERROR( INDEX(FILTER('1. DATA CHUNG'!$J$4:$J$105, (TRIM('1. DATA CHUNG'!$I$4:$I$105)=TRIM(K82)) * IF(COUNTIFS('1. DATA CHUNG'!$I$4:$I$105,K82,'1. DATA CHUNG'!$M$4:$M$105,Q82), '1. DATA C"&amp;"HUNG'!$M$4:$M$105=Q82, 1) * ('1. DATA CHUNG'!$L$4:$L$105="""")), 1), ""Không tìm thấy"" ))"),7.0)</f>
        <v>7</v>
      </c>
      <c r="AI82" s="273">
        <f t="shared" si="2"/>
        <v>46013</v>
      </c>
      <c r="AJ82" s="287"/>
      <c r="AK82" s="286">
        <f t="shared" si="3"/>
        <v>0</v>
      </c>
      <c r="AL82" s="287">
        <f t="shared" si="4"/>
        <v>0</v>
      </c>
      <c r="AM82" s="287">
        <f t="shared" si="5"/>
        <v>4</v>
      </c>
      <c r="AN82" s="279">
        <f t="shared" si="6"/>
        <v>6</v>
      </c>
      <c r="AO82" s="295" t="str">
        <f t="shared" si="7"/>
        <v>12/2025</v>
      </c>
      <c r="AP82" s="277" t="str">
        <f t="array" ref="AP82">IFERROR(XLOOKUP(L82,'2. DATA NL, VTBB'!C:C,'2. DATA NL, VTBB'!F:F),"")</f>
        <v>HH0237</v>
      </c>
      <c r="AQ82" s="277" t="str">
        <f t="array" ref="AQ82">IF(OR(K82="Nhãn", K82="Nhãn thùng",K82="Nhãn Túi"), K82 &amp; " " &amp; IFERROR(XLOOKUP(L82, '2. DATA NL, VTBB'!C:C, '2. DATA NL, VTBB'!E:E), ""), "")</f>
        <v/>
      </c>
      <c r="AR82" s="278" t="str">
        <f t="array" ref="AR82">IFERROR(XLOOKUP(L82,'2. DATA NL, VTBB'!C:C,'2. DATA NL, VTBB'!G:G),"")</f>
        <v>LOT IDA Global - I - 881 - ĐL Trung Nhã - Avermectin (Pet vuông) (nắp vàng)(nước nâu đen) - 450ml - 40</v>
      </c>
      <c r="AS82" s="278" t="str">
        <f t="array" ref="AS82">IFERROR(XLOOKUP(L82,'2. DATA NL, VTBB'!C:C,'2. DATA NL, VTBB'!G:G),"")</f>
        <v>LOT IDA Global - I - 881 - ĐL Trung Nhã - Avermectin (Pet vuông) (nắp vàng)(nước nâu đen) - 450ml - 40</v>
      </c>
      <c r="AT82" s="277"/>
    </row>
    <row r="83" ht="30.75" customHeight="1">
      <c r="A83" s="272">
        <f t="shared" si="24"/>
        <v>80</v>
      </c>
      <c r="B83" s="289">
        <v>46006.0</v>
      </c>
      <c r="C83" s="273">
        <v>46007.0</v>
      </c>
      <c r="D83" s="273">
        <f t="shared" si="25"/>
        <v>46009</v>
      </c>
      <c r="E83" s="289">
        <v>46009.0</v>
      </c>
      <c r="F83" s="274" t="s">
        <v>561</v>
      </c>
      <c r="G83" s="275" t="s">
        <v>696</v>
      </c>
      <c r="H83" s="274" t="s">
        <v>304</v>
      </c>
      <c r="I83" s="275" t="s">
        <v>726</v>
      </c>
      <c r="J83" s="279" t="s">
        <v>803</v>
      </c>
      <c r="K83" s="275" t="s">
        <v>730</v>
      </c>
      <c r="L83" s="277" t="s">
        <v>741</v>
      </c>
      <c r="M83" s="278" t="str">
        <f t="array" ref="M83">IFERROR(XLOOKUP(L83,'2. DATA NL, VTBB'!C:C,'2. DATA NL, VTBB'!D:D),"")</f>
        <v>PN- Nắp HDPE cổ 45 (8g) - Xanh Lá (không ganty)</v>
      </c>
      <c r="N83" s="280"/>
      <c r="O83" s="280" t="str">
        <f t="array" ref="O83">IFERROR( XLOOKUP(L83,'2. DATA NL, VTBB'!C:C,'2. DATA NL, VTBB'!E:E),"")</f>
        <v>Chitin 3.6EC</v>
      </c>
      <c r="P83" s="275" t="s">
        <v>565</v>
      </c>
      <c r="Q83" s="311"/>
      <c r="R83" s="291" t="s">
        <v>573</v>
      </c>
      <c r="S83" s="280"/>
      <c r="T83" s="280"/>
      <c r="U83" s="277"/>
      <c r="V83" s="283">
        <v>1000.0</v>
      </c>
      <c r="W83" s="275" t="s">
        <v>699</v>
      </c>
      <c r="X83" s="283">
        <v>1000.0</v>
      </c>
      <c r="Y83" s="274">
        <v>1050.0</v>
      </c>
      <c r="Z83" s="279">
        <v>900.0</v>
      </c>
      <c r="AA83" s="285">
        <v>0.08</v>
      </c>
      <c r="AB83" s="282">
        <v>1020600.0</v>
      </c>
      <c r="AC83" s="277"/>
      <c r="AD83" s="289">
        <v>46006.0</v>
      </c>
      <c r="AE83" s="272">
        <v>2341.0</v>
      </c>
      <c r="AF83" s="277"/>
      <c r="AG83" s="277"/>
      <c r="AH83" s="294">
        <f>IFERROR(__xludf.DUMMYFUNCTION("IFERROR(INDEX( SORT(FILTER(
        {'1. DATA CHUNG'!$J$4:$J$105 , '1. DATA CHUNG'!$L$4:$L$105}, (TRIM('1. DATA CHUNG'!$I$4:$I$105)=TRIM(K83)) * IF(COUNTIFS('1. DATA CHUNG'!$I$4:$I$105,K83,'1. DATA CHUNG'!$M$4:$M$105,Q83), '1. DATA CHUNG'!$M$4:$M$105=Q83,"&amp;" 1) * ('1. DATA CHUNG'!$L$4:$L$105&lt;=TODAY()) ),   2, 0),  1, 1), 
  IFERROR( INDEX(FILTER('1. DATA CHUNG'!$J$4:$J$105, (TRIM('1. DATA CHUNG'!$I$4:$I$105)=TRIM(K83)) * IF(COUNTIFS('1. DATA CHUNG'!$I$4:$I$105,K83,'1. DATA CHUNG'!$M$4:$M$105,Q83), '1. DATA C"&amp;"HUNG'!$M$4:$M$105=Q83, 1) * ('1. DATA CHUNG'!$L$4:$L$105="""")), 1), ""Không tìm thấy"" ))"),7.0)</f>
        <v>7</v>
      </c>
      <c r="AI83" s="273">
        <f t="shared" si="2"/>
        <v>46013</v>
      </c>
      <c r="AJ83" s="287"/>
      <c r="AK83" s="286">
        <f t="shared" si="3"/>
        <v>0</v>
      </c>
      <c r="AL83" s="287">
        <f t="shared" si="4"/>
        <v>0</v>
      </c>
      <c r="AM83" s="287">
        <f t="shared" si="5"/>
        <v>4</v>
      </c>
      <c r="AN83" s="279">
        <f t="shared" si="6"/>
        <v>6</v>
      </c>
      <c r="AO83" s="295" t="str">
        <f t="shared" si="7"/>
        <v>12/2025</v>
      </c>
      <c r="AP83" s="277" t="str">
        <f t="array" ref="AP83">IFERROR(XLOOKUP(L83,'2. DATA NL, VTBB'!C:C,'2. DATA NL, VTBB'!F:F),"")</f>
        <v>HH0159</v>
      </c>
      <c r="AQ83" s="277" t="str">
        <f t="array" ref="AQ83">IF(OR(K83="Nhãn", K83="Nhãn thùng",K83="Nhãn Túi"), K83 &amp; " " &amp; IFERROR(XLOOKUP(L83, '2. DATA NL, VTBB'!C:C, '2. DATA NL, VTBB'!E:E), ""), "")</f>
        <v/>
      </c>
      <c r="AR83" s="278" t="str">
        <f t="array" ref="AR83">IFERROR(XLOOKUP(L83,'2. DATA NL, VTBB'!C:C,'2. DATA NL, VTBB'!G:G),"")</f>
        <v>LOT IDA Global - I - 882 - CT Notraco - Avermectin (Pet tròn) (nắp vàng)(nước nâu đen) - 450ml - 40</v>
      </c>
      <c r="AS83" s="278" t="str">
        <f t="array" ref="AS83">IFERROR(XLOOKUP(L83,'2. DATA NL, VTBB'!C:C,'2. DATA NL, VTBB'!G:G),"")</f>
        <v>LOT IDA Global - I - 882 - CT Notraco - Avermectin (Pet tròn) (nắp vàng)(nước nâu đen) - 450ml - 40</v>
      </c>
      <c r="AT83" s="277"/>
    </row>
    <row r="84" ht="30.75" customHeight="1">
      <c r="A84" s="272">
        <f t="shared" si="24"/>
        <v>81</v>
      </c>
      <c r="B84" s="289">
        <v>46006.0</v>
      </c>
      <c r="C84" s="273">
        <v>46007.0</v>
      </c>
      <c r="D84" s="273">
        <f t="shared" si="25"/>
        <v>46009</v>
      </c>
      <c r="E84" s="289">
        <v>46008.0</v>
      </c>
      <c r="F84" s="274" t="s">
        <v>561</v>
      </c>
      <c r="G84" s="275" t="s">
        <v>580</v>
      </c>
      <c r="H84" s="274" t="s">
        <v>304</v>
      </c>
      <c r="I84" s="275" t="s">
        <v>726</v>
      </c>
      <c r="J84" s="279" t="s">
        <v>804</v>
      </c>
      <c r="K84" s="275" t="s">
        <v>728</v>
      </c>
      <c r="L84" s="277" t="s">
        <v>742</v>
      </c>
      <c r="M84" s="278" t="str">
        <f t="array" ref="M84">IFERROR(XLOOKUP(L84,'2. DATA NL, VTBB'!C:C,'2. DATA NL, VTBB'!D:D),"")</f>
        <v>PN - Chai HDPE tròn cổ 45 1Lít (110g) - Trắng (không ganty)</v>
      </c>
      <c r="N84" s="280"/>
      <c r="O84" s="280" t="str">
        <f t="array" ref="O84">IFERROR( XLOOKUP(L84,'2. DATA NL, VTBB'!C:C,'2. DATA NL, VTBB'!E:E),"")</f>
        <v>CA MAP 350SC</v>
      </c>
      <c r="P84" s="275" t="s">
        <v>565</v>
      </c>
      <c r="Q84" s="311"/>
      <c r="R84" s="291" t="s">
        <v>573</v>
      </c>
      <c r="S84" s="280"/>
      <c r="T84" s="280"/>
      <c r="U84" s="277"/>
      <c r="V84" s="283">
        <v>500.0</v>
      </c>
      <c r="W84" s="275" t="s">
        <v>699</v>
      </c>
      <c r="X84" s="283">
        <v>500.0</v>
      </c>
      <c r="Y84" s="274">
        <v>525.0</v>
      </c>
      <c r="Z84" s="287">
        <v>4700.0</v>
      </c>
      <c r="AA84" s="285">
        <v>0.08</v>
      </c>
      <c r="AB84" s="282">
        <v>2664900.0</v>
      </c>
      <c r="AC84" s="277"/>
      <c r="AD84" s="289">
        <v>46006.0</v>
      </c>
      <c r="AE84" s="272">
        <v>2342.0</v>
      </c>
      <c r="AF84" s="277"/>
      <c r="AG84" s="277"/>
      <c r="AH84" s="294">
        <f>IFERROR(__xludf.DUMMYFUNCTION("IFERROR(INDEX( SORT(FILTER(
        {'1. DATA CHUNG'!$J$4:$J$105 , '1. DATA CHUNG'!$L$4:$L$105}, (TRIM('1. DATA CHUNG'!$I$4:$I$105)=TRIM(K84)) * IF(COUNTIFS('1. DATA CHUNG'!$I$4:$I$105,K84,'1. DATA CHUNG'!$M$4:$M$105,Q84), '1. DATA CHUNG'!$M$4:$M$105=Q84,"&amp;" 1) * ('1. DATA CHUNG'!$L$4:$L$105&lt;=TODAY()) ),   2, 0),  1, 1), 
  IFERROR( INDEX(FILTER('1. DATA CHUNG'!$J$4:$J$105, (TRIM('1. DATA CHUNG'!$I$4:$I$105)=TRIM(K84)) * IF(COUNTIFS('1. DATA CHUNG'!$I$4:$I$105,K84,'1. DATA CHUNG'!$M$4:$M$105,Q84), '1. DATA C"&amp;"HUNG'!$M$4:$M$105=Q84, 1) * ('1. DATA CHUNG'!$L$4:$L$105="""")), 1), ""Không tìm thấy"" ))"),7.0)</f>
        <v>7</v>
      </c>
      <c r="AI84" s="273">
        <f t="shared" si="2"/>
        <v>46013</v>
      </c>
      <c r="AJ84" s="287"/>
      <c r="AK84" s="286">
        <f t="shared" si="3"/>
        <v>0</v>
      </c>
      <c r="AL84" s="287">
        <f t="shared" si="4"/>
        <v>1</v>
      </c>
      <c r="AM84" s="287">
        <f t="shared" si="5"/>
        <v>5</v>
      </c>
      <c r="AN84" s="279">
        <f t="shared" si="6"/>
        <v>6</v>
      </c>
      <c r="AO84" s="295" t="str">
        <f t="shared" si="7"/>
        <v>12/2025</v>
      </c>
      <c r="AP84" s="277" t="str">
        <f t="array" ref="AP84">IFERROR(XLOOKUP(L84,'2. DATA NL, VTBB'!C:C,'2. DATA NL, VTBB'!F:F),"")</f>
        <v>HH0151</v>
      </c>
      <c r="AQ84" s="277" t="str">
        <f t="array" ref="AQ84">IF(OR(K84="Nhãn", K84="Nhãn thùng",K84="Nhãn Túi"), K84 &amp; " " &amp; IFERROR(XLOOKUP(L84, '2. DATA NL, VTBB'!C:C, '2. DATA NL, VTBB'!E:E), ""), "")</f>
        <v/>
      </c>
      <c r="AR84" s="278" t="str">
        <f t="array" ref="AR84">IFERROR(XLOOKUP(L84,'2. DATA NL, VTBB'!C:C,'2. DATA NL, VTBB'!G:G),"")</f>
        <v>IDA Global - I - 725 - Cá mập 350SC (chai HD) - 100ml - 100 ([btp],t,c)</v>
      </c>
      <c r="AS84" s="278" t="str">
        <f t="array" ref="AS84">IFERROR(XLOOKUP(L84,'2. DATA NL, VTBB'!C:C,'2. DATA NL, VTBB'!G:G),"")</f>
        <v>IDA Global - I - 725 - Cá mập 350SC (chai HD) - 100ml - 100 ([btp],t,c)</v>
      </c>
      <c r="AT84" s="277"/>
    </row>
    <row r="85" ht="30.75" customHeight="1">
      <c r="A85" s="272">
        <f t="shared" si="24"/>
        <v>82</v>
      </c>
      <c r="B85" s="289">
        <v>46006.0</v>
      </c>
      <c r="C85" s="273">
        <v>46007.0</v>
      </c>
      <c r="D85" s="273">
        <f t="shared" si="25"/>
        <v>46009</v>
      </c>
      <c r="E85" s="289">
        <v>46008.0</v>
      </c>
      <c r="F85" s="274" t="s">
        <v>561</v>
      </c>
      <c r="G85" s="275" t="s">
        <v>580</v>
      </c>
      <c r="H85" s="274" t="s">
        <v>304</v>
      </c>
      <c r="I85" s="275" t="s">
        <v>726</v>
      </c>
      <c r="J85" s="279" t="s">
        <v>804</v>
      </c>
      <c r="K85" s="275" t="s">
        <v>730</v>
      </c>
      <c r="L85" s="277" t="s">
        <v>741</v>
      </c>
      <c r="M85" s="278" t="str">
        <f t="array" ref="M85">IFERROR(XLOOKUP(L85,'2. DATA NL, VTBB'!C:C,'2. DATA NL, VTBB'!D:D),"")</f>
        <v>PN- Nắp HDPE cổ 45 (8g) - Xanh Lá (không ganty)</v>
      </c>
      <c r="N85" s="280"/>
      <c r="O85" s="280" t="str">
        <f t="array" ref="O85">IFERROR( XLOOKUP(L85,'2. DATA NL, VTBB'!C:C,'2. DATA NL, VTBB'!E:E),"")</f>
        <v>Chitin 3.6EC</v>
      </c>
      <c r="P85" s="275" t="s">
        <v>565</v>
      </c>
      <c r="Q85" s="311"/>
      <c r="R85" s="291" t="s">
        <v>573</v>
      </c>
      <c r="S85" s="280"/>
      <c r="T85" s="280"/>
      <c r="U85" s="277"/>
      <c r="V85" s="283">
        <v>500.0</v>
      </c>
      <c r="W85" s="275" t="s">
        <v>699</v>
      </c>
      <c r="X85" s="283">
        <v>500.0</v>
      </c>
      <c r="Y85" s="274">
        <v>525.0</v>
      </c>
      <c r="Z85" s="279">
        <v>900.0</v>
      </c>
      <c r="AA85" s="285">
        <v>0.08</v>
      </c>
      <c r="AB85" s="282">
        <v>510300.0</v>
      </c>
      <c r="AC85" s="277"/>
      <c r="AD85" s="289">
        <v>46006.0</v>
      </c>
      <c r="AE85" s="272">
        <v>2342.0</v>
      </c>
      <c r="AF85" s="277"/>
      <c r="AG85" s="277"/>
      <c r="AH85" s="294">
        <f>IFERROR(__xludf.DUMMYFUNCTION("IFERROR(INDEX( SORT(FILTER(
        {'1. DATA CHUNG'!$J$4:$J$105 , '1. DATA CHUNG'!$L$4:$L$105}, (TRIM('1. DATA CHUNG'!$I$4:$I$105)=TRIM(K85)) * IF(COUNTIFS('1. DATA CHUNG'!$I$4:$I$105,K85,'1. DATA CHUNG'!$M$4:$M$105,Q85), '1. DATA CHUNG'!$M$4:$M$105=Q85,"&amp;" 1) * ('1. DATA CHUNG'!$L$4:$L$105&lt;=TODAY()) ),   2, 0),  1, 1), 
  IFERROR( INDEX(FILTER('1. DATA CHUNG'!$J$4:$J$105, (TRIM('1. DATA CHUNG'!$I$4:$I$105)=TRIM(K85)) * IF(COUNTIFS('1. DATA CHUNG'!$I$4:$I$105,K85,'1. DATA CHUNG'!$M$4:$M$105,Q85), '1. DATA C"&amp;"HUNG'!$M$4:$M$105=Q85, 1) * ('1. DATA CHUNG'!$L$4:$L$105="""")), 1), ""Không tìm thấy"" ))"),7.0)</f>
        <v>7</v>
      </c>
      <c r="AI85" s="273">
        <f t="shared" si="2"/>
        <v>46013</v>
      </c>
      <c r="AJ85" s="287"/>
      <c r="AK85" s="286">
        <f t="shared" si="3"/>
        <v>0</v>
      </c>
      <c r="AL85" s="287">
        <f t="shared" si="4"/>
        <v>1</v>
      </c>
      <c r="AM85" s="287">
        <f t="shared" si="5"/>
        <v>5</v>
      </c>
      <c r="AN85" s="279">
        <f t="shared" si="6"/>
        <v>6</v>
      </c>
      <c r="AO85" s="295" t="str">
        <f t="shared" si="7"/>
        <v>12/2025</v>
      </c>
      <c r="AP85" s="277" t="str">
        <f t="array" ref="AP85">IFERROR(XLOOKUP(L85,'2. DATA NL, VTBB'!C:C,'2. DATA NL, VTBB'!F:F),"")</f>
        <v>HH0159</v>
      </c>
      <c r="AQ85" s="277" t="str">
        <f t="array" ref="AQ85">IF(OR(K85="Nhãn", K85="Nhãn thùng",K85="Nhãn Túi"), K85 &amp; " " &amp; IFERROR(XLOOKUP(L85, '2. DATA NL, VTBB'!C:C, '2. DATA NL, VTBB'!E:E), ""), "")</f>
        <v/>
      </c>
      <c r="AR85" s="278" t="str">
        <f t="array" ref="AR85">IFERROR(XLOOKUP(L85,'2. DATA NL, VTBB'!C:C,'2. DATA NL, VTBB'!G:G),"")</f>
        <v>LOT IDA Global - I - 882 - CT Notraco - Avermectin (Pet tròn) (nắp vàng)(nước nâu đen) - 450ml - 40</v>
      </c>
      <c r="AS85" s="278" t="str">
        <f t="array" ref="AS85">IFERROR(XLOOKUP(L85,'2. DATA NL, VTBB'!C:C,'2. DATA NL, VTBB'!G:G),"")</f>
        <v>LOT IDA Global - I - 882 - CT Notraco - Avermectin (Pet tròn) (nắp vàng)(nước nâu đen) - 450ml - 40</v>
      </c>
      <c r="AT85" s="277"/>
    </row>
    <row r="86" ht="30.75" customHeight="1">
      <c r="A86" s="272">
        <f t="shared" si="24"/>
        <v>83</v>
      </c>
      <c r="B86" s="289">
        <v>46006.0</v>
      </c>
      <c r="C86" s="273">
        <v>46007.0</v>
      </c>
      <c r="D86" s="273">
        <f t="shared" si="25"/>
        <v>46009</v>
      </c>
      <c r="E86" s="289">
        <v>46008.0</v>
      </c>
      <c r="F86" s="274" t="s">
        <v>561</v>
      </c>
      <c r="G86" s="275" t="s">
        <v>562</v>
      </c>
      <c r="H86" s="274" t="s">
        <v>304</v>
      </c>
      <c r="I86" s="275" t="s">
        <v>726</v>
      </c>
      <c r="J86" s="279" t="s">
        <v>805</v>
      </c>
      <c r="K86" s="275" t="s">
        <v>730</v>
      </c>
      <c r="L86" s="277" t="s">
        <v>736</v>
      </c>
      <c r="M86" s="278" t="str">
        <f t="array" ref="M86">IFERROR(XLOOKUP(L86,'2. DATA NL, VTBB'!C:C,'2. DATA NL, VTBB'!D:D),"")</f>
        <v>Nắp PET cổ 35 (4.3g) đỏ</v>
      </c>
      <c r="N86" s="280"/>
      <c r="O86" s="280" t="str">
        <f t="array" ref="O86">IFERROR( XLOOKUP(L86,'2. DATA NL, VTBB'!C:C,'2. DATA NL, VTBB'!E:E),"")</f>
        <v>Vi lượng AV4</v>
      </c>
      <c r="P86" s="275" t="s">
        <v>565</v>
      </c>
      <c r="Q86" s="311"/>
      <c r="R86" s="291" t="s">
        <v>573</v>
      </c>
      <c r="S86" s="280"/>
      <c r="T86" s="280"/>
      <c r="U86" s="277"/>
      <c r="V86" s="283">
        <v>2000.0</v>
      </c>
      <c r="W86" s="275" t="s">
        <v>699</v>
      </c>
      <c r="X86" s="283">
        <v>2000.0</v>
      </c>
      <c r="Y86" s="274">
        <v>2080.0</v>
      </c>
      <c r="Z86" s="287">
        <v>600.0</v>
      </c>
      <c r="AA86" s="285">
        <v>0.08</v>
      </c>
      <c r="AB86" s="282">
        <v>1347840.0</v>
      </c>
      <c r="AC86" s="277"/>
      <c r="AD86" s="289">
        <v>46006.0</v>
      </c>
      <c r="AE86" s="272">
        <v>4343.0</v>
      </c>
      <c r="AF86" s="277"/>
      <c r="AG86" s="277"/>
      <c r="AH86" s="294">
        <f>IFERROR(__xludf.DUMMYFUNCTION("IFERROR(INDEX( SORT(FILTER(
        {'1. DATA CHUNG'!$J$4:$J$105 , '1. DATA CHUNG'!$L$4:$L$105}, (TRIM('1. DATA CHUNG'!$I$4:$I$105)=TRIM(K86)) * IF(COUNTIFS('1. DATA CHUNG'!$I$4:$I$105,K86,'1. DATA CHUNG'!$M$4:$M$105,Q86), '1. DATA CHUNG'!$M$4:$M$105=Q86,"&amp;" 1) * ('1. DATA CHUNG'!$L$4:$L$105&lt;=TODAY()) ),   2, 0),  1, 1), 
  IFERROR( INDEX(FILTER('1. DATA CHUNG'!$J$4:$J$105, (TRIM('1. DATA CHUNG'!$I$4:$I$105)=TRIM(K86)) * IF(COUNTIFS('1. DATA CHUNG'!$I$4:$I$105,K86,'1. DATA CHUNG'!$M$4:$M$105,Q86), '1. DATA C"&amp;"HUNG'!$M$4:$M$105=Q86, 1) * ('1. DATA CHUNG'!$L$4:$L$105="""")), 1), ""Không tìm thấy"" ))"),7.0)</f>
        <v>7</v>
      </c>
      <c r="AI86" s="273">
        <f t="shared" si="2"/>
        <v>46013</v>
      </c>
      <c r="AJ86" s="287"/>
      <c r="AK86" s="286">
        <f t="shared" si="3"/>
        <v>0</v>
      </c>
      <c r="AL86" s="287">
        <f t="shared" si="4"/>
        <v>1</v>
      </c>
      <c r="AM86" s="287">
        <f t="shared" si="5"/>
        <v>5</v>
      </c>
      <c r="AN86" s="279">
        <f t="shared" si="6"/>
        <v>6</v>
      </c>
      <c r="AO86" s="295" t="str">
        <f t="shared" si="7"/>
        <v>12/2025</v>
      </c>
      <c r="AP86" s="277" t="str">
        <f t="array" ref="AP86">IFERROR(XLOOKUP(L86,'2. DATA NL, VTBB'!C:C,'2. DATA NL, VTBB'!F:F),"")</f>
        <v>HH0002</v>
      </c>
      <c r="AQ86" s="277" t="str">
        <f t="array" ref="AQ86">IF(OR(K86="Nhãn", K86="Nhãn thùng",K86="Nhãn Túi"), K86 &amp; " " &amp; IFERROR(XLOOKUP(L86, '2. DATA NL, VTBB'!C:C, '2. DATA NL, VTBB'!E:E), ""), "")</f>
        <v/>
      </c>
      <c r="AR86" s="278" t="str">
        <f t="array" ref="AR86">IFERROR(XLOOKUP(L86,'2. DATA NL, VTBB'!C:C,'2. DATA NL, VTBB'!G:G),"")</f>
        <v>GC - II - 24 - Aqua Gold ra bông xoài 1kg -25</v>
      </c>
      <c r="AS86" s="278" t="str">
        <f t="array" ref="AS86">IFERROR(XLOOKUP(L86,'2. DATA NL, VTBB'!C:C,'2. DATA NL, VTBB'!G:G),"")</f>
        <v>GC - II - 24 - Aqua Gold ra bông xoài 1kg -25</v>
      </c>
      <c r="AT86" s="277"/>
    </row>
    <row r="87" ht="30.75" customHeight="1">
      <c r="A87" s="272">
        <f t="shared" si="24"/>
        <v>84</v>
      </c>
      <c r="B87" s="289">
        <v>46006.0</v>
      </c>
      <c r="C87" s="273">
        <v>46007.0</v>
      </c>
      <c r="D87" s="273">
        <f t="shared" si="25"/>
        <v>46009</v>
      </c>
      <c r="E87" s="289">
        <v>46008.0</v>
      </c>
      <c r="F87" s="274" t="s">
        <v>561</v>
      </c>
      <c r="G87" s="275" t="s">
        <v>562</v>
      </c>
      <c r="H87" s="274" t="s">
        <v>304</v>
      </c>
      <c r="I87" s="275" t="s">
        <v>726</v>
      </c>
      <c r="J87" s="279" t="s">
        <v>805</v>
      </c>
      <c r="K87" s="275" t="s">
        <v>728</v>
      </c>
      <c r="L87" s="277" t="s">
        <v>778</v>
      </c>
      <c r="M87" s="278" t="str">
        <f t="array" ref="M87">IFERROR(XLOOKUP(L87,'2. DATA NL, VTBB'!C:C,'2. DATA NL, VTBB'!D:D),"")</f>
        <v>Chai PET tròn cổ 44 500ml (45g) Trắng</v>
      </c>
      <c r="N87" s="280"/>
      <c r="O87" s="280" t="str">
        <f t="array" ref="O87">IFERROR( XLOOKUP(L87,'2. DATA NL, VTBB'!C:C,'2. DATA NL, VTBB'!E:E),"")</f>
        <v>Chitin 3.6EC</v>
      </c>
      <c r="P87" s="275" t="s">
        <v>565</v>
      </c>
      <c r="Q87" s="311"/>
      <c r="R87" s="291" t="s">
        <v>573</v>
      </c>
      <c r="S87" s="280"/>
      <c r="T87" s="280"/>
      <c r="U87" s="277"/>
      <c r="V87" s="283">
        <v>4000.0</v>
      </c>
      <c r="W87" s="275" t="s">
        <v>699</v>
      </c>
      <c r="X87" s="283">
        <v>4000.0</v>
      </c>
      <c r="Y87" s="274">
        <v>4032.0</v>
      </c>
      <c r="Z87" s="279">
        <v>1900.0</v>
      </c>
      <c r="AA87" s="285">
        <v>0.08</v>
      </c>
      <c r="AB87" s="282">
        <v>8273664.0</v>
      </c>
      <c r="AC87" s="277"/>
      <c r="AD87" s="289">
        <v>46006.0</v>
      </c>
      <c r="AE87" s="272">
        <v>2345.0</v>
      </c>
      <c r="AF87" s="277"/>
      <c r="AG87" s="277"/>
      <c r="AH87" s="294">
        <f>IFERROR(__xludf.DUMMYFUNCTION("IFERROR(INDEX( SORT(FILTER(
        {'1. DATA CHUNG'!$J$4:$J$105 , '1. DATA CHUNG'!$L$4:$L$105}, (TRIM('1. DATA CHUNG'!$I$4:$I$105)=TRIM(K87)) * IF(COUNTIFS('1. DATA CHUNG'!$I$4:$I$105,K87,'1. DATA CHUNG'!$M$4:$M$105,Q87), '1. DATA CHUNG'!$M$4:$M$105=Q87,"&amp;" 1) * ('1. DATA CHUNG'!$L$4:$L$105&lt;=TODAY()) ),   2, 0),  1, 1), 
  IFERROR( INDEX(FILTER('1. DATA CHUNG'!$J$4:$J$105, (TRIM('1. DATA CHUNG'!$I$4:$I$105)=TRIM(K87)) * IF(COUNTIFS('1. DATA CHUNG'!$I$4:$I$105,K87,'1. DATA CHUNG'!$M$4:$M$105,Q87), '1. DATA C"&amp;"HUNG'!$M$4:$M$105=Q87, 1) * ('1. DATA CHUNG'!$L$4:$L$105="""")), 1), ""Không tìm thấy"" ))"),7.0)</f>
        <v>7</v>
      </c>
      <c r="AI87" s="273">
        <f t="shared" si="2"/>
        <v>46013</v>
      </c>
      <c r="AJ87" s="287"/>
      <c r="AK87" s="286">
        <f t="shared" si="3"/>
        <v>0</v>
      </c>
      <c r="AL87" s="287">
        <f t="shared" si="4"/>
        <v>1</v>
      </c>
      <c r="AM87" s="287">
        <f t="shared" si="5"/>
        <v>5</v>
      </c>
      <c r="AN87" s="279">
        <f t="shared" si="6"/>
        <v>6</v>
      </c>
      <c r="AO87" s="295" t="str">
        <f t="shared" si="7"/>
        <v>12/2025</v>
      </c>
      <c r="AP87" s="277" t="str">
        <f t="array" ref="AP87">IFERROR(XLOOKUP(L87,'2. DATA NL, VTBB'!C:C,'2. DATA NL, VTBB'!F:F),"")</f>
        <v>HH0234</v>
      </c>
      <c r="AQ87" s="277" t="str">
        <f t="array" ref="AQ87">IF(OR(K87="Nhãn", K87="Nhãn thùng",K87="Nhãn Túi"), K87 &amp; " " &amp; IFERROR(XLOOKUP(L87, '2. DATA NL, VTBB'!C:C, '2. DATA NL, VTBB'!E:E), ""), "")</f>
        <v/>
      </c>
      <c r="AR87" s="278" t="str">
        <f t="array" ref="AR87">IFERROR(XLOOKUP(L87,'2. DATA NL, VTBB'!C:C,'2. DATA NL, VTBB'!G:G),"")</f>
        <v>LOT IDA Global - I - 875 - ĐL Bảo Tại - Avermectin 36 (Pet tròn) (nắp đỏ)(nước nâu đen) - 450ml - 40</v>
      </c>
      <c r="AS87" s="278" t="str">
        <f t="array" ref="AS87">IFERROR(XLOOKUP(L87,'2. DATA NL, VTBB'!C:C,'2. DATA NL, VTBB'!G:G),"")</f>
        <v>LOT IDA Global - I - 875 - ĐL Bảo Tại - Avermectin 36 (Pet tròn) (nắp đỏ)(nước nâu đen) - 450ml - 40</v>
      </c>
      <c r="AT87" s="277"/>
    </row>
    <row r="88" ht="30.75" customHeight="1">
      <c r="A88" s="272">
        <f t="shared" si="24"/>
        <v>85</v>
      </c>
      <c r="B88" s="289">
        <v>46006.0</v>
      </c>
      <c r="C88" s="273">
        <v>46007.0</v>
      </c>
      <c r="D88" s="273">
        <f t="shared" si="25"/>
        <v>46009</v>
      </c>
      <c r="E88" s="289">
        <v>46008.0</v>
      </c>
      <c r="F88" s="274" t="s">
        <v>561</v>
      </c>
      <c r="G88" s="275" t="s">
        <v>562</v>
      </c>
      <c r="H88" s="274" t="s">
        <v>304</v>
      </c>
      <c r="I88" s="275" t="s">
        <v>726</v>
      </c>
      <c r="J88" s="279" t="s">
        <v>805</v>
      </c>
      <c r="K88" s="275" t="s">
        <v>730</v>
      </c>
      <c r="L88" s="277" t="s">
        <v>779</v>
      </c>
      <c r="M88" s="278" t="str">
        <f t="array" ref="M88">IFERROR(XLOOKUP(L88,'2. DATA NL, VTBB'!C:C,'2. DATA NL, VTBB'!D:D),"")</f>
        <v>Nắp PET cổ 44 (9g) - Trắng</v>
      </c>
      <c r="N88" s="280"/>
      <c r="O88" s="280" t="str">
        <f t="array" ref="O88">IFERROR( XLOOKUP(L88,'2. DATA NL, VTBB'!C:C,'2. DATA NL, VTBB'!E:E),"")</f>
        <v>IMIPRID 10WP</v>
      </c>
      <c r="P88" s="275" t="s">
        <v>565</v>
      </c>
      <c r="Q88" s="311"/>
      <c r="R88" s="291" t="s">
        <v>573</v>
      </c>
      <c r="S88" s="280"/>
      <c r="T88" s="280"/>
      <c r="U88" s="277"/>
      <c r="V88" s="283">
        <v>4000.0</v>
      </c>
      <c r="W88" s="275" t="s">
        <v>699</v>
      </c>
      <c r="X88" s="283">
        <v>4000.0</v>
      </c>
      <c r="Y88" s="274">
        <v>4032.0</v>
      </c>
      <c r="Z88" s="287">
        <v>900.0</v>
      </c>
      <c r="AA88" s="285">
        <v>0.08</v>
      </c>
      <c r="AB88" s="282">
        <v>3919104.0</v>
      </c>
      <c r="AC88" s="277"/>
      <c r="AD88" s="289">
        <v>46006.0</v>
      </c>
      <c r="AE88" s="272">
        <v>2345.0</v>
      </c>
      <c r="AF88" s="277"/>
      <c r="AG88" s="277"/>
      <c r="AH88" s="294">
        <f>IFERROR(__xludf.DUMMYFUNCTION("IFERROR(INDEX( SORT(FILTER(
        {'1. DATA CHUNG'!$J$4:$J$105 , '1. DATA CHUNG'!$L$4:$L$105}, (TRIM('1. DATA CHUNG'!$I$4:$I$105)=TRIM(K88)) * IF(COUNTIFS('1. DATA CHUNG'!$I$4:$I$105,K88,'1. DATA CHUNG'!$M$4:$M$105,Q88), '1. DATA CHUNG'!$M$4:$M$105=Q88,"&amp;" 1) * ('1. DATA CHUNG'!$L$4:$L$105&lt;=TODAY()) ),   2, 0),  1, 1), 
  IFERROR( INDEX(FILTER('1. DATA CHUNG'!$J$4:$J$105, (TRIM('1. DATA CHUNG'!$I$4:$I$105)=TRIM(K88)) * IF(COUNTIFS('1. DATA CHUNG'!$I$4:$I$105,K88,'1. DATA CHUNG'!$M$4:$M$105,Q88), '1. DATA C"&amp;"HUNG'!$M$4:$M$105=Q88, 1) * ('1. DATA CHUNG'!$L$4:$L$105="""")), 1), ""Không tìm thấy"" ))"),7.0)</f>
        <v>7</v>
      </c>
      <c r="AI88" s="273">
        <f t="shared" si="2"/>
        <v>46013</v>
      </c>
      <c r="AJ88" s="287"/>
      <c r="AK88" s="286">
        <f t="shared" si="3"/>
        <v>0</v>
      </c>
      <c r="AL88" s="287">
        <f t="shared" si="4"/>
        <v>1</v>
      </c>
      <c r="AM88" s="287">
        <f t="shared" si="5"/>
        <v>5</v>
      </c>
      <c r="AN88" s="279">
        <f t="shared" si="6"/>
        <v>6</v>
      </c>
      <c r="AO88" s="295" t="str">
        <f t="shared" si="7"/>
        <v>12/2025</v>
      </c>
      <c r="AP88" s="277" t="str">
        <f t="array" ref="AP88">IFERROR(XLOOKUP(L88,'2. DATA NL, VTBB'!C:C,'2. DATA NL, VTBB'!F:F),"")</f>
        <v>HH0163</v>
      </c>
      <c r="AQ88" s="277" t="str">
        <f t="array" ref="AQ88">IF(OR(K88="Nhãn", K88="Nhãn thùng",K88="Nhãn Túi"), K88 &amp; " " &amp; IFERROR(XLOOKUP(L88, '2. DATA NL, VTBB'!C:C, '2. DATA NL, VTBB'!E:E), ""), "")</f>
        <v/>
      </c>
      <c r="AR88" s="278" t="str">
        <f t="array" ref="AR88">IFERROR(XLOOKUP(L88,'2. DATA NL, VTBB'!C:C,'2. DATA NL, VTBB'!G:G),"")</f>
        <v>GC - IV - 888.1 - Huy Phát - BI Pro Max (Bột trắng) - 100gr - 100</v>
      </c>
      <c r="AS88" s="278" t="str">
        <f t="array" ref="AS88">IFERROR(XLOOKUP(L88,'2. DATA NL, VTBB'!C:C,'2. DATA NL, VTBB'!G:G),"")</f>
        <v>GC - IV - 888.1 - Huy Phát - BI Pro Max (Bột trắng) - 100gr - 100</v>
      </c>
      <c r="AT88" s="277"/>
    </row>
    <row r="89" ht="30.75" customHeight="1">
      <c r="A89" s="272">
        <f t="shared" si="24"/>
        <v>86</v>
      </c>
      <c r="B89" s="289">
        <v>46006.0</v>
      </c>
      <c r="C89" s="273">
        <v>46007.0</v>
      </c>
      <c r="D89" s="273">
        <f t="shared" si="25"/>
        <v>46009</v>
      </c>
      <c r="E89" s="289">
        <v>46008.0</v>
      </c>
      <c r="F89" s="274" t="s">
        <v>561</v>
      </c>
      <c r="G89" s="275" t="s">
        <v>580</v>
      </c>
      <c r="H89" s="274" t="s">
        <v>304</v>
      </c>
      <c r="I89" s="275" t="s">
        <v>806</v>
      </c>
      <c r="J89" s="279" t="s">
        <v>807</v>
      </c>
      <c r="K89" s="275" t="s">
        <v>728</v>
      </c>
      <c r="L89" s="277" t="s">
        <v>808</v>
      </c>
      <c r="M89" s="278" t="str">
        <f t="array" ref="M89">IFERROR(XLOOKUP(L89,'2. DATA NL, VTBB'!C:C,'2. DATA NL, VTBB'!D:D),"")</f>
        <v>Chai nhôm tròn 250ml cổ 38 - Màu đỏ -  Nắp trắng, có cốc đong</v>
      </c>
      <c r="N89" s="280"/>
      <c r="O89" s="280" t="str">
        <f t="array" ref="O89">IFERROR( XLOOKUP(L89,'2. DATA NL, VTBB'!C:C,'2. DATA NL, VTBB'!E:E),"")</f>
        <v>Vi lượng Basel IDA 47</v>
      </c>
      <c r="P89" s="275" t="s">
        <v>565</v>
      </c>
      <c r="Q89" s="311"/>
      <c r="R89" s="291" t="s">
        <v>573</v>
      </c>
      <c r="S89" s="280"/>
      <c r="T89" s="280"/>
      <c r="U89" s="277"/>
      <c r="V89" s="283">
        <v>2000.0</v>
      </c>
      <c r="W89" s="275" t="s">
        <v>699</v>
      </c>
      <c r="X89" s="283">
        <v>2000.0</v>
      </c>
      <c r="Y89" s="274">
        <v>1800.0</v>
      </c>
      <c r="Z89" s="286">
        <v>10636.36</v>
      </c>
      <c r="AA89" s="285">
        <v>0.1</v>
      </c>
      <c r="AB89" s="282">
        <v>2.1059993E7</v>
      </c>
      <c r="AC89" s="277"/>
      <c r="AD89" s="289">
        <v>46006.0</v>
      </c>
      <c r="AE89" s="272">
        <v>2396.0</v>
      </c>
      <c r="AF89" s="277"/>
      <c r="AG89" s="277"/>
      <c r="AH89" s="294">
        <f>IFERROR(__xludf.DUMMYFUNCTION("IFERROR(INDEX( SORT(FILTER(
        {'1. DATA CHUNG'!$J$4:$J$105 , '1. DATA CHUNG'!$L$4:$L$105}, (TRIM('1. DATA CHUNG'!$I$4:$I$105)=TRIM(K89)) * IF(COUNTIFS('1. DATA CHUNG'!$I$4:$I$105,K89,'1. DATA CHUNG'!$M$4:$M$105,Q89), '1. DATA CHUNG'!$M$4:$M$105=Q89,"&amp;" 1) * ('1. DATA CHUNG'!$L$4:$L$105&lt;=TODAY()) ),   2, 0),  1, 1), 
  IFERROR( INDEX(FILTER('1. DATA CHUNG'!$J$4:$J$105, (TRIM('1. DATA CHUNG'!$I$4:$I$105)=TRIM(K89)) * IF(COUNTIFS('1. DATA CHUNG'!$I$4:$I$105,K89,'1. DATA CHUNG'!$M$4:$M$105,Q89), '1. DATA C"&amp;"HUNG'!$M$4:$M$105=Q89, 1) * ('1. DATA CHUNG'!$L$4:$L$105="""")), 1), ""Không tìm thấy"" ))"),7.0)</f>
        <v>7</v>
      </c>
      <c r="AI89" s="273">
        <f t="shared" si="2"/>
        <v>46013</v>
      </c>
      <c r="AJ89" s="287"/>
      <c r="AK89" s="286">
        <f t="shared" si="3"/>
        <v>0</v>
      </c>
      <c r="AL89" s="287">
        <f t="shared" si="4"/>
        <v>1</v>
      </c>
      <c r="AM89" s="287">
        <f t="shared" si="5"/>
        <v>5</v>
      </c>
      <c r="AN89" s="279">
        <f t="shared" si="6"/>
        <v>6</v>
      </c>
      <c r="AO89" s="295" t="str">
        <f t="shared" si="7"/>
        <v>12/2025</v>
      </c>
      <c r="AP89" s="277" t="str">
        <f t="array" ref="AP89">IFERROR(XLOOKUP(L89,'2. DATA NL, VTBB'!C:C,'2. DATA NL, VTBB'!F:F),"")</f>
        <v>HH0033</v>
      </c>
      <c r="AQ89" s="277" t="str">
        <f t="array" ref="AQ89">IF(OR(K89="Nhãn", K89="Nhãn thùng",K89="Nhãn Túi"), K89 &amp; " " &amp; IFERROR(XLOOKUP(L89, '2. DATA NL, VTBB'!C:C, '2. DATA NL, VTBB'!E:E), ""), "")</f>
        <v/>
      </c>
      <c r="AR89" s="278" t="str">
        <f t="array" ref="AR89">IFERROR(XLOOKUP(L89,'2. DATA NL, VTBB'!C:C,'2. DATA NL, VTBB'!G:G),"")</f>
        <v>IDA GLOBAL - I - 416 - Flower Top (drone) - 50ml - 300</v>
      </c>
      <c r="AS89" s="278" t="str">
        <f t="array" ref="AS89">IFERROR(XLOOKUP(L89,'2. DATA NL, VTBB'!C:C,'2. DATA NL, VTBB'!G:G),"")</f>
        <v>IDA GLOBAL - I - 416 - Flower Top (drone) - 50ml - 300</v>
      </c>
      <c r="AT89" s="277"/>
    </row>
    <row r="90" ht="30.75" customHeight="1">
      <c r="A90" s="272">
        <f t="shared" si="24"/>
        <v>87</v>
      </c>
      <c r="B90" s="289">
        <v>46006.0</v>
      </c>
      <c r="C90" s="273">
        <v>46007.0</v>
      </c>
      <c r="D90" s="273">
        <f t="shared" si="25"/>
        <v>46009</v>
      </c>
      <c r="E90" s="289">
        <v>46008.0</v>
      </c>
      <c r="F90" s="274" t="s">
        <v>561</v>
      </c>
      <c r="G90" s="275" t="s">
        <v>580</v>
      </c>
      <c r="H90" s="274" t="s">
        <v>304</v>
      </c>
      <c r="I90" s="275" t="s">
        <v>806</v>
      </c>
      <c r="J90" s="279" t="s">
        <v>807</v>
      </c>
      <c r="K90" s="275" t="s">
        <v>730</v>
      </c>
      <c r="L90" s="277" t="s">
        <v>809</v>
      </c>
      <c r="M90" s="278" t="str">
        <f t="array" ref="M90">IFERROR(XLOOKUP(L90,'2. DATA NL, VTBB'!C:C,'2. DATA NL, VTBB'!D:D),"")</f>
        <v>Nắp chai nhôm cổ 38  - Màu trắng - Có cốc đong</v>
      </c>
      <c r="N90" s="280"/>
      <c r="O90" s="280" t="str">
        <f t="array" ref="O90">IFERROR( XLOOKUP(L90,'2. DATA NL, VTBB'!C:C,'2. DATA NL, VTBB'!E:E),"")</f>
        <v>Tiger five 6.5EC</v>
      </c>
      <c r="P90" s="275" t="s">
        <v>565</v>
      </c>
      <c r="Q90" s="311"/>
      <c r="R90" s="291" t="s">
        <v>573</v>
      </c>
      <c r="S90" s="280"/>
      <c r="T90" s="280"/>
      <c r="U90" s="277"/>
      <c r="V90" s="283">
        <v>2000.0</v>
      </c>
      <c r="W90" s="275" t="s">
        <v>699</v>
      </c>
      <c r="X90" s="283">
        <v>2000.0</v>
      </c>
      <c r="Y90" s="274">
        <v>1800.0</v>
      </c>
      <c r="Z90" s="287">
        <v>0.0</v>
      </c>
      <c r="AA90" s="285">
        <v>0.08</v>
      </c>
      <c r="AB90" s="282">
        <v>0.0</v>
      </c>
      <c r="AC90" s="277"/>
      <c r="AD90" s="289">
        <v>46006.0</v>
      </c>
      <c r="AE90" s="272">
        <v>2396.0</v>
      </c>
      <c r="AF90" s="277"/>
      <c r="AG90" s="277"/>
      <c r="AH90" s="294">
        <f>IFERROR(__xludf.DUMMYFUNCTION("IFERROR(INDEX( SORT(FILTER(
        {'1. DATA CHUNG'!$J$4:$J$105 , '1. DATA CHUNG'!$L$4:$L$105}, (TRIM('1. DATA CHUNG'!$I$4:$I$105)=TRIM(K90)) * IF(COUNTIFS('1. DATA CHUNG'!$I$4:$I$105,K90,'1. DATA CHUNG'!$M$4:$M$105,Q90), '1. DATA CHUNG'!$M$4:$M$105=Q90,"&amp;" 1) * ('1. DATA CHUNG'!$L$4:$L$105&lt;=TODAY()) ),   2, 0),  1, 1), 
  IFERROR( INDEX(FILTER('1. DATA CHUNG'!$J$4:$J$105, (TRIM('1. DATA CHUNG'!$I$4:$I$105)=TRIM(K90)) * IF(COUNTIFS('1. DATA CHUNG'!$I$4:$I$105,K90,'1. DATA CHUNG'!$M$4:$M$105,Q90), '1. DATA C"&amp;"HUNG'!$M$4:$M$105=Q90, 1) * ('1. DATA CHUNG'!$L$4:$L$105="""")), 1), ""Không tìm thấy"" ))"),7.0)</f>
        <v>7</v>
      </c>
      <c r="AI90" s="273">
        <f t="shared" si="2"/>
        <v>46013</v>
      </c>
      <c r="AJ90" s="287"/>
      <c r="AK90" s="286">
        <f t="shared" si="3"/>
        <v>0</v>
      </c>
      <c r="AL90" s="287">
        <f t="shared" si="4"/>
        <v>1</v>
      </c>
      <c r="AM90" s="287">
        <f t="shared" si="5"/>
        <v>5</v>
      </c>
      <c r="AN90" s="279">
        <f t="shared" si="6"/>
        <v>6</v>
      </c>
      <c r="AO90" s="295" t="str">
        <f t="shared" si="7"/>
        <v>12/2025</v>
      </c>
      <c r="AP90" s="277" t="str">
        <f t="array" ref="AP90">IFERROR(XLOOKUP(L90,'2. DATA NL, VTBB'!C:C,'2. DATA NL, VTBB'!F:F),"")</f>
        <v>HH0024</v>
      </c>
      <c r="AQ90" s="277" t="str">
        <f t="array" ref="AQ90">IF(OR(K90="Nhãn", K90="Nhãn thùng",K90="Nhãn Túi"), K90 &amp; " " &amp; IFERROR(XLOOKUP(L90, '2. DATA NL, VTBB'!C:C, '2. DATA NL, VTBB'!E:E), ""), "")</f>
        <v/>
      </c>
      <c r="AR90" s="278" t="str">
        <f t="array" ref="AR90">IFERROR(XLOOKUP(L90,'2. DATA NL, VTBB'!C:C,'2. DATA NL, VTBB'!G:G),"")</f>
        <v>GC - I - 363 - AU - Diệt sạch sâu - nhện AGC (Chai nhôm đỏ) - 220ml - 40</v>
      </c>
      <c r="AS90" s="278" t="str">
        <f t="array" ref="AS90">IFERROR(XLOOKUP(L90,'2. DATA NL, VTBB'!C:C,'2. DATA NL, VTBB'!G:G),"")</f>
        <v>GC - I - 363 - AU - Diệt sạch sâu - nhện AGC (Chai nhôm đỏ) - 220ml - 40</v>
      </c>
      <c r="AT90" s="277"/>
    </row>
    <row r="91" ht="30.75" customHeight="1">
      <c r="A91" s="272">
        <f t="shared" si="24"/>
        <v>88</v>
      </c>
      <c r="B91" s="289">
        <v>46006.0</v>
      </c>
      <c r="C91" s="273">
        <v>46007.0</v>
      </c>
      <c r="D91" s="273">
        <f t="shared" si="25"/>
        <v>46009</v>
      </c>
      <c r="E91" s="289">
        <v>46008.0</v>
      </c>
      <c r="F91" s="274" t="s">
        <v>561</v>
      </c>
      <c r="G91" s="275" t="s">
        <v>562</v>
      </c>
      <c r="H91" s="274" t="s">
        <v>304</v>
      </c>
      <c r="I91" s="275" t="s">
        <v>726</v>
      </c>
      <c r="J91" s="279" t="s">
        <v>805</v>
      </c>
      <c r="K91" s="275" t="s">
        <v>728</v>
      </c>
      <c r="L91" s="277" t="s">
        <v>735</v>
      </c>
      <c r="M91" s="278" t="str">
        <f t="array" ref="M91">IFERROR(XLOOKUP(L91,'2. DATA NL, VTBB'!C:C,'2. DATA NL, VTBB'!D:D),"")</f>
        <v>Chai PET vuông cổ 35 450ml, 500ml (60g) vàng ASIA</v>
      </c>
      <c r="N91" s="280"/>
      <c r="O91" s="280" t="str">
        <f t="array" ref="O91">IFERROR( XLOOKUP(L91,'2. DATA NL, VTBB'!C:C,'2. DATA NL, VTBB'!E:E),"")</f>
        <v>Vi lượng Basel IDA 47</v>
      </c>
      <c r="P91" s="275" t="s">
        <v>565</v>
      </c>
      <c r="Q91" s="311"/>
      <c r="R91" s="291" t="s">
        <v>573</v>
      </c>
      <c r="S91" s="280"/>
      <c r="T91" s="280"/>
      <c r="U91" s="277"/>
      <c r="V91" s="283">
        <v>2000.0</v>
      </c>
      <c r="W91" s="275" t="s">
        <v>699</v>
      </c>
      <c r="X91" s="283">
        <v>2000.0</v>
      </c>
      <c r="Y91" s="274">
        <v>2080.0</v>
      </c>
      <c r="Z91" s="287">
        <v>2600.0</v>
      </c>
      <c r="AA91" s="285">
        <v>0.08</v>
      </c>
      <c r="AB91" s="282">
        <v>5840640.0</v>
      </c>
      <c r="AC91" s="277"/>
      <c r="AD91" s="289">
        <v>46006.0</v>
      </c>
      <c r="AE91" s="272">
        <v>2343.0</v>
      </c>
      <c r="AF91" s="277"/>
      <c r="AG91" s="277"/>
      <c r="AH91" s="294">
        <f>IFERROR(__xludf.DUMMYFUNCTION("IFERROR(INDEX( SORT(FILTER(
        {'1. DATA CHUNG'!$J$4:$J$105 , '1. DATA CHUNG'!$L$4:$L$105}, (TRIM('1. DATA CHUNG'!$I$4:$I$105)=TRIM(K91)) * IF(COUNTIFS('1. DATA CHUNG'!$I$4:$I$105,K91,'1. DATA CHUNG'!$M$4:$M$105,Q91), '1. DATA CHUNG'!$M$4:$M$105=Q91,"&amp;" 1) * ('1. DATA CHUNG'!$L$4:$L$105&lt;=TODAY()) ),   2, 0),  1, 1), 
  IFERROR( INDEX(FILTER('1. DATA CHUNG'!$J$4:$J$105, (TRIM('1. DATA CHUNG'!$I$4:$I$105)=TRIM(K91)) * IF(COUNTIFS('1. DATA CHUNG'!$I$4:$I$105,K91,'1. DATA CHUNG'!$M$4:$M$105,Q91), '1. DATA C"&amp;"HUNG'!$M$4:$M$105=Q91, 1) * ('1. DATA CHUNG'!$L$4:$L$105="""")), 1), ""Không tìm thấy"" ))"),7.0)</f>
        <v>7</v>
      </c>
      <c r="AI91" s="273">
        <f t="shared" si="2"/>
        <v>46013</v>
      </c>
      <c r="AJ91" s="287"/>
      <c r="AK91" s="286">
        <f t="shared" si="3"/>
        <v>0</v>
      </c>
      <c r="AL91" s="287">
        <f t="shared" si="4"/>
        <v>1</v>
      </c>
      <c r="AM91" s="287">
        <f t="shared" si="5"/>
        <v>5</v>
      </c>
      <c r="AN91" s="279">
        <f t="shared" si="6"/>
        <v>6</v>
      </c>
      <c r="AO91" s="295" t="str">
        <f t="shared" si="7"/>
        <v>12/2025</v>
      </c>
      <c r="AP91" s="277" t="str">
        <f t="array" ref="AP91">IFERROR(XLOOKUP(L91,'2. DATA NL, VTBB'!C:C,'2. DATA NL, VTBB'!F:F),"")</f>
        <v>HH0012</v>
      </c>
      <c r="AQ91" s="277" t="str">
        <f t="array" ref="AQ91">IF(OR(K91="Nhãn", K91="Nhãn thùng",K91="Nhãn Túi"), K91 &amp; " " &amp; IFERROR(XLOOKUP(L91, '2. DATA NL, VTBB'!C:C, '2. DATA NL, VTBB'!E:E), ""), "")</f>
        <v/>
      </c>
      <c r="AR91" s="278" t="str">
        <f t="array" ref="AR91">IFERROR(XLOOKUP(L91,'2. DATA NL, VTBB'!C:C,'2. DATA NL, VTBB'!G:G),"")</f>
        <v>GC - I - 260 - Bohex SC - 450ml - 40</v>
      </c>
      <c r="AS91" s="278" t="str">
        <f t="array" ref="AS91">IFERROR(XLOOKUP(L91,'2. DATA NL, VTBB'!C:C,'2. DATA NL, VTBB'!G:G),"")</f>
        <v>GC - I - 260 - Bohex SC - 450ml - 40</v>
      </c>
      <c r="AT91" s="277"/>
    </row>
    <row r="92" ht="30.75" customHeight="1">
      <c r="A92" s="272">
        <f t="shared" si="24"/>
        <v>89</v>
      </c>
      <c r="B92" s="289">
        <v>46006.0</v>
      </c>
      <c r="C92" s="273">
        <v>46007.0</v>
      </c>
      <c r="D92" s="273">
        <f t="shared" si="25"/>
        <v>46009</v>
      </c>
      <c r="E92" s="289">
        <v>46010.0</v>
      </c>
      <c r="F92" s="274" t="s">
        <v>561</v>
      </c>
      <c r="G92" s="275" t="s">
        <v>580</v>
      </c>
      <c r="H92" s="274" t="s">
        <v>304</v>
      </c>
      <c r="I92" s="275" t="s">
        <v>744</v>
      </c>
      <c r="J92" s="279" t="s">
        <v>800</v>
      </c>
      <c r="K92" s="275" t="s">
        <v>730</v>
      </c>
      <c r="L92" s="277" t="s">
        <v>810</v>
      </c>
      <c r="M92" s="278" t="str">
        <f t="array" ref="M92">IFERROR(XLOOKUP(L92,'2. DATA NL, VTBB'!C:C,'2. DATA NL, VTBB'!D:D),"")</f>
        <v>Nắp HDPE cổ 43 (10gr) logo IDA màu trắng</v>
      </c>
      <c r="N92" s="280"/>
      <c r="O92" s="280" t="str">
        <f t="array" ref="O92">IFERROR( XLOOKUP(L92,'2. DATA NL, VTBB'!C:C,'2. DATA NL, VTBB'!E:E),"")</f>
        <v>Acodyl 35WP</v>
      </c>
      <c r="P92" s="275" t="s">
        <v>565</v>
      </c>
      <c r="Q92" s="311"/>
      <c r="R92" s="291" t="s">
        <v>573</v>
      </c>
      <c r="S92" s="280"/>
      <c r="T92" s="280"/>
      <c r="U92" s="277"/>
      <c r="V92" s="283">
        <v>3000.0</v>
      </c>
      <c r="W92" s="275" t="s">
        <v>699</v>
      </c>
      <c r="X92" s="283">
        <v>3000.0</v>
      </c>
      <c r="Y92" s="274">
        <v>3000.0</v>
      </c>
      <c r="Z92" s="287">
        <v>1000.0</v>
      </c>
      <c r="AA92" s="285">
        <v>0.08</v>
      </c>
      <c r="AB92" s="282">
        <v>3240000.0</v>
      </c>
      <c r="AC92" s="277"/>
      <c r="AD92" s="289">
        <v>46006.0</v>
      </c>
      <c r="AE92" s="272">
        <v>2343.0</v>
      </c>
      <c r="AF92" s="277"/>
      <c r="AG92" s="277"/>
      <c r="AH92" s="294">
        <f>IFERROR(__xludf.DUMMYFUNCTION("IFERROR(INDEX( SORT(FILTER(
        {'1. DATA CHUNG'!$J$4:$J$105 , '1. DATA CHUNG'!$L$4:$L$105}, (TRIM('1. DATA CHUNG'!$I$4:$I$105)=TRIM(K92)) * IF(COUNTIFS('1. DATA CHUNG'!$I$4:$I$105,K92,'1. DATA CHUNG'!$M$4:$M$105,Q92), '1. DATA CHUNG'!$M$4:$M$105=Q92,"&amp;" 1) * ('1. DATA CHUNG'!$L$4:$L$105&lt;=TODAY()) ),   2, 0),  1, 1), 
  IFERROR( INDEX(FILTER('1. DATA CHUNG'!$J$4:$J$105, (TRIM('1. DATA CHUNG'!$I$4:$I$105)=TRIM(K92)) * IF(COUNTIFS('1. DATA CHUNG'!$I$4:$I$105,K92,'1. DATA CHUNG'!$M$4:$M$105,Q92), '1. DATA C"&amp;"HUNG'!$M$4:$M$105=Q92, 1) * ('1. DATA CHUNG'!$L$4:$L$105="""")), 1), ""Không tìm thấy"" ))"),7.0)</f>
        <v>7</v>
      </c>
      <c r="AI92" s="273">
        <f t="shared" si="2"/>
        <v>46013</v>
      </c>
      <c r="AJ92" s="287"/>
      <c r="AK92" s="286">
        <f t="shared" si="3"/>
        <v>0</v>
      </c>
      <c r="AL92" s="287">
        <f t="shared" si="4"/>
        <v>-1</v>
      </c>
      <c r="AM92" s="287">
        <f t="shared" si="5"/>
        <v>3</v>
      </c>
      <c r="AN92" s="279">
        <f t="shared" si="6"/>
        <v>6</v>
      </c>
      <c r="AO92" s="295" t="str">
        <f t="shared" si="7"/>
        <v>12/2025</v>
      </c>
      <c r="AP92" s="277" t="str">
        <f t="array" ref="AP92">IFERROR(XLOOKUP(L92,'2. DATA NL, VTBB'!C:C,'2. DATA NL, VTBB'!F:F),"")</f>
        <v>HH0017</v>
      </c>
      <c r="AQ92" s="277" t="str">
        <f t="array" ref="AQ92">IF(OR(K92="Nhãn", K92="Nhãn thùng",K92="Nhãn Túi"), K92 &amp; " " &amp; IFERROR(XLOOKUP(L92, '2. DATA NL, VTBB'!C:C, '2. DATA NL, VTBB'!E:E), ""), "")</f>
        <v/>
      </c>
      <c r="AR92" s="278" t="str">
        <f t="array" ref="AR92">IFERROR(XLOOKUP(L92,'2. DATA NL, VTBB'!C:C,'2. DATA NL, VTBB'!G:G),"")</f>
        <v>GC - I - 309 - Wettable Powder - 100gr - 100</v>
      </c>
      <c r="AS92" s="278" t="str">
        <f t="array" ref="AS92">IFERROR(XLOOKUP(L92,'2. DATA NL, VTBB'!C:C,'2. DATA NL, VTBB'!G:G),"")</f>
        <v>GC - I - 309 - Wettable Powder - 100gr - 100</v>
      </c>
      <c r="AT92" s="277"/>
    </row>
    <row r="93" ht="30.75" customHeight="1">
      <c r="A93" s="272">
        <f t="shared" si="24"/>
        <v>90</v>
      </c>
      <c r="B93" s="289">
        <v>46007.0</v>
      </c>
      <c r="C93" s="289">
        <v>46014.0</v>
      </c>
      <c r="D93" s="289">
        <f t="shared" ref="D93:D94" si="26">B93+15</f>
        <v>46022</v>
      </c>
      <c r="E93" s="289">
        <v>46017.0</v>
      </c>
      <c r="F93" s="274" t="s">
        <v>561</v>
      </c>
      <c r="G93" s="275" t="s">
        <v>696</v>
      </c>
      <c r="H93" s="274" t="s">
        <v>304</v>
      </c>
      <c r="I93" s="275" t="s">
        <v>305</v>
      </c>
      <c r="J93" s="279" t="s">
        <v>811</v>
      </c>
      <c r="K93" s="275" t="s">
        <v>301</v>
      </c>
      <c r="L93" s="277" t="s">
        <v>595</v>
      </c>
      <c r="M93" s="278" t="str">
        <f t="array" ref="M93">IFERROR(XLOOKUP(L93,'2. DATA NL, VTBB'!C:C,'2. DATA NL, VTBB'!D:D),"")</f>
        <v>Thùng dùng chung ABA chai tròn 1 lít x 20 chai (20 gói/ thùng) - (45.5x35.5x27cm) - Trắng</v>
      </c>
      <c r="N93" s="280"/>
      <c r="O93" s="280" t="str">
        <f t="array" ref="O93">IFERROR( XLOOKUP(L93,'2. DATA NL, VTBB'!C:C,'2. DATA NL, VTBB'!E:E),"")</f>
        <v>Vi lượng AV4-BO633</v>
      </c>
      <c r="P93" s="275" t="s">
        <v>565</v>
      </c>
      <c r="Q93" s="311"/>
      <c r="R93" s="291" t="s">
        <v>573</v>
      </c>
      <c r="S93" s="280"/>
      <c r="T93" s="280"/>
      <c r="U93" s="277"/>
      <c r="V93" s="283">
        <v>300.0</v>
      </c>
      <c r="W93" s="275" t="s">
        <v>699</v>
      </c>
      <c r="X93" s="283">
        <v>300.0</v>
      </c>
      <c r="Y93" s="274">
        <v>312.0</v>
      </c>
      <c r="Z93" s="279">
        <v>19750.0</v>
      </c>
      <c r="AA93" s="285">
        <v>0.08</v>
      </c>
      <c r="AB93" s="282">
        <v>6654960.0</v>
      </c>
      <c r="AC93" s="277"/>
      <c r="AD93" s="289">
        <v>46007.0</v>
      </c>
      <c r="AE93" s="272">
        <v>2081.0</v>
      </c>
      <c r="AF93" s="277"/>
      <c r="AG93" s="277"/>
      <c r="AH93" s="294">
        <f>IFERROR(__xludf.DUMMYFUNCTION("IFERROR(INDEX( SORT(FILTER(
        {'1. DATA CHUNG'!$J$4:$J$105 , '1. DATA CHUNG'!$L$4:$L$105}, (TRIM('1. DATA CHUNG'!$I$4:$I$105)=TRIM(K93)) * IF(COUNTIFS('1. DATA CHUNG'!$I$4:$I$105,K93,'1. DATA CHUNG'!$M$4:$M$105,Q93), '1. DATA CHUNG'!$M$4:$M$105=Q93,"&amp;" 1) * ('1. DATA CHUNG'!$L$4:$L$105&lt;=TODAY()) ),   2, 0),  1, 1), 
  IFERROR( INDEX(FILTER('1. DATA CHUNG'!$J$4:$J$105, (TRIM('1. DATA CHUNG'!$I$4:$I$105)=TRIM(K93)) * IF(COUNTIFS('1. DATA CHUNG'!$I$4:$I$105,K93,'1. DATA CHUNG'!$M$4:$M$105,Q93), '1. DATA C"&amp;"HUNG'!$M$4:$M$105=Q93, 1) * ('1. DATA CHUNG'!$L$4:$L$105="""")), 1), ""Không tìm thấy"" ))"),18.0)</f>
        <v>18</v>
      </c>
      <c r="AI93" s="273">
        <f t="shared" si="2"/>
        <v>46025</v>
      </c>
      <c r="AJ93" s="287"/>
      <c r="AK93" s="286">
        <f t="shared" si="3"/>
        <v>0</v>
      </c>
      <c r="AL93" s="287">
        <f t="shared" si="4"/>
        <v>5</v>
      </c>
      <c r="AM93" s="287">
        <f t="shared" si="5"/>
        <v>8</v>
      </c>
      <c r="AN93" s="279">
        <f t="shared" si="6"/>
        <v>11</v>
      </c>
      <c r="AO93" s="295" t="str">
        <f t="shared" si="7"/>
        <v>12/2025</v>
      </c>
      <c r="AP93" s="277" t="str">
        <f t="array" ref="AP93">IFERROR(XLOOKUP(L93,'2. DATA NL, VTBB'!C:C,'2. DATA NL, VTBB'!F:F),"")</f>
        <v>HH0078</v>
      </c>
      <c r="AQ93" s="277" t="str">
        <f t="array" ref="AQ93">IF(OR(K93="Nhãn", K93="Nhãn thùng",K93="Nhãn Túi"), K93 &amp; " " &amp; IFERROR(XLOOKUP(L93, '2. DATA NL, VTBB'!C:C, '2. DATA NL, VTBB'!E:E), ""), "")</f>
        <v/>
      </c>
      <c r="AR93" s="278" t="str">
        <f t="array" ref="AR93">IFERROR(XLOOKUP(L93,'2. DATA NL, VTBB'!C:C,'2. DATA NL, VTBB'!G:G),"")</f>
        <v>GC - II - 434 - Ariplant - Siêu ra hoa sầu riêng (mới) - 250 gr- 100</v>
      </c>
      <c r="AS93" s="278" t="str">
        <f t="array" ref="AS93">IFERROR(XLOOKUP(L93,'2. DATA NL, VTBB'!C:C,'2. DATA NL, VTBB'!G:G),"")</f>
        <v>GC - II - 434 - Ariplant - Siêu ra hoa sầu riêng (mới) - 250 gr- 100</v>
      </c>
      <c r="AT93" s="277"/>
    </row>
    <row r="94" ht="30.75" customHeight="1">
      <c r="A94" s="272">
        <f t="shared" si="24"/>
        <v>91</v>
      </c>
      <c r="B94" s="289">
        <v>46007.0</v>
      </c>
      <c r="C94" s="289">
        <v>46014.0</v>
      </c>
      <c r="D94" s="289">
        <f t="shared" si="26"/>
        <v>46022</v>
      </c>
      <c r="E94" s="289">
        <v>46016.0</v>
      </c>
      <c r="F94" s="274" t="s">
        <v>561</v>
      </c>
      <c r="G94" s="275" t="s">
        <v>580</v>
      </c>
      <c r="H94" s="274" t="s">
        <v>304</v>
      </c>
      <c r="I94" s="275" t="s">
        <v>305</v>
      </c>
      <c r="J94" s="279" t="s">
        <v>811</v>
      </c>
      <c r="K94" s="275" t="s">
        <v>301</v>
      </c>
      <c r="L94" s="277" t="s">
        <v>812</v>
      </c>
      <c r="M94" s="278" t="str">
        <f t="array" ref="M94">IFERROR(XLOOKUP(L94,'2. DATA NL, VTBB'!C:C,'2. DATA NL, VTBB'!D:D),"")</f>
        <v>Thùng IDA Chai HDPE/PAPE tròn cổ 43 250ml - (49.5x30.5x14.5) - Trắng xanh lá</v>
      </c>
      <c r="N94" s="280"/>
      <c r="O94" s="280" t="str">
        <f t="array" ref="O94">IFERROR( XLOOKUP(L94,'2. DATA NL, VTBB'!C:C,'2. DATA NL, VTBB'!E:E),"")</f>
        <v>Centertaner 500WP</v>
      </c>
      <c r="P94" s="275" t="s">
        <v>565</v>
      </c>
      <c r="Q94" s="311"/>
      <c r="R94" s="291" t="s">
        <v>573</v>
      </c>
      <c r="S94" s="280"/>
      <c r="T94" s="280"/>
      <c r="U94" s="277"/>
      <c r="V94" s="283">
        <v>200.0</v>
      </c>
      <c r="W94" s="275" t="s">
        <v>699</v>
      </c>
      <c r="X94" s="283">
        <v>200.0</v>
      </c>
      <c r="Y94" s="274">
        <v>200.0</v>
      </c>
      <c r="Z94" s="279">
        <v>15000.0</v>
      </c>
      <c r="AA94" s="285">
        <v>0.08</v>
      </c>
      <c r="AB94" s="282">
        <v>3240000.0</v>
      </c>
      <c r="AC94" s="277"/>
      <c r="AD94" s="289">
        <v>46007.0</v>
      </c>
      <c r="AE94" s="272" t="s">
        <v>813</v>
      </c>
      <c r="AF94" s="277"/>
      <c r="AG94" s="277"/>
      <c r="AH94" s="294">
        <f>IFERROR(__xludf.DUMMYFUNCTION("IFERROR(INDEX( SORT(FILTER(
        {'1. DATA CHUNG'!$J$4:$J$105 , '1. DATA CHUNG'!$L$4:$L$105}, (TRIM('1. DATA CHUNG'!$I$4:$I$105)=TRIM(K94)) * IF(COUNTIFS('1. DATA CHUNG'!$I$4:$I$105,K94,'1. DATA CHUNG'!$M$4:$M$105,Q94), '1. DATA CHUNG'!$M$4:$M$105=Q94,"&amp;" 1) * ('1. DATA CHUNG'!$L$4:$L$105&lt;=TODAY()) ),   2, 0),  1, 1), 
  IFERROR( INDEX(FILTER('1. DATA CHUNG'!$J$4:$J$105, (TRIM('1. DATA CHUNG'!$I$4:$I$105)=TRIM(K94)) * IF(COUNTIFS('1. DATA CHUNG'!$I$4:$I$105,K94,'1. DATA CHUNG'!$M$4:$M$105,Q94), '1. DATA C"&amp;"HUNG'!$M$4:$M$105=Q94, 1) * ('1. DATA CHUNG'!$L$4:$L$105="""")), 1), ""Không tìm thấy"" ))"),18.0)</f>
        <v>18</v>
      </c>
      <c r="AI94" s="273">
        <f t="shared" si="2"/>
        <v>46025</v>
      </c>
      <c r="AJ94" s="287"/>
      <c r="AK94" s="286">
        <f t="shared" si="3"/>
        <v>0</v>
      </c>
      <c r="AL94" s="287">
        <f t="shared" si="4"/>
        <v>6</v>
      </c>
      <c r="AM94" s="287">
        <f t="shared" si="5"/>
        <v>9</v>
      </c>
      <c r="AN94" s="279">
        <f t="shared" si="6"/>
        <v>11</v>
      </c>
      <c r="AO94" s="295" t="str">
        <f t="shared" si="7"/>
        <v>12/2025</v>
      </c>
      <c r="AP94" s="277" t="str">
        <f t="array" ref="AP94">IFERROR(XLOOKUP(L94,'2. DATA NL, VTBB'!C:C,'2. DATA NL, VTBB'!F:F),"")</f>
        <v>HH0226</v>
      </c>
      <c r="AQ94" s="277" t="str">
        <f t="array" ref="AQ94">IF(OR(K94="Nhãn", K94="Nhãn thùng",K94="Nhãn Túi"), K94 &amp; " " &amp; IFERROR(XLOOKUP(L94, '2. DATA NL, VTBB'!C:C, '2. DATA NL, VTBB'!E:E), ""), "")</f>
        <v/>
      </c>
      <c r="AR94" s="278" t="str">
        <f t="array" ref="AR94">IFERROR(XLOOKUP(L94,'2. DATA NL, VTBB'!C:C,'2. DATA NL, VTBB'!G:G),"")</f>
        <v>GC - II - 638.1 - AGC NEW - Centertaner 500 WP - 12.5 gr - 250</v>
      </c>
      <c r="AS94" s="278" t="str">
        <f t="array" ref="AS94">IFERROR(XLOOKUP(L94,'2. DATA NL, VTBB'!C:C,'2. DATA NL, VTBB'!G:G),"")</f>
        <v>GC - II - 638.1 - AGC NEW - Centertaner 500 WP - 12.5 gr - 250</v>
      </c>
      <c r="AT94" s="277"/>
    </row>
    <row r="95" ht="30.75" customHeight="1">
      <c r="A95" s="272">
        <f t="shared" si="24"/>
        <v>92</v>
      </c>
      <c r="B95" s="289">
        <v>46007.0</v>
      </c>
      <c r="C95" s="273">
        <v>46008.0</v>
      </c>
      <c r="D95" s="273">
        <f t="shared" ref="D95:D107" si="27">B95+3</f>
        <v>46010</v>
      </c>
      <c r="E95" s="289">
        <v>46009.0</v>
      </c>
      <c r="F95" s="274" t="s">
        <v>561</v>
      </c>
      <c r="G95" s="275" t="s">
        <v>580</v>
      </c>
      <c r="H95" s="274" t="s">
        <v>304</v>
      </c>
      <c r="I95" s="275" t="s">
        <v>744</v>
      </c>
      <c r="J95" s="279" t="s">
        <v>814</v>
      </c>
      <c r="K95" s="275" t="s">
        <v>728</v>
      </c>
      <c r="L95" s="277" t="s">
        <v>801</v>
      </c>
      <c r="M95" s="278" t="str">
        <f t="array" ref="M95">IFERROR(XLOOKUP(L95,'2. DATA NL, VTBB'!C:C,'2. DATA NL, VTBB'!D:D),"")</f>
        <v>Chai HDPE tròn cổ 43 250ml (40gr) logo IDA màu trắng</v>
      </c>
      <c r="N95" s="280"/>
      <c r="O95" s="280" t="str">
        <f t="array" ref="O95">IFERROR( XLOOKUP(L95,'2. DATA NL, VTBB'!C:C,'2. DATA NL, VTBB'!E:E),"")</f>
        <v>Vi lượng AV-CFC
(Dạng rắn)</v>
      </c>
      <c r="P95" s="275" t="s">
        <v>565</v>
      </c>
      <c r="Q95" s="311"/>
      <c r="R95" s="291" t="s">
        <v>622</v>
      </c>
      <c r="S95" s="280"/>
      <c r="T95" s="280"/>
      <c r="U95" s="277"/>
      <c r="V95" s="283">
        <v>5000.0</v>
      </c>
      <c r="W95" s="275" t="s">
        <v>699</v>
      </c>
      <c r="X95" s="283">
        <v>5000.0</v>
      </c>
      <c r="Y95" s="274">
        <v>5000.0</v>
      </c>
      <c r="Z95" s="279">
        <v>2300.0</v>
      </c>
      <c r="AA95" s="285">
        <v>0.08</v>
      </c>
      <c r="AB95" s="282">
        <v>1.242E7</v>
      </c>
      <c r="AC95" s="277"/>
      <c r="AD95" s="289">
        <v>46007.0</v>
      </c>
      <c r="AE95" s="272">
        <v>3797.0</v>
      </c>
      <c r="AF95" s="277"/>
      <c r="AG95" s="277"/>
      <c r="AH95" s="294">
        <f>IFERROR(__xludf.DUMMYFUNCTION("IFERROR(INDEX( SORT(FILTER(
        {'1. DATA CHUNG'!$J$4:$J$105 , '1. DATA CHUNG'!$L$4:$L$105}, (TRIM('1. DATA CHUNG'!$I$4:$I$105)=TRIM(K95)) * IF(COUNTIFS('1. DATA CHUNG'!$I$4:$I$105,K95,'1. DATA CHUNG'!$M$4:$M$105,Q95), '1. DATA CHUNG'!$M$4:$M$105=Q95,"&amp;" 1) * ('1. DATA CHUNG'!$L$4:$L$105&lt;=TODAY()) ),   2, 0),  1, 1), 
  IFERROR( INDEX(FILTER('1. DATA CHUNG'!$J$4:$J$105, (TRIM('1. DATA CHUNG'!$I$4:$I$105)=TRIM(K95)) * IF(COUNTIFS('1. DATA CHUNG'!$I$4:$I$105,K95,'1. DATA CHUNG'!$M$4:$M$105,Q95), '1. DATA C"&amp;"HUNG'!$M$4:$M$105=Q95, 1) * ('1. DATA CHUNG'!$L$4:$L$105="""")), 1), ""Không tìm thấy"" ))"),7.0)</f>
        <v>7</v>
      </c>
      <c r="AI95" s="273">
        <f t="shared" si="2"/>
        <v>46014</v>
      </c>
      <c r="AJ95" s="287"/>
      <c r="AK95" s="286">
        <f t="shared" si="3"/>
        <v>0</v>
      </c>
      <c r="AL95" s="287">
        <f t="shared" si="4"/>
        <v>1</v>
      </c>
      <c r="AM95" s="287">
        <f t="shared" si="5"/>
        <v>5</v>
      </c>
      <c r="AN95" s="279">
        <f t="shared" si="6"/>
        <v>6</v>
      </c>
      <c r="AO95" s="295" t="str">
        <f t="shared" si="7"/>
        <v>12/2025</v>
      </c>
      <c r="AP95" s="277" t="str">
        <f t="array" ref="AP95">IFERROR(XLOOKUP(L95,'2. DATA NL, VTBB'!C:C,'2. DATA NL, VTBB'!F:F),"")</f>
        <v>HH0025</v>
      </c>
      <c r="AQ95" s="277" t="str">
        <f t="array" ref="AQ95">IF(OR(K95="Nhãn", K95="Nhãn thùng",K95="Nhãn Túi"), K95 &amp; " " &amp; IFERROR(XLOOKUP(L95, '2. DATA NL, VTBB'!C:C, '2. DATA NL, VTBB'!E:E), ""), "")</f>
        <v/>
      </c>
      <c r="AR95" s="278" t="str">
        <f t="array" ref="AR95">IFERROR(XLOOKUP(L95,'2. DATA NL, VTBB'!C:C,'2. DATA NL, VTBB'!G:G),"")</f>
        <v>IDA Global - I - 365.1 - Humi Total (Xanh Dương) - 1kg - 25</v>
      </c>
      <c r="AS95" s="278" t="str">
        <f t="array" ref="AS95">IFERROR(XLOOKUP(L95,'2. DATA NL, VTBB'!C:C,'2. DATA NL, VTBB'!G:G),"")</f>
        <v>IDA Global - I - 365.1 - Humi Total (Xanh Dương) - 1kg - 25</v>
      </c>
      <c r="AT95" s="277"/>
    </row>
    <row r="96" ht="30.75" customHeight="1">
      <c r="A96" s="272">
        <f t="shared" si="24"/>
        <v>93</v>
      </c>
      <c r="B96" s="289">
        <v>46007.0</v>
      </c>
      <c r="C96" s="273">
        <v>46008.0</v>
      </c>
      <c r="D96" s="273">
        <f t="shared" si="27"/>
        <v>46010</v>
      </c>
      <c r="E96" s="289">
        <v>46009.0</v>
      </c>
      <c r="F96" s="274" t="s">
        <v>561</v>
      </c>
      <c r="G96" s="275" t="s">
        <v>580</v>
      </c>
      <c r="H96" s="274" t="s">
        <v>304</v>
      </c>
      <c r="I96" s="275" t="s">
        <v>744</v>
      </c>
      <c r="J96" s="279" t="s">
        <v>814</v>
      </c>
      <c r="K96" s="275" t="s">
        <v>730</v>
      </c>
      <c r="L96" s="277" t="s">
        <v>810</v>
      </c>
      <c r="M96" s="278" t="str">
        <f t="array" ref="M96">IFERROR(XLOOKUP(L96,'2. DATA NL, VTBB'!C:C,'2. DATA NL, VTBB'!D:D),"")</f>
        <v>Nắp HDPE cổ 43 (10gr) logo IDA màu trắng</v>
      </c>
      <c r="N96" s="280"/>
      <c r="O96" s="280" t="str">
        <f t="array" ref="O96">IFERROR( XLOOKUP(L96,'2. DATA NL, VTBB'!C:C,'2. DATA NL, VTBB'!E:E),"")</f>
        <v>Acodyl 35WP</v>
      </c>
      <c r="P96" s="275" t="s">
        <v>565</v>
      </c>
      <c r="Q96" s="311"/>
      <c r="R96" s="291" t="s">
        <v>622</v>
      </c>
      <c r="S96" s="280"/>
      <c r="T96" s="280"/>
      <c r="U96" s="277"/>
      <c r="V96" s="283">
        <v>5000.0</v>
      </c>
      <c r="W96" s="275" t="s">
        <v>699</v>
      </c>
      <c r="X96" s="283">
        <v>5000.0</v>
      </c>
      <c r="Y96" s="274">
        <v>5000.0</v>
      </c>
      <c r="Z96" s="287">
        <v>1000.0</v>
      </c>
      <c r="AA96" s="285">
        <v>0.08</v>
      </c>
      <c r="AB96" s="282">
        <v>5400000.0</v>
      </c>
      <c r="AC96" s="277"/>
      <c r="AD96" s="289">
        <v>46007.0</v>
      </c>
      <c r="AE96" s="272">
        <v>3797.0</v>
      </c>
      <c r="AF96" s="277"/>
      <c r="AG96" s="277"/>
      <c r="AH96" s="294">
        <f>IFERROR(__xludf.DUMMYFUNCTION("IFERROR(INDEX( SORT(FILTER(
        {'1. DATA CHUNG'!$J$4:$J$105 , '1. DATA CHUNG'!$L$4:$L$105}, (TRIM('1. DATA CHUNG'!$I$4:$I$105)=TRIM(K96)) * IF(COUNTIFS('1. DATA CHUNG'!$I$4:$I$105,K96,'1. DATA CHUNG'!$M$4:$M$105,Q96), '1. DATA CHUNG'!$M$4:$M$105=Q96,"&amp;" 1) * ('1. DATA CHUNG'!$L$4:$L$105&lt;=TODAY()) ),   2, 0),  1, 1), 
  IFERROR( INDEX(FILTER('1. DATA CHUNG'!$J$4:$J$105, (TRIM('1. DATA CHUNG'!$I$4:$I$105)=TRIM(K96)) * IF(COUNTIFS('1. DATA CHUNG'!$I$4:$I$105,K96,'1. DATA CHUNG'!$M$4:$M$105,Q96), '1. DATA C"&amp;"HUNG'!$M$4:$M$105=Q96, 1) * ('1. DATA CHUNG'!$L$4:$L$105="""")), 1), ""Không tìm thấy"" ))"),7.0)</f>
        <v>7</v>
      </c>
      <c r="AI96" s="273">
        <f t="shared" si="2"/>
        <v>46014</v>
      </c>
      <c r="AJ96" s="287"/>
      <c r="AK96" s="286">
        <f t="shared" si="3"/>
        <v>0</v>
      </c>
      <c r="AL96" s="287">
        <f t="shared" si="4"/>
        <v>1</v>
      </c>
      <c r="AM96" s="287">
        <f t="shared" si="5"/>
        <v>5</v>
      </c>
      <c r="AN96" s="279">
        <f t="shared" si="6"/>
        <v>6</v>
      </c>
      <c r="AO96" s="295" t="str">
        <f t="shared" si="7"/>
        <v>12/2025</v>
      </c>
      <c r="AP96" s="277" t="str">
        <f t="array" ref="AP96">IFERROR(XLOOKUP(L96,'2. DATA NL, VTBB'!C:C,'2. DATA NL, VTBB'!F:F),"")</f>
        <v>HH0017</v>
      </c>
      <c r="AQ96" s="277" t="str">
        <f t="array" ref="AQ96">IF(OR(K96="Nhãn", K96="Nhãn thùng",K96="Nhãn Túi"), K96 &amp; " " &amp; IFERROR(XLOOKUP(L96, '2. DATA NL, VTBB'!C:C, '2. DATA NL, VTBB'!E:E), ""), "")</f>
        <v/>
      </c>
      <c r="AR96" s="278" t="str">
        <f t="array" ref="AR96">IFERROR(XLOOKUP(L96,'2. DATA NL, VTBB'!C:C,'2. DATA NL, VTBB'!G:G),"")</f>
        <v>GC - I - 309 - Wettable Powder - 100gr - 100</v>
      </c>
      <c r="AS96" s="278" t="str">
        <f t="array" ref="AS96">IFERROR(XLOOKUP(L96,'2. DATA NL, VTBB'!C:C,'2. DATA NL, VTBB'!G:G),"")</f>
        <v>GC - I - 309 - Wettable Powder - 100gr - 100</v>
      </c>
      <c r="AT96" s="277"/>
    </row>
    <row r="97" ht="30.75" customHeight="1">
      <c r="A97" s="272">
        <f t="shared" si="24"/>
        <v>94</v>
      </c>
      <c r="B97" s="289">
        <v>46007.0</v>
      </c>
      <c r="C97" s="273">
        <v>46008.0</v>
      </c>
      <c r="D97" s="273">
        <f t="shared" si="27"/>
        <v>46010</v>
      </c>
      <c r="E97" s="289">
        <v>46009.0</v>
      </c>
      <c r="F97" s="274" t="s">
        <v>561</v>
      </c>
      <c r="G97" s="275" t="s">
        <v>580</v>
      </c>
      <c r="H97" s="274" t="s">
        <v>304</v>
      </c>
      <c r="I97" s="275" t="s">
        <v>744</v>
      </c>
      <c r="J97" s="279" t="s">
        <v>815</v>
      </c>
      <c r="K97" s="275" t="s">
        <v>728</v>
      </c>
      <c r="L97" s="277" t="s">
        <v>816</v>
      </c>
      <c r="M97" s="278" t="str">
        <f t="array" ref="M97">IFERROR(XLOOKUP(L97,'2. DATA NL, VTBB'!C:C,'2. DATA NL, VTBB'!D:D),"")</f>
        <v/>
      </c>
      <c r="N97" s="280"/>
      <c r="O97" s="280" t="str">
        <f t="array" ref="O97">IFERROR( XLOOKUP(L97,'2. DATA NL, VTBB'!C:C,'2. DATA NL, VTBB'!E:E),"")</f>
        <v/>
      </c>
      <c r="P97" s="275" t="s">
        <v>565</v>
      </c>
      <c r="Q97" s="311"/>
      <c r="R97" s="291" t="s">
        <v>590</v>
      </c>
      <c r="S97" s="280"/>
      <c r="T97" s="280"/>
      <c r="U97" s="277"/>
      <c r="V97" s="283">
        <v>5000.0</v>
      </c>
      <c r="W97" s="275" t="s">
        <v>699</v>
      </c>
      <c r="X97" s="283">
        <v>5000.0</v>
      </c>
      <c r="Y97" s="274">
        <v>5000.0</v>
      </c>
      <c r="Z97" s="276"/>
      <c r="AA97" s="313"/>
      <c r="AB97" s="292"/>
      <c r="AC97" s="277"/>
      <c r="AD97" s="289">
        <v>46007.0</v>
      </c>
      <c r="AE97" s="272" t="s">
        <v>813</v>
      </c>
      <c r="AF97" s="277"/>
      <c r="AG97" s="277"/>
      <c r="AH97" s="294">
        <f>IFERROR(__xludf.DUMMYFUNCTION("IFERROR(INDEX( SORT(FILTER(
        {'1. DATA CHUNG'!$J$4:$J$105 , '1. DATA CHUNG'!$L$4:$L$105}, (TRIM('1. DATA CHUNG'!$I$4:$I$105)=TRIM(K97)) * IF(COUNTIFS('1. DATA CHUNG'!$I$4:$I$105,K97,'1. DATA CHUNG'!$M$4:$M$105,Q97), '1. DATA CHUNG'!$M$4:$M$105=Q97,"&amp;" 1) * ('1. DATA CHUNG'!$L$4:$L$105&lt;=TODAY()) ),   2, 0),  1, 1), 
  IFERROR( INDEX(FILTER('1. DATA CHUNG'!$J$4:$J$105, (TRIM('1. DATA CHUNG'!$I$4:$I$105)=TRIM(K97)) * IF(COUNTIFS('1. DATA CHUNG'!$I$4:$I$105,K97,'1. DATA CHUNG'!$M$4:$M$105,Q97), '1. DATA C"&amp;"HUNG'!$M$4:$M$105=Q97, 1) * ('1. DATA CHUNG'!$L$4:$L$105="""")), 1), ""Không tìm thấy"" ))"),7.0)</f>
        <v>7</v>
      </c>
      <c r="AI97" s="273">
        <f t="shared" si="2"/>
        <v>46014</v>
      </c>
      <c r="AJ97" s="287"/>
      <c r="AK97" s="286">
        <f t="shared" si="3"/>
        <v>0</v>
      </c>
      <c r="AL97" s="287">
        <f t="shared" si="4"/>
        <v>1</v>
      </c>
      <c r="AM97" s="287">
        <f t="shared" si="5"/>
        <v>5</v>
      </c>
      <c r="AN97" s="279">
        <f t="shared" si="6"/>
        <v>6</v>
      </c>
      <c r="AO97" s="295" t="str">
        <f t="shared" si="7"/>
        <v>12/2025</v>
      </c>
      <c r="AP97" s="277" t="str">
        <f t="array" ref="AP97">IFERROR(XLOOKUP(L97,'2. DATA NL, VTBB'!C:C,'2. DATA NL, VTBB'!F:F),"")</f>
        <v/>
      </c>
      <c r="AQ97" s="277" t="str">
        <f t="array" ref="AQ97">IF(OR(K97="Nhãn", K97="Nhãn thùng",K97="Nhãn Túi"), K97 &amp; " " &amp; IFERROR(XLOOKUP(L97, '2. DATA NL, VTBB'!C:C, '2. DATA NL, VTBB'!E:E), ""), "")</f>
        <v/>
      </c>
      <c r="AR97" s="278" t="str">
        <f t="array" ref="AR97">IFERROR(XLOOKUP(L97,'2. DATA NL, VTBB'!C:C,'2. DATA NL, VTBB'!G:G),"")</f>
        <v/>
      </c>
      <c r="AS97" s="278" t="str">
        <f t="array" ref="AS97">IFERROR(XLOOKUP(L97,'2. DATA NL, VTBB'!C:C,'2. DATA NL, VTBB'!G:G),"")</f>
        <v/>
      </c>
      <c r="AT97" s="277"/>
    </row>
    <row r="98" ht="30.75" customHeight="1">
      <c r="A98" s="272">
        <f t="shared" si="24"/>
        <v>95</v>
      </c>
      <c r="B98" s="289">
        <v>46007.0</v>
      </c>
      <c r="C98" s="273">
        <v>46008.0</v>
      </c>
      <c r="D98" s="273">
        <f t="shared" si="27"/>
        <v>46010</v>
      </c>
      <c r="E98" s="289">
        <v>46009.0</v>
      </c>
      <c r="F98" s="274" t="s">
        <v>561</v>
      </c>
      <c r="G98" s="275" t="s">
        <v>580</v>
      </c>
      <c r="H98" s="274" t="s">
        <v>304</v>
      </c>
      <c r="I98" s="275" t="s">
        <v>744</v>
      </c>
      <c r="J98" s="279" t="s">
        <v>815</v>
      </c>
      <c r="K98" s="275" t="s">
        <v>730</v>
      </c>
      <c r="L98" s="277" t="s">
        <v>817</v>
      </c>
      <c r="M98" s="278" t="str">
        <f t="array" ref="M98">IFERROR(XLOOKUP(L98,'2. DATA NL, VTBB'!C:C,'2. DATA NL, VTBB'!D:D),"")</f>
        <v>Nắp HDPE cổ 43 trắng - không logo</v>
      </c>
      <c r="N98" s="280"/>
      <c r="O98" s="280" t="str">
        <f t="array" ref="O98">IFERROR( XLOOKUP(L98,'2. DATA NL, VTBB'!C:C,'2. DATA NL, VTBB'!E:E),"")</f>
        <v>THALONIL 75WP</v>
      </c>
      <c r="P98" s="275" t="s">
        <v>565</v>
      </c>
      <c r="Q98" s="311"/>
      <c r="R98" s="291" t="s">
        <v>590</v>
      </c>
      <c r="S98" s="280"/>
      <c r="T98" s="280"/>
      <c r="U98" s="277"/>
      <c r="V98" s="283">
        <v>5000.0</v>
      </c>
      <c r="W98" s="275" t="s">
        <v>699</v>
      </c>
      <c r="X98" s="283">
        <v>5000.0</v>
      </c>
      <c r="Y98" s="274">
        <v>5000.0</v>
      </c>
      <c r="Z98" s="292"/>
      <c r="AA98" s="313"/>
      <c r="AB98" s="292"/>
      <c r="AC98" s="277"/>
      <c r="AD98" s="289">
        <v>46007.0</v>
      </c>
      <c r="AE98" s="272" t="s">
        <v>813</v>
      </c>
      <c r="AF98" s="277"/>
      <c r="AG98" s="277"/>
      <c r="AH98" s="294">
        <f>IFERROR(__xludf.DUMMYFUNCTION("IFERROR(INDEX( SORT(FILTER(
        {'1. DATA CHUNG'!$J$4:$J$105 , '1. DATA CHUNG'!$L$4:$L$105}, (TRIM('1. DATA CHUNG'!$I$4:$I$105)=TRIM(K98)) * IF(COUNTIFS('1. DATA CHUNG'!$I$4:$I$105,K98,'1. DATA CHUNG'!$M$4:$M$105,Q98), '1. DATA CHUNG'!$M$4:$M$105=Q98,"&amp;" 1) * ('1. DATA CHUNG'!$L$4:$L$105&lt;=TODAY()) ),   2, 0),  1, 1), 
  IFERROR( INDEX(FILTER('1. DATA CHUNG'!$J$4:$J$105, (TRIM('1. DATA CHUNG'!$I$4:$I$105)=TRIM(K98)) * IF(COUNTIFS('1. DATA CHUNG'!$I$4:$I$105,K98,'1. DATA CHUNG'!$M$4:$M$105,Q98), '1. DATA C"&amp;"HUNG'!$M$4:$M$105=Q98, 1) * ('1. DATA CHUNG'!$L$4:$L$105="""")), 1), ""Không tìm thấy"" ))"),7.0)</f>
        <v>7</v>
      </c>
      <c r="AI98" s="273">
        <f t="shared" si="2"/>
        <v>46014</v>
      </c>
      <c r="AJ98" s="287"/>
      <c r="AK98" s="286">
        <f t="shared" si="3"/>
        <v>0</v>
      </c>
      <c r="AL98" s="287">
        <f t="shared" si="4"/>
        <v>1</v>
      </c>
      <c r="AM98" s="287">
        <f t="shared" si="5"/>
        <v>5</v>
      </c>
      <c r="AN98" s="279">
        <f t="shared" si="6"/>
        <v>6</v>
      </c>
      <c r="AO98" s="295" t="str">
        <f t="shared" si="7"/>
        <v>12/2025</v>
      </c>
      <c r="AP98" s="277" t="str">
        <f t="array" ref="AP98">IFERROR(XLOOKUP(L98,'2. DATA NL, VTBB'!C:C,'2. DATA NL, VTBB'!F:F),"")</f>
        <v>HH0102</v>
      </c>
      <c r="AQ98" s="277" t="str">
        <f t="array" ref="AQ98">IF(OR(K98="Nhãn", K98="Nhãn thùng",K98="Nhãn Túi"), K98 &amp; " " &amp; IFERROR(XLOOKUP(L98, '2. DATA NL, VTBB'!C:C, '2. DATA NL, VTBB'!E:E), ""), "")</f>
        <v/>
      </c>
      <c r="AR98" s="278" t="str">
        <f t="array" ref="AR98">IFERROR(XLOOKUP(L98,'2. DATA NL, VTBB'!C:C,'2. DATA NL, VTBB'!G:G),"")</f>
        <v>GC - II - 678 - AU - Chlorothalonil (flexo)- 100gr - 100</v>
      </c>
      <c r="AS98" s="278" t="str">
        <f t="array" ref="AS98">IFERROR(XLOOKUP(L98,'2. DATA NL, VTBB'!C:C,'2. DATA NL, VTBB'!G:G),"")</f>
        <v>GC - II - 678 - AU - Chlorothalonil (flexo)- 100gr - 100</v>
      </c>
      <c r="AT98" s="277"/>
    </row>
    <row r="99" ht="30.75" customHeight="1">
      <c r="A99" s="272">
        <f t="shared" si="24"/>
        <v>96</v>
      </c>
      <c r="B99" s="289">
        <v>46008.0</v>
      </c>
      <c r="C99" s="273">
        <v>46009.0</v>
      </c>
      <c r="D99" s="273">
        <f t="shared" si="27"/>
        <v>46011</v>
      </c>
      <c r="E99" s="289">
        <v>46022.0</v>
      </c>
      <c r="F99" s="274" t="s">
        <v>561</v>
      </c>
      <c r="G99" s="275" t="s">
        <v>562</v>
      </c>
      <c r="H99" s="274" t="s">
        <v>304</v>
      </c>
      <c r="I99" s="275" t="s">
        <v>726</v>
      </c>
      <c r="J99" s="279" t="s">
        <v>818</v>
      </c>
      <c r="K99" s="275" t="s">
        <v>728</v>
      </c>
      <c r="L99" s="277" t="s">
        <v>788</v>
      </c>
      <c r="M99" s="278" t="str">
        <f t="array" ref="M99">IFERROR(XLOOKUP(L99,'2. DATA NL, VTBB'!C:C,'2. DATA NL, VTBB'!D:D),"")</f>
        <v>PN - Chai HDPE tròn cổ 63 500ml  (80g)  - Trắng</v>
      </c>
      <c r="N99" s="280"/>
      <c r="O99" s="280" t="str">
        <f t="array" ref="O99">IFERROR( XLOOKUP(L99,'2. DATA NL, VTBB'!C:C,'2. DATA NL, VTBB'!E:E),"")</f>
        <v>Creek 2.1EC</v>
      </c>
      <c r="P99" s="275" t="s">
        <v>565</v>
      </c>
      <c r="Q99" s="311"/>
      <c r="R99" s="290" t="s">
        <v>566</v>
      </c>
      <c r="S99" s="280"/>
      <c r="T99" s="280"/>
      <c r="U99" s="277"/>
      <c r="V99" s="283">
        <v>5000.0</v>
      </c>
      <c r="W99" s="275" t="s">
        <v>699</v>
      </c>
      <c r="X99" s="283">
        <v>5000.0</v>
      </c>
      <c r="Y99" s="274">
        <v>5040.0</v>
      </c>
      <c r="Z99" s="279">
        <v>3100.0</v>
      </c>
      <c r="AA99" s="285">
        <v>0.08</v>
      </c>
      <c r="AB99" s="282">
        <v>1.687392E7</v>
      </c>
      <c r="AC99" s="277"/>
      <c r="AD99" s="289">
        <v>46008.0</v>
      </c>
      <c r="AE99" s="272">
        <v>2398.0</v>
      </c>
      <c r="AF99" s="277"/>
      <c r="AG99" s="277"/>
      <c r="AH99" s="294">
        <f>IFERROR(__xludf.DUMMYFUNCTION("IFERROR(INDEX( SORT(FILTER(
        {'1. DATA CHUNG'!$J$4:$J$105 , '1. DATA CHUNG'!$L$4:$L$105}, (TRIM('1. DATA CHUNG'!$I$4:$I$105)=TRIM(K99)) * IF(COUNTIFS('1. DATA CHUNG'!$I$4:$I$105,K99,'1. DATA CHUNG'!$M$4:$M$105,Q99), '1. DATA CHUNG'!$M$4:$M$105=Q99,"&amp;" 1) * ('1. DATA CHUNG'!$L$4:$L$105&lt;=TODAY()) ),   2, 0),  1, 1), 
  IFERROR( INDEX(FILTER('1. DATA CHUNG'!$J$4:$J$105, (TRIM('1. DATA CHUNG'!$I$4:$I$105)=TRIM(K99)) * IF(COUNTIFS('1. DATA CHUNG'!$I$4:$I$105,K99,'1. DATA CHUNG'!$M$4:$M$105,Q99), '1. DATA C"&amp;"HUNG'!$M$4:$M$105=Q99, 1) * ('1. DATA CHUNG'!$L$4:$L$105="""")), 1), ""Không tìm thấy"" ))"),7.0)</f>
        <v>7</v>
      </c>
      <c r="AI99" s="273">
        <f t="shared" si="2"/>
        <v>46015</v>
      </c>
      <c r="AJ99" s="287"/>
      <c r="AK99" s="286">
        <f t="shared" si="3"/>
        <v>0</v>
      </c>
      <c r="AL99" s="287">
        <f t="shared" si="4"/>
        <v>-11</v>
      </c>
      <c r="AM99" s="287">
        <f t="shared" si="5"/>
        <v>-7</v>
      </c>
      <c r="AN99" s="279">
        <f t="shared" si="6"/>
        <v>6</v>
      </c>
      <c r="AO99" s="295" t="str">
        <f t="shared" si="7"/>
        <v>12/2025</v>
      </c>
      <c r="AP99" s="277" t="str">
        <f t="array" ref="AP99">IFERROR(XLOOKUP(L99,'2. DATA NL, VTBB'!C:C,'2. DATA NL, VTBB'!F:F),"")</f>
        <v>HH0212</v>
      </c>
      <c r="AQ99" s="277" t="str">
        <f t="array" ref="AQ99">IF(OR(K99="Nhãn", K99="Nhãn thùng",K99="Nhãn Túi"), K99 &amp; " " &amp; IFERROR(XLOOKUP(L99, '2. DATA NL, VTBB'!C:C, '2. DATA NL, VTBB'!E:E), ""), "")</f>
        <v/>
      </c>
      <c r="AR99" s="278" t="str">
        <f t="array" ref="AR99">IFERROR(XLOOKUP(L99,'2. DATA NL, VTBB'!C:C,'2. DATA NL, VTBB'!G:G),"")</f>
        <v>GC - IV - 833 - Huy Phát - HP Pro Max (nước đỏ)(Pet Vuông)- 400ml - 40</v>
      </c>
      <c r="AS99" s="278" t="str">
        <f t="array" ref="AS99">IFERROR(XLOOKUP(L99,'2. DATA NL, VTBB'!C:C,'2. DATA NL, VTBB'!G:G),"")</f>
        <v>GC - IV - 833 - Huy Phát - HP Pro Max (nước đỏ)(Pet Vuông)- 400ml - 40</v>
      </c>
      <c r="AT99" s="277"/>
    </row>
    <row r="100" ht="30.75" customHeight="1">
      <c r="A100" s="272">
        <f t="shared" si="24"/>
        <v>97</v>
      </c>
      <c r="B100" s="289">
        <v>46008.0</v>
      </c>
      <c r="C100" s="273">
        <v>46009.0</v>
      </c>
      <c r="D100" s="273">
        <f t="shared" si="27"/>
        <v>46011</v>
      </c>
      <c r="E100" s="289">
        <v>46022.0</v>
      </c>
      <c r="F100" s="274" t="s">
        <v>561</v>
      </c>
      <c r="G100" s="275" t="s">
        <v>562</v>
      </c>
      <c r="H100" s="274" t="s">
        <v>304</v>
      </c>
      <c r="I100" s="275" t="s">
        <v>726</v>
      </c>
      <c r="J100" s="279" t="s">
        <v>818</v>
      </c>
      <c r="K100" s="275" t="s">
        <v>730</v>
      </c>
      <c r="L100" s="277" t="s">
        <v>789</v>
      </c>
      <c r="M100" s="278" t="str">
        <f t="array" ref="M100">IFERROR(XLOOKUP(L100,'2. DATA NL, VTBB'!C:C,'2. DATA NL, VTBB'!D:D),"")</f>
        <v>PN - Nắp HDPE cổ 63 có gurantee  - Trắng</v>
      </c>
      <c r="N100" s="280"/>
      <c r="O100" s="280" t="str">
        <f t="array" ref="O100">IFERROR( XLOOKUP(L100,'2. DATA NL, VTBB'!C:C,'2. DATA NL, VTBB'!E:E),"")</f>
        <v>Creek 2.1EC</v>
      </c>
      <c r="P100" s="275" t="s">
        <v>565</v>
      </c>
      <c r="Q100" s="311"/>
      <c r="R100" s="290" t="s">
        <v>566</v>
      </c>
      <c r="S100" s="280"/>
      <c r="T100" s="280"/>
      <c r="U100" s="277"/>
      <c r="V100" s="283">
        <v>5000.0</v>
      </c>
      <c r="W100" s="275" t="s">
        <v>699</v>
      </c>
      <c r="X100" s="283">
        <v>5000.0</v>
      </c>
      <c r="Y100" s="274">
        <v>5040.0</v>
      </c>
      <c r="Z100" s="279">
        <v>1200.0</v>
      </c>
      <c r="AA100" s="285">
        <v>0.08</v>
      </c>
      <c r="AB100" s="282">
        <v>6531840.0</v>
      </c>
      <c r="AC100" s="277"/>
      <c r="AD100" s="289">
        <v>46008.0</v>
      </c>
      <c r="AE100" s="272">
        <v>2398.0</v>
      </c>
      <c r="AF100" s="277"/>
      <c r="AG100" s="277"/>
      <c r="AH100" s="294">
        <f>IFERROR(__xludf.DUMMYFUNCTION("IFERROR(INDEX( SORT(FILTER(
        {'1. DATA CHUNG'!$J$4:$J$105 , '1. DATA CHUNG'!$L$4:$L$105}, (TRIM('1. DATA CHUNG'!$I$4:$I$105)=TRIM(K100)) * IF(COUNTIFS('1. DATA CHUNG'!$I$4:$I$105,K100,'1. DATA CHUNG'!$M$4:$M$105,Q100), '1. DATA CHUNG'!$M$4:$M$105=Q"&amp;"100, 1) * ('1. DATA CHUNG'!$L$4:$L$105&lt;=TODAY()) ),   2, 0),  1, 1), 
  IFERROR( INDEX(FILTER('1. DATA CHUNG'!$J$4:$J$105, (TRIM('1. DATA CHUNG'!$I$4:$I$105)=TRIM(K100)) * IF(COUNTIFS('1. DATA CHUNG'!$I$4:$I$105,K100,'1. DATA CHUNG'!$M$4:$M$105,Q100), '1."&amp;" DATA CHUNG'!$M$4:$M$105=Q100, 1) * ('1. DATA CHUNG'!$L$4:$L$105="""")), 1), ""Không tìm thấy"" ))"),7.0)</f>
        <v>7</v>
      </c>
      <c r="AI100" s="273">
        <f t="shared" si="2"/>
        <v>46015</v>
      </c>
      <c r="AJ100" s="287"/>
      <c r="AK100" s="286">
        <f t="shared" si="3"/>
        <v>0</v>
      </c>
      <c r="AL100" s="287">
        <f t="shared" si="4"/>
        <v>-11</v>
      </c>
      <c r="AM100" s="287">
        <f t="shared" si="5"/>
        <v>-7</v>
      </c>
      <c r="AN100" s="279">
        <f t="shared" si="6"/>
        <v>6</v>
      </c>
      <c r="AO100" s="295" t="str">
        <f t="shared" si="7"/>
        <v>12/2025</v>
      </c>
      <c r="AP100" s="277" t="str">
        <f t="array" ref="AP100">IFERROR(XLOOKUP(L100,'2. DATA NL, VTBB'!C:C,'2. DATA NL, VTBB'!F:F),"")</f>
        <v>HH0136</v>
      </c>
      <c r="AQ100" s="277" t="str">
        <f t="array" ref="AQ100">IF(OR(K100="Nhãn", K100="Nhãn thùng",K100="Nhãn Túi"), K100 &amp; " " &amp; IFERROR(XLOOKUP(L100, '2. DATA NL, VTBB'!C:C, '2. DATA NL, VTBB'!E:E), ""), "")</f>
        <v/>
      </c>
      <c r="AR100" s="278" t="str">
        <f t="array" ref="AR100">IFERROR(XLOOKUP(L100,'2. DATA NL, VTBB'!C:C,'2. DATA NL, VTBB'!G:G),"")</f>
        <v>GC - IV - 833 - Huy Phát - HP Pro Max (nước đỏ)(Pet Vuông)- 400ml - 40</v>
      </c>
      <c r="AS100" s="278" t="str">
        <f t="array" ref="AS100">IFERROR(XLOOKUP(L100,'2. DATA NL, VTBB'!C:C,'2. DATA NL, VTBB'!G:G),"")</f>
        <v>GC - IV - 833 - Huy Phát - HP Pro Max (nước đỏ)(Pet Vuông)- 400ml - 40</v>
      </c>
      <c r="AT100" s="277"/>
    </row>
    <row r="101" ht="30.75" customHeight="1">
      <c r="A101" s="272">
        <f t="shared" si="24"/>
        <v>98</v>
      </c>
      <c r="B101" s="289">
        <v>46008.0</v>
      </c>
      <c r="C101" s="273">
        <v>46009.0</v>
      </c>
      <c r="D101" s="273">
        <f t="shared" si="27"/>
        <v>46011</v>
      </c>
      <c r="E101" s="289">
        <v>46022.0</v>
      </c>
      <c r="F101" s="274" t="s">
        <v>561</v>
      </c>
      <c r="G101" s="275" t="s">
        <v>562</v>
      </c>
      <c r="H101" s="274" t="s">
        <v>304</v>
      </c>
      <c r="I101" s="275" t="s">
        <v>726</v>
      </c>
      <c r="J101" s="279" t="s">
        <v>818</v>
      </c>
      <c r="K101" s="275" t="s">
        <v>728</v>
      </c>
      <c r="L101" s="277" t="s">
        <v>788</v>
      </c>
      <c r="M101" s="278" t="str">
        <f t="array" ref="M101">IFERROR(XLOOKUP(L101,'2. DATA NL, VTBB'!C:C,'2. DATA NL, VTBB'!D:D),"")</f>
        <v>PN - Chai HDPE tròn cổ 63 500ml  (80g)  - Trắng</v>
      </c>
      <c r="N101" s="280"/>
      <c r="O101" s="280" t="str">
        <f t="array" ref="O101">IFERROR( XLOOKUP(L101,'2. DATA NL, VTBB'!C:C,'2. DATA NL, VTBB'!E:E),"")</f>
        <v>Creek 2.1EC</v>
      </c>
      <c r="P101" s="275" t="s">
        <v>565</v>
      </c>
      <c r="Q101" s="311"/>
      <c r="R101" s="290" t="s">
        <v>566</v>
      </c>
      <c r="S101" s="280"/>
      <c r="T101" s="280"/>
      <c r="U101" s="277"/>
      <c r="V101" s="283">
        <v>5000.0</v>
      </c>
      <c r="W101" s="275" t="s">
        <v>699</v>
      </c>
      <c r="X101" s="283">
        <v>5000.0</v>
      </c>
      <c r="Y101" s="274">
        <v>5040.0</v>
      </c>
      <c r="Z101" s="279">
        <v>3100.0</v>
      </c>
      <c r="AA101" s="285">
        <v>0.08</v>
      </c>
      <c r="AB101" s="282">
        <v>1.687392E7</v>
      </c>
      <c r="AC101" s="277"/>
      <c r="AD101" s="289">
        <v>46008.0</v>
      </c>
      <c r="AE101" s="272">
        <v>2369.0</v>
      </c>
      <c r="AF101" s="277"/>
      <c r="AG101" s="277"/>
      <c r="AH101" s="294">
        <f>IFERROR(__xludf.DUMMYFUNCTION("IFERROR(INDEX( SORT(FILTER(
        {'1. DATA CHUNG'!$J$4:$J$105 , '1. DATA CHUNG'!$L$4:$L$105}, (TRIM('1. DATA CHUNG'!$I$4:$I$105)=TRIM(K101)) * IF(COUNTIFS('1. DATA CHUNG'!$I$4:$I$105,K101,'1. DATA CHUNG'!$M$4:$M$105,Q101), '1. DATA CHUNG'!$M$4:$M$105=Q"&amp;"101, 1) * ('1. DATA CHUNG'!$L$4:$L$105&lt;=TODAY()) ),   2, 0),  1, 1), 
  IFERROR( INDEX(FILTER('1. DATA CHUNG'!$J$4:$J$105, (TRIM('1. DATA CHUNG'!$I$4:$I$105)=TRIM(K101)) * IF(COUNTIFS('1. DATA CHUNG'!$I$4:$I$105,K101,'1. DATA CHUNG'!$M$4:$M$105,Q101), '1."&amp;" DATA CHUNG'!$M$4:$M$105=Q101, 1) * ('1. DATA CHUNG'!$L$4:$L$105="""")), 1), ""Không tìm thấy"" ))"),7.0)</f>
        <v>7</v>
      </c>
      <c r="AI101" s="273">
        <f t="shared" si="2"/>
        <v>46015</v>
      </c>
      <c r="AJ101" s="287"/>
      <c r="AK101" s="286">
        <f t="shared" si="3"/>
        <v>0</v>
      </c>
      <c r="AL101" s="287">
        <f t="shared" si="4"/>
        <v>-11</v>
      </c>
      <c r="AM101" s="287">
        <f t="shared" si="5"/>
        <v>-7</v>
      </c>
      <c r="AN101" s="279">
        <f t="shared" si="6"/>
        <v>6</v>
      </c>
      <c r="AO101" s="295" t="str">
        <f t="shared" si="7"/>
        <v>12/2025</v>
      </c>
      <c r="AP101" s="277" t="str">
        <f t="array" ref="AP101">IFERROR(XLOOKUP(L101,'2. DATA NL, VTBB'!C:C,'2. DATA NL, VTBB'!F:F),"")</f>
        <v>HH0212</v>
      </c>
      <c r="AQ101" s="277" t="str">
        <f t="array" ref="AQ101">IF(OR(K101="Nhãn", K101="Nhãn thùng",K101="Nhãn Túi"), K101 &amp; " " &amp; IFERROR(XLOOKUP(L101, '2. DATA NL, VTBB'!C:C, '2. DATA NL, VTBB'!E:E), ""), "")</f>
        <v/>
      </c>
      <c r="AR101" s="278" t="str">
        <f t="array" ref="AR101">IFERROR(XLOOKUP(L101,'2. DATA NL, VTBB'!C:C,'2. DATA NL, VTBB'!G:G),"")</f>
        <v>GC - IV - 833 - Huy Phát - HP Pro Max (nước đỏ)(Pet Vuông)- 400ml - 40</v>
      </c>
      <c r="AS101" s="278" t="str">
        <f t="array" ref="AS101">IFERROR(XLOOKUP(L101,'2. DATA NL, VTBB'!C:C,'2. DATA NL, VTBB'!G:G),"")</f>
        <v>GC - IV - 833 - Huy Phát - HP Pro Max (nước đỏ)(Pet Vuông)- 400ml - 40</v>
      </c>
      <c r="AT101" s="277"/>
    </row>
    <row r="102" ht="30.75" customHeight="1">
      <c r="A102" s="272">
        <f t="shared" si="24"/>
        <v>99</v>
      </c>
      <c r="B102" s="289">
        <v>46008.0</v>
      </c>
      <c r="C102" s="273">
        <v>46009.0</v>
      </c>
      <c r="D102" s="273">
        <f t="shared" si="27"/>
        <v>46011</v>
      </c>
      <c r="E102" s="289">
        <v>46022.0</v>
      </c>
      <c r="F102" s="274" t="s">
        <v>561</v>
      </c>
      <c r="G102" s="275" t="s">
        <v>562</v>
      </c>
      <c r="H102" s="274" t="s">
        <v>304</v>
      </c>
      <c r="I102" s="275" t="s">
        <v>726</v>
      </c>
      <c r="J102" s="279" t="s">
        <v>818</v>
      </c>
      <c r="K102" s="275" t="s">
        <v>730</v>
      </c>
      <c r="L102" s="277" t="s">
        <v>789</v>
      </c>
      <c r="M102" s="278" t="str">
        <f t="array" ref="M102">IFERROR(XLOOKUP(L102,'2. DATA NL, VTBB'!C:C,'2. DATA NL, VTBB'!D:D),"")</f>
        <v>PN - Nắp HDPE cổ 63 có gurantee  - Trắng</v>
      </c>
      <c r="N102" s="280"/>
      <c r="O102" s="280" t="str">
        <f t="array" ref="O102">IFERROR( XLOOKUP(L102,'2. DATA NL, VTBB'!C:C,'2. DATA NL, VTBB'!E:E),"")</f>
        <v>Creek 2.1EC</v>
      </c>
      <c r="P102" s="275" t="s">
        <v>565</v>
      </c>
      <c r="Q102" s="311"/>
      <c r="R102" s="290" t="s">
        <v>566</v>
      </c>
      <c r="S102" s="280"/>
      <c r="T102" s="280"/>
      <c r="U102" s="277"/>
      <c r="V102" s="283">
        <v>5000.0</v>
      </c>
      <c r="W102" s="275" t="s">
        <v>699</v>
      </c>
      <c r="X102" s="283">
        <v>5000.0</v>
      </c>
      <c r="Y102" s="274">
        <v>5040.0</v>
      </c>
      <c r="Z102" s="287">
        <v>1200.0</v>
      </c>
      <c r="AA102" s="285">
        <v>0.08</v>
      </c>
      <c r="AB102" s="282">
        <v>6531840.0</v>
      </c>
      <c r="AC102" s="277"/>
      <c r="AD102" s="289">
        <v>46008.0</v>
      </c>
      <c r="AE102" s="272">
        <v>2369.0</v>
      </c>
      <c r="AF102" s="277"/>
      <c r="AG102" s="277"/>
      <c r="AH102" s="294">
        <f>IFERROR(__xludf.DUMMYFUNCTION("IFERROR(INDEX( SORT(FILTER(
        {'1. DATA CHUNG'!$J$4:$J$105 , '1. DATA CHUNG'!$L$4:$L$105}, (TRIM('1. DATA CHUNG'!$I$4:$I$105)=TRIM(K102)) * IF(COUNTIFS('1. DATA CHUNG'!$I$4:$I$105,K102,'1. DATA CHUNG'!$M$4:$M$105,Q102), '1. DATA CHUNG'!$M$4:$M$105=Q"&amp;"102, 1) * ('1. DATA CHUNG'!$L$4:$L$105&lt;=TODAY()) ),   2, 0),  1, 1), 
  IFERROR( INDEX(FILTER('1. DATA CHUNG'!$J$4:$J$105, (TRIM('1. DATA CHUNG'!$I$4:$I$105)=TRIM(K102)) * IF(COUNTIFS('1. DATA CHUNG'!$I$4:$I$105,K102,'1. DATA CHUNG'!$M$4:$M$105,Q102), '1."&amp;" DATA CHUNG'!$M$4:$M$105=Q102, 1) * ('1. DATA CHUNG'!$L$4:$L$105="""")), 1), ""Không tìm thấy"" ))"),7.0)</f>
        <v>7</v>
      </c>
      <c r="AI102" s="273">
        <f t="shared" si="2"/>
        <v>46015</v>
      </c>
      <c r="AJ102" s="287"/>
      <c r="AK102" s="286">
        <f t="shared" si="3"/>
        <v>0</v>
      </c>
      <c r="AL102" s="287">
        <f t="shared" si="4"/>
        <v>-11</v>
      </c>
      <c r="AM102" s="287">
        <f t="shared" si="5"/>
        <v>-7</v>
      </c>
      <c r="AN102" s="279">
        <f t="shared" si="6"/>
        <v>6</v>
      </c>
      <c r="AO102" s="295" t="str">
        <f t="shared" si="7"/>
        <v>12/2025</v>
      </c>
      <c r="AP102" s="277" t="str">
        <f t="array" ref="AP102">IFERROR(XLOOKUP(L102,'2. DATA NL, VTBB'!C:C,'2. DATA NL, VTBB'!F:F),"")</f>
        <v>HH0136</v>
      </c>
      <c r="AQ102" s="277" t="str">
        <f t="array" ref="AQ102">IF(OR(K102="Nhãn", K102="Nhãn thùng",K102="Nhãn Túi"), K102 &amp; " " &amp; IFERROR(XLOOKUP(L102, '2. DATA NL, VTBB'!C:C, '2. DATA NL, VTBB'!E:E), ""), "")</f>
        <v/>
      </c>
      <c r="AR102" s="278" t="str">
        <f t="array" ref="AR102">IFERROR(XLOOKUP(L102,'2. DATA NL, VTBB'!C:C,'2. DATA NL, VTBB'!G:G),"")</f>
        <v>GC - IV - 833 - Huy Phát - HP Pro Max (nước đỏ)(Pet Vuông)- 400ml - 40</v>
      </c>
      <c r="AS102" s="278" t="str">
        <f t="array" ref="AS102">IFERROR(XLOOKUP(L102,'2. DATA NL, VTBB'!C:C,'2. DATA NL, VTBB'!G:G),"")</f>
        <v>GC - IV - 833 - Huy Phát - HP Pro Max (nước đỏ)(Pet Vuông)- 400ml - 40</v>
      </c>
      <c r="AT102" s="277"/>
    </row>
    <row r="103" ht="30.75" customHeight="1">
      <c r="A103" s="272">
        <f t="shared" si="24"/>
        <v>100</v>
      </c>
      <c r="B103" s="289">
        <v>46009.0</v>
      </c>
      <c r="C103" s="273">
        <v>46010.0</v>
      </c>
      <c r="D103" s="273">
        <f t="shared" si="27"/>
        <v>46012</v>
      </c>
      <c r="E103" s="289">
        <v>46013.0</v>
      </c>
      <c r="F103" s="274" t="s">
        <v>561</v>
      </c>
      <c r="G103" s="275" t="s">
        <v>562</v>
      </c>
      <c r="H103" s="274" t="s">
        <v>304</v>
      </c>
      <c r="I103" s="275" t="s">
        <v>726</v>
      </c>
      <c r="J103" s="279" t="s">
        <v>819</v>
      </c>
      <c r="K103" s="275" t="s">
        <v>728</v>
      </c>
      <c r="L103" s="277" t="s">
        <v>778</v>
      </c>
      <c r="M103" s="278" t="str">
        <f t="array" ref="M103">IFERROR(XLOOKUP(L103,'2. DATA NL, VTBB'!C:C,'2. DATA NL, VTBB'!D:D),"")</f>
        <v>Chai PET tròn cổ 44 500ml (45g) Trắng</v>
      </c>
      <c r="N103" s="280"/>
      <c r="O103" s="280" t="str">
        <f t="array" ref="O103">IFERROR( XLOOKUP(L103,'2. DATA NL, VTBB'!C:C,'2. DATA NL, VTBB'!E:E),"")</f>
        <v>Chitin 3.6EC</v>
      </c>
      <c r="P103" s="275" t="s">
        <v>565</v>
      </c>
      <c r="Q103" s="311"/>
      <c r="R103" s="291" t="s">
        <v>573</v>
      </c>
      <c r="S103" s="280"/>
      <c r="T103" s="280"/>
      <c r="U103" s="277"/>
      <c r="V103" s="283">
        <v>10000.0</v>
      </c>
      <c r="W103" s="275" t="s">
        <v>699</v>
      </c>
      <c r="X103" s="283">
        <v>10000.0</v>
      </c>
      <c r="Y103" s="274">
        <v>10080.0</v>
      </c>
      <c r="Z103" s="279">
        <v>1900.0</v>
      </c>
      <c r="AA103" s="285">
        <v>0.08</v>
      </c>
      <c r="AB103" s="282">
        <v>2.068416E7</v>
      </c>
      <c r="AC103" s="277"/>
      <c r="AD103" s="289">
        <v>46009.0</v>
      </c>
      <c r="AE103" s="272">
        <v>2388.0</v>
      </c>
      <c r="AF103" s="277"/>
      <c r="AG103" s="277"/>
      <c r="AH103" s="294">
        <f>IFERROR(__xludf.DUMMYFUNCTION("IFERROR(INDEX( SORT(FILTER(
        {'1. DATA CHUNG'!$J$4:$J$105 , '1. DATA CHUNG'!$L$4:$L$105}, (TRIM('1. DATA CHUNG'!$I$4:$I$105)=TRIM(K103)) * IF(COUNTIFS('1. DATA CHUNG'!$I$4:$I$105,K103,'1. DATA CHUNG'!$M$4:$M$105,Q103), '1. DATA CHUNG'!$M$4:$M$105=Q"&amp;"103, 1) * ('1. DATA CHUNG'!$L$4:$L$105&lt;=TODAY()) ),   2, 0),  1, 1), 
  IFERROR( INDEX(FILTER('1. DATA CHUNG'!$J$4:$J$105, (TRIM('1. DATA CHUNG'!$I$4:$I$105)=TRIM(K103)) * IF(COUNTIFS('1. DATA CHUNG'!$I$4:$I$105,K103,'1. DATA CHUNG'!$M$4:$M$105,Q103), '1."&amp;" DATA CHUNG'!$M$4:$M$105=Q103, 1) * ('1. DATA CHUNG'!$L$4:$L$105="""")), 1), ""Không tìm thấy"" ))"),7.0)</f>
        <v>7</v>
      </c>
      <c r="AI103" s="273">
        <f t="shared" si="2"/>
        <v>46016</v>
      </c>
      <c r="AJ103" s="287"/>
      <c r="AK103" s="286">
        <f t="shared" si="3"/>
        <v>0</v>
      </c>
      <c r="AL103" s="287">
        <f t="shared" si="4"/>
        <v>-1</v>
      </c>
      <c r="AM103" s="287">
        <f t="shared" si="5"/>
        <v>3</v>
      </c>
      <c r="AN103" s="279">
        <f t="shared" si="6"/>
        <v>6</v>
      </c>
      <c r="AO103" s="295" t="str">
        <f t="shared" si="7"/>
        <v>12/2025</v>
      </c>
      <c r="AP103" s="277" t="str">
        <f t="array" ref="AP103">IFERROR(XLOOKUP(L103,'2. DATA NL, VTBB'!C:C,'2. DATA NL, VTBB'!F:F),"")</f>
        <v>HH0234</v>
      </c>
      <c r="AQ103" s="277" t="str">
        <f t="array" ref="AQ103">IF(OR(K103="Nhãn", K103="Nhãn thùng",K103="Nhãn Túi"), K103 &amp; " " &amp; IFERROR(XLOOKUP(L103, '2. DATA NL, VTBB'!C:C, '2. DATA NL, VTBB'!E:E), ""), "")</f>
        <v/>
      </c>
      <c r="AR103" s="278" t="str">
        <f t="array" ref="AR103">IFERROR(XLOOKUP(L103,'2. DATA NL, VTBB'!C:C,'2. DATA NL, VTBB'!G:G),"")</f>
        <v>LOT IDA Global - I - 875 - ĐL Bảo Tại - Avermectin 36 (Pet tròn) (nắp đỏ)(nước nâu đen) - 450ml - 40</v>
      </c>
      <c r="AS103" s="278" t="str">
        <f t="array" ref="AS103">IFERROR(XLOOKUP(L103,'2. DATA NL, VTBB'!C:C,'2. DATA NL, VTBB'!G:G),"")</f>
        <v>LOT IDA Global - I - 875 - ĐL Bảo Tại - Avermectin 36 (Pet tròn) (nắp đỏ)(nước nâu đen) - 450ml - 40</v>
      </c>
      <c r="AT103" s="277"/>
    </row>
    <row r="104" ht="30.75" customHeight="1">
      <c r="A104" s="272">
        <f t="shared" si="24"/>
        <v>101</v>
      </c>
      <c r="B104" s="289">
        <v>46009.0</v>
      </c>
      <c r="C104" s="273">
        <v>46010.0</v>
      </c>
      <c r="D104" s="273">
        <f t="shared" si="27"/>
        <v>46012</v>
      </c>
      <c r="E104" s="289">
        <v>46013.0</v>
      </c>
      <c r="F104" s="274" t="s">
        <v>561</v>
      </c>
      <c r="G104" s="275" t="s">
        <v>562</v>
      </c>
      <c r="H104" s="274" t="s">
        <v>304</v>
      </c>
      <c r="I104" s="275" t="s">
        <v>726</v>
      </c>
      <c r="J104" s="279" t="s">
        <v>819</v>
      </c>
      <c r="K104" s="275" t="s">
        <v>730</v>
      </c>
      <c r="L104" s="277" t="s">
        <v>779</v>
      </c>
      <c r="M104" s="278" t="str">
        <f t="array" ref="M104">IFERROR(XLOOKUP(L104,'2. DATA NL, VTBB'!C:C,'2. DATA NL, VTBB'!D:D),"")</f>
        <v>Nắp PET cổ 44 (9g) - Trắng</v>
      </c>
      <c r="N104" s="280"/>
      <c r="O104" s="280" t="str">
        <f t="array" ref="O104">IFERROR( XLOOKUP(L104,'2. DATA NL, VTBB'!C:C,'2. DATA NL, VTBB'!E:E),"")</f>
        <v>IMIPRID 10WP</v>
      </c>
      <c r="P104" s="275" t="s">
        <v>565</v>
      </c>
      <c r="Q104" s="311"/>
      <c r="R104" s="291" t="s">
        <v>573</v>
      </c>
      <c r="S104" s="280"/>
      <c r="T104" s="280"/>
      <c r="U104" s="277"/>
      <c r="V104" s="283">
        <v>4000.0</v>
      </c>
      <c r="W104" s="275" t="s">
        <v>699</v>
      </c>
      <c r="X104" s="283">
        <v>4000.0</v>
      </c>
      <c r="Y104" s="274">
        <v>4032.0</v>
      </c>
      <c r="Z104" s="279">
        <v>900.0</v>
      </c>
      <c r="AA104" s="285">
        <v>0.08</v>
      </c>
      <c r="AB104" s="282">
        <v>3919104.0</v>
      </c>
      <c r="AC104" s="277"/>
      <c r="AD104" s="289">
        <v>46009.0</v>
      </c>
      <c r="AE104" s="272">
        <v>2388.0</v>
      </c>
      <c r="AF104" s="277"/>
      <c r="AG104" s="277"/>
      <c r="AH104" s="294">
        <f>IFERROR(__xludf.DUMMYFUNCTION("IFERROR(INDEX( SORT(FILTER(
        {'1. DATA CHUNG'!$J$4:$J$105 , '1. DATA CHUNG'!$L$4:$L$105}, (TRIM('1. DATA CHUNG'!$I$4:$I$105)=TRIM(K104)) * IF(COUNTIFS('1. DATA CHUNG'!$I$4:$I$105,K104,'1. DATA CHUNG'!$M$4:$M$105,Q104), '1. DATA CHUNG'!$M$4:$M$105=Q"&amp;"104, 1) * ('1. DATA CHUNG'!$L$4:$L$105&lt;=TODAY()) ),   2, 0),  1, 1), 
  IFERROR( INDEX(FILTER('1. DATA CHUNG'!$J$4:$J$105, (TRIM('1. DATA CHUNG'!$I$4:$I$105)=TRIM(K104)) * IF(COUNTIFS('1. DATA CHUNG'!$I$4:$I$105,K104,'1. DATA CHUNG'!$M$4:$M$105,Q104), '1."&amp;" DATA CHUNG'!$M$4:$M$105=Q104, 1) * ('1. DATA CHUNG'!$L$4:$L$105="""")), 1), ""Không tìm thấy"" ))"),7.0)</f>
        <v>7</v>
      </c>
      <c r="AI104" s="273">
        <f t="shared" si="2"/>
        <v>46016</v>
      </c>
      <c r="AJ104" s="287"/>
      <c r="AK104" s="286">
        <f t="shared" si="3"/>
        <v>0</v>
      </c>
      <c r="AL104" s="287">
        <f t="shared" si="4"/>
        <v>-1</v>
      </c>
      <c r="AM104" s="287">
        <f t="shared" si="5"/>
        <v>3</v>
      </c>
      <c r="AN104" s="279">
        <f t="shared" si="6"/>
        <v>6</v>
      </c>
      <c r="AO104" s="295" t="str">
        <f t="shared" si="7"/>
        <v>12/2025</v>
      </c>
      <c r="AP104" s="277" t="str">
        <f t="array" ref="AP104">IFERROR(XLOOKUP(L104,'2. DATA NL, VTBB'!C:C,'2. DATA NL, VTBB'!F:F),"")</f>
        <v>HH0163</v>
      </c>
      <c r="AQ104" s="277" t="str">
        <f t="array" ref="AQ104">IF(OR(K104="Nhãn", K104="Nhãn thùng",K104="Nhãn Túi"), K104 &amp; " " &amp; IFERROR(XLOOKUP(L104, '2. DATA NL, VTBB'!C:C, '2. DATA NL, VTBB'!E:E), ""), "")</f>
        <v/>
      </c>
      <c r="AR104" s="278" t="str">
        <f t="array" ref="AR104">IFERROR(XLOOKUP(L104,'2. DATA NL, VTBB'!C:C,'2. DATA NL, VTBB'!G:G),"")</f>
        <v>GC - IV - 888.1 - Huy Phát - BI Pro Max (Bột trắng) - 100gr - 100</v>
      </c>
      <c r="AS104" s="278" t="str">
        <f t="array" ref="AS104">IFERROR(XLOOKUP(L104,'2. DATA NL, VTBB'!C:C,'2. DATA NL, VTBB'!G:G),"")</f>
        <v>GC - IV - 888.1 - Huy Phát - BI Pro Max (Bột trắng) - 100gr - 100</v>
      </c>
      <c r="AT104" s="277"/>
    </row>
    <row r="105" ht="30.75" customHeight="1">
      <c r="A105" s="272">
        <f t="shared" si="24"/>
        <v>102</v>
      </c>
      <c r="B105" s="289">
        <v>46009.0</v>
      </c>
      <c r="C105" s="273">
        <v>46010.0</v>
      </c>
      <c r="D105" s="273">
        <f t="shared" si="27"/>
        <v>46012</v>
      </c>
      <c r="E105" s="289">
        <v>46013.0</v>
      </c>
      <c r="F105" s="274" t="s">
        <v>561</v>
      </c>
      <c r="G105" s="275" t="s">
        <v>562</v>
      </c>
      <c r="H105" s="274" t="s">
        <v>304</v>
      </c>
      <c r="I105" s="275" t="s">
        <v>726</v>
      </c>
      <c r="J105" s="279" t="s">
        <v>819</v>
      </c>
      <c r="K105" s="275" t="s">
        <v>730</v>
      </c>
      <c r="L105" s="277" t="s">
        <v>780</v>
      </c>
      <c r="M105" s="278" t="str">
        <f t="array" ref="M105">IFERROR(XLOOKUP(L105,'2. DATA NL, VTBB'!C:C,'2. DATA NL, VTBB'!D:D),"")</f>
        <v>Nắp PET cổ 44 (9g) Đỏ</v>
      </c>
      <c r="N105" s="280"/>
      <c r="O105" s="280" t="str">
        <f t="array" ref="O105">IFERROR( XLOOKUP(L105,'2. DATA NL, VTBB'!C:C,'2. DATA NL, VTBB'!E:E),"")</f>
        <v>Chitin 3.6EC</v>
      </c>
      <c r="P105" s="275" t="s">
        <v>565</v>
      </c>
      <c r="Q105" s="311"/>
      <c r="R105" s="291" t="s">
        <v>573</v>
      </c>
      <c r="S105" s="280"/>
      <c r="T105" s="280"/>
      <c r="U105" s="277"/>
      <c r="V105" s="283">
        <v>6000.0</v>
      </c>
      <c r="W105" s="275" t="s">
        <v>699</v>
      </c>
      <c r="X105" s="283">
        <v>6000.0</v>
      </c>
      <c r="Y105" s="274">
        <v>6048.0</v>
      </c>
      <c r="Z105" s="279">
        <v>900.0</v>
      </c>
      <c r="AA105" s="285">
        <v>0.08</v>
      </c>
      <c r="AB105" s="282">
        <v>5878656.0</v>
      </c>
      <c r="AC105" s="277"/>
      <c r="AD105" s="289">
        <v>46009.0</v>
      </c>
      <c r="AE105" s="272">
        <v>2388.0</v>
      </c>
      <c r="AF105" s="277"/>
      <c r="AG105" s="277"/>
      <c r="AH105" s="294">
        <f>IFERROR(__xludf.DUMMYFUNCTION("IFERROR(INDEX( SORT(FILTER(
        {'1. DATA CHUNG'!$J$4:$J$105 , '1. DATA CHUNG'!$L$4:$L$105}, (TRIM('1. DATA CHUNG'!$I$4:$I$105)=TRIM(K105)) * IF(COUNTIFS('1. DATA CHUNG'!$I$4:$I$105,K105,'1. DATA CHUNG'!$M$4:$M$105,Q105), '1. DATA CHUNG'!$M$4:$M$105=Q"&amp;"105, 1) * ('1. DATA CHUNG'!$L$4:$L$105&lt;=TODAY()) ),   2, 0),  1, 1), 
  IFERROR( INDEX(FILTER('1. DATA CHUNG'!$J$4:$J$105, (TRIM('1. DATA CHUNG'!$I$4:$I$105)=TRIM(K105)) * IF(COUNTIFS('1. DATA CHUNG'!$I$4:$I$105,K105,'1. DATA CHUNG'!$M$4:$M$105,Q105), '1."&amp;" DATA CHUNG'!$M$4:$M$105=Q105, 1) * ('1. DATA CHUNG'!$L$4:$L$105="""")), 1), ""Không tìm thấy"" ))"),7.0)</f>
        <v>7</v>
      </c>
      <c r="AI105" s="273">
        <f t="shared" si="2"/>
        <v>46016</v>
      </c>
      <c r="AJ105" s="287"/>
      <c r="AK105" s="286">
        <f t="shared" si="3"/>
        <v>0</v>
      </c>
      <c r="AL105" s="287">
        <f t="shared" si="4"/>
        <v>-1</v>
      </c>
      <c r="AM105" s="287">
        <f t="shared" si="5"/>
        <v>3</v>
      </c>
      <c r="AN105" s="279">
        <f t="shared" si="6"/>
        <v>6</v>
      </c>
      <c r="AO105" s="295" t="str">
        <f t="shared" si="7"/>
        <v>12/2025</v>
      </c>
      <c r="AP105" s="277" t="str">
        <f t="array" ref="AP105">IFERROR(XLOOKUP(L105,'2. DATA NL, VTBB'!C:C,'2. DATA NL, VTBB'!F:F),"")</f>
        <v>HH0156</v>
      </c>
      <c r="AQ105" s="277" t="str">
        <f t="array" ref="AQ105">IF(OR(K105="Nhãn", K105="Nhãn thùng",K105="Nhãn Túi"), K105 &amp; " " &amp; IFERROR(XLOOKUP(L105, '2. DATA NL, VTBB'!C:C, '2. DATA NL, VTBB'!E:E), ""), "")</f>
        <v/>
      </c>
      <c r="AR105" s="278" t="str">
        <f t="array" ref="AR105">IFERROR(XLOOKUP(L105,'2. DATA NL, VTBB'!C:C,'2. DATA NL, VTBB'!G:G),"")</f>
        <v>LOT IDA Global - I - 875 - ĐL Bảo Tại - Avermectin 36 (Pet tròn) (nắp đỏ)(nước nâu đen) - 450ml - 40</v>
      </c>
      <c r="AS105" s="278" t="str">
        <f t="array" ref="AS105">IFERROR(XLOOKUP(L105,'2. DATA NL, VTBB'!C:C,'2. DATA NL, VTBB'!G:G),"")</f>
        <v>LOT IDA Global - I - 875 - ĐL Bảo Tại - Avermectin 36 (Pet tròn) (nắp đỏ)(nước nâu đen) - 450ml - 40</v>
      </c>
      <c r="AT105" s="277"/>
    </row>
    <row r="106" ht="30.75" customHeight="1">
      <c r="A106" s="272">
        <f t="shared" si="24"/>
        <v>103</v>
      </c>
      <c r="B106" s="289">
        <v>46009.0</v>
      </c>
      <c r="C106" s="273">
        <v>46010.0</v>
      </c>
      <c r="D106" s="273">
        <f t="shared" si="27"/>
        <v>46012</v>
      </c>
      <c r="E106" s="289">
        <v>46013.0</v>
      </c>
      <c r="F106" s="274" t="s">
        <v>561</v>
      </c>
      <c r="G106" s="275" t="s">
        <v>580</v>
      </c>
      <c r="H106" s="274" t="s">
        <v>304</v>
      </c>
      <c r="I106" s="275" t="s">
        <v>744</v>
      </c>
      <c r="J106" s="279" t="s">
        <v>820</v>
      </c>
      <c r="K106" s="275" t="s">
        <v>728</v>
      </c>
      <c r="L106" s="277" t="s">
        <v>821</v>
      </c>
      <c r="M106" s="278" t="str">
        <f t="array" ref="M106">IFERROR(XLOOKUP(L106,'2. DATA NL, VTBB'!C:C,'2. DATA NL, VTBB'!D:D),"")</f>
        <v>Chai HDPE tròn cổ 50 550ml (75g) Gruratee - Trắng</v>
      </c>
      <c r="N106" s="280"/>
      <c r="O106" s="280" t="str">
        <f t="array" ref="O106">IFERROR( XLOOKUP(L106,'2. DATA NL, VTBB'!C:C,'2. DATA NL, VTBB'!E:E),"")</f>
        <v>CITIZEN 333SC</v>
      </c>
      <c r="P106" s="275" t="s">
        <v>565</v>
      </c>
      <c r="Q106" s="311"/>
      <c r="R106" s="291" t="s">
        <v>590</v>
      </c>
      <c r="S106" s="280"/>
      <c r="T106" s="280"/>
      <c r="U106" s="277"/>
      <c r="V106" s="283">
        <v>2000.0</v>
      </c>
      <c r="W106" s="275" t="s">
        <v>699</v>
      </c>
      <c r="X106" s="283">
        <v>2000.0</v>
      </c>
      <c r="Y106" s="274">
        <v>2048.0</v>
      </c>
      <c r="Z106" s="287">
        <v>4150.0</v>
      </c>
      <c r="AA106" s="285">
        <v>0.08</v>
      </c>
      <c r="AB106" s="282">
        <v>9179136.0</v>
      </c>
      <c r="AC106" s="277"/>
      <c r="AD106" s="289">
        <v>46009.0</v>
      </c>
      <c r="AE106" s="272">
        <v>3856.0</v>
      </c>
      <c r="AF106" s="277"/>
      <c r="AG106" s="277"/>
      <c r="AH106" s="294">
        <f>IFERROR(__xludf.DUMMYFUNCTION("IFERROR(INDEX( SORT(FILTER(
        {'1. DATA CHUNG'!$J$4:$J$105 , '1. DATA CHUNG'!$L$4:$L$105}, (TRIM('1. DATA CHUNG'!$I$4:$I$105)=TRIM(K106)) * IF(COUNTIFS('1. DATA CHUNG'!$I$4:$I$105,K106,'1. DATA CHUNG'!$M$4:$M$105,Q106), '1. DATA CHUNG'!$M$4:$M$105=Q"&amp;"106, 1) * ('1. DATA CHUNG'!$L$4:$L$105&lt;=TODAY()) ),   2, 0),  1, 1), 
  IFERROR( INDEX(FILTER('1. DATA CHUNG'!$J$4:$J$105, (TRIM('1. DATA CHUNG'!$I$4:$I$105)=TRIM(K106)) * IF(COUNTIFS('1. DATA CHUNG'!$I$4:$I$105,K106,'1. DATA CHUNG'!$M$4:$M$105,Q106), '1."&amp;" DATA CHUNG'!$M$4:$M$105=Q106, 1) * ('1. DATA CHUNG'!$L$4:$L$105="""")), 1), ""Không tìm thấy"" ))"),7.0)</f>
        <v>7</v>
      </c>
      <c r="AI106" s="273">
        <f t="shared" si="2"/>
        <v>46016</v>
      </c>
      <c r="AJ106" s="287"/>
      <c r="AK106" s="286">
        <f t="shared" si="3"/>
        <v>0</v>
      </c>
      <c r="AL106" s="287">
        <f t="shared" si="4"/>
        <v>-1</v>
      </c>
      <c r="AM106" s="287">
        <f t="shared" si="5"/>
        <v>3</v>
      </c>
      <c r="AN106" s="279">
        <f t="shared" si="6"/>
        <v>6</v>
      </c>
      <c r="AO106" s="295" t="str">
        <f t="shared" si="7"/>
        <v>12/2025</v>
      </c>
      <c r="AP106" s="277" t="str">
        <f t="array" ref="AP106">IFERROR(XLOOKUP(L106,'2. DATA NL, VTBB'!C:C,'2. DATA NL, VTBB'!F:F),"")</f>
        <v>HH0230</v>
      </c>
      <c r="AQ106" s="277" t="str">
        <f t="array" ref="AQ106">IF(OR(K106="Nhãn", K106="Nhãn thùng",K106="Nhãn Túi"), K106 &amp; " " &amp; IFERROR(XLOOKUP(L106, '2. DATA NL, VTBB'!C:C, '2. DATA NL, VTBB'!E:E), ""), "")</f>
        <v/>
      </c>
      <c r="AR106" s="278" t="str">
        <f t="array" ref="AR106">IFERROR(XLOOKUP(L106,'2. DATA NL, VTBB'!C:C,'2. DATA NL, VTBB'!G:G),"")</f>
        <v>IDA Global - I - 872 - Citizen 333SC (Drone) (chai HD)(nước cam sữa) - 450ml - 40</v>
      </c>
      <c r="AS106" s="278" t="str">
        <f t="array" ref="AS106">IFERROR(XLOOKUP(L106,'2. DATA NL, VTBB'!C:C,'2. DATA NL, VTBB'!G:G),"")</f>
        <v>IDA Global - I - 872 - Citizen 333SC (Drone) (chai HD)(nước cam sữa) - 450ml - 40</v>
      </c>
      <c r="AT106" s="277"/>
    </row>
    <row r="107" ht="30.75" customHeight="1">
      <c r="A107" s="272">
        <f t="shared" si="24"/>
        <v>104</v>
      </c>
      <c r="B107" s="289">
        <v>46009.0</v>
      </c>
      <c r="C107" s="273">
        <v>46010.0</v>
      </c>
      <c r="D107" s="273">
        <f t="shared" si="27"/>
        <v>46012</v>
      </c>
      <c r="E107" s="289">
        <v>46013.0</v>
      </c>
      <c r="F107" s="274" t="s">
        <v>561</v>
      </c>
      <c r="G107" s="275" t="s">
        <v>580</v>
      </c>
      <c r="H107" s="274" t="s">
        <v>304</v>
      </c>
      <c r="I107" s="275" t="s">
        <v>744</v>
      </c>
      <c r="J107" s="279" t="s">
        <v>820</v>
      </c>
      <c r="K107" s="275" t="s">
        <v>730</v>
      </c>
      <c r="L107" s="277" t="s">
        <v>754</v>
      </c>
      <c r="M107" s="278" t="str">
        <f t="array" ref="M107">IFERROR(XLOOKUP(L107,'2. DATA NL, VTBB'!C:C,'2. DATA NL, VTBB'!D:D),"")</f>
        <v>Nắp HDPE cổ 50 gruratee - Trắng</v>
      </c>
      <c r="N107" s="280"/>
      <c r="O107" s="280" t="str">
        <f t="array" ref="O107">IFERROR( XLOOKUP(L107,'2. DATA NL, VTBB'!C:C,'2. DATA NL, VTBB'!E:E),"")</f>
        <v>Chitin 3.6EC</v>
      </c>
      <c r="P107" s="275" t="s">
        <v>565</v>
      </c>
      <c r="Q107" s="311"/>
      <c r="R107" s="291" t="s">
        <v>590</v>
      </c>
      <c r="S107" s="280"/>
      <c r="T107" s="280"/>
      <c r="U107" s="277"/>
      <c r="V107" s="283">
        <v>2000.0</v>
      </c>
      <c r="W107" s="275" t="s">
        <v>699</v>
      </c>
      <c r="X107" s="283">
        <v>2000.0</v>
      </c>
      <c r="Y107" s="274">
        <v>2048.0</v>
      </c>
      <c r="Z107" s="279">
        <v>1200.0</v>
      </c>
      <c r="AA107" s="285">
        <v>0.08</v>
      </c>
      <c r="AB107" s="282">
        <v>2654208.0</v>
      </c>
      <c r="AC107" s="277"/>
      <c r="AD107" s="289">
        <v>46009.0</v>
      </c>
      <c r="AE107" s="272">
        <v>3856.0</v>
      </c>
      <c r="AF107" s="277"/>
      <c r="AG107" s="277"/>
      <c r="AH107" s="294">
        <f>IFERROR(__xludf.DUMMYFUNCTION("IFERROR(INDEX( SORT(FILTER(
        {'1. DATA CHUNG'!$J$4:$J$105 , '1. DATA CHUNG'!$L$4:$L$105}, (TRIM('1. DATA CHUNG'!$I$4:$I$105)=TRIM(K107)) * IF(COUNTIFS('1. DATA CHUNG'!$I$4:$I$105,K107,'1. DATA CHUNG'!$M$4:$M$105,Q107), '1. DATA CHUNG'!$M$4:$M$105=Q"&amp;"107, 1) * ('1. DATA CHUNG'!$L$4:$L$105&lt;=TODAY()) ),   2, 0),  1, 1), 
  IFERROR( INDEX(FILTER('1. DATA CHUNG'!$J$4:$J$105, (TRIM('1. DATA CHUNG'!$I$4:$I$105)=TRIM(K107)) * IF(COUNTIFS('1. DATA CHUNG'!$I$4:$I$105,K107,'1. DATA CHUNG'!$M$4:$M$105,Q107), '1."&amp;" DATA CHUNG'!$M$4:$M$105=Q107, 1) * ('1. DATA CHUNG'!$L$4:$L$105="""")), 1), ""Không tìm thấy"" ))"),7.0)</f>
        <v>7</v>
      </c>
      <c r="AI107" s="273">
        <f t="shared" si="2"/>
        <v>46016</v>
      </c>
      <c r="AJ107" s="287"/>
      <c r="AK107" s="286">
        <f t="shared" si="3"/>
        <v>0</v>
      </c>
      <c r="AL107" s="287">
        <f t="shared" si="4"/>
        <v>-1</v>
      </c>
      <c r="AM107" s="287">
        <f t="shared" si="5"/>
        <v>3</v>
      </c>
      <c r="AN107" s="279">
        <f t="shared" si="6"/>
        <v>6</v>
      </c>
      <c r="AO107" s="295" t="str">
        <f t="shared" si="7"/>
        <v>12/2025</v>
      </c>
      <c r="AP107" s="277" t="str">
        <f t="array" ref="AP107">IFERROR(XLOOKUP(L107,'2. DATA NL, VTBB'!C:C,'2. DATA NL, VTBB'!F:F),"")</f>
        <v>HH0153</v>
      </c>
      <c r="AQ107" s="277" t="str">
        <f t="array" ref="AQ107">IF(OR(K107="Nhãn", K107="Nhãn thùng",K107="Nhãn Túi"), K107 &amp; " " &amp; IFERROR(XLOOKUP(L107, '2. DATA NL, VTBB'!C:C, '2. DATA NL, VTBB'!E:E), ""), "")</f>
        <v/>
      </c>
      <c r="AR107" s="278" t="str">
        <f t="array" ref="AR107">IFERROR(XLOOKUP(L107,'2. DATA NL, VTBB'!C:C,'2. DATA NL, VTBB'!G:G),"")</f>
        <v>LOT IDA Global - I - 870 - ĐL Nhựt Mẫn - Avermectin (Pet tròn) (nắp đỏ)(nước nâu đen) - 450ml - 40</v>
      </c>
      <c r="AS107" s="278" t="str">
        <f t="array" ref="AS107">IFERROR(XLOOKUP(L107,'2. DATA NL, VTBB'!C:C,'2. DATA NL, VTBB'!G:G),"")</f>
        <v>LOT IDA Global - I - 870 - ĐL Nhựt Mẫn - Avermectin (Pet tròn) (nắp đỏ)(nước nâu đen) - 450ml - 40</v>
      </c>
      <c r="AT107" s="277"/>
    </row>
    <row r="108" ht="30.75" customHeight="1">
      <c r="A108" s="272">
        <f t="shared" si="24"/>
        <v>105</v>
      </c>
      <c r="B108" s="289">
        <v>46010.0</v>
      </c>
      <c r="C108" s="289">
        <v>46017.0</v>
      </c>
      <c r="D108" s="289">
        <f>B108+15</f>
        <v>46025</v>
      </c>
      <c r="E108" s="289">
        <v>46018.0</v>
      </c>
      <c r="F108" s="274" t="s">
        <v>561</v>
      </c>
      <c r="G108" s="275" t="s">
        <v>562</v>
      </c>
      <c r="H108" s="274" t="s">
        <v>304</v>
      </c>
      <c r="I108" s="275" t="s">
        <v>305</v>
      </c>
      <c r="J108" s="279" t="s">
        <v>822</v>
      </c>
      <c r="K108" s="275" t="s">
        <v>301</v>
      </c>
      <c r="L108" s="277" t="s">
        <v>793</v>
      </c>
      <c r="M108" s="278" t="str">
        <f t="array" ref="M108">IFERROR(XLOOKUP(L108,'2. DATA NL, VTBB'!C:C,'2. DATA NL, VTBB'!D:D),"")</f>
        <v>Thùng chung Chai HDPE 500ml x 40 chai  (64.5x40.5x19cm) - Trắng trơn</v>
      </c>
      <c r="N108" s="280"/>
      <c r="O108" s="280" t="str">
        <f t="array" ref="O108">IFERROR( XLOOKUP(L108,'2. DATA NL, VTBB'!C:C,'2. DATA NL, VTBB'!E:E),"")</f>
        <v>Vi lượng Quantity New</v>
      </c>
      <c r="P108" s="275" t="s">
        <v>565</v>
      </c>
      <c r="Q108" s="311"/>
      <c r="R108" s="290" t="s">
        <v>566</v>
      </c>
      <c r="S108" s="280"/>
      <c r="T108" s="280"/>
      <c r="U108" s="277"/>
      <c r="V108" s="283">
        <v>310.0</v>
      </c>
      <c r="W108" s="275" t="s">
        <v>699</v>
      </c>
      <c r="X108" s="283">
        <v>310.0</v>
      </c>
      <c r="Y108" s="274">
        <v>310.0</v>
      </c>
      <c r="Z108" s="279">
        <v>24800.0</v>
      </c>
      <c r="AA108" s="285">
        <v>0.08</v>
      </c>
      <c r="AB108" s="282">
        <v>8303040.0</v>
      </c>
      <c r="AC108" s="277"/>
      <c r="AD108" s="289">
        <v>46010.0</v>
      </c>
      <c r="AE108" s="272">
        <v>2098.0</v>
      </c>
      <c r="AF108" s="277"/>
      <c r="AG108" s="277"/>
      <c r="AH108" s="294">
        <f>IFERROR(__xludf.DUMMYFUNCTION("IFERROR(INDEX( SORT(FILTER(
        {'1. DATA CHUNG'!$J$4:$J$105 , '1. DATA CHUNG'!$L$4:$L$105}, (TRIM('1. DATA CHUNG'!$I$4:$I$105)=TRIM(K108)) * IF(COUNTIFS('1. DATA CHUNG'!$I$4:$I$105,K108,'1. DATA CHUNG'!$M$4:$M$105,Q108), '1. DATA CHUNG'!$M$4:$M$105=Q"&amp;"108, 1) * ('1. DATA CHUNG'!$L$4:$L$105&lt;=TODAY()) ),   2, 0),  1, 1), 
  IFERROR( INDEX(FILTER('1. DATA CHUNG'!$J$4:$J$105, (TRIM('1. DATA CHUNG'!$I$4:$I$105)=TRIM(K108)) * IF(COUNTIFS('1. DATA CHUNG'!$I$4:$I$105,K108,'1. DATA CHUNG'!$M$4:$M$105,Q108), '1."&amp;" DATA CHUNG'!$M$4:$M$105=Q108, 1) * ('1. DATA CHUNG'!$L$4:$L$105="""")), 1), ""Không tìm thấy"" ))"),18.0)</f>
        <v>18</v>
      </c>
      <c r="AI108" s="273">
        <f t="shared" si="2"/>
        <v>46028</v>
      </c>
      <c r="AJ108" s="287"/>
      <c r="AK108" s="286">
        <f t="shared" si="3"/>
        <v>0</v>
      </c>
      <c r="AL108" s="287">
        <f t="shared" si="4"/>
        <v>7</v>
      </c>
      <c r="AM108" s="287">
        <f t="shared" si="5"/>
        <v>10</v>
      </c>
      <c r="AN108" s="279">
        <f t="shared" si="6"/>
        <v>11</v>
      </c>
      <c r="AO108" s="295" t="str">
        <f t="shared" si="7"/>
        <v>12/2025</v>
      </c>
      <c r="AP108" s="277" t="str">
        <f t="array" ref="AP108">IFERROR(XLOOKUP(L108,'2. DATA NL, VTBB'!C:C,'2. DATA NL, VTBB'!F:F),"")</f>
        <v>HH0170</v>
      </c>
      <c r="AQ108" s="277" t="str">
        <f t="array" ref="AQ108">IF(OR(K108="Nhãn", K108="Nhãn thùng",K108="Nhãn Túi"), K108 &amp; " " &amp; IFERROR(XLOOKUP(L108, '2. DATA NL, VTBB'!C:C, '2. DATA NL, VTBB'!E:E), ""), "")</f>
        <v/>
      </c>
      <c r="AR108" s="278" t="str">
        <f t="array" ref="AR108">IFERROR(XLOOKUP(L108,'2. DATA NL, VTBB'!C:C,'2. DATA NL, VTBB'!G:G),"")</f>
        <v>GC - II - 581 - A Thời GNH - Bung Chồi Vọt Đọt (Cây có múi) (Chai HD) - 500ml - 40</v>
      </c>
      <c r="AS108" s="278" t="str">
        <f t="array" ref="AS108">IFERROR(XLOOKUP(L108,'2. DATA NL, VTBB'!C:C,'2. DATA NL, VTBB'!G:G),"")</f>
        <v>GC - II - 581 - A Thời GNH - Bung Chồi Vọt Đọt (Cây có múi) (Chai HD) - 500ml - 40</v>
      </c>
      <c r="AT108" s="277"/>
    </row>
    <row r="109" ht="30.75" customHeight="1">
      <c r="A109" s="272">
        <f t="shared" si="24"/>
        <v>106</v>
      </c>
      <c r="B109" s="289">
        <v>46010.0</v>
      </c>
      <c r="C109" s="273">
        <v>46011.0</v>
      </c>
      <c r="D109" s="273">
        <f t="shared" ref="D109:D113" si="28">B109+3</f>
        <v>46013</v>
      </c>
      <c r="E109" s="289">
        <v>46013.0</v>
      </c>
      <c r="F109" s="274" t="s">
        <v>561</v>
      </c>
      <c r="G109" s="275" t="s">
        <v>562</v>
      </c>
      <c r="H109" s="274" t="s">
        <v>304</v>
      </c>
      <c r="I109" s="275" t="s">
        <v>726</v>
      </c>
      <c r="J109" s="279" t="s">
        <v>823</v>
      </c>
      <c r="K109" s="275" t="s">
        <v>728</v>
      </c>
      <c r="L109" s="277" t="s">
        <v>729</v>
      </c>
      <c r="M109" s="278" t="str">
        <f t="array" ref="M109">IFERROR(XLOOKUP(L109,'2. DATA NL, VTBB'!C:C,'2. DATA NL, VTBB'!D:D),"")</f>
        <v>Chai HDPE tròn cổ 49 500ml (65gr) - trắng - Nắp trắng, có cốc đong</v>
      </c>
      <c r="N109" s="280"/>
      <c r="O109" s="280" t="str">
        <f t="array" ref="O109">IFERROR( XLOOKUP(L109,'2. DATA NL, VTBB'!C:C,'2. DATA NL, VTBB'!E:E),"")</f>
        <v>TVZEB 800WP</v>
      </c>
      <c r="P109" s="275" t="s">
        <v>565</v>
      </c>
      <c r="Q109" s="311"/>
      <c r="R109" s="290" t="s">
        <v>566</v>
      </c>
      <c r="S109" s="280"/>
      <c r="T109" s="280"/>
      <c r="U109" s="277"/>
      <c r="V109" s="283">
        <v>3000.0</v>
      </c>
      <c r="W109" s="275" t="s">
        <v>699</v>
      </c>
      <c r="X109" s="283">
        <v>3000.0</v>
      </c>
      <c r="Y109" s="274">
        <v>3024.0</v>
      </c>
      <c r="Z109" s="287">
        <v>2800.0</v>
      </c>
      <c r="AA109" s="285">
        <v>0.08</v>
      </c>
      <c r="AB109" s="282">
        <v>9144576.0</v>
      </c>
      <c r="AC109" s="277"/>
      <c r="AD109" s="289">
        <v>46010.0</v>
      </c>
      <c r="AE109" s="272">
        <v>2399.0</v>
      </c>
      <c r="AF109" s="277"/>
      <c r="AG109" s="277"/>
      <c r="AH109" s="294">
        <f>IFERROR(__xludf.DUMMYFUNCTION("IFERROR(INDEX( SORT(FILTER(
        {'1. DATA CHUNG'!$J$4:$J$105 , '1. DATA CHUNG'!$L$4:$L$105}, (TRIM('1. DATA CHUNG'!$I$4:$I$105)=TRIM(K109)) * IF(COUNTIFS('1. DATA CHUNG'!$I$4:$I$105,K109,'1. DATA CHUNG'!$M$4:$M$105,Q109), '1. DATA CHUNG'!$M$4:$M$105=Q"&amp;"109, 1) * ('1. DATA CHUNG'!$L$4:$L$105&lt;=TODAY()) ),   2, 0),  1, 1), 
  IFERROR( INDEX(FILTER('1. DATA CHUNG'!$J$4:$J$105, (TRIM('1. DATA CHUNG'!$I$4:$I$105)=TRIM(K109)) * IF(COUNTIFS('1. DATA CHUNG'!$I$4:$I$105,K109,'1. DATA CHUNG'!$M$4:$M$105,Q109), '1."&amp;" DATA CHUNG'!$M$4:$M$105=Q109, 1) * ('1. DATA CHUNG'!$L$4:$L$105="""")), 1), ""Không tìm thấy"" ))"),7.0)</f>
        <v>7</v>
      </c>
      <c r="AI109" s="273">
        <f t="shared" si="2"/>
        <v>46017</v>
      </c>
      <c r="AJ109" s="287"/>
      <c r="AK109" s="286">
        <f t="shared" si="3"/>
        <v>0</v>
      </c>
      <c r="AL109" s="287">
        <f t="shared" si="4"/>
        <v>0</v>
      </c>
      <c r="AM109" s="287">
        <f t="shared" si="5"/>
        <v>4</v>
      </c>
      <c r="AN109" s="279">
        <f t="shared" si="6"/>
        <v>6</v>
      </c>
      <c r="AO109" s="295" t="str">
        <f t="shared" si="7"/>
        <v>12/2025</v>
      </c>
      <c r="AP109" s="277" t="str">
        <f t="array" ref="AP109">IFERROR(XLOOKUP(L109,'2. DATA NL, VTBB'!C:C,'2. DATA NL, VTBB'!F:F),"")</f>
        <v>HH0058</v>
      </c>
      <c r="AQ109" s="277" t="str">
        <f t="array" ref="AQ109">IF(OR(K109="Nhãn", K109="Nhãn thùng",K109="Nhãn Túi"), K109 &amp; " " &amp; IFERROR(XLOOKUP(L109, '2. DATA NL, VTBB'!C:C, '2. DATA NL, VTBB'!E:E), ""), "")</f>
        <v/>
      </c>
      <c r="AR109" s="278" t="str">
        <f t="array" ref="AR109">IFERROR(XLOOKUP(L109,'2. DATA NL, VTBB'!C:C,'2. DATA NL, VTBB'!G:G),"")</f>
        <v>LOT IDA Global - I - 492 - Mancozeb xanh - 1 kg - 20</v>
      </c>
      <c r="AS109" s="278" t="str">
        <f t="array" ref="AS109">IFERROR(XLOOKUP(L109,'2. DATA NL, VTBB'!C:C,'2. DATA NL, VTBB'!G:G),"")</f>
        <v>LOT IDA Global - I - 492 - Mancozeb xanh - 1 kg - 20</v>
      </c>
      <c r="AT109" s="277"/>
    </row>
    <row r="110" ht="30.75" customHeight="1">
      <c r="A110" s="272">
        <f t="shared" si="24"/>
        <v>107</v>
      </c>
      <c r="B110" s="289">
        <v>46010.0</v>
      </c>
      <c r="C110" s="273">
        <v>46011.0</v>
      </c>
      <c r="D110" s="273">
        <f t="shared" si="28"/>
        <v>46013</v>
      </c>
      <c r="E110" s="289">
        <v>46013.0</v>
      </c>
      <c r="F110" s="274" t="s">
        <v>561</v>
      </c>
      <c r="G110" s="275" t="s">
        <v>562</v>
      </c>
      <c r="H110" s="274" t="s">
        <v>304</v>
      </c>
      <c r="I110" s="275" t="s">
        <v>726</v>
      </c>
      <c r="J110" s="279" t="s">
        <v>823</v>
      </c>
      <c r="K110" s="275" t="s">
        <v>730</v>
      </c>
      <c r="L110" s="277" t="s">
        <v>731</v>
      </c>
      <c r="M110" s="278" t="str">
        <f t="array" ref="M110">IFERROR(XLOOKUP(L110,'2. DATA NL, VTBB'!C:C,'2. DATA NL, VTBB'!D:D),"")</f>
        <v>Nắp HDPE cổ 49 (7.5gr)  có gurantee  - Trắng</v>
      </c>
      <c r="N110" s="280"/>
      <c r="O110" s="280" t="str">
        <f t="array" ref="O110">IFERROR( XLOOKUP(L110,'2. DATA NL, VTBB'!C:C,'2. DATA NL, VTBB'!E:E),"")</f>
        <v>Chitin 3.6EC</v>
      </c>
      <c r="P110" s="275" t="s">
        <v>565</v>
      </c>
      <c r="Q110" s="311"/>
      <c r="R110" s="290" t="s">
        <v>566</v>
      </c>
      <c r="S110" s="280"/>
      <c r="T110" s="280"/>
      <c r="U110" s="277"/>
      <c r="V110" s="283">
        <v>3000.0</v>
      </c>
      <c r="W110" s="275" t="s">
        <v>699</v>
      </c>
      <c r="X110" s="283">
        <v>3000.0</v>
      </c>
      <c r="Y110" s="274">
        <v>3024.0</v>
      </c>
      <c r="Z110" s="287">
        <v>900.0</v>
      </c>
      <c r="AA110" s="285">
        <v>0.08</v>
      </c>
      <c r="AB110" s="282">
        <v>2939328.0</v>
      </c>
      <c r="AC110" s="277"/>
      <c r="AD110" s="289">
        <v>46010.0</v>
      </c>
      <c r="AE110" s="272">
        <v>2399.0</v>
      </c>
      <c r="AF110" s="277"/>
      <c r="AG110" s="277"/>
      <c r="AH110" s="294">
        <f>IFERROR(__xludf.DUMMYFUNCTION("IFERROR(INDEX( SORT(FILTER(
        {'1. DATA CHUNG'!$J$4:$J$105 , '1. DATA CHUNG'!$L$4:$L$105}, (TRIM('1. DATA CHUNG'!$I$4:$I$105)=TRIM(K110)) * IF(COUNTIFS('1. DATA CHUNG'!$I$4:$I$105,K110,'1. DATA CHUNG'!$M$4:$M$105,Q110), '1. DATA CHUNG'!$M$4:$M$105=Q"&amp;"110, 1) * ('1. DATA CHUNG'!$L$4:$L$105&lt;=TODAY()) ),   2, 0),  1, 1), 
  IFERROR( INDEX(FILTER('1. DATA CHUNG'!$J$4:$J$105, (TRIM('1. DATA CHUNG'!$I$4:$I$105)=TRIM(K110)) * IF(COUNTIFS('1. DATA CHUNG'!$I$4:$I$105,K110,'1. DATA CHUNG'!$M$4:$M$105,Q110), '1."&amp;" DATA CHUNG'!$M$4:$M$105=Q110, 1) * ('1. DATA CHUNG'!$L$4:$L$105="""")), 1), ""Không tìm thấy"" ))"),7.0)</f>
        <v>7</v>
      </c>
      <c r="AI110" s="273">
        <f t="shared" si="2"/>
        <v>46017</v>
      </c>
      <c r="AJ110" s="287"/>
      <c r="AK110" s="286">
        <f t="shared" si="3"/>
        <v>0</v>
      </c>
      <c r="AL110" s="287">
        <f t="shared" si="4"/>
        <v>0</v>
      </c>
      <c r="AM110" s="287">
        <f t="shared" si="5"/>
        <v>4</v>
      </c>
      <c r="AN110" s="279">
        <f t="shared" si="6"/>
        <v>6</v>
      </c>
      <c r="AO110" s="295" t="str">
        <f t="shared" si="7"/>
        <v>12/2025</v>
      </c>
      <c r="AP110" s="277" t="str">
        <f t="array" ref="AP110">IFERROR(XLOOKUP(L110,'2. DATA NL, VTBB'!C:C,'2. DATA NL, VTBB'!F:F),"")</f>
        <v>HH0144</v>
      </c>
      <c r="AQ110" s="277" t="str">
        <f t="array" ref="AQ110">IF(OR(K110="Nhãn", K110="Nhãn thùng",K110="Nhãn Túi"), K110 &amp; " " &amp; IFERROR(XLOOKUP(L110, '2. DATA NL, VTBB'!C:C, '2. DATA NL, VTBB'!E:E), ""), "")</f>
        <v/>
      </c>
      <c r="AR110" s="278" t="str">
        <f t="array" ref="AR110">IFERROR(XLOOKUP(L110,'2. DATA NL, VTBB'!C:C,'2. DATA NL, VTBB'!G:G),"")</f>
        <v>GC - IV - 862 - Agritech - Agritech Abamectin 36 (Chai Vuông) (Nước nâu đen) - 450ml - 40</v>
      </c>
      <c r="AS110" s="278" t="str">
        <f t="array" ref="AS110">IFERROR(XLOOKUP(L110,'2. DATA NL, VTBB'!C:C,'2. DATA NL, VTBB'!G:G),"")</f>
        <v>GC - IV - 862 - Agritech - Agritech Abamectin 36 (Chai Vuông) (Nước nâu đen) - 450ml - 40</v>
      </c>
      <c r="AT110" s="277"/>
    </row>
    <row r="111" ht="30.75" customHeight="1">
      <c r="A111" s="272">
        <f t="shared" si="24"/>
        <v>108</v>
      </c>
      <c r="B111" s="289">
        <v>46010.0</v>
      </c>
      <c r="C111" s="273">
        <v>46011.0</v>
      </c>
      <c r="D111" s="273">
        <f t="shared" si="28"/>
        <v>46013</v>
      </c>
      <c r="E111" s="289">
        <v>46013.0</v>
      </c>
      <c r="F111" s="274" t="s">
        <v>561</v>
      </c>
      <c r="G111" s="275" t="s">
        <v>562</v>
      </c>
      <c r="H111" s="274" t="s">
        <v>304</v>
      </c>
      <c r="I111" s="275" t="s">
        <v>726</v>
      </c>
      <c r="J111" s="279" t="s">
        <v>823</v>
      </c>
      <c r="K111" s="275" t="s">
        <v>732</v>
      </c>
      <c r="L111" s="277" t="s">
        <v>733</v>
      </c>
      <c r="M111" s="278" t="str">
        <f t="array" ref="M111">IFERROR(XLOOKUP(L111,'2. DATA NL, VTBB'!C:C,'2. DATA NL, VTBB'!D:D),"")</f>
        <v>Cốc đong cổ 49 50ml - Trắng trong</v>
      </c>
      <c r="N111" s="280"/>
      <c r="O111" s="280" t="str">
        <f t="array" ref="O111">IFERROR( XLOOKUP(L111,'2. DATA NL, VTBB'!C:C,'2. DATA NL, VTBB'!E:E),"")</f>
        <v>PICOSUPER 280SC</v>
      </c>
      <c r="P111" s="275" t="s">
        <v>565</v>
      </c>
      <c r="Q111" s="311"/>
      <c r="R111" s="290" t="s">
        <v>566</v>
      </c>
      <c r="S111" s="280"/>
      <c r="T111" s="280"/>
      <c r="U111" s="277"/>
      <c r="V111" s="283">
        <v>3000.0</v>
      </c>
      <c r="W111" s="275" t="s">
        <v>699</v>
      </c>
      <c r="X111" s="283">
        <v>3000.0</v>
      </c>
      <c r="Y111" s="274">
        <v>3024.0</v>
      </c>
      <c r="Z111" s="287">
        <v>600.0</v>
      </c>
      <c r="AA111" s="285">
        <v>0.08</v>
      </c>
      <c r="AB111" s="282">
        <v>1959552.0</v>
      </c>
      <c r="AC111" s="277"/>
      <c r="AD111" s="289">
        <v>46010.0</v>
      </c>
      <c r="AE111" s="272">
        <v>2399.0</v>
      </c>
      <c r="AF111" s="277"/>
      <c r="AG111" s="277"/>
      <c r="AH111" s="294">
        <f>IFERROR(__xludf.DUMMYFUNCTION("IFERROR(INDEX( SORT(FILTER(
        {'1. DATA CHUNG'!$J$4:$J$105 , '1. DATA CHUNG'!$L$4:$L$105}, (TRIM('1. DATA CHUNG'!$I$4:$I$105)=TRIM(K111)) * IF(COUNTIFS('1. DATA CHUNG'!$I$4:$I$105,K111,'1. DATA CHUNG'!$M$4:$M$105,Q111), '1. DATA CHUNG'!$M$4:$M$105=Q"&amp;"111, 1) * ('1. DATA CHUNG'!$L$4:$L$105&lt;=TODAY()) ),   2, 0),  1, 1), 
  IFERROR( INDEX(FILTER('1. DATA CHUNG'!$J$4:$J$105, (TRIM('1. DATA CHUNG'!$I$4:$I$105)=TRIM(K111)) * IF(COUNTIFS('1. DATA CHUNG'!$I$4:$I$105,K111,'1. DATA CHUNG'!$M$4:$M$105,Q111), '1."&amp;" DATA CHUNG'!$M$4:$M$105=Q111, 1) * ('1. DATA CHUNG'!$L$4:$L$105="""")), 1), ""Không tìm thấy"" ))"),7.0)</f>
        <v>7</v>
      </c>
      <c r="AI111" s="273">
        <f t="shared" si="2"/>
        <v>46017</v>
      </c>
      <c r="AJ111" s="287"/>
      <c r="AK111" s="286">
        <f t="shared" si="3"/>
        <v>0</v>
      </c>
      <c r="AL111" s="287">
        <f t="shared" si="4"/>
        <v>0</v>
      </c>
      <c r="AM111" s="287">
        <f t="shared" si="5"/>
        <v>4</v>
      </c>
      <c r="AN111" s="279">
        <f t="shared" si="6"/>
        <v>6</v>
      </c>
      <c r="AO111" s="295" t="str">
        <f t="shared" si="7"/>
        <v>12/2025</v>
      </c>
      <c r="AP111" s="277" t="str">
        <f t="array" ref="AP111">IFERROR(XLOOKUP(L111,'2. DATA NL, VTBB'!C:C,'2. DATA NL, VTBB'!F:F),"")</f>
        <v>HH0004</v>
      </c>
      <c r="AQ111" s="277" t="str">
        <f t="array" ref="AQ111">IF(OR(K111="Nhãn", K111="Nhãn thùng",K111="Nhãn Túi"), K111 &amp; " " &amp; IFERROR(XLOOKUP(L111, '2. DATA NL, VTBB'!C:C, '2. DATA NL, VTBB'!E:E), ""), "")</f>
        <v/>
      </c>
      <c r="AR111" s="278" t="str">
        <f t="array" ref="AR111">IFERROR(XLOOKUP(L111,'2. DATA NL, VTBB'!C:C,'2. DATA NL, VTBB'!G:G),"")</f>
        <v>IDA Global - I - 713.1 - Picosuper 280SC (Chai Pape)(nước trắng sữa) - 240ml - 40 ([btp],t,c)</v>
      </c>
      <c r="AS111" s="278" t="str">
        <f t="array" ref="AS111">IFERROR(XLOOKUP(L111,'2. DATA NL, VTBB'!C:C,'2. DATA NL, VTBB'!G:G),"")</f>
        <v>IDA Global - I - 713.1 - Picosuper 280SC (Chai Pape)(nước trắng sữa) - 240ml - 40 ([btp],t,c)</v>
      </c>
      <c r="AT111" s="277"/>
    </row>
    <row r="112" ht="30.75" customHeight="1">
      <c r="A112" s="272">
        <f t="shared" si="24"/>
        <v>109</v>
      </c>
      <c r="B112" s="289">
        <v>46010.0</v>
      </c>
      <c r="C112" s="273">
        <v>46011.0</v>
      </c>
      <c r="D112" s="273">
        <f t="shared" si="28"/>
        <v>46013</v>
      </c>
      <c r="E112" s="289">
        <v>46022.0</v>
      </c>
      <c r="F112" s="274" t="s">
        <v>561</v>
      </c>
      <c r="G112" s="275" t="s">
        <v>562</v>
      </c>
      <c r="H112" s="274" t="s">
        <v>304</v>
      </c>
      <c r="I112" s="275" t="s">
        <v>744</v>
      </c>
      <c r="J112" s="279" t="s">
        <v>824</v>
      </c>
      <c r="K112" s="275" t="s">
        <v>728</v>
      </c>
      <c r="L112" s="277" t="s">
        <v>825</v>
      </c>
      <c r="M112" s="278" t="str">
        <f t="array" ref="M112">IFERROR(XLOOKUP(L112,'2. DATA NL, VTBB'!C:C,'2. DATA NL, VTBB'!D:D),"")</f>
        <v>Chai PET giả nhôm 500ml tròn cổ 38 màu Xám bạc - Nắp trắng, có cốc đong</v>
      </c>
      <c r="N112" s="280"/>
      <c r="O112" s="280" t="str">
        <f t="array" ref="O112">IFERROR( XLOOKUP(L112,'2. DATA NL, VTBB'!C:C,'2. DATA NL, VTBB'!E:E),"")</f>
        <v>Remy 19EC</v>
      </c>
      <c r="P112" s="275" t="s">
        <v>565</v>
      </c>
      <c r="Q112" s="311"/>
      <c r="R112" s="291" t="s">
        <v>573</v>
      </c>
      <c r="S112" s="280"/>
      <c r="T112" s="280"/>
      <c r="U112" s="277"/>
      <c r="V112" s="283">
        <v>2000.0</v>
      </c>
      <c r="W112" s="275" t="s">
        <v>699</v>
      </c>
      <c r="X112" s="283">
        <v>2000.0</v>
      </c>
      <c r="Y112" s="274">
        <v>2080.0</v>
      </c>
      <c r="Z112" s="287">
        <v>4200.0</v>
      </c>
      <c r="AA112" s="285">
        <v>0.08</v>
      </c>
      <c r="AB112" s="282">
        <v>9434880.0</v>
      </c>
      <c r="AC112" s="277"/>
      <c r="AD112" s="289">
        <v>46010.0</v>
      </c>
      <c r="AE112" s="272">
        <v>3879.0</v>
      </c>
      <c r="AF112" s="277"/>
      <c r="AG112" s="277"/>
      <c r="AH112" s="294">
        <f>IFERROR(__xludf.DUMMYFUNCTION("IFERROR(INDEX( SORT(FILTER(
        {'1. DATA CHUNG'!$J$4:$J$105 , '1. DATA CHUNG'!$L$4:$L$105}, (TRIM('1. DATA CHUNG'!$I$4:$I$105)=TRIM(K112)) * IF(COUNTIFS('1. DATA CHUNG'!$I$4:$I$105,K112,'1. DATA CHUNG'!$M$4:$M$105,Q112), '1. DATA CHUNG'!$M$4:$M$105=Q"&amp;"112, 1) * ('1. DATA CHUNG'!$L$4:$L$105&lt;=TODAY()) ),   2, 0),  1, 1), 
  IFERROR( INDEX(FILTER('1. DATA CHUNG'!$J$4:$J$105, (TRIM('1. DATA CHUNG'!$I$4:$I$105)=TRIM(K112)) * IF(COUNTIFS('1. DATA CHUNG'!$I$4:$I$105,K112,'1. DATA CHUNG'!$M$4:$M$105,Q112), '1."&amp;" DATA CHUNG'!$M$4:$M$105=Q112, 1) * ('1. DATA CHUNG'!$L$4:$L$105="""")), 1), ""Không tìm thấy"" ))"),7.0)</f>
        <v>7</v>
      </c>
      <c r="AI112" s="273">
        <f t="shared" si="2"/>
        <v>46017</v>
      </c>
      <c r="AJ112" s="287"/>
      <c r="AK112" s="286">
        <f t="shared" si="3"/>
        <v>0</v>
      </c>
      <c r="AL112" s="287">
        <f t="shared" si="4"/>
        <v>-9</v>
      </c>
      <c r="AM112" s="287">
        <f t="shared" si="5"/>
        <v>-5</v>
      </c>
      <c r="AN112" s="279">
        <f t="shared" si="6"/>
        <v>6</v>
      </c>
      <c r="AO112" s="295" t="str">
        <f t="shared" si="7"/>
        <v>12/2025</v>
      </c>
      <c r="AP112" s="277" t="str">
        <f t="array" ref="AP112">IFERROR(XLOOKUP(L112,'2. DATA NL, VTBB'!C:C,'2. DATA NL, VTBB'!F:F),"")</f>
        <v>HH0119</v>
      </c>
      <c r="AQ112" s="277" t="str">
        <f t="array" ref="AQ112">IF(OR(K112="Nhãn", K112="Nhãn thùng",K112="Nhãn Túi"), K112 &amp; " " &amp; IFERROR(XLOOKUP(L112, '2. DATA NL, VTBB'!C:C, '2. DATA NL, VTBB'!E:E), ""), "")</f>
        <v/>
      </c>
      <c r="AR112" s="278" t="str">
        <f t="array" ref="AR112">IFERROR(XLOOKUP(L112,'2. DATA NL, VTBB'!C:C,'2. DATA NL, VTBB'!G:G),"")</f>
        <v>GC - II - 682 - Đồng Phát - Doffatine 19 - 450ml - 40</v>
      </c>
      <c r="AS112" s="278" t="str">
        <f t="array" ref="AS112">IFERROR(XLOOKUP(L112,'2. DATA NL, VTBB'!C:C,'2. DATA NL, VTBB'!G:G),"")</f>
        <v>GC - II - 682 - Đồng Phát - Doffatine 19 - 450ml - 40</v>
      </c>
      <c r="AT112" s="277"/>
    </row>
    <row r="113" ht="30.75" customHeight="1">
      <c r="A113" s="272">
        <f t="shared" si="24"/>
        <v>110</v>
      </c>
      <c r="B113" s="289">
        <v>46010.0</v>
      </c>
      <c r="C113" s="273">
        <v>46011.0</v>
      </c>
      <c r="D113" s="273">
        <f t="shared" si="28"/>
        <v>46013</v>
      </c>
      <c r="E113" s="289">
        <v>46022.0</v>
      </c>
      <c r="F113" s="274" t="s">
        <v>561</v>
      </c>
      <c r="G113" s="275" t="s">
        <v>562</v>
      </c>
      <c r="H113" s="274" t="s">
        <v>304</v>
      </c>
      <c r="I113" s="275" t="s">
        <v>744</v>
      </c>
      <c r="J113" s="279" t="s">
        <v>824</v>
      </c>
      <c r="K113" s="275" t="s">
        <v>730</v>
      </c>
      <c r="L113" s="277" t="s">
        <v>826</v>
      </c>
      <c r="M113" s="278" t="str">
        <f t="array" ref="M113">IFERROR(XLOOKUP(L113,'2. DATA NL, VTBB'!C:C,'2. DATA NL, VTBB'!D:D),"")</f>
        <v>Nắp PET cổ 38 (7.5gr) tai bèo - Trắng</v>
      </c>
      <c r="N113" s="280"/>
      <c r="O113" s="280" t="str">
        <f t="array" ref="O113">IFERROR( XLOOKUP(L113,'2. DATA NL, VTBB'!C:C,'2. DATA NL, VTBB'!E:E),"")</f>
        <v>Chitin 3.6EC</v>
      </c>
      <c r="P113" s="275" t="s">
        <v>565</v>
      </c>
      <c r="Q113" s="311"/>
      <c r="R113" s="291" t="s">
        <v>573</v>
      </c>
      <c r="S113" s="280"/>
      <c r="T113" s="280"/>
      <c r="U113" s="277"/>
      <c r="V113" s="283">
        <v>2000.0</v>
      </c>
      <c r="W113" s="275" t="s">
        <v>699</v>
      </c>
      <c r="X113" s="283">
        <v>2000.0</v>
      </c>
      <c r="Y113" s="274">
        <v>2080.0</v>
      </c>
      <c r="Z113" s="279">
        <v>750.0</v>
      </c>
      <c r="AA113" s="285">
        <v>0.08</v>
      </c>
      <c r="AB113" s="282">
        <v>1684800.0</v>
      </c>
      <c r="AC113" s="277"/>
      <c r="AD113" s="289">
        <v>46010.0</v>
      </c>
      <c r="AE113" s="272">
        <v>3879.0</v>
      </c>
      <c r="AF113" s="277"/>
      <c r="AG113" s="277"/>
      <c r="AH113" s="294">
        <f>IFERROR(__xludf.DUMMYFUNCTION("IFERROR(INDEX( SORT(FILTER(
        {'1. DATA CHUNG'!$J$4:$J$105 , '1. DATA CHUNG'!$L$4:$L$105}, (TRIM('1. DATA CHUNG'!$I$4:$I$105)=TRIM(K113)) * IF(COUNTIFS('1. DATA CHUNG'!$I$4:$I$105,K113,'1. DATA CHUNG'!$M$4:$M$105,Q113), '1. DATA CHUNG'!$M$4:$M$105=Q"&amp;"113, 1) * ('1. DATA CHUNG'!$L$4:$L$105&lt;=TODAY()) ),   2, 0),  1, 1), 
  IFERROR( INDEX(FILTER('1. DATA CHUNG'!$J$4:$J$105, (TRIM('1. DATA CHUNG'!$I$4:$I$105)=TRIM(K113)) * IF(COUNTIFS('1. DATA CHUNG'!$I$4:$I$105,K113,'1. DATA CHUNG'!$M$4:$M$105,Q113), '1."&amp;" DATA CHUNG'!$M$4:$M$105=Q113, 1) * ('1. DATA CHUNG'!$L$4:$L$105="""")), 1), ""Không tìm thấy"" ))"),7.0)</f>
        <v>7</v>
      </c>
      <c r="AI113" s="273">
        <f t="shared" si="2"/>
        <v>46017</v>
      </c>
      <c r="AJ113" s="287"/>
      <c r="AK113" s="286">
        <f t="shared" si="3"/>
        <v>0</v>
      </c>
      <c r="AL113" s="287">
        <f t="shared" si="4"/>
        <v>-9</v>
      </c>
      <c r="AM113" s="287">
        <f t="shared" si="5"/>
        <v>-5</v>
      </c>
      <c r="AN113" s="279">
        <f t="shared" si="6"/>
        <v>6</v>
      </c>
      <c r="AO113" s="295" t="str">
        <f t="shared" si="7"/>
        <v>12/2025</v>
      </c>
      <c r="AP113" s="277" t="str">
        <f t="array" ref="AP113">IFERROR(XLOOKUP(L113,'2. DATA NL, VTBB'!C:C,'2. DATA NL, VTBB'!F:F),"")</f>
        <v>HH0145</v>
      </c>
      <c r="AQ113" s="277" t="str">
        <f t="array" ref="AQ113">IF(OR(K113="Nhãn", K113="Nhãn thùng",K113="Nhãn Túi"), K113 &amp; " " &amp; IFERROR(XLOOKUP(L113, '2. DATA NL, VTBB'!C:C, '2. DATA NL, VTBB'!E:E), ""), "")</f>
        <v/>
      </c>
      <c r="AR113" s="278" t="str">
        <f t="array" ref="AR113">IFERROR(XLOOKUP(L113,'2. DATA NL, VTBB'!C:C,'2. DATA NL, VTBB'!G:G),"")</f>
        <v>GC - IV - 863 - Xuân Sơn 02L - Abametin 3.6 (Ốc Vàng - Nhãn đen) (Pet tròn)(nước nâu đen)- 450ml - 40</v>
      </c>
      <c r="AS113" s="278" t="str">
        <f t="array" ref="AS113">IFERROR(XLOOKUP(L113,'2. DATA NL, VTBB'!C:C,'2. DATA NL, VTBB'!G:G),"")</f>
        <v>GC - IV - 863 - Xuân Sơn 02L - Abametin 3.6 (Ốc Vàng - Nhãn đen) (Pet tròn)(nước nâu đen)- 450ml - 40</v>
      </c>
      <c r="AT113" s="277"/>
    </row>
    <row r="114" ht="30.75" customHeight="1">
      <c r="A114" s="272">
        <f t="shared" si="24"/>
        <v>111</v>
      </c>
      <c r="B114" s="289">
        <v>46011.0</v>
      </c>
      <c r="C114" s="289">
        <v>46018.0</v>
      </c>
      <c r="D114" s="289">
        <f t="shared" ref="D114:D123" si="29">B114+15</f>
        <v>46026</v>
      </c>
      <c r="E114" s="289">
        <v>46024.0</v>
      </c>
      <c r="F114" s="274" t="s">
        <v>561</v>
      </c>
      <c r="G114" s="275" t="s">
        <v>562</v>
      </c>
      <c r="H114" s="274" t="s">
        <v>304</v>
      </c>
      <c r="I114" s="275" t="s">
        <v>305</v>
      </c>
      <c r="J114" s="279" t="s">
        <v>827</v>
      </c>
      <c r="K114" s="275" t="s">
        <v>301</v>
      </c>
      <c r="L114" s="277" t="s">
        <v>713</v>
      </c>
      <c r="M114" s="278" t="str">
        <f t="array" ref="M114">IFERROR(XLOOKUP(L114,'2. DATA NL, VTBB'!C:C,'2. DATA NL, VTBB'!D:D),"")</f>
        <v>Thùng NEWTECH Chai HD 500ml x 30 chai (43.7x36.5x20.5cm) - Trắng viền xanh lá</v>
      </c>
      <c r="N114" s="280"/>
      <c r="O114" s="280" t="str">
        <f t="array" ref="O114">IFERROR( XLOOKUP(L114,'2. DATA NL, VTBB'!C:C,'2. DATA NL, VTBB'!E:E),"")</f>
        <v>TOPZOLE 800WG</v>
      </c>
      <c r="P114" s="275" t="s">
        <v>565</v>
      </c>
      <c r="Q114" s="311"/>
      <c r="R114" s="290" t="s">
        <v>566</v>
      </c>
      <c r="S114" s="280"/>
      <c r="T114" s="280"/>
      <c r="U114" s="277"/>
      <c r="V114" s="283">
        <v>100.0</v>
      </c>
      <c r="W114" s="275" t="s">
        <v>699</v>
      </c>
      <c r="X114" s="283">
        <v>100.0</v>
      </c>
      <c r="Y114" s="274">
        <v>100.0</v>
      </c>
      <c r="Z114" s="279">
        <v>18300.0</v>
      </c>
      <c r="AA114" s="285">
        <v>0.08</v>
      </c>
      <c r="AB114" s="282">
        <v>1976400.0</v>
      </c>
      <c r="AC114" s="277"/>
      <c r="AD114" s="289">
        <v>46011.0</v>
      </c>
      <c r="AE114" s="312"/>
      <c r="AF114" s="277"/>
      <c r="AG114" s="277"/>
      <c r="AH114" s="294">
        <f>IFERROR(__xludf.DUMMYFUNCTION("IFERROR(INDEX( SORT(FILTER(
        {'1. DATA CHUNG'!$J$4:$J$105 , '1. DATA CHUNG'!$L$4:$L$105}, (TRIM('1. DATA CHUNG'!$I$4:$I$105)=TRIM(K114)) * IF(COUNTIFS('1. DATA CHUNG'!$I$4:$I$105,K114,'1. DATA CHUNG'!$M$4:$M$105,Q114), '1. DATA CHUNG'!$M$4:$M$105=Q"&amp;"114, 1) * ('1. DATA CHUNG'!$L$4:$L$105&lt;=TODAY()) ),   2, 0),  1, 1), 
  IFERROR( INDEX(FILTER('1. DATA CHUNG'!$J$4:$J$105, (TRIM('1. DATA CHUNG'!$I$4:$I$105)=TRIM(K114)) * IF(COUNTIFS('1. DATA CHUNG'!$I$4:$I$105,K114,'1. DATA CHUNG'!$M$4:$M$105,Q114), '1."&amp;" DATA CHUNG'!$M$4:$M$105=Q114, 1) * ('1. DATA CHUNG'!$L$4:$L$105="""")), 1), ""Không tìm thấy"" ))"),18.0)</f>
        <v>18</v>
      </c>
      <c r="AI114" s="273">
        <f t="shared" si="2"/>
        <v>46029</v>
      </c>
      <c r="AJ114" s="287"/>
      <c r="AK114" s="286">
        <f t="shared" si="3"/>
        <v>0</v>
      </c>
      <c r="AL114" s="287">
        <f t="shared" si="4"/>
        <v>2</v>
      </c>
      <c r="AM114" s="287">
        <f t="shared" si="5"/>
        <v>5</v>
      </c>
      <c r="AN114" s="279">
        <f t="shared" si="6"/>
        <v>11</v>
      </c>
      <c r="AO114" s="295" t="str">
        <f t="shared" si="7"/>
        <v>12/2025</v>
      </c>
      <c r="AP114" s="277" t="str">
        <f t="array" ref="AP114">IFERROR(XLOOKUP(L114,'2. DATA NL, VTBB'!C:C,'2. DATA NL, VTBB'!F:F),"")</f>
        <v>HH0208</v>
      </c>
      <c r="AQ114" s="277" t="str">
        <f t="array" ref="AQ114">IF(OR(K114="Nhãn", K114="Nhãn thùng",K114="Nhãn Túi"), K114 &amp; " " &amp; IFERROR(XLOOKUP(L114, '2. DATA NL, VTBB'!C:C, '2. DATA NL, VTBB'!E:E), ""), "")</f>
        <v/>
      </c>
      <c r="AR114" s="278" t="str">
        <f t="array" ref="AR114">IFERROR(XLOOKUP(L114,'2. DATA NL, VTBB'!C:C,'2. DATA NL, VTBB'!G:G),"")</f>
        <v>GC - II - 622 - MK Group - Siêu Trừ Đạo Ôn Vi Khuẩn - 15.6 gr - 300</v>
      </c>
      <c r="AS114" s="278" t="str">
        <f t="array" ref="AS114">IFERROR(XLOOKUP(L114,'2. DATA NL, VTBB'!C:C,'2. DATA NL, VTBB'!G:G),"")</f>
        <v>GC - II - 622 - MK Group - Siêu Trừ Đạo Ôn Vi Khuẩn - 15.6 gr - 300</v>
      </c>
      <c r="AT114" s="277"/>
    </row>
    <row r="115" ht="30.75" customHeight="1">
      <c r="A115" s="272">
        <f t="shared" si="24"/>
        <v>112</v>
      </c>
      <c r="B115" s="289">
        <v>46011.0</v>
      </c>
      <c r="C115" s="289">
        <v>46018.0</v>
      </c>
      <c r="D115" s="289">
        <f t="shared" si="29"/>
        <v>46026</v>
      </c>
      <c r="E115" s="289">
        <v>46024.0</v>
      </c>
      <c r="F115" s="274" t="s">
        <v>561</v>
      </c>
      <c r="G115" s="275" t="s">
        <v>562</v>
      </c>
      <c r="H115" s="274" t="s">
        <v>304</v>
      </c>
      <c r="I115" s="275" t="s">
        <v>305</v>
      </c>
      <c r="J115" s="279" t="s">
        <v>827</v>
      </c>
      <c r="K115" s="275" t="s">
        <v>301</v>
      </c>
      <c r="L115" s="277" t="s">
        <v>828</v>
      </c>
      <c r="M115" s="278" t="str">
        <f t="array" ref="M115">IFERROR(XLOOKUP(L115,'2. DATA NL, VTBB'!C:C,'2. DATA NL, VTBB'!D:D),"")</f>
        <v>Thùng Agritech chai HDPE 1 lít x 20 chai (45x35.5x26.5cm) - Trắng viền xanh dương</v>
      </c>
      <c r="N115" s="280"/>
      <c r="O115" s="280" t="str">
        <f t="array" ref="O115">IFERROR( XLOOKUP(L115,'2. DATA NL, VTBB'!C:C,'2. DATA NL, VTBB'!E:E),"")</f>
        <v>JAVI VIL 50SC</v>
      </c>
      <c r="P115" s="275" t="s">
        <v>565</v>
      </c>
      <c r="Q115" s="311"/>
      <c r="R115" s="290" t="s">
        <v>566</v>
      </c>
      <c r="S115" s="280"/>
      <c r="T115" s="280"/>
      <c r="U115" s="277"/>
      <c r="V115" s="283">
        <v>100.0</v>
      </c>
      <c r="W115" s="275" t="s">
        <v>699</v>
      </c>
      <c r="X115" s="283">
        <v>100.0</v>
      </c>
      <c r="Y115" s="274">
        <v>104.0</v>
      </c>
      <c r="Z115" s="279">
        <v>19950.0</v>
      </c>
      <c r="AA115" s="285">
        <v>0.08</v>
      </c>
      <c r="AB115" s="282">
        <v>2240784.0</v>
      </c>
      <c r="AC115" s="277"/>
      <c r="AD115" s="289">
        <v>46011.0</v>
      </c>
      <c r="AE115" s="272">
        <v>38.0</v>
      </c>
      <c r="AF115" s="277"/>
      <c r="AG115" s="277"/>
      <c r="AH115" s="294">
        <f>IFERROR(__xludf.DUMMYFUNCTION("IFERROR(INDEX( SORT(FILTER(
        {'1. DATA CHUNG'!$J$4:$J$105 , '1. DATA CHUNG'!$L$4:$L$105}, (TRIM('1. DATA CHUNG'!$I$4:$I$105)=TRIM(K115)) * IF(COUNTIFS('1. DATA CHUNG'!$I$4:$I$105,K115,'1. DATA CHUNG'!$M$4:$M$105,Q115), '1. DATA CHUNG'!$M$4:$M$105=Q"&amp;"115, 1) * ('1. DATA CHUNG'!$L$4:$L$105&lt;=TODAY()) ),   2, 0),  1, 1), 
  IFERROR( INDEX(FILTER('1. DATA CHUNG'!$J$4:$J$105, (TRIM('1. DATA CHUNG'!$I$4:$I$105)=TRIM(K115)) * IF(COUNTIFS('1. DATA CHUNG'!$I$4:$I$105,K115,'1. DATA CHUNG'!$M$4:$M$105,Q115), '1."&amp;" DATA CHUNG'!$M$4:$M$105=Q115, 1) * ('1. DATA CHUNG'!$L$4:$L$105="""")), 1), ""Không tìm thấy"" ))"),18.0)</f>
        <v>18</v>
      </c>
      <c r="AI115" s="273">
        <f t="shared" si="2"/>
        <v>46029</v>
      </c>
      <c r="AJ115" s="287"/>
      <c r="AK115" s="286">
        <f t="shared" si="3"/>
        <v>0</v>
      </c>
      <c r="AL115" s="287">
        <f t="shared" si="4"/>
        <v>2</v>
      </c>
      <c r="AM115" s="287">
        <f t="shared" si="5"/>
        <v>5</v>
      </c>
      <c r="AN115" s="279">
        <f t="shared" si="6"/>
        <v>11</v>
      </c>
      <c r="AO115" s="295" t="str">
        <f t="shared" si="7"/>
        <v>12/2025</v>
      </c>
      <c r="AP115" s="277" t="str">
        <f t="array" ref="AP115">IFERROR(XLOOKUP(L115,'2. DATA NL, VTBB'!C:C,'2. DATA NL, VTBB'!F:F),"")</f>
        <v>HH0266</v>
      </c>
      <c r="AQ115" s="277" t="str">
        <f t="array" ref="AQ115">IF(OR(K115="Nhãn", K115="Nhãn thùng",K115="Nhãn Túi"), K115 &amp; " " &amp; IFERROR(XLOOKUP(L115, '2. DATA NL, VTBB'!C:C, '2. DATA NL, VTBB'!E:E), ""), "")</f>
        <v/>
      </c>
      <c r="AR115" s="278" t="str">
        <f t="array" ref="AR115">IFERROR(XLOOKUP(L115,'2. DATA NL, VTBB'!C:C,'2. DATA NL, VTBB'!G:G),"")</f>
        <v>GC - II - 685 - Ánh Dương - Javi vil 50SC (Chai HD)- 1L - 20</v>
      </c>
      <c r="AS115" s="278" t="str">
        <f t="array" ref="AS115">IFERROR(XLOOKUP(L115,'2. DATA NL, VTBB'!C:C,'2. DATA NL, VTBB'!G:G),"")</f>
        <v>GC - II - 685 - Ánh Dương - Javi vil 50SC (Chai HD)- 1L - 20</v>
      </c>
      <c r="AT115" s="277"/>
    </row>
    <row r="116" ht="30.75" customHeight="1">
      <c r="A116" s="272">
        <f t="shared" si="24"/>
        <v>113</v>
      </c>
      <c r="B116" s="289">
        <v>46011.0</v>
      </c>
      <c r="C116" s="289">
        <v>46018.0</v>
      </c>
      <c r="D116" s="289">
        <f t="shared" si="29"/>
        <v>46026</v>
      </c>
      <c r="E116" s="289">
        <v>46024.0</v>
      </c>
      <c r="F116" s="274" t="s">
        <v>561</v>
      </c>
      <c r="G116" s="275" t="s">
        <v>562</v>
      </c>
      <c r="H116" s="274" t="s">
        <v>304</v>
      </c>
      <c r="I116" s="275" t="s">
        <v>305</v>
      </c>
      <c r="J116" s="279" t="s">
        <v>827</v>
      </c>
      <c r="K116" s="275" t="s">
        <v>301</v>
      </c>
      <c r="L116" s="277" t="s">
        <v>706</v>
      </c>
      <c r="M116" s="278" t="str">
        <f t="array" ref="M116">IFERROR(XLOOKUP(L116,'2. DATA NL, VTBB'!C:C,'2. DATA NL, VTBB'!D:D),"")</f>
        <v>Thùng NHP Chai HDPE 500ml x 40 chai (58x36.5x19cm) - Trắng viền xanh dương đỏ</v>
      </c>
      <c r="N116" s="280"/>
      <c r="O116" s="280" t="str">
        <f t="array" ref="O116">IFERROR( XLOOKUP(L116,'2. DATA NL, VTBB'!C:C,'2. DATA NL, VTBB'!E:E),"")</f>
        <v>Prima 04</v>
      </c>
      <c r="P116" s="275" t="s">
        <v>565</v>
      </c>
      <c r="Q116" s="311"/>
      <c r="R116" s="290" t="s">
        <v>566</v>
      </c>
      <c r="S116" s="280"/>
      <c r="T116" s="280"/>
      <c r="U116" s="277"/>
      <c r="V116" s="283">
        <v>100.0</v>
      </c>
      <c r="W116" s="275" t="s">
        <v>699</v>
      </c>
      <c r="X116" s="283">
        <v>100.0</v>
      </c>
      <c r="Y116" s="274">
        <v>100.0</v>
      </c>
      <c r="Z116" s="287">
        <v>20800.0</v>
      </c>
      <c r="AA116" s="285">
        <v>0.08</v>
      </c>
      <c r="AB116" s="282">
        <v>2246400.0</v>
      </c>
      <c r="AC116" s="277"/>
      <c r="AD116" s="289">
        <v>46011.0</v>
      </c>
      <c r="AE116" s="312"/>
      <c r="AF116" s="277"/>
      <c r="AG116" s="277"/>
      <c r="AH116" s="294">
        <f>IFERROR(__xludf.DUMMYFUNCTION("IFERROR(INDEX( SORT(FILTER(
        {'1. DATA CHUNG'!$J$4:$J$105 , '1. DATA CHUNG'!$L$4:$L$105}, (TRIM('1. DATA CHUNG'!$I$4:$I$105)=TRIM(K116)) * IF(COUNTIFS('1. DATA CHUNG'!$I$4:$I$105,K116,'1. DATA CHUNG'!$M$4:$M$105,Q116), '1. DATA CHUNG'!$M$4:$M$105=Q"&amp;"116, 1) * ('1. DATA CHUNG'!$L$4:$L$105&lt;=TODAY()) ),   2, 0),  1, 1), 
  IFERROR( INDEX(FILTER('1. DATA CHUNG'!$J$4:$J$105, (TRIM('1. DATA CHUNG'!$I$4:$I$105)=TRIM(K116)) * IF(COUNTIFS('1. DATA CHUNG'!$I$4:$I$105,K116,'1. DATA CHUNG'!$M$4:$M$105,Q116), '1."&amp;" DATA CHUNG'!$M$4:$M$105=Q116, 1) * ('1. DATA CHUNG'!$L$4:$L$105="""")), 1), ""Không tìm thấy"" ))"),18.0)</f>
        <v>18</v>
      </c>
      <c r="AI116" s="273">
        <f t="shared" si="2"/>
        <v>46029</v>
      </c>
      <c r="AJ116" s="287"/>
      <c r="AK116" s="286">
        <f t="shared" si="3"/>
        <v>0</v>
      </c>
      <c r="AL116" s="287">
        <f t="shared" si="4"/>
        <v>2</v>
      </c>
      <c r="AM116" s="287">
        <f t="shared" si="5"/>
        <v>5</v>
      </c>
      <c r="AN116" s="279">
        <f t="shared" si="6"/>
        <v>11</v>
      </c>
      <c r="AO116" s="295" t="str">
        <f t="shared" si="7"/>
        <v>12/2025</v>
      </c>
      <c r="AP116" s="277" t="str">
        <f t="array" ref="AP116">IFERROR(XLOOKUP(L116,'2. DATA NL, VTBB'!C:C,'2. DATA NL, VTBB'!F:F),"")</f>
        <v>HH0250</v>
      </c>
      <c r="AQ116" s="277" t="str">
        <f t="array" ref="AQ116">IF(OR(K116="Nhãn", K116="Nhãn thùng",K116="Nhãn Túi"), K116 &amp; " " &amp; IFERROR(XLOOKUP(L116, '2. DATA NL, VTBB'!C:C, '2. DATA NL, VTBB'!E:E), ""), "")</f>
        <v/>
      </c>
      <c r="AR116" s="278" t="str">
        <f t="array" ref="AR116">IFERROR(XLOOKUP(L116,'2. DATA NL, VTBB'!C:C,'2. DATA NL, VTBB'!G:G),"")</f>
        <v>GC - II - 668 - Agriplant - Bio Strong Gold - 5L - 4 ([btp],t,c)</v>
      </c>
      <c r="AS116" s="278" t="str">
        <f t="array" ref="AS116">IFERROR(XLOOKUP(L116,'2. DATA NL, VTBB'!C:C,'2. DATA NL, VTBB'!G:G),"")</f>
        <v>GC - II - 668 - Agriplant - Bio Strong Gold - 5L - 4 ([btp],t,c)</v>
      </c>
      <c r="AT116" s="277"/>
    </row>
    <row r="117" ht="30.75" customHeight="1">
      <c r="A117" s="272">
        <f t="shared" si="24"/>
        <v>114</v>
      </c>
      <c r="B117" s="289">
        <v>46011.0</v>
      </c>
      <c r="C117" s="289">
        <v>46018.0</v>
      </c>
      <c r="D117" s="289">
        <f t="shared" si="29"/>
        <v>46026</v>
      </c>
      <c r="E117" s="289">
        <v>46024.0</v>
      </c>
      <c r="F117" s="274" t="s">
        <v>561</v>
      </c>
      <c r="G117" s="275" t="s">
        <v>562</v>
      </c>
      <c r="H117" s="274" t="s">
        <v>304</v>
      </c>
      <c r="I117" s="275" t="s">
        <v>305</v>
      </c>
      <c r="J117" s="279" t="s">
        <v>829</v>
      </c>
      <c r="K117" s="275" t="s">
        <v>301</v>
      </c>
      <c r="L117" s="277" t="s">
        <v>713</v>
      </c>
      <c r="M117" s="278" t="str">
        <f t="array" ref="M117">IFERROR(XLOOKUP(L117,'2. DATA NL, VTBB'!C:C,'2. DATA NL, VTBB'!D:D),"")</f>
        <v>Thùng NEWTECH Chai HD 500ml x 30 chai (43.7x36.5x20.5cm) - Trắng viền xanh lá</v>
      </c>
      <c r="N117" s="280"/>
      <c r="O117" s="280" t="str">
        <f t="array" ref="O117">IFERROR( XLOOKUP(L117,'2. DATA NL, VTBB'!C:C,'2. DATA NL, VTBB'!E:E),"")</f>
        <v>TOPZOLE 800WG</v>
      </c>
      <c r="P117" s="275" t="s">
        <v>565</v>
      </c>
      <c r="Q117" s="311"/>
      <c r="R117" s="291" t="s">
        <v>573</v>
      </c>
      <c r="S117" s="280"/>
      <c r="T117" s="280"/>
      <c r="U117" s="277"/>
      <c r="V117" s="283">
        <v>100.0</v>
      </c>
      <c r="W117" s="275" t="s">
        <v>699</v>
      </c>
      <c r="X117" s="283">
        <v>100.0</v>
      </c>
      <c r="Y117" s="274">
        <v>100.0</v>
      </c>
      <c r="Z117" s="279">
        <v>18300.0</v>
      </c>
      <c r="AA117" s="285">
        <v>0.08</v>
      </c>
      <c r="AB117" s="282">
        <v>1976400.0</v>
      </c>
      <c r="AC117" s="277"/>
      <c r="AD117" s="289">
        <v>46011.0</v>
      </c>
      <c r="AE117" s="312"/>
      <c r="AF117" s="277"/>
      <c r="AG117" s="277"/>
      <c r="AH117" s="294">
        <f>IFERROR(__xludf.DUMMYFUNCTION("IFERROR(INDEX( SORT(FILTER(
        {'1. DATA CHUNG'!$J$4:$J$105 , '1. DATA CHUNG'!$L$4:$L$105}, (TRIM('1. DATA CHUNG'!$I$4:$I$105)=TRIM(K117)) * IF(COUNTIFS('1. DATA CHUNG'!$I$4:$I$105,K117,'1. DATA CHUNG'!$M$4:$M$105,Q117), '1. DATA CHUNG'!$M$4:$M$105=Q"&amp;"117, 1) * ('1. DATA CHUNG'!$L$4:$L$105&lt;=TODAY()) ),   2, 0),  1, 1), 
  IFERROR( INDEX(FILTER('1. DATA CHUNG'!$J$4:$J$105, (TRIM('1. DATA CHUNG'!$I$4:$I$105)=TRIM(K117)) * IF(COUNTIFS('1. DATA CHUNG'!$I$4:$I$105,K117,'1. DATA CHUNG'!$M$4:$M$105,Q117), '1."&amp;" DATA CHUNG'!$M$4:$M$105=Q117, 1) * ('1. DATA CHUNG'!$L$4:$L$105="""")), 1), ""Không tìm thấy"" ))"),18.0)</f>
        <v>18</v>
      </c>
      <c r="AI117" s="273">
        <f t="shared" si="2"/>
        <v>46029</v>
      </c>
      <c r="AJ117" s="287"/>
      <c r="AK117" s="286">
        <f t="shared" si="3"/>
        <v>0</v>
      </c>
      <c r="AL117" s="287">
        <f t="shared" si="4"/>
        <v>2</v>
      </c>
      <c r="AM117" s="287">
        <f t="shared" si="5"/>
        <v>5</v>
      </c>
      <c r="AN117" s="279">
        <f t="shared" si="6"/>
        <v>11</v>
      </c>
      <c r="AO117" s="295" t="str">
        <f t="shared" si="7"/>
        <v>12/2025</v>
      </c>
      <c r="AP117" s="277" t="str">
        <f t="array" ref="AP117">IFERROR(XLOOKUP(L117,'2. DATA NL, VTBB'!C:C,'2. DATA NL, VTBB'!F:F),"")</f>
        <v>HH0208</v>
      </c>
      <c r="AQ117" s="277" t="str">
        <f t="array" ref="AQ117">IF(OR(K117="Nhãn", K117="Nhãn thùng",K117="Nhãn Túi"), K117 &amp; " " &amp; IFERROR(XLOOKUP(L117, '2. DATA NL, VTBB'!C:C, '2. DATA NL, VTBB'!E:E), ""), "")</f>
        <v/>
      </c>
      <c r="AR117" s="278" t="str">
        <f t="array" ref="AR117">IFERROR(XLOOKUP(L117,'2. DATA NL, VTBB'!C:C,'2. DATA NL, VTBB'!G:G),"")</f>
        <v>GC - II - 622 - MK Group - Siêu Trừ Đạo Ôn Vi Khuẩn - 15.6 gr - 300</v>
      </c>
      <c r="AS117" s="278" t="str">
        <f t="array" ref="AS117">IFERROR(XLOOKUP(L117,'2. DATA NL, VTBB'!C:C,'2. DATA NL, VTBB'!G:G),"")</f>
        <v>GC - II - 622 - MK Group - Siêu Trừ Đạo Ôn Vi Khuẩn - 15.6 gr - 300</v>
      </c>
      <c r="AT117" s="277"/>
    </row>
    <row r="118" ht="30.75" customHeight="1">
      <c r="A118" s="272">
        <f t="shared" si="24"/>
        <v>115</v>
      </c>
      <c r="B118" s="289">
        <v>46011.0</v>
      </c>
      <c r="C118" s="289">
        <v>46018.0</v>
      </c>
      <c r="D118" s="289">
        <f t="shared" si="29"/>
        <v>46026</v>
      </c>
      <c r="E118" s="289">
        <v>46024.0</v>
      </c>
      <c r="F118" s="274" t="s">
        <v>561</v>
      </c>
      <c r="G118" s="275" t="s">
        <v>562</v>
      </c>
      <c r="H118" s="274" t="s">
        <v>304</v>
      </c>
      <c r="I118" s="275" t="s">
        <v>305</v>
      </c>
      <c r="J118" s="279" t="s">
        <v>829</v>
      </c>
      <c r="K118" s="275" t="s">
        <v>301</v>
      </c>
      <c r="L118" s="277" t="s">
        <v>830</v>
      </c>
      <c r="M118" s="278" t="str">
        <f t="array" ref="M118">IFERROR(XLOOKUP(L118,'2. DATA NL, VTBB'!C:C,'2. DATA NL, VTBB'!D:D),"")</f>
        <v>Thùng IDA Chai HDPE/PAPE tròn cổ 43 250ml - (50x31x15cm) - Trắng xanh lá</v>
      </c>
      <c r="N118" s="280"/>
      <c r="O118" s="280" t="str">
        <f t="array" ref="O118">IFERROR( XLOOKUP(L118,'2. DATA NL, VTBB'!C:C,'2. DATA NL, VTBB'!E:E),"")</f>
        <v>JAVI VIL 50SC</v>
      </c>
      <c r="P118" s="275" t="s">
        <v>565</v>
      </c>
      <c r="Q118" s="311"/>
      <c r="R118" s="291" t="s">
        <v>573</v>
      </c>
      <c r="S118" s="280"/>
      <c r="T118" s="280"/>
      <c r="U118" s="277"/>
      <c r="V118" s="283">
        <v>2000.0</v>
      </c>
      <c r="W118" s="275" t="s">
        <v>699</v>
      </c>
      <c r="X118" s="283">
        <v>2000.0</v>
      </c>
      <c r="Y118" s="274">
        <v>200.0</v>
      </c>
      <c r="Z118" s="279">
        <v>15600.0</v>
      </c>
      <c r="AA118" s="285">
        <v>0.08</v>
      </c>
      <c r="AB118" s="282">
        <v>3369600.0</v>
      </c>
      <c r="AC118" s="277"/>
      <c r="AD118" s="289">
        <v>46011.0</v>
      </c>
      <c r="AE118" s="312"/>
      <c r="AF118" s="277"/>
      <c r="AG118" s="277"/>
      <c r="AH118" s="294">
        <f>IFERROR(__xludf.DUMMYFUNCTION("IFERROR(INDEX( SORT(FILTER(
        {'1. DATA CHUNG'!$J$4:$J$105 , '1. DATA CHUNG'!$L$4:$L$105}, (TRIM('1. DATA CHUNG'!$I$4:$I$105)=TRIM(K118)) * IF(COUNTIFS('1. DATA CHUNG'!$I$4:$I$105,K118,'1. DATA CHUNG'!$M$4:$M$105,Q118), '1. DATA CHUNG'!$M$4:$M$105=Q"&amp;"118, 1) * ('1. DATA CHUNG'!$L$4:$L$105&lt;=TODAY()) ),   2, 0),  1, 1), 
  IFERROR( INDEX(FILTER('1. DATA CHUNG'!$J$4:$J$105, (TRIM('1. DATA CHUNG'!$I$4:$I$105)=TRIM(K118)) * IF(COUNTIFS('1. DATA CHUNG'!$I$4:$I$105,K118,'1. DATA CHUNG'!$M$4:$M$105,Q118), '1."&amp;" DATA CHUNG'!$M$4:$M$105=Q118, 1) * ('1. DATA CHUNG'!$L$4:$L$105="""")), 1), ""Không tìm thấy"" ))"),18.0)</f>
        <v>18</v>
      </c>
      <c r="AI118" s="273">
        <f t="shared" si="2"/>
        <v>46029</v>
      </c>
      <c r="AJ118" s="287"/>
      <c r="AK118" s="286">
        <f t="shared" si="3"/>
        <v>0</v>
      </c>
      <c r="AL118" s="287">
        <f t="shared" si="4"/>
        <v>2</v>
      </c>
      <c r="AM118" s="287">
        <f t="shared" si="5"/>
        <v>5</v>
      </c>
      <c r="AN118" s="279">
        <f t="shared" si="6"/>
        <v>11</v>
      </c>
      <c r="AO118" s="295" t="str">
        <f t="shared" si="7"/>
        <v>12/2025</v>
      </c>
      <c r="AP118" s="277" t="str">
        <f t="array" ref="AP118">IFERROR(XLOOKUP(L118,'2. DATA NL, VTBB'!C:C,'2. DATA NL, VTBB'!F:F),"")</f>
        <v>HH0267</v>
      </c>
      <c r="AQ118" s="277" t="str">
        <f t="array" ref="AQ118">IF(OR(K118="Nhãn", K118="Nhãn thùng",K118="Nhãn Túi"), K118 &amp; " " &amp; IFERROR(XLOOKUP(L118, '2. DATA NL, VTBB'!C:C, '2. DATA NL, VTBB'!E:E), ""), "")</f>
        <v/>
      </c>
      <c r="AR118" s="278" t="str">
        <f t="array" ref="AR118">IFERROR(XLOOKUP(L118,'2. DATA NL, VTBB'!C:C,'2. DATA NL, VTBB'!G:G),"")</f>
        <v>LOT IDA Global - I - 686 - Javi vil 50SC (Chai HD) (BTP TRẮNG SỮA) - 1L - 20 ([btp] ,t)</v>
      </c>
      <c r="AS118" s="278" t="str">
        <f t="array" ref="AS118">IFERROR(XLOOKUP(L118,'2. DATA NL, VTBB'!C:C,'2. DATA NL, VTBB'!G:G),"")</f>
        <v>LOT IDA Global - I - 686 - Javi vil 50SC (Chai HD) (BTP TRẮNG SỮA) - 1L - 20 ([btp] ,t)</v>
      </c>
      <c r="AT118" s="277"/>
    </row>
    <row r="119" ht="30.75" customHeight="1">
      <c r="A119" s="272">
        <f t="shared" si="24"/>
        <v>116</v>
      </c>
      <c r="B119" s="289">
        <v>46011.0</v>
      </c>
      <c r="C119" s="289">
        <v>46018.0</v>
      </c>
      <c r="D119" s="289">
        <f t="shared" si="29"/>
        <v>46026</v>
      </c>
      <c r="E119" s="289">
        <v>46024.0</v>
      </c>
      <c r="F119" s="274" t="s">
        <v>561</v>
      </c>
      <c r="G119" s="275" t="s">
        <v>562</v>
      </c>
      <c r="H119" s="274" t="s">
        <v>304</v>
      </c>
      <c r="I119" s="275" t="s">
        <v>305</v>
      </c>
      <c r="J119" s="279" t="s">
        <v>831</v>
      </c>
      <c r="K119" s="275" t="s">
        <v>301</v>
      </c>
      <c r="L119" s="277" t="s">
        <v>680</v>
      </c>
      <c r="M119" s="278" t="str">
        <f t="array" ref="M119">IFERROR(XLOOKUP(L119,'2. DATA NL, VTBB'!C:C,'2. DATA NL, VTBB'!D:D),"")</f>
        <v>Thùng Dùng Chung ABA 100g x100 gói (47.5x41.5x28cm) - Trắng</v>
      </c>
      <c r="N119" s="280"/>
      <c r="O119" s="280" t="str">
        <f t="array" ref="O119">IFERROR( XLOOKUP(L119,'2. DATA NL, VTBB'!C:C,'2. DATA NL, VTBB'!E:E),"")</f>
        <v>Vi lượng Quantity New</v>
      </c>
      <c r="P119" s="275" t="s">
        <v>565</v>
      </c>
      <c r="Q119" s="311"/>
      <c r="R119" s="291" t="s">
        <v>573</v>
      </c>
      <c r="S119" s="280"/>
      <c r="T119" s="280"/>
      <c r="U119" s="277"/>
      <c r="V119" s="283">
        <v>100.0</v>
      </c>
      <c r="W119" s="275" t="s">
        <v>699</v>
      </c>
      <c r="X119" s="283">
        <v>100.0</v>
      </c>
      <c r="Y119" s="274">
        <v>144.0</v>
      </c>
      <c r="Z119" s="287">
        <v>23200.0</v>
      </c>
      <c r="AA119" s="285">
        <v>0.08</v>
      </c>
      <c r="AB119" s="282">
        <v>3608064.0</v>
      </c>
      <c r="AC119" s="277"/>
      <c r="AD119" s="289">
        <v>46011.0</v>
      </c>
      <c r="AE119" s="272">
        <v>106.0</v>
      </c>
      <c r="AF119" s="277"/>
      <c r="AG119" s="277"/>
      <c r="AH119" s="294">
        <f>IFERROR(__xludf.DUMMYFUNCTION("IFERROR(INDEX( SORT(FILTER(
        {'1. DATA CHUNG'!$J$4:$J$105 , '1. DATA CHUNG'!$L$4:$L$105}, (TRIM('1. DATA CHUNG'!$I$4:$I$105)=TRIM(K119)) * IF(COUNTIFS('1. DATA CHUNG'!$I$4:$I$105,K119,'1. DATA CHUNG'!$M$4:$M$105,Q119), '1. DATA CHUNG'!$M$4:$M$105=Q"&amp;"119, 1) * ('1. DATA CHUNG'!$L$4:$L$105&lt;=TODAY()) ),   2, 0),  1, 1), 
  IFERROR( INDEX(FILTER('1. DATA CHUNG'!$J$4:$J$105, (TRIM('1. DATA CHUNG'!$I$4:$I$105)=TRIM(K119)) * IF(COUNTIFS('1. DATA CHUNG'!$I$4:$I$105,K119,'1. DATA CHUNG'!$M$4:$M$105,Q119), '1."&amp;" DATA CHUNG'!$M$4:$M$105=Q119, 1) * ('1. DATA CHUNG'!$L$4:$L$105="""")), 1), ""Không tìm thấy"" ))"),18.0)</f>
        <v>18</v>
      </c>
      <c r="AI119" s="273">
        <f t="shared" si="2"/>
        <v>46029</v>
      </c>
      <c r="AJ119" s="287"/>
      <c r="AK119" s="286">
        <f t="shared" si="3"/>
        <v>0</v>
      </c>
      <c r="AL119" s="287">
        <f t="shared" si="4"/>
        <v>2</v>
      </c>
      <c r="AM119" s="287">
        <f t="shared" si="5"/>
        <v>5</v>
      </c>
      <c r="AN119" s="279">
        <f t="shared" si="6"/>
        <v>11</v>
      </c>
      <c r="AO119" s="295" t="str">
        <f t="shared" si="7"/>
        <v>12/2025</v>
      </c>
      <c r="AP119" s="277" t="str">
        <f t="array" ref="AP119">IFERROR(XLOOKUP(L119,'2. DATA NL, VTBB'!C:C,'2. DATA NL, VTBB'!F:F),"")</f>
        <v>HH0162</v>
      </c>
      <c r="AQ119" s="277" t="str">
        <f t="array" ref="AQ119">IF(OR(K119="Nhãn", K119="Nhãn thùng",K119="Nhãn Túi"), K119 &amp; " " &amp; IFERROR(XLOOKUP(L119, '2. DATA NL, VTBB'!C:C, '2. DATA NL, VTBB'!E:E), ""), "")</f>
        <v/>
      </c>
      <c r="AR119" s="278" t="str">
        <f t="array" ref="AR119">IFERROR(XLOOKUP(L119,'2. DATA NL, VTBB'!C:C,'2. DATA NL, VTBB'!G:G),"")</f>
        <v>GC - II - 575 - A Thời GNH - Calbor (Chai HD) - 500ml - 40</v>
      </c>
      <c r="AS119" s="278" t="str">
        <f t="array" ref="AS119">IFERROR(XLOOKUP(L119,'2. DATA NL, VTBB'!C:C,'2. DATA NL, VTBB'!G:G),"")</f>
        <v>GC - II - 575 - A Thời GNH - Calbor (Chai HD) - 500ml - 40</v>
      </c>
      <c r="AT119" s="277"/>
    </row>
    <row r="120" ht="30.75" customHeight="1">
      <c r="A120" s="272">
        <f t="shared" si="24"/>
        <v>117</v>
      </c>
      <c r="B120" s="289">
        <v>46011.0</v>
      </c>
      <c r="C120" s="289">
        <v>46018.0</v>
      </c>
      <c r="D120" s="289">
        <f t="shared" si="29"/>
        <v>46026</v>
      </c>
      <c r="E120" s="289">
        <v>46024.0</v>
      </c>
      <c r="F120" s="274" t="s">
        <v>561</v>
      </c>
      <c r="G120" s="275" t="s">
        <v>562</v>
      </c>
      <c r="H120" s="274" t="s">
        <v>304</v>
      </c>
      <c r="I120" s="275" t="s">
        <v>305</v>
      </c>
      <c r="J120" s="279" t="s">
        <v>829</v>
      </c>
      <c r="K120" s="275" t="s">
        <v>301</v>
      </c>
      <c r="L120" s="277" t="s">
        <v>613</v>
      </c>
      <c r="M120" s="278" t="str">
        <f t="array" ref="M120">IFERROR(XLOOKUP(L120,'2. DATA NL, VTBB'!C:C,'2. DATA NL, VTBB'!D:D),"")</f>
        <v>Thùng Dùng Chung ABA 100g x100 gói (46x39x21cm) - Trắng</v>
      </c>
      <c r="N120" s="280"/>
      <c r="O120" s="280" t="str">
        <f t="array" ref="O120">IFERROR( XLOOKUP(L120,'2. DATA NL, VTBB'!C:C,'2. DATA NL, VTBB'!E:E),"")</f>
        <v>Prima 04</v>
      </c>
      <c r="P120" s="275" t="s">
        <v>565</v>
      </c>
      <c r="Q120" s="311"/>
      <c r="R120" s="291" t="s">
        <v>573</v>
      </c>
      <c r="S120" s="280"/>
      <c r="T120" s="280"/>
      <c r="U120" s="277"/>
      <c r="V120" s="283">
        <v>200.0</v>
      </c>
      <c r="W120" s="275" t="s">
        <v>699</v>
      </c>
      <c r="X120" s="283">
        <v>200.0</v>
      </c>
      <c r="Y120" s="274">
        <v>200.0</v>
      </c>
      <c r="Z120" s="279">
        <v>20300.0</v>
      </c>
      <c r="AA120" s="285">
        <v>0.08</v>
      </c>
      <c r="AB120" s="282">
        <v>4384800.0</v>
      </c>
      <c r="AC120" s="277"/>
      <c r="AD120" s="289">
        <v>46011.0</v>
      </c>
      <c r="AE120" s="312"/>
      <c r="AF120" s="277"/>
      <c r="AG120" s="277"/>
      <c r="AH120" s="294">
        <f>IFERROR(__xludf.DUMMYFUNCTION("IFERROR(INDEX( SORT(FILTER(
        {'1. DATA CHUNG'!$J$4:$J$105 , '1. DATA CHUNG'!$L$4:$L$105}, (TRIM('1. DATA CHUNG'!$I$4:$I$105)=TRIM(K120)) * IF(COUNTIFS('1. DATA CHUNG'!$I$4:$I$105,K120,'1. DATA CHUNG'!$M$4:$M$105,Q120), '1. DATA CHUNG'!$M$4:$M$105=Q"&amp;"120, 1) * ('1. DATA CHUNG'!$L$4:$L$105&lt;=TODAY()) ),   2, 0),  1, 1), 
  IFERROR( INDEX(FILTER('1. DATA CHUNG'!$J$4:$J$105, (TRIM('1. DATA CHUNG'!$I$4:$I$105)=TRIM(K120)) * IF(COUNTIFS('1. DATA CHUNG'!$I$4:$I$105,K120,'1. DATA CHUNG'!$M$4:$M$105,Q120), '1."&amp;" DATA CHUNG'!$M$4:$M$105=Q120, 1) * ('1. DATA CHUNG'!$L$4:$L$105="""")), 1), ""Không tìm thấy"" ))"),18.0)</f>
        <v>18</v>
      </c>
      <c r="AI120" s="273">
        <f t="shared" si="2"/>
        <v>46029</v>
      </c>
      <c r="AJ120" s="287"/>
      <c r="AK120" s="286">
        <f t="shared" si="3"/>
        <v>0</v>
      </c>
      <c r="AL120" s="287">
        <f t="shared" si="4"/>
        <v>2</v>
      </c>
      <c r="AM120" s="287">
        <f t="shared" si="5"/>
        <v>5</v>
      </c>
      <c r="AN120" s="279">
        <f t="shared" si="6"/>
        <v>11</v>
      </c>
      <c r="AO120" s="295" t="str">
        <f t="shared" si="7"/>
        <v>12/2025</v>
      </c>
      <c r="AP120" s="277" t="str">
        <f t="array" ref="AP120">IFERROR(XLOOKUP(L120,'2. DATA NL, VTBB'!C:C,'2. DATA NL, VTBB'!F:F),"")</f>
        <v>HH0112</v>
      </c>
      <c r="AQ120" s="277" t="str">
        <f t="array" ref="AQ120">IF(OR(K120="Nhãn", K120="Nhãn thùng",K120="Nhãn Túi"), K120 &amp; " " &amp; IFERROR(XLOOKUP(L120, '2. DATA NL, VTBB'!C:C, '2. DATA NL, VTBB'!E:E), ""), "")</f>
        <v/>
      </c>
      <c r="AR120" s="278" t="str">
        <f t="array" ref="AR120">IFERROR(XLOOKUP(L120,'2. DATA NL, VTBB'!C:C,'2. DATA NL, VTBB'!G:G),"")</f>
        <v>GC - II - 485 - LuTa vẩy cá (Humic vẩy) - 10kg - 1</v>
      </c>
      <c r="AS120" s="278" t="str">
        <f t="array" ref="AS120">IFERROR(XLOOKUP(L120,'2. DATA NL, VTBB'!C:C,'2. DATA NL, VTBB'!G:G),"")</f>
        <v>GC - II - 485 - LuTa vẩy cá (Humic vẩy) - 10kg - 1</v>
      </c>
      <c r="AT120" s="277"/>
    </row>
    <row r="121" ht="30.75" customHeight="1">
      <c r="A121" s="272">
        <f t="shared" si="24"/>
        <v>118</v>
      </c>
      <c r="B121" s="289">
        <v>46011.0</v>
      </c>
      <c r="C121" s="289">
        <v>46018.0</v>
      </c>
      <c r="D121" s="289">
        <f t="shared" si="29"/>
        <v>46026</v>
      </c>
      <c r="E121" s="289">
        <v>46021.0</v>
      </c>
      <c r="F121" s="274" t="s">
        <v>561</v>
      </c>
      <c r="G121" s="275" t="s">
        <v>562</v>
      </c>
      <c r="H121" s="274" t="s">
        <v>304</v>
      </c>
      <c r="I121" s="275" t="s">
        <v>305</v>
      </c>
      <c r="J121" s="279" t="s">
        <v>829</v>
      </c>
      <c r="K121" s="275" t="s">
        <v>301</v>
      </c>
      <c r="L121" s="277" t="s">
        <v>578</v>
      </c>
      <c r="M121" s="278" t="str">
        <f t="array" ref="M121">IFERROR(XLOOKUP(L121,'2. DATA NL, VTBB'!C:C,'2. DATA NL, VTBB'!D:D),"")</f>
        <v>Thùng DC Chai Pet Tròn 43 450ml-500ml - 61.5x38.5x19 - Trắng</v>
      </c>
      <c r="N121" s="280"/>
      <c r="O121" s="280" t="str">
        <f t="array" ref="O121">IFERROR( XLOOKUP(L121,'2. DATA NL, VTBB'!C:C,'2. DATA NL, VTBB'!E:E),"")</f>
        <v>Vi lượng AV4</v>
      </c>
      <c r="P121" s="275" t="s">
        <v>565</v>
      </c>
      <c r="Q121" s="311"/>
      <c r="R121" s="291" t="s">
        <v>573</v>
      </c>
      <c r="S121" s="280"/>
      <c r="T121" s="280"/>
      <c r="U121" s="277"/>
      <c r="V121" s="283">
        <v>300.0</v>
      </c>
      <c r="W121" s="275" t="s">
        <v>699</v>
      </c>
      <c r="X121" s="283">
        <v>300.0</v>
      </c>
      <c r="Y121" s="274">
        <v>320.0</v>
      </c>
      <c r="Z121" s="279">
        <v>21700.0</v>
      </c>
      <c r="AA121" s="285">
        <v>0.08</v>
      </c>
      <c r="AB121" s="282">
        <v>7499520.0</v>
      </c>
      <c r="AC121" s="277"/>
      <c r="AD121" s="289">
        <v>46011.0</v>
      </c>
      <c r="AE121" s="272">
        <v>263.0</v>
      </c>
      <c r="AF121" s="277"/>
      <c r="AG121" s="277"/>
      <c r="AH121" s="294">
        <f>IFERROR(__xludf.DUMMYFUNCTION("IFERROR(INDEX( SORT(FILTER(
        {'1. DATA CHUNG'!$J$4:$J$105 , '1. DATA CHUNG'!$L$4:$L$105}, (TRIM('1. DATA CHUNG'!$I$4:$I$105)=TRIM(K121)) * IF(COUNTIFS('1. DATA CHUNG'!$I$4:$I$105,K121,'1. DATA CHUNG'!$M$4:$M$105,Q121), '1. DATA CHUNG'!$M$4:$M$105=Q"&amp;"121, 1) * ('1. DATA CHUNG'!$L$4:$L$105&lt;=TODAY()) ),   2, 0),  1, 1), 
  IFERROR( INDEX(FILTER('1. DATA CHUNG'!$J$4:$J$105, (TRIM('1. DATA CHUNG'!$I$4:$I$105)=TRIM(K121)) * IF(COUNTIFS('1. DATA CHUNG'!$I$4:$I$105,K121,'1. DATA CHUNG'!$M$4:$M$105,Q121), '1."&amp;" DATA CHUNG'!$M$4:$M$105=Q121, 1) * ('1. DATA CHUNG'!$L$4:$L$105="""")), 1), ""Không tìm thấy"" ))"),18.0)</f>
        <v>18</v>
      </c>
      <c r="AI121" s="273">
        <f t="shared" si="2"/>
        <v>46029</v>
      </c>
      <c r="AJ121" s="287"/>
      <c r="AK121" s="286">
        <f t="shared" si="3"/>
        <v>0</v>
      </c>
      <c r="AL121" s="287">
        <f t="shared" si="4"/>
        <v>5</v>
      </c>
      <c r="AM121" s="287">
        <f t="shared" si="5"/>
        <v>8</v>
      </c>
      <c r="AN121" s="279">
        <f t="shared" si="6"/>
        <v>11</v>
      </c>
      <c r="AO121" s="295" t="str">
        <f t="shared" si="7"/>
        <v>12/2025</v>
      </c>
      <c r="AP121" s="277" t="str">
        <f t="array" ref="AP121">IFERROR(XLOOKUP(L121,'2. DATA NL, VTBB'!C:C,'2. DATA NL, VTBB'!F:F),"")</f>
        <v>HH0004</v>
      </c>
      <c r="AQ121" s="277" t="str">
        <f t="array" ref="AQ121">IF(OR(K121="Nhãn", K121="Nhãn thùng",K121="Nhãn Túi"), K121 &amp; " " &amp; IFERROR(XLOOKUP(L121, '2. DATA NL, VTBB'!C:C, '2. DATA NL, VTBB'!E:E), ""), "")</f>
        <v/>
      </c>
      <c r="AR121" s="278" t="str">
        <f t="array" ref="AR121">IFERROR(XLOOKUP(L121,'2. DATA NL, VTBB'!C:C,'2. DATA NL, VTBB'!G:G),"")</f>
        <v>GC - II - 24 - Aqua Gold ra bông xoài 1kg -25</v>
      </c>
      <c r="AS121" s="278" t="str">
        <f t="array" ref="AS121">IFERROR(XLOOKUP(L121,'2. DATA NL, VTBB'!C:C,'2. DATA NL, VTBB'!G:G),"")</f>
        <v>GC - II - 24 - Aqua Gold ra bông xoài 1kg -25</v>
      </c>
      <c r="AT121" s="277"/>
    </row>
    <row r="122" ht="30.75" customHeight="1">
      <c r="A122" s="272">
        <f>ROW(A136)-2</f>
        <v>134</v>
      </c>
      <c r="B122" s="289">
        <v>46011.0</v>
      </c>
      <c r="C122" s="289">
        <v>46018.0</v>
      </c>
      <c r="D122" s="289">
        <f t="shared" si="29"/>
        <v>46026</v>
      </c>
      <c r="E122" s="289">
        <v>46015.0</v>
      </c>
      <c r="F122" s="274" t="s">
        <v>561</v>
      </c>
      <c r="G122" s="275" t="s">
        <v>580</v>
      </c>
      <c r="H122" s="274" t="s">
        <v>304</v>
      </c>
      <c r="I122" s="275" t="s">
        <v>305</v>
      </c>
      <c r="J122" s="279" t="s">
        <v>832</v>
      </c>
      <c r="K122" s="275" t="s">
        <v>301</v>
      </c>
      <c r="L122" s="277" t="s">
        <v>833</v>
      </c>
      <c r="M122" s="278" t="str">
        <f t="array" ref="M122">IFERROR(XLOOKUP(L122,'2. DATA NL, VTBB'!C:C,'2. DATA NL, VTBB'!D:D),"")</f>
        <v>Thùng IDA 100gr x 100 gói (44.5x37.5x21cm) - Trắng xanh lá</v>
      </c>
      <c r="N122" s="280"/>
      <c r="O122" s="280" t="str">
        <f t="array" ref="O122">IFERROR( XLOOKUP(L122,'2. DATA NL, VTBB'!C:C,'2. DATA NL, VTBB'!E:E),"")</f>
        <v>Tikabamec 3.6EC</v>
      </c>
      <c r="P122" s="275" t="s">
        <v>565</v>
      </c>
      <c r="Q122" s="311"/>
      <c r="R122" s="291" t="s">
        <v>584</v>
      </c>
      <c r="S122" s="280"/>
      <c r="T122" s="280"/>
      <c r="U122" s="277"/>
      <c r="V122" s="283">
        <v>200.0</v>
      </c>
      <c r="W122" s="275" t="s">
        <v>699</v>
      </c>
      <c r="X122" s="283">
        <v>200.0</v>
      </c>
      <c r="Y122" s="274">
        <v>213.0</v>
      </c>
      <c r="Z122" s="279">
        <v>18800.0</v>
      </c>
      <c r="AA122" s="285">
        <v>0.08</v>
      </c>
      <c r="AB122" s="282">
        <v>4324752.0</v>
      </c>
      <c r="AC122" s="277"/>
      <c r="AD122" s="289">
        <v>46011.0</v>
      </c>
      <c r="AE122" s="312"/>
      <c r="AF122" s="277"/>
      <c r="AG122" s="277"/>
      <c r="AH122" s="294">
        <f>IFERROR(__xludf.DUMMYFUNCTION("IFERROR(INDEX( SORT(FILTER(
        {'1. DATA CHUNG'!$J$4:$J$105 , '1. DATA CHUNG'!$L$4:$L$105}, (TRIM('1. DATA CHUNG'!$I$4:$I$105)=TRIM(K122)) * IF(COUNTIFS('1. DATA CHUNG'!$I$4:$I$105,K122,'1. DATA CHUNG'!$M$4:$M$105,Q122), '1. DATA CHUNG'!$M$4:$M$105=Q"&amp;"122, 1) * ('1. DATA CHUNG'!$L$4:$L$105&lt;=TODAY()) ),   2, 0),  1, 1), 
  IFERROR( INDEX(FILTER('1. DATA CHUNG'!$J$4:$J$105, (TRIM('1. DATA CHUNG'!$I$4:$I$105)=TRIM(K122)) * IF(COUNTIFS('1. DATA CHUNG'!$I$4:$I$105,K122,'1. DATA CHUNG'!$M$4:$M$105,Q122), '1."&amp;" DATA CHUNG'!$M$4:$M$105=Q122, 1) * ('1. DATA CHUNG'!$L$4:$L$105="""")), 1), ""Không tìm thấy"" ))"),18.0)</f>
        <v>18</v>
      </c>
      <c r="AI122" s="273">
        <f t="shared" si="2"/>
        <v>46029</v>
      </c>
      <c r="AJ122" s="287"/>
      <c r="AK122" s="286">
        <f t="shared" si="3"/>
        <v>0</v>
      </c>
      <c r="AL122" s="287">
        <f t="shared" si="4"/>
        <v>11</v>
      </c>
      <c r="AM122" s="287">
        <f t="shared" si="5"/>
        <v>14</v>
      </c>
      <c r="AN122" s="279">
        <f t="shared" si="6"/>
        <v>11</v>
      </c>
      <c r="AO122" s="295" t="str">
        <f t="shared" si="7"/>
        <v>12/2025</v>
      </c>
      <c r="AP122" s="277" t="str">
        <f t="array" ref="AP122">IFERROR(XLOOKUP(L122,'2. DATA NL, VTBB'!C:C,'2. DATA NL, VTBB'!F:F),"")</f>
        <v>HH0268</v>
      </c>
      <c r="AQ122" s="277" t="str">
        <f t="array" ref="AQ122">IF(OR(K122="Nhãn", K122="Nhãn thùng",K122="Nhãn Túi"), K122 &amp; " " &amp; IFERROR(XLOOKUP(L122, '2. DATA NL, VTBB'!C:C, '2. DATA NL, VTBB'!E:E), ""), "")</f>
        <v/>
      </c>
      <c r="AR122" s="278" t="str">
        <f t="array" ref="AR122">IFERROR(XLOOKUP(L122,'2. DATA NL, VTBB'!C:C,'2. DATA NL, VTBB'!G:G),"")</f>
        <v>LOT IDA Global - I - 687 - Abamectin 3.6EC (Pet tròn) (nước đục) - 450ml - 40</v>
      </c>
      <c r="AS122" s="278" t="str">
        <f t="array" ref="AS122">IFERROR(XLOOKUP(L122,'2. DATA NL, VTBB'!C:C,'2. DATA NL, VTBB'!G:G),"")</f>
        <v>LOT IDA Global - I - 687 - Abamectin 3.6EC (Pet tròn) (nước đục) - 450ml - 40</v>
      </c>
      <c r="AT122" s="277"/>
    </row>
    <row r="123" ht="30.75" customHeight="1">
      <c r="A123" s="272">
        <f>ROW(A121)-2</f>
        <v>119</v>
      </c>
      <c r="B123" s="289">
        <v>46011.0</v>
      </c>
      <c r="C123" s="289">
        <v>46018.0</v>
      </c>
      <c r="D123" s="289">
        <f t="shared" si="29"/>
        <v>46026</v>
      </c>
      <c r="E123" s="289">
        <v>46022.0</v>
      </c>
      <c r="F123" s="274" t="s">
        <v>561</v>
      </c>
      <c r="G123" s="275" t="s">
        <v>580</v>
      </c>
      <c r="H123" s="274" t="s">
        <v>304</v>
      </c>
      <c r="I123" s="275" t="s">
        <v>305</v>
      </c>
      <c r="J123" s="279" t="s">
        <v>834</v>
      </c>
      <c r="K123" s="275" t="s">
        <v>301</v>
      </c>
      <c r="L123" s="277" t="s">
        <v>833</v>
      </c>
      <c r="M123" s="278" t="str">
        <f t="array" ref="M123">IFERROR(XLOOKUP(L123,'2. DATA NL, VTBB'!C:C,'2. DATA NL, VTBB'!D:D),"")</f>
        <v>Thùng IDA 100gr x 100 gói (44.5x37.5x21cm) - Trắng xanh lá</v>
      </c>
      <c r="N123" s="280"/>
      <c r="O123" s="280" t="str">
        <f t="array" ref="O123">IFERROR( XLOOKUP(L123,'2. DATA NL, VTBB'!C:C,'2. DATA NL, VTBB'!E:E),"")</f>
        <v>Tikabamec 3.6EC</v>
      </c>
      <c r="P123" s="275" t="s">
        <v>565</v>
      </c>
      <c r="Q123" s="311"/>
      <c r="R123" s="291" t="s">
        <v>584</v>
      </c>
      <c r="S123" s="280"/>
      <c r="T123" s="280"/>
      <c r="U123" s="277"/>
      <c r="V123" s="283">
        <v>300.0</v>
      </c>
      <c r="W123" s="275" t="s">
        <v>699</v>
      </c>
      <c r="X123" s="283">
        <v>300.0</v>
      </c>
      <c r="Y123" s="274">
        <v>317.0</v>
      </c>
      <c r="Z123" s="287">
        <v>18800.0</v>
      </c>
      <c r="AA123" s="285">
        <v>0.08</v>
      </c>
      <c r="AB123" s="282">
        <v>6436368.0</v>
      </c>
      <c r="AC123" s="277"/>
      <c r="AD123" s="289">
        <v>46011.0</v>
      </c>
      <c r="AE123" s="312"/>
      <c r="AF123" s="277"/>
      <c r="AG123" s="277"/>
      <c r="AH123" s="294">
        <f>IFERROR(__xludf.DUMMYFUNCTION("IFERROR(INDEX( SORT(FILTER(
        {'1. DATA CHUNG'!$J$4:$J$105 , '1. DATA CHUNG'!$L$4:$L$105}, (TRIM('1. DATA CHUNG'!$I$4:$I$105)=TRIM(K123)) * IF(COUNTIFS('1. DATA CHUNG'!$I$4:$I$105,K123,'1. DATA CHUNG'!$M$4:$M$105,Q123), '1. DATA CHUNG'!$M$4:$M$105=Q"&amp;"123, 1) * ('1. DATA CHUNG'!$L$4:$L$105&lt;=TODAY()) ),   2, 0),  1, 1), 
  IFERROR( INDEX(FILTER('1. DATA CHUNG'!$J$4:$J$105, (TRIM('1. DATA CHUNG'!$I$4:$I$105)=TRIM(K123)) * IF(COUNTIFS('1. DATA CHUNG'!$I$4:$I$105,K123,'1. DATA CHUNG'!$M$4:$M$105,Q123), '1."&amp;" DATA CHUNG'!$M$4:$M$105=Q123, 1) * ('1. DATA CHUNG'!$L$4:$L$105="""")), 1), ""Không tìm thấy"" ))"),18.0)</f>
        <v>18</v>
      </c>
      <c r="AI123" s="273">
        <f t="shared" si="2"/>
        <v>46029</v>
      </c>
      <c r="AJ123" s="287"/>
      <c r="AK123" s="286">
        <f t="shared" si="3"/>
        <v>0</v>
      </c>
      <c r="AL123" s="287">
        <f t="shared" si="4"/>
        <v>4</v>
      </c>
      <c r="AM123" s="287">
        <f t="shared" si="5"/>
        <v>7</v>
      </c>
      <c r="AN123" s="279">
        <f t="shared" si="6"/>
        <v>11</v>
      </c>
      <c r="AO123" s="295" t="str">
        <f t="shared" si="7"/>
        <v>12/2025</v>
      </c>
      <c r="AP123" s="277" t="str">
        <f t="array" ref="AP123">IFERROR(XLOOKUP(L123,'2. DATA NL, VTBB'!C:C,'2. DATA NL, VTBB'!F:F),"")</f>
        <v>HH0268</v>
      </c>
      <c r="AQ123" s="277" t="str">
        <f t="array" ref="AQ123">IF(OR(K123="Nhãn", K123="Nhãn thùng",K123="Nhãn Túi"), K123 &amp; " " &amp; IFERROR(XLOOKUP(L123, '2. DATA NL, VTBB'!C:C, '2. DATA NL, VTBB'!E:E), ""), "")</f>
        <v/>
      </c>
      <c r="AR123" s="278" t="str">
        <f t="array" ref="AR123">IFERROR(XLOOKUP(L123,'2. DATA NL, VTBB'!C:C,'2. DATA NL, VTBB'!G:G),"")</f>
        <v>LOT IDA Global - I - 687 - Abamectin 3.6EC (Pet tròn) (nước đục) - 450ml - 40</v>
      </c>
      <c r="AS123" s="278" t="str">
        <f t="array" ref="AS123">IFERROR(XLOOKUP(L123,'2. DATA NL, VTBB'!C:C,'2. DATA NL, VTBB'!G:G),"")</f>
        <v>LOT IDA Global - I - 687 - Abamectin 3.6EC (Pet tròn) (nước đục) - 450ml - 40</v>
      </c>
      <c r="AT123" s="277"/>
    </row>
    <row r="124" ht="30.75" customHeight="1">
      <c r="A124" s="272">
        <f>ROW(A127)-2</f>
        <v>125</v>
      </c>
      <c r="B124" s="289">
        <v>46011.0</v>
      </c>
      <c r="C124" s="273">
        <v>46012.0</v>
      </c>
      <c r="D124" s="273">
        <f t="shared" ref="D124:D136" si="30">B124+3</f>
        <v>46014</v>
      </c>
      <c r="E124" s="289">
        <v>46015.0</v>
      </c>
      <c r="F124" s="274" t="s">
        <v>561</v>
      </c>
      <c r="G124" s="275" t="s">
        <v>562</v>
      </c>
      <c r="H124" s="274" t="s">
        <v>304</v>
      </c>
      <c r="I124" s="275" t="s">
        <v>744</v>
      </c>
      <c r="J124" s="279" t="s">
        <v>835</v>
      </c>
      <c r="K124" s="275" t="s">
        <v>728</v>
      </c>
      <c r="L124" s="277" t="s">
        <v>836</v>
      </c>
      <c r="M124" s="278" t="str">
        <f t="array" ref="M124">IFERROR(XLOOKUP(L124,'2. DATA NL, VTBB'!C:C,'2. DATA NL, VTBB'!D:D),"")</f>
        <v>Chai PAPE tròn cổ 43 240,250ml (40gr) logo IDA màu trắng</v>
      </c>
      <c r="N124" s="280"/>
      <c r="O124" s="280" t="str">
        <f t="array" ref="O124">IFERROR( XLOOKUP(L124,'2. DATA NL, VTBB'!C:C,'2. DATA NL, VTBB'!E:E),"")</f>
        <v>Vi lượng AV-CFC
(Dạng rắn)</v>
      </c>
      <c r="P124" s="275" t="s">
        <v>565</v>
      </c>
      <c r="Q124" s="311"/>
      <c r="R124" s="291" t="s">
        <v>584</v>
      </c>
      <c r="S124" s="280"/>
      <c r="T124" s="280"/>
      <c r="U124" s="277"/>
      <c r="V124" s="283">
        <v>5000.0</v>
      </c>
      <c r="W124" s="275" t="s">
        <v>699</v>
      </c>
      <c r="X124" s="283">
        <v>5000.0</v>
      </c>
      <c r="Y124" s="274">
        <v>5000.0</v>
      </c>
      <c r="Z124" s="279">
        <v>4300.0</v>
      </c>
      <c r="AA124" s="285">
        <v>0.08</v>
      </c>
      <c r="AB124" s="282">
        <v>2.322E7</v>
      </c>
      <c r="AC124" s="277"/>
      <c r="AD124" s="289">
        <v>46011.0</v>
      </c>
      <c r="AE124" s="272">
        <v>3879.0</v>
      </c>
      <c r="AF124" s="277"/>
      <c r="AG124" s="277"/>
      <c r="AH124" s="294">
        <f>IFERROR(__xludf.DUMMYFUNCTION("IFERROR(INDEX( SORT(FILTER(
        {'1. DATA CHUNG'!$J$4:$J$105 , '1. DATA CHUNG'!$L$4:$L$105}, (TRIM('1. DATA CHUNG'!$I$4:$I$105)=TRIM(K124)) * IF(COUNTIFS('1. DATA CHUNG'!$I$4:$I$105,K124,'1. DATA CHUNG'!$M$4:$M$105,Q124), '1. DATA CHUNG'!$M$4:$M$105=Q"&amp;"124, 1) * ('1. DATA CHUNG'!$L$4:$L$105&lt;=TODAY()) ),   2, 0),  1, 1), 
  IFERROR( INDEX(FILTER('1. DATA CHUNG'!$J$4:$J$105, (TRIM('1. DATA CHUNG'!$I$4:$I$105)=TRIM(K124)) * IF(COUNTIFS('1. DATA CHUNG'!$I$4:$I$105,K124,'1. DATA CHUNG'!$M$4:$M$105,Q124), '1."&amp;" DATA CHUNG'!$M$4:$M$105=Q124, 1) * ('1. DATA CHUNG'!$L$4:$L$105="""")), 1), ""Không tìm thấy"" ))"),7.0)</f>
        <v>7</v>
      </c>
      <c r="AI124" s="273">
        <f t="shared" si="2"/>
        <v>46018</v>
      </c>
      <c r="AJ124" s="287"/>
      <c r="AK124" s="286">
        <f t="shared" si="3"/>
        <v>0</v>
      </c>
      <c r="AL124" s="287">
        <f t="shared" si="4"/>
        <v>-1</v>
      </c>
      <c r="AM124" s="287">
        <f t="shared" si="5"/>
        <v>3</v>
      </c>
      <c r="AN124" s="279">
        <f t="shared" si="6"/>
        <v>6</v>
      </c>
      <c r="AO124" s="295" t="str">
        <f t="shared" si="7"/>
        <v>12/2025</v>
      </c>
      <c r="AP124" s="277" t="str">
        <f t="array" ref="AP124">IFERROR(XLOOKUP(L124,'2. DATA NL, VTBB'!C:C,'2. DATA NL, VTBB'!F:F),"")</f>
        <v>HH0028</v>
      </c>
      <c r="AQ124" s="277" t="str">
        <f t="array" ref="AQ124">IF(OR(K124="Nhãn", K124="Nhãn thùng",K124="Nhãn Túi"), K124 &amp; " " &amp; IFERROR(XLOOKUP(L124, '2. DATA NL, VTBB'!C:C, '2. DATA NL, VTBB'!E:E), ""), "")</f>
        <v/>
      </c>
      <c r="AR124" s="278" t="str">
        <f t="array" ref="AR124">IFERROR(XLOOKUP(L124,'2. DATA NL, VTBB'!C:C,'2. DATA NL, VTBB'!G:G),"")</f>
        <v>IDA Global - I - 390.1 - Humi Total (nhãn viền cam) - 1kg - 25</v>
      </c>
      <c r="AS124" s="278" t="str">
        <f t="array" ref="AS124">IFERROR(XLOOKUP(L124,'2. DATA NL, VTBB'!C:C,'2. DATA NL, VTBB'!G:G),"")</f>
        <v>IDA Global - I - 390.1 - Humi Total (nhãn viền cam) - 1kg - 25</v>
      </c>
      <c r="AT124" s="277"/>
    </row>
    <row r="125" ht="30.75" customHeight="1">
      <c r="A125" s="272">
        <f>ROW(A124)-2</f>
        <v>122</v>
      </c>
      <c r="B125" s="289">
        <v>46011.0</v>
      </c>
      <c r="C125" s="273">
        <v>46012.0</v>
      </c>
      <c r="D125" s="273">
        <f t="shared" si="30"/>
        <v>46014</v>
      </c>
      <c r="E125" s="289">
        <v>46015.0</v>
      </c>
      <c r="F125" s="274" t="s">
        <v>561</v>
      </c>
      <c r="G125" s="275" t="s">
        <v>562</v>
      </c>
      <c r="H125" s="274" t="s">
        <v>304</v>
      </c>
      <c r="I125" s="275" t="s">
        <v>744</v>
      </c>
      <c r="J125" s="279" t="s">
        <v>835</v>
      </c>
      <c r="K125" s="275" t="s">
        <v>730</v>
      </c>
      <c r="L125" s="277" t="s">
        <v>810</v>
      </c>
      <c r="M125" s="278" t="str">
        <f t="array" ref="M125">IFERROR(XLOOKUP(L125,'2. DATA NL, VTBB'!C:C,'2. DATA NL, VTBB'!D:D),"")</f>
        <v>Nắp HDPE cổ 43 (10gr) logo IDA màu trắng</v>
      </c>
      <c r="N125" s="280"/>
      <c r="O125" s="280" t="str">
        <f t="array" ref="O125">IFERROR( XLOOKUP(L125,'2. DATA NL, VTBB'!C:C,'2. DATA NL, VTBB'!E:E),"")</f>
        <v>Acodyl 35WP</v>
      </c>
      <c r="P125" s="275" t="s">
        <v>565</v>
      </c>
      <c r="Q125" s="311"/>
      <c r="R125" s="291" t="s">
        <v>584</v>
      </c>
      <c r="S125" s="280"/>
      <c r="T125" s="280"/>
      <c r="U125" s="277"/>
      <c r="V125" s="283">
        <v>5000.0</v>
      </c>
      <c r="W125" s="275" t="s">
        <v>699</v>
      </c>
      <c r="X125" s="283">
        <v>5000.0</v>
      </c>
      <c r="Y125" s="274">
        <v>5000.0</v>
      </c>
      <c r="Z125" s="279">
        <v>1000.0</v>
      </c>
      <c r="AA125" s="285">
        <v>0.08</v>
      </c>
      <c r="AB125" s="282">
        <v>5400000.0</v>
      </c>
      <c r="AC125" s="277"/>
      <c r="AD125" s="289">
        <v>46011.0</v>
      </c>
      <c r="AE125" s="272">
        <v>3879.0</v>
      </c>
      <c r="AF125" s="277"/>
      <c r="AG125" s="277"/>
      <c r="AH125" s="294">
        <f>IFERROR(__xludf.DUMMYFUNCTION("IFERROR(INDEX( SORT(FILTER(
        {'1. DATA CHUNG'!$J$4:$J$105 , '1. DATA CHUNG'!$L$4:$L$105}, (TRIM('1. DATA CHUNG'!$I$4:$I$105)=TRIM(K125)) * IF(COUNTIFS('1. DATA CHUNG'!$I$4:$I$105,K125,'1. DATA CHUNG'!$M$4:$M$105,Q125), '1. DATA CHUNG'!$M$4:$M$105=Q"&amp;"125, 1) * ('1. DATA CHUNG'!$L$4:$L$105&lt;=TODAY()) ),   2, 0),  1, 1), 
  IFERROR( INDEX(FILTER('1. DATA CHUNG'!$J$4:$J$105, (TRIM('1. DATA CHUNG'!$I$4:$I$105)=TRIM(K125)) * IF(COUNTIFS('1. DATA CHUNG'!$I$4:$I$105,K125,'1. DATA CHUNG'!$M$4:$M$105,Q125), '1."&amp;" DATA CHUNG'!$M$4:$M$105=Q125, 1) * ('1. DATA CHUNG'!$L$4:$L$105="""")), 1), ""Không tìm thấy"" ))"),7.0)</f>
        <v>7</v>
      </c>
      <c r="AI125" s="273">
        <f t="shared" si="2"/>
        <v>46018</v>
      </c>
      <c r="AJ125" s="287"/>
      <c r="AK125" s="286">
        <f t="shared" si="3"/>
        <v>0</v>
      </c>
      <c r="AL125" s="287">
        <f t="shared" si="4"/>
        <v>-1</v>
      </c>
      <c r="AM125" s="287">
        <f t="shared" si="5"/>
        <v>3</v>
      </c>
      <c r="AN125" s="279">
        <f t="shared" si="6"/>
        <v>6</v>
      </c>
      <c r="AO125" s="295" t="str">
        <f t="shared" si="7"/>
        <v>12/2025</v>
      </c>
      <c r="AP125" s="277" t="str">
        <f t="array" ref="AP125">IFERROR(XLOOKUP(L125,'2. DATA NL, VTBB'!C:C,'2. DATA NL, VTBB'!F:F),"")</f>
        <v>HH0017</v>
      </c>
      <c r="AQ125" s="277" t="str">
        <f t="array" ref="AQ125">IF(OR(K125="Nhãn", K125="Nhãn thùng",K125="Nhãn Túi"), K125 &amp; " " &amp; IFERROR(XLOOKUP(L125, '2. DATA NL, VTBB'!C:C, '2. DATA NL, VTBB'!E:E), ""), "")</f>
        <v/>
      </c>
      <c r="AR125" s="278" t="str">
        <f t="array" ref="AR125">IFERROR(XLOOKUP(L125,'2. DATA NL, VTBB'!C:C,'2. DATA NL, VTBB'!G:G),"")</f>
        <v>GC - I - 309 - Wettable Powder - 100gr - 100</v>
      </c>
      <c r="AS125" s="278" t="str">
        <f t="array" ref="AS125">IFERROR(XLOOKUP(L125,'2. DATA NL, VTBB'!C:C,'2. DATA NL, VTBB'!G:G),"")</f>
        <v>GC - I - 309 - Wettable Powder - 100gr - 100</v>
      </c>
      <c r="AT125" s="277"/>
    </row>
    <row r="126" ht="30.75" customHeight="1">
      <c r="A126" s="272">
        <f>ROW(A123)-2</f>
        <v>121</v>
      </c>
      <c r="B126" s="289">
        <v>46011.0</v>
      </c>
      <c r="C126" s="273">
        <v>46012.0</v>
      </c>
      <c r="D126" s="273">
        <f t="shared" si="30"/>
        <v>46014</v>
      </c>
      <c r="E126" s="289">
        <v>46015.0</v>
      </c>
      <c r="F126" s="274" t="s">
        <v>561</v>
      </c>
      <c r="G126" s="275" t="s">
        <v>580</v>
      </c>
      <c r="H126" s="274" t="s">
        <v>304</v>
      </c>
      <c r="I126" s="275" t="s">
        <v>744</v>
      </c>
      <c r="J126" s="279" t="s">
        <v>837</v>
      </c>
      <c r="K126" s="275" t="s">
        <v>728</v>
      </c>
      <c r="L126" s="277" t="s">
        <v>836</v>
      </c>
      <c r="M126" s="278" t="str">
        <f t="array" ref="M126">IFERROR(XLOOKUP(L126,'2. DATA NL, VTBB'!C:C,'2. DATA NL, VTBB'!D:D),"")</f>
        <v>Chai PAPE tròn cổ 43 240,250ml (40gr) logo IDA màu trắng</v>
      </c>
      <c r="N126" s="280"/>
      <c r="O126" s="280" t="str">
        <f t="array" ref="O126">IFERROR( XLOOKUP(L126,'2. DATA NL, VTBB'!C:C,'2. DATA NL, VTBB'!E:E),"")</f>
        <v>Vi lượng AV-CFC
(Dạng rắn)</v>
      </c>
      <c r="P126" s="275" t="s">
        <v>565</v>
      </c>
      <c r="Q126" s="311"/>
      <c r="R126" s="291" t="s">
        <v>573</v>
      </c>
      <c r="S126" s="280"/>
      <c r="T126" s="280"/>
      <c r="U126" s="277"/>
      <c r="V126" s="283">
        <v>5000.0</v>
      </c>
      <c r="W126" s="275" t="s">
        <v>699</v>
      </c>
      <c r="X126" s="283">
        <v>5000.0</v>
      </c>
      <c r="Y126" s="274">
        <v>5000.0</v>
      </c>
      <c r="Z126" s="287">
        <v>4300.0</v>
      </c>
      <c r="AA126" s="285">
        <v>0.08</v>
      </c>
      <c r="AB126" s="282">
        <v>2.322E7</v>
      </c>
      <c r="AC126" s="277"/>
      <c r="AD126" s="289">
        <v>46011.0</v>
      </c>
      <c r="AE126" s="272">
        <v>3938.0</v>
      </c>
      <c r="AF126" s="277"/>
      <c r="AG126" s="277"/>
      <c r="AH126" s="294">
        <f>IFERROR(__xludf.DUMMYFUNCTION("IFERROR(INDEX( SORT(FILTER(
        {'1. DATA CHUNG'!$J$4:$J$105 , '1. DATA CHUNG'!$L$4:$L$105}, (TRIM('1. DATA CHUNG'!$I$4:$I$105)=TRIM(K126)) * IF(COUNTIFS('1. DATA CHUNG'!$I$4:$I$105,K126,'1. DATA CHUNG'!$M$4:$M$105,Q126), '1. DATA CHUNG'!$M$4:$M$105=Q"&amp;"126, 1) * ('1. DATA CHUNG'!$L$4:$L$105&lt;=TODAY()) ),   2, 0),  1, 1), 
  IFERROR( INDEX(FILTER('1. DATA CHUNG'!$J$4:$J$105, (TRIM('1. DATA CHUNG'!$I$4:$I$105)=TRIM(K126)) * IF(COUNTIFS('1. DATA CHUNG'!$I$4:$I$105,K126,'1. DATA CHUNG'!$M$4:$M$105,Q126), '1."&amp;" DATA CHUNG'!$M$4:$M$105=Q126, 1) * ('1. DATA CHUNG'!$L$4:$L$105="""")), 1), ""Không tìm thấy"" ))"),7.0)</f>
        <v>7</v>
      </c>
      <c r="AI126" s="273">
        <f t="shared" si="2"/>
        <v>46018</v>
      </c>
      <c r="AJ126" s="287"/>
      <c r="AK126" s="286">
        <f t="shared" si="3"/>
        <v>0</v>
      </c>
      <c r="AL126" s="287">
        <f t="shared" si="4"/>
        <v>-1</v>
      </c>
      <c r="AM126" s="287">
        <f t="shared" si="5"/>
        <v>3</v>
      </c>
      <c r="AN126" s="279">
        <f t="shared" si="6"/>
        <v>6</v>
      </c>
      <c r="AO126" s="295" t="str">
        <f t="shared" si="7"/>
        <v>12/2025</v>
      </c>
      <c r="AP126" s="277" t="str">
        <f t="array" ref="AP126">IFERROR(XLOOKUP(L126,'2. DATA NL, VTBB'!C:C,'2. DATA NL, VTBB'!F:F),"")</f>
        <v>HH0028</v>
      </c>
      <c r="AQ126" s="277" t="str">
        <f t="array" ref="AQ126">IF(OR(K126="Nhãn", K126="Nhãn thùng",K126="Nhãn Túi"), K126 &amp; " " &amp; IFERROR(XLOOKUP(L126, '2. DATA NL, VTBB'!C:C, '2. DATA NL, VTBB'!E:E), ""), "")</f>
        <v/>
      </c>
      <c r="AR126" s="278" t="str">
        <f t="array" ref="AR126">IFERROR(XLOOKUP(L126,'2. DATA NL, VTBB'!C:C,'2. DATA NL, VTBB'!G:G),"")</f>
        <v>IDA Global - I - 390.1 - Humi Total (nhãn viền cam) - 1kg - 25</v>
      </c>
      <c r="AS126" s="278" t="str">
        <f t="array" ref="AS126">IFERROR(XLOOKUP(L126,'2. DATA NL, VTBB'!C:C,'2. DATA NL, VTBB'!G:G),"")</f>
        <v>IDA Global - I - 390.1 - Humi Total (nhãn viền cam) - 1kg - 25</v>
      </c>
      <c r="AT126" s="277"/>
    </row>
    <row r="127" ht="30.75" customHeight="1">
      <c r="A127" s="272">
        <f>ROW(A126)-2</f>
        <v>124</v>
      </c>
      <c r="B127" s="289">
        <v>46011.0</v>
      </c>
      <c r="C127" s="273">
        <v>46012.0</v>
      </c>
      <c r="D127" s="273">
        <f t="shared" si="30"/>
        <v>46014</v>
      </c>
      <c r="E127" s="289">
        <v>46015.0</v>
      </c>
      <c r="F127" s="274" t="s">
        <v>561</v>
      </c>
      <c r="G127" s="275" t="s">
        <v>580</v>
      </c>
      <c r="H127" s="274" t="s">
        <v>304</v>
      </c>
      <c r="I127" s="275" t="s">
        <v>744</v>
      </c>
      <c r="J127" s="279" t="s">
        <v>837</v>
      </c>
      <c r="K127" s="275" t="s">
        <v>730</v>
      </c>
      <c r="L127" s="277" t="s">
        <v>810</v>
      </c>
      <c r="M127" s="278" t="str">
        <f t="array" ref="M127">IFERROR(XLOOKUP(L127,'2. DATA NL, VTBB'!C:C,'2. DATA NL, VTBB'!D:D),"")</f>
        <v>Nắp HDPE cổ 43 (10gr) logo IDA màu trắng</v>
      </c>
      <c r="N127" s="280"/>
      <c r="O127" s="280" t="str">
        <f t="array" ref="O127">IFERROR( XLOOKUP(L127,'2. DATA NL, VTBB'!C:C,'2. DATA NL, VTBB'!E:E),"")</f>
        <v>Acodyl 35WP</v>
      </c>
      <c r="P127" s="275" t="s">
        <v>565</v>
      </c>
      <c r="Q127" s="311"/>
      <c r="R127" s="291" t="s">
        <v>573</v>
      </c>
      <c r="S127" s="280"/>
      <c r="T127" s="280"/>
      <c r="U127" s="277"/>
      <c r="V127" s="283">
        <v>5000.0</v>
      </c>
      <c r="W127" s="275" t="s">
        <v>699</v>
      </c>
      <c r="X127" s="283">
        <v>5000.0</v>
      </c>
      <c r="Y127" s="274">
        <v>5000.0</v>
      </c>
      <c r="Z127" s="279">
        <v>1000.0</v>
      </c>
      <c r="AA127" s="285">
        <v>0.08</v>
      </c>
      <c r="AB127" s="282">
        <v>5400000.0</v>
      </c>
      <c r="AC127" s="277"/>
      <c r="AD127" s="289">
        <v>46011.0</v>
      </c>
      <c r="AE127" s="272">
        <v>3938.0</v>
      </c>
      <c r="AF127" s="277"/>
      <c r="AG127" s="277"/>
      <c r="AH127" s="294">
        <f>IFERROR(__xludf.DUMMYFUNCTION("IFERROR(INDEX( SORT(FILTER(
        {'1. DATA CHUNG'!$J$4:$J$105 , '1. DATA CHUNG'!$L$4:$L$105}, (TRIM('1. DATA CHUNG'!$I$4:$I$105)=TRIM(K127)) * IF(COUNTIFS('1. DATA CHUNG'!$I$4:$I$105,K127,'1. DATA CHUNG'!$M$4:$M$105,Q127), '1. DATA CHUNG'!$M$4:$M$105=Q"&amp;"127, 1) * ('1. DATA CHUNG'!$L$4:$L$105&lt;=TODAY()) ),   2, 0),  1, 1), 
  IFERROR( INDEX(FILTER('1. DATA CHUNG'!$J$4:$J$105, (TRIM('1. DATA CHUNG'!$I$4:$I$105)=TRIM(K127)) * IF(COUNTIFS('1. DATA CHUNG'!$I$4:$I$105,K127,'1. DATA CHUNG'!$M$4:$M$105,Q127), '1."&amp;" DATA CHUNG'!$M$4:$M$105=Q127, 1) * ('1. DATA CHUNG'!$L$4:$L$105="""")), 1), ""Không tìm thấy"" ))"),7.0)</f>
        <v>7</v>
      </c>
      <c r="AI127" s="273">
        <f t="shared" si="2"/>
        <v>46018</v>
      </c>
      <c r="AJ127" s="287"/>
      <c r="AK127" s="286">
        <f t="shared" si="3"/>
        <v>0</v>
      </c>
      <c r="AL127" s="287">
        <f t="shared" si="4"/>
        <v>-1</v>
      </c>
      <c r="AM127" s="287">
        <f t="shared" si="5"/>
        <v>3</v>
      </c>
      <c r="AN127" s="279">
        <f t="shared" si="6"/>
        <v>6</v>
      </c>
      <c r="AO127" s="295" t="str">
        <f t="shared" si="7"/>
        <v>12/2025</v>
      </c>
      <c r="AP127" s="277" t="str">
        <f t="array" ref="AP127">IFERROR(XLOOKUP(L127,'2. DATA NL, VTBB'!C:C,'2. DATA NL, VTBB'!F:F),"")</f>
        <v>HH0017</v>
      </c>
      <c r="AQ127" s="277" t="str">
        <f t="array" ref="AQ127">IF(OR(K127="Nhãn", K127="Nhãn thùng",K127="Nhãn Túi"), K127 &amp; " " &amp; IFERROR(XLOOKUP(L127, '2. DATA NL, VTBB'!C:C, '2. DATA NL, VTBB'!E:E), ""), "")</f>
        <v/>
      </c>
      <c r="AR127" s="278" t="str">
        <f t="array" ref="AR127">IFERROR(XLOOKUP(L127,'2. DATA NL, VTBB'!C:C,'2. DATA NL, VTBB'!G:G),"")</f>
        <v>GC - I - 309 - Wettable Powder - 100gr - 100</v>
      </c>
      <c r="AS127" s="278" t="str">
        <f t="array" ref="AS127">IFERROR(XLOOKUP(L127,'2. DATA NL, VTBB'!C:C,'2. DATA NL, VTBB'!G:G),"")</f>
        <v>GC - I - 309 - Wettable Powder - 100gr - 100</v>
      </c>
      <c r="AT127" s="277"/>
    </row>
    <row r="128" ht="30.75" customHeight="1">
      <c r="A128" s="272">
        <f>ROW(A125)-2</f>
        <v>123</v>
      </c>
      <c r="B128" s="289">
        <v>46012.0</v>
      </c>
      <c r="C128" s="273">
        <v>46013.0</v>
      </c>
      <c r="D128" s="273">
        <f t="shared" si="30"/>
        <v>46015</v>
      </c>
      <c r="E128" s="289">
        <v>46015.0</v>
      </c>
      <c r="F128" s="274" t="s">
        <v>561</v>
      </c>
      <c r="G128" s="275" t="s">
        <v>562</v>
      </c>
      <c r="H128" s="274" t="s">
        <v>304</v>
      </c>
      <c r="I128" s="275" t="s">
        <v>726</v>
      </c>
      <c r="J128" s="279" t="s">
        <v>838</v>
      </c>
      <c r="K128" s="275" t="s">
        <v>728</v>
      </c>
      <c r="L128" s="277" t="s">
        <v>738</v>
      </c>
      <c r="M128" s="278" t="str">
        <f t="array" ref="M128">IFERROR(XLOOKUP(L128,'2. DATA NL, VTBB'!C:C,'2. DATA NL, VTBB'!D:D),"")</f>
        <v>Chai PET vuông cổ 35 450ml, 500ml (60g) trắng ASIA</v>
      </c>
      <c r="N128" s="280"/>
      <c r="O128" s="280" t="str">
        <f t="array" ref="O128">IFERROR( XLOOKUP(L128,'2. DATA NL, VTBB'!C:C,'2. DATA NL, VTBB'!E:E),"")</f>
        <v>AnnongManco 80WP</v>
      </c>
      <c r="P128" s="275" t="s">
        <v>565</v>
      </c>
      <c r="Q128" s="311"/>
      <c r="R128" s="291" t="s">
        <v>573</v>
      </c>
      <c r="S128" s="280"/>
      <c r="T128" s="280"/>
      <c r="U128" s="277"/>
      <c r="V128" s="283">
        <v>2000.0</v>
      </c>
      <c r="W128" s="275" t="s">
        <v>699</v>
      </c>
      <c r="X128" s="283">
        <v>2000.0</v>
      </c>
      <c r="Y128" s="274">
        <v>2080.0</v>
      </c>
      <c r="Z128" s="279">
        <v>2600.0</v>
      </c>
      <c r="AA128" s="285">
        <v>0.08</v>
      </c>
      <c r="AB128" s="282">
        <v>5840640.0</v>
      </c>
      <c r="AC128" s="277"/>
      <c r="AD128" s="289">
        <v>46012.0</v>
      </c>
      <c r="AE128" s="272">
        <v>2420.0</v>
      </c>
      <c r="AF128" s="277"/>
      <c r="AG128" s="277"/>
      <c r="AH128" s="294">
        <f>IFERROR(__xludf.DUMMYFUNCTION("IFERROR(INDEX( SORT(FILTER(
        {'1. DATA CHUNG'!$J$4:$J$105 , '1. DATA CHUNG'!$L$4:$L$105}, (TRIM('1. DATA CHUNG'!$I$4:$I$105)=TRIM(K128)) * IF(COUNTIFS('1. DATA CHUNG'!$I$4:$I$105,K128,'1. DATA CHUNG'!$M$4:$M$105,Q128), '1. DATA CHUNG'!$M$4:$M$105=Q"&amp;"128, 1) * ('1. DATA CHUNG'!$L$4:$L$105&lt;=TODAY()) ),   2, 0),  1, 1), 
  IFERROR( INDEX(FILTER('1. DATA CHUNG'!$J$4:$J$105, (TRIM('1. DATA CHUNG'!$I$4:$I$105)=TRIM(K128)) * IF(COUNTIFS('1. DATA CHUNG'!$I$4:$I$105,K128,'1. DATA CHUNG'!$M$4:$M$105,Q128), '1."&amp;" DATA CHUNG'!$M$4:$M$105=Q128, 1) * ('1. DATA CHUNG'!$L$4:$L$105="""")), 1), ""Không tìm thấy"" ))"),7.0)</f>
        <v>7</v>
      </c>
      <c r="AI128" s="273">
        <f t="shared" si="2"/>
        <v>46019</v>
      </c>
      <c r="AJ128" s="287"/>
      <c r="AK128" s="286">
        <f t="shared" si="3"/>
        <v>0</v>
      </c>
      <c r="AL128" s="287">
        <f t="shared" si="4"/>
        <v>0</v>
      </c>
      <c r="AM128" s="287">
        <f t="shared" si="5"/>
        <v>4</v>
      </c>
      <c r="AN128" s="279">
        <f t="shared" si="6"/>
        <v>6</v>
      </c>
      <c r="AO128" s="295" t="str">
        <f t="shared" si="7"/>
        <v>12/2025</v>
      </c>
      <c r="AP128" s="277" t="str">
        <f t="array" ref="AP128">IFERROR(XLOOKUP(L128,'2. DATA NL, VTBB'!C:C,'2. DATA NL, VTBB'!F:F),"")</f>
        <v>HH0006</v>
      </c>
      <c r="AQ128" s="277" t="str">
        <f t="array" ref="AQ128">IF(OR(K128="Nhãn", K128="Nhãn thùng",K128="Nhãn Túi"), K128 &amp; " " &amp; IFERROR(XLOOKUP(L128, '2. DATA NL, VTBB'!C:C, '2. DATA NL, VTBB'!E:E), ""), "")</f>
        <v/>
      </c>
      <c r="AR128" s="278" t="str">
        <f t="array" ref="AR128">IFERROR(XLOOKUP(L128,'2. DATA NL, VTBB'!C:C,'2. DATA NL, VTBB'!G:G),"")</f>
        <v>GC - I - 207 - Mancozeb Xanh - Xanh Cam - 1kg - 20</v>
      </c>
      <c r="AS128" s="278" t="str">
        <f t="array" ref="AS128">IFERROR(XLOOKUP(L128,'2. DATA NL, VTBB'!C:C,'2. DATA NL, VTBB'!G:G),"")</f>
        <v>GC - I - 207 - Mancozeb Xanh - Xanh Cam - 1kg - 20</v>
      </c>
      <c r="AT128" s="277"/>
    </row>
    <row r="129" ht="30.75" customHeight="1">
      <c r="A129" s="272">
        <f t="shared" ref="A129:A136" si="31">ROW(A128)-2</f>
        <v>126</v>
      </c>
      <c r="B129" s="289">
        <v>46012.0</v>
      </c>
      <c r="C129" s="273">
        <v>46013.0</v>
      </c>
      <c r="D129" s="273">
        <f t="shared" si="30"/>
        <v>46015</v>
      </c>
      <c r="E129" s="289">
        <v>46015.0</v>
      </c>
      <c r="F129" s="274" t="s">
        <v>561</v>
      </c>
      <c r="G129" s="275" t="s">
        <v>562</v>
      </c>
      <c r="H129" s="274" t="s">
        <v>304</v>
      </c>
      <c r="I129" s="275" t="s">
        <v>726</v>
      </c>
      <c r="J129" s="279" t="s">
        <v>838</v>
      </c>
      <c r="K129" s="275" t="s">
        <v>730</v>
      </c>
      <c r="L129" s="277" t="s">
        <v>736</v>
      </c>
      <c r="M129" s="278" t="str">
        <f t="array" ref="M129">IFERROR(XLOOKUP(L129,'2. DATA NL, VTBB'!C:C,'2. DATA NL, VTBB'!D:D),"")</f>
        <v>Nắp PET cổ 35 (4.3g) đỏ</v>
      </c>
      <c r="N129" s="280"/>
      <c r="O129" s="280" t="str">
        <f t="array" ref="O129">IFERROR( XLOOKUP(L129,'2. DATA NL, VTBB'!C:C,'2. DATA NL, VTBB'!E:E),"")</f>
        <v>Vi lượng AV4</v>
      </c>
      <c r="P129" s="275" t="s">
        <v>565</v>
      </c>
      <c r="Q129" s="311"/>
      <c r="R129" s="291" t="s">
        <v>573</v>
      </c>
      <c r="S129" s="280"/>
      <c r="T129" s="280"/>
      <c r="U129" s="277"/>
      <c r="V129" s="283">
        <v>2000.0</v>
      </c>
      <c r="W129" s="275" t="s">
        <v>699</v>
      </c>
      <c r="X129" s="283">
        <v>2000.0</v>
      </c>
      <c r="Y129" s="274">
        <v>2080.0</v>
      </c>
      <c r="Z129" s="279">
        <v>600.0</v>
      </c>
      <c r="AA129" s="285">
        <v>0.08</v>
      </c>
      <c r="AB129" s="282">
        <v>1347840.0</v>
      </c>
      <c r="AC129" s="277"/>
      <c r="AD129" s="289">
        <v>46012.0</v>
      </c>
      <c r="AE129" s="272">
        <v>2420.0</v>
      </c>
      <c r="AF129" s="277"/>
      <c r="AG129" s="277"/>
      <c r="AH129" s="294">
        <f>IFERROR(__xludf.DUMMYFUNCTION("IFERROR(INDEX( SORT(FILTER(
        {'1. DATA CHUNG'!$J$4:$J$105 , '1. DATA CHUNG'!$L$4:$L$105}, (TRIM('1. DATA CHUNG'!$I$4:$I$105)=TRIM(K129)) * IF(COUNTIFS('1. DATA CHUNG'!$I$4:$I$105,K129,'1. DATA CHUNG'!$M$4:$M$105,Q129), '1. DATA CHUNG'!$M$4:$M$105=Q"&amp;"129, 1) * ('1. DATA CHUNG'!$L$4:$L$105&lt;=TODAY()) ),   2, 0),  1, 1), 
  IFERROR( INDEX(FILTER('1. DATA CHUNG'!$J$4:$J$105, (TRIM('1. DATA CHUNG'!$I$4:$I$105)=TRIM(K129)) * IF(COUNTIFS('1. DATA CHUNG'!$I$4:$I$105,K129,'1. DATA CHUNG'!$M$4:$M$105,Q129), '1."&amp;" DATA CHUNG'!$M$4:$M$105=Q129, 1) * ('1. DATA CHUNG'!$L$4:$L$105="""")), 1), ""Không tìm thấy"" ))"),7.0)</f>
        <v>7</v>
      </c>
      <c r="AI129" s="273">
        <f t="shared" si="2"/>
        <v>46019</v>
      </c>
      <c r="AJ129" s="287"/>
      <c r="AK129" s="286">
        <f t="shared" si="3"/>
        <v>0</v>
      </c>
      <c r="AL129" s="287">
        <f t="shared" si="4"/>
        <v>0</v>
      </c>
      <c r="AM129" s="287">
        <f t="shared" si="5"/>
        <v>4</v>
      </c>
      <c r="AN129" s="279">
        <f t="shared" si="6"/>
        <v>6</v>
      </c>
      <c r="AO129" s="295" t="str">
        <f t="shared" si="7"/>
        <v>12/2025</v>
      </c>
      <c r="AP129" s="277" t="str">
        <f t="array" ref="AP129">IFERROR(XLOOKUP(L129,'2. DATA NL, VTBB'!C:C,'2. DATA NL, VTBB'!F:F),"")</f>
        <v>HH0002</v>
      </c>
      <c r="AQ129" s="277" t="str">
        <f t="array" ref="AQ129">IF(OR(K129="Nhãn", K129="Nhãn thùng",K129="Nhãn Túi"), K129 &amp; " " &amp; IFERROR(XLOOKUP(L129, '2. DATA NL, VTBB'!C:C, '2. DATA NL, VTBB'!E:E), ""), "")</f>
        <v/>
      </c>
      <c r="AR129" s="278" t="str">
        <f t="array" ref="AR129">IFERROR(XLOOKUP(L129,'2. DATA NL, VTBB'!C:C,'2. DATA NL, VTBB'!G:G),"")</f>
        <v>GC - II - 24 - Aqua Gold ra bông xoài 1kg -25</v>
      </c>
      <c r="AS129" s="278" t="str">
        <f t="array" ref="AS129">IFERROR(XLOOKUP(L129,'2. DATA NL, VTBB'!C:C,'2. DATA NL, VTBB'!G:G),"")</f>
        <v>GC - II - 24 - Aqua Gold ra bông xoài 1kg -25</v>
      </c>
      <c r="AT129" s="277"/>
    </row>
    <row r="130" ht="30.75" customHeight="1">
      <c r="A130" s="272">
        <f t="shared" si="31"/>
        <v>127</v>
      </c>
      <c r="B130" s="289">
        <v>46012.0</v>
      </c>
      <c r="C130" s="273">
        <v>46013.0</v>
      </c>
      <c r="D130" s="273">
        <f t="shared" si="30"/>
        <v>46015</v>
      </c>
      <c r="E130" s="289">
        <v>46015.0</v>
      </c>
      <c r="F130" s="274" t="s">
        <v>561</v>
      </c>
      <c r="G130" s="275" t="s">
        <v>580</v>
      </c>
      <c r="H130" s="274" t="s">
        <v>304</v>
      </c>
      <c r="I130" s="275" t="s">
        <v>726</v>
      </c>
      <c r="J130" s="279" t="s">
        <v>839</v>
      </c>
      <c r="K130" s="275" t="s">
        <v>728</v>
      </c>
      <c r="L130" s="277" t="s">
        <v>778</v>
      </c>
      <c r="M130" s="278" t="str">
        <f t="array" ref="M130">IFERROR(XLOOKUP(L130,'2. DATA NL, VTBB'!C:C,'2. DATA NL, VTBB'!D:D),"")</f>
        <v>Chai PET tròn cổ 44 500ml (45g) Trắng</v>
      </c>
      <c r="N130" s="280"/>
      <c r="O130" s="280" t="str">
        <f t="array" ref="O130">IFERROR( XLOOKUP(L130,'2. DATA NL, VTBB'!C:C,'2. DATA NL, VTBB'!E:E),"")</f>
        <v>Chitin 3.6EC</v>
      </c>
      <c r="P130" s="275" t="s">
        <v>565</v>
      </c>
      <c r="Q130" s="311"/>
      <c r="R130" s="291" t="s">
        <v>573</v>
      </c>
      <c r="S130" s="280"/>
      <c r="T130" s="280"/>
      <c r="U130" s="277"/>
      <c r="V130" s="283">
        <v>7000.0</v>
      </c>
      <c r="W130" s="275" t="s">
        <v>699</v>
      </c>
      <c r="X130" s="283">
        <v>7000.0</v>
      </c>
      <c r="Y130" s="274">
        <v>7056.0</v>
      </c>
      <c r="Z130" s="287">
        <v>1900.0</v>
      </c>
      <c r="AA130" s="285">
        <v>0.08</v>
      </c>
      <c r="AB130" s="282">
        <v>1.4478912E7</v>
      </c>
      <c r="AC130" s="277"/>
      <c r="AD130" s="289">
        <v>46012.0</v>
      </c>
      <c r="AE130" s="272">
        <v>2421.0</v>
      </c>
      <c r="AF130" s="277"/>
      <c r="AG130" s="277"/>
      <c r="AH130" s="294">
        <f>IFERROR(__xludf.DUMMYFUNCTION("IFERROR(INDEX( SORT(FILTER(
        {'1. DATA CHUNG'!$J$4:$J$105 , '1. DATA CHUNG'!$L$4:$L$105}, (TRIM('1. DATA CHUNG'!$I$4:$I$105)=TRIM(K130)) * IF(COUNTIFS('1. DATA CHUNG'!$I$4:$I$105,K130,'1. DATA CHUNG'!$M$4:$M$105,Q130), '1. DATA CHUNG'!$M$4:$M$105=Q"&amp;"130, 1) * ('1. DATA CHUNG'!$L$4:$L$105&lt;=TODAY()) ),   2, 0),  1, 1), 
  IFERROR( INDEX(FILTER('1. DATA CHUNG'!$J$4:$J$105, (TRIM('1. DATA CHUNG'!$I$4:$I$105)=TRIM(K130)) * IF(COUNTIFS('1. DATA CHUNG'!$I$4:$I$105,K130,'1. DATA CHUNG'!$M$4:$M$105,Q130), '1."&amp;" DATA CHUNG'!$M$4:$M$105=Q130, 1) * ('1. DATA CHUNG'!$L$4:$L$105="""")), 1), ""Không tìm thấy"" ))"),7.0)</f>
        <v>7</v>
      </c>
      <c r="AI130" s="273">
        <f t="shared" si="2"/>
        <v>46019</v>
      </c>
      <c r="AJ130" s="287"/>
      <c r="AK130" s="286">
        <f t="shared" si="3"/>
        <v>0</v>
      </c>
      <c r="AL130" s="287">
        <f t="shared" si="4"/>
        <v>0</v>
      </c>
      <c r="AM130" s="287">
        <f t="shared" si="5"/>
        <v>4</v>
      </c>
      <c r="AN130" s="279">
        <f t="shared" si="6"/>
        <v>6</v>
      </c>
      <c r="AO130" s="295" t="str">
        <f t="shared" si="7"/>
        <v>12/2025</v>
      </c>
      <c r="AP130" s="277" t="str">
        <f t="array" ref="AP130">IFERROR(XLOOKUP(L130,'2. DATA NL, VTBB'!C:C,'2. DATA NL, VTBB'!F:F),"")</f>
        <v>HH0234</v>
      </c>
      <c r="AQ130" s="277" t="str">
        <f t="array" ref="AQ130">IF(OR(K130="Nhãn", K130="Nhãn thùng",K130="Nhãn Túi"), K130 &amp; " " &amp; IFERROR(XLOOKUP(L130, '2. DATA NL, VTBB'!C:C, '2. DATA NL, VTBB'!E:E), ""), "")</f>
        <v/>
      </c>
      <c r="AR130" s="278" t="str">
        <f t="array" ref="AR130">IFERROR(XLOOKUP(L130,'2. DATA NL, VTBB'!C:C,'2. DATA NL, VTBB'!G:G),"")</f>
        <v>LOT IDA Global - I - 875 - ĐL Bảo Tại - Avermectin 36 (Pet tròn) (nắp đỏ)(nước nâu đen) - 450ml - 40</v>
      </c>
      <c r="AS130" s="278" t="str">
        <f t="array" ref="AS130">IFERROR(XLOOKUP(L130,'2. DATA NL, VTBB'!C:C,'2. DATA NL, VTBB'!G:G),"")</f>
        <v>LOT IDA Global - I - 875 - ĐL Bảo Tại - Avermectin 36 (Pet tròn) (nắp đỏ)(nước nâu đen) - 450ml - 40</v>
      </c>
      <c r="AT130" s="277"/>
    </row>
    <row r="131" ht="30.75" customHeight="1">
      <c r="A131" s="272">
        <f t="shared" si="31"/>
        <v>128</v>
      </c>
      <c r="B131" s="289">
        <v>46012.0</v>
      </c>
      <c r="C131" s="273">
        <v>46013.0</v>
      </c>
      <c r="D131" s="273">
        <f t="shared" si="30"/>
        <v>46015</v>
      </c>
      <c r="E131" s="289">
        <v>46015.0</v>
      </c>
      <c r="F131" s="274" t="s">
        <v>561</v>
      </c>
      <c r="G131" s="275" t="s">
        <v>580</v>
      </c>
      <c r="H131" s="274" t="s">
        <v>304</v>
      </c>
      <c r="I131" s="275" t="s">
        <v>726</v>
      </c>
      <c r="J131" s="279" t="s">
        <v>839</v>
      </c>
      <c r="K131" s="275" t="s">
        <v>730</v>
      </c>
      <c r="L131" s="277" t="s">
        <v>780</v>
      </c>
      <c r="M131" s="278" t="str">
        <f t="array" ref="M131">IFERROR(XLOOKUP(L131,'2. DATA NL, VTBB'!C:C,'2. DATA NL, VTBB'!D:D),"")</f>
        <v>Nắp PET cổ 44 (9g) Đỏ</v>
      </c>
      <c r="N131" s="280"/>
      <c r="O131" s="280" t="str">
        <f t="array" ref="O131">IFERROR( XLOOKUP(L131,'2. DATA NL, VTBB'!C:C,'2. DATA NL, VTBB'!E:E),"")</f>
        <v>Chitin 3.6EC</v>
      </c>
      <c r="P131" s="275" t="s">
        <v>565</v>
      </c>
      <c r="Q131" s="311"/>
      <c r="R131" s="291" t="s">
        <v>573</v>
      </c>
      <c r="S131" s="280"/>
      <c r="T131" s="280"/>
      <c r="U131" s="277"/>
      <c r="V131" s="283">
        <v>7000.0</v>
      </c>
      <c r="W131" s="275" t="s">
        <v>699</v>
      </c>
      <c r="X131" s="283">
        <v>7000.0</v>
      </c>
      <c r="Y131" s="274">
        <v>7056.0</v>
      </c>
      <c r="Z131" s="279">
        <v>900.0</v>
      </c>
      <c r="AA131" s="285">
        <v>0.08</v>
      </c>
      <c r="AB131" s="282">
        <v>6858432.0</v>
      </c>
      <c r="AC131" s="277"/>
      <c r="AD131" s="289">
        <v>46012.0</v>
      </c>
      <c r="AE131" s="272">
        <v>2421.0</v>
      </c>
      <c r="AF131" s="277"/>
      <c r="AG131" s="277"/>
      <c r="AH131" s="294">
        <f>IFERROR(__xludf.DUMMYFUNCTION("IFERROR(INDEX( SORT(FILTER(
        {'1. DATA CHUNG'!$J$4:$J$105 , '1. DATA CHUNG'!$L$4:$L$105}, (TRIM('1. DATA CHUNG'!$I$4:$I$105)=TRIM(K131)) * IF(COUNTIFS('1. DATA CHUNG'!$I$4:$I$105,K131,'1. DATA CHUNG'!$M$4:$M$105,Q131), '1. DATA CHUNG'!$M$4:$M$105=Q"&amp;"131, 1) * ('1. DATA CHUNG'!$L$4:$L$105&lt;=TODAY()) ),   2, 0),  1, 1), 
  IFERROR( INDEX(FILTER('1. DATA CHUNG'!$J$4:$J$105, (TRIM('1. DATA CHUNG'!$I$4:$I$105)=TRIM(K131)) * IF(COUNTIFS('1. DATA CHUNG'!$I$4:$I$105,K131,'1. DATA CHUNG'!$M$4:$M$105,Q131), '1."&amp;" DATA CHUNG'!$M$4:$M$105=Q131, 1) * ('1. DATA CHUNG'!$L$4:$L$105="""")), 1), ""Không tìm thấy"" ))"),7.0)</f>
        <v>7</v>
      </c>
      <c r="AI131" s="273">
        <f t="shared" si="2"/>
        <v>46019</v>
      </c>
      <c r="AJ131" s="287"/>
      <c r="AK131" s="286">
        <f t="shared" si="3"/>
        <v>0</v>
      </c>
      <c r="AL131" s="287">
        <f t="shared" si="4"/>
        <v>0</v>
      </c>
      <c r="AM131" s="287">
        <f t="shared" si="5"/>
        <v>4</v>
      </c>
      <c r="AN131" s="279">
        <f t="shared" si="6"/>
        <v>6</v>
      </c>
      <c r="AO131" s="295" t="str">
        <f t="shared" si="7"/>
        <v>12/2025</v>
      </c>
      <c r="AP131" s="277" t="str">
        <f t="array" ref="AP131">IFERROR(XLOOKUP(L131,'2. DATA NL, VTBB'!C:C,'2. DATA NL, VTBB'!F:F),"")</f>
        <v>HH0156</v>
      </c>
      <c r="AQ131" s="277" t="str">
        <f t="array" ref="AQ131">IF(OR(K131="Nhãn", K131="Nhãn thùng",K131="Nhãn Túi"), K131 &amp; " " &amp; IFERROR(XLOOKUP(L131, '2. DATA NL, VTBB'!C:C, '2. DATA NL, VTBB'!E:E), ""), "")</f>
        <v/>
      </c>
      <c r="AR131" s="278" t="str">
        <f t="array" ref="AR131">IFERROR(XLOOKUP(L131,'2. DATA NL, VTBB'!C:C,'2. DATA NL, VTBB'!G:G),"")</f>
        <v>LOT IDA Global - I - 875 - ĐL Bảo Tại - Avermectin 36 (Pet tròn) (nắp đỏ)(nước nâu đen) - 450ml - 40</v>
      </c>
      <c r="AS131" s="278" t="str">
        <f t="array" ref="AS131">IFERROR(XLOOKUP(L131,'2. DATA NL, VTBB'!C:C,'2. DATA NL, VTBB'!G:G),"")</f>
        <v>LOT IDA Global - I - 875 - ĐL Bảo Tại - Avermectin 36 (Pet tròn) (nắp đỏ)(nước nâu đen) - 450ml - 40</v>
      </c>
      <c r="AT131" s="277"/>
    </row>
    <row r="132" ht="30.75" customHeight="1">
      <c r="A132" s="272">
        <f t="shared" si="31"/>
        <v>129</v>
      </c>
      <c r="B132" s="289">
        <v>46012.0</v>
      </c>
      <c r="C132" s="273">
        <v>46013.0</v>
      </c>
      <c r="D132" s="273">
        <f t="shared" si="30"/>
        <v>46015</v>
      </c>
      <c r="E132" s="289">
        <v>46015.0</v>
      </c>
      <c r="F132" s="274" t="s">
        <v>561</v>
      </c>
      <c r="G132" s="275" t="s">
        <v>562</v>
      </c>
      <c r="H132" s="274" t="s">
        <v>304</v>
      </c>
      <c r="I132" s="275" t="s">
        <v>726</v>
      </c>
      <c r="J132" s="279" t="s">
        <v>840</v>
      </c>
      <c r="K132" s="275" t="s">
        <v>728</v>
      </c>
      <c r="L132" s="277" t="s">
        <v>729</v>
      </c>
      <c r="M132" s="278" t="str">
        <f t="array" ref="M132">IFERROR(XLOOKUP(L132,'2. DATA NL, VTBB'!C:C,'2. DATA NL, VTBB'!D:D),"")</f>
        <v>Chai HDPE tròn cổ 49 500ml (65gr) - trắng - Nắp trắng, có cốc đong</v>
      </c>
      <c r="N132" s="280"/>
      <c r="O132" s="280" t="str">
        <f t="array" ref="O132">IFERROR( XLOOKUP(L132,'2. DATA NL, VTBB'!C:C,'2. DATA NL, VTBB'!E:E),"")</f>
        <v>TVZEB 800WP</v>
      </c>
      <c r="P132" s="275" t="s">
        <v>565</v>
      </c>
      <c r="Q132" s="311"/>
      <c r="R132" s="290" t="s">
        <v>566</v>
      </c>
      <c r="S132" s="280"/>
      <c r="T132" s="280"/>
      <c r="U132" s="277"/>
      <c r="V132" s="283">
        <v>2000.0</v>
      </c>
      <c r="W132" s="275" t="s">
        <v>699</v>
      </c>
      <c r="X132" s="283">
        <v>2000.0</v>
      </c>
      <c r="Y132" s="274">
        <v>2016.0</v>
      </c>
      <c r="Z132" s="287">
        <v>2800.0</v>
      </c>
      <c r="AA132" s="285">
        <v>0.08</v>
      </c>
      <c r="AB132" s="282">
        <v>6096384.0</v>
      </c>
      <c r="AC132" s="277"/>
      <c r="AD132" s="289">
        <v>46012.0</v>
      </c>
      <c r="AE132" s="272">
        <v>2419.0</v>
      </c>
      <c r="AF132" s="277"/>
      <c r="AG132" s="277"/>
      <c r="AH132" s="294">
        <f>IFERROR(__xludf.DUMMYFUNCTION("IFERROR(INDEX( SORT(FILTER(
        {'1. DATA CHUNG'!$J$4:$J$105 , '1. DATA CHUNG'!$L$4:$L$105}, (TRIM('1. DATA CHUNG'!$I$4:$I$105)=TRIM(K132)) * IF(COUNTIFS('1. DATA CHUNG'!$I$4:$I$105,K132,'1. DATA CHUNG'!$M$4:$M$105,Q132), '1. DATA CHUNG'!$M$4:$M$105=Q"&amp;"132, 1) * ('1. DATA CHUNG'!$L$4:$L$105&lt;=TODAY()) ),   2, 0),  1, 1), 
  IFERROR( INDEX(FILTER('1. DATA CHUNG'!$J$4:$J$105, (TRIM('1. DATA CHUNG'!$I$4:$I$105)=TRIM(K132)) * IF(COUNTIFS('1. DATA CHUNG'!$I$4:$I$105,K132,'1. DATA CHUNG'!$M$4:$M$105,Q132), '1."&amp;" DATA CHUNG'!$M$4:$M$105=Q132, 1) * ('1. DATA CHUNG'!$L$4:$L$105="""")), 1), ""Không tìm thấy"" ))"),7.0)</f>
        <v>7</v>
      </c>
      <c r="AI132" s="273">
        <f t="shared" si="2"/>
        <v>46019</v>
      </c>
      <c r="AJ132" s="287"/>
      <c r="AK132" s="286">
        <f t="shared" si="3"/>
        <v>0</v>
      </c>
      <c r="AL132" s="287">
        <f t="shared" si="4"/>
        <v>0</v>
      </c>
      <c r="AM132" s="287">
        <f t="shared" si="5"/>
        <v>4</v>
      </c>
      <c r="AN132" s="279">
        <f t="shared" si="6"/>
        <v>6</v>
      </c>
      <c r="AO132" s="295" t="str">
        <f t="shared" si="7"/>
        <v>12/2025</v>
      </c>
      <c r="AP132" s="277" t="str">
        <f t="array" ref="AP132">IFERROR(XLOOKUP(L132,'2. DATA NL, VTBB'!C:C,'2. DATA NL, VTBB'!F:F),"")</f>
        <v>HH0058</v>
      </c>
      <c r="AQ132" s="277" t="str">
        <f t="array" ref="AQ132">IF(OR(K132="Nhãn", K132="Nhãn thùng",K132="Nhãn Túi"), K132 &amp; " " &amp; IFERROR(XLOOKUP(L132, '2. DATA NL, VTBB'!C:C, '2. DATA NL, VTBB'!E:E), ""), "")</f>
        <v/>
      </c>
      <c r="AR132" s="278" t="str">
        <f t="array" ref="AR132">IFERROR(XLOOKUP(L132,'2. DATA NL, VTBB'!C:C,'2. DATA NL, VTBB'!G:G),"")</f>
        <v>LOT IDA Global - I - 492 - Mancozeb xanh - 1 kg - 20</v>
      </c>
      <c r="AS132" s="278" t="str">
        <f t="array" ref="AS132">IFERROR(XLOOKUP(L132,'2. DATA NL, VTBB'!C:C,'2. DATA NL, VTBB'!G:G),"")</f>
        <v>LOT IDA Global - I - 492 - Mancozeb xanh - 1 kg - 20</v>
      </c>
      <c r="AT132" s="277"/>
    </row>
    <row r="133" ht="30.75" customHeight="1">
      <c r="A133" s="272">
        <f t="shared" si="31"/>
        <v>130</v>
      </c>
      <c r="B133" s="289">
        <v>46012.0</v>
      </c>
      <c r="C133" s="273">
        <v>46013.0</v>
      </c>
      <c r="D133" s="273">
        <f t="shared" si="30"/>
        <v>46015</v>
      </c>
      <c r="E133" s="289">
        <v>46015.0</v>
      </c>
      <c r="F133" s="274" t="s">
        <v>561</v>
      </c>
      <c r="G133" s="275" t="s">
        <v>562</v>
      </c>
      <c r="H133" s="274" t="s">
        <v>304</v>
      </c>
      <c r="I133" s="275" t="s">
        <v>726</v>
      </c>
      <c r="J133" s="279" t="s">
        <v>840</v>
      </c>
      <c r="K133" s="275" t="s">
        <v>730</v>
      </c>
      <c r="L133" s="277" t="s">
        <v>731</v>
      </c>
      <c r="M133" s="278" t="str">
        <f t="array" ref="M133">IFERROR(XLOOKUP(L133,'2. DATA NL, VTBB'!C:C,'2. DATA NL, VTBB'!D:D),"")</f>
        <v>Nắp HDPE cổ 49 (7.5gr)  có gurantee  - Trắng</v>
      </c>
      <c r="N133" s="280"/>
      <c r="O133" s="280" t="str">
        <f t="array" ref="O133">IFERROR( XLOOKUP(L133,'2. DATA NL, VTBB'!C:C,'2. DATA NL, VTBB'!E:E),"")</f>
        <v>Chitin 3.6EC</v>
      </c>
      <c r="P133" s="275" t="s">
        <v>565</v>
      </c>
      <c r="Q133" s="311"/>
      <c r="R133" s="290" t="s">
        <v>566</v>
      </c>
      <c r="S133" s="280"/>
      <c r="T133" s="280"/>
      <c r="U133" s="277"/>
      <c r="V133" s="283">
        <v>2000.0</v>
      </c>
      <c r="W133" s="275" t="s">
        <v>699</v>
      </c>
      <c r="X133" s="283">
        <v>2000.0</v>
      </c>
      <c r="Y133" s="274">
        <v>2016.0</v>
      </c>
      <c r="Z133" s="287">
        <v>900.0</v>
      </c>
      <c r="AA133" s="285">
        <v>0.08</v>
      </c>
      <c r="AB133" s="282">
        <v>1959552.0</v>
      </c>
      <c r="AC133" s="277"/>
      <c r="AD133" s="289">
        <v>46012.0</v>
      </c>
      <c r="AE133" s="272">
        <v>2419.0</v>
      </c>
      <c r="AF133" s="277"/>
      <c r="AG133" s="277"/>
      <c r="AH133" s="294">
        <f>IFERROR(__xludf.DUMMYFUNCTION("IFERROR(INDEX( SORT(FILTER(
        {'1. DATA CHUNG'!$J$4:$J$105 , '1. DATA CHUNG'!$L$4:$L$105}, (TRIM('1. DATA CHUNG'!$I$4:$I$105)=TRIM(K133)) * IF(COUNTIFS('1. DATA CHUNG'!$I$4:$I$105,K133,'1. DATA CHUNG'!$M$4:$M$105,Q133), '1. DATA CHUNG'!$M$4:$M$105=Q"&amp;"133, 1) * ('1. DATA CHUNG'!$L$4:$L$105&lt;=TODAY()) ),   2, 0),  1, 1), 
  IFERROR( INDEX(FILTER('1. DATA CHUNG'!$J$4:$J$105, (TRIM('1. DATA CHUNG'!$I$4:$I$105)=TRIM(K133)) * IF(COUNTIFS('1. DATA CHUNG'!$I$4:$I$105,K133,'1. DATA CHUNG'!$M$4:$M$105,Q133), '1."&amp;" DATA CHUNG'!$M$4:$M$105=Q133, 1) * ('1. DATA CHUNG'!$L$4:$L$105="""")), 1), ""Không tìm thấy"" ))"),7.0)</f>
        <v>7</v>
      </c>
      <c r="AI133" s="273">
        <f t="shared" si="2"/>
        <v>46019</v>
      </c>
      <c r="AJ133" s="287"/>
      <c r="AK133" s="286">
        <f t="shared" si="3"/>
        <v>0</v>
      </c>
      <c r="AL133" s="287">
        <f t="shared" si="4"/>
        <v>0</v>
      </c>
      <c r="AM133" s="287">
        <f t="shared" si="5"/>
        <v>4</v>
      </c>
      <c r="AN133" s="279">
        <f t="shared" si="6"/>
        <v>6</v>
      </c>
      <c r="AO133" s="295" t="str">
        <f t="shared" si="7"/>
        <v>12/2025</v>
      </c>
      <c r="AP133" s="277" t="str">
        <f t="array" ref="AP133">IFERROR(XLOOKUP(L133,'2. DATA NL, VTBB'!C:C,'2. DATA NL, VTBB'!F:F),"")</f>
        <v>HH0144</v>
      </c>
      <c r="AQ133" s="277" t="str">
        <f t="array" ref="AQ133">IF(OR(K133="Nhãn", K133="Nhãn thùng",K133="Nhãn Túi"), K133 &amp; " " &amp; IFERROR(XLOOKUP(L133, '2. DATA NL, VTBB'!C:C, '2. DATA NL, VTBB'!E:E), ""), "")</f>
        <v/>
      </c>
      <c r="AR133" s="278" t="str">
        <f t="array" ref="AR133">IFERROR(XLOOKUP(L133,'2. DATA NL, VTBB'!C:C,'2. DATA NL, VTBB'!G:G),"")</f>
        <v>GC - IV - 862 - Agritech - Agritech Abamectin 36 (Chai Vuông) (Nước nâu đen) - 450ml - 40</v>
      </c>
      <c r="AS133" s="278" t="str">
        <f t="array" ref="AS133">IFERROR(XLOOKUP(L133,'2. DATA NL, VTBB'!C:C,'2. DATA NL, VTBB'!G:G),"")</f>
        <v>GC - IV - 862 - Agritech - Agritech Abamectin 36 (Chai Vuông) (Nước nâu đen) - 450ml - 40</v>
      </c>
      <c r="AT133" s="277"/>
    </row>
    <row r="134" ht="30.75" customHeight="1">
      <c r="A134" s="272">
        <f t="shared" si="31"/>
        <v>131</v>
      </c>
      <c r="B134" s="289">
        <v>46012.0</v>
      </c>
      <c r="C134" s="273">
        <v>46013.0</v>
      </c>
      <c r="D134" s="273">
        <f t="shared" si="30"/>
        <v>46015</v>
      </c>
      <c r="E134" s="289">
        <v>46015.0</v>
      </c>
      <c r="F134" s="274" t="s">
        <v>561</v>
      </c>
      <c r="G134" s="275" t="s">
        <v>562</v>
      </c>
      <c r="H134" s="274" t="s">
        <v>304</v>
      </c>
      <c r="I134" s="275" t="s">
        <v>726</v>
      </c>
      <c r="J134" s="279" t="s">
        <v>840</v>
      </c>
      <c r="K134" s="275" t="s">
        <v>732</v>
      </c>
      <c r="L134" s="277" t="s">
        <v>733</v>
      </c>
      <c r="M134" s="278" t="str">
        <f t="array" ref="M134">IFERROR(XLOOKUP(L134,'2. DATA NL, VTBB'!C:C,'2. DATA NL, VTBB'!D:D),"")</f>
        <v>Cốc đong cổ 49 50ml - Trắng trong</v>
      </c>
      <c r="N134" s="280"/>
      <c r="O134" s="280" t="str">
        <f t="array" ref="O134">IFERROR( XLOOKUP(L134,'2. DATA NL, VTBB'!C:C,'2. DATA NL, VTBB'!E:E),"")</f>
        <v>PICOSUPER 280SC</v>
      </c>
      <c r="P134" s="275" t="s">
        <v>565</v>
      </c>
      <c r="Q134" s="311"/>
      <c r="R134" s="290" t="s">
        <v>566</v>
      </c>
      <c r="S134" s="280"/>
      <c r="T134" s="280"/>
      <c r="U134" s="277"/>
      <c r="V134" s="283">
        <v>2000.0</v>
      </c>
      <c r="W134" s="275" t="s">
        <v>699</v>
      </c>
      <c r="X134" s="283">
        <v>2000.0</v>
      </c>
      <c r="Y134" s="274">
        <v>2016.0</v>
      </c>
      <c r="Z134" s="287">
        <v>600.0</v>
      </c>
      <c r="AA134" s="285">
        <v>0.08</v>
      </c>
      <c r="AB134" s="282">
        <v>1306368.0</v>
      </c>
      <c r="AC134" s="277"/>
      <c r="AD134" s="289">
        <v>46012.0</v>
      </c>
      <c r="AE134" s="272">
        <v>2419.0</v>
      </c>
      <c r="AF134" s="277"/>
      <c r="AG134" s="277"/>
      <c r="AH134" s="294">
        <f>IFERROR(__xludf.DUMMYFUNCTION("IFERROR(INDEX( SORT(FILTER(
        {'1. DATA CHUNG'!$J$4:$J$105 , '1. DATA CHUNG'!$L$4:$L$105}, (TRIM('1. DATA CHUNG'!$I$4:$I$105)=TRIM(K134)) * IF(COUNTIFS('1. DATA CHUNG'!$I$4:$I$105,K134,'1. DATA CHUNG'!$M$4:$M$105,Q134), '1. DATA CHUNG'!$M$4:$M$105=Q"&amp;"134, 1) * ('1. DATA CHUNG'!$L$4:$L$105&lt;=TODAY()) ),   2, 0),  1, 1), 
  IFERROR( INDEX(FILTER('1. DATA CHUNG'!$J$4:$J$105, (TRIM('1. DATA CHUNG'!$I$4:$I$105)=TRIM(K134)) * IF(COUNTIFS('1. DATA CHUNG'!$I$4:$I$105,K134,'1. DATA CHUNG'!$M$4:$M$105,Q134), '1."&amp;" DATA CHUNG'!$M$4:$M$105=Q134, 1) * ('1. DATA CHUNG'!$L$4:$L$105="""")), 1), ""Không tìm thấy"" ))"),7.0)</f>
        <v>7</v>
      </c>
      <c r="AI134" s="273">
        <f t="shared" si="2"/>
        <v>46019</v>
      </c>
      <c r="AJ134" s="287"/>
      <c r="AK134" s="286">
        <f t="shared" si="3"/>
        <v>0</v>
      </c>
      <c r="AL134" s="287">
        <f t="shared" si="4"/>
        <v>0</v>
      </c>
      <c r="AM134" s="287">
        <f t="shared" si="5"/>
        <v>4</v>
      </c>
      <c r="AN134" s="279">
        <f t="shared" si="6"/>
        <v>6</v>
      </c>
      <c r="AO134" s="295" t="str">
        <f t="shared" si="7"/>
        <v>12/2025</v>
      </c>
      <c r="AP134" s="277" t="str">
        <f t="array" ref="AP134">IFERROR(XLOOKUP(L134,'2. DATA NL, VTBB'!C:C,'2. DATA NL, VTBB'!F:F),"")</f>
        <v>HH0004</v>
      </c>
      <c r="AQ134" s="277" t="str">
        <f t="array" ref="AQ134">IF(OR(K134="Nhãn", K134="Nhãn thùng",K134="Nhãn Túi"), K134 &amp; " " &amp; IFERROR(XLOOKUP(L134, '2. DATA NL, VTBB'!C:C, '2. DATA NL, VTBB'!E:E), ""), "")</f>
        <v/>
      </c>
      <c r="AR134" s="278" t="str">
        <f t="array" ref="AR134">IFERROR(XLOOKUP(L134,'2. DATA NL, VTBB'!C:C,'2. DATA NL, VTBB'!G:G),"")</f>
        <v>IDA Global - I - 713.1 - Picosuper 280SC (Chai Pape)(nước trắng sữa) - 240ml - 40 ([btp],t,c)</v>
      </c>
      <c r="AS134" s="278" t="str">
        <f t="array" ref="AS134">IFERROR(XLOOKUP(L134,'2. DATA NL, VTBB'!C:C,'2. DATA NL, VTBB'!G:G),"")</f>
        <v>IDA Global - I - 713.1 - Picosuper 280SC (Chai Pape)(nước trắng sữa) - 240ml - 40 ([btp],t,c)</v>
      </c>
      <c r="AT134" s="277"/>
    </row>
    <row r="135" ht="30.75" customHeight="1">
      <c r="A135" s="272">
        <f t="shared" si="31"/>
        <v>132</v>
      </c>
      <c r="B135" s="289">
        <v>46012.0</v>
      </c>
      <c r="C135" s="273">
        <v>46013.0</v>
      </c>
      <c r="D135" s="273">
        <f t="shared" si="30"/>
        <v>46015</v>
      </c>
      <c r="E135" s="289">
        <v>46015.0</v>
      </c>
      <c r="F135" s="274" t="s">
        <v>561</v>
      </c>
      <c r="G135" s="275" t="s">
        <v>562</v>
      </c>
      <c r="H135" s="274" t="s">
        <v>304</v>
      </c>
      <c r="I135" s="275" t="s">
        <v>726</v>
      </c>
      <c r="J135" s="279" t="s">
        <v>840</v>
      </c>
      <c r="K135" s="275" t="s">
        <v>728</v>
      </c>
      <c r="L135" s="277" t="s">
        <v>763</v>
      </c>
      <c r="M135" s="278" t="str">
        <f t="array" ref="M135">IFERROR(XLOOKUP(L135,'2. DATA NL, VTBB'!C:C,'2. DATA NL, VTBB'!D:D),"")</f>
        <v>Chai HDPE tròn 1 Lít cổ 50 (120gr) - Trắng</v>
      </c>
      <c r="N135" s="280"/>
      <c r="O135" s="280" t="str">
        <f t="array" ref="O135">IFERROR( XLOOKUP(L135,'2. DATA NL, VTBB'!C:C,'2. DATA NL, VTBB'!E:E),"")</f>
        <v>Prima 04</v>
      </c>
      <c r="P135" s="275" t="s">
        <v>565</v>
      </c>
      <c r="Q135" s="311"/>
      <c r="R135" s="290" t="s">
        <v>566</v>
      </c>
      <c r="S135" s="280"/>
      <c r="T135" s="280"/>
      <c r="U135" s="277"/>
      <c r="V135" s="283">
        <v>3000.0</v>
      </c>
      <c r="W135" s="275" t="s">
        <v>699</v>
      </c>
      <c r="X135" s="283">
        <v>3000.0</v>
      </c>
      <c r="Y135" s="274">
        <v>3000.0</v>
      </c>
      <c r="Z135" s="287">
        <v>5000.0</v>
      </c>
      <c r="AA135" s="285">
        <v>0.08</v>
      </c>
      <c r="AB135" s="282">
        <v>1.62E7</v>
      </c>
      <c r="AC135" s="277"/>
      <c r="AD135" s="289">
        <v>46012.0</v>
      </c>
      <c r="AE135" s="272">
        <v>2419.0</v>
      </c>
      <c r="AF135" s="277"/>
      <c r="AG135" s="277"/>
      <c r="AH135" s="294">
        <f>IFERROR(__xludf.DUMMYFUNCTION("IFERROR(INDEX( SORT(FILTER(
        {'1. DATA CHUNG'!$J$4:$J$105 , '1. DATA CHUNG'!$L$4:$L$105}, (TRIM('1. DATA CHUNG'!$I$4:$I$105)=TRIM(K135)) * IF(COUNTIFS('1. DATA CHUNG'!$I$4:$I$105,K135,'1. DATA CHUNG'!$M$4:$M$105,Q135), '1. DATA CHUNG'!$M$4:$M$105=Q"&amp;"135, 1) * ('1. DATA CHUNG'!$L$4:$L$105&lt;=TODAY()) ),   2, 0),  1, 1), 
  IFERROR( INDEX(FILTER('1. DATA CHUNG'!$J$4:$J$105, (TRIM('1. DATA CHUNG'!$I$4:$I$105)=TRIM(K135)) * IF(COUNTIFS('1. DATA CHUNG'!$I$4:$I$105,K135,'1. DATA CHUNG'!$M$4:$M$105,Q135), '1."&amp;" DATA CHUNG'!$M$4:$M$105=Q135, 1) * ('1. DATA CHUNG'!$L$4:$L$105="""")), 1), ""Không tìm thấy"" ))"),7.0)</f>
        <v>7</v>
      </c>
      <c r="AI135" s="273">
        <f t="shared" si="2"/>
        <v>46019</v>
      </c>
      <c r="AJ135" s="287"/>
      <c r="AK135" s="286">
        <f t="shared" si="3"/>
        <v>0</v>
      </c>
      <c r="AL135" s="287">
        <f t="shared" si="4"/>
        <v>0</v>
      </c>
      <c r="AM135" s="287">
        <f t="shared" si="5"/>
        <v>4</v>
      </c>
      <c r="AN135" s="279">
        <f t="shared" si="6"/>
        <v>6</v>
      </c>
      <c r="AO135" s="295" t="str">
        <f t="shared" si="7"/>
        <v>12/2025</v>
      </c>
      <c r="AP135" s="277" t="str">
        <f t="array" ref="AP135">IFERROR(XLOOKUP(L135,'2. DATA NL, VTBB'!C:C,'2. DATA NL, VTBB'!F:F),"")</f>
        <v>HH0116</v>
      </c>
      <c r="AQ135" s="277" t="str">
        <f t="array" ref="AQ135">IF(OR(K135="Nhãn", K135="Nhãn thùng",K135="Nhãn Túi"), K135 &amp; " " &amp; IFERROR(XLOOKUP(L135, '2. DATA NL, VTBB'!C:C, '2. DATA NL, VTBB'!E:E), ""), "")</f>
        <v/>
      </c>
      <c r="AR135" s="278" t="str">
        <f t="array" ref="AR135">IFERROR(XLOOKUP(L135,'2. DATA NL, VTBB'!C:C,'2. DATA NL, VTBB'!G:G),"")</f>
        <v>GC - II - 666 - AU - Gel Humiix - 20 kg - 1 ([btp],x,n)</v>
      </c>
      <c r="AS135" s="278" t="str">
        <f t="array" ref="AS135">IFERROR(XLOOKUP(L135,'2. DATA NL, VTBB'!C:C,'2. DATA NL, VTBB'!G:G),"")</f>
        <v>GC - II - 666 - AU - Gel Humiix - 20 kg - 1 ([btp],x,n)</v>
      </c>
      <c r="AT135" s="277"/>
    </row>
    <row r="136" ht="30.75" customHeight="1">
      <c r="A136" s="272">
        <f t="shared" si="31"/>
        <v>133</v>
      </c>
      <c r="B136" s="289">
        <v>46012.0</v>
      </c>
      <c r="C136" s="273">
        <v>46013.0</v>
      </c>
      <c r="D136" s="273">
        <f t="shared" si="30"/>
        <v>46015</v>
      </c>
      <c r="E136" s="289">
        <v>46015.0</v>
      </c>
      <c r="F136" s="274" t="s">
        <v>561</v>
      </c>
      <c r="G136" s="275" t="s">
        <v>562</v>
      </c>
      <c r="H136" s="274" t="s">
        <v>304</v>
      </c>
      <c r="I136" s="275" t="s">
        <v>726</v>
      </c>
      <c r="J136" s="279" t="s">
        <v>840</v>
      </c>
      <c r="K136" s="275" t="s">
        <v>730</v>
      </c>
      <c r="L136" s="277" t="s">
        <v>764</v>
      </c>
      <c r="M136" s="278" t="str">
        <f t="array" ref="M136">IFERROR(XLOOKUP(L136,'2. DATA NL, VTBB'!C:C,'2. DATA NL, VTBB'!D:D),"")</f>
        <v>Nắp HDPE có bèo cổ 50 (10gr) - Trắng</v>
      </c>
      <c r="N136" s="280"/>
      <c r="O136" s="280" t="str">
        <f t="array" ref="O136">IFERROR( XLOOKUP(L136,'2. DATA NL, VTBB'!C:C,'2. DATA NL, VTBB'!E:E),"")</f>
        <v>Vi lượng Quantity New</v>
      </c>
      <c r="P136" s="275" t="s">
        <v>565</v>
      </c>
      <c r="Q136" s="311"/>
      <c r="R136" s="290" t="s">
        <v>566</v>
      </c>
      <c r="S136" s="280"/>
      <c r="T136" s="280"/>
      <c r="U136" s="277"/>
      <c r="V136" s="283">
        <v>3000.0</v>
      </c>
      <c r="W136" s="275" t="s">
        <v>699</v>
      </c>
      <c r="X136" s="283">
        <v>3000.0</v>
      </c>
      <c r="Y136" s="274">
        <v>3000.0</v>
      </c>
      <c r="Z136" s="287">
        <v>900.0</v>
      </c>
      <c r="AA136" s="285">
        <v>0.08</v>
      </c>
      <c r="AB136" s="282">
        <v>2916000.0</v>
      </c>
      <c r="AC136" s="277"/>
      <c r="AD136" s="289">
        <v>46012.0</v>
      </c>
      <c r="AE136" s="272">
        <v>2419.0</v>
      </c>
      <c r="AF136" s="277"/>
      <c r="AG136" s="277"/>
      <c r="AH136" s="294">
        <f>IFERROR(__xludf.DUMMYFUNCTION("IFERROR(INDEX( SORT(FILTER(
        {'1. DATA CHUNG'!$J$4:$J$105 , '1. DATA CHUNG'!$L$4:$L$105}, (TRIM('1. DATA CHUNG'!$I$4:$I$105)=TRIM(K136)) * IF(COUNTIFS('1. DATA CHUNG'!$I$4:$I$105,K136,'1. DATA CHUNG'!$M$4:$M$105,Q136), '1. DATA CHUNG'!$M$4:$M$105=Q"&amp;"136, 1) * ('1. DATA CHUNG'!$L$4:$L$105&lt;=TODAY()) ),   2, 0),  1, 1), 
  IFERROR( INDEX(FILTER('1. DATA CHUNG'!$J$4:$J$105, (TRIM('1. DATA CHUNG'!$I$4:$I$105)=TRIM(K136)) * IF(COUNTIFS('1. DATA CHUNG'!$I$4:$I$105,K136,'1. DATA CHUNG'!$M$4:$M$105,Q136), '1."&amp;" DATA CHUNG'!$M$4:$M$105=Q136, 1) * ('1. DATA CHUNG'!$L$4:$L$105="""")), 1), ""Không tìm thấy"" ))"),7.0)</f>
        <v>7</v>
      </c>
      <c r="AI136" s="273">
        <f t="shared" si="2"/>
        <v>46019</v>
      </c>
      <c r="AJ136" s="287"/>
      <c r="AK136" s="286">
        <f t="shared" si="3"/>
        <v>0</v>
      </c>
      <c r="AL136" s="287">
        <f t="shared" si="4"/>
        <v>0</v>
      </c>
      <c r="AM136" s="287">
        <f t="shared" si="5"/>
        <v>4</v>
      </c>
      <c r="AN136" s="279">
        <f t="shared" si="6"/>
        <v>6</v>
      </c>
      <c r="AO136" s="295" t="str">
        <f t="shared" si="7"/>
        <v>12/2025</v>
      </c>
      <c r="AP136" s="277" t="str">
        <f t="array" ref="AP136">IFERROR(XLOOKUP(L136,'2. DATA NL, VTBB'!C:C,'2. DATA NL, VTBB'!F:F),"")</f>
        <v>HH0070</v>
      </c>
      <c r="AQ136" s="277" t="str">
        <f t="array" ref="AQ136">IF(OR(K136="Nhãn", K136="Nhãn thùng",K136="Nhãn Túi"), K136 &amp; " " &amp; IFERROR(XLOOKUP(L136, '2. DATA NL, VTBB'!C:C, '2. DATA NL, VTBB'!E:E), ""), "")</f>
        <v/>
      </c>
      <c r="AR136" s="278" t="str">
        <f t="array" ref="AR136">IFERROR(XLOOKUP(L136,'2. DATA NL, VTBB'!C:C,'2. DATA NL, VTBB'!G:G),"")</f>
        <v>GC - II - 591 - A Thời GNH - Chuyên lác (Chai HD) - 1L - 20</v>
      </c>
      <c r="AS136" s="278" t="str">
        <f t="array" ref="AS136">IFERROR(XLOOKUP(L136,'2. DATA NL, VTBB'!C:C,'2. DATA NL, VTBB'!G:G),"")</f>
        <v>GC - II - 591 - A Thời GNH - Chuyên lác (Chai HD) - 1L - 20</v>
      </c>
      <c r="AT136" s="277"/>
    </row>
    <row r="137" ht="30.75" customHeight="1">
      <c r="A137" s="272">
        <f>ROW(A122)-2</f>
        <v>120</v>
      </c>
      <c r="B137" s="289">
        <v>46012.0</v>
      </c>
      <c r="C137" s="289">
        <v>46019.0</v>
      </c>
      <c r="D137" s="289">
        <f t="shared" ref="D137:D141" si="32">B137+15</f>
        <v>46027</v>
      </c>
      <c r="E137" s="289">
        <v>46025.0</v>
      </c>
      <c r="F137" s="274" t="s">
        <v>561</v>
      </c>
      <c r="G137" s="275" t="s">
        <v>580</v>
      </c>
      <c r="H137" s="274" t="s">
        <v>304</v>
      </c>
      <c r="I137" s="275" t="s">
        <v>305</v>
      </c>
      <c r="J137" s="279" t="s">
        <v>841</v>
      </c>
      <c r="K137" s="275" t="s">
        <v>301</v>
      </c>
      <c r="L137" s="277" t="s">
        <v>618</v>
      </c>
      <c r="M137" s="278" t="str">
        <f t="array" ref="M137">IFERROR(XLOOKUP(L137,'2. DATA NL, VTBB'!C:C,'2. DATA NL, VTBB'!D:D),"")</f>
        <v>Thùng IDA chai HDPE tròn 500ml x 40 chai (58x37x21cm) - Trắng xanh lá</v>
      </c>
      <c r="N137" s="280"/>
      <c r="O137" s="280" t="str">
        <f t="array" ref="O137">IFERROR( XLOOKUP(L137,'2. DATA NL, VTBB'!C:C,'2. DATA NL, VTBB'!E:E),"")</f>
        <v>Remy 19EC</v>
      </c>
      <c r="P137" s="275" t="s">
        <v>565</v>
      </c>
      <c r="Q137" s="311"/>
      <c r="R137" s="291" t="s">
        <v>573</v>
      </c>
      <c r="S137" s="280"/>
      <c r="T137" s="280"/>
      <c r="U137" s="277"/>
      <c r="V137" s="283">
        <v>200.0</v>
      </c>
      <c r="W137" s="275" t="s">
        <v>699</v>
      </c>
      <c r="X137" s="283">
        <v>200.0</v>
      </c>
      <c r="Y137" s="274">
        <v>210.0</v>
      </c>
      <c r="Z137" s="287">
        <v>22000.0</v>
      </c>
      <c r="AA137" s="285">
        <v>0.08</v>
      </c>
      <c r="AB137" s="282">
        <v>4989600.0</v>
      </c>
      <c r="AC137" s="277"/>
      <c r="AD137" s="289">
        <v>46012.0</v>
      </c>
      <c r="AE137" s="272">
        <v>21.0</v>
      </c>
      <c r="AF137" s="277"/>
      <c r="AG137" s="277"/>
      <c r="AH137" s="294">
        <f>IFERROR(__xludf.DUMMYFUNCTION("IFERROR(INDEX( SORT(FILTER(
        {'1. DATA CHUNG'!$J$4:$J$105 , '1. DATA CHUNG'!$L$4:$L$105}, (TRIM('1. DATA CHUNG'!$I$4:$I$105)=TRIM(K137)) * IF(COUNTIFS('1. DATA CHUNG'!$I$4:$I$105,K137,'1. DATA CHUNG'!$M$4:$M$105,Q137), '1. DATA CHUNG'!$M$4:$M$105=Q"&amp;"137, 1) * ('1. DATA CHUNG'!$L$4:$L$105&lt;=TODAY()) ),   2, 0),  1, 1), 
  IFERROR( INDEX(FILTER('1. DATA CHUNG'!$J$4:$J$105, (TRIM('1. DATA CHUNG'!$I$4:$I$105)=TRIM(K137)) * IF(COUNTIFS('1. DATA CHUNG'!$I$4:$I$105,K137,'1. DATA CHUNG'!$M$4:$M$105,Q137), '1."&amp;" DATA CHUNG'!$M$4:$M$105=Q137, 1) * ('1. DATA CHUNG'!$L$4:$L$105="""")), 1), ""Không tìm thấy"" ))"),18.0)</f>
        <v>18</v>
      </c>
      <c r="AI137" s="273">
        <f t="shared" si="2"/>
        <v>46030</v>
      </c>
      <c r="AJ137" s="287"/>
      <c r="AK137" s="286">
        <f t="shared" si="3"/>
        <v>0</v>
      </c>
      <c r="AL137" s="287">
        <f t="shared" si="4"/>
        <v>2</v>
      </c>
      <c r="AM137" s="287">
        <f t="shared" si="5"/>
        <v>5</v>
      </c>
      <c r="AN137" s="279">
        <f t="shared" si="6"/>
        <v>11</v>
      </c>
      <c r="AO137" s="295" t="str">
        <f t="shared" si="7"/>
        <v>12/2025</v>
      </c>
      <c r="AP137" s="277" t="str">
        <f t="array" ref="AP137">IFERROR(XLOOKUP(L137,'2. DATA NL, VTBB'!C:C,'2. DATA NL, VTBB'!F:F),"")</f>
        <v>HH0263</v>
      </c>
      <c r="AQ137" s="277" t="str">
        <f t="array" ref="AQ137">IF(OR(K137="Nhãn", K137="Nhãn thùng",K137="Nhãn Túi"), K137 &amp; " " &amp; IFERROR(XLOOKUP(L137, '2. DATA NL, VTBB'!C:C, '2. DATA NL, VTBB'!E:E), ""), "")</f>
        <v/>
      </c>
      <c r="AR137" s="278" t="str">
        <f t="array" ref="AR137">IFERROR(XLOOKUP(L137,'2. DATA NL, VTBB'!C:C,'2. DATA NL, VTBB'!G:G),"")</f>
        <v>GC - II - 682 - Đồng Phát - Doffatine 19 - 450ml - 40</v>
      </c>
      <c r="AS137" s="278" t="str">
        <f t="array" ref="AS137">IFERROR(XLOOKUP(L137,'2. DATA NL, VTBB'!C:C,'2. DATA NL, VTBB'!G:G),"")</f>
        <v>GC - II - 682 - Đồng Phát - Doffatine 19 - 450ml - 40</v>
      </c>
      <c r="AT137" s="277"/>
    </row>
    <row r="138" ht="30.75" customHeight="1">
      <c r="A138" s="272">
        <f t="shared" ref="A138:A167" si="33">ROW(A137)-2</f>
        <v>135</v>
      </c>
      <c r="B138" s="289">
        <v>46012.0</v>
      </c>
      <c r="C138" s="289">
        <v>46019.0</v>
      </c>
      <c r="D138" s="289">
        <f t="shared" si="32"/>
        <v>46027</v>
      </c>
      <c r="E138" s="289">
        <v>46025.0</v>
      </c>
      <c r="F138" s="274" t="s">
        <v>561</v>
      </c>
      <c r="G138" s="275" t="s">
        <v>580</v>
      </c>
      <c r="H138" s="274" t="s">
        <v>304</v>
      </c>
      <c r="I138" s="275" t="s">
        <v>305</v>
      </c>
      <c r="J138" s="279" t="s">
        <v>842</v>
      </c>
      <c r="K138" s="275" t="s">
        <v>301</v>
      </c>
      <c r="L138" s="277" t="s">
        <v>830</v>
      </c>
      <c r="M138" s="278" t="str">
        <f t="array" ref="M138">IFERROR(XLOOKUP(L138,'2. DATA NL, VTBB'!C:C,'2. DATA NL, VTBB'!D:D),"")</f>
        <v>Thùng IDA Chai HDPE/PAPE tròn cổ 43 250ml - (50x31x15cm) - Trắng xanh lá</v>
      </c>
      <c r="N138" s="280"/>
      <c r="O138" s="280" t="str">
        <f t="array" ref="O138">IFERROR( XLOOKUP(L138,'2. DATA NL, VTBB'!C:C,'2. DATA NL, VTBB'!E:E),"")</f>
        <v>JAVI VIL 50SC</v>
      </c>
      <c r="P138" s="275" t="s">
        <v>565</v>
      </c>
      <c r="Q138" s="311"/>
      <c r="R138" s="291" t="s">
        <v>573</v>
      </c>
      <c r="S138" s="280"/>
      <c r="T138" s="277"/>
      <c r="U138" s="277"/>
      <c r="V138" s="283">
        <v>200.0</v>
      </c>
      <c r="W138" s="275" t="s">
        <v>699</v>
      </c>
      <c r="X138" s="283">
        <v>200.0</v>
      </c>
      <c r="Y138" s="274">
        <v>200.0</v>
      </c>
      <c r="Z138" s="279">
        <v>15600.0</v>
      </c>
      <c r="AA138" s="285">
        <v>0.08</v>
      </c>
      <c r="AB138" s="282">
        <v>3369600.0</v>
      </c>
      <c r="AC138" s="277"/>
      <c r="AD138" s="289">
        <v>46012.0</v>
      </c>
      <c r="AE138" s="272">
        <v>2163.0</v>
      </c>
      <c r="AF138" s="277"/>
      <c r="AG138" s="277"/>
      <c r="AH138" s="294">
        <f>IFERROR(__xludf.DUMMYFUNCTION("IFERROR(INDEX( SORT(FILTER(
        {'1. DATA CHUNG'!$J$4:$J$105 , '1. DATA CHUNG'!$L$4:$L$105}, (TRIM('1. DATA CHUNG'!$I$4:$I$105)=TRIM(K138)) * IF(COUNTIFS('1. DATA CHUNG'!$I$4:$I$105,K138,'1. DATA CHUNG'!$M$4:$M$105,Q138), '1. DATA CHUNG'!$M$4:$M$105=Q"&amp;"138, 1) * ('1. DATA CHUNG'!$L$4:$L$105&lt;=TODAY()) ),   2, 0),  1, 1), 
  IFERROR( INDEX(FILTER('1. DATA CHUNG'!$J$4:$J$105, (TRIM('1. DATA CHUNG'!$I$4:$I$105)=TRIM(K138)) * IF(COUNTIFS('1. DATA CHUNG'!$I$4:$I$105,K138,'1. DATA CHUNG'!$M$4:$M$105,Q138), '1."&amp;" DATA CHUNG'!$M$4:$M$105=Q138, 1) * ('1. DATA CHUNG'!$L$4:$L$105="""")), 1), ""Không tìm thấy"" ))"),18.0)</f>
        <v>18</v>
      </c>
      <c r="AI138" s="273">
        <f t="shared" si="2"/>
        <v>46030</v>
      </c>
      <c r="AJ138" s="287"/>
      <c r="AK138" s="286">
        <f t="shared" si="3"/>
        <v>0</v>
      </c>
      <c r="AL138" s="287">
        <f t="shared" si="4"/>
        <v>2</v>
      </c>
      <c r="AM138" s="287">
        <f t="shared" si="5"/>
        <v>5</v>
      </c>
      <c r="AN138" s="279">
        <f t="shared" si="6"/>
        <v>11</v>
      </c>
      <c r="AO138" s="295" t="str">
        <f t="shared" si="7"/>
        <v>12/2025</v>
      </c>
      <c r="AP138" s="277" t="str">
        <f t="array" ref="AP138">IFERROR(XLOOKUP(L138,'2. DATA NL, VTBB'!C:C,'2. DATA NL, VTBB'!F:F),"")</f>
        <v>HH0267</v>
      </c>
      <c r="AQ138" s="277" t="str">
        <f t="array" ref="AQ138">IF(OR(K138="Nhãn", K138="Nhãn thùng",K138="Nhãn Túi"), K138 &amp; " " &amp; IFERROR(XLOOKUP(L138, '2. DATA NL, VTBB'!C:C, '2. DATA NL, VTBB'!E:E), ""), "")</f>
        <v/>
      </c>
      <c r="AR138" s="278" t="str">
        <f t="array" ref="AR138">IFERROR(XLOOKUP(L138,'2. DATA NL, VTBB'!C:C,'2. DATA NL, VTBB'!G:G),"")</f>
        <v>LOT IDA Global - I - 686 - Javi vil 50SC (Chai HD) (BTP TRẮNG SỮA) - 1L - 20 ([btp] ,t)</v>
      </c>
      <c r="AS138" s="278" t="str">
        <f t="array" ref="AS138">IFERROR(XLOOKUP(L138,'2. DATA NL, VTBB'!C:C,'2. DATA NL, VTBB'!G:G),"")</f>
        <v>LOT IDA Global - I - 686 - Javi vil 50SC (Chai HD) (BTP TRẮNG SỮA) - 1L - 20 ([btp] ,t)</v>
      </c>
      <c r="AT138" s="277"/>
    </row>
    <row r="139" ht="30.75" customHeight="1">
      <c r="A139" s="272">
        <f t="shared" si="33"/>
        <v>136</v>
      </c>
      <c r="B139" s="289">
        <v>46012.0</v>
      </c>
      <c r="C139" s="289">
        <v>46019.0</v>
      </c>
      <c r="D139" s="289">
        <f t="shared" si="32"/>
        <v>46027</v>
      </c>
      <c r="E139" s="289">
        <v>46021.0</v>
      </c>
      <c r="F139" s="274" t="s">
        <v>561</v>
      </c>
      <c r="G139" s="275" t="s">
        <v>562</v>
      </c>
      <c r="H139" s="274" t="s">
        <v>304</v>
      </c>
      <c r="I139" s="275" t="s">
        <v>305</v>
      </c>
      <c r="J139" s="279" t="s">
        <v>843</v>
      </c>
      <c r="K139" s="275" t="s">
        <v>301</v>
      </c>
      <c r="L139" s="277" t="s">
        <v>830</v>
      </c>
      <c r="M139" s="278" t="str">
        <f t="array" ref="M139">IFERROR(XLOOKUP(L139,'2. DATA NL, VTBB'!C:C,'2. DATA NL, VTBB'!D:D),"")</f>
        <v>Thùng IDA Chai HDPE/PAPE tròn cổ 43 250ml - (50x31x15cm) - Trắng xanh lá</v>
      </c>
      <c r="N139" s="280"/>
      <c r="O139" s="280" t="str">
        <f t="array" ref="O139">IFERROR( XLOOKUP(L139,'2. DATA NL, VTBB'!C:C,'2. DATA NL, VTBB'!E:E),"")</f>
        <v>JAVI VIL 50SC</v>
      </c>
      <c r="P139" s="275" t="s">
        <v>565</v>
      </c>
      <c r="Q139" s="311"/>
      <c r="R139" s="291" t="s">
        <v>584</v>
      </c>
      <c r="S139" s="280"/>
      <c r="T139" s="277"/>
      <c r="U139" s="277"/>
      <c r="V139" s="283">
        <v>200.0</v>
      </c>
      <c r="W139" s="275" t="s">
        <v>699</v>
      </c>
      <c r="X139" s="283">
        <v>200.0</v>
      </c>
      <c r="Y139" s="274">
        <v>200.0</v>
      </c>
      <c r="Z139" s="279">
        <v>15600.0</v>
      </c>
      <c r="AA139" s="285">
        <v>0.08</v>
      </c>
      <c r="AB139" s="282">
        <v>3369600.0</v>
      </c>
      <c r="AC139" s="277"/>
      <c r="AD139" s="289">
        <v>46012.0</v>
      </c>
      <c r="AE139" s="312"/>
      <c r="AF139" s="277"/>
      <c r="AG139" s="277"/>
      <c r="AH139" s="294">
        <f>IFERROR(__xludf.DUMMYFUNCTION("IFERROR(INDEX( SORT(FILTER(
        {'1. DATA CHUNG'!$J$4:$J$105 , '1. DATA CHUNG'!$L$4:$L$105}, (TRIM('1. DATA CHUNG'!$I$4:$I$105)=TRIM(K139)) * IF(COUNTIFS('1. DATA CHUNG'!$I$4:$I$105,K139,'1. DATA CHUNG'!$M$4:$M$105,Q139), '1. DATA CHUNG'!$M$4:$M$105=Q"&amp;"139, 1) * ('1. DATA CHUNG'!$L$4:$L$105&lt;=TODAY()) ),   2, 0),  1, 1), 
  IFERROR( INDEX(FILTER('1. DATA CHUNG'!$J$4:$J$105, (TRIM('1. DATA CHUNG'!$I$4:$I$105)=TRIM(K139)) * IF(COUNTIFS('1. DATA CHUNG'!$I$4:$I$105,K139,'1. DATA CHUNG'!$M$4:$M$105,Q139), '1."&amp;" DATA CHUNG'!$M$4:$M$105=Q139, 1) * ('1. DATA CHUNG'!$L$4:$L$105="""")), 1), ""Không tìm thấy"" ))"),18.0)</f>
        <v>18</v>
      </c>
      <c r="AI139" s="273">
        <f t="shared" si="2"/>
        <v>46030</v>
      </c>
      <c r="AJ139" s="287"/>
      <c r="AK139" s="286">
        <f t="shared" si="3"/>
        <v>0</v>
      </c>
      <c r="AL139" s="287">
        <f t="shared" si="4"/>
        <v>6</v>
      </c>
      <c r="AM139" s="287">
        <f t="shared" si="5"/>
        <v>9</v>
      </c>
      <c r="AN139" s="279">
        <f t="shared" si="6"/>
        <v>11</v>
      </c>
      <c r="AO139" s="295" t="str">
        <f t="shared" si="7"/>
        <v>12/2025</v>
      </c>
      <c r="AP139" s="277" t="str">
        <f t="array" ref="AP139">IFERROR(XLOOKUP(L139,'2. DATA NL, VTBB'!C:C,'2. DATA NL, VTBB'!F:F),"")</f>
        <v>HH0267</v>
      </c>
      <c r="AQ139" s="277" t="str">
        <f t="array" ref="AQ139">IF(OR(K139="Nhãn", K139="Nhãn thùng",K139="Nhãn Túi"), K139 &amp; " " &amp; IFERROR(XLOOKUP(L139, '2. DATA NL, VTBB'!C:C, '2. DATA NL, VTBB'!E:E), ""), "")</f>
        <v/>
      </c>
      <c r="AR139" s="278" t="str">
        <f t="array" ref="AR139">IFERROR(XLOOKUP(L139,'2. DATA NL, VTBB'!C:C,'2. DATA NL, VTBB'!G:G),"")</f>
        <v>LOT IDA Global - I - 686 - Javi vil 50SC (Chai HD) (BTP TRẮNG SỮA) - 1L - 20 ([btp] ,t)</v>
      </c>
      <c r="AS139" s="278" t="str">
        <f t="array" ref="AS139">IFERROR(XLOOKUP(L139,'2. DATA NL, VTBB'!C:C,'2. DATA NL, VTBB'!G:G),"")</f>
        <v>LOT IDA Global - I - 686 - Javi vil 50SC (Chai HD) (BTP TRẮNG SỮA) - 1L - 20 ([btp] ,t)</v>
      </c>
      <c r="AT139" s="277"/>
    </row>
    <row r="140" ht="30.75" customHeight="1">
      <c r="A140" s="272">
        <f t="shared" si="33"/>
        <v>137</v>
      </c>
      <c r="B140" s="289">
        <v>46012.0</v>
      </c>
      <c r="C140" s="289">
        <v>46019.0</v>
      </c>
      <c r="D140" s="289">
        <f t="shared" si="32"/>
        <v>46027</v>
      </c>
      <c r="E140" s="289">
        <v>46025.0</v>
      </c>
      <c r="F140" s="274" t="s">
        <v>561</v>
      </c>
      <c r="G140" s="275" t="s">
        <v>562</v>
      </c>
      <c r="H140" s="274" t="s">
        <v>304</v>
      </c>
      <c r="I140" s="275" t="s">
        <v>305</v>
      </c>
      <c r="J140" s="279" t="s">
        <v>843</v>
      </c>
      <c r="K140" s="275" t="s">
        <v>301</v>
      </c>
      <c r="L140" s="277" t="s">
        <v>663</v>
      </c>
      <c r="M140" s="278" t="str">
        <f t="array" ref="M140">IFERROR(XLOOKUP(L140,'2. DATA NL, VTBB'!C:C,'2. DATA NL, VTBB'!D:D),"")</f>
        <v>Thùng Dùng Chung 1kg x 20 gói (50x35x30.5cm) - Trắng viền đen</v>
      </c>
      <c r="N140" s="280"/>
      <c r="O140" s="280" t="str">
        <f t="array" ref="O140">IFERROR( XLOOKUP(L140,'2. DATA NL, VTBB'!C:C,'2. DATA NL, VTBB'!E:E),"")</f>
        <v>THALONIL 75WP</v>
      </c>
      <c r="P140" s="275" t="s">
        <v>565</v>
      </c>
      <c r="Q140" s="311"/>
      <c r="R140" s="291" t="s">
        <v>584</v>
      </c>
      <c r="S140" s="280"/>
      <c r="T140" s="277"/>
      <c r="U140" s="277"/>
      <c r="V140" s="283">
        <v>200.0</v>
      </c>
      <c r="W140" s="275" t="s">
        <v>699</v>
      </c>
      <c r="X140" s="283">
        <v>200.0</v>
      </c>
      <c r="Y140" s="274">
        <v>200.0</v>
      </c>
      <c r="Z140" s="287">
        <v>21950.0</v>
      </c>
      <c r="AA140" s="285">
        <v>0.08</v>
      </c>
      <c r="AB140" s="282">
        <v>4741200.0</v>
      </c>
      <c r="AC140" s="277"/>
      <c r="AD140" s="289">
        <v>46012.0</v>
      </c>
      <c r="AE140" s="312"/>
      <c r="AF140" s="277"/>
      <c r="AG140" s="277"/>
      <c r="AH140" s="294">
        <f>IFERROR(__xludf.DUMMYFUNCTION("IFERROR(INDEX( SORT(FILTER(
        {'1. DATA CHUNG'!$J$4:$J$105 , '1. DATA CHUNG'!$L$4:$L$105}, (TRIM('1. DATA CHUNG'!$I$4:$I$105)=TRIM(K140)) * IF(COUNTIFS('1. DATA CHUNG'!$I$4:$I$105,K140,'1. DATA CHUNG'!$M$4:$M$105,Q140), '1. DATA CHUNG'!$M$4:$M$105=Q"&amp;"140, 1) * ('1. DATA CHUNG'!$L$4:$L$105&lt;=TODAY()) ),   2, 0),  1, 1), 
  IFERROR( INDEX(FILTER('1. DATA CHUNG'!$J$4:$J$105, (TRIM('1. DATA CHUNG'!$I$4:$I$105)=TRIM(K140)) * IF(COUNTIFS('1. DATA CHUNG'!$I$4:$I$105,K140,'1. DATA CHUNG'!$M$4:$M$105,Q140), '1."&amp;" DATA CHUNG'!$M$4:$M$105=Q140, 1) * ('1. DATA CHUNG'!$L$4:$L$105="""")), 1), ""Không tìm thấy"" ))"),18.0)</f>
        <v>18</v>
      </c>
      <c r="AI140" s="273">
        <f t="shared" si="2"/>
        <v>46030</v>
      </c>
      <c r="AJ140" s="287"/>
      <c r="AK140" s="286">
        <f t="shared" si="3"/>
        <v>0</v>
      </c>
      <c r="AL140" s="287">
        <f t="shared" si="4"/>
        <v>2</v>
      </c>
      <c r="AM140" s="287">
        <f t="shared" si="5"/>
        <v>5</v>
      </c>
      <c r="AN140" s="279">
        <f t="shared" si="6"/>
        <v>11</v>
      </c>
      <c r="AO140" s="295" t="str">
        <f t="shared" si="7"/>
        <v>12/2025</v>
      </c>
      <c r="AP140" s="277" t="str">
        <f t="array" ref="AP140">IFERROR(XLOOKUP(L140,'2. DATA NL, VTBB'!C:C,'2. DATA NL, VTBB'!F:F),"")</f>
        <v>HH0262</v>
      </c>
      <c r="AQ140" s="277" t="str">
        <f t="array" ref="AQ140">IF(OR(K140="Nhãn", K140="Nhãn thùng",K140="Nhãn Túi"), K140 &amp; " " &amp; IFERROR(XLOOKUP(L140, '2. DATA NL, VTBB'!C:C, '2. DATA NL, VTBB'!E:E), ""), "")</f>
        <v/>
      </c>
      <c r="AR140" s="278" t="str">
        <f t="array" ref="AR140">IFERROR(XLOOKUP(L140,'2. DATA NL, VTBB'!C:C,'2. DATA NL, VTBB'!G:G),"")</f>
        <v>GC - II - 681 - Agrikey VN - Agronil (flexo) - 500gr - 30</v>
      </c>
      <c r="AS140" s="278" t="str">
        <f t="array" ref="AS140">IFERROR(XLOOKUP(L140,'2. DATA NL, VTBB'!C:C,'2. DATA NL, VTBB'!G:G),"")</f>
        <v>GC - II - 681 - Agrikey VN - Agronil (flexo) - 500gr - 30</v>
      </c>
      <c r="AT140" s="277"/>
    </row>
    <row r="141" ht="30.75" customHeight="1">
      <c r="A141" s="272">
        <f t="shared" si="33"/>
        <v>138</v>
      </c>
      <c r="B141" s="289">
        <v>46012.0</v>
      </c>
      <c r="C141" s="289">
        <v>46019.0</v>
      </c>
      <c r="D141" s="289">
        <f t="shared" si="32"/>
        <v>46027</v>
      </c>
      <c r="E141" s="289">
        <v>46021.0</v>
      </c>
      <c r="F141" s="274" t="s">
        <v>561</v>
      </c>
      <c r="G141" s="275" t="s">
        <v>562</v>
      </c>
      <c r="H141" s="274" t="s">
        <v>304</v>
      </c>
      <c r="I141" s="275" t="s">
        <v>305</v>
      </c>
      <c r="J141" s="279" t="s">
        <v>844</v>
      </c>
      <c r="K141" s="275" t="s">
        <v>301</v>
      </c>
      <c r="L141" s="277" t="s">
        <v>635</v>
      </c>
      <c r="M141" s="278" t="str">
        <f t="array" ref="M141">IFERROR(XLOOKUP(L141,'2. DATA NL, VTBB'!C:C,'2. DATA NL, VTBB'!D:D),"")</f>
        <v>Thùng Agritech 100g x 100, 120, 150 gói (47.5x41.5x28cm) - Trắng viền xanh dương</v>
      </c>
      <c r="N141" s="280"/>
      <c r="O141" s="280" t="str">
        <f t="array" ref="O141">IFERROR( XLOOKUP(L141,'2. DATA NL, VTBB'!C:C,'2. DATA NL, VTBB'!E:E),"")</f>
        <v>Remy 19EC</v>
      </c>
      <c r="P141" s="275" t="s">
        <v>565</v>
      </c>
      <c r="Q141" s="311"/>
      <c r="R141" s="291" t="s">
        <v>584</v>
      </c>
      <c r="S141" s="280"/>
      <c r="T141" s="277"/>
      <c r="U141" s="277"/>
      <c r="V141" s="284"/>
      <c r="W141" s="275" t="s">
        <v>699</v>
      </c>
      <c r="X141" s="284"/>
      <c r="Y141" s="274" t="s">
        <v>845</v>
      </c>
      <c r="Z141" s="279">
        <v>23600.0</v>
      </c>
      <c r="AA141" s="285">
        <v>0.08</v>
      </c>
      <c r="AB141" s="282" t="e">
        <v>#VALUE!</v>
      </c>
      <c r="AC141" s="277"/>
      <c r="AD141" s="289">
        <v>46012.0</v>
      </c>
      <c r="AE141" s="312"/>
      <c r="AF141" s="277"/>
      <c r="AG141" s="277"/>
      <c r="AH141" s="294">
        <f>IFERROR(__xludf.DUMMYFUNCTION("IFERROR(INDEX( SORT(FILTER(
        {'1. DATA CHUNG'!$J$4:$J$105 , '1. DATA CHUNG'!$L$4:$L$105}, (TRIM('1. DATA CHUNG'!$I$4:$I$105)=TRIM(K141)) * IF(COUNTIFS('1. DATA CHUNG'!$I$4:$I$105,K141,'1. DATA CHUNG'!$M$4:$M$105,Q141), '1. DATA CHUNG'!$M$4:$M$105=Q"&amp;"141, 1) * ('1. DATA CHUNG'!$L$4:$L$105&lt;=TODAY()) ),   2, 0),  1, 1), 
  IFERROR( INDEX(FILTER('1. DATA CHUNG'!$J$4:$J$105, (TRIM('1. DATA CHUNG'!$I$4:$I$105)=TRIM(K141)) * IF(COUNTIFS('1. DATA CHUNG'!$I$4:$I$105,K141,'1. DATA CHUNG'!$M$4:$M$105,Q141), '1."&amp;" DATA CHUNG'!$M$4:$M$105=Q141, 1) * ('1. DATA CHUNG'!$L$4:$L$105="""")), 1), ""Không tìm thấy"" ))"),18.0)</f>
        <v>18</v>
      </c>
      <c r="AI141" s="273">
        <f t="shared" si="2"/>
        <v>46030</v>
      </c>
      <c r="AJ141" s="287"/>
      <c r="AK141" s="286">
        <f t="shared" si="3"/>
        <v>0</v>
      </c>
      <c r="AL141" s="287">
        <f t="shared" si="4"/>
        <v>6</v>
      </c>
      <c r="AM141" s="287">
        <f t="shared" si="5"/>
        <v>9</v>
      </c>
      <c r="AN141" s="279">
        <f t="shared" si="6"/>
        <v>11</v>
      </c>
      <c r="AO141" s="295" t="str">
        <f t="shared" si="7"/>
        <v>12/2025</v>
      </c>
      <c r="AP141" s="277" t="str">
        <f t="array" ref="AP141">IFERROR(XLOOKUP(L141,'2. DATA NL, VTBB'!C:C,'2. DATA NL, VTBB'!F:F),"")</f>
        <v>HH0265</v>
      </c>
      <c r="AQ141" s="277" t="str">
        <f t="array" ref="AQ141">IF(OR(K141="Nhãn", K141="Nhãn thùng",K141="Nhãn Túi"), K141 &amp; " " &amp; IFERROR(XLOOKUP(L141, '2. DATA NL, VTBB'!C:C, '2. DATA NL, VTBB'!E:E), ""), "")</f>
        <v/>
      </c>
      <c r="AR141" s="278" t="str">
        <f t="array" ref="AR141">IFERROR(XLOOKUP(L141,'2. DATA NL, VTBB'!C:C,'2. DATA NL, VTBB'!G:G),"")</f>
        <v>GC - II - 684 - AGC - Remy 19EC (chai tròn) - 450ml - 40</v>
      </c>
      <c r="AS141" s="278" t="str">
        <f t="array" ref="AS141">IFERROR(XLOOKUP(L141,'2. DATA NL, VTBB'!C:C,'2. DATA NL, VTBB'!G:G),"")</f>
        <v>GC - II - 684 - AGC - Remy 19EC (chai tròn) - 450ml - 40</v>
      </c>
      <c r="AT141" s="277"/>
    </row>
    <row r="142" ht="30.75" customHeight="1">
      <c r="A142" s="272">
        <f t="shared" si="33"/>
        <v>139</v>
      </c>
      <c r="B142" s="289">
        <v>46014.0</v>
      </c>
      <c r="C142" s="273">
        <v>46015.0</v>
      </c>
      <c r="D142" s="273">
        <f t="shared" ref="D142:D147" si="34">B142+3</f>
        <v>46017</v>
      </c>
      <c r="E142" s="289">
        <v>46016.0</v>
      </c>
      <c r="F142" s="274" t="s">
        <v>561</v>
      </c>
      <c r="G142" s="275" t="s">
        <v>562</v>
      </c>
      <c r="H142" s="274" t="s">
        <v>304</v>
      </c>
      <c r="I142" s="275" t="s">
        <v>726</v>
      </c>
      <c r="J142" s="279" t="s">
        <v>846</v>
      </c>
      <c r="K142" s="275" t="s">
        <v>728</v>
      </c>
      <c r="L142" s="277" t="s">
        <v>778</v>
      </c>
      <c r="M142" s="278" t="str">
        <f t="array" ref="M142">IFERROR(XLOOKUP(L142,'2. DATA NL, VTBB'!C:C,'2. DATA NL, VTBB'!D:D),"")</f>
        <v>Chai PET tròn cổ 44 500ml (45g) Trắng</v>
      </c>
      <c r="N142" s="280"/>
      <c r="O142" s="280" t="str">
        <f t="array" ref="O142">IFERROR( XLOOKUP(L142,'2. DATA NL, VTBB'!C:C,'2. DATA NL, VTBB'!E:E),"")</f>
        <v>Chitin 3.6EC</v>
      </c>
      <c r="P142" s="275" t="s">
        <v>565</v>
      </c>
      <c r="Q142" s="311"/>
      <c r="R142" s="291" t="s">
        <v>573</v>
      </c>
      <c r="S142" s="280"/>
      <c r="T142" s="277"/>
      <c r="U142" s="277"/>
      <c r="V142" s="283">
        <v>2000.0</v>
      </c>
      <c r="W142" s="275" t="s">
        <v>699</v>
      </c>
      <c r="X142" s="283">
        <v>2000.0</v>
      </c>
      <c r="Y142" s="274">
        <v>2016.0</v>
      </c>
      <c r="Z142" s="279">
        <v>1900.0</v>
      </c>
      <c r="AA142" s="285">
        <v>0.08</v>
      </c>
      <c r="AB142" s="282">
        <v>4136832.0</v>
      </c>
      <c r="AC142" s="277"/>
      <c r="AD142" s="289">
        <v>46014.0</v>
      </c>
      <c r="AE142" s="272">
        <v>2442.0</v>
      </c>
      <c r="AF142" s="277"/>
      <c r="AG142" s="277"/>
      <c r="AH142" s="294">
        <f>IFERROR(__xludf.DUMMYFUNCTION("IFERROR(INDEX( SORT(FILTER(
        {'1. DATA CHUNG'!$J$4:$J$105 , '1. DATA CHUNG'!$L$4:$L$105}, (TRIM('1. DATA CHUNG'!$I$4:$I$105)=TRIM(K142)) * IF(COUNTIFS('1. DATA CHUNG'!$I$4:$I$105,K142,'1. DATA CHUNG'!$M$4:$M$105,Q142), '1. DATA CHUNG'!$M$4:$M$105=Q"&amp;"142, 1) * ('1. DATA CHUNG'!$L$4:$L$105&lt;=TODAY()) ),   2, 0),  1, 1), 
  IFERROR( INDEX(FILTER('1. DATA CHUNG'!$J$4:$J$105, (TRIM('1. DATA CHUNG'!$I$4:$I$105)=TRIM(K142)) * IF(COUNTIFS('1. DATA CHUNG'!$I$4:$I$105,K142,'1. DATA CHUNG'!$M$4:$M$105,Q142), '1."&amp;" DATA CHUNG'!$M$4:$M$105=Q142, 1) * ('1. DATA CHUNG'!$L$4:$L$105="""")), 1), ""Không tìm thấy"" ))"),7.0)</f>
        <v>7</v>
      </c>
      <c r="AI142" s="273">
        <f t="shared" si="2"/>
        <v>46021</v>
      </c>
      <c r="AJ142" s="287"/>
      <c r="AK142" s="286">
        <f t="shared" si="3"/>
        <v>0</v>
      </c>
      <c r="AL142" s="287">
        <f t="shared" si="4"/>
        <v>1</v>
      </c>
      <c r="AM142" s="287">
        <f t="shared" si="5"/>
        <v>5</v>
      </c>
      <c r="AN142" s="279">
        <f t="shared" si="6"/>
        <v>6</v>
      </c>
      <c r="AO142" s="295" t="str">
        <f t="shared" si="7"/>
        <v>12/2025</v>
      </c>
      <c r="AP142" s="277" t="str">
        <f t="array" ref="AP142">IFERROR(XLOOKUP(L142,'2. DATA NL, VTBB'!C:C,'2. DATA NL, VTBB'!F:F),"")</f>
        <v>HH0234</v>
      </c>
      <c r="AQ142" s="277" t="str">
        <f t="array" ref="AQ142">IF(OR(K142="Nhãn", K142="Nhãn thùng",K142="Nhãn Túi"), K142 &amp; " " &amp; IFERROR(XLOOKUP(L142, '2. DATA NL, VTBB'!C:C, '2. DATA NL, VTBB'!E:E), ""), "")</f>
        <v/>
      </c>
      <c r="AR142" s="278" t="str">
        <f t="array" ref="AR142">IFERROR(XLOOKUP(L142,'2. DATA NL, VTBB'!C:C,'2. DATA NL, VTBB'!G:G),"")</f>
        <v>LOT IDA Global - I - 875 - ĐL Bảo Tại - Avermectin 36 (Pet tròn) (nắp đỏ)(nước nâu đen) - 450ml - 40</v>
      </c>
      <c r="AS142" s="278" t="str">
        <f t="array" ref="AS142">IFERROR(XLOOKUP(L142,'2. DATA NL, VTBB'!C:C,'2. DATA NL, VTBB'!G:G),"")</f>
        <v>LOT IDA Global - I - 875 - ĐL Bảo Tại - Avermectin 36 (Pet tròn) (nắp đỏ)(nước nâu đen) - 450ml - 40</v>
      </c>
      <c r="AT142" s="277"/>
    </row>
    <row r="143" ht="30.75" customHeight="1">
      <c r="A143" s="272">
        <f t="shared" si="33"/>
        <v>140</v>
      </c>
      <c r="B143" s="289">
        <v>46014.0</v>
      </c>
      <c r="C143" s="273">
        <v>46015.0</v>
      </c>
      <c r="D143" s="273">
        <f t="shared" si="34"/>
        <v>46017</v>
      </c>
      <c r="E143" s="289">
        <v>46016.0</v>
      </c>
      <c r="F143" s="274" t="s">
        <v>561</v>
      </c>
      <c r="G143" s="275" t="s">
        <v>562</v>
      </c>
      <c r="H143" s="274" t="s">
        <v>304</v>
      </c>
      <c r="I143" s="275" t="s">
        <v>726</v>
      </c>
      <c r="J143" s="279" t="s">
        <v>846</v>
      </c>
      <c r="K143" s="275" t="s">
        <v>730</v>
      </c>
      <c r="L143" s="277" t="s">
        <v>797</v>
      </c>
      <c r="M143" s="278" t="str">
        <f t="array" ref="M143">IFERROR(XLOOKUP(L143,'2. DATA NL, VTBB'!C:C,'2. DATA NL, VTBB'!D:D),"")</f>
        <v>Nắp PET cổ 44 (9g) - Vàng</v>
      </c>
      <c r="N143" s="280"/>
      <c r="O143" s="280" t="str">
        <f t="array" ref="O143">IFERROR( XLOOKUP(L143,'2. DATA NL, VTBB'!C:C,'2. DATA NL, VTBB'!E:E),"")</f>
        <v>SHA CHONG JING 95WP</v>
      </c>
      <c r="P143" s="275" t="s">
        <v>565</v>
      </c>
      <c r="Q143" s="311"/>
      <c r="R143" s="291" t="s">
        <v>573</v>
      </c>
      <c r="S143" s="280"/>
      <c r="T143" s="277"/>
      <c r="U143" s="277"/>
      <c r="V143" s="283">
        <v>2000.0</v>
      </c>
      <c r="W143" s="275" t="s">
        <v>699</v>
      </c>
      <c r="X143" s="283">
        <v>2000.0</v>
      </c>
      <c r="Y143" s="274">
        <v>2016.0</v>
      </c>
      <c r="Z143" s="279">
        <v>900.0</v>
      </c>
      <c r="AA143" s="285">
        <v>0.08</v>
      </c>
      <c r="AB143" s="282">
        <v>1959552.0</v>
      </c>
      <c r="AC143" s="277"/>
      <c r="AD143" s="289">
        <v>46014.0</v>
      </c>
      <c r="AE143" s="272">
        <v>2442.0</v>
      </c>
      <c r="AF143" s="277"/>
      <c r="AG143" s="277"/>
      <c r="AH143" s="294">
        <f>IFERROR(__xludf.DUMMYFUNCTION("IFERROR(INDEX( SORT(FILTER(
        {'1. DATA CHUNG'!$J$4:$J$105 , '1. DATA CHUNG'!$L$4:$L$105}, (TRIM('1. DATA CHUNG'!$I$4:$I$105)=TRIM(K143)) * IF(COUNTIFS('1. DATA CHUNG'!$I$4:$I$105,K143,'1. DATA CHUNG'!$M$4:$M$105,Q143), '1. DATA CHUNG'!$M$4:$M$105=Q"&amp;"143, 1) * ('1. DATA CHUNG'!$L$4:$L$105&lt;=TODAY()) ),   2, 0),  1, 1), 
  IFERROR( INDEX(FILTER('1. DATA CHUNG'!$J$4:$J$105, (TRIM('1. DATA CHUNG'!$I$4:$I$105)=TRIM(K143)) * IF(COUNTIFS('1. DATA CHUNG'!$I$4:$I$105,K143,'1. DATA CHUNG'!$M$4:$M$105,Q143), '1."&amp;" DATA CHUNG'!$M$4:$M$105=Q143, 1) * ('1. DATA CHUNG'!$L$4:$L$105="""")), 1), ""Không tìm thấy"" ))"),7.0)</f>
        <v>7</v>
      </c>
      <c r="AI143" s="273">
        <f t="shared" si="2"/>
        <v>46021</v>
      </c>
      <c r="AJ143" s="287"/>
      <c r="AK143" s="286">
        <f t="shared" si="3"/>
        <v>0</v>
      </c>
      <c r="AL143" s="287">
        <f t="shared" si="4"/>
        <v>1</v>
      </c>
      <c r="AM143" s="287">
        <f t="shared" si="5"/>
        <v>5</v>
      </c>
      <c r="AN143" s="279">
        <f t="shared" si="6"/>
        <v>6</v>
      </c>
      <c r="AO143" s="295" t="str">
        <f t="shared" si="7"/>
        <v>12/2025</v>
      </c>
      <c r="AP143" s="277" t="str">
        <f t="array" ref="AP143">IFERROR(XLOOKUP(L143,'2. DATA NL, VTBB'!C:C,'2. DATA NL, VTBB'!F:F),"")</f>
        <v>HH0166</v>
      </c>
      <c r="AQ143" s="277" t="str">
        <f t="array" ref="AQ143">IF(OR(K143="Nhãn", K143="Nhãn thùng",K143="Nhãn Túi"), K143 &amp; " " &amp; IFERROR(XLOOKUP(L143, '2. DATA NL, VTBB'!C:C, '2. DATA NL, VTBB'!E:E), ""), "")</f>
        <v/>
      </c>
      <c r="AR143" s="278" t="str">
        <f t="array" ref="AR143">IFERROR(XLOOKUP(L143,'2. DATA NL, VTBB'!C:C,'2. DATA NL, VTBB'!G:G),"")</f>
        <v>GC - IV - 893 - Thái Hoàng - Đầu Gà (Nhãn Trục) - 80gr - 150</v>
      </c>
      <c r="AS143" s="278" t="str">
        <f t="array" ref="AS143">IFERROR(XLOOKUP(L143,'2. DATA NL, VTBB'!C:C,'2. DATA NL, VTBB'!G:G),"")</f>
        <v>GC - IV - 893 - Thái Hoàng - Đầu Gà (Nhãn Trục) - 80gr - 150</v>
      </c>
      <c r="AT143" s="277"/>
    </row>
    <row r="144" ht="30.75" customHeight="1">
      <c r="A144" s="272">
        <f t="shared" si="33"/>
        <v>141</v>
      </c>
      <c r="B144" s="289">
        <v>46016.0</v>
      </c>
      <c r="C144" s="273">
        <v>46017.0</v>
      </c>
      <c r="D144" s="273">
        <f t="shared" si="34"/>
        <v>46019</v>
      </c>
      <c r="E144" s="289">
        <v>46022.0</v>
      </c>
      <c r="F144" s="274" t="s">
        <v>561</v>
      </c>
      <c r="G144" s="275" t="s">
        <v>562</v>
      </c>
      <c r="H144" s="274" t="s">
        <v>304</v>
      </c>
      <c r="I144" s="275" t="s">
        <v>744</v>
      </c>
      <c r="J144" s="279" t="s">
        <v>847</v>
      </c>
      <c r="K144" s="275" t="s">
        <v>728</v>
      </c>
      <c r="L144" s="277" t="s">
        <v>848</v>
      </c>
      <c r="M144" s="278" t="str">
        <f t="array" ref="M144">IFERROR(XLOOKUP(L144,'2. DATA NL, VTBB'!C:C,'2. DATA NL, VTBB'!D:D),"")</f>
        <v>Chai HDPE tròn cổ 43 450ml-500ml (72gr) logo IDA màu trắng</v>
      </c>
      <c r="N144" s="280"/>
      <c r="O144" s="280" t="str">
        <f t="array" ref="O144">IFERROR( XLOOKUP(L144,'2. DATA NL, VTBB'!C:C,'2. DATA NL, VTBB'!E:E),"")</f>
        <v>Vi lượng Quantity New</v>
      </c>
      <c r="P144" s="275" t="s">
        <v>565</v>
      </c>
      <c r="Q144" s="311"/>
      <c r="R144" s="291" t="s">
        <v>573</v>
      </c>
      <c r="S144" s="280"/>
      <c r="T144" s="277"/>
      <c r="U144" s="277"/>
      <c r="V144" s="283">
        <v>4000.0</v>
      </c>
      <c r="W144" s="275" t="s">
        <v>699</v>
      </c>
      <c r="X144" s="283">
        <v>4000.0</v>
      </c>
      <c r="Y144" s="274">
        <v>4004.0</v>
      </c>
      <c r="Z144" s="287">
        <v>4000.0</v>
      </c>
      <c r="AA144" s="285">
        <v>0.08</v>
      </c>
      <c r="AB144" s="282">
        <v>1.729728E7</v>
      </c>
      <c r="AC144" s="277"/>
      <c r="AD144" s="289">
        <v>46016.0</v>
      </c>
      <c r="AE144" s="312"/>
      <c r="AF144" s="277"/>
      <c r="AG144" s="277"/>
      <c r="AH144" s="294">
        <f>IFERROR(__xludf.DUMMYFUNCTION("IFERROR(INDEX( SORT(FILTER(
        {'1. DATA CHUNG'!$J$4:$J$105 , '1. DATA CHUNG'!$L$4:$L$105}, (TRIM('1. DATA CHUNG'!$I$4:$I$105)=TRIM(K144)) * IF(COUNTIFS('1. DATA CHUNG'!$I$4:$I$105,K144,'1. DATA CHUNG'!$M$4:$M$105,Q144), '1. DATA CHUNG'!$M$4:$M$105=Q"&amp;"144, 1) * ('1. DATA CHUNG'!$L$4:$L$105&lt;=TODAY()) ),   2, 0),  1, 1), 
  IFERROR( INDEX(FILTER('1. DATA CHUNG'!$J$4:$J$105, (TRIM('1. DATA CHUNG'!$I$4:$I$105)=TRIM(K144)) * IF(COUNTIFS('1. DATA CHUNG'!$I$4:$I$105,K144,'1. DATA CHUNG'!$M$4:$M$105,Q144), '1."&amp;" DATA CHUNG'!$M$4:$M$105=Q144, 1) * ('1. DATA CHUNG'!$L$4:$L$105="""")), 1), ""Không tìm thấy"" ))"),7.0)</f>
        <v>7</v>
      </c>
      <c r="AI144" s="273">
        <f t="shared" si="2"/>
        <v>46023</v>
      </c>
      <c r="AJ144" s="287"/>
      <c r="AK144" s="286">
        <f t="shared" si="3"/>
        <v>0</v>
      </c>
      <c r="AL144" s="287">
        <f t="shared" si="4"/>
        <v>-3</v>
      </c>
      <c r="AM144" s="287">
        <f t="shared" si="5"/>
        <v>1</v>
      </c>
      <c r="AN144" s="279">
        <f t="shared" si="6"/>
        <v>6</v>
      </c>
      <c r="AO144" s="295" t="str">
        <f t="shared" si="7"/>
        <v>12/2025</v>
      </c>
      <c r="AP144" s="277" t="str">
        <f t="array" ref="AP144">IFERROR(XLOOKUP(L144,'2. DATA NL, VTBB'!C:C,'2. DATA NL, VTBB'!F:F),"")</f>
        <v>HH0174</v>
      </c>
      <c r="AQ144" s="277" t="str">
        <f t="array" ref="AQ144">IF(OR(K144="Nhãn", K144="Nhãn thùng",K144="Nhãn Túi"), K144 &amp; " " &amp; IFERROR(XLOOKUP(L144, '2. DATA NL, VTBB'!C:C, '2. DATA NL, VTBB'!E:E), ""), "")</f>
        <v/>
      </c>
      <c r="AR144" s="278" t="str">
        <f t="array" ref="AR144">IFERROR(XLOOKUP(L144,'2. DATA NL, VTBB'!C:C,'2. DATA NL, VTBB'!G:G),"")</f>
        <v>GC - II - 762 - A Thời GNH - Siêu kích rễ (chai HD) - 500ml - 40</v>
      </c>
      <c r="AS144" s="278" t="str">
        <f t="array" ref="AS144">IFERROR(XLOOKUP(L144,'2. DATA NL, VTBB'!C:C,'2. DATA NL, VTBB'!G:G),"")</f>
        <v>GC - II - 762 - A Thời GNH - Siêu kích rễ (chai HD) - 500ml - 40</v>
      </c>
      <c r="AT144" s="277"/>
    </row>
    <row r="145" ht="30.75" customHeight="1">
      <c r="A145" s="272">
        <f t="shared" si="33"/>
        <v>142</v>
      </c>
      <c r="B145" s="289">
        <v>46016.0</v>
      </c>
      <c r="C145" s="273">
        <v>46017.0</v>
      </c>
      <c r="D145" s="273">
        <f t="shared" si="34"/>
        <v>46019</v>
      </c>
      <c r="E145" s="289">
        <v>46022.0</v>
      </c>
      <c r="F145" s="274" t="s">
        <v>561</v>
      </c>
      <c r="G145" s="275" t="s">
        <v>562</v>
      </c>
      <c r="H145" s="274" t="s">
        <v>304</v>
      </c>
      <c r="I145" s="275" t="s">
        <v>744</v>
      </c>
      <c r="J145" s="279" t="s">
        <v>849</v>
      </c>
      <c r="K145" s="275" t="s">
        <v>730</v>
      </c>
      <c r="L145" s="277" t="s">
        <v>810</v>
      </c>
      <c r="M145" s="278" t="str">
        <f t="array" ref="M145">IFERROR(XLOOKUP(L145,'2. DATA NL, VTBB'!C:C,'2. DATA NL, VTBB'!D:D),"")</f>
        <v>Nắp HDPE cổ 43 (10gr) logo IDA màu trắng</v>
      </c>
      <c r="N145" s="280"/>
      <c r="O145" s="280" t="str">
        <f t="array" ref="O145">IFERROR( XLOOKUP(L145,'2. DATA NL, VTBB'!C:C,'2. DATA NL, VTBB'!E:E),"")</f>
        <v>Acodyl 35WP</v>
      </c>
      <c r="P145" s="275" t="s">
        <v>565</v>
      </c>
      <c r="Q145" s="311"/>
      <c r="R145" s="290" t="s">
        <v>566</v>
      </c>
      <c r="S145" s="280"/>
      <c r="T145" s="277"/>
      <c r="U145" s="277"/>
      <c r="V145" s="283">
        <v>4000.0</v>
      </c>
      <c r="W145" s="275" t="s">
        <v>699</v>
      </c>
      <c r="X145" s="283">
        <v>4000.0</v>
      </c>
      <c r="Y145" s="274">
        <v>4004.0</v>
      </c>
      <c r="Z145" s="279">
        <v>1000.0</v>
      </c>
      <c r="AA145" s="285">
        <v>0.08</v>
      </c>
      <c r="AB145" s="282">
        <v>4324320.0</v>
      </c>
      <c r="AC145" s="277"/>
      <c r="AD145" s="289">
        <v>46016.0</v>
      </c>
      <c r="AE145" s="272">
        <v>3962.0</v>
      </c>
      <c r="AF145" s="277"/>
      <c r="AG145" s="277"/>
      <c r="AH145" s="294">
        <f>IFERROR(__xludf.DUMMYFUNCTION("IFERROR(INDEX( SORT(FILTER(
        {'1. DATA CHUNG'!$J$4:$J$105 , '1. DATA CHUNG'!$L$4:$L$105}, (TRIM('1. DATA CHUNG'!$I$4:$I$105)=TRIM(K145)) * IF(COUNTIFS('1. DATA CHUNG'!$I$4:$I$105,K145,'1. DATA CHUNG'!$M$4:$M$105,Q145), '1. DATA CHUNG'!$M$4:$M$105=Q"&amp;"145, 1) * ('1. DATA CHUNG'!$L$4:$L$105&lt;=TODAY()) ),   2, 0),  1, 1), 
  IFERROR( INDEX(FILTER('1. DATA CHUNG'!$J$4:$J$105, (TRIM('1. DATA CHUNG'!$I$4:$I$105)=TRIM(K145)) * IF(COUNTIFS('1. DATA CHUNG'!$I$4:$I$105,K145,'1. DATA CHUNG'!$M$4:$M$105,Q145), '1."&amp;" DATA CHUNG'!$M$4:$M$105=Q145, 1) * ('1. DATA CHUNG'!$L$4:$L$105="""")), 1), ""Không tìm thấy"" ))"),7.0)</f>
        <v>7</v>
      </c>
      <c r="AI145" s="273">
        <f t="shared" si="2"/>
        <v>46023</v>
      </c>
      <c r="AJ145" s="287"/>
      <c r="AK145" s="286">
        <f t="shared" si="3"/>
        <v>0</v>
      </c>
      <c r="AL145" s="287">
        <f t="shared" si="4"/>
        <v>-3</v>
      </c>
      <c r="AM145" s="287">
        <f t="shared" si="5"/>
        <v>1</v>
      </c>
      <c r="AN145" s="279">
        <f t="shared" si="6"/>
        <v>6</v>
      </c>
      <c r="AO145" s="295" t="str">
        <f t="shared" si="7"/>
        <v>12/2025</v>
      </c>
      <c r="AP145" s="277" t="str">
        <f t="array" ref="AP145">IFERROR(XLOOKUP(L145,'2. DATA NL, VTBB'!C:C,'2. DATA NL, VTBB'!F:F),"")</f>
        <v>HH0017</v>
      </c>
      <c r="AQ145" s="277" t="str">
        <f t="array" ref="AQ145">IF(OR(K145="Nhãn", K145="Nhãn thùng",K145="Nhãn Túi"), K145 &amp; " " &amp; IFERROR(XLOOKUP(L145, '2. DATA NL, VTBB'!C:C, '2. DATA NL, VTBB'!E:E), ""), "")</f>
        <v/>
      </c>
      <c r="AR145" s="278" t="str">
        <f t="array" ref="AR145">IFERROR(XLOOKUP(L145,'2. DATA NL, VTBB'!C:C,'2. DATA NL, VTBB'!G:G),"")</f>
        <v>GC - I - 309 - Wettable Powder - 100gr - 100</v>
      </c>
      <c r="AS145" s="278" t="str">
        <f t="array" ref="AS145">IFERROR(XLOOKUP(L145,'2. DATA NL, VTBB'!C:C,'2. DATA NL, VTBB'!G:G),"")</f>
        <v>GC - I - 309 - Wettable Powder - 100gr - 100</v>
      </c>
      <c r="AT145" s="277"/>
    </row>
    <row r="146" ht="30.75" customHeight="1">
      <c r="A146" s="272">
        <f t="shared" si="33"/>
        <v>143</v>
      </c>
      <c r="B146" s="289">
        <v>46016.0</v>
      </c>
      <c r="C146" s="273">
        <v>46017.0</v>
      </c>
      <c r="D146" s="273">
        <f t="shared" si="34"/>
        <v>46019</v>
      </c>
      <c r="E146" s="289">
        <v>46022.0</v>
      </c>
      <c r="F146" s="274" t="s">
        <v>561</v>
      </c>
      <c r="G146" s="275" t="s">
        <v>580</v>
      </c>
      <c r="H146" s="274" t="s">
        <v>304</v>
      </c>
      <c r="I146" s="275" t="s">
        <v>744</v>
      </c>
      <c r="J146" s="279" t="s">
        <v>850</v>
      </c>
      <c r="K146" s="275" t="s">
        <v>728</v>
      </c>
      <c r="L146" s="277" t="s">
        <v>848</v>
      </c>
      <c r="M146" s="278" t="str">
        <f t="array" ref="M146">IFERROR(XLOOKUP(L146,'2. DATA NL, VTBB'!C:C,'2. DATA NL, VTBB'!D:D),"")</f>
        <v>Chai HDPE tròn cổ 43 450ml-500ml (72gr) logo IDA màu trắng</v>
      </c>
      <c r="N146" s="280"/>
      <c r="O146" s="280" t="str">
        <f t="array" ref="O146">IFERROR( XLOOKUP(L146,'2. DATA NL, VTBB'!C:C,'2. DATA NL, VTBB'!E:E),"")</f>
        <v>Vi lượng Quantity New</v>
      </c>
      <c r="P146" s="275" t="s">
        <v>565</v>
      </c>
      <c r="Q146" s="311"/>
      <c r="R146" s="291" t="s">
        <v>622</v>
      </c>
      <c r="S146" s="280"/>
      <c r="T146" s="277"/>
      <c r="U146" s="277"/>
      <c r="V146" s="283">
        <v>6000.0</v>
      </c>
      <c r="W146" s="275" t="s">
        <v>699</v>
      </c>
      <c r="X146" s="283">
        <v>6000.0</v>
      </c>
      <c r="Y146" s="274">
        <v>6006.0</v>
      </c>
      <c r="Z146" s="279">
        <v>4000.0</v>
      </c>
      <c r="AA146" s="285">
        <v>0.08</v>
      </c>
      <c r="AB146" s="282">
        <v>2.594592E7</v>
      </c>
      <c r="AC146" s="277"/>
      <c r="AD146" s="289">
        <v>46016.0</v>
      </c>
      <c r="AE146" s="272">
        <v>63.0</v>
      </c>
      <c r="AF146" s="277"/>
      <c r="AG146" s="277"/>
      <c r="AH146" s="294">
        <f>IFERROR(__xludf.DUMMYFUNCTION("IFERROR(INDEX( SORT(FILTER(
        {'1. DATA CHUNG'!$J$4:$J$105 , '1. DATA CHUNG'!$L$4:$L$105}, (TRIM('1. DATA CHUNG'!$I$4:$I$105)=TRIM(K146)) * IF(COUNTIFS('1. DATA CHUNG'!$I$4:$I$105,K146,'1. DATA CHUNG'!$M$4:$M$105,Q146), '1. DATA CHUNG'!$M$4:$M$105=Q"&amp;"146, 1) * ('1. DATA CHUNG'!$L$4:$L$105&lt;=TODAY()) ),   2, 0),  1, 1), 
  IFERROR( INDEX(FILTER('1. DATA CHUNG'!$J$4:$J$105, (TRIM('1. DATA CHUNG'!$I$4:$I$105)=TRIM(K146)) * IF(COUNTIFS('1. DATA CHUNG'!$I$4:$I$105,K146,'1. DATA CHUNG'!$M$4:$M$105,Q146), '1."&amp;" DATA CHUNG'!$M$4:$M$105=Q146, 1) * ('1. DATA CHUNG'!$L$4:$L$105="""")), 1), ""Không tìm thấy"" ))"),7.0)</f>
        <v>7</v>
      </c>
      <c r="AI146" s="273">
        <f t="shared" si="2"/>
        <v>46023</v>
      </c>
      <c r="AJ146" s="287"/>
      <c r="AK146" s="286">
        <f t="shared" si="3"/>
        <v>0</v>
      </c>
      <c r="AL146" s="287">
        <f t="shared" si="4"/>
        <v>-3</v>
      </c>
      <c r="AM146" s="287">
        <f t="shared" si="5"/>
        <v>1</v>
      </c>
      <c r="AN146" s="279">
        <f t="shared" si="6"/>
        <v>6</v>
      </c>
      <c r="AO146" s="295" t="str">
        <f t="shared" si="7"/>
        <v>12/2025</v>
      </c>
      <c r="AP146" s="277" t="str">
        <f t="array" ref="AP146">IFERROR(XLOOKUP(L146,'2. DATA NL, VTBB'!C:C,'2. DATA NL, VTBB'!F:F),"")</f>
        <v>HH0174</v>
      </c>
      <c r="AQ146" s="277" t="str">
        <f t="array" ref="AQ146">IF(OR(K146="Nhãn", K146="Nhãn thùng",K146="Nhãn Túi"), K146 &amp; " " &amp; IFERROR(XLOOKUP(L146, '2. DATA NL, VTBB'!C:C, '2. DATA NL, VTBB'!E:E), ""), "")</f>
        <v/>
      </c>
      <c r="AR146" s="278" t="str">
        <f t="array" ref="AR146">IFERROR(XLOOKUP(L146,'2. DATA NL, VTBB'!C:C,'2. DATA NL, VTBB'!G:G),"")</f>
        <v>GC - II - 762 - A Thời GNH - Siêu kích rễ (chai HD) - 500ml - 40</v>
      </c>
      <c r="AS146" s="278" t="str">
        <f t="array" ref="AS146">IFERROR(XLOOKUP(L146,'2. DATA NL, VTBB'!C:C,'2. DATA NL, VTBB'!G:G),"")</f>
        <v>GC - II - 762 - A Thời GNH - Siêu kích rễ (chai HD) - 500ml - 40</v>
      </c>
      <c r="AT146" s="277"/>
    </row>
    <row r="147" ht="30.75" customHeight="1">
      <c r="A147" s="272">
        <f t="shared" si="33"/>
        <v>144</v>
      </c>
      <c r="B147" s="289">
        <v>46016.0</v>
      </c>
      <c r="C147" s="273">
        <v>46017.0</v>
      </c>
      <c r="D147" s="273">
        <f t="shared" si="34"/>
        <v>46019</v>
      </c>
      <c r="E147" s="289">
        <v>46022.0</v>
      </c>
      <c r="F147" s="274" t="s">
        <v>561</v>
      </c>
      <c r="G147" s="275" t="s">
        <v>580</v>
      </c>
      <c r="H147" s="274" t="s">
        <v>304</v>
      </c>
      <c r="I147" s="275" t="s">
        <v>744</v>
      </c>
      <c r="J147" s="279" t="s">
        <v>850</v>
      </c>
      <c r="K147" s="275" t="s">
        <v>730</v>
      </c>
      <c r="L147" s="277" t="s">
        <v>810</v>
      </c>
      <c r="M147" s="278" t="str">
        <f t="array" ref="M147">IFERROR(XLOOKUP(L147,'2. DATA NL, VTBB'!C:C,'2. DATA NL, VTBB'!D:D),"")</f>
        <v>Nắp HDPE cổ 43 (10gr) logo IDA màu trắng</v>
      </c>
      <c r="N147" s="280"/>
      <c r="O147" s="280" t="str">
        <f t="array" ref="O147">IFERROR( XLOOKUP(L147,'2. DATA NL, VTBB'!C:C,'2. DATA NL, VTBB'!E:E),"")</f>
        <v>Acodyl 35WP</v>
      </c>
      <c r="P147" s="275" t="s">
        <v>565</v>
      </c>
      <c r="Q147" s="311"/>
      <c r="R147" s="291" t="s">
        <v>622</v>
      </c>
      <c r="S147" s="280"/>
      <c r="T147" s="277"/>
      <c r="U147" s="277"/>
      <c r="V147" s="283">
        <v>6000.0</v>
      </c>
      <c r="W147" s="275" t="s">
        <v>699</v>
      </c>
      <c r="X147" s="283">
        <v>6000.0</v>
      </c>
      <c r="Y147" s="274">
        <v>6006.0</v>
      </c>
      <c r="Z147" s="287">
        <v>1000.0</v>
      </c>
      <c r="AA147" s="285">
        <v>0.08</v>
      </c>
      <c r="AB147" s="282">
        <v>6486480.0</v>
      </c>
      <c r="AC147" s="277"/>
      <c r="AD147" s="289">
        <v>46016.0</v>
      </c>
      <c r="AE147" s="272">
        <v>63.0</v>
      </c>
      <c r="AF147" s="277"/>
      <c r="AG147" s="277"/>
      <c r="AH147" s="294">
        <f>IFERROR(__xludf.DUMMYFUNCTION("IFERROR(INDEX( SORT(FILTER(
        {'1. DATA CHUNG'!$J$4:$J$105 , '1. DATA CHUNG'!$L$4:$L$105}, (TRIM('1. DATA CHUNG'!$I$4:$I$105)=TRIM(K147)) * IF(COUNTIFS('1. DATA CHUNG'!$I$4:$I$105,K147,'1. DATA CHUNG'!$M$4:$M$105,Q147), '1. DATA CHUNG'!$M$4:$M$105=Q"&amp;"147, 1) * ('1. DATA CHUNG'!$L$4:$L$105&lt;=TODAY()) ),   2, 0),  1, 1), 
  IFERROR( INDEX(FILTER('1. DATA CHUNG'!$J$4:$J$105, (TRIM('1. DATA CHUNG'!$I$4:$I$105)=TRIM(K147)) * IF(COUNTIFS('1. DATA CHUNG'!$I$4:$I$105,K147,'1. DATA CHUNG'!$M$4:$M$105,Q147), '1."&amp;" DATA CHUNG'!$M$4:$M$105=Q147, 1) * ('1. DATA CHUNG'!$L$4:$L$105="""")), 1), ""Không tìm thấy"" ))"),7.0)</f>
        <v>7</v>
      </c>
      <c r="AI147" s="273">
        <f t="shared" si="2"/>
        <v>46023</v>
      </c>
      <c r="AJ147" s="287"/>
      <c r="AK147" s="286">
        <f t="shared" si="3"/>
        <v>0</v>
      </c>
      <c r="AL147" s="287">
        <f t="shared" si="4"/>
        <v>-3</v>
      </c>
      <c r="AM147" s="287">
        <f t="shared" si="5"/>
        <v>1</v>
      </c>
      <c r="AN147" s="279">
        <f t="shared" si="6"/>
        <v>6</v>
      </c>
      <c r="AO147" s="295" t="str">
        <f t="shared" si="7"/>
        <v>12/2025</v>
      </c>
      <c r="AP147" s="277" t="str">
        <f t="array" ref="AP147">IFERROR(XLOOKUP(L147,'2. DATA NL, VTBB'!C:C,'2. DATA NL, VTBB'!F:F),"")</f>
        <v>HH0017</v>
      </c>
      <c r="AQ147" s="277" t="str">
        <f t="array" ref="AQ147">IF(OR(K147="Nhãn", K147="Nhãn thùng",K147="Nhãn Túi"), K147 &amp; " " &amp; IFERROR(XLOOKUP(L147, '2. DATA NL, VTBB'!C:C, '2. DATA NL, VTBB'!E:E), ""), "")</f>
        <v/>
      </c>
      <c r="AR147" s="278" t="str">
        <f t="array" ref="AR147">IFERROR(XLOOKUP(L147,'2. DATA NL, VTBB'!C:C,'2. DATA NL, VTBB'!G:G),"")</f>
        <v>GC - I - 309 - Wettable Powder - 100gr - 100</v>
      </c>
      <c r="AS147" s="278" t="str">
        <f t="array" ref="AS147">IFERROR(XLOOKUP(L147,'2. DATA NL, VTBB'!C:C,'2. DATA NL, VTBB'!G:G),"")</f>
        <v>GC - I - 309 - Wettable Powder - 100gr - 100</v>
      </c>
      <c r="AT147" s="277"/>
    </row>
    <row r="148" ht="30.75" customHeight="1">
      <c r="A148" s="272">
        <f t="shared" si="33"/>
        <v>145</v>
      </c>
      <c r="B148" s="289">
        <v>46016.0</v>
      </c>
      <c r="C148" s="289">
        <v>46023.0</v>
      </c>
      <c r="D148" s="289">
        <f t="shared" ref="D148:D149" si="35">B148+15</f>
        <v>46031</v>
      </c>
      <c r="E148" s="289">
        <v>46025.0</v>
      </c>
      <c r="F148" s="274" t="s">
        <v>561</v>
      </c>
      <c r="G148" s="275" t="s">
        <v>562</v>
      </c>
      <c r="H148" s="274" t="s">
        <v>304</v>
      </c>
      <c r="I148" s="275" t="s">
        <v>305</v>
      </c>
      <c r="J148" s="279" t="s">
        <v>851</v>
      </c>
      <c r="K148" s="275" t="s">
        <v>301</v>
      </c>
      <c r="L148" s="277" t="s">
        <v>618</v>
      </c>
      <c r="M148" s="278" t="str">
        <f t="array" ref="M148">IFERROR(XLOOKUP(L148,'2. DATA NL, VTBB'!C:C,'2. DATA NL, VTBB'!D:D),"")</f>
        <v>Thùng IDA chai HDPE tròn 500ml x 40 chai (58x37x21cm) - Trắng xanh lá</v>
      </c>
      <c r="N148" s="280"/>
      <c r="O148" s="280" t="str">
        <f t="array" ref="O148">IFERROR( XLOOKUP(L148,'2. DATA NL, VTBB'!C:C,'2. DATA NL, VTBB'!E:E),"")</f>
        <v>Remy 19EC</v>
      </c>
      <c r="P148" s="275" t="s">
        <v>565</v>
      </c>
      <c r="Q148" s="311"/>
      <c r="R148" s="290" t="s">
        <v>566</v>
      </c>
      <c r="S148" s="280"/>
      <c r="T148" s="277"/>
      <c r="U148" s="277"/>
      <c r="V148" s="283">
        <v>300.0</v>
      </c>
      <c r="W148" s="275" t="s">
        <v>699</v>
      </c>
      <c r="X148" s="283">
        <v>300.0</v>
      </c>
      <c r="Y148" s="274">
        <v>300.0</v>
      </c>
      <c r="Z148" s="279">
        <v>22000.0</v>
      </c>
      <c r="AA148" s="285">
        <v>0.08</v>
      </c>
      <c r="AB148" s="282">
        <v>7128000.0</v>
      </c>
      <c r="AC148" s="277"/>
      <c r="AD148" s="289">
        <v>46016.0</v>
      </c>
      <c r="AE148" s="312"/>
      <c r="AF148" s="277"/>
      <c r="AG148" s="277"/>
      <c r="AH148" s="294">
        <f>IFERROR(__xludf.DUMMYFUNCTION("IFERROR(INDEX( SORT(FILTER(
        {'1. DATA CHUNG'!$J$4:$J$105 , '1. DATA CHUNG'!$L$4:$L$105}, (TRIM('1. DATA CHUNG'!$I$4:$I$105)=TRIM(K148)) * IF(COUNTIFS('1. DATA CHUNG'!$I$4:$I$105,K148,'1. DATA CHUNG'!$M$4:$M$105,Q148), '1. DATA CHUNG'!$M$4:$M$105=Q"&amp;"148, 1) * ('1. DATA CHUNG'!$L$4:$L$105&lt;=TODAY()) ),   2, 0),  1, 1), 
  IFERROR( INDEX(FILTER('1. DATA CHUNG'!$J$4:$J$105, (TRIM('1. DATA CHUNG'!$I$4:$I$105)=TRIM(K148)) * IF(COUNTIFS('1. DATA CHUNG'!$I$4:$I$105,K148,'1. DATA CHUNG'!$M$4:$M$105,Q148), '1."&amp;" DATA CHUNG'!$M$4:$M$105=Q148, 1) * ('1. DATA CHUNG'!$L$4:$L$105="""")), 1), ""Không tìm thấy"" ))"),18.0)</f>
        <v>18</v>
      </c>
      <c r="AI148" s="273">
        <f t="shared" si="2"/>
        <v>46034</v>
      </c>
      <c r="AJ148" s="287"/>
      <c r="AK148" s="286">
        <f t="shared" si="3"/>
        <v>0</v>
      </c>
      <c r="AL148" s="287">
        <f t="shared" si="4"/>
        <v>6</v>
      </c>
      <c r="AM148" s="287">
        <f t="shared" si="5"/>
        <v>9</v>
      </c>
      <c r="AN148" s="279">
        <f t="shared" si="6"/>
        <v>11</v>
      </c>
      <c r="AO148" s="295" t="str">
        <f t="shared" si="7"/>
        <v>12/2025</v>
      </c>
      <c r="AP148" s="277" t="str">
        <f t="array" ref="AP148">IFERROR(XLOOKUP(L148,'2. DATA NL, VTBB'!C:C,'2. DATA NL, VTBB'!F:F),"")</f>
        <v>HH0263</v>
      </c>
      <c r="AQ148" s="277" t="str">
        <f t="array" ref="AQ148">IF(OR(K148="Nhãn", K148="Nhãn thùng",K148="Nhãn Túi"), K148 &amp; " " &amp; IFERROR(XLOOKUP(L148, '2. DATA NL, VTBB'!C:C, '2. DATA NL, VTBB'!E:E), ""), "")</f>
        <v/>
      </c>
      <c r="AR148" s="278" t="str">
        <f t="array" ref="AR148">IFERROR(XLOOKUP(L148,'2. DATA NL, VTBB'!C:C,'2. DATA NL, VTBB'!G:G),"")</f>
        <v>GC - II - 682 - Đồng Phát - Doffatine 19 - 450ml - 40</v>
      </c>
      <c r="AS148" s="278" t="str">
        <f t="array" ref="AS148">IFERROR(XLOOKUP(L148,'2. DATA NL, VTBB'!C:C,'2. DATA NL, VTBB'!G:G),"")</f>
        <v>GC - II - 682 - Đồng Phát - Doffatine 19 - 450ml - 40</v>
      </c>
      <c r="AT148" s="277"/>
    </row>
    <row r="149" ht="30.75" customHeight="1">
      <c r="A149" s="272">
        <f t="shared" si="33"/>
        <v>146</v>
      </c>
      <c r="B149" s="289">
        <v>46016.0</v>
      </c>
      <c r="C149" s="289">
        <v>46023.0</v>
      </c>
      <c r="D149" s="289">
        <f t="shared" si="35"/>
        <v>46031</v>
      </c>
      <c r="E149" s="289">
        <v>46025.0</v>
      </c>
      <c r="F149" s="274" t="s">
        <v>561</v>
      </c>
      <c r="G149" s="275" t="s">
        <v>580</v>
      </c>
      <c r="H149" s="274" t="s">
        <v>304</v>
      </c>
      <c r="I149" s="275" t="s">
        <v>305</v>
      </c>
      <c r="J149" s="279" t="s">
        <v>852</v>
      </c>
      <c r="K149" s="275" t="s">
        <v>301</v>
      </c>
      <c r="L149" s="277" t="s">
        <v>618</v>
      </c>
      <c r="M149" s="278" t="str">
        <f t="array" ref="M149">IFERROR(XLOOKUP(L149,'2. DATA NL, VTBB'!C:C,'2. DATA NL, VTBB'!D:D),"")</f>
        <v>Thùng IDA chai HDPE tròn 500ml x 40 chai (58x37x21cm) - Trắng xanh lá</v>
      </c>
      <c r="N149" s="280"/>
      <c r="O149" s="280" t="str">
        <f t="array" ref="O149">IFERROR( XLOOKUP(L149,'2. DATA NL, VTBB'!C:C,'2. DATA NL, VTBB'!E:E),"")</f>
        <v>Remy 19EC</v>
      </c>
      <c r="P149" s="275" t="s">
        <v>565</v>
      </c>
      <c r="Q149" s="311"/>
      <c r="R149" s="291" t="s">
        <v>622</v>
      </c>
      <c r="S149" s="280"/>
      <c r="T149" s="277"/>
      <c r="U149" s="277"/>
      <c r="V149" s="283">
        <v>200.0</v>
      </c>
      <c r="W149" s="275" t="s">
        <v>699</v>
      </c>
      <c r="X149" s="283">
        <v>200.0</v>
      </c>
      <c r="Y149" s="274">
        <v>210.0</v>
      </c>
      <c r="Z149" s="279">
        <v>22000.0</v>
      </c>
      <c r="AA149" s="285">
        <v>0.08</v>
      </c>
      <c r="AB149" s="282">
        <v>4989600.0</v>
      </c>
      <c r="AC149" s="277"/>
      <c r="AD149" s="289">
        <v>46016.0</v>
      </c>
      <c r="AE149" s="272">
        <v>51.0</v>
      </c>
      <c r="AF149" s="277"/>
      <c r="AG149" s="277"/>
      <c r="AH149" s="294">
        <f>IFERROR(__xludf.DUMMYFUNCTION("IFERROR(INDEX( SORT(FILTER(
        {'1. DATA CHUNG'!$J$4:$J$105 , '1. DATA CHUNG'!$L$4:$L$105}, (TRIM('1. DATA CHUNG'!$I$4:$I$105)=TRIM(K149)) * IF(COUNTIFS('1. DATA CHUNG'!$I$4:$I$105,K149,'1. DATA CHUNG'!$M$4:$M$105,Q149), '1. DATA CHUNG'!$M$4:$M$105=Q"&amp;"149, 1) * ('1. DATA CHUNG'!$L$4:$L$105&lt;=TODAY()) ),   2, 0),  1, 1), 
  IFERROR( INDEX(FILTER('1. DATA CHUNG'!$J$4:$J$105, (TRIM('1. DATA CHUNG'!$I$4:$I$105)=TRIM(K149)) * IF(COUNTIFS('1. DATA CHUNG'!$I$4:$I$105,K149,'1. DATA CHUNG'!$M$4:$M$105,Q149), '1."&amp;" DATA CHUNG'!$M$4:$M$105=Q149, 1) * ('1. DATA CHUNG'!$L$4:$L$105="""")), 1), ""Không tìm thấy"" ))"),18.0)</f>
        <v>18</v>
      </c>
      <c r="AI149" s="273">
        <f t="shared" si="2"/>
        <v>46034</v>
      </c>
      <c r="AJ149" s="287"/>
      <c r="AK149" s="286">
        <f t="shared" si="3"/>
        <v>0</v>
      </c>
      <c r="AL149" s="287">
        <f t="shared" si="4"/>
        <v>6</v>
      </c>
      <c r="AM149" s="287">
        <f t="shared" si="5"/>
        <v>9</v>
      </c>
      <c r="AN149" s="279">
        <f t="shared" si="6"/>
        <v>11</v>
      </c>
      <c r="AO149" s="295" t="str">
        <f t="shared" si="7"/>
        <v>12/2025</v>
      </c>
      <c r="AP149" s="277" t="str">
        <f t="array" ref="AP149">IFERROR(XLOOKUP(L149,'2. DATA NL, VTBB'!C:C,'2. DATA NL, VTBB'!F:F),"")</f>
        <v>HH0263</v>
      </c>
      <c r="AQ149" s="277" t="str">
        <f t="array" ref="AQ149">IF(OR(K149="Nhãn", K149="Nhãn thùng",K149="Nhãn Túi"), K149 &amp; " " &amp; IFERROR(XLOOKUP(L149, '2. DATA NL, VTBB'!C:C, '2. DATA NL, VTBB'!E:E), ""), "")</f>
        <v/>
      </c>
      <c r="AR149" s="278" t="str">
        <f t="array" ref="AR149">IFERROR(XLOOKUP(L149,'2. DATA NL, VTBB'!C:C,'2. DATA NL, VTBB'!G:G),"")</f>
        <v>GC - II - 682 - Đồng Phát - Doffatine 19 - 450ml - 40</v>
      </c>
      <c r="AS149" s="278" t="str">
        <f t="array" ref="AS149">IFERROR(XLOOKUP(L149,'2. DATA NL, VTBB'!C:C,'2. DATA NL, VTBB'!G:G),"")</f>
        <v>GC - II - 682 - Đồng Phát - Doffatine 19 - 450ml - 40</v>
      </c>
      <c r="AT149" s="277"/>
    </row>
    <row r="150" ht="30.75" customHeight="1">
      <c r="A150" s="272">
        <f t="shared" si="33"/>
        <v>147</v>
      </c>
      <c r="B150" s="289">
        <v>46017.0</v>
      </c>
      <c r="C150" s="273">
        <v>46018.0</v>
      </c>
      <c r="D150" s="273">
        <f t="shared" ref="D150:D156" si="36">B150+3</f>
        <v>46020</v>
      </c>
      <c r="E150" s="289">
        <v>46024.0</v>
      </c>
      <c r="F150" s="274" t="s">
        <v>561</v>
      </c>
      <c r="G150" s="275" t="s">
        <v>562</v>
      </c>
      <c r="H150" s="274" t="s">
        <v>304</v>
      </c>
      <c r="I150" s="275" t="s">
        <v>853</v>
      </c>
      <c r="J150" s="279" t="s">
        <v>854</v>
      </c>
      <c r="K150" s="275" t="s">
        <v>728</v>
      </c>
      <c r="L150" s="277" t="s">
        <v>855</v>
      </c>
      <c r="M150" s="278" t="str">
        <f t="array" ref="M150">IFERROR(XLOOKUP(L150,'2. DATA NL, VTBB'!C:C,'2. DATA NL, VTBB'!D:D),"")</f>
        <v>Chai PET tròn cổ 38 (65gr) 500ml - Màu trắng</v>
      </c>
      <c r="N150" s="280"/>
      <c r="O150" s="280" t="str">
        <f t="array" ref="O150">IFERROR( XLOOKUP(L150,'2. DATA NL, VTBB'!C:C,'2. DATA NL, VTBB'!E:E),"")</f>
        <v>BYPHAN 800WP</v>
      </c>
      <c r="P150" s="275" t="s">
        <v>565</v>
      </c>
      <c r="Q150" s="311"/>
      <c r="R150" s="290" t="s">
        <v>566</v>
      </c>
      <c r="S150" s="280"/>
      <c r="T150" s="277"/>
      <c r="U150" s="277"/>
      <c r="V150" s="283">
        <v>1000.0</v>
      </c>
      <c r="W150" s="275" t="s">
        <v>699</v>
      </c>
      <c r="X150" s="283">
        <v>1000.0</v>
      </c>
      <c r="Y150" s="274">
        <v>1000.0</v>
      </c>
      <c r="Z150" s="287">
        <v>3200.0</v>
      </c>
      <c r="AA150" s="285">
        <v>0.08</v>
      </c>
      <c r="AB150" s="282">
        <v>3456000.0</v>
      </c>
      <c r="AC150" s="277"/>
      <c r="AD150" s="289">
        <v>46017.0</v>
      </c>
      <c r="AE150" s="272">
        <v>2237.0</v>
      </c>
      <c r="AF150" s="277"/>
      <c r="AG150" s="277"/>
      <c r="AH150" s="294">
        <f>IFERROR(__xludf.DUMMYFUNCTION("IFERROR(INDEX( SORT(FILTER(
        {'1. DATA CHUNG'!$J$4:$J$105 , '1. DATA CHUNG'!$L$4:$L$105}, (TRIM('1. DATA CHUNG'!$I$4:$I$105)=TRIM(K150)) * IF(COUNTIFS('1. DATA CHUNG'!$I$4:$I$105,K150,'1. DATA CHUNG'!$M$4:$M$105,Q150), '1. DATA CHUNG'!$M$4:$M$105=Q"&amp;"150, 1) * ('1. DATA CHUNG'!$L$4:$L$105&lt;=TODAY()) ),   2, 0),  1, 1), 
  IFERROR( INDEX(FILTER('1. DATA CHUNG'!$J$4:$J$105, (TRIM('1. DATA CHUNG'!$I$4:$I$105)=TRIM(K150)) * IF(COUNTIFS('1. DATA CHUNG'!$I$4:$I$105,K150,'1. DATA CHUNG'!$M$4:$M$105,Q150), '1."&amp;" DATA CHUNG'!$M$4:$M$105=Q150, 1) * ('1. DATA CHUNG'!$L$4:$L$105="""")), 1), ""Không tìm thấy"" ))"),7.0)</f>
        <v>7</v>
      </c>
      <c r="AI150" s="273">
        <f t="shared" si="2"/>
        <v>46024</v>
      </c>
      <c r="AJ150" s="287"/>
      <c r="AK150" s="286">
        <f t="shared" si="3"/>
        <v>0</v>
      </c>
      <c r="AL150" s="287">
        <f t="shared" si="4"/>
        <v>-4</v>
      </c>
      <c r="AM150" s="287">
        <f t="shared" si="5"/>
        <v>0</v>
      </c>
      <c r="AN150" s="279">
        <f t="shared" si="6"/>
        <v>6</v>
      </c>
      <c r="AO150" s="295" t="str">
        <f t="shared" si="7"/>
        <v>12/2025</v>
      </c>
      <c r="AP150" s="277" t="str">
        <f t="array" ref="AP150">IFERROR(XLOOKUP(L150,'2. DATA NL, VTBB'!C:C,'2. DATA NL, VTBB'!F:F),"")</f>
        <v>HH0215</v>
      </c>
      <c r="AQ150" s="277" t="str">
        <f t="array" ref="AQ150">IF(OR(K150="Nhãn", K150="Nhãn thùng",K150="Nhãn Túi"), K150 &amp; " " &amp; IFERROR(XLOOKUP(L150, '2. DATA NL, VTBB'!C:C, '2. DATA NL, VTBB'!E:E), ""), "")</f>
        <v/>
      </c>
      <c r="AR150" s="278" t="str">
        <f t="array" ref="AR150">IFERROR(XLOOKUP(L150,'2. DATA NL, VTBB'!C:C,'2. DATA NL, VTBB'!G:G),"")</f>
        <v>LOT IDA Global - I - 847 - ĐL Hồng Liệt - Mancozeb xanh - 1 Kg - 20</v>
      </c>
      <c r="AS150" s="278" t="str">
        <f t="array" ref="AS150">IFERROR(XLOOKUP(L150,'2. DATA NL, VTBB'!C:C,'2. DATA NL, VTBB'!G:G),"")</f>
        <v>LOT IDA Global - I - 847 - ĐL Hồng Liệt - Mancozeb xanh - 1 Kg - 20</v>
      </c>
      <c r="AT150" s="277"/>
    </row>
    <row r="151" ht="30.75" customHeight="1">
      <c r="A151" s="272">
        <f t="shared" si="33"/>
        <v>148</v>
      </c>
      <c r="B151" s="289">
        <v>46017.0</v>
      </c>
      <c r="C151" s="273">
        <v>46018.0</v>
      </c>
      <c r="D151" s="273">
        <f t="shared" si="36"/>
        <v>46020</v>
      </c>
      <c r="E151" s="289">
        <v>46024.0</v>
      </c>
      <c r="F151" s="274" t="s">
        <v>561</v>
      </c>
      <c r="G151" s="275" t="s">
        <v>562</v>
      </c>
      <c r="H151" s="274" t="s">
        <v>304</v>
      </c>
      <c r="I151" s="275" t="s">
        <v>853</v>
      </c>
      <c r="J151" s="279" t="s">
        <v>854</v>
      </c>
      <c r="K151" s="275" t="s">
        <v>728</v>
      </c>
      <c r="L151" s="277" t="s">
        <v>856</v>
      </c>
      <c r="M151" s="278" t="str">
        <f t="array" ref="M151">IFERROR(XLOOKUP(L151,'2. DATA NL, VTBB'!C:C,'2. DATA NL, VTBB'!D:D),"")</f>
        <v>Chai pet tròn cổ 38 250ml - Màu trắng (41gr)</v>
      </c>
      <c r="N151" s="280"/>
      <c r="O151" s="280" t="str">
        <f t="array" ref="O151">IFERROR( XLOOKUP(L151,'2. DATA NL, VTBB'!C:C,'2. DATA NL, VTBB'!E:E),"")</f>
        <v>Tikabamec 3.6EC</v>
      </c>
      <c r="P151" s="275" t="s">
        <v>565</v>
      </c>
      <c r="Q151" s="311"/>
      <c r="R151" s="290" t="s">
        <v>566</v>
      </c>
      <c r="S151" s="280"/>
      <c r="T151" s="277"/>
      <c r="U151" s="277"/>
      <c r="V151" s="283">
        <v>1000.0</v>
      </c>
      <c r="W151" s="275" t="s">
        <v>699</v>
      </c>
      <c r="X151" s="283">
        <v>1000.0</v>
      </c>
      <c r="Y151" s="274">
        <v>1360.0</v>
      </c>
      <c r="Z151" s="287">
        <v>2100.0</v>
      </c>
      <c r="AA151" s="285">
        <v>0.08</v>
      </c>
      <c r="AB151" s="282">
        <v>3084480.0</v>
      </c>
      <c r="AC151" s="277"/>
      <c r="AD151" s="289">
        <v>46017.0</v>
      </c>
      <c r="AE151" s="272">
        <v>2237.0</v>
      </c>
      <c r="AF151" s="277"/>
      <c r="AG151" s="277"/>
      <c r="AH151" s="294">
        <f>IFERROR(__xludf.DUMMYFUNCTION("IFERROR(INDEX( SORT(FILTER(
        {'1. DATA CHUNG'!$J$4:$J$105 , '1. DATA CHUNG'!$L$4:$L$105}, (TRIM('1. DATA CHUNG'!$I$4:$I$105)=TRIM(K151)) * IF(COUNTIFS('1. DATA CHUNG'!$I$4:$I$105,K151,'1. DATA CHUNG'!$M$4:$M$105,Q151), '1. DATA CHUNG'!$M$4:$M$105=Q"&amp;"151, 1) * ('1. DATA CHUNG'!$L$4:$L$105&lt;=TODAY()) ),   2, 0),  1, 1), 
  IFERROR( INDEX(FILTER('1. DATA CHUNG'!$J$4:$J$105, (TRIM('1. DATA CHUNG'!$I$4:$I$105)=TRIM(K151)) * IF(COUNTIFS('1. DATA CHUNG'!$I$4:$I$105,K151,'1. DATA CHUNG'!$M$4:$M$105,Q151), '1."&amp;" DATA CHUNG'!$M$4:$M$105=Q151, 1) * ('1. DATA CHUNG'!$L$4:$L$105="""")), 1), ""Không tìm thấy"" ))"),7.0)</f>
        <v>7</v>
      </c>
      <c r="AI151" s="273">
        <f t="shared" si="2"/>
        <v>46024</v>
      </c>
      <c r="AJ151" s="287"/>
      <c r="AK151" s="286">
        <f t="shared" si="3"/>
        <v>0</v>
      </c>
      <c r="AL151" s="287">
        <f t="shared" si="4"/>
        <v>-4</v>
      </c>
      <c r="AM151" s="287">
        <f t="shared" si="5"/>
        <v>0</v>
      </c>
      <c r="AN151" s="279">
        <f t="shared" si="6"/>
        <v>6</v>
      </c>
      <c r="AO151" s="295" t="str">
        <f t="shared" si="7"/>
        <v>12/2025</v>
      </c>
      <c r="AP151" s="277" t="str">
        <f t="array" ref="AP151">IFERROR(XLOOKUP(L151,'2. DATA NL, VTBB'!C:C,'2. DATA NL, VTBB'!F:F),"")</f>
        <v>HH0189</v>
      </c>
      <c r="AQ151" s="277" t="str">
        <f t="array" ref="AQ151">IF(OR(K151="Nhãn", K151="Nhãn thùng",K151="Nhãn Túi"), K151 &amp; " " &amp; IFERROR(XLOOKUP(L151, '2. DATA NL, VTBB'!C:C, '2. DATA NL, VTBB'!E:E), ""), "")</f>
        <v/>
      </c>
      <c r="AR151" s="278" t="str">
        <f t="array" ref="AR151">IFERROR(XLOOKUP(L151,'2. DATA NL, VTBB'!C:C,'2. DATA NL, VTBB'!G:G),"")</f>
        <v>LOT IDA Global - I - ĐL Hai Nhóm - 782 - Tikabamec 3.6EC (Pet tròn) (nước đục)- 450ml - 40</v>
      </c>
      <c r="AS151" s="278" t="str">
        <f t="array" ref="AS151">IFERROR(XLOOKUP(L151,'2. DATA NL, VTBB'!C:C,'2. DATA NL, VTBB'!G:G),"")</f>
        <v>LOT IDA Global - I - ĐL Hai Nhóm - 782 - Tikabamec 3.6EC (Pet tròn) (nước đục)- 450ml - 40</v>
      </c>
      <c r="AT151" s="277"/>
    </row>
    <row r="152" ht="30.75" customHeight="1">
      <c r="A152" s="272">
        <f t="shared" si="33"/>
        <v>149</v>
      </c>
      <c r="B152" s="289">
        <v>46017.0</v>
      </c>
      <c r="C152" s="273">
        <v>46018.0</v>
      </c>
      <c r="D152" s="273">
        <f t="shared" si="36"/>
        <v>46020</v>
      </c>
      <c r="E152" s="289">
        <v>46024.0</v>
      </c>
      <c r="F152" s="274" t="s">
        <v>561</v>
      </c>
      <c r="G152" s="275" t="s">
        <v>562</v>
      </c>
      <c r="H152" s="274" t="s">
        <v>304</v>
      </c>
      <c r="I152" s="275" t="s">
        <v>853</v>
      </c>
      <c r="J152" s="279" t="s">
        <v>854</v>
      </c>
      <c r="K152" s="275" t="s">
        <v>730</v>
      </c>
      <c r="L152" s="277" t="s">
        <v>776</v>
      </c>
      <c r="M152" s="278" t="str">
        <f t="array" ref="M152">IFERROR(XLOOKUP(L152,'2. DATA NL, VTBB'!C:C,'2. DATA NL, VTBB'!D:D),"")</f>
        <v>Nắp PET cổ 38 (7gr) gầy- Màu trắng</v>
      </c>
      <c r="N152" s="280"/>
      <c r="O152" s="280" t="str">
        <f t="array" ref="O152">IFERROR( XLOOKUP(L152,'2. DATA NL, VTBB'!C:C,'2. DATA NL, VTBB'!E:E),"")</f>
        <v>BYPHAN 800WP</v>
      </c>
      <c r="P152" s="275" t="s">
        <v>565</v>
      </c>
      <c r="Q152" s="311"/>
      <c r="R152" s="290" t="s">
        <v>566</v>
      </c>
      <c r="S152" s="280"/>
      <c r="T152" s="277"/>
      <c r="U152" s="277"/>
      <c r="V152" s="283">
        <v>2000.0</v>
      </c>
      <c r="W152" s="275" t="s">
        <v>699</v>
      </c>
      <c r="X152" s="283">
        <v>2000.0</v>
      </c>
      <c r="Y152" s="274">
        <v>2360.0</v>
      </c>
      <c r="Z152" s="287">
        <v>700.0</v>
      </c>
      <c r="AA152" s="285">
        <v>0.08</v>
      </c>
      <c r="AB152" s="282">
        <v>1784160.0</v>
      </c>
      <c r="AC152" s="277"/>
      <c r="AD152" s="289">
        <v>46017.0</v>
      </c>
      <c r="AE152" s="272">
        <v>2237.0</v>
      </c>
      <c r="AF152" s="277"/>
      <c r="AG152" s="277"/>
      <c r="AH152" s="294">
        <f>IFERROR(__xludf.DUMMYFUNCTION("IFERROR(INDEX( SORT(FILTER(
        {'1. DATA CHUNG'!$J$4:$J$105 , '1. DATA CHUNG'!$L$4:$L$105}, (TRIM('1. DATA CHUNG'!$I$4:$I$105)=TRIM(K152)) * IF(COUNTIFS('1. DATA CHUNG'!$I$4:$I$105,K152,'1. DATA CHUNG'!$M$4:$M$105,Q152), '1. DATA CHUNG'!$M$4:$M$105=Q"&amp;"152, 1) * ('1. DATA CHUNG'!$L$4:$L$105&lt;=TODAY()) ),   2, 0),  1, 1), 
  IFERROR( INDEX(FILTER('1. DATA CHUNG'!$J$4:$J$105, (TRIM('1. DATA CHUNG'!$I$4:$I$105)=TRIM(K152)) * IF(COUNTIFS('1. DATA CHUNG'!$I$4:$I$105,K152,'1. DATA CHUNG'!$M$4:$M$105,Q152), '1."&amp;" DATA CHUNG'!$M$4:$M$105=Q152, 1) * ('1. DATA CHUNG'!$L$4:$L$105="""")), 1), ""Không tìm thấy"" ))"),7.0)</f>
        <v>7</v>
      </c>
      <c r="AI152" s="273">
        <f t="shared" si="2"/>
        <v>46024</v>
      </c>
      <c r="AJ152" s="287"/>
      <c r="AK152" s="286">
        <f t="shared" si="3"/>
        <v>0</v>
      </c>
      <c r="AL152" s="287">
        <f t="shared" si="4"/>
        <v>-4</v>
      </c>
      <c r="AM152" s="287">
        <f t="shared" si="5"/>
        <v>0</v>
      </c>
      <c r="AN152" s="279">
        <f t="shared" si="6"/>
        <v>6</v>
      </c>
      <c r="AO152" s="295" t="str">
        <f t="shared" si="7"/>
        <v>12/2025</v>
      </c>
      <c r="AP152" s="277" t="str">
        <f t="array" ref="AP152">IFERROR(XLOOKUP(L152,'2. DATA NL, VTBB'!C:C,'2. DATA NL, VTBB'!F:F),"")</f>
        <v>HH0138</v>
      </c>
      <c r="AQ152" s="277" t="str">
        <f t="array" ref="AQ152">IF(OR(K152="Nhãn", K152="Nhãn thùng",K152="Nhãn Túi"), K152 &amp; " " &amp; IFERROR(XLOOKUP(L152, '2. DATA NL, VTBB'!C:C, '2. DATA NL, VTBB'!E:E), ""), "")</f>
        <v/>
      </c>
      <c r="AR152" s="278" t="str">
        <f t="array" ref="AR152">IFERROR(XLOOKUP(L152,'2. DATA NL, VTBB'!C:C,'2. DATA NL, VTBB'!G:G),"")</f>
        <v>LOT IDA Global - I - 847 - ĐL Hồng Liệt - Mancozeb xanh - 1 Kg - 20</v>
      </c>
      <c r="AS152" s="278" t="str">
        <f t="array" ref="AS152">IFERROR(XLOOKUP(L152,'2. DATA NL, VTBB'!C:C,'2. DATA NL, VTBB'!G:G),"")</f>
        <v>LOT IDA Global - I - 847 - ĐL Hồng Liệt - Mancozeb xanh - 1 Kg - 20</v>
      </c>
      <c r="AT152" s="277"/>
    </row>
    <row r="153" ht="30.75" customHeight="1">
      <c r="A153" s="272">
        <f t="shared" si="33"/>
        <v>150</v>
      </c>
      <c r="B153" s="289">
        <v>46017.0</v>
      </c>
      <c r="C153" s="273">
        <v>46018.0</v>
      </c>
      <c r="D153" s="273">
        <f t="shared" si="36"/>
        <v>46020</v>
      </c>
      <c r="E153" s="289">
        <v>46018.0</v>
      </c>
      <c r="F153" s="274" t="s">
        <v>561</v>
      </c>
      <c r="G153" s="275" t="s">
        <v>562</v>
      </c>
      <c r="H153" s="274" t="s">
        <v>304</v>
      </c>
      <c r="I153" s="275" t="s">
        <v>726</v>
      </c>
      <c r="J153" s="279" t="s">
        <v>857</v>
      </c>
      <c r="K153" s="275" t="s">
        <v>728</v>
      </c>
      <c r="L153" s="277" t="s">
        <v>738</v>
      </c>
      <c r="M153" s="278" t="str">
        <f t="array" ref="M153">IFERROR(XLOOKUP(L153,'2. DATA NL, VTBB'!C:C,'2. DATA NL, VTBB'!D:D),"")</f>
        <v>Chai PET vuông cổ 35 450ml, 500ml (60g) trắng ASIA</v>
      </c>
      <c r="N153" s="280"/>
      <c r="O153" s="280" t="str">
        <f t="array" ref="O153">IFERROR( XLOOKUP(L153,'2. DATA NL, VTBB'!C:C,'2. DATA NL, VTBB'!E:E),"")</f>
        <v>AnnongManco 80WP</v>
      </c>
      <c r="P153" s="275" t="s">
        <v>565</v>
      </c>
      <c r="Q153" s="311"/>
      <c r="R153" s="291" t="s">
        <v>573</v>
      </c>
      <c r="S153" s="280"/>
      <c r="T153" s="277"/>
      <c r="U153" s="277"/>
      <c r="V153" s="283">
        <v>5000.0</v>
      </c>
      <c r="W153" s="275" t="s">
        <v>699</v>
      </c>
      <c r="X153" s="283">
        <v>5000.0</v>
      </c>
      <c r="Y153" s="274">
        <v>5120.0</v>
      </c>
      <c r="Z153" s="279">
        <v>2600.0</v>
      </c>
      <c r="AA153" s="285">
        <v>0.08</v>
      </c>
      <c r="AB153" s="282">
        <v>1.437696E7</v>
      </c>
      <c r="AC153" s="277"/>
      <c r="AD153" s="289">
        <v>46017.0</v>
      </c>
      <c r="AE153" s="272">
        <v>2485.0</v>
      </c>
      <c r="AF153" s="277"/>
      <c r="AG153" s="277"/>
      <c r="AH153" s="294">
        <f>IFERROR(__xludf.DUMMYFUNCTION("IFERROR(INDEX( SORT(FILTER(
        {'1. DATA CHUNG'!$J$4:$J$105 , '1. DATA CHUNG'!$L$4:$L$105}, (TRIM('1. DATA CHUNG'!$I$4:$I$105)=TRIM(K153)) * IF(COUNTIFS('1. DATA CHUNG'!$I$4:$I$105,K153,'1. DATA CHUNG'!$M$4:$M$105,Q153), '1. DATA CHUNG'!$M$4:$M$105=Q"&amp;"153, 1) * ('1. DATA CHUNG'!$L$4:$L$105&lt;=TODAY()) ),   2, 0),  1, 1), 
  IFERROR( INDEX(FILTER('1. DATA CHUNG'!$J$4:$J$105, (TRIM('1. DATA CHUNG'!$I$4:$I$105)=TRIM(K153)) * IF(COUNTIFS('1. DATA CHUNG'!$I$4:$I$105,K153,'1. DATA CHUNG'!$M$4:$M$105,Q153), '1."&amp;" DATA CHUNG'!$M$4:$M$105=Q153, 1) * ('1. DATA CHUNG'!$L$4:$L$105="""")), 1), ""Không tìm thấy"" ))"),7.0)</f>
        <v>7</v>
      </c>
      <c r="AI153" s="273">
        <f t="shared" si="2"/>
        <v>46024</v>
      </c>
      <c r="AJ153" s="287"/>
      <c r="AK153" s="286">
        <f t="shared" si="3"/>
        <v>0</v>
      </c>
      <c r="AL153" s="287">
        <f t="shared" si="4"/>
        <v>2</v>
      </c>
      <c r="AM153" s="287">
        <f t="shared" si="5"/>
        <v>6</v>
      </c>
      <c r="AN153" s="279">
        <f t="shared" si="6"/>
        <v>6</v>
      </c>
      <c r="AO153" s="295" t="str">
        <f t="shared" si="7"/>
        <v>12/2025</v>
      </c>
      <c r="AP153" s="277" t="str">
        <f t="array" ref="AP153">IFERROR(XLOOKUP(L153,'2. DATA NL, VTBB'!C:C,'2. DATA NL, VTBB'!F:F),"")</f>
        <v>HH0006</v>
      </c>
      <c r="AQ153" s="277" t="str">
        <f t="array" ref="AQ153">IF(OR(K153="Nhãn", K153="Nhãn thùng",K153="Nhãn Túi"), K153 &amp; " " &amp; IFERROR(XLOOKUP(L153, '2. DATA NL, VTBB'!C:C, '2. DATA NL, VTBB'!E:E), ""), "")</f>
        <v/>
      </c>
      <c r="AR153" s="278" t="str">
        <f t="array" ref="AR153">IFERROR(XLOOKUP(L153,'2. DATA NL, VTBB'!C:C,'2. DATA NL, VTBB'!G:G),"")</f>
        <v>GC - I - 207 - Mancozeb Xanh - Xanh Cam - 1kg - 20</v>
      </c>
      <c r="AS153" s="278" t="str">
        <f t="array" ref="AS153">IFERROR(XLOOKUP(L153,'2. DATA NL, VTBB'!C:C,'2. DATA NL, VTBB'!G:G),"")</f>
        <v>GC - I - 207 - Mancozeb Xanh - Xanh Cam - 1kg - 20</v>
      </c>
      <c r="AT153" s="277"/>
    </row>
    <row r="154" ht="30.75" customHeight="1">
      <c r="A154" s="272">
        <f t="shared" si="33"/>
        <v>151</v>
      </c>
      <c r="B154" s="289">
        <v>46017.0</v>
      </c>
      <c r="C154" s="273">
        <v>46018.0</v>
      </c>
      <c r="D154" s="273">
        <f t="shared" si="36"/>
        <v>46020</v>
      </c>
      <c r="E154" s="289">
        <v>46018.0</v>
      </c>
      <c r="F154" s="274" t="s">
        <v>561</v>
      </c>
      <c r="G154" s="275" t="s">
        <v>562</v>
      </c>
      <c r="H154" s="274" t="s">
        <v>304</v>
      </c>
      <c r="I154" s="275" t="s">
        <v>726</v>
      </c>
      <c r="J154" s="279" t="s">
        <v>857</v>
      </c>
      <c r="K154" s="275" t="s">
        <v>730</v>
      </c>
      <c r="L154" s="277" t="s">
        <v>736</v>
      </c>
      <c r="M154" s="278" t="str">
        <f t="array" ref="M154">IFERROR(XLOOKUP(L154,'2. DATA NL, VTBB'!C:C,'2. DATA NL, VTBB'!D:D),"")</f>
        <v>Nắp PET cổ 35 (4.3g) đỏ</v>
      </c>
      <c r="N154" s="280"/>
      <c r="O154" s="280" t="str">
        <f t="array" ref="O154">IFERROR( XLOOKUP(L154,'2. DATA NL, VTBB'!C:C,'2. DATA NL, VTBB'!E:E),"")</f>
        <v>Vi lượng AV4</v>
      </c>
      <c r="P154" s="275" t="s">
        <v>565</v>
      </c>
      <c r="Q154" s="311"/>
      <c r="R154" s="291" t="s">
        <v>573</v>
      </c>
      <c r="S154" s="280"/>
      <c r="T154" s="277"/>
      <c r="U154" s="277"/>
      <c r="V154" s="283">
        <v>5000.0</v>
      </c>
      <c r="W154" s="275" t="s">
        <v>699</v>
      </c>
      <c r="X154" s="283">
        <v>5000.0</v>
      </c>
      <c r="Y154" s="274">
        <v>5120.0</v>
      </c>
      <c r="Z154" s="287">
        <v>600.0</v>
      </c>
      <c r="AA154" s="285">
        <v>0.08</v>
      </c>
      <c r="AB154" s="282">
        <v>3317760.0</v>
      </c>
      <c r="AC154" s="277"/>
      <c r="AD154" s="289">
        <v>46017.0</v>
      </c>
      <c r="AE154" s="272">
        <v>2485.0</v>
      </c>
      <c r="AF154" s="277"/>
      <c r="AG154" s="277"/>
      <c r="AH154" s="294">
        <f>IFERROR(__xludf.DUMMYFUNCTION("IFERROR(INDEX( SORT(FILTER(
        {'1. DATA CHUNG'!$J$4:$J$105 , '1. DATA CHUNG'!$L$4:$L$105}, (TRIM('1. DATA CHUNG'!$I$4:$I$105)=TRIM(K154)) * IF(COUNTIFS('1. DATA CHUNG'!$I$4:$I$105,K154,'1. DATA CHUNG'!$M$4:$M$105,Q154), '1. DATA CHUNG'!$M$4:$M$105=Q"&amp;"154, 1) * ('1. DATA CHUNG'!$L$4:$L$105&lt;=TODAY()) ),   2, 0),  1, 1), 
  IFERROR( INDEX(FILTER('1. DATA CHUNG'!$J$4:$J$105, (TRIM('1. DATA CHUNG'!$I$4:$I$105)=TRIM(K154)) * IF(COUNTIFS('1. DATA CHUNG'!$I$4:$I$105,K154,'1. DATA CHUNG'!$M$4:$M$105,Q154), '1."&amp;" DATA CHUNG'!$M$4:$M$105=Q154, 1) * ('1. DATA CHUNG'!$L$4:$L$105="""")), 1), ""Không tìm thấy"" ))"),7.0)</f>
        <v>7</v>
      </c>
      <c r="AI154" s="273">
        <f t="shared" si="2"/>
        <v>46024</v>
      </c>
      <c r="AJ154" s="287"/>
      <c r="AK154" s="286">
        <f t="shared" si="3"/>
        <v>0</v>
      </c>
      <c r="AL154" s="287">
        <f t="shared" si="4"/>
        <v>2</v>
      </c>
      <c r="AM154" s="287">
        <f t="shared" si="5"/>
        <v>6</v>
      </c>
      <c r="AN154" s="279">
        <f t="shared" si="6"/>
        <v>6</v>
      </c>
      <c r="AO154" s="295" t="str">
        <f t="shared" si="7"/>
        <v>12/2025</v>
      </c>
      <c r="AP154" s="277" t="str">
        <f t="array" ref="AP154">IFERROR(XLOOKUP(L154,'2. DATA NL, VTBB'!C:C,'2. DATA NL, VTBB'!F:F),"")</f>
        <v>HH0002</v>
      </c>
      <c r="AQ154" s="277" t="str">
        <f t="array" ref="AQ154">IF(OR(K154="Nhãn", K154="Nhãn thùng",K154="Nhãn Túi"), K154 &amp; " " &amp; IFERROR(XLOOKUP(L154, '2. DATA NL, VTBB'!C:C, '2. DATA NL, VTBB'!E:E), ""), "")</f>
        <v/>
      </c>
      <c r="AR154" s="278" t="str">
        <f t="array" ref="AR154">IFERROR(XLOOKUP(L154,'2. DATA NL, VTBB'!C:C,'2. DATA NL, VTBB'!G:G),"")</f>
        <v>GC - II - 24 - Aqua Gold ra bông xoài 1kg -25</v>
      </c>
      <c r="AS154" s="278" t="str">
        <f t="array" ref="AS154">IFERROR(XLOOKUP(L154,'2. DATA NL, VTBB'!C:C,'2. DATA NL, VTBB'!G:G),"")</f>
        <v>GC - II - 24 - Aqua Gold ra bông xoài 1kg -25</v>
      </c>
      <c r="AT154" s="277"/>
    </row>
    <row r="155" ht="30.75" customHeight="1">
      <c r="A155" s="272">
        <f t="shared" si="33"/>
        <v>152</v>
      </c>
      <c r="B155" s="289">
        <v>46020.0</v>
      </c>
      <c r="C155" s="273">
        <v>46021.0</v>
      </c>
      <c r="D155" s="273">
        <f t="shared" si="36"/>
        <v>46023</v>
      </c>
      <c r="E155" s="289">
        <v>46021.0</v>
      </c>
      <c r="F155" s="274" t="s">
        <v>561</v>
      </c>
      <c r="G155" s="275" t="s">
        <v>562</v>
      </c>
      <c r="H155" s="274" t="s">
        <v>304</v>
      </c>
      <c r="I155" s="275" t="s">
        <v>853</v>
      </c>
      <c r="J155" s="279" t="s">
        <v>858</v>
      </c>
      <c r="K155" s="275" t="s">
        <v>728</v>
      </c>
      <c r="L155" s="277" t="s">
        <v>856</v>
      </c>
      <c r="M155" s="278" t="str">
        <f t="array" ref="M155">IFERROR(XLOOKUP(L155,'2. DATA NL, VTBB'!C:C,'2. DATA NL, VTBB'!D:D),"")</f>
        <v>Chai pet tròn cổ 38 250ml - Màu trắng (41gr)</v>
      </c>
      <c r="N155" s="280"/>
      <c r="O155" s="280" t="str">
        <f t="array" ref="O155">IFERROR( XLOOKUP(L155,'2. DATA NL, VTBB'!C:C,'2. DATA NL, VTBB'!E:E),"")</f>
        <v>Tikabamec 3.6EC</v>
      </c>
      <c r="P155" s="275" t="s">
        <v>565</v>
      </c>
      <c r="Q155" s="311"/>
      <c r="R155" s="291" t="s">
        <v>573</v>
      </c>
      <c r="S155" s="280"/>
      <c r="T155" s="277"/>
      <c r="U155" s="277"/>
      <c r="V155" s="283">
        <v>1000.0</v>
      </c>
      <c r="W155" s="275" t="s">
        <v>699</v>
      </c>
      <c r="X155" s="283">
        <v>1000.0</v>
      </c>
      <c r="Y155" s="274">
        <v>1020.0</v>
      </c>
      <c r="Z155" s="287">
        <v>2100.0</v>
      </c>
      <c r="AA155" s="285">
        <v>0.08</v>
      </c>
      <c r="AB155" s="282">
        <v>2313360.0</v>
      </c>
      <c r="AC155" s="277"/>
      <c r="AD155" s="289">
        <v>46020.0</v>
      </c>
      <c r="AE155" s="272">
        <v>2252.0</v>
      </c>
      <c r="AF155" s="277"/>
      <c r="AG155" s="277"/>
      <c r="AH155" s="294">
        <f>IFERROR(__xludf.DUMMYFUNCTION("IFERROR(INDEX( SORT(FILTER(
        {'1. DATA CHUNG'!$J$4:$J$105 , '1. DATA CHUNG'!$L$4:$L$105}, (TRIM('1. DATA CHUNG'!$I$4:$I$105)=TRIM(K155)) * IF(COUNTIFS('1. DATA CHUNG'!$I$4:$I$105,K155,'1. DATA CHUNG'!$M$4:$M$105,Q155), '1. DATA CHUNG'!$M$4:$M$105=Q"&amp;"155, 1) * ('1. DATA CHUNG'!$L$4:$L$105&lt;=TODAY()) ),   2, 0),  1, 1), 
  IFERROR( INDEX(FILTER('1. DATA CHUNG'!$J$4:$J$105, (TRIM('1. DATA CHUNG'!$I$4:$I$105)=TRIM(K155)) * IF(COUNTIFS('1. DATA CHUNG'!$I$4:$I$105,K155,'1. DATA CHUNG'!$M$4:$M$105,Q155), '1."&amp;" DATA CHUNG'!$M$4:$M$105=Q155, 1) * ('1. DATA CHUNG'!$L$4:$L$105="""")), 1), ""Không tìm thấy"" ))"),7.0)</f>
        <v>7</v>
      </c>
      <c r="AI155" s="273">
        <f t="shared" si="2"/>
        <v>46027</v>
      </c>
      <c r="AJ155" s="287"/>
      <c r="AK155" s="286">
        <f t="shared" si="3"/>
        <v>0</v>
      </c>
      <c r="AL155" s="287">
        <f t="shared" si="4"/>
        <v>2</v>
      </c>
      <c r="AM155" s="287">
        <f t="shared" si="5"/>
        <v>6</v>
      </c>
      <c r="AN155" s="279">
        <f t="shared" si="6"/>
        <v>6</v>
      </c>
      <c r="AO155" s="295" t="str">
        <f t="shared" si="7"/>
        <v>12/2025</v>
      </c>
      <c r="AP155" s="277" t="str">
        <f t="array" ref="AP155">IFERROR(XLOOKUP(L155,'2. DATA NL, VTBB'!C:C,'2. DATA NL, VTBB'!F:F),"")</f>
        <v>HH0189</v>
      </c>
      <c r="AQ155" s="277" t="str">
        <f t="array" ref="AQ155">IF(OR(K155="Nhãn", K155="Nhãn thùng",K155="Nhãn Túi"), K155 &amp; " " &amp; IFERROR(XLOOKUP(L155, '2. DATA NL, VTBB'!C:C, '2. DATA NL, VTBB'!E:E), ""), "")</f>
        <v/>
      </c>
      <c r="AR155" s="278" t="str">
        <f t="array" ref="AR155">IFERROR(XLOOKUP(L155,'2. DATA NL, VTBB'!C:C,'2. DATA NL, VTBB'!G:G),"")</f>
        <v>LOT IDA Global - I - ĐL Hai Nhóm - 782 - Tikabamec 3.6EC (Pet tròn) (nước đục)- 450ml - 40</v>
      </c>
      <c r="AS155" s="278" t="str">
        <f t="array" ref="AS155">IFERROR(XLOOKUP(L155,'2. DATA NL, VTBB'!C:C,'2. DATA NL, VTBB'!G:G),"")</f>
        <v>LOT IDA Global - I - ĐL Hai Nhóm - 782 - Tikabamec 3.6EC (Pet tròn) (nước đục)- 450ml - 40</v>
      </c>
      <c r="AT155" s="277"/>
    </row>
    <row r="156" ht="30.75" customHeight="1">
      <c r="A156" s="272">
        <f t="shared" si="33"/>
        <v>153</v>
      </c>
      <c r="B156" s="289">
        <v>46020.0</v>
      </c>
      <c r="C156" s="273">
        <v>46021.0</v>
      </c>
      <c r="D156" s="273">
        <f t="shared" si="36"/>
        <v>46023</v>
      </c>
      <c r="E156" s="289">
        <v>46021.0</v>
      </c>
      <c r="F156" s="274" t="s">
        <v>561</v>
      </c>
      <c r="G156" s="275" t="s">
        <v>562</v>
      </c>
      <c r="H156" s="274" t="s">
        <v>304</v>
      </c>
      <c r="I156" s="275" t="s">
        <v>853</v>
      </c>
      <c r="J156" s="279" t="s">
        <v>858</v>
      </c>
      <c r="K156" s="275" t="s">
        <v>730</v>
      </c>
      <c r="L156" s="277" t="s">
        <v>826</v>
      </c>
      <c r="M156" s="278" t="str">
        <f t="array" ref="M156">IFERROR(XLOOKUP(L156,'2. DATA NL, VTBB'!C:C,'2. DATA NL, VTBB'!D:D),"")</f>
        <v>Nắp PET cổ 38 (7.5gr) tai bèo - Trắng</v>
      </c>
      <c r="N156" s="280"/>
      <c r="O156" s="280" t="str">
        <f t="array" ref="O156">IFERROR( XLOOKUP(L156,'2. DATA NL, VTBB'!C:C,'2. DATA NL, VTBB'!E:E),"")</f>
        <v>Chitin 3.6EC</v>
      </c>
      <c r="P156" s="275" t="s">
        <v>565</v>
      </c>
      <c r="Q156" s="311"/>
      <c r="R156" s="291" t="s">
        <v>573</v>
      </c>
      <c r="S156" s="280"/>
      <c r="T156" s="277"/>
      <c r="U156" s="277"/>
      <c r="V156" s="283">
        <v>1000.0</v>
      </c>
      <c r="W156" s="275" t="s">
        <v>699</v>
      </c>
      <c r="X156" s="283">
        <v>1000.0</v>
      </c>
      <c r="Y156" s="274">
        <v>1020.0</v>
      </c>
      <c r="Z156" s="287">
        <v>700.0</v>
      </c>
      <c r="AA156" s="285">
        <v>0.08</v>
      </c>
      <c r="AB156" s="282">
        <v>771120.0</v>
      </c>
      <c r="AC156" s="277"/>
      <c r="AD156" s="289">
        <v>46020.0</v>
      </c>
      <c r="AE156" s="272">
        <v>2252.0</v>
      </c>
      <c r="AF156" s="277"/>
      <c r="AG156" s="277"/>
      <c r="AH156" s="294">
        <f>IFERROR(__xludf.DUMMYFUNCTION("IFERROR(INDEX( SORT(FILTER(
        {'1. DATA CHUNG'!$J$4:$J$105 , '1. DATA CHUNG'!$L$4:$L$105}, (TRIM('1. DATA CHUNG'!$I$4:$I$105)=TRIM(K156)) * IF(COUNTIFS('1. DATA CHUNG'!$I$4:$I$105,K156,'1. DATA CHUNG'!$M$4:$M$105,Q156), '1. DATA CHUNG'!$M$4:$M$105=Q"&amp;"156, 1) * ('1. DATA CHUNG'!$L$4:$L$105&lt;=TODAY()) ),   2, 0),  1, 1), 
  IFERROR( INDEX(FILTER('1. DATA CHUNG'!$J$4:$J$105, (TRIM('1. DATA CHUNG'!$I$4:$I$105)=TRIM(K156)) * IF(COUNTIFS('1. DATA CHUNG'!$I$4:$I$105,K156,'1. DATA CHUNG'!$M$4:$M$105,Q156), '1."&amp;" DATA CHUNG'!$M$4:$M$105=Q156, 1) * ('1. DATA CHUNG'!$L$4:$L$105="""")), 1), ""Không tìm thấy"" ))"),7.0)</f>
        <v>7</v>
      </c>
      <c r="AI156" s="273">
        <f t="shared" si="2"/>
        <v>46027</v>
      </c>
      <c r="AJ156" s="287"/>
      <c r="AK156" s="286">
        <f t="shared" si="3"/>
        <v>0</v>
      </c>
      <c r="AL156" s="287">
        <f t="shared" si="4"/>
        <v>2</v>
      </c>
      <c r="AM156" s="287">
        <f t="shared" si="5"/>
        <v>6</v>
      </c>
      <c r="AN156" s="279">
        <f t="shared" si="6"/>
        <v>6</v>
      </c>
      <c r="AO156" s="295" t="str">
        <f t="shared" si="7"/>
        <v>12/2025</v>
      </c>
      <c r="AP156" s="277" t="str">
        <f t="array" ref="AP156">IFERROR(XLOOKUP(L156,'2. DATA NL, VTBB'!C:C,'2. DATA NL, VTBB'!F:F),"")</f>
        <v>HH0145</v>
      </c>
      <c r="AQ156" s="277" t="str">
        <f t="array" ref="AQ156">IF(OR(K156="Nhãn", K156="Nhãn thùng",K156="Nhãn Túi"), K156 &amp; " " &amp; IFERROR(XLOOKUP(L156, '2. DATA NL, VTBB'!C:C, '2. DATA NL, VTBB'!E:E), ""), "")</f>
        <v/>
      </c>
      <c r="AR156" s="278" t="str">
        <f t="array" ref="AR156">IFERROR(XLOOKUP(L156,'2. DATA NL, VTBB'!C:C,'2. DATA NL, VTBB'!G:G),"")</f>
        <v>GC - IV - 863 - Xuân Sơn 02L - Abametin 3.6 (Ốc Vàng - Nhãn đen) (Pet tròn)(nước nâu đen)- 450ml - 40</v>
      </c>
      <c r="AS156" s="278" t="str">
        <f t="array" ref="AS156">IFERROR(XLOOKUP(L156,'2. DATA NL, VTBB'!C:C,'2. DATA NL, VTBB'!G:G),"")</f>
        <v>GC - IV - 863 - Xuân Sơn 02L - Abametin 3.6 (Ốc Vàng - Nhãn đen) (Pet tròn)(nước nâu đen)- 450ml - 40</v>
      </c>
      <c r="AT156" s="277"/>
    </row>
    <row r="157" ht="30.75" customHeight="1">
      <c r="A157" s="272">
        <f t="shared" si="33"/>
        <v>154</v>
      </c>
      <c r="B157" s="289">
        <v>46020.0</v>
      </c>
      <c r="C157" s="289">
        <v>46027.0</v>
      </c>
      <c r="D157" s="289">
        <f t="shared" ref="D157:D158" si="37">B157+15</f>
        <v>46035</v>
      </c>
      <c r="E157" s="289">
        <v>46035.0</v>
      </c>
      <c r="F157" s="274" t="s">
        <v>561</v>
      </c>
      <c r="G157" s="275" t="s">
        <v>562</v>
      </c>
      <c r="H157" s="274" t="s">
        <v>304</v>
      </c>
      <c r="I157" s="275" t="s">
        <v>305</v>
      </c>
      <c r="J157" s="279" t="s">
        <v>859</v>
      </c>
      <c r="K157" s="275" t="s">
        <v>301</v>
      </c>
      <c r="L157" s="277" t="s">
        <v>633</v>
      </c>
      <c r="M157" s="278" t="str">
        <f t="array" ref="M157">IFERROR(XLOOKUP(L157,'2. DATA NL, VTBB'!C:C,'2. DATA NL, VTBB'!D:D),"")</f>
        <v>Thùng Dùng Chung  15gr  x 400 gói (55.5x39x34cm) - Trắng</v>
      </c>
      <c r="N157" s="280"/>
      <c r="O157" s="280" t="str">
        <f t="array" ref="O157">IFERROR( XLOOKUP(L157,'2. DATA NL, VTBB'!C:C,'2. DATA NL, VTBB'!E:E),"")</f>
        <v>APLOUGENT 450SC</v>
      </c>
      <c r="P157" s="275" t="s">
        <v>565</v>
      </c>
      <c r="Q157" s="311"/>
      <c r="R157" s="291" t="s">
        <v>573</v>
      </c>
      <c r="S157" s="280"/>
      <c r="T157" s="277"/>
      <c r="U157" s="277"/>
      <c r="V157" s="283">
        <v>100.0</v>
      </c>
      <c r="W157" s="275" t="s">
        <v>699</v>
      </c>
      <c r="X157" s="283">
        <v>100.0</v>
      </c>
      <c r="Y157" s="274">
        <v>101.0</v>
      </c>
      <c r="Z157" s="287">
        <v>26950.0</v>
      </c>
      <c r="AA157" s="285">
        <v>0.08</v>
      </c>
      <c r="AB157" s="282">
        <v>2939706.0</v>
      </c>
      <c r="AC157" s="277"/>
      <c r="AD157" s="289">
        <v>46020.0</v>
      </c>
      <c r="AE157" s="272">
        <v>105.0</v>
      </c>
      <c r="AF157" s="277"/>
      <c r="AG157" s="277"/>
      <c r="AH157" s="294">
        <f>IFERROR(__xludf.DUMMYFUNCTION("IFERROR(INDEX( SORT(FILTER(
        {'1. DATA CHUNG'!$J$4:$J$105 , '1. DATA CHUNG'!$L$4:$L$105}, (TRIM('1. DATA CHUNG'!$I$4:$I$105)=TRIM(K157)) * IF(COUNTIFS('1. DATA CHUNG'!$I$4:$I$105,K157,'1. DATA CHUNG'!$M$4:$M$105,Q157), '1. DATA CHUNG'!$M$4:$M$105=Q"&amp;"157, 1) * ('1. DATA CHUNG'!$L$4:$L$105&lt;=TODAY()) ),   2, 0),  1, 1), 
  IFERROR( INDEX(FILTER('1. DATA CHUNG'!$J$4:$J$105, (TRIM('1. DATA CHUNG'!$I$4:$I$105)=TRIM(K157)) * IF(COUNTIFS('1. DATA CHUNG'!$I$4:$I$105,K157,'1. DATA CHUNG'!$M$4:$M$105,Q157), '1."&amp;" DATA CHUNG'!$M$4:$M$105=Q157, 1) * ('1. DATA CHUNG'!$L$4:$L$105="""")), 1), ""Không tìm thấy"" ))"),18.0)</f>
        <v>18</v>
      </c>
      <c r="AI157" s="273">
        <f t="shared" si="2"/>
        <v>46038</v>
      </c>
      <c r="AJ157" s="287"/>
      <c r="AK157" s="286">
        <f t="shared" si="3"/>
        <v>0</v>
      </c>
      <c r="AL157" s="287">
        <f t="shared" si="4"/>
        <v>0</v>
      </c>
      <c r="AM157" s="287">
        <f t="shared" si="5"/>
        <v>3</v>
      </c>
      <c r="AN157" s="279">
        <f t="shared" si="6"/>
        <v>11</v>
      </c>
      <c r="AO157" s="295" t="str">
        <f t="shared" si="7"/>
        <v>12/2025</v>
      </c>
      <c r="AP157" s="277" t="str">
        <f t="array" ref="AP157">IFERROR(XLOOKUP(L157,'2. DATA NL, VTBB'!C:C,'2. DATA NL, VTBB'!F:F),"")</f>
        <v>HH0228</v>
      </c>
      <c r="AQ157" s="277" t="str">
        <f t="array" ref="AQ157">IF(OR(K157="Nhãn", K157="Nhãn thùng",K157="Nhãn Túi"), K157 &amp; " " &amp; IFERROR(XLOOKUP(L157, '2. DATA NL, VTBB'!C:C, '2. DATA NL, VTBB'!E:E), ""), "")</f>
        <v/>
      </c>
      <c r="AR157" s="278" t="str">
        <f t="array" ref="AR157">IFERROR(XLOOKUP(L157,'2. DATA NL, VTBB'!C:C,'2. DATA NL, VTBB'!G:G),"")</f>
        <v>GC - II - 640 - AGC NEW - Lougent 450SC (chai PET tròn) - 240ml - 40</v>
      </c>
      <c r="AS157" s="278" t="str">
        <f t="array" ref="AS157">IFERROR(XLOOKUP(L157,'2. DATA NL, VTBB'!C:C,'2. DATA NL, VTBB'!G:G),"")</f>
        <v>GC - II - 640 - AGC NEW - Lougent 450SC (chai PET tròn) - 240ml - 40</v>
      </c>
      <c r="AT157" s="277"/>
    </row>
    <row r="158" ht="30.75" customHeight="1">
      <c r="A158" s="272">
        <f t="shared" si="33"/>
        <v>155</v>
      </c>
      <c r="B158" s="289">
        <v>46020.0</v>
      </c>
      <c r="C158" s="289">
        <v>46027.0</v>
      </c>
      <c r="D158" s="289">
        <f t="shared" si="37"/>
        <v>46035</v>
      </c>
      <c r="E158" s="289">
        <v>46031.0</v>
      </c>
      <c r="F158" s="274" t="s">
        <v>561</v>
      </c>
      <c r="G158" s="275" t="s">
        <v>562</v>
      </c>
      <c r="H158" s="274" t="s">
        <v>304</v>
      </c>
      <c r="I158" s="275" t="s">
        <v>305</v>
      </c>
      <c r="J158" s="279" t="s">
        <v>859</v>
      </c>
      <c r="K158" s="275" t="s">
        <v>301</v>
      </c>
      <c r="L158" s="277" t="s">
        <v>860</v>
      </c>
      <c r="M158" s="278" t="str">
        <f t="array" ref="M158">IFERROR(XLOOKUP(L158,'2. DATA NL, VTBB'!C:C,'2. DATA NL, VTBB'!D:D),"")</f>
        <v>Thùng Dùng Chung 100 gói (38x26.5x15.5cm) - Trắng</v>
      </c>
      <c r="N158" s="280"/>
      <c r="O158" s="280" t="str">
        <f t="array" ref="O158">IFERROR( XLOOKUP(L158,'2. DATA NL, VTBB'!C:C,'2. DATA NL, VTBB'!E:E),"")</f>
        <v>Solonapy 300SC</v>
      </c>
      <c r="P158" s="275" t="s">
        <v>565</v>
      </c>
      <c r="Q158" s="311"/>
      <c r="R158" s="291" t="s">
        <v>573</v>
      </c>
      <c r="S158" s="280"/>
      <c r="T158" s="277"/>
      <c r="U158" s="277"/>
      <c r="V158" s="283">
        <v>400.0</v>
      </c>
      <c r="W158" s="275" t="s">
        <v>699</v>
      </c>
      <c r="X158" s="283">
        <v>400.0</v>
      </c>
      <c r="Y158" s="274">
        <v>400.0</v>
      </c>
      <c r="Z158" s="287">
        <v>6900.0</v>
      </c>
      <c r="AA158" s="285">
        <v>0.08</v>
      </c>
      <c r="AB158" s="282">
        <v>2980800.0</v>
      </c>
      <c r="AC158" s="277"/>
      <c r="AD158" s="289">
        <v>46020.0</v>
      </c>
      <c r="AE158" s="312"/>
      <c r="AF158" s="277"/>
      <c r="AG158" s="277"/>
      <c r="AH158" s="294">
        <f>IFERROR(__xludf.DUMMYFUNCTION("IFERROR(INDEX( SORT(FILTER(
        {'1. DATA CHUNG'!$J$4:$J$105 , '1. DATA CHUNG'!$L$4:$L$105}, (TRIM('1. DATA CHUNG'!$I$4:$I$105)=TRIM(K158)) * IF(COUNTIFS('1. DATA CHUNG'!$I$4:$I$105,K158,'1. DATA CHUNG'!$M$4:$M$105,Q158), '1. DATA CHUNG'!$M$4:$M$105=Q"&amp;"158, 1) * ('1. DATA CHUNG'!$L$4:$L$105&lt;=TODAY()) ),   2, 0),  1, 1), 
  IFERROR( INDEX(FILTER('1. DATA CHUNG'!$J$4:$J$105, (TRIM('1. DATA CHUNG'!$I$4:$I$105)=TRIM(K158)) * IF(COUNTIFS('1. DATA CHUNG'!$I$4:$I$105,K158,'1. DATA CHUNG'!$M$4:$M$105,Q158), '1."&amp;" DATA CHUNG'!$M$4:$M$105=Q158, 1) * ('1. DATA CHUNG'!$L$4:$L$105="""")), 1), ""Không tìm thấy"" ))"),18.0)</f>
        <v>18</v>
      </c>
      <c r="AI158" s="273">
        <f t="shared" si="2"/>
        <v>46038</v>
      </c>
      <c r="AJ158" s="287"/>
      <c r="AK158" s="286">
        <f t="shared" si="3"/>
        <v>0</v>
      </c>
      <c r="AL158" s="287">
        <f t="shared" si="4"/>
        <v>4</v>
      </c>
      <c r="AM158" s="287">
        <f t="shared" si="5"/>
        <v>7</v>
      </c>
      <c r="AN158" s="279">
        <f t="shared" si="6"/>
        <v>11</v>
      </c>
      <c r="AO158" s="295" t="str">
        <f t="shared" si="7"/>
        <v>12/2025</v>
      </c>
      <c r="AP158" s="277" t="str">
        <f t="array" ref="AP158">IFERROR(XLOOKUP(L158,'2. DATA NL, VTBB'!C:C,'2. DATA NL, VTBB'!F:F),"")</f>
        <v>HH0235</v>
      </c>
      <c r="AQ158" s="277" t="str">
        <f t="array" ref="AQ158">IF(OR(K158="Nhãn", K158="Nhãn thùng",K158="Nhãn Túi"), K158 &amp; " " &amp; IFERROR(XLOOKUP(L158, '2. DATA NL, VTBB'!C:C, '2. DATA NL, VTBB'!E:E), ""), "")</f>
        <v/>
      </c>
      <c r="AR158" s="278" t="str">
        <f t="array" ref="AR158">IFERROR(XLOOKUP(L158,'2. DATA NL, VTBB'!C:C,'2. DATA NL, VTBB'!G:G),"")</f>
        <v>IDA Global - I - 647 - ĐL Cô Ba -Cá mập 300 plus - 240ml - 40</v>
      </c>
      <c r="AS158" s="278" t="str">
        <f t="array" ref="AS158">IFERROR(XLOOKUP(L158,'2. DATA NL, VTBB'!C:C,'2. DATA NL, VTBB'!G:G),"")</f>
        <v>IDA Global - I - 647 - ĐL Cô Ba -Cá mập 300 plus - 240ml - 40</v>
      </c>
      <c r="AT158" s="277"/>
    </row>
    <row r="159" ht="30.75" customHeight="1">
      <c r="A159" s="272">
        <f t="shared" si="33"/>
        <v>156</v>
      </c>
      <c r="B159" s="289">
        <v>46022.0</v>
      </c>
      <c r="C159" s="273">
        <v>46023.0</v>
      </c>
      <c r="D159" s="273">
        <f t="shared" ref="D159:D160" si="38">B159+3</f>
        <v>46025</v>
      </c>
      <c r="E159" s="289">
        <v>46027.0</v>
      </c>
      <c r="F159" s="274" t="s">
        <v>561</v>
      </c>
      <c r="G159" s="275" t="s">
        <v>580</v>
      </c>
      <c r="H159" s="274" t="s">
        <v>304</v>
      </c>
      <c r="I159" s="275" t="s">
        <v>744</v>
      </c>
      <c r="J159" s="279" t="s">
        <v>861</v>
      </c>
      <c r="K159" s="275" t="s">
        <v>728</v>
      </c>
      <c r="L159" s="277" t="s">
        <v>862</v>
      </c>
      <c r="M159" s="278" t="str">
        <f t="array" ref="M159">IFERROR(XLOOKUP(L159,'2. DATA NL, VTBB'!C:C,'2. DATA NL, VTBB'!D:D),"")</f>
        <v>Chai PET 500ml cổ 45 69g Tròn Hai Gờ - Trắng</v>
      </c>
      <c r="N159" s="280"/>
      <c r="O159" s="280" t="str">
        <f t="array" ref="O159">IFERROR( XLOOKUP(L159,'2. DATA NL, VTBB'!C:C,'2. DATA NL, VTBB'!E:E),"")</f>
        <v>BYPHAN 800WP</v>
      </c>
      <c r="P159" s="275" t="s">
        <v>565</v>
      </c>
      <c r="Q159" s="311"/>
      <c r="R159" s="291" t="s">
        <v>622</v>
      </c>
      <c r="S159" s="280"/>
      <c r="T159" s="277"/>
      <c r="U159" s="277"/>
      <c r="V159" s="283">
        <v>2000.0</v>
      </c>
      <c r="W159" s="275" t="s">
        <v>699</v>
      </c>
      <c r="X159" s="283">
        <v>2000.0</v>
      </c>
      <c r="Y159" s="274">
        <v>2560.0</v>
      </c>
      <c r="Z159" s="287">
        <v>3900.0</v>
      </c>
      <c r="AA159" s="285">
        <v>0.08</v>
      </c>
      <c r="AB159" s="282">
        <v>1.078272E7</v>
      </c>
      <c r="AC159" s="277"/>
      <c r="AD159" s="289">
        <v>46022.0</v>
      </c>
      <c r="AE159" s="272">
        <v>4063.0</v>
      </c>
      <c r="AF159" s="277"/>
      <c r="AG159" s="277"/>
      <c r="AH159" s="294">
        <f>IFERROR(__xludf.DUMMYFUNCTION("IFERROR(INDEX( SORT(FILTER(
        {'1. DATA CHUNG'!$J$4:$J$105 , '1. DATA CHUNG'!$L$4:$L$105}, (TRIM('1. DATA CHUNG'!$I$4:$I$105)=TRIM(K159)) * IF(COUNTIFS('1. DATA CHUNG'!$I$4:$I$105,K159,'1. DATA CHUNG'!$M$4:$M$105,Q159), '1. DATA CHUNG'!$M$4:$M$105=Q"&amp;"159, 1) * ('1. DATA CHUNG'!$L$4:$L$105&lt;=TODAY()) ),   2, 0),  1, 1), 
  IFERROR( INDEX(FILTER('1. DATA CHUNG'!$J$4:$J$105, (TRIM('1. DATA CHUNG'!$I$4:$I$105)=TRIM(K159)) * IF(COUNTIFS('1. DATA CHUNG'!$I$4:$I$105,K159,'1. DATA CHUNG'!$M$4:$M$105,Q159), '1."&amp;" DATA CHUNG'!$M$4:$M$105=Q159, 1) * ('1. DATA CHUNG'!$L$4:$L$105="""")), 1), ""Không tìm thấy"" ))"),7.0)</f>
        <v>7</v>
      </c>
      <c r="AI159" s="273">
        <f t="shared" si="2"/>
        <v>46029</v>
      </c>
      <c r="AJ159" s="287"/>
      <c r="AK159" s="286">
        <f t="shared" si="3"/>
        <v>0</v>
      </c>
      <c r="AL159" s="287">
        <f t="shared" si="4"/>
        <v>-2</v>
      </c>
      <c r="AM159" s="287">
        <f t="shared" si="5"/>
        <v>2</v>
      </c>
      <c r="AN159" s="279">
        <f t="shared" si="6"/>
        <v>6</v>
      </c>
      <c r="AO159" s="295" t="str">
        <f t="shared" si="7"/>
        <v>12/2025</v>
      </c>
      <c r="AP159" s="277" t="str">
        <f t="array" ref="AP159">IFERROR(XLOOKUP(L159,'2. DATA NL, VTBB'!C:C,'2. DATA NL, VTBB'!F:F),"")</f>
        <v>HH0242</v>
      </c>
      <c r="AQ159" s="277" t="str">
        <f t="array" ref="AQ159">IF(OR(K159="Nhãn", K159="Nhãn thùng",K159="Nhãn Túi"), K159 &amp; " " &amp; IFERROR(XLOOKUP(L159, '2. DATA NL, VTBB'!C:C, '2. DATA NL, VTBB'!E:E), ""), "")</f>
        <v/>
      </c>
      <c r="AR159" s="278" t="str">
        <f t="array" ref="AR159">IFERROR(XLOOKUP(L159,'2. DATA NL, VTBB'!C:C,'2. DATA NL, VTBB'!G:G),"")</f>
        <v>GC - IV - 894 - A Thời GNH- Manco Yellow (túi nhôm)(bột vàng) - 1 Kg - 20</v>
      </c>
      <c r="AS159" s="278" t="str">
        <f t="array" ref="AS159">IFERROR(XLOOKUP(L159,'2. DATA NL, VTBB'!C:C,'2. DATA NL, VTBB'!G:G),"")</f>
        <v>GC - IV - 894 - A Thời GNH- Manco Yellow (túi nhôm)(bột vàng) - 1 Kg - 20</v>
      </c>
      <c r="AT159" s="277"/>
    </row>
    <row r="160" ht="30.75" customHeight="1">
      <c r="A160" s="272">
        <f t="shared" si="33"/>
        <v>157</v>
      </c>
      <c r="B160" s="289">
        <v>46022.0</v>
      </c>
      <c r="C160" s="273">
        <v>46023.0</v>
      </c>
      <c r="D160" s="273">
        <f t="shared" si="38"/>
        <v>46025</v>
      </c>
      <c r="E160" s="289">
        <v>46027.0</v>
      </c>
      <c r="F160" s="274" t="s">
        <v>561</v>
      </c>
      <c r="G160" s="275" t="s">
        <v>580</v>
      </c>
      <c r="H160" s="274" t="s">
        <v>304</v>
      </c>
      <c r="I160" s="275" t="s">
        <v>744</v>
      </c>
      <c r="J160" s="279" t="s">
        <v>861</v>
      </c>
      <c r="K160" s="275" t="s">
        <v>730</v>
      </c>
      <c r="L160" s="277" t="s">
        <v>863</v>
      </c>
      <c r="M160" s="278" t="str">
        <f t="array" ref="M160">IFERROR(XLOOKUP(L160,'2. DATA NL, VTBB'!C:C,'2. DATA NL, VTBB'!D:D),"")</f>
        <v>Nắp PET cổ 45 - Màu trắng</v>
      </c>
      <c r="N160" s="280"/>
      <c r="O160" s="280" t="str">
        <f t="array" ref="O160">IFERROR( XLOOKUP(L160,'2. DATA NL, VTBB'!C:C,'2. DATA NL, VTBB'!E:E),"")</f>
        <v>BYPHAN 800WP</v>
      </c>
      <c r="P160" s="275" t="s">
        <v>565</v>
      </c>
      <c r="Q160" s="311"/>
      <c r="R160" s="291" t="s">
        <v>622</v>
      </c>
      <c r="S160" s="280"/>
      <c r="T160" s="277"/>
      <c r="U160" s="277"/>
      <c r="V160" s="283">
        <v>2000.0</v>
      </c>
      <c r="W160" s="275" t="s">
        <v>699</v>
      </c>
      <c r="X160" s="283">
        <v>2000.0</v>
      </c>
      <c r="Y160" s="274">
        <v>2560.0</v>
      </c>
      <c r="Z160" s="287">
        <v>750.0</v>
      </c>
      <c r="AA160" s="285">
        <v>0.08</v>
      </c>
      <c r="AB160" s="282">
        <v>2073600.0</v>
      </c>
      <c r="AC160" s="277"/>
      <c r="AD160" s="289">
        <v>46022.0</v>
      </c>
      <c r="AE160" s="272">
        <v>4063.0</v>
      </c>
      <c r="AF160" s="277"/>
      <c r="AG160" s="277"/>
      <c r="AH160" s="294">
        <f>IFERROR(__xludf.DUMMYFUNCTION("IFERROR(INDEX( SORT(FILTER(
        {'1. DATA CHUNG'!$J$4:$J$105 , '1. DATA CHUNG'!$L$4:$L$105}, (TRIM('1. DATA CHUNG'!$I$4:$I$105)=TRIM(K160)) * IF(COUNTIFS('1. DATA CHUNG'!$I$4:$I$105,K160,'1. DATA CHUNG'!$M$4:$M$105,Q160), '1. DATA CHUNG'!$M$4:$M$105=Q"&amp;"160, 1) * ('1. DATA CHUNG'!$L$4:$L$105&lt;=TODAY()) ),   2, 0),  1, 1), 
  IFERROR( INDEX(FILTER('1. DATA CHUNG'!$J$4:$J$105, (TRIM('1. DATA CHUNG'!$I$4:$I$105)=TRIM(K160)) * IF(COUNTIFS('1. DATA CHUNG'!$I$4:$I$105,K160,'1. DATA CHUNG'!$M$4:$M$105,Q160), '1."&amp;" DATA CHUNG'!$M$4:$M$105=Q160, 1) * ('1. DATA CHUNG'!$L$4:$L$105="""")), 1), ""Không tìm thấy"" ))"),7.0)</f>
        <v>7</v>
      </c>
      <c r="AI160" s="273">
        <f t="shared" si="2"/>
        <v>46029</v>
      </c>
      <c r="AJ160" s="287"/>
      <c r="AK160" s="286">
        <f t="shared" si="3"/>
        <v>0</v>
      </c>
      <c r="AL160" s="287">
        <f t="shared" si="4"/>
        <v>-2</v>
      </c>
      <c r="AM160" s="287">
        <f t="shared" si="5"/>
        <v>2</v>
      </c>
      <c r="AN160" s="279">
        <f t="shared" si="6"/>
        <v>6</v>
      </c>
      <c r="AO160" s="295" t="str">
        <f t="shared" si="7"/>
        <v>12/2025</v>
      </c>
      <c r="AP160" s="277" t="str">
        <f t="array" ref="AP160">IFERROR(XLOOKUP(L160,'2. DATA NL, VTBB'!C:C,'2. DATA NL, VTBB'!F:F),"")</f>
        <v>HH0167</v>
      </c>
      <c r="AQ160" s="277" t="str">
        <f t="array" ref="AQ160">IF(OR(K160="Nhãn", K160="Nhãn thùng",K160="Nhãn Túi"), K160 &amp; " " &amp; IFERROR(XLOOKUP(L160, '2. DATA NL, VTBB'!C:C, '2. DATA NL, VTBB'!E:E), ""), "")</f>
        <v/>
      </c>
      <c r="AR160" s="278" t="str">
        <f t="array" ref="AR160">IFERROR(XLOOKUP(L160,'2. DATA NL, VTBB'!C:C,'2. DATA NL, VTBB'!G:G),"")</f>
        <v>GC - IV - 895 - Manco Green (túi nhôm)(bột xanh) - 1 Kg - 20</v>
      </c>
      <c r="AS160" s="278" t="str">
        <f t="array" ref="AS160">IFERROR(XLOOKUP(L160,'2. DATA NL, VTBB'!C:C,'2. DATA NL, VTBB'!G:G),"")</f>
        <v>GC - IV - 895 - Manco Green (túi nhôm)(bột xanh) - 1 Kg - 20</v>
      </c>
      <c r="AT160" s="277"/>
    </row>
    <row r="161" ht="30.75" customHeight="1">
      <c r="A161" s="272">
        <f t="shared" si="33"/>
        <v>158</v>
      </c>
      <c r="B161" s="289">
        <v>46022.0</v>
      </c>
      <c r="C161" s="289">
        <v>46029.0</v>
      </c>
      <c r="D161" s="289">
        <f t="shared" ref="D161:D163" si="39">B161+15</f>
        <v>46037</v>
      </c>
      <c r="E161" s="289">
        <v>46034.0</v>
      </c>
      <c r="F161" s="274" t="s">
        <v>561</v>
      </c>
      <c r="G161" s="275" t="s">
        <v>580</v>
      </c>
      <c r="H161" s="274" t="s">
        <v>304</v>
      </c>
      <c r="I161" s="275" t="s">
        <v>305</v>
      </c>
      <c r="J161" s="279" t="s">
        <v>864</v>
      </c>
      <c r="K161" s="275" t="s">
        <v>301</v>
      </c>
      <c r="L161" s="277" t="s">
        <v>865</v>
      </c>
      <c r="M161" s="278" t="str">
        <f t="array" ref="M161">IFERROR(XLOOKUP(L161,'2. DATA NL, VTBB'!C:C,'2. DATA NL, VTBB'!D:D),"")</f>
        <v>Thùng IDA chai tròn 1 lít x 20 chai (20 gói/ thùng) - (45.5x35.5x27cm) - Trắng xanh lá</v>
      </c>
      <c r="N161" s="280"/>
      <c r="O161" s="280" t="str">
        <f t="array" ref="O161">IFERROR( XLOOKUP(L161,'2. DATA NL, VTBB'!C:C,'2. DATA NL, VTBB'!E:E),"")</f>
        <v>Vi lượng Quantity New</v>
      </c>
      <c r="P161" s="275" t="s">
        <v>565</v>
      </c>
      <c r="Q161" s="311"/>
      <c r="R161" s="291" t="s">
        <v>573</v>
      </c>
      <c r="S161" s="280"/>
      <c r="T161" s="277"/>
      <c r="U161" s="277"/>
      <c r="V161" s="283">
        <v>200.0</v>
      </c>
      <c r="W161" s="275" t="s">
        <v>699</v>
      </c>
      <c r="X161" s="283">
        <v>200.0</v>
      </c>
      <c r="Y161" s="274">
        <v>207.0</v>
      </c>
      <c r="Z161" s="287">
        <v>20300.0</v>
      </c>
      <c r="AA161" s="285">
        <v>0.08</v>
      </c>
      <c r="AB161" s="282">
        <v>4538268.0</v>
      </c>
      <c r="AC161" s="277"/>
      <c r="AD161" s="289">
        <v>46022.0</v>
      </c>
      <c r="AE161" s="272">
        <v>79.0</v>
      </c>
      <c r="AF161" s="277"/>
      <c r="AG161" s="277"/>
      <c r="AH161" s="294">
        <f>IFERROR(__xludf.DUMMYFUNCTION("IFERROR(INDEX( SORT(FILTER(
        {'1. DATA CHUNG'!$J$4:$J$105 , '1. DATA CHUNG'!$L$4:$L$105}, (TRIM('1. DATA CHUNG'!$I$4:$I$105)=TRIM(K161)) * IF(COUNTIFS('1. DATA CHUNG'!$I$4:$I$105,K161,'1. DATA CHUNG'!$M$4:$M$105,Q161), '1. DATA CHUNG'!$M$4:$M$105=Q"&amp;"161, 1) * ('1. DATA CHUNG'!$L$4:$L$105&lt;=TODAY()) ),   2, 0),  1, 1), 
  IFERROR( INDEX(FILTER('1. DATA CHUNG'!$J$4:$J$105, (TRIM('1. DATA CHUNG'!$I$4:$I$105)=TRIM(K161)) * IF(COUNTIFS('1. DATA CHUNG'!$I$4:$I$105,K161,'1. DATA CHUNG'!$M$4:$M$105,Q161), '1."&amp;" DATA CHUNG'!$M$4:$M$105=Q161, 1) * ('1. DATA CHUNG'!$L$4:$L$105="""")), 1), ""Không tìm thấy"" ))"),18.0)</f>
        <v>18</v>
      </c>
      <c r="AI161" s="273">
        <f t="shared" si="2"/>
        <v>46040</v>
      </c>
      <c r="AJ161" s="287"/>
      <c r="AK161" s="286">
        <f t="shared" si="3"/>
        <v>0</v>
      </c>
      <c r="AL161" s="287">
        <f t="shared" si="4"/>
        <v>3</v>
      </c>
      <c r="AM161" s="287">
        <f t="shared" si="5"/>
        <v>6</v>
      </c>
      <c r="AN161" s="279">
        <f t="shared" si="6"/>
        <v>11</v>
      </c>
      <c r="AO161" s="295" t="str">
        <f t="shared" si="7"/>
        <v>12/2025</v>
      </c>
      <c r="AP161" s="277" t="str">
        <f t="array" ref="AP161">IFERROR(XLOOKUP(L161,'2. DATA NL, VTBB'!C:C,'2. DATA NL, VTBB'!F:F),"")</f>
        <v>HH0171</v>
      </c>
      <c r="AQ161" s="277" t="str">
        <f t="array" ref="AQ161">IF(OR(K161="Nhãn", K161="Nhãn thùng",K161="Nhãn Túi"), K161 &amp; " " &amp; IFERROR(XLOOKUP(L161, '2. DATA NL, VTBB'!C:C, '2. DATA NL, VTBB'!E:E), ""), "")</f>
        <v/>
      </c>
      <c r="AR161" s="278" t="str">
        <f t="array" ref="AR161">IFERROR(XLOOKUP(L161,'2. DATA NL, VTBB'!C:C,'2. DATA NL, VTBB'!G:G),"")</f>
        <v>GC - II - 582 - A Thời GNH - Siêu Bung Đọt (Chuyên Mai) (Chai HD) - 500ml - 40 ([btp],n,c)</v>
      </c>
      <c r="AS161" s="278" t="str">
        <f t="array" ref="AS161">IFERROR(XLOOKUP(L161,'2. DATA NL, VTBB'!C:C,'2. DATA NL, VTBB'!G:G),"")</f>
        <v>GC - II - 582 - A Thời GNH - Siêu Bung Đọt (Chuyên Mai) (Chai HD) - 500ml - 40 ([btp],n,c)</v>
      </c>
      <c r="AT161" s="277"/>
    </row>
    <row r="162" ht="30.75" customHeight="1">
      <c r="A162" s="272">
        <f t="shared" si="33"/>
        <v>159</v>
      </c>
      <c r="B162" s="289">
        <v>46022.0</v>
      </c>
      <c r="C162" s="273">
        <v>46023.0</v>
      </c>
      <c r="D162" s="273">
        <f t="shared" si="39"/>
        <v>46037</v>
      </c>
      <c r="E162" s="289">
        <v>46045.0</v>
      </c>
      <c r="F162" s="274" t="s">
        <v>561</v>
      </c>
      <c r="G162" s="275" t="s">
        <v>562</v>
      </c>
      <c r="H162" s="274" t="s">
        <v>304</v>
      </c>
      <c r="I162" s="275" t="s">
        <v>866</v>
      </c>
      <c r="J162" s="279" t="s">
        <v>867</v>
      </c>
      <c r="K162" s="275" t="s">
        <v>728</v>
      </c>
      <c r="L162" s="277" t="s">
        <v>868</v>
      </c>
      <c r="M162" s="278" t="str">
        <f t="array" ref="M162">IFERROR(XLOOKUP(L162,'2. DATA NL, VTBB'!C:C,'2. DATA NL, VTBB'!D:D),"")</f>
        <v>CP - Chai PET tròn cổ 50 500ml (64g) - Trong</v>
      </c>
      <c r="N162" s="280"/>
      <c r="O162" s="280" t="str">
        <f t="array" ref="O162">IFERROR( XLOOKUP(L162,'2. DATA NL, VTBB'!C:C,'2. DATA NL, VTBB'!E:E),"")</f>
        <v>Vi lượng AV4-BO633</v>
      </c>
      <c r="P162" s="275" t="s">
        <v>565</v>
      </c>
      <c r="Q162" s="311"/>
      <c r="R162" s="291" t="s">
        <v>590</v>
      </c>
      <c r="S162" s="280"/>
      <c r="T162" s="277"/>
      <c r="U162" s="277"/>
      <c r="V162" s="283">
        <v>3000.0</v>
      </c>
      <c r="W162" s="275" t="s">
        <v>699</v>
      </c>
      <c r="X162" s="283">
        <v>3000.0</v>
      </c>
      <c r="Y162" s="274">
        <v>3000.0</v>
      </c>
      <c r="Z162" s="287">
        <v>6532.0</v>
      </c>
      <c r="AA162" s="285">
        <v>0.08</v>
      </c>
      <c r="AB162" s="282">
        <v>2.116368E7</v>
      </c>
      <c r="AC162" s="277"/>
      <c r="AD162" s="289">
        <v>46022.0</v>
      </c>
      <c r="AE162" s="312"/>
      <c r="AF162" s="277"/>
      <c r="AG162" s="277"/>
      <c r="AH162" s="294">
        <f>IFERROR(__xludf.DUMMYFUNCTION("IFERROR(INDEX( SORT(FILTER(
        {'1. DATA CHUNG'!$J$4:$J$105 , '1. DATA CHUNG'!$L$4:$L$105}, (TRIM('1. DATA CHUNG'!$I$4:$I$105)=TRIM(K162)) * IF(COUNTIFS('1. DATA CHUNG'!$I$4:$I$105,K162,'1. DATA CHUNG'!$M$4:$M$105,Q162), '1. DATA CHUNG'!$M$4:$M$105=Q"&amp;"162, 1) * ('1. DATA CHUNG'!$L$4:$L$105&lt;=TODAY()) ),   2, 0),  1, 1), 
  IFERROR( INDEX(FILTER('1. DATA CHUNG'!$J$4:$J$105, (TRIM('1. DATA CHUNG'!$I$4:$I$105)=TRIM(K162)) * IF(COUNTIFS('1. DATA CHUNG'!$I$4:$I$105,K162,'1. DATA CHUNG'!$M$4:$M$105,Q162), '1."&amp;" DATA CHUNG'!$M$4:$M$105=Q162, 1) * ('1. DATA CHUNG'!$L$4:$L$105="""")), 1), ""Không tìm thấy"" ))"),7.0)</f>
        <v>7</v>
      </c>
      <c r="AI162" s="273">
        <f t="shared" si="2"/>
        <v>46029</v>
      </c>
      <c r="AJ162" s="287"/>
      <c r="AK162" s="286">
        <f t="shared" si="3"/>
        <v>0</v>
      </c>
      <c r="AL162" s="287">
        <f t="shared" si="4"/>
        <v>-8</v>
      </c>
      <c r="AM162" s="287">
        <f t="shared" si="5"/>
        <v>-16</v>
      </c>
      <c r="AN162" s="279">
        <f t="shared" si="6"/>
        <v>6</v>
      </c>
      <c r="AO162" s="295" t="str">
        <f t="shared" si="7"/>
        <v>12/2025</v>
      </c>
      <c r="AP162" s="277" t="str">
        <f t="array" ref="AP162">IFERROR(XLOOKUP(L162,'2. DATA NL, VTBB'!C:C,'2. DATA NL, VTBB'!F:F),"")</f>
        <v>HH0042</v>
      </c>
      <c r="AQ162" s="277" t="str">
        <f t="array" ref="AQ162">IF(OR(K162="Nhãn", K162="Nhãn thùng",K162="Nhãn Túi"), K162 &amp; " " &amp; IFERROR(XLOOKUP(L162, '2. DATA NL, VTBB'!C:C, '2. DATA NL, VTBB'!E:E), ""), "")</f>
        <v/>
      </c>
      <c r="AR162" s="278" t="str">
        <f t="array" ref="AR162">IFERROR(XLOOKUP(L162,'2. DATA NL, VTBB'!C:C,'2. DATA NL, VTBB'!G:G),"")</f>
        <v>GC - II - 434 - Ariplant - Siêu ra hoa sầu riêng (mới) - 250 gr- 100</v>
      </c>
      <c r="AS162" s="278" t="str">
        <f t="array" ref="AS162">IFERROR(XLOOKUP(L162,'2. DATA NL, VTBB'!C:C,'2. DATA NL, VTBB'!G:G),"")</f>
        <v>GC - II - 434 - Ariplant - Siêu ra hoa sầu riêng (mới) - 250 gr- 100</v>
      </c>
      <c r="AT162" s="277"/>
    </row>
    <row r="163" ht="30.75" customHeight="1">
      <c r="A163" s="272">
        <f t="shared" si="33"/>
        <v>160</v>
      </c>
      <c r="B163" s="289">
        <v>46022.0</v>
      </c>
      <c r="C163" s="273">
        <v>46023.0</v>
      </c>
      <c r="D163" s="273">
        <f t="shared" si="39"/>
        <v>46037</v>
      </c>
      <c r="E163" s="289">
        <v>46045.0</v>
      </c>
      <c r="F163" s="274" t="s">
        <v>561</v>
      </c>
      <c r="G163" s="275" t="s">
        <v>562</v>
      </c>
      <c r="H163" s="274" t="s">
        <v>304</v>
      </c>
      <c r="I163" s="279" t="s">
        <v>866</v>
      </c>
      <c r="J163" s="279" t="s">
        <v>867</v>
      </c>
      <c r="K163" s="275" t="s">
        <v>730</v>
      </c>
      <c r="L163" s="277" t="s">
        <v>869</v>
      </c>
      <c r="M163" s="278" t="str">
        <f t="array" ref="M163">IFERROR(XLOOKUP(L163,'2. DATA NL, VTBB'!C:C,'2. DATA NL, VTBB'!D:D),"")</f>
        <v>CP - Nắp PET cổ 50 500ml (16g) - Đen</v>
      </c>
      <c r="N163" s="280"/>
      <c r="O163" s="280" t="str">
        <f t="array" ref="O163">IFERROR( XLOOKUP(L163,'2. DATA NL, VTBB'!C:C,'2. DATA NL, VTBB'!E:E),"")</f>
        <v>Oxycin 100WP</v>
      </c>
      <c r="P163" s="275" t="s">
        <v>565</v>
      </c>
      <c r="Q163" s="311"/>
      <c r="R163" s="291" t="s">
        <v>590</v>
      </c>
      <c r="S163" s="280"/>
      <c r="T163" s="277"/>
      <c r="U163" s="277"/>
      <c r="V163" s="283">
        <v>3000.0</v>
      </c>
      <c r="W163" s="275" t="s">
        <v>699</v>
      </c>
      <c r="X163" s="283">
        <v>3000.0</v>
      </c>
      <c r="Y163" s="274">
        <v>3000.0</v>
      </c>
      <c r="Z163" s="287">
        <v>2156.0</v>
      </c>
      <c r="AA163" s="285">
        <v>0.08</v>
      </c>
      <c r="AB163" s="282">
        <v>6985440.0</v>
      </c>
      <c r="AC163" s="277"/>
      <c r="AD163" s="289">
        <v>46022.0</v>
      </c>
      <c r="AE163" s="312"/>
      <c r="AF163" s="277"/>
      <c r="AG163" s="277"/>
      <c r="AH163" s="294">
        <f>IFERROR(__xludf.DUMMYFUNCTION("IFERROR(INDEX( SORT(FILTER(
        {'1. DATA CHUNG'!$J$4:$J$105 , '1. DATA CHUNG'!$L$4:$L$105}, (TRIM('1. DATA CHUNG'!$I$4:$I$105)=TRIM(K163)) * IF(COUNTIFS('1. DATA CHUNG'!$I$4:$I$105,K163,'1. DATA CHUNG'!$M$4:$M$105,Q163), '1. DATA CHUNG'!$M$4:$M$105=Q"&amp;"163, 1) * ('1. DATA CHUNG'!$L$4:$L$105&lt;=TODAY()) ),   2, 0),  1, 1), 
  IFERROR( INDEX(FILTER('1. DATA CHUNG'!$J$4:$J$105, (TRIM('1. DATA CHUNG'!$I$4:$I$105)=TRIM(K163)) * IF(COUNTIFS('1. DATA CHUNG'!$I$4:$I$105,K163,'1. DATA CHUNG'!$M$4:$M$105,Q163), '1."&amp;" DATA CHUNG'!$M$4:$M$105=Q163, 1) * ('1. DATA CHUNG'!$L$4:$L$105="""")), 1), ""Không tìm thấy"" ))"),7.0)</f>
        <v>7</v>
      </c>
      <c r="AI163" s="273">
        <f t="shared" si="2"/>
        <v>46029</v>
      </c>
      <c r="AJ163" s="287"/>
      <c r="AK163" s="286">
        <f t="shared" si="3"/>
        <v>0</v>
      </c>
      <c r="AL163" s="287">
        <f t="shared" si="4"/>
        <v>-8</v>
      </c>
      <c r="AM163" s="287">
        <f t="shared" si="5"/>
        <v>-16</v>
      </c>
      <c r="AN163" s="279">
        <f t="shared" si="6"/>
        <v>6</v>
      </c>
      <c r="AO163" s="295" t="str">
        <f t="shared" si="7"/>
        <v>12/2025</v>
      </c>
      <c r="AP163" s="277" t="str">
        <f t="array" ref="AP163">IFERROR(XLOOKUP(L163,'2. DATA NL, VTBB'!C:C,'2. DATA NL, VTBB'!F:F),"")</f>
        <v>HH0030</v>
      </c>
      <c r="AQ163" s="277" t="str">
        <f t="array" ref="AQ163">IF(OR(K163="Nhãn", K163="Nhãn thùng",K163="Nhãn Túi"), K163 &amp; " " &amp; IFERROR(XLOOKUP(L163, '2. DATA NL, VTBB'!C:C, '2. DATA NL, VTBB'!E:E), ""), "")</f>
        <v/>
      </c>
      <c r="AR163" s="278" t="str">
        <f t="array" ref="AR163">IFERROR(XLOOKUP(L163,'2. DATA NL, VTBB'!C:C,'2. DATA NL, VTBB'!G:G),"")</f>
        <v>GC - II - 398 - Luta Siêu diệt vi khuẩn - 25gr - 300</v>
      </c>
      <c r="AS163" s="278" t="str">
        <f t="array" ref="AS163">IFERROR(XLOOKUP(L163,'2. DATA NL, VTBB'!C:C,'2. DATA NL, VTBB'!G:G),"")</f>
        <v>GC - II - 398 - Luta Siêu diệt vi khuẩn - 25gr - 300</v>
      </c>
      <c r="AT163" s="277"/>
    </row>
    <row r="164" ht="30.75" customHeight="1">
      <c r="A164" s="272">
        <f t="shared" si="33"/>
        <v>161</v>
      </c>
      <c r="B164" s="289">
        <v>46022.0</v>
      </c>
      <c r="C164" s="273">
        <v>46037.0</v>
      </c>
      <c r="D164" s="273">
        <v>46051.0</v>
      </c>
      <c r="E164" s="273">
        <v>46051.0</v>
      </c>
      <c r="F164" s="274" t="s">
        <v>561</v>
      </c>
      <c r="G164" s="275" t="s">
        <v>562</v>
      </c>
      <c r="H164" s="274" t="s">
        <v>304</v>
      </c>
      <c r="I164" s="279" t="s">
        <v>866</v>
      </c>
      <c r="J164" s="279" t="s">
        <v>867</v>
      </c>
      <c r="K164" s="275" t="s">
        <v>728</v>
      </c>
      <c r="L164" s="277" t="s">
        <v>868</v>
      </c>
      <c r="M164" s="278" t="str">
        <f t="array" ref="M164">IFERROR(XLOOKUP(L164,'2. DATA NL, VTBB'!C:C,'2. DATA NL, VTBB'!D:D),"")</f>
        <v>CP - Chai PET tròn cổ 50 500ml (64g) - Trong</v>
      </c>
      <c r="N164" s="280"/>
      <c r="O164" s="280" t="str">
        <f t="array" ref="O164">IFERROR( XLOOKUP(L164,'2. DATA NL, VTBB'!C:C,'2. DATA NL, VTBB'!E:E),"")</f>
        <v>Vi lượng AV4-BO633</v>
      </c>
      <c r="P164" s="275" t="s">
        <v>565</v>
      </c>
      <c r="Q164" s="311"/>
      <c r="R164" s="291" t="s">
        <v>590</v>
      </c>
      <c r="S164" s="280"/>
      <c r="T164" s="277"/>
      <c r="U164" s="277"/>
      <c r="V164" s="283">
        <v>7000.0</v>
      </c>
      <c r="W164" s="275" t="s">
        <v>699</v>
      </c>
      <c r="X164" s="283">
        <v>7000.0</v>
      </c>
      <c r="Y164" s="274">
        <v>7000.0</v>
      </c>
      <c r="Z164" s="287">
        <v>6532.0</v>
      </c>
      <c r="AA164" s="285">
        <v>0.08</v>
      </c>
      <c r="AB164" s="282">
        <v>4.938192E7</v>
      </c>
      <c r="AC164" s="277"/>
      <c r="AD164" s="289">
        <v>46022.0</v>
      </c>
      <c r="AE164" s="312"/>
      <c r="AF164" s="277"/>
      <c r="AG164" s="277"/>
      <c r="AH164" s="294">
        <f>IFERROR(__xludf.DUMMYFUNCTION("IFERROR(INDEX( SORT(FILTER(
        {'1. DATA CHUNG'!$J$4:$J$105 , '1. DATA CHUNG'!$L$4:$L$105}, (TRIM('1. DATA CHUNG'!$I$4:$I$105)=TRIM(K164)) * IF(COUNTIFS('1. DATA CHUNG'!$I$4:$I$105,K164,'1. DATA CHUNG'!$M$4:$M$105,Q164), '1. DATA CHUNG'!$M$4:$M$105=Q"&amp;"164, 1) * ('1. DATA CHUNG'!$L$4:$L$105&lt;=TODAY()) ),   2, 0),  1, 1), 
  IFERROR( INDEX(FILTER('1. DATA CHUNG'!$J$4:$J$105, (TRIM('1. DATA CHUNG'!$I$4:$I$105)=TRIM(K164)) * IF(COUNTIFS('1. DATA CHUNG'!$I$4:$I$105,K164,'1. DATA CHUNG'!$M$4:$M$105,Q164), '1."&amp;" DATA CHUNG'!$M$4:$M$105=Q164, 1) * ('1. DATA CHUNG'!$L$4:$L$105="""")), 1), ""Không tìm thấy"" ))"),7.0)</f>
        <v>7</v>
      </c>
      <c r="AI164" s="273">
        <f t="shared" si="2"/>
        <v>46029</v>
      </c>
      <c r="AJ164" s="287"/>
      <c r="AK164" s="286">
        <f t="shared" si="3"/>
        <v>0</v>
      </c>
      <c r="AL164" s="287">
        <f t="shared" si="4"/>
        <v>0</v>
      </c>
      <c r="AM164" s="287">
        <f t="shared" si="5"/>
        <v>-22</v>
      </c>
      <c r="AN164" s="279">
        <f t="shared" si="6"/>
        <v>-8</v>
      </c>
      <c r="AO164" s="295" t="str">
        <f t="shared" si="7"/>
        <v>12/2025</v>
      </c>
      <c r="AP164" s="277" t="str">
        <f t="array" ref="AP164">IFERROR(XLOOKUP(L164,'2. DATA NL, VTBB'!C:C,'2. DATA NL, VTBB'!F:F),"")</f>
        <v>HH0042</v>
      </c>
      <c r="AQ164" s="277" t="str">
        <f t="array" ref="AQ164">IF(OR(K164="Nhãn", K164="Nhãn thùng",K164="Nhãn Túi"), K164 &amp; " " &amp; IFERROR(XLOOKUP(L164, '2. DATA NL, VTBB'!C:C, '2. DATA NL, VTBB'!E:E), ""), "")</f>
        <v/>
      </c>
      <c r="AR164" s="278" t="str">
        <f t="array" ref="AR164">IFERROR(XLOOKUP(L164,'2. DATA NL, VTBB'!C:C,'2. DATA NL, VTBB'!G:G),"")</f>
        <v>GC - II - 434 - Ariplant - Siêu ra hoa sầu riêng (mới) - 250 gr- 100</v>
      </c>
      <c r="AS164" s="278" t="str">
        <f t="array" ref="AS164">IFERROR(XLOOKUP(L164,'2. DATA NL, VTBB'!C:C,'2. DATA NL, VTBB'!G:G),"")</f>
        <v>GC - II - 434 - Ariplant - Siêu ra hoa sầu riêng (mới) - 250 gr- 100</v>
      </c>
      <c r="AT164" s="277"/>
    </row>
    <row r="165" ht="30.75" customHeight="1">
      <c r="A165" s="272">
        <f t="shared" si="33"/>
        <v>162</v>
      </c>
      <c r="B165" s="289">
        <v>46022.0</v>
      </c>
      <c r="C165" s="273">
        <v>46037.0</v>
      </c>
      <c r="D165" s="273">
        <v>46051.0</v>
      </c>
      <c r="E165" s="273">
        <v>46051.0</v>
      </c>
      <c r="F165" s="274" t="s">
        <v>561</v>
      </c>
      <c r="G165" s="275" t="s">
        <v>562</v>
      </c>
      <c r="H165" s="274" t="s">
        <v>304</v>
      </c>
      <c r="I165" s="279" t="s">
        <v>866</v>
      </c>
      <c r="J165" s="279" t="s">
        <v>867</v>
      </c>
      <c r="K165" s="275" t="s">
        <v>730</v>
      </c>
      <c r="L165" s="277" t="s">
        <v>869</v>
      </c>
      <c r="M165" s="278" t="str">
        <f t="array" ref="M165">IFERROR(XLOOKUP(L165,'2. DATA NL, VTBB'!C:C,'2. DATA NL, VTBB'!D:D),"")</f>
        <v>CP - Nắp PET cổ 50 500ml (16g) - Đen</v>
      </c>
      <c r="N165" s="280"/>
      <c r="O165" s="280" t="str">
        <f t="array" ref="O165">IFERROR( XLOOKUP(L165,'2. DATA NL, VTBB'!C:C,'2. DATA NL, VTBB'!E:E),"")</f>
        <v>Oxycin 100WP</v>
      </c>
      <c r="P165" s="275" t="s">
        <v>565</v>
      </c>
      <c r="Q165" s="311"/>
      <c r="R165" s="291" t="s">
        <v>590</v>
      </c>
      <c r="S165" s="280"/>
      <c r="T165" s="277"/>
      <c r="U165" s="277"/>
      <c r="V165" s="283">
        <v>7000.0</v>
      </c>
      <c r="W165" s="275" t="s">
        <v>699</v>
      </c>
      <c r="X165" s="283">
        <v>7000.0</v>
      </c>
      <c r="Y165" s="274">
        <v>7000.0</v>
      </c>
      <c r="Z165" s="287">
        <v>2156.0</v>
      </c>
      <c r="AA165" s="285">
        <v>0.08</v>
      </c>
      <c r="AB165" s="282">
        <v>1.629936E7</v>
      </c>
      <c r="AC165" s="277"/>
      <c r="AD165" s="289">
        <v>46022.0</v>
      </c>
      <c r="AE165" s="312"/>
      <c r="AF165" s="277"/>
      <c r="AG165" s="277"/>
      <c r="AH165" s="294">
        <f>IFERROR(__xludf.DUMMYFUNCTION("IFERROR(INDEX( SORT(FILTER(
        {'1. DATA CHUNG'!$J$4:$J$105 , '1. DATA CHUNG'!$L$4:$L$105}, (TRIM('1. DATA CHUNG'!$I$4:$I$105)=TRIM(K165)) * IF(COUNTIFS('1. DATA CHUNG'!$I$4:$I$105,K165,'1. DATA CHUNG'!$M$4:$M$105,Q165), '1. DATA CHUNG'!$M$4:$M$105=Q"&amp;"165, 1) * ('1. DATA CHUNG'!$L$4:$L$105&lt;=TODAY()) ),   2, 0),  1, 1), 
  IFERROR( INDEX(FILTER('1. DATA CHUNG'!$J$4:$J$105, (TRIM('1. DATA CHUNG'!$I$4:$I$105)=TRIM(K165)) * IF(COUNTIFS('1. DATA CHUNG'!$I$4:$I$105,K165,'1. DATA CHUNG'!$M$4:$M$105,Q165), '1."&amp;" DATA CHUNG'!$M$4:$M$105=Q165, 1) * ('1. DATA CHUNG'!$L$4:$L$105="""")), 1), ""Không tìm thấy"" ))"),7.0)</f>
        <v>7</v>
      </c>
      <c r="AI165" s="273">
        <f t="shared" si="2"/>
        <v>46029</v>
      </c>
      <c r="AJ165" s="287"/>
      <c r="AK165" s="286">
        <f t="shared" si="3"/>
        <v>0</v>
      </c>
      <c r="AL165" s="287">
        <f t="shared" si="4"/>
        <v>0</v>
      </c>
      <c r="AM165" s="287">
        <f t="shared" si="5"/>
        <v>-22</v>
      </c>
      <c r="AN165" s="279">
        <f t="shared" si="6"/>
        <v>-8</v>
      </c>
      <c r="AO165" s="295" t="str">
        <f t="shared" si="7"/>
        <v>12/2025</v>
      </c>
      <c r="AP165" s="277" t="str">
        <f t="array" ref="AP165">IFERROR(XLOOKUP(L165,'2. DATA NL, VTBB'!C:C,'2. DATA NL, VTBB'!F:F),"")</f>
        <v>HH0030</v>
      </c>
      <c r="AQ165" s="277" t="str">
        <f t="array" ref="AQ165">IF(OR(K165="Nhãn", K165="Nhãn thùng",K165="Nhãn Túi"), K165 &amp; " " &amp; IFERROR(XLOOKUP(L165, '2. DATA NL, VTBB'!C:C, '2. DATA NL, VTBB'!E:E), ""), "")</f>
        <v/>
      </c>
      <c r="AR165" s="278" t="str">
        <f t="array" ref="AR165">IFERROR(XLOOKUP(L165,'2. DATA NL, VTBB'!C:C,'2. DATA NL, VTBB'!G:G),"")</f>
        <v>GC - II - 398 - Luta Siêu diệt vi khuẩn - 25gr - 300</v>
      </c>
      <c r="AS165" s="278" t="str">
        <f t="array" ref="AS165">IFERROR(XLOOKUP(L165,'2. DATA NL, VTBB'!C:C,'2. DATA NL, VTBB'!G:G),"")</f>
        <v>GC - II - 398 - Luta Siêu diệt vi khuẩn - 25gr - 300</v>
      </c>
      <c r="AT165" s="277"/>
    </row>
    <row r="166" ht="30.75" customHeight="1">
      <c r="A166" s="272">
        <f t="shared" si="33"/>
        <v>163</v>
      </c>
      <c r="B166" s="289">
        <v>46022.0</v>
      </c>
      <c r="C166" s="273">
        <v>46037.0</v>
      </c>
      <c r="D166" s="273">
        <v>46056.0</v>
      </c>
      <c r="E166" s="273">
        <v>46056.0</v>
      </c>
      <c r="F166" s="274" t="s">
        <v>561</v>
      </c>
      <c r="G166" s="275" t="s">
        <v>562</v>
      </c>
      <c r="H166" s="274" t="s">
        <v>304</v>
      </c>
      <c r="I166" s="279" t="s">
        <v>866</v>
      </c>
      <c r="J166" s="279" t="s">
        <v>867</v>
      </c>
      <c r="K166" s="275" t="s">
        <v>728</v>
      </c>
      <c r="L166" s="277" t="s">
        <v>868</v>
      </c>
      <c r="M166" s="278" t="str">
        <f t="array" ref="M166">IFERROR(XLOOKUP(L166,'2. DATA NL, VTBB'!C:C,'2. DATA NL, VTBB'!D:D),"")</f>
        <v>CP - Chai PET tròn cổ 50 500ml (64g) - Trong</v>
      </c>
      <c r="N166" s="280"/>
      <c r="O166" s="280" t="str">
        <f t="array" ref="O166">IFERROR( XLOOKUP(L166,'2. DATA NL, VTBB'!C:C,'2. DATA NL, VTBB'!E:E),"")</f>
        <v>Vi lượng AV4-BO633</v>
      </c>
      <c r="P166" s="275" t="s">
        <v>565</v>
      </c>
      <c r="Q166" s="311"/>
      <c r="R166" s="291" t="s">
        <v>590</v>
      </c>
      <c r="S166" s="280"/>
      <c r="T166" s="277"/>
      <c r="U166" s="277"/>
      <c r="V166" s="283">
        <v>10000.0</v>
      </c>
      <c r="W166" s="275" t="s">
        <v>699</v>
      </c>
      <c r="X166" s="283">
        <v>10000.0</v>
      </c>
      <c r="Y166" s="274">
        <v>10000.0</v>
      </c>
      <c r="Z166" s="287">
        <v>6532.0</v>
      </c>
      <c r="AA166" s="285">
        <v>0.08</v>
      </c>
      <c r="AB166" s="282">
        <v>7.05456E7</v>
      </c>
      <c r="AC166" s="277"/>
      <c r="AD166" s="289">
        <v>46022.0</v>
      </c>
      <c r="AE166" s="312"/>
      <c r="AF166" s="277"/>
      <c r="AG166" s="277"/>
      <c r="AH166" s="294">
        <f>IFERROR(__xludf.DUMMYFUNCTION("IFERROR(INDEX( SORT(FILTER(
        {'1. DATA CHUNG'!$J$4:$J$105 , '1. DATA CHUNG'!$L$4:$L$105}, (TRIM('1. DATA CHUNG'!$I$4:$I$105)=TRIM(K166)) * IF(COUNTIFS('1. DATA CHUNG'!$I$4:$I$105,K166,'1. DATA CHUNG'!$M$4:$M$105,Q166), '1. DATA CHUNG'!$M$4:$M$105=Q"&amp;"166, 1) * ('1. DATA CHUNG'!$L$4:$L$105&lt;=TODAY()) ),   2, 0),  1, 1), 
  IFERROR( INDEX(FILTER('1. DATA CHUNG'!$J$4:$J$105, (TRIM('1. DATA CHUNG'!$I$4:$I$105)=TRIM(K166)) * IF(COUNTIFS('1. DATA CHUNG'!$I$4:$I$105,K166,'1. DATA CHUNG'!$M$4:$M$105,Q166), '1."&amp;" DATA CHUNG'!$M$4:$M$105=Q166, 1) * ('1. DATA CHUNG'!$L$4:$L$105="""")), 1), ""Không tìm thấy"" ))"),7.0)</f>
        <v>7</v>
      </c>
      <c r="AI166" s="273">
        <f t="shared" si="2"/>
        <v>46029</v>
      </c>
      <c r="AJ166" s="287"/>
      <c r="AK166" s="286">
        <f t="shared" si="3"/>
        <v>0</v>
      </c>
      <c r="AL166" s="287">
        <f t="shared" si="4"/>
        <v>0</v>
      </c>
      <c r="AM166" s="287">
        <f t="shared" si="5"/>
        <v>-27</v>
      </c>
      <c r="AN166" s="279">
        <f t="shared" si="6"/>
        <v>-8</v>
      </c>
      <c r="AO166" s="295" t="str">
        <f t="shared" si="7"/>
        <v>12/2025</v>
      </c>
      <c r="AP166" s="277" t="str">
        <f t="array" ref="AP166">IFERROR(XLOOKUP(L166,'2. DATA NL, VTBB'!C:C,'2. DATA NL, VTBB'!F:F),"")</f>
        <v>HH0042</v>
      </c>
      <c r="AQ166" s="277" t="str">
        <f t="array" ref="AQ166">IF(OR(K166="Nhãn", K166="Nhãn thùng",K166="Nhãn Túi"), K166 &amp; " " &amp; IFERROR(XLOOKUP(L166, '2. DATA NL, VTBB'!C:C, '2. DATA NL, VTBB'!E:E), ""), "")</f>
        <v/>
      </c>
      <c r="AR166" s="278" t="str">
        <f t="array" ref="AR166">IFERROR(XLOOKUP(L166,'2. DATA NL, VTBB'!C:C,'2. DATA NL, VTBB'!G:G),"")</f>
        <v>GC - II - 434 - Ariplant - Siêu ra hoa sầu riêng (mới) - 250 gr- 100</v>
      </c>
      <c r="AS166" s="278" t="str">
        <f t="array" ref="AS166">IFERROR(XLOOKUP(L166,'2. DATA NL, VTBB'!C:C,'2. DATA NL, VTBB'!G:G),"")</f>
        <v>GC - II - 434 - Ariplant - Siêu ra hoa sầu riêng (mới) - 250 gr- 100</v>
      </c>
      <c r="AT166" s="277"/>
    </row>
    <row r="167" ht="30.75" customHeight="1">
      <c r="A167" s="272">
        <f t="shared" si="33"/>
        <v>164</v>
      </c>
      <c r="B167" s="289">
        <v>46022.0</v>
      </c>
      <c r="C167" s="273">
        <v>46037.0</v>
      </c>
      <c r="D167" s="273">
        <v>46056.0</v>
      </c>
      <c r="E167" s="273">
        <v>46056.0</v>
      </c>
      <c r="F167" s="274" t="s">
        <v>561</v>
      </c>
      <c r="G167" s="275" t="s">
        <v>562</v>
      </c>
      <c r="H167" s="274" t="s">
        <v>304</v>
      </c>
      <c r="I167" s="279" t="s">
        <v>866</v>
      </c>
      <c r="J167" s="279" t="s">
        <v>867</v>
      </c>
      <c r="K167" s="275" t="s">
        <v>730</v>
      </c>
      <c r="L167" s="277" t="s">
        <v>869</v>
      </c>
      <c r="M167" s="278" t="str">
        <f t="array" ref="M167">IFERROR(XLOOKUP(L167,'2. DATA NL, VTBB'!C:C,'2. DATA NL, VTBB'!D:D),"")</f>
        <v>CP - Nắp PET cổ 50 500ml (16g) - Đen</v>
      </c>
      <c r="N167" s="280"/>
      <c r="O167" s="280" t="str">
        <f t="array" ref="O167">IFERROR( XLOOKUP(L167,'2. DATA NL, VTBB'!C:C,'2. DATA NL, VTBB'!E:E),"")</f>
        <v>Oxycin 100WP</v>
      </c>
      <c r="P167" s="275" t="s">
        <v>565</v>
      </c>
      <c r="Q167" s="311"/>
      <c r="R167" s="291" t="s">
        <v>590</v>
      </c>
      <c r="S167" s="280"/>
      <c r="T167" s="277"/>
      <c r="U167" s="277"/>
      <c r="V167" s="283">
        <v>10000.0</v>
      </c>
      <c r="W167" s="275" t="s">
        <v>699</v>
      </c>
      <c r="X167" s="283">
        <v>10000.0</v>
      </c>
      <c r="Y167" s="274">
        <v>10000.0</v>
      </c>
      <c r="Z167" s="287">
        <v>2156.0</v>
      </c>
      <c r="AA167" s="285">
        <v>0.08</v>
      </c>
      <c r="AB167" s="282">
        <v>2.32848E7</v>
      </c>
      <c r="AC167" s="277"/>
      <c r="AD167" s="289">
        <v>46022.0</v>
      </c>
      <c r="AE167" s="312"/>
      <c r="AF167" s="277"/>
      <c r="AG167" s="277"/>
      <c r="AH167" s="294">
        <f>IFERROR(__xludf.DUMMYFUNCTION("IFERROR(INDEX( SORT(FILTER(
        {'1. DATA CHUNG'!$J$4:$J$105 , '1. DATA CHUNG'!$L$4:$L$105}, (TRIM('1. DATA CHUNG'!$I$4:$I$105)=TRIM(K167)) * IF(COUNTIFS('1. DATA CHUNG'!$I$4:$I$105,K167,'1. DATA CHUNG'!$M$4:$M$105,Q167), '1. DATA CHUNG'!$M$4:$M$105=Q"&amp;"167, 1) * ('1. DATA CHUNG'!$L$4:$L$105&lt;=TODAY()) ),   2, 0),  1, 1), 
  IFERROR( INDEX(FILTER('1. DATA CHUNG'!$J$4:$J$105, (TRIM('1. DATA CHUNG'!$I$4:$I$105)=TRIM(K167)) * IF(COUNTIFS('1. DATA CHUNG'!$I$4:$I$105,K167,'1. DATA CHUNG'!$M$4:$M$105,Q167), '1."&amp;" DATA CHUNG'!$M$4:$M$105=Q167, 1) * ('1. DATA CHUNG'!$L$4:$L$105="""")), 1), ""Không tìm thấy"" ))"),7.0)</f>
        <v>7</v>
      </c>
      <c r="AI167" s="273">
        <f t="shared" si="2"/>
        <v>46029</v>
      </c>
      <c r="AJ167" s="287"/>
      <c r="AK167" s="286">
        <f t="shared" si="3"/>
        <v>0</v>
      </c>
      <c r="AL167" s="287">
        <f t="shared" si="4"/>
        <v>0</v>
      </c>
      <c r="AM167" s="287">
        <f t="shared" si="5"/>
        <v>-27</v>
      </c>
      <c r="AN167" s="279">
        <f t="shared" si="6"/>
        <v>-8</v>
      </c>
      <c r="AO167" s="295" t="str">
        <f t="shared" si="7"/>
        <v>12/2025</v>
      </c>
      <c r="AP167" s="277" t="str">
        <f t="array" ref="AP167">IFERROR(XLOOKUP(L167,'2. DATA NL, VTBB'!C:C,'2. DATA NL, VTBB'!F:F),"")</f>
        <v>HH0030</v>
      </c>
      <c r="AQ167" s="277" t="str">
        <f t="array" ref="AQ167">IF(OR(K167="Nhãn", K167="Nhãn thùng",K167="Nhãn Túi"), K167 &amp; " " &amp; IFERROR(XLOOKUP(L167, '2. DATA NL, VTBB'!C:C, '2. DATA NL, VTBB'!E:E), ""), "")</f>
        <v/>
      </c>
      <c r="AR167" s="278" t="str">
        <f t="array" ref="AR167">IFERROR(XLOOKUP(L167,'2. DATA NL, VTBB'!C:C,'2. DATA NL, VTBB'!G:G),"")</f>
        <v>GC - II - 398 - Luta Siêu diệt vi khuẩn - 25gr - 300</v>
      </c>
      <c r="AS167" s="278" t="str">
        <f t="array" ref="AS167">IFERROR(XLOOKUP(L167,'2. DATA NL, VTBB'!C:C,'2. DATA NL, VTBB'!G:G),"")</f>
        <v>GC - II - 398 - Luta Siêu diệt vi khuẩn - 25gr - 300</v>
      </c>
      <c r="AT167" s="277"/>
    </row>
    <row r="168" ht="30.75" customHeight="1">
      <c r="A168" s="272">
        <f>ROW(A163)-2</f>
        <v>161</v>
      </c>
      <c r="B168" s="289">
        <v>46022.0</v>
      </c>
      <c r="C168" s="289">
        <v>46029.0</v>
      </c>
      <c r="D168" s="289">
        <f>B168+15</f>
        <v>46037</v>
      </c>
      <c r="E168" s="289">
        <v>46034.0</v>
      </c>
      <c r="F168" s="274" t="s">
        <v>561</v>
      </c>
      <c r="G168" s="275" t="s">
        <v>562</v>
      </c>
      <c r="H168" s="274" t="s">
        <v>304</v>
      </c>
      <c r="I168" s="275" t="s">
        <v>305</v>
      </c>
      <c r="J168" s="279" t="s">
        <v>870</v>
      </c>
      <c r="K168" s="275" t="s">
        <v>301</v>
      </c>
      <c r="L168" s="277" t="s">
        <v>637</v>
      </c>
      <c r="M168" s="278" t="str">
        <f t="array" ref="M168">IFERROR(XLOOKUP(L168,'2. DATA NL, VTBB'!C:C,'2. DATA NL, VTBB'!D:D),"")</f>
        <v>Thùng DC Chai Pet Vuông 35 450ml-500ml - (47x38.5x19cm) - Trắng viền đen</v>
      </c>
      <c r="N168" s="280"/>
      <c r="O168" s="280" t="str">
        <f t="array" ref="O168">IFERROR( XLOOKUP(L168,'2. DATA NL, VTBB'!C:C,'2. DATA NL, VTBB'!E:E),"")</f>
        <v>NPK Bổ sung Vi lượng Basel NPK 6-6-8 IDA 33</v>
      </c>
      <c r="P168" s="275" t="s">
        <v>565</v>
      </c>
      <c r="Q168" s="311"/>
      <c r="R168" s="291" t="s">
        <v>573</v>
      </c>
      <c r="S168" s="280"/>
      <c r="T168" s="277"/>
      <c r="U168" s="277"/>
      <c r="V168" s="283">
        <v>300.0</v>
      </c>
      <c r="W168" s="275" t="s">
        <v>699</v>
      </c>
      <c r="X168" s="283">
        <v>300.0</v>
      </c>
      <c r="Y168" s="274">
        <v>300.0</v>
      </c>
      <c r="Z168" s="287">
        <v>19300.0</v>
      </c>
      <c r="AA168" s="285">
        <v>0.08</v>
      </c>
      <c r="AB168" s="282">
        <v>6253200.0</v>
      </c>
      <c r="AC168" s="277"/>
      <c r="AD168" s="289">
        <v>46022.0</v>
      </c>
      <c r="AE168" s="312"/>
      <c r="AF168" s="277"/>
      <c r="AG168" s="277"/>
      <c r="AH168" s="294">
        <f>IFERROR(__xludf.DUMMYFUNCTION("IFERROR(INDEX( SORT(FILTER(
        {'1. DATA CHUNG'!$J$4:$J$105 , '1. DATA CHUNG'!$L$4:$L$105}, (TRIM('1. DATA CHUNG'!$I$4:$I$105)=TRIM(K168)) * IF(COUNTIFS('1. DATA CHUNG'!$I$4:$I$105,K168,'1. DATA CHUNG'!$M$4:$M$105,Q168), '1. DATA CHUNG'!$M$4:$M$105=Q"&amp;"168, 1) * ('1. DATA CHUNG'!$L$4:$L$105&lt;=TODAY()) ),   2, 0),  1, 1), 
  IFERROR( INDEX(FILTER('1. DATA CHUNG'!$J$4:$J$105, (TRIM('1. DATA CHUNG'!$I$4:$I$105)=TRIM(K168)) * IF(COUNTIFS('1. DATA CHUNG'!$I$4:$I$105,K168,'1. DATA CHUNG'!$M$4:$M$105,Q168), '1."&amp;" DATA CHUNG'!$M$4:$M$105=Q168, 1) * ('1. DATA CHUNG'!$L$4:$L$105="""")), 1), ""Không tìm thấy"" ))"),18.0)</f>
        <v>18</v>
      </c>
      <c r="AI168" s="273">
        <f t="shared" si="2"/>
        <v>46040</v>
      </c>
      <c r="AJ168" s="287"/>
      <c r="AK168" s="286">
        <f t="shared" si="3"/>
        <v>0</v>
      </c>
      <c r="AL168" s="287">
        <f t="shared" si="4"/>
        <v>3</v>
      </c>
      <c r="AM168" s="287">
        <f t="shared" si="5"/>
        <v>6</v>
      </c>
      <c r="AN168" s="279">
        <f t="shared" si="6"/>
        <v>11</v>
      </c>
      <c r="AO168" s="295" t="str">
        <f t="shared" si="7"/>
        <v>12/2025</v>
      </c>
      <c r="AP168" s="277" t="str">
        <f t="array" ref="AP168">IFERROR(XLOOKUP(L168,'2. DATA NL, VTBB'!C:C,'2. DATA NL, VTBB'!F:F),"")</f>
        <v>HH0003</v>
      </c>
      <c r="AQ168" s="277" t="str">
        <f t="array" ref="AQ168">IF(OR(K168="Nhãn", K168="Nhãn thùng",K168="Nhãn Túi"), K168 &amp; " " &amp; IFERROR(XLOOKUP(L168, '2. DATA NL, VTBB'!C:C, '2. DATA NL, VTBB'!E:E), ""), "")</f>
        <v/>
      </c>
      <c r="AR168" s="278" t="str">
        <f t="array" ref="AR168">IFERROR(XLOOKUP(L168,'2. DATA NL, VTBB'!C:C,'2. DATA NL, VTBB'!G:G),"")</f>
        <v>GC - II- 13.1 - Lớn Trái Thanh Long (Đỏ) - 22 kg - 1 ([btp],n)</v>
      </c>
      <c r="AS168" s="278" t="str">
        <f t="array" ref="AS168">IFERROR(XLOOKUP(L168,'2. DATA NL, VTBB'!C:C,'2. DATA NL, VTBB'!G:G),"")</f>
        <v>GC - II- 13.1 - Lớn Trái Thanh Long (Đỏ) - 22 kg - 1 ([btp],n)</v>
      </c>
      <c r="AT168" s="277"/>
    </row>
    <row r="169" ht="30.75" customHeight="1">
      <c r="A169" s="281">
        <f t="shared" ref="A169:A170" si="40">ROW(A168)-2</f>
        <v>166</v>
      </c>
      <c r="B169" s="314">
        <v>46024.0</v>
      </c>
      <c r="C169" s="315"/>
      <c r="D169" s="315"/>
      <c r="E169" s="314">
        <v>46024.0</v>
      </c>
      <c r="F169" s="290" t="s">
        <v>561</v>
      </c>
      <c r="G169" s="291" t="s">
        <v>562</v>
      </c>
      <c r="H169" s="290" t="s">
        <v>304</v>
      </c>
      <c r="I169" s="297" t="s">
        <v>871</v>
      </c>
      <c r="J169" s="297" t="s">
        <v>724</v>
      </c>
      <c r="K169" s="316"/>
      <c r="L169" s="281" t="s">
        <v>718</v>
      </c>
      <c r="M169" s="299" t="str">
        <f t="array" ref="M169">IFERROR(XLOOKUP(L169,'2. DATA NL, VTBB'!C:C,'2. DATA NL, VTBB'!D:D),"")</f>
        <v>Bán thành phẩm nhập khẩu Abamectin 3.6% W/W EC nâu</v>
      </c>
      <c r="N169" s="300"/>
      <c r="O169" s="300" t="str">
        <f t="array" ref="O169">IFERROR( XLOOKUP(L169,'2. DATA NL, VTBB'!C:C,'2. DATA NL, VTBB'!E:E),"")</f>
        <v/>
      </c>
      <c r="P169" s="291" t="s">
        <v>565</v>
      </c>
      <c r="Q169" s="301"/>
      <c r="R169" s="291" t="s">
        <v>573</v>
      </c>
      <c r="S169" s="300"/>
      <c r="T169" s="306"/>
      <c r="U169" s="306"/>
      <c r="V169" s="290">
        <v>32000.0</v>
      </c>
      <c r="W169" s="291" t="s">
        <v>719</v>
      </c>
      <c r="X169" s="290">
        <v>32000.0</v>
      </c>
      <c r="Y169" s="290">
        <v>32000.0</v>
      </c>
      <c r="Z169" s="304">
        <v>2.65</v>
      </c>
      <c r="AA169" s="305"/>
      <c r="AB169" s="303">
        <v>84800.0</v>
      </c>
      <c r="AC169" s="306"/>
      <c r="AD169" s="301"/>
      <c r="AE169" s="307"/>
      <c r="AF169" s="306"/>
      <c r="AG169" s="306"/>
      <c r="AH169" s="308" t="str">
        <f>IFERROR(__xludf.DUMMYFUNCTION("IFERROR(INDEX( SORT(FILTER(
        {'1. DATA CHUNG'!$J$4:$J$105 , '1. DATA CHUNG'!$L$4:$L$105}, (TRIM('1. DATA CHUNG'!$I$4:$I$105)=TRIM(K169)) * IF(COUNTIFS('1. DATA CHUNG'!$I$4:$I$105,K169,'1. DATA CHUNG'!$M$4:$M$105,Q169), '1. DATA CHUNG'!$M$4:$M$105=Q"&amp;"169, 1) * ('1. DATA CHUNG'!$L$4:$L$105&lt;=TODAY()) ),   2, 0),  1, 1), 
  IFERROR( INDEX(FILTER('1. DATA CHUNG'!$J$4:$J$105, (TRIM('1. DATA CHUNG'!$I$4:$I$105)=TRIM(K169)) * IF(COUNTIFS('1. DATA CHUNG'!$I$4:$I$105,K169,'1. DATA CHUNG'!$M$4:$M$105,Q169), '1."&amp;" DATA CHUNG'!$M$4:$M$105=Q169, 1) * ('1. DATA CHUNG'!$L$4:$L$105="""")), 1), ""Không tìm thấy"" ))"),"Không tìm thấy")</f>
        <v>Không tìm thấy</v>
      </c>
      <c r="AI169" s="273" t="str">
        <f t="shared" si="2"/>
        <v/>
      </c>
      <c r="AJ169" s="287"/>
      <c r="AK169" s="286">
        <f t="shared" si="3"/>
        <v>0</v>
      </c>
      <c r="AL169" s="287" t="str">
        <f t="shared" si="4"/>
        <v/>
      </c>
      <c r="AM169" s="287" t="str">
        <f t="shared" si="5"/>
        <v/>
      </c>
      <c r="AN169" s="279" t="str">
        <f t="shared" si="6"/>
        <v/>
      </c>
      <c r="AO169" s="309" t="str">
        <f t="shared" si="7"/>
        <v>01/2026</v>
      </c>
      <c r="AP169" s="306" t="str">
        <f t="array" ref="AP169">IFERROR(XLOOKUP(L169,'2. DATA NL, VTBB'!C:C,'2. DATA NL, VTBB'!F:F),"")</f>
        <v/>
      </c>
      <c r="AQ169" s="306" t="str">
        <f t="array" ref="AQ169">IF(OR(K169="Nhãn", K169="Nhãn thùng",K169="Nhãn Túi"), K169 &amp; " " &amp; IFERROR(XLOOKUP(L169, '2. DATA NL, VTBB'!C:C, '2. DATA NL, VTBB'!E:E), ""), "")</f>
        <v/>
      </c>
      <c r="AR169" s="278" t="str">
        <f t="array" ref="AR169">IFERROR(XLOOKUP(L169,'2. DATA NL, VTBB'!C:C,'2. DATA NL, VTBB'!G:G),"")</f>
        <v/>
      </c>
      <c r="AS169" s="278" t="str">
        <f t="array" ref="AS169">IFERROR(XLOOKUP(L169,'2. DATA NL, VTBB'!C:C,'2. DATA NL, VTBB'!G:G),"")</f>
        <v/>
      </c>
      <c r="AT169" s="306"/>
    </row>
    <row r="170" ht="30.75" customHeight="1">
      <c r="A170" s="272">
        <f t="shared" si="40"/>
        <v>167</v>
      </c>
      <c r="B170" s="289">
        <v>46024.0</v>
      </c>
      <c r="C170" s="289">
        <v>46031.0</v>
      </c>
      <c r="D170" s="289">
        <f t="shared" ref="D170:D171" si="41">B170+15</f>
        <v>46039</v>
      </c>
      <c r="E170" s="289">
        <v>46038.0</v>
      </c>
      <c r="F170" s="274" t="s">
        <v>561</v>
      </c>
      <c r="G170" s="275" t="s">
        <v>562</v>
      </c>
      <c r="H170" s="274" t="s">
        <v>304</v>
      </c>
      <c r="I170" s="275" t="s">
        <v>305</v>
      </c>
      <c r="J170" s="279" t="s">
        <v>872</v>
      </c>
      <c r="K170" s="275" t="s">
        <v>301</v>
      </c>
      <c r="L170" s="277" t="s">
        <v>609</v>
      </c>
      <c r="M170" s="278" t="str">
        <f t="array" ref="M170">IFERROR(XLOOKUP(L170,'2. DATA NL, VTBB'!C:C,'2. DATA NL, VTBB'!D:D),"")</f>
        <v>Thùng Tago đựng 20 hộp/thùng (44x39.5x32cm) - Trắng xanh lá viền vàng</v>
      </c>
      <c r="N170" s="280"/>
      <c r="O170" s="280" t="str">
        <f t="array" ref="O170">IFERROR( XLOOKUP(L170,'2. DATA NL, VTBB'!C:C,'2. DATA NL, VTBB'!E:E),"")</f>
        <v>TVZEB 800WP</v>
      </c>
      <c r="P170" s="275" t="s">
        <v>565</v>
      </c>
      <c r="Q170" s="311"/>
      <c r="R170" s="290" t="s">
        <v>566</v>
      </c>
      <c r="S170" s="280"/>
      <c r="T170" s="277"/>
      <c r="U170" s="277"/>
      <c r="V170" s="283">
        <v>100.0</v>
      </c>
      <c r="W170" s="275" t="s">
        <v>699</v>
      </c>
      <c r="X170" s="283">
        <v>100.0</v>
      </c>
      <c r="Y170" s="274">
        <v>108.0</v>
      </c>
      <c r="Z170" s="287">
        <v>38000.0</v>
      </c>
      <c r="AA170" s="285">
        <v>0.08</v>
      </c>
      <c r="AB170" s="282">
        <v>4432320.0</v>
      </c>
      <c r="AC170" s="277"/>
      <c r="AD170" s="289">
        <v>46024.0</v>
      </c>
      <c r="AE170" s="312"/>
      <c r="AF170" s="277"/>
      <c r="AG170" s="277"/>
      <c r="AH170" s="294">
        <f>IFERROR(__xludf.DUMMYFUNCTION("IFERROR(INDEX( SORT(FILTER(
        {'1. DATA CHUNG'!$J$4:$J$105 , '1. DATA CHUNG'!$L$4:$L$105}, (TRIM('1. DATA CHUNG'!$I$4:$I$105)=TRIM(K170)) * IF(COUNTIFS('1. DATA CHUNG'!$I$4:$I$105,K170,'1. DATA CHUNG'!$M$4:$M$105,Q170), '1. DATA CHUNG'!$M$4:$M$105=Q"&amp;"170, 1) * ('1. DATA CHUNG'!$L$4:$L$105&lt;=TODAY()) ),   2, 0),  1, 1), 
  IFERROR( INDEX(FILTER('1. DATA CHUNG'!$J$4:$J$105, (TRIM('1. DATA CHUNG'!$I$4:$I$105)=TRIM(K170)) * IF(COUNTIFS('1. DATA CHUNG'!$I$4:$I$105,K170,'1. DATA CHUNG'!$M$4:$M$105,Q170), '1."&amp;" DATA CHUNG'!$M$4:$M$105=Q170, 1) * ('1. DATA CHUNG'!$L$4:$L$105="""")), 1), ""Không tìm thấy"" ))"),18.0)</f>
        <v>18</v>
      </c>
      <c r="AI170" s="273">
        <f t="shared" si="2"/>
        <v>46042</v>
      </c>
      <c r="AJ170" s="287"/>
      <c r="AK170" s="286">
        <f t="shared" si="3"/>
        <v>0</v>
      </c>
      <c r="AL170" s="287">
        <f t="shared" si="4"/>
        <v>1</v>
      </c>
      <c r="AM170" s="287">
        <f t="shared" si="5"/>
        <v>4</v>
      </c>
      <c r="AN170" s="279">
        <f t="shared" si="6"/>
        <v>11</v>
      </c>
      <c r="AO170" s="295" t="str">
        <f t="shared" si="7"/>
        <v>01/2026</v>
      </c>
      <c r="AP170" s="277" t="str">
        <f t="array" ref="AP170">IFERROR(XLOOKUP(L170,'2. DATA NL, VTBB'!C:C,'2. DATA NL, VTBB'!F:F),"")</f>
        <v>HH0270</v>
      </c>
      <c r="AQ170" s="277" t="str">
        <f t="array" ref="AQ170">IF(OR(K170="Nhãn", K170="Nhãn thùng",K170="Nhãn Túi"), K170 &amp; " " &amp; IFERROR(XLOOKUP(L170, '2. DATA NL, VTBB'!C:C, '2. DATA NL, VTBB'!E:E), ""), "")</f>
        <v/>
      </c>
      <c r="AR170" s="278" t="str">
        <f t="array" ref="AR170">IFERROR(XLOOKUP(L170,'2. DATA NL, VTBB'!C:C,'2. DATA NL, VTBB'!G:G),"")</f>
        <v>GC - IV - 689 - Kim Ngọc - Mancozeb Xanh - 1 kg - 20</v>
      </c>
      <c r="AS170" s="278" t="str">
        <f t="array" ref="AS170">IFERROR(XLOOKUP(L170,'2. DATA NL, VTBB'!C:C,'2. DATA NL, VTBB'!G:G),"")</f>
        <v>GC - IV - 689 - Kim Ngọc - Mancozeb Xanh - 1 kg - 20</v>
      </c>
      <c r="AT170" s="277"/>
    </row>
    <row r="171" ht="30.75" customHeight="1">
      <c r="A171" s="272">
        <f t="shared" ref="A171:A173" si="42">ROW(A168)-2</f>
        <v>166</v>
      </c>
      <c r="B171" s="289">
        <v>46024.0</v>
      </c>
      <c r="C171" s="289">
        <v>46031.0</v>
      </c>
      <c r="D171" s="289">
        <f t="shared" si="41"/>
        <v>46039</v>
      </c>
      <c r="E171" s="289">
        <v>46034.0</v>
      </c>
      <c r="F171" s="274" t="s">
        <v>561</v>
      </c>
      <c r="G171" s="275" t="s">
        <v>562</v>
      </c>
      <c r="H171" s="274" t="s">
        <v>304</v>
      </c>
      <c r="I171" s="275" t="s">
        <v>305</v>
      </c>
      <c r="J171" s="279" t="s">
        <v>873</v>
      </c>
      <c r="K171" s="275" t="s">
        <v>874</v>
      </c>
      <c r="L171" s="277" t="s">
        <v>875</v>
      </c>
      <c r="M171" s="278" t="str">
        <f t="array" ref="M171">IFERROR(XLOOKUP(L171,'2. DATA NL, VTBB'!C:C,'2. DATA NL, VTBB'!D:D),"")</f>
        <v>[HỘP] GC - V - 4537 - TAGO - ĐÒNG TO VÔ GẠO (Gel màu tím) - 300ml - 3</v>
      </c>
      <c r="N171" s="280"/>
      <c r="O171" s="280" t="str">
        <f t="array" ref="O171">IFERROR( XLOOKUP(L171,'2. DATA NL, VTBB'!C:C,'2. DATA NL, VTBB'!E:E),"")</f>
        <v>Lá PK-Vi lượng SV 5-18</v>
      </c>
      <c r="P171" s="275" t="s">
        <v>565</v>
      </c>
      <c r="Q171" s="311"/>
      <c r="R171" s="290" t="s">
        <v>566</v>
      </c>
      <c r="S171" s="280"/>
      <c r="T171" s="277"/>
      <c r="U171" s="277"/>
      <c r="V171" s="283">
        <v>2000.0</v>
      </c>
      <c r="W171" s="275" t="s">
        <v>699</v>
      </c>
      <c r="X171" s="283">
        <v>2000.0</v>
      </c>
      <c r="Y171" s="274">
        <v>2000.0</v>
      </c>
      <c r="Z171" s="287">
        <v>6000.0</v>
      </c>
      <c r="AA171" s="285">
        <v>0.08</v>
      </c>
      <c r="AB171" s="282">
        <v>1.296E7</v>
      </c>
      <c r="AC171" s="277"/>
      <c r="AD171" s="289">
        <v>46024.0</v>
      </c>
      <c r="AE171" s="312"/>
      <c r="AF171" s="277"/>
      <c r="AG171" s="277"/>
      <c r="AH171" s="294">
        <f>IFERROR(__xludf.DUMMYFUNCTION("IFERROR(INDEX( SORT(FILTER(
        {'1. DATA CHUNG'!$J$4:$J$105 , '1. DATA CHUNG'!$L$4:$L$105}, (TRIM('1. DATA CHUNG'!$I$4:$I$105)=TRIM(K171)) * IF(COUNTIFS('1. DATA CHUNG'!$I$4:$I$105,K171,'1. DATA CHUNG'!$M$4:$M$105,Q171), '1. DATA CHUNG'!$M$4:$M$105=Q"&amp;"171, 1) * ('1. DATA CHUNG'!$L$4:$L$105&lt;=TODAY()) ),   2, 0),  1, 1), 
  IFERROR( INDEX(FILTER('1. DATA CHUNG'!$J$4:$J$105, (TRIM('1. DATA CHUNG'!$I$4:$I$105)=TRIM(K171)) * IF(COUNTIFS('1. DATA CHUNG'!$I$4:$I$105,K171,'1. DATA CHUNG'!$M$4:$M$105,Q171), '1."&amp;" DATA CHUNG'!$M$4:$M$105=Q171, 1) * ('1. DATA CHUNG'!$L$4:$L$105="""")), 1), ""Không tìm thấy"" ))"),15.0)</f>
        <v>15</v>
      </c>
      <c r="AI171" s="273">
        <f t="shared" si="2"/>
        <v>46039</v>
      </c>
      <c r="AJ171" s="287"/>
      <c r="AK171" s="286">
        <f t="shared" si="3"/>
        <v>0</v>
      </c>
      <c r="AL171" s="287">
        <f t="shared" si="4"/>
        <v>5</v>
      </c>
      <c r="AM171" s="287">
        <f t="shared" si="5"/>
        <v>5</v>
      </c>
      <c r="AN171" s="279">
        <f t="shared" si="6"/>
        <v>8</v>
      </c>
      <c r="AO171" s="295" t="str">
        <f t="shared" si="7"/>
        <v>01/2026</v>
      </c>
      <c r="AP171" s="277" t="str">
        <f t="array" ref="AP171">IFERROR(XLOOKUP(L171,'2. DATA NL, VTBB'!C:C,'2. DATA NL, VTBB'!F:F),"")</f>
        <v>HH4537</v>
      </c>
      <c r="AQ171" s="277" t="str">
        <f t="array" ref="AQ171">IF(OR(K171="Nhãn", K171="Nhãn thùng",K171="Nhãn Túi"), K171 &amp; " " &amp; IFERROR(XLOOKUP(L171, '2. DATA NL, VTBB'!C:C, '2. DATA NL, VTBB'!E:E), ""), "")</f>
        <v/>
      </c>
      <c r="AR171" s="278" t="str">
        <f t="array" ref="AR171">IFERROR(XLOOKUP(L171,'2. DATA NL, VTBB'!C:C,'2. DATA NL, VTBB'!G:G),"")</f>
        <v>GC - V - 4537 - TAGO - ĐÒNG TO VÔ GẠO (Gel màu tím) - 300ml - 40</v>
      </c>
      <c r="AS171" s="278" t="str">
        <f t="array" ref="AS171">IFERROR(XLOOKUP(L171,'2. DATA NL, VTBB'!C:C,'2. DATA NL, VTBB'!G:G),"")</f>
        <v>GC - V - 4537 - TAGO - ĐÒNG TO VÔ GẠO (Gel màu tím) - 300ml - 40</v>
      </c>
      <c r="AT171" s="277"/>
    </row>
    <row r="172" ht="30.75" customHeight="1">
      <c r="A172" s="272">
        <f t="shared" si="42"/>
        <v>167</v>
      </c>
      <c r="B172" s="289">
        <v>46024.0</v>
      </c>
      <c r="C172" s="273">
        <v>46025.0</v>
      </c>
      <c r="D172" s="273">
        <f t="shared" ref="D172:D191" si="43">B172+3</f>
        <v>46027</v>
      </c>
      <c r="E172" s="289">
        <v>46027.0</v>
      </c>
      <c r="F172" s="274" t="s">
        <v>561</v>
      </c>
      <c r="G172" s="275" t="s">
        <v>580</v>
      </c>
      <c r="H172" s="274" t="s">
        <v>304</v>
      </c>
      <c r="I172" s="275" t="s">
        <v>726</v>
      </c>
      <c r="J172" s="279" t="s">
        <v>876</v>
      </c>
      <c r="K172" s="275" t="s">
        <v>728</v>
      </c>
      <c r="L172" s="277" t="s">
        <v>742</v>
      </c>
      <c r="M172" s="278" t="str">
        <f t="array" ref="M172">IFERROR(XLOOKUP(L172,'2. DATA NL, VTBB'!C:C,'2. DATA NL, VTBB'!D:D),"")</f>
        <v>PN - Chai HDPE tròn cổ 45 1Lít (110g) - Trắng (không ganty)</v>
      </c>
      <c r="N172" s="280"/>
      <c r="O172" s="280" t="str">
        <f t="array" ref="O172">IFERROR( XLOOKUP(L172,'2. DATA NL, VTBB'!C:C,'2. DATA NL, VTBB'!E:E),"")</f>
        <v>CA MAP 350SC</v>
      </c>
      <c r="P172" s="275" t="s">
        <v>565</v>
      </c>
      <c r="Q172" s="311"/>
      <c r="R172" s="291" t="s">
        <v>573</v>
      </c>
      <c r="S172" s="280"/>
      <c r="T172" s="277"/>
      <c r="U172" s="277"/>
      <c r="V172" s="283">
        <v>1000.0</v>
      </c>
      <c r="W172" s="275" t="s">
        <v>699</v>
      </c>
      <c r="X172" s="283">
        <v>1000.0</v>
      </c>
      <c r="Y172" s="274">
        <v>1050.0</v>
      </c>
      <c r="Z172" s="287">
        <v>4700.0</v>
      </c>
      <c r="AA172" s="285">
        <v>0.08</v>
      </c>
      <c r="AB172" s="282">
        <v>5329800.0</v>
      </c>
      <c r="AC172" s="277"/>
      <c r="AD172" s="289">
        <v>46024.0</v>
      </c>
      <c r="AE172" s="272">
        <v>1.0</v>
      </c>
      <c r="AF172" s="277"/>
      <c r="AG172" s="277"/>
      <c r="AH172" s="294">
        <f>IFERROR(__xludf.DUMMYFUNCTION("IFERROR(INDEX( SORT(FILTER(
        {'1. DATA CHUNG'!$J$4:$J$105 , '1. DATA CHUNG'!$L$4:$L$105}, (TRIM('1. DATA CHUNG'!$I$4:$I$105)=TRIM(K172)) * IF(COUNTIFS('1. DATA CHUNG'!$I$4:$I$105,K172,'1. DATA CHUNG'!$M$4:$M$105,Q172), '1. DATA CHUNG'!$M$4:$M$105=Q"&amp;"172, 1) * ('1. DATA CHUNG'!$L$4:$L$105&lt;=TODAY()) ),   2, 0),  1, 1), 
  IFERROR( INDEX(FILTER('1. DATA CHUNG'!$J$4:$J$105, (TRIM('1. DATA CHUNG'!$I$4:$I$105)=TRIM(K172)) * IF(COUNTIFS('1. DATA CHUNG'!$I$4:$I$105,K172,'1. DATA CHUNG'!$M$4:$M$105,Q172), '1."&amp;" DATA CHUNG'!$M$4:$M$105=Q172, 1) * ('1. DATA CHUNG'!$L$4:$L$105="""")), 1), ""Không tìm thấy"" ))"),7.0)</f>
        <v>7</v>
      </c>
      <c r="AI172" s="273">
        <f t="shared" si="2"/>
        <v>46031</v>
      </c>
      <c r="AJ172" s="287"/>
      <c r="AK172" s="286">
        <f t="shared" si="3"/>
        <v>0</v>
      </c>
      <c r="AL172" s="287">
        <f t="shared" si="4"/>
        <v>0</v>
      </c>
      <c r="AM172" s="287">
        <f t="shared" si="5"/>
        <v>4</v>
      </c>
      <c r="AN172" s="279">
        <f t="shared" si="6"/>
        <v>6</v>
      </c>
      <c r="AO172" s="295" t="str">
        <f t="shared" si="7"/>
        <v>01/2026</v>
      </c>
      <c r="AP172" s="277" t="str">
        <f t="array" ref="AP172">IFERROR(XLOOKUP(L172,'2. DATA NL, VTBB'!C:C,'2. DATA NL, VTBB'!F:F),"")</f>
        <v>HH0151</v>
      </c>
      <c r="AQ172" s="277" t="str">
        <f t="array" ref="AQ172">IF(OR(K172="Nhãn", K172="Nhãn thùng",K172="Nhãn Túi"), K172 &amp; " " &amp; IFERROR(XLOOKUP(L172, '2. DATA NL, VTBB'!C:C, '2. DATA NL, VTBB'!E:E), ""), "")</f>
        <v/>
      </c>
      <c r="AR172" s="278" t="str">
        <f t="array" ref="AR172">IFERROR(XLOOKUP(L172,'2. DATA NL, VTBB'!C:C,'2. DATA NL, VTBB'!G:G),"")</f>
        <v>IDA Global - I - 725 - Cá mập 350SC (chai HD) - 100ml - 100 ([btp],t,c)</v>
      </c>
      <c r="AS172" s="278" t="str">
        <f t="array" ref="AS172">IFERROR(XLOOKUP(L172,'2. DATA NL, VTBB'!C:C,'2. DATA NL, VTBB'!G:G),"")</f>
        <v>IDA Global - I - 725 - Cá mập 350SC (chai HD) - 100ml - 100 ([btp],t,c)</v>
      </c>
      <c r="AT172" s="277"/>
    </row>
    <row r="173" ht="30.75" customHeight="1">
      <c r="A173" s="272">
        <f t="shared" si="42"/>
        <v>168</v>
      </c>
      <c r="B173" s="289">
        <v>46024.0</v>
      </c>
      <c r="C173" s="273">
        <v>46025.0</v>
      </c>
      <c r="D173" s="273">
        <f t="shared" si="43"/>
        <v>46027</v>
      </c>
      <c r="E173" s="289">
        <v>46027.0</v>
      </c>
      <c r="F173" s="274" t="s">
        <v>561</v>
      </c>
      <c r="G173" s="275" t="s">
        <v>580</v>
      </c>
      <c r="H173" s="274" t="s">
        <v>304</v>
      </c>
      <c r="I173" s="275" t="s">
        <v>726</v>
      </c>
      <c r="J173" s="279" t="s">
        <v>876</v>
      </c>
      <c r="K173" s="275" t="s">
        <v>730</v>
      </c>
      <c r="L173" s="277" t="s">
        <v>877</v>
      </c>
      <c r="M173" s="278" t="str">
        <f t="array" ref="M173">IFERROR(XLOOKUP(L173,'2. DATA NL, VTBB'!C:C,'2. DATA NL, VTBB'!D:D),"")</f>
        <v>PN - Nắp HDPE cổ 45 Vàng (không ganty)</v>
      </c>
      <c r="N173" s="280"/>
      <c r="O173" s="280" t="str">
        <f t="array" ref="O173">IFERROR( XLOOKUP(L173,'2. DATA NL, VTBB'!C:C,'2. DATA NL, VTBB'!E:E),"")</f>
        <v>BYPHAN 800WP</v>
      </c>
      <c r="P173" s="275" t="s">
        <v>565</v>
      </c>
      <c r="Q173" s="311"/>
      <c r="R173" s="291" t="s">
        <v>573</v>
      </c>
      <c r="S173" s="280"/>
      <c r="T173" s="277"/>
      <c r="U173" s="277"/>
      <c r="V173" s="283">
        <v>1000.0</v>
      </c>
      <c r="W173" s="275" t="s">
        <v>699</v>
      </c>
      <c r="X173" s="283">
        <v>1000.0</v>
      </c>
      <c r="Y173" s="274">
        <v>1050.0</v>
      </c>
      <c r="Z173" s="279">
        <v>900.0</v>
      </c>
      <c r="AA173" s="285">
        <v>0.08</v>
      </c>
      <c r="AB173" s="282">
        <v>1020600.0</v>
      </c>
      <c r="AC173" s="277"/>
      <c r="AD173" s="289">
        <v>46024.0</v>
      </c>
      <c r="AE173" s="272">
        <v>1.0</v>
      </c>
      <c r="AF173" s="277"/>
      <c r="AG173" s="277"/>
      <c r="AH173" s="294">
        <f>IFERROR(__xludf.DUMMYFUNCTION("IFERROR(INDEX( SORT(FILTER(
        {'1. DATA CHUNG'!$J$4:$J$105 , '1. DATA CHUNG'!$L$4:$L$105}, (TRIM('1. DATA CHUNG'!$I$4:$I$105)=TRIM(K173)) * IF(COUNTIFS('1. DATA CHUNG'!$I$4:$I$105,K173,'1. DATA CHUNG'!$M$4:$M$105,Q173), '1. DATA CHUNG'!$M$4:$M$105=Q"&amp;"173, 1) * ('1. DATA CHUNG'!$L$4:$L$105&lt;=TODAY()) ),   2, 0),  1, 1), 
  IFERROR( INDEX(FILTER('1. DATA CHUNG'!$J$4:$J$105, (TRIM('1. DATA CHUNG'!$I$4:$I$105)=TRIM(K173)) * IF(COUNTIFS('1. DATA CHUNG'!$I$4:$I$105,K173,'1. DATA CHUNG'!$M$4:$M$105,Q173), '1."&amp;" DATA CHUNG'!$M$4:$M$105=Q173, 1) * ('1. DATA CHUNG'!$L$4:$L$105="""")), 1), ""Không tìm thấy"" ))"),7.0)</f>
        <v>7</v>
      </c>
      <c r="AI173" s="273">
        <f t="shared" si="2"/>
        <v>46031</v>
      </c>
      <c r="AJ173" s="287"/>
      <c r="AK173" s="286">
        <f t="shared" si="3"/>
        <v>0</v>
      </c>
      <c r="AL173" s="287">
        <f t="shared" si="4"/>
        <v>0</v>
      </c>
      <c r="AM173" s="287">
        <f t="shared" si="5"/>
        <v>4</v>
      </c>
      <c r="AN173" s="279">
        <f t="shared" si="6"/>
        <v>6</v>
      </c>
      <c r="AO173" s="295" t="str">
        <f t="shared" si="7"/>
        <v>01/2026</v>
      </c>
      <c r="AP173" s="277" t="str">
        <f t="array" ref="AP173">IFERROR(XLOOKUP(L173,'2. DATA NL, VTBB'!C:C,'2. DATA NL, VTBB'!F:F),"")</f>
        <v>HH0157</v>
      </c>
      <c r="AQ173" s="277" t="str">
        <f t="array" ref="AQ173">IF(OR(K173="Nhãn", K173="Nhãn thùng",K173="Nhãn Túi"), K173 &amp; " " &amp; IFERROR(XLOOKUP(L173, '2. DATA NL, VTBB'!C:C, '2. DATA NL, VTBB'!E:E), ""), "")</f>
        <v/>
      </c>
      <c r="AR173" s="278" t="str">
        <f t="array" ref="AR173">IFERROR(XLOOKUP(L173,'2. DATA NL, VTBB'!C:C,'2. DATA NL, VTBB'!G:G),"")</f>
        <v>GC - IV - 877 - Bảy Phận - Manco Xanh (túi nhôm)(bột xanh) - 1 Kg - 20</v>
      </c>
      <c r="AS173" s="278" t="str">
        <f t="array" ref="AS173">IFERROR(XLOOKUP(L173,'2. DATA NL, VTBB'!C:C,'2. DATA NL, VTBB'!G:G),"")</f>
        <v>GC - IV - 877 - Bảy Phận - Manco Xanh (túi nhôm)(bột xanh) - 1 Kg - 20</v>
      </c>
      <c r="AT173" s="277"/>
    </row>
    <row r="174" ht="30.75" customHeight="1">
      <c r="A174" s="272">
        <f t="shared" ref="A174:A466" si="44">ROW(A173)-2</f>
        <v>171</v>
      </c>
      <c r="B174" s="289">
        <v>46024.0</v>
      </c>
      <c r="C174" s="273">
        <v>46025.0</v>
      </c>
      <c r="D174" s="273">
        <f t="shared" si="43"/>
        <v>46027</v>
      </c>
      <c r="E174" s="289">
        <v>46029.0</v>
      </c>
      <c r="F174" s="274" t="s">
        <v>561</v>
      </c>
      <c r="G174" s="275" t="s">
        <v>580</v>
      </c>
      <c r="H174" s="274" t="s">
        <v>304</v>
      </c>
      <c r="I174" s="275" t="s">
        <v>726</v>
      </c>
      <c r="J174" s="279" t="s">
        <v>878</v>
      </c>
      <c r="K174" s="275" t="s">
        <v>728</v>
      </c>
      <c r="L174" s="277" t="s">
        <v>742</v>
      </c>
      <c r="M174" s="278" t="str">
        <f t="array" ref="M174">IFERROR(XLOOKUP(L174,'2. DATA NL, VTBB'!C:C,'2. DATA NL, VTBB'!D:D),"")</f>
        <v>PN - Chai HDPE tròn cổ 45 1Lít (110g) - Trắng (không ganty)</v>
      </c>
      <c r="N174" s="280"/>
      <c r="O174" s="280" t="str">
        <f t="array" ref="O174">IFERROR( XLOOKUP(L174,'2. DATA NL, VTBB'!C:C,'2. DATA NL, VTBB'!E:E),"")</f>
        <v>CA MAP 350SC</v>
      </c>
      <c r="P174" s="275" t="s">
        <v>565</v>
      </c>
      <c r="Q174" s="311"/>
      <c r="R174" s="291" t="s">
        <v>573</v>
      </c>
      <c r="S174" s="280"/>
      <c r="T174" s="277"/>
      <c r="U174" s="277"/>
      <c r="V174" s="283">
        <v>2000.0</v>
      </c>
      <c r="W174" s="275" t="s">
        <v>699</v>
      </c>
      <c r="X174" s="283">
        <v>2000.0</v>
      </c>
      <c r="Y174" s="274">
        <v>2025.0</v>
      </c>
      <c r="Z174" s="287">
        <v>4700.0</v>
      </c>
      <c r="AA174" s="285">
        <v>0.08</v>
      </c>
      <c r="AB174" s="282">
        <v>1.02789E7</v>
      </c>
      <c r="AC174" s="277"/>
      <c r="AD174" s="289">
        <v>46024.0</v>
      </c>
      <c r="AE174" s="272">
        <v>2.0</v>
      </c>
      <c r="AF174" s="277"/>
      <c r="AG174" s="277"/>
      <c r="AH174" s="294">
        <f>IFERROR(__xludf.DUMMYFUNCTION("IFERROR(INDEX( SORT(FILTER(
        {'1. DATA CHUNG'!$J$4:$J$105 , '1. DATA CHUNG'!$L$4:$L$105}, (TRIM('1. DATA CHUNG'!$I$4:$I$105)=TRIM(K174)) * IF(COUNTIFS('1. DATA CHUNG'!$I$4:$I$105,K174,'1. DATA CHUNG'!$M$4:$M$105,Q174), '1. DATA CHUNG'!$M$4:$M$105=Q"&amp;"174, 1) * ('1. DATA CHUNG'!$L$4:$L$105&lt;=TODAY()) ),   2, 0),  1, 1), 
  IFERROR( INDEX(FILTER('1. DATA CHUNG'!$J$4:$J$105, (TRIM('1. DATA CHUNG'!$I$4:$I$105)=TRIM(K174)) * IF(COUNTIFS('1. DATA CHUNG'!$I$4:$I$105,K174,'1. DATA CHUNG'!$M$4:$M$105,Q174), '1."&amp;" DATA CHUNG'!$M$4:$M$105=Q174, 1) * ('1. DATA CHUNG'!$L$4:$L$105="""")), 1), ""Không tìm thấy"" ))"),7.0)</f>
        <v>7</v>
      </c>
      <c r="AI174" s="273">
        <f t="shared" si="2"/>
        <v>46031</v>
      </c>
      <c r="AJ174" s="287"/>
      <c r="AK174" s="286">
        <f t="shared" si="3"/>
        <v>0</v>
      </c>
      <c r="AL174" s="287">
        <f t="shared" si="4"/>
        <v>-2</v>
      </c>
      <c r="AM174" s="287">
        <f t="shared" si="5"/>
        <v>2</v>
      </c>
      <c r="AN174" s="279">
        <f t="shared" si="6"/>
        <v>6</v>
      </c>
      <c r="AO174" s="295" t="str">
        <f t="shared" si="7"/>
        <v>01/2026</v>
      </c>
      <c r="AP174" s="277" t="str">
        <f t="array" ref="AP174">IFERROR(XLOOKUP(L174,'2. DATA NL, VTBB'!C:C,'2. DATA NL, VTBB'!F:F),"")</f>
        <v>HH0151</v>
      </c>
      <c r="AQ174" s="277" t="str">
        <f t="array" ref="AQ174">IF(OR(K174="Nhãn", K174="Nhãn thùng",K174="Nhãn Túi"), K174 &amp; " " &amp; IFERROR(XLOOKUP(L174, '2. DATA NL, VTBB'!C:C, '2. DATA NL, VTBB'!E:E), ""), "")</f>
        <v/>
      </c>
      <c r="AR174" s="278" t="str">
        <f t="array" ref="AR174">IFERROR(XLOOKUP(L174,'2. DATA NL, VTBB'!C:C,'2. DATA NL, VTBB'!G:G),"")</f>
        <v>IDA Global - I - 725 - Cá mập 350SC (chai HD) - 100ml - 100 ([btp],t,c)</v>
      </c>
      <c r="AS174" s="278" t="str">
        <f t="array" ref="AS174">IFERROR(XLOOKUP(L174,'2. DATA NL, VTBB'!C:C,'2. DATA NL, VTBB'!G:G),"")</f>
        <v>IDA Global - I - 725 - Cá mập 350SC (chai HD) - 100ml - 100 ([btp],t,c)</v>
      </c>
      <c r="AT174" s="277"/>
    </row>
    <row r="175" ht="30.75" customHeight="1">
      <c r="A175" s="272">
        <f t="shared" si="44"/>
        <v>172</v>
      </c>
      <c r="B175" s="289">
        <v>46024.0</v>
      </c>
      <c r="C175" s="273">
        <v>46025.0</v>
      </c>
      <c r="D175" s="273">
        <f t="shared" si="43"/>
        <v>46027</v>
      </c>
      <c r="E175" s="289">
        <v>46029.0</v>
      </c>
      <c r="F175" s="274" t="s">
        <v>561</v>
      </c>
      <c r="G175" s="275" t="s">
        <v>580</v>
      </c>
      <c r="H175" s="274" t="s">
        <v>304</v>
      </c>
      <c r="I175" s="275" t="s">
        <v>726</v>
      </c>
      <c r="J175" s="279" t="s">
        <v>878</v>
      </c>
      <c r="K175" s="275" t="s">
        <v>730</v>
      </c>
      <c r="L175" s="277" t="s">
        <v>877</v>
      </c>
      <c r="M175" s="278" t="str">
        <f t="array" ref="M175">IFERROR(XLOOKUP(L175,'2. DATA NL, VTBB'!C:C,'2. DATA NL, VTBB'!D:D),"")</f>
        <v>PN - Nắp HDPE cổ 45 Vàng (không ganty)</v>
      </c>
      <c r="N175" s="280"/>
      <c r="O175" s="280" t="str">
        <f t="array" ref="O175">IFERROR( XLOOKUP(L175,'2. DATA NL, VTBB'!C:C,'2. DATA NL, VTBB'!E:E),"")</f>
        <v>BYPHAN 800WP</v>
      </c>
      <c r="P175" s="275" t="s">
        <v>565</v>
      </c>
      <c r="Q175" s="311"/>
      <c r="R175" s="291" t="s">
        <v>573</v>
      </c>
      <c r="S175" s="280"/>
      <c r="T175" s="277"/>
      <c r="U175" s="277"/>
      <c r="V175" s="283">
        <v>2000.0</v>
      </c>
      <c r="W175" s="275" t="s">
        <v>699</v>
      </c>
      <c r="X175" s="283">
        <v>2000.0</v>
      </c>
      <c r="Y175" s="274">
        <v>2025.0</v>
      </c>
      <c r="Z175" s="287">
        <v>900.0</v>
      </c>
      <c r="AA175" s="285">
        <v>0.08</v>
      </c>
      <c r="AB175" s="282">
        <v>1968300.0</v>
      </c>
      <c r="AC175" s="277"/>
      <c r="AD175" s="289">
        <v>46024.0</v>
      </c>
      <c r="AE175" s="272">
        <v>2.0</v>
      </c>
      <c r="AF175" s="277"/>
      <c r="AG175" s="277"/>
      <c r="AH175" s="294">
        <f>IFERROR(__xludf.DUMMYFUNCTION("IFERROR(INDEX( SORT(FILTER(
        {'1. DATA CHUNG'!$J$4:$J$105 , '1. DATA CHUNG'!$L$4:$L$105}, (TRIM('1. DATA CHUNG'!$I$4:$I$105)=TRIM(K175)) * IF(COUNTIFS('1. DATA CHUNG'!$I$4:$I$105,K175,'1. DATA CHUNG'!$M$4:$M$105,Q175), '1. DATA CHUNG'!$M$4:$M$105=Q"&amp;"175, 1) * ('1. DATA CHUNG'!$L$4:$L$105&lt;=TODAY()) ),   2, 0),  1, 1), 
  IFERROR( INDEX(FILTER('1. DATA CHUNG'!$J$4:$J$105, (TRIM('1. DATA CHUNG'!$I$4:$I$105)=TRIM(K175)) * IF(COUNTIFS('1. DATA CHUNG'!$I$4:$I$105,K175,'1. DATA CHUNG'!$M$4:$M$105,Q175), '1."&amp;" DATA CHUNG'!$M$4:$M$105=Q175, 1) * ('1. DATA CHUNG'!$L$4:$L$105="""")), 1), ""Không tìm thấy"" ))"),7.0)</f>
        <v>7</v>
      </c>
      <c r="AI175" s="273">
        <f t="shared" si="2"/>
        <v>46031</v>
      </c>
      <c r="AJ175" s="287"/>
      <c r="AK175" s="286">
        <f t="shared" si="3"/>
        <v>0</v>
      </c>
      <c r="AL175" s="287">
        <f t="shared" si="4"/>
        <v>-2</v>
      </c>
      <c r="AM175" s="287">
        <f t="shared" si="5"/>
        <v>2</v>
      </c>
      <c r="AN175" s="279">
        <f t="shared" si="6"/>
        <v>6</v>
      </c>
      <c r="AO175" s="295" t="str">
        <f t="shared" si="7"/>
        <v>01/2026</v>
      </c>
      <c r="AP175" s="277" t="str">
        <f t="array" ref="AP175">IFERROR(XLOOKUP(L175,'2. DATA NL, VTBB'!C:C,'2. DATA NL, VTBB'!F:F),"")</f>
        <v>HH0157</v>
      </c>
      <c r="AQ175" s="277" t="str">
        <f t="array" ref="AQ175">IF(OR(K175="Nhãn", K175="Nhãn thùng",K175="Nhãn Túi"), K175 &amp; " " &amp; IFERROR(XLOOKUP(L175, '2. DATA NL, VTBB'!C:C, '2. DATA NL, VTBB'!E:E), ""), "")</f>
        <v/>
      </c>
      <c r="AR175" s="278" t="str">
        <f t="array" ref="AR175">IFERROR(XLOOKUP(L175,'2. DATA NL, VTBB'!C:C,'2. DATA NL, VTBB'!G:G),"")</f>
        <v>GC - IV - 877 - Bảy Phận - Manco Xanh (túi nhôm)(bột xanh) - 1 Kg - 20</v>
      </c>
      <c r="AS175" s="278" t="str">
        <f t="array" ref="AS175">IFERROR(XLOOKUP(L175,'2. DATA NL, VTBB'!C:C,'2. DATA NL, VTBB'!G:G),"")</f>
        <v>GC - IV - 877 - Bảy Phận - Manco Xanh (túi nhôm)(bột xanh) - 1 Kg - 20</v>
      </c>
      <c r="AT175" s="277"/>
    </row>
    <row r="176" ht="30.75" customHeight="1">
      <c r="A176" s="272">
        <f t="shared" si="44"/>
        <v>173</v>
      </c>
      <c r="B176" s="289">
        <v>46024.0</v>
      </c>
      <c r="C176" s="273">
        <v>46025.0</v>
      </c>
      <c r="D176" s="273">
        <f t="shared" si="43"/>
        <v>46027</v>
      </c>
      <c r="E176" s="289">
        <v>46029.0</v>
      </c>
      <c r="F176" s="274" t="s">
        <v>561</v>
      </c>
      <c r="G176" s="275" t="s">
        <v>562</v>
      </c>
      <c r="H176" s="274" t="s">
        <v>304</v>
      </c>
      <c r="I176" s="275" t="s">
        <v>744</v>
      </c>
      <c r="J176" s="279" t="s">
        <v>879</v>
      </c>
      <c r="K176" s="275" t="s">
        <v>728</v>
      </c>
      <c r="L176" s="277" t="s">
        <v>880</v>
      </c>
      <c r="M176" s="278" t="str">
        <f t="array" ref="M176">IFERROR(XLOOKUP(L176,'2. DATA NL, VTBB'!C:C,'2. DATA NL, VTBB'!D:D),"")</f>
        <v>Chai PET tròn cổ 38 500ml - Cam</v>
      </c>
      <c r="N176" s="280"/>
      <c r="O176" s="280" t="str">
        <f t="array" ref="O176">IFERROR( XLOOKUP(L176,'2. DATA NL, VTBB'!C:C,'2. DATA NL, VTBB'!E:E),"")</f>
        <v>BYPHAN 800WP</v>
      </c>
      <c r="P176" s="275" t="s">
        <v>565</v>
      </c>
      <c r="Q176" s="311"/>
      <c r="R176" s="291" t="s">
        <v>573</v>
      </c>
      <c r="S176" s="280"/>
      <c r="T176" s="277"/>
      <c r="U176" s="277"/>
      <c r="V176" s="283">
        <v>1000.0</v>
      </c>
      <c r="W176" s="275" t="s">
        <v>699</v>
      </c>
      <c r="X176" s="283">
        <v>1000.0</v>
      </c>
      <c r="Y176" s="274">
        <v>1120.0</v>
      </c>
      <c r="Z176" s="279">
        <v>3400.0</v>
      </c>
      <c r="AA176" s="285">
        <v>0.08</v>
      </c>
      <c r="AB176" s="282">
        <v>4112640.0</v>
      </c>
      <c r="AC176" s="277"/>
      <c r="AD176" s="289">
        <v>46024.0</v>
      </c>
      <c r="AE176" s="272">
        <v>69.0</v>
      </c>
      <c r="AF176" s="277"/>
      <c r="AG176" s="277"/>
      <c r="AH176" s="294">
        <f>IFERROR(__xludf.DUMMYFUNCTION("IFERROR(INDEX( SORT(FILTER(
        {'1. DATA CHUNG'!$J$4:$J$105 , '1. DATA CHUNG'!$L$4:$L$105}, (TRIM('1. DATA CHUNG'!$I$4:$I$105)=TRIM(K176)) * IF(COUNTIFS('1. DATA CHUNG'!$I$4:$I$105,K176,'1. DATA CHUNG'!$M$4:$M$105,Q176), '1. DATA CHUNG'!$M$4:$M$105=Q"&amp;"176, 1) * ('1. DATA CHUNG'!$L$4:$L$105&lt;=TODAY()) ),   2, 0),  1, 1), 
  IFERROR( INDEX(FILTER('1. DATA CHUNG'!$J$4:$J$105, (TRIM('1. DATA CHUNG'!$I$4:$I$105)=TRIM(K176)) * IF(COUNTIFS('1. DATA CHUNG'!$I$4:$I$105,K176,'1. DATA CHUNG'!$M$4:$M$105,Q176), '1."&amp;" DATA CHUNG'!$M$4:$M$105=Q176, 1) * ('1. DATA CHUNG'!$L$4:$L$105="""")), 1), ""Không tìm thấy"" ))"),7.0)</f>
        <v>7</v>
      </c>
      <c r="AI176" s="273">
        <f t="shared" si="2"/>
        <v>46031</v>
      </c>
      <c r="AJ176" s="287"/>
      <c r="AK176" s="286">
        <f t="shared" si="3"/>
        <v>0</v>
      </c>
      <c r="AL176" s="287">
        <f t="shared" si="4"/>
        <v>-2</v>
      </c>
      <c r="AM176" s="287">
        <f t="shared" si="5"/>
        <v>2</v>
      </c>
      <c r="AN176" s="279">
        <f t="shared" si="6"/>
        <v>6</v>
      </c>
      <c r="AO176" s="295" t="str">
        <f t="shared" si="7"/>
        <v>01/2026</v>
      </c>
      <c r="AP176" s="277" t="str">
        <f t="array" ref="AP176">IFERROR(XLOOKUP(L176,'2. DATA NL, VTBB'!C:C,'2. DATA NL, VTBB'!F:F),"")</f>
        <v>HH0161</v>
      </c>
      <c r="AQ176" s="277" t="str">
        <f t="array" ref="AQ176">IF(OR(K176="Nhãn", K176="Nhãn thùng",K176="Nhãn Túi"), K176 &amp; " " &amp; IFERROR(XLOOKUP(L176, '2. DATA NL, VTBB'!C:C, '2. DATA NL, VTBB'!E:E), ""), "")</f>
        <v/>
      </c>
      <c r="AR176" s="278" t="str">
        <f t="array" ref="AR176">IFERROR(XLOOKUP(L176,'2. DATA NL, VTBB'!C:C,'2. DATA NL, VTBB'!G:G),"")</f>
        <v>GC - IV - 735 - AU - Manco xanh (túi nhôm) - 1 Kg - 20</v>
      </c>
      <c r="AS176" s="278" t="str">
        <f t="array" ref="AS176">IFERROR(XLOOKUP(L176,'2. DATA NL, VTBB'!C:C,'2. DATA NL, VTBB'!G:G),"")</f>
        <v>GC - IV - 735 - AU - Manco xanh (túi nhôm) - 1 Kg - 20</v>
      </c>
      <c r="AT176" s="277"/>
    </row>
    <row r="177" ht="30.75" customHeight="1">
      <c r="A177" s="272">
        <f t="shared" si="44"/>
        <v>174</v>
      </c>
      <c r="B177" s="289">
        <v>46024.0</v>
      </c>
      <c r="C177" s="273">
        <v>46025.0</v>
      </c>
      <c r="D177" s="273">
        <f t="shared" si="43"/>
        <v>46027</v>
      </c>
      <c r="E177" s="289">
        <v>46029.0</v>
      </c>
      <c r="F177" s="274" t="s">
        <v>561</v>
      </c>
      <c r="G177" s="275" t="s">
        <v>562</v>
      </c>
      <c r="H177" s="274" t="s">
        <v>304</v>
      </c>
      <c r="I177" s="275" t="s">
        <v>744</v>
      </c>
      <c r="J177" s="279" t="s">
        <v>879</v>
      </c>
      <c r="K177" s="275" t="s">
        <v>730</v>
      </c>
      <c r="L177" s="277" t="s">
        <v>881</v>
      </c>
      <c r="M177" s="278" t="str">
        <f t="array" ref="M177">IFERROR(XLOOKUP(L177,'2. DATA NL, VTBB'!C:C,'2. DATA NL, VTBB'!D:D),"")</f>
        <v>Nắp PET cổ 38 (7.5gr) tai bèo - Cam</v>
      </c>
      <c r="N177" s="280"/>
      <c r="O177" s="280" t="str">
        <f t="array" ref="O177">IFERROR( XLOOKUP(L177,'2. DATA NL, VTBB'!C:C,'2. DATA NL, VTBB'!E:E),"")</f>
        <v>PYXOATE 44EC</v>
      </c>
      <c r="P177" s="275" t="s">
        <v>565</v>
      </c>
      <c r="Q177" s="311"/>
      <c r="R177" s="291" t="s">
        <v>573</v>
      </c>
      <c r="S177" s="280"/>
      <c r="T177" s="277"/>
      <c r="U177" s="277"/>
      <c r="V177" s="283">
        <v>1000.0</v>
      </c>
      <c r="W177" s="275" t="s">
        <v>699</v>
      </c>
      <c r="X177" s="283">
        <v>1000.0</v>
      </c>
      <c r="Y177" s="274">
        <v>1120.0</v>
      </c>
      <c r="Z177" s="279">
        <v>750.0</v>
      </c>
      <c r="AA177" s="285">
        <v>0.08</v>
      </c>
      <c r="AB177" s="282">
        <v>907200.0</v>
      </c>
      <c r="AC177" s="277"/>
      <c r="AD177" s="289">
        <v>46024.0</v>
      </c>
      <c r="AE177" s="272">
        <v>69.0</v>
      </c>
      <c r="AF177" s="277"/>
      <c r="AG177" s="277"/>
      <c r="AH177" s="294">
        <f>IFERROR(__xludf.DUMMYFUNCTION("IFERROR(INDEX( SORT(FILTER(
        {'1. DATA CHUNG'!$J$4:$J$105 , '1. DATA CHUNG'!$L$4:$L$105}, (TRIM('1. DATA CHUNG'!$I$4:$I$105)=TRIM(K177)) * IF(COUNTIFS('1. DATA CHUNG'!$I$4:$I$105,K177,'1. DATA CHUNG'!$M$4:$M$105,Q177), '1. DATA CHUNG'!$M$4:$M$105=Q"&amp;"177, 1) * ('1. DATA CHUNG'!$L$4:$L$105&lt;=TODAY()) ),   2, 0),  1, 1), 
  IFERROR( INDEX(FILTER('1. DATA CHUNG'!$J$4:$J$105, (TRIM('1. DATA CHUNG'!$I$4:$I$105)=TRIM(K177)) * IF(COUNTIFS('1. DATA CHUNG'!$I$4:$I$105,K177,'1. DATA CHUNG'!$M$4:$M$105,Q177), '1."&amp;" DATA CHUNG'!$M$4:$M$105=Q177, 1) * ('1. DATA CHUNG'!$L$4:$L$105="""")), 1), ""Không tìm thấy"" ))"),7.0)</f>
        <v>7</v>
      </c>
      <c r="AI177" s="273">
        <f t="shared" si="2"/>
        <v>46031</v>
      </c>
      <c r="AJ177" s="287"/>
      <c r="AK177" s="286">
        <f t="shared" si="3"/>
        <v>0</v>
      </c>
      <c r="AL177" s="287">
        <f t="shared" si="4"/>
        <v>-2</v>
      </c>
      <c r="AM177" s="287">
        <f t="shared" si="5"/>
        <v>2</v>
      </c>
      <c r="AN177" s="279">
        <f t="shared" si="6"/>
        <v>6</v>
      </c>
      <c r="AO177" s="295" t="str">
        <f t="shared" si="7"/>
        <v>01/2026</v>
      </c>
      <c r="AP177" s="277" t="str">
        <f t="array" ref="AP177">IFERROR(XLOOKUP(L177,'2. DATA NL, VTBB'!C:C,'2. DATA NL, VTBB'!F:F),"")</f>
        <v>HH0139</v>
      </c>
      <c r="AQ177" s="277" t="str">
        <f t="array" ref="AQ177">IF(OR(K177="Nhãn", K177="Nhãn thùng",K177="Nhãn Túi"), K177 &amp; " " &amp; IFERROR(XLOOKUP(L177, '2. DATA NL, VTBB'!C:C, '2. DATA NL, VTBB'!E:E), ""), "")</f>
        <v/>
      </c>
      <c r="AR177" s="278" t="str">
        <f t="array" ref="AR177">IFERROR(XLOOKUP(L177,'2. DATA NL, VTBB'!C:C,'2. DATA NL, VTBB'!G:G),"")</f>
        <v>IDA GLOBAL - I - 852 - Hoàng Phi - Siêu Xông Hơi (Rồng Lửa) (Pet tròn) - 450ml - 40</v>
      </c>
      <c r="AS177" s="278" t="str">
        <f t="array" ref="AS177">IFERROR(XLOOKUP(L177,'2. DATA NL, VTBB'!C:C,'2. DATA NL, VTBB'!G:G),"")</f>
        <v>IDA GLOBAL - I - 852 - Hoàng Phi - Siêu Xông Hơi (Rồng Lửa) (Pet tròn) - 450ml - 40</v>
      </c>
      <c r="AT177" s="277"/>
    </row>
    <row r="178" ht="30.75" customHeight="1">
      <c r="A178" s="272">
        <f t="shared" si="44"/>
        <v>175</v>
      </c>
      <c r="B178" s="289">
        <v>46027.0</v>
      </c>
      <c r="C178" s="273">
        <v>46028.0</v>
      </c>
      <c r="D178" s="273">
        <f t="shared" si="43"/>
        <v>46030</v>
      </c>
      <c r="E178" s="289">
        <v>46029.0</v>
      </c>
      <c r="F178" s="274" t="s">
        <v>561</v>
      </c>
      <c r="G178" s="275" t="s">
        <v>580</v>
      </c>
      <c r="H178" s="274" t="s">
        <v>304</v>
      </c>
      <c r="I178" s="275" t="s">
        <v>726</v>
      </c>
      <c r="J178" s="279" t="s">
        <v>882</v>
      </c>
      <c r="K178" s="275" t="s">
        <v>728</v>
      </c>
      <c r="L178" s="277" t="s">
        <v>778</v>
      </c>
      <c r="M178" s="278" t="str">
        <f t="array" ref="M178">IFERROR(XLOOKUP(L178,'2. DATA NL, VTBB'!C:C,'2. DATA NL, VTBB'!D:D),"")</f>
        <v>Chai PET tròn cổ 44 500ml (45g) Trắng</v>
      </c>
      <c r="N178" s="280"/>
      <c r="O178" s="280" t="str">
        <f t="array" ref="O178">IFERROR( XLOOKUP(L178,'2. DATA NL, VTBB'!C:C,'2. DATA NL, VTBB'!E:E),"")</f>
        <v>Chitin 3.6EC</v>
      </c>
      <c r="P178" s="275" t="s">
        <v>565</v>
      </c>
      <c r="Q178" s="311"/>
      <c r="R178" s="291" t="s">
        <v>573</v>
      </c>
      <c r="S178" s="280"/>
      <c r="T178" s="277"/>
      <c r="U178" s="277"/>
      <c r="V178" s="283">
        <v>1000.0</v>
      </c>
      <c r="W178" s="275" t="s">
        <v>699</v>
      </c>
      <c r="X178" s="283">
        <v>1000.0</v>
      </c>
      <c r="Y178" s="274">
        <v>1008.0</v>
      </c>
      <c r="Z178" s="279">
        <v>1900.0</v>
      </c>
      <c r="AA178" s="285">
        <v>0.08</v>
      </c>
      <c r="AB178" s="282">
        <v>2068416.0</v>
      </c>
      <c r="AC178" s="277"/>
      <c r="AD178" s="289">
        <v>46027.0</v>
      </c>
      <c r="AE178" s="272">
        <v>43.0</v>
      </c>
      <c r="AF178" s="277"/>
      <c r="AG178" s="277"/>
      <c r="AH178" s="294">
        <f>IFERROR(__xludf.DUMMYFUNCTION("IFERROR(INDEX( SORT(FILTER(
        {'1. DATA CHUNG'!$J$4:$J$105 , '1. DATA CHUNG'!$L$4:$L$105}, (TRIM('1. DATA CHUNG'!$I$4:$I$105)=TRIM(K178)) * IF(COUNTIFS('1. DATA CHUNG'!$I$4:$I$105,K178,'1. DATA CHUNG'!$M$4:$M$105,Q178), '1. DATA CHUNG'!$M$4:$M$105=Q"&amp;"178, 1) * ('1. DATA CHUNG'!$L$4:$L$105&lt;=TODAY()) ),   2, 0),  1, 1), 
  IFERROR( INDEX(FILTER('1. DATA CHUNG'!$J$4:$J$105, (TRIM('1. DATA CHUNG'!$I$4:$I$105)=TRIM(K178)) * IF(COUNTIFS('1. DATA CHUNG'!$I$4:$I$105,K178,'1. DATA CHUNG'!$M$4:$M$105,Q178), '1."&amp;" DATA CHUNG'!$M$4:$M$105=Q178, 1) * ('1. DATA CHUNG'!$L$4:$L$105="""")), 1), ""Không tìm thấy"" ))"),7.0)</f>
        <v>7</v>
      </c>
      <c r="AI178" s="273">
        <f t="shared" si="2"/>
        <v>46034</v>
      </c>
      <c r="AJ178" s="287"/>
      <c r="AK178" s="286">
        <f t="shared" si="3"/>
        <v>0</v>
      </c>
      <c r="AL178" s="287">
        <f t="shared" si="4"/>
        <v>1</v>
      </c>
      <c r="AM178" s="287">
        <f t="shared" si="5"/>
        <v>5</v>
      </c>
      <c r="AN178" s="279">
        <f t="shared" si="6"/>
        <v>6</v>
      </c>
      <c r="AO178" s="295" t="str">
        <f t="shared" si="7"/>
        <v>01/2026</v>
      </c>
      <c r="AP178" s="277" t="str">
        <f t="array" ref="AP178">IFERROR(XLOOKUP(L178,'2. DATA NL, VTBB'!C:C,'2. DATA NL, VTBB'!F:F),"")</f>
        <v>HH0234</v>
      </c>
      <c r="AQ178" s="277" t="str">
        <f t="array" ref="AQ178">IF(OR(K178="Nhãn", K178="Nhãn thùng",K178="Nhãn Túi"), K178 &amp; " " &amp; IFERROR(XLOOKUP(L178, '2. DATA NL, VTBB'!C:C, '2. DATA NL, VTBB'!E:E), ""), "")</f>
        <v/>
      </c>
      <c r="AR178" s="278" t="str">
        <f t="array" ref="AR178">IFERROR(XLOOKUP(L178,'2. DATA NL, VTBB'!C:C,'2. DATA NL, VTBB'!G:G),"")</f>
        <v>LOT IDA Global - I - 875 - ĐL Bảo Tại - Avermectin 36 (Pet tròn) (nắp đỏ)(nước nâu đen) - 450ml - 40</v>
      </c>
      <c r="AS178" s="278" t="str">
        <f t="array" ref="AS178">IFERROR(XLOOKUP(L178,'2. DATA NL, VTBB'!C:C,'2. DATA NL, VTBB'!G:G),"")</f>
        <v>LOT IDA Global - I - 875 - ĐL Bảo Tại - Avermectin 36 (Pet tròn) (nắp đỏ)(nước nâu đen) - 450ml - 40</v>
      </c>
      <c r="AT178" s="277"/>
    </row>
    <row r="179" ht="30.75" customHeight="1">
      <c r="A179" s="272">
        <f t="shared" si="44"/>
        <v>176</v>
      </c>
      <c r="B179" s="289">
        <v>46027.0</v>
      </c>
      <c r="C179" s="273">
        <v>46028.0</v>
      </c>
      <c r="D179" s="273">
        <f t="shared" si="43"/>
        <v>46030</v>
      </c>
      <c r="E179" s="289">
        <v>46029.0</v>
      </c>
      <c r="F179" s="274" t="s">
        <v>561</v>
      </c>
      <c r="G179" s="275" t="s">
        <v>580</v>
      </c>
      <c r="H179" s="274" t="s">
        <v>304</v>
      </c>
      <c r="I179" s="275" t="s">
        <v>726</v>
      </c>
      <c r="J179" s="279" t="s">
        <v>882</v>
      </c>
      <c r="K179" s="275" t="s">
        <v>730</v>
      </c>
      <c r="L179" s="277" t="s">
        <v>780</v>
      </c>
      <c r="M179" s="278" t="str">
        <f t="array" ref="M179">IFERROR(XLOOKUP(L179,'2. DATA NL, VTBB'!C:C,'2. DATA NL, VTBB'!D:D),"")</f>
        <v>Nắp PET cổ 44 (9g) Đỏ</v>
      </c>
      <c r="N179" s="280"/>
      <c r="O179" s="280" t="str">
        <f t="array" ref="O179">IFERROR( XLOOKUP(L179,'2. DATA NL, VTBB'!C:C,'2. DATA NL, VTBB'!E:E),"")</f>
        <v>Chitin 3.6EC</v>
      </c>
      <c r="P179" s="275" t="s">
        <v>565</v>
      </c>
      <c r="Q179" s="311"/>
      <c r="R179" s="291" t="s">
        <v>573</v>
      </c>
      <c r="S179" s="280"/>
      <c r="T179" s="277"/>
      <c r="U179" s="277"/>
      <c r="V179" s="283">
        <v>1000.0</v>
      </c>
      <c r="W179" s="275" t="s">
        <v>699</v>
      </c>
      <c r="X179" s="283">
        <v>1000.0</v>
      </c>
      <c r="Y179" s="274">
        <v>1008.0</v>
      </c>
      <c r="Z179" s="287">
        <v>900.0</v>
      </c>
      <c r="AA179" s="285">
        <v>0.08</v>
      </c>
      <c r="AB179" s="282">
        <v>979776.0</v>
      </c>
      <c r="AC179" s="277"/>
      <c r="AD179" s="289">
        <v>46027.0</v>
      </c>
      <c r="AE179" s="272">
        <v>43.0</v>
      </c>
      <c r="AF179" s="277"/>
      <c r="AG179" s="277"/>
      <c r="AH179" s="294">
        <f>IFERROR(__xludf.DUMMYFUNCTION("IFERROR(INDEX( SORT(FILTER(
        {'1. DATA CHUNG'!$J$4:$J$105 , '1. DATA CHUNG'!$L$4:$L$105}, (TRIM('1. DATA CHUNG'!$I$4:$I$105)=TRIM(K179)) * IF(COUNTIFS('1. DATA CHUNG'!$I$4:$I$105,K179,'1. DATA CHUNG'!$M$4:$M$105,Q179), '1. DATA CHUNG'!$M$4:$M$105=Q"&amp;"179, 1) * ('1. DATA CHUNG'!$L$4:$L$105&lt;=TODAY()) ),   2, 0),  1, 1), 
  IFERROR( INDEX(FILTER('1. DATA CHUNG'!$J$4:$J$105, (TRIM('1. DATA CHUNG'!$I$4:$I$105)=TRIM(K179)) * IF(COUNTIFS('1. DATA CHUNG'!$I$4:$I$105,K179,'1. DATA CHUNG'!$M$4:$M$105,Q179), '1."&amp;" DATA CHUNG'!$M$4:$M$105=Q179, 1) * ('1. DATA CHUNG'!$L$4:$L$105="""")), 1), ""Không tìm thấy"" ))"),7.0)</f>
        <v>7</v>
      </c>
      <c r="AI179" s="273">
        <f t="shared" si="2"/>
        <v>46034</v>
      </c>
      <c r="AJ179" s="287"/>
      <c r="AK179" s="286">
        <f t="shared" si="3"/>
        <v>0</v>
      </c>
      <c r="AL179" s="287">
        <f t="shared" si="4"/>
        <v>1</v>
      </c>
      <c r="AM179" s="287">
        <f t="shared" si="5"/>
        <v>5</v>
      </c>
      <c r="AN179" s="279">
        <f t="shared" si="6"/>
        <v>6</v>
      </c>
      <c r="AO179" s="295" t="str">
        <f t="shared" si="7"/>
        <v>01/2026</v>
      </c>
      <c r="AP179" s="277" t="str">
        <f t="array" ref="AP179">IFERROR(XLOOKUP(L179,'2. DATA NL, VTBB'!C:C,'2. DATA NL, VTBB'!F:F),"")</f>
        <v>HH0156</v>
      </c>
      <c r="AQ179" s="277" t="str">
        <f t="array" ref="AQ179">IF(OR(K179="Nhãn", K179="Nhãn thùng",K179="Nhãn Túi"), K179 &amp; " " &amp; IFERROR(XLOOKUP(L179, '2. DATA NL, VTBB'!C:C, '2. DATA NL, VTBB'!E:E), ""), "")</f>
        <v/>
      </c>
      <c r="AR179" s="278" t="str">
        <f t="array" ref="AR179">IFERROR(XLOOKUP(L179,'2. DATA NL, VTBB'!C:C,'2. DATA NL, VTBB'!G:G),"")</f>
        <v>LOT IDA Global - I - 875 - ĐL Bảo Tại - Avermectin 36 (Pet tròn) (nắp đỏ)(nước nâu đen) - 450ml - 40</v>
      </c>
      <c r="AS179" s="278" t="str">
        <f t="array" ref="AS179">IFERROR(XLOOKUP(L179,'2. DATA NL, VTBB'!C:C,'2. DATA NL, VTBB'!G:G),"")</f>
        <v>LOT IDA Global - I - 875 - ĐL Bảo Tại - Avermectin 36 (Pet tròn) (nắp đỏ)(nước nâu đen) - 450ml - 40</v>
      </c>
      <c r="AT179" s="277"/>
    </row>
    <row r="180" ht="30.75" customHeight="1">
      <c r="A180" s="272">
        <f t="shared" si="44"/>
        <v>177</v>
      </c>
      <c r="B180" s="289">
        <v>46027.0</v>
      </c>
      <c r="C180" s="273">
        <v>46028.0</v>
      </c>
      <c r="D180" s="273">
        <f t="shared" si="43"/>
        <v>46030</v>
      </c>
      <c r="E180" s="289">
        <v>46029.0</v>
      </c>
      <c r="F180" s="274" t="s">
        <v>561</v>
      </c>
      <c r="G180" s="275" t="s">
        <v>562</v>
      </c>
      <c r="H180" s="274" t="s">
        <v>304</v>
      </c>
      <c r="I180" s="275" t="s">
        <v>726</v>
      </c>
      <c r="J180" s="279" t="s">
        <v>883</v>
      </c>
      <c r="K180" s="275" t="s">
        <v>728</v>
      </c>
      <c r="L180" s="277" t="s">
        <v>778</v>
      </c>
      <c r="M180" s="278" t="str">
        <f t="array" ref="M180">IFERROR(XLOOKUP(L180,'2. DATA NL, VTBB'!C:C,'2. DATA NL, VTBB'!D:D),"")</f>
        <v>Chai PET tròn cổ 44 500ml (45g) Trắng</v>
      </c>
      <c r="N180" s="280"/>
      <c r="O180" s="280" t="str">
        <f t="array" ref="O180">IFERROR( XLOOKUP(L180,'2. DATA NL, VTBB'!C:C,'2. DATA NL, VTBB'!E:E),"")</f>
        <v>Chitin 3.6EC</v>
      </c>
      <c r="P180" s="275" t="s">
        <v>565</v>
      </c>
      <c r="Q180" s="311"/>
      <c r="R180" s="291" t="s">
        <v>573</v>
      </c>
      <c r="S180" s="280"/>
      <c r="T180" s="277"/>
      <c r="U180" s="277"/>
      <c r="V180" s="283">
        <v>1000.0</v>
      </c>
      <c r="W180" s="275" t="s">
        <v>699</v>
      </c>
      <c r="X180" s="283">
        <v>1000.0</v>
      </c>
      <c r="Y180" s="274">
        <v>1008.0</v>
      </c>
      <c r="Z180" s="279">
        <v>1900.0</v>
      </c>
      <c r="AA180" s="285">
        <v>0.08</v>
      </c>
      <c r="AB180" s="282">
        <v>2068416.0</v>
      </c>
      <c r="AC180" s="277"/>
      <c r="AD180" s="289">
        <v>46027.0</v>
      </c>
      <c r="AE180" s="272">
        <v>44.0</v>
      </c>
      <c r="AF180" s="277"/>
      <c r="AG180" s="277"/>
      <c r="AH180" s="294">
        <f>IFERROR(__xludf.DUMMYFUNCTION("IFERROR(INDEX( SORT(FILTER(
        {'1. DATA CHUNG'!$J$4:$J$105 , '1. DATA CHUNG'!$L$4:$L$105}, (TRIM('1. DATA CHUNG'!$I$4:$I$105)=TRIM(K180)) * IF(COUNTIFS('1. DATA CHUNG'!$I$4:$I$105,K180,'1. DATA CHUNG'!$M$4:$M$105,Q180), '1. DATA CHUNG'!$M$4:$M$105=Q"&amp;"180, 1) * ('1. DATA CHUNG'!$L$4:$L$105&lt;=TODAY()) ),   2, 0),  1, 1), 
  IFERROR( INDEX(FILTER('1. DATA CHUNG'!$J$4:$J$105, (TRIM('1. DATA CHUNG'!$I$4:$I$105)=TRIM(K180)) * IF(COUNTIFS('1. DATA CHUNG'!$I$4:$I$105,K180,'1. DATA CHUNG'!$M$4:$M$105,Q180), '1."&amp;" DATA CHUNG'!$M$4:$M$105=Q180, 1) * ('1. DATA CHUNG'!$L$4:$L$105="""")), 1), ""Không tìm thấy"" ))"),7.0)</f>
        <v>7</v>
      </c>
      <c r="AI180" s="273">
        <f t="shared" si="2"/>
        <v>46034</v>
      </c>
      <c r="AJ180" s="287"/>
      <c r="AK180" s="286">
        <f t="shared" si="3"/>
        <v>0</v>
      </c>
      <c r="AL180" s="287">
        <f t="shared" si="4"/>
        <v>1</v>
      </c>
      <c r="AM180" s="287">
        <f t="shared" si="5"/>
        <v>5</v>
      </c>
      <c r="AN180" s="279">
        <f t="shared" si="6"/>
        <v>6</v>
      </c>
      <c r="AO180" s="295" t="str">
        <f t="shared" si="7"/>
        <v>01/2026</v>
      </c>
      <c r="AP180" s="277" t="str">
        <f t="array" ref="AP180">IFERROR(XLOOKUP(L180,'2. DATA NL, VTBB'!C:C,'2. DATA NL, VTBB'!F:F),"")</f>
        <v>HH0234</v>
      </c>
      <c r="AQ180" s="277" t="str">
        <f t="array" ref="AQ180">IF(OR(K180="Nhãn", K180="Nhãn thùng",K180="Nhãn Túi"), K180 &amp; " " &amp; IFERROR(XLOOKUP(L180, '2. DATA NL, VTBB'!C:C, '2. DATA NL, VTBB'!E:E), ""), "")</f>
        <v/>
      </c>
      <c r="AR180" s="278" t="str">
        <f t="array" ref="AR180">IFERROR(XLOOKUP(L180,'2. DATA NL, VTBB'!C:C,'2. DATA NL, VTBB'!G:G),"")</f>
        <v>LOT IDA Global - I - 875 - ĐL Bảo Tại - Avermectin 36 (Pet tròn) (nắp đỏ)(nước nâu đen) - 450ml - 40</v>
      </c>
      <c r="AS180" s="278" t="str">
        <f t="array" ref="AS180">IFERROR(XLOOKUP(L180,'2. DATA NL, VTBB'!C:C,'2. DATA NL, VTBB'!G:G),"")</f>
        <v>LOT IDA Global - I - 875 - ĐL Bảo Tại - Avermectin 36 (Pet tròn) (nắp đỏ)(nước nâu đen) - 450ml - 40</v>
      </c>
      <c r="AT180" s="277"/>
    </row>
    <row r="181" ht="30.75" customHeight="1">
      <c r="A181" s="272">
        <f t="shared" si="44"/>
        <v>178</v>
      </c>
      <c r="B181" s="289">
        <v>46027.0</v>
      </c>
      <c r="C181" s="273">
        <v>46028.0</v>
      </c>
      <c r="D181" s="273">
        <f t="shared" si="43"/>
        <v>46030</v>
      </c>
      <c r="E181" s="289">
        <v>46029.0</v>
      </c>
      <c r="F181" s="274" t="s">
        <v>561</v>
      </c>
      <c r="G181" s="275" t="s">
        <v>562</v>
      </c>
      <c r="H181" s="274" t="s">
        <v>304</v>
      </c>
      <c r="I181" s="275" t="s">
        <v>726</v>
      </c>
      <c r="J181" s="279" t="s">
        <v>883</v>
      </c>
      <c r="K181" s="275" t="s">
        <v>730</v>
      </c>
      <c r="L181" s="277" t="s">
        <v>780</v>
      </c>
      <c r="M181" s="278" t="str">
        <f t="array" ref="M181">IFERROR(XLOOKUP(L181,'2. DATA NL, VTBB'!C:C,'2. DATA NL, VTBB'!D:D),"")</f>
        <v>Nắp PET cổ 44 (9g) Đỏ</v>
      </c>
      <c r="N181" s="280"/>
      <c r="O181" s="280" t="str">
        <f t="array" ref="O181">IFERROR( XLOOKUP(L181,'2. DATA NL, VTBB'!C:C,'2. DATA NL, VTBB'!E:E),"")</f>
        <v>Chitin 3.6EC</v>
      </c>
      <c r="P181" s="275" t="s">
        <v>565</v>
      </c>
      <c r="Q181" s="311"/>
      <c r="R181" s="291" t="s">
        <v>573</v>
      </c>
      <c r="S181" s="280"/>
      <c r="T181" s="277"/>
      <c r="U181" s="277"/>
      <c r="V181" s="283">
        <v>1000.0</v>
      </c>
      <c r="W181" s="275" t="s">
        <v>699</v>
      </c>
      <c r="X181" s="283">
        <v>1000.0</v>
      </c>
      <c r="Y181" s="274">
        <v>1008.0</v>
      </c>
      <c r="Z181" s="279">
        <v>900.0</v>
      </c>
      <c r="AA181" s="285">
        <v>0.08</v>
      </c>
      <c r="AB181" s="282">
        <v>979776.0</v>
      </c>
      <c r="AC181" s="277"/>
      <c r="AD181" s="289">
        <v>46027.0</v>
      </c>
      <c r="AE181" s="272">
        <v>44.0</v>
      </c>
      <c r="AF181" s="277"/>
      <c r="AG181" s="277"/>
      <c r="AH181" s="294">
        <f>IFERROR(__xludf.DUMMYFUNCTION("IFERROR(INDEX( SORT(FILTER(
        {'1. DATA CHUNG'!$J$4:$J$105 , '1. DATA CHUNG'!$L$4:$L$105}, (TRIM('1. DATA CHUNG'!$I$4:$I$105)=TRIM(K181)) * IF(COUNTIFS('1. DATA CHUNG'!$I$4:$I$105,K181,'1. DATA CHUNG'!$M$4:$M$105,Q181), '1. DATA CHUNG'!$M$4:$M$105=Q"&amp;"181, 1) * ('1. DATA CHUNG'!$L$4:$L$105&lt;=TODAY()) ),   2, 0),  1, 1), 
  IFERROR( INDEX(FILTER('1. DATA CHUNG'!$J$4:$J$105, (TRIM('1. DATA CHUNG'!$I$4:$I$105)=TRIM(K181)) * IF(COUNTIFS('1. DATA CHUNG'!$I$4:$I$105,K181,'1. DATA CHUNG'!$M$4:$M$105,Q181), '1."&amp;" DATA CHUNG'!$M$4:$M$105=Q181, 1) * ('1. DATA CHUNG'!$L$4:$L$105="""")), 1), ""Không tìm thấy"" ))"),7.0)</f>
        <v>7</v>
      </c>
      <c r="AI181" s="273">
        <f t="shared" si="2"/>
        <v>46034</v>
      </c>
      <c r="AJ181" s="287"/>
      <c r="AK181" s="286">
        <f t="shared" si="3"/>
        <v>0</v>
      </c>
      <c r="AL181" s="287">
        <f t="shared" si="4"/>
        <v>1</v>
      </c>
      <c r="AM181" s="287">
        <f t="shared" si="5"/>
        <v>5</v>
      </c>
      <c r="AN181" s="279">
        <f t="shared" si="6"/>
        <v>6</v>
      </c>
      <c r="AO181" s="295" t="str">
        <f t="shared" si="7"/>
        <v>01/2026</v>
      </c>
      <c r="AP181" s="277" t="str">
        <f t="array" ref="AP181">IFERROR(XLOOKUP(L181,'2. DATA NL, VTBB'!C:C,'2. DATA NL, VTBB'!F:F),"")</f>
        <v>HH0156</v>
      </c>
      <c r="AQ181" s="277" t="str">
        <f t="array" ref="AQ181">IF(OR(K181="Nhãn", K181="Nhãn thùng",K181="Nhãn Túi"), K181 &amp; " " &amp; IFERROR(XLOOKUP(L181, '2. DATA NL, VTBB'!C:C, '2. DATA NL, VTBB'!E:E), ""), "")</f>
        <v/>
      </c>
      <c r="AR181" s="278" t="str">
        <f t="array" ref="AR181">IFERROR(XLOOKUP(L181,'2. DATA NL, VTBB'!C:C,'2. DATA NL, VTBB'!G:G),"")</f>
        <v>LOT IDA Global - I - 875 - ĐL Bảo Tại - Avermectin 36 (Pet tròn) (nắp đỏ)(nước nâu đen) - 450ml - 40</v>
      </c>
      <c r="AS181" s="278" t="str">
        <f t="array" ref="AS181">IFERROR(XLOOKUP(L181,'2. DATA NL, VTBB'!C:C,'2. DATA NL, VTBB'!G:G),"")</f>
        <v>LOT IDA Global - I - 875 - ĐL Bảo Tại - Avermectin 36 (Pet tròn) (nắp đỏ)(nước nâu đen) - 450ml - 40</v>
      </c>
      <c r="AT181" s="277"/>
    </row>
    <row r="182" ht="30.75" customHeight="1">
      <c r="A182" s="272">
        <f t="shared" si="44"/>
        <v>179</v>
      </c>
      <c r="B182" s="289">
        <v>46027.0</v>
      </c>
      <c r="C182" s="273">
        <v>46028.0</v>
      </c>
      <c r="D182" s="273">
        <f t="shared" si="43"/>
        <v>46030</v>
      </c>
      <c r="E182" s="289">
        <v>46029.0</v>
      </c>
      <c r="F182" s="274" t="s">
        <v>561</v>
      </c>
      <c r="G182" s="275" t="s">
        <v>562</v>
      </c>
      <c r="H182" s="274" t="s">
        <v>304</v>
      </c>
      <c r="I182" s="275" t="s">
        <v>726</v>
      </c>
      <c r="J182" s="279" t="s">
        <v>884</v>
      </c>
      <c r="K182" s="275" t="s">
        <v>728</v>
      </c>
      <c r="L182" s="277" t="s">
        <v>778</v>
      </c>
      <c r="M182" s="278" t="str">
        <f t="array" ref="M182">IFERROR(XLOOKUP(L182,'2. DATA NL, VTBB'!C:C,'2. DATA NL, VTBB'!D:D),"")</f>
        <v>Chai PET tròn cổ 44 500ml (45g) Trắng</v>
      </c>
      <c r="N182" s="280"/>
      <c r="O182" s="280" t="str">
        <f t="array" ref="O182">IFERROR( XLOOKUP(L182,'2. DATA NL, VTBB'!C:C,'2. DATA NL, VTBB'!E:E),"")</f>
        <v>Chitin 3.6EC</v>
      </c>
      <c r="P182" s="275" t="s">
        <v>565</v>
      </c>
      <c r="Q182" s="311"/>
      <c r="R182" s="291" t="s">
        <v>573</v>
      </c>
      <c r="S182" s="280"/>
      <c r="T182" s="277"/>
      <c r="U182" s="277"/>
      <c r="V182" s="283">
        <v>4000.0</v>
      </c>
      <c r="W182" s="275" t="s">
        <v>699</v>
      </c>
      <c r="X182" s="283">
        <v>4000.0</v>
      </c>
      <c r="Y182" s="274">
        <v>4032.0</v>
      </c>
      <c r="Z182" s="287">
        <v>1900.0</v>
      </c>
      <c r="AA182" s="285">
        <v>0.08</v>
      </c>
      <c r="AB182" s="282">
        <v>8273664.0</v>
      </c>
      <c r="AC182" s="277"/>
      <c r="AD182" s="289">
        <v>46027.0</v>
      </c>
      <c r="AE182" s="272">
        <v>44.0</v>
      </c>
      <c r="AF182" s="277"/>
      <c r="AG182" s="277"/>
      <c r="AH182" s="294">
        <f>IFERROR(__xludf.DUMMYFUNCTION("IFERROR(INDEX( SORT(FILTER(
        {'1. DATA CHUNG'!$J$4:$J$105 , '1. DATA CHUNG'!$L$4:$L$105}, (TRIM('1. DATA CHUNG'!$I$4:$I$105)=TRIM(K182)) * IF(COUNTIFS('1. DATA CHUNG'!$I$4:$I$105,K182,'1. DATA CHUNG'!$M$4:$M$105,Q182), '1. DATA CHUNG'!$M$4:$M$105=Q"&amp;"182, 1) * ('1. DATA CHUNG'!$L$4:$L$105&lt;=TODAY()) ),   2, 0),  1, 1), 
  IFERROR( INDEX(FILTER('1. DATA CHUNG'!$J$4:$J$105, (TRIM('1. DATA CHUNG'!$I$4:$I$105)=TRIM(K182)) * IF(COUNTIFS('1. DATA CHUNG'!$I$4:$I$105,K182,'1. DATA CHUNG'!$M$4:$M$105,Q182), '1."&amp;" DATA CHUNG'!$M$4:$M$105=Q182, 1) * ('1. DATA CHUNG'!$L$4:$L$105="""")), 1), ""Không tìm thấy"" ))"),7.0)</f>
        <v>7</v>
      </c>
      <c r="AI182" s="273">
        <f t="shared" si="2"/>
        <v>46034</v>
      </c>
      <c r="AJ182" s="287"/>
      <c r="AK182" s="286">
        <f t="shared" si="3"/>
        <v>0</v>
      </c>
      <c r="AL182" s="287">
        <f t="shared" si="4"/>
        <v>1</v>
      </c>
      <c r="AM182" s="287">
        <f t="shared" si="5"/>
        <v>5</v>
      </c>
      <c r="AN182" s="279">
        <f t="shared" si="6"/>
        <v>6</v>
      </c>
      <c r="AO182" s="295" t="str">
        <f t="shared" si="7"/>
        <v>01/2026</v>
      </c>
      <c r="AP182" s="277" t="str">
        <f t="array" ref="AP182">IFERROR(XLOOKUP(L182,'2. DATA NL, VTBB'!C:C,'2. DATA NL, VTBB'!F:F),"")</f>
        <v>HH0234</v>
      </c>
      <c r="AQ182" s="277" t="str">
        <f t="array" ref="AQ182">IF(OR(K182="Nhãn", K182="Nhãn thùng",K182="Nhãn Túi"), K182 &amp; " " &amp; IFERROR(XLOOKUP(L182, '2. DATA NL, VTBB'!C:C, '2. DATA NL, VTBB'!E:E), ""), "")</f>
        <v/>
      </c>
      <c r="AR182" s="278" t="str">
        <f t="array" ref="AR182">IFERROR(XLOOKUP(L182,'2. DATA NL, VTBB'!C:C,'2. DATA NL, VTBB'!G:G),"")</f>
        <v>LOT IDA Global - I - 875 - ĐL Bảo Tại - Avermectin 36 (Pet tròn) (nắp đỏ)(nước nâu đen) - 450ml - 40</v>
      </c>
      <c r="AS182" s="278" t="str">
        <f t="array" ref="AS182">IFERROR(XLOOKUP(L182,'2. DATA NL, VTBB'!C:C,'2. DATA NL, VTBB'!G:G),"")</f>
        <v>LOT IDA Global - I - 875 - ĐL Bảo Tại - Avermectin 36 (Pet tròn) (nắp đỏ)(nước nâu đen) - 450ml - 40</v>
      </c>
      <c r="AT182" s="277"/>
    </row>
    <row r="183" ht="30.75" customHeight="1">
      <c r="A183" s="272">
        <f t="shared" si="44"/>
        <v>180</v>
      </c>
      <c r="B183" s="289">
        <v>46027.0</v>
      </c>
      <c r="C183" s="273">
        <v>46028.0</v>
      </c>
      <c r="D183" s="273">
        <f t="shared" si="43"/>
        <v>46030</v>
      </c>
      <c r="E183" s="289">
        <v>46029.0</v>
      </c>
      <c r="F183" s="274" t="s">
        <v>561</v>
      </c>
      <c r="G183" s="275" t="s">
        <v>562</v>
      </c>
      <c r="H183" s="274" t="s">
        <v>304</v>
      </c>
      <c r="I183" s="275" t="s">
        <v>726</v>
      </c>
      <c r="J183" s="279" t="s">
        <v>884</v>
      </c>
      <c r="K183" s="275" t="s">
        <v>730</v>
      </c>
      <c r="L183" s="277" t="s">
        <v>780</v>
      </c>
      <c r="M183" s="278" t="str">
        <f t="array" ref="M183">IFERROR(XLOOKUP(L183,'2. DATA NL, VTBB'!C:C,'2. DATA NL, VTBB'!D:D),"")</f>
        <v>Nắp PET cổ 44 (9g) Đỏ</v>
      </c>
      <c r="N183" s="280"/>
      <c r="O183" s="280" t="str">
        <f t="array" ref="O183">IFERROR( XLOOKUP(L183,'2. DATA NL, VTBB'!C:C,'2. DATA NL, VTBB'!E:E),"")</f>
        <v>Chitin 3.6EC</v>
      </c>
      <c r="P183" s="275" t="s">
        <v>565</v>
      </c>
      <c r="Q183" s="311"/>
      <c r="R183" s="291" t="s">
        <v>573</v>
      </c>
      <c r="S183" s="280"/>
      <c r="T183" s="277"/>
      <c r="U183" s="277"/>
      <c r="V183" s="283">
        <v>4000.0</v>
      </c>
      <c r="W183" s="275" t="s">
        <v>699</v>
      </c>
      <c r="X183" s="283">
        <v>4000.0</v>
      </c>
      <c r="Y183" s="274">
        <v>4032.0</v>
      </c>
      <c r="Z183" s="279">
        <v>900.0</v>
      </c>
      <c r="AA183" s="285">
        <v>0.08</v>
      </c>
      <c r="AB183" s="282">
        <v>3919104.0</v>
      </c>
      <c r="AC183" s="277"/>
      <c r="AD183" s="289">
        <v>46027.0</v>
      </c>
      <c r="AE183" s="272">
        <v>44.0</v>
      </c>
      <c r="AF183" s="277"/>
      <c r="AG183" s="277"/>
      <c r="AH183" s="294">
        <f>IFERROR(__xludf.DUMMYFUNCTION("IFERROR(INDEX( SORT(FILTER(
        {'1. DATA CHUNG'!$J$4:$J$105 , '1. DATA CHUNG'!$L$4:$L$105}, (TRIM('1. DATA CHUNG'!$I$4:$I$105)=TRIM(K183)) * IF(COUNTIFS('1. DATA CHUNG'!$I$4:$I$105,K183,'1. DATA CHUNG'!$M$4:$M$105,Q183), '1. DATA CHUNG'!$M$4:$M$105=Q"&amp;"183, 1) * ('1. DATA CHUNG'!$L$4:$L$105&lt;=TODAY()) ),   2, 0),  1, 1), 
  IFERROR( INDEX(FILTER('1. DATA CHUNG'!$J$4:$J$105, (TRIM('1. DATA CHUNG'!$I$4:$I$105)=TRIM(K183)) * IF(COUNTIFS('1. DATA CHUNG'!$I$4:$I$105,K183,'1. DATA CHUNG'!$M$4:$M$105,Q183), '1."&amp;" DATA CHUNG'!$M$4:$M$105=Q183, 1) * ('1. DATA CHUNG'!$L$4:$L$105="""")), 1), ""Không tìm thấy"" ))"),7.0)</f>
        <v>7</v>
      </c>
      <c r="AI183" s="273">
        <f t="shared" si="2"/>
        <v>46034</v>
      </c>
      <c r="AJ183" s="287"/>
      <c r="AK183" s="286">
        <f t="shared" si="3"/>
        <v>0</v>
      </c>
      <c r="AL183" s="287">
        <f t="shared" si="4"/>
        <v>1</v>
      </c>
      <c r="AM183" s="287">
        <f t="shared" si="5"/>
        <v>5</v>
      </c>
      <c r="AN183" s="279">
        <f t="shared" si="6"/>
        <v>6</v>
      </c>
      <c r="AO183" s="295" t="str">
        <f t="shared" si="7"/>
        <v>01/2026</v>
      </c>
      <c r="AP183" s="277" t="str">
        <f t="array" ref="AP183">IFERROR(XLOOKUP(L183,'2. DATA NL, VTBB'!C:C,'2. DATA NL, VTBB'!F:F),"")</f>
        <v>HH0156</v>
      </c>
      <c r="AQ183" s="277" t="str">
        <f t="array" ref="AQ183">IF(OR(K183="Nhãn", K183="Nhãn thùng",K183="Nhãn Túi"), K183 &amp; " " &amp; IFERROR(XLOOKUP(L183, '2. DATA NL, VTBB'!C:C, '2. DATA NL, VTBB'!E:E), ""), "")</f>
        <v/>
      </c>
      <c r="AR183" s="278" t="str">
        <f t="array" ref="AR183">IFERROR(XLOOKUP(L183,'2. DATA NL, VTBB'!C:C,'2. DATA NL, VTBB'!G:G),"")</f>
        <v>LOT IDA Global - I - 875 - ĐL Bảo Tại - Avermectin 36 (Pet tròn) (nắp đỏ)(nước nâu đen) - 450ml - 40</v>
      </c>
      <c r="AS183" s="278" t="str">
        <f t="array" ref="AS183">IFERROR(XLOOKUP(L183,'2. DATA NL, VTBB'!C:C,'2. DATA NL, VTBB'!G:G),"")</f>
        <v>LOT IDA Global - I - 875 - ĐL Bảo Tại - Avermectin 36 (Pet tròn) (nắp đỏ)(nước nâu đen) - 450ml - 40</v>
      </c>
      <c r="AT183" s="277"/>
    </row>
    <row r="184" ht="30.75" customHeight="1">
      <c r="A184" s="272">
        <f t="shared" si="44"/>
        <v>181</v>
      </c>
      <c r="B184" s="289">
        <v>46027.0</v>
      </c>
      <c r="C184" s="273">
        <v>46028.0</v>
      </c>
      <c r="D184" s="273">
        <f t="shared" si="43"/>
        <v>46030</v>
      </c>
      <c r="E184" s="273">
        <f t="shared" ref="E184:E185" si="45">C184+3</f>
        <v>46031</v>
      </c>
      <c r="F184" s="274" t="s">
        <v>561</v>
      </c>
      <c r="G184" s="275" t="s">
        <v>562</v>
      </c>
      <c r="H184" s="274" t="s">
        <v>304</v>
      </c>
      <c r="I184" s="275" t="s">
        <v>726</v>
      </c>
      <c r="J184" s="279" t="s">
        <v>885</v>
      </c>
      <c r="K184" s="275" t="s">
        <v>728</v>
      </c>
      <c r="L184" s="277" t="s">
        <v>788</v>
      </c>
      <c r="M184" s="278" t="str">
        <f t="array" ref="M184">IFERROR(XLOOKUP(L184,'2. DATA NL, VTBB'!C:C,'2. DATA NL, VTBB'!D:D),"")</f>
        <v>PN - Chai HDPE tròn cổ 63 500ml  (80g)  - Trắng</v>
      </c>
      <c r="N184" s="280"/>
      <c r="O184" s="280" t="str">
        <f t="array" ref="O184">IFERROR( XLOOKUP(L184,'2. DATA NL, VTBB'!C:C,'2. DATA NL, VTBB'!E:E),"")</f>
        <v>Creek 2.1EC</v>
      </c>
      <c r="P184" s="275" t="s">
        <v>565</v>
      </c>
      <c r="Q184" s="311"/>
      <c r="R184" s="290" t="s">
        <v>566</v>
      </c>
      <c r="S184" s="280"/>
      <c r="T184" s="277"/>
      <c r="U184" s="277"/>
      <c r="V184" s="283">
        <v>10000.0</v>
      </c>
      <c r="W184" s="275" t="s">
        <v>699</v>
      </c>
      <c r="X184" s="283">
        <v>10000.0</v>
      </c>
      <c r="Y184" s="274">
        <v>10080.0</v>
      </c>
      <c r="Z184" s="279">
        <v>3100.0</v>
      </c>
      <c r="AA184" s="285">
        <v>0.08</v>
      </c>
      <c r="AB184" s="282">
        <v>3.374784E7</v>
      </c>
      <c r="AC184" s="277"/>
      <c r="AD184" s="289">
        <v>46027.0</v>
      </c>
      <c r="AE184" s="312"/>
      <c r="AF184" s="277"/>
      <c r="AG184" s="277"/>
      <c r="AH184" s="294">
        <f>IFERROR(__xludf.DUMMYFUNCTION("IFERROR(INDEX( SORT(FILTER(
        {'1. DATA CHUNG'!$J$4:$J$105 , '1. DATA CHUNG'!$L$4:$L$105}, (TRIM('1. DATA CHUNG'!$I$4:$I$105)=TRIM(K184)) * IF(COUNTIFS('1. DATA CHUNG'!$I$4:$I$105,K184,'1. DATA CHUNG'!$M$4:$M$105,Q184), '1. DATA CHUNG'!$M$4:$M$105=Q"&amp;"184, 1) * ('1. DATA CHUNG'!$L$4:$L$105&lt;=TODAY()) ),   2, 0),  1, 1), 
  IFERROR( INDEX(FILTER('1. DATA CHUNG'!$J$4:$J$105, (TRIM('1. DATA CHUNG'!$I$4:$I$105)=TRIM(K184)) * IF(COUNTIFS('1. DATA CHUNG'!$I$4:$I$105,K184,'1. DATA CHUNG'!$M$4:$M$105,Q184), '1."&amp;" DATA CHUNG'!$M$4:$M$105=Q184, 1) * ('1. DATA CHUNG'!$L$4:$L$105="""")), 1), ""Không tìm thấy"" ))"),7.0)</f>
        <v>7</v>
      </c>
      <c r="AI184" s="273">
        <f t="shared" si="2"/>
        <v>46034</v>
      </c>
      <c r="AJ184" s="287"/>
      <c r="AK184" s="286">
        <f t="shared" si="3"/>
        <v>0</v>
      </c>
      <c r="AL184" s="287">
        <f t="shared" si="4"/>
        <v>-1</v>
      </c>
      <c r="AM184" s="287">
        <f t="shared" si="5"/>
        <v>3</v>
      </c>
      <c r="AN184" s="279">
        <f t="shared" si="6"/>
        <v>6</v>
      </c>
      <c r="AO184" s="295" t="str">
        <f t="shared" si="7"/>
        <v>01/2026</v>
      </c>
      <c r="AP184" s="277" t="str">
        <f t="array" ref="AP184">IFERROR(XLOOKUP(L184,'2. DATA NL, VTBB'!C:C,'2. DATA NL, VTBB'!F:F),"")</f>
        <v>HH0212</v>
      </c>
      <c r="AQ184" s="277" t="str">
        <f t="array" ref="AQ184">IF(OR(K184="Nhãn", K184="Nhãn thùng",K184="Nhãn Túi"), K184 &amp; " " &amp; IFERROR(XLOOKUP(L184, '2. DATA NL, VTBB'!C:C, '2. DATA NL, VTBB'!E:E), ""), "")</f>
        <v/>
      </c>
      <c r="AR184" s="278" t="str">
        <f t="array" ref="AR184">IFERROR(XLOOKUP(L184,'2. DATA NL, VTBB'!C:C,'2. DATA NL, VTBB'!G:G),"")</f>
        <v>GC - IV - 833 - Huy Phát - HP Pro Max (nước đỏ)(Pet Vuông)- 400ml - 40</v>
      </c>
      <c r="AS184" s="278" t="str">
        <f t="array" ref="AS184">IFERROR(XLOOKUP(L184,'2. DATA NL, VTBB'!C:C,'2. DATA NL, VTBB'!G:G),"")</f>
        <v>GC - IV - 833 - Huy Phát - HP Pro Max (nước đỏ)(Pet Vuông)- 400ml - 40</v>
      </c>
      <c r="AT184" s="277"/>
    </row>
    <row r="185" ht="30.75" customHeight="1">
      <c r="A185" s="272">
        <f t="shared" si="44"/>
        <v>182</v>
      </c>
      <c r="B185" s="289">
        <v>46027.0</v>
      </c>
      <c r="C185" s="273">
        <v>46028.0</v>
      </c>
      <c r="D185" s="273">
        <f t="shared" si="43"/>
        <v>46030</v>
      </c>
      <c r="E185" s="273">
        <f t="shared" si="45"/>
        <v>46031</v>
      </c>
      <c r="F185" s="274" t="s">
        <v>561</v>
      </c>
      <c r="G185" s="275" t="s">
        <v>562</v>
      </c>
      <c r="H185" s="274" t="s">
        <v>304</v>
      </c>
      <c r="I185" s="275" t="s">
        <v>726</v>
      </c>
      <c r="J185" s="279" t="s">
        <v>885</v>
      </c>
      <c r="K185" s="275" t="s">
        <v>730</v>
      </c>
      <c r="L185" s="277" t="s">
        <v>789</v>
      </c>
      <c r="M185" s="278" t="str">
        <f t="array" ref="M185">IFERROR(XLOOKUP(L185,'2. DATA NL, VTBB'!C:C,'2. DATA NL, VTBB'!D:D),"")</f>
        <v>PN - Nắp HDPE cổ 63 có gurantee  - Trắng</v>
      </c>
      <c r="N185" s="280"/>
      <c r="O185" s="280" t="str">
        <f t="array" ref="O185">IFERROR( XLOOKUP(L185,'2. DATA NL, VTBB'!C:C,'2. DATA NL, VTBB'!E:E),"")</f>
        <v>Creek 2.1EC</v>
      </c>
      <c r="P185" s="275" t="s">
        <v>565</v>
      </c>
      <c r="Q185" s="311"/>
      <c r="R185" s="290" t="s">
        <v>566</v>
      </c>
      <c r="S185" s="280"/>
      <c r="T185" s="277"/>
      <c r="U185" s="277"/>
      <c r="V185" s="283">
        <v>10000.0</v>
      </c>
      <c r="W185" s="275" t="s">
        <v>699</v>
      </c>
      <c r="X185" s="283">
        <v>10000.0</v>
      </c>
      <c r="Y185" s="274">
        <v>10080.0</v>
      </c>
      <c r="Z185" s="279">
        <v>1200.0</v>
      </c>
      <c r="AA185" s="285">
        <v>0.08</v>
      </c>
      <c r="AB185" s="282">
        <v>1.306368E7</v>
      </c>
      <c r="AC185" s="277"/>
      <c r="AD185" s="289">
        <v>46027.0</v>
      </c>
      <c r="AE185" s="312"/>
      <c r="AF185" s="277"/>
      <c r="AG185" s="277"/>
      <c r="AH185" s="294">
        <f>IFERROR(__xludf.DUMMYFUNCTION("IFERROR(INDEX( SORT(FILTER(
        {'1. DATA CHUNG'!$J$4:$J$105 , '1. DATA CHUNG'!$L$4:$L$105}, (TRIM('1. DATA CHUNG'!$I$4:$I$105)=TRIM(K185)) * IF(COUNTIFS('1. DATA CHUNG'!$I$4:$I$105,K185,'1. DATA CHUNG'!$M$4:$M$105,Q185), '1. DATA CHUNG'!$M$4:$M$105=Q"&amp;"185, 1) * ('1. DATA CHUNG'!$L$4:$L$105&lt;=TODAY()) ),   2, 0),  1, 1), 
  IFERROR( INDEX(FILTER('1. DATA CHUNG'!$J$4:$J$105, (TRIM('1. DATA CHUNG'!$I$4:$I$105)=TRIM(K185)) * IF(COUNTIFS('1. DATA CHUNG'!$I$4:$I$105,K185,'1. DATA CHUNG'!$M$4:$M$105,Q185), '1."&amp;" DATA CHUNG'!$M$4:$M$105=Q185, 1) * ('1. DATA CHUNG'!$L$4:$L$105="""")), 1), ""Không tìm thấy"" ))"),7.0)</f>
        <v>7</v>
      </c>
      <c r="AI185" s="273">
        <f t="shared" si="2"/>
        <v>46034</v>
      </c>
      <c r="AJ185" s="287"/>
      <c r="AK185" s="286">
        <f t="shared" si="3"/>
        <v>0</v>
      </c>
      <c r="AL185" s="287">
        <f t="shared" si="4"/>
        <v>-1</v>
      </c>
      <c r="AM185" s="287">
        <f t="shared" si="5"/>
        <v>3</v>
      </c>
      <c r="AN185" s="279">
        <f t="shared" si="6"/>
        <v>6</v>
      </c>
      <c r="AO185" s="295" t="str">
        <f t="shared" si="7"/>
        <v>01/2026</v>
      </c>
      <c r="AP185" s="277" t="str">
        <f t="array" ref="AP185">IFERROR(XLOOKUP(L185,'2. DATA NL, VTBB'!C:C,'2. DATA NL, VTBB'!F:F),"")</f>
        <v>HH0136</v>
      </c>
      <c r="AQ185" s="277" t="str">
        <f t="array" ref="AQ185">IF(OR(K185="Nhãn", K185="Nhãn thùng",K185="Nhãn Túi"), K185 &amp; " " &amp; IFERROR(XLOOKUP(L185, '2. DATA NL, VTBB'!C:C, '2. DATA NL, VTBB'!E:E), ""), "")</f>
        <v/>
      </c>
      <c r="AR185" s="278" t="str">
        <f t="array" ref="AR185">IFERROR(XLOOKUP(L185,'2. DATA NL, VTBB'!C:C,'2. DATA NL, VTBB'!G:G),"")</f>
        <v>GC - IV - 833 - Huy Phát - HP Pro Max (nước đỏ)(Pet Vuông)- 400ml - 40</v>
      </c>
      <c r="AS185" s="278" t="str">
        <f t="array" ref="AS185">IFERROR(XLOOKUP(L185,'2. DATA NL, VTBB'!C:C,'2. DATA NL, VTBB'!G:G),"")</f>
        <v>GC - IV - 833 - Huy Phát - HP Pro Max (nước đỏ)(Pet Vuông)- 400ml - 40</v>
      </c>
      <c r="AT185" s="277"/>
    </row>
    <row r="186" ht="30.75" customHeight="1">
      <c r="A186" s="272">
        <f t="shared" si="44"/>
        <v>183</v>
      </c>
      <c r="B186" s="289">
        <v>46027.0</v>
      </c>
      <c r="C186" s="273">
        <v>46028.0</v>
      </c>
      <c r="D186" s="273">
        <f t="shared" si="43"/>
        <v>46030</v>
      </c>
      <c r="E186" s="289">
        <v>46029.0</v>
      </c>
      <c r="F186" s="274" t="s">
        <v>561</v>
      </c>
      <c r="G186" s="275" t="s">
        <v>562</v>
      </c>
      <c r="H186" s="274" t="s">
        <v>304</v>
      </c>
      <c r="I186" s="275" t="s">
        <v>765</v>
      </c>
      <c r="J186" s="279" t="s">
        <v>886</v>
      </c>
      <c r="K186" s="275" t="s">
        <v>767</v>
      </c>
      <c r="L186" s="277" t="s">
        <v>768</v>
      </c>
      <c r="M186" s="278" t="str">
        <f t="array" ref="M186">IFERROR(XLOOKUP(L186,'2. DATA NL, VTBB'!C:C,'2. DATA NL, VTBB'!D:D),"")</f>
        <v>Can HDPE 5L vuông trắng, 4 chấm chống trượt (315gr) - Nắp trắng (13gr)</v>
      </c>
      <c r="N186" s="280"/>
      <c r="O186" s="280" t="str">
        <f t="array" ref="O186">IFERROR( XLOOKUP(L186,'2. DATA NL, VTBB'!C:C,'2. DATA NL, VTBB'!E:E),"")</f>
        <v>Vi lượng Quantity New</v>
      </c>
      <c r="P186" s="275" t="s">
        <v>565</v>
      </c>
      <c r="Q186" s="311"/>
      <c r="R186" s="290" t="s">
        <v>566</v>
      </c>
      <c r="S186" s="280"/>
      <c r="T186" s="277"/>
      <c r="U186" s="277"/>
      <c r="V186" s="283">
        <v>100.0</v>
      </c>
      <c r="W186" s="275" t="s">
        <v>699</v>
      </c>
      <c r="X186" s="283">
        <v>100.0</v>
      </c>
      <c r="Y186" s="274">
        <v>120.0</v>
      </c>
      <c r="Z186" s="287">
        <v>19300.0</v>
      </c>
      <c r="AA186" s="285">
        <v>0.08</v>
      </c>
      <c r="AB186" s="282">
        <v>2501280.0</v>
      </c>
      <c r="AC186" s="277"/>
      <c r="AD186" s="289">
        <v>46027.0</v>
      </c>
      <c r="AE186" s="272">
        <v>6.0</v>
      </c>
      <c r="AF186" s="277"/>
      <c r="AG186" s="277"/>
      <c r="AH186" s="294">
        <f>IFERROR(__xludf.DUMMYFUNCTION("IFERROR(INDEX( SORT(FILTER(
        {'1. DATA CHUNG'!$J$4:$J$105 , '1. DATA CHUNG'!$L$4:$L$105}, (TRIM('1. DATA CHUNG'!$I$4:$I$105)=TRIM(K186)) * IF(COUNTIFS('1. DATA CHUNG'!$I$4:$I$105,K186,'1. DATA CHUNG'!$M$4:$M$105,Q186), '1. DATA CHUNG'!$M$4:$M$105=Q"&amp;"186, 1) * ('1. DATA CHUNG'!$L$4:$L$105&lt;=TODAY()) ),   2, 0),  1, 1), 
  IFERROR( INDEX(FILTER('1. DATA CHUNG'!$J$4:$J$105, (TRIM('1. DATA CHUNG'!$I$4:$I$105)=TRIM(K186)) * IF(COUNTIFS('1. DATA CHUNG'!$I$4:$I$105,K186,'1. DATA CHUNG'!$M$4:$M$105,Q186), '1."&amp;" DATA CHUNG'!$M$4:$M$105=Q186, 1) * ('1. DATA CHUNG'!$L$4:$L$105="""")), 1), ""Không tìm thấy"" ))"),5.0)</f>
        <v>5</v>
      </c>
      <c r="AI186" s="273">
        <f t="shared" si="2"/>
        <v>46032</v>
      </c>
      <c r="AJ186" s="287"/>
      <c r="AK186" s="286">
        <f t="shared" si="3"/>
        <v>0</v>
      </c>
      <c r="AL186" s="287">
        <f t="shared" si="4"/>
        <v>1</v>
      </c>
      <c r="AM186" s="287">
        <f t="shared" si="5"/>
        <v>3</v>
      </c>
      <c r="AN186" s="279">
        <f t="shared" si="6"/>
        <v>4</v>
      </c>
      <c r="AO186" s="295" t="str">
        <f t="shared" si="7"/>
        <v>01/2026</v>
      </c>
      <c r="AP186" s="277" t="str">
        <f t="array" ref="AP186">IFERROR(XLOOKUP(L186,'2. DATA NL, VTBB'!C:C,'2. DATA NL, VTBB'!F:F),"")</f>
        <v>HH0005</v>
      </c>
      <c r="AQ186" s="277" t="str">
        <f t="array" ref="AQ186">IF(OR(K186="Nhãn", K186="Nhãn thùng",K186="Nhãn Túi"), K186 &amp; " " &amp; IFERROR(XLOOKUP(L186, '2. DATA NL, VTBB'!C:C, '2. DATA NL, VTBB'!E:E), ""), "")</f>
        <v/>
      </c>
      <c r="AR186" s="278" t="str">
        <f t="array" ref="AR186">IFERROR(XLOOKUP(L186,'2. DATA NL, VTBB'!C:C,'2. DATA NL, VTBB'!G:G),"")</f>
        <v>GC - II - 578 - A Thời GNH - Kamax (Chai HD) - 100ml - 100</v>
      </c>
      <c r="AS186" s="278" t="str">
        <f t="array" ref="AS186">IFERROR(XLOOKUP(L186,'2. DATA NL, VTBB'!C:C,'2. DATA NL, VTBB'!G:G),"")</f>
        <v>GC - II - 578 - A Thời GNH - Kamax (Chai HD) - 100ml - 100</v>
      </c>
      <c r="AT186" s="277"/>
    </row>
    <row r="187" ht="30.75" customHeight="1">
      <c r="A187" s="272">
        <f t="shared" si="44"/>
        <v>184</v>
      </c>
      <c r="B187" s="289">
        <v>46027.0</v>
      </c>
      <c r="C187" s="273">
        <v>46028.0</v>
      </c>
      <c r="D187" s="273">
        <f t="shared" si="43"/>
        <v>46030</v>
      </c>
      <c r="E187" s="289">
        <v>46029.0</v>
      </c>
      <c r="F187" s="274" t="s">
        <v>561</v>
      </c>
      <c r="G187" s="275" t="s">
        <v>562</v>
      </c>
      <c r="H187" s="274" t="s">
        <v>304</v>
      </c>
      <c r="I187" s="275" t="s">
        <v>765</v>
      </c>
      <c r="J187" s="279" t="s">
        <v>886</v>
      </c>
      <c r="K187" s="275" t="s">
        <v>730</v>
      </c>
      <c r="L187" s="277" t="s">
        <v>769</v>
      </c>
      <c r="M187" s="278" t="str">
        <f t="array" ref="M187">IFERROR(XLOOKUP(L187,'2. DATA NL, VTBB'!C:C,'2. DATA NL, VTBB'!D:D),"")</f>
        <v>Nắp can HDPE 5L (13gr) - Trắng</v>
      </c>
      <c r="N187" s="280"/>
      <c r="O187" s="280" t="str">
        <f t="array" ref="O187">IFERROR( XLOOKUP(L187,'2. DATA NL, VTBB'!C:C,'2. DATA NL, VTBB'!E:E),"")</f>
        <v>Oxycin 100WP</v>
      </c>
      <c r="P187" s="275" t="s">
        <v>565</v>
      </c>
      <c r="Q187" s="311"/>
      <c r="R187" s="290" t="s">
        <v>566</v>
      </c>
      <c r="S187" s="280"/>
      <c r="T187" s="277"/>
      <c r="U187" s="277"/>
      <c r="V187" s="283">
        <v>100.0</v>
      </c>
      <c r="W187" s="275" t="s">
        <v>699</v>
      </c>
      <c r="X187" s="283">
        <v>100.0</v>
      </c>
      <c r="Y187" s="274">
        <v>120.0</v>
      </c>
      <c r="Z187" s="279">
        <v>1900.0</v>
      </c>
      <c r="AA187" s="285">
        <v>0.08</v>
      </c>
      <c r="AB187" s="282">
        <v>246240.0</v>
      </c>
      <c r="AC187" s="277"/>
      <c r="AD187" s="289">
        <v>46027.0</v>
      </c>
      <c r="AE187" s="272">
        <v>6.0</v>
      </c>
      <c r="AF187" s="277"/>
      <c r="AG187" s="277"/>
      <c r="AH187" s="294">
        <f>IFERROR(__xludf.DUMMYFUNCTION("IFERROR(INDEX( SORT(FILTER(
        {'1. DATA CHUNG'!$J$4:$J$105 , '1. DATA CHUNG'!$L$4:$L$105}, (TRIM('1. DATA CHUNG'!$I$4:$I$105)=TRIM(K187)) * IF(COUNTIFS('1. DATA CHUNG'!$I$4:$I$105,K187,'1. DATA CHUNG'!$M$4:$M$105,Q187), '1. DATA CHUNG'!$M$4:$M$105=Q"&amp;"187, 1) * ('1. DATA CHUNG'!$L$4:$L$105&lt;=TODAY()) ),   2, 0),  1, 1), 
  IFERROR( INDEX(FILTER('1. DATA CHUNG'!$J$4:$J$105, (TRIM('1. DATA CHUNG'!$I$4:$I$105)=TRIM(K187)) * IF(COUNTIFS('1. DATA CHUNG'!$I$4:$I$105,K187,'1. DATA CHUNG'!$M$4:$M$105,Q187), '1."&amp;" DATA CHUNG'!$M$4:$M$105=Q187, 1) * ('1. DATA CHUNG'!$L$4:$L$105="""")), 1), ""Không tìm thấy"" ))"),7.0)</f>
        <v>7</v>
      </c>
      <c r="AI187" s="273">
        <f t="shared" si="2"/>
        <v>46034</v>
      </c>
      <c r="AJ187" s="287"/>
      <c r="AK187" s="286">
        <f t="shared" si="3"/>
        <v>0</v>
      </c>
      <c r="AL187" s="287">
        <f t="shared" si="4"/>
        <v>1</v>
      </c>
      <c r="AM187" s="287">
        <f t="shared" si="5"/>
        <v>5</v>
      </c>
      <c r="AN187" s="279">
        <f t="shared" si="6"/>
        <v>6</v>
      </c>
      <c r="AO187" s="295" t="str">
        <f t="shared" si="7"/>
        <v>01/2026</v>
      </c>
      <c r="AP187" s="277" t="str">
        <f t="array" ref="AP187">IFERROR(XLOOKUP(L187,'2. DATA NL, VTBB'!C:C,'2. DATA NL, VTBB'!F:F),"")</f>
        <v>HH0129</v>
      </c>
      <c r="AQ187" s="277" t="str">
        <f t="array" ref="AQ187">IF(OR(K187="Nhãn", K187="Nhãn thùng",K187="Nhãn Túi"), K187 &amp; " " &amp; IFERROR(XLOOKUP(L187, '2. DATA NL, VTBB'!C:C, '2. DATA NL, VTBB'!E:E), ""), "")</f>
        <v/>
      </c>
      <c r="AR187" s="278" t="str">
        <f t="array" ref="AR187">IFERROR(XLOOKUP(L187,'2. DATA NL, VTBB'!C:C,'2. DATA NL, VTBB'!G:G),"")</f>
        <v>GC - IV - 809 - Hưng Thạnh Phát - Diệt sạch vi khuẩn (bột trắng) - 25gr - 300</v>
      </c>
      <c r="AS187" s="278" t="str">
        <f t="array" ref="AS187">IFERROR(XLOOKUP(L187,'2. DATA NL, VTBB'!C:C,'2. DATA NL, VTBB'!G:G),"")</f>
        <v>GC - IV - 809 - Hưng Thạnh Phát - Diệt sạch vi khuẩn (bột trắng) - 25gr - 300</v>
      </c>
      <c r="AT187" s="277"/>
    </row>
    <row r="188" ht="30.75" customHeight="1">
      <c r="A188" s="272">
        <f t="shared" si="44"/>
        <v>185</v>
      </c>
      <c r="B188" s="289">
        <v>46027.0</v>
      </c>
      <c r="C188" s="273">
        <v>46028.0</v>
      </c>
      <c r="D188" s="273">
        <f t="shared" si="43"/>
        <v>46030</v>
      </c>
      <c r="E188" s="289">
        <v>46029.0</v>
      </c>
      <c r="F188" s="274" t="s">
        <v>561</v>
      </c>
      <c r="G188" s="275" t="s">
        <v>562</v>
      </c>
      <c r="H188" s="274" t="s">
        <v>304</v>
      </c>
      <c r="I188" s="275" t="s">
        <v>765</v>
      </c>
      <c r="J188" s="279" t="s">
        <v>886</v>
      </c>
      <c r="K188" s="275" t="s">
        <v>767</v>
      </c>
      <c r="L188" s="277" t="s">
        <v>887</v>
      </c>
      <c r="M188" s="278" t="str">
        <f t="array" ref="M188">IFERROR(XLOOKUP(L188,'2. DATA NL, VTBB'!C:C,'2. DATA NL, VTBB'!D:D),"")</f>
        <v>Can vuông HDPE 5L dẹp - Trắng sữa</v>
      </c>
      <c r="N188" s="280"/>
      <c r="O188" s="280" t="str">
        <f t="array" ref="O188">IFERROR( XLOOKUP(L188,'2. DATA NL, VTBB'!C:C,'2. DATA NL, VTBB'!E:E),"")</f>
        <v>TVZEB 800WP</v>
      </c>
      <c r="P188" s="275" t="s">
        <v>565</v>
      </c>
      <c r="Q188" s="311"/>
      <c r="R188" s="290" t="s">
        <v>566</v>
      </c>
      <c r="S188" s="280"/>
      <c r="T188" s="277"/>
      <c r="U188" s="277"/>
      <c r="V188" s="283">
        <v>100.0</v>
      </c>
      <c r="W188" s="275" t="s">
        <v>699</v>
      </c>
      <c r="X188" s="283">
        <v>100.0</v>
      </c>
      <c r="Y188" s="274">
        <v>120.0</v>
      </c>
      <c r="Z188" s="287">
        <v>15700.0</v>
      </c>
      <c r="AA188" s="285">
        <v>0.08</v>
      </c>
      <c r="AB188" s="282">
        <v>2034720.0</v>
      </c>
      <c r="AC188" s="277"/>
      <c r="AD188" s="289">
        <v>46027.0</v>
      </c>
      <c r="AE188" s="272">
        <v>6.0</v>
      </c>
      <c r="AF188" s="277"/>
      <c r="AG188" s="277"/>
      <c r="AH188" s="294">
        <f>IFERROR(__xludf.DUMMYFUNCTION("IFERROR(INDEX( SORT(FILTER(
        {'1. DATA CHUNG'!$J$4:$J$105 , '1. DATA CHUNG'!$L$4:$L$105}, (TRIM('1. DATA CHUNG'!$I$4:$I$105)=TRIM(K188)) * IF(COUNTIFS('1. DATA CHUNG'!$I$4:$I$105,K188,'1. DATA CHUNG'!$M$4:$M$105,Q188), '1. DATA CHUNG'!$M$4:$M$105=Q"&amp;"188, 1) * ('1. DATA CHUNG'!$L$4:$L$105&lt;=TODAY()) ),   2, 0),  1, 1), 
  IFERROR( INDEX(FILTER('1. DATA CHUNG'!$J$4:$J$105, (TRIM('1. DATA CHUNG'!$I$4:$I$105)=TRIM(K188)) * IF(COUNTIFS('1. DATA CHUNG'!$I$4:$I$105,K188,'1. DATA CHUNG'!$M$4:$M$105,Q188), '1."&amp;" DATA CHUNG'!$M$4:$M$105=Q188, 1) * ('1. DATA CHUNG'!$L$4:$L$105="""")), 1), ""Không tìm thấy"" ))"),5.0)</f>
        <v>5</v>
      </c>
      <c r="AI188" s="273">
        <f t="shared" si="2"/>
        <v>46032</v>
      </c>
      <c r="AJ188" s="287"/>
      <c r="AK188" s="286">
        <f t="shared" si="3"/>
        <v>0</v>
      </c>
      <c r="AL188" s="287">
        <f t="shared" si="4"/>
        <v>1</v>
      </c>
      <c r="AM188" s="287">
        <f t="shared" si="5"/>
        <v>3</v>
      </c>
      <c r="AN188" s="279">
        <f t="shared" si="6"/>
        <v>4</v>
      </c>
      <c r="AO188" s="295" t="str">
        <f t="shared" si="7"/>
        <v>01/2026</v>
      </c>
      <c r="AP188" s="277" t="str">
        <f t="array" ref="AP188">IFERROR(XLOOKUP(L188,'2. DATA NL, VTBB'!C:C,'2. DATA NL, VTBB'!F:F),"")</f>
        <v>HH0003</v>
      </c>
      <c r="AQ188" s="277" t="str">
        <f t="array" ref="AQ188">IF(OR(K188="Nhãn", K188="Nhãn thùng",K188="Nhãn Túi"), K188 &amp; " " &amp; IFERROR(XLOOKUP(L188, '2. DATA NL, VTBB'!C:C, '2. DATA NL, VTBB'!E:E), ""), "")</f>
        <v/>
      </c>
      <c r="AR188" s="278" t="str">
        <f t="array" ref="AR188">IFERROR(XLOOKUP(L188,'2. DATA NL, VTBB'!C:C,'2. DATA NL, VTBB'!G:G),"")</f>
        <v>GC - II - 454 - BM - Mancozeb Xanh (Nhãn Đỏ) - 1kg - 20</v>
      </c>
      <c r="AS188" s="278" t="str">
        <f t="array" ref="AS188">IFERROR(XLOOKUP(L188,'2. DATA NL, VTBB'!C:C,'2. DATA NL, VTBB'!G:G),"")</f>
        <v>GC - II - 454 - BM - Mancozeb Xanh (Nhãn Đỏ) - 1kg - 20</v>
      </c>
      <c r="AT188" s="277"/>
    </row>
    <row r="189" ht="30.75" customHeight="1">
      <c r="A189" s="272">
        <f t="shared" si="44"/>
        <v>186</v>
      </c>
      <c r="B189" s="289">
        <v>46027.0</v>
      </c>
      <c r="C189" s="273">
        <v>46028.0</v>
      </c>
      <c r="D189" s="273">
        <f t="shared" si="43"/>
        <v>46030</v>
      </c>
      <c r="E189" s="289">
        <v>46029.0</v>
      </c>
      <c r="F189" s="274" t="s">
        <v>561</v>
      </c>
      <c r="G189" s="275" t="s">
        <v>562</v>
      </c>
      <c r="H189" s="274" t="s">
        <v>304</v>
      </c>
      <c r="I189" s="275" t="s">
        <v>765</v>
      </c>
      <c r="J189" s="279" t="s">
        <v>886</v>
      </c>
      <c r="K189" s="275" t="s">
        <v>730</v>
      </c>
      <c r="L189" s="277" t="s">
        <v>888</v>
      </c>
      <c r="M189" s="278" t="str">
        <f t="array" ref="M189">IFERROR(XLOOKUP(L189,'2. DATA NL, VTBB'!C:C,'2. DATA NL, VTBB'!D:D),"")</f>
        <v>Nắp HDPE cổ 39 can 5L - Trắng</v>
      </c>
      <c r="N189" s="280"/>
      <c r="O189" s="280" t="str">
        <f t="array" ref="O189">IFERROR( XLOOKUP(L189,'2. DATA NL, VTBB'!C:C,'2. DATA NL, VTBB'!E:E),"")</f>
        <v>Chitin 3.6EC</v>
      </c>
      <c r="P189" s="275" t="s">
        <v>565</v>
      </c>
      <c r="Q189" s="311"/>
      <c r="R189" s="290" t="s">
        <v>566</v>
      </c>
      <c r="S189" s="280"/>
      <c r="T189" s="277"/>
      <c r="U189" s="277"/>
      <c r="V189" s="283">
        <v>100.0</v>
      </c>
      <c r="W189" s="275" t="s">
        <v>699</v>
      </c>
      <c r="X189" s="283">
        <v>100.0</v>
      </c>
      <c r="Y189" s="274">
        <v>120.0</v>
      </c>
      <c r="Z189" s="287">
        <v>1200.0</v>
      </c>
      <c r="AA189" s="285">
        <v>0.08</v>
      </c>
      <c r="AB189" s="282">
        <v>155520.0</v>
      </c>
      <c r="AC189" s="277"/>
      <c r="AD189" s="289">
        <v>46027.0</v>
      </c>
      <c r="AE189" s="272">
        <v>6.0</v>
      </c>
      <c r="AF189" s="277"/>
      <c r="AG189" s="277"/>
      <c r="AH189" s="294">
        <f>IFERROR(__xludf.DUMMYFUNCTION("IFERROR(INDEX( SORT(FILTER(
        {'1. DATA CHUNG'!$J$4:$J$105 , '1. DATA CHUNG'!$L$4:$L$105}, (TRIM('1. DATA CHUNG'!$I$4:$I$105)=TRIM(K189)) * IF(COUNTIFS('1. DATA CHUNG'!$I$4:$I$105,K189,'1. DATA CHUNG'!$M$4:$M$105,Q189), '1. DATA CHUNG'!$M$4:$M$105=Q"&amp;"189, 1) * ('1. DATA CHUNG'!$L$4:$L$105&lt;=TODAY()) ),   2, 0),  1, 1), 
  IFERROR( INDEX(FILTER('1. DATA CHUNG'!$J$4:$J$105, (TRIM('1. DATA CHUNG'!$I$4:$I$105)=TRIM(K189)) * IF(COUNTIFS('1. DATA CHUNG'!$I$4:$I$105,K189,'1. DATA CHUNG'!$M$4:$M$105,Q189), '1."&amp;" DATA CHUNG'!$M$4:$M$105=Q189, 1) * ('1. DATA CHUNG'!$L$4:$L$105="""")), 1), ""Không tìm thấy"" ))"),7.0)</f>
        <v>7</v>
      </c>
      <c r="AI189" s="273">
        <f t="shared" si="2"/>
        <v>46034</v>
      </c>
      <c r="AJ189" s="287"/>
      <c r="AK189" s="286">
        <f t="shared" si="3"/>
        <v>0</v>
      </c>
      <c r="AL189" s="287">
        <f t="shared" si="4"/>
        <v>1</v>
      </c>
      <c r="AM189" s="287">
        <f t="shared" si="5"/>
        <v>5</v>
      </c>
      <c r="AN189" s="279">
        <f t="shared" si="6"/>
        <v>6</v>
      </c>
      <c r="AO189" s="295" t="str">
        <f t="shared" si="7"/>
        <v>01/2026</v>
      </c>
      <c r="AP189" s="277" t="str">
        <f t="array" ref="AP189">IFERROR(XLOOKUP(L189,'2. DATA NL, VTBB'!C:C,'2. DATA NL, VTBB'!F:F),"")</f>
        <v>HH0164</v>
      </c>
      <c r="AQ189" s="277" t="str">
        <f t="array" ref="AQ189">IF(OR(K189="Nhãn", K189="Nhãn thùng",K189="Nhãn Túi"), K189 &amp; " " &amp; IFERROR(XLOOKUP(L189, '2. DATA NL, VTBB'!C:C, '2. DATA NL, VTBB'!E:E), ""), "")</f>
        <v/>
      </c>
      <c r="AR189" s="278" t="str">
        <f t="array" ref="AR189">IFERROR(XLOOKUP(L189,'2. DATA NL, VTBB'!C:C,'2. DATA NL, VTBB'!G:G),"")</f>
        <v>LOT IDA Global - I - 890 - ĐL Năm Long - Abamectin 3.6 (Pet vuông) (nắp vàng)(nước nâu đen) - 450ml - 40</v>
      </c>
      <c r="AS189" s="278" t="str">
        <f t="array" ref="AS189">IFERROR(XLOOKUP(L189,'2. DATA NL, VTBB'!C:C,'2. DATA NL, VTBB'!G:G),"")</f>
        <v>LOT IDA Global - I - 890 - ĐL Năm Long - Abamectin 3.6 (Pet vuông) (nắp vàng)(nước nâu đen) - 450ml - 40</v>
      </c>
      <c r="AT189" s="277"/>
    </row>
    <row r="190" ht="30.75" customHeight="1">
      <c r="A190" s="272">
        <f t="shared" si="44"/>
        <v>187</v>
      </c>
      <c r="B190" s="289">
        <v>46027.0</v>
      </c>
      <c r="C190" s="273">
        <v>46028.0</v>
      </c>
      <c r="D190" s="273">
        <f t="shared" si="43"/>
        <v>46030</v>
      </c>
      <c r="E190" s="289">
        <v>46032.0</v>
      </c>
      <c r="F190" s="274" t="s">
        <v>561</v>
      </c>
      <c r="G190" s="275" t="s">
        <v>562</v>
      </c>
      <c r="H190" s="274" t="s">
        <v>304</v>
      </c>
      <c r="I190" s="275" t="s">
        <v>806</v>
      </c>
      <c r="J190" s="279" t="s">
        <v>889</v>
      </c>
      <c r="K190" s="275" t="s">
        <v>728</v>
      </c>
      <c r="L190" s="277" t="s">
        <v>890</v>
      </c>
      <c r="M190" s="278" t="str">
        <f t="array" ref="M190">IFERROR(XLOOKUP(L190,'2. DATA NL, VTBB'!C:C,'2. DATA NL, VTBB'!D:D),"")</f>
        <v>Chai nhôm 250ml  tròn cổ 38 , Xanh dương đậm-  Nắp trắng ( Có cốc đong )</v>
      </c>
      <c r="N190" s="280"/>
      <c r="O190" s="280" t="str">
        <f t="array" ref="O190">IFERROR( XLOOKUP(L190,'2. DATA NL, VTBB'!C:C,'2. DATA NL, VTBB'!E:E),"")</f>
        <v>NPK Bổ sung Vi lượng Basel NPK 6-6-8 IDA 33</v>
      </c>
      <c r="P190" s="275" t="s">
        <v>565</v>
      </c>
      <c r="Q190" s="311"/>
      <c r="R190" s="291" t="s">
        <v>573</v>
      </c>
      <c r="S190" s="280"/>
      <c r="T190" s="277"/>
      <c r="U190" s="277"/>
      <c r="V190" s="283">
        <v>600.0</v>
      </c>
      <c r="W190" s="275" t="s">
        <v>699</v>
      </c>
      <c r="X190" s="283">
        <v>600.0</v>
      </c>
      <c r="Y190" s="274">
        <v>600.0</v>
      </c>
      <c r="Z190" s="286">
        <v>10636.36</v>
      </c>
      <c r="AA190" s="285">
        <v>0.1</v>
      </c>
      <c r="AB190" s="282">
        <v>7019998.0</v>
      </c>
      <c r="AC190" s="277"/>
      <c r="AD190" s="289">
        <v>46027.0</v>
      </c>
      <c r="AE190" s="272">
        <v>78.0</v>
      </c>
      <c r="AF190" s="277"/>
      <c r="AG190" s="277"/>
      <c r="AH190" s="294">
        <f>IFERROR(__xludf.DUMMYFUNCTION("IFERROR(INDEX( SORT(FILTER(
        {'1. DATA CHUNG'!$J$4:$J$105 , '1. DATA CHUNG'!$L$4:$L$105}, (TRIM('1. DATA CHUNG'!$I$4:$I$105)=TRIM(K190)) * IF(COUNTIFS('1. DATA CHUNG'!$I$4:$I$105,K190,'1. DATA CHUNG'!$M$4:$M$105,Q190), '1. DATA CHUNG'!$M$4:$M$105=Q"&amp;"190, 1) * ('1. DATA CHUNG'!$L$4:$L$105&lt;=TODAY()) ),   2, 0),  1, 1), 
  IFERROR( INDEX(FILTER('1. DATA CHUNG'!$J$4:$J$105, (TRIM('1. DATA CHUNG'!$I$4:$I$105)=TRIM(K190)) * IF(COUNTIFS('1. DATA CHUNG'!$I$4:$I$105,K190,'1. DATA CHUNG'!$M$4:$M$105,Q190), '1."&amp;" DATA CHUNG'!$M$4:$M$105=Q190, 1) * ('1. DATA CHUNG'!$L$4:$L$105="""")), 1), ""Không tìm thấy"" ))"),7.0)</f>
        <v>7</v>
      </c>
      <c r="AI190" s="273">
        <f t="shared" si="2"/>
        <v>46034</v>
      </c>
      <c r="AJ190" s="287"/>
      <c r="AK190" s="286">
        <f t="shared" si="3"/>
        <v>0</v>
      </c>
      <c r="AL190" s="287">
        <f t="shared" si="4"/>
        <v>-2</v>
      </c>
      <c r="AM190" s="287">
        <f t="shared" si="5"/>
        <v>2</v>
      </c>
      <c r="AN190" s="279">
        <f t="shared" si="6"/>
        <v>6</v>
      </c>
      <c r="AO190" s="295" t="str">
        <f t="shared" si="7"/>
        <v>01/2026</v>
      </c>
      <c r="AP190" s="277" t="str">
        <f t="array" ref="AP190">IFERROR(XLOOKUP(L190,'2. DATA NL, VTBB'!C:C,'2. DATA NL, VTBB'!F:F),"")</f>
        <v>HH0036</v>
      </c>
      <c r="AQ190" s="277" t="str">
        <f t="array" ref="AQ190">IF(OR(K190="Nhãn", K190="Nhãn thùng",K190="Nhãn Túi"), K190 &amp; " " &amp; IFERROR(XLOOKUP(L190, '2. DATA NL, VTBB'!C:C, '2. DATA NL, VTBB'!E:E), ""), "")</f>
        <v/>
      </c>
      <c r="AR190" s="278" t="str">
        <f t="array" ref="AR190">IFERROR(XLOOKUP(L190,'2. DATA NL, VTBB'!C:C,'2. DATA NL, VTBB'!G:G),"")</f>
        <v>IDA Global - I - 420 - Ronado (drone) - 50ml - 300</v>
      </c>
      <c r="AS190" s="278" t="str">
        <f t="array" ref="AS190">IFERROR(XLOOKUP(L190,'2. DATA NL, VTBB'!C:C,'2. DATA NL, VTBB'!G:G),"")</f>
        <v>IDA Global - I - 420 - Ronado (drone) - 50ml - 300</v>
      </c>
      <c r="AT190" s="277"/>
    </row>
    <row r="191" ht="30.75" customHeight="1">
      <c r="A191" s="272">
        <f t="shared" si="44"/>
        <v>188</v>
      </c>
      <c r="B191" s="289">
        <v>46027.0</v>
      </c>
      <c r="C191" s="273">
        <v>46028.0</v>
      </c>
      <c r="D191" s="273">
        <f t="shared" si="43"/>
        <v>46030</v>
      </c>
      <c r="E191" s="289">
        <v>46032.0</v>
      </c>
      <c r="F191" s="274" t="s">
        <v>561</v>
      </c>
      <c r="G191" s="275" t="s">
        <v>562</v>
      </c>
      <c r="H191" s="274" t="s">
        <v>304</v>
      </c>
      <c r="I191" s="275" t="s">
        <v>806</v>
      </c>
      <c r="J191" s="279" t="s">
        <v>889</v>
      </c>
      <c r="K191" s="275" t="s">
        <v>730</v>
      </c>
      <c r="L191" s="277" t="s">
        <v>809</v>
      </c>
      <c r="M191" s="278" t="str">
        <f t="array" ref="M191">IFERROR(XLOOKUP(L191,'2. DATA NL, VTBB'!C:C,'2. DATA NL, VTBB'!D:D),"")</f>
        <v>Nắp chai nhôm cổ 38  - Màu trắng - Có cốc đong</v>
      </c>
      <c r="N191" s="280"/>
      <c r="O191" s="280" t="str">
        <f t="array" ref="O191">IFERROR( XLOOKUP(L191,'2. DATA NL, VTBB'!C:C,'2. DATA NL, VTBB'!E:E),"")</f>
        <v>Tiger five 6.5EC</v>
      </c>
      <c r="P191" s="275" t="s">
        <v>565</v>
      </c>
      <c r="Q191" s="311"/>
      <c r="R191" s="291" t="s">
        <v>573</v>
      </c>
      <c r="S191" s="280"/>
      <c r="T191" s="277"/>
      <c r="U191" s="277"/>
      <c r="V191" s="283">
        <v>600.0</v>
      </c>
      <c r="W191" s="275" t="s">
        <v>699</v>
      </c>
      <c r="X191" s="283">
        <v>600.0</v>
      </c>
      <c r="Y191" s="274">
        <v>600.0</v>
      </c>
      <c r="Z191" s="287">
        <v>0.0</v>
      </c>
      <c r="AA191" s="285">
        <v>0.08</v>
      </c>
      <c r="AB191" s="282">
        <v>0.0</v>
      </c>
      <c r="AC191" s="277"/>
      <c r="AD191" s="289">
        <v>46027.0</v>
      </c>
      <c r="AE191" s="272">
        <v>78.0</v>
      </c>
      <c r="AF191" s="277"/>
      <c r="AG191" s="277"/>
      <c r="AH191" s="294">
        <f>IFERROR(__xludf.DUMMYFUNCTION("IFERROR(INDEX( SORT(FILTER(
        {'1. DATA CHUNG'!$J$4:$J$105 , '1. DATA CHUNG'!$L$4:$L$105}, (TRIM('1. DATA CHUNG'!$I$4:$I$105)=TRIM(K191)) * IF(COUNTIFS('1. DATA CHUNG'!$I$4:$I$105,K191,'1. DATA CHUNG'!$M$4:$M$105,Q191), '1. DATA CHUNG'!$M$4:$M$105=Q"&amp;"191, 1) * ('1. DATA CHUNG'!$L$4:$L$105&lt;=TODAY()) ),   2, 0),  1, 1), 
  IFERROR( INDEX(FILTER('1. DATA CHUNG'!$J$4:$J$105, (TRIM('1. DATA CHUNG'!$I$4:$I$105)=TRIM(K191)) * IF(COUNTIFS('1. DATA CHUNG'!$I$4:$I$105,K191,'1. DATA CHUNG'!$M$4:$M$105,Q191), '1."&amp;" DATA CHUNG'!$M$4:$M$105=Q191, 1) * ('1. DATA CHUNG'!$L$4:$L$105="""")), 1), ""Không tìm thấy"" ))"),7.0)</f>
        <v>7</v>
      </c>
      <c r="AI191" s="273">
        <f t="shared" si="2"/>
        <v>46034</v>
      </c>
      <c r="AJ191" s="287"/>
      <c r="AK191" s="286">
        <f t="shared" si="3"/>
        <v>0</v>
      </c>
      <c r="AL191" s="287">
        <f t="shared" si="4"/>
        <v>-2</v>
      </c>
      <c r="AM191" s="287">
        <f t="shared" si="5"/>
        <v>2</v>
      </c>
      <c r="AN191" s="279">
        <f t="shared" si="6"/>
        <v>6</v>
      </c>
      <c r="AO191" s="295" t="str">
        <f t="shared" si="7"/>
        <v>01/2026</v>
      </c>
      <c r="AP191" s="277" t="str">
        <f t="array" ref="AP191">IFERROR(XLOOKUP(L191,'2. DATA NL, VTBB'!C:C,'2. DATA NL, VTBB'!F:F),"")</f>
        <v>HH0024</v>
      </c>
      <c r="AQ191" s="277" t="str">
        <f t="array" ref="AQ191">IF(OR(K191="Nhãn", K191="Nhãn thùng",K191="Nhãn Túi"), K191 &amp; " " &amp; IFERROR(XLOOKUP(L191, '2. DATA NL, VTBB'!C:C, '2. DATA NL, VTBB'!E:E), ""), "")</f>
        <v/>
      </c>
      <c r="AR191" s="278" t="str">
        <f t="array" ref="AR191">IFERROR(XLOOKUP(L191,'2. DATA NL, VTBB'!C:C,'2. DATA NL, VTBB'!G:G),"")</f>
        <v>GC - I - 363 - AU - Diệt sạch sâu - nhện AGC (Chai nhôm đỏ) - 220ml - 40</v>
      </c>
      <c r="AS191" s="278" t="str">
        <f t="array" ref="AS191">IFERROR(XLOOKUP(L191,'2. DATA NL, VTBB'!C:C,'2. DATA NL, VTBB'!G:G),"")</f>
        <v>GC - I - 363 - AU - Diệt sạch sâu - nhện AGC (Chai nhôm đỏ) - 220ml - 40</v>
      </c>
      <c r="AT191" s="277"/>
    </row>
    <row r="192" ht="30.75" customHeight="1">
      <c r="A192" s="272">
        <f t="shared" si="44"/>
        <v>189</v>
      </c>
      <c r="B192" s="289">
        <v>46027.0</v>
      </c>
      <c r="C192" s="289">
        <v>46034.0</v>
      </c>
      <c r="D192" s="289">
        <f t="shared" ref="D192:D193" si="46">B192+15</f>
        <v>46042</v>
      </c>
      <c r="E192" s="289">
        <v>46037.0</v>
      </c>
      <c r="F192" s="274" t="s">
        <v>561</v>
      </c>
      <c r="G192" s="275" t="s">
        <v>562</v>
      </c>
      <c r="H192" s="274" t="s">
        <v>304</v>
      </c>
      <c r="I192" s="275" t="s">
        <v>305</v>
      </c>
      <c r="J192" s="279" t="s">
        <v>891</v>
      </c>
      <c r="K192" s="275" t="s">
        <v>301</v>
      </c>
      <c r="L192" s="277" t="s">
        <v>564</v>
      </c>
      <c r="M192" s="278" t="str">
        <f t="array" ref="M192">IFERROR(XLOOKUP(L192,'2. DATA NL, VTBB'!C:C,'2. DATA NL, VTBB'!D:D),"")</f>
        <v>Thùng NEWTEX chai HDPE 500ml x 40 chai (60.5x38.5x20.5cm) - Trắng viền cam</v>
      </c>
      <c r="N192" s="280"/>
      <c r="O192" s="280" t="str">
        <f t="array" ref="O192">IFERROR( XLOOKUP(L192,'2. DATA NL, VTBB'!C:C,'2. DATA NL, VTBB'!E:E),"")</f>
        <v>CHIM ƯNG 3.8EC</v>
      </c>
      <c r="P192" s="275" t="s">
        <v>565</v>
      </c>
      <c r="Q192" s="311"/>
      <c r="R192" s="290" t="s">
        <v>566</v>
      </c>
      <c r="S192" s="280"/>
      <c r="T192" s="277"/>
      <c r="U192" s="277"/>
      <c r="V192" s="283">
        <v>100.0</v>
      </c>
      <c r="W192" s="275" t="s">
        <v>699</v>
      </c>
      <c r="X192" s="283">
        <v>100.0</v>
      </c>
      <c r="Y192" s="274">
        <v>114.0</v>
      </c>
      <c r="Z192" s="287">
        <v>24400.0</v>
      </c>
      <c r="AA192" s="285">
        <v>0.08</v>
      </c>
      <c r="AB192" s="282">
        <v>3004128.0</v>
      </c>
      <c r="AC192" s="277"/>
      <c r="AD192" s="289">
        <v>46027.0</v>
      </c>
      <c r="AE192" s="272">
        <v>151.0</v>
      </c>
      <c r="AF192" s="277"/>
      <c r="AG192" s="277"/>
      <c r="AH192" s="294">
        <f>IFERROR(__xludf.DUMMYFUNCTION("IFERROR(INDEX( SORT(FILTER(
        {'1. DATA CHUNG'!$J$4:$J$105 , '1. DATA CHUNG'!$L$4:$L$105}, (TRIM('1. DATA CHUNG'!$I$4:$I$105)=TRIM(K192)) * IF(COUNTIFS('1. DATA CHUNG'!$I$4:$I$105,K192,'1. DATA CHUNG'!$M$4:$M$105,Q192), '1. DATA CHUNG'!$M$4:$M$105=Q"&amp;"192, 1) * ('1. DATA CHUNG'!$L$4:$L$105&lt;=TODAY()) ),   2, 0),  1, 1), 
  IFERROR( INDEX(FILTER('1. DATA CHUNG'!$J$4:$J$105, (TRIM('1. DATA CHUNG'!$I$4:$I$105)=TRIM(K192)) * IF(COUNTIFS('1. DATA CHUNG'!$I$4:$I$105,K192,'1. DATA CHUNG'!$M$4:$M$105,Q192), '1."&amp;" DATA CHUNG'!$M$4:$M$105=Q192, 1) * ('1. DATA CHUNG'!$L$4:$L$105="""")), 1), ""Không tìm thấy"" ))"),18.0)</f>
        <v>18</v>
      </c>
      <c r="AI192" s="273">
        <f t="shared" si="2"/>
        <v>46045</v>
      </c>
      <c r="AJ192" s="287"/>
      <c r="AK192" s="286">
        <f t="shared" si="3"/>
        <v>0</v>
      </c>
      <c r="AL192" s="287">
        <f t="shared" si="4"/>
        <v>5</v>
      </c>
      <c r="AM192" s="287">
        <f t="shared" si="5"/>
        <v>8</v>
      </c>
      <c r="AN192" s="279">
        <f t="shared" si="6"/>
        <v>11</v>
      </c>
      <c r="AO192" s="295" t="str">
        <f t="shared" si="7"/>
        <v>01/2026</v>
      </c>
      <c r="AP192" s="277" t="str">
        <f t="array" ref="AP192">IFERROR(XLOOKUP(L192,'2. DATA NL, VTBB'!C:C,'2. DATA NL, VTBB'!F:F),"")</f>
        <v>HH0239</v>
      </c>
      <c r="AQ192" s="277" t="str">
        <f t="array" ref="AQ192">IF(OR(K192="Nhãn", K192="Nhãn thùng",K192="Nhãn Túi"), K192 &amp; " " &amp; IFERROR(XLOOKUP(L192, '2. DATA NL, VTBB'!C:C, '2. DATA NL, VTBB'!E:E), ""), "")</f>
        <v/>
      </c>
      <c r="AR192" s="278" t="str">
        <f t="array" ref="AR192">IFERROR(XLOOKUP(L192,'2. DATA NL, VTBB'!C:C,'2. DATA NL, VTBB'!G:G),"")</f>
        <v>GC - II - 653 - Huy Phát - A-CARI (chai nhôm đỏ) - 240ml - 40</v>
      </c>
      <c r="AS192" s="278" t="str">
        <f t="array" ref="AS192">IFERROR(XLOOKUP(L192,'2. DATA NL, VTBB'!C:C,'2. DATA NL, VTBB'!G:G),"")</f>
        <v>GC - II - 653 - Huy Phát - A-CARI (chai nhôm đỏ) - 240ml - 40</v>
      </c>
      <c r="AT192" s="277"/>
    </row>
    <row r="193" ht="30.75" customHeight="1">
      <c r="A193" s="272">
        <f t="shared" si="44"/>
        <v>190</v>
      </c>
      <c r="B193" s="289">
        <v>46027.0</v>
      </c>
      <c r="C193" s="289">
        <v>46034.0</v>
      </c>
      <c r="D193" s="289">
        <f t="shared" si="46"/>
        <v>46042</v>
      </c>
      <c r="E193" s="289">
        <v>46042.0</v>
      </c>
      <c r="F193" s="274" t="s">
        <v>561</v>
      </c>
      <c r="G193" s="275" t="s">
        <v>562</v>
      </c>
      <c r="H193" s="274" t="s">
        <v>304</v>
      </c>
      <c r="I193" s="275" t="s">
        <v>305</v>
      </c>
      <c r="J193" s="279" t="s">
        <v>892</v>
      </c>
      <c r="K193" s="275" t="s">
        <v>301</v>
      </c>
      <c r="L193" s="277" t="s">
        <v>893</v>
      </c>
      <c r="M193" s="278" t="str">
        <f t="array" ref="M193">IFERROR(XLOOKUP(L193,'2. DATA NL, VTBB'!C:C,'2. DATA NL, VTBB'!D:D),"")</f>
        <v>Thùng JAPAN CROP SCIENCE Chai PET tròn 500ml x 40 chai (55.5x35x21.5cm) - Trắng viền xanh dương</v>
      </c>
      <c r="N193" s="280"/>
      <c r="O193" s="280" t="str">
        <f t="array" ref="O193">IFERROR( XLOOKUP(L193,'2. DATA NL, VTBB'!C:C,'2. DATA NL, VTBB'!E:E),"")</f>
        <v>TVZEB 800WP</v>
      </c>
      <c r="P193" s="275" t="s">
        <v>565</v>
      </c>
      <c r="Q193" s="311"/>
      <c r="R193" s="290" t="s">
        <v>566</v>
      </c>
      <c r="S193" s="280"/>
      <c r="T193" s="277"/>
      <c r="U193" s="277"/>
      <c r="V193" s="283">
        <v>100.0</v>
      </c>
      <c r="W193" s="275" t="s">
        <v>699</v>
      </c>
      <c r="X193" s="283">
        <v>100.0</v>
      </c>
      <c r="Y193" s="274">
        <v>103.0</v>
      </c>
      <c r="Z193" s="287">
        <v>20500.0</v>
      </c>
      <c r="AA193" s="285">
        <v>0.08</v>
      </c>
      <c r="AB193" s="282">
        <v>2280420.0</v>
      </c>
      <c r="AC193" s="277"/>
      <c r="AD193" s="289">
        <v>46027.0</v>
      </c>
      <c r="AE193" s="312"/>
      <c r="AF193" s="277"/>
      <c r="AG193" s="277"/>
      <c r="AH193" s="294">
        <f>IFERROR(__xludf.DUMMYFUNCTION("IFERROR(INDEX( SORT(FILTER(
        {'1. DATA CHUNG'!$J$4:$J$105 , '1. DATA CHUNG'!$L$4:$L$105}, (TRIM('1. DATA CHUNG'!$I$4:$I$105)=TRIM(K193)) * IF(COUNTIFS('1. DATA CHUNG'!$I$4:$I$105,K193,'1. DATA CHUNG'!$M$4:$M$105,Q193), '1. DATA CHUNG'!$M$4:$M$105=Q"&amp;"193, 1) * ('1. DATA CHUNG'!$L$4:$L$105&lt;=TODAY()) ),   2, 0),  1, 1), 
  IFERROR( INDEX(FILTER('1. DATA CHUNG'!$J$4:$J$105, (TRIM('1. DATA CHUNG'!$I$4:$I$105)=TRIM(K193)) * IF(COUNTIFS('1. DATA CHUNG'!$I$4:$I$105,K193,'1. DATA CHUNG'!$M$4:$M$105,Q193), '1."&amp;" DATA CHUNG'!$M$4:$M$105=Q193, 1) * ('1. DATA CHUNG'!$L$4:$L$105="""")), 1), ""Không tìm thấy"" ))"),18.0)</f>
        <v>18</v>
      </c>
      <c r="AI193" s="273">
        <f t="shared" si="2"/>
        <v>46045</v>
      </c>
      <c r="AJ193" s="287"/>
      <c r="AK193" s="286">
        <f t="shared" si="3"/>
        <v>0</v>
      </c>
      <c r="AL193" s="287">
        <f t="shared" si="4"/>
        <v>0</v>
      </c>
      <c r="AM193" s="287">
        <f t="shared" si="5"/>
        <v>3</v>
      </c>
      <c r="AN193" s="279">
        <f t="shared" si="6"/>
        <v>11</v>
      </c>
      <c r="AO193" s="295" t="str">
        <f t="shared" si="7"/>
        <v>01/2026</v>
      </c>
      <c r="AP193" s="277" t="str">
        <f t="array" ref="AP193">IFERROR(XLOOKUP(L193,'2. DATA NL, VTBB'!C:C,'2. DATA NL, VTBB'!F:F),"")</f>
        <v>HH0271</v>
      </c>
      <c r="AQ193" s="277" t="str">
        <f t="array" ref="AQ193">IF(OR(K193="Nhãn", K193="Nhãn thùng",K193="Nhãn Túi"), K193 &amp; " " &amp; IFERROR(XLOOKUP(L193, '2. DATA NL, VTBB'!C:C, '2. DATA NL, VTBB'!E:E), ""), "")</f>
        <v/>
      </c>
      <c r="AR193" s="278" t="str">
        <f t="array" ref="AR193">IFERROR(XLOOKUP(L193,'2. DATA NL, VTBB'!C:C,'2. DATA NL, VTBB'!G:G),"")</f>
        <v>GC - IV - 689 - Kim Ngọc - Mancozeb Xanh - 1 kg - 20</v>
      </c>
      <c r="AS193" s="278" t="str">
        <f t="array" ref="AS193">IFERROR(XLOOKUP(L193,'2. DATA NL, VTBB'!C:C,'2. DATA NL, VTBB'!G:G),"")</f>
        <v>GC - IV - 689 - Kim Ngọc - Mancozeb Xanh - 1 kg - 20</v>
      </c>
      <c r="AT193" s="277"/>
    </row>
    <row r="194" ht="30.75" customHeight="1">
      <c r="A194" s="272">
        <f t="shared" si="44"/>
        <v>191</v>
      </c>
      <c r="B194" s="289">
        <v>46028.0</v>
      </c>
      <c r="C194" s="273">
        <v>46029.0</v>
      </c>
      <c r="D194" s="273">
        <f t="shared" ref="D194:D199" si="47">B194+3</f>
        <v>46031</v>
      </c>
      <c r="E194" s="289">
        <v>46037.0</v>
      </c>
      <c r="F194" s="274" t="s">
        <v>561</v>
      </c>
      <c r="G194" s="275" t="s">
        <v>562</v>
      </c>
      <c r="H194" s="274" t="s">
        <v>304</v>
      </c>
      <c r="I194" s="275" t="s">
        <v>726</v>
      </c>
      <c r="J194" s="279" t="s">
        <v>894</v>
      </c>
      <c r="K194" s="275" t="s">
        <v>728</v>
      </c>
      <c r="L194" s="277" t="s">
        <v>788</v>
      </c>
      <c r="M194" s="278" t="str">
        <f t="array" ref="M194">IFERROR(XLOOKUP(L194,'2. DATA NL, VTBB'!C:C,'2. DATA NL, VTBB'!D:D),"")</f>
        <v>PN - Chai HDPE tròn cổ 63 500ml  (80g)  - Trắng</v>
      </c>
      <c r="N194" s="280"/>
      <c r="O194" s="280" t="str">
        <f t="array" ref="O194">IFERROR( XLOOKUP(L194,'2. DATA NL, VTBB'!C:C,'2. DATA NL, VTBB'!E:E),"")</f>
        <v>Creek 2.1EC</v>
      </c>
      <c r="P194" s="275" t="s">
        <v>565</v>
      </c>
      <c r="Q194" s="311"/>
      <c r="R194" s="290" t="s">
        <v>566</v>
      </c>
      <c r="S194" s="280"/>
      <c r="T194" s="277"/>
      <c r="U194" s="277"/>
      <c r="V194" s="283">
        <v>6000.0</v>
      </c>
      <c r="W194" s="275" t="s">
        <v>699</v>
      </c>
      <c r="X194" s="283">
        <v>6000.0</v>
      </c>
      <c r="Y194" s="274">
        <v>6048.0</v>
      </c>
      <c r="Z194" s="279">
        <v>3100.0</v>
      </c>
      <c r="AA194" s="285">
        <v>0.08</v>
      </c>
      <c r="AB194" s="282">
        <v>2.0248704E7</v>
      </c>
      <c r="AC194" s="277"/>
      <c r="AD194" s="289">
        <v>46028.0</v>
      </c>
      <c r="AE194" s="272">
        <v>45.0</v>
      </c>
      <c r="AF194" s="277"/>
      <c r="AG194" s="277"/>
      <c r="AH194" s="294">
        <f>IFERROR(__xludf.DUMMYFUNCTION("IFERROR(INDEX( SORT(FILTER(
        {'1. DATA CHUNG'!$J$4:$J$105 , '1. DATA CHUNG'!$L$4:$L$105}, (TRIM('1. DATA CHUNG'!$I$4:$I$105)=TRIM(K194)) * IF(COUNTIFS('1. DATA CHUNG'!$I$4:$I$105,K194,'1. DATA CHUNG'!$M$4:$M$105,Q194), '1. DATA CHUNG'!$M$4:$M$105=Q"&amp;"194, 1) * ('1. DATA CHUNG'!$L$4:$L$105&lt;=TODAY()) ),   2, 0),  1, 1), 
  IFERROR( INDEX(FILTER('1. DATA CHUNG'!$J$4:$J$105, (TRIM('1. DATA CHUNG'!$I$4:$I$105)=TRIM(K194)) * IF(COUNTIFS('1. DATA CHUNG'!$I$4:$I$105,K194,'1. DATA CHUNG'!$M$4:$M$105,Q194), '1."&amp;" DATA CHUNG'!$M$4:$M$105=Q194, 1) * ('1. DATA CHUNG'!$L$4:$L$105="""")), 1), ""Không tìm thấy"" ))"),7.0)</f>
        <v>7</v>
      </c>
      <c r="AI194" s="273">
        <f t="shared" si="2"/>
        <v>46035</v>
      </c>
      <c r="AJ194" s="287"/>
      <c r="AK194" s="286">
        <f t="shared" si="3"/>
        <v>0</v>
      </c>
      <c r="AL194" s="287">
        <f t="shared" si="4"/>
        <v>-6</v>
      </c>
      <c r="AM194" s="287">
        <f t="shared" si="5"/>
        <v>-2</v>
      </c>
      <c r="AN194" s="279">
        <f t="shared" si="6"/>
        <v>6</v>
      </c>
      <c r="AO194" s="295" t="str">
        <f t="shared" si="7"/>
        <v>01/2026</v>
      </c>
      <c r="AP194" s="277" t="str">
        <f t="array" ref="AP194">IFERROR(XLOOKUP(L194,'2. DATA NL, VTBB'!C:C,'2. DATA NL, VTBB'!F:F),"")</f>
        <v>HH0212</v>
      </c>
      <c r="AQ194" s="277" t="str">
        <f t="array" ref="AQ194">IF(OR(K194="Nhãn", K194="Nhãn thùng",K194="Nhãn Túi"), K194 &amp; " " &amp; IFERROR(XLOOKUP(L194, '2. DATA NL, VTBB'!C:C, '2. DATA NL, VTBB'!E:E), ""), "")</f>
        <v/>
      </c>
      <c r="AR194" s="278" t="str">
        <f t="array" ref="AR194">IFERROR(XLOOKUP(L194,'2. DATA NL, VTBB'!C:C,'2. DATA NL, VTBB'!G:G),"")</f>
        <v>GC - IV - 833 - Huy Phát - HP Pro Max (nước đỏ)(Pet Vuông)- 400ml - 40</v>
      </c>
      <c r="AS194" s="278" t="str">
        <f t="array" ref="AS194">IFERROR(XLOOKUP(L194,'2. DATA NL, VTBB'!C:C,'2. DATA NL, VTBB'!G:G),"")</f>
        <v>GC - IV - 833 - Huy Phát - HP Pro Max (nước đỏ)(Pet Vuông)- 400ml - 40</v>
      </c>
      <c r="AT194" s="277"/>
    </row>
    <row r="195" ht="30.75" customHeight="1">
      <c r="A195" s="272">
        <f t="shared" si="44"/>
        <v>192</v>
      </c>
      <c r="B195" s="289">
        <v>46028.0</v>
      </c>
      <c r="C195" s="273">
        <v>46029.0</v>
      </c>
      <c r="D195" s="273">
        <f t="shared" si="47"/>
        <v>46031</v>
      </c>
      <c r="E195" s="289">
        <v>46037.0</v>
      </c>
      <c r="F195" s="274" t="s">
        <v>561</v>
      </c>
      <c r="G195" s="275" t="s">
        <v>562</v>
      </c>
      <c r="H195" s="274" t="s">
        <v>304</v>
      </c>
      <c r="I195" s="275" t="s">
        <v>726</v>
      </c>
      <c r="J195" s="279" t="s">
        <v>894</v>
      </c>
      <c r="K195" s="275" t="s">
        <v>730</v>
      </c>
      <c r="L195" s="277" t="s">
        <v>789</v>
      </c>
      <c r="M195" s="278" t="str">
        <f t="array" ref="M195">IFERROR(XLOOKUP(L195,'2. DATA NL, VTBB'!C:C,'2. DATA NL, VTBB'!D:D),"")</f>
        <v>PN - Nắp HDPE cổ 63 có gurantee  - Trắng</v>
      </c>
      <c r="N195" s="280"/>
      <c r="O195" s="280" t="str">
        <f t="array" ref="O195">IFERROR( XLOOKUP(L195,'2. DATA NL, VTBB'!C:C,'2. DATA NL, VTBB'!E:E),"")</f>
        <v>Creek 2.1EC</v>
      </c>
      <c r="P195" s="275" t="s">
        <v>565</v>
      </c>
      <c r="Q195" s="311"/>
      <c r="R195" s="290" t="s">
        <v>566</v>
      </c>
      <c r="S195" s="280"/>
      <c r="T195" s="277"/>
      <c r="U195" s="277"/>
      <c r="V195" s="283">
        <v>6000.0</v>
      </c>
      <c r="W195" s="275" t="s">
        <v>699</v>
      </c>
      <c r="X195" s="283">
        <v>6000.0</v>
      </c>
      <c r="Y195" s="274">
        <v>6048.0</v>
      </c>
      <c r="Z195" s="279">
        <v>1200.0</v>
      </c>
      <c r="AA195" s="285">
        <v>0.08</v>
      </c>
      <c r="AB195" s="282">
        <v>7838208.0</v>
      </c>
      <c r="AC195" s="277"/>
      <c r="AD195" s="289">
        <v>46028.0</v>
      </c>
      <c r="AE195" s="272">
        <v>45.0</v>
      </c>
      <c r="AF195" s="277"/>
      <c r="AG195" s="277"/>
      <c r="AH195" s="294">
        <f>IFERROR(__xludf.DUMMYFUNCTION("IFERROR(INDEX( SORT(FILTER(
        {'1. DATA CHUNG'!$J$4:$J$105 , '1. DATA CHUNG'!$L$4:$L$105}, (TRIM('1. DATA CHUNG'!$I$4:$I$105)=TRIM(K195)) * IF(COUNTIFS('1. DATA CHUNG'!$I$4:$I$105,K195,'1. DATA CHUNG'!$M$4:$M$105,Q195), '1. DATA CHUNG'!$M$4:$M$105=Q"&amp;"195, 1) * ('1. DATA CHUNG'!$L$4:$L$105&lt;=TODAY()) ),   2, 0),  1, 1), 
  IFERROR( INDEX(FILTER('1. DATA CHUNG'!$J$4:$J$105, (TRIM('1. DATA CHUNG'!$I$4:$I$105)=TRIM(K195)) * IF(COUNTIFS('1. DATA CHUNG'!$I$4:$I$105,K195,'1. DATA CHUNG'!$M$4:$M$105,Q195), '1."&amp;" DATA CHUNG'!$M$4:$M$105=Q195, 1) * ('1. DATA CHUNG'!$L$4:$L$105="""")), 1), ""Không tìm thấy"" ))"),7.0)</f>
        <v>7</v>
      </c>
      <c r="AI195" s="273">
        <f t="shared" si="2"/>
        <v>46035</v>
      </c>
      <c r="AJ195" s="287"/>
      <c r="AK195" s="286">
        <f t="shared" si="3"/>
        <v>0</v>
      </c>
      <c r="AL195" s="287">
        <f t="shared" si="4"/>
        <v>-6</v>
      </c>
      <c r="AM195" s="287">
        <f t="shared" si="5"/>
        <v>-2</v>
      </c>
      <c r="AN195" s="279">
        <f t="shared" si="6"/>
        <v>6</v>
      </c>
      <c r="AO195" s="295" t="str">
        <f t="shared" si="7"/>
        <v>01/2026</v>
      </c>
      <c r="AP195" s="277" t="str">
        <f t="array" ref="AP195">IFERROR(XLOOKUP(L195,'2. DATA NL, VTBB'!C:C,'2. DATA NL, VTBB'!F:F),"")</f>
        <v>HH0136</v>
      </c>
      <c r="AQ195" s="277" t="str">
        <f t="array" ref="AQ195">IF(OR(K195="Nhãn", K195="Nhãn thùng",K195="Nhãn Túi"), K195 &amp; " " &amp; IFERROR(XLOOKUP(L195, '2. DATA NL, VTBB'!C:C, '2. DATA NL, VTBB'!E:E), ""), "")</f>
        <v/>
      </c>
      <c r="AR195" s="278" t="str">
        <f t="array" ref="AR195">IFERROR(XLOOKUP(L195,'2. DATA NL, VTBB'!C:C,'2. DATA NL, VTBB'!G:G),"")</f>
        <v>GC - IV - 833 - Huy Phát - HP Pro Max (nước đỏ)(Pet Vuông)- 400ml - 40</v>
      </c>
      <c r="AS195" s="278" t="str">
        <f t="array" ref="AS195">IFERROR(XLOOKUP(L195,'2. DATA NL, VTBB'!C:C,'2. DATA NL, VTBB'!G:G),"")</f>
        <v>GC - IV - 833 - Huy Phát - HP Pro Max (nước đỏ)(Pet Vuông)- 400ml - 40</v>
      </c>
      <c r="AT195" s="277"/>
    </row>
    <row r="196" ht="30.75" customHeight="1">
      <c r="A196" s="272">
        <f t="shared" si="44"/>
        <v>193</v>
      </c>
      <c r="B196" s="289">
        <v>46028.0</v>
      </c>
      <c r="C196" s="273">
        <v>46029.0</v>
      </c>
      <c r="D196" s="273">
        <f t="shared" si="47"/>
        <v>46031</v>
      </c>
      <c r="E196" s="289">
        <v>46031.0</v>
      </c>
      <c r="F196" s="274" t="s">
        <v>561</v>
      </c>
      <c r="G196" s="275" t="s">
        <v>562</v>
      </c>
      <c r="H196" s="274" t="s">
        <v>304</v>
      </c>
      <c r="I196" s="275" t="s">
        <v>744</v>
      </c>
      <c r="J196" s="279" t="s">
        <v>895</v>
      </c>
      <c r="K196" s="275" t="s">
        <v>728</v>
      </c>
      <c r="L196" s="277" t="s">
        <v>896</v>
      </c>
      <c r="M196" s="278" t="str">
        <f t="array" ref="M196">IFERROR(XLOOKUP(L196,'2. DATA NL, VTBB'!C:C,'2. DATA NL, VTBB'!D:D),"")</f>
        <v>Chai PET tròn cổ 38 500ml (64gr) màu trắng - Nắp trắng tai bèo</v>
      </c>
      <c r="N196" s="280"/>
      <c r="O196" s="280" t="str">
        <f t="array" ref="O196">IFERROR( XLOOKUP(L196,'2. DATA NL, VTBB'!C:C,'2. DATA NL, VTBB'!E:E),"")</f>
        <v>Vi lượng BM-KABO</v>
      </c>
      <c r="P196" s="275" t="s">
        <v>565</v>
      </c>
      <c r="Q196" s="311"/>
      <c r="R196" s="291" t="s">
        <v>573</v>
      </c>
      <c r="S196" s="280"/>
      <c r="T196" s="277"/>
      <c r="U196" s="277"/>
      <c r="V196" s="283">
        <v>1000.0</v>
      </c>
      <c r="W196" s="275" t="s">
        <v>699</v>
      </c>
      <c r="X196" s="283">
        <v>1000.0</v>
      </c>
      <c r="Y196" s="274">
        <v>1120.0</v>
      </c>
      <c r="Z196" s="287">
        <v>3400.0</v>
      </c>
      <c r="AA196" s="285">
        <v>0.08</v>
      </c>
      <c r="AB196" s="282">
        <v>4112640.0</v>
      </c>
      <c r="AC196" s="277"/>
      <c r="AD196" s="289">
        <v>46028.0</v>
      </c>
      <c r="AE196" s="272">
        <v>250.0</v>
      </c>
      <c r="AF196" s="277"/>
      <c r="AG196" s="277"/>
      <c r="AH196" s="294">
        <f>IFERROR(__xludf.DUMMYFUNCTION("IFERROR(INDEX( SORT(FILTER(
        {'1. DATA CHUNG'!$J$4:$J$105 , '1. DATA CHUNG'!$L$4:$L$105}, (TRIM('1. DATA CHUNG'!$I$4:$I$105)=TRIM(K196)) * IF(COUNTIFS('1. DATA CHUNG'!$I$4:$I$105,K196,'1. DATA CHUNG'!$M$4:$M$105,Q196), '1. DATA CHUNG'!$M$4:$M$105=Q"&amp;"196, 1) * ('1. DATA CHUNG'!$L$4:$L$105&lt;=TODAY()) ),   2, 0),  1, 1), 
  IFERROR( INDEX(FILTER('1. DATA CHUNG'!$J$4:$J$105, (TRIM('1. DATA CHUNG'!$I$4:$I$105)=TRIM(K196)) * IF(COUNTIFS('1. DATA CHUNG'!$I$4:$I$105,K196,'1. DATA CHUNG'!$M$4:$M$105,Q196), '1."&amp;" DATA CHUNG'!$M$4:$M$105=Q196, 1) * ('1. DATA CHUNG'!$L$4:$L$105="""")), 1), ""Không tìm thấy"" ))"),7.0)</f>
        <v>7</v>
      </c>
      <c r="AI196" s="273">
        <f t="shared" si="2"/>
        <v>46035</v>
      </c>
      <c r="AJ196" s="287"/>
      <c r="AK196" s="286">
        <f t="shared" si="3"/>
        <v>0</v>
      </c>
      <c r="AL196" s="287">
        <f t="shared" si="4"/>
        <v>0</v>
      </c>
      <c r="AM196" s="287">
        <f t="shared" si="5"/>
        <v>4</v>
      </c>
      <c r="AN196" s="279">
        <f t="shared" si="6"/>
        <v>6</v>
      </c>
      <c r="AO196" s="295" t="str">
        <f t="shared" si="7"/>
        <v>01/2026</v>
      </c>
      <c r="AP196" s="277" t="str">
        <f t="array" ref="AP196">IFERROR(XLOOKUP(L196,'2. DATA NL, VTBB'!C:C,'2. DATA NL, VTBB'!F:F),"")</f>
        <v>HH0125</v>
      </c>
      <c r="AQ196" s="277" t="str">
        <f t="array" ref="AQ196">IF(OR(K196="Nhãn", K196="Nhãn thùng",K196="Nhãn Túi"), K196 &amp; " " &amp; IFERROR(XLOOKUP(L196, '2. DATA NL, VTBB'!C:C, '2. DATA NL, VTBB'!E:E), ""), "")</f>
        <v/>
      </c>
      <c r="AR196" s="278" t="str">
        <f t="array" ref="AR196">IFERROR(XLOOKUP(L196,'2. DATA NL, VTBB'!C:C,'2. DATA NL, VTBB'!G:G),"")</f>
        <v>GC - II - 692 - A Thời GNH - Siêu Lớn Trái - 500ml (chai HD)- 40</v>
      </c>
      <c r="AS196" s="278" t="str">
        <f t="array" ref="AS196">IFERROR(XLOOKUP(L196,'2. DATA NL, VTBB'!C:C,'2. DATA NL, VTBB'!G:G),"")</f>
        <v>GC - II - 692 - A Thời GNH - Siêu Lớn Trái - 500ml (chai HD)- 40</v>
      </c>
      <c r="AT196" s="277"/>
    </row>
    <row r="197" ht="30.75" customHeight="1">
      <c r="A197" s="272">
        <f t="shared" si="44"/>
        <v>194</v>
      </c>
      <c r="B197" s="289">
        <v>46028.0</v>
      </c>
      <c r="C197" s="273">
        <v>46029.0</v>
      </c>
      <c r="D197" s="273">
        <f t="shared" si="47"/>
        <v>46031</v>
      </c>
      <c r="E197" s="289">
        <v>46031.0</v>
      </c>
      <c r="F197" s="274" t="s">
        <v>561</v>
      </c>
      <c r="G197" s="275" t="s">
        <v>562</v>
      </c>
      <c r="H197" s="274" t="s">
        <v>304</v>
      </c>
      <c r="I197" s="275" t="s">
        <v>744</v>
      </c>
      <c r="J197" s="279" t="s">
        <v>895</v>
      </c>
      <c r="K197" s="275" t="s">
        <v>730</v>
      </c>
      <c r="L197" s="277" t="s">
        <v>826</v>
      </c>
      <c r="M197" s="278" t="str">
        <f t="array" ref="M197">IFERROR(XLOOKUP(L197,'2. DATA NL, VTBB'!C:C,'2. DATA NL, VTBB'!D:D),"")</f>
        <v>Nắp PET cổ 38 (7.5gr) tai bèo - Trắng</v>
      </c>
      <c r="N197" s="280"/>
      <c r="O197" s="280" t="str">
        <f t="array" ref="O197">IFERROR( XLOOKUP(L197,'2. DATA NL, VTBB'!C:C,'2. DATA NL, VTBB'!E:E),"")</f>
        <v>Chitin 3.6EC</v>
      </c>
      <c r="P197" s="275" t="s">
        <v>565</v>
      </c>
      <c r="Q197" s="311"/>
      <c r="R197" s="291" t="s">
        <v>573</v>
      </c>
      <c r="S197" s="280"/>
      <c r="T197" s="277"/>
      <c r="U197" s="277"/>
      <c r="V197" s="283">
        <v>1000.0</v>
      </c>
      <c r="W197" s="275" t="s">
        <v>699</v>
      </c>
      <c r="X197" s="283">
        <v>1000.0</v>
      </c>
      <c r="Y197" s="274">
        <v>1120.0</v>
      </c>
      <c r="Z197" s="279">
        <v>750.0</v>
      </c>
      <c r="AA197" s="285">
        <v>0.08</v>
      </c>
      <c r="AB197" s="282">
        <v>907200.0</v>
      </c>
      <c r="AC197" s="277"/>
      <c r="AD197" s="289">
        <v>46028.0</v>
      </c>
      <c r="AE197" s="272">
        <v>250.0</v>
      </c>
      <c r="AF197" s="277"/>
      <c r="AG197" s="277"/>
      <c r="AH197" s="294">
        <f>IFERROR(__xludf.DUMMYFUNCTION("IFERROR(INDEX( SORT(FILTER(
        {'1. DATA CHUNG'!$J$4:$J$105 , '1. DATA CHUNG'!$L$4:$L$105}, (TRIM('1. DATA CHUNG'!$I$4:$I$105)=TRIM(K197)) * IF(COUNTIFS('1. DATA CHUNG'!$I$4:$I$105,K197,'1. DATA CHUNG'!$M$4:$M$105,Q197), '1. DATA CHUNG'!$M$4:$M$105=Q"&amp;"197, 1) * ('1. DATA CHUNG'!$L$4:$L$105&lt;=TODAY()) ),   2, 0),  1, 1), 
  IFERROR( INDEX(FILTER('1. DATA CHUNG'!$J$4:$J$105, (TRIM('1. DATA CHUNG'!$I$4:$I$105)=TRIM(K197)) * IF(COUNTIFS('1. DATA CHUNG'!$I$4:$I$105,K197,'1. DATA CHUNG'!$M$4:$M$105,Q197), '1."&amp;" DATA CHUNG'!$M$4:$M$105=Q197, 1) * ('1. DATA CHUNG'!$L$4:$L$105="""")), 1), ""Không tìm thấy"" ))"),7.0)</f>
        <v>7</v>
      </c>
      <c r="AI197" s="273">
        <f t="shared" si="2"/>
        <v>46035</v>
      </c>
      <c r="AJ197" s="287"/>
      <c r="AK197" s="286">
        <f t="shared" si="3"/>
        <v>0</v>
      </c>
      <c r="AL197" s="287">
        <f t="shared" si="4"/>
        <v>0</v>
      </c>
      <c r="AM197" s="287">
        <f t="shared" si="5"/>
        <v>4</v>
      </c>
      <c r="AN197" s="279">
        <f t="shared" si="6"/>
        <v>6</v>
      </c>
      <c r="AO197" s="295" t="str">
        <f t="shared" si="7"/>
        <v>01/2026</v>
      </c>
      <c r="AP197" s="277" t="str">
        <f t="array" ref="AP197">IFERROR(XLOOKUP(L197,'2. DATA NL, VTBB'!C:C,'2. DATA NL, VTBB'!F:F),"")</f>
        <v>HH0145</v>
      </c>
      <c r="AQ197" s="277" t="str">
        <f t="array" ref="AQ197">IF(OR(K197="Nhãn", K197="Nhãn thùng",K197="Nhãn Túi"), K197 &amp; " " &amp; IFERROR(XLOOKUP(L197, '2. DATA NL, VTBB'!C:C, '2. DATA NL, VTBB'!E:E), ""), "")</f>
        <v/>
      </c>
      <c r="AR197" s="278" t="str">
        <f t="array" ref="AR197">IFERROR(XLOOKUP(L197,'2. DATA NL, VTBB'!C:C,'2. DATA NL, VTBB'!G:G),"")</f>
        <v>GC - IV - 863 - Xuân Sơn 02L - Abametin 3.6 (Ốc Vàng - Nhãn đen) (Pet tròn)(nước nâu đen)- 450ml - 40</v>
      </c>
      <c r="AS197" s="278" t="str">
        <f t="array" ref="AS197">IFERROR(XLOOKUP(L197,'2. DATA NL, VTBB'!C:C,'2. DATA NL, VTBB'!G:G),"")</f>
        <v>GC - IV - 863 - Xuân Sơn 02L - Abametin 3.6 (Ốc Vàng - Nhãn đen) (Pet tròn)(nước nâu đen)- 450ml - 40</v>
      </c>
      <c r="AT197" s="277"/>
    </row>
    <row r="198" ht="30.75" customHeight="1">
      <c r="A198" s="272">
        <f t="shared" si="44"/>
        <v>195</v>
      </c>
      <c r="B198" s="289">
        <v>46028.0</v>
      </c>
      <c r="C198" s="273">
        <v>46029.0</v>
      </c>
      <c r="D198" s="273">
        <f t="shared" si="47"/>
        <v>46031</v>
      </c>
      <c r="E198" s="289">
        <v>46031.0</v>
      </c>
      <c r="F198" s="274" t="s">
        <v>561</v>
      </c>
      <c r="G198" s="275" t="s">
        <v>562</v>
      </c>
      <c r="H198" s="274" t="s">
        <v>304</v>
      </c>
      <c r="I198" s="275" t="s">
        <v>744</v>
      </c>
      <c r="J198" s="279" t="s">
        <v>897</v>
      </c>
      <c r="K198" s="275" t="s">
        <v>728</v>
      </c>
      <c r="L198" s="277" t="s">
        <v>898</v>
      </c>
      <c r="M198" s="278" t="str">
        <f t="array" ref="M198">IFERROR(XLOOKUP(L198,'2. DATA NL, VTBB'!C:C,'2. DATA NL, VTBB'!D:D),"")</f>
        <v>Chai PET 500ml cổ 38 tam giác (64g) - Trắng</v>
      </c>
      <c r="N198" s="280"/>
      <c r="O198" s="280" t="str">
        <f t="array" ref="O198">IFERROR( XLOOKUP(L198,'2. DATA NL, VTBB'!C:C,'2. DATA NL, VTBB'!E:E),"")</f>
        <v>Vi lượng Basel IDA 50</v>
      </c>
      <c r="P198" s="275" t="s">
        <v>565</v>
      </c>
      <c r="Q198" s="311"/>
      <c r="R198" s="291" t="s">
        <v>622</v>
      </c>
      <c r="S198" s="280"/>
      <c r="T198" s="277"/>
      <c r="U198" s="277"/>
      <c r="V198" s="283">
        <v>5000.0</v>
      </c>
      <c r="W198" s="275" t="s">
        <v>699</v>
      </c>
      <c r="X198" s="283">
        <v>5000.0</v>
      </c>
      <c r="Y198" s="274">
        <v>5005.0</v>
      </c>
      <c r="Z198" s="287">
        <v>3400.0</v>
      </c>
      <c r="AA198" s="285">
        <v>0.08</v>
      </c>
      <c r="AB198" s="282">
        <v>1.837836E7</v>
      </c>
      <c r="AC198" s="277"/>
      <c r="AD198" s="289">
        <v>46028.0</v>
      </c>
      <c r="AE198" s="272">
        <v>361.0</v>
      </c>
      <c r="AF198" s="277"/>
      <c r="AG198" s="277"/>
      <c r="AH198" s="294">
        <f>IFERROR(__xludf.DUMMYFUNCTION("IFERROR(INDEX( SORT(FILTER(
        {'1. DATA CHUNG'!$J$4:$J$105 , '1. DATA CHUNG'!$L$4:$L$105}, (TRIM('1. DATA CHUNG'!$I$4:$I$105)=TRIM(K198)) * IF(COUNTIFS('1. DATA CHUNG'!$I$4:$I$105,K198,'1. DATA CHUNG'!$M$4:$M$105,Q198), '1. DATA CHUNG'!$M$4:$M$105=Q"&amp;"198, 1) * ('1. DATA CHUNG'!$L$4:$L$105&lt;=TODAY()) ),   2, 0),  1, 1), 
  IFERROR( INDEX(FILTER('1. DATA CHUNG'!$J$4:$J$105, (TRIM('1. DATA CHUNG'!$I$4:$I$105)=TRIM(K198)) * IF(COUNTIFS('1. DATA CHUNG'!$I$4:$I$105,K198,'1. DATA CHUNG'!$M$4:$M$105,Q198), '1."&amp;" DATA CHUNG'!$M$4:$M$105=Q198, 1) * ('1. DATA CHUNG'!$L$4:$L$105="""")), 1), ""Không tìm thấy"" ))"),7.0)</f>
        <v>7</v>
      </c>
      <c r="AI198" s="273">
        <f t="shared" si="2"/>
        <v>46035</v>
      </c>
      <c r="AJ198" s="287"/>
      <c r="AK198" s="286">
        <f t="shared" si="3"/>
        <v>0</v>
      </c>
      <c r="AL198" s="287">
        <f t="shared" si="4"/>
        <v>0</v>
      </c>
      <c r="AM198" s="287">
        <f t="shared" si="5"/>
        <v>4</v>
      </c>
      <c r="AN198" s="279">
        <f t="shared" si="6"/>
        <v>6</v>
      </c>
      <c r="AO198" s="295" t="str">
        <f t="shared" si="7"/>
        <v>01/2026</v>
      </c>
      <c r="AP198" s="277" t="str">
        <f t="array" ref="AP198">IFERROR(XLOOKUP(L198,'2. DATA NL, VTBB'!C:C,'2. DATA NL, VTBB'!F:F),"")</f>
        <v>HH0233</v>
      </c>
      <c r="AQ198" s="277" t="str">
        <f t="array" ref="AQ198">IF(OR(K198="Nhãn", K198="Nhãn thùng",K198="Nhãn Túi"), K198 &amp; " " &amp; IFERROR(XLOOKUP(L198, '2. DATA NL, VTBB'!C:C, '2. DATA NL, VTBB'!E:E), ""), "")</f>
        <v/>
      </c>
      <c r="AR198" s="278" t="str">
        <f t="array" ref="AR198">IFERROR(XLOOKUP(L198,'2. DATA NL, VTBB'!C:C,'2. DATA NL, VTBB'!G:G),"")</f>
        <v>IDA Global - I - 873 - Chito - M55 (drone vàng) - 500ml - 40</v>
      </c>
      <c r="AS198" s="278" t="str">
        <f t="array" ref="AS198">IFERROR(XLOOKUP(L198,'2. DATA NL, VTBB'!C:C,'2. DATA NL, VTBB'!G:G),"")</f>
        <v>IDA Global - I - 873 - Chito - M55 (drone vàng) - 500ml - 40</v>
      </c>
      <c r="AT198" s="277"/>
    </row>
    <row r="199" ht="30.75" customHeight="1">
      <c r="A199" s="272">
        <f t="shared" si="44"/>
        <v>196</v>
      </c>
      <c r="B199" s="289">
        <v>46028.0</v>
      </c>
      <c r="C199" s="273">
        <v>46029.0</v>
      </c>
      <c r="D199" s="273">
        <f t="shared" si="47"/>
        <v>46031</v>
      </c>
      <c r="E199" s="289">
        <v>46031.0</v>
      </c>
      <c r="F199" s="274" t="s">
        <v>561</v>
      </c>
      <c r="G199" s="275" t="s">
        <v>562</v>
      </c>
      <c r="H199" s="274" t="s">
        <v>304</v>
      </c>
      <c r="I199" s="275" t="s">
        <v>744</v>
      </c>
      <c r="J199" s="279" t="s">
        <v>897</v>
      </c>
      <c r="K199" s="275" t="s">
        <v>730</v>
      </c>
      <c r="L199" s="277" t="s">
        <v>899</v>
      </c>
      <c r="M199" s="278" t="str">
        <f t="array" ref="M199">IFERROR(XLOOKUP(L199,'2. DATA NL, VTBB'!C:C,'2. DATA NL, VTBB'!D:D),"")</f>
        <v>Nắp PET cổ 38 (7.5g) - Màu bạc</v>
      </c>
      <c r="N199" s="280"/>
      <c r="O199" s="280" t="str">
        <f t="array" ref="O199">IFERROR( XLOOKUP(L199,'2. DATA NL, VTBB'!C:C,'2. DATA NL, VTBB'!E:E),"")</f>
        <v>Chitin 3.6EC</v>
      </c>
      <c r="P199" s="275" t="s">
        <v>565</v>
      </c>
      <c r="Q199" s="311"/>
      <c r="R199" s="291" t="s">
        <v>622</v>
      </c>
      <c r="S199" s="280"/>
      <c r="T199" s="277"/>
      <c r="U199" s="277"/>
      <c r="V199" s="283">
        <v>5000.0</v>
      </c>
      <c r="W199" s="275" t="s">
        <v>699</v>
      </c>
      <c r="X199" s="283">
        <v>5000.0</v>
      </c>
      <c r="Y199" s="274">
        <v>5005.0</v>
      </c>
      <c r="Z199" s="279">
        <v>750.0</v>
      </c>
      <c r="AA199" s="285">
        <v>0.08</v>
      </c>
      <c r="AB199" s="282">
        <v>4054050.0</v>
      </c>
      <c r="AC199" s="277"/>
      <c r="AD199" s="289">
        <v>46028.0</v>
      </c>
      <c r="AE199" s="272">
        <v>361.0</v>
      </c>
      <c r="AF199" s="277"/>
      <c r="AG199" s="277"/>
      <c r="AH199" s="294">
        <f>IFERROR(__xludf.DUMMYFUNCTION("IFERROR(INDEX( SORT(FILTER(
        {'1. DATA CHUNG'!$J$4:$J$105 , '1. DATA CHUNG'!$L$4:$L$105}, (TRIM('1. DATA CHUNG'!$I$4:$I$105)=TRIM(K199)) * IF(COUNTIFS('1. DATA CHUNG'!$I$4:$I$105,K199,'1. DATA CHUNG'!$M$4:$M$105,Q199), '1. DATA CHUNG'!$M$4:$M$105=Q"&amp;"199, 1) * ('1. DATA CHUNG'!$L$4:$L$105&lt;=TODAY()) ),   2, 0),  1, 1), 
  IFERROR( INDEX(FILTER('1. DATA CHUNG'!$J$4:$J$105, (TRIM('1. DATA CHUNG'!$I$4:$I$105)=TRIM(K199)) * IF(COUNTIFS('1. DATA CHUNG'!$I$4:$I$105,K199,'1. DATA CHUNG'!$M$4:$M$105,Q199), '1."&amp;" DATA CHUNG'!$M$4:$M$105=Q199, 1) * ('1. DATA CHUNG'!$L$4:$L$105="""")), 1), ""Không tìm thấy"" ))"),7.0)</f>
        <v>7</v>
      </c>
      <c r="AI199" s="273">
        <f t="shared" si="2"/>
        <v>46035</v>
      </c>
      <c r="AJ199" s="287"/>
      <c r="AK199" s="286">
        <f t="shared" si="3"/>
        <v>0</v>
      </c>
      <c r="AL199" s="287">
        <f t="shared" si="4"/>
        <v>0</v>
      </c>
      <c r="AM199" s="287">
        <f t="shared" si="5"/>
        <v>4</v>
      </c>
      <c r="AN199" s="279">
        <f t="shared" si="6"/>
        <v>6</v>
      </c>
      <c r="AO199" s="295" t="str">
        <f t="shared" si="7"/>
        <v>01/2026</v>
      </c>
      <c r="AP199" s="277" t="str">
        <f t="array" ref="AP199">IFERROR(XLOOKUP(L199,'2. DATA NL, VTBB'!C:C,'2. DATA NL, VTBB'!F:F),"")</f>
        <v>HH0168</v>
      </c>
      <c r="AQ199" s="277" t="str">
        <f t="array" ref="AQ199">IF(OR(K199="Nhãn", K199="Nhãn thùng",K199="Nhãn Túi"), K199 &amp; " " &amp; IFERROR(XLOOKUP(L199, '2. DATA NL, VTBB'!C:C, '2. DATA NL, VTBB'!E:E), ""), "")</f>
        <v/>
      </c>
      <c r="AR199" s="278" t="str">
        <f t="array" ref="AR199">IFERROR(XLOOKUP(L199,'2. DATA NL, VTBB'!C:C,'2. DATA NL, VTBB'!G:G),"")</f>
        <v>LOT IDA Global - I - 896 - ĐL Mỹ Xuyên - Thần Hổ 4.0 (Pet tròn) (nắp trắng)(nước nâu đen) - 450ml - 40</v>
      </c>
      <c r="AS199" s="278" t="str">
        <f t="array" ref="AS199">IFERROR(XLOOKUP(L199,'2. DATA NL, VTBB'!C:C,'2. DATA NL, VTBB'!G:G),"")</f>
        <v>LOT IDA Global - I - 896 - ĐL Mỹ Xuyên - Thần Hổ 4.0 (Pet tròn) (nắp trắng)(nước nâu đen) - 450ml - 40</v>
      </c>
      <c r="AT199" s="277"/>
    </row>
    <row r="200" ht="30.75" customHeight="1">
      <c r="A200" s="272">
        <f t="shared" si="44"/>
        <v>197</v>
      </c>
      <c r="B200" s="289">
        <v>46028.0</v>
      </c>
      <c r="C200" s="289">
        <v>46035.0</v>
      </c>
      <c r="D200" s="289">
        <f t="shared" ref="D200:D201" si="48">B200+15</f>
        <v>46043</v>
      </c>
      <c r="E200" s="289">
        <v>46038.0</v>
      </c>
      <c r="F200" s="274" t="s">
        <v>561</v>
      </c>
      <c r="G200" s="275" t="s">
        <v>562</v>
      </c>
      <c r="H200" s="274" t="s">
        <v>304</v>
      </c>
      <c r="I200" s="275" t="s">
        <v>305</v>
      </c>
      <c r="J200" s="279" t="s">
        <v>900</v>
      </c>
      <c r="K200" s="275" t="s">
        <v>301</v>
      </c>
      <c r="L200" s="277" t="s">
        <v>596</v>
      </c>
      <c r="M200" s="278" t="str">
        <f t="array" ref="M200">IFERROR(XLOOKUP(L200,'2. DATA NL, VTBB'!C:C,'2. DATA NL, VTBB'!D:D),"")</f>
        <v>Thùng chung Chai HDPE 500ml x 40 chai  (64.5x40.5x19cm) - Nâu trơn</v>
      </c>
      <c r="N200" s="280"/>
      <c r="O200" s="280" t="str">
        <f t="array" ref="O200">IFERROR( XLOOKUP(L200,'2. DATA NL, VTBB'!C:C,'2. DATA NL, VTBB'!E:E),"")</f>
        <v>Centertaner 500WP</v>
      </c>
      <c r="P200" s="275" t="s">
        <v>565</v>
      </c>
      <c r="Q200" s="311"/>
      <c r="R200" s="290" t="s">
        <v>566</v>
      </c>
      <c r="S200" s="280"/>
      <c r="T200" s="277"/>
      <c r="U200" s="277"/>
      <c r="V200" s="283">
        <v>300.0</v>
      </c>
      <c r="W200" s="275" t="s">
        <v>699</v>
      </c>
      <c r="X200" s="283">
        <v>300.0</v>
      </c>
      <c r="Y200" s="274">
        <v>333.0</v>
      </c>
      <c r="Z200" s="279">
        <v>21500.0</v>
      </c>
      <c r="AA200" s="285">
        <v>0.08</v>
      </c>
      <c r="AB200" s="282">
        <v>7732260.0</v>
      </c>
      <c r="AC200" s="277"/>
      <c r="AD200" s="289">
        <v>46028.0</v>
      </c>
      <c r="AE200" s="272">
        <v>150.0</v>
      </c>
      <c r="AF200" s="277"/>
      <c r="AG200" s="277"/>
      <c r="AH200" s="294">
        <f>IFERROR(__xludf.DUMMYFUNCTION("IFERROR(INDEX( SORT(FILTER(
        {'1. DATA CHUNG'!$J$4:$J$105 , '1. DATA CHUNG'!$L$4:$L$105}, (TRIM('1. DATA CHUNG'!$I$4:$I$105)=TRIM(K200)) * IF(COUNTIFS('1. DATA CHUNG'!$I$4:$I$105,K200,'1. DATA CHUNG'!$M$4:$M$105,Q200), '1. DATA CHUNG'!$M$4:$M$105=Q"&amp;"200, 1) * ('1. DATA CHUNG'!$L$4:$L$105&lt;=TODAY()) ),   2, 0),  1, 1), 
  IFERROR( INDEX(FILTER('1. DATA CHUNG'!$J$4:$J$105, (TRIM('1. DATA CHUNG'!$I$4:$I$105)=TRIM(K200)) * IF(COUNTIFS('1. DATA CHUNG'!$I$4:$I$105,K200,'1. DATA CHUNG'!$M$4:$M$105,Q200), '1."&amp;" DATA CHUNG'!$M$4:$M$105=Q200, 1) * ('1. DATA CHUNG'!$L$4:$L$105="""")), 1), ""Không tìm thấy"" ))"),18.0)</f>
        <v>18</v>
      </c>
      <c r="AI200" s="273">
        <f t="shared" si="2"/>
        <v>46046</v>
      </c>
      <c r="AJ200" s="287"/>
      <c r="AK200" s="286">
        <f t="shared" si="3"/>
        <v>0</v>
      </c>
      <c r="AL200" s="287">
        <f t="shared" si="4"/>
        <v>5</v>
      </c>
      <c r="AM200" s="287">
        <f t="shared" si="5"/>
        <v>8</v>
      </c>
      <c r="AN200" s="279">
        <f t="shared" si="6"/>
        <v>11</v>
      </c>
      <c r="AO200" s="295" t="str">
        <f t="shared" si="7"/>
        <v>01/2026</v>
      </c>
      <c r="AP200" s="277" t="str">
        <f t="array" ref="AP200">IFERROR(XLOOKUP(L200,'2. DATA NL, VTBB'!C:C,'2. DATA NL, VTBB'!F:F),"")</f>
        <v>HH0274</v>
      </c>
      <c r="AQ200" s="277" t="str">
        <f t="array" ref="AQ200">IF(OR(K200="Nhãn", K200="Nhãn thùng",K200="Nhãn Túi"), K200 &amp; " " &amp; IFERROR(XLOOKUP(L200, '2. DATA NL, VTBB'!C:C, '2. DATA NL, VTBB'!E:E), ""), "")</f>
        <v/>
      </c>
      <c r="AR200" s="278" t="str">
        <f t="array" ref="AR200">IFERROR(XLOOKUP(L200,'2. DATA NL, VTBB'!C:C,'2. DATA NL, VTBB'!G:G),"")</f>
        <v>IDA Global - I - 690 - Centertaner 500 WP (túi nhôm) - 12 gr - 400</v>
      </c>
      <c r="AS200" s="278" t="str">
        <f t="array" ref="AS200">IFERROR(XLOOKUP(L200,'2. DATA NL, VTBB'!C:C,'2. DATA NL, VTBB'!G:G),"")</f>
        <v>IDA Global - I - 690 - Centertaner 500 WP (túi nhôm) - 12 gr - 400</v>
      </c>
      <c r="AT200" s="277"/>
    </row>
    <row r="201" ht="30.75" customHeight="1">
      <c r="A201" s="272">
        <f t="shared" si="44"/>
        <v>198</v>
      </c>
      <c r="B201" s="289">
        <v>46028.0</v>
      </c>
      <c r="C201" s="289">
        <v>46035.0</v>
      </c>
      <c r="D201" s="289">
        <f t="shared" si="48"/>
        <v>46043</v>
      </c>
      <c r="E201" s="289">
        <v>46039.0</v>
      </c>
      <c r="F201" s="274" t="s">
        <v>561</v>
      </c>
      <c r="G201" s="275" t="s">
        <v>562</v>
      </c>
      <c r="H201" s="274" t="s">
        <v>304</v>
      </c>
      <c r="I201" s="275" t="s">
        <v>305</v>
      </c>
      <c r="J201" s="279" t="s">
        <v>901</v>
      </c>
      <c r="K201" s="275" t="s">
        <v>301</v>
      </c>
      <c r="L201" s="277" t="s">
        <v>902</v>
      </c>
      <c r="M201" s="278" t="str">
        <f t="array" ref="M201">IFERROR(XLOOKUP(L201,'2. DATA NL, VTBB'!C:C,'2. DATA NL, VTBB'!D:D),"")</f>
        <v>Thùng Thiên Di chai HD logo Thiên Di 500ml x 40 chai (64.5x40.5x18.5cm) KTPB - Trắng viền xanh lá</v>
      </c>
      <c r="N201" s="280"/>
      <c r="O201" s="280" t="str">
        <f t="array" ref="O201">IFERROR( XLOOKUP(L201,'2. DATA NL, VTBB'!C:C,'2. DATA NL, VTBB'!E:E),"")</f>
        <v>Centertaner 500WP</v>
      </c>
      <c r="P201" s="275" t="s">
        <v>565</v>
      </c>
      <c r="Q201" s="311"/>
      <c r="R201" s="290" t="s">
        <v>566</v>
      </c>
      <c r="S201" s="280"/>
      <c r="T201" s="277"/>
      <c r="U201" s="277"/>
      <c r="V201" s="283">
        <v>100.0</v>
      </c>
      <c r="W201" s="275" t="s">
        <v>699</v>
      </c>
      <c r="X201" s="283">
        <v>100.0</v>
      </c>
      <c r="Y201" s="274">
        <v>115.0</v>
      </c>
      <c r="Z201" s="287">
        <v>24800.0</v>
      </c>
      <c r="AA201" s="285">
        <v>0.08</v>
      </c>
      <c r="AB201" s="282">
        <v>3080160.0</v>
      </c>
      <c r="AC201" s="277"/>
      <c r="AD201" s="289">
        <v>46028.0</v>
      </c>
      <c r="AE201" s="272">
        <v>153.0</v>
      </c>
      <c r="AF201" s="277"/>
      <c r="AG201" s="277"/>
      <c r="AH201" s="294">
        <f>IFERROR(__xludf.DUMMYFUNCTION("IFERROR(INDEX( SORT(FILTER(
        {'1. DATA CHUNG'!$J$4:$J$105 , '1. DATA CHUNG'!$L$4:$L$105}, (TRIM('1. DATA CHUNG'!$I$4:$I$105)=TRIM(K201)) * IF(COUNTIFS('1. DATA CHUNG'!$I$4:$I$105,K201,'1. DATA CHUNG'!$M$4:$M$105,Q201), '1. DATA CHUNG'!$M$4:$M$105=Q"&amp;"201, 1) * ('1. DATA CHUNG'!$L$4:$L$105&lt;=TODAY()) ),   2, 0),  1, 1), 
  IFERROR( INDEX(FILTER('1. DATA CHUNG'!$J$4:$J$105, (TRIM('1. DATA CHUNG'!$I$4:$I$105)=TRIM(K201)) * IF(COUNTIFS('1. DATA CHUNG'!$I$4:$I$105,K201,'1. DATA CHUNG'!$M$4:$M$105,Q201), '1."&amp;" DATA CHUNG'!$M$4:$M$105=Q201, 1) * ('1. DATA CHUNG'!$L$4:$L$105="""")), 1), ""Không tìm thấy"" ))"),18.0)</f>
        <v>18</v>
      </c>
      <c r="AI201" s="273">
        <f t="shared" si="2"/>
        <v>46046</v>
      </c>
      <c r="AJ201" s="287"/>
      <c r="AK201" s="286">
        <f t="shared" si="3"/>
        <v>0</v>
      </c>
      <c r="AL201" s="287">
        <f t="shared" si="4"/>
        <v>4</v>
      </c>
      <c r="AM201" s="287">
        <f t="shared" si="5"/>
        <v>7</v>
      </c>
      <c r="AN201" s="279">
        <f t="shared" si="6"/>
        <v>11</v>
      </c>
      <c r="AO201" s="295" t="str">
        <f t="shared" si="7"/>
        <v>01/2026</v>
      </c>
      <c r="AP201" s="277" t="str">
        <f t="array" ref="AP201">IFERROR(XLOOKUP(L201,'2. DATA NL, VTBB'!C:C,'2. DATA NL, VTBB'!F:F),"")</f>
        <v>HH0272</v>
      </c>
      <c r="AQ201" s="277" t="str">
        <f t="array" ref="AQ201">IF(OR(K201="Nhãn", K201="Nhãn thùng",K201="Nhãn Túi"), K201 &amp; " " &amp; IFERROR(XLOOKUP(L201, '2. DATA NL, VTBB'!C:C, '2. DATA NL, VTBB'!E:E), ""), "")</f>
        <v/>
      </c>
      <c r="AR201" s="278" t="str">
        <f t="array" ref="AR201">IFERROR(XLOOKUP(L201,'2. DATA NL, VTBB'!C:C,'2. DATA NL, VTBB'!G:G),"")</f>
        <v>IDA Global - I - 690 - Centertaner 500 WP (túi nhôm) - 12 gr - 400</v>
      </c>
      <c r="AS201" s="278" t="str">
        <f t="array" ref="AS201">IFERROR(XLOOKUP(L201,'2. DATA NL, VTBB'!C:C,'2. DATA NL, VTBB'!G:G),"")</f>
        <v>IDA Global - I - 690 - Centertaner 500 WP (túi nhôm) - 12 gr - 400</v>
      </c>
      <c r="AT201" s="277"/>
    </row>
    <row r="202" ht="30.75" customHeight="1">
      <c r="A202" s="272">
        <f t="shared" si="44"/>
        <v>199</v>
      </c>
      <c r="B202" s="289">
        <v>46029.0</v>
      </c>
      <c r="C202" s="273">
        <v>46030.0</v>
      </c>
      <c r="D202" s="273">
        <f t="shared" ref="D202:D205" si="49">B202+3</f>
        <v>46032</v>
      </c>
      <c r="E202" s="289">
        <v>46030.0</v>
      </c>
      <c r="F202" s="274" t="s">
        <v>561</v>
      </c>
      <c r="G202" s="275" t="s">
        <v>562</v>
      </c>
      <c r="H202" s="274" t="s">
        <v>304</v>
      </c>
      <c r="I202" s="275" t="s">
        <v>765</v>
      </c>
      <c r="J202" s="279" t="s">
        <v>903</v>
      </c>
      <c r="K202" s="275" t="s">
        <v>728</v>
      </c>
      <c r="L202" s="277" t="s">
        <v>904</v>
      </c>
      <c r="M202" s="278" t="str">
        <f t="array" ref="M202">IFERROR(XLOOKUP(L202,'2. DATA NL, VTBB'!C:C,'2. DATA NL, VTBB'!D:D),"")</f>
        <v>Chai HDPE tròn cổ 63 500ml (80g) - Trắng</v>
      </c>
      <c r="N202" s="280"/>
      <c r="O202" s="280" t="str">
        <f t="array" ref="O202">IFERROR( XLOOKUP(L202,'2. DATA NL, VTBB'!C:C,'2. DATA NL, VTBB'!E:E),"")</f>
        <v>Chitin 3.6EC</v>
      </c>
      <c r="P202" s="275" t="s">
        <v>565</v>
      </c>
      <c r="Q202" s="311"/>
      <c r="R202" s="290" t="s">
        <v>566</v>
      </c>
      <c r="S202" s="280"/>
      <c r="T202" s="277"/>
      <c r="U202" s="277"/>
      <c r="V202" s="283">
        <v>400.0</v>
      </c>
      <c r="W202" s="275" t="s">
        <v>699</v>
      </c>
      <c r="X202" s="283">
        <v>400.0</v>
      </c>
      <c r="Y202" s="274">
        <v>400.0</v>
      </c>
      <c r="Z202" s="279">
        <v>2900.0</v>
      </c>
      <c r="AA202" s="285">
        <v>0.08</v>
      </c>
      <c r="AB202" s="282">
        <v>1252800.0</v>
      </c>
      <c r="AC202" s="277"/>
      <c r="AD202" s="289">
        <v>46029.0</v>
      </c>
      <c r="AE202" s="312"/>
      <c r="AF202" s="277"/>
      <c r="AG202" s="277"/>
      <c r="AH202" s="294">
        <f>IFERROR(__xludf.DUMMYFUNCTION("IFERROR(INDEX( SORT(FILTER(
        {'1. DATA CHUNG'!$J$4:$J$105 , '1. DATA CHUNG'!$L$4:$L$105}, (TRIM('1. DATA CHUNG'!$I$4:$I$105)=TRIM(K202)) * IF(COUNTIFS('1. DATA CHUNG'!$I$4:$I$105,K202,'1. DATA CHUNG'!$M$4:$M$105,Q202), '1. DATA CHUNG'!$M$4:$M$105=Q"&amp;"202, 1) * ('1. DATA CHUNG'!$L$4:$L$105&lt;=TODAY()) ),   2, 0),  1, 1), 
  IFERROR( INDEX(FILTER('1. DATA CHUNG'!$J$4:$J$105, (TRIM('1. DATA CHUNG'!$I$4:$I$105)=TRIM(K202)) * IF(COUNTIFS('1. DATA CHUNG'!$I$4:$I$105,K202,'1. DATA CHUNG'!$M$4:$M$105,Q202), '1."&amp;" DATA CHUNG'!$M$4:$M$105=Q202, 1) * ('1. DATA CHUNG'!$L$4:$L$105="""")), 1), ""Không tìm thấy"" ))"),7.0)</f>
        <v>7</v>
      </c>
      <c r="AI202" s="273">
        <f t="shared" si="2"/>
        <v>46036</v>
      </c>
      <c r="AJ202" s="287"/>
      <c r="AK202" s="286">
        <f t="shared" si="3"/>
        <v>0</v>
      </c>
      <c r="AL202" s="287">
        <f t="shared" si="4"/>
        <v>2</v>
      </c>
      <c r="AM202" s="287">
        <f t="shared" si="5"/>
        <v>6</v>
      </c>
      <c r="AN202" s="279">
        <f t="shared" si="6"/>
        <v>6</v>
      </c>
      <c r="AO202" s="295" t="str">
        <f t="shared" si="7"/>
        <v>01/2026</v>
      </c>
      <c r="AP202" s="277" t="str">
        <f t="array" ref="AP202">IFERROR(XLOOKUP(L202,'2. DATA NL, VTBB'!C:C,'2. DATA NL, VTBB'!F:F),"")</f>
        <v>HH0228</v>
      </c>
      <c r="AQ202" s="277" t="str">
        <f t="array" ref="AQ202">IF(OR(K202="Nhãn", K202="Nhãn thùng",K202="Nhãn Túi"), K202 &amp; " " &amp; IFERROR(XLOOKUP(L202, '2. DATA NL, VTBB'!C:C, '2. DATA NL, VTBB'!E:E), ""), "")</f>
        <v/>
      </c>
      <c r="AR202" s="278" t="str">
        <f t="array" ref="AR202">IFERROR(XLOOKUP(L202,'2. DATA NL, VTBB'!C:C,'2. DATA NL, VTBB'!G:G),"")</f>
        <v>LOT IDA Global - I - 869 - ĐL Phú Nông - Vua 3.6 (Pet tròn) (nắp đỏ)(nước nâu đen) - 450ml - 40</v>
      </c>
      <c r="AS202" s="278" t="str">
        <f t="array" ref="AS202">IFERROR(XLOOKUP(L202,'2. DATA NL, VTBB'!C:C,'2. DATA NL, VTBB'!G:G),"")</f>
        <v>LOT IDA Global - I - 869 - ĐL Phú Nông - Vua 3.6 (Pet tròn) (nắp đỏ)(nước nâu đen) - 450ml - 40</v>
      </c>
      <c r="AT202" s="277"/>
    </row>
    <row r="203" ht="30.75" customHeight="1">
      <c r="A203" s="272">
        <f t="shared" si="44"/>
        <v>200</v>
      </c>
      <c r="B203" s="289">
        <v>46029.0</v>
      </c>
      <c r="C203" s="273">
        <v>46030.0</v>
      </c>
      <c r="D203" s="273">
        <f t="shared" si="49"/>
        <v>46032</v>
      </c>
      <c r="E203" s="289">
        <v>46030.0</v>
      </c>
      <c r="F203" s="274" t="s">
        <v>561</v>
      </c>
      <c r="G203" s="275" t="s">
        <v>562</v>
      </c>
      <c r="H203" s="274" t="s">
        <v>304</v>
      </c>
      <c r="I203" s="275" t="s">
        <v>765</v>
      </c>
      <c r="J203" s="279" t="s">
        <v>903</v>
      </c>
      <c r="K203" s="275" t="s">
        <v>730</v>
      </c>
      <c r="L203" s="277" t="s">
        <v>905</v>
      </c>
      <c r="M203" s="278" t="str">
        <f t="array" ref="M203">IFERROR(XLOOKUP(L203,'2. DATA NL, VTBB'!C:C,'2. DATA NL, VTBB'!D:D),"")</f>
        <v>Nắp HDPE tròn cổ 63 Trắng</v>
      </c>
      <c r="N203" s="280"/>
      <c r="O203" s="280" t="str">
        <f t="array" ref="O203">IFERROR( XLOOKUP(L203,'2. DATA NL, VTBB'!C:C,'2. DATA NL, VTBB'!E:E),"")</f>
        <v>Chitin 3.6EC</v>
      </c>
      <c r="P203" s="275" t="s">
        <v>565</v>
      </c>
      <c r="Q203" s="311"/>
      <c r="R203" s="290" t="s">
        <v>566</v>
      </c>
      <c r="S203" s="280"/>
      <c r="T203" s="277"/>
      <c r="U203" s="277"/>
      <c r="V203" s="283">
        <v>400.0</v>
      </c>
      <c r="W203" s="275" t="s">
        <v>699</v>
      </c>
      <c r="X203" s="283">
        <v>400.0</v>
      </c>
      <c r="Y203" s="274">
        <v>400.0</v>
      </c>
      <c r="Z203" s="279">
        <v>1350.0</v>
      </c>
      <c r="AA203" s="285">
        <v>0.08</v>
      </c>
      <c r="AB203" s="282">
        <v>583200.0</v>
      </c>
      <c r="AC203" s="277"/>
      <c r="AD203" s="289">
        <v>46029.0</v>
      </c>
      <c r="AE203" s="312"/>
      <c r="AF203" s="277"/>
      <c r="AG203" s="277"/>
      <c r="AH203" s="294">
        <f>IFERROR(__xludf.DUMMYFUNCTION("IFERROR(INDEX( SORT(FILTER(
        {'1. DATA CHUNG'!$J$4:$J$105 , '1. DATA CHUNG'!$L$4:$L$105}, (TRIM('1. DATA CHUNG'!$I$4:$I$105)=TRIM(K203)) * IF(COUNTIFS('1. DATA CHUNG'!$I$4:$I$105,K203,'1. DATA CHUNG'!$M$4:$M$105,Q203), '1. DATA CHUNG'!$M$4:$M$105=Q"&amp;"203, 1) * ('1. DATA CHUNG'!$L$4:$L$105&lt;=TODAY()) ),   2, 0),  1, 1), 
  IFERROR( INDEX(FILTER('1. DATA CHUNG'!$J$4:$J$105, (TRIM('1. DATA CHUNG'!$I$4:$I$105)=TRIM(K203)) * IF(COUNTIFS('1. DATA CHUNG'!$I$4:$I$105,K203,'1. DATA CHUNG'!$M$4:$M$105,Q203), '1."&amp;" DATA CHUNG'!$M$4:$M$105=Q203, 1) * ('1. DATA CHUNG'!$L$4:$L$105="""")), 1), ""Không tìm thấy"" ))"),7.0)</f>
        <v>7</v>
      </c>
      <c r="AI203" s="273">
        <f t="shared" si="2"/>
        <v>46036</v>
      </c>
      <c r="AJ203" s="287"/>
      <c r="AK203" s="286">
        <f t="shared" si="3"/>
        <v>0</v>
      </c>
      <c r="AL203" s="287">
        <f t="shared" si="4"/>
        <v>2</v>
      </c>
      <c r="AM203" s="287">
        <f t="shared" si="5"/>
        <v>6</v>
      </c>
      <c r="AN203" s="279">
        <f t="shared" si="6"/>
        <v>6</v>
      </c>
      <c r="AO203" s="295" t="str">
        <f t="shared" si="7"/>
        <v>01/2026</v>
      </c>
      <c r="AP203" s="277" t="str">
        <f t="array" ref="AP203">IFERROR(XLOOKUP(L203,'2. DATA NL, VTBB'!C:C,'2. DATA NL, VTBB'!F:F),"")</f>
        <v>HH0152</v>
      </c>
      <c r="AQ203" s="277" t="str">
        <f t="array" ref="AQ203">IF(OR(K203="Nhãn", K203="Nhãn thùng",K203="Nhãn Túi"), K203 &amp; " " &amp; IFERROR(XLOOKUP(L203, '2. DATA NL, VTBB'!C:C, '2. DATA NL, VTBB'!E:E), ""), "")</f>
        <v/>
      </c>
      <c r="AR203" s="278" t="str">
        <f t="array" ref="AR203">IFERROR(XLOOKUP(L203,'2. DATA NL, VTBB'!C:C,'2. DATA NL, VTBB'!G:G),"")</f>
        <v>LOT IDA Global - I - 869 - ĐL Phú Nông - Vua 3.6 (Pet tròn) (nắp đỏ)(nước nâu đen) - 450ml - 40</v>
      </c>
      <c r="AS203" s="278" t="str">
        <f t="array" ref="AS203">IFERROR(XLOOKUP(L203,'2. DATA NL, VTBB'!C:C,'2. DATA NL, VTBB'!G:G),"")</f>
        <v>LOT IDA Global - I - 869 - ĐL Phú Nông - Vua 3.6 (Pet tròn) (nắp đỏ)(nước nâu đen) - 450ml - 40</v>
      </c>
      <c r="AT203" s="277"/>
    </row>
    <row r="204" ht="30.75" customHeight="1">
      <c r="A204" s="272">
        <f t="shared" si="44"/>
        <v>201</v>
      </c>
      <c r="B204" s="289">
        <v>46029.0</v>
      </c>
      <c r="C204" s="273">
        <v>46030.0</v>
      </c>
      <c r="D204" s="273">
        <f t="shared" si="49"/>
        <v>46032</v>
      </c>
      <c r="E204" s="289">
        <v>46030.0</v>
      </c>
      <c r="F204" s="274" t="s">
        <v>561</v>
      </c>
      <c r="G204" s="275" t="s">
        <v>580</v>
      </c>
      <c r="H204" s="274" t="s">
        <v>304</v>
      </c>
      <c r="I204" s="275" t="s">
        <v>726</v>
      </c>
      <c r="J204" s="279" t="s">
        <v>906</v>
      </c>
      <c r="K204" s="275" t="s">
        <v>728</v>
      </c>
      <c r="L204" s="277" t="s">
        <v>742</v>
      </c>
      <c r="M204" s="278" t="str">
        <f t="array" ref="M204">IFERROR(XLOOKUP(L204,'2. DATA NL, VTBB'!C:C,'2. DATA NL, VTBB'!D:D),"")</f>
        <v>PN - Chai HDPE tròn cổ 45 1Lít (110g) - Trắng (không ganty)</v>
      </c>
      <c r="N204" s="280"/>
      <c r="O204" s="280" t="str">
        <f t="array" ref="O204">IFERROR( XLOOKUP(L204,'2. DATA NL, VTBB'!C:C,'2. DATA NL, VTBB'!E:E),"")</f>
        <v>CA MAP 350SC</v>
      </c>
      <c r="P204" s="275" t="s">
        <v>565</v>
      </c>
      <c r="Q204" s="311"/>
      <c r="R204" s="291" t="s">
        <v>573</v>
      </c>
      <c r="S204" s="280"/>
      <c r="T204" s="277"/>
      <c r="U204" s="277"/>
      <c r="V204" s="283">
        <v>1000.0</v>
      </c>
      <c r="W204" s="275" t="s">
        <v>699</v>
      </c>
      <c r="X204" s="283">
        <v>1000.0</v>
      </c>
      <c r="Y204" s="274">
        <v>1050.0</v>
      </c>
      <c r="Z204" s="287">
        <v>4700.0</v>
      </c>
      <c r="AA204" s="285">
        <v>0.08</v>
      </c>
      <c r="AB204" s="282">
        <v>5329800.0</v>
      </c>
      <c r="AC204" s="277"/>
      <c r="AD204" s="289">
        <v>46029.0</v>
      </c>
      <c r="AE204" s="272">
        <v>84.0</v>
      </c>
      <c r="AF204" s="277"/>
      <c r="AG204" s="277"/>
      <c r="AH204" s="294">
        <f>IFERROR(__xludf.DUMMYFUNCTION("IFERROR(INDEX( SORT(FILTER(
        {'1. DATA CHUNG'!$J$4:$J$105 , '1. DATA CHUNG'!$L$4:$L$105}, (TRIM('1. DATA CHUNG'!$I$4:$I$105)=TRIM(K204)) * IF(COUNTIFS('1. DATA CHUNG'!$I$4:$I$105,K204,'1. DATA CHUNG'!$M$4:$M$105,Q204), '1. DATA CHUNG'!$M$4:$M$105=Q"&amp;"204, 1) * ('1. DATA CHUNG'!$L$4:$L$105&lt;=TODAY()) ),   2, 0),  1, 1), 
  IFERROR( INDEX(FILTER('1. DATA CHUNG'!$J$4:$J$105, (TRIM('1. DATA CHUNG'!$I$4:$I$105)=TRIM(K204)) * IF(COUNTIFS('1. DATA CHUNG'!$I$4:$I$105,K204,'1. DATA CHUNG'!$M$4:$M$105,Q204), '1."&amp;" DATA CHUNG'!$M$4:$M$105=Q204, 1) * ('1. DATA CHUNG'!$L$4:$L$105="""")), 1), ""Không tìm thấy"" ))"),7.0)</f>
        <v>7</v>
      </c>
      <c r="AI204" s="273">
        <f t="shared" si="2"/>
        <v>46036</v>
      </c>
      <c r="AJ204" s="287"/>
      <c r="AK204" s="286">
        <f t="shared" si="3"/>
        <v>0</v>
      </c>
      <c r="AL204" s="287">
        <f t="shared" si="4"/>
        <v>2</v>
      </c>
      <c r="AM204" s="287">
        <f t="shared" si="5"/>
        <v>6</v>
      </c>
      <c r="AN204" s="279">
        <f t="shared" si="6"/>
        <v>6</v>
      </c>
      <c r="AO204" s="295" t="str">
        <f t="shared" si="7"/>
        <v>01/2026</v>
      </c>
      <c r="AP204" s="277" t="str">
        <f t="array" ref="AP204">IFERROR(XLOOKUP(L204,'2. DATA NL, VTBB'!C:C,'2. DATA NL, VTBB'!F:F),"")</f>
        <v>HH0151</v>
      </c>
      <c r="AQ204" s="277" t="str">
        <f t="array" ref="AQ204">IF(OR(K204="Nhãn", K204="Nhãn thùng",K204="Nhãn Túi"), K204 &amp; " " &amp; IFERROR(XLOOKUP(L204, '2. DATA NL, VTBB'!C:C, '2. DATA NL, VTBB'!E:E), ""), "")</f>
        <v/>
      </c>
      <c r="AR204" s="278" t="str">
        <f t="array" ref="AR204">IFERROR(XLOOKUP(L204,'2. DATA NL, VTBB'!C:C,'2. DATA NL, VTBB'!G:G),"")</f>
        <v>IDA Global - I - 725 - Cá mập 350SC (chai HD) - 100ml - 100 ([btp],t,c)</v>
      </c>
      <c r="AS204" s="278" t="str">
        <f t="array" ref="AS204">IFERROR(XLOOKUP(L204,'2. DATA NL, VTBB'!C:C,'2. DATA NL, VTBB'!G:G),"")</f>
        <v>IDA Global - I - 725 - Cá mập 350SC (chai HD) - 100ml - 100 ([btp],t,c)</v>
      </c>
      <c r="AT204" s="277"/>
    </row>
    <row r="205" ht="30.75" customHeight="1">
      <c r="A205" s="272">
        <f t="shared" si="44"/>
        <v>202</v>
      </c>
      <c r="B205" s="289">
        <v>46029.0</v>
      </c>
      <c r="C205" s="273">
        <v>46030.0</v>
      </c>
      <c r="D205" s="273">
        <f t="shared" si="49"/>
        <v>46032</v>
      </c>
      <c r="E205" s="289">
        <v>46030.0</v>
      </c>
      <c r="F205" s="274" t="s">
        <v>561</v>
      </c>
      <c r="G205" s="275" t="s">
        <v>580</v>
      </c>
      <c r="H205" s="274" t="s">
        <v>304</v>
      </c>
      <c r="I205" s="275" t="s">
        <v>726</v>
      </c>
      <c r="J205" s="279" t="s">
        <v>906</v>
      </c>
      <c r="K205" s="275" t="s">
        <v>730</v>
      </c>
      <c r="L205" s="277" t="s">
        <v>741</v>
      </c>
      <c r="M205" s="278" t="str">
        <f t="array" ref="M205">IFERROR(XLOOKUP(L205,'2. DATA NL, VTBB'!C:C,'2. DATA NL, VTBB'!D:D),"")</f>
        <v>PN- Nắp HDPE cổ 45 (8g) - Xanh Lá (không ganty)</v>
      </c>
      <c r="N205" s="280"/>
      <c r="O205" s="280" t="str">
        <f t="array" ref="O205">IFERROR( XLOOKUP(L205,'2. DATA NL, VTBB'!C:C,'2. DATA NL, VTBB'!E:E),"")</f>
        <v>Chitin 3.6EC</v>
      </c>
      <c r="P205" s="275" t="s">
        <v>565</v>
      </c>
      <c r="Q205" s="311"/>
      <c r="R205" s="291" t="s">
        <v>573</v>
      </c>
      <c r="S205" s="280"/>
      <c r="T205" s="277"/>
      <c r="U205" s="277"/>
      <c r="V205" s="283">
        <v>1000.0</v>
      </c>
      <c r="W205" s="275" t="s">
        <v>699</v>
      </c>
      <c r="X205" s="283">
        <v>1000.0</v>
      </c>
      <c r="Y205" s="274">
        <v>1050.0</v>
      </c>
      <c r="Z205" s="287">
        <v>900.0</v>
      </c>
      <c r="AA205" s="285">
        <v>0.08</v>
      </c>
      <c r="AB205" s="282">
        <v>1020600.0</v>
      </c>
      <c r="AC205" s="277"/>
      <c r="AD205" s="289">
        <v>46029.0</v>
      </c>
      <c r="AE205" s="272">
        <v>84.0</v>
      </c>
      <c r="AF205" s="277"/>
      <c r="AG205" s="277"/>
      <c r="AH205" s="294">
        <f>IFERROR(__xludf.DUMMYFUNCTION("IFERROR(INDEX( SORT(FILTER(
        {'1. DATA CHUNG'!$J$4:$J$105 , '1. DATA CHUNG'!$L$4:$L$105}, (TRIM('1. DATA CHUNG'!$I$4:$I$105)=TRIM(K205)) * IF(COUNTIFS('1. DATA CHUNG'!$I$4:$I$105,K205,'1. DATA CHUNG'!$M$4:$M$105,Q205), '1. DATA CHUNG'!$M$4:$M$105=Q"&amp;"205, 1) * ('1. DATA CHUNG'!$L$4:$L$105&lt;=TODAY()) ),   2, 0),  1, 1), 
  IFERROR( INDEX(FILTER('1. DATA CHUNG'!$J$4:$J$105, (TRIM('1. DATA CHUNG'!$I$4:$I$105)=TRIM(K205)) * IF(COUNTIFS('1. DATA CHUNG'!$I$4:$I$105,K205,'1. DATA CHUNG'!$M$4:$M$105,Q205), '1."&amp;" DATA CHUNG'!$M$4:$M$105=Q205, 1) * ('1. DATA CHUNG'!$L$4:$L$105="""")), 1), ""Không tìm thấy"" ))"),7.0)</f>
        <v>7</v>
      </c>
      <c r="AI205" s="273">
        <f t="shared" si="2"/>
        <v>46036</v>
      </c>
      <c r="AJ205" s="287"/>
      <c r="AK205" s="286">
        <f t="shared" si="3"/>
        <v>0</v>
      </c>
      <c r="AL205" s="287">
        <f t="shared" si="4"/>
        <v>2</v>
      </c>
      <c r="AM205" s="287">
        <f t="shared" si="5"/>
        <v>6</v>
      </c>
      <c r="AN205" s="279">
        <f t="shared" si="6"/>
        <v>6</v>
      </c>
      <c r="AO205" s="295" t="str">
        <f t="shared" si="7"/>
        <v>01/2026</v>
      </c>
      <c r="AP205" s="277" t="str">
        <f t="array" ref="AP205">IFERROR(XLOOKUP(L205,'2. DATA NL, VTBB'!C:C,'2. DATA NL, VTBB'!F:F),"")</f>
        <v>HH0159</v>
      </c>
      <c r="AQ205" s="277" t="str">
        <f t="array" ref="AQ205">IF(OR(K205="Nhãn", K205="Nhãn thùng",K205="Nhãn Túi"), K205 &amp; " " &amp; IFERROR(XLOOKUP(L205, '2. DATA NL, VTBB'!C:C, '2. DATA NL, VTBB'!E:E), ""), "")</f>
        <v/>
      </c>
      <c r="AR205" s="278" t="str">
        <f t="array" ref="AR205">IFERROR(XLOOKUP(L205,'2. DATA NL, VTBB'!C:C,'2. DATA NL, VTBB'!G:G),"")</f>
        <v>LOT IDA Global - I - 882 - CT Notraco - Avermectin (Pet tròn) (nắp vàng)(nước nâu đen) - 450ml - 40</v>
      </c>
      <c r="AS205" s="278" t="str">
        <f t="array" ref="AS205">IFERROR(XLOOKUP(L205,'2. DATA NL, VTBB'!C:C,'2. DATA NL, VTBB'!G:G),"")</f>
        <v>LOT IDA Global - I - 882 - CT Notraco - Avermectin (Pet tròn) (nắp vàng)(nước nâu đen) - 450ml - 40</v>
      </c>
      <c r="AT205" s="277"/>
    </row>
    <row r="206" ht="30.75" customHeight="1">
      <c r="A206" s="272">
        <f t="shared" si="44"/>
        <v>203</v>
      </c>
      <c r="B206" s="289">
        <v>46038.0</v>
      </c>
      <c r="C206" s="289">
        <v>46050.0</v>
      </c>
      <c r="D206" s="289">
        <v>46057.0</v>
      </c>
      <c r="E206" s="289">
        <v>46058.0</v>
      </c>
      <c r="F206" s="274" t="s">
        <v>561</v>
      </c>
      <c r="G206" s="275" t="s">
        <v>562</v>
      </c>
      <c r="H206" s="274" t="s">
        <v>304</v>
      </c>
      <c r="I206" s="275" t="s">
        <v>305</v>
      </c>
      <c r="J206" s="279" t="s">
        <v>907</v>
      </c>
      <c r="K206" s="275" t="s">
        <v>301</v>
      </c>
      <c r="L206" s="277" t="s">
        <v>697</v>
      </c>
      <c r="M206" s="278" t="str">
        <f t="array" ref="M206">IFERROR(XLOOKUP(L206,'2. DATA NL, VTBB'!C:C,'2. DATA NL, VTBB'!D:D),"")</f>
        <v>Thùng NEWTEX Chai PET tam giác 240ml x 40 chai (47.7x30x16cm) - Trắng viền cam</v>
      </c>
      <c r="N206" s="280"/>
      <c r="O206" s="280" t="str">
        <f t="array" ref="O206">IFERROR( XLOOKUP(L206,'2. DATA NL, VTBB'!C:C,'2. DATA NL, VTBB'!E:E),"")</f>
        <v>Mekongvil 5SC</v>
      </c>
      <c r="P206" s="275" t="s">
        <v>565</v>
      </c>
      <c r="Q206" s="311"/>
      <c r="R206" s="291" t="s">
        <v>622</v>
      </c>
      <c r="S206" s="280"/>
      <c r="T206" s="277"/>
      <c r="U206" s="277"/>
      <c r="V206" s="283">
        <v>100.0</v>
      </c>
      <c r="W206" s="275" t="s">
        <v>699</v>
      </c>
      <c r="X206" s="283">
        <v>100.0</v>
      </c>
      <c r="Y206" s="274">
        <v>102.0</v>
      </c>
      <c r="Z206" s="279">
        <v>15800.0</v>
      </c>
      <c r="AA206" s="285">
        <v>0.08</v>
      </c>
      <c r="AB206" s="282">
        <v>1740528.0</v>
      </c>
      <c r="AC206" s="277"/>
      <c r="AD206" s="289">
        <v>46038.0</v>
      </c>
      <c r="AE206" s="312"/>
      <c r="AF206" s="277"/>
      <c r="AG206" s="277"/>
      <c r="AH206" s="294">
        <f>IFERROR(__xludf.DUMMYFUNCTION("IFERROR(INDEX( SORT(FILTER(
        {'1. DATA CHUNG'!$J$4:$J$105 , '1. DATA CHUNG'!$L$4:$L$105}, (TRIM('1. DATA CHUNG'!$I$4:$I$105)=TRIM(K206)) * IF(COUNTIFS('1. DATA CHUNG'!$I$4:$I$105,K206,'1. DATA CHUNG'!$M$4:$M$105,Q206), '1. DATA CHUNG'!$M$4:$M$105=Q"&amp;"206, 1) * ('1. DATA CHUNG'!$L$4:$L$105&lt;=TODAY()) ),   2, 0),  1, 1), 
  IFERROR( INDEX(FILTER('1. DATA CHUNG'!$J$4:$J$105, (TRIM('1. DATA CHUNG'!$I$4:$I$105)=TRIM(K206)) * IF(COUNTIFS('1. DATA CHUNG'!$I$4:$I$105,K206,'1. DATA CHUNG'!$M$4:$M$105,Q206), '1."&amp;" DATA CHUNG'!$M$4:$M$105=Q206, 1) * ('1. DATA CHUNG'!$L$4:$L$105="""")), 1), ""Không tìm thấy"" ))"),18.0)</f>
        <v>18</v>
      </c>
      <c r="AI206" s="273">
        <f t="shared" si="2"/>
        <v>46056</v>
      </c>
      <c r="AJ206" s="287"/>
      <c r="AK206" s="286">
        <f t="shared" si="3"/>
        <v>0</v>
      </c>
      <c r="AL206" s="287">
        <f t="shared" si="4"/>
        <v>-1</v>
      </c>
      <c r="AM206" s="287">
        <f t="shared" si="5"/>
        <v>-2</v>
      </c>
      <c r="AN206" s="279">
        <f t="shared" si="6"/>
        <v>6</v>
      </c>
      <c r="AO206" s="295" t="str">
        <f t="shared" si="7"/>
        <v>01/2026</v>
      </c>
      <c r="AP206" s="277" t="str">
        <f t="array" ref="AP206">IFERROR(XLOOKUP(L206,'2. DATA NL, VTBB'!C:C,'2. DATA NL, VTBB'!F:F),"")</f>
        <v>HH0252</v>
      </c>
      <c r="AQ206" s="277" t="str">
        <f t="array" ref="AQ206">IF(OR(K206="Nhãn", K206="Nhãn thùng",K206="Nhãn Túi"), K206 &amp; " " &amp; IFERROR(XLOOKUP(L206, '2. DATA NL, VTBB'!C:C, '2. DATA NL, VTBB'!E:E), ""), "")</f>
        <v/>
      </c>
      <c r="AR206" s="278" t="str">
        <f t="array" ref="AR206">IFERROR(XLOOKUP(L206,'2. DATA NL, VTBB'!C:C,'2. DATA NL, VTBB'!G:G),"")</f>
        <v>GC - II - 670 - Châu Giang - Mekongvil 5SC (chai HD) - 1L - 20</v>
      </c>
      <c r="AS206" s="278" t="str">
        <f t="array" ref="AS206">IFERROR(XLOOKUP(L206,'2. DATA NL, VTBB'!C:C,'2. DATA NL, VTBB'!G:G),"")</f>
        <v>GC - II - 670 - Châu Giang - Mekongvil 5SC (chai HD) - 1L - 20</v>
      </c>
      <c r="AT206" s="277"/>
    </row>
    <row r="207" ht="30.75" customHeight="1">
      <c r="A207" s="272">
        <f t="shared" si="44"/>
        <v>204</v>
      </c>
      <c r="B207" s="289">
        <v>46029.0</v>
      </c>
      <c r="C207" s="289">
        <v>46050.0</v>
      </c>
      <c r="D207" s="289">
        <v>46057.0</v>
      </c>
      <c r="E207" s="289">
        <v>46059.0</v>
      </c>
      <c r="F207" s="274" t="s">
        <v>561</v>
      </c>
      <c r="G207" s="275" t="s">
        <v>562</v>
      </c>
      <c r="H207" s="274" t="s">
        <v>304</v>
      </c>
      <c r="I207" s="275" t="s">
        <v>305</v>
      </c>
      <c r="J207" s="279" t="s">
        <v>907</v>
      </c>
      <c r="K207" s="275" t="s">
        <v>301</v>
      </c>
      <c r="L207" s="277" t="s">
        <v>908</v>
      </c>
      <c r="M207" s="278" t="str">
        <f t="array" ref="M207">IFERROR(XLOOKUP(L207,'2. DATA NL, VTBB'!C:C,'2. DATA NL, VTBB'!D:D),"")</f>
        <v>Thùng chung Chai PET 450ml x 40 chai (58x36.5x21.5cm) - Trắng viền đen</v>
      </c>
      <c r="N207" s="280"/>
      <c r="O207" s="280" t="str">
        <f t="array" ref="O207">IFERROR( XLOOKUP(L207,'2. DATA NL, VTBB'!C:C,'2. DATA NL, VTBB'!E:E),"")</f>
        <v>Prima 04</v>
      </c>
      <c r="P207" s="275" t="s">
        <v>565</v>
      </c>
      <c r="Q207" s="311"/>
      <c r="R207" s="291" t="s">
        <v>622</v>
      </c>
      <c r="S207" s="280"/>
      <c r="T207" s="277"/>
      <c r="U207" s="277"/>
      <c r="V207" s="283">
        <v>100.0</v>
      </c>
      <c r="W207" s="275" t="s">
        <v>699</v>
      </c>
      <c r="X207" s="283">
        <v>100.0</v>
      </c>
      <c r="Y207" s="274">
        <v>106.0</v>
      </c>
      <c r="Z207" s="279">
        <v>20900.0</v>
      </c>
      <c r="AA207" s="285">
        <v>0.08</v>
      </c>
      <c r="AB207" s="282">
        <v>2392632.0</v>
      </c>
      <c r="AC207" s="277"/>
      <c r="AD207" s="289">
        <v>46029.0</v>
      </c>
      <c r="AE207" s="312"/>
      <c r="AF207" s="277"/>
      <c r="AG207" s="277"/>
      <c r="AH207" s="294">
        <f>IFERROR(__xludf.DUMMYFUNCTION("IFERROR(INDEX( SORT(FILTER(
        {'1. DATA CHUNG'!$J$4:$J$105 , '1. DATA CHUNG'!$L$4:$L$105}, (TRIM('1. DATA CHUNG'!$I$4:$I$105)=TRIM(K207)) * IF(COUNTIFS('1. DATA CHUNG'!$I$4:$I$105,K207,'1. DATA CHUNG'!$M$4:$M$105,Q207), '1. DATA CHUNG'!$M$4:$M$105=Q"&amp;"207, 1) * ('1. DATA CHUNG'!$L$4:$L$105&lt;=TODAY()) ),   2, 0),  1, 1), 
  IFERROR( INDEX(FILTER('1. DATA CHUNG'!$J$4:$J$105, (TRIM('1. DATA CHUNG'!$I$4:$I$105)=TRIM(K207)) * IF(COUNTIFS('1. DATA CHUNG'!$I$4:$I$105,K207,'1. DATA CHUNG'!$M$4:$M$105,Q207), '1."&amp;" DATA CHUNG'!$M$4:$M$105=Q207, 1) * ('1. DATA CHUNG'!$L$4:$L$105="""")), 1), ""Không tìm thấy"" ))"),18.0)</f>
        <v>18</v>
      </c>
      <c r="AI207" s="273">
        <f t="shared" si="2"/>
        <v>46047</v>
      </c>
      <c r="AJ207" s="287"/>
      <c r="AK207" s="286">
        <f t="shared" si="3"/>
        <v>0</v>
      </c>
      <c r="AL207" s="287">
        <f t="shared" si="4"/>
        <v>-2</v>
      </c>
      <c r="AM207" s="287">
        <f t="shared" si="5"/>
        <v>-12</v>
      </c>
      <c r="AN207" s="279">
        <f t="shared" si="6"/>
        <v>-3</v>
      </c>
      <c r="AO207" s="295" t="str">
        <f t="shared" si="7"/>
        <v>01/2026</v>
      </c>
      <c r="AP207" s="277" t="str">
        <f t="array" ref="AP207">IFERROR(XLOOKUP(L207,'2. DATA NL, VTBB'!C:C,'2. DATA NL, VTBB'!F:F),"")</f>
        <v>HH0275</v>
      </c>
      <c r="AQ207" s="277" t="str">
        <f t="array" ref="AQ207">IF(OR(K207="Nhãn", K207="Nhãn thùng",K207="Nhãn Túi"), K207 &amp; " " &amp; IFERROR(XLOOKUP(L207, '2. DATA NL, VTBB'!C:C, '2. DATA NL, VTBB'!E:E), ""), "")</f>
        <v/>
      </c>
      <c r="AR207" s="278" t="str">
        <f t="array" ref="AR207">IFERROR(XLOOKUP(L207,'2. DATA NL, VTBB'!C:C,'2. DATA NL, VTBB'!G:G),"")</f>
        <v>GC - II - 691 - Nông Lâm Hoà Phát - Humiix Us - 25kg - 1 ([btp],b,l)</v>
      </c>
      <c r="AS207" s="278" t="str">
        <f t="array" ref="AS207">IFERROR(XLOOKUP(L207,'2. DATA NL, VTBB'!C:C,'2. DATA NL, VTBB'!G:G),"")</f>
        <v>GC - II - 691 - Nông Lâm Hoà Phát - Humiix Us - 25kg - 1 ([btp],b,l)</v>
      </c>
      <c r="AT207" s="277"/>
    </row>
    <row r="208" ht="30.75" customHeight="1">
      <c r="A208" s="272">
        <f t="shared" si="44"/>
        <v>205</v>
      </c>
      <c r="B208" s="289">
        <v>46029.0</v>
      </c>
      <c r="C208" s="289">
        <v>46036.0</v>
      </c>
      <c r="D208" s="289">
        <f>B208+15</f>
        <v>46044</v>
      </c>
      <c r="E208" s="289">
        <v>46041.0</v>
      </c>
      <c r="F208" s="274" t="s">
        <v>561</v>
      </c>
      <c r="G208" s="275" t="s">
        <v>562</v>
      </c>
      <c r="H208" s="274" t="s">
        <v>304</v>
      </c>
      <c r="I208" s="275" t="s">
        <v>305</v>
      </c>
      <c r="J208" s="279" t="s">
        <v>909</v>
      </c>
      <c r="K208" s="275" t="s">
        <v>301</v>
      </c>
      <c r="L208" s="277" t="s">
        <v>910</v>
      </c>
      <c r="M208" s="278" t="str">
        <f t="array" ref="M208">IFERROR(XLOOKUP(L208,'2. DATA NL, VTBB'!C:C,'2. DATA NL, VTBB'!D:D),"")</f>
        <v>Thùng VISANTO 50g x 100 gói và 120g, 150g x 80 gói, 300g x 30 gói (47.5x41.5x28cm) - Trắng xanh dương</v>
      </c>
      <c r="N208" s="280"/>
      <c r="O208" s="280" t="str">
        <f t="array" ref="O208">IFERROR( XLOOKUP(L208,'2. DATA NL, VTBB'!C:C,'2. DATA NL, VTBB'!E:E),"")</f>
        <v>Prima 04</v>
      </c>
      <c r="P208" s="275" t="s">
        <v>565</v>
      </c>
      <c r="Q208" s="311"/>
      <c r="R208" s="291" t="s">
        <v>573</v>
      </c>
      <c r="S208" s="280"/>
      <c r="T208" s="277"/>
      <c r="U208" s="277"/>
      <c r="V208" s="283">
        <v>200.0</v>
      </c>
      <c r="W208" s="275" t="s">
        <v>699</v>
      </c>
      <c r="X208" s="283">
        <v>200.0</v>
      </c>
      <c r="Y208" s="274">
        <v>200.0</v>
      </c>
      <c r="Z208" s="287">
        <v>23600.0</v>
      </c>
      <c r="AA208" s="285">
        <v>0.08</v>
      </c>
      <c r="AB208" s="282">
        <v>5097600.0</v>
      </c>
      <c r="AC208" s="277"/>
      <c r="AD208" s="289">
        <v>46029.0</v>
      </c>
      <c r="AE208" s="312"/>
      <c r="AF208" s="277"/>
      <c r="AG208" s="277"/>
      <c r="AH208" s="294">
        <f>IFERROR(__xludf.DUMMYFUNCTION("IFERROR(INDEX( SORT(FILTER(
        {'1. DATA CHUNG'!$J$4:$J$105 , '1. DATA CHUNG'!$L$4:$L$105}, (TRIM('1. DATA CHUNG'!$I$4:$I$105)=TRIM(K208)) * IF(COUNTIFS('1. DATA CHUNG'!$I$4:$I$105,K208,'1. DATA CHUNG'!$M$4:$M$105,Q208), '1. DATA CHUNG'!$M$4:$M$105=Q"&amp;"208, 1) * ('1. DATA CHUNG'!$L$4:$L$105&lt;=TODAY()) ),   2, 0),  1, 1), 
  IFERROR( INDEX(FILTER('1. DATA CHUNG'!$J$4:$J$105, (TRIM('1. DATA CHUNG'!$I$4:$I$105)=TRIM(K208)) * IF(COUNTIFS('1. DATA CHUNG'!$I$4:$I$105,K208,'1. DATA CHUNG'!$M$4:$M$105,Q208), '1."&amp;" DATA CHUNG'!$M$4:$M$105=Q208, 1) * ('1. DATA CHUNG'!$L$4:$L$105="""")), 1), ""Không tìm thấy"" ))"),18.0)</f>
        <v>18</v>
      </c>
      <c r="AI208" s="273">
        <f t="shared" si="2"/>
        <v>46047</v>
      </c>
      <c r="AJ208" s="287"/>
      <c r="AK208" s="286">
        <f t="shared" si="3"/>
        <v>0</v>
      </c>
      <c r="AL208" s="287">
        <f t="shared" si="4"/>
        <v>3</v>
      </c>
      <c r="AM208" s="287">
        <f t="shared" si="5"/>
        <v>6</v>
      </c>
      <c r="AN208" s="279">
        <f t="shared" si="6"/>
        <v>11</v>
      </c>
      <c r="AO208" s="295" t="str">
        <f t="shared" si="7"/>
        <v>01/2026</v>
      </c>
      <c r="AP208" s="277" t="str">
        <f t="array" ref="AP208">IFERROR(XLOOKUP(L208,'2. DATA NL, VTBB'!C:C,'2. DATA NL, VTBB'!F:F),"")</f>
        <v>HH0269</v>
      </c>
      <c r="AQ208" s="277" t="str">
        <f t="array" ref="AQ208">IF(OR(K208="Nhãn", K208="Nhãn thùng",K208="Nhãn Túi"), K208 &amp; " " &amp; IFERROR(XLOOKUP(L208, '2. DATA NL, VTBB'!C:C, '2. DATA NL, VTBB'!E:E), ""), "")</f>
        <v/>
      </c>
      <c r="AR208" s="278" t="str">
        <f t="array" ref="AR208">IFERROR(XLOOKUP(L208,'2. DATA NL, VTBB'!C:C,'2. DATA NL, VTBB'!G:G),"")</f>
        <v>GC - II - 688 - AU - Gel Humiix - 10kg - 1 ([btp],x,n)</v>
      </c>
      <c r="AS208" s="278" t="str">
        <f t="array" ref="AS208">IFERROR(XLOOKUP(L208,'2. DATA NL, VTBB'!C:C,'2. DATA NL, VTBB'!G:G),"")</f>
        <v>GC - II - 688 - AU - Gel Humiix - 10kg - 1 ([btp],x,n)</v>
      </c>
      <c r="AT208" s="277"/>
    </row>
    <row r="209" ht="30.75" customHeight="1">
      <c r="A209" s="272">
        <f t="shared" si="44"/>
        <v>206</v>
      </c>
      <c r="B209" s="289">
        <v>46031.0</v>
      </c>
      <c r="C209" s="273">
        <v>46032.0</v>
      </c>
      <c r="D209" s="273">
        <f t="shared" ref="D209:D214" si="50">B209+3</f>
        <v>46034</v>
      </c>
      <c r="E209" s="289">
        <v>46032.0</v>
      </c>
      <c r="F209" s="274" t="s">
        <v>561</v>
      </c>
      <c r="G209" s="275" t="s">
        <v>580</v>
      </c>
      <c r="H209" s="274" t="s">
        <v>304</v>
      </c>
      <c r="I209" s="275" t="s">
        <v>726</v>
      </c>
      <c r="J209" s="279" t="s">
        <v>911</v>
      </c>
      <c r="K209" s="275" t="s">
        <v>728</v>
      </c>
      <c r="L209" s="277" t="s">
        <v>778</v>
      </c>
      <c r="M209" s="278" t="str">
        <f t="array" ref="M209">IFERROR(XLOOKUP(L209,'2. DATA NL, VTBB'!C:C,'2. DATA NL, VTBB'!D:D),"")</f>
        <v>Chai PET tròn cổ 44 500ml (45g) Trắng</v>
      </c>
      <c r="N209" s="280"/>
      <c r="O209" s="280" t="str">
        <f t="array" ref="O209">IFERROR( XLOOKUP(L209,'2. DATA NL, VTBB'!C:C,'2. DATA NL, VTBB'!E:E),"")</f>
        <v>Chitin 3.6EC</v>
      </c>
      <c r="P209" s="275" t="s">
        <v>565</v>
      </c>
      <c r="Q209" s="311"/>
      <c r="R209" s="291" t="s">
        <v>573</v>
      </c>
      <c r="S209" s="280"/>
      <c r="T209" s="277"/>
      <c r="U209" s="277"/>
      <c r="V209" s="283">
        <v>2000.0</v>
      </c>
      <c r="W209" s="275" t="s">
        <v>699</v>
      </c>
      <c r="X209" s="283">
        <v>2000.0</v>
      </c>
      <c r="Y209" s="274">
        <v>2016.0</v>
      </c>
      <c r="Z209" s="279">
        <v>1900.0</v>
      </c>
      <c r="AA209" s="285">
        <v>0.08</v>
      </c>
      <c r="AB209" s="282">
        <v>4136832.0</v>
      </c>
      <c r="AC209" s="277"/>
      <c r="AD209" s="289">
        <v>46031.0</v>
      </c>
      <c r="AE209" s="312"/>
      <c r="AF209" s="277"/>
      <c r="AG209" s="277"/>
      <c r="AH209" s="294">
        <f>IFERROR(__xludf.DUMMYFUNCTION("IFERROR(INDEX( SORT(FILTER(
        {'1. DATA CHUNG'!$J$4:$J$105 , '1. DATA CHUNG'!$L$4:$L$105}, (TRIM('1. DATA CHUNG'!$I$4:$I$105)=TRIM(K209)) * IF(COUNTIFS('1. DATA CHUNG'!$I$4:$I$105,K209,'1. DATA CHUNG'!$M$4:$M$105,Q209), '1. DATA CHUNG'!$M$4:$M$105=Q"&amp;"209, 1) * ('1. DATA CHUNG'!$L$4:$L$105&lt;=TODAY()) ),   2, 0),  1, 1), 
  IFERROR( INDEX(FILTER('1. DATA CHUNG'!$J$4:$J$105, (TRIM('1. DATA CHUNG'!$I$4:$I$105)=TRIM(K209)) * IF(COUNTIFS('1. DATA CHUNG'!$I$4:$I$105,K209,'1. DATA CHUNG'!$M$4:$M$105,Q209), '1."&amp;" DATA CHUNG'!$M$4:$M$105=Q209, 1) * ('1. DATA CHUNG'!$L$4:$L$105="""")), 1), ""Không tìm thấy"" ))"),7.0)</f>
        <v>7</v>
      </c>
      <c r="AI209" s="273">
        <f t="shared" si="2"/>
        <v>46038</v>
      </c>
      <c r="AJ209" s="287"/>
      <c r="AK209" s="286">
        <f t="shared" si="3"/>
        <v>0</v>
      </c>
      <c r="AL209" s="287">
        <f t="shared" si="4"/>
        <v>2</v>
      </c>
      <c r="AM209" s="287">
        <f t="shared" si="5"/>
        <v>6</v>
      </c>
      <c r="AN209" s="279">
        <f t="shared" si="6"/>
        <v>6</v>
      </c>
      <c r="AO209" s="295" t="str">
        <f t="shared" si="7"/>
        <v>01/2026</v>
      </c>
      <c r="AP209" s="277" t="str">
        <f t="array" ref="AP209">IFERROR(XLOOKUP(L209,'2. DATA NL, VTBB'!C:C,'2. DATA NL, VTBB'!F:F),"")</f>
        <v>HH0234</v>
      </c>
      <c r="AQ209" s="277" t="str">
        <f t="array" ref="AQ209">IF(OR(K209="Nhãn", K209="Nhãn thùng",K209="Nhãn Túi"), K209 &amp; " " &amp; IFERROR(XLOOKUP(L209, '2. DATA NL, VTBB'!C:C, '2. DATA NL, VTBB'!E:E), ""), "")</f>
        <v/>
      </c>
      <c r="AR209" s="278" t="str">
        <f t="array" ref="AR209">IFERROR(XLOOKUP(L209,'2. DATA NL, VTBB'!C:C,'2. DATA NL, VTBB'!G:G),"")</f>
        <v>LOT IDA Global - I - 875 - ĐL Bảo Tại - Avermectin 36 (Pet tròn) (nắp đỏ)(nước nâu đen) - 450ml - 40</v>
      </c>
      <c r="AS209" s="278" t="str">
        <f t="array" ref="AS209">IFERROR(XLOOKUP(L209,'2. DATA NL, VTBB'!C:C,'2. DATA NL, VTBB'!G:G),"")</f>
        <v>LOT IDA Global - I - 875 - ĐL Bảo Tại - Avermectin 36 (Pet tròn) (nắp đỏ)(nước nâu đen) - 450ml - 40</v>
      </c>
      <c r="AT209" s="277"/>
    </row>
    <row r="210" ht="30.75" customHeight="1">
      <c r="A210" s="272">
        <f t="shared" si="44"/>
        <v>207</v>
      </c>
      <c r="B210" s="289">
        <v>46031.0</v>
      </c>
      <c r="C210" s="273">
        <v>46032.0</v>
      </c>
      <c r="D210" s="273">
        <f t="shared" si="50"/>
        <v>46034</v>
      </c>
      <c r="E210" s="289">
        <v>46032.0</v>
      </c>
      <c r="F210" s="274" t="s">
        <v>561</v>
      </c>
      <c r="G210" s="275" t="s">
        <v>580</v>
      </c>
      <c r="H210" s="274" t="s">
        <v>304</v>
      </c>
      <c r="I210" s="275" t="s">
        <v>726</v>
      </c>
      <c r="J210" s="279" t="s">
        <v>911</v>
      </c>
      <c r="K210" s="275" t="s">
        <v>730</v>
      </c>
      <c r="L210" s="277" t="s">
        <v>779</v>
      </c>
      <c r="M210" s="278" t="str">
        <f t="array" ref="M210">IFERROR(XLOOKUP(L210,'2. DATA NL, VTBB'!C:C,'2. DATA NL, VTBB'!D:D),"")</f>
        <v>Nắp PET cổ 44 (9g) - Trắng</v>
      </c>
      <c r="N210" s="280"/>
      <c r="O210" s="280" t="str">
        <f t="array" ref="O210">IFERROR( XLOOKUP(L210,'2. DATA NL, VTBB'!C:C,'2. DATA NL, VTBB'!E:E),"")</f>
        <v>IMIPRID 10WP</v>
      </c>
      <c r="P210" s="275" t="s">
        <v>565</v>
      </c>
      <c r="Q210" s="311"/>
      <c r="R210" s="291" t="s">
        <v>573</v>
      </c>
      <c r="S210" s="280"/>
      <c r="T210" s="277"/>
      <c r="U210" s="277"/>
      <c r="V210" s="283">
        <v>2000.0</v>
      </c>
      <c r="W210" s="275" t="s">
        <v>699</v>
      </c>
      <c r="X210" s="283">
        <v>2000.0</v>
      </c>
      <c r="Y210" s="274">
        <v>2016.0</v>
      </c>
      <c r="Z210" s="279">
        <v>900.0</v>
      </c>
      <c r="AA210" s="285">
        <v>0.08</v>
      </c>
      <c r="AB210" s="282">
        <v>1959552.0</v>
      </c>
      <c r="AC210" s="277"/>
      <c r="AD210" s="289">
        <v>46031.0</v>
      </c>
      <c r="AE210" s="312"/>
      <c r="AF210" s="277"/>
      <c r="AG210" s="277"/>
      <c r="AH210" s="294">
        <f>IFERROR(__xludf.DUMMYFUNCTION("IFERROR(INDEX( SORT(FILTER(
        {'1. DATA CHUNG'!$J$4:$J$105 , '1. DATA CHUNG'!$L$4:$L$105}, (TRIM('1. DATA CHUNG'!$I$4:$I$105)=TRIM(K210)) * IF(COUNTIFS('1. DATA CHUNG'!$I$4:$I$105,K210,'1. DATA CHUNG'!$M$4:$M$105,Q210), '1. DATA CHUNG'!$M$4:$M$105=Q"&amp;"210, 1) * ('1. DATA CHUNG'!$L$4:$L$105&lt;=TODAY()) ),   2, 0),  1, 1), 
  IFERROR( INDEX(FILTER('1. DATA CHUNG'!$J$4:$J$105, (TRIM('1. DATA CHUNG'!$I$4:$I$105)=TRIM(K210)) * IF(COUNTIFS('1. DATA CHUNG'!$I$4:$I$105,K210,'1. DATA CHUNG'!$M$4:$M$105,Q210), '1."&amp;" DATA CHUNG'!$M$4:$M$105=Q210, 1) * ('1. DATA CHUNG'!$L$4:$L$105="""")), 1), ""Không tìm thấy"" ))"),7.0)</f>
        <v>7</v>
      </c>
      <c r="AI210" s="273">
        <f t="shared" si="2"/>
        <v>46038</v>
      </c>
      <c r="AJ210" s="287"/>
      <c r="AK210" s="286">
        <f t="shared" si="3"/>
        <v>0</v>
      </c>
      <c r="AL210" s="287">
        <f t="shared" si="4"/>
        <v>2</v>
      </c>
      <c r="AM210" s="287">
        <f t="shared" si="5"/>
        <v>6</v>
      </c>
      <c r="AN210" s="279">
        <f t="shared" si="6"/>
        <v>6</v>
      </c>
      <c r="AO210" s="295" t="str">
        <f t="shared" si="7"/>
        <v>01/2026</v>
      </c>
      <c r="AP210" s="277" t="str">
        <f t="array" ref="AP210">IFERROR(XLOOKUP(L210,'2. DATA NL, VTBB'!C:C,'2. DATA NL, VTBB'!F:F),"")</f>
        <v>HH0163</v>
      </c>
      <c r="AQ210" s="277" t="str">
        <f t="array" ref="AQ210">IF(OR(K210="Nhãn", K210="Nhãn thùng",K210="Nhãn Túi"), K210 &amp; " " &amp; IFERROR(XLOOKUP(L210, '2. DATA NL, VTBB'!C:C, '2. DATA NL, VTBB'!E:E), ""), "")</f>
        <v/>
      </c>
      <c r="AR210" s="278" t="str">
        <f t="array" ref="AR210">IFERROR(XLOOKUP(L210,'2. DATA NL, VTBB'!C:C,'2. DATA NL, VTBB'!G:G),"")</f>
        <v>GC - IV - 888.1 - Huy Phát - BI Pro Max (Bột trắng) - 100gr - 100</v>
      </c>
      <c r="AS210" s="278" t="str">
        <f t="array" ref="AS210">IFERROR(XLOOKUP(L210,'2. DATA NL, VTBB'!C:C,'2. DATA NL, VTBB'!G:G),"")</f>
        <v>GC - IV - 888.1 - Huy Phát - BI Pro Max (Bột trắng) - 100gr - 100</v>
      </c>
      <c r="AT210" s="277"/>
    </row>
    <row r="211" ht="30.75" customHeight="1">
      <c r="A211" s="272">
        <f t="shared" si="44"/>
        <v>208</v>
      </c>
      <c r="B211" s="289">
        <v>46031.0</v>
      </c>
      <c r="C211" s="273">
        <v>46032.0</v>
      </c>
      <c r="D211" s="273">
        <f t="shared" si="50"/>
        <v>46034</v>
      </c>
      <c r="E211" s="289">
        <v>46032.0</v>
      </c>
      <c r="F211" s="274" t="s">
        <v>561</v>
      </c>
      <c r="G211" s="275" t="s">
        <v>562</v>
      </c>
      <c r="H211" s="274" t="s">
        <v>304</v>
      </c>
      <c r="I211" s="275" t="s">
        <v>765</v>
      </c>
      <c r="J211" s="279" t="s">
        <v>912</v>
      </c>
      <c r="K211" s="275" t="s">
        <v>767</v>
      </c>
      <c r="L211" s="277" t="s">
        <v>913</v>
      </c>
      <c r="M211" s="278" t="str">
        <f t="array" ref="M211">IFERROR(XLOOKUP(L211,'2. DATA NL, VTBB'!C:C,'2. DATA NL, VTBB'!D:D),"")</f>
        <v>Can HDPE 5L vuông , 4 chấm chống trượt (340gr) - Vàng</v>
      </c>
      <c r="N211" s="280"/>
      <c r="O211" s="280" t="str">
        <f t="array" ref="O211">IFERROR( XLOOKUP(L211,'2. DATA NL, VTBB'!C:C,'2. DATA NL, VTBB'!E:E),"")</f>
        <v>Vi lượng Quantity New</v>
      </c>
      <c r="P211" s="275" t="s">
        <v>565</v>
      </c>
      <c r="Q211" s="311"/>
      <c r="R211" s="290" t="s">
        <v>566</v>
      </c>
      <c r="S211" s="280"/>
      <c r="T211" s="277"/>
      <c r="U211" s="277"/>
      <c r="V211" s="283">
        <v>200.0</v>
      </c>
      <c r="W211" s="275" t="s">
        <v>699</v>
      </c>
      <c r="X211" s="283">
        <v>200.0</v>
      </c>
      <c r="Y211" s="274">
        <v>240.0</v>
      </c>
      <c r="Z211" s="272">
        <v>19300.0</v>
      </c>
      <c r="AA211" s="285">
        <v>0.08</v>
      </c>
      <c r="AB211" s="282">
        <v>5002560.0</v>
      </c>
      <c r="AC211" s="277"/>
      <c r="AD211" s="289">
        <v>46031.0</v>
      </c>
      <c r="AE211" s="272" t="s">
        <v>914</v>
      </c>
      <c r="AF211" s="277"/>
      <c r="AG211" s="277"/>
      <c r="AH211" s="294">
        <f>IFERROR(__xludf.DUMMYFUNCTION("IFERROR(INDEX( SORT(FILTER(
        {'1. DATA CHUNG'!$J$4:$J$105 , '1. DATA CHUNG'!$L$4:$L$105}, (TRIM('1. DATA CHUNG'!$I$4:$I$105)=TRIM(K211)) * IF(COUNTIFS('1. DATA CHUNG'!$I$4:$I$105,K211,'1. DATA CHUNG'!$M$4:$M$105,Q211), '1. DATA CHUNG'!$M$4:$M$105=Q"&amp;"211, 1) * ('1. DATA CHUNG'!$L$4:$L$105&lt;=TODAY()) ),   2, 0),  1, 1), 
  IFERROR( INDEX(FILTER('1. DATA CHUNG'!$J$4:$J$105, (TRIM('1. DATA CHUNG'!$I$4:$I$105)=TRIM(K211)) * IF(COUNTIFS('1. DATA CHUNG'!$I$4:$I$105,K211,'1. DATA CHUNG'!$M$4:$M$105,Q211), '1."&amp;" DATA CHUNG'!$M$4:$M$105=Q211, 1) * ('1. DATA CHUNG'!$L$4:$L$105="""")), 1), ""Không tìm thấy"" ))"),5.0)</f>
        <v>5</v>
      </c>
      <c r="AI211" s="273">
        <f t="shared" si="2"/>
        <v>46036</v>
      </c>
      <c r="AJ211" s="287"/>
      <c r="AK211" s="286">
        <f t="shared" si="3"/>
        <v>0</v>
      </c>
      <c r="AL211" s="287">
        <f t="shared" si="4"/>
        <v>2</v>
      </c>
      <c r="AM211" s="287">
        <f t="shared" si="5"/>
        <v>4</v>
      </c>
      <c r="AN211" s="279">
        <f t="shared" si="6"/>
        <v>4</v>
      </c>
      <c r="AO211" s="295" t="str">
        <f t="shared" si="7"/>
        <v>01/2026</v>
      </c>
      <c r="AP211" s="277" t="str">
        <f t="array" ref="AP211">IFERROR(XLOOKUP(L211,'2. DATA NL, VTBB'!C:C,'2. DATA NL, VTBB'!F:F),"")</f>
        <v>HH0028</v>
      </c>
      <c r="AQ211" s="277" t="str">
        <f t="array" ref="AQ211">IF(OR(K211="Nhãn", K211="Nhãn thùng",K211="Nhãn Túi"), K211 &amp; " " &amp; IFERROR(XLOOKUP(L211, '2. DATA NL, VTBB'!C:C, '2. DATA NL, VTBB'!E:E), ""), "")</f>
        <v/>
      </c>
      <c r="AR211" s="278" t="str">
        <f t="array" ref="AR211">IFERROR(XLOOKUP(L211,'2. DATA NL, VTBB'!C:C,'2. DATA NL, VTBB'!G:G),"")</f>
        <v>GC - II - 810 - AGC - Big C (Gel nâu đen) (chai HD) - 500ml - 40</v>
      </c>
      <c r="AS211" s="278" t="str">
        <f t="array" ref="AS211">IFERROR(XLOOKUP(L211,'2. DATA NL, VTBB'!C:C,'2. DATA NL, VTBB'!G:G),"")</f>
        <v>GC - II - 810 - AGC - Big C (Gel nâu đen) (chai HD) - 500ml - 40</v>
      </c>
      <c r="AT211" s="277"/>
    </row>
    <row r="212" ht="30.75" customHeight="1">
      <c r="A212" s="272">
        <f t="shared" si="44"/>
        <v>209</v>
      </c>
      <c r="B212" s="289">
        <v>46031.0</v>
      </c>
      <c r="C212" s="273">
        <v>46032.0</v>
      </c>
      <c r="D212" s="273">
        <f t="shared" si="50"/>
        <v>46034</v>
      </c>
      <c r="E212" s="289">
        <v>46032.0</v>
      </c>
      <c r="F212" s="274" t="s">
        <v>561</v>
      </c>
      <c r="G212" s="275" t="s">
        <v>562</v>
      </c>
      <c r="H212" s="274" t="s">
        <v>304</v>
      </c>
      <c r="I212" s="275" t="s">
        <v>765</v>
      </c>
      <c r="J212" s="279" t="s">
        <v>912</v>
      </c>
      <c r="K212" s="275" t="s">
        <v>730</v>
      </c>
      <c r="L212" s="277" t="s">
        <v>915</v>
      </c>
      <c r="M212" s="278" t="str">
        <f t="array" ref="M212">IFERROR(XLOOKUP(L212,'2. DATA NL, VTBB'!C:C,'2. DATA NL, VTBB'!D:D),"")</f>
        <v>Nắp can HDPE 5L (13gr) - Đen</v>
      </c>
      <c r="N212" s="280"/>
      <c r="O212" s="280" t="str">
        <f t="array" ref="O212">IFERROR( XLOOKUP(L212,'2. DATA NL, VTBB'!C:C,'2. DATA NL, VTBB'!E:E),"")</f>
        <v>Vi lượng Quantity New</v>
      </c>
      <c r="P212" s="275" t="s">
        <v>565</v>
      </c>
      <c r="Q212" s="311"/>
      <c r="R212" s="290" t="s">
        <v>566</v>
      </c>
      <c r="S212" s="280"/>
      <c r="T212" s="277"/>
      <c r="U212" s="277"/>
      <c r="V212" s="283">
        <v>200.0</v>
      </c>
      <c r="W212" s="275" t="s">
        <v>699</v>
      </c>
      <c r="X212" s="283">
        <v>200.0</v>
      </c>
      <c r="Y212" s="274">
        <v>240.0</v>
      </c>
      <c r="Z212" s="272">
        <v>1900.0</v>
      </c>
      <c r="AA212" s="285">
        <v>0.08</v>
      </c>
      <c r="AB212" s="282">
        <v>492480.0</v>
      </c>
      <c r="AC212" s="277"/>
      <c r="AD212" s="289">
        <v>46031.0</v>
      </c>
      <c r="AE212" s="272" t="s">
        <v>914</v>
      </c>
      <c r="AF212" s="277"/>
      <c r="AG212" s="277"/>
      <c r="AH212" s="294">
        <f>IFERROR(__xludf.DUMMYFUNCTION("IFERROR(INDEX( SORT(FILTER(
        {'1. DATA CHUNG'!$J$4:$J$105 , '1. DATA CHUNG'!$L$4:$L$105}, (TRIM('1. DATA CHUNG'!$I$4:$I$105)=TRIM(K212)) * IF(COUNTIFS('1. DATA CHUNG'!$I$4:$I$105,K212,'1. DATA CHUNG'!$M$4:$M$105,Q212), '1. DATA CHUNG'!$M$4:$M$105=Q"&amp;"212, 1) * ('1. DATA CHUNG'!$L$4:$L$105&lt;=TODAY()) ),   2, 0),  1, 1), 
  IFERROR( INDEX(FILTER('1. DATA CHUNG'!$J$4:$J$105, (TRIM('1. DATA CHUNG'!$I$4:$I$105)=TRIM(K212)) * IF(COUNTIFS('1. DATA CHUNG'!$I$4:$I$105,K212,'1. DATA CHUNG'!$M$4:$M$105,Q212), '1."&amp;" DATA CHUNG'!$M$4:$M$105=Q212, 1) * ('1. DATA CHUNG'!$L$4:$L$105="""")), 1), ""Không tìm thấy"" ))"),7.0)</f>
        <v>7</v>
      </c>
      <c r="AI212" s="273">
        <f t="shared" si="2"/>
        <v>46038</v>
      </c>
      <c r="AJ212" s="287"/>
      <c r="AK212" s="286">
        <f t="shared" si="3"/>
        <v>0</v>
      </c>
      <c r="AL212" s="287">
        <f t="shared" si="4"/>
        <v>2</v>
      </c>
      <c r="AM212" s="287">
        <f t="shared" si="5"/>
        <v>6</v>
      </c>
      <c r="AN212" s="279">
        <f t="shared" si="6"/>
        <v>6</v>
      </c>
      <c r="AO212" s="295" t="str">
        <f t="shared" si="7"/>
        <v>01/2026</v>
      </c>
      <c r="AP212" s="277" t="str">
        <f t="array" ref="AP212">IFERROR(XLOOKUP(L212,'2. DATA NL, VTBB'!C:C,'2. DATA NL, VTBB'!F:F),"")</f>
        <v>HH0130</v>
      </c>
      <c r="AQ212" s="277" t="str">
        <f t="array" ref="AQ212">IF(OR(K212="Nhãn", K212="Nhãn thùng",K212="Nhãn Túi"), K212 &amp; " " &amp; IFERROR(XLOOKUP(L212, '2. DATA NL, VTBB'!C:C, '2. DATA NL, VTBB'!E:E), ""), "")</f>
        <v/>
      </c>
      <c r="AR212" s="278" t="str">
        <f t="array" ref="AR212">IFERROR(XLOOKUP(L212,'2. DATA NL, VTBB'!C:C,'2. DATA NL, VTBB'!G:G),"")</f>
        <v>GC - II - 811 - AGC - Power + (Gel nâu đen) (chai HD) - 500ml - 40</v>
      </c>
      <c r="AS212" s="278" t="str">
        <f t="array" ref="AS212">IFERROR(XLOOKUP(L212,'2. DATA NL, VTBB'!C:C,'2. DATA NL, VTBB'!G:G),"")</f>
        <v>GC - II - 811 - AGC - Power + (Gel nâu đen) (chai HD) - 500ml - 40</v>
      </c>
      <c r="AT212" s="277"/>
    </row>
    <row r="213" ht="30.75" customHeight="1">
      <c r="A213" s="272">
        <f t="shared" si="44"/>
        <v>210</v>
      </c>
      <c r="B213" s="289">
        <v>46031.0</v>
      </c>
      <c r="C213" s="273">
        <v>46032.0</v>
      </c>
      <c r="D213" s="273">
        <f t="shared" si="50"/>
        <v>46034</v>
      </c>
      <c r="E213" s="289">
        <v>46035.0</v>
      </c>
      <c r="F213" s="274" t="s">
        <v>561</v>
      </c>
      <c r="G213" s="275" t="s">
        <v>562</v>
      </c>
      <c r="H213" s="274" t="s">
        <v>304</v>
      </c>
      <c r="I213" s="275" t="s">
        <v>744</v>
      </c>
      <c r="J213" s="279" t="s">
        <v>916</v>
      </c>
      <c r="K213" s="275" t="s">
        <v>728</v>
      </c>
      <c r="L213" s="277" t="s">
        <v>917</v>
      </c>
      <c r="M213" s="278" t="str">
        <f t="array" ref="M213">IFERROR(XLOOKUP(L213,'2. DATA NL, VTBB'!C:C,'2. DATA NL, VTBB'!D:D),"")</f>
        <v>Chai HDPE tròn cổ 33 100ml - Trắng</v>
      </c>
      <c r="N213" s="280"/>
      <c r="O213" s="280" t="str">
        <f t="array" ref="O213">IFERROR( XLOOKUP(L213,'2. DATA NL, VTBB'!C:C,'2. DATA NL, VTBB'!E:E),"")</f>
        <v>Creek 2.1EC</v>
      </c>
      <c r="P213" s="275" t="s">
        <v>565</v>
      </c>
      <c r="Q213" s="311"/>
      <c r="R213" s="290" t="s">
        <v>566</v>
      </c>
      <c r="S213" s="280"/>
      <c r="T213" s="277"/>
      <c r="U213" s="277"/>
      <c r="V213" s="283">
        <v>2000.0</v>
      </c>
      <c r="W213" s="275" t="s">
        <v>699</v>
      </c>
      <c r="X213" s="283">
        <v>2000.0</v>
      </c>
      <c r="Y213" s="274">
        <v>2400.0</v>
      </c>
      <c r="Z213" s="272">
        <v>1540.0</v>
      </c>
      <c r="AA213" s="285">
        <v>0.08</v>
      </c>
      <c r="AB213" s="282">
        <v>3991680.0</v>
      </c>
      <c r="AC213" s="277"/>
      <c r="AD213" s="289">
        <v>46031.0</v>
      </c>
      <c r="AE213" s="272">
        <v>172.0</v>
      </c>
      <c r="AF213" s="277"/>
      <c r="AG213" s="277"/>
      <c r="AH213" s="294">
        <f>IFERROR(__xludf.DUMMYFUNCTION("IFERROR(INDEX( SORT(FILTER(
        {'1. DATA CHUNG'!$J$4:$J$105 , '1. DATA CHUNG'!$L$4:$L$105}, (TRIM('1. DATA CHUNG'!$I$4:$I$105)=TRIM(K213)) * IF(COUNTIFS('1. DATA CHUNG'!$I$4:$I$105,K213,'1. DATA CHUNG'!$M$4:$M$105,Q213), '1. DATA CHUNG'!$M$4:$M$105=Q"&amp;"213, 1) * ('1. DATA CHUNG'!$L$4:$L$105&lt;=TODAY()) ),   2, 0),  1, 1), 
  IFERROR( INDEX(FILTER('1. DATA CHUNG'!$J$4:$J$105, (TRIM('1. DATA CHUNG'!$I$4:$I$105)=TRIM(K213)) * IF(COUNTIFS('1. DATA CHUNG'!$I$4:$I$105,K213,'1. DATA CHUNG'!$M$4:$M$105,Q213), '1."&amp;" DATA CHUNG'!$M$4:$M$105=Q213, 1) * ('1. DATA CHUNG'!$L$4:$L$105="""")), 1), ""Không tìm thấy"" ))"),7.0)</f>
        <v>7</v>
      </c>
      <c r="AI213" s="273">
        <f t="shared" si="2"/>
        <v>46038</v>
      </c>
      <c r="AJ213" s="287"/>
      <c r="AK213" s="286">
        <f t="shared" si="3"/>
        <v>0</v>
      </c>
      <c r="AL213" s="287">
        <f t="shared" si="4"/>
        <v>-1</v>
      </c>
      <c r="AM213" s="287">
        <f t="shared" si="5"/>
        <v>3</v>
      </c>
      <c r="AN213" s="279">
        <f t="shared" si="6"/>
        <v>6</v>
      </c>
      <c r="AO213" s="295" t="str">
        <f t="shared" si="7"/>
        <v>01/2026</v>
      </c>
      <c r="AP213" s="277" t="str">
        <f t="array" ref="AP213">IFERROR(XLOOKUP(L213,'2. DATA NL, VTBB'!C:C,'2. DATA NL, VTBB'!F:F),"")</f>
        <v>HH0018</v>
      </c>
      <c r="AQ213" s="277" t="str">
        <f t="array" ref="AQ213">IF(OR(K213="Nhãn", K213="Nhãn thùng",K213="Nhãn Túi"), K213 &amp; " " &amp; IFERROR(XLOOKUP(L213, '2. DATA NL, VTBB'!C:C, '2. DATA NL, VTBB'!E:E), ""), "")</f>
        <v/>
      </c>
      <c r="AR213" s="278" t="str">
        <f t="array" ref="AR213">IFERROR(XLOOKUP(L213,'2. DATA NL, VTBB'!C:C,'2. DATA NL, VTBB'!G:G),"")</f>
        <v>LOT IDA Global - I - 312 - Creek 2.1EC (chai pet vuông)- 450ml - 40</v>
      </c>
      <c r="AS213" s="278" t="str">
        <f t="array" ref="AS213">IFERROR(XLOOKUP(L213,'2. DATA NL, VTBB'!C:C,'2. DATA NL, VTBB'!G:G),"")</f>
        <v>LOT IDA Global - I - 312 - Creek 2.1EC (chai pet vuông)- 450ml - 40</v>
      </c>
      <c r="AT213" s="277"/>
    </row>
    <row r="214" ht="30.75" customHeight="1">
      <c r="A214" s="272">
        <f t="shared" si="44"/>
        <v>211</v>
      </c>
      <c r="B214" s="289">
        <v>46031.0</v>
      </c>
      <c r="C214" s="273">
        <v>46032.0</v>
      </c>
      <c r="D214" s="273">
        <f t="shared" si="50"/>
        <v>46034</v>
      </c>
      <c r="E214" s="289">
        <v>46035.0</v>
      </c>
      <c r="F214" s="274" t="s">
        <v>561</v>
      </c>
      <c r="G214" s="275" t="s">
        <v>562</v>
      </c>
      <c r="H214" s="274" t="s">
        <v>304</v>
      </c>
      <c r="I214" s="275" t="s">
        <v>744</v>
      </c>
      <c r="J214" s="279" t="s">
        <v>916</v>
      </c>
      <c r="K214" s="275" t="s">
        <v>730</v>
      </c>
      <c r="L214" s="277" t="s">
        <v>918</v>
      </c>
      <c r="M214" s="278" t="str">
        <f t="array" ref="M214">IFERROR(XLOOKUP(L214,'2. DATA NL, VTBB'!C:C,'2. DATA NL, VTBB'!D:D),"")</f>
        <v>Nắp HDPE cổ 33 (5.5gr) trắng trơn</v>
      </c>
      <c r="N214" s="280"/>
      <c r="O214" s="280" t="str">
        <f t="array" ref="O214">IFERROR( XLOOKUP(L214,'2. DATA NL, VTBB'!C:C,'2. DATA NL, VTBB'!E:E),"")</f>
        <v>Leafroll 260SC</v>
      </c>
      <c r="P214" s="275" t="s">
        <v>565</v>
      </c>
      <c r="Q214" s="311"/>
      <c r="R214" s="290" t="s">
        <v>566</v>
      </c>
      <c r="S214" s="280"/>
      <c r="T214" s="277"/>
      <c r="U214" s="277"/>
      <c r="V214" s="283">
        <v>2000.0</v>
      </c>
      <c r="W214" s="275" t="s">
        <v>699</v>
      </c>
      <c r="X214" s="283">
        <v>2000.0</v>
      </c>
      <c r="Y214" s="274">
        <v>2400.0</v>
      </c>
      <c r="Z214" s="272">
        <v>500.0</v>
      </c>
      <c r="AA214" s="285">
        <v>0.08</v>
      </c>
      <c r="AB214" s="282">
        <v>1296000.0</v>
      </c>
      <c r="AC214" s="277"/>
      <c r="AD214" s="289">
        <v>46031.0</v>
      </c>
      <c r="AE214" s="272">
        <v>172.0</v>
      </c>
      <c r="AF214" s="277"/>
      <c r="AG214" s="277"/>
      <c r="AH214" s="294">
        <f>IFERROR(__xludf.DUMMYFUNCTION("IFERROR(INDEX( SORT(FILTER(
        {'1. DATA CHUNG'!$J$4:$J$105 , '1. DATA CHUNG'!$L$4:$L$105}, (TRIM('1. DATA CHUNG'!$I$4:$I$105)=TRIM(K214)) * IF(COUNTIFS('1. DATA CHUNG'!$I$4:$I$105,K214,'1. DATA CHUNG'!$M$4:$M$105,Q214), '1. DATA CHUNG'!$M$4:$M$105=Q"&amp;"214, 1) * ('1. DATA CHUNG'!$L$4:$L$105&lt;=TODAY()) ),   2, 0),  1, 1), 
  IFERROR( INDEX(FILTER('1. DATA CHUNG'!$J$4:$J$105, (TRIM('1. DATA CHUNG'!$I$4:$I$105)=TRIM(K214)) * IF(COUNTIFS('1. DATA CHUNG'!$I$4:$I$105,K214,'1. DATA CHUNG'!$M$4:$M$105,Q214), '1."&amp;" DATA CHUNG'!$M$4:$M$105=Q214, 1) * ('1. DATA CHUNG'!$L$4:$L$105="""")), 1), ""Không tìm thấy"" ))"),7.0)</f>
        <v>7</v>
      </c>
      <c r="AI214" s="273">
        <f t="shared" si="2"/>
        <v>46038</v>
      </c>
      <c r="AJ214" s="287"/>
      <c r="AK214" s="286">
        <f t="shared" si="3"/>
        <v>0</v>
      </c>
      <c r="AL214" s="287">
        <f t="shared" si="4"/>
        <v>-1</v>
      </c>
      <c r="AM214" s="287">
        <f t="shared" si="5"/>
        <v>3</v>
      </c>
      <c r="AN214" s="279">
        <f t="shared" si="6"/>
        <v>6</v>
      </c>
      <c r="AO214" s="295" t="str">
        <f t="shared" si="7"/>
        <v>01/2026</v>
      </c>
      <c r="AP214" s="277" t="str">
        <f t="array" ref="AP214">IFERROR(XLOOKUP(L214,'2. DATA NL, VTBB'!C:C,'2. DATA NL, VTBB'!F:F),"")</f>
        <v>HH0027</v>
      </c>
      <c r="AQ214" s="277" t="str">
        <f t="array" ref="AQ214">IF(OR(K214="Nhãn", K214="Nhãn thùng",K214="Nhãn Túi"), K214 &amp; " " &amp; IFERROR(XLOOKUP(L214, '2. DATA NL, VTBB'!C:C, '2. DATA NL, VTBB'!E:E), ""), "")</f>
        <v/>
      </c>
      <c r="AR214" s="278" t="str">
        <f t="array" ref="AR214">IFERROR(XLOOKUP(L214,'2. DATA NL, VTBB'!C:C,'2. DATA NL, VTBB'!G:G),"")</f>
        <v>IDA Global - I - 388 - YUMY Leafroll 260SC - 120ml - 100</v>
      </c>
      <c r="AS214" s="278" t="str">
        <f t="array" ref="AS214">IFERROR(XLOOKUP(L214,'2. DATA NL, VTBB'!C:C,'2. DATA NL, VTBB'!G:G),"")</f>
        <v>IDA Global - I - 388 - YUMY Leafroll 260SC - 120ml - 100</v>
      </c>
      <c r="AT214" s="277"/>
    </row>
    <row r="215" ht="30.75" customHeight="1">
      <c r="A215" s="272">
        <f t="shared" si="44"/>
        <v>212</v>
      </c>
      <c r="B215" s="289">
        <v>46031.0</v>
      </c>
      <c r="C215" s="289">
        <v>46038.0</v>
      </c>
      <c r="D215" s="289">
        <f t="shared" ref="D215:D216" si="51">B215+15</f>
        <v>46046</v>
      </c>
      <c r="E215" s="289">
        <v>46041.0</v>
      </c>
      <c r="F215" s="274" t="s">
        <v>561</v>
      </c>
      <c r="G215" s="275" t="s">
        <v>562</v>
      </c>
      <c r="H215" s="274" t="s">
        <v>304</v>
      </c>
      <c r="I215" s="275" t="s">
        <v>305</v>
      </c>
      <c r="J215" s="279" t="s">
        <v>919</v>
      </c>
      <c r="K215" s="275" t="s">
        <v>301</v>
      </c>
      <c r="L215" s="277" t="s">
        <v>910</v>
      </c>
      <c r="M215" s="278" t="str">
        <f t="array" ref="M215">IFERROR(XLOOKUP(L215,'2. DATA NL, VTBB'!C:C,'2. DATA NL, VTBB'!D:D),"")</f>
        <v>Thùng VISANTO 50g x 100 gói và 120g, 150g x 80 gói, 300g x 30 gói (47.5x41.5x28cm) - Trắng xanh dương</v>
      </c>
      <c r="N215" s="280"/>
      <c r="O215" s="280" t="str">
        <f t="array" ref="O215">IFERROR( XLOOKUP(L215,'2. DATA NL, VTBB'!C:C,'2. DATA NL, VTBB'!E:E),"")</f>
        <v>Prima 04</v>
      </c>
      <c r="P215" s="275" t="s">
        <v>565</v>
      </c>
      <c r="Q215" s="311"/>
      <c r="R215" s="291" t="s">
        <v>584</v>
      </c>
      <c r="S215" s="280"/>
      <c r="T215" s="277"/>
      <c r="U215" s="277"/>
      <c r="V215" s="283">
        <v>100.0</v>
      </c>
      <c r="W215" s="275" t="s">
        <v>699</v>
      </c>
      <c r="X215" s="283">
        <v>100.0</v>
      </c>
      <c r="Y215" s="274">
        <v>100.0</v>
      </c>
      <c r="Z215" s="272">
        <v>23600.0</v>
      </c>
      <c r="AA215" s="285">
        <v>0.08</v>
      </c>
      <c r="AB215" s="282">
        <v>2548800.0</v>
      </c>
      <c r="AC215" s="277"/>
      <c r="AD215" s="289">
        <v>46031.0</v>
      </c>
      <c r="AE215" s="312"/>
      <c r="AF215" s="277"/>
      <c r="AG215" s="277"/>
      <c r="AH215" s="294">
        <f>IFERROR(__xludf.DUMMYFUNCTION("IFERROR(INDEX( SORT(FILTER(
        {'1. DATA CHUNG'!$J$4:$J$105 , '1. DATA CHUNG'!$L$4:$L$105}, (TRIM('1. DATA CHUNG'!$I$4:$I$105)=TRIM(K215)) * IF(COUNTIFS('1. DATA CHUNG'!$I$4:$I$105,K215,'1. DATA CHUNG'!$M$4:$M$105,Q215), '1. DATA CHUNG'!$M$4:$M$105=Q"&amp;"215, 1) * ('1. DATA CHUNG'!$L$4:$L$105&lt;=TODAY()) ),   2, 0),  1, 1), 
  IFERROR( INDEX(FILTER('1. DATA CHUNG'!$J$4:$J$105, (TRIM('1. DATA CHUNG'!$I$4:$I$105)=TRIM(K215)) * IF(COUNTIFS('1. DATA CHUNG'!$I$4:$I$105,K215,'1. DATA CHUNG'!$M$4:$M$105,Q215), '1."&amp;" DATA CHUNG'!$M$4:$M$105=Q215, 1) * ('1. DATA CHUNG'!$L$4:$L$105="""")), 1), ""Không tìm thấy"" ))"),18.0)</f>
        <v>18</v>
      </c>
      <c r="AI215" s="273">
        <f t="shared" si="2"/>
        <v>46049</v>
      </c>
      <c r="AJ215" s="287"/>
      <c r="AK215" s="286">
        <f t="shared" si="3"/>
        <v>0</v>
      </c>
      <c r="AL215" s="287">
        <f t="shared" si="4"/>
        <v>5</v>
      </c>
      <c r="AM215" s="287">
        <f t="shared" si="5"/>
        <v>8</v>
      </c>
      <c r="AN215" s="279">
        <f t="shared" si="6"/>
        <v>11</v>
      </c>
      <c r="AO215" s="295" t="str">
        <f t="shared" si="7"/>
        <v>01/2026</v>
      </c>
      <c r="AP215" s="277" t="str">
        <f t="array" ref="AP215">IFERROR(XLOOKUP(L215,'2. DATA NL, VTBB'!C:C,'2. DATA NL, VTBB'!F:F),"")</f>
        <v>HH0269</v>
      </c>
      <c r="AQ215" s="277" t="str">
        <f t="array" ref="AQ215">IF(OR(K215="Nhãn", K215="Nhãn thùng",K215="Nhãn Túi"), K215 &amp; " " &amp; IFERROR(XLOOKUP(L215, '2. DATA NL, VTBB'!C:C, '2. DATA NL, VTBB'!E:E), ""), "")</f>
        <v/>
      </c>
      <c r="AR215" s="278" t="str">
        <f t="array" ref="AR215">IFERROR(XLOOKUP(L215,'2. DATA NL, VTBB'!C:C,'2. DATA NL, VTBB'!G:G),"")</f>
        <v>GC - II - 688 - AU - Gel Humiix - 10kg - 1 ([btp],x,n)</v>
      </c>
      <c r="AS215" s="278" t="str">
        <f t="array" ref="AS215">IFERROR(XLOOKUP(L215,'2. DATA NL, VTBB'!C:C,'2. DATA NL, VTBB'!G:G),"")</f>
        <v>GC - II - 688 - AU - Gel Humiix - 10kg - 1 ([btp],x,n)</v>
      </c>
      <c r="AT215" s="277"/>
    </row>
    <row r="216" ht="30.75" customHeight="1">
      <c r="A216" s="272">
        <f t="shared" si="44"/>
        <v>213</v>
      </c>
      <c r="B216" s="289">
        <v>46031.0</v>
      </c>
      <c r="C216" s="289">
        <v>46038.0</v>
      </c>
      <c r="D216" s="289">
        <f t="shared" si="51"/>
        <v>46046</v>
      </c>
      <c r="E216" s="289">
        <v>46041.0</v>
      </c>
      <c r="F216" s="274" t="s">
        <v>561</v>
      </c>
      <c r="G216" s="275" t="s">
        <v>562</v>
      </c>
      <c r="H216" s="274" t="s">
        <v>304</v>
      </c>
      <c r="I216" s="275" t="s">
        <v>305</v>
      </c>
      <c r="J216" s="279" t="s">
        <v>920</v>
      </c>
      <c r="K216" s="275" t="s">
        <v>301</v>
      </c>
      <c r="L216" s="277" t="s">
        <v>910</v>
      </c>
      <c r="M216" s="278" t="str">
        <f t="array" ref="M216">IFERROR(XLOOKUP(L216,'2. DATA NL, VTBB'!C:C,'2. DATA NL, VTBB'!D:D),"")</f>
        <v>Thùng VISANTO 50g x 100 gói và 120g, 150g x 80 gói, 300g x 30 gói (47.5x41.5x28cm) - Trắng xanh dương</v>
      </c>
      <c r="N216" s="280"/>
      <c r="O216" s="280" t="str">
        <f t="array" ref="O216">IFERROR( XLOOKUP(L216,'2. DATA NL, VTBB'!C:C,'2. DATA NL, VTBB'!E:E),"")</f>
        <v>Prima 04</v>
      </c>
      <c r="P216" s="275" t="s">
        <v>565</v>
      </c>
      <c r="Q216" s="311"/>
      <c r="R216" s="291" t="s">
        <v>573</v>
      </c>
      <c r="S216" s="280"/>
      <c r="T216" s="277"/>
      <c r="U216" s="277"/>
      <c r="V216" s="283">
        <v>100.0</v>
      </c>
      <c r="W216" s="275" t="s">
        <v>699</v>
      </c>
      <c r="X216" s="283">
        <v>100.0</v>
      </c>
      <c r="Y216" s="274">
        <v>100.0</v>
      </c>
      <c r="Z216" s="272">
        <v>23600.0</v>
      </c>
      <c r="AA216" s="285">
        <v>0.08</v>
      </c>
      <c r="AB216" s="282">
        <v>2548800.0</v>
      </c>
      <c r="AC216" s="277"/>
      <c r="AD216" s="289">
        <v>46031.0</v>
      </c>
      <c r="AE216" s="312"/>
      <c r="AF216" s="277"/>
      <c r="AG216" s="277"/>
      <c r="AH216" s="294">
        <f>IFERROR(__xludf.DUMMYFUNCTION("IFERROR(INDEX( SORT(FILTER(
        {'1. DATA CHUNG'!$J$4:$J$105 , '1. DATA CHUNG'!$L$4:$L$105}, (TRIM('1. DATA CHUNG'!$I$4:$I$105)=TRIM(K216)) * IF(COUNTIFS('1. DATA CHUNG'!$I$4:$I$105,K216,'1. DATA CHUNG'!$M$4:$M$105,Q216), '1. DATA CHUNG'!$M$4:$M$105=Q"&amp;"216, 1) * ('1. DATA CHUNG'!$L$4:$L$105&lt;=TODAY()) ),   2, 0),  1, 1), 
  IFERROR( INDEX(FILTER('1. DATA CHUNG'!$J$4:$J$105, (TRIM('1. DATA CHUNG'!$I$4:$I$105)=TRIM(K216)) * IF(COUNTIFS('1. DATA CHUNG'!$I$4:$I$105,K216,'1. DATA CHUNG'!$M$4:$M$105,Q216), '1."&amp;" DATA CHUNG'!$M$4:$M$105=Q216, 1) * ('1. DATA CHUNG'!$L$4:$L$105="""")), 1), ""Không tìm thấy"" ))"),18.0)</f>
        <v>18</v>
      </c>
      <c r="AI216" s="273">
        <f t="shared" si="2"/>
        <v>46049</v>
      </c>
      <c r="AJ216" s="287"/>
      <c r="AK216" s="286">
        <f t="shared" si="3"/>
        <v>0</v>
      </c>
      <c r="AL216" s="287">
        <f t="shared" si="4"/>
        <v>5</v>
      </c>
      <c r="AM216" s="287">
        <f t="shared" si="5"/>
        <v>8</v>
      </c>
      <c r="AN216" s="279">
        <f t="shared" si="6"/>
        <v>11</v>
      </c>
      <c r="AO216" s="295" t="str">
        <f t="shared" si="7"/>
        <v>01/2026</v>
      </c>
      <c r="AP216" s="277" t="str">
        <f t="array" ref="AP216">IFERROR(XLOOKUP(L216,'2. DATA NL, VTBB'!C:C,'2. DATA NL, VTBB'!F:F),"")</f>
        <v>HH0269</v>
      </c>
      <c r="AQ216" s="277" t="str">
        <f t="array" ref="AQ216">IF(OR(K216="Nhãn", K216="Nhãn thùng",K216="Nhãn Túi"), K216 &amp; " " &amp; IFERROR(XLOOKUP(L216, '2. DATA NL, VTBB'!C:C, '2. DATA NL, VTBB'!E:E), ""), "")</f>
        <v/>
      </c>
      <c r="AR216" s="278" t="str">
        <f t="array" ref="AR216">IFERROR(XLOOKUP(L216,'2. DATA NL, VTBB'!C:C,'2. DATA NL, VTBB'!G:G),"")</f>
        <v>GC - II - 688 - AU - Gel Humiix - 10kg - 1 ([btp],x,n)</v>
      </c>
      <c r="AS216" s="278" t="str">
        <f t="array" ref="AS216">IFERROR(XLOOKUP(L216,'2. DATA NL, VTBB'!C:C,'2. DATA NL, VTBB'!G:G),"")</f>
        <v>GC - II - 688 - AU - Gel Humiix - 10kg - 1 ([btp],x,n)</v>
      </c>
      <c r="AT216" s="277"/>
    </row>
    <row r="217" ht="30.75" customHeight="1">
      <c r="A217" s="272">
        <f t="shared" si="44"/>
        <v>214</v>
      </c>
      <c r="B217" s="289">
        <v>46031.0</v>
      </c>
      <c r="C217" s="289">
        <v>46038.0</v>
      </c>
      <c r="D217" s="289">
        <v>46060.0</v>
      </c>
      <c r="E217" s="289">
        <v>46062.0</v>
      </c>
      <c r="F217" s="274" t="s">
        <v>561</v>
      </c>
      <c r="G217" s="275" t="s">
        <v>562</v>
      </c>
      <c r="H217" s="274" t="s">
        <v>304</v>
      </c>
      <c r="I217" s="275" t="s">
        <v>305</v>
      </c>
      <c r="J217" s="279" t="s">
        <v>921</v>
      </c>
      <c r="K217" s="275" t="s">
        <v>301</v>
      </c>
      <c r="L217" s="277" t="s">
        <v>922</v>
      </c>
      <c r="M217" s="278" t="str">
        <f t="array" ref="M217">IFERROR(XLOOKUP(L217,'2. DATA NL, VTBB'!C:C,'2. DATA NL, VTBB'!D:D),"")</f>
        <v>Thùng Chung gói 500gr x 50 gói/thùng (55x48x26cm) - Trắng viền đen</v>
      </c>
      <c r="N217" s="280"/>
      <c r="O217" s="280" t="str">
        <f t="array" ref="O217">IFERROR( XLOOKUP(L217,'2. DATA NL, VTBB'!C:C,'2. DATA NL, VTBB'!E:E),"")</f>
        <v>Centertaner 500WP</v>
      </c>
      <c r="P217" s="275" t="s">
        <v>565</v>
      </c>
      <c r="Q217" s="311"/>
      <c r="R217" s="291" t="s">
        <v>590</v>
      </c>
      <c r="S217" s="280"/>
      <c r="T217" s="277"/>
      <c r="U217" s="277"/>
      <c r="V217" s="283">
        <v>100.0</v>
      </c>
      <c r="W217" s="275" t="s">
        <v>699</v>
      </c>
      <c r="X217" s="283">
        <v>100.0</v>
      </c>
      <c r="Y217" s="274">
        <v>100.0</v>
      </c>
      <c r="Z217" s="272">
        <v>29000.0</v>
      </c>
      <c r="AA217" s="285">
        <v>0.08</v>
      </c>
      <c r="AB217" s="282">
        <v>3132000.0</v>
      </c>
      <c r="AC217" s="277"/>
      <c r="AD217" s="289">
        <v>46031.0</v>
      </c>
      <c r="AE217" s="312"/>
      <c r="AF217" s="277"/>
      <c r="AG217" s="277"/>
      <c r="AH217" s="294">
        <f>IFERROR(__xludf.DUMMYFUNCTION("IFERROR(INDEX( SORT(FILTER(
        {'1. DATA CHUNG'!$J$4:$J$105 , '1. DATA CHUNG'!$L$4:$L$105}, (TRIM('1. DATA CHUNG'!$I$4:$I$105)=TRIM(K217)) * IF(COUNTIFS('1. DATA CHUNG'!$I$4:$I$105,K217,'1. DATA CHUNG'!$M$4:$M$105,Q217), '1. DATA CHUNG'!$M$4:$M$105=Q"&amp;"217, 1) * ('1. DATA CHUNG'!$L$4:$L$105&lt;=TODAY()) ),   2, 0),  1, 1), 
  IFERROR( INDEX(FILTER('1. DATA CHUNG'!$J$4:$J$105, (TRIM('1. DATA CHUNG'!$I$4:$I$105)=TRIM(K217)) * IF(COUNTIFS('1. DATA CHUNG'!$I$4:$I$105,K217,'1. DATA CHUNG'!$M$4:$M$105,Q217), '1."&amp;" DATA CHUNG'!$M$4:$M$105=Q217, 1) * ('1. DATA CHUNG'!$L$4:$L$105="""")), 1), ""Không tìm thấy"" ))"),18.0)</f>
        <v>18</v>
      </c>
      <c r="AI217" s="273">
        <f t="shared" si="2"/>
        <v>46049</v>
      </c>
      <c r="AJ217" s="287"/>
      <c r="AK217" s="286">
        <f t="shared" si="3"/>
        <v>0</v>
      </c>
      <c r="AL217" s="287">
        <f t="shared" si="4"/>
        <v>-2</v>
      </c>
      <c r="AM217" s="287">
        <f t="shared" si="5"/>
        <v>-13</v>
      </c>
      <c r="AN217" s="279">
        <f t="shared" si="6"/>
        <v>11</v>
      </c>
      <c r="AO217" s="295" t="str">
        <f t="shared" si="7"/>
        <v>01/2026</v>
      </c>
      <c r="AP217" s="277" t="str">
        <f t="array" ref="AP217">IFERROR(XLOOKUP(L217,'2. DATA NL, VTBB'!C:C,'2. DATA NL, VTBB'!F:F),"")</f>
        <v>HH0273</v>
      </c>
      <c r="AQ217" s="277" t="str">
        <f t="array" ref="AQ217">IF(OR(K217="Nhãn", K217="Nhãn thùng",K217="Nhãn Túi"), K217 &amp; " " &amp; IFERROR(XLOOKUP(L217, '2. DATA NL, VTBB'!C:C, '2. DATA NL, VTBB'!E:E), ""), "")</f>
        <v/>
      </c>
      <c r="AR217" s="278" t="str">
        <f t="array" ref="AR217">IFERROR(XLOOKUP(L217,'2. DATA NL, VTBB'!C:C,'2. DATA NL, VTBB'!G:G),"")</f>
        <v>IDA Global - I - 690 - Centertaner 500 WP (túi nhôm) - 12 gr - 400</v>
      </c>
      <c r="AS217" s="278" t="str">
        <f t="array" ref="AS217">IFERROR(XLOOKUP(L217,'2. DATA NL, VTBB'!C:C,'2. DATA NL, VTBB'!G:G),"")</f>
        <v>IDA Global - I - 690 - Centertaner 500 WP (túi nhôm) - 12 gr - 400</v>
      </c>
      <c r="AT217" s="277"/>
    </row>
    <row r="218" ht="30.75" customHeight="1">
      <c r="A218" s="272">
        <f t="shared" si="44"/>
        <v>215</v>
      </c>
      <c r="B218" s="289">
        <v>46031.0</v>
      </c>
      <c r="C218" s="289">
        <v>46038.0</v>
      </c>
      <c r="D218" s="289">
        <v>46060.0</v>
      </c>
      <c r="E218" s="289">
        <v>46062.0</v>
      </c>
      <c r="F218" s="274" t="s">
        <v>561</v>
      </c>
      <c r="G218" s="275" t="s">
        <v>562</v>
      </c>
      <c r="H218" s="274" t="s">
        <v>304</v>
      </c>
      <c r="I218" s="275" t="s">
        <v>305</v>
      </c>
      <c r="J218" s="279" t="s">
        <v>923</v>
      </c>
      <c r="K218" s="275" t="s">
        <v>301</v>
      </c>
      <c r="L218" s="277" t="s">
        <v>922</v>
      </c>
      <c r="M218" s="278" t="str">
        <f t="array" ref="M218">IFERROR(XLOOKUP(L218,'2. DATA NL, VTBB'!C:C,'2. DATA NL, VTBB'!D:D),"")</f>
        <v>Thùng Chung gói 500gr x 50 gói/thùng (55x48x26cm) - Trắng viền đen</v>
      </c>
      <c r="N218" s="280"/>
      <c r="O218" s="280" t="str">
        <f t="array" ref="O218">IFERROR( XLOOKUP(L218,'2. DATA NL, VTBB'!C:C,'2. DATA NL, VTBB'!E:E),"")</f>
        <v>Centertaner 500WP</v>
      </c>
      <c r="P218" s="275" t="s">
        <v>565</v>
      </c>
      <c r="Q218" s="311"/>
      <c r="R218" s="291" t="s">
        <v>584</v>
      </c>
      <c r="S218" s="280"/>
      <c r="T218" s="277"/>
      <c r="U218" s="277"/>
      <c r="V218" s="283">
        <v>100.0</v>
      </c>
      <c r="W218" s="275" t="s">
        <v>699</v>
      </c>
      <c r="X218" s="283">
        <v>100.0</v>
      </c>
      <c r="Y218" s="274">
        <v>100.0</v>
      </c>
      <c r="Z218" s="272">
        <v>29000.0</v>
      </c>
      <c r="AA218" s="285">
        <v>0.08</v>
      </c>
      <c r="AB218" s="282">
        <v>3132000.0</v>
      </c>
      <c r="AC218" s="277"/>
      <c r="AD218" s="289">
        <v>46031.0</v>
      </c>
      <c r="AE218" s="312"/>
      <c r="AF218" s="277"/>
      <c r="AG218" s="277"/>
      <c r="AH218" s="294">
        <f>IFERROR(__xludf.DUMMYFUNCTION("IFERROR(INDEX( SORT(FILTER(
        {'1. DATA CHUNG'!$J$4:$J$105 , '1. DATA CHUNG'!$L$4:$L$105}, (TRIM('1. DATA CHUNG'!$I$4:$I$105)=TRIM(K218)) * IF(COUNTIFS('1. DATA CHUNG'!$I$4:$I$105,K218,'1. DATA CHUNG'!$M$4:$M$105,Q218), '1. DATA CHUNG'!$M$4:$M$105=Q"&amp;"218, 1) * ('1. DATA CHUNG'!$L$4:$L$105&lt;=TODAY()) ),   2, 0),  1, 1), 
  IFERROR( INDEX(FILTER('1. DATA CHUNG'!$J$4:$J$105, (TRIM('1. DATA CHUNG'!$I$4:$I$105)=TRIM(K218)) * IF(COUNTIFS('1. DATA CHUNG'!$I$4:$I$105,K218,'1. DATA CHUNG'!$M$4:$M$105,Q218), '1."&amp;" DATA CHUNG'!$M$4:$M$105=Q218, 1) * ('1. DATA CHUNG'!$L$4:$L$105="""")), 1), ""Không tìm thấy"" ))"),18.0)</f>
        <v>18</v>
      </c>
      <c r="AI218" s="273">
        <f t="shared" si="2"/>
        <v>46049</v>
      </c>
      <c r="AJ218" s="287"/>
      <c r="AK218" s="286">
        <f t="shared" si="3"/>
        <v>0</v>
      </c>
      <c r="AL218" s="287">
        <f t="shared" si="4"/>
        <v>-2</v>
      </c>
      <c r="AM218" s="287">
        <f t="shared" si="5"/>
        <v>-13</v>
      </c>
      <c r="AN218" s="279">
        <f t="shared" si="6"/>
        <v>11</v>
      </c>
      <c r="AO218" s="295" t="str">
        <f t="shared" si="7"/>
        <v>01/2026</v>
      </c>
      <c r="AP218" s="277" t="str">
        <f t="array" ref="AP218">IFERROR(XLOOKUP(L218,'2. DATA NL, VTBB'!C:C,'2. DATA NL, VTBB'!F:F),"")</f>
        <v>HH0273</v>
      </c>
      <c r="AQ218" s="277" t="str">
        <f t="array" ref="AQ218">IF(OR(K218="Nhãn", K218="Nhãn thùng",K218="Nhãn Túi"), K218 &amp; " " &amp; IFERROR(XLOOKUP(L218, '2. DATA NL, VTBB'!C:C, '2. DATA NL, VTBB'!E:E), ""), "")</f>
        <v/>
      </c>
      <c r="AR218" s="278" t="str">
        <f t="array" ref="AR218">IFERROR(XLOOKUP(L218,'2. DATA NL, VTBB'!C:C,'2. DATA NL, VTBB'!G:G),"")</f>
        <v>IDA Global - I - 690 - Centertaner 500 WP (túi nhôm) - 12 gr - 400</v>
      </c>
      <c r="AS218" s="278" t="str">
        <f t="array" ref="AS218">IFERROR(XLOOKUP(L218,'2. DATA NL, VTBB'!C:C,'2. DATA NL, VTBB'!G:G),"")</f>
        <v>IDA Global - I - 690 - Centertaner 500 WP (túi nhôm) - 12 gr - 400</v>
      </c>
      <c r="AT218" s="277"/>
    </row>
    <row r="219" ht="30.75" customHeight="1">
      <c r="A219" s="272">
        <f t="shared" si="44"/>
        <v>216</v>
      </c>
      <c r="B219" s="289">
        <v>46031.0</v>
      </c>
      <c r="C219" s="273">
        <v>46032.0</v>
      </c>
      <c r="D219" s="273">
        <f t="shared" ref="D219:D234" si="52">B219+3</f>
        <v>46034</v>
      </c>
      <c r="E219" s="289">
        <v>46035.0</v>
      </c>
      <c r="F219" s="274" t="s">
        <v>561</v>
      </c>
      <c r="G219" s="275" t="s">
        <v>562</v>
      </c>
      <c r="H219" s="274" t="s">
        <v>304</v>
      </c>
      <c r="I219" s="275" t="s">
        <v>744</v>
      </c>
      <c r="J219" s="279" t="s">
        <v>924</v>
      </c>
      <c r="K219" s="275" t="s">
        <v>728</v>
      </c>
      <c r="L219" s="277" t="s">
        <v>925</v>
      </c>
      <c r="M219" s="278" t="str">
        <f t="array" ref="M219">IFERROR(XLOOKUP(L219,'2. DATA NL, VTBB'!C:C,'2. DATA NL, VTBB'!D:D),"")</f>
        <v>Chai HDPE tròn 43 250ml - trắng (không logo)</v>
      </c>
      <c r="N219" s="280"/>
      <c r="O219" s="280" t="str">
        <f t="array" ref="O219">IFERROR( XLOOKUP(L219,'2. DATA NL, VTBB'!C:C,'2. DATA NL, VTBB'!E:E),"")</f>
        <v>THALONIL 75WP</v>
      </c>
      <c r="P219" s="275" t="s">
        <v>565</v>
      </c>
      <c r="Q219" s="311"/>
      <c r="R219" s="290" t="s">
        <v>566</v>
      </c>
      <c r="S219" s="280"/>
      <c r="T219" s="277"/>
      <c r="U219" s="277"/>
      <c r="V219" s="283">
        <v>2000.0</v>
      </c>
      <c r="W219" s="275" t="s">
        <v>699</v>
      </c>
      <c r="X219" s="283">
        <v>2000.0</v>
      </c>
      <c r="Y219" s="274">
        <v>2000.0</v>
      </c>
      <c r="Z219" s="272">
        <v>2100.0</v>
      </c>
      <c r="AA219" s="285">
        <v>0.08</v>
      </c>
      <c r="AB219" s="282">
        <v>4536000.0</v>
      </c>
      <c r="AC219" s="277"/>
      <c r="AD219" s="289">
        <v>46031.0</v>
      </c>
      <c r="AE219" s="272">
        <v>203.0</v>
      </c>
      <c r="AF219" s="277"/>
      <c r="AG219" s="277"/>
      <c r="AH219" s="294">
        <f>IFERROR(__xludf.DUMMYFUNCTION("IFERROR(INDEX( SORT(FILTER(
        {'1. DATA CHUNG'!$J$4:$J$105 , '1. DATA CHUNG'!$L$4:$L$105}, (TRIM('1. DATA CHUNG'!$I$4:$I$105)=TRIM(K219)) * IF(COUNTIFS('1. DATA CHUNG'!$I$4:$I$105,K219,'1. DATA CHUNG'!$M$4:$M$105,Q219), '1. DATA CHUNG'!$M$4:$M$105=Q"&amp;"219, 1) * ('1. DATA CHUNG'!$L$4:$L$105&lt;=TODAY()) ),   2, 0),  1, 1), 
  IFERROR( INDEX(FILTER('1. DATA CHUNG'!$J$4:$J$105, (TRIM('1. DATA CHUNG'!$I$4:$I$105)=TRIM(K219)) * IF(COUNTIFS('1. DATA CHUNG'!$I$4:$I$105,K219,'1. DATA CHUNG'!$M$4:$M$105,Q219), '1."&amp;" DATA CHUNG'!$M$4:$M$105=Q219, 1) * ('1. DATA CHUNG'!$L$4:$L$105="""")), 1), ""Không tìm thấy"" ))"),7.0)</f>
        <v>7</v>
      </c>
      <c r="AI219" s="273">
        <f t="shared" si="2"/>
        <v>46038</v>
      </c>
      <c r="AJ219" s="287"/>
      <c r="AK219" s="286">
        <f t="shared" si="3"/>
        <v>0</v>
      </c>
      <c r="AL219" s="287">
        <f t="shared" si="4"/>
        <v>-1</v>
      </c>
      <c r="AM219" s="287">
        <f t="shared" si="5"/>
        <v>3</v>
      </c>
      <c r="AN219" s="279">
        <f t="shared" si="6"/>
        <v>6</v>
      </c>
      <c r="AO219" s="295" t="str">
        <f t="shared" si="7"/>
        <v>01/2026</v>
      </c>
      <c r="AP219" s="277" t="str">
        <f t="array" ref="AP219">IFERROR(XLOOKUP(L219,'2. DATA NL, VTBB'!C:C,'2. DATA NL, VTBB'!F:F),"")</f>
        <v>HH0118</v>
      </c>
      <c r="AQ219" s="277" t="str">
        <f t="array" ref="AQ219">IF(OR(K219="Nhãn", K219="Nhãn thùng",K219="Nhãn Túi"), K219 &amp; " " &amp; IFERROR(XLOOKUP(L219, '2. DATA NL, VTBB'!C:C, '2. DATA NL, VTBB'!E:E), ""), "")</f>
        <v/>
      </c>
      <c r="AR219" s="278" t="str">
        <f t="array" ref="AR219">IFERROR(XLOOKUP(L219,'2. DATA NL, VTBB'!C:C,'2. DATA NL, VTBB'!G:G),"")</f>
        <v>GC - II - 677 - AU - Diệt sạch nấm (flexo) - 100gr - 100</v>
      </c>
      <c r="AS219" s="278" t="str">
        <f t="array" ref="AS219">IFERROR(XLOOKUP(L219,'2. DATA NL, VTBB'!C:C,'2. DATA NL, VTBB'!G:G),"")</f>
        <v>GC - II - 677 - AU - Diệt sạch nấm (flexo) - 100gr - 100</v>
      </c>
      <c r="AT219" s="277"/>
    </row>
    <row r="220" ht="30.75" customHeight="1">
      <c r="A220" s="272">
        <f t="shared" si="44"/>
        <v>217</v>
      </c>
      <c r="B220" s="289">
        <v>46031.0</v>
      </c>
      <c r="C220" s="273">
        <v>46032.0</v>
      </c>
      <c r="D220" s="273">
        <f t="shared" si="52"/>
        <v>46034</v>
      </c>
      <c r="E220" s="289">
        <v>46035.0</v>
      </c>
      <c r="F220" s="274" t="s">
        <v>561</v>
      </c>
      <c r="G220" s="275" t="s">
        <v>562</v>
      </c>
      <c r="H220" s="274" t="s">
        <v>304</v>
      </c>
      <c r="I220" s="275" t="s">
        <v>744</v>
      </c>
      <c r="J220" s="279" t="s">
        <v>924</v>
      </c>
      <c r="K220" s="275" t="s">
        <v>730</v>
      </c>
      <c r="L220" s="277" t="s">
        <v>817</v>
      </c>
      <c r="M220" s="278" t="str">
        <f t="array" ref="M220">IFERROR(XLOOKUP(L220,'2. DATA NL, VTBB'!C:C,'2. DATA NL, VTBB'!D:D),"")</f>
        <v>Nắp HDPE cổ 43 trắng - không logo</v>
      </c>
      <c r="N220" s="280"/>
      <c r="O220" s="280" t="str">
        <f t="array" ref="O220">IFERROR( XLOOKUP(L220,'2. DATA NL, VTBB'!C:C,'2. DATA NL, VTBB'!E:E),"")</f>
        <v>THALONIL 75WP</v>
      </c>
      <c r="P220" s="275" t="s">
        <v>565</v>
      </c>
      <c r="Q220" s="311"/>
      <c r="R220" s="290" t="s">
        <v>566</v>
      </c>
      <c r="S220" s="280"/>
      <c r="T220" s="277"/>
      <c r="U220" s="277"/>
      <c r="V220" s="283">
        <v>2000.0</v>
      </c>
      <c r="W220" s="275" t="s">
        <v>699</v>
      </c>
      <c r="X220" s="283">
        <v>2000.0</v>
      </c>
      <c r="Y220" s="274">
        <v>2000.0</v>
      </c>
      <c r="Z220" s="272">
        <v>900.0</v>
      </c>
      <c r="AA220" s="285">
        <v>0.08</v>
      </c>
      <c r="AB220" s="282">
        <v>1944000.0</v>
      </c>
      <c r="AC220" s="277"/>
      <c r="AD220" s="289">
        <v>46031.0</v>
      </c>
      <c r="AE220" s="272">
        <v>203.0</v>
      </c>
      <c r="AF220" s="277"/>
      <c r="AG220" s="277"/>
      <c r="AH220" s="294">
        <f>IFERROR(__xludf.DUMMYFUNCTION("IFERROR(INDEX( SORT(FILTER(
        {'1. DATA CHUNG'!$J$4:$J$105 , '1. DATA CHUNG'!$L$4:$L$105}, (TRIM('1. DATA CHUNG'!$I$4:$I$105)=TRIM(K220)) * IF(COUNTIFS('1. DATA CHUNG'!$I$4:$I$105,K220,'1. DATA CHUNG'!$M$4:$M$105,Q220), '1. DATA CHUNG'!$M$4:$M$105=Q"&amp;"220, 1) * ('1. DATA CHUNG'!$L$4:$L$105&lt;=TODAY()) ),   2, 0),  1, 1), 
  IFERROR( INDEX(FILTER('1. DATA CHUNG'!$J$4:$J$105, (TRIM('1. DATA CHUNG'!$I$4:$I$105)=TRIM(K220)) * IF(COUNTIFS('1. DATA CHUNG'!$I$4:$I$105,K220,'1. DATA CHUNG'!$M$4:$M$105,Q220), '1."&amp;" DATA CHUNG'!$M$4:$M$105=Q220, 1) * ('1. DATA CHUNG'!$L$4:$L$105="""")), 1), ""Không tìm thấy"" ))"),7.0)</f>
        <v>7</v>
      </c>
      <c r="AI220" s="273">
        <f t="shared" si="2"/>
        <v>46038</v>
      </c>
      <c r="AJ220" s="287"/>
      <c r="AK220" s="286">
        <f t="shared" si="3"/>
        <v>0</v>
      </c>
      <c r="AL220" s="287">
        <f t="shared" si="4"/>
        <v>-1</v>
      </c>
      <c r="AM220" s="287">
        <f t="shared" si="5"/>
        <v>3</v>
      </c>
      <c r="AN220" s="279">
        <f t="shared" si="6"/>
        <v>6</v>
      </c>
      <c r="AO220" s="295" t="str">
        <f t="shared" si="7"/>
        <v>01/2026</v>
      </c>
      <c r="AP220" s="277" t="str">
        <f t="array" ref="AP220">IFERROR(XLOOKUP(L220,'2. DATA NL, VTBB'!C:C,'2. DATA NL, VTBB'!F:F),"")</f>
        <v>HH0102</v>
      </c>
      <c r="AQ220" s="277" t="str">
        <f t="array" ref="AQ220">IF(OR(K220="Nhãn", K220="Nhãn thùng",K220="Nhãn Túi"), K220 &amp; " " &amp; IFERROR(XLOOKUP(L220, '2. DATA NL, VTBB'!C:C, '2. DATA NL, VTBB'!E:E), ""), "")</f>
        <v/>
      </c>
      <c r="AR220" s="278" t="str">
        <f t="array" ref="AR220">IFERROR(XLOOKUP(L220,'2. DATA NL, VTBB'!C:C,'2. DATA NL, VTBB'!G:G),"")</f>
        <v>GC - II - 678 - AU - Chlorothalonil (flexo)- 100gr - 100</v>
      </c>
      <c r="AS220" s="278" t="str">
        <f t="array" ref="AS220">IFERROR(XLOOKUP(L220,'2. DATA NL, VTBB'!C:C,'2. DATA NL, VTBB'!G:G),"")</f>
        <v>GC - II - 678 - AU - Chlorothalonil (flexo)- 100gr - 100</v>
      </c>
      <c r="AT220" s="277"/>
    </row>
    <row r="221" ht="30.75" customHeight="1">
      <c r="A221" s="272">
        <f t="shared" si="44"/>
        <v>218</v>
      </c>
      <c r="B221" s="289">
        <v>46032.0</v>
      </c>
      <c r="C221" s="273">
        <v>46033.0</v>
      </c>
      <c r="D221" s="273">
        <f t="shared" si="52"/>
        <v>46035</v>
      </c>
      <c r="E221" s="289">
        <v>46035.0</v>
      </c>
      <c r="F221" s="274" t="s">
        <v>561</v>
      </c>
      <c r="G221" s="275" t="s">
        <v>562</v>
      </c>
      <c r="H221" s="274" t="s">
        <v>304</v>
      </c>
      <c r="I221" s="275" t="s">
        <v>744</v>
      </c>
      <c r="J221" s="279" t="s">
        <v>926</v>
      </c>
      <c r="K221" s="275" t="s">
        <v>728</v>
      </c>
      <c r="L221" s="277" t="s">
        <v>927</v>
      </c>
      <c r="M221" s="278" t="str">
        <f t="array" ref="M221">IFERROR(XLOOKUP(L221,'2. DATA NL, VTBB'!C:C,'2. DATA NL, VTBB'!D:D),"")</f>
        <v>Chai PET tròn cổ 43 250ml trắng</v>
      </c>
      <c r="N221" s="280"/>
      <c r="O221" s="280" t="str">
        <f t="array" ref="O221">IFERROR( XLOOKUP(L221,'2. DATA NL, VTBB'!C:C,'2. DATA NL, VTBB'!E:E),"")</f>
        <v>Vi lượng Basel DANA 20</v>
      </c>
      <c r="P221" s="275" t="s">
        <v>565</v>
      </c>
      <c r="Q221" s="311"/>
      <c r="R221" s="290" t="s">
        <v>566</v>
      </c>
      <c r="S221" s="280"/>
      <c r="T221" s="277"/>
      <c r="U221" s="277"/>
      <c r="V221" s="283">
        <v>2000.0</v>
      </c>
      <c r="W221" s="275" t="s">
        <v>699</v>
      </c>
      <c r="X221" s="283">
        <v>2000.0</v>
      </c>
      <c r="Y221" s="274">
        <v>2000.0</v>
      </c>
      <c r="Z221" s="272">
        <v>1650.0</v>
      </c>
      <c r="AA221" s="285">
        <v>0.08</v>
      </c>
      <c r="AB221" s="282">
        <v>3564000.0</v>
      </c>
      <c r="AC221" s="277"/>
      <c r="AD221" s="289">
        <v>46032.0</v>
      </c>
      <c r="AE221" s="272">
        <v>203.0</v>
      </c>
      <c r="AF221" s="277"/>
      <c r="AG221" s="277"/>
      <c r="AH221" s="294">
        <f>IFERROR(__xludf.DUMMYFUNCTION("IFERROR(INDEX( SORT(FILTER(
        {'1. DATA CHUNG'!$J$4:$J$105 , '1. DATA CHUNG'!$L$4:$L$105}, (TRIM('1. DATA CHUNG'!$I$4:$I$105)=TRIM(K221)) * IF(COUNTIFS('1. DATA CHUNG'!$I$4:$I$105,K221,'1. DATA CHUNG'!$M$4:$M$105,Q221), '1. DATA CHUNG'!$M$4:$M$105=Q"&amp;"221, 1) * ('1. DATA CHUNG'!$L$4:$L$105&lt;=TODAY()) ),   2, 0),  1, 1), 
  IFERROR( INDEX(FILTER('1. DATA CHUNG'!$J$4:$J$105, (TRIM('1. DATA CHUNG'!$I$4:$I$105)=TRIM(K221)) * IF(COUNTIFS('1. DATA CHUNG'!$I$4:$I$105,K221,'1. DATA CHUNG'!$M$4:$M$105,Q221), '1."&amp;" DATA CHUNG'!$M$4:$M$105=Q221, 1) * ('1. DATA CHUNG'!$L$4:$L$105="""")), 1), ""Không tìm thấy"" ))"),7.0)</f>
        <v>7</v>
      </c>
      <c r="AI221" s="273">
        <f t="shared" si="2"/>
        <v>46039</v>
      </c>
      <c r="AJ221" s="287"/>
      <c r="AK221" s="286">
        <f t="shared" si="3"/>
        <v>0</v>
      </c>
      <c r="AL221" s="287">
        <f t="shared" si="4"/>
        <v>0</v>
      </c>
      <c r="AM221" s="287">
        <f t="shared" si="5"/>
        <v>4</v>
      </c>
      <c r="AN221" s="279">
        <f t="shared" si="6"/>
        <v>6</v>
      </c>
      <c r="AO221" s="295" t="str">
        <f t="shared" si="7"/>
        <v>01/2026</v>
      </c>
      <c r="AP221" s="277" t="str">
        <f t="array" ref="AP221">IFERROR(XLOOKUP(L221,'2. DATA NL, VTBB'!C:C,'2. DATA NL, VTBB'!F:F),"")</f>
        <v>HH0020</v>
      </c>
      <c r="AQ221" s="277" t="str">
        <f t="array" ref="AQ221">IF(OR(K221="Nhãn", K221="Nhãn thùng",K221="Nhãn Túi"), K221 &amp; " " &amp; IFERROR(XLOOKUP(L221, '2. DATA NL, VTBB'!C:C, '2. DATA NL, VTBB'!E:E), ""), "")</f>
        <v/>
      </c>
      <c r="AR221" s="278" t="str">
        <f t="array" ref="AR221">IFERROR(XLOOKUP(L221,'2. DATA NL, VTBB'!C:C,'2. DATA NL, VTBB'!G:G),"")</f>
        <v>GC - I - 326 - CTP - Viên sủi to hạt Trúng mùa số 1 - 5gr - 1000</v>
      </c>
      <c r="AS221" s="278" t="str">
        <f t="array" ref="AS221">IFERROR(XLOOKUP(L221,'2. DATA NL, VTBB'!C:C,'2. DATA NL, VTBB'!G:G),"")</f>
        <v>GC - I - 326 - CTP - Viên sủi to hạt Trúng mùa số 1 - 5gr - 1000</v>
      </c>
      <c r="AT221" s="277"/>
    </row>
    <row r="222" ht="30.75" customHeight="1">
      <c r="A222" s="272">
        <f t="shared" si="44"/>
        <v>219</v>
      </c>
      <c r="B222" s="289">
        <v>46032.0</v>
      </c>
      <c r="C222" s="273">
        <v>46033.0</v>
      </c>
      <c r="D222" s="273">
        <f t="shared" si="52"/>
        <v>46035</v>
      </c>
      <c r="E222" s="289">
        <v>46035.0</v>
      </c>
      <c r="F222" s="274" t="s">
        <v>561</v>
      </c>
      <c r="G222" s="275" t="s">
        <v>562</v>
      </c>
      <c r="H222" s="274" t="s">
        <v>304</v>
      </c>
      <c r="I222" s="275" t="s">
        <v>744</v>
      </c>
      <c r="J222" s="279" t="s">
        <v>926</v>
      </c>
      <c r="K222" s="275" t="s">
        <v>730</v>
      </c>
      <c r="L222" s="277" t="s">
        <v>928</v>
      </c>
      <c r="M222" s="278" t="str">
        <f t="array" ref="M222">IFERROR(XLOOKUP(L222,'2. DATA NL, VTBB'!C:C,'2. DATA NL, VTBB'!D:D),"")</f>
        <v>Nắp Pet cổ 43 trắng không Garanti</v>
      </c>
      <c r="N222" s="280"/>
      <c r="O222" s="280" t="str">
        <f t="array" ref="O222">IFERROR( XLOOKUP(L222,'2. DATA NL, VTBB'!C:C,'2. DATA NL, VTBB'!E:E),"")</f>
        <v>Vi lượng IDA49</v>
      </c>
      <c r="P222" s="275" t="s">
        <v>565</v>
      </c>
      <c r="Q222" s="311"/>
      <c r="R222" s="290" t="s">
        <v>566</v>
      </c>
      <c r="S222" s="280"/>
      <c r="T222" s="277"/>
      <c r="U222" s="277"/>
      <c r="V222" s="283">
        <v>2000.0</v>
      </c>
      <c r="W222" s="275" t="s">
        <v>699</v>
      </c>
      <c r="X222" s="283">
        <v>2000.0</v>
      </c>
      <c r="Y222" s="274">
        <v>2000.0</v>
      </c>
      <c r="Z222" s="272">
        <v>650.0</v>
      </c>
      <c r="AA222" s="285">
        <v>0.08</v>
      </c>
      <c r="AB222" s="282">
        <v>1404000.0</v>
      </c>
      <c r="AC222" s="277"/>
      <c r="AD222" s="289">
        <v>46032.0</v>
      </c>
      <c r="AE222" s="272">
        <v>203.0</v>
      </c>
      <c r="AF222" s="277"/>
      <c r="AG222" s="277"/>
      <c r="AH222" s="294">
        <f>IFERROR(__xludf.DUMMYFUNCTION("IFERROR(INDEX( SORT(FILTER(
        {'1. DATA CHUNG'!$J$4:$J$105 , '1. DATA CHUNG'!$L$4:$L$105}, (TRIM('1. DATA CHUNG'!$I$4:$I$105)=TRIM(K222)) * IF(COUNTIFS('1. DATA CHUNG'!$I$4:$I$105,K222,'1. DATA CHUNG'!$M$4:$M$105,Q222), '1. DATA CHUNG'!$M$4:$M$105=Q"&amp;"222, 1) * ('1. DATA CHUNG'!$L$4:$L$105&lt;=TODAY()) ),   2, 0),  1, 1), 
  IFERROR( INDEX(FILTER('1. DATA CHUNG'!$J$4:$J$105, (TRIM('1. DATA CHUNG'!$I$4:$I$105)=TRIM(K222)) * IF(COUNTIFS('1. DATA CHUNG'!$I$4:$I$105,K222,'1. DATA CHUNG'!$M$4:$M$105,Q222), '1."&amp;" DATA CHUNG'!$M$4:$M$105=Q222, 1) * ('1. DATA CHUNG'!$L$4:$L$105="""")), 1), ""Không tìm thấy"" ))"),7.0)</f>
        <v>7</v>
      </c>
      <c r="AI222" s="273">
        <f t="shared" si="2"/>
        <v>46039</v>
      </c>
      <c r="AJ222" s="287"/>
      <c r="AK222" s="286">
        <f t="shared" si="3"/>
        <v>0</v>
      </c>
      <c r="AL222" s="287">
        <f t="shared" si="4"/>
        <v>0</v>
      </c>
      <c r="AM222" s="287">
        <f t="shared" si="5"/>
        <v>4</v>
      </c>
      <c r="AN222" s="279">
        <f t="shared" si="6"/>
        <v>6</v>
      </c>
      <c r="AO222" s="295" t="str">
        <f t="shared" si="7"/>
        <v>01/2026</v>
      </c>
      <c r="AP222" s="277" t="str">
        <f t="array" ref="AP222">IFERROR(XLOOKUP(L222,'2. DATA NL, VTBB'!C:C,'2. DATA NL, VTBB'!F:F),"")</f>
        <v>HH0006</v>
      </c>
      <c r="AQ222" s="277" t="str">
        <f t="array" ref="AQ222">IF(OR(K222="Nhãn", K222="Nhãn thùng",K222="Nhãn Túi"), K222 &amp; " " &amp; IFERROR(XLOOKUP(L222, '2. DATA NL, VTBB'!C:C, '2. DATA NL, VTBB'!E:E), ""), "")</f>
        <v/>
      </c>
      <c r="AR222" s="278" t="str">
        <f t="array" ref="AR222">IFERROR(XLOOKUP(L222,'2. DATA NL, VTBB'!C:C,'2. DATA NL, VTBB'!G:G),"")</f>
        <v>GC - I - 208 - Lân 86 - 1Kg - 20</v>
      </c>
      <c r="AS222" s="278" t="str">
        <f t="array" ref="AS222">IFERROR(XLOOKUP(L222,'2. DATA NL, VTBB'!C:C,'2. DATA NL, VTBB'!G:G),"")</f>
        <v>GC - I - 208 - Lân 86 - 1Kg - 20</v>
      </c>
      <c r="AT222" s="277"/>
    </row>
    <row r="223" ht="30.75" customHeight="1">
      <c r="A223" s="272">
        <f t="shared" si="44"/>
        <v>220</v>
      </c>
      <c r="B223" s="289">
        <v>46032.0</v>
      </c>
      <c r="C223" s="273">
        <v>46033.0</v>
      </c>
      <c r="D223" s="273">
        <f t="shared" si="52"/>
        <v>46035</v>
      </c>
      <c r="E223" s="289">
        <v>46039.0</v>
      </c>
      <c r="F223" s="274" t="s">
        <v>561</v>
      </c>
      <c r="G223" s="275" t="s">
        <v>562</v>
      </c>
      <c r="H223" s="274" t="s">
        <v>304</v>
      </c>
      <c r="I223" s="275" t="s">
        <v>726</v>
      </c>
      <c r="J223" s="279" t="s">
        <v>929</v>
      </c>
      <c r="K223" s="275" t="s">
        <v>728</v>
      </c>
      <c r="L223" s="277" t="s">
        <v>763</v>
      </c>
      <c r="M223" s="278" t="str">
        <f t="array" ref="M223">IFERROR(XLOOKUP(L223,'2. DATA NL, VTBB'!C:C,'2. DATA NL, VTBB'!D:D),"")</f>
        <v>Chai HDPE tròn 1 Lít cổ 50 (120gr) - Trắng</v>
      </c>
      <c r="N223" s="280"/>
      <c r="O223" s="280" t="str">
        <f t="array" ref="O223">IFERROR( XLOOKUP(L223,'2. DATA NL, VTBB'!C:C,'2. DATA NL, VTBB'!E:E),"")</f>
        <v>Prima 04</v>
      </c>
      <c r="P223" s="275" t="s">
        <v>565</v>
      </c>
      <c r="Q223" s="311"/>
      <c r="R223" s="290" t="s">
        <v>566</v>
      </c>
      <c r="S223" s="280"/>
      <c r="T223" s="277"/>
      <c r="U223" s="277"/>
      <c r="V223" s="283">
        <v>6000.0</v>
      </c>
      <c r="W223" s="275" t="s">
        <v>699</v>
      </c>
      <c r="X223" s="283">
        <v>6000.0</v>
      </c>
      <c r="Y223" s="274">
        <v>6000.0</v>
      </c>
      <c r="Z223" s="287">
        <v>5000.0</v>
      </c>
      <c r="AA223" s="285">
        <v>0.08</v>
      </c>
      <c r="AB223" s="282">
        <v>3.24E7</v>
      </c>
      <c r="AC223" s="277"/>
      <c r="AD223" s="289">
        <v>46032.0</v>
      </c>
      <c r="AE223" s="312"/>
      <c r="AF223" s="277"/>
      <c r="AG223" s="277"/>
      <c r="AH223" s="294">
        <f>IFERROR(__xludf.DUMMYFUNCTION("IFERROR(INDEX( SORT(FILTER(
        {'1. DATA CHUNG'!$J$4:$J$105 , '1. DATA CHUNG'!$L$4:$L$105}, (TRIM('1. DATA CHUNG'!$I$4:$I$105)=TRIM(K223)) * IF(COUNTIFS('1. DATA CHUNG'!$I$4:$I$105,K223,'1. DATA CHUNG'!$M$4:$M$105,Q223), '1. DATA CHUNG'!$M$4:$M$105=Q"&amp;"223, 1) * ('1. DATA CHUNG'!$L$4:$L$105&lt;=TODAY()) ),   2, 0),  1, 1), 
  IFERROR( INDEX(FILTER('1. DATA CHUNG'!$J$4:$J$105, (TRIM('1. DATA CHUNG'!$I$4:$I$105)=TRIM(K223)) * IF(COUNTIFS('1. DATA CHUNG'!$I$4:$I$105,K223,'1. DATA CHUNG'!$M$4:$M$105,Q223), '1."&amp;" DATA CHUNG'!$M$4:$M$105=Q223, 1) * ('1. DATA CHUNG'!$L$4:$L$105="""")), 1), ""Không tìm thấy"" ))"),7.0)</f>
        <v>7</v>
      </c>
      <c r="AI223" s="273">
        <f t="shared" si="2"/>
        <v>46039</v>
      </c>
      <c r="AJ223" s="287"/>
      <c r="AK223" s="286">
        <f t="shared" si="3"/>
        <v>0</v>
      </c>
      <c r="AL223" s="287">
        <f t="shared" si="4"/>
        <v>-4</v>
      </c>
      <c r="AM223" s="287">
        <f t="shared" si="5"/>
        <v>0</v>
      </c>
      <c r="AN223" s="279">
        <f t="shared" si="6"/>
        <v>6</v>
      </c>
      <c r="AO223" s="295" t="str">
        <f t="shared" si="7"/>
        <v>01/2026</v>
      </c>
      <c r="AP223" s="277" t="str">
        <f t="array" ref="AP223">IFERROR(XLOOKUP(L223,'2. DATA NL, VTBB'!C:C,'2. DATA NL, VTBB'!F:F),"")</f>
        <v>HH0116</v>
      </c>
      <c r="AQ223" s="277" t="str">
        <f t="array" ref="AQ223">IF(OR(K223="Nhãn", K223="Nhãn thùng",K223="Nhãn Túi"), K223 &amp; " " &amp; IFERROR(XLOOKUP(L223, '2. DATA NL, VTBB'!C:C, '2. DATA NL, VTBB'!E:E), ""), "")</f>
        <v/>
      </c>
      <c r="AR223" s="278" t="str">
        <f t="array" ref="AR223">IFERROR(XLOOKUP(L223,'2. DATA NL, VTBB'!C:C,'2. DATA NL, VTBB'!G:G),"")</f>
        <v>GC - II - 666 - AU - Gel Humiix - 20 kg - 1 ([btp],x,n)</v>
      </c>
      <c r="AS223" s="278" t="str">
        <f t="array" ref="AS223">IFERROR(XLOOKUP(L223,'2. DATA NL, VTBB'!C:C,'2. DATA NL, VTBB'!G:G),"")</f>
        <v>GC - II - 666 - AU - Gel Humiix - 20 kg - 1 ([btp],x,n)</v>
      </c>
      <c r="AT223" s="277"/>
    </row>
    <row r="224" ht="30.75" customHeight="1">
      <c r="A224" s="272">
        <f t="shared" si="44"/>
        <v>221</v>
      </c>
      <c r="B224" s="289">
        <v>46032.0</v>
      </c>
      <c r="C224" s="273">
        <v>46033.0</v>
      </c>
      <c r="D224" s="273">
        <f t="shared" si="52"/>
        <v>46035</v>
      </c>
      <c r="E224" s="289">
        <v>46039.0</v>
      </c>
      <c r="F224" s="274" t="s">
        <v>561</v>
      </c>
      <c r="G224" s="275" t="s">
        <v>562</v>
      </c>
      <c r="H224" s="274" t="s">
        <v>304</v>
      </c>
      <c r="I224" s="275" t="s">
        <v>726</v>
      </c>
      <c r="J224" s="279" t="s">
        <v>929</v>
      </c>
      <c r="K224" s="275" t="s">
        <v>730</v>
      </c>
      <c r="L224" s="277" t="s">
        <v>764</v>
      </c>
      <c r="M224" s="278" t="str">
        <f t="array" ref="M224">IFERROR(XLOOKUP(L224,'2. DATA NL, VTBB'!C:C,'2. DATA NL, VTBB'!D:D),"")</f>
        <v>Nắp HDPE có bèo cổ 50 (10gr) - Trắng</v>
      </c>
      <c r="N224" s="280"/>
      <c r="O224" s="280" t="str">
        <f t="array" ref="O224">IFERROR( XLOOKUP(L224,'2. DATA NL, VTBB'!C:C,'2. DATA NL, VTBB'!E:E),"")</f>
        <v>Vi lượng Quantity New</v>
      </c>
      <c r="P224" s="275" t="s">
        <v>565</v>
      </c>
      <c r="Q224" s="311"/>
      <c r="R224" s="290" t="s">
        <v>566</v>
      </c>
      <c r="S224" s="280"/>
      <c r="T224" s="277"/>
      <c r="U224" s="277"/>
      <c r="V224" s="283">
        <v>6000.0</v>
      </c>
      <c r="W224" s="275" t="s">
        <v>699</v>
      </c>
      <c r="X224" s="283">
        <v>6000.0</v>
      </c>
      <c r="Y224" s="274">
        <v>6000.0</v>
      </c>
      <c r="Z224" s="287">
        <v>900.0</v>
      </c>
      <c r="AA224" s="285">
        <v>0.08</v>
      </c>
      <c r="AB224" s="282">
        <v>5832000.0</v>
      </c>
      <c r="AC224" s="277"/>
      <c r="AD224" s="289">
        <v>46032.0</v>
      </c>
      <c r="AE224" s="312"/>
      <c r="AF224" s="277"/>
      <c r="AG224" s="277"/>
      <c r="AH224" s="294">
        <f>IFERROR(__xludf.DUMMYFUNCTION("IFERROR(INDEX( SORT(FILTER(
        {'1. DATA CHUNG'!$J$4:$J$105 , '1. DATA CHUNG'!$L$4:$L$105}, (TRIM('1. DATA CHUNG'!$I$4:$I$105)=TRIM(K224)) * IF(COUNTIFS('1. DATA CHUNG'!$I$4:$I$105,K224,'1. DATA CHUNG'!$M$4:$M$105,Q224), '1. DATA CHUNG'!$M$4:$M$105=Q"&amp;"224, 1) * ('1. DATA CHUNG'!$L$4:$L$105&lt;=TODAY()) ),   2, 0),  1, 1), 
  IFERROR( INDEX(FILTER('1. DATA CHUNG'!$J$4:$J$105, (TRIM('1. DATA CHUNG'!$I$4:$I$105)=TRIM(K224)) * IF(COUNTIFS('1. DATA CHUNG'!$I$4:$I$105,K224,'1. DATA CHUNG'!$M$4:$M$105,Q224), '1."&amp;" DATA CHUNG'!$M$4:$M$105=Q224, 1) * ('1. DATA CHUNG'!$L$4:$L$105="""")), 1), ""Không tìm thấy"" ))"),7.0)</f>
        <v>7</v>
      </c>
      <c r="AI224" s="273">
        <f t="shared" si="2"/>
        <v>46039</v>
      </c>
      <c r="AJ224" s="287"/>
      <c r="AK224" s="286">
        <f t="shared" si="3"/>
        <v>0</v>
      </c>
      <c r="AL224" s="287">
        <f t="shared" si="4"/>
        <v>-4</v>
      </c>
      <c r="AM224" s="287">
        <f t="shared" si="5"/>
        <v>0</v>
      </c>
      <c r="AN224" s="279">
        <f t="shared" si="6"/>
        <v>6</v>
      </c>
      <c r="AO224" s="295" t="str">
        <f t="shared" si="7"/>
        <v>01/2026</v>
      </c>
      <c r="AP224" s="277" t="str">
        <f t="array" ref="AP224">IFERROR(XLOOKUP(L224,'2. DATA NL, VTBB'!C:C,'2. DATA NL, VTBB'!F:F),"")</f>
        <v>HH0070</v>
      </c>
      <c r="AQ224" s="277" t="str">
        <f t="array" ref="AQ224">IF(OR(K224="Nhãn", K224="Nhãn thùng",K224="Nhãn Túi"), K224 &amp; " " &amp; IFERROR(XLOOKUP(L224, '2. DATA NL, VTBB'!C:C, '2. DATA NL, VTBB'!E:E), ""), "")</f>
        <v/>
      </c>
      <c r="AR224" s="278" t="str">
        <f t="array" ref="AR224">IFERROR(XLOOKUP(L224,'2. DATA NL, VTBB'!C:C,'2. DATA NL, VTBB'!G:G),"")</f>
        <v>GC - II - 591 - A Thời GNH - Chuyên lác (Chai HD) - 1L - 20</v>
      </c>
      <c r="AS224" s="278" t="str">
        <f t="array" ref="AS224">IFERROR(XLOOKUP(L224,'2. DATA NL, VTBB'!C:C,'2. DATA NL, VTBB'!G:G),"")</f>
        <v>GC - II - 591 - A Thời GNH - Chuyên lác (Chai HD) - 1L - 20</v>
      </c>
      <c r="AT224" s="277"/>
    </row>
    <row r="225" ht="30.75" customHeight="1">
      <c r="A225" s="272">
        <f t="shared" si="44"/>
        <v>222</v>
      </c>
      <c r="B225" s="289">
        <v>46032.0</v>
      </c>
      <c r="C225" s="273">
        <v>46033.0</v>
      </c>
      <c r="D225" s="273">
        <f t="shared" si="52"/>
        <v>46035</v>
      </c>
      <c r="E225" s="289">
        <v>46039.0</v>
      </c>
      <c r="F225" s="274" t="s">
        <v>561</v>
      </c>
      <c r="G225" s="275" t="s">
        <v>562</v>
      </c>
      <c r="H225" s="274" t="s">
        <v>304</v>
      </c>
      <c r="I225" s="275" t="s">
        <v>744</v>
      </c>
      <c r="J225" s="279" t="s">
        <v>930</v>
      </c>
      <c r="K225" s="275" t="s">
        <v>728</v>
      </c>
      <c r="L225" s="277" t="s">
        <v>821</v>
      </c>
      <c r="M225" s="278" t="str">
        <f t="array" ref="M225">IFERROR(XLOOKUP(L225,'2. DATA NL, VTBB'!C:C,'2. DATA NL, VTBB'!D:D),"")</f>
        <v>Chai HDPE tròn cổ 50 550ml (75g) Gruratee - Trắng</v>
      </c>
      <c r="N225" s="280"/>
      <c r="O225" s="280" t="str">
        <f t="array" ref="O225">IFERROR( XLOOKUP(L225,'2. DATA NL, VTBB'!C:C,'2. DATA NL, VTBB'!E:E),"")</f>
        <v>CITIZEN 333SC</v>
      </c>
      <c r="P225" s="275" t="s">
        <v>565</v>
      </c>
      <c r="Q225" s="311"/>
      <c r="R225" s="290" t="s">
        <v>566</v>
      </c>
      <c r="S225" s="280"/>
      <c r="T225" s="277"/>
      <c r="U225" s="277"/>
      <c r="V225" s="283">
        <v>3000.0</v>
      </c>
      <c r="W225" s="275" t="s">
        <v>699</v>
      </c>
      <c r="X225" s="283">
        <v>3000.0</v>
      </c>
      <c r="Y225" s="274">
        <v>2688.0</v>
      </c>
      <c r="Z225" s="272">
        <v>4150.0</v>
      </c>
      <c r="AA225" s="285">
        <v>0.08</v>
      </c>
      <c r="AB225" s="282">
        <v>1.2047616E7</v>
      </c>
      <c r="AC225" s="277"/>
      <c r="AD225" s="289">
        <v>46032.0</v>
      </c>
      <c r="AE225" s="272">
        <v>250.0</v>
      </c>
      <c r="AF225" s="277"/>
      <c r="AG225" s="277"/>
      <c r="AH225" s="294">
        <f>IFERROR(__xludf.DUMMYFUNCTION("IFERROR(INDEX( SORT(FILTER(
        {'1. DATA CHUNG'!$J$4:$J$105 , '1. DATA CHUNG'!$L$4:$L$105}, (TRIM('1. DATA CHUNG'!$I$4:$I$105)=TRIM(K225)) * IF(COUNTIFS('1. DATA CHUNG'!$I$4:$I$105,K225,'1. DATA CHUNG'!$M$4:$M$105,Q225), '1. DATA CHUNG'!$M$4:$M$105=Q"&amp;"225, 1) * ('1. DATA CHUNG'!$L$4:$L$105&lt;=TODAY()) ),   2, 0),  1, 1), 
  IFERROR( INDEX(FILTER('1. DATA CHUNG'!$J$4:$J$105, (TRIM('1. DATA CHUNG'!$I$4:$I$105)=TRIM(K225)) * IF(COUNTIFS('1. DATA CHUNG'!$I$4:$I$105,K225,'1. DATA CHUNG'!$M$4:$M$105,Q225), '1."&amp;" DATA CHUNG'!$M$4:$M$105=Q225, 1) * ('1. DATA CHUNG'!$L$4:$L$105="""")), 1), ""Không tìm thấy"" ))"),7.0)</f>
        <v>7</v>
      </c>
      <c r="AI225" s="273">
        <f t="shared" si="2"/>
        <v>46039</v>
      </c>
      <c r="AJ225" s="287"/>
      <c r="AK225" s="286">
        <f t="shared" si="3"/>
        <v>0</v>
      </c>
      <c r="AL225" s="287">
        <f t="shared" si="4"/>
        <v>-4</v>
      </c>
      <c r="AM225" s="287">
        <f t="shared" si="5"/>
        <v>0</v>
      </c>
      <c r="AN225" s="279">
        <f t="shared" si="6"/>
        <v>6</v>
      </c>
      <c r="AO225" s="295" t="str">
        <f t="shared" si="7"/>
        <v>01/2026</v>
      </c>
      <c r="AP225" s="277" t="str">
        <f t="array" ref="AP225">IFERROR(XLOOKUP(L225,'2. DATA NL, VTBB'!C:C,'2. DATA NL, VTBB'!F:F),"")</f>
        <v>HH0230</v>
      </c>
      <c r="AQ225" s="277" t="str">
        <f t="array" ref="AQ225">IF(OR(K225="Nhãn", K225="Nhãn thùng",K225="Nhãn Túi"), K225 &amp; " " &amp; IFERROR(XLOOKUP(L225, '2. DATA NL, VTBB'!C:C, '2. DATA NL, VTBB'!E:E), ""), "")</f>
        <v/>
      </c>
      <c r="AR225" s="278" t="str">
        <f t="array" ref="AR225">IFERROR(XLOOKUP(L225,'2. DATA NL, VTBB'!C:C,'2. DATA NL, VTBB'!G:G),"")</f>
        <v>IDA Global - I - 872 - Citizen 333SC (Drone) (chai HD)(nước cam sữa) - 450ml - 40</v>
      </c>
      <c r="AS225" s="278" t="str">
        <f t="array" ref="AS225">IFERROR(XLOOKUP(L225,'2. DATA NL, VTBB'!C:C,'2. DATA NL, VTBB'!G:G),"")</f>
        <v>IDA Global - I - 872 - Citizen 333SC (Drone) (chai HD)(nước cam sữa) - 450ml - 40</v>
      </c>
      <c r="AT225" s="277"/>
    </row>
    <row r="226" ht="30.75" customHeight="1">
      <c r="A226" s="272">
        <f t="shared" si="44"/>
        <v>223</v>
      </c>
      <c r="B226" s="289">
        <v>46032.0</v>
      </c>
      <c r="C226" s="273">
        <v>46033.0</v>
      </c>
      <c r="D226" s="273">
        <f t="shared" si="52"/>
        <v>46035</v>
      </c>
      <c r="E226" s="289">
        <v>46039.0</v>
      </c>
      <c r="F226" s="274" t="s">
        <v>561</v>
      </c>
      <c r="G226" s="275" t="s">
        <v>562</v>
      </c>
      <c r="H226" s="274" t="s">
        <v>304</v>
      </c>
      <c r="I226" s="275" t="s">
        <v>744</v>
      </c>
      <c r="J226" s="279" t="s">
        <v>930</v>
      </c>
      <c r="K226" s="275" t="s">
        <v>730</v>
      </c>
      <c r="L226" s="277" t="s">
        <v>754</v>
      </c>
      <c r="M226" s="278" t="str">
        <f t="array" ref="M226">IFERROR(XLOOKUP(L226,'2. DATA NL, VTBB'!C:C,'2. DATA NL, VTBB'!D:D),"")</f>
        <v>Nắp HDPE cổ 50 gruratee - Trắng</v>
      </c>
      <c r="N226" s="280"/>
      <c r="O226" s="280" t="str">
        <f t="array" ref="O226">IFERROR( XLOOKUP(L226,'2. DATA NL, VTBB'!C:C,'2. DATA NL, VTBB'!E:E),"")</f>
        <v>Chitin 3.6EC</v>
      </c>
      <c r="P226" s="275" t="s">
        <v>565</v>
      </c>
      <c r="Q226" s="311"/>
      <c r="R226" s="290" t="s">
        <v>566</v>
      </c>
      <c r="S226" s="280"/>
      <c r="T226" s="277"/>
      <c r="U226" s="277"/>
      <c r="V226" s="283">
        <v>2000.0</v>
      </c>
      <c r="W226" s="275" t="s">
        <v>699</v>
      </c>
      <c r="X226" s="283">
        <v>2000.0</v>
      </c>
      <c r="Y226" s="274">
        <v>2688.0</v>
      </c>
      <c r="Z226" s="272">
        <v>1200.0</v>
      </c>
      <c r="AA226" s="285">
        <v>0.08</v>
      </c>
      <c r="AB226" s="282">
        <v>3483648.0</v>
      </c>
      <c r="AC226" s="277"/>
      <c r="AD226" s="289">
        <v>46032.0</v>
      </c>
      <c r="AE226" s="272">
        <v>250.0</v>
      </c>
      <c r="AF226" s="277"/>
      <c r="AG226" s="277"/>
      <c r="AH226" s="294">
        <f>IFERROR(__xludf.DUMMYFUNCTION("IFERROR(INDEX( SORT(FILTER(
        {'1. DATA CHUNG'!$J$4:$J$105 , '1. DATA CHUNG'!$L$4:$L$105}, (TRIM('1. DATA CHUNG'!$I$4:$I$105)=TRIM(K226)) * IF(COUNTIFS('1. DATA CHUNG'!$I$4:$I$105,K226,'1. DATA CHUNG'!$M$4:$M$105,Q226), '1. DATA CHUNG'!$M$4:$M$105=Q"&amp;"226, 1) * ('1. DATA CHUNG'!$L$4:$L$105&lt;=TODAY()) ),   2, 0),  1, 1), 
  IFERROR( INDEX(FILTER('1. DATA CHUNG'!$J$4:$J$105, (TRIM('1. DATA CHUNG'!$I$4:$I$105)=TRIM(K226)) * IF(COUNTIFS('1. DATA CHUNG'!$I$4:$I$105,K226,'1. DATA CHUNG'!$M$4:$M$105,Q226), '1."&amp;" DATA CHUNG'!$M$4:$M$105=Q226, 1) * ('1. DATA CHUNG'!$L$4:$L$105="""")), 1), ""Không tìm thấy"" ))"),7.0)</f>
        <v>7</v>
      </c>
      <c r="AI226" s="273">
        <f t="shared" si="2"/>
        <v>46039</v>
      </c>
      <c r="AJ226" s="287"/>
      <c r="AK226" s="286">
        <f t="shared" si="3"/>
        <v>0</v>
      </c>
      <c r="AL226" s="287">
        <f t="shared" si="4"/>
        <v>-4</v>
      </c>
      <c r="AM226" s="287">
        <f t="shared" si="5"/>
        <v>0</v>
      </c>
      <c r="AN226" s="279">
        <f t="shared" si="6"/>
        <v>6</v>
      </c>
      <c r="AO226" s="295" t="str">
        <f t="shared" si="7"/>
        <v>01/2026</v>
      </c>
      <c r="AP226" s="277" t="str">
        <f t="array" ref="AP226">IFERROR(XLOOKUP(L226,'2. DATA NL, VTBB'!C:C,'2. DATA NL, VTBB'!F:F),"")</f>
        <v>HH0153</v>
      </c>
      <c r="AQ226" s="277" t="str">
        <f t="array" ref="AQ226">IF(OR(K226="Nhãn", K226="Nhãn thùng",K226="Nhãn Túi"), K226 &amp; " " &amp; IFERROR(XLOOKUP(L226, '2. DATA NL, VTBB'!C:C, '2. DATA NL, VTBB'!E:E), ""), "")</f>
        <v/>
      </c>
      <c r="AR226" s="278" t="str">
        <f t="array" ref="AR226">IFERROR(XLOOKUP(L226,'2. DATA NL, VTBB'!C:C,'2. DATA NL, VTBB'!G:G),"")</f>
        <v>LOT IDA Global - I - 870 - ĐL Nhựt Mẫn - Avermectin (Pet tròn) (nắp đỏ)(nước nâu đen) - 450ml - 40</v>
      </c>
      <c r="AS226" s="278" t="str">
        <f t="array" ref="AS226">IFERROR(XLOOKUP(L226,'2. DATA NL, VTBB'!C:C,'2. DATA NL, VTBB'!G:G),"")</f>
        <v>LOT IDA Global - I - 870 - ĐL Nhựt Mẫn - Avermectin (Pet tròn) (nắp đỏ)(nước nâu đen) - 450ml - 40</v>
      </c>
      <c r="AT226" s="277"/>
    </row>
    <row r="227" ht="30.75" customHeight="1">
      <c r="A227" s="272">
        <f t="shared" si="44"/>
        <v>224</v>
      </c>
      <c r="B227" s="289">
        <v>46032.0</v>
      </c>
      <c r="C227" s="273">
        <v>46033.0</v>
      </c>
      <c r="D227" s="273">
        <f t="shared" si="52"/>
        <v>46035</v>
      </c>
      <c r="E227" s="289">
        <v>46039.0</v>
      </c>
      <c r="F227" s="274" t="s">
        <v>561</v>
      </c>
      <c r="G227" s="275" t="s">
        <v>562</v>
      </c>
      <c r="H227" s="274" t="s">
        <v>304</v>
      </c>
      <c r="I227" s="275" t="s">
        <v>744</v>
      </c>
      <c r="J227" s="279" t="s">
        <v>930</v>
      </c>
      <c r="K227" s="275" t="s">
        <v>732</v>
      </c>
      <c r="L227" s="277" t="s">
        <v>931</v>
      </c>
      <c r="M227" s="278" t="str">
        <f t="array" ref="M227">IFERROR(XLOOKUP(L227,'2. DATA NL, VTBB'!C:C,'2. DATA NL, VTBB'!D:D),"")</f>
        <v>Cốc đong cổ 50 75ml - Trắng trong</v>
      </c>
      <c r="N227" s="280"/>
      <c r="O227" s="280" t="str">
        <f t="array" ref="O227">IFERROR( XLOOKUP(L227,'2. DATA NL, VTBB'!C:C,'2. DATA NL, VTBB'!E:E),"")</f>
        <v>Chitin 3.6EC</v>
      </c>
      <c r="P227" s="275" t="s">
        <v>565</v>
      </c>
      <c r="Q227" s="311"/>
      <c r="R227" s="290" t="s">
        <v>566</v>
      </c>
      <c r="S227" s="280"/>
      <c r="T227" s="277"/>
      <c r="U227" s="277"/>
      <c r="V227" s="283">
        <v>2000.0</v>
      </c>
      <c r="W227" s="275" t="s">
        <v>699</v>
      </c>
      <c r="X227" s="283">
        <v>2000.0</v>
      </c>
      <c r="Y227" s="274">
        <v>2688.0</v>
      </c>
      <c r="Z227" s="272">
        <v>800.0</v>
      </c>
      <c r="AA227" s="285">
        <v>0.08</v>
      </c>
      <c r="AB227" s="282">
        <v>2322432.0</v>
      </c>
      <c r="AC227" s="277"/>
      <c r="AD227" s="289">
        <v>46032.0</v>
      </c>
      <c r="AE227" s="272" t="s">
        <v>813</v>
      </c>
      <c r="AF227" s="277"/>
      <c r="AG227" s="277"/>
      <c r="AH227" s="294">
        <f>IFERROR(__xludf.DUMMYFUNCTION("IFERROR(INDEX( SORT(FILTER(
        {'1. DATA CHUNG'!$J$4:$J$105 , '1. DATA CHUNG'!$L$4:$L$105}, (TRIM('1. DATA CHUNG'!$I$4:$I$105)=TRIM(K227)) * IF(COUNTIFS('1. DATA CHUNG'!$I$4:$I$105,K227,'1. DATA CHUNG'!$M$4:$M$105,Q227), '1. DATA CHUNG'!$M$4:$M$105=Q"&amp;"227, 1) * ('1. DATA CHUNG'!$L$4:$L$105&lt;=TODAY()) ),   2, 0),  1, 1), 
  IFERROR( INDEX(FILTER('1. DATA CHUNG'!$J$4:$J$105, (TRIM('1. DATA CHUNG'!$I$4:$I$105)=TRIM(K227)) * IF(COUNTIFS('1. DATA CHUNG'!$I$4:$I$105,K227,'1. DATA CHUNG'!$M$4:$M$105,Q227), '1."&amp;" DATA CHUNG'!$M$4:$M$105=Q227, 1) * ('1. DATA CHUNG'!$L$4:$L$105="""")), 1), ""Không tìm thấy"" ))"),7.0)</f>
        <v>7</v>
      </c>
      <c r="AI227" s="273">
        <f t="shared" si="2"/>
        <v>46039</v>
      </c>
      <c r="AJ227" s="287"/>
      <c r="AK227" s="286">
        <f t="shared" si="3"/>
        <v>0</v>
      </c>
      <c r="AL227" s="287">
        <f t="shared" si="4"/>
        <v>-4</v>
      </c>
      <c r="AM227" s="287">
        <f t="shared" si="5"/>
        <v>0</v>
      </c>
      <c r="AN227" s="279">
        <f t="shared" si="6"/>
        <v>6</v>
      </c>
      <c r="AO227" s="295" t="str">
        <f t="shared" si="7"/>
        <v>01/2026</v>
      </c>
      <c r="AP227" s="277" t="str">
        <f t="array" ref="AP227">IFERROR(XLOOKUP(L227,'2. DATA NL, VTBB'!C:C,'2. DATA NL, VTBB'!F:F),"")</f>
        <v>HH0010</v>
      </c>
      <c r="AQ227" s="277" t="str">
        <f t="array" ref="AQ227">IF(OR(K227="Nhãn", K227="Nhãn thùng",K227="Nhãn Túi"), K227 &amp; " " &amp; IFERROR(XLOOKUP(L227, '2. DATA NL, VTBB'!C:C, '2. DATA NL, VTBB'!E:E), ""), "")</f>
        <v/>
      </c>
      <c r="AR227" s="278" t="str">
        <f t="array" ref="AR227">IFERROR(XLOOKUP(L227,'2. DATA NL, VTBB'!C:C,'2. DATA NL, VTBB'!G:G),"")</f>
        <v>LOT IDA Global - I - 866 - ĐL Hoàng Châu Long - Thần Hổ (Pet tròn) (nắp vàng)(nước nâu đen) - 450ml - 40</v>
      </c>
      <c r="AS227" s="278" t="str">
        <f t="array" ref="AS227">IFERROR(XLOOKUP(L227,'2. DATA NL, VTBB'!C:C,'2. DATA NL, VTBB'!G:G),"")</f>
        <v>LOT IDA Global - I - 866 - ĐL Hoàng Châu Long - Thần Hổ (Pet tròn) (nắp vàng)(nước nâu đen) - 450ml - 40</v>
      </c>
      <c r="AT227" s="277"/>
    </row>
    <row r="228" ht="30.75" customHeight="1">
      <c r="A228" s="272">
        <f t="shared" si="44"/>
        <v>225</v>
      </c>
      <c r="B228" s="289">
        <v>46034.0</v>
      </c>
      <c r="C228" s="273">
        <v>46035.0</v>
      </c>
      <c r="D228" s="273">
        <f t="shared" si="52"/>
        <v>46037</v>
      </c>
      <c r="E228" s="289">
        <v>46039.0</v>
      </c>
      <c r="F228" s="274" t="s">
        <v>561</v>
      </c>
      <c r="G228" s="275" t="s">
        <v>562</v>
      </c>
      <c r="H228" s="274" t="s">
        <v>304</v>
      </c>
      <c r="I228" s="275" t="s">
        <v>744</v>
      </c>
      <c r="J228" s="279" t="s">
        <v>932</v>
      </c>
      <c r="K228" s="275" t="s">
        <v>732</v>
      </c>
      <c r="L228" s="277" t="s">
        <v>931</v>
      </c>
      <c r="M228" s="278" t="str">
        <f t="array" ref="M228">IFERROR(XLOOKUP(L228,'2. DATA NL, VTBB'!C:C,'2. DATA NL, VTBB'!D:D),"")</f>
        <v>Cốc đong cổ 50 75ml - Trắng trong</v>
      </c>
      <c r="N228" s="280"/>
      <c r="O228" s="280" t="str">
        <f t="array" ref="O228">IFERROR( XLOOKUP(L228,'2. DATA NL, VTBB'!C:C,'2. DATA NL, VTBB'!E:E),"")</f>
        <v>Chitin 3.6EC</v>
      </c>
      <c r="P228" s="275" t="s">
        <v>565</v>
      </c>
      <c r="Q228" s="311"/>
      <c r="R228" s="291" t="s">
        <v>573</v>
      </c>
      <c r="S228" s="280"/>
      <c r="T228" s="277"/>
      <c r="U228" s="277"/>
      <c r="V228" s="283">
        <v>2000.0</v>
      </c>
      <c r="W228" s="275" t="s">
        <v>699</v>
      </c>
      <c r="X228" s="283">
        <v>2000.0</v>
      </c>
      <c r="Y228" s="274">
        <v>2400.0</v>
      </c>
      <c r="Z228" s="272">
        <v>800.0</v>
      </c>
      <c r="AA228" s="285">
        <v>0.08</v>
      </c>
      <c r="AB228" s="282">
        <v>2073600.0</v>
      </c>
      <c r="AC228" s="277"/>
      <c r="AD228" s="289">
        <v>46034.0</v>
      </c>
      <c r="AE228" s="272">
        <v>250.0</v>
      </c>
      <c r="AF228" s="277"/>
      <c r="AG228" s="277"/>
      <c r="AH228" s="294">
        <f>IFERROR(__xludf.DUMMYFUNCTION("IFERROR(INDEX( SORT(FILTER(
        {'1. DATA CHUNG'!$J$4:$J$105 , '1. DATA CHUNG'!$L$4:$L$105}, (TRIM('1. DATA CHUNG'!$I$4:$I$105)=TRIM(K228)) * IF(COUNTIFS('1. DATA CHUNG'!$I$4:$I$105,K228,'1. DATA CHUNG'!$M$4:$M$105,Q228), '1. DATA CHUNG'!$M$4:$M$105=Q"&amp;"228, 1) * ('1. DATA CHUNG'!$L$4:$L$105&lt;=TODAY()) ),   2, 0),  1, 1), 
  IFERROR( INDEX(FILTER('1. DATA CHUNG'!$J$4:$J$105, (TRIM('1. DATA CHUNG'!$I$4:$I$105)=TRIM(K228)) * IF(COUNTIFS('1. DATA CHUNG'!$I$4:$I$105,K228,'1. DATA CHUNG'!$M$4:$M$105,Q228), '1."&amp;" DATA CHUNG'!$M$4:$M$105=Q228, 1) * ('1. DATA CHUNG'!$L$4:$L$105="""")), 1), ""Không tìm thấy"" ))"),7.0)</f>
        <v>7</v>
      </c>
      <c r="AI228" s="273">
        <f t="shared" si="2"/>
        <v>46041</v>
      </c>
      <c r="AJ228" s="287"/>
      <c r="AK228" s="286">
        <f t="shared" si="3"/>
        <v>0</v>
      </c>
      <c r="AL228" s="287">
        <f t="shared" si="4"/>
        <v>-2</v>
      </c>
      <c r="AM228" s="287">
        <f t="shared" si="5"/>
        <v>2</v>
      </c>
      <c r="AN228" s="279">
        <f t="shared" si="6"/>
        <v>6</v>
      </c>
      <c r="AO228" s="295" t="str">
        <f t="shared" si="7"/>
        <v>01/2026</v>
      </c>
      <c r="AP228" s="277" t="str">
        <f t="array" ref="AP228">IFERROR(XLOOKUP(L228,'2. DATA NL, VTBB'!C:C,'2. DATA NL, VTBB'!F:F),"")</f>
        <v>HH0010</v>
      </c>
      <c r="AQ228" s="277" t="str">
        <f t="array" ref="AQ228">IF(OR(K228="Nhãn", K228="Nhãn thùng",K228="Nhãn Túi"), K228 &amp; " " &amp; IFERROR(XLOOKUP(L228, '2. DATA NL, VTBB'!C:C, '2. DATA NL, VTBB'!E:E), ""), "")</f>
        <v/>
      </c>
      <c r="AR228" s="278" t="str">
        <f t="array" ref="AR228">IFERROR(XLOOKUP(L228,'2. DATA NL, VTBB'!C:C,'2. DATA NL, VTBB'!G:G),"")</f>
        <v>LOT IDA Global - I - 866 - ĐL Hoàng Châu Long - Thần Hổ (Pet tròn) (nắp vàng)(nước nâu đen) - 450ml - 40</v>
      </c>
      <c r="AS228" s="278" t="str">
        <f t="array" ref="AS228">IFERROR(XLOOKUP(L228,'2. DATA NL, VTBB'!C:C,'2. DATA NL, VTBB'!G:G),"")</f>
        <v>LOT IDA Global - I - 866 - ĐL Hoàng Châu Long - Thần Hổ (Pet tròn) (nắp vàng)(nước nâu đen) - 450ml - 40</v>
      </c>
      <c r="AT228" s="277"/>
    </row>
    <row r="229" ht="30.75" customHeight="1">
      <c r="A229" s="272">
        <f t="shared" si="44"/>
        <v>226</v>
      </c>
      <c r="B229" s="289">
        <v>46034.0</v>
      </c>
      <c r="C229" s="273">
        <v>46035.0</v>
      </c>
      <c r="D229" s="273">
        <f t="shared" si="52"/>
        <v>46037</v>
      </c>
      <c r="E229" s="289">
        <v>46037.0</v>
      </c>
      <c r="F229" s="274" t="s">
        <v>561</v>
      </c>
      <c r="G229" s="275" t="s">
        <v>562</v>
      </c>
      <c r="H229" s="274" t="s">
        <v>304</v>
      </c>
      <c r="I229" s="275" t="s">
        <v>726</v>
      </c>
      <c r="J229" s="279" t="s">
        <v>933</v>
      </c>
      <c r="K229" s="275" t="s">
        <v>728</v>
      </c>
      <c r="L229" s="277" t="s">
        <v>763</v>
      </c>
      <c r="M229" s="278" t="str">
        <f t="array" ref="M229">IFERROR(XLOOKUP(L229,'2. DATA NL, VTBB'!C:C,'2. DATA NL, VTBB'!D:D),"")</f>
        <v>Chai HDPE tròn 1 Lít cổ 50 (120gr) - Trắng</v>
      </c>
      <c r="N229" s="280"/>
      <c r="O229" s="280" t="str">
        <f t="array" ref="O229">IFERROR( XLOOKUP(L229,'2. DATA NL, VTBB'!C:C,'2. DATA NL, VTBB'!E:E),"")</f>
        <v>Prima 04</v>
      </c>
      <c r="P229" s="275" t="s">
        <v>565</v>
      </c>
      <c r="Q229" s="311"/>
      <c r="R229" s="290" t="s">
        <v>566</v>
      </c>
      <c r="S229" s="280"/>
      <c r="T229" s="277"/>
      <c r="U229" s="277"/>
      <c r="V229" s="283">
        <v>2000.0</v>
      </c>
      <c r="W229" s="275" t="s">
        <v>699</v>
      </c>
      <c r="X229" s="283">
        <v>2000.0</v>
      </c>
      <c r="Y229" s="274">
        <v>2025.0</v>
      </c>
      <c r="Z229" s="287">
        <v>5000.0</v>
      </c>
      <c r="AA229" s="285">
        <v>0.08</v>
      </c>
      <c r="AB229" s="282">
        <v>1.0935E7</v>
      </c>
      <c r="AC229" s="277"/>
      <c r="AD229" s="289">
        <v>46034.0</v>
      </c>
      <c r="AE229" s="272">
        <v>149.0</v>
      </c>
      <c r="AF229" s="277"/>
      <c r="AG229" s="277"/>
      <c r="AH229" s="294">
        <f>IFERROR(__xludf.DUMMYFUNCTION("IFERROR(INDEX( SORT(FILTER(
        {'1. DATA CHUNG'!$J$4:$J$105 , '1. DATA CHUNG'!$L$4:$L$105}, (TRIM('1. DATA CHUNG'!$I$4:$I$105)=TRIM(K229)) * IF(COUNTIFS('1. DATA CHUNG'!$I$4:$I$105,K229,'1. DATA CHUNG'!$M$4:$M$105,Q229), '1. DATA CHUNG'!$M$4:$M$105=Q"&amp;"229, 1) * ('1. DATA CHUNG'!$L$4:$L$105&lt;=TODAY()) ),   2, 0),  1, 1), 
  IFERROR( INDEX(FILTER('1. DATA CHUNG'!$J$4:$J$105, (TRIM('1. DATA CHUNG'!$I$4:$I$105)=TRIM(K229)) * IF(COUNTIFS('1. DATA CHUNG'!$I$4:$I$105,K229,'1. DATA CHUNG'!$M$4:$M$105,Q229), '1."&amp;" DATA CHUNG'!$M$4:$M$105=Q229, 1) * ('1. DATA CHUNG'!$L$4:$L$105="""")), 1), ""Không tìm thấy"" ))"),7.0)</f>
        <v>7</v>
      </c>
      <c r="AI229" s="273">
        <f t="shared" si="2"/>
        <v>46041</v>
      </c>
      <c r="AJ229" s="287"/>
      <c r="AK229" s="286">
        <f t="shared" si="3"/>
        <v>0</v>
      </c>
      <c r="AL229" s="287">
        <f t="shared" si="4"/>
        <v>0</v>
      </c>
      <c r="AM229" s="287">
        <f t="shared" si="5"/>
        <v>4</v>
      </c>
      <c r="AN229" s="279">
        <f t="shared" si="6"/>
        <v>6</v>
      </c>
      <c r="AO229" s="295" t="str">
        <f t="shared" si="7"/>
        <v>01/2026</v>
      </c>
      <c r="AP229" s="277" t="str">
        <f t="array" ref="AP229">IFERROR(XLOOKUP(L229,'2. DATA NL, VTBB'!C:C,'2. DATA NL, VTBB'!F:F),"")</f>
        <v>HH0116</v>
      </c>
      <c r="AQ229" s="277" t="str">
        <f t="array" ref="AQ229">IF(OR(K229="Nhãn", K229="Nhãn thùng",K229="Nhãn Túi"), K229 &amp; " " &amp; IFERROR(XLOOKUP(L229, '2. DATA NL, VTBB'!C:C, '2. DATA NL, VTBB'!E:E), ""), "")</f>
        <v/>
      </c>
      <c r="AR229" s="278" t="str">
        <f t="array" ref="AR229">IFERROR(XLOOKUP(L229,'2. DATA NL, VTBB'!C:C,'2. DATA NL, VTBB'!G:G),"")</f>
        <v>GC - II - 666 - AU - Gel Humiix - 20 kg - 1 ([btp],x,n)</v>
      </c>
      <c r="AS229" s="278" t="str">
        <f t="array" ref="AS229">IFERROR(XLOOKUP(L229,'2. DATA NL, VTBB'!C:C,'2. DATA NL, VTBB'!G:G),"")</f>
        <v>GC - II - 666 - AU - Gel Humiix - 20 kg - 1 ([btp],x,n)</v>
      </c>
      <c r="AT229" s="277"/>
    </row>
    <row r="230" ht="30.75" customHeight="1">
      <c r="A230" s="272">
        <f t="shared" si="44"/>
        <v>227</v>
      </c>
      <c r="B230" s="289">
        <v>46034.0</v>
      </c>
      <c r="C230" s="273">
        <v>46035.0</v>
      </c>
      <c r="D230" s="273">
        <f t="shared" si="52"/>
        <v>46037</v>
      </c>
      <c r="E230" s="289">
        <v>46037.0</v>
      </c>
      <c r="F230" s="274" t="s">
        <v>561</v>
      </c>
      <c r="G230" s="275" t="s">
        <v>562</v>
      </c>
      <c r="H230" s="274" t="s">
        <v>304</v>
      </c>
      <c r="I230" s="275" t="s">
        <v>726</v>
      </c>
      <c r="J230" s="279" t="s">
        <v>933</v>
      </c>
      <c r="K230" s="275" t="s">
        <v>730</v>
      </c>
      <c r="L230" s="277" t="s">
        <v>764</v>
      </c>
      <c r="M230" s="278" t="str">
        <f t="array" ref="M230">IFERROR(XLOOKUP(L230,'2. DATA NL, VTBB'!C:C,'2. DATA NL, VTBB'!D:D),"")</f>
        <v>Nắp HDPE có bèo cổ 50 (10gr) - Trắng</v>
      </c>
      <c r="N230" s="280"/>
      <c r="O230" s="280" t="str">
        <f t="array" ref="O230">IFERROR( XLOOKUP(L230,'2. DATA NL, VTBB'!C:C,'2. DATA NL, VTBB'!E:E),"")</f>
        <v>Vi lượng Quantity New</v>
      </c>
      <c r="P230" s="275" t="s">
        <v>565</v>
      </c>
      <c r="Q230" s="311"/>
      <c r="R230" s="290" t="s">
        <v>566</v>
      </c>
      <c r="S230" s="280"/>
      <c r="T230" s="277"/>
      <c r="U230" s="277"/>
      <c r="V230" s="283">
        <v>2000.0</v>
      </c>
      <c r="W230" s="275" t="s">
        <v>699</v>
      </c>
      <c r="X230" s="283">
        <v>2000.0</v>
      </c>
      <c r="Y230" s="274">
        <v>2025.0</v>
      </c>
      <c r="Z230" s="287">
        <v>900.0</v>
      </c>
      <c r="AA230" s="285">
        <v>0.08</v>
      </c>
      <c r="AB230" s="282">
        <v>1968300.0</v>
      </c>
      <c r="AC230" s="277"/>
      <c r="AD230" s="289">
        <v>46034.0</v>
      </c>
      <c r="AE230" s="272">
        <v>149.0</v>
      </c>
      <c r="AF230" s="277"/>
      <c r="AG230" s="277"/>
      <c r="AH230" s="294">
        <f>IFERROR(__xludf.DUMMYFUNCTION("IFERROR(INDEX( SORT(FILTER(
        {'1. DATA CHUNG'!$J$4:$J$105 , '1. DATA CHUNG'!$L$4:$L$105}, (TRIM('1. DATA CHUNG'!$I$4:$I$105)=TRIM(K230)) * IF(COUNTIFS('1. DATA CHUNG'!$I$4:$I$105,K230,'1. DATA CHUNG'!$M$4:$M$105,Q230), '1. DATA CHUNG'!$M$4:$M$105=Q"&amp;"230, 1) * ('1. DATA CHUNG'!$L$4:$L$105&lt;=TODAY()) ),   2, 0),  1, 1), 
  IFERROR( INDEX(FILTER('1. DATA CHUNG'!$J$4:$J$105, (TRIM('1. DATA CHUNG'!$I$4:$I$105)=TRIM(K230)) * IF(COUNTIFS('1. DATA CHUNG'!$I$4:$I$105,K230,'1. DATA CHUNG'!$M$4:$M$105,Q230), '1."&amp;" DATA CHUNG'!$M$4:$M$105=Q230, 1) * ('1. DATA CHUNG'!$L$4:$L$105="""")), 1), ""Không tìm thấy"" ))"),7.0)</f>
        <v>7</v>
      </c>
      <c r="AI230" s="273">
        <f t="shared" si="2"/>
        <v>46041</v>
      </c>
      <c r="AJ230" s="287"/>
      <c r="AK230" s="286">
        <f t="shared" si="3"/>
        <v>0</v>
      </c>
      <c r="AL230" s="287">
        <f t="shared" si="4"/>
        <v>0</v>
      </c>
      <c r="AM230" s="287">
        <f t="shared" si="5"/>
        <v>4</v>
      </c>
      <c r="AN230" s="279">
        <f t="shared" si="6"/>
        <v>6</v>
      </c>
      <c r="AO230" s="295" t="str">
        <f t="shared" si="7"/>
        <v>01/2026</v>
      </c>
      <c r="AP230" s="277" t="str">
        <f t="array" ref="AP230">IFERROR(XLOOKUP(L230,'2. DATA NL, VTBB'!C:C,'2. DATA NL, VTBB'!F:F),"")</f>
        <v>HH0070</v>
      </c>
      <c r="AQ230" s="277" t="str">
        <f t="array" ref="AQ230">IF(OR(K230="Nhãn", K230="Nhãn thùng",K230="Nhãn Túi"), K230 &amp; " " &amp; IFERROR(XLOOKUP(L230, '2. DATA NL, VTBB'!C:C, '2. DATA NL, VTBB'!E:E), ""), "")</f>
        <v/>
      </c>
      <c r="AR230" s="278" t="str">
        <f t="array" ref="AR230">IFERROR(XLOOKUP(L230,'2. DATA NL, VTBB'!C:C,'2. DATA NL, VTBB'!G:G),"")</f>
        <v>GC - II - 591 - A Thời GNH - Chuyên lác (Chai HD) - 1L - 20</v>
      </c>
      <c r="AS230" s="278" t="str">
        <f t="array" ref="AS230">IFERROR(XLOOKUP(L230,'2. DATA NL, VTBB'!C:C,'2. DATA NL, VTBB'!G:G),"")</f>
        <v>GC - II - 591 - A Thời GNH - Chuyên lác (Chai HD) - 1L - 20</v>
      </c>
      <c r="AT230" s="277"/>
    </row>
    <row r="231" ht="30.75" customHeight="1">
      <c r="A231" s="272">
        <f t="shared" si="44"/>
        <v>228</v>
      </c>
      <c r="B231" s="289">
        <v>46034.0</v>
      </c>
      <c r="C231" s="273">
        <v>46035.0</v>
      </c>
      <c r="D231" s="273">
        <f t="shared" si="52"/>
        <v>46037</v>
      </c>
      <c r="E231" s="289">
        <v>46037.0</v>
      </c>
      <c r="F231" s="274" t="s">
        <v>561</v>
      </c>
      <c r="G231" s="275" t="s">
        <v>562</v>
      </c>
      <c r="H231" s="274" t="s">
        <v>304</v>
      </c>
      <c r="I231" s="275" t="s">
        <v>726</v>
      </c>
      <c r="J231" s="279" t="s">
        <v>934</v>
      </c>
      <c r="K231" s="275" t="s">
        <v>767</v>
      </c>
      <c r="L231" s="277" t="s">
        <v>913</v>
      </c>
      <c r="M231" s="278" t="str">
        <f t="array" ref="M231">IFERROR(XLOOKUP(L231,'2. DATA NL, VTBB'!C:C,'2. DATA NL, VTBB'!D:D),"")</f>
        <v>Can HDPE 5L vuông , 4 chấm chống trượt (340gr) - Vàng</v>
      </c>
      <c r="N231" s="280"/>
      <c r="O231" s="280" t="str">
        <f t="array" ref="O231">IFERROR( XLOOKUP(L231,'2. DATA NL, VTBB'!C:C,'2. DATA NL, VTBB'!E:E),"")</f>
        <v>Vi lượng Quantity New</v>
      </c>
      <c r="P231" s="275" t="s">
        <v>565</v>
      </c>
      <c r="Q231" s="311"/>
      <c r="R231" s="290" t="s">
        <v>566</v>
      </c>
      <c r="S231" s="280"/>
      <c r="T231" s="277"/>
      <c r="U231" s="277"/>
      <c r="V231" s="283">
        <v>200.0</v>
      </c>
      <c r="W231" s="275" t="s">
        <v>699</v>
      </c>
      <c r="X231" s="283">
        <v>200.0</v>
      </c>
      <c r="Y231" s="274">
        <v>216.0</v>
      </c>
      <c r="Z231" s="272">
        <v>20000.0</v>
      </c>
      <c r="AA231" s="285">
        <v>0.08</v>
      </c>
      <c r="AB231" s="282">
        <v>4665600.0</v>
      </c>
      <c r="AC231" s="277"/>
      <c r="AD231" s="289">
        <v>46034.0</v>
      </c>
      <c r="AE231" s="272">
        <v>122.0</v>
      </c>
      <c r="AF231" s="277"/>
      <c r="AG231" s="277"/>
      <c r="AH231" s="294">
        <f>IFERROR(__xludf.DUMMYFUNCTION("IFERROR(INDEX( SORT(FILTER(
        {'1. DATA CHUNG'!$J$4:$J$105 , '1. DATA CHUNG'!$L$4:$L$105}, (TRIM('1. DATA CHUNG'!$I$4:$I$105)=TRIM(K231)) * IF(COUNTIFS('1. DATA CHUNG'!$I$4:$I$105,K231,'1. DATA CHUNG'!$M$4:$M$105,Q231), '1. DATA CHUNG'!$M$4:$M$105=Q"&amp;"231, 1) * ('1. DATA CHUNG'!$L$4:$L$105&lt;=TODAY()) ),   2, 0),  1, 1), 
  IFERROR( INDEX(FILTER('1. DATA CHUNG'!$J$4:$J$105, (TRIM('1. DATA CHUNG'!$I$4:$I$105)=TRIM(K231)) * IF(COUNTIFS('1. DATA CHUNG'!$I$4:$I$105,K231,'1. DATA CHUNG'!$M$4:$M$105,Q231), '1."&amp;" DATA CHUNG'!$M$4:$M$105=Q231, 1) * ('1. DATA CHUNG'!$L$4:$L$105="""")), 1), ""Không tìm thấy"" ))"),5.0)</f>
        <v>5</v>
      </c>
      <c r="AI231" s="273">
        <f t="shared" si="2"/>
        <v>46039</v>
      </c>
      <c r="AJ231" s="287"/>
      <c r="AK231" s="286">
        <f t="shared" si="3"/>
        <v>0</v>
      </c>
      <c r="AL231" s="287">
        <f t="shared" si="4"/>
        <v>0</v>
      </c>
      <c r="AM231" s="287">
        <f t="shared" si="5"/>
        <v>2</v>
      </c>
      <c r="AN231" s="279">
        <f t="shared" si="6"/>
        <v>4</v>
      </c>
      <c r="AO231" s="295" t="str">
        <f t="shared" si="7"/>
        <v>01/2026</v>
      </c>
      <c r="AP231" s="277" t="str">
        <f t="array" ref="AP231">IFERROR(XLOOKUP(L231,'2. DATA NL, VTBB'!C:C,'2. DATA NL, VTBB'!F:F),"")</f>
        <v>HH0028</v>
      </c>
      <c r="AQ231" s="277" t="str">
        <f t="array" ref="AQ231">IF(OR(K231="Nhãn", K231="Nhãn thùng",K231="Nhãn Túi"), K231 &amp; " " &amp; IFERROR(XLOOKUP(L231, '2. DATA NL, VTBB'!C:C, '2. DATA NL, VTBB'!E:E), ""), "")</f>
        <v/>
      </c>
      <c r="AR231" s="278" t="str">
        <f t="array" ref="AR231">IFERROR(XLOOKUP(L231,'2. DATA NL, VTBB'!C:C,'2. DATA NL, VTBB'!G:G),"")</f>
        <v>GC - II - 810 - AGC - Big C (Gel nâu đen) (chai HD) - 500ml - 40</v>
      </c>
      <c r="AS231" s="278" t="str">
        <f t="array" ref="AS231">IFERROR(XLOOKUP(L231,'2. DATA NL, VTBB'!C:C,'2. DATA NL, VTBB'!G:G),"")</f>
        <v>GC - II - 810 - AGC - Big C (Gel nâu đen) (chai HD) - 500ml - 40</v>
      </c>
      <c r="AT231" s="277"/>
    </row>
    <row r="232" ht="30.75" customHeight="1">
      <c r="A232" s="272">
        <f t="shared" si="44"/>
        <v>229</v>
      </c>
      <c r="B232" s="289">
        <v>46034.0</v>
      </c>
      <c r="C232" s="273">
        <v>46035.0</v>
      </c>
      <c r="D232" s="273">
        <f t="shared" si="52"/>
        <v>46037</v>
      </c>
      <c r="E232" s="289">
        <v>46037.0</v>
      </c>
      <c r="F232" s="274" t="s">
        <v>561</v>
      </c>
      <c r="G232" s="275" t="s">
        <v>562</v>
      </c>
      <c r="H232" s="274" t="s">
        <v>304</v>
      </c>
      <c r="I232" s="275" t="s">
        <v>726</v>
      </c>
      <c r="J232" s="279" t="s">
        <v>934</v>
      </c>
      <c r="K232" s="275" t="s">
        <v>730</v>
      </c>
      <c r="L232" s="277" t="s">
        <v>915</v>
      </c>
      <c r="M232" s="278" t="str">
        <f t="array" ref="M232">IFERROR(XLOOKUP(L232,'2. DATA NL, VTBB'!C:C,'2. DATA NL, VTBB'!D:D),"")</f>
        <v>Nắp can HDPE 5L (13gr) - Đen</v>
      </c>
      <c r="N232" s="280"/>
      <c r="O232" s="280" t="str">
        <f t="array" ref="O232">IFERROR( XLOOKUP(L232,'2. DATA NL, VTBB'!C:C,'2. DATA NL, VTBB'!E:E),"")</f>
        <v>Vi lượng Quantity New</v>
      </c>
      <c r="P232" s="275" t="s">
        <v>565</v>
      </c>
      <c r="Q232" s="311"/>
      <c r="R232" s="290" t="s">
        <v>566</v>
      </c>
      <c r="S232" s="280"/>
      <c r="T232" s="277"/>
      <c r="U232" s="277"/>
      <c r="V232" s="283">
        <v>200.0</v>
      </c>
      <c r="W232" s="275" t="s">
        <v>699</v>
      </c>
      <c r="X232" s="283">
        <v>200.0</v>
      </c>
      <c r="Y232" s="274">
        <v>216.0</v>
      </c>
      <c r="Z232" s="272">
        <v>1000.0</v>
      </c>
      <c r="AA232" s="285">
        <v>0.08</v>
      </c>
      <c r="AB232" s="282">
        <v>233280.0</v>
      </c>
      <c r="AC232" s="277"/>
      <c r="AD232" s="289">
        <v>46034.0</v>
      </c>
      <c r="AE232" s="272">
        <v>122.0</v>
      </c>
      <c r="AF232" s="277"/>
      <c r="AG232" s="277"/>
      <c r="AH232" s="294">
        <f>IFERROR(__xludf.DUMMYFUNCTION("IFERROR(INDEX( SORT(FILTER(
        {'1. DATA CHUNG'!$J$4:$J$105 , '1. DATA CHUNG'!$L$4:$L$105}, (TRIM('1. DATA CHUNG'!$I$4:$I$105)=TRIM(K232)) * IF(COUNTIFS('1. DATA CHUNG'!$I$4:$I$105,K232,'1. DATA CHUNG'!$M$4:$M$105,Q232), '1. DATA CHUNG'!$M$4:$M$105=Q"&amp;"232, 1) * ('1. DATA CHUNG'!$L$4:$L$105&lt;=TODAY()) ),   2, 0),  1, 1), 
  IFERROR( INDEX(FILTER('1. DATA CHUNG'!$J$4:$J$105, (TRIM('1. DATA CHUNG'!$I$4:$I$105)=TRIM(K232)) * IF(COUNTIFS('1. DATA CHUNG'!$I$4:$I$105,K232,'1. DATA CHUNG'!$M$4:$M$105,Q232), '1."&amp;" DATA CHUNG'!$M$4:$M$105=Q232, 1) * ('1. DATA CHUNG'!$L$4:$L$105="""")), 1), ""Không tìm thấy"" ))"),7.0)</f>
        <v>7</v>
      </c>
      <c r="AI232" s="273">
        <f t="shared" si="2"/>
        <v>46041</v>
      </c>
      <c r="AJ232" s="287"/>
      <c r="AK232" s="286">
        <f t="shared" si="3"/>
        <v>0</v>
      </c>
      <c r="AL232" s="287">
        <f t="shared" si="4"/>
        <v>0</v>
      </c>
      <c r="AM232" s="287">
        <f t="shared" si="5"/>
        <v>4</v>
      </c>
      <c r="AN232" s="279">
        <f t="shared" si="6"/>
        <v>6</v>
      </c>
      <c r="AO232" s="295" t="str">
        <f t="shared" si="7"/>
        <v>01/2026</v>
      </c>
      <c r="AP232" s="277" t="str">
        <f t="array" ref="AP232">IFERROR(XLOOKUP(L232,'2. DATA NL, VTBB'!C:C,'2. DATA NL, VTBB'!F:F),"")</f>
        <v>HH0130</v>
      </c>
      <c r="AQ232" s="277" t="str">
        <f t="array" ref="AQ232">IF(OR(K232="Nhãn", K232="Nhãn thùng",K232="Nhãn Túi"), K232 &amp; " " &amp; IFERROR(XLOOKUP(L232, '2. DATA NL, VTBB'!C:C, '2. DATA NL, VTBB'!E:E), ""), "")</f>
        <v/>
      </c>
      <c r="AR232" s="278" t="str">
        <f t="array" ref="AR232">IFERROR(XLOOKUP(L232,'2. DATA NL, VTBB'!C:C,'2. DATA NL, VTBB'!G:G),"")</f>
        <v>GC - II - 811 - AGC - Power + (Gel nâu đen) (chai HD) - 500ml - 40</v>
      </c>
      <c r="AS232" s="278" t="str">
        <f t="array" ref="AS232">IFERROR(XLOOKUP(L232,'2. DATA NL, VTBB'!C:C,'2. DATA NL, VTBB'!G:G),"")</f>
        <v>GC - II - 811 - AGC - Power + (Gel nâu đen) (chai HD) - 500ml - 40</v>
      </c>
      <c r="AT232" s="277"/>
    </row>
    <row r="233" ht="30.75" customHeight="1">
      <c r="A233" s="272">
        <f t="shared" si="44"/>
        <v>230</v>
      </c>
      <c r="B233" s="289">
        <v>46035.0</v>
      </c>
      <c r="C233" s="273">
        <v>46036.0</v>
      </c>
      <c r="D233" s="273">
        <f t="shared" si="52"/>
        <v>46038</v>
      </c>
      <c r="E233" s="289">
        <v>46041.0</v>
      </c>
      <c r="F233" s="274" t="s">
        <v>561</v>
      </c>
      <c r="G233" s="275" t="s">
        <v>562</v>
      </c>
      <c r="H233" s="274" t="s">
        <v>304</v>
      </c>
      <c r="I233" s="275" t="s">
        <v>726</v>
      </c>
      <c r="J233" s="279" t="s">
        <v>935</v>
      </c>
      <c r="K233" s="275" t="s">
        <v>728</v>
      </c>
      <c r="L233" s="277" t="s">
        <v>778</v>
      </c>
      <c r="M233" s="278" t="str">
        <f t="array" ref="M233">IFERROR(XLOOKUP(L233,'2. DATA NL, VTBB'!C:C,'2. DATA NL, VTBB'!D:D),"")</f>
        <v>Chai PET tròn cổ 44 500ml (45g) Trắng</v>
      </c>
      <c r="N233" s="280"/>
      <c r="O233" s="280" t="str">
        <f t="array" ref="O233">IFERROR( XLOOKUP(L233,'2. DATA NL, VTBB'!C:C,'2. DATA NL, VTBB'!E:E),"")</f>
        <v>Chitin 3.6EC</v>
      </c>
      <c r="P233" s="275" t="s">
        <v>565</v>
      </c>
      <c r="Q233" s="311"/>
      <c r="R233" s="291" t="s">
        <v>573</v>
      </c>
      <c r="S233" s="280"/>
      <c r="T233" s="277"/>
      <c r="U233" s="277"/>
      <c r="V233" s="283">
        <v>4000.0</v>
      </c>
      <c r="W233" s="275" t="s">
        <v>699</v>
      </c>
      <c r="X233" s="283">
        <v>4000.0</v>
      </c>
      <c r="Y233" s="274">
        <v>4032.0</v>
      </c>
      <c r="Z233" s="272">
        <v>1900.0</v>
      </c>
      <c r="AA233" s="285">
        <v>0.08</v>
      </c>
      <c r="AB233" s="282">
        <v>8273664.0</v>
      </c>
      <c r="AC233" s="277"/>
      <c r="AD233" s="289">
        <v>46035.0</v>
      </c>
      <c r="AE233" s="312"/>
      <c r="AF233" s="277"/>
      <c r="AG233" s="277"/>
      <c r="AH233" s="294">
        <f>IFERROR(__xludf.DUMMYFUNCTION("IFERROR(INDEX( SORT(FILTER(
        {'1. DATA CHUNG'!$J$4:$J$105 , '1. DATA CHUNG'!$L$4:$L$105}, (TRIM('1. DATA CHUNG'!$I$4:$I$105)=TRIM(K233)) * IF(COUNTIFS('1. DATA CHUNG'!$I$4:$I$105,K233,'1. DATA CHUNG'!$M$4:$M$105,Q233), '1. DATA CHUNG'!$M$4:$M$105=Q"&amp;"233, 1) * ('1. DATA CHUNG'!$L$4:$L$105&lt;=TODAY()) ),   2, 0),  1, 1), 
  IFERROR( INDEX(FILTER('1. DATA CHUNG'!$J$4:$J$105, (TRIM('1. DATA CHUNG'!$I$4:$I$105)=TRIM(K233)) * IF(COUNTIFS('1. DATA CHUNG'!$I$4:$I$105,K233,'1. DATA CHUNG'!$M$4:$M$105,Q233), '1."&amp;" DATA CHUNG'!$M$4:$M$105=Q233, 1) * ('1. DATA CHUNG'!$L$4:$L$105="""")), 1), ""Không tìm thấy"" ))"),7.0)</f>
        <v>7</v>
      </c>
      <c r="AI233" s="273">
        <f t="shared" si="2"/>
        <v>46042</v>
      </c>
      <c r="AJ233" s="287"/>
      <c r="AK233" s="286">
        <f t="shared" si="3"/>
        <v>0</v>
      </c>
      <c r="AL233" s="287">
        <f t="shared" si="4"/>
        <v>-3</v>
      </c>
      <c r="AM233" s="287">
        <f t="shared" si="5"/>
        <v>1</v>
      </c>
      <c r="AN233" s="279">
        <f t="shared" si="6"/>
        <v>6</v>
      </c>
      <c r="AO233" s="295" t="str">
        <f t="shared" si="7"/>
        <v>01/2026</v>
      </c>
      <c r="AP233" s="277" t="str">
        <f t="array" ref="AP233">IFERROR(XLOOKUP(L233,'2. DATA NL, VTBB'!C:C,'2. DATA NL, VTBB'!F:F),"")</f>
        <v>HH0234</v>
      </c>
      <c r="AQ233" s="277" t="str">
        <f t="array" ref="AQ233">IF(OR(K233="Nhãn", K233="Nhãn thùng",K233="Nhãn Túi"), K233 &amp; " " &amp; IFERROR(XLOOKUP(L233, '2. DATA NL, VTBB'!C:C, '2. DATA NL, VTBB'!E:E), ""), "")</f>
        <v/>
      </c>
      <c r="AR233" s="278" t="str">
        <f t="array" ref="AR233">IFERROR(XLOOKUP(L233,'2. DATA NL, VTBB'!C:C,'2. DATA NL, VTBB'!G:G),"")</f>
        <v>LOT IDA Global - I - 875 - ĐL Bảo Tại - Avermectin 36 (Pet tròn) (nắp đỏ)(nước nâu đen) - 450ml - 40</v>
      </c>
      <c r="AS233" s="278" t="str">
        <f t="array" ref="AS233">IFERROR(XLOOKUP(L233,'2. DATA NL, VTBB'!C:C,'2. DATA NL, VTBB'!G:G),"")</f>
        <v>LOT IDA Global - I - 875 - ĐL Bảo Tại - Avermectin 36 (Pet tròn) (nắp đỏ)(nước nâu đen) - 450ml - 40</v>
      </c>
      <c r="AT233" s="277"/>
    </row>
    <row r="234" ht="30.75" customHeight="1">
      <c r="A234" s="272">
        <f t="shared" si="44"/>
        <v>231</v>
      </c>
      <c r="B234" s="289">
        <v>46035.0</v>
      </c>
      <c r="C234" s="273">
        <v>46036.0</v>
      </c>
      <c r="D234" s="273">
        <f t="shared" si="52"/>
        <v>46038</v>
      </c>
      <c r="E234" s="289">
        <v>46041.0</v>
      </c>
      <c r="F234" s="274" t="s">
        <v>561</v>
      </c>
      <c r="G234" s="275" t="s">
        <v>562</v>
      </c>
      <c r="H234" s="274" t="s">
        <v>304</v>
      </c>
      <c r="I234" s="275" t="s">
        <v>726</v>
      </c>
      <c r="J234" s="279" t="s">
        <v>935</v>
      </c>
      <c r="K234" s="275" t="s">
        <v>730</v>
      </c>
      <c r="L234" s="277" t="s">
        <v>780</v>
      </c>
      <c r="M234" s="278" t="str">
        <f t="array" ref="M234">IFERROR(XLOOKUP(L234,'2. DATA NL, VTBB'!C:C,'2. DATA NL, VTBB'!D:D),"")</f>
        <v>Nắp PET cổ 44 (9g) Đỏ</v>
      </c>
      <c r="N234" s="280"/>
      <c r="O234" s="280" t="str">
        <f t="array" ref="O234">IFERROR( XLOOKUP(L234,'2. DATA NL, VTBB'!C:C,'2. DATA NL, VTBB'!E:E),"")</f>
        <v>Chitin 3.6EC</v>
      </c>
      <c r="P234" s="275" t="s">
        <v>565</v>
      </c>
      <c r="Q234" s="311"/>
      <c r="R234" s="291" t="s">
        <v>573</v>
      </c>
      <c r="S234" s="280"/>
      <c r="T234" s="277"/>
      <c r="U234" s="277"/>
      <c r="V234" s="283">
        <v>4000.0</v>
      </c>
      <c r="W234" s="275" t="s">
        <v>699</v>
      </c>
      <c r="X234" s="283">
        <v>4000.0</v>
      </c>
      <c r="Y234" s="274">
        <v>4032.0</v>
      </c>
      <c r="Z234" s="272">
        <v>900.0</v>
      </c>
      <c r="AA234" s="285">
        <v>0.08</v>
      </c>
      <c r="AB234" s="282">
        <v>3919104.0</v>
      </c>
      <c r="AC234" s="277"/>
      <c r="AD234" s="289">
        <v>46035.0</v>
      </c>
      <c r="AE234" s="312"/>
      <c r="AF234" s="277"/>
      <c r="AG234" s="277"/>
      <c r="AH234" s="294">
        <f>IFERROR(__xludf.DUMMYFUNCTION("IFERROR(INDEX( SORT(FILTER(
        {'1. DATA CHUNG'!$J$4:$J$105 , '1. DATA CHUNG'!$L$4:$L$105}, (TRIM('1. DATA CHUNG'!$I$4:$I$105)=TRIM(K234)) * IF(COUNTIFS('1. DATA CHUNG'!$I$4:$I$105,K234,'1. DATA CHUNG'!$M$4:$M$105,Q234), '1. DATA CHUNG'!$M$4:$M$105=Q"&amp;"234, 1) * ('1. DATA CHUNG'!$L$4:$L$105&lt;=TODAY()) ),   2, 0),  1, 1), 
  IFERROR( INDEX(FILTER('1. DATA CHUNG'!$J$4:$J$105, (TRIM('1. DATA CHUNG'!$I$4:$I$105)=TRIM(K234)) * IF(COUNTIFS('1. DATA CHUNG'!$I$4:$I$105,K234,'1. DATA CHUNG'!$M$4:$M$105,Q234), '1."&amp;" DATA CHUNG'!$M$4:$M$105=Q234, 1) * ('1. DATA CHUNG'!$L$4:$L$105="""")), 1), ""Không tìm thấy"" ))"),7.0)</f>
        <v>7</v>
      </c>
      <c r="AI234" s="273">
        <f t="shared" si="2"/>
        <v>46042</v>
      </c>
      <c r="AJ234" s="287"/>
      <c r="AK234" s="286">
        <f t="shared" si="3"/>
        <v>0</v>
      </c>
      <c r="AL234" s="287">
        <f t="shared" si="4"/>
        <v>-3</v>
      </c>
      <c r="AM234" s="287">
        <f t="shared" si="5"/>
        <v>1</v>
      </c>
      <c r="AN234" s="279">
        <f t="shared" si="6"/>
        <v>6</v>
      </c>
      <c r="AO234" s="295" t="str">
        <f t="shared" si="7"/>
        <v>01/2026</v>
      </c>
      <c r="AP234" s="277" t="str">
        <f t="array" ref="AP234">IFERROR(XLOOKUP(L234,'2. DATA NL, VTBB'!C:C,'2. DATA NL, VTBB'!F:F),"")</f>
        <v>HH0156</v>
      </c>
      <c r="AQ234" s="277" t="str">
        <f t="array" ref="AQ234">IF(OR(K234="Nhãn", K234="Nhãn thùng",K234="Nhãn Túi"), K234 &amp; " " &amp; IFERROR(XLOOKUP(L234, '2. DATA NL, VTBB'!C:C, '2. DATA NL, VTBB'!E:E), ""), "")</f>
        <v/>
      </c>
      <c r="AR234" s="278" t="str">
        <f t="array" ref="AR234">IFERROR(XLOOKUP(L234,'2. DATA NL, VTBB'!C:C,'2. DATA NL, VTBB'!G:G),"")</f>
        <v>LOT IDA Global - I - 875 - ĐL Bảo Tại - Avermectin 36 (Pet tròn) (nắp đỏ)(nước nâu đen) - 450ml - 40</v>
      </c>
      <c r="AS234" s="278" t="str">
        <f t="array" ref="AS234">IFERROR(XLOOKUP(L234,'2. DATA NL, VTBB'!C:C,'2. DATA NL, VTBB'!G:G),"")</f>
        <v>LOT IDA Global - I - 875 - ĐL Bảo Tại - Avermectin 36 (Pet tròn) (nắp đỏ)(nước nâu đen) - 450ml - 40</v>
      </c>
      <c r="AT234" s="277"/>
    </row>
    <row r="235" ht="30.75" customHeight="1">
      <c r="A235" s="272">
        <f t="shared" si="44"/>
        <v>232</v>
      </c>
      <c r="B235" s="289">
        <v>46035.0</v>
      </c>
      <c r="C235" s="289">
        <v>46042.0</v>
      </c>
      <c r="D235" s="289">
        <f>B235+15</f>
        <v>46050</v>
      </c>
      <c r="E235" s="289">
        <v>46045.0</v>
      </c>
      <c r="F235" s="274" t="s">
        <v>561</v>
      </c>
      <c r="G235" s="275" t="s">
        <v>562</v>
      </c>
      <c r="H235" s="274" t="s">
        <v>304</v>
      </c>
      <c r="I235" s="275" t="s">
        <v>305</v>
      </c>
      <c r="J235" s="279" t="s">
        <v>936</v>
      </c>
      <c r="K235" s="275" t="s">
        <v>301</v>
      </c>
      <c r="L235" s="277" t="s">
        <v>595</v>
      </c>
      <c r="M235" s="278" t="str">
        <f t="array" ref="M235">IFERROR(XLOOKUP(L235,'2. DATA NL, VTBB'!C:C,'2. DATA NL, VTBB'!D:D),"")</f>
        <v>Thùng dùng chung ABA chai tròn 1 lít x 20 chai (20 gói/ thùng) - (45.5x35.5x27cm) - Trắng</v>
      </c>
      <c r="N235" s="280"/>
      <c r="O235" s="280" t="str">
        <f t="array" ref="O235">IFERROR( XLOOKUP(L235,'2. DATA NL, VTBB'!C:C,'2. DATA NL, VTBB'!E:E),"")</f>
        <v>Vi lượng AV4-BO633</v>
      </c>
      <c r="P235" s="275" t="s">
        <v>565</v>
      </c>
      <c r="Q235" s="311"/>
      <c r="R235" s="290" t="s">
        <v>566</v>
      </c>
      <c r="S235" s="280"/>
      <c r="T235" s="277"/>
      <c r="U235" s="277"/>
      <c r="V235" s="283">
        <v>300.0</v>
      </c>
      <c r="W235" s="275" t="s">
        <v>699</v>
      </c>
      <c r="X235" s="283">
        <v>300.0</v>
      </c>
      <c r="Y235" s="274">
        <v>325.0</v>
      </c>
      <c r="Z235" s="272">
        <v>19750.0</v>
      </c>
      <c r="AA235" s="285">
        <v>0.08</v>
      </c>
      <c r="AB235" s="282">
        <v>6932250.0</v>
      </c>
      <c r="AC235" s="277"/>
      <c r="AD235" s="289">
        <v>46035.0</v>
      </c>
      <c r="AE235" s="272">
        <v>240.0</v>
      </c>
      <c r="AF235" s="277"/>
      <c r="AG235" s="277"/>
      <c r="AH235" s="294">
        <f>IFERROR(__xludf.DUMMYFUNCTION("IFERROR(INDEX( SORT(FILTER(
        {'1. DATA CHUNG'!$J$4:$J$105 , '1. DATA CHUNG'!$L$4:$L$105}, (TRIM('1. DATA CHUNG'!$I$4:$I$105)=TRIM(K235)) * IF(COUNTIFS('1. DATA CHUNG'!$I$4:$I$105,K235,'1. DATA CHUNG'!$M$4:$M$105,Q235), '1. DATA CHUNG'!$M$4:$M$105=Q"&amp;"235, 1) * ('1. DATA CHUNG'!$L$4:$L$105&lt;=TODAY()) ),   2, 0),  1, 1), 
  IFERROR( INDEX(FILTER('1. DATA CHUNG'!$J$4:$J$105, (TRIM('1. DATA CHUNG'!$I$4:$I$105)=TRIM(K235)) * IF(COUNTIFS('1. DATA CHUNG'!$I$4:$I$105,K235,'1. DATA CHUNG'!$M$4:$M$105,Q235), '1."&amp;" DATA CHUNG'!$M$4:$M$105=Q235, 1) * ('1. DATA CHUNG'!$L$4:$L$105="""")), 1), ""Không tìm thấy"" ))"),18.0)</f>
        <v>18</v>
      </c>
      <c r="AI235" s="273">
        <f t="shared" si="2"/>
        <v>46053</v>
      </c>
      <c r="AJ235" s="287"/>
      <c r="AK235" s="286">
        <f t="shared" si="3"/>
        <v>0</v>
      </c>
      <c r="AL235" s="287">
        <f t="shared" si="4"/>
        <v>5</v>
      </c>
      <c r="AM235" s="287">
        <f t="shared" si="5"/>
        <v>8</v>
      </c>
      <c r="AN235" s="279">
        <f t="shared" si="6"/>
        <v>11</v>
      </c>
      <c r="AO235" s="295" t="str">
        <f t="shared" si="7"/>
        <v>01/2026</v>
      </c>
      <c r="AP235" s="277" t="str">
        <f t="array" ref="AP235">IFERROR(XLOOKUP(L235,'2. DATA NL, VTBB'!C:C,'2. DATA NL, VTBB'!F:F),"")</f>
        <v>HH0078</v>
      </c>
      <c r="AQ235" s="277" t="str">
        <f t="array" ref="AQ235">IF(OR(K235="Nhãn", K235="Nhãn thùng",K235="Nhãn Túi"), K235 &amp; " " &amp; IFERROR(XLOOKUP(L235, '2. DATA NL, VTBB'!C:C, '2. DATA NL, VTBB'!E:E), ""), "")</f>
        <v/>
      </c>
      <c r="AR235" s="278" t="str">
        <f t="array" ref="AR235">IFERROR(XLOOKUP(L235,'2. DATA NL, VTBB'!C:C,'2. DATA NL, VTBB'!G:G),"")</f>
        <v>GC - II - 434 - Ariplant - Siêu ra hoa sầu riêng (mới) - 250 gr- 100</v>
      </c>
      <c r="AS235" s="278" t="str">
        <f t="array" ref="AS235">IFERROR(XLOOKUP(L235,'2. DATA NL, VTBB'!C:C,'2. DATA NL, VTBB'!G:G),"")</f>
        <v>GC - II - 434 - Ariplant - Siêu ra hoa sầu riêng (mới) - 250 gr- 100</v>
      </c>
      <c r="AT235" s="277"/>
    </row>
    <row r="236" ht="30.75" customHeight="1">
      <c r="A236" s="272">
        <f t="shared" si="44"/>
        <v>233</v>
      </c>
      <c r="B236" s="289">
        <v>46035.0</v>
      </c>
      <c r="C236" s="273">
        <v>46036.0</v>
      </c>
      <c r="D236" s="273">
        <f t="shared" ref="D236:D243" si="53">B236+3</f>
        <v>46038</v>
      </c>
      <c r="E236" s="289">
        <v>46045.0</v>
      </c>
      <c r="F236" s="274" t="s">
        <v>561</v>
      </c>
      <c r="G236" s="275" t="s">
        <v>562</v>
      </c>
      <c r="H236" s="274" t="s">
        <v>304</v>
      </c>
      <c r="I236" s="275" t="s">
        <v>937</v>
      </c>
      <c r="J236" s="279" t="s">
        <v>938</v>
      </c>
      <c r="K236" s="275" t="s">
        <v>728</v>
      </c>
      <c r="L236" s="277" t="s">
        <v>939</v>
      </c>
      <c r="M236" s="278" t="str">
        <f t="array" ref="M236">IFERROR(XLOOKUP(L236,'2. DATA NL, VTBB'!C:C,'2. DATA NL, VTBB'!D:D),"")</f>
        <v>Chai PET tròn cổ 28 100ml Trong - Nắp đen (20gr)</v>
      </c>
      <c r="N236" s="280"/>
      <c r="O236" s="280" t="str">
        <f t="array" ref="O236">IFERROR( XLOOKUP(L236,'2. DATA NL, VTBB'!C:C,'2. DATA NL, VTBB'!E:E),"")</f>
        <v>Chitin 3.6EC</v>
      </c>
      <c r="P236" s="275" t="s">
        <v>565</v>
      </c>
      <c r="Q236" s="311"/>
      <c r="R236" s="290" t="s">
        <v>566</v>
      </c>
      <c r="S236" s="280"/>
      <c r="T236" s="277"/>
      <c r="U236" s="277"/>
      <c r="V236" s="283">
        <v>2000.0</v>
      </c>
      <c r="W236" s="275" t="s">
        <v>699</v>
      </c>
      <c r="X236" s="283">
        <v>2000.0</v>
      </c>
      <c r="Y236" s="274">
        <v>2000.0</v>
      </c>
      <c r="Z236" s="272">
        <v>1200.0</v>
      </c>
      <c r="AA236" s="285">
        <v>0.08</v>
      </c>
      <c r="AB236" s="282">
        <v>2592000.0</v>
      </c>
      <c r="AC236" s="277"/>
      <c r="AD236" s="289">
        <v>46035.0</v>
      </c>
      <c r="AE236" s="312"/>
      <c r="AF236" s="277"/>
      <c r="AG236" s="277"/>
      <c r="AH236" s="294">
        <f>IFERROR(__xludf.DUMMYFUNCTION("IFERROR(INDEX( SORT(FILTER(
        {'1. DATA CHUNG'!$J$4:$J$105 , '1. DATA CHUNG'!$L$4:$L$105}, (TRIM('1. DATA CHUNG'!$I$4:$I$105)=TRIM(K236)) * IF(COUNTIFS('1. DATA CHUNG'!$I$4:$I$105,K236,'1. DATA CHUNG'!$M$4:$M$105,Q236), '1. DATA CHUNG'!$M$4:$M$105=Q"&amp;"236, 1) * ('1. DATA CHUNG'!$L$4:$L$105&lt;=TODAY()) ),   2, 0),  1, 1), 
  IFERROR( INDEX(FILTER('1. DATA CHUNG'!$J$4:$J$105, (TRIM('1. DATA CHUNG'!$I$4:$I$105)=TRIM(K236)) * IF(COUNTIFS('1. DATA CHUNG'!$I$4:$I$105,K236,'1. DATA CHUNG'!$M$4:$M$105,Q236), '1."&amp;" DATA CHUNG'!$M$4:$M$105=Q236, 1) * ('1. DATA CHUNG'!$L$4:$L$105="""")), 1), ""Không tìm thấy"" ))"),7.0)</f>
        <v>7</v>
      </c>
      <c r="AI236" s="273">
        <f t="shared" si="2"/>
        <v>46042</v>
      </c>
      <c r="AJ236" s="287"/>
      <c r="AK236" s="286">
        <f t="shared" si="3"/>
        <v>0</v>
      </c>
      <c r="AL236" s="287">
        <f t="shared" si="4"/>
        <v>-7</v>
      </c>
      <c r="AM236" s="287">
        <f t="shared" si="5"/>
        <v>-3</v>
      </c>
      <c r="AN236" s="279">
        <f t="shared" si="6"/>
        <v>6</v>
      </c>
      <c r="AO236" s="295" t="str">
        <f t="shared" si="7"/>
        <v>01/2026</v>
      </c>
      <c r="AP236" s="277" t="str">
        <f t="array" ref="AP236">IFERROR(XLOOKUP(L236,'2. DATA NL, VTBB'!C:C,'2. DATA NL, VTBB'!F:F),"")</f>
        <v>HH0214</v>
      </c>
      <c r="AQ236" s="277" t="str">
        <f t="array" ref="AQ236">IF(OR(K236="Nhãn", K236="Nhãn thùng",K236="Nhãn Túi"), K236 &amp; " " &amp; IFERROR(XLOOKUP(L236, '2. DATA NL, VTBB'!C:C, '2. DATA NL, VTBB'!E:E), ""), "")</f>
        <v/>
      </c>
      <c r="AR236" s="278" t="str">
        <f t="array" ref="AR236">IFERROR(XLOOKUP(L236,'2. DATA NL, VTBB'!C:C,'2. DATA NL, VTBB'!G:G),"")</f>
        <v>LOT IDA Global - I - 842 - ĐL Hồng Lời - Avermectin 36 (Pet tròn) (nắp vàng)(nước nâu đen) - 450ml - 40</v>
      </c>
      <c r="AS236" s="278" t="str">
        <f t="array" ref="AS236">IFERROR(XLOOKUP(L236,'2. DATA NL, VTBB'!C:C,'2. DATA NL, VTBB'!G:G),"")</f>
        <v>LOT IDA Global - I - 842 - ĐL Hồng Lời - Avermectin 36 (Pet tròn) (nắp vàng)(nước nâu đen) - 450ml - 40</v>
      </c>
      <c r="AT236" s="277"/>
    </row>
    <row r="237" ht="30.75" customHeight="1">
      <c r="A237" s="272">
        <f t="shared" si="44"/>
        <v>234</v>
      </c>
      <c r="B237" s="289">
        <v>46035.0</v>
      </c>
      <c r="C237" s="273">
        <v>46036.0</v>
      </c>
      <c r="D237" s="273">
        <f t="shared" si="53"/>
        <v>46038</v>
      </c>
      <c r="E237" s="289">
        <v>46042.0</v>
      </c>
      <c r="F237" s="274" t="s">
        <v>561</v>
      </c>
      <c r="G237" s="275" t="s">
        <v>562</v>
      </c>
      <c r="H237" s="274" t="s">
        <v>304</v>
      </c>
      <c r="I237" s="275" t="s">
        <v>853</v>
      </c>
      <c r="J237" s="279" t="s">
        <v>940</v>
      </c>
      <c r="K237" s="275" t="s">
        <v>728</v>
      </c>
      <c r="L237" s="277" t="s">
        <v>941</v>
      </c>
      <c r="M237" s="278" t="str">
        <f t="array" ref="M237">IFERROR(XLOOKUP(L237,'2. DATA NL, VTBB'!C:C,'2. DATA NL, VTBB'!D:D),"")</f>
        <v>Chai HDPE tròn cổ 48 250ml  3 cánh - Đen (50gr)</v>
      </c>
      <c r="N237" s="280"/>
      <c r="O237" s="280" t="str">
        <f t="array" ref="O237">IFERROR( XLOOKUP(L237,'2. DATA NL, VTBB'!C:C,'2. DATA NL, VTBB'!E:E),"")</f>
        <v>HAIHAMEC 3.6EC</v>
      </c>
      <c r="P237" s="275" t="s">
        <v>565</v>
      </c>
      <c r="Q237" s="311"/>
      <c r="R237" s="290" t="s">
        <v>566</v>
      </c>
      <c r="S237" s="280"/>
      <c r="T237" s="277"/>
      <c r="U237" s="277"/>
      <c r="V237" s="283">
        <v>3000.0</v>
      </c>
      <c r="W237" s="275" t="s">
        <v>699</v>
      </c>
      <c r="X237" s="283">
        <v>3000.0</v>
      </c>
      <c r="Y237" s="274">
        <v>3000.0</v>
      </c>
      <c r="Z237" s="272">
        <v>2700.0</v>
      </c>
      <c r="AA237" s="285">
        <v>0.08</v>
      </c>
      <c r="AB237" s="282">
        <v>8748000.0</v>
      </c>
      <c r="AC237" s="277"/>
      <c r="AD237" s="289">
        <v>46035.0</v>
      </c>
      <c r="AE237" s="312"/>
      <c r="AF237" s="277"/>
      <c r="AG237" s="277"/>
      <c r="AH237" s="294">
        <f>IFERROR(__xludf.DUMMYFUNCTION("IFERROR(INDEX( SORT(FILTER(
        {'1. DATA CHUNG'!$J$4:$J$105 , '1. DATA CHUNG'!$L$4:$L$105}, (TRIM('1. DATA CHUNG'!$I$4:$I$105)=TRIM(K237)) * IF(COUNTIFS('1. DATA CHUNG'!$I$4:$I$105,K237,'1. DATA CHUNG'!$M$4:$M$105,Q237), '1. DATA CHUNG'!$M$4:$M$105=Q"&amp;"237, 1) * ('1. DATA CHUNG'!$L$4:$L$105&lt;=TODAY()) ),   2, 0),  1, 1), 
  IFERROR( INDEX(FILTER('1. DATA CHUNG'!$J$4:$J$105, (TRIM('1. DATA CHUNG'!$I$4:$I$105)=TRIM(K237)) * IF(COUNTIFS('1. DATA CHUNG'!$I$4:$I$105,K237,'1. DATA CHUNG'!$M$4:$M$105,Q237), '1."&amp;" DATA CHUNG'!$M$4:$M$105=Q237, 1) * ('1. DATA CHUNG'!$L$4:$L$105="""")), 1), ""Không tìm thấy"" ))"),7.0)</f>
        <v>7</v>
      </c>
      <c r="AI237" s="273">
        <f t="shared" si="2"/>
        <v>46042</v>
      </c>
      <c r="AJ237" s="287"/>
      <c r="AK237" s="286">
        <f t="shared" si="3"/>
        <v>0</v>
      </c>
      <c r="AL237" s="287">
        <f t="shared" si="4"/>
        <v>-4</v>
      </c>
      <c r="AM237" s="287">
        <f t="shared" si="5"/>
        <v>0</v>
      </c>
      <c r="AN237" s="279">
        <f t="shared" si="6"/>
        <v>6</v>
      </c>
      <c r="AO237" s="295" t="str">
        <f t="shared" si="7"/>
        <v>01/2026</v>
      </c>
      <c r="AP237" s="277" t="str">
        <f t="array" ref="AP237">IFERROR(XLOOKUP(L237,'2. DATA NL, VTBB'!C:C,'2. DATA NL, VTBB'!F:F),"")</f>
        <v>HH0235</v>
      </c>
      <c r="AQ237" s="277" t="str">
        <f t="array" ref="AQ237">IF(OR(K237="Nhãn", K237="Nhãn thùng",K237="Nhãn Túi"), K237 &amp; " " &amp; IFERROR(XLOOKUP(L237, '2. DATA NL, VTBB'!C:C, '2. DATA NL, VTBB'!E:E), ""), "")</f>
        <v/>
      </c>
      <c r="AR237" s="278" t="str">
        <f t="array" ref="AR237">IFERROR(XLOOKUP(L237,'2. DATA NL, VTBB'!C:C,'2. DATA NL, VTBB'!G:G),"")</f>
        <v>LOT IDA Global - I - 880 - ĐL Phúc Nông - Thần Hổ (Pet vuông) (nắp vàng)(nước nâu đen) - 450ml - 40</v>
      </c>
      <c r="AS237" s="278" t="str">
        <f t="array" ref="AS237">IFERROR(XLOOKUP(L237,'2. DATA NL, VTBB'!C:C,'2. DATA NL, VTBB'!G:G),"")</f>
        <v>LOT IDA Global - I - 880 - ĐL Phúc Nông - Thần Hổ (Pet vuông) (nắp vàng)(nước nâu đen) - 450ml - 40</v>
      </c>
      <c r="AT237" s="277"/>
    </row>
    <row r="238" ht="30.75" customHeight="1">
      <c r="A238" s="272">
        <f t="shared" si="44"/>
        <v>235</v>
      </c>
      <c r="B238" s="289">
        <v>46035.0</v>
      </c>
      <c r="C238" s="273">
        <v>46036.0</v>
      </c>
      <c r="D238" s="273">
        <f t="shared" si="53"/>
        <v>46038</v>
      </c>
      <c r="E238" s="289">
        <v>46042.0</v>
      </c>
      <c r="F238" s="274" t="s">
        <v>561</v>
      </c>
      <c r="G238" s="275" t="s">
        <v>562</v>
      </c>
      <c r="H238" s="274" t="s">
        <v>304</v>
      </c>
      <c r="I238" s="275" t="s">
        <v>853</v>
      </c>
      <c r="J238" s="279" t="s">
        <v>940</v>
      </c>
      <c r="K238" s="275" t="s">
        <v>730</v>
      </c>
      <c r="L238" s="277" t="s">
        <v>942</v>
      </c>
      <c r="M238" s="278" t="str">
        <f t="array" ref="M238">IFERROR(XLOOKUP(L238,'2. DATA NL, VTBB'!C:C,'2. DATA NL, VTBB'!D:D),"")</f>
        <v>Nắp HDPE cổ 48 chai 3 cánh - Đen (12gr)</v>
      </c>
      <c r="N238" s="280"/>
      <c r="O238" s="280" t="str">
        <f t="array" ref="O238">IFERROR( XLOOKUP(L238,'2. DATA NL, VTBB'!C:C,'2. DATA NL, VTBB'!E:E),"")</f>
        <v>Chitin 3.6EC</v>
      </c>
      <c r="P238" s="275" t="s">
        <v>565</v>
      </c>
      <c r="Q238" s="311"/>
      <c r="R238" s="290" t="s">
        <v>566</v>
      </c>
      <c r="S238" s="280"/>
      <c r="T238" s="277"/>
      <c r="U238" s="277"/>
      <c r="V238" s="283">
        <v>3000.0</v>
      </c>
      <c r="W238" s="275" t="s">
        <v>699</v>
      </c>
      <c r="X238" s="283">
        <v>3000.0</v>
      </c>
      <c r="Y238" s="274">
        <v>3000.0</v>
      </c>
      <c r="Z238" s="272">
        <v>800.0</v>
      </c>
      <c r="AA238" s="285">
        <v>0.08</v>
      </c>
      <c r="AB238" s="282">
        <v>2592000.0</v>
      </c>
      <c r="AC238" s="277"/>
      <c r="AD238" s="289">
        <v>46035.0</v>
      </c>
      <c r="AE238" s="312"/>
      <c r="AF238" s="277"/>
      <c r="AG238" s="277"/>
      <c r="AH238" s="294">
        <f>IFERROR(__xludf.DUMMYFUNCTION("IFERROR(INDEX( SORT(FILTER(
        {'1. DATA CHUNG'!$J$4:$J$105 , '1. DATA CHUNG'!$L$4:$L$105}, (TRIM('1. DATA CHUNG'!$I$4:$I$105)=TRIM(K238)) * IF(COUNTIFS('1. DATA CHUNG'!$I$4:$I$105,K238,'1. DATA CHUNG'!$M$4:$M$105,Q238), '1. DATA CHUNG'!$M$4:$M$105=Q"&amp;"238, 1) * ('1. DATA CHUNG'!$L$4:$L$105&lt;=TODAY()) ),   2, 0),  1, 1), 
  IFERROR( INDEX(FILTER('1. DATA CHUNG'!$J$4:$J$105, (TRIM('1. DATA CHUNG'!$I$4:$I$105)=TRIM(K238)) * IF(COUNTIFS('1. DATA CHUNG'!$I$4:$I$105,K238,'1. DATA CHUNG'!$M$4:$M$105,Q238), '1."&amp;" DATA CHUNG'!$M$4:$M$105=Q238, 1) * ('1. DATA CHUNG'!$L$4:$L$105="""")), 1), ""Không tìm thấy"" ))"),7.0)</f>
        <v>7</v>
      </c>
      <c r="AI238" s="273">
        <f t="shared" si="2"/>
        <v>46042</v>
      </c>
      <c r="AJ238" s="287"/>
      <c r="AK238" s="286">
        <f t="shared" si="3"/>
        <v>0</v>
      </c>
      <c r="AL238" s="287">
        <f t="shared" si="4"/>
        <v>-4</v>
      </c>
      <c r="AM238" s="287">
        <f t="shared" si="5"/>
        <v>0</v>
      </c>
      <c r="AN238" s="279">
        <f t="shared" si="6"/>
        <v>6</v>
      </c>
      <c r="AO238" s="295" t="str">
        <f t="shared" si="7"/>
        <v>01/2026</v>
      </c>
      <c r="AP238" s="277" t="str">
        <f t="array" ref="AP238">IFERROR(XLOOKUP(L238,'2. DATA NL, VTBB'!C:C,'2. DATA NL, VTBB'!F:F),"")</f>
        <v>HH0150</v>
      </c>
      <c r="AQ238" s="277" t="str">
        <f t="array" ref="AQ238">IF(OR(K238="Nhãn", K238="Nhãn thùng",K238="Nhãn Túi"), K238 &amp; " " &amp; IFERROR(XLOOKUP(L238, '2. DATA NL, VTBB'!C:C, '2. DATA NL, VTBB'!E:E), ""), "")</f>
        <v/>
      </c>
      <c r="AR238" s="278" t="str">
        <f t="array" ref="AR238">IFERROR(XLOOKUP(L238,'2. DATA NL, VTBB'!C:C,'2. DATA NL, VTBB'!G:G),"")</f>
        <v>GC - IV - 857 - Xuân Sơn 02L - Abametin 3.6 (Ốc Vàng - Nhãn Cam) (Pet vuông)(nước nâu đen)- 450ml - 40</v>
      </c>
      <c r="AS238" s="278" t="str">
        <f t="array" ref="AS238">IFERROR(XLOOKUP(L238,'2. DATA NL, VTBB'!C:C,'2. DATA NL, VTBB'!G:G),"")</f>
        <v>GC - IV - 857 - Xuân Sơn 02L - Abametin 3.6 (Ốc Vàng - Nhãn Cam) (Pet vuông)(nước nâu đen)- 450ml - 40</v>
      </c>
      <c r="AT238" s="277"/>
    </row>
    <row r="239" ht="30.75" customHeight="1">
      <c r="A239" s="272">
        <f t="shared" si="44"/>
        <v>236</v>
      </c>
      <c r="B239" s="289">
        <v>46035.0</v>
      </c>
      <c r="C239" s="273">
        <v>46036.0</v>
      </c>
      <c r="D239" s="273">
        <f t="shared" si="53"/>
        <v>46038</v>
      </c>
      <c r="E239" s="289">
        <v>46037.0</v>
      </c>
      <c r="F239" s="274" t="s">
        <v>561</v>
      </c>
      <c r="G239" s="275" t="s">
        <v>562</v>
      </c>
      <c r="H239" s="274" t="s">
        <v>304</v>
      </c>
      <c r="I239" s="275" t="s">
        <v>726</v>
      </c>
      <c r="J239" s="279" t="s">
        <v>943</v>
      </c>
      <c r="K239" s="275" t="s">
        <v>728</v>
      </c>
      <c r="L239" s="277" t="s">
        <v>944</v>
      </c>
      <c r="M239" s="278" t="str">
        <f t="array" ref="M239">IFERROR(XLOOKUP(L239,'2. DATA NL, VTBB'!C:C,'2. DATA NL, VTBB'!D:D),"")</f>
        <v>Chai HDPE tròn cổ 49 (50gr) 250ml trắng -  Nắp trắng</v>
      </c>
      <c r="N239" s="280"/>
      <c r="O239" s="280" t="str">
        <f t="array" ref="O239">IFERROR( XLOOKUP(L239,'2. DATA NL, VTBB'!C:C,'2. DATA NL, VTBB'!E:E),"")</f>
        <v>TVZEB 800WP</v>
      </c>
      <c r="P239" s="275" t="s">
        <v>565</v>
      </c>
      <c r="Q239" s="311"/>
      <c r="R239" s="290" t="s">
        <v>566</v>
      </c>
      <c r="S239" s="280"/>
      <c r="T239" s="277"/>
      <c r="U239" s="277"/>
      <c r="V239" s="283">
        <v>3000.0</v>
      </c>
      <c r="W239" s="275" t="s">
        <v>699</v>
      </c>
      <c r="X239" s="283">
        <v>3000.0</v>
      </c>
      <c r="Y239" s="274">
        <v>3060.0</v>
      </c>
      <c r="Z239" s="272">
        <v>2300.0</v>
      </c>
      <c r="AA239" s="285">
        <v>0.08</v>
      </c>
      <c r="AB239" s="282">
        <v>7601040.0</v>
      </c>
      <c r="AC239" s="277"/>
      <c r="AD239" s="289">
        <v>46035.0</v>
      </c>
      <c r="AE239" s="272">
        <v>149.0</v>
      </c>
      <c r="AF239" s="277"/>
      <c r="AG239" s="277"/>
      <c r="AH239" s="294">
        <f>IFERROR(__xludf.DUMMYFUNCTION("IFERROR(INDEX( SORT(FILTER(
        {'1. DATA CHUNG'!$J$4:$J$105 , '1. DATA CHUNG'!$L$4:$L$105}, (TRIM('1. DATA CHUNG'!$I$4:$I$105)=TRIM(K239)) * IF(COUNTIFS('1. DATA CHUNG'!$I$4:$I$105,K239,'1. DATA CHUNG'!$M$4:$M$105,Q239), '1. DATA CHUNG'!$M$4:$M$105=Q"&amp;"239, 1) * ('1. DATA CHUNG'!$L$4:$L$105&lt;=TODAY()) ),   2, 0),  1, 1), 
  IFERROR( INDEX(FILTER('1. DATA CHUNG'!$J$4:$J$105, (TRIM('1. DATA CHUNG'!$I$4:$I$105)=TRIM(K239)) * IF(COUNTIFS('1. DATA CHUNG'!$I$4:$I$105,K239,'1. DATA CHUNG'!$M$4:$M$105,Q239), '1."&amp;" DATA CHUNG'!$M$4:$M$105=Q239, 1) * ('1. DATA CHUNG'!$L$4:$L$105="""")), 1), ""Không tìm thấy"" ))"),7.0)</f>
        <v>7</v>
      </c>
      <c r="AI239" s="273">
        <f t="shared" si="2"/>
        <v>46042</v>
      </c>
      <c r="AJ239" s="287"/>
      <c r="AK239" s="286">
        <f t="shared" si="3"/>
        <v>0</v>
      </c>
      <c r="AL239" s="287">
        <f t="shared" si="4"/>
        <v>1</v>
      </c>
      <c r="AM239" s="287">
        <f t="shared" si="5"/>
        <v>5</v>
      </c>
      <c r="AN239" s="279">
        <f t="shared" si="6"/>
        <v>6</v>
      </c>
      <c r="AO239" s="295" t="str">
        <f t="shared" si="7"/>
        <v>01/2026</v>
      </c>
      <c r="AP239" s="277" t="str">
        <f t="array" ref="AP239">IFERROR(XLOOKUP(L239,'2. DATA NL, VTBB'!C:C,'2. DATA NL, VTBB'!F:F),"")</f>
        <v>HH0057</v>
      </c>
      <c r="AQ239" s="277" t="str">
        <f t="array" ref="AQ239">IF(OR(K239="Nhãn", K239="Nhãn thùng",K239="Nhãn Túi"), K239 &amp; " " &amp; IFERROR(XLOOKUP(L239, '2. DATA NL, VTBB'!C:C, '2. DATA NL, VTBB'!E:E), ""), "")</f>
        <v/>
      </c>
      <c r="AR239" s="278" t="str">
        <f t="array" ref="AR239">IFERROR(XLOOKUP(L239,'2. DATA NL, VTBB'!C:C,'2. DATA NL, VTBB'!G:G),"")</f>
        <v>GC - I - 491 - AU - Manco xanh (Nhãn đỏ) - 1kg - 20</v>
      </c>
      <c r="AS239" s="278" t="str">
        <f t="array" ref="AS239">IFERROR(XLOOKUP(L239,'2. DATA NL, VTBB'!C:C,'2. DATA NL, VTBB'!G:G),"")</f>
        <v>GC - I - 491 - AU - Manco xanh (Nhãn đỏ) - 1kg - 20</v>
      </c>
      <c r="AT239" s="277"/>
    </row>
    <row r="240" ht="30.75" customHeight="1">
      <c r="A240" s="272">
        <f t="shared" si="44"/>
        <v>237</v>
      </c>
      <c r="B240" s="289">
        <v>46035.0</v>
      </c>
      <c r="C240" s="273">
        <v>46036.0</v>
      </c>
      <c r="D240" s="273">
        <f t="shared" si="53"/>
        <v>46038</v>
      </c>
      <c r="E240" s="289">
        <v>46037.0</v>
      </c>
      <c r="F240" s="274" t="s">
        <v>561</v>
      </c>
      <c r="G240" s="275" t="s">
        <v>562</v>
      </c>
      <c r="H240" s="274" t="s">
        <v>304</v>
      </c>
      <c r="I240" s="275" t="s">
        <v>726</v>
      </c>
      <c r="J240" s="279" t="s">
        <v>943</v>
      </c>
      <c r="K240" s="275" t="s">
        <v>730</v>
      </c>
      <c r="L240" s="277" t="s">
        <v>731</v>
      </c>
      <c r="M240" s="278" t="str">
        <f t="array" ref="M240">IFERROR(XLOOKUP(L240,'2. DATA NL, VTBB'!C:C,'2. DATA NL, VTBB'!D:D),"")</f>
        <v>Nắp HDPE cổ 49 (7.5gr)  có gurantee  - Trắng</v>
      </c>
      <c r="N240" s="280"/>
      <c r="O240" s="280" t="str">
        <f t="array" ref="O240">IFERROR( XLOOKUP(L240,'2. DATA NL, VTBB'!C:C,'2. DATA NL, VTBB'!E:E),"")</f>
        <v>Chitin 3.6EC</v>
      </c>
      <c r="P240" s="275" t="s">
        <v>565</v>
      </c>
      <c r="Q240" s="311"/>
      <c r="R240" s="290" t="s">
        <v>566</v>
      </c>
      <c r="S240" s="280"/>
      <c r="T240" s="277"/>
      <c r="U240" s="277"/>
      <c r="V240" s="283">
        <v>3000.0</v>
      </c>
      <c r="W240" s="275" t="s">
        <v>699</v>
      </c>
      <c r="X240" s="283">
        <v>3000.0</v>
      </c>
      <c r="Y240" s="274">
        <v>3060.0</v>
      </c>
      <c r="Z240" s="272">
        <v>900.0</v>
      </c>
      <c r="AA240" s="285">
        <v>0.08</v>
      </c>
      <c r="AB240" s="282">
        <v>2974320.0</v>
      </c>
      <c r="AC240" s="277"/>
      <c r="AD240" s="289">
        <v>46035.0</v>
      </c>
      <c r="AE240" s="272">
        <v>149.0</v>
      </c>
      <c r="AF240" s="277"/>
      <c r="AG240" s="277"/>
      <c r="AH240" s="294">
        <f>IFERROR(__xludf.DUMMYFUNCTION("IFERROR(INDEX( SORT(FILTER(
        {'1. DATA CHUNG'!$J$4:$J$105 , '1. DATA CHUNG'!$L$4:$L$105}, (TRIM('1. DATA CHUNG'!$I$4:$I$105)=TRIM(K240)) * IF(COUNTIFS('1. DATA CHUNG'!$I$4:$I$105,K240,'1. DATA CHUNG'!$M$4:$M$105,Q240), '1. DATA CHUNG'!$M$4:$M$105=Q"&amp;"240, 1) * ('1. DATA CHUNG'!$L$4:$L$105&lt;=TODAY()) ),   2, 0),  1, 1), 
  IFERROR( INDEX(FILTER('1. DATA CHUNG'!$J$4:$J$105, (TRIM('1. DATA CHUNG'!$I$4:$I$105)=TRIM(K240)) * IF(COUNTIFS('1. DATA CHUNG'!$I$4:$I$105,K240,'1. DATA CHUNG'!$M$4:$M$105,Q240), '1."&amp;" DATA CHUNG'!$M$4:$M$105=Q240, 1) * ('1. DATA CHUNG'!$L$4:$L$105="""")), 1), ""Không tìm thấy"" ))"),7.0)</f>
        <v>7</v>
      </c>
      <c r="AI240" s="273">
        <f t="shared" si="2"/>
        <v>46042</v>
      </c>
      <c r="AJ240" s="287"/>
      <c r="AK240" s="286">
        <f t="shared" si="3"/>
        <v>0</v>
      </c>
      <c r="AL240" s="287">
        <f t="shared" si="4"/>
        <v>1</v>
      </c>
      <c r="AM240" s="287">
        <f t="shared" si="5"/>
        <v>5</v>
      </c>
      <c r="AN240" s="279">
        <f t="shared" si="6"/>
        <v>6</v>
      </c>
      <c r="AO240" s="295" t="str">
        <f t="shared" si="7"/>
        <v>01/2026</v>
      </c>
      <c r="AP240" s="277" t="str">
        <f t="array" ref="AP240">IFERROR(XLOOKUP(L240,'2. DATA NL, VTBB'!C:C,'2. DATA NL, VTBB'!F:F),"")</f>
        <v>HH0144</v>
      </c>
      <c r="AQ240" s="277" t="str">
        <f t="array" ref="AQ240">IF(OR(K240="Nhãn", K240="Nhãn thùng",K240="Nhãn Túi"), K240 &amp; " " &amp; IFERROR(XLOOKUP(L240, '2. DATA NL, VTBB'!C:C, '2. DATA NL, VTBB'!E:E), ""), "")</f>
        <v/>
      </c>
      <c r="AR240" s="278" t="str">
        <f t="array" ref="AR240">IFERROR(XLOOKUP(L240,'2. DATA NL, VTBB'!C:C,'2. DATA NL, VTBB'!G:G),"")</f>
        <v>GC - IV - 862 - Agritech - Agritech Abamectin 36 (Chai Vuông) (Nước nâu đen) - 450ml - 40</v>
      </c>
      <c r="AS240" s="278" t="str">
        <f t="array" ref="AS240">IFERROR(XLOOKUP(L240,'2. DATA NL, VTBB'!C:C,'2. DATA NL, VTBB'!G:G),"")</f>
        <v>GC - IV - 862 - Agritech - Agritech Abamectin 36 (Chai Vuông) (Nước nâu đen) - 450ml - 40</v>
      </c>
      <c r="AT240" s="277"/>
    </row>
    <row r="241" ht="30.75" customHeight="1">
      <c r="A241" s="272">
        <f t="shared" si="44"/>
        <v>238</v>
      </c>
      <c r="B241" s="289">
        <v>46035.0</v>
      </c>
      <c r="C241" s="273">
        <v>46036.0</v>
      </c>
      <c r="D241" s="273">
        <f t="shared" si="53"/>
        <v>46038</v>
      </c>
      <c r="E241" s="289">
        <v>46037.0</v>
      </c>
      <c r="F241" s="274" t="s">
        <v>561</v>
      </c>
      <c r="G241" s="275" t="s">
        <v>562</v>
      </c>
      <c r="H241" s="274" t="s">
        <v>304</v>
      </c>
      <c r="I241" s="275" t="s">
        <v>726</v>
      </c>
      <c r="J241" s="279" t="s">
        <v>943</v>
      </c>
      <c r="K241" s="275" t="s">
        <v>732</v>
      </c>
      <c r="L241" s="277" t="s">
        <v>733</v>
      </c>
      <c r="M241" s="278" t="str">
        <f t="array" ref="M241">IFERROR(XLOOKUP(L241,'2. DATA NL, VTBB'!C:C,'2. DATA NL, VTBB'!D:D),"")</f>
        <v>Cốc đong cổ 49 50ml - Trắng trong</v>
      </c>
      <c r="N241" s="280"/>
      <c r="O241" s="280" t="str">
        <f t="array" ref="O241">IFERROR( XLOOKUP(L241,'2. DATA NL, VTBB'!C:C,'2. DATA NL, VTBB'!E:E),"")</f>
        <v>PICOSUPER 280SC</v>
      </c>
      <c r="P241" s="275" t="s">
        <v>565</v>
      </c>
      <c r="Q241" s="311"/>
      <c r="R241" s="290" t="s">
        <v>566</v>
      </c>
      <c r="S241" s="280"/>
      <c r="T241" s="277"/>
      <c r="U241" s="277"/>
      <c r="V241" s="283">
        <v>3000.0</v>
      </c>
      <c r="W241" s="275" t="s">
        <v>699</v>
      </c>
      <c r="X241" s="283">
        <v>3000.0</v>
      </c>
      <c r="Y241" s="274">
        <v>3060.0</v>
      </c>
      <c r="Z241" s="272">
        <v>650.0</v>
      </c>
      <c r="AA241" s="285">
        <v>0.08</v>
      </c>
      <c r="AB241" s="282">
        <v>2148120.0</v>
      </c>
      <c r="AC241" s="277"/>
      <c r="AD241" s="289">
        <v>46035.0</v>
      </c>
      <c r="AE241" s="272">
        <v>149.0</v>
      </c>
      <c r="AF241" s="277"/>
      <c r="AG241" s="277"/>
      <c r="AH241" s="294">
        <f>IFERROR(__xludf.DUMMYFUNCTION("IFERROR(INDEX( SORT(FILTER(
        {'1. DATA CHUNG'!$J$4:$J$105 , '1. DATA CHUNG'!$L$4:$L$105}, (TRIM('1. DATA CHUNG'!$I$4:$I$105)=TRIM(K241)) * IF(COUNTIFS('1. DATA CHUNG'!$I$4:$I$105,K241,'1. DATA CHUNG'!$M$4:$M$105,Q241), '1. DATA CHUNG'!$M$4:$M$105=Q"&amp;"241, 1) * ('1. DATA CHUNG'!$L$4:$L$105&lt;=TODAY()) ),   2, 0),  1, 1), 
  IFERROR( INDEX(FILTER('1. DATA CHUNG'!$J$4:$J$105, (TRIM('1. DATA CHUNG'!$I$4:$I$105)=TRIM(K241)) * IF(COUNTIFS('1. DATA CHUNG'!$I$4:$I$105,K241,'1. DATA CHUNG'!$M$4:$M$105,Q241), '1."&amp;" DATA CHUNG'!$M$4:$M$105=Q241, 1) * ('1. DATA CHUNG'!$L$4:$L$105="""")), 1), ""Không tìm thấy"" ))"),7.0)</f>
        <v>7</v>
      </c>
      <c r="AI241" s="273">
        <f t="shared" si="2"/>
        <v>46042</v>
      </c>
      <c r="AJ241" s="287"/>
      <c r="AK241" s="286">
        <f t="shared" si="3"/>
        <v>0</v>
      </c>
      <c r="AL241" s="287">
        <f t="shared" si="4"/>
        <v>1</v>
      </c>
      <c r="AM241" s="287">
        <f t="shared" si="5"/>
        <v>5</v>
      </c>
      <c r="AN241" s="279">
        <f t="shared" si="6"/>
        <v>6</v>
      </c>
      <c r="AO241" s="295" t="str">
        <f t="shared" si="7"/>
        <v>01/2026</v>
      </c>
      <c r="AP241" s="277" t="str">
        <f t="array" ref="AP241">IFERROR(XLOOKUP(L241,'2. DATA NL, VTBB'!C:C,'2. DATA NL, VTBB'!F:F),"")</f>
        <v>HH0004</v>
      </c>
      <c r="AQ241" s="277" t="str">
        <f t="array" ref="AQ241">IF(OR(K241="Nhãn", K241="Nhãn thùng",K241="Nhãn Túi"), K241 &amp; " " &amp; IFERROR(XLOOKUP(L241, '2. DATA NL, VTBB'!C:C, '2. DATA NL, VTBB'!E:E), ""), "")</f>
        <v/>
      </c>
      <c r="AR241" s="278" t="str">
        <f t="array" ref="AR241">IFERROR(XLOOKUP(L241,'2. DATA NL, VTBB'!C:C,'2. DATA NL, VTBB'!G:G),"")</f>
        <v>IDA Global - I - 713.1 - Picosuper 280SC (Chai Pape)(nước trắng sữa) - 240ml - 40 ([btp],t,c)</v>
      </c>
      <c r="AS241" s="278" t="str">
        <f t="array" ref="AS241">IFERROR(XLOOKUP(L241,'2. DATA NL, VTBB'!C:C,'2. DATA NL, VTBB'!G:G),"")</f>
        <v>IDA Global - I - 713.1 - Picosuper 280SC (Chai Pape)(nước trắng sữa) - 240ml - 40 ([btp],t,c)</v>
      </c>
      <c r="AT241" s="277"/>
    </row>
    <row r="242" ht="30.75" customHeight="1">
      <c r="A242" s="272">
        <f t="shared" si="44"/>
        <v>239</v>
      </c>
      <c r="B242" s="289">
        <v>46036.0</v>
      </c>
      <c r="C242" s="273">
        <v>46037.0</v>
      </c>
      <c r="D242" s="273">
        <f t="shared" si="53"/>
        <v>46039</v>
      </c>
      <c r="E242" s="273">
        <f t="shared" ref="E242:E243" si="54">C242+3</f>
        <v>46040</v>
      </c>
      <c r="F242" s="274" t="s">
        <v>561</v>
      </c>
      <c r="G242" s="275" t="s">
        <v>562</v>
      </c>
      <c r="H242" s="274" t="s">
        <v>304</v>
      </c>
      <c r="I242" s="275" t="s">
        <v>945</v>
      </c>
      <c r="J242" s="279" t="s">
        <v>946</v>
      </c>
      <c r="K242" s="275" t="s">
        <v>728</v>
      </c>
      <c r="L242" s="277" t="s">
        <v>947</v>
      </c>
      <c r="M242" s="278" t="str">
        <f t="array" ref="M242">IFERROR(XLOOKUP(L242,'2. DATA NL, VTBB'!C:C,'2. DATA NL, VTBB'!D:D),"")</f>
        <v>Chai HDPE tròn cổ 50 500ml (60gr) - trắng - HG08</v>
      </c>
      <c r="N242" s="280"/>
      <c r="O242" s="280" t="str">
        <f t="array" ref="O242">IFERROR( XLOOKUP(L242,'2. DATA NL, VTBB'!C:C,'2. DATA NL, VTBB'!E:E),"")</f>
        <v>Vi lượng AV-CFC
(Dạng rắn)</v>
      </c>
      <c r="P242" s="275" t="s">
        <v>565</v>
      </c>
      <c r="Q242" s="311"/>
      <c r="R242" s="290" t="s">
        <v>566</v>
      </c>
      <c r="S242" s="280"/>
      <c r="T242" s="277"/>
      <c r="U242" s="277"/>
      <c r="V242" s="283">
        <v>3000.0</v>
      </c>
      <c r="W242" s="275" t="s">
        <v>699</v>
      </c>
      <c r="X242" s="283">
        <v>3000.0</v>
      </c>
      <c r="Y242" s="274">
        <v>3078.0</v>
      </c>
      <c r="Z242" s="272">
        <v>3477.0</v>
      </c>
      <c r="AA242" s="285">
        <v>0.08</v>
      </c>
      <c r="AB242" s="282">
        <v>1.1558382E7</v>
      </c>
      <c r="AC242" s="277"/>
      <c r="AD242" s="289">
        <v>46036.0</v>
      </c>
      <c r="AE242" s="272">
        <v>20.0</v>
      </c>
      <c r="AF242" s="277"/>
      <c r="AG242" s="277"/>
      <c r="AH242" s="294">
        <f>IFERROR(__xludf.DUMMYFUNCTION("IFERROR(INDEX( SORT(FILTER(
        {'1. DATA CHUNG'!$J$4:$J$105 , '1. DATA CHUNG'!$L$4:$L$105}, (TRIM('1. DATA CHUNG'!$I$4:$I$105)=TRIM(K242)) * IF(COUNTIFS('1. DATA CHUNG'!$I$4:$I$105,K242,'1. DATA CHUNG'!$M$4:$M$105,Q242), '1. DATA CHUNG'!$M$4:$M$105=Q"&amp;"242, 1) * ('1. DATA CHUNG'!$L$4:$L$105&lt;=TODAY()) ),   2, 0),  1, 1), 
  IFERROR( INDEX(FILTER('1. DATA CHUNG'!$J$4:$J$105, (TRIM('1. DATA CHUNG'!$I$4:$I$105)=TRIM(K242)) * IF(COUNTIFS('1. DATA CHUNG'!$I$4:$I$105,K242,'1. DATA CHUNG'!$M$4:$M$105,Q242), '1."&amp;" DATA CHUNG'!$M$4:$M$105=Q242, 1) * ('1. DATA CHUNG'!$L$4:$L$105="""")), 1), ""Không tìm thấy"" ))"),7.0)</f>
        <v>7</v>
      </c>
      <c r="AI242" s="273">
        <f t="shared" si="2"/>
        <v>46043</v>
      </c>
      <c r="AJ242" s="287"/>
      <c r="AK242" s="286">
        <f t="shared" si="3"/>
        <v>0</v>
      </c>
      <c r="AL242" s="287">
        <f t="shared" si="4"/>
        <v>-1</v>
      </c>
      <c r="AM242" s="287">
        <f t="shared" si="5"/>
        <v>3</v>
      </c>
      <c r="AN242" s="279">
        <f t="shared" si="6"/>
        <v>6</v>
      </c>
      <c r="AO242" s="295" t="str">
        <f t="shared" si="7"/>
        <v>01/2026</v>
      </c>
      <c r="AP242" s="277" t="str">
        <f t="array" ref="AP242">IFERROR(XLOOKUP(L242,'2. DATA NL, VTBB'!C:C,'2. DATA NL, VTBB'!F:F),"")</f>
        <v>HH0023</v>
      </c>
      <c r="AQ242" s="277" t="str">
        <f t="array" ref="AQ242">IF(OR(K242="Nhãn", K242="Nhãn thùng",K242="Nhãn Túi"), K242 &amp; " " &amp; IFERROR(XLOOKUP(L242, '2. DATA NL, VTBB'!C:C, '2. DATA NL, VTBB'!E:E), ""), "")</f>
        <v/>
      </c>
      <c r="AR242" s="278" t="str">
        <f t="array" ref="AR242">IFERROR(XLOOKUP(L242,'2. DATA NL, VTBB'!C:C,'2. DATA NL, VTBB'!G:G),"")</f>
        <v>GC - II - 358 - Hoàng Thảo - HumiK - 1kg - 25</v>
      </c>
      <c r="AS242" s="278" t="str">
        <f t="array" ref="AS242">IFERROR(XLOOKUP(L242,'2. DATA NL, VTBB'!C:C,'2. DATA NL, VTBB'!G:G),"")</f>
        <v>GC - II - 358 - Hoàng Thảo - HumiK - 1kg - 25</v>
      </c>
      <c r="AT242" s="277"/>
    </row>
    <row r="243" ht="30.75" customHeight="1">
      <c r="A243" s="272">
        <f t="shared" si="44"/>
        <v>240</v>
      </c>
      <c r="B243" s="289">
        <v>46036.0</v>
      </c>
      <c r="C243" s="273">
        <v>46037.0</v>
      </c>
      <c r="D243" s="273">
        <f t="shared" si="53"/>
        <v>46039</v>
      </c>
      <c r="E243" s="273">
        <f t="shared" si="54"/>
        <v>46040</v>
      </c>
      <c r="F243" s="274" t="s">
        <v>561</v>
      </c>
      <c r="G243" s="275" t="s">
        <v>562</v>
      </c>
      <c r="H243" s="274" t="s">
        <v>304</v>
      </c>
      <c r="I243" s="275" t="s">
        <v>945</v>
      </c>
      <c r="J243" s="279" t="s">
        <v>946</v>
      </c>
      <c r="K243" s="275" t="s">
        <v>730</v>
      </c>
      <c r="L243" s="277" t="s">
        <v>948</v>
      </c>
      <c r="M243" s="278" t="str">
        <f t="array" ref="M243">IFERROR(XLOOKUP(L243,'2. DATA NL, VTBB'!C:C,'2. DATA NL, VTBB'!D:D),"")</f>
        <v>Nắp HD cổ 50 (10gr) trắng</v>
      </c>
      <c r="N243" s="280"/>
      <c r="O243" s="280" t="str">
        <f t="array" ref="O243">IFERROR( XLOOKUP(L243,'2. DATA NL, VTBB'!C:C,'2. DATA NL, VTBB'!E:E),"")</f>
        <v>Vi lượng Basel DANA 20</v>
      </c>
      <c r="P243" s="275" t="s">
        <v>565</v>
      </c>
      <c r="Q243" s="311"/>
      <c r="R243" s="290" t="s">
        <v>566</v>
      </c>
      <c r="S243" s="280"/>
      <c r="T243" s="277"/>
      <c r="U243" s="277"/>
      <c r="V243" s="283">
        <v>3000.0</v>
      </c>
      <c r="W243" s="275" t="s">
        <v>699</v>
      </c>
      <c r="X243" s="283">
        <v>3000.0</v>
      </c>
      <c r="Y243" s="274">
        <v>3078.0</v>
      </c>
      <c r="Z243" s="272">
        <v>623.0</v>
      </c>
      <c r="AA243" s="285">
        <v>0.08</v>
      </c>
      <c r="AB243" s="282">
        <v>2071002.0</v>
      </c>
      <c r="AC243" s="277"/>
      <c r="AD243" s="289">
        <v>46036.0</v>
      </c>
      <c r="AE243" s="272">
        <v>20.0</v>
      </c>
      <c r="AF243" s="277"/>
      <c r="AG243" s="277"/>
      <c r="AH243" s="294">
        <f>IFERROR(__xludf.DUMMYFUNCTION("IFERROR(INDEX( SORT(FILTER(
        {'1. DATA CHUNG'!$J$4:$J$105 , '1. DATA CHUNG'!$L$4:$L$105}, (TRIM('1. DATA CHUNG'!$I$4:$I$105)=TRIM(K243)) * IF(COUNTIFS('1. DATA CHUNG'!$I$4:$I$105,K243,'1. DATA CHUNG'!$M$4:$M$105,Q243), '1. DATA CHUNG'!$M$4:$M$105=Q"&amp;"243, 1) * ('1. DATA CHUNG'!$L$4:$L$105&lt;=TODAY()) ),   2, 0),  1, 1), 
  IFERROR( INDEX(FILTER('1. DATA CHUNG'!$J$4:$J$105, (TRIM('1. DATA CHUNG'!$I$4:$I$105)=TRIM(K243)) * IF(COUNTIFS('1. DATA CHUNG'!$I$4:$I$105,K243,'1. DATA CHUNG'!$M$4:$M$105,Q243), '1."&amp;" DATA CHUNG'!$M$4:$M$105=Q243, 1) * ('1. DATA CHUNG'!$L$4:$L$105="""")), 1), ""Không tìm thấy"" ))"),7.0)</f>
        <v>7</v>
      </c>
      <c r="AI243" s="273">
        <f t="shared" si="2"/>
        <v>46043</v>
      </c>
      <c r="AJ243" s="287"/>
      <c r="AK243" s="286">
        <f t="shared" si="3"/>
        <v>0</v>
      </c>
      <c r="AL243" s="287">
        <f t="shared" si="4"/>
        <v>-1</v>
      </c>
      <c r="AM243" s="287">
        <f t="shared" si="5"/>
        <v>3</v>
      </c>
      <c r="AN243" s="279">
        <f t="shared" si="6"/>
        <v>6</v>
      </c>
      <c r="AO243" s="295" t="str">
        <f t="shared" si="7"/>
        <v>01/2026</v>
      </c>
      <c r="AP243" s="277" t="str">
        <f t="array" ref="AP243">IFERROR(XLOOKUP(L243,'2. DATA NL, VTBB'!C:C,'2. DATA NL, VTBB'!F:F),"")</f>
        <v>HH0029</v>
      </c>
      <c r="AQ243" s="277" t="str">
        <f t="array" ref="AQ243">IF(OR(K243="Nhãn", K243="Nhãn thùng",K243="Nhãn Túi"), K243 &amp; " " &amp; IFERROR(XLOOKUP(L243, '2. DATA NL, VTBB'!C:C, '2. DATA NL, VTBB'!E:E), ""), "")</f>
        <v/>
      </c>
      <c r="AR243" s="278" t="str">
        <f t="array" ref="AR243">IFERROR(XLOOKUP(L243,'2. DATA NL, VTBB'!C:C,'2. DATA NL, VTBB'!G:G),"")</f>
        <v>GC - II - 396 - SH Rice+ - 65gr - 300</v>
      </c>
      <c r="AS243" s="278" t="str">
        <f t="array" ref="AS243">IFERROR(XLOOKUP(L243,'2. DATA NL, VTBB'!C:C,'2. DATA NL, VTBB'!G:G),"")</f>
        <v>GC - II - 396 - SH Rice+ - 65gr - 300</v>
      </c>
      <c r="AT243" s="277"/>
    </row>
    <row r="244" ht="30.75" customHeight="1">
      <c r="A244" s="272">
        <f t="shared" si="44"/>
        <v>241</v>
      </c>
      <c r="B244" s="289">
        <v>46037.0</v>
      </c>
      <c r="C244" s="289">
        <v>46044.0</v>
      </c>
      <c r="D244" s="289">
        <f>B244+15</f>
        <v>46052</v>
      </c>
      <c r="E244" s="289">
        <v>46056.0</v>
      </c>
      <c r="F244" s="274" t="s">
        <v>561</v>
      </c>
      <c r="G244" s="275" t="s">
        <v>562</v>
      </c>
      <c r="H244" s="274" t="s">
        <v>304</v>
      </c>
      <c r="I244" s="275" t="s">
        <v>305</v>
      </c>
      <c r="J244" s="279" t="s">
        <v>949</v>
      </c>
      <c r="K244" s="275" t="s">
        <v>301</v>
      </c>
      <c r="L244" s="277" t="s">
        <v>578</v>
      </c>
      <c r="M244" s="278" t="str">
        <f t="array" ref="M244">IFERROR(XLOOKUP(L244,'2. DATA NL, VTBB'!C:C,'2. DATA NL, VTBB'!D:D),"")</f>
        <v>Thùng DC Chai Pet Tròn 43 450ml-500ml - 61.5x38.5x19 - Trắng</v>
      </c>
      <c r="N244" s="280"/>
      <c r="O244" s="280" t="str">
        <f t="array" ref="O244">IFERROR( XLOOKUP(L244,'2. DATA NL, VTBB'!C:C,'2. DATA NL, VTBB'!E:E),"")</f>
        <v>Vi lượng AV4</v>
      </c>
      <c r="P244" s="275" t="s">
        <v>565</v>
      </c>
      <c r="Q244" s="311"/>
      <c r="R244" s="290" t="s">
        <v>566</v>
      </c>
      <c r="S244" s="280"/>
      <c r="T244" s="277"/>
      <c r="U244" s="277"/>
      <c r="V244" s="283">
        <v>300.0</v>
      </c>
      <c r="W244" s="275" t="s">
        <v>699</v>
      </c>
      <c r="X244" s="283">
        <v>300.0</v>
      </c>
      <c r="Y244" s="274">
        <v>320.0</v>
      </c>
      <c r="Z244" s="272">
        <v>21700.0</v>
      </c>
      <c r="AA244" s="285">
        <v>0.08</v>
      </c>
      <c r="AB244" s="282">
        <v>7499520.0</v>
      </c>
      <c r="AC244" s="277"/>
      <c r="AD244" s="289">
        <v>46037.0</v>
      </c>
      <c r="AE244" s="272">
        <v>264.0</v>
      </c>
      <c r="AF244" s="277"/>
      <c r="AG244" s="277"/>
      <c r="AH244" s="294">
        <f>IFERROR(__xludf.DUMMYFUNCTION("IFERROR(INDEX( SORT(FILTER(
        {'1. DATA CHUNG'!$J$4:$J$105 , '1. DATA CHUNG'!$L$4:$L$105}, (TRIM('1. DATA CHUNG'!$I$4:$I$105)=TRIM(K244)) * IF(COUNTIFS('1. DATA CHUNG'!$I$4:$I$105,K244,'1. DATA CHUNG'!$M$4:$M$105,Q244), '1. DATA CHUNG'!$M$4:$M$105=Q"&amp;"244, 1) * ('1. DATA CHUNG'!$L$4:$L$105&lt;=TODAY()) ),   2, 0),  1, 1), 
  IFERROR( INDEX(FILTER('1. DATA CHUNG'!$J$4:$J$105, (TRIM('1. DATA CHUNG'!$I$4:$I$105)=TRIM(K244)) * IF(COUNTIFS('1. DATA CHUNG'!$I$4:$I$105,K244,'1. DATA CHUNG'!$M$4:$M$105,Q244), '1."&amp;" DATA CHUNG'!$M$4:$M$105=Q244, 1) * ('1. DATA CHUNG'!$L$4:$L$105="""")), 1), ""Không tìm thấy"" ))"),18.0)</f>
        <v>18</v>
      </c>
      <c r="AI244" s="273">
        <f t="shared" si="2"/>
        <v>46055</v>
      </c>
      <c r="AJ244" s="287"/>
      <c r="AK244" s="286">
        <f t="shared" si="3"/>
        <v>0</v>
      </c>
      <c r="AL244" s="287">
        <f t="shared" si="4"/>
        <v>-4</v>
      </c>
      <c r="AM244" s="287">
        <f t="shared" si="5"/>
        <v>-1</v>
      </c>
      <c r="AN244" s="279">
        <f t="shared" si="6"/>
        <v>11</v>
      </c>
      <c r="AO244" s="295" t="str">
        <f t="shared" si="7"/>
        <v>01/2026</v>
      </c>
      <c r="AP244" s="277" t="str">
        <f t="array" ref="AP244">IFERROR(XLOOKUP(L244,'2. DATA NL, VTBB'!C:C,'2. DATA NL, VTBB'!F:F),"")</f>
        <v>HH0004</v>
      </c>
      <c r="AQ244" s="277" t="str">
        <f t="array" ref="AQ244">IF(OR(K244="Nhãn", K244="Nhãn thùng",K244="Nhãn Túi"), K244 &amp; " " &amp; IFERROR(XLOOKUP(L244, '2. DATA NL, VTBB'!C:C, '2. DATA NL, VTBB'!E:E), ""), "")</f>
        <v/>
      </c>
      <c r="AR244" s="278" t="str">
        <f t="array" ref="AR244">IFERROR(XLOOKUP(L244,'2. DATA NL, VTBB'!C:C,'2. DATA NL, VTBB'!G:G),"")</f>
        <v>GC - II - 24 - Aqua Gold ra bông xoài 1kg -25</v>
      </c>
      <c r="AS244" s="278" t="str">
        <f t="array" ref="AS244">IFERROR(XLOOKUP(L244,'2. DATA NL, VTBB'!C:C,'2. DATA NL, VTBB'!G:G),"")</f>
        <v>GC - II - 24 - Aqua Gold ra bông xoài 1kg -25</v>
      </c>
      <c r="AT244" s="277"/>
    </row>
    <row r="245" ht="30.75" customHeight="1">
      <c r="A245" s="272">
        <f t="shared" si="44"/>
        <v>242</v>
      </c>
      <c r="B245" s="289">
        <v>46037.0</v>
      </c>
      <c r="C245" s="273">
        <v>46038.0</v>
      </c>
      <c r="D245" s="273">
        <f t="shared" ref="D245:D246" si="55">B245+3</f>
        <v>46040</v>
      </c>
      <c r="E245" s="289">
        <v>46038.0</v>
      </c>
      <c r="F245" s="274" t="s">
        <v>561</v>
      </c>
      <c r="G245" s="275" t="s">
        <v>562</v>
      </c>
      <c r="H245" s="274" t="s">
        <v>304</v>
      </c>
      <c r="I245" s="275" t="s">
        <v>726</v>
      </c>
      <c r="J245" s="279" t="s">
        <v>950</v>
      </c>
      <c r="K245" s="275" t="s">
        <v>728</v>
      </c>
      <c r="L245" s="277" t="s">
        <v>778</v>
      </c>
      <c r="M245" s="278" t="str">
        <f t="array" ref="M245">IFERROR(XLOOKUP(L245,'2. DATA NL, VTBB'!C:C,'2. DATA NL, VTBB'!D:D),"")</f>
        <v>Chai PET tròn cổ 44 500ml (45g) Trắng</v>
      </c>
      <c r="N245" s="280"/>
      <c r="O245" s="280" t="str">
        <f t="array" ref="O245">IFERROR( XLOOKUP(L245,'2. DATA NL, VTBB'!C:C,'2. DATA NL, VTBB'!E:E),"")</f>
        <v>Chitin 3.6EC</v>
      </c>
      <c r="P245" s="275" t="s">
        <v>565</v>
      </c>
      <c r="Q245" s="311"/>
      <c r="R245" s="291" t="s">
        <v>573</v>
      </c>
      <c r="S245" s="280"/>
      <c r="T245" s="277"/>
      <c r="U245" s="277"/>
      <c r="V245" s="283">
        <v>4000.0</v>
      </c>
      <c r="W245" s="275" t="s">
        <v>699</v>
      </c>
      <c r="X245" s="283">
        <v>4000.0</v>
      </c>
      <c r="Y245" s="274">
        <v>4032.0</v>
      </c>
      <c r="Z245" s="272">
        <v>1900.0</v>
      </c>
      <c r="AA245" s="285">
        <v>0.08</v>
      </c>
      <c r="AB245" s="282">
        <v>8273664.0</v>
      </c>
      <c r="AC245" s="277"/>
      <c r="AD245" s="289">
        <v>46037.0</v>
      </c>
      <c r="AE245" s="272">
        <v>134.0</v>
      </c>
      <c r="AF245" s="277"/>
      <c r="AG245" s="277"/>
      <c r="AH245" s="294">
        <f>IFERROR(__xludf.DUMMYFUNCTION("IFERROR(INDEX( SORT(FILTER(
        {'1. DATA CHUNG'!$J$4:$J$105 , '1. DATA CHUNG'!$L$4:$L$105}, (TRIM('1. DATA CHUNG'!$I$4:$I$105)=TRIM(K245)) * IF(COUNTIFS('1. DATA CHUNG'!$I$4:$I$105,K245,'1. DATA CHUNG'!$M$4:$M$105,Q245), '1. DATA CHUNG'!$M$4:$M$105=Q"&amp;"245, 1) * ('1. DATA CHUNG'!$L$4:$L$105&lt;=TODAY()) ),   2, 0),  1, 1), 
  IFERROR( INDEX(FILTER('1. DATA CHUNG'!$J$4:$J$105, (TRIM('1. DATA CHUNG'!$I$4:$I$105)=TRIM(K245)) * IF(COUNTIFS('1. DATA CHUNG'!$I$4:$I$105,K245,'1. DATA CHUNG'!$M$4:$M$105,Q245), '1."&amp;" DATA CHUNG'!$M$4:$M$105=Q245, 1) * ('1. DATA CHUNG'!$L$4:$L$105="""")), 1), ""Không tìm thấy"" ))"),7.0)</f>
        <v>7</v>
      </c>
      <c r="AI245" s="273">
        <f t="shared" si="2"/>
        <v>46044</v>
      </c>
      <c r="AJ245" s="287"/>
      <c r="AK245" s="286">
        <f t="shared" si="3"/>
        <v>0</v>
      </c>
      <c r="AL245" s="287">
        <f t="shared" si="4"/>
        <v>2</v>
      </c>
      <c r="AM245" s="287">
        <f t="shared" si="5"/>
        <v>6</v>
      </c>
      <c r="AN245" s="279">
        <f t="shared" si="6"/>
        <v>6</v>
      </c>
      <c r="AO245" s="295" t="str">
        <f t="shared" si="7"/>
        <v>01/2026</v>
      </c>
      <c r="AP245" s="277" t="str">
        <f t="array" ref="AP245">IFERROR(XLOOKUP(L245,'2. DATA NL, VTBB'!C:C,'2. DATA NL, VTBB'!F:F),"")</f>
        <v>HH0234</v>
      </c>
      <c r="AQ245" s="277" t="str">
        <f t="array" ref="AQ245">IF(OR(K245="Nhãn", K245="Nhãn thùng",K245="Nhãn Túi"), K245 &amp; " " &amp; IFERROR(XLOOKUP(L245, '2. DATA NL, VTBB'!C:C, '2. DATA NL, VTBB'!E:E), ""), "")</f>
        <v/>
      </c>
      <c r="AR245" s="278" t="str">
        <f t="array" ref="AR245">IFERROR(XLOOKUP(L245,'2. DATA NL, VTBB'!C:C,'2. DATA NL, VTBB'!G:G),"")</f>
        <v>LOT IDA Global - I - 875 - ĐL Bảo Tại - Avermectin 36 (Pet tròn) (nắp đỏ)(nước nâu đen) - 450ml - 40</v>
      </c>
      <c r="AS245" s="278" t="str">
        <f t="array" ref="AS245">IFERROR(XLOOKUP(L245,'2. DATA NL, VTBB'!C:C,'2. DATA NL, VTBB'!G:G),"")</f>
        <v>LOT IDA Global - I - 875 - ĐL Bảo Tại - Avermectin 36 (Pet tròn) (nắp đỏ)(nước nâu đen) - 450ml - 40</v>
      </c>
      <c r="AT245" s="277"/>
    </row>
    <row r="246" ht="30.75" customHeight="1">
      <c r="A246" s="272">
        <f t="shared" si="44"/>
        <v>243</v>
      </c>
      <c r="B246" s="289">
        <v>46037.0</v>
      </c>
      <c r="C246" s="273">
        <v>46038.0</v>
      </c>
      <c r="D246" s="273">
        <f t="shared" si="55"/>
        <v>46040</v>
      </c>
      <c r="E246" s="289">
        <v>46038.0</v>
      </c>
      <c r="F246" s="274" t="s">
        <v>561</v>
      </c>
      <c r="G246" s="275" t="s">
        <v>562</v>
      </c>
      <c r="H246" s="274" t="s">
        <v>304</v>
      </c>
      <c r="I246" s="275" t="s">
        <v>726</v>
      </c>
      <c r="J246" s="279" t="s">
        <v>950</v>
      </c>
      <c r="K246" s="275" t="s">
        <v>730</v>
      </c>
      <c r="L246" s="277" t="s">
        <v>779</v>
      </c>
      <c r="M246" s="278" t="str">
        <f t="array" ref="M246">IFERROR(XLOOKUP(L246,'2. DATA NL, VTBB'!C:C,'2. DATA NL, VTBB'!D:D),"")</f>
        <v>Nắp PET cổ 44 (9g) - Trắng</v>
      </c>
      <c r="N246" s="280"/>
      <c r="O246" s="280" t="str">
        <f t="array" ref="O246">IFERROR( XLOOKUP(L246,'2. DATA NL, VTBB'!C:C,'2. DATA NL, VTBB'!E:E),"")</f>
        <v>IMIPRID 10WP</v>
      </c>
      <c r="P246" s="275" t="s">
        <v>565</v>
      </c>
      <c r="Q246" s="311"/>
      <c r="R246" s="291" t="s">
        <v>573</v>
      </c>
      <c r="S246" s="280"/>
      <c r="T246" s="277"/>
      <c r="U246" s="277"/>
      <c r="V246" s="283">
        <v>4000.0</v>
      </c>
      <c r="W246" s="275" t="s">
        <v>699</v>
      </c>
      <c r="X246" s="283">
        <v>4000.0</v>
      </c>
      <c r="Y246" s="274">
        <v>4032.0</v>
      </c>
      <c r="Z246" s="272">
        <v>900.0</v>
      </c>
      <c r="AA246" s="285">
        <v>0.08</v>
      </c>
      <c r="AB246" s="282">
        <v>3919104.0</v>
      </c>
      <c r="AC246" s="277"/>
      <c r="AD246" s="289">
        <v>46037.0</v>
      </c>
      <c r="AE246" s="272">
        <v>134.0</v>
      </c>
      <c r="AF246" s="277"/>
      <c r="AG246" s="277"/>
      <c r="AH246" s="294">
        <f>IFERROR(__xludf.DUMMYFUNCTION("IFERROR(INDEX( SORT(FILTER(
        {'1. DATA CHUNG'!$J$4:$J$105 , '1. DATA CHUNG'!$L$4:$L$105}, (TRIM('1. DATA CHUNG'!$I$4:$I$105)=TRIM(K246)) * IF(COUNTIFS('1. DATA CHUNG'!$I$4:$I$105,K246,'1. DATA CHUNG'!$M$4:$M$105,Q246), '1. DATA CHUNG'!$M$4:$M$105=Q"&amp;"246, 1) * ('1. DATA CHUNG'!$L$4:$L$105&lt;=TODAY()) ),   2, 0),  1, 1), 
  IFERROR( INDEX(FILTER('1. DATA CHUNG'!$J$4:$J$105, (TRIM('1. DATA CHUNG'!$I$4:$I$105)=TRIM(K246)) * IF(COUNTIFS('1. DATA CHUNG'!$I$4:$I$105,K246,'1. DATA CHUNG'!$M$4:$M$105,Q246), '1."&amp;" DATA CHUNG'!$M$4:$M$105=Q246, 1) * ('1. DATA CHUNG'!$L$4:$L$105="""")), 1), ""Không tìm thấy"" ))"),7.0)</f>
        <v>7</v>
      </c>
      <c r="AI246" s="273">
        <f t="shared" si="2"/>
        <v>46044</v>
      </c>
      <c r="AJ246" s="287"/>
      <c r="AK246" s="286">
        <f t="shared" si="3"/>
        <v>0</v>
      </c>
      <c r="AL246" s="287">
        <f t="shared" si="4"/>
        <v>2</v>
      </c>
      <c r="AM246" s="287">
        <f t="shared" si="5"/>
        <v>6</v>
      </c>
      <c r="AN246" s="279">
        <f t="shared" si="6"/>
        <v>6</v>
      </c>
      <c r="AO246" s="295" t="str">
        <f t="shared" si="7"/>
        <v>01/2026</v>
      </c>
      <c r="AP246" s="277" t="str">
        <f t="array" ref="AP246">IFERROR(XLOOKUP(L246,'2. DATA NL, VTBB'!C:C,'2. DATA NL, VTBB'!F:F),"")</f>
        <v>HH0163</v>
      </c>
      <c r="AQ246" s="277" t="str">
        <f t="array" ref="AQ246">IF(OR(K246="Nhãn", K246="Nhãn thùng",K246="Nhãn Túi"), K246 &amp; " " &amp; IFERROR(XLOOKUP(L246, '2. DATA NL, VTBB'!C:C, '2. DATA NL, VTBB'!E:E), ""), "")</f>
        <v/>
      </c>
      <c r="AR246" s="278" t="str">
        <f t="array" ref="AR246">IFERROR(XLOOKUP(L246,'2. DATA NL, VTBB'!C:C,'2. DATA NL, VTBB'!G:G),"")</f>
        <v>GC - IV - 888.1 - Huy Phát - BI Pro Max (Bột trắng) - 100gr - 100</v>
      </c>
      <c r="AS246" s="278" t="str">
        <f t="array" ref="AS246">IFERROR(XLOOKUP(L246,'2. DATA NL, VTBB'!C:C,'2. DATA NL, VTBB'!G:G),"")</f>
        <v>GC - IV - 888.1 - Huy Phát - BI Pro Max (Bột trắng) - 100gr - 100</v>
      </c>
      <c r="AT246" s="277"/>
    </row>
    <row r="247" ht="30.75" customHeight="1">
      <c r="A247" s="272">
        <f t="shared" si="44"/>
        <v>244</v>
      </c>
      <c r="B247" s="289">
        <v>46037.0</v>
      </c>
      <c r="C247" s="289">
        <v>46044.0</v>
      </c>
      <c r="D247" s="289">
        <f t="shared" ref="D247:D248" si="56">B247+15</f>
        <v>46052</v>
      </c>
      <c r="E247" s="289">
        <v>46044.0</v>
      </c>
      <c r="F247" s="274" t="s">
        <v>561</v>
      </c>
      <c r="G247" s="275" t="s">
        <v>580</v>
      </c>
      <c r="H247" s="274" t="s">
        <v>304</v>
      </c>
      <c r="I247" s="275" t="s">
        <v>305</v>
      </c>
      <c r="J247" s="279" t="s">
        <v>951</v>
      </c>
      <c r="K247" s="275" t="s">
        <v>301</v>
      </c>
      <c r="L247" s="277" t="s">
        <v>572</v>
      </c>
      <c r="M247" s="278" t="str">
        <f t="array" ref="M247">IFERROR(XLOOKUP(L247,'2. DATA NL, VTBB'!C:C,'2. DATA NL, VTBB'!D:D),"")</f>
        <v>Thùng IDA chai PET tròn cổ 43 450ml x 40 chai (61.5x38.5x19cm) - Trắng xanh lá</v>
      </c>
      <c r="N247" s="280"/>
      <c r="O247" s="280" t="str">
        <f t="array" ref="O247">IFERROR( XLOOKUP(L247,'2. DATA NL, VTBB'!C:C,'2. DATA NL, VTBB'!E:E),"")</f>
        <v>Vi lượng Quantity New</v>
      </c>
      <c r="P247" s="275" t="s">
        <v>565</v>
      </c>
      <c r="Q247" s="311"/>
      <c r="R247" s="291" t="s">
        <v>573</v>
      </c>
      <c r="S247" s="280"/>
      <c r="T247" s="277"/>
      <c r="U247" s="277"/>
      <c r="V247" s="283">
        <v>300.0</v>
      </c>
      <c r="W247" s="275" t="s">
        <v>699</v>
      </c>
      <c r="X247" s="283">
        <v>300.0</v>
      </c>
      <c r="Y247" s="274">
        <v>303.0</v>
      </c>
      <c r="Z247" s="272">
        <v>23400.0</v>
      </c>
      <c r="AA247" s="285">
        <v>0.08</v>
      </c>
      <c r="AB247" s="282">
        <v>7657416.0</v>
      </c>
      <c r="AC247" s="277"/>
      <c r="AD247" s="289">
        <v>46037.0</v>
      </c>
      <c r="AE247" s="272">
        <v>262.0</v>
      </c>
      <c r="AF247" s="277"/>
      <c r="AG247" s="277"/>
      <c r="AH247" s="294">
        <f>IFERROR(__xludf.DUMMYFUNCTION("IFERROR(INDEX( SORT(FILTER(
        {'1. DATA CHUNG'!$J$4:$J$105 , '1. DATA CHUNG'!$L$4:$L$105}, (TRIM('1. DATA CHUNG'!$I$4:$I$105)=TRIM(K247)) * IF(COUNTIFS('1. DATA CHUNG'!$I$4:$I$105,K247,'1. DATA CHUNG'!$M$4:$M$105,Q247), '1. DATA CHUNG'!$M$4:$M$105=Q"&amp;"247, 1) * ('1. DATA CHUNG'!$L$4:$L$105&lt;=TODAY()) ),   2, 0),  1, 1), 
  IFERROR( INDEX(FILTER('1. DATA CHUNG'!$J$4:$J$105, (TRIM('1. DATA CHUNG'!$I$4:$I$105)=TRIM(K247)) * IF(COUNTIFS('1. DATA CHUNG'!$I$4:$I$105,K247,'1. DATA CHUNG'!$M$4:$M$105,Q247), '1."&amp;" DATA CHUNG'!$M$4:$M$105=Q247, 1) * ('1. DATA CHUNG'!$L$4:$L$105="""")), 1), ""Không tìm thấy"" ))"),18.0)</f>
        <v>18</v>
      </c>
      <c r="AI247" s="273">
        <f t="shared" si="2"/>
        <v>46055</v>
      </c>
      <c r="AJ247" s="287"/>
      <c r="AK247" s="286">
        <f t="shared" si="3"/>
        <v>0</v>
      </c>
      <c r="AL247" s="287">
        <f t="shared" si="4"/>
        <v>8</v>
      </c>
      <c r="AM247" s="287">
        <f t="shared" si="5"/>
        <v>11</v>
      </c>
      <c r="AN247" s="279">
        <f t="shared" si="6"/>
        <v>11</v>
      </c>
      <c r="AO247" s="295" t="str">
        <f t="shared" si="7"/>
        <v>01/2026</v>
      </c>
      <c r="AP247" s="277" t="str">
        <f t="array" ref="AP247">IFERROR(XLOOKUP(L247,'2. DATA NL, VTBB'!C:C,'2. DATA NL, VTBB'!F:F),"")</f>
        <v>HH0277</v>
      </c>
      <c r="AQ247" s="277" t="str">
        <f t="array" ref="AQ247">IF(OR(K247="Nhãn", K247="Nhãn thùng",K247="Nhãn Túi"), K247 &amp; " " &amp; IFERROR(XLOOKUP(L247, '2. DATA NL, VTBB'!C:C, '2. DATA NL, VTBB'!E:E), ""), "")</f>
        <v/>
      </c>
      <c r="AR247" s="278" t="str">
        <f t="array" ref="AR247">IFERROR(XLOOKUP(L247,'2. DATA NL, VTBB'!C:C,'2. DATA NL, VTBB'!G:G),"")</f>
        <v>GC - II - 693 - A Thời GNH - Siêu bung đọt mai (chai HD) - 1L - 20</v>
      </c>
      <c r="AS247" s="278" t="str">
        <f t="array" ref="AS247">IFERROR(XLOOKUP(L247,'2. DATA NL, VTBB'!C:C,'2. DATA NL, VTBB'!G:G),"")</f>
        <v>GC - II - 693 - A Thời GNH - Siêu bung đọt mai (chai HD) - 1L - 20</v>
      </c>
      <c r="AT247" s="277"/>
    </row>
    <row r="248" ht="30.75" customHeight="1">
      <c r="A248" s="272">
        <f t="shared" si="44"/>
        <v>245</v>
      </c>
      <c r="B248" s="289">
        <v>46037.0</v>
      </c>
      <c r="C248" s="289">
        <v>46044.0</v>
      </c>
      <c r="D248" s="289">
        <f t="shared" si="56"/>
        <v>46052</v>
      </c>
      <c r="E248" s="289">
        <v>46044.0</v>
      </c>
      <c r="F248" s="274" t="s">
        <v>561</v>
      </c>
      <c r="G248" s="275" t="s">
        <v>580</v>
      </c>
      <c r="H248" s="274" t="s">
        <v>304</v>
      </c>
      <c r="I248" s="275" t="s">
        <v>305</v>
      </c>
      <c r="J248" s="279" t="s">
        <v>952</v>
      </c>
      <c r="K248" s="275" t="s">
        <v>301</v>
      </c>
      <c r="L248" s="277" t="s">
        <v>589</v>
      </c>
      <c r="M248" s="278" t="str">
        <f t="array" ref="M248">IFERROR(XLOOKUP(L248,'2. DATA NL, VTBB'!C:C,'2. DATA NL, VTBB'!D:D),"")</f>
        <v>Thùng IDA chai FLOWER TOP 450ml x 40 chai (49x31x23cm) - Trắng xanh lá</v>
      </c>
      <c r="N248" s="280"/>
      <c r="O248" s="280" t="str">
        <f t="array" ref="O248">IFERROR( XLOOKUP(L248,'2. DATA NL, VTBB'!C:C,'2. DATA NL, VTBB'!E:E),"")</f>
        <v>Vi lượng BM-KABO</v>
      </c>
      <c r="P248" s="275" t="s">
        <v>565</v>
      </c>
      <c r="Q248" s="311"/>
      <c r="R248" s="291" t="s">
        <v>590</v>
      </c>
      <c r="S248" s="280"/>
      <c r="T248" s="277"/>
      <c r="U248" s="277"/>
      <c r="V248" s="283">
        <v>300.0</v>
      </c>
      <c r="W248" s="275" t="s">
        <v>699</v>
      </c>
      <c r="X248" s="283">
        <v>300.0</v>
      </c>
      <c r="Y248" s="274">
        <v>300.0</v>
      </c>
      <c r="Z248" s="272">
        <v>18300.0</v>
      </c>
      <c r="AA248" s="285">
        <v>0.08</v>
      </c>
      <c r="AB248" s="282">
        <v>5929200.0</v>
      </c>
      <c r="AC248" s="277"/>
      <c r="AD248" s="289">
        <v>46037.0</v>
      </c>
      <c r="AE248" s="312"/>
      <c r="AF248" s="277"/>
      <c r="AG248" s="277"/>
      <c r="AH248" s="294">
        <f>IFERROR(__xludf.DUMMYFUNCTION("IFERROR(INDEX( SORT(FILTER(
        {'1. DATA CHUNG'!$J$4:$J$105 , '1. DATA CHUNG'!$L$4:$L$105}, (TRIM('1. DATA CHUNG'!$I$4:$I$105)=TRIM(K248)) * IF(COUNTIFS('1. DATA CHUNG'!$I$4:$I$105,K248,'1. DATA CHUNG'!$M$4:$M$105,Q248), '1. DATA CHUNG'!$M$4:$M$105=Q"&amp;"248, 1) * ('1. DATA CHUNG'!$L$4:$L$105&lt;=TODAY()) ),   2, 0),  1, 1), 
  IFERROR( INDEX(FILTER('1. DATA CHUNG'!$J$4:$J$105, (TRIM('1. DATA CHUNG'!$I$4:$I$105)=TRIM(K248)) * IF(COUNTIFS('1. DATA CHUNG'!$I$4:$I$105,K248,'1. DATA CHUNG'!$M$4:$M$105,Q248), '1."&amp;" DATA CHUNG'!$M$4:$M$105=Q248, 1) * ('1. DATA CHUNG'!$L$4:$L$105="""")), 1), ""Không tìm thấy"" ))"),18.0)</f>
        <v>18</v>
      </c>
      <c r="AI248" s="273">
        <f t="shared" si="2"/>
        <v>46055</v>
      </c>
      <c r="AJ248" s="287"/>
      <c r="AK248" s="286">
        <f t="shared" si="3"/>
        <v>0</v>
      </c>
      <c r="AL248" s="287">
        <f t="shared" si="4"/>
        <v>8</v>
      </c>
      <c r="AM248" s="287">
        <f t="shared" si="5"/>
        <v>11</v>
      </c>
      <c r="AN248" s="279">
        <f t="shared" si="6"/>
        <v>11</v>
      </c>
      <c r="AO248" s="295" t="str">
        <f t="shared" si="7"/>
        <v>01/2026</v>
      </c>
      <c r="AP248" s="277" t="str">
        <f t="array" ref="AP248">IFERROR(XLOOKUP(L248,'2. DATA NL, VTBB'!C:C,'2. DATA NL, VTBB'!F:F),"")</f>
        <v>HH0276</v>
      </c>
      <c r="AQ248" s="277" t="str">
        <f t="array" ref="AQ248">IF(OR(K248="Nhãn", K248="Nhãn thùng",K248="Nhãn Túi"), K248 &amp; " " &amp; IFERROR(XLOOKUP(L248, '2. DATA NL, VTBB'!C:C, '2. DATA NL, VTBB'!E:E), ""), "")</f>
        <v/>
      </c>
      <c r="AR248" s="278" t="str">
        <f t="array" ref="AR248">IFERROR(XLOOKUP(L248,'2. DATA NL, VTBB'!C:C,'2. DATA NL, VTBB'!G:G),"")</f>
        <v>GC - II - 692 - A Thời GNH - Siêu Lớn Trái - 500ml (chai HD)- 40</v>
      </c>
      <c r="AS248" s="278" t="str">
        <f t="array" ref="AS248">IFERROR(XLOOKUP(L248,'2. DATA NL, VTBB'!C:C,'2. DATA NL, VTBB'!G:G),"")</f>
        <v>GC - II - 692 - A Thời GNH - Siêu Lớn Trái - 500ml (chai HD)- 40</v>
      </c>
      <c r="AT248" s="277"/>
    </row>
    <row r="249" ht="30.75" customHeight="1">
      <c r="A249" s="272">
        <f t="shared" si="44"/>
        <v>246</v>
      </c>
      <c r="B249" s="289">
        <v>46037.0</v>
      </c>
      <c r="C249" s="273">
        <v>46038.0</v>
      </c>
      <c r="D249" s="273">
        <f t="shared" ref="D249:D259" si="57">B249+3</f>
        <v>46040</v>
      </c>
      <c r="E249" s="289">
        <v>46039.0</v>
      </c>
      <c r="F249" s="274" t="s">
        <v>561</v>
      </c>
      <c r="G249" s="275" t="s">
        <v>580</v>
      </c>
      <c r="H249" s="274" t="s">
        <v>304</v>
      </c>
      <c r="I249" s="275" t="s">
        <v>726</v>
      </c>
      <c r="J249" s="279" t="s">
        <v>953</v>
      </c>
      <c r="K249" s="275" t="s">
        <v>728</v>
      </c>
      <c r="L249" s="277" t="s">
        <v>742</v>
      </c>
      <c r="M249" s="278" t="str">
        <f t="array" ref="M249">IFERROR(XLOOKUP(L249,'2. DATA NL, VTBB'!C:C,'2. DATA NL, VTBB'!D:D),"")</f>
        <v>PN - Chai HDPE tròn cổ 45 1Lít (110g) - Trắng (không ganty)</v>
      </c>
      <c r="N249" s="280"/>
      <c r="O249" s="280" t="str">
        <f t="array" ref="O249">IFERROR( XLOOKUP(L249,'2. DATA NL, VTBB'!C:C,'2. DATA NL, VTBB'!E:E),"")</f>
        <v>CA MAP 350SC</v>
      </c>
      <c r="P249" s="275" t="s">
        <v>565</v>
      </c>
      <c r="Q249" s="311"/>
      <c r="R249" s="291" t="s">
        <v>573</v>
      </c>
      <c r="S249" s="280"/>
      <c r="T249" s="277"/>
      <c r="U249" s="277"/>
      <c r="V249" s="283">
        <v>1000.0</v>
      </c>
      <c r="W249" s="275" t="s">
        <v>699</v>
      </c>
      <c r="X249" s="283">
        <v>1000.0</v>
      </c>
      <c r="Y249" s="274">
        <v>1050.0</v>
      </c>
      <c r="Z249" s="287">
        <v>4700.0</v>
      </c>
      <c r="AA249" s="285">
        <v>0.08</v>
      </c>
      <c r="AB249" s="282">
        <v>5329800.0</v>
      </c>
      <c r="AC249" s="277"/>
      <c r="AD249" s="289">
        <v>46037.0</v>
      </c>
      <c r="AE249" s="312"/>
      <c r="AF249" s="277"/>
      <c r="AG249" s="277"/>
      <c r="AH249" s="294">
        <f>IFERROR(__xludf.DUMMYFUNCTION("IFERROR(INDEX( SORT(FILTER(
        {'1. DATA CHUNG'!$J$4:$J$105 , '1. DATA CHUNG'!$L$4:$L$105}, (TRIM('1. DATA CHUNG'!$I$4:$I$105)=TRIM(K249)) * IF(COUNTIFS('1. DATA CHUNG'!$I$4:$I$105,K249,'1. DATA CHUNG'!$M$4:$M$105,Q249), '1. DATA CHUNG'!$M$4:$M$105=Q"&amp;"249, 1) * ('1. DATA CHUNG'!$L$4:$L$105&lt;=TODAY()) ),   2, 0),  1, 1), 
  IFERROR( INDEX(FILTER('1. DATA CHUNG'!$J$4:$J$105, (TRIM('1. DATA CHUNG'!$I$4:$I$105)=TRIM(K249)) * IF(COUNTIFS('1. DATA CHUNG'!$I$4:$I$105,K249,'1. DATA CHUNG'!$M$4:$M$105,Q249), '1."&amp;" DATA CHUNG'!$M$4:$M$105=Q249, 1) * ('1. DATA CHUNG'!$L$4:$L$105="""")), 1), ""Không tìm thấy"" ))"),7.0)</f>
        <v>7</v>
      </c>
      <c r="AI249" s="273">
        <f t="shared" si="2"/>
        <v>46044</v>
      </c>
      <c r="AJ249" s="287"/>
      <c r="AK249" s="286">
        <f t="shared" si="3"/>
        <v>0</v>
      </c>
      <c r="AL249" s="287">
        <f t="shared" si="4"/>
        <v>1</v>
      </c>
      <c r="AM249" s="287">
        <f t="shared" si="5"/>
        <v>5</v>
      </c>
      <c r="AN249" s="279">
        <f t="shared" si="6"/>
        <v>6</v>
      </c>
      <c r="AO249" s="295" t="str">
        <f t="shared" si="7"/>
        <v>01/2026</v>
      </c>
      <c r="AP249" s="277" t="str">
        <f t="array" ref="AP249">IFERROR(XLOOKUP(L249,'2. DATA NL, VTBB'!C:C,'2. DATA NL, VTBB'!F:F),"")</f>
        <v>HH0151</v>
      </c>
      <c r="AQ249" s="277" t="str">
        <f t="array" ref="AQ249">IF(OR(K249="Nhãn", K249="Nhãn thùng",K249="Nhãn Túi"), K249 &amp; " " &amp; IFERROR(XLOOKUP(L249, '2. DATA NL, VTBB'!C:C, '2. DATA NL, VTBB'!E:E), ""), "")</f>
        <v/>
      </c>
      <c r="AR249" s="278" t="str">
        <f t="array" ref="AR249">IFERROR(XLOOKUP(L249,'2. DATA NL, VTBB'!C:C,'2. DATA NL, VTBB'!G:G),"")</f>
        <v>IDA Global - I - 725 - Cá mập 350SC (chai HD) - 100ml - 100 ([btp],t,c)</v>
      </c>
      <c r="AS249" s="278" t="str">
        <f t="array" ref="AS249">IFERROR(XLOOKUP(L249,'2. DATA NL, VTBB'!C:C,'2. DATA NL, VTBB'!G:G),"")</f>
        <v>IDA Global - I - 725 - Cá mập 350SC (chai HD) - 100ml - 100 ([btp],t,c)</v>
      </c>
      <c r="AT249" s="277"/>
    </row>
    <row r="250" ht="30.75" customHeight="1">
      <c r="A250" s="272">
        <f t="shared" si="44"/>
        <v>247</v>
      </c>
      <c r="B250" s="289">
        <v>46037.0</v>
      </c>
      <c r="C250" s="273">
        <v>46038.0</v>
      </c>
      <c r="D250" s="273">
        <f t="shared" si="57"/>
        <v>46040</v>
      </c>
      <c r="E250" s="289">
        <v>46039.0</v>
      </c>
      <c r="F250" s="274" t="s">
        <v>561</v>
      </c>
      <c r="G250" s="275" t="s">
        <v>580</v>
      </c>
      <c r="H250" s="274" t="s">
        <v>304</v>
      </c>
      <c r="I250" s="275" t="s">
        <v>726</v>
      </c>
      <c r="J250" s="279" t="s">
        <v>953</v>
      </c>
      <c r="K250" s="275" t="s">
        <v>730</v>
      </c>
      <c r="L250" s="277" t="s">
        <v>877</v>
      </c>
      <c r="M250" s="278" t="str">
        <f t="array" ref="M250">IFERROR(XLOOKUP(L250,'2. DATA NL, VTBB'!C:C,'2. DATA NL, VTBB'!D:D),"")</f>
        <v>PN - Nắp HDPE cổ 45 Vàng (không ganty)</v>
      </c>
      <c r="N250" s="280"/>
      <c r="O250" s="280" t="str">
        <f t="array" ref="O250">IFERROR( XLOOKUP(L250,'2. DATA NL, VTBB'!C:C,'2. DATA NL, VTBB'!E:E),"")</f>
        <v>BYPHAN 800WP</v>
      </c>
      <c r="P250" s="275" t="s">
        <v>565</v>
      </c>
      <c r="Q250" s="311"/>
      <c r="R250" s="291" t="s">
        <v>573</v>
      </c>
      <c r="S250" s="280"/>
      <c r="T250" s="277"/>
      <c r="U250" s="277"/>
      <c r="V250" s="283">
        <v>1000.0</v>
      </c>
      <c r="W250" s="275" t="s">
        <v>699</v>
      </c>
      <c r="X250" s="283">
        <v>1000.0</v>
      </c>
      <c r="Y250" s="274">
        <v>1050.0</v>
      </c>
      <c r="Z250" s="272">
        <v>900.0</v>
      </c>
      <c r="AA250" s="285">
        <v>0.08</v>
      </c>
      <c r="AB250" s="282">
        <v>1020600.0</v>
      </c>
      <c r="AC250" s="277"/>
      <c r="AD250" s="289">
        <v>46037.0</v>
      </c>
      <c r="AE250" s="312"/>
      <c r="AF250" s="277"/>
      <c r="AG250" s="277"/>
      <c r="AH250" s="294">
        <f>IFERROR(__xludf.DUMMYFUNCTION("IFERROR(INDEX( SORT(FILTER(
        {'1. DATA CHUNG'!$J$4:$J$105 , '1. DATA CHUNG'!$L$4:$L$105}, (TRIM('1. DATA CHUNG'!$I$4:$I$105)=TRIM(K250)) * IF(COUNTIFS('1. DATA CHUNG'!$I$4:$I$105,K250,'1. DATA CHUNG'!$M$4:$M$105,Q250), '1. DATA CHUNG'!$M$4:$M$105=Q"&amp;"250, 1) * ('1. DATA CHUNG'!$L$4:$L$105&lt;=TODAY()) ),   2, 0),  1, 1), 
  IFERROR( INDEX(FILTER('1. DATA CHUNG'!$J$4:$J$105, (TRIM('1. DATA CHUNG'!$I$4:$I$105)=TRIM(K250)) * IF(COUNTIFS('1. DATA CHUNG'!$I$4:$I$105,K250,'1. DATA CHUNG'!$M$4:$M$105,Q250), '1."&amp;" DATA CHUNG'!$M$4:$M$105=Q250, 1) * ('1. DATA CHUNG'!$L$4:$L$105="""")), 1), ""Không tìm thấy"" ))"),7.0)</f>
        <v>7</v>
      </c>
      <c r="AI250" s="273">
        <f t="shared" si="2"/>
        <v>46044</v>
      </c>
      <c r="AJ250" s="287"/>
      <c r="AK250" s="286">
        <f t="shared" si="3"/>
        <v>0</v>
      </c>
      <c r="AL250" s="287">
        <f t="shared" si="4"/>
        <v>1</v>
      </c>
      <c r="AM250" s="287">
        <f t="shared" si="5"/>
        <v>5</v>
      </c>
      <c r="AN250" s="279">
        <f t="shared" si="6"/>
        <v>6</v>
      </c>
      <c r="AO250" s="295" t="str">
        <f t="shared" si="7"/>
        <v>01/2026</v>
      </c>
      <c r="AP250" s="277" t="str">
        <f t="array" ref="AP250">IFERROR(XLOOKUP(L250,'2. DATA NL, VTBB'!C:C,'2. DATA NL, VTBB'!F:F),"")</f>
        <v>HH0157</v>
      </c>
      <c r="AQ250" s="277" t="str">
        <f t="array" ref="AQ250">IF(OR(K250="Nhãn", K250="Nhãn thùng",K250="Nhãn Túi"), K250 &amp; " " &amp; IFERROR(XLOOKUP(L250, '2. DATA NL, VTBB'!C:C, '2. DATA NL, VTBB'!E:E), ""), "")</f>
        <v/>
      </c>
      <c r="AR250" s="278" t="str">
        <f t="array" ref="AR250">IFERROR(XLOOKUP(L250,'2. DATA NL, VTBB'!C:C,'2. DATA NL, VTBB'!G:G),"")</f>
        <v>GC - IV - 877 - Bảy Phận - Manco Xanh (túi nhôm)(bột xanh) - 1 Kg - 20</v>
      </c>
      <c r="AS250" s="278" t="str">
        <f t="array" ref="AS250">IFERROR(XLOOKUP(L250,'2. DATA NL, VTBB'!C:C,'2. DATA NL, VTBB'!G:G),"")</f>
        <v>GC - IV - 877 - Bảy Phận - Manco Xanh (túi nhôm)(bột xanh) - 1 Kg - 20</v>
      </c>
      <c r="AT250" s="277"/>
    </row>
    <row r="251" ht="30.75" customHeight="1">
      <c r="A251" s="272">
        <f t="shared" si="44"/>
        <v>248</v>
      </c>
      <c r="B251" s="289">
        <v>46037.0</v>
      </c>
      <c r="C251" s="273">
        <v>46038.0</v>
      </c>
      <c r="D251" s="273">
        <f t="shared" si="57"/>
        <v>46040</v>
      </c>
      <c r="E251" s="289">
        <v>46039.0</v>
      </c>
      <c r="F251" s="274" t="s">
        <v>561</v>
      </c>
      <c r="G251" s="275" t="s">
        <v>562</v>
      </c>
      <c r="H251" s="274" t="s">
        <v>304</v>
      </c>
      <c r="I251" s="275" t="s">
        <v>726</v>
      </c>
      <c r="J251" s="279" t="s">
        <v>954</v>
      </c>
      <c r="K251" s="275" t="s">
        <v>728</v>
      </c>
      <c r="L251" s="277" t="s">
        <v>944</v>
      </c>
      <c r="M251" s="278" t="str">
        <f t="array" ref="M251">IFERROR(XLOOKUP(L251,'2. DATA NL, VTBB'!C:C,'2. DATA NL, VTBB'!D:D),"")</f>
        <v>Chai HDPE tròn cổ 49 (50gr) 250ml trắng -  Nắp trắng</v>
      </c>
      <c r="N251" s="280"/>
      <c r="O251" s="280" t="str">
        <f t="array" ref="O251">IFERROR( XLOOKUP(L251,'2. DATA NL, VTBB'!C:C,'2. DATA NL, VTBB'!E:E),"")</f>
        <v>TVZEB 800WP</v>
      </c>
      <c r="P251" s="275" t="s">
        <v>565</v>
      </c>
      <c r="Q251" s="311"/>
      <c r="R251" s="291" t="s">
        <v>573</v>
      </c>
      <c r="S251" s="280"/>
      <c r="T251" s="277"/>
      <c r="U251" s="277"/>
      <c r="V251" s="283">
        <v>1000.0</v>
      </c>
      <c r="W251" s="275" t="s">
        <v>699</v>
      </c>
      <c r="X251" s="283">
        <v>1000.0</v>
      </c>
      <c r="Y251" s="274">
        <v>1080.0</v>
      </c>
      <c r="Z251" s="272">
        <v>2300.0</v>
      </c>
      <c r="AA251" s="285">
        <v>0.08</v>
      </c>
      <c r="AB251" s="282">
        <v>2682720.0</v>
      </c>
      <c r="AC251" s="277"/>
      <c r="AD251" s="289">
        <v>46037.0</v>
      </c>
      <c r="AE251" s="312"/>
      <c r="AF251" s="277"/>
      <c r="AG251" s="277"/>
      <c r="AH251" s="294">
        <f>IFERROR(__xludf.DUMMYFUNCTION("IFERROR(INDEX( SORT(FILTER(
        {'1. DATA CHUNG'!$J$4:$J$105 , '1. DATA CHUNG'!$L$4:$L$105}, (TRIM('1. DATA CHUNG'!$I$4:$I$105)=TRIM(K251)) * IF(COUNTIFS('1. DATA CHUNG'!$I$4:$I$105,K251,'1. DATA CHUNG'!$M$4:$M$105,Q251), '1. DATA CHUNG'!$M$4:$M$105=Q"&amp;"251, 1) * ('1. DATA CHUNG'!$L$4:$L$105&lt;=TODAY()) ),   2, 0),  1, 1), 
  IFERROR( INDEX(FILTER('1. DATA CHUNG'!$J$4:$J$105, (TRIM('1. DATA CHUNG'!$I$4:$I$105)=TRIM(K251)) * IF(COUNTIFS('1. DATA CHUNG'!$I$4:$I$105,K251,'1. DATA CHUNG'!$M$4:$M$105,Q251), '1."&amp;" DATA CHUNG'!$M$4:$M$105=Q251, 1) * ('1. DATA CHUNG'!$L$4:$L$105="""")), 1), ""Không tìm thấy"" ))"),7.0)</f>
        <v>7</v>
      </c>
      <c r="AI251" s="273">
        <f t="shared" si="2"/>
        <v>46044</v>
      </c>
      <c r="AJ251" s="287"/>
      <c r="AK251" s="286">
        <f t="shared" si="3"/>
        <v>0</v>
      </c>
      <c r="AL251" s="287">
        <f t="shared" si="4"/>
        <v>1</v>
      </c>
      <c r="AM251" s="287">
        <f t="shared" si="5"/>
        <v>5</v>
      </c>
      <c r="AN251" s="279">
        <f t="shared" si="6"/>
        <v>6</v>
      </c>
      <c r="AO251" s="295" t="str">
        <f t="shared" si="7"/>
        <v>01/2026</v>
      </c>
      <c r="AP251" s="277" t="str">
        <f t="array" ref="AP251">IFERROR(XLOOKUP(L251,'2. DATA NL, VTBB'!C:C,'2. DATA NL, VTBB'!F:F),"")</f>
        <v>HH0057</v>
      </c>
      <c r="AQ251" s="277" t="str">
        <f t="array" ref="AQ251">IF(OR(K251="Nhãn", K251="Nhãn thùng",K251="Nhãn Túi"), K251 &amp; " " &amp; IFERROR(XLOOKUP(L251, '2. DATA NL, VTBB'!C:C, '2. DATA NL, VTBB'!E:E), ""), "")</f>
        <v/>
      </c>
      <c r="AR251" s="278" t="str">
        <f t="array" ref="AR251">IFERROR(XLOOKUP(L251,'2. DATA NL, VTBB'!C:C,'2. DATA NL, VTBB'!G:G),"")</f>
        <v>GC - I - 491 - AU - Manco xanh (Nhãn đỏ) - 1kg - 20</v>
      </c>
      <c r="AS251" s="278" t="str">
        <f t="array" ref="AS251">IFERROR(XLOOKUP(L251,'2. DATA NL, VTBB'!C:C,'2. DATA NL, VTBB'!G:G),"")</f>
        <v>GC - I - 491 - AU - Manco xanh (Nhãn đỏ) - 1kg - 20</v>
      </c>
      <c r="AT251" s="277"/>
    </row>
    <row r="252" ht="30.75" customHeight="1">
      <c r="A252" s="272">
        <f t="shared" si="44"/>
        <v>249</v>
      </c>
      <c r="B252" s="289">
        <v>46037.0</v>
      </c>
      <c r="C252" s="273">
        <v>46038.0</v>
      </c>
      <c r="D252" s="273">
        <f t="shared" si="57"/>
        <v>46040</v>
      </c>
      <c r="E252" s="289">
        <v>46039.0</v>
      </c>
      <c r="F252" s="274" t="s">
        <v>561</v>
      </c>
      <c r="G252" s="275" t="s">
        <v>562</v>
      </c>
      <c r="H252" s="274" t="s">
        <v>304</v>
      </c>
      <c r="I252" s="275" t="s">
        <v>726</v>
      </c>
      <c r="J252" s="279" t="s">
        <v>954</v>
      </c>
      <c r="K252" s="275" t="s">
        <v>730</v>
      </c>
      <c r="L252" s="277" t="s">
        <v>731</v>
      </c>
      <c r="M252" s="278" t="str">
        <f t="array" ref="M252">IFERROR(XLOOKUP(L252,'2. DATA NL, VTBB'!C:C,'2. DATA NL, VTBB'!D:D),"")</f>
        <v>Nắp HDPE cổ 49 (7.5gr)  có gurantee  - Trắng</v>
      </c>
      <c r="N252" s="280"/>
      <c r="O252" s="280" t="str">
        <f t="array" ref="O252">IFERROR( XLOOKUP(L252,'2. DATA NL, VTBB'!C:C,'2. DATA NL, VTBB'!E:E),"")</f>
        <v>Chitin 3.6EC</v>
      </c>
      <c r="P252" s="275" t="s">
        <v>565</v>
      </c>
      <c r="Q252" s="311"/>
      <c r="R252" s="291" t="s">
        <v>573</v>
      </c>
      <c r="S252" s="280"/>
      <c r="T252" s="277"/>
      <c r="U252" s="277"/>
      <c r="V252" s="283">
        <v>1000.0</v>
      </c>
      <c r="W252" s="275" t="s">
        <v>699</v>
      </c>
      <c r="X252" s="283">
        <v>1000.0</v>
      </c>
      <c r="Y252" s="274">
        <v>1080.0</v>
      </c>
      <c r="Z252" s="272">
        <v>900.0</v>
      </c>
      <c r="AA252" s="285">
        <v>0.08</v>
      </c>
      <c r="AB252" s="282">
        <v>1049760.0</v>
      </c>
      <c r="AC252" s="277"/>
      <c r="AD252" s="289">
        <v>46037.0</v>
      </c>
      <c r="AE252" s="312"/>
      <c r="AF252" s="277"/>
      <c r="AG252" s="277"/>
      <c r="AH252" s="294">
        <f>IFERROR(__xludf.DUMMYFUNCTION("IFERROR(INDEX( SORT(FILTER(
        {'1. DATA CHUNG'!$J$4:$J$105 , '1. DATA CHUNG'!$L$4:$L$105}, (TRIM('1. DATA CHUNG'!$I$4:$I$105)=TRIM(K252)) * IF(COUNTIFS('1. DATA CHUNG'!$I$4:$I$105,K252,'1. DATA CHUNG'!$M$4:$M$105,Q252), '1. DATA CHUNG'!$M$4:$M$105=Q"&amp;"252, 1) * ('1. DATA CHUNG'!$L$4:$L$105&lt;=TODAY()) ),   2, 0),  1, 1), 
  IFERROR( INDEX(FILTER('1. DATA CHUNG'!$J$4:$J$105, (TRIM('1. DATA CHUNG'!$I$4:$I$105)=TRIM(K252)) * IF(COUNTIFS('1. DATA CHUNG'!$I$4:$I$105,K252,'1. DATA CHUNG'!$M$4:$M$105,Q252), '1."&amp;" DATA CHUNG'!$M$4:$M$105=Q252, 1) * ('1. DATA CHUNG'!$L$4:$L$105="""")), 1), ""Không tìm thấy"" ))"),7.0)</f>
        <v>7</v>
      </c>
      <c r="AI252" s="273">
        <f t="shared" si="2"/>
        <v>46044</v>
      </c>
      <c r="AJ252" s="287"/>
      <c r="AK252" s="286">
        <f t="shared" si="3"/>
        <v>0</v>
      </c>
      <c r="AL252" s="287">
        <f t="shared" si="4"/>
        <v>1</v>
      </c>
      <c r="AM252" s="287">
        <f t="shared" si="5"/>
        <v>5</v>
      </c>
      <c r="AN252" s="279">
        <f t="shared" si="6"/>
        <v>6</v>
      </c>
      <c r="AO252" s="295" t="str">
        <f t="shared" si="7"/>
        <v>01/2026</v>
      </c>
      <c r="AP252" s="277" t="str">
        <f t="array" ref="AP252">IFERROR(XLOOKUP(L252,'2. DATA NL, VTBB'!C:C,'2. DATA NL, VTBB'!F:F),"")</f>
        <v>HH0144</v>
      </c>
      <c r="AQ252" s="277" t="str">
        <f t="array" ref="AQ252">IF(OR(K252="Nhãn", K252="Nhãn thùng",K252="Nhãn Túi"), K252 &amp; " " &amp; IFERROR(XLOOKUP(L252, '2. DATA NL, VTBB'!C:C, '2. DATA NL, VTBB'!E:E), ""), "")</f>
        <v/>
      </c>
      <c r="AR252" s="278" t="str">
        <f t="array" ref="AR252">IFERROR(XLOOKUP(L252,'2. DATA NL, VTBB'!C:C,'2. DATA NL, VTBB'!G:G),"")</f>
        <v>GC - IV - 862 - Agritech - Agritech Abamectin 36 (Chai Vuông) (Nước nâu đen) - 450ml - 40</v>
      </c>
      <c r="AS252" s="278" t="str">
        <f t="array" ref="AS252">IFERROR(XLOOKUP(L252,'2. DATA NL, VTBB'!C:C,'2. DATA NL, VTBB'!G:G),"")</f>
        <v>GC - IV - 862 - Agritech - Agritech Abamectin 36 (Chai Vuông) (Nước nâu đen) - 450ml - 40</v>
      </c>
      <c r="AT252" s="277"/>
    </row>
    <row r="253" ht="30.75" customHeight="1">
      <c r="A253" s="272">
        <f t="shared" si="44"/>
        <v>250</v>
      </c>
      <c r="B253" s="289">
        <v>46037.0</v>
      </c>
      <c r="C253" s="273">
        <v>46038.0</v>
      </c>
      <c r="D253" s="273">
        <f t="shared" si="57"/>
        <v>46040</v>
      </c>
      <c r="E253" s="289">
        <v>46039.0</v>
      </c>
      <c r="F253" s="274" t="s">
        <v>561</v>
      </c>
      <c r="G253" s="275" t="s">
        <v>562</v>
      </c>
      <c r="H253" s="274" t="s">
        <v>304</v>
      </c>
      <c r="I253" s="275" t="s">
        <v>726</v>
      </c>
      <c r="J253" s="279" t="s">
        <v>954</v>
      </c>
      <c r="K253" s="275" t="s">
        <v>732</v>
      </c>
      <c r="L253" s="277" t="s">
        <v>733</v>
      </c>
      <c r="M253" s="278" t="str">
        <f t="array" ref="M253">IFERROR(XLOOKUP(L253,'2. DATA NL, VTBB'!C:C,'2. DATA NL, VTBB'!D:D),"")</f>
        <v>Cốc đong cổ 49 50ml - Trắng trong</v>
      </c>
      <c r="N253" s="280"/>
      <c r="O253" s="280" t="str">
        <f t="array" ref="O253">IFERROR( XLOOKUP(L253,'2. DATA NL, VTBB'!C:C,'2. DATA NL, VTBB'!E:E),"")</f>
        <v>PICOSUPER 280SC</v>
      </c>
      <c r="P253" s="275" t="s">
        <v>565</v>
      </c>
      <c r="Q253" s="311"/>
      <c r="R253" s="291" t="s">
        <v>573</v>
      </c>
      <c r="S253" s="280"/>
      <c r="T253" s="277"/>
      <c r="U253" s="277"/>
      <c r="V253" s="283">
        <v>1000.0</v>
      </c>
      <c r="W253" s="275" t="s">
        <v>699</v>
      </c>
      <c r="X253" s="283">
        <v>1000.0</v>
      </c>
      <c r="Y253" s="274">
        <v>1080.0</v>
      </c>
      <c r="Z253" s="272">
        <v>650.0</v>
      </c>
      <c r="AA253" s="285">
        <v>0.08</v>
      </c>
      <c r="AB253" s="282">
        <v>758160.0</v>
      </c>
      <c r="AC253" s="277"/>
      <c r="AD253" s="289">
        <v>46037.0</v>
      </c>
      <c r="AE253" s="312"/>
      <c r="AF253" s="277"/>
      <c r="AG253" s="277"/>
      <c r="AH253" s="294">
        <f>IFERROR(__xludf.DUMMYFUNCTION("IFERROR(INDEX( SORT(FILTER(
        {'1. DATA CHUNG'!$J$4:$J$105 , '1. DATA CHUNG'!$L$4:$L$105}, (TRIM('1. DATA CHUNG'!$I$4:$I$105)=TRIM(K253)) * IF(COUNTIFS('1. DATA CHUNG'!$I$4:$I$105,K253,'1. DATA CHUNG'!$M$4:$M$105,Q253), '1. DATA CHUNG'!$M$4:$M$105=Q"&amp;"253, 1) * ('1. DATA CHUNG'!$L$4:$L$105&lt;=TODAY()) ),   2, 0),  1, 1), 
  IFERROR( INDEX(FILTER('1. DATA CHUNG'!$J$4:$J$105, (TRIM('1. DATA CHUNG'!$I$4:$I$105)=TRIM(K253)) * IF(COUNTIFS('1. DATA CHUNG'!$I$4:$I$105,K253,'1. DATA CHUNG'!$M$4:$M$105,Q253), '1."&amp;" DATA CHUNG'!$M$4:$M$105=Q253, 1) * ('1. DATA CHUNG'!$L$4:$L$105="""")), 1), ""Không tìm thấy"" ))"),7.0)</f>
        <v>7</v>
      </c>
      <c r="AI253" s="273">
        <f t="shared" si="2"/>
        <v>46044</v>
      </c>
      <c r="AJ253" s="287"/>
      <c r="AK253" s="286">
        <f t="shared" si="3"/>
        <v>0</v>
      </c>
      <c r="AL253" s="287">
        <f t="shared" si="4"/>
        <v>1</v>
      </c>
      <c r="AM253" s="287">
        <f t="shared" si="5"/>
        <v>5</v>
      </c>
      <c r="AN253" s="279">
        <f t="shared" si="6"/>
        <v>6</v>
      </c>
      <c r="AO253" s="295" t="str">
        <f t="shared" si="7"/>
        <v>01/2026</v>
      </c>
      <c r="AP253" s="277" t="str">
        <f t="array" ref="AP253">IFERROR(XLOOKUP(L253,'2. DATA NL, VTBB'!C:C,'2. DATA NL, VTBB'!F:F),"")</f>
        <v>HH0004</v>
      </c>
      <c r="AQ253" s="277" t="str">
        <f t="array" ref="AQ253">IF(OR(K253="Nhãn", K253="Nhãn thùng",K253="Nhãn Túi"), K253 &amp; " " &amp; IFERROR(XLOOKUP(L253, '2. DATA NL, VTBB'!C:C, '2. DATA NL, VTBB'!E:E), ""), "")</f>
        <v/>
      </c>
      <c r="AR253" s="278" t="str">
        <f t="array" ref="AR253">IFERROR(XLOOKUP(L253,'2. DATA NL, VTBB'!C:C,'2. DATA NL, VTBB'!G:G),"")</f>
        <v>IDA Global - I - 713.1 - Picosuper 280SC (Chai Pape)(nước trắng sữa) - 240ml - 40 ([btp],t,c)</v>
      </c>
      <c r="AS253" s="278" t="str">
        <f t="array" ref="AS253">IFERROR(XLOOKUP(L253,'2. DATA NL, VTBB'!C:C,'2. DATA NL, VTBB'!G:G),"")</f>
        <v>IDA Global - I - 713.1 - Picosuper 280SC (Chai Pape)(nước trắng sữa) - 240ml - 40 ([btp],t,c)</v>
      </c>
      <c r="AT253" s="277"/>
    </row>
    <row r="254" ht="30.75" customHeight="1">
      <c r="A254" s="272">
        <f t="shared" si="44"/>
        <v>251</v>
      </c>
      <c r="B254" s="289">
        <v>46037.0</v>
      </c>
      <c r="C254" s="273">
        <v>46038.0</v>
      </c>
      <c r="D254" s="273">
        <f t="shared" si="57"/>
        <v>46040</v>
      </c>
      <c r="E254" s="289">
        <v>46039.0</v>
      </c>
      <c r="F254" s="274" t="s">
        <v>561</v>
      </c>
      <c r="G254" s="275" t="s">
        <v>562</v>
      </c>
      <c r="H254" s="274" t="s">
        <v>304</v>
      </c>
      <c r="I254" s="275" t="s">
        <v>726</v>
      </c>
      <c r="J254" s="279" t="s">
        <v>955</v>
      </c>
      <c r="K254" s="275" t="s">
        <v>728</v>
      </c>
      <c r="L254" s="277" t="s">
        <v>742</v>
      </c>
      <c r="M254" s="278" t="str">
        <f t="array" ref="M254">IFERROR(XLOOKUP(L254,'2. DATA NL, VTBB'!C:C,'2. DATA NL, VTBB'!D:D),"")</f>
        <v>PN - Chai HDPE tròn cổ 45 1Lít (110g) - Trắng (không ganty)</v>
      </c>
      <c r="N254" s="280"/>
      <c r="O254" s="280" t="str">
        <f t="array" ref="O254">IFERROR( XLOOKUP(L254,'2. DATA NL, VTBB'!C:C,'2. DATA NL, VTBB'!E:E),"")</f>
        <v>CA MAP 350SC</v>
      </c>
      <c r="P254" s="275" t="s">
        <v>565</v>
      </c>
      <c r="Q254" s="311"/>
      <c r="R254" s="291" t="s">
        <v>573</v>
      </c>
      <c r="S254" s="280"/>
      <c r="T254" s="277"/>
      <c r="U254" s="277"/>
      <c r="V254" s="283">
        <v>1000.0</v>
      </c>
      <c r="W254" s="275" t="s">
        <v>699</v>
      </c>
      <c r="X254" s="283">
        <v>1000.0</v>
      </c>
      <c r="Y254" s="274">
        <v>1050.0</v>
      </c>
      <c r="Z254" s="287">
        <v>4700.0</v>
      </c>
      <c r="AA254" s="285">
        <v>0.08</v>
      </c>
      <c r="AB254" s="282">
        <v>5329800.0</v>
      </c>
      <c r="AC254" s="277"/>
      <c r="AD254" s="289">
        <v>46037.0</v>
      </c>
      <c r="AE254" s="312"/>
      <c r="AF254" s="277"/>
      <c r="AG254" s="277"/>
      <c r="AH254" s="294">
        <f>IFERROR(__xludf.DUMMYFUNCTION("IFERROR(INDEX( SORT(FILTER(
        {'1. DATA CHUNG'!$J$4:$J$105 , '1. DATA CHUNG'!$L$4:$L$105}, (TRIM('1. DATA CHUNG'!$I$4:$I$105)=TRIM(K254)) * IF(COUNTIFS('1. DATA CHUNG'!$I$4:$I$105,K254,'1. DATA CHUNG'!$M$4:$M$105,Q254), '1. DATA CHUNG'!$M$4:$M$105=Q"&amp;"254, 1) * ('1. DATA CHUNG'!$L$4:$L$105&lt;=TODAY()) ),   2, 0),  1, 1), 
  IFERROR( INDEX(FILTER('1. DATA CHUNG'!$J$4:$J$105, (TRIM('1. DATA CHUNG'!$I$4:$I$105)=TRIM(K254)) * IF(COUNTIFS('1. DATA CHUNG'!$I$4:$I$105,K254,'1. DATA CHUNG'!$M$4:$M$105,Q254), '1."&amp;" DATA CHUNG'!$M$4:$M$105=Q254, 1) * ('1. DATA CHUNG'!$L$4:$L$105="""")), 1), ""Không tìm thấy"" ))"),7.0)</f>
        <v>7</v>
      </c>
      <c r="AI254" s="273">
        <f t="shared" si="2"/>
        <v>46044</v>
      </c>
      <c r="AJ254" s="287"/>
      <c r="AK254" s="286">
        <f t="shared" si="3"/>
        <v>0</v>
      </c>
      <c r="AL254" s="287">
        <f t="shared" si="4"/>
        <v>1</v>
      </c>
      <c r="AM254" s="287">
        <f t="shared" si="5"/>
        <v>5</v>
      </c>
      <c r="AN254" s="279">
        <f t="shared" si="6"/>
        <v>6</v>
      </c>
      <c r="AO254" s="295" t="str">
        <f t="shared" si="7"/>
        <v>01/2026</v>
      </c>
      <c r="AP254" s="277" t="str">
        <f t="array" ref="AP254">IFERROR(XLOOKUP(L254,'2. DATA NL, VTBB'!C:C,'2. DATA NL, VTBB'!F:F),"")</f>
        <v>HH0151</v>
      </c>
      <c r="AQ254" s="277" t="str">
        <f t="array" ref="AQ254">IF(OR(K254="Nhãn", K254="Nhãn thùng",K254="Nhãn Túi"), K254 &amp; " " &amp; IFERROR(XLOOKUP(L254, '2. DATA NL, VTBB'!C:C, '2. DATA NL, VTBB'!E:E), ""), "")</f>
        <v/>
      </c>
      <c r="AR254" s="278" t="str">
        <f t="array" ref="AR254">IFERROR(XLOOKUP(L254,'2. DATA NL, VTBB'!C:C,'2. DATA NL, VTBB'!G:G),"")</f>
        <v>IDA Global - I - 725 - Cá mập 350SC (chai HD) - 100ml - 100 ([btp],t,c)</v>
      </c>
      <c r="AS254" s="278" t="str">
        <f t="array" ref="AS254">IFERROR(XLOOKUP(L254,'2. DATA NL, VTBB'!C:C,'2. DATA NL, VTBB'!G:G),"")</f>
        <v>IDA Global - I - 725 - Cá mập 350SC (chai HD) - 100ml - 100 ([btp],t,c)</v>
      </c>
      <c r="AT254" s="277"/>
    </row>
    <row r="255" ht="30.75" customHeight="1">
      <c r="A255" s="272">
        <f t="shared" si="44"/>
        <v>252</v>
      </c>
      <c r="B255" s="289">
        <v>46037.0</v>
      </c>
      <c r="C255" s="273">
        <v>46038.0</v>
      </c>
      <c r="D255" s="273">
        <f t="shared" si="57"/>
        <v>46040</v>
      </c>
      <c r="E255" s="289">
        <v>46039.0</v>
      </c>
      <c r="F255" s="274" t="s">
        <v>561</v>
      </c>
      <c r="G255" s="275" t="s">
        <v>562</v>
      </c>
      <c r="H255" s="274" t="s">
        <v>304</v>
      </c>
      <c r="I255" s="275" t="s">
        <v>726</v>
      </c>
      <c r="J255" s="279" t="s">
        <v>955</v>
      </c>
      <c r="K255" s="275" t="s">
        <v>730</v>
      </c>
      <c r="L255" s="277" t="s">
        <v>782</v>
      </c>
      <c r="M255" s="278" t="str">
        <f t="array" ref="M255">IFERROR(XLOOKUP(L255,'2. DATA NL, VTBB'!C:C,'2. DATA NL, VTBB'!D:D),"")</f>
        <v>PN - Nắp HDPE cổ 45 Trắng (không ganty)</v>
      </c>
      <c r="N255" s="280"/>
      <c r="O255" s="280" t="str">
        <f t="array" ref="O255">IFERROR( XLOOKUP(L255,'2. DATA NL, VTBB'!C:C,'2. DATA NL, VTBB'!E:E),"")</f>
        <v>Vi lượng Quantity New</v>
      </c>
      <c r="P255" s="275" t="s">
        <v>565</v>
      </c>
      <c r="Q255" s="311"/>
      <c r="R255" s="291" t="s">
        <v>573</v>
      </c>
      <c r="S255" s="280"/>
      <c r="T255" s="277"/>
      <c r="U255" s="277"/>
      <c r="V255" s="283">
        <v>1000.0</v>
      </c>
      <c r="W255" s="275" t="s">
        <v>699</v>
      </c>
      <c r="X255" s="283">
        <v>1000.0</v>
      </c>
      <c r="Y255" s="274">
        <v>1050.0</v>
      </c>
      <c r="Z255" s="272">
        <v>900.0</v>
      </c>
      <c r="AA255" s="285">
        <v>0.08</v>
      </c>
      <c r="AB255" s="282">
        <v>1020600.0</v>
      </c>
      <c r="AC255" s="277"/>
      <c r="AD255" s="289">
        <v>46037.0</v>
      </c>
      <c r="AE255" s="312"/>
      <c r="AF255" s="277"/>
      <c r="AG255" s="277"/>
      <c r="AH255" s="294">
        <f>IFERROR(__xludf.DUMMYFUNCTION("IFERROR(INDEX( SORT(FILTER(
        {'1. DATA CHUNG'!$J$4:$J$105 , '1. DATA CHUNG'!$L$4:$L$105}, (TRIM('1. DATA CHUNG'!$I$4:$I$105)=TRIM(K255)) * IF(COUNTIFS('1. DATA CHUNG'!$I$4:$I$105,K255,'1. DATA CHUNG'!$M$4:$M$105,Q255), '1. DATA CHUNG'!$M$4:$M$105=Q"&amp;"255, 1) * ('1. DATA CHUNG'!$L$4:$L$105&lt;=TODAY()) ),   2, 0),  1, 1), 
  IFERROR( INDEX(FILTER('1. DATA CHUNG'!$J$4:$J$105, (TRIM('1. DATA CHUNG'!$I$4:$I$105)=TRIM(K255)) * IF(COUNTIFS('1. DATA CHUNG'!$I$4:$I$105,K255,'1. DATA CHUNG'!$M$4:$M$105,Q255), '1."&amp;" DATA CHUNG'!$M$4:$M$105=Q255, 1) * ('1. DATA CHUNG'!$L$4:$L$105="""")), 1), ""Không tìm thấy"" ))"),7.0)</f>
        <v>7</v>
      </c>
      <c r="AI255" s="273">
        <f t="shared" si="2"/>
        <v>46044</v>
      </c>
      <c r="AJ255" s="287"/>
      <c r="AK255" s="286">
        <f t="shared" si="3"/>
        <v>0</v>
      </c>
      <c r="AL255" s="287">
        <f t="shared" si="4"/>
        <v>1</v>
      </c>
      <c r="AM255" s="287">
        <f t="shared" si="5"/>
        <v>5</v>
      </c>
      <c r="AN255" s="279">
        <f t="shared" si="6"/>
        <v>6</v>
      </c>
      <c r="AO255" s="295" t="str">
        <f t="shared" si="7"/>
        <v>01/2026</v>
      </c>
      <c r="AP255" s="277" t="str">
        <f t="array" ref="AP255">IFERROR(XLOOKUP(L255,'2. DATA NL, VTBB'!C:C,'2. DATA NL, VTBB'!F:F),"")</f>
        <v>HH0112</v>
      </c>
      <c r="AQ255" s="277" t="str">
        <f t="array" ref="AQ255">IF(OR(K255="Nhãn", K255="Nhãn thùng",K255="Nhãn Túi"), K255 &amp; " " &amp; IFERROR(XLOOKUP(L255, '2. DATA NL, VTBB'!C:C, '2. DATA NL, VTBB'!E:E), ""), "")</f>
        <v/>
      </c>
      <c r="AR255" s="278" t="str">
        <f t="array" ref="AR255">IFERROR(XLOOKUP(L255,'2. DATA NL, VTBB'!C:C,'2. DATA NL, VTBB'!G:G),"")</f>
        <v>IDA Global - I - 726 - Vita Boost (chai HD)- 500 ml - 40 ([btp],t,c)</v>
      </c>
      <c r="AS255" s="278" t="str">
        <f t="array" ref="AS255">IFERROR(XLOOKUP(L255,'2. DATA NL, VTBB'!C:C,'2. DATA NL, VTBB'!G:G),"")</f>
        <v>IDA Global - I - 726 - Vita Boost (chai HD)- 500 ml - 40 ([btp],t,c)</v>
      </c>
      <c r="AT255" s="277"/>
    </row>
    <row r="256" ht="30.75" customHeight="1">
      <c r="A256" s="272">
        <f t="shared" si="44"/>
        <v>253</v>
      </c>
      <c r="B256" s="289">
        <v>46037.0</v>
      </c>
      <c r="C256" s="273">
        <v>46038.0</v>
      </c>
      <c r="D256" s="273">
        <f t="shared" si="57"/>
        <v>46040</v>
      </c>
      <c r="E256" s="289">
        <v>46039.0</v>
      </c>
      <c r="F256" s="274" t="s">
        <v>561</v>
      </c>
      <c r="G256" s="275" t="s">
        <v>580</v>
      </c>
      <c r="H256" s="274" t="s">
        <v>304</v>
      </c>
      <c r="I256" s="275" t="s">
        <v>726</v>
      </c>
      <c r="J256" s="279" t="s">
        <v>956</v>
      </c>
      <c r="K256" s="275" t="s">
        <v>728</v>
      </c>
      <c r="L256" s="277" t="s">
        <v>742</v>
      </c>
      <c r="M256" s="278" t="str">
        <f t="array" ref="M256">IFERROR(XLOOKUP(L256,'2. DATA NL, VTBB'!C:C,'2. DATA NL, VTBB'!D:D),"")</f>
        <v>PN - Chai HDPE tròn cổ 45 1Lít (110g) - Trắng (không ganty)</v>
      </c>
      <c r="N256" s="280"/>
      <c r="O256" s="280" t="str">
        <f t="array" ref="O256">IFERROR( XLOOKUP(L256,'2. DATA NL, VTBB'!C:C,'2. DATA NL, VTBB'!E:E),"")</f>
        <v>CA MAP 350SC</v>
      </c>
      <c r="P256" s="275" t="s">
        <v>565</v>
      </c>
      <c r="Q256" s="311"/>
      <c r="R256" s="291" t="s">
        <v>573</v>
      </c>
      <c r="S256" s="280"/>
      <c r="T256" s="277"/>
      <c r="U256" s="277"/>
      <c r="V256" s="283">
        <v>1000.0</v>
      </c>
      <c r="W256" s="275" t="s">
        <v>699</v>
      </c>
      <c r="X256" s="283">
        <v>1000.0</v>
      </c>
      <c r="Y256" s="274">
        <v>1050.0</v>
      </c>
      <c r="Z256" s="287">
        <v>4700.0</v>
      </c>
      <c r="AA256" s="285">
        <v>0.08</v>
      </c>
      <c r="AB256" s="282">
        <v>5329800.0</v>
      </c>
      <c r="AC256" s="277"/>
      <c r="AD256" s="289">
        <v>46037.0</v>
      </c>
      <c r="AE256" s="312"/>
      <c r="AF256" s="277"/>
      <c r="AG256" s="277"/>
      <c r="AH256" s="294">
        <f>IFERROR(__xludf.DUMMYFUNCTION("IFERROR(INDEX( SORT(FILTER(
        {'1. DATA CHUNG'!$J$4:$J$105 , '1. DATA CHUNG'!$L$4:$L$105}, (TRIM('1. DATA CHUNG'!$I$4:$I$105)=TRIM(K256)) * IF(COUNTIFS('1. DATA CHUNG'!$I$4:$I$105,K256,'1. DATA CHUNG'!$M$4:$M$105,Q256), '1. DATA CHUNG'!$M$4:$M$105=Q"&amp;"256, 1) * ('1. DATA CHUNG'!$L$4:$L$105&lt;=TODAY()) ),   2, 0),  1, 1), 
  IFERROR( INDEX(FILTER('1. DATA CHUNG'!$J$4:$J$105, (TRIM('1. DATA CHUNG'!$I$4:$I$105)=TRIM(K256)) * IF(COUNTIFS('1. DATA CHUNG'!$I$4:$I$105,K256,'1. DATA CHUNG'!$M$4:$M$105,Q256), '1."&amp;" DATA CHUNG'!$M$4:$M$105=Q256, 1) * ('1. DATA CHUNG'!$L$4:$L$105="""")), 1), ""Không tìm thấy"" ))"),7.0)</f>
        <v>7</v>
      </c>
      <c r="AI256" s="273">
        <f t="shared" si="2"/>
        <v>46044</v>
      </c>
      <c r="AJ256" s="287"/>
      <c r="AK256" s="286">
        <f t="shared" si="3"/>
        <v>0</v>
      </c>
      <c r="AL256" s="287">
        <f t="shared" si="4"/>
        <v>1</v>
      </c>
      <c r="AM256" s="287">
        <f t="shared" si="5"/>
        <v>5</v>
      </c>
      <c r="AN256" s="279">
        <f t="shared" si="6"/>
        <v>6</v>
      </c>
      <c r="AO256" s="295" t="str">
        <f t="shared" si="7"/>
        <v>01/2026</v>
      </c>
      <c r="AP256" s="277" t="str">
        <f t="array" ref="AP256">IFERROR(XLOOKUP(L256,'2. DATA NL, VTBB'!C:C,'2. DATA NL, VTBB'!F:F),"")</f>
        <v>HH0151</v>
      </c>
      <c r="AQ256" s="277" t="str">
        <f t="array" ref="AQ256">IF(OR(K256="Nhãn", K256="Nhãn thùng",K256="Nhãn Túi"), K256 &amp; " " &amp; IFERROR(XLOOKUP(L256, '2. DATA NL, VTBB'!C:C, '2. DATA NL, VTBB'!E:E), ""), "")</f>
        <v/>
      </c>
      <c r="AR256" s="278" t="str">
        <f t="array" ref="AR256">IFERROR(XLOOKUP(L256,'2. DATA NL, VTBB'!C:C,'2. DATA NL, VTBB'!G:G),"")</f>
        <v>IDA Global - I - 725 - Cá mập 350SC (chai HD) - 100ml - 100 ([btp],t,c)</v>
      </c>
      <c r="AS256" s="278" t="str">
        <f t="array" ref="AS256">IFERROR(XLOOKUP(L256,'2. DATA NL, VTBB'!C:C,'2. DATA NL, VTBB'!G:G),"")</f>
        <v>IDA Global - I - 725 - Cá mập 350SC (chai HD) - 100ml - 100 ([btp],t,c)</v>
      </c>
      <c r="AT256" s="277"/>
    </row>
    <row r="257" ht="30.75" customHeight="1">
      <c r="A257" s="272">
        <f t="shared" si="44"/>
        <v>254</v>
      </c>
      <c r="B257" s="289">
        <v>46037.0</v>
      </c>
      <c r="C257" s="273">
        <v>46038.0</v>
      </c>
      <c r="D257" s="273">
        <f t="shared" si="57"/>
        <v>46040</v>
      </c>
      <c r="E257" s="289">
        <v>46039.0</v>
      </c>
      <c r="F257" s="274" t="s">
        <v>561</v>
      </c>
      <c r="G257" s="275" t="s">
        <v>580</v>
      </c>
      <c r="H257" s="274" t="s">
        <v>304</v>
      </c>
      <c r="I257" s="275" t="s">
        <v>726</v>
      </c>
      <c r="J257" s="279" t="s">
        <v>956</v>
      </c>
      <c r="K257" s="275" t="s">
        <v>730</v>
      </c>
      <c r="L257" s="277" t="s">
        <v>782</v>
      </c>
      <c r="M257" s="278" t="str">
        <f t="array" ref="M257">IFERROR(XLOOKUP(L257,'2. DATA NL, VTBB'!C:C,'2. DATA NL, VTBB'!D:D),"")</f>
        <v>PN - Nắp HDPE cổ 45 Trắng (không ganty)</v>
      </c>
      <c r="N257" s="280"/>
      <c r="O257" s="280" t="str">
        <f t="array" ref="O257">IFERROR( XLOOKUP(L257,'2. DATA NL, VTBB'!C:C,'2. DATA NL, VTBB'!E:E),"")</f>
        <v>Vi lượng Quantity New</v>
      </c>
      <c r="P257" s="275" t="s">
        <v>565</v>
      </c>
      <c r="Q257" s="311"/>
      <c r="R257" s="291" t="s">
        <v>573</v>
      </c>
      <c r="S257" s="280"/>
      <c r="T257" s="277"/>
      <c r="U257" s="277"/>
      <c r="V257" s="283">
        <v>1000.0</v>
      </c>
      <c r="W257" s="275" t="s">
        <v>699</v>
      </c>
      <c r="X257" s="283">
        <v>1000.0</v>
      </c>
      <c r="Y257" s="274">
        <v>1050.0</v>
      </c>
      <c r="Z257" s="272">
        <v>900.0</v>
      </c>
      <c r="AA257" s="285">
        <v>0.08</v>
      </c>
      <c r="AB257" s="282">
        <v>1020600.0</v>
      </c>
      <c r="AC257" s="277"/>
      <c r="AD257" s="289">
        <v>46037.0</v>
      </c>
      <c r="AE257" s="312"/>
      <c r="AF257" s="277"/>
      <c r="AG257" s="277"/>
      <c r="AH257" s="294">
        <f>IFERROR(__xludf.DUMMYFUNCTION("IFERROR(INDEX( SORT(FILTER(
        {'1. DATA CHUNG'!$J$4:$J$105 , '1. DATA CHUNG'!$L$4:$L$105}, (TRIM('1. DATA CHUNG'!$I$4:$I$105)=TRIM(K257)) * IF(COUNTIFS('1. DATA CHUNG'!$I$4:$I$105,K257,'1. DATA CHUNG'!$M$4:$M$105,Q257), '1. DATA CHUNG'!$M$4:$M$105=Q"&amp;"257, 1) * ('1. DATA CHUNG'!$L$4:$L$105&lt;=TODAY()) ),   2, 0),  1, 1), 
  IFERROR( INDEX(FILTER('1. DATA CHUNG'!$J$4:$J$105, (TRIM('1. DATA CHUNG'!$I$4:$I$105)=TRIM(K257)) * IF(COUNTIFS('1. DATA CHUNG'!$I$4:$I$105,K257,'1. DATA CHUNG'!$M$4:$M$105,Q257), '1."&amp;" DATA CHUNG'!$M$4:$M$105=Q257, 1) * ('1. DATA CHUNG'!$L$4:$L$105="""")), 1), ""Không tìm thấy"" ))"),7.0)</f>
        <v>7</v>
      </c>
      <c r="AI257" s="273">
        <f t="shared" si="2"/>
        <v>46044</v>
      </c>
      <c r="AJ257" s="287"/>
      <c r="AK257" s="286">
        <f t="shared" si="3"/>
        <v>0</v>
      </c>
      <c r="AL257" s="287">
        <f t="shared" si="4"/>
        <v>1</v>
      </c>
      <c r="AM257" s="287">
        <f t="shared" si="5"/>
        <v>5</v>
      </c>
      <c r="AN257" s="279">
        <f t="shared" si="6"/>
        <v>6</v>
      </c>
      <c r="AO257" s="295" t="str">
        <f t="shared" si="7"/>
        <v>01/2026</v>
      </c>
      <c r="AP257" s="277" t="str">
        <f t="array" ref="AP257">IFERROR(XLOOKUP(L257,'2. DATA NL, VTBB'!C:C,'2. DATA NL, VTBB'!F:F),"")</f>
        <v>HH0112</v>
      </c>
      <c r="AQ257" s="277" t="str">
        <f t="array" ref="AQ257">IF(OR(K257="Nhãn", K257="Nhãn thùng",K257="Nhãn Túi"), K257 &amp; " " &amp; IFERROR(XLOOKUP(L257, '2. DATA NL, VTBB'!C:C, '2. DATA NL, VTBB'!E:E), ""), "")</f>
        <v/>
      </c>
      <c r="AR257" s="278" t="str">
        <f t="array" ref="AR257">IFERROR(XLOOKUP(L257,'2. DATA NL, VTBB'!C:C,'2. DATA NL, VTBB'!G:G),"")</f>
        <v>IDA Global - I - 726 - Vita Boost (chai HD)- 500 ml - 40 ([btp],t,c)</v>
      </c>
      <c r="AS257" s="278" t="str">
        <f t="array" ref="AS257">IFERROR(XLOOKUP(L257,'2. DATA NL, VTBB'!C:C,'2. DATA NL, VTBB'!G:G),"")</f>
        <v>IDA Global - I - 726 - Vita Boost (chai HD)- 500 ml - 40 ([btp],t,c)</v>
      </c>
      <c r="AT257" s="277"/>
    </row>
    <row r="258" ht="30.75" customHeight="1">
      <c r="A258" s="272">
        <f t="shared" si="44"/>
        <v>255</v>
      </c>
      <c r="B258" s="289">
        <v>46037.0</v>
      </c>
      <c r="C258" s="273">
        <v>46038.0</v>
      </c>
      <c r="D258" s="273">
        <f t="shared" si="57"/>
        <v>46040</v>
      </c>
      <c r="E258" s="289">
        <v>46039.0</v>
      </c>
      <c r="F258" s="274" t="s">
        <v>561</v>
      </c>
      <c r="G258" s="275" t="s">
        <v>562</v>
      </c>
      <c r="H258" s="274" t="s">
        <v>304</v>
      </c>
      <c r="I258" s="275" t="s">
        <v>765</v>
      </c>
      <c r="J258" s="279" t="s">
        <v>957</v>
      </c>
      <c r="K258" s="275" t="s">
        <v>728</v>
      </c>
      <c r="L258" s="277" t="s">
        <v>904</v>
      </c>
      <c r="M258" s="278" t="str">
        <f t="array" ref="M258">IFERROR(XLOOKUP(L258,'2. DATA NL, VTBB'!C:C,'2. DATA NL, VTBB'!D:D),"")</f>
        <v>Chai HDPE tròn cổ 63 500ml (80g) - Trắng</v>
      </c>
      <c r="N258" s="280"/>
      <c r="O258" s="280" t="str">
        <f t="array" ref="O258">IFERROR( XLOOKUP(L258,'2. DATA NL, VTBB'!C:C,'2. DATA NL, VTBB'!E:E),"")</f>
        <v>Chitin 3.6EC</v>
      </c>
      <c r="P258" s="275" t="s">
        <v>565</v>
      </c>
      <c r="Q258" s="311"/>
      <c r="R258" s="290" t="s">
        <v>566</v>
      </c>
      <c r="S258" s="280"/>
      <c r="T258" s="277"/>
      <c r="U258" s="277"/>
      <c r="V258" s="283">
        <v>400.0</v>
      </c>
      <c r="W258" s="275" t="s">
        <v>699</v>
      </c>
      <c r="X258" s="283">
        <v>400.0</v>
      </c>
      <c r="Y258" s="274">
        <v>400.0</v>
      </c>
      <c r="Z258" s="272">
        <v>2900.0</v>
      </c>
      <c r="AA258" s="285">
        <v>0.08</v>
      </c>
      <c r="AB258" s="282">
        <v>1252800.0</v>
      </c>
      <c r="AC258" s="277"/>
      <c r="AD258" s="289">
        <v>46037.0</v>
      </c>
      <c r="AE258" s="312"/>
      <c r="AF258" s="277"/>
      <c r="AG258" s="277"/>
      <c r="AH258" s="294">
        <f>IFERROR(__xludf.DUMMYFUNCTION("IFERROR(INDEX( SORT(FILTER(
        {'1. DATA CHUNG'!$J$4:$J$105 , '1. DATA CHUNG'!$L$4:$L$105}, (TRIM('1. DATA CHUNG'!$I$4:$I$105)=TRIM(K258)) * IF(COUNTIFS('1. DATA CHUNG'!$I$4:$I$105,K258,'1. DATA CHUNG'!$M$4:$M$105,Q258), '1. DATA CHUNG'!$M$4:$M$105=Q"&amp;"258, 1) * ('1. DATA CHUNG'!$L$4:$L$105&lt;=TODAY()) ),   2, 0),  1, 1), 
  IFERROR( INDEX(FILTER('1. DATA CHUNG'!$J$4:$J$105, (TRIM('1. DATA CHUNG'!$I$4:$I$105)=TRIM(K258)) * IF(COUNTIFS('1. DATA CHUNG'!$I$4:$I$105,K258,'1. DATA CHUNG'!$M$4:$M$105,Q258), '1."&amp;" DATA CHUNG'!$M$4:$M$105=Q258, 1) * ('1. DATA CHUNG'!$L$4:$L$105="""")), 1), ""Không tìm thấy"" ))"),7.0)</f>
        <v>7</v>
      </c>
      <c r="AI258" s="273">
        <f t="shared" si="2"/>
        <v>46044</v>
      </c>
      <c r="AJ258" s="287"/>
      <c r="AK258" s="286">
        <f t="shared" si="3"/>
        <v>0</v>
      </c>
      <c r="AL258" s="287">
        <f t="shared" si="4"/>
        <v>1</v>
      </c>
      <c r="AM258" s="287">
        <f t="shared" si="5"/>
        <v>5</v>
      </c>
      <c r="AN258" s="279">
        <f t="shared" si="6"/>
        <v>6</v>
      </c>
      <c r="AO258" s="295" t="str">
        <f t="shared" si="7"/>
        <v>01/2026</v>
      </c>
      <c r="AP258" s="277" t="str">
        <f t="array" ref="AP258">IFERROR(XLOOKUP(L258,'2. DATA NL, VTBB'!C:C,'2. DATA NL, VTBB'!F:F),"")</f>
        <v>HH0228</v>
      </c>
      <c r="AQ258" s="277" t="str">
        <f t="array" ref="AQ258">IF(OR(K258="Nhãn", K258="Nhãn thùng",K258="Nhãn Túi"), K258 &amp; " " &amp; IFERROR(XLOOKUP(L258, '2. DATA NL, VTBB'!C:C, '2. DATA NL, VTBB'!E:E), ""), "")</f>
        <v/>
      </c>
      <c r="AR258" s="278" t="str">
        <f t="array" ref="AR258">IFERROR(XLOOKUP(L258,'2. DATA NL, VTBB'!C:C,'2. DATA NL, VTBB'!G:G),"")</f>
        <v>LOT IDA Global - I - 869 - ĐL Phú Nông - Vua 3.6 (Pet tròn) (nắp đỏ)(nước nâu đen) - 450ml - 40</v>
      </c>
      <c r="AS258" s="278" t="str">
        <f t="array" ref="AS258">IFERROR(XLOOKUP(L258,'2. DATA NL, VTBB'!C:C,'2. DATA NL, VTBB'!G:G),"")</f>
        <v>LOT IDA Global - I - 869 - ĐL Phú Nông - Vua 3.6 (Pet tròn) (nắp đỏ)(nước nâu đen) - 450ml - 40</v>
      </c>
      <c r="AT258" s="277"/>
    </row>
    <row r="259" ht="30.75" customHeight="1">
      <c r="A259" s="272">
        <f t="shared" si="44"/>
        <v>256</v>
      </c>
      <c r="B259" s="289">
        <v>46037.0</v>
      </c>
      <c r="C259" s="273">
        <v>46038.0</v>
      </c>
      <c r="D259" s="273">
        <f t="shared" si="57"/>
        <v>46040</v>
      </c>
      <c r="E259" s="289">
        <v>46039.0</v>
      </c>
      <c r="F259" s="274" t="s">
        <v>561</v>
      </c>
      <c r="G259" s="275" t="s">
        <v>562</v>
      </c>
      <c r="H259" s="274" t="s">
        <v>304</v>
      </c>
      <c r="I259" s="275" t="s">
        <v>765</v>
      </c>
      <c r="J259" s="279" t="s">
        <v>957</v>
      </c>
      <c r="K259" s="275" t="s">
        <v>730</v>
      </c>
      <c r="L259" s="277" t="s">
        <v>905</v>
      </c>
      <c r="M259" s="278" t="str">
        <f t="array" ref="M259">IFERROR(XLOOKUP(L259,'2. DATA NL, VTBB'!C:C,'2. DATA NL, VTBB'!D:D),"")</f>
        <v>Nắp HDPE tròn cổ 63 Trắng</v>
      </c>
      <c r="N259" s="280"/>
      <c r="O259" s="280" t="str">
        <f t="array" ref="O259">IFERROR( XLOOKUP(L259,'2. DATA NL, VTBB'!C:C,'2. DATA NL, VTBB'!E:E),"")</f>
        <v>Chitin 3.6EC</v>
      </c>
      <c r="P259" s="275" t="s">
        <v>565</v>
      </c>
      <c r="Q259" s="311"/>
      <c r="R259" s="290" t="s">
        <v>566</v>
      </c>
      <c r="S259" s="280"/>
      <c r="T259" s="277"/>
      <c r="U259" s="277"/>
      <c r="V259" s="283">
        <v>400.0</v>
      </c>
      <c r="W259" s="275" t="s">
        <v>699</v>
      </c>
      <c r="X259" s="283">
        <v>400.0</v>
      </c>
      <c r="Y259" s="274">
        <v>400.0</v>
      </c>
      <c r="Z259" s="272">
        <v>1350.0</v>
      </c>
      <c r="AA259" s="285">
        <v>0.08</v>
      </c>
      <c r="AB259" s="282">
        <v>583200.0</v>
      </c>
      <c r="AC259" s="277"/>
      <c r="AD259" s="289">
        <v>46037.0</v>
      </c>
      <c r="AE259" s="312"/>
      <c r="AF259" s="277"/>
      <c r="AG259" s="277"/>
      <c r="AH259" s="294">
        <f>IFERROR(__xludf.DUMMYFUNCTION("IFERROR(INDEX( SORT(FILTER(
        {'1. DATA CHUNG'!$J$4:$J$105 , '1. DATA CHUNG'!$L$4:$L$105}, (TRIM('1. DATA CHUNG'!$I$4:$I$105)=TRIM(K259)) * IF(COUNTIFS('1. DATA CHUNG'!$I$4:$I$105,K259,'1. DATA CHUNG'!$M$4:$M$105,Q259), '1. DATA CHUNG'!$M$4:$M$105=Q"&amp;"259, 1) * ('1. DATA CHUNG'!$L$4:$L$105&lt;=TODAY()) ),   2, 0),  1, 1), 
  IFERROR( INDEX(FILTER('1. DATA CHUNG'!$J$4:$J$105, (TRIM('1. DATA CHUNG'!$I$4:$I$105)=TRIM(K259)) * IF(COUNTIFS('1. DATA CHUNG'!$I$4:$I$105,K259,'1. DATA CHUNG'!$M$4:$M$105,Q259), '1."&amp;" DATA CHUNG'!$M$4:$M$105=Q259, 1) * ('1. DATA CHUNG'!$L$4:$L$105="""")), 1), ""Không tìm thấy"" ))"),7.0)</f>
        <v>7</v>
      </c>
      <c r="AI259" s="273">
        <f t="shared" si="2"/>
        <v>46044</v>
      </c>
      <c r="AJ259" s="287"/>
      <c r="AK259" s="286">
        <f t="shared" si="3"/>
        <v>0</v>
      </c>
      <c r="AL259" s="287">
        <f t="shared" si="4"/>
        <v>1</v>
      </c>
      <c r="AM259" s="287">
        <f t="shared" si="5"/>
        <v>5</v>
      </c>
      <c r="AN259" s="279">
        <f t="shared" si="6"/>
        <v>6</v>
      </c>
      <c r="AO259" s="295" t="str">
        <f t="shared" si="7"/>
        <v>01/2026</v>
      </c>
      <c r="AP259" s="277" t="str">
        <f t="array" ref="AP259">IFERROR(XLOOKUP(L259,'2. DATA NL, VTBB'!C:C,'2. DATA NL, VTBB'!F:F),"")</f>
        <v>HH0152</v>
      </c>
      <c r="AQ259" s="277" t="str">
        <f t="array" ref="AQ259">IF(OR(K259="Nhãn", K259="Nhãn thùng",K259="Nhãn Túi"), K259 &amp; " " &amp; IFERROR(XLOOKUP(L259, '2. DATA NL, VTBB'!C:C, '2. DATA NL, VTBB'!E:E), ""), "")</f>
        <v/>
      </c>
      <c r="AR259" s="278" t="str">
        <f t="array" ref="AR259">IFERROR(XLOOKUP(L259,'2. DATA NL, VTBB'!C:C,'2. DATA NL, VTBB'!G:G),"")</f>
        <v>LOT IDA Global - I - 869 - ĐL Phú Nông - Vua 3.6 (Pet tròn) (nắp đỏ)(nước nâu đen) - 450ml - 40</v>
      </c>
      <c r="AS259" s="278" t="str">
        <f t="array" ref="AS259">IFERROR(XLOOKUP(L259,'2. DATA NL, VTBB'!C:C,'2. DATA NL, VTBB'!G:G),"")</f>
        <v>LOT IDA Global - I - 869 - ĐL Phú Nông - Vua 3.6 (Pet tròn) (nắp đỏ)(nước nâu đen) - 450ml - 40</v>
      </c>
      <c r="AT259" s="277"/>
    </row>
    <row r="260" ht="30.75" customHeight="1">
      <c r="A260" s="272">
        <f t="shared" si="44"/>
        <v>257</v>
      </c>
      <c r="B260" s="289">
        <v>46037.0</v>
      </c>
      <c r="C260" s="289">
        <v>46044.0</v>
      </c>
      <c r="D260" s="289">
        <f t="shared" ref="D260:E260" si="58">B260+15</f>
        <v>46052</v>
      </c>
      <c r="E260" s="289">
        <f t="shared" si="58"/>
        <v>46059</v>
      </c>
      <c r="F260" s="274" t="s">
        <v>561</v>
      </c>
      <c r="G260" s="275" t="s">
        <v>562</v>
      </c>
      <c r="H260" s="274" t="s">
        <v>304</v>
      </c>
      <c r="I260" s="275" t="s">
        <v>305</v>
      </c>
      <c r="J260" s="279" t="s">
        <v>958</v>
      </c>
      <c r="K260" s="275" t="s">
        <v>301</v>
      </c>
      <c r="L260" s="277" t="s">
        <v>595</v>
      </c>
      <c r="M260" s="278" t="str">
        <f t="array" ref="M260">IFERROR(XLOOKUP(L260,'2. DATA NL, VTBB'!C:C,'2. DATA NL, VTBB'!D:D),"")</f>
        <v>Thùng dùng chung ABA chai tròn 1 lít x 20 chai (20 gói/ thùng) - (45.5x35.5x27cm) - Trắng</v>
      </c>
      <c r="N260" s="280"/>
      <c r="O260" s="280" t="str">
        <f t="array" ref="O260">IFERROR( XLOOKUP(L260,'2. DATA NL, VTBB'!C:C,'2. DATA NL, VTBB'!E:E),"")</f>
        <v>Vi lượng AV4-BO633</v>
      </c>
      <c r="P260" s="275" t="s">
        <v>565</v>
      </c>
      <c r="Q260" s="311"/>
      <c r="R260" s="291" t="s">
        <v>573</v>
      </c>
      <c r="S260" s="280"/>
      <c r="T260" s="277"/>
      <c r="U260" s="277"/>
      <c r="V260" s="283">
        <v>500.0</v>
      </c>
      <c r="W260" s="275" t="s">
        <v>699</v>
      </c>
      <c r="X260" s="283">
        <v>500.0</v>
      </c>
      <c r="Y260" s="274">
        <v>500.0</v>
      </c>
      <c r="Z260" s="272">
        <v>19750.0</v>
      </c>
      <c r="AA260" s="285">
        <v>0.08</v>
      </c>
      <c r="AB260" s="282">
        <v>1.0665E7</v>
      </c>
      <c r="AC260" s="277"/>
      <c r="AD260" s="289">
        <v>46037.0</v>
      </c>
      <c r="AE260" s="312"/>
      <c r="AF260" s="277"/>
      <c r="AG260" s="277"/>
      <c r="AH260" s="294">
        <f>IFERROR(__xludf.DUMMYFUNCTION("IFERROR(INDEX( SORT(FILTER(
        {'1. DATA CHUNG'!$J$4:$J$105 , '1. DATA CHUNG'!$L$4:$L$105}, (TRIM('1. DATA CHUNG'!$I$4:$I$105)=TRIM(K260)) * IF(COUNTIFS('1. DATA CHUNG'!$I$4:$I$105,K260,'1. DATA CHUNG'!$M$4:$M$105,Q260), '1. DATA CHUNG'!$M$4:$M$105=Q"&amp;"260, 1) * ('1. DATA CHUNG'!$L$4:$L$105&lt;=TODAY()) ),   2, 0),  1, 1), 
  IFERROR( INDEX(FILTER('1. DATA CHUNG'!$J$4:$J$105, (TRIM('1. DATA CHUNG'!$I$4:$I$105)=TRIM(K260)) * IF(COUNTIFS('1. DATA CHUNG'!$I$4:$I$105,K260,'1. DATA CHUNG'!$M$4:$M$105,Q260), '1."&amp;" DATA CHUNG'!$M$4:$M$105=Q260, 1) * ('1. DATA CHUNG'!$L$4:$L$105="""")), 1), ""Không tìm thấy"" ))"),18.0)</f>
        <v>18</v>
      </c>
      <c r="AI260" s="273">
        <f t="shared" si="2"/>
        <v>46055</v>
      </c>
      <c r="AJ260" s="287"/>
      <c r="AK260" s="286">
        <f t="shared" si="3"/>
        <v>0</v>
      </c>
      <c r="AL260" s="287">
        <f t="shared" si="4"/>
        <v>-7</v>
      </c>
      <c r="AM260" s="287">
        <f t="shared" si="5"/>
        <v>-4</v>
      </c>
      <c r="AN260" s="279">
        <f t="shared" si="6"/>
        <v>11</v>
      </c>
      <c r="AO260" s="295" t="str">
        <f t="shared" si="7"/>
        <v>01/2026</v>
      </c>
      <c r="AP260" s="277" t="str">
        <f t="array" ref="AP260">IFERROR(XLOOKUP(L260,'2. DATA NL, VTBB'!C:C,'2. DATA NL, VTBB'!F:F),"")</f>
        <v>HH0078</v>
      </c>
      <c r="AQ260" s="277" t="str">
        <f t="array" ref="AQ260">IF(OR(K260="Nhãn", K260="Nhãn thùng",K260="Nhãn Túi"), K260 &amp; " " &amp; IFERROR(XLOOKUP(L260, '2. DATA NL, VTBB'!C:C, '2. DATA NL, VTBB'!E:E), ""), "")</f>
        <v/>
      </c>
      <c r="AR260" s="278" t="str">
        <f t="array" ref="AR260">IFERROR(XLOOKUP(L260,'2. DATA NL, VTBB'!C:C,'2. DATA NL, VTBB'!G:G),"")</f>
        <v>GC - II - 434 - Ariplant - Siêu ra hoa sầu riêng (mới) - 250 gr- 100</v>
      </c>
      <c r="AS260" s="278" t="str">
        <f t="array" ref="AS260">IFERROR(XLOOKUP(L260,'2. DATA NL, VTBB'!C:C,'2. DATA NL, VTBB'!G:G),"")</f>
        <v>GC - II - 434 - Ariplant - Siêu ra hoa sầu riêng (mới) - 250 gr- 100</v>
      </c>
      <c r="AT260" s="277"/>
    </row>
    <row r="261" ht="30.75" customHeight="1">
      <c r="A261" s="272">
        <f t="shared" si="44"/>
        <v>258</v>
      </c>
      <c r="B261" s="289">
        <v>46038.0</v>
      </c>
      <c r="C261" s="273">
        <v>46039.0</v>
      </c>
      <c r="D261" s="273">
        <f t="shared" ref="D261:D267" si="59">B261+3</f>
        <v>46041</v>
      </c>
      <c r="E261" s="289">
        <v>46042.0</v>
      </c>
      <c r="F261" s="274" t="s">
        <v>561</v>
      </c>
      <c r="G261" s="275" t="s">
        <v>562</v>
      </c>
      <c r="H261" s="274" t="s">
        <v>304</v>
      </c>
      <c r="I261" s="275" t="s">
        <v>726</v>
      </c>
      <c r="J261" s="279" t="s">
        <v>959</v>
      </c>
      <c r="K261" s="275" t="s">
        <v>728</v>
      </c>
      <c r="L261" s="277" t="s">
        <v>960</v>
      </c>
      <c r="M261" s="278" t="str">
        <f t="array" ref="M261">IFERROR(XLOOKUP(L261,'2. DATA NL, VTBB'!C:C,'2. DATA NL, VTBB'!D:D),"")</f>
        <v>Chai PET tròn 600ml cổ 44 (70gr) -  Trắng</v>
      </c>
      <c r="N261" s="280"/>
      <c r="O261" s="280" t="str">
        <f t="array" ref="O261">IFERROR( XLOOKUP(L261,'2. DATA NL, VTBB'!C:C,'2. DATA NL, VTBB'!E:E),"")</f>
        <v>Chitin 3.6EC</v>
      </c>
      <c r="P261" s="275" t="s">
        <v>565</v>
      </c>
      <c r="Q261" s="311"/>
      <c r="R261" s="290" t="s">
        <v>566</v>
      </c>
      <c r="S261" s="280"/>
      <c r="T261" s="277"/>
      <c r="U261" s="277"/>
      <c r="V261" s="283">
        <v>1000.0</v>
      </c>
      <c r="W261" s="275" t="s">
        <v>699</v>
      </c>
      <c r="X261" s="283">
        <v>1000.0</v>
      </c>
      <c r="Y261" s="274">
        <v>1008.0</v>
      </c>
      <c r="Z261" s="272">
        <v>3400.0</v>
      </c>
      <c r="AA261" s="285">
        <v>0.08</v>
      </c>
      <c r="AB261" s="282">
        <v>3701376.0</v>
      </c>
      <c r="AC261" s="277"/>
      <c r="AD261" s="289">
        <v>46038.0</v>
      </c>
      <c r="AE261" s="312"/>
      <c r="AF261" s="277"/>
      <c r="AG261" s="277"/>
      <c r="AH261" s="294">
        <f>IFERROR(__xludf.DUMMYFUNCTION("IFERROR(INDEX( SORT(FILTER(
        {'1. DATA CHUNG'!$J$4:$J$105 , '1. DATA CHUNG'!$L$4:$L$105}, (TRIM('1. DATA CHUNG'!$I$4:$I$105)=TRIM(K261)) * IF(COUNTIFS('1. DATA CHUNG'!$I$4:$I$105,K261,'1. DATA CHUNG'!$M$4:$M$105,Q261), '1. DATA CHUNG'!$M$4:$M$105=Q"&amp;"261, 1) * ('1. DATA CHUNG'!$L$4:$L$105&lt;=TODAY()) ),   2, 0),  1, 1), 
  IFERROR( INDEX(FILTER('1. DATA CHUNG'!$J$4:$J$105, (TRIM('1. DATA CHUNG'!$I$4:$I$105)=TRIM(K261)) * IF(COUNTIFS('1. DATA CHUNG'!$I$4:$I$105,K261,'1. DATA CHUNG'!$M$4:$M$105,Q261), '1."&amp;" DATA CHUNG'!$M$4:$M$105=Q261, 1) * ('1. DATA CHUNG'!$L$4:$L$105="""")), 1), ""Không tìm thấy"" ))"),7.0)</f>
        <v>7</v>
      </c>
      <c r="AI261" s="273">
        <f t="shared" si="2"/>
        <v>46045</v>
      </c>
      <c r="AJ261" s="287"/>
      <c r="AK261" s="286">
        <f t="shared" si="3"/>
        <v>0</v>
      </c>
      <c r="AL261" s="287">
        <f t="shared" si="4"/>
        <v>-1</v>
      </c>
      <c r="AM261" s="287">
        <f t="shared" si="5"/>
        <v>3</v>
      </c>
      <c r="AN261" s="279">
        <f t="shared" si="6"/>
        <v>6</v>
      </c>
      <c r="AO261" s="295" t="str">
        <f t="shared" si="7"/>
        <v>01/2026</v>
      </c>
      <c r="AP261" s="277" t="str">
        <f t="array" ref="AP261">IFERROR(XLOOKUP(L261,'2. DATA NL, VTBB'!C:C,'2. DATA NL, VTBB'!F:F),"")</f>
        <v>HH0243</v>
      </c>
      <c r="AQ261" s="277" t="str">
        <f t="array" ref="AQ261">IF(OR(K261="Nhãn", K261="Nhãn thùng",K261="Nhãn Túi"), K261 &amp; " " &amp; IFERROR(XLOOKUP(L261, '2. DATA NL, VTBB'!C:C, '2. DATA NL, VTBB'!E:E), ""), "")</f>
        <v/>
      </c>
      <c r="AR261" s="278" t="str">
        <f t="array" ref="AR261">IFERROR(XLOOKUP(L261,'2. DATA NL, VTBB'!C:C,'2. DATA NL, VTBB'!G:G),"")</f>
        <v>LOT IDA Global - I - 896 - ĐL Mỹ Xuyên - Thần Hổ 4.0 (Pet tròn) (nắp trắng)(nước nâu đen) - 450ml - 40</v>
      </c>
      <c r="AS261" s="278" t="str">
        <f t="array" ref="AS261">IFERROR(XLOOKUP(L261,'2. DATA NL, VTBB'!C:C,'2. DATA NL, VTBB'!G:G),"")</f>
        <v>LOT IDA Global - I - 896 - ĐL Mỹ Xuyên - Thần Hổ 4.0 (Pet tròn) (nắp trắng)(nước nâu đen) - 450ml - 40</v>
      </c>
      <c r="AT261" s="277"/>
    </row>
    <row r="262" ht="30.75" customHeight="1">
      <c r="A262" s="272">
        <f t="shared" si="44"/>
        <v>259</v>
      </c>
      <c r="B262" s="289">
        <v>46038.0</v>
      </c>
      <c r="C262" s="273">
        <v>46039.0</v>
      </c>
      <c r="D262" s="273">
        <f t="shared" si="59"/>
        <v>46041</v>
      </c>
      <c r="E262" s="289">
        <v>46042.0</v>
      </c>
      <c r="F262" s="274" t="s">
        <v>561</v>
      </c>
      <c r="G262" s="275" t="s">
        <v>562</v>
      </c>
      <c r="H262" s="274" t="s">
        <v>304</v>
      </c>
      <c r="I262" s="275" t="s">
        <v>726</v>
      </c>
      <c r="J262" s="279" t="s">
        <v>959</v>
      </c>
      <c r="K262" s="275" t="s">
        <v>730</v>
      </c>
      <c r="L262" s="277" t="s">
        <v>779</v>
      </c>
      <c r="M262" s="278" t="str">
        <f t="array" ref="M262">IFERROR(XLOOKUP(L262,'2. DATA NL, VTBB'!C:C,'2. DATA NL, VTBB'!D:D),"")</f>
        <v>Nắp PET cổ 44 (9g) - Trắng</v>
      </c>
      <c r="N262" s="280"/>
      <c r="O262" s="280" t="str">
        <f t="array" ref="O262">IFERROR( XLOOKUP(L262,'2. DATA NL, VTBB'!C:C,'2. DATA NL, VTBB'!E:E),"")</f>
        <v>IMIPRID 10WP</v>
      </c>
      <c r="P262" s="275" t="s">
        <v>565</v>
      </c>
      <c r="Q262" s="311"/>
      <c r="R262" s="290" t="s">
        <v>566</v>
      </c>
      <c r="S262" s="280"/>
      <c r="T262" s="277"/>
      <c r="U262" s="277"/>
      <c r="V262" s="283">
        <v>1000.0</v>
      </c>
      <c r="W262" s="275" t="s">
        <v>699</v>
      </c>
      <c r="X262" s="283">
        <v>1000.0</v>
      </c>
      <c r="Y262" s="274">
        <v>1008.0</v>
      </c>
      <c r="Z262" s="272">
        <v>900.0</v>
      </c>
      <c r="AA262" s="285">
        <v>0.08</v>
      </c>
      <c r="AB262" s="282">
        <v>979776.0</v>
      </c>
      <c r="AC262" s="277"/>
      <c r="AD262" s="289">
        <v>46038.0</v>
      </c>
      <c r="AE262" s="312"/>
      <c r="AF262" s="277"/>
      <c r="AG262" s="277"/>
      <c r="AH262" s="294">
        <f>IFERROR(__xludf.DUMMYFUNCTION("IFERROR(INDEX( SORT(FILTER(
        {'1. DATA CHUNG'!$J$4:$J$105 , '1. DATA CHUNG'!$L$4:$L$105}, (TRIM('1. DATA CHUNG'!$I$4:$I$105)=TRIM(K262)) * IF(COUNTIFS('1. DATA CHUNG'!$I$4:$I$105,K262,'1. DATA CHUNG'!$M$4:$M$105,Q262), '1. DATA CHUNG'!$M$4:$M$105=Q"&amp;"262, 1) * ('1. DATA CHUNG'!$L$4:$L$105&lt;=TODAY()) ),   2, 0),  1, 1), 
  IFERROR( INDEX(FILTER('1. DATA CHUNG'!$J$4:$J$105, (TRIM('1. DATA CHUNG'!$I$4:$I$105)=TRIM(K262)) * IF(COUNTIFS('1. DATA CHUNG'!$I$4:$I$105,K262,'1. DATA CHUNG'!$M$4:$M$105,Q262), '1."&amp;" DATA CHUNG'!$M$4:$M$105=Q262, 1) * ('1. DATA CHUNG'!$L$4:$L$105="""")), 1), ""Không tìm thấy"" ))"),7.0)</f>
        <v>7</v>
      </c>
      <c r="AI262" s="273">
        <f t="shared" si="2"/>
        <v>46045</v>
      </c>
      <c r="AJ262" s="287"/>
      <c r="AK262" s="286">
        <f t="shared" si="3"/>
        <v>0</v>
      </c>
      <c r="AL262" s="287">
        <f t="shared" si="4"/>
        <v>-1</v>
      </c>
      <c r="AM262" s="287">
        <f t="shared" si="5"/>
        <v>3</v>
      </c>
      <c r="AN262" s="279">
        <f t="shared" si="6"/>
        <v>6</v>
      </c>
      <c r="AO262" s="295" t="str">
        <f t="shared" si="7"/>
        <v>01/2026</v>
      </c>
      <c r="AP262" s="277" t="str">
        <f t="array" ref="AP262">IFERROR(XLOOKUP(L262,'2. DATA NL, VTBB'!C:C,'2. DATA NL, VTBB'!F:F),"")</f>
        <v>HH0163</v>
      </c>
      <c r="AQ262" s="277" t="str">
        <f t="array" ref="AQ262">IF(OR(K262="Nhãn", K262="Nhãn thùng",K262="Nhãn Túi"), K262 &amp; " " &amp; IFERROR(XLOOKUP(L262, '2. DATA NL, VTBB'!C:C, '2. DATA NL, VTBB'!E:E), ""), "")</f>
        <v/>
      </c>
      <c r="AR262" s="278" t="str">
        <f t="array" ref="AR262">IFERROR(XLOOKUP(L262,'2. DATA NL, VTBB'!C:C,'2. DATA NL, VTBB'!G:G),"")</f>
        <v>GC - IV - 888.1 - Huy Phát - BI Pro Max (Bột trắng) - 100gr - 100</v>
      </c>
      <c r="AS262" s="278" t="str">
        <f t="array" ref="AS262">IFERROR(XLOOKUP(L262,'2. DATA NL, VTBB'!C:C,'2. DATA NL, VTBB'!G:G),"")</f>
        <v>GC - IV - 888.1 - Huy Phát - BI Pro Max (Bột trắng) - 100gr - 100</v>
      </c>
      <c r="AT262" s="277"/>
    </row>
    <row r="263" ht="30.75" customHeight="1">
      <c r="A263" s="272">
        <f t="shared" si="44"/>
        <v>260</v>
      </c>
      <c r="B263" s="289">
        <v>46038.0</v>
      </c>
      <c r="C263" s="273">
        <v>46039.0</v>
      </c>
      <c r="D263" s="273">
        <f t="shared" si="59"/>
        <v>46041</v>
      </c>
      <c r="E263" s="289">
        <v>46042.0</v>
      </c>
      <c r="F263" s="274" t="s">
        <v>561</v>
      </c>
      <c r="G263" s="275" t="s">
        <v>562</v>
      </c>
      <c r="H263" s="274" t="s">
        <v>304</v>
      </c>
      <c r="I263" s="275" t="s">
        <v>726</v>
      </c>
      <c r="J263" s="279" t="s">
        <v>961</v>
      </c>
      <c r="K263" s="275" t="s">
        <v>728</v>
      </c>
      <c r="L263" s="277" t="s">
        <v>962</v>
      </c>
      <c r="M263" s="278" t="str">
        <f t="array" ref="M263">IFERROR(XLOOKUP(L263,'2. DATA NL, VTBB'!C:C,'2. DATA NL, VTBB'!D:D),"")</f>
        <v/>
      </c>
      <c r="N263" s="280"/>
      <c r="O263" s="280" t="str">
        <f t="array" ref="O263">IFERROR( XLOOKUP(L263,'2. DATA NL, VTBB'!C:C,'2. DATA NL, VTBB'!E:E),"")</f>
        <v/>
      </c>
      <c r="P263" s="275" t="s">
        <v>565</v>
      </c>
      <c r="Q263" s="311"/>
      <c r="R263" s="291" t="s">
        <v>573</v>
      </c>
      <c r="S263" s="280"/>
      <c r="T263" s="277"/>
      <c r="U263" s="277"/>
      <c r="V263" s="283">
        <v>5000.0</v>
      </c>
      <c r="W263" s="275" t="s">
        <v>699</v>
      </c>
      <c r="X263" s="283">
        <v>5000.0</v>
      </c>
      <c r="Y263" s="274">
        <v>5000.0</v>
      </c>
      <c r="Z263" s="272">
        <f>3500-700</f>
        <v>2800</v>
      </c>
      <c r="AA263" s="285">
        <v>0.08</v>
      </c>
      <c r="AB263" s="282">
        <v>1.512E7</v>
      </c>
      <c r="AC263" s="277"/>
      <c r="AD263" s="289">
        <v>46038.0</v>
      </c>
      <c r="AE263" s="312"/>
      <c r="AF263" s="277"/>
      <c r="AG263" s="277"/>
      <c r="AH263" s="294">
        <f>IFERROR(__xludf.DUMMYFUNCTION("IFERROR(INDEX( SORT(FILTER(
        {'1. DATA CHUNG'!$J$4:$J$105 , '1. DATA CHUNG'!$L$4:$L$105}, (TRIM('1. DATA CHUNG'!$I$4:$I$105)=TRIM(K263)) * IF(COUNTIFS('1. DATA CHUNG'!$I$4:$I$105,K263,'1. DATA CHUNG'!$M$4:$M$105,Q263), '1. DATA CHUNG'!$M$4:$M$105=Q"&amp;"263, 1) * ('1. DATA CHUNG'!$L$4:$L$105&lt;=TODAY()) ),   2, 0),  1, 1), 
  IFERROR( INDEX(FILTER('1. DATA CHUNG'!$J$4:$J$105, (TRIM('1. DATA CHUNG'!$I$4:$I$105)=TRIM(K263)) * IF(COUNTIFS('1. DATA CHUNG'!$I$4:$I$105,K263,'1. DATA CHUNG'!$M$4:$M$105,Q263), '1."&amp;" DATA CHUNG'!$M$4:$M$105=Q263, 1) * ('1. DATA CHUNG'!$L$4:$L$105="""")), 1), ""Không tìm thấy"" ))"),7.0)</f>
        <v>7</v>
      </c>
      <c r="AI263" s="273">
        <f t="shared" si="2"/>
        <v>46045</v>
      </c>
      <c r="AJ263" s="287"/>
      <c r="AK263" s="286">
        <f t="shared" si="3"/>
        <v>0</v>
      </c>
      <c r="AL263" s="287">
        <f t="shared" si="4"/>
        <v>-1</v>
      </c>
      <c r="AM263" s="287">
        <f t="shared" si="5"/>
        <v>3</v>
      </c>
      <c r="AN263" s="279">
        <f t="shared" si="6"/>
        <v>6</v>
      </c>
      <c r="AO263" s="295" t="str">
        <f t="shared" si="7"/>
        <v>01/2026</v>
      </c>
      <c r="AP263" s="277" t="str">
        <f t="array" ref="AP263">IFERROR(XLOOKUP(L263,'2. DATA NL, VTBB'!C:C,'2. DATA NL, VTBB'!F:F),"")</f>
        <v/>
      </c>
      <c r="AQ263" s="277" t="str">
        <f t="array" ref="AQ263">IF(OR(K263="Nhãn", K263="Nhãn thùng",K263="Nhãn Túi"), K263 &amp; " " &amp; IFERROR(XLOOKUP(L263, '2. DATA NL, VTBB'!C:C, '2. DATA NL, VTBB'!E:E), ""), "")</f>
        <v/>
      </c>
      <c r="AR263" s="278" t="str">
        <f t="array" ref="AR263">IFERROR(XLOOKUP(L263,'2. DATA NL, VTBB'!C:C,'2. DATA NL, VTBB'!G:G),"")</f>
        <v/>
      </c>
      <c r="AS263" s="278" t="str">
        <f t="array" ref="AS263">IFERROR(XLOOKUP(L263,'2. DATA NL, VTBB'!C:C,'2. DATA NL, VTBB'!G:G),"")</f>
        <v/>
      </c>
      <c r="AT263" s="277"/>
    </row>
    <row r="264" ht="30.75" customHeight="1">
      <c r="A264" s="272">
        <f t="shared" si="44"/>
        <v>261</v>
      </c>
      <c r="B264" s="289">
        <v>46038.0</v>
      </c>
      <c r="C264" s="273">
        <v>46039.0</v>
      </c>
      <c r="D264" s="273">
        <f t="shared" si="59"/>
        <v>46041</v>
      </c>
      <c r="E264" s="289">
        <v>46042.0</v>
      </c>
      <c r="F264" s="274" t="s">
        <v>561</v>
      </c>
      <c r="G264" s="275" t="s">
        <v>562</v>
      </c>
      <c r="H264" s="274" t="s">
        <v>304</v>
      </c>
      <c r="I264" s="275" t="s">
        <v>726</v>
      </c>
      <c r="J264" s="272" t="s">
        <v>961</v>
      </c>
      <c r="K264" s="275" t="s">
        <v>730</v>
      </c>
      <c r="L264" s="277" t="s">
        <v>963</v>
      </c>
      <c r="M264" s="278" t="str">
        <f t="array" ref="M264">IFERROR(XLOOKUP(L264,'2. DATA NL, VTBB'!C:C,'2. DATA NL, VTBB'!D:D),"")</f>
        <v>Nắp PET cổ 35 (5gr) - Trắng</v>
      </c>
      <c r="N264" s="280"/>
      <c r="O264" s="280" t="str">
        <f t="array" ref="O264">IFERROR( XLOOKUP(L264,'2. DATA NL, VTBB'!C:C,'2. DATA NL, VTBB'!E:E),"")</f>
        <v>HAIHAMEC 3.6EC</v>
      </c>
      <c r="P264" s="275" t="s">
        <v>565</v>
      </c>
      <c r="Q264" s="311"/>
      <c r="R264" s="291" t="s">
        <v>573</v>
      </c>
      <c r="S264" s="280"/>
      <c r="T264" s="277"/>
      <c r="U264" s="277"/>
      <c r="V264" s="283">
        <v>5000.0</v>
      </c>
      <c r="W264" s="275" t="s">
        <v>699</v>
      </c>
      <c r="X264" s="283">
        <v>5000.0</v>
      </c>
      <c r="Y264" s="274">
        <v>5000.0</v>
      </c>
      <c r="Z264" s="272">
        <v>700.0</v>
      </c>
      <c r="AA264" s="285">
        <v>0.08</v>
      </c>
      <c r="AB264" s="282">
        <v>3780000.0</v>
      </c>
      <c r="AC264" s="277"/>
      <c r="AD264" s="289">
        <v>46038.0</v>
      </c>
      <c r="AE264" s="312"/>
      <c r="AF264" s="277"/>
      <c r="AG264" s="277"/>
      <c r="AH264" s="294">
        <f>IFERROR(__xludf.DUMMYFUNCTION("IFERROR(INDEX( SORT(FILTER(
        {'1. DATA CHUNG'!$J$4:$J$105 , '1. DATA CHUNG'!$L$4:$L$105}, (TRIM('1. DATA CHUNG'!$I$4:$I$105)=TRIM(K264)) * IF(COUNTIFS('1. DATA CHUNG'!$I$4:$I$105,K264,'1. DATA CHUNG'!$M$4:$M$105,Q264), '1. DATA CHUNG'!$M$4:$M$105=Q"&amp;"264, 1) * ('1. DATA CHUNG'!$L$4:$L$105&lt;=TODAY()) ),   2, 0),  1, 1), 
  IFERROR( INDEX(FILTER('1. DATA CHUNG'!$J$4:$J$105, (TRIM('1. DATA CHUNG'!$I$4:$I$105)=TRIM(K264)) * IF(COUNTIFS('1. DATA CHUNG'!$I$4:$I$105,K264,'1. DATA CHUNG'!$M$4:$M$105,Q264), '1."&amp;" DATA CHUNG'!$M$4:$M$105=Q264, 1) * ('1. DATA CHUNG'!$L$4:$L$105="""")), 1), ""Không tìm thấy"" ))"),7.0)</f>
        <v>7</v>
      </c>
      <c r="AI264" s="273">
        <f t="shared" si="2"/>
        <v>46045</v>
      </c>
      <c r="AJ264" s="287"/>
      <c r="AK264" s="286">
        <f t="shared" si="3"/>
        <v>0</v>
      </c>
      <c r="AL264" s="287">
        <f t="shared" si="4"/>
        <v>-1</v>
      </c>
      <c r="AM264" s="287">
        <f t="shared" si="5"/>
        <v>3</v>
      </c>
      <c r="AN264" s="279">
        <f t="shared" si="6"/>
        <v>6</v>
      </c>
      <c r="AO264" s="295" t="str">
        <f t="shared" si="7"/>
        <v>01/2026</v>
      </c>
      <c r="AP264" s="277" t="str">
        <f t="array" ref="AP264">IFERROR(XLOOKUP(L264,'2. DATA NL, VTBB'!C:C,'2. DATA NL, VTBB'!F:F),"")</f>
        <v>HH0169</v>
      </c>
      <c r="AQ264" s="277" t="str">
        <f t="array" ref="AQ264">IF(OR(K264="Nhãn", K264="Nhãn thùng",K264="Nhãn Túi"), K264 &amp; " " &amp; IFERROR(XLOOKUP(L264, '2. DATA NL, VTBB'!C:C, '2. DATA NL, VTBB'!E:E), ""), "")</f>
        <v/>
      </c>
      <c r="AR264" s="278" t="str">
        <f t="array" ref="AR264">IFERROR(XLOOKUP(L264,'2. DATA NL, VTBB'!C:C,'2. DATA NL, VTBB'!G:G),"")</f>
        <v>LOT IDA Global - I - 898 - ĐL Thanh Thảo - Avermetic 36 (Pet tròn) (nắp vàng)(nước nâu đen) - 450ml - 40</v>
      </c>
      <c r="AS264" s="278" t="str">
        <f t="array" ref="AS264">IFERROR(XLOOKUP(L264,'2. DATA NL, VTBB'!C:C,'2. DATA NL, VTBB'!G:G),"")</f>
        <v>LOT IDA Global - I - 898 - ĐL Thanh Thảo - Avermetic 36 (Pet tròn) (nắp vàng)(nước nâu đen) - 450ml - 40</v>
      </c>
      <c r="AT264" s="277"/>
    </row>
    <row r="265" ht="30.75" customHeight="1">
      <c r="A265" s="272">
        <f t="shared" si="44"/>
        <v>262</v>
      </c>
      <c r="B265" s="289">
        <v>46038.0</v>
      </c>
      <c r="C265" s="273">
        <v>46039.0</v>
      </c>
      <c r="D265" s="273">
        <f t="shared" si="59"/>
        <v>46041</v>
      </c>
      <c r="E265" s="289">
        <v>46044.0</v>
      </c>
      <c r="F265" s="274" t="s">
        <v>561</v>
      </c>
      <c r="G265" s="275" t="s">
        <v>562</v>
      </c>
      <c r="H265" s="274" t="s">
        <v>304</v>
      </c>
      <c r="I265" s="275" t="s">
        <v>744</v>
      </c>
      <c r="J265" s="272" t="s">
        <v>964</v>
      </c>
      <c r="K265" s="275" t="s">
        <v>728</v>
      </c>
      <c r="L265" s="277" t="s">
        <v>965</v>
      </c>
      <c r="M265" s="278" t="str">
        <f t="array" ref="M265">IFERROR(XLOOKUP(L265,'2. DATA NL, VTBB'!C:C,'2. DATA NL, VTBB'!D:D),"")</f>
        <v>Chai Pet tròn cao giả nhôm 250ml cổ 33 (35gr) Màu bạc</v>
      </c>
      <c r="N265" s="280"/>
      <c r="O265" s="280" t="str">
        <f t="array" ref="O265">IFERROR( XLOOKUP(L265,'2. DATA NL, VTBB'!C:C,'2. DATA NL, VTBB'!E:E),"")</f>
        <v>Vi lượng Quantity New</v>
      </c>
      <c r="P265" s="275" t="s">
        <v>565</v>
      </c>
      <c r="Q265" s="311"/>
      <c r="R265" s="291" t="s">
        <v>573</v>
      </c>
      <c r="S265" s="280"/>
      <c r="T265" s="277"/>
      <c r="U265" s="277"/>
      <c r="V265" s="283">
        <v>2000.0</v>
      </c>
      <c r="W265" s="275" t="s">
        <v>699</v>
      </c>
      <c r="X265" s="283">
        <v>2000.0</v>
      </c>
      <c r="Y265" s="274">
        <v>2400.0</v>
      </c>
      <c r="Z265" s="272">
        <v>3010.0</v>
      </c>
      <c r="AA265" s="285">
        <v>0.08</v>
      </c>
      <c r="AB265" s="282">
        <v>7801920.0</v>
      </c>
      <c r="AC265" s="277"/>
      <c r="AD265" s="289">
        <v>46038.0</v>
      </c>
      <c r="AE265" s="312"/>
      <c r="AF265" s="277"/>
      <c r="AG265" s="277"/>
      <c r="AH265" s="294">
        <f>IFERROR(__xludf.DUMMYFUNCTION("IFERROR(INDEX( SORT(FILTER(
        {'1. DATA CHUNG'!$J$4:$J$105 , '1. DATA CHUNG'!$L$4:$L$105}, (TRIM('1. DATA CHUNG'!$I$4:$I$105)=TRIM(K265)) * IF(COUNTIFS('1. DATA CHUNG'!$I$4:$I$105,K265,'1. DATA CHUNG'!$M$4:$M$105,Q265), '1. DATA CHUNG'!$M$4:$M$105=Q"&amp;"265, 1) * ('1. DATA CHUNG'!$L$4:$L$105&lt;=TODAY()) ),   2, 0),  1, 1), 
  IFERROR( INDEX(FILTER('1. DATA CHUNG'!$J$4:$J$105, (TRIM('1. DATA CHUNG'!$I$4:$I$105)=TRIM(K265)) * IF(COUNTIFS('1. DATA CHUNG'!$I$4:$I$105,K265,'1. DATA CHUNG'!$M$4:$M$105,Q265), '1."&amp;" DATA CHUNG'!$M$4:$M$105=Q265, 1) * ('1. DATA CHUNG'!$L$4:$L$105="""")), 1), ""Không tìm thấy"" ))"),7.0)</f>
        <v>7</v>
      </c>
      <c r="AI265" s="273">
        <f t="shared" si="2"/>
        <v>46045</v>
      </c>
      <c r="AJ265" s="287"/>
      <c r="AK265" s="286">
        <f t="shared" si="3"/>
        <v>0</v>
      </c>
      <c r="AL265" s="287">
        <f t="shared" si="4"/>
        <v>-3</v>
      </c>
      <c r="AM265" s="287">
        <f t="shared" si="5"/>
        <v>1</v>
      </c>
      <c r="AN265" s="279">
        <f t="shared" si="6"/>
        <v>6</v>
      </c>
      <c r="AO265" s="295" t="str">
        <f t="shared" si="7"/>
        <v>01/2026</v>
      </c>
      <c r="AP265" s="277" t="str">
        <f t="array" ref="AP265">IFERROR(XLOOKUP(L265,'2. DATA NL, VTBB'!C:C,'2. DATA NL, VTBB'!F:F),"")</f>
        <v>HH0082</v>
      </c>
      <c r="AQ265" s="277" t="str">
        <f t="array" ref="AQ265">IF(OR(K265="Nhãn", K265="Nhãn thùng",K265="Nhãn Túi"), K265 &amp; " " &amp; IFERROR(XLOOKUP(L265, '2. DATA NL, VTBB'!C:C, '2. DATA NL, VTBB'!E:E), ""), "")</f>
        <v/>
      </c>
      <c r="AR265" s="278" t="str">
        <f t="array" ref="AR265">IFERROR(XLOOKUP(L265,'2. DATA NL, VTBB'!C:C,'2. DATA NL, VTBB'!G:G),"")</f>
        <v>GC - II - 581 - A Thời GNH - Bung Chồi Vọt Đọt (Cây có múi) (Chai HD) - 500ml - 40</v>
      </c>
      <c r="AS265" s="278" t="str">
        <f t="array" ref="AS265">IFERROR(XLOOKUP(L265,'2. DATA NL, VTBB'!C:C,'2. DATA NL, VTBB'!G:G),"")</f>
        <v>GC - II - 581 - A Thời GNH - Bung Chồi Vọt Đọt (Cây có múi) (Chai HD) - 500ml - 40</v>
      </c>
      <c r="AT265" s="277"/>
    </row>
    <row r="266" ht="30.75" customHeight="1">
      <c r="A266" s="272">
        <f t="shared" si="44"/>
        <v>263</v>
      </c>
      <c r="B266" s="289">
        <v>46038.0</v>
      </c>
      <c r="C266" s="273">
        <v>46039.0</v>
      </c>
      <c r="D266" s="273">
        <f t="shared" si="59"/>
        <v>46041</v>
      </c>
      <c r="E266" s="289">
        <v>46044.0</v>
      </c>
      <c r="F266" s="274" t="s">
        <v>561</v>
      </c>
      <c r="G266" s="275" t="s">
        <v>562</v>
      </c>
      <c r="H266" s="274" t="s">
        <v>304</v>
      </c>
      <c r="I266" s="275" t="s">
        <v>744</v>
      </c>
      <c r="J266" s="272" t="s">
        <v>964</v>
      </c>
      <c r="K266" s="275" t="s">
        <v>730</v>
      </c>
      <c r="L266" s="277" t="s">
        <v>966</v>
      </c>
      <c r="M266" s="278" t="str">
        <f t="array" ref="M266">IFERROR(XLOOKUP(L266,'2. DATA NL, VTBB'!C:C,'2. DATA NL, VTBB'!D:D),"")</f>
        <v>Nắp PET cổ 33 (7.5g) - Màu Trắng</v>
      </c>
      <c r="N266" s="280"/>
      <c r="O266" s="280" t="str">
        <f t="array" ref="O266">IFERROR( XLOOKUP(L266,'2. DATA NL, VTBB'!C:C,'2. DATA NL, VTBB'!E:E),"")</f>
        <v>IMIPRID 10WP</v>
      </c>
      <c r="P266" s="275" t="s">
        <v>565</v>
      </c>
      <c r="Q266" s="311"/>
      <c r="R266" s="291" t="s">
        <v>573</v>
      </c>
      <c r="S266" s="280"/>
      <c r="T266" s="277"/>
      <c r="U266" s="277"/>
      <c r="V266" s="283">
        <v>2000.0</v>
      </c>
      <c r="W266" s="275" t="s">
        <v>699</v>
      </c>
      <c r="X266" s="283">
        <v>2000.0</v>
      </c>
      <c r="Y266" s="274">
        <v>2400.0</v>
      </c>
      <c r="Z266" s="272">
        <v>500.0</v>
      </c>
      <c r="AA266" s="285">
        <v>0.08</v>
      </c>
      <c r="AB266" s="282">
        <v>1296000.0</v>
      </c>
      <c r="AC266" s="277"/>
      <c r="AD266" s="289">
        <v>46038.0</v>
      </c>
      <c r="AE266" s="312"/>
      <c r="AF266" s="277"/>
      <c r="AG266" s="277"/>
      <c r="AH266" s="294">
        <f>IFERROR(__xludf.DUMMYFUNCTION("IFERROR(INDEX( SORT(FILTER(
        {'1. DATA CHUNG'!$J$4:$J$105 , '1. DATA CHUNG'!$L$4:$L$105}, (TRIM('1. DATA CHUNG'!$I$4:$I$105)=TRIM(K266)) * IF(COUNTIFS('1. DATA CHUNG'!$I$4:$I$105,K266,'1. DATA CHUNG'!$M$4:$M$105,Q266), '1. DATA CHUNG'!$M$4:$M$105=Q"&amp;"266, 1) * ('1. DATA CHUNG'!$L$4:$L$105&lt;=TODAY()) ),   2, 0),  1, 1), 
  IFERROR( INDEX(FILTER('1. DATA CHUNG'!$J$4:$J$105, (TRIM('1. DATA CHUNG'!$I$4:$I$105)=TRIM(K266)) * IF(COUNTIFS('1. DATA CHUNG'!$I$4:$I$105,K266,'1. DATA CHUNG'!$M$4:$M$105,Q266), '1."&amp;" DATA CHUNG'!$M$4:$M$105=Q266, 1) * ('1. DATA CHUNG'!$L$4:$L$105="""")), 1), ""Không tìm thấy"" ))"),7.0)</f>
        <v>7</v>
      </c>
      <c r="AI266" s="273">
        <f t="shared" si="2"/>
        <v>46045</v>
      </c>
      <c r="AJ266" s="287"/>
      <c r="AK266" s="286">
        <f t="shared" si="3"/>
        <v>0</v>
      </c>
      <c r="AL266" s="287">
        <f t="shared" si="4"/>
        <v>-3</v>
      </c>
      <c r="AM266" s="287">
        <f t="shared" si="5"/>
        <v>1</v>
      </c>
      <c r="AN266" s="279">
        <f t="shared" si="6"/>
        <v>6</v>
      </c>
      <c r="AO266" s="295" t="str">
        <f t="shared" si="7"/>
        <v>01/2026</v>
      </c>
      <c r="AP266" s="277" t="str">
        <f t="array" ref="AP266">IFERROR(XLOOKUP(L266,'2. DATA NL, VTBB'!C:C,'2. DATA NL, VTBB'!F:F),"")</f>
        <v>HH0162</v>
      </c>
      <c r="AQ266" s="277" t="str">
        <f t="array" ref="AQ266">IF(OR(K266="Nhãn", K266="Nhãn thùng",K266="Nhãn Túi"), K266 &amp; " " &amp; IFERROR(XLOOKUP(L266, '2. DATA NL, VTBB'!C:C, '2. DATA NL, VTBB'!E:E), ""), "")</f>
        <v/>
      </c>
      <c r="AR266" s="278" t="str">
        <f t="array" ref="AR266">IFERROR(XLOOKUP(L266,'2. DATA NL, VTBB'!C:C,'2. DATA NL, VTBB'!G:G),"")</f>
        <v>GC - IV - 888 - Huy Phát - BI Pro Max - 100gr - 150</v>
      </c>
      <c r="AS266" s="278" t="str">
        <f t="array" ref="AS266">IFERROR(XLOOKUP(L266,'2. DATA NL, VTBB'!C:C,'2. DATA NL, VTBB'!G:G),"")</f>
        <v>GC - IV - 888 - Huy Phát - BI Pro Max - 100gr - 150</v>
      </c>
      <c r="AT266" s="277"/>
    </row>
    <row r="267" ht="30.75" customHeight="1">
      <c r="A267" s="272">
        <f t="shared" si="44"/>
        <v>264</v>
      </c>
      <c r="B267" s="289">
        <v>46038.0</v>
      </c>
      <c r="C267" s="273">
        <v>46039.0</v>
      </c>
      <c r="D267" s="273">
        <f t="shared" si="59"/>
        <v>46041</v>
      </c>
      <c r="E267" s="289">
        <v>46044.0</v>
      </c>
      <c r="F267" s="274" t="s">
        <v>561</v>
      </c>
      <c r="G267" s="275" t="s">
        <v>562</v>
      </c>
      <c r="H267" s="274" t="s">
        <v>304</v>
      </c>
      <c r="I267" s="275" t="s">
        <v>744</v>
      </c>
      <c r="J267" s="272" t="s">
        <v>964</v>
      </c>
      <c r="K267" s="275" t="s">
        <v>732</v>
      </c>
      <c r="L267" s="277" t="s">
        <v>967</v>
      </c>
      <c r="M267" s="278" t="str">
        <f t="array" ref="M267">IFERROR(XLOOKUP(L267,'2. DATA NL, VTBB'!C:C,'2. DATA NL, VTBB'!D:D),"")</f>
        <v>Cốc đong cổ 33 20ml - Trắng trong</v>
      </c>
      <c r="N267" s="280"/>
      <c r="O267" s="280" t="str">
        <f t="array" ref="O267">IFERROR( XLOOKUP(L267,'2. DATA NL, VTBB'!C:C,'2. DATA NL, VTBB'!E:E),"")</f>
        <v>Remy 19EC</v>
      </c>
      <c r="P267" s="275" t="s">
        <v>565</v>
      </c>
      <c r="Q267" s="311"/>
      <c r="R267" s="291" t="s">
        <v>573</v>
      </c>
      <c r="S267" s="280"/>
      <c r="T267" s="277"/>
      <c r="U267" s="277"/>
      <c r="V267" s="283">
        <v>2000.0</v>
      </c>
      <c r="W267" s="275" t="s">
        <v>699</v>
      </c>
      <c r="X267" s="283">
        <v>2000.0</v>
      </c>
      <c r="Y267" s="274">
        <v>2400.0</v>
      </c>
      <c r="Z267" s="272">
        <v>300.0</v>
      </c>
      <c r="AA267" s="285">
        <v>0.08</v>
      </c>
      <c r="AB267" s="282">
        <v>777600.0</v>
      </c>
      <c r="AC267" s="277"/>
      <c r="AD267" s="289">
        <v>46038.0</v>
      </c>
      <c r="AE267" s="312"/>
      <c r="AF267" s="277"/>
      <c r="AG267" s="277"/>
      <c r="AH267" s="294">
        <f>IFERROR(__xludf.DUMMYFUNCTION("IFERROR(INDEX( SORT(FILTER(
        {'1. DATA CHUNG'!$J$4:$J$105 , '1. DATA CHUNG'!$L$4:$L$105}, (TRIM('1. DATA CHUNG'!$I$4:$I$105)=TRIM(K267)) * IF(COUNTIFS('1. DATA CHUNG'!$I$4:$I$105,K267,'1. DATA CHUNG'!$M$4:$M$105,Q267), '1. DATA CHUNG'!$M$4:$M$105=Q"&amp;"267, 1) * ('1. DATA CHUNG'!$L$4:$L$105&lt;=TODAY()) ),   2, 0),  1, 1), 
  IFERROR( INDEX(FILTER('1. DATA CHUNG'!$J$4:$J$105, (TRIM('1. DATA CHUNG'!$I$4:$I$105)=TRIM(K267)) * IF(COUNTIFS('1. DATA CHUNG'!$I$4:$I$105,K267,'1. DATA CHUNG'!$M$4:$M$105,Q267), '1."&amp;" DATA CHUNG'!$M$4:$M$105=Q267, 1) * ('1. DATA CHUNG'!$L$4:$L$105="""")), 1), ""Không tìm thấy"" ))"),7.0)</f>
        <v>7</v>
      </c>
      <c r="AI267" s="273">
        <f t="shared" si="2"/>
        <v>46045</v>
      </c>
      <c r="AJ267" s="287"/>
      <c r="AK267" s="286">
        <f t="shared" si="3"/>
        <v>0</v>
      </c>
      <c r="AL267" s="287">
        <f t="shared" si="4"/>
        <v>-3</v>
      </c>
      <c r="AM267" s="287">
        <f t="shared" si="5"/>
        <v>1</v>
      </c>
      <c r="AN267" s="279">
        <f t="shared" si="6"/>
        <v>6</v>
      </c>
      <c r="AO267" s="295" t="str">
        <f t="shared" si="7"/>
        <v>01/2026</v>
      </c>
      <c r="AP267" s="277" t="str">
        <f t="array" ref="AP267">IFERROR(XLOOKUP(L267,'2. DATA NL, VTBB'!C:C,'2. DATA NL, VTBB'!F:F),"")</f>
        <v>HH0007</v>
      </c>
      <c r="AQ267" s="277" t="str">
        <f t="array" ref="AQ267">IF(OR(K267="Nhãn", K267="Nhãn thùng",K267="Nhãn Túi"), K267 &amp; " " &amp; IFERROR(XLOOKUP(L267, '2. DATA NL, VTBB'!C:C, '2. DATA NL, VTBB'!E:E), ""), "")</f>
        <v/>
      </c>
      <c r="AR267" s="278" t="str">
        <f t="array" ref="AR267">IFERROR(XLOOKUP(L267,'2. DATA NL, VTBB'!C:C,'2. DATA NL, VTBB'!G:G),"")</f>
        <v>GC - IV - 850 - Huy Phát - Hufatin (PET vuông) - 450ml - 40</v>
      </c>
      <c r="AS267" s="278" t="str">
        <f t="array" ref="AS267">IFERROR(XLOOKUP(L267,'2. DATA NL, VTBB'!C:C,'2. DATA NL, VTBB'!G:G),"")</f>
        <v>GC - IV - 850 - Huy Phát - Hufatin (PET vuông) - 450ml - 40</v>
      </c>
      <c r="AT267" s="277"/>
    </row>
    <row r="268" ht="30.75" customHeight="1">
      <c r="A268" s="272">
        <f t="shared" si="44"/>
        <v>265</v>
      </c>
      <c r="B268" s="289">
        <v>46038.0</v>
      </c>
      <c r="C268" s="317"/>
      <c r="D268" s="317"/>
      <c r="E268" s="289">
        <v>46049.0</v>
      </c>
      <c r="F268" s="274" t="s">
        <v>561</v>
      </c>
      <c r="G268" s="275" t="s">
        <v>580</v>
      </c>
      <c r="H268" s="274" t="s">
        <v>304</v>
      </c>
      <c r="I268" s="275" t="s">
        <v>968</v>
      </c>
      <c r="J268" s="272" t="s">
        <v>969</v>
      </c>
      <c r="K268" s="275" t="s">
        <v>874</v>
      </c>
      <c r="L268" s="277" t="s">
        <v>970</v>
      </c>
      <c r="M268" s="278" t="str">
        <f t="array" ref="M268">IFERROR(XLOOKUP(L268,'2. DATA NL, VTBB'!C:C,'2. DATA NL, VTBB'!D:D),"")</f>
        <v>[HỘP] DA Global - I - 4652 - USASTANO 500WP (Bột vàng) - 12gr - 50</v>
      </c>
      <c r="N268" s="280"/>
      <c r="O268" s="280" t="str">
        <f t="array" ref="O268">IFERROR( XLOOKUP(L268,'2. DATA NL, VTBB'!C:C,'2. DATA NL, VTBB'!E:E),"")</f>
        <v>USASTANO 500WP</v>
      </c>
      <c r="P268" s="275" t="s">
        <v>565</v>
      </c>
      <c r="Q268" s="311"/>
      <c r="R268" s="291" t="s">
        <v>622</v>
      </c>
      <c r="S268" s="280"/>
      <c r="T268" s="277"/>
      <c r="U268" s="277"/>
      <c r="V268" s="283">
        <v>2000.0</v>
      </c>
      <c r="W268" s="275" t="s">
        <v>699</v>
      </c>
      <c r="X268" s="283">
        <v>2000.0</v>
      </c>
      <c r="Y268" s="274">
        <v>2000.0</v>
      </c>
      <c r="Z268" s="272">
        <v>7500.0</v>
      </c>
      <c r="AA268" s="285">
        <v>0.08</v>
      </c>
      <c r="AB268" s="282">
        <v>1.62E7</v>
      </c>
      <c r="AC268" s="277"/>
      <c r="AD268" s="289">
        <v>46038.0</v>
      </c>
      <c r="AE268" s="312"/>
      <c r="AF268" s="277"/>
      <c r="AG268" s="277"/>
      <c r="AH268" s="294">
        <f>IFERROR(__xludf.DUMMYFUNCTION("IFERROR(INDEX( SORT(FILTER(
        {'1. DATA CHUNG'!$J$4:$J$105 , '1. DATA CHUNG'!$L$4:$L$105}, (TRIM('1. DATA CHUNG'!$I$4:$I$105)=TRIM(K268)) * IF(COUNTIFS('1. DATA CHUNG'!$I$4:$I$105,K268,'1. DATA CHUNG'!$M$4:$M$105,Q268), '1. DATA CHUNG'!$M$4:$M$105=Q"&amp;"268, 1) * ('1. DATA CHUNG'!$L$4:$L$105&lt;=TODAY()) ),   2, 0),  1, 1), 
  IFERROR( INDEX(FILTER('1. DATA CHUNG'!$J$4:$J$105, (TRIM('1. DATA CHUNG'!$I$4:$I$105)=TRIM(K268)) * IF(COUNTIFS('1. DATA CHUNG'!$I$4:$I$105,K268,'1. DATA CHUNG'!$M$4:$M$105,Q268), '1."&amp;" DATA CHUNG'!$M$4:$M$105=Q268, 1) * ('1. DATA CHUNG'!$L$4:$L$105="""")), 1), ""Không tìm thấy"" ))"),15.0)</f>
        <v>15</v>
      </c>
      <c r="AI268" s="273">
        <f t="shared" si="2"/>
        <v>46053</v>
      </c>
      <c r="AJ268" s="287"/>
      <c r="AK268" s="286">
        <f t="shared" si="3"/>
        <v>0</v>
      </c>
      <c r="AL268" s="287" t="str">
        <f t="shared" si="4"/>
        <v/>
      </c>
      <c r="AM268" s="287">
        <f t="shared" si="5"/>
        <v>4</v>
      </c>
      <c r="AN268" s="279" t="str">
        <f t="shared" si="6"/>
        <v/>
      </c>
      <c r="AO268" s="295" t="str">
        <f t="shared" si="7"/>
        <v>01/2026</v>
      </c>
      <c r="AP268" s="277" t="str">
        <f t="array" ref="AP268">IFERROR(XLOOKUP(L268,'2. DATA NL, VTBB'!C:C,'2. DATA NL, VTBB'!F:F),"")</f>
        <v>HH4652</v>
      </c>
      <c r="AQ268" s="277" t="str">
        <f t="array" ref="AQ268">IF(OR(K268="Nhãn", K268="Nhãn thùng",K268="Nhãn Túi"), K268 &amp; " " &amp; IFERROR(XLOOKUP(L268, '2. DATA NL, VTBB'!C:C, '2. DATA NL, VTBB'!E:E), ""), "")</f>
        <v/>
      </c>
      <c r="AR268" s="278" t="str">
        <f t="array" ref="AR268">IFERROR(XLOOKUP(L268,'2. DATA NL, VTBB'!C:C,'2. DATA NL, VTBB'!G:G),"")</f>
        <v>DA Global - I - 4652 - USASTANO 500WP (Bột vàng) - 12gr - 400</v>
      </c>
      <c r="AS268" s="278" t="str">
        <f t="array" ref="AS268">IFERROR(XLOOKUP(L268,'2. DATA NL, VTBB'!C:C,'2. DATA NL, VTBB'!G:G),"")</f>
        <v>DA Global - I - 4652 - USASTANO 500WP (Bột vàng) - 12gr - 400</v>
      </c>
      <c r="AT268" s="277"/>
    </row>
    <row r="269" ht="30.75" customHeight="1">
      <c r="A269" s="272">
        <f t="shared" si="44"/>
        <v>266</v>
      </c>
      <c r="B269" s="289">
        <v>46041.0</v>
      </c>
      <c r="C269" s="289">
        <v>46048.0</v>
      </c>
      <c r="D269" s="289">
        <f>B269+15</f>
        <v>46056</v>
      </c>
      <c r="E269" s="289">
        <v>46056.0</v>
      </c>
      <c r="F269" s="274" t="s">
        <v>561</v>
      </c>
      <c r="G269" s="275" t="s">
        <v>580</v>
      </c>
      <c r="H269" s="274" t="s">
        <v>304</v>
      </c>
      <c r="I269" s="275" t="s">
        <v>305</v>
      </c>
      <c r="J269" s="272" t="s">
        <v>971</v>
      </c>
      <c r="K269" s="275" t="s">
        <v>301</v>
      </c>
      <c r="L269" s="277" t="s">
        <v>972</v>
      </c>
      <c r="M269" s="278" t="str">
        <f t="array" ref="M269">IFERROR(XLOOKUP(L269,'2. DATA NL, VTBB'!C:C,'2. DATA NL, VTBB'!D:D),"")</f>
        <v>Thùng IDA gói 12gr x 400 gói (45x39x31cm) - Trắng xanh lá</v>
      </c>
      <c r="N269" s="280"/>
      <c r="O269" s="280" t="str">
        <f t="array" ref="O269">IFERROR( XLOOKUP(L269,'2. DATA NL, VTBB'!C:C,'2. DATA NL, VTBB'!E:E),"")</f>
        <v>Vi lượng Quantity New</v>
      </c>
      <c r="P269" s="275" t="s">
        <v>565</v>
      </c>
      <c r="Q269" s="311"/>
      <c r="R269" s="291" t="s">
        <v>622</v>
      </c>
      <c r="S269" s="280"/>
      <c r="T269" s="277"/>
      <c r="U269" s="277"/>
      <c r="V269" s="283">
        <v>300.0</v>
      </c>
      <c r="W269" s="275" t="s">
        <v>699</v>
      </c>
      <c r="X269" s="283">
        <v>300.0</v>
      </c>
      <c r="Y269" s="274">
        <v>300.0</v>
      </c>
      <c r="Z269" s="272">
        <v>20950.0</v>
      </c>
      <c r="AA269" s="285">
        <v>0.08</v>
      </c>
      <c r="AB269" s="282">
        <v>6787800.0</v>
      </c>
      <c r="AC269" s="277"/>
      <c r="AD269" s="289">
        <v>46041.0</v>
      </c>
      <c r="AE269" s="312"/>
      <c r="AF269" s="277"/>
      <c r="AG269" s="277"/>
      <c r="AH269" s="294">
        <f>IFERROR(__xludf.DUMMYFUNCTION("IFERROR(INDEX( SORT(FILTER(
        {'1. DATA CHUNG'!$J$4:$J$105 , '1. DATA CHUNG'!$L$4:$L$105}, (TRIM('1. DATA CHUNG'!$I$4:$I$105)=TRIM(K269)) * IF(COUNTIFS('1. DATA CHUNG'!$I$4:$I$105,K269,'1. DATA CHUNG'!$M$4:$M$105,Q269), '1. DATA CHUNG'!$M$4:$M$105=Q"&amp;"269, 1) * ('1. DATA CHUNG'!$L$4:$L$105&lt;=TODAY()) ),   2, 0),  1, 1), 
  IFERROR( INDEX(FILTER('1. DATA CHUNG'!$J$4:$J$105, (TRIM('1. DATA CHUNG'!$I$4:$I$105)=TRIM(K269)) * IF(COUNTIFS('1. DATA CHUNG'!$I$4:$I$105,K269,'1. DATA CHUNG'!$M$4:$M$105,Q269), '1."&amp;" DATA CHUNG'!$M$4:$M$105=Q269, 1) * ('1. DATA CHUNG'!$L$4:$L$105="""")), 1), ""Không tìm thấy"" ))"),18.0)</f>
        <v>18</v>
      </c>
      <c r="AI269" s="273">
        <f t="shared" si="2"/>
        <v>46059</v>
      </c>
      <c r="AJ269" s="287"/>
      <c r="AK269" s="286">
        <f t="shared" si="3"/>
        <v>0</v>
      </c>
      <c r="AL269" s="287">
        <f t="shared" si="4"/>
        <v>0</v>
      </c>
      <c r="AM269" s="287">
        <f t="shared" si="5"/>
        <v>3</v>
      </c>
      <c r="AN269" s="279">
        <f t="shared" si="6"/>
        <v>11</v>
      </c>
      <c r="AO269" s="295" t="str">
        <f t="shared" si="7"/>
        <v>01/2026</v>
      </c>
      <c r="AP269" s="277" t="str">
        <f t="array" ref="AP269">IFERROR(XLOOKUP(L269,'2. DATA NL, VTBB'!C:C,'2. DATA NL, VTBB'!F:F),"")</f>
        <v>HH0278</v>
      </c>
      <c r="AQ269" s="277" t="str">
        <f t="array" ref="AQ269">IF(OR(K269="Nhãn", K269="Nhãn thùng",K269="Nhãn Túi"), K269 &amp; " " &amp; IFERROR(XLOOKUP(L269, '2. DATA NL, VTBB'!C:C, '2. DATA NL, VTBB'!E:E), ""), "")</f>
        <v/>
      </c>
      <c r="AR269" s="278" t="str">
        <f t="array" ref="AR269">IFERROR(XLOOKUP(L269,'2. DATA NL, VTBB'!C:C,'2. DATA NL, VTBB'!G:G),"")</f>
        <v>GC - II - 693 - A Thời GNH - Siêu bung đọt mai (chai HD) - 1L - 20</v>
      </c>
      <c r="AS269" s="278" t="str">
        <f t="array" ref="AS269">IFERROR(XLOOKUP(L269,'2. DATA NL, VTBB'!C:C,'2. DATA NL, VTBB'!G:G),"")</f>
        <v>GC - II - 693 - A Thời GNH - Siêu bung đọt mai (chai HD) - 1L - 20</v>
      </c>
      <c r="AT269" s="277"/>
    </row>
    <row r="270" ht="30.75" customHeight="1">
      <c r="A270" s="272">
        <f t="shared" si="44"/>
        <v>267</v>
      </c>
      <c r="B270" s="289">
        <v>46041.0</v>
      </c>
      <c r="C270" s="289">
        <v>46048.0</v>
      </c>
      <c r="D270" s="289">
        <f>B270+17</f>
        <v>46058</v>
      </c>
      <c r="E270" s="289">
        <v>46058.0</v>
      </c>
      <c r="F270" s="274" t="s">
        <v>561</v>
      </c>
      <c r="G270" s="275" t="s">
        <v>562</v>
      </c>
      <c r="H270" s="274" t="s">
        <v>304</v>
      </c>
      <c r="I270" s="275" t="s">
        <v>305</v>
      </c>
      <c r="J270" s="272" t="s">
        <v>973</v>
      </c>
      <c r="K270" s="275" t="s">
        <v>301</v>
      </c>
      <c r="L270" s="277" t="s">
        <v>578</v>
      </c>
      <c r="M270" s="278" t="str">
        <f t="array" ref="M270">IFERROR(XLOOKUP(L270,'2. DATA NL, VTBB'!C:C,'2. DATA NL, VTBB'!D:D),"")</f>
        <v>Thùng DC Chai Pet Tròn 43 450ml-500ml - 61.5x38.5x19 - Trắng</v>
      </c>
      <c r="N270" s="280"/>
      <c r="O270" s="280" t="str">
        <f t="array" ref="O270">IFERROR( XLOOKUP(L270,'2. DATA NL, VTBB'!C:C,'2. DATA NL, VTBB'!E:E),"")</f>
        <v>Vi lượng AV4</v>
      </c>
      <c r="P270" s="275" t="s">
        <v>565</v>
      </c>
      <c r="Q270" s="311"/>
      <c r="R270" s="291" t="s">
        <v>573</v>
      </c>
      <c r="S270" s="280"/>
      <c r="T270" s="277"/>
      <c r="U270" s="277"/>
      <c r="V270" s="283">
        <v>300.0</v>
      </c>
      <c r="W270" s="275" t="s">
        <v>699</v>
      </c>
      <c r="X270" s="283">
        <v>300.0</v>
      </c>
      <c r="Y270" s="274">
        <v>300.0</v>
      </c>
      <c r="Z270" s="272">
        <v>21700.0</v>
      </c>
      <c r="AA270" s="285">
        <v>0.08</v>
      </c>
      <c r="AB270" s="282">
        <v>7030800.0</v>
      </c>
      <c r="AC270" s="277"/>
      <c r="AD270" s="289">
        <v>46041.0</v>
      </c>
      <c r="AE270" s="312"/>
      <c r="AF270" s="277"/>
      <c r="AG270" s="277"/>
      <c r="AH270" s="294">
        <f>IFERROR(__xludf.DUMMYFUNCTION("IFERROR(INDEX( SORT(FILTER(
        {'1. DATA CHUNG'!$J$4:$J$105 , '1. DATA CHUNG'!$L$4:$L$105}, (TRIM('1. DATA CHUNG'!$I$4:$I$105)=TRIM(K270)) * IF(COUNTIFS('1. DATA CHUNG'!$I$4:$I$105,K270,'1. DATA CHUNG'!$M$4:$M$105,Q270), '1. DATA CHUNG'!$M$4:$M$105=Q"&amp;"270, 1) * ('1. DATA CHUNG'!$L$4:$L$105&lt;=TODAY()) ),   2, 0),  1, 1), 
  IFERROR( INDEX(FILTER('1. DATA CHUNG'!$J$4:$J$105, (TRIM('1. DATA CHUNG'!$I$4:$I$105)=TRIM(K270)) * IF(COUNTIFS('1. DATA CHUNG'!$I$4:$I$105,K270,'1. DATA CHUNG'!$M$4:$M$105,Q270), '1."&amp;" DATA CHUNG'!$M$4:$M$105=Q270, 1) * ('1. DATA CHUNG'!$L$4:$L$105="""")), 1), ""Không tìm thấy"" ))"),18.0)</f>
        <v>18</v>
      </c>
      <c r="AI270" s="273">
        <f t="shared" si="2"/>
        <v>46059</v>
      </c>
      <c r="AJ270" s="287"/>
      <c r="AK270" s="286">
        <f t="shared" si="3"/>
        <v>0</v>
      </c>
      <c r="AL270" s="287">
        <f t="shared" si="4"/>
        <v>0</v>
      </c>
      <c r="AM270" s="287">
        <f t="shared" si="5"/>
        <v>1</v>
      </c>
      <c r="AN270" s="279">
        <f t="shared" si="6"/>
        <v>11</v>
      </c>
      <c r="AO270" s="295" t="str">
        <f t="shared" si="7"/>
        <v>01/2026</v>
      </c>
      <c r="AP270" s="277" t="str">
        <f t="array" ref="AP270">IFERROR(XLOOKUP(L270,'2. DATA NL, VTBB'!C:C,'2. DATA NL, VTBB'!F:F),"")</f>
        <v>HH0004</v>
      </c>
      <c r="AQ270" s="277" t="str">
        <f t="array" ref="AQ270">IF(OR(K270="Nhãn", K270="Nhãn thùng",K270="Nhãn Túi"), K270 &amp; " " &amp; IFERROR(XLOOKUP(L270, '2. DATA NL, VTBB'!C:C, '2. DATA NL, VTBB'!E:E), ""), "")</f>
        <v/>
      </c>
      <c r="AR270" s="278" t="str">
        <f t="array" ref="AR270">IFERROR(XLOOKUP(L270,'2. DATA NL, VTBB'!C:C,'2. DATA NL, VTBB'!G:G),"")</f>
        <v>GC - II - 24 - Aqua Gold ra bông xoài 1kg -25</v>
      </c>
      <c r="AS270" s="278" t="str">
        <f t="array" ref="AS270">IFERROR(XLOOKUP(L270,'2. DATA NL, VTBB'!C:C,'2. DATA NL, VTBB'!G:G),"")</f>
        <v>GC - II - 24 - Aqua Gold ra bông xoài 1kg -25</v>
      </c>
      <c r="AT270" s="277"/>
    </row>
    <row r="271" ht="30.75" customHeight="1">
      <c r="A271" s="272">
        <f t="shared" si="44"/>
        <v>268</v>
      </c>
      <c r="B271" s="289">
        <v>46041.0</v>
      </c>
      <c r="C271" s="289">
        <v>46048.0</v>
      </c>
      <c r="D271" s="289">
        <f>B271+15</f>
        <v>46056</v>
      </c>
      <c r="E271" s="289">
        <v>46056.0</v>
      </c>
      <c r="F271" s="274" t="s">
        <v>561</v>
      </c>
      <c r="G271" s="275" t="s">
        <v>562</v>
      </c>
      <c r="H271" s="274" t="s">
        <v>304</v>
      </c>
      <c r="I271" s="275" t="s">
        <v>305</v>
      </c>
      <c r="J271" s="272" t="s">
        <v>974</v>
      </c>
      <c r="K271" s="275" t="s">
        <v>301</v>
      </c>
      <c r="L271" s="277" t="s">
        <v>975</v>
      </c>
      <c r="M271" s="278" t="str">
        <f t="array" ref="M271">IFERROR(XLOOKUP(L271,'2. DATA NL, VTBB'!C:C,'2. DATA NL, VTBB'!D:D),"")</f>
        <v>Thùng Sen Hồng 1kg x 20 gói (50x35x28.5cm) - Trắng viền xanh lá</v>
      </c>
      <c r="N271" s="280"/>
      <c r="O271" s="280" t="str">
        <f t="array" ref="O271">IFERROR( XLOOKUP(L271,'2. DATA NL, VTBB'!C:C,'2. DATA NL, VTBB'!E:E),"")</f>
        <v>Tikabamec 3.6EC</v>
      </c>
      <c r="P271" s="275" t="s">
        <v>565</v>
      </c>
      <c r="Q271" s="311"/>
      <c r="R271" s="290" t="s">
        <v>976</v>
      </c>
      <c r="S271" s="280"/>
      <c r="T271" s="277"/>
      <c r="U271" s="277"/>
      <c r="V271" s="283">
        <v>100.0</v>
      </c>
      <c r="W271" s="275" t="s">
        <v>699</v>
      </c>
      <c r="X271" s="283">
        <v>100.0</v>
      </c>
      <c r="Y271" s="274">
        <v>100.0</v>
      </c>
      <c r="Z271" s="272">
        <v>22800.0</v>
      </c>
      <c r="AA271" s="285">
        <v>0.08</v>
      </c>
      <c r="AB271" s="282">
        <v>2462400.0</v>
      </c>
      <c r="AC271" s="277"/>
      <c r="AD271" s="289">
        <v>46041.0</v>
      </c>
      <c r="AE271" s="312"/>
      <c r="AF271" s="277"/>
      <c r="AG271" s="277"/>
      <c r="AH271" s="294">
        <f>IFERROR(__xludf.DUMMYFUNCTION("IFERROR(INDEX( SORT(FILTER(
        {'1. DATA CHUNG'!$J$4:$J$105 , '1. DATA CHUNG'!$L$4:$L$105}, (TRIM('1. DATA CHUNG'!$I$4:$I$105)=TRIM(K271)) * IF(COUNTIFS('1. DATA CHUNG'!$I$4:$I$105,K271,'1. DATA CHUNG'!$M$4:$M$105,Q271), '1. DATA CHUNG'!$M$4:$M$105=Q"&amp;"271, 1) * ('1. DATA CHUNG'!$L$4:$L$105&lt;=TODAY()) ),   2, 0),  1, 1), 
  IFERROR( INDEX(FILTER('1. DATA CHUNG'!$J$4:$J$105, (TRIM('1. DATA CHUNG'!$I$4:$I$105)=TRIM(K271)) * IF(COUNTIFS('1. DATA CHUNG'!$I$4:$I$105,K271,'1. DATA CHUNG'!$M$4:$M$105,Q271), '1."&amp;" DATA CHUNG'!$M$4:$M$105=Q271, 1) * ('1. DATA CHUNG'!$L$4:$L$105="""")), 1), ""Không tìm thấy"" ))"),18.0)</f>
        <v>18</v>
      </c>
      <c r="AI271" s="273">
        <f t="shared" si="2"/>
        <v>46059</v>
      </c>
      <c r="AJ271" s="287"/>
      <c r="AK271" s="286">
        <f t="shared" si="3"/>
        <v>0</v>
      </c>
      <c r="AL271" s="287">
        <f t="shared" si="4"/>
        <v>0</v>
      </c>
      <c r="AM271" s="287">
        <f t="shared" si="5"/>
        <v>3</v>
      </c>
      <c r="AN271" s="279">
        <f t="shared" si="6"/>
        <v>11</v>
      </c>
      <c r="AO271" s="295" t="str">
        <f t="shared" si="7"/>
        <v>01/2026</v>
      </c>
      <c r="AP271" s="277" t="str">
        <f t="array" ref="AP271">IFERROR(XLOOKUP(L271,'2. DATA NL, VTBB'!C:C,'2. DATA NL, VTBB'!F:F),"")</f>
        <v>HH0279</v>
      </c>
      <c r="AQ271" s="277" t="str">
        <f t="array" ref="AQ271">IF(OR(K271="Nhãn", K271="Nhãn thùng",K271="Nhãn Túi"), K271 &amp; " " &amp; IFERROR(XLOOKUP(L271, '2. DATA NL, VTBB'!C:C, '2. DATA NL, VTBB'!E:E), ""), "")</f>
        <v/>
      </c>
      <c r="AR271" s="278" t="str">
        <f t="array" ref="AR271">IFERROR(XLOOKUP(L271,'2. DATA NL, VTBB'!C:C,'2. DATA NL, VTBB'!G:G),"")</f>
        <v>GC - II - 696 - AGC - Gaba (mới) (Pet tròn)(nước đục) - 450ml - 40</v>
      </c>
      <c r="AS271" s="278" t="str">
        <f t="array" ref="AS271">IFERROR(XLOOKUP(L271,'2. DATA NL, VTBB'!C:C,'2. DATA NL, VTBB'!G:G),"")</f>
        <v>GC - II - 696 - AGC - Gaba (mới) (Pet tròn)(nước đục) - 450ml - 40</v>
      </c>
      <c r="AT271" s="277"/>
    </row>
    <row r="272" ht="30.75" customHeight="1">
      <c r="A272" s="272">
        <f t="shared" si="44"/>
        <v>269</v>
      </c>
      <c r="B272" s="289">
        <v>46041.0</v>
      </c>
      <c r="C272" s="273">
        <v>46042.0</v>
      </c>
      <c r="D272" s="273">
        <f t="shared" ref="D272:D278" si="60">B272+3</f>
        <v>46044</v>
      </c>
      <c r="E272" s="289">
        <v>46056.0</v>
      </c>
      <c r="F272" s="274" t="s">
        <v>561</v>
      </c>
      <c r="G272" s="275" t="s">
        <v>562</v>
      </c>
      <c r="H272" s="274" t="s">
        <v>304</v>
      </c>
      <c r="I272" s="275" t="s">
        <v>744</v>
      </c>
      <c r="J272" s="272" t="s">
        <v>977</v>
      </c>
      <c r="K272" s="275" t="s">
        <v>728</v>
      </c>
      <c r="L272" s="277" t="s">
        <v>978</v>
      </c>
      <c r="M272" s="278" t="str">
        <f t="array" ref="M272">IFERROR(XLOOKUP(L272,'2. DATA NL, VTBB'!C:C,'2. DATA NL, VTBB'!D:D),"")</f>
        <v>Chai HDPE 300ml, tròn 2G vai Beehive cổ 50 (45g) - Xanh Thiên Thanh</v>
      </c>
      <c r="N272" s="280"/>
      <c r="O272" s="280" t="str">
        <f t="array" ref="O272">IFERROR( XLOOKUP(L272,'2. DATA NL, VTBB'!C:C,'2. DATA NL, VTBB'!E:E),"")</f>
        <v>Chitin 3.6EC</v>
      </c>
      <c r="P272" s="275" t="s">
        <v>565</v>
      </c>
      <c r="Q272" s="311"/>
      <c r="R272" s="290" t="s">
        <v>566</v>
      </c>
      <c r="S272" s="280"/>
      <c r="T272" s="277"/>
      <c r="U272" s="277"/>
      <c r="V272" s="283">
        <v>5000.0</v>
      </c>
      <c r="W272" s="275" t="s">
        <v>699</v>
      </c>
      <c r="X272" s="283">
        <v>5000.0</v>
      </c>
      <c r="Y272" s="274">
        <v>5000.0</v>
      </c>
      <c r="Z272" s="272">
        <v>2600.0</v>
      </c>
      <c r="AA272" s="285">
        <v>0.08</v>
      </c>
      <c r="AB272" s="282">
        <v>1.404E7</v>
      </c>
      <c r="AC272" s="277"/>
      <c r="AD272" s="289">
        <v>46041.0</v>
      </c>
      <c r="AE272" s="312"/>
      <c r="AF272" s="277"/>
      <c r="AG272" s="277"/>
      <c r="AH272" s="294">
        <f>IFERROR(__xludf.DUMMYFUNCTION("IFERROR(INDEX( SORT(FILTER(
        {'1. DATA CHUNG'!$J$4:$J$105 , '1. DATA CHUNG'!$L$4:$L$105}, (TRIM('1. DATA CHUNG'!$I$4:$I$105)=TRIM(K272)) * IF(COUNTIFS('1. DATA CHUNG'!$I$4:$I$105,K272,'1. DATA CHUNG'!$M$4:$M$105,Q272), '1. DATA CHUNG'!$M$4:$M$105=Q"&amp;"272, 1) * ('1. DATA CHUNG'!$L$4:$L$105&lt;=TODAY()) ),   2, 0),  1, 1), 
  IFERROR( INDEX(FILTER('1. DATA CHUNG'!$J$4:$J$105, (TRIM('1. DATA CHUNG'!$I$4:$I$105)=TRIM(K272)) * IF(COUNTIFS('1. DATA CHUNG'!$I$4:$I$105,K272,'1. DATA CHUNG'!$M$4:$M$105,Q272), '1."&amp;" DATA CHUNG'!$M$4:$M$105=Q272, 1) * ('1. DATA CHUNG'!$L$4:$L$105="""")), 1), ""Không tìm thấy"" ))"),7.0)</f>
        <v>7</v>
      </c>
      <c r="AI272" s="273">
        <f t="shared" si="2"/>
        <v>46048</v>
      </c>
      <c r="AJ272" s="287"/>
      <c r="AK272" s="286">
        <f t="shared" si="3"/>
        <v>0</v>
      </c>
      <c r="AL272" s="287">
        <f t="shared" si="4"/>
        <v>-12</v>
      </c>
      <c r="AM272" s="287">
        <f t="shared" si="5"/>
        <v>-8</v>
      </c>
      <c r="AN272" s="279">
        <f t="shared" si="6"/>
        <v>6</v>
      </c>
      <c r="AO272" s="295" t="str">
        <f t="shared" si="7"/>
        <v>01/2026</v>
      </c>
      <c r="AP272" s="277" t="str">
        <f t="array" ref="AP272">IFERROR(XLOOKUP(L272,'2. DATA NL, VTBB'!C:C,'2. DATA NL, VTBB'!F:F),"")</f>
        <v>HH0224</v>
      </c>
      <c r="AQ272" s="277" t="str">
        <f t="array" ref="AQ272">IF(OR(K272="Nhãn", K272="Nhãn thùng",K272="Nhãn Túi"), K272 &amp; " " &amp; IFERROR(XLOOKUP(L272, '2. DATA NL, VTBB'!C:C, '2. DATA NL, VTBB'!E:E), ""), "")</f>
        <v/>
      </c>
      <c r="AR272" s="278" t="str">
        <f t="array" ref="AR272">IFERROR(XLOOKUP(L272,'2. DATA NL, VTBB'!C:C,'2. DATA NL, VTBB'!G:G),"")</f>
        <v>LOT IDA Global - I - 865 - ĐL Huỳnh Văn Đậu - Thần Hổ 4.0 (Pet tròn) (nắp đỏ)(nước nâu đen) - 450ml - 40</v>
      </c>
      <c r="AS272" s="278" t="str">
        <f t="array" ref="AS272">IFERROR(XLOOKUP(L272,'2. DATA NL, VTBB'!C:C,'2. DATA NL, VTBB'!G:G),"")</f>
        <v>LOT IDA Global - I - 865 - ĐL Huỳnh Văn Đậu - Thần Hổ 4.0 (Pet tròn) (nắp đỏ)(nước nâu đen) - 450ml - 40</v>
      </c>
      <c r="AT272" s="277"/>
    </row>
    <row r="273" ht="30.75" customHeight="1">
      <c r="A273" s="272">
        <f t="shared" si="44"/>
        <v>270</v>
      </c>
      <c r="B273" s="289">
        <v>46041.0</v>
      </c>
      <c r="C273" s="273">
        <v>46042.0</v>
      </c>
      <c r="D273" s="273">
        <f t="shared" si="60"/>
        <v>46044</v>
      </c>
      <c r="E273" s="289">
        <v>46056.0</v>
      </c>
      <c r="F273" s="274" t="s">
        <v>561</v>
      </c>
      <c r="G273" s="275" t="s">
        <v>562</v>
      </c>
      <c r="H273" s="274" t="s">
        <v>304</v>
      </c>
      <c r="I273" s="275" t="s">
        <v>744</v>
      </c>
      <c r="J273" s="272" t="s">
        <v>977</v>
      </c>
      <c r="K273" s="275" t="s">
        <v>730</v>
      </c>
      <c r="L273" s="277" t="s">
        <v>979</v>
      </c>
      <c r="M273" s="278" t="str">
        <f t="array" ref="M273">IFERROR(XLOOKUP(L273,'2. DATA NL, VTBB'!C:C,'2. DATA NL, VTBB'!D:D),"")</f>
        <v>Nắp HDPE cổ 50 gruratee - Xanh thiên thanh</v>
      </c>
      <c r="N273" s="280"/>
      <c r="O273" s="280" t="str">
        <f t="array" ref="O273">IFERROR( XLOOKUP(L273,'2. DATA NL, VTBB'!C:C,'2. DATA NL, VTBB'!E:E),"")</f>
        <v>Chitin 3.6EC</v>
      </c>
      <c r="P273" s="275" t="s">
        <v>565</v>
      </c>
      <c r="Q273" s="311"/>
      <c r="R273" s="290" t="s">
        <v>566</v>
      </c>
      <c r="S273" s="280"/>
      <c r="T273" s="277"/>
      <c r="U273" s="277"/>
      <c r="V273" s="283">
        <v>5000.0</v>
      </c>
      <c r="W273" s="275" t="s">
        <v>699</v>
      </c>
      <c r="X273" s="283">
        <v>5000.0</v>
      </c>
      <c r="Y273" s="274">
        <v>5000.0</v>
      </c>
      <c r="Z273" s="272">
        <v>1200.0</v>
      </c>
      <c r="AA273" s="285">
        <v>0.08</v>
      </c>
      <c r="AB273" s="282">
        <v>6480000.0</v>
      </c>
      <c r="AC273" s="277"/>
      <c r="AD273" s="289">
        <v>46041.0</v>
      </c>
      <c r="AE273" s="312"/>
      <c r="AF273" s="277"/>
      <c r="AG273" s="277"/>
      <c r="AH273" s="294">
        <f>IFERROR(__xludf.DUMMYFUNCTION("IFERROR(INDEX( SORT(FILTER(
        {'1. DATA CHUNG'!$J$4:$J$105 , '1. DATA CHUNG'!$L$4:$L$105}, (TRIM('1. DATA CHUNG'!$I$4:$I$105)=TRIM(K273)) * IF(COUNTIFS('1. DATA CHUNG'!$I$4:$I$105,K273,'1. DATA CHUNG'!$M$4:$M$105,Q273), '1. DATA CHUNG'!$M$4:$M$105=Q"&amp;"273, 1) * ('1. DATA CHUNG'!$L$4:$L$105&lt;=TODAY()) ),   2, 0),  1, 1), 
  IFERROR( INDEX(FILTER('1. DATA CHUNG'!$J$4:$J$105, (TRIM('1. DATA CHUNG'!$I$4:$I$105)=TRIM(K273)) * IF(COUNTIFS('1. DATA CHUNG'!$I$4:$I$105,K273,'1. DATA CHUNG'!$M$4:$M$105,Q273), '1."&amp;" DATA CHUNG'!$M$4:$M$105=Q273, 1) * ('1. DATA CHUNG'!$L$4:$L$105="""")), 1), ""Không tìm thấy"" ))"),7.0)</f>
        <v>7</v>
      </c>
      <c r="AI273" s="273">
        <f t="shared" si="2"/>
        <v>46048</v>
      </c>
      <c r="AJ273" s="287"/>
      <c r="AK273" s="286">
        <f t="shared" si="3"/>
        <v>0</v>
      </c>
      <c r="AL273" s="287">
        <f t="shared" si="4"/>
        <v>-12</v>
      </c>
      <c r="AM273" s="287">
        <f t="shared" si="5"/>
        <v>-8</v>
      </c>
      <c r="AN273" s="279">
        <f t="shared" si="6"/>
        <v>6</v>
      </c>
      <c r="AO273" s="295" t="str">
        <f t="shared" si="7"/>
        <v>01/2026</v>
      </c>
      <c r="AP273" s="277" t="str">
        <f t="array" ref="AP273">IFERROR(XLOOKUP(L273,'2. DATA NL, VTBB'!C:C,'2. DATA NL, VTBB'!F:F),"")</f>
        <v>HH0148</v>
      </c>
      <c r="AQ273" s="277" t="str">
        <f t="array" ref="AQ273">IF(OR(K273="Nhãn", K273="Nhãn thùng",K273="Nhãn Túi"), K273 &amp; " " &amp; IFERROR(XLOOKUP(L273, '2. DATA NL, VTBB'!C:C, '2. DATA NL, VTBB'!E:E), ""), "")</f>
        <v/>
      </c>
      <c r="AR273" s="278" t="str">
        <f t="array" ref="AR273">IFERROR(XLOOKUP(L273,'2. DATA NL, VTBB'!C:C,'2. DATA NL, VTBB'!G:G),"")</f>
        <v>LOT IDA Global - I - 865 - ĐL Huỳnh Văn Đậu - Thần Hổ 4.0 (Pet tròn) (nắp đỏ)(nước nâu đen) - 450ml - 40</v>
      </c>
      <c r="AS273" s="278" t="str">
        <f t="array" ref="AS273">IFERROR(XLOOKUP(L273,'2. DATA NL, VTBB'!C:C,'2. DATA NL, VTBB'!G:G),"")</f>
        <v>LOT IDA Global - I - 865 - ĐL Huỳnh Văn Đậu - Thần Hổ 4.0 (Pet tròn) (nắp đỏ)(nước nâu đen) - 450ml - 40</v>
      </c>
      <c r="AT273" s="277"/>
    </row>
    <row r="274" ht="30.75" customHeight="1">
      <c r="A274" s="272">
        <f t="shared" si="44"/>
        <v>271</v>
      </c>
      <c r="B274" s="289">
        <v>46041.0</v>
      </c>
      <c r="C274" s="273">
        <v>46042.0</v>
      </c>
      <c r="D274" s="273">
        <f t="shared" si="60"/>
        <v>46044</v>
      </c>
      <c r="E274" s="289">
        <v>46043.0</v>
      </c>
      <c r="F274" s="274" t="s">
        <v>561</v>
      </c>
      <c r="G274" s="275" t="s">
        <v>562</v>
      </c>
      <c r="H274" s="274" t="s">
        <v>304</v>
      </c>
      <c r="I274" s="275" t="s">
        <v>726</v>
      </c>
      <c r="J274" s="272" t="s">
        <v>980</v>
      </c>
      <c r="K274" s="275" t="s">
        <v>728</v>
      </c>
      <c r="L274" s="277" t="s">
        <v>788</v>
      </c>
      <c r="M274" s="278" t="str">
        <f t="array" ref="M274">IFERROR(XLOOKUP(L274,'2. DATA NL, VTBB'!C:C,'2. DATA NL, VTBB'!D:D),"")</f>
        <v>PN - Chai HDPE tròn cổ 63 500ml  (80g)  - Trắng</v>
      </c>
      <c r="N274" s="280"/>
      <c r="O274" s="280" t="str">
        <f t="array" ref="O274">IFERROR( XLOOKUP(L274,'2. DATA NL, VTBB'!C:C,'2. DATA NL, VTBB'!E:E),"")</f>
        <v>Creek 2.1EC</v>
      </c>
      <c r="P274" s="275" t="s">
        <v>565</v>
      </c>
      <c r="Q274" s="311"/>
      <c r="R274" s="290" t="s">
        <v>566</v>
      </c>
      <c r="S274" s="280"/>
      <c r="T274" s="277"/>
      <c r="U274" s="277"/>
      <c r="V274" s="283">
        <v>2000.0</v>
      </c>
      <c r="W274" s="275" t="s">
        <v>699</v>
      </c>
      <c r="X274" s="283">
        <v>2000.0</v>
      </c>
      <c r="Y274" s="274">
        <v>2016.0</v>
      </c>
      <c r="Z274" s="272">
        <v>3100.0</v>
      </c>
      <c r="AA274" s="285">
        <v>0.08</v>
      </c>
      <c r="AB274" s="282">
        <v>6749568.0</v>
      </c>
      <c r="AC274" s="277"/>
      <c r="AD274" s="289">
        <v>46041.0</v>
      </c>
      <c r="AE274" s="312"/>
      <c r="AF274" s="277"/>
      <c r="AG274" s="277"/>
      <c r="AH274" s="294">
        <f>IFERROR(__xludf.DUMMYFUNCTION("IFERROR(INDEX( SORT(FILTER(
        {'1. DATA CHUNG'!$J$4:$J$105 , '1. DATA CHUNG'!$L$4:$L$105}, (TRIM('1. DATA CHUNG'!$I$4:$I$105)=TRIM(K274)) * IF(COUNTIFS('1. DATA CHUNG'!$I$4:$I$105,K274,'1. DATA CHUNG'!$M$4:$M$105,Q274), '1. DATA CHUNG'!$M$4:$M$105=Q"&amp;"274, 1) * ('1. DATA CHUNG'!$L$4:$L$105&lt;=TODAY()) ),   2, 0),  1, 1), 
  IFERROR( INDEX(FILTER('1. DATA CHUNG'!$J$4:$J$105, (TRIM('1. DATA CHUNG'!$I$4:$I$105)=TRIM(K274)) * IF(COUNTIFS('1. DATA CHUNG'!$I$4:$I$105,K274,'1. DATA CHUNG'!$M$4:$M$105,Q274), '1."&amp;" DATA CHUNG'!$M$4:$M$105=Q274, 1) * ('1. DATA CHUNG'!$L$4:$L$105="""")), 1), ""Không tìm thấy"" ))"),7.0)</f>
        <v>7</v>
      </c>
      <c r="AI274" s="273">
        <f t="shared" si="2"/>
        <v>46048</v>
      </c>
      <c r="AJ274" s="287"/>
      <c r="AK274" s="286">
        <f t="shared" si="3"/>
        <v>0</v>
      </c>
      <c r="AL274" s="287">
        <f t="shared" si="4"/>
        <v>1</v>
      </c>
      <c r="AM274" s="287">
        <f t="shared" si="5"/>
        <v>5</v>
      </c>
      <c r="AN274" s="279">
        <f t="shared" si="6"/>
        <v>6</v>
      </c>
      <c r="AO274" s="295" t="str">
        <f t="shared" si="7"/>
        <v>01/2026</v>
      </c>
      <c r="AP274" s="277" t="str">
        <f t="array" ref="AP274">IFERROR(XLOOKUP(L274,'2. DATA NL, VTBB'!C:C,'2. DATA NL, VTBB'!F:F),"")</f>
        <v>HH0212</v>
      </c>
      <c r="AQ274" s="277" t="str">
        <f t="array" ref="AQ274">IF(OR(K274="Nhãn", K274="Nhãn thùng",K274="Nhãn Túi"), K274 &amp; " " &amp; IFERROR(XLOOKUP(L274, '2. DATA NL, VTBB'!C:C, '2. DATA NL, VTBB'!E:E), ""), "")</f>
        <v/>
      </c>
      <c r="AR274" s="278" t="str">
        <f t="array" ref="AR274">IFERROR(XLOOKUP(L274,'2. DATA NL, VTBB'!C:C,'2. DATA NL, VTBB'!G:G),"")</f>
        <v>GC - IV - 833 - Huy Phát - HP Pro Max (nước đỏ)(Pet Vuông)- 400ml - 40</v>
      </c>
      <c r="AS274" s="278" t="str">
        <f t="array" ref="AS274">IFERROR(XLOOKUP(L274,'2. DATA NL, VTBB'!C:C,'2. DATA NL, VTBB'!G:G),"")</f>
        <v>GC - IV - 833 - Huy Phát - HP Pro Max (nước đỏ)(Pet Vuông)- 400ml - 40</v>
      </c>
      <c r="AT274" s="277"/>
    </row>
    <row r="275" ht="30.75" customHeight="1">
      <c r="A275" s="272">
        <f t="shared" si="44"/>
        <v>272</v>
      </c>
      <c r="B275" s="289">
        <v>46041.0</v>
      </c>
      <c r="C275" s="273">
        <v>46042.0</v>
      </c>
      <c r="D275" s="273">
        <f t="shared" si="60"/>
        <v>46044</v>
      </c>
      <c r="E275" s="289">
        <v>46043.0</v>
      </c>
      <c r="F275" s="274" t="s">
        <v>561</v>
      </c>
      <c r="G275" s="275" t="s">
        <v>562</v>
      </c>
      <c r="H275" s="274" t="s">
        <v>304</v>
      </c>
      <c r="I275" s="275" t="s">
        <v>726</v>
      </c>
      <c r="J275" s="272" t="s">
        <v>980</v>
      </c>
      <c r="K275" s="275" t="s">
        <v>730</v>
      </c>
      <c r="L275" s="277" t="s">
        <v>789</v>
      </c>
      <c r="M275" s="278" t="str">
        <f t="array" ref="M275">IFERROR(XLOOKUP(L275,'2. DATA NL, VTBB'!C:C,'2. DATA NL, VTBB'!D:D),"")</f>
        <v>PN - Nắp HDPE cổ 63 có gurantee  - Trắng</v>
      </c>
      <c r="N275" s="280"/>
      <c r="O275" s="280" t="str">
        <f t="array" ref="O275">IFERROR( XLOOKUP(L275,'2. DATA NL, VTBB'!C:C,'2. DATA NL, VTBB'!E:E),"")</f>
        <v>Creek 2.1EC</v>
      </c>
      <c r="P275" s="275" t="s">
        <v>565</v>
      </c>
      <c r="Q275" s="311"/>
      <c r="R275" s="290" t="s">
        <v>566</v>
      </c>
      <c r="S275" s="280"/>
      <c r="T275" s="277"/>
      <c r="U275" s="277"/>
      <c r="V275" s="283">
        <v>2000.0</v>
      </c>
      <c r="W275" s="275" t="s">
        <v>699</v>
      </c>
      <c r="X275" s="283">
        <v>2000.0</v>
      </c>
      <c r="Y275" s="274">
        <v>2016.0</v>
      </c>
      <c r="Z275" s="272">
        <v>1200.0</v>
      </c>
      <c r="AA275" s="285">
        <v>0.08</v>
      </c>
      <c r="AB275" s="282">
        <v>2612736.0</v>
      </c>
      <c r="AC275" s="277"/>
      <c r="AD275" s="289">
        <v>46041.0</v>
      </c>
      <c r="AE275" s="312"/>
      <c r="AF275" s="277"/>
      <c r="AG275" s="277"/>
      <c r="AH275" s="294">
        <f>IFERROR(__xludf.DUMMYFUNCTION("IFERROR(INDEX( SORT(FILTER(
        {'1. DATA CHUNG'!$J$4:$J$105 , '1. DATA CHUNG'!$L$4:$L$105}, (TRIM('1. DATA CHUNG'!$I$4:$I$105)=TRIM(K275)) * IF(COUNTIFS('1. DATA CHUNG'!$I$4:$I$105,K275,'1. DATA CHUNG'!$M$4:$M$105,Q275), '1. DATA CHUNG'!$M$4:$M$105=Q"&amp;"275, 1) * ('1. DATA CHUNG'!$L$4:$L$105&lt;=TODAY()) ),   2, 0),  1, 1), 
  IFERROR( INDEX(FILTER('1. DATA CHUNG'!$J$4:$J$105, (TRIM('1. DATA CHUNG'!$I$4:$I$105)=TRIM(K275)) * IF(COUNTIFS('1. DATA CHUNG'!$I$4:$I$105,K275,'1. DATA CHUNG'!$M$4:$M$105,Q275), '1."&amp;" DATA CHUNG'!$M$4:$M$105=Q275, 1) * ('1. DATA CHUNG'!$L$4:$L$105="""")), 1), ""Không tìm thấy"" ))"),7.0)</f>
        <v>7</v>
      </c>
      <c r="AI275" s="273">
        <f t="shared" si="2"/>
        <v>46048</v>
      </c>
      <c r="AJ275" s="287"/>
      <c r="AK275" s="286">
        <f t="shared" si="3"/>
        <v>0</v>
      </c>
      <c r="AL275" s="287">
        <f t="shared" si="4"/>
        <v>1</v>
      </c>
      <c r="AM275" s="287">
        <f t="shared" si="5"/>
        <v>5</v>
      </c>
      <c r="AN275" s="279">
        <f t="shared" si="6"/>
        <v>6</v>
      </c>
      <c r="AO275" s="295" t="str">
        <f t="shared" si="7"/>
        <v>01/2026</v>
      </c>
      <c r="AP275" s="277" t="str">
        <f t="array" ref="AP275">IFERROR(XLOOKUP(L275,'2. DATA NL, VTBB'!C:C,'2. DATA NL, VTBB'!F:F),"")</f>
        <v>HH0136</v>
      </c>
      <c r="AQ275" s="277" t="str">
        <f t="array" ref="AQ275">IF(OR(K275="Nhãn", K275="Nhãn thùng",K275="Nhãn Túi"), K275 &amp; " " &amp; IFERROR(XLOOKUP(L275, '2. DATA NL, VTBB'!C:C, '2. DATA NL, VTBB'!E:E), ""), "")</f>
        <v/>
      </c>
      <c r="AR275" s="278" t="str">
        <f t="array" ref="AR275">IFERROR(XLOOKUP(L275,'2. DATA NL, VTBB'!C:C,'2. DATA NL, VTBB'!G:G),"")</f>
        <v>GC - IV - 833 - Huy Phát - HP Pro Max (nước đỏ)(Pet Vuông)- 400ml - 40</v>
      </c>
      <c r="AS275" s="278" t="str">
        <f t="array" ref="AS275">IFERROR(XLOOKUP(L275,'2. DATA NL, VTBB'!C:C,'2. DATA NL, VTBB'!G:G),"")</f>
        <v>GC - IV - 833 - Huy Phát - HP Pro Max (nước đỏ)(Pet Vuông)- 400ml - 40</v>
      </c>
      <c r="AT275" s="277"/>
    </row>
    <row r="276" ht="30.75" customHeight="1">
      <c r="A276" s="272">
        <f t="shared" si="44"/>
        <v>273</v>
      </c>
      <c r="B276" s="289">
        <v>46041.0</v>
      </c>
      <c r="C276" s="273">
        <v>46042.0</v>
      </c>
      <c r="D276" s="273">
        <f t="shared" si="60"/>
        <v>46044</v>
      </c>
      <c r="E276" s="289">
        <v>46042.0</v>
      </c>
      <c r="F276" s="274" t="s">
        <v>561</v>
      </c>
      <c r="G276" s="275" t="s">
        <v>696</v>
      </c>
      <c r="H276" s="274" t="s">
        <v>304</v>
      </c>
      <c r="I276" s="275" t="s">
        <v>726</v>
      </c>
      <c r="J276" s="272" t="s">
        <v>981</v>
      </c>
      <c r="K276" s="275" t="s">
        <v>732</v>
      </c>
      <c r="L276" s="277" t="s">
        <v>733</v>
      </c>
      <c r="M276" s="278" t="str">
        <f t="array" ref="M276">IFERROR(XLOOKUP(L276,'2. DATA NL, VTBB'!C:C,'2. DATA NL, VTBB'!D:D),"")</f>
        <v>Cốc đong cổ 49 50ml - Trắng trong</v>
      </c>
      <c r="N276" s="280"/>
      <c r="O276" s="280" t="str">
        <f t="array" ref="O276">IFERROR( XLOOKUP(L276,'2. DATA NL, VTBB'!C:C,'2. DATA NL, VTBB'!E:E),"")</f>
        <v>PICOSUPER 280SC</v>
      </c>
      <c r="P276" s="275" t="s">
        <v>565</v>
      </c>
      <c r="Q276" s="311"/>
      <c r="R276" s="291" t="s">
        <v>573</v>
      </c>
      <c r="S276" s="280"/>
      <c r="T276" s="277"/>
      <c r="U276" s="277"/>
      <c r="V276" s="283">
        <v>600.0</v>
      </c>
      <c r="W276" s="275" t="s">
        <v>699</v>
      </c>
      <c r="X276" s="283">
        <v>600.0</v>
      </c>
      <c r="Y276" s="274">
        <v>600.0</v>
      </c>
      <c r="Z276" s="272">
        <v>650.0</v>
      </c>
      <c r="AA276" s="285">
        <v>0.08</v>
      </c>
      <c r="AB276" s="282">
        <v>421200.0</v>
      </c>
      <c r="AC276" s="277"/>
      <c r="AD276" s="289">
        <v>46041.0</v>
      </c>
      <c r="AE276" s="312"/>
      <c r="AF276" s="277"/>
      <c r="AG276" s="277"/>
      <c r="AH276" s="294">
        <f>IFERROR(__xludf.DUMMYFUNCTION("IFERROR(INDEX( SORT(FILTER(
        {'1. DATA CHUNG'!$J$4:$J$105 , '1. DATA CHUNG'!$L$4:$L$105}, (TRIM('1. DATA CHUNG'!$I$4:$I$105)=TRIM(K276)) * IF(COUNTIFS('1. DATA CHUNG'!$I$4:$I$105,K276,'1. DATA CHUNG'!$M$4:$M$105,Q276), '1. DATA CHUNG'!$M$4:$M$105=Q"&amp;"276, 1) * ('1. DATA CHUNG'!$L$4:$L$105&lt;=TODAY()) ),   2, 0),  1, 1), 
  IFERROR( INDEX(FILTER('1. DATA CHUNG'!$J$4:$J$105, (TRIM('1. DATA CHUNG'!$I$4:$I$105)=TRIM(K276)) * IF(COUNTIFS('1. DATA CHUNG'!$I$4:$I$105,K276,'1. DATA CHUNG'!$M$4:$M$105,Q276), '1."&amp;" DATA CHUNG'!$M$4:$M$105=Q276, 1) * ('1. DATA CHUNG'!$L$4:$L$105="""")), 1), ""Không tìm thấy"" ))"),7.0)</f>
        <v>7</v>
      </c>
      <c r="AI276" s="273">
        <f t="shared" si="2"/>
        <v>46048</v>
      </c>
      <c r="AJ276" s="287"/>
      <c r="AK276" s="286">
        <f t="shared" si="3"/>
        <v>0</v>
      </c>
      <c r="AL276" s="287">
        <f t="shared" si="4"/>
        <v>2</v>
      </c>
      <c r="AM276" s="287">
        <f t="shared" si="5"/>
        <v>6</v>
      </c>
      <c r="AN276" s="279">
        <f t="shared" si="6"/>
        <v>6</v>
      </c>
      <c r="AO276" s="295" t="str">
        <f t="shared" si="7"/>
        <v>01/2026</v>
      </c>
      <c r="AP276" s="277" t="str">
        <f t="array" ref="AP276">IFERROR(XLOOKUP(L276,'2. DATA NL, VTBB'!C:C,'2. DATA NL, VTBB'!F:F),"")</f>
        <v>HH0004</v>
      </c>
      <c r="AQ276" s="277" t="str">
        <f t="array" ref="AQ276">IF(OR(K276="Nhãn", K276="Nhãn thùng",K276="Nhãn Túi"), K276 &amp; " " &amp; IFERROR(XLOOKUP(L276, '2. DATA NL, VTBB'!C:C, '2. DATA NL, VTBB'!E:E), ""), "")</f>
        <v/>
      </c>
      <c r="AR276" s="278" t="str">
        <f t="array" ref="AR276">IFERROR(XLOOKUP(L276,'2. DATA NL, VTBB'!C:C,'2. DATA NL, VTBB'!G:G),"")</f>
        <v>IDA Global - I - 713.1 - Picosuper 280SC (Chai Pape)(nước trắng sữa) - 240ml - 40 ([btp],t,c)</v>
      </c>
      <c r="AS276" s="278" t="str">
        <f t="array" ref="AS276">IFERROR(XLOOKUP(L276,'2. DATA NL, VTBB'!C:C,'2. DATA NL, VTBB'!G:G),"")</f>
        <v>IDA Global - I - 713.1 - Picosuper 280SC (Chai Pape)(nước trắng sữa) - 240ml - 40 ([btp],t,c)</v>
      </c>
      <c r="AT276" s="277"/>
    </row>
    <row r="277" ht="30.75" customHeight="1">
      <c r="A277" s="272">
        <f t="shared" si="44"/>
        <v>274</v>
      </c>
      <c r="B277" s="289">
        <v>46041.0</v>
      </c>
      <c r="C277" s="273">
        <v>46042.0</v>
      </c>
      <c r="D277" s="273">
        <f t="shared" si="60"/>
        <v>46044</v>
      </c>
      <c r="E277" s="289">
        <v>46045.0</v>
      </c>
      <c r="F277" s="274" t="s">
        <v>561</v>
      </c>
      <c r="G277" s="275" t="s">
        <v>580</v>
      </c>
      <c r="H277" s="274" t="s">
        <v>304</v>
      </c>
      <c r="I277" s="275" t="s">
        <v>806</v>
      </c>
      <c r="J277" s="272" t="s">
        <v>982</v>
      </c>
      <c r="K277" s="275" t="s">
        <v>728</v>
      </c>
      <c r="L277" s="277" t="s">
        <v>808</v>
      </c>
      <c r="M277" s="278" t="str">
        <f t="array" ref="M277">IFERROR(XLOOKUP(L277,'2. DATA NL, VTBB'!C:C,'2. DATA NL, VTBB'!D:D),"")</f>
        <v>Chai nhôm tròn 250ml cổ 38 - Màu đỏ -  Nắp trắng, có cốc đong</v>
      </c>
      <c r="N277" s="280"/>
      <c r="O277" s="280" t="str">
        <f t="array" ref="O277">IFERROR( XLOOKUP(L277,'2. DATA NL, VTBB'!C:C,'2. DATA NL, VTBB'!E:E),"")</f>
        <v>Vi lượng Basel IDA 47</v>
      </c>
      <c r="P277" s="275" t="s">
        <v>565</v>
      </c>
      <c r="Q277" s="311"/>
      <c r="R277" s="291" t="s">
        <v>573</v>
      </c>
      <c r="S277" s="280"/>
      <c r="T277" s="277"/>
      <c r="U277" s="277"/>
      <c r="V277" s="283">
        <v>1000.0</v>
      </c>
      <c r="W277" s="275" t="s">
        <v>699</v>
      </c>
      <c r="X277" s="283">
        <v>1000.0</v>
      </c>
      <c r="Y277" s="274">
        <v>1000.0</v>
      </c>
      <c r="Z277" s="286">
        <v>10636.36</v>
      </c>
      <c r="AA277" s="285">
        <v>0.1</v>
      </c>
      <c r="AB277" s="282">
        <v>1.1699996E7</v>
      </c>
      <c r="AC277" s="277"/>
      <c r="AD277" s="289">
        <v>46041.0</v>
      </c>
      <c r="AE277" s="312"/>
      <c r="AF277" s="277"/>
      <c r="AG277" s="277"/>
      <c r="AH277" s="294">
        <f>IFERROR(__xludf.DUMMYFUNCTION("IFERROR(INDEX( SORT(FILTER(
        {'1. DATA CHUNG'!$J$4:$J$105 , '1. DATA CHUNG'!$L$4:$L$105}, (TRIM('1. DATA CHUNG'!$I$4:$I$105)=TRIM(K277)) * IF(COUNTIFS('1. DATA CHUNG'!$I$4:$I$105,K277,'1. DATA CHUNG'!$M$4:$M$105,Q277), '1. DATA CHUNG'!$M$4:$M$105=Q"&amp;"277, 1) * ('1. DATA CHUNG'!$L$4:$L$105&lt;=TODAY()) ),   2, 0),  1, 1), 
  IFERROR( INDEX(FILTER('1. DATA CHUNG'!$J$4:$J$105, (TRIM('1. DATA CHUNG'!$I$4:$I$105)=TRIM(K277)) * IF(COUNTIFS('1. DATA CHUNG'!$I$4:$I$105,K277,'1. DATA CHUNG'!$M$4:$M$105,Q277), '1."&amp;" DATA CHUNG'!$M$4:$M$105=Q277, 1) * ('1. DATA CHUNG'!$L$4:$L$105="""")), 1), ""Không tìm thấy"" ))"),7.0)</f>
        <v>7</v>
      </c>
      <c r="AI277" s="273">
        <f t="shared" si="2"/>
        <v>46048</v>
      </c>
      <c r="AJ277" s="287"/>
      <c r="AK277" s="286">
        <f t="shared" si="3"/>
        <v>0</v>
      </c>
      <c r="AL277" s="287">
        <f t="shared" si="4"/>
        <v>-1</v>
      </c>
      <c r="AM277" s="287">
        <f t="shared" si="5"/>
        <v>3</v>
      </c>
      <c r="AN277" s="279">
        <f t="shared" si="6"/>
        <v>6</v>
      </c>
      <c r="AO277" s="295" t="str">
        <f t="shared" si="7"/>
        <v>01/2026</v>
      </c>
      <c r="AP277" s="277" t="str">
        <f t="array" ref="AP277">IFERROR(XLOOKUP(L277,'2. DATA NL, VTBB'!C:C,'2. DATA NL, VTBB'!F:F),"")</f>
        <v>HH0033</v>
      </c>
      <c r="AQ277" s="277" t="str">
        <f t="array" ref="AQ277">IF(OR(K277="Nhãn", K277="Nhãn thùng",K277="Nhãn Túi"), K277 &amp; " " &amp; IFERROR(XLOOKUP(L277, '2. DATA NL, VTBB'!C:C, '2. DATA NL, VTBB'!E:E), ""), "")</f>
        <v/>
      </c>
      <c r="AR277" s="278" t="str">
        <f t="array" ref="AR277">IFERROR(XLOOKUP(L277,'2. DATA NL, VTBB'!C:C,'2. DATA NL, VTBB'!G:G),"")</f>
        <v>IDA GLOBAL - I - 416 - Flower Top (drone) - 50ml - 300</v>
      </c>
      <c r="AS277" s="278" t="str">
        <f t="array" ref="AS277">IFERROR(XLOOKUP(L277,'2. DATA NL, VTBB'!C:C,'2. DATA NL, VTBB'!G:G),"")</f>
        <v>IDA GLOBAL - I - 416 - Flower Top (drone) - 50ml - 300</v>
      </c>
      <c r="AT277" s="277"/>
    </row>
    <row r="278" ht="30.75" customHeight="1">
      <c r="A278" s="272">
        <f t="shared" si="44"/>
        <v>275</v>
      </c>
      <c r="B278" s="289">
        <v>46041.0</v>
      </c>
      <c r="C278" s="273">
        <v>46042.0</v>
      </c>
      <c r="D278" s="273">
        <f t="shared" si="60"/>
        <v>46044</v>
      </c>
      <c r="E278" s="289">
        <v>46045.0</v>
      </c>
      <c r="F278" s="274" t="s">
        <v>561</v>
      </c>
      <c r="G278" s="275" t="s">
        <v>580</v>
      </c>
      <c r="H278" s="274" t="s">
        <v>304</v>
      </c>
      <c r="I278" s="275" t="s">
        <v>806</v>
      </c>
      <c r="J278" s="272" t="s">
        <v>982</v>
      </c>
      <c r="K278" s="275" t="s">
        <v>730</v>
      </c>
      <c r="L278" s="277" t="s">
        <v>809</v>
      </c>
      <c r="M278" s="278" t="str">
        <f t="array" ref="M278">IFERROR(XLOOKUP(L278,'2. DATA NL, VTBB'!C:C,'2. DATA NL, VTBB'!D:D),"")</f>
        <v>Nắp chai nhôm cổ 38  - Màu trắng - Có cốc đong</v>
      </c>
      <c r="N278" s="280"/>
      <c r="O278" s="280" t="str">
        <f t="array" ref="O278">IFERROR( XLOOKUP(L278,'2. DATA NL, VTBB'!C:C,'2. DATA NL, VTBB'!E:E),"")</f>
        <v>Tiger five 6.5EC</v>
      </c>
      <c r="P278" s="275" t="s">
        <v>565</v>
      </c>
      <c r="Q278" s="311"/>
      <c r="R278" s="291" t="s">
        <v>573</v>
      </c>
      <c r="S278" s="280"/>
      <c r="T278" s="277"/>
      <c r="U278" s="277"/>
      <c r="V278" s="283">
        <v>1000.0</v>
      </c>
      <c r="W278" s="275" t="s">
        <v>699</v>
      </c>
      <c r="X278" s="283">
        <v>1000.0</v>
      </c>
      <c r="Y278" s="274">
        <v>1000.0</v>
      </c>
      <c r="Z278" s="287">
        <v>0.0</v>
      </c>
      <c r="AA278" s="285">
        <v>0.08</v>
      </c>
      <c r="AB278" s="282">
        <v>0.0</v>
      </c>
      <c r="AC278" s="277"/>
      <c r="AD278" s="289">
        <v>46041.0</v>
      </c>
      <c r="AE278" s="312"/>
      <c r="AF278" s="277"/>
      <c r="AG278" s="277"/>
      <c r="AH278" s="294">
        <f>IFERROR(__xludf.DUMMYFUNCTION("IFERROR(INDEX( SORT(FILTER(
        {'1. DATA CHUNG'!$J$4:$J$105 , '1. DATA CHUNG'!$L$4:$L$105}, (TRIM('1. DATA CHUNG'!$I$4:$I$105)=TRIM(K278)) * IF(COUNTIFS('1. DATA CHUNG'!$I$4:$I$105,K278,'1. DATA CHUNG'!$M$4:$M$105,Q278), '1. DATA CHUNG'!$M$4:$M$105=Q"&amp;"278, 1) * ('1. DATA CHUNG'!$L$4:$L$105&lt;=TODAY()) ),   2, 0),  1, 1), 
  IFERROR( INDEX(FILTER('1. DATA CHUNG'!$J$4:$J$105, (TRIM('1. DATA CHUNG'!$I$4:$I$105)=TRIM(K278)) * IF(COUNTIFS('1. DATA CHUNG'!$I$4:$I$105,K278,'1. DATA CHUNG'!$M$4:$M$105,Q278), '1."&amp;" DATA CHUNG'!$M$4:$M$105=Q278, 1) * ('1. DATA CHUNG'!$L$4:$L$105="""")), 1), ""Không tìm thấy"" ))"),7.0)</f>
        <v>7</v>
      </c>
      <c r="AI278" s="273">
        <f t="shared" si="2"/>
        <v>46048</v>
      </c>
      <c r="AJ278" s="287"/>
      <c r="AK278" s="286">
        <f t="shared" si="3"/>
        <v>0</v>
      </c>
      <c r="AL278" s="287">
        <f t="shared" si="4"/>
        <v>-1</v>
      </c>
      <c r="AM278" s="287">
        <f t="shared" si="5"/>
        <v>3</v>
      </c>
      <c r="AN278" s="279">
        <f t="shared" si="6"/>
        <v>6</v>
      </c>
      <c r="AO278" s="295" t="str">
        <f t="shared" si="7"/>
        <v>01/2026</v>
      </c>
      <c r="AP278" s="277" t="str">
        <f t="array" ref="AP278">IFERROR(XLOOKUP(L278,'2. DATA NL, VTBB'!C:C,'2. DATA NL, VTBB'!F:F),"")</f>
        <v>HH0024</v>
      </c>
      <c r="AQ278" s="277" t="str">
        <f t="array" ref="AQ278">IF(OR(K278="Nhãn", K278="Nhãn thùng",K278="Nhãn Túi"), K278 &amp; " " &amp; IFERROR(XLOOKUP(L278, '2. DATA NL, VTBB'!C:C, '2. DATA NL, VTBB'!E:E), ""), "")</f>
        <v/>
      </c>
      <c r="AR278" s="278" t="str">
        <f t="array" ref="AR278">IFERROR(XLOOKUP(L278,'2. DATA NL, VTBB'!C:C,'2. DATA NL, VTBB'!G:G),"")</f>
        <v>GC - I - 363 - AU - Diệt sạch sâu - nhện AGC (Chai nhôm đỏ) - 220ml - 40</v>
      </c>
      <c r="AS278" s="278" t="str">
        <f t="array" ref="AS278">IFERROR(XLOOKUP(L278,'2. DATA NL, VTBB'!C:C,'2. DATA NL, VTBB'!G:G),"")</f>
        <v>GC - I - 363 - AU - Diệt sạch sâu - nhện AGC (Chai nhôm đỏ) - 220ml - 40</v>
      </c>
      <c r="AT278" s="277"/>
    </row>
    <row r="279" ht="30.75" customHeight="1">
      <c r="A279" s="272">
        <f t="shared" si="44"/>
        <v>276</v>
      </c>
      <c r="B279" s="289">
        <v>46041.0</v>
      </c>
      <c r="C279" s="289">
        <v>46048.0</v>
      </c>
      <c r="D279" s="289">
        <f>B279+15</f>
        <v>46056</v>
      </c>
      <c r="E279" s="289">
        <v>46056.0</v>
      </c>
      <c r="F279" s="274" t="s">
        <v>561</v>
      </c>
      <c r="G279" s="275" t="s">
        <v>580</v>
      </c>
      <c r="H279" s="274" t="s">
        <v>304</v>
      </c>
      <c r="I279" s="275" t="s">
        <v>305</v>
      </c>
      <c r="J279" s="272" t="s">
        <v>983</v>
      </c>
      <c r="K279" s="275" t="s">
        <v>301</v>
      </c>
      <c r="L279" s="277" t="s">
        <v>619</v>
      </c>
      <c r="M279" s="278" t="str">
        <f t="array" ref="M279">IFERROR(XLOOKUP(L279,'2. DATA NL, VTBB'!C:C,'2. DATA NL, VTBB'!D:D),"")</f>
        <v>Thùng IDA chai HDPE/PAPE PICOSUPER 280SC 250ml, 240ml, 200ml x 40 chai (49.5x30.5x15cm) - Trắng xanh lam</v>
      </c>
      <c r="N279" s="280"/>
      <c r="O279" s="280" t="str">
        <f t="array" ref="O279">IFERROR( XLOOKUP(L279,'2. DATA NL, VTBB'!C:C,'2. DATA NL, VTBB'!E:E),"")</f>
        <v>TVZEB 800WP</v>
      </c>
      <c r="P279" s="275" t="s">
        <v>565</v>
      </c>
      <c r="Q279" s="311"/>
      <c r="R279" s="291" t="s">
        <v>573</v>
      </c>
      <c r="S279" s="280"/>
      <c r="T279" s="277"/>
      <c r="U279" s="277"/>
      <c r="V279" s="283">
        <v>300.0</v>
      </c>
      <c r="W279" s="275" t="s">
        <v>699</v>
      </c>
      <c r="X279" s="283">
        <v>300.0</v>
      </c>
      <c r="Y279" s="274">
        <v>334.0</v>
      </c>
      <c r="Z279" s="287">
        <v>15000.0</v>
      </c>
      <c r="AA279" s="285">
        <v>0.08</v>
      </c>
      <c r="AB279" s="282">
        <v>5410800.0</v>
      </c>
      <c r="AC279" s="277"/>
      <c r="AD279" s="289">
        <v>46041.0</v>
      </c>
      <c r="AE279" s="272">
        <v>298.0</v>
      </c>
      <c r="AF279" s="277"/>
      <c r="AG279" s="277"/>
      <c r="AH279" s="294">
        <f>IFERROR(__xludf.DUMMYFUNCTION("IFERROR(INDEX( SORT(FILTER(
        {'1. DATA CHUNG'!$J$4:$J$105 , '1. DATA CHUNG'!$L$4:$L$105}, (TRIM('1. DATA CHUNG'!$I$4:$I$105)=TRIM(K279)) * IF(COUNTIFS('1. DATA CHUNG'!$I$4:$I$105,K279,'1. DATA CHUNG'!$M$4:$M$105,Q279), '1. DATA CHUNG'!$M$4:$M$105=Q"&amp;"279, 1) * ('1. DATA CHUNG'!$L$4:$L$105&lt;=TODAY()) ),   2, 0),  1, 1), 
  IFERROR( INDEX(FILTER('1. DATA CHUNG'!$J$4:$J$105, (TRIM('1. DATA CHUNG'!$I$4:$I$105)=TRIM(K279)) * IF(COUNTIFS('1. DATA CHUNG'!$I$4:$I$105,K279,'1. DATA CHUNG'!$M$4:$M$105,Q279), '1."&amp;" DATA CHUNG'!$M$4:$M$105=Q279, 1) * ('1. DATA CHUNG'!$L$4:$L$105="""")), 1), ""Không tìm thấy"" ))"),18.0)</f>
        <v>18</v>
      </c>
      <c r="AI279" s="273">
        <f t="shared" si="2"/>
        <v>46059</v>
      </c>
      <c r="AJ279" s="287"/>
      <c r="AK279" s="286">
        <f t="shared" si="3"/>
        <v>0</v>
      </c>
      <c r="AL279" s="287">
        <f t="shared" si="4"/>
        <v>0</v>
      </c>
      <c r="AM279" s="287">
        <f t="shared" si="5"/>
        <v>3</v>
      </c>
      <c r="AN279" s="279">
        <f t="shared" si="6"/>
        <v>11</v>
      </c>
      <c r="AO279" s="295" t="str">
        <f t="shared" si="7"/>
        <v>01/2026</v>
      </c>
      <c r="AP279" s="277" t="str">
        <f t="array" ref="AP279">IFERROR(XLOOKUP(L279,'2. DATA NL, VTBB'!C:C,'2. DATA NL, VTBB'!F:F),"")</f>
        <v>HH0280</v>
      </c>
      <c r="AQ279" s="277" t="str">
        <f t="array" ref="AQ279">IF(OR(K279="Nhãn", K279="Nhãn thùng",K279="Nhãn Túi"), K279 &amp; " " &amp; IFERROR(XLOOKUP(L279, '2. DATA NL, VTBB'!C:C, '2. DATA NL, VTBB'!E:E), ""), "")</f>
        <v/>
      </c>
      <c r="AR279" s="278" t="str">
        <f t="array" ref="AR279">IFERROR(XLOOKUP(L279,'2. DATA NL, VTBB'!C:C,'2. DATA NL, VTBB'!G:G),"")</f>
        <v>GC - II - 697 - Agriplant - Mancozeb Xanh - 1kg - 20</v>
      </c>
      <c r="AS279" s="278" t="str">
        <f t="array" ref="AS279">IFERROR(XLOOKUP(L279,'2. DATA NL, VTBB'!C:C,'2. DATA NL, VTBB'!G:G),"")</f>
        <v>GC - II - 697 - Agriplant - Mancozeb Xanh - 1kg - 20</v>
      </c>
      <c r="AT279" s="277"/>
    </row>
    <row r="280" ht="30.75" customHeight="1">
      <c r="A280" s="272">
        <f t="shared" si="44"/>
        <v>277</v>
      </c>
      <c r="B280" s="289">
        <v>46041.0</v>
      </c>
      <c r="C280" s="273">
        <v>46042.0</v>
      </c>
      <c r="D280" s="273">
        <f t="shared" ref="D280:D297" si="61">B280+3</f>
        <v>46044</v>
      </c>
      <c r="E280" s="289">
        <v>46045.0</v>
      </c>
      <c r="F280" s="274" t="s">
        <v>561</v>
      </c>
      <c r="G280" s="275" t="s">
        <v>696</v>
      </c>
      <c r="H280" s="274" t="s">
        <v>304</v>
      </c>
      <c r="I280" s="275" t="s">
        <v>853</v>
      </c>
      <c r="J280" s="272" t="s">
        <v>984</v>
      </c>
      <c r="K280" s="275" t="s">
        <v>728</v>
      </c>
      <c r="L280" s="277" t="s">
        <v>985</v>
      </c>
      <c r="M280" s="278" t="str">
        <f t="array" ref="M280">IFERROR(XLOOKUP(L280,'2. DATA NL, VTBB'!C:C,'2. DATA NL, VTBB'!D:D),"")</f>
        <v>Chai PET tròn cổ 43 500ml trắng - UPC</v>
      </c>
      <c r="N280" s="280"/>
      <c r="O280" s="280" t="str">
        <f t="array" ref="O280">IFERROR( XLOOKUP(L280,'2. DATA NL, VTBB'!C:C,'2. DATA NL, VTBB'!E:E),"")</f>
        <v>Vi lượng AV-VINA US-BOKALI</v>
      </c>
      <c r="P280" s="275" t="s">
        <v>565</v>
      </c>
      <c r="Q280" s="311"/>
      <c r="R280" s="290" t="s">
        <v>566</v>
      </c>
      <c r="S280" s="280"/>
      <c r="T280" s="277"/>
      <c r="U280" s="277"/>
      <c r="V280" s="283">
        <v>2000.0</v>
      </c>
      <c r="W280" s="275" t="s">
        <v>699</v>
      </c>
      <c r="X280" s="283">
        <v>2000.0</v>
      </c>
      <c r="Y280" s="274">
        <v>2040.0</v>
      </c>
      <c r="Z280" s="272">
        <v>3277.0</v>
      </c>
      <c r="AA280" s="285">
        <v>0.08</v>
      </c>
      <c r="AB280" s="282">
        <v>7219886.0</v>
      </c>
      <c r="AC280" s="277"/>
      <c r="AD280" s="289">
        <v>46041.0</v>
      </c>
      <c r="AE280" s="312"/>
      <c r="AF280" s="277"/>
      <c r="AG280" s="277"/>
      <c r="AH280" s="294">
        <f>IFERROR(__xludf.DUMMYFUNCTION("IFERROR(INDEX( SORT(FILTER(
        {'1. DATA CHUNG'!$J$4:$J$105 , '1. DATA CHUNG'!$L$4:$L$105}, (TRIM('1. DATA CHUNG'!$I$4:$I$105)=TRIM(K280)) * IF(COUNTIFS('1. DATA CHUNG'!$I$4:$I$105,K280,'1. DATA CHUNG'!$M$4:$M$105,Q280), '1. DATA CHUNG'!$M$4:$M$105=Q"&amp;"280, 1) * ('1. DATA CHUNG'!$L$4:$L$105&lt;=TODAY()) ),   2, 0),  1, 1), 
  IFERROR( INDEX(FILTER('1. DATA CHUNG'!$J$4:$J$105, (TRIM('1. DATA CHUNG'!$I$4:$I$105)=TRIM(K280)) * IF(COUNTIFS('1. DATA CHUNG'!$I$4:$I$105,K280,'1. DATA CHUNG'!$M$4:$M$105,Q280), '1."&amp;" DATA CHUNG'!$M$4:$M$105=Q280, 1) * ('1. DATA CHUNG'!$L$4:$L$105="""")), 1), ""Không tìm thấy"" ))"),7.0)</f>
        <v>7</v>
      </c>
      <c r="AI280" s="273">
        <f t="shared" si="2"/>
        <v>46048</v>
      </c>
      <c r="AJ280" s="287"/>
      <c r="AK280" s="286">
        <f t="shared" si="3"/>
        <v>0</v>
      </c>
      <c r="AL280" s="287">
        <f t="shared" si="4"/>
        <v>-1</v>
      </c>
      <c r="AM280" s="287">
        <f t="shared" si="5"/>
        <v>3</v>
      </c>
      <c r="AN280" s="279">
        <f t="shared" si="6"/>
        <v>6</v>
      </c>
      <c r="AO280" s="295" t="str">
        <f t="shared" si="7"/>
        <v>01/2026</v>
      </c>
      <c r="AP280" s="277" t="str">
        <f t="array" ref="AP280">IFERROR(XLOOKUP(L280,'2. DATA NL, VTBB'!C:C,'2. DATA NL, VTBB'!F:F),"")</f>
        <v>HH0024</v>
      </c>
      <c r="AQ280" s="277" t="str">
        <f t="array" ref="AQ280">IF(OR(K280="Nhãn", K280="Nhãn thùng",K280="Nhãn Túi"), K280 &amp; " " &amp; IFERROR(XLOOKUP(L280, '2. DATA NL, VTBB'!C:C, '2. DATA NL, VTBB'!E:E), ""), "")</f>
        <v/>
      </c>
      <c r="AR280" s="278" t="str">
        <f t="array" ref="AR280">IFERROR(XLOOKUP(L280,'2. DATA NL, VTBB'!C:C,'2. DATA NL, VTBB'!G:G),"")</f>
        <v>GC - II -361 - Kali Sữa - 500ml - 40</v>
      </c>
      <c r="AS280" s="278" t="str">
        <f t="array" ref="AS280">IFERROR(XLOOKUP(L280,'2. DATA NL, VTBB'!C:C,'2. DATA NL, VTBB'!G:G),"")</f>
        <v>GC - II -361 - Kali Sữa - 500ml - 40</v>
      </c>
      <c r="AT280" s="277"/>
    </row>
    <row r="281" ht="30.75" customHeight="1">
      <c r="A281" s="272">
        <f t="shared" si="44"/>
        <v>278</v>
      </c>
      <c r="B281" s="289">
        <v>46041.0</v>
      </c>
      <c r="C281" s="273">
        <v>46042.0</v>
      </c>
      <c r="D281" s="273">
        <f t="shared" si="61"/>
        <v>46044</v>
      </c>
      <c r="E281" s="289">
        <v>46045.0</v>
      </c>
      <c r="F281" s="274" t="s">
        <v>561</v>
      </c>
      <c r="G281" s="275" t="s">
        <v>696</v>
      </c>
      <c r="H281" s="274" t="s">
        <v>304</v>
      </c>
      <c r="I281" s="275" t="s">
        <v>853</v>
      </c>
      <c r="J281" s="272" t="s">
        <v>984</v>
      </c>
      <c r="K281" s="275" t="s">
        <v>730</v>
      </c>
      <c r="L281" s="277" t="s">
        <v>986</v>
      </c>
      <c r="M281" s="278" t="str">
        <f t="array" ref="M281">IFERROR(XLOOKUP(L281,'2. DATA NL, VTBB'!C:C,'2. DATA NL, VTBB'!D:D),"")</f>
        <v>Nắp PET cổ 43 trắng, có cốc đong - UPC</v>
      </c>
      <c r="N281" s="280"/>
      <c r="O281" s="280" t="str">
        <f t="array" ref="O281">IFERROR( XLOOKUP(L281,'2. DATA NL, VTBB'!C:C,'2. DATA NL, VTBB'!E:E),"")</f>
        <v>Vi lượng IDA 11</v>
      </c>
      <c r="P281" s="275" t="s">
        <v>565</v>
      </c>
      <c r="Q281" s="311"/>
      <c r="R281" s="290" t="s">
        <v>566</v>
      </c>
      <c r="S281" s="280"/>
      <c r="T281" s="277"/>
      <c r="U281" s="277"/>
      <c r="V281" s="283">
        <v>2000.0</v>
      </c>
      <c r="W281" s="275" t="s">
        <v>699</v>
      </c>
      <c r="X281" s="283">
        <v>2000.0</v>
      </c>
      <c r="Y281" s="274">
        <v>2040.0</v>
      </c>
      <c r="Z281" s="272">
        <v>623.0</v>
      </c>
      <c r="AA281" s="285">
        <v>0.08</v>
      </c>
      <c r="AB281" s="282">
        <v>1372594.0</v>
      </c>
      <c r="AC281" s="277"/>
      <c r="AD281" s="289">
        <v>46041.0</v>
      </c>
      <c r="AE281" s="312"/>
      <c r="AF281" s="277"/>
      <c r="AG281" s="277"/>
      <c r="AH281" s="294">
        <f>IFERROR(__xludf.DUMMYFUNCTION("IFERROR(INDEX( SORT(FILTER(
        {'1. DATA CHUNG'!$J$4:$J$105 , '1. DATA CHUNG'!$L$4:$L$105}, (TRIM('1. DATA CHUNG'!$I$4:$I$105)=TRIM(K281)) * IF(COUNTIFS('1. DATA CHUNG'!$I$4:$I$105,K281,'1. DATA CHUNG'!$M$4:$M$105,Q281), '1. DATA CHUNG'!$M$4:$M$105=Q"&amp;"281, 1) * ('1. DATA CHUNG'!$L$4:$L$105&lt;=TODAY()) ),   2, 0),  1, 1), 
  IFERROR( INDEX(FILTER('1. DATA CHUNG'!$J$4:$J$105, (TRIM('1. DATA CHUNG'!$I$4:$I$105)=TRIM(K281)) * IF(COUNTIFS('1. DATA CHUNG'!$I$4:$I$105,K281,'1. DATA CHUNG'!$M$4:$M$105,Q281), '1."&amp;" DATA CHUNG'!$M$4:$M$105=Q281, 1) * ('1. DATA CHUNG'!$L$4:$L$105="""")), 1), ""Không tìm thấy"" ))"),7.0)</f>
        <v>7</v>
      </c>
      <c r="AI281" s="273">
        <f t="shared" si="2"/>
        <v>46048</v>
      </c>
      <c r="AJ281" s="287"/>
      <c r="AK281" s="286">
        <f t="shared" si="3"/>
        <v>0</v>
      </c>
      <c r="AL281" s="287">
        <f t="shared" si="4"/>
        <v>-1</v>
      </c>
      <c r="AM281" s="287">
        <f t="shared" si="5"/>
        <v>3</v>
      </c>
      <c r="AN281" s="279">
        <f t="shared" si="6"/>
        <v>6</v>
      </c>
      <c r="AO281" s="295" t="str">
        <f t="shared" si="7"/>
        <v>01/2026</v>
      </c>
      <c r="AP281" s="277" t="str">
        <f t="array" ref="AP281">IFERROR(XLOOKUP(L281,'2. DATA NL, VTBB'!C:C,'2. DATA NL, VTBB'!F:F),"")</f>
        <v>HH0009</v>
      </c>
      <c r="AQ281" s="277" t="str">
        <f t="array" ref="AQ281">IF(OR(K281="Nhãn", K281="Nhãn thùng",K281="Nhãn Túi"), K281 &amp; " " &amp; IFERROR(XLOOKUP(L281, '2. DATA NL, VTBB'!C:C, '2. DATA NL, VTBB'!E:E), ""), "")</f>
        <v/>
      </c>
      <c r="AR281" s="278" t="str">
        <f t="array" ref="AR281">IFERROR(XLOOKUP(L281,'2. DATA NL, VTBB'!C:C,'2. DATA NL, VTBB'!G:G),"")</f>
        <v>GC - I - 249 - SIÊU COC - 1kg - 20</v>
      </c>
      <c r="AS281" s="278" t="str">
        <f t="array" ref="AS281">IFERROR(XLOOKUP(L281,'2. DATA NL, VTBB'!C:C,'2. DATA NL, VTBB'!G:G),"")</f>
        <v>GC - I - 249 - SIÊU COC - 1kg - 20</v>
      </c>
      <c r="AT281" s="277"/>
    </row>
    <row r="282" ht="30.75" customHeight="1">
      <c r="A282" s="272">
        <f t="shared" si="44"/>
        <v>279</v>
      </c>
      <c r="B282" s="289">
        <v>46041.0</v>
      </c>
      <c r="C282" s="273">
        <v>46042.0</v>
      </c>
      <c r="D282" s="273">
        <f t="shared" si="61"/>
        <v>46044</v>
      </c>
      <c r="E282" s="289">
        <v>46042.0</v>
      </c>
      <c r="F282" s="274" t="s">
        <v>561</v>
      </c>
      <c r="G282" s="275" t="s">
        <v>696</v>
      </c>
      <c r="H282" s="274" t="s">
        <v>304</v>
      </c>
      <c r="I282" s="275" t="s">
        <v>853</v>
      </c>
      <c r="J282" s="272" t="s">
        <v>984</v>
      </c>
      <c r="K282" s="275" t="s">
        <v>732</v>
      </c>
      <c r="L282" s="277" t="s">
        <v>987</v>
      </c>
      <c r="M282" s="278" t="str">
        <f t="array" ref="M282">IFERROR(XLOOKUP(L282,'2. DATA NL, VTBB'!C:C,'2. DATA NL, VTBB'!D:D),"")</f>
        <v>Cốc đong cổ 43 50ml - Trắng trong</v>
      </c>
      <c r="N282" s="280"/>
      <c r="O282" s="280" t="str">
        <f t="array" ref="O282">IFERROR( XLOOKUP(L282,'2. DATA NL, VTBB'!C:C,'2. DATA NL, VTBB'!E:E),"")</f>
        <v>Chitin 3.6EC</v>
      </c>
      <c r="P282" s="275" t="s">
        <v>565</v>
      </c>
      <c r="Q282" s="311"/>
      <c r="R282" s="290" t="s">
        <v>566</v>
      </c>
      <c r="S282" s="280"/>
      <c r="T282" s="277"/>
      <c r="U282" s="277"/>
      <c r="V282" s="283">
        <v>2000.0</v>
      </c>
      <c r="W282" s="275" t="s">
        <v>699</v>
      </c>
      <c r="X282" s="283">
        <v>2000.0</v>
      </c>
      <c r="Y282" s="274">
        <v>2040.0</v>
      </c>
      <c r="Z282" s="272">
        <v>350.0</v>
      </c>
      <c r="AA282" s="285">
        <v>0.08</v>
      </c>
      <c r="AB282" s="282">
        <v>771120.0</v>
      </c>
      <c r="AC282" s="277"/>
      <c r="AD282" s="289">
        <v>46041.0</v>
      </c>
      <c r="AE282" s="312"/>
      <c r="AF282" s="277"/>
      <c r="AG282" s="277"/>
      <c r="AH282" s="294">
        <f>IFERROR(__xludf.DUMMYFUNCTION("IFERROR(INDEX( SORT(FILTER(
        {'1. DATA CHUNG'!$J$4:$J$105 , '1. DATA CHUNG'!$L$4:$L$105}, (TRIM('1. DATA CHUNG'!$I$4:$I$105)=TRIM(K282)) * IF(COUNTIFS('1. DATA CHUNG'!$I$4:$I$105,K282,'1. DATA CHUNG'!$M$4:$M$105,Q282), '1. DATA CHUNG'!$M$4:$M$105=Q"&amp;"282, 1) * ('1. DATA CHUNG'!$L$4:$L$105&lt;=TODAY()) ),   2, 0),  1, 1), 
  IFERROR( INDEX(FILTER('1. DATA CHUNG'!$J$4:$J$105, (TRIM('1. DATA CHUNG'!$I$4:$I$105)=TRIM(K282)) * IF(COUNTIFS('1. DATA CHUNG'!$I$4:$I$105,K282,'1. DATA CHUNG'!$M$4:$M$105,Q282), '1."&amp;" DATA CHUNG'!$M$4:$M$105=Q282, 1) * ('1. DATA CHUNG'!$L$4:$L$105="""")), 1), ""Không tìm thấy"" ))"),7.0)</f>
        <v>7</v>
      </c>
      <c r="AI282" s="273">
        <f t="shared" si="2"/>
        <v>46048</v>
      </c>
      <c r="AJ282" s="287"/>
      <c r="AK282" s="286">
        <f t="shared" si="3"/>
        <v>0</v>
      </c>
      <c r="AL282" s="287">
        <f t="shared" si="4"/>
        <v>2</v>
      </c>
      <c r="AM282" s="287">
        <f t="shared" si="5"/>
        <v>6</v>
      </c>
      <c r="AN282" s="279">
        <f t="shared" si="6"/>
        <v>6</v>
      </c>
      <c r="AO282" s="295" t="str">
        <f t="shared" si="7"/>
        <v>01/2026</v>
      </c>
      <c r="AP282" s="277" t="str">
        <f t="array" ref="AP282">IFERROR(XLOOKUP(L282,'2. DATA NL, VTBB'!C:C,'2. DATA NL, VTBB'!F:F),"")</f>
        <v>HH0009</v>
      </c>
      <c r="AQ282" s="277" t="str">
        <f t="array" ref="AQ282">IF(OR(K282="Nhãn", K282="Nhãn thùng",K282="Nhãn Túi"), K282 &amp; " " &amp; IFERROR(XLOOKUP(L282, '2. DATA NL, VTBB'!C:C, '2. DATA NL, VTBB'!E:E), ""), "")</f>
        <v/>
      </c>
      <c r="AR282" s="278" t="str">
        <f t="array" ref="AR282">IFERROR(XLOOKUP(L282,'2. DATA NL, VTBB'!C:C,'2. DATA NL, VTBB'!G:G),"")</f>
        <v>GC - IV - 864 - Xuân Sơn 02L - Abametin 3.6 (Ốc Vàng - Nhãn đen) (Pet vuông)(nước nâu đen) - 450ml - 40</v>
      </c>
      <c r="AS282" s="278" t="str">
        <f t="array" ref="AS282">IFERROR(XLOOKUP(L282,'2. DATA NL, VTBB'!C:C,'2. DATA NL, VTBB'!G:G),"")</f>
        <v>GC - IV - 864 - Xuân Sơn 02L - Abametin 3.6 (Ốc Vàng - Nhãn đen) (Pet vuông)(nước nâu đen) - 450ml - 40</v>
      </c>
      <c r="AT282" s="277"/>
    </row>
    <row r="283" ht="30.75" customHeight="1">
      <c r="A283" s="272">
        <f t="shared" si="44"/>
        <v>280</v>
      </c>
      <c r="B283" s="289">
        <v>46041.0</v>
      </c>
      <c r="C283" s="273">
        <v>46042.0</v>
      </c>
      <c r="D283" s="273">
        <f t="shared" si="61"/>
        <v>46044</v>
      </c>
      <c r="E283" s="289">
        <v>46042.0</v>
      </c>
      <c r="F283" s="274" t="s">
        <v>561</v>
      </c>
      <c r="G283" s="275" t="s">
        <v>562</v>
      </c>
      <c r="H283" s="274" t="s">
        <v>304</v>
      </c>
      <c r="I283" s="275" t="s">
        <v>744</v>
      </c>
      <c r="J283" s="272" t="s">
        <v>988</v>
      </c>
      <c r="K283" s="275" t="s">
        <v>728</v>
      </c>
      <c r="L283" s="277" t="s">
        <v>785</v>
      </c>
      <c r="M283" s="278" t="str">
        <f t="array" ref="M283">IFERROR(XLOOKUP(L283,'2. DATA NL, VTBB'!C:C,'2. DATA NL, VTBB'!D:D),"")</f>
        <v>Chai HDPE tròn cổ 50 500ml, vai vuông (60g) Gruratee - Trắng</v>
      </c>
      <c r="N283" s="280"/>
      <c r="O283" s="280" t="str">
        <f t="array" ref="O283">IFERROR( XLOOKUP(L283,'2. DATA NL, VTBB'!C:C,'2. DATA NL, VTBB'!E:E),"")</f>
        <v>Chitin 3.6EC</v>
      </c>
      <c r="P283" s="275" t="s">
        <v>565</v>
      </c>
      <c r="Q283" s="311"/>
      <c r="R283" s="290" t="s">
        <v>566</v>
      </c>
      <c r="S283" s="280"/>
      <c r="T283" s="277"/>
      <c r="U283" s="277"/>
      <c r="V283" s="283">
        <v>2000.0</v>
      </c>
      <c r="W283" s="275" t="s">
        <v>699</v>
      </c>
      <c r="X283" s="283">
        <v>2000.0</v>
      </c>
      <c r="Y283" s="274">
        <v>2040.0</v>
      </c>
      <c r="Z283" s="272">
        <v>3300.0</v>
      </c>
      <c r="AA283" s="285">
        <v>0.08</v>
      </c>
      <c r="AB283" s="282">
        <v>7270560.0</v>
      </c>
      <c r="AC283" s="277"/>
      <c r="AD283" s="289">
        <v>46041.0</v>
      </c>
      <c r="AE283" s="312"/>
      <c r="AF283" s="277"/>
      <c r="AG283" s="277"/>
      <c r="AH283" s="294">
        <f>IFERROR(__xludf.DUMMYFUNCTION("IFERROR(INDEX( SORT(FILTER(
        {'1. DATA CHUNG'!$J$4:$J$105 , '1. DATA CHUNG'!$L$4:$L$105}, (TRIM('1. DATA CHUNG'!$I$4:$I$105)=TRIM(K283)) * IF(COUNTIFS('1. DATA CHUNG'!$I$4:$I$105,K283,'1. DATA CHUNG'!$M$4:$M$105,Q283), '1. DATA CHUNG'!$M$4:$M$105=Q"&amp;"283, 1) * ('1. DATA CHUNG'!$L$4:$L$105&lt;=TODAY()) ),   2, 0),  1, 1), 
  IFERROR( INDEX(FILTER('1. DATA CHUNG'!$J$4:$J$105, (TRIM('1. DATA CHUNG'!$I$4:$I$105)=TRIM(K283)) * IF(COUNTIFS('1. DATA CHUNG'!$I$4:$I$105,K283,'1. DATA CHUNG'!$M$4:$M$105,Q283), '1."&amp;" DATA CHUNG'!$M$4:$M$105=Q283, 1) * ('1. DATA CHUNG'!$L$4:$L$105="""")), 1), ""Không tìm thấy"" ))"),7.0)</f>
        <v>7</v>
      </c>
      <c r="AI283" s="273">
        <f t="shared" si="2"/>
        <v>46048</v>
      </c>
      <c r="AJ283" s="287"/>
      <c r="AK283" s="286">
        <f t="shared" si="3"/>
        <v>0</v>
      </c>
      <c r="AL283" s="287">
        <f t="shared" si="4"/>
        <v>2</v>
      </c>
      <c r="AM283" s="287">
        <f t="shared" si="5"/>
        <v>6</v>
      </c>
      <c r="AN283" s="279">
        <f t="shared" si="6"/>
        <v>6</v>
      </c>
      <c r="AO283" s="295" t="str">
        <f t="shared" si="7"/>
        <v>01/2026</v>
      </c>
      <c r="AP283" s="277" t="str">
        <f t="array" ref="AP283">IFERROR(XLOOKUP(L283,'2. DATA NL, VTBB'!C:C,'2. DATA NL, VTBB'!F:F),"")</f>
        <v>HH0229</v>
      </c>
      <c r="AQ283" s="277" t="str">
        <f t="array" ref="AQ283">IF(OR(K283="Nhãn", K283="Nhãn thùng",K283="Nhãn Túi"), K283 &amp; " " &amp; IFERROR(XLOOKUP(L283, '2. DATA NL, VTBB'!C:C, '2. DATA NL, VTBB'!E:E), ""), "")</f>
        <v/>
      </c>
      <c r="AR283" s="278" t="str">
        <f t="array" ref="AR283">IFERROR(XLOOKUP(L283,'2. DATA NL, VTBB'!C:C,'2. DATA NL, VTBB'!G:G),"")</f>
        <v>LOT IDA Global - I - 870 - ĐL Nhựt Mẫn - Avermectin (Pet tròn) (nắp đỏ)(nước nâu đen) - 450ml - 40</v>
      </c>
      <c r="AS283" s="278" t="str">
        <f t="array" ref="AS283">IFERROR(XLOOKUP(L283,'2. DATA NL, VTBB'!C:C,'2. DATA NL, VTBB'!G:G),"")</f>
        <v>LOT IDA Global - I - 870 - ĐL Nhựt Mẫn - Avermectin (Pet tròn) (nắp đỏ)(nước nâu đen) - 450ml - 40</v>
      </c>
      <c r="AT283" s="277"/>
    </row>
    <row r="284" ht="30.75" customHeight="1">
      <c r="A284" s="272">
        <f t="shared" si="44"/>
        <v>281</v>
      </c>
      <c r="B284" s="289">
        <v>46041.0</v>
      </c>
      <c r="C284" s="273">
        <v>46042.0</v>
      </c>
      <c r="D284" s="273">
        <f t="shared" si="61"/>
        <v>46044</v>
      </c>
      <c r="E284" s="289">
        <v>46042.0</v>
      </c>
      <c r="F284" s="274" t="s">
        <v>561</v>
      </c>
      <c r="G284" s="275" t="s">
        <v>562</v>
      </c>
      <c r="H284" s="274" t="s">
        <v>304</v>
      </c>
      <c r="I284" s="275" t="s">
        <v>744</v>
      </c>
      <c r="J284" s="272" t="s">
        <v>988</v>
      </c>
      <c r="K284" s="275" t="s">
        <v>730</v>
      </c>
      <c r="L284" s="277" t="s">
        <v>754</v>
      </c>
      <c r="M284" s="278" t="str">
        <f t="array" ref="M284">IFERROR(XLOOKUP(L284,'2. DATA NL, VTBB'!C:C,'2. DATA NL, VTBB'!D:D),"")</f>
        <v>Nắp HDPE cổ 50 gruratee - Trắng</v>
      </c>
      <c r="N284" s="280"/>
      <c r="O284" s="280" t="str">
        <f t="array" ref="O284">IFERROR( XLOOKUP(L284,'2. DATA NL, VTBB'!C:C,'2. DATA NL, VTBB'!E:E),"")</f>
        <v>Chitin 3.6EC</v>
      </c>
      <c r="P284" s="275" t="s">
        <v>565</v>
      </c>
      <c r="Q284" s="311"/>
      <c r="R284" s="290" t="s">
        <v>566</v>
      </c>
      <c r="S284" s="280"/>
      <c r="T284" s="277"/>
      <c r="U284" s="277"/>
      <c r="V284" s="283">
        <v>2000.0</v>
      </c>
      <c r="W284" s="275" t="s">
        <v>699</v>
      </c>
      <c r="X284" s="283">
        <v>2000.0</v>
      </c>
      <c r="Y284" s="274">
        <v>2040.0</v>
      </c>
      <c r="Z284" s="272">
        <v>1200.0</v>
      </c>
      <c r="AA284" s="285">
        <v>0.08</v>
      </c>
      <c r="AB284" s="282">
        <v>2643840.0</v>
      </c>
      <c r="AC284" s="277"/>
      <c r="AD284" s="289">
        <v>46041.0</v>
      </c>
      <c r="AE284" s="312"/>
      <c r="AF284" s="277"/>
      <c r="AG284" s="277"/>
      <c r="AH284" s="294">
        <f>IFERROR(__xludf.DUMMYFUNCTION("IFERROR(INDEX( SORT(FILTER(
        {'1. DATA CHUNG'!$J$4:$J$105 , '1. DATA CHUNG'!$L$4:$L$105}, (TRIM('1. DATA CHUNG'!$I$4:$I$105)=TRIM(K284)) * IF(COUNTIFS('1. DATA CHUNG'!$I$4:$I$105,K284,'1. DATA CHUNG'!$M$4:$M$105,Q284), '1. DATA CHUNG'!$M$4:$M$105=Q"&amp;"284, 1) * ('1. DATA CHUNG'!$L$4:$L$105&lt;=TODAY()) ),   2, 0),  1, 1), 
  IFERROR( INDEX(FILTER('1. DATA CHUNG'!$J$4:$J$105, (TRIM('1. DATA CHUNG'!$I$4:$I$105)=TRIM(K284)) * IF(COUNTIFS('1. DATA CHUNG'!$I$4:$I$105,K284,'1. DATA CHUNG'!$M$4:$M$105,Q284), '1."&amp;" DATA CHUNG'!$M$4:$M$105=Q284, 1) * ('1. DATA CHUNG'!$L$4:$L$105="""")), 1), ""Không tìm thấy"" ))"),7.0)</f>
        <v>7</v>
      </c>
      <c r="AI284" s="273">
        <f t="shared" si="2"/>
        <v>46048</v>
      </c>
      <c r="AJ284" s="287"/>
      <c r="AK284" s="286">
        <f t="shared" si="3"/>
        <v>0</v>
      </c>
      <c r="AL284" s="287">
        <f t="shared" si="4"/>
        <v>2</v>
      </c>
      <c r="AM284" s="287">
        <f t="shared" si="5"/>
        <v>6</v>
      </c>
      <c r="AN284" s="279">
        <f t="shared" si="6"/>
        <v>6</v>
      </c>
      <c r="AO284" s="295" t="str">
        <f t="shared" si="7"/>
        <v>01/2026</v>
      </c>
      <c r="AP284" s="277" t="str">
        <f t="array" ref="AP284">IFERROR(XLOOKUP(L284,'2. DATA NL, VTBB'!C:C,'2. DATA NL, VTBB'!F:F),"")</f>
        <v>HH0153</v>
      </c>
      <c r="AQ284" s="277" t="str">
        <f t="array" ref="AQ284">IF(OR(K284="Nhãn", K284="Nhãn thùng",K284="Nhãn Túi"), K284 &amp; " " &amp; IFERROR(XLOOKUP(L284, '2. DATA NL, VTBB'!C:C, '2. DATA NL, VTBB'!E:E), ""), "")</f>
        <v/>
      </c>
      <c r="AR284" s="278" t="str">
        <f t="array" ref="AR284">IFERROR(XLOOKUP(L284,'2. DATA NL, VTBB'!C:C,'2. DATA NL, VTBB'!G:G),"")</f>
        <v>LOT IDA Global - I - 870 - ĐL Nhựt Mẫn - Avermectin (Pet tròn) (nắp đỏ)(nước nâu đen) - 450ml - 40</v>
      </c>
      <c r="AS284" s="278" t="str">
        <f t="array" ref="AS284">IFERROR(XLOOKUP(L284,'2. DATA NL, VTBB'!C:C,'2. DATA NL, VTBB'!G:G),"")</f>
        <v>LOT IDA Global - I - 870 - ĐL Nhựt Mẫn - Avermectin (Pet tròn) (nắp đỏ)(nước nâu đen) - 450ml - 40</v>
      </c>
      <c r="AT284" s="277"/>
    </row>
    <row r="285" ht="30.75" customHeight="1">
      <c r="A285" s="272">
        <f t="shared" si="44"/>
        <v>282</v>
      </c>
      <c r="B285" s="289">
        <v>46041.0</v>
      </c>
      <c r="C285" s="273">
        <v>46042.0</v>
      </c>
      <c r="D285" s="273">
        <f t="shared" si="61"/>
        <v>46044</v>
      </c>
      <c r="E285" s="289">
        <v>46042.0</v>
      </c>
      <c r="F285" s="274" t="s">
        <v>561</v>
      </c>
      <c r="G285" s="275" t="s">
        <v>562</v>
      </c>
      <c r="H285" s="274" t="s">
        <v>304</v>
      </c>
      <c r="I285" s="275" t="s">
        <v>759</v>
      </c>
      <c r="J285" s="272" t="s">
        <v>989</v>
      </c>
      <c r="K285" s="275" t="s">
        <v>728</v>
      </c>
      <c r="L285" s="277" t="s">
        <v>990</v>
      </c>
      <c r="M285" s="278" t="str">
        <f t="array" ref="M285">IFERROR(XLOOKUP(L285,'2. DATA NL, VTBB'!C:C,'2. DATA NL, VTBB'!D:D),"")</f>
        <v>AT - Chai HDPE vuông cổ 39 500ml (55gr) - Trắng</v>
      </c>
      <c r="N285" s="280"/>
      <c r="O285" s="280" t="str">
        <f t="array" ref="O285">IFERROR( XLOOKUP(L285,'2. DATA NL, VTBB'!C:C,'2. DATA NL, VTBB'!E:E),"")</f>
        <v>RAYXANH 200WP</v>
      </c>
      <c r="P285" s="275" t="s">
        <v>565</v>
      </c>
      <c r="Q285" s="311"/>
      <c r="R285" s="290" t="s">
        <v>566</v>
      </c>
      <c r="S285" s="280"/>
      <c r="T285" s="277"/>
      <c r="U285" s="277"/>
      <c r="V285" s="283">
        <v>4000.0</v>
      </c>
      <c r="W285" s="275" t="s">
        <v>699</v>
      </c>
      <c r="X285" s="283">
        <v>4000.0</v>
      </c>
      <c r="Y285" s="274">
        <v>4180.0</v>
      </c>
      <c r="Z285" s="272">
        <v>3300.0</v>
      </c>
      <c r="AA285" s="285">
        <v>0.08</v>
      </c>
      <c r="AB285" s="282">
        <v>1.489752E7</v>
      </c>
      <c r="AC285" s="277"/>
      <c r="AD285" s="289">
        <v>46041.0</v>
      </c>
      <c r="AE285" s="312"/>
      <c r="AF285" s="277"/>
      <c r="AG285" s="277"/>
      <c r="AH285" s="294">
        <f>IFERROR(__xludf.DUMMYFUNCTION("IFERROR(INDEX( SORT(FILTER(
        {'1. DATA CHUNG'!$J$4:$J$105 , '1. DATA CHUNG'!$L$4:$L$105}, (TRIM('1. DATA CHUNG'!$I$4:$I$105)=TRIM(K285)) * IF(COUNTIFS('1. DATA CHUNG'!$I$4:$I$105,K285,'1. DATA CHUNG'!$M$4:$M$105,Q285), '1. DATA CHUNG'!$M$4:$M$105=Q"&amp;"285, 1) * ('1. DATA CHUNG'!$L$4:$L$105&lt;=TODAY()) ),   2, 0),  1, 1), 
  IFERROR( INDEX(FILTER('1. DATA CHUNG'!$J$4:$J$105, (TRIM('1. DATA CHUNG'!$I$4:$I$105)=TRIM(K285)) * IF(COUNTIFS('1. DATA CHUNG'!$I$4:$I$105,K285,'1. DATA CHUNG'!$M$4:$M$105,Q285), '1."&amp;" DATA CHUNG'!$M$4:$M$105=Q285, 1) * ('1. DATA CHUNG'!$L$4:$L$105="""")), 1), ""Không tìm thấy"" ))"),7.0)</f>
        <v>7</v>
      </c>
      <c r="AI285" s="273">
        <f t="shared" si="2"/>
        <v>46048</v>
      </c>
      <c r="AJ285" s="287"/>
      <c r="AK285" s="286">
        <f t="shared" si="3"/>
        <v>0</v>
      </c>
      <c r="AL285" s="287">
        <f t="shared" si="4"/>
        <v>2</v>
      </c>
      <c r="AM285" s="287">
        <f t="shared" si="5"/>
        <v>6</v>
      </c>
      <c r="AN285" s="279">
        <f t="shared" si="6"/>
        <v>6</v>
      </c>
      <c r="AO285" s="295" t="str">
        <f t="shared" si="7"/>
        <v>01/2026</v>
      </c>
      <c r="AP285" s="277" t="str">
        <f t="array" ref="AP285">IFERROR(XLOOKUP(L285,'2. DATA NL, VTBB'!C:C,'2. DATA NL, VTBB'!F:F),"")</f>
        <v>HH0194</v>
      </c>
      <c r="AQ285" s="277" t="str">
        <f t="array" ref="AQ285">IF(OR(K285="Nhãn", K285="Nhãn thùng",K285="Nhãn Túi"), K285 &amp; " " &amp; IFERROR(XLOOKUP(L285, '2. DATA NL, VTBB'!C:C, '2. DATA NL, VTBB'!E:E), ""), "")</f>
        <v/>
      </c>
      <c r="AR285" s="278" t="str">
        <f t="array" ref="AR285">IFERROR(XLOOKUP(L285,'2. DATA NL, VTBB'!C:C,'2. DATA NL, VTBB'!G:G),"")</f>
        <v>GC - II - 804 - AGC - Ray xanh 200WP - 80gr - 150</v>
      </c>
      <c r="AS285" s="278" t="str">
        <f t="array" ref="AS285">IFERROR(XLOOKUP(L285,'2. DATA NL, VTBB'!C:C,'2. DATA NL, VTBB'!G:G),"")</f>
        <v>GC - II - 804 - AGC - Ray xanh 200WP - 80gr - 150</v>
      </c>
      <c r="AT285" s="277"/>
    </row>
    <row r="286" ht="30.75" customHeight="1">
      <c r="A286" s="272">
        <f t="shared" si="44"/>
        <v>283</v>
      </c>
      <c r="B286" s="289">
        <v>46041.0</v>
      </c>
      <c r="C286" s="273">
        <v>46042.0</v>
      </c>
      <c r="D286" s="273">
        <f t="shared" si="61"/>
        <v>46044</v>
      </c>
      <c r="E286" s="289">
        <v>46042.0</v>
      </c>
      <c r="F286" s="274" t="s">
        <v>561</v>
      </c>
      <c r="G286" s="275" t="s">
        <v>562</v>
      </c>
      <c r="H286" s="274" t="s">
        <v>304</v>
      </c>
      <c r="I286" s="275" t="s">
        <v>759</v>
      </c>
      <c r="J286" s="272" t="s">
        <v>989</v>
      </c>
      <c r="K286" s="275" t="s">
        <v>730</v>
      </c>
      <c r="L286" s="277" t="s">
        <v>991</v>
      </c>
      <c r="M286" s="278" t="str">
        <f t="array" ref="M286">IFERROR(XLOOKUP(L286,'2. DATA NL, VTBB'!C:C,'2. DATA NL, VTBB'!D:D),"")</f>
        <v>AT - Nắp HD có Guarantee cổ 39 (8.2gr) -Trắng</v>
      </c>
      <c r="N286" s="280"/>
      <c r="O286" s="280" t="str">
        <f t="array" ref="O286">IFERROR( XLOOKUP(L286,'2. DATA NL, VTBB'!C:C,'2. DATA NL, VTBB'!E:E),"")</f>
        <v>Prima 04</v>
      </c>
      <c r="P286" s="275" t="s">
        <v>565</v>
      </c>
      <c r="Q286" s="311"/>
      <c r="R286" s="290" t="s">
        <v>566</v>
      </c>
      <c r="S286" s="280"/>
      <c r="T286" s="277"/>
      <c r="U286" s="277"/>
      <c r="V286" s="283">
        <v>3000.0</v>
      </c>
      <c r="W286" s="275" t="s">
        <v>699</v>
      </c>
      <c r="X286" s="283">
        <v>3000.0</v>
      </c>
      <c r="Y286" s="274">
        <v>3135.0</v>
      </c>
      <c r="Z286" s="272">
        <f t="shared" ref="Z286:Z287" si="62">950+350</f>
        <v>1300</v>
      </c>
      <c r="AA286" s="285">
        <v>0.08</v>
      </c>
      <c r="AB286" s="282">
        <v>4401540.0</v>
      </c>
      <c r="AC286" s="277"/>
      <c r="AD286" s="289">
        <v>46041.0</v>
      </c>
      <c r="AE286" s="312"/>
      <c r="AF286" s="277"/>
      <c r="AG286" s="277"/>
      <c r="AH286" s="294">
        <f>IFERROR(__xludf.DUMMYFUNCTION("IFERROR(INDEX( SORT(FILTER(
        {'1. DATA CHUNG'!$J$4:$J$105 , '1. DATA CHUNG'!$L$4:$L$105}, (TRIM('1. DATA CHUNG'!$I$4:$I$105)=TRIM(K286)) * IF(COUNTIFS('1. DATA CHUNG'!$I$4:$I$105,K286,'1. DATA CHUNG'!$M$4:$M$105,Q286), '1. DATA CHUNG'!$M$4:$M$105=Q"&amp;"286, 1) * ('1. DATA CHUNG'!$L$4:$L$105&lt;=TODAY()) ),   2, 0),  1, 1), 
  IFERROR( INDEX(FILTER('1. DATA CHUNG'!$J$4:$J$105, (TRIM('1. DATA CHUNG'!$I$4:$I$105)=TRIM(K286)) * IF(COUNTIFS('1. DATA CHUNG'!$I$4:$I$105,K286,'1. DATA CHUNG'!$M$4:$M$105,Q286), '1."&amp;" DATA CHUNG'!$M$4:$M$105=Q286, 1) * ('1. DATA CHUNG'!$L$4:$L$105="""")), 1), ""Không tìm thấy"" ))"),7.0)</f>
        <v>7</v>
      </c>
      <c r="AI286" s="273">
        <f t="shared" si="2"/>
        <v>46048</v>
      </c>
      <c r="AJ286" s="287"/>
      <c r="AK286" s="286">
        <f t="shared" si="3"/>
        <v>0</v>
      </c>
      <c r="AL286" s="287">
        <f t="shared" si="4"/>
        <v>2</v>
      </c>
      <c r="AM286" s="287">
        <f t="shared" si="5"/>
        <v>6</v>
      </c>
      <c r="AN286" s="279">
        <f t="shared" si="6"/>
        <v>6</v>
      </c>
      <c r="AO286" s="295" t="str">
        <f t="shared" si="7"/>
        <v>01/2026</v>
      </c>
      <c r="AP286" s="277" t="str">
        <f t="array" ref="AP286">IFERROR(XLOOKUP(L286,'2. DATA NL, VTBB'!C:C,'2. DATA NL, VTBB'!F:F),"")</f>
        <v>HH0131</v>
      </c>
      <c r="AQ286" s="277" t="str">
        <f t="array" ref="AQ286">IF(OR(K286="Nhãn", K286="Nhãn thùng",K286="Nhãn Túi"), K286 &amp; " " &amp; IFERROR(XLOOKUP(L286, '2. DATA NL, VTBB'!C:C, '2. DATA NL, VTBB'!E:E), ""), "")</f>
        <v/>
      </c>
      <c r="AR286" s="278" t="str">
        <f t="array" ref="AR286">IFERROR(XLOOKUP(L286,'2. DATA NL, VTBB'!C:C,'2. DATA NL, VTBB'!G:G),"")</f>
        <v>GC - IV - 817 - Agriscience - Calcibor (Chai Pet) - 500ml - 40</v>
      </c>
      <c r="AS286" s="278" t="str">
        <f t="array" ref="AS286">IFERROR(XLOOKUP(L286,'2. DATA NL, VTBB'!C:C,'2. DATA NL, VTBB'!G:G),"")</f>
        <v>GC - IV - 817 - Agriscience - Calcibor (Chai Pet) - 500ml - 40</v>
      </c>
      <c r="AT286" s="277"/>
    </row>
    <row r="287" ht="30.75" customHeight="1">
      <c r="A287" s="272">
        <f t="shared" si="44"/>
        <v>284</v>
      </c>
      <c r="B287" s="289">
        <v>46041.0</v>
      </c>
      <c r="C287" s="273">
        <v>46042.0</v>
      </c>
      <c r="D287" s="273">
        <f t="shared" si="61"/>
        <v>46044</v>
      </c>
      <c r="E287" s="289">
        <v>46042.0</v>
      </c>
      <c r="F287" s="274" t="s">
        <v>561</v>
      </c>
      <c r="G287" s="275" t="s">
        <v>562</v>
      </c>
      <c r="H287" s="274" t="s">
        <v>304</v>
      </c>
      <c r="I287" s="275" t="s">
        <v>759</v>
      </c>
      <c r="J287" s="272" t="s">
        <v>989</v>
      </c>
      <c r="K287" s="275" t="s">
        <v>730</v>
      </c>
      <c r="L287" s="277" t="s">
        <v>992</v>
      </c>
      <c r="M287" s="278" t="str">
        <f t="array" ref="M287">IFERROR(XLOOKUP(L287,'2. DATA NL, VTBB'!C:C,'2. DATA NL, VTBB'!D:D),"")</f>
        <v>AT - Nắp HD có Guarantee cổ 39 (8.2gr) - Vàng</v>
      </c>
      <c r="N287" s="280"/>
      <c r="O287" s="280" t="str">
        <f t="array" ref="O287">IFERROR( XLOOKUP(L287,'2. DATA NL, VTBB'!C:C,'2. DATA NL, VTBB'!E:E),"")</f>
        <v>Mekongvil 5SC</v>
      </c>
      <c r="P287" s="275" t="s">
        <v>565</v>
      </c>
      <c r="Q287" s="311"/>
      <c r="R287" s="290" t="s">
        <v>566</v>
      </c>
      <c r="S287" s="280"/>
      <c r="T287" s="277"/>
      <c r="U287" s="277"/>
      <c r="V287" s="283">
        <v>1000.0</v>
      </c>
      <c r="W287" s="275" t="s">
        <v>699</v>
      </c>
      <c r="X287" s="283">
        <v>1000.0</v>
      </c>
      <c r="Y287" s="274">
        <v>1045.0</v>
      </c>
      <c r="Z287" s="272">
        <f t="shared" si="62"/>
        <v>1300</v>
      </c>
      <c r="AA287" s="285">
        <v>0.08</v>
      </c>
      <c r="AB287" s="282">
        <v>1467180.0</v>
      </c>
      <c r="AC287" s="277"/>
      <c r="AD287" s="289">
        <v>46041.0</v>
      </c>
      <c r="AE287" s="312"/>
      <c r="AF287" s="277"/>
      <c r="AG287" s="277"/>
      <c r="AH287" s="294">
        <f>IFERROR(__xludf.DUMMYFUNCTION("IFERROR(INDEX( SORT(FILTER(
        {'1. DATA CHUNG'!$J$4:$J$105 , '1. DATA CHUNG'!$L$4:$L$105}, (TRIM('1. DATA CHUNG'!$I$4:$I$105)=TRIM(K287)) * IF(COUNTIFS('1. DATA CHUNG'!$I$4:$I$105,K287,'1. DATA CHUNG'!$M$4:$M$105,Q287), '1. DATA CHUNG'!$M$4:$M$105=Q"&amp;"287, 1) * ('1. DATA CHUNG'!$L$4:$L$105&lt;=TODAY()) ),   2, 0),  1, 1), 
  IFERROR( INDEX(FILTER('1. DATA CHUNG'!$J$4:$J$105, (TRIM('1. DATA CHUNG'!$I$4:$I$105)=TRIM(K287)) * IF(COUNTIFS('1. DATA CHUNG'!$I$4:$I$105,K287,'1. DATA CHUNG'!$M$4:$M$105,Q287), '1."&amp;" DATA CHUNG'!$M$4:$M$105=Q287, 1) * ('1. DATA CHUNG'!$L$4:$L$105="""")), 1), ""Không tìm thấy"" ))"),7.0)</f>
        <v>7</v>
      </c>
      <c r="AI287" s="273">
        <f t="shared" si="2"/>
        <v>46048</v>
      </c>
      <c r="AJ287" s="287"/>
      <c r="AK287" s="286">
        <f t="shared" si="3"/>
        <v>0</v>
      </c>
      <c r="AL287" s="287">
        <f t="shared" si="4"/>
        <v>2</v>
      </c>
      <c r="AM287" s="287">
        <f t="shared" si="5"/>
        <v>6</v>
      </c>
      <c r="AN287" s="279">
        <f t="shared" si="6"/>
        <v>6</v>
      </c>
      <c r="AO287" s="295" t="str">
        <f t="shared" si="7"/>
        <v>01/2026</v>
      </c>
      <c r="AP287" s="277" t="str">
        <f t="array" ref="AP287">IFERROR(XLOOKUP(L287,'2. DATA NL, VTBB'!C:C,'2. DATA NL, VTBB'!F:F),"")</f>
        <v>HH0126</v>
      </c>
      <c r="AQ287" s="277" t="str">
        <f t="array" ref="AQ287">IF(OR(K287="Nhãn", K287="Nhãn thùng",K287="Nhãn Túi"), K287 &amp; " " &amp; IFERROR(XLOOKUP(L287, '2. DATA NL, VTBB'!C:C, '2. DATA NL, VTBB'!E:E), ""), "")</f>
        <v/>
      </c>
      <c r="AR287" s="278" t="str">
        <f t="array" ref="AR287">IFERROR(XLOOKUP(L287,'2. DATA NL, VTBB'!C:C,'2. DATA NL, VTBB'!G:G),"")</f>
        <v>GC - IV - 805 - Ánh Dương - Ad.Vin (HD cao cấp) - 1L - 20</v>
      </c>
      <c r="AS287" s="278" t="str">
        <f t="array" ref="AS287">IFERROR(XLOOKUP(L287,'2. DATA NL, VTBB'!C:C,'2. DATA NL, VTBB'!G:G),"")</f>
        <v>GC - IV - 805 - Ánh Dương - Ad.Vin (HD cao cấp) - 1L - 20</v>
      </c>
      <c r="AT287" s="277"/>
    </row>
    <row r="288" ht="30.75" customHeight="1">
      <c r="A288" s="272">
        <f t="shared" si="44"/>
        <v>285</v>
      </c>
      <c r="B288" s="289">
        <v>46041.0</v>
      </c>
      <c r="C288" s="273">
        <v>46042.0</v>
      </c>
      <c r="D288" s="273">
        <f t="shared" si="61"/>
        <v>46044</v>
      </c>
      <c r="E288" s="273">
        <f t="shared" ref="E288:E289" si="63">C288+3</f>
        <v>46045</v>
      </c>
      <c r="F288" s="274" t="s">
        <v>561</v>
      </c>
      <c r="G288" s="275" t="s">
        <v>562</v>
      </c>
      <c r="H288" s="274" t="s">
        <v>304</v>
      </c>
      <c r="I288" s="275" t="s">
        <v>765</v>
      </c>
      <c r="J288" s="272" t="s">
        <v>993</v>
      </c>
      <c r="K288" s="275" t="s">
        <v>728</v>
      </c>
      <c r="L288" s="277" t="s">
        <v>994</v>
      </c>
      <c r="M288" s="278" t="str">
        <f t="array" ref="M288">IFERROR(XLOOKUP(L288,'2. DATA NL, VTBB'!C:C,'2. DATA NL, VTBB'!D:D),"")</f>
        <v>Chai HDPE tròn cổ 31 500ml (80g) - Đỏ</v>
      </c>
      <c r="N288" s="280"/>
      <c r="O288" s="280" t="str">
        <f t="array" ref="O288">IFERROR( XLOOKUP(L288,'2. DATA NL, VTBB'!C:C,'2. DATA NL, VTBB'!E:E),"")</f>
        <v>Mekongvil 5SC</v>
      </c>
      <c r="P288" s="275" t="s">
        <v>565</v>
      </c>
      <c r="Q288" s="311"/>
      <c r="R288" s="290" t="s">
        <v>566</v>
      </c>
      <c r="S288" s="280"/>
      <c r="T288" s="277"/>
      <c r="U288" s="277"/>
      <c r="V288" s="283">
        <v>1000.0</v>
      </c>
      <c r="W288" s="275" t="s">
        <v>699</v>
      </c>
      <c r="X288" s="283">
        <v>1000.0</v>
      </c>
      <c r="Y288" s="274">
        <v>1000.0</v>
      </c>
      <c r="Z288" s="272">
        <v>3250.0</v>
      </c>
      <c r="AA288" s="285">
        <v>0.08</v>
      </c>
      <c r="AB288" s="282">
        <v>3510000.0</v>
      </c>
      <c r="AC288" s="277"/>
      <c r="AD288" s="289">
        <v>46041.0</v>
      </c>
      <c r="AE288" s="312"/>
      <c r="AF288" s="277"/>
      <c r="AG288" s="277"/>
      <c r="AH288" s="294">
        <f>IFERROR(__xludf.DUMMYFUNCTION("IFERROR(INDEX( SORT(FILTER(
        {'1. DATA CHUNG'!$J$4:$J$105 , '1. DATA CHUNG'!$L$4:$L$105}, (TRIM('1. DATA CHUNG'!$I$4:$I$105)=TRIM(K288)) * IF(COUNTIFS('1. DATA CHUNG'!$I$4:$I$105,K288,'1. DATA CHUNG'!$M$4:$M$105,Q288), '1. DATA CHUNG'!$M$4:$M$105=Q"&amp;"288, 1) * ('1. DATA CHUNG'!$L$4:$L$105&lt;=TODAY()) ),   2, 0),  1, 1), 
  IFERROR( INDEX(FILTER('1. DATA CHUNG'!$J$4:$J$105, (TRIM('1. DATA CHUNG'!$I$4:$I$105)=TRIM(K288)) * IF(COUNTIFS('1. DATA CHUNG'!$I$4:$I$105,K288,'1. DATA CHUNG'!$M$4:$M$105,Q288), '1."&amp;" DATA CHUNG'!$M$4:$M$105=Q288, 1) * ('1. DATA CHUNG'!$L$4:$L$105="""")), 1), ""Không tìm thấy"" ))"),7.0)</f>
        <v>7</v>
      </c>
      <c r="AI288" s="273">
        <f t="shared" si="2"/>
        <v>46048</v>
      </c>
      <c r="AJ288" s="287"/>
      <c r="AK288" s="286">
        <f t="shared" si="3"/>
        <v>0</v>
      </c>
      <c r="AL288" s="287">
        <f t="shared" si="4"/>
        <v>-1</v>
      </c>
      <c r="AM288" s="287">
        <f t="shared" si="5"/>
        <v>3</v>
      </c>
      <c r="AN288" s="279">
        <f t="shared" si="6"/>
        <v>6</v>
      </c>
      <c r="AO288" s="295" t="str">
        <f t="shared" si="7"/>
        <v>01/2026</v>
      </c>
      <c r="AP288" s="277" t="str">
        <f t="array" ref="AP288">IFERROR(XLOOKUP(L288,'2. DATA NL, VTBB'!C:C,'2. DATA NL, VTBB'!F:F),"")</f>
        <v>HH0177</v>
      </c>
      <c r="AQ288" s="277" t="str">
        <f t="array" ref="AQ288">IF(OR(K288="Nhãn", K288="Nhãn thùng",K288="Nhãn Túi"), K288 &amp; " " &amp; IFERROR(XLOOKUP(L288, '2. DATA NL, VTBB'!C:C, '2. DATA NL, VTBB'!E:E), ""), "")</f>
        <v/>
      </c>
      <c r="AR288" s="278" t="str">
        <f t="array" ref="AR288">IFERROR(XLOOKUP(L288,'2. DATA NL, VTBB'!C:C,'2. DATA NL, VTBB'!G:G),"")</f>
        <v>GC - IV - 766 - VTNN Bảy Phận - Phanvil (chai HD cc)- 1L - 20</v>
      </c>
      <c r="AS288" s="278" t="str">
        <f t="array" ref="AS288">IFERROR(XLOOKUP(L288,'2. DATA NL, VTBB'!C:C,'2. DATA NL, VTBB'!G:G),"")</f>
        <v>GC - IV - 766 - VTNN Bảy Phận - Phanvil (chai HD cc)- 1L - 20</v>
      </c>
      <c r="AT288" s="277"/>
    </row>
    <row r="289" ht="30.75" customHeight="1">
      <c r="A289" s="272">
        <f t="shared" si="44"/>
        <v>286</v>
      </c>
      <c r="B289" s="289">
        <v>46041.0</v>
      </c>
      <c r="C289" s="273">
        <v>46042.0</v>
      </c>
      <c r="D289" s="273">
        <f t="shared" si="61"/>
        <v>46044</v>
      </c>
      <c r="E289" s="273">
        <f t="shared" si="63"/>
        <v>46045</v>
      </c>
      <c r="F289" s="274" t="s">
        <v>561</v>
      </c>
      <c r="G289" s="275" t="s">
        <v>562</v>
      </c>
      <c r="H289" s="274" t="s">
        <v>304</v>
      </c>
      <c r="I289" s="275" t="s">
        <v>765</v>
      </c>
      <c r="J289" s="272" t="s">
        <v>993</v>
      </c>
      <c r="K289" s="275" t="s">
        <v>730</v>
      </c>
      <c r="L289" s="277" t="s">
        <v>995</v>
      </c>
      <c r="M289" s="278" t="str">
        <f t="array" ref="M289">IFERROR(XLOOKUP(L289,'2. DATA NL, VTBB'!C:C,'2. DATA NL, VTBB'!D:D),"")</f>
        <v>Nắp HDPE cổ 31 (7g) - Đỏ</v>
      </c>
      <c r="N289" s="280"/>
      <c r="O289" s="280" t="str">
        <f t="array" ref="O289">IFERROR( XLOOKUP(L289,'2. DATA NL, VTBB'!C:C,'2. DATA NL, VTBB'!E:E),"")</f>
        <v>Mekongvil 5SC</v>
      </c>
      <c r="P289" s="275" t="s">
        <v>565</v>
      </c>
      <c r="Q289" s="311"/>
      <c r="R289" s="290" t="s">
        <v>566</v>
      </c>
      <c r="S289" s="280"/>
      <c r="T289" s="277"/>
      <c r="U289" s="277"/>
      <c r="V289" s="283">
        <v>1000.0</v>
      </c>
      <c r="W289" s="275" t="s">
        <v>699</v>
      </c>
      <c r="X289" s="283">
        <v>1000.0</v>
      </c>
      <c r="Y289" s="274">
        <v>1000.0</v>
      </c>
      <c r="Z289" s="272">
        <v>900.0</v>
      </c>
      <c r="AA289" s="285">
        <v>0.08</v>
      </c>
      <c r="AB289" s="282">
        <v>972000.0</v>
      </c>
      <c r="AC289" s="277"/>
      <c r="AD289" s="289">
        <v>46041.0</v>
      </c>
      <c r="AE289" s="312"/>
      <c r="AF289" s="277"/>
      <c r="AG289" s="277"/>
      <c r="AH289" s="294">
        <f>IFERROR(__xludf.DUMMYFUNCTION("IFERROR(INDEX( SORT(FILTER(
        {'1. DATA CHUNG'!$J$4:$J$105 , '1. DATA CHUNG'!$L$4:$L$105}, (TRIM('1. DATA CHUNG'!$I$4:$I$105)=TRIM(K289)) * IF(COUNTIFS('1. DATA CHUNG'!$I$4:$I$105,K289,'1. DATA CHUNG'!$M$4:$M$105,Q289), '1. DATA CHUNG'!$M$4:$M$105=Q"&amp;"289, 1) * ('1. DATA CHUNG'!$L$4:$L$105&lt;=TODAY()) ),   2, 0),  1, 1), 
  IFERROR( INDEX(FILTER('1. DATA CHUNG'!$J$4:$J$105, (TRIM('1. DATA CHUNG'!$I$4:$I$105)=TRIM(K289)) * IF(COUNTIFS('1. DATA CHUNG'!$I$4:$I$105,K289,'1. DATA CHUNG'!$M$4:$M$105,Q289), '1."&amp;" DATA CHUNG'!$M$4:$M$105=Q289, 1) * ('1. DATA CHUNG'!$L$4:$L$105="""")), 1), ""Không tìm thấy"" ))"),7.0)</f>
        <v>7</v>
      </c>
      <c r="AI289" s="273">
        <f t="shared" si="2"/>
        <v>46048</v>
      </c>
      <c r="AJ289" s="287"/>
      <c r="AK289" s="286">
        <f t="shared" si="3"/>
        <v>0</v>
      </c>
      <c r="AL289" s="287">
        <f t="shared" si="4"/>
        <v>-1</v>
      </c>
      <c r="AM289" s="287">
        <f t="shared" si="5"/>
        <v>3</v>
      </c>
      <c r="AN289" s="279">
        <f t="shared" si="6"/>
        <v>6</v>
      </c>
      <c r="AO289" s="295" t="str">
        <f t="shared" si="7"/>
        <v>01/2026</v>
      </c>
      <c r="AP289" s="277" t="str">
        <f t="array" ref="AP289">IFERROR(XLOOKUP(L289,'2. DATA NL, VTBB'!C:C,'2. DATA NL, VTBB'!F:F),"")</f>
        <v>HH0123</v>
      </c>
      <c r="AQ289" s="277" t="str">
        <f t="array" ref="AQ289">IF(OR(K289="Nhãn", K289="Nhãn thùng",K289="Nhãn Túi"), K289 &amp; " " &amp; IFERROR(XLOOKUP(L289, '2. DATA NL, VTBB'!C:C, '2. DATA NL, VTBB'!E:E), ""), "")</f>
        <v/>
      </c>
      <c r="AR289" s="278" t="str">
        <f t="array" ref="AR289">IFERROR(XLOOKUP(L289,'2. DATA NL, VTBB'!C:C,'2. DATA NL, VTBB'!G:G),"")</f>
        <v>GC - IV - 766 - VTNN Bảy Phận - Phanvil (chai HD cc)- 1L - 20</v>
      </c>
      <c r="AS289" s="278" t="str">
        <f t="array" ref="AS289">IFERROR(XLOOKUP(L289,'2. DATA NL, VTBB'!C:C,'2. DATA NL, VTBB'!G:G),"")</f>
        <v>GC - IV - 766 - VTNN Bảy Phận - Phanvil (chai HD cc)- 1L - 20</v>
      </c>
      <c r="AT289" s="277"/>
    </row>
    <row r="290" ht="30.75" customHeight="1">
      <c r="A290" s="272">
        <f t="shared" si="44"/>
        <v>287</v>
      </c>
      <c r="B290" s="289">
        <v>46042.0</v>
      </c>
      <c r="C290" s="273">
        <v>46043.0</v>
      </c>
      <c r="D290" s="273">
        <f t="shared" si="61"/>
        <v>46045</v>
      </c>
      <c r="E290" s="289">
        <v>46049.0</v>
      </c>
      <c r="F290" s="274" t="s">
        <v>561</v>
      </c>
      <c r="G290" s="275" t="s">
        <v>562</v>
      </c>
      <c r="H290" s="274" t="s">
        <v>304</v>
      </c>
      <c r="I290" s="275" t="s">
        <v>853</v>
      </c>
      <c r="J290" s="272" t="s">
        <v>996</v>
      </c>
      <c r="K290" s="275" t="s">
        <v>728</v>
      </c>
      <c r="L290" s="277" t="s">
        <v>855</v>
      </c>
      <c r="M290" s="278" t="str">
        <f t="array" ref="M290">IFERROR(XLOOKUP(L290,'2. DATA NL, VTBB'!C:C,'2. DATA NL, VTBB'!D:D),"")</f>
        <v>Chai PET tròn cổ 38 (65gr) 500ml - Màu trắng</v>
      </c>
      <c r="N290" s="280"/>
      <c r="O290" s="280" t="str">
        <f t="array" ref="O290">IFERROR( XLOOKUP(L290,'2. DATA NL, VTBB'!C:C,'2. DATA NL, VTBB'!E:E),"")</f>
        <v>BYPHAN 800WP</v>
      </c>
      <c r="P290" s="275" t="s">
        <v>565</v>
      </c>
      <c r="Q290" s="311"/>
      <c r="R290" s="290" t="s">
        <v>566</v>
      </c>
      <c r="S290" s="280"/>
      <c r="T290" s="277"/>
      <c r="U290" s="277"/>
      <c r="V290" s="283">
        <v>2000.0</v>
      </c>
      <c r="W290" s="275" t="s">
        <v>699</v>
      </c>
      <c r="X290" s="283">
        <v>2000.0</v>
      </c>
      <c r="Y290" s="274">
        <v>2000.0</v>
      </c>
      <c r="Z290" s="272">
        <v>3200.0</v>
      </c>
      <c r="AA290" s="285">
        <v>0.08</v>
      </c>
      <c r="AB290" s="282">
        <v>6912000.0</v>
      </c>
      <c r="AC290" s="277"/>
      <c r="AD290" s="289">
        <v>46042.0</v>
      </c>
      <c r="AE290" s="312"/>
      <c r="AF290" s="277"/>
      <c r="AG290" s="277"/>
      <c r="AH290" s="294">
        <f>IFERROR(__xludf.DUMMYFUNCTION("IFERROR(INDEX( SORT(FILTER(
        {'1. DATA CHUNG'!$J$4:$J$105 , '1. DATA CHUNG'!$L$4:$L$105}, (TRIM('1. DATA CHUNG'!$I$4:$I$105)=TRIM(K290)) * IF(COUNTIFS('1. DATA CHUNG'!$I$4:$I$105,K290,'1. DATA CHUNG'!$M$4:$M$105,Q290), '1. DATA CHUNG'!$M$4:$M$105=Q"&amp;"290, 1) * ('1. DATA CHUNG'!$L$4:$L$105&lt;=TODAY()) ),   2, 0),  1, 1), 
  IFERROR( INDEX(FILTER('1. DATA CHUNG'!$J$4:$J$105, (TRIM('1. DATA CHUNG'!$I$4:$I$105)=TRIM(K290)) * IF(COUNTIFS('1. DATA CHUNG'!$I$4:$I$105,K290,'1. DATA CHUNG'!$M$4:$M$105,Q290), '1."&amp;" DATA CHUNG'!$M$4:$M$105=Q290, 1) * ('1. DATA CHUNG'!$L$4:$L$105="""")), 1), ""Không tìm thấy"" ))"),7.0)</f>
        <v>7</v>
      </c>
      <c r="AI290" s="273">
        <f t="shared" si="2"/>
        <v>46049</v>
      </c>
      <c r="AJ290" s="287"/>
      <c r="AK290" s="286">
        <f t="shared" si="3"/>
        <v>0</v>
      </c>
      <c r="AL290" s="287">
        <f t="shared" si="4"/>
        <v>-4</v>
      </c>
      <c r="AM290" s="287">
        <f t="shared" si="5"/>
        <v>0</v>
      </c>
      <c r="AN290" s="279">
        <f t="shared" si="6"/>
        <v>6</v>
      </c>
      <c r="AO290" s="295" t="str">
        <f t="shared" si="7"/>
        <v>01/2026</v>
      </c>
      <c r="AP290" s="277" t="str">
        <f t="array" ref="AP290">IFERROR(XLOOKUP(L290,'2. DATA NL, VTBB'!C:C,'2. DATA NL, VTBB'!F:F),"")</f>
        <v>HH0215</v>
      </c>
      <c r="AQ290" s="277" t="str">
        <f t="array" ref="AQ290">IF(OR(K290="Nhãn", K290="Nhãn thùng",K290="Nhãn Túi"), K290 &amp; " " &amp; IFERROR(XLOOKUP(L290, '2. DATA NL, VTBB'!C:C, '2. DATA NL, VTBB'!E:E), ""), "")</f>
        <v/>
      </c>
      <c r="AR290" s="278" t="str">
        <f t="array" ref="AR290">IFERROR(XLOOKUP(L290,'2. DATA NL, VTBB'!C:C,'2. DATA NL, VTBB'!G:G),"")</f>
        <v>LOT IDA Global - I - 847 - ĐL Hồng Liệt - Mancozeb xanh - 1 Kg - 20</v>
      </c>
      <c r="AS290" s="278" t="str">
        <f t="array" ref="AS290">IFERROR(XLOOKUP(L290,'2. DATA NL, VTBB'!C:C,'2. DATA NL, VTBB'!G:G),"")</f>
        <v>LOT IDA Global - I - 847 - ĐL Hồng Liệt - Mancozeb xanh - 1 Kg - 20</v>
      </c>
      <c r="AT290" s="277"/>
    </row>
    <row r="291" ht="30.75" customHeight="1">
      <c r="A291" s="272">
        <f t="shared" si="44"/>
        <v>288</v>
      </c>
      <c r="B291" s="289">
        <v>46042.0</v>
      </c>
      <c r="C291" s="273">
        <v>46043.0</v>
      </c>
      <c r="D291" s="273">
        <f t="shared" si="61"/>
        <v>46045</v>
      </c>
      <c r="E291" s="289">
        <v>46049.0</v>
      </c>
      <c r="F291" s="274" t="s">
        <v>561</v>
      </c>
      <c r="G291" s="275" t="s">
        <v>562</v>
      </c>
      <c r="H291" s="274" t="s">
        <v>304</v>
      </c>
      <c r="I291" s="275" t="s">
        <v>853</v>
      </c>
      <c r="J291" s="272" t="s">
        <v>996</v>
      </c>
      <c r="K291" s="275" t="s">
        <v>730</v>
      </c>
      <c r="L291" s="277" t="s">
        <v>776</v>
      </c>
      <c r="M291" s="278" t="str">
        <f t="array" ref="M291">IFERROR(XLOOKUP(L291,'2. DATA NL, VTBB'!C:C,'2. DATA NL, VTBB'!D:D),"")</f>
        <v>Nắp PET cổ 38 (7gr) gầy- Màu trắng</v>
      </c>
      <c r="N291" s="280"/>
      <c r="O291" s="280" t="str">
        <f t="array" ref="O291">IFERROR( XLOOKUP(L291,'2. DATA NL, VTBB'!C:C,'2. DATA NL, VTBB'!E:E),"")</f>
        <v>BYPHAN 800WP</v>
      </c>
      <c r="P291" s="275" t="s">
        <v>565</v>
      </c>
      <c r="Q291" s="311"/>
      <c r="R291" s="290" t="s">
        <v>566</v>
      </c>
      <c r="S291" s="280"/>
      <c r="T291" s="277"/>
      <c r="U291" s="277"/>
      <c r="V291" s="283">
        <v>2000.0</v>
      </c>
      <c r="W291" s="275" t="s">
        <v>699</v>
      </c>
      <c r="X291" s="283">
        <v>2000.0</v>
      </c>
      <c r="Y291" s="274">
        <v>2000.0</v>
      </c>
      <c r="Z291" s="272">
        <v>700.0</v>
      </c>
      <c r="AA291" s="285">
        <v>0.08</v>
      </c>
      <c r="AB291" s="282">
        <v>1512000.0</v>
      </c>
      <c r="AC291" s="277"/>
      <c r="AD291" s="289">
        <v>46042.0</v>
      </c>
      <c r="AE291" s="312"/>
      <c r="AF291" s="277"/>
      <c r="AG291" s="277"/>
      <c r="AH291" s="294">
        <f>IFERROR(__xludf.DUMMYFUNCTION("IFERROR(INDEX( SORT(FILTER(
        {'1. DATA CHUNG'!$J$4:$J$105 , '1. DATA CHUNG'!$L$4:$L$105}, (TRIM('1. DATA CHUNG'!$I$4:$I$105)=TRIM(K291)) * IF(COUNTIFS('1. DATA CHUNG'!$I$4:$I$105,K291,'1. DATA CHUNG'!$M$4:$M$105,Q291), '1. DATA CHUNG'!$M$4:$M$105=Q"&amp;"291, 1) * ('1. DATA CHUNG'!$L$4:$L$105&lt;=TODAY()) ),   2, 0),  1, 1), 
  IFERROR( INDEX(FILTER('1. DATA CHUNG'!$J$4:$J$105, (TRIM('1. DATA CHUNG'!$I$4:$I$105)=TRIM(K291)) * IF(COUNTIFS('1. DATA CHUNG'!$I$4:$I$105,K291,'1. DATA CHUNG'!$M$4:$M$105,Q291), '1."&amp;" DATA CHUNG'!$M$4:$M$105=Q291, 1) * ('1. DATA CHUNG'!$L$4:$L$105="""")), 1), ""Không tìm thấy"" ))"),7.0)</f>
        <v>7</v>
      </c>
      <c r="AI291" s="273">
        <f t="shared" si="2"/>
        <v>46049</v>
      </c>
      <c r="AJ291" s="287"/>
      <c r="AK291" s="286">
        <f t="shared" si="3"/>
        <v>0</v>
      </c>
      <c r="AL291" s="287">
        <f t="shared" si="4"/>
        <v>-4</v>
      </c>
      <c r="AM291" s="287">
        <f t="shared" si="5"/>
        <v>0</v>
      </c>
      <c r="AN291" s="279">
        <f t="shared" si="6"/>
        <v>6</v>
      </c>
      <c r="AO291" s="295" t="str">
        <f t="shared" si="7"/>
        <v>01/2026</v>
      </c>
      <c r="AP291" s="277" t="str">
        <f t="array" ref="AP291">IFERROR(XLOOKUP(L291,'2. DATA NL, VTBB'!C:C,'2. DATA NL, VTBB'!F:F),"")</f>
        <v>HH0138</v>
      </c>
      <c r="AQ291" s="277" t="str">
        <f t="array" ref="AQ291">IF(OR(K291="Nhãn", K291="Nhãn thùng",K291="Nhãn Túi"), K291 &amp; " " &amp; IFERROR(XLOOKUP(L291, '2. DATA NL, VTBB'!C:C, '2. DATA NL, VTBB'!E:E), ""), "")</f>
        <v/>
      </c>
      <c r="AR291" s="278" t="str">
        <f t="array" ref="AR291">IFERROR(XLOOKUP(L291,'2. DATA NL, VTBB'!C:C,'2. DATA NL, VTBB'!G:G),"")</f>
        <v>LOT IDA Global - I - 847 - ĐL Hồng Liệt - Mancozeb xanh - 1 Kg - 20</v>
      </c>
      <c r="AS291" s="278" t="str">
        <f t="array" ref="AS291">IFERROR(XLOOKUP(L291,'2. DATA NL, VTBB'!C:C,'2. DATA NL, VTBB'!G:G),"")</f>
        <v>LOT IDA Global - I - 847 - ĐL Hồng Liệt - Mancozeb xanh - 1 Kg - 20</v>
      </c>
      <c r="AT291" s="277"/>
    </row>
    <row r="292" ht="30.75" customHeight="1">
      <c r="A292" s="272">
        <f t="shared" si="44"/>
        <v>289</v>
      </c>
      <c r="B292" s="289">
        <v>46042.0</v>
      </c>
      <c r="C292" s="273">
        <v>46043.0</v>
      </c>
      <c r="D292" s="273">
        <f t="shared" si="61"/>
        <v>46045</v>
      </c>
      <c r="E292" s="289">
        <v>46048.0</v>
      </c>
      <c r="F292" s="274" t="s">
        <v>561</v>
      </c>
      <c r="G292" s="275" t="s">
        <v>580</v>
      </c>
      <c r="H292" s="274" t="s">
        <v>304</v>
      </c>
      <c r="I292" s="275" t="s">
        <v>744</v>
      </c>
      <c r="J292" s="272" t="s">
        <v>997</v>
      </c>
      <c r="K292" s="275" t="s">
        <v>728</v>
      </c>
      <c r="L292" s="277" t="s">
        <v>848</v>
      </c>
      <c r="M292" s="278" t="str">
        <f t="array" ref="M292">IFERROR(XLOOKUP(L292,'2. DATA NL, VTBB'!C:C,'2. DATA NL, VTBB'!D:D),"")</f>
        <v>Chai HDPE tròn cổ 43 450ml-500ml (72gr) logo IDA màu trắng</v>
      </c>
      <c r="N292" s="280"/>
      <c r="O292" s="280" t="str">
        <f t="array" ref="O292">IFERROR( XLOOKUP(L292,'2. DATA NL, VTBB'!C:C,'2. DATA NL, VTBB'!E:E),"")</f>
        <v>Vi lượng Quantity New</v>
      </c>
      <c r="P292" s="275" t="s">
        <v>565</v>
      </c>
      <c r="Q292" s="311"/>
      <c r="R292" s="291" t="s">
        <v>573</v>
      </c>
      <c r="S292" s="280"/>
      <c r="T292" s="277"/>
      <c r="U292" s="277"/>
      <c r="V292" s="283">
        <v>5000.0</v>
      </c>
      <c r="W292" s="275" t="s">
        <v>699</v>
      </c>
      <c r="X292" s="283">
        <v>5000.0</v>
      </c>
      <c r="Y292" s="274">
        <v>5005.0</v>
      </c>
      <c r="Z292" s="272">
        <v>4000.0</v>
      </c>
      <c r="AA292" s="285">
        <v>0.08</v>
      </c>
      <c r="AB292" s="282">
        <v>2.16216E7</v>
      </c>
      <c r="AC292" s="277"/>
      <c r="AD292" s="289">
        <v>46042.0</v>
      </c>
      <c r="AE292" s="312"/>
      <c r="AF292" s="277"/>
      <c r="AG292" s="277"/>
      <c r="AH292" s="294">
        <f>IFERROR(__xludf.DUMMYFUNCTION("IFERROR(INDEX( SORT(FILTER(
        {'1. DATA CHUNG'!$J$4:$J$105 , '1. DATA CHUNG'!$L$4:$L$105}, (TRIM('1. DATA CHUNG'!$I$4:$I$105)=TRIM(K292)) * IF(COUNTIFS('1. DATA CHUNG'!$I$4:$I$105,K292,'1. DATA CHUNG'!$M$4:$M$105,Q292), '1. DATA CHUNG'!$M$4:$M$105=Q"&amp;"292, 1) * ('1. DATA CHUNG'!$L$4:$L$105&lt;=TODAY()) ),   2, 0),  1, 1), 
  IFERROR( INDEX(FILTER('1. DATA CHUNG'!$J$4:$J$105, (TRIM('1. DATA CHUNG'!$I$4:$I$105)=TRIM(K292)) * IF(COUNTIFS('1. DATA CHUNG'!$I$4:$I$105,K292,'1. DATA CHUNG'!$M$4:$M$105,Q292), '1."&amp;" DATA CHUNG'!$M$4:$M$105=Q292, 1) * ('1. DATA CHUNG'!$L$4:$L$105="""")), 1), ""Không tìm thấy"" ))"),7.0)</f>
        <v>7</v>
      </c>
      <c r="AI292" s="273">
        <f t="shared" si="2"/>
        <v>46049</v>
      </c>
      <c r="AJ292" s="287"/>
      <c r="AK292" s="286">
        <f t="shared" si="3"/>
        <v>0</v>
      </c>
      <c r="AL292" s="287">
        <f t="shared" si="4"/>
        <v>-3</v>
      </c>
      <c r="AM292" s="287">
        <f t="shared" si="5"/>
        <v>1</v>
      </c>
      <c r="AN292" s="279">
        <f t="shared" si="6"/>
        <v>6</v>
      </c>
      <c r="AO292" s="295" t="str">
        <f t="shared" si="7"/>
        <v>01/2026</v>
      </c>
      <c r="AP292" s="277" t="str">
        <f t="array" ref="AP292">IFERROR(XLOOKUP(L292,'2. DATA NL, VTBB'!C:C,'2. DATA NL, VTBB'!F:F),"")</f>
        <v>HH0174</v>
      </c>
      <c r="AQ292" s="277" t="str">
        <f t="array" ref="AQ292">IF(OR(K292="Nhãn", K292="Nhãn thùng",K292="Nhãn Túi"), K292 &amp; " " &amp; IFERROR(XLOOKUP(L292, '2. DATA NL, VTBB'!C:C, '2. DATA NL, VTBB'!E:E), ""), "")</f>
        <v/>
      </c>
      <c r="AR292" s="278" t="str">
        <f t="array" ref="AR292">IFERROR(XLOOKUP(L292,'2. DATA NL, VTBB'!C:C,'2. DATA NL, VTBB'!G:G),"")</f>
        <v>GC - II - 762 - A Thời GNH - Siêu kích rễ (chai HD) - 500ml - 40</v>
      </c>
      <c r="AS292" s="278" t="str">
        <f t="array" ref="AS292">IFERROR(XLOOKUP(L292,'2. DATA NL, VTBB'!C:C,'2. DATA NL, VTBB'!G:G),"")</f>
        <v>GC - II - 762 - A Thời GNH - Siêu kích rễ (chai HD) - 500ml - 40</v>
      </c>
      <c r="AT292" s="277"/>
    </row>
    <row r="293" ht="30.75" customHeight="1">
      <c r="A293" s="272">
        <f t="shared" si="44"/>
        <v>290</v>
      </c>
      <c r="B293" s="289">
        <v>46042.0</v>
      </c>
      <c r="C293" s="273">
        <v>46043.0</v>
      </c>
      <c r="D293" s="273">
        <f t="shared" si="61"/>
        <v>46045</v>
      </c>
      <c r="E293" s="289">
        <v>46048.0</v>
      </c>
      <c r="F293" s="274" t="s">
        <v>561</v>
      </c>
      <c r="G293" s="275" t="s">
        <v>580</v>
      </c>
      <c r="H293" s="274" t="s">
        <v>304</v>
      </c>
      <c r="I293" s="275" t="s">
        <v>744</v>
      </c>
      <c r="J293" s="272" t="s">
        <v>997</v>
      </c>
      <c r="K293" s="275" t="s">
        <v>730</v>
      </c>
      <c r="L293" s="277" t="s">
        <v>998</v>
      </c>
      <c r="M293" s="278" t="str">
        <f t="array" ref="M293">IFERROR(XLOOKUP(L293,'2. DATA NL, VTBB'!C:C,'2. DATA NL, VTBB'!D:D),"")</f>
        <v>Nắp HDPE cổ 43 (10gr) logo IDA màu xanh dương</v>
      </c>
      <c r="N293" s="280"/>
      <c r="O293" s="280" t="str">
        <f t="array" ref="O293">IFERROR( XLOOKUP(L293,'2. DATA NL, VTBB'!C:C,'2. DATA NL, VTBB'!E:E),"")</f>
        <v>Prima 04</v>
      </c>
      <c r="P293" s="275" t="s">
        <v>565</v>
      </c>
      <c r="Q293" s="311"/>
      <c r="R293" s="291" t="s">
        <v>573</v>
      </c>
      <c r="S293" s="280"/>
      <c r="T293" s="277"/>
      <c r="U293" s="277"/>
      <c r="V293" s="283">
        <v>5000.0</v>
      </c>
      <c r="W293" s="275" t="s">
        <v>699</v>
      </c>
      <c r="X293" s="283">
        <v>5000.0</v>
      </c>
      <c r="Y293" s="274">
        <v>5005.0</v>
      </c>
      <c r="Z293" s="272">
        <v>1000.0</v>
      </c>
      <c r="AA293" s="285">
        <v>0.08</v>
      </c>
      <c r="AB293" s="282">
        <v>5405400.0</v>
      </c>
      <c r="AC293" s="277"/>
      <c r="AD293" s="289">
        <v>46042.0</v>
      </c>
      <c r="AE293" s="312"/>
      <c r="AF293" s="277"/>
      <c r="AG293" s="277"/>
      <c r="AH293" s="294">
        <f>IFERROR(__xludf.DUMMYFUNCTION("IFERROR(INDEX( SORT(FILTER(
        {'1. DATA CHUNG'!$J$4:$J$105 , '1. DATA CHUNG'!$L$4:$L$105}, (TRIM('1. DATA CHUNG'!$I$4:$I$105)=TRIM(K293)) * IF(COUNTIFS('1. DATA CHUNG'!$I$4:$I$105,K293,'1. DATA CHUNG'!$M$4:$M$105,Q293), '1. DATA CHUNG'!$M$4:$M$105=Q"&amp;"293, 1) * ('1. DATA CHUNG'!$L$4:$L$105&lt;=TODAY()) ),   2, 0),  1, 1), 
  IFERROR( INDEX(FILTER('1. DATA CHUNG'!$J$4:$J$105, (TRIM('1. DATA CHUNG'!$I$4:$I$105)=TRIM(K293)) * IF(COUNTIFS('1. DATA CHUNG'!$I$4:$I$105,K293,'1. DATA CHUNG'!$M$4:$M$105,Q293), '1."&amp;" DATA CHUNG'!$M$4:$M$105=Q293, 1) * ('1. DATA CHUNG'!$L$4:$L$105="""")), 1), ""Không tìm thấy"" ))"),7.0)</f>
        <v>7</v>
      </c>
      <c r="AI293" s="273">
        <f t="shared" si="2"/>
        <v>46049</v>
      </c>
      <c r="AJ293" s="287"/>
      <c r="AK293" s="286">
        <f t="shared" si="3"/>
        <v>0</v>
      </c>
      <c r="AL293" s="287">
        <f t="shared" si="4"/>
        <v>-3</v>
      </c>
      <c r="AM293" s="287">
        <f t="shared" si="5"/>
        <v>1</v>
      </c>
      <c r="AN293" s="279">
        <f t="shared" si="6"/>
        <v>6</v>
      </c>
      <c r="AO293" s="295" t="str">
        <f t="shared" si="7"/>
        <v>01/2026</v>
      </c>
      <c r="AP293" s="277" t="str">
        <f t="array" ref="AP293">IFERROR(XLOOKUP(L293,'2. DATA NL, VTBB'!C:C,'2. DATA NL, VTBB'!F:F),"")</f>
        <v>HH0043</v>
      </c>
      <c r="AQ293" s="277" t="str">
        <f t="array" ref="AQ293">IF(OR(K293="Nhãn", K293="Nhãn thùng",K293="Nhãn Túi"), K293 &amp; " " &amp; IFERROR(XLOOKUP(L293, '2. DATA NL, VTBB'!C:C, '2. DATA NL, VTBB'!E:E), ""), "")</f>
        <v/>
      </c>
      <c r="AR293" s="278" t="str">
        <f t="array" ref="AR293">IFERROR(XLOOKUP(L293,'2. DATA NL, VTBB'!C:C,'2. DATA NL, VTBB'!G:G),"")</f>
        <v>GC - I - 505 - Agriscience - Calcibor (Chai Pet) - 500ml - 40</v>
      </c>
      <c r="AS293" s="278" t="str">
        <f t="array" ref="AS293">IFERROR(XLOOKUP(L293,'2. DATA NL, VTBB'!C:C,'2. DATA NL, VTBB'!G:G),"")</f>
        <v>GC - I - 505 - Agriscience - Calcibor (Chai Pet) - 500ml - 40</v>
      </c>
      <c r="AT293" s="277"/>
    </row>
    <row r="294" ht="30.75" customHeight="1">
      <c r="A294" s="272">
        <f t="shared" si="44"/>
        <v>291</v>
      </c>
      <c r="B294" s="289">
        <v>46042.0</v>
      </c>
      <c r="C294" s="273">
        <v>46043.0</v>
      </c>
      <c r="D294" s="273">
        <f t="shared" si="61"/>
        <v>46045</v>
      </c>
      <c r="E294" s="289">
        <v>46048.0</v>
      </c>
      <c r="F294" s="274" t="s">
        <v>561</v>
      </c>
      <c r="G294" s="275" t="s">
        <v>580</v>
      </c>
      <c r="H294" s="274" t="s">
        <v>304</v>
      </c>
      <c r="I294" s="275" t="s">
        <v>744</v>
      </c>
      <c r="J294" s="272" t="s">
        <v>999</v>
      </c>
      <c r="K294" s="275" t="s">
        <v>728</v>
      </c>
      <c r="L294" s="277" t="s">
        <v>848</v>
      </c>
      <c r="M294" s="278" t="str">
        <f t="array" ref="M294">IFERROR(XLOOKUP(L294,'2. DATA NL, VTBB'!C:C,'2. DATA NL, VTBB'!D:D),"")</f>
        <v>Chai HDPE tròn cổ 43 450ml-500ml (72gr) logo IDA màu trắng</v>
      </c>
      <c r="N294" s="280"/>
      <c r="O294" s="280" t="str">
        <f t="array" ref="O294">IFERROR( XLOOKUP(L294,'2. DATA NL, VTBB'!C:C,'2. DATA NL, VTBB'!E:E),"")</f>
        <v>Vi lượng Quantity New</v>
      </c>
      <c r="P294" s="275" t="s">
        <v>565</v>
      </c>
      <c r="Q294" s="311"/>
      <c r="R294" s="291" t="s">
        <v>622</v>
      </c>
      <c r="S294" s="280"/>
      <c r="T294" s="277"/>
      <c r="U294" s="277"/>
      <c r="V294" s="283">
        <v>5000.0</v>
      </c>
      <c r="W294" s="275" t="s">
        <v>699</v>
      </c>
      <c r="X294" s="283">
        <v>5000.0</v>
      </c>
      <c r="Y294" s="274">
        <v>5005.0</v>
      </c>
      <c r="Z294" s="272">
        <v>4000.0</v>
      </c>
      <c r="AA294" s="285">
        <v>0.08</v>
      </c>
      <c r="AB294" s="282">
        <v>2.16216E7</v>
      </c>
      <c r="AC294" s="277"/>
      <c r="AD294" s="289">
        <v>46042.0</v>
      </c>
      <c r="AE294" s="312"/>
      <c r="AF294" s="277"/>
      <c r="AG294" s="277"/>
      <c r="AH294" s="294">
        <f>IFERROR(__xludf.DUMMYFUNCTION("IFERROR(INDEX( SORT(FILTER(
        {'1. DATA CHUNG'!$J$4:$J$105 , '1. DATA CHUNG'!$L$4:$L$105}, (TRIM('1. DATA CHUNG'!$I$4:$I$105)=TRIM(K294)) * IF(COUNTIFS('1. DATA CHUNG'!$I$4:$I$105,K294,'1. DATA CHUNG'!$M$4:$M$105,Q294), '1. DATA CHUNG'!$M$4:$M$105=Q"&amp;"294, 1) * ('1. DATA CHUNG'!$L$4:$L$105&lt;=TODAY()) ),   2, 0),  1, 1), 
  IFERROR( INDEX(FILTER('1. DATA CHUNG'!$J$4:$J$105, (TRIM('1. DATA CHUNG'!$I$4:$I$105)=TRIM(K294)) * IF(COUNTIFS('1. DATA CHUNG'!$I$4:$I$105,K294,'1. DATA CHUNG'!$M$4:$M$105,Q294), '1."&amp;" DATA CHUNG'!$M$4:$M$105=Q294, 1) * ('1. DATA CHUNG'!$L$4:$L$105="""")), 1), ""Không tìm thấy"" ))"),7.0)</f>
        <v>7</v>
      </c>
      <c r="AI294" s="273">
        <f t="shared" si="2"/>
        <v>46049</v>
      </c>
      <c r="AJ294" s="287"/>
      <c r="AK294" s="286">
        <f t="shared" si="3"/>
        <v>0</v>
      </c>
      <c r="AL294" s="287">
        <f t="shared" si="4"/>
        <v>-3</v>
      </c>
      <c r="AM294" s="287">
        <f t="shared" si="5"/>
        <v>1</v>
      </c>
      <c r="AN294" s="279">
        <f t="shared" si="6"/>
        <v>6</v>
      </c>
      <c r="AO294" s="295" t="str">
        <f t="shared" si="7"/>
        <v>01/2026</v>
      </c>
      <c r="AP294" s="277" t="str">
        <f t="array" ref="AP294">IFERROR(XLOOKUP(L294,'2. DATA NL, VTBB'!C:C,'2. DATA NL, VTBB'!F:F),"")</f>
        <v>HH0174</v>
      </c>
      <c r="AQ294" s="277" t="str">
        <f t="array" ref="AQ294">IF(OR(K294="Nhãn", K294="Nhãn thùng",K294="Nhãn Túi"), K294 &amp; " " &amp; IFERROR(XLOOKUP(L294, '2. DATA NL, VTBB'!C:C, '2. DATA NL, VTBB'!E:E), ""), "")</f>
        <v/>
      </c>
      <c r="AR294" s="278" t="str">
        <f t="array" ref="AR294">IFERROR(XLOOKUP(L294,'2. DATA NL, VTBB'!C:C,'2. DATA NL, VTBB'!G:G),"")</f>
        <v>GC - II - 762 - A Thời GNH - Siêu kích rễ (chai HD) - 500ml - 40</v>
      </c>
      <c r="AS294" s="278" t="str">
        <f t="array" ref="AS294">IFERROR(XLOOKUP(L294,'2. DATA NL, VTBB'!C:C,'2. DATA NL, VTBB'!G:G),"")</f>
        <v>GC - II - 762 - A Thời GNH - Siêu kích rễ (chai HD) - 500ml - 40</v>
      </c>
      <c r="AT294" s="277"/>
    </row>
    <row r="295" ht="30.75" customHeight="1">
      <c r="A295" s="272">
        <f t="shared" si="44"/>
        <v>292</v>
      </c>
      <c r="B295" s="289">
        <v>46042.0</v>
      </c>
      <c r="C295" s="273">
        <v>46043.0</v>
      </c>
      <c r="D295" s="273">
        <f t="shared" si="61"/>
        <v>46045</v>
      </c>
      <c r="E295" s="289">
        <v>46048.0</v>
      </c>
      <c r="F295" s="274" t="s">
        <v>561</v>
      </c>
      <c r="G295" s="275" t="s">
        <v>580</v>
      </c>
      <c r="H295" s="274" t="s">
        <v>304</v>
      </c>
      <c r="I295" s="275" t="s">
        <v>744</v>
      </c>
      <c r="J295" s="272" t="s">
        <v>999</v>
      </c>
      <c r="K295" s="275" t="s">
        <v>730</v>
      </c>
      <c r="L295" s="277" t="s">
        <v>810</v>
      </c>
      <c r="M295" s="278" t="str">
        <f t="array" ref="M295">IFERROR(XLOOKUP(L295,'2. DATA NL, VTBB'!C:C,'2. DATA NL, VTBB'!D:D),"")</f>
        <v>Nắp HDPE cổ 43 (10gr) logo IDA màu trắng</v>
      </c>
      <c r="N295" s="280"/>
      <c r="O295" s="280" t="str">
        <f t="array" ref="O295">IFERROR( XLOOKUP(L295,'2. DATA NL, VTBB'!C:C,'2. DATA NL, VTBB'!E:E),"")</f>
        <v>Acodyl 35WP</v>
      </c>
      <c r="P295" s="275" t="s">
        <v>565</v>
      </c>
      <c r="Q295" s="311"/>
      <c r="R295" s="291" t="s">
        <v>622</v>
      </c>
      <c r="S295" s="280"/>
      <c r="T295" s="277"/>
      <c r="U295" s="277"/>
      <c r="V295" s="283">
        <v>5000.0</v>
      </c>
      <c r="W295" s="275" t="s">
        <v>699</v>
      </c>
      <c r="X295" s="283">
        <v>5000.0</v>
      </c>
      <c r="Y295" s="274">
        <v>5005.0</v>
      </c>
      <c r="Z295" s="272">
        <v>1000.0</v>
      </c>
      <c r="AA295" s="285">
        <v>0.08</v>
      </c>
      <c r="AB295" s="282">
        <v>5405400.0</v>
      </c>
      <c r="AC295" s="277"/>
      <c r="AD295" s="289">
        <v>46042.0</v>
      </c>
      <c r="AE295" s="312"/>
      <c r="AF295" s="277"/>
      <c r="AG295" s="277"/>
      <c r="AH295" s="294">
        <f>IFERROR(__xludf.DUMMYFUNCTION("IFERROR(INDEX( SORT(FILTER(
        {'1. DATA CHUNG'!$J$4:$J$105 , '1. DATA CHUNG'!$L$4:$L$105}, (TRIM('1. DATA CHUNG'!$I$4:$I$105)=TRIM(K295)) * IF(COUNTIFS('1. DATA CHUNG'!$I$4:$I$105,K295,'1. DATA CHUNG'!$M$4:$M$105,Q295), '1. DATA CHUNG'!$M$4:$M$105=Q"&amp;"295, 1) * ('1. DATA CHUNG'!$L$4:$L$105&lt;=TODAY()) ),   2, 0),  1, 1), 
  IFERROR( INDEX(FILTER('1. DATA CHUNG'!$J$4:$J$105, (TRIM('1. DATA CHUNG'!$I$4:$I$105)=TRIM(K295)) * IF(COUNTIFS('1. DATA CHUNG'!$I$4:$I$105,K295,'1. DATA CHUNG'!$M$4:$M$105,Q295), '1."&amp;" DATA CHUNG'!$M$4:$M$105=Q295, 1) * ('1. DATA CHUNG'!$L$4:$L$105="""")), 1), ""Không tìm thấy"" ))"),7.0)</f>
        <v>7</v>
      </c>
      <c r="AI295" s="273">
        <f t="shared" si="2"/>
        <v>46049</v>
      </c>
      <c r="AJ295" s="287"/>
      <c r="AK295" s="286">
        <f t="shared" si="3"/>
        <v>0</v>
      </c>
      <c r="AL295" s="287">
        <f t="shared" si="4"/>
        <v>-3</v>
      </c>
      <c r="AM295" s="287">
        <f t="shared" si="5"/>
        <v>1</v>
      </c>
      <c r="AN295" s="279">
        <f t="shared" si="6"/>
        <v>6</v>
      </c>
      <c r="AO295" s="295" t="str">
        <f t="shared" si="7"/>
        <v>01/2026</v>
      </c>
      <c r="AP295" s="277" t="str">
        <f t="array" ref="AP295">IFERROR(XLOOKUP(L295,'2. DATA NL, VTBB'!C:C,'2. DATA NL, VTBB'!F:F),"")</f>
        <v>HH0017</v>
      </c>
      <c r="AQ295" s="277" t="str">
        <f t="array" ref="AQ295">IF(OR(K295="Nhãn", K295="Nhãn thùng",K295="Nhãn Túi"), K295 &amp; " " &amp; IFERROR(XLOOKUP(L295, '2. DATA NL, VTBB'!C:C, '2. DATA NL, VTBB'!E:E), ""), "")</f>
        <v/>
      </c>
      <c r="AR295" s="278" t="str">
        <f t="array" ref="AR295">IFERROR(XLOOKUP(L295,'2. DATA NL, VTBB'!C:C,'2. DATA NL, VTBB'!G:G),"")</f>
        <v>GC - I - 309 - Wettable Powder - 100gr - 100</v>
      </c>
      <c r="AS295" s="278" t="str">
        <f t="array" ref="AS295">IFERROR(XLOOKUP(L295,'2. DATA NL, VTBB'!C:C,'2. DATA NL, VTBB'!G:G),"")</f>
        <v>GC - I - 309 - Wettable Powder - 100gr - 100</v>
      </c>
      <c r="AT295" s="277"/>
    </row>
    <row r="296" ht="30.75" customHeight="1">
      <c r="A296" s="272">
        <f t="shared" si="44"/>
        <v>293</v>
      </c>
      <c r="B296" s="289">
        <v>46042.0</v>
      </c>
      <c r="C296" s="273">
        <v>46043.0</v>
      </c>
      <c r="D296" s="273">
        <f t="shared" si="61"/>
        <v>46045</v>
      </c>
      <c r="E296" s="289">
        <v>46049.0</v>
      </c>
      <c r="F296" s="274" t="s">
        <v>561</v>
      </c>
      <c r="G296" s="275" t="s">
        <v>562</v>
      </c>
      <c r="H296" s="274" t="s">
        <v>304</v>
      </c>
      <c r="I296" s="275" t="s">
        <v>744</v>
      </c>
      <c r="J296" s="272" t="s">
        <v>1000</v>
      </c>
      <c r="K296" s="275" t="s">
        <v>728</v>
      </c>
      <c r="L296" s="277" t="s">
        <v>1001</v>
      </c>
      <c r="M296" s="278" t="str">
        <f t="array" ref="M296">IFERROR(XLOOKUP(L296,'2. DATA NL, VTBB'!C:C,'2. DATA NL, VTBB'!D:D),"")</f>
        <v>Chai HDPE tròn cổ 43 450ml-500ml (72gr) logo IDA màu xanh lá</v>
      </c>
      <c r="N296" s="280"/>
      <c r="O296" s="280" t="str">
        <f t="array" ref="O296">IFERROR( XLOOKUP(L296,'2. DATA NL, VTBB'!C:C,'2. DATA NL, VTBB'!E:E),"")</f>
        <v>Vi lượng Basel IDA 50</v>
      </c>
      <c r="P296" s="275" t="s">
        <v>565</v>
      </c>
      <c r="Q296" s="311"/>
      <c r="R296" s="290" t="s">
        <v>566</v>
      </c>
      <c r="S296" s="280"/>
      <c r="T296" s="277"/>
      <c r="U296" s="277"/>
      <c r="V296" s="283">
        <v>5000.0</v>
      </c>
      <c r="W296" s="275" t="s">
        <v>699</v>
      </c>
      <c r="X296" s="283">
        <v>5000.0</v>
      </c>
      <c r="Y296" s="274">
        <v>5000.0</v>
      </c>
      <c r="Z296" s="272">
        <v>4000.0</v>
      </c>
      <c r="AA296" s="285">
        <v>0.08</v>
      </c>
      <c r="AB296" s="282">
        <v>2.16E7</v>
      </c>
      <c r="AC296" s="277"/>
      <c r="AD296" s="289">
        <v>46042.0</v>
      </c>
      <c r="AE296" s="312"/>
      <c r="AF296" s="277"/>
      <c r="AG296" s="277"/>
      <c r="AH296" s="294">
        <f>IFERROR(__xludf.DUMMYFUNCTION("IFERROR(INDEX( SORT(FILTER(
        {'1. DATA CHUNG'!$J$4:$J$105 , '1. DATA CHUNG'!$L$4:$L$105}, (TRIM('1. DATA CHUNG'!$I$4:$I$105)=TRIM(K296)) * IF(COUNTIFS('1. DATA CHUNG'!$I$4:$I$105,K296,'1. DATA CHUNG'!$M$4:$M$105,Q296), '1. DATA CHUNG'!$M$4:$M$105=Q"&amp;"296, 1) * ('1. DATA CHUNG'!$L$4:$L$105&lt;=TODAY()) ),   2, 0),  1, 1), 
  IFERROR( INDEX(FILTER('1. DATA CHUNG'!$J$4:$J$105, (TRIM('1. DATA CHUNG'!$I$4:$I$105)=TRIM(K296)) * IF(COUNTIFS('1. DATA CHUNG'!$I$4:$I$105,K296,'1. DATA CHUNG'!$M$4:$M$105,Q296), '1."&amp;" DATA CHUNG'!$M$4:$M$105=Q296, 1) * ('1. DATA CHUNG'!$L$4:$L$105="""")), 1), ""Không tìm thấy"" ))"),7.0)</f>
        <v>7</v>
      </c>
      <c r="AI296" s="273">
        <f t="shared" si="2"/>
        <v>46049</v>
      </c>
      <c r="AJ296" s="287"/>
      <c r="AK296" s="286">
        <f t="shared" si="3"/>
        <v>0</v>
      </c>
      <c r="AL296" s="287">
        <f t="shared" si="4"/>
        <v>-4</v>
      </c>
      <c r="AM296" s="287">
        <f t="shared" si="5"/>
        <v>0</v>
      </c>
      <c r="AN296" s="279">
        <f t="shared" si="6"/>
        <v>6</v>
      </c>
      <c r="AO296" s="295" t="str">
        <f t="shared" si="7"/>
        <v>01/2026</v>
      </c>
      <c r="AP296" s="277" t="str">
        <f t="array" ref="AP296">IFERROR(XLOOKUP(L296,'2. DATA NL, VTBB'!C:C,'2. DATA NL, VTBB'!F:F),"")</f>
        <v>HH0031</v>
      </c>
      <c r="AQ296" s="277" t="str">
        <f t="array" ref="AQ296">IF(OR(K296="Nhãn", K296="Nhãn thùng",K296="Nhãn Túi"), K296 &amp; " " &amp; IFERROR(XLOOKUP(L296, '2. DATA NL, VTBB'!C:C, '2. DATA NL, VTBB'!E:E), ""), "")</f>
        <v/>
      </c>
      <c r="AR296" s="278" t="str">
        <f t="array" ref="AR296">IFERROR(XLOOKUP(L296,'2. DATA NL, VTBB'!C:C,'2. DATA NL, VTBB'!G:G),"")</f>
        <v>IDA Global - I - 401.1 - Chito - M55 (drone) - 500ml - 40</v>
      </c>
      <c r="AS296" s="278" t="str">
        <f t="array" ref="AS296">IFERROR(XLOOKUP(L296,'2. DATA NL, VTBB'!C:C,'2. DATA NL, VTBB'!G:G),"")</f>
        <v>IDA Global - I - 401.1 - Chito - M55 (drone) - 500ml - 40</v>
      </c>
      <c r="AT296" s="277"/>
    </row>
    <row r="297" ht="30.75" customHeight="1">
      <c r="A297" s="272">
        <f t="shared" si="44"/>
        <v>294</v>
      </c>
      <c r="B297" s="289">
        <v>46042.0</v>
      </c>
      <c r="C297" s="273">
        <v>46043.0</v>
      </c>
      <c r="D297" s="273">
        <f t="shared" si="61"/>
        <v>46045</v>
      </c>
      <c r="E297" s="289">
        <v>46049.0</v>
      </c>
      <c r="F297" s="274" t="s">
        <v>561</v>
      </c>
      <c r="G297" s="275" t="s">
        <v>562</v>
      </c>
      <c r="H297" s="274" t="s">
        <v>304</v>
      </c>
      <c r="I297" s="275" t="s">
        <v>744</v>
      </c>
      <c r="J297" s="272" t="s">
        <v>1000</v>
      </c>
      <c r="K297" s="275" t="s">
        <v>730</v>
      </c>
      <c r="L297" s="277" t="s">
        <v>1002</v>
      </c>
      <c r="M297" s="278" t="str">
        <f t="array" ref="M297">IFERROR(XLOOKUP(L297,'2. DATA NL, VTBB'!C:C,'2. DATA NL, VTBB'!D:D),"")</f>
        <v>Nắp HDPE cổ 43 (10gr) logo IDA màu xanh lá đậm</v>
      </c>
      <c r="N297" s="280"/>
      <c r="O297" s="280" t="str">
        <f t="array" ref="O297">IFERROR( XLOOKUP(L297,'2. DATA NL, VTBB'!C:C,'2. DATA NL, VTBB'!E:E),"")</f>
        <v>Vi lượng Basel IDA 46</v>
      </c>
      <c r="P297" s="275" t="s">
        <v>565</v>
      </c>
      <c r="Q297" s="311"/>
      <c r="R297" s="290" t="s">
        <v>566</v>
      </c>
      <c r="S297" s="280"/>
      <c r="T297" s="277"/>
      <c r="U297" s="277"/>
      <c r="V297" s="283">
        <v>5000.0</v>
      </c>
      <c r="W297" s="275" t="s">
        <v>699</v>
      </c>
      <c r="X297" s="283">
        <v>5000.0</v>
      </c>
      <c r="Y297" s="274">
        <v>5000.0</v>
      </c>
      <c r="Z297" s="272">
        <v>1000.0</v>
      </c>
      <c r="AA297" s="285">
        <v>0.08</v>
      </c>
      <c r="AB297" s="282">
        <v>5400000.0</v>
      </c>
      <c r="AC297" s="277"/>
      <c r="AD297" s="289">
        <v>46042.0</v>
      </c>
      <c r="AE297" s="312"/>
      <c r="AF297" s="277"/>
      <c r="AG297" s="277"/>
      <c r="AH297" s="294">
        <f>IFERROR(__xludf.DUMMYFUNCTION("IFERROR(INDEX( SORT(FILTER(
        {'1. DATA CHUNG'!$J$4:$J$105 , '1. DATA CHUNG'!$L$4:$L$105}, (TRIM('1. DATA CHUNG'!$I$4:$I$105)=TRIM(K297)) * IF(COUNTIFS('1. DATA CHUNG'!$I$4:$I$105,K297,'1. DATA CHUNG'!$M$4:$M$105,Q297), '1. DATA CHUNG'!$M$4:$M$105=Q"&amp;"297, 1) * ('1. DATA CHUNG'!$L$4:$L$105&lt;=TODAY()) ),   2, 0),  1, 1), 
  IFERROR( INDEX(FILTER('1. DATA CHUNG'!$J$4:$J$105, (TRIM('1. DATA CHUNG'!$I$4:$I$105)=TRIM(K297)) * IF(COUNTIFS('1. DATA CHUNG'!$I$4:$I$105,K297,'1. DATA CHUNG'!$M$4:$M$105,Q297), '1."&amp;" DATA CHUNG'!$M$4:$M$105=Q297, 1) * ('1. DATA CHUNG'!$L$4:$L$105="""")), 1), ""Không tìm thấy"" ))"),7.0)</f>
        <v>7</v>
      </c>
      <c r="AI297" s="273">
        <f t="shared" si="2"/>
        <v>46049</v>
      </c>
      <c r="AJ297" s="287"/>
      <c r="AK297" s="286">
        <f t="shared" si="3"/>
        <v>0</v>
      </c>
      <c r="AL297" s="287">
        <f t="shared" si="4"/>
        <v>-4</v>
      </c>
      <c r="AM297" s="287">
        <f t="shared" si="5"/>
        <v>0</v>
      </c>
      <c r="AN297" s="279">
        <f t="shared" si="6"/>
        <v>6</v>
      </c>
      <c r="AO297" s="295" t="str">
        <f t="shared" si="7"/>
        <v>01/2026</v>
      </c>
      <c r="AP297" s="277" t="str">
        <f t="array" ref="AP297">IFERROR(XLOOKUP(L297,'2. DATA NL, VTBB'!C:C,'2. DATA NL, VTBB'!F:F),"")</f>
        <v>HH0016</v>
      </c>
      <c r="AQ297" s="277" t="str">
        <f t="array" ref="AQ297">IF(OR(K297="Nhãn", K297="Nhãn thùng",K297="Nhãn Túi"), K297 &amp; " " &amp; IFERROR(XLOOKUP(L297, '2. DATA NL, VTBB'!C:C, '2. DATA NL, VTBB'!E:E), ""), "")</f>
        <v/>
      </c>
      <c r="AR297" s="278" t="str">
        <f t="array" ref="AR297">IFERROR(XLOOKUP(L297,'2. DATA NL, VTBB'!C:C,'2. DATA NL, VTBB'!G:G),"")</f>
        <v>GC - I - 302 - Dưỡng cây xanh lá - 500ml - 40</v>
      </c>
      <c r="AS297" s="278" t="str">
        <f t="array" ref="AS297">IFERROR(XLOOKUP(L297,'2. DATA NL, VTBB'!C:C,'2. DATA NL, VTBB'!G:G),"")</f>
        <v>GC - I - 302 - Dưỡng cây xanh lá - 500ml - 40</v>
      </c>
      <c r="AT297" s="277"/>
    </row>
    <row r="298" ht="30.75" customHeight="1">
      <c r="A298" s="272">
        <f t="shared" si="44"/>
        <v>295</v>
      </c>
      <c r="B298" s="289">
        <v>46042.0</v>
      </c>
      <c r="C298" s="289">
        <v>46049.0</v>
      </c>
      <c r="D298" s="289">
        <f>B298+15</f>
        <v>46057</v>
      </c>
      <c r="E298" s="289">
        <v>46359.0</v>
      </c>
      <c r="F298" s="274" t="s">
        <v>561</v>
      </c>
      <c r="G298" s="275" t="s">
        <v>580</v>
      </c>
      <c r="H298" s="274" t="s">
        <v>304</v>
      </c>
      <c r="I298" s="275" t="s">
        <v>305</v>
      </c>
      <c r="J298" s="312"/>
      <c r="K298" s="275" t="s">
        <v>301</v>
      </c>
      <c r="L298" s="277" t="s">
        <v>618</v>
      </c>
      <c r="M298" s="278" t="str">
        <f t="array" ref="M298">IFERROR(XLOOKUP(L298,'2. DATA NL, VTBB'!C:C,'2. DATA NL, VTBB'!D:D),"")</f>
        <v>Thùng IDA chai HDPE tròn 500ml x 40 chai (58x37x21cm) - Trắng xanh lá</v>
      </c>
      <c r="N298" s="280"/>
      <c r="O298" s="280" t="str">
        <f t="array" ref="O298">IFERROR( XLOOKUP(L298,'2. DATA NL, VTBB'!C:C,'2. DATA NL, VTBB'!E:E),"")</f>
        <v>Remy 19EC</v>
      </c>
      <c r="P298" s="275" t="s">
        <v>565</v>
      </c>
      <c r="Q298" s="311"/>
      <c r="R298" s="291" t="s">
        <v>622</v>
      </c>
      <c r="S298" s="280"/>
      <c r="T298" s="277"/>
      <c r="U298" s="277"/>
      <c r="V298" s="283">
        <v>80.0</v>
      </c>
      <c r="W298" s="275" t="s">
        <v>699</v>
      </c>
      <c r="X298" s="283">
        <v>80.0</v>
      </c>
      <c r="Y298" s="274">
        <v>80.0</v>
      </c>
      <c r="Z298" s="272">
        <v>22000.0</v>
      </c>
      <c r="AA298" s="285">
        <v>0.08</v>
      </c>
      <c r="AB298" s="282">
        <v>1900800.0</v>
      </c>
      <c r="AC298" s="277"/>
      <c r="AD298" s="289">
        <v>46042.0</v>
      </c>
      <c r="AE298" s="312"/>
      <c r="AF298" s="277"/>
      <c r="AG298" s="277"/>
      <c r="AH298" s="294">
        <f>IFERROR(__xludf.DUMMYFUNCTION("IFERROR(INDEX( SORT(FILTER(
        {'1. DATA CHUNG'!$J$4:$J$105 , '1. DATA CHUNG'!$L$4:$L$105}, (TRIM('1. DATA CHUNG'!$I$4:$I$105)=TRIM(K298)) * IF(COUNTIFS('1. DATA CHUNG'!$I$4:$I$105,K298,'1. DATA CHUNG'!$M$4:$M$105,Q298), '1. DATA CHUNG'!$M$4:$M$105=Q"&amp;"298, 1) * ('1. DATA CHUNG'!$L$4:$L$105&lt;=TODAY()) ),   2, 0),  1, 1), 
  IFERROR( INDEX(FILTER('1. DATA CHUNG'!$J$4:$J$105, (TRIM('1. DATA CHUNG'!$I$4:$I$105)=TRIM(K298)) * IF(COUNTIFS('1. DATA CHUNG'!$I$4:$I$105,K298,'1. DATA CHUNG'!$M$4:$M$105,Q298), '1."&amp;" DATA CHUNG'!$M$4:$M$105=Q298, 1) * ('1. DATA CHUNG'!$L$4:$L$105="""")), 1), ""Không tìm thấy"" ))"),18.0)</f>
        <v>18</v>
      </c>
      <c r="AI298" s="273">
        <f t="shared" si="2"/>
        <v>46060</v>
      </c>
      <c r="AJ298" s="287"/>
      <c r="AK298" s="286">
        <f t="shared" si="3"/>
        <v>0</v>
      </c>
      <c r="AL298" s="287">
        <f t="shared" si="4"/>
        <v>-302</v>
      </c>
      <c r="AM298" s="287">
        <f t="shared" si="5"/>
        <v>-299</v>
      </c>
      <c r="AN298" s="279">
        <f t="shared" si="6"/>
        <v>11</v>
      </c>
      <c r="AO298" s="295" t="str">
        <f t="shared" si="7"/>
        <v>01/2026</v>
      </c>
      <c r="AP298" s="277" t="str">
        <f t="array" ref="AP298">IFERROR(XLOOKUP(L298,'2. DATA NL, VTBB'!C:C,'2. DATA NL, VTBB'!F:F),"")</f>
        <v>HH0263</v>
      </c>
      <c r="AQ298" s="277" t="str">
        <f t="array" ref="AQ298">IF(OR(K298="Nhãn", K298="Nhãn thùng",K298="Nhãn Túi"), K298 &amp; " " &amp; IFERROR(XLOOKUP(L298, '2. DATA NL, VTBB'!C:C, '2. DATA NL, VTBB'!E:E), ""), "")</f>
        <v/>
      </c>
      <c r="AR298" s="278" t="str">
        <f t="array" ref="AR298">IFERROR(XLOOKUP(L298,'2. DATA NL, VTBB'!C:C,'2. DATA NL, VTBB'!G:G),"")</f>
        <v>GC - II - 682 - Đồng Phát - Doffatine 19 - 450ml - 40</v>
      </c>
      <c r="AS298" s="278" t="str">
        <f t="array" ref="AS298">IFERROR(XLOOKUP(L298,'2. DATA NL, VTBB'!C:C,'2. DATA NL, VTBB'!G:G),"")</f>
        <v>GC - II - 682 - Đồng Phát - Doffatine 19 - 450ml - 40</v>
      </c>
      <c r="AT298" s="277"/>
    </row>
    <row r="299" ht="30.75" customHeight="1">
      <c r="A299" s="272">
        <f t="shared" si="44"/>
        <v>296</v>
      </c>
      <c r="B299" s="289">
        <v>46043.0</v>
      </c>
      <c r="C299" s="273">
        <v>46044.0</v>
      </c>
      <c r="D299" s="273">
        <f t="shared" ref="D299:D309" si="64">B299+3</f>
        <v>46046</v>
      </c>
      <c r="E299" s="289">
        <v>46045.0</v>
      </c>
      <c r="F299" s="274" t="s">
        <v>561</v>
      </c>
      <c r="G299" s="275" t="s">
        <v>562</v>
      </c>
      <c r="H299" s="274" t="s">
        <v>304</v>
      </c>
      <c r="I299" s="275" t="s">
        <v>726</v>
      </c>
      <c r="J299" s="272" t="s">
        <v>1003</v>
      </c>
      <c r="K299" s="275" t="s">
        <v>728</v>
      </c>
      <c r="L299" s="277" t="s">
        <v>778</v>
      </c>
      <c r="M299" s="278" t="str">
        <f t="array" ref="M299">IFERROR(XLOOKUP(L299,'2. DATA NL, VTBB'!C:C,'2. DATA NL, VTBB'!D:D),"")</f>
        <v>Chai PET tròn cổ 44 500ml (45g) Trắng</v>
      </c>
      <c r="N299" s="280"/>
      <c r="O299" s="280" t="str">
        <f t="array" ref="O299">IFERROR( XLOOKUP(L299,'2. DATA NL, VTBB'!C:C,'2. DATA NL, VTBB'!E:E),"")</f>
        <v>Chitin 3.6EC</v>
      </c>
      <c r="P299" s="275" t="s">
        <v>565</v>
      </c>
      <c r="Q299" s="311"/>
      <c r="R299" s="291" t="s">
        <v>573</v>
      </c>
      <c r="S299" s="280"/>
      <c r="T299" s="277"/>
      <c r="U299" s="277"/>
      <c r="V299" s="283">
        <v>7000.0</v>
      </c>
      <c r="W299" s="275" t="s">
        <v>699</v>
      </c>
      <c r="X299" s="283">
        <v>7000.0</v>
      </c>
      <c r="Y299" s="274">
        <v>7056.0</v>
      </c>
      <c r="Z299" s="272">
        <v>1900.0</v>
      </c>
      <c r="AA299" s="285">
        <v>0.08</v>
      </c>
      <c r="AB299" s="282">
        <v>1.4478912E7</v>
      </c>
      <c r="AC299" s="277"/>
      <c r="AD299" s="289">
        <v>46043.0</v>
      </c>
      <c r="AE299" s="312"/>
      <c r="AF299" s="277"/>
      <c r="AG299" s="277"/>
      <c r="AH299" s="294">
        <f>IFERROR(__xludf.DUMMYFUNCTION("IFERROR(INDEX( SORT(FILTER(
        {'1. DATA CHUNG'!$J$4:$J$105 , '1. DATA CHUNG'!$L$4:$L$105}, (TRIM('1. DATA CHUNG'!$I$4:$I$105)=TRIM(K299)) * IF(COUNTIFS('1. DATA CHUNG'!$I$4:$I$105,K299,'1. DATA CHUNG'!$M$4:$M$105,Q299), '1. DATA CHUNG'!$M$4:$M$105=Q"&amp;"299, 1) * ('1. DATA CHUNG'!$L$4:$L$105&lt;=TODAY()) ),   2, 0),  1, 1), 
  IFERROR( INDEX(FILTER('1. DATA CHUNG'!$J$4:$J$105, (TRIM('1. DATA CHUNG'!$I$4:$I$105)=TRIM(K299)) * IF(COUNTIFS('1. DATA CHUNG'!$I$4:$I$105,K299,'1. DATA CHUNG'!$M$4:$M$105,Q299), '1."&amp;" DATA CHUNG'!$M$4:$M$105=Q299, 1) * ('1. DATA CHUNG'!$L$4:$L$105="""")), 1), ""Không tìm thấy"" ))"),7.0)</f>
        <v>7</v>
      </c>
      <c r="AI299" s="273">
        <f t="shared" si="2"/>
        <v>46050</v>
      </c>
      <c r="AJ299" s="287"/>
      <c r="AK299" s="286">
        <f t="shared" si="3"/>
        <v>0</v>
      </c>
      <c r="AL299" s="287">
        <f t="shared" si="4"/>
        <v>1</v>
      </c>
      <c r="AM299" s="287">
        <f t="shared" si="5"/>
        <v>5</v>
      </c>
      <c r="AN299" s="279">
        <f t="shared" si="6"/>
        <v>6</v>
      </c>
      <c r="AO299" s="295" t="str">
        <f t="shared" si="7"/>
        <v>01/2026</v>
      </c>
      <c r="AP299" s="277" t="str">
        <f t="array" ref="AP299">IFERROR(XLOOKUP(L299,'2. DATA NL, VTBB'!C:C,'2. DATA NL, VTBB'!F:F),"")</f>
        <v>HH0234</v>
      </c>
      <c r="AQ299" s="277" t="str">
        <f t="array" ref="AQ299">IF(OR(K299="Nhãn", K299="Nhãn thùng",K299="Nhãn Túi"), K299 &amp; " " &amp; IFERROR(XLOOKUP(L299, '2. DATA NL, VTBB'!C:C, '2. DATA NL, VTBB'!E:E), ""), "")</f>
        <v/>
      </c>
      <c r="AR299" s="278" t="str">
        <f t="array" ref="AR299">IFERROR(XLOOKUP(L299,'2. DATA NL, VTBB'!C:C,'2. DATA NL, VTBB'!G:G),"")</f>
        <v>LOT IDA Global - I - 875 - ĐL Bảo Tại - Avermectin 36 (Pet tròn) (nắp đỏ)(nước nâu đen) - 450ml - 40</v>
      </c>
      <c r="AS299" s="278" t="str">
        <f t="array" ref="AS299">IFERROR(XLOOKUP(L299,'2. DATA NL, VTBB'!C:C,'2. DATA NL, VTBB'!G:G),"")</f>
        <v>LOT IDA Global - I - 875 - ĐL Bảo Tại - Avermectin 36 (Pet tròn) (nắp đỏ)(nước nâu đen) - 450ml - 40</v>
      </c>
      <c r="AT299" s="277"/>
    </row>
    <row r="300" ht="30.75" customHeight="1">
      <c r="A300" s="272">
        <f t="shared" si="44"/>
        <v>297</v>
      </c>
      <c r="B300" s="289">
        <v>46043.0</v>
      </c>
      <c r="C300" s="273">
        <v>46044.0</v>
      </c>
      <c r="D300" s="273">
        <f t="shared" si="64"/>
        <v>46046</v>
      </c>
      <c r="E300" s="289">
        <v>46045.0</v>
      </c>
      <c r="F300" s="274" t="s">
        <v>561</v>
      </c>
      <c r="G300" s="275" t="s">
        <v>562</v>
      </c>
      <c r="H300" s="274" t="s">
        <v>304</v>
      </c>
      <c r="I300" s="275" t="s">
        <v>726</v>
      </c>
      <c r="J300" s="272" t="s">
        <v>1003</v>
      </c>
      <c r="K300" s="275" t="s">
        <v>730</v>
      </c>
      <c r="L300" s="277" t="s">
        <v>780</v>
      </c>
      <c r="M300" s="278" t="str">
        <f t="array" ref="M300">IFERROR(XLOOKUP(L300,'2. DATA NL, VTBB'!C:C,'2. DATA NL, VTBB'!D:D),"")</f>
        <v>Nắp PET cổ 44 (9g) Đỏ</v>
      </c>
      <c r="N300" s="280"/>
      <c r="O300" s="280" t="str">
        <f t="array" ref="O300">IFERROR( XLOOKUP(L300,'2. DATA NL, VTBB'!C:C,'2. DATA NL, VTBB'!E:E),"")</f>
        <v>Chitin 3.6EC</v>
      </c>
      <c r="P300" s="275" t="s">
        <v>565</v>
      </c>
      <c r="Q300" s="311"/>
      <c r="R300" s="291" t="s">
        <v>573</v>
      </c>
      <c r="S300" s="280"/>
      <c r="T300" s="277"/>
      <c r="U300" s="277"/>
      <c r="V300" s="283">
        <v>4000.0</v>
      </c>
      <c r="W300" s="275" t="s">
        <v>699</v>
      </c>
      <c r="X300" s="283">
        <v>4000.0</v>
      </c>
      <c r="Y300" s="274">
        <v>4032.0</v>
      </c>
      <c r="Z300" s="272">
        <v>900.0</v>
      </c>
      <c r="AA300" s="285">
        <v>0.08</v>
      </c>
      <c r="AB300" s="282">
        <v>3919104.0</v>
      </c>
      <c r="AC300" s="277"/>
      <c r="AD300" s="289">
        <v>46043.0</v>
      </c>
      <c r="AE300" s="312"/>
      <c r="AF300" s="277"/>
      <c r="AG300" s="277"/>
      <c r="AH300" s="294">
        <f>IFERROR(__xludf.DUMMYFUNCTION("IFERROR(INDEX( SORT(FILTER(
        {'1. DATA CHUNG'!$J$4:$J$105 , '1. DATA CHUNG'!$L$4:$L$105}, (TRIM('1. DATA CHUNG'!$I$4:$I$105)=TRIM(K300)) * IF(COUNTIFS('1. DATA CHUNG'!$I$4:$I$105,K300,'1. DATA CHUNG'!$M$4:$M$105,Q300), '1. DATA CHUNG'!$M$4:$M$105=Q"&amp;"300, 1) * ('1. DATA CHUNG'!$L$4:$L$105&lt;=TODAY()) ),   2, 0),  1, 1), 
  IFERROR( INDEX(FILTER('1. DATA CHUNG'!$J$4:$J$105, (TRIM('1. DATA CHUNG'!$I$4:$I$105)=TRIM(K300)) * IF(COUNTIFS('1. DATA CHUNG'!$I$4:$I$105,K300,'1. DATA CHUNG'!$M$4:$M$105,Q300), '1."&amp;" DATA CHUNG'!$M$4:$M$105=Q300, 1) * ('1. DATA CHUNG'!$L$4:$L$105="""")), 1), ""Không tìm thấy"" ))"),7.0)</f>
        <v>7</v>
      </c>
      <c r="AI300" s="273">
        <f t="shared" si="2"/>
        <v>46050</v>
      </c>
      <c r="AJ300" s="287"/>
      <c r="AK300" s="286">
        <f t="shared" si="3"/>
        <v>0</v>
      </c>
      <c r="AL300" s="287">
        <f t="shared" si="4"/>
        <v>1</v>
      </c>
      <c r="AM300" s="287">
        <f t="shared" si="5"/>
        <v>5</v>
      </c>
      <c r="AN300" s="279">
        <f t="shared" si="6"/>
        <v>6</v>
      </c>
      <c r="AO300" s="295" t="str">
        <f t="shared" si="7"/>
        <v>01/2026</v>
      </c>
      <c r="AP300" s="277" t="str">
        <f t="array" ref="AP300">IFERROR(XLOOKUP(L300,'2. DATA NL, VTBB'!C:C,'2. DATA NL, VTBB'!F:F),"")</f>
        <v>HH0156</v>
      </c>
      <c r="AQ300" s="277" t="str">
        <f t="array" ref="AQ300">IF(OR(K300="Nhãn", K300="Nhãn thùng",K300="Nhãn Túi"), K300 &amp; " " &amp; IFERROR(XLOOKUP(L300, '2. DATA NL, VTBB'!C:C, '2. DATA NL, VTBB'!E:E), ""), "")</f>
        <v/>
      </c>
      <c r="AR300" s="278" t="str">
        <f t="array" ref="AR300">IFERROR(XLOOKUP(L300,'2. DATA NL, VTBB'!C:C,'2. DATA NL, VTBB'!G:G),"")</f>
        <v>LOT IDA Global - I - 875 - ĐL Bảo Tại - Avermectin 36 (Pet tròn) (nắp đỏ)(nước nâu đen) - 450ml - 40</v>
      </c>
      <c r="AS300" s="278" t="str">
        <f t="array" ref="AS300">IFERROR(XLOOKUP(L300,'2. DATA NL, VTBB'!C:C,'2. DATA NL, VTBB'!G:G),"")</f>
        <v>LOT IDA Global - I - 875 - ĐL Bảo Tại - Avermectin 36 (Pet tròn) (nắp đỏ)(nước nâu đen) - 450ml - 40</v>
      </c>
      <c r="AT300" s="277"/>
    </row>
    <row r="301" ht="30.75" customHeight="1">
      <c r="A301" s="272">
        <f t="shared" si="44"/>
        <v>298</v>
      </c>
      <c r="B301" s="289">
        <v>46043.0</v>
      </c>
      <c r="C301" s="273">
        <v>46044.0</v>
      </c>
      <c r="D301" s="273">
        <f t="shared" si="64"/>
        <v>46046</v>
      </c>
      <c r="E301" s="289">
        <v>46045.0</v>
      </c>
      <c r="F301" s="274" t="s">
        <v>561</v>
      </c>
      <c r="G301" s="275" t="s">
        <v>562</v>
      </c>
      <c r="H301" s="274" t="s">
        <v>304</v>
      </c>
      <c r="I301" s="275" t="s">
        <v>726</v>
      </c>
      <c r="J301" s="272" t="s">
        <v>1003</v>
      </c>
      <c r="K301" s="275" t="s">
        <v>730</v>
      </c>
      <c r="L301" s="277" t="s">
        <v>779</v>
      </c>
      <c r="M301" s="278" t="str">
        <f t="array" ref="M301">IFERROR(XLOOKUP(L301,'2. DATA NL, VTBB'!C:C,'2. DATA NL, VTBB'!D:D),"")</f>
        <v>Nắp PET cổ 44 (9g) - Trắng</v>
      </c>
      <c r="N301" s="280"/>
      <c r="O301" s="280" t="str">
        <f t="array" ref="O301">IFERROR( XLOOKUP(L301,'2. DATA NL, VTBB'!C:C,'2. DATA NL, VTBB'!E:E),"")</f>
        <v>IMIPRID 10WP</v>
      </c>
      <c r="P301" s="275" t="s">
        <v>565</v>
      </c>
      <c r="Q301" s="311"/>
      <c r="R301" s="291" t="s">
        <v>573</v>
      </c>
      <c r="S301" s="280"/>
      <c r="T301" s="277"/>
      <c r="U301" s="277"/>
      <c r="V301" s="283">
        <v>3000.0</v>
      </c>
      <c r="W301" s="275" t="s">
        <v>699</v>
      </c>
      <c r="X301" s="283">
        <v>3000.0</v>
      </c>
      <c r="Y301" s="274">
        <v>3024.0</v>
      </c>
      <c r="Z301" s="272">
        <v>900.0</v>
      </c>
      <c r="AA301" s="285">
        <v>0.08</v>
      </c>
      <c r="AB301" s="282">
        <v>2939328.0</v>
      </c>
      <c r="AC301" s="277"/>
      <c r="AD301" s="289">
        <v>46043.0</v>
      </c>
      <c r="AE301" s="312"/>
      <c r="AF301" s="277"/>
      <c r="AG301" s="277"/>
      <c r="AH301" s="294">
        <f>IFERROR(__xludf.DUMMYFUNCTION("IFERROR(INDEX( SORT(FILTER(
        {'1. DATA CHUNG'!$J$4:$J$105 , '1. DATA CHUNG'!$L$4:$L$105}, (TRIM('1. DATA CHUNG'!$I$4:$I$105)=TRIM(K301)) * IF(COUNTIFS('1. DATA CHUNG'!$I$4:$I$105,K301,'1. DATA CHUNG'!$M$4:$M$105,Q301), '1. DATA CHUNG'!$M$4:$M$105=Q"&amp;"301, 1) * ('1. DATA CHUNG'!$L$4:$L$105&lt;=TODAY()) ),   2, 0),  1, 1), 
  IFERROR( INDEX(FILTER('1. DATA CHUNG'!$J$4:$J$105, (TRIM('1. DATA CHUNG'!$I$4:$I$105)=TRIM(K301)) * IF(COUNTIFS('1. DATA CHUNG'!$I$4:$I$105,K301,'1. DATA CHUNG'!$M$4:$M$105,Q301), '1."&amp;" DATA CHUNG'!$M$4:$M$105=Q301, 1) * ('1. DATA CHUNG'!$L$4:$L$105="""")), 1), ""Không tìm thấy"" ))"),7.0)</f>
        <v>7</v>
      </c>
      <c r="AI301" s="273">
        <f t="shared" si="2"/>
        <v>46050</v>
      </c>
      <c r="AJ301" s="287"/>
      <c r="AK301" s="286">
        <f t="shared" si="3"/>
        <v>0</v>
      </c>
      <c r="AL301" s="287">
        <f t="shared" si="4"/>
        <v>1</v>
      </c>
      <c r="AM301" s="287">
        <f t="shared" si="5"/>
        <v>5</v>
      </c>
      <c r="AN301" s="279">
        <f t="shared" si="6"/>
        <v>6</v>
      </c>
      <c r="AO301" s="295" t="str">
        <f t="shared" si="7"/>
        <v>01/2026</v>
      </c>
      <c r="AP301" s="277" t="str">
        <f t="array" ref="AP301">IFERROR(XLOOKUP(L301,'2. DATA NL, VTBB'!C:C,'2. DATA NL, VTBB'!F:F),"")</f>
        <v>HH0163</v>
      </c>
      <c r="AQ301" s="277" t="str">
        <f t="array" ref="AQ301">IF(OR(K301="Nhãn", K301="Nhãn thùng",K301="Nhãn Túi"), K301 &amp; " " &amp; IFERROR(XLOOKUP(L301, '2. DATA NL, VTBB'!C:C, '2. DATA NL, VTBB'!E:E), ""), "")</f>
        <v/>
      </c>
      <c r="AR301" s="278" t="str">
        <f t="array" ref="AR301">IFERROR(XLOOKUP(L301,'2. DATA NL, VTBB'!C:C,'2. DATA NL, VTBB'!G:G),"")</f>
        <v>GC - IV - 888.1 - Huy Phát - BI Pro Max (Bột trắng) - 100gr - 100</v>
      </c>
      <c r="AS301" s="278" t="str">
        <f t="array" ref="AS301">IFERROR(XLOOKUP(L301,'2. DATA NL, VTBB'!C:C,'2. DATA NL, VTBB'!G:G),"")</f>
        <v>GC - IV - 888.1 - Huy Phát - BI Pro Max (Bột trắng) - 100gr - 100</v>
      </c>
      <c r="AT301" s="277"/>
    </row>
    <row r="302" ht="30.75" customHeight="1">
      <c r="A302" s="272">
        <f t="shared" si="44"/>
        <v>299</v>
      </c>
      <c r="B302" s="289">
        <v>46043.0</v>
      </c>
      <c r="C302" s="273">
        <v>46044.0</v>
      </c>
      <c r="D302" s="273">
        <f t="shared" si="64"/>
        <v>46046</v>
      </c>
      <c r="E302" s="289">
        <v>46044.0</v>
      </c>
      <c r="F302" s="274" t="s">
        <v>561</v>
      </c>
      <c r="G302" s="275" t="s">
        <v>562</v>
      </c>
      <c r="H302" s="274" t="s">
        <v>304</v>
      </c>
      <c r="I302" s="275" t="s">
        <v>744</v>
      </c>
      <c r="J302" s="272" t="s">
        <v>1004</v>
      </c>
      <c r="K302" s="275" t="s">
        <v>728</v>
      </c>
      <c r="L302" s="277" t="s">
        <v>1005</v>
      </c>
      <c r="M302" s="278" t="str">
        <f t="array" ref="M302">IFERROR(XLOOKUP(L302,'2. DATA NL, VTBB'!C:C,'2. DATA NL, VTBB'!D:D),"")</f>
        <v>Chai PAPE tròn cổ 43 (45g) 250ml trắng</v>
      </c>
      <c r="N302" s="280"/>
      <c r="O302" s="280" t="str">
        <f t="array" ref="O302">IFERROR( XLOOKUP(L302,'2. DATA NL, VTBB'!C:C,'2. DATA NL, VTBB'!E:E),"")</f>
        <v>TVZEB 800WP</v>
      </c>
      <c r="P302" s="275" t="s">
        <v>565</v>
      </c>
      <c r="Q302" s="311"/>
      <c r="R302" s="291" t="s">
        <v>573</v>
      </c>
      <c r="S302" s="280"/>
      <c r="T302" s="277"/>
      <c r="U302" s="277"/>
      <c r="V302" s="283">
        <v>1000.0</v>
      </c>
      <c r="W302" s="275" t="s">
        <v>699</v>
      </c>
      <c r="X302" s="283">
        <v>1000.0</v>
      </c>
      <c r="Y302" s="274">
        <v>1000.0</v>
      </c>
      <c r="Z302" s="272">
        <v>4600.0</v>
      </c>
      <c r="AA302" s="285">
        <v>0.08</v>
      </c>
      <c r="AB302" s="282">
        <v>4968000.0</v>
      </c>
      <c r="AC302" s="277"/>
      <c r="AD302" s="289">
        <v>46043.0</v>
      </c>
      <c r="AE302" s="312"/>
      <c r="AF302" s="277"/>
      <c r="AG302" s="277"/>
      <c r="AH302" s="294">
        <f>IFERROR(__xludf.DUMMYFUNCTION("IFERROR(INDEX( SORT(FILTER(
        {'1. DATA CHUNG'!$J$4:$J$105 , '1. DATA CHUNG'!$L$4:$L$105}, (TRIM('1. DATA CHUNG'!$I$4:$I$105)=TRIM(K302)) * IF(COUNTIFS('1. DATA CHUNG'!$I$4:$I$105,K302,'1. DATA CHUNG'!$M$4:$M$105,Q302), '1. DATA CHUNG'!$M$4:$M$105=Q"&amp;"302, 1) * ('1. DATA CHUNG'!$L$4:$L$105&lt;=TODAY()) ),   2, 0),  1, 1), 
  IFERROR( INDEX(FILTER('1. DATA CHUNG'!$J$4:$J$105, (TRIM('1. DATA CHUNG'!$I$4:$I$105)=TRIM(K302)) * IF(COUNTIFS('1. DATA CHUNG'!$I$4:$I$105,K302,'1. DATA CHUNG'!$M$4:$M$105,Q302), '1."&amp;" DATA CHUNG'!$M$4:$M$105=Q302, 1) * ('1. DATA CHUNG'!$L$4:$L$105="""")), 1), ""Không tìm thấy"" ))"),7.0)</f>
        <v>7</v>
      </c>
      <c r="AI302" s="273">
        <f t="shared" si="2"/>
        <v>46050</v>
      </c>
      <c r="AJ302" s="287"/>
      <c r="AK302" s="286">
        <f t="shared" si="3"/>
        <v>0</v>
      </c>
      <c r="AL302" s="287">
        <f t="shared" si="4"/>
        <v>2</v>
      </c>
      <c r="AM302" s="287">
        <f t="shared" si="5"/>
        <v>6</v>
      </c>
      <c r="AN302" s="279">
        <f t="shared" si="6"/>
        <v>6</v>
      </c>
      <c r="AO302" s="295" t="str">
        <f t="shared" si="7"/>
        <v>01/2026</v>
      </c>
      <c r="AP302" s="277" t="str">
        <f t="array" ref="AP302">IFERROR(XLOOKUP(L302,'2. DATA NL, VTBB'!C:C,'2. DATA NL, VTBB'!F:F),"")</f>
        <v>HH0051</v>
      </c>
      <c r="AQ302" s="277" t="str">
        <f t="array" ref="AQ302">IF(OR(K302="Nhãn", K302="Nhãn thùng",K302="Nhãn Túi"), K302 &amp; " " &amp; IFERROR(XLOOKUP(L302, '2. DATA NL, VTBB'!C:C, '2. DATA NL, VTBB'!E:E), ""), "")</f>
        <v/>
      </c>
      <c r="AR302" s="278" t="str">
        <f t="array" ref="AR302">IFERROR(XLOOKUP(L302,'2. DATA NL, VTBB'!C:C,'2. DATA NL, VTBB'!G:G),"")</f>
        <v>GC - 448 - I - Thiên Di - Mancozeb Xanh (Nhãn xanh Lá) - 100gr - 100</v>
      </c>
      <c r="AS302" s="278" t="str">
        <f t="array" ref="AS302">IFERROR(XLOOKUP(L302,'2. DATA NL, VTBB'!C:C,'2. DATA NL, VTBB'!G:G),"")</f>
        <v>GC - 448 - I - Thiên Di - Mancozeb Xanh (Nhãn xanh Lá) - 100gr - 100</v>
      </c>
      <c r="AT302" s="277"/>
    </row>
    <row r="303" ht="30.75" customHeight="1">
      <c r="A303" s="272">
        <f t="shared" si="44"/>
        <v>300</v>
      </c>
      <c r="B303" s="289">
        <v>46043.0</v>
      </c>
      <c r="C303" s="273">
        <v>46044.0</v>
      </c>
      <c r="D303" s="273">
        <f t="shared" si="64"/>
        <v>46046</v>
      </c>
      <c r="E303" s="289">
        <v>46044.0</v>
      </c>
      <c r="F303" s="274" t="s">
        <v>561</v>
      </c>
      <c r="G303" s="275" t="s">
        <v>562</v>
      </c>
      <c r="H303" s="274" t="s">
        <v>304</v>
      </c>
      <c r="I303" s="275" t="s">
        <v>744</v>
      </c>
      <c r="J303" s="272" t="s">
        <v>1004</v>
      </c>
      <c r="K303" s="275" t="s">
        <v>730</v>
      </c>
      <c r="L303" s="277" t="s">
        <v>1006</v>
      </c>
      <c r="M303" s="278" t="str">
        <f t="array" ref="M303">IFERROR(XLOOKUP(L303,'2. DATA NL, VTBB'!C:C,'2. DATA NL, VTBB'!D:D),"")</f>
        <v>Nắp HD cổ 43 - Xanh dương</v>
      </c>
      <c r="N303" s="280"/>
      <c r="O303" s="280" t="str">
        <f t="array" ref="O303">IFERROR( XLOOKUP(L303,'2. DATA NL, VTBB'!C:C,'2. DATA NL, VTBB'!E:E),"")</f>
        <v>Vi lượng Quantity New</v>
      </c>
      <c r="P303" s="275" t="s">
        <v>565</v>
      </c>
      <c r="Q303" s="311"/>
      <c r="R303" s="291" t="s">
        <v>573</v>
      </c>
      <c r="S303" s="280"/>
      <c r="T303" s="277"/>
      <c r="U303" s="277"/>
      <c r="V303" s="283">
        <v>1000.0</v>
      </c>
      <c r="W303" s="275" t="s">
        <v>699</v>
      </c>
      <c r="X303" s="283">
        <v>1000.0</v>
      </c>
      <c r="Y303" s="274">
        <v>1000.0</v>
      </c>
      <c r="Z303" s="272">
        <v>900.0</v>
      </c>
      <c r="AA303" s="285">
        <v>0.08</v>
      </c>
      <c r="AB303" s="282">
        <v>972000.0</v>
      </c>
      <c r="AC303" s="277"/>
      <c r="AD303" s="289">
        <v>46043.0</v>
      </c>
      <c r="AE303" s="312"/>
      <c r="AF303" s="277"/>
      <c r="AG303" s="277"/>
      <c r="AH303" s="294">
        <f>IFERROR(__xludf.DUMMYFUNCTION("IFERROR(INDEX( SORT(FILTER(
        {'1. DATA CHUNG'!$J$4:$J$105 , '1. DATA CHUNG'!$L$4:$L$105}, (TRIM('1. DATA CHUNG'!$I$4:$I$105)=TRIM(K303)) * IF(COUNTIFS('1. DATA CHUNG'!$I$4:$I$105,K303,'1. DATA CHUNG'!$M$4:$M$105,Q303), '1. DATA CHUNG'!$M$4:$M$105=Q"&amp;"303, 1) * ('1. DATA CHUNG'!$L$4:$L$105&lt;=TODAY()) ),   2, 0),  1, 1), 
  IFERROR( INDEX(FILTER('1. DATA CHUNG'!$J$4:$J$105, (TRIM('1. DATA CHUNG'!$I$4:$I$105)=TRIM(K303)) * IF(COUNTIFS('1. DATA CHUNG'!$I$4:$I$105,K303,'1. DATA CHUNG'!$M$4:$M$105,Q303), '1."&amp;" DATA CHUNG'!$M$4:$M$105=Q303, 1) * ('1. DATA CHUNG'!$L$4:$L$105="""")), 1), ""Không tìm thấy"" ))"),7.0)</f>
        <v>7</v>
      </c>
      <c r="AI303" s="273">
        <f t="shared" si="2"/>
        <v>46050</v>
      </c>
      <c r="AJ303" s="287"/>
      <c r="AK303" s="286">
        <f t="shared" si="3"/>
        <v>0</v>
      </c>
      <c r="AL303" s="287">
        <f t="shared" si="4"/>
        <v>2</v>
      </c>
      <c r="AM303" s="287">
        <f t="shared" si="5"/>
        <v>6</v>
      </c>
      <c r="AN303" s="279">
        <f t="shared" si="6"/>
        <v>6</v>
      </c>
      <c r="AO303" s="295" t="str">
        <f t="shared" si="7"/>
        <v>01/2026</v>
      </c>
      <c r="AP303" s="277" t="str">
        <f t="array" ref="AP303">IFERROR(XLOOKUP(L303,'2. DATA NL, VTBB'!C:C,'2. DATA NL, VTBB'!F:F),"")</f>
        <v>HH0105</v>
      </c>
      <c r="AQ303" s="277" t="str">
        <f t="array" ref="AQ303">IF(OR(K303="Nhãn", K303="Nhãn thùng",K303="Nhãn Túi"), K303 &amp; " " &amp; IFERROR(XLOOKUP(L303, '2. DATA NL, VTBB'!C:C, '2. DATA NL, VTBB'!E:E), ""), "")</f>
        <v/>
      </c>
      <c r="AR303" s="278" t="str">
        <f t="array" ref="AR303">IFERROR(XLOOKUP(L303,'2. DATA NL, VTBB'!C:C,'2. DATA NL, VTBB'!G:G),"")</f>
        <v>GC - II - 698 - Nông Lâm Hoà Phát - Nofa Super (Chai HD) - 500ml - 40 ([btp], c)</v>
      </c>
      <c r="AS303" s="278" t="str">
        <f t="array" ref="AS303">IFERROR(XLOOKUP(L303,'2. DATA NL, VTBB'!C:C,'2. DATA NL, VTBB'!G:G),"")</f>
        <v>GC - II - 698 - Nông Lâm Hoà Phát - Nofa Super (Chai HD) - 500ml - 40 ([btp], c)</v>
      </c>
      <c r="AT303" s="277"/>
    </row>
    <row r="304" ht="30.75" customHeight="1">
      <c r="A304" s="272">
        <f t="shared" si="44"/>
        <v>301</v>
      </c>
      <c r="B304" s="289">
        <v>46044.0</v>
      </c>
      <c r="C304" s="273">
        <v>46045.0</v>
      </c>
      <c r="D304" s="273">
        <f t="shared" si="64"/>
        <v>46047</v>
      </c>
      <c r="E304" s="289">
        <v>46045.0</v>
      </c>
      <c r="F304" s="274" t="s">
        <v>561</v>
      </c>
      <c r="G304" s="275" t="s">
        <v>562</v>
      </c>
      <c r="H304" s="274" t="s">
        <v>304</v>
      </c>
      <c r="I304" s="275" t="s">
        <v>726</v>
      </c>
      <c r="J304" s="272" t="s">
        <v>1007</v>
      </c>
      <c r="K304" s="275" t="s">
        <v>728</v>
      </c>
      <c r="L304" s="277" t="s">
        <v>1008</v>
      </c>
      <c r="M304" s="278" t="str">
        <f t="array" ref="M304">IFERROR(XLOOKUP(L304,'2. DATA NL, VTBB'!C:C,'2. DATA NL, VTBB'!D:D),"")</f>
        <v>Chai PET tròn cổ 38 (63.2gr) 500ml - Trắng</v>
      </c>
      <c r="N304" s="280"/>
      <c r="O304" s="280" t="str">
        <f t="array" ref="O304">IFERROR( XLOOKUP(L304,'2. DATA NL, VTBB'!C:C,'2. DATA NL, VTBB'!E:E),"")</f>
        <v>BYPHAN 800WP</v>
      </c>
      <c r="P304" s="275" t="s">
        <v>565</v>
      </c>
      <c r="Q304" s="311"/>
      <c r="R304" s="290" t="s">
        <v>566</v>
      </c>
      <c r="S304" s="280"/>
      <c r="T304" s="277"/>
      <c r="U304" s="277"/>
      <c r="V304" s="283">
        <v>2000.0</v>
      </c>
      <c r="W304" s="275" t="s">
        <v>699</v>
      </c>
      <c r="X304" s="283">
        <v>2000.0</v>
      </c>
      <c r="Y304" s="274">
        <v>2100.0</v>
      </c>
      <c r="Z304" s="272">
        <v>2900.0</v>
      </c>
      <c r="AA304" s="285">
        <v>0.08</v>
      </c>
      <c r="AB304" s="282">
        <v>6577200.0</v>
      </c>
      <c r="AC304" s="277"/>
      <c r="AD304" s="289">
        <v>46044.0</v>
      </c>
      <c r="AE304" s="312"/>
      <c r="AF304" s="277"/>
      <c r="AG304" s="277"/>
      <c r="AH304" s="294">
        <f>IFERROR(__xludf.DUMMYFUNCTION("IFERROR(INDEX( SORT(FILTER(
        {'1. DATA CHUNG'!$J$4:$J$105 , '1. DATA CHUNG'!$L$4:$L$105}, (TRIM('1. DATA CHUNG'!$I$4:$I$105)=TRIM(K304)) * IF(COUNTIFS('1. DATA CHUNG'!$I$4:$I$105,K304,'1. DATA CHUNG'!$M$4:$M$105,Q304), '1. DATA CHUNG'!$M$4:$M$105=Q"&amp;"304, 1) * ('1. DATA CHUNG'!$L$4:$L$105&lt;=TODAY()) ),   2, 0),  1, 1), 
  IFERROR( INDEX(FILTER('1. DATA CHUNG'!$J$4:$J$105, (TRIM('1. DATA CHUNG'!$I$4:$I$105)=TRIM(K304)) * IF(COUNTIFS('1. DATA CHUNG'!$I$4:$I$105,K304,'1. DATA CHUNG'!$M$4:$M$105,Q304), '1."&amp;" DATA CHUNG'!$M$4:$M$105=Q304, 1) * ('1. DATA CHUNG'!$L$4:$L$105="""")), 1), ""Không tìm thấy"" ))"),7.0)</f>
        <v>7</v>
      </c>
      <c r="AI304" s="273">
        <f t="shared" si="2"/>
        <v>46051</v>
      </c>
      <c r="AJ304" s="287"/>
      <c r="AK304" s="286">
        <f t="shared" si="3"/>
        <v>0</v>
      </c>
      <c r="AL304" s="287">
        <f t="shared" si="4"/>
        <v>2</v>
      </c>
      <c r="AM304" s="287">
        <f t="shared" si="5"/>
        <v>6</v>
      </c>
      <c r="AN304" s="279">
        <f t="shared" si="6"/>
        <v>6</v>
      </c>
      <c r="AO304" s="295" t="str">
        <f t="shared" si="7"/>
        <v>01/2026</v>
      </c>
      <c r="AP304" s="277" t="str">
        <f t="array" ref="AP304">IFERROR(XLOOKUP(L304,'2. DATA NL, VTBB'!C:C,'2. DATA NL, VTBB'!F:F),"")</f>
        <v>HH0245</v>
      </c>
      <c r="AQ304" s="277" t="str">
        <f t="array" ref="AQ304">IF(OR(K304="Nhãn", K304="Nhãn thùng",K304="Nhãn Túi"), K304 &amp; " " &amp; IFERROR(XLOOKUP(L304, '2. DATA NL, VTBB'!C:C, '2. DATA NL, VTBB'!E:E), ""), "")</f>
        <v/>
      </c>
      <c r="AR304" s="278" t="str">
        <f t="array" ref="AR304">IFERROR(XLOOKUP(L304,'2. DATA NL, VTBB'!C:C,'2. DATA NL, VTBB'!G:G),"")</f>
        <v>LOT IDA Global - I - 899 - ĐL Bảy Hiền - Manco xanh (bột xanh)(túi nhôm)- 1 Kg - 20</v>
      </c>
      <c r="AS304" s="278" t="str">
        <f t="array" ref="AS304">IFERROR(XLOOKUP(L304,'2. DATA NL, VTBB'!C:C,'2. DATA NL, VTBB'!G:G),"")</f>
        <v>LOT IDA Global - I - 899 - ĐL Bảy Hiền - Manco xanh (bột xanh)(túi nhôm)- 1 Kg - 20</v>
      </c>
      <c r="AT304" s="277"/>
    </row>
    <row r="305" ht="30.75" customHeight="1">
      <c r="A305" s="272">
        <f t="shared" si="44"/>
        <v>302</v>
      </c>
      <c r="B305" s="289">
        <v>46044.0</v>
      </c>
      <c r="C305" s="273">
        <v>46045.0</v>
      </c>
      <c r="D305" s="273">
        <f t="shared" si="64"/>
        <v>46047</v>
      </c>
      <c r="E305" s="289">
        <v>46045.0</v>
      </c>
      <c r="F305" s="274" t="s">
        <v>561</v>
      </c>
      <c r="G305" s="275" t="s">
        <v>562</v>
      </c>
      <c r="H305" s="274" t="s">
        <v>304</v>
      </c>
      <c r="I305" s="275" t="s">
        <v>726</v>
      </c>
      <c r="J305" s="272" t="s">
        <v>1007</v>
      </c>
      <c r="K305" s="275" t="s">
        <v>730</v>
      </c>
      <c r="L305" s="277" t="s">
        <v>1009</v>
      </c>
      <c r="M305" s="278" t="str">
        <f t="array" ref="M305">IFERROR(XLOOKUP(L305,'2. DATA NL, VTBB'!C:C,'2. DATA NL, VTBB'!D:D),"")</f>
        <v>Nắp PET cổ 38 (8.1gr) gầy - Trắng</v>
      </c>
      <c r="N305" s="280"/>
      <c r="O305" s="280" t="str">
        <f t="array" ref="O305">IFERROR( XLOOKUP(L305,'2. DATA NL, VTBB'!C:C,'2. DATA NL, VTBB'!E:E),"")</f>
        <v>HAIHAMEC 3.6EC</v>
      </c>
      <c r="P305" s="275" t="s">
        <v>565</v>
      </c>
      <c r="Q305" s="311"/>
      <c r="R305" s="290" t="s">
        <v>566</v>
      </c>
      <c r="S305" s="280"/>
      <c r="T305" s="277"/>
      <c r="U305" s="277"/>
      <c r="V305" s="283">
        <v>2000.0</v>
      </c>
      <c r="W305" s="275" t="s">
        <v>699</v>
      </c>
      <c r="X305" s="283">
        <v>2000.0</v>
      </c>
      <c r="Y305" s="274">
        <v>2100.0</v>
      </c>
      <c r="Z305" s="272">
        <v>900.0</v>
      </c>
      <c r="AA305" s="285">
        <v>0.08</v>
      </c>
      <c r="AB305" s="282">
        <v>2041200.0</v>
      </c>
      <c r="AC305" s="277"/>
      <c r="AD305" s="289">
        <v>46044.0</v>
      </c>
      <c r="AE305" s="312"/>
      <c r="AF305" s="277"/>
      <c r="AG305" s="277"/>
      <c r="AH305" s="294">
        <f>IFERROR(__xludf.DUMMYFUNCTION("IFERROR(INDEX( SORT(FILTER(
        {'1. DATA CHUNG'!$J$4:$J$105 , '1. DATA CHUNG'!$L$4:$L$105}, (TRIM('1. DATA CHUNG'!$I$4:$I$105)=TRIM(K305)) * IF(COUNTIFS('1. DATA CHUNG'!$I$4:$I$105,K305,'1. DATA CHUNG'!$M$4:$M$105,Q305), '1. DATA CHUNG'!$M$4:$M$105=Q"&amp;"305, 1) * ('1. DATA CHUNG'!$L$4:$L$105&lt;=TODAY()) ),   2, 0),  1, 1), 
  IFERROR( INDEX(FILTER('1. DATA CHUNG'!$J$4:$J$105, (TRIM('1. DATA CHUNG'!$I$4:$I$105)=TRIM(K305)) * IF(COUNTIFS('1. DATA CHUNG'!$I$4:$I$105,K305,'1. DATA CHUNG'!$M$4:$M$105,Q305), '1."&amp;" DATA CHUNG'!$M$4:$M$105=Q305, 1) * ('1. DATA CHUNG'!$L$4:$L$105="""")), 1), ""Không tìm thấy"" ))"),7.0)</f>
        <v>7</v>
      </c>
      <c r="AI305" s="273">
        <f t="shared" si="2"/>
        <v>46051</v>
      </c>
      <c r="AJ305" s="287"/>
      <c r="AK305" s="286">
        <f t="shared" si="3"/>
        <v>0</v>
      </c>
      <c r="AL305" s="287">
        <f t="shared" si="4"/>
        <v>2</v>
      </c>
      <c r="AM305" s="287">
        <f t="shared" si="5"/>
        <v>6</v>
      </c>
      <c r="AN305" s="279">
        <f t="shared" si="6"/>
        <v>6</v>
      </c>
      <c r="AO305" s="295" t="str">
        <f t="shared" si="7"/>
        <v>01/2026</v>
      </c>
      <c r="AP305" s="277" t="str">
        <f t="array" ref="AP305">IFERROR(XLOOKUP(L305,'2. DATA NL, VTBB'!C:C,'2. DATA NL, VTBB'!F:F),"")</f>
        <v>HH0170</v>
      </c>
      <c r="AQ305" s="277" t="str">
        <f t="array" ref="AQ305">IF(OR(K305="Nhãn", K305="Nhãn thùng",K305="Nhãn Túi"), K305 &amp; " " &amp; IFERROR(XLOOKUP(L305, '2. DATA NL, VTBB'!C:C, '2. DATA NL, VTBB'!E:E), ""), "")</f>
        <v/>
      </c>
      <c r="AR305" s="278" t="str">
        <f t="array" ref="AR305">IFERROR(XLOOKUP(L305,'2. DATA NL, VTBB'!C:C,'2. DATA NL, VTBB'!G:G),"")</f>
        <v>GC - IV - 900 - Tago - Bọ cạp chúa (Pet tròn) (nước nâu đen) - 450ml - 40</v>
      </c>
      <c r="AS305" s="278" t="str">
        <f t="array" ref="AS305">IFERROR(XLOOKUP(L305,'2. DATA NL, VTBB'!C:C,'2. DATA NL, VTBB'!G:G),"")</f>
        <v>GC - IV - 900 - Tago - Bọ cạp chúa (Pet tròn) (nước nâu đen) - 450ml - 40</v>
      </c>
      <c r="AT305" s="277"/>
    </row>
    <row r="306" ht="30.75" customHeight="1">
      <c r="A306" s="272">
        <f t="shared" si="44"/>
        <v>303</v>
      </c>
      <c r="B306" s="289">
        <v>46045.0</v>
      </c>
      <c r="C306" s="273">
        <v>46046.0</v>
      </c>
      <c r="D306" s="273">
        <f t="shared" si="64"/>
        <v>46048</v>
      </c>
      <c r="E306" s="289">
        <v>46048.0</v>
      </c>
      <c r="F306" s="274" t="s">
        <v>561</v>
      </c>
      <c r="G306" s="275" t="s">
        <v>562</v>
      </c>
      <c r="H306" s="274" t="s">
        <v>304</v>
      </c>
      <c r="I306" s="275" t="s">
        <v>726</v>
      </c>
      <c r="J306" s="272" t="s">
        <v>1010</v>
      </c>
      <c r="K306" s="275" t="s">
        <v>728</v>
      </c>
      <c r="L306" s="277" t="s">
        <v>763</v>
      </c>
      <c r="M306" s="278" t="str">
        <f t="array" ref="M306">IFERROR(XLOOKUP(L306,'2. DATA NL, VTBB'!C:C,'2. DATA NL, VTBB'!D:D),"")</f>
        <v>Chai HDPE tròn 1 Lít cổ 50 (120gr) - Trắng</v>
      </c>
      <c r="N306" s="280"/>
      <c r="O306" s="280" t="str">
        <f t="array" ref="O306">IFERROR( XLOOKUP(L306,'2. DATA NL, VTBB'!C:C,'2. DATA NL, VTBB'!E:E),"")</f>
        <v>Prima 04</v>
      </c>
      <c r="P306" s="275" t="s">
        <v>565</v>
      </c>
      <c r="Q306" s="311"/>
      <c r="R306" s="291" t="s">
        <v>573</v>
      </c>
      <c r="S306" s="280"/>
      <c r="T306" s="277"/>
      <c r="U306" s="277"/>
      <c r="V306" s="283">
        <v>400.0</v>
      </c>
      <c r="W306" s="275" t="s">
        <v>699</v>
      </c>
      <c r="X306" s="283">
        <v>400.0</v>
      </c>
      <c r="Y306" s="274">
        <v>450.0</v>
      </c>
      <c r="Z306" s="287">
        <v>5000.0</v>
      </c>
      <c r="AA306" s="285">
        <v>0.08</v>
      </c>
      <c r="AB306" s="282">
        <v>2430000.0</v>
      </c>
      <c r="AC306" s="277"/>
      <c r="AD306" s="289">
        <v>46045.0</v>
      </c>
      <c r="AE306" s="312"/>
      <c r="AF306" s="277"/>
      <c r="AG306" s="277"/>
      <c r="AH306" s="294">
        <f>IFERROR(__xludf.DUMMYFUNCTION("IFERROR(INDEX( SORT(FILTER(
        {'1. DATA CHUNG'!$J$4:$J$105 , '1. DATA CHUNG'!$L$4:$L$105}, (TRIM('1. DATA CHUNG'!$I$4:$I$105)=TRIM(K306)) * IF(COUNTIFS('1. DATA CHUNG'!$I$4:$I$105,K306,'1. DATA CHUNG'!$M$4:$M$105,Q306), '1. DATA CHUNG'!$M$4:$M$105=Q"&amp;"306, 1) * ('1. DATA CHUNG'!$L$4:$L$105&lt;=TODAY()) ),   2, 0),  1, 1), 
  IFERROR( INDEX(FILTER('1. DATA CHUNG'!$J$4:$J$105, (TRIM('1. DATA CHUNG'!$I$4:$I$105)=TRIM(K306)) * IF(COUNTIFS('1. DATA CHUNG'!$I$4:$I$105,K306,'1. DATA CHUNG'!$M$4:$M$105,Q306), '1."&amp;" DATA CHUNG'!$M$4:$M$105=Q306, 1) * ('1. DATA CHUNG'!$L$4:$L$105="""")), 1), ""Không tìm thấy"" ))"),7.0)</f>
        <v>7</v>
      </c>
      <c r="AI306" s="273">
        <f t="shared" si="2"/>
        <v>46052</v>
      </c>
      <c r="AJ306" s="287"/>
      <c r="AK306" s="286">
        <f t="shared" si="3"/>
        <v>0</v>
      </c>
      <c r="AL306" s="287">
        <f t="shared" si="4"/>
        <v>0</v>
      </c>
      <c r="AM306" s="287">
        <f t="shared" si="5"/>
        <v>4</v>
      </c>
      <c r="AN306" s="279">
        <f t="shared" si="6"/>
        <v>6</v>
      </c>
      <c r="AO306" s="295" t="str">
        <f t="shared" si="7"/>
        <v>01/2026</v>
      </c>
      <c r="AP306" s="277" t="str">
        <f t="array" ref="AP306">IFERROR(XLOOKUP(L306,'2. DATA NL, VTBB'!C:C,'2. DATA NL, VTBB'!F:F),"")</f>
        <v>HH0116</v>
      </c>
      <c r="AQ306" s="277" t="str">
        <f t="array" ref="AQ306">IF(OR(K306="Nhãn", K306="Nhãn thùng",K306="Nhãn Túi"), K306 &amp; " " &amp; IFERROR(XLOOKUP(L306, '2. DATA NL, VTBB'!C:C, '2. DATA NL, VTBB'!E:E), ""), "")</f>
        <v/>
      </c>
      <c r="AR306" s="278" t="str">
        <f t="array" ref="AR306">IFERROR(XLOOKUP(L306,'2. DATA NL, VTBB'!C:C,'2. DATA NL, VTBB'!G:G),"")</f>
        <v>GC - II - 666 - AU - Gel Humiix - 20 kg - 1 ([btp],x,n)</v>
      </c>
      <c r="AS306" s="278" t="str">
        <f t="array" ref="AS306">IFERROR(XLOOKUP(L306,'2. DATA NL, VTBB'!C:C,'2. DATA NL, VTBB'!G:G),"")</f>
        <v>GC - II - 666 - AU - Gel Humiix - 20 kg - 1 ([btp],x,n)</v>
      </c>
      <c r="AT306" s="277"/>
    </row>
    <row r="307" ht="30.75" customHeight="1">
      <c r="A307" s="272">
        <f t="shared" si="44"/>
        <v>304</v>
      </c>
      <c r="B307" s="289">
        <v>46045.0</v>
      </c>
      <c r="C307" s="273">
        <v>46046.0</v>
      </c>
      <c r="D307" s="273">
        <f t="shared" si="64"/>
        <v>46048</v>
      </c>
      <c r="E307" s="289">
        <v>46048.0</v>
      </c>
      <c r="F307" s="274" t="s">
        <v>561</v>
      </c>
      <c r="G307" s="275" t="s">
        <v>562</v>
      </c>
      <c r="H307" s="274" t="s">
        <v>304</v>
      </c>
      <c r="I307" s="275" t="s">
        <v>726</v>
      </c>
      <c r="J307" s="272" t="s">
        <v>1010</v>
      </c>
      <c r="K307" s="275" t="s">
        <v>730</v>
      </c>
      <c r="L307" s="277" t="s">
        <v>764</v>
      </c>
      <c r="M307" s="278" t="str">
        <f t="array" ref="M307">IFERROR(XLOOKUP(L307,'2. DATA NL, VTBB'!C:C,'2. DATA NL, VTBB'!D:D),"")</f>
        <v>Nắp HDPE có bèo cổ 50 (10gr) - Trắng</v>
      </c>
      <c r="N307" s="280"/>
      <c r="O307" s="280" t="str">
        <f t="array" ref="O307">IFERROR( XLOOKUP(L307,'2. DATA NL, VTBB'!C:C,'2. DATA NL, VTBB'!E:E),"")</f>
        <v>Vi lượng Quantity New</v>
      </c>
      <c r="P307" s="275" t="s">
        <v>565</v>
      </c>
      <c r="Q307" s="311"/>
      <c r="R307" s="291" t="s">
        <v>573</v>
      </c>
      <c r="S307" s="280"/>
      <c r="T307" s="277"/>
      <c r="U307" s="277"/>
      <c r="V307" s="283">
        <v>400.0</v>
      </c>
      <c r="W307" s="275" t="s">
        <v>699</v>
      </c>
      <c r="X307" s="283">
        <v>400.0</v>
      </c>
      <c r="Y307" s="274">
        <v>450.0</v>
      </c>
      <c r="Z307" s="287">
        <v>900.0</v>
      </c>
      <c r="AA307" s="285">
        <v>0.08</v>
      </c>
      <c r="AB307" s="282">
        <v>437400.0</v>
      </c>
      <c r="AC307" s="277"/>
      <c r="AD307" s="289">
        <v>46045.0</v>
      </c>
      <c r="AE307" s="312"/>
      <c r="AF307" s="277"/>
      <c r="AG307" s="277"/>
      <c r="AH307" s="294">
        <f>IFERROR(__xludf.DUMMYFUNCTION("IFERROR(INDEX( SORT(FILTER(
        {'1. DATA CHUNG'!$J$4:$J$105 , '1. DATA CHUNG'!$L$4:$L$105}, (TRIM('1. DATA CHUNG'!$I$4:$I$105)=TRIM(K307)) * IF(COUNTIFS('1. DATA CHUNG'!$I$4:$I$105,K307,'1. DATA CHUNG'!$M$4:$M$105,Q307), '1. DATA CHUNG'!$M$4:$M$105=Q"&amp;"307, 1) * ('1. DATA CHUNG'!$L$4:$L$105&lt;=TODAY()) ),   2, 0),  1, 1), 
  IFERROR( INDEX(FILTER('1. DATA CHUNG'!$J$4:$J$105, (TRIM('1. DATA CHUNG'!$I$4:$I$105)=TRIM(K307)) * IF(COUNTIFS('1. DATA CHUNG'!$I$4:$I$105,K307,'1. DATA CHUNG'!$M$4:$M$105,Q307), '1."&amp;" DATA CHUNG'!$M$4:$M$105=Q307, 1) * ('1. DATA CHUNG'!$L$4:$L$105="""")), 1), ""Không tìm thấy"" ))"),7.0)</f>
        <v>7</v>
      </c>
      <c r="AI307" s="273">
        <f t="shared" si="2"/>
        <v>46052</v>
      </c>
      <c r="AJ307" s="287"/>
      <c r="AK307" s="286">
        <f t="shared" si="3"/>
        <v>0</v>
      </c>
      <c r="AL307" s="287">
        <f t="shared" si="4"/>
        <v>0</v>
      </c>
      <c r="AM307" s="287">
        <f t="shared" si="5"/>
        <v>4</v>
      </c>
      <c r="AN307" s="279">
        <f t="shared" si="6"/>
        <v>6</v>
      </c>
      <c r="AO307" s="295" t="str">
        <f t="shared" si="7"/>
        <v>01/2026</v>
      </c>
      <c r="AP307" s="277" t="str">
        <f t="array" ref="AP307">IFERROR(XLOOKUP(L307,'2. DATA NL, VTBB'!C:C,'2. DATA NL, VTBB'!F:F),"")</f>
        <v>HH0070</v>
      </c>
      <c r="AQ307" s="277" t="str">
        <f t="array" ref="AQ307">IF(OR(K307="Nhãn", K307="Nhãn thùng",K307="Nhãn Túi"), K307 &amp; " " &amp; IFERROR(XLOOKUP(L307, '2. DATA NL, VTBB'!C:C, '2. DATA NL, VTBB'!E:E), ""), "")</f>
        <v/>
      </c>
      <c r="AR307" s="278" t="str">
        <f t="array" ref="AR307">IFERROR(XLOOKUP(L307,'2. DATA NL, VTBB'!C:C,'2. DATA NL, VTBB'!G:G),"")</f>
        <v>GC - II - 591 - A Thời GNH - Chuyên lác (Chai HD) - 1L - 20</v>
      </c>
      <c r="AS307" s="278" t="str">
        <f t="array" ref="AS307">IFERROR(XLOOKUP(L307,'2. DATA NL, VTBB'!C:C,'2. DATA NL, VTBB'!G:G),"")</f>
        <v>GC - II - 591 - A Thời GNH - Chuyên lác (Chai HD) - 1L - 20</v>
      </c>
      <c r="AT307" s="277"/>
    </row>
    <row r="308" ht="30.75" customHeight="1">
      <c r="A308" s="272">
        <f t="shared" si="44"/>
        <v>305</v>
      </c>
      <c r="B308" s="289">
        <v>46045.0</v>
      </c>
      <c r="C308" s="273">
        <v>46046.0</v>
      </c>
      <c r="D308" s="273">
        <f t="shared" si="64"/>
        <v>46048</v>
      </c>
      <c r="E308" s="273">
        <v>46048.0</v>
      </c>
      <c r="F308" s="274" t="s">
        <v>561</v>
      </c>
      <c r="G308" s="275" t="s">
        <v>562</v>
      </c>
      <c r="H308" s="274" t="s">
        <v>304</v>
      </c>
      <c r="I308" s="275" t="s">
        <v>726</v>
      </c>
      <c r="J308" s="272" t="s">
        <v>1011</v>
      </c>
      <c r="K308" s="275" t="s">
        <v>767</v>
      </c>
      <c r="L308" s="277" t="s">
        <v>913</v>
      </c>
      <c r="M308" s="278" t="str">
        <f t="array" ref="M308">IFERROR(XLOOKUP(L308,'2. DATA NL, VTBB'!C:C,'2. DATA NL, VTBB'!D:D),"")</f>
        <v>Can HDPE 5L vuông , 4 chấm chống trượt (340gr) - Vàng</v>
      </c>
      <c r="N308" s="280"/>
      <c r="O308" s="280" t="str">
        <f t="array" ref="O308">IFERROR( XLOOKUP(L308,'2. DATA NL, VTBB'!C:C,'2. DATA NL, VTBB'!E:E),"")</f>
        <v>Vi lượng Quantity New</v>
      </c>
      <c r="P308" s="275" t="s">
        <v>565</v>
      </c>
      <c r="Q308" s="311"/>
      <c r="R308" s="290" t="s">
        <v>566</v>
      </c>
      <c r="S308" s="280"/>
      <c r="T308" s="277"/>
      <c r="U308" s="277"/>
      <c r="V308" s="283">
        <v>200.0</v>
      </c>
      <c r="W308" s="275" t="s">
        <v>699</v>
      </c>
      <c r="X308" s="283">
        <v>200.0</v>
      </c>
      <c r="Y308" s="274">
        <v>216.0</v>
      </c>
      <c r="Z308" s="272">
        <v>20000.0</v>
      </c>
      <c r="AA308" s="285">
        <v>0.08</v>
      </c>
      <c r="AB308" s="282">
        <v>4665600.0</v>
      </c>
      <c r="AC308" s="277"/>
      <c r="AD308" s="289">
        <v>46045.0</v>
      </c>
      <c r="AE308" s="312"/>
      <c r="AF308" s="277"/>
      <c r="AG308" s="277"/>
      <c r="AH308" s="294">
        <f>IFERROR(__xludf.DUMMYFUNCTION("IFERROR(INDEX( SORT(FILTER(
        {'1. DATA CHUNG'!$J$4:$J$105 , '1. DATA CHUNG'!$L$4:$L$105}, (TRIM('1. DATA CHUNG'!$I$4:$I$105)=TRIM(K308)) * IF(COUNTIFS('1. DATA CHUNG'!$I$4:$I$105,K308,'1. DATA CHUNG'!$M$4:$M$105,Q308), '1. DATA CHUNG'!$M$4:$M$105=Q"&amp;"308, 1) * ('1. DATA CHUNG'!$L$4:$L$105&lt;=TODAY()) ),   2, 0),  1, 1), 
  IFERROR( INDEX(FILTER('1. DATA CHUNG'!$J$4:$J$105, (TRIM('1. DATA CHUNG'!$I$4:$I$105)=TRIM(K308)) * IF(COUNTIFS('1. DATA CHUNG'!$I$4:$I$105,K308,'1. DATA CHUNG'!$M$4:$M$105,Q308), '1."&amp;" DATA CHUNG'!$M$4:$M$105=Q308, 1) * ('1. DATA CHUNG'!$L$4:$L$105="""")), 1), ""Không tìm thấy"" ))"),5.0)</f>
        <v>5</v>
      </c>
      <c r="AI308" s="273">
        <f t="shared" si="2"/>
        <v>46050</v>
      </c>
      <c r="AJ308" s="287"/>
      <c r="AK308" s="286">
        <f t="shared" si="3"/>
        <v>0</v>
      </c>
      <c r="AL308" s="287">
        <f t="shared" si="4"/>
        <v>0</v>
      </c>
      <c r="AM308" s="287">
        <f t="shared" si="5"/>
        <v>2</v>
      </c>
      <c r="AN308" s="279">
        <f t="shared" si="6"/>
        <v>4</v>
      </c>
      <c r="AO308" s="295" t="str">
        <f t="shared" si="7"/>
        <v>01/2026</v>
      </c>
      <c r="AP308" s="277" t="str">
        <f t="array" ref="AP308">IFERROR(XLOOKUP(L308,'2. DATA NL, VTBB'!C:C,'2. DATA NL, VTBB'!F:F),"")</f>
        <v>HH0028</v>
      </c>
      <c r="AQ308" s="277" t="str">
        <f t="array" ref="AQ308">IF(OR(K308="Nhãn", K308="Nhãn thùng",K308="Nhãn Túi"), K308 &amp; " " &amp; IFERROR(XLOOKUP(L308, '2. DATA NL, VTBB'!C:C, '2. DATA NL, VTBB'!E:E), ""), "")</f>
        <v/>
      </c>
      <c r="AR308" s="278" t="str">
        <f t="array" ref="AR308">IFERROR(XLOOKUP(L308,'2. DATA NL, VTBB'!C:C,'2. DATA NL, VTBB'!G:G),"")</f>
        <v>GC - II - 810 - AGC - Big C (Gel nâu đen) (chai HD) - 500ml - 40</v>
      </c>
      <c r="AS308" s="278" t="str">
        <f t="array" ref="AS308">IFERROR(XLOOKUP(L308,'2. DATA NL, VTBB'!C:C,'2. DATA NL, VTBB'!G:G),"")</f>
        <v>GC - II - 810 - AGC - Big C (Gel nâu đen) (chai HD) - 500ml - 40</v>
      </c>
      <c r="AT308" s="277"/>
    </row>
    <row r="309" ht="30.75" customHeight="1">
      <c r="A309" s="272">
        <f t="shared" si="44"/>
        <v>306</v>
      </c>
      <c r="B309" s="289">
        <v>46045.0</v>
      </c>
      <c r="C309" s="273">
        <v>46046.0</v>
      </c>
      <c r="D309" s="273">
        <f t="shared" si="64"/>
        <v>46048</v>
      </c>
      <c r="E309" s="273">
        <v>46048.0</v>
      </c>
      <c r="F309" s="274" t="s">
        <v>561</v>
      </c>
      <c r="G309" s="275" t="s">
        <v>562</v>
      </c>
      <c r="H309" s="274" t="s">
        <v>304</v>
      </c>
      <c r="I309" s="275" t="s">
        <v>726</v>
      </c>
      <c r="J309" s="272" t="s">
        <v>1011</v>
      </c>
      <c r="K309" s="275" t="s">
        <v>730</v>
      </c>
      <c r="L309" s="277" t="s">
        <v>915</v>
      </c>
      <c r="M309" s="278" t="str">
        <f t="array" ref="M309">IFERROR(XLOOKUP(L309,'2. DATA NL, VTBB'!C:C,'2. DATA NL, VTBB'!D:D),"")</f>
        <v>Nắp can HDPE 5L (13gr) - Đen</v>
      </c>
      <c r="N309" s="280"/>
      <c r="O309" s="280" t="str">
        <f t="array" ref="O309">IFERROR( XLOOKUP(L309,'2. DATA NL, VTBB'!C:C,'2. DATA NL, VTBB'!E:E),"")</f>
        <v>Vi lượng Quantity New</v>
      </c>
      <c r="P309" s="275" t="s">
        <v>565</v>
      </c>
      <c r="Q309" s="311"/>
      <c r="R309" s="290" t="s">
        <v>566</v>
      </c>
      <c r="S309" s="280"/>
      <c r="T309" s="277"/>
      <c r="U309" s="277"/>
      <c r="V309" s="283">
        <v>200.0</v>
      </c>
      <c r="W309" s="275" t="s">
        <v>699</v>
      </c>
      <c r="X309" s="283">
        <v>200.0</v>
      </c>
      <c r="Y309" s="274">
        <v>216.0</v>
      </c>
      <c r="Z309" s="272">
        <v>1000.0</v>
      </c>
      <c r="AA309" s="285">
        <v>0.08</v>
      </c>
      <c r="AB309" s="282">
        <v>233280.0</v>
      </c>
      <c r="AC309" s="277"/>
      <c r="AD309" s="289">
        <v>46045.0</v>
      </c>
      <c r="AE309" s="312"/>
      <c r="AF309" s="277"/>
      <c r="AG309" s="277"/>
      <c r="AH309" s="294">
        <f>IFERROR(__xludf.DUMMYFUNCTION("IFERROR(INDEX( SORT(FILTER(
        {'1. DATA CHUNG'!$J$4:$J$105 , '1. DATA CHUNG'!$L$4:$L$105}, (TRIM('1. DATA CHUNG'!$I$4:$I$105)=TRIM(K309)) * IF(COUNTIFS('1. DATA CHUNG'!$I$4:$I$105,K309,'1. DATA CHUNG'!$M$4:$M$105,Q309), '1. DATA CHUNG'!$M$4:$M$105=Q"&amp;"309, 1) * ('1. DATA CHUNG'!$L$4:$L$105&lt;=TODAY()) ),   2, 0),  1, 1), 
  IFERROR( INDEX(FILTER('1. DATA CHUNG'!$J$4:$J$105, (TRIM('1. DATA CHUNG'!$I$4:$I$105)=TRIM(K309)) * IF(COUNTIFS('1. DATA CHUNG'!$I$4:$I$105,K309,'1. DATA CHUNG'!$M$4:$M$105,Q309), '1."&amp;" DATA CHUNG'!$M$4:$M$105=Q309, 1) * ('1. DATA CHUNG'!$L$4:$L$105="""")), 1), ""Không tìm thấy"" ))"),7.0)</f>
        <v>7</v>
      </c>
      <c r="AI309" s="273">
        <f t="shared" si="2"/>
        <v>46052</v>
      </c>
      <c r="AJ309" s="287"/>
      <c r="AK309" s="286">
        <f t="shared" si="3"/>
        <v>0</v>
      </c>
      <c r="AL309" s="287">
        <f t="shared" si="4"/>
        <v>0</v>
      </c>
      <c r="AM309" s="287">
        <f t="shared" si="5"/>
        <v>4</v>
      </c>
      <c r="AN309" s="279">
        <f t="shared" si="6"/>
        <v>6</v>
      </c>
      <c r="AO309" s="295" t="str">
        <f t="shared" si="7"/>
        <v>01/2026</v>
      </c>
      <c r="AP309" s="277" t="str">
        <f t="array" ref="AP309">IFERROR(XLOOKUP(L309,'2. DATA NL, VTBB'!C:C,'2. DATA NL, VTBB'!F:F),"")</f>
        <v>HH0130</v>
      </c>
      <c r="AQ309" s="277" t="str">
        <f t="array" ref="AQ309">IF(OR(K309="Nhãn", K309="Nhãn thùng",K309="Nhãn Túi"), K309 &amp; " " &amp; IFERROR(XLOOKUP(L309, '2. DATA NL, VTBB'!C:C, '2. DATA NL, VTBB'!E:E), ""), "")</f>
        <v/>
      </c>
      <c r="AR309" s="278" t="str">
        <f t="array" ref="AR309">IFERROR(XLOOKUP(L309,'2. DATA NL, VTBB'!C:C,'2. DATA NL, VTBB'!G:G),"")</f>
        <v>GC - II - 811 - AGC - Power + (Gel nâu đen) (chai HD) - 500ml - 40</v>
      </c>
      <c r="AS309" s="278" t="str">
        <f t="array" ref="AS309">IFERROR(XLOOKUP(L309,'2. DATA NL, VTBB'!C:C,'2. DATA NL, VTBB'!G:G),"")</f>
        <v>GC - II - 811 - AGC - Power + (Gel nâu đen) (chai HD) - 500ml - 40</v>
      </c>
      <c r="AT309" s="277"/>
    </row>
    <row r="310" ht="30.75" customHeight="1">
      <c r="A310" s="272">
        <f t="shared" si="44"/>
        <v>307</v>
      </c>
      <c r="B310" s="289">
        <v>46045.0</v>
      </c>
      <c r="C310" s="289">
        <v>46052.0</v>
      </c>
      <c r="D310" s="289">
        <v>46060.0</v>
      </c>
      <c r="E310" s="289">
        <v>46060.0</v>
      </c>
      <c r="F310" s="274" t="s">
        <v>561</v>
      </c>
      <c r="G310" s="275" t="s">
        <v>562</v>
      </c>
      <c r="H310" s="274" t="s">
        <v>304</v>
      </c>
      <c r="I310" s="275" t="s">
        <v>305</v>
      </c>
      <c r="J310" s="272" t="s">
        <v>1012</v>
      </c>
      <c r="K310" s="275" t="s">
        <v>301</v>
      </c>
      <c r="L310" s="277" t="s">
        <v>595</v>
      </c>
      <c r="M310" s="278" t="str">
        <f t="array" ref="M310">IFERROR(XLOOKUP(L310,'2. DATA NL, VTBB'!C:C,'2. DATA NL, VTBB'!D:D),"")</f>
        <v>Thùng dùng chung ABA chai tròn 1 lít x 20 chai (20 gói/ thùng) - (45.5x35.5x27cm) - Trắng</v>
      </c>
      <c r="N310" s="280"/>
      <c r="O310" s="280" t="str">
        <f t="array" ref="O310">IFERROR( XLOOKUP(L310,'2. DATA NL, VTBB'!C:C,'2. DATA NL, VTBB'!E:E),"")</f>
        <v>Vi lượng AV4-BO633</v>
      </c>
      <c r="P310" s="275" t="s">
        <v>565</v>
      </c>
      <c r="Q310" s="311"/>
      <c r="R310" s="290" t="s">
        <v>566</v>
      </c>
      <c r="S310" s="280"/>
      <c r="T310" s="277"/>
      <c r="U310" s="277"/>
      <c r="V310" s="283">
        <v>500.0</v>
      </c>
      <c r="W310" s="275" t="s">
        <v>699</v>
      </c>
      <c r="X310" s="283">
        <v>500.0</v>
      </c>
      <c r="Y310" s="274">
        <v>500.0</v>
      </c>
      <c r="Z310" s="272">
        <v>19750.0</v>
      </c>
      <c r="AA310" s="285">
        <v>0.08</v>
      </c>
      <c r="AB310" s="282">
        <v>1.0665E7</v>
      </c>
      <c r="AC310" s="277"/>
      <c r="AD310" s="289">
        <v>46045.0</v>
      </c>
      <c r="AE310" s="312"/>
      <c r="AF310" s="277"/>
      <c r="AG310" s="277"/>
      <c r="AH310" s="294">
        <f>IFERROR(__xludf.DUMMYFUNCTION("IFERROR(INDEX( SORT(FILTER(
        {'1. DATA CHUNG'!$J$4:$J$105 , '1. DATA CHUNG'!$L$4:$L$105}, (TRIM('1. DATA CHUNG'!$I$4:$I$105)=TRIM(K310)) * IF(COUNTIFS('1. DATA CHUNG'!$I$4:$I$105,K310,'1. DATA CHUNG'!$M$4:$M$105,Q310), '1. DATA CHUNG'!$M$4:$M$105=Q"&amp;"310, 1) * ('1. DATA CHUNG'!$L$4:$L$105&lt;=TODAY()) ),   2, 0),  1, 1), 
  IFERROR( INDEX(FILTER('1. DATA CHUNG'!$J$4:$J$105, (TRIM('1. DATA CHUNG'!$I$4:$I$105)=TRIM(K310)) * IF(COUNTIFS('1. DATA CHUNG'!$I$4:$I$105,K310,'1. DATA CHUNG'!$M$4:$M$105,Q310), '1."&amp;" DATA CHUNG'!$M$4:$M$105=Q310, 1) * ('1. DATA CHUNG'!$L$4:$L$105="""")), 1), ""Không tìm thấy"" ))"),18.0)</f>
        <v>18</v>
      </c>
      <c r="AI310" s="273">
        <f t="shared" si="2"/>
        <v>46063</v>
      </c>
      <c r="AJ310" s="287"/>
      <c r="AK310" s="286">
        <f t="shared" si="3"/>
        <v>0</v>
      </c>
      <c r="AL310" s="287">
        <f t="shared" si="4"/>
        <v>0</v>
      </c>
      <c r="AM310" s="287">
        <f t="shared" si="5"/>
        <v>3</v>
      </c>
      <c r="AN310" s="279">
        <f t="shared" si="6"/>
        <v>11</v>
      </c>
      <c r="AO310" s="295" t="str">
        <f t="shared" si="7"/>
        <v>01/2026</v>
      </c>
      <c r="AP310" s="277" t="str">
        <f t="array" ref="AP310">IFERROR(XLOOKUP(L310,'2. DATA NL, VTBB'!C:C,'2. DATA NL, VTBB'!F:F),"")</f>
        <v>HH0078</v>
      </c>
      <c r="AQ310" s="277" t="str">
        <f t="array" ref="AQ310">IF(OR(K310="Nhãn", K310="Nhãn thùng",K310="Nhãn Túi"), K310 &amp; " " &amp; IFERROR(XLOOKUP(L310, '2. DATA NL, VTBB'!C:C, '2. DATA NL, VTBB'!E:E), ""), "")</f>
        <v/>
      </c>
      <c r="AR310" s="278" t="str">
        <f t="array" ref="AR310">IFERROR(XLOOKUP(L310,'2. DATA NL, VTBB'!C:C,'2. DATA NL, VTBB'!G:G),"")</f>
        <v>GC - II - 434 - Ariplant - Siêu ra hoa sầu riêng (mới) - 250 gr- 100</v>
      </c>
      <c r="AS310" s="278" t="str">
        <f t="array" ref="AS310">IFERROR(XLOOKUP(L310,'2. DATA NL, VTBB'!C:C,'2. DATA NL, VTBB'!G:G),"")</f>
        <v>GC - II - 434 - Ariplant - Siêu ra hoa sầu riêng (mới) - 250 gr- 100</v>
      </c>
      <c r="AT310" s="277"/>
    </row>
    <row r="311" ht="30.75" customHeight="1">
      <c r="A311" s="272">
        <f t="shared" si="44"/>
        <v>308</v>
      </c>
      <c r="B311" s="289">
        <v>46045.0</v>
      </c>
      <c r="C311" s="289">
        <v>46052.0</v>
      </c>
      <c r="D311" s="289">
        <v>46060.0</v>
      </c>
      <c r="E311" s="289">
        <v>46060.0</v>
      </c>
      <c r="F311" s="274" t="s">
        <v>561</v>
      </c>
      <c r="G311" s="275" t="s">
        <v>562</v>
      </c>
      <c r="H311" s="274" t="s">
        <v>304</v>
      </c>
      <c r="I311" s="275" t="s">
        <v>305</v>
      </c>
      <c r="J311" s="272" t="s">
        <v>1012</v>
      </c>
      <c r="K311" s="275" t="s">
        <v>301</v>
      </c>
      <c r="L311" s="277" t="s">
        <v>586</v>
      </c>
      <c r="M311" s="278" t="str">
        <f t="array" ref="M311">IFERROR(XLOOKUP(L311,'2. DATA NL, VTBB'!C:C,'2. DATA NL, VTBB'!D:D),"")</f>
        <v>Thùng dùng chung ABA Chai 250ml x 40 chai (53.5x33.5x15.5cm) - Trắng</v>
      </c>
      <c r="N311" s="280"/>
      <c r="O311" s="280" t="str">
        <f t="array" ref="O311">IFERROR( XLOOKUP(L311,'2. DATA NL, VTBB'!C:C,'2. DATA NL, VTBB'!E:E),"")</f>
        <v>Creek 51WG</v>
      </c>
      <c r="P311" s="275" t="s">
        <v>565</v>
      </c>
      <c r="Q311" s="311"/>
      <c r="R311" s="290" t="s">
        <v>566</v>
      </c>
      <c r="S311" s="280"/>
      <c r="T311" s="277"/>
      <c r="U311" s="277"/>
      <c r="V311" s="283">
        <v>30.0</v>
      </c>
      <c r="W311" s="275" t="s">
        <v>699</v>
      </c>
      <c r="X311" s="283">
        <v>30.0</v>
      </c>
      <c r="Y311" s="274">
        <v>300.0</v>
      </c>
      <c r="Z311" s="272">
        <v>16700.0</v>
      </c>
      <c r="AA311" s="285">
        <v>0.08</v>
      </c>
      <c r="AB311" s="282">
        <v>5410800.0</v>
      </c>
      <c r="AC311" s="277"/>
      <c r="AD311" s="289">
        <v>46045.0</v>
      </c>
      <c r="AE311" s="312"/>
      <c r="AF311" s="277"/>
      <c r="AG311" s="277"/>
      <c r="AH311" s="294">
        <f>IFERROR(__xludf.DUMMYFUNCTION("IFERROR(INDEX( SORT(FILTER(
        {'1. DATA CHUNG'!$J$4:$J$105 , '1. DATA CHUNG'!$L$4:$L$105}, (TRIM('1. DATA CHUNG'!$I$4:$I$105)=TRIM(K311)) * IF(COUNTIFS('1. DATA CHUNG'!$I$4:$I$105,K311,'1. DATA CHUNG'!$M$4:$M$105,Q311), '1. DATA CHUNG'!$M$4:$M$105=Q"&amp;"311, 1) * ('1. DATA CHUNG'!$L$4:$L$105&lt;=TODAY()) ),   2, 0),  1, 1), 
  IFERROR( INDEX(FILTER('1. DATA CHUNG'!$J$4:$J$105, (TRIM('1. DATA CHUNG'!$I$4:$I$105)=TRIM(K311)) * IF(COUNTIFS('1. DATA CHUNG'!$I$4:$I$105,K311,'1. DATA CHUNG'!$M$4:$M$105,Q311), '1."&amp;" DATA CHUNG'!$M$4:$M$105=Q311, 1) * ('1. DATA CHUNG'!$L$4:$L$105="""")), 1), ""Không tìm thấy"" ))"),18.0)</f>
        <v>18</v>
      </c>
      <c r="AI311" s="273">
        <f t="shared" si="2"/>
        <v>46063</v>
      </c>
      <c r="AJ311" s="287"/>
      <c r="AK311" s="286">
        <f t="shared" si="3"/>
        <v>0</v>
      </c>
      <c r="AL311" s="287">
        <f t="shared" si="4"/>
        <v>0</v>
      </c>
      <c r="AM311" s="287">
        <f t="shared" si="5"/>
        <v>3</v>
      </c>
      <c r="AN311" s="279">
        <f t="shared" si="6"/>
        <v>11</v>
      </c>
      <c r="AO311" s="295" t="str">
        <f t="shared" si="7"/>
        <v>01/2026</v>
      </c>
      <c r="AP311" s="277" t="str">
        <f t="array" ref="AP311">IFERROR(XLOOKUP(L311,'2. DATA NL, VTBB'!C:C,'2. DATA NL, VTBB'!F:F),"")</f>
        <v>HH0080</v>
      </c>
      <c r="AQ311" s="277" t="str">
        <f t="array" ref="AQ311">IF(OR(K311="Nhãn", K311="Nhãn thùng",K311="Nhãn Túi"), K311 &amp; " " &amp; IFERROR(XLOOKUP(L311, '2. DATA NL, VTBB'!C:C, '2. DATA NL, VTBB'!E:E), ""), "")</f>
        <v/>
      </c>
      <c r="AR311" s="278" t="str">
        <f t="array" ref="AR311">IFERROR(XLOOKUP(L311,'2. DATA NL, VTBB'!C:C,'2. DATA NL, VTBB'!G:G),"")</f>
        <v>IDA Global - I - 442 - Creek 51WG (Dạng cốm) - 30gr - 300</v>
      </c>
      <c r="AS311" s="278" t="str">
        <f t="array" ref="AS311">IFERROR(XLOOKUP(L311,'2. DATA NL, VTBB'!C:C,'2. DATA NL, VTBB'!G:G),"")</f>
        <v>IDA Global - I - 442 - Creek 51WG (Dạng cốm) - 30gr - 300</v>
      </c>
      <c r="AT311" s="277"/>
    </row>
    <row r="312" ht="30.75" customHeight="1">
      <c r="A312" s="272">
        <f t="shared" si="44"/>
        <v>309</v>
      </c>
      <c r="B312" s="289">
        <v>46045.0</v>
      </c>
      <c r="C312" s="273">
        <v>46046.0</v>
      </c>
      <c r="D312" s="273">
        <f>B312+3</f>
        <v>46048</v>
      </c>
      <c r="E312" s="289">
        <v>46048.0</v>
      </c>
      <c r="F312" s="274" t="s">
        <v>561</v>
      </c>
      <c r="G312" s="275" t="s">
        <v>562</v>
      </c>
      <c r="H312" s="274" t="s">
        <v>304</v>
      </c>
      <c r="I312" s="275" t="s">
        <v>937</v>
      </c>
      <c r="J312" s="272" t="s">
        <v>1013</v>
      </c>
      <c r="K312" s="275" t="s">
        <v>728</v>
      </c>
      <c r="L312" s="277" t="s">
        <v>939</v>
      </c>
      <c r="M312" s="278" t="str">
        <f t="array" ref="M312">IFERROR(XLOOKUP(L312,'2. DATA NL, VTBB'!C:C,'2. DATA NL, VTBB'!D:D),"")</f>
        <v>Chai PET tròn cổ 28 100ml Trong - Nắp đen (20gr)</v>
      </c>
      <c r="N312" s="280"/>
      <c r="O312" s="280" t="str">
        <f t="array" ref="O312">IFERROR( XLOOKUP(L312,'2. DATA NL, VTBB'!C:C,'2. DATA NL, VTBB'!E:E),"")</f>
        <v>Chitin 3.6EC</v>
      </c>
      <c r="P312" s="275" t="s">
        <v>565</v>
      </c>
      <c r="Q312" s="311"/>
      <c r="R312" s="290" t="s">
        <v>566</v>
      </c>
      <c r="S312" s="280"/>
      <c r="T312" s="277"/>
      <c r="U312" s="277"/>
      <c r="V312" s="283">
        <v>10000.0</v>
      </c>
      <c r="W312" s="275" t="s">
        <v>699</v>
      </c>
      <c r="X312" s="283">
        <v>10000.0</v>
      </c>
      <c r="Y312" s="274">
        <v>10000.0</v>
      </c>
      <c r="Z312" s="272">
        <v>1200.0</v>
      </c>
      <c r="AA312" s="285">
        <v>0.08</v>
      </c>
      <c r="AB312" s="282">
        <v>1.296E7</v>
      </c>
      <c r="AC312" s="277"/>
      <c r="AD312" s="289">
        <v>46045.0</v>
      </c>
      <c r="AE312" s="312"/>
      <c r="AF312" s="277"/>
      <c r="AG312" s="277"/>
      <c r="AH312" s="294">
        <f>IFERROR(__xludf.DUMMYFUNCTION("IFERROR(INDEX( SORT(FILTER(
        {'1. DATA CHUNG'!$J$4:$J$105 , '1. DATA CHUNG'!$L$4:$L$105}, (TRIM('1. DATA CHUNG'!$I$4:$I$105)=TRIM(K312)) * IF(COUNTIFS('1. DATA CHUNG'!$I$4:$I$105,K312,'1. DATA CHUNG'!$M$4:$M$105,Q312), '1. DATA CHUNG'!$M$4:$M$105=Q"&amp;"312, 1) * ('1. DATA CHUNG'!$L$4:$L$105&lt;=TODAY()) ),   2, 0),  1, 1), 
  IFERROR( INDEX(FILTER('1. DATA CHUNG'!$J$4:$J$105, (TRIM('1. DATA CHUNG'!$I$4:$I$105)=TRIM(K312)) * IF(COUNTIFS('1. DATA CHUNG'!$I$4:$I$105,K312,'1. DATA CHUNG'!$M$4:$M$105,Q312), '1."&amp;" DATA CHUNG'!$M$4:$M$105=Q312, 1) * ('1. DATA CHUNG'!$L$4:$L$105="""")), 1), ""Không tìm thấy"" ))"),7.0)</f>
        <v>7</v>
      </c>
      <c r="AI312" s="273">
        <f t="shared" si="2"/>
        <v>46052</v>
      </c>
      <c r="AJ312" s="287"/>
      <c r="AK312" s="286">
        <f t="shared" si="3"/>
        <v>0</v>
      </c>
      <c r="AL312" s="287">
        <f t="shared" si="4"/>
        <v>0</v>
      </c>
      <c r="AM312" s="287">
        <f t="shared" si="5"/>
        <v>4</v>
      </c>
      <c r="AN312" s="279">
        <f t="shared" si="6"/>
        <v>6</v>
      </c>
      <c r="AO312" s="295" t="str">
        <f t="shared" si="7"/>
        <v>01/2026</v>
      </c>
      <c r="AP312" s="277" t="str">
        <f t="array" ref="AP312">IFERROR(XLOOKUP(L312,'2. DATA NL, VTBB'!C:C,'2. DATA NL, VTBB'!F:F),"")</f>
        <v>HH0214</v>
      </c>
      <c r="AQ312" s="277" t="str">
        <f t="array" ref="AQ312">IF(OR(K312="Nhãn", K312="Nhãn thùng",K312="Nhãn Túi"), K312 &amp; " " &amp; IFERROR(XLOOKUP(L312, '2. DATA NL, VTBB'!C:C, '2. DATA NL, VTBB'!E:E), ""), "")</f>
        <v/>
      </c>
      <c r="AR312" s="278" t="str">
        <f t="array" ref="AR312">IFERROR(XLOOKUP(L312,'2. DATA NL, VTBB'!C:C,'2. DATA NL, VTBB'!G:G),"")</f>
        <v>LOT IDA Global - I - 842 - ĐL Hồng Lời - Avermectin 36 (Pet tròn) (nắp vàng)(nước nâu đen) - 450ml - 40</v>
      </c>
      <c r="AS312" s="278" t="str">
        <f t="array" ref="AS312">IFERROR(XLOOKUP(L312,'2. DATA NL, VTBB'!C:C,'2. DATA NL, VTBB'!G:G),"")</f>
        <v>LOT IDA Global - I - 842 - ĐL Hồng Lời - Avermectin 36 (Pet tròn) (nắp vàng)(nước nâu đen) - 450ml - 40</v>
      </c>
      <c r="AT312" s="277"/>
    </row>
    <row r="313" ht="30.75" customHeight="1">
      <c r="A313" s="272">
        <f t="shared" si="44"/>
        <v>310</v>
      </c>
      <c r="B313" s="289">
        <v>46045.0</v>
      </c>
      <c r="C313" s="289">
        <v>46052.0</v>
      </c>
      <c r="D313" s="289">
        <v>46065.0</v>
      </c>
      <c r="E313" s="289">
        <v>46060.0</v>
      </c>
      <c r="F313" s="274" t="s">
        <v>561</v>
      </c>
      <c r="G313" s="275" t="s">
        <v>562</v>
      </c>
      <c r="H313" s="274" t="s">
        <v>304</v>
      </c>
      <c r="I313" s="275" t="s">
        <v>305</v>
      </c>
      <c r="J313" s="272" t="s">
        <v>1014</v>
      </c>
      <c r="K313" s="275" t="s">
        <v>301</v>
      </c>
      <c r="L313" s="277" t="s">
        <v>1015</v>
      </c>
      <c r="M313" s="278" t="str">
        <f t="array" ref="M313">IFERROR(XLOOKUP(L313,'2. DATA NL, VTBB'!C:C,'2. DATA NL, VTBB'!D:D),"")</f>
        <v>Thùng trắng ABA chai HD tròn 100ml x 100 chai/thùng (45.5x45.5x14cm) - Trắng viền đen</v>
      </c>
      <c r="N313" s="280"/>
      <c r="O313" s="280" t="str">
        <f t="array" ref="O313">IFERROR( XLOOKUP(L313,'2. DATA NL, VTBB'!C:C,'2. DATA NL, VTBB'!E:E),"")</f>
        <v>TVZEB 800WP</v>
      </c>
      <c r="P313" s="275" t="s">
        <v>565</v>
      </c>
      <c r="Q313" s="311"/>
      <c r="R313" s="290" t="s">
        <v>566</v>
      </c>
      <c r="S313" s="280"/>
      <c r="T313" s="277"/>
      <c r="U313" s="277"/>
      <c r="V313" s="283">
        <v>100.0</v>
      </c>
      <c r="W313" s="275" t="s">
        <v>699</v>
      </c>
      <c r="X313" s="283">
        <v>100.0</v>
      </c>
      <c r="Y313" s="274">
        <v>110.0</v>
      </c>
      <c r="Z313" s="272">
        <v>21000.0</v>
      </c>
      <c r="AA313" s="285">
        <v>0.08</v>
      </c>
      <c r="AB313" s="282">
        <v>2494800.0</v>
      </c>
      <c r="AC313" s="277"/>
      <c r="AD313" s="289">
        <v>46045.0</v>
      </c>
      <c r="AE313" s="272">
        <v>440.0</v>
      </c>
      <c r="AF313" s="277"/>
      <c r="AG313" s="277"/>
      <c r="AH313" s="294">
        <f>IFERROR(__xludf.DUMMYFUNCTION("IFERROR(INDEX( SORT(FILTER(
        {'1. DATA CHUNG'!$J$4:$J$105 , '1. DATA CHUNG'!$L$4:$L$105}, (TRIM('1. DATA CHUNG'!$I$4:$I$105)=TRIM(K313)) * IF(COUNTIFS('1. DATA CHUNG'!$I$4:$I$105,K313,'1. DATA CHUNG'!$M$4:$M$105,Q313), '1. DATA CHUNG'!$M$4:$M$105=Q"&amp;"313, 1) * ('1. DATA CHUNG'!$L$4:$L$105&lt;=TODAY()) ),   2, 0),  1, 1), 
  IFERROR( INDEX(FILTER('1. DATA CHUNG'!$J$4:$J$105, (TRIM('1. DATA CHUNG'!$I$4:$I$105)=TRIM(K313)) * IF(COUNTIFS('1. DATA CHUNG'!$I$4:$I$105,K313,'1. DATA CHUNG'!$M$4:$M$105,Q313), '1."&amp;" DATA CHUNG'!$M$4:$M$105=Q313, 1) * ('1. DATA CHUNG'!$L$4:$L$105="""")), 1), ""Không tìm thấy"" ))"),18.0)</f>
        <v>18</v>
      </c>
      <c r="AI313" s="273">
        <f t="shared" si="2"/>
        <v>46063</v>
      </c>
      <c r="AJ313" s="287"/>
      <c r="AK313" s="286">
        <f t="shared" si="3"/>
        <v>0</v>
      </c>
      <c r="AL313" s="287">
        <f t="shared" si="4"/>
        <v>5</v>
      </c>
      <c r="AM313" s="287">
        <f t="shared" si="5"/>
        <v>3</v>
      </c>
      <c r="AN313" s="279">
        <f t="shared" si="6"/>
        <v>11</v>
      </c>
      <c r="AO313" s="295" t="str">
        <f t="shared" si="7"/>
        <v>01/2026</v>
      </c>
      <c r="AP313" s="277" t="str">
        <f t="array" ref="AP313">IFERROR(XLOOKUP(L313,'2. DATA NL, VTBB'!C:C,'2. DATA NL, VTBB'!F:F),"")</f>
        <v>HH0149</v>
      </c>
      <c r="AQ313" s="277" t="str">
        <f t="array" ref="AQ313">IF(OR(K313="Nhãn", K313="Nhãn thùng",K313="Nhãn Túi"), K313 &amp; " " &amp; IFERROR(XLOOKUP(L313, '2. DATA NL, VTBB'!C:C, '2. DATA NL, VTBB'!E:E), ""), "")</f>
        <v/>
      </c>
      <c r="AR313" s="278" t="str">
        <f t="array" ref="AR313">IFERROR(XLOOKUP(L313,'2. DATA NL, VTBB'!C:C,'2. DATA NL, VTBB'!G:G),"")</f>
        <v>GC - II - 539 - Luta - Mancozeb vàng - 1kg - 20</v>
      </c>
      <c r="AS313" s="278" t="str">
        <f t="array" ref="AS313">IFERROR(XLOOKUP(L313,'2. DATA NL, VTBB'!C:C,'2. DATA NL, VTBB'!G:G),"")</f>
        <v>GC - II - 539 - Luta - Mancozeb vàng - 1kg - 20</v>
      </c>
      <c r="AT313" s="277"/>
    </row>
    <row r="314" ht="30.75" customHeight="1">
      <c r="A314" s="272">
        <f t="shared" si="44"/>
        <v>311</v>
      </c>
      <c r="B314" s="289">
        <v>46046.0</v>
      </c>
      <c r="C314" s="273">
        <v>46047.0</v>
      </c>
      <c r="D314" s="273">
        <v>46059.0</v>
      </c>
      <c r="E314" s="273">
        <v>46048.0</v>
      </c>
      <c r="F314" s="274" t="s">
        <v>561</v>
      </c>
      <c r="G314" s="275" t="s">
        <v>562</v>
      </c>
      <c r="H314" s="274" t="s">
        <v>304</v>
      </c>
      <c r="I314" s="275" t="s">
        <v>726</v>
      </c>
      <c r="J314" s="272" t="s">
        <v>1016</v>
      </c>
      <c r="K314" s="275" t="s">
        <v>728</v>
      </c>
      <c r="L314" s="277" t="s">
        <v>742</v>
      </c>
      <c r="M314" s="278" t="str">
        <f t="array" ref="M314">IFERROR(XLOOKUP(L314,'2. DATA NL, VTBB'!C:C,'2. DATA NL, VTBB'!D:D),"")</f>
        <v>PN - Chai HDPE tròn cổ 45 1Lít (110g) - Trắng (không ganty)</v>
      </c>
      <c r="N314" s="280"/>
      <c r="O314" s="280" t="str">
        <f t="array" ref="O314">IFERROR( XLOOKUP(L314,'2. DATA NL, VTBB'!C:C,'2. DATA NL, VTBB'!E:E),"")</f>
        <v>CA MAP 350SC</v>
      </c>
      <c r="P314" s="275" t="s">
        <v>565</v>
      </c>
      <c r="Q314" s="311"/>
      <c r="R314" s="291" t="s">
        <v>573</v>
      </c>
      <c r="S314" s="280"/>
      <c r="T314" s="277"/>
      <c r="U314" s="277"/>
      <c r="V314" s="283">
        <v>4000.0</v>
      </c>
      <c r="W314" s="275" t="s">
        <v>699</v>
      </c>
      <c r="X314" s="283">
        <v>4000.0</v>
      </c>
      <c r="Y314" s="274">
        <v>4050.0</v>
      </c>
      <c r="Z314" s="287">
        <v>4700.0</v>
      </c>
      <c r="AA314" s="285">
        <v>0.08</v>
      </c>
      <c r="AB314" s="282">
        <v>2.05578E7</v>
      </c>
      <c r="AC314" s="277"/>
      <c r="AD314" s="289">
        <v>46046.0</v>
      </c>
      <c r="AE314" s="272">
        <v>631.0</v>
      </c>
      <c r="AF314" s="277"/>
      <c r="AG314" s="277"/>
      <c r="AH314" s="294">
        <f>IFERROR(__xludf.DUMMYFUNCTION("IFERROR(INDEX( SORT(FILTER(
        {'1. DATA CHUNG'!$J$4:$J$105 , '1. DATA CHUNG'!$L$4:$L$105}, (TRIM('1. DATA CHUNG'!$I$4:$I$105)=TRIM(K314)) * IF(COUNTIFS('1. DATA CHUNG'!$I$4:$I$105,K314,'1. DATA CHUNG'!$M$4:$M$105,Q314), '1. DATA CHUNG'!$M$4:$M$105=Q"&amp;"314, 1) * ('1. DATA CHUNG'!$L$4:$L$105&lt;=TODAY()) ),   2, 0),  1, 1), 
  IFERROR( INDEX(FILTER('1. DATA CHUNG'!$J$4:$J$105, (TRIM('1. DATA CHUNG'!$I$4:$I$105)=TRIM(K314)) * IF(COUNTIFS('1. DATA CHUNG'!$I$4:$I$105,K314,'1. DATA CHUNG'!$M$4:$M$105,Q314), '1."&amp;" DATA CHUNG'!$M$4:$M$105=Q314, 1) * ('1. DATA CHUNG'!$L$4:$L$105="""")), 1), ""Không tìm thấy"" ))"),7.0)</f>
        <v>7</v>
      </c>
      <c r="AI314" s="273">
        <f t="shared" si="2"/>
        <v>46053</v>
      </c>
      <c r="AJ314" s="287"/>
      <c r="AK314" s="286">
        <f t="shared" si="3"/>
        <v>0</v>
      </c>
      <c r="AL314" s="287">
        <f t="shared" si="4"/>
        <v>11</v>
      </c>
      <c r="AM314" s="287">
        <f t="shared" si="5"/>
        <v>5</v>
      </c>
      <c r="AN314" s="279">
        <f t="shared" si="6"/>
        <v>6</v>
      </c>
      <c r="AO314" s="295" t="str">
        <f t="shared" si="7"/>
        <v>01/2026</v>
      </c>
      <c r="AP314" s="277" t="str">
        <f t="array" ref="AP314">IFERROR(XLOOKUP(L314,'2. DATA NL, VTBB'!C:C,'2. DATA NL, VTBB'!F:F),"")</f>
        <v>HH0151</v>
      </c>
      <c r="AQ314" s="277" t="str">
        <f t="array" ref="AQ314">IF(OR(K314="Nhãn", K314="Nhãn thùng",K314="Nhãn Túi"), K314 &amp; " " &amp; IFERROR(XLOOKUP(L314, '2. DATA NL, VTBB'!C:C, '2. DATA NL, VTBB'!E:E), ""), "")</f>
        <v/>
      </c>
      <c r="AR314" s="278" t="str">
        <f t="array" ref="AR314">IFERROR(XLOOKUP(L314,'2. DATA NL, VTBB'!C:C,'2. DATA NL, VTBB'!G:G),"")</f>
        <v>IDA Global - I - 725 - Cá mập 350SC (chai HD) - 100ml - 100 ([btp],t,c)</v>
      </c>
      <c r="AS314" s="278" t="str">
        <f t="array" ref="AS314">IFERROR(XLOOKUP(L314,'2. DATA NL, VTBB'!C:C,'2. DATA NL, VTBB'!G:G),"")</f>
        <v>IDA Global - I - 725 - Cá mập 350SC (chai HD) - 100ml - 100 ([btp],t,c)</v>
      </c>
      <c r="AT314" s="277"/>
    </row>
    <row r="315" ht="30.75" customHeight="1">
      <c r="A315" s="272">
        <f t="shared" si="44"/>
        <v>312</v>
      </c>
      <c r="B315" s="289">
        <v>46046.0</v>
      </c>
      <c r="C315" s="273">
        <v>46047.0</v>
      </c>
      <c r="D315" s="273">
        <v>46059.0</v>
      </c>
      <c r="E315" s="273">
        <v>46048.0</v>
      </c>
      <c r="F315" s="274" t="s">
        <v>561</v>
      </c>
      <c r="G315" s="275" t="s">
        <v>562</v>
      </c>
      <c r="H315" s="274" t="s">
        <v>304</v>
      </c>
      <c r="I315" s="275" t="s">
        <v>726</v>
      </c>
      <c r="J315" s="272" t="s">
        <v>1016</v>
      </c>
      <c r="K315" s="275" t="s">
        <v>730</v>
      </c>
      <c r="L315" s="277" t="s">
        <v>782</v>
      </c>
      <c r="M315" s="278" t="str">
        <f t="array" ref="M315">IFERROR(XLOOKUP(L315,'2. DATA NL, VTBB'!C:C,'2. DATA NL, VTBB'!D:D),"")</f>
        <v>PN - Nắp HDPE cổ 45 Trắng (không ganty)</v>
      </c>
      <c r="N315" s="280"/>
      <c r="O315" s="280" t="str">
        <f t="array" ref="O315">IFERROR( XLOOKUP(L315,'2. DATA NL, VTBB'!C:C,'2. DATA NL, VTBB'!E:E),"")</f>
        <v>Vi lượng Quantity New</v>
      </c>
      <c r="P315" s="275" t="s">
        <v>565</v>
      </c>
      <c r="Q315" s="311"/>
      <c r="R315" s="291" t="s">
        <v>573</v>
      </c>
      <c r="S315" s="280"/>
      <c r="T315" s="277"/>
      <c r="U315" s="277"/>
      <c r="V315" s="283">
        <v>2000.0</v>
      </c>
      <c r="W315" s="275" t="s">
        <v>699</v>
      </c>
      <c r="X315" s="283">
        <v>2000.0</v>
      </c>
      <c r="Y315" s="274">
        <v>2025.0</v>
      </c>
      <c r="Z315" s="272">
        <v>900.0</v>
      </c>
      <c r="AA315" s="285">
        <v>0.08</v>
      </c>
      <c r="AB315" s="282">
        <v>1968300.0</v>
      </c>
      <c r="AC315" s="277"/>
      <c r="AD315" s="289">
        <v>46046.0</v>
      </c>
      <c r="AE315" s="272">
        <v>631.0</v>
      </c>
      <c r="AF315" s="277"/>
      <c r="AG315" s="277"/>
      <c r="AH315" s="294">
        <f>IFERROR(__xludf.DUMMYFUNCTION("IFERROR(INDEX( SORT(FILTER(
        {'1. DATA CHUNG'!$J$4:$J$105 , '1. DATA CHUNG'!$L$4:$L$105}, (TRIM('1. DATA CHUNG'!$I$4:$I$105)=TRIM(K315)) * IF(COUNTIFS('1. DATA CHUNG'!$I$4:$I$105,K315,'1. DATA CHUNG'!$M$4:$M$105,Q315), '1. DATA CHUNG'!$M$4:$M$105=Q"&amp;"315, 1) * ('1. DATA CHUNG'!$L$4:$L$105&lt;=TODAY()) ),   2, 0),  1, 1), 
  IFERROR( INDEX(FILTER('1. DATA CHUNG'!$J$4:$J$105, (TRIM('1. DATA CHUNG'!$I$4:$I$105)=TRIM(K315)) * IF(COUNTIFS('1. DATA CHUNG'!$I$4:$I$105,K315,'1. DATA CHUNG'!$M$4:$M$105,Q315), '1."&amp;" DATA CHUNG'!$M$4:$M$105=Q315, 1) * ('1. DATA CHUNG'!$L$4:$L$105="""")), 1), ""Không tìm thấy"" ))"),7.0)</f>
        <v>7</v>
      </c>
      <c r="AI315" s="273">
        <f t="shared" si="2"/>
        <v>46053</v>
      </c>
      <c r="AJ315" s="287"/>
      <c r="AK315" s="286">
        <f t="shared" si="3"/>
        <v>0</v>
      </c>
      <c r="AL315" s="287">
        <f t="shared" si="4"/>
        <v>11</v>
      </c>
      <c r="AM315" s="287">
        <f t="shared" si="5"/>
        <v>5</v>
      </c>
      <c r="AN315" s="279">
        <f t="shared" si="6"/>
        <v>6</v>
      </c>
      <c r="AO315" s="295" t="str">
        <f t="shared" si="7"/>
        <v>01/2026</v>
      </c>
      <c r="AP315" s="277" t="str">
        <f t="array" ref="AP315">IFERROR(XLOOKUP(L315,'2. DATA NL, VTBB'!C:C,'2. DATA NL, VTBB'!F:F),"")</f>
        <v>HH0112</v>
      </c>
      <c r="AQ315" s="277" t="str">
        <f t="array" ref="AQ315">IF(OR(K315="Nhãn", K315="Nhãn thùng",K315="Nhãn Túi"), K315 &amp; " " &amp; IFERROR(XLOOKUP(L315, '2. DATA NL, VTBB'!C:C, '2. DATA NL, VTBB'!E:E), ""), "")</f>
        <v/>
      </c>
      <c r="AR315" s="278" t="str">
        <f t="array" ref="AR315">IFERROR(XLOOKUP(L315,'2. DATA NL, VTBB'!C:C,'2. DATA NL, VTBB'!G:G),"")</f>
        <v>IDA Global - I - 726 - Vita Boost (chai HD)- 500 ml - 40 ([btp],t,c)</v>
      </c>
      <c r="AS315" s="278" t="str">
        <f t="array" ref="AS315">IFERROR(XLOOKUP(L315,'2. DATA NL, VTBB'!C:C,'2. DATA NL, VTBB'!G:G),"")</f>
        <v>IDA Global - I - 726 - Vita Boost (chai HD)- 500 ml - 40 ([btp],t,c)</v>
      </c>
      <c r="AT315" s="277"/>
    </row>
    <row r="316" ht="30.75" customHeight="1">
      <c r="A316" s="272">
        <f t="shared" si="44"/>
        <v>313</v>
      </c>
      <c r="B316" s="289">
        <v>46046.0</v>
      </c>
      <c r="C316" s="273">
        <v>46047.0</v>
      </c>
      <c r="D316" s="273">
        <v>46059.0</v>
      </c>
      <c r="E316" s="273">
        <v>46048.0</v>
      </c>
      <c r="F316" s="274" t="s">
        <v>561</v>
      </c>
      <c r="G316" s="275" t="s">
        <v>562</v>
      </c>
      <c r="H316" s="274" t="s">
        <v>304</v>
      </c>
      <c r="I316" s="275" t="s">
        <v>726</v>
      </c>
      <c r="J316" s="272" t="s">
        <v>1016</v>
      </c>
      <c r="K316" s="275" t="s">
        <v>730</v>
      </c>
      <c r="L316" s="277" t="s">
        <v>743</v>
      </c>
      <c r="M316" s="278" t="str">
        <f t="array" ref="M316">IFERROR(XLOOKUP(L316,'2. DATA NL, VTBB'!C:C,'2. DATA NL, VTBB'!D:D),"")</f>
        <v>PN -  Nắp HDPE cổ 45 Xanh Dương (không ganty)</v>
      </c>
      <c r="N316" s="280"/>
      <c r="O316" s="280" t="str">
        <f t="array" ref="O316">IFERROR( XLOOKUP(L316,'2. DATA NL, VTBB'!C:C,'2. DATA NL, VTBB'!E:E),"")</f>
        <v>NEW FUZE 200SC</v>
      </c>
      <c r="P316" s="275" t="s">
        <v>565</v>
      </c>
      <c r="Q316" s="311"/>
      <c r="R316" s="291" t="s">
        <v>573</v>
      </c>
      <c r="S316" s="280"/>
      <c r="T316" s="277"/>
      <c r="U316" s="277"/>
      <c r="V316" s="283">
        <v>2000.0</v>
      </c>
      <c r="W316" s="275" t="s">
        <v>699</v>
      </c>
      <c r="X316" s="283">
        <v>2000.0</v>
      </c>
      <c r="Y316" s="274">
        <v>2025.0</v>
      </c>
      <c r="Z316" s="287">
        <v>900.0</v>
      </c>
      <c r="AA316" s="285">
        <v>0.08</v>
      </c>
      <c r="AB316" s="282">
        <v>1968300.0</v>
      </c>
      <c r="AC316" s="277"/>
      <c r="AD316" s="289">
        <v>46046.0</v>
      </c>
      <c r="AE316" s="272">
        <v>631.0</v>
      </c>
      <c r="AF316" s="277"/>
      <c r="AG316" s="277"/>
      <c r="AH316" s="294">
        <f>IFERROR(__xludf.DUMMYFUNCTION("IFERROR(INDEX( SORT(FILTER(
        {'1. DATA CHUNG'!$J$4:$J$105 , '1. DATA CHUNG'!$L$4:$L$105}, (TRIM('1. DATA CHUNG'!$I$4:$I$105)=TRIM(K316)) * IF(COUNTIFS('1. DATA CHUNG'!$I$4:$I$105,K316,'1. DATA CHUNG'!$M$4:$M$105,Q316), '1. DATA CHUNG'!$M$4:$M$105=Q"&amp;"316, 1) * ('1. DATA CHUNG'!$L$4:$L$105&lt;=TODAY()) ),   2, 0),  1, 1), 
  IFERROR( INDEX(FILTER('1. DATA CHUNG'!$J$4:$J$105, (TRIM('1. DATA CHUNG'!$I$4:$I$105)=TRIM(K316)) * IF(COUNTIFS('1. DATA CHUNG'!$I$4:$I$105,K316,'1. DATA CHUNG'!$M$4:$M$105,Q316), '1."&amp;" DATA CHUNG'!$M$4:$M$105=Q316, 1) * ('1. DATA CHUNG'!$L$4:$L$105="""")), 1), ""Không tìm thấy"" ))"),7.0)</f>
        <v>7</v>
      </c>
      <c r="AI316" s="273">
        <f t="shared" si="2"/>
        <v>46053</v>
      </c>
      <c r="AJ316" s="287"/>
      <c r="AK316" s="286">
        <f t="shared" si="3"/>
        <v>0</v>
      </c>
      <c r="AL316" s="287">
        <f t="shared" si="4"/>
        <v>11</v>
      </c>
      <c r="AM316" s="287">
        <f t="shared" si="5"/>
        <v>5</v>
      </c>
      <c r="AN316" s="279">
        <f t="shared" si="6"/>
        <v>6</v>
      </c>
      <c r="AO316" s="295" t="str">
        <f t="shared" si="7"/>
        <v>01/2026</v>
      </c>
      <c r="AP316" s="277" t="str">
        <f t="array" ref="AP316">IFERROR(XLOOKUP(L316,'2. DATA NL, VTBB'!C:C,'2. DATA NL, VTBB'!F:F),"")</f>
        <v>HH0113</v>
      </c>
      <c r="AQ316" s="277" t="str">
        <f t="array" ref="AQ316">IF(OR(K316="Nhãn", K316="Nhãn thùng",K316="Nhãn Túi"), K316 &amp; " " &amp; IFERROR(XLOOKUP(L316, '2. DATA NL, VTBB'!C:C, '2. DATA NL, VTBB'!E:E), ""), "")</f>
        <v/>
      </c>
      <c r="AR316" s="278" t="str">
        <f t="array" ref="AR316">IFERROR(XLOOKUP(L316,'2. DATA NL, VTBB'!C:C,'2. DATA NL, VTBB'!G:G),"")</f>
        <v>IDA Global - I - 727 - Ếch vàng 200 (chai HD) - 100ML - 100 ([btp],t,c)</v>
      </c>
      <c r="AS316" s="278" t="str">
        <f t="array" ref="AS316">IFERROR(XLOOKUP(L316,'2. DATA NL, VTBB'!C:C,'2. DATA NL, VTBB'!G:G),"")</f>
        <v>IDA Global - I - 727 - Ếch vàng 200 (chai HD) - 100ML - 100 ([btp],t,c)</v>
      </c>
      <c r="AT316" s="277"/>
    </row>
    <row r="317" ht="30.75" customHeight="1">
      <c r="A317" s="272">
        <f t="shared" si="44"/>
        <v>314</v>
      </c>
      <c r="B317" s="289">
        <v>46046.0</v>
      </c>
      <c r="C317" s="273">
        <v>46047.0</v>
      </c>
      <c r="D317" s="289">
        <v>46060.0</v>
      </c>
      <c r="E317" s="289">
        <v>46050.0</v>
      </c>
      <c r="F317" s="274" t="s">
        <v>561</v>
      </c>
      <c r="G317" s="275" t="s">
        <v>562</v>
      </c>
      <c r="H317" s="274" t="s">
        <v>304</v>
      </c>
      <c r="I317" s="275" t="s">
        <v>726</v>
      </c>
      <c r="J317" s="272" t="s">
        <v>1017</v>
      </c>
      <c r="K317" s="275" t="s">
        <v>728</v>
      </c>
      <c r="L317" s="277" t="s">
        <v>763</v>
      </c>
      <c r="M317" s="278" t="str">
        <f t="array" ref="M317">IFERROR(XLOOKUP(L317,'2. DATA NL, VTBB'!C:C,'2. DATA NL, VTBB'!D:D),"")</f>
        <v>Chai HDPE tròn 1 Lít cổ 50 (120gr) - Trắng</v>
      </c>
      <c r="N317" s="280"/>
      <c r="O317" s="280" t="str">
        <f t="array" ref="O317">IFERROR( XLOOKUP(L317,'2. DATA NL, VTBB'!C:C,'2. DATA NL, VTBB'!E:E),"")</f>
        <v>Prima 04</v>
      </c>
      <c r="P317" s="275" t="s">
        <v>565</v>
      </c>
      <c r="Q317" s="311"/>
      <c r="R317" s="290" t="s">
        <v>566</v>
      </c>
      <c r="S317" s="280"/>
      <c r="T317" s="277"/>
      <c r="U317" s="277"/>
      <c r="V317" s="283">
        <v>4000.0</v>
      </c>
      <c r="W317" s="275" t="s">
        <v>699</v>
      </c>
      <c r="X317" s="283">
        <v>4000.0</v>
      </c>
      <c r="Y317" s="274">
        <v>4650.0</v>
      </c>
      <c r="Z317" s="287">
        <v>5000.0</v>
      </c>
      <c r="AA317" s="285">
        <v>0.08</v>
      </c>
      <c r="AB317" s="282">
        <v>2.511E7</v>
      </c>
      <c r="AC317" s="277"/>
      <c r="AD317" s="289">
        <v>46046.0</v>
      </c>
      <c r="AE317" s="272">
        <v>349.0</v>
      </c>
      <c r="AF317" s="277"/>
      <c r="AG317" s="277"/>
      <c r="AH317" s="294">
        <f>IFERROR(__xludf.DUMMYFUNCTION("IFERROR(INDEX( SORT(FILTER(
        {'1. DATA CHUNG'!$J$4:$J$105 , '1. DATA CHUNG'!$L$4:$L$105}, (TRIM('1. DATA CHUNG'!$I$4:$I$105)=TRIM(K317)) * IF(COUNTIFS('1. DATA CHUNG'!$I$4:$I$105,K317,'1. DATA CHUNG'!$M$4:$M$105,Q317), '1. DATA CHUNG'!$M$4:$M$105=Q"&amp;"317, 1) * ('1. DATA CHUNG'!$L$4:$L$105&lt;=TODAY()) ),   2, 0),  1, 1), 
  IFERROR( INDEX(FILTER('1. DATA CHUNG'!$J$4:$J$105, (TRIM('1. DATA CHUNG'!$I$4:$I$105)=TRIM(K317)) * IF(COUNTIFS('1. DATA CHUNG'!$I$4:$I$105,K317,'1. DATA CHUNG'!$M$4:$M$105,Q317), '1."&amp;" DATA CHUNG'!$M$4:$M$105=Q317, 1) * ('1. DATA CHUNG'!$L$4:$L$105="""")), 1), ""Không tìm thấy"" ))"),7.0)</f>
        <v>7</v>
      </c>
      <c r="AI317" s="273">
        <f t="shared" si="2"/>
        <v>46053</v>
      </c>
      <c r="AJ317" s="287"/>
      <c r="AK317" s="286">
        <f t="shared" si="3"/>
        <v>0</v>
      </c>
      <c r="AL317" s="287">
        <f t="shared" si="4"/>
        <v>10</v>
      </c>
      <c r="AM317" s="287">
        <f t="shared" si="5"/>
        <v>3</v>
      </c>
      <c r="AN317" s="279">
        <f t="shared" si="6"/>
        <v>6</v>
      </c>
      <c r="AO317" s="295" t="str">
        <f t="shared" si="7"/>
        <v>01/2026</v>
      </c>
      <c r="AP317" s="277" t="str">
        <f t="array" ref="AP317">IFERROR(XLOOKUP(L317,'2. DATA NL, VTBB'!C:C,'2. DATA NL, VTBB'!F:F),"")</f>
        <v>HH0116</v>
      </c>
      <c r="AQ317" s="277" t="str">
        <f t="array" ref="AQ317">IF(OR(K317="Nhãn", K317="Nhãn thùng",K317="Nhãn Túi"), K317 &amp; " " &amp; IFERROR(XLOOKUP(L317, '2. DATA NL, VTBB'!C:C, '2. DATA NL, VTBB'!E:E), ""), "")</f>
        <v/>
      </c>
      <c r="AR317" s="278" t="str">
        <f t="array" ref="AR317">IFERROR(XLOOKUP(L317,'2. DATA NL, VTBB'!C:C,'2. DATA NL, VTBB'!G:G),"")</f>
        <v>GC - II - 666 - AU - Gel Humiix - 20 kg - 1 ([btp],x,n)</v>
      </c>
      <c r="AS317" s="278" t="str">
        <f t="array" ref="AS317">IFERROR(XLOOKUP(L317,'2. DATA NL, VTBB'!C:C,'2. DATA NL, VTBB'!G:G),"")</f>
        <v>GC - II - 666 - AU - Gel Humiix - 20 kg - 1 ([btp],x,n)</v>
      </c>
      <c r="AT317" s="277"/>
    </row>
    <row r="318" ht="30.75" customHeight="1">
      <c r="A318" s="272">
        <f t="shared" si="44"/>
        <v>315</v>
      </c>
      <c r="B318" s="289">
        <v>46046.0</v>
      </c>
      <c r="C318" s="273">
        <v>46047.0</v>
      </c>
      <c r="D318" s="289">
        <v>46060.0</v>
      </c>
      <c r="E318" s="289">
        <v>46050.0</v>
      </c>
      <c r="F318" s="274" t="s">
        <v>561</v>
      </c>
      <c r="G318" s="275" t="s">
        <v>562</v>
      </c>
      <c r="H318" s="274" t="s">
        <v>304</v>
      </c>
      <c r="I318" s="275" t="s">
        <v>726</v>
      </c>
      <c r="J318" s="272" t="s">
        <v>1017</v>
      </c>
      <c r="K318" s="275" t="s">
        <v>730</v>
      </c>
      <c r="L318" s="277" t="s">
        <v>764</v>
      </c>
      <c r="M318" s="278" t="str">
        <f t="array" ref="M318">IFERROR(XLOOKUP(L318,'2. DATA NL, VTBB'!C:C,'2. DATA NL, VTBB'!D:D),"")</f>
        <v>Nắp HDPE có bèo cổ 50 (10gr) - Trắng</v>
      </c>
      <c r="N318" s="280"/>
      <c r="O318" s="280" t="str">
        <f t="array" ref="O318">IFERROR( XLOOKUP(L318,'2. DATA NL, VTBB'!C:C,'2. DATA NL, VTBB'!E:E),"")</f>
        <v>Vi lượng Quantity New</v>
      </c>
      <c r="P318" s="275" t="s">
        <v>565</v>
      </c>
      <c r="Q318" s="311"/>
      <c r="R318" s="290" t="s">
        <v>566</v>
      </c>
      <c r="S318" s="280"/>
      <c r="T318" s="277"/>
      <c r="U318" s="277"/>
      <c r="V318" s="283">
        <v>4000.0</v>
      </c>
      <c r="W318" s="275" t="s">
        <v>699</v>
      </c>
      <c r="X318" s="283">
        <v>4000.0</v>
      </c>
      <c r="Y318" s="274">
        <v>4650.0</v>
      </c>
      <c r="Z318" s="287">
        <v>900.0</v>
      </c>
      <c r="AA318" s="285">
        <v>0.08</v>
      </c>
      <c r="AB318" s="282">
        <v>4519800.0</v>
      </c>
      <c r="AC318" s="277"/>
      <c r="AD318" s="289">
        <v>46046.0</v>
      </c>
      <c r="AE318" s="272">
        <v>349.0</v>
      </c>
      <c r="AF318" s="277"/>
      <c r="AG318" s="277"/>
      <c r="AH318" s="294">
        <f>IFERROR(__xludf.DUMMYFUNCTION("IFERROR(INDEX( SORT(FILTER(
        {'1. DATA CHUNG'!$J$4:$J$105 , '1. DATA CHUNG'!$L$4:$L$105}, (TRIM('1. DATA CHUNG'!$I$4:$I$105)=TRIM(K318)) * IF(COUNTIFS('1. DATA CHUNG'!$I$4:$I$105,K318,'1. DATA CHUNG'!$M$4:$M$105,Q318), '1. DATA CHUNG'!$M$4:$M$105=Q"&amp;"318, 1) * ('1. DATA CHUNG'!$L$4:$L$105&lt;=TODAY()) ),   2, 0),  1, 1), 
  IFERROR( INDEX(FILTER('1. DATA CHUNG'!$J$4:$J$105, (TRIM('1. DATA CHUNG'!$I$4:$I$105)=TRIM(K318)) * IF(COUNTIFS('1. DATA CHUNG'!$I$4:$I$105,K318,'1. DATA CHUNG'!$M$4:$M$105,Q318), '1."&amp;" DATA CHUNG'!$M$4:$M$105=Q318, 1) * ('1. DATA CHUNG'!$L$4:$L$105="""")), 1), ""Không tìm thấy"" ))"),7.0)</f>
        <v>7</v>
      </c>
      <c r="AI318" s="273">
        <f t="shared" si="2"/>
        <v>46053</v>
      </c>
      <c r="AJ318" s="287"/>
      <c r="AK318" s="286">
        <f t="shared" si="3"/>
        <v>0</v>
      </c>
      <c r="AL318" s="287">
        <f t="shared" si="4"/>
        <v>10</v>
      </c>
      <c r="AM318" s="287">
        <f t="shared" si="5"/>
        <v>3</v>
      </c>
      <c r="AN318" s="279">
        <f t="shared" si="6"/>
        <v>6</v>
      </c>
      <c r="AO318" s="295" t="str">
        <f t="shared" si="7"/>
        <v>01/2026</v>
      </c>
      <c r="AP318" s="277" t="str">
        <f t="array" ref="AP318">IFERROR(XLOOKUP(L318,'2. DATA NL, VTBB'!C:C,'2. DATA NL, VTBB'!F:F),"")</f>
        <v>HH0070</v>
      </c>
      <c r="AQ318" s="277" t="str">
        <f t="array" ref="AQ318">IF(OR(K318="Nhãn", K318="Nhãn thùng",K318="Nhãn Túi"), K318 &amp; " " &amp; IFERROR(XLOOKUP(L318, '2. DATA NL, VTBB'!C:C, '2. DATA NL, VTBB'!E:E), ""), "")</f>
        <v/>
      </c>
      <c r="AR318" s="278" t="str">
        <f t="array" ref="AR318">IFERROR(XLOOKUP(L318,'2. DATA NL, VTBB'!C:C,'2. DATA NL, VTBB'!G:G),"")</f>
        <v>GC - II - 591 - A Thời GNH - Chuyên lác (Chai HD) - 1L - 20</v>
      </c>
      <c r="AS318" s="278" t="str">
        <f t="array" ref="AS318">IFERROR(XLOOKUP(L318,'2. DATA NL, VTBB'!C:C,'2. DATA NL, VTBB'!G:G),"")</f>
        <v>GC - II - 591 - A Thời GNH - Chuyên lác (Chai HD) - 1L - 20</v>
      </c>
      <c r="AT318" s="277"/>
    </row>
    <row r="319" ht="30.75" customHeight="1">
      <c r="A319" s="272">
        <f t="shared" si="44"/>
        <v>316</v>
      </c>
      <c r="B319" s="289">
        <v>46046.0</v>
      </c>
      <c r="C319" s="273">
        <v>46047.0</v>
      </c>
      <c r="D319" s="273">
        <v>46059.0</v>
      </c>
      <c r="E319" s="273">
        <v>46048.0</v>
      </c>
      <c r="F319" s="274" t="s">
        <v>561</v>
      </c>
      <c r="G319" s="275" t="s">
        <v>562</v>
      </c>
      <c r="H319" s="274" t="s">
        <v>304</v>
      </c>
      <c r="I319" s="275" t="s">
        <v>726</v>
      </c>
      <c r="J319" s="272" t="s">
        <v>1018</v>
      </c>
      <c r="K319" s="275" t="s">
        <v>728</v>
      </c>
      <c r="L319" s="277" t="s">
        <v>738</v>
      </c>
      <c r="M319" s="278" t="str">
        <f t="array" ref="M319">IFERROR(XLOOKUP(L319,'2. DATA NL, VTBB'!C:C,'2. DATA NL, VTBB'!D:D),"")</f>
        <v>Chai PET vuông cổ 35 450ml, 500ml (60g) trắng ASIA</v>
      </c>
      <c r="N319" s="280"/>
      <c r="O319" s="280" t="str">
        <f t="array" ref="O319">IFERROR( XLOOKUP(L319,'2. DATA NL, VTBB'!C:C,'2. DATA NL, VTBB'!E:E),"")</f>
        <v>AnnongManco 80WP</v>
      </c>
      <c r="P319" s="275" t="s">
        <v>565</v>
      </c>
      <c r="Q319" s="311"/>
      <c r="R319" s="291" t="s">
        <v>573</v>
      </c>
      <c r="S319" s="280"/>
      <c r="T319" s="277"/>
      <c r="U319" s="277"/>
      <c r="V319" s="283">
        <v>4000.0</v>
      </c>
      <c r="W319" s="275" t="s">
        <v>699</v>
      </c>
      <c r="X319" s="283">
        <v>4000.0</v>
      </c>
      <c r="Y319" s="274">
        <v>4000.0</v>
      </c>
      <c r="Z319" s="272">
        <v>2600.0</v>
      </c>
      <c r="AA319" s="285">
        <v>0.08</v>
      </c>
      <c r="AB319" s="282">
        <v>1.1232E7</v>
      </c>
      <c r="AC319" s="277"/>
      <c r="AD319" s="289">
        <v>46046.0</v>
      </c>
      <c r="AE319" s="312"/>
      <c r="AF319" s="277"/>
      <c r="AG319" s="277"/>
      <c r="AH319" s="294">
        <f>IFERROR(__xludf.DUMMYFUNCTION("IFERROR(INDEX( SORT(FILTER(
        {'1. DATA CHUNG'!$J$4:$J$105 , '1. DATA CHUNG'!$L$4:$L$105}, (TRIM('1. DATA CHUNG'!$I$4:$I$105)=TRIM(K319)) * IF(COUNTIFS('1. DATA CHUNG'!$I$4:$I$105,K319,'1. DATA CHUNG'!$M$4:$M$105,Q319), '1. DATA CHUNG'!$M$4:$M$105=Q"&amp;"319, 1) * ('1. DATA CHUNG'!$L$4:$L$105&lt;=TODAY()) ),   2, 0),  1, 1), 
  IFERROR( INDEX(FILTER('1. DATA CHUNG'!$J$4:$J$105, (TRIM('1. DATA CHUNG'!$I$4:$I$105)=TRIM(K319)) * IF(COUNTIFS('1. DATA CHUNG'!$I$4:$I$105,K319,'1. DATA CHUNG'!$M$4:$M$105,Q319), '1."&amp;" DATA CHUNG'!$M$4:$M$105=Q319, 1) * ('1. DATA CHUNG'!$L$4:$L$105="""")), 1), ""Không tìm thấy"" ))"),7.0)</f>
        <v>7</v>
      </c>
      <c r="AI319" s="273">
        <f t="shared" si="2"/>
        <v>46053</v>
      </c>
      <c r="AJ319" s="287"/>
      <c r="AK319" s="286">
        <f t="shared" si="3"/>
        <v>0</v>
      </c>
      <c r="AL319" s="287">
        <f t="shared" si="4"/>
        <v>11</v>
      </c>
      <c r="AM319" s="287">
        <f t="shared" si="5"/>
        <v>5</v>
      </c>
      <c r="AN319" s="279">
        <f t="shared" si="6"/>
        <v>6</v>
      </c>
      <c r="AO319" s="295" t="str">
        <f t="shared" si="7"/>
        <v>01/2026</v>
      </c>
      <c r="AP319" s="277" t="str">
        <f t="array" ref="AP319">IFERROR(XLOOKUP(L319,'2. DATA NL, VTBB'!C:C,'2. DATA NL, VTBB'!F:F),"")</f>
        <v>HH0006</v>
      </c>
      <c r="AQ319" s="277" t="str">
        <f t="array" ref="AQ319">IF(OR(K319="Nhãn", K319="Nhãn thùng",K319="Nhãn Túi"), K319 &amp; " " &amp; IFERROR(XLOOKUP(L319, '2. DATA NL, VTBB'!C:C, '2. DATA NL, VTBB'!E:E), ""), "")</f>
        <v/>
      </c>
      <c r="AR319" s="278" t="str">
        <f t="array" ref="AR319">IFERROR(XLOOKUP(L319,'2. DATA NL, VTBB'!C:C,'2. DATA NL, VTBB'!G:G),"")</f>
        <v>GC - I - 207 - Mancozeb Xanh - Xanh Cam - 1kg - 20</v>
      </c>
      <c r="AS319" s="278" t="str">
        <f t="array" ref="AS319">IFERROR(XLOOKUP(L319,'2. DATA NL, VTBB'!C:C,'2. DATA NL, VTBB'!G:G),"")</f>
        <v>GC - I - 207 - Mancozeb Xanh - Xanh Cam - 1kg - 20</v>
      </c>
      <c r="AT319" s="277"/>
    </row>
    <row r="320" ht="30.75" customHeight="1">
      <c r="A320" s="272">
        <f t="shared" si="44"/>
        <v>317</v>
      </c>
      <c r="B320" s="289">
        <v>46046.0</v>
      </c>
      <c r="C320" s="273">
        <v>46047.0</v>
      </c>
      <c r="D320" s="273">
        <v>46059.0</v>
      </c>
      <c r="E320" s="273">
        <v>46048.0</v>
      </c>
      <c r="F320" s="274" t="s">
        <v>561</v>
      </c>
      <c r="G320" s="275" t="s">
        <v>562</v>
      </c>
      <c r="H320" s="274" t="s">
        <v>304</v>
      </c>
      <c r="I320" s="275" t="s">
        <v>726</v>
      </c>
      <c r="J320" s="272" t="s">
        <v>1018</v>
      </c>
      <c r="K320" s="275" t="s">
        <v>730</v>
      </c>
      <c r="L320" s="277" t="s">
        <v>1019</v>
      </c>
      <c r="M320" s="278" t="str">
        <f t="array" ref="M320">IFERROR(XLOOKUP(L320,'2. DATA NL, VTBB'!C:C,'2. DATA NL, VTBB'!D:D),"")</f>
        <v>Nắp PET cổ 35 (4.3g) trắng</v>
      </c>
      <c r="N320" s="280"/>
      <c r="O320" s="280" t="str">
        <f t="array" ref="O320">IFERROR( XLOOKUP(L320,'2. DATA NL, VTBB'!C:C,'2. DATA NL, VTBB'!E:E),"")</f>
        <v>Vi lượng AV4</v>
      </c>
      <c r="P320" s="275" t="s">
        <v>565</v>
      </c>
      <c r="Q320" s="311"/>
      <c r="R320" s="291" t="s">
        <v>573</v>
      </c>
      <c r="S320" s="280"/>
      <c r="T320" s="277"/>
      <c r="U320" s="277"/>
      <c r="V320" s="283">
        <v>4000.0</v>
      </c>
      <c r="W320" s="275" t="s">
        <v>699</v>
      </c>
      <c r="X320" s="283">
        <v>4000.0</v>
      </c>
      <c r="Y320" s="274">
        <v>4000.0</v>
      </c>
      <c r="Z320" s="272">
        <v>600.0</v>
      </c>
      <c r="AA320" s="285">
        <v>0.08</v>
      </c>
      <c r="AB320" s="282">
        <v>2592000.0</v>
      </c>
      <c r="AC320" s="277"/>
      <c r="AD320" s="289">
        <v>46046.0</v>
      </c>
      <c r="AE320" s="312"/>
      <c r="AF320" s="277"/>
      <c r="AG320" s="277"/>
      <c r="AH320" s="294">
        <f>IFERROR(__xludf.DUMMYFUNCTION("IFERROR(INDEX( SORT(FILTER(
        {'1. DATA CHUNG'!$J$4:$J$105 , '1. DATA CHUNG'!$L$4:$L$105}, (TRIM('1. DATA CHUNG'!$I$4:$I$105)=TRIM(K320)) * IF(COUNTIFS('1. DATA CHUNG'!$I$4:$I$105,K320,'1. DATA CHUNG'!$M$4:$M$105,Q320), '1. DATA CHUNG'!$M$4:$M$105=Q"&amp;"320, 1) * ('1. DATA CHUNG'!$L$4:$L$105&lt;=TODAY()) ),   2, 0),  1, 1), 
  IFERROR( INDEX(FILTER('1. DATA CHUNG'!$J$4:$J$105, (TRIM('1. DATA CHUNG'!$I$4:$I$105)=TRIM(K320)) * IF(COUNTIFS('1. DATA CHUNG'!$I$4:$I$105,K320,'1. DATA CHUNG'!$M$4:$M$105,Q320), '1."&amp;" DATA CHUNG'!$M$4:$M$105=Q320, 1) * ('1. DATA CHUNG'!$L$4:$L$105="""")), 1), ""Không tìm thấy"" ))"),7.0)</f>
        <v>7</v>
      </c>
      <c r="AI320" s="273">
        <f t="shared" si="2"/>
        <v>46053</v>
      </c>
      <c r="AJ320" s="287"/>
      <c r="AK320" s="286">
        <f t="shared" si="3"/>
        <v>0</v>
      </c>
      <c r="AL320" s="287">
        <f t="shared" si="4"/>
        <v>11</v>
      </c>
      <c r="AM320" s="287">
        <f t="shared" si="5"/>
        <v>5</v>
      </c>
      <c r="AN320" s="279">
        <f t="shared" si="6"/>
        <v>6</v>
      </c>
      <c r="AO320" s="295" t="str">
        <f t="shared" si="7"/>
        <v>01/2026</v>
      </c>
      <c r="AP320" s="277" t="str">
        <f t="array" ref="AP320">IFERROR(XLOOKUP(L320,'2. DATA NL, VTBB'!C:C,'2. DATA NL, VTBB'!F:F),"")</f>
        <v>HH0003</v>
      </c>
      <c r="AQ320" s="277" t="str">
        <f t="array" ref="AQ320">IF(OR(K320="Nhãn", K320="Nhãn thùng",K320="Nhãn Túi"), K320 &amp; " " &amp; IFERROR(XLOOKUP(L320, '2. DATA NL, VTBB'!C:C, '2. DATA NL, VTBB'!E:E), ""), "")</f>
        <v/>
      </c>
      <c r="AR320" s="278" t="str">
        <f t="array" ref="AR320">IFERROR(XLOOKUP(L320,'2. DATA NL, VTBB'!C:C,'2. DATA NL, VTBB'!G:G),"")</f>
        <v>GC - II - 64 - Aqua Siêu ra hoa xoài (clr) - 1kg - 25</v>
      </c>
      <c r="AS320" s="278" t="str">
        <f t="array" ref="AS320">IFERROR(XLOOKUP(L320,'2. DATA NL, VTBB'!C:C,'2. DATA NL, VTBB'!G:G),"")</f>
        <v>GC - II - 64 - Aqua Siêu ra hoa xoài (clr) - 1kg - 25</v>
      </c>
      <c r="AT320" s="277"/>
    </row>
    <row r="321" ht="30.75" customHeight="1">
      <c r="A321" s="272">
        <f t="shared" si="44"/>
        <v>318</v>
      </c>
      <c r="B321" s="289">
        <v>46046.0</v>
      </c>
      <c r="C321" s="273">
        <v>46047.0</v>
      </c>
      <c r="D321" s="273">
        <v>46059.0</v>
      </c>
      <c r="E321" s="289">
        <v>46049.0</v>
      </c>
      <c r="F321" s="274" t="s">
        <v>561</v>
      </c>
      <c r="G321" s="275" t="s">
        <v>562</v>
      </c>
      <c r="H321" s="274" t="s">
        <v>304</v>
      </c>
      <c r="I321" s="275" t="s">
        <v>744</v>
      </c>
      <c r="J321" s="272" t="s">
        <v>1020</v>
      </c>
      <c r="K321" s="275" t="s">
        <v>728</v>
      </c>
      <c r="L321" s="277" t="s">
        <v>785</v>
      </c>
      <c r="M321" s="278" t="str">
        <f t="array" ref="M321">IFERROR(XLOOKUP(L321,'2. DATA NL, VTBB'!C:C,'2. DATA NL, VTBB'!D:D),"")</f>
        <v>Chai HDPE tròn cổ 50 500ml, vai vuông (60g) Gruratee - Trắng</v>
      </c>
      <c r="N321" s="280"/>
      <c r="O321" s="280" t="str">
        <f t="array" ref="O321">IFERROR( XLOOKUP(L321,'2. DATA NL, VTBB'!C:C,'2. DATA NL, VTBB'!E:E),"")</f>
        <v>Chitin 3.6EC</v>
      </c>
      <c r="P321" s="275" t="s">
        <v>565</v>
      </c>
      <c r="Q321" s="311"/>
      <c r="R321" s="290" t="s">
        <v>566</v>
      </c>
      <c r="S321" s="280"/>
      <c r="T321" s="277"/>
      <c r="U321" s="277"/>
      <c r="V321" s="283">
        <v>3000.0</v>
      </c>
      <c r="W321" s="275" t="s">
        <v>699</v>
      </c>
      <c r="X321" s="283">
        <v>3000.0</v>
      </c>
      <c r="Y321" s="274">
        <v>3000.0</v>
      </c>
      <c r="Z321" s="272">
        <v>3300.0</v>
      </c>
      <c r="AA321" s="285">
        <v>0.08</v>
      </c>
      <c r="AB321" s="282">
        <v>1.0692E7</v>
      </c>
      <c r="AC321" s="277"/>
      <c r="AD321" s="289">
        <v>46046.0</v>
      </c>
      <c r="AE321" s="312"/>
      <c r="AF321" s="277"/>
      <c r="AG321" s="277"/>
      <c r="AH321" s="294">
        <f>IFERROR(__xludf.DUMMYFUNCTION("IFERROR(INDEX( SORT(FILTER(
        {'1. DATA CHUNG'!$J$4:$J$105 , '1. DATA CHUNG'!$L$4:$L$105}, (TRIM('1. DATA CHUNG'!$I$4:$I$105)=TRIM(K321)) * IF(COUNTIFS('1. DATA CHUNG'!$I$4:$I$105,K321,'1. DATA CHUNG'!$M$4:$M$105,Q321), '1. DATA CHUNG'!$M$4:$M$105=Q"&amp;"321, 1) * ('1. DATA CHUNG'!$L$4:$L$105&lt;=TODAY()) ),   2, 0),  1, 1), 
  IFERROR( INDEX(FILTER('1. DATA CHUNG'!$J$4:$J$105, (TRIM('1. DATA CHUNG'!$I$4:$I$105)=TRIM(K321)) * IF(COUNTIFS('1. DATA CHUNG'!$I$4:$I$105,K321,'1. DATA CHUNG'!$M$4:$M$105,Q321), '1."&amp;" DATA CHUNG'!$M$4:$M$105=Q321, 1) * ('1. DATA CHUNG'!$L$4:$L$105="""")), 1), ""Không tìm thấy"" ))"),7.0)</f>
        <v>7</v>
      </c>
      <c r="AI321" s="273">
        <f t="shared" si="2"/>
        <v>46053</v>
      </c>
      <c r="AJ321" s="287"/>
      <c r="AK321" s="286">
        <f t="shared" si="3"/>
        <v>0</v>
      </c>
      <c r="AL321" s="287">
        <f t="shared" si="4"/>
        <v>10</v>
      </c>
      <c r="AM321" s="287">
        <f t="shared" si="5"/>
        <v>4</v>
      </c>
      <c r="AN321" s="279">
        <f t="shared" si="6"/>
        <v>6</v>
      </c>
      <c r="AO321" s="295" t="str">
        <f t="shared" si="7"/>
        <v>01/2026</v>
      </c>
      <c r="AP321" s="277" t="str">
        <f t="array" ref="AP321">IFERROR(XLOOKUP(L321,'2. DATA NL, VTBB'!C:C,'2. DATA NL, VTBB'!F:F),"")</f>
        <v>HH0229</v>
      </c>
      <c r="AQ321" s="277" t="str">
        <f t="array" ref="AQ321">IF(OR(K321="Nhãn", K321="Nhãn thùng",K321="Nhãn Túi"), K321 &amp; " " &amp; IFERROR(XLOOKUP(L321, '2. DATA NL, VTBB'!C:C, '2. DATA NL, VTBB'!E:E), ""), "")</f>
        <v/>
      </c>
      <c r="AR321" s="278" t="str">
        <f t="array" ref="AR321">IFERROR(XLOOKUP(L321,'2. DATA NL, VTBB'!C:C,'2. DATA NL, VTBB'!G:G),"")</f>
        <v>LOT IDA Global - I - 870 - ĐL Nhựt Mẫn - Avermectin (Pet tròn) (nắp đỏ)(nước nâu đen) - 450ml - 40</v>
      </c>
      <c r="AS321" s="278" t="str">
        <f t="array" ref="AS321">IFERROR(XLOOKUP(L321,'2. DATA NL, VTBB'!C:C,'2. DATA NL, VTBB'!G:G),"")</f>
        <v>LOT IDA Global - I - 870 - ĐL Nhựt Mẫn - Avermectin (Pet tròn) (nắp đỏ)(nước nâu đen) - 450ml - 40</v>
      </c>
      <c r="AT321" s="277"/>
    </row>
    <row r="322" ht="30.75" customHeight="1">
      <c r="A322" s="272">
        <f t="shared" si="44"/>
        <v>319</v>
      </c>
      <c r="B322" s="289">
        <v>46046.0</v>
      </c>
      <c r="C322" s="273">
        <v>46047.0</v>
      </c>
      <c r="D322" s="273">
        <v>46059.0</v>
      </c>
      <c r="E322" s="289">
        <v>46049.0</v>
      </c>
      <c r="F322" s="274" t="s">
        <v>561</v>
      </c>
      <c r="G322" s="275" t="s">
        <v>562</v>
      </c>
      <c r="H322" s="274" t="s">
        <v>304</v>
      </c>
      <c r="I322" s="275" t="s">
        <v>744</v>
      </c>
      <c r="J322" s="272" t="s">
        <v>1020</v>
      </c>
      <c r="K322" s="275" t="s">
        <v>730</v>
      </c>
      <c r="L322" s="277" t="s">
        <v>754</v>
      </c>
      <c r="M322" s="278" t="str">
        <f t="array" ref="M322">IFERROR(XLOOKUP(L322,'2. DATA NL, VTBB'!C:C,'2. DATA NL, VTBB'!D:D),"")</f>
        <v>Nắp HDPE cổ 50 gruratee - Trắng</v>
      </c>
      <c r="N322" s="280"/>
      <c r="O322" s="280" t="str">
        <f t="array" ref="O322">IFERROR( XLOOKUP(L322,'2. DATA NL, VTBB'!C:C,'2. DATA NL, VTBB'!E:E),"")</f>
        <v>Chitin 3.6EC</v>
      </c>
      <c r="P322" s="275" t="s">
        <v>565</v>
      </c>
      <c r="Q322" s="311"/>
      <c r="R322" s="290" t="s">
        <v>566</v>
      </c>
      <c r="S322" s="280"/>
      <c r="T322" s="277"/>
      <c r="U322" s="277"/>
      <c r="V322" s="283">
        <v>3000.0</v>
      </c>
      <c r="W322" s="275" t="s">
        <v>699</v>
      </c>
      <c r="X322" s="283">
        <v>3000.0</v>
      </c>
      <c r="Y322" s="274">
        <v>3000.0</v>
      </c>
      <c r="Z322" s="272">
        <v>1200.0</v>
      </c>
      <c r="AA322" s="285">
        <v>0.08</v>
      </c>
      <c r="AB322" s="282">
        <v>3888000.0</v>
      </c>
      <c r="AC322" s="277"/>
      <c r="AD322" s="289">
        <v>46046.0</v>
      </c>
      <c r="AE322" s="312"/>
      <c r="AF322" s="277"/>
      <c r="AG322" s="277"/>
      <c r="AH322" s="294">
        <f>IFERROR(__xludf.DUMMYFUNCTION("IFERROR(INDEX( SORT(FILTER(
        {'1. DATA CHUNG'!$J$4:$J$105 , '1. DATA CHUNG'!$L$4:$L$105}, (TRIM('1. DATA CHUNG'!$I$4:$I$105)=TRIM(K322)) * IF(COUNTIFS('1. DATA CHUNG'!$I$4:$I$105,K322,'1. DATA CHUNG'!$M$4:$M$105,Q322), '1. DATA CHUNG'!$M$4:$M$105=Q"&amp;"322, 1) * ('1. DATA CHUNG'!$L$4:$L$105&lt;=TODAY()) ),   2, 0),  1, 1), 
  IFERROR( INDEX(FILTER('1. DATA CHUNG'!$J$4:$J$105, (TRIM('1. DATA CHUNG'!$I$4:$I$105)=TRIM(K322)) * IF(COUNTIFS('1. DATA CHUNG'!$I$4:$I$105,K322,'1. DATA CHUNG'!$M$4:$M$105,Q322), '1."&amp;" DATA CHUNG'!$M$4:$M$105=Q322, 1) * ('1. DATA CHUNG'!$L$4:$L$105="""")), 1), ""Không tìm thấy"" ))"),7.0)</f>
        <v>7</v>
      </c>
      <c r="AI322" s="273">
        <f t="shared" si="2"/>
        <v>46053</v>
      </c>
      <c r="AJ322" s="287"/>
      <c r="AK322" s="286">
        <f t="shared" si="3"/>
        <v>0</v>
      </c>
      <c r="AL322" s="287">
        <f t="shared" si="4"/>
        <v>10</v>
      </c>
      <c r="AM322" s="287">
        <f t="shared" si="5"/>
        <v>4</v>
      </c>
      <c r="AN322" s="279">
        <f t="shared" si="6"/>
        <v>6</v>
      </c>
      <c r="AO322" s="295" t="str">
        <f t="shared" si="7"/>
        <v>01/2026</v>
      </c>
      <c r="AP322" s="277" t="str">
        <f t="array" ref="AP322">IFERROR(XLOOKUP(L322,'2. DATA NL, VTBB'!C:C,'2. DATA NL, VTBB'!F:F),"")</f>
        <v>HH0153</v>
      </c>
      <c r="AQ322" s="277" t="str">
        <f t="array" ref="AQ322">IF(OR(K322="Nhãn", K322="Nhãn thùng",K322="Nhãn Túi"), K322 &amp; " " &amp; IFERROR(XLOOKUP(L322, '2. DATA NL, VTBB'!C:C, '2. DATA NL, VTBB'!E:E), ""), "")</f>
        <v/>
      </c>
      <c r="AR322" s="278" t="str">
        <f t="array" ref="AR322">IFERROR(XLOOKUP(L322,'2. DATA NL, VTBB'!C:C,'2. DATA NL, VTBB'!G:G),"")</f>
        <v>LOT IDA Global - I - 870 - ĐL Nhựt Mẫn - Avermectin (Pet tròn) (nắp đỏ)(nước nâu đen) - 450ml - 40</v>
      </c>
      <c r="AS322" s="278" t="str">
        <f t="array" ref="AS322">IFERROR(XLOOKUP(L322,'2. DATA NL, VTBB'!C:C,'2. DATA NL, VTBB'!G:G),"")</f>
        <v>LOT IDA Global - I - 870 - ĐL Nhựt Mẫn - Avermectin (Pet tròn) (nắp đỏ)(nước nâu đen) - 450ml - 40</v>
      </c>
      <c r="AT322" s="277"/>
    </row>
    <row r="323" ht="30.75" customHeight="1">
      <c r="A323" s="272">
        <f t="shared" si="44"/>
        <v>320</v>
      </c>
      <c r="B323" s="289">
        <v>46046.0</v>
      </c>
      <c r="C323" s="273">
        <v>46047.0</v>
      </c>
      <c r="D323" s="273">
        <v>46059.0</v>
      </c>
      <c r="E323" s="273">
        <v>46052.0</v>
      </c>
      <c r="F323" s="274" t="s">
        <v>561</v>
      </c>
      <c r="G323" s="275" t="s">
        <v>562</v>
      </c>
      <c r="H323" s="274" t="s">
        <v>304</v>
      </c>
      <c r="I323" s="275" t="s">
        <v>765</v>
      </c>
      <c r="J323" s="272" t="s">
        <v>1021</v>
      </c>
      <c r="K323" s="275" t="s">
        <v>728</v>
      </c>
      <c r="L323" s="277" t="s">
        <v>904</v>
      </c>
      <c r="M323" s="278" t="str">
        <f t="array" ref="M323">IFERROR(XLOOKUP(L323,'2. DATA NL, VTBB'!C:C,'2. DATA NL, VTBB'!D:D),"")</f>
        <v>Chai HDPE tròn cổ 63 500ml (80g) - Trắng</v>
      </c>
      <c r="N323" s="280"/>
      <c r="O323" s="280" t="str">
        <f t="array" ref="O323">IFERROR( XLOOKUP(L323,'2. DATA NL, VTBB'!C:C,'2. DATA NL, VTBB'!E:E),"")</f>
        <v>Chitin 3.6EC</v>
      </c>
      <c r="P323" s="275" t="s">
        <v>565</v>
      </c>
      <c r="Q323" s="311"/>
      <c r="R323" s="290" t="s">
        <v>566</v>
      </c>
      <c r="S323" s="280"/>
      <c r="T323" s="277"/>
      <c r="U323" s="277"/>
      <c r="V323" s="283">
        <v>400.0</v>
      </c>
      <c r="W323" s="275" t="s">
        <v>699</v>
      </c>
      <c r="X323" s="283">
        <v>400.0</v>
      </c>
      <c r="Y323" s="274">
        <v>400.0</v>
      </c>
      <c r="Z323" s="272">
        <v>2900.0</v>
      </c>
      <c r="AA323" s="285">
        <v>0.08</v>
      </c>
      <c r="AB323" s="282">
        <v>1252800.0</v>
      </c>
      <c r="AC323" s="277"/>
      <c r="AD323" s="289">
        <v>46046.0</v>
      </c>
      <c r="AE323" s="312"/>
      <c r="AF323" s="277"/>
      <c r="AG323" s="277"/>
      <c r="AH323" s="294">
        <f>IFERROR(__xludf.DUMMYFUNCTION("IFERROR(INDEX( SORT(FILTER(
        {'1. DATA CHUNG'!$J$4:$J$105 , '1. DATA CHUNG'!$L$4:$L$105}, (TRIM('1. DATA CHUNG'!$I$4:$I$105)=TRIM(K323)) * IF(COUNTIFS('1. DATA CHUNG'!$I$4:$I$105,K323,'1. DATA CHUNG'!$M$4:$M$105,Q323), '1. DATA CHUNG'!$M$4:$M$105=Q"&amp;"323, 1) * ('1. DATA CHUNG'!$L$4:$L$105&lt;=TODAY()) ),   2, 0),  1, 1), 
  IFERROR( INDEX(FILTER('1. DATA CHUNG'!$J$4:$J$105, (TRIM('1. DATA CHUNG'!$I$4:$I$105)=TRIM(K323)) * IF(COUNTIFS('1. DATA CHUNG'!$I$4:$I$105,K323,'1. DATA CHUNG'!$M$4:$M$105,Q323), '1."&amp;" DATA CHUNG'!$M$4:$M$105=Q323, 1) * ('1. DATA CHUNG'!$L$4:$L$105="""")), 1), ""Không tìm thấy"" ))"),7.0)</f>
        <v>7</v>
      </c>
      <c r="AI323" s="273">
        <f t="shared" si="2"/>
        <v>46053</v>
      </c>
      <c r="AJ323" s="287"/>
      <c r="AK323" s="286">
        <f t="shared" si="3"/>
        <v>0</v>
      </c>
      <c r="AL323" s="287">
        <f t="shared" si="4"/>
        <v>7</v>
      </c>
      <c r="AM323" s="287">
        <f t="shared" si="5"/>
        <v>1</v>
      </c>
      <c r="AN323" s="279">
        <f t="shared" si="6"/>
        <v>6</v>
      </c>
      <c r="AO323" s="295" t="str">
        <f t="shared" si="7"/>
        <v>01/2026</v>
      </c>
      <c r="AP323" s="277" t="str">
        <f t="array" ref="AP323">IFERROR(XLOOKUP(L323,'2. DATA NL, VTBB'!C:C,'2. DATA NL, VTBB'!F:F),"")</f>
        <v>HH0228</v>
      </c>
      <c r="AQ323" s="277" t="str">
        <f t="array" ref="AQ323">IF(OR(K323="Nhãn", K323="Nhãn thùng",K323="Nhãn Túi"), K323 &amp; " " &amp; IFERROR(XLOOKUP(L323, '2. DATA NL, VTBB'!C:C, '2. DATA NL, VTBB'!E:E), ""), "")</f>
        <v/>
      </c>
      <c r="AR323" s="278" t="str">
        <f t="array" ref="AR323">IFERROR(XLOOKUP(L323,'2. DATA NL, VTBB'!C:C,'2. DATA NL, VTBB'!G:G),"")</f>
        <v>LOT IDA Global - I - 869 - ĐL Phú Nông - Vua 3.6 (Pet tròn) (nắp đỏ)(nước nâu đen) - 450ml - 40</v>
      </c>
      <c r="AS323" s="278" t="str">
        <f t="array" ref="AS323">IFERROR(XLOOKUP(L323,'2. DATA NL, VTBB'!C:C,'2. DATA NL, VTBB'!G:G),"")</f>
        <v>LOT IDA Global - I - 869 - ĐL Phú Nông - Vua 3.6 (Pet tròn) (nắp đỏ)(nước nâu đen) - 450ml - 40</v>
      </c>
      <c r="AT323" s="277"/>
    </row>
    <row r="324" ht="30.75" customHeight="1">
      <c r="A324" s="272">
        <f t="shared" si="44"/>
        <v>321</v>
      </c>
      <c r="B324" s="289">
        <v>46046.0</v>
      </c>
      <c r="C324" s="273">
        <v>46047.0</v>
      </c>
      <c r="D324" s="273">
        <v>46059.0</v>
      </c>
      <c r="E324" s="273">
        <v>46052.0</v>
      </c>
      <c r="F324" s="274" t="s">
        <v>561</v>
      </c>
      <c r="G324" s="275" t="s">
        <v>562</v>
      </c>
      <c r="H324" s="274" t="s">
        <v>304</v>
      </c>
      <c r="I324" s="275" t="s">
        <v>765</v>
      </c>
      <c r="J324" s="272" t="s">
        <v>1021</v>
      </c>
      <c r="K324" s="275" t="s">
        <v>730</v>
      </c>
      <c r="L324" s="277" t="s">
        <v>905</v>
      </c>
      <c r="M324" s="278" t="str">
        <f t="array" ref="M324">IFERROR(XLOOKUP(L324,'2. DATA NL, VTBB'!C:C,'2. DATA NL, VTBB'!D:D),"")</f>
        <v>Nắp HDPE tròn cổ 63 Trắng</v>
      </c>
      <c r="N324" s="280"/>
      <c r="O324" s="280" t="str">
        <f t="array" ref="O324">IFERROR( XLOOKUP(L324,'2. DATA NL, VTBB'!C:C,'2. DATA NL, VTBB'!E:E),"")</f>
        <v>Chitin 3.6EC</v>
      </c>
      <c r="P324" s="275" t="s">
        <v>565</v>
      </c>
      <c r="Q324" s="311"/>
      <c r="R324" s="290" t="s">
        <v>566</v>
      </c>
      <c r="S324" s="280"/>
      <c r="T324" s="277"/>
      <c r="U324" s="277"/>
      <c r="V324" s="283">
        <v>400.0</v>
      </c>
      <c r="W324" s="275" t="s">
        <v>699</v>
      </c>
      <c r="X324" s="283">
        <v>400.0</v>
      </c>
      <c r="Y324" s="274">
        <v>400.0</v>
      </c>
      <c r="Z324" s="272">
        <v>1350.0</v>
      </c>
      <c r="AA324" s="285">
        <v>0.08</v>
      </c>
      <c r="AB324" s="282">
        <v>583200.0</v>
      </c>
      <c r="AC324" s="277"/>
      <c r="AD324" s="289">
        <v>46046.0</v>
      </c>
      <c r="AE324" s="312"/>
      <c r="AF324" s="277"/>
      <c r="AG324" s="277"/>
      <c r="AH324" s="294">
        <f>IFERROR(__xludf.DUMMYFUNCTION("IFERROR(INDEX( SORT(FILTER(
        {'1. DATA CHUNG'!$J$4:$J$105 , '1. DATA CHUNG'!$L$4:$L$105}, (TRIM('1. DATA CHUNG'!$I$4:$I$105)=TRIM(K324)) * IF(COUNTIFS('1. DATA CHUNG'!$I$4:$I$105,K324,'1. DATA CHUNG'!$M$4:$M$105,Q324), '1. DATA CHUNG'!$M$4:$M$105=Q"&amp;"324, 1) * ('1. DATA CHUNG'!$L$4:$L$105&lt;=TODAY()) ),   2, 0),  1, 1), 
  IFERROR( INDEX(FILTER('1. DATA CHUNG'!$J$4:$J$105, (TRIM('1. DATA CHUNG'!$I$4:$I$105)=TRIM(K324)) * IF(COUNTIFS('1. DATA CHUNG'!$I$4:$I$105,K324,'1. DATA CHUNG'!$M$4:$M$105,Q324), '1."&amp;" DATA CHUNG'!$M$4:$M$105=Q324, 1) * ('1. DATA CHUNG'!$L$4:$L$105="""")), 1), ""Không tìm thấy"" ))"),7.0)</f>
        <v>7</v>
      </c>
      <c r="AI324" s="273">
        <f t="shared" si="2"/>
        <v>46053</v>
      </c>
      <c r="AJ324" s="287"/>
      <c r="AK324" s="286">
        <f t="shared" si="3"/>
        <v>0</v>
      </c>
      <c r="AL324" s="287">
        <f t="shared" si="4"/>
        <v>7</v>
      </c>
      <c r="AM324" s="287">
        <f t="shared" si="5"/>
        <v>1</v>
      </c>
      <c r="AN324" s="279">
        <f t="shared" si="6"/>
        <v>6</v>
      </c>
      <c r="AO324" s="295" t="str">
        <f t="shared" si="7"/>
        <v>01/2026</v>
      </c>
      <c r="AP324" s="277" t="str">
        <f t="array" ref="AP324">IFERROR(XLOOKUP(L324,'2. DATA NL, VTBB'!C:C,'2. DATA NL, VTBB'!F:F),"")</f>
        <v>HH0152</v>
      </c>
      <c r="AQ324" s="277" t="str">
        <f t="array" ref="AQ324">IF(OR(K324="Nhãn", K324="Nhãn thùng",K324="Nhãn Túi"), K324 &amp; " " &amp; IFERROR(XLOOKUP(L324, '2. DATA NL, VTBB'!C:C, '2. DATA NL, VTBB'!E:E), ""), "")</f>
        <v/>
      </c>
      <c r="AR324" s="278" t="str">
        <f t="array" ref="AR324">IFERROR(XLOOKUP(L324,'2. DATA NL, VTBB'!C:C,'2. DATA NL, VTBB'!G:G),"")</f>
        <v>LOT IDA Global - I - 869 - ĐL Phú Nông - Vua 3.6 (Pet tròn) (nắp đỏ)(nước nâu đen) - 450ml - 40</v>
      </c>
      <c r="AS324" s="278" t="str">
        <f t="array" ref="AS324">IFERROR(XLOOKUP(L324,'2. DATA NL, VTBB'!C:C,'2. DATA NL, VTBB'!G:G),"")</f>
        <v>LOT IDA Global - I - 869 - ĐL Phú Nông - Vua 3.6 (Pet tròn) (nắp đỏ)(nước nâu đen) - 450ml - 40</v>
      </c>
      <c r="AT324" s="277"/>
    </row>
    <row r="325" ht="30.75" customHeight="1">
      <c r="A325" s="272">
        <f t="shared" si="44"/>
        <v>322</v>
      </c>
      <c r="B325" s="289">
        <v>46046.0</v>
      </c>
      <c r="C325" s="289">
        <v>46053.0</v>
      </c>
      <c r="D325" s="289">
        <f t="shared" ref="D325:D326" si="65">B325+15</f>
        <v>46061</v>
      </c>
      <c r="E325" s="318"/>
      <c r="F325" s="274" t="s">
        <v>561</v>
      </c>
      <c r="G325" s="275" t="s">
        <v>562</v>
      </c>
      <c r="H325" s="274" t="s">
        <v>304</v>
      </c>
      <c r="I325" s="279" t="s">
        <v>1022</v>
      </c>
      <c r="J325" s="272" t="s">
        <v>1023</v>
      </c>
      <c r="K325" s="275" t="s">
        <v>301</v>
      </c>
      <c r="L325" s="277" t="s">
        <v>1024</v>
      </c>
      <c r="M325" s="278" t="str">
        <f t="array" ref="M325">IFERROR(XLOOKUP(L325,'2. DATA NL, VTBB'!C:C,'2. DATA NL, VTBB'!D:D),"")</f>
        <v>Thùng R3 chai 450ml x 40 chai (61.3x38.5x19cm) - Xanh viền xanh trắng đỏ</v>
      </c>
      <c r="N325" s="280"/>
      <c r="O325" s="280" t="str">
        <f t="array" ref="O325">IFERROR( XLOOKUP(L325,'2. DATA NL, VTBB'!C:C,'2. DATA NL, VTBB'!E:E),"")</f>
        <v>Prima 04</v>
      </c>
      <c r="P325" s="275" t="s">
        <v>565</v>
      </c>
      <c r="Q325" s="311"/>
      <c r="R325" s="290" t="s">
        <v>566</v>
      </c>
      <c r="S325" s="280"/>
      <c r="T325" s="277"/>
      <c r="U325" s="277"/>
      <c r="V325" s="283">
        <v>300.0</v>
      </c>
      <c r="W325" s="275" t="s">
        <v>699</v>
      </c>
      <c r="X325" s="283">
        <v>300.0</v>
      </c>
      <c r="Y325" s="274">
        <v>300.0</v>
      </c>
      <c r="Z325" s="272">
        <v>24000.0</v>
      </c>
      <c r="AA325" s="285">
        <v>0.08</v>
      </c>
      <c r="AB325" s="282">
        <v>7776000.0</v>
      </c>
      <c r="AC325" s="277"/>
      <c r="AD325" s="289">
        <v>46046.0</v>
      </c>
      <c r="AE325" s="312"/>
      <c r="AF325" s="277"/>
      <c r="AG325" s="277"/>
      <c r="AH325" s="294">
        <f>IFERROR(__xludf.DUMMYFUNCTION("IFERROR(INDEX( SORT(FILTER(
        {'1. DATA CHUNG'!$J$4:$J$105 , '1. DATA CHUNG'!$L$4:$L$105}, (TRIM('1. DATA CHUNG'!$I$4:$I$105)=TRIM(K325)) * IF(COUNTIFS('1. DATA CHUNG'!$I$4:$I$105,K325,'1. DATA CHUNG'!$M$4:$M$105,Q325), '1. DATA CHUNG'!$M$4:$M$105=Q"&amp;"325, 1) * ('1. DATA CHUNG'!$L$4:$L$105&lt;=TODAY()) ),   2, 0),  1, 1), 
  IFERROR( INDEX(FILTER('1. DATA CHUNG'!$J$4:$J$105, (TRIM('1. DATA CHUNG'!$I$4:$I$105)=TRIM(K325)) * IF(COUNTIFS('1. DATA CHUNG'!$I$4:$I$105,K325,'1. DATA CHUNG'!$M$4:$M$105,Q325), '1."&amp;" DATA CHUNG'!$M$4:$M$105=Q325, 1) * ('1. DATA CHUNG'!$L$4:$L$105="""")), 1), ""Không tìm thấy"" ))"),18.0)</f>
        <v>18</v>
      </c>
      <c r="AI325" s="273">
        <f t="shared" si="2"/>
        <v>46064</v>
      </c>
      <c r="AJ325" s="287"/>
      <c r="AK325" s="286">
        <f t="shared" si="3"/>
        <v>0</v>
      </c>
      <c r="AL325" s="287" t="str">
        <f t="shared" si="4"/>
        <v/>
      </c>
      <c r="AM325" s="287" t="str">
        <f t="shared" si="5"/>
        <v/>
      </c>
      <c r="AN325" s="279">
        <f t="shared" si="6"/>
        <v>11</v>
      </c>
      <c r="AO325" s="295" t="str">
        <f t="shared" si="7"/>
        <v>01/2026</v>
      </c>
      <c r="AP325" s="277" t="str">
        <f t="array" ref="AP325">IFERROR(XLOOKUP(L325,'2. DATA NL, VTBB'!C:C,'2. DATA NL, VTBB'!F:F),"")</f>
        <v>HH0246</v>
      </c>
      <c r="AQ325" s="277" t="str">
        <f t="array" ref="AQ325">IF(OR(K325="Nhãn", K325="Nhãn thùng",K325="Nhãn Túi"), K325 &amp; " " &amp; IFERROR(XLOOKUP(L325, '2. DATA NL, VTBB'!C:C, '2. DATA NL, VTBB'!E:E), ""), "")</f>
        <v/>
      </c>
      <c r="AR325" s="278" t="str">
        <f t="array" ref="AR325">IFERROR(XLOOKUP(L325,'2. DATA NL, VTBB'!C:C,'2. DATA NL, VTBB'!G:G),"")</f>
        <v>GC - II - 665 - Nông Lâm Hoà Phát - Humiix Us - 1kg - 25 ([btp],t)</v>
      </c>
      <c r="AS325" s="278" t="str">
        <f t="array" ref="AS325">IFERROR(XLOOKUP(L325,'2. DATA NL, VTBB'!C:C,'2. DATA NL, VTBB'!G:G),"")</f>
        <v>GC - II - 665 - Nông Lâm Hoà Phát - Humiix Us - 1kg - 25 ([btp],t)</v>
      </c>
      <c r="AT325" s="277"/>
    </row>
    <row r="326" ht="30.75" customHeight="1">
      <c r="A326" s="272">
        <f t="shared" si="44"/>
        <v>323</v>
      </c>
      <c r="B326" s="289">
        <v>46046.0</v>
      </c>
      <c r="C326" s="289">
        <v>46053.0</v>
      </c>
      <c r="D326" s="289">
        <f t="shared" si="65"/>
        <v>46061</v>
      </c>
      <c r="E326" s="318"/>
      <c r="F326" s="274" t="s">
        <v>561</v>
      </c>
      <c r="G326" s="275" t="s">
        <v>562</v>
      </c>
      <c r="H326" s="274" t="s">
        <v>304</v>
      </c>
      <c r="I326" s="279" t="s">
        <v>1022</v>
      </c>
      <c r="J326" s="272" t="s">
        <v>1023</v>
      </c>
      <c r="K326" s="275" t="s">
        <v>301</v>
      </c>
      <c r="L326" s="277" t="s">
        <v>627</v>
      </c>
      <c r="M326" s="278" t="str">
        <f t="array" ref="M326">IFERROR(XLOOKUP(L326,'2. DATA NL, VTBB'!C:C,'2. DATA NL, VTBB'!D:D),"")</f>
        <v>Thùng R3 chai 350ml x 40 chai (55.5x35.5x15.5cm) - Xanh viền xanh trắng vàng</v>
      </c>
      <c r="N326" s="280"/>
      <c r="O326" s="280" t="str">
        <f t="array" ref="O326">IFERROR( XLOOKUP(L326,'2. DATA NL, VTBB'!C:C,'2. DATA NL, VTBB'!E:E),"")</f>
        <v>Prima 04</v>
      </c>
      <c r="P326" s="275" t="s">
        <v>565</v>
      </c>
      <c r="Q326" s="311"/>
      <c r="R326" s="290" t="s">
        <v>566</v>
      </c>
      <c r="S326" s="280"/>
      <c r="T326" s="277"/>
      <c r="U326" s="277"/>
      <c r="V326" s="283">
        <v>300.0</v>
      </c>
      <c r="W326" s="275" t="s">
        <v>699</v>
      </c>
      <c r="X326" s="283">
        <v>300.0</v>
      </c>
      <c r="Y326" s="274">
        <v>300.0</v>
      </c>
      <c r="Z326" s="272">
        <v>19500.0</v>
      </c>
      <c r="AA326" s="285">
        <v>0.08</v>
      </c>
      <c r="AB326" s="282">
        <v>6318000.0</v>
      </c>
      <c r="AC326" s="277"/>
      <c r="AD326" s="289">
        <v>46046.0</v>
      </c>
      <c r="AE326" s="312"/>
      <c r="AF326" s="277"/>
      <c r="AG326" s="277"/>
      <c r="AH326" s="294">
        <f>IFERROR(__xludf.DUMMYFUNCTION("IFERROR(INDEX( SORT(FILTER(
        {'1. DATA CHUNG'!$J$4:$J$105 , '1. DATA CHUNG'!$L$4:$L$105}, (TRIM('1. DATA CHUNG'!$I$4:$I$105)=TRIM(K326)) * IF(COUNTIFS('1. DATA CHUNG'!$I$4:$I$105,K326,'1. DATA CHUNG'!$M$4:$M$105,Q326), '1. DATA CHUNG'!$M$4:$M$105=Q"&amp;"326, 1) * ('1. DATA CHUNG'!$L$4:$L$105&lt;=TODAY()) ),   2, 0),  1, 1), 
  IFERROR( INDEX(FILTER('1. DATA CHUNG'!$J$4:$J$105, (TRIM('1. DATA CHUNG'!$I$4:$I$105)=TRIM(K326)) * IF(COUNTIFS('1. DATA CHUNG'!$I$4:$I$105,K326,'1. DATA CHUNG'!$M$4:$M$105,Q326), '1."&amp;" DATA CHUNG'!$M$4:$M$105=Q326, 1) * ('1. DATA CHUNG'!$L$4:$L$105="""")), 1), ""Không tìm thấy"" ))"),18.0)</f>
        <v>18</v>
      </c>
      <c r="AI326" s="273">
        <f t="shared" si="2"/>
        <v>46064</v>
      </c>
      <c r="AJ326" s="287"/>
      <c r="AK326" s="286">
        <f t="shared" si="3"/>
        <v>0</v>
      </c>
      <c r="AL326" s="287" t="str">
        <f t="shared" si="4"/>
        <v/>
      </c>
      <c r="AM326" s="287" t="str">
        <f t="shared" si="5"/>
        <v/>
      </c>
      <c r="AN326" s="279">
        <f t="shared" si="6"/>
        <v>11</v>
      </c>
      <c r="AO326" s="295" t="str">
        <f t="shared" si="7"/>
        <v>01/2026</v>
      </c>
      <c r="AP326" s="277" t="str">
        <f t="array" ref="AP326">IFERROR(XLOOKUP(L326,'2. DATA NL, VTBB'!C:C,'2. DATA NL, VTBB'!F:F),"")</f>
        <v>HH0247</v>
      </c>
      <c r="AQ326" s="277" t="str">
        <f t="array" ref="AQ326">IF(OR(K326="Nhãn", K326="Nhãn thùng",K326="Nhãn Túi"), K326 &amp; " " &amp; IFERROR(XLOOKUP(L326, '2. DATA NL, VTBB'!C:C, '2. DATA NL, VTBB'!E:E), ""), "")</f>
        <v/>
      </c>
      <c r="AR326" s="278" t="str">
        <f t="array" ref="AR326">IFERROR(XLOOKUP(L326,'2. DATA NL, VTBB'!C:C,'2. DATA NL, VTBB'!G:G),"")</f>
        <v>GC - II - 665 - Nông Lâm Hoà Phát - Humiix Us - 1kg - 25 ([btp],t)</v>
      </c>
      <c r="AS326" s="278" t="str">
        <f t="array" ref="AS326">IFERROR(XLOOKUP(L326,'2. DATA NL, VTBB'!C:C,'2. DATA NL, VTBB'!G:G),"")</f>
        <v>GC - II - 665 - Nông Lâm Hoà Phát - Humiix Us - 1kg - 25 ([btp],t)</v>
      </c>
      <c r="AT326" s="277"/>
    </row>
    <row r="327" ht="30.75" customHeight="1">
      <c r="A327" s="272">
        <f t="shared" si="44"/>
        <v>324</v>
      </c>
      <c r="B327" s="289">
        <v>46046.0</v>
      </c>
      <c r="C327" s="289">
        <v>46053.0</v>
      </c>
      <c r="D327" s="289">
        <v>46065.0</v>
      </c>
      <c r="E327" s="289">
        <v>46060.0</v>
      </c>
      <c r="F327" s="274" t="s">
        <v>561</v>
      </c>
      <c r="G327" s="275" t="s">
        <v>562</v>
      </c>
      <c r="H327" s="274" t="s">
        <v>304</v>
      </c>
      <c r="I327" s="275" t="s">
        <v>305</v>
      </c>
      <c r="J327" s="272" t="s">
        <v>1025</v>
      </c>
      <c r="K327" s="275" t="s">
        <v>301</v>
      </c>
      <c r="L327" s="277" t="s">
        <v>830</v>
      </c>
      <c r="M327" s="278" t="str">
        <f t="array" ref="M327">IFERROR(XLOOKUP(L327,'2. DATA NL, VTBB'!C:C,'2. DATA NL, VTBB'!D:D),"")</f>
        <v>Thùng IDA Chai HDPE/PAPE tròn cổ 43 250ml - (50x31x15cm) - Trắng xanh lá</v>
      </c>
      <c r="N327" s="280"/>
      <c r="O327" s="280" t="str">
        <f t="array" ref="O327">IFERROR( XLOOKUP(L327,'2. DATA NL, VTBB'!C:C,'2. DATA NL, VTBB'!E:E),"")</f>
        <v>JAVI VIL 50SC</v>
      </c>
      <c r="P327" s="275" t="s">
        <v>565</v>
      </c>
      <c r="Q327" s="311"/>
      <c r="R327" s="291" t="s">
        <v>573</v>
      </c>
      <c r="S327" s="280"/>
      <c r="T327" s="277"/>
      <c r="U327" s="277"/>
      <c r="V327" s="283">
        <v>300.0</v>
      </c>
      <c r="W327" s="275" t="s">
        <v>699</v>
      </c>
      <c r="X327" s="283">
        <v>300.0</v>
      </c>
      <c r="Y327" s="274">
        <v>300.0</v>
      </c>
      <c r="Z327" s="272">
        <v>15600.0</v>
      </c>
      <c r="AA327" s="285">
        <v>0.08</v>
      </c>
      <c r="AB327" s="282">
        <v>5054400.0</v>
      </c>
      <c r="AC327" s="277"/>
      <c r="AD327" s="289">
        <v>46046.0</v>
      </c>
      <c r="AE327" s="312"/>
      <c r="AF327" s="277"/>
      <c r="AG327" s="277"/>
      <c r="AH327" s="294">
        <f>IFERROR(__xludf.DUMMYFUNCTION("IFERROR(INDEX( SORT(FILTER(
        {'1. DATA CHUNG'!$J$4:$J$105 , '1. DATA CHUNG'!$L$4:$L$105}, (TRIM('1. DATA CHUNG'!$I$4:$I$105)=TRIM(K327)) * IF(COUNTIFS('1. DATA CHUNG'!$I$4:$I$105,K327,'1. DATA CHUNG'!$M$4:$M$105,Q327), '1. DATA CHUNG'!$M$4:$M$105=Q"&amp;"327, 1) * ('1. DATA CHUNG'!$L$4:$L$105&lt;=TODAY()) ),   2, 0),  1, 1), 
  IFERROR( INDEX(FILTER('1. DATA CHUNG'!$J$4:$J$105, (TRIM('1. DATA CHUNG'!$I$4:$I$105)=TRIM(K327)) * IF(COUNTIFS('1. DATA CHUNG'!$I$4:$I$105,K327,'1. DATA CHUNG'!$M$4:$M$105,Q327), '1."&amp;" DATA CHUNG'!$M$4:$M$105=Q327, 1) * ('1. DATA CHUNG'!$L$4:$L$105="""")), 1), ""Không tìm thấy"" ))"),18.0)</f>
        <v>18</v>
      </c>
      <c r="AI327" s="273">
        <f t="shared" si="2"/>
        <v>46064</v>
      </c>
      <c r="AJ327" s="287"/>
      <c r="AK327" s="286">
        <f t="shared" si="3"/>
        <v>0</v>
      </c>
      <c r="AL327" s="287">
        <f t="shared" si="4"/>
        <v>5</v>
      </c>
      <c r="AM327" s="287">
        <f t="shared" si="5"/>
        <v>4</v>
      </c>
      <c r="AN327" s="279">
        <f t="shared" si="6"/>
        <v>11</v>
      </c>
      <c r="AO327" s="295" t="str">
        <f t="shared" si="7"/>
        <v>01/2026</v>
      </c>
      <c r="AP327" s="277" t="str">
        <f t="array" ref="AP327">IFERROR(XLOOKUP(L327,'2. DATA NL, VTBB'!C:C,'2. DATA NL, VTBB'!F:F),"")</f>
        <v>HH0267</v>
      </c>
      <c r="AQ327" s="277" t="str">
        <f t="array" ref="AQ327">IF(OR(K327="Nhãn", K327="Nhãn thùng",K327="Nhãn Túi"), K327 &amp; " " &amp; IFERROR(XLOOKUP(L327, '2. DATA NL, VTBB'!C:C, '2. DATA NL, VTBB'!E:E), ""), "")</f>
        <v/>
      </c>
      <c r="AR327" s="278" t="str">
        <f t="array" ref="AR327">IFERROR(XLOOKUP(L327,'2. DATA NL, VTBB'!C:C,'2. DATA NL, VTBB'!G:G),"")</f>
        <v>LOT IDA Global - I - 686 - Javi vil 50SC (Chai HD) (BTP TRẮNG SỮA) - 1L - 20 ([btp] ,t)</v>
      </c>
      <c r="AS327" s="278" t="str">
        <f t="array" ref="AS327">IFERROR(XLOOKUP(L327,'2. DATA NL, VTBB'!C:C,'2. DATA NL, VTBB'!G:G),"")</f>
        <v>LOT IDA Global - I - 686 - Javi vil 50SC (Chai HD) (BTP TRẮNG SỮA) - 1L - 20 ([btp] ,t)</v>
      </c>
      <c r="AT327" s="277"/>
    </row>
    <row r="328" ht="30.75" customHeight="1">
      <c r="A328" s="272">
        <f t="shared" si="44"/>
        <v>325</v>
      </c>
      <c r="B328" s="289">
        <v>46046.0</v>
      </c>
      <c r="C328" s="273">
        <v>46047.0</v>
      </c>
      <c r="D328" s="289">
        <f t="shared" ref="D328:E328" si="66">B328+15</f>
        <v>46061</v>
      </c>
      <c r="E328" s="273">
        <f t="shared" si="66"/>
        <v>46062</v>
      </c>
      <c r="F328" s="274" t="s">
        <v>561</v>
      </c>
      <c r="G328" s="275" t="s">
        <v>580</v>
      </c>
      <c r="H328" s="274" t="s">
        <v>304</v>
      </c>
      <c r="I328" s="275" t="s">
        <v>744</v>
      </c>
      <c r="J328" s="272" t="s">
        <v>1026</v>
      </c>
      <c r="K328" s="275" t="s">
        <v>728</v>
      </c>
      <c r="L328" s="277" t="s">
        <v>1027</v>
      </c>
      <c r="M328" s="278" t="str">
        <f t="array" ref="M328">IFERROR(XLOOKUP(L328,'2. DATA NL, VTBB'!C:C,'2. DATA NL, VTBB'!D:D),"")</f>
        <v>Chai Pet tròn cao giả nhôm 250ml cổ 33 (35gr) Màu Vàng  Gold-  Nắp trắng, có cóc đong</v>
      </c>
      <c r="N328" s="280"/>
      <c r="O328" s="280" t="str">
        <f t="array" ref="O328">IFERROR( XLOOKUP(L328,'2. DATA NL, VTBB'!C:C,'2. DATA NL, VTBB'!E:E),"")</f>
        <v>Remy 19EC</v>
      </c>
      <c r="P328" s="275" t="s">
        <v>565</v>
      </c>
      <c r="Q328" s="311"/>
      <c r="R328" s="291" t="s">
        <v>584</v>
      </c>
      <c r="S328" s="280"/>
      <c r="T328" s="277"/>
      <c r="U328" s="277"/>
      <c r="V328" s="283">
        <v>1000.0</v>
      </c>
      <c r="W328" s="275" t="s">
        <v>699</v>
      </c>
      <c r="X328" s="283">
        <v>1000.0</v>
      </c>
      <c r="Y328" s="274">
        <v>1000.0</v>
      </c>
      <c r="Z328" s="272">
        <v>3010.0</v>
      </c>
      <c r="AA328" s="285">
        <v>0.08</v>
      </c>
      <c r="AB328" s="282">
        <v>3250800.0</v>
      </c>
      <c r="AC328" s="277"/>
      <c r="AD328" s="289">
        <v>46046.0</v>
      </c>
      <c r="AE328" s="312"/>
      <c r="AF328" s="277"/>
      <c r="AG328" s="277"/>
      <c r="AH328" s="294">
        <f>IFERROR(__xludf.DUMMYFUNCTION("IFERROR(INDEX( SORT(FILTER(
        {'1. DATA CHUNG'!$J$4:$J$105 , '1. DATA CHUNG'!$L$4:$L$105}, (TRIM('1. DATA CHUNG'!$I$4:$I$105)=TRIM(K328)) * IF(COUNTIFS('1. DATA CHUNG'!$I$4:$I$105,K328,'1. DATA CHUNG'!$M$4:$M$105,Q328), '1. DATA CHUNG'!$M$4:$M$105=Q"&amp;"328, 1) * ('1. DATA CHUNG'!$L$4:$L$105&lt;=TODAY()) ),   2, 0),  1, 1), 
  IFERROR( INDEX(FILTER('1. DATA CHUNG'!$J$4:$J$105, (TRIM('1. DATA CHUNG'!$I$4:$I$105)=TRIM(K328)) * IF(COUNTIFS('1. DATA CHUNG'!$I$4:$I$105,K328,'1. DATA CHUNG'!$M$4:$M$105,Q328), '1."&amp;" DATA CHUNG'!$M$4:$M$105=Q328, 1) * ('1. DATA CHUNG'!$L$4:$L$105="""")), 1), ""Không tìm thấy"" ))"),7.0)</f>
        <v>7</v>
      </c>
      <c r="AI328" s="273">
        <f t="shared" si="2"/>
        <v>46053</v>
      </c>
      <c r="AJ328" s="287"/>
      <c r="AK328" s="286">
        <f t="shared" si="3"/>
        <v>0</v>
      </c>
      <c r="AL328" s="287">
        <f t="shared" si="4"/>
        <v>-1</v>
      </c>
      <c r="AM328" s="287">
        <f t="shared" si="5"/>
        <v>-9</v>
      </c>
      <c r="AN328" s="279">
        <f t="shared" si="6"/>
        <v>6</v>
      </c>
      <c r="AO328" s="295" t="str">
        <f t="shared" si="7"/>
        <v>01/2026</v>
      </c>
      <c r="AP328" s="277" t="str">
        <f t="array" ref="AP328">IFERROR(XLOOKUP(L328,'2. DATA NL, VTBB'!C:C,'2. DATA NL, VTBB'!F:F),"")</f>
        <v>HH0132</v>
      </c>
      <c r="AQ328" s="277" t="str">
        <f t="array" ref="AQ328">IF(OR(K328="Nhãn", K328="Nhãn thùng",K328="Nhãn Túi"), K328 &amp; " " &amp; IFERROR(XLOOKUP(L328, '2. DATA NL, VTBB'!C:C, '2. DATA NL, VTBB'!E:E), ""), "")</f>
        <v/>
      </c>
      <c r="AR328" s="278" t="str">
        <f t="array" ref="AR328">IFERROR(XLOOKUP(L328,'2. DATA NL, VTBB'!C:C,'2. DATA NL, VTBB'!G:G),"")</f>
        <v>GC - II - 702 - Giang Tây - Remy 19EC (chai tròn) - 450ml - 40</v>
      </c>
      <c r="AS328" s="278" t="str">
        <f t="array" ref="AS328">IFERROR(XLOOKUP(L328,'2. DATA NL, VTBB'!C:C,'2. DATA NL, VTBB'!G:G),"")</f>
        <v>GC - II - 702 - Giang Tây - Remy 19EC (chai tròn) - 450ml - 40</v>
      </c>
      <c r="AT328" s="277"/>
    </row>
    <row r="329" ht="30.75" customHeight="1">
      <c r="A329" s="272">
        <f t="shared" si="44"/>
        <v>326</v>
      </c>
      <c r="B329" s="289">
        <v>46046.0</v>
      </c>
      <c r="C329" s="273">
        <v>46047.0</v>
      </c>
      <c r="D329" s="289">
        <f t="shared" ref="D329:E329" si="67">B329+15</f>
        <v>46061</v>
      </c>
      <c r="E329" s="273">
        <f t="shared" si="67"/>
        <v>46062</v>
      </c>
      <c r="F329" s="274" t="s">
        <v>561</v>
      </c>
      <c r="G329" s="275" t="s">
        <v>580</v>
      </c>
      <c r="H329" s="274" t="s">
        <v>304</v>
      </c>
      <c r="I329" s="275" t="s">
        <v>744</v>
      </c>
      <c r="J329" s="272" t="s">
        <v>1026</v>
      </c>
      <c r="K329" s="275" t="s">
        <v>730</v>
      </c>
      <c r="L329" s="277" t="s">
        <v>966</v>
      </c>
      <c r="M329" s="278" t="str">
        <f t="array" ref="M329">IFERROR(XLOOKUP(L329,'2. DATA NL, VTBB'!C:C,'2. DATA NL, VTBB'!D:D),"")</f>
        <v>Nắp PET cổ 33 (7.5g) - Màu Trắng</v>
      </c>
      <c r="N329" s="280"/>
      <c r="O329" s="280" t="str">
        <f t="array" ref="O329">IFERROR( XLOOKUP(L329,'2. DATA NL, VTBB'!C:C,'2. DATA NL, VTBB'!E:E),"")</f>
        <v>IMIPRID 10WP</v>
      </c>
      <c r="P329" s="275" t="s">
        <v>565</v>
      </c>
      <c r="Q329" s="311"/>
      <c r="R329" s="291" t="s">
        <v>584</v>
      </c>
      <c r="S329" s="280"/>
      <c r="T329" s="277"/>
      <c r="U329" s="277"/>
      <c r="V329" s="283">
        <v>1000.0</v>
      </c>
      <c r="W329" s="275" t="s">
        <v>699</v>
      </c>
      <c r="X329" s="283">
        <v>1000.0</v>
      </c>
      <c r="Y329" s="274">
        <v>1000.0</v>
      </c>
      <c r="Z329" s="272">
        <v>500.0</v>
      </c>
      <c r="AA329" s="285">
        <v>0.08</v>
      </c>
      <c r="AB329" s="282">
        <v>540000.0</v>
      </c>
      <c r="AC329" s="277"/>
      <c r="AD329" s="289">
        <v>46046.0</v>
      </c>
      <c r="AE329" s="312"/>
      <c r="AF329" s="277"/>
      <c r="AG329" s="277"/>
      <c r="AH329" s="294">
        <f>IFERROR(__xludf.DUMMYFUNCTION("IFERROR(INDEX( SORT(FILTER(
        {'1. DATA CHUNG'!$J$4:$J$105 , '1. DATA CHUNG'!$L$4:$L$105}, (TRIM('1. DATA CHUNG'!$I$4:$I$105)=TRIM(K329)) * IF(COUNTIFS('1. DATA CHUNG'!$I$4:$I$105,K329,'1. DATA CHUNG'!$M$4:$M$105,Q329), '1. DATA CHUNG'!$M$4:$M$105=Q"&amp;"329, 1) * ('1. DATA CHUNG'!$L$4:$L$105&lt;=TODAY()) ),   2, 0),  1, 1), 
  IFERROR( INDEX(FILTER('1. DATA CHUNG'!$J$4:$J$105, (TRIM('1. DATA CHUNG'!$I$4:$I$105)=TRIM(K329)) * IF(COUNTIFS('1. DATA CHUNG'!$I$4:$I$105,K329,'1. DATA CHUNG'!$M$4:$M$105,Q329), '1."&amp;" DATA CHUNG'!$M$4:$M$105=Q329, 1) * ('1. DATA CHUNG'!$L$4:$L$105="""")), 1), ""Không tìm thấy"" ))"),7.0)</f>
        <v>7</v>
      </c>
      <c r="AI329" s="273">
        <f t="shared" si="2"/>
        <v>46053</v>
      </c>
      <c r="AJ329" s="287"/>
      <c r="AK329" s="286">
        <f t="shared" si="3"/>
        <v>0</v>
      </c>
      <c r="AL329" s="287">
        <f t="shared" si="4"/>
        <v>-1</v>
      </c>
      <c r="AM329" s="287">
        <f t="shared" si="5"/>
        <v>-9</v>
      </c>
      <c r="AN329" s="279">
        <f t="shared" si="6"/>
        <v>6</v>
      </c>
      <c r="AO329" s="295" t="str">
        <f t="shared" si="7"/>
        <v>01/2026</v>
      </c>
      <c r="AP329" s="277" t="str">
        <f t="array" ref="AP329">IFERROR(XLOOKUP(L329,'2. DATA NL, VTBB'!C:C,'2. DATA NL, VTBB'!F:F),"")</f>
        <v>HH0162</v>
      </c>
      <c r="AQ329" s="277" t="str">
        <f t="array" ref="AQ329">IF(OR(K329="Nhãn", K329="Nhãn thùng",K329="Nhãn Túi"), K329 &amp; " " &amp; IFERROR(XLOOKUP(L329, '2. DATA NL, VTBB'!C:C, '2. DATA NL, VTBB'!E:E), ""), "")</f>
        <v/>
      </c>
      <c r="AR329" s="278" t="str">
        <f t="array" ref="AR329">IFERROR(XLOOKUP(L329,'2. DATA NL, VTBB'!C:C,'2. DATA NL, VTBB'!G:G),"")</f>
        <v>GC - IV - 888 - Huy Phát - BI Pro Max - 100gr - 150</v>
      </c>
      <c r="AS329" s="278" t="str">
        <f t="array" ref="AS329">IFERROR(XLOOKUP(L329,'2. DATA NL, VTBB'!C:C,'2. DATA NL, VTBB'!G:G),"")</f>
        <v>GC - IV - 888 - Huy Phát - BI Pro Max - 100gr - 150</v>
      </c>
      <c r="AT329" s="277"/>
    </row>
    <row r="330" ht="30.75" customHeight="1">
      <c r="A330" s="272">
        <f t="shared" si="44"/>
        <v>327</v>
      </c>
      <c r="B330" s="289">
        <v>46046.0</v>
      </c>
      <c r="C330" s="273">
        <v>46047.0</v>
      </c>
      <c r="D330" s="289">
        <f t="shared" ref="D330:E330" si="68">B330+15</f>
        <v>46061</v>
      </c>
      <c r="E330" s="273">
        <f t="shared" si="68"/>
        <v>46062</v>
      </c>
      <c r="F330" s="274" t="s">
        <v>561</v>
      </c>
      <c r="G330" s="275" t="s">
        <v>580</v>
      </c>
      <c r="H330" s="274" t="s">
        <v>304</v>
      </c>
      <c r="I330" s="275" t="s">
        <v>744</v>
      </c>
      <c r="J330" s="272" t="s">
        <v>1026</v>
      </c>
      <c r="K330" s="275" t="s">
        <v>732</v>
      </c>
      <c r="L330" s="277" t="s">
        <v>967</v>
      </c>
      <c r="M330" s="278" t="str">
        <f t="array" ref="M330">IFERROR(XLOOKUP(L330,'2. DATA NL, VTBB'!C:C,'2. DATA NL, VTBB'!D:D),"")</f>
        <v>Cốc đong cổ 33 20ml - Trắng trong</v>
      </c>
      <c r="N330" s="280"/>
      <c r="O330" s="280" t="str">
        <f t="array" ref="O330">IFERROR( XLOOKUP(L330,'2. DATA NL, VTBB'!C:C,'2. DATA NL, VTBB'!E:E),"")</f>
        <v>Remy 19EC</v>
      </c>
      <c r="P330" s="275" t="s">
        <v>565</v>
      </c>
      <c r="Q330" s="311"/>
      <c r="R330" s="291" t="s">
        <v>584</v>
      </c>
      <c r="S330" s="280"/>
      <c r="T330" s="277"/>
      <c r="U330" s="277"/>
      <c r="V330" s="283">
        <v>1000.0</v>
      </c>
      <c r="W330" s="275" t="s">
        <v>699</v>
      </c>
      <c r="X330" s="283">
        <v>1000.0</v>
      </c>
      <c r="Y330" s="274">
        <v>1000.0</v>
      </c>
      <c r="Z330" s="272">
        <v>300.0</v>
      </c>
      <c r="AA330" s="285">
        <v>0.08</v>
      </c>
      <c r="AB330" s="282">
        <v>324000.0</v>
      </c>
      <c r="AC330" s="277"/>
      <c r="AD330" s="289">
        <v>46046.0</v>
      </c>
      <c r="AE330" s="312"/>
      <c r="AF330" s="277"/>
      <c r="AG330" s="277"/>
      <c r="AH330" s="294">
        <f>IFERROR(__xludf.DUMMYFUNCTION("IFERROR(INDEX( SORT(FILTER(
        {'1. DATA CHUNG'!$J$4:$J$105 , '1. DATA CHUNG'!$L$4:$L$105}, (TRIM('1. DATA CHUNG'!$I$4:$I$105)=TRIM(K330)) * IF(COUNTIFS('1. DATA CHUNG'!$I$4:$I$105,K330,'1. DATA CHUNG'!$M$4:$M$105,Q330), '1. DATA CHUNG'!$M$4:$M$105=Q"&amp;"330, 1) * ('1. DATA CHUNG'!$L$4:$L$105&lt;=TODAY()) ),   2, 0),  1, 1), 
  IFERROR( INDEX(FILTER('1. DATA CHUNG'!$J$4:$J$105, (TRIM('1. DATA CHUNG'!$I$4:$I$105)=TRIM(K330)) * IF(COUNTIFS('1. DATA CHUNG'!$I$4:$I$105,K330,'1. DATA CHUNG'!$M$4:$M$105,Q330), '1."&amp;" DATA CHUNG'!$M$4:$M$105=Q330, 1) * ('1. DATA CHUNG'!$L$4:$L$105="""")), 1), ""Không tìm thấy"" ))"),7.0)</f>
        <v>7</v>
      </c>
      <c r="AI330" s="273">
        <f t="shared" si="2"/>
        <v>46053</v>
      </c>
      <c r="AJ330" s="287"/>
      <c r="AK330" s="286">
        <f t="shared" si="3"/>
        <v>0</v>
      </c>
      <c r="AL330" s="287">
        <f t="shared" si="4"/>
        <v>-1</v>
      </c>
      <c r="AM330" s="287">
        <f t="shared" si="5"/>
        <v>-9</v>
      </c>
      <c r="AN330" s="279">
        <f t="shared" si="6"/>
        <v>6</v>
      </c>
      <c r="AO330" s="295" t="str">
        <f t="shared" si="7"/>
        <v>01/2026</v>
      </c>
      <c r="AP330" s="277" t="str">
        <f t="array" ref="AP330">IFERROR(XLOOKUP(L330,'2. DATA NL, VTBB'!C:C,'2. DATA NL, VTBB'!F:F),"")</f>
        <v>HH0007</v>
      </c>
      <c r="AQ330" s="277" t="str">
        <f t="array" ref="AQ330">IF(OR(K330="Nhãn", K330="Nhãn thùng",K330="Nhãn Túi"), K330 &amp; " " &amp; IFERROR(XLOOKUP(L330, '2. DATA NL, VTBB'!C:C, '2. DATA NL, VTBB'!E:E), ""), "")</f>
        <v/>
      </c>
      <c r="AR330" s="278" t="str">
        <f t="array" ref="AR330">IFERROR(XLOOKUP(L330,'2. DATA NL, VTBB'!C:C,'2. DATA NL, VTBB'!G:G),"")</f>
        <v>GC - IV - 850 - Huy Phát - Hufatin (PET vuông) - 450ml - 40</v>
      </c>
      <c r="AS330" s="278" t="str">
        <f t="array" ref="AS330">IFERROR(XLOOKUP(L330,'2. DATA NL, VTBB'!C:C,'2. DATA NL, VTBB'!G:G),"")</f>
        <v>GC - IV - 850 - Huy Phát - Hufatin (PET vuông) - 450ml - 40</v>
      </c>
      <c r="AT330" s="277"/>
    </row>
    <row r="331" ht="30.75" customHeight="1">
      <c r="A331" s="272">
        <f t="shared" si="44"/>
        <v>328</v>
      </c>
      <c r="B331" s="289">
        <v>46048.0</v>
      </c>
      <c r="C331" s="273">
        <v>46055.0</v>
      </c>
      <c r="D331" s="289">
        <f t="shared" ref="D331:D332" si="69">B331+15</f>
        <v>46063</v>
      </c>
      <c r="E331" s="289">
        <v>46049.0</v>
      </c>
      <c r="F331" s="274" t="s">
        <v>561</v>
      </c>
      <c r="G331" s="275" t="s">
        <v>562</v>
      </c>
      <c r="H331" s="274" t="s">
        <v>304</v>
      </c>
      <c r="I331" s="275" t="s">
        <v>744</v>
      </c>
      <c r="J331" s="272" t="s">
        <v>1028</v>
      </c>
      <c r="K331" s="275" t="s">
        <v>728</v>
      </c>
      <c r="L331" s="277" t="s">
        <v>1029</v>
      </c>
      <c r="M331" s="278" t="str">
        <f t="array" ref="M331">IFERROR(XLOOKUP(L331,'2. DATA NL, VTBB'!C:C,'2. DATA NL, VTBB'!D:D),"")</f>
        <v>Chai PET 250ml cổ 33 tam giác (35g) - Trắng</v>
      </c>
      <c r="N331" s="280"/>
      <c r="O331" s="280" t="str">
        <f t="array" ref="O331">IFERROR( XLOOKUP(L331,'2. DATA NL, VTBB'!C:C,'2. DATA NL, VTBB'!E:E),"")</f>
        <v>Vi lượng Basel IDA 50</v>
      </c>
      <c r="P331" s="275" t="s">
        <v>565</v>
      </c>
      <c r="Q331" s="311"/>
      <c r="R331" s="291" t="s">
        <v>584</v>
      </c>
      <c r="S331" s="280"/>
      <c r="T331" s="277"/>
      <c r="U331" s="277"/>
      <c r="V331" s="283">
        <v>5000.0</v>
      </c>
      <c r="W331" s="275" t="s">
        <v>699</v>
      </c>
      <c r="X331" s="283">
        <v>5000.0</v>
      </c>
      <c r="Y331" s="274">
        <v>5000.0</v>
      </c>
      <c r="Z331" s="272">
        <v>2010.0</v>
      </c>
      <c r="AA331" s="285">
        <v>0.08</v>
      </c>
      <c r="AB331" s="282">
        <v>1.0854E7</v>
      </c>
      <c r="AC331" s="277"/>
      <c r="AD331" s="289">
        <v>46048.0</v>
      </c>
      <c r="AE331" s="312"/>
      <c r="AF331" s="277"/>
      <c r="AG331" s="277"/>
      <c r="AH331" s="294">
        <f>IFERROR(__xludf.DUMMYFUNCTION("IFERROR(INDEX( SORT(FILTER(
        {'1. DATA CHUNG'!$J$4:$J$105 , '1. DATA CHUNG'!$L$4:$L$105}, (TRIM('1. DATA CHUNG'!$I$4:$I$105)=TRIM(K331)) * IF(COUNTIFS('1. DATA CHUNG'!$I$4:$I$105,K331,'1. DATA CHUNG'!$M$4:$M$105,Q331), '1. DATA CHUNG'!$M$4:$M$105=Q"&amp;"331, 1) * ('1. DATA CHUNG'!$L$4:$L$105&lt;=TODAY()) ),   2, 0),  1, 1), 
  IFERROR( INDEX(FILTER('1. DATA CHUNG'!$J$4:$J$105, (TRIM('1. DATA CHUNG'!$I$4:$I$105)=TRIM(K331)) * IF(COUNTIFS('1. DATA CHUNG'!$I$4:$I$105,K331,'1. DATA CHUNG'!$M$4:$M$105,Q331), '1."&amp;" DATA CHUNG'!$M$4:$M$105=Q331, 1) * ('1. DATA CHUNG'!$L$4:$L$105="""")), 1), ""Không tìm thấy"" ))"),7.0)</f>
        <v>7</v>
      </c>
      <c r="AI331" s="273">
        <f t="shared" si="2"/>
        <v>46055</v>
      </c>
      <c r="AJ331" s="287"/>
      <c r="AK331" s="286">
        <f t="shared" si="3"/>
        <v>0</v>
      </c>
      <c r="AL331" s="287">
        <f t="shared" si="4"/>
        <v>14</v>
      </c>
      <c r="AM331" s="287">
        <f t="shared" si="5"/>
        <v>6</v>
      </c>
      <c r="AN331" s="279">
        <f t="shared" si="6"/>
        <v>0</v>
      </c>
      <c r="AO331" s="295" t="str">
        <f t="shared" si="7"/>
        <v>01/2026</v>
      </c>
      <c r="AP331" s="277" t="str">
        <f t="array" ref="AP331">IFERROR(XLOOKUP(L331,'2. DATA NL, VTBB'!C:C,'2. DATA NL, VTBB'!F:F),"")</f>
        <v>HH0232</v>
      </c>
      <c r="AQ331" s="277" t="str">
        <f t="array" ref="AQ331">IF(OR(K331="Nhãn", K331="Nhãn thùng",K331="Nhãn Túi"), K331 &amp; " " &amp; IFERROR(XLOOKUP(L331, '2. DATA NL, VTBB'!C:C, '2. DATA NL, VTBB'!E:E), ""), "")</f>
        <v/>
      </c>
      <c r="AR331" s="278" t="str">
        <f t="array" ref="AR331">IFERROR(XLOOKUP(L331,'2. DATA NL, VTBB'!C:C,'2. DATA NL, VTBB'!G:G),"")</f>
        <v>IDA Global - I - 873 - Chito - M55 (drone vàng) - 500ml - 40</v>
      </c>
      <c r="AS331" s="278" t="str">
        <f t="array" ref="AS331">IFERROR(XLOOKUP(L331,'2. DATA NL, VTBB'!C:C,'2. DATA NL, VTBB'!G:G),"")</f>
        <v>IDA Global - I - 873 - Chito - M55 (drone vàng) - 500ml - 40</v>
      </c>
      <c r="AT331" s="277"/>
    </row>
    <row r="332" ht="30.75" customHeight="1">
      <c r="A332" s="272">
        <f t="shared" si="44"/>
        <v>329</v>
      </c>
      <c r="B332" s="289">
        <v>46048.0</v>
      </c>
      <c r="C332" s="273">
        <v>46055.0</v>
      </c>
      <c r="D332" s="289">
        <f t="shared" si="69"/>
        <v>46063</v>
      </c>
      <c r="E332" s="289">
        <v>46049.0</v>
      </c>
      <c r="F332" s="274" t="s">
        <v>561</v>
      </c>
      <c r="G332" s="275" t="s">
        <v>562</v>
      </c>
      <c r="H332" s="274" t="s">
        <v>304</v>
      </c>
      <c r="I332" s="275" t="s">
        <v>744</v>
      </c>
      <c r="J332" s="272" t="s">
        <v>1028</v>
      </c>
      <c r="K332" s="275" t="s">
        <v>730</v>
      </c>
      <c r="L332" s="277" t="s">
        <v>1030</v>
      </c>
      <c r="M332" s="278" t="str">
        <f t="array" ref="M332">IFERROR(XLOOKUP(L332,'2. DATA NL, VTBB'!C:C,'2. DATA NL, VTBB'!D:D),"")</f>
        <v>Nắp PET cổ 33 (7.5g) - Màu bạc</v>
      </c>
      <c r="N332" s="280"/>
      <c r="O332" s="280" t="str">
        <f t="array" ref="O332">IFERROR( XLOOKUP(L332,'2. DATA NL, VTBB'!C:C,'2. DATA NL, VTBB'!E:E),"")</f>
        <v>Chitin 3.6EC</v>
      </c>
      <c r="P332" s="275" t="s">
        <v>565</v>
      </c>
      <c r="Q332" s="311"/>
      <c r="R332" s="291" t="s">
        <v>584</v>
      </c>
      <c r="S332" s="280"/>
      <c r="T332" s="277"/>
      <c r="U332" s="277"/>
      <c r="V332" s="283">
        <v>5000.0</v>
      </c>
      <c r="W332" s="275" t="s">
        <v>699</v>
      </c>
      <c r="X332" s="283">
        <v>5000.0</v>
      </c>
      <c r="Y332" s="274">
        <v>5000.0</v>
      </c>
      <c r="Z332" s="272">
        <v>500.0</v>
      </c>
      <c r="AA332" s="285">
        <v>0.08</v>
      </c>
      <c r="AB332" s="282">
        <v>2700000.0</v>
      </c>
      <c r="AC332" s="277"/>
      <c r="AD332" s="289">
        <v>46048.0</v>
      </c>
      <c r="AE332" s="312"/>
      <c r="AF332" s="277"/>
      <c r="AG332" s="277"/>
      <c r="AH332" s="294">
        <f>IFERROR(__xludf.DUMMYFUNCTION("IFERROR(INDEX( SORT(FILTER(
        {'1. DATA CHUNG'!$J$4:$J$105 , '1. DATA CHUNG'!$L$4:$L$105}, (TRIM('1. DATA CHUNG'!$I$4:$I$105)=TRIM(K332)) * IF(COUNTIFS('1. DATA CHUNG'!$I$4:$I$105,K332,'1. DATA CHUNG'!$M$4:$M$105,Q332), '1. DATA CHUNG'!$M$4:$M$105=Q"&amp;"332, 1) * ('1. DATA CHUNG'!$L$4:$L$105&lt;=TODAY()) ),   2, 0),  1, 1), 
  IFERROR( INDEX(FILTER('1. DATA CHUNG'!$J$4:$J$105, (TRIM('1. DATA CHUNG'!$I$4:$I$105)=TRIM(K332)) * IF(COUNTIFS('1. DATA CHUNG'!$I$4:$I$105,K332,'1. DATA CHUNG'!$M$4:$M$105,Q332), '1."&amp;" DATA CHUNG'!$M$4:$M$105=Q332, 1) * ('1. DATA CHUNG'!$L$4:$L$105="""")), 1), ""Không tìm thấy"" ))"),7.0)</f>
        <v>7</v>
      </c>
      <c r="AI332" s="273">
        <f t="shared" si="2"/>
        <v>46055</v>
      </c>
      <c r="AJ332" s="287"/>
      <c r="AK332" s="286">
        <f t="shared" si="3"/>
        <v>0</v>
      </c>
      <c r="AL332" s="287">
        <f t="shared" si="4"/>
        <v>14</v>
      </c>
      <c r="AM332" s="287">
        <f t="shared" si="5"/>
        <v>6</v>
      </c>
      <c r="AN332" s="279">
        <f t="shared" si="6"/>
        <v>0</v>
      </c>
      <c r="AO332" s="295" t="str">
        <f t="shared" si="7"/>
        <v>01/2026</v>
      </c>
      <c r="AP332" s="277" t="str">
        <f t="array" ref="AP332">IFERROR(XLOOKUP(L332,'2. DATA NL, VTBB'!C:C,'2. DATA NL, VTBB'!F:F),"")</f>
        <v>HH0154</v>
      </c>
      <c r="AQ332" s="277" t="str">
        <f t="array" ref="AQ332">IF(OR(K332="Nhãn", K332="Nhãn thùng",K332="Nhãn Túi"), K332 &amp; " " &amp; IFERROR(XLOOKUP(L332, '2. DATA NL, VTBB'!C:C, '2. DATA NL, VTBB'!E:E), ""), "")</f>
        <v/>
      </c>
      <c r="AR332" s="278" t="str">
        <f t="array" ref="AR332">IFERROR(XLOOKUP(L332,'2. DATA NL, VTBB'!C:C,'2. DATA NL, VTBB'!G:G),"")</f>
        <v>LOT IDA Global - I - 874 - ĐL Dũng Oanh - Avermectin 36 (Pet tròn) (nắp trắng)(nước nâu đen) - 450ml - 40</v>
      </c>
      <c r="AS332" s="278" t="str">
        <f t="array" ref="AS332">IFERROR(XLOOKUP(L332,'2. DATA NL, VTBB'!C:C,'2. DATA NL, VTBB'!G:G),"")</f>
        <v>LOT IDA Global - I - 874 - ĐL Dũng Oanh - Avermectin 36 (Pet tròn) (nắp trắng)(nước nâu đen) - 450ml - 40</v>
      </c>
      <c r="AT332" s="277"/>
    </row>
    <row r="333" ht="30.75" customHeight="1">
      <c r="A333" s="272">
        <f t="shared" si="44"/>
        <v>330</v>
      </c>
      <c r="B333" s="289">
        <v>46048.0</v>
      </c>
      <c r="C333" s="273">
        <v>46055.0</v>
      </c>
      <c r="D333" s="289">
        <v>46060.0</v>
      </c>
      <c r="E333" s="289">
        <v>46050.0</v>
      </c>
      <c r="F333" s="274" t="s">
        <v>561</v>
      </c>
      <c r="G333" s="275" t="s">
        <v>562</v>
      </c>
      <c r="H333" s="274" t="s">
        <v>304</v>
      </c>
      <c r="I333" s="275" t="s">
        <v>744</v>
      </c>
      <c r="J333" s="272" t="s">
        <v>1031</v>
      </c>
      <c r="K333" s="275" t="s">
        <v>728</v>
      </c>
      <c r="L333" s="277" t="s">
        <v>1032</v>
      </c>
      <c r="M333" s="278" t="str">
        <f t="array" ref="M333">IFERROR(XLOOKUP(L333,'2. DATA NL, VTBB'!C:C,'2. DATA NL, VTBB'!D:D),"")</f>
        <v>Chai HDPE tròn cổ 43 450ml-500ml (60gr) logo IDA màu vàng</v>
      </c>
      <c r="N333" s="280"/>
      <c r="O333" s="280" t="str">
        <f t="array" ref="O333">IFERROR( XLOOKUP(L333,'2. DATA NL, VTBB'!C:C,'2. DATA NL, VTBB'!E:E),"")</f>
        <v>Vi lượng AV-CFC Plus</v>
      </c>
      <c r="P333" s="275" t="s">
        <v>565</v>
      </c>
      <c r="Q333" s="311"/>
      <c r="R333" s="290" t="s">
        <v>566</v>
      </c>
      <c r="S333" s="280"/>
      <c r="T333" s="277"/>
      <c r="U333" s="277"/>
      <c r="V333" s="283">
        <v>5000.0</v>
      </c>
      <c r="W333" s="275" t="s">
        <v>699</v>
      </c>
      <c r="X333" s="283">
        <v>5000.0</v>
      </c>
      <c r="Y333" s="274">
        <v>5000.0</v>
      </c>
      <c r="Z333" s="272">
        <v>3300.0</v>
      </c>
      <c r="AA333" s="285">
        <v>0.08</v>
      </c>
      <c r="AB333" s="282">
        <v>1.782E7</v>
      </c>
      <c r="AC333" s="277"/>
      <c r="AD333" s="289">
        <v>46048.0</v>
      </c>
      <c r="AE333" s="312"/>
      <c r="AF333" s="277"/>
      <c r="AG333" s="277"/>
      <c r="AH333" s="294">
        <f>IFERROR(__xludf.DUMMYFUNCTION("IFERROR(INDEX( SORT(FILTER(
        {'1. DATA CHUNG'!$J$4:$J$105 , '1. DATA CHUNG'!$L$4:$L$105}, (TRIM('1. DATA CHUNG'!$I$4:$I$105)=TRIM(K333)) * IF(COUNTIFS('1. DATA CHUNG'!$I$4:$I$105,K333,'1. DATA CHUNG'!$M$4:$M$105,Q333), '1. DATA CHUNG'!$M$4:$M$105=Q"&amp;"333, 1) * ('1. DATA CHUNG'!$L$4:$L$105&lt;=TODAY()) ),   2, 0),  1, 1), 
  IFERROR( INDEX(FILTER('1. DATA CHUNG'!$J$4:$J$105, (TRIM('1. DATA CHUNG'!$I$4:$I$105)=TRIM(K333)) * IF(COUNTIFS('1. DATA CHUNG'!$I$4:$I$105,K333,'1. DATA CHUNG'!$M$4:$M$105,Q333), '1."&amp;" DATA CHUNG'!$M$4:$M$105=Q333, 1) * ('1. DATA CHUNG'!$L$4:$L$105="""")), 1), ""Không tìm thấy"" ))"),7.0)</f>
        <v>7</v>
      </c>
      <c r="AI333" s="273">
        <f t="shared" si="2"/>
        <v>46055</v>
      </c>
      <c r="AJ333" s="287"/>
      <c r="AK333" s="286">
        <f t="shared" si="3"/>
        <v>0</v>
      </c>
      <c r="AL333" s="287">
        <f t="shared" si="4"/>
        <v>10</v>
      </c>
      <c r="AM333" s="287">
        <f t="shared" si="5"/>
        <v>5</v>
      </c>
      <c r="AN333" s="279">
        <f t="shared" si="6"/>
        <v>0</v>
      </c>
      <c r="AO333" s="295" t="str">
        <f t="shared" si="7"/>
        <v>01/2026</v>
      </c>
      <c r="AP333" s="277" t="str">
        <f t="array" ref="AP333">IFERROR(XLOOKUP(L333,'2. DATA NL, VTBB'!C:C,'2. DATA NL, VTBB'!F:F),"")</f>
        <v>HH0032</v>
      </c>
      <c r="AQ333" s="277" t="str">
        <f t="array" ref="AQ333">IF(OR(K333="Nhãn", K333="Nhãn thùng",K333="Nhãn Túi"), K333 &amp; " " &amp; IFERROR(XLOOKUP(L333, '2. DATA NL, VTBB'!C:C, '2. DATA NL, VTBB'!E:E), ""), "")</f>
        <v/>
      </c>
      <c r="AR333" s="278" t="str">
        <f t="array" ref="AR333">IFERROR(XLOOKUP(L333,'2. DATA NL, VTBB'!C:C,'2. DATA NL, VTBB'!G:G),"")</f>
        <v>GC - II - 407 - Agriplant - Bio Dưỡng Cây - Mập Chồi - 50ml - 200</v>
      </c>
      <c r="AS333" s="278" t="str">
        <f t="array" ref="AS333">IFERROR(XLOOKUP(L333,'2. DATA NL, VTBB'!C:C,'2. DATA NL, VTBB'!G:G),"")</f>
        <v>GC - II - 407 - Agriplant - Bio Dưỡng Cây - Mập Chồi - 50ml - 200</v>
      </c>
      <c r="AT333" s="277"/>
    </row>
    <row r="334" ht="30.75" customHeight="1">
      <c r="A334" s="272">
        <f t="shared" si="44"/>
        <v>331</v>
      </c>
      <c r="B334" s="289">
        <v>46048.0</v>
      </c>
      <c r="C334" s="273">
        <v>46055.0</v>
      </c>
      <c r="D334" s="289">
        <v>46060.0</v>
      </c>
      <c r="E334" s="289">
        <v>46050.0</v>
      </c>
      <c r="F334" s="274" t="s">
        <v>561</v>
      </c>
      <c r="G334" s="275" t="s">
        <v>562</v>
      </c>
      <c r="H334" s="274" t="s">
        <v>304</v>
      </c>
      <c r="I334" s="275" t="s">
        <v>744</v>
      </c>
      <c r="J334" s="272" t="s">
        <v>1031</v>
      </c>
      <c r="K334" s="275" t="s">
        <v>730</v>
      </c>
      <c r="L334" s="277" t="s">
        <v>1033</v>
      </c>
      <c r="M334" s="278" t="str">
        <f t="array" ref="M334">IFERROR(XLOOKUP(L334,'2. DATA NL, VTBB'!C:C,'2. DATA NL, VTBB'!D:D),"")</f>
        <v>Nắp HDPE cổ 43 (10gr) logo IDA màu vàng</v>
      </c>
      <c r="N334" s="280"/>
      <c r="O334" s="280" t="str">
        <f t="array" ref="O334">IFERROR( XLOOKUP(L334,'2. DATA NL, VTBB'!C:C,'2. DATA NL, VTBB'!E:E),"")</f>
        <v>Pro-tin 480EC</v>
      </c>
      <c r="P334" s="275" t="s">
        <v>565</v>
      </c>
      <c r="Q334" s="311"/>
      <c r="R334" s="290" t="s">
        <v>566</v>
      </c>
      <c r="S334" s="280"/>
      <c r="T334" s="277"/>
      <c r="U334" s="277"/>
      <c r="V334" s="283">
        <v>5000.0</v>
      </c>
      <c r="W334" s="275" t="s">
        <v>699</v>
      </c>
      <c r="X334" s="283">
        <v>5000.0</v>
      </c>
      <c r="Y334" s="274">
        <v>5000.0</v>
      </c>
      <c r="Z334" s="272">
        <v>1000.0</v>
      </c>
      <c r="AA334" s="285">
        <v>0.08</v>
      </c>
      <c r="AB334" s="282">
        <v>5400000.0</v>
      </c>
      <c r="AC334" s="277"/>
      <c r="AD334" s="289">
        <v>46048.0</v>
      </c>
      <c r="AE334" s="312"/>
      <c r="AF334" s="277"/>
      <c r="AG334" s="277"/>
      <c r="AH334" s="294">
        <f>IFERROR(__xludf.DUMMYFUNCTION("IFERROR(INDEX( SORT(FILTER(
        {'1. DATA CHUNG'!$J$4:$J$105 , '1. DATA CHUNG'!$L$4:$L$105}, (TRIM('1. DATA CHUNG'!$I$4:$I$105)=TRIM(K334)) * IF(COUNTIFS('1. DATA CHUNG'!$I$4:$I$105,K334,'1. DATA CHUNG'!$M$4:$M$105,Q334), '1. DATA CHUNG'!$M$4:$M$105=Q"&amp;"334, 1) * ('1. DATA CHUNG'!$L$4:$L$105&lt;=TODAY()) ),   2, 0),  1, 1), 
  IFERROR( INDEX(FILTER('1. DATA CHUNG'!$J$4:$J$105, (TRIM('1. DATA CHUNG'!$I$4:$I$105)=TRIM(K334)) * IF(COUNTIFS('1. DATA CHUNG'!$I$4:$I$105,K334,'1. DATA CHUNG'!$M$4:$M$105,Q334), '1."&amp;" DATA CHUNG'!$M$4:$M$105=Q334, 1) * ('1. DATA CHUNG'!$L$4:$L$105="""")), 1), ""Không tìm thấy"" ))"),7.0)</f>
        <v>7</v>
      </c>
      <c r="AI334" s="273">
        <f t="shared" si="2"/>
        <v>46055</v>
      </c>
      <c r="AJ334" s="287"/>
      <c r="AK334" s="286">
        <f t="shared" si="3"/>
        <v>0</v>
      </c>
      <c r="AL334" s="287">
        <f t="shared" si="4"/>
        <v>10</v>
      </c>
      <c r="AM334" s="287">
        <f t="shared" si="5"/>
        <v>5</v>
      </c>
      <c r="AN334" s="279">
        <f t="shared" si="6"/>
        <v>0</v>
      </c>
      <c r="AO334" s="295" t="str">
        <f t="shared" si="7"/>
        <v>01/2026</v>
      </c>
      <c r="AP334" s="277" t="str">
        <f t="array" ref="AP334">IFERROR(XLOOKUP(L334,'2. DATA NL, VTBB'!C:C,'2. DATA NL, VTBB'!F:F),"")</f>
        <v>HH0018</v>
      </c>
      <c r="AQ334" s="277" t="str">
        <f t="array" ref="AQ334">IF(OR(K334="Nhãn", K334="Nhãn thùng",K334="Nhãn Túi"), K334 &amp; " " &amp; IFERROR(XLOOKUP(L334, '2. DATA NL, VTBB'!C:C, '2. DATA NL, VTBB'!E:E), ""), "")</f>
        <v/>
      </c>
      <c r="AR334" s="278" t="str">
        <f t="array" ref="AR334">IFERROR(XLOOKUP(L334,'2. DATA NL, VTBB'!C:C,'2. DATA NL, VTBB'!G:G),"")</f>
        <v>LOT IDA Global - I - 313.1 - Chlorpyrifos (xanh dương) (PET tròn)- 480ml - 40</v>
      </c>
      <c r="AS334" s="278" t="str">
        <f t="array" ref="AS334">IFERROR(XLOOKUP(L334,'2. DATA NL, VTBB'!C:C,'2. DATA NL, VTBB'!G:G),"")</f>
        <v>LOT IDA Global - I - 313.1 - Chlorpyrifos (xanh dương) (PET tròn)- 480ml - 40</v>
      </c>
      <c r="AT334" s="277"/>
    </row>
    <row r="335" ht="30.75" customHeight="1">
      <c r="A335" s="272">
        <f t="shared" si="44"/>
        <v>332</v>
      </c>
      <c r="B335" s="289">
        <v>46048.0</v>
      </c>
      <c r="C335" s="289">
        <v>46058.0</v>
      </c>
      <c r="D335" s="289">
        <v>46065.0</v>
      </c>
      <c r="E335" s="289">
        <v>46060.0</v>
      </c>
      <c r="F335" s="274" t="s">
        <v>561</v>
      </c>
      <c r="G335" s="275" t="s">
        <v>562</v>
      </c>
      <c r="H335" s="274" t="s">
        <v>304</v>
      </c>
      <c r="I335" s="275" t="s">
        <v>305</v>
      </c>
      <c r="J335" s="272" t="s">
        <v>1034</v>
      </c>
      <c r="K335" s="275" t="s">
        <v>301</v>
      </c>
      <c r="L335" s="277" t="s">
        <v>613</v>
      </c>
      <c r="M335" s="278" t="str">
        <f t="array" ref="M335">IFERROR(XLOOKUP(L335,'2. DATA NL, VTBB'!C:C,'2. DATA NL, VTBB'!D:D),"")</f>
        <v>Thùng Dùng Chung ABA 100g x100 gói (46x39x21cm) - Trắng</v>
      </c>
      <c r="N335" s="280"/>
      <c r="O335" s="280" t="str">
        <f t="array" ref="O335">IFERROR( XLOOKUP(L335,'2. DATA NL, VTBB'!C:C,'2. DATA NL, VTBB'!E:E),"")</f>
        <v>Prima 04</v>
      </c>
      <c r="P335" s="275" t="s">
        <v>565</v>
      </c>
      <c r="Q335" s="311"/>
      <c r="R335" s="291" t="s">
        <v>584</v>
      </c>
      <c r="S335" s="280"/>
      <c r="T335" s="277"/>
      <c r="U335" s="277"/>
      <c r="V335" s="283">
        <v>200.0</v>
      </c>
      <c r="W335" s="275" t="s">
        <v>699</v>
      </c>
      <c r="X335" s="283">
        <v>200.0</v>
      </c>
      <c r="Y335" s="274">
        <v>216.0</v>
      </c>
      <c r="Z335" s="272">
        <v>20300.0</v>
      </c>
      <c r="AA335" s="285">
        <v>0.08</v>
      </c>
      <c r="AB335" s="282">
        <v>4735584.0</v>
      </c>
      <c r="AC335" s="277"/>
      <c r="AD335" s="289">
        <v>46048.0</v>
      </c>
      <c r="AE335" s="272">
        <v>430.0</v>
      </c>
      <c r="AF335" s="277"/>
      <c r="AG335" s="277"/>
      <c r="AH335" s="294">
        <f>IFERROR(__xludf.DUMMYFUNCTION("IFERROR(INDEX( SORT(FILTER(
        {'1. DATA CHUNG'!$J$4:$J$105 , '1. DATA CHUNG'!$L$4:$L$105}, (TRIM('1. DATA CHUNG'!$I$4:$I$105)=TRIM(K335)) * IF(COUNTIFS('1. DATA CHUNG'!$I$4:$I$105,K335,'1. DATA CHUNG'!$M$4:$M$105,Q335), '1. DATA CHUNG'!$M$4:$M$105=Q"&amp;"335, 1) * ('1. DATA CHUNG'!$L$4:$L$105&lt;=TODAY()) ),   2, 0),  1, 1), 
  IFERROR( INDEX(FILTER('1. DATA CHUNG'!$J$4:$J$105, (TRIM('1. DATA CHUNG'!$I$4:$I$105)=TRIM(K335)) * IF(COUNTIFS('1. DATA CHUNG'!$I$4:$I$105,K335,'1. DATA CHUNG'!$M$4:$M$105,Q335), '1."&amp;" DATA CHUNG'!$M$4:$M$105=Q335, 1) * ('1. DATA CHUNG'!$L$4:$L$105="""")), 1), ""Không tìm thấy"" ))"),18.0)</f>
        <v>18</v>
      </c>
      <c r="AI335" s="273">
        <f t="shared" si="2"/>
        <v>46066</v>
      </c>
      <c r="AJ335" s="287"/>
      <c r="AK335" s="286">
        <f t="shared" si="3"/>
        <v>0</v>
      </c>
      <c r="AL335" s="287">
        <f t="shared" si="4"/>
        <v>5</v>
      </c>
      <c r="AM335" s="287">
        <f t="shared" si="5"/>
        <v>6</v>
      </c>
      <c r="AN335" s="279">
        <f t="shared" si="6"/>
        <v>8</v>
      </c>
      <c r="AO335" s="295" t="str">
        <f t="shared" si="7"/>
        <v>01/2026</v>
      </c>
      <c r="AP335" s="277" t="str">
        <f t="array" ref="AP335">IFERROR(XLOOKUP(L335,'2. DATA NL, VTBB'!C:C,'2. DATA NL, VTBB'!F:F),"")</f>
        <v>HH0112</v>
      </c>
      <c r="AQ335" s="277" t="str">
        <f t="array" ref="AQ335">IF(OR(K335="Nhãn", K335="Nhãn thùng",K335="Nhãn Túi"), K335 &amp; " " &amp; IFERROR(XLOOKUP(L335, '2. DATA NL, VTBB'!C:C, '2. DATA NL, VTBB'!E:E), ""), "")</f>
        <v/>
      </c>
      <c r="AR335" s="278" t="str">
        <f t="array" ref="AR335">IFERROR(XLOOKUP(L335,'2. DATA NL, VTBB'!C:C,'2. DATA NL, VTBB'!G:G),"")</f>
        <v>GC - II - 485 - LuTa vẩy cá (Humic vẩy) - 10kg - 1</v>
      </c>
      <c r="AS335" s="278" t="str">
        <f t="array" ref="AS335">IFERROR(XLOOKUP(L335,'2. DATA NL, VTBB'!C:C,'2. DATA NL, VTBB'!G:G),"")</f>
        <v>GC - II - 485 - LuTa vẩy cá (Humic vẩy) - 10kg - 1</v>
      </c>
      <c r="AT335" s="277"/>
    </row>
    <row r="336" ht="30.75" customHeight="1">
      <c r="A336" s="272">
        <f t="shared" si="44"/>
        <v>333</v>
      </c>
      <c r="B336" s="289">
        <v>46049.0</v>
      </c>
      <c r="C336" s="289">
        <v>46055.0</v>
      </c>
      <c r="D336" s="289">
        <v>46057.0</v>
      </c>
      <c r="E336" s="289">
        <v>46057.0</v>
      </c>
      <c r="F336" s="274" t="s">
        <v>561</v>
      </c>
      <c r="G336" s="275" t="s">
        <v>580</v>
      </c>
      <c r="H336" s="274" t="s">
        <v>304</v>
      </c>
      <c r="I336" s="275" t="s">
        <v>726</v>
      </c>
      <c r="J336" s="272" t="s">
        <v>1035</v>
      </c>
      <c r="K336" s="275" t="s">
        <v>728</v>
      </c>
      <c r="L336" s="277" t="s">
        <v>742</v>
      </c>
      <c r="M336" s="278" t="str">
        <f t="array" ref="M336">IFERROR(XLOOKUP(L336,'2. DATA NL, VTBB'!C:C,'2. DATA NL, VTBB'!D:D),"")</f>
        <v>PN - Chai HDPE tròn cổ 45 1Lít (110g) - Trắng (không ganty)</v>
      </c>
      <c r="N336" s="280"/>
      <c r="O336" s="280" t="str">
        <f t="array" ref="O336">IFERROR( XLOOKUP(L336,'2. DATA NL, VTBB'!C:C,'2. DATA NL, VTBB'!E:E),"")</f>
        <v>CA MAP 350SC</v>
      </c>
      <c r="P336" s="275" t="s">
        <v>565</v>
      </c>
      <c r="Q336" s="311"/>
      <c r="R336" s="291" t="s">
        <v>573</v>
      </c>
      <c r="S336" s="280"/>
      <c r="T336" s="277"/>
      <c r="U336" s="277"/>
      <c r="V336" s="283">
        <v>1000.0</v>
      </c>
      <c r="W336" s="275" t="s">
        <v>699</v>
      </c>
      <c r="X336" s="283">
        <v>1000.0</v>
      </c>
      <c r="Y336" s="274">
        <v>1050.0</v>
      </c>
      <c r="Z336" s="287">
        <v>4700.0</v>
      </c>
      <c r="AA336" s="285">
        <v>0.08</v>
      </c>
      <c r="AB336" s="282">
        <v>5329800.0</v>
      </c>
      <c r="AC336" s="277"/>
      <c r="AD336" s="289">
        <v>46049.0</v>
      </c>
      <c r="AE336" s="272">
        <v>480.0</v>
      </c>
      <c r="AF336" s="277"/>
      <c r="AG336" s="277"/>
      <c r="AH336" s="294">
        <f>IFERROR(__xludf.DUMMYFUNCTION("IFERROR(INDEX( SORT(FILTER(
        {'1. DATA CHUNG'!$J$4:$J$105 , '1. DATA CHUNG'!$L$4:$L$105}, (TRIM('1. DATA CHUNG'!$I$4:$I$105)=TRIM(K336)) * IF(COUNTIFS('1. DATA CHUNG'!$I$4:$I$105,K336,'1. DATA CHUNG'!$M$4:$M$105,Q336), '1. DATA CHUNG'!$M$4:$M$105=Q"&amp;"336, 1) * ('1. DATA CHUNG'!$L$4:$L$105&lt;=TODAY()) ),   2, 0),  1, 1), 
  IFERROR( INDEX(FILTER('1. DATA CHUNG'!$J$4:$J$105, (TRIM('1. DATA CHUNG'!$I$4:$I$105)=TRIM(K336)) * IF(COUNTIFS('1. DATA CHUNG'!$I$4:$I$105,K336,'1. DATA CHUNG'!$M$4:$M$105,Q336), '1."&amp;" DATA CHUNG'!$M$4:$M$105=Q336, 1) * ('1. DATA CHUNG'!$L$4:$L$105="""")), 1), ""Không tìm thấy"" ))"),7.0)</f>
        <v>7</v>
      </c>
      <c r="AI336" s="273">
        <f t="shared" si="2"/>
        <v>46056</v>
      </c>
      <c r="AJ336" s="287"/>
      <c r="AK336" s="286">
        <f t="shared" si="3"/>
        <v>0</v>
      </c>
      <c r="AL336" s="287">
        <f t="shared" si="4"/>
        <v>0</v>
      </c>
      <c r="AM336" s="287">
        <f t="shared" si="5"/>
        <v>-1</v>
      </c>
      <c r="AN336" s="279">
        <f t="shared" si="6"/>
        <v>1</v>
      </c>
      <c r="AO336" s="295" t="str">
        <f t="shared" si="7"/>
        <v>01/2026</v>
      </c>
      <c r="AP336" s="277" t="str">
        <f t="array" ref="AP336">IFERROR(XLOOKUP(L336,'2. DATA NL, VTBB'!C:C,'2. DATA NL, VTBB'!F:F),"")</f>
        <v>HH0151</v>
      </c>
      <c r="AQ336" s="277" t="str">
        <f t="array" ref="AQ336">IF(OR(K336="Nhãn", K336="Nhãn thùng",K336="Nhãn Túi"), K336 &amp; " " &amp; IFERROR(XLOOKUP(L336, '2. DATA NL, VTBB'!C:C, '2. DATA NL, VTBB'!E:E), ""), "")</f>
        <v/>
      </c>
      <c r="AR336" s="278" t="str">
        <f t="array" ref="AR336">IFERROR(XLOOKUP(L336,'2. DATA NL, VTBB'!C:C,'2. DATA NL, VTBB'!G:G),"")</f>
        <v>IDA Global - I - 725 - Cá mập 350SC (chai HD) - 100ml - 100 ([btp],t,c)</v>
      </c>
      <c r="AS336" s="278" t="str">
        <f t="array" ref="AS336">IFERROR(XLOOKUP(L336,'2. DATA NL, VTBB'!C:C,'2. DATA NL, VTBB'!G:G),"")</f>
        <v>IDA Global - I - 725 - Cá mập 350SC (chai HD) - 100ml - 100 ([btp],t,c)</v>
      </c>
      <c r="AT336" s="277"/>
    </row>
    <row r="337" ht="30.75" customHeight="1">
      <c r="A337" s="272">
        <f t="shared" si="44"/>
        <v>334</v>
      </c>
      <c r="B337" s="289">
        <v>46049.0</v>
      </c>
      <c r="C337" s="289">
        <v>46055.0</v>
      </c>
      <c r="D337" s="289">
        <v>46057.0</v>
      </c>
      <c r="E337" s="289">
        <v>46057.0</v>
      </c>
      <c r="F337" s="274" t="s">
        <v>561</v>
      </c>
      <c r="G337" s="275" t="s">
        <v>580</v>
      </c>
      <c r="H337" s="274" t="s">
        <v>304</v>
      </c>
      <c r="I337" s="275" t="s">
        <v>726</v>
      </c>
      <c r="J337" s="272" t="s">
        <v>1035</v>
      </c>
      <c r="K337" s="275" t="s">
        <v>730</v>
      </c>
      <c r="L337" s="277" t="s">
        <v>877</v>
      </c>
      <c r="M337" s="278" t="str">
        <f t="array" ref="M337">IFERROR(XLOOKUP(L337,'2. DATA NL, VTBB'!C:C,'2. DATA NL, VTBB'!D:D),"")</f>
        <v>PN - Nắp HDPE cổ 45 Vàng (không ganty)</v>
      </c>
      <c r="N337" s="280"/>
      <c r="O337" s="280" t="str">
        <f t="array" ref="O337">IFERROR( XLOOKUP(L337,'2. DATA NL, VTBB'!C:C,'2. DATA NL, VTBB'!E:E),"")</f>
        <v>BYPHAN 800WP</v>
      </c>
      <c r="P337" s="275" t="s">
        <v>565</v>
      </c>
      <c r="Q337" s="311"/>
      <c r="R337" s="291" t="s">
        <v>573</v>
      </c>
      <c r="S337" s="280"/>
      <c r="T337" s="277"/>
      <c r="U337" s="277"/>
      <c r="V337" s="283">
        <v>1000.0</v>
      </c>
      <c r="W337" s="275" t="s">
        <v>699</v>
      </c>
      <c r="X337" s="283">
        <v>1000.0</v>
      </c>
      <c r="Y337" s="274">
        <v>1050.0</v>
      </c>
      <c r="Z337" s="272">
        <v>900.0</v>
      </c>
      <c r="AA337" s="285">
        <v>0.08</v>
      </c>
      <c r="AB337" s="282">
        <v>1020600.0</v>
      </c>
      <c r="AC337" s="277"/>
      <c r="AD337" s="289">
        <v>46049.0</v>
      </c>
      <c r="AE337" s="272">
        <v>480.0</v>
      </c>
      <c r="AF337" s="277"/>
      <c r="AG337" s="277"/>
      <c r="AH337" s="294">
        <f>IFERROR(__xludf.DUMMYFUNCTION("IFERROR(INDEX( SORT(FILTER(
        {'1. DATA CHUNG'!$J$4:$J$105 , '1. DATA CHUNG'!$L$4:$L$105}, (TRIM('1. DATA CHUNG'!$I$4:$I$105)=TRIM(K337)) * IF(COUNTIFS('1. DATA CHUNG'!$I$4:$I$105,K337,'1. DATA CHUNG'!$M$4:$M$105,Q337), '1. DATA CHUNG'!$M$4:$M$105=Q"&amp;"337, 1) * ('1. DATA CHUNG'!$L$4:$L$105&lt;=TODAY()) ),   2, 0),  1, 1), 
  IFERROR( INDEX(FILTER('1. DATA CHUNG'!$J$4:$J$105, (TRIM('1. DATA CHUNG'!$I$4:$I$105)=TRIM(K337)) * IF(COUNTIFS('1. DATA CHUNG'!$I$4:$I$105,K337,'1. DATA CHUNG'!$M$4:$M$105,Q337), '1."&amp;" DATA CHUNG'!$M$4:$M$105=Q337, 1) * ('1. DATA CHUNG'!$L$4:$L$105="""")), 1), ""Không tìm thấy"" ))"),7.0)</f>
        <v>7</v>
      </c>
      <c r="AI337" s="273">
        <f t="shared" si="2"/>
        <v>46056</v>
      </c>
      <c r="AJ337" s="287"/>
      <c r="AK337" s="286">
        <f t="shared" si="3"/>
        <v>0</v>
      </c>
      <c r="AL337" s="287">
        <f t="shared" si="4"/>
        <v>0</v>
      </c>
      <c r="AM337" s="287">
        <f t="shared" si="5"/>
        <v>-1</v>
      </c>
      <c r="AN337" s="279">
        <f t="shared" si="6"/>
        <v>1</v>
      </c>
      <c r="AO337" s="295" t="str">
        <f t="shared" si="7"/>
        <v>01/2026</v>
      </c>
      <c r="AP337" s="277" t="str">
        <f t="array" ref="AP337">IFERROR(XLOOKUP(L337,'2. DATA NL, VTBB'!C:C,'2. DATA NL, VTBB'!F:F),"")</f>
        <v>HH0157</v>
      </c>
      <c r="AQ337" s="277" t="str">
        <f t="array" ref="AQ337">IF(OR(K337="Nhãn", K337="Nhãn thùng",K337="Nhãn Túi"), K337 &amp; " " &amp; IFERROR(XLOOKUP(L337, '2. DATA NL, VTBB'!C:C, '2. DATA NL, VTBB'!E:E), ""), "")</f>
        <v/>
      </c>
      <c r="AR337" s="278" t="str">
        <f t="array" ref="AR337">IFERROR(XLOOKUP(L337,'2. DATA NL, VTBB'!C:C,'2. DATA NL, VTBB'!G:G),"")</f>
        <v>GC - IV - 877 - Bảy Phận - Manco Xanh (túi nhôm)(bột xanh) - 1 Kg - 20</v>
      </c>
      <c r="AS337" s="278" t="str">
        <f t="array" ref="AS337">IFERROR(XLOOKUP(L337,'2. DATA NL, VTBB'!C:C,'2. DATA NL, VTBB'!G:G),"")</f>
        <v>GC - IV - 877 - Bảy Phận - Manco Xanh (túi nhôm)(bột xanh) - 1 Kg - 20</v>
      </c>
      <c r="AT337" s="277"/>
    </row>
    <row r="338" ht="30.75" customHeight="1">
      <c r="A338" s="272">
        <f t="shared" si="44"/>
        <v>335</v>
      </c>
      <c r="B338" s="289">
        <v>46049.0</v>
      </c>
      <c r="C338" s="289">
        <v>46055.0</v>
      </c>
      <c r="D338" s="289">
        <v>46060.0</v>
      </c>
      <c r="E338" s="317"/>
      <c r="F338" s="274" t="s">
        <v>561</v>
      </c>
      <c r="G338" s="275" t="s">
        <v>562</v>
      </c>
      <c r="H338" s="274" t="s">
        <v>304</v>
      </c>
      <c r="I338" s="275" t="s">
        <v>853</v>
      </c>
      <c r="J338" s="272" t="s">
        <v>1036</v>
      </c>
      <c r="K338" s="275" t="s">
        <v>728</v>
      </c>
      <c r="L338" s="277" t="s">
        <v>856</v>
      </c>
      <c r="M338" s="278" t="str">
        <f t="array" ref="M338">IFERROR(XLOOKUP(L338,'2. DATA NL, VTBB'!C:C,'2. DATA NL, VTBB'!D:D),"")</f>
        <v>Chai pet tròn cổ 38 250ml - Màu trắng (41gr)</v>
      </c>
      <c r="N338" s="280"/>
      <c r="O338" s="280" t="str">
        <f t="array" ref="O338">IFERROR( XLOOKUP(L338,'2. DATA NL, VTBB'!C:C,'2. DATA NL, VTBB'!E:E),"")</f>
        <v>Tikabamec 3.6EC</v>
      </c>
      <c r="P338" s="275" t="s">
        <v>565</v>
      </c>
      <c r="Q338" s="311"/>
      <c r="R338" s="290" t="s">
        <v>566</v>
      </c>
      <c r="S338" s="280"/>
      <c r="T338" s="277"/>
      <c r="U338" s="277"/>
      <c r="V338" s="283">
        <v>2000.0</v>
      </c>
      <c r="W338" s="275" t="s">
        <v>699</v>
      </c>
      <c r="X338" s="283">
        <v>2000.0</v>
      </c>
      <c r="Y338" s="274">
        <v>2000.0</v>
      </c>
      <c r="Z338" s="272">
        <v>2100.0</v>
      </c>
      <c r="AA338" s="285">
        <v>0.08</v>
      </c>
      <c r="AB338" s="282">
        <v>4536000.0</v>
      </c>
      <c r="AC338" s="277"/>
      <c r="AD338" s="289">
        <v>46049.0</v>
      </c>
      <c r="AE338" s="312"/>
      <c r="AF338" s="277"/>
      <c r="AG338" s="277"/>
      <c r="AH338" s="294">
        <f>IFERROR(__xludf.DUMMYFUNCTION("IFERROR(INDEX( SORT(FILTER(
        {'1. DATA CHUNG'!$J$4:$J$105 , '1. DATA CHUNG'!$L$4:$L$105}, (TRIM('1. DATA CHUNG'!$I$4:$I$105)=TRIM(K338)) * IF(COUNTIFS('1. DATA CHUNG'!$I$4:$I$105,K338,'1. DATA CHUNG'!$M$4:$M$105,Q338), '1. DATA CHUNG'!$M$4:$M$105=Q"&amp;"338, 1) * ('1. DATA CHUNG'!$L$4:$L$105&lt;=TODAY()) ),   2, 0),  1, 1), 
  IFERROR( INDEX(FILTER('1. DATA CHUNG'!$J$4:$J$105, (TRIM('1. DATA CHUNG'!$I$4:$I$105)=TRIM(K338)) * IF(COUNTIFS('1. DATA CHUNG'!$I$4:$I$105,K338,'1. DATA CHUNG'!$M$4:$M$105,Q338), '1."&amp;" DATA CHUNG'!$M$4:$M$105=Q338, 1) * ('1. DATA CHUNG'!$L$4:$L$105="""")), 1), ""Không tìm thấy"" ))"),7.0)</f>
        <v>7</v>
      </c>
      <c r="AI338" s="273">
        <f t="shared" si="2"/>
        <v>46056</v>
      </c>
      <c r="AJ338" s="287"/>
      <c r="AK338" s="286">
        <f t="shared" si="3"/>
        <v>0</v>
      </c>
      <c r="AL338" s="287" t="str">
        <f t="shared" si="4"/>
        <v/>
      </c>
      <c r="AM338" s="287" t="str">
        <f t="shared" si="5"/>
        <v/>
      </c>
      <c r="AN338" s="279">
        <f t="shared" si="6"/>
        <v>1</v>
      </c>
      <c r="AO338" s="295" t="str">
        <f t="shared" si="7"/>
        <v>01/2026</v>
      </c>
      <c r="AP338" s="277" t="str">
        <f t="array" ref="AP338">IFERROR(XLOOKUP(L338,'2. DATA NL, VTBB'!C:C,'2. DATA NL, VTBB'!F:F),"")</f>
        <v>HH0189</v>
      </c>
      <c r="AQ338" s="277" t="str">
        <f t="array" ref="AQ338">IF(OR(K338="Nhãn", K338="Nhãn thùng",K338="Nhãn Túi"), K338 &amp; " " &amp; IFERROR(XLOOKUP(L338, '2. DATA NL, VTBB'!C:C, '2. DATA NL, VTBB'!E:E), ""), "")</f>
        <v/>
      </c>
      <c r="AR338" s="278" t="str">
        <f t="array" ref="AR338">IFERROR(XLOOKUP(L338,'2. DATA NL, VTBB'!C:C,'2. DATA NL, VTBB'!G:G),"")</f>
        <v>LOT IDA Global - I - ĐL Hai Nhóm - 782 - Tikabamec 3.6EC (Pet tròn) (nước đục)- 450ml - 40</v>
      </c>
      <c r="AS338" s="278" t="str">
        <f t="array" ref="AS338">IFERROR(XLOOKUP(L338,'2. DATA NL, VTBB'!C:C,'2. DATA NL, VTBB'!G:G),"")</f>
        <v>LOT IDA Global - I - ĐL Hai Nhóm - 782 - Tikabamec 3.6EC (Pet tròn) (nước đục)- 450ml - 40</v>
      </c>
      <c r="AT338" s="277"/>
    </row>
    <row r="339" ht="30.75" customHeight="1">
      <c r="A339" s="272">
        <f t="shared" si="44"/>
        <v>336</v>
      </c>
      <c r="B339" s="289">
        <v>46049.0</v>
      </c>
      <c r="C339" s="289">
        <v>46055.0</v>
      </c>
      <c r="D339" s="289">
        <v>46060.0</v>
      </c>
      <c r="E339" s="317"/>
      <c r="F339" s="274" t="s">
        <v>561</v>
      </c>
      <c r="G339" s="275" t="s">
        <v>562</v>
      </c>
      <c r="H339" s="274" t="s">
        <v>304</v>
      </c>
      <c r="I339" s="275" t="s">
        <v>853</v>
      </c>
      <c r="J339" s="272" t="s">
        <v>1036</v>
      </c>
      <c r="K339" s="275" t="s">
        <v>730</v>
      </c>
      <c r="L339" s="277" t="s">
        <v>776</v>
      </c>
      <c r="M339" s="278" t="str">
        <f t="array" ref="M339">IFERROR(XLOOKUP(L339,'2. DATA NL, VTBB'!C:C,'2. DATA NL, VTBB'!D:D),"")</f>
        <v>Nắp PET cổ 38 (7gr) gầy- Màu trắng</v>
      </c>
      <c r="N339" s="280"/>
      <c r="O339" s="280" t="str">
        <f t="array" ref="O339">IFERROR( XLOOKUP(L339,'2. DATA NL, VTBB'!C:C,'2. DATA NL, VTBB'!E:E),"")</f>
        <v>BYPHAN 800WP</v>
      </c>
      <c r="P339" s="275" t="s">
        <v>565</v>
      </c>
      <c r="Q339" s="311"/>
      <c r="R339" s="290" t="s">
        <v>566</v>
      </c>
      <c r="S339" s="280"/>
      <c r="T339" s="277"/>
      <c r="U339" s="277"/>
      <c r="V339" s="283">
        <v>2000.0</v>
      </c>
      <c r="W339" s="275" t="s">
        <v>699</v>
      </c>
      <c r="X339" s="283">
        <v>2000.0</v>
      </c>
      <c r="Y339" s="274">
        <v>2000.0</v>
      </c>
      <c r="Z339" s="272">
        <v>700.0</v>
      </c>
      <c r="AA339" s="285">
        <v>0.08</v>
      </c>
      <c r="AB339" s="282">
        <v>1512000.0</v>
      </c>
      <c r="AC339" s="277"/>
      <c r="AD339" s="289">
        <v>46049.0</v>
      </c>
      <c r="AE339" s="312"/>
      <c r="AF339" s="277"/>
      <c r="AG339" s="277"/>
      <c r="AH339" s="294">
        <f>IFERROR(__xludf.DUMMYFUNCTION("IFERROR(INDEX( SORT(FILTER(
        {'1. DATA CHUNG'!$J$4:$J$105 , '1. DATA CHUNG'!$L$4:$L$105}, (TRIM('1. DATA CHUNG'!$I$4:$I$105)=TRIM(K339)) * IF(COUNTIFS('1. DATA CHUNG'!$I$4:$I$105,K339,'1. DATA CHUNG'!$M$4:$M$105,Q339), '1. DATA CHUNG'!$M$4:$M$105=Q"&amp;"339, 1) * ('1. DATA CHUNG'!$L$4:$L$105&lt;=TODAY()) ),   2, 0),  1, 1), 
  IFERROR( INDEX(FILTER('1. DATA CHUNG'!$J$4:$J$105, (TRIM('1. DATA CHUNG'!$I$4:$I$105)=TRIM(K339)) * IF(COUNTIFS('1. DATA CHUNG'!$I$4:$I$105,K339,'1. DATA CHUNG'!$M$4:$M$105,Q339), '1."&amp;" DATA CHUNG'!$M$4:$M$105=Q339, 1) * ('1. DATA CHUNG'!$L$4:$L$105="""")), 1), ""Không tìm thấy"" ))"),7.0)</f>
        <v>7</v>
      </c>
      <c r="AI339" s="273">
        <f t="shared" si="2"/>
        <v>46056</v>
      </c>
      <c r="AJ339" s="287"/>
      <c r="AK339" s="286">
        <f t="shared" si="3"/>
        <v>0</v>
      </c>
      <c r="AL339" s="287" t="str">
        <f t="shared" si="4"/>
        <v/>
      </c>
      <c r="AM339" s="287" t="str">
        <f t="shared" si="5"/>
        <v/>
      </c>
      <c r="AN339" s="279">
        <f t="shared" si="6"/>
        <v>1</v>
      </c>
      <c r="AO339" s="295" t="str">
        <f t="shared" si="7"/>
        <v>01/2026</v>
      </c>
      <c r="AP339" s="277" t="str">
        <f t="array" ref="AP339">IFERROR(XLOOKUP(L339,'2. DATA NL, VTBB'!C:C,'2. DATA NL, VTBB'!F:F),"")</f>
        <v>HH0138</v>
      </c>
      <c r="AQ339" s="277" t="str">
        <f t="array" ref="AQ339">IF(OR(K339="Nhãn", K339="Nhãn thùng",K339="Nhãn Túi"), K339 &amp; " " &amp; IFERROR(XLOOKUP(L339, '2. DATA NL, VTBB'!C:C, '2. DATA NL, VTBB'!E:E), ""), "")</f>
        <v/>
      </c>
      <c r="AR339" s="278" t="str">
        <f t="array" ref="AR339">IFERROR(XLOOKUP(L339,'2. DATA NL, VTBB'!C:C,'2. DATA NL, VTBB'!G:G),"")</f>
        <v>LOT IDA Global - I - 847 - ĐL Hồng Liệt - Mancozeb xanh - 1 Kg - 20</v>
      </c>
      <c r="AS339" s="278" t="str">
        <f t="array" ref="AS339">IFERROR(XLOOKUP(L339,'2. DATA NL, VTBB'!C:C,'2. DATA NL, VTBB'!G:G),"")</f>
        <v>LOT IDA Global - I - 847 - ĐL Hồng Liệt - Mancozeb xanh - 1 Kg - 20</v>
      </c>
      <c r="AT339" s="277"/>
    </row>
    <row r="340" ht="30.75" customHeight="1">
      <c r="A340" s="272">
        <f t="shared" si="44"/>
        <v>337</v>
      </c>
      <c r="B340" s="289">
        <v>46049.0</v>
      </c>
      <c r="C340" s="289">
        <v>46059.0</v>
      </c>
      <c r="D340" s="289">
        <v>46080.0</v>
      </c>
      <c r="E340" s="289">
        <v>46060.0</v>
      </c>
      <c r="F340" s="274" t="s">
        <v>561</v>
      </c>
      <c r="G340" s="275" t="s">
        <v>562</v>
      </c>
      <c r="H340" s="274" t="s">
        <v>304</v>
      </c>
      <c r="I340" s="275" t="s">
        <v>305</v>
      </c>
      <c r="J340" s="272" t="s">
        <v>1037</v>
      </c>
      <c r="K340" s="275" t="s">
        <v>301</v>
      </c>
      <c r="L340" s="277" t="s">
        <v>697</v>
      </c>
      <c r="M340" s="278" t="str">
        <f t="array" ref="M340">IFERROR(XLOOKUP(L340,'2. DATA NL, VTBB'!C:C,'2. DATA NL, VTBB'!D:D),"")</f>
        <v>Thùng NEWTEX Chai PET tam giác 240ml x 40 chai (47.7x30x16cm) - Trắng viền cam</v>
      </c>
      <c r="N340" s="280"/>
      <c r="O340" s="280" t="str">
        <f t="array" ref="O340">IFERROR( XLOOKUP(L340,'2. DATA NL, VTBB'!C:C,'2. DATA NL, VTBB'!E:E),"")</f>
        <v>Mekongvil 5SC</v>
      </c>
      <c r="P340" s="275" t="s">
        <v>565</v>
      </c>
      <c r="Q340" s="311"/>
      <c r="R340" s="291" t="s">
        <v>573</v>
      </c>
      <c r="S340" s="280"/>
      <c r="T340" s="277"/>
      <c r="U340" s="277"/>
      <c r="V340" s="283">
        <v>100.0</v>
      </c>
      <c r="W340" s="275" t="s">
        <v>699</v>
      </c>
      <c r="X340" s="283">
        <v>100.0</v>
      </c>
      <c r="Y340" s="274">
        <v>100.0</v>
      </c>
      <c r="Z340" s="272">
        <v>15800.0</v>
      </c>
      <c r="AA340" s="285">
        <v>0.08</v>
      </c>
      <c r="AB340" s="282">
        <v>1706400.0</v>
      </c>
      <c r="AC340" s="277"/>
      <c r="AD340" s="289">
        <v>46049.0</v>
      </c>
      <c r="AE340" s="272">
        <v>449.0</v>
      </c>
      <c r="AF340" s="277"/>
      <c r="AG340" s="277"/>
      <c r="AH340" s="294">
        <f>IFERROR(__xludf.DUMMYFUNCTION("IFERROR(INDEX( SORT(FILTER(
        {'1. DATA CHUNG'!$J$4:$J$105 , '1. DATA CHUNG'!$L$4:$L$105}, (TRIM('1. DATA CHUNG'!$I$4:$I$105)=TRIM(K340)) * IF(COUNTIFS('1. DATA CHUNG'!$I$4:$I$105,K340,'1. DATA CHUNG'!$M$4:$M$105,Q340), '1. DATA CHUNG'!$M$4:$M$105=Q"&amp;"340, 1) * ('1. DATA CHUNG'!$L$4:$L$105&lt;=TODAY()) ),   2, 0),  1, 1), 
  IFERROR( INDEX(FILTER('1. DATA CHUNG'!$J$4:$J$105, (TRIM('1. DATA CHUNG'!$I$4:$I$105)=TRIM(K340)) * IF(COUNTIFS('1. DATA CHUNG'!$I$4:$I$105,K340,'1. DATA CHUNG'!$M$4:$M$105,Q340), '1."&amp;" DATA CHUNG'!$M$4:$M$105=Q340, 1) * ('1. DATA CHUNG'!$L$4:$L$105="""")), 1), ""Không tìm thấy"" ))"),18.0)</f>
        <v>18</v>
      </c>
      <c r="AI340" s="273">
        <f t="shared" si="2"/>
        <v>46067</v>
      </c>
      <c r="AJ340" s="287"/>
      <c r="AK340" s="286">
        <f t="shared" si="3"/>
        <v>0</v>
      </c>
      <c r="AL340" s="287">
        <f t="shared" si="4"/>
        <v>20</v>
      </c>
      <c r="AM340" s="287">
        <f t="shared" si="5"/>
        <v>7</v>
      </c>
      <c r="AN340" s="279">
        <f t="shared" si="6"/>
        <v>8</v>
      </c>
      <c r="AO340" s="295" t="str">
        <f t="shared" si="7"/>
        <v>01/2026</v>
      </c>
      <c r="AP340" s="277" t="str">
        <f t="array" ref="AP340">IFERROR(XLOOKUP(L340,'2. DATA NL, VTBB'!C:C,'2. DATA NL, VTBB'!F:F),"")</f>
        <v>HH0252</v>
      </c>
      <c r="AQ340" s="277" t="str">
        <f t="array" ref="AQ340">IF(OR(K340="Nhãn", K340="Nhãn thùng",K340="Nhãn Túi"), K340 &amp; " " &amp; IFERROR(XLOOKUP(L340, '2. DATA NL, VTBB'!C:C, '2. DATA NL, VTBB'!E:E), ""), "")</f>
        <v/>
      </c>
      <c r="AR340" s="278" t="str">
        <f t="array" ref="AR340">IFERROR(XLOOKUP(L340,'2. DATA NL, VTBB'!C:C,'2. DATA NL, VTBB'!G:G),"")</f>
        <v>GC - II - 670 - Châu Giang - Mekongvil 5SC (chai HD) - 1L - 20</v>
      </c>
      <c r="AS340" s="278" t="str">
        <f t="array" ref="AS340">IFERROR(XLOOKUP(L340,'2. DATA NL, VTBB'!C:C,'2. DATA NL, VTBB'!G:G),"")</f>
        <v>GC - II - 670 - Châu Giang - Mekongvil 5SC (chai HD) - 1L - 20</v>
      </c>
      <c r="AT340" s="277"/>
    </row>
    <row r="341" ht="30.75" customHeight="1">
      <c r="A341" s="272">
        <f t="shared" si="44"/>
        <v>338</v>
      </c>
      <c r="B341" s="289">
        <v>46049.0</v>
      </c>
      <c r="C341" s="289">
        <v>46059.0</v>
      </c>
      <c r="D341" s="289">
        <v>46080.0</v>
      </c>
      <c r="E341" s="289">
        <v>46060.0</v>
      </c>
      <c r="F341" s="274" t="s">
        <v>561</v>
      </c>
      <c r="G341" s="275" t="s">
        <v>562</v>
      </c>
      <c r="H341" s="274" t="s">
        <v>304</v>
      </c>
      <c r="I341" s="275" t="s">
        <v>305</v>
      </c>
      <c r="J341" s="272" t="s">
        <v>1038</v>
      </c>
      <c r="K341" s="275" t="s">
        <v>301</v>
      </c>
      <c r="L341" s="277" t="s">
        <v>697</v>
      </c>
      <c r="M341" s="278" t="str">
        <f t="array" ref="M341">IFERROR(XLOOKUP(L341,'2. DATA NL, VTBB'!C:C,'2. DATA NL, VTBB'!D:D),"")</f>
        <v>Thùng NEWTEX Chai PET tam giác 240ml x 40 chai (47.7x30x16cm) - Trắng viền cam</v>
      </c>
      <c r="N341" s="280"/>
      <c r="O341" s="280" t="str">
        <f t="array" ref="O341">IFERROR( XLOOKUP(L341,'2. DATA NL, VTBB'!C:C,'2. DATA NL, VTBB'!E:E),"")</f>
        <v>Mekongvil 5SC</v>
      </c>
      <c r="P341" s="275" t="s">
        <v>565</v>
      </c>
      <c r="Q341" s="311"/>
      <c r="R341" s="291" t="s">
        <v>622</v>
      </c>
      <c r="S341" s="280"/>
      <c r="T341" s="277"/>
      <c r="U341" s="277"/>
      <c r="V341" s="283">
        <v>100.0</v>
      </c>
      <c r="W341" s="275" t="s">
        <v>699</v>
      </c>
      <c r="X341" s="283">
        <v>100.0</v>
      </c>
      <c r="Y341" s="274">
        <v>100.0</v>
      </c>
      <c r="Z341" s="272">
        <v>15800.0</v>
      </c>
      <c r="AA341" s="285">
        <v>0.08</v>
      </c>
      <c r="AB341" s="282">
        <v>1706400.0</v>
      </c>
      <c r="AC341" s="277"/>
      <c r="AD341" s="289">
        <v>46049.0</v>
      </c>
      <c r="AE341" s="312"/>
      <c r="AF341" s="277"/>
      <c r="AG341" s="277"/>
      <c r="AH341" s="294">
        <f>IFERROR(__xludf.DUMMYFUNCTION("IFERROR(INDEX( SORT(FILTER(
        {'1. DATA CHUNG'!$J$4:$J$105 , '1. DATA CHUNG'!$L$4:$L$105}, (TRIM('1. DATA CHUNG'!$I$4:$I$105)=TRIM(K341)) * IF(COUNTIFS('1. DATA CHUNG'!$I$4:$I$105,K341,'1. DATA CHUNG'!$M$4:$M$105,Q341), '1. DATA CHUNG'!$M$4:$M$105=Q"&amp;"341, 1) * ('1. DATA CHUNG'!$L$4:$L$105&lt;=TODAY()) ),   2, 0),  1, 1), 
  IFERROR( INDEX(FILTER('1. DATA CHUNG'!$J$4:$J$105, (TRIM('1. DATA CHUNG'!$I$4:$I$105)=TRIM(K341)) * IF(COUNTIFS('1. DATA CHUNG'!$I$4:$I$105,K341,'1. DATA CHUNG'!$M$4:$M$105,Q341), '1."&amp;" DATA CHUNG'!$M$4:$M$105=Q341, 1) * ('1. DATA CHUNG'!$L$4:$L$105="""")), 1), ""Không tìm thấy"" ))"),18.0)</f>
        <v>18</v>
      </c>
      <c r="AI341" s="273">
        <f t="shared" si="2"/>
        <v>46067</v>
      </c>
      <c r="AJ341" s="287"/>
      <c r="AK341" s="286">
        <f t="shared" si="3"/>
        <v>0</v>
      </c>
      <c r="AL341" s="287">
        <f t="shared" si="4"/>
        <v>20</v>
      </c>
      <c r="AM341" s="287">
        <f t="shared" si="5"/>
        <v>7</v>
      </c>
      <c r="AN341" s="279">
        <f t="shared" si="6"/>
        <v>8</v>
      </c>
      <c r="AO341" s="295" t="str">
        <f t="shared" si="7"/>
        <v>01/2026</v>
      </c>
      <c r="AP341" s="277" t="str">
        <f t="array" ref="AP341">IFERROR(XLOOKUP(L341,'2. DATA NL, VTBB'!C:C,'2. DATA NL, VTBB'!F:F),"")</f>
        <v>HH0252</v>
      </c>
      <c r="AQ341" s="277" t="str">
        <f t="array" ref="AQ341">IF(OR(K341="Nhãn", K341="Nhãn thùng",K341="Nhãn Túi"), K341 &amp; " " &amp; IFERROR(XLOOKUP(L341, '2. DATA NL, VTBB'!C:C, '2. DATA NL, VTBB'!E:E), ""), "")</f>
        <v/>
      </c>
      <c r="AR341" s="278" t="str">
        <f t="array" ref="AR341">IFERROR(XLOOKUP(L341,'2. DATA NL, VTBB'!C:C,'2. DATA NL, VTBB'!G:G),"")</f>
        <v>GC - II - 670 - Châu Giang - Mekongvil 5SC (chai HD) - 1L - 20</v>
      </c>
      <c r="AS341" s="278" t="str">
        <f t="array" ref="AS341">IFERROR(XLOOKUP(L341,'2. DATA NL, VTBB'!C:C,'2. DATA NL, VTBB'!G:G),"")</f>
        <v>GC - II - 670 - Châu Giang - Mekongvil 5SC (chai HD) - 1L - 20</v>
      </c>
      <c r="AT341" s="277"/>
    </row>
    <row r="342" ht="30.75" customHeight="1">
      <c r="A342" s="272">
        <f t="shared" si="44"/>
        <v>339</v>
      </c>
      <c r="B342" s="289">
        <v>46049.0</v>
      </c>
      <c r="C342" s="289">
        <v>46055.0</v>
      </c>
      <c r="D342" s="289">
        <v>46058.0</v>
      </c>
      <c r="E342" s="289">
        <v>46058.0</v>
      </c>
      <c r="F342" s="274" t="s">
        <v>561</v>
      </c>
      <c r="G342" s="275" t="s">
        <v>580</v>
      </c>
      <c r="H342" s="274" t="s">
        <v>304</v>
      </c>
      <c r="I342" s="275" t="s">
        <v>806</v>
      </c>
      <c r="J342" s="272" t="s">
        <v>1039</v>
      </c>
      <c r="K342" s="275" t="s">
        <v>728</v>
      </c>
      <c r="L342" s="277" t="s">
        <v>808</v>
      </c>
      <c r="M342" s="278" t="str">
        <f t="array" ref="M342">IFERROR(XLOOKUP(L342,'2. DATA NL, VTBB'!C:C,'2. DATA NL, VTBB'!D:D),"")</f>
        <v>Chai nhôm tròn 250ml cổ 38 - Màu đỏ -  Nắp trắng, có cốc đong</v>
      </c>
      <c r="N342" s="280"/>
      <c r="O342" s="280" t="str">
        <f t="array" ref="O342">IFERROR( XLOOKUP(L342,'2. DATA NL, VTBB'!C:C,'2. DATA NL, VTBB'!E:E),"")</f>
        <v>Vi lượng Basel IDA 47</v>
      </c>
      <c r="P342" s="275" t="s">
        <v>565</v>
      </c>
      <c r="Q342" s="311"/>
      <c r="R342" s="291" t="s">
        <v>573</v>
      </c>
      <c r="S342" s="280"/>
      <c r="T342" s="277"/>
      <c r="U342" s="277"/>
      <c r="V342" s="283">
        <v>1000.0</v>
      </c>
      <c r="W342" s="275" t="s">
        <v>699</v>
      </c>
      <c r="X342" s="283">
        <v>1000.0</v>
      </c>
      <c r="Y342" s="274">
        <v>1200.0</v>
      </c>
      <c r="Z342" s="286">
        <v>10636.36</v>
      </c>
      <c r="AA342" s="285">
        <v>0.1</v>
      </c>
      <c r="AB342" s="282">
        <v>1.4039995E7</v>
      </c>
      <c r="AC342" s="277"/>
      <c r="AD342" s="289">
        <v>46049.0</v>
      </c>
      <c r="AE342" s="312"/>
      <c r="AF342" s="277"/>
      <c r="AG342" s="277"/>
      <c r="AH342" s="294">
        <f>IFERROR(__xludf.DUMMYFUNCTION("IFERROR(INDEX( SORT(FILTER(
        {'1. DATA CHUNG'!$J$4:$J$105 , '1. DATA CHUNG'!$L$4:$L$105}, (TRIM('1. DATA CHUNG'!$I$4:$I$105)=TRIM(K342)) * IF(COUNTIFS('1. DATA CHUNG'!$I$4:$I$105,K342,'1. DATA CHUNG'!$M$4:$M$105,Q342), '1. DATA CHUNG'!$M$4:$M$105=Q"&amp;"342, 1) * ('1. DATA CHUNG'!$L$4:$L$105&lt;=TODAY()) ),   2, 0),  1, 1), 
  IFERROR( INDEX(FILTER('1. DATA CHUNG'!$J$4:$J$105, (TRIM('1. DATA CHUNG'!$I$4:$I$105)=TRIM(K342)) * IF(COUNTIFS('1. DATA CHUNG'!$I$4:$I$105,K342,'1. DATA CHUNG'!$M$4:$M$105,Q342), '1."&amp;" DATA CHUNG'!$M$4:$M$105=Q342, 1) * ('1. DATA CHUNG'!$L$4:$L$105="""")), 1), ""Không tìm thấy"" ))"),7.0)</f>
        <v>7</v>
      </c>
      <c r="AI342" s="273">
        <f t="shared" si="2"/>
        <v>46056</v>
      </c>
      <c r="AJ342" s="287"/>
      <c r="AK342" s="286">
        <f t="shared" si="3"/>
        <v>0</v>
      </c>
      <c r="AL342" s="287">
        <f t="shared" si="4"/>
        <v>0</v>
      </c>
      <c r="AM342" s="287">
        <f t="shared" si="5"/>
        <v>-2</v>
      </c>
      <c r="AN342" s="279">
        <f t="shared" si="6"/>
        <v>1</v>
      </c>
      <c r="AO342" s="295" t="str">
        <f t="shared" si="7"/>
        <v>01/2026</v>
      </c>
      <c r="AP342" s="277" t="str">
        <f t="array" ref="AP342">IFERROR(XLOOKUP(L342,'2. DATA NL, VTBB'!C:C,'2. DATA NL, VTBB'!F:F),"")</f>
        <v>HH0033</v>
      </c>
      <c r="AQ342" s="277" t="str">
        <f t="array" ref="AQ342">IF(OR(K342="Nhãn", K342="Nhãn thùng",K342="Nhãn Túi"), K342 &amp; " " &amp; IFERROR(XLOOKUP(L342, '2. DATA NL, VTBB'!C:C, '2. DATA NL, VTBB'!E:E), ""), "")</f>
        <v/>
      </c>
      <c r="AR342" s="278" t="str">
        <f t="array" ref="AR342">IFERROR(XLOOKUP(L342,'2. DATA NL, VTBB'!C:C,'2. DATA NL, VTBB'!G:G),"")</f>
        <v>IDA GLOBAL - I - 416 - Flower Top (drone) - 50ml - 300</v>
      </c>
      <c r="AS342" s="278" t="str">
        <f t="array" ref="AS342">IFERROR(XLOOKUP(L342,'2. DATA NL, VTBB'!C:C,'2. DATA NL, VTBB'!G:G),"")</f>
        <v>IDA GLOBAL - I - 416 - Flower Top (drone) - 50ml - 300</v>
      </c>
      <c r="AT342" s="277"/>
    </row>
    <row r="343" ht="30.75" customHeight="1">
      <c r="A343" s="272">
        <f t="shared" si="44"/>
        <v>340</v>
      </c>
      <c r="B343" s="289">
        <v>46049.0</v>
      </c>
      <c r="C343" s="289">
        <v>46055.0</v>
      </c>
      <c r="D343" s="319" t="s">
        <v>1040</v>
      </c>
      <c r="E343" s="318"/>
      <c r="F343" s="274" t="s">
        <v>561</v>
      </c>
      <c r="G343" s="275" t="s">
        <v>580</v>
      </c>
      <c r="H343" s="274" t="s">
        <v>304</v>
      </c>
      <c r="I343" s="275" t="s">
        <v>806</v>
      </c>
      <c r="J343" s="272" t="s">
        <v>1039</v>
      </c>
      <c r="K343" s="275" t="s">
        <v>730</v>
      </c>
      <c r="L343" s="277" t="s">
        <v>809</v>
      </c>
      <c r="M343" s="278" t="str">
        <f t="array" ref="M343">IFERROR(XLOOKUP(L343,'2. DATA NL, VTBB'!C:C,'2. DATA NL, VTBB'!D:D),"")</f>
        <v>Nắp chai nhôm cổ 38  - Màu trắng - Có cốc đong</v>
      </c>
      <c r="N343" s="280"/>
      <c r="O343" s="280" t="str">
        <f t="array" ref="O343">IFERROR( XLOOKUP(L343,'2. DATA NL, VTBB'!C:C,'2. DATA NL, VTBB'!E:E),"")</f>
        <v>Tiger five 6.5EC</v>
      </c>
      <c r="P343" s="275" t="s">
        <v>565</v>
      </c>
      <c r="Q343" s="311"/>
      <c r="R343" s="291" t="s">
        <v>573</v>
      </c>
      <c r="S343" s="280"/>
      <c r="T343" s="277"/>
      <c r="U343" s="277"/>
      <c r="V343" s="283">
        <v>1000.0</v>
      </c>
      <c r="W343" s="275" t="s">
        <v>699</v>
      </c>
      <c r="X343" s="283">
        <v>1000.0</v>
      </c>
      <c r="Y343" s="274">
        <v>1200.0</v>
      </c>
      <c r="Z343" s="287">
        <v>0.0</v>
      </c>
      <c r="AA343" s="285">
        <v>0.08</v>
      </c>
      <c r="AB343" s="282">
        <v>0.0</v>
      </c>
      <c r="AC343" s="277"/>
      <c r="AD343" s="289">
        <v>46049.0</v>
      </c>
      <c r="AE343" s="312"/>
      <c r="AF343" s="277"/>
      <c r="AG343" s="277"/>
      <c r="AH343" s="294">
        <f>IFERROR(__xludf.DUMMYFUNCTION("IFERROR(INDEX( SORT(FILTER(
        {'1. DATA CHUNG'!$J$4:$J$105 , '1. DATA CHUNG'!$L$4:$L$105}, (TRIM('1. DATA CHUNG'!$I$4:$I$105)=TRIM(K343)) * IF(COUNTIFS('1. DATA CHUNG'!$I$4:$I$105,K343,'1. DATA CHUNG'!$M$4:$M$105,Q343), '1. DATA CHUNG'!$M$4:$M$105=Q"&amp;"343, 1) * ('1. DATA CHUNG'!$L$4:$L$105&lt;=TODAY()) ),   2, 0),  1, 1), 
  IFERROR( INDEX(FILTER('1. DATA CHUNG'!$J$4:$J$105, (TRIM('1. DATA CHUNG'!$I$4:$I$105)=TRIM(K343)) * IF(COUNTIFS('1. DATA CHUNG'!$I$4:$I$105,K343,'1. DATA CHUNG'!$M$4:$M$105,Q343), '1."&amp;" DATA CHUNG'!$M$4:$M$105=Q343, 1) * ('1. DATA CHUNG'!$L$4:$L$105="""")), 1), ""Không tìm thấy"" ))"),7.0)</f>
        <v>7</v>
      </c>
      <c r="AI343" s="273">
        <f t="shared" si="2"/>
        <v>46056</v>
      </c>
      <c r="AJ343" s="287"/>
      <c r="AK343" s="286">
        <f t="shared" si="3"/>
        <v>0</v>
      </c>
      <c r="AL343" s="287" t="str">
        <f t="shared" si="4"/>
        <v/>
      </c>
      <c r="AM343" s="287" t="str">
        <f t="shared" si="5"/>
        <v/>
      </c>
      <c r="AN343" s="279">
        <f t="shared" si="6"/>
        <v>1</v>
      </c>
      <c r="AO343" s="295" t="str">
        <f t="shared" si="7"/>
        <v>01/2026</v>
      </c>
      <c r="AP343" s="277" t="str">
        <f t="array" ref="AP343">IFERROR(XLOOKUP(L343,'2. DATA NL, VTBB'!C:C,'2. DATA NL, VTBB'!F:F),"")</f>
        <v>HH0024</v>
      </c>
      <c r="AQ343" s="277" t="str">
        <f t="array" ref="AQ343">IF(OR(K343="Nhãn", K343="Nhãn thùng",K343="Nhãn Túi"), K343 &amp; " " &amp; IFERROR(XLOOKUP(L343, '2. DATA NL, VTBB'!C:C, '2. DATA NL, VTBB'!E:E), ""), "")</f>
        <v/>
      </c>
      <c r="AR343" s="278" t="str">
        <f t="array" ref="AR343">IFERROR(XLOOKUP(L343,'2. DATA NL, VTBB'!C:C,'2. DATA NL, VTBB'!G:G),"")</f>
        <v>GC - I - 363 - AU - Diệt sạch sâu - nhện AGC (Chai nhôm đỏ) - 220ml - 40</v>
      </c>
      <c r="AS343" s="278" t="str">
        <f t="array" ref="AS343">IFERROR(XLOOKUP(L343,'2. DATA NL, VTBB'!C:C,'2. DATA NL, VTBB'!G:G),"")</f>
        <v>GC - I - 363 - AU - Diệt sạch sâu - nhện AGC (Chai nhôm đỏ) - 220ml - 40</v>
      </c>
      <c r="AT343" s="277"/>
    </row>
    <row r="344" ht="30.75" customHeight="1">
      <c r="A344" s="272">
        <f t="shared" si="44"/>
        <v>341</v>
      </c>
      <c r="B344" s="289">
        <v>46049.0</v>
      </c>
      <c r="C344" s="289">
        <v>46053.0</v>
      </c>
      <c r="D344" s="289">
        <v>46091.0</v>
      </c>
      <c r="E344" s="289">
        <v>46079.0</v>
      </c>
      <c r="F344" s="274" t="s">
        <v>561</v>
      </c>
      <c r="G344" s="275" t="s">
        <v>562</v>
      </c>
      <c r="H344" s="274" t="s">
        <v>304</v>
      </c>
      <c r="I344" s="275" t="s">
        <v>759</v>
      </c>
      <c r="J344" s="272" t="s">
        <v>1041</v>
      </c>
      <c r="K344" s="275" t="s">
        <v>728</v>
      </c>
      <c r="L344" s="277" t="s">
        <v>1042</v>
      </c>
      <c r="M344" s="278" t="str">
        <f t="array" ref="M344">IFERROR(XLOOKUP(L344,'2. DATA NL, VTBB'!C:C,'2. DATA NL, VTBB'!D:D),"")</f>
        <v>AT - Chai HDPE vuông cổ 39 1L Trắng (130gr)</v>
      </c>
      <c r="N344" s="280"/>
      <c r="O344" s="280" t="str">
        <f t="array" ref="O344">IFERROR( XLOOKUP(L344,'2. DATA NL, VTBB'!C:C,'2. DATA NL, VTBB'!E:E),"")</f>
        <v>Hỗn hợp NPK BASEL NPK 7-5-44 IDA 45</v>
      </c>
      <c r="P344" s="275" t="s">
        <v>565</v>
      </c>
      <c r="Q344" s="311"/>
      <c r="R344" s="290" t="s">
        <v>566</v>
      </c>
      <c r="S344" s="280"/>
      <c r="T344" s="277"/>
      <c r="U344" s="277"/>
      <c r="V344" s="283">
        <v>2000.0</v>
      </c>
      <c r="W344" s="275" t="s">
        <v>699</v>
      </c>
      <c r="X344" s="283">
        <v>2000.0</v>
      </c>
      <c r="Y344" s="274">
        <v>2016.0</v>
      </c>
      <c r="Z344" s="272">
        <v>6200.0</v>
      </c>
      <c r="AA344" s="285">
        <v>0.08</v>
      </c>
      <c r="AB344" s="282">
        <v>1.3499136E7</v>
      </c>
      <c r="AC344" s="277"/>
      <c r="AD344" s="289">
        <v>46049.0</v>
      </c>
      <c r="AE344" s="312"/>
      <c r="AF344" s="277"/>
      <c r="AG344" s="277"/>
      <c r="AH344" s="294">
        <f>IFERROR(__xludf.DUMMYFUNCTION("IFERROR(INDEX( SORT(FILTER(
        {'1. DATA CHUNG'!$J$4:$J$105 , '1. DATA CHUNG'!$L$4:$L$105}, (TRIM('1. DATA CHUNG'!$I$4:$I$105)=TRIM(K344)) * IF(COUNTIFS('1. DATA CHUNG'!$I$4:$I$105,K344,'1. DATA CHUNG'!$M$4:$M$105,Q344), '1. DATA CHUNG'!$M$4:$M$105=Q"&amp;"344, 1) * ('1. DATA CHUNG'!$L$4:$L$105&lt;=TODAY()) ),   2, 0),  1, 1), 
  IFERROR( INDEX(FILTER('1. DATA CHUNG'!$J$4:$J$105, (TRIM('1. DATA CHUNG'!$I$4:$I$105)=TRIM(K344)) * IF(COUNTIFS('1. DATA CHUNG'!$I$4:$I$105,K344,'1. DATA CHUNG'!$M$4:$M$105,Q344), '1."&amp;" DATA CHUNG'!$M$4:$M$105=Q344, 1) * ('1. DATA CHUNG'!$L$4:$L$105="""")), 1), ""Không tìm thấy"" ))"),7.0)</f>
        <v>7</v>
      </c>
      <c r="AI344" s="273">
        <f t="shared" si="2"/>
        <v>46056</v>
      </c>
      <c r="AJ344" s="287"/>
      <c r="AK344" s="286">
        <f t="shared" si="3"/>
        <v>0</v>
      </c>
      <c r="AL344" s="287">
        <f t="shared" si="4"/>
        <v>12</v>
      </c>
      <c r="AM344" s="287">
        <f t="shared" si="5"/>
        <v>-23</v>
      </c>
      <c r="AN344" s="279">
        <f t="shared" si="6"/>
        <v>3</v>
      </c>
      <c r="AO344" s="295" t="str">
        <f t="shared" si="7"/>
        <v>01/2026</v>
      </c>
      <c r="AP344" s="277" t="str">
        <f t="array" ref="AP344">IFERROR(XLOOKUP(L344,'2. DATA NL, VTBB'!C:C,'2. DATA NL, VTBB'!F:F),"")</f>
        <v>HH0186</v>
      </c>
      <c r="AQ344" s="277" t="str">
        <f t="array" ref="AQ344">IF(OR(K344="Nhãn", K344="Nhãn thùng",K344="Nhãn Túi"), K344 &amp; " " &amp; IFERROR(XLOOKUP(L344, '2. DATA NL, VTBB'!C:C, '2. DATA NL, VTBB'!E:E), ""), "")</f>
        <v/>
      </c>
      <c r="AR344" s="278" t="str">
        <f t="array" ref="AR344">IFERROR(XLOOKUP(L344,'2. DATA NL, VTBB'!C:C,'2. DATA NL, VTBB'!G:G),"")</f>
        <v>IDA Global - I - ĐL Minh Nga - 777 - Winner - 50gr - 300</v>
      </c>
      <c r="AS344" s="278" t="str">
        <f t="array" ref="AS344">IFERROR(XLOOKUP(L344,'2. DATA NL, VTBB'!C:C,'2. DATA NL, VTBB'!G:G),"")</f>
        <v>IDA Global - I - ĐL Minh Nga - 777 - Winner - 50gr - 300</v>
      </c>
      <c r="AT344" s="277"/>
    </row>
    <row r="345" ht="30.75" customHeight="1">
      <c r="A345" s="272">
        <f t="shared" si="44"/>
        <v>342</v>
      </c>
      <c r="B345" s="289">
        <v>46049.0</v>
      </c>
      <c r="C345" s="289">
        <v>46053.0</v>
      </c>
      <c r="D345" s="289">
        <v>46091.0</v>
      </c>
      <c r="E345" s="289">
        <v>46079.0</v>
      </c>
      <c r="F345" s="274" t="s">
        <v>561</v>
      </c>
      <c r="G345" s="275" t="s">
        <v>562</v>
      </c>
      <c r="H345" s="274" t="s">
        <v>304</v>
      </c>
      <c r="I345" s="275" t="s">
        <v>759</v>
      </c>
      <c r="J345" s="272" t="s">
        <v>1041</v>
      </c>
      <c r="K345" s="275" t="s">
        <v>730</v>
      </c>
      <c r="L345" s="277" t="s">
        <v>991</v>
      </c>
      <c r="M345" s="278" t="str">
        <f t="array" ref="M345">IFERROR(XLOOKUP(L345,'2. DATA NL, VTBB'!C:C,'2. DATA NL, VTBB'!D:D),"")</f>
        <v>AT - Nắp HD có Guarantee cổ 39 (8.2gr) -Trắng</v>
      </c>
      <c r="N345" s="280"/>
      <c r="O345" s="280" t="str">
        <f t="array" ref="O345">IFERROR( XLOOKUP(L345,'2. DATA NL, VTBB'!C:C,'2. DATA NL, VTBB'!E:E),"")</f>
        <v>Prima 04</v>
      </c>
      <c r="P345" s="275" t="s">
        <v>565</v>
      </c>
      <c r="Q345" s="311"/>
      <c r="R345" s="290" t="s">
        <v>566</v>
      </c>
      <c r="S345" s="280"/>
      <c r="T345" s="277"/>
      <c r="U345" s="277"/>
      <c r="V345" s="283">
        <v>2000.0</v>
      </c>
      <c r="W345" s="275" t="s">
        <v>699</v>
      </c>
      <c r="X345" s="283">
        <v>2000.0</v>
      </c>
      <c r="Y345" s="274">
        <v>2016.0</v>
      </c>
      <c r="Z345" s="272">
        <f>950+350</f>
        <v>1300</v>
      </c>
      <c r="AA345" s="285">
        <v>0.08</v>
      </c>
      <c r="AB345" s="282">
        <v>2830464.0</v>
      </c>
      <c r="AC345" s="277"/>
      <c r="AD345" s="289">
        <v>46049.0</v>
      </c>
      <c r="AE345" s="312"/>
      <c r="AF345" s="277"/>
      <c r="AG345" s="277"/>
      <c r="AH345" s="294">
        <f>IFERROR(__xludf.DUMMYFUNCTION("IFERROR(INDEX( SORT(FILTER(
        {'1. DATA CHUNG'!$J$4:$J$105 , '1. DATA CHUNG'!$L$4:$L$105}, (TRIM('1. DATA CHUNG'!$I$4:$I$105)=TRIM(K345)) * IF(COUNTIFS('1. DATA CHUNG'!$I$4:$I$105,K345,'1. DATA CHUNG'!$M$4:$M$105,Q345), '1. DATA CHUNG'!$M$4:$M$105=Q"&amp;"345, 1) * ('1. DATA CHUNG'!$L$4:$L$105&lt;=TODAY()) ),   2, 0),  1, 1), 
  IFERROR( INDEX(FILTER('1. DATA CHUNG'!$J$4:$J$105, (TRIM('1. DATA CHUNG'!$I$4:$I$105)=TRIM(K345)) * IF(COUNTIFS('1. DATA CHUNG'!$I$4:$I$105,K345,'1. DATA CHUNG'!$M$4:$M$105,Q345), '1."&amp;" DATA CHUNG'!$M$4:$M$105=Q345, 1) * ('1. DATA CHUNG'!$L$4:$L$105="""")), 1), ""Không tìm thấy"" ))"),7.0)</f>
        <v>7</v>
      </c>
      <c r="AI345" s="273">
        <f t="shared" si="2"/>
        <v>46056</v>
      </c>
      <c r="AJ345" s="287"/>
      <c r="AK345" s="286">
        <f t="shared" si="3"/>
        <v>0</v>
      </c>
      <c r="AL345" s="287">
        <f t="shared" si="4"/>
        <v>12</v>
      </c>
      <c r="AM345" s="287">
        <f t="shared" si="5"/>
        <v>-23</v>
      </c>
      <c r="AN345" s="279">
        <f t="shared" si="6"/>
        <v>3</v>
      </c>
      <c r="AO345" s="295" t="str">
        <f t="shared" si="7"/>
        <v>01/2026</v>
      </c>
      <c r="AP345" s="277" t="str">
        <f t="array" ref="AP345">IFERROR(XLOOKUP(L345,'2. DATA NL, VTBB'!C:C,'2. DATA NL, VTBB'!F:F),"")</f>
        <v>HH0131</v>
      </c>
      <c r="AQ345" s="277" t="str">
        <f t="array" ref="AQ345">IF(OR(K345="Nhãn", K345="Nhãn thùng",K345="Nhãn Túi"), K345 &amp; " " &amp; IFERROR(XLOOKUP(L345, '2. DATA NL, VTBB'!C:C, '2. DATA NL, VTBB'!E:E), ""), "")</f>
        <v/>
      </c>
      <c r="AR345" s="278" t="str">
        <f t="array" ref="AR345">IFERROR(XLOOKUP(L345,'2. DATA NL, VTBB'!C:C,'2. DATA NL, VTBB'!G:G),"")</f>
        <v>GC - IV - 817 - Agriscience - Calcibor (Chai Pet) - 500ml - 40</v>
      </c>
      <c r="AS345" s="278" t="str">
        <f t="array" ref="AS345">IFERROR(XLOOKUP(L345,'2. DATA NL, VTBB'!C:C,'2. DATA NL, VTBB'!G:G),"")</f>
        <v>GC - IV - 817 - Agriscience - Calcibor (Chai Pet) - 500ml - 40</v>
      </c>
      <c r="AT345" s="277"/>
    </row>
    <row r="346" ht="30.75" customHeight="1">
      <c r="A346" s="320">
        <f t="shared" si="44"/>
        <v>343</v>
      </c>
      <c r="B346" s="321">
        <v>46049.0</v>
      </c>
      <c r="C346" s="321">
        <v>46055.0</v>
      </c>
      <c r="D346" s="321">
        <v>46076.0</v>
      </c>
      <c r="E346" s="322"/>
      <c r="F346" s="323" t="s">
        <v>561</v>
      </c>
      <c r="G346" s="324" t="s">
        <v>562</v>
      </c>
      <c r="H346" s="323" t="s">
        <v>304</v>
      </c>
      <c r="I346" s="324" t="s">
        <v>806</v>
      </c>
      <c r="J346" s="320" t="s">
        <v>1043</v>
      </c>
      <c r="K346" s="324" t="s">
        <v>728</v>
      </c>
      <c r="L346" s="325" t="s">
        <v>1044</v>
      </c>
      <c r="M346" s="326" t="str">
        <f t="array" ref="M346">IFERROR(XLOOKUP(L346,'2. DATA NL, VTBB'!C:C,'2. DATA NL, VTBB'!D:D),"")</f>
        <v>Chai nhôm tròn 500ml Thân lùn (100gr) -  Trắng bạc - Nắp trắng có cốc đông</v>
      </c>
      <c r="N346" s="327"/>
      <c r="O346" s="327" t="str">
        <f t="array" ref="O346">IFERROR( XLOOKUP(L346,'2. DATA NL, VTBB'!C:C,'2. DATA NL, VTBB'!E:E),"")</f>
        <v>Pim.Pim 75WP</v>
      </c>
      <c r="P346" s="324" t="s">
        <v>565</v>
      </c>
      <c r="Q346" s="328"/>
      <c r="R346" s="324" t="s">
        <v>573</v>
      </c>
      <c r="S346" s="327"/>
      <c r="T346" s="325"/>
      <c r="U346" s="325"/>
      <c r="V346" s="329">
        <v>800.0</v>
      </c>
      <c r="W346" s="324" t="s">
        <v>699</v>
      </c>
      <c r="X346" s="329">
        <v>800.0</v>
      </c>
      <c r="Y346" s="323">
        <v>800.0</v>
      </c>
      <c r="Z346" s="320">
        <v>15272.72</v>
      </c>
      <c r="AA346" s="330">
        <v>0.08</v>
      </c>
      <c r="AB346" s="331">
        <v>1.319563E7</v>
      </c>
      <c r="AC346" s="325"/>
      <c r="AD346" s="321">
        <v>46049.0</v>
      </c>
      <c r="AE346" s="332"/>
      <c r="AF346" s="325"/>
      <c r="AG346" s="325"/>
      <c r="AH346" s="333">
        <f>IFERROR(__xludf.DUMMYFUNCTION("IFERROR(INDEX( SORT(FILTER(
        {'1. DATA CHUNG'!$J$4:$J$105 , '1. DATA CHUNG'!$L$4:$L$105}, (TRIM('1. DATA CHUNG'!$I$4:$I$105)=TRIM(K346)) * IF(COUNTIFS('1. DATA CHUNG'!$I$4:$I$105,K346,'1. DATA CHUNG'!$M$4:$M$105,Q346), '1. DATA CHUNG'!$M$4:$M$105=Q"&amp;"346, 1) * ('1. DATA CHUNG'!$L$4:$L$105&lt;=TODAY()) ),   2, 0),  1, 1), 
  IFERROR( INDEX(FILTER('1. DATA CHUNG'!$J$4:$J$105, (TRIM('1. DATA CHUNG'!$I$4:$I$105)=TRIM(K346)) * IF(COUNTIFS('1. DATA CHUNG'!$I$4:$I$105,K346,'1. DATA CHUNG'!$M$4:$M$105,Q346), '1."&amp;" DATA CHUNG'!$M$4:$M$105=Q346, 1) * ('1. DATA CHUNG'!$L$4:$L$105="""")), 1), ""Không tìm thấy"" ))"),7.0)</f>
        <v>7</v>
      </c>
      <c r="AI346" s="334">
        <f t="shared" si="2"/>
        <v>46056</v>
      </c>
      <c r="AJ346" s="335"/>
      <c r="AK346" s="336">
        <f t="shared" si="3"/>
        <v>0</v>
      </c>
      <c r="AL346" s="335" t="str">
        <f t="shared" si="4"/>
        <v/>
      </c>
      <c r="AM346" s="335" t="str">
        <f t="shared" si="5"/>
        <v/>
      </c>
      <c r="AN346" s="337">
        <f t="shared" si="6"/>
        <v>1</v>
      </c>
      <c r="AO346" s="338" t="str">
        <f t="shared" si="7"/>
        <v>01/2026</v>
      </c>
      <c r="AP346" s="325" t="str">
        <f t="array" ref="AP346">IFERROR(XLOOKUP(L346,'2. DATA NL, VTBB'!C:C,'2. DATA NL, VTBB'!F:F),"")</f>
        <v>HH0071</v>
      </c>
      <c r="AQ346" s="325" t="str">
        <f t="array" ref="AQ346">IF(OR(K346="Nhãn", K346="Nhãn thùng",K346="Nhãn Túi"), K346 &amp; " " &amp; IFERROR(XLOOKUP(L346, '2. DATA NL, VTBB'!C:C, '2. DATA NL, VTBB'!E:E), ""), "")</f>
        <v/>
      </c>
      <c r="AR346" s="278" t="str">
        <f t="array" ref="AR346">IFERROR(XLOOKUP(L346,'2. DATA NL, VTBB'!C:C,'2. DATA NL, VTBB'!G:G),"")</f>
        <v>IDA Global - I - 530.1 - Sức mạnh Tricyclazole - New 35gr - 300</v>
      </c>
      <c r="AS346" s="278" t="str">
        <f t="array" ref="AS346">IFERROR(XLOOKUP(L346,'2. DATA NL, VTBB'!C:C,'2. DATA NL, VTBB'!G:G),"")</f>
        <v>IDA Global - I - 530.1 - Sức mạnh Tricyclazole - New 35gr - 300</v>
      </c>
      <c r="AT346" s="325"/>
    </row>
    <row r="347" ht="30.75" customHeight="1">
      <c r="A347" s="272">
        <f t="shared" si="44"/>
        <v>344</v>
      </c>
      <c r="B347" s="289">
        <v>46050.0</v>
      </c>
      <c r="C347" s="289">
        <v>46055.0</v>
      </c>
      <c r="D347" s="289">
        <v>46051.0</v>
      </c>
      <c r="E347" s="289">
        <v>46051.0</v>
      </c>
      <c r="F347" s="274" t="s">
        <v>561</v>
      </c>
      <c r="G347" s="275" t="s">
        <v>580</v>
      </c>
      <c r="H347" s="274" t="s">
        <v>304</v>
      </c>
      <c r="I347" s="275" t="s">
        <v>726</v>
      </c>
      <c r="J347" s="272" t="s">
        <v>1045</v>
      </c>
      <c r="K347" s="275" t="s">
        <v>728</v>
      </c>
      <c r="L347" s="277" t="s">
        <v>778</v>
      </c>
      <c r="M347" s="278" t="str">
        <f t="array" ref="M347">IFERROR(XLOOKUP(L347,'2. DATA NL, VTBB'!C:C,'2. DATA NL, VTBB'!D:D),"")</f>
        <v>Chai PET tròn cổ 44 500ml (45g) Trắng</v>
      </c>
      <c r="N347" s="280"/>
      <c r="O347" s="280" t="str">
        <f t="array" ref="O347">IFERROR( XLOOKUP(L347,'2. DATA NL, VTBB'!C:C,'2. DATA NL, VTBB'!E:E),"")</f>
        <v>Chitin 3.6EC</v>
      </c>
      <c r="P347" s="275" t="s">
        <v>565</v>
      </c>
      <c r="Q347" s="311"/>
      <c r="R347" s="291" t="s">
        <v>573</v>
      </c>
      <c r="S347" s="280"/>
      <c r="T347" s="277"/>
      <c r="U347" s="277"/>
      <c r="V347" s="283">
        <v>4000.0</v>
      </c>
      <c r="W347" s="275" t="s">
        <v>699</v>
      </c>
      <c r="X347" s="283">
        <v>4000.0</v>
      </c>
      <c r="Y347" s="274">
        <v>4032.0</v>
      </c>
      <c r="Z347" s="272">
        <v>1900.0</v>
      </c>
      <c r="AA347" s="285">
        <v>0.08</v>
      </c>
      <c r="AB347" s="282">
        <v>8273664.0</v>
      </c>
      <c r="AC347" s="277"/>
      <c r="AD347" s="289">
        <v>46050.0</v>
      </c>
      <c r="AE347" s="312"/>
      <c r="AF347" s="277"/>
      <c r="AG347" s="277"/>
      <c r="AH347" s="294">
        <f>IFERROR(__xludf.DUMMYFUNCTION("IFERROR(INDEX( SORT(FILTER(
        {'1. DATA CHUNG'!$J$4:$J$105 , '1. DATA CHUNG'!$L$4:$L$105}, (TRIM('1. DATA CHUNG'!$I$4:$I$105)=TRIM(K347)) * IF(COUNTIFS('1. DATA CHUNG'!$I$4:$I$105,K347,'1. DATA CHUNG'!$M$4:$M$105,Q347), '1. DATA CHUNG'!$M$4:$M$105=Q"&amp;"347, 1) * ('1. DATA CHUNG'!$L$4:$L$105&lt;=TODAY()) ),   2, 0),  1, 1), 
  IFERROR( INDEX(FILTER('1. DATA CHUNG'!$J$4:$J$105, (TRIM('1. DATA CHUNG'!$I$4:$I$105)=TRIM(K347)) * IF(COUNTIFS('1. DATA CHUNG'!$I$4:$I$105,K347,'1. DATA CHUNG'!$M$4:$M$105,Q347), '1."&amp;" DATA CHUNG'!$M$4:$M$105=Q347, 1) * ('1. DATA CHUNG'!$L$4:$L$105="""")), 1), ""Không tìm thấy"" ))"),7.0)</f>
        <v>7</v>
      </c>
      <c r="AI347" s="273">
        <f t="shared" si="2"/>
        <v>46057</v>
      </c>
      <c r="AJ347" s="287"/>
      <c r="AK347" s="286">
        <f t="shared" si="3"/>
        <v>0</v>
      </c>
      <c r="AL347" s="287">
        <f t="shared" si="4"/>
        <v>0</v>
      </c>
      <c r="AM347" s="287">
        <f t="shared" si="5"/>
        <v>6</v>
      </c>
      <c r="AN347" s="279">
        <f t="shared" si="6"/>
        <v>2</v>
      </c>
      <c r="AO347" s="295" t="str">
        <f t="shared" si="7"/>
        <v>01/2026</v>
      </c>
      <c r="AP347" s="277" t="str">
        <f t="array" ref="AP347">IFERROR(XLOOKUP(L347,'2. DATA NL, VTBB'!C:C,'2. DATA NL, VTBB'!F:F),"")</f>
        <v>HH0234</v>
      </c>
      <c r="AQ347" s="277" t="str">
        <f t="array" ref="AQ347">IF(OR(K347="Nhãn", K347="Nhãn thùng",K347="Nhãn Túi"), K347 &amp; " " &amp; IFERROR(XLOOKUP(L347, '2. DATA NL, VTBB'!C:C, '2. DATA NL, VTBB'!E:E), ""), "")</f>
        <v/>
      </c>
      <c r="AR347" s="278" t="str">
        <f t="array" ref="AR347">IFERROR(XLOOKUP(L347,'2. DATA NL, VTBB'!C:C,'2. DATA NL, VTBB'!G:G),"")</f>
        <v>LOT IDA Global - I - 875 - ĐL Bảo Tại - Avermectin 36 (Pet tròn) (nắp đỏ)(nước nâu đen) - 450ml - 40</v>
      </c>
      <c r="AS347" s="278" t="str">
        <f t="array" ref="AS347">IFERROR(XLOOKUP(L347,'2. DATA NL, VTBB'!C:C,'2. DATA NL, VTBB'!G:G),"")</f>
        <v>LOT IDA Global - I - 875 - ĐL Bảo Tại - Avermectin 36 (Pet tròn) (nắp đỏ)(nước nâu đen) - 450ml - 40</v>
      </c>
      <c r="AT347" s="277"/>
    </row>
    <row r="348" ht="30.75" customHeight="1">
      <c r="A348" s="272">
        <f t="shared" si="44"/>
        <v>345</v>
      </c>
      <c r="B348" s="289">
        <v>46050.0</v>
      </c>
      <c r="C348" s="289">
        <v>46055.0</v>
      </c>
      <c r="D348" s="289">
        <v>46051.0</v>
      </c>
      <c r="E348" s="289">
        <v>46051.0</v>
      </c>
      <c r="F348" s="274" t="s">
        <v>561</v>
      </c>
      <c r="G348" s="275" t="s">
        <v>580</v>
      </c>
      <c r="H348" s="274" t="s">
        <v>304</v>
      </c>
      <c r="I348" s="275" t="s">
        <v>726</v>
      </c>
      <c r="J348" s="272" t="s">
        <v>1045</v>
      </c>
      <c r="K348" s="275" t="s">
        <v>730</v>
      </c>
      <c r="L348" s="277" t="s">
        <v>779</v>
      </c>
      <c r="M348" s="278" t="str">
        <f t="array" ref="M348">IFERROR(XLOOKUP(L348,'2. DATA NL, VTBB'!C:C,'2. DATA NL, VTBB'!D:D),"")</f>
        <v>Nắp PET cổ 44 (9g) - Trắng</v>
      </c>
      <c r="N348" s="280"/>
      <c r="O348" s="280" t="str">
        <f t="array" ref="O348">IFERROR( XLOOKUP(L348,'2. DATA NL, VTBB'!C:C,'2. DATA NL, VTBB'!E:E),"")</f>
        <v>IMIPRID 10WP</v>
      </c>
      <c r="P348" s="275" t="s">
        <v>565</v>
      </c>
      <c r="Q348" s="311"/>
      <c r="R348" s="291" t="s">
        <v>573</v>
      </c>
      <c r="S348" s="280"/>
      <c r="T348" s="277"/>
      <c r="U348" s="277"/>
      <c r="V348" s="283">
        <v>4000.0</v>
      </c>
      <c r="W348" s="275" t="s">
        <v>699</v>
      </c>
      <c r="X348" s="283">
        <v>4000.0</v>
      </c>
      <c r="Y348" s="274">
        <v>4032.0</v>
      </c>
      <c r="Z348" s="272">
        <v>900.0</v>
      </c>
      <c r="AA348" s="285">
        <v>0.08</v>
      </c>
      <c r="AB348" s="282">
        <v>3919104.0</v>
      </c>
      <c r="AC348" s="277"/>
      <c r="AD348" s="289">
        <v>46050.0</v>
      </c>
      <c r="AE348" s="312"/>
      <c r="AF348" s="277"/>
      <c r="AG348" s="277"/>
      <c r="AH348" s="294">
        <f>IFERROR(__xludf.DUMMYFUNCTION("IFERROR(INDEX( SORT(FILTER(
        {'1. DATA CHUNG'!$J$4:$J$105 , '1. DATA CHUNG'!$L$4:$L$105}, (TRIM('1. DATA CHUNG'!$I$4:$I$105)=TRIM(K348)) * IF(COUNTIFS('1. DATA CHUNG'!$I$4:$I$105,K348,'1. DATA CHUNG'!$M$4:$M$105,Q348), '1. DATA CHUNG'!$M$4:$M$105=Q"&amp;"348, 1) * ('1. DATA CHUNG'!$L$4:$L$105&lt;=TODAY()) ),   2, 0),  1, 1), 
  IFERROR( INDEX(FILTER('1. DATA CHUNG'!$J$4:$J$105, (TRIM('1. DATA CHUNG'!$I$4:$I$105)=TRIM(K348)) * IF(COUNTIFS('1. DATA CHUNG'!$I$4:$I$105,K348,'1. DATA CHUNG'!$M$4:$M$105,Q348), '1."&amp;" DATA CHUNG'!$M$4:$M$105=Q348, 1) * ('1. DATA CHUNG'!$L$4:$L$105="""")), 1), ""Không tìm thấy"" ))"),7.0)</f>
        <v>7</v>
      </c>
      <c r="AI348" s="273">
        <f t="shared" si="2"/>
        <v>46057</v>
      </c>
      <c r="AJ348" s="287"/>
      <c r="AK348" s="286">
        <f t="shared" si="3"/>
        <v>0</v>
      </c>
      <c r="AL348" s="287">
        <f t="shared" si="4"/>
        <v>0</v>
      </c>
      <c r="AM348" s="287">
        <f t="shared" si="5"/>
        <v>6</v>
      </c>
      <c r="AN348" s="279">
        <f t="shared" si="6"/>
        <v>2</v>
      </c>
      <c r="AO348" s="295" t="str">
        <f t="shared" si="7"/>
        <v>01/2026</v>
      </c>
      <c r="AP348" s="277" t="str">
        <f t="array" ref="AP348">IFERROR(XLOOKUP(L348,'2. DATA NL, VTBB'!C:C,'2. DATA NL, VTBB'!F:F),"")</f>
        <v>HH0163</v>
      </c>
      <c r="AQ348" s="277" t="str">
        <f t="array" ref="AQ348">IF(OR(K348="Nhãn", K348="Nhãn thùng",K348="Nhãn Túi"), K348 &amp; " " &amp; IFERROR(XLOOKUP(L348, '2. DATA NL, VTBB'!C:C, '2. DATA NL, VTBB'!E:E), ""), "")</f>
        <v/>
      </c>
      <c r="AR348" s="278" t="str">
        <f t="array" ref="AR348">IFERROR(XLOOKUP(L348,'2. DATA NL, VTBB'!C:C,'2. DATA NL, VTBB'!G:G),"")</f>
        <v>GC - IV - 888.1 - Huy Phát - BI Pro Max (Bột trắng) - 100gr - 100</v>
      </c>
      <c r="AS348" s="278" t="str">
        <f t="array" ref="AS348">IFERROR(XLOOKUP(L348,'2. DATA NL, VTBB'!C:C,'2. DATA NL, VTBB'!G:G),"")</f>
        <v>GC - IV - 888.1 - Huy Phát - BI Pro Max (Bột trắng) - 100gr - 100</v>
      </c>
      <c r="AT348" s="277"/>
    </row>
    <row r="349" ht="30.75" customHeight="1">
      <c r="A349" s="272">
        <f t="shared" si="44"/>
        <v>346</v>
      </c>
      <c r="B349" s="289">
        <v>46051.0</v>
      </c>
      <c r="C349" s="289">
        <v>46057.0</v>
      </c>
      <c r="D349" s="289">
        <v>46058.0</v>
      </c>
      <c r="E349" s="289">
        <v>46057.0</v>
      </c>
      <c r="F349" s="274" t="s">
        <v>561</v>
      </c>
      <c r="G349" s="275" t="s">
        <v>562</v>
      </c>
      <c r="H349" s="274" t="s">
        <v>304</v>
      </c>
      <c r="I349" s="275" t="s">
        <v>726</v>
      </c>
      <c r="J349" s="272" t="s">
        <v>1046</v>
      </c>
      <c r="K349" s="275" t="s">
        <v>728</v>
      </c>
      <c r="L349" s="277" t="s">
        <v>740</v>
      </c>
      <c r="M349" s="278" t="str">
        <f t="array" ref="M349">IFERROR(XLOOKUP(L349,'2. DATA NL, VTBB'!C:C,'2. DATA NL, VTBB'!D:D),"")</f>
        <v>PN - Chai HDPE tròn cổ 45 1Lít (110g) - Xám (không ganty)</v>
      </c>
      <c r="N349" s="280"/>
      <c r="O349" s="280" t="str">
        <f t="array" ref="O349">IFERROR( XLOOKUP(L349,'2. DATA NL, VTBB'!C:C,'2. DATA NL, VTBB'!E:E),"")</f>
        <v>Chitin 3.6EC</v>
      </c>
      <c r="P349" s="275" t="s">
        <v>565</v>
      </c>
      <c r="Q349" s="311"/>
      <c r="R349" s="291" t="s">
        <v>573</v>
      </c>
      <c r="S349" s="280"/>
      <c r="T349" s="277"/>
      <c r="U349" s="277"/>
      <c r="V349" s="283">
        <v>2000.0</v>
      </c>
      <c r="W349" s="275" t="s">
        <v>699</v>
      </c>
      <c r="X349" s="283">
        <v>2000.0</v>
      </c>
      <c r="Y349" s="274">
        <v>2025.0</v>
      </c>
      <c r="Z349" s="287">
        <v>4700.0</v>
      </c>
      <c r="AA349" s="285">
        <v>0.08</v>
      </c>
      <c r="AB349" s="282">
        <v>1.02789E7</v>
      </c>
      <c r="AC349" s="277"/>
      <c r="AD349" s="289">
        <v>46051.0</v>
      </c>
      <c r="AE349" s="312"/>
      <c r="AF349" s="277"/>
      <c r="AG349" s="277"/>
      <c r="AH349" s="294">
        <f>IFERROR(__xludf.DUMMYFUNCTION("IFERROR(INDEX( SORT(FILTER(
        {'1. DATA CHUNG'!$J$4:$J$105 , '1. DATA CHUNG'!$L$4:$L$105}, (TRIM('1. DATA CHUNG'!$I$4:$I$105)=TRIM(K349)) * IF(COUNTIFS('1. DATA CHUNG'!$I$4:$I$105,K349,'1. DATA CHUNG'!$M$4:$M$105,Q349), '1. DATA CHUNG'!$M$4:$M$105=Q"&amp;"349, 1) * ('1. DATA CHUNG'!$L$4:$L$105&lt;=TODAY()) ),   2, 0),  1, 1), 
  IFERROR( INDEX(FILTER('1. DATA CHUNG'!$J$4:$J$105, (TRIM('1. DATA CHUNG'!$I$4:$I$105)=TRIM(K349)) * IF(COUNTIFS('1. DATA CHUNG'!$I$4:$I$105,K349,'1. DATA CHUNG'!$M$4:$M$105,Q349), '1."&amp;" DATA CHUNG'!$M$4:$M$105=Q349, 1) * ('1. DATA CHUNG'!$L$4:$L$105="""")), 1), ""Không tìm thấy"" ))"),7.0)</f>
        <v>7</v>
      </c>
      <c r="AI349" s="273">
        <f t="shared" si="2"/>
        <v>46058</v>
      </c>
      <c r="AJ349" s="287"/>
      <c r="AK349" s="286">
        <f t="shared" si="3"/>
        <v>0</v>
      </c>
      <c r="AL349" s="287">
        <f t="shared" si="4"/>
        <v>1</v>
      </c>
      <c r="AM349" s="287">
        <f t="shared" si="5"/>
        <v>1</v>
      </c>
      <c r="AN349" s="279">
        <f t="shared" si="6"/>
        <v>1</v>
      </c>
      <c r="AO349" s="295" t="str">
        <f t="shared" si="7"/>
        <v>01/2026</v>
      </c>
      <c r="AP349" s="277" t="str">
        <f t="array" ref="AP349">IFERROR(XLOOKUP(L349,'2. DATA NL, VTBB'!C:C,'2. DATA NL, VTBB'!F:F),"")</f>
        <v>HH0237</v>
      </c>
      <c r="AQ349" s="277" t="str">
        <f t="array" ref="AQ349">IF(OR(K349="Nhãn", K349="Nhãn thùng",K349="Nhãn Túi"), K349 &amp; " " &amp; IFERROR(XLOOKUP(L349, '2. DATA NL, VTBB'!C:C, '2. DATA NL, VTBB'!E:E), ""), "")</f>
        <v/>
      </c>
      <c r="AR349" s="278" t="str">
        <f t="array" ref="AR349">IFERROR(XLOOKUP(L349,'2. DATA NL, VTBB'!C:C,'2. DATA NL, VTBB'!G:G),"")</f>
        <v>LOT IDA Global - I - 881 - ĐL Trung Nhã - Avermectin (Pet vuông) (nắp vàng)(nước nâu đen) - 450ml - 40</v>
      </c>
      <c r="AS349" s="278" t="str">
        <f t="array" ref="AS349">IFERROR(XLOOKUP(L349,'2. DATA NL, VTBB'!C:C,'2. DATA NL, VTBB'!G:G),"")</f>
        <v>LOT IDA Global - I - 881 - ĐL Trung Nhã - Avermectin (Pet vuông) (nắp vàng)(nước nâu đen) - 450ml - 40</v>
      </c>
      <c r="AT349" s="277"/>
    </row>
    <row r="350" ht="30.75" customHeight="1">
      <c r="A350" s="272">
        <f t="shared" si="44"/>
        <v>347</v>
      </c>
      <c r="B350" s="289">
        <v>46051.0</v>
      </c>
      <c r="C350" s="289">
        <v>46057.0</v>
      </c>
      <c r="D350" s="289">
        <v>46058.0</v>
      </c>
      <c r="E350" s="289">
        <v>46057.0</v>
      </c>
      <c r="F350" s="274" t="s">
        <v>561</v>
      </c>
      <c r="G350" s="275" t="s">
        <v>562</v>
      </c>
      <c r="H350" s="274" t="s">
        <v>304</v>
      </c>
      <c r="I350" s="275" t="s">
        <v>726</v>
      </c>
      <c r="J350" s="272" t="s">
        <v>1046</v>
      </c>
      <c r="K350" s="275" t="s">
        <v>730</v>
      </c>
      <c r="L350" s="277" t="s">
        <v>741</v>
      </c>
      <c r="M350" s="278" t="str">
        <f t="array" ref="M350">IFERROR(XLOOKUP(L350,'2. DATA NL, VTBB'!C:C,'2. DATA NL, VTBB'!D:D),"")</f>
        <v>PN- Nắp HDPE cổ 45 (8g) - Xanh Lá (không ganty)</v>
      </c>
      <c r="N350" s="280"/>
      <c r="O350" s="280" t="str">
        <f t="array" ref="O350">IFERROR( XLOOKUP(L350,'2. DATA NL, VTBB'!C:C,'2. DATA NL, VTBB'!E:E),"")</f>
        <v>Chitin 3.6EC</v>
      </c>
      <c r="P350" s="275" t="s">
        <v>565</v>
      </c>
      <c r="Q350" s="311"/>
      <c r="R350" s="291" t="s">
        <v>573</v>
      </c>
      <c r="S350" s="280"/>
      <c r="T350" s="277"/>
      <c r="U350" s="277"/>
      <c r="V350" s="283">
        <v>2000.0</v>
      </c>
      <c r="W350" s="275" t="s">
        <v>699</v>
      </c>
      <c r="X350" s="283">
        <v>2000.0</v>
      </c>
      <c r="Y350" s="274">
        <v>2025.0</v>
      </c>
      <c r="Z350" s="272">
        <v>900.0</v>
      </c>
      <c r="AA350" s="285">
        <v>0.08</v>
      </c>
      <c r="AB350" s="282">
        <v>1968300.0</v>
      </c>
      <c r="AC350" s="277"/>
      <c r="AD350" s="289">
        <v>46051.0</v>
      </c>
      <c r="AE350" s="312"/>
      <c r="AF350" s="277"/>
      <c r="AG350" s="277"/>
      <c r="AH350" s="294">
        <f>IFERROR(__xludf.DUMMYFUNCTION("IFERROR(INDEX( SORT(FILTER(
        {'1. DATA CHUNG'!$J$4:$J$105 , '1. DATA CHUNG'!$L$4:$L$105}, (TRIM('1. DATA CHUNG'!$I$4:$I$105)=TRIM(K350)) * IF(COUNTIFS('1. DATA CHUNG'!$I$4:$I$105,K350,'1. DATA CHUNG'!$M$4:$M$105,Q350), '1. DATA CHUNG'!$M$4:$M$105=Q"&amp;"350, 1) * ('1. DATA CHUNG'!$L$4:$L$105&lt;=TODAY()) ),   2, 0),  1, 1), 
  IFERROR( INDEX(FILTER('1. DATA CHUNG'!$J$4:$J$105, (TRIM('1. DATA CHUNG'!$I$4:$I$105)=TRIM(K350)) * IF(COUNTIFS('1. DATA CHUNG'!$I$4:$I$105,K350,'1. DATA CHUNG'!$M$4:$M$105,Q350), '1."&amp;" DATA CHUNG'!$M$4:$M$105=Q350, 1) * ('1. DATA CHUNG'!$L$4:$L$105="""")), 1), ""Không tìm thấy"" ))"),7.0)</f>
        <v>7</v>
      </c>
      <c r="AI350" s="273">
        <f t="shared" si="2"/>
        <v>46058</v>
      </c>
      <c r="AJ350" s="287"/>
      <c r="AK350" s="286">
        <f t="shared" si="3"/>
        <v>0</v>
      </c>
      <c r="AL350" s="287">
        <f t="shared" si="4"/>
        <v>1</v>
      </c>
      <c r="AM350" s="287">
        <f t="shared" si="5"/>
        <v>1</v>
      </c>
      <c r="AN350" s="279">
        <f t="shared" si="6"/>
        <v>1</v>
      </c>
      <c r="AO350" s="295" t="str">
        <f t="shared" si="7"/>
        <v>01/2026</v>
      </c>
      <c r="AP350" s="277" t="str">
        <f t="array" ref="AP350">IFERROR(XLOOKUP(L350,'2. DATA NL, VTBB'!C:C,'2. DATA NL, VTBB'!F:F),"")</f>
        <v>HH0159</v>
      </c>
      <c r="AQ350" s="277" t="str">
        <f t="array" ref="AQ350">IF(OR(K350="Nhãn", K350="Nhãn thùng",K350="Nhãn Túi"), K350 &amp; " " &amp; IFERROR(XLOOKUP(L350, '2. DATA NL, VTBB'!C:C, '2. DATA NL, VTBB'!E:E), ""), "")</f>
        <v/>
      </c>
      <c r="AR350" s="278" t="str">
        <f t="array" ref="AR350">IFERROR(XLOOKUP(L350,'2. DATA NL, VTBB'!C:C,'2. DATA NL, VTBB'!G:G),"")</f>
        <v>LOT IDA Global - I - 882 - CT Notraco - Avermectin (Pet tròn) (nắp vàng)(nước nâu đen) - 450ml - 40</v>
      </c>
      <c r="AS350" s="278" t="str">
        <f t="array" ref="AS350">IFERROR(XLOOKUP(L350,'2. DATA NL, VTBB'!C:C,'2. DATA NL, VTBB'!G:G),"")</f>
        <v>LOT IDA Global - I - 882 - CT Notraco - Avermectin (Pet tròn) (nắp vàng)(nước nâu đen) - 450ml - 40</v>
      </c>
      <c r="AT350" s="277"/>
    </row>
    <row r="351" ht="30.75" customHeight="1">
      <c r="A351" s="272">
        <f t="shared" si="44"/>
        <v>348</v>
      </c>
      <c r="B351" s="289">
        <v>46051.0</v>
      </c>
      <c r="C351" s="289">
        <v>46057.0</v>
      </c>
      <c r="D351" s="289">
        <v>46057.0</v>
      </c>
      <c r="E351" s="289">
        <v>46057.0</v>
      </c>
      <c r="F351" s="274" t="s">
        <v>561</v>
      </c>
      <c r="G351" s="275" t="s">
        <v>562</v>
      </c>
      <c r="H351" s="274" t="s">
        <v>304</v>
      </c>
      <c r="I351" s="275" t="s">
        <v>726</v>
      </c>
      <c r="J351" s="272" t="s">
        <v>1047</v>
      </c>
      <c r="K351" s="275" t="s">
        <v>728</v>
      </c>
      <c r="L351" s="277" t="s">
        <v>742</v>
      </c>
      <c r="M351" s="278" t="str">
        <f t="array" ref="M351">IFERROR(XLOOKUP(L351,'2. DATA NL, VTBB'!C:C,'2. DATA NL, VTBB'!D:D),"")</f>
        <v>PN - Chai HDPE tròn cổ 45 1Lít (110g) - Trắng (không ganty)</v>
      </c>
      <c r="N351" s="280"/>
      <c r="O351" s="280" t="str">
        <f t="array" ref="O351">IFERROR( XLOOKUP(L351,'2. DATA NL, VTBB'!C:C,'2. DATA NL, VTBB'!E:E),"")</f>
        <v>CA MAP 350SC</v>
      </c>
      <c r="P351" s="275" t="s">
        <v>565</v>
      </c>
      <c r="Q351" s="311"/>
      <c r="R351" s="291" t="s">
        <v>573</v>
      </c>
      <c r="S351" s="280"/>
      <c r="T351" s="277"/>
      <c r="U351" s="277"/>
      <c r="V351" s="283">
        <v>2000.0</v>
      </c>
      <c r="W351" s="275" t="s">
        <v>699</v>
      </c>
      <c r="X351" s="283">
        <v>2000.0</v>
      </c>
      <c r="Y351" s="274">
        <v>2025.0</v>
      </c>
      <c r="Z351" s="287">
        <v>4700.0</v>
      </c>
      <c r="AA351" s="285">
        <v>0.08</v>
      </c>
      <c r="AB351" s="282">
        <v>1.02789E7</v>
      </c>
      <c r="AC351" s="277"/>
      <c r="AD351" s="289">
        <v>46051.0</v>
      </c>
      <c r="AE351" s="312"/>
      <c r="AF351" s="277"/>
      <c r="AG351" s="277"/>
      <c r="AH351" s="294">
        <f>IFERROR(__xludf.DUMMYFUNCTION("IFERROR(INDEX( SORT(FILTER(
        {'1. DATA CHUNG'!$J$4:$J$105 , '1. DATA CHUNG'!$L$4:$L$105}, (TRIM('1. DATA CHUNG'!$I$4:$I$105)=TRIM(K351)) * IF(COUNTIFS('1. DATA CHUNG'!$I$4:$I$105,K351,'1. DATA CHUNG'!$M$4:$M$105,Q351), '1. DATA CHUNG'!$M$4:$M$105=Q"&amp;"351, 1) * ('1. DATA CHUNG'!$L$4:$L$105&lt;=TODAY()) ),   2, 0),  1, 1), 
  IFERROR( INDEX(FILTER('1. DATA CHUNG'!$J$4:$J$105, (TRIM('1. DATA CHUNG'!$I$4:$I$105)=TRIM(K351)) * IF(COUNTIFS('1. DATA CHUNG'!$I$4:$I$105,K351,'1. DATA CHUNG'!$M$4:$M$105,Q351), '1."&amp;" DATA CHUNG'!$M$4:$M$105=Q351, 1) * ('1. DATA CHUNG'!$L$4:$L$105="""")), 1), ""Không tìm thấy"" ))"),7.0)</f>
        <v>7</v>
      </c>
      <c r="AI351" s="273">
        <f t="shared" si="2"/>
        <v>46058</v>
      </c>
      <c r="AJ351" s="287"/>
      <c r="AK351" s="286">
        <f t="shared" si="3"/>
        <v>0</v>
      </c>
      <c r="AL351" s="287">
        <f t="shared" si="4"/>
        <v>0</v>
      </c>
      <c r="AM351" s="287">
        <f t="shared" si="5"/>
        <v>1</v>
      </c>
      <c r="AN351" s="279">
        <f t="shared" si="6"/>
        <v>1</v>
      </c>
      <c r="AO351" s="295" t="str">
        <f t="shared" si="7"/>
        <v>01/2026</v>
      </c>
      <c r="AP351" s="277" t="str">
        <f t="array" ref="AP351">IFERROR(XLOOKUP(L351,'2. DATA NL, VTBB'!C:C,'2. DATA NL, VTBB'!F:F),"")</f>
        <v>HH0151</v>
      </c>
      <c r="AQ351" s="277" t="str">
        <f t="array" ref="AQ351">IF(OR(K351="Nhãn", K351="Nhãn thùng",K351="Nhãn Túi"), K351 &amp; " " &amp; IFERROR(XLOOKUP(L351, '2. DATA NL, VTBB'!C:C, '2. DATA NL, VTBB'!E:E), ""), "")</f>
        <v/>
      </c>
      <c r="AR351" s="278" t="str">
        <f t="array" ref="AR351">IFERROR(XLOOKUP(L351,'2. DATA NL, VTBB'!C:C,'2. DATA NL, VTBB'!G:G),"")</f>
        <v>IDA Global - I - 725 - Cá mập 350SC (chai HD) - 100ml - 100 ([btp],t,c)</v>
      </c>
      <c r="AS351" s="278" t="str">
        <f t="array" ref="AS351">IFERROR(XLOOKUP(L351,'2. DATA NL, VTBB'!C:C,'2. DATA NL, VTBB'!G:G),"")</f>
        <v>IDA Global - I - 725 - Cá mập 350SC (chai HD) - 100ml - 100 ([btp],t,c)</v>
      </c>
      <c r="AT351" s="277"/>
    </row>
    <row r="352" ht="30.75" customHeight="1">
      <c r="A352" s="272">
        <f t="shared" si="44"/>
        <v>349</v>
      </c>
      <c r="B352" s="289">
        <v>46051.0</v>
      </c>
      <c r="C352" s="289">
        <v>46057.0</v>
      </c>
      <c r="D352" s="289">
        <v>46057.0</v>
      </c>
      <c r="E352" s="289">
        <v>46057.0</v>
      </c>
      <c r="F352" s="274" t="s">
        <v>561</v>
      </c>
      <c r="G352" s="275" t="s">
        <v>562</v>
      </c>
      <c r="H352" s="274" t="s">
        <v>304</v>
      </c>
      <c r="I352" s="275" t="s">
        <v>726</v>
      </c>
      <c r="J352" s="272" t="s">
        <v>1047</v>
      </c>
      <c r="K352" s="275" t="s">
        <v>730</v>
      </c>
      <c r="L352" s="277" t="s">
        <v>782</v>
      </c>
      <c r="M352" s="278" t="str">
        <f t="array" ref="M352">IFERROR(XLOOKUP(L352,'2. DATA NL, VTBB'!C:C,'2. DATA NL, VTBB'!D:D),"")</f>
        <v>PN - Nắp HDPE cổ 45 Trắng (không ganty)</v>
      </c>
      <c r="N352" s="280"/>
      <c r="O352" s="280" t="str">
        <f t="array" ref="O352">IFERROR( XLOOKUP(L352,'2. DATA NL, VTBB'!C:C,'2. DATA NL, VTBB'!E:E),"")</f>
        <v>Vi lượng Quantity New</v>
      </c>
      <c r="P352" s="275" t="s">
        <v>565</v>
      </c>
      <c r="Q352" s="311"/>
      <c r="R352" s="291" t="s">
        <v>573</v>
      </c>
      <c r="S352" s="280"/>
      <c r="T352" s="277"/>
      <c r="U352" s="277"/>
      <c r="V352" s="283">
        <v>2000.0</v>
      </c>
      <c r="W352" s="275" t="s">
        <v>699</v>
      </c>
      <c r="X352" s="283">
        <v>2000.0</v>
      </c>
      <c r="Y352" s="274">
        <v>2025.0</v>
      </c>
      <c r="Z352" s="272">
        <v>900.0</v>
      </c>
      <c r="AA352" s="285">
        <v>0.08</v>
      </c>
      <c r="AB352" s="282">
        <v>1968300.0</v>
      </c>
      <c r="AC352" s="277"/>
      <c r="AD352" s="289">
        <v>46051.0</v>
      </c>
      <c r="AE352" s="312"/>
      <c r="AF352" s="277"/>
      <c r="AG352" s="277"/>
      <c r="AH352" s="294">
        <f>IFERROR(__xludf.DUMMYFUNCTION("IFERROR(INDEX( SORT(FILTER(
        {'1. DATA CHUNG'!$J$4:$J$105 , '1. DATA CHUNG'!$L$4:$L$105}, (TRIM('1. DATA CHUNG'!$I$4:$I$105)=TRIM(K352)) * IF(COUNTIFS('1. DATA CHUNG'!$I$4:$I$105,K352,'1. DATA CHUNG'!$M$4:$M$105,Q352), '1. DATA CHUNG'!$M$4:$M$105=Q"&amp;"352, 1) * ('1. DATA CHUNG'!$L$4:$L$105&lt;=TODAY()) ),   2, 0),  1, 1), 
  IFERROR( INDEX(FILTER('1. DATA CHUNG'!$J$4:$J$105, (TRIM('1. DATA CHUNG'!$I$4:$I$105)=TRIM(K352)) * IF(COUNTIFS('1. DATA CHUNG'!$I$4:$I$105,K352,'1. DATA CHUNG'!$M$4:$M$105,Q352), '1."&amp;" DATA CHUNG'!$M$4:$M$105=Q352, 1) * ('1. DATA CHUNG'!$L$4:$L$105="""")), 1), ""Không tìm thấy"" ))"),7.0)</f>
        <v>7</v>
      </c>
      <c r="AI352" s="273">
        <f t="shared" si="2"/>
        <v>46058</v>
      </c>
      <c r="AJ352" s="287"/>
      <c r="AK352" s="286">
        <f t="shared" si="3"/>
        <v>0</v>
      </c>
      <c r="AL352" s="287">
        <f t="shared" si="4"/>
        <v>0</v>
      </c>
      <c r="AM352" s="287">
        <f t="shared" si="5"/>
        <v>1</v>
      </c>
      <c r="AN352" s="279">
        <f t="shared" si="6"/>
        <v>1</v>
      </c>
      <c r="AO352" s="295" t="str">
        <f t="shared" si="7"/>
        <v>01/2026</v>
      </c>
      <c r="AP352" s="277" t="str">
        <f t="array" ref="AP352">IFERROR(XLOOKUP(L352,'2. DATA NL, VTBB'!C:C,'2. DATA NL, VTBB'!F:F),"")</f>
        <v>HH0112</v>
      </c>
      <c r="AQ352" s="277" t="str">
        <f t="array" ref="AQ352">IF(OR(K352="Nhãn", K352="Nhãn thùng",K352="Nhãn Túi"), K352 &amp; " " &amp; IFERROR(XLOOKUP(L352, '2. DATA NL, VTBB'!C:C, '2. DATA NL, VTBB'!E:E), ""), "")</f>
        <v/>
      </c>
      <c r="AR352" s="278" t="str">
        <f t="array" ref="AR352">IFERROR(XLOOKUP(L352,'2. DATA NL, VTBB'!C:C,'2. DATA NL, VTBB'!G:G),"")</f>
        <v>IDA Global - I - 726 - Vita Boost (chai HD)- 500 ml - 40 ([btp],t,c)</v>
      </c>
      <c r="AS352" s="278" t="str">
        <f t="array" ref="AS352">IFERROR(XLOOKUP(L352,'2. DATA NL, VTBB'!C:C,'2. DATA NL, VTBB'!G:G),"")</f>
        <v>IDA Global - I - 726 - Vita Boost (chai HD)- 500 ml - 40 ([btp],t,c)</v>
      </c>
      <c r="AT352" s="277"/>
    </row>
    <row r="353" ht="30.75" customHeight="1">
      <c r="A353" s="272">
        <f t="shared" si="44"/>
        <v>350</v>
      </c>
      <c r="B353" s="289">
        <v>46051.0</v>
      </c>
      <c r="C353" s="289">
        <v>46057.0</v>
      </c>
      <c r="D353" s="289">
        <v>46057.0</v>
      </c>
      <c r="E353" s="289">
        <v>46052.0</v>
      </c>
      <c r="F353" s="274" t="s">
        <v>561</v>
      </c>
      <c r="G353" s="275" t="s">
        <v>562</v>
      </c>
      <c r="H353" s="274" t="s">
        <v>304</v>
      </c>
      <c r="I353" s="275" t="s">
        <v>726</v>
      </c>
      <c r="J353" s="272" t="s">
        <v>1048</v>
      </c>
      <c r="K353" s="275" t="s">
        <v>728</v>
      </c>
      <c r="L353" s="277" t="s">
        <v>738</v>
      </c>
      <c r="M353" s="278" t="str">
        <f t="array" ref="M353">IFERROR(XLOOKUP(L353,'2. DATA NL, VTBB'!C:C,'2. DATA NL, VTBB'!D:D),"")</f>
        <v>Chai PET vuông cổ 35 450ml, 500ml (60g) trắng ASIA</v>
      </c>
      <c r="N353" s="280"/>
      <c r="O353" s="280" t="str">
        <f t="array" ref="O353">IFERROR( XLOOKUP(L353,'2. DATA NL, VTBB'!C:C,'2. DATA NL, VTBB'!E:E),"")</f>
        <v>AnnongManco 80WP</v>
      </c>
      <c r="P353" s="275" t="s">
        <v>565</v>
      </c>
      <c r="Q353" s="311"/>
      <c r="R353" s="291" t="s">
        <v>573</v>
      </c>
      <c r="S353" s="280"/>
      <c r="T353" s="277"/>
      <c r="U353" s="277"/>
      <c r="V353" s="283">
        <v>4000.0</v>
      </c>
      <c r="W353" s="275" t="s">
        <v>699</v>
      </c>
      <c r="X353" s="283">
        <v>4000.0</v>
      </c>
      <c r="Y353" s="274">
        <v>4000.0</v>
      </c>
      <c r="Z353" s="272">
        <v>2600.0</v>
      </c>
      <c r="AA353" s="285">
        <v>0.08</v>
      </c>
      <c r="AB353" s="282">
        <v>1.1232E7</v>
      </c>
      <c r="AC353" s="277"/>
      <c r="AD353" s="289">
        <v>46051.0</v>
      </c>
      <c r="AE353" s="312"/>
      <c r="AF353" s="277"/>
      <c r="AG353" s="277"/>
      <c r="AH353" s="294">
        <f>IFERROR(__xludf.DUMMYFUNCTION("IFERROR(INDEX( SORT(FILTER(
        {'1. DATA CHUNG'!$J$4:$J$105 , '1. DATA CHUNG'!$L$4:$L$105}, (TRIM('1. DATA CHUNG'!$I$4:$I$105)=TRIM(K353)) * IF(COUNTIFS('1. DATA CHUNG'!$I$4:$I$105,K353,'1. DATA CHUNG'!$M$4:$M$105,Q353), '1. DATA CHUNG'!$M$4:$M$105=Q"&amp;"353, 1) * ('1. DATA CHUNG'!$L$4:$L$105&lt;=TODAY()) ),   2, 0),  1, 1), 
  IFERROR( INDEX(FILTER('1. DATA CHUNG'!$J$4:$J$105, (TRIM('1. DATA CHUNG'!$I$4:$I$105)=TRIM(K353)) * IF(COUNTIFS('1. DATA CHUNG'!$I$4:$I$105,K353,'1. DATA CHUNG'!$M$4:$M$105,Q353), '1."&amp;" DATA CHUNG'!$M$4:$M$105=Q353, 1) * ('1. DATA CHUNG'!$L$4:$L$105="""")), 1), ""Không tìm thấy"" ))"),7.0)</f>
        <v>7</v>
      </c>
      <c r="AI353" s="273">
        <f t="shared" si="2"/>
        <v>46058</v>
      </c>
      <c r="AJ353" s="287"/>
      <c r="AK353" s="286">
        <f t="shared" si="3"/>
        <v>0</v>
      </c>
      <c r="AL353" s="287">
        <f t="shared" si="4"/>
        <v>5</v>
      </c>
      <c r="AM353" s="287">
        <f t="shared" si="5"/>
        <v>6</v>
      </c>
      <c r="AN353" s="279">
        <f t="shared" si="6"/>
        <v>1</v>
      </c>
      <c r="AO353" s="295" t="str">
        <f t="shared" si="7"/>
        <v>01/2026</v>
      </c>
      <c r="AP353" s="277" t="str">
        <f t="array" ref="AP353">IFERROR(XLOOKUP(L353,'2. DATA NL, VTBB'!C:C,'2. DATA NL, VTBB'!F:F),"")</f>
        <v>HH0006</v>
      </c>
      <c r="AQ353" s="277" t="str">
        <f t="array" ref="AQ353">IF(OR(K353="Nhãn", K353="Nhãn thùng",K353="Nhãn Túi"), K353 &amp; " " &amp; IFERROR(XLOOKUP(L353, '2. DATA NL, VTBB'!C:C, '2. DATA NL, VTBB'!E:E), ""), "")</f>
        <v/>
      </c>
      <c r="AR353" s="278" t="str">
        <f t="array" ref="AR353">IFERROR(XLOOKUP(L353,'2. DATA NL, VTBB'!C:C,'2. DATA NL, VTBB'!G:G),"")</f>
        <v>GC - I - 207 - Mancozeb Xanh - Xanh Cam - 1kg - 20</v>
      </c>
      <c r="AS353" s="278" t="str">
        <f t="array" ref="AS353">IFERROR(XLOOKUP(L353,'2. DATA NL, VTBB'!C:C,'2. DATA NL, VTBB'!G:G),"")</f>
        <v>GC - I - 207 - Mancozeb Xanh - Xanh Cam - 1kg - 20</v>
      </c>
      <c r="AT353" s="277"/>
    </row>
    <row r="354" ht="30.75" customHeight="1">
      <c r="A354" s="272">
        <f t="shared" si="44"/>
        <v>351</v>
      </c>
      <c r="B354" s="289">
        <v>46051.0</v>
      </c>
      <c r="C354" s="289">
        <v>46057.0</v>
      </c>
      <c r="D354" s="289">
        <v>46057.0</v>
      </c>
      <c r="E354" s="289">
        <v>46052.0</v>
      </c>
      <c r="F354" s="274" t="s">
        <v>561</v>
      </c>
      <c r="G354" s="275" t="s">
        <v>562</v>
      </c>
      <c r="H354" s="274" t="s">
        <v>304</v>
      </c>
      <c r="I354" s="275" t="s">
        <v>726</v>
      </c>
      <c r="J354" s="272" t="s">
        <v>1048</v>
      </c>
      <c r="K354" s="275" t="s">
        <v>730</v>
      </c>
      <c r="L354" s="277" t="s">
        <v>1019</v>
      </c>
      <c r="M354" s="278" t="str">
        <f t="array" ref="M354">IFERROR(XLOOKUP(L354,'2. DATA NL, VTBB'!C:C,'2. DATA NL, VTBB'!D:D),"")</f>
        <v>Nắp PET cổ 35 (4.3g) trắng</v>
      </c>
      <c r="N354" s="280"/>
      <c r="O354" s="280" t="str">
        <f t="array" ref="O354">IFERROR( XLOOKUP(L354,'2. DATA NL, VTBB'!C:C,'2. DATA NL, VTBB'!E:E),"")</f>
        <v>Vi lượng AV4</v>
      </c>
      <c r="P354" s="275" t="s">
        <v>565</v>
      </c>
      <c r="Q354" s="311"/>
      <c r="R354" s="291" t="s">
        <v>573</v>
      </c>
      <c r="S354" s="280"/>
      <c r="T354" s="277"/>
      <c r="U354" s="277"/>
      <c r="V354" s="283">
        <v>4000.0</v>
      </c>
      <c r="W354" s="275" t="s">
        <v>699</v>
      </c>
      <c r="X354" s="283">
        <v>4000.0</v>
      </c>
      <c r="Y354" s="274">
        <v>4000.0</v>
      </c>
      <c r="Z354" s="272">
        <v>600.0</v>
      </c>
      <c r="AA354" s="285">
        <v>0.08</v>
      </c>
      <c r="AB354" s="282">
        <v>2592000.0</v>
      </c>
      <c r="AC354" s="277"/>
      <c r="AD354" s="289">
        <v>46051.0</v>
      </c>
      <c r="AE354" s="312"/>
      <c r="AF354" s="277"/>
      <c r="AG354" s="277"/>
      <c r="AH354" s="294">
        <f>IFERROR(__xludf.DUMMYFUNCTION("IFERROR(INDEX( SORT(FILTER(
        {'1. DATA CHUNG'!$J$4:$J$105 , '1. DATA CHUNG'!$L$4:$L$105}, (TRIM('1. DATA CHUNG'!$I$4:$I$105)=TRIM(K354)) * IF(COUNTIFS('1. DATA CHUNG'!$I$4:$I$105,K354,'1. DATA CHUNG'!$M$4:$M$105,Q354), '1. DATA CHUNG'!$M$4:$M$105=Q"&amp;"354, 1) * ('1. DATA CHUNG'!$L$4:$L$105&lt;=TODAY()) ),   2, 0),  1, 1), 
  IFERROR( INDEX(FILTER('1. DATA CHUNG'!$J$4:$J$105, (TRIM('1. DATA CHUNG'!$I$4:$I$105)=TRIM(K354)) * IF(COUNTIFS('1. DATA CHUNG'!$I$4:$I$105,K354,'1. DATA CHUNG'!$M$4:$M$105,Q354), '1."&amp;" DATA CHUNG'!$M$4:$M$105=Q354, 1) * ('1. DATA CHUNG'!$L$4:$L$105="""")), 1), ""Không tìm thấy"" ))"),7.0)</f>
        <v>7</v>
      </c>
      <c r="AI354" s="273">
        <f t="shared" si="2"/>
        <v>46058</v>
      </c>
      <c r="AJ354" s="287"/>
      <c r="AK354" s="286">
        <f t="shared" si="3"/>
        <v>0</v>
      </c>
      <c r="AL354" s="287">
        <f t="shared" si="4"/>
        <v>5</v>
      </c>
      <c r="AM354" s="287">
        <f t="shared" si="5"/>
        <v>6</v>
      </c>
      <c r="AN354" s="279">
        <f t="shared" si="6"/>
        <v>1</v>
      </c>
      <c r="AO354" s="295" t="str">
        <f t="shared" si="7"/>
        <v>01/2026</v>
      </c>
      <c r="AP354" s="277" t="str">
        <f t="array" ref="AP354">IFERROR(XLOOKUP(L354,'2. DATA NL, VTBB'!C:C,'2. DATA NL, VTBB'!F:F),"")</f>
        <v>HH0003</v>
      </c>
      <c r="AQ354" s="277" t="str">
        <f t="array" ref="AQ354">IF(OR(K354="Nhãn", K354="Nhãn thùng",K354="Nhãn Túi"), K354 &amp; " " &amp; IFERROR(XLOOKUP(L354, '2. DATA NL, VTBB'!C:C, '2. DATA NL, VTBB'!E:E), ""), "")</f>
        <v/>
      </c>
      <c r="AR354" s="278" t="str">
        <f t="array" ref="AR354">IFERROR(XLOOKUP(L354,'2. DATA NL, VTBB'!C:C,'2. DATA NL, VTBB'!G:G),"")</f>
        <v>GC - II - 64 - Aqua Siêu ra hoa xoài (clr) - 1kg - 25</v>
      </c>
      <c r="AS354" s="278" t="str">
        <f t="array" ref="AS354">IFERROR(XLOOKUP(L354,'2. DATA NL, VTBB'!C:C,'2. DATA NL, VTBB'!G:G),"")</f>
        <v>GC - II - 64 - Aqua Siêu ra hoa xoài (clr) - 1kg - 25</v>
      </c>
      <c r="AT354" s="277"/>
    </row>
    <row r="355" ht="30.75" customHeight="1">
      <c r="A355" s="272">
        <f t="shared" si="44"/>
        <v>352</v>
      </c>
      <c r="B355" s="289">
        <v>46051.0</v>
      </c>
      <c r="C355" s="289">
        <v>46057.0</v>
      </c>
      <c r="D355" s="289">
        <v>46059.0</v>
      </c>
      <c r="E355" s="289">
        <v>46057.0</v>
      </c>
      <c r="F355" s="274" t="s">
        <v>561</v>
      </c>
      <c r="G355" s="275" t="s">
        <v>562</v>
      </c>
      <c r="H355" s="274" t="s">
        <v>304</v>
      </c>
      <c r="I355" s="275" t="s">
        <v>744</v>
      </c>
      <c r="J355" s="272" t="s">
        <v>1049</v>
      </c>
      <c r="K355" s="275" t="s">
        <v>728</v>
      </c>
      <c r="L355" s="277" t="s">
        <v>1027</v>
      </c>
      <c r="M355" s="278" t="str">
        <f t="array" ref="M355">IFERROR(XLOOKUP(L355,'2. DATA NL, VTBB'!C:C,'2. DATA NL, VTBB'!D:D),"")</f>
        <v>Chai Pet tròn cao giả nhôm 250ml cổ 33 (35gr) Màu Vàng  Gold-  Nắp trắng, có cóc đong</v>
      </c>
      <c r="N355" s="280"/>
      <c r="O355" s="280" t="str">
        <f t="array" ref="O355">IFERROR( XLOOKUP(L355,'2. DATA NL, VTBB'!C:C,'2. DATA NL, VTBB'!E:E),"")</f>
        <v>Remy 19EC</v>
      </c>
      <c r="P355" s="275" t="s">
        <v>565</v>
      </c>
      <c r="Q355" s="311"/>
      <c r="R355" s="291" t="s">
        <v>573</v>
      </c>
      <c r="S355" s="280"/>
      <c r="T355" s="277"/>
      <c r="U355" s="277"/>
      <c r="V355" s="283">
        <v>2000.0</v>
      </c>
      <c r="W355" s="275" t="s">
        <v>699</v>
      </c>
      <c r="X355" s="283">
        <v>2000.0</v>
      </c>
      <c r="Y355" s="274">
        <v>2400.0</v>
      </c>
      <c r="Z355" s="272">
        <v>3010.0</v>
      </c>
      <c r="AA355" s="285">
        <v>0.08</v>
      </c>
      <c r="AB355" s="282">
        <v>7801920.0</v>
      </c>
      <c r="AC355" s="277"/>
      <c r="AD355" s="289">
        <v>46051.0</v>
      </c>
      <c r="AE355" s="312"/>
      <c r="AF355" s="277"/>
      <c r="AG355" s="277"/>
      <c r="AH355" s="294">
        <f>IFERROR(__xludf.DUMMYFUNCTION("IFERROR(INDEX( SORT(FILTER(
        {'1. DATA CHUNG'!$J$4:$J$105 , '1. DATA CHUNG'!$L$4:$L$105}, (TRIM('1. DATA CHUNG'!$I$4:$I$105)=TRIM(K355)) * IF(COUNTIFS('1. DATA CHUNG'!$I$4:$I$105,K355,'1. DATA CHUNG'!$M$4:$M$105,Q355), '1. DATA CHUNG'!$M$4:$M$105=Q"&amp;"355, 1) * ('1. DATA CHUNG'!$L$4:$L$105&lt;=TODAY()) ),   2, 0),  1, 1), 
  IFERROR( INDEX(FILTER('1. DATA CHUNG'!$J$4:$J$105, (TRIM('1. DATA CHUNG'!$I$4:$I$105)=TRIM(K355)) * IF(COUNTIFS('1. DATA CHUNG'!$I$4:$I$105,K355,'1. DATA CHUNG'!$M$4:$M$105,Q355), '1."&amp;" DATA CHUNG'!$M$4:$M$105=Q355, 1) * ('1. DATA CHUNG'!$L$4:$L$105="""")), 1), ""Không tìm thấy"" ))"),7.0)</f>
        <v>7</v>
      </c>
      <c r="AI355" s="273">
        <f t="shared" si="2"/>
        <v>46058</v>
      </c>
      <c r="AJ355" s="287"/>
      <c r="AK355" s="286">
        <f t="shared" si="3"/>
        <v>0</v>
      </c>
      <c r="AL355" s="287">
        <f t="shared" si="4"/>
        <v>2</v>
      </c>
      <c r="AM355" s="287">
        <f t="shared" si="5"/>
        <v>1</v>
      </c>
      <c r="AN355" s="279">
        <f t="shared" si="6"/>
        <v>1</v>
      </c>
      <c r="AO355" s="295" t="str">
        <f t="shared" si="7"/>
        <v>01/2026</v>
      </c>
      <c r="AP355" s="277" t="str">
        <f t="array" ref="AP355">IFERROR(XLOOKUP(L355,'2. DATA NL, VTBB'!C:C,'2. DATA NL, VTBB'!F:F),"")</f>
        <v>HH0132</v>
      </c>
      <c r="AQ355" s="277" t="str">
        <f t="array" ref="AQ355">IF(OR(K355="Nhãn", K355="Nhãn thùng",K355="Nhãn Túi"), K355 &amp; " " &amp; IFERROR(XLOOKUP(L355, '2. DATA NL, VTBB'!C:C, '2. DATA NL, VTBB'!E:E), ""), "")</f>
        <v/>
      </c>
      <c r="AR355" s="278" t="str">
        <f t="array" ref="AR355">IFERROR(XLOOKUP(L355,'2. DATA NL, VTBB'!C:C,'2. DATA NL, VTBB'!G:G),"")</f>
        <v>GC - II - 702 - Giang Tây - Remy 19EC (chai tròn) - 450ml - 40</v>
      </c>
      <c r="AS355" s="278" t="str">
        <f t="array" ref="AS355">IFERROR(XLOOKUP(L355,'2. DATA NL, VTBB'!C:C,'2. DATA NL, VTBB'!G:G),"")</f>
        <v>GC - II - 702 - Giang Tây - Remy 19EC (chai tròn) - 450ml - 40</v>
      </c>
      <c r="AT355" s="277"/>
    </row>
    <row r="356" ht="30.75" customHeight="1">
      <c r="A356" s="272">
        <f t="shared" si="44"/>
        <v>353</v>
      </c>
      <c r="B356" s="289">
        <v>46051.0</v>
      </c>
      <c r="C356" s="289">
        <v>46057.0</v>
      </c>
      <c r="D356" s="289">
        <v>46059.0</v>
      </c>
      <c r="E356" s="289">
        <v>46057.0</v>
      </c>
      <c r="F356" s="274" t="s">
        <v>561</v>
      </c>
      <c r="G356" s="275" t="s">
        <v>562</v>
      </c>
      <c r="H356" s="274" t="s">
        <v>304</v>
      </c>
      <c r="I356" s="275" t="s">
        <v>744</v>
      </c>
      <c r="J356" s="272" t="s">
        <v>1049</v>
      </c>
      <c r="K356" s="275" t="s">
        <v>730</v>
      </c>
      <c r="L356" s="277" t="s">
        <v>966</v>
      </c>
      <c r="M356" s="278" t="str">
        <f t="array" ref="M356">IFERROR(XLOOKUP(L356,'2. DATA NL, VTBB'!C:C,'2. DATA NL, VTBB'!D:D),"")</f>
        <v>Nắp PET cổ 33 (7.5g) - Màu Trắng</v>
      </c>
      <c r="N356" s="280"/>
      <c r="O356" s="280" t="str">
        <f t="array" ref="O356">IFERROR( XLOOKUP(L356,'2. DATA NL, VTBB'!C:C,'2. DATA NL, VTBB'!E:E),"")</f>
        <v>IMIPRID 10WP</v>
      </c>
      <c r="P356" s="275" t="s">
        <v>565</v>
      </c>
      <c r="Q356" s="311"/>
      <c r="R356" s="291" t="s">
        <v>573</v>
      </c>
      <c r="S356" s="280"/>
      <c r="T356" s="277"/>
      <c r="U356" s="277"/>
      <c r="V356" s="283">
        <v>2000.0</v>
      </c>
      <c r="W356" s="275" t="s">
        <v>699</v>
      </c>
      <c r="X356" s="283">
        <v>2000.0</v>
      </c>
      <c r="Y356" s="274">
        <v>2400.0</v>
      </c>
      <c r="Z356" s="272">
        <v>500.0</v>
      </c>
      <c r="AA356" s="285">
        <v>0.08</v>
      </c>
      <c r="AB356" s="282">
        <v>1296000.0</v>
      </c>
      <c r="AC356" s="277"/>
      <c r="AD356" s="289">
        <v>46051.0</v>
      </c>
      <c r="AE356" s="312"/>
      <c r="AF356" s="277"/>
      <c r="AG356" s="277"/>
      <c r="AH356" s="294">
        <f>IFERROR(__xludf.DUMMYFUNCTION("IFERROR(INDEX( SORT(FILTER(
        {'1. DATA CHUNG'!$J$4:$J$105 , '1. DATA CHUNG'!$L$4:$L$105}, (TRIM('1. DATA CHUNG'!$I$4:$I$105)=TRIM(K356)) * IF(COUNTIFS('1. DATA CHUNG'!$I$4:$I$105,K356,'1. DATA CHUNG'!$M$4:$M$105,Q356), '1. DATA CHUNG'!$M$4:$M$105=Q"&amp;"356, 1) * ('1. DATA CHUNG'!$L$4:$L$105&lt;=TODAY()) ),   2, 0),  1, 1), 
  IFERROR( INDEX(FILTER('1. DATA CHUNG'!$J$4:$J$105, (TRIM('1. DATA CHUNG'!$I$4:$I$105)=TRIM(K356)) * IF(COUNTIFS('1. DATA CHUNG'!$I$4:$I$105,K356,'1. DATA CHUNG'!$M$4:$M$105,Q356), '1."&amp;" DATA CHUNG'!$M$4:$M$105=Q356, 1) * ('1. DATA CHUNG'!$L$4:$L$105="""")), 1), ""Không tìm thấy"" ))"),7.0)</f>
        <v>7</v>
      </c>
      <c r="AI356" s="273">
        <f t="shared" si="2"/>
        <v>46058</v>
      </c>
      <c r="AJ356" s="287"/>
      <c r="AK356" s="286">
        <f t="shared" si="3"/>
        <v>0</v>
      </c>
      <c r="AL356" s="287">
        <f t="shared" si="4"/>
        <v>2</v>
      </c>
      <c r="AM356" s="287">
        <f t="shared" si="5"/>
        <v>1</v>
      </c>
      <c r="AN356" s="279">
        <f t="shared" si="6"/>
        <v>1</v>
      </c>
      <c r="AO356" s="295" t="str">
        <f t="shared" si="7"/>
        <v>01/2026</v>
      </c>
      <c r="AP356" s="277" t="str">
        <f t="array" ref="AP356">IFERROR(XLOOKUP(L356,'2. DATA NL, VTBB'!C:C,'2. DATA NL, VTBB'!F:F),"")</f>
        <v>HH0162</v>
      </c>
      <c r="AQ356" s="277" t="str">
        <f t="array" ref="AQ356">IF(OR(K356="Nhãn", K356="Nhãn thùng",K356="Nhãn Túi"), K356 &amp; " " &amp; IFERROR(XLOOKUP(L356, '2. DATA NL, VTBB'!C:C, '2. DATA NL, VTBB'!E:E), ""), "")</f>
        <v/>
      </c>
      <c r="AR356" s="278" t="str">
        <f t="array" ref="AR356">IFERROR(XLOOKUP(L356,'2. DATA NL, VTBB'!C:C,'2. DATA NL, VTBB'!G:G),"")</f>
        <v>GC - IV - 888 - Huy Phát - BI Pro Max - 100gr - 150</v>
      </c>
      <c r="AS356" s="278" t="str">
        <f t="array" ref="AS356">IFERROR(XLOOKUP(L356,'2. DATA NL, VTBB'!C:C,'2. DATA NL, VTBB'!G:G),"")</f>
        <v>GC - IV - 888 - Huy Phát - BI Pro Max - 100gr - 150</v>
      </c>
      <c r="AT356" s="277"/>
    </row>
    <row r="357" ht="30.75" customHeight="1">
      <c r="A357" s="272">
        <f t="shared" si="44"/>
        <v>354</v>
      </c>
      <c r="B357" s="289">
        <v>46051.0</v>
      </c>
      <c r="C357" s="289">
        <v>46057.0</v>
      </c>
      <c r="D357" s="289">
        <v>46060.0</v>
      </c>
      <c r="E357" s="289">
        <v>46057.0</v>
      </c>
      <c r="F357" s="274" t="s">
        <v>561</v>
      </c>
      <c r="G357" s="275" t="s">
        <v>562</v>
      </c>
      <c r="H357" s="274" t="s">
        <v>304</v>
      </c>
      <c r="I357" s="275" t="s">
        <v>744</v>
      </c>
      <c r="J357" s="272" t="s">
        <v>1049</v>
      </c>
      <c r="K357" s="275" t="s">
        <v>732</v>
      </c>
      <c r="L357" s="277" t="s">
        <v>967</v>
      </c>
      <c r="M357" s="278" t="str">
        <f t="array" ref="M357">IFERROR(XLOOKUP(L357,'2. DATA NL, VTBB'!C:C,'2. DATA NL, VTBB'!D:D),"")</f>
        <v>Cốc đong cổ 33 20ml - Trắng trong</v>
      </c>
      <c r="N357" s="280"/>
      <c r="O357" s="280" t="str">
        <f t="array" ref="O357">IFERROR( XLOOKUP(L357,'2. DATA NL, VTBB'!C:C,'2. DATA NL, VTBB'!E:E),"")</f>
        <v>Remy 19EC</v>
      </c>
      <c r="P357" s="275" t="s">
        <v>565</v>
      </c>
      <c r="Q357" s="311"/>
      <c r="R357" s="291" t="s">
        <v>573</v>
      </c>
      <c r="S357" s="280"/>
      <c r="T357" s="277"/>
      <c r="U357" s="277"/>
      <c r="V357" s="283">
        <v>2000.0</v>
      </c>
      <c r="W357" s="275" t="s">
        <v>699</v>
      </c>
      <c r="X357" s="283">
        <v>2000.0</v>
      </c>
      <c r="Y357" s="274">
        <v>2400.0</v>
      </c>
      <c r="Z357" s="272">
        <v>300.0</v>
      </c>
      <c r="AA357" s="285">
        <v>0.08</v>
      </c>
      <c r="AB357" s="282">
        <v>777600.0</v>
      </c>
      <c r="AC357" s="277"/>
      <c r="AD357" s="289">
        <v>46051.0</v>
      </c>
      <c r="AE357" s="312"/>
      <c r="AF357" s="277"/>
      <c r="AG357" s="277"/>
      <c r="AH357" s="294">
        <f>IFERROR(__xludf.DUMMYFUNCTION("IFERROR(INDEX( SORT(FILTER(
        {'1. DATA CHUNG'!$J$4:$J$105 , '1. DATA CHUNG'!$L$4:$L$105}, (TRIM('1. DATA CHUNG'!$I$4:$I$105)=TRIM(K357)) * IF(COUNTIFS('1. DATA CHUNG'!$I$4:$I$105,K357,'1. DATA CHUNG'!$M$4:$M$105,Q357), '1. DATA CHUNG'!$M$4:$M$105=Q"&amp;"357, 1) * ('1. DATA CHUNG'!$L$4:$L$105&lt;=TODAY()) ),   2, 0),  1, 1), 
  IFERROR( INDEX(FILTER('1. DATA CHUNG'!$J$4:$J$105, (TRIM('1. DATA CHUNG'!$I$4:$I$105)=TRIM(K357)) * IF(COUNTIFS('1. DATA CHUNG'!$I$4:$I$105,K357,'1. DATA CHUNG'!$M$4:$M$105,Q357), '1."&amp;" DATA CHUNG'!$M$4:$M$105=Q357, 1) * ('1. DATA CHUNG'!$L$4:$L$105="""")), 1), ""Không tìm thấy"" ))"),7.0)</f>
        <v>7</v>
      </c>
      <c r="AI357" s="273">
        <f t="shared" si="2"/>
        <v>46058</v>
      </c>
      <c r="AJ357" s="287"/>
      <c r="AK357" s="286">
        <f t="shared" si="3"/>
        <v>0</v>
      </c>
      <c r="AL357" s="287">
        <f t="shared" si="4"/>
        <v>3</v>
      </c>
      <c r="AM357" s="287">
        <f t="shared" si="5"/>
        <v>1</v>
      </c>
      <c r="AN357" s="279">
        <f t="shared" si="6"/>
        <v>1</v>
      </c>
      <c r="AO357" s="295" t="str">
        <f t="shared" si="7"/>
        <v>01/2026</v>
      </c>
      <c r="AP357" s="277" t="str">
        <f t="array" ref="AP357">IFERROR(XLOOKUP(L357,'2. DATA NL, VTBB'!C:C,'2. DATA NL, VTBB'!F:F),"")</f>
        <v>HH0007</v>
      </c>
      <c r="AQ357" s="277" t="str">
        <f t="array" ref="AQ357">IF(OR(K357="Nhãn", K357="Nhãn thùng",K357="Nhãn Túi"), K357 &amp; " " &amp; IFERROR(XLOOKUP(L357, '2. DATA NL, VTBB'!C:C, '2. DATA NL, VTBB'!E:E), ""), "")</f>
        <v/>
      </c>
      <c r="AR357" s="278" t="str">
        <f t="array" ref="AR357">IFERROR(XLOOKUP(L357,'2. DATA NL, VTBB'!C:C,'2. DATA NL, VTBB'!G:G),"")</f>
        <v>GC - IV - 850 - Huy Phát - Hufatin (PET vuông) - 450ml - 40</v>
      </c>
      <c r="AS357" s="278" t="str">
        <f t="array" ref="AS357">IFERROR(XLOOKUP(L357,'2. DATA NL, VTBB'!C:C,'2. DATA NL, VTBB'!G:G),"")</f>
        <v>GC - IV - 850 - Huy Phát - Hufatin (PET vuông) - 450ml - 40</v>
      </c>
      <c r="AT357" s="277"/>
    </row>
    <row r="358" ht="30.75" customHeight="1">
      <c r="A358" s="272">
        <f t="shared" si="44"/>
        <v>355</v>
      </c>
      <c r="B358" s="289">
        <v>46051.0</v>
      </c>
      <c r="C358" s="289">
        <v>46059.0</v>
      </c>
      <c r="D358" s="289">
        <v>46079.0</v>
      </c>
      <c r="E358" s="289">
        <v>46060.0</v>
      </c>
      <c r="F358" s="274" t="s">
        <v>561</v>
      </c>
      <c r="G358" s="275" t="s">
        <v>580</v>
      </c>
      <c r="H358" s="274" t="s">
        <v>304</v>
      </c>
      <c r="I358" s="275" t="s">
        <v>305</v>
      </c>
      <c r="J358" s="272" t="s">
        <v>1050</v>
      </c>
      <c r="K358" s="275" t="s">
        <v>301</v>
      </c>
      <c r="L358" s="277" t="s">
        <v>572</v>
      </c>
      <c r="M358" s="278" t="str">
        <f t="array" ref="M358">IFERROR(XLOOKUP(L358,'2. DATA NL, VTBB'!C:C,'2. DATA NL, VTBB'!D:D),"")</f>
        <v>Thùng IDA chai PET tròn cổ 43 450ml x 40 chai (61.5x38.5x19cm) - Trắng xanh lá</v>
      </c>
      <c r="N358" s="280"/>
      <c r="O358" s="280" t="str">
        <f t="array" ref="O358">IFERROR( XLOOKUP(L358,'2. DATA NL, VTBB'!C:C,'2. DATA NL, VTBB'!E:E),"")</f>
        <v>Vi lượng Quantity New</v>
      </c>
      <c r="P358" s="275" t="s">
        <v>565</v>
      </c>
      <c r="Q358" s="311"/>
      <c r="R358" s="291" t="s">
        <v>573</v>
      </c>
      <c r="S358" s="280"/>
      <c r="T358" s="277"/>
      <c r="U358" s="277"/>
      <c r="V358" s="283">
        <v>300.0</v>
      </c>
      <c r="W358" s="275" t="s">
        <v>699</v>
      </c>
      <c r="X358" s="283">
        <v>300.0</v>
      </c>
      <c r="Y358" s="274">
        <v>300.0</v>
      </c>
      <c r="Z358" s="272">
        <v>23400.0</v>
      </c>
      <c r="AA358" s="285">
        <v>0.08</v>
      </c>
      <c r="AB358" s="282">
        <v>7581600.0</v>
      </c>
      <c r="AC358" s="277"/>
      <c r="AD358" s="289">
        <v>46051.0</v>
      </c>
      <c r="AE358" s="312"/>
      <c r="AF358" s="277"/>
      <c r="AG358" s="277"/>
      <c r="AH358" s="294">
        <f>IFERROR(__xludf.DUMMYFUNCTION("IFERROR(INDEX( SORT(FILTER(
        {'1. DATA CHUNG'!$J$4:$J$105 , '1. DATA CHUNG'!$L$4:$L$105}, (TRIM('1. DATA CHUNG'!$I$4:$I$105)=TRIM(K358)) * IF(COUNTIFS('1. DATA CHUNG'!$I$4:$I$105,K358,'1. DATA CHUNG'!$M$4:$M$105,Q358), '1. DATA CHUNG'!$M$4:$M$105=Q"&amp;"358, 1) * ('1. DATA CHUNG'!$L$4:$L$105&lt;=TODAY()) ),   2, 0),  1, 1), 
  IFERROR( INDEX(FILTER('1. DATA CHUNG'!$J$4:$J$105, (TRIM('1. DATA CHUNG'!$I$4:$I$105)=TRIM(K358)) * IF(COUNTIFS('1. DATA CHUNG'!$I$4:$I$105,K358,'1. DATA CHUNG'!$M$4:$M$105,Q358), '1."&amp;" DATA CHUNG'!$M$4:$M$105=Q358, 1) * ('1. DATA CHUNG'!$L$4:$L$105="""")), 1), ""Không tìm thấy"" ))"),18.0)</f>
        <v>18</v>
      </c>
      <c r="AI358" s="273">
        <f t="shared" si="2"/>
        <v>46069</v>
      </c>
      <c r="AJ358" s="287"/>
      <c r="AK358" s="286">
        <f t="shared" si="3"/>
        <v>0</v>
      </c>
      <c r="AL358" s="287">
        <f t="shared" si="4"/>
        <v>19</v>
      </c>
      <c r="AM358" s="287">
        <f t="shared" si="5"/>
        <v>9</v>
      </c>
      <c r="AN358" s="279">
        <f t="shared" si="6"/>
        <v>10</v>
      </c>
      <c r="AO358" s="295" t="str">
        <f t="shared" si="7"/>
        <v>01/2026</v>
      </c>
      <c r="AP358" s="277" t="str">
        <f t="array" ref="AP358">IFERROR(XLOOKUP(L358,'2. DATA NL, VTBB'!C:C,'2. DATA NL, VTBB'!F:F),"")</f>
        <v>HH0277</v>
      </c>
      <c r="AQ358" s="277" t="str">
        <f t="array" ref="AQ358">IF(OR(K358="Nhãn", K358="Nhãn thùng",K358="Nhãn Túi"), K358 &amp; " " &amp; IFERROR(XLOOKUP(L358, '2. DATA NL, VTBB'!C:C, '2. DATA NL, VTBB'!E:E), ""), "")</f>
        <v/>
      </c>
      <c r="AR358" s="278" t="str">
        <f t="array" ref="AR358">IFERROR(XLOOKUP(L358,'2. DATA NL, VTBB'!C:C,'2. DATA NL, VTBB'!G:G),"")</f>
        <v>GC - II - 693 - A Thời GNH - Siêu bung đọt mai (chai HD) - 1L - 20</v>
      </c>
      <c r="AS358" s="278" t="str">
        <f t="array" ref="AS358">IFERROR(XLOOKUP(L358,'2. DATA NL, VTBB'!C:C,'2. DATA NL, VTBB'!G:G),"")</f>
        <v>GC - II - 693 - A Thời GNH - Siêu bung đọt mai (chai HD) - 1L - 20</v>
      </c>
      <c r="AT358" s="277"/>
    </row>
    <row r="359" ht="30.75" customHeight="1">
      <c r="A359" s="272">
        <f t="shared" si="44"/>
        <v>356</v>
      </c>
      <c r="B359" s="289">
        <v>46051.0</v>
      </c>
      <c r="C359" s="289">
        <v>46059.0</v>
      </c>
      <c r="D359" s="289">
        <v>46079.0</v>
      </c>
      <c r="E359" s="289">
        <v>46060.0</v>
      </c>
      <c r="F359" s="274" t="s">
        <v>561</v>
      </c>
      <c r="G359" s="275" t="s">
        <v>562</v>
      </c>
      <c r="H359" s="274" t="s">
        <v>304</v>
      </c>
      <c r="I359" s="275" t="s">
        <v>305</v>
      </c>
      <c r="J359" s="272" t="s">
        <v>1051</v>
      </c>
      <c r="K359" s="275" t="s">
        <v>301</v>
      </c>
      <c r="L359" s="277" t="s">
        <v>586</v>
      </c>
      <c r="M359" s="278" t="str">
        <f t="array" ref="M359">IFERROR(XLOOKUP(L359,'2. DATA NL, VTBB'!C:C,'2. DATA NL, VTBB'!D:D),"")</f>
        <v>Thùng dùng chung ABA Chai 250ml x 40 chai (53.5x33.5x15.5cm) - Trắng</v>
      </c>
      <c r="N359" s="280"/>
      <c r="O359" s="280" t="str">
        <f t="array" ref="O359">IFERROR( XLOOKUP(L359,'2. DATA NL, VTBB'!C:C,'2. DATA NL, VTBB'!E:E),"")</f>
        <v>Creek 51WG</v>
      </c>
      <c r="P359" s="275" t="s">
        <v>565</v>
      </c>
      <c r="Q359" s="311"/>
      <c r="R359" s="291" t="s">
        <v>573</v>
      </c>
      <c r="S359" s="280"/>
      <c r="T359" s="277"/>
      <c r="U359" s="277"/>
      <c r="V359" s="283">
        <v>300.0</v>
      </c>
      <c r="W359" s="275" t="s">
        <v>699</v>
      </c>
      <c r="X359" s="283">
        <v>300.0</v>
      </c>
      <c r="Y359" s="274">
        <v>300.0</v>
      </c>
      <c r="Z359" s="272">
        <v>16700.0</v>
      </c>
      <c r="AA359" s="285">
        <v>0.08</v>
      </c>
      <c r="AB359" s="282">
        <v>5410800.0</v>
      </c>
      <c r="AC359" s="277"/>
      <c r="AD359" s="289">
        <v>46051.0</v>
      </c>
      <c r="AE359" s="312"/>
      <c r="AF359" s="277"/>
      <c r="AG359" s="277"/>
      <c r="AH359" s="294">
        <f>IFERROR(__xludf.DUMMYFUNCTION("IFERROR(INDEX( SORT(FILTER(
        {'1. DATA CHUNG'!$J$4:$J$105 , '1. DATA CHUNG'!$L$4:$L$105}, (TRIM('1. DATA CHUNG'!$I$4:$I$105)=TRIM(K359)) * IF(COUNTIFS('1. DATA CHUNG'!$I$4:$I$105,K359,'1. DATA CHUNG'!$M$4:$M$105,Q359), '1. DATA CHUNG'!$M$4:$M$105=Q"&amp;"359, 1) * ('1. DATA CHUNG'!$L$4:$L$105&lt;=TODAY()) ),   2, 0),  1, 1), 
  IFERROR( INDEX(FILTER('1. DATA CHUNG'!$J$4:$J$105, (TRIM('1. DATA CHUNG'!$I$4:$I$105)=TRIM(K359)) * IF(COUNTIFS('1. DATA CHUNG'!$I$4:$I$105,K359,'1. DATA CHUNG'!$M$4:$M$105,Q359), '1."&amp;" DATA CHUNG'!$M$4:$M$105=Q359, 1) * ('1. DATA CHUNG'!$L$4:$L$105="""")), 1), ""Không tìm thấy"" ))"),18.0)</f>
        <v>18</v>
      </c>
      <c r="AI359" s="273">
        <f t="shared" si="2"/>
        <v>46069</v>
      </c>
      <c r="AJ359" s="287"/>
      <c r="AK359" s="286">
        <f t="shared" si="3"/>
        <v>0</v>
      </c>
      <c r="AL359" s="287">
        <f t="shared" si="4"/>
        <v>19</v>
      </c>
      <c r="AM359" s="287">
        <f t="shared" si="5"/>
        <v>9</v>
      </c>
      <c r="AN359" s="279">
        <f t="shared" si="6"/>
        <v>10</v>
      </c>
      <c r="AO359" s="295" t="str">
        <f t="shared" si="7"/>
        <v>01/2026</v>
      </c>
      <c r="AP359" s="277" t="str">
        <f t="array" ref="AP359">IFERROR(XLOOKUP(L359,'2. DATA NL, VTBB'!C:C,'2. DATA NL, VTBB'!F:F),"")</f>
        <v>HH0080</v>
      </c>
      <c r="AQ359" s="277" t="str">
        <f t="array" ref="AQ359">IF(OR(K359="Nhãn", K359="Nhãn thùng",K359="Nhãn Túi"), K359 &amp; " " &amp; IFERROR(XLOOKUP(L359, '2. DATA NL, VTBB'!C:C, '2. DATA NL, VTBB'!E:E), ""), "")</f>
        <v/>
      </c>
      <c r="AR359" s="278" t="str">
        <f t="array" ref="AR359">IFERROR(XLOOKUP(L359,'2. DATA NL, VTBB'!C:C,'2. DATA NL, VTBB'!G:G),"")</f>
        <v>IDA Global - I - 442 - Creek 51WG (Dạng cốm) - 30gr - 300</v>
      </c>
      <c r="AS359" s="278" t="str">
        <f t="array" ref="AS359">IFERROR(XLOOKUP(L359,'2. DATA NL, VTBB'!C:C,'2. DATA NL, VTBB'!G:G),"")</f>
        <v>IDA Global - I - 442 - Creek 51WG (Dạng cốm) - 30gr - 300</v>
      </c>
      <c r="AT359" s="277"/>
    </row>
    <row r="360" ht="30.75" customHeight="1">
      <c r="A360" s="272">
        <f t="shared" si="44"/>
        <v>357</v>
      </c>
      <c r="B360" s="289">
        <v>46051.0</v>
      </c>
      <c r="C360" s="289">
        <v>46058.0</v>
      </c>
      <c r="D360" s="289">
        <v>46060.0</v>
      </c>
      <c r="E360" s="318"/>
      <c r="F360" s="274" t="s">
        <v>561</v>
      </c>
      <c r="G360" s="275" t="s">
        <v>580</v>
      </c>
      <c r="H360" s="274" t="s">
        <v>304</v>
      </c>
      <c r="I360" s="275" t="s">
        <v>726</v>
      </c>
      <c r="J360" s="312"/>
      <c r="K360" s="275" t="s">
        <v>728</v>
      </c>
      <c r="L360" s="277" t="s">
        <v>778</v>
      </c>
      <c r="M360" s="278" t="str">
        <f t="array" ref="M360">IFERROR(XLOOKUP(L360,'2. DATA NL, VTBB'!C:C,'2. DATA NL, VTBB'!D:D),"")</f>
        <v>Chai PET tròn cổ 44 500ml (45g) Trắng</v>
      </c>
      <c r="N360" s="280"/>
      <c r="O360" s="280" t="str">
        <f t="array" ref="O360">IFERROR( XLOOKUP(L360,'2. DATA NL, VTBB'!C:C,'2. DATA NL, VTBB'!E:E),"")</f>
        <v>Chitin 3.6EC</v>
      </c>
      <c r="P360" s="275" t="s">
        <v>565</v>
      </c>
      <c r="Q360" s="311"/>
      <c r="R360" s="291" t="s">
        <v>573</v>
      </c>
      <c r="S360" s="280"/>
      <c r="T360" s="277"/>
      <c r="U360" s="277"/>
      <c r="V360" s="283">
        <v>5000.0</v>
      </c>
      <c r="W360" s="275" t="s">
        <v>699</v>
      </c>
      <c r="X360" s="283">
        <v>5000.0</v>
      </c>
      <c r="Y360" s="274">
        <v>5040.0</v>
      </c>
      <c r="Z360" s="272">
        <v>1900.0</v>
      </c>
      <c r="AA360" s="285">
        <v>0.08</v>
      </c>
      <c r="AB360" s="282">
        <v>1.034208E7</v>
      </c>
      <c r="AC360" s="277"/>
      <c r="AD360" s="289">
        <v>46051.0</v>
      </c>
      <c r="AE360" s="312"/>
      <c r="AF360" s="277"/>
      <c r="AG360" s="277"/>
      <c r="AH360" s="294">
        <f>IFERROR(__xludf.DUMMYFUNCTION("IFERROR(INDEX( SORT(FILTER(
        {'1. DATA CHUNG'!$J$4:$J$105 , '1. DATA CHUNG'!$L$4:$L$105}, (TRIM('1. DATA CHUNG'!$I$4:$I$105)=TRIM(K360)) * IF(COUNTIFS('1. DATA CHUNG'!$I$4:$I$105,K360,'1. DATA CHUNG'!$M$4:$M$105,Q360), '1. DATA CHUNG'!$M$4:$M$105=Q"&amp;"360, 1) * ('1. DATA CHUNG'!$L$4:$L$105&lt;=TODAY()) ),   2, 0),  1, 1), 
  IFERROR( INDEX(FILTER('1. DATA CHUNG'!$J$4:$J$105, (TRIM('1. DATA CHUNG'!$I$4:$I$105)=TRIM(K360)) * IF(COUNTIFS('1. DATA CHUNG'!$I$4:$I$105,K360,'1. DATA CHUNG'!$M$4:$M$105,Q360), '1."&amp;" DATA CHUNG'!$M$4:$M$105=Q360, 1) * ('1. DATA CHUNG'!$L$4:$L$105="""")), 1), ""Không tìm thấy"" ))"),7.0)</f>
        <v>7</v>
      </c>
      <c r="AI360" s="273">
        <f t="shared" si="2"/>
        <v>46058</v>
      </c>
      <c r="AJ360" s="287"/>
      <c r="AK360" s="286">
        <f t="shared" si="3"/>
        <v>0</v>
      </c>
      <c r="AL360" s="287" t="str">
        <f t="shared" si="4"/>
        <v/>
      </c>
      <c r="AM360" s="287" t="str">
        <f t="shared" si="5"/>
        <v/>
      </c>
      <c r="AN360" s="279">
        <f t="shared" si="6"/>
        <v>0</v>
      </c>
      <c r="AO360" s="295" t="str">
        <f t="shared" si="7"/>
        <v>01/2026</v>
      </c>
      <c r="AP360" s="277" t="str">
        <f t="array" ref="AP360">IFERROR(XLOOKUP(L360,'2. DATA NL, VTBB'!C:C,'2. DATA NL, VTBB'!F:F),"")</f>
        <v>HH0234</v>
      </c>
      <c r="AQ360" s="277" t="str">
        <f t="array" ref="AQ360">IF(OR(K360="Nhãn", K360="Nhãn thùng",K360="Nhãn Túi"), K360 &amp; " " &amp; IFERROR(XLOOKUP(L360, '2. DATA NL, VTBB'!C:C, '2. DATA NL, VTBB'!E:E), ""), "")</f>
        <v/>
      </c>
      <c r="AR360" s="278" t="str">
        <f t="array" ref="AR360">IFERROR(XLOOKUP(L360,'2. DATA NL, VTBB'!C:C,'2. DATA NL, VTBB'!G:G),"")</f>
        <v>LOT IDA Global - I - 875 - ĐL Bảo Tại - Avermectin 36 (Pet tròn) (nắp đỏ)(nước nâu đen) - 450ml - 40</v>
      </c>
      <c r="AS360" s="278" t="str">
        <f t="array" ref="AS360">IFERROR(XLOOKUP(L360,'2. DATA NL, VTBB'!C:C,'2. DATA NL, VTBB'!G:G),"")</f>
        <v>LOT IDA Global - I - 875 - ĐL Bảo Tại - Avermectin 36 (Pet tròn) (nắp đỏ)(nước nâu đen) - 450ml - 40</v>
      </c>
      <c r="AT360" s="277"/>
    </row>
    <row r="361" ht="30.75" customHeight="1">
      <c r="A361" s="272">
        <f t="shared" si="44"/>
        <v>358</v>
      </c>
      <c r="B361" s="289">
        <v>46051.0</v>
      </c>
      <c r="C361" s="289">
        <v>46058.0</v>
      </c>
      <c r="D361" s="289">
        <v>46060.0</v>
      </c>
      <c r="E361" s="318"/>
      <c r="F361" s="274" t="s">
        <v>561</v>
      </c>
      <c r="G361" s="275" t="s">
        <v>580</v>
      </c>
      <c r="H361" s="274" t="s">
        <v>304</v>
      </c>
      <c r="I361" s="275" t="s">
        <v>726</v>
      </c>
      <c r="J361" s="312"/>
      <c r="K361" s="275" t="s">
        <v>730</v>
      </c>
      <c r="L361" s="277" t="s">
        <v>779</v>
      </c>
      <c r="M361" s="278" t="str">
        <f t="array" ref="M361">IFERROR(XLOOKUP(L361,'2. DATA NL, VTBB'!C:C,'2. DATA NL, VTBB'!D:D),"")</f>
        <v>Nắp PET cổ 44 (9g) - Trắng</v>
      </c>
      <c r="N361" s="280"/>
      <c r="O361" s="280" t="str">
        <f t="array" ref="O361">IFERROR( XLOOKUP(L361,'2. DATA NL, VTBB'!C:C,'2. DATA NL, VTBB'!E:E),"")</f>
        <v>IMIPRID 10WP</v>
      </c>
      <c r="P361" s="275" t="s">
        <v>565</v>
      </c>
      <c r="Q361" s="311"/>
      <c r="R361" s="291" t="s">
        <v>573</v>
      </c>
      <c r="S361" s="280"/>
      <c r="T361" s="277"/>
      <c r="U361" s="277"/>
      <c r="V361" s="283">
        <v>5000.0</v>
      </c>
      <c r="W361" s="275" t="s">
        <v>699</v>
      </c>
      <c r="X361" s="283">
        <v>5000.0</v>
      </c>
      <c r="Y361" s="274">
        <v>5040.0</v>
      </c>
      <c r="Z361" s="272">
        <v>900.0</v>
      </c>
      <c r="AA361" s="285">
        <v>0.08</v>
      </c>
      <c r="AB361" s="282">
        <v>4898880.0</v>
      </c>
      <c r="AC361" s="277"/>
      <c r="AD361" s="289">
        <v>46051.0</v>
      </c>
      <c r="AE361" s="312"/>
      <c r="AF361" s="277"/>
      <c r="AG361" s="277"/>
      <c r="AH361" s="294">
        <f>IFERROR(__xludf.DUMMYFUNCTION("IFERROR(INDEX( SORT(FILTER(
        {'1. DATA CHUNG'!$J$4:$J$105 , '1. DATA CHUNG'!$L$4:$L$105}, (TRIM('1. DATA CHUNG'!$I$4:$I$105)=TRIM(K361)) * IF(COUNTIFS('1. DATA CHUNG'!$I$4:$I$105,K361,'1. DATA CHUNG'!$M$4:$M$105,Q361), '1. DATA CHUNG'!$M$4:$M$105=Q"&amp;"361, 1) * ('1. DATA CHUNG'!$L$4:$L$105&lt;=TODAY()) ),   2, 0),  1, 1), 
  IFERROR( INDEX(FILTER('1. DATA CHUNG'!$J$4:$J$105, (TRIM('1. DATA CHUNG'!$I$4:$I$105)=TRIM(K361)) * IF(COUNTIFS('1. DATA CHUNG'!$I$4:$I$105,K361,'1. DATA CHUNG'!$M$4:$M$105,Q361), '1."&amp;" DATA CHUNG'!$M$4:$M$105=Q361, 1) * ('1. DATA CHUNG'!$L$4:$L$105="""")), 1), ""Không tìm thấy"" ))"),7.0)</f>
        <v>7</v>
      </c>
      <c r="AI361" s="273">
        <f t="shared" si="2"/>
        <v>46058</v>
      </c>
      <c r="AJ361" s="287"/>
      <c r="AK361" s="286">
        <f t="shared" si="3"/>
        <v>0</v>
      </c>
      <c r="AL361" s="287" t="str">
        <f t="shared" si="4"/>
        <v/>
      </c>
      <c r="AM361" s="287" t="str">
        <f t="shared" si="5"/>
        <v/>
      </c>
      <c r="AN361" s="279">
        <f t="shared" si="6"/>
        <v>0</v>
      </c>
      <c r="AO361" s="295" t="str">
        <f t="shared" si="7"/>
        <v>01/2026</v>
      </c>
      <c r="AP361" s="277" t="str">
        <f t="array" ref="AP361">IFERROR(XLOOKUP(L361,'2. DATA NL, VTBB'!C:C,'2. DATA NL, VTBB'!F:F),"")</f>
        <v>HH0163</v>
      </c>
      <c r="AQ361" s="277" t="str">
        <f t="array" ref="AQ361">IF(OR(K361="Nhãn", K361="Nhãn thùng",K361="Nhãn Túi"), K361 &amp; " " &amp; IFERROR(XLOOKUP(L361, '2. DATA NL, VTBB'!C:C, '2. DATA NL, VTBB'!E:E), ""), "")</f>
        <v/>
      </c>
      <c r="AR361" s="278" t="str">
        <f t="array" ref="AR361">IFERROR(XLOOKUP(L361,'2. DATA NL, VTBB'!C:C,'2. DATA NL, VTBB'!G:G),"")</f>
        <v>GC - IV - 888.1 - Huy Phát - BI Pro Max (Bột trắng) - 100gr - 100</v>
      </c>
      <c r="AS361" s="278" t="str">
        <f t="array" ref="AS361">IFERROR(XLOOKUP(L361,'2. DATA NL, VTBB'!C:C,'2. DATA NL, VTBB'!G:G),"")</f>
        <v>GC - IV - 888.1 - Huy Phát - BI Pro Max (Bột trắng) - 100gr - 100</v>
      </c>
      <c r="AT361" s="277"/>
    </row>
    <row r="362" ht="30.75" customHeight="1">
      <c r="A362" s="272">
        <f t="shared" si="44"/>
        <v>359</v>
      </c>
      <c r="B362" s="289">
        <v>46051.0</v>
      </c>
      <c r="C362" s="289">
        <v>46058.0</v>
      </c>
      <c r="D362" s="289">
        <v>46059.0</v>
      </c>
      <c r="E362" s="289">
        <v>46059.0</v>
      </c>
      <c r="F362" s="274" t="s">
        <v>561</v>
      </c>
      <c r="G362" s="275" t="s">
        <v>562</v>
      </c>
      <c r="H362" s="274" t="s">
        <v>304</v>
      </c>
      <c r="I362" s="275" t="s">
        <v>726</v>
      </c>
      <c r="J362" s="272" t="s">
        <v>1052</v>
      </c>
      <c r="K362" s="275" t="s">
        <v>728</v>
      </c>
      <c r="L362" s="277" t="s">
        <v>729</v>
      </c>
      <c r="M362" s="278" t="str">
        <f t="array" ref="M362">IFERROR(XLOOKUP(L362,'2. DATA NL, VTBB'!C:C,'2. DATA NL, VTBB'!D:D),"")</f>
        <v>Chai HDPE tròn cổ 49 500ml (65gr) - trắng - Nắp trắng, có cốc đong</v>
      </c>
      <c r="N362" s="280"/>
      <c r="O362" s="280" t="str">
        <f t="array" ref="O362">IFERROR( XLOOKUP(L362,'2. DATA NL, VTBB'!C:C,'2. DATA NL, VTBB'!E:E),"")</f>
        <v>TVZEB 800WP</v>
      </c>
      <c r="P362" s="275" t="s">
        <v>565</v>
      </c>
      <c r="Q362" s="311"/>
      <c r="R362" s="291" t="s">
        <v>590</v>
      </c>
      <c r="S362" s="280"/>
      <c r="T362" s="277"/>
      <c r="U362" s="277"/>
      <c r="V362" s="283">
        <v>1000.0</v>
      </c>
      <c r="W362" s="275" t="s">
        <v>699</v>
      </c>
      <c r="X362" s="283">
        <v>1000.0</v>
      </c>
      <c r="Y362" s="274">
        <v>1008.0</v>
      </c>
      <c r="Z362" s="287">
        <v>2800.0</v>
      </c>
      <c r="AA362" s="285">
        <v>0.08</v>
      </c>
      <c r="AB362" s="282">
        <v>3048192.0</v>
      </c>
      <c r="AC362" s="277"/>
      <c r="AD362" s="289">
        <v>46051.0</v>
      </c>
      <c r="AE362" s="312"/>
      <c r="AF362" s="277"/>
      <c r="AG362" s="277"/>
      <c r="AH362" s="294">
        <f>IFERROR(__xludf.DUMMYFUNCTION("IFERROR(INDEX( SORT(FILTER(
        {'1. DATA CHUNG'!$J$4:$J$105 , '1. DATA CHUNG'!$L$4:$L$105}, (TRIM('1. DATA CHUNG'!$I$4:$I$105)=TRIM(K362)) * IF(COUNTIFS('1. DATA CHUNG'!$I$4:$I$105,K362,'1. DATA CHUNG'!$M$4:$M$105,Q362), '1. DATA CHUNG'!$M$4:$M$105=Q"&amp;"362, 1) * ('1. DATA CHUNG'!$L$4:$L$105&lt;=TODAY()) ),   2, 0),  1, 1), 
  IFERROR( INDEX(FILTER('1. DATA CHUNG'!$J$4:$J$105, (TRIM('1. DATA CHUNG'!$I$4:$I$105)=TRIM(K362)) * IF(COUNTIFS('1. DATA CHUNG'!$I$4:$I$105,K362,'1. DATA CHUNG'!$M$4:$M$105,Q362), '1."&amp;" DATA CHUNG'!$M$4:$M$105=Q362, 1) * ('1. DATA CHUNG'!$L$4:$L$105="""")), 1), ""Không tìm thấy"" ))"),7.0)</f>
        <v>7</v>
      </c>
      <c r="AI362" s="273">
        <f t="shared" si="2"/>
        <v>46058</v>
      </c>
      <c r="AJ362" s="287"/>
      <c r="AK362" s="286">
        <f t="shared" si="3"/>
        <v>0</v>
      </c>
      <c r="AL362" s="287">
        <f t="shared" si="4"/>
        <v>0</v>
      </c>
      <c r="AM362" s="287">
        <f t="shared" si="5"/>
        <v>-1</v>
      </c>
      <c r="AN362" s="279">
        <f t="shared" si="6"/>
        <v>0</v>
      </c>
      <c r="AO362" s="295" t="str">
        <f t="shared" si="7"/>
        <v>01/2026</v>
      </c>
      <c r="AP362" s="277" t="str">
        <f t="array" ref="AP362">IFERROR(XLOOKUP(L362,'2. DATA NL, VTBB'!C:C,'2. DATA NL, VTBB'!F:F),"")</f>
        <v>HH0058</v>
      </c>
      <c r="AQ362" s="277" t="str">
        <f t="array" ref="AQ362">IF(OR(K362="Nhãn", K362="Nhãn thùng",K362="Nhãn Túi"), K362 &amp; " " &amp; IFERROR(XLOOKUP(L362, '2. DATA NL, VTBB'!C:C, '2. DATA NL, VTBB'!E:E), ""), "")</f>
        <v/>
      </c>
      <c r="AR362" s="278" t="str">
        <f t="array" ref="AR362">IFERROR(XLOOKUP(L362,'2. DATA NL, VTBB'!C:C,'2. DATA NL, VTBB'!G:G),"")</f>
        <v>LOT IDA Global - I - 492 - Mancozeb xanh - 1 kg - 20</v>
      </c>
      <c r="AS362" s="278" t="str">
        <f t="array" ref="AS362">IFERROR(XLOOKUP(L362,'2. DATA NL, VTBB'!C:C,'2. DATA NL, VTBB'!G:G),"")</f>
        <v>LOT IDA Global - I - 492 - Mancozeb xanh - 1 kg - 20</v>
      </c>
      <c r="AT362" s="277"/>
    </row>
    <row r="363" ht="30.75" customHeight="1">
      <c r="A363" s="272">
        <f t="shared" si="44"/>
        <v>360</v>
      </c>
      <c r="B363" s="289">
        <v>46051.0</v>
      </c>
      <c r="C363" s="289">
        <v>46058.0</v>
      </c>
      <c r="D363" s="289">
        <v>46059.0</v>
      </c>
      <c r="E363" s="289">
        <v>46059.0</v>
      </c>
      <c r="F363" s="274" t="s">
        <v>561</v>
      </c>
      <c r="G363" s="275" t="s">
        <v>562</v>
      </c>
      <c r="H363" s="274" t="s">
        <v>304</v>
      </c>
      <c r="I363" s="275" t="s">
        <v>726</v>
      </c>
      <c r="J363" s="272" t="s">
        <v>1052</v>
      </c>
      <c r="K363" s="275" t="s">
        <v>730</v>
      </c>
      <c r="L363" s="277" t="s">
        <v>731</v>
      </c>
      <c r="M363" s="278" t="str">
        <f t="array" ref="M363">IFERROR(XLOOKUP(L363,'2. DATA NL, VTBB'!C:C,'2. DATA NL, VTBB'!D:D),"")</f>
        <v>Nắp HDPE cổ 49 (7.5gr)  có gurantee  - Trắng</v>
      </c>
      <c r="N363" s="280"/>
      <c r="O363" s="280" t="str">
        <f t="array" ref="O363">IFERROR( XLOOKUP(L363,'2. DATA NL, VTBB'!C:C,'2. DATA NL, VTBB'!E:E),"")</f>
        <v>Chitin 3.6EC</v>
      </c>
      <c r="P363" s="275" t="s">
        <v>565</v>
      </c>
      <c r="Q363" s="311"/>
      <c r="R363" s="291" t="s">
        <v>590</v>
      </c>
      <c r="S363" s="280"/>
      <c r="T363" s="277"/>
      <c r="U363" s="277"/>
      <c r="V363" s="283">
        <v>1000.0</v>
      </c>
      <c r="W363" s="275" t="s">
        <v>699</v>
      </c>
      <c r="X363" s="283">
        <v>1000.0</v>
      </c>
      <c r="Y363" s="274">
        <v>1008.0</v>
      </c>
      <c r="Z363" s="287">
        <v>900.0</v>
      </c>
      <c r="AA363" s="285">
        <v>0.08</v>
      </c>
      <c r="AB363" s="282">
        <v>979776.0</v>
      </c>
      <c r="AC363" s="277"/>
      <c r="AD363" s="289">
        <v>46051.0</v>
      </c>
      <c r="AE363" s="312"/>
      <c r="AF363" s="277"/>
      <c r="AG363" s="277"/>
      <c r="AH363" s="294">
        <f>IFERROR(__xludf.DUMMYFUNCTION("IFERROR(INDEX( SORT(FILTER(
        {'1. DATA CHUNG'!$J$4:$J$105 , '1. DATA CHUNG'!$L$4:$L$105}, (TRIM('1. DATA CHUNG'!$I$4:$I$105)=TRIM(K363)) * IF(COUNTIFS('1. DATA CHUNG'!$I$4:$I$105,K363,'1. DATA CHUNG'!$M$4:$M$105,Q363), '1. DATA CHUNG'!$M$4:$M$105=Q"&amp;"363, 1) * ('1. DATA CHUNG'!$L$4:$L$105&lt;=TODAY()) ),   2, 0),  1, 1), 
  IFERROR( INDEX(FILTER('1. DATA CHUNG'!$J$4:$J$105, (TRIM('1. DATA CHUNG'!$I$4:$I$105)=TRIM(K363)) * IF(COUNTIFS('1. DATA CHUNG'!$I$4:$I$105,K363,'1. DATA CHUNG'!$M$4:$M$105,Q363), '1."&amp;" DATA CHUNG'!$M$4:$M$105=Q363, 1) * ('1. DATA CHUNG'!$L$4:$L$105="""")), 1), ""Không tìm thấy"" ))"),7.0)</f>
        <v>7</v>
      </c>
      <c r="AI363" s="273">
        <f t="shared" si="2"/>
        <v>46058</v>
      </c>
      <c r="AJ363" s="287"/>
      <c r="AK363" s="286">
        <f t="shared" si="3"/>
        <v>0</v>
      </c>
      <c r="AL363" s="287">
        <f t="shared" si="4"/>
        <v>0</v>
      </c>
      <c r="AM363" s="287">
        <f t="shared" si="5"/>
        <v>-1</v>
      </c>
      <c r="AN363" s="279">
        <f t="shared" si="6"/>
        <v>0</v>
      </c>
      <c r="AO363" s="295" t="str">
        <f t="shared" si="7"/>
        <v>01/2026</v>
      </c>
      <c r="AP363" s="277" t="str">
        <f t="array" ref="AP363">IFERROR(XLOOKUP(L363,'2. DATA NL, VTBB'!C:C,'2. DATA NL, VTBB'!F:F),"")</f>
        <v>HH0144</v>
      </c>
      <c r="AQ363" s="277" t="str">
        <f t="array" ref="AQ363">IF(OR(K363="Nhãn", K363="Nhãn thùng",K363="Nhãn Túi"), K363 &amp; " " &amp; IFERROR(XLOOKUP(L363, '2. DATA NL, VTBB'!C:C, '2. DATA NL, VTBB'!E:E), ""), "")</f>
        <v/>
      </c>
      <c r="AR363" s="278" t="str">
        <f t="array" ref="AR363">IFERROR(XLOOKUP(L363,'2. DATA NL, VTBB'!C:C,'2. DATA NL, VTBB'!G:G),"")</f>
        <v>GC - IV - 862 - Agritech - Agritech Abamectin 36 (Chai Vuông) (Nước nâu đen) - 450ml - 40</v>
      </c>
      <c r="AS363" s="278" t="str">
        <f t="array" ref="AS363">IFERROR(XLOOKUP(L363,'2. DATA NL, VTBB'!C:C,'2. DATA NL, VTBB'!G:G),"")</f>
        <v>GC - IV - 862 - Agritech - Agritech Abamectin 36 (Chai Vuông) (Nước nâu đen) - 450ml - 40</v>
      </c>
      <c r="AT363" s="277"/>
    </row>
    <row r="364" ht="30.75" customHeight="1">
      <c r="A364" s="272">
        <f t="shared" si="44"/>
        <v>361</v>
      </c>
      <c r="B364" s="289">
        <v>46051.0</v>
      </c>
      <c r="C364" s="289">
        <v>46058.0</v>
      </c>
      <c r="D364" s="289">
        <v>46059.0</v>
      </c>
      <c r="E364" s="289">
        <v>46059.0</v>
      </c>
      <c r="F364" s="274" t="s">
        <v>561</v>
      </c>
      <c r="G364" s="275" t="s">
        <v>562</v>
      </c>
      <c r="H364" s="274" t="s">
        <v>304</v>
      </c>
      <c r="I364" s="275" t="s">
        <v>726</v>
      </c>
      <c r="J364" s="272" t="s">
        <v>1052</v>
      </c>
      <c r="K364" s="275" t="s">
        <v>732</v>
      </c>
      <c r="L364" s="277" t="s">
        <v>733</v>
      </c>
      <c r="M364" s="278" t="str">
        <f t="array" ref="M364">IFERROR(XLOOKUP(L364,'2. DATA NL, VTBB'!C:C,'2. DATA NL, VTBB'!D:D),"")</f>
        <v>Cốc đong cổ 49 50ml - Trắng trong</v>
      </c>
      <c r="N364" s="280"/>
      <c r="O364" s="280" t="str">
        <f t="array" ref="O364">IFERROR( XLOOKUP(L364,'2. DATA NL, VTBB'!C:C,'2. DATA NL, VTBB'!E:E),"")</f>
        <v>PICOSUPER 280SC</v>
      </c>
      <c r="P364" s="275" t="s">
        <v>565</v>
      </c>
      <c r="Q364" s="311"/>
      <c r="R364" s="291" t="s">
        <v>590</v>
      </c>
      <c r="S364" s="280"/>
      <c r="T364" s="277"/>
      <c r="U364" s="277"/>
      <c r="V364" s="283">
        <v>1000.0</v>
      </c>
      <c r="W364" s="275" t="s">
        <v>699</v>
      </c>
      <c r="X364" s="283">
        <v>1000.0</v>
      </c>
      <c r="Y364" s="274">
        <v>1008.0</v>
      </c>
      <c r="Z364" s="287">
        <v>650.0</v>
      </c>
      <c r="AA364" s="285">
        <v>0.08</v>
      </c>
      <c r="AB364" s="282">
        <v>707616.0</v>
      </c>
      <c r="AC364" s="277"/>
      <c r="AD364" s="289">
        <v>46051.0</v>
      </c>
      <c r="AE364" s="312"/>
      <c r="AF364" s="277"/>
      <c r="AG364" s="277"/>
      <c r="AH364" s="294">
        <f>IFERROR(__xludf.DUMMYFUNCTION("IFERROR(INDEX( SORT(FILTER(
        {'1. DATA CHUNG'!$J$4:$J$105 , '1. DATA CHUNG'!$L$4:$L$105}, (TRIM('1. DATA CHUNG'!$I$4:$I$105)=TRIM(K364)) * IF(COUNTIFS('1. DATA CHUNG'!$I$4:$I$105,K364,'1. DATA CHUNG'!$M$4:$M$105,Q364), '1. DATA CHUNG'!$M$4:$M$105=Q"&amp;"364, 1) * ('1. DATA CHUNG'!$L$4:$L$105&lt;=TODAY()) ),   2, 0),  1, 1), 
  IFERROR( INDEX(FILTER('1. DATA CHUNG'!$J$4:$J$105, (TRIM('1. DATA CHUNG'!$I$4:$I$105)=TRIM(K364)) * IF(COUNTIFS('1. DATA CHUNG'!$I$4:$I$105,K364,'1. DATA CHUNG'!$M$4:$M$105,Q364), '1."&amp;" DATA CHUNG'!$M$4:$M$105=Q364, 1) * ('1. DATA CHUNG'!$L$4:$L$105="""")), 1), ""Không tìm thấy"" ))"),7.0)</f>
        <v>7</v>
      </c>
      <c r="AI364" s="273">
        <f t="shared" si="2"/>
        <v>46058</v>
      </c>
      <c r="AJ364" s="287"/>
      <c r="AK364" s="286">
        <f t="shared" si="3"/>
        <v>0</v>
      </c>
      <c r="AL364" s="287">
        <f t="shared" si="4"/>
        <v>0</v>
      </c>
      <c r="AM364" s="287">
        <f t="shared" si="5"/>
        <v>-1</v>
      </c>
      <c r="AN364" s="279">
        <f t="shared" si="6"/>
        <v>0</v>
      </c>
      <c r="AO364" s="295" t="str">
        <f t="shared" si="7"/>
        <v>01/2026</v>
      </c>
      <c r="AP364" s="277" t="str">
        <f t="array" ref="AP364">IFERROR(XLOOKUP(L364,'2. DATA NL, VTBB'!C:C,'2. DATA NL, VTBB'!F:F),"")</f>
        <v>HH0004</v>
      </c>
      <c r="AQ364" s="277" t="str">
        <f t="array" ref="AQ364">IF(OR(K364="Nhãn", K364="Nhãn thùng",K364="Nhãn Túi"), K364 &amp; " " &amp; IFERROR(XLOOKUP(L364, '2. DATA NL, VTBB'!C:C, '2. DATA NL, VTBB'!E:E), ""), "")</f>
        <v/>
      </c>
      <c r="AR364" s="278" t="str">
        <f t="array" ref="AR364">IFERROR(XLOOKUP(L364,'2. DATA NL, VTBB'!C:C,'2. DATA NL, VTBB'!G:G),"")</f>
        <v>IDA Global - I - 713.1 - Picosuper 280SC (Chai Pape)(nước trắng sữa) - 240ml - 40 ([btp],t,c)</v>
      </c>
      <c r="AS364" s="278" t="str">
        <f t="array" ref="AS364">IFERROR(XLOOKUP(L364,'2. DATA NL, VTBB'!C:C,'2. DATA NL, VTBB'!G:G),"")</f>
        <v>IDA Global - I - 713.1 - Picosuper 280SC (Chai Pape)(nước trắng sữa) - 240ml - 40 ([btp],t,c)</v>
      </c>
      <c r="AT364" s="277"/>
    </row>
    <row r="365" ht="30.75" customHeight="1">
      <c r="A365" s="272">
        <f t="shared" si="44"/>
        <v>362</v>
      </c>
      <c r="B365" s="289">
        <v>46051.0</v>
      </c>
      <c r="C365" s="289">
        <v>46058.0</v>
      </c>
      <c r="D365" s="289">
        <v>46076.0</v>
      </c>
      <c r="E365" s="289">
        <v>46111.0</v>
      </c>
      <c r="F365" s="274" t="s">
        <v>561</v>
      </c>
      <c r="G365" s="275" t="s">
        <v>580</v>
      </c>
      <c r="H365" s="274" t="s">
        <v>304</v>
      </c>
      <c r="I365" s="275" t="s">
        <v>744</v>
      </c>
      <c r="J365" s="272" t="s">
        <v>1053</v>
      </c>
      <c r="K365" s="275" t="s">
        <v>728</v>
      </c>
      <c r="L365" s="277" t="s">
        <v>836</v>
      </c>
      <c r="M365" s="278" t="str">
        <f t="array" ref="M365">IFERROR(XLOOKUP(L365,'2. DATA NL, VTBB'!C:C,'2. DATA NL, VTBB'!D:D),"")</f>
        <v>Chai PAPE tròn cổ 43 240,250ml (40gr) logo IDA màu trắng</v>
      </c>
      <c r="N365" s="280"/>
      <c r="O365" s="280" t="str">
        <f t="array" ref="O365">IFERROR( XLOOKUP(L365,'2. DATA NL, VTBB'!C:C,'2. DATA NL, VTBB'!E:E),"")</f>
        <v>Vi lượng AV-CFC
(Dạng rắn)</v>
      </c>
      <c r="P365" s="275" t="s">
        <v>565</v>
      </c>
      <c r="Q365" s="311"/>
      <c r="R365" s="291" t="s">
        <v>573</v>
      </c>
      <c r="S365" s="280"/>
      <c r="T365" s="277"/>
      <c r="U365" s="277"/>
      <c r="V365" s="283">
        <v>1000.0</v>
      </c>
      <c r="W365" s="275" t="s">
        <v>699</v>
      </c>
      <c r="X365" s="283">
        <v>1000.0</v>
      </c>
      <c r="Y365" s="274">
        <v>10000.0</v>
      </c>
      <c r="Z365" s="272">
        <v>4300.0</v>
      </c>
      <c r="AA365" s="285">
        <v>0.08</v>
      </c>
      <c r="AB365" s="282">
        <v>4.644E7</v>
      </c>
      <c r="AC365" s="277"/>
      <c r="AD365" s="289">
        <v>46051.0</v>
      </c>
      <c r="AE365" s="312"/>
      <c r="AF365" s="277"/>
      <c r="AG365" s="277"/>
      <c r="AH365" s="294">
        <f>IFERROR(__xludf.DUMMYFUNCTION("IFERROR(INDEX( SORT(FILTER(
        {'1. DATA CHUNG'!$J$4:$J$105 , '1. DATA CHUNG'!$L$4:$L$105}, (TRIM('1. DATA CHUNG'!$I$4:$I$105)=TRIM(K365)) * IF(COUNTIFS('1. DATA CHUNG'!$I$4:$I$105,K365,'1. DATA CHUNG'!$M$4:$M$105,Q365), '1. DATA CHUNG'!$M$4:$M$105=Q"&amp;"365, 1) * ('1. DATA CHUNG'!$L$4:$L$105&lt;=TODAY()) ),   2, 0),  1, 1), 
  IFERROR( INDEX(FILTER('1. DATA CHUNG'!$J$4:$J$105, (TRIM('1. DATA CHUNG'!$I$4:$I$105)=TRIM(K365)) * IF(COUNTIFS('1. DATA CHUNG'!$I$4:$I$105,K365,'1. DATA CHUNG'!$M$4:$M$105,Q365), '1."&amp;" DATA CHUNG'!$M$4:$M$105=Q365, 1) * ('1. DATA CHUNG'!$L$4:$L$105="""")), 1), ""Không tìm thấy"" ))"),7.0)</f>
        <v>7</v>
      </c>
      <c r="AI365" s="273">
        <f t="shared" si="2"/>
        <v>46058</v>
      </c>
      <c r="AJ365" s="287"/>
      <c r="AK365" s="286">
        <f t="shared" si="3"/>
        <v>0</v>
      </c>
      <c r="AL365" s="287">
        <f t="shared" si="4"/>
        <v>-35</v>
      </c>
      <c r="AM365" s="287">
        <f t="shared" si="5"/>
        <v>-53</v>
      </c>
      <c r="AN365" s="279">
        <f t="shared" si="6"/>
        <v>0</v>
      </c>
      <c r="AO365" s="295" t="str">
        <f t="shared" si="7"/>
        <v>01/2026</v>
      </c>
      <c r="AP365" s="277" t="str">
        <f t="array" ref="AP365">IFERROR(XLOOKUP(L365,'2. DATA NL, VTBB'!C:C,'2. DATA NL, VTBB'!F:F),"")</f>
        <v>HH0028</v>
      </c>
      <c r="AQ365" s="277" t="str">
        <f t="array" ref="AQ365">IF(OR(K365="Nhãn", K365="Nhãn thùng",K365="Nhãn Túi"), K365 &amp; " " &amp; IFERROR(XLOOKUP(L365, '2. DATA NL, VTBB'!C:C, '2. DATA NL, VTBB'!E:E), ""), "")</f>
        <v/>
      </c>
      <c r="AR365" s="278" t="str">
        <f t="array" ref="AR365">IFERROR(XLOOKUP(L365,'2. DATA NL, VTBB'!C:C,'2. DATA NL, VTBB'!G:G),"")</f>
        <v>IDA Global - I - 390.1 - Humi Total (nhãn viền cam) - 1kg - 25</v>
      </c>
      <c r="AS365" s="278" t="str">
        <f t="array" ref="AS365">IFERROR(XLOOKUP(L365,'2. DATA NL, VTBB'!C:C,'2. DATA NL, VTBB'!G:G),"")</f>
        <v>IDA Global - I - 390.1 - Humi Total (nhãn viền cam) - 1kg - 25</v>
      </c>
      <c r="AT365" s="277"/>
    </row>
    <row r="366" ht="30.75" customHeight="1">
      <c r="A366" s="272">
        <f t="shared" si="44"/>
        <v>363</v>
      </c>
      <c r="B366" s="289">
        <v>46051.0</v>
      </c>
      <c r="C366" s="289">
        <v>46058.0</v>
      </c>
      <c r="D366" s="289">
        <v>46076.0</v>
      </c>
      <c r="E366" s="289">
        <v>46111.0</v>
      </c>
      <c r="F366" s="274" t="s">
        <v>561</v>
      </c>
      <c r="G366" s="275" t="s">
        <v>580</v>
      </c>
      <c r="H366" s="274" t="s">
        <v>304</v>
      </c>
      <c r="I366" s="275" t="s">
        <v>744</v>
      </c>
      <c r="J366" s="272" t="s">
        <v>1053</v>
      </c>
      <c r="K366" s="275" t="s">
        <v>730</v>
      </c>
      <c r="L366" s="277" t="s">
        <v>810</v>
      </c>
      <c r="M366" s="278" t="str">
        <f t="array" ref="M366">IFERROR(XLOOKUP(L366,'2. DATA NL, VTBB'!C:C,'2. DATA NL, VTBB'!D:D),"")</f>
        <v>Nắp HDPE cổ 43 (10gr) logo IDA màu trắng</v>
      </c>
      <c r="N366" s="280"/>
      <c r="O366" s="280" t="str">
        <f t="array" ref="O366">IFERROR( XLOOKUP(L366,'2. DATA NL, VTBB'!C:C,'2. DATA NL, VTBB'!E:E),"")</f>
        <v>Acodyl 35WP</v>
      </c>
      <c r="P366" s="275" t="s">
        <v>565</v>
      </c>
      <c r="Q366" s="311"/>
      <c r="R366" s="291" t="s">
        <v>573</v>
      </c>
      <c r="S366" s="280"/>
      <c r="T366" s="277"/>
      <c r="U366" s="277"/>
      <c r="V366" s="283">
        <v>1000.0</v>
      </c>
      <c r="W366" s="275" t="s">
        <v>699</v>
      </c>
      <c r="X366" s="283">
        <v>1000.0</v>
      </c>
      <c r="Y366" s="274">
        <v>10000.0</v>
      </c>
      <c r="Z366" s="272">
        <v>1000.0</v>
      </c>
      <c r="AA366" s="285">
        <v>0.08</v>
      </c>
      <c r="AB366" s="282">
        <v>1.08E7</v>
      </c>
      <c r="AC366" s="277"/>
      <c r="AD366" s="289">
        <v>46051.0</v>
      </c>
      <c r="AE366" s="312"/>
      <c r="AF366" s="277"/>
      <c r="AG366" s="277"/>
      <c r="AH366" s="294">
        <f>IFERROR(__xludf.DUMMYFUNCTION("IFERROR(INDEX( SORT(FILTER(
        {'1. DATA CHUNG'!$J$4:$J$105 , '1. DATA CHUNG'!$L$4:$L$105}, (TRIM('1. DATA CHUNG'!$I$4:$I$105)=TRIM(K366)) * IF(COUNTIFS('1. DATA CHUNG'!$I$4:$I$105,K366,'1. DATA CHUNG'!$M$4:$M$105,Q366), '1. DATA CHUNG'!$M$4:$M$105=Q"&amp;"366, 1) * ('1. DATA CHUNG'!$L$4:$L$105&lt;=TODAY()) ),   2, 0),  1, 1), 
  IFERROR( INDEX(FILTER('1. DATA CHUNG'!$J$4:$J$105, (TRIM('1. DATA CHUNG'!$I$4:$I$105)=TRIM(K366)) * IF(COUNTIFS('1. DATA CHUNG'!$I$4:$I$105,K366,'1. DATA CHUNG'!$M$4:$M$105,Q366), '1."&amp;" DATA CHUNG'!$M$4:$M$105=Q366, 1) * ('1. DATA CHUNG'!$L$4:$L$105="""")), 1), ""Không tìm thấy"" ))"),7.0)</f>
        <v>7</v>
      </c>
      <c r="AI366" s="273">
        <f t="shared" si="2"/>
        <v>46058</v>
      </c>
      <c r="AJ366" s="287"/>
      <c r="AK366" s="286">
        <f t="shared" si="3"/>
        <v>0</v>
      </c>
      <c r="AL366" s="287">
        <f t="shared" si="4"/>
        <v>-35</v>
      </c>
      <c r="AM366" s="287">
        <f t="shared" si="5"/>
        <v>-53</v>
      </c>
      <c r="AN366" s="279">
        <f t="shared" si="6"/>
        <v>0</v>
      </c>
      <c r="AO366" s="295" t="str">
        <f t="shared" si="7"/>
        <v>01/2026</v>
      </c>
      <c r="AP366" s="277" t="str">
        <f t="array" ref="AP366">IFERROR(XLOOKUP(L366,'2. DATA NL, VTBB'!C:C,'2. DATA NL, VTBB'!F:F),"")</f>
        <v>HH0017</v>
      </c>
      <c r="AQ366" s="277" t="str">
        <f t="array" ref="AQ366">IF(OR(K366="Nhãn", K366="Nhãn thùng",K366="Nhãn Túi"), K366 &amp; " " &amp; IFERROR(XLOOKUP(L366, '2. DATA NL, VTBB'!C:C, '2. DATA NL, VTBB'!E:E), ""), "")</f>
        <v/>
      </c>
      <c r="AR366" s="278" t="str">
        <f t="array" ref="AR366">IFERROR(XLOOKUP(L366,'2. DATA NL, VTBB'!C:C,'2. DATA NL, VTBB'!G:G),"")</f>
        <v>GC - I - 309 - Wettable Powder - 100gr - 100</v>
      </c>
      <c r="AS366" s="278" t="str">
        <f t="array" ref="AS366">IFERROR(XLOOKUP(L366,'2. DATA NL, VTBB'!C:C,'2. DATA NL, VTBB'!G:G),"")</f>
        <v>GC - I - 309 - Wettable Powder - 100gr - 100</v>
      </c>
      <c r="AT366" s="277"/>
    </row>
    <row r="367" ht="30.75" customHeight="1">
      <c r="A367" s="272">
        <f t="shared" si="44"/>
        <v>364</v>
      </c>
      <c r="B367" s="289">
        <v>46051.0</v>
      </c>
      <c r="C367" s="289">
        <v>46058.0</v>
      </c>
      <c r="D367" s="289">
        <v>46080.0</v>
      </c>
      <c r="E367" s="289">
        <v>46095.0</v>
      </c>
      <c r="F367" s="274" t="s">
        <v>561</v>
      </c>
      <c r="G367" s="275" t="s">
        <v>562</v>
      </c>
      <c r="H367" s="274" t="s">
        <v>304</v>
      </c>
      <c r="I367" s="275" t="s">
        <v>305</v>
      </c>
      <c r="J367" s="272" t="s">
        <v>1054</v>
      </c>
      <c r="K367" s="275" t="s">
        <v>301</v>
      </c>
      <c r="L367" s="277" t="s">
        <v>616</v>
      </c>
      <c r="M367" s="278" t="str">
        <f t="array" ref="M367">IFERROR(XLOOKUP(L367,'2. DATA NL, VTBB'!C:C,'2. DATA NL, VTBB'!D:D),"")</f>
        <v>Thùng Chai HD 500ml x 40 chai (60x38x20cm) - Thùng Trắng viền đen</v>
      </c>
      <c r="N367" s="280"/>
      <c r="O367" s="280" t="str">
        <f t="array" ref="O367">IFERROR( XLOOKUP(L367,'2. DATA NL, VTBB'!C:C,'2. DATA NL, VTBB'!E:E),"")</f>
        <v>Pim.Pim 75WP</v>
      </c>
      <c r="P367" s="275" t="s">
        <v>565</v>
      </c>
      <c r="Q367" s="311"/>
      <c r="R367" s="290" t="s">
        <v>566</v>
      </c>
      <c r="S367" s="280"/>
      <c r="T367" s="277"/>
      <c r="U367" s="277"/>
      <c r="V367" s="283">
        <v>300.0</v>
      </c>
      <c r="W367" s="275" t="s">
        <v>699</v>
      </c>
      <c r="X367" s="283">
        <v>300.0</v>
      </c>
      <c r="Y367" s="274">
        <v>315.0</v>
      </c>
      <c r="Z367" s="272">
        <v>21500.0</v>
      </c>
      <c r="AA367" s="285">
        <v>0.08</v>
      </c>
      <c r="AB367" s="282">
        <v>7314300.0</v>
      </c>
      <c r="AC367" s="277"/>
      <c r="AD367" s="289">
        <v>46051.0</v>
      </c>
      <c r="AE367" s="312"/>
      <c r="AF367" s="277"/>
      <c r="AG367" s="277"/>
      <c r="AH367" s="294">
        <f>IFERROR(__xludf.DUMMYFUNCTION("IFERROR(INDEX( SORT(FILTER(
        {'1. DATA CHUNG'!$J$4:$J$105 , '1. DATA CHUNG'!$L$4:$L$105}, (TRIM('1. DATA CHUNG'!$I$4:$I$105)=TRIM(K367)) * IF(COUNTIFS('1. DATA CHUNG'!$I$4:$I$105,K367,'1. DATA CHUNG'!$M$4:$M$105,Q367), '1. DATA CHUNG'!$M$4:$M$105=Q"&amp;"367, 1) * ('1. DATA CHUNG'!$L$4:$L$105&lt;=TODAY()) ),   2, 0),  1, 1), 
  IFERROR( INDEX(FILTER('1. DATA CHUNG'!$J$4:$J$105, (TRIM('1. DATA CHUNG'!$I$4:$I$105)=TRIM(K367)) * IF(COUNTIFS('1. DATA CHUNG'!$I$4:$I$105,K367,'1. DATA CHUNG'!$M$4:$M$105,Q367), '1."&amp;" DATA CHUNG'!$M$4:$M$105=Q367, 1) * ('1. DATA CHUNG'!$L$4:$L$105="""")), 1), ""Không tìm thấy"" ))"),18.0)</f>
        <v>18</v>
      </c>
      <c r="AI367" s="273">
        <f t="shared" si="2"/>
        <v>46069</v>
      </c>
      <c r="AJ367" s="287"/>
      <c r="AK367" s="286">
        <f t="shared" si="3"/>
        <v>0</v>
      </c>
      <c r="AL367" s="287">
        <f t="shared" si="4"/>
        <v>-15</v>
      </c>
      <c r="AM367" s="287">
        <f t="shared" si="5"/>
        <v>-26</v>
      </c>
      <c r="AN367" s="279">
        <f t="shared" si="6"/>
        <v>11</v>
      </c>
      <c r="AO367" s="295" t="str">
        <f t="shared" si="7"/>
        <v>01/2026</v>
      </c>
      <c r="AP367" s="277" t="str">
        <f t="array" ref="AP367">IFERROR(XLOOKUP(L367,'2. DATA NL, VTBB'!C:C,'2. DATA NL, VTBB'!F:F),"")</f>
        <v>HH0146</v>
      </c>
      <c r="AQ367" s="277" t="str">
        <f t="array" ref="AQ367">IF(OR(K367="Nhãn", K367="Nhãn thùng",K367="Nhãn Túi"), K367 &amp; " " &amp; IFERROR(XLOOKUP(L367, '2. DATA NL, VTBB'!C:C, '2. DATA NL, VTBB'!E:E), ""), "")</f>
        <v/>
      </c>
      <c r="AR367" s="278" t="str">
        <f t="array" ref="AR367">IFERROR(XLOOKUP(L367,'2. DATA NL, VTBB'!C:C,'2. DATA NL, VTBB'!G:G),"")</f>
        <v>IDA Global - I - 530.2 - Sức mạnh Tricyclazole - New 35gr - 300</v>
      </c>
      <c r="AS367" s="278" t="str">
        <f t="array" ref="AS367">IFERROR(XLOOKUP(L367,'2. DATA NL, VTBB'!C:C,'2. DATA NL, VTBB'!G:G),"")</f>
        <v>IDA Global - I - 530.2 - Sức mạnh Tricyclazole - New 35gr - 300</v>
      </c>
      <c r="AT367" s="277"/>
    </row>
    <row r="368" ht="30.75" customHeight="1">
      <c r="A368" s="272">
        <f t="shared" si="44"/>
        <v>365</v>
      </c>
      <c r="B368" s="289">
        <v>46051.0</v>
      </c>
      <c r="C368" s="289">
        <v>46058.0</v>
      </c>
      <c r="D368" s="289">
        <v>46059.0</v>
      </c>
      <c r="E368" s="289">
        <v>46052.0</v>
      </c>
      <c r="F368" s="274" t="s">
        <v>561</v>
      </c>
      <c r="G368" s="275" t="s">
        <v>562</v>
      </c>
      <c r="H368" s="274" t="s">
        <v>304</v>
      </c>
      <c r="I368" s="275" t="s">
        <v>726</v>
      </c>
      <c r="J368" s="272" t="s">
        <v>1055</v>
      </c>
      <c r="K368" s="275" t="s">
        <v>728</v>
      </c>
      <c r="L368" s="277" t="s">
        <v>1056</v>
      </c>
      <c r="M368" s="278" t="str">
        <f t="array" ref="M368">IFERROR(XLOOKUP(L368,'2. DATA NL, VTBB'!C:C,'2. DATA NL, VTBB'!D:D),"")</f>
        <v>Chai PET vuông cổ 28 250ml - Trắng sữa</v>
      </c>
      <c r="N368" s="280"/>
      <c r="O368" s="280" t="str">
        <f t="array" ref="O368">IFERROR( XLOOKUP(L368,'2. DATA NL, VTBB'!C:C,'2. DATA NL, VTBB'!E:E),"")</f>
        <v>Vi lượng Basel DANA 20</v>
      </c>
      <c r="P368" s="275" t="s">
        <v>565</v>
      </c>
      <c r="Q368" s="311"/>
      <c r="R368" s="291" t="s">
        <v>573</v>
      </c>
      <c r="S368" s="280"/>
      <c r="T368" s="277"/>
      <c r="U368" s="277"/>
      <c r="V368" s="283">
        <v>1000.0</v>
      </c>
      <c r="W368" s="275" t="s">
        <v>699</v>
      </c>
      <c r="X368" s="283">
        <v>1000.0</v>
      </c>
      <c r="Y368" s="274">
        <v>1078.0</v>
      </c>
      <c r="Z368" s="272">
        <v>1900.0</v>
      </c>
      <c r="AA368" s="285">
        <v>0.08</v>
      </c>
      <c r="AB368" s="282">
        <v>2212056.0</v>
      </c>
      <c r="AC368" s="277"/>
      <c r="AD368" s="289">
        <v>46051.0</v>
      </c>
      <c r="AE368" s="312"/>
      <c r="AF368" s="277"/>
      <c r="AG368" s="277"/>
      <c r="AH368" s="294">
        <f>IFERROR(__xludf.DUMMYFUNCTION("IFERROR(INDEX( SORT(FILTER(
        {'1. DATA CHUNG'!$J$4:$J$105 , '1. DATA CHUNG'!$L$4:$L$105}, (TRIM('1. DATA CHUNG'!$I$4:$I$105)=TRIM(K368)) * IF(COUNTIFS('1. DATA CHUNG'!$I$4:$I$105,K368,'1. DATA CHUNG'!$M$4:$M$105,Q368), '1. DATA CHUNG'!$M$4:$M$105=Q"&amp;"368, 1) * ('1. DATA CHUNG'!$L$4:$L$105&lt;=TODAY()) ),   2, 0),  1, 1), 
  IFERROR( INDEX(FILTER('1. DATA CHUNG'!$J$4:$J$105, (TRIM('1. DATA CHUNG'!$I$4:$I$105)=TRIM(K368)) * IF(COUNTIFS('1. DATA CHUNG'!$I$4:$I$105,K368,'1. DATA CHUNG'!$M$4:$M$105,Q368), '1."&amp;" DATA CHUNG'!$M$4:$M$105=Q368, 1) * ('1. DATA CHUNG'!$L$4:$L$105="""")), 1), ""Không tìm thấy"" ))"),7.0)</f>
        <v>7</v>
      </c>
      <c r="AI368" s="273">
        <f t="shared" si="2"/>
        <v>46058</v>
      </c>
      <c r="AJ368" s="287"/>
      <c r="AK368" s="286">
        <f t="shared" si="3"/>
        <v>0</v>
      </c>
      <c r="AL368" s="287">
        <f t="shared" si="4"/>
        <v>7</v>
      </c>
      <c r="AM368" s="287">
        <f t="shared" si="5"/>
        <v>6</v>
      </c>
      <c r="AN368" s="279">
        <f t="shared" si="6"/>
        <v>0</v>
      </c>
      <c r="AO368" s="295" t="str">
        <f t="shared" si="7"/>
        <v>01/2026</v>
      </c>
      <c r="AP368" s="277" t="str">
        <f t="array" ref="AP368">IFERROR(XLOOKUP(L368,'2. DATA NL, VTBB'!C:C,'2. DATA NL, VTBB'!F:F),"")</f>
        <v>HH0030</v>
      </c>
      <c r="AQ368" s="277" t="str">
        <f t="array" ref="AQ368">IF(OR(K368="Nhãn", K368="Nhãn thùng",K368="Nhãn Túi"), K368 &amp; " " &amp; IFERROR(XLOOKUP(L368, '2. DATA NL, VTBB'!C:C, '2. DATA NL, VTBB'!E:E), ""), "")</f>
        <v/>
      </c>
      <c r="AR368" s="278" t="str">
        <f t="array" ref="AR368">IFERROR(XLOOKUP(L368,'2. DATA NL, VTBB'!C:C,'2. DATA NL, VTBB'!G:G),"")</f>
        <v>GC - II - 397 - SH ROOT+ - 60ml - 300</v>
      </c>
      <c r="AS368" s="278" t="str">
        <f t="array" ref="AS368">IFERROR(XLOOKUP(L368,'2. DATA NL, VTBB'!C:C,'2. DATA NL, VTBB'!G:G),"")</f>
        <v>GC - II - 397 - SH ROOT+ - 60ml - 300</v>
      </c>
      <c r="AT368" s="277"/>
    </row>
    <row r="369" ht="30.75" customHeight="1">
      <c r="A369" s="272">
        <f t="shared" si="44"/>
        <v>366</v>
      </c>
      <c r="B369" s="289">
        <v>46051.0</v>
      </c>
      <c r="C369" s="289">
        <v>46058.0</v>
      </c>
      <c r="D369" s="289">
        <v>46059.0</v>
      </c>
      <c r="E369" s="289">
        <v>46052.0</v>
      </c>
      <c r="F369" s="274" t="s">
        <v>561</v>
      </c>
      <c r="G369" s="275" t="s">
        <v>562</v>
      </c>
      <c r="H369" s="274" t="s">
        <v>304</v>
      </c>
      <c r="I369" s="275" t="s">
        <v>726</v>
      </c>
      <c r="J369" s="272" t="s">
        <v>1055</v>
      </c>
      <c r="K369" s="275" t="s">
        <v>730</v>
      </c>
      <c r="L369" s="277" t="s">
        <v>1057</v>
      </c>
      <c r="M369" s="278" t="str">
        <f t="array" ref="M369">IFERROR(XLOOKUP(L369,'2. DATA NL, VTBB'!C:C,'2. DATA NL, VTBB'!D:D),"")</f>
        <v>Nắp PET cổ 28 (3gr) đỏ</v>
      </c>
      <c r="N369" s="280"/>
      <c r="O369" s="280" t="str">
        <f t="array" ref="O369">IFERROR( XLOOKUP(L369,'2. DATA NL, VTBB'!C:C,'2. DATA NL, VTBB'!E:E),"")</f>
        <v>Vi lượng Quantity New</v>
      </c>
      <c r="P369" s="275" t="s">
        <v>565</v>
      </c>
      <c r="Q369" s="311"/>
      <c r="R369" s="291" t="s">
        <v>573</v>
      </c>
      <c r="S369" s="280"/>
      <c r="T369" s="277"/>
      <c r="U369" s="277"/>
      <c r="V369" s="283">
        <v>1000.0</v>
      </c>
      <c r="W369" s="275" t="s">
        <v>699</v>
      </c>
      <c r="X369" s="283">
        <v>1000.0</v>
      </c>
      <c r="Y369" s="274">
        <v>1078.0</v>
      </c>
      <c r="Z369" s="272">
        <v>500.0</v>
      </c>
      <c r="AA369" s="285">
        <v>0.08</v>
      </c>
      <c r="AB369" s="282">
        <v>582120.0</v>
      </c>
      <c r="AC369" s="277"/>
      <c r="AD369" s="289">
        <v>46051.0</v>
      </c>
      <c r="AE369" s="312"/>
      <c r="AF369" s="277"/>
      <c r="AG369" s="277"/>
      <c r="AH369" s="294">
        <f>IFERROR(__xludf.DUMMYFUNCTION("IFERROR(INDEX( SORT(FILTER(
        {'1. DATA CHUNG'!$J$4:$J$105 , '1. DATA CHUNG'!$L$4:$L$105}, (TRIM('1. DATA CHUNG'!$I$4:$I$105)=TRIM(K369)) * IF(COUNTIFS('1. DATA CHUNG'!$I$4:$I$105,K369,'1. DATA CHUNG'!$M$4:$M$105,Q369), '1. DATA CHUNG'!$M$4:$M$105=Q"&amp;"369, 1) * ('1. DATA CHUNG'!$L$4:$L$105&lt;=TODAY()) ),   2, 0),  1, 1), 
  IFERROR( INDEX(FILTER('1. DATA CHUNG'!$J$4:$J$105, (TRIM('1. DATA CHUNG'!$I$4:$I$105)=TRIM(K369)) * IF(COUNTIFS('1. DATA CHUNG'!$I$4:$I$105,K369,'1. DATA CHUNG'!$M$4:$M$105,Q369), '1."&amp;" DATA CHUNG'!$M$4:$M$105=Q369, 1) * ('1. DATA CHUNG'!$L$4:$L$105="""")), 1), ""Không tìm thấy"" ))"),7.0)</f>
        <v>7</v>
      </c>
      <c r="AI369" s="273">
        <f t="shared" si="2"/>
        <v>46058</v>
      </c>
      <c r="AJ369" s="287"/>
      <c r="AK369" s="286">
        <f t="shared" si="3"/>
        <v>0</v>
      </c>
      <c r="AL369" s="287">
        <f t="shared" si="4"/>
        <v>7</v>
      </c>
      <c r="AM369" s="287">
        <f t="shared" si="5"/>
        <v>6</v>
      </c>
      <c r="AN369" s="279">
        <f t="shared" si="6"/>
        <v>0</v>
      </c>
      <c r="AO369" s="295" t="str">
        <f t="shared" si="7"/>
        <v>01/2026</v>
      </c>
      <c r="AP369" s="277" t="str">
        <f t="array" ref="AP369">IFERROR(XLOOKUP(L369,'2. DATA NL, VTBB'!C:C,'2. DATA NL, VTBB'!F:F),"")</f>
        <v>HH0065</v>
      </c>
      <c r="AQ369" s="277" t="str">
        <f t="array" ref="AQ369">IF(OR(K369="Nhãn", K369="Nhãn thùng",K369="Nhãn Túi"), K369 &amp; " " &amp; IFERROR(XLOOKUP(L369, '2. DATA NL, VTBB'!C:C, '2. DATA NL, VTBB'!E:E), ""), "")</f>
        <v/>
      </c>
      <c r="AR369" s="278" t="str">
        <f t="array" ref="AR369">IFERROR(XLOOKUP(L369,'2. DATA NL, VTBB'!C:C,'2. DATA NL, VTBB'!G:G),"")</f>
        <v>GC - II - 582 - A Thời GNH - Siêu Bung Đọt (Chuyên Mai) (Chai HD) - 500ml - 40 ([btp],n,c)</v>
      </c>
      <c r="AS369" s="278" t="str">
        <f t="array" ref="AS369">IFERROR(XLOOKUP(L369,'2. DATA NL, VTBB'!C:C,'2. DATA NL, VTBB'!G:G),"")</f>
        <v>GC - II - 582 - A Thời GNH - Siêu Bung Đọt (Chuyên Mai) (Chai HD) - 500ml - 40 ([btp],n,c)</v>
      </c>
      <c r="AT369" s="277"/>
    </row>
    <row r="370" ht="30.75" customHeight="1">
      <c r="A370" s="272">
        <f t="shared" si="44"/>
        <v>367</v>
      </c>
      <c r="B370" s="289">
        <v>46052.0</v>
      </c>
      <c r="C370" s="289">
        <v>46059.0</v>
      </c>
      <c r="D370" s="289">
        <v>46080.0</v>
      </c>
      <c r="E370" s="289">
        <v>46080.0</v>
      </c>
      <c r="F370" s="274" t="s">
        <v>561</v>
      </c>
      <c r="G370" s="275" t="s">
        <v>562</v>
      </c>
      <c r="H370" s="274" t="s">
        <v>304</v>
      </c>
      <c r="I370" s="275" t="s">
        <v>305</v>
      </c>
      <c r="J370" s="272" t="s">
        <v>1058</v>
      </c>
      <c r="K370" s="275" t="s">
        <v>301</v>
      </c>
      <c r="L370" s="277" t="s">
        <v>596</v>
      </c>
      <c r="M370" s="278" t="str">
        <f t="array" ref="M370">IFERROR(XLOOKUP(L370,'2. DATA NL, VTBB'!C:C,'2. DATA NL, VTBB'!D:D),"")</f>
        <v>Thùng chung Chai HDPE 500ml x 40 chai  (64.5x40.5x19cm) - Nâu trơn</v>
      </c>
      <c r="N370" s="280"/>
      <c r="O370" s="280" t="str">
        <f t="array" ref="O370">IFERROR( XLOOKUP(L370,'2. DATA NL, VTBB'!C:C,'2. DATA NL, VTBB'!E:E),"")</f>
        <v>Centertaner 500WP</v>
      </c>
      <c r="P370" s="275" t="s">
        <v>565</v>
      </c>
      <c r="Q370" s="311"/>
      <c r="R370" s="290" t="s">
        <v>566</v>
      </c>
      <c r="S370" s="280"/>
      <c r="T370" s="277"/>
      <c r="U370" s="277"/>
      <c r="V370" s="283">
        <v>300.0</v>
      </c>
      <c r="W370" s="275" t="s">
        <v>699</v>
      </c>
      <c r="X370" s="283">
        <v>300.0</v>
      </c>
      <c r="Y370" s="274">
        <v>315.0</v>
      </c>
      <c r="Z370" s="272">
        <v>21500.0</v>
      </c>
      <c r="AA370" s="285">
        <v>0.08</v>
      </c>
      <c r="AB370" s="282">
        <v>7314300.0</v>
      </c>
      <c r="AC370" s="277"/>
      <c r="AD370" s="289">
        <v>46052.0</v>
      </c>
      <c r="AE370" s="272">
        <v>439.0</v>
      </c>
      <c r="AF370" s="277"/>
      <c r="AG370" s="277"/>
      <c r="AH370" s="294">
        <f>IFERROR(__xludf.DUMMYFUNCTION("IFERROR(INDEX( SORT(FILTER(
        {'1. DATA CHUNG'!$J$4:$J$105 , '1. DATA CHUNG'!$L$4:$L$105}, (TRIM('1. DATA CHUNG'!$I$4:$I$105)=TRIM(K370)) * IF(COUNTIFS('1. DATA CHUNG'!$I$4:$I$105,K370,'1. DATA CHUNG'!$M$4:$M$105,Q370), '1. DATA CHUNG'!$M$4:$M$105=Q"&amp;"370, 1) * ('1. DATA CHUNG'!$L$4:$L$105&lt;=TODAY()) ),   2, 0),  1, 1), 
  IFERROR( INDEX(FILTER('1. DATA CHUNG'!$J$4:$J$105, (TRIM('1. DATA CHUNG'!$I$4:$I$105)=TRIM(K370)) * IF(COUNTIFS('1. DATA CHUNG'!$I$4:$I$105,K370,'1. DATA CHUNG'!$M$4:$M$105,Q370), '1."&amp;" DATA CHUNG'!$M$4:$M$105=Q370, 1) * ('1. DATA CHUNG'!$L$4:$L$105="""")), 1), ""Không tìm thấy"" ))"),18.0)</f>
        <v>18</v>
      </c>
      <c r="AI370" s="273">
        <f t="shared" si="2"/>
        <v>46070</v>
      </c>
      <c r="AJ370" s="287"/>
      <c r="AK370" s="286">
        <f t="shared" si="3"/>
        <v>0</v>
      </c>
      <c r="AL370" s="287">
        <f t="shared" si="4"/>
        <v>0</v>
      </c>
      <c r="AM370" s="287">
        <f t="shared" si="5"/>
        <v>-10</v>
      </c>
      <c r="AN370" s="279">
        <f t="shared" si="6"/>
        <v>11</v>
      </c>
      <c r="AO370" s="295" t="str">
        <f t="shared" si="7"/>
        <v>01/2026</v>
      </c>
      <c r="AP370" s="277" t="str">
        <f t="array" ref="AP370">IFERROR(XLOOKUP(L370,'2. DATA NL, VTBB'!C:C,'2. DATA NL, VTBB'!F:F),"")</f>
        <v>HH0274</v>
      </c>
      <c r="AQ370" s="277" t="str">
        <f t="array" ref="AQ370">IF(OR(K370="Nhãn", K370="Nhãn thùng",K370="Nhãn Túi"), K370 &amp; " " &amp; IFERROR(XLOOKUP(L370, '2. DATA NL, VTBB'!C:C, '2. DATA NL, VTBB'!E:E), ""), "")</f>
        <v/>
      </c>
      <c r="AR370" s="278" t="str">
        <f t="array" ref="AR370">IFERROR(XLOOKUP(L370,'2. DATA NL, VTBB'!C:C,'2. DATA NL, VTBB'!G:G),"")</f>
        <v>IDA Global - I - 690 - Centertaner 500 WP (túi nhôm) - 12 gr - 400</v>
      </c>
      <c r="AS370" s="278" t="str">
        <f t="array" ref="AS370">IFERROR(XLOOKUP(L370,'2. DATA NL, VTBB'!C:C,'2. DATA NL, VTBB'!G:G),"")</f>
        <v>IDA Global - I - 690 - Centertaner 500 WP (túi nhôm) - 12 gr - 400</v>
      </c>
      <c r="AT370" s="277"/>
    </row>
    <row r="371" ht="30.75" customHeight="1">
      <c r="A371" s="272">
        <f t="shared" si="44"/>
        <v>368</v>
      </c>
      <c r="B371" s="289">
        <v>46052.0</v>
      </c>
      <c r="C371" s="289">
        <v>46059.0</v>
      </c>
      <c r="D371" s="289">
        <v>46060.0</v>
      </c>
      <c r="E371" s="289">
        <v>46060.0</v>
      </c>
      <c r="F371" s="274" t="s">
        <v>561</v>
      </c>
      <c r="G371" s="275" t="s">
        <v>562</v>
      </c>
      <c r="H371" s="274" t="s">
        <v>304</v>
      </c>
      <c r="I371" s="275" t="s">
        <v>726</v>
      </c>
      <c r="J371" s="272" t="s">
        <v>1059</v>
      </c>
      <c r="K371" s="275" t="s">
        <v>728</v>
      </c>
      <c r="L371" s="277" t="s">
        <v>944</v>
      </c>
      <c r="M371" s="278" t="str">
        <f t="array" ref="M371">IFERROR(XLOOKUP(L371,'2. DATA NL, VTBB'!C:C,'2. DATA NL, VTBB'!D:D),"")</f>
        <v>Chai HDPE tròn cổ 49 (50gr) 250ml trắng -  Nắp trắng</v>
      </c>
      <c r="N371" s="280"/>
      <c r="O371" s="280" t="str">
        <f t="array" ref="O371">IFERROR( XLOOKUP(L371,'2. DATA NL, VTBB'!C:C,'2. DATA NL, VTBB'!E:E),"")</f>
        <v>TVZEB 800WP</v>
      </c>
      <c r="P371" s="275" t="s">
        <v>565</v>
      </c>
      <c r="Q371" s="311"/>
      <c r="R371" s="290" t="s">
        <v>566</v>
      </c>
      <c r="S371" s="277"/>
      <c r="T371" s="277"/>
      <c r="U371" s="277"/>
      <c r="V371" s="283">
        <v>10000.0</v>
      </c>
      <c r="W371" s="275" t="s">
        <v>699</v>
      </c>
      <c r="X371" s="283">
        <v>10000.0</v>
      </c>
      <c r="Y371" s="274">
        <v>10080.0</v>
      </c>
      <c r="Z371" s="272">
        <v>2300.0</v>
      </c>
      <c r="AA371" s="285">
        <v>0.08</v>
      </c>
      <c r="AB371" s="282">
        <v>2.503872E7</v>
      </c>
      <c r="AC371" s="277"/>
      <c r="AD371" s="289">
        <v>46052.0</v>
      </c>
      <c r="AE371" s="312"/>
      <c r="AF371" s="277"/>
      <c r="AG371" s="277"/>
      <c r="AH371" s="294">
        <f>IFERROR(__xludf.DUMMYFUNCTION("IFERROR(INDEX( SORT(FILTER(
        {'1. DATA CHUNG'!$J$4:$J$105 , '1. DATA CHUNG'!$L$4:$L$105}, (TRIM('1. DATA CHUNG'!$I$4:$I$105)=TRIM(K371)) * IF(COUNTIFS('1. DATA CHUNG'!$I$4:$I$105,K371,'1. DATA CHUNG'!$M$4:$M$105,Q371), '1. DATA CHUNG'!$M$4:$M$105=Q"&amp;"371, 1) * ('1. DATA CHUNG'!$L$4:$L$105&lt;=TODAY()) ),   2, 0),  1, 1), 
  IFERROR( INDEX(FILTER('1. DATA CHUNG'!$J$4:$J$105, (TRIM('1. DATA CHUNG'!$I$4:$I$105)=TRIM(K371)) * IF(COUNTIFS('1. DATA CHUNG'!$I$4:$I$105,K371,'1. DATA CHUNG'!$M$4:$M$105,Q371), '1."&amp;" DATA CHUNG'!$M$4:$M$105=Q371, 1) * ('1. DATA CHUNG'!$L$4:$L$105="""")), 1), ""Không tìm thấy"" ))"),7.0)</f>
        <v>7</v>
      </c>
      <c r="AI371" s="273">
        <f t="shared" si="2"/>
        <v>46059</v>
      </c>
      <c r="AJ371" s="287"/>
      <c r="AK371" s="286">
        <f t="shared" si="3"/>
        <v>0</v>
      </c>
      <c r="AL371" s="287">
        <f t="shared" si="4"/>
        <v>0</v>
      </c>
      <c r="AM371" s="287">
        <f t="shared" si="5"/>
        <v>-1</v>
      </c>
      <c r="AN371" s="279">
        <f t="shared" si="6"/>
        <v>0</v>
      </c>
      <c r="AO371" s="295" t="str">
        <f t="shared" si="7"/>
        <v>01/2026</v>
      </c>
      <c r="AP371" s="277" t="str">
        <f t="array" ref="AP371">IFERROR(XLOOKUP(L371,'2. DATA NL, VTBB'!C:C,'2. DATA NL, VTBB'!F:F),"")</f>
        <v>HH0057</v>
      </c>
      <c r="AQ371" s="277" t="str">
        <f t="array" ref="AQ371">IF(OR(K371="Nhãn", K371="Nhãn thùng",K371="Nhãn Túi"), K371 &amp; " " &amp; IFERROR(XLOOKUP(L371, '2. DATA NL, VTBB'!C:C, '2. DATA NL, VTBB'!E:E), ""), "")</f>
        <v/>
      </c>
      <c r="AR371" s="278" t="str">
        <f t="array" ref="AR371">IFERROR(XLOOKUP(L371,'2. DATA NL, VTBB'!C:C,'2. DATA NL, VTBB'!G:G),"")</f>
        <v>GC - I - 491 - AU - Manco xanh (Nhãn đỏ) - 1kg - 20</v>
      </c>
      <c r="AS371" s="278" t="str">
        <f t="array" ref="AS371">IFERROR(XLOOKUP(L371,'2. DATA NL, VTBB'!C:C,'2. DATA NL, VTBB'!G:G),"")</f>
        <v>GC - I - 491 - AU - Manco xanh (Nhãn đỏ) - 1kg - 20</v>
      </c>
      <c r="AT371" s="277"/>
    </row>
    <row r="372" ht="30.75" customHeight="1">
      <c r="A372" s="272">
        <f t="shared" si="44"/>
        <v>369</v>
      </c>
      <c r="B372" s="289">
        <v>46052.0</v>
      </c>
      <c r="C372" s="289">
        <v>46059.0</v>
      </c>
      <c r="D372" s="289">
        <v>46060.0</v>
      </c>
      <c r="E372" s="289">
        <v>46060.0</v>
      </c>
      <c r="F372" s="274" t="s">
        <v>561</v>
      </c>
      <c r="G372" s="275" t="s">
        <v>562</v>
      </c>
      <c r="H372" s="274" t="s">
        <v>304</v>
      </c>
      <c r="I372" s="275" t="s">
        <v>726</v>
      </c>
      <c r="J372" s="272" t="s">
        <v>1059</v>
      </c>
      <c r="K372" s="275" t="s">
        <v>730</v>
      </c>
      <c r="L372" s="277" t="s">
        <v>731</v>
      </c>
      <c r="M372" s="278" t="str">
        <f t="array" ref="M372">IFERROR(XLOOKUP(L372,'2. DATA NL, VTBB'!C:C,'2. DATA NL, VTBB'!D:D),"")</f>
        <v>Nắp HDPE cổ 49 (7.5gr)  có gurantee  - Trắng</v>
      </c>
      <c r="N372" s="280"/>
      <c r="O372" s="280" t="str">
        <f t="array" ref="O372">IFERROR( XLOOKUP(L372,'2. DATA NL, VTBB'!C:C,'2. DATA NL, VTBB'!E:E),"")</f>
        <v>Chitin 3.6EC</v>
      </c>
      <c r="P372" s="275" t="s">
        <v>565</v>
      </c>
      <c r="Q372" s="311"/>
      <c r="R372" s="290" t="s">
        <v>566</v>
      </c>
      <c r="S372" s="277"/>
      <c r="T372" s="277"/>
      <c r="U372" s="277"/>
      <c r="V372" s="283">
        <v>10000.0</v>
      </c>
      <c r="W372" s="275" t="s">
        <v>699</v>
      </c>
      <c r="X372" s="283">
        <v>10000.0</v>
      </c>
      <c r="Y372" s="274">
        <v>10080.0</v>
      </c>
      <c r="Z372" s="272">
        <v>900.0</v>
      </c>
      <c r="AA372" s="285">
        <v>0.08</v>
      </c>
      <c r="AB372" s="282">
        <v>9797760.0</v>
      </c>
      <c r="AC372" s="277"/>
      <c r="AD372" s="289">
        <v>46052.0</v>
      </c>
      <c r="AE372" s="312"/>
      <c r="AF372" s="277"/>
      <c r="AG372" s="277"/>
      <c r="AH372" s="294">
        <f>IFERROR(__xludf.DUMMYFUNCTION("IFERROR(INDEX( SORT(FILTER(
        {'1. DATA CHUNG'!$J$4:$J$105 , '1. DATA CHUNG'!$L$4:$L$105}, (TRIM('1. DATA CHUNG'!$I$4:$I$105)=TRIM(K372)) * IF(COUNTIFS('1. DATA CHUNG'!$I$4:$I$105,K372,'1. DATA CHUNG'!$M$4:$M$105,Q372), '1. DATA CHUNG'!$M$4:$M$105=Q"&amp;"372, 1) * ('1. DATA CHUNG'!$L$4:$L$105&lt;=TODAY()) ),   2, 0),  1, 1), 
  IFERROR( INDEX(FILTER('1. DATA CHUNG'!$J$4:$J$105, (TRIM('1. DATA CHUNG'!$I$4:$I$105)=TRIM(K372)) * IF(COUNTIFS('1. DATA CHUNG'!$I$4:$I$105,K372,'1. DATA CHUNG'!$M$4:$M$105,Q372), '1."&amp;" DATA CHUNG'!$M$4:$M$105=Q372, 1) * ('1. DATA CHUNG'!$L$4:$L$105="""")), 1), ""Không tìm thấy"" ))"),7.0)</f>
        <v>7</v>
      </c>
      <c r="AI372" s="273">
        <f t="shared" si="2"/>
        <v>46059</v>
      </c>
      <c r="AJ372" s="287"/>
      <c r="AK372" s="286">
        <f t="shared" si="3"/>
        <v>0</v>
      </c>
      <c r="AL372" s="287">
        <f t="shared" si="4"/>
        <v>0</v>
      </c>
      <c r="AM372" s="287">
        <f t="shared" si="5"/>
        <v>-1</v>
      </c>
      <c r="AN372" s="279">
        <f t="shared" si="6"/>
        <v>0</v>
      </c>
      <c r="AO372" s="295" t="str">
        <f t="shared" si="7"/>
        <v>01/2026</v>
      </c>
      <c r="AP372" s="277" t="str">
        <f t="array" ref="AP372">IFERROR(XLOOKUP(L372,'2. DATA NL, VTBB'!C:C,'2. DATA NL, VTBB'!F:F),"")</f>
        <v>HH0144</v>
      </c>
      <c r="AQ372" s="277" t="str">
        <f t="array" ref="AQ372">IF(OR(K372="Nhãn", K372="Nhãn thùng",K372="Nhãn Túi"), K372 &amp; " " &amp; IFERROR(XLOOKUP(L372, '2. DATA NL, VTBB'!C:C, '2. DATA NL, VTBB'!E:E), ""), "")</f>
        <v/>
      </c>
      <c r="AR372" s="278" t="str">
        <f t="array" ref="AR372">IFERROR(XLOOKUP(L372,'2. DATA NL, VTBB'!C:C,'2. DATA NL, VTBB'!G:G),"")</f>
        <v>GC - IV - 862 - Agritech - Agritech Abamectin 36 (Chai Vuông) (Nước nâu đen) - 450ml - 40</v>
      </c>
      <c r="AS372" s="278" t="str">
        <f t="array" ref="AS372">IFERROR(XLOOKUP(L372,'2. DATA NL, VTBB'!C:C,'2. DATA NL, VTBB'!G:G),"")</f>
        <v>GC - IV - 862 - Agritech - Agritech Abamectin 36 (Chai Vuông) (Nước nâu đen) - 450ml - 40</v>
      </c>
      <c r="AT372" s="277"/>
    </row>
    <row r="373" ht="30.75" customHeight="1">
      <c r="A373" s="272">
        <f t="shared" si="44"/>
        <v>370</v>
      </c>
      <c r="B373" s="289">
        <v>46052.0</v>
      </c>
      <c r="C373" s="289">
        <v>46059.0</v>
      </c>
      <c r="D373" s="289">
        <v>46060.0</v>
      </c>
      <c r="E373" s="289">
        <v>46060.0</v>
      </c>
      <c r="F373" s="274" t="s">
        <v>561</v>
      </c>
      <c r="G373" s="275" t="s">
        <v>562</v>
      </c>
      <c r="H373" s="274" t="s">
        <v>304</v>
      </c>
      <c r="I373" s="275" t="s">
        <v>726</v>
      </c>
      <c r="J373" s="272" t="s">
        <v>1059</v>
      </c>
      <c r="K373" s="275" t="s">
        <v>732</v>
      </c>
      <c r="L373" s="277" t="s">
        <v>733</v>
      </c>
      <c r="M373" s="278" t="str">
        <f t="array" ref="M373">IFERROR(XLOOKUP(L373,'2. DATA NL, VTBB'!C:C,'2. DATA NL, VTBB'!D:D),"")</f>
        <v>Cốc đong cổ 49 50ml - Trắng trong</v>
      </c>
      <c r="N373" s="280"/>
      <c r="O373" s="280" t="str">
        <f t="array" ref="O373">IFERROR( XLOOKUP(L373,'2. DATA NL, VTBB'!C:C,'2. DATA NL, VTBB'!E:E),"")</f>
        <v>PICOSUPER 280SC</v>
      </c>
      <c r="P373" s="275" t="s">
        <v>565</v>
      </c>
      <c r="Q373" s="311"/>
      <c r="R373" s="290" t="s">
        <v>566</v>
      </c>
      <c r="S373" s="277"/>
      <c r="T373" s="277"/>
      <c r="U373" s="277"/>
      <c r="V373" s="283">
        <v>10000.0</v>
      </c>
      <c r="W373" s="275" t="s">
        <v>699</v>
      </c>
      <c r="X373" s="283">
        <v>10000.0</v>
      </c>
      <c r="Y373" s="274">
        <v>10080.0</v>
      </c>
      <c r="Z373" s="272">
        <v>650.0</v>
      </c>
      <c r="AA373" s="285">
        <v>0.08</v>
      </c>
      <c r="AB373" s="282">
        <v>7076160.0</v>
      </c>
      <c r="AC373" s="277"/>
      <c r="AD373" s="289">
        <v>46052.0</v>
      </c>
      <c r="AE373" s="312"/>
      <c r="AF373" s="277"/>
      <c r="AG373" s="277"/>
      <c r="AH373" s="294">
        <f>IFERROR(__xludf.DUMMYFUNCTION("IFERROR(INDEX( SORT(FILTER(
        {'1. DATA CHUNG'!$J$4:$J$105 , '1. DATA CHUNG'!$L$4:$L$105}, (TRIM('1. DATA CHUNG'!$I$4:$I$105)=TRIM(K373)) * IF(COUNTIFS('1. DATA CHUNG'!$I$4:$I$105,K373,'1. DATA CHUNG'!$M$4:$M$105,Q373), '1. DATA CHUNG'!$M$4:$M$105=Q"&amp;"373, 1) * ('1. DATA CHUNG'!$L$4:$L$105&lt;=TODAY()) ),   2, 0),  1, 1), 
  IFERROR( INDEX(FILTER('1. DATA CHUNG'!$J$4:$J$105, (TRIM('1. DATA CHUNG'!$I$4:$I$105)=TRIM(K373)) * IF(COUNTIFS('1. DATA CHUNG'!$I$4:$I$105,K373,'1. DATA CHUNG'!$M$4:$M$105,Q373), '1."&amp;" DATA CHUNG'!$M$4:$M$105=Q373, 1) * ('1. DATA CHUNG'!$L$4:$L$105="""")), 1), ""Không tìm thấy"" ))"),7.0)</f>
        <v>7</v>
      </c>
      <c r="AI373" s="273">
        <f t="shared" si="2"/>
        <v>46059</v>
      </c>
      <c r="AJ373" s="287"/>
      <c r="AK373" s="286">
        <f t="shared" si="3"/>
        <v>0</v>
      </c>
      <c r="AL373" s="287">
        <f t="shared" si="4"/>
        <v>0</v>
      </c>
      <c r="AM373" s="287">
        <f t="shared" si="5"/>
        <v>-1</v>
      </c>
      <c r="AN373" s="279">
        <f t="shared" si="6"/>
        <v>0</v>
      </c>
      <c r="AO373" s="295" t="str">
        <f t="shared" si="7"/>
        <v>01/2026</v>
      </c>
      <c r="AP373" s="277" t="str">
        <f t="array" ref="AP373">IFERROR(XLOOKUP(L373,'2. DATA NL, VTBB'!C:C,'2. DATA NL, VTBB'!F:F),"")</f>
        <v>HH0004</v>
      </c>
      <c r="AQ373" s="277" t="str">
        <f t="array" ref="AQ373">IF(OR(K373="Nhãn", K373="Nhãn thùng",K373="Nhãn Túi"), K373 &amp; " " &amp; IFERROR(XLOOKUP(L373, '2. DATA NL, VTBB'!C:C, '2. DATA NL, VTBB'!E:E), ""), "")</f>
        <v/>
      </c>
      <c r="AR373" s="278" t="str">
        <f t="array" ref="AR373">IFERROR(XLOOKUP(L373,'2. DATA NL, VTBB'!C:C,'2. DATA NL, VTBB'!G:G),"")</f>
        <v>IDA Global - I - 713.1 - Picosuper 280SC (Chai Pape)(nước trắng sữa) - 240ml - 40 ([btp],t,c)</v>
      </c>
      <c r="AS373" s="278" t="str">
        <f t="array" ref="AS373">IFERROR(XLOOKUP(L373,'2. DATA NL, VTBB'!C:C,'2. DATA NL, VTBB'!G:G),"")</f>
        <v>IDA Global - I - 713.1 - Picosuper 280SC (Chai Pape)(nước trắng sữa) - 240ml - 40 ([btp],t,c)</v>
      </c>
      <c r="AT373" s="277"/>
    </row>
    <row r="374" ht="30.75" customHeight="1">
      <c r="A374" s="272">
        <f t="shared" si="44"/>
        <v>371</v>
      </c>
      <c r="B374" s="289">
        <v>46052.0</v>
      </c>
      <c r="C374" s="289">
        <v>46059.0</v>
      </c>
      <c r="D374" s="289">
        <v>46062.0</v>
      </c>
      <c r="E374" s="289">
        <v>46052.0</v>
      </c>
      <c r="F374" s="274" t="s">
        <v>561</v>
      </c>
      <c r="G374" s="275" t="s">
        <v>562</v>
      </c>
      <c r="H374" s="274" t="s">
        <v>304</v>
      </c>
      <c r="I374" s="275" t="s">
        <v>726</v>
      </c>
      <c r="J374" s="272" t="s">
        <v>1060</v>
      </c>
      <c r="K374" s="275" t="s">
        <v>728</v>
      </c>
      <c r="L374" s="277" t="s">
        <v>788</v>
      </c>
      <c r="M374" s="278" t="str">
        <f t="array" ref="M374">IFERROR(XLOOKUP(L374,'2. DATA NL, VTBB'!C:C,'2. DATA NL, VTBB'!D:D),"")</f>
        <v>PN - Chai HDPE tròn cổ 63 500ml  (80g)  - Trắng</v>
      </c>
      <c r="N374" s="280"/>
      <c r="O374" s="280" t="str">
        <f t="array" ref="O374">IFERROR( XLOOKUP(L374,'2. DATA NL, VTBB'!C:C,'2. DATA NL, VTBB'!E:E),"")</f>
        <v>Creek 2.1EC</v>
      </c>
      <c r="P374" s="275" t="s">
        <v>565</v>
      </c>
      <c r="Q374" s="311"/>
      <c r="R374" s="290" t="s">
        <v>566</v>
      </c>
      <c r="S374" s="277"/>
      <c r="T374" s="277"/>
      <c r="U374" s="277"/>
      <c r="V374" s="283">
        <v>6000.0</v>
      </c>
      <c r="W374" s="275" t="s">
        <v>699</v>
      </c>
      <c r="X374" s="283">
        <v>6000.0</v>
      </c>
      <c r="Y374" s="274">
        <v>5922.0</v>
      </c>
      <c r="Z374" s="272">
        <v>3100.0</v>
      </c>
      <c r="AA374" s="285">
        <v>0.08</v>
      </c>
      <c r="AB374" s="282">
        <v>1.9826856E7</v>
      </c>
      <c r="AC374" s="277"/>
      <c r="AD374" s="289">
        <v>46052.0</v>
      </c>
      <c r="AE374" s="312"/>
      <c r="AF374" s="277"/>
      <c r="AG374" s="277"/>
      <c r="AH374" s="294">
        <f>IFERROR(__xludf.DUMMYFUNCTION("IFERROR(INDEX( SORT(FILTER(
        {'1. DATA CHUNG'!$J$4:$J$105 , '1. DATA CHUNG'!$L$4:$L$105}, (TRIM('1. DATA CHUNG'!$I$4:$I$105)=TRIM(K374)) * IF(COUNTIFS('1. DATA CHUNG'!$I$4:$I$105,K374,'1. DATA CHUNG'!$M$4:$M$105,Q374), '1. DATA CHUNG'!$M$4:$M$105=Q"&amp;"374, 1) * ('1. DATA CHUNG'!$L$4:$L$105&lt;=TODAY()) ),   2, 0),  1, 1), 
  IFERROR( INDEX(FILTER('1. DATA CHUNG'!$J$4:$J$105, (TRIM('1. DATA CHUNG'!$I$4:$I$105)=TRIM(K374)) * IF(COUNTIFS('1. DATA CHUNG'!$I$4:$I$105,K374,'1. DATA CHUNG'!$M$4:$M$105,Q374), '1."&amp;" DATA CHUNG'!$M$4:$M$105=Q374, 1) * ('1. DATA CHUNG'!$L$4:$L$105="""")), 1), ""Không tìm thấy"" ))"),7.0)</f>
        <v>7</v>
      </c>
      <c r="AI374" s="273">
        <f t="shared" si="2"/>
        <v>46059</v>
      </c>
      <c r="AJ374" s="287"/>
      <c r="AK374" s="286">
        <f t="shared" si="3"/>
        <v>0</v>
      </c>
      <c r="AL374" s="287">
        <f t="shared" si="4"/>
        <v>10</v>
      </c>
      <c r="AM374" s="287">
        <f t="shared" si="5"/>
        <v>7</v>
      </c>
      <c r="AN374" s="279">
        <f t="shared" si="6"/>
        <v>0</v>
      </c>
      <c r="AO374" s="295" t="str">
        <f t="shared" si="7"/>
        <v>01/2026</v>
      </c>
      <c r="AP374" s="277" t="str">
        <f t="array" ref="AP374">IFERROR(XLOOKUP(L374,'2. DATA NL, VTBB'!C:C,'2. DATA NL, VTBB'!F:F),"")</f>
        <v>HH0212</v>
      </c>
      <c r="AQ374" s="277" t="str">
        <f t="array" ref="AQ374">IF(OR(K374="Nhãn", K374="Nhãn thùng",K374="Nhãn Túi"), K374 &amp; " " &amp; IFERROR(XLOOKUP(L374, '2. DATA NL, VTBB'!C:C, '2. DATA NL, VTBB'!E:E), ""), "")</f>
        <v/>
      </c>
      <c r="AR374" s="278" t="str">
        <f t="array" ref="AR374">IFERROR(XLOOKUP(L374,'2. DATA NL, VTBB'!C:C,'2. DATA NL, VTBB'!G:G),"")</f>
        <v>GC - IV - 833 - Huy Phát - HP Pro Max (nước đỏ)(Pet Vuông)- 400ml - 40</v>
      </c>
      <c r="AS374" s="278" t="str">
        <f t="array" ref="AS374">IFERROR(XLOOKUP(L374,'2. DATA NL, VTBB'!C:C,'2. DATA NL, VTBB'!G:G),"")</f>
        <v>GC - IV - 833 - Huy Phát - HP Pro Max (nước đỏ)(Pet Vuông)- 400ml - 40</v>
      </c>
      <c r="AT374" s="277"/>
    </row>
    <row r="375" ht="30.75" customHeight="1">
      <c r="A375" s="272">
        <f t="shared" si="44"/>
        <v>372</v>
      </c>
      <c r="B375" s="289">
        <v>46052.0</v>
      </c>
      <c r="C375" s="289">
        <v>46059.0</v>
      </c>
      <c r="D375" s="289">
        <v>46062.0</v>
      </c>
      <c r="E375" s="289">
        <v>46052.0</v>
      </c>
      <c r="F375" s="274" t="s">
        <v>561</v>
      </c>
      <c r="G375" s="275" t="s">
        <v>562</v>
      </c>
      <c r="H375" s="274" t="s">
        <v>304</v>
      </c>
      <c r="I375" s="275" t="s">
        <v>726</v>
      </c>
      <c r="J375" s="272" t="s">
        <v>1060</v>
      </c>
      <c r="K375" s="275" t="s">
        <v>730</v>
      </c>
      <c r="L375" s="277" t="s">
        <v>789</v>
      </c>
      <c r="M375" s="278" t="str">
        <f t="array" ref="M375">IFERROR(XLOOKUP(L375,'2. DATA NL, VTBB'!C:C,'2. DATA NL, VTBB'!D:D),"")</f>
        <v>PN - Nắp HDPE cổ 63 có gurantee  - Trắng</v>
      </c>
      <c r="N375" s="280"/>
      <c r="O375" s="280" t="str">
        <f t="array" ref="O375">IFERROR( XLOOKUP(L375,'2. DATA NL, VTBB'!C:C,'2. DATA NL, VTBB'!E:E),"")</f>
        <v>Creek 2.1EC</v>
      </c>
      <c r="P375" s="275" t="s">
        <v>565</v>
      </c>
      <c r="Q375" s="311"/>
      <c r="R375" s="290" t="s">
        <v>566</v>
      </c>
      <c r="S375" s="277"/>
      <c r="T375" s="277"/>
      <c r="U375" s="277"/>
      <c r="V375" s="283">
        <v>6000.0</v>
      </c>
      <c r="W375" s="275" t="s">
        <v>699</v>
      </c>
      <c r="X375" s="283">
        <v>6000.0</v>
      </c>
      <c r="Y375" s="274">
        <v>5922.0</v>
      </c>
      <c r="Z375" s="272">
        <v>1200.0</v>
      </c>
      <c r="AA375" s="285">
        <v>0.08</v>
      </c>
      <c r="AB375" s="282">
        <v>7674912.0</v>
      </c>
      <c r="AC375" s="277"/>
      <c r="AD375" s="289">
        <v>46052.0</v>
      </c>
      <c r="AE375" s="312"/>
      <c r="AF375" s="277"/>
      <c r="AG375" s="277"/>
      <c r="AH375" s="294">
        <f>IFERROR(__xludf.DUMMYFUNCTION("IFERROR(INDEX( SORT(FILTER(
        {'1. DATA CHUNG'!$J$4:$J$105 , '1. DATA CHUNG'!$L$4:$L$105}, (TRIM('1. DATA CHUNG'!$I$4:$I$105)=TRIM(K375)) * IF(COUNTIFS('1. DATA CHUNG'!$I$4:$I$105,K375,'1. DATA CHUNG'!$M$4:$M$105,Q375), '1. DATA CHUNG'!$M$4:$M$105=Q"&amp;"375, 1) * ('1. DATA CHUNG'!$L$4:$L$105&lt;=TODAY()) ),   2, 0),  1, 1), 
  IFERROR( INDEX(FILTER('1. DATA CHUNG'!$J$4:$J$105, (TRIM('1. DATA CHUNG'!$I$4:$I$105)=TRIM(K375)) * IF(COUNTIFS('1. DATA CHUNG'!$I$4:$I$105,K375,'1. DATA CHUNG'!$M$4:$M$105,Q375), '1."&amp;" DATA CHUNG'!$M$4:$M$105=Q375, 1) * ('1. DATA CHUNG'!$L$4:$L$105="""")), 1), ""Không tìm thấy"" ))"),7.0)</f>
        <v>7</v>
      </c>
      <c r="AI375" s="273">
        <f t="shared" si="2"/>
        <v>46059</v>
      </c>
      <c r="AJ375" s="287"/>
      <c r="AK375" s="286">
        <f t="shared" si="3"/>
        <v>0</v>
      </c>
      <c r="AL375" s="287">
        <f t="shared" si="4"/>
        <v>10</v>
      </c>
      <c r="AM375" s="287">
        <f t="shared" si="5"/>
        <v>7</v>
      </c>
      <c r="AN375" s="279">
        <f t="shared" si="6"/>
        <v>0</v>
      </c>
      <c r="AO375" s="295" t="str">
        <f t="shared" si="7"/>
        <v>01/2026</v>
      </c>
      <c r="AP375" s="277" t="str">
        <f t="array" ref="AP375">IFERROR(XLOOKUP(L375,'2. DATA NL, VTBB'!C:C,'2. DATA NL, VTBB'!F:F),"")</f>
        <v>HH0136</v>
      </c>
      <c r="AQ375" s="277" t="str">
        <f t="array" ref="AQ375">IF(OR(K375="Nhãn", K375="Nhãn thùng",K375="Nhãn Túi"), K375 &amp; " " &amp; IFERROR(XLOOKUP(L375, '2. DATA NL, VTBB'!C:C, '2. DATA NL, VTBB'!E:E), ""), "")</f>
        <v/>
      </c>
      <c r="AR375" s="278" t="str">
        <f t="array" ref="AR375">IFERROR(XLOOKUP(L375,'2. DATA NL, VTBB'!C:C,'2. DATA NL, VTBB'!G:G),"")</f>
        <v>GC - IV - 833 - Huy Phát - HP Pro Max (nước đỏ)(Pet Vuông)- 400ml - 40</v>
      </c>
      <c r="AS375" s="278" t="str">
        <f t="array" ref="AS375">IFERROR(XLOOKUP(L375,'2. DATA NL, VTBB'!C:C,'2. DATA NL, VTBB'!G:G),"")</f>
        <v>GC - IV - 833 - Huy Phát - HP Pro Max (nước đỏ)(Pet Vuông)- 400ml - 40</v>
      </c>
      <c r="AT375" s="277"/>
    </row>
    <row r="376" ht="30.75" customHeight="1">
      <c r="A376" s="272">
        <f t="shared" si="44"/>
        <v>373</v>
      </c>
      <c r="B376" s="289">
        <v>46052.0</v>
      </c>
      <c r="C376" s="289">
        <v>46062.0</v>
      </c>
      <c r="D376" s="289">
        <v>46079.0</v>
      </c>
      <c r="E376" s="289">
        <v>46079.0</v>
      </c>
      <c r="F376" s="274" t="s">
        <v>561</v>
      </c>
      <c r="G376" s="275" t="s">
        <v>562</v>
      </c>
      <c r="H376" s="274" t="s">
        <v>304</v>
      </c>
      <c r="I376" s="275" t="s">
        <v>320</v>
      </c>
      <c r="J376" s="272" t="s">
        <v>1023</v>
      </c>
      <c r="K376" s="275" t="s">
        <v>301</v>
      </c>
      <c r="L376" s="277" t="s">
        <v>1024</v>
      </c>
      <c r="M376" s="278" t="str">
        <f t="array" ref="M376">IFERROR(XLOOKUP(L376,'2. DATA NL, VTBB'!C:C,'2. DATA NL, VTBB'!D:D),"")</f>
        <v>Thùng R3 chai 450ml x 40 chai (61.3x38.5x19cm) - Xanh viền xanh trắng đỏ</v>
      </c>
      <c r="N376" s="280"/>
      <c r="O376" s="280" t="str">
        <f t="array" ref="O376">IFERROR( XLOOKUP(L376,'2. DATA NL, VTBB'!C:C,'2. DATA NL, VTBB'!E:E),"")</f>
        <v>Prima 04</v>
      </c>
      <c r="P376" s="275" t="s">
        <v>565</v>
      </c>
      <c r="Q376" s="311"/>
      <c r="R376" s="291" t="s">
        <v>573</v>
      </c>
      <c r="S376" s="277"/>
      <c r="T376" s="277"/>
      <c r="U376" s="277"/>
      <c r="V376" s="283">
        <v>300.0</v>
      </c>
      <c r="W376" s="275" t="s">
        <v>699</v>
      </c>
      <c r="X376" s="283">
        <v>300.0</v>
      </c>
      <c r="Y376" s="274">
        <v>338.0</v>
      </c>
      <c r="Z376" s="272">
        <v>23500.0</v>
      </c>
      <c r="AA376" s="285">
        <v>0.08</v>
      </c>
      <c r="AB376" s="282">
        <v>8578440.0</v>
      </c>
      <c r="AC376" s="277"/>
      <c r="AD376" s="289">
        <v>46052.0</v>
      </c>
      <c r="AE376" s="312"/>
      <c r="AF376" s="277"/>
      <c r="AG376" s="277"/>
      <c r="AH376" s="294">
        <f>IFERROR(__xludf.DUMMYFUNCTION("IFERROR(INDEX( SORT(FILTER(
        {'1. DATA CHUNG'!$J$4:$J$105 , '1. DATA CHUNG'!$L$4:$L$105}, (TRIM('1. DATA CHUNG'!$I$4:$I$105)=TRIM(K376)) * IF(COUNTIFS('1. DATA CHUNG'!$I$4:$I$105,K376,'1. DATA CHUNG'!$M$4:$M$105,Q376), '1. DATA CHUNG'!$M$4:$M$105=Q"&amp;"376, 1) * ('1. DATA CHUNG'!$L$4:$L$105&lt;=TODAY()) ),   2, 0),  1, 1), 
  IFERROR( INDEX(FILTER('1. DATA CHUNG'!$J$4:$J$105, (TRIM('1. DATA CHUNG'!$I$4:$I$105)=TRIM(K376)) * IF(COUNTIFS('1. DATA CHUNG'!$I$4:$I$105,K376,'1. DATA CHUNG'!$M$4:$M$105,Q376), '1."&amp;" DATA CHUNG'!$M$4:$M$105=Q376, 1) * ('1. DATA CHUNG'!$L$4:$L$105="""")), 1), ""Không tìm thấy"" ))"),18.0)</f>
        <v>18</v>
      </c>
      <c r="AI376" s="273">
        <f t="shared" si="2"/>
        <v>46070</v>
      </c>
      <c r="AJ376" s="287"/>
      <c r="AK376" s="286">
        <f t="shared" si="3"/>
        <v>0</v>
      </c>
      <c r="AL376" s="287">
        <f t="shared" si="4"/>
        <v>0</v>
      </c>
      <c r="AM376" s="287">
        <f t="shared" si="5"/>
        <v>-9</v>
      </c>
      <c r="AN376" s="279">
        <f t="shared" si="6"/>
        <v>8</v>
      </c>
      <c r="AO376" s="295" t="str">
        <f t="shared" si="7"/>
        <v>01/2026</v>
      </c>
      <c r="AP376" s="277" t="str">
        <f t="array" ref="AP376">IFERROR(XLOOKUP(L376,'2. DATA NL, VTBB'!C:C,'2. DATA NL, VTBB'!F:F),"")</f>
        <v>HH0246</v>
      </c>
      <c r="AQ376" s="277" t="str">
        <f t="array" ref="AQ376">IF(OR(K376="Nhãn", K376="Nhãn thùng",K376="Nhãn Túi"), K376 &amp; " " &amp; IFERROR(XLOOKUP(L376, '2. DATA NL, VTBB'!C:C, '2. DATA NL, VTBB'!E:E), ""), "")</f>
        <v/>
      </c>
      <c r="AR376" s="278" t="str">
        <f t="array" ref="AR376">IFERROR(XLOOKUP(L376,'2. DATA NL, VTBB'!C:C,'2. DATA NL, VTBB'!G:G),"")</f>
        <v>GC - II - 665 - Nông Lâm Hoà Phát - Humiix Us - 1kg - 25 ([btp],t)</v>
      </c>
      <c r="AS376" s="278" t="str">
        <f t="array" ref="AS376">IFERROR(XLOOKUP(L376,'2. DATA NL, VTBB'!C:C,'2. DATA NL, VTBB'!G:G),"")</f>
        <v>GC - II - 665 - Nông Lâm Hoà Phát - Humiix Us - 1kg - 25 ([btp],t)</v>
      </c>
      <c r="AT376" s="277"/>
    </row>
    <row r="377" ht="30.75" customHeight="1">
      <c r="A377" s="272">
        <f t="shared" si="44"/>
        <v>374</v>
      </c>
      <c r="B377" s="289">
        <v>46052.0</v>
      </c>
      <c r="C377" s="289">
        <v>46062.0</v>
      </c>
      <c r="D377" s="289">
        <v>46079.0</v>
      </c>
      <c r="E377" s="289">
        <v>46079.0</v>
      </c>
      <c r="F377" s="274" t="s">
        <v>561</v>
      </c>
      <c r="G377" s="275" t="s">
        <v>562</v>
      </c>
      <c r="H377" s="274" t="s">
        <v>304</v>
      </c>
      <c r="I377" s="275" t="s">
        <v>320</v>
      </c>
      <c r="J377" s="272" t="s">
        <v>1023</v>
      </c>
      <c r="K377" s="275" t="s">
        <v>301</v>
      </c>
      <c r="L377" s="277" t="s">
        <v>627</v>
      </c>
      <c r="M377" s="278" t="str">
        <f t="array" ref="M377">IFERROR(XLOOKUP(L377,'2. DATA NL, VTBB'!C:C,'2. DATA NL, VTBB'!D:D),"")</f>
        <v>Thùng R3 chai 350ml x 40 chai (55.5x35.5x15.5cm) - Xanh viền xanh trắng vàng</v>
      </c>
      <c r="N377" s="280"/>
      <c r="O377" s="280" t="str">
        <f t="array" ref="O377">IFERROR( XLOOKUP(L377,'2. DATA NL, VTBB'!C:C,'2. DATA NL, VTBB'!E:E),"")</f>
        <v>Prima 04</v>
      </c>
      <c r="P377" s="275" t="s">
        <v>565</v>
      </c>
      <c r="Q377" s="311"/>
      <c r="R377" s="291" t="s">
        <v>573</v>
      </c>
      <c r="S377" s="277"/>
      <c r="T377" s="277"/>
      <c r="U377" s="277"/>
      <c r="V377" s="283">
        <v>100.0</v>
      </c>
      <c r="W377" s="275" t="s">
        <v>699</v>
      </c>
      <c r="X377" s="283">
        <v>100.0</v>
      </c>
      <c r="Y377" s="274">
        <v>100.0</v>
      </c>
      <c r="Z377" s="272">
        <v>1900.0</v>
      </c>
      <c r="AA377" s="285">
        <v>0.08</v>
      </c>
      <c r="AB377" s="282">
        <v>205200.0</v>
      </c>
      <c r="AC377" s="277"/>
      <c r="AD377" s="289">
        <v>46052.0</v>
      </c>
      <c r="AE377" s="312"/>
      <c r="AF377" s="277"/>
      <c r="AG377" s="277"/>
      <c r="AH377" s="294">
        <f>IFERROR(__xludf.DUMMYFUNCTION("IFERROR(INDEX( SORT(FILTER(
        {'1. DATA CHUNG'!$J$4:$J$105 , '1. DATA CHUNG'!$L$4:$L$105}, (TRIM('1. DATA CHUNG'!$I$4:$I$105)=TRIM(K377)) * IF(COUNTIFS('1. DATA CHUNG'!$I$4:$I$105,K377,'1. DATA CHUNG'!$M$4:$M$105,Q377), '1. DATA CHUNG'!$M$4:$M$105=Q"&amp;"377, 1) * ('1. DATA CHUNG'!$L$4:$L$105&lt;=TODAY()) ),   2, 0),  1, 1), 
  IFERROR( INDEX(FILTER('1. DATA CHUNG'!$J$4:$J$105, (TRIM('1. DATA CHUNG'!$I$4:$I$105)=TRIM(K377)) * IF(COUNTIFS('1. DATA CHUNG'!$I$4:$I$105,K377,'1. DATA CHUNG'!$M$4:$M$105,Q377), '1."&amp;" DATA CHUNG'!$M$4:$M$105=Q377, 1) * ('1. DATA CHUNG'!$L$4:$L$105="""")), 1), ""Không tìm thấy"" ))"),18.0)</f>
        <v>18</v>
      </c>
      <c r="AI377" s="273">
        <f t="shared" si="2"/>
        <v>46070</v>
      </c>
      <c r="AJ377" s="287"/>
      <c r="AK377" s="286">
        <f t="shared" si="3"/>
        <v>0</v>
      </c>
      <c r="AL377" s="287">
        <f t="shared" si="4"/>
        <v>0</v>
      </c>
      <c r="AM377" s="287">
        <f t="shared" si="5"/>
        <v>-9</v>
      </c>
      <c r="AN377" s="279">
        <f t="shared" si="6"/>
        <v>8</v>
      </c>
      <c r="AO377" s="295" t="str">
        <f t="shared" si="7"/>
        <v>01/2026</v>
      </c>
      <c r="AP377" s="277" t="str">
        <f t="array" ref="AP377">IFERROR(XLOOKUP(L377,'2. DATA NL, VTBB'!C:C,'2. DATA NL, VTBB'!F:F),"")</f>
        <v>HH0247</v>
      </c>
      <c r="AQ377" s="277" t="str">
        <f t="array" ref="AQ377">IF(OR(K377="Nhãn", K377="Nhãn thùng",K377="Nhãn Túi"), K377 &amp; " " &amp; IFERROR(XLOOKUP(L377, '2. DATA NL, VTBB'!C:C, '2. DATA NL, VTBB'!E:E), ""), "")</f>
        <v/>
      </c>
      <c r="AR377" s="278" t="str">
        <f t="array" ref="AR377">IFERROR(XLOOKUP(L377,'2. DATA NL, VTBB'!C:C,'2. DATA NL, VTBB'!G:G),"")</f>
        <v>GC - II - 665 - Nông Lâm Hoà Phát - Humiix Us - 1kg - 25 ([btp],t)</v>
      </c>
      <c r="AS377" s="278" t="str">
        <f t="array" ref="AS377">IFERROR(XLOOKUP(L377,'2. DATA NL, VTBB'!C:C,'2. DATA NL, VTBB'!G:G),"")</f>
        <v>GC - II - 665 - Nông Lâm Hoà Phát - Humiix Us - 1kg - 25 ([btp],t)</v>
      </c>
      <c r="AT377" s="277"/>
    </row>
    <row r="378" ht="30.75" customHeight="1">
      <c r="A378" s="272">
        <f t="shared" si="44"/>
        <v>375</v>
      </c>
      <c r="B378" s="289">
        <v>46052.0</v>
      </c>
      <c r="C378" s="289">
        <v>46062.0</v>
      </c>
      <c r="D378" s="289">
        <v>46079.0</v>
      </c>
      <c r="E378" s="289">
        <v>46079.0</v>
      </c>
      <c r="F378" s="274" t="s">
        <v>561</v>
      </c>
      <c r="G378" s="275" t="s">
        <v>562</v>
      </c>
      <c r="H378" s="274" t="s">
        <v>304</v>
      </c>
      <c r="I378" s="275" t="s">
        <v>320</v>
      </c>
      <c r="J378" s="272" t="s">
        <v>1061</v>
      </c>
      <c r="K378" s="275" t="s">
        <v>301</v>
      </c>
      <c r="L378" s="277" t="s">
        <v>627</v>
      </c>
      <c r="M378" s="278" t="str">
        <f t="array" ref="M378">IFERROR(XLOOKUP(L378,'2. DATA NL, VTBB'!C:C,'2. DATA NL, VTBB'!D:D),"")</f>
        <v>Thùng R3 chai 350ml x 40 chai (55.5x35.5x15.5cm) - Xanh viền xanh trắng vàng</v>
      </c>
      <c r="N378" s="280"/>
      <c r="O378" s="280" t="str">
        <f t="array" ref="O378">IFERROR( XLOOKUP(L378,'2. DATA NL, VTBB'!C:C,'2. DATA NL, VTBB'!E:E),"")</f>
        <v>Prima 04</v>
      </c>
      <c r="P378" s="275" t="s">
        <v>565</v>
      </c>
      <c r="Q378" s="311"/>
      <c r="R378" s="290" t="s">
        <v>566</v>
      </c>
      <c r="S378" s="277"/>
      <c r="T378" s="277"/>
      <c r="U378" s="277"/>
      <c r="V378" s="283">
        <v>200.0</v>
      </c>
      <c r="W378" s="275" t="s">
        <v>699</v>
      </c>
      <c r="X378" s="283">
        <v>200.0</v>
      </c>
      <c r="Y378" s="274">
        <v>254.0</v>
      </c>
      <c r="Z378" s="272">
        <v>19000.0</v>
      </c>
      <c r="AA378" s="285">
        <v>0.08</v>
      </c>
      <c r="AB378" s="282">
        <v>5212080.0</v>
      </c>
      <c r="AC378" s="277"/>
      <c r="AD378" s="289">
        <v>46052.0</v>
      </c>
      <c r="AE378" s="312"/>
      <c r="AF378" s="277"/>
      <c r="AG378" s="277"/>
      <c r="AH378" s="294">
        <f>IFERROR(__xludf.DUMMYFUNCTION("IFERROR(INDEX( SORT(FILTER(
        {'1. DATA CHUNG'!$J$4:$J$105 , '1. DATA CHUNG'!$L$4:$L$105}, (TRIM('1. DATA CHUNG'!$I$4:$I$105)=TRIM(K378)) * IF(COUNTIFS('1. DATA CHUNG'!$I$4:$I$105,K378,'1. DATA CHUNG'!$M$4:$M$105,Q378), '1. DATA CHUNG'!$M$4:$M$105=Q"&amp;"378, 1) * ('1. DATA CHUNG'!$L$4:$L$105&lt;=TODAY()) ),   2, 0),  1, 1), 
  IFERROR( INDEX(FILTER('1. DATA CHUNG'!$J$4:$J$105, (TRIM('1. DATA CHUNG'!$I$4:$I$105)=TRIM(K378)) * IF(COUNTIFS('1. DATA CHUNG'!$I$4:$I$105,K378,'1. DATA CHUNG'!$M$4:$M$105,Q378), '1."&amp;" DATA CHUNG'!$M$4:$M$105=Q378, 1) * ('1. DATA CHUNG'!$L$4:$L$105="""")), 1), ""Không tìm thấy"" ))"),18.0)</f>
        <v>18</v>
      </c>
      <c r="AI378" s="273">
        <f t="shared" si="2"/>
        <v>46070</v>
      </c>
      <c r="AJ378" s="287"/>
      <c r="AK378" s="286">
        <f t="shared" si="3"/>
        <v>0</v>
      </c>
      <c r="AL378" s="287">
        <f t="shared" si="4"/>
        <v>0</v>
      </c>
      <c r="AM378" s="287">
        <f t="shared" si="5"/>
        <v>-9</v>
      </c>
      <c r="AN378" s="279">
        <f t="shared" si="6"/>
        <v>8</v>
      </c>
      <c r="AO378" s="295" t="str">
        <f t="shared" si="7"/>
        <v>01/2026</v>
      </c>
      <c r="AP378" s="277" t="str">
        <f t="array" ref="AP378">IFERROR(XLOOKUP(L378,'2. DATA NL, VTBB'!C:C,'2. DATA NL, VTBB'!F:F),"")</f>
        <v>HH0247</v>
      </c>
      <c r="AQ378" s="277" t="str">
        <f t="array" ref="AQ378">IF(OR(K378="Nhãn", K378="Nhãn thùng",K378="Nhãn Túi"), K378 &amp; " " &amp; IFERROR(XLOOKUP(L378, '2. DATA NL, VTBB'!C:C, '2. DATA NL, VTBB'!E:E), ""), "")</f>
        <v/>
      </c>
      <c r="AR378" s="278" t="str">
        <f t="array" ref="AR378">IFERROR(XLOOKUP(L378,'2. DATA NL, VTBB'!C:C,'2. DATA NL, VTBB'!G:G),"")</f>
        <v>GC - II - 665 - Nông Lâm Hoà Phát - Humiix Us - 1kg - 25 ([btp],t)</v>
      </c>
      <c r="AS378" s="278" t="str">
        <f t="array" ref="AS378">IFERROR(XLOOKUP(L378,'2. DATA NL, VTBB'!C:C,'2. DATA NL, VTBB'!G:G),"")</f>
        <v>GC - II - 665 - Nông Lâm Hoà Phát - Humiix Us - 1kg - 25 ([btp],t)</v>
      </c>
      <c r="AT378" s="277"/>
    </row>
    <row r="379" ht="30.75" customHeight="1">
      <c r="A379" s="272">
        <f t="shared" si="44"/>
        <v>376</v>
      </c>
      <c r="B379" s="289">
        <v>46052.0</v>
      </c>
      <c r="C379" s="289">
        <v>46059.0</v>
      </c>
      <c r="D379" s="289">
        <v>46062.0</v>
      </c>
      <c r="E379" s="289">
        <v>46062.0</v>
      </c>
      <c r="F379" s="274" t="s">
        <v>561</v>
      </c>
      <c r="G379" s="275" t="s">
        <v>562</v>
      </c>
      <c r="H379" s="274" t="s">
        <v>304</v>
      </c>
      <c r="I379" s="275" t="s">
        <v>726</v>
      </c>
      <c r="J379" s="272" t="s">
        <v>1062</v>
      </c>
      <c r="K379" s="275" t="s">
        <v>728</v>
      </c>
      <c r="L379" s="277" t="s">
        <v>1063</v>
      </c>
      <c r="M379" s="278" t="str">
        <f t="array" ref="M379">IFERROR(XLOOKUP(L379,'2. DATA NL, VTBB'!C:C,'2. DATA NL, VTBB'!D:D),"")</f>
        <v>Chai HDPE tròn cổ 50 500ml (70gr) Trắng</v>
      </c>
      <c r="N379" s="280"/>
      <c r="O379" s="280" t="str">
        <f t="array" ref="O379">IFERROR( XLOOKUP(L379,'2. DATA NL, VTBB'!C:C,'2. DATA NL, VTBB'!E:E),"")</f>
        <v>Mekongvil 5SC</v>
      </c>
      <c r="P379" s="275" t="s">
        <v>565</v>
      </c>
      <c r="Q379" s="311"/>
      <c r="R379" s="290" t="s">
        <v>566</v>
      </c>
      <c r="S379" s="277"/>
      <c r="T379" s="277"/>
      <c r="U379" s="277"/>
      <c r="V379" s="283">
        <v>3000.0</v>
      </c>
      <c r="W379" s="275" t="s">
        <v>699</v>
      </c>
      <c r="X379" s="283">
        <v>3000.0</v>
      </c>
      <c r="Y379" s="274">
        <v>3024.0</v>
      </c>
      <c r="Z379" s="272">
        <v>3200.0</v>
      </c>
      <c r="AA379" s="285">
        <v>0.08</v>
      </c>
      <c r="AB379" s="282">
        <v>1.0450944E7</v>
      </c>
      <c r="AC379" s="277"/>
      <c r="AD379" s="289">
        <v>46052.0</v>
      </c>
      <c r="AE379" s="312"/>
      <c r="AF379" s="277"/>
      <c r="AG379" s="277"/>
      <c r="AH379" s="294">
        <f>IFERROR(__xludf.DUMMYFUNCTION("IFERROR(INDEX( SORT(FILTER(
        {'1. DATA CHUNG'!$J$4:$J$105 , '1. DATA CHUNG'!$L$4:$L$105}, (TRIM('1. DATA CHUNG'!$I$4:$I$105)=TRIM(K379)) * IF(COUNTIFS('1. DATA CHUNG'!$I$4:$I$105,K379,'1. DATA CHUNG'!$M$4:$M$105,Q379), '1. DATA CHUNG'!$M$4:$M$105=Q"&amp;"379, 1) * ('1. DATA CHUNG'!$L$4:$L$105&lt;=TODAY()) ),   2, 0),  1, 1), 
  IFERROR( INDEX(FILTER('1. DATA CHUNG'!$J$4:$J$105, (TRIM('1. DATA CHUNG'!$I$4:$I$105)=TRIM(K379)) * IF(COUNTIFS('1. DATA CHUNG'!$I$4:$I$105,K379,'1. DATA CHUNG'!$M$4:$M$105,Q379), '1."&amp;" DATA CHUNG'!$M$4:$M$105=Q379, 1) * ('1. DATA CHUNG'!$L$4:$L$105="""")), 1), ""Không tìm thấy"" ))"),7.0)</f>
        <v>7</v>
      </c>
      <c r="AI379" s="273">
        <f t="shared" si="2"/>
        <v>46059</v>
      </c>
      <c r="AJ379" s="287"/>
      <c r="AK379" s="286">
        <f t="shared" si="3"/>
        <v>0</v>
      </c>
      <c r="AL379" s="287">
        <f t="shared" si="4"/>
        <v>0</v>
      </c>
      <c r="AM379" s="287">
        <f t="shared" si="5"/>
        <v>-3</v>
      </c>
      <c r="AN379" s="279">
        <f t="shared" si="6"/>
        <v>0</v>
      </c>
      <c r="AO379" s="295" t="str">
        <f t="shared" si="7"/>
        <v>01/2026</v>
      </c>
      <c r="AP379" s="277" t="str">
        <f t="array" ref="AP379">IFERROR(XLOOKUP(L379,'2. DATA NL, VTBB'!C:C,'2. DATA NL, VTBB'!F:F),"")</f>
        <v>HH0117</v>
      </c>
      <c r="AQ379" s="277" t="str">
        <f t="array" ref="AQ379">IF(OR(K379="Nhãn", K379="Nhãn thùng",K379="Nhãn Túi"), K379 &amp; " " &amp; IFERROR(XLOOKUP(L379, '2. DATA NL, VTBB'!C:C, '2. DATA NL, VTBB'!E:E), ""), "")</f>
        <v/>
      </c>
      <c r="AR379" s="278" t="str">
        <f t="array" ref="AR379">IFERROR(XLOOKUP(L379,'2. DATA NL, VTBB'!C:C,'2. DATA NL, VTBB'!G:G),"")</f>
        <v>GC - II - 671 - SH Mekongvil 5SC - 1 lít - 20</v>
      </c>
      <c r="AS379" s="278" t="str">
        <f t="array" ref="AS379">IFERROR(XLOOKUP(L379,'2. DATA NL, VTBB'!C:C,'2. DATA NL, VTBB'!G:G),"")</f>
        <v>GC - II - 671 - SH Mekongvil 5SC - 1 lít - 20</v>
      </c>
      <c r="AT379" s="277"/>
    </row>
    <row r="380" ht="30.75" customHeight="1">
      <c r="A380" s="272">
        <f t="shared" si="44"/>
        <v>377</v>
      </c>
      <c r="B380" s="289">
        <v>46052.0</v>
      </c>
      <c r="C380" s="289">
        <v>46059.0</v>
      </c>
      <c r="D380" s="289">
        <v>46062.0</v>
      </c>
      <c r="E380" s="289">
        <v>46062.0</v>
      </c>
      <c r="F380" s="274" t="s">
        <v>561</v>
      </c>
      <c r="G380" s="275" t="s">
        <v>562</v>
      </c>
      <c r="H380" s="274" t="s">
        <v>304</v>
      </c>
      <c r="I380" s="275" t="s">
        <v>726</v>
      </c>
      <c r="J380" s="272" t="s">
        <v>1062</v>
      </c>
      <c r="K380" s="275" t="s">
        <v>730</v>
      </c>
      <c r="L380" s="277" t="s">
        <v>1064</v>
      </c>
      <c r="M380" s="278" t="str">
        <f t="array" ref="M380">IFERROR(XLOOKUP(L380,'2. DATA NL, VTBB'!C:C,'2. DATA NL, VTBB'!D:D),"")</f>
        <v>Nắp HDPE có bèo cổ 50 (10gr) - Cam</v>
      </c>
      <c r="N380" s="280"/>
      <c r="O380" s="280" t="str">
        <f t="array" ref="O380">IFERROR( XLOOKUP(L380,'2. DATA NL, VTBB'!C:C,'2. DATA NL, VTBB'!E:E),"")</f>
        <v>HAIHAMEC 3.6EC</v>
      </c>
      <c r="P380" s="275" t="s">
        <v>565</v>
      </c>
      <c r="Q380" s="311"/>
      <c r="R380" s="290" t="s">
        <v>566</v>
      </c>
      <c r="S380" s="277"/>
      <c r="T380" s="277"/>
      <c r="U380" s="277"/>
      <c r="V380" s="283">
        <v>2000.0</v>
      </c>
      <c r="W380" s="275" t="s">
        <v>699</v>
      </c>
      <c r="X380" s="283">
        <v>2000.0</v>
      </c>
      <c r="Y380" s="274">
        <v>2016.0</v>
      </c>
      <c r="Z380" s="272">
        <v>900.0</v>
      </c>
      <c r="AA380" s="285">
        <v>0.08</v>
      </c>
      <c r="AB380" s="282">
        <v>1959552.0</v>
      </c>
      <c r="AC380" s="277"/>
      <c r="AD380" s="289">
        <v>46052.0</v>
      </c>
      <c r="AE380" s="312"/>
      <c r="AF380" s="277"/>
      <c r="AG380" s="277"/>
      <c r="AH380" s="294">
        <f>IFERROR(__xludf.DUMMYFUNCTION("IFERROR(INDEX( SORT(FILTER(
        {'1. DATA CHUNG'!$J$4:$J$105 , '1. DATA CHUNG'!$L$4:$L$105}, (TRIM('1. DATA CHUNG'!$I$4:$I$105)=TRIM(K380)) * IF(COUNTIFS('1. DATA CHUNG'!$I$4:$I$105,K380,'1. DATA CHUNG'!$M$4:$M$105,Q380), '1. DATA CHUNG'!$M$4:$M$105=Q"&amp;"380, 1) * ('1. DATA CHUNG'!$L$4:$L$105&lt;=TODAY()) ),   2, 0),  1, 1), 
  IFERROR( INDEX(FILTER('1. DATA CHUNG'!$J$4:$J$105, (TRIM('1. DATA CHUNG'!$I$4:$I$105)=TRIM(K380)) * IF(COUNTIFS('1. DATA CHUNG'!$I$4:$I$105,K380,'1. DATA CHUNG'!$M$4:$M$105,Q380), '1."&amp;" DATA CHUNG'!$M$4:$M$105=Q380, 1) * ('1. DATA CHUNG'!$L$4:$L$105="""")), 1), ""Không tìm thấy"" ))"),7.0)</f>
        <v>7</v>
      </c>
      <c r="AI380" s="273">
        <f t="shared" si="2"/>
        <v>46059</v>
      </c>
      <c r="AJ380" s="287"/>
      <c r="AK380" s="286">
        <f t="shared" si="3"/>
        <v>0</v>
      </c>
      <c r="AL380" s="287">
        <f t="shared" si="4"/>
        <v>0</v>
      </c>
      <c r="AM380" s="287">
        <f t="shared" si="5"/>
        <v>-3</v>
      </c>
      <c r="AN380" s="279">
        <f t="shared" si="6"/>
        <v>0</v>
      </c>
      <c r="AO380" s="295" t="str">
        <f t="shared" si="7"/>
        <v>01/2026</v>
      </c>
      <c r="AP380" s="277" t="str">
        <f t="array" ref="AP380">IFERROR(XLOOKUP(L380,'2. DATA NL, VTBB'!C:C,'2. DATA NL, VTBB'!F:F),"")</f>
        <v>HH0171</v>
      </c>
      <c r="AQ380" s="277" t="str">
        <f t="array" ref="AQ380">IF(OR(K380="Nhãn", K380="Nhãn thùng",K380="Nhãn Túi"), K380 &amp; " " &amp; IFERROR(XLOOKUP(L380, '2. DATA NL, VTBB'!C:C, '2. DATA NL, VTBB'!E:E), ""), "")</f>
        <v/>
      </c>
      <c r="AR380" s="278" t="str">
        <f t="array" ref="AR380">IFERROR(XLOOKUP(L380,'2. DATA NL, VTBB'!C:C,'2. DATA NL, VTBB'!G:G),"")</f>
        <v>GC - IV - 900 - Tago - Bọ cạp chúa (Pet tròn) (nước nâu đen) - 450ml - 40</v>
      </c>
      <c r="AS380" s="278" t="str">
        <f t="array" ref="AS380">IFERROR(XLOOKUP(L380,'2. DATA NL, VTBB'!C:C,'2. DATA NL, VTBB'!G:G),"")</f>
        <v>GC - IV - 900 - Tago - Bọ cạp chúa (Pet tròn) (nước nâu đen) - 450ml - 40</v>
      </c>
      <c r="AT380" s="277"/>
    </row>
    <row r="381" ht="30.75" customHeight="1">
      <c r="A381" s="272">
        <f t="shared" si="44"/>
        <v>378</v>
      </c>
      <c r="B381" s="289">
        <v>46052.0</v>
      </c>
      <c r="C381" s="289">
        <v>46059.0</v>
      </c>
      <c r="D381" s="289">
        <v>46062.0</v>
      </c>
      <c r="E381" s="289">
        <v>46062.0</v>
      </c>
      <c r="F381" s="274" t="s">
        <v>561</v>
      </c>
      <c r="G381" s="275" t="s">
        <v>562</v>
      </c>
      <c r="H381" s="274" t="s">
        <v>304</v>
      </c>
      <c r="I381" s="275" t="s">
        <v>726</v>
      </c>
      <c r="J381" s="272" t="s">
        <v>1062</v>
      </c>
      <c r="K381" s="275" t="s">
        <v>730</v>
      </c>
      <c r="L381" s="277" t="s">
        <v>764</v>
      </c>
      <c r="M381" s="278" t="str">
        <f t="array" ref="M381">IFERROR(XLOOKUP(L381,'2. DATA NL, VTBB'!C:C,'2. DATA NL, VTBB'!D:D),"")</f>
        <v>Nắp HDPE có bèo cổ 50 (10gr) - Trắng</v>
      </c>
      <c r="N381" s="280"/>
      <c r="O381" s="280" t="str">
        <f t="array" ref="O381">IFERROR( XLOOKUP(L381,'2. DATA NL, VTBB'!C:C,'2. DATA NL, VTBB'!E:E),"")</f>
        <v>Vi lượng Quantity New</v>
      </c>
      <c r="P381" s="275" t="s">
        <v>565</v>
      </c>
      <c r="Q381" s="311"/>
      <c r="R381" s="290" t="s">
        <v>566</v>
      </c>
      <c r="S381" s="277"/>
      <c r="T381" s="277"/>
      <c r="U381" s="277"/>
      <c r="V381" s="283">
        <v>1000.0</v>
      </c>
      <c r="W381" s="275" t="s">
        <v>699</v>
      </c>
      <c r="X381" s="283">
        <v>1000.0</v>
      </c>
      <c r="Y381" s="274">
        <v>1008.0</v>
      </c>
      <c r="Z381" s="272">
        <v>900.0</v>
      </c>
      <c r="AA381" s="285">
        <v>0.08</v>
      </c>
      <c r="AB381" s="282">
        <v>979776.0</v>
      </c>
      <c r="AC381" s="277"/>
      <c r="AD381" s="289">
        <v>46052.0</v>
      </c>
      <c r="AE381" s="312"/>
      <c r="AF381" s="277"/>
      <c r="AG381" s="277"/>
      <c r="AH381" s="294">
        <f>IFERROR(__xludf.DUMMYFUNCTION("IFERROR(INDEX( SORT(FILTER(
        {'1. DATA CHUNG'!$J$4:$J$105 , '1. DATA CHUNG'!$L$4:$L$105}, (TRIM('1. DATA CHUNG'!$I$4:$I$105)=TRIM(K381)) * IF(COUNTIFS('1. DATA CHUNG'!$I$4:$I$105,K381,'1. DATA CHUNG'!$M$4:$M$105,Q381), '1. DATA CHUNG'!$M$4:$M$105=Q"&amp;"381, 1) * ('1. DATA CHUNG'!$L$4:$L$105&lt;=TODAY()) ),   2, 0),  1, 1), 
  IFERROR( INDEX(FILTER('1. DATA CHUNG'!$J$4:$J$105, (TRIM('1. DATA CHUNG'!$I$4:$I$105)=TRIM(K381)) * IF(COUNTIFS('1. DATA CHUNG'!$I$4:$I$105,K381,'1. DATA CHUNG'!$M$4:$M$105,Q381), '1."&amp;" DATA CHUNG'!$M$4:$M$105=Q381, 1) * ('1. DATA CHUNG'!$L$4:$L$105="""")), 1), ""Không tìm thấy"" ))"),7.0)</f>
        <v>7</v>
      </c>
      <c r="AI381" s="273">
        <f t="shared" si="2"/>
        <v>46059</v>
      </c>
      <c r="AJ381" s="287"/>
      <c r="AK381" s="286">
        <f t="shared" si="3"/>
        <v>0</v>
      </c>
      <c r="AL381" s="287">
        <f t="shared" si="4"/>
        <v>0</v>
      </c>
      <c r="AM381" s="287">
        <f t="shared" si="5"/>
        <v>-3</v>
      </c>
      <c r="AN381" s="279">
        <f t="shared" si="6"/>
        <v>0</v>
      </c>
      <c r="AO381" s="295" t="str">
        <f t="shared" si="7"/>
        <v>01/2026</v>
      </c>
      <c r="AP381" s="277" t="str">
        <f t="array" ref="AP381">IFERROR(XLOOKUP(L381,'2. DATA NL, VTBB'!C:C,'2. DATA NL, VTBB'!F:F),"")</f>
        <v>HH0070</v>
      </c>
      <c r="AQ381" s="277" t="str">
        <f t="array" ref="AQ381">IF(OR(K381="Nhãn", K381="Nhãn thùng",K381="Nhãn Túi"), K381 &amp; " " &amp; IFERROR(XLOOKUP(L381, '2. DATA NL, VTBB'!C:C, '2. DATA NL, VTBB'!E:E), ""), "")</f>
        <v/>
      </c>
      <c r="AR381" s="278" t="str">
        <f t="array" ref="AR381">IFERROR(XLOOKUP(L381,'2. DATA NL, VTBB'!C:C,'2. DATA NL, VTBB'!G:G),"")</f>
        <v>GC - II - 591 - A Thời GNH - Chuyên lác (Chai HD) - 1L - 20</v>
      </c>
      <c r="AS381" s="278" t="str">
        <f t="array" ref="AS381">IFERROR(XLOOKUP(L381,'2. DATA NL, VTBB'!C:C,'2. DATA NL, VTBB'!G:G),"")</f>
        <v>GC - II - 591 - A Thời GNH - Chuyên lác (Chai HD) - 1L - 20</v>
      </c>
      <c r="AT381" s="277"/>
    </row>
    <row r="382" ht="30.75" customHeight="1">
      <c r="A382" s="272">
        <f t="shared" si="44"/>
        <v>379</v>
      </c>
      <c r="B382" s="289">
        <v>46052.0</v>
      </c>
      <c r="C382" s="289">
        <v>46059.0</v>
      </c>
      <c r="D382" s="289">
        <v>46079.0</v>
      </c>
      <c r="E382" s="289">
        <v>46111.0</v>
      </c>
      <c r="F382" s="274" t="s">
        <v>561</v>
      </c>
      <c r="G382" s="275" t="s">
        <v>562</v>
      </c>
      <c r="H382" s="274" t="s">
        <v>304</v>
      </c>
      <c r="I382" s="275" t="s">
        <v>744</v>
      </c>
      <c r="J382" s="272" t="s">
        <v>1065</v>
      </c>
      <c r="K382" s="275" t="s">
        <v>728</v>
      </c>
      <c r="L382" s="277" t="s">
        <v>821</v>
      </c>
      <c r="M382" s="278" t="str">
        <f t="array" ref="M382">IFERROR(XLOOKUP(L382,'2. DATA NL, VTBB'!C:C,'2. DATA NL, VTBB'!D:D),"")</f>
        <v>Chai HDPE tròn cổ 50 550ml (75g) Gruratee - Trắng</v>
      </c>
      <c r="N382" s="280"/>
      <c r="O382" s="280" t="str">
        <f t="array" ref="O382">IFERROR( XLOOKUP(L382,'2. DATA NL, VTBB'!C:C,'2. DATA NL, VTBB'!E:E),"")</f>
        <v>CITIZEN 333SC</v>
      </c>
      <c r="P382" s="275" t="s">
        <v>565</v>
      </c>
      <c r="Q382" s="311"/>
      <c r="R382" s="290" t="s">
        <v>566</v>
      </c>
      <c r="S382" s="277"/>
      <c r="T382" s="277"/>
      <c r="U382" s="277"/>
      <c r="V382" s="283">
        <v>3000.0</v>
      </c>
      <c r="W382" s="275" t="s">
        <v>699</v>
      </c>
      <c r="X382" s="283">
        <v>3000.0</v>
      </c>
      <c r="Y382" s="274">
        <v>3072.0</v>
      </c>
      <c r="Z382" s="272">
        <v>4150.0</v>
      </c>
      <c r="AA382" s="285">
        <v>0.08</v>
      </c>
      <c r="AB382" s="282">
        <v>1.3768704E7</v>
      </c>
      <c r="AC382" s="277"/>
      <c r="AD382" s="289">
        <v>46052.0</v>
      </c>
      <c r="AE382" s="272">
        <v>774.0</v>
      </c>
      <c r="AF382" s="277"/>
      <c r="AG382" s="277"/>
      <c r="AH382" s="294">
        <f>IFERROR(__xludf.DUMMYFUNCTION("IFERROR(INDEX( SORT(FILTER(
        {'1. DATA CHUNG'!$J$4:$J$105 , '1. DATA CHUNG'!$L$4:$L$105}, (TRIM('1. DATA CHUNG'!$I$4:$I$105)=TRIM(K382)) * IF(COUNTIFS('1. DATA CHUNG'!$I$4:$I$105,K382,'1. DATA CHUNG'!$M$4:$M$105,Q382), '1. DATA CHUNG'!$M$4:$M$105=Q"&amp;"382, 1) * ('1. DATA CHUNG'!$L$4:$L$105&lt;=TODAY()) ),   2, 0),  1, 1), 
  IFERROR( INDEX(FILTER('1. DATA CHUNG'!$J$4:$J$105, (TRIM('1. DATA CHUNG'!$I$4:$I$105)=TRIM(K382)) * IF(COUNTIFS('1. DATA CHUNG'!$I$4:$I$105,K382,'1. DATA CHUNG'!$M$4:$M$105,Q382), '1."&amp;" DATA CHUNG'!$M$4:$M$105=Q382, 1) * ('1. DATA CHUNG'!$L$4:$L$105="""")), 1), ""Không tìm thấy"" ))"),7.0)</f>
        <v>7</v>
      </c>
      <c r="AI382" s="273">
        <f t="shared" si="2"/>
        <v>46059</v>
      </c>
      <c r="AJ382" s="287"/>
      <c r="AK382" s="286">
        <f t="shared" si="3"/>
        <v>0</v>
      </c>
      <c r="AL382" s="287">
        <f t="shared" si="4"/>
        <v>-32</v>
      </c>
      <c r="AM382" s="287">
        <f t="shared" si="5"/>
        <v>-52</v>
      </c>
      <c r="AN382" s="279">
        <f t="shared" si="6"/>
        <v>0</v>
      </c>
      <c r="AO382" s="295" t="str">
        <f t="shared" si="7"/>
        <v>01/2026</v>
      </c>
      <c r="AP382" s="277" t="str">
        <f t="array" ref="AP382">IFERROR(XLOOKUP(L382,'2. DATA NL, VTBB'!C:C,'2. DATA NL, VTBB'!F:F),"")</f>
        <v>HH0230</v>
      </c>
      <c r="AQ382" s="277" t="str">
        <f t="array" ref="AQ382">IF(OR(K382="Nhãn", K382="Nhãn thùng",K382="Nhãn Túi"), K382 &amp; " " &amp; IFERROR(XLOOKUP(L382, '2. DATA NL, VTBB'!C:C, '2. DATA NL, VTBB'!E:E), ""), "")</f>
        <v/>
      </c>
      <c r="AR382" s="278" t="str">
        <f t="array" ref="AR382">IFERROR(XLOOKUP(L382,'2. DATA NL, VTBB'!C:C,'2. DATA NL, VTBB'!G:G),"")</f>
        <v>IDA Global - I - 872 - Citizen 333SC (Drone) (chai HD)(nước cam sữa) - 450ml - 40</v>
      </c>
      <c r="AS382" s="278" t="str">
        <f t="array" ref="AS382">IFERROR(XLOOKUP(L382,'2. DATA NL, VTBB'!C:C,'2. DATA NL, VTBB'!G:G),"")</f>
        <v>IDA Global - I - 872 - Citizen 333SC (Drone) (chai HD)(nước cam sữa) - 450ml - 40</v>
      </c>
      <c r="AT382" s="277"/>
    </row>
    <row r="383" ht="30.75" customHeight="1">
      <c r="A383" s="272">
        <f t="shared" si="44"/>
        <v>380</v>
      </c>
      <c r="B383" s="289">
        <v>46052.0</v>
      </c>
      <c r="C383" s="289">
        <v>46059.0</v>
      </c>
      <c r="D383" s="289">
        <v>46079.0</v>
      </c>
      <c r="E383" s="289">
        <v>46111.0</v>
      </c>
      <c r="F383" s="274" t="s">
        <v>561</v>
      </c>
      <c r="G383" s="275" t="s">
        <v>562</v>
      </c>
      <c r="H383" s="274" t="s">
        <v>304</v>
      </c>
      <c r="I383" s="275" t="s">
        <v>744</v>
      </c>
      <c r="J383" s="272" t="s">
        <v>1065</v>
      </c>
      <c r="K383" s="275" t="s">
        <v>730</v>
      </c>
      <c r="L383" s="277" t="s">
        <v>754</v>
      </c>
      <c r="M383" s="278" t="str">
        <f t="array" ref="M383">IFERROR(XLOOKUP(L383,'2. DATA NL, VTBB'!C:C,'2. DATA NL, VTBB'!D:D),"")</f>
        <v>Nắp HDPE cổ 50 gruratee - Trắng</v>
      </c>
      <c r="N383" s="280"/>
      <c r="O383" s="280" t="str">
        <f t="array" ref="O383">IFERROR( XLOOKUP(L383,'2. DATA NL, VTBB'!C:C,'2. DATA NL, VTBB'!E:E),"")</f>
        <v>Chitin 3.6EC</v>
      </c>
      <c r="P383" s="275" t="s">
        <v>565</v>
      </c>
      <c r="Q383" s="311"/>
      <c r="R383" s="290" t="s">
        <v>566</v>
      </c>
      <c r="S383" s="277"/>
      <c r="T383" s="277"/>
      <c r="U383" s="277"/>
      <c r="V383" s="283">
        <v>3000.0</v>
      </c>
      <c r="W383" s="275" t="s">
        <v>699</v>
      </c>
      <c r="X383" s="283">
        <v>3000.0</v>
      </c>
      <c r="Y383" s="274">
        <v>3072.0</v>
      </c>
      <c r="Z383" s="272">
        <v>1200.0</v>
      </c>
      <c r="AA383" s="285">
        <v>0.08</v>
      </c>
      <c r="AB383" s="282">
        <v>3981312.0</v>
      </c>
      <c r="AC383" s="277"/>
      <c r="AD383" s="289">
        <v>46052.0</v>
      </c>
      <c r="AE383" s="272">
        <v>774.0</v>
      </c>
      <c r="AF383" s="277"/>
      <c r="AG383" s="277"/>
      <c r="AH383" s="294">
        <f>IFERROR(__xludf.DUMMYFUNCTION("IFERROR(INDEX( SORT(FILTER(
        {'1. DATA CHUNG'!$J$4:$J$105 , '1. DATA CHUNG'!$L$4:$L$105}, (TRIM('1. DATA CHUNG'!$I$4:$I$105)=TRIM(K383)) * IF(COUNTIFS('1. DATA CHUNG'!$I$4:$I$105,K383,'1. DATA CHUNG'!$M$4:$M$105,Q383), '1. DATA CHUNG'!$M$4:$M$105=Q"&amp;"383, 1) * ('1. DATA CHUNG'!$L$4:$L$105&lt;=TODAY()) ),   2, 0),  1, 1), 
  IFERROR( INDEX(FILTER('1. DATA CHUNG'!$J$4:$J$105, (TRIM('1. DATA CHUNG'!$I$4:$I$105)=TRIM(K383)) * IF(COUNTIFS('1. DATA CHUNG'!$I$4:$I$105,K383,'1. DATA CHUNG'!$M$4:$M$105,Q383), '1."&amp;" DATA CHUNG'!$M$4:$M$105=Q383, 1) * ('1. DATA CHUNG'!$L$4:$L$105="""")), 1), ""Không tìm thấy"" ))"),7.0)</f>
        <v>7</v>
      </c>
      <c r="AI383" s="273">
        <f t="shared" si="2"/>
        <v>46059</v>
      </c>
      <c r="AJ383" s="287"/>
      <c r="AK383" s="286">
        <f t="shared" si="3"/>
        <v>0</v>
      </c>
      <c r="AL383" s="287">
        <f t="shared" si="4"/>
        <v>-32</v>
      </c>
      <c r="AM383" s="287">
        <f t="shared" si="5"/>
        <v>-52</v>
      </c>
      <c r="AN383" s="279">
        <f t="shared" si="6"/>
        <v>0</v>
      </c>
      <c r="AO383" s="295" t="str">
        <f t="shared" si="7"/>
        <v>01/2026</v>
      </c>
      <c r="AP383" s="277" t="str">
        <f t="array" ref="AP383">IFERROR(XLOOKUP(L383,'2. DATA NL, VTBB'!C:C,'2. DATA NL, VTBB'!F:F),"")</f>
        <v>HH0153</v>
      </c>
      <c r="AQ383" s="277" t="str">
        <f t="array" ref="AQ383">IF(OR(K383="Nhãn", K383="Nhãn thùng",K383="Nhãn Túi"), K383 &amp; " " &amp; IFERROR(XLOOKUP(L383, '2. DATA NL, VTBB'!C:C, '2. DATA NL, VTBB'!E:E), ""), "")</f>
        <v/>
      </c>
      <c r="AR383" s="278" t="str">
        <f t="array" ref="AR383">IFERROR(XLOOKUP(L383,'2. DATA NL, VTBB'!C:C,'2. DATA NL, VTBB'!G:G),"")</f>
        <v>LOT IDA Global - I - 870 - ĐL Nhựt Mẫn - Avermectin (Pet tròn) (nắp đỏ)(nước nâu đen) - 450ml - 40</v>
      </c>
      <c r="AS383" s="278" t="str">
        <f t="array" ref="AS383">IFERROR(XLOOKUP(L383,'2. DATA NL, VTBB'!C:C,'2. DATA NL, VTBB'!G:G),"")</f>
        <v>LOT IDA Global - I - 870 - ĐL Nhựt Mẫn - Avermectin (Pet tròn) (nắp đỏ)(nước nâu đen) - 450ml - 40</v>
      </c>
      <c r="AT383" s="277"/>
    </row>
    <row r="384" ht="30.75" customHeight="1">
      <c r="A384" s="272">
        <f t="shared" si="44"/>
        <v>381</v>
      </c>
      <c r="B384" s="289">
        <v>46052.0</v>
      </c>
      <c r="C384" s="289">
        <v>46059.0</v>
      </c>
      <c r="D384" s="289">
        <v>46079.0</v>
      </c>
      <c r="E384" s="289">
        <v>46111.0</v>
      </c>
      <c r="F384" s="274" t="s">
        <v>561</v>
      </c>
      <c r="G384" s="275" t="s">
        <v>562</v>
      </c>
      <c r="H384" s="274" t="s">
        <v>304</v>
      </c>
      <c r="I384" s="275" t="s">
        <v>744</v>
      </c>
      <c r="J384" s="272" t="s">
        <v>1065</v>
      </c>
      <c r="K384" s="275" t="s">
        <v>732</v>
      </c>
      <c r="L384" s="277" t="s">
        <v>931</v>
      </c>
      <c r="M384" s="278" t="str">
        <f t="array" ref="M384">IFERROR(XLOOKUP(L384,'2. DATA NL, VTBB'!C:C,'2. DATA NL, VTBB'!D:D),"")</f>
        <v>Cốc đong cổ 50 75ml - Trắng trong</v>
      </c>
      <c r="N384" s="280"/>
      <c r="O384" s="280" t="str">
        <f t="array" ref="O384">IFERROR( XLOOKUP(L384,'2. DATA NL, VTBB'!C:C,'2. DATA NL, VTBB'!E:E),"")</f>
        <v>Chitin 3.6EC</v>
      </c>
      <c r="P384" s="275" t="s">
        <v>565</v>
      </c>
      <c r="Q384" s="311"/>
      <c r="R384" s="290" t="s">
        <v>566</v>
      </c>
      <c r="S384" s="277"/>
      <c r="T384" s="277"/>
      <c r="U384" s="277"/>
      <c r="V384" s="283">
        <v>3000.0</v>
      </c>
      <c r="W384" s="275" t="s">
        <v>699</v>
      </c>
      <c r="X384" s="283">
        <v>3000.0</v>
      </c>
      <c r="Y384" s="274">
        <v>3072.0</v>
      </c>
      <c r="Z384" s="272">
        <v>800.0</v>
      </c>
      <c r="AA384" s="285">
        <v>0.08</v>
      </c>
      <c r="AB384" s="282">
        <v>2654208.0</v>
      </c>
      <c r="AC384" s="277"/>
      <c r="AD384" s="289">
        <v>46052.0</v>
      </c>
      <c r="AE384" s="272">
        <v>774.0</v>
      </c>
      <c r="AF384" s="277"/>
      <c r="AG384" s="277"/>
      <c r="AH384" s="294">
        <f>IFERROR(__xludf.DUMMYFUNCTION("IFERROR(INDEX( SORT(FILTER(
        {'1. DATA CHUNG'!$J$4:$J$105 , '1. DATA CHUNG'!$L$4:$L$105}, (TRIM('1. DATA CHUNG'!$I$4:$I$105)=TRIM(K384)) * IF(COUNTIFS('1. DATA CHUNG'!$I$4:$I$105,K384,'1. DATA CHUNG'!$M$4:$M$105,Q384), '1. DATA CHUNG'!$M$4:$M$105=Q"&amp;"384, 1) * ('1. DATA CHUNG'!$L$4:$L$105&lt;=TODAY()) ),   2, 0),  1, 1), 
  IFERROR( INDEX(FILTER('1. DATA CHUNG'!$J$4:$J$105, (TRIM('1. DATA CHUNG'!$I$4:$I$105)=TRIM(K384)) * IF(COUNTIFS('1. DATA CHUNG'!$I$4:$I$105,K384,'1. DATA CHUNG'!$M$4:$M$105,Q384), '1."&amp;" DATA CHUNG'!$M$4:$M$105=Q384, 1) * ('1. DATA CHUNG'!$L$4:$L$105="""")), 1), ""Không tìm thấy"" ))"),7.0)</f>
        <v>7</v>
      </c>
      <c r="AI384" s="273">
        <f t="shared" si="2"/>
        <v>46059</v>
      </c>
      <c r="AJ384" s="287"/>
      <c r="AK384" s="286">
        <f t="shared" si="3"/>
        <v>0</v>
      </c>
      <c r="AL384" s="287">
        <f t="shared" si="4"/>
        <v>-32</v>
      </c>
      <c r="AM384" s="287">
        <f t="shared" si="5"/>
        <v>-52</v>
      </c>
      <c r="AN384" s="279">
        <f t="shared" si="6"/>
        <v>0</v>
      </c>
      <c r="AO384" s="295" t="str">
        <f t="shared" si="7"/>
        <v>01/2026</v>
      </c>
      <c r="AP384" s="277" t="str">
        <f t="array" ref="AP384">IFERROR(XLOOKUP(L384,'2. DATA NL, VTBB'!C:C,'2. DATA NL, VTBB'!F:F),"")</f>
        <v>HH0010</v>
      </c>
      <c r="AQ384" s="277" t="str">
        <f t="array" ref="AQ384">IF(OR(K384="Nhãn", K384="Nhãn thùng",K384="Nhãn Túi"), K384 &amp; " " &amp; IFERROR(XLOOKUP(L384, '2. DATA NL, VTBB'!C:C, '2. DATA NL, VTBB'!E:E), ""), "")</f>
        <v/>
      </c>
      <c r="AR384" s="278" t="str">
        <f t="array" ref="AR384">IFERROR(XLOOKUP(L384,'2. DATA NL, VTBB'!C:C,'2. DATA NL, VTBB'!G:G),"")</f>
        <v>LOT IDA Global - I - 866 - ĐL Hoàng Châu Long - Thần Hổ (Pet tròn) (nắp vàng)(nước nâu đen) - 450ml - 40</v>
      </c>
      <c r="AS384" s="278" t="str">
        <f t="array" ref="AS384">IFERROR(XLOOKUP(L384,'2. DATA NL, VTBB'!C:C,'2. DATA NL, VTBB'!G:G),"")</f>
        <v>LOT IDA Global - I - 866 - ĐL Hoàng Châu Long - Thần Hổ (Pet tròn) (nắp vàng)(nước nâu đen) - 450ml - 40</v>
      </c>
      <c r="AT384" s="277"/>
    </row>
    <row r="385" ht="30.75" customHeight="1">
      <c r="A385" s="272">
        <f t="shared" si="44"/>
        <v>382</v>
      </c>
      <c r="B385" s="289">
        <v>46052.0</v>
      </c>
      <c r="C385" s="289">
        <v>46059.0</v>
      </c>
      <c r="D385" s="289">
        <v>46062.0</v>
      </c>
      <c r="E385" s="289">
        <v>46111.0</v>
      </c>
      <c r="F385" s="274" t="s">
        <v>561</v>
      </c>
      <c r="G385" s="275" t="s">
        <v>562</v>
      </c>
      <c r="H385" s="274" t="s">
        <v>304</v>
      </c>
      <c r="I385" s="275" t="s">
        <v>853</v>
      </c>
      <c r="J385" s="272" t="s">
        <v>1066</v>
      </c>
      <c r="K385" s="275" t="s">
        <v>728</v>
      </c>
      <c r="L385" s="277" t="s">
        <v>1067</v>
      </c>
      <c r="M385" s="278" t="str">
        <f t="array" ref="M385">IFERROR(XLOOKUP(L385,'2. DATA NL, VTBB'!C:C,'2. DATA NL, VTBB'!D:D),"")</f>
        <v>Chai Pet tròn cổ 38 500ml - Màu Vàng (65gr) - Nắp tai bèo trắng (8gr)</v>
      </c>
      <c r="N385" s="280"/>
      <c r="O385" s="280" t="str">
        <f t="array" ref="O385">IFERROR( XLOOKUP(L385,'2. DATA NL, VTBB'!C:C,'2. DATA NL, VTBB'!E:E),"")</f>
        <v>JAVI VIL 50SC</v>
      </c>
      <c r="P385" s="275" t="s">
        <v>565</v>
      </c>
      <c r="Q385" s="311"/>
      <c r="R385" s="291" t="s">
        <v>573</v>
      </c>
      <c r="S385" s="277"/>
      <c r="T385" s="277"/>
      <c r="U385" s="277"/>
      <c r="V385" s="283">
        <v>1000.0</v>
      </c>
      <c r="W385" s="275" t="s">
        <v>699</v>
      </c>
      <c r="X385" s="283">
        <v>1000.0</v>
      </c>
      <c r="Y385" s="274">
        <v>1000.0</v>
      </c>
      <c r="Z385" s="272">
        <v>3200.0</v>
      </c>
      <c r="AA385" s="285">
        <v>0.08</v>
      </c>
      <c r="AB385" s="282">
        <v>3456000.0</v>
      </c>
      <c r="AC385" s="277"/>
      <c r="AD385" s="289">
        <v>46052.0</v>
      </c>
      <c r="AE385" s="312"/>
      <c r="AF385" s="277"/>
      <c r="AG385" s="277"/>
      <c r="AH385" s="294">
        <f>IFERROR(__xludf.DUMMYFUNCTION("IFERROR(INDEX( SORT(FILTER(
        {'1. DATA CHUNG'!$J$4:$J$105 , '1. DATA CHUNG'!$L$4:$L$105}, (TRIM('1. DATA CHUNG'!$I$4:$I$105)=TRIM(K385)) * IF(COUNTIFS('1. DATA CHUNG'!$I$4:$I$105,K385,'1. DATA CHUNG'!$M$4:$M$105,Q385), '1. DATA CHUNG'!$M$4:$M$105=Q"&amp;"385, 1) * ('1. DATA CHUNG'!$L$4:$L$105&lt;=TODAY()) ),   2, 0),  1, 1), 
  IFERROR( INDEX(FILTER('1. DATA CHUNG'!$J$4:$J$105, (TRIM('1. DATA CHUNG'!$I$4:$I$105)=TRIM(K385)) * IF(COUNTIFS('1. DATA CHUNG'!$I$4:$I$105,K385,'1. DATA CHUNG'!$M$4:$M$105,Q385), '1."&amp;" DATA CHUNG'!$M$4:$M$105=Q385, 1) * ('1. DATA CHUNG'!$L$4:$L$105="""")), 1), ""Không tìm thấy"" ))"),7.0)</f>
        <v>7</v>
      </c>
      <c r="AI385" s="273">
        <f t="shared" si="2"/>
        <v>46059</v>
      </c>
      <c r="AJ385" s="287"/>
      <c r="AK385" s="286">
        <f t="shared" si="3"/>
        <v>0</v>
      </c>
      <c r="AL385" s="287">
        <f t="shared" si="4"/>
        <v>-49</v>
      </c>
      <c r="AM385" s="287">
        <f t="shared" si="5"/>
        <v>-52</v>
      </c>
      <c r="AN385" s="279">
        <f t="shared" si="6"/>
        <v>0</v>
      </c>
      <c r="AO385" s="295" t="str">
        <f t="shared" si="7"/>
        <v>01/2026</v>
      </c>
      <c r="AP385" s="277" t="str">
        <f t="array" ref="AP385">IFERROR(XLOOKUP(L385,'2. DATA NL, VTBB'!C:C,'2. DATA NL, VTBB'!F:F),"")</f>
        <v>HH0203</v>
      </c>
      <c r="AQ385" s="277" t="str">
        <f t="array" ref="AQ385">IF(OR(K385="Nhãn", K385="Nhãn thùng",K385="Nhãn Túi"), K385 &amp; " " &amp; IFERROR(XLOOKUP(L385, '2. DATA NL, VTBB'!C:C, '2. DATA NL, VTBB'!E:E), ""), "")</f>
        <v/>
      </c>
      <c r="AR385" s="278" t="str">
        <f t="array" ref="AR385">IFERROR(XLOOKUP(L385,'2. DATA NL, VTBB'!C:C,'2. DATA NL, VTBB'!G:G),"")</f>
        <v>IDA Global - I - 822 - ĐL Đức Minh -Javi vil 50SC (chai HD) (nước Vàng) (nắp xanh dương) - 1L - 20</v>
      </c>
      <c r="AS385" s="278" t="str">
        <f t="array" ref="AS385">IFERROR(XLOOKUP(L385,'2. DATA NL, VTBB'!C:C,'2. DATA NL, VTBB'!G:G),"")</f>
        <v>IDA Global - I - 822 - ĐL Đức Minh -Javi vil 50SC (chai HD) (nước Vàng) (nắp xanh dương) - 1L - 20</v>
      </c>
      <c r="AT385" s="277"/>
    </row>
    <row r="386" ht="30.75" customHeight="1">
      <c r="A386" s="272">
        <f t="shared" si="44"/>
        <v>383</v>
      </c>
      <c r="B386" s="289">
        <v>46052.0</v>
      </c>
      <c r="C386" s="289">
        <v>46059.0</v>
      </c>
      <c r="D386" s="289">
        <v>46062.0</v>
      </c>
      <c r="E386" s="289">
        <v>46111.0</v>
      </c>
      <c r="F386" s="274" t="s">
        <v>561</v>
      </c>
      <c r="G386" s="275" t="s">
        <v>562</v>
      </c>
      <c r="H386" s="274" t="s">
        <v>304</v>
      </c>
      <c r="I386" s="275" t="s">
        <v>853</v>
      </c>
      <c r="J386" s="272" t="s">
        <v>1066</v>
      </c>
      <c r="K386" s="275" t="s">
        <v>730</v>
      </c>
      <c r="L386" s="277" t="s">
        <v>826</v>
      </c>
      <c r="M386" s="278" t="str">
        <f t="array" ref="M386">IFERROR(XLOOKUP(L386,'2. DATA NL, VTBB'!C:C,'2. DATA NL, VTBB'!D:D),"")</f>
        <v>Nắp PET cổ 38 (7.5gr) tai bèo - Trắng</v>
      </c>
      <c r="N386" s="280"/>
      <c r="O386" s="280" t="str">
        <f t="array" ref="O386">IFERROR( XLOOKUP(L386,'2. DATA NL, VTBB'!C:C,'2. DATA NL, VTBB'!E:E),"")</f>
        <v>Chitin 3.6EC</v>
      </c>
      <c r="P386" s="275" t="s">
        <v>565</v>
      </c>
      <c r="Q386" s="311"/>
      <c r="R386" s="291" t="s">
        <v>573</v>
      </c>
      <c r="S386" s="277"/>
      <c r="T386" s="277"/>
      <c r="U386" s="277"/>
      <c r="V386" s="283">
        <v>1000.0</v>
      </c>
      <c r="W386" s="275" t="s">
        <v>699</v>
      </c>
      <c r="X386" s="283">
        <v>1000.0</v>
      </c>
      <c r="Y386" s="274">
        <v>1000.0</v>
      </c>
      <c r="Z386" s="272">
        <v>700.0</v>
      </c>
      <c r="AA386" s="285">
        <v>0.08</v>
      </c>
      <c r="AB386" s="282">
        <v>756000.0</v>
      </c>
      <c r="AC386" s="277"/>
      <c r="AD386" s="289">
        <v>46052.0</v>
      </c>
      <c r="AE386" s="312"/>
      <c r="AF386" s="277"/>
      <c r="AG386" s="277"/>
      <c r="AH386" s="294">
        <f>IFERROR(__xludf.DUMMYFUNCTION("IFERROR(INDEX( SORT(FILTER(
        {'1. DATA CHUNG'!$J$4:$J$105 , '1. DATA CHUNG'!$L$4:$L$105}, (TRIM('1. DATA CHUNG'!$I$4:$I$105)=TRIM(K386)) * IF(COUNTIFS('1. DATA CHUNG'!$I$4:$I$105,K386,'1. DATA CHUNG'!$M$4:$M$105,Q386), '1. DATA CHUNG'!$M$4:$M$105=Q"&amp;"386, 1) * ('1. DATA CHUNG'!$L$4:$L$105&lt;=TODAY()) ),   2, 0),  1, 1), 
  IFERROR( INDEX(FILTER('1. DATA CHUNG'!$J$4:$J$105, (TRIM('1. DATA CHUNG'!$I$4:$I$105)=TRIM(K386)) * IF(COUNTIFS('1. DATA CHUNG'!$I$4:$I$105,K386,'1. DATA CHUNG'!$M$4:$M$105,Q386), '1."&amp;" DATA CHUNG'!$M$4:$M$105=Q386, 1) * ('1. DATA CHUNG'!$L$4:$L$105="""")), 1), ""Không tìm thấy"" ))"),7.0)</f>
        <v>7</v>
      </c>
      <c r="AI386" s="273">
        <f t="shared" si="2"/>
        <v>46059</v>
      </c>
      <c r="AJ386" s="287"/>
      <c r="AK386" s="286">
        <f t="shared" si="3"/>
        <v>0</v>
      </c>
      <c r="AL386" s="287">
        <f t="shared" si="4"/>
        <v>-49</v>
      </c>
      <c r="AM386" s="287">
        <f t="shared" si="5"/>
        <v>-52</v>
      </c>
      <c r="AN386" s="279">
        <f t="shared" si="6"/>
        <v>0</v>
      </c>
      <c r="AO386" s="295" t="str">
        <f t="shared" si="7"/>
        <v>01/2026</v>
      </c>
      <c r="AP386" s="277" t="str">
        <f t="array" ref="AP386">IFERROR(XLOOKUP(L386,'2. DATA NL, VTBB'!C:C,'2. DATA NL, VTBB'!F:F),"")</f>
        <v>HH0145</v>
      </c>
      <c r="AQ386" s="277" t="str">
        <f t="array" ref="AQ386">IF(OR(K386="Nhãn", K386="Nhãn thùng",K386="Nhãn Túi"), K386 &amp; " " &amp; IFERROR(XLOOKUP(L386, '2. DATA NL, VTBB'!C:C, '2. DATA NL, VTBB'!E:E), ""), "")</f>
        <v/>
      </c>
      <c r="AR386" s="278" t="str">
        <f t="array" ref="AR386">IFERROR(XLOOKUP(L386,'2. DATA NL, VTBB'!C:C,'2. DATA NL, VTBB'!G:G),"")</f>
        <v>GC - IV - 863 - Xuân Sơn 02L - Abametin 3.6 (Ốc Vàng - Nhãn đen) (Pet tròn)(nước nâu đen)- 450ml - 40</v>
      </c>
      <c r="AS386" s="278" t="str">
        <f t="array" ref="AS386">IFERROR(XLOOKUP(L386,'2. DATA NL, VTBB'!C:C,'2. DATA NL, VTBB'!G:G),"")</f>
        <v>GC - IV - 863 - Xuân Sơn 02L - Abametin 3.6 (Ốc Vàng - Nhãn đen) (Pet tròn)(nước nâu đen)- 450ml - 40</v>
      </c>
      <c r="AT386" s="277"/>
    </row>
    <row r="387" ht="30.75" customHeight="1">
      <c r="A387" s="272">
        <f t="shared" si="44"/>
        <v>384</v>
      </c>
      <c r="B387" s="289">
        <v>46052.0</v>
      </c>
      <c r="C387" s="289">
        <v>46062.0</v>
      </c>
      <c r="D387" s="289">
        <v>46080.0</v>
      </c>
      <c r="E387" s="289">
        <v>46111.0</v>
      </c>
      <c r="F387" s="274" t="s">
        <v>561</v>
      </c>
      <c r="G387" s="275" t="s">
        <v>562</v>
      </c>
      <c r="H387" s="274" t="s">
        <v>304</v>
      </c>
      <c r="I387" s="275" t="s">
        <v>305</v>
      </c>
      <c r="J387" s="272" t="s">
        <v>1068</v>
      </c>
      <c r="K387" s="275" t="s">
        <v>301</v>
      </c>
      <c r="L387" s="277" t="s">
        <v>596</v>
      </c>
      <c r="M387" s="278" t="str">
        <f t="array" ref="M387">IFERROR(XLOOKUP(L387,'2. DATA NL, VTBB'!C:C,'2. DATA NL, VTBB'!D:D),"")</f>
        <v>Thùng chung Chai HDPE 500ml x 40 chai  (64.5x40.5x19cm) - Nâu trơn</v>
      </c>
      <c r="N387" s="280"/>
      <c r="O387" s="280" t="str">
        <f t="array" ref="O387">IFERROR( XLOOKUP(L387,'2. DATA NL, VTBB'!C:C,'2. DATA NL, VTBB'!E:E),"")</f>
        <v>Centertaner 500WP</v>
      </c>
      <c r="P387" s="275" t="s">
        <v>565</v>
      </c>
      <c r="Q387" s="311"/>
      <c r="R387" s="290" t="s">
        <v>566</v>
      </c>
      <c r="S387" s="277"/>
      <c r="T387" s="277"/>
      <c r="U387" s="277"/>
      <c r="V387" s="283">
        <v>300.0</v>
      </c>
      <c r="W387" s="275" t="s">
        <v>699</v>
      </c>
      <c r="X387" s="283">
        <v>300.0</v>
      </c>
      <c r="Y387" s="274">
        <v>315.0</v>
      </c>
      <c r="Z387" s="272">
        <v>21500.0</v>
      </c>
      <c r="AA387" s="285">
        <v>0.08</v>
      </c>
      <c r="AB387" s="282">
        <v>7314300.0</v>
      </c>
      <c r="AC387" s="277"/>
      <c r="AD387" s="289">
        <v>46052.0</v>
      </c>
      <c r="AE387" s="272">
        <v>427.0</v>
      </c>
      <c r="AF387" s="277"/>
      <c r="AG387" s="277"/>
      <c r="AH387" s="294">
        <f>IFERROR(__xludf.DUMMYFUNCTION("IFERROR(INDEX( SORT(FILTER(
        {'1. DATA CHUNG'!$J$4:$J$105 , '1. DATA CHUNG'!$L$4:$L$105}, (TRIM('1. DATA CHUNG'!$I$4:$I$105)=TRIM(K387)) * IF(COUNTIFS('1. DATA CHUNG'!$I$4:$I$105,K387,'1. DATA CHUNG'!$M$4:$M$105,Q387), '1. DATA CHUNG'!$M$4:$M$105=Q"&amp;"387, 1) * ('1. DATA CHUNG'!$L$4:$L$105&lt;=TODAY()) ),   2, 0),  1, 1), 
  IFERROR( INDEX(FILTER('1. DATA CHUNG'!$J$4:$J$105, (TRIM('1. DATA CHUNG'!$I$4:$I$105)=TRIM(K387)) * IF(COUNTIFS('1. DATA CHUNG'!$I$4:$I$105,K387,'1. DATA CHUNG'!$M$4:$M$105,Q387), '1."&amp;" DATA CHUNG'!$M$4:$M$105=Q387, 1) * ('1. DATA CHUNG'!$L$4:$L$105="""")), 1), ""Không tìm thấy"" ))"),18.0)</f>
        <v>18</v>
      </c>
      <c r="AI387" s="273">
        <f t="shared" si="2"/>
        <v>46070</v>
      </c>
      <c r="AJ387" s="287"/>
      <c r="AK387" s="286">
        <f t="shared" si="3"/>
        <v>0</v>
      </c>
      <c r="AL387" s="287">
        <f t="shared" si="4"/>
        <v>-31</v>
      </c>
      <c r="AM387" s="287">
        <f t="shared" si="5"/>
        <v>-41</v>
      </c>
      <c r="AN387" s="279">
        <f t="shared" si="6"/>
        <v>8</v>
      </c>
      <c r="AO387" s="295" t="str">
        <f t="shared" si="7"/>
        <v>01/2026</v>
      </c>
      <c r="AP387" s="277" t="str">
        <f t="array" ref="AP387">IFERROR(XLOOKUP(L387,'2. DATA NL, VTBB'!C:C,'2. DATA NL, VTBB'!F:F),"")</f>
        <v>HH0274</v>
      </c>
      <c r="AQ387" s="277" t="str">
        <f t="array" ref="AQ387">IF(OR(K387="Nhãn", K387="Nhãn thùng",K387="Nhãn Túi"), K387 &amp; " " &amp; IFERROR(XLOOKUP(L387, '2. DATA NL, VTBB'!C:C, '2. DATA NL, VTBB'!E:E), ""), "")</f>
        <v/>
      </c>
      <c r="AR387" s="278" t="str">
        <f t="array" ref="AR387">IFERROR(XLOOKUP(L387,'2. DATA NL, VTBB'!C:C,'2. DATA NL, VTBB'!G:G),"")</f>
        <v>IDA Global - I - 690 - Centertaner 500 WP (túi nhôm) - 12 gr - 400</v>
      </c>
      <c r="AS387" s="278" t="str">
        <f t="array" ref="AS387">IFERROR(XLOOKUP(L387,'2. DATA NL, VTBB'!C:C,'2. DATA NL, VTBB'!G:G),"")</f>
        <v>IDA Global - I - 690 - Centertaner 500 WP (túi nhôm) - 12 gr - 400</v>
      </c>
      <c r="AT387" s="277"/>
    </row>
    <row r="388" ht="30.75" customHeight="1">
      <c r="A388" s="272">
        <f t="shared" si="44"/>
        <v>385</v>
      </c>
      <c r="B388" s="289">
        <v>46052.0</v>
      </c>
      <c r="C388" s="289">
        <v>46062.0</v>
      </c>
      <c r="D388" s="289">
        <v>46080.0</v>
      </c>
      <c r="E388" s="289">
        <v>46111.0</v>
      </c>
      <c r="F388" s="274" t="s">
        <v>561</v>
      </c>
      <c r="G388" s="275" t="s">
        <v>562</v>
      </c>
      <c r="H388" s="274" t="s">
        <v>304</v>
      </c>
      <c r="I388" s="275" t="s">
        <v>305</v>
      </c>
      <c r="J388" s="272" t="s">
        <v>1069</v>
      </c>
      <c r="K388" s="275" t="s">
        <v>301</v>
      </c>
      <c r="L388" s="277" t="s">
        <v>1070</v>
      </c>
      <c r="M388" s="278" t="str">
        <f t="array" ref="M388">IFERROR(XLOOKUP(L388,'2. DATA NL, VTBB'!C:C,'2. DATA NL, VTBB'!D:D),"")</f>
        <v>Thùng Sen Hồng chai 500ml x 40 chai (61.5x38.5x19cm) - Trắng viền xanh lá</v>
      </c>
      <c r="N388" s="280"/>
      <c r="O388" s="280" t="str">
        <f t="array" ref="O388">IFERROR( XLOOKUP(L388,'2. DATA NL, VTBB'!C:C,'2. DATA NL, VTBB'!E:E),"")</f>
        <v>Hỗn hợp NPK BASEL NPK 7-5-44 IDA 45</v>
      </c>
      <c r="P388" s="275" t="s">
        <v>565</v>
      </c>
      <c r="Q388" s="311"/>
      <c r="R388" s="291" t="s">
        <v>573</v>
      </c>
      <c r="S388" s="277"/>
      <c r="T388" s="277"/>
      <c r="U388" s="277"/>
      <c r="V388" s="283">
        <v>200.0</v>
      </c>
      <c r="W388" s="275" t="s">
        <v>699</v>
      </c>
      <c r="X388" s="283">
        <v>200.0</v>
      </c>
      <c r="Y388" s="274">
        <v>200.0</v>
      </c>
      <c r="Z388" s="272">
        <v>23400.0</v>
      </c>
      <c r="AA388" s="285">
        <v>0.08</v>
      </c>
      <c r="AB388" s="282">
        <v>5054400.0</v>
      </c>
      <c r="AC388" s="277"/>
      <c r="AD388" s="289">
        <v>46052.0</v>
      </c>
      <c r="AE388" s="272">
        <v>515.0</v>
      </c>
      <c r="AF388" s="277"/>
      <c r="AG388" s="277"/>
      <c r="AH388" s="294">
        <f>IFERROR(__xludf.DUMMYFUNCTION("IFERROR(INDEX( SORT(FILTER(
        {'1. DATA CHUNG'!$J$4:$J$105 , '1. DATA CHUNG'!$L$4:$L$105}, (TRIM('1. DATA CHUNG'!$I$4:$I$105)=TRIM(K388)) * IF(COUNTIFS('1. DATA CHUNG'!$I$4:$I$105,K388,'1. DATA CHUNG'!$M$4:$M$105,Q388), '1. DATA CHUNG'!$M$4:$M$105=Q"&amp;"388, 1) * ('1. DATA CHUNG'!$L$4:$L$105&lt;=TODAY()) ),   2, 0),  1, 1), 
  IFERROR( INDEX(FILTER('1. DATA CHUNG'!$J$4:$J$105, (TRIM('1. DATA CHUNG'!$I$4:$I$105)=TRIM(K388)) * IF(COUNTIFS('1. DATA CHUNG'!$I$4:$I$105,K388,'1. DATA CHUNG'!$M$4:$M$105,Q388), '1."&amp;" DATA CHUNG'!$M$4:$M$105=Q388, 1) * ('1. DATA CHUNG'!$L$4:$L$105="""")), 1), ""Không tìm thấy"" ))"),18.0)</f>
        <v>18</v>
      </c>
      <c r="AI388" s="273">
        <f t="shared" si="2"/>
        <v>46070</v>
      </c>
      <c r="AJ388" s="287"/>
      <c r="AK388" s="286">
        <f t="shared" si="3"/>
        <v>0</v>
      </c>
      <c r="AL388" s="287">
        <f t="shared" si="4"/>
        <v>-31</v>
      </c>
      <c r="AM388" s="287">
        <f t="shared" si="5"/>
        <v>-41</v>
      </c>
      <c r="AN388" s="279">
        <f t="shared" si="6"/>
        <v>8</v>
      </c>
      <c r="AO388" s="295" t="str">
        <f t="shared" si="7"/>
        <v>01/2026</v>
      </c>
      <c r="AP388" s="277" t="str">
        <f t="array" ref="AP388">IFERROR(XLOOKUP(L388,'2. DATA NL, VTBB'!C:C,'2. DATA NL, VTBB'!F:F),"")</f>
        <v>HH0072</v>
      </c>
      <c r="AQ388" s="277" t="str">
        <f t="array" ref="AQ388">IF(OR(K388="Nhãn", K388="Nhãn thùng",K388="Nhãn Túi"), K388 &amp; " " &amp; IFERROR(XLOOKUP(L388, '2. DATA NL, VTBB'!C:C, '2. DATA NL, VTBB'!E:E), ""), "")</f>
        <v/>
      </c>
      <c r="AR388" s="278" t="str">
        <f t="array" ref="AR388">IFERROR(XLOOKUP(L388,'2. DATA NL, VTBB'!C:C,'2. DATA NL, VTBB'!G:G),"")</f>
        <v>IDA Global - I - 422 - Winner (drone) - 50gr - 300</v>
      </c>
      <c r="AS388" s="278" t="str">
        <f t="array" ref="AS388">IFERROR(XLOOKUP(L388,'2. DATA NL, VTBB'!C:C,'2. DATA NL, VTBB'!G:G),"")</f>
        <v>IDA Global - I - 422 - Winner (drone) - 50gr - 300</v>
      </c>
      <c r="AT388" s="277"/>
    </row>
    <row r="389" ht="30.75" customHeight="1">
      <c r="A389" s="272">
        <f t="shared" si="44"/>
        <v>386</v>
      </c>
      <c r="B389" s="289">
        <v>46052.0</v>
      </c>
      <c r="C389" s="289">
        <v>46062.0</v>
      </c>
      <c r="D389" s="289">
        <v>46080.0</v>
      </c>
      <c r="E389" s="289">
        <v>46111.0</v>
      </c>
      <c r="F389" s="274" t="s">
        <v>561</v>
      </c>
      <c r="G389" s="275" t="s">
        <v>562</v>
      </c>
      <c r="H389" s="274" t="s">
        <v>304</v>
      </c>
      <c r="I389" s="275" t="s">
        <v>305</v>
      </c>
      <c r="J389" s="272" t="s">
        <v>1071</v>
      </c>
      <c r="K389" s="275" t="s">
        <v>301</v>
      </c>
      <c r="L389" s="277" t="s">
        <v>613</v>
      </c>
      <c r="M389" s="278" t="str">
        <f t="array" ref="M389">IFERROR(XLOOKUP(L389,'2. DATA NL, VTBB'!C:C,'2. DATA NL, VTBB'!D:D),"")</f>
        <v>Thùng Dùng Chung ABA 100g x100 gói (46x39x21cm) - Trắng</v>
      </c>
      <c r="N389" s="280"/>
      <c r="O389" s="280" t="str">
        <f t="array" ref="O389">IFERROR( XLOOKUP(L389,'2. DATA NL, VTBB'!C:C,'2. DATA NL, VTBB'!E:E),"")</f>
        <v>Prima 04</v>
      </c>
      <c r="P389" s="275" t="s">
        <v>565</v>
      </c>
      <c r="Q389" s="311"/>
      <c r="R389" s="291" t="s">
        <v>573</v>
      </c>
      <c r="S389" s="277"/>
      <c r="T389" s="277"/>
      <c r="U389" s="277"/>
      <c r="V389" s="283">
        <v>200.0</v>
      </c>
      <c r="W389" s="275" t="s">
        <v>699</v>
      </c>
      <c r="X389" s="283">
        <v>200.0</v>
      </c>
      <c r="Y389" s="274">
        <v>213.0</v>
      </c>
      <c r="Z389" s="272">
        <v>20300.0</v>
      </c>
      <c r="AA389" s="285">
        <v>0.08</v>
      </c>
      <c r="AB389" s="282">
        <v>4669812.0</v>
      </c>
      <c r="AC389" s="277"/>
      <c r="AD389" s="289">
        <v>46052.0</v>
      </c>
      <c r="AE389" s="272">
        <v>332.0</v>
      </c>
      <c r="AF389" s="277"/>
      <c r="AG389" s="277"/>
      <c r="AH389" s="294">
        <f>IFERROR(__xludf.DUMMYFUNCTION("IFERROR(INDEX( SORT(FILTER(
        {'1. DATA CHUNG'!$J$4:$J$105 , '1. DATA CHUNG'!$L$4:$L$105}, (TRIM('1. DATA CHUNG'!$I$4:$I$105)=TRIM(K389)) * IF(COUNTIFS('1. DATA CHUNG'!$I$4:$I$105,K389,'1. DATA CHUNG'!$M$4:$M$105,Q389), '1. DATA CHUNG'!$M$4:$M$105=Q"&amp;"389, 1) * ('1. DATA CHUNG'!$L$4:$L$105&lt;=TODAY()) ),   2, 0),  1, 1), 
  IFERROR( INDEX(FILTER('1. DATA CHUNG'!$J$4:$J$105, (TRIM('1. DATA CHUNG'!$I$4:$I$105)=TRIM(K389)) * IF(COUNTIFS('1. DATA CHUNG'!$I$4:$I$105,K389,'1. DATA CHUNG'!$M$4:$M$105,Q389), '1."&amp;" DATA CHUNG'!$M$4:$M$105=Q389, 1) * ('1. DATA CHUNG'!$L$4:$L$105="""")), 1), ""Không tìm thấy"" ))"),18.0)</f>
        <v>18</v>
      </c>
      <c r="AI389" s="273">
        <f t="shared" si="2"/>
        <v>46070</v>
      </c>
      <c r="AJ389" s="287"/>
      <c r="AK389" s="286">
        <f t="shared" si="3"/>
        <v>0</v>
      </c>
      <c r="AL389" s="287">
        <f t="shared" si="4"/>
        <v>-31</v>
      </c>
      <c r="AM389" s="287">
        <f t="shared" si="5"/>
        <v>-41</v>
      </c>
      <c r="AN389" s="279">
        <f t="shared" si="6"/>
        <v>8</v>
      </c>
      <c r="AO389" s="295" t="str">
        <f t="shared" si="7"/>
        <v>01/2026</v>
      </c>
      <c r="AP389" s="277" t="str">
        <f t="array" ref="AP389">IFERROR(XLOOKUP(L389,'2. DATA NL, VTBB'!C:C,'2. DATA NL, VTBB'!F:F),"")</f>
        <v>HH0112</v>
      </c>
      <c r="AQ389" s="277" t="str">
        <f t="array" ref="AQ389">IF(OR(K389="Nhãn", K389="Nhãn thùng",K389="Nhãn Túi"), K389 &amp; " " &amp; IFERROR(XLOOKUP(L389, '2. DATA NL, VTBB'!C:C, '2. DATA NL, VTBB'!E:E), ""), "")</f>
        <v/>
      </c>
      <c r="AR389" s="278" t="str">
        <f t="array" ref="AR389">IFERROR(XLOOKUP(L389,'2. DATA NL, VTBB'!C:C,'2. DATA NL, VTBB'!G:G),"")</f>
        <v>GC - II - 485 - LuTa vẩy cá (Humic vẩy) - 10kg - 1</v>
      </c>
      <c r="AS389" s="278" t="str">
        <f t="array" ref="AS389">IFERROR(XLOOKUP(L389,'2. DATA NL, VTBB'!C:C,'2. DATA NL, VTBB'!G:G),"")</f>
        <v>GC - II - 485 - LuTa vẩy cá (Humic vẩy) - 10kg - 1</v>
      </c>
      <c r="AT389" s="277"/>
    </row>
    <row r="390" ht="30.75" customHeight="1">
      <c r="A390" s="272">
        <f t="shared" si="44"/>
        <v>387</v>
      </c>
      <c r="B390" s="289">
        <v>46053.0</v>
      </c>
      <c r="C390" s="289">
        <v>46059.0</v>
      </c>
      <c r="D390" s="319" t="s">
        <v>1040</v>
      </c>
      <c r="E390" s="289">
        <v>46111.0</v>
      </c>
      <c r="F390" s="274" t="s">
        <v>561</v>
      </c>
      <c r="G390" s="275" t="s">
        <v>562</v>
      </c>
      <c r="H390" s="274" t="s">
        <v>304</v>
      </c>
      <c r="I390" s="275" t="s">
        <v>806</v>
      </c>
      <c r="J390" s="272" t="s">
        <v>1072</v>
      </c>
      <c r="K390" s="275" t="s">
        <v>728</v>
      </c>
      <c r="L390" s="277" t="s">
        <v>1073</v>
      </c>
      <c r="M390" s="278" t="str">
        <f t="array" ref="M390">IFERROR(XLOOKUP(L390,'2. DATA NL, VTBB'!C:C,'2. DATA NL, VTBB'!D:D),"")</f>
        <v>Chai nhôm 240ml-250ml trắng</v>
      </c>
      <c r="N390" s="280"/>
      <c r="O390" s="280" t="str">
        <f t="array" ref="O390">IFERROR( XLOOKUP(L390,'2. DATA NL, VTBB'!C:C,'2. DATA NL, VTBB'!E:E),"")</f>
        <v>Vi lượng Basel IDA 47</v>
      </c>
      <c r="P390" s="275" t="s">
        <v>565</v>
      </c>
      <c r="Q390" s="311"/>
      <c r="R390" s="291" t="s">
        <v>573</v>
      </c>
      <c r="S390" s="277"/>
      <c r="T390" s="277"/>
      <c r="U390" s="277"/>
      <c r="V390" s="283">
        <v>800.0</v>
      </c>
      <c r="W390" s="275" t="s">
        <v>699</v>
      </c>
      <c r="X390" s="283">
        <v>800.0</v>
      </c>
      <c r="Y390" s="274">
        <v>800.0</v>
      </c>
      <c r="Z390" s="312"/>
      <c r="AA390" s="285">
        <v>0.08</v>
      </c>
      <c r="AB390" s="282">
        <v>0.0</v>
      </c>
      <c r="AC390" s="277"/>
      <c r="AD390" s="289">
        <v>46053.0</v>
      </c>
      <c r="AE390" s="312"/>
      <c r="AF390" s="277"/>
      <c r="AG390" s="277"/>
      <c r="AH390" s="294">
        <f>IFERROR(__xludf.DUMMYFUNCTION("IFERROR(INDEX( SORT(FILTER(
        {'1. DATA CHUNG'!$J$4:$J$105 , '1. DATA CHUNG'!$L$4:$L$105}, (TRIM('1. DATA CHUNG'!$I$4:$I$105)=TRIM(K390)) * IF(COUNTIFS('1. DATA CHUNG'!$I$4:$I$105,K390,'1. DATA CHUNG'!$M$4:$M$105,Q390), '1. DATA CHUNG'!$M$4:$M$105=Q"&amp;"390, 1) * ('1. DATA CHUNG'!$L$4:$L$105&lt;=TODAY()) ),   2, 0),  1, 1), 
  IFERROR( INDEX(FILTER('1. DATA CHUNG'!$J$4:$J$105, (TRIM('1. DATA CHUNG'!$I$4:$I$105)=TRIM(K390)) * IF(COUNTIFS('1. DATA CHUNG'!$I$4:$I$105,K390,'1. DATA CHUNG'!$M$4:$M$105,Q390), '1."&amp;" DATA CHUNG'!$M$4:$M$105=Q390, 1) * ('1. DATA CHUNG'!$L$4:$L$105="""")), 1), ""Không tìm thấy"" ))"),7.0)</f>
        <v>7</v>
      </c>
      <c r="AI390" s="273">
        <f t="shared" si="2"/>
        <v>46060</v>
      </c>
      <c r="AJ390" s="287"/>
      <c r="AK390" s="286">
        <f t="shared" si="3"/>
        <v>0</v>
      </c>
      <c r="AL390" s="287" t="str">
        <f t="shared" si="4"/>
        <v/>
      </c>
      <c r="AM390" s="287">
        <f t="shared" si="5"/>
        <v>-51</v>
      </c>
      <c r="AN390" s="279">
        <f t="shared" si="6"/>
        <v>1</v>
      </c>
      <c r="AO390" s="295" t="str">
        <f t="shared" si="7"/>
        <v>01/2026</v>
      </c>
      <c r="AP390" s="277" t="str">
        <f t="array" ref="AP390">IFERROR(XLOOKUP(L390,'2. DATA NL, VTBB'!C:C,'2. DATA NL, VTBB'!F:F),"")</f>
        <v>HH0034</v>
      </c>
      <c r="AQ390" s="277" t="str">
        <f t="array" ref="AQ390">IF(OR(K390="Nhãn", K390="Nhãn thùng",K390="Nhãn Túi"), K390 &amp; " " &amp; IFERROR(XLOOKUP(L390, '2. DATA NL, VTBB'!C:C, '2. DATA NL, VTBB'!E:E), ""), "")</f>
        <v/>
      </c>
      <c r="AR390" s="278" t="str">
        <f t="array" ref="AR390">IFERROR(XLOOKUP(L390,'2. DATA NL, VTBB'!C:C,'2. DATA NL, VTBB'!G:G),"")</f>
        <v>IDA Global - I - 417.2 - Flower Top Chuyên Lúa Và Rau Màu (drone) (Chai CP) - 450ml - 40</v>
      </c>
      <c r="AS390" s="278" t="str">
        <f t="array" ref="AS390">IFERROR(XLOOKUP(L390,'2. DATA NL, VTBB'!C:C,'2. DATA NL, VTBB'!G:G),"")</f>
        <v>IDA Global - I - 417.2 - Flower Top Chuyên Lúa Và Rau Màu (drone) (Chai CP) - 450ml - 40</v>
      </c>
      <c r="AT390" s="277"/>
    </row>
    <row r="391" ht="30.75" customHeight="1">
      <c r="A391" s="272">
        <f t="shared" si="44"/>
        <v>388</v>
      </c>
      <c r="B391" s="289">
        <v>46053.0</v>
      </c>
      <c r="C391" s="289">
        <v>46059.0</v>
      </c>
      <c r="D391" s="319" t="s">
        <v>1040</v>
      </c>
      <c r="E391" s="289">
        <v>46111.0</v>
      </c>
      <c r="F391" s="274" t="s">
        <v>561</v>
      </c>
      <c r="G391" s="275" t="s">
        <v>562</v>
      </c>
      <c r="H391" s="274" t="s">
        <v>304</v>
      </c>
      <c r="I391" s="275" t="s">
        <v>806</v>
      </c>
      <c r="J391" s="272" t="s">
        <v>1072</v>
      </c>
      <c r="K391" s="275" t="s">
        <v>730</v>
      </c>
      <c r="L391" s="277" t="s">
        <v>809</v>
      </c>
      <c r="M391" s="278" t="str">
        <f t="array" ref="M391">IFERROR(XLOOKUP(L391,'2. DATA NL, VTBB'!C:C,'2. DATA NL, VTBB'!D:D),"")</f>
        <v>Nắp chai nhôm cổ 38  - Màu trắng - Có cốc đong</v>
      </c>
      <c r="N391" s="280"/>
      <c r="O391" s="280" t="str">
        <f t="array" ref="O391">IFERROR( XLOOKUP(L391,'2. DATA NL, VTBB'!C:C,'2. DATA NL, VTBB'!E:E),"")</f>
        <v>Tiger five 6.5EC</v>
      </c>
      <c r="P391" s="275" t="s">
        <v>565</v>
      </c>
      <c r="Q391" s="311"/>
      <c r="R391" s="291" t="s">
        <v>573</v>
      </c>
      <c r="S391" s="277"/>
      <c r="T391" s="277"/>
      <c r="U391" s="277"/>
      <c r="V391" s="283">
        <v>800.0</v>
      </c>
      <c r="W391" s="275" t="s">
        <v>699</v>
      </c>
      <c r="X391" s="283">
        <v>800.0</v>
      </c>
      <c r="Y391" s="274">
        <v>800.0</v>
      </c>
      <c r="Z391" s="312"/>
      <c r="AA391" s="285">
        <v>0.08</v>
      </c>
      <c r="AB391" s="282">
        <v>0.0</v>
      </c>
      <c r="AC391" s="277"/>
      <c r="AD391" s="289">
        <v>46053.0</v>
      </c>
      <c r="AE391" s="312"/>
      <c r="AF391" s="277"/>
      <c r="AG391" s="277"/>
      <c r="AH391" s="294">
        <f>IFERROR(__xludf.DUMMYFUNCTION("IFERROR(INDEX( SORT(FILTER(
        {'1. DATA CHUNG'!$J$4:$J$105 , '1. DATA CHUNG'!$L$4:$L$105}, (TRIM('1. DATA CHUNG'!$I$4:$I$105)=TRIM(K391)) * IF(COUNTIFS('1. DATA CHUNG'!$I$4:$I$105,K391,'1. DATA CHUNG'!$M$4:$M$105,Q391), '1. DATA CHUNG'!$M$4:$M$105=Q"&amp;"391, 1) * ('1. DATA CHUNG'!$L$4:$L$105&lt;=TODAY()) ),   2, 0),  1, 1), 
  IFERROR( INDEX(FILTER('1. DATA CHUNG'!$J$4:$J$105, (TRIM('1. DATA CHUNG'!$I$4:$I$105)=TRIM(K391)) * IF(COUNTIFS('1. DATA CHUNG'!$I$4:$I$105,K391,'1. DATA CHUNG'!$M$4:$M$105,Q391), '1."&amp;" DATA CHUNG'!$M$4:$M$105=Q391, 1) * ('1. DATA CHUNG'!$L$4:$L$105="""")), 1), ""Không tìm thấy"" ))"),7.0)</f>
        <v>7</v>
      </c>
      <c r="AI391" s="273">
        <f t="shared" si="2"/>
        <v>46060</v>
      </c>
      <c r="AJ391" s="287"/>
      <c r="AK391" s="286">
        <f t="shared" si="3"/>
        <v>0</v>
      </c>
      <c r="AL391" s="287" t="str">
        <f t="shared" si="4"/>
        <v/>
      </c>
      <c r="AM391" s="287">
        <f t="shared" si="5"/>
        <v>-51</v>
      </c>
      <c r="AN391" s="279">
        <f t="shared" si="6"/>
        <v>1</v>
      </c>
      <c r="AO391" s="295" t="str">
        <f t="shared" si="7"/>
        <v>01/2026</v>
      </c>
      <c r="AP391" s="277" t="str">
        <f t="array" ref="AP391">IFERROR(XLOOKUP(L391,'2. DATA NL, VTBB'!C:C,'2. DATA NL, VTBB'!F:F),"")</f>
        <v>HH0024</v>
      </c>
      <c r="AQ391" s="277" t="str">
        <f t="array" ref="AQ391">IF(OR(K391="Nhãn", K391="Nhãn thùng",K391="Nhãn Túi"), K391 &amp; " " &amp; IFERROR(XLOOKUP(L391, '2. DATA NL, VTBB'!C:C, '2. DATA NL, VTBB'!E:E), ""), "")</f>
        <v/>
      </c>
      <c r="AR391" s="278" t="str">
        <f t="array" ref="AR391">IFERROR(XLOOKUP(L391,'2. DATA NL, VTBB'!C:C,'2. DATA NL, VTBB'!G:G),"")</f>
        <v>GC - I - 363 - AU - Diệt sạch sâu - nhện AGC (Chai nhôm đỏ) - 220ml - 40</v>
      </c>
      <c r="AS391" s="278" t="str">
        <f t="array" ref="AS391">IFERROR(XLOOKUP(L391,'2. DATA NL, VTBB'!C:C,'2. DATA NL, VTBB'!G:G),"")</f>
        <v>GC - I - 363 - AU - Diệt sạch sâu - nhện AGC (Chai nhôm đỏ) - 220ml - 40</v>
      </c>
      <c r="AT391" s="277"/>
    </row>
    <row r="392" ht="30.75" customHeight="1">
      <c r="A392" s="281">
        <f t="shared" si="44"/>
        <v>389</v>
      </c>
      <c r="B392" s="314">
        <v>46056.0</v>
      </c>
      <c r="C392" s="314">
        <v>46059.0</v>
      </c>
      <c r="D392" s="314">
        <v>46058.0</v>
      </c>
      <c r="E392" s="314">
        <v>46058.0</v>
      </c>
      <c r="F392" s="290" t="s">
        <v>561</v>
      </c>
      <c r="G392" s="291" t="s">
        <v>562</v>
      </c>
      <c r="H392" s="290" t="s">
        <v>304</v>
      </c>
      <c r="I392" s="291" t="s">
        <v>765</v>
      </c>
      <c r="J392" s="281" t="s">
        <v>1074</v>
      </c>
      <c r="K392" s="291" t="s">
        <v>728</v>
      </c>
      <c r="L392" s="306" t="s">
        <v>904</v>
      </c>
      <c r="M392" s="299" t="str">
        <f t="array" ref="M392">IFERROR(XLOOKUP(L392,'2. DATA NL, VTBB'!C:C,'2. DATA NL, VTBB'!D:D),"")</f>
        <v>Chai HDPE tròn cổ 63 500ml (80g) - Trắng</v>
      </c>
      <c r="N392" s="300"/>
      <c r="O392" s="300" t="str">
        <f t="array" ref="O392">IFERROR( XLOOKUP(L392,'2. DATA NL, VTBB'!C:C,'2. DATA NL, VTBB'!E:E),"")</f>
        <v>Chitin 3.6EC</v>
      </c>
      <c r="P392" s="291" t="s">
        <v>565</v>
      </c>
      <c r="Q392" s="301"/>
      <c r="R392" s="290" t="s">
        <v>566</v>
      </c>
      <c r="S392" s="306"/>
      <c r="T392" s="306"/>
      <c r="U392" s="306"/>
      <c r="V392" s="302">
        <v>600.0</v>
      </c>
      <c r="W392" s="291" t="s">
        <v>699</v>
      </c>
      <c r="X392" s="302">
        <v>600.0</v>
      </c>
      <c r="Y392" s="290">
        <v>600.0</v>
      </c>
      <c r="Z392" s="281">
        <v>2900.0</v>
      </c>
      <c r="AA392" s="339">
        <v>0.08</v>
      </c>
      <c r="AB392" s="303">
        <v>1879200.0</v>
      </c>
      <c r="AC392" s="306"/>
      <c r="AD392" s="314">
        <v>46056.0</v>
      </c>
      <c r="AE392" s="307"/>
      <c r="AF392" s="306"/>
      <c r="AG392" s="306"/>
      <c r="AH392" s="308">
        <f>IFERROR(__xludf.DUMMYFUNCTION("IFERROR(INDEX( SORT(FILTER(
        {'1. DATA CHUNG'!$J$4:$J$105 , '1. DATA CHUNG'!$L$4:$L$105}, (TRIM('1. DATA CHUNG'!$I$4:$I$105)=TRIM(K392)) * IF(COUNTIFS('1. DATA CHUNG'!$I$4:$I$105,K392,'1. DATA CHUNG'!$M$4:$M$105,Q392), '1. DATA CHUNG'!$M$4:$M$105=Q"&amp;"392, 1) * ('1. DATA CHUNG'!$L$4:$L$105&lt;=TODAY()) ),   2, 0),  1, 1), 
  IFERROR( INDEX(FILTER('1. DATA CHUNG'!$J$4:$J$105, (TRIM('1. DATA CHUNG'!$I$4:$I$105)=TRIM(K392)) * IF(COUNTIFS('1. DATA CHUNG'!$I$4:$I$105,K392,'1. DATA CHUNG'!$M$4:$M$105,Q392), '1."&amp;" DATA CHUNG'!$M$4:$M$105=Q392, 1) * ('1. DATA CHUNG'!$L$4:$L$105="""")), 1), ""Không tìm thấy"" ))"),7.0)</f>
        <v>7</v>
      </c>
      <c r="AI392" s="296">
        <f t="shared" si="2"/>
        <v>46063</v>
      </c>
      <c r="AJ392" s="340"/>
      <c r="AK392" s="304">
        <f t="shared" si="3"/>
        <v>0</v>
      </c>
      <c r="AL392" s="340">
        <f t="shared" si="4"/>
        <v>0</v>
      </c>
      <c r="AM392" s="340">
        <f t="shared" si="5"/>
        <v>5</v>
      </c>
      <c r="AN392" s="297">
        <f t="shared" si="6"/>
        <v>4</v>
      </c>
      <c r="AO392" s="309" t="str">
        <f t="shared" si="7"/>
        <v>02/2026</v>
      </c>
      <c r="AP392" s="306" t="str">
        <f t="array" ref="AP392">IFERROR(XLOOKUP(L392,'2. DATA NL, VTBB'!C:C,'2. DATA NL, VTBB'!F:F),"")</f>
        <v>HH0228</v>
      </c>
      <c r="AQ392" s="306" t="str">
        <f t="array" ref="AQ392">IF(OR(K392="Nhãn", K392="Nhãn thùng",K392="Nhãn Túi"), K392 &amp; " " &amp; IFERROR(XLOOKUP(L392, '2. DATA NL, VTBB'!C:C, '2. DATA NL, VTBB'!E:E), ""), "")</f>
        <v/>
      </c>
      <c r="AR392" s="278" t="str">
        <f t="array" ref="AR392">IFERROR(XLOOKUP(L392,'2. DATA NL, VTBB'!C:C,'2. DATA NL, VTBB'!G:G),"")</f>
        <v>LOT IDA Global - I - 869 - ĐL Phú Nông - Vua 3.6 (Pet tròn) (nắp đỏ)(nước nâu đen) - 450ml - 40</v>
      </c>
      <c r="AS392" s="278" t="str">
        <f t="array" ref="AS392">IFERROR(XLOOKUP(L392,'2. DATA NL, VTBB'!C:C,'2. DATA NL, VTBB'!G:G),"")</f>
        <v>LOT IDA Global - I - 869 - ĐL Phú Nông - Vua 3.6 (Pet tròn) (nắp đỏ)(nước nâu đen) - 450ml - 40</v>
      </c>
      <c r="AT392" s="306"/>
    </row>
    <row r="393" ht="30.75" customHeight="1">
      <c r="A393" s="272">
        <f t="shared" si="44"/>
        <v>390</v>
      </c>
      <c r="B393" s="289">
        <v>46056.0</v>
      </c>
      <c r="C393" s="289">
        <v>46059.0</v>
      </c>
      <c r="D393" s="289">
        <v>46058.0</v>
      </c>
      <c r="E393" s="289">
        <v>46058.0</v>
      </c>
      <c r="F393" s="274" t="s">
        <v>561</v>
      </c>
      <c r="G393" s="275" t="s">
        <v>562</v>
      </c>
      <c r="H393" s="274" t="s">
        <v>304</v>
      </c>
      <c r="I393" s="275" t="s">
        <v>765</v>
      </c>
      <c r="J393" s="272" t="s">
        <v>1074</v>
      </c>
      <c r="K393" s="275" t="s">
        <v>730</v>
      </c>
      <c r="L393" s="277" t="s">
        <v>905</v>
      </c>
      <c r="M393" s="278" t="str">
        <f t="array" ref="M393">IFERROR(XLOOKUP(L393,'2. DATA NL, VTBB'!C:C,'2. DATA NL, VTBB'!D:D),"")</f>
        <v>Nắp HDPE tròn cổ 63 Trắng</v>
      </c>
      <c r="N393" s="280"/>
      <c r="O393" s="280" t="str">
        <f t="array" ref="O393">IFERROR( XLOOKUP(L393,'2. DATA NL, VTBB'!C:C,'2. DATA NL, VTBB'!E:E),"")</f>
        <v>Chitin 3.6EC</v>
      </c>
      <c r="P393" s="275" t="s">
        <v>565</v>
      </c>
      <c r="Q393" s="311"/>
      <c r="R393" s="290" t="s">
        <v>566</v>
      </c>
      <c r="S393" s="277"/>
      <c r="T393" s="277"/>
      <c r="U393" s="277"/>
      <c r="V393" s="283">
        <v>600.0</v>
      </c>
      <c r="W393" s="275" t="s">
        <v>699</v>
      </c>
      <c r="X393" s="283">
        <v>600.0</v>
      </c>
      <c r="Y393" s="274">
        <v>600.0</v>
      </c>
      <c r="Z393" s="272">
        <v>1350.0</v>
      </c>
      <c r="AA393" s="285">
        <v>0.08</v>
      </c>
      <c r="AB393" s="282">
        <v>874800.0</v>
      </c>
      <c r="AC393" s="277"/>
      <c r="AD393" s="289">
        <v>46056.0</v>
      </c>
      <c r="AE393" s="312"/>
      <c r="AF393" s="277"/>
      <c r="AG393" s="277"/>
      <c r="AH393" s="294">
        <f>IFERROR(__xludf.DUMMYFUNCTION("IFERROR(INDEX( SORT(FILTER(
        {'1. DATA CHUNG'!$J$4:$J$105 , '1. DATA CHUNG'!$L$4:$L$105}, (TRIM('1. DATA CHUNG'!$I$4:$I$105)=TRIM(K393)) * IF(COUNTIFS('1. DATA CHUNG'!$I$4:$I$105,K393,'1. DATA CHUNG'!$M$4:$M$105,Q393), '1. DATA CHUNG'!$M$4:$M$105=Q"&amp;"393, 1) * ('1. DATA CHUNG'!$L$4:$L$105&lt;=TODAY()) ),   2, 0),  1, 1), 
  IFERROR( INDEX(FILTER('1. DATA CHUNG'!$J$4:$J$105, (TRIM('1. DATA CHUNG'!$I$4:$I$105)=TRIM(K393)) * IF(COUNTIFS('1. DATA CHUNG'!$I$4:$I$105,K393,'1. DATA CHUNG'!$M$4:$M$105,Q393), '1."&amp;" DATA CHUNG'!$M$4:$M$105=Q393, 1) * ('1. DATA CHUNG'!$L$4:$L$105="""")), 1), ""Không tìm thấy"" ))"),7.0)</f>
        <v>7</v>
      </c>
      <c r="AI393" s="273">
        <f t="shared" si="2"/>
        <v>46063</v>
      </c>
      <c r="AJ393" s="287"/>
      <c r="AK393" s="286">
        <f t="shared" si="3"/>
        <v>0</v>
      </c>
      <c r="AL393" s="287">
        <f t="shared" si="4"/>
        <v>0</v>
      </c>
      <c r="AM393" s="287">
        <f t="shared" si="5"/>
        <v>5</v>
      </c>
      <c r="AN393" s="279">
        <f t="shared" si="6"/>
        <v>4</v>
      </c>
      <c r="AO393" s="295" t="str">
        <f t="shared" si="7"/>
        <v>02/2026</v>
      </c>
      <c r="AP393" s="277" t="str">
        <f t="array" ref="AP393">IFERROR(XLOOKUP(L393,'2. DATA NL, VTBB'!C:C,'2. DATA NL, VTBB'!F:F),"")</f>
        <v>HH0152</v>
      </c>
      <c r="AQ393" s="277" t="str">
        <f t="array" ref="AQ393">IF(OR(K393="Nhãn", K393="Nhãn thùng",K393="Nhãn Túi"), K393 &amp; " " &amp; IFERROR(XLOOKUP(L393, '2. DATA NL, VTBB'!C:C, '2. DATA NL, VTBB'!E:E), ""), "")</f>
        <v/>
      </c>
      <c r="AR393" s="278" t="str">
        <f t="array" ref="AR393">IFERROR(XLOOKUP(L393,'2. DATA NL, VTBB'!C:C,'2. DATA NL, VTBB'!G:G),"")</f>
        <v>LOT IDA Global - I - 869 - ĐL Phú Nông - Vua 3.6 (Pet tròn) (nắp đỏ)(nước nâu đen) - 450ml - 40</v>
      </c>
      <c r="AS393" s="278" t="str">
        <f t="array" ref="AS393">IFERROR(XLOOKUP(L393,'2. DATA NL, VTBB'!C:C,'2. DATA NL, VTBB'!G:G),"")</f>
        <v>LOT IDA Global - I - 869 - ĐL Phú Nông - Vua 3.6 (Pet tròn) (nắp đỏ)(nước nâu đen) - 450ml - 40</v>
      </c>
      <c r="AT393" s="277"/>
    </row>
    <row r="394" ht="30.75" customHeight="1">
      <c r="A394" s="272">
        <f t="shared" si="44"/>
        <v>391</v>
      </c>
      <c r="B394" s="289">
        <v>46056.0</v>
      </c>
      <c r="C394" s="289">
        <v>46062.0</v>
      </c>
      <c r="D394" s="289">
        <v>46062.0</v>
      </c>
      <c r="E394" s="318"/>
      <c r="F394" s="274" t="s">
        <v>561</v>
      </c>
      <c r="G394" s="275" t="s">
        <v>562</v>
      </c>
      <c r="H394" s="274" t="s">
        <v>304</v>
      </c>
      <c r="I394" s="275" t="s">
        <v>853</v>
      </c>
      <c r="J394" s="272" t="s">
        <v>1075</v>
      </c>
      <c r="K394" s="275" t="s">
        <v>728</v>
      </c>
      <c r="L394" s="277" t="s">
        <v>855</v>
      </c>
      <c r="M394" s="278" t="str">
        <f t="array" ref="M394">IFERROR(XLOOKUP(L394,'2. DATA NL, VTBB'!C:C,'2. DATA NL, VTBB'!D:D),"")</f>
        <v>Chai PET tròn cổ 38 (65gr) 500ml - Màu trắng</v>
      </c>
      <c r="N394" s="280"/>
      <c r="O394" s="280" t="str">
        <f t="array" ref="O394">IFERROR( XLOOKUP(L394,'2. DATA NL, VTBB'!C:C,'2. DATA NL, VTBB'!E:E),"")</f>
        <v>BYPHAN 800WP</v>
      </c>
      <c r="P394" s="275" t="s">
        <v>565</v>
      </c>
      <c r="Q394" s="311"/>
      <c r="R394" s="290" t="s">
        <v>566</v>
      </c>
      <c r="S394" s="277"/>
      <c r="T394" s="277"/>
      <c r="U394" s="277"/>
      <c r="V394" s="283">
        <v>1000.0</v>
      </c>
      <c r="W394" s="275" t="s">
        <v>699</v>
      </c>
      <c r="X394" s="283">
        <v>1000.0</v>
      </c>
      <c r="Y394" s="274">
        <v>1000.0</v>
      </c>
      <c r="Z394" s="272">
        <v>3200.0</v>
      </c>
      <c r="AA394" s="285">
        <v>0.08</v>
      </c>
      <c r="AB394" s="282">
        <v>3456000.0</v>
      </c>
      <c r="AC394" s="277"/>
      <c r="AD394" s="289">
        <v>46056.0</v>
      </c>
      <c r="AE394" s="312"/>
      <c r="AF394" s="277"/>
      <c r="AG394" s="277"/>
      <c r="AH394" s="294">
        <f>IFERROR(__xludf.DUMMYFUNCTION("IFERROR(INDEX( SORT(FILTER(
        {'1. DATA CHUNG'!$J$4:$J$105 , '1. DATA CHUNG'!$L$4:$L$105}, (TRIM('1. DATA CHUNG'!$I$4:$I$105)=TRIM(K394)) * IF(COUNTIFS('1. DATA CHUNG'!$I$4:$I$105,K394,'1. DATA CHUNG'!$M$4:$M$105,Q394), '1. DATA CHUNG'!$M$4:$M$105=Q"&amp;"394, 1) * ('1. DATA CHUNG'!$L$4:$L$105&lt;=TODAY()) ),   2, 0),  1, 1), 
  IFERROR( INDEX(FILTER('1. DATA CHUNG'!$J$4:$J$105, (TRIM('1. DATA CHUNG'!$I$4:$I$105)=TRIM(K394)) * IF(COUNTIFS('1. DATA CHUNG'!$I$4:$I$105,K394,'1. DATA CHUNG'!$M$4:$M$105,Q394), '1."&amp;" DATA CHUNG'!$M$4:$M$105=Q394, 1) * ('1. DATA CHUNG'!$L$4:$L$105="""")), 1), ""Không tìm thấy"" ))"),7.0)</f>
        <v>7</v>
      </c>
      <c r="AI394" s="273">
        <f t="shared" si="2"/>
        <v>46063</v>
      </c>
      <c r="AJ394" s="287"/>
      <c r="AK394" s="286">
        <f t="shared" si="3"/>
        <v>0</v>
      </c>
      <c r="AL394" s="287" t="str">
        <f t="shared" si="4"/>
        <v/>
      </c>
      <c r="AM394" s="287" t="str">
        <f t="shared" si="5"/>
        <v/>
      </c>
      <c r="AN394" s="279">
        <f t="shared" si="6"/>
        <v>1</v>
      </c>
      <c r="AO394" s="295" t="str">
        <f t="shared" si="7"/>
        <v>02/2026</v>
      </c>
      <c r="AP394" s="277" t="str">
        <f t="array" ref="AP394">IFERROR(XLOOKUP(L394,'2. DATA NL, VTBB'!C:C,'2. DATA NL, VTBB'!F:F),"")</f>
        <v>HH0215</v>
      </c>
      <c r="AQ394" s="277" t="str">
        <f t="array" ref="AQ394">IF(OR(K394="Nhãn", K394="Nhãn thùng",K394="Nhãn Túi"), K394 &amp; " " &amp; IFERROR(XLOOKUP(L394, '2. DATA NL, VTBB'!C:C, '2. DATA NL, VTBB'!E:E), ""), "")</f>
        <v/>
      </c>
      <c r="AR394" s="278" t="str">
        <f t="array" ref="AR394">IFERROR(XLOOKUP(L394,'2. DATA NL, VTBB'!C:C,'2. DATA NL, VTBB'!G:G),"")</f>
        <v>LOT IDA Global - I - 847 - ĐL Hồng Liệt - Mancozeb xanh - 1 Kg - 20</v>
      </c>
      <c r="AS394" s="278" t="str">
        <f t="array" ref="AS394">IFERROR(XLOOKUP(L394,'2. DATA NL, VTBB'!C:C,'2. DATA NL, VTBB'!G:G),"")</f>
        <v>LOT IDA Global - I - 847 - ĐL Hồng Liệt - Mancozeb xanh - 1 Kg - 20</v>
      </c>
      <c r="AT394" s="277"/>
    </row>
    <row r="395" ht="30.75" customHeight="1">
      <c r="A395" s="272">
        <f t="shared" si="44"/>
        <v>392</v>
      </c>
      <c r="B395" s="289">
        <v>46056.0</v>
      </c>
      <c r="C395" s="289">
        <v>46062.0</v>
      </c>
      <c r="D395" s="289">
        <v>46076.0</v>
      </c>
      <c r="E395" s="318"/>
      <c r="F395" s="274" t="s">
        <v>561</v>
      </c>
      <c r="G395" s="275" t="s">
        <v>562</v>
      </c>
      <c r="H395" s="274" t="s">
        <v>304</v>
      </c>
      <c r="I395" s="275" t="s">
        <v>853</v>
      </c>
      <c r="J395" s="272" t="s">
        <v>1075</v>
      </c>
      <c r="K395" s="275" t="s">
        <v>730</v>
      </c>
      <c r="L395" s="277" t="s">
        <v>776</v>
      </c>
      <c r="M395" s="278" t="str">
        <f t="array" ref="M395">IFERROR(XLOOKUP(L395,'2. DATA NL, VTBB'!C:C,'2. DATA NL, VTBB'!D:D),"")</f>
        <v>Nắp PET cổ 38 (7gr) gầy- Màu trắng</v>
      </c>
      <c r="N395" s="280"/>
      <c r="O395" s="280" t="str">
        <f t="array" ref="O395">IFERROR( XLOOKUP(L395,'2. DATA NL, VTBB'!C:C,'2. DATA NL, VTBB'!E:E),"")</f>
        <v>BYPHAN 800WP</v>
      </c>
      <c r="P395" s="275" t="s">
        <v>565</v>
      </c>
      <c r="Q395" s="311"/>
      <c r="R395" s="290" t="s">
        <v>566</v>
      </c>
      <c r="S395" s="277"/>
      <c r="T395" s="277"/>
      <c r="U395" s="277"/>
      <c r="V395" s="283">
        <v>1000.0</v>
      </c>
      <c r="W395" s="275" t="s">
        <v>699</v>
      </c>
      <c r="X395" s="283">
        <v>1000.0</v>
      </c>
      <c r="Y395" s="274">
        <v>1000.0</v>
      </c>
      <c r="Z395" s="272">
        <v>700.0</v>
      </c>
      <c r="AA395" s="285">
        <v>0.08</v>
      </c>
      <c r="AB395" s="282">
        <v>756000.0</v>
      </c>
      <c r="AC395" s="277"/>
      <c r="AD395" s="289">
        <v>46056.0</v>
      </c>
      <c r="AE395" s="312"/>
      <c r="AF395" s="277"/>
      <c r="AG395" s="277"/>
      <c r="AH395" s="294">
        <f>IFERROR(__xludf.DUMMYFUNCTION("IFERROR(INDEX( SORT(FILTER(
        {'1. DATA CHUNG'!$J$4:$J$105 , '1. DATA CHUNG'!$L$4:$L$105}, (TRIM('1. DATA CHUNG'!$I$4:$I$105)=TRIM(K395)) * IF(COUNTIFS('1. DATA CHUNG'!$I$4:$I$105,K395,'1. DATA CHUNG'!$M$4:$M$105,Q395), '1. DATA CHUNG'!$M$4:$M$105=Q"&amp;"395, 1) * ('1. DATA CHUNG'!$L$4:$L$105&lt;=TODAY()) ),   2, 0),  1, 1), 
  IFERROR( INDEX(FILTER('1. DATA CHUNG'!$J$4:$J$105, (TRIM('1. DATA CHUNG'!$I$4:$I$105)=TRIM(K395)) * IF(COUNTIFS('1. DATA CHUNG'!$I$4:$I$105,K395,'1. DATA CHUNG'!$M$4:$M$105,Q395), '1."&amp;" DATA CHUNG'!$M$4:$M$105=Q395, 1) * ('1. DATA CHUNG'!$L$4:$L$105="""")), 1), ""Không tìm thấy"" ))"),7.0)</f>
        <v>7</v>
      </c>
      <c r="AI395" s="273">
        <f t="shared" si="2"/>
        <v>46063</v>
      </c>
      <c r="AJ395" s="287"/>
      <c r="AK395" s="286">
        <f t="shared" si="3"/>
        <v>0</v>
      </c>
      <c r="AL395" s="287" t="str">
        <f t="shared" si="4"/>
        <v/>
      </c>
      <c r="AM395" s="287" t="str">
        <f t="shared" si="5"/>
        <v/>
      </c>
      <c r="AN395" s="279">
        <f t="shared" si="6"/>
        <v>1</v>
      </c>
      <c r="AO395" s="295" t="str">
        <f t="shared" si="7"/>
        <v>02/2026</v>
      </c>
      <c r="AP395" s="277" t="str">
        <f t="array" ref="AP395">IFERROR(XLOOKUP(L395,'2. DATA NL, VTBB'!C:C,'2. DATA NL, VTBB'!F:F),"")</f>
        <v>HH0138</v>
      </c>
      <c r="AQ395" s="277" t="str">
        <f t="array" ref="AQ395">IF(OR(K395="Nhãn", K395="Nhãn thùng",K395="Nhãn Túi"), K395 &amp; " " &amp; IFERROR(XLOOKUP(L395, '2. DATA NL, VTBB'!C:C, '2. DATA NL, VTBB'!E:E), ""), "")</f>
        <v/>
      </c>
      <c r="AR395" s="278" t="str">
        <f t="array" ref="AR395">IFERROR(XLOOKUP(L395,'2. DATA NL, VTBB'!C:C,'2. DATA NL, VTBB'!G:G),"")</f>
        <v>LOT IDA Global - I - 847 - ĐL Hồng Liệt - Mancozeb xanh - 1 Kg - 20</v>
      </c>
      <c r="AS395" s="278" t="str">
        <f t="array" ref="AS395">IFERROR(XLOOKUP(L395,'2. DATA NL, VTBB'!C:C,'2. DATA NL, VTBB'!G:G),"")</f>
        <v>LOT IDA Global - I - 847 - ĐL Hồng Liệt - Mancozeb xanh - 1 Kg - 20</v>
      </c>
      <c r="AT395" s="277"/>
    </row>
    <row r="396" ht="30.75" customHeight="1">
      <c r="A396" s="272">
        <f t="shared" si="44"/>
        <v>393</v>
      </c>
      <c r="B396" s="289">
        <v>46056.0</v>
      </c>
      <c r="C396" s="289">
        <v>46062.0</v>
      </c>
      <c r="D396" s="289">
        <v>46063.0</v>
      </c>
      <c r="E396" s="318"/>
      <c r="F396" s="274" t="s">
        <v>561</v>
      </c>
      <c r="G396" s="275" t="s">
        <v>562</v>
      </c>
      <c r="H396" s="274" t="s">
        <v>304</v>
      </c>
      <c r="I396" s="275" t="s">
        <v>945</v>
      </c>
      <c r="J396" s="272" t="s">
        <v>1076</v>
      </c>
      <c r="K396" s="275" t="s">
        <v>728</v>
      </c>
      <c r="L396" s="277" t="s">
        <v>947</v>
      </c>
      <c r="M396" s="278" t="str">
        <f t="array" ref="M396">IFERROR(XLOOKUP(L396,'2. DATA NL, VTBB'!C:C,'2. DATA NL, VTBB'!D:D),"")</f>
        <v>Chai HDPE tròn cổ 50 500ml (60gr) - trắng - HG08</v>
      </c>
      <c r="N396" s="280"/>
      <c r="O396" s="280" t="str">
        <f t="array" ref="O396">IFERROR( XLOOKUP(L396,'2. DATA NL, VTBB'!C:C,'2. DATA NL, VTBB'!E:E),"")</f>
        <v>Vi lượng AV-CFC
(Dạng rắn)</v>
      </c>
      <c r="P396" s="275" t="s">
        <v>565</v>
      </c>
      <c r="Q396" s="311"/>
      <c r="R396" s="290" t="s">
        <v>566</v>
      </c>
      <c r="S396" s="277"/>
      <c r="T396" s="277"/>
      <c r="U396" s="277"/>
      <c r="V396" s="283">
        <v>2000.0</v>
      </c>
      <c r="W396" s="275" t="s">
        <v>699</v>
      </c>
      <c r="X396" s="283">
        <v>2000.0</v>
      </c>
      <c r="Y396" s="274">
        <v>1984.0</v>
      </c>
      <c r="Z396" s="272">
        <v>3477.0</v>
      </c>
      <c r="AA396" s="285">
        <v>0.08</v>
      </c>
      <c r="AB396" s="282">
        <v>7450237.0</v>
      </c>
      <c r="AC396" s="277"/>
      <c r="AD396" s="289">
        <v>46056.0</v>
      </c>
      <c r="AE396" s="312"/>
      <c r="AF396" s="277"/>
      <c r="AG396" s="277"/>
      <c r="AH396" s="294">
        <f>IFERROR(__xludf.DUMMYFUNCTION("IFERROR(INDEX( SORT(FILTER(
        {'1. DATA CHUNG'!$J$4:$J$105 , '1. DATA CHUNG'!$L$4:$L$105}, (TRIM('1. DATA CHUNG'!$I$4:$I$105)=TRIM(K396)) * IF(COUNTIFS('1. DATA CHUNG'!$I$4:$I$105,K396,'1. DATA CHUNG'!$M$4:$M$105,Q396), '1. DATA CHUNG'!$M$4:$M$105=Q"&amp;"396, 1) * ('1. DATA CHUNG'!$L$4:$L$105&lt;=TODAY()) ),   2, 0),  1, 1), 
  IFERROR( INDEX(FILTER('1. DATA CHUNG'!$J$4:$J$105, (TRIM('1. DATA CHUNG'!$I$4:$I$105)=TRIM(K396)) * IF(COUNTIFS('1. DATA CHUNG'!$I$4:$I$105,K396,'1. DATA CHUNG'!$M$4:$M$105,Q396), '1."&amp;" DATA CHUNG'!$M$4:$M$105=Q396, 1) * ('1. DATA CHUNG'!$L$4:$L$105="""")), 1), ""Không tìm thấy"" ))"),7.0)</f>
        <v>7</v>
      </c>
      <c r="AI396" s="273">
        <f t="shared" si="2"/>
        <v>46063</v>
      </c>
      <c r="AJ396" s="287"/>
      <c r="AK396" s="286">
        <f t="shared" si="3"/>
        <v>0</v>
      </c>
      <c r="AL396" s="287" t="str">
        <f t="shared" si="4"/>
        <v/>
      </c>
      <c r="AM396" s="287" t="str">
        <f t="shared" si="5"/>
        <v/>
      </c>
      <c r="AN396" s="279">
        <f t="shared" si="6"/>
        <v>1</v>
      </c>
      <c r="AO396" s="295" t="str">
        <f t="shared" si="7"/>
        <v>02/2026</v>
      </c>
      <c r="AP396" s="277" t="str">
        <f t="array" ref="AP396">IFERROR(XLOOKUP(L396,'2. DATA NL, VTBB'!C:C,'2. DATA NL, VTBB'!F:F),"")</f>
        <v>HH0023</v>
      </c>
      <c r="AQ396" s="277" t="str">
        <f t="array" ref="AQ396">IF(OR(K396="Nhãn", K396="Nhãn thùng",K396="Nhãn Túi"), K396 &amp; " " &amp; IFERROR(XLOOKUP(L396, '2. DATA NL, VTBB'!C:C, '2. DATA NL, VTBB'!E:E), ""), "")</f>
        <v/>
      </c>
      <c r="AR396" s="278" t="str">
        <f t="array" ref="AR396">IFERROR(XLOOKUP(L396,'2. DATA NL, VTBB'!C:C,'2. DATA NL, VTBB'!G:G),"")</f>
        <v>GC - II - 358 - Hoàng Thảo - HumiK - 1kg - 25</v>
      </c>
      <c r="AS396" s="278" t="str">
        <f t="array" ref="AS396">IFERROR(XLOOKUP(L396,'2. DATA NL, VTBB'!C:C,'2. DATA NL, VTBB'!G:G),"")</f>
        <v>GC - II - 358 - Hoàng Thảo - HumiK - 1kg - 25</v>
      </c>
      <c r="AT396" s="277"/>
    </row>
    <row r="397" ht="30.75" customHeight="1">
      <c r="A397" s="272">
        <f t="shared" si="44"/>
        <v>394</v>
      </c>
      <c r="B397" s="289">
        <v>46056.0</v>
      </c>
      <c r="C397" s="289">
        <v>46062.0</v>
      </c>
      <c r="D397" s="289">
        <v>46063.0</v>
      </c>
      <c r="E397" s="318"/>
      <c r="F397" s="274" t="s">
        <v>561</v>
      </c>
      <c r="G397" s="275" t="s">
        <v>562</v>
      </c>
      <c r="H397" s="274" t="s">
        <v>304</v>
      </c>
      <c r="I397" s="275" t="s">
        <v>945</v>
      </c>
      <c r="J397" s="272" t="s">
        <v>1076</v>
      </c>
      <c r="K397" s="275" t="s">
        <v>730</v>
      </c>
      <c r="L397" s="277" t="s">
        <v>948</v>
      </c>
      <c r="M397" s="278" t="str">
        <f t="array" ref="M397">IFERROR(XLOOKUP(L397,'2. DATA NL, VTBB'!C:C,'2. DATA NL, VTBB'!D:D),"")</f>
        <v>Nắp HD cổ 50 (10gr) trắng</v>
      </c>
      <c r="N397" s="280"/>
      <c r="O397" s="280" t="str">
        <f t="array" ref="O397">IFERROR( XLOOKUP(L397,'2. DATA NL, VTBB'!C:C,'2. DATA NL, VTBB'!E:E),"")</f>
        <v>Vi lượng Basel DANA 20</v>
      </c>
      <c r="P397" s="275" t="s">
        <v>565</v>
      </c>
      <c r="Q397" s="311"/>
      <c r="R397" s="290" t="s">
        <v>566</v>
      </c>
      <c r="S397" s="277"/>
      <c r="T397" s="277"/>
      <c r="U397" s="277"/>
      <c r="V397" s="283">
        <v>2000.0</v>
      </c>
      <c r="W397" s="275" t="s">
        <v>699</v>
      </c>
      <c r="X397" s="283">
        <v>2000.0</v>
      </c>
      <c r="Y397" s="274">
        <v>1984.0</v>
      </c>
      <c r="Z397" s="272">
        <v>623.0</v>
      </c>
      <c r="AA397" s="285">
        <v>0.08</v>
      </c>
      <c r="AB397" s="282">
        <v>1334915.0</v>
      </c>
      <c r="AC397" s="277"/>
      <c r="AD397" s="289">
        <v>46056.0</v>
      </c>
      <c r="AE397" s="312"/>
      <c r="AF397" s="277"/>
      <c r="AG397" s="277"/>
      <c r="AH397" s="294">
        <f>IFERROR(__xludf.DUMMYFUNCTION("IFERROR(INDEX( SORT(FILTER(
        {'1. DATA CHUNG'!$J$4:$J$105 , '1. DATA CHUNG'!$L$4:$L$105}, (TRIM('1. DATA CHUNG'!$I$4:$I$105)=TRIM(K397)) * IF(COUNTIFS('1. DATA CHUNG'!$I$4:$I$105,K397,'1. DATA CHUNG'!$M$4:$M$105,Q397), '1. DATA CHUNG'!$M$4:$M$105=Q"&amp;"397, 1) * ('1. DATA CHUNG'!$L$4:$L$105&lt;=TODAY()) ),   2, 0),  1, 1), 
  IFERROR( INDEX(FILTER('1. DATA CHUNG'!$J$4:$J$105, (TRIM('1. DATA CHUNG'!$I$4:$I$105)=TRIM(K397)) * IF(COUNTIFS('1. DATA CHUNG'!$I$4:$I$105,K397,'1. DATA CHUNG'!$M$4:$M$105,Q397), '1."&amp;" DATA CHUNG'!$M$4:$M$105=Q397, 1) * ('1. DATA CHUNG'!$L$4:$L$105="""")), 1), ""Không tìm thấy"" ))"),7.0)</f>
        <v>7</v>
      </c>
      <c r="AI397" s="273">
        <f t="shared" si="2"/>
        <v>46063</v>
      </c>
      <c r="AJ397" s="287"/>
      <c r="AK397" s="286">
        <f t="shared" si="3"/>
        <v>0</v>
      </c>
      <c r="AL397" s="287" t="str">
        <f t="shared" si="4"/>
        <v/>
      </c>
      <c r="AM397" s="287" t="str">
        <f t="shared" si="5"/>
        <v/>
      </c>
      <c r="AN397" s="279">
        <f t="shared" si="6"/>
        <v>1</v>
      </c>
      <c r="AO397" s="295" t="str">
        <f t="shared" si="7"/>
        <v>02/2026</v>
      </c>
      <c r="AP397" s="277" t="str">
        <f t="array" ref="AP397">IFERROR(XLOOKUP(L397,'2. DATA NL, VTBB'!C:C,'2. DATA NL, VTBB'!F:F),"")</f>
        <v>HH0029</v>
      </c>
      <c r="AQ397" s="277" t="str">
        <f t="array" ref="AQ397">IF(OR(K397="Nhãn", K397="Nhãn thùng",K397="Nhãn Túi"), K397 &amp; " " &amp; IFERROR(XLOOKUP(L397, '2. DATA NL, VTBB'!C:C, '2. DATA NL, VTBB'!E:E), ""), "")</f>
        <v/>
      </c>
      <c r="AR397" s="278" t="str">
        <f t="array" ref="AR397">IFERROR(XLOOKUP(L397,'2. DATA NL, VTBB'!C:C,'2. DATA NL, VTBB'!G:G),"")</f>
        <v>GC - II - 396 - SH Rice+ - 65gr - 300</v>
      </c>
      <c r="AS397" s="278" t="str">
        <f t="array" ref="AS397">IFERROR(XLOOKUP(L397,'2. DATA NL, VTBB'!C:C,'2. DATA NL, VTBB'!G:G),"")</f>
        <v>GC - II - 396 - SH Rice+ - 65gr - 300</v>
      </c>
      <c r="AT397" s="277"/>
    </row>
    <row r="398" ht="30.75" customHeight="1">
      <c r="A398" s="272">
        <f t="shared" si="44"/>
        <v>395</v>
      </c>
      <c r="B398" s="289">
        <v>46056.0</v>
      </c>
      <c r="C398" s="289">
        <v>46062.0</v>
      </c>
      <c r="D398" s="289">
        <v>46063.0</v>
      </c>
      <c r="E398" s="318"/>
      <c r="F398" s="274" t="s">
        <v>561</v>
      </c>
      <c r="G398" s="275" t="s">
        <v>562</v>
      </c>
      <c r="H398" s="274" t="s">
        <v>304</v>
      </c>
      <c r="I398" s="275" t="s">
        <v>945</v>
      </c>
      <c r="J398" s="272" t="s">
        <v>1077</v>
      </c>
      <c r="K398" s="275" t="s">
        <v>728</v>
      </c>
      <c r="L398" s="277" t="s">
        <v>1078</v>
      </c>
      <c r="M398" s="278" t="str">
        <f t="array" ref="M398">IFERROR(XLOOKUP(L398,'2. DATA NL, VTBB'!C:C,'2. DATA NL, VTBB'!D:D),"")</f>
        <v>Chai HDPE tròn cổ 39.3 1L  (100gr) trắng - HG03</v>
      </c>
      <c r="N398" s="280"/>
      <c r="O398" s="280" t="str">
        <f t="array" ref="O398">IFERROR( XLOOKUP(L398,'2. DATA NL, VTBB'!C:C,'2. DATA NL, VTBB'!E:E),"")</f>
        <v>Vi lượng AV-CFC
(Dạng lỏng)</v>
      </c>
      <c r="P398" s="275" t="s">
        <v>565</v>
      </c>
      <c r="Q398" s="311"/>
      <c r="R398" s="290" t="s">
        <v>566</v>
      </c>
      <c r="S398" s="277"/>
      <c r="T398" s="277"/>
      <c r="U398" s="277"/>
      <c r="V398" s="283">
        <v>1000.0</v>
      </c>
      <c r="W398" s="275" t="s">
        <v>699</v>
      </c>
      <c r="X398" s="283">
        <v>1000.0</v>
      </c>
      <c r="Y398" s="274">
        <v>1000.0</v>
      </c>
      <c r="Z398" s="272">
        <v>5177.0</v>
      </c>
      <c r="AA398" s="285">
        <v>0.08</v>
      </c>
      <c r="AB398" s="282">
        <v>5591160.0</v>
      </c>
      <c r="AC398" s="277"/>
      <c r="AD398" s="289">
        <v>46056.0</v>
      </c>
      <c r="AE398" s="312"/>
      <c r="AF398" s="277"/>
      <c r="AG398" s="277"/>
      <c r="AH398" s="294">
        <f>IFERROR(__xludf.DUMMYFUNCTION("IFERROR(INDEX( SORT(FILTER(
        {'1. DATA CHUNG'!$J$4:$J$105 , '1. DATA CHUNG'!$L$4:$L$105}, (TRIM('1. DATA CHUNG'!$I$4:$I$105)=TRIM(K398)) * IF(COUNTIFS('1. DATA CHUNG'!$I$4:$I$105,K398,'1. DATA CHUNG'!$M$4:$M$105,Q398), '1. DATA CHUNG'!$M$4:$M$105=Q"&amp;"398, 1) * ('1. DATA CHUNG'!$L$4:$L$105&lt;=TODAY()) ),   2, 0),  1, 1), 
  IFERROR( INDEX(FILTER('1. DATA CHUNG'!$J$4:$J$105, (TRIM('1. DATA CHUNG'!$I$4:$I$105)=TRIM(K398)) * IF(COUNTIFS('1. DATA CHUNG'!$I$4:$I$105,K398,'1. DATA CHUNG'!$M$4:$M$105,Q398), '1."&amp;" DATA CHUNG'!$M$4:$M$105=Q398, 1) * ('1. DATA CHUNG'!$L$4:$L$105="""")), 1), ""Không tìm thấy"" ))"),7.0)</f>
        <v>7</v>
      </c>
      <c r="AI398" s="273">
        <f t="shared" si="2"/>
        <v>46063</v>
      </c>
      <c r="AJ398" s="287"/>
      <c r="AK398" s="286">
        <f t="shared" si="3"/>
        <v>0</v>
      </c>
      <c r="AL398" s="287" t="str">
        <f t="shared" si="4"/>
        <v/>
      </c>
      <c r="AM398" s="287" t="str">
        <f t="shared" si="5"/>
        <v/>
      </c>
      <c r="AN398" s="279">
        <f t="shared" si="6"/>
        <v>1</v>
      </c>
      <c r="AO398" s="295" t="str">
        <f t="shared" si="7"/>
        <v>02/2026</v>
      </c>
      <c r="AP398" s="277" t="str">
        <f t="array" ref="AP398">IFERROR(XLOOKUP(L398,'2. DATA NL, VTBB'!C:C,'2. DATA NL, VTBB'!F:F),"")</f>
        <v>HH0022</v>
      </c>
      <c r="AQ398" s="277" t="str">
        <f t="array" ref="AQ398">IF(OR(K398="Nhãn", K398="Nhãn thùng",K398="Nhãn Túi"), K398 &amp; " " &amp; IFERROR(XLOOKUP(L398, '2. DATA NL, VTBB'!C:C, '2. DATA NL, VTBB'!E:E), ""), "")</f>
        <v/>
      </c>
      <c r="AR398" s="278" t="str">
        <f t="array" ref="AR398">IFERROR(XLOOKUP(L398,'2. DATA NL, VTBB'!C:C,'2. DATA NL, VTBB'!G:G),"")</f>
        <v>GC - II - 355 - AK - T-AK01 - 500ml - 40</v>
      </c>
      <c r="AS398" s="278" t="str">
        <f t="array" ref="AS398">IFERROR(XLOOKUP(L398,'2. DATA NL, VTBB'!C:C,'2. DATA NL, VTBB'!G:G),"")</f>
        <v>GC - II - 355 - AK - T-AK01 - 500ml - 40</v>
      </c>
      <c r="AT398" s="277"/>
    </row>
    <row r="399" ht="30.75" customHeight="1">
      <c r="A399" s="272">
        <f t="shared" si="44"/>
        <v>396</v>
      </c>
      <c r="B399" s="289">
        <v>46056.0</v>
      </c>
      <c r="C399" s="289">
        <v>46062.0</v>
      </c>
      <c r="D399" s="289">
        <v>46063.0</v>
      </c>
      <c r="E399" s="318"/>
      <c r="F399" s="274" t="s">
        <v>561</v>
      </c>
      <c r="G399" s="275" t="s">
        <v>562</v>
      </c>
      <c r="H399" s="274" t="s">
        <v>304</v>
      </c>
      <c r="I399" s="275" t="s">
        <v>945</v>
      </c>
      <c r="J399" s="272" t="s">
        <v>1077</v>
      </c>
      <c r="K399" s="275" t="s">
        <v>730</v>
      </c>
      <c r="L399" s="277" t="s">
        <v>1079</v>
      </c>
      <c r="M399" s="278" t="str">
        <f t="array" ref="M399">IFERROR(XLOOKUP(L399,'2. DATA NL, VTBB'!C:C,'2. DATA NL, VTBB'!D:D),"")</f>
        <v>Nắp HD cổ 39.3 (8gr) trắng - HG</v>
      </c>
      <c r="N399" s="280"/>
      <c r="O399" s="280" t="str">
        <f t="array" ref="O399">IFERROR( XLOOKUP(L399,'2. DATA NL, VTBB'!C:C,'2. DATA NL, VTBB'!E:E),"")</f>
        <v>Mekongvil 5SC</v>
      </c>
      <c r="P399" s="275" t="s">
        <v>565</v>
      </c>
      <c r="Q399" s="311"/>
      <c r="R399" s="290" t="s">
        <v>566</v>
      </c>
      <c r="S399" s="277"/>
      <c r="T399" s="277"/>
      <c r="U399" s="277"/>
      <c r="V399" s="283">
        <v>1000.0</v>
      </c>
      <c r="W399" s="275" t="s">
        <v>699</v>
      </c>
      <c r="X399" s="283">
        <v>1000.0</v>
      </c>
      <c r="Y399" s="274">
        <v>1000.0</v>
      </c>
      <c r="Z399" s="272">
        <v>623.0</v>
      </c>
      <c r="AA399" s="285">
        <v>0.08</v>
      </c>
      <c r="AB399" s="282">
        <v>672840.0</v>
      </c>
      <c r="AC399" s="277"/>
      <c r="AD399" s="289">
        <v>46056.0</v>
      </c>
      <c r="AE399" s="312"/>
      <c r="AF399" s="277"/>
      <c r="AG399" s="277"/>
      <c r="AH399" s="294">
        <f>IFERROR(__xludf.DUMMYFUNCTION("IFERROR(INDEX( SORT(FILTER(
        {'1. DATA CHUNG'!$J$4:$J$105 , '1. DATA CHUNG'!$L$4:$L$105}, (TRIM('1. DATA CHUNG'!$I$4:$I$105)=TRIM(K399)) * IF(COUNTIFS('1. DATA CHUNG'!$I$4:$I$105,K399,'1. DATA CHUNG'!$M$4:$M$105,Q399), '1. DATA CHUNG'!$M$4:$M$105=Q"&amp;"399, 1) * ('1. DATA CHUNG'!$L$4:$L$105&lt;=TODAY()) ),   2, 0),  1, 1), 
  IFERROR( INDEX(FILTER('1. DATA CHUNG'!$J$4:$J$105, (TRIM('1. DATA CHUNG'!$I$4:$I$105)=TRIM(K399)) * IF(COUNTIFS('1. DATA CHUNG'!$I$4:$I$105,K399,'1. DATA CHUNG'!$M$4:$M$105,Q399), '1."&amp;" DATA CHUNG'!$M$4:$M$105=Q399, 1) * ('1. DATA CHUNG'!$L$4:$L$105="""")), 1), ""Không tìm thấy"" ))"),7.0)</f>
        <v>7</v>
      </c>
      <c r="AI399" s="273">
        <f t="shared" si="2"/>
        <v>46063</v>
      </c>
      <c r="AJ399" s="287"/>
      <c r="AK399" s="286">
        <f t="shared" si="3"/>
        <v>0</v>
      </c>
      <c r="AL399" s="287" t="str">
        <f t="shared" si="4"/>
        <v/>
      </c>
      <c r="AM399" s="287" t="str">
        <f t="shared" si="5"/>
        <v/>
      </c>
      <c r="AN399" s="279">
        <f t="shared" si="6"/>
        <v>1</v>
      </c>
      <c r="AO399" s="295" t="str">
        <f t="shared" si="7"/>
        <v>02/2026</v>
      </c>
      <c r="AP399" s="277" t="str">
        <f t="array" ref="AP399">IFERROR(XLOOKUP(L399,'2. DATA NL, VTBB'!C:C,'2. DATA NL, VTBB'!F:F),"")</f>
        <v>HH0028</v>
      </c>
      <c r="AQ399" s="277" t="str">
        <f t="array" ref="AQ399">IF(OR(K399="Nhãn", K399="Nhãn thùng",K399="Nhãn Túi"), K399 &amp; " " &amp; IFERROR(XLOOKUP(L399, '2. DATA NL, VTBB'!C:C, '2. DATA NL, VTBB'!E:E), ""), "")</f>
        <v/>
      </c>
      <c r="AR399" s="278" t="str">
        <f t="array" ref="AR399">IFERROR(XLOOKUP(L399,'2. DATA NL, VTBB'!C:C,'2. DATA NL, VTBB'!G:G),"")</f>
        <v>GC - II - 391 - SH Mekongvil 5SC - 1 lít - 20</v>
      </c>
      <c r="AS399" s="278" t="str">
        <f t="array" ref="AS399">IFERROR(XLOOKUP(L399,'2. DATA NL, VTBB'!C:C,'2. DATA NL, VTBB'!G:G),"")</f>
        <v>GC - II - 391 - SH Mekongvil 5SC - 1 lít - 20</v>
      </c>
      <c r="AT399" s="277"/>
    </row>
    <row r="400" ht="30.75" customHeight="1">
      <c r="A400" s="272">
        <f t="shared" si="44"/>
        <v>397</v>
      </c>
      <c r="B400" s="289">
        <v>46058.0</v>
      </c>
      <c r="C400" s="289">
        <v>46063.0</v>
      </c>
      <c r="D400" s="289">
        <v>46080.0</v>
      </c>
      <c r="E400" s="289">
        <v>46111.0</v>
      </c>
      <c r="F400" s="274" t="s">
        <v>561</v>
      </c>
      <c r="G400" s="275" t="s">
        <v>562</v>
      </c>
      <c r="H400" s="274" t="s">
        <v>304</v>
      </c>
      <c r="I400" s="275" t="s">
        <v>744</v>
      </c>
      <c r="J400" s="272" t="s">
        <v>1080</v>
      </c>
      <c r="K400" s="275" t="s">
        <v>728</v>
      </c>
      <c r="L400" s="277" t="s">
        <v>753</v>
      </c>
      <c r="M400" s="278" t="str">
        <f t="array" ref="M400">IFERROR(XLOOKUP(L400,'2. DATA NL, VTBB'!C:C,'2. DATA NL, VTBB'!D:D),"")</f>
        <v>Chai HDPE 300ml, tròn 2G vai Beehive cổ 50 (45g) - Trắng</v>
      </c>
      <c r="N400" s="280"/>
      <c r="O400" s="280" t="str">
        <f t="array" ref="O400">IFERROR( XLOOKUP(L400,'2. DATA NL, VTBB'!C:C,'2. DATA NL, VTBB'!E:E),"")</f>
        <v>CITIZEN 333SC</v>
      </c>
      <c r="P400" s="275" t="s">
        <v>565</v>
      </c>
      <c r="Q400" s="311"/>
      <c r="R400" s="290" t="s">
        <v>566</v>
      </c>
      <c r="S400" s="277"/>
      <c r="T400" s="277"/>
      <c r="U400" s="277"/>
      <c r="V400" s="283">
        <v>3000.0</v>
      </c>
      <c r="W400" s="275" t="s">
        <v>699</v>
      </c>
      <c r="X400" s="283">
        <v>3000.0</v>
      </c>
      <c r="Y400" s="274">
        <v>3060.0</v>
      </c>
      <c r="Z400" s="272">
        <v>2600.0</v>
      </c>
      <c r="AA400" s="285">
        <v>0.08</v>
      </c>
      <c r="AB400" s="282">
        <v>8592480.0</v>
      </c>
      <c r="AC400" s="277"/>
      <c r="AD400" s="289">
        <v>46058.0</v>
      </c>
      <c r="AE400" s="312"/>
      <c r="AF400" s="277"/>
      <c r="AG400" s="277"/>
      <c r="AH400" s="294">
        <f>IFERROR(__xludf.DUMMYFUNCTION("IFERROR(INDEX( SORT(FILTER(
        {'1. DATA CHUNG'!$J$4:$J$105 , '1. DATA CHUNG'!$L$4:$L$105}, (TRIM('1. DATA CHUNG'!$I$4:$I$105)=TRIM(K400)) * IF(COUNTIFS('1. DATA CHUNG'!$I$4:$I$105,K400,'1. DATA CHUNG'!$M$4:$M$105,Q400), '1. DATA CHUNG'!$M$4:$M$105=Q"&amp;"400, 1) * ('1. DATA CHUNG'!$L$4:$L$105&lt;=TODAY()) ),   2, 0),  1, 1), 
  IFERROR( INDEX(FILTER('1. DATA CHUNG'!$J$4:$J$105, (TRIM('1. DATA CHUNG'!$I$4:$I$105)=TRIM(K400)) * IF(COUNTIFS('1. DATA CHUNG'!$I$4:$I$105,K400,'1. DATA CHUNG'!$M$4:$M$105,Q400), '1."&amp;" DATA CHUNG'!$M$4:$M$105=Q400, 1) * ('1. DATA CHUNG'!$L$4:$L$105="""")), 1), ""Không tìm thấy"" ))"),7.0)</f>
        <v>7</v>
      </c>
      <c r="AI400" s="273">
        <f t="shared" si="2"/>
        <v>46065</v>
      </c>
      <c r="AJ400" s="287"/>
      <c r="AK400" s="286">
        <f t="shared" si="3"/>
        <v>0</v>
      </c>
      <c r="AL400" s="287">
        <f t="shared" si="4"/>
        <v>-31</v>
      </c>
      <c r="AM400" s="287">
        <f t="shared" si="5"/>
        <v>-46</v>
      </c>
      <c r="AN400" s="279">
        <f t="shared" si="6"/>
        <v>2</v>
      </c>
      <c r="AO400" s="295" t="str">
        <f t="shared" si="7"/>
        <v>02/2026</v>
      </c>
      <c r="AP400" s="277" t="str">
        <f t="array" ref="AP400">IFERROR(XLOOKUP(L400,'2. DATA NL, VTBB'!C:C,'2. DATA NL, VTBB'!F:F),"")</f>
        <v>HH0231</v>
      </c>
      <c r="AQ400" s="277" t="str">
        <f t="array" ref="AQ400">IF(OR(K400="Nhãn", K400="Nhãn thùng",K400="Nhãn Túi"), K400 &amp; " " &amp; IFERROR(XLOOKUP(L400, '2. DATA NL, VTBB'!C:C, '2. DATA NL, VTBB'!E:E), ""), "")</f>
        <v/>
      </c>
      <c r="AR400" s="278" t="str">
        <f t="array" ref="AR400">IFERROR(XLOOKUP(L400,'2. DATA NL, VTBB'!C:C,'2. DATA NL, VTBB'!G:G),"")</f>
        <v>IDA Global - I - 872 - Citizen 333SC (Drone) (chai HD)(nước cam sữa) - 450ml - 40</v>
      </c>
      <c r="AS400" s="278" t="str">
        <f t="array" ref="AS400">IFERROR(XLOOKUP(L400,'2. DATA NL, VTBB'!C:C,'2. DATA NL, VTBB'!G:G),"")</f>
        <v>IDA Global - I - 872 - Citizen 333SC (Drone) (chai HD)(nước cam sữa) - 450ml - 40</v>
      </c>
      <c r="AT400" s="277"/>
    </row>
    <row r="401" ht="30.75" customHeight="1">
      <c r="A401" s="272">
        <f t="shared" si="44"/>
        <v>398</v>
      </c>
      <c r="B401" s="289">
        <v>46058.0</v>
      </c>
      <c r="C401" s="289">
        <v>46063.0</v>
      </c>
      <c r="D401" s="289">
        <v>46080.0</v>
      </c>
      <c r="E401" s="289">
        <v>46111.0</v>
      </c>
      <c r="F401" s="274" t="s">
        <v>561</v>
      </c>
      <c r="G401" s="275" t="s">
        <v>562</v>
      </c>
      <c r="H401" s="274" t="s">
        <v>304</v>
      </c>
      <c r="I401" s="275" t="s">
        <v>744</v>
      </c>
      <c r="J401" s="272" t="s">
        <v>1080</v>
      </c>
      <c r="K401" s="275" t="s">
        <v>730</v>
      </c>
      <c r="L401" s="277" t="s">
        <v>754</v>
      </c>
      <c r="M401" s="278" t="str">
        <f t="array" ref="M401">IFERROR(XLOOKUP(L401,'2. DATA NL, VTBB'!C:C,'2. DATA NL, VTBB'!D:D),"")</f>
        <v>Nắp HDPE cổ 50 gruratee - Trắng</v>
      </c>
      <c r="N401" s="280"/>
      <c r="O401" s="280" t="str">
        <f t="array" ref="O401">IFERROR( XLOOKUP(L401,'2. DATA NL, VTBB'!C:C,'2. DATA NL, VTBB'!E:E),"")</f>
        <v>Chitin 3.6EC</v>
      </c>
      <c r="P401" s="275" t="s">
        <v>565</v>
      </c>
      <c r="Q401" s="311"/>
      <c r="R401" s="290" t="s">
        <v>566</v>
      </c>
      <c r="S401" s="277"/>
      <c r="T401" s="277"/>
      <c r="U401" s="277"/>
      <c r="V401" s="283">
        <v>3000.0</v>
      </c>
      <c r="W401" s="275" t="s">
        <v>699</v>
      </c>
      <c r="X401" s="283">
        <v>3000.0</v>
      </c>
      <c r="Y401" s="274">
        <v>3060.0</v>
      </c>
      <c r="Z401" s="272">
        <v>1200.0</v>
      </c>
      <c r="AA401" s="285">
        <v>0.08</v>
      </c>
      <c r="AB401" s="282">
        <v>3965760.0</v>
      </c>
      <c r="AC401" s="277"/>
      <c r="AD401" s="289">
        <v>46058.0</v>
      </c>
      <c r="AE401" s="312"/>
      <c r="AF401" s="277"/>
      <c r="AG401" s="277"/>
      <c r="AH401" s="294">
        <f>IFERROR(__xludf.DUMMYFUNCTION("IFERROR(INDEX( SORT(FILTER(
        {'1. DATA CHUNG'!$J$4:$J$105 , '1. DATA CHUNG'!$L$4:$L$105}, (TRIM('1. DATA CHUNG'!$I$4:$I$105)=TRIM(K401)) * IF(COUNTIFS('1. DATA CHUNG'!$I$4:$I$105,K401,'1. DATA CHUNG'!$M$4:$M$105,Q401), '1. DATA CHUNG'!$M$4:$M$105=Q"&amp;"401, 1) * ('1. DATA CHUNG'!$L$4:$L$105&lt;=TODAY()) ),   2, 0),  1, 1), 
  IFERROR( INDEX(FILTER('1. DATA CHUNG'!$J$4:$J$105, (TRIM('1. DATA CHUNG'!$I$4:$I$105)=TRIM(K401)) * IF(COUNTIFS('1. DATA CHUNG'!$I$4:$I$105,K401,'1. DATA CHUNG'!$M$4:$M$105,Q401), '1."&amp;" DATA CHUNG'!$M$4:$M$105=Q401, 1) * ('1. DATA CHUNG'!$L$4:$L$105="""")), 1), ""Không tìm thấy"" ))"),7.0)</f>
        <v>7</v>
      </c>
      <c r="AI401" s="273">
        <f t="shared" si="2"/>
        <v>46065</v>
      </c>
      <c r="AJ401" s="287"/>
      <c r="AK401" s="286">
        <f t="shared" si="3"/>
        <v>0</v>
      </c>
      <c r="AL401" s="287">
        <f t="shared" si="4"/>
        <v>-31</v>
      </c>
      <c r="AM401" s="287">
        <f t="shared" si="5"/>
        <v>-46</v>
      </c>
      <c r="AN401" s="279">
        <f t="shared" si="6"/>
        <v>2</v>
      </c>
      <c r="AO401" s="295" t="str">
        <f t="shared" si="7"/>
        <v>02/2026</v>
      </c>
      <c r="AP401" s="277" t="str">
        <f t="array" ref="AP401">IFERROR(XLOOKUP(L401,'2. DATA NL, VTBB'!C:C,'2. DATA NL, VTBB'!F:F),"")</f>
        <v>HH0153</v>
      </c>
      <c r="AQ401" s="277" t="str">
        <f t="array" ref="AQ401">IF(OR(K401="Nhãn", K401="Nhãn thùng",K401="Nhãn Túi"), K401 &amp; " " &amp; IFERROR(XLOOKUP(L401, '2. DATA NL, VTBB'!C:C, '2. DATA NL, VTBB'!E:E), ""), "")</f>
        <v/>
      </c>
      <c r="AR401" s="278" t="str">
        <f t="array" ref="AR401">IFERROR(XLOOKUP(L401,'2. DATA NL, VTBB'!C:C,'2. DATA NL, VTBB'!G:G),"")</f>
        <v>LOT IDA Global - I - 870 - ĐL Nhựt Mẫn - Avermectin (Pet tròn) (nắp đỏ)(nước nâu đen) - 450ml - 40</v>
      </c>
      <c r="AS401" s="278" t="str">
        <f t="array" ref="AS401">IFERROR(XLOOKUP(L401,'2. DATA NL, VTBB'!C:C,'2. DATA NL, VTBB'!G:G),"")</f>
        <v>LOT IDA Global - I - 870 - ĐL Nhựt Mẫn - Avermectin (Pet tròn) (nắp đỏ)(nước nâu đen) - 450ml - 40</v>
      </c>
      <c r="AT401" s="277"/>
    </row>
    <row r="402" ht="30.75" customHeight="1">
      <c r="A402" s="272">
        <f t="shared" si="44"/>
        <v>399</v>
      </c>
      <c r="B402" s="289">
        <v>46058.0</v>
      </c>
      <c r="C402" s="289">
        <v>46063.0</v>
      </c>
      <c r="D402" s="289">
        <v>46080.0</v>
      </c>
      <c r="E402" s="289">
        <v>46111.0</v>
      </c>
      <c r="F402" s="274" t="s">
        <v>561</v>
      </c>
      <c r="G402" s="275" t="s">
        <v>562</v>
      </c>
      <c r="H402" s="274" t="s">
        <v>304</v>
      </c>
      <c r="I402" s="275" t="s">
        <v>744</v>
      </c>
      <c r="J402" s="272" t="s">
        <v>1081</v>
      </c>
      <c r="K402" s="275" t="s">
        <v>728</v>
      </c>
      <c r="L402" s="277" t="s">
        <v>753</v>
      </c>
      <c r="M402" s="278" t="str">
        <f t="array" ref="M402">IFERROR(XLOOKUP(L402,'2. DATA NL, VTBB'!C:C,'2. DATA NL, VTBB'!D:D),"")</f>
        <v>Chai HDPE 300ml, tròn 2G vai Beehive cổ 50 (45g) - Trắng</v>
      </c>
      <c r="N402" s="280"/>
      <c r="O402" s="280" t="str">
        <f t="array" ref="O402">IFERROR( XLOOKUP(L402,'2. DATA NL, VTBB'!C:C,'2. DATA NL, VTBB'!E:E),"")</f>
        <v>CITIZEN 333SC</v>
      </c>
      <c r="P402" s="275" t="s">
        <v>565</v>
      </c>
      <c r="Q402" s="311"/>
      <c r="R402" s="291" t="s">
        <v>573</v>
      </c>
      <c r="S402" s="277"/>
      <c r="T402" s="277"/>
      <c r="U402" s="277"/>
      <c r="V402" s="283">
        <v>3000.0</v>
      </c>
      <c r="W402" s="275" t="s">
        <v>699</v>
      </c>
      <c r="X402" s="283">
        <v>3000.0</v>
      </c>
      <c r="Y402" s="274">
        <v>3060.0</v>
      </c>
      <c r="Z402" s="272">
        <v>2600.0</v>
      </c>
      <c r="AA402" s="285">
        <v>0.08</v>
      </c>
      <c r="AB402" s="282">
        <v>8592480.0</v>
      </c>
      <c r="AC402" s="277"/>
      <c r="AD402" s="289">
        <v>46058.0</v>
      </c>
      <c r="AE402" s="312"/>
      <c r="AF402" s="277"/>
      <c r="AG402" s="277"/>
      <c r="AH402" s="294">
        <f>IFERROR(__xludf.DUMMYFUNCTION("IFERROR(INDEX( SORT(FILTER(
        {'1. DATA CHUNG'!$J$4:$J$105 , '1. DATA CHUNG'!$L$4:$L$105}, (TRIM('1. DATA CHUNG'!$I$4:$I$105)=TRIM(K402)) * IF(COUNTIFS('1. DATA CHUNG'!$I$4:$I$105,K402,'1. DATA CHUNG'!$M$4:$M$105,Q402), '1. DATA CHUNG'!$M$4:$M$105=Q"&amp;"402, 1) * ('1. DATA CHUNG'!$L$4:$L$105&lt;=TODAY()) ),   2, 0),  1, 1), 
  IFERROR( INDEX(FILTER('1. DATA CHUNG'!$J$4:$J$105, (TRIM('1. DATA CHUNG'!$I$4:$I$105)=TRIM(K402)) * IF(COUNTIFS('1. DATA CHUNG'!$I$4:$I$105,K402,'1. DATA CHUNG'!$M$4:$M$105,Q402), '1."&amp;" DATA CHUNG'!$M$4:$M$105=Q402, 1) * ('1. DATA CHUNG'!$L$4:$L$105="""")), 1), ""Không tìm thấy"" ))"),7.0)</f>
        <v>7</v>
      </c>
      <c r="AI402" s="273">
        <f t="shared" si="2"/>
        <v>46065</v>
      </c>
      <c r="AJ402" s="287"/>
      <c r="AK402" s="286">
        <f t="shared" si="3"/>
        <v>0</v>
      </c>
      <c r="AL402" s="287">
        <f t="shared" si="4"/>
        <v>-31</v>
      </c>
      <c r="AM402" s="287">
        <f t="shared" si="5"/>
        <v>-46</v>
      </c>
      <c r="AN402" s="279">
        <f t="shared" si="6"/>
        <v>2</v>
      </c>
      <c r="AO402" s="295" t="str">
        <f t="shared" si="7"/>
        <v>02/2026</v>
      </c>
      <c r="AP402" s="277" t="str">
        <f t="array" ref="AP402">IFERROR(XLOOKUP(L402,'2. DATA NL, VTBB'!C:C,'2. DATA NL, VTBB'!F:F),"")</f>
        <v>HH0231</v>
      </c>
      <c r="AQ402" s="277" t="str">
        <f t="array" ref="AQ402">IF(OR(K402="Nhãn", K402="Nhãn thùng",K402="Nhãn Túi"), K402 &amp; " " &amp; IFERROR(XLOOKUP(L402, '2. DATA NL, VTBB'!C:C, '2. DATA NL, VTBB'!E:E), ""), "")</f>
        <v/>
      </c>
      <c r="AR402" s="278" t="str">
        <f t="array" ref="AR402">IFERROR(XLOOKUP(L402,'2. DATA NL, VTBB'!C:C,'2. DATA NL, VTBB'!G:G),"")</f>
        <v>IDA Global - I - 872 - Citizen 333SC (Drone) (chai HD)(nước cam sữa) - 450ml - 40</v>
      </c>
      <c r="AS402" s="278" t="str">
        <f t="array" ref="AS402">IFERROR(XLOOKUP(L402,'2. DATA NL, VTBB'!C:C,'2. DATA NL, VTBB'!G:G),"")</f>
        <v>IDA Global - I - 872 - Citizen 333SC (Drone) (chai HD)(nước cam sữa) - 450ml - 40</v>
      </c>
      <c r="AT402" s="277"/>
    </row>
    <row r="403" ht="30.75" customHeight="1">
      <c r="A403" s="272">
        <f t="shared" si="44"/>
        <v>400</v>
      </c>
      <c r="B403" s="289">
        <v>46058.0</v>
      </c>
      <c r="C403" s="289">
        <v>46063.0</v>
      </c>
      <c r="D403" s="289">
        <v>46080.0</v>
      </c>
      <c r="E403" s="289">
        <v>46111.0</v>
      </c>
      <c r="F403" s="274" t="s">
        <v>561</v>
      </c>
      <c r="G403" s="275" t="s">
        <v>562</v>
      </c>
      <c r="H403" s="274" t="s">
        <v>304</v>
      </c>
      <c r="I403" s="275" t="s">
        <v>744</v>
      </c>
      <c r="J403" s="272" t="s">
        <v>1081</v>
      </c>
      <c r="K403" s="275" t="s">
        <v>730</v>
      </c>
      <c r="L403" s="277" t="s">
        <v>754</v>
      </c>
      <c r="M403" s="278" t="str">
        <f t="array" ref="M403">IFERROR(XLOOKUP(L403,'2. DATA NL, VTBB'!C:C,'2. DATA NL, VTBB'!D:D),"")</f>
        <v>Nắp HDPE cổ 50 gruratee - Trắng</v>
      </c>
      <c r="N403" s="280"/>
      <c r="O403" s="280" t="str">
        <f t="array" ref="O403">IFERROR( XLOOKUP(L403,'2. DATA NL, VTBB'!C:C,'2. DATA NL, VTBB'!E:E),"")</f>
        <v>Chitin 3.6EC</v>
      </c>
      <c r="P403" s="275" t="s">
        <v>565</v>
      </c>
      <c r="Q403" s="311"/>
      <c r="R403" s="291" t="s">
        <v>573</v>
      </c>
      <c r="S403" s="277"/>
      <c r="T403" s="277"/>
      <c r="U403" s="277"/>
      <c r="V403" s="283">
        <v>3000.0</v>
      </c>
      <c r="W403" s="275" t="s">
        <v>699</v>
      </c>
      <c r="X403" s="283">
        <v>3000.0</v>
      </c>
      <c r="Y403" s="274">
        <v>3060.0</v>
      </c>
      <c r="Z403" s="272">
        <v>1200.0</v>
      </c>
      <c r="AA403" s="285">
        <v>0.08</v>
      </c>
      <c r="AB403" s="282">
        <v>3965760.0</v>
      </c>
      <c r="AC403" s="277"/>
      <c r="AD403" s="289">
        <v>46058.0</v>
      </c>
      <c r="AE403" s="312"/>
      <c r="AF403" s="277"/>
      <c r="AG403" s="277"/>
      <c r="AH403" s="294">
        <f>IFERROR(__xludf.DUMMYFUNCTION("IFERROR(INDEX( SORT(FILTER(
        {'1. DATA CHUNG'!$J$4:$J$105 , '1. DATA CHUNG'!$L$4:$L$105}, (TRIM('1. DATA CHUNG'!$I$4:$I$105)=TRIM(K403)) * IF(COUNTIFS('1. DATA CHUNG'!$I$4:$I$105,K403,'1. DATA CHUNG'!$M$4:$M$105,Q403), '1. DATA CHUNG'!$M$4:$M$105=Q"&amp;"403, 1) * ('1. DATA CHUNG'!$L$4:$L$105&lt;=TODAY()) ),   2, 0),  1, 1), 
  IFERROR( INDEX(FILTER('1. DATA CHUNG'!$J$4:$J$105, (TRIM('1. DATA CHUNG'!$I$4:$I$105)=TRIM(K403)) * IF(COUNTIFS('1. DATA CHUNG'!$I$4:$I$105,K403,'1. DATA CHUNG'!$M$4:$M$105,Q403), '1."&amp;" DATA CHUNG'!$M$4:$M$105=Q403, 1) * ('1. DATA CHUNG'!$L$4:$L$105="""")), 1), ""Không tìm thấy"" ))"),7.0)</f>
        <v>7</v>
      </c>
      <c r="AI403" s="273">
        <f t="shared" si="2"/>
        <v>46065</v>
      </c>
      <c r="AJ403" s="287"/>
      <c r="AK403" s="286">
        <f t="shared" si="3"/>
        <v>0</v>
      </c>
      <c r="AL403" s="287">
        <f t="shared" si="4"/>
        <v>-31</v>
      </c>
      <c r="AM403" s="287">
        <f t="shared" si="5"/>
        <v>-46</v>
      </c>
      <c r="AN403" s="279">
        <f t="shared" si="6"/>
        <v>2</v>
      </c>
      <c r="AO403" s="295" t="str">
        <f t="shared" si="7"/>
        <v>02/2026</v>
      </c>
      <c r="AP403" s="277" t="str">
        <f t="array" ref="AP403">IFERROR(XLOOKUP(L403,'2. DATA NL, VTBB'!C:C,'2. DATA NL, VTBB'!F:F),"")</f>
        <v>HH0153</v>
      </c>
      <c r="AQ403" s="277" t="str">
        <f t="array" ref="AQ403">IF(OR(K403="Nhãn", K403="Nhãn thùng",K403="Nhãn Túi"), K403 &amp; " " &amp; IFERROR(XLOOKUP(L403, '2. DATA NL, VTBB'!C:C, '2. DATA NL, VTBB'!E:E), ""), "")</f>
        <v/>
      </c>
      <c r="AR403" s="278" t="str">
        <f t="array" ref="AR403">IFERROR(XLOOKUP(L403,'2. DATA NL, VTBB'!C:C,'2. DATA NL, VTBB'!G:G),"")</f>
        <v>LOT IDA Global - I - 870 - ĐL Nhựt Mẫn - Avermectin (Pet tròn) (nắp đỏ)(nước nâu đen) - 450ml - 40</v>
      </c>
      <c r="AS403" s="278" t="str">
        <f t="array" ref="AS403">IFERROR(XLOOKUP(L403,'2. DATA NL, VTBB'!C:C,'2. DATA NL, VTBB'!G:G),"")</f>
        <v>LOT IDA Global - I - 870 - ĐL Nhựt Mẫn - Avermectin (Pet tròn) (nắp đỏ)(nước nâu đen) - 450ml - 40</v>
      </c>
      <c r="AT403" s="277"/>
    </row>
    <row r="404" ht="30.75" customHeight="1">
      <c r="A404" s="272">
        <f t="shared" si="44"/>
        <v>401</v>
      </c>
      <c r="B404" s="289">
        <v>46058.0</v>
      </c>
      <c r="C404" s="289">
        <v>46063.0</v>
      </c>
      <c r="D404" s="289">
        <v>46081.0</v>
      </c>
      <c r="E404" s="289">
        <v>46111.0</v>
      </c>
      <c r="F404" s="274" t="s">
        <v>561</v>
      </c>
      <c r="G404" s="275" t="s">
        <v>562</v>
      </c>
      <c r="H404" s="274" t="s">
        <v>304</v>
      </c>
      <c r="I404" s="275" t="s">
        <v>744</v>
      </c>
      <c r="J404" s="272" t="s">
        <v>1082</v>
      </c>
      <c r="K404" s="275" t="s">
        <v>728</v>
      </c>
      <c r="L404" s="277" t="s">
        <v>1083</v>
      </c>
      <c r="M404" s="278" t="str">
        <f t="array" ref="M404">IFERROR(XLOOKUP(L404,'2. DATA NL, VTBB'!C:C,'2. DATA NL, VTBB'!D:D),"")</f>
        <v>Chai HDPE 300ml, tròn 2G vai Beehive cổ 50 (45g) - Cam</v>
      </c>
      <c r="N404" s="280"/>
      <c r="O404" s="280" t="str">
        <f t="array" ref="O404">IFERROR( XLOOKUP(L404,'2. DATA NL, VTBB'!C:C,'2. DATA NL, VTBB'!E:E),"")</f>
        <v>Chitin 3.6EC</v>
      </c>
      <c r="P404" s="275" t="s">
        <v>565</v>
      </c>
      <c r="Q404" s="311"/>
      <c r="R404" s="290" t="s">
        <v>566</v>
      </c>
      <c r="S404" s="277"/>
      <c r="T404" s="277"/>
      <c r="U404" s="277"/>
      <c r="V404" s="283">
        <v>2000.0</v>
      </c>
      <c r="W404" s="275" t="s">
        <v>699</v>
      </c>
      <c r="X404" s="283">
        <v>2000.0</v>
      </c>
      <c r="Y404" s="274">
        <v>2160.0</v>
      </c>
      <c r="Z404" s="272">
        <v>2600.0</v>
      </c>
      <c r="AA404" s="285">
        <v>0.08</v>
      </c>
      <c r="AB404" s="282">
        <v>6065280.0</v>
      </c>
      <c r="AC404" s="277"/>
      <c r="AD404" s="289">
        <v>46058.0</v>
      </c>
      <c r="AE404" s="272">
        <v>883.0</v>
      </c>
      <c r="AF404" s="277"/>
      <c r="AG404" s="277"/>
      <c r="AH404" s="294">
        <f>IFERROR(__xludf.DUMMYFUNCTION("IFERROR(INDEX( SORT(FILTER(
        {'1. DATA CHUNG'!$J$4:$J$105 , '1. DATA CHUNG'!$L$4:$L$105}, (TRIM('1. DATA CHUNG'!$I$4:$I$105)=TRIM(K404)) * IF(COUNTIFS('1. DATA CHUNG'!$I$4:$I$105,K404,'1. DATA CHUNG'!$M$4:$M$105,Q404), '1. DATA CHUNG'!$M$4:$M$105=Q"&amp;"404, 1) * ('1. DATA CHUNG'!$L$4:$L$105&lt;=TODAY()) ),   2, 0),  1, 1), 
  IFERROR( INDEX(FILTER('1. DATA CHUNG'!$J$4:$J$105, (TRIM('1. DATA CHUNG'!$I$4:$I$105)=TRIM(K404)) * IF(COUNTIFS('1. DATA CHUNG'!$I$4:$I$105,K404,'1. DATA CHUNG'!$M$4:$M$105,Q404), '1."&amp;" DATA CHUNG'!$M$4:$M$105=Q404, 1) * ('1. DATA CHUNG'!$L$4:$L$105="""")), 1), ""Không tìm thấy"" ))"),7.0)</f>
        <v>7</v>
      </c>
      <c r="AI404" s="273">
        <f t="shared" si="2"/>
        <v>46065</v>
      </c>
      <c r="AJ404" s="287"/>
      <c r="AK404" s="286">
        <f t="shared" si="3"/>
        <v>0</v>
      </c>
      <c r="AL404" s="287">
        <f t="shared" si="4"/>
        <v>-30</v>
      </c>
      <c r="AM404" s="287">
        <f t="shared" si="5"/>
        <v>-46</v>
      </c>
      <c r="AN404" s="279">
        <f t="shared" si="6"/>
        <v>2</v>
      </c>
      <c r="AO404" s="295" t="str">
        <f t="shared" si="7"/>
        <v>02/2026</v>
      </c>
      <c r="AP404" s="277" t="str">
        <f t="array" ref="AP404">IFERROR(XLOOKUP(L404,'2. DATA NL, VTBB'!C:C,'2. DATA NL, VTBB'!F:F),"")</f>
        <v>HH0225</v>
      </c>
      <c r="AQ404" s="277" t="str">
        <f t="array" ref="AQ404">IF(OR(K404="Nhãn", K404="Nhãn thùng",K404="Nhãn Túi"), K404 &amp; " " &amp; IFERROR(XLOOKUP(L404, '2. DATA NL, VTBB'!C:C, '2. DATA NL, VTBB'!E:E), ""), "")</f>
        <v/>
      </c>
      <c r="AR404" s="278" t="str">
        <f t="array" ref="AR404">IFERROR(XLOOKUP(L404,'2. DATA NL, VTBB'!C:C,'2. DATA NL, VTBB'!G:G),"")</f>
        <v>LOT IDA Global - I - 866 - ĐL Hoàng Châu Long - Thần Hổ (Pet tròn) (nắp vàng)(nước nâu đen) - 450ml - 40</v>
      </c>
      <c r="AS404" s="278" t="str">
        <f t="array" ref="AS404">IFERROR(XLOOKUP(L404,'2. DATA NL, VTBB'!C:C,'2. DATA NL, VTBB'!G:G),"")</f>
        <v>LOT IDA Global - I - 866 - ĐL Hoàng Châu Long - Thần Hổ (Pet tròn) (nắp vàng)(nước nâu đen) - 450ml - 40</v>
      </c>
      <c r="AT404" s="277"/>
    </row>
    <row r="405" ht="30.75" customHeight="1">
      <c r="A405" s="272">
        <f t="shared" si="44"/>
        <v>402</v>
      </c>
      <c r="B405" s="289">
        <v>46058.0</v>
      </c>
      <c r="C405" s="289">
        <v>46063.0</v>
      </c>
      <c r="D405" s="289">
        <v>46081.0</v>
      </c>
      <c r="E405" s="289">
        <v>46111.0</v>
      </c>
      <c r="F405" s="274" t="s">
        <v>561</v>
      </c>
      <c r="G405" s="275" t="s">
        <v>562</v>
      </c>
      <c r="H405" s="274" t="s">
        <v>304</v>
      </c>
      <c r="I405" s="275" t="s">
        <v>744</v>
      </c>
      <c r="J405" s="272" t="s">
        <v>1082</v>
      </c>
      <c r="K405" s="275" t="s">
        <v>730</v>
      </c>
      <c r="L405" s="277" t="s">
        <v>1084</v>
      </c>
      <c r="M405" s="278" t="str">
        <f t="array" ref="M405">IFERROR(XLOOKUP(L405,'2. DATA NL, VTBB'!C:C,'2. DATA NL, VTBB'!D:D),"")</f>
        <v>Nắp HDPE cổ 50 gruratee - Cam</v>
      </c>
      <c r="N405" s="280"/>
      <c r="O405" s="280" t="str">
        <f t="array" ref="O405">IFERROR( XLOOKUP(L405,'2. DATA NL, VTBB'!C:C,'2. DATA NL, VTBB'!E:E),"")</f>
        <v>Chitin 3.6EC</v>
      </c>
      <c r="P405" s="275" t="s">
        <v>565</v>
      </c>
      <c r="Q405" s="311"/>
      <c r="R405" s="290" t="s">
        <v>566</v>
      </c>
      <c r="S405" s="277"/>
      <c r="T405" s="277"/>
      <c r="U405" s="277"/>
      <c r="V405" s="283">
        <v>2000.0</v>
      </c>
      <c r="W405" s="275" t="s">
        <v>699</v>
      </c>
      <c r="X405" s="283">
        <v>2000.0</v>
      </c>
      <c r="Y405" s="274">
        <v>2160.0</v>
      </c>
      <c r="Z405" s="272">
        <v>1200.0</v>
      </c>
      <c r="AA405" s="285">
        <v>0.08</v>
      </c>
      <c r="AB405" s="282">
        <v>2799360.0</v>
      </c>
      <c r="AC405" s="277"/>
      <c r="AD405" s="289">
        <v>46058.0</v>
      </c>
      <c r="AE405" s="272">
        <v>883.0</v>
      </c>
      <c r="AF405" s="277"/>
      <c r="AG405" s="277"/>
      <c r="AH405" s="294">
        <f>IFERROR(__xludf.DUMMYFUNCTION("IFERROR(INDEX( SORT(FILTER(
        {'1. DATA CHUNG'!$J$4:$J$105 , '1. DATA CHUNG'!$L$4:$L$105}, (TRIM('1. DATA CHUNG'!$I$4:$I$105)=TRIM(K405)) * IF(COUNTIFS('1. DATA CHUNG'!$I$4:$I$105,K405,'1. DATA CHUNG'!$M$4:$M$105,Q405), '1. DATA CHUNG'!$M$4:$M$105=Q"&amp;"405, 1) * ('1. DATA CHUNG'!$L$4:$L$105&lt;=TODAY()) ),   2, 0),  1, 1), 
  IFERROR( INDEX(FILTER('1. DATA CHUNG'!$J$4:$J$105, (TRIM('1. DATA CHUNG'!$I$4:$I$105)=TRIM(K405)) * IF(COUNTIFS('1. DATA CHUNG'!$I$4:$I$105,K405,'1. DATA CHUNG'!$M$4:$M$105,Q405), '1."&amp;" DATA CHUNG'!$M$4:$M$105=Q405, 1) * ('1. DATA CHUNG'!$L$4:$L$105="""")), 1), ""Không tìm thấy"" ))"),7.0)</f>
        <v>7</v>
      </c>
      <c r="AI405" s="273">
        <f t="shared" si="2"/>
        <v>46065</v>
      </c>
      <c r="AJ405" s="287"/>
      <c r="AK405" s="286">
        <f t="shared" si="3"/>
        <v>0</v>
      </c>
      <c r="AL405" s="287">
        <f t="shared" si="4"/>
        <v>-30</v>
      </c>
      <c r="AM405" s="287">
        <f t="shared" si="5"/>
        <v>-46</v>
      </c>
      <c r="AN405" s="279">
        <f t="shared" si="6"/>
        <v>2</v>
      </c>
      <c r="AO405" s="295" t="str">
        <f t="shared" si="7"/>
        <v>02/2026</v>
      </c>
      <c r="AP405" s="277" t="str">
        <f t="array" ref="AP405">IFERROR(XLOOKUP(L405,'2. DATA NL, VTBB'!C:C,'2. DATA NL, VTBB'!F:F),"")</f>
        <v>HH0149</v>
      </c>
      <c r="AQ405" s="277" t="str">
        <f t="array" ref="AQ405">IF(OR(K405="Nhãn", K405="Nhãn thùng",K405="Nhãn Túi"), K405 &amp; " " &amp; IFERROR(XLOOKUP(L405, '2. DATA NL, VTBB'!C:C, '2. DATA NL, VTBB'!E:E), ""), "")</f>
        <v/>
      </c>
      <c r="AR405" s="278" t="str">
        <f t="array" ref="AR405">IFERROR(XLOOKUP(L405,'2. DATA NL, VTBB'!C:C,'2. DATA NL, VTBB'!G:G),"")</f>
        <v>LOT IDA Global - I - 867 - ĐL Bảo Hiền - Bò Cạp Thái(Pet tròn) (nắp vàng)(nước nâu đen) - 450ml - 40</v>
      </c>
      <c r="AS405" s="278" t="str">
        <f t="array" ref="AS405">IFERROR(XLOOKUP(L405,'2. DATA NL, VTBB'!C:C,'2. DATA NL, VTBB'!G:G),"")</f>
        <v>LOT IDA Global - I - 867 - ĐL Bảo Hiền - Bò Cạp Thái(Pet tròn) (nắp vàng)(nước nâu đen) - 450ml - 40</v>
      </c>
      <c r="AT405" s="277"/>
    </row>
    <row r="406" ht="30.75" customHeight="1">
      <c r="A406" s="272">
        <f t="shared" si="44"/>
        <v>403</v>
      </c>
      <c r="B406" s="289">
        <v>46058.0</v>
      </c>
      <c r="C406" s="289">
        <v>46063.0</v>
      </c>
      <c r="D406" s="289">
        <v>46081.0</v>
      </c>
      <c r="E406" s="289">
        <v>46111.0</v>
      </c>
      <c r="F406" s="274" t="s">
        <v>561</v>
      </c>
      <c r="G406" s="275" t="s">
        <v>562</v>
      </c>
      <c r="H406" s="274" t="s">
        <v>304</v>
      </c>
      <c r="I406" s="275" t="s">
        <v>744</v>
      </c>
      <c r="J406" s="272" t="s">
        <v>1085</v>
      </c>
      <c r="K406" s="275" t="s">
        <v>728</v>
      </c>
      <c r="L406" s="277" t="s">
        <v>1083</v>
      </c>
      <c r="M406" s="278" t="str">
        <f t="array" ref="M406">IFERROR(XLOOKUP(L406,'2. DATA NL, VTBB'!C:C,'2. DATA NL, VTBB'!D:D),"")</f>
        <v>Chai HDPE 300ml, tròn 2G vai Beehive cổ 50 (45g) - Cam</v>
      </c>
      <c r="N406" s="280"/>
      <c r="O406" s="280" t="str">
        <f t="array" ref="O406">IFERROR( XLOOKUP(L406,'2. DATA NL, VTBB'!C:C,'2. DATA NL, VTBB'!E:E),"")</f>
        <v>Chitin 3.6EC</v>
      </c>
      <c r="P406" s="275" t="s">
        <v>565</v>
      </c>
      <c r="Q406" s="311"/>
      <c r="R406" s="290" t="s">
        <v>566</v>
      </c>
      <c r="S406" s="277"/>
      <c r="T406" s="277"/>
      <c r="U406" s="277"/>
      <c r="V406" s="283">
        <v>2000.0</v>
      </c>
      <c r="W406" s="275" t="s">
        <v>699</v>
      </c>
      <c r="X406" s="283">
        <v>2000.0</v>
      </c>
      <c r="Y406" s="274">
        <v>1980.0</v>
      </c>
      <c r="Z406" s="272">
        <v>2600.0</v>
      </c>
      <c r="AA406" s="285">
        <v>0.08</v>
      </c>
      <c r="AB406" s="282">
        <v>5559840.0</v>
      </c>
      <c r="AC406" s="277"/>
      <c r="AD406" s="289">
        <v>46058.0</v>
      </c>
      <c r="AE406" s="272">
        <v>883.0</v>
      </c>
      <c r="AF406" s="277"/>
      <c r="AG406" s="277"/>
      <c r="AH406" s="294">
        <f>IFERROR(__xludf.DUMMYFUNCTION("IFERROR(INDEX( SORT(FILTER(
        {'1. DATA CHUNG'!$J$4:$J$105 , '1. DATA CHUNG'!$L$4:$L$105}, (TRIM('1. DATA CHUNG'!$I$4:$I$105)=TRIM(K406)) * IF(COUNTIFS('1. DATA CHUNG'!$I$4:$I$105,K406,'1. DATA CHUNG'!$M$4:$M$105,Q406), '1. DATA CHUNG'!$M$4:$M$105=Q"&amp;"406, 1) * ('1. DATA CHUNG'!$L$4:$L$105&lt;=TODAY()) ),   2, 0),  1, 1), 
  IFERROR( INDEX(FILTER('1. DATA CHUNG'!$J$4:$J$105, (TRIM('1. DATA CHUNG'!$I$4:$I$105)=TRIM(K406)) * IF(COUNTIFS('1. DATA CHUNG'!$I$4:$I$105,K406,'1. DATA CHUNG'!$M$4:$M$105,Q406), '1."&amp;" DATA CHUNG'!$M$4:$M$105=Q406, 1) * ('1. DATA CHUNG'!$L$4:$L$105="""")), 1), ""Không tìm thấy"" ))"),7.0)</f>
        <v>7</v>
      </c>
      <c r="AI406" s="273">
        <f t="shared" si="2"/>
        <v>46065</v>
      </c>
      <c r="AJ406" s="287"/>
      <c r="AK406" s="286">
        <f t="shared" si="3"/>
        <v>0</v>
      </c>
      <c r="AL406" s="287">
        <f t="shared" si="4"/>
        <v>-30</v>
      </c>
      <c r="AM406" s="287">
        <f t="shared" si="5"/>
        <v>-46</v>
      </c>
      <c r="AN406" s="279">
        <f t="shared" si="6"/>
        <v>2</v>
      </c>
      <c r="AO406" s="295" t="str">
        <f t="shared" si="7"/>
        <v>02/2026</v>
      </c>
      <c r="AP406" s="277" t="str">
        <f t="array" ref="AP406">IFERROR(XLOOKUP(L406,'2. DATA NL, VTBB'!C:C,'2. DATA NL, VTBB'!F:F),"")</f>
        <v>HH0225</v>
      </c>
      <c r="AQ406" s="277" t="str">
        <f t="array" ref="AQ406">IF(OR(K406="Nhãn", K406="Nhãn thùng",K406="Nhãn Túi"), K406 &amp; " " &amp; IFERROR(XLOOKUP(L406, '2. DATA NL, VTBB'!C:C, '2. DATA NL, VTBB'!E:E), ""), "")</f>
        <v/>
      </c>
      <c r="AR406" s="278" t="str">
        <f t="array" ref="AR406">IFERROR(XLOOKUP(L406,'2. DATA NL, VTBB'!C:C,'2. DATA NL, VTBB'!G:G),"")</f>
        <v>LOT IDA Global - I - 866 - ĐL Hoàng Châu Long - Thần Hổ (Pet tròn) (nắp vàng)(nước nâu đen) - 450ml - 40</v>
      </c>
      <c r="AS406" s="278" t="str">
        <f t="array" ref="AS406">IFERROR(XLOOKUP(L406,'2. DATA NL, VTBB'!C:C,'2. DATA NL, VTBB'!G:G),"")</f>
        <v>LOT IDA Global - I - 866 - ĐL Hoàng Châu Long - Thần Hổ (Pet tròn) (nắp vàng)(nước nâu đen) - 450ml - 40</v>
      </c>
      <c r="AT406" s="277"/>
    </row>
    <row r="407" ht="30.75" customHeight="1">
      <c r="A407" s="272">
        <f t="shared" si="44"/>
        <v>404</v>
      </c>
      <c r="B407" s="289">
        <v>46058.0</v>
      </c>
      <c r="C407" s="289">
        <v>46063.0</v>
      </c>
      <c r="D407" s="289">
        <v>46081.0</v>
      </c>
      <c r="E407" s="289">
        <v>46111.0</v>
      </c>
      <c r="F407" s="274" t="s">
        <v>561</v>
      </c>
      <c r="G407" s="275" t="s">
        <v>562</v>
      </c>
      <c r="H407" s="274" t="s">
        <v>304</v>
      </c>
      <c r="I407" s="275" t="s">
        <v>744</v>
      </c>
      <c r="J407" s="272" t="s">
        <v>1085</v>
      </c>
      <c r="K407" s="275" t="s">
        <v>730</v>
      </c>
      <c r="L407" s="277" t="s">
        <v>1084</v>
      </c>
      <c r="M407" s="278" t="str">
        <f t="array" ref="M407">IFERROR(XLOOKUP(L407,'2. DATA NL, VTBB'!C:C,'2. DATA NL, VTBB'!D:D),"")</f>
        <v>Nắp HDPE cổ 50 gruratee - Cam</v>
      </c>
      <c r="N407" s="280"/>
      <c r="O407" s="280" t="str">
        <f t="array" ref="O407">IFERROR( XLOOKUP(L407,'2. DATA NL, VTBB'!C:C,'2. DATA NL, VTBB'!E:E),"")</f>
        <v>Chitin 3.6EC</v>
      </c>
      <c r="P407" s="275" t="s">
        <v>565</v>
      </c>
      <c r="Q407" s="311"/>
      <c r="R407" s="290" t="s">
        <v>566</v>
      </c>
      <c r="S407" s="277"/>
      <c r="T407" s="277"/>
      <c r="U407" s="277"/>
      <c r="V407" s="283">
        <v>2000.0</v>
      </c>
      <c r="W407" s="275" t="s">
        <v>699</v>
      </c>
      <c r="X407" s="283">
        <v>2000.0</v>
      </c>
      <c r="Y407" s="274">
        <v>1980.0</v>
      </c>
      <c r="Z407" s="272">
        <v>1200.0</v>
      </c>
      <c r="AA407" s="285">
        <v>0.08</v>
      </c>
      <c r="AB407" s="282">
        <v>2566080.0</v>
      </c>
      <c r="AC407" s="277"/>
      <c r="AD407" s="289">
        <v>46058.0</v>
      </c>
      <c r="AE407" s="272">
        <v>883.0</v>
      </c>
      <c r="AF407" s="277"/>
      <c r="AG407" s="277"/>
      <c r="AH407" s="294">
        <f>IFERROR(__xludf.DUMMYFUNCTION("IFERROR(INDEX( SORT(FILTER(
        {'1. DATA CHUNG'!$J$4:$J$105 , '1. DATA CHUNG'!$L$4:$L$105}, (TRIM('1. DATA CHUNG'!$I$4:$I$105)=TRIM(K407)) * IF(COUNTIFS('1. DATA CHUNG'!$I$4:$I$105,K407,'1. DATA CHUNG'!$M$4:$M$105,Q407), '1. DATA CHUNG'!$M$4:$M$105=Q"&amp;"407, 1) * ('1. DATA CHUNG'!$L$4:$L$105&lt;=TODAY()) ),   2, 0),  1, 1), 
  IFERROR( INDEX(FILTER('1. DATA CHUNG'!$J$4:$J$105, (TRIM('1. DATA CHUNG'!$I$4:$I$105)=TRIM(K407)) * IF(COUNTIFS('1. DATA CHUNG'!$I$4:$I$105,K407,'1. DATA CHUNG'!$M$4:$M$105,Q407), '1."&amp;" DATA CHUNG'!$M$4:$M$105=Q407, 1) * ('1. DATA CHUNG'!$L$4:$L$105="""")), 1), ""Không tìm thấy"" ))"),7.0)</f>
        <v>7</v>
      </c>
      <c r="AI407" s="273">
        <f t="shared" si="2"/>
        <v>46065</v>
      </c>
      <c r="AJ407" s="287"/>
      <c r="AK407" s="286">
        <f t="shared" si="3"/>
        <v>0</v>
      </c>
      <c r="AL407" s="287">
        <f t="shared" si="4"/>
        <v>-30</v>
      </c>
      <c r="AM407" s="287">
        <f t="shared" si="5"/>
        <v>-46</v>
      </c>
      <c r="AN407" s="279">
        <f t="shared" si="6"/>
        <v>2</v>
      </c>
      <c r="AO407" s="295" t="str">
        <f t="shared" si="7"/>
        <v>02/2026</v>
      </c>
      <c r="AP407" s="277" t="str">
        <f t="array" ref="AP407">IFERROR(XLOOKUP(L407,'2. DATA NL, VTBB'!C:C,'2. DATA NL, VTBB'!F:F),"")</f>
        <v>HH0149</v>
      </c>
      <c r="AQ407" s="277" t="str">
        <f t="array" ref="AQ407">IF(OR(K407="Nhãn", K407="Nhãn thùng",K407="Nhãn Túi"), K407 &amp; " " &amp; IFERROR(XLOOKUP(L407, '2. DATA NL, VTBB'!C:C, '2. DATA NL, VTBB'!E:E), ""), "")</f>
        <v/>
      </c>
      <c r="AR407" s="278" t="str">
        <f t="array" ref="AR407">IFERROR(XLOOKUP(L407,'2. DATA NL, VTBB'!C:C,'2. DATA NL, VTBB'!G:G),"")</f>
        <v>LOT IDA Global - I - 867 - ĐL Bảo Hiền - Bò Cạp Thái(Pet tròn) (nắp vàng)(nước nâu đen) - 450ml - 40</v>
      </c>
      <c r="AS407" s="278" t="str">
        <f t="array" ref="AS407">IFERROR(XLOOKUP(L407,'2. DATA NL, VTBB'!C:C,'2. DATA NL, VTBB'!G:G),"")</f>
        <v>LOT IDA Global - I - 867 - ĐL Bảo Hiền - Bò Cạp Thái(Pet tròn) (nắp vàng)(nước nâu đen) - 450ml - 40</v>
      </c>
      <c r="AT407" s="277"/>
    </row>
    <row r="408" ht="30.75" customHeight="1">
      <c r="A408" s="272">
        <f t="shared" si="44"/>
        <v>405</v>
      </c>
      <c r="B408" s="289">
        <v>46059.0</v>
      </c>
      <c r="C408" s="289">
        <v>46066.0</v>
      </c>
      <c r="D408" s="289">
        <v>46082.0</v>
      </c>
      <c r="E408" s="289">
        <v>46111.0</v>
      </c>
      <c r="F408" s="274" t="s">
        <v>561</v>
      </c>
      <c r="G408" s="275" t="s">
        <v>562</v>
      </c>
      <c r="H408" s="274" t="s">
        <v>304</v>
      </c>
      <c r="I408" s="275" t="s">
        <v>744</v>
      </c>
      <c r="J408" s="272" t="s">
        <v>1086</v>
      </c>
      <c r="K408" s="275" t="s">
        <v>728</v>
      </c>
      <c r="L408" s="277" t="s">
        <v>965</v>
      </c>
      <c r="M408" s="278" t="str">
        <f t="array" ref="M408">IFERROR(XLOOKUP(L408,'2. DATA NL, VTBB'!C:C,'2. DATA NL, VTBB'!D:D),"")</f>
        <v>Chai Pet tròn cao giả nhôm 250ml cổ 33 (35gr) Màu bạc</v>
      </c>
      <c r="N408" s="280"/>
      <c r="O408" s="280" t="str">
        <f t="array" ref="O408">IFERROR( XLOOKUP(L408,'2. DATA NL, VTBB'!C:C,'2. DATA NL, VTBB'!E:E),"")</f>
        <v>Vi lượng Quantity New</v>
      </c>
      <c r="P408" s="275" t="s">
        <v>565</v>
      </c>
      <c r="Q408" s="311"/>
      <c r="R408" s="291" t="s">
        <v>573</v>
      </c>
      <c r="S408" s="277"/>
      <c r="T408" s="277"/>
      <c r="U408" s="277"/>
      <c r="V408" s="283">
        <v>2000.0</v>
      </c>
      <c r="W408" s="275" t="s">
        <v>699</v>
      </c>
      <c r="X408" s="283">
        <v>2000.0</v>
      </c>
      <c r="Y408" s="274">
        <v>2400.0</v>
      </c>
      <c r="Z408" s="272">
        <v>3010.0</v>
      </c>
      <c r="AA408" s="285">
        <v>0.08</v>
      </c>
      <c r="AB408" s="282">
        <v>7801920.0</v>
      </c>
      <c r="AC408" s="277"/>
      <c r="AD408" s="289">
        <v>46059.0</v>
      </c>
      <c r="AE408" s="312"/>
      <c r="AF408" s="277"/>
      <c r="AG408" s="277"/>
      <c r="AH408" s="294">
        <f>IFERROR(__xludf.DUMMYFUNCTION("IFERROR(INDEX( SORT(FILTER(
        {'1. DATA CHUNG'!$J$4:$J$105 , '1. DATA CHUNG'!$L$4:$L$105}, (TRIM('1. DATA CHUNG'!$I$4:$I$105)=TRIM(K408)) * IF(COUNTIFS('1. DATA CHUNG'!$I$4:$I$105,K408,'1. DATA CHUNG'!$M$4:$M$105,Q408), '1. DATA CHUNG'!$M$4:$M$105=Q"&amp;"408, 1) * ('1. DATA CHUNG'!$L$4:$L$105&lt;=TODAY()) ),   2, 0),  1, 1), 
  IFERROR( INDEX(FILTER('1. DATA CHUNG'!$J$4:$J$105, (TRIM('1. DATA CHUNG'!$I$4:$I$105)=TRIM(K408)) * IF(COUNTIFS('1. DATA CHUNG'!$I$4:$I$105,K408,'1. DATA CHUNG'!$M$4:$M$105,Q408), '1."&amp;" DATA CHUNG'!$M$4:$M$105=Q408, 1) * ('1. DATA CHUNG'!$L$4:$L$105="""")), 1), ""Không tìm thấy"" ))"),7.0)</f>
        <v>7</v>
      </c>
      <c r="AI408" s="273">
        <f t="shared" si="2"/>
        <v>46066</v>
      </c>
      <c r="AJ408" s="287"/>
      <c r="AK408" s="286">
        <f t="shared" si="3"/>
        <v>0</v>
      </c>
      <c r="AL408" s="287">
        <f t="shared" si="4"/>
        <v>-29</v>
      </c>
      <c r="AM408" s="287">
        <f t="shared" si="5"/>
        <v>-45</v>
      </c>
      <c r="AN408" s="279">
        <f t="shared" si="6"/>
        <v>0</v>
      </c>
      <c r="AO408" s="295" t="str">
        <f t="shared" si="7"/>
        <v>02/2026</v>
      </c>
      <c r="AP408" s="277" t="str">
        <f t="array" ref="AP408">IFERROR(XLOOKUP(L408,'2. DATA NL, VTBB'!C:C,'2. DATA NL, VTBB'!F:F),"")</f>
        <v>HH0082</v>
      </c>
      <c r="AQ408" s="277" t="str">
        <f t="array" ref="AQ408">IF(OR(K408="Nhãn", K408="Nhãn thùng",K408="Nhãn Túi"), K408 &amp; " " &amp; IFERROR(XLOOKUP(L408, '2. DATA NL, VTBB'!C:C, '2. DATA NL, VTBB'!E:E), ""), "")</f>
        <v/>
      </c>
      <c r="AR408" s="278" t="str">
        <f t="array" ref="AR408">IFERROR(XLOOKUP(L408,'2. DATA NL, VTBB'!C:C,'2. DATA NL, VTBB'!G:G),"")</f>
        <v>GC - II - 581 - A Thời GNH - Bung Chồi Vọt Đọt (Cây có múi) (Chai HD) - 500ml - 40</v>
      </c>
      <c r="AS408" s="278" t="str">
        <f t="array" ref="AS408">IFERROR(XLOOKUP(L408,'2. DATA NL, VTBB'!C:C,'2. DATA NL, VTBB'!G:G),"")</f>
        <v>GC - II - 581 - A Thời GNH - Bung Chồi Vọt Đọt (Cây có múi) (Chai HD) - 500ml - 40</v>
      </c>
      <c r="AT408" s="277"/>
    </row>
    <row r="409" ht="30.75" customHeight="1">
      <c r="A409" s="272">
        <f t="shared" si="44"/>
        <v>406</v>
      </c>
      <c r="B409" s="289">
        <v>46059.0</v>
      </c>
      <c r="C409" s="289">
        <v>46066.0</v>
      </c>
      <c r="D409" s="289">
        <v>46082.0</v>
      </c>
      <c r="E409" s="289">
        <v>46111.0</v>
      </c>
      <c r="F409" s="274" t="s">
        <v>561</v>
      </c>
      <c r="G409" s="275" t="s">
        <v>562</v>
      </c>
      <c r="H409" s="274" t="s">
        <v>304</v>
      </c>
      <c r="I409" s="275" t="s">
        <v>744</v>
      </c>
      <c r="J409" s="272" t="s">
        <v>1086</v>
      </c>
      <c r="K409" s="275" t="s">
        <v>730</v>
      </c>
      <c r="L409" s="277" t="s">
        <v>966</v>
      </c>
      <c r="M409" s="278" t="str">
        <f t="array" ref="M409">IFERROR(XLOOKUP(L409,'2. DATA NL, VTBB'!C:C,'2. DATA NL, VTBB'!D:D),"")</f>
        <v>Nắp PET cổ 33 (7.5g) - Màu Trắng</v>
      </c>
      <c r="N409" s="280"/>
      <c r="O409" s="280" t="str">
        <f t="array" ref="O409">IFERROR( XLOOKUP(L409,'2. DATA NL, VTBB'!C:C,'2. DATA NL, VTBB'!E:E),"")</f>
        <v>IMIPRID 10WP</v>
      </c>
      <c r="P409" s="275" t="s">
        <v>565</v>
      </c>
      <c r="Q409" s="311"/>
      <c r="R409" s="291" t="s">
        <v>573</v>
      </c>
      <c r="S409" s="277"/>
      <c r="T409" s="277"/>
      <c r="U409" s="277"/>
      <c r="V409" s="283">
        <v>2000.0</v>
      </c>
      <c r="W409" s="275" t="s">
        <v>699</v>
      </c>
      <c r="X409" s="283">
        <v>2000.0</v>
      </c>
      <c r="Y409" s="274">
        <v>2400.0</v>
      </c>
      <c r="Z409" s="272">
        <v>500.0</v>
      </c>
      <c r="AA409" s="285">
        <v>0.08</v>
      </c>
      <c r="AB409" s="282">
        <v>1296000.0</v>
      </c>
      <c r="AC409" s="277"/>
      <c r="AD409" s="289">
        <v>46059.0</v>
      </c>
      <c r="AE409" s="312"/>
      <c r="AF409" s="277"/>
      <c r="AG409" s="277"/>
      <c r="AH409" s="294">
        <f>IFERROR(__xludf.DUMMYFUNCTION("IFERROR(INDEX( SORT(FILTER(
        {'1. DATA CHUNG'!$J$4:$J$105 , '1. DATA CHUNG'!$L$4:$L$105}, (TRIM('1. DATA CHUNG'!$I$4:$I$105)=TRIM(K409)) * IF(COUNTIFS('1. DATA CHUNG'!$I$4:$I$105,K409,'1. DATA CHUNG'!$M$4:$M$105,Q409), '1. DATA CHUNG'!$M$4:$M$105=Q"&amp;"409, 1) * ('1. DATA CHUNG'!$L$4:$L$105&lt;=TODAY()) ),   2, 0),  1, 1), 
  IFERROR( INDEX(FILTER('1. DATA CHUNG'!$J$4:$J$105, (TRIM('1. DATA CHUNG'!$I$4:$I$105)=TRIM(K409)) * IF(COUNTIFS('1. DATA CHUNG'!$I$4:$I$105,K409,'1. DATA CHUNG'!$M$4:$M$105,Q409), '1."&amp;" DATA CHUNG'!$M$4:$M$105=Q409, 1) * ('1. DATA CHUNG'!$L$4:$L$105="""")), 1), ""Không tìm thấy"" ))"),7.0)</f>
        <v>7</v>
      </c>
      <c r="AI409" s="273">
        <f t="shared" si="2"/>
        <v>46066</v>
      </c>
      <c r="AJ409" s="287"/>
      <c r="AK409" s="286">
        <f t="shared" si="3"/>
        <v>0</v>
      </c>
      <c r="AL409" s="287">
        <f t="shared" si="4"/>
        <v>-29</v>
      </c>
      <c r="AM409" s="287">
        <f t="shared" si="5"/>
        <v>-45</v>
      </c>
      <c r="AN409" s="279">
        <f t="shared" si="6"/>
        <v>0</v>
      </c>
      <c r="AO409" s="295" t="str">
        <f t="shared" si="7"/>
        <v>02/2026</v>
      </c>
      <c r="AP409" s="277" t="str">
        <f t="array" ref="AP409">IFERROR(XLOOKUP(L409,'2. DATA NL, VTBB'!C:C,'2. DATA NL, VTBB'!F:F),"")</f>
        <v>HH0162</v>
      </c>
      <c r="AQ409" s="277" t="str">
        <f t="array" ref="AQ409">IF(OR(K409="Nhãn", K409="Nhãn thùng",K409="Nhãn Túi"), K409 &amp; " " &amp; IFERROR(XLOOKUP(L409, '2. DATA NL, VTBB'!C:C, '2. DATA NL, VTBB'!E:E), ""), "")</f>
        <v/>
      </c>
      <c r="AR409" s="278" t="str">
        <f t="array" ref="AR409">IFERROR(XLOOKUP(L409,'2. DATA NL, VTBB'!C:C,'2. DATA NL, VTBB'!G:G),"")</f>
        <v>GC - IV - 888 - Huy Phát - BI Pro Max - 100gr - 150</v>
      </c>
      <c r="AS409" s="278" t="str">
        <f t="array" ref="AS409">IFERROR(XLOOKUP(L409,'2. DATA NL, VTBB'!C:C,'2. DATA NL, VTBB'!G:G),"")</f>
        <v>GC - IV - 888 - Huy Phát - BI Pro Max - 100gr - 150</v>
      </c>
      <c r="AT409" s="277"/>
    </row>
    <row r="410" ht="30.75" customHeight="1">
      <c r="A410" s="272">
        <f t="shared" si="44"/>
        <v>407</v>
      </c>
      <c r="B410" s="289">
        <v>46059.0</v>
      </c>
      <c r="C410" s="289">
        <v>46066.0</v>
      </c>
      <c r="D410" s="289">
        <v>46082.0</v>
      </c>
      <c r="E410" s="289">
        <v>46111.0</v>
      </c>
      <c r="F410" s="274" t="s">
        <v>561</v>
      </c>
      <c r="G410" s="275" t="s">
        <v>562</v>
      </c>
      <c r="H410" s="274" t="s">
        <v>304</v>
      </c>
      <c r="I410" s="275" t="s">
        <v>744</v>
      </c>
      <c r="J410" s="272" t="s">
        <v>1086</v>
      </c>
      <c r="K410" s="275" t="s">
        <v>732</v>
      </c>
      <c r="L410" s="277" t="s">
        <v>967</v>
      </c>
      <c r="M410" s="278" t="str">
        <f t="array" ref="M410">IFERROR(XLOOKUP(L410,'2. DATA NL, VTBB'!C:C,'2. DATA NL, VTBB'!D:D),"")</f>
        <v>Cốc đong cổ 33 20ml - Trắng trong</v>
      </c>
      <c r="N410" s="280"/>
      <c r="O410" s="280" t="str">
        <f t="array" ref="O410">IFERROR( XLOOKUP(L410,'2. DATA NL, VTBB'!C:C,'2. DATA NL, VTBB'!E:E),"")</f>
        <v>Remy 19EC</v>
      </c>
      <c r="P410" s="275" t="s">
        <v>565</v>
      </c>
      <c r="Q410" s="311"/>
      <c r="R410" s="291" t="s">
        <v>573</v>
      </c>
      <c r="S410" s="277"/>
      <c r="T410" s="277"/>
      <c r="U410" s="277"/>
      <c r="V410" s="283">
        <v>2000.0</v>
      </c>
      <c r="W410" s="275" t="s">
        <v>699</v>
      </c>
      <c r="X410" s="283">
        <v>2000.0</v>
      </c>
      <c r="Y410" s="274">
        <v>2400.0</v>
      </c>
      <c r="Z410" s="272">
        <v>300.0</v>
      </c>
      <c r="AA410" s="285">
        <v>0.08</v>
      </c>
      <c r="AB410" s="282">
        <v>777600.0</v>
      </c>
      <c r="AC410" s="277"/>
      <c r="AD410" s="289">
        <v>46059.0</v>
      </c>
      <c r="AE410" s="312"/>
      <c r="AF410" s="277"/>
      <c r="AG410" s="277"/>
      <c r="AH410" s="294">
        <f>IFERROR(__xludf.DUMMYFUNCTION("IFERROR(INDEX( SORT(FILTER(
        {'1. DATA CHUNG'!$J$4:$J$105 , '1. DATA CHUNG'!$L$4:$L$105}, (TRIM('1. DATA CHUNG'!$I$4:$I$105)=TRIM(K410)) * IF(COUNTIFS('1. DATA CHUNG'!$I$4:$I$105,K410,'1. DATA CHUNG'!$M$4:$M$105,Q410), '1. DATA CHUNG'!$M$4:$M$105=Q"&amp;"410, 1) * ('1. DATA CHUNG'!$L$4:$L$105&lt;=TODAY()) ),   2, 0),  1, 1), 
  IFERROR( INDEX(FILTER('1. DATA CHUNG'!$J$4:$J$105, (TRIM('1. DATA CHUNG'!$I$4:$I$105)=TRIM(K410)) * IF(COUNTIFS('1. DATA CHUNG'!$I$4:$I$105,K410,'1. DATA CHUNG'!$M$4:$M$105,Q410), '1."&amp;" DATA CHUNG'!$M$4:$M$105=Q410, 1) * ('1. DATA CHUNG'!$L$4:$L$105="""")), 1), ""Không tìm thấy"" ))"),7.0)</f>
        <v>7</v>
      </c>
      <c r="AI410" s="273">
        <f t="shared" si="2"/>
        <v>46066</v>
      </c>
      <c r="AJ410" s="287"/>
      <c r="AK410" s="286">
        <f t="shared" si="3"/>
        <v>0</v>
      </c>
      <c r="AL410" s="287">
        <f t="shared" si="4"/>
        <v>-29</v>
      </c>
      <c r="AM410" s="287">
        <f t="shared" si="5"/>
        <v>-45</v>
      </c>
      <c r="AN410" s="279">
        <f t="shared" si="6"/>
        <v>0</v>
      </c>
      <c r="AO410" s="295" t="str">
        <f t="shared" si="7"/>
        <v>02/2026</v>
      </c>
      <c r="AP410" s="277" t="str">
        <f t="array" ref="AP410">IFERROR(XLOOKUP(L410,'2. DATA NL, VTBB'!C:C,'2. DATA NL, VTBB'!F:F),"")</f>
        <v>HH0007</v>
      </c>
      <c r="AQ410" s="277" t="str">
        <f t="array" ref="AQ410">IF(OR(K410="Nhãn", K410="Nhãn thùng",K410="Nhãn Túi"), K410 &amp; " " &amp; IFERROR(XLOOKUP(L410, '2. DATA NL, VTBB'!C:C, '2. DATA NL, VTBB'!E:E), ""), "")</f>
        <v/>
      </c>
      <c r="AR410" s="278" t="str">
        <f t="array" ref="AR410">IFERROR(XLOOKUP(L410,'2. DATA NL, VTBB'!C:C,'2. DATA NL, VTBB'!G:G),"")</f>
        <v>GC - IV - 850 - Huy Phát - Hufatin (PET vuông) - 450ml - 40</v>
      </c>
      <c r="AS410" s="278" t="str">
        <f t="array" ref="AS410">IFERROR(XLOOKUP(L410,'2. DATA NL, VTBB'!C:C,'2. DATA NL, VTBB'!G:G),"")</f>
        <v>GC - IV - 850 - Huy Phát - Hufatin (PET vuông) - 450ml - 40</v>
      </c>
      <c r="AT410" s="277"/>
    </row>
    <row r="411" ht="30.75" customHeight="1">
      <c r="A411" s="272">
        <f t="shared" si="44"/>
        <v>408</v>
      </c>
      <c r="B411" s="289">
        <v>46059.0</v>
      </c>
      <c r="C411" s="289">
        <v>46066.0</v>
      </c>
      <c r="D411" s="289">
        <v>46091.0</v>
      </c>
      <c r="E411" s="318"/>
      <c r="F411" s="274" t="s">
        <v>561</v>
      </c>
      <c r="G411" s="275" t="s">
        <v>580</v>
      </c>
      <c r="H411" s="274" t="s">
        <v>304</v>
      </c>
      <c r="I411" s="275" t="s">
        <v>806</v>
      </c>
      <c r="J411" s="272" t="s">
        <v>1087</v>
      </c>
      <c r="K411" s="275" t="s">
        <v>728</v>
      </c>
      <c r="L411" s="277" t="s">
        <v>808</v>
      </c>
      <c r="M411" s="278" t="str">
        <f t="array" ref="M411">IFERROR(XLOOKUP(L411,'2. DATA NL, VTBB'!C:C,'2. DATA NL, VTBB'!D:D),"")</f>
        <v>Chai nhôm tròn 250ml cổ 38 - Màu đỏ -  Nắp trắng, có cốc đong</v>
      </c>
      <c r="N411" s="280"/>
      <c r="O411" s="280" t="str">
        <f t="array" ref="O411">IFERROR( XLOOKUP(L411,'2. DATA NL, VTBB'!C:C,'2. DATA NL, VTBB'!E:E),"")</f>
        <v>Vi lượng Basel IDA 47</v>
      </c>
      <c r="P411" s="275" t="s">
        <v>565</v>
      </c>
      <c r="Q411" s="311"/>
      <c r="R411" s="291" t="s">
        <v>573</v>
      </c>
      <c r="S411" s="277"/>
      <c r="T411" s="277"/>
      <c r="U411" s="277"/>
      <c r="V411" s="283">
        <v>1000.0</v>
      </c>
      <c r="W411" s="275" t="s">
        <v>699</v>
      </c>
      <c r="X411" s="283">
        <v>1000.0</v>
      </c>
      <c r="Y411" s="274">
        <v>1800.0</v>
      </c>
      <c r="Z411" s="286">
        <v>10636.36</v>
      </c>
      <c r="AA411" s="285">
        <v>0.1</v>
      </c>
      <c r="AB411" s="282">
        <v>2.1059993E7</v>
      </c>
      <c r="AC411" s="277"/>
      <c r="AD411" s="289">
        <v>46059.0</v>
      </c>
      <c r="AE411" s="312"/>
      <c r="AF411" s="277"/>
      <c r="AG411" s="277"/>
      <c r="AH411" s="294">
        <f>IFERROR(__xludf.DUMMYFUNCTION("IFERROR(INDEX( SORT(FILTER(
        {'1. DATA CHUNG'!$J$4:$J$105 , '1. DATA CHUNG'!$L$4:$L$105}, (TRIM('1. DATA CHUNG'!$I$4:$I$105)=TRIM(K411)) * IF(COUNTIFS('1. DATA CHUNG'!$I$4:$I$105,K411,'1. DATA CHUNG'!$M$4:$M$105,Q411), '1. DATA CHUNG'!$M$4:$M$105=Q"&amp;"411, 1) * ('1. DATA CHUNG'!$L$4:$L$105&lt;=TODAY()) ),   2, 0),  1, 1), 
  IFERROR( INDEX(FILTER('1. DATA CHUNG'!$J$4:$J$105, (TRIM('1. DATA CHUNG'!$I$4:$I$105)=TRIM(K411)) * IF(COUNTIFS('1. DATA CHUNG'!$I$4:$I$105,K411,'1. DATA CHUNG'!$M$4:$M$105,Q411), '1."&amp;" DATA CHUNG'!$M$4:$M$105=Q411, 1) * ('1. DATA CHUNG'!$L$4:$L$105="""")), 1), ""Không tìm thấy"" ))"),7.0)</f>
        <v>7</v>
      </c>
      <c r="AI411" s="273">
        <f t="shared" si="2"/>
        <v>46066</v>
      </c>
      <c r="AJ411" s="287"/>
      <c r="AK411" s="286">
        <f t="shared" si="3"/>
        <v>0</v>
      </c>
      <c r="AL411" s="287" t="str">
        <f t="shared" si="4"/>
        <v/>
      </c>
      <c r="AM411" s="287" t="str">
        <f t="shared" si="5"/>
        <v/>
      </c>
      <c r="AN411" s="279">
        <f t="shared" si="6"/>
        <v>0</v>
      </c>
      <c r="AO411" s="295" t="str">
        <f t="shared" si="7"/>
        <v>02/2026</v>
      </c>
      <c r="AP411" s="277" t="str">
        <f t="array" ref="AP411">IFERROR(XLOOKUP(L411,'2. DATA NL, VTBB'!C:C,'2. DATA NL, VTBB'!F:F),"")</f>
        <v>HH0033</v>
      </c>
      <c r="AQ411" s="277" t="str">
        <f t="array" ref="AQ411">IF(OR(K411="Nhãn", K411="Nhãn thùng",K411="Nhãn Túi"), K411 &amp; " " &amp; IFERROR(XLOOKUP(L411, '2. DATA NL, VTBB'!C:C, '2. DATA NL, VTBB'!E:E), ""), "")</f>
        <v/>
      </c>
      <c r="AR411" s="278" t="str">
        <f t="array" ref="AR411">IFERROR(XLOOKUP(L411,'2. DATA NL, VTBB'!C:C,'2. DATA NL, VTBB'!G:G),"")</f>
        <v>IDA GLOBAL - I - 416 - Flower Top (drone) - 50ml - 300</v>
      </c>
      <c r="AS411" s="278" t="str">
        <f t="array" ref="AS411">IFERROR(XLOOKUP(L411,'2. DATA NL, VTBB'!C:C,'2. DATA NL, VTBB'!G:G),"")</f>
        <v>IDA GLOBAL - I - 416 - Flower Top (drone) - 50ml - 300</v>
      </c>
      <c r="AT411" s="277"/>
    </row>
    <row r="412" ht="30.75" customHeight="1">
      <c r="A412" s="272">
        <f t="shared" si="44"/>
        <v>409</v>
      </c>
      <c r="B412" s="289">
        <v>46059.0</v>
      </c>
      <c r="C412" s="289">
        <v>46066.0</v>
      </c>
      <c r="D412" s="289">
        <v>46091.0</v>
      </c>
      <c r="E412" s="318"/>
      <c r="F412" s="274" t="s">
        <v>561</v>
      </c>
      <c r="G412" s="275" t="s">
        <v>580</v>
      </c>
      <c r="H412" s="274" t="s">
        <v>304</v>
      </c>
      <c r="I412" s="275" t="s">
        <v>806</v>
      </c>
      <c r="J412" s="272" t="s">
        <v>1087</v>
      </c>
      <c r="K412" s="275" t="s">
        <v>730</v>
      </c>
      <c r="L412" s="277" t="s">
        <v>809</v>
      </c>
      <c r="M412" s="278" t="str">
        <f t="array" ref="M412">IFERROR(XLOOKUP(L412,'2. DATA NL, VTBB'!C:C,'2. DATA NL, VTBB'!D:D),"")</f>
        <v>Nắp chai nhôm cổ 38  - Màu trắng - Có cốc đong</v>
      </c>
      <c r="N412" s="280"/>
      <c r="O412" s="280" t="str">
        <f t="array" ref="O412">IFERROR( XLOOKUP(L412,'2. DATA NL, VTBB'!C:C,'2. DATA NL, VTBB'!E:E),"")</f>
        <v>Tiger five 6.5EC</v>
      </c>
      <c r="P412" s="275" t="s">
        <v>565</v>
      </c>
      <c r="Q412" s="311"/>
      <c r="R412" s="291" t="s">
        <v>573</v>
      </c>
      <c r="S412" s="277"/>
      <c r="T412" s="277"/>
      <c r="U412" s="277"/>
      <c r="V412" s="283">
        <v>1000.0</v>
      </c>
      <c r="W412" s="275" t="s">
        <v>699</v>
      </c>
      <c r="X412" s="283">
        <v>1000.0</v>
      </c>
      <c r="Y412" s="274">
        <v>1800.0</v>
      </c>
      <c r="Z412" s="287">
        <v>0.0</v>
      </c>
      <c r="AA412" s="285">
        <v>0.08</v>
      </c>
      <c r="AB412" s="282">
        <v>0.0</v>
      </c>
      <c r="AC412" s="277"/>
      <c r="AD412" s="289">
        <v>46059.0</v>
      </c>
      <c r="AE412" s="312"/>
      <c r="AF412" s="277"/>
      <c r="AG412" s="277"/>
      <c r="AH412" s="294">
        <f>IFERROR(__xludf.DUMMYFUNCTION("IFERROR(INDEX( SORT(FILTER(
        {'1. DATA CHUNG'!$J$4:$J$105 , '1. DATA CHUNG'!$L$4:$L$105}, (TRIM('1. DATA CHUNG'!$I$4:$I$105)=TRIM(K412)) * IF(COUNTIFS('1. DATA CHUNG'!$I$4:$I$105,K412,'1. DATA CHUNG'!$M$4:$M$105,Q412), '1. DATA CHUNG'!$M$4:$M$105=Q"&amp;"412, 1) * ('1. DATA CHUNG'!$L$4:$L$105&lt;=TODAY()) ),   2, 0),  1, 1), 
  IFERROR( INDEX(FILTER('1. DATA CHUNG'!$J$4:$J$105, (TRIM('1. DATA CHUNG'!$I$4:$I$105)=TRIM(K412)) * IF(COUNTIFS('1. DATA CHUNG'!$I$4:$I$105,K412,'1. DATA CHUNG'!$M$4:$M$105,Q412), '1."&amp;" DATA CHUNG'!$M$4:$M$105=Q412, 1) * ('1. DATA CHUNG'!$L$4:$L$105="""")), 1), ""Không tìm thấy"" ))"),7.0)</f>
        <v>7</v>
      </c>
      <c r="AI412" s="273">
        <f t="shared" si="2"/>
        <v>46066</v>
      </c>
      <c r="AJ412" s="287"/>
      <c r="AK412" s="286">
        <f t="shared" si="3"/>
        <v>0</v>
      </c>
      <c r="AL412" s="287" t="str">
        <f t="shared" si="4"/>
        <v/>
      </c>
      <c r="AM412" s="287" t="str">
        <f t="shared" si="5"/>
        <v/>
      </c>
      <c r="AN412" s="279">
        <f t="shared" si="6"/>
        <v>0</v>
      </c>
      <c r="AO412" s="295" t="str">
        <f t="shared" si="7"/>
        <v>02/2026</v>
      </c>
      <c r="AP412" s="277" t="str">
        <f t="array" ref="AP412">IFERROR(XLOOKUP(L412,'2. DATA NL, VTBB'!C:C,'2. DATA NL, VTBB'!F:F),"")</f>
        <v>HH0024</v>
      </c>
      <c r="AQ412" s="277" t="str">
        <f t="array" ref="AQ412">IF(OR(K412="Nhãn", K412="Nhãn thùng",K412="Nhãn Túi"), K412 &amp; " " &amp; IFERROR(XLOOKUP(L412, '2. DATA NL, VTBB'!C:C, '2. DATA NL, VTBB'!E:E), ""), "")</f>
        <v/>
      </c>
      <c r="AR412" s="278" t="str">
        <f t="array" ref="AR412">IFERROR(XLOOKUP(L412,'2. DATA NL, VTBB'!C:C,'2. DATA NL, VTBB'!G:G),"")</f>
        <v>GC - I - 363 - AU - Diệt sạch sâu - nhện AGC (Chai nhôm đỏ) - 220ml - 40</v>
      </c>
      <c r="AS412" s="278" t="str">
        <f t="array" ref="AS412">IFERROR(XLOOKUP(L412,'2. DATA NL, VTBB'!C:C,'2. DATA NL, VTBB'!G:G),"")</f>
        <v>GC - I - 363 - AU - Diệt sạch sâu - nhện AGC (Chai nhôm đỏ) - 220ml - 40</v>
      </c>
      <c r="AT412" s="277"/>
    </row>
    <row r="413" ht="30.75" customHeight="1">
      <c r="A413" s="272">
        <f t="shared" si="44"/>
        <v>410</v>
      </c>
      <c r="B413" s="289">
        <v>46060.0</v>
      </c>
      <c r="C413" s="289">
        <v>46066.0</v>
      </c>
      <c r="D413" s="289">
        <v>46111.0</v>
      </c>
      <c r="E413" s="289">
        <v>46080.0</v>
      </c>
      <c r="F413" s="274" t="s">
        <v>561</v>
      </c>
      <c r="G413" s="275" t="s">
        <v>562</v>
      </c>
      <c r="H413" s="274" t="s">
        <v>304</v>
      </c>
      <c r="I413" s="275" t="s">
        <v>726</v>
      </c>
      <c r="J413" s="272" t="s">
        <v>1088</v>
      </c>
      <c r="K413" s="275" t="s">
        <v>728</v>
      </c>
      <c r="L413" s="277" t="s">
        <v>788</v>
      </c>
      <c r="M413" s="278" t="str">
        <f t="array" ref="M413">IFERROR(XLOOKUP(L413,'2. DATA NL, VTBB'!C:C,'2. DATA NL, VTBB'!D:D),"")</f>
        <v>PN - Chai HDPE tròn cổ 63 500ml  (80g)  - Trắng</v>
      </c>
      <c r="N413" s="280"/>
      <c r="O413" s="280" t="str">
        <f t="array" ref="O413">IFERROR( XLOOKUP(L413,'2. DATA NL, VTBB'!C:C,'2. DATA NL, VTBB'!E:E),"")</f>
        <v>Creek 2.1EC</v>
      </c>
      <c r="P413" s="275" t="s">
        <v>565</v>
      </c>
      <c r="Q413" s="311"/>
      <c r="R413" s="290" t="s">
        <v>566</v>
      </c>
      <c r="S413" s="277"/>
      <c r="T413" s="277"/>
      <c r="U413" s="277"/>
      <c r="V413" s="283">
        <v>8000.0</v>
      </c>
      <c r="W413" s="275" t="s">
        <v>699</v>
      </c>
      <c r="X413" s="283">
        <v>8000.0</v>
      </c>
      <c r="Y413" s="274">
        <v>8064.0</v>
      </c>
      <c r="Z413" s="272">
        <v>3100.0</v>
      </c>
      <c r="AA413" s="285">
        <v>0.08</v>
      </c>
      <c r="AB413" s="282">
        <v>2.6998272E7</v>
      </c>
      <c r="AC413" s="277"/>
      <c r="AD413" s="289">
        <v>46060.0</v>
      </c>
      <c r="AE413" s="272">
        <v>703.0</v>
      </c>
      <c r="AF413" s="277"/>
      <c r="AG413" s="277"/>
      <c r="AH413" s="294">
        <f>IFERROR(__xludf.DUMMYFUNCTION("IFERROR(INDEX( SORT(FILTER(
        {'1. DATA CHUNG'!$J$4:$J$105 , '1. DATA CHUNG'!$L$4:$L$105}, (TRIM('1. DATA CHUNG'!$I$4:$I$105)=TRIM(K413)) * IF(COUNTIFS('1. DATA CHUNG'!$I$4:$I$105,K413,'1. DATA CHUNG'!$M$4:$M$105,Q413), '1. DATA CHUNG'!$M$4:$M$105=Q"&amp;"413, 1) * ('1. DATA CHUNG'!$L$4:$L$105&lt;=TODAY()) ),   2, 0),  1, 1), 
  IFERROR( INDEX(FILTER('1. DATA CHUNG'!$J$4:$J$105, (TRIM('1. DATA CHUNG'!$I$4:$I$105)=TRIM(K413)) * IF(COUNTIFS('1. DATA CHUNG'!$I$4:$I$105,K413,'1. DATA CHUNG'!$M$4:$M$105,Q413), '1."&amp;" DATA CHUNG'!$M$4:$M$105=Q413, 1) * ('1. DATA CHUNG'!$L$4:$L$105="""")), 1), ""Không tìm thấy"" ))"),7.0)</f>
        <v>7</v>
      </c>
      <c r="AI413" s="273">
        <f t="shared" si="2"/>
        <v>46067</v>
      </c>
      <c r="AJ413" s="287"/>
      <c r="AK413" s="286">
        <f t="shared" si="3"/>
        <v>0</v>
      </c>
      <c r="AL413" s="287">
        <f t="shared" si="4"/>
        <v>31</v>
      </c>
      <c r="AM413" s="287">
        <f t="shared" si="5"/>
        <v>-13</v>
      </c>
      <c r="AN413" s="279">
        <f t="shared" si="6"/>
        <v>1</v>
      </c>
      <c r="AO413" s="295" t="str">
        <f t="shared" si="7"/>
        <v>02/2026</v>
      </c>
      <c r="AP413" s="277" t="str">
        <f t="array" ref="AP413">IFERROR(XLOOKUP(L413,'2. DATA NL, VTBB'!C:C,'2. DATA NL, VTBB'!F:F),"")</f>
        <v>HH0212</v>
      </c>
      <c r="AQ413" s="277" t="str">
        <f t="array" ref="AQ413">IF(OR(K413="Nhãn", K413="Nhãn thùng",K413="Nhãn Túi"), K413 &amp; " " &amp; IFERROR(XLOOKUP(L413, '2. DATA NL, VTBB'!C:C, '2. DATA NL, VTBB'!E:E), ""), "")</f>
        <v/>
      </c>
      <c r="AR413" s="278" t="str">
        <f t="array" ref="AR413">IFERROR(XLOOKUP(L413,'2. DATA NL, VTBB'!C:C,'2. DATA NL, VTBB'!G:G),"")</f>
        <v>GC - IV - 833 - Huy Phát - HP Pro Max (nước đỏ)(Pet Vuông)- 400ml - 40</v>
      </c>
      <c r="AS413" s="278" t="str">
        <f t="array" ref="AS413">IFERROR(XLOOKUP(L413,'2. DATA NL, VTBB'!C:C,'2. DATA NL, VTBB'!G:G),"")</f>
        <v>GC - IV - 833 - Huy Phát - HP Pro Max (nước đỏ)(Pet Vuông)- 400ml - 40</v>
      </c>
      <c r="AT413" s="277"/>
    </row>
    <row r="414" ht="30.75" customHeight="1">
      <c r="A414" s="272">
        <f t="shared" si="44"/>
        <v>411</v>
      </c>
      <c r="B414" s="289">
        <v>46060.0</v>
      </c>
      <c r="C414" s="289">
        <v>46066.0</v>
      </c>
      <c r="D414" s="289">
        <v>46111.0</v>
      </c>
      <c r="E414" s="289">
        <v>46080.0</v>
      </c>
      <c r="F414" s="274" t="s">
        <v>561</v>
      </c>
      <c r="G414" s="275" t="s">
        <v>562</v>
      </c>
      <c r="H414" s="274" t="s">
        <v>304</v>
      </c>
      <c r="I414" s="275" t="s">
        <v>726</v>
      </c>
      <c r="J414" s="272" t="s">
        <v>1088</v>
      </c>
      <c r="K414" s="275" t="s">
        <v>730</v>
      </c>
      <c r="L414" s="277" t="s">
        <v>789</v>
      </c>
      <c r="M414" s="278" t="str">
        <f t="array" ref="M414">IFERROR(XLOOKUP(L414,'2. DATA NL, VTBB'!C:C,'2. DATA NL, VTBB'!D:D),"")</f>
        <v>PN - Nắp HDPE cổ 63 có gurantee  - Trắng</v>
      </c>
      <c r="N414" s="280"/>
      <c r="O414" s="280" t="str">
        <f t="array" ref="O414">IFERROR( XLOOKUP(L414,'2. DATA NL, VTBB'!C:C,'2. DATA NL, VTBB'!E:E),"")</f>
        <v>Creek 2.1EC</v>
      </c>
      <c r="P414" s="275" t="s">
        <v>565</v>
      </c>
      <c r="Q414" s="311"/>
      <c r="R414" s="290" t="s">
        <v>566</v>
      </c>
      <c r="S414" s="277"/>
      <c r="T414" s="277"/>
      <c r="U414" s="277"/>
      <c r="V414" s="283">
        <v>8000.0</v>
      </c>
      <c r="W414" s="275" t="s">
        <v>699</v>
      </c>
      <c r="X414" s="283">
        <v>8000.0</v>
      </c>
      <c r="Y414" s="274">
        <v>8064.0</v>
      </c>
      <c r="Z414" s="272">
        <v>1200.0</v>
      </c>
      <c r="AA414" s="285">
        <v>0.08</v>
      </c>
      <c r="AB414" s="282">
        <v>1.0450944E7</v>
      </c>
      <c r="AC414" s="277"/>
      <c r="AD414" s="289">
        <v>46060.0</v>
      </c>
      <c r="AE414" s="272">
        <v>703.0</v>
      </c>
      <c r="AF414" s="277"/>
      <c r="AG414" s="277"/>
      <c r="AH414" s="294">
        <f>IFERROR(__xludf.DUMMYFUNCTION("IFERROR(INDEX( SORT(FILTER(
        {'1. DATA CHUNG'!$J$4:$J$105 , '1. DATA CHUNG'!$L$4:$L$105}, (TRIM('1. DATA CHUNG'!$I$4:$I$105)=TRIM(K414)) * IF(COUNTIFS('1. DATA CHUNG'!$I$4:$I$105,K414,'1. DATA CHUNG'!$M$4:$M$105,Q414), '1. DATA CHUNG'!$M$4:$M$105=Q"&amp;"414, 1) * ('1. DATA CHUNG'!$L$4:$L$105&lt;=TODAY()) ),   2, 0),  1, 1), 
  IFERROR( INDEX(FILTER('1. DATA CHUNG'!$J$4:$J$105, (TRIM('1. DATA CHUNG'!$I$4:$I$105)=TRIM(K414)) * IF(COUNTIFS('1. DATA CHUNG'!$I$4:$I$105,K414,'1. DATA CHUNG'!$M$4:$M$105,Q414), '1."&amp;" DATA CHUNG'!$M$4:$M$105=Q414, 1) * ('1. DATA CHUNG'!$L$4:$L$105="""")), 1), ""Không tìm thấy"" ))"),7.0)</f>
        <v>7</v>
      </c>
      <c r="AI414" s="273">
        <f t="shared" si="2"/>
        <v>46067</v>
      </c>
      <c r="AJ414" s="287"/>
      <c r="AK414" s="286">
        <f t="shared" si="3"/>
        <v>0</v>
      </c>
      <c r="AL414" s="287">
        <f t="shared" si="4"/>
        <v>31</v>
      </c>
      <c r="AM414" s="287">
        <f t="shared" si="5"/>
        <v>-13</v>
      </c>
      <c r="AN414" s="279">
        <f t="shared" si="6"/>
        <v>1</v>
      </c>
      <c r="AO414" s="295" t="str">
        <f t="shared" si="7"/>
        <v>02/2026</v>
      </c>
      <c r="AP414" s="277" t="str">
        <f t="array" ref="AP414">IFERROR(XLOOKUP(L414,'2. DATA NL, VTBB'!C:C,'2. DATA NL, VTBB'!F:F),"")</f>
        <v>HH0136</v>
      </c>
      <c r="AQ414" s="277" t="str">
        <f t="array" ref="AQ414">IF(OR(K414="Nhãn", K414="Nhãn thùng",K414="Nhãn Túi"), K414 &amp; " " &amp; IFERROR(XLOOKUP(L414, '2. DATA NL, VTBB'!C:C, '2. DATA NL, VTBB'!E:E), ""), "")</f>
        <v/>
      </c>
      <c r="AR414" s="278" t="str">
        <f t="array" ref="AR414">IFERROR(XLOOKUP(L414,'2. DATA NL, VTBB'!C:C,'2. DATA NL, VTBB'!G:G),"")</f>
        <v>GC - IV - 833 - Huy Phát - HP Pro Max (nước đỏ)(Pet Vuông)- 400ml - 40</v>
      </c>
      <c r="AS414" s="278" t="str">
        <f t="array" ref="AS414">IFERROR(XLOOKUP(L414,'2. DATA NL, VTBB'!C:C,'2. DATA NL, VTBB'!G:G),"")</f>
        <v>GC - IV - 833 - Huy Phát - HP Pro Max (nước đỏ)(Pet Vuông)- 400ml - 40</v>
      </c>
      <c r="AT414" s="277"/>
    </row>
    <row r="415" ht="30.75" customHeight="1">
      <c r="A415" s="272">
        <f t="shared" si="44"/>
        <v>412</v>
      </c>
      <c r="B415" s="289">
        <v>46060.0</v>
      </c>
      <c r="C415" s="289">
        <v>46067.0</v>
      </c>
      <c r="D415" s="289">
        <v>46080.0</v>
      </c>
      <c r="E415" s="289">
        <v>46080.0</v>
      </c>
      <c r="F415" s="274" t="s">
        <v>561</v>
      </c>
      <c r="G415" s="275" t="s">
        <v>562</v>
      </c>
      <c r="H415" s="274" t="s">
        <v>304</v>
      </c>
      <c r="I415" s="275" t="s">
        <v>726</v>
      </c>
      <c r="J415" s="272" t="s">
        <v>1089</v>
      </c>
      <c r="K415" s="275" t="s">
        <v>728</v>
      </c>
      <c r="L415" s="277" t="s">
        <v>763</v>
      </c>
      <c r="M415" s="278" t="str">
        <f t="array" ref="M415">IFERROR(XLOOKUP(L415,'2. DATA NL, VTBB'!C:C,'2. DATA NL, VTBB'!D:D),"")</f>
        <v>Chai HDPE tròn 1 Lít cổ 50 (120gr) - Trắng</v>
      </c>
      <c r="N415" s="280"/>
      <c r="O415" s="280" t="str">
        <f t="array" ref="O415">IFERROR( XLOOKUP(L415,'2. DATA NL, VTBB'!C:C,'2. DATA NL, VTBB'!E:E),"")</f>
        <v>Prima 04</v>
      </c>
      <c r="P415" s="275" t="s">
        <v>565</v>
      </c>
      <c r="Q415" s="311"/>
      <c r="R415" s="291" t="s">
        <v>573</v>
      </c>
      <c r="S415" s="277"/>
      <c r="T415" s="277"/>
      <c r="U415" s="277"/>
      <c r="V415" s="283">
        <v>2000.0</v>
      </c>
      <c r="W415" s="275" t="s">
        <v>699</v>
      </c>
      <c r="X415" s="283">
        <v>2000.0</v>
      </c>
      <c r="Y415" s="274">
        <v>2250.0</v>
      </c>
      <c r="Z415" s="287">
        <v>5000.0</v>
      </c>
      <c r="AA415" s="285">
        <v>0.08</v>
      </c>
      <c r="AB415" s="282">
        <v>1.215E7</v>
      </c>
      <c r="AC415" s="277"/>
      <c r="AD415" s="289">
        <v>46060.0</v>
      </c>
      <c r="AE415" s="272">
        <v>703.0</v>
      </c>
      <c r="AF415" s="277"/>
      <c r="AG415" s="277"/>
      <c r="AH415" s="294">
        <f>IFERROR(__xludf.DUMMYFUNCTION("IFERROR(INDEX( SORT(FILTER(
        {'1. DATA CHUNG'!$J$4:$J$105 , '1. DATA CHUNG'!$L$4:$L$105}, (TRIM('1. DATA CHUNG'!$I$4:$I$105)=TRIM(K415)) * IF(COUNTIFS('1. DATA CHUNG'!$I$4:$I$105,K415,'1. DATA CHUNG'!$M$4:$M$105,Q415), '1. DATA CHUNG'!$M$4:$M$105=Q"&amp;"415, 1) * ('1. DATA CHUNG'!$L$4:$L$105&lt;=TODAY()) ),   2, 0),  1, 1), 
  IFERROR( INDEX(FILTER('1. DATA CHUNG'!$J$4:$J$105, (TRIM('1. DATA CHUNG'!$I$4:$I$105)=TRIM(K415)) * IF(COUNTIFS('1. DATA CHUNG'!$I$4:$I$105,K415,'1. DATA CHUNG'!$M$4:$M$105,Q415), '1."&amp;" DATA CHUNG'!$M$4:$M$105=Q415, 1) * ('1. DATA CHUNG'!$L$4:$L$105="""")), 1), ""Không tìm thấy"" ))"),7.0)</f>
        <v>7</v>
      </c>
      <c r="AI415" s="273">
        <f t="shared" si="2"/>
        <v>46067</v>
      </c>
      <c r="AJ415" s="287"/>
      <c r="AK415" s="286">
        <f t="shared" si="3"/>
        <v>0</v>
      </c>
      <c r="AL415" s="287">
        <f t="shared" si="4"/>
        <v>0</v>
      </c>
      <c r="AM415" s="287">
        <f t="shared" si="5"/>
        <v>-13</v>
      </c>
      <c r="AN415" s="279">
        <f t="shared" si="6"/>
        <v>0</v>
      </c>
      <c r="AO415" s="295" t="str">
        <f t="shared" si="7"/>
        <v>02/2026</v>
      </c>
      <c r="AP415" s="277" t="str">
        <f t="array" ref="AP415">IFERROR(XLOOKUP(L415,'2. DATA NL, VTBB'!C:C,'2. DATA NL, VTBB'!F:F),"")</f>
        <v>HH0116</v>
      </c>
      <c r="AQ415" s="277" t="str">
        <f t="array" ref="AQ415">IF(OR(K415="Nhãn", K415="Nhãn thùng",K415="Nhãn Túi"), K415 &amp; " " &amp; IFERROR(XLOOKUP(L415, '2. DATA NL, VTBB'!C:C, '2. DATA NL, VTBB'!E:E), ""), "")</f>
        <v/>
      </c>
      <c r="AR415" s="278" t="str">
        <f t="array" ref="AR415">IFERROR(XLOOKUP(L415,'2. DATA NL, VTBB'!C:C,'2. DATA NL, VTBB'!G:G),"")</f>
        <v>GC - II - 666 - AU - Gel Humiix - 20 kg - 1 ([btp],x,n)</v>
      </c>
      <c r="AS415" s="278" t="str">
        <f t="array" ref="AS415">IFERROR(XLOOKUP(L415,'2. DATA NL, VTBB'!C:C,'2. DATA NL, VTBB'!G:G),"")</f>
        <v>GC - II - 666 - AU - Gel Humiix - 20 kg - 1 ([btp],x,n)</v>
      </c>
      <c r="AT415" s="277"/>
    </row>
    <row r="416" ht="30.75" customHeight="1">
      <c r="A416" s="272">
        <f t="shared" si="44"/>
        <v>413</v>
      </c>
      <c r="B416" s="289">
        <v>46060.0</v>
      </c>
      <c r="C416" s="289">
        <v>46067.0</v>
      </c>
      <c r="D416" s="289">
        <v>46080.0</v>
      </c>
      <c r="E416" s="289">
        <v>46080.0</v>
      </c>
      <c r="F416" s="274" t="s">
        <v>561</v>
      </c>
      <c r="G416" s="275" t="s">
        <v>562</v>
      </c>
      <c r="H416" s="274" t="s">
        <v>304</v>
      </c>
      <c r="I416" s="275" t="s">
        <v>726</v>
      </c>
      <c r="J416" s="272" t="s">
        <v>1089</v>
      </c>
      <c r="K416" s="275" t="s">
        <v>730</v>
      </c>
      <c r="L416" s="277" t="s">
        <v>764</v>
      </c>
      <c r="M416" s="278" t="str">
        <f t="array" ref="M416">IFERROR(XLOOKUP(L416,'2. DATA NL, VTBB'!C:C,'2. DATA NL, VTBB'!D:D),"")</f>
        <v>Nắp HDPE có bèo cổ 50 (10gr) - Trắng</v>
      </c>
      <c r="N416" s="280"/>
      <c r="O416" s="280" t="str">
        <f t="array" ref="O416">IFERROR( XLOOKUP(L416,'2. DATA NL, VTBB'!C:C,'2. DATA NL, VTBB'!E:E),"")</f>
        <v>Vi lượng Quantity New</v>
      </c>
      <c r="P416" s="275" t="s">
        <v>565</v>
      </c>
      <c r="Q416" s="311"/>
      <c r="R416" s="291" t="s">
        <v>573</v>
      </c>
      <c r="S416" s="277"/>
      <c r="T416" s="277"/>
      <c r="U416" s="277"/>
      <c r="V416" s="283">
        <v>2000.0</v>
      </c>
      <c r="W416" s="275" t="s">
        <v>699</v>
      </c>
      <c r="X416" s="283">
        <v>2000.0</v>
      </c>
      <c r="Y416" s="274">
        <v>2250.0</v>
      </c>
      <c r="Z416" s="287">
        <v>900.0</v>
      </c>
      <c r="AA416" s="285">
        <v>0.08</v>
      </c>
      <c r="AB416" s="282">
        <v>2187000.0</v>
      </c>
      <c r="AC416" s="277"/>
      <c r="AD416" s="289">
        <v>46060.0</v>
      </c>
      <c r="AE416" s="272">
        <v>703.0</v>
      </c>
      <c r="AF416" s="277"/>
      <c r="AG416" s="277"/>
      <c r="AH416" s="294">
        <f>IFERROR(__xludf.DUMMYFUNCTION("IFERROR(INDEX( SORT(FILTER(
        {'1. DATA CHUNG'!$J$4:$J$105 , '1. DATA CHUNG'!$L$4:$L$105}, (TRIM('1. DATA CHUNG'!$I$4:$I$105)=TRIM(K416)) * IF(COUNTIFS('1. DATA CHUNG'!$I$4:$I$105,K416,'1. DATA CHUNG'!$M$4:$M$105,Q416), '1. DATA CHUNG'!$M$4:$M$105=Q"&amp;"416, 1) * ('1. DATA CHUNG'!$L$4:$L$105&lt;=TODAY()) ),   2, 0),  1, 1), 
  IFERROR( INDEX(FILTER('1. DATA CHUNG'!$J$4:$J$105, (TRIM('1. DATA CHUNG'!$I$4:$I$105)=TRIM(K416)) * IF(COUNTIFS('1. DATA CHUNG'!$I$4:$I$105,K416,'1. DATA CHUNG'!$M$4:$M$105,Q416), '1."&amp;" DATA CHUNG'!$M$4:$M$105=Q416, 1) * ('1. DATA CHUNG'!$L$4:$L$105="""")), 1), ""Không tìm thấy"" ))"),7.0)</f>
        <v>7</v>
      </c>
      <c r="AI416" s="273">
        <f t="shared" si="2"/>
        <v>46067</v>
      </c>
      <c r="AJ416" s="287"/>
      <c r="AK416" s="286">
        <f t="shared" si="3"/>
        <v>0</v>
      </c>
      <c r="AL416" s="287">
        <f t="shared" si="4"/>
        <v>0</v>
      </c>
      <c r="AM416" s="287">
        <f t="shared" si="5"/>
        <v>-13</v>
      </c>
      <c r="AN416" s="279">
        <f t="shared" si="6"/>
        <v>0</v>
      </c>
      <c r="AO416" s="295" t="str">
        <f t="shared" si="7"/>
        <v>02/2026</v>
      </c>
      <c r="AP416" s="277" t="str">
        <f t="array" ref="AP416">IFERROR(XLOOKUP(L416,'2. DATA NL, VTBB'!C:C,'2. DATA NL, VTBB'!F:F),"")</f>
        <v>HH0070</v>
      </c>
      <c r="AQ416" s="277" t="str">
        <f t="array" ref="AQ416">IF(OR(K416="Nhãn", K416="Nhãn thùng",K416="Nhãn Túi"), K416 &amp; " " &amp; IFERROR(XLOOKUP(L416, '2. DATA NL, VTBB'!C:C, '2. DATA NL, VTBB'!E:E), ""), "")</f>
        <v/>
      </c>
      <c r="AR416" s="278" t="str">
        <f t="array" ref="AR416">IFERROR(XLOOKUP(L416,'2. DATA NL, VTBB'!C:C,'2. DATA NL, VTBB'!G:G),"")</f>
        <v>GC - II - 591 - A Thời GNH - Chuyên lác (Chai HD) - 1L - 20</v>
      </c>
      <c r="AS416" s="278" t="str">
        <f t="array" ref="AS416">IFERROR(XLOOKUP(L416,'2. DATA NL, VTBB'!C:C,'2. DATA NL, VTBB'!G:G),"")</f>
        <v>GC - II - 591 - A Thời GNH - Chuyên lác (Chai HD) - 1L - 20</v>
      </c>
      <c r="AT416" s="277"/>
    </row>
    <row r="417" ht="30.75" customHeight="1">
      <c r="A417" s="272">
        <f t="shared" si="44"/>
        <v>414</v>
      </c>
      <c r="B417" s="289">
        <v>46060.0</v>
      </c>
      <c r="C417" s="289">
        <v>46067.0</v>
      </c>
      <c r="D417" s="289">
        <v>46111.0</v>
      </c>
      <c r="E417" s="289">
        <v>46111.0</v>
      </c>
      <c r="F417" s="274" t="s">
        <v>561</v>
      </c>
      <c r="G417" s="275" t="s">
        <v>562</v>
      </c>
      <c r="H417" s="274" t="s">
        <v>304</v>
      </c>
      <c r="I417" s="275" t="s">
        <v>744</v>
      </c>
      <c r="J417" s="272" t="s">
        <v>1090</v>
      </c>
      <c r="K417" s="275" t="s">
        <v>728</v>
      </c>
      <c r="L417" s="277" t="s">
        <v>917</v>
      </c>
      <c r="M417" s="278" t="str">
        <f t="array" ref="M417">IFERROR(XLOOKUP(L417,'2. DATA NL, VTBB'!C:C,'2. DATA NL, VTBB'!D:D),"")</f>
        <v>Chai HDPE tròn cổ 33 100ml - Trắng</v>
      </c>
      <c r="N417" s="280"/>
      <c r="O417" s="280" t="str">
        <f t="array" ref="O417">IFERROR( XLOOKUP(L417,'2. DATA NL, VTBB'!C:C,'2. DATA NL, VTBB'!E:E),"")</f>
        <v>Creek 2.1EC</v>
      </c>
      <c r="P417" s="275" t="s">
        <v>565</v>
      </c>
      <c r="Q417" s="311"/>
      <c r="R417" s="290" t="s">
        <v>566</v>
      </c>
      <c r="S417" s="277"/>
      <c r="T417" s="277"/>
      <c r="U417" s="277"/>
      <c r="V417" s="283">
        <v>2000.0</v>
      </c>
      <c r="W417" s="275" t="s">
        <v>699</v>
      </c>
      <c r="X417" s="283">
        <v>2000.0</v>
      </c>
      <c r="Y417" s="274">
        <v>2400.0</v>
      </c>
      <c r="Z417" s="272">
        <v>1540.0</v>
      </c>
      <c r="AA417" s="285">
        <v>0.08</v>
      </c>
      <c r="AB417" s="282">
        <v>3991680.0</v>
      </c>
      <c r="AC417" s="277"/>
      <c r="AD417" s="289">
        <v>46060.0</v>
      </c>
      <c r="AE417" s="272">
        <v>172.0</v>
      </c>
      <c r="AF417" s="277"/>
      <c r="AG417" s="277"/>
      <c r="AH417" s="294">
        <f>IFERROR(__xludf.DUMMYFUNCTION("IFERROR(INDEX( SORT(FILTER(
        {'1. DATA CHUNG'!$J$4:$J$105 , '1. DATA CHUNG'!$L$4:$L$105}, (TRIM('1. DATA CHUNG'!$I$4:$I$105)=TRIM(K417)) * IF(COUNTIFS('1. DATA CHUNG'!$I$4:$I$105,K417,'1. DATA CHUNG'!$M$4:$M$105,Q417), '1. DATA CHUNG'!$M$4:$M$105=Q"&amp;"417, 1) * ('1. DATA CHUNG'!$L$4:$L$105&lt;=TODAY()) ),   2, 0),  1, 1), 
  IFERROR( INDEX(FILTER('1. DATA CHUNG'!$J$4:$J$105, (TRIM('1. DATA CHUNG'!$I$4:$I$105)=TRIM(K417)) * IF(COUNTIFS('1. DATA CHUNG'!$I$4:$I$105,K417,'1. DATA CHUNG'!$M$4:$M$105,Q417), '1."&amp;" DATA CHUNG'!$M$4:$M$105=Q417, 1) * ('1. DATA CHUNG'!$L$4:$L$105="""")), 1), ""Không tìm thấy"" ))"),7.0)</f>
        <v>7</v>
      </c>
      <c r="AI417" s="273">
        <f t="shared" si="2"/>
        <v>46067</v>
      </c>
      <c r="AJ417" s="287"/>
      <c r="AK417" s="286">
        <f t="shared" si="3"/>
        <v>0</v>
      </c>
      <c r="AL417" s="287">
        <f t="shared" si="4"/>
        <v>0</v>
      </c>
      <c r="AM417" s="287">
        <f t="shared" si="5"/>
        <v>-44</v>
      </c>
      <c r="AN417" s="279">
        <f t="shared" si="6"/>
        <v>0</v>
      </c>
      <c r="AO417" s="295" t="str">
        <f t="shared" si="7"/>
        <v>02/2026</v>
      </c>
      <c r="AP417" s="277" t="str">
        <f t="array" ref="AP417">IFERROR(XLOOKUP(L417,'2. DATA NL, VTBB'!C:C,'2. DATA NL, VTBB'!F:F),"")</f>
        <v>HH0018</v>
      </c>
      <c r="AQ417" s="277" t="str">
        <f t="array" ref="AQ417">IF(OR(K417="Nhãn", K417="Nhãn thùng",K417="Nhãn Túi"), K417 &amp; " " &amp; IFERROR(XLOOKUP(L417, '2. DATA NL, VTBB'!C:C, '2. DATA NL, VTBB'!E:E), ""), "")</f>
        <v/>
      </c>
      <c r="AR417" s="278" t="str">
        <f t="array" ref="AR417">IFERROR(XLOOKUP(L417,'2. DATA NL, VTBB'!C:C,'2. DATA NL, VTBB'!G:G),"")</f>
        <v>LOT IDA Global - I - 312 - Creek 2.1EC (chai pet vuông)- 450ml - 40</v>
      </c>
      <c r="AS417" s="278" t="str">
        <f t="array" ref="AS417">IFERROR(XLOOKUP(L417,'2. DATA NL, VTBB'!C:C,'2. DATA NL, VTBB'!G:G),"")</f>
        <v>LOT IDA Global - I - 312 - Creek 2.1EC (chai pet vuông)- 450ml - 40</v>
      </c>
      <c r="AT417" s="277"/>
    </row>
    <row r="418" ht="30.75" customHeight="1">
      <c r="A418" s="272">
        <f t="shared" si="44"/>
        <v>415</v>
      </c>
      <c r="B418" s="289">
        <v>46060.0</v>
      </c>
      <c r="C418" s="289">
        <v>46067.0</v>
      </c>
      <c r="D418" s="289">
        <v>46111.0</v>
      </c>
      <c r="E418" s="289">
        <v>46111.0</v>
      </c>
      <c r="F418" s="274" t="s">
        <v>561</v>
      </c>
      <c r="G418" s="275" t="s">
        <v>562</v>
      </c>
      <c r="H418" s="274" t="s">
        <v>304</v>
      </c>
      <c r="I418" s="275" t="s">
        <v>744</v>
      </c>
      <c r="J418" s="272" t="s">
        <v>1090</v>
      </c>
      <c r="K418" s="275" t="s">
        <v>730</v>
      </c>
      <c r="L418" s="277" t="s">
        <v>918</v>
      </c>
      <c r="M418" s="278" t="str">
        <f t="array" ref="M418">IFERROR(XLOOKUP(L418,'2. DATA NL, VTBB'!C:C,'2. DATA NL, VTBB'!D:D),"")</f>
        <v>Nắp HDPE cổ 33 (5.5gr) trắng trơn</v>
      </c>
      <c r="N418" s="280"/>
      <c r="O418" s="280" t="str">
        <f t="array" ref="O418">IFERROR( XLOOKUP(L418,'2. DATA NL, VTBB'!C:C,'2. DATA NL, VTBB'!E:E),"")</f>
        <v>Leafroll 260SC</v>
      </c>
      <c r="P418" s="275" t="s">
        <v>565</v>
      </c>
      <c r="Q418" s="311"/>
      <c r="R418" s="290" t="s">
        <v>566</v>
      </c>
      <c r="S418" s="277"/>
      <c r="T418" s="277"/>
      <c r="U418" s="277"/>
      <c r="V418" s="283">
        <v>2000.0</v>
      </c>
      <c r="W418" s="275" t="s">
        <v>699</v>
      </c>
      <c r="X418" s="283">
        <v>2000.0</v>
      </c>
      <c r="Y418" s="274">
        <v>2400.0</v>
      </c>
      <c r="Z418" s="272">
        <v>500.0</v>
      </c>
      <c r="AA418" s="285">
        <v>0.08</v>
      </c>
      <c r="AB418" s="282">
        <v>1296000.0</v>
      </c>
      <c r="AC418" s="277"/>
      <c r="AD418" s="289">
        <v>46060.0</v>
      </c>
      <c r="AE418" s="272">
        <v>172.0</v>
      </c>
      <c r="AF418" s="277"/>
      <c r="AG418" s="277"/>
      <c r="AH418" s="294">
        <f>IFERROR(__xludf.DUMMYFUNCTION("IFERROR(INDEX( SORT(FILTER(
        {'1. DATA CHUNG'!$J$4:$J$105 , '1. DATA CHUNG'!$L$4:$L$105}, (TRIM('1. DATA CHUNG'!$I$4:$I$105)=TRIM(K418)) * IF(COUNTIFS('1. DATA CHUNG'!$I$4:$I$105,K418,'1. DATA CHUNG'!$M$4:$M$105,Q418), '1. DATA CHUNG'!$M$4:$M$105=Q"&amp;"418, 1) * ('1. DATA CHUNG'!$L$4:$L$105&lt;=TODAY()) ),   2, 0),  1, 1), 
  IFERROR( INDEX(FILTER('1. DATA CHUNG'!$J$4:$J$105, (TRIM('1. DATA CHUNG'!$I$4:$I$105)=TRIM(K418)) * IF(COUNTIFS('1. DATA CHUNG'!$I$4:$I$105,K418,'1. DATA CHUNG'!$M$4:$M$105,Q418), '1."&amp;" DATA CHUNG'!$M$4:$M$105=Q418, 1) * ('1. DATA CHUNG'!$L$4:$L$105="""")), 1), ""Không tìm thấy"" ))"),7.0)</f>
        <v>7</v>
      </c>
      <c r="AI418" s="273">
        <f t="shared" si="2"/>
        <v>46067</v>
      </c>
      <c r="AJ418" s="287"/>
      <c r="AK418" s="286">
        <f t="shared" si="3"/>
        <v>0</v>
      </c>
      <c r="AL418" s="287">
        <f t="shared" si="4"/>
        <v>0</v>
      </c>
      <c r="AM418" s="287">
        <f t="shared" si="5"/>
        <v>-44</v>
      </c>
      <c r="AN418" s="279">
        <f t="shared" si="6"/>
        <v>0</v>
      </c>
      <c r="AO418" s="295" t="str">
        <f t="shared" si="7"/>
        <v>02/2026</v>
      </c>
      <c r="AP418" s="277" t="str">
        <f t="array" ref="AP418">IFERROR(XLOOKUP(L418,'2. DATA NL, VTBB'!C:C,'2. DATA NL, VTBB'!F:F),"")</f>
        <v>HH0027</v>
      </c>
      <c r="AQ418" s="277" t="str">
        <f t="array" ref="AQ418">IF(OR(K418="Nhãn", K418="Nhãn thùng",K418="Nhãn Túi"), K418 &amp; " " &amp; IFERROR(XLOOKUP(L418, '2. DATA NL, VTBB'!C:C, '2. DATA NL, VTBB'!E:E), ""), "")</f>
        <v/>
      </c>
      <c r="AR418" s="278" t="str">
        <f t="array" ref="AR418">IFERROR(XLOOKUP(L418,'2. DATA NL, VTBB'!C:C,'2. DATA NL, VTBB'!G:G),"")</f>
        <v>IDA Global - I - 388 - YUMY Leafroll 260SC - 120ml - 100</v>
      </c>
      <c r="AS418" s="278" t="str">
        <f t="array" ref="AS418">IFERROR(XLOOKUP(L418,'2. DATA NL, VTBB'!C:C,'2. DATA NL, VTBB'!G:G),"")</f>
        <v>IDA Global - I - 388 - YUMY Leafroll 260SC - 120ml - 100</v>
      </c>
      <c r="AT418" s="277"/>
    </row>
    <row r="419" ht="30.75" customHeight="1">
      <c r="A419" s="272">
        <f t="shared" si="44"/>
        <v>416</v>
      </c>
      <c r="B419" s="289">
        <v>46062.0</v>
      </c>
      <c r="C419" s="289">
        <v>46067.0</v>
      </c>
      <c r="D419" s="289">
        <v>46111.0</v>
      </c>
      <c r="E419" s="289">
        <v>46111.0</v>
      </c>
      <c r="F419" s="274" t="s">
        <v>561</v>
      </c>
      <c r="G419" s="275" t="s">
        <v>562</v>
      </c>
      <c r="H419" s="274" t="s">
        <v>304</v>
      </c>
      <c r="I419" s="275" t="s">
        <v>744</v>
      </c>
      <c r="J419" s="272" t="s">
        <v>1091</v>
      </c>
      <c r="K419" s="275" t="s">
        <v>728</v>
      </c>
      <c r="L419" s="277" t="s">
        <v>917</v>
      </c>
      <c r="M419" s="278" t="str">
        <f t="array" ref="M419">IFERROR(XLOOKUP(L419,'2. DATA NL, VTBB'!C:C,'2. DATA NL, VTBB'!D:D),"")</f>
        <v>Chai HDPE tròn cổ 33 100ml - Trắng</v>
      </c>
      <c r="N419" s="280"/>
      <c r="O419" s="280" t="str">
        <f t="array" ref="O419">IFERROR( XLOOKUP(L419,'2. DATA NL, VTBB'!C:C,'2. DATA NL, VTBB'!E:E),"")</f>
        <v>Creek 2.1EC</v>
      </c>
      <c r="P419" s="275" t="s">
        <v>565</v>
      </c>
      <c r="Q419" s="311"/>
      <c r="R419" s="291" t="s">
        <v>573</v>
      </c>
      <c r="S419" s="277"/>
      <c r="T419" s="277"/>
      <c r="U419" s="277"/>
      <c r="V419" s="283">
        <v>2000.0</v>
      </c>
      <c r="W419" s="275" t="s">
        <v>699</v>
      </c>
      <c r="X419" s="283">
        <v>2000.0</v>
      </c>
      <c r="Y419" s="274">
        <v>2400.0</v>
      </c>
      <c r="Z419" s="312"/>
      <c r="AA419" s="285">
        <v>0.08</v>
      </c>
      <c r="AB419" s="282">
        <v>0.0</v>
      </c>
      <c r="AC419" s="277"/>
      <c r="AD419" s="289">
        <v>46062.0</v>
      </c>
      <c r="AE419" s="312"/>
      <c r="AF419" s="277"/>
      <c r="AG419" s="277"/>
      <c r="AH419" s="294">
        <f>IFERROR(__xludf.DUMMYFUNCTION("IFERROR(INDEX( SORT(FILTER(
        {'1. DATA CHUNG'!$J$4:$J$105 , '1. DATA CHUNG'!$L$4:$L$105}, (TRIM('1. DATA CHUNG'!$I$4:$I$105)=TRIM(K419)) * IF(COUNTIFS('1. DATA CHUNG'!$I$4:$I$105,K419,'1. DATA CHUNG'!$M$4:$M$105,Q419), '1. DATA CHUNG'!$M$4:$M$105=Q"&amp;"419, 1) * ('1. DATA CHUNG'!$L$4:$L$105&lt;=TODAY()) ),   2, 0),  1, 1), 
  IFERROR( INDEX(FILTER('1. DATA CHUNG'!$J$4:$J$105, (TRIM('1. DATA CHUNG'!$I$4:$I$105)=TRIM(K419)) * IF(COUNTIFS('1. DATA CHUNG'!$I$4:$I$105,K419,'1. DATA CHUNG'!$M$4:$M$105,Q419), '1."&amp;" DATA CHUNG'!$M$4:$M$105=Q419, 1) * ('1. DATA CHUNG'!$L$4:$L$105="""")), 1), ""Không tìm thấy"" ))"),7.0)</f>
        <v>7</v>
      </c>
      <c r="AI419" s="273">
        <f t="shared" si="2"/>
        <v>46069</v>
      </c>
      <c r="AJ419" s="287"/>
      <c r="AK419" s="286">
        <f t="shared" si="3"/>
        <v>0</v>
      </c>
      <c r="AL419" s="287">
        <f t="shared" si="4"/>
        <v>0</v>
      </c>
      <c r="AM419" s="287">
        <f t="shared" si="5"/>
        <v>-42</v>
      </c>
      <c r="AN419" s="279">
        <f t="shared" si="6"/>
        <v>2</v>
      </c>
      <c r="AO419" s="295" t="str">
        <f t="shared" si="7"/>
        <v>02/2026</v>
      </c>
      <c r="AP419" s="277" t="str">
        <f t="array" ref="AP419">IFERROR(XLOOKUP(L419,'2. DATA NL, VTBB'!C:C,'2. DATA NL, VTBB'!F:F),"")</f>
        <v>HH0018</v>
      </c>
      <c r="AQ419" s="277" t="str">
        <f t="array" ref="AQ419">IF(OR(K419="Nhãn", K419="Nhãn thùng",K419="Nhãn Túi"), K419 &amp; " " &amp; IFERROR(XLOOKUP(L419, '2. DATA NL, VTBB'!C:C, '2. DATA NL, VTBB'!E:E), ""), "")</f>
        <v/>
      </c>
      <c r="AR419" s="278" t="str">
        <f t="array" ref="AR419">IFERROR(XLOOKUP(L419,'2. DATA NL, VTBB'!C:C,'2. DATA NL, VTBB'!G:G),"")</f>
        <v>LOT IDA Global - I - 312 - Creek 2.1EC (chai pet vuông)- 450ml - 40</v>
      </c>
      <c r="AS419" s="278" t="str">
        <f t="array" ref="AS419">IFERROR(XLOOKUP(L419,'2. DATA NL, VTBB'!C:C,'2. DATA NL, VTBB'!G:G),"")</f>
        <v>LOT IDA Global - I - 312 - Creek 2.1EC (chai pet vuông)- 450ml - 40</v>
      </c>
      <c r="AT419" s="277"/>
    </row>
    <row r="420" ht="30.75" customHeight="1">
      <c r="A420" s="272">
        <f t="shared" si="44"/>
        <v>417</v>
      </c>
      <c r="B420" s="289">
        <v>46062.0</v>
      </c>
      <c r="C420" s="289">
        <v>46067.0</v>
      </c>
      <c r="D420" s="289">
        <v>46111.0</v>
      </c>
      <c r="E420" s="289">
        <v>46111.0</v>
      </c>
      <c r="F420" s="274" t="s">
        <v>561</v>
      </c>
      <c r="G420" s="275" t="s">
        <v>562</v>
      </c>
      <c r="H420" s="274" t="s">
        <v>304</v>
      </c>
      <c r="I420" s="275" t="s">
        <v>744</v>
      </c>
      <c r="J420" s="272" t="s">
        <v>1091</v>
      </c>
      <c r="K420" s="275" t="s">
        <v>730</v>
      </c>
      <c r="L420" s="277" t="s">
        <v>918</v>
      </c>
      <c r="M420" s="278" t="str">
        <f t="array" ref="M420">IFERROR(XLOOKUP(L420,'2. DATA NL, VTBB'!C:C,'2. DATA NL, VTBB'!D:D),"")</f>
        <v>Nắp HDPE cổ 33 (5.5gr) trắng trơn</v>
      </c>
      <c r="N420" s="280"/>
      <c r="O420" s="280" t="str">
        <f t="array" ref="O420">IFERROR( XLOOKUP(L420,'2. DATA NL, VTBB'!C:C,'2. DATA NL, VTBB'!E:E),"")</f>
        <v>Leafroll 260SC</v>
      </c>
      <c r="P420" s="275" t="s">
        <v>565</v>
      </c>
      <c r="Q420" s="311"/>
      <c r="R420" s="291" t="s">
        <v>573</v>
      </c>
      <c r="S420" s="277"/>
      <c r="T420" s="277"/>
      <c r="U420" s="277"/>
      <c r="V420" s="283">
        <v>2000.0</v>
      </c>
      <c r="W420" s="275" t="s">
        <v>699</v>
      </c>
      <c r="X420" s="283">
        <v>2000.0</v>
      </c>
      <c r="Y420" s="274">
        <v>2400.0</v>
      </c>
      <c r="Z420" s="312"/>
      <c r="AA420" s="285">
        <v>0.08</v>
      </c>
      <c r="AB420" s="282">
        <v>0.0</v>
      </c>
      <c r="AC420" s="277"/>
      <c r="AD420" s="289">
        <v>46062.0</v>
      </c>
      <c r="AE420" s="312"/>
      <c r="AF420" s="277"/>
      <c r="AG420" s="277"/>
      <c r="AH420" s="294">
        <f>IFERROR(__xludf.DUMMYFUNCTION("IFERROR(INDEX( SORT(FILTER(
        {'1. DATA CHUNG'!$J$4:$J$105 , '1. DATA CHUNG'!$L$4:$L$105}, (TRIM('1. DATA CHUNG'!$I$4:$I$105)=TRIM(K420)) * IF(COUNTIFS('1. DATA CHUNG'!$I$4:$I$105,K420,'1. DATA CHUNG'!$M$4:$M$105,Q420), '1. DATA CHUNG'!$M$4:$M$105=Q"&amp;"420, 1) * ('1. DATA CHUNG'!$L$4:$L$105&lt;=TODAY()) ),   2, 0),  1, 1), 
  IFERROR( INDEX(FILTER('1. DATA CHUNG'!$J$4:$J$105, (TRIM('1. DATA CHUNG'!$I$4:$I$105)=TRIM(K420)) * IF(COUNTIFS('1. DATA CHUNG'!$I$4:$I$105,K420,'1. DATA CHUNG'!$M$4:$M$105,Q420), '1."&amp;" DATA CHUNG'!$M$4:$M$105=Q420, 1) * ('1. DATA CHUNG'!$L$4:$L$105="""")), 1), ""Không tìm thấy"" ))"),7.0)</f>
        <v>7</v>
      </c>
      <c r="AI420" s="273">
        <f t="shared" si="2"/>
        <v>46069</v>
      </c>
      <c r="AJ420" s="287"/>
      <c r="AK420" s="286">
        <f t="shared" si="3"/>
        <v>0</v>
      </c>
      <c r="AL420" s="287">
        <f t="shared" si="4"/>
        <v>0</v>
      </c>
      <c r="AM420" s="287">
        <f t="shared" si="5"/>
        <v>-42</v>
      </c>
      <c r="AN420" s="279">
        <f t="shared" si="6"/>
        <v>2</v>
      </c>
      <c r="AO420" s="295" t="str">
        <f t="shared" si="7"/>
        <v>02/2026</v>
      </c>
      <c r="AP420" s="277" t="str">
        <f t="array" ref="AP420">IFERROR(XLOOKUP(L420,'2. DATA NL, VTBB'!C:C,'2. DATA NL, VTBB'!F:F),"")</f>
        <v>HH0027</v>
      </c>
      <c r="AQ420" s="277" t="str">
        <f t="array" ref="AQ420">IF(OR(K420="Nhãn", K420="Nhãn thùng",K420="Nhãn Túi"), K420 &amp; " " &amp; IFERROR(XLOOKUP(L420, '2. DATA NL, VTBB'!C:C, '2. DATA NL, VTBB'!E:E), ""), "")</f>
        <v/>
      </c>
      <c r="AR420" s="278" t="str">
        <f t="array" ref="AR420">IFERROR(XLOOKUP(L420,'2. DATA NL, VTBB'!C:C,'2. DATA NL, VTBB'!G:G),"")</f>
        <v>IDA Global - I - 388 - YUMY Leafroll 260SC - 120ml - 100</v>
      </c>
      <c r="AS420" s="278" t="str">
        <f t="array" ref="AS420">IFERROR(XLOOKUP(L420,'2. DATA NL, VTBB'!C:C,'2. DATA NL, VTBB'!G:G),"")</f>
        <v>IDA Global - I - 388 - YUMY Leafroll 260SC - 120ml - 100</v>
      </c>
      <c r="AT420" s="277"/>
    </row>
    <row r="421" ht="30.75" customHeight="1">
      <c r="A421" s="272">
        <f t="shared" si="44"/>
        <v>418</v>
      </c>
      <c r="B421" s="289">
        <v>46062.0</v>
      </c>
      <c r="C421" s="289">
        <v>46067.0</v>
      </c>
      <c r="D421" s="289">
        <v>46111.0</v>
      </c>
      <c r="E421" s="289">
        <v>46111.0</v>
      </c>
      <c r="F421" s="274" t="s">
        <v>561</v>
      </c>
      <c r="G421" s="275" t="s">
        <v>562</v>
      </c>
      <c r="H421" s="274" t="s">
        <v>304</v>
      </c>
      <c r="I421" s="275" t="s">
        <v>744</v>
      </c>
      <c r="J421" s="272" t="s">
        <v>1092</v>
      </c>
      <c r="K421" s="275" t="s">
        <v>728</v>
      </c>
      <c r="L421" s="277" t="s">
        <v>1083</v>
      </c>
      <c r="M421" s="278" t="str">
        <f t="array" ref="M421">IFERROR(XLOOKUP(L421,'2. DATA NL, VTBB'!C:C,'2. DATA NL, VTBB'!D:D),"")</f>
        <v>Chai HDPE 300ml, tròn 2G vai Beehive cổ 50 (45g) - Cam</v>
      </c>
      <c r="N421" s="280"/>
      <c r="O421" s="280" t="str">
        <f t="array" ref="O421">IFERROR( XLOOKUP(L421,'2. DATA NL, VTBB'!C:C,'2. DATA NL, VTBB'!E:E),"")</f>
        <v>Chitin 3.6EC</v>
      </c>
      <c r="P421" s="275" t="s">
        <v>565</v>
      </c>
      <c r="Q421" s="311"/>
      <c r="R421" s="291" t="s">
        <v>573</v>
      </c>
      <c r="S421" s="277"/>
      <c r="T421" s="277"/>
      <c r="U421" s="277"/>
      <c r="V421" s="283">
        <v>3000.0</v>
      </c>
      <c r="W421" s="275" t="s">
        <v>699</v>
      </c>
      <c r="X421" s="283">
        <v>3000.0</v>
      </c>
      <c r="Y421" s="274">
        <v>3060.0</v>
      </c>
      <c r="Z421" s="272">
        <v>2600.0</v>
      </c>
      <c r="AA421" s="285">
        <v>0.08</v>
      </c>
      <c r="AB421" s="282">
        <v>8592480.0</v>
      </c>
      <c r="AC421" s="277"/>
      <c r="AD421" s="289">
        <v>46062.0</v>
      </c>
      <c r="AE421" s="312"/>
      <c r="AF421" s="277"/>
      <c r="AG421" s="277"/>
      <c r="AH421" s="294">
        <f>IFERROR(__xludf.DUMMYFUNCTION("IFERROR(INDEX( SORT(FILTER(
        {'1. DATA CHUNG'!$J$4:$J$105 , '1. DATA CHUNG'!$L$4:$L$105}, (TRIM('1. DATA CHUNG'!$I$4:$I$105)=TRIM(K421)) * IF(COUNTIFS('1. DATA CHUNG'!$I$4:$I$105,K421,'1. DATA CHUNG'!$M$4:$M$105,Q421), '1. DATA CHUNG'!$M$4:$M$105=Q"&amp;"421, 1) * ('1. DATA CHUNG'!$L$4:$L$105&lt;=TODAY()) ),   2, 0),  1, 1), 
  IFERROR( INDEX(FILTER('1. DATA CHUNG'!$J$4:$J$105, (TRIM('1. DATA CHUNG'!$I$4:$I$105)=TRIM(K421)) * IF(COUNTIFS('1. DATA CHUNG'!$I$4:$I$105,K421,'1. DATA CHUNG'!$M$4:$M$105,Q421), '1."&amp;" DATA CHUNG'!$M$4:$M$105=Q421, 1) * ('1. DATA CHUNG'!$L$4:$L$105="""")), 1), ""Không tìm thấy"" ))"),7.0)</f>
        <v>7</v>
      </c>
      <c r="AI421" s="273">
        <f t="shared" si="2"/>
        <v>46069</v>
      </c>
      <c r="AJ421" s="287"/>
      <c r="AK421" s="286">
        <f t="shared" si="3"/>
        <v>0</v>
      </c>
      <c r="AL421" s="287">
        <f t="shared" si="4"/>
        <v>0</v>
      </c>
      <c r="AM421" s="287">
        <f t="shared" si="5"/>
        <v>-42</v>
      </c>
      <c r="AN421" s="279">
        <f t="shared" si="6"/>
        <v>2</v>
      </c>
      <c r="AO421" s="295" t="str">
        <f t="shared" si="7"/>
        <v>02/2026</v>
      </c>
      <c r="AP421" s="277" t="str">
        <f t="array" ref="AP421">IFERROR(XLOOKUP(L421,'2. DATA NL, VTBB'!C:C,'2. DATA NL, VTBB'!F:F),"")</f>
        <v>HH0225</v>
      </c>
      <c r="AQ421" s="277" t="str">
        <f t="array" ref="AQ421">IF(OR(K421="Nhãn", K421="Nhãn thùng",K421="Nhãn Túi"), K421 &amp; " " &amp; IFERROR(XLOOKUP(L421, '2. DATA NL, VTBB'!C:C, '2. DATA NL, VTBB'!E:E), ""), "")</f>
        <v/>
      </c>
      <c r="AR421" s="278" t="str">
        <f t="array" ref="AR421">IFERROR(XLOOKUP(L421,'2. DATA NL, VTBB'!C:C,'2. DATA NL, VTBB'!G:G),"")</f>
        <v>LOT IDA Global - I - 866 - ĐL Hoàng Châu Long - Thần Hổ (Pet tròn) (nắp vàng)(nước nâu đen) - 450ml - 40</v>
      </c>
      <c r="AS421" s="278" t="str">
        <f t="array" ref="AS421">IFERROR(XLOOKUP(L421,'2. DATA NL, VTBB'!C:C,'2. DATA NL, VTBB'!G:G),"")</f>
        <v>LOT IDA Global - I - 866 - ĐL Hoàng Châu Long - Thần Hổ (Pet tròn) (nắp vàng)(nước nâu đen) - 450ml - 40</v>
      </c>
      <c r="AT421" s="277"/>
    </row>
    <row r="422" ht="30.75" customHeight="1">
      <c r="A422" s="272">
        <f t="shared" si="44"/>
        <v>419</v>
      </c>
      <c r="B422" s="289">
        <v>46062.0</v>
      </c>
      <c r="C422" s="289">
        <v>46067.0</v>
      </c>
      <c r="D422" s="289">
        <v>46111.0</v>
      </c>
      <c r="E422" s="289">
        <v>46111.0</v>
      </c>
      <c r="F422" s="274" t="s">
        <v>561</v>
      </c>
      <c r="G422" s="275" t="s">
        <v>562</v>
      </c>
      <c r="H422" s="274" t="s">
        <v>304</v>
      </c>
      <c r="I422" s="275" t="s">
        <v>744</v>
      </c>
      <c r="J422" s="272" t="s">
        <v>1092</v>
      </c>
      <c r="K422" s="275" t="s">
        <v>730</v>
      </c>
      <c r="L422" s="277" t="s">
        <v>1084</v>
      </c>
      <c r="M422" s="278" t="str">
        <f t="array" ref="M422">IFERROR(XLOOKUP(L422,'2. DATA NL, VTBB'!C:C,'2. DATA NL, VTBB'!D:D),"")</f>
        <v>Nắp HDPE cổ 50 gruratee - Cam</v>
      </c>
      <c r="N422" s="280"/>
      <c r="O422" s="280" t="str">
        <f t="array" ref="O422">IFERROR( XLOOKUP(L422,'2. DATA NL, VTBB'!C:C,'2. DATA NL, VTBB'!E:E),"")</f>
        <v>Chitin 3.6EC</v>
      </c>
      <c r="P422" s="275" t="s">
        <v>565</v>
      </c>
      <c r="Q422" s="311"/>
      <c r="R422" s="291" t="s">
        <v>573</v>
      </c>
      <c r="S422" s="277"/>
      <c r="T422" s="277"/>
      <c r="U422" s="277"/>
      <c r="V422" s="283">
        <v>3000.0</v>
      </c>
      <c r="W422" s="275" t="s">
        <v>699</v>
      </c>
      <c r="X422" s="283">
        <v>3000.0</v>
      </c>
      <c r="Y422" s="274">
        <v>3060.0</v>
      </c>
      <c r="Z422" s="272">
        <v>1200.0</v>
      </c>
      <c r="AA422" s="285">
        <v>0.08</v>
      </c>
      <c r="AB422" s="282">
        <v>3965760.0</v>
      </c>
      <c r="AC422" s="277"/>
      <c r="AD422" s="289">
        <v>46062.0</v>
      </c>
      <c r="AE422" s="312"/>
      <c r="AF422" s="277"/>
      <c r="AG422" s="277"/>
      <c r="AH422" s="294">
        <f>IFERROR(__xludf.DUMMYFUNCTION("IFERROR(INDEX( SORT(FILTER(
        {'1. DATA CHUNG'!$J$4:$J$105 , '1. DATA CHUNG'!$L$4:$L$105}, (TRIM('1. DATA CHUNG'!$I$4:$I$105)=TRIM(K422)) * IF(COUNTIFS('1. DATA CHUNG'!$I$4:$I$105,K422,'1. DATA CHUNG'!$M$4:$M$105,Q422), '1. DATA CHUNG'!$M$4:$M$105=Q"&amp;"422, 1) * ('1. DATA CHUNG'!$L$4:$L$105&lt;=TODAY()) ),   2, 0),  1, 1), 
  IFERROR( INDEX(FILTER('1. DATA CHUNG'!$J$4:$J$105, (TRIM('1. DATA CHUNG'!$I$4:$I$105)=TRIM(K422)) * IF(COUNTIFS('1. DATA CHUNG'!$I$4:$I$105,K422,'1. DATA CHUNG'!$M$4:$M$105,Q422), '1."&amp;" DATA CHUNG'!$M$4:$M$105=Q422, 1) * ('1. DATA CHUNG'!$L$4:$L$105="""")), 1), ""Không tìm thấy"" ))"),7.0)</f>
        <v>7</v>
      </c>
      <c r="AI422" s="273">
        <f t="shared" si="2"/>
        <v>46069</v>
      </c>
      <c r="AJ422" s="287"/>
      <c r="AK422" s="286">
        <f t="shared" si="3"/>
        <v>0</v>
      </c>
      <c r="AL422" s="287">
        <f t="shared" si="4"/>
        <v>0</v>
      </c>
      <c r="AM422" s="287">
        <f t="shared" si="5"/>
        <v>-42</v>
      </c>
      <c r="AN422" s="279">
        <f t="shared" si="6"/>
        <v>2</v>
      </c>
      <c r="AO422" s="295" t="str">
        <f t="shared" si="7"/>
        <v>02/2026</v>
      </c>
      <c r="AP422" s="277" t="str">
        <f t="array" ref="AP422">IFERROR(XLOOKUP(L422,'2. DATA NL, VTBB'!C:C,'2. DATA NL, VTBB'!F:F),"")</f>
        <v>HH0149</v>
      </c>
      <c r="AQ422" s="277" t="str">
        <f t="array" ref="AQ422">IF(OR(K422="Nhãn", K422="Nhãn thùng",K422="Nhãn Túi"), K422 &amp; " " &amp; IFERROR(XLOOKUP(L422, '2. DATA NL, VTBB'!C:C, '2. DATA NL, VTBB'!E:E), ""), "")</f>
        <v/>
      </c>
      <c r="AR422" s="278" t="str">
        <f t="array" ref="AR422">IFERROR(XLOOKUP(L422,'2. DATA NL, VTBB'!C:C,'2. DATA NL, VTBB'!G:G),"")</f>
        <v>LOT IDA Global - I - 867 - ĐL Bảo Hiền - Bò Cạp Thái(Pet tròn) (nắp vàng)(nước nâu đen) - 450ml - 40</v>
      </c>
      <c r="AS422" s="278" t="str">
        <f t="array" ref="AS422">IFERROR(XLOOKUP(L422,'2. DATA NL, VTBB'!C:C,'2. DATA NL, VTBB'!G:G),"")</f>
        <v>LOT IDA Global - I - 867 - ĐL Bảo Hiền - Bò Cạp Thái(Pet tròn) (nắp vàng)(nước nâu đen) - 450ml - 40</v>
      </c>
      <c r="AT422" s="277"/>
    </row>
    <row r="423" ht="30.75" customHeight="1">
      <c r="A423" s="272">
        <f t="shared" si="44"/>
        <v>420</v>
      </c>
      <c r="B423" s="289">
        <v>46062.0</v>
      </c>
      <c r="C423" s="289">
        <v>46077.0</v>
      </c>
      <c r="D423" s="289">
        <v>46080.0</v>
      </c>
      <c r="E423" s="289">
        <v>46080.0</v>
      </c>
      <c r="F423" s="274" t="s">
        <v>561</v>
      </c>
      <c r="G423" s="275" t="s">
        <v>562</v>
      </c>
      <c r="H423" s="274" t="s">
        <v>304</v>
      </c>
      <c r="I423" s="275" t="s">
        <v>726</v>
      </c>
      <c r="J423" s="272" t="s">
        <v>1093</v>
      </c>
      <c r="K423" s="275" t="s">
        <v>728</v>
      </c>
      <c r="L423" s="277" t="s">
        <v>944</v>
      </c>
      <c r="M423" s="278" t="str">
        <f t="array" ref="M423">IFERROR(XLOOKUP(L423,'2. DATA NL, VTBB'!C:C,'2. DATA NL, VTBB'!D:D),"")</f>
        <v>Chai HDPE tròn cổ 49 (50gr) 250ml trắng -  Nắp trắng</v>
      </c>
      <c r="N423" s="280"/>
      <c r="O423" s="280" t="str">
        <f t="array" ref="O423">IFERROR( XLOOKUP(L423,'2. DATA NL, VTBB'!C:C,'2. DATA NL, VTBB'!E:E),"")</f>
        <v>TVZEB 800WP</v>
      </c>
      <c r="P423" s="275" t="s">
        <v>565</v>
      </c>
      <c r="Q423" s="311"/>
      <c r="R423" s="290" t="s">
        <v>566</v>
      </c>
      <c r="S423" s="277"/>
      <c r="T423" s="277"/>
      <c r="U423" s="277"/>
      <c r="V423" s="283">
        <v>2000.0</v>
      </c>
      <c r="W423" s="275" t="s">
        <v>699</v>
      </c>
      <c r="X423" s="283">
        <v>2000.0</v>
      </c>
      <c r="Y423" s="274">
        <v>2160.0</v>
      </c>
      <c r="Z423" s="272">
        <v>2300.0</v>
      </c>
      <c r="AA423" s="285">
        <v>0.08</v>
      </c>
      <c r="AB423" s="282">
        <v>5365440.0</v>
      </c>
      <c r="AC423" s="277"/>
      <c r="AD423" s="289">
        <v>46062.0</v>
      </c>
      <c r="AE423" s="272">
        <v>703.0</v>
      </c>
      <c r="AF423" s="277"/>
      <c r="AG423" s="277"/>
      <c r="AH423" s="294">
        <f>IFERROR(__xludf.DUMMYFUNCTION("IFERROR(INDEX( SORT(FILTER(
        {'1. DATA CHUNG'!$J$4:$J$105 , '1. DATA CHUNG'!$L$4:$L$105}, (TRIM('1. DATA CHUNG'!$I$4:$I$105)=TRIM(K423)) * IF(COUNTIFS('1. DATA CHUNG'!$I$4:$I$105,K423,'1. DATA CHUNG'!$M$4:$M$105,Q423), '1. DATA CHUNG'!$M$4:$M$105=Q"&amp;"423, 1) * ('1. DATA CHUNG'!$L$4:$L$105&lt;=TODAY()) ),   2, 0),  1, 1), 
  IFERROR( INDEX(FILTER('1. DATA CHUNG'!$J$4:$J$105, (TRIM('1. DATA CHUNG'!$I$4:$I$105)=TRIM(K423)) * IF(COUNTIFS('1. DATA CHUNG'!$I$4:$I$105,K423,'1. DATA CHUNG'!$M$4:$M$105,Q423), '1."&amp;" DATA CHUNG'!$M$4:$M$105=Q423, 1) * ('1. DATA CHUNG'!$L$4:$L$105="""")), 1), ""Không tìm thấy"" ))"),7.0)</f>
        <v>7</v>
      </c>
      <c r="AI423" s="273">
        <f t="shared" si="2"/>
        <v>46069</v>
      </c>
      <c r="AJ423" s="287"/>
      <c r="AK423" s="286">
        <f t="shared" si="3"/>
        <v>0</v>
      </c>
      <c r="AL423" s="287">
        <f t="shared" si="4"/>
        <v>0</v>
      </c>
      <c r="AM423" s="287">
        <f t="shared" si="5"/>
        <v>-11</v>
      </c>
      <c r="AN423" s="279">
        <f t="shared" si="6"/>
        <v>-8</v>
      </c>
      <c r="AO423" s="295" t="str">
        <f t="shared" si="7"/>
        <v>02/2026</v>
      </c>
      <c r="AP423" s="277" t="str">
        <f t="array" ref="AP423">IFERROR(XLOOKUP(L423,'2. DATA NL, VTBB'!C:C,'2. DATA NL, VTBB'!F:F),"")</f>
        <v>HH0057</v>
      </c>
      <c r="AQ423" s="277" t="str">
        <f t="array" ref="AQ423">IF(OR(K423="Nhãn", K423="Nhãn thùng",K423="Nhãn Túi"), K423 &amp; " " &amp; IFERROR(XLOOKUP(L423, '2. DATA NL, VTBB'!C:C, '2. DATA NL, VTBB'!E:E), ""), "")</f>
        <v/>
      </c>
      <c r="AR423" s="278" t="str">
        <f t="array" ref="AR423">IFERROR(XLOOKUP(L423,'2. DATA NL, VTBB'!C:C,'2. DATA NL, VTBB'!G:G),"")</f>
        <v>GC - I - 491 - AU - Manco xanh (Nhãn đỏ) - 1kg - 20</v>
      </c>
      <c r="AS423" s="278" t="str">
        <f t="array" ref="AS423">IFERROR(XLOOKUP(L423,'2. DATA NL, VTBB'!C:C,'2. DATA NL, VTBB'!G:G),"")</f>
        <v>GC - I - 491 - AU - Manco xanh (Nhãn đỏ) - 1kg - 20</v>
      </c>
      <c r="AT423" s="277"/>
    </row>
    <row r="424" ht="30.75" customHeight="1">
      <c r="A424" s="272">
        <f t="shared" si="44"/>
        <v>421</v>
      </c>
      <c r="B424" s="289">
        <v>46062.0</v>
      </c>
      <c r="C424" s="289">
        <v>46077.0</v>
      </c>
      <c r="D424" s="289">
        <v>46080.0</v>
      </c>
      <c r="E424" s="289">
        <v>46080.0</v>
      </c>
      <c r="F424" s="274" t="s">
        <v>561</v>
      </c>
      <c r="G424" s="275" t="s">
        <v>562</v>
      </c>
      <c r="H424" s="274" t="s">
        <v>304</v>
      </c>
      <c r="I424" s="275" t="s">
        <v>726</v>
      </c>
      <c r="J424" s="272" t="s">
        <v>1093</v>
      </c>
      <c r="K424" s="275" t="s">
        <v>730</v>
      </c>
      <c r="L424" s="277" t="s">
        <v>731</v>
      </c>
      <c r="M424" s="278" t="str">
        <f t="array" ref="M424">IFERROR(XLOOKUP(L424,'2. DATA NL, VTBB'!C:C,'2. DATA NL, VTBB'!D:D),"")</f>
        <v>Nắp HDPE cổ 49 (7.5gr)  có gurantee  - Trắng</v>
      </c>
      <c r="N424" s="280"/>
      <c r="O424" s="280" t="str">
        <f t="array" ref="O424">IFERROR( XLOOKUP(L424,'2. DATA NL, VTBB'!C:C,'2. DATA NL, VTBB'!E:E),"")</f>
        <v>Chitin 3.6EC</v>
      </c>
      <c r="P424" s="275" t="s">
        <v>565</v>
      </c>
      <c r="Q424" s="311"/>
      <c r="R424" s="290" t="s">
        <v>566</v>
      </c>
      <c r="S424" s="277"/>
      <c r="T424" s="277"/>
      <c r="U424" s="277"/>
      <c r="V424" s="283">
        <v>2000.0</v>
      </c>
      <c r="W424" s="275" t="s">
        <v>699</v>
      </c>
      <c r="X424" s="283">
        <v>2000.0</v>
      </c>
      <c r="Y424" s="274">
        <v>2160.0</v>
      </c>
      <c r="Z424" s="272">
        <v>900.0</v>
      </c>
      <c r="AA424" s="285">
        <v>0.08</v>
      </c>
      <c r="AB424" s="282">
        <v>2099520.0</v>
      </c>
      <c r="AC424" s="277"/>
      <c r="AD424" s="289">
        <v>46062.0</v>
      </c>
      <c r="AE424" s="272">
        <v>703.0</v>
      </c>
      <c r="AF424" s="277"/>
      <c r="AG424" s="277"/>
      <c r="AH424" s="294">
        <f>IFERROR(__xludf.DUMMYFUNCTION("IFERROR(INDEX( SORT(FILTER(
        {'1. DATA CHUNG'!$J$4:$J$105 , '1. DATA CHUNG'!$L$4:$L$105}, (TRIM('1. DATA CHUNG'!$I$4:$I$105)=TRIM(K424)) * IF(COUNTIFS('1. DATA CHUNG'!$I$4:$I$105,K424,'1. DATA CHUNG'!$M$4:$M$105,Q424), '1. DATA CHUNG'!$M$4:$M$105=Q"&amp;"424, 1) * ('1. DATA CHUNG'!$L$4:$L$105&lt;=TODAY()) ),   2, 0),  1, 1), 
  IFERROR( INDEX(FILTER('1. DATA CHUNG'!$J$4:$J$105, (TRIM('1. DATA CHUNG'!$I$4:$I$105)=TRIM(K424)) * IF(COUNTIFS('1. DATA CHUNG'!$I$4:$I$105,K424,'1. DATA CHUNG'!$M$4:$M$105,Q424), '1."&amp;" DATA CHUNG'!$M$4:$M$105=Q424, 1) * ('1. DATA CHUNG'!$L$4:$L$105="""")), 1), ""Không tìm thấy"" ))"),7.0)</f>
        <v>7</v>
      </c>
      <c r="AI424" s="273">
        <f t="shared" si="2"/>
        <v>46069</v>
      </c>
      <c r="AJ424" s="287"/>
      <c r="AK424" s="286">
        <f t="shared" si="3"/>
        <v>0</v>
      </c>
      <c r="AL424" s="287">
        <f t="shared" si="4"/>
        <v>0</v>
      </c>
      <c r="AM424" s="287">
        <f t="shared" si="5"/>
        <v>-11</v>
      </c>
      <c r="AN424" s="279">
        <f t="shared" si="6"/>
        <v>-8</v>
      </c>
      <c r="AO424" s="295" t="str">
        <f t="shared" si="7"/>
        <v>02/2026</v>
      </c>
      <c r="AP424" s="277" t="str">
        <f t="array" ref="AP424">IFERROR(XLOOKUP(L424,'2. DATA NL, VTBB'!C:C,'2. DATA NL, VTBB'!F:F),"")</f>
        <v>HH0144</v>
      </c>
      <c r="AQ424" s="277" t="str">
        <f t="array" ref="AQ424">IF(OR(K424="Nhãn", K424="Nhãn thùng",K424="Nhãn Túi"), K424 &amp; " " &amp; IFERROR(XLOOKUP(L424, '2. DATA NL, VTBB'!C:C, '2. DATA NL, VTBB'!E:E), ""), "")</f>
        <v/>
      </c>
      <c r="AR424" s="278" t="str">
        <f t="array" ref="AR424">IFERROR(XLOOKUP(L424,'2. DATA NL, VTBB'!C:C,'2. DATA NL, VTBB'!G:G),"")</f>
        <v>GC - IV - 862 - Agritech - Agritech Abamectin 36 (Chai Vuông) (Nước nâu đen) - 450ml - 40</v>
      </c>
      <c r="AS424" s="278" t="str">
        <f t="array" ref="AS424">IFERROR(XLOOKUP(L424,'2. DATA NL, VTBB'!C:C,'2. DATA NL, VTBB'!G:G),"")</f>
        <v>GC - IV - 862 - Agritech - Agritech Abamectin 36 (Chai Vuông) (Nước nâu đen) - 450ml - 40</v>
      </c>
      <c r="AT424" s="277"/>
    </row>
    <row r="425" ht="30.75" customHeight="1">
      <c r="A425" s="272">
        <f t="shared" si="44"/>
        <v>422</v>
      </c>
      <c r="B425" s="289">
        <v>46062.0</v>
      </c>
      <c r="C425" s="289">
        <v>46077.0</v>
      </c>
      <c r="D425" s="289">
        <v>46111.0</v>
      </c>
      <c r="E425" s="289">
        <v>46080.0</v>
      </c>
      <c r="F425" s="274" t="s">
        <v>561</v>
      </c>
      <c r="G425" s="275" t="s">
        <v>562</v>
      </c>
      <c r="H425" s="274" t="s">
        <v>304</v>
      </c>
      <c r="I425" s="275" t="s">
        <v>726</v>
      </c>
      <c r="J425" s="272" t="s">
        <v>1093</v>
      </c>
      <c r="K425" s="275" t="s">
        <v>732</v>
      </c>
      <c r="L425" s="277" t="s">
        <v>733</v>
      </c>
      <c r="M425" s="278" t="str">
        <f t="array" ref="M425">IFERROR(XLOOKUP(L425,'2. DATA NL, VTBB'!C:C,'2. DATA NL, VTBB'!D:D),"")</f>
        <v>Cốc đong cổ 49 50ml - Trắng trong</v>
      </c>
      <c r="N425" s="280"/>
      <c r="O425" s="280" t="str">
        <f t="array" ref="O425">IFERROR( XLOOKUP(L425,'2. DATA NL, VTBB'!C:C,'2. DATA NL, VTBB'!E:E),"")</f>
        <v>PICOSUPER 280SC</v>
      </c>
      <c r="P425" s="275" t="s">
        <v>565</v>
      </c>
      <c r="Q425" s="311"/>
      <c r="R425" s="290" t="s">
        <v>566</v>
      </c>
      <c r="S425" s="277"/>
      <c r="T425" s="277"/>
      <c r="U425" s="277"/>
      <c r="V425" s="283">
        <v>2000.0</v>
      </c>
      <c r="W425" s="275" t="s">
        <v>699</v>
      </c>
      <c r="X425" s="283">
        <v>2000.0</v>
      </c>
      <c r="Y425" s="274">
        <v>2160.0</v>
      </c>
      <c r="Z425" s="272">
        <v>650.0</v>
      </c>
      <c r="AA425" s="285">
        <v>0.08</v>
      </c>
      <c r="AB425" s="282">
        <v>1516320.0</v>
      </c>
      <c r="AC425" s="277"/>
      <c r="AD425" s="289">
        <v>46062.0</v>
      </c>
      <c r="AE425" s="272">
        <v>703.0</v>
      </c>
      <c r="AF425" s="277"/>
      <c r="AG425" s="277"/>
      <c r="AH425" s="294">
        <f>IFERROR(__xludf.DUMMYFUNCTION("IFERROR(INDEX( SORT(FILTER(
        {'1. DATA CHUNG'!$J$4:$J$105 , '1. DATA CHUNG'!$L$4:$L$105}, (TRIM('1. DATA CHUNG'!$I$4:$I$105)=TRIM(K425)) * IF(COUNTIFS('1. DATA CHUNG'!$I$4:$I$105,K425,'1. DATA CHUNG'!$M$4:$M$105,Q425), '1. DATA CHUNG'!$M$4:$M$105=Q"&amp;"425, 1) * ('1. DATA CHUNG'!$L$4:$L$105&lt;=TODAY()) ),   2, 0),  1, 1), 
  IFERROR( INDEX(FILTER('1. DATA CHUNG'!$J$4:$J$105, (TRIM('1. DATA CHUNG'!$I$4:$I$105)=TRIM(K425)) * IF(COUNTIFS('1. DATA CHUNG'!$I$4:$I$105,K425,'1. DATA CHUNG'!$M$4:$M$105,Q425), '1."&amp;" DATA CHUNG'!$M$4:$M$105=Q425, 1) * ('1. DATA CHUNG'!$L$4:$L$105="""")), 1), ""Không tìm thấy"" ))"),7.0)</f>
        <v>7</v>
      </c>
      <c r="AI425" s="273">
        <f t="shared" si="2"/>
        <v>46069</v>
      </c>
      <c r="AJ425" s="287"/>
      <c r="AK425" s="286">
        <f t="shared" si="3"/>
        <v>0</v>
      </c>
      <c r="AL425" s="287">
        <f t="shared" si="4"/>
        <v>31</v>
      </c>
      <c r="AM425" s="287">
        <f t="shared" si="5"/>
        <v>-11</v>
      </c>
      <c r="AN425" s="279">
        <f t="shared" si="6"/>
        <v>-8</v>
      </c>
      <c r="AO425" s="295" t="str">
        <f t="shared" si="7"/>
        <v>02/2026</v>
      </c>
      <c r="AP425" s="277" t="str">
        <f t="array" ref="AP425">IFERROR(XLOOKUP(L425,'2. DATA NL, VTBB'!C:C,'2. DATA NL, VTBB'!F:F),"")</f>
        <v>HH0004</v>
      </c>
      <c r="AQ425" s="277" t="str">
        <f t="array" ref="AQ425">IF(OR(K425="Nhãn", K425="Nhãn thùng",K425="Nhãn Túi"), K425 &amp; " " &amp; IFERROR(XLOOKUP(L425, '2. DATA NL, VTBB'!C:C, '2. DATA NL, VTBB'!E:E), ""), "")</f>
        <v/>
      </c>
      <c r="AR425" s="278" t="str">
        <f t="array" ref="AR425">IFERROR(XLOOKUP(L425,'2. DATA NL, VTBB'!C:C,'2. DATA NL, VTBB'!G:G),"")</f>
        <v>IDA Global - I - 713.1 - Picosuper 280SC (Chai Pape)(nước trắng sữa) - 240ml - 40 ([btp],t,c)</v>
      </c>
      <c r="AS425" s="278" t="str">
        <f t="array" ref="AS425">IFERROR(XLOOKUP(L425,'2. DATA NL, VTBB'!C:C,'2. DATA NL, VTBB'!G:G),"")</f>
        <v>IDA Global - I - 713.1 - Picosuper 280SC (Chai Pape)(nước trắng sữa) - 240ml - 40 ([btp],t,c)</v>
      </c>
      <c r="AT425" s="277"/>
    </row>
    <row r="426" ht="30.75" customHeight="1">
      <c r="A426" s="272">
        <f t="shared" si="44"/>
        <v>423</v>
      </c>
      <c r="B426" s="289">
        <v>46063.0</v>
      </c>
      <c r="C426" s="289">
        <v>46071.0</v>
      </c>
      <c r="D426" s="289">
        <v>46111.0</v>
      </c>
      <c r="E426" s="289">
        <v>46111.0</v>
      </c>
      <c r="F426" s="274" t="s">
        <v>561</v>
      </c>
      <c r="G426" s="275" t="s">
        <v>562</v>
      </c>
      <c r="H426" s="274" t="s">
        <v>304</v>
      </c>
      <c r="I426" s="275" t="s">
        <v>305</v>
      </c>
      <c r="J426" s="272" t="s">
        <v>1094</v>
      </c>
      <c r="K426" s="275" t="s">
        <v>301</v>
      </c>
      <c r="L426" s="277" t="s">
        <v>663</v>
      </c>
      <c r="M426" s="278" t="str">
        <f t="array" ref="M426">IFERROR(XLOOKUP(L426,'2. DATA NL, VTBB'!C:C,'2. DATA NL, VTBB'!D:D),"")</f>
        <v>Thùng Dùng Chung 1kg x 20 gói (50x35x30.5cm) - Trắng viền đen</v>
      </c>
      <c r="N426" s="280"/>
      <c r="O426" s="280" t="str">
        <f t="array" ref="O426">IFERROR( XLOOKUP(L426,'2. DATA NL, VTBB'!C:C,'2. DATA NL, VTBB'!E:E),"")</f>
        <v>THALONIL 75WP</v>
      </c>
      <c r="P426" s="275" t="s">
        <v>565</v>
      </c>
      <c r="Q426" s="311"/>
      <c r="R426" s="291" t="s">
        <v>584</v>
      </c>
      <c r="S426" s="277"/>
      <c r="T426" s="277"/>
      <c r="U426" s="277"/>
      <c r="V426" s="283">
        <v>300.0</v>
      </c>
      <c r="W426" s="275" t="s">
        <v>699</v>
      </c>
      <c r="X426" s="283">
        <v>300.0</v>
      </c>
      <c r="Y426" s="274">
        <v>312.0</v>
      </c>
      <c r="Z426" s="272">
        <v>21950.0</v>
      </c>
      <c r="AA426" s="285">
        <v>0.08</v>
      </c>
      <c r="AB426" s="282">
        <v>7396272.0</v>
      </c>
      <c r="AC426" s="277"/>
      <c r="AD426" s="289">
        <v>46063.0</v>
      </c>
      <c r="AE426" s="272">
        <v>486.0</v>
      </c>
      <c r="AF426" s="277"/>
      <c r="AG426" s="277"/>
      <c r="AH426" s="294">
        <f>IFERROR(__xludf.DUMMYFUNCTION("IFERROR(INDEX( SORT(FILTER(
        {'1. DATA CHUNG'!$J$4:$J$105 , '1. DATA CHUNG'!$L$4:$L$105}, (TRIM('1. DATA CHUNG'!$I$4:$I$105)=TRIM(K426)) * IF(COUNTIFS('1. DATA CHUNG'!$I$4:$I$105,K426,'1. DATA CHUNG'!$M$4:$M$105,Q426), '1. DATA CHUNG'!$M$4:$M$105=Q"&amp;"426, 1) * ('1. DATA CHUNG'!$L$4:$L$105&lt;=TODAY()) ),   2, 0),  1, 1), 
  IFERROR( INDEX(FILTER('1. DATA CHUNG'!$J$4:$J$105, (TRIM('1. DATA CHUNG'!$I$4:$I$105)=TRIM(K426)) * IF(COUNTIFS('1. DATA CHUNG'!$I$4:$I$105,K426,'1. DATA CHUNG'!$M$4:$M$105,Q426), '1."&amp;" DATA CHUNG'!$M$4:$M$105=Q426, 1) * ('1. DATA CHUNG'!$L$4:$L$105="""")), 1), ""Không tìm thấy"" ))"),18.0)</f>
        <v>18</v>
      </c>
      <c r="AI426" s="273">
        <f t="shared" si="2"/>
        <v>46081</v>
      </c>
      <c r="AJ426" s="287"/>
      <c r="AK426" s="286">
        <f t="shared" si="3"/>
        <v>0</v>
      </c>
      <c r="AL426" s="287">
        <f t="shared" si="4"/>
        <v>0</v>
      </c>
      <c r="AM426" s="287">
        <f t="shared" si="5"/>
        <v>-30</v>
      </c>
      <c r="AN426" s="279">
        <f t="shared" si="6"/>
        <v>10</v>
      </c>
      <c r="AO426" s="295" t="str">
        <f t="shared" si="7"/>
        <v>02/2026</v>
      </c>
      <c r="AP426" s="277" t="str">
        <f t="array" ref="AP426">IFERROR(XLOOKUP(L426,'2. DATA NL, VTBB'!C:C,'2. DATA NL, VTBB'!F:F),"")</f>
        <v>HH0262</v>
      </c>
      <c r="AQ426" s="277" t="str">
        <f t="array" ref="AQ426">IF(OR(K426="Nhãn", K426="Nhãn thùng",K426="Nhãn Túi"), K426 &amp; " " &amp; IFERROR(XLOOKUP(L426, '2. DATA NL, VTBB'!C:C, '2. DATA NL, VTBB'!E:E), ""), "")</f>
        <v/>
      </c>
      <c r="AR426" s="278" t="str">
        <f t="array" ref="AR426">IFERROR(XLOOKUP(L426,'2. DATA NL, VTBB'!C:C,'2. DATA NL, VTBB'!G:G),"")</f>
        <v>GC - II - 681 - Agrikey VN - Agronil (flexo) - 500gr - 30</v>
      </c>
      <c r="AS426" s="278" t="str">
        <f t="array" ref="AS426">IFERROR(XLOOKUP(L426,'2. DATA NL, VTBB'!C:C,'2. DATA NL, VTBB'!G:G),"")</f>
        <v>GC - II - 681 - Agrikey VN - Agronil (flexo) - 500gr - 30</v>
      </c>
      <c r="AT426" s="277"/>
    </row>
    <row r="427" ht="30.75" customHeight="1">
      <c r="A427" s="272">
        <f t="shared" si="44"/>
        <v>424</v>
      </c>
      <c r="B427" s="289">
        <v>46064.0</v>
      </c>
      <c r="C427" s="289">
        <v>46067.0</v>
      </c>
      <c r="D427" s="289">
        <v>46111.0</v>
      </c>
      <c r="E427" s="289">
        <v>46111.0</v>
      </c>
      <c r="F427" s="274" t="s">
        <v>561</v>
      </c>
      <c r="G427" s="275" t="s">
        <v>562</v>
      </c>
      <c r="H427" s="274" t="s">
        <v>304</v>
      </c>
      <c r="I427" s="275" t="s">
        <v>726</v>
      </c>
      <c r="J427" s="272" t="s">
        <v>1095</v>
      </c>
      <c r="K427" s="275" t="s">
        <v>728</v>
      </c>
      <c r="L427" s="277" t="s">
        <v>778</v>
      </c>
      <c r="M427" s="278" t="str">
        <f t="array" ref="M427">IFERROR(XLOOKUP(L427,'2. DATA NL, VTBB'!C:C,'2. DATA NL, VTBB'!D:D),"")</f>
        <v>Chai PET tròn cổ 44 500ml (45g) Trắng</v>
      </c>
      <c r="N427" s="280"/>
      <c r="O427" s="280" t="str">
        <f t="array" ref="O427">IFERROR( XLOOKUP(L427,'2. DATA NL, VTBB'!C:C,'2. DATA NL, VTBB'!E:E),"")</f>
        <v>Chitin 3.6EC</v>
      </c>
      <c r="P427" s="275" t="s">
        <v>565</v>
      </c>
      <c r="Q427" s="311"/>
      <c r="R427" s="291" t="s">
        <v>573</v>
      </c>
      <c r="S427" s="277"/>
      <c r="T427" s="277"/>
      <c r="U427" s="277"/>
      <c r="V427" s="283">
        <v>4000.0</v>
      </c>
      <c r="W427" s="275" t="s">
        <v>699</v>
      </c>
      <c r="X427" s="283">
        <v>4000.0</v>
      </c>
      <c r="Y427" s="274">
        <v>4032.0</v>
      </c>
      <c r="Z427" s="272">
        <v>1900.0</v>
      </c>
      <c r="AA427" s="285">
        <v>0.08</v>
      </c>
      <c r="AB427" s="282">
        <v>8273664.0</v>
      </c>
      <c r="AC427" s="277"/>
      <c r="AD427" s="289">
        <v>46064.0</v>
      </c>
      <c r="AE427" s="272">
        <v>643.0</v>
      </c>
      <c r="AF427" s="277"/>
      <c r="AG427" s="277"/>
      <c r="AH427" s="294">
        <f>IFERROR(__xludf.DUMMYFUNCTION("IFERROR(INDEX( SORT(FILTER(
        {'1. DATA CHUNG'!$J$4:$J$105 , '1. DATA CHUNG'!$L$4:$L$105}, (TRIM('1. DATA CHUNG'!$I$4:$I$105)=TRIM(K427)) * IF(COUNTIFS('1. DATA CHUNG'!$I$4:$I$105,K427,'1. DATA CHUNG'!$M$4:$M$105,Q427), '1. DATA CHUNG'!$M$4:$M$105=Q"&amp;"427, 1) * ('1. DATA CHUNG'!$L$4:$L$105&lt;=TODAY()) ),   2, 0),  1, 1), 
  IFERROR( INDEX(FILTER('1. DATA CHUNG'!$J$4:$J$105, (TRIM('1. DATA CHUNG'!$I$4:$I$105)=TRIM(K427)) * IF(COUNTIFS('1. DATA CHUNG'!$I$4:$I$105,K427,'1. DATA CHUNG'!$M$4:$M$105,Q427), '1."&amp;" DATA CHUNG'!$M$4:$M$105=Q427, 1) * ('1. DATA CHUNG'!$L$4:$L$105="""")), 1), ""Không tìm thấy"" ))"),7.0)</f>
        <v>7</v>
      </c>
      <c r="AI427" s="273">
        <f t="shared" si="2"/>
        <v>46071</v>
      </c>
      <c r="AJ427" s="287"/>
      <c r="AK427" s="286">
        <f t="shared" si="3"/>
        <v>0</v>
      </c>
      <c r="AL427" s="287">
        <f t="shared" si="4"/>
        <v>0</v>
      </c>
      <c r="AM427" s="287">
        <f t="shared" si="5"/>
        <v>-40</v>
      </c>
      <c r="AN427" s="279">
        <f t="shared" si="6"/>
        <v>4</v>
      </c>
      <c r="AO427" s="295" t="str">
        <f t="shared" si="7"/>
        <v>02/2026</v>
      </c>
      <c r="AP427" s="277" t="str">
        <f t="array" ref="AP427">IFERROR(XLOOKUP(L427,'2. DATA NL, VTBB'!C:C,'2. DATA NL, VTBB'!F:F),"")</f>
        <v>HH0234</v>
      </c>
      <c r="AQ427" s="277" t="str">
        <f t="array" ref="AQ427">IF(OR(K427="Nhãn", K427="Nhãn thùng",K427="Nhãn Túi"), K427 &amp; " " &amp; IFERROR(XLOOKUP(L427, '2. DATA NL, VTBB'!C:C, '2. DATA NL, VTBB'!E:E), ""), "")</f>
        <v/>
      </c>
      <c r="AR427" s="278" t="str">
        <f t="array" ref="AR427">IFERROR(XLOOKUP(L427,'2. DATA NL, VTBB'!C:C,'2. DATA NL, VTBB'!G:G),"")</f>
        <v>LOT IDA Global - I - 875 - ĐL Bảo Tại - Avermectin 36 (Pet tròn) (nắp đỏ)(nước nâu đen) - 450ml - 40</v>
      </c>
      <c r="AS427" s="278" t="str">
        <f t="array" ref="AS427">IFERROR(XLOOKUP(L427,'2. DATA NL, VTBB'!C:C,'2. DATA NL, VTBB'!G:G),"")</f>
        <v>LOT IDA Global - I - 875 - ĐL Bảo Tại - Avermectin 36 (Pet tròn) (nắp đỏ)(nước nâu đen) - 450ml - 40</v>
      </c>
      <c r="AT427" s="277"/>
    </row>
    <row r="428" ht="30.75" customHeight="1">
      <c r="A428" s="272">
        <f t="shared" si="44"/>
        <v>425</v>
      </c>
      <c r="B428" s="289">
        <v>46064.0</v>
      </c>
      <c r="C428" s="289">
        <v>46067.0</v>
      </c>
      <c r="D428" s="289">
        <v>46111.0</v>
      </c>
      <c r="E428" s="289">
        <v>46111.0</v>
      </c>
      <c r="F428" s="274" t="s">
        <v>561</v>
      </c>
      <c r="G428" s="275" t="s">
        <v>562</v>
      </c>
      <c r="H428" s="274" t="s">
        <v>304</v>
      </c>
      <c r="I428" s="275" t="s">
        <v>726</v>
      </c>
      <c r="J428" s="272" t="s">
        <v>1095</v>
      </c>
      <c r="K428" s="275" t="s">
        <v>730</v>
      </c>
      <c r="L428" s="277" t="s">
        <v>780</v>
      </c>
      <c r="M428" s="278" t="str">
        <f t="array" ref="M428">IFERROR(XLOOKUP(L428,'2. DATA NL, VTBB'!C:C,'2. DATA NL, VTBB'!D:D),"")</f>
        <v>Nắp PET cổ 44 (9g) Đỏ</v>
      </c>
      <c r="N428" s="280"/>
      <c r="O428" s="280" t="str">
        <f t="array" ref="O428">IFERROR( XLOOKUP(L428,'2. DATA NL, VTBB'!C:C,'2. DATA NL, VTBB'!E:E),"")</f>
        <v>Chitin 3.6EC</v>
      </c>
      <c r="P428" s="275" t="s">
        <v>565</v>
      </c>
      <c r="Q428" s="311"/>
      <c r="R428" s="291" t="s">
        <v>573</v>
      </c>
      <c r="S428" s="277"/>
      <c r="T428" s="277"/>
      <c r="U428" s="277"/>
      <c r="V428" s="283">
        <v>4000.0</v>
      </c>
      <c r="W428" s="275" t="s">
        <v>699</v>
      </c>
      <c r="X428" s="283">
        <v>4000.0</v>
      </c>
      <c r="Y428" s="274">
        <v>4032.0</v>
      </c>
      <c r="Z428" s="272">
        <v>900.0</v>
      </c>
      <c r="AA428" s="285">
        <v>0.08</v>
      </c>
      <c r="AB428" s="282">
        <v>3919104.0</v>
      </c>
      <c r="AC428" s="277"/>
      <c r="AD428" s="289">
        <v>46064.0</v>
      </c>
      <c r="AE428" s="272">
        <v>643.0</v>
      </c>
      <c r="AF428" s="277"/>
      <c r="AG428" s="277"/>
      <c r="AH428" s="294">
        <f>IFERROR(__xludf.DUMMYFUNCTION("IFERROR(INDEX( SORT(FILTER(
        {'1. DATA CHUNG'!$J$4:$J$105 , '1. DATA CHUNG'!$L$4:$L$105}, (TRIM('1. DATA CHUNG'!$I$4:$I$105)=TRIM(K428)) * IF(COUNTIFS('1. DATA CHUNG'!$I$4:$I$105,K428,'1. DATA CHUNG'!$M$4:$M$105,Q428), '1. DATA CHUNG'!$M$4:$M$105=Q"&amp;"428, 1) * ('1. DATA CHUNG'!$L$4:$L$105&lt;=TODAY()) ),   2, 0),  1, 1), 
  IFERROR( INDEX(FILTER('1. DATA CHUNG'!$J$4:$J$105, (TRIM('1. DATA CHUNG'!$I$4:$I$105)=TRIM(K428)) * IF(COUNTIFS('1. DATA CHUNG'!$I$4:$I$105,K428,'1. DATA CHUNG'!$M$4:$M$105,Q428), '1."&amp;" DATA CHUNG'!$M$4:$M$105=Q428, 1) * ('1. DATA CHUNG'!$L$4:$L$105="""")), 1), ""Không tìm thấy"" ))"),7.0)</f>
        <v>7</v>
      </c>
      <c r="AI428" s="273">
        <f t="shared" si="2"/>
        <v>46071</v>
      </c>
      <c r="AJ428" s="287"/>
      <c r="AK428" s="286">
        <f t="shared" si="3"/>
        <v>0</v>
      </c>
      <c r="AL428" s="287">
        <f t="shared" si="4"/>
        <v>0</v>
      </c>
      <c r="AM428" s="287">
        <f t="shared" si="5"/>
        <v>-40</v>
      </c>
      <c r="AN428" s="279">
        <f t="shared" si="6"/>
        <v>4</v>
      </c>
      <c r="AO428" s="295" t="str">
        <f t="shared" si="7"/>
        <v>02/2026</v>
      </c>
      <c r="AP428" s="277" t="str">
        <f t="array" ref="AP428">IFERROR(XLOOKUP(L428,'2. DATA NL, VTBB'!C:C,'2. DATA NL, VTBB'!F:F),"")</f>
        <v>HH0156</v>
      </c>
      <c r="AQ428" s="277" t="str">
        <f t="array" ref="AQ428">IF(OR(K428="Nhãn", K428="Nhãn thùng",K428="Nhãn Túi"), K428 &amp; " " &amp; IFERROR(XLOOKUP(L428, '2. DATA NL, VTBB'!C:C, '2. DATA NL, VTBB'!E:E), ""), "")</f>
        <v/>
      </c>
      <c r="AR428" s="278" t="str">
        <f t="array" ref="AR428">IFERROR(XLOOKUP(L428,'2. DATA NL, VTBB'!C:C,'2. DATA NL, VTBB'!G:G),"")</f>
        <v>LOT IDA Global - I - 875 - ĐL Bảo Tại - Avermectin 36 (Pet tròn) (nắp đỏ)(nước nâu đen) - 450ml - 40</v>
      </c>
      <c r="AS428" s="278" t="str">
        <f t="array" ref="AS428">IFERROR(XLOOKUP(L428,'2. DATA NL, VTBB'!C:C,'2. DATA NL, VTBB'!G:G),"")</f>
        <v>LOT IDA Global - I - 875 - ĐL Bảo Tại - Avermectin 36 (Pet tròn) (nắp đỏ)(nước nâu đen) - 450ml - 40</v>
      </c>
      <c r="AT428" s="277"/>
    </row>
    <row r="429" ht="30.75" customHeight="1">
      <c r="A429" s="272">
        <f t="shared" si="44"/>
        <v>426</v>
      </c>
      <c r="B429" s="289">
        <v>46064.0</v>
      </c>
      <c r="C429" s="289">
        <v>46067.0</v>
      </c>
      <c r="D429" s="289">
        <v>46111.0</v>
      </c>
      <c r="E429" s="289">
        <v>46111.0</v>
      </c>
      <c r="F429" s="274" t="s">
        <v>561</v>
      </c>
      <c r="G429" s="275" t="s">
        <v>562</v>
      </c>
      <c r="H429" s="274" t="s">
        <v>304</v>
      </c>
      <c r="I429" s="275" t="s">
        <v>726</v>
      </c>
      <c r="J429" s="272" t="s">
        <v>1096</v>
      </c>
      <c r="K429" s="275" t="s">
        <v>728</v>
      </c>
      <c r="L429" s="277" t="s">
        <v>1097</v>
      </c>
      <c r="M429" s="278" t="str">
        <f t="array" ref="M429">IFERROR(XLOOKUP(L429,'2. DATA NL, VTBB'!C:C,'2. DATA NL, VTBB'!D:D),"")</f>
        <v>Chai PET tròn trơn cổ 35 350ml (40g) - Trắng + nắp trắng</v>
      </c>
      <c r="N429" s="280"/>
      <c r="O429" s="280" t="str">
        <f t="array" ref="O429">IFERROR( XLOOKUP(L429,'2. DATA NL, VTBB'!C:C,'2. DATA NL, VTBB'!E:E),"")</f>
        <v>NPK Bổ sung Vi lượng Basel NPK 6-6-8 IDA 33</v>
      </c>
      <c r="P429" s="275" t="s">
        <v>565</v>
      </c>
      <c r="Q429" s="311"/>
      <c r="R429" s="291" t="s">
        <v>573</v>
      </c>
      <c r="S429" s="277"/>
      <c r="T429" s="277"/>
      <c r="U429" s="277"/>
      <c r="V429" s="283">
        <v>2000.0</v>
      </c>
      <c r="W429" s="275" t="s">
        <v>699</v>
      </c>
      <c r="X429" s="283">
        <v>2000.0</v>
      </c>
      <c r="Y429" s="274">
        <v>2100.0</v>
      </c>
      <c r="Z429" s="287">
        <f>2700-600</f>
        <v>2100</v>
      </c>
      <c r="AA429" s="285">
        <v>0.08</v>
      </c>
      <c r="AB429" s="282">
        <v>4762800.0</v>
      </c>
      <c r="AC429" s="277"/>
      <c r="AD429" s="289">
        <v>46064.0</v>
      </c>
      <c r="AE429" s="312"/>
      <c r="AF429" s="277"/>
      <c r="AG429" s="277"/>
      <c r="AH429" s="294">
        <f>IFERROR(__xludf.DUMMYFUNCTION("IFERROR(INDEX( SORT(FILTER(
        {'1. DATA CHUNG'!$J$4:$J$105 , '1. DATA CHUNG'!$L$4:$L$105}, (TRIM('1. DATA CHUNG'!$I$4:$I$105)=TRIM(K429)) * IF(COUNTIFS('1. DATA CHUNG'!$I$4:$I$105,K429,'1. DATA CHUNG'!$M$4:$M$105,Q429), '1. DATA CHUNG'!$M$4:$M$105=Q"&amp;"429, 1) * ('1. DATA CHUNG'!$L$4:$L$105&lt;=TODAY()) ),   2, 0),  1, 1), 
  IFERROR( INDEX(FILTER('1. DATA CHUNG'!$J$4:$J$105, (TRIM('1. DATA CHUNG'!$I$4:$I$105)=TRIM(K429)) * IF(COUNTIFS('1. DATA CHUNG'!$I$4:$I$105,K429,'1. DATA CHUNG'!$M$4:$M$105,Q429), '1."&amp;" DATA CHUNG'!$M$4:$M$105=Q429, 1) * ('1. DATA CHUNG'!$L$4:$L$105="""")), 1), ""Không tìm thấy"" ))"),7.0)</f>
        <v>7</v>
      </c>
      <c r="AI429" s="273">
        <f t="shared" si="2"/>
        <v>46071</v>
      </c>
      <c r="AJ429" s="287"/>
      <c r="AK429" s="286">
        <f t="shared" si="3"/>
        <v>0</v>
      </c>
      <c r="AL429" s="287">
        <f t="shared" si="4"/>
        <v>0</v>
      </c>
      <c r="AM429" s="287">
        <f t="shared" si="5"/>
        <v>-40</v>
      </c>
      <c r="AN429" s="279">
        <f t="shared" si="6"/>
        <v>4</v>
      </c>
      <c r="AO429" s="295" t="str">
        <f t="shared" si="7"/>
        <v>02/2026</v>
      </c>
      <c r="AP429" s="277" t="str">
        <f t="array" ref="AP429">IFERROR(XLOOKUP(L429,'2. DATA NL, VTBB'!C:C,'2. DATA NL, VTBB'!F:F),"")</f>
        <v>HH0130</v>
      </c>
      <c r="AQ429" s="277" t="str">
        <f t="array" ref="AQ429">IF(OR(K429="Nhãn", K429="Nhãn thùng",K429="Nhãn Túi"), K429 &amp; " " &amp; IFERROR(XLOOKUP(L429, '2. DATA NL, VTBB'!C:C, '2. DATA NL, VTBB'!E:E), ""), "")</f>
        <v/>
      </c>
      <c r="AR429" s="278" t="str">
        <f t="array" ref="AR429">IFERROR(XLOOKUP(L429,'2. DATA NL, VTBB'!C:C,'2. DATA NL, VTBB'!G:G),"")</f>
        <v>IDA Global - I - 700 - Toto Boost - 30ml - 400</v>
      </c>
      <c r="AS429" s="278" t="str">
        <f t="array" ref="AS429">IFERROR(XLOOKUP(L429,'2. DATA NL, VTBB'!C:C,'2. DATA NL, VTBB'!G:G),"")</f>
        <v>IDA Global - I - 700 - Toto Boost - 30ml - 400</v>
      </c>
      <c r="AT429" s="277"/>
    </row>
    <row r="430" ht="30.75" customHeight="1">
      <c r="A430" s="272">
        <f t="shared" si="44"/>
        <v>427</v>
      </c>
      <c r="B430" s="289">
        <v>46064.0</v>
      </c>
      <c r="C430" s="289">
        <v>46067.0</v>
      </c>
      <c r="D430" s="289">
        <v>46111.0</v>
      </c>
      <c r="E430" s="289">
        <v>46111.0</v>
      </c>
      <c r="F430" s="274" t="s">
        <v>561</v>
      </c>
      <c r="G430" s="275" t="s">
        <v>562</v>
      </c>
      <c r="H430" s="274" t="s">
        <v>304</v>
      </c>
      <c r="I430" s="275" t="s">
        <v>726</v>
      </c>
      <c r="J430" s="272" t="s">
        <v>1096</v>
      </c>
      <c r="K430" s="275" t="s">
        <v>730</v>
      </c>
      <c r="L430" s="277" t="s">
        <v>963</v>
      </c>
      <c r="M430" s="278" t="str">
        <f t="array" ref="M430">IFERROR(XLOOKUP(L430,'2. DATA NL, VTBB'!C:C,'2. DATA NL, VTBB'!D:D),"")</f>
        <v>Nắp PET cổ 35 (5gr) - Trắng</v>
      </c>
      <c r="N430" s="280"/>
      <c r="O430" s="280" t="str">
        <f t="array" ref="O430">IFERROR( XLOOKUP(L430,'2. DATA NL, VTBB'!C:C,'2. DATA NL, VTBB'!E:E),"")</f>
        <v>HAIHAMEC 3.6EC</v>
      </c>
      <c r="P430" s="275" t="s">
        <v>565</v>
      </c>
      <c r="Q430" s="311"/>
      <c r="R430" s="291" t="s">
        <v>573</v>
      </c>
      <c r="S430" s="277"/>
      <c r="T430" s="277"/>
      <c r="U430" s="277"/>
      <c r="V430" s="283">
        <v>2000.0</v>
      </c>
      <c r="W430" s="275" t="s">
        <v>699</v>
      </c>
      <c r="X430" s="283">
        <v>2000.0</v>
      </c>
      <c r="Y430" s="274">
        <v>2100.0</v>
      </c>
      <c r="Z430" s="272">
        <v>600.0</v>
      </c>
      <c r="AA430" s="285">
        <v>0.08</v>
      </c>
      <c r="AB430" s="282">
        <v>1360800.0</v>
      </c>
      <c r="AC430" s="277"/>
      <c r="AD430" s="289">
        <v>46064.0</v>
      </c>
      <c r="AE430" s="312"/>
      <c r="AF430" s="277"/>
      <c r="AG430" s="277"/>
      <c r="AH430" s="294">
        <f>IFERROR(__xludf.DUMMYFUNCTION("IFERROR(INDEX( SORT(FILTER(
        {'1. DATA CHUNG'!$J$4:$J$105 , '1. DATA CHUNG'!$L$4:$L$105}, (TRIM('1. DATA CHUNG'!$I$4:$I$105)=TRIM(K430)) * IF(COUNTIFS('1. DATA CHUNG'!$I$4:$I$105,K430,'1. DATA CHUNG'!$M$4:$M$105,Q430), '1. DATA CHUNG'!$M$4:$M$105=Q"&amp;"430, 1) * ('1. DATA CHUNG'!$L$4:$L$105&lt;=TODAY()) ),   2, 0),  1, 1), 
  IFERROR( INDEX(FILTER('1. DATA CHUNG'!$J$4:$J$105, (TRIM('1. DATA CHUNG'!$I$4:$I$105)=TRIM(K430)) * IF(COUNTIFS('1. DATA CHUNG'!$I$4:$I$105,K430,'1. DATA CHUNG'!$M$4:$M$105,Q430), '1."&amp;" DATA CHUNG'!$M$4:$M$105=Q430, 1) * ('1. DATA CHUNG'!$L$4:$L$105="""")), 1), ""Không tìm thấy"" ))"),7.0)</f>
        <v>7</v>
      </c>
      <c r="AI430" s="273">
        <f t="shared" si="2"/>
        <v>46071</v>
      </c>
      <c r="AJ430" s="287"/>
      <c r="AK430" s="286">
        <f t="shared" si="3"/>
        <v>0</v>
      </c>
      <c r="AL430" s="287">
        <f t="shared" si="4"/>
        <v>0</v>
      </c>
      <c r="AM430" s="287">
        <f t="shared" si="5"/>
        <v>-40</v>
      </c>
      <c r="AN430" s="279">
        <f t="shared" si="6"/>
        <v>4</v>
      </c>
      <c r="AO430" s="295" t="str">
        <f t="shared" si="7"/>
        <v>02/2026</v>
      </c>
      <c r="AP430" s="277" t="str">
        <f t="array" ref="AP430">IFERROR(XLOOKUP(L430,'2. DATA NL, VTBB'!C:C,'2. DATA NL, VTBB'!F:F),"")</f>
        <v>HH0169</v>
      </c>
      <c r="AQ430" s="277" t="str">
        <f t="array" ref="AQ430">IF(OR(K430="Nhãn", K430="Nhãn thùng",K430="Nhãn Túi"), K430 &amp; " " &amp; IFERROR(XLOOKUP(L430, '2. DATA NL, VTBB'!C:C, '2. DATA NL, VTBB'!E:E), ""), "")</f>
        <v/>
      </c>
      <c r="AR430" s="278" t="str">
        <f t="array" ref="AR430">IFERROR(XLOOKUP(L430,'2. DATA NL, VTBB'!C:C,'2. DATA NL, VTBB'!G:G),"")</f>
        <v>LOT IDA Global - I - 898 - ĐL Thanh Thảo - Avermetic 36 (Pet tròn) (nắp vàng)(nước nâu đen) - 450ml - 40</v>
      </c>
      <c r="AS430" s="278" t="str">
        <f t="array" ref="AS430">IFERROR(XLOOKUP(L430,'2. DATA NL, VTBB'!C:C,'2. DATA NL, VTBB'!G:G),"")</f>
        <v>LOT IDA Global - I - 898 - ĐL Thanh Thảo - Avermetic 36 (Pet tròn) (nắp vàng)(nước nâu đen) - 450ml - 40</v>
      </c>
      <c r="AT430" s="277"/>
    </row>
    <row r="431" ht="30.75" customHeight="1">
      <c r="A431" s="272">
        <f t="shared" si="44"/>
        <v>428</v>
      </c>
      <c r="B431" s="289">
        <v>46064.0</v>
      </c>
      <c r="C431" s="289">
        <v>46078.0</v>
      </c>
      <c r="D431" s="289">
        <v>46111.0</v>
      </c>
      <c r="E431" s="289">
        <v>46111.0</v>
      </c>
      <c r="F431" s="274" t="s">
        <v>561</v>
      </c>
      <c r="G431" s="275" t="s">
        <v>562</v>
      </c>
      <c r="H431" s="274" t="s">
        <v>304</v>
      </c>
      <c r="I431" s="275" t="s">
        <v>853</v>
      </c>
      <c r="J431" s="272" t="s">
        <v>1098</v>
      </c>
      <c r="K431" s="275" t="s">
        <v>728</v>
      </c>
      <c r="L431" s="277" t="s">
        <v>1099</v>
      </c>
      <c r="M431" s="278" t="str">
        <f t="array" ref="M431">IFERROR(XLOOKUP(L431,'2. DATA NL, VTBB'!C:C,'2. DATA NL, VTBB'!D:D),"")</f>
        <v>Chai PET tròn cổ 38 100ml (30gr) - Trắng trong</v>
      </c>
      <c r="N431" s="280"/>
      <c r="O431" s="280" t="str">
        <f t="array" ref="O431">IFERROR( XLOOKUP(L431,'2. DATA NL, VTBB'!C:C,'2. DATA NL, VTBB'!E:E),"")</f>
        <v>TVZEB 800WP</v>
      </c>
      <c r="P431" s="275" t="s">
        <v>565</v>
      </c>
      <c r="Q431" s="311"/>
      <c r="R431" s="291" t="s">
        <v>573</v>
      </c>
      <c r="S431" s="277"/>
      <c r="T431" s="277"/>
      <c r="U431" s="277"/>
      <c r="V431" s="283">
        <v>10000.0</v>
      </c>
      <c r="W431" s="275" t="s">
        <v>699</v>
      </c>
      <c r="X431" s="283">
        <v>10000.0</v>
      </c>
      <c r="Y431" s="274">
        <v>10080.0</v>
      </c>
      <c r="Z431" s="272">
        <v>1500.0</v>
      </c>
      <c r="AA431" s="285">
        <v>0.08</v>
      </c>
      <c r="AB431" s="282">
        <v>1.63296E7</v>
      </c>
      <c r="AC431" s="277"/>
      <c r="AD431" s="289">
        <v>46064.0</v>
      </c>
      <c r="AE431" s="312"/>
      <c r="AF431" s="277"/>
      <c r="AG431" s="277"/>
      <c r="AH431" s="294">
        <f>IFERROR(__xludf.DUMMYFUNCTION("IFERROR(INDEX( SORT(FILTER(
        {'1. DATA CHUNG'!$J$4:$J$105 , '1. DATA CHUNG'!$L$4:$L$105}, (TRIM('1. DATA CHUNG'!$I$4:$I$105)=TRIM(K431)) * IF(COUNTIFS('1. DATA CHUNG'!$I$4:$I$105,K431,'1. DATA CHUNG'!$M$4:$M$105,Q431), '1. DATA CHUNG'!$M$4:$M$105=Q"&amp;"431, 1) * ('1. DATA CHUNG'!$L$4:$L$105&lt;=TODAY()) ),   2, 0),  1, 1), 
  IFERROR( INDEX(FILTER('1. DATA CHUNG'!$J$4:$J$105, (TRIM('1. DATA CHUNG'!$I$4:$I$105)=TRIM(K431)) * IF(COUNTIFS('1. DATA CHUNG'!$I$4:$I$105,K431,'1. DATA CHUNG'!$M$4:$M$105,Q431), '1."&amp;" DATA CHUNG'!$M$4:$M$105=Q431, 1) * ('1. DATA CHUNG'!$L$4:$L$105="""")), 1), ""Không tìm thấy"" ))"),7.0)</f>
        <v>7</v>
      </c>
      <c r="AI431" s="273">
        <f t="shared" si="2"/>
        <v>46071</v>
      </c>
      <c r="AJ431" s="287"/>
      <c r="AK431" s="286">
        <f t="shared" si="3"/>
        <v>0</v>
      </c>
      <c r="AL431" s="287">
        <f t="shared" si="4"/>
        <v>0</v>
      </c>
      <c r="AM431" s="287">
        <f t="shared" si="5"/>
        <v>-40</v>
      </c>
      <c r="AN431" s="279">
        <f t="shared" si="6"/>
        <v>-7</v>
      </c>
      <c r="AO431" s="295" t="str">
        <f t="shared" si="7"/>
        <v>02/2026</v>
      </c>
      <c r="AP431" s="277" t="str">
        <f t="array" ref="AP431">IFERROR(XLOOKUP(L431,'2. DATA NL, VTBB'!C:C,'2. DATA NL, VTBB'!F:F),"")</f>
        <v>HH0110</v>
      </c>
      <c r="AQ431" s="277" t="str">
        <f t="array" ref="AQ431">IF(OR(K431="Nhãn", K431="Nhãn thùng",K431="Nhãn Túi"), K431 &amp; " " &amp; IFERROR(XLOOKUP(L431, '2. DATA NL, VTBB'!C:C, '2. DATA NL, VTBB'!E:E), ""), "")</f>
        <v/>
      </c>
      <c r="AR431" s="278" t="str">
        <f t="array" ref="AR431">IFERROR(XLOOKUP(L431,'2. DATA NL, VTBB'!C:C,'2. DATA NL, VTBB'!G:G),"")</f>
        <v>GC - II - 645 - AGC NEW - Mancozeb 800 Xanh - 1 kg - 20</v>
      </c>
      <c r="AS431" s="278" t="str">
        <f t="array" ref="AS431">IFERROR(XLOOKUP(L431,'2. DATA NL, VTBB'!C:C,'2. DATA NL, VTBB'!G:G),"")</f>
        <v>GC - II - 645 - AGC NEW - Mancozeb 800 Xanh - 1 kg - 20</v>
      </c>
      <c r="AT431" s="277"/>
    </row>
    <row r="432" ht="30.75" customHeight="1">
      <c r="A432" s="272">
        <f t="shared" si="44"/>
        <v>429</v>
      </c>
      <c r="B432" s="289">
        <v>46064.0</v>
      </c>
      <c r="C432" s="289">
        <v>46078.0</v>
      </c>
      <c r="D432" s="289">
        <v>46111.0</v>
      </c>
      <c r="E432" s="289">
        <v>46111.0</v>
      </c>
      <c r="F432" s="274" t="s">
        <v>561</v>
      </c>
      <c r="G432" s="275" t="s">
        <v>562</v>
      </c>
      <c r="H432" s="274" t="s">
        <v>304</v>
      </c>
      <c r="I432" s="275" t="s">
        <v>853</v>
      </c>
      <c r="J432" s="272" t="s">
        <v>1098</v>
      </c>
      <c r="K432" s="275" t="s">
        <v>730</v>
      </c>
      <c r="L432" s="277" t="s">
        <v>1100</v>
      </c>
      <c r="M432" s="278" t="str">
        <f t="array" ref="M432">IFERROR(XLOOKUP(L432,'2. DATA NL, VTBB'!C:C,'2. DATA NL, VTBB'!D:D),"")</f>
        <v>Nắp PET cổ 38 (7.5gr) - Trắng sữa</v>
      </c>
      <c r="N432" s="280"/>
      <c r="O432" s="280" t="str">
        <f t="array" ref="O432">IFERROR( XLOOKUP(L432,'2. DATA NL, VTBB'!C:C,'2. DATA NL, VTBB'!E:E),"")</f>
        <v>TVZEB 800WP</v>
      </c>
      <c r="P432" s="275" t="s">
        <v>565</v>
      </c>
      <c r="Q432" s="311"/>
      <c r="R432" s="291" t="s">
        <v>573</v>
      </c>
      <c r="S432" s="277"/>
      <c r="T432" s="277"/>
      <c r="U432" s="277"/>
      <c r="V432" s="283">
        <v>10000.0</v>
      </c>
      <c r="W432" s="275" t="s">
        <v>699</v>
      </c>
      <c r="X432" s="283">
        <v>10000.0</v>
      </c>
      <c r="Y432" s="274">
        <v>10080.0</v>
      </c>
      <c r="Z432" s="272">
        <v>700.0</v>
      </c>
      <c r="AA432" s="285">
        <v>0.08</v>
      </c>
      <c r="AB432" s="282">
        <v>7620480.0</v>
      </c>
      <c r="AC432" s="277"/>
      <c r="AD432" s="289">
        <v>46064.0</v>
      </c>
      <c r="AE432" s="312"/>
      <c r="AF432" s="277"/>
      <c r="AG432" s="277"/>
      <c r="AH432" s="294">
        <f>IFERROR(__xludf.DUMMYFUNCTION("IFERROR(INDEX( SORT(FILTER(
        {'1. DATA CHUNG'!$J$4:$J$105 , '1. DATA CHUNG'!$L$4:$L$105}, (TRIM('1. DATA CHUNG'!$I$4:$I$105)=TRIM(K432)) * IF(COUNTIFS('1. DATA CHUNG'!$I$4:$I$105,K432,'1. DATA CHUNG'!$M$4:$M$105,Q432), '1. DATA CHUNG'!$M$4:$M$105=Q"&amp;"432, 1) * ('1. DATA CHUNG'!$L$4:$L$105&lt;=TODAY()) ),   2, 0),  1, 1), 
  IFERROR( INDEX(FILTER('1. DATA CHUNG'!$J$4:$J$105, (TRIM('1. DATA CHUNG'!$I$4:$I$105)=TRIM(K432)) * IF(COUNTIFS('1. DATA CHUNG'!$I$4:$I$105,K432,'1. DATA CHUNG'!$M$4:$M$105,Q432), '1."&amp;" DATA CHUNG'!$M$4:$M$105=Q432, 1) * ('1. DATA CHUNG'!$L$4:$L$105="""")), 1), ""Không tìm thấy"" ))"),7.0)</f>
        <v>7</v>
      </c>
      <c r="AI432" s="273">
        <f t="shared" si="2"/>
        <v>46071</v>
      </c>
      <c r="AJ432" s="287"/>
      <c r="AK432" s="286">
        <f t="shared" si="3"/>
        <v>0</v>
      </c>
      <c r="AL432" s="287">
        <f t="shared" si="4"/>
        <v>0</v>
      </c>
      <c r="AM432" s="287">
        <f t="shared" si="5"/>
        <v>-40</v>
      </c>
      <c r="AN432" s="279">
        <f t="shared" si="6"/>
        <v>-7</v>
      </c>
      <c r="AO432" s="295" t="str">
        <f t="shared" si="7"/>
        <v>02/2026</v>
      </c>
      <c r="AP432" s="277" t="str">
        <f t="array" ref="AP432">IFERROR(XLOOKUP(L432,'2. DATA NL, VTBB'!C:C,'2. DATA NL, VTBB'!F:F),"")</f>
        <v>HH0092</v>
      </c>
      <c r="AQ432" s="277" t="str">
        <f t="array" ref="AQ432">IF(OR(K432="Nhãn", K432="Nhãn thùng",K432="Nhãn Túi"), K432 &amp; " " &amp; IFERROR(XLOOKUP(L432, '2. DATA NL, VTBB'!C:C, '2. DATA NL, VTBB'!E:E), ""), "")</f>
        <v/>
      </c>
      <c r="AR432" s="278" t="str">
        <f t="array" ref="AR432">IFERROR(XLOOKUP(L432,'2. DATA NL, VTBB'!C:C,'2. DATA NL, VTBB'!G:G),"")</f>
        <v>GC - II - 645 - AGC NEW - Mancozeb 800 Xanh - 1 kg - 20</v>
      </c>
      <c r="AS432" s="278" t="str">
        <f t="array" ref="AS432">IFERROR(XLOOKUP(L432,'2. DATA NL, VTBB'!C:C,'2. DATA NL, VTBB'!G:G),"")</f>
        <v>GC - II - 645 - AGC NEW - Mancozeb 800 Xanh - 1 kg - 20</v>
      </c>
      <c r="AT432" s="277"/>
    </row>
    <row r="433" ht="30.75" customHeight="1">
      <c r="A433" s="272">
        <f t="shared" si="44"/>
        <v>430</v>
      </c>
      <c r="B433" s="289">
        <v>46064.0</v>
      </c>
      <c r="C433" s="289">
        <v>46071.0</v>
      </c>
      <c r="D433" s="289">
        <v>46111.0</v>
      </c>
      <c r="E433" s="289">
        <v>46111.0</v>
      </c>
      <c r="F433" s="274" t="s">
        <v>561</v>
      </c>
      <c r="G433" s="275" t="s">
        <v>562</v>
      </c>
      <c r="H433" s="274" t="s">
        <v>304</v>
      </c>
      <c r="I433" s="275" t="s">
        <v>305</v>
      </c>
      <c r="J433" s="272" t="s">
        <v>1101</v>
      </c>
      <c r="K433" s="275" t="s">
        <v>301</v>
      </c>
      <c r="L433" s="277" t="s">
        <v>633</v>
      </c>
      <c r="M433" s="278" t="str">
        <f t="array" ref="M433">IFERROR(XLOOKUP(L433,'2. DATA NL, VTBB'!C:C,'2. DATA NL, VTBB'!D:D),"")</f>
        <v>Thùng Dùng Chung  15gr  x 400 gói (55.5x39x34cm) - Trắng</v>
      </c>
      <c r="N433" s="280"/>
      <c r="O433" s="280" t="str">
        <f t="array" ref="O433">IFERROR( XLOOKUP(L433,'2. DATA NL, VTBB'!C:C,'2. DATA NL, VTBB'!E:E),"")</f>
        <v>APLOUGENT 450SC</v>
      </c>
      <c r="P433" s="275" t="s">
        <v>565</v>
      </c>
      <c r="Q433" s="311"/>
      <c r="R433" s="291" t="s">
        <v>573</v>
      </c>
      <c r="S433" s="277"/>
      <c r="T433" s="277"/>
      <c r="U433" s="277"/>
      <c r="V433" s="283">
        <v>100.0</v>
      </c>
      <c r="W433" s="275" t="s">
        <v>699</v>
      </c>
      <c r="X433" s="283">
        <v>100.0</v>
      </c>
      <c r="Y433" s="274">
        <v>100.0</v>
      </c>
      <c r="Z433" s="272">
        <v>26950.0</v>
      </c>
      <c r="AA433" s="285">
        <v>0.08</v>
      </c>
      <c r="AB433" s="282">
        <v>2910600.0</v>
      </c>
      <c r="AC433" s="277"/>
      <c r="AD433" s="289">
        <v>46064.0</v>
      </c>
      <c r="AE433" s="312"/>
      <c r="AF433" s="277"/>
      <c r="AG433" s="277"/>
      <c r="AH433" s="294">
        <f>IFERROR(__xludf.DUMMYFUNCTION("IFERROR(INDEX( SORT(FILTER(
        {'1. DATA CHUNG'!$J$4:$J$105 , '1. DATA CHUNG'!$L$4:$L$105}, (TRIM('1. DATA CHUNG'!$I$4:$I$105)=TRIM(K433)) * IF(COUNTIFS('1. DATA CHUNG'!$I$4:$I$105,K433,'1. DATA CHUNG'!$M$4:$M$105,Q433), '1. DATA CHUNG'!$M$4:$M$105=Q"&amp;"433, 1) * ('1. DATA CHUNG'!$L$4:$L$105&lt;=TODAY()) ),   2, 0),  1, 1), 
  IFERROR( INDEX(FILTER('1. DATA CHUNG'!$J$4:$J$105, (TRIM('1. DATA CHUNG'!$I$4:$I$105)=TRIM(K433)) * IF(COUNTIFS('1. DATA CHUNG'!$I$4:$I$105,K433,'1. DATA CHUNG'!$M$4:$M$105,Q433), '1."&amp;" DATA CHUNG'!$M$4:$M$105=Q433, 1) * ('1. DATA CHUNG'!$L$4:$L$105="""")), 1), ""Không tìm thấy"" ))"),18.0)</f>
        <v>18</v>
      </c>
      <c r="AI433" s="273">
        <f t="shared" si="2"/>
        <v>46082</v>
      </c>
      <c r="AJ433" s="287"/>
      <c r="AK433" s="286">
        <f t="shared" si="3"/>
        <v>0</v>
      </c>
      <c r="AL433" s="287">
        <f t="shared" si="4"/>
        <v>0</v>
      </c>
      <c r="AM433" s="287">
        <f t="shared" si="5"/>
        <v>-29</v>
      </c>
      <c r="AN433" s="279">
        <f t="shared" si="6"/>
        <v>11</v>
      </c>
      <c r="AO433" s="295" t="str">
        <f t="shared" si="7"/>
        <v>02/2026</v>
      </c>
      <c r="AP433" s="277" t="str">
        <f t="array" ref="AP433">IFERROR(XLOOKUP(L433,'2. DATA NL, VTBB'!C:C,'2. DATA NL, VTBB'!F:F),"")</f>
        <v>HH0228</v>
      </c>
      <c r="AQ433" s="277" t="str">
        <f t="array" ref="AQ433">IF(OR(K433="Nhãn", K433="Nhãn thùng",K433="Nhãn Túi"), K433 &amp; " " &amp; IFERROR(XLOOKUP(L433, '2. DATA NL, VTBB'!C:C, '2. DATA NL, VTBB'!E:E), ""), "")</f>
        <v/>
      </c>
      <c r="AR433" s="278" t="str">
        <f t="array" ref="AR433">IFERROR(XLOOKUP(L433,'2. DATA NL, VTBB'!C:C,'2. DATA NL, VTBB'!G:G),"")</f>
        <v>GC - II - 640 - AGC NEW - Lougent 450SC (chai PET tròn) - 240ml - 40</v>
      </c>
      <c r="AS433" s="278" t="str">
        <f t="array" ref="AS433">IFERROR(XLOOKUP(L433,'2. DATA NL, VTBB'!C:C,'2. DATA NL, VTBB'!G:G),"")</f>
        <v>GC - II - 640 - AGC NEW - Lougent 450SC (chai PET tròn) - 240ml - 40</v>
      </c>
      <c r="AT433" s="277"/>
    </row>
    <row r="434" ht="30.75" customHeight="1">
      <c r="A434" s="272">
        <f t="shared" si="44"/>
        <v>431</v>
      </c>
      <c r="B434" s="289">
        <v>46064.0</v>
      </c>
      <c r="C434" s="289">
        <v>46071.0</v>
      </c>
      <c r="D434" s="289">
        <v>46111.0</v>
      </c>
      <c r="E434" s="289">
        <v>46101.0</v>
      </c>
      <c r="F434" s="274" t="s">
        <v>561</v>
      </c>
      <c r="G434" s="275" t="s">
        <v>562</v>
      </c>
      <c r="H434" s="274" t="s">
        <v>304</v>
      </c>
      <c r="I434" s="275" t="s">
        <v>305</v>
      </c>
      <c r="J434" s="272" t="s">
        <v>1102</v>
      </c>
      <c r="K434" s="275" t="s">
        <v>301</v>
      </c>
      <c r="L434" s="277" t="s">
        <v>860</v>
      </c>
      <c r="M434" s="278" t="str">
        <f t="array" ref="M434">IFERROR(XLOOKUP(L434,'2. DATA NL, VTBB'!C:C,'2. DATA NL, VTBB'!D:D),"")</f>
        <v>Thùng Dùng Chung 100 gói (38x26.5x15.5cm) - Trắng</v>
      </c>
      <c r="N434" s="280"/>
      <c r="O434" s="280" t="str">
        <f t="array" ref="O434">IFERROR( XLOOKUP(L434,'2. DATA NL, VTBB'!C:C,'2. DATA NL, VTBB'!E:E),"")</f>
        <v>Solonapy 300SC</v>
      </c>
      <c r="P434" s="275" t="s">
        <v>565</v>
      </c>
      <c r="Q434" s="311"/>
      <c r="R434" s="291" t="s">
        <v>573</v>
      </c>
      <c r="S434" s="277"/>
      <c r="T434" s="277"/>
      <c r="U434" s="277"/>
      <c r="V434" s="283">
        <v>400.0</v>
      </c>
      <c r="W434" s="275" t="s">
        <v>699</v>
      </c>
      <c r="X434" s="283">
        <v>400.0</v>
      </c>
      <c r="Y434" s="274">
        <v>400.0</v>
      </c>
      <c r="Z434" s="272">
        <v>6900.0</v>
      </c>
      <c r="AA434" s="285">
        <v>0.08</v>
      </c>
      <c r="AB434" s="282">
        <v>2980800.0</v>
      </c>
      <c r="AC434" s="277"/>
      <c r="AD434" s="289">
        <v>46064.0</v>
      </c>
      <c r="AE434" s="312"/>
      <c r="AF434" s="277"/>
      <c r="AG434" s="277"/>
      <c r="AH434" s="294">
        <f>IFERROR(__xludf.DUMMYFUNCTION("IFERROR(INDEX( SORT(FILTER(
        {'1. DATA CHUNG'!$J$4:$J$105 , '1. DATA CHUNG'!$L$4:$L$105}, (TRIM('1. DATA CHUNG'!$I$4:$I$105)=TRIM(K434)) * IF(COUNTIFS('1. DATA CHUNG'!$I$4:$I$105,K434,'1. DATA CHUNG'!$M$4:$M$105,Q434), '1. DATA CHUNG'!$M$4:$M$105=Q"&amp;"434, 1) * ('1. DATA CHUNG'!$L$4:$L$105&lt;=TODAY()) ),   2, 0),  1, 1), 
  IFERROR( INDEX(FILTER('1. DATA CHUNG'!$J$4:$J$105, (TRIM('1. DATA CHUNG'!$I$4:$I$105)=TRIM(K434)) * IF(COUNTIFS('1. DATA CHUNG'!$I$4:$I$105,K434,'1. DATA CHUNG'!$M$4:$M$105,Q434), '1."&amp;" DATA CHUNG'!$M$4:$M$105=Q434, 1) * ('1. DATA CHUNG'!$L$4:$L$105="""")), 1), ""Không tìm thấy"" ))"),18.0)</f>
        <v>18</v>
      </c>
      <c r="AI434" s="273">
        <f t="shared" si="2"/>
        <v>46082</v>
      </c>
      <c r="AJ434" s="287"/>
      <c r="AK434" s="286">
        <f t="shared" si="3"/>
        <v>0</v>
      </c>
      <c r="AL434" s="287">
        <f t="shared" si="4"/>
        <v>10</v>
      </c>
      <c r="AM434" s="287">
        <f t="shared" si="5"/>
        <v>-19</v>
      </c>
      <c r="AN434" s="279">
        <f t="shared" si="6"/>
        <v>11</v>
      </c>
      <c r="AO434" s="295" t="str">
        <f t="shared" si="7"/>
        <v>02/2026</v>
      </c>
      <c r="AP434" s="277" t="str">
        <f t="array" ref="AP434">IFERROR(XLOOKUP(L434,'2. DATA NL, VTBB'!C:C,'2. DATA NL, VTBB'!F:F),"")</f>
        <v>HH0235</v>
      </c>
      <c r="AQ434" s="277" t="str">
        <f t="array" ref="AQ434">IF(OR(K434="Nhãn", K434="Nhãn thùng",K434="Nhãn Túi"), K434 &amp; " " &amp; IFERROR(XLOOKUP(L434, '2. DATA NL, VTBB'!C:C, '2. DATA NL, VTBB'!E:E), ""), "")</f>
        <v/>
      </c>
      <c r="AR434" s="278" t="str">
        <f t="array" ref="AR434">IFERROR(XLOOKUP(L434,'2. DATA NL, VTBB'!C:C,'2. DATA NL, VTBB'!G:G),"")</f>
        <v>IDA Global - I - 647 - ĐL Cô Ba -Cá mập 300 plus - 240ml - 40</v>
      </c>
      <c r="AS434" s="278" t="str">
        <f t="array" ref="AS434">IFERROR(XLOOKUP(L434,'2. DATA NL, VTBB'!C:C,'2. DATA NL, VTBB'!G:G),"")</f>
        <v>IDA Global - I - 647 - ĐL Cô Ba -Cá mập 300 plus - 240ml - 40</v>
      </c>
      <c r="AT434" s="277"/>
    </row>
    <row r="435" ht="30.75" customHeight="1">
      <c r="A435" s="272">
        <f t="shared" si="44"/>
        <v>432</v>
      </c>
      <c r="B435" s="289">
        <v>46065.0</v>
      </c>
      <c r="C435" s="293">
        <v>46066.0</v>
      </c>
      <c r="D435" s="293">
        <v>46066.0</v>
      </c>
      <c r="E435" s="293">
        <v>46066.0</v>
      </c>
      <c r="F435" s="274" t="s">
        <v>561</v>
      </c>
      <c r="G435" s="275" t="s">
        <v>562</v>
      </c>
      <c r="H435" s="274" t="s">
        <v>304</v>
      </c>
      <c r="I435" s="275" t="s">
        <v>726</v>
      </c>
      <c r="J435" s="272" t="s">
        <v>1103</v>
      </c>
      <c r="K435" s="275" t="s">
        <v>728</v>
      </c>
      <c r="L435" s="277" t="s">
        <v>856</v>
      </c>
      <c r="M435" s="278" t="str">
        <f t="array" ref="M435">IFERROR(XLOOKUP(L435,'2. DATA NL, VTBB'!C:C,'2. DATA NL, VTBB'!D:D),"")</f>
        <v>Chai pet tròn cổ 38 250ml - Màu trắng (41gr)</v>
      </c>
      <c r="N435" s="280"/>
      <c r="O435" s="280" t="str">
        <f t="array" ref="O435">IFERROR( XLOOKUP(L435,'2. DATA NL, VTBB'!C:C,'2. DATA NL, VTBB'!E:E),"")</f>
        <v>Tikabamec 3.6EC</v>
      </c>
      <c r="P435" s="275" t="s">
        <v>565</v>
      </c>
      <c r="Q435" s="311"/>
      <c r="R435" s="290" t="s">
        <v>566</v>
      </c>
      <c r="S435" s="277"/>
      <c r="T435" s="277"/>
      <c r="U435" s="277"/>
      <c r="V435" s="283">
        <v>1000.0</v>
      </c>
      <c r="W435" s="275" t="s">
        <v>699</v>
      </c>
      <c r="X435" s="283">
        <v>1000.0</v>
      </c>
      <c r="Y435" s="274">
        <v>1000.0</v>
      </c>
      <c r="Z435" s="272">
        <v>2100.0</v>
      </c>
      <c r="AA435" s="285">
        <v>0.08</v>
      </c>
      <c r="AB435" s="282">
        <v>2268000.0</v>
      </c>
      <c r="AC435" s="277"/>
      <c r="AD435" s="289">
        <v>46065.0</v>
      </c>
      <c r="AE435" s="312"/>
      <c r="AF435" s="277"/>
      <c r="AG435" s="277"/>
      <c r="AH435" s="294">
        <f>IFERROR(__xludf.DUMMYFUNCTION("IFERROR(INDEX( SORT(FILTER(
        {'1. DATA CHUNG'!$J$4:$J$105 , '1. DATA CHUNG'!$L$4:$L$105}, (TRIM('1. DATA CHUNG'!$I$4:$I$105)=TRIM(K435)) * IF(COUNTIFS('1. DATA CHUNG'!$I$4:$I$105,K435,'1. DATA CHUNG'!$M$4:$M$105,Q435), '1. DATA CHUNG'!$M$4:$M$105=Q"&amp;"435, 1) * ('1. DATA CHUNG'!$L$4:$L$105&lt;=TODAY()) ),   2, 0),  1, 1), 
  IFERROR( INDEX(FILTER('1. DATA CHUNG'!$J$4:$J$105, (TRIM('1. DATA CHUNG'!$I$4:$I$105)=TRIM(K435)) * IF(COUNTIFS('1. DATA CHUNG'!$I$4:$I$105,K435,'1. DATA CHUNG'!$M$4:$M$105,Q435), '1."&amp;" DATA CHUNG'!$M$4:$M$105=Q435, 1) * ('1. DATA CHUNG'!$L$4:$L$105="""")), 1), ""Không tìm thấy"" ))"),7.0)</f>
        <v>7</v>
      </c>
      <c r="AI435" s="273">
        <f t="shared" si="2"/>
        <v>46072</v>
      </c>
      <c r="AJ435" s="287"/>
      <c r="AK435" s="286">
        <f t="shared" si="3"/>
        <v>0</v>
      </c>
      <c r="AL435" s="287">
        <f t="shared" si="4"/>
        <v>0</v>
      </c>
      <c r="AM435" s="287">
        <f t="shared" si="5"/>
        <v>6</v>
      </c>
      <c r="AN435" s="279">
        <f t="shared" si="6"/>
        <v>6</v>
      </c>
      <c r="AO435" s="295" t="str">
        <f t="shared" si="7"/>
        <v>02/2026</v>
      </c>
      <c r="AP435" s="277" t="str">
        <f t="array" ref="AP435">IFERROR(XLOOKUP(L435,'2. DATA NL, VTBB'!C:C,'2. DATA NL, VTBB'!F:F),"")</f>
        <v>HH0189</v>
      </c>
      <c r="AQ435" s="277" t="str">
        <f t="array" ref="AQ435">IF(OR(K435="Nhãn", K435="Nhãn thùng",K435="Nhãn Túi"), K435 &amp; " " &amp; IFERROR(XLOOKUP(L435, '2. DATA NL, VTBB'!C:C, '2. DATA NL, VTBB'!E:E), ""), "")</f>
        <v/>
      </c>
      <c r="AR435" s="278" t="str">
        <f t="array" ref="AR435">IFERROR(XLOOKUP(L435,'2. DATA NL, VTBB'!C:C,'2. DATA NL, VTBB'!G:G),"")</f>
        <v>LOT IDA Global - I - ĐL Hai Nhóm - 782 - Tikabamec 3.6EC (Pet tròn) (nước đục)- 450ml - 40</v>
      </c>
      <c r="AS435" s="278" t="str">
        <f t="array" ref="AS435">IFERROR(XLOOKUP(L435,'2. DATA NL, VTBB'!C:C,'2. DATA NL, VTBB'!G:G),"")</f>
        <v>LOT IDA Global - I - ĐL Hai Nhóm - 782 - Tikabamec 3.6EC (Pet tròn) (nước đục)- 450ml - 40</v>
      </c>
      <c r="AT435" s="277"/>
    </row>
    <row r="436" ht="30.75" customHeight="1">
      <c r="A436" s="272">
        <f t="shared" si="44"/>
        <v>433</v>
      </c>
      <c r="B436" s="289">
        <v>46065.0</v>
      </c>
      <c r="C436" s="293">
        <v>46066.0</v>
      </c>
      <c r="D436" s="293">
        <v>46066.0</v>
      </c>
      <c r="E436" s="293">
        <v>46066.0</v>
      </c>
      <c r="F436" s="274" t="s">
        <v>561</v>
      </c>
      <c r="G436" s="275" t="s">
        <v>562</v>
      </c>
      <c r="H436" s="274" t="s">
        <v>304</v>
      </c>
      <c r="I436" s="275" t="s">
        <v>726</v>
      </c>
      <c r="J436" s="272" t="s">
        <v>1103</v>
      </c>
      <c r="K436" s="275" t="s">
        <v>730</v>
      </c>
      <c r="L436" s="277" t="s">
        <v>776</v>
      </c>
      <c r="M436" s="278" t="str">
        <f t="array" ref="M436">IFERROR(XLOOKUP(L436,'2. DATA NL, VTBB'!C:C,'2. DATA NL, VTBB'!D:D),"")</f>
        <v>Nắp PET cổ 38 (7gr) gầy- Màu trắng</v>
      </c>
      <c r="N436" s="280"/>
      <c r="O436" s="280" t="str">
        <f t="array" ref="O436">IFERROR( XLOOKUP(L436,'2. DATA NL, VTBB'!C:C,'2. DATA NL, VTBB'!E:E),"")</f>
        <v>BYPHAN 800WP</v>
      </c>
      <c r="P436" s="275" t="s">
        <v>565</v>
      </c>
      <c r="Q436" s="311"/>
      <c r="R436" s="290" t="s">
        <v>566</v>
      </c>
      <c r="S436" s="277"/>
      <c r="T436" s="277"/>
      <c r="U436" s="277"/>
      <c r="V436" s="283">
        <v>1000.0</v>
      </c>
      <c r="W436" s="275" t="s">
        <v>699</v>
      </c>
      <c r="X436" s="283">
        <v>1000.0</v>
      </c>
      <c r="Y436" s="274">
        <v>1000.0</v>
      </c>
      <c r="Z436" s="272">
        <v>700.0</v>
      </c>
      <c r="AA436" s="285">
        <v>0.08</v>
      </c>
      <c r="AB436" s="282">
        <v>756000.0</v>
      </c>
      <c r="AC436" s="277"/>
      <c r="AD436" s="289">
        <v>46065.0</v>
      </c>
      <c r="AE436" s="312"/>
      <c r="AF436" s="277"/>
      <c r="AG436" s="277"/>
      <c r="AH436" s="294">
        <f>IFERROR(__xludf.DUMMYFUNCTION("IFERROR(INDEX( SORT(FILTER(
        {'1. DATA CHUNG'!$J$4:$J$105 , '1. DATA CHUNG'!$L$4:$L$105}, (TRIM('1. DATA CHUNG'!$I$4:$I$105)=TRIM(K436)) * IF(COUNTIFS('1. DATA CHUNG'!$I$4:$I$105,K436,'1. DATA CHUNG'!$M$4:$M$105,Q436), '1. DATA CHUNG'!$M$4:$M$105=Q"&amp;"436, 1) * ('1. DATA CHUNG'!$L$4:$L$105&lt;=TODAY()) ),   2, 0),  1, 1), 
  IFERROR( INDEX(FILTER('1. DATA CHUNG'!$J$4:$J$105, (TRIM('1. DATA CHUNG'!$I$4:$I$105)=TRIM(K436)) * IF(COUNTIFS('1. DATA CHUNG'!$I$4:$I$105,K436,'1. DATA CHUNG'!$M$4:$M$105,Q436), '1."&amp;" DATA CHUNG'!$M$4:$M$105=Q436, 1) * ('1. DATA CHUNG'!$L$4:$L$105="""")), 1), ""Không tìm thấy"" ))"),7.0)</f>
        <v>7</v>
      </c>
      <c r="AI436" s="273">
        <f t="shared" si="2"/>
        <v>46072</v>
      </c>
      <c r="AJ436" s="287"/>
      <c r="AK436" s="286">
        <f t="shared" si="3"/>
        <v>0</v>
      </c>
      <c r="AL436" s="287">
        <f t="shared" si="4"/>
        <v>0</v>
      </c>
      <c r="AM436" s="287">
        <f t="shared" si="5"/>
        <v>6</v>
      </c>
      <c r="AN436" s="279">
        <f t="shared" si="6"/>
        <v>6</v>
      </c>
      <c r="AO436" s="295" t="str">
        <f t="shared" si="7"/>
        <v>02/2026</v>
      </c>
      <c r="AP436" s="277" t="str">
        <f t="array" ref="AP436">IFERROR(XLOOKUP(L436,'2. DATA NL, VTBB'!C:C,'2. DATA NL, VTBB'!F:F),"")</f>
        <v>HH0138</v>
      </c>
      <c r="AQ436" s="277" t="str">
        <f t="array" ref="AQ436">IF(OR(K436="Nhãn", K436="Nhãn thùng",K436="Nhãn Túi"), K436 &amp; " " &amp; IFERROR(XLOOKUP(L436, '2. DATA NL, VTBB'!C:C, '2. DATA NL, VTBB'!E:E), ""), "")</f>
        <v/>
      </c>
      <c r="AR436" s="278" t="str">
        <f t="array" ref="AR436">IFERROR(XLOOKUP(L436,'2. DATA NL, VTBB'!C:C,'2. DATA NL, VTBB'!G:G),"")</f>
        <v>LOT IDA Global - I - 847 - ĐL Hồng Liệt - Mancozeb xanh - 1 Kg - 20</v>
      </c>
      <c r="AS436" s="278" t="str">
        <f t="array" ref="AS436">IFERROR(XLOOKUP(L436,'2. DATA NL, VTBB'!C:C,'2. DATA NL, VTBB'!G:G),"")</f>
        <v>LOT IDA Global - I - 847 - ĐL Hồng Liệt - Mancozeb xanh - 1 Kg - 20</v>
      </c>
      <c r="AT436" s="277"/>
    </row>
    <row r="437" ht="30.75" customHeight="1">
      <c r="A437" s="272">
        <f t="shared" si="44"/>
        <v>434</v>
      </c>
      <c r="B437" s="289">
        <v>46077.0</v>
      </c>
      <c r="C437" s="289">
        <v>46066.0</v>
      </c>
      <c r="D437" s="293">
        <v>46066.0</v>
      </c>
      <c r="E437" s="293">
        <v>46066.0</v>
      </c>
      <c r="F437" s="274" t="s">
        <v>561</v>
      </c>
      <c r="G437" s="275" t="s">
        <v>562</v>
      </c>
      <c r="H437" s="274" t="s">
        <v>304</v>
      </c>
      <c r="I437" s="275" t="s">
        <v>726</v>
      </c>
      <c r="J437" s="272" t="s">
        <v>1104</v>
      </c>
      <c r="K437" s="275" t="s">
        <v>728</v>
      </c>
      <c r="L437" s="277" t="s">
        <v>1105</v>
      </c>
      <c r="M437" s="278" t="str">
        <f t="array" ref="M437">IFERROR(XLOOKUP(L437,'2. DATA NL, VTBB'!C:C,'2. DATA NL, VTBB'!D:D),"")</f>
        <v>Chai PET tròn cổ 38 (28gr) 100ml - Trắng</v>
      </c>
      <c r="N437" s="280"/>
      <c r="O437" s="280" t="str">
        <f t="array" ref="O437">IFERROR( XLOOKUP(L437,'2. DATA NL, VTBB'!C:C,'2. DATA NL, VTBB'!E:E),"")</f>
        <v>CHITIN 3.6EC</v>
      </c>
      <c r="P437" s="277"/>
      <c r="Q437" s="311"/>
      <c r="R437" s="291" t="s">
        <v>573</v>
      </c>
      <c r="S437" s="277"/>
      <c r="T437" s="277"/>
      <c r="U437" s="277"/>
      <c r="V437" s="283">
        <v>5000.0</v>
      </c>
      <c r="W437" s="275" t="s">
        <v>699</v>
      </c>
      <c r="X437" s="283">
        <v>5000.0</v>
      </c>
      <c r="Y437" s="274">
        <v>5060.0</v>
      </c>
      <c r="Z437" s="272">
        <v>1400.0</v>
      </c>
      <c r="AA437" s="285">
        <v>0.08</v>
      </c>
      <c r="AB437" s="282">
        <v>7650720.0</v>
      </c>
      <c r="AC437" s="277"/>
      <c r="AD437" s="289">
        <v>46077.0</v>
      </c>
      <c r="AE437" s="312"/>
      <c r="AF437" s="277"/>
      <c r="AG437" s="277"/>
      <c r="AH437" s="294">
        <f>IFERROR(__xludf.DUMMYFUNCTION("IFERROR(INDEX( SORT(FILTER(
        {'1. DATA CHUNG'!$J$4:$J$105 , '1. DATA CHUNG'!$L$4:$L$105}, (TRIM('1. DATA CHUNG'!$I$4:$I$105)=TRIM(K437)) * IF(COUNTIFS('1. DATA CHUNG'!$I$4:$I$105,K437,'1. DATA CHUNG'!$M$4:$M$105,Q437), '1. DATA CHUNG'!$M$4:$M$105=Q"&amp;"437, 1) * ('1. DATA CHUNG'!$L$4:$L$105&lt;=TODAY()) ),   2, 0),  1, 1), 
  IFERROR( INDEX(FILTER('1. DATA CHUNG'!$J$4:$J$105, (TRIM('1. DATA CHUNG'!$I$4:$I$105)=TRIM(K437)) * IF(COUNTIFS('1. DATA CHUNG'!$I$4:$I$105,K437,'1. DATA CHUNG'!$M$4:$M$105,Q437), '1."&amp;" DATA CHUNG'!$M$4:$M$105=Q437, 1) * ('1. DATA CHUNG'!$L$4:$L$105="""")), 1), ""Không tìm thấy"" ))"),7.0)</f>
        <v>7</v>
      </c>
      <c r="AI437" s="273">
        <f t="shared" si="2"/>
        <v>46084</v>
      </c>
      <c r="AJ437" s="287"/>
      <c r="AK437" s="286">
        <f t="shared" si="3"/>
        <v>0</v>
      </c>
      <c r="AL437" s="287">
        <f t="shared" si="4"/>
        <v>0</v>
      </c>
      <c r="AM437" s="287">
        <f t="shared" si="5"/>
        <v>18</v>
      </c>
      <c r="AN437" s="279">
        <f t="shared" si="6"/>
        <v>18</v>
      </c>
      <c r="AO437" s="295" t="str">
        <f t="shared" si="7"/>
        <v>02/2026</v>
      </c>
      <c r="AP437" s="277" t="str">
        <f t="array" ref="AP437">IFERROR(XLOOKUP(L437,'2. DATA NL, VTBB'!C:C,'2. DATA NL, VTBB'!F:F),"")</f>
        <v>HH0246</v>
      </c>
      <c r="AQ437" s="277" t="str">
        <f t="array" ref="AQ437">IF(OR(K437="Nhãn", K437="Nhãn thùng",K437="Nhãn Túi"), K437 &amp; " " &amp; IFERROR(XLOOKUP(L437, '2. DATA NL, VTBB'!C:C, '2. DATA NL, VTBB'!E:E), ""), "")</f>
        <v/>
      </c>
      <c r="AR437" s="278" t="str">
        <f t="array" ref="AR437">IFERROR(XLOOKUP(L437,'2. DATA NL, VTBB'!C:C,'2. DATA NL, VTBB'!G:G),"")</f>
        <v>GC - IV - 901 - AU - Sức mạnh thần sấm (Pet tròn)(nắp vàng)(nước nâu đen) - 450ml - 40</v>
      </c>
      <c r="AS437" s="278" t="str">
        <f t="array" ref="AS437">IFERROR(XLOOKUP(L437,'2. DATA NL, VTBB'!C:C,'2. DATA NL, VTBB'!G:G),"")</f>
        <v>GC - IV - 901 - AU - Sức mạnh thần sấm (Pet tròn)(nắp vàng)(nước nâu đen) - 450ml - 40</v>
      </c>
      <c r="AT437" s="277"/>
    </row>
    <row r="438" ht="30.75" customHeight="1">
      <c r="A438" s="272">
        <f t="shared" si="44"/>
        <v>435</v>
      </c>
      <c r="B438" s="289">
        <v>46077.0</v>
      </c>
      <c r="C438" s="289">
        <v>46066.0</v>
      </c>
      <c r="D438" s="293">
        <v>46066.0</v>
      </c>
      <c r="E438" s="293">
        <v>46066.0</v>
      </c>
      <c r="F438" s="274" t="s">
        <v>561</v>
      </c>
      <c r="G438" s="275" t="s">
        <v>562</v>
      </c>
      <c r="H438" s="274" t="s">
        <v>304</v>
      </c>
      <c r="I438" s="275" t="s">
        <v>726</v>
      </c>
      <c r="J438" s="272" t="s">
        <v>1104</v>
      </c>
      <c r="K438" s="275" t="s">
        <v>730</v>
      </c>
      <c r="L438" s="277" t="s">
        <v>1106</v>
      </c>
      <c r="M438" s="278" t="str">
        <f t="array" ref="M438">IFERROR(XLOOKUP(L438,'2. DATA NL, VTBB'!C:C,'2. DATA NL, VTBB'!D:D),"")</f>
        <v>Nắp PET cổ 38 (7.5gr) - Đỏ</v>
      </c>
      <c r="N438" s="280"/>
      <c r="O438" s="280" t="str">
        <f t="array" ref="O438">IFERROR( XLOOKUP(L438,'2. DATA NL, VTBB'!C:C,'2. DATA NL, VTBB'!E:E),"")</f>
        <v>DRAGONTIN 370SC</v>
      </c>
      <c r="P438" s="277"/>
      <c r="Q438" s="311"/>
      <c r="R438" s="291" t="s">
        <v>573</v>
      </c>
      <c r="S438" s="277"/>
      <c r="T438" s="277"/>
      <c r="U438" s="277"/>
      <c r="V438" s="283">
        <v>5000.0</v>
      </c>
      <c r="W438" s="275" t="s">
        <v>699</v>
      </c>
      <c r="X438" s="283">
        <v>5000.0</v>
      </c>
      <c r="Y438" s="274">
        <v>5060.0</v>
      </c>
      <c r="Z438" s="272">
        <v>700.0</v>
      </c>
      <c r="AA438" s="285">
        <v>0.08</v>
      </c>
      <c r="AB438" s="282">
        <v>3825360.0</v>
      </c>
      <c r="AC438" s="277"/>
      <c r="AD438" s="289">
        <v>46077.0</v>
      </c>
      <c r="AE438" s="312"/>
      <c r="AF438" s="277"/>
      <c r="AG438" s="277"/>
      <c r="AH438" s="294">
        <f>IFERROR(__xludf.DUMMYFUNCTION("IFERROR(INDEX( SORT(FILTER(
        {'1. DATA CHUNG'!$J$4:$J$105 , '1. DATA CHUNG'!$L$4:$L$105}, (TRIM('1. DATA CHUNG'!$I$4:$I$105)=TRIM(K438)) * IF(COUNTIFS('1. DATA CHUNG'!$I$4:$I$105,K438,'1. DATA CHUNG'!$M$4:$M$105,Q438), '1. DATA CHUNG'!$M$4:$M$105=Q"&amp;"438, 1) * ('1. DATA CHUNG'!$L$4:$L$105&lt;=TODAY()) ),   2, 0),  1, 1), 
  IFERROR( INDEX(FILTER('1. DATA CHUNG'!$J$4:$J$105, (TRIM('1. DATA CHUNG'!$I$4:$I$105)=TRIM(K438)) * IF(COUNTIFS('1. DATA CHUNG'!$I$4:$I$105,K438,'1. DATA CHUNG'!$M$4:$M$105,Q438), '1."&amp;" DATA CHUNG'!$M$4:$M$105=Q438, 1) * ('1. DATA CHUNG'!$L$4:$L$105="""")), 1), ""Không tìm thấy"" ))"),7.0)</f>
        <v>7</v>
      </c>
      <c r="AI438" s="273">
        <f t="shared" si="2"/>
        <v>46084</v>
      </c>
      <c r="AJ438" s="287"/>
      <c r="AK438" s="286">
        <f t="shared" si="3"/>
        <v>0</v>
      </c>
      <c r="AL438" s="287">
        <f t="shared" si="4"/>
        <v>0</v>
      </c>
      <c r="AM438" s="287">
        <f t="shared" si="5"/>
        <v>18</v>
      </c>
      <c r="AN438" s="279">
        <f t="shared" si="6"/>
        <v>18</v>
      </c>
      <c r="AO438" s="295" t="str">
        <f t="shared" si="7"/>
        <v>02/2026</v>
      </c>
      <c r="AP438" s="277" t="str">
        <f t="array" ref="AP438">IFERROR(XLOOKUP(L438,'2. DATA NL, VTBB'!C:C,'2. DATA NL, VTBB'!F:F),"")</f>
        <v>HH0075</v>
      </c>
      <c r="AQ438" s="277" t="str">
        <f t="array" ref="AQ438">IF(OR(K438="Nhãn", K438="Nhãn thùng",K438="Nhãn Túi"), K438 &amp; " " &amp; IFERROR(XLOOKUP(L438, '2. DATA NL, VTBB'!C:C, '2. DATA NL, VTBB'!E:E), ""), "")</f>
        <v/>
      </c>
      <c r="AR438" s="278" t="str">
        <f t="array" ref="AR438">IFERROR(XLOOKUP(L438,'2. DATA NL, VTBB'!C:C,'2. DATA NL, VTBB'!G:G),"")</f>
        <v>GC - II - 600 - MK Group - Rồng Lửa (Pet tròn) - 100ml - 100</v>
      </c>
      <c r="AS438" s="278" t="str">
        <f t="array" ref="AS438">IFERROR(XLOOKUP(L438,'2. DATA NL, VTBB'!C:C,'2. DATA NL, VTBB'!G:G),"")</f>
        <v>GC - II - 600 - MK Group - Rồng Lửa (Pet tròn) - 100ml - 100</v>
      </c>
      <c r="AT438" s="277"/>
    </row>
    <row r="439" ht="30.75" customHeight="1">
      <c r="A439" s="272">
        <f t="shared" si="44"/>
        <v>436</v>
      </c>
      <c r="B439" s="289">
        <v>46077.0</v>
      </c>
      <c r="C439" s="289">
        <v>46081.0</v>
      </c>
      <c r="D439" s="293">
        <v>46066.0</v>
      </c>
      <c r="E439" s="293">
        <v>46066.0</v>
      </c>
      <c r="F439" s="274" t="s">
        <v>561</v>
      </c>
      <c r="G439" s="275" t="s">
        <v>562</v>
      </c>
      <c r="H439" s="274" t="s">
        <v>304</v>
      </c>
      <c r="I439" s="275" t="s">
        <v>806</v>
      </c>
      <c r="J439" s="272" t="s">
        <v>1107</v>
      </c>
      <c r="K439" s="275" t="s">
        <v>728</v>
      </c>
      <c r="L439" s="277" t="s">
        <v>890</v>
      </c>
      <c r="M439" s="278" t="str">
        <f t="array" ref="M439">IFERROR(XLOOKUP(L439,'2. DATA NL, VTBB'!C:C,'2. DATA NL, VTBB'!D:D),"")</f>
        <v>Chai nhôm 250ml  tròn cổ 38 , Xanh dương đậm-  Nắp trắng ( Có cốc đong )</v>
      </c>
      <c r="N439" s="280"/>
      <c r="O439" s="280" t="str">
        <f t="array" ref="O439">IFERROR( XLOOKUP(L439,'2. DATA NL, VTBB'!C:C,'2. DATA NL, VTBB'!E:E),"")</f>
        <v>NPK Bổ sung Vi lượng Basel NPK 6-6-8 IDA 33</v>
      </c>
      <c r="P439" s="277"/>
      <c r="Q439" s="311"/>
      <c r="R439" s="291" t="s">
        <v>573</v>
      </c>
      <c r="S439" s="277"/>
      <c r="T439" s="277"/>
      <c r="U439" s="277"/>
      <c r="V439" s="283">
        <v>400.0</v>
      </c>
      <c r="W439" s="275" t="s">
        <v>699</v>
      </c>
      <c r="X439" s="283">
        <v>400.0</v>
      </c>
      <c r="Y439" s="274">
        <v>400.0</v>
      </c>
      <c r="Z439" s="286">
        <v>10636.36</v>
      </c>
      <c r="AA439" s="285">
        <v>0.1</v>
      </c>
      <c r="AB439" s="282">
        <v>4679998.0</v>
      </c>
      <c r="AC439" s="277"/>
      <c r="AD439" s="289">
        <v>46077.0</v>
      </c>
      <c r="AE439" s="272">
        <v>78.0</v>
      </c>
      <c r="AF439" s="277"/>
      <c r="AG439" s="277"/>
      <c r="AH439" s="294">
        <f>IFERROR(__xludf.DUMMYFUNCTION("IFERROR(INDEX( SORT(FILTER(
        {'1. DATA CHUNG'!$J$4:$J$105 , '1. DATA CHUNG'!$L$4:$L$105}, (TRIM('1. DATA CHUNG'!$I$4:$I$105)=TRIM(K439)) * IF(COUNTIFS('1. DATA CHUNG'!$I$4:$I$105,K439,'1. DATA CHUNG'!$M$4:$M$105,Q439), '1. DATA CHUNG'!$M$4:$M$105=Q"&amp;"439, 1) * ('1. DATA CHUNG'!$L$4:$L$105&lt;=TODAY()) ),   2, 0),  1, 1), 
  IFERROR( INDEX(FILTER('1. DATA CHUNG'!$J$4:$J$105, (TRIM('1. DATA CHUNG'!$I$4:$I$105)=TRIM(K439)) * IF(COUNTIFS('1. DATA CHUNG'!$I$4:$I$105,K439,'1. DATA CHUNG'!$M$4:$M$105,Q439), '1."&amp;" DATA CHUNG'!$M$4:$M$105=Q439, 1) * ('1. DATA CHUNG'!$L$4:$L$105="""")), 1), ""Không tìm thấy"" ))"),7.0)</f>
        <v>7</v>
      </c>
      <c r="AI439" s="273">
        <f t="shared" si="2"/>
        <v>46084</v>
      </c>
      <c r="AJ439" s="287"/>
      <c r="AK439" s="286">
        <f t="shared" si="3"/>
        <v>0</v>
      </c>
      <c r="AL439" s="287">
        <f t="shared" si="4"/>
        <v>0</v>
      </c>
      <c r="AM439" s="287">
        <f t="shared" si="5"/>
        <v>18</v>
      </c>
      <c r="AN439" s="279">
        <f t="shared" si="6"/>
        <v>3</v>
      </c>
      <c r="AO439" s="295" t="str">
        <f t="shared" si="7"/>
        <v>02/2026</v>
      </c>
      <c r="AP439" s="277" t="str">
        <f t="array" ref="AP439">IFERROR(XLOOKUP(L439,'2. DATA NL, VTBB'!C:C,'2. DATA NL, VTBB'!F:F),"")</f>
        <v>HH0036</v>
      </c>
      <c r="AQ439" s="277" t="str">
        <f t="array" ref="AQ439">IF(OR(K439="Nhãn", K439="Nhãn thùng",K439="Nhãn Túi"), K439 &amp; " " &amp; IFERROR(XLOOKUP(L439, '2. DATA NL, VTBB'!C:C, '2. DATA NL, VTBB'!E:E), ""), "")</f>
        <v/>
      </c>
      <c r="AR439" s="278" t="str">
        <f t="array" ref="AR439">IFERROR(XLOOKUP(L439,'2. DATA NL, VTBB'!C:C,'2. DATA NL, VTBB'!G:G),"")</f>
        <v>IDA Global - I - 420 - Ronado (drone) - 50ml - 300</v>
      </c>
      <c r="AS439" s="278" t="str">
        <f t="array" ref="AS439">IFERROR(XLOOKUP(L439,'2. DATA NL, VTBB'!C:C,'2. DATA NL, VTBB'!G:G),"")</f>
        <v>IDA Global - I - 420 - Ronado (drone) - 50ml - 300</v>
      </c>
      <c r="AT439" s="277"/>
    </row>
    <row r="440" ht="30.75" customHeight="1">
      <c r="A440" s="272">
        <f t="shared" si="44"/>
        <v>437</v>
      </c>
      <c r="B440" s="289">
        <v>46077.0</v>
      </c>
      <c r="C440" s="289">
        <v>46081.0</v>
      </c>
      <c r="D440" s="293">
        <v>46066.0</v>
      </c>
      <c r="E440" s="293">
        <v>46066.0</v>
      </c>
      <c r="F440" s="274" t="s">
        <v>561</v>
      </c>
      <c r="G440" s="275" t="s">
        <v>562</v>
      </c>
      <c r="H440" s="274" t="s">
        <v>304</v>
      </c>
      <c r="I440" s="275" t="s">
        <v>806</v>
      </c>
      <c r="J440" s="272" t="s">
        <v>1107</v>
      </c>
      <c r="K440" s="275" t="s">
        <v>730</v>
      </c>
      <c r="L440" s="277" t="s">
        <v>809</v>
      </c>
      <c r="M440" s="278" t="str">
        <f t="array" ref="M440">IFERROR(XLOOKUP(L440,'2. DATA NL, VTBB'!C:C,'2. DATA NL, VTBB'!D:D),"")</f>
        <v>Nắp chai nhôm cổ 38  - Màu trắng - Có cốc đong</v>
      </c>
      <c r="N440" s="280"/>
      <c r="O440" s="280" t="str">
        <f t="array" ref="O440">IFERROR( XLOOKUP(L440,'2. DATA NL, VTBB'!C:C,'2. DATA NL, VTBB'!E:E),"")</f>
        <v>Tiger five 6.5EC</v>
      </c>
      <c r="P440" s="277"/>
      <c r="Q440" s="311"/>
      <c r="R440" s="291" t="s">
        <v>573</v>
      </c>
      <c r="S440" s="277"/>
      <c r="T440" s="277"/>
      <c r="U440" s="277"/>
      <c r="V440" s="283">
        <v>400.0</v>
      </c>
      <c r="W440" s="275" t="s">
        <v>699</v>
      </c>
      <c r="X440" s="283">
        <v>400.0</v>
      </c>
      <c r="Y440" s="274">
        <v>400.0</v>
      </c>
      <c r="Z440" s="287">
        <v>0.0</v>
      </c>
      <c r="AA440" s="285">
        <v>0.08</v>
      </c>
      <c r="AB440" s="282">
        <v>0.0</v>
      </c>
      <c r="AC440" s="277"/>
      <c r="AD440" s="289">
        <v>46077.0</v>
      </c>
      <c r="AE440" s="272">
        <v>78.0</v>
      </c>
      <c r="AF440" s="277"/>
      <c r="AG440" s="277"/>
      <c r="AH440" s="294">
        <f>IFERROR(__xludf.DUMMYFUNCTION("IFERROR(INDEX( SORT(FILTER(
        {'1. DATA CHUNG'!$J$4:$J$105 , '1. DATA CHUNG'!$L$4:$L$105}, (TRIM('1. DATA CHUNG'!$I$4:$I$105)=TRIM(K440)) * IF(COUNTIFS('1. DATA CHUNG'!$I$4:$I$105,K440,'1. DATA CHUNG'!$M$4:$M$105,Q440), '1. DATA CHUNG'!$M$4:$M$105=Q"&amp;"440, 1) * ('1. DATA CHUNG'!$L$4:$L$105&lt;=TODAY()) ),   2, 0),  1, 1), 
  IFERROR( INDEX(FILTER('1. DATA CHUNG'!$J$4:$J$105, (TRIM('1. DATA CHUNG'!$I$4:$I$105)=TRIM(K440)) * IF(COUNTIFS('1. DATA CHUNG'!$I$4:$I$105,K440,'1. DATA CHUNG'!$M$4:$M$105,Q440), '1."&amp;" DATA CHUNG'!$M$4:$M$105=Q440, 1) * ('1. DATA CHUNG'!$L$4:$L$105="""")), 1), ""Không tìm thấy"" ))"),7.0)</f>
        <v>7</v>
      </c>
      <c r="AI440" s="273">
        <f t="shared" si="2"/>
        <v>46084</v>
      </c>
      <c r="AJ440" s="287"/>
      <c r="AK440" s="286">
        <f t="shared" si="3"/>
        <v>0</v>
      </c>
      <c r="AL440" s="287">
        <f t="shared" si="4"/>
        <v>0</v>
      </c>
      <c r="AM440" s="287">
        <f t="shared" si="5"/>
        <v>18</v>
      </c>
      <c r="AN440" s="279">
        <f t="shared" si="6"/>
        <v>3</v>
      </c>
      <c r="AO440" s="295" t="str">
        <f t="shared" si="7"/>
        <v>02/2026</v>
      </c>
      <c r="AP440" s="277" t="str">
        <f t="array" ref="AP440">IFERROR(XLOOKUP(L440,'2. DATA NL, VTBB'!C:C,'2. DATA NL, VTBB'!F:F),"")</f>
        <v>HH0024</v>
      </c>
      <c r="AQ440" s="277" t="str">
        <f t="array" ref="AQ440">IF(OR(K440="Nhãn", K440="Nhãn thùng",K440="Nhãn Túi"), K440 &amp; " " &amp; IFERROR(XLOOKUP(L440, '2. DATA NL, VTBB'!C:C, '2. DATA NL, VTBB'!E:E), ""), "")</f>
        <v/>
      </c>
      <c r="AR440" s="278" t="str">
        <f t="array" ref="AR440">IFERROR(XLOOKUP(L440,'2. DATA NL, VTBB'!C:C,'2. DATA NL, VTBB'!G:G),"")</f>
        <v>GC - I - 363 - AU - Diệt sạch sâu - nhện AGC (Chai nhôm đỏ) - 220ml - 40</v>
      </c>
      <c r="AS440" s="278" t="str">
        <f t="array" ref="AS440">IFERROR(XLOOKUP(L440,'2. DATA NL, VTBB'!C:C,'2. DATA NL, VTBB'!G:G),"")</f>
        <v>GC - I - 363 - AU - Diệt sạch sâu - nhện AGC (Chai nhôm đỏ) - 220ml - 40</v>
      </c>
      <c r="AT440" s="277"/>
    </row>
    <row r="441" ht="30.75" customHeight="1">
      <c r="A441" s="272">
        <f t="shared" si="44"/>
        <v>438</v>
      </c>
      <c r="B441" s="289">
        <v>46077.0</v>
      </c>
      <c r="C441" s="289">
        <v>46083.0</v>
      </c>
      <c r="D441" s="289">
        <v>46111.0</v>
      </c>
      <c r="E441" s="289">
        <v>46099.0</v>
      </c>
      <c r="F441" s="274" t="s">
        <v>561</v>
      </c>
      <c r="G441" s="275" t="s">
        <v>562</v>
      </c>
      <c r="H441" s="274" t="s">
        <v>304</v>
      </c>
      <c r="I441" s="275" t="s">
        <v>305</v>
      </c>
      <c r="J441" s="272" t="s">
        <v>1108</v>
      </c>
      <c r="K441" s="275" t="s">
        <v>301</v>
      </c>
      <c r="L441" s="277" t="s">
        <v>1109</v>
      </c>
      <c r="M441" s="278" t="str">
        <f t="array" ref="M441">IFERROR(XLOOKUP(L441,'2. DATA NL, VTBB'!C:C,'2. DATA NL, VTBB'!D:D),"")</f>
        <v>Thùng Sen Hồng 100gx100 gói (46x39x21cm) - Trắng viền xanh lá</v>
      </c>
      <c r="N441" s="280"/>
      <c r="O441" s="280" t="str">
        <f t="array" ref="O441">IFERROR( XLOOKUP(L441,'2. DATA NL, VTBB'!C:C,'2. DATA NL, VTBB'!E:E),"")</f>
        <v>Vi lượng Quantity New</v>
      </c>
      <c r="P441" s="275" t="s">
        <v>565</v>
      </c>
      <c r="Q441" s="311"/>
      <c r="R441" s="291" t="s">
        <v>584</v>
      </c>
      <c r="S441" s="277"/>
      <c r="T441" s="277"/>
      <c r="U441" s="277"/>
      <c r="V441" s="283">
        <v>100.0</v>
      </c>
      <c r="W441" s="275" t="s">
        <v>699</v>
      </c>
      <c r="X441" s="283">
        <v>100.0</v>
      </c>
      <c r="Y441" s="274">
        <v>100.0</v>
      </c>
      <c r="Z441" s="272">
        <v>21350.0</v>
      </c>
      <c r="AA441" s="285">
        <v>0.08</v>
      </c>
      <c r="AB441" s="282">
        <v>2305800.0</v>
      </c>
      <c r="AC441" s="277"/>
      <c r="AD441" s="289">
        <v>46077.0</v>
      </c>
      <c r="AE441" s="312"/>
      <c r="AF441" s="277"/>
      <c r="AG441" s="277"/>
      <c r="AH441" s="294">
        <f>IFERROR(__xludf.DUMMYFUNCTION("IFERROR(INDEX( SORT(FILTER(
        {'1. DATA CHUNG'!$J$4:$J$105 , '1. DATA CHUNG'!$L$4:$L$105}, (TRIM('1. DATA CHUNG'!$I$4:$I$105)=TRIM(K441)) * IF(COUNTIFS('1. DATA CHUNG'!$I$4:$I$105,K441,'1. DATA CHUNG'!$M$4:$M$105,Q441), '1. DATA CHUNG'!$M$4:$M$105=Q"&amp;"441, 1) * ('1. DATA CHUNG'!$L$4:$L$105&lt;=TODAY()) ),   2, 0),  1, 1), 
  IFERROR( INDEX(FILTER('1. DATA CHUNG'!$J$4:$J$105, (TRIM('1. DATA CHUNG'!$I$4:$I$105)=TRIM(K441)) * IF(COUNTIFS('1. DATA CHUNG'!$I$4:$I$105,K441,'1. DATA CHUNG'!$M$4:$M$105,Q441), '1."&amp;" DATA CHUNG'!$M$4:$M$105=Q441, 1) * ('1. DATA CHUNG'!$L$4:$L$105="""")), 1), ""Không tìm thấy"" ))"),18.0)</f>
        <v>18</v>
      </c>
      <c r="AI441" s="273">
        <f t="shared" si="2"/>
        <v>46095</v>
      </c>
      <c r="AJ441" s="287"/>
      <c r="AK441" s="286">
        <f t="shared" si="3"/>
        <v>0</v>
      </c>
      <c r="AL441" s="287">
        <f t="shared" si="4"/>
        <v>12</v>
      </c>
      <c r="AM441" s="287">
        <f t="shared" si="5"/>
        <v>-4</v>
      </c>
      <c r="AN441" s="279">
        <f t="shared" si="6"/>
        <v>12</v>
      </c>
      <c r="AO441" s="295" t="str">
        <f t="shared" si="7"/>
        <v>02/2026</v>
      </c>
      <c r="AP441" s="277" t="str">
        <f t="array" ref="AP441">IFERROR(XLOOKUP(L441,'2. DATA NL, VTBB'!C:C,'2. DATA NL, VTBB'!F:F),"")</f>
        <v>HH0283</v>
      </c>
      <c r="AQ441" s="277" t="str">
        <f t="array" ref="AQ441">IF(OR(K441="Nhãn", K441="Nhãn thùng",K441="Nhãn Túi"), K441 &amp; " " &amp; IFERROR(XLOOKUP(L441, '2. DATA NL, VTBB'!C:C, '2. DATA NL, VTBB'!E:E), ""), "")</f>
        <v/>
      </c>
      <c r="AR441" s="278" t="str">
        <f t="array" ref="AR441">IFERROR(XLOOKUP(L441,'2. DATA NL, VTBB'!C:C,'2. DATA NL, VTBB'!G:G),"")</f>
        <v>GC - II - 699 - Nông Lâm Hoà Phát - Nofa Super (chai HD) - 1L - 20 ([btp] , c)</v>
      </c>
      <c r="AS441" s="278" t="str">
        <f t="array" ref="AS441">IFERROR(XLOOKUP(L441,'2. DATA NL, VTBB'!C:C,'2. DATA NL, VTBB'!G:G),"")</f>
        <v>GC - II - 699 - Nông Lâm Hoà Phát - Nofa Super (chai HD) - 1L - 20 ([btp] , c)</v>
      </c>
      <c r="AT441" s="277"/>
    </row>
    <row r="442" ht="30.75" customHeight="1">
      <c r="A442" s="272">
        <f t="shared" si="44"/>
        <v>439</v>
      </c>
      <c r="B442" s="289">
        <v>46077.0</v>
      </c>
      <c r="C442" s="289">
        <v>46083.0</v>
      </c>
      <c r="D442" s="289">
        <v>46111.0</v>
      </c>
      <c r="E442" s="289">
        <v>46099.0</v>
      </c>
      <c r="F442" s="274" t="s">
        <v>561</v>
      </c>
      <c r="G442" s="275" t="s">
        <v>696</v>
      </c>
      <c r="H442" s="274" t="s">
        <v>304</v>
      </c>
      <c r="I442" s="275" t="s">
        <v>806</v>
      </c>
      <c r="J442" s="272" t="s">
        <v>1110</v>
      </c>
      <c r="K442" s="275" t="s">
        <v>728</v>
      </c>
      <c r="L442" s="277" t="s">
        <v>1111</v>
      </c>
      <c r="M442" s="278" t="str">
        <f t="array" ref="M442">IFERROR(XLOOKUP(L442,'2. DATA NL, VTBB'!C:C,'2. DATA NL, VTBB'!D:D),"")</f>
        <v>Chai nhôm tròn 250ml (60gr)  Xanh lá - Nắp trắng có cốc đông</v>
      </c>
      <c r="N442" s="280"/>
      <c r="O442" s="280" t="str">
        <f t="array" ref="O442">IFERROR( XLOOKUP(L442,'2. DATA NL, VTBB'!C:C,'2. DATA NL, VTBB'!E:E),"")</f>
        <v>CHIM ƯNG 3.8EC</v>
      </c>
      <c r="P442" s="277"/>
      <c r="Q442" s="311"/>
      <c r="R442" s="291" t="s">
        <v>573</v>
      </c>
      <c r="S442" s="277"/>
      <c r="T442" s="277"/>
      <c r="U442" s="277"/>
      <c r="V442" s="283">
        <v>400.0</v>
      </c>
      <c r="W442" s="275" t="s">
        <v>699</v>
      </c>
      <c r="X442" s="283">
        <v>400.0</v>
      </c>
      <c r="Y442" s="274">
        <v>400.0</v>
      </c>
      <c r="Z442" s="312"/>
      <c r="AA442" s="285">
        <v>0.08</v>
      </c>
      <c r="AB442" s="282">
        <v>0.0</v>
      </c>
      <c r="AC442" s="277"/>
      <c r="AD442" s="289">
        <v>46077.0</v>
      </c>
      <c r="AE442" s="312"/>
      <c r="AF442" s="277"/>
      <c r="AG442" s="277"/>
      <c r="AH442" s="294">
        <f>IFERROR(__xludf.DUMMYFUNCTION("IFERROR(INDEX( SORT(FILTER(
        {'1. DATA CHUNG'!$J$4:$J$105 , '1. DATA CHUNG'!$L$4:$L$105}, (TRIM('1. DATA CHUNG'!$I$4:$I$105)=TRIM(K442)) * IF(COUNTIFS('1. DATA CHUNG'!$I$4:$I$105,K442,'1. DATA CHUNG'!$M$4:$M$105,Q442), '1. DATA CHUNG'!$M$4:$M$105=Q"&amp;"442, 1) * ('1. DATA CHUNG'!$L$4:$L$105&lt;=TODAY()) ),   2, 0),  1, 1), 
  IFERROR( INDEX(FILTER('1. DATA CHUNG'!$J$4:$J$105, (TRIM('1. DATA CHUNG'!$I$4:$I$105)=TRIM(K442)) * IF(COUNTIFS('1. DATA CHUNG'!$I$4:$I$105,K442,'1. DATA CHUNG'!$M$4:$M$105,Q442), '1."&amp;" DATA CHUNG'!$M$4:$M$105=Q442, 1) * ('1. DATA CHUNG'!$L$4:$L$105="""")), 1), ""Không tìm thấy"" ))"),7.0)</f>
        <v>7</v>
      </c>
      <c r="AI442" s="273">
        <f t="shared" si="2"/>
        <v>46084</v>
      </c>
      <c r="AJ442" s="287"/>
      <c r="AK442" s="286">
        <f t="shared" si="3"/>
        <v>0</v>
      </c>
      <c r="AL442" s="287">
        <f t="shared" si="4"/>
        <v>12</v>
      </c>
      <c r="AM442" s="287">
        <f t="shared" si="5"/>
        <v>-15</v>
      </c>
      <c r="AN442" s="279">
        <f t="shared" si="6"/>
        <v>1</v>
      </c>
      <c r="AO442" s="295" t="str">
        <f t="shared" si="7"/>
        <v>02/2026</v>
      </c>
      <c r="AP442" s="277" t="str">
        <f t="array" ref="AP442">IFERROR(XLOOKUP(L442,'2. DATA NL, VTBB'!C:C,'2. DATA NL, VTBB'!F:F),"")</f>
        <v>HH0136</v>
      </c>
      <c r="AQ442" s="277" t="str">
        <f t="array" ref="AQ442">IF(OR(K442="Nhãn", K442="Nhãn thùng",K442="Nhãn Túi"), K442 &amp; " " &amp; IFERROR(XLOOKUP(L442, '2. DATA NL, VTBB'!C:C, '2. DATA NL, VTBB'!E:E), ""), "")</f>
        <v/>
      </c>
      <c r="AR442" s="278" t="str">
        <f t="array" ref="AR442">IFERROR(XLOOKUP(L442,'2. DATA NL, VTBB'!C:C,'2. DATA NL, VTBB'!G:G),"")</f>
        <v>IDA Global - I - 706 - X-Spider (chai Pape) (BTP Đỏ) - 240ml - 40 ([btp],t,c)</v>
      </c>
      <c r="AS442" s="278" t="str">
        <f t="array" ref="AS442">IFERROR(XLOOKUP(L442,'2. DATA NL, VTBB'!C:C,'2. DATA NL, VTBB'!G:G),"")</f>
        <v>IDA Global - I - 706 - X-Spider (chai Pape) (BTP Đỏ) - 240ml - 40 ([btp],t,c)</v>
      </c>
      <c r="AT442" s="277"/>
    </row>
    <row r="443" ht="30.75" customHeight="1">
      <c r="A443" s="272">
        <f t="shared" si="44"/>
        <v>440</v>
      </c>
      <c r="B443" s="289">
        <v>46077.0</v>
      </c>
      <c r="C443" s="289">
        <v>46083.0</v>
      </c>
      <c r="D443" s="289">
        <v>46111.0</v>
      </c>
      <c r="E443" s="289">
        <v>46099.0</v>
      </c>
      <c r="F443" s="274" t="s">
        <v>561</v>
      </c>
      <c r="G443" s="275" t="s">
        <v>696</v>
      </c>
      <c r="H443" s="274" t="s">
        <v>304</v>
      </c>
      <c r="I443" s="275" t="s">
        <v>806</v>
      </c>
      <c r="J443" s="272" t="s">
        <v>1110</v>
      </c>
      <c r="K443" s="275" t="s">
        <v>730</v>
      </c>
      <c r="L443" s="277" t="s">
        <v>809</v>
      </c>
      <c r="M443" s="278" t="str">
        <f t="array" ref="M443">IFERROR(XLOOKUP(L443,'2. DATA NL, VTBB'!C:C,'2. DATA NL, VTBB'!D:D),"")</f>
        <v>Nắp chai nhôm cổ 38  - Màu trắng - Có cốc đong</v>
      </c>
      <c r="N443" s="280"/>
      <c r="O443" s="280" t="str">
        <f t="array" ref="O443">IFERROR( XLOOKUP(L443,'2. DATA NL, VTBB'!C:C,'2. DATA NL, VTBB'!E:E),"")</f>
        <v>Tiger five 6.5EC</v>
      </c>
      <c r="P443" s="277"/>
      <c r="Q443" s="311"/>
      <c r="R443" s="291" t="s">
        <v>573</v>
      </c>
      <c r="S443" s="277"/>
      <c r="T443" s="277"/>
      <c r="U443" s="277"/>
      <c r="V443" s="283">
        <v>400.0</v>
      </c>
      <c r="W443" s="275" t="s">
        <v>699</v>
      </c>
      <c r="X443" s="283">
        <v>400.0</v>
      </c>
      <c r="Y443" s="274">
        <v>400.0</v>
      </c>
      <c r="Z443" s="312"/>
      <c r="AA443" s="285">
        <v>0.08</v>
      </c>
      <c r="AB443" s="282">
        <v>0.0</v>
      </c>
      <c r="AC443" s="277"/>
      <c r="AD443" s="289">
        <v>46077.0</v>
      </c>
      <c r="AE443" s="312"/>
      <c r="AF443" s="277"/>
      <c r="AG443" s="277"/>
      <c r="AH443" s="294">
        <f>IFERROR(__xludf.DUMMYFUNCTION("IFERROR(INDEX( SORT(FILTER(
        {'1. DATA CHUNG'!$J$4:$J$105 , '1. DATA CHUNG'!$L$4:$L$105}, (TRIM('1. DATA CHUNG'!$I$4:$I$105)=TRIM(K443)) * IF(COUNTIFS('1. DATA CHUNG'!$I$4:$I$105,K443,'1. DATA CHUNG'!$M$4:$M$105,Q443), '1. DATA CHUNG'!$M$4:$M$105=Q"&amp;"443, 1) * ('1. DATA CHUNG'!$L$4:$L$105&lt;=TODAY()) ),   2, 0),  1, 1), 
  IFERROR( INDEX(FILTER('1. DATA CHUNG'!$J$4:$J$105, (TRIM('1. DATA CHUNG'!$I$4:$I$105)=TRIM(K443)) * IF(COUNTIFS('1. DATA CHUNG'!$I$4:$I$105,K443,'1. DATA CHUNG'!$M$4:$M$105,Q443), '1."&amp;" DATA CHUNG'!$M$4:$M$105=Q443, 1) * ('1. DATA CHUNG'!$L$4:$L$105="""")), 1), ""Không tìm thấy"" ))"),7.0)</f>
        <v>7</v>
      </c>
      <c r="AI443" s="273">
        <f t="shared" si="2"/>
        <v>46084</v>
      </c>
      <c r="AJ443" s="287"/>
      <c r="AK443" s="286">
        <f t="shared" si="3"/>
        <v>0</v>
      </c>
      <c r="AL443" s="287">
        <f t="shared" si="4"/>
        <v>12</v>
      </c>
      <c r="AM443" s="287">
        <f t="shared" si="5"/>
        <v>-15</v>
      </c>
      <c r="AN443" s="279">
        <f t="shared" si="6"/>
        <v>1</v>
      </c>
      <c r="AO443" s="295" t="str">
        <f t="shared" si="7"/>
        <v>02/2026</v>
      </c>
      <c r="AP443" s="277" t="str">
        <f t="array" ref="AP443">IFERROR(XLOOKUP(L443,'2. DATA NL, VTBB'!C:C,'2. DATA NL, VTBB'!F:F),"")</f>
        <v>HH0024</v>
      </c>
      <c r="AQ443" s="277" t="str">
        <f t="array" ref="AQ443">IF(OR(K443="Nhãn", K443="Nhãn thùng",K443="Nhãn Túi"), K443 &amp; " " &amp; IFERROR(XLOOKUP(L443, '2. DATA NL, VTBB'!C:C, '2. DATA NL, VTBB'!E:E), ""), "")</f>
        <v/>
      </c>
      <c r="AR443" s="278" t="str">
        <f t="array" ref="AR443">IFERROR(XLOOKUP(L443,'2. DATA NL, VTBB'!C:C,'2. DATA NL, VTBB'!G:G),"")</f>
        <v>GC - I - 363 - AU - Diệt sạch sâu - nhện AGC (Chai nhôm đỏ) - 220ml - 40</v>
      </c>
      <c r="AS443" s="278" t="str">
        <f t="array" ref="AS443">IFERROR(XLOOKUP(L443,'2. DATA NL, VTBB'!C:C,'2. DATA NL, VTBB'!G:G),"")</f>
        <v>GC - I - 363 - AU - Diệt sạch sâu - nhện AGC (Chai nhôm đỏ) - 220ml - 40</v>
      </c>
      <c r="AT443" s="277"/>
    </row>
    <row r="444" ht="30.75" customHeight="1">
      <c r="A444" s="272">
        <f t="shared" si="44"/>
        <v>441</v>
      </c>
      <c r="B444" s="289">
        <v>46077.0</v>
      </c>
      <c r="C444" s="289">
        <v>46083.0</v>
      </c>
      <c r="D444" s="289">
        <v>46111.0</v>
      </c>
      <c r="E444" s="289">
        <v>46111.0</v>
      </c>
      <c r="F444" s="274" t="s">
        <v>561</v>
      </c>
      <c r="G444" s="275" t="s">
        <v>562</v>
      </c>
      <c r="H444" s="274" t="s">
        <v>304</v>
      </c>
      <c r="I444" s="275" t="s">
        <v>744</v>
      </c>
      <c r="J444" s="272" t="s">
        <v>1112</v>
      </c>
      <c r="K444" s="275" t="s">
        <v>728</v>
      </c>
      <c r="L444" s="277" t="s">
        <v>1113</v>
      </c>
      <c r="M444" s="278" t="str">
        <f t="array" ref="M444">IFERROR(XLOOKUP(L444,'2. DATA NL, VTBB'!C:C,'2. DATA NL, VTBB'!D:D),"")</f>
        <v>Chai Pet tròn giả nhôm 100ml cổ 33 Màu xám -  Nắp trắng, có cóc đong</v>
      </c>
      <c r="N444" s="280"/>
      <c r="O444" s="280" t="str">
        <f t="array" ref="O444">IFERROR( XLOOKUP(L444,'2. DATA NL, VTBB'!C:C,'2. DATA NL, VTBB'!E:E),"")</f>
        <v>PYXOATE 44EC</v>
      </c>
      <c r="P444" s="275" t="s">
        <v>565</v>
      </c>
      <c r="Q444" s="311"/>
      <c r="R444" s="290" t="s">
        <v>566</v>
      </c>
      <c r="S444" s="277"/>
      <c r="T444" s="277"/>
      <c r="U444" s="277"/>
      <c r="V444" s="283">
        <v>1000.0</v>
      </c>
      <c r="W444" s="275" t="s">
        <v>699</v>
      </c>
      <c r="X444" s="283">
        <v>1000.0</v>
      </c>
      <c r="Y444" s="274">
        <v>1000.0</v>
      </c>
      <c r="Z444" s="272">
        <v>2380.0</v>
      </c>
      <c r="AA444" s="285">
        <v>0.08</v>
      </c>
      <c r="AB444" s="282">
        <v>2570400.0</v>
      </c>
      <c r="AC444" s="277"/>
      <c r="AD444" s="289">
        <v>46077.0</v>
      </c>
      <c r="AE444" s="312"/>
      <c r="AF444" s="277"/>
      <c r="AG444" s="277"/>
      <c r="AH444" s="294">
        <f>IFERROR(__xludf.DUMMYFUNCTION("IFERROR(INDEX( SORT(FILTER(
        {'1. DATA CHUNG'!$J$4:$J$105 , '1. DATA CHUNG'!$L$4:$L$105}, (TRIM('1. DATA CHUNG'!$I$4:$I$105)=TRIM(K444)) * IF(COUNTIFS('1. DATA CHUNG'!$I$4:$I$105,K444,'1. DATA CHUNG'!$M$4:$M$105,Q444), '1. DATA CHUNG'!$M$4:$M$105=Q"&amp;"444, 1) * ('1. DATA CHUNG'!$L$4:$L$105&lt;=TODAY()) ),   2, 0),  1, 1), 
  IFERROR( INDEX(FILTER('1. DATA CHUNG'!$J$4:$J$105, (TRIM('1. DATA CHUNG'!$I$4:$I$105)=TRIM(K444)) * IF(COUNTIFS('1. DATA CHUNG'!$I$4:$I$105,K444,'1. DATA CHUNG'!$M$4:$M$105,Q444), '1."&amp;" DATA CHUNG'!$M$4:$M$105=Q444, 1) * ('1. DATA CHUNG'!$L$4:$L$105="""")), 1), ""Không tìm thấy"" ))"),7.0)</f>
        <v>7</v>
      </c>
      <c r="AI444" s="273">
        <f t="shared" si="2"/>
        <v>46084</v>
      </c>
      <c r="AJ444" s="287"/>
      <c r="AK444" s="286">
        <f t="shared" si="3"/>
        <v>0</v>
      </c>
      <c r="AL444" s="287">
        <f t="shared" si="4"/>
        <v>0</v>
      </c>
      <c r="AM444" s="287">
        <f t="shared" si="5"/>
        <v>-27</v>
      </c>
      <c r="AN444" s="279">
        <f t="shared" si="6"/>
        <v>1</v>
      </c>
      <c r="AO444" s="295" t="str">
        <f t="shared" si="7"/>
        <v>02/2026</v>
      </c>
      <c r="AP444" s="277" t="str">
        <f t="array" ref="AP444">IFERROR(XLOOKUP(L444,'2. DATA NL, VTBB'!C:C,'2. DATA NL, VTBB'!F:F),"")</f>
        <v>HH0144</v>
      </c>
      <c r="AQ444" s="277" t="str">
        <f t="array" ref="AQ444">IF(OR(K444="Nhãn", K444="Nhãn thùng",K444="Nhãn Túi"), K444 &amp; " " &amp; IFERROR(XLOOKUP(L444, '2. DATA NL, VTBB'!C:C, '2. DATA NL, VTBB'!E:E), ""), "")</f>
        <v/>
      </c>
      <c r="AR444" s="278" t="str">
        <f t="array" ref="AR444">IFERROR(XLOOKUP(L444,'2. DATA NL, VTBB'!C:C,'2. DATA NL, VTBB'!G:G),"")</f>
        <v>GC - IV - Châu Giang - 718 - Bi 58 Plus+ - (chai PET tròn) - 400ml - 30</v>
      </c>
      <c r="AS444" s="278" t="str">
        <f t="array" ref="AS444">IFERROR(XLOOKUP(L444,'2. DATA NL, VTBB'!C:C,'2. DATA NL, VTBB'!G:G),"")</f>
        <v>GC - IV - Châu Giang - 718 - Bi 58 Plus+ - (chai PET tròn) - 400ml - 30</v>
      </c>
      <c r="AT444" s="277"/>
    </row>
    <row r="445" ht="30.75" customHeight="1">
      <c r="A445" s="272">
        <f t="shared" si="44"/>
        <v>442</v>
      </c>
      <c r="B445" s="289">
        <v>46077.0</v>
      </c>
      <c r="C445" s="289">
        <v>46083.0</v>
      </c>
      <c r="D445" s="289">
        <v>46111.0</v>
      </c>
      <c r="E445" s="289">
        <v>46111.0</v>
      </c>
      <c r="F445" s="274" t="s">
        <v>561</v>
      </c>
      <c r="G445" s="275" t="s">
        <v>562</v>
      </c>
      <c r="H445" s="274" t="s">
        <v>304</v>
      </c>
      <c r="I445" s="275" t="s">
        <v>744</v>
      </c>
      <c r="J445" s="272" t="s">
        <v>1112</v>
      </c>
      <c r="K445" s="275" t="s">
        <v>730</v>
      </c>
      <c r="L445" s="277" t="s">
        <v>966</v>
      </c>
      <c r="M445" s="278" t="str">
        <f t="array" ref="M445">IFERROR(XLOOKUP(L445,'2. DATA NL, VTBB'!C:C,'2. DATA NL, VTBB'!D:D),"")</f>
        <v>Nắp PET cổ 33 (7.5g) - Màu Trắng</v>
      </c>
      <c r="N445" s="280"/>
      <c r="O445" s="280" t="str">
        <f t="array" ref="O445">IFERROR( XLOOKUP(L445,'2. DATA NL, VTBB'!C:C,'2. DATA NL, VTBB'!E:E),"")</f>
        <v>IMIPRID 10WP</v>
      </c>
      <c r="P445" s="275" t="s">
        <v>565</v>
      </c>
      <c r="Q445" s="311"/>
      <c r="R445" s="290" t="s">
        <v>566</v>
      </c>
      <c r="S445" s="277"/>
      <c r="T445" s="277"/>
      <c r="U445" s="277"/>
      <c r="V445" s="283">
        <v>1000.0</v>
      </c>
      <c r="W445" s="275" t="s">
        <v>699</v>
      </c>
      <c r="X445" s="283">
        <v>1000.0</v>
      </c>
      <c r="Y445" s="274">
        <v>1000.0</v>
      </c>
      <c r="Z445" s="272">
        <v>500.0</v>
      </c>
      <c r="AA445" s="285">
        <v>0.08</v>
      </c>
      <c r="AB445" s="282">
        <v>540000.0</v>
      </c>
      <c r="AC445" s="277"/>
      <c r="AD445" s="289">
        <v>46077.0</v>
      </c>
      <c r="AE445" s="312"/>
      <c r="AF445" s="277"/>
      <c r="AG445" s="277"/>
      <c r="AH445" s="294">
        <f>IFERROR(__xludf.DUMMYFUNCTION("IFERROR(INDEX( SORT(FILTER(
        {'1. DATA CHUNG'!$J$4:$J$105 , '1. DATA CHUNG'!$L$4:$L$105}, (TRIM('1. DATA CHUNG'!$I$4:$I$105)=TRIM(K445)) * IF(COUNTIFS('1. DATA CHUNG'!$I$4:$I$105,K445,'1. DATA CHUNG'!$M$4:$M$105,Q445), '1. DATA CHUNG'!$M$4:$M$105=Q"&amp;"445, 1) * ('1. DATA CHUNG'!$L$4:$L$105&lt;=TODAY()) ),   2, 0),  1, 1), 
  IFERROR( INDEX(FILTER('1. DATA CHUNG'!$J$4:$J$105, (TRIM('1. DATA CHUNG'!$I$4:$I$105)=TRIM(K445)) * IF(COUNTIFS('1. DATA CHUNG'!$I$4:$I$105,K445,'1. DATA CHUNG'!$M$4:$M$105,Q445), '1."&amp;" DATA CHUNG'!$M$4:$M$105=Q445, 1) * ('1. DATA CHUNG'!$L$4:$L$105="""")), 1), ""Không tìm thấy"" ))"),7.0)</f>
        <v>7</v>
      </c>
      <c r="AI445" s="273">
        <f t="shared" si="2"/>
        <v>46084</v>
      </c>
      <c r="AJ445" s="287"/>
      <c r="AK445" s="286">
        <f t="shared" si="3"/>
        <v>0</v>
      </c>
      <c r="AL445" s="287">
        <f t="shared" si="4"/>
        <v>0</v>
      </c>
      <c r="AM445" s="287">
        <f t="shared" si="5"/>
        <v>-27</v>
      </c>
      <c r="AN445" s="279">
        <f t="shared" si="6"/>
        <v>1</v>
      </c>
      <c r="AO445" s="295" t="str">
        <f t="shared" si="7"/>
        <v>02/2026</v>
      </c>
      <c r="AP445" s="277" t="str">
        <f t="array" ref="AP445">IFERROR(XLOOKUP(L445,'2. DATA NL, VTBB'!C:C,'2. DATA NL, VTBB'!F:F),"")</f>
        <v>HH0162</v>
      </c>
      <c r="AQ445" s="277" t="str">
        <f t="array" ref="AQ445">IF(OR(K445="Nhãn", K445="Nhãn thùng",K445="Nhãn Túi"), K445 &amp; " " &amp; IFERROR(XLOOKUP(L445, '2. DATA NL, VTBB'!C:C, '2. DATA NL, VTBB'!E:E), ""), "")</f>
        <v/>
      </c>
      <c r="AR445" s="278" t="str">
        <f t="array" ref="AR445">IFERROR(XLOOKUP(L445,'2. DATA NL, VTBB'!C:C,'2. DATA NL, VTBB'!G:G),"")</f>
        <v>GC - IV - 888 - Huy Phát - BI Pro Max - 100gr - 150</v>
      </c>
      <c r="AS445" s="278" t="str">
        <f t="array" ref="AS445">IFERROR(XLOOKUP(L445,'2. DATA NL, VTBB'!C:C,'2. DATA NL, VTBB'!G:G),"")</f>
        <v>GC - IV - 888 - Huy Phát - BI Pro Max - 100gr - 150</v>
      </c>
      <c r="AT445" s="277"/>
    </row>
    <row r="446" ht="30.75" customHeight="1">
      <c r="A446" s="272">
        <f t="shared" si="44"/>
        <v>443</v>
      </c>
      <c r="B446" s="289">
        <v>46077.0</v>
      </c>
      <c r="C446" s="289">
        <v>46083.0</v>
      </c>
      <c r="D446" s="289">
        <v>46111.0</v>
      </c>
      <c r="E446" s="289">
        <v>46111.0</v>
      </c>
      <c r="F446" s="274" t="s">
        <v>561</v>
      </c>
      <c r="G446" s="275" t="s">
        <v>562</v>
      </c>
      <c r="H446" s="274" t="s">
        <v>304</v>
      </c>
      <c r="I446" s="275" t="s">
        <v>744</v>
      </c>
      <c r="J446" s="272" t="s">
        <v>1112</v>
      </c>
      <c r="K446" s="275" t="s">
        <v>732</v>
      </c>
      <c r="L446" s="277" t="s">
        <v>967</v>
      </c>
      <c r="M446" s="278" t="str">
        <f t="array" ref="M446">IFERROR(XLOOKUP(L446,'2. DATA NL, VTBB'!C:C,'2. DATA NL, VTBB'!D:D),"")</f>
        <v>Cốc đong cổ 33 20ml - Trắng trong</v>
      </c>
      <c r="N446" s="280"/>
      <c r="O446" s="280" t="str">
        <f t="array" ref="O446">IFERROR( XLOOKUP(L446,'2. DATA NL, VTBB'!C:C,'2. DATA NL, VTBB'!E:E),"")</f>
        <v>Remy 19EC</v>
      </c>
      <c r="P446" s="275" t="s">
        <v>565</v>
      </c>
      <c r="Q446" s="275" t="b">
        <v>0</v>
      </c>
      <c r="R446" s="290" t="s">
        <v>566</v>
      </c>
      <c r="S446" s="277"/>
      <c r="T446" s="277"/>
      <c r="U446" s="277"/>
      <c r="V446" s="283">
        <v>1000.0</v>
      </c>
      <c r="W446" s="275" t="s">
        <v>699</v>
      </c>
      <c r="X446" s="283">
        <v>1000.0</v>
      </c>
      <c r="Y446" s="274">
        <v>1000.0</v>
      </c>
      <c r="Z446" s="272">
        <v>300.0</v>
      </c>
      <c r="AA446" s="285">
        <v>0.08</v>
      </c>
      <c r="AB446" s="282">
        <v>324000.0</v>
      </c>
      <c r="AC446" s="277"/>
      <c r="AD446" s="289">
        <v>46077.0</v>
      </c>
      <c r="AE446" s="312"/>
      <c r="AF446" s="277"/>
      <c r="AG446" s="277"/>
      <c r="AH446" s="294">
        <f>IFERROR(__xludf.DUMMYFUNCTION("IFERROR(INDEX( SORT(FILTER(
        {'1. DATA CHUNG'!$J$4:$J$105 , '1. DATA CHUNG'!$L$4:$L$105}, (TRIM('1. DATA CHUNG'!$I$4:$I$105)=TRIM(K446)) * IF(COUNTIFS('1. DATA CHUNG'!$I$4:$I$105,K446,'1. DATA CHUNG'!$M$4:$M$105,Q446), '1. DATA CHUNG'!$M$4:$M$105=Q"&amp;"446, 1) * ('1. DATA CHUNG'!$L$4:$L$105&lt;=TODAY()) ),   2, 0),  1, 1), 
  IFERROR( INDEX(FILTER('1. DATA CHUNG'!$J$4:$J$105, (TRIM('1. DATA CHUNG'!$I$4:$I$105)=TRIM(K446)) * IF(COUNTIFS('1. DATA CHUNG'!$I$4:$I$105,K446,'1. DATA CHUNG'!$M$4:$M$105,Q446), '1."&amp;" DATA CHUNG'!$M$4:$M$105=Q446, 1) * ('1. DATA CHUNG'!$L$4:$L$105="""")), 1), ""Không tìm thấy"" ))"),15.0)</f>
        <v>15</v>
      </c>
      <c r="AI446" s="273">
        <f t="shared" si="2"/>
        <v>46092</v>
      </c>
      <c r="AJ446" s="287"/>
      <c r="AK446" s="286">
        <f t="shared" si="3"/>
        <v>0</v>
      </c>
      <c r="AL446" s="287">
        <f t="shared" si="4"/>
        <v>0</v>
      </c>
      <c r="AM446" s="287">
        <f t="shared" si="5"/>
        <v>-19</v>
      </c>
      <c r="AN446" s="279">
        <f t="shared" si="6"/>
        <v>9</v>
      </c>
      <c r="AO446" s="295" t="str">
        <f t="shared" si="7"/>
        <v>02/2026</v>
      </c>
      <c r="AP446" s="277" t="str">
        <f t="array" ref="AP446">IFERROR(XLOOKUP(L446,'2. DATA NL, VTBB'!C:C,'2. DATA NL, VTBB'!F:F),"")</f>
        <v>HH0007</v>
      </c>
      <c r="AQ446" s="277" t="str">
        <f t="array" ref="AQ446">IF(OR(K446="Nhãn", K446="Nhãn thùng",K446="Nhãn Túi"), K446 &amp; " " &amp; IFERROR(XLOOKUP(L446, '2. DATA NL, VTBB'!C:C, '2. DATA NL, VTBB'!E:E), ""), "")</f>
        <v/>
      </c>
      <c r="AR446" s="278" t="str">
        <f t="array" ref="AR446">IFERROR(XLOOKUP(L446,'2. DATA NL, VTBB'!C:C,'2. DATA NL, VTBB'!G:G),"")</f>
        <v>GC - IV - 850 - Huy Phát - Hufatin (PET vuông) - 450ml - 40</v>
      </c>
      <c r="AS446" s="278" t="str">
        <f t="array" ref="AS446">IFERROR(XLOOKUP(L446,'2. DATA NL, VTBB'!C:C,'2. DATA NL, VTBB'!G:G),"")</f>
        <v>GC - IV - 850 - Huy Phát - Hufatin (PET vuông) - 450ml - 40</v>
      </c>
      <c r="AT446" s="277"/>
    </row>
    <row r="447" ht="30.75" customHeight="1">
      <c r="A447" s="272">
        <f t="shared" si="44"/>
        <v>444</v>
      </c>
      <c r="B447" s="289">
        <v>46077.0</v>
      </c>
      <c r="C447" s="289">
        <v>46100.0</v>
      </c>
      <c r="D447" s="289">
        <v>46111.0</v>
      </c>
      <c r="E447" s="289">
        <v>46106.0</v>
      </c>
      <c r="F447" s="274" t="s">
        <v>561</v>
      </c>
      <c r="G447" s="275" t="s">
        <v>562</v>
      </c>
      <c r="H447" s="274" t="s">
        <v>304</v>
      </c>
      <c r="I447" s="275" t="s">
        <v>305</v>
      </c>
      <c r="J447" s="272" t="s">
        <v>1114</v>
      </c>
      <c r="K447" s="275" t="s">
        <v>301</v>
      </c>
      <c r="L447" s="277" t="s">
        <v>1115</v>
      </c>
      <c r="M447" s="278" t="str">
        <f t="array" ref="M447">IFERROR(XLOOKUP(L447,'2. DATA NL, VTBB'!C:C,'2. DATA NL, VTBB'!D:D),"")</f>
        <v>Thùng Shino - BIM SHINO chai HD tròn 450ml x 30 chai  (45.5x38x21cm) - Trắng xanh dương</v>
      </c>
      <c r="N447" s="280"/>
      <c r="O447" s="280" t="str">
        <f t="array" ref="O447">IFERROR( XLOOKUP(L447,'2. DATA NL, VTBB'!C:C,'2. DATA NL, VTBB'!E:E),"")</f>
        <v>NPK Bổ sung Vi lượng Basel NPK 6-6-8 IDA 33</v>
      </c>
      <c r="P447" s="275" t="s">
        <v>565</v>
      </c>
      <c r="Q447" s="311"/>
      <c r="R447" s="291" t="s">
        <v>573</v>
      </c>
      <c r="S447" s="277"/>
      <c r="T447" s="277"/>
      <c r="U447" s="277"/>
      <c r="V447" s="283">
        <v>100.0</v>
      </c>
      <c r="W447" s="275" t="s">
        <v>699</v>
      </c>
      <c r="X447" s="283">
        <v>100.0</v>
      </c>
      <c r="Y447" s="274">
        <v>100.0</v>
      </c>
      <c r="Z447" s="272">
        <v>19000.0</v>
      </c>
      <c r="AA447" s="285">
        <v>0.08</v>
      </c>
      <c r="AB447" s="282">
        <v>2052000.0</v>
      </c>
      <c r="AC447" s="277"/>
      <c r="AD447" s="289">
        <v>46077.0</v>
      </c>
      <c r="AE447" s="272">
        <v>671.0</v>
      </c>
      <c r="AF447" s="277"/>
      <c r="AG447" s="277"/>
      <c r="AH447" s="294">
        <f>IFERROR(__xludf.DUMMYFUNCTION("IFERROR(INDEX( SORT(FILTER(
        {'1. DATA CHUNG'!$J$4:$J$105 , '1. DATA CHUNG'!$L$4:$L$105}, (TRIM('1. DATA CHUNG'!$I$4:$I$105)=TRIM(K447)) * IF(COUNTIFS('1. DATA CHUNG'!$I$4:$I$105,K447,'1. DATA CHUNG'!$M$4:$M$105,Q447), '1. DATA CHUNG'!$M$4:$M$105=Q"&amp;"447, 1) * ('1. DATA CHUNG'!$L$4:$L$105&lt;=TODAY()) ),   2, 0),  1, 1), 
  IFERROR( INDEX(FILTER('1. DATA CHUNG'!$J$4:$J$105, (TRIM('1. DATA CHUNG'!$I$4:$I$105)=TRIM(K447)) * IF(COUNTIFS('1. DATA CHUNG'!$I$4:$I$105,K447,'1. DATA CHUNG'!$M$4:$M$105,Q447), '1."&amp;" DATA CHUNG'!$M$4:$M$105=Q447, 1) * ('1. DATA CHUNG'!$L$4:$L$105="""")), 1), ""Không tìm thấy"" ))"),18.0)</f>
        <v>18</v>
      </c>
      <c r="AI447" s="273">
        <f t="shared" si="2"/>
        <v>46095</v>
      </c>
      <c r="AJ447" s="287"/>
      <c r="AK447" s="286">
        <f t="shared" si="3"/>
        <v>0</v>
      </c>
      <c r="AL447" s="287">
        <f t="shared" si="4"/>
        <v>5</v>
      </c>
      <c r="AM447" s="287">
        <f t="shared" si="5"/>
        <v>-11</v>
      </c>
      <c r="AN447" s="279">
        <f t="shared" si="6"/>
        <v>-5</v>
      </c>
      <c r="AO447" s="295" t="str">
        <f t="shared" si="7"/>
        <v>02/2026</v>
      </c>
      <c r="AP447" s="277" t="str">
        <f t="array" ref="AP447">IFERROR(XLOOKUP(L447,'2. DATA NL, VTBB'!C:C,'2. DATA NL, VTBB'!F:F),"")</f>
        <v>HH0284</v>
      </c>
      <c r="AQ447" s="277" t="str">
        <f t="array" ref="AQ447">IF(OR(K447="Nhãn", K447="Nhãn thùng",K447="Nhãn Túi"), K447 &amp; " " &amp; IFERROR(XLOOKUP(L447, '2. DATA NL, VTBB'!C:C, '2. DATA NL, VTBB'!E:E), ""), "")</f>
        <v/>
      </c>
      <c r="AR447" s="278" t="str">
        <f t="array" ref="AR447">IFERROR(XLOOKUP(L447,'2. DATA NL, VTBB'!C:C,'2. DATA NL, VTBB'!G:G),"")</f>
        <v>IDA Global - I - 700 - Toto Boost - 30ml - 400</v>
      </c>
      <c r="AS447" s="278" t="str">
        <f t="array" ref="AS447">IFERROR(XLOOKUP(L447,'2. DATA NL, VTBB'!C:C,'2. DATA NL, VTBB'!G:G),"")</f>
        <v>IDA Global - I - 700 - Toto Boost - 30ml - 400</v>
      </c>
      <c r="AT447" s="277"/>
    </row>
    <row r="448" ht="30.75" customHeight="1">
      <c r="A448" s="272">
        <f t="shared" si="44"/>
        <v>445</v>
      </c>
      <c r="B448" s="289">
        <v>46077.0</v>
      </c>
      <c r="C448" s="289">
        <v>46100.0</v>
      </c>
      <c r="D448" s="289">
        <v>46111.0</v>
      </c>
      <c r="E448" s="289">
        <v>46106.0</v>
      </c>
      <c r="F448" s="274" t="s">
        <v>561</v>
      </c>
      <c r="G448" s="275" t="s">
        <v>562</v>
      </c>
      <c r="H448" s="274" t="s">
        <v>304</v>
      </c>
      <c r="I448" s="275" t="s">
        <v>305</v>
      </c>
      <c r="J448" s="272" t="s">
        <v>1116</v>
      </c>
      <c r="K448" s="275" t="s">
        <v>301</v>
      </c>
      <c r="L448" s="277" t="s">
        <v>1117</v>
      </c>
      <c r="M448" s="278" t="str">
        <f t="array" ref="M448">IFERROR(XLOOKUP(L448,'2. DATA NL, VTBB'!C:C,'2. DATA NL, VTBB'!D:D),"")</f>
        <v>Thùng Dùng Chung ABA chai PET 100ml x 100 chai (55x28x22cm) - Trắng viền đen</v>
      </c>
      <c r="N448" s="280"/>
      <c r="O448" s="280" t="str">
        <f t="array" ref="O448">IFERROR( XLOOKUP(L448,'2. DATA NL, VTBB'!C:C,'2. DATA NL, VTBB'!E:E),"")</f>
        <v>TOPZOLE 800WG</v>
      </c>
      <c r="P448" s="275" t="s">
        <v>672</v>
      </c>
      <c r="Q448" s="311"/>
      <c r="R448" s="291" t="s">
        <v>573</v>
      </c>
      <c r="S448" s="277"/>
      <c r="T448" s="277"/>
      <c r="U448" s="277"/>
      <c r="V448" s="283">
        <v>100.0</v>
      </c>
      <c r="W448" s="275" t="s">
        <v>699</v>
      </c>
      <c r="X448" s="283">
        <v>100.0</v>
      </c>
      <c r="Y448" s="274">
        <v>100.0</v>
      </c>
      <c r="Z448" s="272">
        <v>16300.0</v>
      </c>
      <c r="AA448" s="285">
        <v>0.08</v>
      </c>
      <c r="AB448" s="282">
        <v>1760400.0</v>
      </c>
      <c r="AC448" s="277"/>
      <c r="AD448" s="289">
        <v>46077.0</v>
      </c>
      <c r="AE448" s="312"/>
      <c r="AF448" s="277"/>
      <c r="AG448" s="277"/>
      <c r="AH448" s="294">
        <f>IFERROR(__xludf.DUMMYFUNCTION("IFERROR(INDEX( SORT(FILTER(
        {'1. DATA CHUNG'!$J$4:$J$105 , '1. DATA CHUNG'!$L$4:$L$105}, (TRIM('1. DATA CHUNG'!$I$4:$I$105)=TRIM(K448)) * IF(COUNTIFS('1. DATA CHUNG'!$I$4:$I$105,K448,'1. DATA CHUNG'!$M$4:$M$105,Q448), '1. DATA CHUNG'!$M$4:$M$105=Q"&amp;"448, 1) * ('1. DATA CHUNG'!$L$4:$L$105&lt;=TODAY()) ),   2, 0),  1, 1), 
  IFERROR( INDEX(FILTER('1. DATA CHUNG'!$J$4:$J$105, (TRIM('1. DATA CHUNG'!$I$4:$I$105)=TRIM(K448)) * IF(COUNTIFS('1. DATA CHUNG'!$I$4:$I$105,K448,'1. DATA CHUNG'!$M$4:$M$105,Q448), '1."&amp;" DATA CHUNG'!$M$4:$M$105=Q448, 1) * ('1. DATA CHUNG'!$L$4:$L$105="""")), 1), ""Không tìm thấy"" ))"),18.0)</f>
        <v>18</v>
      </c>
      <c r="AI448" s="273">
        <f t="shared" si="2"/>
        <v>46095</v>
      </c>
      <c r="AJ448" s="287"/>
      <c r="AK448" s="286">
        <f t="shared" si="3"/>
        <v>0</v>
      </c>
      <c r="AL448" s="287">
        <f t="shared" si="4"/>
        <v>5</v>
      </c>
      <c r="AM448" s="287">
        <f t="shared" si="5"/>
        <v>-11</v>
      </c>
      <c r="AN448" s="279">
        <f t="shared" si="6"/>
        <v>-5</v>
      </c>
      <c r="AO448" s="295" t="str">
        <f t="shared" si="7"/>
        <v>02/2026</v>
      </c>
      <c r="AP448" s="277" t="str">
        <f t="array" ref="AP448">IFERROR(XLOOKUP(L448,'2. DATA NL, VTBB'!C:C,'2. DATA NL, VTBB'!F:F),"")</f>
        <v>HH0221</v>
      </c>
      <c r="AQ448" s="277" t="str">
        <f t="array" ref="AQ448">IF(OR(K448="Nhãn", K448="Nhãn thùng",K448="Nhãn Túi"), K448 &amp; " " &amp; IFERROR(XLOOKUP(L448, '2. DATA NL, VTBB'!C:C, '2. DATA NL, VTBB'!E:E), ""), "")</f>
        <v/>
      </c>
      <c r="AR448" s="278" t="str">
        <f t="array" ref="AR448">IFERROR(XLOOKUP(L448,'2. DATA NL, VTBB'!C:C,'2. DATA NL, VTBB'!G:G),"")</f>
        <v>GC - II - 634 - AGC NEW- Pzole 800 WG - 18 gr - 300</v>
      </c>
      <c r="AS448" s="278" t="str">
        <f t="array" ref="AS448">IFERROR(XLOOKUP(L448,'2. DATA NL, VTBB'!C:C,'2. DATA NL, VTBB'!G:G),"")</f>
        <v>GC - II - 634 - AGC NEW- Pzole 800 WG - 18 gr - 300</v>
      </c>
      <c r="AT448" s="277"/>
    </row>
    <row r="449" ht="30.75" customHeight="1">
      <c r="A449" s="272">
        <f t="shared" si="44"/>
        <v>446</v>
      </c>
      <c r="B449" s="289">
        <v>46077.0</v>
      </c>
      <c r="C449" s="289">
        <v>46100.0</v>
      </c>
      <c r="D449" s="289">
        <v>46111.0</v>
      </c>
      <c r="E449" s="289">
        <v>46111.0</v>
      </c>
      <c r="F449" s="274" t="s">
        <v>561</v>
      </c>
      <c r="G449" s="275" t="s">
        <v>562</v>
      </c>
      <c r="H449" s="274" t="s">
        <v>304</v>
      </c>
      <c r="I449" s="275" t="s">
        <v>305</v>
      </c>
      <c r="J449" s="272" t="s">
        <v>1118</v>
      </c>
      <c r="K449" s="275" t="s">
        <v>301</v>
      </c>
      <c r="L449" s="277" t="s">
        <v>1119</v>
      </c>
      <c r="M449" s="278" t="str">
        <f t="array" ref="M449">IFERROR(XLOOKUP(L449,'2. DATA NL, VTBB'!C:C,'2. DATA NL, VTBB'!D:D),"")</f>
        <v>Thùng Quang Đăng chai HD vuông 500ml x 40 chai (46x35.5x19cm) - Trắng viền xanh dương</v>
      </c>
      <c r="N449" s="280"/>
      <c r="O449" s="280" t="str">
        <f t="array" ref="O449">IFERROR( XLOOKUP(L449,'2. DATA NL, VTBB'!C:C,'2. DATA NL, VTBB'!E:E),"")</f>
        <v>THALONIL 75WP</v>
      </c>
      <c r="P449" s="275" t="s">
        <v>672</v>
      </c>
      <c r="Q449" s="311"/>
      <c r="R449" s="290" t="s">
        <v>566</v>
      </c>
      <c r="S449" s="277"/>
      <c r="T449" s="277"/>
      <c r="U449" s="277"/>
      <c r="V449" s="283">
        <v>100.0</v>
      </c>
      <c r="W449" s="275" t="s">
        <v>699</v>
      </c>
      <c r="X449" s="283">
        <v>100.0</v>
      </c>
      <c r="Y449" s="274">
        <v>100.0</v>
      </c>
      <c r="Z449" s="272">
        <v>17400.0</v>
      </c>
      <c r="AA449" s="285">
        <v>0.08</v>
      </c>
      <c r="AB449" s="282">
        <v>1879200.0</v>
      </c>
      <c r="AC449" s="277"/>
      <c r="AD449" s="289">
        <v>46077.0</v>
      </c>
      <c r="AE449" s="312"/>
      <c r="AF449" s="277"/>
      <c r="AG449" s="277"/>
      <c r="AH449" s="294">
        <f>IFERROR(__xludf.DUMMYFUNCTION("IFERROR(INDEX( SORT(FILTER(
        {'1. DATA CHUNG'!$J$4:$J$105 , '1. DATA CHUNG'!$L$4:$L$105}, (TRIM('1. DATA CHUNG'!$I$4:$I$105)=TRIM(K449)) * IF(COUNTIFS('1. DATA CHUNG'!$I$4:$I$105,K449,'1. DATA CHUNG'!$M$4:$M$105,Q449), '1. DATA CHUNG'!$M$4:$M$105=Q"&amp;"449, 1) * ('1. DATA CHUNG'!$L$4:$L$105&lt;=TODAY()) ),   2, 0),  1, 1), 
  IFERROR( INDEX(FILTER('1. DATA CHUNG'!$J$4:$J$105, (TRIM('1. DATA CHUNG'!$I$4:$I$105)=TRIM(K449)) * IF(COUNTIFS('1. DATA CHUNG'!$I$4:$I$105,K449,'1. DATA CHUNG'!$M$4:$M$105,Q449), '1."&amp;" DATA CHUNG'!$M$4:$M$105=Q449, 1) * ('1. DATA CHUNG'!$L$4:$L$105="""")), 1), ""Không tìm thấy"" ))"),18.0)</f>
        <v>18</v>
      </c>
      <c r="AI449" s="273">
        <f t="shared" si="2"/>
        <v>46095</v>
      </c>
      <c r="AJ449" s="287"/>
      <c r="AK449" s="286">
        <f t="shared" si="3"/>
        <v>0</v>
      </c>
      <c r="AL449" s="287">
        <f t="shared" si="4"/>
        <v>0</v>
      </c>
      <c r="AM449" s="287">
        <f t="shared" si="5"/>
        <v>-16</v>
      </c>
      <c r="AN449" s="279">
        <f t="shared" si="6"/>
        <v>-5</v>
      </c>
      <c r="AO449" s="295" t="str">
        <f t="shared" si="7"/>
        <v>02/2026</v>
      </c>
      <c r="AP449" s="277" t="str">
        <f t="array" ref="AP449">IFERROR(XLOOKUP(L449,'2. DATA NL, VTBB'!C:C,'2. DATA NL, VTBB'!F:F),"")</f>
        <v>HH0185</v>
      </c>
      <c r="AQ449" s="277" t="str">
        <f t="array" ref="AQ449">IF(OR(K449="Nhãn", K449="Nhãn thùng",K449="Nhãn Túi"), K449 &amp; " " &amp; IFERROR(XLOOKUP(L449, '2. DATA NL, VTBB'!C:C, '2. DATA NL, VTBB'!E:E), ""), "")</f>
        <v/>
      </c>
      <c r="AR449" s="278" t="str">
        <f t="array" ref="AR449">IFERROR(XLOOKUP(L449,'2. DATA NL, VTBB'!C:C,'2. DATA NL, VTBB'!G:G),"")</f>
        <v>GC - I - 592 - Thiên Di - Thalonil 75WP (flexo) - 100gr - 100</v>
      </c>
      <c r="AS449" s="278" t="str">
        <f t="array" ref="AS449">IFERROR(XLOOKUP(L449,'2. DATA NL, VTBB'!C:C,'2. DATA NL, VTBB'!G:G),"")</f>
        <v>GC - I - 592 - Thiên Di - Thalonil 75WP (flexo) - 100gr - 100</v>
      </c>
      <c r="AT449" s="277"/>
    </row>
    <row r="450" ht="30.75" customHeight="1">
      <c r="A450" s="272">
        <f t="shared" si="44"/>
        <v>447</v>
      </c>
      <c r="B450" s="289">
        <v>46078.0</v>
      </c>
      <c r="C450" s="289">
        <v>46083.0</v>
      </c>
      <c r="D450" s="289">
        <v>46111.0</v>
      </c>
      <c r="E450" s="289">
        <v>46111.0</v>
      </c>
      <c r="F450" s="274" t="s">
        <v>561</v>
      </c>
      <c r="G450" s="275" t="s">
        <v>562</v>
      </c>
      <c r="H450" s="274" t="s">
        <v>304</v>
      </c>
      <c r="I450" s="275" t="s">
        <v>726</v>
      </c>
      <c r="J450" s="272" t="s">
        <v>1120</v>
      </c>
      <c r="K450" s="275" t="s">
        <v>767</v>
      </c>
      <c r="L450" s="277" t="s">
        <v>1121</v>
      </c>
      <c r="M450" s="278" t="str">
        <f t="array" ref="M450">IFERROR(XLOOKUP(L450,'2. DATA NL, VTBB'!C:C,'2. DATA NL, VTBB'!D:D),"")</f>
        <v>Xô Trắng 4 móc tròn 22-25 Kg</v>
      </c>
      <c r="N450" s="280"/>
      <c r="O450" s="280" t="str">
        <f t="array" ref="O450">IFERROR( XLOOKUP(L450,'2. DATA NL, VTBB'!C:C,'2. DATA NL, VTBB'!E:E),"")</f>
        <v>Kamycinjapane 20SL</v>
      </c>
      <c r="P450" s="277"/>
      <c r="Q450" s="311"/>
      <c r="R450" s="290" t="s">
        <v>566</v>
      </c>
      <c r="S450" s="277"/>
      <c r="T450" s="277"/>
      <c r="U450" s="277"/>
      <c r="V450" s="283">
        <v>200.0</v>
      </c>
      <c r="W450" s="275" t="s">
        <v>699</v>
      </c>
      <c r="X450" s="283">
        <v>200.0</v>
      </c>
      <c r="Y450" s="274">
        <v>200.0</v>
      </c>
      <c r="Z450" s="272">
        <v>54000.0</v>
      </c>
      <c r="AA450" s="285">
        <v>0.08</v>
      </c>
      <c r="AB450" s="282">
        <v>1.1664E7</v>
      </c>
      <c r="AC450" s="277"/>
      <c r="AD450" s="289">
        <v>46078.0</v>
      </c>
      <c r="AE450" s="272">
        <v>703.0</v>
      </c>
      <c r="AF450" s="277"/>
      <c r="AG450" s="277"/>
      <c r="AH450" s="294">
        <f>IFERROR(__xludf.DUMMYFUNCTION("IFERROR(INDEX( SORT(FILTER(
        {'1. DATA CHUNG'!$J$4:$J$105 , '1. DATA CHUNG'!$L$4:$L$105}, (TRIM('1. DATA CHUNG'!$I$4:$I$105)=TRIM(K450)) * IF(COUNTIFS('1. DATA CHUNG'!$I$4:$I$105,K450,'1. DATA CHUNG'!$M$4:$M$105,Q450), '1. DATA CHUNG'!$M$4:$M$105=Q"&amp;"450, 1) * ('1. DATA CHUNG'!$L$4:$L$105&lt;=TODAY()) ),   2, 0),  1, 1), 
  IFERROR( INDEX(FILTER('1. DATA CHUNG'!$J$4:$J$105, (TRIM('1. DATA CHUNG'!$I$4:$I$105)=TRIM(K450)) * IF(COUNTIFS('1. DATA CHUNG'!$I$4:$I$105,K450,'1. DATA CHUNG'!$M$4:$M$105,Q450), '1."&amp;" DATA CHUNG'!$M$4:$M$105=Q450, 1) * ('1. DATA CHUNG'!$L$4:$L$105="""")), 1), ""Không tìm thấy"" ))"),5.0)</f>
        <v>5</v>
      </c>
      <c r="AI450" s="273">
        <f t="shared" si="2"/>
        <v>46083</v>
      </c>
      <c r="AJ450" s="287"/>
      <c r="AK450" s="286">
        <f t="shared" si="3"/>
        <v>0</v>
      </c>
      <c r="AL450" s="287">
        <f t="shared" si="4"/>
        <v>0</v>
      </c>
      <c r="AM450" s="287">
        <f t="shared" si="5"/>
        <v>-28</v>
      </c>
      <c r="AN450" s="279">
        <f t="shared" si="6"/>
        <v>0</v>
      </c>
      <c r="AO450" s="295" t="str">
        <f t="shared" si="7"/>
        <v>02/2026</v>
      </c>
      <c r="AP450" s="277" t="str">
        <f t="array" ref="AP450">IFERROR(XLOOKUP(L450,'2. DATA NL, VTBB'!C:C,'2. DATA NL, VTBB'!F:F),"")</f>
        <v>HH0005</v>
      </c>
      <c r="AQ450" s="277" t="str">
        <f t="array" ref="AQ450">IF(OR(K450="Nhãn", K450="Nhãn thùng",K450="Nhãn Túi"), K450 &amp; " " &amp; IFERROR(XLOOKUP(L450, '2. DATA NL, VTBB'!C:C, '2. DATA NL, VTBB'!E:E), ""), "")</f>
        <v/>
      </c>
      <c r="AR450" s="278" t="str">
        <f t="array" ref="AR450">IFERROR(XLOOKUP(L450,'2. DATA NL, VTBB'!C:C,'2. DATA NL, VTBB'!G:G),"")</f>
        <v>GC - II - 465 - AGC - Kamycinjapane 20SL (chai tròn) - 450ml - 40</v>
      </c>
      <c r="AS450" s="278" t="str">
        <f t="array" ref="AS450">IFERROR(XLOOKUP(L450,'2. DATA NL, VTBB'!C:C,'2. DATA NL, VTBB'!G:G),"")</f>
        <v>GC - II - 465 - AGC - Kamycinjapane 20SL (chai tròn) - 450ml - 40</v>
      </c>
      <c r="AT450" s="277"/>
    </row>
    <row r="451" ht="30.75" customHeight="1">
      <c r="A451" s="272">
        <f t="shared" si="44"/>
        <v>448</v>
      </c>
      <c r="B451" s="289">
        <v>46080.0</v>
      </c>
      <c r="C451" s="289">
        <v>46083.0</v>
      </c>
      <c r="D451" s="289">
        <v>46111.0</v>
      </c>
      <c r="E451" s="289">
        <v>46111.0</v>
      </c>
      <c r="F451" s="274" t="s">
        <v>561</v>
      </c>
      <c r="G451" s="275" t="s">
        <v>562</v>
      </c>
      <c r="H451" s="274" t="s">
        <v>304</v>
      </c>
      <c r="I451" s="275" t="s">
        <v>744</v>
      </c>
      <c r="J451" s="272" t="s">
        <v>1122</v>
      </c>
      <c r="K451" s="275" t="s">
        <v>728</v>
      </c>
      <c r="L451" s="277" t="s">
        <v>927</v>
      </c>
      <c r="M451" s="278" t="str">
        <f t="array" ref="M451">IFERROR(XLOOKUP(L451,'2. DATA NL, VTBB'!C:C,'2. DATA NL, VTBB'!D:D),"")</f>
        <v>Chai PET tròn cổ 43 250ml trắng</v>
      </c>
      <c r="N451" s="280"/>
      <c r="O451" s="280" t="str">
        <f t="array" ref="O451">IFERROR( XLOOKUP(L451,'2. DATA NL, VTBB'!C:C,'2. DATA NL, VTBB'!E:E),"")</f>
        <v>Vi lượng Basel DANA 20</v>
      </c>
      <c r="P451" s="275" t="s">
        <v>565</v>
      </c>
      <c r="Q451" s="311"/>
      <c r="R451" s="291" t="s">
        <v>573</v>
      </c>
      <c r="S451" s="277"/>
      <c r="T451" s="277"/>
      <c r="U451" s="277"/>
      <c r="V451" s="283">
        <v>2000.0</v>
      </c>
      <c r="W451" s="275" t="s">
        <v>699</v>
      </c>
      <c r="X451" s="283">
        <v>2000.0</v>
      </c>
      <c r="Y451" s="274">
        <v>2000.0</v>
      </c>
      <c r="Z451" s="272">
        <v>1650.0</v>
      </c>
      <c r="AA451" s="285">
        <v>0.08</v>
      </c>
      <c r="AB451" s="282">
        <v>3564000.0</v>
      </c>
      <c r="AC451" s="277"/>
      <c r="AD451" s="289">
        <v>46080.0</v>
      </c>
      <c r="AE451" s="312"/>
      <c r="AF451" s="277"/>
      <c r="AG451" s="277"/>
      <c r="AH451" s="294">
        <f>IFERROR(__xludf.DUMMYFUNCTION("IFERROR(INDEX( SORT(FILTER(
        {'1. DATA CHUNG'!$J$4:$J$105 , '1. DATA CHUNG'!$L$4:$L$105}, (TRIM('1. DATA CHUNG'!$I$4:$I$105)=TRIM(K451)) * IF(COUNTIFS('1. DATA CHUNG'!$I$4:$I$105,K451,'1. DATA CHUNG'!$M$4:$M$105,Q451), '1. DATA CHUNG'!$M$4:$M$105=Q"&amp;"451, 1) * ('1. DATA CHUNG'!$L$4:$L$105&lt;=TODAY()) ),   2, 0),  1, 1), 
  IFERROR( INDEX(FILTER('1. DATA CHUNG'!$J$4:$J$105, (TRIM('1. DATA CHUNG'!$I$4:$I$105)=TRIM(K451)) * IF(COUNTIFS('1. DATA CHUNG'!$I$4:$I$105,K451,'1. DATA CHUNG'!$M$4:$M$105,Q451), '1."&amp;" DATA CHUNG'!$M$4:$M$105=Q451, 1) * ('1. DATA CHUNG'!$L$4:$L$105="""")), 1), ""Không tìm thấy"" ))"),7.0)</f>
        <v>7</v>
      </c>
      <c r="AI451" s="273">
        <f t="shared" si="2"/>
        <v>46087</v>
      </c>
      <c r="AJ451" s="287"/>
      <c r="AK451" s="286">
        <f t="shared" si="3"/>
        <v>0</v>
      </c>
      <c r="AL451" s="287">
        <f t="shared" si="4"/>
        <v>0</v>
      </c>
      <c r="AM451" s="287">
        <f t="shared" si="5"/>
        <v>-24</v>
      </c>
      <c r="AN451" s="279">
        <f t="shared" si="6"/>
        <v>4</v>
      </c>
      <c r="AO451" s="295" t="str">
        <f t="shared" si="7"/>
        <v>02/2026</v>
      </c>
      <c r="AP451" s="277" t="str">
        <f t="array" ref="AP451">IFERROR(XLOOKUP(L451,'2. DATA NL, VTBB'!C:C,'2. DATA NL, VTBB'!F:F),"")</f>
        <v>HH0020</v>
      </c>
      <c r="AQ451" s="277" t="str">
        <f t="array" ref="AQ451">IF(OR(K451="Nhãn", K451="Nhãn thùng",K451="Nhãn Túi"), K451 &amp; " " &amp; IFERROR(XLOOKUP(L451, '2. DATA NL, VTBB'!C:C, '2. DATA NL, VTBB'!E:E), ""), "")</f>
        <v/>
      </c>
      <c r="AR451" s="278" t="str">
        <f t="array" ref="AR451">IFERROR(XLOOKUP(L451,'2. DATA NL, VTBB'!C:C,'2. DATA NL, VTBB'!G:G),"")</f>
        <v>GC - I - 326 - CTP - Viên sủi to hạt Trúng mùa số 1 - 5gr - 1000</v>
      </c>
      <c r="AS451" s="278" t="str">
        <f t="array" ref="AS451">IFERROR(XLOOKUP(L451,'2. DATA NL, VTBB'!C:C,'2. DATA NL, VTBB'!G:G),"")</f>
        <v>GC - I - 326 - CTP - Viên sủi to hạt Trúng mùa số 1 - 5gr - 1000</v>
      </c>
      <c r="AT451" s="277"/>
    </row>
    <row r="452" ht="30.75" customHeight="1">
      <c r="A452" s="272">
        <f t="shared" si="44"/>
        <v>449</v>
      </c>
      <c r="B452" s="289">
        <v>46080.0</v>
      </c>
      <c r="C452" s="289">
        <v>46083.0</v>
      </c>
      <c r="D452" s="289">
        <v>46111.0</v>
      </c>
      <c r="E452" s="289">
        <v>46111.0</v>
      </c>
      <c r="F452" s="274" t="s">
        <v>561</v>
      </c>
      <c r="G452" s="275" t="s">
        <v>562</v>
      </c>
      <c r="H452" s="274" t="s">
        <v>304</v>
      </c>
      <c r="I452" s="275" t="s">
        <v>744</v>
      </c>
      <c r="J452" s="272" t="s">
        <v>1122</v>
      </c>
      <c r="K452" s="275" t="s">
        <v>730</v>
      </c>
      <c r="L452" s="277" t="s">
        <v>1123</v>
      </c>
      <c r="M452" s="278" t="str">
        <f t="array" ref="M452">IFERROR(XLOOKUP(L452,'2. DATA NL, VTBB'!C:C,'2. DATA NL, VTBB'!D:D),"")</f>
        <v>Nắp PET cổ 43 (6.3g) xanh lá</v>
      </c>
      <c r="N452" s="280"/>
      <c r="O452" s="280" t="str">
        <f t="array" ref="O452">IFERROR( XLOOKUP(L452,'2. DATA NL, VTBB'!C:C,'2. DATA NL, VTBB'!E:E),"")</f>
        <v>TVZEB 800WP</v>
      </c>
      <c r="P452" s="275" t="s">
        <v>565</v>
      </c>
      <c r="Q452" s="311"/>
      <c r="R452" s="291" t="s">
        <v>573</v>
      </c>
      <c r="S452" s="277"/>
      <c r="T452" s="277"/>
      <c r="U452" s="277"/>
      <c r="V452" s="283">
        <v>2000.0</v>
      </c>
      <c r="W452" s="275" t="s">
        <v>699</v>
      </c>
      <c r="X452" s="283">
        <v>2000.0</v>
      </c>
      <c r="Y452" s="274">
        <v>2000.0</v>
      </c>
      <c r="Z452" s="272">
        <v>650.0</v>
      </c>
      <c r="AA452" s="285">
        <v>0.08</v>
      </c>
      <c r="AB452" s="282">
        <v>1404000.0</v>
      </c>
      <c r="AC452" s="277"/>
      <c r="AD452" s="289">
        <v>46080.0</v>
      </c>
      <c r="AE452" s="312"/>
      <c r="AF452" s="277"/>
      <c r="AG452" s="277"/>
      <c r="AH452" s="294">
        <f>IFERROR(__xludf.DUMMYFUNCTION("IFERROR(INDEX( SORT(FILTER(
        {'1. DATA CHUNG'!$J$4:$J$105 , '1. DATA CHUNG'!$L$4:$L$105}, (TRIM('1. DATA CHUNG'!$I$4:$I$105)=TRIM(K452)) * IF(COUNTIFS('1. DATA CHUNG'!$I$4:$I$105,K452,'1. DATA CHUNG'!$M$4:$M$105,Q452), '1. DATA CHUNG'!$M$4:$M$105=Q"&amp;"452, 1) * ('1. DATA CHUNG'!$L$4:$L$105&lt;=TODAY()) ),   2, 0),  1, 1), 
  IFERROR( INDEX(FILTER('1. DATA CHUNG'!$J$4:$J$105, (TRIM('1. DATA CHUNG'!$I$4:$I$105)=TRIM(K452)) * IF(COUNTIFS('1. DATA CHUNG'!$I$4:$I$105,K452,'1. DATA CHUNG'!$M$4:$M$105,Q452), '1."&amp;" DATA CHUNG'!$M$4:$M$105=Q452, 1) * ('1. DATA CHUNG'!$L$4:$L$105="""")), 1), ""Không tìm thấy"" ))"),7.0)</f>
        <v>7</v>
      </c>
      <c r="AI452" s="273">
        <f t="shared" si="2"/>
        <v>46087</v>
      </c>
      <c r="AJ452" s="287"/>
      <c r="AK452" s="286">
        <f t="shared" si="3"/>
        <v>0</v>
      </c>
      <c r="AL452" s="287">
        <f t="shared" si="4"/>
        <v>0</v>
      </c>
      <c r="AM452" s="287">
        <f t="shared" si="5"/>
        <v>-24</v>
      </c>
      <c r="AN452" s="279">
        <f t="shared" si="6"/>
        <v>4</v>
      </c>
      <c r="AO452" s="295" t="str">
        <f t="shared" si="7"/>
        <v>02/2026</v>
      </c>
      <c r="AP452" s="277" t="str">
        <f t="array" ref="AP452">IFERROR(XLOOKUP(L452,'2. DATA NL, VTBB'!C:C,'2. DATA NL, VTBB'!F:F),"")</f>
        <v>HH0041</v>
      </c>
      <c r="AQ452" s="277" t="str">
        <f t="array" ref="AQ452">IF(OR(K452="Nhãn", K452="Nhãn thùng",K452="Nhãn Túi"), K452 &amp; " " &amp; IFERROR(XLOOKUP(L452, '2. DATA NL, VTBB'!C:C, '2. DATA NL, VTBB'!E:E), ""), "")</f>
        <v/>
      </c>
      <c r="AR452" s="278" t="str">
        <f t="array" ref="AR452">IFERROR(XLOOKUP(L452,'2. DATA NL, VTBB'!C:C,'2. DATA NL, VTBB'!G:G),"")</f>
        <v>GC - II - 497 - Luta - Mancozeb xanh - 1kg - 20</v>
      </c>
      <c r="AS452" s="278" t="str">
        <f t="array" ref="AS452">IFERROR(XLOOKUP(L452,'2. DATA NL, VTBB'!C:C,'2. DATA NL, VTBB'!G:G),"")</f>
        <v>GC - II - 497 - Luta - Mancozeb xanh - 1kg - 20</v>
      </c>
      <c r="AT452" s="277"/>
    </row>
    <row r="453" ht="30.75" customHeight="1">
      <c r="A453" s="272">
        <f t="shared" si="44"/>
        <v>450</v>
      </c>
      <c r="B453" s="289">
        <v>46080.0</v>
      </c>
      <c r="C453" s="289">
        <v>46083.0</v>
      </c>
      <c r="D453" s="289">
        <v>46111.0</v>
      </c>
      <c r="E453" s="289">
        <v>46111.0</v>
      </c>
      <c r="F453" s="274" t="s">
        <v>561</v>
      </c>
      <c r="G453" s="275" t="s">
        <v>562</v>
      </c>
      <c r="H453" s="274" t="s">
        <v>304</v>
      </c>
      <c r="I453" s="275" t="s">
        <v>726</v>
      </c>
      <c r="J453" s="272" t="s">
        <v>1124</v>
      </c>
      <c r="K453" s="275" t="s">
        <v>728</v>
      </c>
      <c r="L453" s="277" t="s">
        <v>1125</v>
      </c>
      <c r="M453" s="278" t="str">
        <f t="array" ref="M453">IFERROR(XLOOKUP(L453,'2. DATA NL, VTBB'!C:C,'2. DATA NL, VTBB'!D:D),"")</f>
        <v>Chai PET tròn 250ml cổ 38 (50gr) - Vàng đồng</v>
      </c>
      <c r="N453" s="280"/>
      <c r="O453" s="280" t="str">
        <f t="array" ref="O453">IFERROR( XLOOKUP(L453,'2. DATA NL, VTBB'!C:C,'2. DATA NL, VTBB'!E:E),"")</f>
        <v>Chitin 3.6EC</v>
      </c>
      <c r="P453" s="277"/>
      <c r="Q453" s="311"/>
      <c r="R453" s="291" t="s">
        <v>573</v>
      </c>
      <c r="S453" s="277"/>
      <c r="T453" s="277"/>
      <c r="U453" s="277"/>
      <c r="V453" s="283">
        <v>1000.0</v>
      </c>
      <c r="W453" s="275" t="s">
        <v>699</v>
      </c>
      <c r="X453" s="283">
        <v>1000.0</v>
      </c>
      <c r="Y453" s="274">
        <v>1080.0</v>
      </c>
      <c r="Z453" s="272">
        <f>2800-Z454</f>
        <v>1900</v>
      </c>
      <c r="AA453" s="285">
        <v>0.08</v>
      </c>
      <c r="AB453" s="282">
        <v>2216160.0</v>
      </c>
      <c r="AC453" s="277"/>
      <c r="AD453" s="289">
        <v>46080.0</v>
      </c>
      <c r="AE453" s="272">
        <v>704.0</v>
      </c>
      <c r="AF453" s="277"/>
      <c r="AG453" s="277"/>
      <c r="AH453" s="294">
        <f>IFERROR(__xludf.DUMMYFUNCTION("IFERROR(INDEX( SORT(FILTER(
        {'1. DATA CHUNG'!$J$4:$J$105 , '1. DATA CHUNG'!$L$4:$L$105}, (TRIM('1. DATA CHUNG'!$I$4:$I$105)=TRIM(K453)) * IF(COUNTIFS('1. DATA CHUNG'!$I$4:$I$105,K453,'1. DATA CHUNG'!$M$4:$M$105,Q453), '1. DATA CHUNG'!$M$4:$M$105=Q"&amp;"453, 1) * ('1. DATA CHUNG'!$L$4:$L$105&lt;=TODAY()) ),   2, 0),  1, 1), 
  IFERROR( INDEX(FILTER('1. DATA CHUNG'!$J$4:$J$105, (TRIM('1. DATA CHUNG'!$I$4:$I$105)=TRIM(K453)) * IF(COUNTIFS('1. DATA CHUNG'!$I$4:$I$105,K453,'1. DATA CHUNG'!$M$4:$M$105,Q453), '1."&amp;" DATA CHUNG'!$M$4:$M$105=Q453, 1) * ('1. DATA CHUNG'!$L$4:$L$105="""")), 1), ""Không tìm thấy"" ))"),7.0)</f>
        <v>7</v>
      </c>
      <c r="AI453" s="273">
        <f t="shared" si="2"/>
        <v>46087</v>
      </c>
      <c r="AJ453" s="287"/>
      <c r="AK453" s="286">
        <f t="shared" si="3"/>
        <v>0</v>
      </c>
      <c r="AL453" s="287">
        <f t="shared" si="4"/>
        <v>0</v>
      </c>
      <c r="AM453" s="287">
        <f t="shared" si="5"/>
        <v>-24</v>
      </c>
      <c r="AN453" s="279">
        <f t="shared" si="6"/>
        <v>4</v>
      </c>
      <c r="AO453" s="295" t="str">
        <f t="shared" si="7"/>
        <v>02/2026</v>
      </c>
      <c r="AP453" s="277" t="str">
        <f t="array" ref="AP453">IFERROR(XLOOKUP(L453,'2. DATA NL, VTBB'!C:C,'2. DATA NL, VTBB'!F:F),"")</f>
        <v>HH0249</v>
      </c>
      <c r="AQ453" s="277" t="str">
        <f t="array" ref="AQ453">IF(OR(K453="Nhãn", K453="Nhãn thùng",K453="Nhãn Túi"), K453 &amp; " " &amp; IFERROR(XLOOKUP(L453, '2. DATA NL, VTBB'!C:C, '2. DATA NL, VTBB'!E:E), ""), "")</f>
        <v/>
      </c>
      <c r="AR453" s="278" t="str">
        <f t="array" ref="AR453">IFERROR(XLOOKUP(L453,'2. DATA NL, VTBB'!C:C,'2. DATA NL, VTBB'!G:G),"")</f>
        <v>LOT IDA Global - I - 903 - ĐL Hoàng Em - Thần Hổ (Pet tròn) (nắp đỏ)(nước nâu đen) - 450ml - 40</v>
      </c>
      <c r="AS453" s="278" t="str">
        <f t="array" ref="AS453">IFERROR(XLOOKUP(L453,'2. DATA NL, VTBB'!C:C,'2. DATA NL, VTBB'!G:G),"")</f>
        <v>LOT IDA Global - I - 903 - ĐL Hoàng Em - Thần Hổ (Pet tròn) (nắp đỏ)(nước nâu đen) - 450ml - 40</v>
      </c>
      <c r="AT453" s="277"/>
    </row>
    <row r="454" ht="30.75" customHeight="1">
      <c r="A454" s="272">
        <f t="shared" si="44"/>
        <v>451</v>
      </c>
      <c r="B454" s="289">
        <v>46080.0</v>
      </c>
      <c r="C454" s="289">
        <v>46083.0</v>
      </c>
      <c r="D454" s="289">
        <v>46111.0</v>
      </c>
      <c r="E454" s="289">
        <v>46111.0</v>
      </c>
      <c r="F454" s="274" t="s">
        <v>561</v>
      </c>
      <c r="G454" s="275" t="s">
        <v>562</v>
      </c>
      <c r="H454" s="274" t="s">
        <v>304</v>
      </c>
      <c r="I454" s="275" t="s">
        <v>726</v>
      </c>
      <c r="J454" s="272" t="s">
        <v>1124</v>
      </c>
      <c r="K454" s="275" t="s">
        <v>730</v>
      </c>
      <c r="L454" s="277" t="s">
        <v>1126</v>
      </c>
      <c r="M454" s="278" t="str">
        <f t="array" ref="M454">IFERROR(XLOOKUP(L454,'2. DATA NL, VTBB'!C:C,'2. DATA NL, VTBB'!D:D),"")</f>
        <v>Nắp PET cổ 38  tai bèo (10gr) - Trắng</v>
      </c>
      <c r="N454" s="280"/>
      <c r="O454" s="280" t="str">
        <f t="array" ref="O454">IFERROR( XLOOKUP(L454,'2. DATA NL, VTBB'!C:C,'2. DATA NL, VTBB'!E:E),"")</f>
        <v>IMIPRID 10WP</v>
      </c>
      <c r="P454" s="277"/>
      <c r="Q454" s="311"/>
      <c r="R454" s="291" t="s">
        <v>573</v>
      </c>
      <c r="S454" s="277"/>
      <c r="T454" s="277"/>
      <c r="U454" s="277"/>
      <c r="V454" s="283">
        <v>1000.0</v>
      </c>
      <c r="W454" s="275" t="s">
        <v>699</v>
      </c>
      <c r="X454" s="283">
        <v>1000.0</v>
      </c>
      <c r="Y454" s="274">
        <v>1080.0</v>
      </c>
      <c r="Z454" s="272">
        <v>900.0</v>
      </c>
      <c r="AA454" s="285">
        <v>0.08</v>
      </c>
      <c r="AB454" s="282">
        <v>1049760.0</v>
      </c>
      <c r="AC454" s="277"/>
      <c r="AD454" s="289">
        <v>46080.0</v>
      </c>
      <c r="AE454" s="272">
        <v>704.0</v>
      </c>
      <c r="AF454" s="277"/>
      <c r="AG454" s="277"/>
      <c r="AH454" s="294">
        <f>IFERROR(__xludf.DUMMYFUNCTION("IFERROR(INDEX( SORT(FILTER(
        {'1. DATA CHUNG'!$J$4:$J$105 , '1. DATA CHUNG'!$L$4:$L$105}, (TRIM('1. DATA CHUNG'!$I$4:$I$105)=TRIM(K454)) * IF(COUNTIFS('1. DATA CHUNG'!$I$4:$I$105,K454,'1. DATA CHUNG'!$M$4:$M$105,Q454), '1. DATA CHUNG'!$M$4:$M$105=Q"&amp;"454, 1) * ('1. DATA CHUNG'!$L$4:$L$105&lt;=TODAY()) ),   2, 0),  1, 1), 
  IFERROR( INDEX(FILTER('1. DATA CHUNG'!$J$4:$J$105, (TRIM('1. DATA CHUNG'!$I$4:$I$105)=TRIM(K454)) * IF(COUNTIFS('1. DATA CHUNG'!$I$4:$I$105,K454,'1. DATA CHUNG'!$M$4:$M$105,Q454), '1."&amp;" DATA CHUNG'!$M$4:$M$105=Q454, 1) * ('1. DATA CHUNG'!$L$4:$L$105="""")), 1), ""Không tìm thấy"" ))"),7.0)</f>
        <v>7</v>
      </c>
      <c r="AI454" s="273">
        <f t="shared" si="2"/>
        <v>46087</v>
      </c>
      <c r="AJ454" s="287"/>
      <c r="AK454" s="286">
        <f t="shared" si="3"/>
        <v>0</v>
      </c>
      <c r="AL454" s="287">
        <f t="shared" si="4"/>
        <v>0</v>
      </c>
      <c r="AM454" s="287">
        <f t="shared" si="5"/>
        <v>-24</v>
      </c>
      <c r="AN454" s="279">
        <f t="shared" si="6"/>
        <v>4</v>
      </c>
      <c r="AO454" s="295" t="str">
        <f t="shared" si="7"/>
        <v>02/2026</v>
      </c>
      <c r="AP454" s="277" t="str">
        <f t="array" ref="AP454">IFERROR(XLOOKUP(L454,'2. DATA NL, VTBB'!C:C,'2. DATA NL, VTBB'!F:F),"")</f>
        <v>HH0174</v>
      </c>
      <c r="AQ454" s="277" t="str">
        <f t="array" ref="AQ454">IF(OR(K454="Nhãn", K454="Nhãn thùng",K454="Nhãn Túi"), K454 &amp; " " &amp; IFERROR(XLOOKUP(L454, '2. DATA NL, VTBB'!C:C, '2. DATA NL, VTBB'!E:E), ""), "")</f>
        <v/>
      </c>
      <c r="AR454" s="278" t="str">
        <f t="array" ref="AR454">IFERROR(XLOOKUP(L454,'2. DATA NL, VTBB'!C:C,'2. DATA NL, VTBB'!G:G),"")</f>
        <v>GC - IV - 904 - Agriplant - Knock Out Sâu-Rầy (bột trắng)(túi nhôm) - 100gr - 150</v>
      </c>
      <c r="AS454" s="278" t="str">
        <f t="array" ref="AS454">IFERROR(XLOOKUP(L454,'2. DATA NL, VTBB'!C:C,'2. DATA NL, VTBB'!G:G),"")</f>
        <v>GC - IV - 904 - Agriplant - Knock Out Sâu-Rầy (bột trắng)(túi nhôm) - 100gr - 150</v>
      </c>
      <c r="AT454" s="277"/>
    </row>
    <row r="455" ht="30.75" customHeight="1">
      <c r="A455" s="272">
        <f t="shared" si="44"/>
        <v>452</v>
      </c>
      <c r="B455" s="289">
        <v>46080.0</v>
      </c>
      <c r="C455" s="289">
        <v>46086.0</v>
      </c>
      <c r="D455" s="289">
        <v>46111.0</v>
      </c>
      <c r="E455" s="289">
        <v>46111.0</v>
      </c>
      <c r="F455" s="274" t="s">
        <v>561</v>
      </c>
      <c r="G455" s="275" t="s">
        <v>562</v>
      </c>
      <c r="H455" s="274" t="s">
        <v>304</v>
      </c>
      <c r="I455" s="275" t="s">
        <v>765</v>
      </c>
      <c r="J455" s="272" t="s">
        <v>1127</v>
      </c>
      <c r="K455" s="275" t="s">
        <v>728</v>
      </c>
      <c r="L455" s="277" t="s">
        <v>1128</v>
      </c>
      <c r="M455" s="278" t="str">
        <f t="array" ref="M455">IFERROR(XLOOKUP(L455,'2. DATA NL, VTBB'!C:C,'2. DATA NL, VTBB'!D:D),"")</f>
        <v>Chai HDPE tròn cổ 49 có granty logo ABA 500ml (65gr) - Trắng</v>
      </c>
      <c r="N455" s="280"/>
      <c r="O455" s="280" t="str">
        <f t="array" ref="O455">IFERROR( XLOOKUP(L455,'2. DATA NL, VTBB'!C:C,'2. DATA NL, VTBB'!E:E),"")</f>
        <v>CHITIN 3.6EC</v>
      </c>
      <c r="P455" s="277"/>
      <c r="Q455" s="311"/>
      <c r="R455" s="290" t="s">
        <v>566</v>
      </c>
      <c r="S455" s="277"/>
      <c r="T455" s="277"/>
      <c r="U455" s="277"/>
      <c r="V455" s="283">
        <v>2000.0</v>
      </c>
      <c r="W455" s="275" t="s">
        <v>699</v>
      </c>
      <c r="X455" s="283">
        <v>2000.0</v>
      </c>
      <c r="Y455" s="274">
        <v>2000.0</v>
      </c>
      <c r="Z455" s="272">
        <f>3650-Z456</f>
        <v>3050</v>
      </c>
      <c r="AA455" s="285">
        <v>0.08</v>
      </c>
      <c r="AB455" s="282">
        <v>6588000.0</v>
      </c>
      <c r="AC455" s="277"/>
      <c r="AD455" s="289">
        <v>46080.0</v>
      </c>
      <c r="AE455" s="312"/>
      <c r="AF455" s="277"/>
      <c r="AG455" s="277"/>
      <c r="AH455" s="294">
        <f>IFERROR(__xludf.DUMMYFUNCTION("IFERROR(INDEX( SORT(FILTER(
        {'1. DATA CHUNG'!$J$4:$J$105 , '1. DATA CHUNG'!$L$4:$L$105}, (TRIM('1. DATA CHUNG'!$I$4:$I$105)=TRIM(K455)) * IF(COUNTIFS('1. DATA CHUNG'!$I$4:$I$105,K455,'1. DATA CHUNG'!$M$4:$M$105,Q455), '1. DATA CHUNG'!$M$4:$M$105=Q"&amp;"455, 1) * ('1. DATA CHUNG'!$L$4:$L$105&lt;=TODAY()) ),   2, 0),  1, 1), 
  IFERROR( INDEX(FILTER('1. DATA CHUNG'!$J$4:$J$105, (TRIM('1. DATA CHUNG'!$I$4:$I$105)=TRIM(K455)) * IF(COUNTIFS('1. DATA CHUNG'!$I$4:$I$105,K455,'1. DATA CHUNG'!$M$4:$M$105,Q455), '1."&amp;" DATA CHUNG'!$M$4:$M$105=Q455, 1) * ('1. DATA CHUNG'!$L$4:$L$105="""")), 1), ""Không tìm thấy"" ))"),7.0)</f>
        <v>7</v>
      </c>
      <c r="AI455" s="273">
        <f t="shared" si="2"/>
        <v>46087</v>
      </c>
      <c r="AJ455" s="287"/>
      <c r="AK455" s="286">
        <f t="shared" si="3"/>
        <v>0</v>
      </c>
      <c r="AL455" s="287">
        <f t="shared" si="4"/>
        <v>0</v>
      </c>
      <c r="AM455" s="287">
        <f t="shared" si="5"/>
        <v>-24</v>
      </c>
      <c r="AN455" s="279">
        <f t="shared" si="6"/>
        <v>1</v>
      </c>
      <c r="AO455" s="295" t="str">
        <f t="shared" si="7"/>
        <v>02/2026</v>
      </c>
      <c r="AP455" s="277" t="str">
        <f t="array" ref="AP455">IFERROR(XLOOKUP(L455,'2. DATA NL, VTBB'!C:C,'2. DATA NL, VTBB'!F:F),"")</f>
        <v>HH0247</v>
      </c>
      <c r="AQ455" s="277" t="str">
        <f t="array" ref="AQ455">IF(OR(K455="Nhãn", K455="Nhãn thùng",K455="Nhãn Túi"), K455 &amp; " " &amp; IFERROR(XLOOKUP(L455, '2. DATA NL, VTBB'!C:C, '2. DATA NL, VTBB'!E:E), ""), "")</f>
        <v/>
      </c>
      <c r="AR455" s="278" t="str">
        <f t="array" ref="AR455">IFERROR(XLOOKUP(L455,'2. DATA NL, VTBB'!C:C,'2. DATA NL, VTBB'!G:G),"")</f>
        <v>GC - IV - 901 - AU - Sức mạnh thần sấm (Pet tròn)(nắp vàng)(nước nâu đen) - 450ml - 40</v>
      </c>
      <c r="AS455" s="278" t="str">
        <f t="array" ref="AS455">IFERROR(XLOOKUP(L455,'2. DATA NL, VTBB'!C:C,'2. DATA NL, VTBB'!G:G),"")</f>
        <v>GC - IV - 901 - AU - Sức mạnh thần sấm (Pet tròn)(nắp vàng)(nước nâu đen) - 450ml - 40</v>
      </c>
      <c r="AT455" s="277"/>
    </row>
    <row r="456" ht="30.75" customHeight="1">
      <c r="A456" s="272">
        <f t="shared" si="44"/>
        <v>453</v>
      </c>
      <c r="B456" s="289">
        <v>46080.0</v>
      </c>
      <c r="C456" s="289">
        <v>46086.0</v>
      </c>
      <c r="D456" s="289">
        <v>46111.0</v>
      </c>
      <c r="E456" s="289">
        <v>46111.0</v>
      </c>
      <c r="F456" s="274" t="s">
        <v>561</v>
      </c>
      <c r="G456" s="275" t="s">
        <v>562</v>
      </c>
      <c r="H456" s="274" t="s">
        <v>304</v>
      </c>
      <c r="I456" s="275" t="s">
        <v>765</v>
      </c>
      <c r="J456" s="272" t="s">
        <v>1127</v>
      </c>
      <c r="K456" s="275" t="s">
        <v>730</v>
      </c>
      <c r="L456" s="277" t="s">
        <v>1129</v>
      </c>
      <c r="M456" s="278" t="str">
        <f t="array" ref="M456">IFERROR(XLOOKUP(L456,'2. DATA NL, VTBB'!C:C,'2. DATA NL, VTBB'!D:D),"")</f>
        <v>Nắp HDPE có granty cổ 49 500ml (10g) - Trắng</v>
      </c>
      <c r="N456" s="280"/>
      <c r="O456" s="280" t="str">
        <f t="array" ref="O456">IFERROR( XLOOKUP(L456,'2. DATA NL, VTBB'!C:C,'2. DATA NL, VTBB'!E:E),"")</f>
        <v>HAIHAMEC 3.6EC</v>
      </c>
      <c r="P456" s="277"/>
      <c r="Q456" s="311"/>
      <c r="R456" s="290" t="s">
        <v>566</v>
      </c>
      <c r="S456" s="277"/>
      <c r="T456" s="277"/>
      <c r="U456" s="277"/>
      <c r="V456" s="283">
        <v>2000.0</v>
      </c>
      <c r="W456" s="275" t="s">
        <v>699</v>
      </c>
      <c r="X456" s="283">
        <v>2000.0</v>
      </c>
      <c r="Y456" s="274">
        <v>2000.0</v>
      </c>
      <c r="Z456" s="272">
        <v>600.0</v>
      </c>
      <c r="AA456" s="285">
        <v>0.08</v>
      </c>
      <c r="AB456" s="282">
        <v>1296000.0</v>
      </c>
      <c r="AC456" s="277"/>
      <c r="AD456" s="289">
        <v>46080.0</v>
      </c>
      <c r="AE456" s="312"/>
      <c r="AF456" s="277"/>
      <c r="AG456" s="277"/>
      <c r="AH456" s="294">
        <f>IFERROR(__xludf.DUMMYFUNCTION("IFERROR(INDEX( SORT(FILTER(
        {'1. DATA CHUNG'!$J$4:$J$105 , '1. DATA CHUNG'!$L$4:$L$105}, (TRIM('1. DATA CHUNG'!$I$4:$I$105)=TRIM(K456)) * IF(COUNTIFS('1. DATA CHUNG'!$I$4:$I$105,K456,'1. DATA CHUNG'!$M$4:$M$105,Q456), '1. DATA CHUNG'!$M$4:$M$105=Q"&amp;"456, 1) * ('1. DATA CHUNG'!$L$4:$L$105&lt;=TODAY()) ),   2, 0),  1, 1), 
  IFERROR( INDEX(FILTER('1. DATA CHUNG'!$J$4:$J$105, (TRIM('1. DATA CHUNG'!$I$4:$I$105)=TRIM(K456)) * IF(COUNTIFS('1. DATA CHUNG'!$I$4:$I$105,K456,'1. DATA CHUNG'!$M$4:$M$105,Q456), '1."&amp;" DATA CHUNG'!$M$4:$M$105=Q456, 1) * ('1. DATA CHUNG'!$L$4:$L$105="""")), 1), ""Không tìm thấy"" ))"),7.0)</f>
        <v>7</v>
      </c>
      <c r="AI456" s="273">
        <f t="shared" si="2"/>
        <v>46087</v>
      </c>
      <c r="AJ456" s="287"/>
      <c r="AK456" s="286">
        <f t="shared" si="3"/>
        <v>0</v>
      </c>
      <c r="AL456" s="287">
        <f t="shared" si="4"/>
        <v>0</v>
      </c>
      <c r="AM456" s="287">
        <f t="shared" si="5"/>
        <v>-24</v>
      </c>
      <c r="AN456" s="279">
        <f t="shared" si="6"/>
        <v>1</v>
      </c>
      <c r="AO456" s="295" t="str">
        <f t="shared" si="7"/>
        <v>02/2026</v>
      </c>
      <c r="AP456" s="277" t="str">
        <f t="array" ref="AP456">IFERROR(XLOOKUP(L456,'2. DATA NL, VTBB'!C:C,'2. DATA NL, VTBB'!F:F),"")</f>
        <v>HH0172</v>
      </c>
      <c r="AQ456" s="277" t="str">
        <f t="array" ref="AQ456">IF(OR(K456="Nhãn", K456="Nhãn thùng",K456="Nhãn Túi"), K456 &amp; " " &amp; IFERROR(XLOOKUP(L456, '2. DATA NL, VTBB'!C:C, '2. DATA NL, VTBB'!E:E), ""), "")</f>
        <v/>
      </c>
      <c r="AR456" s="278" t="str">
        <f t="array" ref="AR456">IFERROR(XLOOKUP(L456,'2. DATA NL, VTBB'!C:C,'2. DATA NL, VTBB'!G:G),"")</f>
        <v>GC - IV - 902 - AU - Sức Mạnh Avermectin (Pet tròn)(nắp trắng)(nước trong) - 450ml - 40</v>
      </c>
      <c r="AS456" s="278" t="str">
        <f t="array" ref="AS456">IFERROR(XLOOKUP(L456,'2. DATA NL, VTBB'!C:C,'2. DATA NL, VTBB'!G:G),"")</f>
        <v>GC - IV - 902 - AU - Sức Mạnh Avermectin (Pet tròn)(nắp trắng)(nước trong) - 450ml - 40</v>
      </c>
      <c r="AT456" s="277"/>
    </row>
    <row r="457" ht="30.75" customHeight="1">
      <c r="A457" s="272">
        <f t="shared" si="44"/>
        <v>454</v>
      </c>
      <c r="B457" s="289">
        <v>46080.0</v>
      </c>
      <c r="C457" s="289">
        <v>46086.0</v>
      </c>
      <c r="D457" s="289">
        <v>46111.0</v>
      </c>
      <c r="E457" s="289">
        <v>46111.0</v>
      </c>
      <c r="F457" s="274" t="s">
        <v>561</v>
      </c>
      <c r="G457" s="275" t="s">
        <v>562</v>
      </c>
      <c r="H457" s="274" t="s">
        <v>304</v>
      </c>
      <c r="I457" s="275" t="s">
        <v>765</v>
      </c>
      <c r="J457" s="272" t="s">
        <v>1130</v>
      </c>
      <c r="K457" s="275" t="s">
        <v>728</v>
      </c>
      <c r="L457" s="277" t="s">
        <v>1131</v>
      </c>
      <c r="M457" s="278" t="str">
        <f t="array" ref="M457">IFERROR(XLOOKUP(L457,'2. DATA NL, VTBB'!C:C,'2. DATA NL, VTBB'!D:D),"")</f>
        <v>Chai HDPE tròn cổ 49 có granty logo ABA 500ml (65gr) - Xanh biển</v>
      </c>
      <c r="N457" s="280"/>
      <c r="O457" s="280" t="str">
        <f t="array" ref="O457">IFERROR( XLOOKUP(L457,'2. DATA NL, VTBB'!C:C,'2. DATA NL, VTBB'!E:E),"")</f>
        <v>HAIHAMEC 3.6EC</v>
      </c>
      <c r="P457" s="277"/>
      <c r="Q457" s="311"/>
      <c r="R457" s="291" t="s">
        <v>573</v>
      </c>
      <c r="S457" s="277"/>
      <c r="T457" s="277"/>
      <c r="U457" s="277"/>
      <c r="V457" s="283">
        <v>2000.0</v>
      </c>
      <c r="W457" s="275" t="s">
        <v>699</v>
      </c>
      <c r="X457" s="283">
        <v>2000.0</v>
      </c>
      <c r="Y457" s="274">
        <v>2000.0</v>
      </c>
      <c r="Z457" s="272">
        <v>3050.0</v>
      </c>
      <c r="AA457" s="285">
        <v>0.08</v>
      </c>
      <c r="AB457" s="282">
        <v>6588000.0</v>
      </c>
      <c r="AC457" s="277"/>
      <c r="AD457" s="289">
        <v>46080.0</v>
      </c>
      <c r="AE457" s="312"/>
      <c r="AF457" s="277"/>
      <c r="AG457" s="277"/>
      <c r="AH457" s="294">
        <f>IFERROR(__xludf.DUMMYFUNCTION("IFERROR(INDEX( SORT(FILTER(
        {'1. DATA CHUNG'!$J$4:$J$105 , '1. DATA CHUNG'!$L$4:$L$105}, (TRIM('1. DATA CHUNG'!$I$4:$I$105)=TRIM(K457)) * IF(COUNTIFS('1. DATA CHUNG'!$I$4:$I$105,K457,'1. DATA CHUNG'!$M$4:$M$105,Q457), '1. DATA CHUNG'!$M$4:$M$105=Q"&amp;"457, 1) * ('1. DATA CHUNG'!$L$4:$L$105&lt;=TODAY()) ),   2, 0),  1, 1), 
  IFERROR( INDEX(FILTER('1. DATA CHUNG'!$J$4:$J$105, (TRIM('1. DATA CHUNG'!$I$4:$I$105)=TRIM(K457)) * IF(COUNTIFS('1. DATA CHUNG'!$I$4:$I$105,K457,'1. DATA CHUNG'!$M$4:$M$105,Q457), '1."&amp;" DATA CHUNG'!$M$4:$M$105=Q457, 1) * ('1. DATA CHUNG'!$L$4:$L$105="""")), 1), ""Không tìm thấy"" ))"),7.0)</f>
        <v>7</v>
      </c>
      <c r="AI457" s="273">
        <f t="shared" si="2"/>
        <v>46087</v>
      </c>
      <c r="AJ457" s="287"/>
      <c r="AK457" s="286">
        <f t="shared" si="3"/>
        <v>0</v>
      </c>
      <c r="AL457" s="287">
        <f t="shared" si="4"/>
        <v>0</v>
      </c>
      <c r="AM457" s="287">
        <f t="shared" si="5"/>
        <v>-24</v>
      </c>
      <c r="AN457" s="279">
        <f t="shared" si="6"/>
        <v>1</v>
      </c>
      <c r="AO457" s="295" t="str">
        <f t="shared" si="7"/>
        <v>02/2026</v>
      </c>
      <c r="AP457" s="277" t="str">
        <f t="array" ref="AP457">IFERROR(XLOOKUP(L457,'2. DATA NL, VTBB'!C:C,'2. DATA NL, VTBB'!F:F),"")</f>
        <v>HH0250</v>
      </c>
      <c r="AQ457" s="277" t="str">
        <f t="array" ref="AQ457">IF(OR(K457="Nhãn", K457="Nhãn thùng",K457="Nhãn Túi"), K457 &amp; " " &amp; IFERROR(XLOOKUP(L457, '2. DATA NL, VTBB'!C:C, '2. DATA NL, VTBB'!E:E), ""), "")</f>
        <v/>
      </c>
      <c r="AR457" s="278" t="str">
        <f t="array" ref="AR457">IFERROR(XLOOKUP(L457,'2. DATA NL, VTBB'!C:C,'2. DATA NL, VTBB'!G:G),"")</f>
        <v>LOT IDA Global - I - 907 - ĐL Nguyễn Đức Minh - Thần Hổ (Pet tròn)(nắp đỏ)(nước nâu đen) - 450ml - 40</v>
      </c>
      <c r="AS457" s="278" t="str">
        <f t="array" ref="AS457">IFERROR(XLOOKUP(L457,'2. DATA NL, VTBB'!C:C,'2. DATA NL, VTBB'!G:G),"")</f>
        <v>LOT IDA Global - I - 907 - ĐL Nguyễn Đức Minh - Thần Hổ (Pet tròn)(nắp đỏ)(nước nâu đen) - 450ml - 40</v>
      </c>
      <c r="AT457" s="277"/>
    </row>
    <row r="458" ht="30.75" customHeight="1">
      <c r="A458" s="272">
        <f t="shared" si="44"/>
        <v>455</v>
      </c>
      <c r="B458" s="289">
        <v>46080.0</v>
      </c>
      <c r="C458" s="289">
        <v>46086.0</v>
      </c>
      <c r="D458" s="289">
        <v>46111.0</v>
      </c>
      <c r="E458" s="289">
        <v>46111.0</v>
      </c>
      <c r="F458" s="274" t="s">
        <v>561</v>
      </c>
      <c r="G458" s="275" t="s">
        <v>562</v>
      </c>
      <c r="H458" s="274" t="s">
        <v>304</v>
      </c>
      <c r="I458" s="275" t="s">
        <v>765</v>
      </c>
      <c r="J458" s="272" t="s">
        <v>1130</v>
      </c>
      <c r="K458" s="275" t="s">
        <v>730</v>
      </c>
      <c r="L458" s="277" t="s">
        <v>1132</v>
      </c>
      <c r="M458" s="278" t="str">
        <f t="array" ref="M458">IFERROR(XLOOKUP(L458,'2. DATA NL, VTBB'!C:C,'2. DATA NL, VTBB'!D:D),"")</f>
        <v>Nắp HDPE có granty cổ 49 500ml (10g) - Xanh biển</v>
      </c>
      <c r="N458" s="280"/>
      <c r="O458" s="280" t="str">
        <f t="array" ref="O458">IFERROR( XLOOKUP(L458,'2. DATA NL, VTBB'!C:C,'2. DATA NL, VTBB'!E:E),"")</f>
        <v>Chitin 3.6EC</v>
      </c>
      <c r="P458" s="277"/>
      <c r="Q458" s="311"/>
      <c r="R458" s="291" t="s">
        <v>573</v>
      </c>
      <c r="S458" s="277"/>
      <c r="T458" s="277"/>
      <c r="U458" s="277"/>
      <c r="V458" s="283">
        <v>2000.0</v>
      </c>
      <c r="W458" s="275" t="s">
        <v>699</v>
      </c>
      <c r="X458" s="283">
        <v>2000.0</v>
      </c>
      <c r="Y458" s="274">
        <v>2000.0</v>
      </c>
      <c r="Z458" s="272">
        <v>600.0</v>
      </c>
      <c r="AA458" s="285">
        <v>0.08</v>
      </c>
      <c r="AB458" s="282">
        <v>1296000.0</v>
      </c>
      <c r="AC458" s="277"/>
      <c r="AD458" s="289">
        <v>46080.0</v>
      </c>
      <c r="AE458" s="312"/>
      <c r="AF458" s="277"/>
      <c r="AG458" s="277"/>
      <c r="AH458" s="294">
        <f>IFERROR(__xludf.DUMMYFUNCTION("IFERROR(INDEX( SORT(FILTER(
        {'1. DATA CHUNG'!$J$4:$J$105 , '1. DATA CHUNG'!$L$4:$L$105}, (TRIM('1. DATA CHUNG'!$I$4:$I$105)=TRIM(K458)) * IF(COUNTIFS('1. DATA CHUNG'!$I$4:$I$105,K458,'1. DATA CHUNG'!$M$4:$M$105,Q458), '1. DATA CHUNG'!$M$4:$M$105=Q"&amp;"458, 1) * ('1. DATA CHUNG'!$L$4:$L$105&lt;=TODAY()) ),   2, 0),  1, 1), 
  IFERROR( INDEX(FILTER('1. DATA CHUNG'!$J$4:$J$105, (TRIM('1. DATA CHUNG'!$I$4:$I$105)=TRIM(K458)) * IF(COUNTIFS('1. DATA CHUNG'!$I$4:$I$105,K458,'1. DATA CHUNG'!$M$4:$M$105,Q458), '1."&amp;" DATA CHUNG'!$M$4:$M$105=Q458, 1) * ('1. DATA CHUNG'!$L$4:$L$105="""")), 1), ""Không tìm thấy"" ))"),7.0)</f>
        <v>7</v>
      </c>
      <c r="AI458" s="273">
        <f t="shared" si="2"/>
        <v>46087</v>
      </c>
      <c r="AJ458" s="287"/>
      <c r="AK458" s="286">
        <f t="shared" si="3"/>
        <v>0</v>
      </c>
      <c r="AL458" s="287">
        <f t="shared" si="4"/>
        <v>0</v>
      </c>
      <c r="AM458" s="287">
        <f t="shared" si="5"/>
        <v>-24</v>
      </c>
      <c r="AN458" s="279">
        <f t="shared" si="6"/>
        <v>1</v>
      </c>
      <c r="AO458" s="295" t="str">
        <f t="shared" si="7"/>
        <v>02/2026</v>
      </c>
      <c r="AP458" s="277" t="str">
        <f t="array" ref="AP458">IFERROR(XLOOKUP(L458,'2. DATA NL, VTBB'!C:C,'2. DATA NL, VTBB'!F:F),"")</f>
        <v>HH0175</v>
      </c>
      <c r="AQ458" s="277" t="str">
        <f t="array" ref="AQ458">IF(OR(K458="Nhãn", K458="Nhãn thùng",K458="Nhãn Túi"), K458 &amp; " " &amp; IFERROR(XLOOKUP(L458, '2. DATA NL, VTBB'!C:C, '2. DATA NL, VTBB'!E:E), ""), "")</f>
        <v/>
      </c>
      <c r="AR458" s="278" t="str">
        <f t="array" ref="AR458">IFERROR(XLOOKUP(L458,'2. DATA NL, VTBB'!C:C,'2. DATA NL, VTBB'!G:G),"")</f>
        <v>LOT IDA Global - I - 908 - ĐL Quốc Thái - Avermectin 36 (Pet vuông) (nắp vàng)(nước nâu đen) - 450ml - 40</v>
      </c>
      <c r="AS458" s="278" t="str">
        <f t="array" ref="AS458">IFERROR(XLOOKUP(L458,'2. DATA NL, VTBB'!C:C,'2. DATA NL, VTBB'!G:G),"")</f>
        <v>LOT IDA Global - I - 908 - ĐL Quốc Thái - Avermectin 36 (Pet vuông) (nắp vàng)(nước nâu đen) - 450ml - 40</v>
      </c>
      <c r="AT458" s="277"/>
    </row>
    <row r="459" ht="30.75" customHeight="1">
      <c r="A459" s="272">
        <f t="shared" si="44"/>
        <v>456</v>
      </c>
      <c r="B459" s="289">
        <v>46080.0</v>
      </c>
      <c r="C459" s="289">
        <v>46087.0</v>
      </c>
      <c r="D459" s="289">
        <v>46111.0</v>
      </c>
      <c r="E459" s="289">
        <v>46111.0</v>
      </c>
      <c r="F459" s="274" t="s">
        <v>561</v>
      </c>
      <c r="G459" s="275" t="s">
        <v>580</v>
      </c>
      <c r="H459" s="274" t="s">
        <v>304</v>
      </c>
      <c r="I459" s="275" t="s">
        <v>744</v>
      </c>
      <c r="J459" s="272" t="s">
        <v>1133</v>
      </c>
      <c r="K459" s="275" t="s">
        <v>728</v>
      </c>
      <c r="L459" s="277" t="s">
        <v>836</v>
      </c>
      <c r="M459" s="278" t="str">
        <f t="array" ref="M459">IFERROR(XLOOKUP(L459,'2. DATA NL, VTBB'!C:C,'2. DATA NL, VTBB'!D:D),"")</f>
        <v>Chai PAPE tròn cổ 43 240,250ml (40gr) logo IDA màu trắng</v>
      </c>
      <c r="N459" s="280"/>
      <c r="O459" s="280" t="str">
        <f t="array" ref="O459">IFERROR( XLOOKUP(L459,'2. DATA NL, VTBB'!C:C,'2. DATA NL, VTBB'!E:E),"")</f>
        <v>Vi lượng AV-CFC
(Dạng rắn)</v>
      </c>
      <c r="P459" s="275" t="s">
        <v>565</v>
      </c>
      <c r="Q459" s="311"/>
      <c r="R459" s="291" t="s">
        <v>573</v>
      </c>
      <c r="S459" s="277"/>
      <c r="T459" s="277"/>
      <c r="U459" s="277"/>
      <c r="V459" s="283">
        <v>4000.0</v>
      </c>
      <c r="W459" s="275" t="s">
        <v>699</v>
      </c>
      <c r="X459" s="283">
        <v>4000.0</v>
      </c>
      <c r="Y459" s="274">
        <v>4000.0</v>
      </c>
      <c r="Z459" s="272">
        <v>4300.0</v>
      </c>
      <c r="AA459" s="285">
        <v>0.08</v>
      </c>
      <c r="AB459" s="282">
        <v>1.8576E7</v>
      </c>
      <c r="AC459" s="277"/>
      <c r="AD459" s="289">
        <v>46080.0</v>
      </c>
      <c r="AE459" s="312"/>
      <c r="AF459" s="277"/>
      <c r="AG459" s="277"/>
      <c r="AH459" s="294">
        <f>IFERROR(__xludf.DUMMYFUNCTION("IFERROR(INDEX( SORT(FILTER(
        {'1. DATA CHUNG'!$J$4:$J$105 , '1. DATA CHUNG'!$L$4:$L$105}, (TRIM('1. DATA CHUNG'!$I$4:$I$105)=TRIM(K459)) * IF(COUNTIFS('1. DATA CHUNG'!$I$4:$I$105,K459,'1. DATA CHUNG'!$M$4:$M$105,Q459), '1. DATA CHUNG'!$M$4:$M$105=Q"&amp;"459, 1) * ('1. DATA CHUNG'!$L$4:$L$105&lt;=TODAY()) ),   2, 0),  1, 1), 
  IFERROR( INDEX(FILTER('1. DATA CHUNG'!$J$4:$J$105, (TRIM('1. DATA CHUNG'!$I$4:$I$105)=TRIM(K459)) * IF(COUNTIFS('1. DATA CHUNG'!$I$4:$I$105,K459,'1. DATA CHUNG'!$M$4:$M$105,Q459), '1."&amp;" DATA CHUNG'!$M$4:$M$105=Q459, 1) * ('1. DATA CHUNG'!$L$4:$L$105="""")), 1), ""Không tìm thấy"" ))"),7.0)</f>
        <v>7</v>
      </c>
      <c r="AI459" s="273">
        <f t="shared" si="2"/>
        <v>46087</v>
      </c>
      <c r="AJ459" s="287"/>
      <c r="AK459" s="286">
        <f t="shared" si="3"/>
        <v>0</v>
      </c>
      <c r="AL459" s="287">
        <f t="shared" si="4"/>
        <v>0</v>
      </c>
      <c r="AM459" s="287">
        <f t="shared" si="5"/>
        <v>-24</v>
      </c>
      <c r="AN459" s="279">
        <f t="shared" si="6"/>
        <v>0</v>
      </c>
      <c r="AO459" s="295" t="str">
        <f t="shared" si="7"/>
        <v>02/2026</v>
      </c>
      <c r="AP459" s="277" t="str">
        <f t="array" ref="AP459">IFERROR(XLOOKUP(L459,'2. DATA NL, VTBB'!C:C,'2. DATA NL, VTBB'!F:F),"")</f>
        <v>HH0028</v>
      </c>
      <c r="AQ459" s="277" t="str">
        <f t="array" ref="AQ459">IF(OR(K459="Nhãn", K459="Nhãn thùng",K459="Nhãn Túi"), K459 &amp; " " &amp; IFERROR(XLOOKUP(L459, '2. DATA NL, VTBB'!C:C, '2. DATA NL, VTBB'!E:E), ""), "")</f>
        <v/>
      </c>
      <c r="AR459" s="278" t="str">
        <f t="array" ref="AR459">IFERROR(XLOOKUP(L459,'2. DATA NL, VTBB'!C:C,'2. DATA NL, VTBB'!G:G),"")</f>
        <v>IDA Global - I - 390.1 - Humi Total (nhãn viền cam) - 1kg - 25</v>
      </c>
      <c r="AS459" s="278" t="str">
        <f t="array" ref="AS459">IFERROR(XLOOKUP(L459,'2. DATA NL, VTBB'!C:C,'2. DATA NL, VTBB'!G:G),"")</f>
        <v>IDA Global - I - 390.1 - Humi Total (nhãn viền cam) - 1kg - 25</v>
      </c>
      <c r="AT459" s="277"/>
    </row>
    <row r="460" ht="30.75" customHeight="1">
      <c r="A460" s="272">
        <f t="shared" si="44"/>
        <v>457</v>
      </c>
      <c r="B460" s="289">
        <v>46080.0</v>
      </c>
      <c r="C460" s="289">
        <v>46087.0</v>
      </c>
      <c r="D460" s="289">
        <v>46111.0</v>
      </c>
      <c r="E460" s="289">
        <v>46111.0</v>
      </c>
      <c r="F460" s="274" t="s">
        <v>561</v>
      </c>
      <c r="G460" s="275" t="s">
        <v>580</v>
      </c>
      <c r="H460" s="274" t="s">
        <v>304</v>
      </c>
      <c r="I460" s="275" t="s">
        <v>744</v>
      </c>
      <c r="J460" s="272" t="s">
        <v>1133</v>
      </c>
      <c r="K460" s="275" t="s">
        <v>730</v>
      </c>
      <c r="L460" s="277" t="s">
        <v>1134</v>
      </c>
      <c r="M460" s="278" t="str">
        <f t="array" ref="M460">IFERROR(XLOOKUP(L460,'2. DATA NL, VTBB'!C:C,'2. DATA NL, VTBB'!D:D),"")</f>
        <v>Nắp PAPE chai 3 lớp logo IDA màu trắng</v>
      </c>
      <c r="N460" s="280"/>
      <c r="O460" s="280" t="str">
        <f t="array" ref="O460">IFERROR( XLOOKUP(L460,'2. DATA NL, VTBB'!C:C,'2. DATA NL, VTBB'!E:E),"")</f>
        <v>Vi lượng Basel IDA 50</v>
      </c>
      <c r="P460" s="275" t="s">
        <v>565</v>
      </c>
      <c r="Q460" s="311"/>
      <c r="R460" s="291" t="s">
        <v>573</v>
      </c>
      <c r="S460" s="277"/>
      <c r="T460" s="277"/>
      <c r="U460" s="277"/>
      <c r="V460" s="283">
        <v>4000.0</v>
      </c>
      <c r="W460" s="275" t="s">
        <v>699</v>
      </c>
      <c r="X460" s="283">
        <v>4000.0</v>
      </c>
      <c r="Y460" s="274">
        <v>4000.0</v>
      </c>
      <c r="Z460" s="272">
        <v>1000.0</v>
      </c>
      <c r="AA460" s="285">
        <v>0.08</v>
      </c>
      <c r="AB460" s="282">
        <v>4320000.0</v>
      </c>
      <c r="AC460" s="277"/>
      <c r="AD460" s="289">
        <v>46080.0</v>
      </c>
      <c r="AE460" s="312"/>
      <c r="AF460" s="277"/>
      <c r="AG460" s="277"/>
      <c r="AH460" s="294">
        <f>IFERROR(__xludf.DUMMYFUNCTION("IFERROR(INDEX( SORT(FILTER(
        {'1. DATA CHUNG'!$J$4:$J$105 , '1. DATA CHUNG'!$L$4:$L$105}, (TRIM('1. DATA CHUNG'!$I$4:$I$105)=TRIM(K460)) * IF(COUNTIFS('1. DATA CHUNG'!$I$4:$I$105,K460,'1. DATA CHUNG'!$M$4:$M$105,Q460), '1. DATA CHUNG'!$M$4:$M$105=Q"&amp;"460, 1) * ('1. DATA CHUNG'!$L$4:$L$105&lt;=TODAY()) ),   2, 0),  1, 1), 
  IFERROR( INDEX(FILTER('1. DATA CHUNG'!$J$4:$J$105, (TRIM('1. DATA CHUNG'!$I$4:$I$105)=TRIM(K460)) * IF(COUNTIFS('1. DATA CHUNG'!$I$4:$I$105,K460,'1. DATA CHUNG'!$M$4:$M$105,Q460), '1."&amp;" DATA CHUNG'!$M$4:$M$105=Q460, 1) * ('1. DATA CHUNG'!$L$4:$L$105="""")), 1), ""Không tìm thấy"" ))"),7.0)</f>
        <v>7</v>
      </c>
      <c r="AI460" s="273">
        <f t="shared" si="2"/>
        <v>46087</v>
      </c>
      <c r="AJ460" s="287"/>
      <c r="AK460" s="286">
        <f t="shared" si="3"/>
        <v>0</v>
      </c>
      <c r="AL460" s="287">
        <f t="shared" si="4"/>
        <v>0</v>
      </c>
      <c r="AM460" s="287">
        <f t="shared" si="5"/>
        <v>-24</v>
      </c>
      <c r="AN460" s="279">
        <f t="shared" si="6"/>
        <v>0</v>
      </c>
      <c r="AO460" s="295" t="str">
        <f t="shared" si="7"/>
        <v>02/2026</v>
      </c>
      <c r="AP460" s="277" t="str">
        <f t="array" ref="AP460">IFERROR(XLOOKUP(L460,'2. DATA NL, VTBB'!C:C,'2. DATA NL, VTBB'!F:F),"")</f>
        <v>HH0031</v>
      </c>
      <c r="AQ460" s="277" t="str">
        <f t="array" ref="AQ460">IF(OR(K460="Nhãn", K460="Nhãn thùng",K460="Nhãn Túi"), K460 &amp; " " &amp; IFERROR(XLOOKUP(L460, '2. DATA NL, VTBB'!C:C, '2. DATA NL, VTBB'!E:E), ""), "")</f>
        <v/>
      </c>
      <c r="AR460" s="278" t="str">
        <f t="array" ref="AR460">IFERROR(XLOOKUP(L460,'2. DATA NL, VTBB'!C:C,'2. DATA NL, VTBB'!G:G),"")</f>
        <v>IDA Global - I - 401.2 - Chito - M55 (drone) (mới)- 500ml - 40</v>
      </c>
      <c r="AS460" s="278" t="str">
        <f t="array" ref="AS460">IFERROR(XLOOKUP(L460,'2. DATA NL, VTBB'!C:C,'2. DATA NL, VTBB'!G:G),"")</f>
        <v>IDA Global - I - 401.2 - Chito - M55 (drone) (mới)- 500ml - 40</v>
      </c>
      <c r="AT460" s="277"/>
    </row>
    <row r="461" ht="30.75" customHeight="1">
      <c r="A461" s="272">
        <f t="shared" si="44"/>
        <v>458</v>
      </c>
      <c r="B461" s="289">
        <v>46080.0</v>
      </c>
      <c r="C461" s="289">
        <v>46087.0</v>
      </c>
      <c r="D461" s="289">
        <v>46111.0</v>
      </c>
      <c r="E461" s="289">
        <v>46111.0</v>
      </c>
      <c r="F461" s="274" t="s">
        <v>561</v>
      </c>
      <c r="G461" s="275" t="s">
        <v>580</v>
      </c>
      <c r="H461" s="274" t="s">
        <v>304</v>
      </c>
      <c r="I461" s="275" t="s">
        <v>744</v>
      </c>
      <c r="J461" s="272" t="s">
        <v>1135</v>
      </c>
      <c r="K461" s="275" t="s">
        <v>728</v>
      </c>
      <c r="L461" s="277" t="s">
        <v>836</v>
      </c>
      <c r="M461" s="278" t="str">
        <f t="array" ref="M461">IFERROR(XLOOKUP(L461,'2. DATA NL, VTBB'!C:C,'2. DATA NL, VTBB'!D:D),"")</f>
        <v>Chai PAPE tròn cổ 43 240,250ml (40gr) logo IDA màu trắng</v>
      </c>
      <c r="N461" s="280"/>
      <c r="O461" s="280" t="str">
        <f t="array" ref="O461">IFERROR( XLOOKUP(L461,'2. DATA NL, VTBB'!C:C,'2. DATA NL, VTBB'!E:E),"")</f>
        <v>Vi lượng AV-CFC
(Dạng rắn)</v>
      </c>
      <c r="P461" s="275" t="s">
        <v>565</v>
      </c>
      <c r="Q461" s="311"/>
      <c r="R461" s="291" t="s">
        <v>584</v>
      </c>
      <c r="S461" s="277"/>
      <c r="T461" s="277"/>
      <c r="U461" s="277"/>
      <c r="V461" s="283">
        <v>6000.0</v>
      </c>
      <c r="W461" s="275" t="s">
        <v>699</v>
      </c>
      <c r="X461" s="283">
        <v>6000.0</v>
      </c>
      <c r="Y461" s="274">
        <v>6000.0</v>
      </c>
      <c r="Z461" s="272">
        <v>4300.0</v>
      </c>
      <c r="AA461" s="285">
        <v>0.08</v>
      </c>
      <c r="AB461" s="282">
        <v>2.7864E7</v>
      </c>
      <c r="AC461" s="277"/>
      <c r="AD461" s="289">
        <v>46080.0</v>
      </c>
      <c r="AE461" s="312"/>
      <c r="AF461" s="277"/>
      <c r="AG461" s="277"/>
      <c r="AH461" s="294">
        <f>IFERROR(__xludf.DUMMYFUNCTION("IFERROR(INDEX( SORT(FILTER(
        {'1. DATA CHUNG'!$J$4:$J$105 , '1. DATA CHUNG'!$L$4:$L$105}, (TRIM('1. DATA CHUNG'!$I$4:$I$105)=TRIM(K461)) * IF(COUNTIFS('1. DATA CHUNG'!$I$4:$I$105,K461,'1. DATA CHUNG'!$M$4:$M$105,Q461), '1. DATA CHUNG'!$M$4:$M$105=Q"&amp;"461, 1) * ('1. DATA CHUNG'!$L$4:$L$105&lt;=TODAY()) ),   2, 0),  1, 1), 
  IFERROR( INDEX(FILTER('1. DATA CHUNG'!$J$4:$J$105, (TRIM('1. DATA CHUNG'!$I$4:$I$105)=TRIM(K461)) * IF(COUNTIFS('1. DATA CHUNG'!$I$4:$I$105,K461,'1. DATA CHUNG'!$M$4:$M$105,Q461), '1."&amp;" DATA CHUNG'!$M$4:$M$105=Q461, 1) * ('1. DATA CHUNG'!$L$4:$L$105="""")), 1), ""Không tìm thấy"" ))"),7.0)</f>
        <v>7</v>
      </c>
      <c r="AI461" s="273">
        <f t="shared" si="2"/>
        <v>46087</v>
      </c>
      <c r="AJ461" s="287"/>
      <c r="AK461" s="286">
        <f t="shared" si="3"/>
        <v>0</v>
      </c>
      <c r="AL461" s="287">
        <f t="shared" si="4"/>
        <v>0</v>
      </c>
      <c r="AM461" s="287">
        <f t="shared" si="5"/>
        <v>-24</v>
      </c>
      <c r="AN461" s="279">
        <f t="shared" si="6"/>
        <v>0</v>
      </c>
      <c r="AO461" s="295" t="str">
        <f t="shared" si="7"/>
        <v>02/2026</v>
      </c>
      <c r="AP461" s="277" t="str">
        <f t="array" ref="AP461">IFERROR(XLOOKUP(L461,'2. DATA NL, VTBB'!C:C,'2. DATA NL, VTBB'!F:F),"")</f>
        <v>HH0028</v>
      </c>
      <c r="AQ461" s="277" t="str">
        <f t="array" ref="AQ461">IF(OR(K461="Nhãn", K461="Nhãn thùng",K461="Nhãn Túi"), K461 &amp; " " &amp; IFERROR(XLOOKUP(L461, '2. DATA NL, VTBB'!C:C, '2. DATA NL, VTBB'!E:E), ""), "")</f>
        <v/>
      </c>
      <c r="AR461" s="278" t="str">
        <f t="array" ref="AR461">IFERROR(XLOOKUP(L461,'2. DATA NL, VTBB'!C:C,'2. DATA NL, VTBB'!G:G),"")</f>
        <v>IDA Global - I - 390.1 - Humi Total (nhãn viền cam) - 1kg - 25</v>
      </c>
      <c r="AS461" s="278" t="str">
        <f t="array" ref="AS461">IFERROR(XLOOKUP(L461,'2. DATA NL, VTBB'!C:C,'2. DATA NL, VTBB'!G:G),"")</f>
        <v>IDA Global - I - 390.1 - Humi Total (nhãn viền cam) - 1kg - 25</v>
      </c>
      <c r="AT461" s="277"/>
    </row>
    <row r="462" ht="30.75" customHeight="1">
      <c r="A462" s="272">
        <f t="shared" si="44"/>
        <v>459</v>
      </c>
      <c r="B462" s="289">
        <v>46080.0</v>
      </c>
      <c r="C462" s="289">
        <v>46087.0</v>
      </c>
      <c r="D462" s="289">
        <v>46111.0</v>
      </c>
      <c r="E462" s="289">
        <v>46111.0</v>
      </c>
      <c r="F462" s="274" t="s">
        <v>561</v>
      </c>
      <c r="G462" s="275" t="s">
        <v>580</v>
      </c>
      <c r="H462" s="274" t="s">
        <v>304</v>
      </c>
      <c r="I462" s="275" t="s">
        <v>744</v>
      </c>
      <c r="J462" s="272" t="s">
        <v>1135</v>
      </c>
      <c r="K462" s="275" t="s">
        <v>730</v>
      </c>
      <c r="L462" s="277" t="s">
        <v>1134</v>
      </c>
      <c r="M462" s="278" t="str">
        <f t="array" ref="M462">IFERROR(XLOOKUP(L462,'2. DATA NL, VTBB'!C:C,'2. DATA NL, VTBB'!D:D),"")</f>
        <v>Nắp PAPE chai 3 lớp logo IDA màu trắng</v>
      </c>
      <c r="N462" s="280"/>
      <c r="O462" s="280" t="str">
        <f t="array" ref="O462">IFERROR( XLOOKUP(L462,'2. DATA NL, VTBB'!C:C,'2. DATA NL, VTBB'!E:E),"")</f>
        <v>Vi lượng Basel IDA 50</v>
      </c>
      <c r="P462" s="275" t="s">
        <v>565</v>
      </c>
      <c r="Q462" s="311"/>
      <c r="R462" s="291" t="s">
        <v>584</v>
      </c>
      <c r="S462" s="277"/>
      <c r="T462" s="277"/>
      <c r="U462" s="277"/>
      <c r="V462" s="283">
        <v>6000.0</v>
      </c>
      <c r="W462" s="275" t="s">
        <v>699</v>
      </c>
      <c r="X462" s="283">
        <v>6000.0</v>
      </c>
      <c r="Y462" s="274">
        <v>6000.0</v>
      </c>
      <c r="Z462" s="272">
        <v>1000.0</v>
      </c>
      <c r="AA462" s="285">
        <v>0.08</v>
      </c>
      <c r="AB462" s="282">
        <v>6480000.0</v>
      </c>
      <c r="AC462" s="277"/>
      <c r="AD462" s="289">
        <v>46080.0</v>
      </c>
      <c r="AE462" s="312"/>
      <c r="AF462" s="277"/>
      <c r="AG462" s="277"/>
      <c r="AH462" s="294">
        <f>IFERROR(__xludf.DUMMYFUNCTION("IFERROR(INDEX( SORT(FILTER(
        {'1. DATA CHUNG'!$J$4:$J$105 , '1. DATA CHUNG'!$L$4:$L$105}, (TRIM('1. DATA CHUNG'!$I$4:$I$105)=TRIM(K462)) * IF(COUNTIFS('1. DATA CHUNG'!$I$4:$I$105,K462,'1. DATA CHUNG'!$M$4:$M$105,Q462), '1. DATA CHUNG'!$M$4:$M$105=Q"&amp;"462, 1) * ('1. DATA CHUNG'!$L$4:$L$105&lt;=TODAY()) ),   2, 0),  1, 1), 
  IFERROR( INDEX(FILTER('1. DATA CHUNG'!$J$4:$J$105, (TRIM('1. DATA CHUNG'!$I$4:$I$105)=TRIM(K462)) * IF(COUNTIFS('1. DATA CHUNG'!$I$4:$I$105,K462,'1. DATA CHUNG'!$M$4:$M$105,Q462), '1."&amp;" DATA CHUNG'!$M$4:$M$105=Q462, 1) * ('1. DATA CHUNG'!$L$4:$L$105="""")), 1), ""Không tìm thấy"" ))"),7.0)</f>
        <v>7</v>
      </c>
      <c r="AI462" s="273">
        <f t="shared" si="2"/>
        <v>46087</v>
      </c>
      <c r="AJ462" s="287"/>
      <c r="AK462" s="286">
        <f t="shared" si="3"/>
        <v>0</v>
      </c>
      <c r="AL462" s="287">
        <f t="shared" si="4"/>
        <v>0</v>
      </c>
      <c r="AM462" s="287">
        <f t="shared" si="5"/>
        <v>-24</v>
      </c>
      <c r="AN462" s="279">
        <f t="shared" si="6"/>
        <v>0</v>
      </c>
      <c r="AO462" s="295" t="str">
        <f t="shared" si="7"/>
        <v>02/2026</v>
      </c>
      <c r="AP462" s="277" t="str">
        <f t="array" ref="AP462">IFERROR(XLOOKUP(L462,'2. DATA NL, VTBB'!C:C,'2. DATA NL, VTBB'!F:F),"")</f>
        <v>HH0031</v>
      </c>
      <c r="AQ462" s="277" t="str">
        <f t="array" ref="AQ462">IF(OR(K462="Nhãn", K462="Nhãn thùng",K462="Nhãn Túi"), K462 &amp; " " &amp; IFERROR(XLOOKUP(L462, '2. DATA NL, VTBB'!C:C, '2. DATA NL, VTBB'!E:E), ""), "")</f>
        <v/>
      </c>
      <c r="AR462" s="278" t="str">
        <f t="array" ref="AR462">IFERROR(XLOOKUP(L462,'2. DATA NL, VTBB'!C:C,'2. DATA NL, VTBB'!G:G),"")</f>
        <v>IDA Global - I - 401.2 - Chito - M55 (drone) (mới)- 500ml - 40</v>
      </c>
      <c r="AS462" s="278" t="str">
        <f t="array" ref="AS462">IFERROR(XLOOKUP(L462,'2. DATA NL, VTBB'!C:C,'2. DATA NL, VTBB'!G:G),"")</f>
        <v>IDA Global - I - 401.2 - Chito - M55 (drone) (mới)- 500ml - 40</v>
      </c>
      <c r="AT462" s="277"/>
    </row>
    <row r="463" ht="30.75" customHeight="1">
      <c r="A463" s="272">
        <f t="shared" si="44"/>
        <v>460</v>
      </c>
      <c r="B463" s="289">
        <v>46080.0</v>
      </c>
      <c r="C463" s="289">
        <v>46087.0</v>
      </c>
      <c r="D463" s="289">
        <v>46111.0</v>
      </c>
      <c r="E463" s="289">
        <v>46111.0</v>
      </c>
      <c r="F463" s="274" t="s">
        <v>561</v>
      </c>
      <c r="G463" s="275" t="s">
        <v>562</v>
      </c>
      <c r="H463" s="274" t="s">
        <v>304</v>
      </c>
      <c r="I463" s="275" t="s">
        <v>305</v>
      </c>
      <c r="J463" s="272" t="s">
        <v>1136</v>
      </c>
      <c r="K463" s="275" t="s">
        <v>301</v>
      </c>
      <c r="L463" s="277" t="s">
        <v>1137</v>
      </c>
      <c r="M463" s="278" t="str">
        <f t="array" ref="M463">IFERROR(XLOOKUP(L463,'2. DATA NL, VTBB'!C:C,'2. DATA NL, VTBB'!D:D),"")</f>
        <v>Thùng BETA chai HD có hộp 500ml x 30 chai (47x39.5x22cm) - Trắng viền cam</v>
      </c>
      <c r="N463" s="280"/>
      <c r="O463" s="280" t="str">
        <f t="array" ref="O463">IFERROR( XLOOKUP(L463,'2. DATA NL, VTBB'!C:C,'2. DATA NL, VTBB'!E:E),"")</f>
        <v>TOPNATI 281EW</v>
      </c>
      <c r="P463" s="275" t="s">
        <v>672</v>
      </c>
      <c r="Q463" s="311"/>
      <c r="R463" s="290" t="s">
        <v>566</v>
      </c>
      <c r="S463" s="277"/>
      <c r="T463" s="277"/>
      <c r="U463" s="277"/>
      <c r="V463" s="283">
        <v>200.0</v>
      </c>
      <c r="W463" s="275" t="s">
        <v>699</v>
      </c>
      <c r="X463" s="283">
        <v>200.0</v>
      </c>
      <c r="Y463" s="274">
        <v>200.0</v>
      </c>
      <c r="Z463" s="272">
        <v>20700.0</v>
      </c>
      <c r="AA463" s="285">
        <v>0.08</v>
      </c>
      <c r="AB463" s="282">
        <v>4471200.0</v>
      </c>
      <c r="AC463" s="277"/>
      <c r="AD463" s="289">
        <v>46080.0</v>
      </c>
      <c r="AE463" s="312"/>
      <c r="AF463" s="277"/>
      <c r="AG463" s="277"/>
      <c r="AH463" s="294">
        <f>IFERROR(__xludf.DUMMYFUNCTION("IFERROR(INDEX( SORT(FILTER(
        {'1. DATA CHUNG'!$J$4:$J$105 , '1. DATA CHUNG'!$L$4:$L$105}, (TRIM('1. DATA CHUNG'!$I$4:$I$105)=TRIM(K463)) * IF(COUNTIFS('1. DATA CHUNG'!$I$4:$I$105,K463,'1. DATA CHUNG'!$M$4:$M$105,Q463), '1. DATA CHUNG'!$M$4:$M$105=Q"&amp;"463, 1) * ('1. DATA CHUNG'!$L$4:$L$105&lt;=TODAY()) ),   2, 0),  1, 1), 
  IFERROR( INDEX(FILTER('1. DATA CHUNG'!$J$4:$J$105, (TRIM('1. DATA CHUNG'!$I$4:$I$105)=TRIM(K463)) * IF(COUNTIFS('1. DATA CHUNG'!$I$4:$I$105,K463,'1. DATA CHUNG'!$M$4:$M$105,Q463), '1."&amp;" DATA CHUNG'!$M$4:$M$105=Q463, 1) * ('1. DATA CHUNG'!$L$4:$L$105="""")), 1), ""Không tìm thấy"" ))"),18.0)</f>
        <v>18</v>
      </c>
      <c r="AI463" s="273">
        <f t="shared" si="2"/>
        <v>46098</v>
      </c>
      <c r="AJ463" s="287"/>
      <c r="AK463" s="286">
        <f t="shared" si="3"/>
        <v>0</v>
      </c>
      <c r="AL463" s="287">
        <f t="shared" si="4"/>
        <v>0</v>
      </c>
      <c r="AM463" s="287">
        <f t="shared" si="5"/>
        <v>-13</v>
      </c>
      <c r="AN463" s="279">
        <f t="shared" si="6"/>
        <v>11</v>
      </c>
      <c r="AO463" s="295" t="str">
        <f t="shared" si="7"/>
        <v>02/2026</v>
      </c>
      <c r="AP463" s="277" t="str">
        <f t="array" ref="AP463">IFERROR(XLOOKUP(L463,'2. DATA NL, VTBB'!C:C,'2. DATA NL, VTBB'!F:F),"")</f>
        <v>HH0222</v>
      </c>
      <c r="AQ463" s="277" t="str">
        <f t="array" ref="AQ463">IF(OR(K463="Nhãn", K463="Nhãn thùng",K463="Nhãn Túi"), K463 &amp; " " &amp; IFERROR(XLOOKUP(L463, '2. DATA NL, VTBB'!C:C, '2. DATA NL, VTBB'!E:E), ""), "")</f>
        <v/>
      </c>
      <c r="AR463" s="278" t="str">
        <f t="array" ref="AR463">IFERROR(XLOOKUP(L463,'2. DATA NL, VTBB'!C:C,'2. DATA NL, VTBB'!G:G),"")</f>
        <v>GC - II - 635 - AGC NEW- Nati 281EW (chai PET tròn)- 240ml - 40</v>
      </c>
      <c r="AS463" s="278" t="str">
        <f t="array" ref="AS463">IFERROR(XLOOKUP(L463,'2. DATA NL, VTBB'!C:C,'2. DATA NL, VTBB'!G:G),"")</f>
        <v>GC - II - 635 - AGC NEW- Nati 281EW (chai PET tròn)- 240ml - 40</v>
      </c>
      <c r="AT463" s="277"/>
    </row>
    <row r="464" ht="30.75" customHeight="1">
      <c r="A464" s="272">
        <f t="shared" si="44"/>
        <v>461</v>
      </c>
      <c r="B464" s="289">
        <v>46080.0</v>
      </c>
      <c r="C464" s="289">
        <v>46087.0</v>
      </c>
      <c r="D464" s="289">
        <v>46111.0</v>
      </c>
      <c r="E464" s="289">
        <v>46111.0</v>
      </c>
      <c r="F464" s="274" t="s">
        <v>561</v>
      </c>
      <c r="G464" s="275" t="s">
        <v>562</v>
      </c>
      <c r="H464" s="274" t="s">
        <v>304</v>
      </c>
      <c r="I464" s="275" t="s">
        <v>305</v>
      </c>
      <c r="J464" s="272" t="s">
        <v>1136</v>
      </c>
      <c r="K464" s="275" t="s">
        <v>301</v>
      </c>
      <c r="L464" s="277" t="s">
        <v>712</v>
      </c>
      <c r="M464" s="278" t="str">
        <f t="array" ref="M464">IFERROR(XLOOKUP(L464,'2. DATA NL, VTBB'!C:C,'2. DATA NL, VTBB'!D:D),"")</f>
        <v>Thùng Shino chai HDPE 500ml x 30 chai (45.5x38x21cm) - Trắng nâu</v>
      </c>
      <c r="N464" s="280"/>
      <c r="O464" s="280" t="str">
        <f t="array" ref="O464">IFERROR( XLOOKUP(L464,'2. DATA NL, VTBB'!C:C,'2. DATA NL, VTBB'!E:E),"")</f>
        <v>CHIM ƯNG 3.8EC</v>
      </c>
      <c r="P464" s="275" t="s">
        <v>672</v>
      </c>
      <c r="Q464" s="311"/>
      <c r="R464" s="290" t="s">
        <v>566</v>
      </c>
      <c r="S464" s="277"/>
      <c r="T464" s="277"/>
      <c r="U464" s="277"/>
      <c r="V464" s="283">
        <v>200.0</v>
      </c>
      <c r="W464" s="275" t="s">
        <v>699</v>
      </c>
      <c r="X464" s="283">
        <v>200.0</v>
      </c>
      <c r="Y464" s="274">
        <v>200.0</v>
      </c>
      <c r="Z464" s="272">
        <v>20500.0</v>
      </c>
      <c r="AA464" s="285">
        <v>0.08</v>
      </c>
      <c r="AB464" s="282">
        <v>4428000.0</v>
      </c>
      <c r="AC464" s="277"/>
      <c r="AD464" s="289">
        <v>46080.0</v>
      </c>
      <c r="AE464" s="312"/>
      <c r="AF464" s="277"/>
      <c r="AG464" s="277"/>
      <c r="AH464" s="294">
        <f>IFERROR(__xludf.DUMMYFUNCTION("IFERROR(INDEX( SORT(FILTER(
        {'1. DATA CHUNG'!$J$4:$J$105 , '1. DATA CHUNG'!$L$4:$L$105}, (TRIM('1. DATA CHUNG'!$I$4:$I$105)=TRIM(K464)) * IF(COUNTIFS('1. DATA CHUNG'!$I$4:$I$105,K464,'1. DATA CHUNG'!$M$4:$M$105,Q464), '1. DATA CHUNG'!$M$4:$M$105=Q"&amp;"464, 1) * ('1. DATA CHUNG'!$L$4:$L$105&lt;=TODAY()) ),   2, 0),  1, 1), 
  IFERROR( INDEX(FILTER('1. DATA CHUNG'!$J$4:$J$105, (TRIM('1. DATA CHUNG'!$I$4:$I$105)=TRIM(K464)) * IF(COUNTIFS('1. DATA CHUNG'!$I$4:$I$105,K464,'1. DATA CHUNG'!$M$4:$M$105,Q464), '1."&amp;" DATA CHUNG'!$M$4:$M$105=Q464, 1) * ('1. DATA CHUNG'!$L$4:$L$105="""")), 1), ""Không tìm thấy"" ))"),18.0)</f>
        <v>18</v>
      </c>
      <c r="AI464" s="273">
        <f t="shared" si="2"/>
        <v>46098</v>
      </c>
      <c r="AJ464" s="287"/>
      <c r="AK464" s="286">
        <f t="shared" si="3"/>
        <v>0</v>
      </c>
      <c r="AL464" s="287">
        <f t="shared" si="4"/>
        <v>0</v>
      </c>
      <c r="AM464" s="287">
        <f t="shared" si="5"/>
        <v>-13</v>
      </c>
      <c r="AN464" s="279">
        <f t="shared" si="6"/>
        <v>11</v>
      </c>
      <c r="AO464" s="295" t="str">
        <f t="shared" si="7"/>
        <v>02/2026</v>
      </c>
      <c r="AP464" s="277" t="str">
        <f t="array" ref="AP464">IFERROR(XLOOKUP(L464,'2. DATA NL, VTBB'!C:C,'2. DATA NL, VTBB'!F:F),"")</f>
        <v>HH0206</v>
      </c>
      <c r="AQ464" s="277" t="str">
        <f t="array" ref="AQ464">IF(OR(K464="Nhãn", K464="Nhãn thùng",K464="Nhãn Túi"), K464 &amp; " " &amp; IFERROR(XLOOKUP(L464, '2. DATA NL, VTBB'!C:C, '2. DATA NL, VTBB'!E:E), ""), "")</f>
        <v/>
      </c>
      <c r="AR464" s="278" t="str">
        <f t="array" ref="AR464">IFERROR(XLOOKUP(L464,'2. DATA NL, VTBB'!C:C,'2. DATA NL, VTBB'!G:G),"")</f>
        <v>GC - II - 618 - AGC NEW - Leafroll (chai nhôm đỏ) - 240ml - 40</v>
      </c>
      <c r="AS464" s="278" t="str">
        <f t="array" ref="AS464">IFERROR(XLOOKUP(L464,'2. DATA NL, VTBB'!C:C,'2. DATA NL, VTBB'!G:G),"")</f>
        <v>GC - II - 618 - AGC NEW - Leafroll (chai nhôm đỏ) - 240ml - 40</v>
      </c>
      <c r="AT464" s="277"/>
    </row>
    <row r="465" ht="30.75" customHeight="1">
      <c r="A465" s="272">
        <f t="shared" si="44"/>
        <v>462</v>
      </c>
      <c r="B465" s="289">
        <v>46080.0</v>
      </c>
      <c r="C465" s="289">
        <v>46087.0</v>
      </c>
      <c r="D465" s="289">
        <v>46087.0</v>
      </c>
      <c r="E465" s="289">
        <v>46111.0</v>
      </c>
      <c r="F465" s="274" t="s">
        <v>561</v>
      </c>
      <c r="G465" s="275" t="s">
        <v>562</v>
      </c>
      <c r="H465" s="274" t="s">
        <v>304</v>
      </c>
      <c r="I465" s="275" t="s">
        <v>937</v>
      </c>
      <c r="J465" s="272" t="s">
        <v>1138</v>
      </c>
      <c r="K465" s="275" t="s">
        <v>728</v>
      </c>
      <c r="L465" s="277" t="s">
        <v>939</v>
      </c>
      <c r="M465" s="278" t="str">
        <f t="array" ref="M465">IFERROR(XLOOKUP(L465,'2. DATA NL, VTBB'!C:C,'2. DATA NL, VTBB'!D:D),"")</f>
        <v>Chai PET tròn cổ 28 100ml Trong - Nắp đen (20gr)</v>
      </c>
      <c r="N465" s="280"/>
      <c r="O465" s="280" t="str">
        <f t="array" ref="O465">IFERROR( XLOOKUP(L465,'2. DATA NL, VTBB'!C:C,'2. DATA NL, VTBB'!E:E),"")</f>
        <v>Chitin 3.6EC</v>
      </c>
      <c r="P465" s="275"/>
      <c r="Q465" s="311"/>
      <c r="R465" s="290" t="s">
        <v>566</v>
      </c>
      <c r="S465" s="277"/>
      <c r="T465" s="277"/>
      <c r="U465" s="277"/>
      <c r="V465" s="283">
        <v>10000.0</v>
      </c>
      <c r="W465" s="275" t="s">
        <v>699</v>
      </c>
      <c r="X465" s="283">
        <v>10000.0</v>
      </c>
      <c r="Y465" s="274">
        <v>10000.0</v>
      </c>
      <c r="Z465" s="272">
        <v>1200.0</v>
      </c>
      <c r="AA465" s="285">
        <v>0.08</v>
      </c>
      <c r="AB465" s="282">
        <v>1.296E7</v>
      </c>
      <c r="AC465" s="277"/>
      <c r="AD465" s="289">
        <v>46080.0</v>
      </c>
      <c r="AE465" s="312"/>
      <c r="AF465" s="277"/>
      <c r="AG465" s="277"/>
      <c r="AH465" s="294">
        <f>IFERROR(__xludf.DUMMYFUNCTION("IFERROR(INDEX( SORT(FILTER(
        {'1. DATA CHUNG'!$J$4:$J$105 , '1. DATA CHUNG'!$L$4:$L$105}, (TRIM('1. DATA CHUNG'!$I$4:$I$105)=TRIM(K465)) * IF(COUNTIFS('1. DATA CHUNG'!$I$4:$I$105,K465,'1. DATA CHUNG'!$M$4:$M$105,Q465), '1. DATA CHUNG'!$M$4:$M$105=Q"&amp;"465, 1) * ('1. DATA CHUNG'!$L$4:$L$105&lt;=TODAY()) ),   2, 0),  1, 1), 
  IFERROR( INDEX(FILTER('1. DATA CHUNG'!$J$4:$J$105, (TRIM('1. DATA CHUNG'!$I$4:$I$105)=TRIM(K465)) * IF(COUNTIFS('1. DATA CHUNG'!$I$4:$I$105,K465,'1. DATA CHUNG'!$M$4:$M$105,Q465), '1."&amp;" DATA CHUNG'!$M$4:$M$105=Q465, 1) * ('1. DATA CHUNG'!$L$4:$L$105="""")), 1), ""Không tìm thấy"" ))"),7.0)</f>
        <v>7</v>
      </c>
      <c r="AI465" s="273">
        <f t="shared" si="2"/>
        <v>46087</v>
      </c>
      <c r="AJ465" s="287"/>
      <c r="AK465" s="286">
        <f t="shared" si="3"/>
        <v>0</v>
      </c>
      <c r="AL465" s="287">
        <f t="shared" si="4"/>
        <v>-24</v>
      </c>
      <c r="AM465" s="287">
        <f t="shared" si="5"/>
        <v>-24</v>
      </c>
      <c r="AN465" s="279">
        <f t="shared" si="6"/>
        <v>0</v>
      </c>
      <c r="AO465" s="295" t="str">
        <f t="shared" si="7"/>
        <v>02/2026</v>
      </c>
      <c r="AP465" s="277" t="str">
        <f t="array" ref="AP465">IFERROR(XLOOKUP(L465,'2. DATA NL, VTBB'!C:C,'2. DATA NL, VTBB'!F:F),"")</f>
        <v>HH0214</v>
      </c>
      <c r="AQ465" s="277" t="str">
        <f t="array" ref="AQ465">IF(OR(K465="Nhãn", K465="Nhãn thùng",K465="Nhãn Túi"), K465 &amp; " " &amp; IFERROR(XLOOKUP(L465, '2. DATA NL, VTBB'!C:C, '2. DATA NL, VTBB'!E:E), ""), "")</f>
        <v/>
      </c>
      <c r="AR465" s="278" t="str">
        <f t="array" ref="AR465">IFERROR(XLOOKUP(L465,'2. DATA NL, VTBB'!C:C,'2. DATA NL, VTBB'!G:G),"")</f>
        <v>LOT IDA Global - I - 842 - ĐL Hồng Lời - Avermectin 36 (Pet tròn) (nắp vàng)(nước nâu đen) - 450ml - 40</v>
      </c>
      <c r="AS465" s="278" t="str">
        <f t="array" ref="AS465">IFERROR(XLOOKUP(L465,'2. DATA NL, VTBB'!C:C,'2. DATA NL, VTBB'!G:G),"")</f>
        <v>LOT IDA Global - I - 842 - ĐL Hồng Lời - Avermectin 36 (Pet tròn) (nắp vàng)(nước nâu đen) - 450ml - 40</v>
      </c>
      <c r="AT465" s="277"/>
    </row>
    <row r="466" ht="30.75" customHeight="1">
      <c r="A466" s="272">
        <f t="shared" si="44"/>
        <v>463</v>
      </c>
      <c r="B466" s="289">
        <v>46080.0</v>
      </c>
      <c r="C466" s="289">
        <v>46093.0</v>
      </c>
      <c r="D466" s="289">
        <v>46111.0</v>
      </c>
      <c r="E466" s="289">
        <v>46111.0</v>
      </c>
      <c r="F466" s="274" t="s">
        <v>561</v>
      </c>
      <c r="G466" s="275" t="s">
        <v>562</v>
      </c>
      <c r="H466" s="274" t="s">
        <v>304</v>
      </c>
      <c r="I466" s="275" t="s">
        <v>305</v>
      </c>
      <c r="J466" s="272" t="s">
        <v>1139</v>
      </c>
      <c r="K466" s="275" t="s">
        <v>301</v>
      </c>
      <c r="L466" s="277" t="s">
        <v>1137</v>
      </c>
      <c r="M466" s="278" t="str">
        <f t="array" ref="M466">IFERROR(XLOOKUP(L466,'2. DATA NL, VTBB'!C:C,'2. DATA NL, VTBB'!D:D),"")</f>
        <v>Thùng BETA chai HD có hộp 500ml x 30 chai (47x39.5x22cm) - Trắng viền cam</v>
      </c>
      <c r="N466" s="280"/>
      <c r="O466" s="280" t="str">
        <f t="array" ref="O466">IFERROR( XLOOKUP(L466,'2. DATA NL, VTBB'!C:C,'2. DATA NL, VTBB'!E:E),"")</f>
        <v>TOPNATI 281EW</v>
      </c>
      <c r="P466" s="275" t="s">
        <v>672</v>
      </c>
      <c r="Q466" s="311"/>
      <c r="R466" s="290" t="s">
        <v>566</v>
      </c>
      <c r="S466" s="277"/>
      <c r="T466" s="277"/>
      <c r="U466" s="277"/>
      <c r="V466" s="283">
        <v>200.0</v>
      </c>
      <c r="W466" s="275" t="s">
        <v>699</v>
      </c>
      <c r="X466" s="283">
        <v>200.0</v>
      </c>
      <c r="Y466" s="274">
        <v>200.0</v>
      </c>
      <c r="Z466" s="272">
        <v>20700.0</v>
      </c>
      <c r="AA466" s="285">
        <v>0.08</v>
      </c>
      <c r="AB466" s="282">
        <v>4471200.0</v>
      </c>
      <c r="AC466" s="277"/>
      <c r="AD466" s="289">
        <v>46080.0</v>
      </c>
      <c r="AE466" s="312"/>
      <c r="AF466" s="277"/>
      <c r="AG466" s="277"/>
      <c r="AH466" s="294">
        <f>IFERROR(__xludf.DUMMYFUNCTION("IFERROR(INDEX( SORT(FILTER(
        {'1. DATA CHUNG'!$J$4:$J$105 , '1. DATA CHUNG'!$L$4:$L$105}, (TRIM('1. DATA CHUNG'!$I$4:$I$105)=TRIM(K466)) * IF(COUNTIFS('1. DATA CHUNG'!$I$4:$I$105,K466,'1. DATA CHUNG'!$M$4:$M$105,Q466), '1. DATA CHUNG'!$M$4:$M$105=Q"&amp;"466, 1) * ('1. DATA CHUNG'!$L$4:$L$105&lt;=TODAY()) ),   2, 0),  1, 1), 
  IFERROR( INDEX(FILTER('1. DATA CHUNG'!$J$4:$J$105, (TRIM('1. DATA CHUNG'!$I$4:$I$105)=TRIM(K466)) * IF(COUNTIFS('1. DATA CHUNG'!$I$4:$I$105,K466,'1. DATA CHUNG'!$M$4:$M$105,Q466), '1."&amp;" DATA CHUNG'!$M$4:$M$105=Q466, 1) * ('1. DATA CHUNG'!$L$4:$L$105="""")), 1), ""Không tìm thấy"" ))"),18.0)</f>
        <v>18</v>
      </c>
      <c r="AI466" s="273">
        <f t="shared" si="2"/>
        <v>46098</v>
      </c>
      <c r="AJ466" s="287"/>
      <c r="AK466" s="286">
        <f t="shared" si="3"/>
        <v>0</v>
      </c>
      <c r="AL466" s="287">
        <f t="shared" si="4"/>
        <v>0</v>
      </c>
      <c r="AM466" s="287">
        <f t="shared" si="5"/>
        <v>-13</v>
      </c>
      <c r="AN466" s="279">
        <f t="shared" si="6"/>
        <v>5</v>
      </c>
      <c r="AO466" s="295" t="str">
        <f t="shared" si="7"/>
        <v>02/2026</v>
      </c>
      <c r="AP466" s="277" t="str">
        <f t="array" ref="AP466">IFERROR(XLOOKUP(L466,'2. DATA NL, VTBB'!C:C,'2. DATA NL, VTBB'!F:F),"")</f>
        <v>HH0222</v>
      </c>
      <c r="AQ466" s="277" t="str">
        <f t="array" ref="AQ466">IF(OR(K466="Nhãn", K466="Nhãn thùng",K466="Nhãn Túi"), K466 &amp; " " &amp; IFERROR(XLOOKUP(L466, '2. DATA NL, VTBB'!C:C, '2. DATA NL, VTBB'!E:E), ""), "")</f>
        <v/>
      </c>
      <c r="AR466" s="278" t="str">
        <f t="array" ref="AR466">IFERROR(XLOOKUP(L466,'2. DATA NL, VTBB'!C:C,'2. DATA NL, VTBB'!G:G),"")</f>
        <v>GC - II - 635 - AGC NEW- Nati 281EW (chai PET tròn)- 240ml - 40</v>
      </c>
      <c r="AS466" s="278" t="str">
        <f t="array" ref="AS466">IFERROR(XLOOKUP(L466,'2. DATA NL, VTBB'!C:C,'2. DATA NL, VTBB'!G:G),"")</f>
        <v>GC - II - 635 - AGC NEW- Nati 281EW (chai PET tròn)- 240ml - 40</v>
      </c>
      <c r="AT466" s="277"/>
    </row>
    <row r="467" ht="30.75" customHeight="1">
      <c r="A467" s="341"/>
      <c r="B467" s="342"/>
      <c r="C467" s="342"/>
      <c r="D467" s="343"/>
      <c r="E467" s="343"/>
      <c r="F467" s="344"/>
      <c r="G467" s="341"/>
      <c r="H467" s="344"/>
      <c r="I467" s="345"/>
      <c r="J467" s="341"/>
      <c r="K467" s="346"/>
      <c r="L467" s="341"/>
      <c r="M467" s="347"/>
      <c r="N467" s="348"/>
      <c r="O467" s="348"/>
      <c r="P467" s="349"/>
      <c r="Q467" s="350"/>
      <c r="R467" s="351"/>
      <c r="S467" s="352"/>
      <c r="T467" s="352"/>
      <c r="U467" s="352"/>
      <c r="V467" s="353"/>
      <c r="W467" s="341"/>
      <c r="X467" s="353"/>
      <c r="Y467" s="341"/>
      <c r="Z467" s="341"/>
      <c r="AA467" s="354"/>
      <c r="AB467" s="355"/>
      <c r="AC467" s="352"/>
      <c r="AD467" s="350"/>
      <c r="AE467" s="341"/>
      <c r="AF467" s="352"/>
      <c r="AG467" s="352"/>
      <c r="AH467" s="356"/>
      <c r="AI467" s="273" t="str">
        <f t="shared" si="2"/>
        <v/>
      </c>
      <c r="AJ467" s="287"/>
      <c r="AK467" s="286">
        <f t="shared" si="3"/>
        <v>0</v>
      </c>
      <c r="AL467" s="287" t="str">
        <f t="shared" si="4"/>
        <v/>
      </c>
      <c r="AM467" s="287" t="str">
        <f t="shared" si="5"/>
        <v/>
      </c>
      <c r="AN467" s="279" t="str">
        <f t="shared" si="6"/>
        <v/>
      </c>
      <c r="AO467" s="357"/>
      <c r="AP467" s="352"/>
      <c r="AQ467" s="352"/>
      <c r="AR467" s="278"/>
      <c r="AS467" s="278"/>
      <c r="AT467" s="352"/>
    </row>
    <row r="468" ht="30.75" customHeight="1">
      <c r="A468" s="272">
        <f>ROW(A466)-2</f>
        <v>464</v>
      </c>
      <c r="B468" s="289">
        <v>46083.0</v>
      </c>
      <c r="C468" s="289">
        <v>46093.0</v>
      </c>
      <c r="D468" s="289">
        <v>46111.0</v>
      </c>
      <c r="E468" s="289">
        <v>46111.0</v>
      </c>
      <c r="F468" s="274" t="s">
        <v>561</v>
      </c>
      <c r="G468" s="275" t="s">
        <v>562</v>
      </c>
      <c r="H468" s="274" t="s">
        <v>304</v>
      </c>
      <c r="I468" s="275" t="s">
        <v>305</v>
      </c>
      <c r="J468" s="272" t="s">
        <v>1140</v>
      </c>
      <c r="K468" s="275" t="s">
        <v>301</v>
      </c>
      <c r="L468" s="277" t="s">
        <v>710</v>
      </c>
      <c r="M468" s="278" t="str">
        <f t="array" ref="M468">IFERROR(XLOOKUP(L468,'2. DATA NL, VTBB'!C:C,'2. DATA NL, VTBB'!D:D),"")</f>
        <v>Thùng chung chai tròn cao 500ml x 40 chai (55.5x35x21.5cm) - Trắng</v>
      </c>
      <c r="N468" s="280"/>
      <c r="O468" s="280" t="str">
        <f t="array" ref="O468">IFERROR( XLOOKUP(L468,'2. DATA NL, VTBB'!C:C,'2. DATA NL, VTBB'!E:E),"")</f>
        <v>TVZEB 800WP</v>
      </c>
      <c r="P468" s="275" t="s">
        <v>672</v>
      </c>
      <c r="Q468" s="311"/>
      <c r="R468" s="291" t="s">
        <v>622</v>
      </c>
      <c r="S468" s="277"/>
      <c r="T468" s="277"/>
      <c r="U468" s="277"/>
      <c r="V468" s="283">
        <v>200.0</v>
      </c>
      <c r="W468" s="275" t="s">
        <v>699</v>
      </c>
      <c r="X468" s="283">
        <v>200.0</v>
      </c>
      <c r="Y468" s="274">
        <v>200.0</v>
      </c>
      <c r="Z468" s="272">
        <v>19800.0</v>
      </c>
      <c r="AA468" s="285">
        <v>0.08</v>
      </c>
      <c r="AB468" s="282">
        <v>4276800.0</v>
      </c>
      <c r="AC468" s="277"/>
      <c r="AD468" s="289">
        <v>46083.0</v>
      </c>
      <c r="AE468" s="312"/>
      <c r="AF468" s="277"/>
      <c r="AG468" s="277"/>
      <c r="AH468" s="294">
        <f>IFERROR(__xludf.DUMMYFUNCTION("IFERROR(INDEX( SORT(FILTER(
        {'1. DATA CHUNG'!$J$4:$J$105 , '1. DATA CHUNG'!$L$4:$L$105}, (TRIM('1. DATA CHUNG'!$I$4:$I$105)=TRIM(K468)) * IF(COUNTIFS('1. DATA CHUNG'!$I$4:$I$105,K468,'1. DATA CHUNG'!$M$4:$M$105,Q468), '1. DATA CHUNG'!$M$4:$M$105=Q"&amp;"468, 1) * ('1. DATA CHUNG'!$L$4:$L$105&lt;=TODAY()) ),   2, 0),  1, 1), 
  IFERROR( INDEX(FILTER('1. DATA CHUNG'!$J$4:$J$105, (TRIM('1. DATA CHUNG'!$I$4:$I$105)=TRIM(K468)) * IF(COUNTIFS('1. DATA CHUNG'!$I$4:$I$105,K468,'1. DATA CHUNG'!$M$4:$M$105,Q468), '1."&amp;" DATA CHUNG'!$M$4:$M$105=Q468, 1) * ('1. DATA CHUNG'!$L$4:$L$105="""")), 1), ""Không tìm thấy"" ))"),18.0)</f>
        <v>18</v>
      </c>
      <c r="AI468" s="273">
        <f t="shared" si="2"/>
        <v>46101</v>
      </c>
      <c r="AJ468" s="287"/>
      <c r="AK468" s="286">
        <f t="shared" si="3"/>
        <v>0</v>
      </c>
      <c r="AL468" s="287">
        <f t="shared" si="4"/>
        <v>0</v>
      </c>
      <c r="AM468" s="287">
        <f t="shared" si="5"/>
        <v>-10</v>
      </c>
      <c r="AN468" s="279">
        <f t="shared" si="6"/>
        <v>8</v>
      </c>
      <c r="AO468" s="295" t="str">
        <f t="shared" ref="AO468:AO482" si="70">IF(B468="", "", TEXT(B468, "mm/yyyy"))</f>
        <v>03/2026</v>
      </c>
      <c r="AP468" s="277" t="str">
        <f t="array" ref="AP468">IFERROR(XLOOKUP(L468,'2. DATA NL, VTBB'!C:C,'2. DATA NL, VTBB'!F:F),"")</f>
        <v>HH0091</v>
      </c>
      <c r="AQ468" s="277" t="str">
        <f t="array" ref="AQ468">IF(OR(K468="Nhãn", K468="Nhãn thùng",K468="Nhãn Túi"), K468 &amp; " " &amp; IFERROR(XLOOKUP(L468, '2. DATA NL, VTBB'!C:C, '2. DATA NL, VTBB'!E:E), ""), "")</f>
        <v/>
      </c>
      <c r="AR468" s="278" t="str">
        <f t="array" ref="AR468">IFERROR(XLOOKUP(L468,'2. DATA NL, VTBB'!C:C,'2. DATA NL, VTBB'!G:G),"")</f>
        <v>GC - I - 449 - Thiên Di - Mancozeb Xanh (Nhãn xanh Dương) - 1kg - 20</v>
      </c>
      <c r="AS468" s="278" t="str">
        <f t="array" ref="AS468">IFERROR(XLOOKUP(L468,'2. DATA NL, VTBB'!C:C,'2. DATA NL, VTBB'!G:G),"")</f>
        <v>GC - I - 449 - Thiên Di - Mancozeb Xanh (Nhãn xanh Dương) - 1kg - 20</v>
      </c>
      <c r="AT468" s="277"/>
    </row>
    <row r="469" ht="30.75" customHeight="1">
      <c r="A469" s="272">
        <f t="shared" ref="A469:A482" si="71">ROW(A468)-2</f>
        <v>466</v>
      </c>
      <c r="B469" s="289">
        <v>46083.0</v>
      </c>
      <c r="C469" s="289">
        <v>46093.0</v>
      </c>
      <c r="D469" s="289">
        <v>46111.0</v>
      </c>
      <c r="E469" s="289">
        <v>46111.0</v>
      </c>
      <c r="F469" s="274" t="s">
        <v>561</v>
      </c>
      <c r="G469" s="275" t="s">
        <v>562</v>
      </c>
      <c r="H469" s="274" t="s">
        <v>304</v>
      </c>
      <c r="I469" s="275" t="s">
        <v>305</v>
      </c>
      <c r="J469" s="272" t="s">
        <v>1141</v>
      </c>
      <c r="K469" s="275" t="s">
        <v>301</v>
      </c>
      <c r="L469" s="277" t="s">
        <v>616</v>
      </c>
      <c r="M469" s="278" t="str">
        <f t="array" ref="M469">IFERROR(XLOOKUP(L469,'2. DATA NL, VTBB'!C:C,'2. DATA NL, VTBB'!D:D),"")</f>
        <v>Thùng Chai HD 500ml x 40 chai (60x38x20cm) - Thùng Trắng viền đen</v>
      </c>
      <c r="N469" s="280"/>
      <c r="O469" s="280" t="str">
        <f t="array" ref="O469">IFERROR( XLOOKUP(L469,'2. DATA NL, VTBB'!C:C,'2. DATA NL, VTBB'!E:E),"")</f>
        <v>Pim.Pim 75WP</v>
      </c>
      <c r="P469" s="275" t="s">
        <v>565</v>
      </c>
      <c r="Q469" s="311"/>
      <c r="R469" s="290" t="s">
        <v>566</v>
      </c>
      <c r="S469" s="277"/>
      <c r="T469" s="277"/>
      <c r="U469" s="277"/>
      <c r="V469" s="283">
        <v>300.0</v>
      </c>
      <c r="W469" s="275" t="s">
        <v>699</v>
      </c>
      <c r="X469" s="283">
        <v>300.0</v>
      </c>
      <c r="Y469" s="274">
        <v>300.0</v>
      </c>
      <c r="Z469" s="272">
        <v>21500.0</v>
      </c>
      <c r="AA469" s="285">
        <v>0.08</v>
      </c>
      <c r="AB469" s="282">
        <v>6966000.0</v>
      </c>
      <c r="AC469" s="277"/>
      <c r="AD469" s="289">
        <v>46083.0</v>
      </c>
      <c r="AE469" s="312"/>
      <c r="AF469" s="277"/>
      <c r="AG469" s="277"/>
      <c r="AH469" s="294">
        <f>IFERROR(__xludf.DUMMYFUNCTION("IFERROR(INDEX( SORT(FILTER(
        {'1. DATA CHUNG'!$J$4:$J$105 , '1. DATA CHUNG'!$L$4:$L$105}, (TRIM('1. DATA CHUNG'!$I$4:$I$105)=TRIM(K469)) * IF(COUNTIFS('1. DATA CHUNG'!$I$4:$I$105,K469,'1. DATA CHUNG'!$M$4:$M$105,Q469), '1. DATA CHUNG'!$M$4:$M$105=Q"&amp;"469, 1) * ('1. DATA CHUNG'!$L$4:$L$105&lt;=TODAY()) ),   2, 0),  1, 1), 
  IFERROR( INDEX(FILTER('1. DATA CHUNG'!$J$4:$J$105, (TRIM('1. DATA CHUNG'!$I$4:$I$105)=TRIM(K469)) * IF(COUNTIFS('1. DATA CHUNG'!$I$4:$I$105,K469,'1. DATA CHUNG'!$M$4:$M$105,Q469), '1."&amp;" DATA CHUNG'!$M$4:$M$105=Q469, 1) * ('1. DATA CHUNG'!$L$4:$L$105="""")), 1), ""Không tìm thấy"" ))"),18.0)</f>
        <v>18</v>
      </c>
      <c r="AI469" s="273">
        <f t="shared" si="2"/>
        <v>46101</v>
      </c>
      <c r="AJ469" s="287"/>
      <c r="AK469" s="286">
        <f t="shared" si="3"/>
        <v>0</v>
      </c>
      <c r="AL469" s="287">
        <f t="shared" si="4"/>
        <v>0</v>
      </c>
      <c r="AM469" s="287">
        <f t="shared" si="5"/>
        <v>-10</v>
      </c>
      <c r="AN469" s="279">
        <f t="shared" si="6"/>
        <v>8</v>
      </c>
      <c r="AO469" s="295" t="str">
        <f t="shared" si="70"/>
        <v>03/2026</v>
      </c>
      <c r="AP469" s="277" t="str">
        <f t="array" ref="AP469">IFERROR(XLOOKUP(L469,'2. DATA NL, VTBB'!C:C,'2. DATA NL, VTBB'!F:F),"")</f>
        <v>HH0146</v>
      </c>
      <c r="AQ469" s="277" t="str">
        <f t="array" ref="AQ469">IF(OR(K469="Nhãn", K469="Nhãn thùng",K469="Nhãn Túi"), K469 &amp; " " &amp; IFERROR(XLOOKUP(L469, '2. DATA NL, VTBB'!C:C, '2. DATA NL, VTBB'!E:E), ""), "")</f>
        <v/>
      </c>
      <c r="AR469" s="278" t="str">
        <f t="array" ref="AR469">IFERROR(XLOOKUP(L469,'2. DATA NL, VTBB'!C:C,'2. DATA NL, VTBB'!G:G),"")</f>
        <v>IDA Global - I - 530.2 - Sức mạnh Tricyclazole - New 35gr - 300</v>
      </c>
      <c r="AS469" s="278" t="str">
        <f t="array" ref="AS469">IFERROR(XLOOKUP(L469,'2. DATA NL, VTBB'!C:C,'2. DATA NL, VTBB'!G:G),"")</f>
        <v>IDA Global - I - 530.2 - Sức mạnh Tricyclazole - New 35gr - 300</v>
      </c>
      <c r="AT469" s="277"/>
    </row>
    <row r="470" ht="30.75" customHeight="1">
      <c r="A470" s="272">
        <f t="shared" si="71"/>
        <v>467</v>
      </c>
      <c r="B470" s="289">
        <v>46083.0</v>
      </c>
      <c r="C470" s="289">
        <v>46086.0</v>
      </c>
      <c r="D470" s="289">
        <v>46111.0</v>
      </c>
      <c r="E470" s="289">
        <v>46111.0</v>
      </c>
      <c r="F470" s="274" t="s">
        <v>561</v>
      </c>
      <c r="G470" s="275" t="s">
        <v>562</v>
      </c>
      <c r="H470" s="274" t="s">
        <v>304</v>
      </c>
      <c r="I470" s="275" t="s">
        <v>945</v>
      </c>
      <c r="J470" s="272" t="s">
        <v>1142</v>
      </c>
      <c r="K470" s="275" t="s">
        <v>728</v>
      </c>
      <c r="L470" s="277" t="s">
        <v>947</v>
      </c>
      <c r="M470" s="278" t="str">
        <f t="array" ref="M470">IFERROR(XLOOKUP(L470,'2. DATA NL, VTBB'!C:C,'2. DATA NL, VTBB'!D:D),"")</f>
        <v>Chai HDPE tròn cổ 50 500ml (60gr) - trắng - HG08</v>
      </c>
      <c r="N470" s="280"/>
      <c r="O470" s="280" t="str">
        <f t="array" ref="O470">IFERROR( XLOOKUP(L470,'2. DATA NL, VTBB'!C:C,'2. DATA NL, VTBB'!E:E),"")</f>
        <v>Vi lượng AV-CFC
(Dạng rắn)</v>
      </c>
      <c r="P470" s="275" t="s">
        <v>672</v>
      </c>
      <c r="Q470" s="311"/>
      <c r="R470" s="290" t="s">
        <v>566</v>
      </c>
      <c r="S470" s="277"/>
      <c r="T470" s="277"/>
      <c r="U470" s="277"/>
      <c r="V470" s="283">
        <v>2000.0</v>
      </c>
      <c r="W470" s="275" t="s">
        <v>699</v>
      </c>
      <c r="X470" s="283">
        <v>2000.0</v>
      </c>
      <c r="Y470" s="274">
        <v>1944.0</v>
      </c>
      <c r="Z470" s="272">
        <v>3477.0</v>
      </c>
      <c r="AA470" s="285">
        <v>0.08</v>
      </c>
      <c r="AB470" s="282">
        <v>7300031.0</v>
      </c>
      <c r="AC470" s="277"/>
      <c r="AD470" s="289">
        <v>46083.0</v>
      </c>
      <c r="AE470" s="312"/>
      <c r="AF470" s="277"/>
      <c r="AG470" s="277"/>
      <c r="AH470" s="294">
        <f>IFERROR(__xludf.DUMMYFUNCTION("IFERROR(INDEX( SORT(FILTER(
        {'1. DATA CHUNG'!$J$4:$J$105 , '1. DATA CHUNG'!$L$4:$L$105}, (TRIM('1. DATA CHUNG'!$I$4:$I$105)=TRIM(K470)) * IF(COUNTIFS('1. DATA CHUNG'!$I$4:$I$105,K470,'1. DATA CHUNG'!$M$4:$M$105,Q470), '1. DATA CHUNG'!$M$4:$M$105=Q"&amp;"470, 1) * ('1. DATA CHUNG'!$L$4:$L$105&lt;=TODAY()) ),   2, 0),  1, 1), 
  IFERROR( INDEX(FILTER('1. DATA CHUNG'!$J$4:$J$105, (TRIM('1. DATA CHUNG'!$I$4:$I$105)=TRIM(K470)) * IF(COUNTIFS('1. DATA CHUNG'!$I$4:$I$105,K470,'1. DATA CHUNG'!$M$4:$M$105,Q470), '1."&amp;" DATA CHUNG'!$M$4:$M$105=Q470, 1) * ('1. DATA CHUNG'!$L$4:$L$105="""")), 1), ""Không tìm thấy"" ))"),7.0)</f>
        <v>7</v>
      </c>
      <c r="AI470" s="273">
        <f t="shared" si="2"/>
        <v>46090</v>
      </c>
      <c r="AJ470" s="287"/>
      <c r="AK470" s="286">
        <f t="shared" si="3"/>
        <v>0</v>
      </c>
      <c r="AL470" s="287">
        <f t="shared" si="4"/>
        <v>0</v>
      </c>
      <c r="AM470" s="287">
        <f t="shared" si="5"/>
        <v>-21</v>
      </c>
      <c r="AN470" s="279">
        <f t="shared" si="6"/>
        <v>4</v>
      </c>
      <c r="AO470" s="295" t="str">
        <f t="shared" si="70"/>
        <v>03/2026</v>
      </c>
      <c r="AP470" s="277" t="str">
        <f t="array" ref="AP470">IFERROR(XLOOKUP(L470,'2. DATA NL, VTBB'!C:C,'2. DATA NL, VTBB'!F:F),"")</f>
        <v>HH0023</v>
      </c>
      <c r="AQ470" s="277" t="str">
        <f t="array" ref="AQ470">IF(OR(K470="Nhãn", K470="Nhãn thùng",K470="Nhãn Túi"), K470 &amp; " " &amp; IFERROR(XLOOKUP(L470, '2. DATA NL, VTBB'!C:C, '2. DATA NL, VTBB'!E:E), ""), "")</f>
        <v/>
      </c>
      <c r="AR470" s="278" t="str">
        <f t="array" ref="AR470">IFERROR(XLOOKUP(L470,'2. DATA NL, VTBB'!C:C,'2. DATA NL, VTBB'!G:G),"")</f>
        <v>GC - II - 358 - Hoàng Thảo - HumiK - 1kg - 25</v>
      </c>
      <c r="AS470" s="278" t="str">
        <f t="array" ref="AS470">IFERROR(XLOOKUP(L470,'2. DATA NL, VTBB'!C:C,'2. DATA NL, VTBB'!G:G),"")</f>
        <v>GC - II - 358 - Hoàng Thảo - HumiK - 1kg - 25</v>
      </c>
      <c r="AT470" s="277"/>
    </row>
    <row r="471" ht="30.75" customHeight="1">
      <c r="A471" s="272">
        <f t="shared" si="71"/>
        <v>468</v>
      </c>
      <c r="B471" s="289">
        <v>46083.0</v>
      </c>
      <c r="C471" s="289">
        <v>46086.0</v>
      </c>
      <c r="D471" s="289">
        <v>46111.0</v>
      </c>
      <c r="E471" s="289">
        <v>46111.0</v>
      </c>
      <c r="F471" s="274" t="s">
        <v>561</v>
      </c>
      <c r="G471" s="275" t="s">
        <v>562</v>
      </c>
      <c r="H471" s="274" t="s">
        <v>304</v>
      </c>
      <c r="I471" s="275" t="s">
        <v>945</v>
      </c>
      <c r="J471" s="272" t="s">
        <v>1142</v>
      </c>
      <c r="K471" s="275" t="s">
        <v>730</v>
      </c>
      <c r="L471" s="277" t="s">
        <v>1143</v>
      </c>
      <c r="M471" s="278" t="str">
        <f t="array" ref="M471">IFERROR(XLOOKUP(L471,'2. DATA NL, VTBB'!C:C,'2. DATA NL, VTBB'!D:D),"")</f>
        <v>Nắp HDPE cổ 50 gruratee (10gr) - Xanh lá đậm</v>
      </c>
      <c r="N471" s="280"/>
      <c r="O471" s="280" t="str">
        <f t="array" ref="O471">IFERROR( XLOOKUP(L471,'2. DATA NL, VTBB'!C:C,'2. DATA NL, VTBB'!E:E),"")</f>
        <v>Chitin 3.6EC</v>
      </c>
      <c r="P471" s="275" t="s">
        <v>672</v>
      </c>
      <c r="Q471" s="311"/>
      <c r="R471" s="290" t="s">
        <v>566</v>
      </c>
      <c r="S471" s="277"/>
      <c r="T471" s="277"/>
      <c r="U471" s="277"/>
      <c r="V471" s="283">
        <v>2000.0</v>
      </c>
      <c r="W471" s="275" t="s">
        <v>699</v>
      </c>
      <c r="X471" s="283">
        <v>2000.0</v>
      </c>
      <c r="Y471" s="274">
        <v>1944.0</v>
      </c>
      <c r="Z471" s="272">
        <v>623.0</v>
      </c>
      <c r="AA471" s="285">
        <v>0.08</v>
      </c>
      <c r="AB471" s="282">
        <v>1308001.0</v>
      </c>
      <c r="AC471" s="277"/>
      <c r="AD471" s="289">
        <v>46083.0</v>
      </c>
      <c r="AE471" s="312"/>
      <c r="AF471" s="277"/>
      <c r="AG471" s="277"/>
      <c r="AH471" s="294">
        <f>IFERROR(__xludf.DUMMYFUNCTION("IFERROR(INDEX( SORT(FILTER(
        {'1. DATA CHUNG'!$J$4:$J$105 , '1. DATA CHUNG'!$L$4:$L$105}, (TRIM('1. DATA CHUNG'!$I$4:$I$105)=TRIM(K471)) * IF(COUNTIFS('1. DATA CHUNG'!$I$4:$I$105,K471,'1. DATA CHUNG'!$M$4:$M$105,Q471), '1. DATA CHUNG'!$M$4:$M$105=Q"&amp;"471, 1) * ('1. DATA CHUNG'!$L$4:$L$105&lt;=TODAY()) ),   2, 0),  1, 1), 
  IFERROR( INDEX(FILTER('1. DATA CHUNG'!$J$4:$J$105, (TRIM('1. DATA CHUNG'!$I$4:$I$105)=TRIM(K471)) * IF(COUNTIFS('1. DATA CHUNG'!$I$4:$I$105,K471,'1. DATA CHUNG'!$M$4:$M$105,Q471), '1."&amp;" DATA CHUNG'!$M$4:$M$105=Q471, 1) * ('1. DATA CHUNG'!$L$4:$L$105="""")), 1), ""Không tìm thấy"" ))"),7.0)</f>
        <v>7</v>
      </c>
      <c r="AI471" s="273">
        <f t="shared" si="2"/>
        <v>46090</v>
      </c>
      <c r="AJ471" s="287"/>
      <c r="AK471" s="286">
        <f t="shared" si="3"/>
        <v>0</v>
      </c>
      <c r="AL471" s="287">
        <f t="shared" si="4"/>
        <v>0</v>
      </c>
      <c r="AM471" s="287">
        <f t="shared" si="5"/>
        <v>-21</v>
      </c>
      <c r="AN471" s="279">
        <f t="shared" si="6"/>
        <v>4</v>
      </c>
      <c r="AO471" s="295" t="str">
        <f t="shared" si="70"/>
        <v>03/2026</v>
      </c>
      <c r="AP471" s="277" t="str">
        <f t="array" ref="AP471">IFERROR(XLOOKUP(L471,'2. DATA NL, VTBB'!C:C,'2. DATA NL, VTBB'!F:F),"")</f>
        <v>HH0176</v>
      </c>
      <c r="AQ471" s="277" t="str">
        <f t="array" ref="AQ471">IF(OR(K471="Nhãn", K471="Nhãn thùng",K471="Nhãn Túi"), K471 &amp; " " &amp; IFERROR(XLOOKUP(L471, '2. DATA NL, VTBB'!C:C, '2. DATA NL, VTBB'!E:E), ""), "")</f>
        <v/>
      </c>
      <c r="AR471" s="278" t="str">
        <f t="array" ref="AR471">IFERROR(XLOOKUP(L471,'2. DATA NL, VTBB'!C:C,'2. DATA NL, VTBB'!G:G),"")</f>
        <v>LOT IDA Global - I - 908 - ĐL Quốc Thái - Avermectin 36 (Pet vuông) (nắp vàng)(nước nâu đen) - 450ml - 40</v>
      </c>
      <c r="AS471" s="278" t="str">
        <f t="array" ref="AS471">IFERROR(XLOOKUP(L471,'2. DATA NL, VTBB'!C:C,'2. DATA NL, VTBB'!G:G),"")</f>
        <v>LOT IDA Global - I - 908 - ĐL Quốc Thái - Avermectin 36 (Pet vuông) (nắp vàng)(nước nâu đen) - 450ml - 40</v>
      </c>
      <c r="AT471" s="277"/>
    </row>
    <row r="472" ht="30.75" customHeight="1">
      <c r="A472" s="272">
        <f t="shared" si="71"/>
        <v>469</v>
      </c>
      <c r="B472" s="289">
        <v>46083.0</v>
      </c>
      <c r="C472" s="289">
        <v>46086.0</v>
      </c>
      <c r="D472" s="289">
        <v>46111.0</v>
      </c>
      <c r="E472" s="289">
        <v>46111.0</v>
      </c>
      <c r="F472" s="274" t="s">
        <v>561</v>
      </c>
      <c r="G472" s="275" t="s">
        <v>562</v>
      </c>
      <c r="H472" s="274" t="s">
        <v>304</v>
      </c>
      <c r="I472" s="275" t="s">
        <v>945</v>
      </c>
      <c r="J472" s="272" t="s">
        <v>1142</v>
      </c>
      <c r="K472" s="275" t="s">
        <v>728</v>
      </c>
      <c r="L472" s="277" t="s">
        <v>947</v>
      </c>
      <c r="M472" s="278" t="str">
        <f t="array" ref="M472">IFERROR(XLOOKUP(L472,'2. DATA NL, VTBB'!C:C,'2. DATA NL, VTBB'!D:D),"")</f>
        <v>Chai HDPE tròn cổ 50 500ml (60gr) - trắng - HG08</v>
      </c>
      <c r="N472" s="280"/>
      <c r="O472" s="280" t="str">
        <f t="array" ref="O472">IFERROR( XLOOKUP(L472,'2. DATA NL, VTBB'!C:C,'2. DATA NL, VTBB'!E:E),"")</f>
        <v>Vi lượng AV-CFC
(Dạng rắn)</v>
      </c>
      <c r="P472" s="275" t="s">
        <v>672</v>
      </c>
      <c r="Q472" s="311"/>
      <c r="R472" s="290" t="s">
        <v>566</v>
      </c>
      <c r="S472" s="277"/>
      <c r="T472" s="277"/>
      <c r="U472" s="277"/>
      <c r="V472" s="283">
        <v>2000.0</v>
      </c>
      <c r="W472" s="275" t="s">
        <v>699</v>
      </c>
      <c r="X472" s="283">
        <v>2000.0</v>
      </c>
      <c r="Y472" s="274">
        <v>2106.0</v>
      </c>
      <c r="Z472" s="272">
        <v>3477.0</v>
      </c>
      <c r="AA472" s="285">
        <v>0.08</v>
      </c>
      <c r="AB472" s="282">
        <v>7908367.0</v>
      </c>
      <c r="AC472" s="277"/>
      <c r="AD472" s="289">
        <v>46083.0</v>
      </c>
      <c r="AE472" s="312"/>
      <c r="AF472" s="277"/>
      <c r="AG472" s="277"/>
      <c r="AH472" s="294">
        <f>IFERROR(__xludf.DUMMYFUNCTION("IFERROR(INDEX( SORT(FILTER(
        {'1. DATA CHUNG'!$J$4:$J$105 , '1. DATA CHUNG'!$L$4:$L$105}, (TRIM('1. DATA CHUNG'!$I$4:$I$105)=TRIM(K472)) * IF(COUNTIFS('1. DATA CHUNG'!$I$4:$I$105,K472,'1. DATA CHUNG'!$M$4:$M$105,Q472), '1. DATA CHUNG'!$M$4:$M$105=Q"&amp;"472, 1) * ('1. DATA CHUNG'!$L$4:$L$105&lt;=TODAY()) ),   2, 0),  1, 1), 
  IFERROR( INDEX(FILTER('1. DATA CHUNG'!$J$4:$J$105, (TRIM('1. DATA CHUNG'!$I$4:$I$105)=TRIM(K472)) * IF(COUNTIFS('1. DATA CHUNG'!$I$4:$I$105,K472,'1. DATA CHUNG'!$M$4:$M$105,Q472), '1."&amp;" DATA CHUNG'!$M$4:$M$105=Q472, 1) * ('1. DATA CHUNG'!$L$4:$L$105="""")), 1), ""Không tìm thấy"" ))"),7.0)</f>
        <v>7</v>
      </c>
      <c r="AI472" s="273">
        <f t="shared" si="2"/>
        <v>46090</v>
      </c>
      <c r="AJ472" s="287"/>
      <c r="AK472" s="286">
        <f t="shared" si="3"/>
        <v>0</v>
      </c>
      <c r="AL472" s="287">
        <f t="shared" si="4"/>
        <v>0</v>
      </c>
      <c r="AM472" s="287">
        <f t="shared" si="5"/>
        <v>-21</v>
      </c>
      <c r="AN472" s="279">
        <f t="shared" si="6"/>
        <v>4</v>
      </c>
      <c r="AO472" s="295" t="str">
        <f t="shared" si="70"/>
        <v>03/2026</v>
      </c>
      <c r="AP472" s="277" t="str">
        <f t="array" ref="AP472">IFERROR(XLOOKUP(L472,'2. DATA NL, VTBB'!C:C,'2. DATA NL, VTBB'!F:F),"")</f>
        <v>HH0023</v>
      </c>
      <c r="AQ472" s="277" t="str">
        <f t="array" ref="AQ472">IF(OR(K472="Nhãn", K472="Nhãn thùng",K472="Nhãn Túi"), K472 &amp; " " &amp; IFERROR(XLOOKUP(L472, '2. DATA NL, VTBB'!C:C, '2. DATA NL, VTBB'!E:E), ""), "")</f>
        <v/>
      </c>
      <c r="AR472" s="278" t="str">
        <f t="array" ref="AR472">IFERROR(XLOOKUP(L472,'2. DATA NL, VTBB'!C:C,'2. DATA NL, VTBB'!G:G),"")</f>
        <v>GC - II - 358 - Hoàng Thảo - HumiK - 1kg - 25</v>
      </c>
      <c r="AS472" s="278" t="str">
        <f t="array" ref="AS472">IFERROR(XLOOKUP(L472,'2. DATA NL, VTBB'!C:C,'2. DATA NL, VTBB'!G:G),"")</f>
        <v>GC - II - 358 - Hoàng Thảo - HumiK - 1kg - 25</v>
      </c>
      <c r="AT472" s="277"/>
    </row>
    <row r="473" ht="30.75" customHeight="1">
      <c r="A473" s="272">
        <f t="shared" si="71"/>
        <v>470</v>
      </c>
      <c r="B473" s="289">
        <v>46083.0</v>
      </c>
      <c r="C473" s="289">
        <v>46086.0</v>
      </c>
      <c r="D473" s="289">
        <v>46111.0</v>
      </c>
      <c r="E473" s="289">
        <v>46111.0</v>
      </c>
      <c r="F473" s="274" t="s">
        <v>561</v>
      </c>
      <c r="G473" s="275" t="s">
        <v>562</v>
      </c>
      <c r="H473" s="274" t="s">
        <v>304</v>
      </c>
      <c r="I473" s="275" t="s">
        <v>945</v>
      </c>
      <c r="J473" s="272" t="s">
        <v>1142</v>
      </c>
      <c r="K473" s="275" t="s">
        <v>730</v>
      </c>
      <c r="L473" s="277" t="s">
        <v>948</v>
      </c>
      <c r="M473" s="278" t="str">
        <f t="array" ref="M473">IFERROR(XLOOKUP(L473,'2. DATA NL, VTBB'!C:C,'2. DATA NL, VTBB'!D:D),"")</f>
        <v>Nắp HD cổ 50 (10gr) trắng</v>
      </c>
      <c r="N473" s="280"/>
      <c r="O473" s="280" t="str">
        <f t="array" ref="O473">IFERROR( XLOOKUP(L473,'2. DATA NL, VTBB'!C:C,'2. DATA NL, VTBB'!E:E),"")</f>
        <v>Vi lượng Basel DANA 20</v>
      </c>
      <c r="P473" s="275" t="s">
        <v>672</v>
      </c>
      <c r="Q473" s="311"/>
      <c r="R473" s="290" t="s">
        <v>566</v>
      </c>
      <c r="S473" s="277"/>
      <c r="T473" s="277"/>
      <c r="U473" s="277"/>
      <c r="V473" s="283">
        <v>2000.0</v>
      </c>
      <c r="W473" s="275" t="s">
        <v>699</v>
      </c>
      <c r="X473" s="283">
        <v>2000.0</v>
      </c>
      <c r="Y473" s="274">
        <v>2106.0</v>
      </c>
      <c r="Z473" s="272">
        <v>623.0</v>
      </c>
      <c r="AA473" s="285">
        <v>0.08</v>
      </c>
      <c r="AB473" s="282">
        <v>1417001.0</v>
      </c>
      <c r="AC473" s="277"/>
      <c r="AD473" s="289">
        <v>46083.0</v>
      </c>
      <c r="AE473" s="312"/>
      <c r="AF473" s="277"/>
      <c r="AG473" s="277"/>
      <c r="AH473" s="294">
        <f>IFERROR(__xludf.DUMMYFUNCTION("IFERROR(INDEX( SORT(FILTER(
        {'1. DATA CHUNG'!$J$4:$J$105 , '1. DATA CHUNG'!$L$4:$L$105}, (TRIM('1. DATA CHUNG'!$I$4:$I$105)=TRIM(K473)) * IF(COUNTIFS('1. DATA CHUNG'!$I$4:$I$105,K473,'1. DATA CHUNG'!$M$4:$M$105,Q473), '1. DATA CHUNG'!$M$4:$M$105=Q"&amp;"473, 1) * ('1. DATA CHUNG'!$L$4:$L$105&lt;=TODAY()) ),   2, 0),  1, 1), 
  IFERROR( INDEX(FILTER('1. DATA CHUNG'!$J$4:$J$105, (TRIM('1. DATA CHUNG'!$I$4:$I$105)=TRIM(K473)) * IF(COUNTIFS('1. DATA CHUNG'!$I$4:$I$105,K473,'1. DATA CHUNG'!$M$4:$M$105,Q473), '1."&amp;" DATA CHUNG'!$M$4:$M$105=Q473, 1) * ('1. DATA CHUNG'!$L$4:$L$105="""")), 1), ""Không tìm thấy"" ))"),7.0)</f>
        <v>7</v>
      </c>
      <c r="AI473" s="273">
        <f t="shared" si="2"/>
        <v>46090</v>
      </c>
      <c r="AJ473" s="287"/>
      <c r="AK473" s="286">
        <f t="shared" si="3"/>
        <v>0</v>
      </c>
      <c r="AL473" s="287">
        <f t="shared" si="4"/>
        <v>0</v>
      </c>
      <c r="AM473" s="287">
        <f t="shared" si="5"/>
        <v>-21</v>
      </c>
      <c r="AN473" s="279">
        <f t="shared" si="6"/>
        <v>4</v>
      </c>
      <c r="AO473" s="295" t="str">
        <f t="shared" si="70"/>
        <v>03/2026</v>
      </c>
      <c r="AP473" s="277" t="str">
        <f t="array" ref="AP473">IFERROR(XLOOKUP(L473,'2. DATA NL, VTBB'!C:C,'2. DATA NL, VTBB'!F:F),"")</f>
        <v>HH0029</v>
      </c>
      <c r="AQ473" s="277" t="str">
        <f t="array" ref="AQ473">IF(OR(K473="Nhãn", K473="Nhãn thùng",K473="Nhãn Túi"), K473 &amp; " " &amp; IFERROR(XLOOKUP(L473, '2. DATA NL, VTBB'!C:C, '2. DATA NL, VTBB'!E:E), ""), "")</f>
        <v/>
      </c>
      <c r="AR473" s="278" t="str">
        <f t="array" ref="AR473">IFERROR(XLOOKUP(L473,'2. DATA NL, VTBB'!C:C,'2. DATA NL, VTBB'!G:G),"")</f>
        <v>GC - II - 396 - SH Rice+ - 65gr - 300</v>
      </c>
      <c r="AS473" s="278" t="str">
        <f t="array" ref="AS473">IFERROR(XLOOKUP(L473,'2. DATA NL, VTBB'!C:C,'2. DATA NL, VTBB'!G:G),"")</f>
        <v>GC - II - 396 - SH Rice+ - 65gr - 300</v>
      </c>
      <c r="AT473" s="277"/>
    </row>
    <row r="474" ht="30.75" customHeight="1">
      <c r="A474" s="272">
        <f t="shared" si="71"/>
        <v>471</v>
      </c>
      <c r="B474" s="289">
        <v>46084.0</v>
      </c>
      <c r="C474" s="289">
        <v>46097.0</v>
      </c>
      <c r="D474" s="289">
        <v>46111.0</v>
      </c>
      <c r="E474" s="289">
        <v>46111.0</v>
      </c>
      <c r="F474" s="274" t="s">
        <v>561</v>
      </c>
      <c r="G474" s="275" t="s">
        <v>562</v>
      </c>
      <c r="H474" s="274" t="s">
        <v>304</v>
      </c>
      <c r="I474" s="275" t="s">
        <v>305</v>
      </c>
      <c r="J474" s="272" t="s">
        <v>1144</v>
      </c>
      <c r="K474" s="275" t="s">
        <v>301</v>
      </c>
      <c r="L474" s="277" t="s">
        <v>1145</v>
      </c>
      <c r="M474" s="278" t="str">
        <f t="array" ref="M474">IFERROR(XLOOKUP(L474,'2. DATA NL, VTBB'!C:C,'2. DATA NL, VTBB'!D:D),"")</f>
        <v>Thùng Shino chai PET tròn 450ml x 30 chai (48x40x20cm) - Trắng cam</v>
      </c>
      <c r="N474" s="280"/>
      <c r="O474" s="280" t="str">
        <f t="array" ref="O474">IFERROR( XLOOKUP(L474,'2. DATA NL, VTBB'!C:C,'2. DATA NL, VTBB'!E:E),"")</f>
        <v>CHAYRUI 150SL</v>
      </c>
      <c r="P474" s="275" t="s">
        <v>565</v>
      </c>
      <c r="Q474" s="311"/>
      <c r="R474" s="291" t="s">
        <v>573</v>
      </c>
      <c r="S474" s="277"/>
      <c r="T474" s="277"/>
      <c r="U474" s="277"/>
      <c r="V474" s="283">
        <v>200.0</v>
      </c>
      <c r="W474" s="275" t="s">
        <v>699</v>
      </c>
      <c r="X474" s="283">
        <v>200.0</v>
      </c>
      <c r="Y474" s="274">
        <v>200.0</v>
      </c>
      <c r="Z474" s="272">
        <v>21430.0</v>
      </c>
      <c r="AA474" s="285">
        <v>0.08</v>
      </c>
      <c r="AB474" s="282">
        <v>4628880.0</v>
      </c>
      <c r="AC474" s="277"/>
      <c r="AD474" s="289">
        <v>46084.0</v>
      </c>
      <c r="AE474" s="312"/>
      <c r="AF474" s="277"/>
      <c r="AG474" s="277"/>
      <c r="AH474" s="294">
        <f>IFERROR(__xludf.DUMMYFUNCTION("IFERROR(INDEX( SORT(FILTER(
        {'1. DATA CHUNG'!$J$4:$J$105 , '1. DATA CHUNG'!$L$4:$L$105}, (TRIM('1. DATA CHUNG'!$I$4:$I$105)=TRIM(K474)) * IF(COUNTIFS('1. DATA CHUNG'!$I$4:$I$105,K474,'1. DATA CHUNG'!$M$4:$M$105,Q474), '1. DATA CHUNG'!$M$4:$M$105=Q"&amp;"474, 1) * ('1. DATA CHUNG'!$L$4:$L$105&lt;=TODAY()) ),   2, 0),  1, 1), 
  IFERROR( INDEX(FILTER('1. DATA CHUNG'!$J$4:$J$105, (TRIM('1. DATA CHUNG'!$I$4:$I$105)=TRIM(K474)) * IF(COUNTIFS('1. DATA CHUNG'!$I$4:$I$105,K474,'1. DATA CHUNG'!$M$4:$M$105,Q474), '1."&amp;" DATA CHUNG'!$M$4:$M$105=Q474, 1) * ('1. DATA CHUNG'!$L$4:$L$105="""")), 1), ""Không tìm thấy"" ))"),18.0)</f>
        <v>18</v>
      </c>
      <c r="AI474" s="273">
        <f t="shared" si="2"/>
        <v>46102</v>
      </c>
      <c r="AJ474" s="287"/>
      <c r="AK474" s="286">
        <f t="shared" si="3"/>
        <v>0</v>
      </c>
      <c r="AL474" s="287">
        <f t="shared" si="4"/>
        <v>0</v>
      </c>
      <c r="AM474" s="287">
        <f t="shared" si="5"/>
        <v>-9</v>
      </c>
      <c r="AN474" s="279">
        <f t="shared" si="6"/>
        <v>5</v>
      </c>
      <c r="AO474" s="295" t="str">
        <f t="shared" si="70"/>
        <v>03/2026</v>
      </c>
      <c r="AP474" s="277" t="str">
        <f t="array" ref="AP474">IFERROR(XLOOKUP(L474,'2. DATA NL, VTBB'!C:C,'2. DATA NL, VTBB'!F:F),"")</f>
        <v>HH0188</v>
      </c>
      <c r="AQ474" s="277" t="str">
        <f t="array" ref="AQ474">IF(OR(K474="Nhãn", K474="Nhãn thùng",K474="Nhãn Túi"), K474 &amp; " " &amp; IFERROR(XLOOKUP(L474, '2. DATA NL, VTBB'!C:C, '2. DATA NL, VTBB'!E:E), ""), "")</f>
        <v/>
      </c>
      <c r="AR474" s="278" t="str">
        <f t="array" ref="AR474">IFERROR(XLOOKUP(L474,'2. DATA NL, VTBB'!C:C,'2. DATA NL, VTBB'!G:G),"")</f>
        <v>GC - II - MK Group - 595 - Cháy cỏ khai hoang (PET vuông) - 900ml - 20</v>
      </c>
      <c r="AS474" s="278" t="str">
        <f t="array" ref="AS474">IFERROR(XLOOKUP(L474,'2. DATA NL, VTBB'!C:C,'2. DATA NL, VTBB'!G:G),"")</f>
        <v>GC - II - MK Group - 595 - Cháy cỏ khai hoang (PET vuông) - 900ml - 20</v>
      </c>
      <c r="AT474" s="277"/>
    </row>
    <row r="475" ht="30.75" customHeight="1">
      <c r="A475" s="272">
        <f t="shared" si="71"/>
        <v>472</v>
      </c>
      <c r="B475" s="289">
        <v>46085.0</v>
      </c>
      <c r="C475" s="289">
        <v>46097.0</v>
      </c>
      <c r="D475" s="289">
        <v>46111.0</v>
      </c>
      <c r="E475" s="289">
        <v>46111.0</v>
      </c>
      <c r="F475" s="274" t="s">
        <v>561</v>
      </c>
      <c r="G475" s="275" t="s">
        <v>562</v>
      </c>
      <c r="H475" s="274" t="s">
        <v>304</v>
      </c>
      <c r="I475" s="275" t="s">
        <v>305</v>
      </c>
      <c r="J475" s="272" t="s">
        <v>634</v>
      </c>
      <c r="K475" s="275" t="s">
        <v>301</v>
      </c>
      <c r="L475" s="277" t="s">
        <v>635</v>
      </c>
      <c r="M475" s="278" t="str">
        <f t="array" ref="M475">IFERROR(XLOOKUP(L475,'2. DATA NL, VTBB'!C:C,'2. DATA NL, VTBB'!D:D),"")</f>
        <v>Thùng Agritech 100g x 100, 120, 150 gói (47.5x41.5x28cm) - Trắng viền xanh dương</v>
      </c>
      <c r="N475" s="280"/>
      <c r="O475" s="280" t="str">
        <f t="array" ref="O475">IFERROR( XLOOKUP(L475,'2. DATA NL, VTBB'!C:C,'2. DATA NL, VTBB'!E:E),"")</f>
        <v>Remy 19EC</v>
      </c>
      <c r="P475" s="275" t="s">
        <v>672</v>
      </c>
      <c r="Q475" s="311"/>
      <c r="R475" s="291" t="s">
        <v>573</v>
      </c>
      <c r="S475" s="277"/>
      <c r="T475" s="277"/>
      <c r="U475" s="277"/>
      <c r="V475" s="283">
        <v>100.0</v>
      </c>
      <c r="W475" s="275" t="s">
        <v>699</v>
      </c>
      <c r="X475" s="283">
        <v>100.0</v>
      </c>
      <c r="Y475" s="274">
        <v>100.0</v>
      </c>
      <c r="Z475" s="272">
        <v>23600.0</v>
      </c>
      <c r="AA475" s="285">
        <v>0.08</v>
      </c>
      <c r="AB475" s="282">
        <v>2548800.0</v>
      </c>
      <c r="AC475" s="277"/>
      <c r="AD475" s="289">
        <v>46085.0</v>
      </c>
      <c r="AE475" s="312"/>
      <c r="AF475" s="277"/>
      <c r="AG475" s="277"/>
      <c r="AH475" s="294">
        <f>IFERROR(__xludf.DUMMYFUNCTION("IFERROR(INDEX( SORT(FILTER(
        {'1. DATA CHUNG'!$J$4:$J$105 , '1. DATA CHUNG'!$L$4:$L$105}, (TRIM('1. DATA CHUNG'!$I$4:$I$105)=TRIM(K475)) * IF(COUNTIFS('1. DATA CHUNG'!$I$4:$I$105,K475,'1. DATA CHUNG'!$M$4:$M$105,Q475), '1. DATA CHUNG'!$M$4:$M$105=Q"&amp;"475, 1) * ('1. DATA CHUNG'!$L$4:$L$105&lt;=TODAY()) ),   2, 0),  1, 1), 
  IFERROR( INDEX(FILTER('1. DATA CHUNG'!$J$4:$J$105, (TRIM('1. DATA CHUNG'!$I$4:$I$105)=TRIM(K475)) * IF(COUNTIFS('1. DATA CHUNG'!$I$4:$I$105,K475,'1. DATA CHUNG'!$M$4:$M$105,Q475), '1."&amp;" DATA CHUNG'!$M$4:$M$105=Q475, 1) * ('1. DATA CHUNG'!$L$4:$L$105="""")), 1), ""Không tìm thấy"" ))"),18.0)</f>
        <v>18</v>
      </c>
      <c r="AI475" s="273">
        <f t="shared" si="2"/>
        <v>46103</v>
      </c>
      <c r="AJ475" s="287"/>
      <c r="AK475" s="286">
        <f t="shared" si="3"/>
        <v>0</v>
      </c>
      <c r="AL475" s="287">
        <f t="shared" si="4"/>
        <v>0</v>
      </c>
      <c r="AM475" s="287">
        <f t="shared" si="5"/>
        <v>-8</v>
      </c>
      <c r="AN475" s="279">
        <f t="shared" si="6"/>
        <v>6</v>
      </c>
      <c r="AO475" s="295" t="str">
        <f t="shared" si="70"/>
        <v>03/2026</v>
      </c>
      <c r="AP475" s="277" t="str">
        <f t="array" ref="AP475">IFERROR(XLOOKUP(L475,'2. DATA NL, VTBB'!C:C,'2. DATA NL, VTBB'!F:F),"")</f>
        <v>HH0265</v>
      </c>
      <c r="AQ475" s="277" t="str">
        <f t="array" ref="AQ475">IF(OR(K475="Nhãn", K475="Nhãn thùng",K475="Nhãn Túi"), K475 &amp; " " &amp; IFERROR(XLOOKUP(L475, '2. DATA NL, VTBB'!C:C, '2. DATA NL, VTBB'!E:E), ""), "")</f>
        <v/>
      </c>
      <c r="AR475" s="278" t="str">
        <f t="array" ref="AR475">IFERROR(XLOOKUP(L475,'2. DATA NL, VTBB'!C:C,'2. DATA NL, VTBB'!G:G),"")</f>
        <v>GC - II - 684 - AGC - Remy 19EC (chai tròn) - 450ml - 40</v>
      </c>
      <c r="AS475" s="278" t="str">
        <f t="array" ref="AS475">IFERROR(XLOOKUP(L475,'2. DATA NL, VTBB'!C:C,'2. DATA NL, VTBB'!G:G),"")</f>
        <v>GC - II - 684 - AGC - Remy 19EC (chai tròn) - 450ml - 40</v>
      </c>
      <c r="AT475" s="277"/>
    </row>
    <row r="476" ht="30.75" customHeight="1">
      <c r="A476" s="272">
        <f t="shared" si="71"/>
        <v>473</v>
      </c>
      <c r="B476" s="289">
        <v>46085.0</v>
      </c>
      <c r="C476" s="289">
        <v>46097.0</v>
      </c>
      <c r="D476" s="289">
        <v>46111.0</v>
      </c>
      <c r="E476" s="289">
        <v>46102.0</v>
      </c>
      <c r="F476" s="274" t="s">
        <v>561</v>
      </c>
      <c r="G476" s="275" t="s">
        <v>562</v>
      </c>
      <c r="H476" s="274" t="s">
        <v>304</v>
      </c>
      <c r="I476" s="275" t="s">
        <v>305</v>
      </c>
      <c r="J476" s="272" t="s">
        <v>1146</v>
      </c>
      <c r="K476" s="275" t="s">
        <v>301</v>
      </c>
      <c r="L476" s="277" t="s">
        <v>1147</v>
      </c>
      <c r="M476" s="278" t="str">
        <f t="array" ref="M476">IFERROR(XLOOKUP(L476,'2. DATA NL, VTBB'!C:C,'2. DATA NL, VTBB'!D:D),"")</f>
        <v>Thùng Shino 25g x 200 gói, chai 450ml x 30 chai (45.5x38x19.5cm) - Trắng đỏ</v>
      </c>
      <c r="N476" s="280"/>
      <c r="O476" s="280" t="str">
        <f t="array" ref="O476">IFERROR( XLOOKUP(L476,'2. DATA NL, VTBB'!C:C,'2. DATA NL, VTBB'!E:E),"")</f>
        <v>Remy 19EC</v>
      </c>
      <c r="P476" s="275" t="s">
        <v>565</v>
      </c>
      <c r="Q476" s="311"/>
      <c r="R476" s="291" t="s">
        <v>584</v>
      </c>
      <c r="S476" s="277"/>
      <c r="T476" s="277"/>
      <c r="U476" s="277"/>
      <c r="V476" s="283">
        <v>100.0</v>
      </c>
      <c r="W476" s="275" t="s">
        <v>699</v>
      </c>
      <c r="X476" s="283">
        <v>100.0</v>
      </c>
      <c r="Y476" s="274">
        <v>100.0</v>
      </c>
      <c r="Z476" s="272">
        <v>19800.0</v>
      </c>
      <c r="AA476" s="285">
        <v>0.08</v>
      </c>
      <c r="AB476" s="282">
        <v>2138400.0</v>
      </c>
      <c r="AC476" s="277"/>
      <c r="AD476" s="289">
        <v>46085.0</v>
      </c>
      <c r="AE476" s="312"/>
      <c r="AF476" s="277"/>
      <c r="AG476" s="277"/>
      <c r="AH476" s="294">
        <f>IFERROR(__xludf.DUMMYFUNCTION("IFERROR(INDEX( SORT(FILTER(
        {'1. DATA CHUNG'!$J$4:$J$105 , '1. DATA CHUNG'!$L$4:$L$105}, (TRIM('1. DATA CHUNG'!$I$4:$I$105)=TRIM(K476)) * IF(COUNTIFS('1. DATA CHUNG'!$I$4:$I$105,K476,'1. DATA CHUNG'!$M$4:$M$105,Q476), '1. DATA CHUNG'!$M$4:$M$105=Q"&amp;"476, 1) * ('1. DATA CHUNG'!$L$4:$L$105&lt;=TODAY()) ),   2, 0),  1, 1), 
  IFERROR( INDEX(FILTER('1. DATA CHUNG'!$J$4:$J$105, (TRIM('1. DATA CHUNG'!$I$4:$I$105)=TRIM(K476)) * IF(COUNTIFS('1. DATA CHUNG'!$I$4:$I$105,K476,'1. DATA CHUNG'!$M$4:$M$105,Q476), '1."&amp;" DATA CHUNG'!$M$4:$M$105=Q476, 1) * ('1. DATA CHUNG'!$L$4:$L$105="""")), 1), ""Không tìm thấy"" ))"),18.0)</f>
        <v>18</v>
      </c>
      <c r="AI476" s="273">
        <f t="shared" si="2"/>
        <v>46103</v>
      </c>
      <c r="AJ476" s="287"/>
      <c r="AK476" s="286">
        <f t="shared" si="3"/>
        <v>0</v>
      </c>
      <c r="AL476" s="287">
        <f t="shared" si="4"/>
        <v>9</v>
      </c>
      <c r="AM476" s="287">
        <f t="shared" si="5"/>
        <v>1</v>
      </c>
      <c r="AN476" s="279">
        <f t="shared" si="6"/>
        <v>6</v>
      </c>
      <c r="AO476" s="295" t="str">
        <f t="shared" si="70"/>
        <v>03/2026</v>
      </c>
      <c r="AP476" s="277" t="str">
        <f t="array" ref="AP476">IFERROR(XLOOKUP(L476,'2. DATA NL, VTBB'!C:C,'2. DATA NL, VTBB'!F:F),"")</f>
        <v>HH0288</v>
      </c>
      <c r="AQ476" s="277" t="str">
        <f t="array" ref="AQ476">IF(OR(K476="Nhãn", K476="Nhãn thùng",K476="Nhãn Túi"), K476 &amp; " " &amp; IFERROR(XLOOKUP(L476, '2. DATA NL, VTBB'!C:C, '2. DATA NL, VTBB'!E:E), ""), "")</f>
        <v/>
      </c>
      <c r="AR476" s="278" t="str">
        <f t="array" ref="AR476">IFERROR(XLOOKUP(L476,'2. DATA NL, VTBB'!C:C,'2. DATA NL, VTBB'!G:G),"")</f>
        <v>GC - II - 702 - Giang Tây - Remy 19EC (chai tròn) - 450ml - 40</v>
      </c>
      <c r="AS476" s="278" t="str">
        <f t="array" ref="AS476">IFERROR(XLOOKUP(L476,'2. DATA NL, VTBB'!C:C,'2. DATA NL, VTBB'!G:G),"")</f>
        <v>GC - II - 702 - Giang Tây - Remy 19EC (chai tròn) - 450ml - 40</v>
      </c>
      <c r="AT476" s="277"/>
    </row>
    <row r="477" ht="30.75" customHeight="1">
      <c r="A477" s="272">
        <f t="shared" si="71"/>
        <v>474</v>
      </c>
      <c r="B477" s="289">
        <v>46085.0</v>
      </c>
      <c r="C477" s="289">
        <v>46097.0</v>
      </c>
      <c r="D477" s="289">
        <v>46111.0</v>
      </c>
      <c r="E477" s="289">
        <v>46102.0</v>
      </c>
      <c r="F477" s="274" t="s">
        <v>561</v>
      </c>
      <c r="G477" s="275" t="s">
        <v>562</v>
      </c>
      <c r="H477" s="274" t="s">
        <v>304</v>
      </c>
      <c r="I477" s="275" t="s">
        <v>305</v>
      </c>
      <c r="J477" s="272" t="s">
        <v>1148</v>
      </c>
      <c r="K477" s="275" t="s">
        <v>301</v>
      </c>
      <c r="L477" s="277" t="s">
        <v>1147</v>
      </c>
      <c r="M477" s="278" t="str">
        <f t="array" ref="M477">IFERROR(XLOOKUP(L477,'2. DATA NL, VTBB'!C:C,'2. DATA NL, VTBB'!D:D),"")</f>
        <v>Thùng Shino 25g x 200 gói, chai 450ml x 30 chai (45.5x38x19.5cm) - Trắng đỏ</v>
      </c>
      <c r="N477" s="280"/>
      <c r="O477" s="280" t="str">
        <f t="array" ref="O477">IFERROR( XLOOKUP(L477,'2. DATA NL, VTBB'!C:C,'2. DATA NL, VTBB'!E:E),"")</f>
        <v>Remy 19EC</v>
      </c>
      <c r="P477" s="275" t="s">
        <v>565</v>
      </c>
      <c r="Q477" s="311"/>
      <c r="R477" s="291" t="s">
        <v>622</v>
      </c>
      <c r="S477" s="277"/>
      <c r="T477" s="277"/>
      <c r="U477" s="277"/>
      <c r="V477" s="283">
        <v>100.0</v>
      </c>
      <c r="W477" s="275" t="s">
        <v>699</v>
      </c>
      <c r="X477" s="283">
        <v>100.0</v>
      </c>
      <c r="Y477" s="274">
        <v>100.0</v>
      </c>
      <c r="Z477" s="272">
        <v>19800.0</v>
      </c>
      <c r="AA477" s="285">
        <v>0.08</v>
      </c>
      <c r="AB477" s="282">
        <v>2138400.0</v>
      </c>
      <c r="AC477" s="277"/>
      <c r="AD477" s="289">
        <v>46085.0</v>
      </c>
      <c r="AE477" s="312"/>
      <c r="AF477" s="277"/>
      <c r="AG477" s="277"/>
      <c r="AH477" s="294">
        <f>IFERROR(__xludf.DUMMYFUNCTION("IFERROR(INDEX( SORT(FILTER(
        {'1. DATA CHUNG'!$J$4:$J$105 , '1. DATA CHUNG'!$L$4:$L$105}, (TRIM('1. DATA CHUNG'!$I$4:$I$105)=TRIM(K477)) * IF(COUNTIFS('1. DATA CHUNG'!$I$4:$I$105,K477,'1. DATA CHUNG'!$M$4:$M$105,Q477), '1. DATA CHUNG'!$M$4:$M$105=Q"&amp;"477, 1) * ('1. DATA CHUNG'!$L$4:$L$105&lt;=TODAY()) ),   2, 0),  1, 1), 
  IFERROR( INDEX(FILTER('1. DATA CHUNG'!$J$4:$J$105, (TRIM('1. DATA CHUNG'!$I$4:$I$105)=TRIM(K477)) * IF(COUNTIFS('1. DATA CHUNG'!$I$4:$I$105,K477,'1. DATA CHUNG'!$M$4:$M$105,Q477), '1."&amp;" DATA CHUNG'!$M$4:$M$105=Q477, 1) * ('1. DATA CHUNG'!$L$4:$L$105="""")), 1), ""Không tìm thấy"" ))"),18.0)</f>
        <v>18</v>
      </c>
      <c r="AI477" s="273">
        <f t="shared" si="2"/>
        <v>46103</v>
      </c>
      <c r="AJ477" s="287"/>
      <c r="AK477" s="286">
        <f t="shared" si="3"/>
        <v>0</v>
      </c>
      <c r="AL477" s="287">
        <f t="shared" si="4"/>
        <v>9</v>
      </c>
      <c r="AM477" s="287">
        <f t="shared" si="5"/>
        <v>1</v>
      </c>
      <c r="AN477" s="279">
        <f t="shared" si="6"/>
        <v>6</v>
      </c>
      <c r="AO477" s="295" t="str">
        <f t="shared" si="70"/>
        <v>03/2026</v>
      </c>
      <c r="AP477" s="277" t="str">
        <f t="array" ref="AP477">IFERROR(XLOOKUP(L477,'2. DATA NL, VTBB'!C:C,'2. DATA NL, VTBB'!F:F),"")</f>
        <v>HH0288</v>
      </c>
      <c r="AQ477" s="277" t="str">
        <f t="array" ref="AQ477">IF(OR(K477="Nhãn", K477="Nhãn thùng",K477="Nhãn Túi"), K477 &amp; " " &amp; IFERROR(XLOOKUP(L477, '2. DATA NL, VTBB'!C:C, '2. DATA NL, VTBB'!E:E), ""), "")</f>
        <v/>
      </c>
      <c r="AR477" s="278" t="str">
        <f t="array" ref="AR477">IFERROR(XLOOKUP(L477,'2. DATA NL, VTBB'!C:C,'2. DATA NL, VTBB'!G:G),"")</f>
        <v>GC - II - 702 - Giang Tây - Remy 19EC (chai tròn) - 450ml - 40</v>
      </c>
      <c r="AS477" s="278" t="str">
        <f t="array" ref="AS477">IFERROR(XLOOKUP(L477,'2. DATA NL, VTBB'!C:C,'2. DATA NL, VTBB'!G:G),"")</f>
        <v>GC - II - 702 - Giang Tây - Remy 19EC (chai tròn) - 450ml - 40</v>
      </c>
      <c r="AT477" s="277"/>
    </row>
    <row r="478" ht="30.75" customHeight="1">
      <c r="A478" s="272">
        <f t="shared" si="71"/>
        <v>475</v>
      </c>
      <c r="B478" s="289">
        <v>46085.0</v>
      </c>
      <c r="C478" s="289">
        <v>46097.0</v>
      </c>
      <c r="D478" s="289">
        <f>B478+18</f>
        <v>46103</v>
      </c>
      <c r="E478" s="289">
        <v>46102.0</v>
      </c>
      <c r="F478" s="274" t="s">
        <v>561</v>
      </c>
      <c r="G478" s="275" t="s">
        <v>562</v>
      </c>
      <c r="H478" s="274" t="s">
        <v>304</v>
      </c>
      <c r="I478" s="275" t="s">
        <v>305</v>
      </c>
      <c r="J478" s="272" t="s">
        <v>1149</v>
      </c>
      <c r="K478" s="275" t="s">
        <v>301</v>
      </c>
      <c r="L478" s="277" t="s">
        <v>1015</v>
      </c>
      <c r="M478" s="278" t="str">
        <f t="array" ref="M478">IFERROR(XLOOKUP(L478,'2. DATA NL, VTBB'!C:C,'2. DATA NL, VTBB'!D:D),"")</f>
        <v>Thùng trắng ABA chai HD tròn 100ml x 100 chai/thùng (45.5x45.5x14cm) - Trắng viền đen</v>
      </c>
      <c r="N478" s="280"/>
      <c r="O478" s="280" t="str">
        <f t="array" ref="O478">IFERROR( XLOOKUP(L478,'2. DATA NL, VTBB'!C:C,'2. DATA NL, VTBB'!E:E),"")</f>
        <v>TVZEB 800WP</v>
      </c>
      <c r="P478" s="275" t="s">
        <v>565</v>
      </c>
      <c r="Q478" s="311"/>
      <c r="R478" s="290" t="s">
        <v>566</v>
      </c>
      <c r="S478" s="277"/>
      <c r="T478" s="277"/>
      <c r="U478" s="277"/>
      <c r="V478" s="283">
        <v>100.0</v>
      </c>
      <c r="W478" s="275" t="s">
        <v>699</v>
      </c>
      <c r="X478" s="283">
        <v>100.0</v>
      </c>
      <c r="Y478" s="274">
        <v>116.0</v>
      </c>
      <c r="Z478" s="272">
        <v>21000.0</v>
      </c>
      <c r="AA478" s="285">
        <v>0.08</v>
      </c>
      <c r="AB478" s="282">
        <v>2630880.0</v>
      </c>
      <c r="AC478" s="277"/>
      <c r="AD478" s="289">
        <v>46085.0</v>
      </c>
      <c r="AE478" s="312"/>
      <c r="AF478" s="277"/>
      <c r="AG478" s="277"/>
      <c r="AH478" s="294">
        <f>IFERROR(__xludf.DUMMYFUNCTION("IFERROR(INDEX( SORT(FILTER(
        {'1. DATA CHUNG'!$J$4:$J$105 , '1. DATA CHUNG'!$L$4:$L$105}, (TRIM('1. DATA CHUNG'!$I$4:$I$105)=TRIM(K478)) * IF(COUNTIFS('1. DATA CHUNG'!$I$4:$I$105,K478,'1. DATA CHUNG'!$M$4:$M$105,Q478), '1. DATA CHUNG'!$M$4:$M$105=Q"&amp;"478, 1) * ('1. DATA CHUNG'!$L$4:$L$105&lt;=TODAY()) ),   2, 0),  1, 1), 
  IFERROR( INDEX(FILTER('1. DATA CHUNG'!$J$4:$J$105, (TRIM('1. DATA CHUNG'!$I$4:$I$105)=TRIM(K478)) * IF(COUNTIFS('1. DATA CHUNG'!$I$4:$I$105,K478,'1. DATA CHUNG'!$M$4:$M$105,Q478), '1."&amp;" DATA CHUNG'!$M$4:$M$105=Q478, 1) * ('1. DATA CHUNG'!$L$4:$L$105="""")), 1), ""Không tìm thấy"" ))"),18.0)</f>
        <v>18</v>
      </c>
      <c r="AI478" s="273">
        <f t="shared" si="2"/>
        <v>46103</v>
      </c>
      <c r="AJ478" s="287"/>
      <c r="AK478" s="286">
        <f t="shared" si="3"/>
        <v>0</v>
      </c>
      <c r="AL478" s="287">
        <f t="shared" si="4"/>
        <v>1</v>
      </c>
      <c r="AM478" s="287">
        <f t="shared" si="5"/>
        <v>1</v>
      </c>
      <c r="AN478" s="279">
        <f t="shared" si="6"/>
        <v>6</v>
      </c>
      <c r="AO478" s="295" t="str">
        <f t="shared" si="70"/>
        <v>03/2026</v>
      </c>
      <c r="AP478" s="277" t="str">
        <f t="array" ref="AP478">IFERROR(XLOOKUP(L478,'2. DATA NL, VTBB'!C:C,'2. DATA NL, VTBB'!F:F),"")</f>
        <v>HH0149</v>
      </c>
      <c r="AQ478" s="277" t="str">
        <f t="array" ref="AQ478">IF(OR(K478="Nhãn", K478="Nhãn thùng",K478="Nhãn Túi"), K478 &amp; " " &amp; IFERROR(XLOOKUP(L478, '2. DATA NL, VTBB'!C:C, '2. DATA NL, VTBB'!E:E), ""), "")</f>
        <v/>
      </c>
      <c r="AR478" s="278" t="str">
        <f t="array" ref="AR478">IFERROR(XLOOKUP(L478,'2. DATA NL, VTBB'!C:C,'2. DATA NL, VTBB'!G:G),"")</f>
        <v>GC - II - 539 - Luta - Mancozeb vàng - 1kg - 20</v>
      </c>
      <c r="AS478" s="278" t="str">
        <f t="array" ref="AS478">IFERROR(XLOOKUP(L478,'2. DATA NL, VTBB'!C:C,'2. DATA NL, VTBB'!G:G),"")</f>
        <v>GC - II - 539 - Luta - Mancozeb vàng - 1kg - 20</v>
      </c>
      <c r="AT478" s="277"/>
    </row>
    <row r="479" ht="30.75" customHeight="1">
      <c r="A479" s="272">
        <f t="shared" si="71"/>
        <v>476</v>
      </c>
      <c r="B479" s="289">
        <v>46085.0</v>
      </c>
      <c r="C479" s="289">
        <v>46097.0</v>
      </c>
      <c r="D479" s="289">
        <f>B479+20</f>
        <v>46105</v>
      </c>
      <c r="E479" s="289">
        <v>46104.0</v>
      </c>
      <c r="F479" s="274" t="s">
        <v>561</v>
      </c>
      <c r="G479" s="275" t="s">
        <v>580</v>
      </c>
      <c r="H479" s="274" t="s">
        <v>304</v>
      </c>
      <c r="I479" s="275" t="s">
        <v>305</v>
      </c>
      <c r="J479" s="272" t="s">
        <v>1150</v>
      </c>
      <c r="K479" s="275" t="s">
        <v>301</v>
      </c>
      <c r="L479" s="277" t="s">
        <v>1151</v>
      </c>
      <c r="M479" s="278" t="str">
        <f t="array" ref="M479">IFERROR(XLOOKUP(L479,'2. DATA NL, VTBB'!C:C,'2. DATA NL, VTBB'!D:D),"")</f>
        <v>Thùng IDA chai HDPE 100ml x 100 chai (58x30.5x25cm) - Trắng viền xanh lá</v>
      </c>
      <c r="N479" s="280"/>
      <c r="O479" s="280" t="str">
        <f t="array" ref="O479">IFERROR( XLOOKUP(L479,'2. DATA NL, VTBB'!C:C,'2. DATA NL, VTBB'!E:E),"")</f>
        <v>TVZEB 800WP</v>
      </c>
      <c r="P479" s="275" t="s">
        <v>565</v>
      </c>
      <c r="Q479" s="311"/>
      <c r="R479" s="291" t="s">
        <v>599</v>
      </c>
      <c r="S479" s="277"/>
      <c r="T479" s="277"/>
      <c r="U479" s="277"/>
      <c r="V479" s="283">
        <v>100.0</v>
      </c>
      <c r="W479" s="275" t="s">
        <v>699</v>
      </c>
      <c r="X479" s="283">
        <v>100.0</v>
      </c>
      <c r="Y479" s="274">
        <v>117.0</v>
      </c>
      <c r="Z479" s="272">
        <v>19700.0</v>
      </c>
      <c r="AA479" s="285">
        <v>0.08</v>
      </c>
      <c r="AB479" s="282">
        <v>2489292.0</v>
      </c>
      <c r="AC479" s="277"/>
      <c r="AD479" s="289">
        <v>46085.0</v>
      </c>
      <c r="AE479" s="272">
        <v>661.0</v>
      </c>
      <c r="AF479" s="277"/>
      <c r="AG479" s="277"/>
      <c r="AH479" s="294">
        <f>IFERROR(__xludf.DUMMYFUNCTION("IFERROR(INDEX( SORT(FILTER(
        {'1. DATA CHUNG'!$J$4:$J$105 , '1. DATA CHUNG'!$L$4:$L$105}, (TRIM('1. DATA CHUNG'!$I$4:$I$105)=TRIM(K479)) * IF(COUNTIFS('1. DATA CHUNG'!$I$4:$I$105,K479,'1. DATA CHUNG'!$M$4:$M$105,Q479), '1. DATA CHUNG'!$M$4:$M$105=Q"&amp;"479, 1) * ('1. DATA CHUNG'!$L$4:$L$105&lt;=TODAY()) ),   2, 0),  1, 1), 
  IFERROR( INDEX(FILTER('1. DATA CHUNG'!$J$4:$J$105, (TRIM('1. DATA CHUNG'!$I$4:$I$105)=TRIM(K479)) * IF(COUNTIFS('1. DATA CHUNG'!$I$4:$I$105,K479,'1. DATA CHUNG'!$M$4:$M$105,Q479), '1."&amp;" DATA CHUNG'!$M$4:$M$105=Q479, 1) * ('1. DATA CHUNG'!$L$4:$L$105="""")), 1), ""Không tìm thấy"" ))"),18.0)</f>
        <v>18</v>
      </c>
      <c r="AI479" s="273">
        <f t="shared" si="2"/>
        <v>46103</v>
      </c>
      <c r="AJ479" s="287"/>
      <c r="AK479" s="286">
        <f t="shared" si="3"/>
        <v>0</v>
      </c>
      <c r="AL479" s="287">
        <f t="shared" si="4"/>
        <v>1</v>
      </c>
      <c r="AM479" s="287">
        <f t="shared" si="5"/>
        <v>-1</v>
      </c>
      <c r="AN479" s="279">
        <f t="shared" si="6"/>
        <v>6</v>
      </c>
      <c r="AO479" s="295" t="str">
        <f t="shared" si="70"/>
        <v>03/2026</v>
      </c>
      <c r="AP479" s="277" t="str">
        <f t="array" ref="AP479">IFERROR(XLOOKUP(L479,'2. DATA NL, VTBB'!C:C,'2. DATA NL, VTBB'!F:F),"")</f>
        <v>HH0281</v>
      </c>
      <c r="AQ479" s="277" t="str">
        <f t="array" ref="AQ479">IF(OR(K479="Nhãn", K479="Nhãn thùng",K479="Nhãn Túi"), K479 &amp; " " &amp; IFERROR(XLOOKUP(L479, '2. DATA NL, VTBB'!C:C, '2. DATA NL, VTBB'!E:E), ""), "")</f>
        <v/>
      </c>
      <c r="AR479" s="278" t="str">
        <f t="array" ref="AR479">IFERROR(XLOOKUP(L479,'2. DATA NL, VTBB'!C:C,'2. DATA NL, VTBB'!G:G),"")</f>
        <v>GC - II - 697 - Agriplant - Mancozeb Xanh - 1kg - 20</v>
      </c>
      <c r="AS479" s="278" t="str">
        <f t="array" ref="AS479">IFERROR(XLOOKUP(L479,'2. DATA NL, VTBB'!C:C,'2. DATA NL, VTBB'!G:G),"")</f>
        <v>GC - II - 697 - Agriplant - Mancozeb Xanh - 1kg - 20</v>
      </c>
      <c r="AT479" s="277"/>
    </row>
    <row r="480" ht="30.75" customHeight="1">
      <c r="A480" s="272">
        <f t="shared" si="71"/>
        <v>477</v>
      </c>
      <c r="B480" s="289">
        <v>46087.0</v>
      </c>
      <c r="C480" s="289">
        <v>46097.0</v>
      </c>
      <c r="D480" s="289">
        <v>46097.0</v>
      </c>
      <c r="E480" s="289">
        <v>46104.0</v>
      </c>
      <c r="F480" s="274" t="s">
        <v>561</v>
      </c>
      <c r="G480" s="275" t="s">
        <v>562</v>
      </c>
      <c r="H480" s="274" t="s">
        <v>304</v>
      </c>
      <c r="I480" s="275" t="s">
        <v>1152</v>
      </c>
      <c r="J480" s="272" t="s">
        <v>1153</v>
      </c>
      <c r="K480" s="275" t="s">
        <v>767</v>
      </c>
      <c r="L480" s="277" t="s">
        <v>1154</v>
      </c>
      <c r="M480" s="278" t="str">
        <f t="array" ref="M480">IFERROR(XLOOKUP(L480,'2. DATA NL, VTBB'!C:C,'2. DATA NL, VTBB'!D:D),"")</f>
        <v>Xô HDPE tròn 12 Lít (420gr) - Trắng</v>
      </c>
      <c r="N480" s="280"/>
      <c r="O480" s="280" t="str">
        <f t="array" ref="O480">IFERROR( XLOOKUP(L480,'2. DATA NL, VTBB'!C:C,'2. DATA NL, VTBB'!E:E),"")</f>
        <v>Chitin 3.6EC</v>
      </c>
      <c r="P480" s="275" t="s">
        <v>565</v>
      </c>
      <c r="Q480" s="311"/>
      <c r="R480" s="290" t="s">
        <v>566</v>
      </c>
      <c r="S480" s="277"/>
      <c r="T480" s="277"/>
      <c r="U480" s="277"/>
      <c r="V480" s="283">
        <v>300.0</v>
      </c>
      <c r="W480" s="275" t="s">
        <v>699</v>
      </c>
      <c r="X480" s="283">
        <v>300.0</v>
      </c>
      <c r="Y480" s="274">
        <v>300.0</v>
      </c>
      <c r="Z480" s="272">
        <v>39500.0</v>
      </c>
      <c r="AA480" s="285">
        <v>0.08</v>
      </c>
      <c r="AB480" s="282">
        <v>1.2798E7</v>
      </c>
      <c r="AC480" s="277"/>
      <c r="AD480" s="289">
        <v>46087.0</v>
      </c>
      <c r="AE480" s="312"/>
      <c r="AF480" s="277"/>
      <c r="AG480" s="277"/>
      <c r="AH480" s="294">
        <f>IFERROR(__xludf.DUMMYFUNCTION("IFERROR(INDEX( SORT(FILTER(
        {'1. DATA CHUNG'!$J$4:$J$105 , '1. DATA CHUNG'!$L$4:$L$105}, (TRIM('1. DATA CHUNG'!$I$4:$I$105)=TRIM(K480)) * IF(COUNTIFS('1. DATA CHUNG'!$I$4:$I$105,K480,'1. DATA CHUNG'!$M$4:$M$105,Q480), '1. DATA CHUNG'!$M$4:$M$105=Q"&amp;"480, 1) * ('1. DATA CHUNG'!$L$4:$L$105&lt;=TODAY()) ),   2, 0),  1, 1), 
  IFERROR( INDEX(FILTER('1. DATA CHUNG'!$J$4:$J$105, (TRIM('1. DATA CHUNG'!$I$4:$I$105)=TRIM(K480)) * IF(COUNTIFS('1. DATA CHUNG'!$I$4:$I$105,K480,'1. DATA CHUNG'!$M$4:$M$105,Q480), '1."&amp;" DATA CHUNG'!$M$4:$M$105=Q480, 1) * ('1. DATA CHUNG'!$L$4:$L$105="""")), 1), ""Không tìm thấy"" ))"),5.0)</f>
        <v>5</v>
      </c>
      <c r="AI480" s="273">
        <f t="shared" si="2"/>
        <v>46092</v>
      </c>
      <c r="AJ480" s="287"/>
      <c r="AK480" s="286">
        <f t="shared" si="3"/>
        <v>0</v>
      </c>
      <c r="AL480" s="287">
        <f t="shared" si="4"/>
        <v>-7</v>
      </c>
      <c r="AM480" s="287">
        <f t="shared" si="5"/>
        <v>-12</v>
      </c>
      <c r="AN480" s="279">
        <f t="shared" si="6"/>
        <v>-5</v>
      </c>
      <c r="AO480" s="295" t="str">
        <f t="shared" si="70"/>
        <v>03/2026</v>
      </c>
      <c r="AP480" s="277" t="str">
        <f t="array" ref="AP480">IFERROR(XLOOKUP(L480,'2. DATA NL, VTBB'!C:C,'2. DATA NL, VTBB'!F:F),"")</f>
        <v>HH0009</v>
      </c>
      <c r="AQ480" s="277" t="str">
        <f t="array" ref="AQ480">IF(OR(K480="Nhãn", K480="Nhãn thùng",K480="Nhãn Túi"), K480 &amp; " " &amp; IFERROR(XLOOKUP(L480, '2. DATA NL, VTBB'!C:C, '2. DATA NL, VTBB'!E:E), ""), "")</f>
        <v/>
      </c>
      <c r="AR480" s="278" t="str">
        <f t="array" ref="AR480">IFERROR(XLOOKUP(L480,'2. DATA NL, VTBB'!C:C,'2. DATA NL, VTBB'!G:G),"")</f>
        <v>LOT IDA Global - I - 909 - ĐL Nguyễn Văn Tây - Avermectin 36 (Pet tròn) (nắp đỏ)(nước nâu đen) - 450ml - 40</v>
      </c>
      <c r="AS480" s="278" t="str">
        <f t="array" ref="AS480">IFERROR(XLOOKUP(L480,'2. DATA NL, VTBB'!C:C,'2. DATA NL, VTBB'!G:G),"")</f>
        <v>LOT IDA Global - I - 909 - ĐL Nguyễn Văn Tây - Avermectin 36 (Pet tròn) (nắp đỏ)(nước nâu đen) - 450ml - 40</v>
      </c>
      <c r="AT480" s="277"/>
    </row>
    <row r="481" ht="30.75" customHeight="1">
      <c r="A481" s="272">
        <f t="shared" si="71"/>
        <v>478</v>
      </c>
      <c r="B481" s="289">
        <v>46087.0</v>
      </c>
      <c r="C481" s="289">
        <v>46097.0</v>
      </c>
      <c r="D481" s="289">
        <v>46097.0</v>
      </c>
      <c r="E481" s="289">
        <v>46104.0</v>
      </c>
      <c r="F481" s="274" t="s">
        <v>561</v>
      </c>
      <c r="G481" s="275" t="s">
        <v>562</v>
      </c>
      <c r="H481" s="274" t="s">
        <v>304</v>
      </c>
      <c r="I481" s="275" t="s">
        <v>1152</v>
      </c>
      <c r="J481" s="272" t="s">
        <v>1153</v>
      </c>
      <c r="K481" s="275" t="s">
        <v>730</v>
      </c>
      <c r="L481" s="277" t="s">
        <v>1155</v>
      </c>
      <c r="M481" s="278" t="str">
        <f t="array" ref="M481">IFERROR(XLOOKUP(L481,'2. DATA NL, VTBB'!C:C,'2. DATA NL, VTBB'!D:D),"")</f>
        <v>Nắp HDPE Xô 12 Lít (110gr) - Trắng</v>
      </c>
      <c r="N481" s="280"/>
      <c r="O481" s="280" t="str">
        <f t="array" ref="O481">IFERROR( XLOOKUP(L481,'2. DATA NL, VTBB'!C:C,'2. DATA NL, VTBB'!E:E),"")</f>
        <v>Chitin 3.6EC</v>
      </c>
      <c r="P481" s="275" t="s">
        <v>565</v>
      </c>
      <c r="Q481" s="311"/>
      <c r="R481" s="290" t="s">
        <v>566</v>
      </c>
      <c r="S481" s="277"/>
      <c r="T481" s="277"/>
      <c r="U481" s="277"/>
      <c r="V481" s="283">
        <v>300.0</v>
      </c>
      <c r="W481" s="275" t="s">
        <v>699</v>
      </c>
      <c r="X481" s="283">
        <v>300.0</v>
      </c>
      <c r="Y481" s="274">
        <v>300.0</v>
      </c>
      <c r="Z481" s="272">
        <v>0.0</v>
      </c>
      <c r="AA481" s="285">
        <v>0.08</v>
      </c>
      <c r="AB481" s="282">
        <v>0.0</v>
      </c>
      <c r="AC481" s="277"/>
      <c r="AD481" s="289">
        <v>46087.0</v>
      </c>
      <c r="AE481" s="312"/>
      <c r="AF481" s="277"/>
      <c r="AG481" s="277"/>
      <c r="AH481" s="294">
        <f>IFERROR(__xludf.DUMMYFUNCTION("IFERROR(INDEX( SORT(FILTER(
        {'1. DATA CHUNG'!$J$4:$J$105 , '1. DATA CHUNG'!$L$4:$L$105}, (TRIM('1. DATA CHUNG'!$I$4:$I$105)=TRIM(K481)) * IF(COUNTIFS('1. DATA CHUNG'!$I$4:$I$105,K481,'1. DATA CHUNG'!$M$4:$M$105,Q481), '1. DATA CHUNG'!$M$4:$M$105=Q"&amp;"481, 1) * ('1. DATA CHUNG'!$L$4:$L$105&lt;=TODAY()) ),   2, 0),  1, 1), 
  IFERROR( INDEX(FILTER('1. DATA CHUNG'!$J$4:$J$105, (TRIM('1. DATA CHUNG'!$I$4:$I$105)=TRIM(K481)) * IF(COUNTIFS('1. DATA CHUNG'!$I$4:$I$105,K481,'1. DATA CHUNG'!$M$4:$M$105,Q481), '1."&amp;" DATA CHUNG'!$M$4:$M$105=Q481, 1) * ('1. DATA CHUNG'!$L$4:$L$105="""")), 1), ""Không tìm thấy"" ))"),7.0)</f>
        <v>7</v>
      </c>
      <c r="AI481" s="273">
        <f t="shared" si="2"/>
        <v>46094</v>
      </c>
      <c r="AJ481" s="287"/>
      <c r="AK481" s="286">
        <f t="shared" si="3"/>
        <v>0</v>
      </c>
      <c r="AL481" s="287">
        <f t="shared" si="4"/>
        <v>-7</v>
      </c>
      <c r="AM481" s="287">
        <f t="shared" si="5"/>
        <v>-10</v>
      </c>
      <c r="AN481" s="279">
        <f t="shared" si="6"/>
        <v>-3</v>
      </c>
      <c r="AO481" s="295" t="str">
        <f t="shared" si="70"/>
        <v>03/2026</v>
      </c>
      <c r="AP481" s="277" t="str">
        <f t="array" ref="AP481">IFERROR(XLOOKUP(L481,'2. DATA NL, VTBB'!C:C,'2. DATA NL, VTBB'!F:F),"")</f>
        <v>HH0178</v>
      </c>
      <c r="AQ481" s="277" t="str">
        <f t="array" ref="AQ481">IF(OR(K481="Nhãn", K481="Nhãn thùng",K481="Nhãn Túi"), K481 &amp; " " &amp; IFERROR(XLOOKUP(L481, '2. DATA NL, VTBB'!C:C, '2. DATA NL, VTBB'!E:E), ""), "")</f>
        <v/>
      </c>
      <c r="AR481" s="278" t="str">
        <f t="array" ref="AR481">IFERROR(XLOOKUP(L481,'2. DATA NL, VTBB'!C:C,'2. DATA NL, VTBB'!G:G),"")</f>
        <v>LOT IDA Global - I - 910 - ĐL Tập Hưng - Avermetic 36 (Pet vuông) (nắp vàng)(nước nâu đen) - 450ml - 40</v>
      </c>
      <c r="AS481" s="278" t="str">
        <f t="array" ref="AS481">IFERROR(XLOOKUP(L481,'2. DATA NL, VTBB'!C:C,'2. DATA NL, VTBB'!G:G),"")</f>
        <v>LOT IDA Global - I - 910 - ĐL Tập Hưng - Avermetic 36 (Pet vuông) (nắp vàng)(nước nâu đen) - 450ml - 40</v>
      </c>
      <c r="AT481" s="277"/>
    </row>
    <row r="482" ht="30.75" customHeight="1">
      <c r="A482" s="272">
        <f t="shared" si="71"/>
        <v>479</v>
      </c>
      <c r="B482" s="289">
        <v>46087.0</v>
      </c>
      <c r="C482" s="289">
        <v>46099.0</v>
      </c>
      <c r="D482" s="289">
        <v>46112.0</v>
      </c>
      <c r="E482" s="289">
        <v>46102.0</v>
      </c>
      <c r="F482" s="274" t="s">
        <v>561</v>
      </c>
      <c r="G482" s="275" t="s">
        <v>562</v>
      </c>
      <c r="H482" s="274" t="s">
        <v>304</v>
      </c>
      <c r="I482" s="275" t="s">
        <v>305</v>
      </c>
      <c r="J482" s="272" t="s">
        <v>1156</v>
      </c>
      <c r="K482" s="275" t="s">
        <v>301</v>
      </c>
      <c r="L482" s="277" t="s">
        <v>1157</v>
      </c>
      <c r="M482" s="278" t="str">
        <f t="array" ref="M482">IFERROR(XLOOKUP(L482,'2. DATA NL, VTBB'!C:C,'2. DATA NL, VTBB'!D:D),"")</f>
        <v>Thùng Quang Đăng chai HDPE vuông 500ml x 40 chai (46x35.5x19cm) - Trắng viền xanh dương</v>
      </c>
      <c r="N482" s="280"/>
      <c r="O482" s="280" t="str">
        <f t="array" ref="O482">IFERROR( XLOOKUP(L482,'2. DATA NL, VTBB'!C:C,'2. DATA NL, VTBB'!E:E),"")</f>
        <v>NPK Bổ sung Vi lượng Basel NPK 6-6-8 IDA 33</v>
      </c>
      <c r="P482" s="275" t="s">
        <v>565</v>
      </c>
      <c r="Q482" s="311"/>
      <c r="R482" s="290" t="s">
        <v>566</v>
      </c>
      <c r="S482" s="277"/>
      <c r="T482" s="277"/>
      <c r="U482" s="277"/>
      <c r="V482" s="283">
        <v>100.0</v>
      </c>
      <c r="W482" s="275" t="s">
        <v>699</v>
      </c>
      <c r="X482" s="283">
        <v>100.0</v>
      </c>
      <c r="Y482" s="274">
        <v>104.0</v>
      </c>
      <c r="Z482" s="272">
        <v>17400.0</v>
      </c>
      <c r="AA482" s="285">
        <v>0.08</v>
      </c>
      <c r="AB482" s="282">
        <v>1954368.0</v>
      </c>
      <c r="AC482" s="277"/>
      <c r="AD482" s="289">
        <v>46087.0</v>
      </c>
      <c r="AE482" s="312"/>
      <c r="AF482" s="277"/>
      <c r="AG482" s="277"/>
      <c r="AH482" s="294">
        <f>IFERROR(__xludf.DUMMYFUNCTION("IFERROR(INDEX( SORT(FILTER(
        {'1. DATA CHUNG'!$J$4:$J$105 , '1. DATA CHUNG'!$L$4:$L$105}, (TRIM('1. DATA CHUNG'!$I$4:$I$105)=TRIM(K482)) * IF(COUNTIFS('1. DATA CHUNG'!$I$4:$I$105,K482,'1. DATA CHUNG'!$M$4:$M$105,Q482), '1. DATA CHUNG'!$M$4:$M$105=Q"&amp;"482, 1) * ('1. DATA CHUNG'!$L$4:$L$105&lt;=TODAY()) ),   2, 0),  1, 1), 
  IFERROR( INDEX(FILTER('1. DATA CHUNG'!$J$4:$J$105, (TRIM('1. DATA CHUNG'!$I$4:$I$105)=TRIM(K482)) * IF(COUNTIFS('1. DATA CHUNG'!$I$4:$I$105,K482,'1. DATA CHUNG'!$M$4:$M$105,Q482), '1."&amp;" DATA CHUNG'!$M$4:$M$105=Q482, 1) * ('1. DATA CHUNG'!$L$4:$L$105="""")), 1), ""Không tìm thấy"" ))"),18.0)</f>
        <v>18</v>
      </c>
      <c r="AI482" s="273">
        <f t="shared" si="2"/>
        <v>46105</v>
      </c>
      <c r="AJ482" s="287"/>
      <c r="AK482" s="286">
        <f t="shared" si="3"/>
        <v>0</v>
      </c>
      <c r="AL482" s="287">
        <f t="shared" si="4"/>
        <v>10</v>
      </c>
      <c r="AM482" s="287">
        <f t="shared" si="5"/>
        <v>3</v>
      </c>
      <c r="AN482" s="279">
        <f t="shared" si="6"/>
        <v>6</v>
      </c>
      <c r="AO482" s="295" t="str">
        <f t="shared" si="70"/>
        <v>03/2026</v>
      </c>
      <c r="AP482" s="277" t="str">
        <f t="array" ref="AP482">IFERROR(XLOOKUP(L482,'2. DATA NL, VTBB'!C:C,'2. DATA NL, VTBB'!F:F),"")</f>
        <v>HH0285</v>
      </c>
      <c r="AQ482" s="277" t="str">
        <f t="array" ref="AQ482">IF(OR(K482="Nhãn", K482="Nhãn thùng",K482="Nhãn Túi"), K482 &amp; " " &amp; IFERROR(XLOOKUP(L482, '2. DATA NL, VTBB'!C:C, '2. DATA NL, VTBB'!E:E), ""), "")</f>
        <v/>
      </c>
      <c r="AR482" s="278" t="str">
        <f t="array" ref="AR482">IFERROR(XLOOKUP(L482,'2. DATA NL, VTBB'!C:C,'2. DATA NL, VTBB'!G:G),"")</f>
        <v>IDA Global - I - 700 - Toto Boost - 30ml - 400</v>
      </c>
      <c r="AS482" s="278" t="str">
        <f t="array" ref="AS482">IFERROR(XLOOKUP(L482,'2. DATA NL, VTBB'!C:C,'2. DATA NL, VTBB'!G:G),"")</f>
        <v>IDA Global - I - 700 - Toto Boost - 30ml - 400</v>
      </c>
      <c r="AT482" s="277"/>
    </row>
    <row r="483" ht="30.75" customHeight="1">
      <c r="A483" s="341"/>
      <c r="B483" s="342"/>
      <c r="C483" s="342"/>
      <c r="D483" s="343"/>
      <c r="E483" s="343"/>
      <c r="F483" s="344"/>
      <c r="G483" s="341"/>
      <c r="H483" s="344"/>
      <c r="I483" s="345"/>
      <c r="J483" s="341"/>
      <c r="K483" s="341"/>
      <c r="L483" s="341"/>
      <c r="M483" s="347"/>
      <c r="N483" s="348"/>
      <c r="O483" s="348"/>
      <c r="P483" s="349"/>
      <c r="Q483" s="350"/>
      <c r="R483" s="351"/>
      <c r="S483" s="352"/>
      <c r="T483" s="352"/>
      <c r="U483" s="352"/>
      <c r="V483" s="353"/>
      <c r="W483" s="341"/>
      <c r="X483" s="353"/>
      <c r="Y483" s="341"/>
      <c r="Z483" s="341"/>
      <c r="AA483" s="354"/>
      <c r="AB483" s="355"/>
      <c r="AC483" s="352"/>
      <c r="AD483" s="350"/>
      <c r="AE483" s="341"/>
      <c r="AF483" s="352"/>
      <c r="AG483" s="352"/>
      <c r="AH483" s="356"/>
      <c r="AI483" s="273" t="str">
        <f t="shared" si="2"/>
        <v/>
      </c>
      <c r="AJ483" s="287"/>
      <c r="AK483" s="286">
        <f t="shared" si="3"/>
        <v>0</v>
      </c>
      <c r="AL483" s="287" t="str">
        <f t="shared" si="4"/>
        <v/>
      </c>
      <c r="AM483" s="287" t="str">
        <f t="shared" si="5"/>
        <v/>
      </c>
      <c r="AN483" s="279" t="str">
        <f t="shared" si="6"/>
        <v/>
      </c>
      <c r="AO483" s="357"/>
      <c r="AP483" s="352"/>
      <c r="AQ483" s="352"/>
      <c r="AR483" s="278"/>
      <c r="AS483" s="278"/>
      <c r="AT483" s="352"/>
    </row>
    <row r="484" ht="30.75" customHeight="1">
      <c r="A484" s="272">
        <f t="shared" ref="A484:A486" si="72">ROW(A482)-2</f>
        <v>480</v>
      </c>
      <c r="B484" s="314">
        <v>46092.0</v>
      </c>
      <c r="C484" s="314">
        <v>46112.0</v>
      </c>
      <c r="D484" s="314">
        <v>46112.0</v>
      </c>
      <c r="E484" s="314">
        <v>46108.0</v>
      </c>
      <c r="F484" s="274" t="s">
        <v>561</v>
      </c>
      <c r="G484" s="275" t="s">
        <v>562</v>
      </c>
      <c r="H484" s="274" t="s">
        <v>304</v>
      </c>
      <c r="I484" s="275" t="s">
        <v>305</v>
      </c>
      <c r="J484" s="281" t="s">
        <v>1158</v>
      </c>
      <c r="K484" s="275" t="s">
        <v>301</v>
      </c>
      <c r="L484" s="306" t="s">
        <v>1015</v>
      </c>
      <c r="M484" s="278" t="str">
        <f t="array" ref="M484">IFERROR(XLOOKUP(L484,'2. DATA NL, VTBB'!C:C,'2. DATA NL, VTBB'!D:D),"")</f>
        <v>Thùng trắng ABA chai HD tròn 100ml x 100 chai/thùng (45.5x45.5x14cm) - Trắng viền đen</v>
      </c>
      <c r="N484" s="280"/>
      <c r="O484" s="280" t="str">
        <f t="array" ref="O484">IFERROR( XLOOKUP(L484,'2. DATA NL, VTBB'!C:C,'2. DATA NL, VTBB'!E:E),"")</f>
        <v>TVZEB 800WP</v>
      </c>
      <c r="P484" s="275" t="s">
        <v>565</v>
      </c>
      <c r="Q484" s="311"/>
      <c r="R484" s="290" t="s">
        <v>566</v>
      </c>
      <c r="S484" s="277"/>
      <c r="T484" s="277"/>
      <c r="U484" s="277"/>
      <c r="V484" s="283">
        <v>100.0</v>
      </c>
      <c r="W484" s="275" t="s">
        <v>699</v>
      </c>
      <c r="X484" s="283">
        <v>100.0</v>
      </c>
      <c r="Y484" s="279">
        <v>110.0</v>
      </c>
      <c r="Z484" s="281">
        <v>21000.0</v>
      </c>
      <c r="AA484" s="285">
        <v>0.08</v>
      </c>
      <c r="AB484" s="340">
        <f t="shared" ref="AB484:AB505" si="73">(Z484*X484)+AA484*(Z484*X484)</f>
        <v>2268000</v>
      </c>
      <c r="AC484" s="277"/>
      <c r="AD484" s="314">
        <v>46092.0</v>
      </c>
      <c r="AE484" s="272">
        <v>673.0</v>
      </c>
      <c r="AF484" s="277"/>
      <c r="AG484" s="277"/>
      <c r="AH484" s="294">
        <f>IFERROR(__xludf.DUMMYFUNCTION("IFERROR(INDEX( SORT(FILTER(
        {'1. DATA CHUNG'!$J$4:$J$105 , '1. DATA CHUNG'!$L$4:$L$105}, (TRIM('1. DATA CHUNG'!$I$4:$I$105)=TRIM(K484)) * IF(COUNTIFS('1. DATA CHUNG'!$I$4:$I$105,K484,'1. DATA CHUNG'!$M$4:$M$105,Q484), '1. DATA CHUNG'!$M$4:$M$105=Q"&amp;"484, 1) * ('1. DATA CHUNG'!$L$4:$L$105&lt;=TODAY()) ),   2, 0),  1, 1), 
  IFERROR( INDEX(FILTER('1. DATA CHUNG'!$J$4:$J$105, (TRIM('1. DATA CHUNG'!$I$4:$I$105)=TRIM(K484)) * IF(COUNTIFS('1. DATA CHUNG'!$I$4:$I$105,K484,'1. DATA CHUNG'!$M$4:$M$105,Q484), '1."&amp;" DATA CHUNG'!$M$4:$M$105=Q484, 1) * ('1. DATA CHUNG'!$L$4:$L$105="""")), 1), ""Không tìm thấy"" ))"),18.0)</f>
        <v>18</v>
      </c>
      <c r="AI484" s="273">
        <f t="shared" si="2"/>
        <v>46110</v>
      </c>
      <c r="AJ484" s="287"/>
      <c r="AK484" s="286">
        <f t="shared" si="3"/>
        <v>0</v>
      </c>
      <c r="AL484" s="287">
        <f t="shared" si="4"/>
        <v>4</v>
      </c>
      <c r="AM484" s="287">
        <f t="shared" si="5"/>
        <v>2</v>
      </c>
      <c r="AN484" s="279">
        <f t="shared" si="6"/>
        <v>-2</v>
      </c>
      <c r="AO484" s="295" t="str">
        <f t="shared" ref="AO484:AO505" si="74">IF(B484="", "", TEXT(B484, "mm/yyyy"))</f>
        <v>03/2026</v>
      </c>
      <c r="AP484" s="277" t="str">
        <f t="array" ref="AP484">IFERROR(XLOOKUP(L484,'2. DATA NL, VTBB'!C:C,'2. DATA NL, VTBB'!F:F),"")</f>
        <v>HH0149</v>
      </c>
      <c r="AQ484" s="277" t="str">
        <f t="array" ref="AQ484">IF(OR(K484="Nhãn", K484="Nhãn thùng",K484="Nhãn Túi"), K484 &amp; " " &amp; IFERROR(XLOOKUP(L484, '2. DATA NL, VTBB'!C:C, '2. DATA NL, VTBB'!E:E), ""), "")</f>
        <v/>
      </c>
      <c r="AR484" s="278" t="str">
        <f t="array" ref="AR484">IFERROR(XLOOKUP(L484,'2. DATA NL, VTBB'!C:C,'2. DATA NL, VTBB'!G:G),"")</f>
        <v>GC - II - 539 - Luta - Mancozeb vàng - 1kg - 20</v>
      </c>
      <c r="AS484" s="278" t="str">
        <f t="array" ref="AS484">IFERROR(XLOOKUP(L484,'2. DATA NL, VTBB'!C:C,'2. DATA NL, VTBB'!G:G),"")</f>
        <v>GC - II - 539 - Luta - Mancozeb vàng - 1kg - 20</v>
      </c>
      <c r="AT484" s="277"/>
    </row>
    <row r="485" ht="30.75" customHeight="1">
      <c r="A485" s="272">
        <f t="shared" si="72"/>
        <v>481</v>
      </c>
      <c r="B485" s="314">
        <v>46092.0</v>
      </c>
      <c r="C485" s="314">
        <v>46112.0</v>
      </c>
      <c r="D485" s="314">
        <f t="shared" ref="D485:D488" si="75">B485+20</f>
        <v>46112</v>
      </c>
      <c r="E485" s="314">
        <v>46108.0</v>
      </c>
      <c r="F485" s="274" t="s">
        <v>561</v>
      </c>
      <c r="G485" s="275" t="s">
        <v>562</v>
      </c>
      <c r="H485" s="274" t="s">
        <v>304</v>
      </c>
      <c r="I485" s="275" t="s">
        <v>305</v>
      </c>
      <c r="J485" s="281" t="s">
        <v>1159</v>
      </c>
      <c r="K485" s="275" t="s">
        <v>301</v>
      </c>
      <c r="L485" s="306" t="s">
        <v>902</v>
      </c>
      <c r="M485" s="278" t="str">
        <f t="array" ref="M485">IFERROR(XLOOKUP(L485,'2. DATA NL, VTBB'!C:C,'2. DATA NL, VTBB'!D:D),"")</f>
        <v>Thùng Thiên Di chai HD logo Thiên Di 500ml x 40 chai (64.5x40.5x18.5cm) KTPB - Trắng viền xanh lá</v>
      </c>
      <c r="N485" s="280"/>
      <c r="O485" s="280" t="str">
        <f t="array" ref="O485">IFERROR( XLOOKUP(L485,'2. DATA NL, VTBB'!C:C,'2. DATA NL, VTBB'!E:E),"")</f>
        <v>Centertaner 500WP</v>
      </c>
      <c r="P485" s="275" t="s">
        <v>565</v>
      </c>
      <c r="Q485" s="311"/>
      <c r="R485" s="290" t="s">
        <v>566</v>
      </c>
      <c r="S485" s="277"/>
      <c r="T485" s="277"/>
      <c r="U485" s="277"/>
      <c r="V485" s="283">
        <v>100.0</v>
      </c>
      <c r="W485" s="275" t="s">
        <v>699</v>
      </c>
      <c r="X485" s="283">
        <v>100.0</v>
      </c>
      <c r="Y485" s="279">
        <v>110.0</v>
      </c>
      <c r="Z485" s="281">
        <v>24800.0</v>
      </c>
      <c r="AA485" s="285">
        <v>0.08</v>
      </c>
      <c r="AB485" s="340">
        <f t="shared" si="73"/>
        <v>2678400</v>
      </c>
      <c r="AC485" s="277"/>
      <c r="AD485" s="314">
        <v>46092.0</v>
      </c>
      <c r="AE485" s="272">
        <v>672.0</v>
      </c>
      <c r="AF485" s="277"/>
      <c r="AG485" s="277"/>
      <c r="AH485" s="294">
        <f>IFERROR(__xludf.DUMMYFUNCTION("IFERROR(INDEX( SORT(FILTER(
        {'1. DATA CHUNG'!$J$4:$J$105 , '1. DATA CHUNG'!$L$4:$L$105}, (TRIM('1. DATA CHUNG'!$I$4:$I$105)=TRIM(K485)) * IF(COUNTIFS('1. DATA CHUNG'!$I$4:$I$105,K485,'1. DATA CHUNG'!$M$4:$M$105,Q485), '1. DATA CHUNG'!$M$4:$M$105=Q"&amp;"485, 1) * ('1. DATA CHUNG'!$L$4:$L$105&lt;=TODAY()) ),   2, 0),  1, 1), 
  IFERROR( INDEX(FILTER('1. DATA CHUNG'!$J$4:$J$105, (TRIM('1. DATA CHUNG'!$I$4:$I$105)=TRIM(K485)) * IF(COUNTIFS('1. DATA CHUNG'!$I$4:$I$105,K485,'1. DATA CHUNG'!$M$4:$M$105,Q485), '1."&amp;" DATA CHUNG'!$M$4:$M$105=Q485, 1) * ('1. DATA CHUNG'!$L$4:$L$105="""")), 1), ""Không tìm thấy"" ))"),18.0)</f>
        <v>18</v>
      </c>
      <c r="AI485" s="273">
        <f t="shared" si="2"/>
        <v>46110</v>
      </c>
      <c r="AJ485" s="287"/>
      <c r="AK485" s="286">
        <f t="shared" si="3"/>
        <v>0</v>
      </c>
      <c r="AL485" s="287">
        <f t="shared" si="4"/>
        <v>4</v>
      </c>
      <c r="AM485" s="287">
        <f t="shared" si="5"/>
        <v>2</v>
      </c>
      <c r="AN485" s="279">
        <f t="shared" si="6"/>
        <v>-2</v>
      </c>
      <c r="AO485" s="295" t="str">
        <f t="shared" si="74"/>
        <v>03/2026</v>
      </c>
      <c r="AP485" s="277" t="str">
        <f t="array" ref="AP485">IFERROR(XLOOKUP(L485,'2. DATA NL, VTBB'!C:C,'2. DATA NL, VTBB'!F:F),"")</f>
        <v>HH0272</v>
      </c>
      <c r="AQ485" s="277" t="str">
        <f t="array" ref="AQ485">IF(OR(K485="Nhãn", K485="Nhãn thùng",K485="Nhãn Túi"), K485 &amp; " " &amp; IFERROR(XLOOKUP(L485, '2. DATA NL, VTBB'!C:C, '2. DATA NL, VTBB'!E:E), ""), "")</f>
        <v/>
      </c>
      <c r="AR485" s="278" t="str">
        <f t="array" ref="AR485">IFERROR(XLOOKUP(L485,'2. DATA NL, VTBB'!C:C,'2. DATA NL, VTBB'!G:G),"")</f>
        <v>IDA Global - I - 690 - Centertaner 500 WP (túi nhôm) - 12 gr - 400</v>
      </c>
      <c r="AS485" s="278" t="str">
        <f t="array" ref="AS485">IFERROR(XLOOKUP(L485,'2. DATA NL, VTBB'!C:C,'2. DATA NL, VTBB'!G:G),"")</f>
        <v>IDA Global - I - 690 - Centertaner 500 WP (túi nhôm) - 12 gr - 400</v>
      </c>
      <c r="AT485" s="277"/>
    </row>
    <row r="486" ht="30.75" customHeight="1">
      <c r="A486" s="272">
        <f t="shared" si="72"/>
        <v>482</v>
      </c>
      <c r="B486" s="314">
        <v>46092.0</v>
      </c>
      <c r="C486" s="314">
        <v>46112.0</v>
      </c>
      <c r="D486" s="314">
        <f t="shared" si="75"/>
        <v>46112</v>
      </c>
      <c r="E486" s="314">
        <v>46101.0</v>
      </c>
      <c r="F486" s="274" t="s">
        <v>561</v>
      </c>
      <c r="G486" s="275" t="s">
        <v>562</v>
      </c>
      <c r="H486" s="274" t="s">
        <v>304</v>
      </c>
      <c r="I486" s="275" t="s">
        <v>305</v>
      </c>
      <c r="J486" s="281" t="s">
        <v>1160</v>
      </c>
      <c r="K486" s="275" t="s">
        <v>301</v>
      </c>
      <c r="L486" s="306" t="s">
        <v>618</v>
      </c>
      <c r="M486" s="278" t="str">
        <f t="array" ref="M486">IFERROR(XLOOKUP(L486,'2. DATA NL, VTBB'!C:C,'2. DATA NL, VTBB'!D:D),"")</f>
        <v>Thùng IDA chai HDPE tròn 500ml x 40 chai (58x37x21cm) - Trắng xanh lá</v>
      </c>
      <c r="N486" s="280"/>
      <c r="O486" s="280" t="str">
        <f t="array" ref="O486">IFERROR( XLOOKUP(L486,'2. DATA NL, VTBB'!C:C,'2. DATA NL, VTBB'!E:E),"")</f>
        <v>Remy 19EC</v>
      </c>
      <c r="P486" s="275" t="s">
        <v>672</v>
      </c>
      <c r="Q486" s="311"/>
      <c r="R486" s="290" t="s">
        <v>566</v>
      </c>
      <c r="S486" s="277"/>
      <c r="T486" s="277"/>
      <c r="U486" s="277"/>
      <c r="V486" s="283">
        <v>200.0</v>
      </c>
      <c r="W486" s="275" t="s">
        <v>699</v>
      </c>
      <c r="X486" s="283">
        <v>200.0</v>
      </c>
      <c r="Y486" s="279">
        <v>210.0</v>
      </c>
      <c r="Z486" s="281">
        <v>22000.0</v>
      </c>
      <c r="AA486" s="285">
        <v>0.08</v>
      </c>
      <c r="AB486" s="340">
        <f t="shared" si="73"/>
        <v>4752000</v>
      </c>
      <c r="AC486" s="277"/>
      <c r="AD486" s="314">
        <v>46092.0</v>
      </c>
      <c r="AE486" s="312"/>
      <c r="AF486" s="277"/>
      <c r="AG486" s="277"/>
      <c r="AH486" s="294">
        <f>IFERROR(__xludf.DUMMYFUNCTION("IFERROR(INDEX( SORT(FILTER(
        {'1. DATA CHUNG'!$J$4:$J$105 , '1. DATA CHUNG'!$L$4:$L$105}, (TRIM('1. DATA CHUNG'!$I$4:$I$105)=TRIM(K486)) * IF(COUNTIFS('1. DATA CHUNG'!$I$4:$I$105,K486,'1. DATA CHUNG'!$M$4:$M$105,Q486), '1. DATA CHUNG'!$M$4:$M$105=Q"&amp;"486, 1) * ('1. DATA CHUNG'!$L$4:$L$105&lt;=TODAY()) ),   2, 0),  1, 1), 
  IFERROR( INDEX(FILTER('1. DATA CHUNG'!$J$4:$J$105, (TRIM('1. DATA CHUNG'!$I$4:$I$105)=TRIM(K486)) * IF(COUNTIFS('1. DATA CHUNG'!$I$4:$I$105,K486,'1. DATA CHUNG'!$M$4:$M$105,Q486), '1."&amp;" DATA CHUNG'!$M$4:$M$105=Q486, 1) * ('1. DATA CHUNG'!$L$4:$L$105="""")), 1), ""Không tìm thấy"" ))"),18.0)</f>
        <v>18</v>
      </c>
      <c r="AI486" s="273">
        <f t="shared" si="2"/>
        <v>46110</v>
      </c>
      <c r="AJ486" s="287"/>
      <c r="AK486" s="286">
        <f t="shared" si="3"/>
        <v>0</v>
      </c>
      <c r="AL486" s="287">
        <f t="shared" si="4"/>
        <v>11</v>
      </c>
      <c r="AM486" s="287">
        <f t="shared" si="5"/>
        <v>9</v>
      </c>
      <c r="AN486" s="279">
        <f t="shared" si="6"/>
        <v>-2</v>
      </c>
      <c r="AO486" s="295" t="str">
        <f t="shared" si="74"/>
        <v>03/2026</v>
      </c>
      <c r="AP486" s="277" t="str">
        <f t="array" ref="AP486">IFERROR(XLOOKUP(L486,'2. DATA NL, VTBB'!C:C,'2. DATA NL, VTBB'!F:F),"")</f>
        <v>HH0263</v>
      </c>
      <c r="AQ486" s="277" t="str">
        <f t="array" ref="AQ486">IF(OR(K486="Nhãn", K486="Nhãn thùng",K486="Nhãn Túi"), K486 &amp; " " &amp; IFERROR(XLOOKUP(L486, '2. DATA NL, VTBB'!C:C, '2. DATA NL, VTBB'!E:E), ""), "")</f>
        <v/>
      </c>
      <c r="AR486" s="278" t="str">
        <f t="array" ref="AR486">IFERROR(XLOOKUP(L486,'2. DATA NL, VTBB'!C:C,'2. DATA NL, VTBB'!G:G),"")</f>
        <v>GC - II - 682 - Đồng Phát - Doffatine 19 - 450ml - 40</v>
      </c>
      <c r="AS486" s="278" t="str">
        <f t="array" ref="AS486">IFERROR(XLOOKUP(L486,'2. DATA NL, VTBB'!C:C,'2. DATA NL, VTBB'!G:G),"")</f>
        <v>GC - II - 682 - Đồng Phát - Doffatine 19 - 450ml - 40</v>
      </c>
      <c r="AT486" s="277"/>
    </row>
    <row r="487" ht="30.75" customHeight="1">
      <c r="A487" s="272">
        <f t="shared" ref="A487:A508" si="76">ROW(A486)-2</f>
        <v>484</v>
      </c>
      <c r="B487" s="314">
        <v>46092.0</v>
      </c>
      <c r="C487" s="314">
        <v>46112.0</v>
      </c>
      <c r="D487" s="314">
        <f t="shared" si="75"/>
        <v>46112</v>
      </c>
      <c r="E487" s="314">
        <v>46109.0</v>
      </c>
      <c r="F487" s="274" t="s">
        <v>561</v>
      </c>
      <c r="G487" s="275" t="s">
        <v>580</v>
      </c>
      <c r="H487" s="274" t="s">
        <v>304</v>
      </c>
      <c r="I487" s="275" t="s">
        <v>305</v>
      </c>
      <c r="J487" s="281" t="s">
        <v>1161</v>
      </c>
      <c r="K487" s="275" t="s">
        <v>301</v>
      </c>
      <c r="L487" s="306" t="s">
        <v>618</v>
      </c>
      <c r="M487" s="278" t="str">
        <f t="array" ref="M487">IFERROR(XLOOKUP(L487,'2. DATA NL, VTBB'!C:C,'2. DATA NL, VTBB'!D:D),"")</f>
        <v>Thùng IDA chai HDPE tròn 500ml x 40 chai (58x37x21cm) - Trắng xanh lá</v>
      </c>
      <c r="N487" s="280"/>
      <c r="O487" s="280" t="str">
        <f t="array" ref="O487">IFERROR( XLOOKUP(L487,'2. DATA NL, VTBB'!C:C,'2. DATA NL, VTBB'!E:E),"")</f>
        <v>Remy 19EC</v>
      </c>
      <c r="P487" s="275" t="s">
        <v>565</v>
      </c>
      <c r="Q487" s="311"/>
      <c r="R487" s="291" t="s">
        <v>622</v>
      </c>
      <c r="S487" s="277"/>
      <c r="T487" s="277"/>
      <c r="U487" s="277"/>
      <c r="V487" s="283">
        <v>200.0</v>
      </c>
      <c r="W487" s="275" t="s">
        <v>699</v>
      </c>
      <c r="X487" s="283">
        <v>200.0</v>
      </c>
      <c r="Y487" s="279">
        <v>210.0</v>
      </c>
      <c r="Z487" s="281">
        <v>22000.0</v>
      </c>
      <c r="AA487" s="285">
        <v>0.08</v>
      </c>
      <c r="AB487" s="340">
        <f t="shared" si="73"/>
        <v>4752000</v>
      </c>
      <c r="AC487" s="277"/>
      <c r="AD487" s="314">
        <v>46092.0</v>
      </c>
      <c r="AE487" s="312"/>
      <c r="AF487" s="277"/>
      <c r="AG487" s="277"/>
      <c r="AH487" s="294">
        <f>IFERROR(__xludf.DUMMYFUNCTION("IFERROR(INDEX( SORT(FILTER(
        {'1. DATA CHUNG'!$J$4:$J$105 , '1. DATA CHUNG'!$L$4:$L$105}, (TRIM('1. DATA CHUNG'!$I$4:$I$105)=TRIM(K487)) * IF(COUNTIFS('1. DATA CHUNG'!$I$4:$I$105,K487,'1. DATA CHUNG'!$M$4:$M$105,Q487), '1. DATA CHUNG'!$M$4:$M$105=Q"&amp;"487, 1) * ('1. DATA CHUNG'!$L$4:$L$105&lt;=TODAY()) ),   2, 0),  1, 1), 
  IFERROR( INDEX(FILTER('1. DATA CHUNG'!$J$4:$J$105, (TRIM('1. DATA CHUNG'!$I$4:$I$105)=TRIM(K487)) * IF(COUNTIFS('1. DATA CHUNG'!$I$4:$I$105,K487,'1. DATA CHUNG'!$M$4:$M$105,Q487), '1."&amp;" DATA CHUNG'!$M$4:$M$105=Q487, 1) * ('1. DATA CHUNG'!$L$4:$L$105="""")), 1), ""Không tìm thấy"" ))"),18.0)</f>
        <v>18</v>
      </c>
      <c r="AI487" s="273">
        <f t="shared" si="2"/>
        <v>46110</v>
      </c>
      <c r="AJ487" s="287"/>
      <c r="AK487" s="286">
        <f t="shared" si="3"/>
        <v>0</v>
      </c>
      <c r="AL487" s="287">
        <f t="shared" si="4"/>
        <v>3</v>
      </c>
      <c r="AM487" s="287">
        <f t="shared" si="5"/>
        <v>1</v>
      </c>
      <c r="AN487" s="279">
        <f t="shared" si="6"/>
        <v>-2</v>
      </c>
      <c r="AO487" s="295" t="str">
        <f t="shared" si="74"/>
        <v>03/2026</v>
      </c>
      <c r="AP487" s="277" t="str">
        <f t="array" ref="AP487">IFERROR(XLOOKUP(L487,'2. DATA NL, VTBB'!C:C,'2. DATA NL, VTBB'!F:F),"")</f>
        <v>HH0263</v>
      </c>
      <c r="AQ487" s="277" t="str">
        <f t="array" ref="AQ487">IF(OR(K487="Nhãn", K487="Nhãn thùng",K487="Nhãn Túi"), K487 &amp; " " &amp; IFERROR(XLOOKUP(L487, '2. DATA NL, VTBB'!C:C, '2. DATA NL, VTBB'!E:E), ""), "")</f>
        <v/>
      </c>
      <c r="AR487" s="278" t="str">
        <f t="array" ref="AR487">IFERROR(XLOOKUP(L487,'2. DATA NL, VTBB'!C:C,'2. DATA NL, VTBB'!G:G),"")</f>
        <v>GC - II - 682 - Đồng Phát - Doffatine 19 - 450ml - 40</v>
      </c>
      <c r="AS487" s="278" t="str">
        <f t="array" ref="AS487">IFERROR(XLOOKUP(L487,'2. DATA NL, VTBB'!C:C,'2. DATA NL, VTBB'!G:G),"")</f>
        <v>GC - II - 682 - Đồng Phát - Doffatine 19 - 450ml - 40</v>
      </c>
      <c r="AT487" s="277"/>
    </row>
    <row r="488" ht="30.75" customHeight="1">
      <c r="A488" s="272">
        <f t="shared" si="76"/>
        <v>485</v>
      </c>
      <c r="B488" s="314">
        <v>46092.0</v>
      </c>
      <c r="C488" s="314">
        <v>46112.0</v>
      </c>
      <c r="D488" s="289">
        <f t="shared" si="75"/>
        <v>46112</v>
      </c>
      <c r="E488" s="314">
        <v>46109.0</v>
      </c>
      <c r="F488" s="274" t="s">
        <v>561</v>
      </c>
      <c r="G488" s="275" t="s">
        <v>562</v>
      </c>
      <c r="H488" s="274" t="s">
        <v>304</v>
      </c>
      <c r="I488" s="275" t="s">
        <v>305</v>
      </c>
      <c r="J488" s="281" t="s">
        <v>1162</v>
      </c>
      <c r="K488" s="275" t="s">
        <v>301</v>
      </c>
      <c r="L488" s="306" t="s">
        <v>618</v>
      </c>
      <c r="M488" s="278" t="str">
        <f t="array" ref="M488">IFERROR(XLOOKUP(L488,'2. DATA NL, VTBB'!C:C,'2. DATA NL, VTBB'!D:D),"")</f>
        <v>Thùng IDA chai HDPE tròn 500ml x 40 chai (58x37x21cm) - Trắng xanh lá</v>
      </c>
      <c r="N488" s="280"/>
      <c r="O488" s="280" t="str">
        <f t="array" ref="O488">IFERROR( XLOOKUP(L488,'2. DATA NL, VTBB'!C:C,'2. DATA NL, VTBB'!E:E),"")</f>
        <v>Remy 19EC</v>
      </c>
      <c r="P488" s="275" t="s">
        <v>565</v>
      </c>
      <c r="Q488" s="311"/>
      <c r="R488" s="291" t="s">
        <v>573</v>
      </c>
      <c r="S488" s="277"/>
      <c r="T488" s="277"/>
      <c r="U488" s="277"/>
      <c r="V488" s="283">
        <v>200.0</v>
      </c>
      <c r="W488" s="275" t="s">
        <v>699</v>
      </c>
      <c r="X488" s="283">
        <v>200.0</v>
      </c>
      <c r="Y488" s="279">
        <v>210.0</v>
      </c>
      <c r="Z488" s="281">
        <v>22000.0</v>
      </c>
      <c r="AA488" s="285">
        <v>0.08</v>
      </c>
      <c r="AB488" s="340">
        <f t="shared" si="73"/>
        <v>4752000</v>
      </c>
      <c r="AC488" s="277"/>
      <c r="AD488" s="314">
        <v>46092.0</v>
      </c>
      <c r="AE488" s="312"/>
      <c r="AF488" s="277"/>
      <c r="AG488" s="277"/>
      <c r="AH488" s="294">
        <f>IFERROR(__xludf.DUMMYFUNCTION("IFERROR(INDEX( SORT(FILTER(
        {'1. DATA CHUNG'!$J$4:$J$105 , '1. DATA CHUNG'!$L$4:$L$105}, (TRIM('1. DATA CHUNG'!$I$4:$I$105)=TRIM(K488)) * IF(COUNTIFS('1. DATA CHUNG'!$I$4:$I$105,K488,'1. DATA CHUNG'!$M$4:$M$105,Q488), '1. DATA CHUNG'!$M$4:$M$105=Q"&amp;"488, 1) * ('1. DATA CHUNG'!$L$4:$L$105&lt;=TODAY()) ),   2, 0),  1, 1), 
  IFERROR( INDEX(FILTER('1. DATA CHUNG'!$J$4:$J$105, (TRIM('1. DATA CHUNG'!$I$4:$I$105)=TRIM(K488)) * IF(COUNTIFS('1. DATA CHUNG'!$I$4:$I$105,K488,'1. DATA CHUNG'!$M$4:$M$105,Q488), '1."&amp;" DATA CHUNG'!$M$4:$M$105=Q488, 1) * ('1. DATA CHUNG'!$L$4:$L$105="""")), 1), ""Không tìm thấy"" ))"),18.0)</f>
        <v>18</v>
      </c>
      <c r="AI488" s="273">
        <f t="shared" si="2"/>
        <v>46110</v>
      </c>
      <c r="AJ488" s="287"/>
      <c r="AK488" s="286">
        <f t="shared" si="3"/>
        <v>0</v>
      </c>
      <c r="AL488" s="287">
        <f t="shared" si="4"/>
        <v>3</v>
      </c>
      <c r="AM488" s="287">
        <f t="shared" si="5"/>
        <v>1</v>
      </c>
      <c r="AN488" s="279">
        <f t="shared" si="6"/>
        <v>-2</v>
      </c>
      <c r="AO488" s="295" t="str">
        <f t="shared" si="74"/>
        <v>03/2026</v>
      </c>
      <c r="AP488" s="277" t="str">
        <f t="array" ref="AP488">IFERROR(XLOOKUP(L488,'2. DATA NL, VTBB'!C:C,'2. DATA NL, VTBB'!F:F),"")</f>
        <v>HH0263</v>
      </c>
      <c r="AQ488" s="277" t="str">
        <f t="array" ref="AQ488">IF(OR(K488="Nhãn", K488="Nhãn thùng",K488="Nhãn Túi"), K488 &amp; " " &amp; IFERROR(XLOOKUP(L488, '2. DATA NL, VTBB'!C:C, '2. DATA NL, VTBB'!E:E), ""), "")</f>
        <v/>
      </c>
      <c r="AR488" s="278" t="str">
        <f t="array" ref="AR488">IFERROR(XLOOKUP(L488,'2. DATA NL, VTBB'!C:C,'2. DATA NL, VTBB'!G:G),"")</f>
        <v>GC - II - 682 - Đồng Phát - Doffatine 19 - 450ml - 40</v>
      </c>
      <c r="AS488" s="278" t="str">
        <f t="array" ref="AS488">IFERROR(XLOOKUP(L488,'2. DATA NL, VTBB'!C:C,'2. DATA NL, VTBB'!G:G),"")</f>
        <v>GC - II - 682 - Đồng Phát - Doffatine 19 - 450ml - 40</v>
      </c>
      <c r="AT488" s="277"/>
    </row>
    <row r="489" ht="30.75" customHeight="1">
      <c r="A489" s="272">
        <f t="shared" si="76"/>
        <v>486</v>
      </c>
      <c r="B489" s="314">
        <v>46097.0</v>
      </c>
      <c r="C489" s="314">
        <f t="shared" ref="C489:C505" si="77">B489+15</f>
        <v>46112</v>
      </c>
      <c r="D489" s="289">
        <f t="shared" ref="D489:D497" si="78">B489+28</f>
        <v>46125</v>
      </c>
      <c r="E489" s="318"/>
      <c r="F489" s="274" t="s">
        <v>561</v>
      </c>
      <c r="G489" s="275" t="s">
        <v>562</v>
      </c>
      <c r="H489" s="274" t="s">
        <v>304</v>
      </c>
      <c r="I489" s="275" t="s">
        <v>305</v>
      </c>
      <c r="J489" s="281" t="s">
        <v>563</v>
      </c>
      <c r="K489" s="275" t="s">
        <v>301</v>
      </c>
      <c r="L489" s="306" t="s">
        <v>564</v>
      </c>
      <c r="M489" s="278" t="str">
        <f t="array" ref="M489">IFERROR(XLOOKUP(L489,'2. DATA NL, VTBB'!C:C,'2. DATA NL, VTBB'!D:D),"")</f>
        <v>Thùng NEWTEX chai HDPE 500ml x 40 chai (60.5x38.5x20.5cm) - Trắng viền cam</v>
      </c>
      <c r="N489" s="280"/>
      <c r="O489" s="280" t="str">
        <f t="array" ref="O489">IFERROR( XLOOKUP(L489,'2. DATA NL, VTBB'!C:C,'2. DATA NL, VTBB'!E:E),"")</f>
        <v>CHIM ƯNG 3.8EC</v>
      </c>
      <c r="P489" s="275" t="s">
        <v>672</v>
      </c>
      <c r="Q489" s="311"/>
      <c r="R489" s="290" t="s">
        <v>566</v>
      </c>
      <c r="S489" s="277"/>
      <c r="T489" s="277"/>
      <c r="U489" s="277"/>
      <c r="V489" s="283">
        <v>100.0</v>
      </c>
      <c r="W489" s="275" t="s">
        <v>699</v>
      </c>
      <c r="X489" s="283">
        <v>100.0</v>
      </c>
      <c r="Y489" s="279">
        <v>110.0</v>
      </c>
      <c r="Z489" s="281">
        <v>24400.0</v>
      </c>
      <c r="AA489" s="285">
        <v>0.08</v>
      </c>
      <c r="AB489" s="340">
        <f t="shared" si="73"/>
        <v>2635200</v>
      </c>
      <c r="AC489" s="277"/>
      <c r="AD489" s="314">
        <v>46097.0</v>
      </c>
      <c r="AE489" s="312"/>
      <c r="AF489" s="277"/>
      <c r="AG489" s="277"/>
      <c r="AH489" s="294">
        <f>IFERROR(__xludf.DUMMYFUNCTION("IFERROR(INDEX( SORT(FILTER(
        {'1. DATA CHUNG'!$J$4:$J$105 , '1. DATA CHUNG'!$L$4:$L$105}, (TRIM('1. DATA CHUNG'!$I$4:$I$105)=TRIM(K489)) * IF(COUNTIFS('1. DATA CHUNG'!$I$4:$I$105,K489,'1. DATA CHUNG'!$M$4:$M$105,Q489), '1. DATA CHUNG'!$M$4:$M$105=Q"&amp;"489, 1) * ('1. DATA CHUNG'!$L$4:$L$105&lt;=TODAY()) ),   2, 0),  1, 1), 
  IFERROR( INDEX(FILTER('1. DATA CHUNG'!$J$4:$J$105, (TRIM('1. DATA CHUNG'!$I$4:$I$105)=TRIM(K489)) * IF(COUNTIFS('1. DATA CHUNG'!$I$4:$I$105,K489,'1. DATA CHUNG'!$M$4:$M$105,Q489), '1."&amp;" DATA CHUNG'!$M$4:$M$105=Q489, 1) * ('1. DATA CHUNG'!$L$4:$L$105="""")), 1), ""Không tìm thấy"" ))"),18.0)</f>
        <v>18</v>
      </c>
      <c r="AI489" s="273">
        <f t="shared" si="2"/>
        <v>46115</v>
      </c>
      <c r="AJ489" s="287"/>
      <c r="AK489" s="286">
        <f t="shared" si="3"/>
        <v>0</v>
      </c>
      <c r="AL489" s="287" t="str">
        <f t="shared" si="4"/>
        <v/>
      </c>
      <c r="AM489" s="287" t="str">
        <f t="shared" si="5"/>
        <v/>
      </c>
      <c r="AN489" s="279">
        <f t="shared" si="6"/>
        <v>3</v>
      </c>
      <c r="AO489" s="295" t="str">
        <f t="shared" si="74"/>
        <v>03/2026</v>
      </c>
      <c r="AP489" s="277" t="str">
        <f t="array" ref="AP489">IFERROR(XLOOKUP(L489,'2. DATA NL, VTBB'!C:C,'2. DATA NL, VTBB'!F:F),"")</f>
        <v>HH0239</v>
      </c>
      <c r="AQ489" s="277" t="str">
        <f t="array" ref="AQ489">IF(OR(K489="Nhãn", K489="Nhãn thùng",K489="Nhãn Túi"), K489 &amp; " " &amp; IFERROR(XLOOKUP(L489, '2. DATA NL, VTBB'!C:C, '2. DATA NL, VTBB'!E:E), ""), "")</f>
        <v/>
      </c>
      <c r="AR489" s="278" t="str">
        <f t="array" ref="AR489">IFERROR(XLOOKUP(L489,'2. DATA NL, VTBB'!C:C,'2. DATA NL, VTBB'!G:G),"")</f>
        <v>GC - II - 653 - Huy Phát - A-CARI (chai nhôm đỏ) - 240ml - 40</v>
      </c>
      <c r="AS489" s="278" t="str">
        <f t="array" ref="AS489">IFERROR(XLOOKUP(L489,'2. DATA NL, VTBB'!C:C,'2. DATA NL, VTBB'!G:G),"")</f>
        <v>GC - II - 653 - Huy Phát - A-CARI (chai nhôm đỏ) - 240ml - 40</v>
      </c>
      <c r="AT489" s="277"/>
    </row>
    <row r="490" ht="30.75" customHeight="1">
      <c r="A490" s="272">
        <f t="shared" si="76"/>
        <v>487</v>
      </c>
      <c r="B490" s="314">
        <v>46097.0</v>
      </c>
      <c r="C490" s="314">
        <f t="shared" si="77"/>
        <v>46112</v>
      </c>
      <c r="D490" s="289">
        <f t="shared" si="78"/>
        <v>46125</v>
      </c>
      <c r="E490" s="318"/>
      <c r="F490" s="274" t="s">
        <v>561</v>
      </c>
      <c r="G490" s="275" t="s">
        <v>562</v>
      </c>
      <c r="H490" s="274" t="s">
        <v>304</v>
      </c>
      <c r="I490" s="275" t="s">
        <v>305</v>
      </c>
      <c r="J490" s="281" t="s">
        <v>569</v>
      </c>
      <c r="K490" s="275" t="s">
        <v>301</v>
      </c>
      <c r="L490" s="306" t="s">
        <v>570</v>
      </c>
      <c r="M490" s="278" t="str">
        <f t="array" ref="M490">IFERROR(XLOOKUP(L490,'2. DATA NL, VTBB'!C:C,'2. DATA NL, VTBB'!D:D),"")</f>
        <v>Thùng NHP Chai HDPE 500ml x 40 chai (60x38x20cm) - Trắng viền xanh dương đỏ</v>
      </c>
      <c r="N490" s="280"/>
      <c r="O490" s="280" t="str">
        <f t="array" ref="O490">IFERROR( XLOOKUP(L490,'2. DATA NL, VTBB'!C:C,'2. DATA NL, VTBB'!E:E),"")</f>
        <v>RAYXANH 200WP</v>
      </c>
      <c r="P490" s="275" t="s">
        <v>672</v>
      </c>
      <c r="Q490" s="311"/>
      <c r="R490" s="290" t="s">
        <v>566</v>
      </c>
      <c r="S490" s="277"/>
      <c r="T490" s="277"/>
      <c r="U490" s="277"/>
      <c r="V490" s="283">
        <v>100.0</v>
      </c>
      <c r="W490" s="275" t="s">
        <v>699</v>
      </c>
      <c r="X490" s="283">
        <v>100.0</v>
      </c>
      <c r="Y490" s="279">
        <v>110.0</v>
      </c>
      <c r="Z490" s="281">
        <v>23500.0</v>
      </c>
      <c r="AA490" s="285">
        <v>0.08</v>
      </c>
      <c r="AB490" s="340">
        <f t="shared" si="73"/>
        <v>2538000</v>
      </c>
      <c r="AC490" s="277"/>
      <c r="AD490" s="314">
        <v>46097.0</v>
      </c>
      <c r="AE490" s="312"/>
      <c r="AF490" s="277"/>
      <c r="AG490" s="277"/>
      <c r="AH490" s="294">
        <f>IFERROR(__xludf.DUMMYFUNCTION("IFERROR(INDEX( SORT(FILTER(
        {'1. DATA CHUNG'!$J$4:$J$105 , '1. DATA CHUNG'!$L$4:$L$105}, (TRIM('1. DATA CHUNG'!$I$4:$I$105)=TRIM(K490)) * IF(COUNTIFS('1. DATA CHUNG'!$I$4:$I$105,K490,'1. DATA CHUNG'!$M$4:$M$105,Q490), '1. DATA CHUNG'!$M$4:$M$105=Q"&amp;"490, 1) * ('1. DATA CHUNG'!$L$4:$L$105&lt;=TODAY()) ),   2, 0),  1, 1), 
  IFERROR( INDEX(FILTER('1. DATA CHUNG'!$J$4:$J$105, (TRIM('1. DATA CHUNG'!$I$4:$I$105)=TRIM(K490)) * IF(COUNTIFS('1. DATA CHUNG'!$I$4:$I$105,K490,'1. DATA CHUNG'!$M$4:$M$105,Q490), '1."&amp;" DATA CHUNG'!$M$4:$M$105=Q490, 1) * ('1. DATA CHUNG'!$L$4:$L$105="""")), 1), ""Không tìm thấy"" ))"),18.0)</f>
        <v>18</v>
      </c>
      <c r="AI490" s="273">
        <f t="shared" si="2"/>
        <v>46115</v>
      </c>
      <c r="AJ490" s="287"/>
      <c r="AK490" s="286">
        <f t="shared" si="3"/>
        <v>0</v>
      </c>
      <c r="AL490" s="287" t="str">
        <f t="shared" si="4"/>
        <v/>
      </c>
      <c r="AM490" s="287" t="str">
        <f t="shared" si="5"/>
        <v/>
      </c>
      <c r="AN490" s="279">
        <f t="shared" si="6"/>
        <v>3</v>
      </c>
      <c r="AO490" s="295" t="str">
        <f t="shared" si="74"/>
        <v>03/2026</v>
      </c>
      <c r="AP490" s="277" t="str">
        <f t="array" ref="AP490">IFERROR(XLOOKUP(L490,'2. DATA NL, VTBB'!C:C,'2. DATA NL, VTBB'!F:F),"")</f>
        <v>HH0287</v>
      </c>
      <c r="AQ490" s="277" t="str">
        <f t="array" ref="AQ490">IF(OR(K490="Nhãn", K490="Nhãn thùng",K490="Nhãn Túi"), K490 &amp; " " &amp; IFERROR(XLOOKUP(L490, '2. DATA NL, VTBB'!C:C, '2. DATA NL, VTBB'!E:E), ""), "")</f>
        <v/>
      </c>
      <c r="AR490" s="278" t="str">
        <f t="array" ref="AR490">IFERROR(XLOOKUP(L490,'2. DATA NL, VTBB'!C:C,'2. DATA NL, VTBB'!G:G),"")</f>
        <v>GC - II - 701 - GNH - Ray xanh 200WP - 80gr - 150</v>
      </c>
      <c r="AS490" s="278" t="str">
        <f t="array" ref="AS490">IFERROR(XLOOKUP(L490,'2. DATA NL, VTBB'!C:C,'2. DATA NL, VTBB'!G:G),"")</f>
        <v>GC - II - 701 - GNH - Ray xanh 200WP - 80gr - 150</v>
      </c>
      <c r="AT490" s="277"/>
    </row>
    <row r="491" ht="30.75" customHeight="1">
      <c r="A491" s="272">
        <f t="shared" si="76"/>
        <v>488</v>
      </c>
      <c r="B491" s="314">
        <v>46097.0</v>
      </c>
      <c r="C491" s="314">
        <f t="shared" si="77"/>
        <v>46112</v>
      </c>
      <c r="D491" s="289">
        <f t="shared" si="78"/>
        <v>46125</v>
      </c>
      <c r="E491" s="318"/>
      <c r="F491" s="274" t="s">
        <v>561</v>
      </c>
      <c r="G491" s="275" t="s">
        <v>562</v>
      </c>
      <c r="H491" s="274" t="s">
        <v>304</v>
      </c>
      <c r="I491" s="275" t="s">
        <v>305</v>
      </c>
      <c r="J491" s="281" t="s">
        <v>571</v>
      </c>
      <c r="K491" s="275" t="s">
        <v>301</v>
      </c>
      <c r="L491" s="306" t="s">
        <v>572</v>
      </c>
      <c r="M491" s="278" t="str">
        <f t="array" ref="M491">IFERROR(XLOOKUP(L491,'2. DATA NL, VTBB'!C:C,'2. DATA NL, VTBB'!D:D),"")</f>
        <v>Thùng IDA chai PET tròn cổ 43 450ml x 40 chai (61.5x38.5x19cm) - Trắng xanh lá</v>
      </c>
      <c r="N491" s="280"/>
      <c r="O491" s="280" t="str">
        <f t="array" ref="O491">IFERROR( XLOOKUP(L491,'2. DATA NL, VTBB'!C:C,'2. DATA NL, VTBB'!E:E),"")</f>
        <v>Vi lượng Quantity New</v>
      </c>
      <c r="P491" s="275" t="s">
        <v>672</v>
      </c>
      <c r="Q491" s="311"/>
      <c r="R491" s="291" t="s">
        <v>573</v>
      </c>
      <c r="S491" s="277"/>
      <c r="T491" s="277"/>
      <c r="U491" s="277"/>
      <c r="V491" s="283">
        <v>400.0</v>
      </c>
      <c r="W491" s="275" t="s">
        <v>699</v>
      </c>
      <c r="X491" s="283">
        <v>400.0</v>
      </c>
      <c r="Y491" s="279">
        <v>410.0</v>
      </c>
      <c r="Z491" s="281">
        <v>23400.0</v>
      </c>
      <c r="AA491" s="285">
        <v>0.08</v>
      </c>
      <c r="AB491" s="340">
        <f t="shared" si="73"/>
        <v>10108800</v>
      </c>
      <c r="AC491" s="277"/>
      <c r="AD491" s="314">
        <v>46097.0</v>
      </c>
      <c r="AE491" s="312"/>
      <c r="AF491" s="277"/>
      <c r="AG491" s="277"/>
      <c r="AH491" s="294">
        <f>IFERROR(__xludf.DUMMYFUNCTION("IFERROR(INDEX( SORT(FILTER(
        {'1. DATA CHUNG'!$J$4:$J$105 , '1. DATA CHUNG'!$L$4:$L$105}, (TRIM('1. DATA CHUNG'!$I$4:$I$105)=TRIM(K491)) * IF(COUNTIFS('1. DATA CHUNG'!$I$4:$I$105,K491,'1. DATA CHUNG'!$M$4:$M$105,Q491), '1. DATA CHUNG'!$M$4:$M$105=Q"&amp;"491, 1) * ('1. DATA CHUNG'!$L$4:$L$105&lt;=TODAY()) ),   2, 0),  1, 1), 
  IFERROR( INDEX(FILTER('1. DATA CHUNG'!$J$4:$J$105, (TRIM('1. DATA CHUNG'!$I$4:$I$105)=TRIM(K491)) * IF(COUNTIFS('1. DATA CHUNG'!$I$4:$I$105,K491,'1. DATA CHUNG'!$M$4:$M$105,Q491), '1."&amp;" DATA CHUNG'!$M$4:$M$105=Q491, 1) * ('1. DATA CHUNG'!$L$4:$L$105="""")), 1), ""Không tìm thấy"" ))"),18.0)</f>
        <v>18</v>
      </c>
      <c r="AI491" s="273">
        <f t="shared" si="2"/>
        <v>46115</v>
      </c>
      <c r="AJ491" s="287"/>
      <c r="AK491" s="286">
        <f t="shared" si="3"/>
        <v>0</v>
      </c>
      <c r="AL491" s="287" t="str">
        <f t="shared" si="4"/>
        <v/>
      </c>
      <c r="AM491" s="287" t="str">
        <f t="shared" si="5"/>
        <v/>
      </c>
      <c r="AN491" s="279">
        <f t="shared" si="6"/>
        <v>3</v>
      </c>
      <c r="AO491" s="295" t="str">
        <f t="shared" si="74"/>
        <v>03/2026</v>
      </c>
      <c r="AP491" s="277" t="str">
        <f t="array" ref="AP491">IFERROR(XLOOKUP(L491,'2. DATA NL, VTBB'!C:C,'2. DATA NL, VTBB'!F:F),"")</f>
        <v>HH0277</v>
      </c>
      <c r="AQ491" s="277" t="str">
        <f t="array" ref="AQ491">IF(OR(K491="Nhãn", K491="Nhãn thùng",K491="Nhãn Túi"), K491 &amp; " " &amp; IFERROR(XLOOKUP(L491, '2. DATA NL, VTBB'!C:C, '2. DATA NL, VTBB'!E:E), ""), "")</f>
        <v/>
      </c>
      <c r="AR491" s="278" t="str">
        <f t="array" ref="AR491">IFERROR(XLOOKUP(L491,'2. DATA NL, VTBB'!C:C,'2. DATA NL, VTBB'!G:G),"")</f>
        <v>GC - II - 693 - A Thời GNH - Siêu bung đọt mai (chai HD) - 1L - 20</v>
      </c>
      <c r="AS491" s="278" t="str">
        <f t="array" ref="AS491">IFERROR(XLOOKUP(L491,'2. DATA NL, VTBB'!C:C,'2. DATA NL, VTBB'!G:G),"")</f>
        <v>GC - II - 693 - A Thời GNH - Siêu bung đọt mai (chai HD) - 1L - 20</v>
      </c>
      <c r="AT491" s="277"/>
    </row>
    <row r="492" ht="30.75" customHeight="1">
      <c r="A492" s="272">
        <f t="shared" si="76"/>
        <v>489</v>
      </c>
      <c r="B492" s="314">
        <v>46097.0</v>
      </c>
      <c r="C492" s="314">
        <f t="shared" si="77"/>
        <v>46112</v>
      </c>
      <c r="D492" s="289">
        <f t="shared" si="78"/>
        <v>46125</v>
      </c>
      <c r="E492" s="318"/>
      <c r="F492" s="274" t="s">
        <v>561</v>
      </c>
      <c r="G492" s="275" t="s">
        <v>562</v>
      </c>
      <c r="H492" s="274" t="s">
        <v>304</v>
      </c>
      <c r="I492" s="275" t="s">
        <v>305</v>
      </c>
      <c r="J492" s="281" t="s">
        <v>575</v>
      </c>
      <c r="K492" s="275" t="s">
        <v>301</v>
      </c>
      <c r="L492" s="306" t="s">
        <v>576</v>
      </c>
      <c r="M492" s="278" t="str">
        <f t="array" ref="M492">IFERROR(XLOOKUP(L492,'2. DATA NL, VTBB'!C:C,'2. DATA NL, VTBB'!D:D),"")</f>
        <v>Thùng QUANG ĐĂNG chai HD 1 lít x 20 chai (45.5x36x25.5cm) - Trắng viền xanh dương</v>
      </c>
      <c r="N492" s="280"/>
      <c r="O492" s="280" t="str">
        <f t="array" ref="O492">IFERROR( XLOOKUP(L492,'2. DATA NL, VTBB'!C:C,'2. DATA NL, VTBB'!E:E),"")</f>
        <v>NPK Bổ sung Vi lượng Basel NPK 6-6-8 IDA 33</v>
      </c>
      <c r="P492" s="275" t="s">
        <v>672</v>
      </c>
      <c r="Q492" s="275" t="b">
        <v>0</v>
      </c>
      <c r="R492" s="290" t="s">
        <v>566</v>
      </c>
      <c r="S492" s="277"/>
      <c r="T492" s="277"/>
      <c r="U492" s="277"/>
      <c r="V492" s="283">
        <v>100.0</v>
      </c>
      <c r="W492" s="275" t="s">
        <v>699</v>
      </c>
      <c r="X492" s="283">
        <v>100.0</v>
      </c>
      <c r="Y492" s="279">
        <v>110.0</v>
      </c>
      <c r="Z492" s="281">
        <v>19750.0</v>
      </c>
      <c r="AA492" s="285">
        <v>0.08</v>
      </c>
      <c r="AB492" s="340">
        <f t="shared" si="73"/>
        <v>2133000</v>
      </c>
      <c r="AC492" s="277"/>
      <c r="AD492" s="314">
        <v>46097.0</v>
      </c>
      <c r="AE492" s="312"/>
      <c r="AF492" s="277"/>
      <c r="AG492" s="277"/>
      <c r="AH492" s="294">
        <f>IFERROR(__xludf.DUMMYFUNCTION("IFERROR(INDEX( SORT(FILTER(
        {'1. DATA CHUNG'!$J$4:$J$105 , '1. DATA CHUNG'!$L$4:$L$105}, (TRIM('1. DATA CHUNG'!$I$4:$I$105)=TRIM(K492)) * IF(COUNTIFS('1. DATA CHUNG'!$I$4:$I$105,K492,'1. DATA CHUNG'!$M$4:$M$105,Q492), '1. DATA CHUNG'!$M$4:$M$105=Q"&amp;"492, 1) * ('1. DATA CHUNG'!$L$4:$L$105&lt;=TODAY()) ),   2, 0),  1, 1), 
  IFERROR( INDEX(FILTER('1. DATA CHUNG'!$J$4:$J$105, (TRIM('1. DATA CHUNG'!$I$4:$I$105)=TRIM(K492)) * IF(COUNTIFS('1. DATA CHUNG'!$I$4:$I$105,K492,'1. DATA CHUNG'!$M$4:$M$105,Q492), '1."&amp;" DATA CHUNG'!$M$4:$M$105=Q492, 1) * ('1. DATA CHUNG'!$L$4:$L$105="""")), 1), ""Không tìm thấy"" ))"),18.0)</f>
        <v>18</v>
      </c>
      <c r="AI492" s="273">
        <f t="shared" si="2"/>
        <v>46115</v>
      </c>
      <c r="AJ492" s="287"/>
      <c r="AK492" s="286">
        <f t="shared" si="3"/>
        <v>0</v>
      </c>
      <c r="AL492" s="287" t="str">
        <f t="shared" si="4"/>
        <v/>
      </c>
      <c r="AM492" s="287" t="str">
        <f t="shared" si="5"/>
        <v/>
      </c>
      <c r="AN492" s="279">
        <f t="shared" si="6"/>
        <v>3</v>
      </c>
      <c r="AO492" s="295" t="str">
        <f t="shared" si="74"/>
        <v>03/2026</v>
      </c>
      <c r="AP492" s="277" t="str">
        <f t="array" ref="AP492">IFERROR(XLOOKUP(L492,'2. DATA NL, VTBB'!C:C,'2. DATA NL, VTBB'!F:F),"")</f>
        <v>HH0286</v>
      </c>
      <c r="AQ492" s="277" t="str">
        <f t="array" ref="AQ492">IF(OR(K492="Nhãn", K492="Nhãn thùng",K492="Nhãn Túi"), K492 &amp; " " &amp; IFERROR(XLOOKUP(L492, '2. DATA NL, VTBB'!C:C, '2. DATA NL, VTBB'!E:E), ""), "")</f>
        <v/>
      </c>
      <c r="AR492" s="278" t="str">
        <f t="array" ref="AR492">IFERROR(XLOOKUP(L492,'2. DATA NL, VTBB'!C:C,'2. DATA NL, VTBB'!G:G),"")</f>
        <v>IDA Global - I - 700 - Toto Boost - 30ml - 400</v>
      </c>
      <c r="AS492" s="278" t="str">
        <f t="array" ref="AS492">IFERROR(XLOOKUP(L492,'2. DATA NL, VTBB'!C:C,'2. DATA NL, VTBB'!G:G),"")</f>
        <v>IDA Global - I - 700 - Toto Boost - 30ml - 400</v>
      </c>
      <c r="AT492" s="277"/>
    </row>
    <row r="493" ht="30.75" customHeight="1">
      <c r="A493" s="272">
        <f t="shared" si="76"/>
        <v>490</v>
      </c>
      <c r="B493" s="314">
        <v>46099.0</v>
      </c>
      <c r="C493" s="314">
        <f t="shared" si="77"/>
        <v>46114</v>
      </c>
      <c r="D493" s="289">
        <f t="shared" si="78"/>
        <v>46127</v>
      </c>
      <c r="E493" s="318"/>
      <c r="F493" s="274" t="s">
        <v>561</v>
      </c>
      <c r="G493" s="275" t="s">
        <v>562</v>
      </c>
      <c r="H493" s="274" t="s">
        <v>304</v>
      </c>
      <c r="I493" s="275" t="s">
        <v>305</v>
      </c>
      <c r="J493" s="281" t="s">
        <v>577</v>
      </c>
      <c r="K493" s="275" t="s">
        <v>301</v>
      </c>
      <c r="L493" s="306" t="s">
        <v>578</v>
      </c>
      <c r="M493" s="278" t="str">
        <f t="array" ref="M493">IFERROR(XLOOKUP(L493,'2. DATA NL, VTBB'!C:C,'2. DATA NL, VTBB'!D:D),"")</f>
        <v>Thùng DC Chai Pet Tròn 43 450ml-500ml - 61.5x38.5x19 - Trắng</v>
      </c>
      <c r="N493" s="280"/>
      <c r="O493" s="280" t="str">
        <f t="array" ref="O493">IFERROR( XLOOKUP(L493,'2. DATA NL, VTBB'!C:C,'2. DATA NL, VTBB'!E:E),"")</f>
        <v>Vi lượng AV4</v>
      </c>
      <c r="P493" s="275" t="s">
        <v>672</v>
      </c>
      <c r="Q493" s="311"/>
      <c r="R493" s="291" t="s">
        <v>573</v>
      </c>
      <c r="S493" s="277"/>
      <c r="T493" s="277"/>
      <c r="U493" s="277"/>
      <c r="V493" s="283">
        <v>500.0</v>
      </c>
      <c r="W493" s="275" t="s">
        <v>699</v>
      </c>
      <c r="X493" s="283">
        <v>500.0</v>
      </c>
      <c r="Y493" s="279">
        <v>510.0</v>
      </c>
      <c r="Z493" s="281">
        <v>21700.0</v>
      </c>
      <c r="AA493" s="285">
        <v>0.08</v>
      </c>
      <c r="AB493" s="340">
        <f t="shared" si="73"/>
        <v>11718000</v>
      </c>
      <c r="AC493" s="277"/>
      <c r="AD493" s="314">
        <v>46099.0</v>
      </c>
      <c r="AE493" s="312"/>
      <c r="AF493" s="277"/>
      <c r="AG493" s="277"/>
      <c r="AH493" s="294">
        <f>IFERROR(__xludf.DUMMYFUNCTION("IFERROR(INDEX( SORT(FILTER(
        {'1. DATA CHUNG'!$J$4:$J$105 , '1. DATA CHUNG'!$L$4:$L$105}, (TRIM('1. DATA CHUNG'!$I$4:$I$105)=TRIM(K493)) * IF(COUNTIFS('1. DATA CHUNG'!$I$4:$I$105,K493,'1. DATA CHUNG'!$M$4:$M$105,Q493), '1. DATA CHUNG'!$M$4:$M$105=Q"&amp;"493, 1) * ('1. DATA CHUNG'!$L$4:$L$105&lt;=TODAY()) ),   2, 0),  1, 1), 
  IFERROR( INDEX(FILTER('1. DATA CHUNG'!$J$4:$J$105, (TRIM('1. DATA CHUNG'!$I$4:$I$105)=TRIM(K493)) * IF(COUNTIFS('1. DATA CHUNG'!$I$4:$I$105,K493,'1. DATA CHUNG'!$M$4:$M$105,Q493), '1."&amp;" DATA CHUNG'!$M$4:$M$105=Q493, 1) * ('1. DATA CHUNG'!$L$4:$L$105="""")), 1), ""Không tìm thấy"" ))"),18.0)</f>
        <v>18</v>
      </c>
      <c r="AI493" s="273">
        <f t="shared" si="2"/>
        <v>46117</v>
      </c>
      <c r="AJ493" s="287"/>
      <c r="AK493" s="286">
        <f t="shared" si="3"/>
        <v>0</v>
      </c>
      <c r="AL493" s="287" t="str">
        <f t="shared" si="4"/>
        <v/>
      </c>
      <c r="AM493" s="287" t="str">
        <f t="shared" si="5"/>
        <v/>
      </c>
      <c r="AN493" s="279">
        <f t="shared" si="6"/>
        <v>3</v>
      </c>
      <c r="AO493" s="295" t="str">
        <f t="shared" si="74"/>
        <v>03/2026</v>
      </c>
      <c r="AP493" s="277" t="str">
        <f t="array" ref="AP493">IFERROR(XLOOKUP(L493,'2. DATA NL, VTBB'!C:C,'2. DATA NL, VTBB'!F:F),"")</f>
        <v>HH0004</v>
      </c>
      <c r="AQ493" s="277" t="str">
        <f t="array" ref="AQ493">IF(OR(K493="Nhãn", K493="Nhãn thùng",K493="Nhãn Túi"), K493 &amp; " " &amp; IFERROR(XLOOKUP(L493, '2. DATA NL, VTBB'!C:C, '2. DATA NL, VTBB'!E:E), ""), "")</f>
        <v/>
      </c>
      <c r="AR493" s="278" t="str">
        <f t="array" ref="AR493">IFERROR(XLOOKUP(L493,'2. DATA NL, VTBB'!C:C,'2. DATA NL, VTBB'!G:G),"")</f>
        <v>GC - II - 24 - Aqua Gold ra bông xoài 1kg -25</v>
      </c>
      <c r="AS493" s="278" t="str">
        <f t="array" ref="AS493">IFERROR(XLOOKUP(L493,'2. DATA NL, VTBB'!C:C,'2. DATA NL, VTBB'!G:G),"")</f>
        <v>GC - II - 24 - Aqua Gold ra bông xoài 1kg -25</v>
      </c>
      <c r="AT493" s="277"/>
    </row>
    <row r="494" ht="30.75" customHeight="1">
      <c r="A494" s="272">
        <f t="shared" si="76"/>
        <v>491</v>
      </c>
      <c r="B494" s="314">
        <v>46099.0</v>
      </c>
      <c r="C494" s="314">
        <f t="shared" si="77"/>
        <v>46114</v>
      </c>
      <c r="D494" s="289">
        <f t="shared" si="78"/>
        <v>46127</v>
      </c>
      <c r="E494" s="318"/>
      <c r="F494" s="274" t="s">
        <v>561</v>
      </c>
      <c r="G494" s="275" t="s">
        <v>562</v>
      </c>
      <c r="H494" s="274" t="s">
        <v>304</v>
      </c>
      <c r="I494" s="275" t="s">
        <v>305</v>
      </c>
      <c r="J494" s="281" t="s">
        <v>579</v>
      </c>
      <c r="K494" s="275" t="s">
        <v>301</v>
      </c>
      <c r="L494" s="306" t="s">
        <v>578</v>
      </c>
      <c r="M494" s="278" t="str">
        <f t="array" ref="M494">IFERROR(XLOOKUP(L494,'2. DATA NL, VTBB'!C:C,'2. DATA NL, VTBB'!D:D),"")</f>
        <v>Thùng DC Chai Pet Tròn 43 450ml-500ml - 61.5x38.5x19 - Trắng</v>
      </c>
      <c r="N494" s="280"/>
      <c r="O494" s="280" t="str">
        <f t="array" ref="O494">IFERROR( XLOOKUP(L494,'2. DATA NL, VTBB'!C:C,'2. DATA NL, VTBB'!E:E),"")</f>
        <v>Vi lượng AV4</v>
      </c>
      <c r="P494" s="275" t="s">
        <v>672</v>
      </c>
      <c r="Q494" s="311"/>
      <c r="R494" s="290" t="s">
        <v>566</v>
      </c>
      <c r="S494" s="277"/>
      <c r="T494" s="277"/>
      <c r="U494" s="277"/>
      <c r="V494" s="283">
        <v>100.0</v>
      </c>
      <c r="W494" s="275" t="s">
        <v>699</v>
      </c>
      <c r="X494" s="283">
        <v>100.0</v>
      </c>
      <c r="Y494" s="279">
        <v>110.0</v>
      </c>
      <c r="Z494" s="281">
        <v>21700.0</v>
      </c>
      <c r="AA494" s="285">
        <v>0.08</v>
      </c>
      <c r="AB494" s="340">
        <f t="shared" si="73"/>
        <v>2343600</v>
      </c>
      <c r="AC494" s="277"/>
      <c r="AD494" s="314">
        <v>46099.0</v>
      </c>
      <c r="AE494" s="312"/>
      <c r="AF494" s="277"/>
      <c r="AG494" s="277"/>
      <c r="AH494" s="294">
        <f>IFERROR(__xludf.DUMMYFUNCTION("IFERROR(INDEX( SORT(FILTER(
        {'1. DATA CHUNG'!$J$4:$J$105 , '1. DATA CHUNG'!$L$4:$L$105}, (TRIM('1. DATA CHUNG'!$I$4:$I$105)=TRIM(K494)) * IF(COUNTIFS('1. DATA CHUNG'!$I$4:$I$105,K494,'1. DATA CHUNG'!$M$4:$M$105,Q494), '1. DATA CHUNG'!$M$4:$M$105=Q"&amp;"494, 1) * ('1. DATA CHUNG'!$L$4:$L$105&lt;=TODAY()) ),   2, 0),  1, 1), 
  IFERROR( INDEX(FILTER('1. DATA CHUNG'!$J$4:$J$105, (TRIM('1. DATA CHUNG'!$I$4:$I$105)=TRIM(K494)) * IF(COUNTIFS('1. DATA CHUNG'!$I$4:$I$105,K494,'1. DATA CHUNG'!$M$4:$M$105,Q494), '1."&amp;" DATA CHUNG'!$M$4:$M$105=Q494, 1) * ('1. DATA CHUNG'!$L$4:$L$105="""")), 1), ""Không tìm thấy"" ))"),18.0)</f>
        <v>18</v>
      </c>
      <c r="AI494" s="273">
        <f t="shared" si="2"/>
        <v>46117</v>
      </c>
      <c r="AJ494" s="287"/>
      <c r="AK494" s="286">
        <f t="shared" si="3"/>
        <v>0</v>
      </c>
      <c r="AL494" s="287" t="str">
        <f t="shared" si="4"/>
        <v/>
      </c>
      <c r="AM494" s="287" t="str">
        <f t="shared" si="5"/>
        <v/>
      </c>
      <c r="AN494" s="279">
        <f t="shared" si="6"/>
        <v>3</v>
      </c>
      <c r="AO494" s="295" t="str">
        <f t="shared" si="74"/>
        <v>03/2026</v>
      </c>
      <c r="AP494" s="277" t="str">
        <f t="array" ref="AP494">IFERROR(XLOOKUP(L494,'2. DATA NL, VTBB'!C:C,'2. DATA NL, VTBB'!F:F),"")</f>
        <v>HH0004</v>
      </c>
      <c r="AQ494" s="277" t="str">
        <f t="array" ref="AQ494">IF(OR(K494="Nhãn", K494="Nhãn thùng",K494="Nhãn Túi"), K494 &amp; " " &amp; IFERROR(XLOOKUP(L494, '2. DATA NL, VTBB'!C:C, '2. DATA NL, VTBB'!E:E), ""), "")</f>
        <v/>
      </c>
      <c r="AR494" s="278" t="str">
        <f t="array" ref="AR494">IFERROR(XLOOKUP(L494,'2. DATA NL, VTBB'!C:C,'2. DATA NL, VTBB'!G:G),"")</f>
        <v>GC - II - 24 - Aqua Gold ra bông xoài 1kg -25</v>
      </c>
      <c r="AS494" s="278" t="str">
        <f t="array" ref="AS494">IFERROR(XLOOKUP(L494,'2. DATA NL, VTBB'!C:C,'2. DATA NL, VTBB'!G:G),"")</f>
        <v>GC - II - 24 - Aqua Gold ra bông xoài 1kg -25</v>
      </c>
      <c r="AT494" s="277"/>
    </row>
    <row r="495" ht="30.75" customHeight="1">
      <c r="A495" s="272">
        <f t="shared" si="76"/>
        <v>492</v>
      </c>
      <c r="B495" s="314">
        <v>46099.0</v>
      </c>
      <c r="C495" s="314">
        <f t="shared" si="77"/>
        <v>46114</v>
      </c>
      <c r="D495" s="289">
        <f t="shared" si="78"/>
        <v>46127</v>
      </c>
      <c r="E495" s="318"/>
      <c r="F495" s="274" t="s">
        <v>561</v>
      </c>
      <c r="G495" s="275" t="s">
        <v>580</v>
      </c>
      <c r="H495" s="274" t="s">
        <v>304</v>
      </c>
      <c r="I495" s="275" t="s">
        <v>305</v>
      </c>
      <c r="J495" s="281" t="s">
        <v>581</v>
      </c>
      <c r="K495" s="275" t="s">
        <v>301</v>
      </c>
      <c r="L495" s="306" t="s">
        <v>582</v>
      </c>
      <c r="M495" s="278" t="str">
        <f t="array" ref="M495">IFERROR(XLOOKUP(L495,'2. DATA NL, VTBB'!C:C,'2. DATA NL, VTBB'!D:D),"")</f>
        <v>Thùng IDA chai vuông 450ml, 480ml, 500ml x 40 chai (42x36x22.5cm) - Xanh lá</v>
      </c>
      <c r="N495" s="280"/>
      <c r="O495" s="280" t="str">
        <f t="array" ref="O495">IFERROR( XLOOKUP(L495,'2. DATA NL, VTBB'!C:C,'2. DATA NL, VTBB'!E:E),"")</f>
        <v>TVZEB 800WP</v>
      </c>
      <c r="P495" s="275" t="s">
        <v>672</v>
      </c>
      <c r="Q495" s="311"/>
      <c r="R495" s="291" t="s">
        <v>573</v>
      </c>
      <c r="S495" s="277"/>
      <c r="T495" s="277"/>
      <c r="U495" s="277"/>
      <c r="V495" s="283">
        <v>100.0</v>
      </c>
      <c r="W495" s="275" t="s">
        <v>699</v>
      </c>
      <c r="X495" s="283">
        <v>100.0</v>
      </c>
      <c r="Y495" s="279">
        <v>100.0</v>
      </c>
      <c r="Z495" s="281">
        <v>18300.0</v>
      </c>
      <c r="AA495" s="285">
        <v>0.08</v>
      </c>
      <c r="AB495" s="340">
        <f t="shared" si="73"/>
        <v>1976400</v>
      </c>
      <c r="AC495" s="277"/>
      <c r="AD495" s="314">
        <v>46099.0</v>
      </c>
      <c r="AE495" s="312"/>
      <c r="AF495" s="277"/>
      <c r="AG495" s="277"/>
      <c r="AH495" s="294">
        <f>IFERROR(__xludf.DUMMYFUNCTION("IFERROR(INDEX( SORT(FILTER(
        {'1. DATA CHUNG'!$J$4:$J$105 , '1. DATA CHUNG'!$L$4:$L$105}, (TRIM('1. DATA CHUNG'!$I$4:$I$105)=TRIM(K495)) * IF(COUNTIFS('1. DATA CHUNG'!$I$4:$I$105,K495,'1. DATA CHUNG'!$M$4:$M$105,Q495), '1. DATA CHUNG'!$M$4:$M$105=Q"&amp;"495, 1) * ('1. DATA CHUNG'!$L$4:$L$105&lt;=TODAY()) ),   2, 0),  1, 1), 
  IFERROR( INDEX(FILTER('1. DATA CHUNG'!$J$4:$J$105, (TRIM('1. DATA CHUNG'!$I$4:$I$105)=TRIM(K495)) * IF(COUNTIFS('1. DATA CHUNG'!$I$4:$I$105,K495,'1. DATA CHUNG'!$M$4:$M$105,Q495), '1."&amp;" DATA CHUNG'!$M$4:$M$105=Q495, 1) * ('1. DATA CHUNG'!$L$4:$L$105="""")), 1), ""Không tìm thấy"" ))"),18.0)</f>
        <v>18</v>
      </c>
      <c r="AI495" s="273">
        <f t="shared" si="2"/>
        <v>46117</v>
      </c>
      <c r="AJ495" s="287"/>
      <c r="AK495" s="286">
        <f t="shared" si="3"/>
        <v>0</v>
      </c>
      <c r="AL495" s="287" t="str">
        <f t="shared" si="4"/>
        <v/>
      </c>
      <c r="AM495" s="287" t="str">
        <f t="shared" si="5"/>
        <v/>
      </c>
      <c r="AN495" s="279">
        <f t="shared" si="6"/>
        <v>3</v>
      </c>
      <c r="AO495" s="295" t="str">
        <f t="shared" si="74"/>
        <v>03/2026</v>
      </c>
      <c r="AP495" s="277" t="str">
        <f t="array" ref="AP495">IFERROR(XLOOKUP(L495,'2. DATA NL, VTBB'!C:C,'2. DATA NL, VTBB'!F:F),"")</f>
        <v>HH0089</v>
      </c>
      <c r="AQ495" s="277" t="str">
        <f t="array" ref="AQ495">IF(OR(K495="Nhãn", K495="Nhãn thùng",K495="Nhãn Túi"), K495 &amp; " " &amp; IFERROR(XLOOKUP(L495, '2. DATA NL, VTBB'!C:C, '2. DATA NL, VTBB'!E:E), ""), "")</f>
        <v/>
      </c>
      <c r="AR495" s="278" t="str">
        <f t="array" ref="AR495">IFERROR(XLOOKUP(L495,'2. DATA NL, VTBB'!C:C,'2. DATA NL, VTBB'!G:G),"")</f>
        <v>GC - 448 - I - Thiên Di - Mancozeb Xanh (Nhãn xanh Lá) - 100gr - 100</v>
      </c>
      <c r="AS495" s="278" t="str">
        <f t="array" ref="AS495">IFERROR(XLOOKUP(L495,'2. DATA NL, VTBB'!C:C,'2. DATA NL, VTBB'!G:G),"")</f>
        <v>GC - 448 - I - Thiên Di - Mancozeb Xanh (Nhãn xanh Lá) - 100gr - 100</v>
      </c>
      <c r="AT495" s="277"/>
    </row>
    <row r="496" ht="30.75" customHeight="1">
      <c r="A496" s="272">
        <f t="shared" si="76"/>
        <v>493</v>
      </c>
      <c r="B496" s="314">
        <v>46099.0</v>
      </c>
      <c r="C496" s="314">
        <f t="shared" si="77"/>
        <v>46114</v>
      </c>
      <c r="D496" s="289">
        <f t="shared" si="78"/>
        <v>46127</v>
      </c>
      <c r="E496" s="318"/>
      <c r="F496" s="274" t="s">
        <v>561</v>
      </c>
      <c r="G496" s="275" t="s">
        <v>580</v>
      </c>
      <c r="H496" s="274" t="s">
        <v>304</v>
      </c>
      <c r="I496" s="275" t="s">
        <v>305</v>
      </c>
      <c r="J496" s="281" t="s">
        <v>583</v>
      </c>
      <c r="K496" s="275" t="s">
        <v>301</v>
      </c>
      <c r="L496" s="306" t="s">
        <v>582</v>
      </c>
      <c r="M496" s="278" t="str">
        <f t="array" ref="M496">IFERROR(XLOOKUP(L496,'2. DATA NL, VTBB'!C:C,'2. DATA NL, VTBB'!D:D),"")</f>
        <v>Thùng IDA chai vuông 450ml, 480ml, 500ml x 40 chai (42x36x22.5cm) - Xanh lá</v>
      </c>
      <c r="N496" s="280"/>
      <c r="O496" s="280" t="str">
        <f t="array" ref="O496">IFERROR( XLOOKUP(L496,'2. DATA NL, VTBB'!C:C,'2. DATA NL, VTBB'!E:E),"")</f>
        <v>TVZEB 800WP</v>
      </c>
      <c r="P496" s="275" t="s">
        <v>672</v>
      </c>
      <c r="Q496" s="311"/>
      <c r="R496" s="291" t="s">
        <v>584</v>
      </c>
      <c r="S496" s="277"/>
      <c r="T496" s="277"/>
      <c r="U496" s="277"/>
      <c r="V496" s="283">
        <v>100.0</v>
      </c>
      <c r="W496" s="275" t="s">
        <v>699</v>
      </c>
      <c r="X496" s="283">
        <v>100.0</v>
      </c>
      <c r="Y496" s="279">
        <v>100.0</v>
      </c>
      <c r="Z496" s="281">
        <v>18300.0</v>
      </c>
      <c r="AA496" s="285">
        <v>0.08</v>
      </c>
      <c r="AB496" s="340">
        <f t="shared" si="73"/>
        <v>1976400</v>
      </c>
      <c r="AC496" s="277"/>
      <c r="AD496" s="314">
        <v>46099.0</v>
      </c>
      <c r="AE496" s="312"/>
      <c r="AF496" s="277"/>
      <c r="AG496" s="277"/>
      <c r="AH496" s="294">
        <f>IFERROR(__xludf.DUMMYFUNCTION("IFERROR(INDEX( SORT(FILTER(
        {'1. DATA CHUNG'!$J$4:$J$105 , '1. DATA CHUNG'!$L$4:$L$105}, (TRIM('1. DATA CHUNG'!$I$4:$I$105)=TRIM(K496)) * IF(COUNTIFS('1. DATA CHUNG'!$I$4:$I$105,K496,'1. DATA CHUNG'!$M$4:$M$105,Q496), '1. DATA CHUNG'!$M$4:$M$105=Q"&amp;"496, 1) * ('1. DATA CHUNG'!$L$4:$L$105&lt;=TODAY()) ),   2, 0),  1, 1), 
  IFERROR( INDEX(FILTER('1. DATA CHUNG'!$J$4:$J$105, (TRIM('1. DATA CHUNG'!$I$4:$I$105)=TRIM(K496)) * IF(COUNTIFS('1. DATA CHUNG'!$I$4:$I$105,K496,'1. DATA CHUNG'!$M$4:$M$105,Q496), '1."&amp;" DATA CHUNG'!$M$4:$M$105=Q496, 1) * ('1. DATA CHUNG'!$L$4:$L$105="""")), 1), ""Không tìm thấy"" ))"),18.0)</f>
        <v>18</v>
      </c>
      <c r="AI496" s="273">
        <f t="shared" si="2"/>
        <v>46117</v>
      </c>
      <c r="AJ496" s="287"/>
      <c r="AK496" s="286">
        <f t="shared" si="3"/>
        <v>0</v>
      </c>
      <c r="AL496" s="287" t="str">
        <f t="shared" si="4"/>
        <v/>
      </c>
      <c r="AM496" s="287" t="str">
        <f t="shared" si="5"/>
        <v/>
      </c>
      <c r="AN496" s="279">
        <f t="shared" si="6"/>
        <v>3</v>
      </c>
      <c r="AO496" s="295" t="str">
        <f t="shared" si="74"/>
        <v>03/2026</v>
      </c>
      <c r="AP496" s="277" t="str">
        <f t="array" ref="AP496">IFERROR(XLOOKUP(L496,'2. DATA NL, VTBB'!C:C,'2. DATA NL, VTBB'!F:F),"")</f>
        <v>HH0089</v>
      </c>
      <c r="AQ496" s="277" t="str">
        <f t="array" ref="AQ496">IF(OR(K496="Nhãn", K496="Nhãn thùng",K496="Nhãn Túi"), K496 &amp; " " &amp; IFERROR(XLOOKUP(L496, '2. DATA NL, VTBB'!C:C, '2. DATA NL, VTBB'!E:E), ""), "")</f>
        <v/>
      </c>
      <c r="AR496" s="278" t="str">
        <f t="array" ref="AR496">IFERROR(XLOOKUP(L496,'2. DATA NL, VTBB'!C:C,'2. DATA NL, VTBB'!G:G),"")</f>
        <v>GC - 448 - I - Thiên Di - Mancozeb Xanh (Nhãn xanh Lá) - 100gr - 100</v>
      </c>
      <c r="AS496" s="278" t="str">
        <f t="array" ref="AS496">IFERROR(XLOOKUP(L496,'2. DATA NL, VTBB'!C:C,'2. DATA NL, VTBB'!G:G),"")</f>
        <v>GC - 448 - I - Thiên Di - Mancozeb Xanh (Nhãn xanh Lá) - 100gr - 100</v>
      </c>
      <c r="AT496" s="277"/>
    </row>
    <row r="497" ht="30.75" customHeight="1">
      <c r="A497" s="272">
        <f t="shared" si="76"/>
        <v>494</v>
      </c>
      <c r="B497" s="314">
        <v>46100.0</v>
      </c>
      <c r="C497" s="314">
        <f t="shared" si="77"/>
        <v>46115</v>
      </c>
      <c r="D497" s="289">
        <f t="shared" si="78"/>
        <v>46128</v>
      </c>
      <c r="E497" s="318"/>
      <c r="F497" s="274" t="s">
        <v>561</v>
      </c>
      <c r="G497" s="275" t="s">
        <v>562</v>
      </c>
      <c r="H497" s="274" t="s">
        <v>304</v>
      </c>
      <c r="I497" s="275" t="s">
        <v>305</v>
      </c>
      <c r="J497" s="281" t="s">
        <v>585</v>
      </c>
      <c r="K497" s="275" t="s">
        <v>301</v>
      </c>
      <c r="L497" s="306" t="s">
        <v>586</v>
      </c>
      <c r="M497" s="278" t="str">
        <f t="array" ref="M497">IFERROR(XLOOKUP(L497,'2. DATA NL, VTBB'!C:C,'2. DATA NL, VTBB'!D:D),"")</f>
        <v>Thùng dùng chung ABA Chai 250ml x 40 chai (53.5x33.5x15.5cm) - Trắng</v>
      </c>
      <c r="N497" s="280"/>
      <c r="O497" s="280" t="str">
        <f t="array" ref="O497">IFERROR( XLOOKUP(L497,'2. DATA NL, VTBB'!C:C,'2. DATA NL, VTBB'!E:E),"")</f>
        <v>Creek 51WG</v>
      </c>
      <c r="P497" s="275" t="s">
        <v>672</v>
      </c>
      <c r="Q497" s="311"/>
      <c r="R497" s="290" t="s">
        <v>566</v>
      </c>
      <c r="S497" s="277"/>
      <c r="T497" s="277"/>
      <c r="U497" s="277"/>
      <c r="V497" s="283">
        <v>300.0</v>
      </c>
      <c r="W497" s="275" t="s">
        <v>699</v>
      </c>
      <c r="X497" s="283">
        <v>300.0</v>
      </c>
      <c r="Y497" s="279">
        <v>310.0</v>
      </c>
      <c r="Z497" s="281">
        <v>16700.0</v>
      </c>
      <c r="AA497" s="285">
        <v>0.08</v>
      </c>
      <c r="AB497" s="340">
        <f t="shared" si="73"/>
        <v>5410800</v>
      </c>
      <c r="AC497" s="277"/>
      <c r="AD497" s="314">
        <v>46100.0</v>
      </c>
      <c r="AE497" s="312"/>
      <c r="AF497" s="277"/>
      <c r="AG497" s="277"/>
      <c r="AH497" s="294">
        <f>IFERROR(__xludf.DUMMYFUNCTION("IFERROR(INDEX( SORT(FILTER(
        {'1. DATA CHUNG'!$J$4:$J$105 , '1. DATA CHUNG'!$L$4:$L$105}, (TRIM('1. DATA CHUNG'!$I$4:$I$105)=TRIM(K497)) * IF(COUNTIFS('1. DATA CHUNG'!$I$4:$I$105,K497,'1. DATA CHUNG'!$M$4:$M$105,Q497), '1. DATA CHUNG'!$M$4:$M$105=Q"&amp;"497, 1) * ('1. DATA CHUNG'!$L$4:$L$105&lt;=TODAY()) ),   2, 0),  1, 1), 
  IFERROR( INDEX(FILTER('1. DATA CHUNG'!$J$4:$J$105, (TRIM('1. DATA CHUNG'!$I$4:$I$105)=TRIM(K497)) * IF(COUNTIFS('1. DATA CHUNG'!$I$4:$I$105,K497,'1. DATA CHUNG'!$M$4:$M$105,Q497), '1."&amp;" DATA CHUNG'!$M$4:$M$105=Q497, 1) * ('1. DATA CHUNG'!$L$4:$L$105="""")), 1), ""Không tìm thấy"" ))"),18.0)</f>
        <v>18</v>
      </c>
      <c r="AI497" s="273">
        <f t="shared" si="2"/>
        <v>46118</v>
      </c>
      <c r="AJ497" s="287"/>
      <c r="AK497" s="286">
        <f t="shared" si="3"/>
        <v>0</v>
      </c>
      <c r="AL497" s="287" t="str">
        <f t="shared" si="4"/>
        <v/>
      </c>
      <c r="AM497" s="287" t="str">
        <f t="shared" si="5"/>
        <v/>
      </c>
      <c r="AN497" s="279">
        <f t="shared" si="6"/>
        <v>3</v>
      </c>
      <c r="AO497" s="295" t="str">
        <f t="shared" si="74"/>
        <v>03/2026</v>
      </c>
      <c r="AP497" s="277" t="str">
        <f t="array" ref="AP497">IFERROR(XLOOKUP(L497,'2. DATA NL, VTBB'!C:C,'2. DATA NL, VTBB'!F:F),"")</f>
        <v>HH0080</v>
      </c>
      <c r="AQ497" s="277" t="str">
        <f t="array" ref="AQ497">IF(OR(K497="Nhãn", K497="Nhãn thùng",K497="Nhãn Túi"), K497 &amp; " " &amp; IFERROR(XLOOKUP(L497, '2. DATA NL, VTBB'!C:C, '2. DATA NL, VTBB'!E:E), ""), "")</f>
        <v/>
      </c>
      <c r="AR497" s="278" t="str">
        <f t="array" ref="AR497">IFERROR(XLOOKUP(L497,'2. DATA NL, VTBB'!C:C,'2. DATA NL, VTBB'!G:G),"")</f>
        <v>IDA Global - I - 442 - Creek 51WG (Dạng cốm) - 30gr - 300</v>
      </c>
      <c r="AS497" s="278" t="str">
        <f t="array" ref="AS497">IFERROR(XLOOKUP(L497,'2. DATA NL, VTBB'!C:C,'2. DATA NL, VTBB'!G:G),"")</f>
        <v>IDA Global - I - 442 - Creek 51WG (Dạng cốm) - 30gr - 300</v>
      </c>
      <c r="AT497" s="277"/>
    </row>
    <row r="498" ht="30.75" customHeight="1">
      <c r="A498" s="272">
        <f t="shared" si="76"/>
        <v>495</v>
      </c>
      <c r="B498" s="314">
        <v>46100.0</v>
      </c>
      <c r="C498" s="314">
        <f t="shared" si="77"/>
        <v>46115</v>
      </c>
      <c r="D498" s="314">
        <f t="shared" ref="D498:D505" si="79">B498+25</f>
        <v>46125</v>
      </c>
      <c r="E498" s="318"/>
      <c r="F498" s="274" t="s">
        <v>561</v>
      </c>
      <c r="G498" s="291" t="s">
        <v>580</v>
      </c>
      <c r="H498" s="274" t="s">
        <v>304</v>
      </c>
      <c r="I498" s="275" t="s">
        <v>305</v>
      </c>
      <c r="J498" s="306" t="s">
        <v>588</v>
      </c>
      <c r="K498" s="275" t="s">
        <v>301</v>
      </c>
      <c r="L498" s="306" t="s">
        <v>589</v>
      </c>
      <c r="M498" s="278" t="str">
        <f t="array" ref="M498">IFERROR(XLOOKUP(L498,'2. DATA NL, VTBB'!C:C,'2. DATA NL, VTBB'!D:D),"")</f>
        <v>Thùng IDA chai FLOWER TOP 450ml x 40 chai (49x31x23cm) - Trắng xanh lá</v>
      </c>
      <c r="N498" s="280"/>
      <c r="O498" s="280" t="str">
        <f t="array" ref="O498">IFERROR( XLOOKUP(L498,'2. DATA NL, VTBB'!C:C,'2. DATA NL, VTBB'!E:E),"")</f>
        <v>Vi lượng BM-KABO</v>
      </c>
      <c r="P498" s="275" t="s">
        <v>672</v>
      </c>
      <c r="Q498" s="311"/>
      <c r="R498" s="291" t="s">
        <v>590</v>
      </c>
      <c r="S498" s="277"/>
      <c r="T498" s="277"/>
      <c r="U498" s="277"/>
      <c r="V498" s="283">
        <v>500.0</v>
      </c>
      <c r="W498" s="275" t="s">
        <v>699</v>
      </c>
      <c r="X498" s="283">
        <v>500.0</v>
      </c>
      <c r="Y498" s="279">
        <v>510.0</v>
      </c>
      <c r="Z498" s="281">
        <v>18300.0</v>
      </c>
      <c r="AA498" s="285">
        <v>0.08</v>
      </c>
      <c r="AB498" s="340">
        <f t="shared" si="73"/>
        <v>9882000</v>
      </c>
      <c r="AC498" s="277"/>
      <c r="AD498" s="314">
        <v>46100.0</v>
      </c>
      <c r="AE498" s="312"/>
      <c r="AF498" s="277"/>
      <c r="AG498" s="277"/>
      <c r="AH498" s="294">
        <f>IFERROR(__xludf.DUMMYFUNCTION("IFERROR(INDEX( SORT(FILTER(
        {'1. DATA CHUNG'!$J$4:$J$105 , '1. DATA CHUNG'!$L$4:$L$105}, (TRIM('1. DATA CHUNG'!$I$4:$I$105)=TRIM(K498)) * IF(COUNTIFS('1. DATA CHUNG'!$I$4:$I$105,K498,'1. DATA CHUNG'!$M$4:$M$105,Q498), '1. DATA CHUNG'!$M$4:$M$105=Q"&amp;"498, 1) * ('1. DATA CHUNG'!$L$4:$L$105&lt;=TODAY()) ),   2, 0),  1, 1), 
  IFERROR( INDEX(FILTER('1. DATA CHUNG'!$J$4:$J$105, (TRIM('1. DATA CHUNG'!$I$4:$I$105)=TRIM(K498)) * IF(COUNTIFS('1. DATA CHUNG'!$I$4:$I$105,K498,'1. DATA CHUNG'!$M$4:$M$105,Q498), '1."&amp;" DATA CHUNG'!$M$4:$M$105=Q498, 1) * ('1. DATA CHUNG'!$L$4:$L$105="""")), 1), ""Không tìm thấy"" ))"),18.0)</f>
        <v>18</v>
      </c>
      <c r="AI498" s="273">
        <f t="shared" si="2"/>
        <v>46118</v>
      </c>
      <c r="AJ498" s="287"/>
      <c r="AK498" s="286">
        <f t="shared" si="3"/>
        <v>0</v>
      </c>
      <c r="AL498" s="287" t="str">
        <f t="shared" si="4"/>
        <v/>
      </c>
      <c r="AM498" s="287" t="str">
        <f t="shared" si="5"/>
        <v/>
      </c>
      <c r="AN498" s="279">
        <f t="shared" si="6"/>
        <v>3</v>
      </c>
      <c r="AO498" s="295" t="str">
        <f t="shared" si="74"/>
        <v>03/2026</v>
      </c>
      <c r="AP498" s="277" t="str">
        <f t="array" ref="AP498">IFERROR(XLOOKUP(L498,'2. DATA NL, VTBB'!C:C,'2. DATA NL, VTBB'!F:F),"")</f>
        <v>HH0276</v>
      </c>
      <c r="AQ498" s="277" t="str">
        <f t="array" ref="AQ498">IF(OR(K498="Nhãn", K498="Nhãn thùng",K498="Nhãn Túi"), K498 &amp; " " &amp; IFERROR(XLOOKUP(L498, '2. DATA NL, VTBB'!C:C, '2. DATA NL, VTBB'!E:E), ""), "")</f>
        <v/>
      </c>
      <c r="AR498" s="278" t="str">
        <f t="array" ref="AR498">IFERROR(XLOOKUP(L498,'2. DATA NL, VTBB'!C:C,'2. DATA NL, VTBB'!G:G),"")</f>
        <v>GC - II - 692 - A Thời GNH - Siêu Lớn Trái - 500ml (chai HD)- 40</v>
      </c>
      <c r="AS498" s="278" t="str">
        <f t="array" ref="AS498">IFERROR(XLOOKUP(L498,'2. DATA NL, VTBB'!C:C,'2. DATA NL, VTBB'!G:G),"")</f>
        <v>GC - II - 692 - A Thời GNH - Siêu Lớn Trái - 500ml (chai HD)- 40</v>
      </c>
      <c r="AT498" s="277"/>
    </row>
    <row r="499" ht="30.75" customHeight="1">
      <c r="A499" s="272">
        <f t="shared" si="76"/>
        <v>496</v>
      </c>
      <c r="B499" s="314">
        <v>46102.0</v>
      </c>
      <c r="C499" s="314">
        <f t="shared" si="77"/>
        <v>46117</v>
      </c>
      <c r="D499" s="314">
        <f t="shared" si="79"/>
        <v>46127</v>
      </c>
      <c r="E499" s="318"/>
      <c r="F499" s="274" t="s">
        <v>561</v>
      </c>
      <c r="G499" s="275" t="s">
        <v>562</v>
      </c>
      <c r="H499" s="274" t="s">
        <v>304</v>
      </c>
      <c r="I499" s="275" t="s">
        <v>305</v>
      </c>
      <c r="J499" s="281" t="s">
        <v>591</v>
      </c>
      <c r="K499" s="275" t="s">
        <v>301</v>
      </c>
      <c r="L499" s="306" t="s">
        <v>592</v>
      </c>
      <c r="M499" s="278" t="str">
        <f t="array" ref="M499">IFERROR(XLOOKUP(L499,'2. DATA NL, VTBB'!C:C,'2. DATA NL, VTBB'!D:D),"")</f>
        <v>Thùng ASAHI NHẬT BẢN chai 500ml x 40 chai (59.5x37.5x18.5cm) - Trắng xanh đậm</v>
      </c>
      <c r="N499" s="280"/>
      <c r="O499" s="280" t="str">
        <f t="array" ref="O499">IFERROR( XLOOKUP(L499,'2. DATA NL, VTBB'!C:C,'2. DATA NL, VTBB'!E:E),"")</f>
        <v>Chitin 3.6EC</v>
      </c>
      <c r="P499" s="275" t="s">
        <v>672</v>
      </c>
      <c r="Q499" s="311"/>
      <c r="R499" s="290" t="s">
        <v>566</v>
      </c>
      <c r="S499" s="277"/>
      <c r="T499" s="277"/>
      <c r="U499" s="277"/>
      <c r="V499" s="283">
        <v>100.0</v>
      </c>
      <c r="W499" s="275" t="s">
        <v>699</v>
      </c>
      <c r="X499" s="283">
        <v>200.0</v>
      </c>
      <c r="Y499" s="279">
        <v>200.0</v>
      </c>
      <c r="Z499" s="281">
        <v>21500.0</v>
      </c>
      <c r="AA499" s="285">
        <v>0.08</v>
      </c>
      <c r="AB499" s="340">
        <f t="shared" si="73"/>
        <v>4644000</v>
      </c>
      <c r="AC499" s="277"/>
      <c r="AD499" s="314">
        <v>46102.0</v>
      </c>
      <c r="AE499" s="312"/>
      <c r="AF499" s="277"/>
      <c r="AG499" s="277"/>
      <c r="AH499" s="294">
        <f>IFERROR(__xludf.DUMMYFUNCTION("IFERROR(INDEX( SORT(FILTER(
        {'1. DATA CHUNG'!$J$4:$J$105 , '1. DATA CHUNG'!$L$4:$L$105}, (TRIM('1. DATA CHUNG'!$I$4:$I$105)=TRIM(K499)) * IF(COUNTIFS('1. DATA CHUNG'!$I$4:$I$105,K499,'1. DATA CHUNG'!$M$4:$M$105,Q499), '1. DATA CHUNG'!$M$4:$M$105=Q"&amp;"499, 1) * ('1. DATA CHUNG'!$L$4:$L$105&lt;=TODAY()) ),   2, 0),  1, 1), 
  IFERROR( INDEX(FILTER('1. DATA CHUNG'!$J$4:$J$105, (TRIM('1. DATA CHUNG'!$I$4:$I$105)=TRIM(K499)) * IF(COUNTIFS('1. DATA CHUNG'!$I$4:$I$105,K499,'1. DATA CHUNG'!$M$4:$M$105,Q499), '1."&amp;" DATA CHUNG'!$M$4:$M$105=Q499, 1) * ('1. DATA CHUNG'!$L$4:$L$105="""")), 1), ""Không tìm thấy"" ))"),18.0)</f>
        <v>18</v>
      </c>
      <c r="AI499" s="273">
        <f t="shared" si="2"/>
        <v>46120</v>
      </c>
      <c r="AJ499" s="287"/>
      <c r="AK499" s="286">
        <f t="shared" si="3"/>
        <v>0</v>
      </c>
      <c r="AL499" s="287" t="str">
        <f t="shared" si="4"/>
        <v/>
      </c>
      <c r="AM499" s="287" t="str">
        <f t="shared" si="5"/>
        <v/>
      </c>
      <c r="AN499" s="279">
        <f t="shared" si="6"/>
        <v>3</v>
      </c>
      <c r="AO499" s="295" t="str">
        <f t="shared" si="74"/>
        <v>03/2026</v>
      </c>
      <c r="AP499" s="277" t="str">
        <f t="array" ref="AP499">IFERROR(XLOOKUP(L499,'2. DATA NL, VTBB'!C:C,'2. DATA NL, VTBB'!F:F),"")</f>
        <v>HH0290</v>
      </c>
      <c r="AQ499" s="277" t="str">
        <f t="array" ref="AQ499">IF(OR(K499="Nhãn", K499="Nhãn thùng",K499="Nhãn Túi"), K499 &amp; " " &amp; IFERROR(XLOOKUP(L499, '2. DATA NL, VTBB'!C:C, '2. DATA NL, VTBB'!E:E), ""), "")</f>
        <v/>
      </c>
      <c r="AR499" s="278" t="str">
        <f t="array" ref="AR499">IFERROR(XLOOKUP(L499,'2. DATA NL, VTBB'!C:C,'2. DATA NL, VTBB'!G:G),"")</f>
        <v>GC - II - 704 - A Mạnh - Vua nhện (chai nhôm trắng)- 240ml - 60</v>
      </c>
      <c r="AS499" s="278" t="str">
        <f t="array" ref="AS499">IFERROR(XLOOKUP(L499,'2. DATA NL, VTBB'!C:C,'2. DATA NL, VTBB'!G:G),"")</f>
        <v>GC - II - 704 - A Mạnh - Vua nhện (chai nhôm trắng)- 240ml - 60</v>
      </c>
      <c r="AT499" s="277"/>
    </row>
    <row r="500" ht="30.75" customHeight="1">
      <c r="A500" s="272">
        <f t="shared" si="76"/>
        <v>497</v>
      </c>
      <c r="B500" s="314">
        <v>46102.0</v>
      </c>
      <c r="C500" s="314">
        <f t="shared" si="77"/>
        <v>46117</v>
      </c>
      <c r="D500" s="314">
        <f t="shared" si="79"/>
        <v>46127</v>
      </c>
      <c r="E500" s="318"/>
      <c r="F500" s="274" t="s">
        <v>561</v>
      </c>
      <c r="G500" s="275" t="s">
        <v>562</v>
      </c>
      <c r="H500" s="274" t="s">
        <v>304</v>
      </c>
      <c r="I500" s="275" t="s">
        <v>305</v>
      </c>
      <c r="J500" s="281" t="s">
        <v>593</v>
      </c>
      <c r="K500" s="275" t="s">
        <v>301</v>
      </c>
      <c r="L500" s="306" t="s">
        <v>564</v>
      </c>
      <c r="M500" s="278" t="str">
        <f t="array" ref="M500">IFERROR(XLOOKUP(L500,'2. DATA NL, VTBB'!C:C,'2. DATA NL, VTBB'!D:D),"")</f>
        <v>Thùng NEWTEX chai HDPE 500ml x 40 chai (60.5x38.5x20.5cm) - Trắng viền cam</v>
      </c>
      <c r="N500" s="280"/>
      <c r="O500" s="280" t="str">
        <f t="array" ref="O500">IFERROR( XLOOKUP(L500,'2. DATA NL, VTBB'!C:C,'2. DATA NL, VTBB'!E:E),"")</f>
        <v>CHIM ƯNG 3.8EC</v>
      </c>
      <c r="P500" s="275" t="s">
        <v>672</v>
      </c>
      <c r="Q500" s="311"/>
      <c r="R500" s="290" t="s">
        <v>566</v>
      </c>
      <c r="S500" s="277"/>
      <c r="T500" s="277"/>
      <c r="U500" s="277"/>
      <c r="V500" s="283">
        <v>200.0</v>
      </c>
      <c r="W500" s="275" t="s">
        <v>699</v>
      </c>
      <c r="X500" s="283">
        <v>300.0</v>
      </c>
      <c r="Y500" s="279">
        <v>310.0</v>
      </c>
      <c r="Z500" s="281">
        <v>24400.0</v>
      </c>
      <c r="AA500" s="285">
        <v>0.08</v>
      </c>
      <c r="AB500" s="340">
        <f t="shared" si="73"/>
        <v>7905600</v>
      </c>
      <c r="AC500" s="277"/>
      <c r="AD500" s="314">
        <v>46102.0</v>
      </c>
      <c r="AE500" s="312"/>
      <c r="AF500" s="277"/>
      <c r="AG500" s="277"/>
      <c r="AH500" s="294">
        <f>IFERROR(__xludf.DUMMYFUNCTION("IFERROR(INDEX( SORT(FILTER(
        {'1. DATA CHUNG'!$J$4:$J$105 , '1. DATA CHUNG'!$L$4:$L$105}, (TRIM('1. DATA CHUNG'!$I$4:$I$105)=TRIM(K500)) * IF(COUNTIFS('1. DATA CHUNG'!$I$4:$I$105,K500,'1. DATA CHUNG'!$M$4:$M$105,Q500), '1. DATA CHUNG'!$M$4:$M$105=Q"&amp;"500, 1) * ('1. DATA CHUNG'!$L$4:$L$105&lt;=TODAY()) ),   2, 0),  1, 1), 
  IFERROR( INDEX(FILTER('1. DATA CHUNG'!$J$4:$J$105, (TRIM('1. DATA CHUNG'!$I$4:$I$105)=TRIM(K500)) * IF(COUNTIFS('1. DATA CHUNG'!$I$4:$I$105,K500,'1. DATA CHUNG'!$M$4:$M$105,Q500), '1."&amp;" DATA CHUNG'!$M$4:$M$105=Q500, 1) * ('1. DATA CHUNG'!$L$4:$L$105="""")), 1), ""Không tìm thấy"" ))"),18.0)</f>
        <v>18</v>
      </c>
      <c r="AI500" s="273">
        <f t="shared" si="2"/>
        <v>46120</v>
      </c>
      <c r="AJ500" s="287"/>
      <c r="AK500" s="286">
        <f t="shared" si="3"/>
        <v>0</v>
      </c>
      <c r="AL500" s="287" t="str">
        <f t="shared" si="4"/>
        <v/>
      </c>
      <c r="AM500" s="287" t="str">
        <f t="shared" si="5"/>
        <v/>
      </c>
      <c r="AN500" s="279">
        <f t="shared" si="6"/>
        <v>3</v>
      </c>
      <c r="AO500" s="295" t="str">
        <f t="shared" si="74"/>
        <v>03/2026</v>
      </c>
      <c r="AP500" s="277" t="str">
        <f t="array" ref="AP500">IFERROR(XLOOKUP(L500,'2. DATA NL, VTBB'!C:C,'2. DATA NL, VTBB'!F:F),"")</f>
        <v>HH0239</v>
      </c>
      <c r="AQ500" s="277" t="str">
        <f t="array" ref="AQ500">IF(OR(K500="Nhãn", K500="Nhãn thùng",K500="Nhãn Túi"), K500 &amp; " " &amp; IFERROR(XLOOKUP(L500, '2. DATA NL, VTBB'!C:C, '2. DATA NL, VTBB'!E:E), ""), "")</f>
        <v/>
      </c>
      <c r="AR500" s="278" t="str">
        <f t="array" ref="AR500">IFERROR(XLOOKUP(L500,'2. DATA NL, VTBB'!C:C,'2. DATA NL, VTBB'!G:G),"")</f>
        <v>GC - II - 653 - Huy Phát - A-CARI (chai nhôm đỏ) - 240ml - 40</v>
      </c>
      <c r="AS500" s="278" t="str">
        <f t="array" ref="AS500">IFERROR(XLOOKUP(L500,'2. DATA NL, VTBB'!C:C,'2. DATA NL, VTBB'!G:G),"")</f>
        <v>GC - II - 653 - Huy Phát - A-CARI (chai nhôm đỏ) - 240ml - 40</v>
      </c>
      <c r="AT500" s="277"/>
    </row>
    <row r="501" ht="30.75" customHeight="1">
      <c r="A501" s="272">
        <f t="shared" si="76"/>
        <v>498</v>
      </c>
      <c r="B501" s="314">
        <v>46104.0</v>
      </c>
      <c r="C501" s="314">
        <f t="shared" si="77"/>
        <v>46119</v>
      </c>
      <c r="D501" s="314">
        <f t="shared" si="79"/>
        <v>46129</v>
      </c>
      <c r="E501" s="318"/>
      <c r="F501" s="274" t="s">
        <v>561</v>
      </c>
      <c r="G501" s="275" t="s">
        <v>562</v>
      </c>
      <c r="H501" s="274" t="s">
        <v>304</v>
      </c>
      <c r="I501" s="275" t="s">
        <v>305</v>
      </c>
      <c r="J501" s="281" t="s">
        <v>594</v>
      </c>
      <c r="K501" s="275" t="s">
        <v>301</v>
      </c>
      <c r="L501" s="306" t="s">
        <v>595</v>
      </c>
      <c r="M501" s="278" t="str">
        <f t="array" ref="M501">IFERROR(XLOOKUP(L501,'2. DATA NL, VTBB'!C:C,'2. DATA NL, VTBB'!D:D),"")</f>
        <v>Thùng dùng chung ABA chai tròn 1 lít x 20 chai (20 gói/ thùng) - (45.5x35.5x27cm) - Trắng</v>
      </c>
      <c r="N501" s="280"/>
      <c r="O501" s="280" t="str">
        <f t="array" ref="O501">IFERROR( XLOOKUP(L501,'2. DATA NL, VTBB'!C:C,'2. DATA NL, VTBB'!E:E),"")</f>
        <v>Vi lượng AV4-BO633</v>
      </c>
      <c r="P501" s="275" t="s">
        <v>672</v>
      </c>
      <c r="Q501" s="311"/>
      <c r="R501" s="290" t="s">
        <v>566</v>
      </c>
      <c r="S501" s="277"/>
      <c r="T501" s="277"/>
      <c r="U501" s="277"/>
      <c r="V501" s="283">
        <v>200.0</v>
      </c>
      <c r="W501" s="275" t="s">
        <v>699</v>
      </c>
      <c r="X501" s="283">
        <v>500.0</v>
      </c>
      <c r="Y501" s="279">
        <v>510.0</v>
      </c>
      <c r="Z501" s="281">
        <v>19750.0</v>
      </c>
      <c r="AA501" s="285">
        <v>0.08</v>
      </c>
      <c r="AB501" s="340">
        <f t="shared" si="73"/>
        <v>10665000</v>
      </c>
      <c r="AC501" s="277"/>
      <c r="AD501" s="314">
        <v>46104.0</v>
      </c>
      <c r="AE501" s="312"/>
      <c r="AF501" s="277"/>
      <c r="AG501" s="277"/>
      <c r="AH501" s="294">
        <f>IFERROR(__xludf.DUMMYFUNCTION("IFERROR(INDEX( SORT(FILTER(
        {'1. DATA CHUNG'!$J$4:$J$105 , '1. DATA CHUNG'!$L$4:$L$105}, (TRIM('1. DATA CHUNG'!$I$4:$I$105)=TRIM(K501)) * IF(COUNTIFS('1. DATA CHUNG'!$I$4:$I$105,K501,'1. DATA CHUNG'!$M$4:$M$105,Q501), '1. DATA CHUNG'!$M$4:$M$105=Q"&amp;"501, 1) * ('1. DATA CHUNG'!$L$4:$L$105&lt;=TODAY()) ),   2, 0),  1, 1), 
  IFERROR( INDEX(FILTER('1. DATA CHUNG'!$J$4:$J$105, (TRIM('1. DATA CHUNG'!$I$4:$I$105)=TRIM(K501)) * IF(COUNTIFS('1. DATA CHUNG'!$I$4:$I$105,K501,'1. DATA CHUNG'!$M$4:$M$105,Q501), '1."&amp;" DATA CHUNG'!$M$4:$M$105=Q501, 1) * ('1. DATA CHUNG'!$L$4:$L$105="""")), 1), ""Không tìm thấy"" ))"),18.0)</f>
        <v>18</v>
      </c>
      <c r="AI501" s="273">
        <f t="shared" si="2"/>
        <v>46122</v>
      </c>
      <c r="AJ501" s="287"/>
      <c r="AK501" s="286">
        <f t="shared" si="3"/>
        <v>0</v>
      </c>
      <c r="AL501" s="287" t="str">
        <f t="shared" si="4"/>
        <v/>
      </c>
      <c r="AM501" s="287" t="str">
        <f t="shared" si="5"/>
        <v/>
      </c>
      <c r="AN501" s="279">
        <f t="shared" si="6"/>
        <v>3</v>
      </c>
      <c r="AO501" s="295" t="str">
        <f t="shared" si="74"/>
        <v>03/2026</v>
      </c>
      <c r="AP501" s="277" t="str">
        <f t="array" ref="AP501">IFERROR(XLOOKUP(L501,'2. DATA NL, VTBB'!C:C,'2. DATA NL, VTBB'!F:F),"")</f>
        <v>HH0078</v>
      </c>
      <c r="AQ501" s="277" t="str">
        <f t="array" ref="AQ501">IF(OR(K501="Nhãn", K501="Nhãn thùng",K501="Nhãn Túi"), K501 &amp; " " &amp; IFERROR(XLOOKUP(L501, '2. DATA NL, VTBB'!C:C, '2. DATA NL, VTBB'!E:E), ""), "")</f>
        <v/>
      </c>
      <c r="AR501" s="278" t="str">
        <f t="array" ref="AR501">IFERROR(XLOOKUP(L501,'2. DATA NL, VTBB'!C:C,'2. DATA NL, VTBB'!G:G),"")</f>
        <v>GC - II - 434 - Ariplant - Siêu ra hoa sầu riêng (mới) - 250 gr- 100</v>
      </c>
      <c r="AS501" s="278" t="str">
        <f t="array" ref="AS501">IFERROR(XLOOKUP(L501,'2. DATA NL, VTBB'!C:C,'2. DATA NL, VTBB'!G:G),"")</f>
        <v>GC - II - 434 - Ariplant - Siêu ra hoa sầu riêng (mới) - 250 gr- 100</v>
      </c>
      <c r="AT501" s="277"/>
    </row>
    <row r="502" ht="30.75" customHeight="1">
      <c r="A502" s="272">
        <f t="shared" si="76"/>
        <v>499</v>
      </c>
      <c r="B502" s="314">
        <v>46104.0</v>
      </c>
      <c r="C502" s="314">
        <f t="shared" si="77"/>
        <v>46119</v>
      </c>
      <c r="D502" s="314">
        <f t="shared" si="79"/>
        <v>46129</v>
      </c>
      <c r="E502" s="318"/>
      <c r="F502" s="274" t="s">
        <v>561</v>
      </c>
      <c r="G502" s="275" t="s">
        <v>562</v>
      </c>
      <c r="H502" s="274" t="s">
        <v>304</v>
      </c>
      <c r="I502" s="275" t="s">
        <v>305</v>
      </c>
      <c r="J502" s="281" t="s">
        <v>594</v>
      </c>
      <c r="K502" s="275" t="s">
        <v>301</v>
      </c>
      <c r="L502" s="306" t="s">
        <v>596</v>
      </c>
      <c r="M502" s="278" t="str">
        <f t="array" ref="M502">IFERROR(XLOOKUP(L502,'2. DATA NL, VTBB'!C:C,'2. DATA NL, VTBB'!D:D),"")</f>
        <v>Thùng chung Chai HDPE 500ml x 40 chai  (64.5x40.5x19cm) - Nâu trơn</v>
      </c>
      <c r="N502" s="280"/>
      <c r="O502" s="280" t="str">
        <f t="array" ref="O502">IFERROR( XLOOKUP(L502,'2. DATA NL, VTBB'!C:C,'2. DATA NL, VTBB'!E:E),"")</f>
        <v>Centertaner 500WP</v>
      </c>
      <c r="P502" s="275" t="s">
        <v>672</v>
      </c>
      <c r="Q502" s="311"/>
      <c r="R502" s="290" t="s">
        <v>566</v>
      </c>
      <c r="S502" s="277"/>
      <c r="T502" s="277"/>
      <c r="U502" s="277"/>
      <c r="V502" s="283">
        <v>300.0</v>
      </c>
      <c r="W502" s="275" t="s">
        <v>699</v>
      </c>
      <c r="X502" s="283">
        <v>300.0</v>
      </c>
      <c r="Y502" s="279">
        <v>310.0</v>
      </c>
      <c r="Z502" s="281">
        <v>21500.0</v>
      </c>
      <c r="AA502" s="285">
        <v>0.08</v>
      </c>
      <c r="AB502" s="340">
        <f t="shared" si="73"/>
        <v>6966000</v>
      </c>
      <c r="AC502" s="277"/>
      <c r="AD502" s="314">
        <v>46104.0</v>
      </c>
      <c r="AE502" s="312"/>
      <c r="AF502" s="277"/>
      <c r="AG502" s="277"/>
      <c r="AH502" s="294">
        <f>IFERROR(__xludf.DUMMYFUNCTION("IFERROR(INDEX( SORT(FILTER(
        {'1. DATA CHUNG'!$J$4:$J$105 , '1. DATA CHUNG'!$L$4:$L$105}, (TRIM('1. DATA CHUNG'!$I$4:$I$105)=TRIM(K502)) * IF(COUNTIFS('1. DATA CHUNG'!$I$4:$I$105,K502,'1. DATA CHUNG'!$M$4:$M$105,Q502), '1. DATA CHUNG'!$M$4:$M$105=Q"&amp;"502, 1) * ('1. DATA CHUNG'!$L$4:$L$105&lt;=TODAY()) ),   2, 0),  1, 1), 
  IFERROR( INDEX(FILTER('1. DATA CHUNG'!$J$4:$J$105, (TRIM('1. DATA CHUNG'!$I$4:$I$105)=TRIM(K502)) * IF(COUNTIFS('1. DATA CHUNG'!$I$4:$I$105,K502,'1. DATA CHUNG'!$M$4:$M$105,Q502), '1."&amp;" DATA CHUNG'!$M$4:$M$105=Q502, 1) * ('1. DATA CHUNG'!$L$4:$L$105="""")), 1), ""Không tìm thấy"" ))"),18.0)</f>
        <v>18</v>
      </c>
      <c r="AI502" s="273">
        <f t="shared" si="2"/>
        <v>46122</v>
      </c>
      <c r="AJ502" s="287"/>
      <c r="AK502" s="286">
        <f t="shared" si="3"/>
        <v>0</v>
      </c>
      <c r="AL502" s="287" t="str">
        <f t="shared" si="4"/>
        <v/>
      </c>
      <c r="AM502" s="287" t="str">
        <f t="shared" si="5"/>
        <v/>
      </c>
      <c r="AN502" s="279">
        <f t="shared" si="6"/>
        <v>3</v>
      </c>
      <c r="AO502" s="295" t="str">
        <f t="shared" si="74"/>
        <v>03/2026</v>
      </c>
      <c r="AP502" s="277" t="str">
        <f t="array" ref="AP502">IFERROR(XLOOKUP(L502,'2. DATA NL, VTBB'!C:C,'2. DATA NL, VTBB'!F:F),"")</f>
        <v>HH0274</v>
      </c>
      <c r="AQ502" s="277" t="str">
        <f t="array" ref="AQ502">IF(OR(K502="Nhãn", K502="Nhãn thùng",K502="Nhãn Túi"), K502 &amp; " " &amp; IFERROR(XLOOKUP(L502, '2. DATA NL, VTBB'!C:C, '2. DATA NL, VTBB'!E:E), ""), "")</f>
        <v/>
      </c>
      <c r="AR502" s="278" t="str">
        <f t="array" ref="AR502">IFERROR(XLOOKUP(L502,'2. DATA NL, VTBB'!C:C,'2. DATA NL, VTBB'!G:G),"")</f>
        <v>IDA Global - I - 690 - Centertaner 500 WP (túi nhôm) - 12 gr - 400</v>
      </c>
      <c r="AS502" s="278" t="str">
        <f t="array" ref="AS502">IFERROR(XLOOKUP(L502,'2. DATA NL, VTBB'!C:C,'2. DATA NL, VTBB'!G:G),"")</f>
        <v>IDA Global - I - 690 - Centertaner 500 WP (túi nhôm) - 12 gr - 400</v>
      </c>
      <c r="AT502" s="277"/>
    </row>
    <row r="503" ht="30.75" customHeight="1">
      <c r="A503" s="272">
        <f t="shared" si="76"/>
        <v>500</v>
      </c>
      <c r="B503" s="314">
        <v>46105.0</v>
      </c>
      <c r="C503" s="314">
        <f t="shared" si="77"/>
        <v>46120</v>
      </c>
      <c r="D503" s="314">
        <f t="shared" si="79"/>
        <v>46130</v>
      </c>
      <c r="E503" s="318"/>
      <c r="F503" s="274" t="s">
        <v>561</v>
      </c>
      <c r="G503" s="275" t="s">
        <v>562</v>
      </c>
      <c r="H503" s="274" t="s">
        <v>304</v>
      </c>
      <c r="I503" s="275" t="s">
        <v>305</v>
      </c>
      <c r="J503" s="281" t="s">
        <v>597</v>
      </c>
      <c r="K503" s="275" t="s">
        <v>301</v>
      </c>
      <c r="L503" s="306" t="s">
        <v>598</v>
      </c>
      <c r="M503" s="278" t="str">
        <f t="array" ref="M503">IFERROR(XLOOKUP(L503,'2. DATA NL, VTBB'!C:C,'2. DATA NL, VTBB'!D:D),"")</f>
        <v>Thùng Newtex chai 100ml x 60 chai (36.5x30.5x22.5cm) - Trắng viền cam</v>
      </c>
      <c r="N503" s="280"/>
      <c r="O503" s="280" t="str">
        <f t="array" ref="O503">IFERROR( XLOOKUP(L503,'2. DATA NL, VTBB'!C:C,'2. DATA NL, VTBB'!E:E),"")</f>
        <v>Chitin 3.6EC</v>
      </c>
      <c r="P503" s="275" t="s">
        <v>672</v>
      </c>
      <c r="Q503" s="311"/>
      <c r="R503" s="291" t="s">
        <v>599</v>
      </c>
      <c r="S503" s="277"/>
      <c r="T503" s="277"/>
      <c r="U503" s="277"/>
      <c r="V503" s="283">
        <v>500.0</v>
      </c>
      <c r="W503" s="275" t="s">
        <v>699</v>
      </c>
      <c r="X503" s="283">
        <v>300.0</v>
      </c>
      <c r="Y503" s="279">
        <v>310.0</v>
      </c>
      <c r="Z503" s="281">
        <v>14800.0</v>
      </c>
      <c r="AA503" s="285">
        <v>0.08</v>
      </c>
      <c r="AB503" s="340">
        <f t="shared" si="73"/>
        <v>4795200</v>
      </c>
      <c r="AC503" s="277"/>
      <c r="AD503" s="314">
        <v>46105.0</v>
      </c>
      <c r="AE503" s="312"/>
      <c r="AF503" s="277"/>
      <c r="AG503" s="277"/>
      <c r="AH503" s="294">
        <f>IFERROR(__xludf.DUMMYFUNCTION("IFERROR(INDEX( SORT(FILTER(
        {'1. DATA CHUNG'!$J$4:$J$105 , '1. DATA CHUNG'!$L$4:$L$105}, (TRIM('1. DATA CHUNG'!$I$4:$I$105)=TRIM(K503)) * IF(COUNTIFS('1. DATA CHUNG'!$I$4:$I$105,K503,'1. DATA CHUNG'!$M$4:$M$105,Q503), '1. DATA CHUNG'!$M$4:$M$105=Q"&amp;"503, 1) * ('1. DATA CHUNG'!$L$4:$L$105&lt;=TODAY()) ),   2, 0),  1, 1), 
  IFERROR( INDEX(FILTER('1. DATA CHUNG'!$J$4:$J$105, (TRIM('1. DATA CHUNG'!$I$4:$I$105)=TRIM(K503)) * IF(COUNTIFS('1. DATA CHUNG'!$I$4:$I$105,K503,'1. DATA CHUNG'!$M$4:$M$105,Q503), '1."&amp;" DATA CHUNG'!$M$4:$M$105=Q503, 1) * ('1. DATA CHUNG'!$L$4:$L$105="""")), 1), ""Không tìm thấy"" ))"),18.0)</f>
        <v>18</v>
      </c>
      <c r="AI503" s="273">
        <f t="shared" si="2"/>
        <v>46123</v>
      </c>
      <c r="AJ503" s="287"/>
      <c r="AK503" s="286">
        <f t="shared" si="3"/>
        <v>0</v>
      </c>
      <c r="AL503" s="287" t="str">
        <f t="shared" si="4"/>
        <v/>
      </c>
      <c r="AM503" s="287" t="str">
        <f t="shared" si="5"/>
        <v/>
      </c>
      <c r="AN503" s="279">
        <f t="shared" si="6"/>
        <v>3</v>
      </c>
      <c r="AO503" s="295" t="str">
        <f t="shared" si="74"/>
        <v>03/2026</v>
      </c>
      <c r="AP503" s="277" t="str">
        <f t="array" ref="AP503">IFERROR(XLOOKUP(L503,'2. DATA NL, VTBB'!C:C,'2. DATA NL, VTBB'!F:F),"")</f>
        <v>HH0291</v>
      </c>
      <c r="AQ503" s="277" t="str">
        <f t="array" ref="AQ503">IF(OR(K503="Nhãn", K503="Nhãn thùng",K503="Nhãn Túi"), K503 &amp; " " &amp; IFERROR(XLOOKUP(L503, '2. DATA NL, VTBB'!C:C, '2. DATA NL, VTBB'!E:E), ""), "")</f>
        <v/>
      </c>
      <c r="AR503" s="278" t="str">
        <f t="array" ref="AR503">IFERROR(XLOOKUP(L503,'2. DATA NL, VTBB'!C:C,'2. DATA NL, VTBB'!G:G),"")</f>
        <v>GC - II - 704 - A Mạnh - Vua nhện (chai nhôm trắng)- 240ml - 60</v>
      </c>
      <c r="AS503" s="278" t="str">
        <f t="array" ref="AS503">IFERROR(XLOOKUP(L503,'2. DATA NL, VTBB'!C:C,'2. DATA NL, VTBB'!G:G),"")</f>
        <v>GC - II - 704 - A Mạnh - Vua nhện (chai nhôm trắng)- 240ml - 60</v>
      </c>
      <c r="AT503" s="277"/>
    </row>
    <row r="504" ht="30.75" customHeight="1">
      <c r="A504" s="272">
        <f t="shared" si="76"/>
        <v>501</v>
      </c>
      <c r="B504" s="314">
        <v>46107.0</v>
      </c>
      <c r="C504" s="314">
        <f t="shared" si="77"/>
        <v>46122</v>
      </c>
      <c r="D504" s="314">
        <f t="shared" si="79"/>
        <v>46132</v>
      </c>
      <c r="E504" s="318"/>
      <c r="F504" s="274" t="s">
        <v>561</v>
      </c>
      <c r="G504" s="291" t="s">
        <v>580</v>
      </c>
      <c r="H504" s="274" t="s">
        <v>304</v>
      </c>
      <c r="I504" s="275" t="s">
        <v>305</v>
      </c>
      <c r="J504" s="281" t="s">
        <v>602</v>
      </c>
      <c r="K504" s="275" t="s">
        <v>301</v>
      </c>
      <c r="L504" s="306" t="s">
        <v>572</v>
      </c>
      <c r="M504" s="278" t="str">
        <f t="array" ref="M504">IFERROR(XLOOKUP(L504,'2. DATA NL, VTBB'!C:C,'2. DATA NL, VTBB'!D:D),"")</f>
        <v>Thùng IDA chai PET tròn cổ 43 450ml x 40 chai (61.5x38.5x19cm) - Trắng xanh lá</v>
      </c>
      <c r="N504" s="280"/>
      <c r="O504" s="280" t="str">
        <f t="array" ref="O504">IFERROR( XLOOKUP(L504,'2. DATA NL, VTBB'!C:C,'2. DATA NL, VTBB'!E:E),"")</f>
        <v>Vi lượng Quantity New</v>
      </c>
      <c r="P504" s="275" t="s">
        <v>672</v>
      </c>
      <c r="Q504" s="311"/>
      <c r="R504" s="291" t="s">
        <v>573</v>
      </c>
      <c r="S504" s="277"/>
      <c r="T504" s="277"/>
      <c r="U504" s="277"/>
      <c r="V504" s="283">
        <v>300.0</v>
      </c>
      <c r="W504" s="275" t="s">
        <v>699</v>
      </c>
      <c r="X504" s="283">
        <v>400.0</v>
      </c>
      <c r="Y504" s="279">
        <v>400.0</v>
      </c>
      <c r="Z504" s="281">
        <v>23400.0</v>
      </c>
      <c r="AA504" s="285">
        <v>0.08</v>
      </c>
      <c r="AB504" s="340">
        <f t="shared" si="73"/>
        <v>10108800</v>
      </c>
      <c r="AC504" s="277"/>
      <c r="AD504" s="314">
        <v>46107.0</v>
      </c>
      <c r="AE504" s="312"/>
      <c r="AF504" s="277"/>
      <c r="AG504" s="277"/>
      <c r="AH504" s="294">
        <f>IFERROR(__xludf.DUMMYFUNCTION("IFERROR(INDEX( SORT(FILTER(
        {'1. DATA CHUNG'!$J$4:$J$105 , '1. DATA CHUNG'!$L$4:$L$105}, (TRIM('1. DATA CHUNG'!$I$4:$I$105)=TRIM(K504)) * IF(COUNTIFS('1. DATA CHUNG'!$I$4:$I$105,K504,'1. DATA CHUNG'!$M$4:$M$105,Q504), '1. DATA CHUNG'!$M$4:$M$105=Q"&amp;"504, 1) * ('1. DATA CHUNG'!$L$4:$L$105&lt;=TODAY()) ),   2, 0),  1, 1), 
  IFERROR( INDEX(FILTER('1. DATA CHUNG'!$J$4:$J$105, (TRIM('1. DATA CHUNG'!$I$4:$I$105)=TRIM(K504)) * IF(COUNTIFS('1. DATA CHUNG'!$I$4:$I$105,K504,'1. DATA CHUNG'!$M$4:$M$105,Q504), '1."&amp;" DATA CHUNG'!$M$4:$M$105=Q504, 1) * ('1. DATA CHUNG'!$L$4:$L$105="""")), 1), ""Không tìm thấy"" ))"),18.0)</f>
        <v>18</v>
      </c>
      <c r="AI504" s="273">
        <f t="shared" si="2"/>
        <v>46125</v>
      </c>
      <c r="AJ504" s="287"/>
      <c r="AK504" s="286">
        <f t="shared" si="3"/>
        <v>0</v>
      </c>
      <c r="AL504" s="287" t="str">
        <f t="shared" si="4"/>
        <v/>
      </c>
      <c r="AM504" s="287" t="str">
        <f t="shared" si="5"/>
        <v/>
      </c>
      <c r="AN504" s="279">
        <f t="shared" si="6"/>
        <v>3</v>
      </c>
      <c r="AO504" s="295" t="str">
        <f t="shared" si="74"/>
        <v>03/2026</v>
      </c>
      <c r="AP504" s="277" t="str">
        <f t="array" ref="AP504">IFERROR(XLOOKUP(L504,'2. DATA NL, VTBB'!C:C,'2. DATA NL, VTBB'!F:F),"")</f>
        <v>HH0277</v>
      </c>
      <c r="AQ504" s="277" t="str">
        <f t="array" ref="AQ504">IF(OR(K504="Nhãn", K504="Nhãn thùng",K504="Nhãn Túi"), K504 &amp; " " &amp; IFERROR(XLOOKUP(L504, '2. DATA NL, VTBB'!C:C, '2. DATA NL, VTBB'!E:E), ""), "")</f>
        <v/>
      </c>
      <c r="AR504" s="278" t="str">
        <f t="array" ref="AR504">IFERROR(XLOOKUP(L504,'2. DATA NL, VTBB'!C:C,'2. DATA NL, VTBB'!G:G),"")</f>
        <v>GC - II - 693 - A Thời GNH - Siêu bung đọt mai (chai HD) - 1L - 20</v>
      </c>
      <c r="AS504" s="278" t="str">
        <f t="array" ref="AS504">IFERROR(XLOOKUP(L504,'2. DATA NL, VTBB'!C:C,'2. DATA NL, VTBB'!G:G),"")</f>
        <v>GC - II - 693 - A Thời GNH - Siêu bung đọt mai (chai HD) - 1L - 20</v>
      </c>
      <c r="AT504" s="277"/>
    </row>
    <row r="505" ht="30.75" customHeight="1">
      <c r="A505" s="272">
        <f t="shared" si="76"/>
        <v>502</v>
      </c>
      <c r="B505" s="314">
        <v>46107.0</v>
      </c>
      <c r="C505" s="314">
        <f t="shared" si="77"/>
        <v>46122</v>
      </c>
      <c r="D505" s="314">
        <f t="shared" si="79"/>
        <v>46132</v>
      </c>
      <c r="E505" s="318"/>
      <c r="F505" s="274" t="s">
        <v>561</v>
      </c>
      <c r="G505" s="291" t="s">
        <v>580</v>
      </c>
      <c r="H505" s="274" t="s">
        <v>304</v>
      </c>
      <c r="I505" s="275" t="s">
        <v>305</v>
      </c>
      <c r="J505" s="281" t="s">
        <v>600</v>
      </c>
      <c r="K505" s="275" t="s">
        <v>301</v>
      </c>
      <c r="L505" s="306" t="s">
        <v>601</v>
      </c>
      <c r="M505" s="278" t="str">
        <f t="array" ref="M505">IFERROR(XLOOKUP(L505,'2. DATA NL, VTBB'!C:C,'2. DATA NL, VTBB'!D:D),"")</f>
        <v>Thùng IDA Chai Nhôm Tròn 240ml x 60 chai - 56x34x18.5cm - Trắng viền xanh lá</v>
      </c>
      <c r="N505" s="280"/>
      <c r="O505" s="280" t="str">
        <f t="array" ref="O505">IFERROR( XLOOKUP(L505,'2. DATA NL, VTBB'!C:C,'2. DATA NL, VTBB'!E:E),"")</f>
        <v>CHIM ƯNG 3.8EC</v>
      </c>
      <c r="P505" s="275" t="s">
        <v>672</v>
      </c>
      <c r="Q505" s="311"/>
      <c r="R505" s="291" t="s">
        <v>573</v>
      </c>
      <c r="S505" s="277"/>
      <c r="T505" s="277"/>
      <c r="U505" s="277"/>
      <c r="V505" s="283">
        <v>300.0</v>
      </c>
      <c r="W505" s="275" t="s">
        <v>699</v>
      </c>
      <c r="X505" s="283">
        <v>400.0</v>
      </c>
      <c r="Y505" s="279">
        <v>400.0</v>
      </c>
      <c r="Z505" s="281">
        <v>19500.0</v>
      </c>
      <c r="AA505" s="285">
        <v>0.08</v>
      </c>
      <c r="AB505" s="340">
        <f t="shared" si="73"/>
        <v>8424000</v>
      </c>
      <c r="AC505" s="277"/>
      <c r="AD505" s="314">
        <v>46107.0</v>
      </c>
      <c r="AE505" s="312"/>
      <c r="AF505" s="277"/>
      <c r="AG505" s="277"/>
      <c r="AH505" s="294">
        <f>IFERROR(__xludf.DUMMYFUNCTION("IFERROR(INDEX( SORT(FILTER(
        {'1. DATA CHUNG'!$J$4:$J$105 , '1. DATA CHUNG'!$L$4:$L$105}, (TRIM('1. DATA CHUNG'!$I$4:$I$105)=TRIM(K505)) * IF(COUNTIFS('1. DATA CHUNG'!$I$4:$I$105,K505,'1. DATA CHUNG'!$M$4:$M$105,Q505), '1. DATA CHUNG'!$M$4:$M$105=Q"&amp;"505, 1) * ('1. DATA CHUNG'!$L$4:$L$105&lt;=TODAY()) ),   2, 0),  1, 1), 
  IFERROR( INDEX(FILTER('1. DATA CHUNG'!$J$4:$J$105, (TRIM('1. DATA CHUNG'!$I$4:$I$105)=TRIM(K505)) * IF(COUNTIFS('1. DATA CHUNG'!$I$4:$I$105,K505,'1. DATA CHUNG'!$M$4:$M$105,Q505), '1."&amp;" DATA CHUNG'!$M$4:$M$105=Q505, 1) * ('1. DATA CHUNG'!$L$4:$L$105="""")), 1), ""Không tìm thấy"" ))"),18.0)</f>
        <v>18</v>
      </c>
      <c r="AI505" s="273">
        <f t="shared" si="2"/>
        <v>46125</v>
      </c>
      <c r="AJ505" s="287"/>
      <c r="AK505" s="286">
        <f t="shared" si="3"/>
        <v>0</v>
      </c>
      <c r="AL505" s="287" t="str">
        <f t="shared" si="4"/>
        <v/>
      </c>
      <c r="AM505" s="287" t="str">
        <f t="shared" si="5"/>
        <v/>
      </c>
      <c r="AN505" s="279">
        <f t="shared" si="6"/>
        <v>3</v>
      </c>
      <c r="AO505" s="295" t="str">
        <f t="shared" si="74"/>
        <v>03/2026</v>
      </c>
      <c r="AP505" s="277" t="str">
        <f t="array" ref="AP505">IFERROR(XLOOKUP(L505,'2. DATA NL, VTBB'!C:C,'2. DATA NL, VTBB'!F:F),"")</f>
        <v>HH0293</v>
      </c>
      <c r="AQ505" s="277" t="str">
        <f t="array" ref="AQ505">IF(OR(K505="Nhãn", K505="Nhãn thùng",K505="Nhãn Túi"), K505 &amp; " " &amp; IFERROR(XLOOKUP(L505, '2. DATA NL, VTBB'!C:C, '2. DATA NL, VTBB'!E:E), ""), "")</f>
        <v/>
      </c>
      <c r="AR505" s="278" t="str">
        <f t="array" ref="AR505">IFERROR(XLOOKUP(L505,'2. DATA NL, VTBB'!C:C,'2. DATA NL, VTBB'!G:G),"")</f>
        <v>IDA Global - I - 706 - X-Spider (chai Pape) (BTP Đỏ) - 240ml - 40 ([btp],t,c)</v>
      </c>
      <c r="AS505" s="278" t="str">
        <f t="array" ref="AS505">IFERROR(XLOOKUP(L505,'2. DATA NL, VTBB'!C:C,'2. DATA NL, VTBB'!G:G),"")</f>
        <v>IDA Global - I - 706 - X-Spider (chai Pape) (BTP Đỏ) - 240ml - 40 ([btp],t,c)</v>
      </c>
      <c r="AT505" s="277"/>
    </row>
    <row r="506">
      <c r="A506" s="272">
        <f t="shared" si="76"/>
        <v>503</v>
      </c>
      <c r="B506" s="314">
        <v>46107.0</v>
      </c>
      <c r="C506" s="314"/>
      <c r="D506" s="314"/>
      <c r="E506" s="318"/>
      <c r="F506" s="274"/>
      <c r="G506" s="275"/>
      <c r="H506" s="274"/>
      <c r="I506" s="275"/>
      <c r="J506" s="272"/>
      <c r="K506" s="275" t="s">
        <v>301</v>
      </c>
      <c r="L506" s="306" t="s">
        <v>572</v>
      </c>
      <c r="M506" s="278" t="str">
        <f t="array" ref="M506">IFERROR(XLOOKUP(L506,'2. DATA NL, VTBB'!C:C,'2. DATA NL, VTBB'!D:D),"")</f>
        <v>Thùng IDA chai PET tròn cổ 43 450ml x 40 chai (61.5x38.5x19cm) - Trắng xanh lá</v>
      </c>
      <c r="N506" s="280"/>
      <c r="O506" s="280"/>
      <c r="P506" s="275"/>
      <c r="Q506" s="311"/>
      <c r="R506" s="281"/>
      <c r="S506" s="277"/>
      <c r="T506" s="277"/>
      <c r="U506" s="277"/>
      <c r="V506" s="283"/>
      <c r="W506" s="275"/>
      <c r="X506" s="283"/>
      <c r="Y506" s="274"/>
      <c r="Z506" s="272"/>
      <c r="AA506" s="285"/>
      <c r="AB506" s="282"/>
      <c r="AC506" s="277"/>
      <c r="AD506" s="289"/>
      <c r="AE506" s="312"/>
      <c r="AF506" s="277"/>
      <c r="AG506" s="277"/>
      <c r="AH506" s="294"/>
      <c r="AI506" s="273">
        <f t="shared" si="2"/>
        <v>46107</v>
      </c>
      <c r="AJ506" s="287"/>
      <c r="AK506" s="286">
        <f t="shared" si="3"/>
        <v>0</v>
      </c>
      <c r="AL506" s="287" t="str">
        <f t="shared" si="4"/>
        <v/>
      </c>
      <c r="AM506" s="287" t="str">
        <f t="shared" si="5"/>
        <v/>
      </c>
      <c r="AN506" s="279" t="str">
        <f t="shared" si="6"/>
        <v/>
      </c>
      <c r="AO506" s="295"/>
      <c r="AP506" s="277"/>
      <c r="AQ506" s="277"/>
      <c r="AR506" s="278"/>
      <c r="AS506" s="278"/>
      <c r="AT506" s="277"/>
    </row>
    <row r="507">
      <c r="A507" s="272">
        <f t="shared" si="76"/>
        <v>504</v>
      </c>
      <c r="B507" s="314">
        <v>46107.0</v>
      </c>
      <c r="C507" s="314"/>
      <c r="D507" s="314"/>
      <c r="E507" s="318"/>
      <c r="F507" s="274"/>
      <c r="G507" s="275"/>
      <c r="H507" s="274"/>
      <c r="I507" s="275"/>
      <c r="J507" s="272"/>
      <c r="K507" s="275" t="s">
        <v>301</v>
      </c>
      <c r="L507" s="306" t="s">
        <v>572</v>
      </c>
      <c r="M507" s="278" t="str">
        <f t="array" ref="M507">IFERROR(XLOOKUP(L507,'2. DATA NL, VTBB'!C:C,'2. DATA NL, VTBB'!D:D),"")</f>
        <v>Thùng IDA chai PET tròn cổ 43 450ml x 40 chai (61.5x38.5x19cm) - Trắng xanh lá</v>
      </c>
      <c r="N507" s="280"/>
      <c r="O507" s="280"/>
      <c r="P507" s="275"/>
      <c r="Q507" s="311"/>
      <c r="R507" s="281"/>
      <c r="S507" s="277"/>
      <c r="T507" s="277"/>
      <c r="U507" s="277"/>
      <c r="V507" s="283"/>
      <c r="W507" s="275"/>
      <c r="X507" s="283"/>
      <c r="Y507" s="274"/>
      <c r="Z507" s="272"/>
      <c r="AA507" s="285"/>
      <c r="AB507" s="282"/>
      <c r="AC507" s="277"/>
      <c r="AD507" s="289"/>
      <c r="AE507" s="312"/>
      <c r="AF507" s="277"/>
      <c r="AG507" s="277"/>
      <c r="AH507" s="294"/>
      <c r="AI507" s="273">
        <f t="shared" si="2"/>
        <v>46107</v>
      </c>
      <c r="AJ507" s="287"/>
      <c r="AK507" s="286">
        <f t="shared" si="3"/>
        <v>0</v>
      </c>
      <c r="AL507" s="287" t="str">
        <f t="shared" si="4"/>
        <v/>
      </c>
      <c r="AM507" s="287" t="str">
        <f t="shared" si="5"/>
        <v/>
      </c>
      <c r="AN507" s="279" t="str">
        <f t="shared" si="6"/>
        <v/>
      </c>
      <c r="AO507" s="295"/>
      <c r="AP507" s="277"/>
      <c r="AQ507" s="277"/>
      <c r="AR507" s="278"/>
      <c r="AS507" s="278"/>
      <c r="AT507" s="277"/>
    </row>
    <row r="508">
      <c r="A508" s="272">
        <f t="shared" si="76"/>
        <v>505</v>
      </c>
      <c r="B508" s="314">
        <v>46107.0</v>
      </c>
      <c r="C508" s="358"/>
      <c r="D508" s="301"/>
      <c r="E508" s="301"/>
      <c r="F508" s="306"/>
      <c r="G508" s="306"/>
      <c r="H508" s="290"/>
      <c r="I508" s="300"/>
      <c r="J508" s="306"/>
      <c r="K508" s="275" t="s">
        <v>301</v>
      </c>
      <c r="L508" s="291" t="s">
        <v>610</v>
      </c>
      <c r="M508" s="278" t="str">
        <f t="array" ref="M508">IFERROR(XLOOKUP(L508,'2. DATA NL, VTBB'!C:C,'2. DATA NL, VTBB'!D:D),"")</f>
        <v>Thùng SHINO chai 325ml x 40 chai (55.5x35.5x15.5cm) - Trắng viền xanh</v>
      </c>
      <c r="N508" s="300"/>
      <c r="O508" s="300" t="str">
        <f t="array" ref="O508">IFERROR( XLOOKUP(L508,'2. DATA NL, VTBB'!C:C,'2. DATA NL, VTBB'!E:E),"")</f>
        <v>INMANDA 100WP</v>
      </c>
      <c r="P508" s="306"/>
      <c r="Q508" s="301"/>
      <c r="R508" s="281"/>
      <c r="S508" s="306"/>
      <c r="T508" s="306"/>
      <c r="U508" s="306"/>
      <c r="V508" s="306"/>
      <c r="W508" s="306"/>
      <c r="X508" s="359"/>
      <c r="Y508" s="306"/>
      <c r="Z508" s="306"/>
      <c r="AA508" s="360"/>
      <c r="AB508" s="340">
        <f>(Z508*X508)+AA508*(Z508*X508)</f>
        <v>0</v>
      </c>
      <c r="AC508" s="306"/>
      <c r="AD508" s="301"/>
      <c r="AE508" s="306"/>
      <c r="AF508" s="306"/>
      <c r="AG508" s="306"/>
      <c r="AH508" s="308">
        <f>IFERROR(__xludf.DUMMYFUNCTION("IFERROR(INDEX( SORT(FILTER(
        {'1. DATA CHUNG'!$J$4:$J$105 , '1. DATA CHUNG'!$L$4:$L$105}, (TRIM('1. DATA CHUNG'!$I$4:$I$105)=TRIM(K508)) * IF(COUNTIFS('1. DATA CHUNG'!$I$4:$I$105,K508,'1. DATA CHUNG'!$M$4:$M$105,Q508), '1. DATA CHUNG'!$M$4:$M$105=Q"&amp;"508, 1) * ('1. DATA CHUNG'!$L$4:$L$105&lt;=TODAY()) ),   2, 0),  1, 1), 
  IFERROR( INDEX(FILTER('1. DATA CHUNG'!$J$4:$J$105, (TRIM('1. DATA CHUNG'!$I$4:$I$105)=TRIM(K508)) * IF(COUNTIFS('1. DATA CHUNG'!$I$4:$I$105,K508,'1. DATA CHUNG'!$M$4:$M$105,Q508), '1."&amp;" DATA CHUNG'!$M$4:$M$105=Q508, 1) * ('1. DATA CHUNG'!$L$4:$L$105="""")), 1), ""Không tìm thấy"" ))"),18.0)</f>
        <v>18</v>
      </c>
      <c r="AI508" s="273">
        <f t="shared" si="2"/>
        <v>46125</v>
      </c>
      <c r="AJ508" s="287"/>
      <c r="AK508" s="286">
        <f t="shared" si="3"/>
        <v>0</v>
      </c>
      <c r="AL508" s="287" t="str">
        <f t="shared" si="4"/>
        <v/>
      </c>
      <c r="AM508" s="287" t="str">
        <f t="shared" si="5"/>
        <v/>
      </c>
      <c r="AN508" s="279" t="str">
        <f t="shared" si="6"/>
        <v/>
      </c>
      <c r="AO508" s="309" t="str">
        <f>IF(B508="", "", TEXT(B508, "mm/yyyy"))</f>
        <v>03/2026</v>
      </c>
      <c r="AP508" s="306" t="str">
        <f t="array" ref="AP508">IFERROR(XLOOKUP(L508,'2. DATA NL, VTBB'!C:C,'2. DATA NL, VTBB'!F:F),"")</f>
        <v>HH0238</v>
      </c>
      <c r="AQ508" s="306" t="str">
        <f t="array" ref="AQ508">IF(OR(K508="Nhãn", K508="Nhãn thùng",K508="Nhãn Túi"), K508 &amp; " " &amp; IFERROR(XLOOKUP(L508, '2. DATA NL, VTBB'!C:C, '2. DATA NL, VTBB'!E:E), ""), "")</f>
        <v/>
      </c>
      <c r="AR508" s="278" t="str">
        <f t="array" ref="AR508">IFERROR(XLOOKUP(L508,'2. DATA NL, VTBB'!C:C,'2. DATA NL, VTBB'!G:G),"")</f>
        <v>GC - II - 650 - MK Group - Anda 100WP - 100gr - 100</v>
      </c>
      <c r="AS508" s="278" t="str">
        <f t="array" ref="AS508">IFERROR(XLOOKUP(L508,'2. DATA NL, VTBB'!C:C,'2. DATA NL, VTBB'!G:G),"")</f>
        <v>GC - II - 650 - MK Group - Anda 100WP - 100gr - 100</v>
      </c>
      <c r="AT508" s="306"/>
    </row>
  </sheetData>
  <customSheetViews>
    <customSheetView guid="{04F31CAD-6FA3-47C3-8F93-9335FAE89CAE}" filter="1" showAutoFilter="1">
      <autoFilter ref="$A$3:$AT$508">
        <filterColumn colId="4">
          <filters blank="1"/>
        </filterColumn>
      </autoFilter>
    </customSheetView>
  </customSheetViews>
  <conditionalFormatting sqref="AM4:AM508">
    <cfRule type="expression" dxfId="6" priority="1">
      <formula>AM4&lt;0</formula>
    </cfRule>
  </conditionalFormatting>
  <conditionalFormatting sqref="AL4:AL508">
    <cfRule type="expression" dxfId="6" priority="2">
      <formula>AL4&lt;0</formula>
    </cfRule>
  </conditionalFormatting>
  <conditionalFormatting sqref="AN4:AN508">
    <cfRule type="expression" dxfId="5" priority="3">
      <formula>AN4 &gt; 0</formula>
    </cfRule>
  </conditionalFormatting>
  <dataValidations>
    <dataValidation type="list" allowBlank="1" showErrorMessage="1" sqref="H4:H466 H468:H482 H484:H508">
      <formula1>'1. DATA CHUNG'!$AG$4:$AG508</formula1>
    </dataValidation>
    <dataValidation type="list" allowBlank="1" showErrorMessage="1" sqref="K18:K22 K169">
      <formula1>" Bao , Can , Chai , Cốc đong , Hộp , Lon , Nắp , NDT , Nhãn , Thùng , Túi , Vật tư , Xô ,BTP"</formula1>
    </dataValidation>
    <dataValidation type="list" allowBlank="1" showErrorMessage="1" sqref="AT4:AT466 AT468:AT482 AT484:AT508">
      <formula1>'1. DATA CHUNG'!$AK$4:$AK508</formula1>
    </dataValidation>
    <dataValidation type="list" allowBlank="1" showErrorMessage="1" sqref="I4:I466 I468:I482 I484:I508">
      <formula1>'1. DATA CHUNG'!$U$4:$U508</formula1>
    </dataValidation>
    <dataValidation type="list" allowBlank="1" showErrorMessage="1" sqref="R5:R8 R10:R466 R468:R482 R484:R505">
      <formula1>'1. DATA CHUNG'!$Z$4:Z508</formula1>
    </dataValidation>
    <dataValidation type="custom" allowBlank="1" showDropDown="1" showInputMessage="1" showErrorMessage="1" prompt="Nhập ngày hợp lệ" sqref="B4:E508 AD4:AD508">
      <formula1>OR(NOT(ISERROR(DATEVALUE(B4))), AND(ISNUMBER(B4), LEFT(CELL("format", B4))="D"))</formula1>
    </dataValidation>
    <dataValidation type="list" allowBlank="1" showErrorMessage="1" sqref="P4:P466 P468:P482 P484:P508">
      <formula1>'1. DATA CHUNG'!$Q$4:$Q508</formula1>
    </dataValidation>
    <dataValidation type="list" allowBlank="1" showInputMessage="1" showErrorMessage="1" prompt="Nhấp và nhập một giá trị trong dải ô" sqref="F4:F466 F468:F482 F484:F508">
      <formula1>'1. DATA CHUNG'!$B$4:$B508</formula1>
    </dataValidation>
    <dataValidation type="list" allowBlank="1" showErrorMessage="1" sqref="AA4:AA168 AA170:AA466 AA468:AA482 AA484:AA507">
      <formula1>"8%,10%"</formula1>
    </dataValidation>
    <dataValidation type="list" allowBlank="1" showErrorMessage="1" sqref="K4:K17 K23:K168 K170:K466 K468:K482 K484:K508">
      <formula1>'1. DATA CHUNG'!$I$4:$I508</formula1>
    </dataValidation>
    <dataValidation type="list" allowBlank="1" showErrorMessage="1" sqref="AA169 AA508">
      <formula1>'1. DATA CHUNG'!$AI$4:$AI508</formula1>
    </dataValidation>
    <dataValidation type="list" allowBlank="1" showErrorMessage="1" sqref="L4:L466 L468:L482 L484:L508">
      <formula1>'2. DATA NL, VTBB'!$C$3:$C508</formula1>
    </dataValidation>
    <dataValidation type="list" allowBlank="1" showErrorMessage="1" sqref="U4:U466 U468:U482 U484:U508">
      <formula1>'1. DATA CHUNG'!$AE$4:$AE508</formula1>
    </dataValidation>
    <dataValidation type="list" allowBlank="1" showErrorMessage="1" sqref="W4:W466 W468:W482 W484:W508">
      <formula1>'1. DATA CHUNG'!$O$4:$O508</formula1>
    </dataValidation>
    <dataValidation type="list" allowBlank="1" showErrorMessage="1" sqref="G4:G466 G468:G482 G484:G508">
      <formula1>'1. DATA CHUNG'!$D$4:$D508</formula1>
    </dataValidation>
    <dataValidation type="list" allowBlank="1" showErrorMessage="1" sqref="R4 R9">
      <formula1>" AGAMA , AN NÔNG , AN TÍN , ÂU VIỆT , B19 , BASEL , Basel , CẨM HÙNG , CHÀO NGÀY MỚI , CHỌN , DASACO , DEGO-CẦN THƠ , DEGO-ĐỒNG THÁP , DEGO-ĐT , DR.XANH , DUBAI , ĐẠI TÂM , ĐẤT VIỆT , ĐÔNG TÂY , HÀ LONG , HNS , HOA SEN VIỆT , HOÀNG QUÂN , HỒ GIA , HƯNG PH"&amp;"ÁT KHANG , KH NAUY , KHO NHẬN /NHÀ MÁY , Kho VTBB SX , KỲ ANH , Lab Dego , LÊ MAI , Master Design , MINH ANH  , MINH NGỌC , MINH THÀNH , MỘC ẤN , Mộc ấn , NA UY , NAM HÀ , NATURALS SHOP , NGỌC TRIÊM , NGÔ PHONG , NIỀM TIN VIỆT , PESTICIDEX , PHL , PHƯƠNG "&amp;"NAM , QUANG ĐẠT , Quang Đạt , TÂN ĐỨC , Tân Hoa Mai , THÁI NÔNG , THÀNH CÔNG , Thành Công , THÀNH PHÁT , THIÊN AN PHÚ , THIÊN DI , TRÍ TÍN  , TRIỆU VŨ , TRƯƠNG GIA PHƯỚC , VINACO , VP ABA , VP B19 , VP IDA , VPP TÂM TÂM , YAMATO ,ABA,AN NÔNG,BASEL,CẨM HÙN"&amp;"G,DEGO ,DEGO-CẦN THƠ,DR.XANH,ĐÔNG TÂY,HÀ LONG,HKD Dr.Xanh,HNS,HOP3051,HỒ GIA,IDA,LAB,MỘC ẤN,Ngọc Minh ,NIỀM TIN VIỆT,Phước An,PHƯƠNG NAM,QUANG ĐẠT,TÂN ĐỨC,THÁI NÔNG,THÀNH CÔNG,VINACO,VP ABA,VP IDA,YAMATO"</formula1>
    </dataValidation>
    <dataValidation type="list" allowBlank="1" showErrorMessage="1" sqref="S4:S466 S468:S482 S484:S508">
      <formula1>'1. DATA CHUNG'!$AC$4:$AC508</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pageSetUpPr fitToPage="1"/>
  </sheetPr>
  <sheetViews>
    <sheetView workbookViewId="0"/>
  </sheetViews>
  <sheetFormatPr customHeight="1" defaultColWidth="12.63" defaultRowHeight="15.75"/>
  <cols>
    <col customWidth="1" min="1" max="1" width="5.13"/>
    <col customWidth="1" min="2" max="2" width="16.38"/>
    <col customWidth="1" min="3" max="3" width="30.25"/>
    <col customWidth="1" min="4" max="4" width="15.75"/>
    <col customWidth="1" min="5" max="5" width="5.88"/>
    <col customWidth="1" min="6" max="6" width="8.5"/>
    <col customWidth="1" min="7" max="7" width="11.25"/>
    <col customWidth="1" min="8" max="8" width="4.75"/>
    <col customWidth="1" min="9" max="9" width="11.75"/>
    <col customWidth="1" min="10" max="10" width="11.25"/>
    <col customWidth="1" min="11" max="11" width="12.63"/>
    <col customWidth="1" min="12" max="12" width="15.0"/>
    <col customWidth="1" min="13" max="13" width="7.25"/>
    <col customWidth="1" min="14" max="14" width="32.63"/>
  </cols>
  <sheetData>
    <row r="1">
      <c r="A1" s="361" t="str">
        <f t="array" ref="A1">XLOOKUP(XLOOKUP(G9, '6. TIẾN ĐỘ MUA HÀNG'!J:J, '6. TIẾN ĐỘ MUA HÀNG'!G:G),'1. DATA CHUNG'!D:D, '1. DATA CHUNG'!E:E,"Không tìm thấy tên công ty")</f>
        <v>CÔNG TY TNHH DEGO HOLDING</v>
      </c>
      <c r="H1" s="362"/>
      <c r="I1" s="362"/>
      <c r="J1" s="363"/>
      <c r="K1" s="363"/>
      <c r="L1" s="363"/>
      <c r="M1" s="363"/>
      <c r="N1" s="364" t="s">
        <v>1163</v>
      </c>
    </row>
    <row r="2" ht="24.75" customHeight="1">
      <c r="A2" s="362" t="str">
        <f t="array" ref="A2"> "Địa chỉ: "&amp; XLOOKUP($A$1,'1. DATA CHUNG'!E:E,'1. DATA CHUNG'!F:F, "Không thấy tên công ty")</f>
        <v>Địa chỉ: B19 đường dẫn cầu Cần Thơ, QL1A, Khu dân cư Trung tâm văn hóa Tây Đô, Phường Cái Răng, Thành phố Cần Thơ, Việt Nam.</v>
      </c>
      <c r="L2" s="363"/>
      <c r="M2" s="363"/>
      <c r="N2" s="363"/>
    </row>
    <row r="3">
      <c r="A3" s="362" t="str">
        <f t="array" ref="A3"> "Mã số thuế:" &amp; " "&amp; XLOOKUP($A$1,'1. DATA CHUNG'!E:E,'1. DATA CHUNG'!G:G, "Không tìm thấy tên công ty")</f>
        <v>Mã số thuế: 1801722464</v>
      </c>
      <c r="H3" s="362"/>
      <c r="I3" s="362"/>
      <c r="J3" s="363"/>
      <c r="K3" s="363"/>
      <c r="L3" s="363"/>
      <c r="M3" s="363"/>
      <c r="N3" s="362"/>
    </row>
    <row r="4" ht="8.25" customHeight="1">
      <c r="A4" s="362"/>
      <c r="B4" s="362"/>
      <c r="C4" s="362"/>
      <c r="D4" s="362"/>
      <c r="E4" s="362"/>
      <c r="F4" s="362"/>
      <c r="G4" s="362"/>
      <c r="H4" s="362"/>
      <c r="I4" s="362"/>
      <c r="J4" s="365"/>
      <c r="K4" s="362"/>
      <c r="L4" s="362"/>
      <c r="M4" s="363"/>
      <c r="N4" s="363"/>
    </row>
    <row r="5">
      <c r="A5" s="366" t="str">
        <f t="array" ref="A5">"Kính gửi: " &amp; XLOOKUP(XLOOKUP(G9, '6. TIẾN ĐỘ MUA HÀNG'!J:J, '6. TIẾN ĐỘ MUA HÀNG'!I:I),'1. DATA CHUNG'!U:U, '1. DATA CHUNG'!T:T,"Không tìm thấy tên công ty")</f>
        <v>Kính gửi: CÔNG TY TNHH SẢN XUẤT BAO BÌ ĐÔNG TÂY</v>
      </c>
      <c r="H5" s="362"/>
      <c r="I5" s="362"/>
      <c r="J5" s="365"/>
      <c r="K5" s="362"/>
      <c r="L5" s="362"/>
      <c r="M5" s="363"/>
      <c r="N5" s="363"/>
    </row>
    <row r="6">
      <c r="A6" s="367" t="str">
        <f t="array" ref="A6">"Địa chỉ: " &amp; XLOOKUP(XLOOKUP(G9, '6. TIẾN ĐỘ MUA HÀNG'!J:J, '6. TIẾN ĐỘ MUA HÀNG'!I:I),'1. DATA CHUNG'!U:U, '1. DATA CHUNG'!V:V,"Không tìm thấy tên công ty")</f>
        <v>Địa chỉ: 0827/3 Đường Võ Thị Thừa, Khu phố 3, Phường An Phú Đông, Quận 12, Thành phố Hồ Chí Minh, Việt Nam</v>
      </c>
      <c r="L6" s="362"/>
      <c r="M6" s="363"/>
      <c r="N6" s="363"/>
    </row>
    <row r="7">
      <c r="A7" s="362"/>
      <c r="B7" s="362"/>
      <c r="C7" s="362"/>
      <c r="D7" s="362"/>
      <c r="E7" s="362"/>
      <c r="F7" s="362"/>
      <c r="G7" s="362"/>
      <c r="H7" s="362"/>
      <c r="I7" s="362"/>
      <c r="J7" s="362"/>
      <c r="K7" s="362"/>
      <c r="L7" s="362"/>
      <c r="M7" s="362"/>
      <c r="N7" s="363"/>
    </row>
    <row r="8">
      <c r="B8" s="368"/>
      <c r="C8" s="368"/>
      <c r="D8" s="368"/>
      <c r="E8" s="368"/>
      <c r="F8" s="368" t="s">
        <v>1164</v>
      </c>
      <c r="H8" s="368"/>
      <c r="I8" s="368"/>
      <c r="J8" s="368"/>
      <c r="K8" s="368"/>
      <c r="L8" s="368"/>
      <c r="M8" s="368"/>
      <c r="N8" s="363"/>
    </row>
    <row r="9">
      <c r="A9" s="362"/>
      <c r="B9" s="362"/>
      <c r="C9" s="362"/>
      <c r="D9" s="362"/>
      <c r="E9" s="362"/>
      <c r="F9" s="369" t="s">
        <v>1165</v>
      </c>
      <c r="G9" s="370" t="s">
        <v>693</v>
      </c>
      <c r="H9" s="362"/>
      <c r="I9" s="362"/>
      <c r="J9" s="362"/>
      <c r="K9" s="362"/>
      <c r="L9" s="362"/>
      <c r="M9" s="362"/>
      <c r="N9" s="363"/>
    </row>
    <row r="10">
      <c r="A10" s="363"/>
      <c r="B10" s="363"/>
      <c r="C10" s="363"/>
      <c r="D10" s="363"/>
      <c r="E10" s="363"/>
      <c r="F10" s="363"/>
      <c r="G10" s="363"/>
      <c r="H10" s="363"/>
      <c r="I10" s="363"/>
      <c r="J10" s="363"/>
      <c r="K10" s="363"/>
      <c r="L10" s="363"/>
      <c r="M10" s="363"/>
      <c r="N10" s="363"/>
    </row>
    <row r="11">
      <c r="A11" s="371" t="s">
        <v>80</v>
      </c>
      <c r="B11" s="372" t="s">
        <v>1166</v>
      </c>
      <c r="C11" s="372" t="s">
        <v>1167</v>
      </c>
      <c r="D11" s="373" t="s">
        <v>1168</v>
      </c>
      <c r="E11" s="371" t="s">
        <v>271</v>
      </c>
      <c r="F11" s="374" t="s">
        <v>1169</v>
      </c>
      <c r="G11" s="371" t="s">
        <v>1170</v>
      </c>
      <c r="H11" s="371" t="s">
        <v>377</v>
      </c>
      <c r="I11" s="371" t="s">
        <v>1171</v>
      </c>
      <c r="J11" s="371" t="s">
        <v>1172</v>
      </c>
      <c r="K11" s="375" t="s">
        <v>534</v>
      </c>
      <c r="L11" s="373" t="s">
        <v>1173</v>
      </c>
      <c r="M11" s="371" t="s">
        <v>1174</v>
      </c>
      <c r="N11" s="363"/>
    </row>
    <row r="12">
      <c r="A12" s="376">
        <f t="shared" ref="A12:A17" si="1">IF(B12="","",COUNTA($B$12:B12))</f>
        <v>1</v>
      </c>
      <c r="B12" s="377" t="str">
        <f>IFERROR(__xludf.DUMMYFUNCTION("LET(nguon, '6. TIẾN ĐỘ MUA HÀNG'!$A$5:$AT41, tieude, '6. TIẾN ĐỘ MUA HÀNG'!$A$4:$AT$4,
  ma_dh, $G$9,
  col_ma, MATCH(""Mã VTBB/NL"", tieude, 0),
  col_ten, MATCH(""Tên VTBB/NL"", tieude, 0),
  col_spec, MATCH(""Xuất xứ/ Thông số kỹ thuật/ chất liệu"", ti"&amp;"eude, 0),
  col_dvt, MATCH(""ĐVT"", tieude, 0),
  col_sl, MATCH(""Số lượng đặt NCC"", tieude, 0),
  col_gia, MATCH(""Đơn giá"", tieude, 0),
  col_vat, MATCH(""VAT"", tieude, 0),data, CHOOSECOLS(nguon, col_ma, col_ten, col_spec, col_dvt, col_sl, col_gia, c"&amp;"ol_vat),FILTER(data, '6. TIẾN ĐỘ MUA HÀNG'!$J$5:$J41 = ma_dh))"),"THC0146")</f>
        <v>THC0146</v>
      </c>
      <c r="C12" s="378" t="str">
        <f>IFERROR(__xludf.DUMMYFUNCTION("""COMPUTED_VALUE"""),"Thùng Chai HD 500ml x 40 chai (60x38x20cm) - Thùng Trắng viền đen")</f>
        <v>Thùng Chai HD 500ml x 40 chai (60x38x20cm) - Thùng Trắng viền đen</v>
      </c>
      <c r="D12" s="379"/>
      <c r="E12" s="376" t="str">
        <f>IFERROR(__xludf.DUMMYFUNCTION("""COMPUTED_VALUE"""),"Cái")</f>
        <v>Cái</v>
      </c>
      <c r="F12" s="376">
        <f>IFERROR(__xludf.DUMMYFUNCTION("""COMPUTED_VALUE"""),300.0)</f>
        <v>300</v>
      </c>
      <c r="G12" s="377">
        <f>IFERROR(__xludf.DUMMYFUNCTION("""COMPUTED_VALUE"""),22000.0)</f>
        <v>22000</v>
      </c>
      <c r="H12" s="380">
        <f>IFERROR(__xludf.DUMMYFUNCTION("""COMPUTED_VALUE"""),0.08)</f>
        <v>0.08</v>
      </c>
      <c r="I12" s="376">
        <f t="shared" ref="I12:I17" si="2">G12*(1+H12)</f>
        <v>23760</v>
      </c>
      <c r="J12" s="381">
        <f t="shared" ref="J12:J17" si="3">F12*I12</f>
        <v>7128000</v>
      </c>
      <c r="K12" s="377" t="str">
        <f>IFERROR(__xludf.DUMMYFUNCTION("IFERROR(FILTER(
    '6. TIẾN ĐỘ MUA HÀNG'!$R$5:$R41, 
    '6. TIẾN ĐỘ MUA HÀNG'!$J$5:$J41 = G9,
    COUNTIF(B12:B17, '6. TIẾN ĐỘ MUA HÀNG'!$L$5:$L41) &gt; 0
), """")"),"Dego Cần Thơ")</f>
        <v>Dego Cần Thơ</v>
      </c>
      <c r="L12" s="382" t="s">
        <v>1175</v>
      </c>
      <c r="M12" s="383"/>
      <c r="N12" s="363"/>
    </row>
    <row r="13">
      <c r="A13" s="376">
        <f t="shared" si="1"/>
        <v>2</v>
      </c>
      <c r="B13" s="377" t="str">
        <f>IFERROR(__xludf.DUMMYFUNCTION("""COMPUTED_VALUE"""),"THC0043")</f>
        <v>THC0043</v>
      </c>
      <c r="C13" s="378" t="str">
        <f>IFERROR(__xludf.DUMMYFUNCTION("""COMPUTED_VALUE"""),"Thùng can 5 lít x 4 can (39*26*31.5cm) - Trắng")</f>
        <v>Thùng can 5 lít x 4 can (39*26*31.5cm) - Trắng</v>
      </c>
      <c r="D13" s="379"/>
      <c r="E13" s="376" t="str">
        <f>IFERROR(__xludf.DUMMYFUNCTION("""COMPUTED_VALUE"""),"Cái")</f>
        <v>Cái</v>
      </c>
      <c r="F13" s="376">
        <f>IFERROR(__xludf.DUMMYFUNCTION("""COMPUTED_VALUE"""),100.0)</f>
        <v>100</v>
      </c>
      <c r="G13" s="377">
        <f>IFERROR(__xludf.DUMMYFUNCTION("""COMPUTED_VALUE"""),15300.0)</f>
        <v>15300</v>
      </c>
      <c r="H13" s="380">
        <f>IFERROR(__xludf.DUMMYFUNCTION("""COMPUTED_VALUE"""),0.08)</f>
        <v>0.08</v>
      </c>
      <c r="I13" s="376">
        <f t="shared" si="2"/>
        <v>16524</v>
      </c>
      <c r="J13" s="381">
        <f t="shared" si="3"/>
        <v>1652400</v>
      </c>
      <c r="K13" s="377" t="str">
        <f>IFERROR(__xludf.DUMMYFUNCTION("""COMPUTED_VALUE"""),"Dego Cần Thơ")</f>
        <v>Dego Cần Thơ</v>
      </c>
      <c r="L13" s="382" t="s">
        <v>1175</v>
      </c>
      <c r="M13" s="383"/>
      <c r="N13" s="363"/>
    </row>
    <row r="14" hidden="1">
      <c r="A14" s="376" t="str">
        <f t="shared" si="1"/>
        <v/>
      </c>
      <c r="B14" s="377"/>
      <c r="C14" s="379"/>
      <c r="D14" s="376"/>
      <c r="E14" s="376"/>
      <c r="F14" s="376"/>
      <c r="G14" s="377"/>
      <c r="H14" s="380"/>
      <c r="I14" s="376">
        <f t="shared" si="2"/>
        <v>0</v>
      </c>
      <c r="J14" s="381">
        <f t="shared" si="3"/>
        <v>0</v>
      </c>
      <c r="K14" s="384"/>
      <c r="L14" s="382"/>
      <c r="M14" s="383"/>
      <c r="N14" s="363"/>
    </row>
    <row r="15" hidden="1">
      <c r="A15" s="376" t="str">
        <f t="shared" si="1"/>
        <v/>
      </c>
      <c r="B15" s="377"/>
      <c r="C15" s="379"/>
      <c r="D15" s="376"/>
      <c r="E15" s="376"/>
      <c r="F15" s="376"/>
      <c r="G15" s="385"/>
      <c r="H15" s="380"/>
      <c r="I15" s="376">
        <f t="shared" si="2"/>
        <v>0</v>
      </c>
      <c r="J15" s="381">
        <f t="shared" si="3"/>
        <v>0</v>
      </c>
      <c r="K15" s="386"/>
      <c r="L15" s="376"/>
      <c r="M15" s="383"/>
      <c r="N15" s="363"/>
    </row>
    <row r="16" hidden="1">
      <c r="A16" s="376" t="str">
        <f t="shared" si="1"/>
        <v/>
      </c>
      <c r="B16" s="377"/>
      <c r="C16" s="379"/>
      <c r="D16" s="376"/>
      <c r="E16" s="376"/>
      <c r="F16" s="376"/>
      <c r="G16" s="385"/>
      <c r="H16" s="380"/>
      <c r="I16" s="376">
        <f t="shared" si="2"/>
        <v>0</v>
      </c>
      <c r="J16" s="381">
        <f t="shared" si="3"/>
        <v>0</v>
      </c>
      <c r="K16" s="386"/>
      <c r="L16" s="376"/>
      <c r="M16" s="383"/>
      <c r="N16" s="363"/>
    </row>
    <row r="17" hidden="1">
      <c r="A17" s="376" t="str">
        <f t="shared" si="1"/>
        <v/>
      </c>
      <c r="B17" s="377"/>
      <c r="C17" s="379"/>
      <c r="D17" s="376"/>
      <c r="E17" s="376"/>
      <c r="F17" s="376"/>
      <c r="G17" s="385"/>
      <c r="H17" s="380"/>
      <c r="I17" s="376">
        <f t="shared" si="2"/>
        <v>0</v>
      </c>
      <c r="J17" s="381">
        <f t="shared" si="3"/>
        <v>0</v>
      </c>
      <c r="K17" s="386"/>
      <c r="L17" s="376" t="str">
        <f t="array" ref="L17">IFERROR(XLOOKUP(B17,'6. TIẾN ĐỘ MUA HÀNG'!L:L,'6. TIẾN ĐỘ MUA HÀNG'!O:O),"")</f>
        <v/>
      </c>
      <c r="M17" s="383"/>
      <c r="N17" s="363"/>
    </row>
    <row r="18">
      <c r="A18" s="387"/>
      <c r="B18" s="388" t="s">
        <v>1176</v>
      </c>
      <c r="C18" s="389"/>
      <c r="D18" s="389"/>
      <c r="E18" s="390"/>
      <c r="F18" s="390"/>
      <c r="G18" s="390"/>
      <c r="H18" s="390"/>
      <c r="I18" s="390"/>
      <c r="J18" s="391">
        <f>SUM(J12:J17)</f>
        <v>8780400</v>
      </c>
      <c r="K18" s="390"/>
      <c r="L18" s="390"/>
      <c r="M18" s="390"/>
      <c r="N18" s="363"/>
    </row>
    <row r="19">
      <c r="A19" s="362"/>
      <c r="B19" s="362"/>
      <c r="C19" s="362"/>
      <c r="D19" s="362"/>
      <c r="E19" s="362"/>
      <c r="F19" s="362"/>
      <c r="G19" s="362"/>
      <c r="H19" s="362"/>
      <c r="I19" s="362"/>
      <c r="J19" s="365"/>
      <c r="K19" s="362"/>
      <c r="L19" s="362"/>
      <c r="M19" s="363"/>
      <c r="N19" s="363"/>
    </row>
    <row r="20">
      <c r="A20" s="392" t="s">
        <v>1177</v>
      </c>
      <c r="B20" s="393" t="s">
        <v>1178</v>
      </c>
      <c r="C20" s="392"/>
      <c r="D20" s="392"/>
      <c r="E20" s="392"/>
      <c r="F20" s="392"/>
      <c r="G20" s="392"/>
      <c r="H20" s="392"/>
      <c r="I20" s="392"/>
      <c r="J20" s="394"/>
      <c r="K20" s="392"/>
      <c r="L20" s="392"/>
      <c r="M20" s="363"/>
      <c r="N20" s="363"/>
    </row>
    <row r="21">
      <c r="A21" s="392"/>
      <c r="B21" s="395" t="s">
        <v>1179</v>
      </c>
      <c r="D21" s="392"/>
      <c r="E21" s="392"/>
      <c r="F21" s="392"/>
      <c r="G21" s="392"/>
      <c r="H21" s="392"/>
      <c r="I21" s="392"/>
      <c r="J21" s="392"/>
      <c r="K21" s="392"/>
      <c r="L21" s="392"/>
      <c r="M21" s="363"/>
      <c r="N21" s="363"/>
    </row>
    <row r="22">
      <c r="A22" s="392"/>
      <c r="B22" s="395" t="s">
        <v>1180</v>
      </c>
      <c r="D22" s="392" t="s">
        <v>1181</v>
      </c>
      <c r="E22" s="392"/>
      <c r="F22" s="392"/>
      <c r="G22" s="392"/>
      <c r="H22" s="392"/>
      <c r="I22" s="392"/>
      <c r="J22" s="392"/>
      <c r="K22" s="392"/>
      <c r="L22" s="392"/>
      <c r="M22" s="363"/>
      <c r="N22" s="363"/>
    </row>
    <row r="23">
      <c r="A23" s="392"/>
      <c r="B23" s="395" t="s">
        <v>1182</v>
      </c>
      <c r="D23" s="392"/>
      <c r="E23" s="392"/>
      <c r="F23" s="392"/>
      <c r="G23" s="392"/>
      <c r="H23" s="392"/>
      <c r="I23" s="392"/>
      <c r="J23" s="394"/>
      <c r="K23" s="394"/>
      <c r="L23" s="394"/>
      <c r="M23" s="363"/>
      <c r="N23" s="363"/>
    </row>
    <row r="24">
      <c r="A24" s="392"/>
      <c r="B24" s="392" t="s">
        <v>1183</v>
      </c>
      <c r="C24" s="392"/>
      <c r="D24" s="392"/>
      <c r="E24" s="392"/>
      <c r="F24" s="392"/>
      <c r="G24" s="392"/>
      <c r="H24" s="392"/>
      <c r="I24" s="392"/>
      <c r="J24" s="392"/>
      <c r="K24" s="392"/>
      <c r="L24" s="392"/>
      <c r="M24" s="363"/>
      <c r="N24" s="363"/>
    </row>
    <row r="25">
      <c r="A25" s="392"/>
      <c r="B25" s="392" t="s">
        <v>1184</v>
      </c>
      <c r="C25" s="392"/>
      <c r="K25" s="392"/>
      <c r="L25" s="396"/>
      <c r="M25" s="363"/>
      <c r="N25" s="363"/>
    </row>
    <row r="26">
      <c r="A26" s="392"/>
      <c r="B26" s="392" t="s">
        <v>1185</v>
      </c>
      <c r="C26" s="392" t="str">
        <f t="array" ref="C26">IFERROR(XLOOKUP(C25,'1. DATA CHUNG'!S:S,'1. DATA CHUNG'!U:U),"")</f>
        <v/>
      </c>
      <c r="K26" s="394"/>
      <c r="L26" s="394"/>
      <c r="M26" s="363"/>
      <c r="N26" s="363"/>
    </row>
    <row r="27">
      <c r="A27" s="392"/>
      <c r="B27" s="397" t="s">
        <v>1186</v>
      </c>
      <c r="C27" s="392"/>
      <c r="D27" s="392"/>
      <c r="E27" s="392"/>
      <c r="F27" s="392"/>
      <c r="G27" s="392"/>
      <c r="H27" s="392"/>
      <c r="I27" s="87"/>
      <c r="J27" s="394"/>
      <c r="K27" s="394"/>
      <c r="L27" s="392"/>
      <c r="M27" s="363"/>
      <c r="N27" s="363"/>
    </row>
    <row r="28">
      <c r="A28" s="392"/>
      <c r="B28" s="395" t="s">
        <v>1187</v>
      </c>
      <c r="D28" s="392"/>
      <c r="E28" s="392"/>
      <c r="F28" s="392"/>
      <c r="G28" s="392"/>
      <c r="H28" s="392"/>
      <c r="I28" s="398"/>
      <c r="J28" s="394"/>
      <c r="M28" s="363"/>
      <c r="N28" s="363"/>
    </row>
    <row r="29">
      <c r="A29" s="392"/>
      <c r="B29" s="399" t="s">
        <v>1188</v>
      </c>
      <c r="C29" s="395" t="str">
        <f>A1</f>
        <v>CÔNG TY TNHH DEGO HOLDING</v>
      </c>
      <c r="H29" s="393"/>
      <c r="I29" s="398"/>
      <c r="J29" s="394"/>
      <c r="K29" s="392"/>
      <c r="L29" s="392"/>
      <c r="M29" s="363"/>
      <c r="N29" s="363"/>
    </row>
    <row r="30">
      <c r="A30" s="392"/>
      <c r="B30" s="400" t="s">
        <v>1189</v>
      </c>
      <c r="C30" s="395" t="str">
        <f>SUBSTITUTE($A$3, "Mã số thuế: ", "")</f>
        <v>1801722464</v>
      </c>
      <c r="G30" s="393"/>
      <c r="H30" s="393"/>
      <c r="I30" s="398"/>
      <c r="J30" s="394" t="s">
        <v>1190</v>
      </c>
      <c r="K30" s="392"/>
      <c r="L30" s="396"/>
      <c r="M30" s="363"/>
      <c r="N30" s="363"/>
    </row>
    <row r="31">
      <c r="A31" s="392"/>
      <c r="B31" s="400" t="s">
        <v>1185</v>
      </c>
      <c r="C31" s="393" t="str">
        <f>SUBSTITUTE($A$2, "Địa chỉ: ", "")</f>
        <v>B19 đường dẫn cầu Cần Thơ, QL1A, Khu dân cư Trung tâm văn hóa Tây Đô, Phường Cái Răng, Thành phố Cần Thơ, Việt Nam.</v>
      </c>
      <c r="D31" s="393"/>
      <c r="E31" s="393"/>
      <c r="F31" s="393"/>
      <c r="G31" s="393"/>
      <c r="H31" s="393"/>
      <c r="I31" s="392"/>
      <c r="J31" s="394" t="s">
        <v>1190</v>
      </c>
      <c r="K31" s="394"/>
      <c r="L31" s="394"/>
      <c r="M31" s="363"/>
      <c r="N31" s="363"/>
    </row>
    <row r="32">
      <c r="A32" s="392"/>
      <c r="B32" s="400" t="s">
        <v>1191</v>
      </c>
      <c r="C32" s="393" t="str">
        <f t="array" ref="C32">IFERROR(IF(OR(XLOOKUP(G9, '6. TIẾN ĐỘ MUA HÀNG'!J:J, '6. TIẾN ĐỘ MUA HÀNG'!K:K) = {"NL" , "NL ICARE"}),
    "1. Quanlynguyenlieu.luutru@gmail.com" &amp; CHAR(10) &amp; "2. datvietconsulting.firm@gmail.com",
    "phongsanxuat.luutru@gmail.com"),"Chưa có thông tin")</f>
        <v>phongsanxuat.luutru@gmail.com</v>
      </c>
      <c r="G32" s="393"/>
      <c r="H32" s="393"/>
      <c r="I32" s="392"/>
      <c r="J32" s="394"/>
      <c r="L32" s="392"/>
      <c r="M32" s="363"/>
      <c r="N32" s="363"/>
    </row>
    <row r="33">
      <c r="A33" s="392"/>
      <c r="B33" s="393" t="s">
        <v>1192</v>
      </c>
      <c r="E33" s="392"/>
      <c r="F33" s="392"/>
      <c r="G33" s="392"/>
      <c r="H33" s="392"/>
      <c r="I33" s="398"/>
      <c r="J33" s="398"/>
      <c r="K33" s="398"/>
      <c r="L33" s="398"/>
      <c r="M33" s="363"/>
      <c r="N33" s="363"/>
    </row>
    <row r="34">
      <c r="A34" s="392"/>
      <c r="B34" s="392" t="str">
        <f> IF(LEFT(B12,1)="C","Hình chai + nắp",IF(LEFT(B12,1)="N","File nhãn dạng CDR và hình nhãn",IF(LEFT(B12,2)="TH","File Market thùng",IF(LEFT(B12,2)="NL","Đính kèm hình ảnh ngoại dạng yêu cầu"))))</f>
        <v>File Market thùng</v>
      </c>
      <c r="C34" s="392"/>
      <c r="D34" s="392"/>
      <c r="E34" s="392"/>
      <c r="F34" s="392"/>
      <c r="G34" s="392"/>
      <c r="H34" s="392"/>
      <c r="I34" s="398"/>
      <c r="J34" s="394"/>
      <c r="K34" s="398"/>
      <c r="L34" s="398"/>
      <c r="M34" s="363"/>
      <c r="N34" s="363"/>
    </row>
    <row r="35">
      <c r="A35" s="392"/>
      <c r="B35" s="392"/>
      <c r="C35" s="392"/>
      <c r="D35" s="392"/>
      <c r="E35" s="392"/>
      <c r="F35" s="392"/>
      <c r="G35" s="392"/>
      <c r="H35" s="392"/>
      <c r="I35" s="401" t="str">
        <f>"Cần Thơ," &amp; " "&amp;TEXT(TODAY(), " ""ngày"" dd ""tháng"" mm ""năm"" yyyy")</f>
        <v>Cần Thơ,  ngày 18 tháng 07 năm 2026</v>
      </c>
      <c r="M35" s="363"/>
      <c r="N35" s="363"/>
    </row>
    <row r="36">
      <c r="A36" s="402" t="s">
        <v>1193</v>
      </c>
      <c r="E36" s="392"/>
      <c r="I36" s="402" t="s">
        <v>1194</v>
      </c>
      <c r="M36" s="363"/>
      <c r="N36" s="363"/>
    </row>
    <row r="37">
      <c r="A37" s="362"/>
      <c r="B37" s="362"/>
      <c r="C37" s="362"/>
      <c r="D37" s="362"/>
      <c r="E37" s="362"/>
      <c r="F37" s="362"/>
      <c r="G37" s="362"/>
      <c r="H37" s="362"/>
      <c r="I37" s="362"/>
      <c r="J37" s="365"/>
      <c r="K37" s="362"/>
      <c r="L37" s="362"/>
      <c r="M37" s="363"/>
      <c r="N37" s="363"/>
    </row>
    <row r="38">
      <c r="A38" s="362"/>
      <c r="B38" s="362"/>
      <c r="C38" s="362"/>
      <c r="D38" s="362"/>
      <c r="E38" s="362"/>
      <c r="F38" s="362"/>
      <c r="G38" s="362"/>
      <c r="H38" s="362"/>
      <c r="I38" s="362"/>
      <c r="J38" s="365"/>
      <c r="K38" s="362"/>
      <c r="L38" s="362"/>
      <c r="M38" s="363"/>
      <c r="N38" s="363"/>
    </row>
    <row r="39">
      <c r="A39" s="362"/>
      <c r="B39" s="362"/>
      <c r="C39" s="362"/>
      <c r="D39" s="362"/>
      <c r="E39" s="362"/>
      <c r="F39" s="362"/>
      <c r="G39" s="362"/>
      <c r="H39" s="362"/>
      <c r="I39" s="362"/>
      <c r="J39" s="365"/>
      <c r="K39" s="362"/>
      <c r="L39" s="362"/>
      <c r="M39" s="363"/>
      <c r="N39" s="363"/>
    </row>
    <row r="40">
      <c r="A40" s="362"/>
      <c r="B40" s="362"/>
      <c r="C40" s="362"/>
      <c r="D40" s="362"/>
      <c r="E40" s="362"/>
      <c r="F40" s="362"/>
      <c r="G40" s="362"/>
      <c r="H40" s="362"/>
      <c r="I40" s="362"/>
      <c r="J40" s="365"/>
      <c r="K40" s="362"/>
      <c r="L40" s="362"/>
      <c r="M40" s="363"/>
      <c r="N40" s="363"/>
    </row>
    <row r="41">
      <c r="A41" s="362"/>
      <c r="B41" s="362"/>
      <c r="C41" s="362"/>
      <c r="D41" s="362"/>
      <c r="E41" s="362"/>
      <c r="F41" s="362"/>
      <c r="G41" s="362"/>
      <c r="H41" s="362"/>
      <c r="I41" s="362"/>
      <c r="J41" s="365"/>
      <c r="K41" s="362"/>
      <c r="L41" s="362"/>
      <c r="M41" s="363"/>
      <c r="N41" s="363"/>
    </row>
  </sheetData>
  <mergeCells count="22">
    <mergeCell ref="A1:G1"/>
    <mergeCell ref="A2:K2"/>
    <mergeCell ref="A3:G3"/>
    <mergeCell ref="A5:G5"/>
    <mergeCell ref="A6:K6"/>
    <mergeCell ref="F8:G8"/>
    <mergeCell ref="B21:C21"/>
    <mergeCell ref="C30:F30"/>
    <mergeCell ref="C32:F32"/>
    <mergeCell ref="J32:K32"/>
    <mergeCell ref="B33:D33"/>
    <mergeCell ref="I35:L35"/>
    <mergeCell ref="A36:D36"/>
    <mergeCell ref="E36:H36"/>
    <mergeCell ref="I36:L36"/>
    <mergeCell ref="B22:C22"/>
    <mergeCell ref="B23:C23"/>
    <mergeCell ref="C25:J25"/>
    <mergeCell ref="C26:J26"/>
    <mergeCell ref="B28:C28"/>
    <mergeCell ref="J28:L28"/>
    <mergeCell ref="C29:G29"/>
  </mergeCells>
  <dataValidations>
    <dataValidation type="list" allowBlank="1" showErrorMessage="1" sqref="C25">
      <formula1>'1. DATA CHUNG'!$T$4:$T41</formula1>
    </dataValidation>
  </dataValidations>
  <printOptions gridLines="1" horizontalCentered="1"/>
  <pageMargins bottom="0.75" footer="0.0" header="0.0" left="0.7" right="0.7" top="0.75"/>
  <pageSetup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pageSetUpPr fitToPage="1"/>
  </sheetPr>
  <sheetViews>
    <sheetView workbookViewId="0"/>
  </sheetViews>
  <sheetFormatPr customHeight="1" defaultColWidth="12.63" defaultRowHeight="15.75"/>
  <cols>
    <col customWidth="1" min="1" max="1" width="20.0"/>
    <col customWidth="1" min="2" max="2" width="13.88"/>
    <col customWidth="1" min="3" max="3" width="28.5"/>
    <col customWidth="1" min="4" max="4" width="19.38"/>
    <col customWidth="1" min="5" max="5" width="15.25"/>
    <col customWidth="1" min="6" max="6" width="22.5"/>
    <col customWidth="1" min="7" max="7" width="12.25"/>
    <col customWidth="1" min="8" max="8" width="7.38"/>
    <col customWidth="1" min="9" max="9" width="23.75"/>
    <col customWidth="1" min="10" max="10" width="24.0"/>
  </cols>
  <sheetData>
    <row r="1">
      <c r="A1" s="403" t="s">
        <v>1195</v>
      </c>
      <c r="E1" s="404"/>
      <c r="F1" s="404"/>
      <c r="G1" s="405"/>
      <c r="H1" s="405"/>
      <c r="I1" s="406" t="s">
        <v>1196</v>
      </c>
      <c r="J1" s="407" t="s">
        <v>305</v>
      </c>
    </row>
    <row r="2">
      <c r="A2" s="404"/>
      <c r="B2" s="404"/>
      <c r="C2" s="404"/>
      <c r="D2" s="404"/>
      <c r="E2" s="408" t="s">
        <v>1197</v>
      </c>
      <c r="F2" s="409"/>
      <c r="G2" s="405"/>
      <c r="H2" s="405"/>
      <c r="I2" s="406" t="s">
        <v>1198</v>
      </c>
      <c r="J2" s="410">
        <v>46113.0</v>
      </c>
    </row>
    <row r="3">
      <c r="A3" s="404"/>
      <c r="B3" s="404"/>
      <c r="C3" s="404"/>
      <c r="D3" s="404"/>
      <c r="E3" s="411" t="s">
        <v>1199</v>
      </c>
      <c r="F3" s="412" t="s">
        <v>1200</v>
      </c>
      <c r="G3" s="405"/>
      <c r="H3" s="405"/>
      <c r="I3" s="406" t="s">
        <v>1201</v>
      </c>
      <c r="J3" s="407" t="s">
        <v>1202</v>
      </c>
    </row>
    <row r="4">
      <c r="A4" s="404"/>
      <c r="B4" s="404"/>
      <c r="C4" s="404"/>
      <c r="D4" s="404"/>
      <c r="E4" s="413" t="s">
        <v>1203</v>
      </c>
      <c r="F4" s="414">
        <v>45825.0</v>
      </c>
      <c r="G4" s="405"/>
      <c r="H4" s="405"/>
      <c r="I4" s="405"/>
      <c r="J4" s="405"/>
    </row>
    <row r="5">
      <c r="A5" s="415" t="s">
        <v>1204</v>
      </c>
      <c r="G5" s="405"/>
      <c r="H5" s="405"/>
      <c r="I5" s="406"/>
      <c r="J5" s="405"/>
    </row>
    <row r="6">
      <c r="A6" s="416" t="s">
        <v>1205</v>
      </c>
      <c r="G6" s="405"/>
      <c r="H6" s="405"/>
      <c r="I6" s="405"/>
      <c r="J6" s="405"/>
    </row>
    <row r="7">
      <c r="A7" s="417">
        <f>today()</f>
        <v>46221</v>
      </c>
      <c r="G7" s="405"/>
      <c r="H7" s="405"/>
      <c r="I7" s="405"/>
      <c r="J7" s="405"/>
    </row>
    <row r="8">
      <c r="A8" s="404"/>
      <c r="B8" s="404"/>
      <c r="C8" s="404"/>
      <c r="D8" s="404"/>
      <c r="E8" s="404"/>
      <c r="F8" s="404"/>
      <c r="G8" s="405"/>
      <c r="H8" s="405"/>
      <c r="I8" s="405"/>
      <c r="J8" s="405"/>
    </row>
    <row r="9">
      <c r="A9" s="418" t="s">
        <v>1206</v>
      </c>
      <c r="B9" s="419"/>
      <c r="C9" s="419"/>
      <c r="D9" s="419"/>
      <c r="E9" s="419"/>
      <c r="F9" s="419"/>
      <c r="G9" s="405"/>
      <c r="H9" s="405"/>
      <c r="I9" s="405"/>
      <c r="J9" s="405"/>
    </row>
    <row r="10">
      <c r="A10" s="420" t="s">
        <v>1207</v>
      </c>
      <c r="B10" s="421"/>
      <c r="C10" s="421" t="s">
        <v>1208</v>
      </c>
      <c r="D10" s="404"/>
      <c r="E10" s="404"/>
      <c r="F10" s="404"/>
      <c r="G10" s="405"/>
      <c r="H10" s="405"/>
      <c r="I10" s="405"/>
      <c r="J10" s="405"/>
    </row>
    <row r="11">
      <c r="A11" s="422" t="s">
        <v>1209</v>
      </c>
      <c r="B11" s="421"/>
      <c r="C11" s="421" t="s">
        <v>1210</v>
      </c>
      <c r="D11" s="404"/>
      <c r="E11" s="404"/>
      <c r="F11" s="404"/>
      <c r="G11" s="405"/>
      <c r="H11" s="405"/>
      <c r="I11" s="405"/>
      <c r="J11" s="405"/>
    </row>
    <row r="12">
      <c r="A12" s="422" t="s">
        <v>1211</v>
      </c>
      <c r="B12" s="423"/>
      <c r="C12" s="423" t="s">
        <v>1212</v>
      </c>
      <c r="D12" s="404"/>
      <c r="E12" s="404"/>
      <c r="F12" s="404"/>
      <c r="G12" s="405"/>
      <c r="H12" s="405"/>
      <c r="I12" s="405"/>
      <c r="J12" s="405"/>
    </row>
    <row r="13">
      <c r="A13" s="422" t="s">
        <v>1213</v>
      </c>
      <c r="B13" s="423"/>
      <c r="C13" s="423" t="s">
        <v>1214</v>
      </c>
      <c r="D13" s="404"/>
      <c r="E13" s="404"/>
      <c r="F13" s="404"/>
      <c r="G13" s="405"/>
      <c r="H13" s="405"/>
      <c r="I13" s="405"/>
      <c r="J13" s="405"/>
    </row>
    <row r="14">
      <c r="A14" s="418" t="s">
        <v>1215</v>
      </c>
      <c r="B14" s="419"/>
      <c r="C14" s="419"/>
      <c r="D14" s="419"/>
      <c r="E14" s="419"/>
      <c r="F14" s="419"/>
      <c r="G14" s="405"/>
      <c r="H14" s="405"/>
      <c r="I14" s="405"/>
      <c r="J14" s="405"/>
    </row>
    <row r="15">
      <c r="A15" s="422" t="s">
        <v>1216</v>
      </c>
      <c r="B15" s="424" t="str">
        <f t="array" ref="B15">XLOOKUP($J$1, '1. DATA CHUNG'!U:U, '1. DATA CHUNG'!T:T,"Không tìm thấy tên công ty")</f>
        <v>CÔNG TY TNHH SẢN XUẤT BAO BÌ ĐÔNG TÂY</v>
      </c>
      <c r="C15" s="404"/>
      <c r="D15" s="404"/>
      <c r="E15" s="404"/>
      <c r="F15" s="404"/>
      <c r="G15" s="406"/>
      <c r="H15" s="405"/>
      <c r="I15" s="405"/>
      <c r="J15" s="405"/>
    </row>
    <row r="16">
      <c r="A16" s="422" t="s">
        <v>1217</v>
      </c>
      <c r="B16" s="404"/>
      <c r="C16" s="404"/>
      <c r="D16" s="404"/>
      <c r="E16" s="404"/>
      <c r="F16" s="404"/>
      <c r="G16" s="405"/>
      <c r="H16" s="405"/>
      <c r="I16" s="405"/>
      <c r="J16" s="405"/>
    </row>
    <row r="17">
      <c r="A17" s="422" t="s">
        <v>1218</v>
      </c>
      <c r="B17" s="424" t="str">
        <f> "Thanh toán công nợ" &amp; " " &amp; B15 &amp; " " &amp;TEXT($J$2, "mm/yyyy") </f>
        <v>Thanh toán công nợ CÔNG TY TNHH SẢN XUẤT BAO BÌ ĐÔNG TÂY 04/2026</v>
      </c>
      <c r="C17" s="404"/>
      <c r="D17" s="404"/>
      <c r="E17" s="404"/>
      <c r="F17" s="404"/>
      <c r="G17" s="406"/>
      <c r="H17" s="405"/>
      <c r="I17" s="405"/>
      <c r="J17" s="405"/>
    </row>
    <row r="18">
      <c r="A18" s="422" t="s">
        <v>1219</v>
      </c>
      <c r="B18" s="404"/>
      <c r="C18" s="404"/>
      <c r="D18" s="404"/>
      <c r="E18" s="404"/>
      <c r="F18" s="404"/>
      <c r="G18" s="405"/>
      <c r="H18" s="405"/>
      <c r="I18" s="405"/>
      <c r="J18" s="405"/>
    </row>
    <row r="19">
      <c r="A19" s="425" t="s">
        <v>1220</v>
      </c>
      <c r="B19" s="426"/>
      <c r="C19" s="427" t="s">
        <v>1221</v>
      </c>
      <c r="D19" s="428" t="s">
        <v>1222</v>
      </c>
      <c r="E19" s="428" t="s">
        <v>1223</v>
      </c>
      <c r="F19" s="428" t="s">
        <v>1174</v>
      </c>
      <c r="G19" s="405"/>
      <c r="H19" s="405"/>
      <c r="I19" s="405"/>
      <c r="J19" s="405"/>
    </row>
    <row r="20">
      <c r="A20" s="425" t="s">
        <v>1224</v>
      </c>
      <c r="B20" s="429" t="s">
        <v>1225</v>
      </c>
      <c r="C20" s="430"/>
      <c r="D20" s="23"/>
      <c r="E20" s="23"/>
      <c r="F20" s="23"/>
      <c r="G20" s="405"/>
      <c r="H20" s="405"/>
      <c r="I20" s="405"/>
      <c r="J20" s="405"/>
    </row>
    <row r="21" hidden="1">
      <c r="A21" s="431">
        <f>IFERROR(__xludf.DUMMYFUNCTION("IFERROR(UNIQUE(FILTER('6. TIẾN ĐỘ MUA HÀNG'!AE:AE, TRIM('6. TIẾN ĐỘ MUA HÀNG'!I:I)=TRIM($J$1), TEXT('6. TIẾN ĐỘ MUA HÀNG'!E:E, ""mm/yyyy"")=TEXT($J$2, ""mm/yyyy""), ISNUMBER(SEARCH(TRIM($J$3), TRIM('6. TIẾN ĐỘ MUA HÀNG'!G:G))))), ""Không có dữ liệu"")"),779.0)</f>
        <v>779</v>
      </c>
      <c r="B21" s="432">
        <f t="array" ref="B21"> IFERROR(XLOOKUP(A21,'6. TIẾN ĐỘ MUA HÀNG'!AE:AE,'6. TIẾN ĐỘ MUA HÀNG'!E:E),"")</f>
        <v>46119</v>
      </c>
      <c r="C21" s="433" t="str">
        <f>B17</f>
        <v>Thanh toán công nợ CÔNG TY TNHH SẢN XUẤT BAO BÌ ĐÔNG TÂY 04/2026</v>
      </c>
      <c r="D21" s="434">
        <f>SUMIF('6. TIẾN ĐỘ MUA HÀNG'!AE:AE,A21,'6. TIẾN ĐỘ MUA HÀNG'!AB:AB)</f>
        <v>2635200</v>
      </c>
      <c r="E21" s="435"/>
      <c r="F21" s="434"/>
      <c r="G21" s="406"/>
      <c r="H21" s="405"/>
      <c r="I21" s="405"/>
      <c r="J21" s="405"/>
    </row>
    <row r="22" hidden="1">
      <c r="A22" s="436">
        <f>IFERROR(__xludf.DUMMYFUNCTION("""COMPUTED_VALUE"""),780.0)</f>
        <v>780</v>
      </c>
      <c r="B22" s="432">
        <f t="array" ref="B22"> IFERROR(XLOOKUP(A22,'6. TIẾN ĐỘ MUA HÀNG'!AE:AE,'6. TIẾN ĐỘ MUA HÀNG'!E:E),"")</f>
        <v>46119</v>
      </c>
      <c r="C22" s="26"/>
      <c r="D22" s="434">
        <f>SUMIF('6. TIẾN ĐỘ MUA HÀNG'!AE:AE,A22,'6. TIẾN ĐỘ MUA HÀNG'!AB:AB)</f>
        <v>2538000</v>
      </c>
      <c r="E22" s="435"/>
      <c r="F22" s="434" t="str">
        <f t="shared" ref="F22:F26" si="1">IF($G$1="","", IFERROR(INDEX('8. THEO DÕI CHI NCC'!AD:AD, MATCH($G$1, '8. THEO DÕI CHI NCC'!$J:$J, 0)), ""))</f>
        <v/>
      </c>
      <c r="G22" s="405"/>
      <c r="H22" s="405"/>
      <c r="I22" s="405"/>
      <c r="J22" s="405"/>
    </row>
    <row r="23" hidden="1">
      <c r="A23" s="431">
        <f>IFERROR(__xludf.DUMMYFUNCTION("""COMPUTED_VALUE"""),724.0)</f>
        <v>724</v>
      </c>
      <c r="B23" s="432">
        <f t="array" ref="B23"> IFERROR(XLOOKUP(A23,'6. TIẾN ĐỘ MUA HÀNG'!AE:AE,'6. TIẾN ĐỘ MUA HÀNG'!E:E),"")</f>
        <v>46113</v>
      </c>
      <c r="C23" s="26"/>
      <c r="D23" s="434">
        <f>SUMIF('6. TIẾN ĐỘ MUA HÀNG'!AE:AE,A23,'6. TIẾN ĐỘ MUA HÀNG'!AB:AB)</f>
        <v>10108800</v>
      </c>
      <c r="E23" s="435"/>
      <c r="F23" s="434" t="str">
        <f t="shared" si="1"/>
        <v/>
      </c>
      <c r="G23" s="405"/>
      <c r="H23" s="405"/>
      <c r="I23" s="405"/>
      <c r="J23" s="405"/>
    </row>
    <row r="24">
      <c r="A24" s="431">
        <f>IFERROR(__xludf.DUMMYFUNCTION("""COMPUTED_VALUE"""),781.0)</f>
        <v>781</v>
      </c>
      <c r="B24" s="432">
        <f t="array" ref="B24"> IFERROR(XLOOKUP(A24,'6. TIẾN ĐỘ MUA HÀNG'!AE:AE,'6. TIẾN ĐỘ MUA HÀNG'!E:E),"")</f>
        <v>46119</v>
      </c>
      <c r="C24" s="26"/>
      <c r="D24" s="434">
        <f>SUMIF('6. TIẾN ĐỘ MUA HÀNG'!AE:AE,A24,'6. TIẾN ĐỘ MUA HÀNG'!AB:AB)</f>
        <v>2133000</v>
      </c>
      <c r="E24" s="435"/>
      <c r="F24" s="434" t="str">
        <f t="shared" si="1"/>
        <v/>
      </c>
      <c r="G24" s="405"/>
      <c r="H24" s="405"/>
      <c r="I24" s="405"/>
      <c r="J24" s="405"/>
    </row>
    <row r="25">
      <c r="A25" s="431">
        <f>IFERROR(__xludf.DUMMYFUNCTION("""COMPUTED_VALUE"""),725.0)</f>
        <v>725</v>
      </c>
      <c r="B25" s="432">
        <f t="array" ref="B25"> IFERROR(XLOOKUP(A25,'6. TIẾN ĐỘ MUA HÀNG'!AE:AE,'6. TIẾN ĐỘ MUA HÀNG'!E:E),"")</f>
        <v>46113</v>
      </c>
      <c r="C25" s="26"/>
      <c r="D25" s="434">
        <f>SUMIF('6. TIẾN ĐỘ MUA HÀNG'!AE:AE,A25,'6. TIẾN ĐỘ MUA HÀNG'!AB:AB)</f>
        <v>2343600</v>
      </c>
      <c r="E25" s="435"/>
      <c r="F25" s="434" t="str">
        <f t="shared" si="1"/>
        <v/>
      </c>
      <c r="G25" s="405"/>
      <c r="H25" s="405"/>
      <c r="I25" s="405"/>
      <c r="J25" s="405"/>
    </row>
    <row r="26">
      <c r="A26" s="431">
        <f>IFERROR(__xludf.DUMMYFUNCTION("""COMPUTED_VALUE"""),853.0)</f>
        <v>853</v>
      </c>
      <c r="B26" s="432">
        <f t="array" ref="B26"> IFERROR(XLOOKUP(A26,'6. TIẾN ĐỘ MUA HÀNG'!AE:AE,'6. TIẾN ĐỘ MUA HÀNG'!E:E),"")</f>
        <v>46126</v>
      </c>
      <c r="C26" s="26"/>
      <c r="D26" s="434">
        <f>SUMIF('6. TIẾN ĐỘ MUA HÀNG'!AE:AE,A26,'6. TIẾN ĐỘ MUA HÀNG'!AB:AB)</f>
        <v>5410800</v>
      </c>
      <c r="E26" s="435"/>
      <c r="F26" s="434" t="str">
        <f t="shared" si="1"/>
        <v/>
      </c>
      <c r="G26" s="405"/>
      <c r="H26" s="405"/>
      <c r="I26" s="405"/>
      <c r="J26" s="405"/>
    </row>
    <row r="27">
      <c r="A27" s="431">
        <f>IFERROR(__xludf.DUMMYFUNCTION("""COMPUTED_VALUE"""),829.0)</f>
        <v>829</v>
      </c>
      <c r="B27" s="432">
        <f t="array" ref="B27"> IFERROR(XLOOKUP(A27,'6. TIẾN ĐỘ MUA HÀNG'!AE:AE,'6. TIẾN ĐỘ MUA HÀNG'!E:E),"")</f>
        <v>46123</v>
      </c>
      <c r="C27" s="26"/>
      <c r="D27" s="434">
        <f>SUMIF('6. TIẾN ĐỘ MUA HÀNG'!AE:AE,A27,'6. TIẾN ĐỘ MUA HÀNG'!AB:AB)</f>
        <v>6966000</v>
      </c>
      <c r="E27" s="435"/>
      <c r="F27" s="434"/>
      <c r="G27" s="405"/>
      <c r="H27" s="405"/>
      <c r="I27" s="405"/>
      <c r="J27" s="405"/>
    </row>
    <row r="28">
      <c r="A28" s="431">
        <f>IFERROR(__xludf.DUMMYFUNCTION("""COMPUTED_VALUE"""),854.0)</f>
        <v>854</v>
      </c>
      <c r="B28" s="432">
        <f t="array" ref="B28"> IFERROR(XLOOKUP(A28,'6. TIẾN ĐỘ MUA HÀNG'!AE:AE,'6. TIẾN ĐỘ MUA HÀNG'!E:E),"")</f>
        <v>46126</v>
      </c>
      <c r="C28" s="26"/>
      <c r="D28" s="434">
        <f>SUMIF('6. TIẾN ĐỘ MUA HÀNG'!AE:AE,A28,'6. TIẾN ĐỘ MUA HÀNG'!AB:AB)</f>
        <v>7905600</v>
      </c>
      <c r="E28" s="435"/>
      <c r="F28" s="434"/>
      <c r="G28" s="405"/>
      <c r="H28" s="405"/>
      <c r="I28" s="405"/>
      <c r="J28" s="405"/>
    </row>
    <row r="29" hidden="1">
      <c r="A29" s="431">
        <f>IFERROR(__xludf.DUMMYFUNCTION("""COMPUTED_VALUE"""),828.0)</f>
        <v>828</v>
      </c>
      <c r="B29" s="432">
        <f t="array" ref="B29"> IFERROR(XLOOKUP(A29,'6. TIẾN ĐỘ MUA HÀNG'!AE:AE,'6. TIẾN ĐỘ MUA HÀNG'!E:E),"")</f>
        <v>46123</v>
      </c>
      <c r="C29" s="26"/>
      <c r="D29" s="434">
        <f>SUMIF('6. TIẾN ĐỘ MUA HÀNG'!AE:AE,A29,'6. TIẾN ĐỘ MUA HÀNG'!AB:AB)</f>
        <v>10665000</v>
      </c>
      <c r="E29" s="435"/>
      <c r="F29" s="434"/>
      <c r="G29" s="405"/>
      <c r="H29" s="405"/>
      <c r="I29" s="405"/>
      <c r="J29" s="405"/>
    </row>
    <row r="30" hidden="1">
      <c r="A30" s="431">
        <f>IFERROR(__xludf.DUMMYFUNCTION("""COMPUTED_VALUE"""),830.0)</f>
        <v>830</v>
      </c>
      <c r="B30" s="432">
        <f t="array" ref="B30"> IFERROR(XLOOKUP(A30,'6. TIẾN ĐỘ MUA HÀNG'!AE:AE,'6. TIẾN ĐỘ MUA HÀNG'!E:E),"")</f>
        <v>46123</v>
      </c>
      <c r="C30" s="26"/>
      <c r="D30" s="434">
        <f>SUMIF('6. TIẾN ĐỘ MUA HÀNG'!AE:AE,A30,'6. TIẾN ĐỘ MUA HÀNG'!AB:AB)</f>
        <v>6966000</v>
      </c>
      <c r="E30" s="435"/>
      <c r="F30" s="434"/>
      <c r="G30" s="405"/>
      <c r="H30" s="405"/>
      <c r="I30" s="405"/>
      <c r="J30" s="405"/>
    </row>
    <row r="31" hidden="1">
      <c r="A31" s="431">
        <f>IFERROR(__xludf.DUMMYFUNCTION("""COMPUTED_VALUE"""),827.0)</f>
        <v>827</v>
      </c>
      <c r="B31" s="432">
        <f t="array" ref="B31"> IFERROR(XLOOKUP(A31,'6. TIẾN ĐỘ MUA HÀNG'!AE:AE,'6. TIẾN ĐỘ MUA HÀNG'!E:E),"")</f>
        <v>46123</v>
      </c>
      <c r="C31" s="26"/>
      <c r="D31" s="434">
        <f>SUMIF('6. TIẾN ĐỘ MUA HÀNG'!AE:AE,A31,'6. TIẾN ĐỘ MUA HÀNG'!AB:AB)</f>
        <v>4795200</v>
      </c>
      <c r="E31" s="435"/>
      <c r="F31" s="434"/>
      <c r="G31" s="405"/>
      <c r="H31" s="405"/>
      <c r="I31" s="405"/>
      <c r="J31" s="405"/>
    </row>
    <row r="32" hidden="1">
      <c r="A32" s="431">
        <f>IFERROR(__xludf.DUMMYFUNCTION("""COMPUTED_VALUE"""),842.0)</f>
        <v>842</v>
      </c>
      <c r="B32" s="432">
        <f t="array" ref="B32"> IFERROR(XLOOKUP(A32,'6. TIẾN ĐỘ MUA HÀNG'!AE:AE,'6. TIẾN ĐỘ MUA HÀNG'!E:E),"")</f>
        <v>46125</v>
      </c>
      <c r="C32" s="26"/>
      <c r="D32" s="434">
        <f>SUMIF('6. TIẾN ĐỘ MUA HÀNG'!AE:AE,A32,'6. TIẾN ĐỘ MUA HÀNG'!AB:AB)</f>
        <v>7581600</v>
      </c>
      <c r="E32" s="435"/>
      <c r="F32" s="434"/>
      <c r="G32" s="405"/>
      <c r="H32" s="405"/>
      <c r="I32" s="405"/>
      <c r="J32" s="405"/>
    </row>
    <row r="33" hidden="1">
      <c r="A33" s="431">
        <f>IFERROR(__xludf.DUMMYFUNCTION("""COMPUTED_VALUE"""),950.0)</f>
        <v>950</v>
      </c>
      <c r="B33" s="432">
        <f t="array" ref="B33"> IFERROR(XLOOKUP(A33,'6. TIẾN ĐỘ MUA HÀNG'!AE:AE,'6. TIẾN ĐỘ MUA HÀNG'!E:E),"")</f>
        <v>46136</v>
      </c>
      <c r="C33" s="26"/>
      <c r="D33" s="434">
        <f>SUMIF('6. TIẾN ĐỘ MUA HÀNG'!AE:AE,A33,'6. TIẾN ĐỘ MUA HÀNG'!AB:AB)</f>
        <v>873180</v>
      </c>
      <c r="E33" s="435"/>
      <c r="F33" s="434"/>
      <c r="G33" s="405"/>
      <c r="H33" s="405"/>
      <c r="I33" s="405"/>
      <c r="J33" s="405"/>
    </row>
    <row r="34" hidden="1">
      <c r="A34" s="431">
        <f>IFERROR(__xludf.DUMMYFUNCTION("""COMPUTED_VALUE"""),949.0)</f>
        <v>949</v>
      </c>
      <c r="B34" s="437">
        <f t="array" ref="B34"> IFERROR(XLOOKUP(A34,'6. TIẾN ĐỘ MUA HÀNG'!AE:AE,'6. TIẾN ĐỘ MUA HÀNG'!E:E),"")</f>
        <v>46136</v>
      </c>
      <c r="C34" s="438"/>
      <c r="D34" s="434">
        <f>SUMIF('6. TIẾN ĐỘ MUA HÀNG'!AE:AE,A34,'6. TIẾN ĐỘ MUA HÀNG'!AB:AB)</f>
        <v>1984500</v>
      </c>
      <c r="E34" s="435"/>
      <c r="F34" s="434"/>
      <c r="G34" s="405"/>
      <c r="H34" s="405"/>
      <c r="I34" s="405"/>
      <c r="J34" s="405"/>
    </row>
    <row r="35" hidden="1">
      <c r="A35" s="431">
        <f>IFERROR(__xludf.DUMMYFUNCTION("""COMPUTED_VALUE"""),886.0)</f>
        <v>886</v>
      </c>
      <c r="B35" s="437">
        <f t="array" ref="B35"> IFERROR(XLOOKUP(A35,'6. TIẾN ĐỘ MUA HÀNG'!AE:AE,'6. TIẾN ĐỘ MUA HÀNG'!E:E),"")</f>
        <v>46130</v>
      </c>
      <c r="C35" s="438"/>
      <c r="D35" s="434">
        <f>SUMIF('6. TIẾN ĐỘ MUA HÀNG'!AE:AE,A35,'6. TIẾN ĐỘ MUA HÀNG'!AB:AB)</f>
        <v>7302960</v>
      </c>
      <c r="E35" s="435"/>
      <c r="F35" s="434"/>
      <c r="G35" s="405"/>
      <c r="H35" s="405"/>
      <c r="I35" s="405"/>
      <c r="J35" s="405"/>
    </row>
    <row r="36" hidden="1">
      <c r="A36" s="431">
        <f>IFERROR(__xludf.DUMMYFUNCTION("""COMPUTED_VALUE"""),937.0)</f>
        <v>937</v>
      </c>
      <c r="B36" s="437">
        <f t="array" ref="B36"> IFERROR(XLOOKUP(A36,'6. TIẾN ĐỘ MUA HÀNG'!AE:AE,'6. TIẾN ĐỘ MUA HÀNG'!E:E),"")</f>
        <v>46135</v>
      </c>
      <c r="C36" s="439"/>
      <c r="D36" s="434">
        <f>SUMIF('6. TIẾN ĐỘ MUA HÀNG'!AE:AE,A36,'6. TIẾN ĐỘ MUA HÀNG'!AB:AB)</f>
        <v>6345216</v>
      </c>
      <c r="E36" s="435"/>
      <c r="F36" s="434"/>
      <c r="G36" s="405"/>
      <c r="H36" s="405"/>
      <c r="I36" s="405"/>
      <c r="J36" s="405"/>
    </row>
    <row r="37" hidden="1">
      <c r="A37" s="431">
        <f>IFERROR(__xludf.DUMMYFUNCTION("""COMPUTED_VALUE"""),894.0)</f>
        <v>894</v>
      </c>
      <c r="B37" s="437">
        <f t="array" ref="B37"> IFERROR(XLOOKUP(A37,'6. TIẾN ĐỘ MUA HÀNG'!AE:AE,'6. TIẾN ĐỘ MUA HÀNG'!E:E),"")</f>
        <v>46132</v>
      </c>
      <c r="C37" s="440"/>
      <c r="D37" s="434">
        <f>SUMIF('6. TIẾN ĐỘ MUA HÀNG'!AE:AE,A37,'6. TIẾN ĐỘ MUA HÀNG'!AB:AB)</f>
        <v>6132780</v>
      </c>
      <c r="E37" s="435"/>
      <c r="F37" s="434"/>
      <c r="G37" s="405"/>
      <c r="H37" s="405"/>
      <c r="I37" s="405"/>
      <c r="J37" s="405"/>
    </row>
    <row r="38" hidden="1">
      <c r="A38" s="431">
        <f>IFERROR(__xludf.DUMMYFUNCTION("""COMPUTED_VALUE"""),948.0)</f>
        <v>948</v>
      </c>
      <c r="B38" s="437">
        <f t="array" ref="B38"> IFERROR(XLOOKUP(A38,'6. TIẾN ĐỘ MUA HÀNG'!AE:AE,'6. TIẾN ĐỘ MUA HÀNG'!E:E),"")</f>
        <v>46136</v>
      </c>
      <c r="C38" s="440"/>
      <c r="D38" s="434">
        <f>SUMIF('6. TIẾN ĐỘ MUA HÀNG'!AE:AE,A38,'6. TIẾN ĐỘ MUA HÀNG'!AB:AB)</f>
        <v>4384800</v>
      </c>
      <c r="E38" s="435"/>
      <c r="F38" s="434"/>
      <c r="G38" s="405"/>
      <c r="H38" s="405"/>
      <c r="I38" s="405"/>
      <c r="J38" s="405"/>
    </row>
    <row r="39" hidden="1">
      <c r="A39" s="431">
        <f>IFERROR(__xludf.DUMMYFUNCTION("""COMPUTED_VALUE"""),959.0)</f>
        <v>959</v>
      </c>
      <c r="B39" s="437">
        <f t="array" ref="B39"> IFERROR(XLOOKUP(A39,'6. TIẾN ĐỘ MUA HÀNG'!AE:AE,'6. TIẾN ĐỘ MUA HÀNG'!E:E),"")</f>
        <v>46137</v>
      </c>
      <c r="C39" s="440"/>
      <c r="D39" s="434">
        <f>SUMIF('6. TIẾN ĐỘ MUA HÀNG'!AE:AE,A39,'6. TIẾN ĐỘ MUA HÀNG'!AB:AB)</f>
        <v>4384800</v>
      </c>
      <c r="E39" s="435"/>
      <c r="F39" s="434"/>
      <c r="G39" s="405"/>
      <c r="H39" s="405"/>
      <c r="I39" s="405"/>
      <c r="J39" s="405"/>
    </row>
    <row r="40" hidden="1">
      <c r="A40" s="431">
        <f>IFERROR(__xludf.DUMMYFUNCTION("""COMPUTED_VALUE"""),887.0)</f>
        <v>887</v>
      </c>
      <c r="B40" s="437">
        <f t="array" ref="B40"> IFERROR(XLOOKUP(A40,'6. TIẾN ĐỘ MUA HÀNG'!AE:AE,'6. TIẾN ĐỘ MUA HÀNG'!E:E),"")</f>
        <v>46130</v>
      </c>
      <c r="C40" s="440"/>
      <c r="D40" s="434">
        <f>SUMIF('6. TIẾN ĐỘ MUA HÀNG'!AE:AE,A40,'6. TIẾN ĐỘ MUA HÀNG'!AB:AB)</f>
        <v>7198200</v>
      </c>
      <c r="E40" s="435"/>
      <c r="F40" s="434"/>
      <c r="G40" s="405"/>
      <c r="H40" s="405"/>
      <c r="I40" s="405"/>
      <c r="J40" s="405"/>
    </row>
    <row r="41" hidden="1">
      <c r="A41" s="431">
        <f>IFERROR(__xludf.DUMMYFUNCTION("""COMPUTED_VALUE"""),881.0)</f>
        <v>881</v>
      </c>
      <c r="B41" s="437">
        <f t="array" ref="B41"> IFERROR(XLOOKUP(A41,'6. TIẾN ĐỘ MUA HÀNG'!AE:AE,'6. TIẾN ĐỘ MUA HÀNG'!E:E),"")</f>
        <v>46130</v>
      </c>
      <c r="C41" s="440"/>
      <c r="D41" s="434">
        <f>SUMIF('6. TIẾN ĐỘ MUA HÀNG'!AE:AE,A41,'6. TIẾN ĐỘ MUA HÀNG'!AB:AB)</f>
        <v>7389360</v>
      </c>
      <c r="E41" s="435"/>
      <c r="F41" s="434"/>
      <c r="G41" s="405"/>
      <c r="H41" s="405"/>
      <c r="I41" s="405"/>
      <c r="J41" s="405"/>
    </row>
    <row r="42" hidden="1">
      <c r="A42" s="431">
        <f>IFERROR(__xludf.DUMMYFUNCTION("""COMPUTED_VALUE"""),995.0)</f>
        <v>995</v>
      </c>
      <c r="B42" s="437">
        <f t="array" ref="B42"> IFERROR(XLOOKUP(A42,'6. TIẾN ĐỘ MUA HÀNG'!AE:AE,'6. TIẾN ĐỘ MUA HÀNG'!E:E),"")</f>
        <v>46140</v>
      </c>
      <c r="C42" s="440"/>
      <c r="D42" s="434">
        <f>SUMIF('6. TIẾN ĐỘ MUA HÀNG'!AE:AE,A42,'6. TIẾN ĐỘ MUA HÀNG'!AB:AB)</f>
        <v>5022000</v>
      </c>
      <c r="E42" s="435"/>
      <c r="F42" s="434"/>
      <c r="G42" s="405"/>
      <c r="H42" s="405"/>
      <c r="I42" s="405"/>
      <c r="J42" s="405"/>
    </row>
    <row r="43" hidden="1">
      <c r="A43" s="431">
        <f>IFERROR(__xludf.DUMMYFUNCTION("""COMPUTED_VALUE"""),979.0)</f>
        <v>979</v>
      </c>
      <c r="B43" s="437">
        <f t="array" ref="B43"> IFERROR(XLOOKUP(A43,'6. TIẾN ĐỘ MUA HÀNG'!AE:AE,'6. TIẾN ĐỘ MUA HÀNG'!E:E),"")</f>
        <v>46139</v>
      </c>
      <c r="C43" s="440"/>
      <c r="D43" s="434">
        <f>SUMIF('6. TIẾN ĐỘ MUA HÀNG'!AE:AE,A43,'6. TIẾN ĐỘ MUA HÀNG'!AB:AB)</f>
        <v>11858616</v>
      </c>
      <c r="E43" s="435"/>
      <c r="F43" s="434" t="str">
        <f t="array" ref="F43">IF($G$1="","", IFERROR(INDEX('8. THEO DÕI CHI NCC'!AD:AD, MATCH($G$1, '8. THEO DÕI CHI NCC'!$J:$J, 0)), ""))</f>
        <v/>
      </c>
      <c r="G43" s="405"/>
      <c r="H43" s="405"/>
      <c r="I43" s="405"/>
      <c r="J43" s="405"/>
    </row>
    <row r="44" hidden="1">
      <c r="A44" s="431">
        <f>IFERROR(__xludf.DUMMYFUNCTION("""COMPUTED_VALUE"""),960.0)</f>
        <v>960</v>
      </c>
      <c r="B44" s="437">
        <f t="array" ref="B44"> IFERROR(XLOOKUP(A44,'6. TIẾN ĐỘ MUA HÀNG'!AE:AE,'6. TIẾN ĐỘ MUA HÀNG'!E:E),"")</f>
        <v>46137</v>
      </c>
      <c r="C44" s="440"/>
      <c r="D44" s="434">
        <f>SUMIF('6. TIẾN ĐỘ MUA HÀNG'!AE:AE,A44,'6. TIẾN ĐỘ MUA HÀNG'!AB:AB)</f>
        <v>8906436</v>
      </c>
      <c r="E44" s="435"/>
      <c r="F44" s="434"/>
      <c r="G44" s="405"/>
      <c r="H44" s="405"/>
      <c r="I44" s="405"/>
      <c r="J44" s="405"/>
    </row>
    <row r="45" hidden="1">
      <c r="A45" s="431">
        <f>IFERROR(__xludf.DUMMYFUNCTION("""COMPUTED_VALUE"""),980.0)</f>
        <v>980</v>
      </c>
      <c r="B45" s="437">
        <f t="array" ref="B45"> IFERROR(XLOOKUP(A45,'6. TIẾN ĐỘ MUA HÀNG'!AE:AE,'6. TIẾN ĐỘ MUA HÀNG'!E:E),"")</f>
        <v>46139</v>
      </c>
      <c r="C45" s="440"/>
      <c r="D45" s="434">
        <f>SUMIF('6. TIẾN ĐỘ MUA HÀNG'!AE:AE,A45,'6. TIẾN ĐỘ MUA HÀNG'!AB:AB)</f>
        <v>5505408</v>
      </c>
      <c r="E45" s="435"/>
      <c r="F45" s="434"/>
      <c r="G45" s="405"/>
      <c r="H45" s="405"/>
      <c r="I45" s="405"/>
      <c r="J45" s="405"/>
    </row>
    <row r="46" hidden="1">
      <c r="A46" s="431">
        <f>IFERROR(__xludf.DUMMYFUNCTION("""COMPUTED_VALUE"""),978.0)</f>
        <v>978</v>
      </c>
      <c r="B46" s="437">
        <f t="array" ref="B46"> IFERROR(XLOOKUP(A46,'6. TIẾN ĐỘ MUA HÀNG'!AE:AE,'6. TIẾN ĐỘ MUA HÀNG'!E:E),"")</f>
        <v>46139</v>
      </c>
      <c r="C46" s="440"/>
      <c r="D46" s="434">
        <f>SUMIF('6. TIẾN ĐỘ MUA HÀNG'!AE:AE,A46,'6. TIẾN ĐỘ MUA HÀNG'!AB:AB)</f>
        <v>6253200</v>
      </c>
      <c r="E46" s="435"/>
      <c r="F46" s="434"/>
      <c r="G46" s="405"/>
      <c r="H46" s="405"/>
      <c r="I46" s="405"/>
      <c r="J46" s="405"/>
    </row>
    <row r="47" hidden="1">
      <c r="A47" s="431">
        <f>IFERROR(__xludf.DUMMYFUNCTION("""COMPUTED_VALUE"""),981.0)</f>
        <v>981</v>
      </c>
      <c r="B47" s="437">
        <f t="array" ref="B47"> IFERROR(XLOOKUP(A47,'6. TIẾN ĐỘ MUA HÀNG'!AE:AE,'6. TIẾN ĐỘ MUA HÀNG'!E:E),"")</f>
        <v>46139</v>
      </c>
      <c r="C47" s="440"/>
      <c r="D47" s="434">
        <f>SUMIF('6. TIẾN ĐỘ MUA HÀNG'!AE:AE,A47,'6. TIẾN ĐỘ MUA HÀNG'!AB:AB)</f>
        <v>4418928</v>
      </c>
      <c r="E47" s="435"/>
      <c r="F47" s="434"/>
      <c r="G47" s="405"/>
      <c r="H47" s="405"/>
      <c r="I47" s="405"/>
      <c r="J47" s="405"/>
    </row>
    <row r="48" hidden="1">
      <c r="A48" s="431">
        <f>IFERROR(__xludf.DUMMYFUNCTION("""COMPUTED_VALUE"""),994.0)</f>
        <v>994</v>
      </c>
      <c r="B48" s="437">
        <f t="array" ref="B48"> IFERROR(XLOOKUP(A48,'6. TIẾN ĐỘ MUA HÀNG'!AE:AE,'6. TIẾN ĐỘ MUA HÀNG'!E:E),"")</f>
        <v>46140</v>
      </c>
      <c r="C48" s="440"/>
      <c r="D48" s="434">
        <f>SUMIF('6. TIẾN ĐỘ MUA HÀNG'!AE:AE,A48,'6. TIẾN ĐỘ MUA HÀNG'!AB:AB)</f>
        <v>7171416</v>
      </c>
      <c r="E48" s="435"/>
      <c r="F48" s="434"/>
      <c r="G48" s="405"/>
      <c r="H48" s="405"/>
      <c r="I48" s="405"/>
      <c r="J48" s="405"/>
    </row>
    <row r="49" hidden="1">
      <c r="A49" s="431"/>
      <c r="B49" s="437" t="str">
        <f t="array" ref="B49"> IFERROR(XLOOKUP(A49,'6. TIẾN ĐỘ MUA HÀNG'!AE:AE,'6. TIẾN ĐỘ MUA HÀNG'!E:E),"")</f>
        <v/>
      </c>
      <c r="C49" s="440"/>
      <c r="D49" s="434">
        <f>SUMIF('6. TIẾN ĐỘ MUA HÀNG'!AE:AE,A49,'6. TIẾN ĐỘ MUA HÀNG'!AB:AB)</f>
        <v>0</v>
      </c>
      <c r="E49" s="435"/>
      <c r="F49" s="434"/>
      <c r="G49" s="405"/>
      <c r="H49" s="405"/>
      <c r="I49" s="405"/>
      <c r="J49" s="405"/>
    </row>
    <row r="50" hidden="1">
      <c r="A50" s="431"/>
      <c r="B50" s="437" t="str">
        <f t="array" ref="B50"> IFERROR(XLOOKUP(A50,'6. TIẾN ĐỘ MUA HÀNG'!AE:AE,'6. TIẾN ĐỘ MUA HÀNG'!E:E),"")</f>
        <v/>
      </c>
      <c r="C50" s="440"/>
      <c r="D50" s="434">
        <f>SUMIF('6. TIẾN ĐỘ MUA HÀNG'!AE:AE,A50,'6. TIẾN ĐỘ MUA HÀNG'!AB:AB)</f>
        <v>0</v>
      </c>
      <c r="E50" s="435"/>
      <c r="F50" s="434"/>
      <c r="G50" s="405"/>
      <c r="H50" s="405"/>
      <c r="I50" s="405"/>
      <c r="J50" s="405"/>
    </row>
    <row r="51" hidden="1">
      <c r="A51" s="431"/>
      <c r="B51" s="437" t="str">
        <f t="array" ref="B51"> IFERROR(XLOOKUP(A51,'6. TIẾN ĐỘ MUA HÀNG'!AE:AE,'6. TIẾN ĐỘ MUA HÀNG'!E:E),"")</f>
        <v/>
      </c>
      <c r="C51" s="440"/>
      <c r="D51" s="434">
        <f>SUMIF('6. TIẾN ĐỘ MUA HÀNG'!AE:AE,A51,'6. TIẾN ĐỘ MUA HÀNG'!AB:AB)</f>
        <v>0</v>
      </c>
      <c r="E51" s="435"/>
      <c r="F51" s="434" t="str">
        <f t="shared" ref="F51:F52" si="2">IF($G$1="","", IFERROR(INDEX('8. THEO DÕI CHI NCC'!AD:AD, MATCH($G$1, '8. THEO DÕI CHI NCC'!$J:$J, 0)), ""))</f>
        <v/>
      </c>
      <c r="G51" s="405"/>
      <c r="H51" s="405"/>
      <c r="I51" s="405"/>
      <c r="J51" s="405"/>
    </row>
    <row r="52" hidden="1">
      <c r="A52" s="431"/>
      <c r="B52" s="437" t="str">
        <f t="array" ref="B52"> IFERROR(XLOOKUP(A52,'6. TIẾN ĐỘ MUA HÀNG'!AE:AE,'6. TIẾN ĐỘ MUA HÀNG'!E:E),"")</f>
        <v/>
      </c>
      <c r="C52" s="440"/>
      <c r="D52" s="434">
        <f>SUMIF('6. TIẾN ĐỘ MUA HÀNG'!AE:AE,A52,'6. TIẾN ĐỘ MUA HÀNG'!AB:AB)</f>
        <v>0</v>
      </c>
      <c r="E52" s="435"/>
      <c r="F52" s="434" t="str">
        <f t="shared" si="2"/>
        <v/>
      </c>
      <c r="G52" s="405"/>
      <c r="H52" s="405"/>
      <c r="I52" s="405"/>
      <c r="J52" s="405"/>
    </row>
    <row r="53" hidden="1">
      <c r="A53" s="431"/>
      <c r="B53" s="437" t="str">
        <f t="array" ref="B53"> IFERROR(XLOOKUP(A53,'6. TIẾN ĐỘ MUA HÀNG'!AE:AE,'6. TIẾN ĐỘ MUA HÀNG'!E:E),"")</f>
        <v/>
      </c>
      <c r="C53" s="440"/>
      <c r="D53" s="434">
        <f>SUMIF('6. TIẾN ĐỘ MUA HÀNG'!AE:AE,A53,'6. TIẾN ĐỘ MUA HÀNG'!AB:AB)</f>
        <v>0</v>
      </c>
      <c r="E53" s="435"/>
      <c r="F53" s="434"/>
      <c r="G53" s="405"/>
      <c r="H53" s="405"/>
      <c r="I53" s="405"/>
      <c r="J53" s="405"/>
    </row>
    <row r="54" hidden="1">
      <c r="A54" s="431"/>
      <c r="B54" s="437" t="str">
        <f t="array" ref="B54"> IFERROR(XLOOKUP(A54,'6. TIẾN ĐỘ MUA HÀNG'!AE:AE,'6. TIẾN ĐỘ MUA HÀNG'!E:E),"")</f>
        <v/>
      </c>
      <c r="C54" s="440"/>
      <c r="D54" s="434">
        <f>SUMIF('6. TIẾN ĐỘ MUA HÀNG'!AE:AE,A54,'6. TIẾN ĐỘ MUA HÀNG'!AB:AB)</f>
        <v>0</v>
      </c>
      <c r="E54" s="435"/>
      <c r="F54" s="434" t="str">
        <f t="shared" ref="F54:F59" si="3">IF($G$1="","", IFERROR(INDEX('8. THEO DÕI CHI NCC'!AD:AD, MATCH($G$1, '8. THEO DÕI CHI NCC'!$J:$J, 0)), ""))</f>
        <v/>
      </c>
      <c r="G54" s="405"/>
      <c r="H54" s="405"/>
      <c r="I54" s="405"/>
      <c r="J54" s="405"/>
    </row>
    <row r="55" hidden="1">
      <c r="A55" s="431"/>
      <c r="B55" s="437" t="str">
        <f t="array" ref="B55"> IFERROR(XLOOKUP(A55,'6. TIẾN ĐỘ MUA HÀNG'!AE:AE,'6. TIẾN ĐỘ MUA HÀNG'!E:E),"")</f>
        <v/>
      </c>
      <c r="C55" s="440"/>
      <c r="D55" s="434">
        <f>SUMIF('6. TIẾN ĐỘ MUA HÀNG'!AE:AE,A55,'6. TIẾN ĐỘ MUA HÀNG'!AB:AB)</f>
        <v>0</v>
      </c>
      <c r="E55" s="435"/>
      <c r="F55" s="434" t="str">
        <f t="shared" si="3"/>
        <v/>
      </c>
      <c r="G55" s="405"/>
      <c r="H55" s="405"/>
      <c r="I55" s="405"/>
      <c r="J55" s="405"/>
    </row>
    <row r="56" hidden="1">
      <c r="A56" s="431"/>
      <c r="B56" s="437" t="str">
        <f t="array" ref="B56"> IFERROR(XLOOKUP(A56,'6. TIẾN ĐỘ MUA HÀNG'!AE:AE,'6. TIẾN ĐỘ MUA HÀNG'!E:E),"")</f>
        <v/>
      </c>
      <c r="C56" s="440"/>
      <c r="D56" s="434">
        <f>SUMIF('6. TIẾN ĐỘ MUA HÀNG'!AE:AE,A56,'6. TIẾN ĐỘ MUA HÀNG'!AB:AB)</f>
        <v>0</v>
      </c>
      <c r="E56" s="435"/>
      <c r="F56" s="434" t="str">
        <f t="shared" si="3"/>
        <v/>
      </c>
      <c r="G56" s="405"/>
      <c r="H56" s="405"/>
      <c r="I56" s="405"/>
      <c r="J56" s="405"/>
    </row>
    <row r="57" hidden="1">
      <c r="A57" s="431"/>
      <c r="B57" s="437" t="str">
        <f t="array" ref="B57"> IFERROR(XLOOKUP(A57,'6. TIẾN ĐỘ MUA HÀNG'!AE:AE,'6. TIẾN ĐỘ MUA HÀNG'!E:E),"")</f>
        <v/>
      </c>
      <c r="C57" s="440"/>
      <c r="D57" s="434">
        <f>SUMIF('6. TIẾN ĐỘ MUA HÀNG'!AE:AE,A57,'6. TIẾN ĐỘ MUA HÀNG'!AB:AB)</f>
        <v>0</v>
      </c>
      <c r="E57" s="435"/>
      <c r="F57" s="434" t="str">
        <f t="shared" si="3"/>
        <v/>
      </c>
      <c r="G57" s="405"/>
      <c r="H57" s="405"/>
      <c r="I57" s="405"/>
      <c r="J57" s="405"/>
    </row>
    <row r="58" hidden="1">
      <c r="A58" s="431"/>
      <c r="B58" s="437" t="str">
        <f t="array" ref="B58"> IFERROR(XLOOKUP(A58,'6. TIẾN ĐỘ MUA HÀNG'!AE:AE,'6. TIẾN ĐỘ MUA HÀNG'!E:E),"")</f>
        <v/>
      </c>
      <c r="C58" s="440"/>
      <c r="D58" s="434">
        <f>SUMIF('6. TIẾN ĐỘ MUA HÀNG'!AE:AE,A58,'6. TIẾN ĐỘ MUA HÀNG'!AB:AB)</f>
        <v>0</v>
      </c>
      <c r="E58" s="435"/>
      <c r="F58" s="434" t="str">
        <f t="shared" si="3"/>
        <v/>
      </c>
      <c r="G58" s="405"/>
      <c r="H58" s="405"/>
      <c r="I58" s="405"/>
      <c r="J58" s="405"/>
    </row>
    <row r="59" hidden="1">
      <c r="A59" s="431"/>
      <c r="B59" s="437" t="str">
        <f t="array" ref="B59"> IFERROR(XLOOKUP(A59,'6. TIẾN ĐỘ MUA HÀNG'!AE:AE,'6. TIẾN ĐỘ MUA HÀNG'!E:E),"")</f>
        <v/>
      </c>
      <c r="C59" s="441"/>
      <c r="D59" s="434">
        <f>SUMIF('6. TIẾN ĐỘ MUA HÀNG'!AE:AE,A59,'6. TIẾN ĐỘ MUA HÀNG'!AB:AB)</f>
        <v>0</v>
      </c>
      <c r="E59" s="435"/>
      <c r="F59" s="434" t="str">
        <f t="shared" si="3"/>
        <v/>
      </c>
      <c r="G59" s="405"/>
      <c r="H59" s="405"/>
      <c r="I59" s="405"/>
      <c r="J59" s="405"/>
    </row>
    <row r="60">
      <c r="A60" s="429" t="s">
        <v>1226</v>
      </c>
      <c r="B60" s="442"/>
      <c r="C60" s="443"/>
      <c r="D60" s="444">
        <f t="shared" ref="D60:E60" si="4">SUM(D21:D59)</f>
        <v>165180600</v>
      </c>
      <c r="E60" s="445">
        <f t="shared" si="4"/>
        <v>0</v>
      </c>
      <c r="F60" s="446" t="s">
        <v>1227</v>
      </c>
      <c r="G60" s="447"/>
      <c r="H60" s="447"/>
      <c r="I60" s="447"/>
      <c r="J60" s="447"/>
    </row>
    <row r="61">
      <c r="A61" s="404"/>
      <c r="B61" s="404"/>
      <c r="C61" s="404"/>
      <c r="D61" s="404"/>
      <c r="E61" s="404"/>
      <c r="F61" s="404"/>
      <c r="G61" s="405"/>
      <c r="H61" s="405"/>
      <c r="I61" s="405"/>
      <c r="J61" s="405"/>
    </row>
    <row r="62">
      <c r="A62" s="422" t="s">
        <v>1228</v>
      </c>
      <c r="B62" s="404"/>
      <c r="C62" s="404"/>
      <c r="D62" s="404"/>
      <c r="E62" s="404"/>
      <c r="F62" s="404"/>
      <c r="G62" s="405"/>
      <c r="H62" s="405"/>
      <c r="I62" s="405"/>
      <c r="J62" s="405"/>
    </row>
    <row r="63">
      <c r="A63" s="425" t="s">
        <v>1220</v>
      </c>
      <c r="B63" s="426"/>
      <c r="C63" s="427" t="s">
        <v>1221</v>
      </c>
      <c r="D63" s="428" t="s">
        <v>1229</v>
      </c>
      <c r="E63" s="428" t="s">
        <v>1230</v>
      </c>
      <c r="F63" s="448" t="s">
        <v>1174</v>
      </c>
      <c r="G63" s="405"/>
      <c r="H63" s="405"/>
      <c r="I63" s="405"/>
      <c r="J63" s="405"/>
    </row>
    <row r="64">
      <c r="A64" s="449" t="s">
        <v>1231</v>
      </c>
      <c r="B64" s="429" t="s">
        <v>1225</v>
      </c>
      <c r="C64" s="430"/>
      <c r="D64" s="23"/>
      <c r="E64" s="23"/>
      <c r="F64" s="23"/>
      <c r="G64" s="405"/>
      <c r="H64" s="405"/>
      <c r="I64" s="405"/>
      <c r="J64" s="405"/>
    </row>
    <row r="65">
      <c r="A65" s="450"/>
      <c r="B65" s="451"/>
      <c r="C65" s="450"/>
      <c r="D65" s="435"/>
      <c r="E65" s="435"/>
      <c r="F65" s="452"/>
      <c r="G65" s="405"/>
      <c r="H65" s="405"/>
      <c r="I65" s="405"/>
      <c r="J65" s="405"/>
    </row>
    <row r="66">
      <c r="A66" s="429" t="s">
        <v>1226</v>
      </c>
      <c r="B66" s="453"/>
      <c r="C66" s="429" t="s">
        <v>1232</v>
      </c>
      <c r="D66" s="454">
        <f t="shared" ref="D66:E66" si="5">SUM(D65)</f>
        <v>0</v>
      </c>
      <c r="E66" s="454">
        <f t="shared" si="5"/>
        <v>0</v>
      </c>
      <c r="F66" s="455"/>
      <c r="G66" s="405"/>
      <c r="H66" s="405"/>
      <c r="I66" s="405"/>
      <c r="J66" s="405"/>
    </row>
    <row r="67">
      <c r="A67" s="404"/>
      <c r="B67" s="404"/>
      <c r="C67" s="404"/>
      <c r="D67" s="404"/>
      <c r="E67" s="404"/>
      <c r="F67" s="404"/>
      <c r="G67" s="405"/>
      <c r="H67" s="405"/>
      <c r="I67" s="405"/>
      <c r="J67" s="405"/>
    </row>
    <row r="68">
      <c r="A68" s="456" t="b">
        <v>1</v>
      </c>
      <c r="B68" s="457" t="s">
        <v>1233</v>
      </c>
      <c r="C68" s="458">
        <f>D60</f>
        <v>165180600</v>
      </c>
      <c r="D68" s="459"/>
      <c r="E68" s="459"/>
      <c r="F68" s="409"/>
      <c r="G68" s="405"/>
      <c r="H68" s="405"/>
      <c r="I68" s="405"/>
      <c r="J68" s="405"/>
    </row>
    <row r="69">
      <c r="A69" s="456" t="b">
        <v>0</v>
      </c>
      <c r="B69" s="457" t="s">
        <v>1234</v>
      </c>
      <c r="C69" s="460"/>
      <c r="D69" s="461"/>
      <c r="E69" s="461"/>
      <c r="F69" s="426"/>
      <c r="G69" s="405"/>
      <c r="H69" s="405"/>
      <c r="I69" s="405"/>
      <c r="J69" s="405"/>
    </row>
    <row r="70">
      <c r="A70" s="404"/>
      <c r="B70" s="404" t="s">
        <v>1235</v>
      </c>
      <c r="C70" s="462" t="str">
        <f>IF(A68,VND(C68),IF(A69,VND(C69),""))</f>
        <v>Một trăm sáu mươi lăm triệu một trăm tám mươi nghìn sáu trăm đồng chẵn.</v>
      </c>
      <c r="D70" s="463"/>
      <c r="E70" s="463"/>
      <c r="F70" s="463"/>
      <c r="G70" s="405"/>
      <c r="H70" s="405"/>
      <c r="I70" s="405"/>
      <c r="J70" s="405"/>
    </row>
    <row r="71">
      <c r="A71" s="404"/>
      <c r="B71" s="404"/>
      <c r="C71" s="464"/>
      <c r="D71" s="464"/>
      <c r="E71" s="464"/>
      <c r="F71" s="464"/>
      <c r="G71" s="405"/>
      <c r="H71" s="405"/>
      <c r="I71" s="405"/>
      <c r="J71" s="405"/>
    </row>
    <row r="72">
      <c r="A72" s="418" t="s">
        <v>1236</v>
      </c>
      <c r="B72" s="419"/>
      <c r="C72" s="419"/>
      <c r="D72" s="419"/>
      <c r="E72" s="419"/>
      <c r="F72" s="419"/>
      <c r="G72" s="405"/>
      <c r="H72" s="405"/>
      <c r="I72" s="405"/>
      <c r="J72" s="405"/>
    </row>
    <row r="73">
      <c r="A73" s="404" t="str">
        <f>A1</f>
        <v>CÔNG TY TNHH DEGO HOLDING</v>
      </c>
      <c r="B73" s="404"/>
      <c r="C73" s="404"/>
      <c r="D73" s="404"/>
      <c r="E73" s="404"/>
      <c r="F73" s="404"/>
      <c r="G73" s="405"/>
      <c r="H73" s="405"/>
      <c r="I73" s="405"/>
      <c r="J73" s="405"/>
    </row>
    <row r="74">
      <c r="A74" s="465" t="b">
        <v>0</v>
      </c>
      <c r="B74" s="466" t="s">
        <v>1237</v>
      </c>
      <c r="C74" s="467"/>
      <c r="D74" s="467"/>
      <c r="E74" s="467"/>
      <c r="F74" s="468"/>
      <c r="G74" s="405"/>
      <c r="H74" s="405"/>
      <c r="I74" s="405"/>
      <c r="J74" s="405"/>
    </row>
    <row r="75">
      <c r="A75" s="465" t="b">
        <v>1</v>
      </c>
      <c r="B75" s="469" t="s">
        <v>1238</v>
      </c>
      <c r="C75" s="447" t="s">
        <v>1239</v>
      </c>
      <c r="D75" s="405" t="str">
        <f t="array" ref="D75">if($A$75,IFERROR(XLOOKUP($B$15,'0.Ngân Hàng'!A:A,'0.Ngân Hàng'!A:A),""))</f>
        <v>CÔNG TY TNHH SẢN XUẤT BAO BÌ ĐÔNG TÂY</v>
      </c>
      <c r="E75" s="470"/>
      <c r="F75" s="471"/>
      <c r="G75" s="405"/>
      <c r="H75" s="405"/>
      <c r="I75" s="405"/>
      <c r="J75" s="405"/>
    </row>
    <row r="76">
      <c r="A76" s="405"/>
      <c r="B76" s="469"/>
      <c r="C76" s="447" t="s">
        <v>1240</v>
      </c>
      <c r="D76" s="405">
        <f t="array" ref="D76">if($A$75,IFERROR(XLOOKUP($B$15,'0.Ngân Hàng'!A:A,'0.Ngân Hàng'!B:B),""))</f>
        <v>161816186868</v>
      </c>
      <c r="E76" s="472"/>
      <c r="F76" s="473"/>
      <c r="G76" s="405"/>
      <c r="H76" s="405"/>
      <c r="I76" s="405"/>
      <c r="J76" s="405"/>
    </row>
    <row r="77">
      <c r="A77" s="405"/>
      <c r="B77" s="469"/>
      <c r="C77" s="447" t="s">
        <v>1241</v>
      </c>
      <c r="D77" s="405" t="str">
        <f t="array" ref="D77">if($A$75,IFERROR(XLOOKUP($B$15,'0.Ngân Hàng'!A:A,'0.Ngân Hàng'!C:C),""))</f>
        <v> Ngân hàng TMCP Á Châu (ACB)</v>
      </c>
      <c r="E77" s="472"/>
      <c r="F77" s="473"/>
      <c r="G77" s="405"/>
      <c r="H77" s="405"/>
      <c r="I77" s="405"/>
      <c r="J77" s="405"/>
    </row>
    <row r="78">
      <c r="A78" s="405"/>
      <c r="B78" s="474"/>
      <c r="C78" s="475" t="s">
        <v>1242</v>
      </c>
      <c r="D78" s="476" t="str">
        <f>C21</f>
        <v>Thanh toán công nợ CÔNG TY TNHH SẢN XUẤT BAO BÌ ĐÔNG TÂY 04/2026</v>
      </c>
      <c r="E78" s="477"/>
      <c r="F78" s="478"/>
      <c r="G78" s="405"/>
      <c r="H78" s="405"/>
      <c r="I78" s="405"/>
      <c r="J78" s="405"/>
    </row>
    <row r="79">
      <c r="A79" s="404"/>
      <c r="B79" s="404"/>
      <c r="C79" s="404"/>
      <c r="D79" s="404"/>
      <c r="E79" s="404"/>
      <c r="F79" s="404"/>
      <c r="G79" s="405"/>
      <c r="H79" s="405"/>
      <c r="I79" s="405"/>
      <c r="J79" s="405"/>
    </row>
    <row r="80">
      <c r="A80" s="404"/>
      <c r="B80" s="404"/>
      <c r="C80" s="404"/>
      <c r="D80" s="404"/>
      <c r="E80" s="404"/>
      <c r="F80" s="404"/>
      <c r="G80" s="405"/>
      <c r="H80" s="405"/>
      <c r="I80" s="405"/>
      <c r="J80" s="405"/>
    </row>
    <row r="81">
      <c r="A81" s="479" t="s">
        <v>1243</v>
      </c>
      <c r="B81" s="479"/>
      <c r="C81" s="479"/>
      <c r="D81" s="479"/>
      <c r="E81" s="479"/>
      <c r="F81" s="479"/>
      <c r="G81" s="405"/>
      <c r="H81" s="405"/>
      <c r="I81" s="405"/>
      <c r="J81" s="405"/>
    </row>
    <row r="82">
      <c r="A82" s="404"/>
      <c r="C82" s="404"/>
      <c r="D82" s="404"/>
      <c r="F82" s="404"/>
      <c r="G82" s="405"/>
      <c r="H82" s="405"/>
      <c r="I82" s="405"/>
      <c r="J82" s="405"/>
    </row>
    <row r="83">
      <c r="A83" s="480" t="s">
        <v>1244</v>
      </c>
      <c r="B83" s="480" t="s">
        <v>1245</v>
      </c>
      <c r="D83" s="480" t="s">
        <v>1246</v>
      </c>
      <c r="F83" s="480" t="s">
        <v>1247</v>
      </c>
      <c r="G83" s="405"/>
      <c r="H83" s="405"/>
      <c r="I83" s="405"/>
      <c r="J83" s="405"/>
    </row>
    <row r="84">
      <c r="A84" s="480" t="s">
        <v>1248</v>
      </c>
      <c r="B84" s="480" t="s">
        <v>1248</v>
      </c>
      <c r="D84" s="480" t="s">
        <v>1248</v>
      </c>
      <c r="F84" s="480" t="s">
        <v>1248</v>
      </c>
      <c r="G84" s="405"/>
      <c r="H84" s="405"/>
      <c r="I84" s="405"/>
      <c r="J84" s="405"/>
    </row>
    <row r="85">
      <c r="A85" s="481"/>
      <c r="B85" s="481"/>
      <c r="C85" s="481"/>
      <c r="D85" s="481"/>
      <c r="E85" s="481"/>
      <c r="F85" s="481"/>
      <c r="G85" s="405"/>
      <c r="H85" s="405"/>
      <c r="I85" s="405"/>
      <c r="J85" s="405"/>
    </row>
    <row r="86">
      <c r="A86" s="482"/>
      <c r="B86" s="482"/>
      <c r="C86" s="482"/>
      <c r="D86" s="482"/>
      <c r="E86" s="482"/>
      <c r="F86" s="482"/>
      <c r="G86" s="405"/>
      <c r="H86" s="405"/>
      <c r="I86" s="405"/>
      <c r="J86" s="405"/>
    </row>
    <row r="87">
      <c r="A87" s="482"/>
      <c r="B87" s="482"/>
      <c r="C87" s="482"/>
      <c r="D87" s="482"/>
      <c r="E87" s="482"/>
      <c r="F87" s="482"/>
      <c r="G87" s="405"/>
      <c r="H87" s="405"/>
      <c r="I87" s="405"/>
      <c r="J87" s="405"/>
    </row>
    <row r="88">
      <c r="A88" s="482"/>
      <c r="B88" s="482"/>
      <c r="C88" s="482"/>
      <c r="D88" s="482"/>
      <c r="E88" s="482"/>
      <c r="F88" s="482"/>
      <c r="G88" s="405"/>
      <c r="H88" s="405"/>
      <c r="I88" s="405"/>
      <c r="J88" s="405"/>
    </row>
    <row r="89">
      <c r="A89" s="482"/>
      <c r="B89" s="482"/>
      <c r="C89" s="482"/>
      <c r="D89" s="482"/>
      <c r="E89" s="482"/>
      <c r="F89" s="482"/>
      <c r="G89" s="405"/>
      <c r="H89" s="405"/>
      <c r="I89" s="405"/>
      <c r="J89" s="405"/>
    </row>
    <row r="90">
      <c r="A90" s="483" t="s">
        <v>1249</v>
      </c>
      <c r="B90" s="479"/>
      <c r="C90" s="479"/>
      <c r="D90" s="479"/>
      <c r="E90" s="479"/>
      <c r="F90" s="479"/>
      <c r="G90" s="405"/>
      <c r="H90" s="405"/>
      <c r="I90" s="405"/>
      <c r="J90" s="405"/>
    </row>
    <row r="91">
      <c r="A91" s="484">
        <v>1.0</v>
      </c>
      <c r="B91" s="485"/>
      <c r="C91" s="482"/>
      <c r="D91" s="482"/>
      <c r="E91" s="482"/>
      <c r="F91" s="482"/>
      <c r="G91" s="405"/>
      <c r="H91" s="405"/>
      <c r="I91" s="405"/>
      <c r="J91" s="405"/>
    </row>
    <row r="92">
      <c r="A92" s="484">
        <v>2.0</v>
      </c>
      <c r="B92" s="485"/>
      <c r="C92" s="482"/>
      <c r="D92" s="482"/>
      <c r="E92" s="482"/>
      <c r="F92" s="482"/>
      <c r="G92" s="405"/>
      <c r="H92" s="405"/>
      <c r="I92" s="405"/>
      <c r="J92" s="405"/>
    </row>
    <row r="93">
      <c r="A93" s="484">
        <v>3.0</v>
      </c>
      <c r="B93" s="485"/>
      <c r="C93" s="404"/>
      <c r="D93" s="404"/>
      <c r="E93" s="404"/>
      <c r="F93" s="404"/>
      <c r="G93" s="405"/>
      <c r="H93" s="405"/>
      <c r="I93" s="405"/>
      <c r="J93" s="405"/>
    </row>
    <row r="94">
      <c r="A94" s="484">
        <v>4.0</v>
      </c>
      <c r="B94" s="485"/>
      <c r="C94" s="404"/>
      <c r="D94" s="404"/>
      <c r="E94" s="404"/>
      <c r="F94" s="404"/>
      <c r="G94" s="405"/>
      <c r="H94" s="405"/>
      <c r="I94" s="405"/>
      <c r="J94" s="405"/>
    </row>
    <row r="95">
      <c r="A95" s="424">
        <v>5.0</v>
      </c>
      <c r="B95" s="485"/>
      <c r="C95" s="404"/>
      <c r="D95" s="404"/>
      <c r="E95" s="404"/>
      <c r="F95" s="404"/>
      <c r="G95" s="405"/>
      <c r="H95" s="405"/>
      <c r="I95" s="405"/>
      <c r="J95" s="405"/>
    </row>
    <row r="96">
      <c r="A96" s="482"/>
      <c r="B96" s="482"/>
      <c r="C96" s="485" t="s">
        <v>1227</v>
      </c>
      <c r="D96" s="482"/>
      <c r="E96" s="485" t="s">
        <v>1227</v>
      </c>
      <c r="F96" s="482"/>
      <c r="G96" s="405"/>
      <c r="H96" s="405"/>
      <c r="I96" s="405"/>
      <c r="J96" s="405"/>
    </row>
    <row r="97">
      <c r="A97" s="482"/>
      <c r="B97" s="482"/>
      <c r="C97" s="481" t="s">
        <v>1250</v>
      </c>
      <c r="D97" s="481"/>
      <c r="E97" s="481" t="s">
        <v>1251</v>
      </c>
      <c r="F97" s="482"/>
      <c r="G97" s="405"/>
      <c r="H97" s="405"/>
      <c r="I97" s="405"/>
      <c r="J97" s="405"/>
    </row>
    <row r="98">
      <c r="A98" s="482"/>
      <c r="B98" s="482"/>
      <c r="C98" s="482" t="s">
        <v>1252</v>
      </c>
      <c r="D98" s="482"/>
      <c r="E98" s="482" t="s">
        <v>1252</v>
      </c>
      <c r="F98" s="482"/>
      <c r="G98" s="405"/>
      <c r="H98" s="405"/>
      <c r="I98" s="405"/>
      <c r="J98" s="405"/>
    </row>
    <row r="99">
      <c r="A99" s="486" t="s">
        <v>1253</v>
      </c>
      <c r="C99" s="487"/>
      <c r="D99" s="488"/>
      <c r="E99" s="487"/>
      <c r="F99" s="487"/>
      <c r="G99" s="405"/>
      <c r="H99" s="405"/>
      <c r="I99" s="405"/>
      <c r="J99" s="405"/>
    </row>
    <row r="100">
      <c r="A100" s="486" t="s">
        <v>1254</v>
      </c>
      <c r="C100" s="487"/>
      <c r="D100" s="488"/>
      <c r="E100" s="487"/>
      <c r="F100" s="487"/>
      <c r="G100" s="405"/>
      <c r="H100" s="405"/>
      <c r="I100" s="405"/>
      <c r="J100" s="405"/>
    </row>
    <row r="101">
      <c r="A101" s="447" t="s">
        <v>1255</v>
      </c>
      <c r="C101" s="489"/>
      <c r="D101" s="405"/>
      <c r="E101" s="489"/>
      <c r="F101" s="489"/>
      <c r="G101" s="405"/>
      <c r="H101" s="405"/>
      <c r="I101" s="405"/>
      <c r="J101" s="405"/>
    </row>
    <row r="102">
      <c r="A102" s="405"/>
      <c r="B102" s="405"/>
      <c r="C102" s="405"/>
      <c r="D102" s="405"/>
      <c r="E102" s="405"/>
      <c r="F102" s="405"/>
      <c r="G102" s="405"/>
      <c r="H102" s="405"/>
      <c r="I102" s="405"/>
      <c r="J102" s="405"/>
    </row>
    <row r="103">
      <c r="A103" s="405"/>
      <c r="B103" s="405"/>
      <c r="C103" s="405"/>
      <c r="D103" s="405"/>
      <c r="E103" s="405"/>
      <c r="F103" s="405"/>
      <c r="G103" s="405"/>
      <c r="H103" s="405"/>
      <c r="I103" s="405"/>
      <c r="J103" s="405"/>
    </row>
    <row r="104">
      <c r="A104" s="405"/>
      <c r="B104" s="405"/>
      <c r="C104" s="405"/>
      <c r="D104" s="405"/>
      <c r="E104" s="405"/>
      <c r="F104" s="405"/>
      <c r="G104" s="405"/>
      <c r="H104" s="405"/>
      <c r="I104" s="405"/>
      <c r="J104" s="405"/>
    </row>
  </sheetData>
  <mergeCells count="28">
    <mergeCell ref="A1:D1"/>
    <mergeCell ref="E2:F2"/>
    <mergeCell ref="A5:F5"/>
    <mergeCell ref="A6:F6"/>
    <mergeCell ref="A7:F7"/>
    <mergeCell ref="A19:B19"/>
    <mergeCell ref="C19:C20"/>
    <mergeCell ref="F19:F20"/>
    <mergeCell ref="D19:D20"/>
    <mergeCell ref="E19:E20"/>
    <mergeCell ref="C21:C33"/>
    <mergeCell ref="A63:B63"/>
    <mergeCell ref="C63:C64"/>
    <mergeCell ref="D63:D64"/>
    <mergeCell ref="E63:E64"/>
    <mergeCell ref="B83:C83"/>
    <mergeCell ref="B84:C84"/>
    <mergeCell ref="D84:E84"/>
    <mergeCell ref="A99:B99"/>
    <mergeCell ref="A100:B100"/>
    <mergeCell ref="A101:B101"/>
    <mergeCell ref="F63:F64"/>
    <mergeCell ref="C68:F68"/>
    <mergeCell ref="C69:F69"/>
    <mergeCell ref="D78:F78"/>
    <mergeCell ref="A82:B82"/>
    <mergeCell ref="D82:E82"/>
    <mergeCell ref="D83:E83"/>
  </mergeCells>
  <dataValidations>
    <dataValidation type="list" allowBlank="1" sqref="J2">
      <formula1>"01/2026,02/2026,03/2026,04/2026,05/2026,06/2026,07/2026,08/2026,09/2026,10/2026,11/2026,12/2026"</formula1>
    </dataValidation>
    <dataValidation type="list" allowBlank="1" showErrorMessage="1" sqref="J1">
      <formula1>'6. TIẾN ĐỘ MUA HÀNG'!$I$5:$I104</formula1>
    </dataValidation>
    <dataValidation type="list" allowBlank="1" showErrorMessage="1" sqref="J3">
      <formula1>"DEGO,IDA,Icare"</formula1>
    </dataValidation>
    <dataValidation type="list" allowBlank="1" showErrorMessage="1" sqref="A1">
      <formula1>'1. DATA CHUNG'!$E$4:$E104</formula1>
    </dataValidation>
  </dataValidations>
  <printOptions horizontalCentered="1"/>
  <pageMargins bottom="0.4938898766686423" footer="0.0" header="0.0" left="0.2173115457342026" right="0.24694493833432116" top="0.19755595066745693"/>
  <pageSetup paperSize="14"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pageSetUpPr fitToPage="1"/>
  </sheetPr>
  <sheetViews>
    <sheetView workbookViewId="0"/>
  </sheetViews>
  <sheetFormatPr customHeight="1" defaultColWidth="12.63" defaultRowHeight="15.75"/>
  <cols>
    <col customWidth="1" min="1" max="1" width="20.13"/>
    <col customWidth="1" min="2" max="2" width="24.38"/>
    <col customWidth="1" min="3" max="3" width="18.5"/>
    <col customWidth="1" min="4" max="4" width="21.0"/>
    <col customWidth="1" min="5" max="5" width="13.25"/>
    <col customWidth="1" min="6" max="6" width="28.0"/>
    <col customWidth="1" min="7" max="7" width="12.25"/>
    <col customWidth="1" min="8" max="8" width="15.75"/>
    <col customWidth="1" min="9" max="9" width="19.88"/>
  </cols>
  <sheetData>
    <row r="1">
      <c r="A1" s="403" t="s">
        <v>1195</v>
      </c>
      <c r="E1" s="490"/>
      <c r="F1" s="490"/>
      <c r="G1" s="181"/>
      <c r="H1" s="406" t="s">
        <v>1256</v>
      </c>
      <c r="I1" s="407" t="s">
        <v>726</v>
      </c>
    </row>
    <row r="2">
      <c r="A2" s="490"/>
      <c r="B2" s="490"/>
      <c r="C2" s="490"/>
      <c r="D2" s="490"/>
      <c r="E2" s="491" t="s">
        <v>1197</v>
      </c>
      <c r="F2" s="409"/>
      <c r="G2" s="181"/>
      <c r="H2" s="406" t="s">
        <v>1257</v>
      </c>
      <c r="I2" s="407" t="s">
        <v>594</v>
      </c>
    </row>
    <row r="3">
      <c r="A3" s="490"/>
      <c r="B3" s="490"/>
      <c r="C3" s="490"/>
      <c r="D3" s="490"/>
      <c r="E3" s="492" t="s">
        <v>1199</v>
      </c>
      <c r="F3" s="493" t="s">
        <v>1200</v>
      </c>
      <c r="G3" s="181"/>
      <c r="H3" s="406" t="s">
        <v>1258</v>
      </c>
      <c r="I3" s="407" t="s">
        <v>562</v>
      </c>
    </row>
    <row r="4">
      <c r="A4" s="490"/>
      <c r="B4" s="490"/>
      <c r="C4" s="490"/>
      <c r="D4" s="490"/>
      <c r="E4" s="494" t="s">
        <v>1203</v>
      </c>
      <c r="F4" s="495">
        <v>45825.0</v>
      </c>
      <c r="G4" s="181"/>
      <c r="H4" s="496" t="s">
        <v>1259</v>
      </c>
      <c r="I4" s="497">
        <f t="array" ref="I4">IFERROR(INDEX('6. TIẾN ĐỘ MUA HÀNG'!$E:$E,MATCH($I$2,'6. TIẾN ĐỘ MUA HÀNG'!$J:$J,0)),"")</f>
        <v>46123</v>
      </c>
    </row>
    <row r="5">
      <c r="A5" s="498" t="s">
        <v>1204</v>
      </c>
      <c r="G5" s="181"/>
      <c r="H5" s="181"/>
      <c r="I5" s="181"/>
    </row>
    <row r="6">
      <c r="A6" s="499" t="s">
        <v>1205</v>
      </c>
      <c r="G6" s="181"/>
      <c r="H6" s="181"/>
      <c r="I6" s="181"/>
    </row>
    <row r="7">
      <c r="A7" s="500">
        <f>today()</f>
        <v>46221</v>
      </c>
      <c r="G7" s="181"/>
      <c r="H7" s="181"/>
      <c r="I7" s="181"/>
    </row>
    <row r="8">
      <c r="A8" s="490"/>
      <c r="B8" s="490"/>
      <c r="C8" s="490"/>
      <c r="D8" s="490"/>
      <c r="E8" s="490"/>
      <c r="F8" s="490"/>
      <c r="G8" s="181"/>
      <c r="H8" s="181"/>
      <c r="I8" s="181"/>
    </row>
    <row r="9">
      <c r="A9" s="501" t="s">
        <v>1206</v>
      </c>
      <c r="B9" s="502"/>
      <c r="C9" s="502"/>
      <c r="D9" s="502"/>
      <c r="E9" s="502"/>
      <c r="F9" s="502"/>
      <c r="G9" s="181"/>
      <c r="H9" s="181"/>
      <c r="I9" s="181"/>
    </row>
    <row r="10">
      <c r="A10" s="503" t="s">
        <v>1260</v>
      </c>
      <c r="B10" s="421"/>
      <c r="C10" s="421" t="s">
        <v>1208</v>
      </c>
      <c r="D10" s="490"/>
      <c r="E10" s="490"/>
      <c r="F10" s="490"/>
      <c r="G10" s="181"/>
      <c r="H10" s="181"/>
      <c r="I10" s="181"/>
    </row>
    <row r="11">
      <c r="A11" s="504" t="s">
        <v>1209</v>
      </c>
      <c r="B11" s="421"/>
      <c r="C11" s="421" t="s">
        <v>1210</v>
      </c>
      <c r="D11" s="490"/>
      <c r="E11" s="490"/>
      <c r="F11" s="490"/>
      <c r="G11" s="181"/>
      <c r="H11" s="181"/>
      <c r="I11" s="181"/>
    </row>
    <row r="12">
      <c r="A12" s="504" t="s">
        <v>1211</v>
      </c>
      <c r="B12" s="423"/>
      <c r="C12" s="423" t="s">
        <v>1212</v>
      </c>
      <c r="D12" s="490"/>
      <c r="E12" s="490"/>
      <c r="F12" s="490"/>
      <c r="G12" s="181"/>
      <c r="H12" s="181"/>
      <c r="I12" s="181"/>
    </row>
    <row r="13">
      <c r="A13" s="504" t="s">
        <v>1213</v>
      </c>
      <c r="B13" s="423"/>
      <c r="C13" s="423" t="s">
        <v>1214</v>
      </c>
      <c r="D13" s="490"/>
      <c r="E13" s="490"/>
      <c r="F13" s="490"/>
      <c r="G13" s="181"/>
      <c r="H13" s="181"/>
      <c r="I13" s="181"/>
    </row>
    <row r="14">
      <c r="A14" s="501" t="s">
        <v>1215</v>
      </c>
      <c r="B14" s="502"/>
      <c r="C14" s="502"/>
      <c r="D14" s="502"/>
      <c r="E14" s="502"/>
      <c r="F14" s="502"/>
      <c r="G14" s="181"/>
      <c r="H14" s="181"/>
      <c r="I14" s="181"/>
    </row>
    <row r="15">
      <c r="A15" s="504" t="s">
        <v>1216</v>
      </c>
      <c r="B15" s="424" t="str">
        <f t="array" ref="B15">XLOOKUP($I$1, '1. DATA CHUNG'!U:U, '1. DATA CHUNG'!T:T,"Không tìm thấy tên công ty")</f>
        <v>CÔNG TY TNHH BAO BÌ NHỰA PHƯƠNG NAM</v>
      </c>
      <c r="C15" s="505"/>
      <c r="D15" s="490"/>
      <c r="E15" s="490"/>
      <c r="F15" s="490"/>
      <c r="G15" s="181"/>
      <c r="H15" s="181"/>
      <c r="I15" s="181"/>
    </row>
    <row r="16">
      <c r="A16" s="504" t="s">
        <v>1217</v>
      </c>
      <c r="B16" s="490"/>
      <c r="C16" s="505"/>
      <c r="D16" s="490"/>
      <c r="E16" s="490"/>
      <c r="F16" s="490"/>
      <c r="G16" s="181"/>
      <c r="H16" s="181"/>
      <c r="I16" s="181"/>
    </row>
    <row r="17">
      <c r="A17" s="504" t="s">
        <v>1218</v>
      </c>
      <c r="B17" s="424" t="str">
        <f> "Thanh toán công nợ" &amp; " " &amp; B15 &amp; " " &amp;TEXT($I$4, "mm/yyyy") </f>
        <v>Thanh toán công nợ CÔNG TY TNHH BAO BÌ NHỰA PHƯƠNG NAM 04/2026</v>
      </c>
      <c r="C17" s="505"/>
      <c r="D17" s="490"/>
      <c r="E17" s="490"/>
      <c r="F17" s="490"/>
      <c r="G17" s="181"/>
      <c r="H17" s="181"/>
      <c r="I17" s="181"/>
    </row>
    <row r="18">
      <c r="A18" s="504" t="s">
        <v>1219</v>
      </c>
      <c r="B18" s="490"/>
      <c r="C18" s="490"/>
      <c r="D18" s="490"/>
      <c r="E18" s="490"/>
      <c r="F18" s="490"/>
      <c r="G18" s="181"/>
      <c r="H18" s="181"/>
      <c r="I18" s="181"/>
    </row>
    <row r="19">
      <c r="A19" s="425" t="s">
        <v>1220</v>
      </c>
      <c r="B19" s="426"/>
      <c r="C19" s="427" t="s">
        <v>1221</v>
      </c>
      <c r="D19" s="428" t="s">
        <v>1222</v>
      </c>
      <c r="E19" s="428" t="s">
        <v>1223</v>
      </c>
      <c r="F19" s="428" t="s">
        <v>1174</v>
      </c>
      <c r="G19" s="181"/>
      <c r="H19" s="181"/>
      <c r="I19" s="181"/>
    </row>
    <row r="20">
      <c r="A20" s="425" t="s">
        <v>1224</v>
      </c>
      <c r="B20" s="429" t="s">
        <v>1225</v>
      </c>
      <c r="C20" s="430"/>
      <c r="D20" s="23"/>
      <c r="E20" s="23"/>
      <c r="F20" s="23"/>
      <c r="G20" s="181"/>
      <c r="H20" s="181"/>
      <c r="I20" s="181"/>
    </row>
    <row r="21">
      <c r="A21" s="506">
        <f t="array" ref="A21">IFERROR(INDEX('6. TIẾN ĐỘ MUA HÀNG'!$AE:$AE,MATCH($I$2,'6. TIẾN ĐỘ MUA HÀNG'!$J:$J,0)),"")</f>
        <v>828</v>
      </c>
      <c r="B21" s="432">
        <f t="array" ref="B21">IFERROR(INDEX('6. TIẾN ĐỘ MUA HÀNG'!$E:$E,MATCH($I$2,'6. TIẾN ĐỘ MUA HÀNG'!$J:$J,0)),"")</f>
        <v>46123</v>
      </c>
      <c r="C21" s="507" t="str">
        <f>B17</f>
        <v>Thanh toán công nợ CÔNG TY TNHH BAO BÌ NHỰA PHƯƠNG NAM 04/2026</v>
      </c>
      <c r="D21" s="434">
        <f t="array" ref="D21">IF($I$2="", "", IFERROR(ROUND(INDEX('8. THEO DÕI CHI NCC'!F:F, MATCH($I$2, '8. THEO DÕI CHI NCC'!$L:$L, 0)), -3), ""))</f>
        <v>10665000</v>
      </c>
      <c r="E21" s="508"/>
      <c r="F21" s="509" t="str">
        <f t="array" ref="F21">IF($G$1="","", IFERROR(INDEX('8. THEO DÕI CHI NCC'!AD:AD, MATCH($G$1, '8. THEO DÕI CHI NCC'!$J:$J, 0)), ""))</f>
        <v/>
      </c>
      <c r="G21" s="181"/>
      <c r="H21" s="181"/>
      <c r="I21" s="181"/>
    </row>
    <row r="22">
      <c r="A22" s="510" t="s">
        <v>1226</v>
      </c>
      <c r="B22" s="511"/>
      <c r="C22" s="512"/>
      <c r="D22" s="513">
        <f>D21</f>
        <v>10665000</v>
      </c>
      <c r="E22" s="514">
        <f>SUBTOTAL(109,E21)</f>
        <v>0</v>
      </c>
      <c r="F22" s="515" t="s">
        <v>1227</v>
      </c>
      <c r="G22" s="181"/>
      <c r="H22" s="181"/>
      <c r="I22" s="181"/>
    </row>
    <row r="23">
      <c r="A23" s="490"/>
      <c r="B23" s="490"/>
      <c r="C23" s="490"/>
      <c r="D23" s="490"/>
      <c r="E23" s="490"/>
      <c r="F23" s="490"/>
      <c r="G23" s="181"/>
      <c r="H23" s="181"/>
      <c r="I23" s="181"/>
    </row>
    <row r="24">
      <c r="A24" s="504" t="s">
        <v>1228</v>
      </c>
      <c r="B24" s="490"/>
      <c r="C24" s="490"/>
      <c r="D24" s="490"/>
      <c r="E24" s="490"/>
      <c r="F24" s="490"/>
      <c r="G24" s="181"/>
      <c r="H24" s="181"/>
      <c r="I24" s="181"/>
    </row>
    <row r="25">
      <c r="A25" s="425" t="s">
        <v>1220</v>
      </c>
      <c r="B25" s="426"/>
      <c r="C25" s="427" t="s">
        <v>1221</v>
      </c>
      <c r="D25" s="428" t="s">
        <v>1229</v>
      </c>
      <c r="E25" s="428" t="s">
        <v>1230</v>
      </c>
      <c r="F25" s="448" t="s">
        <v>1174</v>
      </c>
      <c r="G25" s="181"/>
      <c r="H25" s="181"/>
      <c r="I25" s="181"/>
    </row>
    <row r="26">
      <c r="A26" s="425" t="s">
        <v>1231</v>
      </c>
      <c r="B26" s="429" t="s">
        <v>1225</v>
      </c>
      <c r="C26" s="430"/>
      <c r="D26" s="23"/>
      <c r="E26" s="23"/>
      <c r="F26" s="23"/>
      <c r="G26" s="181"/>
      <c r="H26" s="181"/>
      <c r="I26" s="181"/>
    </row>
    <row r="27">
      <c r="A27" s="516"/>
      <c r="B27" s="517"/>
      <c r="C27" s="516"/>
      <c r="D27" s="508"/>
      <c r="E27" s="508"/>
      <c r="F27" s="518"/>
      <c r="G27" s="181"/>
      <c r="H27" s="181"/>
      <c r="I27" s="181"/>
    </row>
    <row r="28">
      <c r="A28" s="510" t="s">
        <v>1226</v>
      </c>
      <c r="B28" s="519"/>
      <c r="C28" s="510" t="s">
        <v>1232</v>
      </c>
      <c r="D28" s="514">
        <f t="shared" ref="D28:E28" si="1">SUM(D27)</f>
        <v>0</v>
      </c>
      <c r="E28" s="514">
        <f t="shared" si="1"/>
        <v>0</v>
      </c>
      <c r="F28" s="511"/>
      <c r="G28" s="181"/>
      <c r="H28" s="181"/>
      <c r="I28" s="181"/>
    </row>
    <row r="29">
      <c r="A29" s="490"/>
      <c r="B29" s="490"/>
      <c r="C29" s="490"/>
      <c r="D29" s="490"/>
      <c r="E29" s="490"/>
      <c r="F29" s="490"/>
      <c r="G29" s="181"/>
      <c r="H29" s="181"/>
      <c r="I29" s="181"/>
    </row>
    <row r="30">
      <c r="A30" s="456" t="b">
        <v>1</v>
      </c>
      <c r="B30" s="520" t="s">
        <v>1233</v>
      </c>
      <c r="C30" s="521">
        <f>D22-E22</f>
        <v>10665000</v>
      </c>
      <c r="D30" s="522"/>
      <c r="E30" s="490"/>
      <c r="F30" s="490"/>
      <c r="G30" s="181"/>
      <c r="H30" s="181"/>
      <c r="I30" s="181"/>
    </row>
    <row r="31">
      <c r="A31" s="456" t="b">
        <v>0</v>
      </c>
      <c r="B31" s="520" t="s">
        <v>1234</v>
      </c>
      <c r="C31" s="523"/>
      <c r="D31" s="490"/>
      <c r="E31" s="490"/>
      <c r="F31" s="490"/>
      <c r="G31" s="181"/>
      <c r="H31" s="181"/>
      <c r="I31" s="181"/>
    </row>
    <row r="32">
      <c r="A32" s="490"/>
      <c r="B32" s="490" t="s">
        <v>1235</v>
      </c>
      <c r="C32" s="524" t="str">
        <f>IF(C30,VND(C30),IF(C30,VND(C30),""))</f>
        <v>Mười triệu sáu trăm sáu mươi lăm nghìn đồng chẵn.</v>
      </c>
      <c r="D32" s="525"/>
      <c r="E32" s="525"/>
      <c r="F32" s="525"/>
      <c r="G32" s="181"/>
      <c r="H32" s="181"/>
      <c r="I32" s="181"/>
    </row>
    <row r="33">
      <c r="A33" s="490"/>
      <c r="B33" s="490"/>
      <c r="C33" s="526"/>
      <c r="D33" s="527"/>
      <c r="E33" s="527"/>
      <c r="F33" s="527"/>
      <c r="G33" s="181"/>
      <c r="H33" s="181"/>
      <c r="I33" s="181"/>
    </row>
    <row r="34">
      <c r="A34" s="501" t="s">
        <v>1236</v>
      </c>
      <c r="B34" s="502"/>
      <c r="C34" s="502"/>
      <c r="D34" s="502"/>
      <c r="E34" s="502"/>
      <c r="F34" s="502"/>
      <c r="G34" s="181"/>
      <c r="H34" s="181"/>
      <c r="I34" s="181"/>
    </row>
    <row r="35">
      <c r="A35" s="403" t="s">
        <v>1195</v>
      </c>
      <c r="E35" s="490"/>
      <c r="F35" s="490"/>
      <c r="G35" s="181"/>
      <c r="H35" s="181"/>
      <c r="I35" s="181"/>
    </row>
    <row r="36">
      <c r="A36" s="465" t="b">
        <v>0</v>
      </c>
      <c r="B36" s="520" t="s">
        <v>1261</v>
      </c>
      <c r="C36" s="523"/>
      <c r="D36" s="490" t="s">
        <v>1262</v>
      </c>
      <c r="E36" s="490"/>
      <c r="F36" s="490"/>
      <c r="G36" s="181"/>
      <c r="H36" s="181"/>
      <c r="I36" s="181"/>
    </row>
    <row r="37">
      <c r="A37" s="465" t="b">
        <v>1</v>
      </c>
      <c r="B37" s="520" t="s">
        <v>1263</v>
      </c>
      <c r="C37" s="523"/>
      <c r="D37" s="528" t="s">
        <v>9</v>
      </c>
      <c r="E37" s="529" t="str">
        <f>B15</f>
        <v>CÔNG TY TNHH BAO BÌ NHỰA PHƯƠNG NAM</v>
      </c>
      <c r="G37" s="181"/>
      <c r="H37" s="181"/>
      <c r="I37" s="181"/>
    </row>
    <row r="38">
      <c r="A38" s="490"/>
      <c r="B38" s="490"/>
      <c r="C38" s="490"/>
      <c r="D38" s="528" t="s">
        <v>10</v>
      </c>
      <c r="E38" s="530" t="str">
        <f t="array" ref="E38">IFERROR(INDEX('8. THEO DÕI CHI NCC'!Z:Z,MATCH($I$2,'8. THEO DÕI CHI NCC'!L:L,0)),"")</f>
        <v>Chuyển khoản </v>
      </c>
      <c r="G38" s="181"/>
      <c r="H38" s="181"/>
      <c r="I38" s="181"/>
    </row>
    <row r="39">
      <c r="A39" s="490"/>
      <c r="B39" s="490"/>
      <c r="C39" s="490"/>
      <c r="D39" s="528" t="s">
        <v>11</v>
      </c>
      <c r="E39" s="531">
        <f t="array" ref="E39">IFERROR(INDEX('8. THEO DÕI CHI NCC'!AB:AB,MATCH($I$2,'8. THEO DÕI CHI NCC'!L:L,0)),"")</f>
        <v>161816186868</v>
      </c>
      <c r="G39" s="181"/>
      <c r="H39" s="181"/>
      <c r="I39" s="181"/>
    </row>
    <row r="40">
      <c r="A40" s="490"/>
      <c r="B40" s="490"/>
      <c r="C40" s="490"/>
      <c r="D40" s="490"/>
      <c r="E40" s="490"/>
      <c r="F40" s="490"/>
      <c r="G40" s="181"/>
      <c r="H40" s="181"/>
      <c r="I40" s="181"/>
    </row>
    <row r="41">
      <c r="A41" s="490"/>
      <c r="B41" s="490"/>
      <c r="C41" s="490"/>
      <c r="D41" s="490"/>
      <c r="E41" s="490"/>
      <c r="F41" s="490"/>
      <c r="G41" s="181"/>
      <c r="H41" s="181"/>
      <c r="I41" s="181"/>
    </row>
    <row r="42">
      <c r="A42" s="490"/>
      <c r="B42" s="490"/>
      <c r="C42" s="490"/>
      <c r="D42" s="490"/>
      <c r="E42" s="490"/>
      <c r="F42" s="490"/>
      <c r="G42" s="181"/>
      <c r="H42" s="181"/>
      <c r="I42" s="181"/>
    </row>
    <row r="43">
      <c r="A43" s="532" t="s">
        <v>1243</v>
      </c>
      <c r="B43" s="532"/>
      <c r="C43" s="532"/>
      <c r="D43" s="532"/>
      <c r="E43" s="532"/>
      <c r="F43" s="532"/>
      <c r="G43" s="181"/>
      <c r="H43" s="181"/>
      <c r="I43" s="181"/>
    </row>
    <row r="44">
      <c r="A44" s="490"/>
      <c r="C44" s="490"/>
      <c r="D44" s="490"/>
      <c r="F44" s="505"/>
      <c r="G44" s="181"/>
      <c r="H44" s="181"/>
      <c r="I44" s="181"/>
    </row>
    <row r="45">
      <c r="A45" s="533" t="s">
        <v>1244</v>
      </c>
      <c r="B45" s="533" t="s">
        <v>1245</v>
      </c>
      <c r="D45" s="533" t="s">
        <v>1246</v>
      </c>
      <c r="F45" s="533" t="s">
        <v>1247</v>
      </c>
      <c r="G45" s="181"/>
      <c r="H45" s="181"/>
      <c r="I45" s="181"/>
    </row>
    <row r="46">
      <c r="A46" s="533" t="s">
        <v>1248</v>
      </c>
      <c r="B46" s="533" t="s">
        <v>1248</v>
      </c>
      <c r="D46" s="533" t="s">
        <v>1248</v>
      </c>
      <c r="F46" s="533" t="s">
        <v>1248</v>
      </c>
      <c r="G46" s="181"/>
      <c r="H46" s="181"/>
      <c r="I46" s="181"/>
    </row>
    <row r="47">
      <c r="A47" s="534"/>
      <c r="B47" s="534"/>
      <c r="C47" s="534"/>
      <c r="D47" s="534"/>
      <c r="E47" s="534"/>
      <c r="F47" s="534"/>
      <c r="G47" s="181"/>
      <c r="H47" s="181"/>
      <c r="I47" s="181"/>
    </row>
    <row r="48">
      <c r="A48" s="535"/>
      <c r="B48" s="535"/>
      <c r="C48" s="535"/>
      <c r="D48" s="535"/>
      <c r="E48" s="535"/>
      <c r="F48" s="535"/>
      <c r="G48" s="181"/>
      <c r="H48" s="181"/>
      <c r="I48" s="181"/>
    </row>
    <row r="49">
      <c r="A49" s="535"/>
      <c r="B49" s="535"/>
      <c r="C49" s="535"/>
      <c r="D49" s="535"/>
      <c r="E49" s="535"/>
      <c r="F49" s="535"/>
      <c r="G49" s="181"/>
      <c r="H49" s="181"/>
      <c r="I49" s="181"/>
    </row>
    <row r="50">
      <c r="A50" s="535"/>
      <c r="B50" s="535"/>
      <c r="C50" s="535"/>
      <c r="D50" s="535"/>
      <c r="E50" s="535"/>
      <c r="F50" s="535"/>
      <c r="G50" s="181"/>
      <c r="H50" s="181"/>
      <c r="I50" s="181"/>
    </row>
    <row r="51">
      <c r="A51" s="535"/>
      <c r="B51" s="535"/>
      <c r="C51" s="535"/>
      <c r="D51" s="535"/>
      <c r="E51" s="535"/>
      <c r="F51" s="535"/>
      <c r="G51" s="181"/>
      <c r="H51" s="181"/>
      <c r="I51" s="181"/>
    </row>
    <row r="52">
      <c r="A52" s="532"/>
      <c r="B52" s="532"/>
      <c r="C52" s="532"/>
      <c r="D52" s="532"/>
      <c r="E52" s="532"/>
      <c r="F52" s="532"/>
      <c r="G52" s="181"/>
      <c r="H52" s="181"/>
      <c r="I52" s="181"/>
    </row>
    <row r="53">
      <c r="A53" s="536">
        <v>1.0</v>
      </c>
      <c r="B53" s="537" t="s">
        <v>1264</v>
      </c>
      <c r="C53" s="535"/>
      <c r="D53" s="535"/>
      <c r="E53" s="535"/>
      <c r="F53" s="535"/>
      <c r="G53" s="181"/>
      <c r="H53" s="181"/>
      <c r="I53" s="181"/>
    </row>
    <row r="54">
      <c r="A54" s="536">
        <v>2.0</v>
      </c>
      <c r="B54" s="537" t="s">
        <v>1265</v>
      </c>
      <c r="C54" s="535"/>
      <c r="D54" s="535"/>
      <c r="E54" s="535"/>
      <c r="F54" s="535"/>
      <c r="G54" s="181"/>
      <c r="H54" s="181"/>
      <c r="I54" s="181"/>
    </row>
    <row r="55">
      <c r="A55" s="536">
        <v>3.0</v>
      </c>
      <c r="B55" s="537" t="s">
        <v>1266</v>
      </c>
      <c r="C55" s="505"/>
      <c r="D55" s="505"/>
      <c r="E55" s="505"/>
      <c r="F55" s="505"/>
      <c r="G55" s="181"/>
      <c r="H55" s="181"/>
      <c r="I55" s="181"/>
    </row>
    <row r="56">
      <c r="A56" s="536">
        <v>4.0</v>
      </c>
      <c r="B56" s="537" t="s">
        <v>1267</v>
      </c>
      <c r="C56" s="505"/>
      <c r="D56" s="505"/>
      <c r="E56" s="505"/>
      <c r="F56" s="505"/>
      <c r="G56" s="181"/>
      <c r="H56" s="181"/>
      <c r="I56" s="181"/>
    </row>
    <row r="57">
      <c r="A57" s="538">
        <v>5.0</v>
      </c>
      <c r="B57" s="537" t="s">
        <v>1268</v>
      </c>
      <c r="C57" s="505"/>
      <c r="D57" s="505"/>
      <c r="E57" s="505"/>
      <c r="F57" s="505"/>
      <c r="G57" s="181"/>
      <c r="H57" s="181"/>
      <c r="I57" s="181"/>
    </row>
    <row r="58">
      <c r="A58" s="535"/>
      <c r="B58" s="535"/>
      <c r="C58" s="537" t="s">
        <v>1227</v>
      </c>
      <c r="D58" s="535"/>
      <c r="E58" s="537" t="s">
        <v>1227</v>
      </c>
      <c r="F58" s="535"/>
      <c r="G58" s="181"/>
      <c r="H58" s="181"/>
      <c r="I58" s="181"/>
    </row>
    <row r="59">
      <c r="A59" s="535"/>
      <c r="B59" s="535"/>
      <c r="C59" s="535" t="s">
        <v>1250</v>
      </c>
      <c r="D59" s="535"/>
      <c r="E59" s="535" t="s">
        <v>1251</v>
      </c>
      <c r="F59" s="535"/>
      <c r="G59" s="181"/>
      <c r="H59" s="181"/>
      <c r="I59" s="181"/>
    </row>
    <row r="60">
      <c r="A60" s="535"/>
      <c r="B60" s="535"/>
      <c r="C60" s="535" t="s">
        <v>1252</v>
      </c>
      <c r="D60" s="535"/>
      <c r="E60" s="535" t="s">
        <v>1252</v>
      </c>
      <c r="F60" s="535"/>
      <c r="G60" s="181"/>
      <c r="H60" s="181"/>
      <c r="I60" s="181"/>
    </row>
    <row r="61">
      <c r="A61" s="535" t="s">
        <v>1253</v>
      </c>
      <c r="B61" s="535"/>
      <c r="C61" s="539"/>
      <c r="D61" s="535"/>
      <c r="E61" s="539"/>
      <c r="F61" s="539"/>
      <c r="G61" s="181"/>
      <c r="H61" s="181"/>
      <c r="I61" s="181"/>
    </row>
    <row r="62">
      <c r="A62" s="535" t="s">
        <v>1269</v>
      </c>
      <c r="B62" s="535"/>
      <c r="C62" s="539"/>
      <c r="D62" s="535"/>
      <c r="E62" s="539"/>
      <c r="F62" s="539"/>
      <c r="G62" s="181"/>
      <c r="H62" s="181"/>
      <c r="I62" s="181"/>
    </row>
    <row r="63">
      <c r="A63" s="181"/>
      <c r="B63" s="181"/>
      <c r="C63" s="181"/>
      <c r="D63" s="181"/>
      <c r="E63" s="181"/>
      <c r="F63" s="181"/>
      <c r="G63" s="181"/>
      <c r="H63" s="181"/>
      <c r="I63" s="181"/>
    </row>
    <row r="64">
      <c r="A64" s="181"/>
      <c r="B64" s="181"/>
      <c r="C64" s="181"/>
      <c r="D64" s="181"/>
      <c r="E64" s="181"/>
      <c r="F64" s="181"/>
      <c r="G64" s="181"/>
      <c r="H64" s="181"/>
      <c r="I64" s="181"/>
    </row>
    <row r="65">
      <c r="A65" s="181"/>
      <c r="B65" s="181"/>
      <c r="C65" s="181"/>
      <c r="D65" s="181"/>
      <c r="E65" s="181"/>
      <c r="F65" s="181"/>
      <c r="G65" s="181"/>
      <c r="H65" s="181"/>
      <c r="I65" s="181"/>
    </row>
  </sheetData>
  <mergeCells count="25">
    <mergeCell ref="D19:D20"/>
    <mergeCell ref="E19:E20"/>
    <mergeCell ref="A1:D1"/>
    <mergeCell ref="E2:F2"/>
    <mergeCell ref="A5:F5"/>
    <mergeCell ref="A6:F6"/>
    <mergeCell ref="A7:F7"/>
    <mergeCell ref="C19:C20"/>
    <mergeCell ref="F19:F20"/>
    <mergeCell ref="A19:B19"/>
    <mergeCell ref="A25:B25"/>
    <mergeCell ref="C25:C26"/>
    <mergeCell ref="D25:D26"/>
    <mergeCell ref="E25:E26"/>
    <mergeCell ref="F25:F26"/>
    <mergeCell ref="A35:D35"/>
    <mergeCell ref="B46:C46"/>
    <mergeCell ref="D46:E46"/>
    <mergeCell ref="E37:F37"/>
    <mergeCell ref="E38:F38"/>
    <mergeCell ref="E39:F39"/>
    <mergeCell ref="A44:B44"/>
    <mergeCell ref="D44:E44"/>
    <mergeCell ref="B45:C45"/>
    <mergeCell ref="D45:E45"/>
  </mergeCells>
  <dataValidations>
    <dataValidation type="list" allowBlank="1" showErrorMessage="1" sqref="I1">
      <formula1>'1. DATA CHUNG'!$U$4:$U$139</formula1>
    </dataValidation>
    <dataValidation type="list" allowBlank="1" showErrorMessage="1" sqref="I3">
      <formula1>'1. DATA CHUNG'!$D$4:$D$13</formula1>
    </dataValidation>
    <dataValidation type="list" allowBlank="1" showErrorMessage="1" sqref="I2">
      <formula1>'6. TIẾN ĐỘ MUA HÀNG'!$J$5:$J65</formula1>
    </dataValidation>
    <dataValidation type="list" allowBlank="1" showErrorMessage="1" sqref="A1 A35">
      <formula1>'1. DATA CHUNG'!$E$4:$E65</formula1>
    </dataValidation>
  </dataValidations>
  <printOptions horizontalCentered="1"/>
  <pageMargins bottom="0.4938898766686423" footer="0.0" header="0.0" left="0.2173115457342026" right="0.24694493833432116" top="0.19755595066745693"/>
  <pageSetup paperSize="14"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7.75"/>
    <col customWidth="1" min="2" max="2" width="13.63"/>
    <col customWidth="1" min="3" max="3" width="16.75"/>
    <col customWidth="1" min="4" max="4" width="16.13"/>
    <col customWidth="1" min="5" max="5" width="16.0"/>
    <col customWidth="1" min="6" max="6" width="14.5"/>
    <col customWidth="1" min="7" max="7" width="15.63"/>
    <col customWidth="1" min="8" max="8" width="21.63"/>
    <col customWidth="1" min="9" max="9" width="13.88"/>
    <col customWidth="1" min="10" max="10" width="22.25"/>
    <col customWidth="1" min="11" max="11" width="9.5"/>
    <col customWidth="1" min="12" max="12" width="15.88"/>
    <col customWidth="1" min="13" max="13" width="10.75"/>
    <col customWidth="1" min="14" max="14" width="3.5"/>
    <col customWidth="1" min="15" max="15" width="9.13"/>
    <col customWidth="1" min="16" max="16" width="17.5"/>
    <col customWidth="1" min="18" max="18" width="7.5"/>
    <col customWidth="1" min="23" max="23" width="14.88"/>
    <col customWidth="1" min="24" max="24" width="3.5"/>
    <col customWidth="1" min="25" max="25" width="29.38"/>
    <col customWidth="1" min="26" max="26" width="21.63"/>
    <col customWidth="1" min="27" max="27" width="42.25"/>
    <col customWidth="1" min="28" max="28" width="14.38"/>
    <col customWidth="1" min="29" max="29" width="18.0"/>
    <col customWidth="1" min="30" max="31" width="11.5"/>
    <col customWidth="1" min="32" max="32" width="20.0"/>
  </cols>
  <sheetData>
    <row r="1">
      <c r="A1" s="540" t="s">
        <v>104</v>
      </c>
      <c r="B1" s="541" t="s">
        <v>1270</v>
      </c>
      <c r="C1" s="542"/>
      <c r="D1" s="542"/>
      <c r="E1" s="543"/>
      <c r="F1" s="544"/>
      <c r="G1" s="545"/>
      <c r="H1" s="545"/>
      <c r="I1" s="545"/>
      <c r="J1" s="542"/>
      <c r="K1" s="541"/>
      <c r="L1" s="542"/>
      <c r="M1" s="129"/>
      <c r="N1" s="546"/>
      <c r="O1" s="547" t="s">
        <v>1271</v>
      </c>
      <c r="P1" s="542" t="s">
        <v>1272</v>
      </c>
      <c r="Q1" s="545"/>
      <c r="R1" s="545"/>
      <c r="S1" s="542"/>
      <c r="T1" s="542"/>
      <c r="U1" s="542"/>
      <c r="V1" s="542"/>
      <c r="W1" s="542"/>
      <c r="X1" s="546"/>
      <c r="Y1" s="542"/>
      <c r="Z1" s="542"/>
      <c r="AA1" s="542"/>
      <c r="AB1" s="542"/>
      <c r="AC1" s="542"/>
      <c r="AD1" s="129"/>
      <c r="AE1" s="548"/>
      <c r="AF1" s="542"/>
    </row>
    <row r="2">
      <c r="A2" s="91" t="s">
        <v>258</v>
      </c>
      <c r="B2" s="91" t="s">
        <v>259</v>
      </c>
      <c r="C2" s="91" t="s">
        <v>261</v>
      </c>
      <c r="D2" s="541"/>
      <c r="E2" s="549" t="s">
        <v>259</v>
      </c>
      <c r="F2" s="201" t="s">
        <v>261</v>
      </c>
      <c r="G2" s="93"/>
      <c r="H2" s="93"/>
      <c r="I2" s="93" t="s">
        <v>259</v>
      </c>
      <c r="J2" s="201" t="s">
        <v>258</v>
      </c>
      <c r="K2" s="201" t="s">
        <v>261</v>
      </c>
      <c r="L2" s="201" t="s">
        <v>261</v>
      </c>
      <c r="M2" s="201" t="s">
        <v>261</v>
      </c>
      <c r="N2" s="546"/>
      <c r="O2" s="91" t="s">
        <v>258</v>
      </c>
      <c r="P2" s="91" t="s">
        <v>258</v>
      </c>
      <c r="Q2" s="91" t="s">
        <v>258</v>
      </c>
      <c r="R2" s="91" t="s">
        <v>258</v>
      </c>
      <c r="S2" s="91" t="s">
        <v>258</v>
      </c>
      <c r="T2" s="91" t="s">
        <v>258</v>
      </c>
      <c r="U2" s="91" t="s">
        <v>258</v>
      </c>
      <c r="V2" s="91" t="s">
        <v>258</v>
      </c>
      <c r="W2" s="95" t="s">
        <v>258</v>
      </c>
      <c r="X2" s="546"/>
      <c r="Y2" s="550" t="s">
        <v>258</v>
      </c>
      <c r="Z2" s="550" t="s">
        <v>259</v>
      </c>
      <c r="AA2" s="550" t="s">
        <v>259</v>
      </c>
      <c r="AB2" s="550" t="s">
        <v>258</v>
      </c>
      <c r="AC2" s="550" t="s">
        <v>258</v>
      </c>
      <c r="AD2" s="550" t="s">
        <v>258</v>
      </c>
      <c r="AE2" s="551" t="s">
        <v>261</v>
      </c>
      <c r="AF2" s="550" t="s">
        <v>258</v>
      </c>
    </row>
    <row r="3" ht="24.75" customHeight="1">
      <c r="A3" s="552" t="s">
        <v>225</v>
      </c>
      <c r="B3" s="553" t="s">
        <v>1273</v>
      </c>
      <c r="C3" s="258" t="s">
        <v>1274</v>
      </c>
      <c r="D3" s="541"/>
      <c r="E3" s="259" t="s">
        <v>1275</v>
      </c>
      <c r="F3" s="259" t="s">
        <v>1276</v>
      </c>
      <c r="G3" s="554" t="s">
        <v>1277</v>
      </c>
      <c r="H3" s="554" t="s">
        <v>1278</v>
      </c>
      <c r="I3" s="555" t="s">
        <v>1279</v>
      </c>
      <c r="J3" s="556" t="s">
        <v>1280</v>
      </c>
      <c r="K3" s="557" t="s">
        <v>1281</v>
      </c>
      <c r="L3" s="542"/>
      <c r="M3" s="129"/>
      <c r="N3" s="546"/>
      <c r="O3" s="96"/>
      <c r="P3" s="542"/>
      <c r="Q3" s="545"/>
      <c r="R3" s="545"/>
      <c r="S3" s="556" t="s">
        <v>1227</v>
      </c>
      <c r="T3" s="95" t="s">
        <v>1282</v>
      </c>
      <c r="X3" s="546"/>
      <c r="Y3" s="542"/>
      <c r="Z3" s="542"/>
      <c r="AA3" s="542"/>
      <c r="AB3" s="542"/>
      <c r="AC3" s="542"/>
      <c r="AD3" s="129"/>
      <c r="AE3" s="548"/>
      <c r="AF3" s="558" t="s">
        <v>1283</v>
      </c>
    </row>
    <row r="4">
      <c r="A4" s="559" t="s">
        <v>80</v>
      </c>
      <c r="B4" s="559" t="s">
        <v>1225</v>
      </c>
      <c r="C4" s="559" t="s">
        <v>1284</v>
      </c>
      <c r="D4" s="560" t="s">
        <v>1285</v>
      </c>
      <c r="E4" s="561" t="s">
        <v>532</v>
      </c>
      <c r="F4" s="562" t="s">
        <v>1286</v>
      </c>
      <c r="G4" s="563" t="s">
        <v>1287</v>
      </c>
      <c r="H4" s="563" t="s">
        <v>1256</v>
      </c>
      <c r="I4" s="564" t="s">
        <v>1288</v>
      </c>
      <c r="J4" s="559" t="s">
        <v>1289</v>
      </c>
      <c r="K4" s="559" t="s">
        <v>1221</v>
      </c>
      <c r="L4" s="559" t="s">
        <v>526</v>
      </c>
      <c r="M4" s="565" t="s">
        <v>1290</v>
      </c>
      <c r="N4" s="566"/>
      <c r="O4" s="559" t="s">
        <v>80</v>
      </c>
      <c r="P4" s="559" t="s">
        <v>1291</v>
      </c>
      <c r="Q4" s="564" t="s">
        <v>1290</v>
      </c>
      <c r="R4" s="564" t="s">
        <v>1292</v>
      </c>
      <c r="S4" s="559" t="s">
        <v>1293</v>
      </c>
      <c r="T4" s="559" t="s">
        <v>1294</v>
      </c>
      <c r="U4" s="559" t="s">
        <v>1295</v>
      </c>
      <c r="V4" s="559" t="s">
        <v>1296</v>
      </c>
      <c r="W4" s="567" t="s">
        <v>1297</v>
      </c>
      <c r="X4" s="566"/>
      <c r="Y4" s="568" t="s">
        <v>1298</v>
      </c>
      <c r="Z4" s="568" t="s">
        <v>1236</v>
      </c>
      <c r="AA4" s="568" t="s">
        <v>9</v>
      </c>
      <c r="AB4" s="568" t="s">
        <v>10</v>
      </c>
      <c r="AC4" s="568" t="s">
        <v>1299</v>
      </c>
      <c r="AD4" s="568" t="s">
        <v>1300</v>
      </c>
      <c r="AE4" s="568" t="s">
        <v>1301</v>
      </c>
      <c r="AF4" s="568" t="s">
        <v>560</v>
      </c>
    </row>
    <row r="5" ht="30.0" customHeight="1">
      <c r="A5" s="569">
        <f t="array" ref="A5:A80">IF(LEN(B5:B80), ROW(B5:B80) - ROW(B5) + 1, "")</f>
        <v>1</v>
      </c>
      <c r="B5" s="570">
        <v>46151.0</v>
      </c>
      <c r="C5" s="571" t="str">
        <f t="array" ref="C5">IF($L5="", "", IFERROR(INDEX('6. TIẾN ĐỘ MUA HÀNG'!F:F, MATCH($L5, '6. TIẾN ĐỘ MUA HÀNG'!J:J, 0)), ""))</f>
        <v>SX - Ms Ly</v>
      </c>
      <c r="D5" s="571" t="str">
        <f t="array" ref="D5">IF($L5="", "", IFERROR(INDEX('6. TIẾN ĐỘ MUA HÀNG'!G:G, MATCH($L5, '6. TIẾN ĐỘ MUA HÀNG'!J:J, 0)), ""))</f>
        <v>DEGO HOLDING</v>
      </c>
      <c r="E5" s="571" t="s">
        <v>1302</v>
      </c>
      <c r="F5" s="572">
        <f>'6. TIẾN ĐỘ MUA HÀNG'!AB5</f>
        <v>2635200</v>
      </c>
      <c r="G5" s="573">
        <v>46154.0</v>
      </c>
      <c r="H5" s="574" t="s">
        <v>1303</v>
      </c>
      <c r="I5" s="575" t="s">
        <v>1304</v>
      </c>
      <c r="J5" s="576" t="str">
        <f>IFERROR( IFS(I5="1","Công nợ NCC", I5="2.10","Lãi trả chậm"),"")</f>
        <v>Công nợ NCC</v>
      </c>
      <c r="K5" s="577" t="str">
        <f t="array" ref="K5">IF($L5="", "", IFERROR(INDEX('6. TIẾN ĐỘ MUA HÀNG'!K:K, MATCH($L5, '6. TIẾN ĐỘ MUA HÀNG'!J:J, 0)), ""))</f>
        <v>Thùng</v>
      </c>
      <c r="L5" s="578" t="s">
        <v>563</v>
      </c>
      <c r="M5" s="579">
        <v>1.0</v>
      </c>
      <c r="N5" s="566"/>
      <c r="O5" s="580">
        <f t="shared" ref="O5:O57" si="1">IF(P5="","",COUNTA($P$5:P5))</f>
        <v>1</v>
      </c>
      <c r="P5" s="581" t="str">
        <f>IFERROR(__xludf.DUMMYFUNCTION("IFERROR( QUERY(UNIQUE({L5:L80 , M5:M80 , I5:I80}), ""SELECT Col1, Col2, Col3 WHERE Col1 IS NOT NULL ORDER BY Col1, Col2"", 0))"),"ĐMH01224")</f>
        <v>ĐMH01224</v>
      </c>
      <c r="Q5" s="582">
        <f>IFERROR(__xludf.DUMMYFUNCTION("""COMPUTED_VALUE"""),1.0)</f>
        <v>1</v>
      </c>
      <c r="R5" s="582" t="str">
        <f>IFERROR(__xludf.DUMMYFUNCTION("""COMPUTED_VALUE"""),"1")</f>
        <v>1</v>
      </c>
      <c r="S5" s="583" t="str">
        <f t="shared" ref="S5:S80" si="2">IFERROR( IFS(R5="1","Công nợ NCC", R5="2.10","Lãi trả chậm"),"")</f>
        <v>Công nợ NCC</v>
      </c>
      <c r="T5" s="584">
        <f t="shared" ref="T5:T80" si="3">SUMIFS($F:$F, $L:$L, P5, $M:$M, Q5, $I:$I, R5, $E:$E, "Dự chi")</f>
        <v>0</v>
      </c>
      <c r="U5" s="584">
        <f t="shared" ref="U5:U80" si="4">SUMIFS($F:$F, $L:$L, P5, $M:$M, Q5, $I:$I, R5, $E:$E, "Tạm ứng")</f>
        <v>0</v>
      </c>
      <c r="V5" s="584">
        <f t="shared" ref="V5:V80" si="5">SUMIFS($F:$F, $L:$L, P5, $M:$M, Q5, $I:$I, R5, $E:$E, "Chi thực tế")</f>
        <v>5505408</v>
      </c>
      <c r="W5" s="585">
        <f t="shared" ref="W5:W80" si="6">SUMIFS($F:$F, $L:$L, P5, $M:$M, Q5, $I:$I, R5, $E:$E, "Hoàn ứng")</f>
        <v>0</v>
      </c>
      <c r="X5" s="566"/>
      <c r="Y5" s="586" t="str">
        <f t="array" ref="Y5">IF($L5="", "", IFERROR(INDEX('1. DATA CHUNG'!$E$4:$E$139, MATCH(INDEX('6. TIẾN ĐỘ MUA HÀNG'!$G$5:$G$76, MATCH($L5, '6. TIẾN ĐỘ MUA HÀNG'!$J$5:$J$76, 0)), '1. DATA CHUNG'!$D$4:$D$139, 0)), ""))</f>
        <v>CÔNG TY TNHH DEGO HOLDING</v>
      </c>
      <c r="Z5" s="587" t="s">
        <v>1305</v>
      </c>
      <c r="AA5" s="586" t="s">
        <v>57</v>
      </c>
      <c r="AB5" s="586">
        <f>if(len(AA5)=0,"", VLOOKUP($AA$5, '0.Ngân Hàng'!$A:$C, 2, 0)
)</f>
        <v>161816186868</v>
      </c>
      <c r="AC5" s="586" t="str">
        <f>if(len(AA5)=0,"", VLOOKUP($AA$5, '0.Ngân Hàng'!$A:$C, 3, 0)
)</f>
        <v> Ngân hàng TMCP Á Châu (ACB)</v>
      </c>
      <c r="AD5" s="588">
        <f t="array" ref="AD5">IF($L5="", "", IFERROR(INDEX('6. TIẾN ĐỘ MUA HÀNG'!AE:AE, MATCH($L5, '6. TIẾN ĐỘ MUA HÀNG'!J:J, 0)), ""))</f>
        <v>779</v>
      </c>
      <c r="AE5" s="589"/>
      <c r="AF5" s="586" t="str">
        <f t="array" ref="AF5">IF($L5="", "", IFERROR(INDEX('6. TIẾN ĐỘ MUA HÀNG'!AT:AT, MATCH($L5, '6. TIẾN ĐỘ MUA HÀNG'!$J:$J, 0)), ""))</f>
        <v>Công nợ 30 ngày</v>
      </c>
    </row>
    <row r="6" ht="30.0" customHeight="1">
      <c r="A6" s="590">
        <v>2.0</v>
      </c>
      <c r="B6" s="591">
        <v>46151.0</v>
      </c>
      <c r="C6" s="592" t="str">
        <f t="array" ref="C6">IF($L6="", "", IFERROR(INDEX('6. TIẾN ĐỘ MUA HÀNG'!F:F, MATCH($L6, '6. TIẾN ĐỘ MUA HÀNG'!J:J, 0)), ""))</f>
        <v>SX - Ms Ly</v>
      </c>
      <c r="D6" s="592" t="str">
        <f t="array" ref="D6">IF($L6="", "", IFERROR(INDEX('6. TIẾN ĐỘ MUA HÀNG'!G:G, MATCH($L6, '6. TIẾN ĐỘ MUA HÀNG'!J:J, 0)), ""))</f>
        <v>DEGO HOLDING</v>
      </c>
      <c r="E6" s="592" t="s">
        <v>1302</v>
      </c>
      <c r="F6" s="593">
        <f>'6. TIẾN ĐỘ MUA HÀNG'!AB6</f>
        <v>2538000</v>
      </c>
      <c r="G6" s="594">
        <v>46154.0</v>
      </c>
      <c r="H6" s="595" t="s">
        <v>1303</v>
      </c>
      <c r="I6" s="596" t="s">
        <v>1304</v>
      </c>
      <c r="J6" s="597" t="s">
        <v>1306</v>
      </c>
      <c r="K6" s="577" t="str">
        <f t="array" ref="K6">IF($L6="", "", IFERROR(INDEX('6. TIẾN ĐỘ MUA HÀNG'!K:K, MATCH($L6, '6. TIẾN ĐỘ MUA HÀNG'!J:J, 0)), ""))</f>
        <v>Thùng</v>
      </c>
      <c r="L6" s="578" t="s">
        <v>569</v>
      </c>
      <c r="M6" s="579">
        <f t="array" ref="M6">IF($L6="", "", IFERROR(INDEX('6. TIẾN ĐỘ MUA HÀNG'!AF:AF, MATCH($L6, '6. TIẾN ĐỘ MUA HÀNG'!J:J, 0)), ""))</f>
        <v>1</v>
      </c>
      <c r="N6" s="566"/>
      <c r="O6" s="598">
        <f t="shared" si="1"/>
        <v>2</v>
      </c>
      <c r="P6" s="599" t="str">
        <f>IFERROR(__xludf.DUMMYFUNCTION("""COMPUTED_VALUE"""),"ĐMH01321")</f>
        <v>ĐMH01321</v>
      </c>
      <c r="Q6" s="600">
        <f>IFERROR(__xludf.DUMMYFUNCTION("""COMPUTED_VALUE"""),1.0)</f>
        <v>1</v>
      </c>
      <c r="R6" s="600" t="str">
        <f>IFERROR(__xludf.DUMMYFUNCTION("""COMPUTED_VALUE"""),"1")</f>
        <v>1</v>
      </c>
      <c r="S6" s="583" t="str">
        <f t="shared" si="2"/>
        <v>Công nợ NCC</v>
      </c>
      <c r="T6" s="584">
        <f t="shared" si="3"/>
        <v>0</v>
      </c>
      <c r="U6" s="584">
        <f t="shared" si="4"/>
        <v>0</v>
      </c>
      <c r="V6" s="584">
        <f t="shared" si="5"/>
        <v>2635200</v>
      </c>
      <c r="W6" s="585">
        <f t="shared" si="6"/>
        <v>0</v>
      </c>
      <c r="X6" s="566"/>
      <c r="Y6" s="586" t="str">
        <f t="array" ref="Y6">IF($L6="", "", IFERROR(INDEX('1. DATA CHUNG'!$E$4:$E$139, MATCH(INDEX('6. TIẾN ĐỘ MUA HÀNG'!$G$5:$G$76, MATCH($L6, '6. TIẾN ĐỘ MUA HÀNG'!$J$5:$J$76, 0)), '1. DATA CHUNG'!$D$4:$D$139, 0)), ""))</f>
        <v>CÔNG TY TNHH DEGO HOLDING</v>
      </c>
      <c r="Z6" s="587" t="s">
        <v>1305</v>
      </c>
      <c r="AA6" s="586" t="s">
        <v>57</v>
      </c>
      <c r="AB6" s="586">
        <f>if(len(AA6)=0,"", VLOOKUP($AA$5, '0.Ngân Hàng'!$A:$C, 2, 0)
)</f>
        <v>161816186868</v>
      </c>
      <c r="AC6" s="586" t="str">
        <f>if(len(AA6)=0,"", VLOOKUP($AA$5, '0.Ngân Hàng'!$A:$C, 3, 0)
)</f>
        <v> Ngân hàng TMCP Á Châu (ACB)</v>
      </c>
      <c r="AD6" s="588">
        <f t="array" ref="AD6">IF($L6="", "", IFERROR(INDEX('6. TIẾN ĐỘ MUA HÀNG'!AE:AE, MATCH($L6, '6. TIẾN ĐỘ MUA HÀNG'!J:J, 0)), ""))</f>
        <v>780</v>
      </c>
      <c r="AE6" s="394"/>
      <c r="AF6" s="586" t="str">
        <f t="array" ref="AF6">IF($L6="", "", IFERROR(INDEX('6. TIẾN ĐỘ MUA HÀNG'!AT:AT, MATCH($L6, '6. TIẾN ĐỘ MUA HÀNG'!$J:$J, 0)), ""))</f>
        <v>Công nợ 30 ngày</v>
      </c>
    </row>
    <row r="7" ht="30.0" customHeight="1">
      <c r="A7" s="580">
        <v>3.0</v>
      </c>
      <c r="B7" s="570">
        <v>46151.0</v>
      </c>
      <c r="C7" s="571" t="str">
        <f t="array" ref="C7">IF($L7="", "", IFERROR(INDEX('6. TIẾN ĐỘ MUA HÀNG'!F:F, MATCH($L7, '6. TIẾN ĐỘ MUA HÀNG'!J:J, 0)), ""))</f>
        <v>SX - Ms Ly</v>
      </c>
      <c r="D7" s="571" t="str">
        <f t="array" ref="D7">IF($L7="", "", IFERROR(INDEX('6. TIẾN ĐỘ MUA HÀNG'!G:G, MATCH($L7, '6. TIẾN ĐỘ MUA HÀNG'!J:J, 0)), ""))</f>
        <v>DEGO HOLDING</v>
      </c>
      <c r="E7" s="571" t="s">
        <v>1302</v>
      </c>
      <c r="F7" s="572">
        <f>'6. TIẾN ĐỘ MUA HÀNG'!AB7</f>
        <v>10108800</v>
      </c>
      <c r="G7" s="573">
        <v>46154.0</v>
      </c>
      <c r="H7" s="574" t="s">
        <v>1303</v>
      </c>
      <c r="I7" s="575" t="s">
        <v>1304</v>
      </c>
      <c r="J7" s="597" t="s">
        <v>1306</v>
      </c>
      <c r="K7" s="577" t="str">
        <f t="array" ref="K7">IF($L7="", "", IFERROR(INDEX('6. TIẾN ĐỘ MUA HÀNG'!K:K, MATCH($L7, '6. TIẾN ĐỘ MUA HÀNG'!J:J, 0)), ""))</f>
        <v>Thùng</v>
      </c>
      <c r="L7" s="578" t="s">
        <v>571</v>
      </c>
      <c r="M7" s="579">
        <f t="array" ref="M7">IF($L7="", "", IFERROR(INDEX('6. TIẾN ĐỘ MUA HÀNG'!AF:AF, MATCH($L7, '6. TIẾN ĐỘ MUA HÀNG'!J:J, 0)), ""))</f>
        <v>1</v>
      </c>
      <c r="N7" s="566"/>
      <c r="O7" s="601">
        <f t="shared" si="1"/>
        <v>3</v>
      </c>
      <c r="P7" s="599" t="str">
        <f>IFERROR(__xludf.DUMMYFUNCTION("""COMPUTED_VALUE"""),"ĐMH01322")</f>
        <v>ĐMH01322</v>
      </c>
      <c r="Q7" s="600">
        <f>IFERROR(__xludf.DUMMYFUNCTION("""COMPUTED_VALUE"""),1.0)</f>
        <v>1</v>
      </c>
      <c r="R7" s="600" t="str">
        <f>IFERROR(__xludf.DUMMYFUNCTION("""COMPUTED_VALUE"""),"1")</f>
        <v>1</v>
      </c>
      <c r="S7" s="583" t="str">
        <f t="shared" si="2"/>
        <v>Công nợ NCC</v>
      </c>
      <c r="T7" s="584">
        <f t="shared" si="3"/>
        <v>0</v>
      </c>
      <c r="U7" s="584">
        <f t="shared" si="4"/>
        <v>0</v>
      </c>
      <c r="V7" s="584">
        <f t="shared" si="5"/>
        <v>2538000</v>
      </c>
      <c r="W7" s="585">
        <f t="shared" si="6"/>
        <v>0</v>
      </c>
      <c r="X7" s="566"/>
      <c r="Y7" s="586" t="str">
        <f t="array" ref="Y7">IF($L7="", "", IFERROR(INDEX('1. DATA CHUNG'!$E$4:$E$139, MATCH(INDEX('6. TIẾN ĐỘ MUA HÀNG'!$G$5:$G$76, MATCH($L7, '6. TIẾN ĐỘ MUA HÀNG'!$J$5:$J$76, 0)), '1. DATA CHUNG'!$D$4:$D$139, 0)), ""))</f>
        <v>CÔNG TY TNHH DEGO HOLDING</v>
      </c>
      <c r="Z7" s="587" t="s">
        <v>1305</v>
      </c>
      <c r="AA7" s="586" t="s">
        <v>57</v>
      </c>
      <c r="AB7" s="586">
        <f>if(len(AA7)=0,"", VLOOKUP($AA$5, '0.Ngân Hàng'!$A:$C, 2, 0)
)</f>
        <v>161816186868</v>
      </c>
      <c r="AC7" s="586" t="str">
        <f>if(len(AA7)=0,"", VLOOKUP($AA$5, '0.Ngân Hàng'!$A:$C, 3, 0)
)</f>
        <v> Ngân hàng TMCP Á Châu (ACB)</v>
      </c>
      <c r="AD7" s="588">
        <f t="array" ref="AD7">IF($L7="", "", IFERROR(INDEX('6. TIẾN ĐỘ MUA HÀNG'!AE:AE, MATCH($L7, '6. TIẾN ĐỘ MUA HÀNG'!J:J, 0)), ""))</f>
        <v>724</v>
      </c>
      <c r="AE7" s="589"/>
      <c r="AF7" s="586" t="str">
        <f t="array" ref="AF7">IF($L7="", "", IFERROR(INDEX('6. TIẾN ĐỘ MUA HÀNG'!AT:AT, MATCH($L7, '6. TIẾN ĐỘ MUA HÀNG'!$J:$J, 0)), ""))</f>
        <v>Công nợ 30 ngày</v>
      </c>
    </row>
    <row r="8" ht="30.0" customHeight="1">
      <c r="A8" s="590">
        <v>4.0</v>
      </c>
      <c r="B8" s="591">
        <v>46151.0</v>
      </c>
      <c r="C8" s="592" t="str">
        <f t="array" ref="C8">IF($L8="", "", IFERROR(INDEX('6. TIẾN ĐỘ MUA HÀNG'!F:F, MATCH($L8, '6. TIẾN ĐỘ MUA HÀNG'!J:J, 0)), ""))</f>
        <v>SX - Ms Ly</v>
      </c>
      <c r="D8" s="592" t="str">
        <f t="array" ref="D8">IF($L8="", "", IFERROR(INDEX('6. TIẾN ĐỘ MUA HÀNG'!G:G, MATCH($L8, '6. TIẾN ĐỘ MUA HÀNG'!J:J, 0)), ""))</f>
        <v>DEGO HOLDING</v>
      </c>
      <c r="E8" s="592" t="s">
        <v>1302</v>
      </c>
      <c r="F8" s="593">
        <f>'6. TIẾN ĐỘ MUA HÀNG'!AB8</f>
        <v>2133000</v>
      </c>
      <c r="G8" s="594">
        <v>46154.0</v>
      </c>
      <c r="H8" s="595" t="s">
        <v>1303</v>
      </c>
      <c r="I8" s="596" t="s">
        <v>1304</v>
      </c>
      <c r="J8" s="597" t="s">
        <v>1306</v>
      </c>
      <c r="K8" s="577" t="str">
        <f t="array" ref="K8">IF($L8="", "", IFERROR(INDEX('6. TIẾN ĐỘ MUA HÀNG'!K:K, MATCH($L8, '6. TIẾN ĐỘ MUA HÀNG'!J:J, 0)), ""))</f>
        <v>Thùng</v>
      </c>
      <c r="L8" s="578" t="s">
        <v>575</v>
      </c>
      <c r="M8" s="579">
        <f t="array" ref="M8">IF($L8="", "", IFERROR(INDEX('6. TIẾN ĐỘ MUA HÀNG'!AF:AF, MATCH($L8, '6. TIẾN ĐỘ MUA HÀNG'!J:J, 0)), ""))</f>
        <v>1</v>
      </c>
      <c r="N8" s="77"/>
      <c r="O8" s="598">
        <f t="shared" si="1"/>
        <v>4</v>
      </c>
      <c r="P8" s="599" t="str">
        <f>IFERROR(__xludf.DUMMYFUNCTION("""COMPUTED_VALUE"""),"ĐMH01323")</f>
        <v>ĐMH01323</v>
      </c>
      <c r="Q8" s="600">
        <f>IFERROR(__xludf.DUMMYFUNCTION("""COMPUTED_VALUE"""),1.0)</f>
        <v>1</v>
      </c>
      <c r="R8" s="600" t="str">
        <f>IFERROR(__xludf.DUMMYFUNCTION("""COMPUTED_VALUE"""),"1")</f>
        <v>1</v>
      </c>
      <c r="S8" s="583" t="str">
        <f t="shared" si="2"/>
        <v>Công nợ NCC</v>
      </c>
      <c r="T8" s="584">
        <f t="shared" si="3"/>
        <v>0</v>
      </c>
      <c r="U8" s="584">
        <f t="shared" si="4"/>
        <v>0</v>
      </c>
      <c r="V8" s="584">
        <f t="shared" si="5"/>
        <v>2133000</v>
      </c>
      <c r="W8" s="585">
        <f t="shared" si="6"/>
        <v>0</v>
      </c>
      <c r="X8" s="77"/>
      <c r="Y8" s="586" t="str">
        <f t="array" ref="Y8">IF($L8="", "", IFERROR(INDEX('1. DATA CHUNG'!$E$4:$E$139, MATCH(INDEX('6. TIẾN ĐỘ MUA HÀNG'!$G$5:$G$76, MATCH($L8, '6. TIẾN ĐỘ MUA HÀNG'!$J$5:$J$76, 0)), '1. DATA CHUNG'!$D$4:$D$139, 0)), ""))</f>
        <v>CÔNG TY TNHH DEGO HOLDING</v>
      </c>
      <c r="Z8" s="587" t="s">
        <v>1305</v>
      </c>
      <c r="AA8" s="586" t="s">
        <v>57</v>
      </c>
      <c r="AB8" s="586">
        <f>if(len(AA8)=0,"", VLOOKUP($AA$5, '0.Ngân Hàng'!$A:$C, 2, 0)
)</f>
        <v>161816186868</v>
      </c>
      <c r="AC8" s="586" t="str">
        <f>if(len(AA8)=0,"", VLOOKUP($AA$5, '0.Ngân Hàng'!$A:$C, 3, 0)
)</f>
        <v> Ngân hàng TMCP Á Châu (ACB)</v>
      </c>
      <c r="AD8" s="588">
        <f t="array" ref="AD8">IF($L8="", "", IFERROR(INDEX('6. TIẾN ĐỘ MUA HÀNG'!AE:AE, MATCH($L8, '6. TIẾN ĐỘ MUA HÀNG'!J:J, 0)), ""))</f>
        <v>781</v>
      </c>
      <c r="AE8" s="394"/>
      <c r="AF8" s="586" t="str">
        <f t="array" ref="AF8">IF($L8="", "", IFERROR(INDEX('6. TIẾN ĐỘ MUA HÀNG'!AT:AT, MATCH($L8, '6. TIẾN ĐỘ MUA HÀNG'!$J:$J, 0)), ""))</f>
        <v>Công nợ 30 ngày</v>
      </c>
    </row>
    <row r="9" ht="30.0" customHeight="1">
      <c r="A9" s="580">
        <v>5.0</v>
      </c>
      <c r="B9" s="570">
        <v>46151.0</v>
      </c>
      <c r="C9" s="571" t="str">
        <f t="array" ref="C9">IF($L9="", "", IFERROR(INDEX('6. TIẾN ĐỘ MUA HÀNG'!F:F, MATCH($L9, '6. TIẾN ĐỘ MUA HÀNG'!J:J, 0)), ""))</f>
        <v>SX - Ms Ly</v>
      </c>
      <c r="D9" s="571" t="str">
        <f t="array" ref="D9">IF($L9="", "", IFERROR(INDEX('6. TIẾN ĐỘ MUA HÀNG'!G:G, MATCH($L9, '6. TIẾN ĐỘ MUA HÀNG'!J:J, 0)), ""))</f>
        <v>DEGO HOLDING</v>
      </c>
      <c r="E9" s="571" t="s">
        <v>1302</v>
      </c>
      <c r="F9" s="572">
        <f>'6. TIẾN ĐỘ MUA HÀNG'!AB9</f>
        <v>11718000</v>
      </c>
      <c r="G9" s="573">
        <v>46154.0</v>
      </c>
      <c r="H9" s="574" t="s">
        <v>1303</v>
      </c>
      <c r="I9" s="575" t="s">
        <v>1304</v>
      </c>
      <c r="J9" s="597" t="s">
        <v>1306</v>
      </c>
      <c r="K9" s="577" t="str">
        <f t="array" ref="K9">IF($L9="", "", IFERROR(INDEX('6. TIẾN ĐỘ MUA HÀNG'!K:K, MATCH($L9, '6. TIẾN ĐỘ MUA HÀNG'!J:J, 0)), ""))</f>
        <v>Thùng</v>
      </c>
      <c r="L9" s="578" t="s">
        <v>577</v>
      </c>
      <c r="M9" s="579">
        <f t="array" ref="M9">IF($L9="", "", IFERROR(INDEX('6. TIẾN ĐỘ MUA HÀNG'!AF:AF, MATCH($L9, '6. TIẾN ĐỘ MUA HÀNG'!J:J, 0)), ""))</f>
        <v>1</v>
      </c>
      <c r="N9" s="77"/>
      <c r="O9" s="601">
        <f t="shared" si="1"/>
        <v>5</v>
      </c>
      <c r="P9" s="139" t="str">
        <f>IFERROR(__xludf.DUMMYFUNCTION("""COMPUTED_VALUE"""),"ĐMH01334")</f>
        <v>ĐMH01334</v>
      </c>
      <c r="Q9" s="600">
        <f>IFERROR(__xludf.DUMMYFUNCTION("""COMPUTED_VALUE"""),1.0)</f>
        <v>1</v>
      </c>
      <c r="R9" s="600" t="str">
        <f>IFERROR(__xludf.DUMMYFUNCTION("""COMPUTED_VALUE"""),"1")</f>
        <v>1</v>
      </c>
      <c r="S9" s="583" t="str">
        <f t="shared" si="2"/>
        <v>Công nợ NCC</v>
      </c>
      <c r="T9" s="584">
        <f t="shared" si="3"/>
        <v>0</v>
      </c>
      <c r="U9" s="584">
        <f t="shared" si="4"/>
        <v>0</v>
      </c>
      <c r="V9" s="584">
        <f t="shared" si="5"/>
        <v>11718000</v>
      </c>
      <c r="W9" s="585">
        <f t="shared" si="6"/>
        <v>0</v>
      </c>
      <c r="X9" s="77"/>
      <c r="Y9" s="586" t="str">
        <f t="array" ref="Y9">IF($L9="", "", IFERROR(INDEX('1. DATA CHUNG'!$E$4:$E$139, MATCH(INDEX('6. TIẾN ĐỘ MUA HÀNG'!$G$5:$G$76, MATCH($L9, '6. TIẾN ĐỘ MUA HÀNG'!$J$5:$J$76, 0)), '1. DATA CHUNG'!$D$4:$D$139, 0)), ""))</f>
        <v>CÔNG TY TNHH DEGO HOLDING</v>
      </c>
      <c r="Z9" s="587" t="s">
        <v>1305</v>
      </c>
      <c r="AA9" s="586" t="s">
        <v>57</v>
      </c>
      <c r="AB9" s="586">
        <f>if(len(AA9)=0,"", VLOOKUP($AA$5, '0.Ngân Hàng'!$A:$C, 2, 0)
)</f>
        <v>161816186868</v>
      </c>
      <c r="AC9" s="586" t="str">
        <f>if(len(AA9)=0,"", VLOOKUP($AA$5, '0.Ngân Hàng'!$A:$C, 3, 0)
)</f>
        <v> Ngân hàng TMCP Á Châu (ACB)</v>
      </c>
      <c r="AD9" s="588">
        <f t="array" ref="AD9">IF($L9="", "", IFERROR(INDEX('6. TIẾN ĐỘ MUA HÀNG'!AE:AE, MATCH($L9, '6. TIẾN ĐỘ MUA HÀNG'!J:J, 0)), ""))</f>
        <v>716</v>
      </c>
      <c r="AE9" s="589"/>
      <c r="AF9" s="586" t="str">
        <f t="array" ref="AF9">IF($L9="", "", IFERROR(INDEX('6. TIẾN ĐỘ MUA HÀNG'!AT:AT, MATCH($L9, '6. TIẾN ĐỘ MUA HÀNG'!$J:$J, 0)), ""))</f>
        <v>Công nợ 30 ngày</v>
      </c>
    </row>
    <row r="10" ht="30.0" customHeight="1">
      <c r="A10" s="590">
        <v>6.0</v>
      </c>
      <c r="B10" s="591">
        <v>46151.0</v>
      </c>
      <c r="C10" s="592" t="str">
        <f t="array" ref="C10">IF($L10="", "", IFERROR(INDEX('6. TIẾN ĐỘ MUA HÀNG'!F:F, MATCH($L10, '6. TIẾN ĐỘ MUA HÀNG'!J:J, 0)), ""))</f>
        <v>SX - Ms Ly</v>
      </c>
      <c r="D10" s="592" t="str">
        <f t="array" ref="D10">IF($L10="", "", IFERROR(INDEX('6. TIẾN ĐỘ MUA HÀNG'!G:G, MATCH($L10, '6. TIẾN ĐỘ MUA HÀNG'!J:J, 0)), ""))</f>
        <v>DEGO HOLDING</v>
      </c>
      <c r="E10" s="592" t="s">
        <v>1302</v>
      </c>
      <c r="F10" s="593">
        <f>'6. TIẾN ĐỘ MUA HÀNG'!AB10</f>
        <v>2343600</v>
      </c>
      <c r="G10" s="594">
        <v>46154.0</v>
      </c>
      <c r="H10" s="595" t="s">
        <v>1303</v>
      </c>
      <c r="I10" s="596" t="s">
        <v>1304</v>
      </c>
      <c r="J10" s="597" t="s">
        <v>1306</v>
      </c>
      <c r="K10" s="577" t="str">
        <f t="array" ref="K10">IF($L10="", "", IFERROR(INDEX('6. TIẾN ĐỘ MUA HÀNG'!K:K, MATCH($L10, '6. TIẾN ĐỘ MUA HÀNG'!J:J, 0)), ""))</f>
        <v>Thùng</v>
      </c>
      <c r="L10" s="578" t="s">
        <v>579</v>
      </c>
      <c r="M10" s="579">
        <f t="array" ref="M10">IF($L10="", "", IFERROR(INDEX('6. TIẾN ĐỘ MUA HÀNG'!AF:AF, MATCH($L10, '6. TIẾN ĐỘ MUA HÀNG'!J:J, 0)), ""))</f>
        <v>1</v>
      </c>
      <c r="N10" s="77"/>
      <c r="O10" s="598">
        <f t="shared" si="1"/>
        <v>6</v>
      </c>
      <c r="P10" s="599" t="str">
        <f>IFERROR(__xludf.DUMMYFUNCTION("""COMPUTED_VALUE"""),"ĐMH01335")</f>
        <v>ĐMH01335</v>
      </c>
      <c r="Q10" s="600">
        <f>IFERROR(__xludf.DUMMYFUNCTION("""COMPUTED_VALUE"""),1.0)</f>
        <v>1</v>
      </c>
      <c r="R10" s="600" t="str">
        <f>IFERROR(__xludf.DUMMYFUNCTION("""COMPUTED_VALUE"""),"1")</f>
        <v>1</v>
      </c>
      <c r="S10" s="583" t="str">
        <f t="shared" si="2"/>
        <v>Công nợ NCC</v>
      </c>
      <c r="T10" s="584">
        <f t="shared" si="3"/>
        <v>0</v>
      </c>
      <c r="U10" s="584">
        <f t="shared" si="4"/>
        <v>0</v>
      </c>
      <c r="V10" s="584">
        <f t="shared" si="5"/>
        <v>2343600</v>
      </c>
      <c r="W10" s="585">
        <f t="shared" si="6"/>
        <v>0</v>
      </c>
      <c r="X10" s="77"/>
      <c r="Y10" s="586" t="str">
        <f t="array" ref="Y10">IF($L10="", "", IFERROR(INDEX('1. DATA CHUNG'!$E$4:$E$139, MATCH(INDEX('6. TIẾN ĐỘ MUA HÀNG'!$G$5:$G$76, MATCH($L10, '6. TIẾN ĐỘ MUA HÀNG'!$J$5:$J$76, 0)), '1. DATA CHUNG'!$D$4:$D$139, 0)), ""))</f>
        <v>CÔNG TY TNHH DEGO HOLDING</v>
      </c>
      <c r="Z10" s="587" t="s">
        <v>1305</v>
      </c>
      <c r="AA10" s="586" t="s">
        <v>57</v>
      </c>
      <c r="AB10" s="586">
        <f>if(len(AA10)=0,"", VLOOKUP($AA$5, '0.Ngân Hàng'!$A:$C, 2, 0)
)</f>
        <v>161816186868</v>
      </c>
      <c r="AC10" s="586" t="str">
        <f>if(len(AA10)=0,"", VLOOKUP($AA$5, '0.Ngân Hàng'!$A:$C, 3, 0)
)</f>
        <v> Ngân hàng TMCP Á Châu (ACB)</v>
      </c>
      <c r="AD10" s="588">
        <f t="array" ref="AD10">IF($L10="", "", IFERROR(INDEX('6. TIẾN ĐỘ MUA HÀNG'!AE:AE, MATCH($L10, '6. TIẾN ĐỘ MUA HÀNG'!J:J, 0)), ""))</f>
        <v>725</v>
      </c>
      <c r="AE10" s="394"/>
      <c r="AF10" s="586" t="str">
        <f t="array" ref="AF10">IF($L10="", "", IFERROR(INDEX('6. TIẾN ĐỘ MUA HÀNG'!AT:AT, MATCH($L10, '6. TIẾN ĐỘ MUA HÀNG'!$J:$J, 0)), ""))</f>
        <v>Công nợ 30 ngày</v>
      </c>
    </row>
    <row r="11" ht="30.0" customHeight="1">
      <c r="A11" s="580">
        <v>7.0</v>
      </c>
      <c r="B11" s="570">
        <v>46151.0</v>
      </c>
      <c r="C11" s="571" t="str">
        <f t="array" ref="C11">IF($L11="", "", IFERROR(INDEX('6. TIẾN ĐỘ MUA HÀNG'!F:F, MATCH($L11, '6. TIẾN ĐỘ MUA HÀNG'!J:J, 0)), ""))</f>
        <v>SX - Ms Ly</v>
      </c>
      <c r="D11" s="571" t="str">
        <f t="array" ref="D11">IF($L11="", "", IFERROR(INDEX('6. TIẾN ĐỘ MUA HÀNG'!G:G, MATCH($L11, '6. TIẾN ĐỘ MUA HÀNG'!J:J, 0)), ""))</f>
        <v>IDA</v>
      </c>
      <c r="E11" s="571" t="s">
        <v>1302</v>
      </c>
      <c r="F11" s="572">
        <f>'6. TIẾN ĐỘ MUA HÀNG'!AB11</f>
        <v>2035800</v>
      </c>
      <c r="G11" s="573">
        <v>46154.0</v>
      </c>
      <c r="H11" s="574" t="s">
        <v>1303</v>
      </c>
      <c r="I11" s="575" t="s">
        <v>1304</v>
      </c>
      <c r="J11" s="597" t="s">
        <v>1306</v>
      </c>
      <c r="K11" s="577" t="str">
        <f t="array" ref="K11">IF($L11="", "", IFERROR(INDEX('6. TIẾN ĐỘ MUA HÀNG'!K:K, MATCH($L11, '6. TIẾN ĐỘ MUA HÀNG'!J:J, 0)), ""))</f>
        <v>Thùng</v>
      </c>
      <c r="L11" s="578" t="s">
        <v>581</v>
      </c>
      <c r="M11" s="579">
        <f t="array" ref="M11">IF($L11="", "", IFERROR(INDEX('6. TIẾN ĐỘ MUA HÀNG'!AF:AF, MATCH($L11, '6. TIẾN ĐỘ MUA HÀNG'!J:J, 0)), ""))</f>
        <v>1</v>
      </c>
      <c r="N11" s="566"/>
      <c r="O11" s="601">
        <f t="shared" si="1"/>
        <v>7</v>
      </c>
      <c r="P11" s="599" t="str">
        <f>IFERROR(__xludf.DUMMYFUNCTION("""COMPUTED_VALUE"""),"ĐMH01341")</f>
        <v>ĐMH01341</v>
      </c>
      <c r="Q11" s="600">
        <f>IFERROR(__xludf.DUMMYFUNCTION("""COMPUTED_VALUE"""),1.0)</f>
        <v>1</v>
      </c>
      <c r="R11" s="600" t="str">
        <f>IFERROR(__xludf.DUMMYFUNCTION("""COMPUTED_VALUE"""),"1")</f>
        <v>1</v>
      </c>
      <c r="S11" s="583" t="str">
        <f t="shared" si="2"/>
        <v>Công nợ NCC</v>
      </c>
      <c r="T11" s="584">
        <f t="shared" si="3"/>
        <v>0</v>
      </c>
      <c r="U11" s="584">
        <f t="shared" si="4"/>
        <v>0</v>
      </c>
      <c r="V11" s="584">
        <f t="shared" si="5"/>
        <v>5410800</v>
      </c>
      <c r="W11" s="585">
        <f t="shared" si="6"/>
        <v>0</v>
      </c>
      <c r="X11" s="566"/>
      <c r="Y11" s="586" t="str">
        <f t="array" ref="Y11">IF($L11="", "", IFERROR(INDEX('1. DATA CHUNG'!$E$4:$E$139, MATCH(INDEX('6. TIẾN ĐỘ MUA HÀNG'!$G$5:$G$76, MATCH($L11, '6. TIẾN ĐỘ MUA HÀNG'!$J$5:$J$76, 0)), '1. DATA CHUNG'!$D$4:$D$139, 0)), ""))</f>
        <v>CÔNG TY TNHH XUẤT NHẬP KHẨU IDA GLOBAL</v>
      </c>
      <c r="Z11" s="587" t="s">
        <v>1305</v>
      </c>
      <c r="AA11" s="586" t="s">
        <v>57</v>
      </c>
      <c r="AB11" s="586">
        <f>if(len(AA11)=0,"", VLOOKUP($AA$5, '0.Ngân Hàng'!$A:$C, 2, 0)
)</f>
        <v>161816186868</v>
      </c>
      <c r="AC11" s="586" t="str">
        <f>if(len(AA11)=0,"", VLOOKUP($AA$5, '0.Ngân Hàng'!$A:$C, 3, 0)
)</f>
        <v> Ngân hàng TMCP Á Châu (ACB)</v>
      </c>
      <c r="AD11" s="588">
        <f t="array" ref="AD11">IF($L11="", "", IFERROR(INDEX('6. TIẾN ĐỘ MUA HÀNG'!AE:AE, MATCH($L11, '6. TIẾN ĐỘ MUA HÀNG'!J:J, 0)), ""))</f>
        <v>808</v>
      </c>
      <c r="AE11" s="589"/>
      <c r="AF11" s="586" t="str">
        <f t="array" ref="AF11">IF($L11="", "", IFERROR(INDEX('6. TIẾN ĐỘ MUA HÀNG'!AT:AT, MATCH($L11, '6. TIẾN ĐỘ MUA HÀNG'!$J:$J, 0)), ""))</f>
        <v>Công nợ 30 ngày</v>
      </c>
    </row>
    <row r="12" ht="30.0" customHeight="1">
      <c r="A12" s="590">
        <v>8.0</v>
      </c>
      <c r="B12" s="591">
        <v>46151.0</v>
      </c>
      <c r="C12" s="592" t="str">
        <f t="array" ref="C12">IF($L12="", "", IFERROR(INDEX('6. TIẾN ĐỘ MUA HÀNG'!F:F, MATCH($L12, '6. TIẾN ĐỘ MUA HÀNG'!J:J, 0)), ""))</f>
        <v>SX - Ms Ly</v>
      </c>
      <c r="D12" s="592" t="str">
        <f t="array" ref="D12">IF($L12="", "", IFERROR(INDEX('6. TIẾN ĐỘ MUA HÀNG'!G:G, MATCH($L12, '6. TIẾN ĐỘ MUA HÀNG'!J:J, 0)), ""))</f>
        <v>IDA</v>
      </c>
      <c r="E12" s="592" t="s">
        <v>1302</v>
      </c>
      <c r="F12" s="593">
        <f>'6. TIẾN ĐỘ MUA HÀNG'!AB12</f>
        <v>2035800</v>
      </c>
      <c r="G12" s="594">
        <v>46154.0</v>
      </c>
      <c r="H12" s="595" t="s">
        <v>1303</v>
      </c>
      <c r="I12" s="596" t="s">
        <v>1304</v>
      </c>
      <c r="J12" s="597" t="s">
        <v>1306</v>
      </c>
      <c r="K12" s="577" t="str">
        <f t="array" ref="K12">IF($L12="", "", IFERROR(INDEX('6. TIẾN ĐỘ MUA HÀNG'!K:K, MATCH($L12, '6. TIẾN ĐỘ MUA HÀNG'!J:J, 0)), ""))</f>
        <v>Thùng</v>
      </c>
      <c r="L12" s="578" t="s">
        <v>583</v>
      </c>
      <c r="M12" s="579">
        <f t="array" ref="M12">IF($L12="", "", IFERROR(INDEX('6. TIẾN ĐỘ MUA HÀNG'!AF:AF, MATCH($L12, '6. TIẾN ĐỘ MUA HÀNG'!J:J, 0)), ""))</f>
        <v>1</v>
      </c>
      <c r="N12" s="566"/>
      <c r="O12" s="598">
        <f t="shared" si="1"/>
        <v>8</v>
      </c>
      <c r="P12" s="599" t="str">
        <f>IFERROR(__xludf.DUMMYFUNCTION("""COMPUTED_VALUE"""),"ĐMH01377")</f>
        <v>ĐMH01377</v>
      </c>
      <c r="Q12" s="600">
        <f>IFERROR(__xludf.DUMMYFUNCTION("""COMPUTED_VALUE"""),1.0)</f>
        <v>1</v>
      </c>
      <c r="R12" s="600" t="str">
        <f>IFERROR(__xludf.DUMMYFUNCTION("""COMPUTED_VALUE"""),"1")</f>
        <v>1</v>
      </c>
      <c r="S12" s="583" t="str">
        <f t="shared" si="2"/>
        <v>Công nợ NCC</v>
      </c>
      <c r="T12" s="584">
        <f t="shared" si="3"/>
        <v>0</v>
      </c>
      <c r="U12" s="584">
        <f t="shared" si="4"/>
        <v>0</v>
      </c>
      <c r="V12" s="584">
        <f t="shared" si="5"/>
        <v>7905600</v>
      </c>
      <c r="W12" s="585">
        <f t="shared" si="6"/>
        <v>0</v>
      </c>
      <c r="X12" s="566"/>
      <c r="Y12" s="586" t="str">
        <f t="array" ref="Y12">IF($L12="", "", IFERROR(INDEX('1. DATA CHUNG'!$E$4:$E$139, MATCH(INDEX('6. TIẾN ĐỘ MUA HÀNG'!$G$5:$G$76, MATCH($L12, '6. TIẾN ĐỘ MUA HÀNG'!$J$5:$J$76, 0)), '1. DATA CHUNG'!$D$4:$D$139, 0)), ""))</f>
        <v>CÔNG TY TNHH XUẤT NHẬP KHẨU IDA GLOBAL</v>
      </c>
      <c r="Z12" s="587" t="s">
        <v>1305</v>
      </c>
      <c r="AA12" s="586" t="s">
        <v>57</v>
      </c>
      <c r="AB12" s="586">
        <f>if(len(AA12)=0,"", VLOOKUP($AA$5, '0.Ngân Hàng'!$A:$C, 2, 0)
)</f>
        <v>161816186868</v>
      </c>
      <c r="AC12" s="586" t="str">
        <f>if(len(AA12)=0,"", VLOOKUP($AA$5, '0.Ngân Hàng'!$A:$C, 3, 0)
)</f>
        <v> Ngân hàng TMCP Á Châu (ACB)</v>
      </c>
      <c r="AD12" s="588">
        <f t="array" ref="AD12">IF($L12="", "", IFERROR(INDEX('6. TIẾN ĐỘ MUA HÀNG'!AE:AE, MATCH($L12, '6. TIẾN ĐỘ MUA HÀNG'!J:J, 0)), ""))</f>
        <v>809</v>
      </c>
      <c r="AE12" s="394"/>
      <c r="AF12" s="586" t="str">
        <f t="array" ref="AF12">IF($L12="", "", IFERROR(INDEX('6. TIẾN ĐỘ MUA HÀNG'!AT:AT, MATCH($L12, '6. TIẾN ĐỘ MUA HÀNG'!$J:$J, 0)), ""))</f>
        <v>Công nợ 30 ngày</v>
      </c>
    </row>
    <row r="13" ht="30.0" customHeight="1">
      <c r="A13" s="580">
        <v>9.0</v>
      </c>
      <c r="B13" s="570">
        <v>46151.0</v>
      </c>
      <c r="C13" s="571" t="str">
        <f t="array" ref="C13">IF($L13="", "", IFERROR(INDEX('6. TIẾN ĐỘ MUA HÀNG'!F:F, MATCH($L13, '6. TIẾN ĐỘ MUA HÀNG'!J:J, 0)), ""))</f>
        <v>SX - Ms Ly</v>
      </c>
      <c r="D13" s="571" t="str">
        <f t="array" ref="D13">IF($L13="", "", IFERROR(INDEX('6. TIẾN ĐỘ MUA HÀNG'!G:G, MATCH($L13, '6. TIẾN ĐỘ MUA HÀNG'!J:J, 0)), ""))</f>
        <v>DEGO HOLDING</v>
      </c>
      <c r="E13" s="571" t="s">
        <v>1302</v>
      </c>
      <c r="F13" s="572">
        <f>'6. TIẾN ĐỘ MUA HÀNG'!AB13</f>
        <v>5410800</v>
      </c>
      <c r="G13" s="573">
        <v>46154.0</v>
      </c>
      <c r="H13" s="574" t="s">
        <v>1303</v>
      </c>
      <c r="I13" s="575" t="s">
        <v>1304</v>
      </c>
      <c r="J13" s="597" t="s">
        <v>1306</v>
      </c>
      <c r="K13" s="577" t="str">
        <f t="array" ref="K13">IF($L13="", "", IFERROR(INDEX('6. TIẾN ĐỘ MUA HÀNG'!K:K, MATCH($L13, '6. TIẾN ĐỘ MUA HÀNG'!J:J, 0)), ""))</f>
        <v>Thùng</v>
      </c>
      <c r="L13" s="578" t="s">
        <v>585</v>
      </c>
      <c r="M13" s="579">
        <f t="array" ref="M13">IF($L13="", "", IFERROR(INDEX('6. TIẾN ĐỘ MUA HÀNG'!AF:AF, MATCH($L13, '6. TIẾN ĐỘ MUA HÀNG'!J:J, 0)), ""))</f>
        <v>1</v>
      </c>
      <c r="N13" s="77"/>
      <c r="O13" s="601">
        <f t="shared" si="1"/>
        <v>9</v>
      </c>
      <c r="P13" s="599" t="str">
        <f>IFERROR(__xludf.DUMMYFUNCTION("""COMPUTED_VALUE"""),"ĐMH01384")</f>
        <v>ĐMH01384</v>
      </c>
      <c r="Q13" s="600">
        <f>IFERROR(__xludf.DUMMYFUNCTION("""COMPUTED_VALUE"""),1.0)</f>
        <v>1</v>
      </c>
      <c r="R13" s="600" t="str">
        <f>IFERROR(__xludf.DUMMYFUNCTION("""COMPUTED_VALUE"""),"1")</f>
        <v>1</v>
      </c>
      <c r="S13" s="583" t="str">
        <f t="shared" si="2"/>
        <v>Công nợ NCC</v>
      </c>
      <c r="T13" s="584">
        <f t="shared" si="3"/>
        <v>0</v>
      </c>
      <c r="U13" s="584">
        <f t="shared" si="4"/>
        <v>0</v>
      </c>
      <c r="V13" s="584">
        <f t="shared" si="5"/>
        <v>17631000</v>
      </c>
      <c r="W13" s="585">
        <f t="shared" si="6"/>
        <v>0</v>
      </c>
      <c r="X13" s="77"/>
      <c r="Y13" s="586" t="str">
        <f t="array" ref="Y13">IF($L13="", "", IFERROR(INDEX('1. DATA CHUNG'!$E$4:$E$139, MATCH(INDEX('6. TIẾN ĐỘ MUA HÀNG'!$G$5:$G$76, MATCH($L13, '6. TIẾN ĐỘ MUA HÀNG'!$J$5:$J$76, 0)), '1. DATA CHUNG'!$D$4:$D$139, 0)), ""))</f>
        <v>CÔNG TY TNHH DEGO HOLDING</v>
      </c>
      <c r="Z13" s="587" t="s">
        <v>1305</v>
      </c>
      <c r="AA13" s="586" t="s">
        <v>57</v>
      </c>
      <c r="AB13" s="586">
        <f>if(len(AA13)=0,"", VLOOKUP($AA$5, '0.Ngân Hàng'!$A:$C, 2, 0)
)</f>
        <v>161816186868</v>
      </c>
      <c r="AC13" s="586" t="str">
        <f>if(len(AA13)=0,"", VLOOKUP($AA$5, '0.Ngân Hàng'!$A:$C, 3, 0)
)</f>
        <v> Ngân hàng TMCP Á Châu (ACB)</v>
      </c>
      <c r="AD13" s="588">
        <f t="array" ref="AD13">IF($L13="", "", IFERROR(INDEX('6. TIẾN ĐỘ MUA HÀNG'!AE:AE, MATCH($L13, '6. TIẾN ĐỘ MUA HÀNG'!J:J, 0)), ""))</f>
        <v>853</v>
      </c>
      <c r="AE13" s="394"/>
      <c r="AF13" s="586" t="str">
        <f t="array" ref="AF13">IF($L13="", "", IFERROR(INDEX('6. TIẾN ĐỘ MUA HÀNG'!AT:AT, MATCH($L13, '6. TIẾN ĐỘ MUA HÀNG'!$J:$J, 0)), ""))</f>
        <v>Công nợ 30 ngày</v>
      </c>
    </row>
    <row r="14" ht="30.0" customHeight="1">
      <c r="A14" s="590">
        <v>10.0</v>
      </c>
      <c r="B14" s="591">
        <v>46151.0</v>
      </c>
      <c r="C14" s="592" t="str">
        <f t="array" ref="C14">IF($L14="", "", IFERROR(INDEX('6. TIẾN ĐỘ MUA HÀNG'!F:F, MATCH($L14, '6. TIẾN ĐỘ MUA HÀNG'!J:J, 0)), ""))</f>
        <v>SX - Ms Ly</v>
      </c>
      <c r="D14" s="592" t="str">
        <f t="array" ref="D14">IF($L14="", "", IFERROR(INDEX('6. TIẾN ĐỘ MUA HÀNG'!G:G, MATCH($L14, '6. TIẾN ĐỘ MUA HÀNG'!J:J, 0)), ""))</f>
        <v>IDA</v>
      </c>
      <c r="E14" s="592" t="s">
        <v>1302</v>
      </c>
      <c r="F14" s="593">
        <f>'6. TIẾN ĐỘ MUA HÀNG'!AB14</f>
        <v>9882000</v>
      </c>
      <c r="G14" s="594">
        <v>46154.0</v>
      </c>
      <c r="H14" s="595" t="s">
        <v>1303</v>
      </c>
      <c r="I14" s="596" t="s">
        <v>1304</v>
      </c>
      <c r="J14" s="597" t="s">
        <v>1306</v>
      </c>
      <c r="K14" s="577" t="str">
        <f t="array" ref="K14">IF($L14="", "", IFERROR(INDEX('6. TIẾN ĐỘ MUA HÀNG'!K:K, MATCH($L14, '6. TIẾN ĐỘ MUA HÀNG'!J:J, 0)), ""))</f>
        <v>Thùng</v>
      </c>
      <c r="L14" s="602" t="s">
        <v>588</v>
      </c>
      <c r="M14" s="579">
        <f t="array" ref="M14">IF($L14="", "", IFERROR(INDEX('6. TIẾN ĐỘ MUA HÀNG'!AF:AF, MATCH($L14, '6. TIẾN ĐỘ MUA HÀNG'!J:J, 0)), ""))</f>
        <v>1</v>
      </c>
      <c r="N14" s="77"/>
      <c r="O14" s="598">
        <f t="shared" si="1"/>
        <v>10</v>
      </c>
      <c r="P14" s="599" t="str">
        <f>IFERROR(__xludf.DUMMYFUNCTION("""COMPUTED_VALUE"""),"ĐMH01386")</f>
        <v>ĐMH01386</v>
      </c>
      <c r="Q14" s="600">
        <f>IFERROR(__xludf.DUMMYFUNCTION("""COMPUTED_VALUE"""),1.0)</f>
        <v>1</v>
      </c>
      <c r="R14" s="600" t="str">
        <f>IFERROR(__xludf.DUMMYFUNCTION("""COMPUTED_VALUE"""),"1")</f>
        <v>1</v>
      </c>
      <c r="S14" s="583" t="str">
        <f t="shared" si="2"/>
        <v>Công nợ NCC</v>
      </c>
      <c r="T14" s="584">
        <f t="shared" si="3"/>
        <v>0</v>
      </c>
      <c r="U14" s="584">
        <f t="shared" si="4"/>
        <v>0</v>
      </c>
      <c r="V14" s="584">
        <f t="shared" si="5"/>
        <v>6966000</v>
      </c>
      <c r="W14" s="585">
        <f t="shared" si="6"/>
        <v>0</v>
      </c>
      <c r="X14" s="77"/>
      <c r="Y14" s="586" t="str">
        <f t="array" ref="Y14">IF($L14="", "", IFERROR(INDEX('1. DATA CHUNG'!$E$4:$E$139, MATCH(INDEX('6. TIẾN ĐỘ MUA HÀNG'!$G$5:$G$76, MATCH($L14, '6. TIẾN ĐỘ MUA HÀNG'!$J$5:$J$76, 0)), '1. DATA CHUNG'!$D$4:$D$139, 0)), ""))</f>
        <v>CÔNG TY TNHH XUẤT NHẬP KHẨU IDA GLOBAL</v>
      </c>
      <c r="Z14" s="587" t="s">
        <v>1305</v>
      </c>
      <c r="AA14" s="586" t="s">
        <v>57</v>
      </c>
      <c r="AB14" s="586">
        <f>if(len(AA14)=0,"", VLOOKUP($AA$5, '0.Ngân Hàng'!$A:$C, 2, 0)
)</f>
        <v>161816186868</v>
      </c>
      <c r="AC14" s="586" t="str">
        <f>if(len(AA14)=0,"", VLOOKUP($AA$5, '0.Ngân Hàng'!$A:$C, 3, 0)
)</f>
        <v> Ngân hàng TMCP Á Châu (ACB)</v>
      </c>
      <c r="AD14" s="588">
        <f t="array" ref="AD14">IF($L14="", "", IFERROR(INDEX('6. TIẾN ĐỘ MUA HÀNG'!AE:AE, MATCH($L14, '6. TIẾN ĐỘ MUA HÀNG'!J:J, 0)), ""))</f>
        <v>761</v>
      </c>
      <c r="AE14" s="394"/>
      <c r="AF14" s="586" t="str">
        <f t="array" ref="AF14">IF($L14="", "", IFERROR(INDEX('6. TIẾN ĐỘ MUA HÀNG'!AT:AT, MATCH($L14, '6. TIẾN ĐỘ MUA HÀNG'!$J:$J, 0)), ""))</f>
        <v>Công nợ 30 ngày</v>
      </c>
    </row>
    <row r="15" ht="30.0" customHeight="1">
      <c r="A15" s="580">
        <v>11.0</v>
      </c>
      <c r="B15" s="570">
        <v>46151.0</v>
      </c>
      <c r="C15" s="571" t="str">
        <f t="array" ref="C15">IF($L15="", "", IFERROR(INDEX('6. TIẾN ĐỘ MUA HÀNG'!F:F, MATCH($L15, '6. TIẾN ĐỘ MUA HÀNG'!J:J, 0)), ""))</f>
        <v>SX - Ms Ly</v>
      </c>
      <c r="D15" s="571" t="str">
        <f t="array" ref="D15">IF($L15="", "", IFERROR(INDEX('6. TIẾN ĐỘ MUA HÀNG'!G:G, MATCH($L15, '6. TIẾN ĐỘ MUA HÀNG'!J:J, 0)), ""))</f>
        <v>DEGO HOLDING</v>
      </c>
      <c r="E15" s="571" t="s">
        <v>1302</v>
      </c>
      <c r="F15" s="572">
        <f>'6. TIẾN ĐỘ MUA HÀNG'!AB15</f>
        <v>6966000</v>
      </c>
      <c r="G15" s="573">
        <v>46154.0</v>
      </c>
      <c r="H15" s="574" t="s">
        <v>1303</v>
      </c>
      <c r="I15" s="575" t="s">
        <v>1304</v>
      </c>
      <c r="J15" s="597" t="s">
        <v>1306</v>
      </c>
      <c r="K15" s="577" t="str">
        <f t="array" ref="K15">IF($L15="", "", IFERROR(INDEX('6. TIẾN ĐỘ MUA HÀNG'!K:K, MATCH($L15, '6. TIẾN ĐỘ MUA HÀNG'!J:J, 0)), ""))</f>
        <v>Thùng</v>
      </c>
      <c r="L15" s="578" t="s">
        <v>591</v>
      </c>
      <c r="M15" s="579">
        <f t="array" ref="M15">IF($L15="", "", IFERROR(INDEX('6. TIẾN ĐỘ MUA HÀNG'!AF:AF, MATCH($L15, '6. TIẾN ĐỘ MUA HÀNG'!J:J, 0)), ""))</f>
        <v>1</v>
      </c>
      <c r="N15" s="77"/>
      <c r="O15" s="601">
        <f t="shared" si="1"/>
        <v>11</v>
      </c>
      <c r="P15" s="599" t="str">
        <f>IFERROR(__xludf.DUMMYFUNCTION("""COMPUTED_VALUE"""),"ĐMH01402")</f>
        <v>ĐMH01402</v>
      </c>
      <c r="Q15" s="600">
        <f>IFERROR(__xludf.DUMMYFUNCTION("""COMPUTED_VALUE"""),1.0)</f>
        <v>1</v>
      </c>
      <c r="R15" s="600" t="str">
        <f>IFERROR(__xludf.DUMMYFUNCTION("""COMPUTED_VALUE"""),"1")</f>
        <v>1</v>
      </c>
      <c r="S15" s="583" t="str">
        <f t="shared" si="2"/>
        <v>Công nợ NCC</v>
      </c>
      <c r="T15" s="584">
        <f t="shared" si="3"/>
        <v>0</v>
      </c>
      <c r="U15" s="584">
        <f t="shared" si="4"/>
        <v>0</v>
      </c>
      <c r="V15" s="584">
        <f t="shared" si="5"/>
        <v>4795200</v>
      </c>
      <c r="W15" s="585">
        <f t="shared" si="6"/>
        <v>0</v>
      </c>
      <c r="X15" s="77"/>
      <c r="Y15" s="586" t="str">
        <f t="array" ref="Y15">IF($L15="", "", IFERROR(INDEX('1. DATA CHUNG'!$E$4:$E$139, MATCH(INDEX('6. TIẾN ĐỘ MUA HÀNG'!$G$5:$G$76, MATCH($L15, '6. TIẾN ĐỘ MUA HÀNG'!$J$5:$J$76, 0)), '1. DATA CHUNG'!$D$4:$D$139, 0)), ""))</f>
        <v>CÔNG TY TNHH DEGO HOLDING</v>
      </c>
      <c r="Z15" s="587" t="s">
        <v>1305</v>
      </c>
      <c r="AA15" s="586" t="s">
        <v>57</v>
      </c>
      <c r="AB15" s="586">
        <f>if(len(AA15)=0,"", VLOOKUP($AA$5, '0.Ngân Hàng'!$A:$C, 2, 0)
)</f>
        <v>161816186868</v>
      </c>
      <c r="AC15" s="586" t="str">
        <f>if(len(AA15)=0,"", VLOOKUP($AA$5, '0.Ngân Hàng'!$A:$C, 3, 0)
)</f>
        <v> Ngân hàng TMCP Á Châu (ACB)</v>
      </c>
      <c r="AD15" s="588">
        <f t="array" ref="AD15">IF($L15="", "", IFERROR(INDEX('6. TIẾN ĐỘ MUA HÀNG'!AE:AE, MATCH($L15, '6. TIẾN ĐỘ MUA HÀNG'!J:J, 0)), ""))</f>
        <v>829</v>
      </c>
      <c r="AE15" s="394"/>
      <c r="AF15" s="586" t="str">
        <f t="array" ref="AF15">IF($L15="", "", IFERROR(INDEX('6. TIẾN ĐỘ MUA HÀNG'!AT:AT, MATCH($L15, '6. TIẾN ĐỘ MUA HÀNG'!$J:$J, 0)), ""))</f>
        <v>Công nợ 30 ngày</v>
      </c>
    </row>
    <row r="16" ht="30.0" customHeight="1">
      <c r="A16" s="590">
        <v>12.0</v>
      </c>
      <c r="B16" s="591">
        <v>46151.0</v>
      </c>
      <c r="C16" s="592" t="str">
        <f t="array" ref="C16">IF($L16="", "", IFERROR(INDEX('6. TIẾN ĐỘ MUA HÀNG'!F:F, MATCH($L16, '6. TIẾN ĐỘ MUA HÀNG'!J:J, 0)), ""))</f>
        <v>SX - Ms Ly</v>
      </c>
      <c r="D16" s="592" t="str">
        <f t="array" ref="D16">IF($L16="", "", IFERROR(INDEX('6. TIẾN ĐỘ MUA HÀNG'!G:G, MATCH($L16, '6. TIẾN ĐỘ MUA HÀNG'!J:J, 0)), ""))</f>
        <v>DEGO HOLDING</v>
      </c>
      <c r="E16" s="592" t="s">
        <v>1302</v>
      </c>
      <c r="F16" s="593">
        <f>'6. TIẾN ĐỘ MUA HÀNG'!AB16</f>
        <v>7905600</v>
      </c>
      <c r="G16" s="594">
        <v>46154.0</v>
      </c>
      <c r="H16" s="595" t="s">
        <v>1303</v>
      </c>
      <c r="I16" s="596" t="s">
        <v>1304</v>
      </c>
      <c r="J16" s="597" t="s">
        <v>1306</v>
      </c>
      <c r="K16" s="577" t="str">
        <f t="array" ref="K16">IF($L16="", "", IFERROR(INDEX('6. TIẾN ĐỘ MUA HÀNG'!K:K, MATCH($L16, '6. TIẾN ĐỘ MUA HÀNG'!J:J, 0)), ""))</f>
        <v>Thùng</v>
      </c>
      <c r="L16" s="578" t="s">
        <v>593</v>
      </c>
      <c r="M16" s="579">
        <f t="array" ref="M16">IF($L16="", "", IFERROR(INDEX('6. TIẾN ĐỘ MUA HÀNG'!AF:AF, MATCH($L16, '6. TIẾN ĐỘ MUA HÀNG'!J:J, 0)), ""))</f>
        <v>1</v>
      </c>
      <c r="N16" s="566"/>
      <c r="O16" s="598">
        <f t="shared" si="1"/>
        <v>12</v>
      </c>
      <c r="P16" s="599" t="str">
        <f>IFERROR(__xludf.DUMMYFUNCTION("""COMPUTED_VALUE"""),"ĐMH01441")</f>
        <v>ĐMH01441</v>
      </c>
      <c r="Q16" s="600">
        <f>IFERROR(__xludf.DUMMYFUNCTION("""COMPUTED_VALUE"""),1.0)</f>
        <v>1</v>
      </c>
      <c r="R16" s="600" t="str">
        <f>IFERROR(__xludf.DUMMYFUNCTION("""COMPUTED_VALUE"""),"1")</f>
        <v>1</v>
      </c>
      <c r="S16" s="583" t="str">
        <f t="shared" si="2"/>
        <v>Công nợ NCC</v>
      </c>
      <c r="T16" s="584">
        <f t="shared" si="3"/>
        <v>0</v>
      </c>
      <c r="U16" s="584">
        <f t="shared" si="4"/>
        <v>0</v>
      </c>
      <c r="V16" s="584">
        <f t="shared" si="5"/>
        <v>7581600</v>
      </c>
      <c r="W16" s="585">
        <f t="shared" si="6"/>
        <v>0</v>
      </c>
      <c r="X16" s="566"/>
      <c r="Y16" s="586" t="str">
        <f t="array" ref="Y16">IF($L16="", "", IFERROR(INDEX('1. DATA CHUNG'!$E$4:$E$139, MATCH(INDEX('6. TIẾN ĐỘ MUA HÀNG'!$G$5:$G$76, MATCH($L16, '6. TIẾN ĐỘ MUA HÀNG'!$J$5:$J$76, 0)), '1. DATA CHUNG'!$D$4:$D$139, 0)), ""))</f>
        <v>CÔNG TY TNHH DEGO HOLDING</v>
      </c>
      <c r="Z16" s="587" t="s">
        <v>1305</v>
      </c>
      <c r="AA16" s="586" t="s">
        <v>57</v>
      </c>
      <c r="AB16" s="586">
        <f>if(len(AA16)=0,"", VLOOKUP($AA$5, '0.Ngân Hàng'!$A:$C, 2, 0)
)</f>
        <v>161816186868</v>
      </c>
      <c r="AC16" s="586" t="str">
        <f>if(len(AA16)=0,"", VLOOKUP($AA$5, '0.Ngân Hàng'!$A:$C, 3, 0)
)</f>
        <v> Ngân hàng TMCP Á Châu (ACB)</v>
      </c>
      <c r="AD16" s="588">
        <f t="array" ref="AD16">IF($L16="", "", IFERROR(INDEX('6. TIẾN ĐỘ MUA HÀNG'!AE:AE, MATCH($L16, '6. TIẾN ĐỘ MUA HÀNG'!J:J, 0)), ""))</f>
        <v>854</v>
      </c>
      <c r="AE16" s="394"/>
      <c r="AF16" s="586" t="str">
        <f t="array" ref="AF16">IF($L16="", "", IFERROR(INDEX('6. TIẾN ĐỘ MUA HÀNG'!AT:AT, MATCH($L16, '6. TIẾN ĐỘ MUA HÀNG'!$J:$J, 0)), ""))</f>
        <v>Công nợ 30 ngày</v>
      </c>
    </row>
    <row r="17" ht="30.0" customHeight="1">
      <c r="A17" s="580">
        <v>13.0</v>
      </c>
      <c r="B17" s="570">
        <v>46151.0</v>
      </c>
      <c r="C17" s="571" t="str">
        <f t="array" ref="C17">IF($L17="", "", IFERROR(INDEX('6. TIẾN ĐỘ MUA HÀNG'!F:F, MATCH($L17, '6. TIẾN ĐỘ MUA HÀNG'!J:J, 0)), ""))</f>
        <v>SX - Ms Ly</v>
      </c>
      <c r="D17" s="571" t="str">
        <f t="array" ref="D17">IF($L17="", "", IFERROR(INDEX('6. TIẾN ĐỘ MUA HÀNG'!G:G, MATCH($L17, '6. TIẾN ĐỘ MUA HÀNG'!J:J, 0)), ""))</f>
        <v>DEGO HOLDING</v>
      </c>
      <c r="E17" s="571" t="s">
        <v>1302</v>
      </c>
      <c r="F17" s="572">
        <f>'6. TIẾN ĐỘ MUA HÀNG'!AB17</f>
        <v>10665000</v>
      </c>
      <c r="G17" s="573">
        <v>46154.0</v>
      </c>
      <c r="H17" s="574" t="s">
        <v>1303</v>
      </c>
      <c r="I17" s="575" t="s">
        <v>1304</v>
      </c>
      <c r="J17" s="597" t="s">
        <v>1306</v>
      </c>
      <c r="K17" s="577" t="str">
        <f t="array" ref="K17">IF($L17="", "", IFERROR(INDEX('6. TIẾN ĐỘ MUA HÀNG'!K:K, MATCH($L17, '6. TIẾN ĐỘ MUA HÀNG'!J:J, 0)), ""))</f>
        <v>Thùng</v>
      </c>
      <c r="L17" s="603" t="s">
        <v>594</v>
      </c>
      <c r="M17" s="579">
        <f t="array" ref="M17">IF($L17="", "", IFERROR(INDEX('6. TIẾN ĐỘ MUA HÀNG'!AF:AF, MATCH($L17, '6. TIẾN ĐỘ MUA HÀNG'!J:J, 0)), ""))</f>
        <v>1</v>
      </c>
      <c r="N17" s="77"/>
      <c r="O17" s="601">
        <f t="shared" si="1"/>
        <v>13</v>
      </c>
      <c r="P17" s="599" t="str">
        <f>IFERROR(__xludf.DUMMYFUNCTION("""COMPUTED_VALUE"""),"ĐMH01450")</f>
        <v>ĐMH01450</v>
      </c>
      <c r="Q17" s="600">
        <f>IFERROR(__xludf.DUMMYFUNCTION("""COMPUTED_VALUE"""),1.0)</f>
        <v>1</v>
      </c>
      <c r="R17" s="600" t="str">
        <f>IFERROR(__xludf.DUMMYFUNCTION("""COMPUTED_VALUE"""),"1")</f>
        <v>1</v>
      </c>
      <c r="S17" s="583" t="str">
        <f t="shared" si="2"/>
        <v>Công nợ NCC</v>
      </c>
      <c r="T17" s="584">
        <f t="shared" si="3"/>
        <v>0</v>
      </c>
      <c r="U17" s="584">
        <f t="shared" si="4"/>
        <v>0</v>
      </c>
      <c r="V17" s="584">
        <f t="shared" si="5"/>
        <v>13648176</v>
      </c>
      <c r="W17" s="585">
        <f t="shared" si="6"/>
        <v>0</v>
      </c>
      <c r="X17" s="77"/>
      <c r="Y17" s="586" t="str">
        <f t="array" ref="Y17">IF($L17="", "", IFERROR(INDEX('1. DATA CHUNG'!$E$4:$E$139, MATCH(INDEX('6. TIẾN ĐỘ MUA HÀNG'!$G$5:$G$76, MATCH($L17, '6. TIẾN ĐỘ MUA HÀNG'!$J$5:$J$76, 0)), '1. DATA CHUNG'!$D$4:$D$139, 0)), ""))</f>
        <v>CÔNG TY TNHH DEGO HOLDING</v>
      </c>
      <c r="Z17" s="587" t="s">
        <v>1305</v>
      </c>
      <c r="AA17" s="586" t="s">
        <v>57</v>
      </c>
      <c r="AB17" s="586">
        <f>if(len(AA17)=0,"", VLOOKUP($AA$5, '0.Ngân Hàng'!$A:$C, 2, 0)
)</f>
        <v>161816186868</v>
      </c>
      <c r="AC17" s="586" t="str">
        <f>if(len(AA17)=0,"", VLOOKUP($AA$5, '0.Ngân Hàng'!$A:$C, 3, 0)
)</f>
        <v> Ngân hàng TMCP Á Châu (ACB)</v>
      </c>
      <c r="AD17" s="588">
        <f t="array" ref="AD17">IF($L17="", "", IFERROR(INDEX('6. TIẾN ĐỘ MUA HÀNG'!AE:AE, MATCH($L17, '6. TIẾN ĐỘ MUA HÀNG'!J:J, 0)), ""))</f>
        <v>828</v>
      </c>
      <c r="AE17" s="394"/>
      <c r="AF17" s="586" t="str">
        <f t="array" ref="AF17">IF($L17="", "", IFERROR(INDEX('6. TIẾN ĐỘ MUA HÀNG'!AT:AT, MATCH($L17, '6. TIẾN ĐỘ MUA HÀNG'!$J:$J, 0)), ""))</f>
        <v>Công nợ 30 ngày</v>
      </c>
    </row>
    <row r="18" ht="30.0" customHeight="1">
      <c r="A18" s="590">
        <v>14.0</v>
      </c>
      <c r="B18" s="591">
        <v>46151.0</v>
      </c>
      <c r="C18" s="592" t="str">
        <f t="array" ref="C18">IF($L18="", "", IFERROR(INDEX('6. TIẾN ĐỘ MUA HÀNG'!F:F, MATCH($L18, '6. TIẾN ĐỘ MUA HÀNG'!J:J, 0)), ""))</f>
        <v>SX - Ms Ly</v>
      </c>
      <c r="D18" s="592" t="str">
        <f t="array" ref="D18">IF($L18="", "", IFERROR(INDEX('6. TIẾN ĐỘ MUA HÀNG'!G:G, MATCH($L18, '6. TIẾN ĐỘ MUA HÀNG'!J:J, 0)), ""))</f>
        <v>DEGO HOLDING</v>
      </c>
      <c r="E18" s="592" t="s">
        <v>1302</v>
      </c>
      <c r="F18" s="593">
        <f>'6. TIẾN ĐỘ MUA HÀNG'!AB18</f>
        <v>6966000</v>
      </c>
      <c r="G18" s="594">
        <v>46154.0</v>
      </c>
      <c r="H18" s="595" t="s">
        <v>1303</v>
      </c>
      <c r="I18" s="596" t="s">
        <v>1304</v>
      </c>
      <c r="J18" s="597" t="s">
        <v>1306</v>
      </c>
      <c r="K18" s="577" t="str">
        <f t="array" ref="K18">IF($L18="", "", IFERROR(INDEX('6. TIẾN ĐỘ MUA HÀNG'!K:K, MATCH($L18, '6. TIẾN ĐỘ MUA HÀNG'!J:J, 0)), ""))</f>
        <v>Thùng</v>
      </c>
      <c r="L18" s="578" t="s">
        <v>594</v>
      </c>
      <c r="M18" s="579">
        <f t="array" ref="M18">IF($L18="", "", IFERROR(INDEX('6. TIẾN ĐỘ MUA HÀNG'!AF:AF, MATCH($L18, '6. TIẾN ĐỘ MUA HÀNG'!J:J, 0)), ""))</f>
        <v>1</v>
      </c>
      <c r="N18" s="77"/>
      <c r="O18" s="598">
        <f t="shared" si="1"/>
        <v>14</v>
      </c>
      <c r="P18" s="599" t="str">
        <f>IFERROR(__xludf.DUMMYFUNCTION("""COMPUTED_VALUE"""),"ĐMH01452")</f>
        <v>ĐMH01452</v>
      </c>
      <c r="Q18" s="600">
        <f>IFERROR(__xludf.DUMMYFUNCTION("""COMPUTED_VALUE"""),1.0)</f>
        <v>1</v>
      </c>
      <c r="R18" s="600" t="str">
        <f>IFERROR(__xludf.DUMMYFUNCTION("""COMPUTED_VALUE"""),"1")</f>
        <v>1</v>
      </c>
      <c r="S18" s="583" t="str">
        <f t="shared" si="2"/>
        <v>Công nợ NCC</v>
      </c>
      <c r="T18" s="584">
        <f t="shared" si="3"/>
        <v>0</v>
      </c>
      <c r="U18" s="584">
        <f t="shared" si="4"/>
        <v>0</v>
      </c>
      <c r="V18" s="584">
        <f t="shared" si="5"/>
        <v>6132780</v>
      </c>
      <c r="W18" s="585">
        <f t="shared" si="6"/>
        <v>0</v>
      </c>
      <c r="X18" s="77"/>
      <c r="Y18" s="586" t="str">
        <f t="array" ref="Y18">IF($L18="", "", IFERROR(INDEX('1. DATA CHUNG'!$E$4:$E$139, MATCH(INDEX('6. TIẾN ĐỘ MUA HÀNG'!$G$5:$G$76, MATCH($L18, '6. TIẾN ĐỘ MUA HÀNG'!$J$5:$J$76, 0)), '1. DATA CHUNG'!$D$4:$D$139, 0)), ""))</f>
        <v>CÔNG TY TNHH DEGO HOLDING</v>
      </c>
      <c r="Z18" s="587" t="s">
        <v>1305</v>
      </c>
      <c r="AA18" s="586" t="s">
        <v>57</v>
      </c>
      <c r="AB18" s="586">
        <f>if(len(AA18)=0,"", VLOOKUP($AA$5, '0.Ngân Hàng'!$A:$C, 2, 0)
)</f>
        <v>161816186868</v>
      </c>
      <c r="AC18" s="586" t="str">
        <f>if(len(AA18)=0,"", VLOOKUP($AA$5, '0.Ngân Hàng'!$A:$C, 3, 0)
)</f>
        <v> Ngân hàng TMCP Á Châu (ACB)</v>
      </c>
      <c r="AD18" s="588">
        <f t="array" ref="AD18">IF($L18="", "", IFERROR(INDEX('6. TIẾN ĐỘ MUA HÀNG'!AE:AE, MATCH($L18, '6. TIẾN ĐỘ MUA HÀNG'!J:J, 0)), ""))</f>
        <v>828</v>
      </c>
      <c r="AE18" s="394"/>
      <c r="AF18" s="586" t="str">
        <f t="array" ref="AF18">IF($L18="", "", IFERROR(INDEX('6. TIẾN ĐỘ MUA HÀNG'!AT:AT, MATCH($L18, '6. TIẾN ĐỘ MUA HÀNG'!$J:$J, 0)), ""))</f>
        <v>Công nợ 30 ngày</v>
      </c>
    </row>
    <row r="19" ht="30.0" customHeight="1">
      <c r="A19" s="580">
        <v>15.0</v>
      </c>
      <c r="B19" s="570">
        <v>46151.0</v>
      </c>
      <c r="C19" s="571" t="str">
        <f t="array" ref="C19">IF($L19="", "", IFERROR(INDEX('6. TIẾN ĐỘ MUA HÀNG'!F:F, MATCH($L19, '6. TIẾN ĐỘ MUA HÀNG'!J:J, 0)), ""))</f>
        <v>SX - Ms Ly</v>
      </c>
      <c r="D19" s="571" t="str">
        <f t="array" ref="D19">IF($L19="", "", IFERROR(INDEX('6. TIẾN ĐỘ MUA HÀNG'!G:G, MATCH($L19, '6. TIẾN ĐỘ MUA HÀNG'!J:J, 0)), ""))</f>
        <v>DEGO HOLDING</v>
      </c>
      <c r="E19" s="571" t="s">
        <v>1302</v>
      </c>
      <c r="F19" s="572">
        <f>'6. TIẾN ĐỘ MUA HÀNG'!AB19</f>
        <v>4795200</v>
      </c>
      <c r="G19" s="573">
        <v>46154.0</v>
      </c>
      <c r="H19" s="574" t="s">
        <v>1303</v>
      </c>
      <c r="I19" s="575" t="s">
        <v>1304</v>
      </c>
      <c r="J19" s="597" t="s">
        <v>1306</v>
      </c>
      <c r="K19" s="577" t="str">
        <f t="array" ref="K19">IF($L19="", "", IFERROR(INDEX('6. TIẾN ĐỘ MUA HÀNG'!K:K, MATCH($L19, '6. TIẾN ĐỘ MUA HÀNG'!J:J, 0)), ""))</f>
        <v>Thùng</v>
      </c>
      <c r="L19" s="578" t="s">
        <v>597</v>
      </c>
      <c r="M19" s="579">
        <f t="array" ref="M19">IF($L19="", "", IFERROR(INDEX('6. TIẾN ĐỘ MUA HÀNG'!AF:AF, MATCH($L19, '6. TIẾN ĐỘ MUA HÀNG'!J:J, 0)), ""))</f>
        <v>1</v>
      </c>
      <c r="N19" s="566"/>
      <c r="O19" s="601">
        <f t="shared" si="1"/>
        <v>15</v>
      </c>
      <c r="P19" s="599" t="str">
        <f>IFERROR(__xludf.DUMMYFUNCTION("""COMPUTED_VALUE"""),"ĐMH01453")</f>
        <v>ĐMH01453</v>
      </c>
      <c r="Q19" s="600">
        <f>IFERROR(__xludf.DUMMYFUNCTION("""COMPUTED_VALUE"""),1.0)</f>
        <v>1</v>
      </c>
      <c r="R19" s="600" t="str">
        <f>IFERROR(__xludf.DUMMYFUNCTION("""COMPUTED_VALUE"""),"1")</f>
        <v>1</v>
      </c>
      <c r="S19" s="583" t="str">
        <f t="shared" si="2"/>
        <v>Công nợ NCC</v>
      </c>
      <c r="T19" s="584">
        <f t="shared" si="3"/>
        <v>0</v>
      </c>
      <c r="U19" s="584">
        <f t="shared" si="4"/>
        <v>0</v>
      </c>
      <c r="V19" s="584">
        <f t="shared" si="5"/>
        <v>873180</v>
      </c>
      <c r="W19" s="585">
        <f t="shared" si="6"/>
        <v>0</v>
      </c>
      <c r="X19" s="566"/>
      <c r="Y19" s="586" t="str">
        <f t="array" ref="Y19">IF($L19="", "", IFERROR(INDEX('1. DATA CHUNG'!$E$4:$E$139, MATCH(INDEX('6. TIẾN ĐỘ MUA HÀNG'!$G$5:$G$76, MATCH($L19, '6. TIẾN ĐỘ MUA HÀNG'!$J$5:$J$76, 0)), '1. DATA CHUNG'!$D$4:$D$139, 0)), ""))</f>
        <v>CÔNG TY TNHH DEGO HOLDING</v>
      </c>
      <c r="Z19" s="587" t="s">
        <v>1305</v>
      </c>
      <c r="AA19" s="586" t="s">
        <v>57</v>
      </c>
      <c r="AB19" s="586">
        <f>if(len(AA19)=0,"", VLOOKUP($AA$5, '0.Ngân Hàng'!$A:$C, 2, 0)
)</f>
        <v>161816186868</v>
      </c>
      <c r="AC19" s="586" t="str">
        <f>if(len(AA19)=0,"", VLOOKUP($AA$5, '0.Ngân Hàng'!$A:$C, 3, 0)
)</f>
        <v> Ngân hàng TMCP Á Châu (ACB)</v>
      </c>
      <c r="AD19" s="588">
        <f t="array" ref="AD19">IF($L19="", "", IFERROR(INDEX('6. TIẾN ĐỘ MUA HÀNG'!AE:AE, MATCH($L19, '6. TIẾN ĐỘ MUA HÀNG'!J:J, 0)), ""))</f>
        <v>827</v>
      </c>
      <c r="AE19" s="394"/>
      <c r="AF19" s="586" t="str">
        <f t="array" ref="AF19">IF($L19="", "", IFERROR(INDEX('6. TIẾN ĐỘ MUA HÀNG'!AT:AT, MATCH($L19, '6. TIẾN ĐỘ MUA HÀNG'!$J:$J, 0)), ""))</f>
        <v>Công nợ 30 ngày</v>
      </c>
    </row>
    <row r="20" ht="30.0" customHeight="1">
      <c r="A20" s="590">
        <v>16.0</v>
      </c>
      <c r="B20" s="591">
        <v>46151.0</v>
      </c>
      <c r="C20" s="592" t="str">
        <f t="array" ref="C20">IF($L20="", "", IFERROR(INDEX('6. TIẾN ĐỘ MUA HÀNG'!F:F, MATCH($L20, '6. TIẾN ĐỘ MUA HÀNG'!J:J, 0)), ""))</f>
        <v>SX - Ms Ly</v>
      </c>
      <c r="D20" s="592" t="str">
        <f t="array" ref="D20">IF($L20="", "", IFERROR(INDEX('6. TIẾN ĐỘ MUA HÀNG'!G:G, MATCH($L20, '6. TIẾN ĐỘ MUA HÀNG'!J:J, 0)), ""))</f>
        <v>IDA</v>
      </c>
      <c r="E20" s="592" t="s">
        <v>1302</v>
      </c>
      <c r="F20" s="593">
        <f>'6. TIẾN ĐỘ MUA HÀNG'!AB20</f>
        <v>8424000</v>
      </c>
      <c r="G20" s="594">
        <v>46154.0</v>
      </c>
      <c r="H20" s="595" t="s">
        <v>1303</v>
      </c>
      <c r="I20" s="596" t="s">
        <v>1304</v>
      </c>
      <c r="J20" s="597" t="s">
        <v>1306</v>
      </c>
      <c r="K20" s="577" t="str">
        <f t="array" ref="K20">IF($L20="", "", IFERROR(INDEX('6. TIẾN ĐỘ MUA HÀNG'!K:K, MATCH($L20, '6. TIẾN ĐỘ MUA HÀNG'!J:J, 0)), ""))</f>
        <v>Thùng</v>
      </c>
      <c r="L20" s="578" t="s">
        <v>600</v>
      </c>
      <c r="M20" s="579">
        <f t="array" ref="M20">IF($L20="", "", IFERROR(INDEX('6. TIẾN ĐỘ MUA HÀNG'!AF:AF, MATCH($L20, '6. TIẾN ĐỘ MUA HÀNG'!J:J, 0)), ""))</f>
        <v>1</v>
      </c>
      <c r="N20" s="77"/>
      <c r="O20" s="598">
        <f t="shared" si="1"/>
        <v>16</v>
      </c>
      <c r="P20" s="599" t="str">
        <f>IFERROR(__xludf.DUMMYFUNCTION("""COMPUTED_VALUE"""),"ĐMH01454")</f>
        <v>ĐMH01454</v>
      </c>
      <c r="Q20" s="600">
        <f>IFERROR(__xludf.DUMMYFUNCTION("""COMPUTED_VALUE"""),1.0)</f>
        <v>1</v>
      </c>
      <c r="R20" s="600" t="str">
        <f>IFERROR(__xludf.DUMMYFUNCTION("""COMPUTED_VALUE"""),"1")</f>
        <v>1</v>
      </c>
      <c r="S20" s="583" t="str">
        <f t="shared" si="2"/>
        <v>Công nợ NCC</v>
      </c>
      <c r="T20" s="584">
        <f t="shared" si="3"/>
        <v>0</v>
      </c>
      <c r="U20" s="584">
        <f t="shared" si="4"/>
        <v>0</v>
      </c>
      <c r="V20" s="584">
        <f t="shared" si="5"/>
        <v>1984500</v>
      </c>
      <c r="W20" s="585">
        <f t="shared" si="6"/>
        <v>0</v>
      </c>
      <c r="X20" s="77"/>
      <c r="Y20" s="586" t="str">
        <f t="array" ref="Y20">IF($L20="", "", IFERROR(INDEX('1. DATA CHUNG'!$E$4:$E$139, MATCH(INDEX('6. TIẾN ĐỘ MUA HÀNG'!$G$5:$G$76, MATCH($L20, '6. TIẾN ĐỘ MUA HÀNG'!$J$5:$J$76, 0)), '1. DATA CHUNG'!$D$4:$D$139, 0)), ""))</f>
        <v>CÔNG TY TNHH XUẤT NHẬP KHẨU IDA GLOBAL</v>
      </c>
      <c r="Z20" s="587" t="s">
        <v>1305</v>
      </c>
      <c r="AA20" s="586" t="s">
        <v>57</v>
      </c>
      <c r="AB20" s="586">
        <f>if(len(AA20)=0,"", VLOOKUP($AA$5, '0.Ngân Hàng'!$A:$C, 2, 0)
)</f>
        <v>161816186868</v>
      </c>
      <c r="AC20" s="586" t="str">
        <f>if(len(AA20)=0,"", VLOOKUP($AA$5, '0.Ngân Hàng'!$A:$C, 3, 0)
)</f>
        <v> Ngân hàng TMCP Á Châu (ACB)</v>
      </c>
      <c r="AD20" s="588">
        <f t="array" ref="AD20">IF($L20="", "", IFERROR(INDEX('6. TIẾN ĐỘ MUA HÀNG'!AE:AE, MATCH($L20, '6. TIẾN ĐỘ MUA HÀNG'!J:J, 0)), ""))</f>
        <v>826</v>
      </c>
      <c r="AE20" s="394"/>
      <c r="AF20" s="586" t="str">
        <f t="array" ref="AF20">IF($L20="", "", IFERROR(INDEX('6. TIẾN ĐỘ MUA HÀNG'!AT:AT, MATCH($L20, '6. TIẾN ĐỘ MUA HÀNG'!$J:$J, 0)), ""))</f>
        <v>Công nợ 30 ngày</v>
      </c>
    </row>
    <row r="21" ht="30.0" customHeight="1">
      <c r="A21" s="580">
        <v>17.0</v>
      </c>
      <c r="B21" s="570">
        <v>46151.0</v>
      </c>
      <c r="C21" s="571" t="str">
        <f t="array" ref="C21">IF($L21="", "", IFERROR(INDEX('6. TIẾN ĐỘ MUA HÀNG'!F:F, MATCH($L21, '6. TIẾN ĐỘ MUA HÀNG'!J:J, 0)), ""))</f>
        <v>SX - Ms Ly</v>
      </c>
      <c r="D21" s="571" t="str">
        <f t="array" ref="D21">IF($L21="", "", IFERROR(INDEX('6. TIẾN ĐỘ MUA HÀNG'!G:G, MATCH($L21, '6. TIẾN ĐỘ MUA HÀNG'!J:J, 0)), ""))</f>
        <v>IDA</v>
      </c>
      <c r="E21" s="571" t="s">
        <v>1302</v>
      </c>
      <c r="F21" s="572">
        <f>'6. TIẾN ĐỘ MUA HÀNG'!AB21</f>
        <v>7581600</v>
      </c>
      <c r="G21" s="573">
        <v>46154.0</v>
      </c>
      <c r="H21" s="574" t="s">
        <v>1303</v>
      </c>
      <c r="I21" s="575" t="s">
        <v>1304</v>
      </c>
      <c r="J21" s="597" t="s">
        <v>1306</v>
      </c>
      <c r="K21" s="577" t="str">
        <f t="array" ref="K21">IF($L21="", "", IFERROR(INDEX('6. TIẾN ĐỘ MUA HÀNG'!K:K, MATCH($L21, '6. TIẾN ĐỘ MUA HÀNG'!J:J, 0)), ""))</f>
        <v>Thùng</v>
      </c>
      <c r="L21" s="578" t="s">
        <v>602</v>
      </c>
      <c r="M21" s="579">
        <f t="array" ref="M21">IF($L21="", "", IFERROR(INDEX('6. TIẾN ĐỘ MUA HÀNG'!AF:AF, MATCH($L21, '6. TIẾN ĐỘ MUA HÀNG'!J:J, 0)), ""))</f>
        <v>1</v>
      </c>
      <c r="N21" s="77"/>
      <c r="O21" s="601">
        <f t="shared" si="1"/>
        <v>17</v>
      </c>
      <c r="P21" s="599" t="str">
        <f>IFERROR(__xludf.DUMMYFUNCTION("""COMPUTED_VALUE"""),"ĐMH01458")</f>
        <v>ĐMH01458</v>
      </c>
      <c r="Q21" s="600">
        <f>IFERROR(__xludf.DUMMYFUNCTION("""COMPUTED_VALUE"""),1.0)</f>
        <v>1</v>
      </c>
      <c r="R21" s="600" t="str">
        <f>IFERROR(__xludf.DUMMYFUNCTION("""COMPUTED_VALUE"""),"1")</f>
        <v>1</v>
      </c>
      <c r="S21" s="583" t="str">
        <f t="shared" si="2"/>
        <v>Công nợ NCC</v>
      </c>
      <c r="T21" s="584">
        <f t="shared" si="3"/>
        <v>0</v>
      </c>
      <c r="U21" s="584">
        <f t="shared" si="4"/>
        <v>0</v>
      </c>
      <c r="V21" s="584">
        <f t="shared" si="5"/>
        <v>4384800</v>
      </c>
      <c r="W21" s="585">
        <f t="shared" si="6"/>
        <v>0</v>
      </c>
      <c r="X21" s="77"/>
      <c r="Y21" s="586" t="str">
        <f t="array" ref="Y21">IF($L21="", "", IFERROR(INDEX('1. DATA CHUNG'!$E$4:$E$139, MATCH(INDEX('6. TIẾN ĐỘ MUA HÀNG'!$G$5:$G$76, MATCH($L21, '6. TIẾN ĐỘ MUA HÀNG'!$J$5:$J$76, 0)), '1. DATA CHUNG'!$D$4:$D$139, 0)), ""))</f>
        <v>CÔNG TY TNHH XUẤT NHẬP KHẨU IDA GLOBAL</v>
      </c>
      <c r="Z21" s="587" t="s">
        <v>1305</v>
      </c>
      <c r="AA21" s="586" t="s">
        <v>57</v>
      </c>
      <c r="AB21" s="586">
        <f>if(len(AA21)=0,"", VLOOKUP($AA$5, '0.Ngân Hàng'!$A:$C, 2, 0)
)</f>
        <v>161816186868</v>
      </c>
      <c r="AC21" s="586" t="str">
        <f>if(len(AA21)=0,"", VLOOKUP($AA$5, '0.Ngân Hàng'!$A:$C, 3, 0)
)</f>
        <v> Ngân hàng TMCP Á Châu (ACB)</v>
      </c>
      <c r="AD21" s="588">
        <f t="array" ref="AD21">IF($L21="", "", IFERROR(INDEX('6. TIẾN ĐỘ MUA HÀNG'!AE:AE, MATCH($L21, '6. TIẾN ĐỘ MUA HÀNG'!J:J, 0)), ""))</f>
        <v>841</v>
      </c>
      <c r="AE21" s="394"/>
      <c r="AF21" s="586" t="str">
        <f t="array" ref="AF21">IF($L21="", "", IFERROR(INDEX('6. TIẾN ĐỘ MUA HÀNG'!AT:AT, MATCH($L21, '6. TIẾN ĐỘ MUA HÀNG'!$J:$J, 0)), ""))</f>
        <v>Công nợ 30 ngày</v>
      </c>
    </row>
    <row r="22" ht="30.0" customHeight="1">
      <c r="A22" s="590">
        <v>18.0</v>
      </c>
      <c r="B22" s="591">
        <v>46151.0</v>
      </c>
      <c r="C22" s="592" t="str">
        <f t="array" ref="C22">IF($L22="", "", IFERROR(INDEX('6. TIẾN ĐỘ MUA HÀNG'!F:F, MATCH($L22, '6. TIẾN ĐỘ MUA HÀNG'!J:J, 0)), ""))</f>
        <v>SX - Ms Ly</v>
      </c>
      <c r="D22" s="592" t="str">
        <f t="array" ref="D22">IF($L22="", "", IFERROR(INDEX('6. TIẾN ĐỘ MUA HÀNG'!G:G, MATCH($L22, '6. TIẾN ĐỘ MUA HÀNG'!J:J, 0)), ""))</f>
        <v>IDA</v>
      </c>
      <c r="E22" s="592" t="s">
        <v>1302</v>
      </c>
      <c r="F22" s="593">
        <f>'6. TIẾN ĐỘ MUA HÀNG'!AB22</f>
        <v>7581600</v>
      </c>
      <c r="G22" s="594">
        <v>46154.0</v>
      </c>
      <c r="H22" s="595" t="s">
        <v>1303</v>
      </c>
      <c r="I22" s="596" t="s">
        <v>1304</v>
      </c>
      <c r="J22" s="597" t="s">
        <v>1306</v>
      </c>
      <c r="K22" s="577" t="str">
        <f t="array" ref="K22">IF($L22="", "", IFERROR(INDEX('6. TIẾN ĐỘ MUA HÀNG'!K:K, MATCH($L22, '6. TIẾN ĐỘ MUA HÀNG'!J:J, 0)), ""))</f>
        <v>Thùng</v>
      </c>
      <c r="L22" s="603" t="s">
        <v>603</v>
      </c>
      <c r="M22" s="579">
        <f t="array" ref="M22">IF($L22="", "", IFERROR(INDEX('6. TIẾN ĐỘ MUA HÀNG'!AF:AF, MATCH($L22, '6. TIẾN ĐỘ MUA HÀNG'!J:J, 0)), ""))</f>
        <v>1</v>
      </c>
      <c r="N22" s="566"/>
      <c r="O22" s="598">
        <f t="shared" si="1"/>
        <v>18</v>
      </c>
      <c r="P22" s="599" t="str">
        <f>IFERROR(__xludf.DUMMYFUNCTION("""COMPUTED_VALUE"""),"ĐMH01459")</f>
        <v>ĐMH01459</v>
      </c>
      <c r="Q22" s="600">
        <f>IFERROR(__xludf.DUMMYFUNCTION("""COMPUTED_VALUE"""),1.0)</f>
        <v>1</v>
      </c>
      <c r="R22" s="600" t="str">
        <f>IFERROR(__xludf.DUMMYFUNCTION("""COMPUTED_VALUE"""),"1")</f>
        <v>1</v>
      </c>
      <c r="S22" s="583" t="str">
        <f t="shared" si="2"/>
        <v>Công nợ NCC</v>
      </c>
      <c r="T22" s="584">
        <f t="shared" si="3"/>
        <v>0</v>
      </c>
      <c r="U22" s="584">
        <f t="shared" si="4"/>
        <v>0</v>
      </c>
      <c r="V22" s="584">
        <f t="shared" si="5"/>
        <v>4384800</v>
      </c>
      <c r="W22" s="585">
        <f t="shared" si="6"/>
        <v>0</v>
      </c>
      <c r="X22" s="566"/>
      <c r="Y22" s="586" t="str">
        <f t="array" ref="Y22">IF($L22="", "", IFERROR(INDEX('1. DATA CHUNG'!$E$4:$E$139, MATCH(INDEX('6. TIẾN ĐỘ MUA HÀNG'!$G$5:$G$76, MATCH($L22, '6. TIẾN ĐỘ MUA HÀNG'!$J$5:$J$76, 0)), '1. DATA CHUNG'!$D$4:$D$139, 0)), ""))</f>
        <v>CÔNG TY TNHH XUẤT NHẬP KHẨU IDA GLOBAL</v>
      </c>
      <c r="Z22" s="587" t="s">
        <v>1305</v>
      </c>
      <c r="AA22" s="586" t="s">
        <v>57</v>
      </c>
      <c r="AB22" s="586">
        <f>if(len(AA22)=0,"", VLOOKUP($AA$5, '0.Ngân Hàng'!$A:$C, 2, 0)
)</f>
        <v>161816186868</v>
      </c>
      <c r="AC22" s="586" t="str">
        <f>if(len(AA22)=0,"", VLOOKUP($AA$5, '0.Ngân Hàng'!$A:$C, 3, 0)
)</f>
        <v> Ngân hàng TMCP Á Châu (ACB)</v>
      </c>
      <c r="AD22" s="588">
        <f t="array" ref="AD22">IF($L22="", "", IFERROR(INDEX('6. TIẾN ĐỘ MUA HÀNG'!AE:AE, MATCH($L22, '6. TIẾN ĐỘ MUA HÀNG'!J:J, 0)), ""))</f>
        <v>841</v>
      </c>
      <c r="AE22" s="394"/>
      <c r="AF22" s="586" t="str">
        <f t="array" ref="AF22">IF($L22="", "", IFERROR(INDEX('6. TIẾN ĐỘ MUA HÀNG'!AT:AT, MATCH($L22, '6. TIẾN ĐỘ MUA HÀNG'!$J:$J, 0)), ""))</f>
        <v>Công nợ 30 ngày</v>
      </c>
    </row>
    <row r="23" ht="30.0" customHeight="1">
      <c r="A23" s="580">
        <v>19.0</v>
      </c>
      <c r="B23" s="570">
        <v>46151.0</v>
      </c>
      <c r="C23" s="571" t="str">
        <f t="array" ref="C23">IF($L23="", "", IFERROR(INDEX('6. TIẾN ĐỘ MUA HÀNG'!F:F, MATCH($L23, '6. TIẾN ĐỘ MUA HÀNG'!J:J, 0)), ""))</f>
        <v>SX - Ms Ly</v>
      </c>
      <c r="D23" s="571" t="str">
        <f t="array" ref="D23">IF($L23="", "", IFERROR(INDEX('6. TIẾN ĐỘ MUA HÀNG'!G:G, MATCH($L23, '6. TIẾN ĐỘ MUA HÀNG'!J:J, 0)), ""))</f>
        <v>DEGO HOLDING</v>
      </c>
      <c r="E23" s="571" t="s">
        <v>1302</v>
      </c>
      <c r="F23" s="572">
        <f>'6. TIẾN ĐỘ MUA HÀNG'!AB23</f>
        <v>7581600</v>
      </c>
      <c r="G23" s="573">
        <v>46154.0</v>
      </c>
      <c r="H23" s="574" t="s">
        <v>1303</v>
      </c>
      <c r="I23" s="575" t="s">
        <v>1304</v>
      </c>
      <c r="J23" s="597" t="s">
        <v>1306</v>
      </c>
      <c r="K23" s="577" t="str">
        <f t="array" ref="K23">IF($L23="", "", IFERROR(INDEX('6. TIẾN ĐỘ MUA HÀNG'!K:K, MATCH($L23, '6. TIẾN ĐỘ MUA HÀNG'!J:J, 0)), ""))</f>
        <v>Thùng</v>
      </c>
      <c r="L23" s="603" t="s">
        <v>604</v>
      </c>
      <c r="M23" s="579">
        <f t="array" ref="M23">IF($L23="", "", IFERROR(INDEX('6. TIẾN ĐỘ MUA HÀNG'!AF:AF, MATCH($L23, '6. TIẾN ĐỘ MUA HÀNG'!J:J, 0)), ""))</f>
        <v>1</v>
      </c>
      <c r="N23" s="566"/>
      <c r="O23" s="601">
        <f t="shared" si="1"/>
        <v>19</v>
      </c>
      <c r="P23" s="599" t="str">
        <f>IFERROR(__xludf.DUMMYFUNCTION("""COMPUTED_VALUE"""),"ĐMH01465")</f>
        <v>ĐMH01465</v>
      </c>
      <c r="Q23" s="600">
        <f>IFERROR(__xludf.DUMMYFUNCTION("""COMPUTED_VALUE"""),1.0)</f>
        <v>1</v>
      </c>
      <c r="R23" s="600" t="str">
        <f>IFERROR(__xludf.DUMMYFUNCTION("""COMPUTED_VALUE"""),"1")</f>
        <v>1</v>
      </c>
      <c r="S23" s="583" t="str">
        <f t="shared" si="2"/>
        <v>Công nợ NCC</v>
      </c>
      <c r="T23" s="584">
        <f t="shared" si="3"/>
        <v>0</v>
      </c>
      <c r="U23" s="584">
        <f t="shared" si="4"/>
        <v>0</v>
      </c>
      <c r="V23" s="584">
        <f t="shared" si="5"/>
        <v>7198200</v>
      </c>
      <c r="W23" s="585">
        <f t="shared" si="6"/>
        <v>0</v>
      </c>
      <c r="X23" s="566"/>
      <c r="Y23" s="586" t="str">
        <f t="array" ref="Y23">IF($L23="", "", IFERROR(INDEX('1. DATA CHUNG'!$E$4:$E$139, MATCH(INDEX('6. TIẾN ĐỘ MUA HÀNG'!$G$5:$G$76, MATCH($L23, '6. TIẾN ĐỘ MUA HÀNG'!$J$5:$J$76, 0)), '1. DATA CHUNG'!$D$4:$D$139, 0)), ""))</f>
        <v>CÔNG TY TNHH DEGO HOLDING</v>
      </c>
      <c r="Z23" s="587" t="s">
        <v>1305</v>
      </c>
      <c r="AA23" s="586" t="s">
        <v>57</v>
      </c>
      <c r="AB23" s="586">
        <f>if(len(AA23)=0,"", VLOOKUP($AA$5, '0.Ngân Hàng'!$A:$C, 2, 0)
)</f>
        <v>161816186868</v>
      </c>
      <c r="AC23" s="586" t="str">
        <f>if(len(AA23)=0,"", VLOOKUP($AA$5, '0.Ngân Hàng'!$A:$C, 3, 0)
)</f>
        <v> Ngân hàng TMCP Á Châu (ACB)</v>
      </c>
      <c r="AD23" s="588">
        <f t="array" ref="AD23">IF($L23="", "", IFERROR(INDEX('6. TIẾN ĐỘ MUA HÀNG'!AE:AE, MATCH($L23, '6. TIẾN ĐỘ MUA HÀNG'!J:J, 0)), ""))</f>
        <v>842</v>
      </c>
      <c r="AE23" s="394"/>
      <c r="AF23" s="586" t="str">
        <f t="array" ref="AF23">IF($L23="", "", IFERROR(INDEX('6. TIẾN ĐỘ MUA HÀNG'!AT:AT, MATCH($L23, '6. TIẾN ĐỘ MUA HÀNG'!$J:$J, 0)), ""))</f>
        <v>Công nợ 30 ngày</v>
      </c>
    </row>
    <row r="24" ht="30.0" customHeight="1">
      <c r="A24" s="590">
        <v>20.0</v>
      </c>
      <c r="B24" s="591">
        <v>46151.0</v>
      </c>
      <c r="C24" s="592" t="str">
        <f t="array" ref="C24">IF($L24="", "", IFERROR(INDEX('6. TIẾN ĐỘ MUA HÀNG'!F:F, MATCH($L24, '6. TIẾN ĐỘ MUA HÀNG'!J:J, 0)), ""))</f>
        <v>SX - Ms Ly</v>
      </c>
      <c r="D24" s="592" t="str">
        <f t="array" ref="D24">IF($L24="", "", IFERROR(INDEX('6. TIẾN ĐỘ MUA HÀNG'!G:G, MATCH($L24, '6. TIẾN ĐỘ MUA HÀNG'!J:J, 0)), ""))</f>
        <v>DEGO HOLDING</v>
      </c>
      <c r="E24" s="592" t="s">
        <v>1302</v>
      </c>
      <c r="F24" s="593">
        <f>'6. TIẾN ĐỘ MUA HÀNG'!AB24</f>
        <v>873180</v>
      </c>
      <c r="G24" s="594">
        <v>46154.0</v>
      </c>
      <c r="H24" s="595" t="s">
        <v>1303</v>
      </c>
      <c r="I24" s="596" t="s">
        <v>1304</v>
      </c>
      <c r="J24" s="597" t="s">
        <v>1306</v>
      </c>
      <c r="K24" s="577" t="str">
        <f t="array" ref="K24">IF($L24="", "", IFERROR(INDEX('6. TIẾN ĐỘ MUA HÀNG'!K:K, MATCH($L24, '6. TIẾN ĐỘ MUA HÀNG'!J:J, 0)), ""))</f>
        <v>Thùng</v>
      </c>
      <c r="L24" s="603" t="s">
        <v>605</v>
      </c>
      <c r="M24" s="579">
        <f t="array" ref="M24">IF($L24="", "", IFERROR(INDEX('6. TIẾN ĐỘ MUA HÀNG'!AF:AF, MATCH($L24, '6. TIẾN ĐỘ MUA HÀNG'!J:J, 0)), ""))</f>
        <v>1</v>
      </c>
      <c r="N24" s="566"/>
      <c r="O24" s="598">
        <f t="shared" si="1"/>
        <v>20</v>
      </c>
      <c r="P24" s="599" t="str">
        <f>IFERROR(__xludf.DUMMYFUNCTION("""COMPUTED_VALUE"""),"ĐMH01466")</f>
        <v>ĐMH01466</v>
      </c>
      <c r="Q24" s="600">
        <f>IFERROR(__xludf.DUMMYFUNCTION("""COMPUTED_VALUE"""),1.0)</f>
        <v>1</v>
      </c>
      <c r="R24" s="600" t="str">
        <f>IFERROR(__xludf.DUMMYFUNCTION("""COMPUTED_VALUE"""),"1")</f>
        <v>1</v>
      </c>
      <c r="S24" s="583" t="str">
        <f t="shared" si="2"/>
        <v>Công nợ NCC</v>
      </c>
      <c r="T24" s="584">
        <f t="shared" si="3"/>
        <v>0</v>
      </c>
      <c r="U24" s="584">
        <f t="shared" si="4"/>
        <v>0</v>
      </c>
      <c r="V24" s="584">
        <f t="shared" si="5"/>
        <v>12411360</v>
      </c>
      <c r="W24" s="585">
        <f t="shared" si="6"/>
        <v>0</v>
      </c>
      <c r="X24" s="566"/>
      <c r="Y24" s="586" t="str">
        <f t="array" ref="Y24">IF($L24="", "", IFERROR(INDEX('1. DATA CHUNG'!$E$4:$E$139, MATCH(INDEX('6. TIẾN ĐỘ MUA HÀNG'!$G$5:$G$76, MATCH($L24, '6. TIẾN ĐỘ MUA HÀNG'!$J$5:$J$76, 0)), '1. DATA CHUNG'!$D$4:$D$139, 0)), ""))</f>
        <v>CÔNG TY TNHH DEGO HOLDING</v>
      </c>
      <c r="Z24" s="587" t="s">
        <v>1305</v>
      </c>
      <c r="AA24" s="586" t="s">
        <v>57</v>
      </c>
      <c r="AB24" s="586">
        <f>if(len(AA24)=0,"", VLOOKUP($AA$5, '0.Ngân Hàng'!$A:$C, 2, 0)
)</f>
        <v>161816186868</v>
      </c>
      <c r="AC24" s="586" t="str">
        <f>if(len(AA24)=0,"", VLOOKUP($AA$5, '0.Ngân Hàng'!$A:$C, 3, 0)
)</f>
        <v> Ngân hàng TMCP Á Châu (ACB)</v>
      </c>
      <c r="AD24" s="588">
        <f t="array" ref="AD24">IF($L24="", "", IFERROR(INDEX('6. TIẾN ĐỘ MUA HÀNG'!AE:AE, MATCH($L24, '6. TIẾN ĐỘ MUA HÀNG'!J:J, 0)), ""))</f>
        <v>950</v>
      </c>
      <c r="AE24" s="394"/>
      <c r="AF24" s="586" t="str">
        <f t="array" ref="AF24">IF($L24="", "", IFERROR(INDEX('6. TIẾN ĐỘ MUA HÀNG'!AT:AT, MATCH($L24, '6. TIẾN ĐỘ MUA HÀNG'!$J:$J, 0)), ""))</f>
        <v>Công nợ 30 ngày</v>
      </c>
    </row>
    <row r="25" ht="30.0" customHeight="1">
      <c r="A25" s="580">
        <v>21.0</v>
      </c>
      <c r="B25" s="570">
        <v>46151.0</v>
      </c>
      <c r="C25" s="571" t="str">
        <f t="array" ref="C25">IF($L25="", "", IFERROR(INDEX('6. TIẾN ĐỘ MUA HÀNG'!F:F, MATCH($L25, '6. TIẾN ĐỘ MUA HÀNG'!J:J, 0)), ""))</f>
        <v>SX - Ms Ly</v>
      </c>
      <c r="D25" s="571" t="str">
        <f t="array" ref="D25">IF($L25="", "", IFERROR(INDEX('6. TIẾN ĐỘ MUA HÀNG'!G:G, MATCH($L25, '6. TIẾN ĐỘ MUA HÀNG'!J:J, 0)), ""))</f>
        <v>DEGO HOLDING</v>
      </c>
      <c r="E25" s="571" t="s">
        <v>1302</v>
      </c>
      <c r="F25" s="572">
        <f>'6. TIẾN ĐỘ MUA HÀNG'!AB25</f>
        <v>1984500</v>
      </c>
      <c r="G25" s="573">
        <v>46154.0</v>
      </c>
      <c r="H25" s="574" t="str">
        <f t="array" ref="H25">IFERROR( XLOOKUP(L5,'6. TIẾN ĐỘ MUA HÀNG'!J:J,'6. TIẾN ĐỘ MUA HÀNG'!I:I),)</f>
        <v>Đông Tây</v>
      </c>
      <c r="I25" s="575" t="s">
        <v>1304</v>
      </c>
      <c r="J25" s="597" t="s">
        <v>1306</v>
      </c>
      <c r="K25" s="577" t="str">
        <f t="array" ref="K25">IF($L25="", "", IFERROR(INDEX('6. TIẾN ĐỘ MUA HÀNG'!K:K, MATCH($L25, '6. TIẾN ĐỘ MUA HÀNG'!J:J, 0)), ""))</f>
        <v>Thùng</v>
      </c>
      <c r="L25" s="603" t="s">
        <v>607</v>
      </c>
      <c r="M25" s="579">
        <f t="array" ref="M25">IF($L25="", "", IFERROR(INDEX('6. TIẾN ĐỘ MUA HÀNG'!AF:AF, MATCH($L25, '6. TIẾN ĐỘ MUA HÀNG'!J:J, 0)), ""))</f>
        <v>1</v>
      </c>
      <c r="N25" s="566"/>
      <c r="O25" s="601">
        <f t="shared" si="1"/>
        <v>21</v>
      </c>
      <c r="P25" s="599" t="str">
        <f>IFERROR(__xludf.DUMMYFUNCTION("""COMPUTED_VALUE"""),"ĐMH01497")</f>
        <v>ĐMH01497</v>
      </c>
      <c r="Q25" s="600">
        <f>IFERROR(__xludf.DUMMYFUNCTION("""COMPUTED_VALUE"""),1.0)</f>
        <v>1</v>
      </c>
      <c r="R25" s="600" t="str">
        <f>IFERROR(__xludf.DUMMYFUNCTION("""COMPUTED_VALUE"""),"1")</f>
        <v>1</v>
      </c>
      <c r="S25" s="583" t="str">
        <f t="shared" si="2"/>
        <v>Công nợ NCC</v>
      </c>
      <c r="T25" s="584">
        <f t="shared" si="3"/>
        <v>0</v>
      </c>
      <c r="U25" s="584">
        <f t="shared" si="4"/>
        <v>0</v>
      </c>
      <c r="V25" s="584">
        <f t="shared" si="5"/>
        <v>9636840</v>
      </c>
      <c r="W25" s="585">
        <f t="shared" si="6"/>
        <v>0</v>
      </c>
      <c r="X25" s="566"/>
      <c r="Y25" s="586" t="str">
        <f t="array" ref="Y25">IF($L25="", "", IFERROR(INDEX('1. DATA CHUNG'!$E$4:$E$139, MATCH(INDEX('6. TIẾN ĐỘ MUA HÀNG'!$G$5:$G$76, MATCH($L25, '6. TIẾN ĐỘ MUA HÀNG'!$J$5:$J$76, 0)), '1. DATA CHUNG'!$D$4:$D$139, 0)), ""))</f>
        <v>CÔNG TY TNHH DEGO HOLDING</v>
      </c>
      <c r="Z25" s="587" t="s">
        <v>1305</v>
      </c>
      <c r="AA25" s="586" t="s">
        <v>57</v>
      </c>
      <c r="AB25" s="586">
        <f>if(len(AA25)=0,"", VLOOKUP($AA$5, '0.Ngân Hàng'!$A:$C, 2, 0)
)</f>
        <v>161816186868</v>
      </c>
      <c r="AC25" s="586" t="str">
        <f>if(len(AA25)=0,"", VLOOKUP($AA$5, '0.Ngân Hàng'!$A:$C, 3, 0)
)</f>
        <v> Ngân hàng TMCP Á Châu (ACB)</v>
      </c>
      <c r="AD25" s="588">
        <f t="array" ref="AD25">IF($L25="", "", IFERROR(INDEX('6. TIẾN ĐỘ MUA HÀNG'!AE:AE, MATCH($L25, '6. TIẾN ĐỘ MUA HÀNG'!J:J, 0)), ""))</f>
        <v>949</v>
      </c>
      <c r="AE25" s="394"/>
      <c r="AF25" s="586" t="str">
        <f t="array" ref="AF25">IF($L25="", "", IFERROR(INDEX('6. TIẾN ĐỘ MUA HÀNG'!AT:AT, MATCH($L25, '6. TIẾN ĐỘ MUA HÀNG'!$J:$J, 0)), ""))</f>
        <v>Công nợ 30 ngày</v>
      </c>
    </row>
    <row r="26" ht="30.0" customHeight="1">
      <c r="A26" s="590">
        <v>22.0</v>
      </c>
      <c r="B26" s="591">
        <v>46151.0</v>
      </c>
      <c r="C26" s="592" t="str">
        <f t="array" ref="C26">IF($L26="", "", IFERROR(INDEX('6. TIẾN ĐỘ MUA HÀNG'!F:F, MATCH($L26, '6. TIẾN ĐỘ MUA HÀNG'!J:J, 0)), ""))</f>
        <v>SX - Ms Ly</v>
      </c>
      <c r="D26" s="592" t="str">
        <f t="array" ref="D26">IF($L26="", "", IFERROR(INDEX('6. TIẾN ĐỘ MUA HÀNG'!G:G, MATCH($L26, '6. TIẾN ĐỘ MUA HÀNG'!J:J, 0)), ""))</f>
        <v>DEGO HOLDING</v>
      </c>
      <c r="E26" s="592" t="s">
        <v>1302</v>
      </c>
      <c r="F26" s="593">
        <f>'6. TIẾN ĐỘ MUA HÀNG'!AB26</f>
        <v>7302960</v>
      </c>
      <c r="G26" s="594">
        <v>46154.0</v>
      </c>
      <c r="H26" s="595" t="str">
        <f t="array" ref="H26">IFERROR( XLOOKUP(L6,'6. TIẾN ĐỘ MUA HÀNG'!J:J,'6. TIẾN ĐỘ MUA HÀNG'!I:I),)</f>
        <v>Đông Tây</v>
      </c>
      <c r="I26" s="596" t="s">
        <v>1304</v>
      </c>
      <c r="J26" s="597" t="s">
        <v>1306</v>
      </c>
      <c r="K26" s="577" t="str">
        <f t="array" ref="K26">IF($L26="", "", IFERROR(INDEX('6. TIẾN ĐỘ MUA HÀNG'!K:K, MATCH($L26, '6. TIẾN ĐỘ MUA HÀNG'!J:J, 0)), ""))</f>
        <v>Thùng</v>
      </c>
      <c r="L26" s="603" t="s">
        <v>608</v>
      </c>
      <c r="M26" s="579">
        <f t="array" ref="M26">IF($L26="", "", IFERROR(INDEX('6. TIẾN ĐỘ MUA HÀNG'!AF:AF, MATCH($L26, '6. TIẾN ĐỘ MUA HÀNG'!J:J, 0)), ""))</f>
        <v>1</v>
      </c>
      <c r="N26" s="566"/>
      <c r="O26" s="598">
        <f t="shared" si="1"/>
        <v>22</v>
      </c>
      <c r="P26" s="599" t="str">
        <f>IFERROR(__xludf.DUMMYFUNCTION("""COMPUTED_VALUE"""),"ĐMH01502")</f>
        <v>ĐMH01502</v>
      </c>
      <c r="Q26" s="600">
        <f>IFERROR(__xludf.DUMMYFUNCTION("""COMPUTED_VALUE"""),1.0)</f>
        <v>1</v>
      </c>
      <c r="R26" s="600" t="str">
        <f>IFERROR(__xludf.DUMMYFUNCTION("""COMPUTED_VALUE"""),"1")</f>
        <v>1</v>
      </c>
      <c r="S26" s="583" t="str">
        <f t="shared" si="2"/>
        <v>Công nợ NCC</v>
      </c>
      <c r="T26" s="584">
        <f t="shared" si="3"/>
        <v>0</v>
      </c>
      <c r="U26" s="584">
        <f t="shared" si="4"/>
        <v>0</v>
      </c>
      <c r="V26" s="584">
        <f t="shared" si="5"/>
        <v>11858616</v>
      </c>
      <c r="W26" s="585">
        <f t="shared" si="6"/>
        <v>0</v>
      </c>
      <c r="X26" s="566"/>
      <c r="Y26" s="586" t="str">
        <f t="array" ref="Y26">IF($L26="", "", IFERROR(INDEX('1. DATA CHUNG'!$E$4:$E$139, MATCH(INDEX('6. TIẾN ĐỘ MUA HÀNG'!$G$5:$G$76, MATCH($L26, '6. TIẾN ĐỘ MUA HÀNG'!$J$5:$J$76, 0)), '1. DATA CHUNG'!$D$4:$D$139, 0)), ""))</f>
        <v>CÔNG TY TNHH DEGO HOLDING</v>
      </c>
      <c r="Z26" s="587" t="s">
        <v>1305</v>
      </c>
      <c r="AA26" s="586" t="s">
        <v>57</v>
      </c>
      <c r="AB26" s="586">
        <f>if(len(AA26)=0,"", VLOOKUP($AA$5, '0.Ngân Hàng'!$A:$C, 2, 0)
)</f>
        <v>161816186868</v>
      </c>
      <c r="AC26" s="586" t="str">
        <f>if(len(AA26)=0,"", VLOOKUP($AA$5, '0.Ngân Hàng'!$A:$C, 3, 0)
)</f>
        <v> Ngân hàng TMCP Á Châu (ACB)</v>
      </c>
      <c r="AD26" s="588">
        <f t="array" ref="AD26">IF($L26="", "", IFERROR(INDEX('6. TIẾN ĐỘ MUA HÀNG'!AE:AE, MATCH($L26, '6. TIẾN ĐỘ MUA HÀNG'!J:J, 0)), ""))</f>
        <v>886</v>
      </c>
      <c r="AE26" s="394"/>
      <c r="AF26" s="586" t="str">
        <f t="array" ref="AF26">IF($L26="", "", IFERROR(INDEX('6. TIẾN ĐỘ MUA HÀNG'!AT:AT, MATCH($L26, '6. TIẾN ĐỘ MUA HÀNG'!$J:$J, 0)), ""))</f>
        <v>Công nợ 30 ngày</v>
      </c>
    </row>
    <row r="27" ht="30.0" customHeight="1">
      <c r="A27" s="580">
        <v>23.0</v>
      </c>
      <c r="B27" s="570">
        <v>46151.0</v>
      </c>
      <c r="C27" s="571" t="str">
        <f t="array" ref="C27">IF($L27="", "", IFERROR(INDEX('6. TIẾN ĐỘ MUA HÀNG'!F:F, MATCH($L27, '6. TIẾN ĐỘ MUA HÀNG'!J:J, 0)), ""))</f>
        <v>SX - Ms Ly</v>
      </c>
      <c r="D27" s="571" t="str">
        <f t="array" ref="D27">IF($L27="", "", IFERROR(INDEX('6. TIẾN ĐỘ MUA HÀNG'!G:G, MATCH($L27, '6. TIẾN ĐỘ MUA HÀNG'!J:J, 0)), ""))</f>
        <v>DEGO HOLDING</v>
      </c>
      <c r="E27" s="571" t="s">
        <v>1302</v>
      </c>
      <c r="F27" s="572">
        <f>'6. TIẾN ĐỘ MUA HÀNG'!AB27</f>
        <v>6345216</v>
      </c>
      <c r="G27" s="573">
        <v>46154.0</v>
      </c>
      <c r="H27" s="574" t="str">
        <f t="array" ref="H27">IFERROR( XLOOKUP(L7,'6. TIẾN ĐỘ MUA HÀNG'!J:J,'6. TIẾN ĐỘ MUA HÀNG'!I:I),)</f>
        <v>Đông Tây</v>
      </c>
      <c r="I27" s="575" t="s">
        <v>1304</v>
      </c>
      <c r="J27" s="597" t="s">
        <v>1306</v>
      </c>
      <c r="K27" s="577" t="str">
        <f t="array" ref="K27">IF($L27="", "", IFERROR(INDEX('6. TIẾN ĐỘ MUA HÀNG'!K:K, MATCH($L27, '6. TIẾN ĐỘ MUA HÀNG'!J:J, 0)), ""))</f>
        <v>Thùng</v>
      </c>
      <c r="L27" s="603" t="s">
        <v>608</v>
      </c>
      <c r="M27" s="579">
        <f t="array" ref="M27">IF($L27="", "", IFERROR(INDEX('6. TIẾN ĐỘ MUA HÀNG'!AF:AF, MATCH($L27, '6. TIẾN ĐỘ MUA HÀNG'!J:J, 0)), ""))</f>
        <v>1</v>
      </c>
      <c r="N27" s="566"/>
      <c r="O27" s="601">
        <f t="shared" si="1"/>
        <v>23</v>
      </c>
      <c r="P27" s="576" t="str">
        <f>IFERROR(__xludf.DUMMYFUNCTION("""COMPUTED_VALUE"""),"ĐMH01524")</f>
        <v>ĐMH01524</v>
      </c>
      <c r="Q27" s="600">
        <f>IFERROR(__xludf.DUMMYFUNCTION("""COMPUTED_VALUE"""),1.0)</f>
        <v>1</v>
      </c>
      <c r="R27" s="600" t="str">
        <f>IFERROR(__xludf.DUMMYFUNCTION("""COMPUTED_VALUE"""),"1")</f>
        <v>1</v>
      </c>
      <c r="S27" s="583" t="str">
        <f t="shared" si="2"/>
        <v>Công nợ NCC</v>
      </c>
      <c r="T27" s="584">
        <f t="shared" si="3"/>
        <v>0</v>
      </c>
      <c r="U27" s="584">
        <f t="shared" si="4"/>
        <v>0</v>
      </c>
      <c r="V27" s="584">
        <f t="shared" si="5"/>
        <v>8906436</v>
      </c>
      <c r="W27" s="585">
        <f t="shared" si="6"/>
        <v>0</v>
      </c>
      <c r="X27" s="566"/>
      <c r="Y27" s="586" t="str">
        <f t="array" ref="Y27">IF($L27="", "", IFERROR(INDEX('1. DATA CHUNG'!$E$4:$E$139, MATCH(INDEX('6. TIẾN ĐỘ MUA HÀNG'!$G$5:$G$76, MATCH($L27, '6. TIẾN ĐỘ MUA HÀNG'!$J$5:$J$76, 0)), '1. DATA CHUNG'!$D$4:$D$139, 0)), ""))</f>
        <v>CÔNG TY TNHH DEGO HOLDING</v>
      </c>
      <c r="Z27" s="587" t="s">
        <v>1305</v>
      </c>
      <c r="AA27" s="586" t="s">
        <v>57</v>
      </c>
      <c r="AB27" s="586">
        <f>if(len(AA27)=0,"", VLOOKUP($AA$5, '0.Ngân Hàng'!$A:$C, 2, 0)
)</f>
        <v>161816186868</v>
      </c>
      <c r="AC27" s="586" t="str">
        <f>if(len(AA27)=0,"", VLOOKUP($AA$5, '0.Ngân Hàng'!$A:$C, 3, 0)
)</f>
        <v> Ngân hàng TMCP Á Châu (ACB)</v>
      </c>
      <c r="AD27" s="588">
        <f t="array" ref="AD27">IF($L27="", "", IFERROR(INDEX('6. TIẾN ĐỘ MUA HÀNG'!AE:AE, MATCH($L27, '6. TIẾN ĐỘ MUA HÀNG'!J:J, 0)), ""))</f>
        <v>886</v>
      </c>
      <c r="AE27" s="394"/>
      <c r="AF27" s="586" t="str">
        <f t="array" ref="AF27">IF($L27="", "", IFERROR(INDEX('6. TIẾN ĐỘ MUA HÀNG'!AT:AT, MATCH($L27, '6. TIẾN ĐỘ MUA HÀNG'!$J:$J, 0)), ""))</f>
        <v>Công nợ 30 ngày</v>
      </c>
    </row>
    <row r="28" ht="30.0" customHeight="1">
      <c r="A28" s="590">
        <v>24.0</v>
      </c>
      <c r="B28" s="591">
        <v>46151.0</v>
      </c>
      <c r="C28" s="592" t="str">
        <f t="array" ref="C28">IF($L28="", "", IFERROR(INDEX('6. TIẾN ĐỘ MUA HÀNG'!F:F, MATCH($L28, '6. TIẾN ĐỘ MUA HÀNG'!J:J, 0)), ""))</f>
        <v>SX - Ms Ly</v>
      </c>
      <c r="D28" s="592" t="str">
        <f t="array" ref="D28">IF($L28="", "", IFERROR(INDEX('6. TIẾN ĐỘ MUA HÀNG'!G:G, MATCH($L28, '6. TIẾN ĐỘ MUA HÀNG'!J:J, 0)), ""))</f>
        <v>DEGO HOLDING</v>
      </c>
      <c r="E28" s="592" t="s">
        <v>1302</v>
      </c>
      <c r="F28" s="593">
        <f>'6. TIẾN ĐỘ MUA HÀNG'!AB28</f>
        <v>6132780</v>
      </c>
      <c r="G28" s="594">
        <v>46154.0</v>
      </c>
      <c r="H28" s="595" t="str">
        <f t="array" ref="H28">IFERROR( XLOOKUP(L8,'6. TIẾN ĐỘ MUA HÀNG'!J:J,'6. TIẾN ĐỘ MUA HÀNG'!I:I),)</f>
        <v>Đông Tây</v>
      </c>
      <c r="I28" s="596" t="s">
        <v>1304</v>
      </c>
      <c r="J28" s="597" t="s">
        <v>1306</v>
      </c>
      <c r="K28" s="577" t="str">
        <f t="array" ref="K28">IF($L28="", "", IFERROR(INDEX('6. TIẾN ĐỘ MUA HÀNG'!K:K, MATCH($L28, '6. TIẾN ĐỘ MUA HÀNG'!J:J, 0)), ""))</f>
        <v>Thùng</v>
      </c>
      <c r="L28" s="603" t="s">
        <v>611</v>
      </c>
      <c r="M28" s="579">
        <f t="array" ref="M28">IF($L28="", "", IFERROR(INDEX('6. TIẾN ĐỘ MUA HÀNG'!AF:AF, MATCH($L28, '6. TIẾN ĐỘ MUA HÀNG'!J:J, 0)), ""))</f>
        <v>1</v>
      </c>
      <c r="N28" s="566"/>
      <c r="O28" s="598">
        <f t="shared" si="1"/>
        <v>24</v>
      </c>
      <c r="P28" s="576" t="str">
        <f>IFERROR(__xludf.DUMMYFUNCTION("""COMPUTED_VALUE"""),"ĐMH01540")</f>
        <v>ĐMH01540</v>
      </c>
      <c r="Q28" s="600">
        <f>IFERROR(__xludf.DUMMYFUNCTION("""COMPUTED_VALUE"""),1.0)</f>
        <v>1</v>
      </c>
      <c r="R28" s="600" t="str">
        <f>IFERROR(__xludf.DUMMYFUNCTION("""COMPUTED_VALUE"""),"1")</f>
        <v>1</v>
      </c>
      <c r="S28" s="583" t="str">
        <f t="shared" si="2"/>
        <v>Công nợ NCC</v>
      </c>
      <c r="T28" s="584">
        <f t="shared" si="3"/>
        <v>0</v>
      </c>
      <c r="U28" s="584">
        <f t="shared" si="4"/>
        <v>0</v>
      </c>
      <c r="V28" s="584">
        <f t="shared" si="5"/>
        <v>4418928</v>
      </c>
      <c r="W28" s="585">
        <f t="shared" si="6"/>
        <v>0</v>
      </c>
      <c r="X28" s="566"/>
      <c r="Y28" s="586" t="str">
        <f t="array" ref="Y28">IF($L28="", "", IFERROR(INDEX('1. DATA CHUNG'!$E$4:$E$139, MATCH(INDEX('6. TIẾN ĐỘ MUA HÀNG'!$G$5:$G$76, MATCH($L28, '6. TIẾN ĐỘ MUA HÀNG'!$J$5:$J$76, 0)), '1. DATA CHUNG'!$D$4:$D$139, 0)), ""))</f>
        <v>CÔNG TY TNHH DEGO HOLDING</v>
      </c>
      <c r="Z28" s="587" t="s">
        <v>1305</v>
      </c>
      <c r="AA28" s="586" t="s">
        <v>57</v>
      </c>
      <c r="AB28" s="586">
        <f>if(len(AA28)=0,"", VLOOKUP($AA$5, '0.Ngân Hàng'!$A:$C, 2, 0)
)</f>
        <v>161816186868</v>
      </c>
      <c r="AC28" s="586" t="str">
        <f>if(len(AA28)=0,"", VLOOKUP($AA$5, '0.Ngân Hàng'!$A:$C, 3, 0)
)</f>
        <v> Ngân hàng TMCP Á Châu (ACB)</v>
      </c>
      <c r="AD28" s="588">
        <f t="array" ref="AD28">IF($L28="", "", IFERROR(INDEX('6. TIẾN ĐỘ MUA HÀNG'!AE:AE, MATCH($L28, '6. TIẾN ĐỘ MUA HÀNG'!J:J, 0)), ""))</f>
        <v>894</v>
      </c>
      <c r="AE28" s="394"/>
      <c r="AF28" s="586" t="str">
        <f t="array" ref="AF28">IF($L28="", "", IFERROR(INDEX('6. TIẾN ĐỘ MUA HÀNG'!AT:AT, MATCH($L28, '6. TIẾN ĐỘ MUA HÀNG'!$J:$J, 0)), ""))</f>
        <v>Công nợ 30 ngày</v>
      </c>
    </row>
    <row r="29" ht="30.0" customHeight="1">
      <c r="A29" s="580">
        <v>25.0</v>
      </c>
      <c r="B29" s="570">
        <v>46151.0</v>
      </c>
      <c r="C29" s="571" t="str">
        <f t="array" ref="C29">IF($L29="", "", IFERROR(INDEX('6. TIẾN ĐỘ MUA HÀNG'!F:F, MATCH($L29, '6. TIẾN ĐỘ MUA HÀNG'!J:J, 0)), ""))</f>
        <v>SX - Ms Ly</v>
      </c>
      <c r="D29" s="571" t="str">
        <f t="array" ref="D29">IF($L29="", "", IFERROR(INDEX('6. TIẾN ĐỘ MUA HÀNG'!G:G, MATCH($L29, '6. TIẾN ĐỘ MUA HÀNG'!J:J, 0)), ""))</f>
        <v>DEGO HOLDING</v>
      </c>
      <c r="E29" s="571" t="s">
        <v>1302</v>
      </c>
      <c r="F29" s="572">
        <f>'6. TIẾN ĐỘ MUA HÀNG'!AB29</f>
        <v>4384800</v>
      </c>
      <c r="G29" s="573">
        <v>46154.0</v>
      </c>
      <c r="H29" s="574" t="str">
        <f t="array" ref="H29">IFERROR( XLOOKUP(L9,'6. TIẾN ĐỘ MUA HÀNG'!J:J,'6. TIẾN ĐỘ MUA HÀNG'!I:I),)</f>
        <v>Đông Tây</v>
      </c>
      <c r="I29" s="575" t="s">
        <v>1304</v>
      </c>
      <c r="J29" s="597" t="s">
        <v>1306</v>
      </c>
      <c r="K29" s="577" t="str">
        <f t="array" ref="K29">IF($L29="", "", IFERROR(INDEX('6. TIẾN ĐỘ MUA HÀNG'!K:K, MATCH($L29, '6. TIẾN ĐỘ MUA HÀNG'!J:J, 0)), ""))</f>
        <v>Thùng</v>
      </c>
      <c r="L29" s="603" t="s">
        <v>612</v>
      </c>
      <c r="M29" s="579">
        <f t="array" ref="M29">IF($L29="", "", IFERROR(INDEX('6. TIẾN ĐỘ MUA HÀNG'!AF:AF, MATCH($L29, '6. TIẾN ĐỘ MUA HÀNG'!J:J, 0)), ""))</f>
        <v>1</v>
      </c>
      <c r="N29" s="566"/>
      <c r="O29" s="601">
        <f t="shared" si="1"/>
        <v>25</v>
      </c>
      <c r="P29" s="576" t="str">
        <f>IFERROR(__xludf.DUMMYFUNCTION("""COMPUTED_VALUE"""),"ĐMH01541")</f>
        <v>ĐMH01541</v>
      </c>
      <c r="Q29" s="600">
        <f>IFERROR(__xludf.DUMMYFUNCTION("""COMPUTED_VALUE"""),1.0)</f>
        <v>1</v>
      </c>
      <c r="R29" s="600" t="str">
        <f>IFERROR(__xludf.DUMMYFUNCTION("""COMPUTED_VALUE"""),"1")</f>
        <v>1</v>
      </c>
      <c r="S29" s="583" t="str">
        <f t="shared" si="2"/>
        <v>Công nợ NCC</v>
      </c>
      <c r="T29" s="584">
        <f t="shared" si="3"/>
        <v>0</v>
      </c>
      <c r="U29" s="584">
        <f t="shared" si="4"/>
        <v>0</v>
      </c>
      <c r="V29" s="584">
        <f t="shared" si="5"/>
        <v>6253200</v>
      </c>
      <c r="W29" s="585">
        <f t="shared" si="6"/>
        <v>0</v>
      </c>
      <c r="X29" s="566"/>
      <c r="Y29" s="586" t="str">
        <f t="array" ref="Y29">IF($L29="", "", IFERROR(INDEX('1. DATA CHUNG'!$E$4:$E$139, MATCH(INDEX('6. TIẾN ĐỘ MUA HÀNG'!$G$5:$G$76, MATCH($L29, '6. TIẾN ĐỘ MUA HÀNG'!$J$5:$J$76, 0)), '1. DATA CHUNG'!$D$4:$D$139, 0)), ""))</f>
        <v>CÔNG TY TNHH DEGO HOLDING</v>
      </c>
      <c r="Z29" s="587" t="s">
        <v>1305</v>
      </c>
      <c r="AA29" s="586" t="s">
        <v>57</v>
      </c>
      <c r="AB29" s="586">
        <f>if(len(AA29)=0,"", VLOOKUP($AA$5, '0.Ngân Hàng'!$A:$C, 2, 0)
)</f>
        <v>161816186868</v>
      </c>
      <c r="AC29" s="586" t="str">
        <f>if(len(AA29)=0,"", VLOOKUP($AA$5, '0.Ngân Hàng'!$A:$C, 3, 0)
)</f>
        <v> Ngân hàng TMCP Á Châu (ACB)</v>
      </c>
      <c r="AD29" s="588">
        <f t="array" ref="AD29">IF($L29="", "", IFERROR(INDEX('6. TIẾN ĐỘ MUA HÀNG'!AE:AE, MATCH($L29, '6. TIẾN ĐỘ MUA HÀNG'!J:J, 0)), ""))</f>
        <v>948</v>
      </c>
      <c r="AE29" s="394"/>
      <c r="AF29" s="586" t="str">
        <f t="array" ref="AF29">IF($L29="", "", IFERROR(INDEX('6. TIẾN ĐỘ MUA HÀNG'!AT:AT, MATCH($L29, '6. TIẾN ĐỘ MUA HÀNG'!$J:$J, 0)), ""))</f>
        <v>Công nợ 30 ngày</v>
      </c>
    </row>
    <row r="30" ht="30.0" customHeight="1">
      <c r="A30" s="590">
        <v>26.0</v>
      </c>
      <c r="B30" s="591">
        <v>46151.0</v>
      </c>
      <c r="C30" s="592" t="str">
        <f t="array" ref="C30">IF($L30="", "", IFERROR(INDEX('6. TIẾN ĐỘ MUA HÀNG'!F:F, MATCH($L30, '6. TIẾN ĐỘ MUA HÀNG'!J:J, 0)), ""))</f>
        <v>SX - Ms Ly</v>
      </c>
      <c r="D30" s="592" t="str">
        <f t="array" ref="D30">IF($L30="", "", IFERROR(INDEX('6. TIẾN ĐỘ MUA HÀNG'!G:G, MATCH($L30, '6. TIẾN ĐỘ MUA HÀNG'!J:J, 0)), ""))</f>
        <v>DEGO HOLDING</v>
      </c>
      <c r="E30" s="592" t="s">
        <v>1302</v>
      </c>
      <c r="F30" s="593">
        <f>'6. TIẾN ĐỘ MUA HÀNG'!AB30</f>
        <v>4384800</v>
      </c>
      <c r="G30" s="594">
        <v>46154.0</v>
      </c>
      <c r="H30" s="595" t="str">
        <f t="array" ref="H30">IFERROR( XLOOKUP(L10,'6. TIẾN ĐỘ MUA HÀNG'!J:J,'6. TIẾN ĐỘ MUA HÀNG'!I:I),)</f>
        <v>Đông Tây</v>
      </c>
      <c r="I30" s="596" t="s">
        <v>1304</v>
      </c>
      <c r="J30" s="597" t="s">
        <v>1306</v>
      </c>
      <c r="K30" s="577" t="str">
        <f t="array" ref="K30">IF($L30="", "", IFERROR(INDEX('6. TIẾN ĐỘ MUA HÀNG'!K:K, MATCH($L30, '6. TIẾN ĐỘ MUA HÀNG'!J:J, 0)), ""))</f>
        <v>Thùng</v>
      </c>
      <c r="L30" s="603" t="s">
        <v>614</v>
      </c>
      <c r="M30" s="579">
        <f t="array" ref="M30">IF($L30="", "", IFERROR(INDEX('6. TIẾN ĐỘ MUA HÀNG'!AF:AF, MATCH($L30, '6. TIẾN ĐỘ MUA HÀNG'!J:J, 0)), ""))</f>
        <v>1</v>
      </c>
      <c r="N30" s="566"/>
      <c r="O30" s="598">
        <f t="shared" si="1"/>
        <v>26</v>
      </c>
      <c r="P30" s="576" t="str">
        <f>IFERROR(__xludf.DUMMYFUNCTION("""COMPUTED_VALUE"""),"ĐMH01559")</f>
        <v>ĐMH01559</v>
      </c>
      <c r="Q30" s="600">
        <f>IFERROR(__xludf.DUMMYFUNCTION("""COMPUTED_VALUE"""),1.0)</f>
        <v>1</v>
      </c>
      <c r="R30" s="600" t="str">
        <f>IFERROR(__xludf.DUMMYFUNCTION("""COMPUTED_VALUE"""),"1")</f>
        <v>1</v>
      </c>
      <c r="S30" s="583" t="str">
        <f t="shared" si="2"/>
        <v>Công nợ NCC</v>
      </c>
      <c r="T30" s="584">
        <f t="shared" si="3"/>
        <v>0</v>
      </c>
      <c r="U30" s="584">
        <f t="shared" si="4"/>
        <v>0</v>
      </c>
      <c r="V30" s="584">
        <f t="shared" si="5"/>
        <v>7171416</v>
      </c>
      <c r="W30" s="585">
        <f t="shared" si="6"/>
        <v>0</v>
      </c>
      <c r="X30" s="566"/>
      <c r="Y30" s="586" t="str">
        <f t="array" ref="Y30">IF($L30="", "", IFERROR(INDEX('1. DATA CHUNG'!$E$4:$E$139, MATCH(INDEX('6. TIẾN ĐỘ MUA HÀNG'!$G$5:$G$76, MATCH($L30, '6. TIẾN ĐỘ MUA HÀNG'!$J$5:$J$76, 0)), '1. DATA CHUNG'!$D$4:$D$139, 0)), ""))</f>
        <v>CÔNG TY TNHH DEGO HOLDING</v>
      </c>
      <c r="Z30" s="587" t="s">
        <v>1305</v>
      </c>
      <c r="AA30" s="586" t="s">
        <v>57</v>
      </c>
      <c r="AB30" s="586">
        <f>if(len(AA30)=0,"", VLOOKUP($AA$5, '0.Ngân Hàng'!$A:$C, 2, 0)
)</f>
        <v>161816186868</v>
      </c>
      <c r="AC30" s="586" t="str">
        <f>if(len(AA30)=0,"", VLOOKUP($AA$5, '0.Ngân Hàng'!$A:$C, 3, 0)
)</f>
        <v> Ngân hàng TMCP Á Châu (ACB)</v>
      </c>
      <c r="AD30" s="588">
        <f t="array" ref="AD30">IF($L30="", "", IFERROR(INDEX('6. TIẾN ĐỘ MUA HÀNG'!AE:AE, MATCH($L30, '6. TIẾN ĐỘ MUA HÀNG'!J:J, 0)), ""))</f>
        <v>959</v>
      </c>
      <c r="AE30" s="394"/>
      <c r="AF30" s="586" t="str">
        <f t="array" ref="AF30">IF($L30="", "", IFERROR(INDEX('6. TIẾN ĐỘ MUA HÀNG'!AT:AT, MATCH($L30, '6. TIẾN ĐỘ MUA HÀNG'!$J:$J, 0)), ""))</f>
        <v>Công nợ 30 ngày</v>
      </c>
    </row>
    <row r="31" ht="30.0" customHeight="1">
      <c r="A31" s="580">
        <v>27.0</v>
      </c>
      <c r="B31" s="570">
        <v>46151.0</v>
      </c>
      <c r="C31" s="571" t="str">
        <f t="array" ref="C31">IF($L31="", "", IFERROR(INDEX('6. TIẾN ĐỘ MUA HÀNG'!F:F, MATCH($L31, '6. TIẾN ĐỘ MUA HÀNG'!J:J, 0)), ""))</f>
        <v>SX - Ms Ly</v>
      </c>
      <c r="D31" s="571" t="str">
        <f t="array" ref="D31">IF($L31="", "", IFERROR(INDEX('6. TIẾN ĐỘ MUA HÀNG'!G:G, MATCH($L31, '6. TIẾN ĐỘ MUA HÀNG'!J:J, 0)), ""))</f>
        <v>DEGO HOLDING</v>
      </c>
      <c r="E31" s="571" t="s">
        <v>1302</v>
      </c>
      <c r="F31" s="572">
        <f>'6. TIẾN ĐỘ MUA HÀNG'!AB31</f>
        <v>7198200</v>
      </c>
      <c r="G31" s="573">
        <v>46154.0</v>
      </c>
      <c r="H31" s="574" t="str">
        <f t="array" ref="H31">IFERROR( XLOOKUP(L11,'6. TIẾN ĐỘ MUA HÀNG'!J:J,'6. TIẾN ĐỘ MUA HÀNG'!I:I),)</f>
        <v>Đông Tây</v>
      </c>
      <c r="I31" s="575" t="s">
        <v>1304</v>
      </c>
      <c r="J31" s="597" t="s">
        <v>1306</v>
      </c>
      <c r="K31" s="577" t="str">
        <f t="array" ref="K31">IF($L31="", "", IFERROR(INDEX('6. TIẾN ĐỘ MUA HÀNG'!K:K, MATCH($L31, '6. TIẾN ĐỘ MUA HÀNG'!J:J, 0)), ""))</f>
        <v>Thùng</v>
      </c>
      <c r="L31" s="603" t="s">
        <v>615</v>
      </c>
      <c r="M31" s="579">
        <f t="array" ref="M31">IF($L31="", "", IFERROR(INDEX('6. TIẾN ĐỘ MUA HÀNG'!AF:AF, MATCH($L31, '6. TIẾN ĐỘ MUA HÀNG'!J:J, 0)), ""))</f>
        <v>1</v>
      </c>
      <c r="N31" s="566"/>
      <c r="O31" s="601">
        <f t="shared" si="1"/>
        <v>27</v>
      </c>
      <c r="P31" s="576" t="str">
        <f>IFERROR(__xludf.DUMMYFUNCTION("""COMPUTED_VALUE"""),"ĐMH01565")</f>
        <v>ĐMH01565</v>
      </c>
      <c r="Q31" s="600">
        <f>IFERROR(__xludf.DUMMYFUNCTION("""COMPUTED_VALUE"""),1.0)</f>
        <v>1</v>
      </c>
      <c r="R31" s="600" t="str">
        <f>IFERROR(__xludf.DUMMYFUNCTION("""COMPUTED_VALUE"""),"1")</f>
        <v>1</v>
      </c>
      <c r="S31" s="583" t="str">
        <f t="shared" si="2"/>
        <v>Công nợ NCC</v>
      </c>
      <c r="T31" s="584">
        <f t="shared" si="3"/>
        <v>0</v>
      </c>
      <c r="U31" s="584">
        <f t="shared" si="4"/>
        <v>0</v>
      </c>
      <c r="V31" s="584">
        <f t="shared" si="5"/>
        <v>6595560</v>
      </c>
      <c r="W31" s="585">
        <f t="shared" si="6"/>
        <v>0</v>
      </c>
      <c r="X31" s="566"/>
      <c r="Y31" s="586" t="str">
        <f t="array" ref="Y31">IF($L31="", "", IFERROR(INDEX('1. DATA CHUNG'!$E$4:$E$139, MATCH(INDEX('6. TIẾN ĐỘ MUA HÀNG'!$G$5:$G$76, MATCH($L31, '6. TIẾN ĐỘ MUA HÀNG'!$J$5:$J$76, 0)), '1. DATA CHUNG'!$D$4:$D$139, 0)), ""))</f>
        <v>CÔNG TY TNHH DEGO HOLDING</v>
      </c>
      <c r="Z31" s="587" t="s">
        <v>1305</v>
      </c>
      <c r="AA31" s="586" t="s">
        <v>57</v>
      </c>
      <c r="AB31" s="586">
        <f>if(len(AA31)=0,"", VLOOKUP($AA$5, '0.Ngân Hàng'!$A:$C, 2, 0)
)</f>
        <v>161816186868</v>
      </c>
      <c r="AC31" s="586" t="str">
        <f>if(len(AA31)=0,"", VLOOKUP($AA$5, '0.Ngân Hàng'!$A:$C, 3, 0)
)</f>
        <v> Ngân hàng TMCP Á Châu (ACB)</v>
      </c>
      <c r="AD31" s="588">
        <f t="array" ref="AD31">IF($L31="", "", IFERROR(INDEX('6. TIẾN ĐỘ MUA HÀNG'!AE:AE, MATCH($L31, '6. TIẾN ĐỘ MUA HÀNG'!J:J, 0)), ""))</f>
        <v>887</v>
      </c>
      <c r="AE31" s="394"/>
      <c r="AF31" s="586" t="str">
        <f t="array" ref="AF31">IF($L31="", "", IFERROR(INDEX('6. TIẾN ĐỘ MUA HÀNG'!AT:AT, MATCH($L31, '6. TIẾN ĐỘ MUA HÀNG'!$J:$J, 0)), ""))</f>
        <v>Công nợ 30 ngày</v>
      </c>
    </row>
    <row r="32" ht="30.0" customHeight="1">
      <c r="A32" s="590">
        <v>28.0</v>
      </c>
      <c r="B32" s="591">
        <v>46151.0</v>
      </c>
      <c r="C32" s="592" t="str">
        <f t="array" ref="C32">IF($L32="", "", IFERROR(INDEX('6. TIẾN ĐỘ MUA HÀNG'!F:F, MATCH($L32, '6. TIẾN ĐỘ MUA HÀNG'!J:J, 0)), ""))</f>
        <v>SX - Ms Ly</v>
      </c>
      <c r="D32" s="592" t="str">
        <f t="array" ref="D32">IF($L32="", "", IFERROR(INDEX('6. TIẾN ĐỘ MUA HÀNG'!G:G, MATCH($L32, '6. TIẾN ĐỘ MUA HÀNG'!J:J, 0)), ""))</f>
        <v>DEGO HOLDING</v>
      </c>
      <c r="E32" s="592" t="s">
        <v>1302</v>
      </c>
      <c r="F32" s="593">
        <f>'6. TIẾN ĐỘ MUA HÀNG'!AB32</f>
        <v>7389360</v>
      </c>
      <c r="G32" s="594">
        <v>46154.0</v>
      </c>
      <c r="H32" s="595" t="str">
        <f t="array" ref="H32">IFERROR( XLOOKUP(L12,'6. TIẾN ĐỘ MUA HÀNG'!J:J,'6. TIẾN ĐỘ MUA HÀNG'!I:I),)</f>
        <v>Đông Tây</v>
      </c>
      <c r="I32" s="596" t="s">
        <v>1304</v>
      </c>
      <c r="J32" s="597" t="s">
        <v>1306</v>
      </c>
      <c r="K32" s="577" t="str">
        <f t="array" ref="K32">IF($L32="", "", IFERROR(INDEX('6. TIẾN ĐỘ MUA HÀNG'!K:K, MATCH($L32, '6. TIẾN ĐỘ MUA HÀNG'!J:J, 0)), ""))</f>
        <v>Thùng</v>
      </c>
      <c r="L32" s="603" t="s">
        <v>617</v>
      </c>
      <c r="M32" s="579">
        <f t="array" ref="M32">IF($L32="", "", IFERROR(INDEX('6. TIẾN ĐỘ MUA HÀNG'!AF:AF, MATCH($L32, '6. TIẾN ĐỘ MUA HÀNG'!J:J, 0)), ""))</f>
        <v>1</v>
      </c>
      <c r="N32" s="566"/>
      <c r="O32" s="598">
        <f t="shared" si="1"/>
        <v>28</v>
      </c>
      <c r="P32" s="576" t="str">
        <f>IFERROR(__xludf.DUMMYFUNCTION("""COMPUTED_VALUE"""),"ĐMH01566")</f>
        <v>ĐMH01566</v>
      </c>
      <c r="Q32" s="600">
        <f>IFERROR(__xludf.DUMMYFUNCTION("""COMPUTED_VALUE"""),1.0)</f>
        <v>1</v>
      </c>
      <c r="R32" s="600" t="str">
        <f>IFERROR(__xludf.DUMMYFUNCTION("""COMPUTED_VALUE"""),"1")</f>
        <v>1</v>
      </c>
      <c r="S32" s="583" t="str">
        <f t="shared" si="2"/>
        <v>Công nợ NCC</v>
      </c>
      <c r="T32" s="584">
        <f t="shared" si="3"/>
        <v>0</v>
      </c>
      <c r="U32" s="584">
        <f t="shared" si="4"/>
        <v>0</v>
      </c>
      <c r="V32" s="584">
        <f t="shared" si="5"/>
        <v>5253120</v>
      </c>
      <c r="W32" s="585">
        <f t="shared" si="6"/>
        <v>0</v>
      </c>
      <c r="X32" s="566"/>
      <c r="Y32" s="586" t="str">
        <f t="array" ref="Y32">IF($L32="", "", IFERROR(INDEX('1. DATA CHUNG'!$E$4:$E$139, MATCH(INDEX('6. TIẾN ĐỘ MUA HÀNG'!$G$5:$G$76, MATCH($L32, '6. TIẾN ĐỘ MUA HÀNG'!$J$5:$J$76, 0)), '1. DATA CHUNG'!$D$4:$D$139, 0)), ""))</f>
        <v>CÔNG TY TNHH DEGO HOLDING</v>
      </c>
      <c r="Z32" s="587" t="s">
        <v>1305</v>
      </c>
      <c r="AA32" s="586" t="s">
        <v>57</v>
      </c>
      <c r="AB32" s="586">
        <f>if(len(AA32)=0,"", VLOOKUP($AA$5, '0.Ngân Hàng'!$A:$C, 2, 0)
)</f>
        <v>161816186868</v>
      </c>
      <c r="AC32" s="586" t="str">
        <f>if(len(AA32)=0,"", VLOOKUP($AA$5, '0.Ngân Hàng'!$A:$C, 3, 0)
)</f>
        <v> Ngân hàng TMCP Á Châu (ACB)</v>
      </c>
      <c r="AD32" s="588">
        <f t="array" ref="AD32">IF($L32="", "", IFERROR(INDEX('6. TIẾN ĐỘ MUA HÀNG'!AE:AE, MATCH($L32, '6. TIẾN ĐỘ MUA HÀNG'!J:J, 0)), ""))</f>
        <v>881</v>
      </c>
      <c r="AE32" s="394"/>
      <c r="AF32" s="586" t="str">
        <f t="array" ref="AF32">IF($L32="", "", IFERROR(INDEX('6. TIẾN ĐỘ MUA HÀNG'!AT:AT, MATCH($L32, '6. TIẾN ĐỘ MUA HÀNG'!$J:$J, 0)), ""))</f>
        <v>Công nợ 30 ngày</v>
      </c>
    </row>
    <row r="33" ht="30.0" customHeight="1">
      <c r="A33" s="580">
        <v>29.0</v>
      </c>
      <c r="B33" s="570">
        <v>46151.0</v>
      </c>
      <c r="C33" s="571" t="str">
        <f t="array" ref="C33">IF($L33="", "", IFERROR(INDEX('6. TIẾN ĐỘ MUA HÀNG'!F:F, MATCH($L33, '6. TIẾN ĐỘ MUA HÀNG'!J:J, 0)), ""))</f>
        <v>SX - Ms Ly</v>
      </c>
      <c r="D33" s="571" t="str">
        <f t="array" ref="D33">IF($L33="", "", IFERROR(INDEX('6. TIẾN ĐỘ MUA HÀNG'!G:G, MATCH($L33, '6. TIẾN ĐỘ MUA HÀNG'!J:J, 0)), ""))</f>
        <v>DEGO HOLDING</v>
      </c>
      <c r="E33" s="571" t="s">
        <v>1302</v>
      </c>
      <c r="F33" s="572">
        <f>'6. TIẾN ĐỘ MUA HÀNG'!AB33</f>
        <v>5022000</v>
      </c>
      <c r="G33" s="573">
        <v>46154.0</v>
      </c>
      <c r="H33" s="574" t="str">
        <f t="array" ref="H33">IFERROR( XLOOKUP(L13,'6. TIẾN ĐỘ MUA HÀNG'!J:J,'6. TIẾN ĐỘ MUA HÀNG'!I:I),)</f>
        <v>Đông Tây</v>
      </c>
      <c r="I33" s="575" t="s">
        <v>1304</v>
      </c>
      <c r="J33" s="597" t="s">
        <v>1306</v>
      </c>
      <c r="K33" s="577" t="str">
        <f t="array" ref="K33">IF($L33="", "", IFERROR(INDEX('6. TIẾN ĐỘ MUA HÀNG'!K:K, MATCH($L33, '6. TIẾN ĐỘ MUA HÀNG'!J:J, 0)), ""))</f>
        <v>Thùng</v>
      </c>
      <c r="L33" s="603" t="s">
        <v>617</v>
      </c>
      <c r="M33" s="579">
        <f t="array" ref="M33">IF($L33="", "", IFERROR(INDEX('6. TIẾN ĐỘ MUA HÀNG'!AF:AF, MATCH($L33, '6. TIẾN ĐỘ MUA HÀNG'!J:J, 0)), ""))</f>
        <v>1</v>
      </c>
      <c r="N33" s="566"/>
      <c r="O33" s="601">
        <f t="shared" si="1"/>
        <v>29</v>
      </c>
      <c r="P33" s="576" t="str">
        <f>IFERROR(__xludf.DUMMYFUNCTION("""COMPUTED_VALUE"""),"ĐMH01607")</f>
        <v>ĐMH01607</v>
      </c>
      <c r="Q33" s="600">
        <f>IFERROR(__xludf.DUMMYFUNCTION("""COMPUTED_VALUE"""),1.0)</f>
        <v>1</v>
      </c>
      <c r="R33" s="600" t="str">
        <f>IFERROR(__xludf.DUMMYFUNCTION("""COMPUTED_VALUE"""),"1")</f>
        <v>1</v>
      </c>
      <c r="S33" s="583" t="str">
        <f t="shared" si="2"/>
        <v>Công nợ NCC</v>
      </c>
      <c r="T33" s="584">
        <f t="shared" si="3"/>
        <v>0</v>
      </c>
      <c r="U33" s="584">
        <f t="shared" si="4"/>
        <v>0</v>
      </c>
      <c r="V33" s="584">
        <f t="shared" si="5"/>
        <v>6656256</v>
      </c>
      <c r="W33" s="585">
        <f t="shared" si="6"/>
        <v>0</v>
      </c>
      <c r="X33" s="566"/>
      <c r="Y33" s="586" t="str">
        <f t="array" ref="Y33">IF($L33="", "", IFERROR(INDEX('1. DATA CHUNG'!$E$4:$E$139, MATCH(INDEX('6. TIẾN ĐỘ MUA HÀNG'!$G$5:$G$76, MATCH($L33, '6. TIẾN ĐỘ MUA HÀNG'!$J$5:$J$76, 0)), '1. DATA CHUNG'!$D$4:$D$139, 0)), ""))</f>
        <v>CÔNG TY TNHH DEGO HOLDING</v>
      </c>
      <c r="Z33" s="587" t="s">
        <v>1305</v>
      </c>
      <c r="AA33" s="586" t="s">
        <v>57</v>
      </c>
      <c r="AB33" s="586">
        <f>if(len(AA33)=0,"", VLOOKUP($AA$5, '0.Ngân Hàng'!$A:$C, 2, 0)
)</f>
        <v>161816186868</v>
      </c>
      <c r="AC33" s="586" t="str">
        <f>if(len(AA33)=0,"", VLOOKUP($AA$5, '0.Ngân Hàng'!$A:$C, 3, 0)
)</f>
        <v> Ngân hàng TMCP Á Châu (ACB)</v>
      </c>
      <c r="AD33" s="588">
        <f t="array" ref="AD33">IF($L33="", "", IFERROR(INDEX('6. TIẾN ĐỘ MUA HÀNG'!AE:AE, MATCH($L33, '6. TIẾN ĐỘ MUA HÀNG'!J:J, 0)), ""))</f>
        <v>881</v>
      </c>
      <c r="AE33" s="394"/>
      <c r="AF33" s="586" t="str">
        <f t="array" ref="AF33">IF($L33="", "", IFERROR(INDEX('6. TIẾN ĐỘ MUA HÀNG'!AT:AT, MATCH($L33, '6. TIẾN ĐỘ MUA HÀNG'!$J:$J, 0)), ""))</f>
        <v>Công nợ 30 ngày</v>
      </c>
    </row>
    <row r="34" ht="30.0" customHeight="1">
      <c r="A34" s="590">
        <v>30.0</v>
      </c>
      <c r="B34" s="591">
        <v>46151.0</v>
      </c>
      <c r="C34" s="592" t="str">
        <f t="array" ref="C34">IF($L34="", "", IFERROR(INDEX('6. TIẾN ĐỘ MUA HÀNG'!F:F, MATCH($L34, '6. TIẾN ĐỘ MUA HÀNG'!J:J, 0)), ""))</f>
        <v>SX - Ms Ly</v>
      </c>
      <c r="D34" s="592" t="str">
        <f t="array" ref="D34">IF($L34="", "", IFERROR(INDEX('6. TIẾN ĐỘ MUA HÀNG'!G:G, MATCH($L34, '6. TIẾN ĐỘ MUA HÀNG'!J:J, 0)), ""))</f>
        <v>IDA</v>
      </c>
      <c r="E34" s="592" t="s">
        <v>1302</v>
      </c>
      <c r="F34" s="593">
        <f>'6. TIẾN ĐỘ MUA HÀNG'!AB34</f>
        <v>6408072</v>
      </c>
      <c r="G34" s="594">
        <v>46154.0</v>
      </c>
      <c r="H34" s="595" t="str">
        <f t="array" ref="H34">IFERROR( XLOOKUP(L14,'6. TIẾN ĐỘ MUA HÀNG'!J:J,'6. TIẾN ĐỘ MUA HÀNG'!I:I),)</f>
        <v>Đông Tây</v>
      </c>
      <c r="I34" s="596" t="s">
        <v>1304</v>
      </c>
      <c r="J34" s="597" t="s">
        <v>1306</v>
      </c>
      <c r="K34" s="577" t="str">
        <f t="array" ref="K34">IF($L34="", "", IFERROR(INDEX('6. TIẾN ĐỘ MUA HÀNG'!K:K, MATCH($L34, '6. TIẾN ĐỘ MUA HÀNG'!J:J, 0)), ""))</f>
        <v>Thùng</v>
      </c>
      <c r="L34" s="603" t="s">
        <v>620</v>
      </c>
      <c r="M34" s="579">
        <f t="array" ref="M34">IF($L34="", "", IFERROR(INDEX('6. TIẾN ĐỘ MUA HÀNG'!AF:AF, MATCH($L34, '6. TIẾN ĐỘ MUA HÀNG'!J:J, 0)), ""))</f>
        <v>1</v>
      </c>
      <c r="N34" s="77"/>
      <c r="O34" s="598">
        <f t="shared" si="1"/>
        <v>30</v>
      </c>
      <c r="P34" s="576" t="str">
        <f>IFERROR(__xludf.DUMMYFUNCTION("""COMPUTED_VALUE"""),"ĐMH01608")</f>
        <v>ĐMH01608</v>
      </c>
      <c r="Q34" s="600">
        <f>IFERROR(__xludf.DUMMYFUNCTION("""COMPUTED_VALUE"""),1.0)</f>
        <v>1</v>
      </c>
      <c r="R34" s="600" t="str">
        <f>IFERROR(__xludf.DUMMYFUNCTION("""COMPUTED_VALUE"""),"1")</f>
        <v>1</v>
      </c>
      <c r="S34" s="583" t="str">
        <f t="shared" si="2"/>
        <v>Công nợ NCC</v>
      </c>
      <c r="T34" s="584">
        <f t="shared" si="3"/>
        <v>0</v>
      </c>
      <c r="U34" s="584">
        <f t="shared" si="4"/>
        <v>0</v>
      </c>
      <c r="V34" s="584">
        <f t="shared" si="5"/>
        <v>5699376</v>
      </c>
      <c r="W34" s="585">
        <f t="shared" si="6"/>
        <v>0</v>
      </c>
      <c r="X34" s="77"/>
      <c r="Y34" s="586" t="str">
        <f t="array" ref="Y34">IF($L34="", "", IFERROR(INDEX('1. DATA CHUNG'!$E$4:$E$139, MATCH(INDEX('6. TIẾN ĐỘ MUA HÀNG'!$G$5:$G$76, MATCH($L34, '6. TIẾN ĐỘ MUA HÀNG'!$J$5:$J$76, 0)), '1. DATA CHUNG'!$D$4:$D$139, 0)), ""))</f>
        <v>CÔNG TY TNHH XUẤT NHẬP KHẨU IDA GLOBAL</v>
      </c>
      <c r="Z34" s="587" t="s">
        <v>1305</v>
      </c>
      <c r="AA34" s="586" t="s">
        <v>57</v>
      </c>
      <c r="AB34" s="586">
        <f>if(len(AA34)=0,"", VLOOKUP($AA$5, '0.Ngân Hàng'!$A:$C, 2, 0)
)</f>
        <v>161816186868</v>
      </c>
      <c r="AC34" s="586" t="str">
        <f>if(len(AA34)=0,"", VLOOKUP($AA$5, '0.Ngân Hàng'!$A:$C, 3, 0)
)</f>
        <v> Ngân hàng TMCP Á Châu (ACB)</v>
      </c>
      <c r="AD34" s="588">
        <f t="array" ref="AD34">IF($L34="", "", IFERROR(INDEX('6. TIẾN ĐỘ MUA HÀNG'!AE:AE, MATCH($L34, '6. TIẾN ĐỘ MUA HÀNG'!J:J, 0)), ""))</f>
        <v>1020</v>
      </c>
      <c r="AE34" s="394"/>
      <c r="AF34" s="586" t="str">
        <f t="array" ref="AF34">IF($L34="", "", IFERROR(INDEX('6. TIẾN ĐỘ MUA HÀNG'!AT:AT, MATCH($L34, '6. TIẾN ĐỘ MUA HÀNG'!$J:$J, 0)), ""))</f>
        <v>Công nợ 30 ngày</v>
      </c>
    </row>
    <row r="35" ht="30.0" customHeight="1">
      <c r="A35" s="580">
        <v>31.0</v>
      </c>
      <c r="B35" s="570">
        <v>46151.0</v>
      </c>
      <c r="C35" s="571" t="str">
        <f t="array" ref="C35">IF($L35="", "", IFERROR(INDEX('6. TIẾN ĐỘ MUA HÀNG'!F:F, MATCH($L35, '6. TIẾN ĐỘ MUA HÀNG'!J:J, 0)), ""))</f>
        <v>SX - Ms Ly</v>
      </c>
      <c r="D35" s="571" t="str">
        <f t="array" ref="D35">IF($L35="", "", IFERROR(INDEX('6. TIẾN ĐỘ MUA HÀNG'!G:G, MATCH($L35, '6. TIẾN ĐỘ MUA HÀNG'!J:J, 0)), ""))</f>
        <v>IDA</v>
      </c>
      <c r="E35" s="571" t="s">
        <v>1302</v>
      </c>
      <c r="F35" s="572">
        <f>'6. TIẾN ĐỘ MUA HÀNG'!AB35</f>
        <v>6179976</v>
      </c>
      <c r="G35" s="573">
        <v>46154.0</v>
      </c>
      <c r="H35" s="574" t="str">
        <f t="array" ref="H35">IFERROR( XLOOKUP(L15,'6. TIẾN ĐỘ MUA HÀNG'!J:J,'6. TIẾN ĐỘ MUA HÀNG'!I:I),)</f>
        <v>Đông Tây</v>
      </c>
      <c r="I35" s="575" t="s">
        <v>1304</v>
      </c>
      <c r="J35" s="597" t="s">
        <v>1306</v>
      </c>
      <c r="K35" s="577" t="str">
        <f t="array" ref="K35">IF($L35="", "", IFERROR(INDEX('6. TIẾN ĐỘ MUA HÀNG'!K:K, MATCH($L35, '6. TIẾN ĐỘ MUA HÀNG'!J:J, 0)), ""))</f>
        <v>Thùng</v>
      </c>
      <c r="L35" s="603" t="s">
        <v>624</v>
      </c>
      <c r="M35" s="579">
        <f t="array" ref="M35">IF($L35="", "", IFERROR(INDEX('6. TIẾN ĐỘ MUA HÀNG'!AF:AF, MATCH($L35, '6. TIẾN ĐỘ MUA HÀNG'!J:J, 0)), ""))</f>
        <v>1</v>
      </c>
      <c r="N35" s="77"/>
      <c r="O35" s="601">
        <f t="shared" si="1"/>
        <v>31</v>
      </c>
      <c r="P35" s="576" t="str">
        <f>IFERROR(__xludf.DUMMYFUNCTION("""COMPUTED_VALUE"""),"ĐMH01611")</f>
        <v>ĐMH01611</v>
      </c>
      <c r="Q35" s="600">
        <f>IFERROR(__xludf.DUMMYFUNCTION("""COMPUTED_VALUE"""),1.0)</f>
        <v>1</v>
      </c>
      <c r="R35" s="600" t="str">
        <f>IFERROR(__xludf.DUMMYFUNCTION("""COMPUTED_VALUE"""),"1")</f>
        <v>1</v>
      </c>
      <c r="S35" s="583" t="str">
        <f t="shared" si="2"/>
        <v>Công nợ NCC</v>
      </c>
      <c r="T35" s="584">
        <f t="shared" si="3"/>
        <v>0</v>
      </c>
      <c r="U35" s="584">
        <f t="shared" si="4"/>
        <v>0</v>
      </c>
      <c r="V35" s="584">
        <f t="shared" si="5"/>
        <v>2727216</v>
      </c>
      <c r="W35" s="585">
        <f t="shared" si="6"/>
        <v>0</v>
      </c>
      <c r="X35" s="77"/>
      <c r="Y35" s="586" t="str">
        <f t="array" ref="Y35">IF($L35="", "", IFERROR(INDEX('1. DATA CHUNG'!$E$4:$E$139, MATCH(INDEX('6. TIẾN ĐỘ MUA HÀNG'!$G$5:$G$76, MATCH($L35, '6. TIẾN ĐỘ MUA HÀNG'!$J$5:$J$76, 0)), '1. DATA CHUNG'!$D$4:$D$139, 0)), ""))</f>
        <v>CÔNG TY TNHH XUẤT NHẬP KHẨU IDA GLOBAL</v>
      </c>
      <c r="Z35" s="587" t="s">
        <v>1305</v>
      </c>
      <c r="AA35" s="586" t="s">
        <v>57</v>
      </c>
      <c r="AB35" s="586">
        <f>if(len(AA35)=0,"", VLOOKUP($AA$5, '0.Ngân Hàng'!$A:$C, 2, 0)
)</f>
        <v>161816186868</v>
      </c>
      <c r="AC35" s="586" t="str">
        <f>if(len(AA35)=0,"", VLOOKUP($AA$5, '0.Ngân Hàng'!$A:$C, 3, 0)
)</f>
        <v> Ngân hàng TMCP Á Châu (ACB)</v>
      </c>
      <c r="AD35" s="588">
        <f t="array" ref="AD35">IF($L35="", "", IFERROR(INDEX('6. TIẾN ĐỘ MUA HÀNG'!AE:AE, MATCH($L35, '6. TIẾN ĐỘ MUA HÀNG'!J:J, 0)), ""))</f>
        <v>961</v>
      </c>
      <c r="AE35" s="394"/>
      <c r="AF35" s="586" t="str">
        <f t="array" ref="AF35">IF($L35="", "", IFERROR(INDEX('6. TIẾN ĐỘ MUA HÀNG'!AT:AT, MATCH($L35, '6. TIẾN ĐỘ MUA HÀNG'!$J:$J, 0)), ""))</f>
        <v>Công nợ 30 ngày</v>
      </c>
    </row>
    <row r="36" ht="30.0" customHeight="1">
      <c r="A36" s="590">
        <v>32.0</v>
      </c>
      <c r="B36" s="591">
        <v>46151.0</v>
      </c>
      <c r="C36" s="592" t="str">
        <f t="array" ref="C36">IF($L36="", "", IFERROR(INDEX('6. TIẾN ĐỘ MUA HÀNG'!F:F, MATCH($L36, '6. TIẾN ĐỘ MUA HÀNG'!J:J, 0)), ""))</f>
        <v>SX - Ms Ly</v>
      </c>
      <c r="D36" s="592" t="str">
        <f t="array" ref="D36">IF($L36="", "", IFERROR(INDEX('6. TIẾN ĐỘ MUA HÀNG'!G:G, MATCH($L36, '6. TIẾN ĐỘ MUA HÀNG'!J:J, 0)), ""))</f>
        <v>DEGO HOLDING</v>
      </c>
      <c r="E36" s="592" t="s">
        <v>1302</v>
      </c>
      <c r="F36" s="593">
        <f>'6. TIẾN ĐỘ MUA HÀNG'!AB36</f>
        <v>3016440</v>
      </c>
      <c r="G36" s="594">
        <v>46154.0</v>
      </c>
      <c r="H36" s="595" t="str">
        <f t="array" ref="H36">IFERROR( XLOOKUP(L16,'6. TIẾN ĐỘ MUA HÀNG'!J:J,'6. TIẾN ĐỘ MUA HÀNG'!I:I),)</f>
        <v>Đông Tây</v>
      </c>
      <c r="I36" s="596" t="s">
        <v>1304</v>
      </c>
      <c r="J36" s="597" t="s">
        <v>1306</v>
      </c>
      <c r="K36" s="577" t="str">
        <f t="array" ref="K36">IF($L36="", "", IFERROR(INDEX('6. TIẾN ĐỘ MUA HÀNG'!K:K, MATCH($L36, '6. TIẾN ĐỘ MUA HÀNG'!J:J, 0)), ""))</f>
        <v>Thùng</v>
      </c>
      <c r="L36" s="603" t="s">
        <v>626</v>
      </c>
      <c r="M36" s="579">
        <f t="array" ref="M36">IF($L36="", "", IFERROR(INDEX('6. TIẾN ĐỘ MUA HÀNG'!AF:AF, MATCH($L36, '6. TIẾN ĐỘ MUA HÀNG'!J:J, 0)), ""))</f>
        <v>1</v>
      </c>
      <c r="N36" s="77"/>
      <c r="O36" s="598">
        <f t="shared" si="1"/>
        <v>32</v>
      </c>
      <c r="P36" s="576" t="str">
        <f>IFERROR(__xludf.DUMMYFUNCTION("""COMPUTED_VALUE"""),"ĐMH01614")</f>
        <v>ĐMH01614</v>
      </c>
      <c r="Q36" s="600">
        <f>IFERROR(__xludf.DUMMYFUNCTION("""COMPUTED_VALUE"""),1.0)</f>
        <v>1</v>
      </c>
      <c r="R36" s="600" t="str">
        <f>IFERROR(__xludf.DUMMYFUNCTION("""COMPUTED_VALUE"""),"1")</f>
        <v>1</v>
      </c>
      <c r="S36" s="583" t="str">
        <f t="shared" si="2"/>
        <v>Công nợ NCC</v>
      </c>
      <c r="T36" s="584">
        <f t="shared" si="3"/>
        <v>0</v>
      </c>
      <c r="U36" s="584">
        <f t="shared" si="4"/>
        <v>0</v>
      </c>
      <c r="V36" s="584">
        <f t="shared" si="5"/>
        <v>7241724</v>
      </c>
      <c r="W36" s="585">
        <f t="shared" si="6"/>
        <v>0</v>
      </c>
      <c r="X36" s="77"/>
      <c r="Y36" s="586" t="str">
        <f t="array" ref="Y36">IF($L36="", "", IFERROR(INDEX('1. DATA CHUNG'!$E$4:$E$139, MATCH(INDEX('6. TIẾN ĐỘ MUA HÀNG'!$G$5:$G$76, MATCH($L36, '6. TIẾN ĐỘ MUA HÀNG'!$J$5:$J$76, 0)), '1. DATA CHUNG'!$D$4:$D$139, 0)), ""))</f>
        <v>CÔNG TY TNHH DEGO HOLDING</v>
      </c>
      <c r="Z36" s="587" t="s">
        <v>1305</v>
      </c>
      <c r="AA36" s="586" t="s">
        <v>57</v>
      </c>
      <c r="AB36" s="586">
        <f>if(len(AA36)=0,"", VLOOKUP($AA$5, '0.Ngân Hàng'!$A:$C, 2, 0)
)</f>
        <v>161816186868</v>
      </c>
      <c r="AC36" s="586" t="str">
        <f>if(len(AA36)=0,"", VLOOKUP($AA$5, '0.Ngân Hàng'!$A:$C, 3, 0)
)</f>
        <v> Ngân hàng TMCP Á Châu (ACB)</v>
      </c>
      <c r="AD36" s="588">
        <f t="array" ref="AD36">IF($L36="", "", IFERROR(INDEX('6. TIẾN ĐỘ MUA HÀNG'!AE:AE, MATCH($L36, '6. TIẾN ĐỘ MUA HÀNG'!J:J, 0)), ""))</f>
        <v>158</v>
      </c>
      <c r="AE36" s="394"/>
      <c r="AF36" s="586" t="str">
        <f t="array" ref="AF36">IF($L36="", "", IFERROR(INDEX('6. TIẾN ĐỘ MUA HÀNG'!AT:AT, MATCH($L36, '6. TIẾN ĐỘ MUA HÀNG'!$J:$J, 0)), ""))</f>
        <v>Thanh toán 100% khi nhận hàng</v>
      </c>
    </row>
    <row r="37" ht="30.0" customHeight="1">
      <c r="A37" s="580">
        <v>33.0</v>
      </c>
      <c r="B37" s="570">
        <v>46151.0</v>
      </c>
      <c r="C37" s="571" t="str">
        <f t="array" ref="C37">IF($L37="", "", IFERROR(INDEX('6. TIẾN ĐỘ MUA HÀNG'!F:F, MATCH($L37, '6. TIẾN ĐỘ MUA HÀNG'!J:J, 0)), ""))</f>
        <v>SX - Ms Ly</v>
      </c>
      <c r="D37" s="571" t="str">
        <f t="array" ref="D37">IF($L37="", "", IFERROR(INDEX('6. TIẾN ĐỘ MUA HÀNG'!G:G, MATCH($L37, '6. TIẾN ĐỘ MUA HÀNG'!J:J, 0)), ""))</f>
        <v>DEGO HOLDING</v>
      </c>
      <c r="E37" s="571" t="s">
        <v>1302</v>
      </c>
      <c r="F37" s="572">
        <f>'6. TIẾN ĐỘ MUA HÀNG'!AB37</f>
        <v>3078000</v>
      </c>
      <c r="G37" s="573">
        <v>46154.0</v>
      </c>
      <c r="H37" s="574" t="str">
        <f t="array" ref="H37">IFERROR( XLOOKUP(L17,'6. TIẾN ĐỘ MUA HÀNG'!J:J,'6. TIẾN ĐỘ MUA HÀNG'!I:I),)</f>
        <v>Đông Tây</v>
      </c>
      <c r="I37" s="575" t="s">
        <v>1304</v>
      </c>
      <c r="J37" s="597" t="s">
        <v>1306</v>
      </c>
      <c r="K37" s="577" t="str">
        <f t="array" ref="K37">IF($L37="", "", IFERROR(INDEX('6. TIẾN ĐỘ MUA HÀNG'!K:K, MATCH($L37, '6. TIẾN ĐỘ MUA HÀNG'!J:J, 0)), ""))</f>
        <v>Thùng</v>
      </c>
      <c r="L37" s="603" t="s">
        <v>626</v>
      </c>
      <c r="M37" s="579">
        <f t="array" ref="M37">IF($L37="", "", IFERROR(INDEX('6. TIẾN ĐỘ MUA HÀNG'!AF:AF, MATCH($L37, '6. TIẾN ĐỘ MUA HÀNG'!J:J, 0)), ""))</f>
        <v>1</v>
      </c>
      <c r="N37" s="77"/>
      <c r="O37" s="601">
        <f t="shared" si="1"/>
        <v>33</v>
      </c>
      <c r="P37" s="576" t="str">
        <f>IFERROR(__xludf.DUMMYFUNCTION("""COMPUTED_VALUE"""),"ĐMH01617")</f>
        <v>ĐMH01617</v>
      </c>
      <c r="Q37" s="600">
        <f>IFERROR(__xludf.DUMMYFUNCTION("""COMPUTED_VALUE"""),1.0)</f>
        <v>1</v>
      </c>
      <c r="R37" s="600" t="str">
        <f>IFERROR(__xludf.DUMMYFUNCTION("""COMPUTED_VALUE"""),"1")</f>
        <v>1</v>
      </c>
      <c r="S37" s="583" t="str">
        <f t="shared" si="2"/>
        <v>Công nợ NCC</v>
      </c>
      <c r="T37" s="584">
        <f t="shared" si="3"/>
        <v>0</v>
      </c>
      <c r="U37" s="584">
        <f t="shared" si="4"/>
        <v>0</v>
      </c>
      <c r="V37" s="584">
        <f t="shared" si="5"/>
        <v>2673000</v>
      </c>
      <c r="W37" s="585">
        <f t="shared" si="6"/>
        <v>0</v>
      </c>
      <c r="X37" s="77"/>
      <c r="Y37" s="586" t="str">
        <f t="array" ref="Y37">IF($L37="", "", IFERROR(INDEX('1. DATA CHUNG'!$E$4:$E$139, MATCH(INDEX('6. TIẾN ĐỘ MUA HÀNG'!$G$5:$G$76, MATCH($L37, '6. TIẾN ĐỘ MUA HÀNG'!$J$5:$J$76, 0)), '1. DATA CHUNG'!$D$4:$D$139, 0)), ""))</f>
        <v>CÔNG TY TNHH DEGO HOLDING</v>
      </c>
      <c r="Z37" s="587" t="s">
        <v>1305</v>
      </c>
      <c r="AA37" s="586" t="s">
        <v>57</v>
      </c>
      <c r="AB37" s="586">
        <f>if(len(AA37)=0,"", VLOOKUP($AA$5, '0.Ngân Hàng'!$A:$C, 2, 0)
)</f>
        <v>161816186868</v>
      </c>
      <c r="AC37" s="586" t="str">
        <f>if(len(AA37)=0,"", VLOOKUP($AA$5, '0.Ngân Hàng'!$A:$C, 3, 0)
)</f>
        <v> Ngân hàng TMCP Á Châu (ACB)</v>
      </c>
      <c r="AD37" s="588">
        <f t="array" ref="AD37">IF($L37="", "", IFERROR(INDEX('6. TIẾN ĐỘ MUA HÀNG'!AE:AE, MATCH($L37, '6. TIẾN ĐỘ MUA HÀNG'!J:J, 0)), ""))</f>
        <v>158</v>
      </c>
      <c r="AE37" s="394"/>
      <c r="AF37" s="87"/>
    </row>
    <row r="38" ht="30.0" customHeight="1">
      <c r="A38" s="590">
        <v>34.0</v>
      </c>
      <c r="B38" s="591">
        <v>46151.0</v>
      </c>
      <c r="C38" s="592" t="str">
        <f t="array" ref="C38">IF($L38="", "", IFERROR(INDEX('6. TIẾN ĐỘ MUA HÀNG'!F:F, MATCH($L38, '6. TIẾN ĐỘ MUA HÀNG'!J:J, 0)), ""))</f>
        <v>SX - Ms Ly</v>
      </c>
      <c r="D38" s="592" t="str">
        <f t="array" ref="D38">IF($L38="", "", IFERROR(INDEX('6. TIẾN ĐỘ MUA HÀNG'!G:G, MATCH($L38, '6. TIẾN ĐỘ MUA HÀNG'!J:J, 0)), ""))</f>
        <v>DEGO HOLDING</v>
      </c>
      <c r="E38" s="592" t="s">
        <v>1302</v>
      </c>
      <c r="F38" s="593">
        <f>'6. TIẾN ĐỘ MUA HÀNG'!AB38</f>
        <v>3542400</v>
      </c>
      <c r="G38" s="594">
        <v>46154.0</v>
      </c>
      <c r="H38" s="595" t="str">
        <f t="array" ref="H38">IFERROR( XLOOKUP(L18,'6. TIẾN ĐỘ MUA HÀNG'!J:J,'6. TIẾN ĐỘ MUA HÀNG'!I:I),)</f>
        <v>Đông Tây</v>
      </c>
      <c r="I38" s="596" t="s">
        <v>1304</v>
      </c>
      <c r="J38" s="597" t="s">
        <v>1306</v>
      </c>
      <c r="K38" s="577" t="str">
        <f t="array" ref="K38">IF($L38="", "", IFERROR(INDEX('6. TIẾN ĐỘ MUA HÀNG'!K:K, MATCH($L38, '6. TIẾN ĐỘ MUA HÀNG'!J:J, 0)), ""))</f>
        <v>Thùng</v>
      </c>
      <c r="L38" s="603" t="s">
        <v>626</v>
      </c>
      <c r="M38" s="579">
        <f t="array" ref="M38">IF($L38="", "", IFERROR(INDEX('6. TIẾN ĐỘ MUA HÀNG'!AF:AF, MATCH($L38, '6. TIẾN ĐỘ MUA HÀNG'!J:J, 0)), ""))</f>
        <v>1</v>
      </c>
      <c r="N38" s="77"/>
      <c r="O38" s="598">
        <f t="shared" si="1"/>
        <v>34</v>
      </c>
      <c r="P38" s="576" t="str">
        <f>IFERROR(__xludf.DUMMYFUNCTION("""COMPUTED_VALUE"""),"ĐMH01623")</f>
        <v>ĐMH01623</v>
      </c>
      <c r="Q38" s="600">
        <f>IFERROR(__xludf.DUMMYFUNCTION("""COMPUTED_VALUE"""),1.0)</f>
        <v>1</v>
      </c>
      <c r="R38" s="600" t="str">
        <f>IFERROR(__xludf.DUMMYFUNCTION("""COMPUTED_VALUE"""),"1")</f>
        <v>1</v>
      </c>
      <c r="S38" s="583" t="str">
        <f t="shared" si="2"/>
        <v>Công nợ NCC</v>
      </c>
      <c r="T38" s="584">
        <f t="shared" si="3"/>
        <v>0</v>
      </c>
      <c r="U38" s="584">
        <f t="shared" si="4"/>
        <v>0</v>
      </c>
      <c r="V38" s="584">
        <f t="shared" si="5"/>
        <v>6526980</v>
      </c>
      <c r="W38" s="585">
        <f t="shared" si="6"/>
        <v>0</v>
      </c>
      <c r="X38" s="77"/>
      <c r="Y38" s="586" t="str">
        <f t="array" ref="Y38">IF($L38="", "", IFERROR(INDEX('1. DATA CHUNG'!$E$4:$E$139, MATCH(INDEX('6. TIẾN ĐỘ MUA HÀNG'!$G$5:$G$76, MATCH($L38, '6. TIẾN ĐỘ MUA HÀNG'!$J$5:$J$76, 0)), '1. DATA CHUNG'!$D$4:$D$139, 0)), ""))</f>
        <v>CÔNG TY TNHH DEGO HOLDING</v>
      </c>
      <c r="Z38" s="587" t="s">
        <v>1305</v>
      </c>
      <c r="AA38" s="586" t="s">
        <v>57</v>
      </c>
      <c r="AB38" s="586">
        <f>if(len(AA38)=0,"", VLOOKUP($AA$5, '0.Ngân Hàng'!$A:$C, 2, 0)
)</f>
        <v>161816186868</v>
      </c>
      <c r="AC38" s="586" t="str">
        <f>if(len(AA38)=0,"", VLOOKUP($AA$5, '0.Ngân Hàng'!$A:$C, 3, 0)
)</f>
        <v> Ngân hàng TMCP Á Châu (ACB)</v>
      </c>
      <c r="AD38" s="588">
        <f t="array" ref="AD38">IF($L38="", "", IFERROR(INDEX('6. TIẾN ĐỘ MUA HÀNG'!AE:AE, MATCH($L38, '6. TIẾN ĐỘ MUA HÀNG'!J:J, 0)), ""))</f>
        <v>158</v>
      </c>
      <c r="AE38" s="394"/>
      <c r="AF38" s="87"/>
    </row>
    <row r="39" ht="30.0" customHeight="1">
      <c r="A39" s="580">
        <v>35.0</v>
      </c>
      <c r="B39" s="570">
        <v>46151.0</v>
      </c>
      <c r="C39" s="571" t="str">
        <f t="array" ref="C39">IF($L39="", "", IFERROR(INDEX('6. TIẾN ĐỘ MUA HÀNG'!F:F, MATCH($L39, '6. TIẾN ĐỘ MUA HÀNG'!J:J, 0)), ""))</f>
        <v>SX - Ms Ly</v>
      </c>
      <c r="D39" s="571" t="str">
        <f t="array" ref="D39">IF($L39="", "", IFERROR(INDEX('6. TIẾN ĐỘ MUA HÀNG'!G:G, MATCH($L39, '6. TIẾN ĐỘ MUA HÀNG'!J:J, 0)), ""))</f>
        <v>DEGO HOLDING</v>
      </c>
      <c r="E39" s="571" t="s">
        <v>1302</v>
      </c>
      <c r="F39" s="572">
        <f>'6. TIẾN ĐỘ MUA HÀNG'!AB39</f>
        <v>11858616</v>
      </c>
      <c r="G39" s="573">
        <v>46154.0</v>
      </c>
      <c r="H39" s="574" t="str">
        <f t="array" ref="H39">IFERROR( XLOOKUP(L19,'6. TIẾN ĐỘ MUA HÀNG'!J:J,'6. TIẾN ĐỘ MUA HÀNG'!I:I),)</f>
        <v>Đông Tây</v>
      </c>
      <c r="I39" s="575" t="s">
        <v>1304</v>
      </c>
      <c r="J39" s="597" t="s">
        <v>1306</v>
      </c>
      <c r="K39" s="577" t="str">
        <f t="array" ref="K39">IF($L39="", "", IFERROR(INDEX('6. TIẾN ĐỘ MUA HÀNG'!K:K, MATCH($L39, '6. TIẾN ĐỘ MUA HÀNG'!J:J, 0)), ""))</f>
        <v>Thùng</v>
      </c>
      <c r="L39" s="603" t="s">
        <v>630</v>
      </c>
      <c r="M39" s="579">
        <f t="array" ref="M39">IF($L39="", "", IFERROR(INDEX('6. TIẾN ĐỘ MUA HÀNG'!AF:AF, MATCH($L39, '6. TIẾN ĐỘ MUA HÀNG'!J:J, 0)), ""))</f>
        <v>1</v>
      </c>
      <c r="N39" s="77"/>
      <c r="O39" s="601">
        <f t="shared" si="1"/>
        <v>35</v>
      </c>
      <c r="P39" s="576" t="str">
        <f>IFERROR(__xludf.DUMMYFUNCTION("""COMPUTED_VALUE"""),"ĐMH01644")</f>
        <v>ĐMH01644</v>
      </c>
      <c r="Q39" s="600">
        <f>IFERROR(__xludf.DUMMYFUNCTION("""COMPUTED_VALUE"""),1.0)</f>
        <v>1</v>
      </c>
      <c r="R39" s="600" t="str">
        <f>IFERROR(__xludf.DUMMYFUNCTION("""COMPUTED_VALUE"""),"1")</f>
        <v>1</v>
      </c>
      <c r="S39" s="583" t="str">
        <f t="shared" si="2"/>
        <v>Công nợ NCC</v>
      </c>
      <c r="T39" s="584">
        <f t="shared" si="3"/>
        <v>0</v>
      </c>
      <c r="U39" s="584">
        <f t="shared" si="4"/>
        <v>0</v>
      </c>
      <c r="V39" s="584">
        <f t="shared" si="5"/>
        <v>2230308</v>
      </c>
      <c r="W39" s="585">
        <f t="shared" si="6"/>
        <v>0</v>
      </c>
      <c r="X39" s="77"/>
      <c r="Y39" s="586" t="str">
        <f t="array" ref="Y39">IF($L39="", "", IFERROR(INDEX('1. DATA CHUNG'!$E$4:$E$139, MATCH(INDEX('6. TIẾN ĐỘ MUA HÀNG'!$G$5:$G$76, MATCH($L39, '6. TIẾN ĐỘ MUA HÀNG'!$J$5:$J$76, 0)), '1. DATA CHUNG'!$D$4:$D$139, 0)), ""))</f>
        <v>CÔNG TY TNHH DEGO HOLDING</v>
      </c>
      <c r="Z39" s="587" t="s">
        <v>1305</v>
      </c>
      <c r="AA39" s="586" t="s">
        <v>57</v>
      </c>
      <c r="AB39" s="586">
        <f>if(len(AA39)=0,"", VLOOKUP($AA$5, '0.Ngân Hàng'!$A:$C, 2, 0)
)</f>
        <v>161816186868</v>
      </c>
      <c r="AC39" s="586" t="str">
        <f>if(len(AA39)=0,"", VLOOKUP($AA$5, '0.Ngân Hàng'!$A:$C, 3, 0)
)</f>
        <v> Ngân hàng TMCP Á Châu (ACB)</v>
      </c>
      <c r="AD39" s="588">
        <f t="array" ref="AD39">IF($L39="", "", IFERROR(INDEX('6. TIẾN ĐỘ MUA HÀNG'!AE:AE, MATCH($L39, '6. TIẾN ĐỘ MUA HÀNG'!J:J, 0)), ""))</f>
        <v>979</v>
      </c>
      <c r="AE39" s="394"/>
      <c r="AF39" s="87"/>
    </row>
    <row r="40" ht="30.0" customHeight="1">
      <c r="A40" s="590">
        <v>36.0</v>
      </c>
      <c r="B40" s="591">
        <v>46151.0</v>
      </c>
      <c r="C40" s="592" t="str">
        <f t="array" ref="C40">IF($L40="", "", IFERROR(INDEX('6. TIẾN ĐỘ MUA HÀNG'!F:F, MATCH($L40, '6. TIẾN ĐỘ MUA HÀNG'!J:J, 0)), ""))</f>
        <v>SX - Ms Ly</v>
      </c>
      <c r="D40" s="592" t="str">
        <f t="array" ref="D40">IF($L40="", "", IFERROR(INDEX('6. TIẾN ĐỘ MUA HÀNG'!G:G, MATCH($L40, '6. TIẾN ĐỘ MUA HÀNG'!J:J, 0)), ""))</f>
        <v>IDA</v>
      </c>
      <c r="E40" s="592" t="s">
        <v>1302</v>
      </c>
      <c r="F40" s="593">
        <f>'6. TIẾN ĐỘ MUA HÀNG'!AB40</f>
        <v>5022000</v>
      </c>
      <c r="G40" s="594">
        <v>46154.0</v>
      </c>
      <c r="H40" s="595" t="str">
        <f t="array" ref="H40">IFERROR( XLOOKUP(L20,'6. TIẾN ĐỘ MUA HÀNG'!J:J,'6. TIẾN ĐỘ MUA HÀNG'!I:I),)</f>
        <v>Đông Tây</v>
      </c>
      <c r="I40" s="596" t="s">
        <v>1304</v>
      </c>
      <c r="J40" s="597" t="s">
        <v>1306</v>
      </c>
      <c r="K40" s="577" t="str">
        <f t="array" ref="K40">IF($L40="", "", IFERROR(INDEX('6. TIẾN ĐỘ MUA HÀNG'!K:K, MATCH($L40, '6. TIẾN ĐỘ MUA HÀNG'!J:J, 0)), ""))</f>
        <v>Thùng</v>
      </c>
      <c r="L40" s="603" t="s">
        <v>631</v>
      </c>
      <c r="M40" s="579">
        <f t="array" ref="M40">IF($L40="", "", IFERROR(INDEX('6. TIẾN ĐỘ MUA HÀNG'!AF:AF, MATCH($L40, '6. TIẾN ĐỘ MUA HÀNG'!J:J, 0)), ""))</f>
        <v>1</v>
      </c>
      <c r="N40" s="77"/>
      <c r="O40" s="598">
        <f t="shared" si="1"/>
        <v>36</v>
      </c>
      <c r="P40" s="576" t="str">
        <f>IFERROR(__xludf.DUMMYFUNCTION("""COMPUTED_VALUE"""),"ĐMH02628")</f>
        <v>ĐMH02628</v>
      </c>
      <c r="Q40" s="600">
        <f>IFERROR(__xludf.DUMMYFUNCTION("""COMPUTED_VALUE"""),1.0)</f>
        <v>1</v>
      </c>
      <c r="R40" s="600" t="str">
        <f>IFERROR(__xludf.DUMMYFUNCTION("""COMPUTED_VALUE"""),"1")</f>
        <v>1</v>
      </c>
      <c r="S40" s="583" t="str">
        <f t="shared" si="2"/>
        <v>Công nợ NCC</v>
      </c>
      <c r="T40" s="584">
        <f t="shared" si="3"/>
        <v>0</v>
      </c>
      <c r="U40" s="584">
        <f t="shared" si="4"/>
        <v>0</v>
      </c>
      <c r="V40" s="584">
        <f t="shared" si="5"/>
        <v>10108800</v>
      </c>
      <c r="W40" s="585">
        <f t="shared" si="6"/>
        <v>0</v>
      </c>
      <c r="X40" s="77"/>
      <c r="Y40" s="586" t="str">
        <f t="array" ref="Y40">IF($L40="", "", IFERROR(INDEX('1. DATA CHUNG'!$E$4:$E$139, MATCH(INDEX('6. TIẾN ĐỘ MUA HÀNG'!$G$5:$G$76, MATCH($L40, '6. TIẾN ĐỘ MUA HÀNG'!$J$5:$J$76, 0)), '1. DATA CHUNG'!$D$4:$D$139, 0)), ""))</f>
        <v>CÔNG TY TNHH XUẤT NHẬP KHẨU IDA GLOBAL</v>
      </c>
      <c r="Z40" s="587" t="s">
        <v>1305</v>
      </c>
      <c r="AA40" s="586" t="s">
        <v>57</v>
      </c>
      <c r="AB40" s="586">
        <f>if(len(AA40)=0,"", VLOOKUP($AA$5, '0.Ngân Hàng'!$A:$C, 2, 0)
)</f>
        <v>161816186868</v>
      </c>
      <c r="AC40" s="586" t="str">
        <f>if(len(AA40)=0,"", VLOOKUP($AA$5, '0.Ngân Hàng'!$A:$C, 3, 0)
)</f>
        <v> Ngân hàng TMCP Á Châu (ACB)</v>
      </c>
      <c r="AD40" s="588">
        <f t="array" ref="AD40">IF($L40="", "", IFERROR(INDEX('6. TIẾN ĐỘ MUA HÀNG'!AE:AE, MATCH($L40, '6. TIẾN ĐỘ MUA HÀNG'!J:J, 0)), ""))</f>
        <v>996</v>
      </c>
      <c r="AE40" s="394"/>
      <c r="AF40" s="87"/>
    </row>
    <row r="41" ht="30.0" customHeight="1">
      <c r="A41" s="580">
        <v>37.0</v>
      </c>
      <c r="B41" s="570">
        <v>46151.0</v>
      </c>
      <c r="C41" s="571" t="str">
        <f t="array" ref="C41">IF($L41="", "", IFERROR(INDEX('6. TIẾN ĐỘ MUA HÀNG'!F:F, MATCH($L41, '6. TIẾN ĐỘ MUA HÀNG'!J:J, 0)), ""))</f>
        <v>SX - Ms Ly</v>
      </c>
      <c r="D41" s="571" t="str">
        <f t="array" ref="D41">IF($L41="", "", IFERROR(INDEX('6. TIẾN ĐỘ MUA HÀNG'!G:G, MATCH($L41, '6. TIẾN ĐỘ MUA HÀNG'!J:J, 0)), ""))</f>
        <v>DEGO HOLDING</v>
      </c>
      <c r="E41" s="571" t="s">
        <v>1302</v>
      </c>
      <c r="F41" s="572">
        <f>'6. TIẾN ĐỘ MUA HÀNG'!AB41</f>
        <v>8906436</v>
      </c>
      <c r="G41" s="573">
        <v>46154.0</v>
      </c>
      <c r="H41" s="574" t="str">
        <f t="array" ref="H41">IFERROR( XLOOKUP(L21,'6. TIẾN ĐỘ MUA HÀNG'!J:J,'6. TIẾN ĐỘ MUA HÀNG'!I:I),)</f>
        <v>Đông Tây</v>
      </c>
      <c r="I41" s="575" t="s">
        <v>1304</v>
      </c>
      <c r="J41" s="597" t="s">
        <v>1306</v>
      </c>
      <c r="K41" s="577" t="str">
        <f t="array" ref="K41">IF($L41="", "", IFERROR(INDEX('6. TIẾN ĐỘ MUA HÀNG'!K:K, MATCH($L41, '6. TIẾN ĐỘ MUA HÀNG'!J:J, 0)), ""))</f>
        <v>Thùng</v>
      </c>
      <c r="L41" s="603" t="s">
        <v>632</v>
      </c>
      <c r="M41" s="579">
        <f t="array" ref="M41">IF($L41="", "", IFERROR(INDEX('6. TIẾN ĐỘ MUA HÀNG'!AF:AF, MATCH($L41, '6. TIẾN ĐỘ MUA HÀNG'!J:J, 0)), ""))</f>
        <v>1</v>
      </c>
      <c r="N41" s="77"/>
      <c r="O41" s="601">
        <f t="shared" si="1"/>
        <v>37</v>
      </c>
      <c r="P41" s="576" t="str">
        <f>IFERROR(__xludf.DUMMYFUNCTION("""COMPUTED_VALUE"""),"ĐMH02640")</f>
        <v>ĐMH02640</v>
      </c>
      <c r="Q41" s="600">
        <f>IFERROR(__xludf.DUMMYFUNCTION("""COMPUTED_VALUE"""),1.0)</f>
        <v>1</v>
      </c>
      <c r="R41" s="600" t="str">
        <f>IFERROR(__xludf.DUMMYFUNCTION("""COMPUTED_VALUE"""),"1")</f>
        <v>1</v>
      </c>
      <c r="S41" s="583" t="str">
        <f t="shared" si="2"/>
        <v>Công nợ NCC</v>
      </c>
      <c r="T41" s="584">
        <f t="shared" si="3"/>
        <v>0</v>
      </c>
      <c r="U41" s="584">
        <f t="shared" si="4"/>
        <v>0</v>
      </c>
      <c r="V41" s="584">
        <f t="shared" si="5"/>
        <v>9882000</v>
      </c>
      <c r="W41" s="585">
        <f t="shared" si="6"/>
        <v>0</v>
      </c>
      <c r="X41" s="77"/>
      <c r="Y41" s="586" t="str">
        <f t="array" ref="Y41">IF($L41="", "", IFERROR(INDEX('1. DATA CHUNG'!$E$4:$E$139, MATCH(INDEX('6. TIẾN ĐỘ MUA HÀNG'!$G$5:$G$76, MATCH($L41, '6. TIẾN ĐỘ MUA HÀNG'!$J$5:$J$76, 0)), '1. DATA CHUNG'!$D$4:$D$139, 0)), ""))</f>
        <v>CÔNG TY TNHH DEGO HOLDING</v>
      </c>
      <c r="Z41" s="587" t="s">
        <v>1305</v>
      </c>
      <c r="AA41" s="586" t="s">
        <v>57</v>
      </c>
      <c r="AB41" s="586">
        <f>if(len(AA41)=0,"", VLOOKUP($AA$5, '0.Ngân Hàng'!$A:$C, 2, 0)
)</f>
        <v>161816186868</v>
      </c>
      <c r="AC41" s="586" t="str">
        <f>if(len(AA41)=0,"", VLOOKUP($AA$5, '0.Ngân Hàng'!$A:$C, 3, 0)
)</f>
        <v> Ngân hàng TMCP Á Châu (ACB)</v>
      </c>
      <c r="AD41" s="588">
        <f t="array" ref="AD41">IF($L41="", "", IFERROR(INDEX('6. TIẾN ĐỘ MUA HÀNG'!AE:AE, MATCH($L41, '6. TIẾN ĐỘ MUA HÀNG'!J:J, 0)), ""))</f>
        <v>960</v>
      </c>
      <c r="AE41" s="394"/>
      <c r="AF41" s="87"/>
    </row>
    <row r="42" ht="30.0" customHeight="1">
      <c r="A42" s="590">
        <v>38.0</v>
      </c>
      <c r="B42" s="591">
        <v>46151.0</v>
      </c>
      <c r="C42" s="592" t="str">
        <f t="array" ref="C42">IF($L42="", "", IFERROR(INDEX('6. TIẾN ĐỘ MUA HÀNG'!F:F, MATCH($L42, '6. TIẾN ĐỘ MUA HÀNG'!J:J, 0)), ""))</f>
        <v>SX - Ms Ly</v>
      </c>
      <c r="D42" s="592" t="str">
        <f t="array" ref="D42">IF($L42="", "", IFERROR(INDEX('6. TIẾN ĐỘ MUA HÀNG'!G:G, MATCH($L42, '6. TIẾN ĐỘ MUA HÀNG'!J:J, 0)), ""))</f>
        <v>DEGO HOLDING</v>
      </c>
      <c r="E42" s="592" t="s">
        <v>1302</v>
      </c>
      <c r="F42" s="593">
        <f>'6. TIẾN ĐỘ MUA HÀNG'!AB42</f>
        <v>5505408</v>
      </c>
      <c r="G42" s="594">
        <v>46154.0</v>
      </c>
      <c r="H42" s="595" t="str">
        <f t="array" ref="H42">IFERROR( XLOOKUP(L22,'6. TIẾN ĐỘ MUA HÀNG'!J:J,'6. TIẾN ĐỘ MUA HÀNG'!I:I),)</f>
        <v>Đông Tây</v>
      </c>
      <c r="I42" s="596" t="s">
        <v>1304</v>
      </c>
      <c r="J42" s="597" t="s">
        <v>1306</v>
      </c>
      <c r="K42" s="577" t="str">
        <f t="array" ref="K42">IF($L42="", "", IFERROR(INDEX('6. TIẾN ĐỘ MUA HÀNG'!K:K, MATCH($L42, '6. TIẾN ĐỘ MUA HÀNG'!J:J, 0)), ""))</f>
        <v>Thùng</v>
      </c>
      <c r="L42" s="603" t="s">
        <v>634</v>
      </c>
      <c r="M42" s="579">
        <f t="array" ref="M42">IF($L42="", "", IFERROR(INDEX('6. TIẾN ĐỘ MUA HÀNG'!AF:AF, MATCH($L42, '6. TIẾN ĐỘ MUA HÀNG'!J:J, 0)), ""))</f>
        <v>1</v>
      </c>
      <c r="N42" s="77"/>
      <c r="O42" s="598">
        <f t="shared" si="1"/>
        <v>38</v>
      </c>
      <c r="P42" s="576" t="str">
        <f>IFERROR(__xludf.DUMMYFUNCTION("""COMPUTED_VALUE"""),"ĐMH02646")</f>
        <v>ĐMH02646</v>
      </c>
      <c r="Q42" s="600">
        <f>IFERROR(__xludf.DUMMYFUNCTION("""COMPUTED_VALUE"""),1.0)</f>
        <v>1</v>
      </c>
      <c r="R42" s="600" t="str">
        <f>IFERROR(__xludf.DUMMYFUNCTION("""COMPUTED_VALUE"""),"1")</f>
        <v>1</v>
      </c>
      <c r="S42" s="583" t="str">
        <f t="shared" si="2"/>
        <v>Công nợ NCC</v>
      </c>
      <c r="T42" s="584">
        <f t="shared" si="3"/>
        <v>0</v>
      </c>
      <c r="U42" s="584">
        <f t="shared" si="4"/>
        <v>0</v>
      </c>
      <c r="V42" s="584">
        <f t="shared" si="5"/>
        <v>2035800</v>
      </c>
      <c r="W42" s="585">
        <f t="shared" si="6"/>
        <v>0</v>
      </c>
      <c r="X42" s="77"/>
      <c r="Y42" s="586" t="str">
        <f t="array" ref="Y42">IF($L42="", "", IFERROR(INDEX('1. DATA CHUNG'!$E$4:$E$139, MATCH(INDEX('6. TIẾN ĐỘ MUA HÀNG'!$G$5:$G$76, MATCH($L42, '6. TIẾN ĐỘ MUA HÀNG'!$J$5:$J$76, 0)), '1. DATA CHUNG'!$D$4:$D$139, 0)), ""))</f>
        <v>CÔNG TY TNHH DEGO HOLDING</v>
      </c>
      <c r="Z42" s="587" t="s">
        <v>1305</v>
      </c>
      <c r="AA42" s="586" t="s">
        <v>57</v>
      </c>
      <c r="AB42" s="586">
        <f>if(len(AA42)=0,"", VLOOKUP($AA$5, '0.Ngân Hàng'!$A:$C, 2, 0)
)</f>
        <v>161816186868</v>
      </c>
      <c r="AC42" s="586" t="str">
        <f>if(len(AA42)=0,"", VLOOKUP($AA$5, '0.Ngân Hàng'!$A:$C, 3, 0)
)</f>
        <v> Ngân hàng TMCP Á Châu (ACB)</v>
      </c>
      <c r="AD42" s="588">
        <f t="array" ref="AD42">IF($L42="", "", IFERROR(INDEX('6. TIẾN ĐỘ MUA HÀNG'!AE:AE, MATCH($L42, '6. TIẾN ĐỘ MUA HÀNG'!J:J, 0)), ""))</f>
        <v>980</v>
      </c>
      <c r="AE42" s="394"/>
      <c r="AF42" s="87"/>
    </row>
    <row r="43" ht="30.0" customHeight="1">
      <c r="A43" s="580">
        <v>39.0</v>
      </c>
      <c r="B43" s="570">
        <v>46151.0</v>
      </c>
      <c r="C43" s="571" t="str">
        <f t="array" ref="C43">IF($L43="", "", IFERROR(INDEX('6. TIẾN ĐỘ MUA HÀNG'!F:F, MATCH($L43, '6. TIẾN ĐỘ MUA HÀNG'!J:J, 0)), ""))</f>
        <v>SX - Ms Ly</v>
      </c>
      <c r="D43" s="571" t="str">
        <f t="array" ref="D43">IF($L43="", "", IFERROR(INDEX('6. TIẾN ĐỘ MUA HÀNG'!G:G, MATCH($L43, '6. TIẾN ĐỘ MUA HÀNG'!J:J, 0)), ""))</f>
        <v>DEGO HOLDING</v>
      </c>
      <c r="E43" s="571" t="s">
        <v>1302</v>
      </c>
      <c r="F43" s="572">
        <f>'6. TIẾN ĐỘ MUA HÀNG'!AB43</f>
        <v>6253200</v>
      </c>
      <c r="G43" s="573">
        <v>46154.0</v>
      </c>
      <c r="H43" s="574" t="str">
        <f t="array" ref="H43">IFERROR( XLOOKUP(L23,'6. TIẾN ĐỘ MUA HÀNG'!J:J,'6. TIẾN ĐỘ MUA HÀNG'!I:I),)</f>
        <v>Đông Tây</v>
      </c>
      <c r="I43" s="575" t="s">
        <v>1304</v>
      </c>
      <c r="J43" s="597" t="s">
        <v>1306</v>
      </c>
      <c r="K43" s="577" t="str">
        <f t="array" ref="K43">IF($L43="", "", IFERROR(INDEX('6. TIẾN ĐỘ MUA HÀNG'!K:K, MATCH($L43, '6. TIẾN ĐỘ MUA HÀNG'!J:J, 0)), ""))</f>
        <v>Thùng</v>
      </c>
      <c r="L43" s="603" t="s">
        <v>636</v>
      </c>
      <c r="M43" s="579">
        <f t="array" ref="M43">IF($L43="", "", IFERROR(INDEX('6. TIẾN ĐỘ MUA HÀNG'!AF:AF, MATCH($L43, '6. TIẾN ĐỘ MUA HÀNG'!J:J, 0)), ""))</f>
        <v>1</v>
      </c>
      <c r="N43" s="77"/>
      <c r="O43" s="601">
        <f t="shared" si="1"/>
        <v>39</v>
      </c>
      <c r="P43" s="576" t="str">
        <f>IFERROR(__xludf.DUMMYFUNCTION("""COMPUTED_VALUE"""),"ĐMH02647")</f>
        <v>ĐMH02647</v>
      </c>
      <c r="Q43" s="600">
        <f>IFERROR(__xludf.DUMMYFUNCTION("""COMPUTED_VALUE"""),1.0)</f>
        <v>1</v>
      </c>
      <c r="R43" s="600" t="str">
        <f>IFERROR(__xludf.DUMMYFUNCTION("""COMPUTED_VALUE"""),"1")</f>
        <v>1</v>
      </c>
      <c r="S43" s="583" t="str">
        <f t="shared" si="2"/>
        <v>Công nợ NCC</v>
      </c>
      <c r="T43" s="584">
        <f t="shared" si="3"/>
        <v>0</v>
      </c>
      <c r="U43" s="584">
        <f t="shared" si="4"/>
        <v>0</v>
      </c>
      <c r="V43" s="584">
        <f t="shared" si="5"/>
        <v>2035800</v>
      </c>
      <c r="W43" s="585">
        <f t="shared" si="6"/>
        <v>0</v>
      </c>
      <c r="X43" s="77"/>
      <c r="Y43" s="586" t="str">
        <f t="array" ref="Y43">IF($L43="", "", IFERROR(INDEX('1. DATA CHUNG'!$E$4:$E$139, MATCH(INDEX('6. TIẾN ĐỘ MUA HÀNG'!$G$5:$G$76, MATCH($L43, '6. TIẾN ĐỘ MUA HÀNG'!$J$5:$J$76, 0)), '1. DATA CHUNG'!$D$4:$D$139, 0)), ""))</f>
        <v>CÔNG TY TNHH DEGO HOLDING</v>
      </c>
      <c r="Z43" s="587" t="s">
        <v>1305</v>
      </c>
      <c r="AA43" s="586" t="s">
        <v>57</v>
      </c>
      <c r="AB43" s="586">
        <f>if(len(AA43)=0,"", VLOOKUP($AA$5, '0.Ngân Hàng'!$A:$C, 2, 0)
)</f>
        <v>161816186868</v>
      </c>
      <c r="AC43" s="586" t="str">
        <f>if(len(AA43)=0,"", VLOOKUP($AA$5, '0.Ngân Hàng'!$A:$C, 3, 0)
)</f>
        <v> Ngân hàng TMCP Á Châu (ACB)</v>
      </c>
      <c r="AD43" s="588">
        <f t="array" ref="AD43">IF($L43="", "", IFERROR(INDEX('6. TIẾN ĐỘ MUA HÀNG'!AE:AE, MATCH($L43, '6. TIẾN ĐỘ MUA HÀNG'!J:J, 0)), ""))</f>
        <v>978</v>
      </c>
      <c r="AE43" s="394"/>
      <c r="AF43" s="87"/>
    </row>
    <row r="44" ht="30.0" customHeight="1">
      <c r="A44" s="590">
        <v>40.0</v>
      </c>
      <c r="B44" s="591">
        <v>46151.0</v>
      </c>
      <c r="C44" s="592" t="str">
        <f t="array" ref="C44">IF($L44="", "", IFERROR(INDEX('6. TIẾN ĐỘ MUA HÀNG'!F:F, MATCH($L44, '6. TIẾN ĐỘ MUA HÀNG'!J:J, 0)), ""))</f>
        <v>SX - Ms Ly</v>
      </c>
      <c r="D44" s="592" t="str">
        <f t="array" ref="D44">IF($L44="", "", IFERROR(INDEX('6. TIẾN ĐỘ MUA HÀNG'!G:G, MATCH($L44, '6. TIẾN ĐỘ MUA HÀNG'!J:J, 0)), ""))</f>
        <v>DEGO HOLDING</v>
      </c>
      <c r="E44" s="592" t="s">
        <v>1302</v>
      </c>
      <c r="F44" s="593">
        <f>'6. TIẾN ĐỘ MUA HÀNG'!AB44</f>
        <v>4418928</v>
      </c>
      <c r="G44" s="594">
        <v>46154.0</v>
      </c>
      <c r="H44" s="595" t="str">
        <f t="array" ref="H44">IFERROR( XLOOKUP(L24,'6. TIẾN ĐỘ MUA HÀNG'!J:J,'6. TIẾN ĐỘ MUA HÀNG'!I:I),)</f>
        <v>Đông Tây</v>
      </c>
      <c r="I44" s="596" t="s">
        <v>1304</v>
      </c>
      <c r="J44" s="597" t="s">
        <v>1306</v>
      </c>
      <c r="K44" s="577" t="str">
        <f t="array" ref="K44">IF($L44="", "", IFERROR(INDEX('6. TIẾN ĐỘ MUA HÀNG'!K:K, MATCH($L44, '6. TIẾN ĐỘ MUA HÀNG'!J:J, 0)), ""))</f>
        <v>Thùng</v>
      </c>
      <c r="L44" s="603" t="s">
        <v>638</v>
      </c>
      <c r="M44" s="579">
        <f t="array" ref="M44">IF($L44="", "", IFERROR(INDEX('6. TIẾN ĐỘ MUA HÀNG'!AF:AF, MATCH($L44, '6. TIẾN ĐỘ MUA HÀNG'!J:J, 0)), ""))</f>
        <v>1</v>
      </c>
      <c r="N44" s="77"/>
      <c r="O44" s="598">
        <f t="shared" si="1"/>
        <v>40</v>
      </c>
      <c r="P44" s="576" t="str">
        <f>IFERROR(__xludf.DUMMYFUNCTION("""COMPUTED_VALUE"""),"ĐMH02655")</f>
        <v>ĐMH02655</v>
      </c>
      <c r="Q44" s="600">
        <f>IFERROR(__xludf.DUMMYFUNCTION("""COMPUTED_VALUE"""),1.0)</f>
        <v>1</v>
      </c>
      <c r="R44" s="600" t="str">
        <f>IFERROR(__xludf.DUMMYFUNCTION("""COMPUTED_VALUE"""),"1")</f>
        <v>1</v>
      </c>
      <c r="S44" s="583" t="str">
        <f t="shared" si="2"/>
        <v>Công nợ NCC</v>
      </c>
      <c r="T44" s="584">
        <f t="shared" si="3"/>
        <v>0</v>
      </c>
      <c r="U44" s="584">
        <f t="shared" si="4"/>
        <v>0</v>
      </c>
      <c r="V44" s="584">
        <f t="shared" si="5"/>
        <v>7581600</v>
      </c>
      <c r="W44" s="585">
        <f t="shared" si="6"/>
        <v>0</v>
      </c>
      <c r="X44" s="77"/>
      <c r="Y44" s="586" t="str">
        <f t="array" ref="Y44">IF($L44="", "", IFERROR(INDEX('1. DATA CHUNG'!$E$4:$E$139, MATCH(INDEX('6. TIẾN ĐỘ MUA HÀNG'!$G$5:$G$76, MATCH($L44, '6. TIẾN ĐỘ MUA HÀNG'!$J$5:$J$76, 0)), '1. DATA CHUNG'!$D$4:$D$139, 0)), ""))</f>
        <v>CÔNG TY TNHH DEGO HOLDING</v>
      </c>
      <c r="Z44" s="587" t="s">
        <v>1305</v>
      </c>
      <c r="AA44" s="586" t="s">
        <v>57</v>
      </c>
      <c r="AB44" s="586">
        <f>if(len(AA44)=0,"", VLOOKUP($AA$5, '0.Ngân Hàng'!$A:$C, 2, 0)
)</f>
        <v>161816186868</v>
      </c>
      <c r="AC44" s="586" t="str">
        <f>if(len(AA44)=0,"", VLOOKUP($AA$5, '0.Ngân Hàng'!$A:$C, 3, 0)
)</f>
        <v> Ngân hàng TMCP Á Châu (ACB)</v>
      </c>
      <c r="AD44" s="588">
        <f t="array" ref="AD44">IF($L44="", "", IFERROR(INDEX('6. TIẾN ĐỘ MUA HÀNG'!AE:AE, MATCH($L44, '6. TIẾN ĐỘ MUA HÀNG'!J:J, 0)), ""))</f>
        <v>981</v>
      </c>
      <c r="AE44" s="394"/>
      <c r="AF44" s="87"/>
    </row>
    <row r="45" ht="30.0" customHeight="1">
      <c r="A45" s="580">
        <v>41.0</v>
      </c>
      <c r="B45" s="570">
        <v>46151.0</v>
      </c>
      <c r="C45" s="571" t="str">
        <f t="array" ref="C45">IF($L45="", "", IFERROR(INDEX('6. TIẾN ĐỘ MUA HÀNG'!F:F, MATCH($L45, '6. TIẾN ĐỘ MUA HÀNG'!J:J, 0)), ""))</f>
        <v>SX - Ms Ly</v>
      </c>
      <c r="D45" s="571" t="str">
        <f t="array" ref="D45">IF($L45="", "", IFERROR(INDEX('6. TIẾN ĐỘ MUA HÀNG'!G:G, MATCH($L45, '6. TIẾN ĐỘ MUA HÀNG'!J:J, 0)), ""))</f>
        <v>IDA</v>
      </c>
      <c r="E45" s="571" t="s">
        <v>1302</v>
      </c>
      <c r="F45" s="572">
        <f>'6. TIẾN ĐỘ MUA HÀNG'!AB45</f>
        <v>7697376</v>
      </c>
      <c r="G45" s="573">
        <v>46154.0</v>
      </c>
      <c r="H45" s="574" t="str">
        <f t="array" ref="H45">IFERROR( XLOOKUP(L25,'6. TIẾN ĐỘ MUA HÀNG'!J:J,'6. TIẾN ĐỘ MUA HÀNG'!I:I),)</f>
        <v>Đông Tây</v>
      </c>
      <c r="I45" s="575" t="s">
        <v>1304</v>
      </c>
      <c r="J45" s="597" t="s">
        <v>1306</v>
      </c>
      <c r="K45" s="577" t="str">
        <f t="array" ref="K45">IF($L45="", "", IFERROR(INDEX('6. TIẾN ĐỘ MUA HÀNG'!K:K, MATCH($L45, '6. TIẾN ĐỘ MUA HÀNG'!J:J, 0)), ""))</f>
        <v>Thùng</v>
      </c>
      <c r="L45" s="603" t="s">
        <v>639</v>
      </c>
      <c r="M45" s="579">
        <f t="array" ref="M45">IF($L45="", "", IFERROR(INDEX('6. TIẾN ĐỘ MUA HÀNG'!AF:AF, MATCH($L45, '6. TIẾN ĐỘ MUA HÀNG'!J:J, 0)), ""))</f>
        <v>1</v>
      </c>
      <c r="N45" s="77"/>
      <c r="O45" s="601">
        <f t="shared" si="1"/>
        <v>41</v>
      </c>
      <c r="P45" s="576" t="str">
        <f>IFERROR(__xludf.DUMMYFUNCTION("""COMPUTED_VALUE"""),"ĐMH02660")</f>
        <v>ĐMH02660</v>
      </c>
      <c r="Q45" s="600">
        <f>IFERROR(__xludf.DUMMYFUNCTION("""COMPUTED_VALUE"""),1.0)</f>
        <v>1</v>
      </c>
      <c r="R45" s="600" t="str">
        <f>IFERROR(__xludf.DUMMYFUNCTION("""COMPUTED_VALUE"""),"1")</f>
        <v>1</v>
      </c>
      <c r="S45" s="583" t="str">
        <f t="shared" si="2"/>
        <v>Công nợ NCC</v>
      </c>
      <c r="T45" s="584">
        <f t="shared" si="3"/>
        <v>0</v>
      </c>
      <c r="U45" s="584">
        <f t="shared" si="4"/>
        <v>0</v>
      </c>
      <c r="V45" s="584">
        <f t="shared" si="5"/>
        <v>8424000</v>
      </c>
      <c r="W45" s="585">
        <f t="shared" si="6"/>
        <v>0</v>
      </c>
      <c r="X45" s="77"/>
      <c r="Y45" s="586" t="str">
        <f t="array" ref="Y45">IF($L45="", "", IFERROR(INDEX('1. DATA CHUNG'!$E$4:$E$139, MATCH(INDEX('6. TIẾN ĐỘ MUA HÀNG'!$G$5:$G$76, MATCH($L45, '6. TIẾN ĐỘ MUA HÀNG'!$J$5:$J$76, 0)), '1. DATA CHUNG'!$D$4:$D$139, 0)), ""))</f>
        <v>CÔNG TY TNHH XUẤT NHẬP KHẨU IDA GLOBAL</v>
      </c>
      <c r="Z45" s="587" t="s">
        <v>1305</v>
      </c>
      <c r="AA45" s="586" t="s">
        <v>57</v>
      </c>
      <c r="AB45" s="586">
        <f>if(len(AA45)=0,"", VLOOKUP($AA$5, '0.Ngân Hàng'!$A:$C, 2, 0)
)</f>
        <v>161816186868</v>
      </c>
      <c r="AC45" s="586" t="str">
        <f>if(len(AA45)=0,"", VLOOKUP($AA$5, '0.Ngân Hàng'!$A:$C, 3, 0)
)</f>
        <v> Ngân hàng TMCP Á Châu (ACB)</v>
      </c>
      <c r="AD45" s="588">
        <f t="array" ref="AD45">IF($L45="", "", IFERROR(INDEX('6. TIẾN ĐỘ MUA HÀNG'!AE:AE, MATCH($L45, '6. TIẾN ĐỘ MUA HÀNG'!J:J, 0)), ""))</f>
        <v>1030</v>
      </c>
      <c r="AE45" s="394"/>
      <c r="AF45" s="87"/>
    </row>
    <row r="46" ht="30.0" customHeight="1">
      <c r="A46" s="590">
        <v>42.0</v>
      </c>
      <c r="B46" s="591">
        <v>46151.0</v>
      </c>
      <c r="C46" s="592" t="str">
        <f t="array" ref="C46">IF($L46="", "", IFERROR(INDEX('6. TIẾN ĐỘ MUA HÀNG'!F:F, MATCH($L46, '6. TIẾN ĐỘ MUA HÀNG'!J:J, 0)), ""))</f>
        <v>SX - Ms Ly</v>
      </c>
      <c r="D46" s="592" t="str">
        <f t="array" ref="D46">IF($L46="", "", IFERROR(INDEX('6. TIẾN ĐỘ MUA HÀNG'!G:G, MATCH($L46, '6. TIẾN ĐỘ MUA HÀNG'!J:J, 0)), ""))</f>
        <v>DEGO HOLDING</v>
      </c>
      <c r="E46" s="592" t="s">
        <v>1302</v>
      </c>
      <c r="F46" s="593">
        <f>'6. TIẾN ĐỘ MUA HÀNG'!AB46</f>
        <v>7171416</v>
      </c>
      <c r="G46" s="594">
        <v>46154.0</v>
      </c>
      <c r="H46" s="595" t="str">
        <f t="array" ref="H46">IFERROR( XLOOKUP(L26,'6. TIẾN ĐỘ MUA HÀNG'!J:J,'6. TIẾN ĐỘ MUA HÀNG'!I:I),)</f>
        <v>Đông Tây</v>
      </c>
      <c r="I46" s="596" t="s">
        <v>1304</v>
      </c>
      <c r="J46" s="597" t="s">
        <v>1306</v>
      </c>
      <c r="K46" s="577" t="str">
        <f t="array" ref="K46">IF($L46="", "", IFERROR(INDEX('6. TIẾN ĐỘ MUA HÀNG'!K:K, MATCH($L46, '6. TIẾN ĐỘ MUA HÀNG'!J:J, 0)), ""))</f>
        <v>Thùng</v>
      </c>
      <c r="L46" s="603" t="s">
        <v>641</v>
      </c>
      <c r="M46" s="579">
        <f t="array" ref="M46">IF($L46="", "", IFERROR(INDEX('6. TIẾN ĐỘ MUA HÀNG'!AF:AF, MATCH($L46, '6. TIẾN ĐỘ MUA HÀNG'!J:J, 0)), ""))</f>
        <v>1</v>
      </c>
      <c r="N46" s="77"/>
      <c r="O46" s="598">
        <f t="shared" si="1"/>
        <v>42</v>
      </c>
      <c r="P46" s="576" t="str">
        <f>IFERROR(__xludf.DUMMYFUNCTION("""COMPUTED_VALUE"""),"ĐMH02662")</f>
        <v>ĐMH02662</v>
      </c>
      <c r="Q46" s="600">
        <f>IFERROR(__xludf.DUMMYFUNCTION("""COMPUTED_VALUE"""),1.0)</f>
        <v>1</v>
      </c>
      <c r="R46" s="600" t="str">
        <f>IFERROR(__xludf.DUMMYFUNCTION("""COMPUTED_VALUE"""),"1")</f>
        <v>1</v>
      </c>
      <c r="S46" s="583" t="str">
        <f t="shared" si="2"/>
        <v>Công nợ NCC</v>
      </c>
      <c r="T46" s="584">
        <f t="shared" si="3"/>
        <v>0</v>
      </c>
      <c r="U46" s="584">
        <f t="shared" si="4"/>
        <v>0</v>
      </c>
      <c r="V46" s="584">
        <f t="shared" si="5"/>
        <v>7581600</v>
      </c>
      <c r="W46" s="585">
        <f t="shared" si="6"/>
        <v>0</v>
      </c>
      <c r="X46" s="77"/>
      <c r="Y46" s="586" t="str">
        <f t="array" ref="Y46">IF($L46="", "", IFERROR(INDEX('1. DATA CHUNG'!$E$4:$E$139, MATCH(INDEX('6. TIẾN ĐỘ MUA HÀNG'!$G$5:$G$76, MATCH($L46, '6. TIẾN ĐỘ MUA HÀNG'!$J$5:$J$76, 0)), '1. DATA CHUNG'!$D$4:$D$139, 0)), ""))</f>
        <v>CÔNG TY TNHH DEGO HOLDING</v>
      </c>
      <c r="Z46" s="587" t="s">
        <v>1305</v>
      </c>
      <c r="AA46" s="586" t="s">
        <v>57</v>
      </c>
      <c r="AB46" s="586">
        <f>if(len(AA46)=0,"", VLOOKUP($AA$5, '0.Ngân Hàng'!$A:$C, 2, 0)
)</f>
        <v>161816186868</v>
      </c>
      <c r="AC46" s="586" t="str">
        <f>if(len(AA46)=0,"", VLOOKUP($AA$5, '0.Ngân Hàng'!$A:$C, 3, 0)
)</f>
        <v> Ngân hàng TMCP Á Châu (ACB)</v>
      </c>
      <c r="AD46" s="588">
        <f t="array" ref="AD46">IF($L46="", "", IFERROR(INDEX('6. TIẾN ĐỘ MUA HÀNG'!AE:AE, MATCH($L46, '6. TIẾN ĐỘ MUA HÀNG'!J:J, 0)), ""))</f>
        <v>994</v>
      </c>
      <c r="AE46" s="394"/>
      <c r="AF46" s="87"/>
    </row>
    <row r="47" ht="30.0" customHeight="1">
      <c r="A47" s="580">
        <v>43.0</v>
      </c>
      <c r="B47" s="570">
        <v>46151.0</v>
      </c>
      <c r="C47" s="571" t="str">
        <f t="array" ref="C47">IF($L47="", "", IFERROR(INDEX('6. TIẾN ĐỘ MUA HÀNG'!F:F, MATCH($L47, '6. TIẾN ĐỘ MUA HÀNG'!J:J, 0)), ""))</f>
        <v>SX - Ms Ly</v>
      </c>
      <c r="D47" s="571" t="str">
        <f t="array" ref="D47">IF($L47="", "", IFERROR(INDEX('6. TIẾN ĐỘ MUA HÀNG'!G:G, MATCH($L47, '6. TIẾN ĐỘ MUA HÀNG'!J:J, 0)), ""))</f>
        <v>DEGO HOLDING</v>
      </c>
      <c r="E47" s="571" t="s">
        <v>1302</v>
      </c>
      <c r="F47" s="572">
        <f>'6. TIẾN ĐỘ MUA HÀNG'!AB47</f>
        <v>5253120</v>
      </c>
      <c r="G47" s="573">
        <v>46154.0</v>
      </c>
      <c r="H47" s="574" t="str">
        <f t="array" ref="H47">IFERROR( XLOOKUP(L27,'6. TIẾN ĐỘ MUA HÀNG'!J:J,'6. TIẾN ĐỘ MUA HÀNG'!I:I),)</f>
        <v>Đông Tây</v>
      </c>
      <c r="I47" s="575" t="s">
        <v>1304</v>
      </c>
      <c r="J47" s="597" t="s">
        <v>1306</v>
      </c>
      <c r="K47" s="577" t="str">
        <f t="array" ref="K47">IF($L47="", "", IFERROR(INDEX('6. TIẾN ĐỘ MUA HÀNG'!K:K, MATCH($L47, '6. TIẾN ĐỘ MUA HÀNG'!J:J, 0)), ""))</f>
        <v>Thùng</v>
      </c>
      <c r="L47" s="603" t="s">
        <v>643</v>
      </c>
      <c r="M47" s="579">
        <f t="array" ref="M47">IF($L47="", "", IFERROR(INDEX('6. TIẾN ĐỘ MUA HÀNG'!AF:AF, MATCH($L47, '6. TIẾN ĐỘ MUA HÀNG'!J:J, 0)), ""))</f>
        <v>1</v>
      </c>
      <c r="N47" s="77"/>
      <c r="O47" s="601">
        <f t="shared" si="1"/>
        <v>43</v>
      </c>
      <c r="P47" s="576" t="str">
        <f>IFERROR(__xludf.DUMMYFUNCTION("""COMPUTED_VALUE"""),"ĐMH02669")</f>
        <v>ĐMH02669</v>
      </c>
      <c r="Q47" s="600">
        <f>IFERROR(__xludf.DUMMYFUNCTION("""COMPUTED_VALUE"""),1.0)</f>
        <v>1</v>
      </c>
      <c r="R47" s="600" t="str">
        <f>IFERROR(__xludf.DUMMYFUNCTION("""COMPUTED_VALUE"""),"1")</f>
        <v>1</v>
      </c>
      <c r="S47" s="583" t="str">
        <f t="shared" si="2"/>
        <v>Công nợ NCC</v>
      </c>
      <c r="T47" s="584">
        <f t="shared" si="3"/>
        <v>0</v>
      </c>
      <c r="U47" s="584">
        <f t="shared" si="4"/>
        <v>0</v>
      </c>
      <c r="V47" s="584">
        <f t="shared" si="5"/>
        <v>6408072</v>
      </c>
      <c r="W47" s="585">
        <f t="shared" si="6"/>
        <v>0</v>
      </c>
      <c r="X47" s="77"/>
      <c r="Y47" s="586" t="str">
        <f t="array" ref="Y47">IF($L47="", "", IFERROR(INDEX('1. DATA CHUNG'!$E$4:$E$139, MATCH(INDEX('6. TIẾN ĐỘ MUA HÀNG'!$G$5:$G$76, MATCH($L47, '6. TIẾN ĐỘ MUA HÀNG'!$J$5:$J$76, 0)), '1. DATA CHUNG'!$D$4:$D$139, 0)), ""))</f>
        <v>CÔNG TY TNHH DEGO HOLDING</v>
      </c>
      <c r="Z47" s="587" t="s">
        <v>1305</v>
      </c>
      <c r="AA47" s="586" t="s">
        <v>57</v>
      </c>
      <c r="AB47" s="586">
        <f>if(len(AA47)=0,"", VLOOKUP($AA$5, '0.Ngân Hàng'!$A:$C, 2, 0)
)</f>
        <v>161816186868</v>
      </c>
      <c r="AC47" s="586" t="str">
        <f>if(len(AA47)=0,"", VLOOKUP($AA$5, '0.Ngân Hàng'!$A:$C, 3, 0)
)</f>
        <v> Ngân hàng TMCP Á Châu (ACB)</v>
      </c>
      <c r="AD47" s="588">
        <f t="array" ref="AD47">IF($L47="", "", IFERROR(INDEX('6. TIẾN ĐỘ MUA HÀNG'!AE:AE, MATCH($L47, '6. TIẾN ĐỘ MUA HÀNG'!J:J, 0)), ""))</f>
        <v>1046</v>
      </c>
      <c r="AE47" s="394"/>
      <c r="AF47" s="87"/>
    </row>
    <row r="48" ht="30.0" customHeight="1">
      <c r="A48" s="590">
        <v>44.0</v>
      </c>
      <c r="B48" s="591">
        <v>46151.0</v>
      </c>
      <c r="C48" s="592" t="str">
        <f t="array" ref="C48">IF($L48="", "", IFERROR(INDEX('6. TIẾN ĐỘ MUA HÀNG'!F:F, MATCH($L48, '6. TIẾN ĐỘ MUA HÀNG'!J:J, 0)), ""))</f>
        <v>SX - Ms Ly</v>
      </c>
      <c r="D48" s="592" t="str">
        <f t="array" ref="D48">IF($L48="", "", IFERROR(INDEX('6. TIẾN ĐỘ MUA HÀNG'!G:G, MATCH($L48, '6. TIẾN ĐỘ MUA HÀNG'!J:J, 0)), ""))</f>
        <v>DEGO HOLDING</v>
      </c>
      <c r="E48" s="592" t="s">
        <v>1302</v>
      </c>
      <c r="F48" s="593">
        <f>'6. TIẾN ĐỘ MUA HÀNG'!AB48</f>
        <v>6595560</v>
      </c>
      <c r="G48" s="594">
        <v>46154.0</v>
      </c>
      <c r="H48" s="595" t="str">
        <f t="array" ref="H48">IFERROR( XLOOKUP(L28,'6. TIẾN ĐỘ MUA HÀNG'!J:J,'6. TIẾN ĐỘ MUA HÀNG'!I:I),)</f>
        <v>Đông Tây</v>
      </c>
      <c r="I48" s="596" t="s">
        <v>1304</v>
      </c>
      <c r="J48" s="597" t="s">
        <v>1306</v>
      </c>
      <c r="K48" s="577" t="str">
        <f t="array" ref="K48">IF($L48="", "", IFERROR(INDEX('6. TIẾN ĐỘ MUA HÀNG'!K:K, MATCH($L48, '6. TIẾN ĐỘ MUA HÀNG'!J:J, 0)), ""))</f>
        <v>Thùng</v>
      </c>
      <c r="L48" s="603" t="s">
        <v>645</v>
      </c>
      <c r="M48" s="579">
        <f t="array" ref="M48">IF($L48="", "", IFERROR(INDEX('6. TIẾN ĐỘ MUA HÀNG'!AF:AF, MATCH($L48, '6. TIẾN ĐỘ MUA HÀNG'!J:J, 0)), ""))</f>
        <v>1</v>
      </c>
      <c r="N48" s="77"/>
      <c r="O48" s="598">
        <f t="shared" si="1"/>
        <v>44</v>
      </c>
      <c r="P48" s="576" t="str">
        <f>IFERROR(__xludf.DUMMYFUNCTION("""COMPUTED_VALUE"""),"ĐMH02670")</f>
        <v>ĐMH02670</v>
      </c>
      <c r="Q48" s="600">
        <f>IFERROR(__xludf.DUMMYFUNCTION("""COMPUTED_VALUE"""),1.0)</f>
        <v>1</v>
      </c>
      <c r="R48" s="600" t="str">
        <f>IFERROR(__xludf.DUMMYFUNCTION("""COMPUTED_VALUE"""),"1")</f>
        <v>1</v>
      </c>
      <c r="S48" s="583" t="str">
        <f t="shared" si="2"/>
        <v>Công nợ NCC</v>
      </c>
      <c r="T48" s="584">
        <f t="shared" si="3"/>
        <v>0</v>
      </c>
      <c r="U48" s="584">
        <f t="shared" si="4"/>
        <v>0</v>
      </c>
      <c r="V48" s="584">
        <f t="shared" si="5"/>
        <v>6179976</v>
      </c>
      <c r="W48" s="585">
        <f t="shared" si="6"/>
        <v>0</v>
      </c>
      <c r="X48" s="77"/>
      <c r="Y48" s="586" t="str">
        <f t="array" ref="Y48">IF($L48="", "", IFERROR(INDEX('1. DATA CHUNG'!$E$4:$E$139, MATCH(INDEX('6. TIẾN ĐỘ MUA HÀNG'!$G$5:$G$76, MATCH($L48, '6. TIẾN ĐỘ MUA HÀNG'!$J$5:$J$76, 0)), '1. DATA CHUNG'!$D$4:$D$139, 0)), ""))</f>
        <v>CÔNG TY TNHH DEGO HOLDING</v>
      </c>
      <c r="Z48" s="587" t="s">
        <v>1305</v>
      </c>
      <c r="AA48" s="586" t="s">
        <v>57</v>
      </c>
      <c r="AB48" s="586">
        <f>if(len(AA48)=0,"", VLOOKUP($AA$5, '0.Ngân Hàng'!$A:$C, 2, 0)
)</f>
        <v>161816186868</v>
      </c>
      <c r="AC48" s="586" t="str">
        <f>if(len(AA48)=0,"", VLOOKUP($AA$5, '0.Ngân Hàng'!$A:$C, 3, 0)
)</f>
        <v> Ngân hàng TMCP Á Châu (ACB)</v>
      </c>
      <c r="AD48" s="588">
        <f t="array" ref="AD48">IF($L48="", "", IFERROR(INDEX('6. TIẾN ĐỘ MUA HÀNG'!AE:AE, MATCH($L48, '6. TIẾN ĐỘ MUA HÀNG'!J:J, 0)), ""))</f>
        <v>1045</v>
      </c>
      <c r="AE48" s="394"/>
      <c r="AF48" s="87"/>
    </row>
    <row r="49" ht="30.0" customHeight="1">
      <c r="A49" s="580">
        <v>45.0</v>
      </c>
      <c r="B49" s="570">
        <v>46151.0</v>
      </c>
      <c r="C49" s="571" t="str">
        <f t="array" ref="C49">IF($L49="", "", IFERROR(INDEX('6. TIẾN ĐỘ MUA HÀNG'!F:F, MATCH($L49, '6. TIẾN ĐỘ MUA HÀNG'!J:J, 0)), ""))</f>
        <v/>
      </c>
      <c r="D49" s="571" t="str">
        <f t="array" ref="D49">IF($L49="", "", IFERROR(INDEX('6. TIẾN ĐỘ MUA HÀNG'!G:G, MATCH($L49, '6. TIẾN ĐỘ MUA HÀNG'!J:J, 0)), ""))</f>
        <v/>
      </c>
      <c r="E49" s="571" t="s">
        <v>1302</v>
      </c>
      <c r="F49" s="572">
        <f>'6. TIẾN ĐỘ MUA HÀNG'!AB49</f>
        <v>6656256</v>
      </c>
      <c r="G49" s="573">
        <v>46154.0</v>
      </c>
      <c r="H49" s="574" t="str">
        <f t="array" ref="H49">IFERROR( XLOOKUP(L29,'6. TIẾN ĐỘ MUA HÀNG'!J:J,'6. TIẾN ĐỘ MUA HÀNG'!I:I),)</f>
        <v>Đông Tây</v>
      </c>
      <c r="I49" s="575" t="s">
        <v>1304</v>
      </c>
      <c r="J49" s="597" t="s">
        <v>1306</v>
      </c>
      <c r="K49" s="577" t="str">
        <f t="array" ref="K49">IF($L49="", "", IFERROR(INDEX('6. TIẾN ĐỘ MUA HÀNG'!K:K, MATCH($L49, '6. TIẾN ĐỘ MUA HÀNG'!J:J, 0)), ""))</f>
        <v/>
      </c>
      <c r="L49" s="603" t="s">
        <v>1307</v>
      </c>
      <c r="M49" s="579" t="str">
        <f t="array" ref="M49">IF($L49="", "", IFERROR(INDEX('6. TIẾN ĐỘ MUA HÀNG'!AF:AF, MATCH($L49, '6. TIẾN ĐỘ MUA HÀNG'!J:J, 0)), ""))</f>
        <v/>
      </c>
      <c r="N49" s="77"/>
      <c r="O49" s="601">
        <f t="shared" si="1"/>
        <v>45</v>
      </c>
      <c r="P49" s="576" t="str">
        <f>IFERROR(__xludf.DUMMYFUNCTION("""COMPUTED_VALUE"""),"ĐMH02674")</f>
        <v>ĐMH02674</v>
      </c>
      <c r="Q49" s="600">
        <f>IFERROR(__xludf.DUMMYFUNCTION("""COMPUTED_VALUE"""),1.0)</f>
        <v>1</v>
      </c>
      <c r="R49" s="600" t="str">
        <f>IFERROR(__xludf.DUMMYFUNCTION("""COMPUTED_VALUE"""),"1")</f>
        <v>1</v>
      </c>
      <c r="S49" s="583" t="str">
        <f t="shared" si="2"/>
        <v>Công nợ NCC</v>
      </c>
      <c r="T49" s="584">
        <f t="shared" si="3"/>
        <v>0</v>
      </c>
      <c r="U49" s="584">
        <f t="shared" si="4"/>
        <v>0</v>
      </c>
      <c r="V49" s="584">
        <f t="shared" si="5"/>
        <v>5022000</v>
      </c>
      <c r="W49" s="585">
        <f t="shared" si="6"/>
        <v>0</v>
      </c>
      <c r="X49" s="77"/>
      <c r="Y49" s="586" t="str">
        <f t="array" ref="Y49">IF($L49="", "", IFERROR(INDEX('1. DATA CHUNG'!$E$4:$E$139, MATCH(INDEX('6. TIẾN ĐỘ MUA HÀNG'!$G$5:$G$76, MATCH($L49, '6. TIẾN ĐỘ MUA HÀNG'!$J$5:$J$76, 0)), '1. DATA CHUNG'!$D$4:$D$139, 0)), ""))</f>
        <v/>
      </c>
      <c r="Z49" s="587" t="s">
        <v>1305</v>
      </c>
      <c r="AA49" s="586" t="s">
        <v>57</v>
      </c>
      <c r="AB49" s="586">
        <f>if(len(AA49)=0,"", VLOOKUP($AA$5, '0.Ngân Hàng'!$A:$C, 2, 0)
)</f>
        <v>161816186868</v>
      </c>
      <c r="AC49" s="586" t="str">
        <f>if(len(AA49)=0,"", VLOOKUP($AA$5, '0.Ngân Hàng'!$A:$C, 3, 0)
)</f>
        <v> Ngân hàng TMCP Á Châu (ACB)</v>
      </c>
      <c r="AD49" s="588" t="str">
        <f t="array" ref="AD49">IF($L49="", "", IFERROR(INDEX('6. TIẾN ĐỘ MUA HÀNG'!AE:AE, MATCH($L49, '6. TIẾN ĐỘ MUA HÀNG'!J:J, 0)), ""))</f>
        <v/>
      </c>
      <c r="AE49" s="394"/>
      <c r="AF49" s="87"/>
    </row>
    <row r="50" ht="30.0" customHeight="1">
      <c r="A50" s="590">
        <v>46.0</v>
      </c>
      <c r="B50" s="591">
        <v>46151.0</v>
      </c>
      <c r="C50" s="592" t="str">
        <f t="array" ref="C50">IF($L50="", "", IFERROR(INDEX('6. TIẾN ĐỘ MUA HÀNG'!F:F, MATCH($L50, '6. TIẾN ĐỘ MUA HÀNG'!J:J, 0)), ""))</f>
        <v>SX - Ms Ly</v>
      </c>
      <c r="D50" s="592" t="str">
        <f t="array" ref="D50">IF($L50="", "", IFERROR(INDEX('6. TIẾN ĐỘ MUA HÀNG'!G:G, MATCH($L50, '6. TIẾN ĐỘ MUA HÀNG'!J:J, 0)), ""))</f>
        <v>DEGO HOLDING</v>
      </c>
      <c r="E50" s="592" t="s">
        <v>1302</v>
      </c>
      <c r="F50" s="593">
        <f>'6. TIẾN ĐỘ MUA HÀNG'!AB49</f>
        <v>6656256</v>
      </c>
      <c r="G50" s="594">
        <v>46154.0</v>
      </c>
      <c r="H50" s="595" t="str">
        <f t="array" ref="H50">IFERROR( XLOOKUP(L30,'6. TIẾN ĐỘ MUA HÀNG'!J:J,'6. TIẾN ĐỘ MUA HÀNG'!I:I),)</f>
        <v>Đông Tây</v>
      </c>
      <c r="I50" s="596" t="s">
        <v>1304</v>
      </c>
      <c r="J50" s="597" t="s">
        <v>1306</v>
      </c>
      <c r="K50" s="577" t="str">
        <f t="array" ref="K50">IF($L50="", "", IFERROR(INDEX('6. TIẾN ĐỘ MUA HÀNG'!K:K, MATCH($L50, '6. TIẾN ĐỘ MUA HÀNG'!J:J, 0)), ""))</f>
        <v>Thùng</v>
      </c>
      <c r="L50" s="603" t="s">
        <v>647</v>
      </c>
      <c r="M50" s="579">
        <f t="array" ref="M50">IF($L50="", "", IFERROR(INDEX('6. TIẾN ĐỘ MUA HÀNG'!AF:AF, MATCH($L50, '6. TIẾN ĐỘ MUA HÀNG'!J:J, 0)), ""))</f>
        <v>1</v>
      </c>
      <c r="N50" s="77"/>
      <c r="O50" s="598">
        <f t="shared" si="1"/>
        <v>46</v>
      </c>
      <c r="P50" s="576" t="str">
        <f>IFERROR(__xludf.DUMMYFUNCTION("""COMPUTED_VALUE"""),"ĐMH02684")</f>
        <v>ĐMH02684</v>
      </c>
      <c r="Q50" s="600">
        <f>IFERROR(__xludf.DUMMYFUNCTION("""COMPUTED_VALUE"""),1.0)</f>
        <v>1</v>
      </c>
      <c r="R50" s="600" t="str">
        <f>IFERROR(__xludf.DUMMYFUNCTION("""COMPUTED_VALUE"""),"1")</f>
        <v>1</v>
      </c>
      <c r="S50" s="583" t="str">
        <f t="shared" si="2"/>
        <v>Công nợ NCC</v>
      </c>
      <c r="T50" s="584">
        <f t="shared" si="3"/>
        <v>0</v>
      </c>
      <c r="U50" s="584">
        <f t="shared" si="4"/>
        <v>0</v>
      </c>
      <c r="V50" s="584">
        <f t="shared" si="5"/>
        <v>7697376</v>
      </c>
      <c r="W50" s="585">
        <f t="shared" si="6"/>
        <v>0</v>
      </c>
      <c r="X50" s="77"/>
      <c r="Y50" s="586" t="str">
        <f t="array" ref="Y50">IF($L50="", "", IFERROR(INDEX('1. DATA CHUNG'!$E$4:$E$139, MATCH(INDEX('6. TIẾN ĐỘ MUA HÀNG'!$G$5:$G$76, MATCH($L50, '6. TIẾN ĐỘ MUA HÀNG'!$J$5:$J$76, 0)), '1. DATA CHUNG'!$D$4:$D$139, 0)), ""))</f>
        <v>CÔNG TY TNHH DEGO HOLDING</v>
      </c>
      <c r="Z50" s="587" t="s">
        <v>1305</v>
      </c>
      <c r="AA50" s="586" t="s">
        <v>57</v>
      </c>
      <c r="AB50" s="586">
        <f>if(len(AA50)=0,"", VLOOKUP($AA$5, '0.Ngân Hàng'!$A:$C, 2, 0)
)</f>
        <v>161816186868</v>
      </c>
      <c r="AC50" s="586" t="str">
        <f>if(len(AA50)=0,"", VLOOKUP($AA$5, '0.Ngân Hàng'!$A:$C, 3, 0)
)</f>
        <v> Ngân hàng TMCP Á Châu (ACB)</v>
      </c>
      <c r="AD50" s="588">
        <f t="array" ref="AD50">IF($L50="", "", IFERROR(INDEX('6. TIẾN ĐỘ MUA HÀNG'!AE:AE, MATCH($L50, '6. TIẾN ĐỘ MUA HÀNG'!J:J, 0)), ""))</f>
        <v>1095</v>
      </c>
      <c r="AE50" s="394"/>
      <c r="AF50" s="87"/>
    </row>
    <row r="51" ht="30.0" customHeight="1">
      <c r="A51" s="580">
        <v>47.0</v>
      </c>
      <c r="B51" s="570">
        <v>46151.0</v>
      </c>
      <c r="C51" s="571" t="str">
        <f t="array" ref="C51">IF($L51="", "", IFERROR(INDEX('6. TIẾN ĐỘ MUA HÀNG'!F:F, MATCH($L51, '6. TIẾN ĐỘ MUA HÀNG'!J:J, 0)), ""))</f>
        <v>SX - Ms Ly</v>
      </c>
      <c r="D51" s="571" t="str">
        <f t="array" ref="D51">IF($L51="", "", IFERROR(INDEX('6. TIẾN ĐỘ MUA HÀNG'!G:G, MATCH($L51, '6. TIẾN ĐỘ MUA HÀNG'!J:J, 0)), ""))</f>
        <v>DEGO HOLDING</v>
      </c>
      <c r="E51" s="571" t="s">
        <v>1302</v>
      </c>
      <c r="F51" s="572">
        <f>'6. TIẾN ĐỘ MUA HÀNG'!AB50</f>
        <v>5699376</v>
      </c>
      <c r="G51" s="573">
        <v>46154.0</v>
      </c>
      <c r="H51" s="574" t="str">
        <f t="array" ref="H51">IFERROR( XLOOKUP(L31,'6. TIẾN ĐỘ MUA HÀNG'!J:J,'6. TIẾN ĐỘ MUA HÀNG'!I:I),)</f>
        <v>Đông Tây</v>
      </c>
      <c r="I51" s="575" t="s">
        <v>1304</v>
      </c>
      <c r="J51" s="597" t="s">
        <v>1306</v>
      </c>
      <c r="K51" s="577" t="str">
        <f t="array" ref="K51">IF($L51="", "", IFERROR(INDEX('6. TIẾN ĐỘ MUA HÀNG'!K:K, MATCH($L51, '6. TIẾN ĐỘ MUA HÀNG'!J:J, 0)), ""))</f>
        <v>Thùng</v>
      </c>
      <c r="L51" s="603" t="s">
        <v>649</v>
      </c>
      <c r="M51" s="579">
        <f t="array" ref="M51">IF($L51="", "", IFERROR(INDEX('6. TIẾN ĐỘ MUA HÀNG'!AF:AF, MATCH($L51, '6. TIẾN ĐỘ MUA HÀNG'!J:J, 0)), ""))</f>
        <v>1</v>
      </c>
      <c r="N51" s="77"/>
      <c r="O51" s="601">
        <f t="shared" si="1"/>
        <v>47</v>
      </c>
      <c r="P51" s="576" t="str">
        <f>IFERROR(__xludf.DUMMYFUNCTION("""COMPUTED_VALUE"""),"ĐMH02694")</f>
        <v>ĐMH02694</v>
      </c>
      <c r="Q51" s="600"/>
      <c r="R51" s="600" t="str">
        <f>IFERROR(__xludf.DUMMYFUNCTION("""COMPUTED_VALUE"""),"1")</f>
        <v>1</v>
      </c>
      <c r="S51" s="583" t="str">
        <f t="shared" si="2"/>
        <v>Công nợ NCC</v>
      </c>
      <c r="T51" s="584">
        <f t="shared" si="3"/>
        <v>0</v>
      </c>
      <c r="U51" s="584">
        <f t="shared" si="4"/>
        <v>0</v>
      </c>
      <c r="V51" s="584">
        <f t="shared" si="5"/>
        <v>0</v>
      </c>
      <c r="W51" s="585">
        <f t="shared" si="6"/>
        <v>0</v>
      </c>
      <c r="X51" s="77"/>
      <c r="Y51" s="586" t="str">
        <f t="array" ref="Y51">IF($L51="", "", IFERROR(INDEX('1. DATA CHUNG'!$E$4:$E$139, MATCH(INDEX('6. TIẾN ĐỘ MUA HÀNG'!$G$5:$G$76, MATCH($L51, '6. TIẾN ĐỘ MUA HÀNG'!$J$5:$J$76, 0)), '1. DATA CHUNG'!$D$4:$D$139, 0)), ""))</f>
        <v>CÔNG TY TNHH DEGO HOLDING</v>
      </c>
      <c r="Z51" s="587" t="s">
        <v>1305</v>
      </c>
      <c r="AA51" s="586" t="s">
        <v>57</v>
      </c>
      <c r="AB51" s="586">
        <f>if(len(AA51)=0,"", VLOOKUP($AA$5, '0.Ngân Hàng'!$A:$C, 2, 0)
)</f>
        <v>161816186868</v>
      </c>
      <c r="AC51" s="586" t="str">
        <f>if(len(AA51)=0,"", VLOOKUP($AA$5, '0.Ngân Hàng'!$A:$C, 3, 0)
)</f>
        <v> Ngân hàng TMCP Á Châu (ACB)</v>
      </c>
      <c r="AD51" s="588">
        <f t="array" ref="AD51">IF($L51="", "", IFERROR(INDEX('6. TIẾN ĐỘ MUA HÀNG'!AE:AE, MATCH($L51, '6. TIẾN ĐỘ MUA HÀNG'!J:J, 0)), ""))</f>
        <v>1093</v>
      </c>
      <c r="AE51" s="394"/>
      <c r="AF51" s="87"/>
    </row>
    <row r="52" ht="30.0" customHeight="1">
      <c r="A52" s="590">
        <v>48.0</v>
      </c>
      <c r="B52" s="591">
        <v>46151.0</v>
      </c>
      <c r="C52" s="592" t="str">
        <f t="array" ref="C52">IF($L52="", "", IFERROR(INDEX('6. TIẾN ĐỘ MUA HÀNG'!F:F, MATCH($L52, '6. TIẾN ĐỘ MUA HÀNG'!J:J, 0)), ""))</f>
        <v>SX - Ms Ly</v>
      </c>
      <c r="D52" s="592" t="str">
        <f t="array" ref="D52">IF($L52="", "", IFERROR(INDEX('6. TIẾN ĐỘ MUA HÀNG'!G:G, MATCH($L52, '6. TIẾN ĐỘ MUA HÀNG'!J:J, 0)), ""))</f>
        <v>DEGO HOLDING</v>
      </c>
      <c r="E52" s="592" t="s">
        <v>1302</v>
      </c>
      <c r="F52" s="593">
        <f>'6. TIẾN ĐỘ MUA HÀNG'!AB51</f>
        <v>2727216</v>
      </c>
      <c r="G52" s="594">
        <v>46154.0</v>
      </c>
      <c r="H52" s="595" t="str">
        <f t="array" ref="H52">IFERROR( XLOOKUP(L32,'6. TIẾN ĐỘ MUA HÀNG'!J:J,'6. TIẾN ĐỘ MUA HÀNG'!I:I),)</f>
        <v>Đông Tây</v>
      </c>
      <c r="I52" s="596" t="s">
        <v>1304</v>
      </c>
      <c r="J52" s="597" t="s">
        <v>1306</v>
      </c>
      <c r="K52" s="577" t="str">
        <f t="array" ref="K52">IF($L52="", "", IFERROR(INDEX('6. TIẾN ĐỘ MUA HÀNG'!K:K, MATCH($L52, '6. TIẾN ĐỘ MUA HÀNG'!J:J, 0)), ""))</f>
        <v>Thùng</v>
      </c>
      <c r="L52" s="603" t="s">
        <v>650</v>
      </c>
      <c r="M52" s="579">
        <f t="array" ref="M52">IF($L52="", "", IFERROR(INDEX('6. TIẾN ĐỘ MUA HÀNG'!AF:AF, MATCH($L52, '6. TIẾN ĐỘ MUA HÀNG'!J:J, 0)), ""))</f>
        <v>1</v>
      </c>
      <c r="N52" s="77"/>
      <c r="O52" s="598">
        <f t="shared" si="1"/>
        <v>48</v>
      </c>
      <c r="P52" s="576" t="str">
        <f>IFERROR(__xludf.DUMMYFUNCTION("""COMPUTED_VALUE"""),"ĐMH02698")</f>
        <v>ĐMH02698</v>
      </c>
      <c r="Q52" s="600">
        <f>IFERROR(__xludf.DUMMYFUNCTION("""COMPUTED_VALUE"""),1.0)</f>
        <v>1</v>
      </c>
      <c r="R52" s="600" t="str">
        <f>IFERROR(__xludf.DUMMYFUNCTION("""COMPUTED_VALUE"""),"1")</f>
        <v>1</v>
      </c>
      <c r="S52" s="583" t="str">
        <f t="shared" si="2"/>
        <v>Công nợ NCC</v>
      </c>
      <c r="T52" s="584">
        <f t="shared" si="3"/>
        <v>0</v>
      </c>
      <c r="U52" s="584">
        <f t="shared" si="4"/>
        <v>0</v>
      </c>
      <c r="V52" s="584">
        <f t="shared" si="5"/>
        <v>4377240</v>
      </c>
      <c r="W52" s="585">
        <f t="shared" si="6"/>
        <v>0</v>
      </c>
      <c r="X52" s="77"/>
      <c r="Y52" s="586" t="str">
        <f t="array" ref="Y52">IF($L52="", "", IFERROR(INDEX('1. DATA CHUNG'!$E$4:$E$139, MATCH(INDEX('6. TIẾN ĐỘ MUA HÀNG'!$G$5:$G$76, MATCH($L52, '6. TIẾN ĐỘ MUA HÀNG'!$J$5:$J$76, 0)), '1. DATA CHUNG'!$D$4:$D$139, 0)), ""))</f>
        <v>CÔNG TY TNHH DEGO HOLDING</v>
      </c>
      <c r="Z52" s="587" t="s">
        <v>1305</v>
      </c>
      <c r="AA52" s="586" t="s">
        <v>57</v>
      </c>
      <c r="AB52" s="586">
        <f>if(len(AA52)=0,"", VLOOKUP($AA$5, '0.Ngân Hàng'!$A:$C, 2, 0)
)</f>
        <v>161816186868</v>
      </c>
      <c r="AC52" s="586" t="str">
        <f>if(len(AA52)=0,"", VLOOKUP($AA$5, '0.Ngân Hàng'!$A:$C, 3, 0)
)</f>
        <v> Ngân hàng TMCP Á Châu (ACB)</v>
      </c>
      <c r="AD52" s="588">
        <f t="array" ref="AD52">IF($L52="", "", IFERROR(INDEX('6. TIẾN ĐỘ MUA HÀNG'!AE:AE, MATCH($L52, '6. TIẾN ĐỘ MUA HÀNG'!J:J, 0)), ""))</f>
        <v>82</v>
      </c>
      <c r="AE52" s="394"/>
      <c r="AF52" s="87"/>
    </row>
    <row r="53" ht="30.0" customHeight="1">
      <c r="A53" s="580">
        <v>49.0</v>
      </c>
      <c r="B53" s="570">
        <v>46151.0</v>
      </c>
      <c r="C53" s="571" t="str">
        <f t="array" ref="C53">IF($L53="", "", IFERROR(INDEX('6. TIẾN ĐỘ MUA HÀNG'!F:F, MATCH($L53, '6. TIẾN ĐỘ MUA HÀNG'!J:J, 0)), ""))</f>
        <v>SX - Ms Ly</v>
      </c>
      <c r="D53" s="571" t="str">
        <f t="array" ref="D53">IF($L53="", "", IFERROR(INDEX('6. TIẾN ĐỘ MUA HÀNG'!G:G, MATCH($L53, '6. TIẾN ĐỘ MUA HÀNG'!J:J, 0)), ""))</f>
        <v>DEGO HOLDING</v>
      </c>
      <c r="E53" s="571" t="s">
        <v>1302</v>
      </c>
      <c r="F53" s="572">
        <f>'6. TIẾN ĐỘ MUA HÀNG'!AB52</f>
        <v>7241724</v>
      </c>
      <c r="G53" s="573">
        <v>46154.0</v>
      </c>
      <c r="H53" s="574" t="str">
        <f t="array" ref="H53">IFERROR( XLOOKUP(L33,'6. TIẾN ĐỘ MUA HÀNG'!J:J,'6. TIẾN ĐỘ MUA HÀNG'!I:I),)</f>
        <v>Đông Tây</v>
      </c>
      <c r="I53" s="575" t="s">
        <v>1304</v>
      </c>
      <c r="J53" s="597" t="s">
        <v>1306</v>
      </c>
      <c r="K53" s="577" t="str">
        <f t="array" ref="K53">IF($L53="", "", IFERROR(INDEX('6. TIẾN ĐỘ MUA HÀNG'!K:K, MATCH($L53, '6. TIẾN ĐỘ MUA HÀNG'!J:J, 0)), ""))</f>
        <v>Thùng</v>
      </c>
      <c r="L53" s="603" t="s">
        <v>652</v>
      </c>
      <c r="M53" s="579">
        <f t="array" ref="M53">IF($L53="", "", IFERROR(INDEX('6. TIẾN ĐỘ MUA HÀNG'!AF:AF, MATCH($L53, '6. TIẾN ĐỘ MUA HÀNG'!J:J, 0)), ""))</f>
        <v>1</v>
      </c>
      <c r="N53" s="77"/>
      <c r="O53" s="601" t="str">
        <f t="shared" si="1"/>
        <v/>
      </c>
      <c r="P53" s="576"/>
      <c r="Q53" s="600"/>
      <c r="R53" s="600"/>
      <c r="S53" s="583" t="str">
        <f t="shared" si="2"/>
        <v/>
      </c>
      <c r="T53" s="584">
        <f t="shared" si="3"/>
        <v>0</v>
      </c>
      <c r="U53" s="584">
        <f t="shared" si="4"/>
        <v>0</v>
      </c>
      <c r="V53" s="584">
        <f t="shared" si="5"/>
        <v>0</v>
      </c>
      <c r="W53" s="585">
        <f t="shared" si="6"/>
        <v>0</v>
      </c>
      <c r="X53" s="77"/>
      <c r="Y53" s="586" t="str">
        <f t="array" ref="Y53">IF($L53="", "", IFERROR(INDEX('1. DATA CHUNG'!$E$4:$E$139, MATCH(INDEX('6. TIẾN ĐỘ MUA HÀNG'!$G$5:$G$76, MATCH($L53, '6. TIẾN ĐỘ MUA HÀNG'!$J$5:$J$76, 0)), '1. DATA CHUNG'!$D$4:$D$139, 0)), ""))</f>
        <v>CÔNG TY TNHH DEGO HOLDING</v>
      </c>
      <c r="Z53" s="587" t="s">
        <v>1305</v>
      </c>
      <c r="AA53" s="586" t="s">
        <v>57</v>
      </c>
      <c r="AB53" s="586">
        <f>if(len(AA53)=0,"", VLOOKUP($AA$5, '0.Ngân Hàng'!$A:$C, 2, 0)
)</f>
        <v>161816186868</v>
      </c>
      <c r="AC53" s="586" t="str">
        <f>if(len(AA53)=0,"", VLOOKUP($AA$5, '0.Ngân Hàng'!$A:$C, 3, 0)
)</f>
        <v> Ngân hàng TMCP Á Châu (ACB)</v>
      </c>
      <c r="AD53" s="588">
        <f t="array" ref="AD53">IF($L53="", "", IFERROR(INDEX('6. TIẾN ĐỘ MUA HÀNG'!AE:AE, MATCH($L53, '6. TIẾN ĐỘ MUA HÀNG'!J:J, 0)), ""))</f>
        <v>1092</v>
      </c>
      <c r="AE53" s="394"/>
      <c r="AF53" s="87"/>
    </row>
    <row r="54" ht="30.0" customHeight="1">
      <c r="A54" s="590">
        <v>50.0</v>
      </c>
      <c r="B54" s="591">
        <v>46151.0</v>
      </c>
      <c r="C54" s="592" t="str">
        <f t="array" ref="C54">IF($L54="", "", IFERROR(INDEX('6. TIẾN ĐỘ MUA HÀNG'!F:F, MATCH($L54, '6. TIẾN ĐỘ MUA HÀNG'!J:J, 0)), ""))</f>
        <v>SX - Ms Ly</v>
      </c>
      <c r="D54" s="592" t="str">
        <f t="array" ref="D54">IF($L54="", "", IFERROR(INDEX('6. TIẾN ĐỘ MUA HÀNG'!G:G, MATCH($L54, '6. TIẾN ĐỘ MUA HÀNG'!J:J, 0)), ""))</f>
        <v>DEGO HOLDING</v>
      </c>
      <c r="E54" s="592" t="s">
        <v>1302</v>
      </c>
      <c r="F54" s="593">
        <f>'6. TIẾN ĐỘ MUA HÀNG'!AB53</f>
        <v>2673000</v>
      </c>
      <c r="G54" s="594">
        <v>46154.0</v>
      </c>
      <c r="H54" s="595" t="str">
        <f t="array" ref="H54">IFERROR( XLOOKUP(L34,'6. TIẾN ĐỘ MUA HÀNG'!J:J,'6. TIẾN ĐỘ MUA HÀNG'!I:I),)</f>
        <v>Đông Tây</v>
      </c>
      <c r="I54" s="596" t="s">
        <v>1304</v>
      </c>
      <c r="J54" s="597" t="s">
        <v>1306</v>
      </c>
      <c r="K54" s="577" t="str">
        <f t="array" ref="K54">IF($L54="", "", IFERROR(INDEX('6. TIẾN ĐỘ MUA HÀNG'!K:K, MATCH($L54, '6. TIẾN ĐỘ MUA HÀNG'!J:J, 0)), ""))</f>
        <v>Thùng</v>
      </c>
      <c r="L54" s="603" t="s">
        <v>653</v>
      </c>
      <c r="M54" s="579">
        <f t="array" ref="M54">IF($L54="", "", IFERROR(INDEX('6. TIẾN ĐỘ MUA HÀNG'!AF:AF, MATCH($L54, '6. TIẾN ĐỘ MUA HÀNG'!J:J, 0)), ""))</f>
        <v>1</v>
      </c>
      <c r="N54" s="77"/>
      <c r="O54" s="598" t="str">
        <f t="shared" si="1"/>
        <v/>
      </c>
      <c r="P54" s="576"/>
      <c r="Q54" s="600"/>
      <c r="R54" s="600"/>
      <c r="S54" s="583" t="str">
        <f t="shared" si="2"/>
        <v/>
      </c>
      <c r="T54" s="584">
        <f t="shared" si="3"/>
        <v>0</v>
      </c>
      <c r="U54" s="584">
        <f t="shared" si="4"/>
        <v>0</v>
      </c>
      <c r="V54" s="584">
        <f t="shared" si="5"/>
        <v>0</v>
      </c>
      <c r="W54" s="585">
        <f t="shared" si="6"/>
        <v>0</v>
      </c>
      <c r="X54" s="77"/>
      <c r="Y54" s="586" t="str">
        <f t="array" ref="Y54">IF($L54="", "", IFERROR(INDEX('1. DATA CHUNG'!$E$4:$E$139, MATCH(INDEX('6. TIẾN ĐỘ MUA HÀNG'!$G$5:$G$76, MATCH($L54, '6. TIẾN ĐỘ MUA HÀNG'!$J$5:$J$76, 0)), '1. DATA CHUNG'!$D$4:$D$139, 0)), ""))</f>
        <v>CÔNG TY TNHH DEGO HOLDING</v>
      </c>
      <c r="Z54" s="587" t="s">
        <v>1305</v>
      </c>
      <c r="AA54" s="586" t="s">
        <v>57</v>
      </c>
      <c r="AB54" s="586">
        <f>if(len(AA54)=0,"", VLOOKUP($AA$5, '0.Ngân Hàng'!$A:$C, 2, 0)
)</f>
        <v>161816186868</v>
      </c>
      <c r="AC54" s="586" t="str">
        <f>if(len(AA54)=0,"", VLOOKUP($AA$5, '0.Ngân Hàng'!$A:$C, 3, 0)
)</f>
        <v> Ngân hàng TMCP Á Châu (ACB)</v>
      </c>
      <c r="AD54" s="588">
        <f t="array" ref="AD54">IF($L54="", "", IFERROR(INDEX('6. TIẾN ĐỘ MUA HÀNG'!AE:AE, MATCH($L54, '6. TIẾN ĐỘ MUA HÀNG'!J:J, 0)), ""))</f>
        <v>86</v>
      </c>
      <c r="AE54" s="394"/>
      <c r="AF54" s="87"/>
    </row>
    <row r="55" ht="30.0" customHeight="1">
      <c r="A55" s="580">
        <v>51.0</v>
      </c>
      <c r="B55" s="570">
        <v>46151.0</v>
      </c>
      <c r="C55" s="571" t="str">
        <f t="array" ref="C55">IF($L55="", "", IFERROR(INDEX('6. TIẾN ĐỘ MUA HÀNG'!F:F, MATCH($L55, '6. TIẾN ĐỘ MUA HÀNG'!J:J, 0)), ""))</f>
        <v>SX - Ms Ly</v>
      </c>
      <c r="D55" s="571" t="str">
        <f t="array" ref="D55">IF($L55="", "", IFERROR(INDEX('6. TIẾN ĐỘ MUA HÀNG'!G:G, MATCH($L55, '6. TIẾN ĐỘ MUA HÀNG'!J:J, 0)), ""))</f>
        <v>DEGO HOLDING</v>
      </c>
      <c r="E55" s="571" t="s">
        <v>1302</v>
      </c>
      <c r="F55" s="572">
        <f>'6. TIẾN ĐỘ MUA HÀNG'!AB54</f>
        <v>6526980</v>
      </c>
      <c r="G55" s="573">
        <v>46154.0</v>
      </c>
      <c r="H55" s="574" t="str">
        <f t="array" ref="H55">IFERROR( XLOOKUP(L35,'6. TIẾN ĐỘ MUA HÀNG'!J:J,'6. TIẾN ĐỘ MUA HÀNG'!I:I),)</f>
        <v>Đông Tây</v>
      </c>
      <c r="I55" s="575" t="s">
        <v>1304</v>
      </c>
      <c r="J55" s="597" t="s">
        <v>1306</v>
      </c>
      <c r="K55" s="577" t="str">
        <f t="array" ref="K55">IF($L55="", "", IFERROR(INDEX('6. TIẾN ĐỘ MUA HÀNG'!K:K, MATCH($L55, '6. TIẾN ĐỘ MUA HÀNG'!J:J, 0)), ""))</f>
        <v>Thùng</v>
      </c>
      <c r="L55" s="603" t="s">
        <v>655</v>
      </c>
      <c r="M55" s="579">
        <f t="array" ref="M55">IF($L55="", "", IFERROR(INDEX('6. TIẾN ĐỘ MUA HÀNG'!AF:AF, MATCH($L55, '6. TIẾN ĐỘ MUA HÀNG'!J:J, 0)), ""))</f>
        <v>1</v>
      </c>
      <c r="N55" s="77"/>
      <c r="O55" s="601" t="str">
        <f t="shared" si="1"/>
        <v/>
      </c>
      <c r="P55" s="576"/>
      <c r="Q55" s="600"/>
      <c r="R55" s="600"/>
      <c r="S55" s="583" t="str">
        <f t="shared" si="2"/>
        <v/>
      </c>
      <c r="T55" s="584">
        <f t="shared" si="3"/>
        <v>0</v>
      </c>
      <c r="U55" s="584">
        <f t="shared" si="4"/>
        <v>0</v>
      </c>
      <c r="V55" s="584">
        <f t="shared" si="5"/>
        <v>0</v>
      </c>
      <c r="W55" s="585">
        <f t="shared" si="6"/>
        <v>0</v>
      </c>
      <c r="X55" s="77"/>
      <c r="Y55" s="586" t="str">
        <f t="array" ref="Y55">IF($L55="", "", IFERROR(INDEX('1. DATA CHUNG'!$E$4:$E$139, MATCH(INDEX('6. TIẾN ĐỘ MUA HÀNG'!$G$5:$G$76, MATCH($L55, '6. TIẾN ĐỘ MUA HÀNG'!$J$5:$J$76, 0)), '1. DATA CHUNG'!$D$4:$D$139, 0)), ""))</f>
        <v>CÔNG TY TNHH DEGO HOLDING</v>
      </c>
      <c r="Z55" s="587" t="s">
        <v>1305</v>
      </c>
      <c r="AA55" s="586" t="s">
        <v>57</v>
      </c>
      <c r="AB55" s="586">
        <f>if(len(AA55)=0,"", VLOOKUP($AA$5, '0.Ngân Hàng'!$A:$C, 2, 0)
)</f>
        <v>161816186868</v>
      </c>
      <c r="AC55" s="586" t="str">
        <f>if(len(AA55)=0,"", VLOOKUP($AA$5, '0.Ngân Hàng'!$A:$C, 3, 0)
)</f>
        <v> Ngân hàng TMCP Á Châu (ACB)</v>
      </c>
      <c r="AD55" s="588">
        <f t="array" ref="AD55">IF($L55="", "", IFERROR(INDEX('6. TIẾN ĐỘ MUA HÀNG'!AE:AE, MATCH($L55, '6. TIẾN ĐỘ MUA HÀNG'!J:J, 0)), ""))</f>
        <v>1094</v>
      </c>
      <c r="AE55" s="394"/>
      <c r="AF55" s="87"/>
    </row>
    <row r="56" ht="30.0" customHeight="1">
      <c r="A56" s="590">
        <v>52.0</v>
      </c>
      <c r="B56" s="591">
        <v>46151.0</v>
      </c>
      <c r="C56" s="592" t="str">
        <f t="array" ref="C56">IF($L56="", "", IFERROR(INDEX('6. TIẾN ĐỘ MUA HÀNG'!F:F, MATCH($L56, '6. TIẾN ĐỘ MUA HÀNG'!J:J, 0)), ""))</f>
        <v>SX - Ms Ly</v>
      </c>
      <c r="D56" s="592" t="str">
        <f t="array" ref="D56">IF($L56="", "", IFERROR(INDEX('6. TIẾN ĐỘ MUA HÀNG'!G:G, MATCH($L56, '6. TIẾN ĐỘ MUA HÀNG'!J:J, 0)), ""))</f>
        <v>IDA</v>
      </c>
      <c r="E56" s="592" t="s">
        <v>1302</v>
      </c>
      <c r="F56" s="593">
        <f>'6. TIẾN ĐỘ MUA HÀNG'!AB55</f>
        <v>4377240</v>
      </c>
      <c r="G56" s="594">
        <v>46154.0</v>
      </c>
      <c r="H56" s="595" t="str">
        <f t="array" ref="H56">IFERROR( XLOOKUP(L36,'6. TIẾN ĐỘ MUA HÀNG'!J:J,'6. TIẾN ĐỘ MUA HÀNG'!I:I),)</f>
        <v>Oanh Design</v>
      </c>
      <c r="I56" s="596" t="s">
        <v>1304</v>
      </c>
      <c r="J56" s="597" t="s">
        <v>1306</v>
      </c>
      <c r="K56" s="577" t="str">
        <f t="array" ref="K56">IF($L56="", "", IFERROR(INDEX('6. TIẾN ĐỘ MUA HÀNG'!K:K, MATCH($L56, '6. TIẾN ĐỘ MUA HÀNG'!J:J, 0)), ""))</f>
        <v>Thùng</v>
      </c>
      <c r="L56" s="603" t="s">
        <v>656</v>
      </c>
      <c r="M56" s="579">
        <f t="array" ref="M56">IF($L56="", "", IFERROR(INDEX('6. TIẾN ĐỘ MUA HÀNG'!AF:AF, MATCH($L56, '6. TIẾN ĐỘ MUA HÀNG'!J:J, 0)), ""))</f>
        <v>1</v>
      </c>
      <c r="N56" s="77"/>
      <c r="O56" s="598" t="str">
        <f t="shared" si="1"/>
        <v/>
      </c>
      <c r="P56" s="576"/>
      <c r="Q56" s="600"/>
      <c r="R56" s="600"/>
      <c r="S56" s="583" t="str">
        <f t="shared" si="2"/>
        <v/>
      </c>
      <c r="T56" s="584">
        <f t="shared" si="3"/>
        <v>0</v>
      </c>
      <c r="U56" s="584">
        <f t="shared" si="4"/>
        <v>0</v>
      </c>
      <c r="V56" s="584">
        <f t="shared" si="5"/>
        <v>0</v>
      </c>
      <c r="W56" s="585">
        <f t="shared" si="6"/>
        <v>0</v>
      </c>
      <c r="X56" s="77"/>
      <c r="Y56" s="586" t="str">
        <f t="array" ref="Y56">IF($L56="", "", IFERROR(INDEX('1. DATA CHUNG'!$E$4:$E$139, MATCH(INDEX('6. TIẾN ĐỘ MUA HÀNG'!$G$5:$G$76, MATCH($L56, '6. TIẾN ĐỘ MUA HÀNG'!$J$5:$J$76, 0)), '1. DATA CHUNG'!$D$4:$D$139, 0)), ""))</f>
        <v>CÔNG TY TNHH XUẤT NHẬP KHẨU IDA GLOBAL</v>
      </c>
      <c r="Z56" s="587" t="s">
        <v>1305</v>
      </c>
      <c r="AA56" s="586" t="s">
        <v>57</v>
      </c>
      <c r="AB56" s="586">
        <f>if(len(AA56)=0,"", VLOOKUP($AA$5, '0.Ngân Hàng'!$A:$C, 2, 0)
)</f>
        <v>161816186868</v>
      </c>
      <c r="AC56" s="586" t="str">
        <f>if(len(AA56)=0,"", VLOOKUP($AA$5, '0.Ngân Hàng'!$A:$C, 3, 0)
)</f>
        <v> Ngân hàng TMCP Á Châu (ACB)</v>
      </c>
      <c r="AD56" s="588">
        <f t="array" ref="AD56">IF($L56="", "", IFERROR(INDEX('6. TIẾN ĐỘ MUA HÀNG'!AE:AE, MATCH($L56, '6. TIẾN ĐỘ MUA HÀNG'!J:J, 0)), ""))</f>
        <v>1056</v>
      </c>
      <c r="AE56" s="394"/>
      <c r="AF56" s="87"/>
    </row>
    <row r="57" ht="30.0" customHeight="1">
      <c r="A57" s="580">
        <v>53.0</v>
      </c>
      <c r="B57" s="570">
        <v>46151.0</v>
      </c>
      <c r="C57" s="571" t="str">
        <f t="array" ref="C57">IF($L57="", "", IFERROR(INDEX('6. TIẾN ĐỘ MUA HÀNG'!F:F, MATCH($L57, '6. TIẾN ĐỘ MUA HÀNG'!J:J, 0)), ""))</f>
        <v>SX - Ms Ly</v>
      </c>
      <c r="D57" s="571" t="str">
        <f t="array" ref="D57">IF($L57="", "", IFERROR(INDEX('6. TIẾN ĐỘ MUA HÀNG'!G:G, MATCH($L57, '6. TIẾN ĐỘ MUA HÀNG'!J:J, 0)), ""))</f>
        <v>DEGO HOLDING</v>
      </c>
      <c r="E57" s="571" t="s">
        <v>1302</v>
      </c>
      <c r="F57" s="572">
        <f>'6. TIẾN ĐỘ MUA HÀNG'!AB56</f>
        <v>2230308</v>
      </c>
      <c r="G57" s="573">
        <v>46154.0</v>
      </c>
      <c r="H57" s="574" t="str">
        <f t="array" ref="H57">IFERROR( XLOOKUP(L37,'6. TIẾN ĐỘ MUA HÀNG'!J:J,'6. TIẾN ĐỘ MUA HÀNG'!I:I),)</f>
        <v>Oanh Design</v>
      </c>
      <c r="I57" s="575" t="s">
        <v>1304</v>
      </c>
      <c r="J57" s="597" t="s">
        <v>1306</v>
      </c>
      <c r="K57" s="577" t="str">
        <f t="array" ref="K57">IF($L57="", "", IFERROR(INDEX('6. TIẾN ĐỘ MUA HÀNG'!K:K, MATCH($L57, '6. TIẾN ĐỘ MUA HÀNG'!J:J, 0)), ""))</f>
        <v>Thùng</v>
      </c>
      <c r="L57" s="603" t="s">
        <v>657</v>
      </c>
      <c r="M57" s="579">
        <f t="array" ref="M57">IF($L57="", "", IFERROR(INDEX('6. TIẾN ĐỘ MUA HÀNG'!AF:AF, MATCH($L57, '6. TIẾN ĐỘ MUA HÀNG'!J:J, 0)), ""))</f>
        <v>1</v>
      </c>
      <c r="N57" s="77"/>
      <c r="O57" s="601" t="str">
        <f t="shared" si="1"/>
        <v/>
      </c>
      <c r="P57" s="576"/>
      <c r="Q57" s="600"/>
      <c r="R57" s="600"/>
      <c r="S57" s="583" t="str">
        <f t="shared" si="2"/>
        <v/>
      </c>
      <c r="T57" s="584">
        <f t="shared" si="3"/>
        <v>0</v>
      </c>
      <c r="U57" s="584">
        <f t="shared" si="4"/>
        <v>0</v>
      </c>
      <c r="V57" s="584">
        <f t="shared" si="5"/>
        <v>0</v>
      </c>
      <c r="W57" s="585">
        <f t="shared" si="6"/>
        <v>0</v>
      </c>
      <c r="X57" s="77"/>
      <c r="Y57" s="586" t="str">
        <f t="array" ref="Y57">IF($L57="", "", IFERROR(INDEX('1. DATA CHUNG'!$E$4:$E$139, MATCH(INDEX('6. TIẾN ĐỘ MUA HÀNG'!$G$5:$G$76, MATCH($L57, '6. TIẾN ĐỘ MUA HÀNG'!$J$5:$J$76, 0)), '1. DATA CHUNG'!$D$4:$D$139, 0)), ""))</f>
        <v>CÔNG TY TNHH DEGO HOLDING</v>
      </c>
      <c r="Z57" s="587" t="s">
        <v>1305</v>
      </c>
      <c r="AA57" s="586" t="s">
        <v>57</v>
      </c>
      <c r="AB57" s="586">
        <f>if(len(AA57)=0,"", VLOOKUP($AA$5, '0.Ngân Hàng'!$A:$C, 2, 0)
)</f>
        <v>161816186868</v>
      </c>
      <c r="AC57" s="586" t="str">
        <f>if(len(AA57)=0,"", VLOOKUP($AA$5, '0.Ngân Hàng'!$A:$C, 3, 0)
)</f>
        <v> Ngân hàng TMCP Á Châu (ACB)</v>
      </c>
      <c r="AD57" s="588">
        <f t="array" ref="AD57">IF($L57="", "", IFERROR(INDEX('6. TIẾN ĐỘ MUA HÀNG'!AE:AE, MATCH($L57, '6. TIẾN ĐỘ MUA HÀNG'!J:J, 0)), ""))</f>
        <v>1057</v>
      </c>
      <c r="AE57" s="394"/>
      <c r="AF57" s="87"/>
    </row>
    <row r="58" ht="30.0" customHeight="1">
      <c r="A58" s="590">
        <v>54.0</v>
      </c>
      <c r="B58" s="591">
        <v>46151.0</v>
      </c>
      <c r="C58" s="592" t="str">
        <f t="array" ref="C58">IF($L58="", "", IFERROR(INDEX('6. TIẾN ĐỘ MUA HÀNG'!F:F, MATCH($L58, '6. TIẾN ĐỘ MUA HÀNG'!J:J, 0)), ""))</f>
        <v/>
      </c>
      <c r="D58" s="592" t="str">
        <f t="array" ref="D58">IF($L58="", "", IFERROR(INDEX('6. TIẾN ĐỘ MUA HÀNG'!G:G, MATCH($L58, '6. TIẾN ĐỘ MUA HÀNG'!J:J, 0)), ""))</f>
        <v/>
      </c>
      <c r="E58" s="592" t="s">
        <v>1308</v>
      </c>
      <c r="F58" s="593">
        <v>6.1623504E7</v>
      </c>
      <c r="G58" s="594">
        <v>46154.0</v>
      </c>
      <c r="H58" s="595" t="str">
        <f t="array" ref="H58">IFERROR( XLOOKUP(L38,'6. TIẾN ĐỘ MUA HÀNG'!J:J,'6. TIẾN ĐỘ MUA HÀNG'!I:I),)</f>
        <v>Oanh Design</v>
      </c>
      <c r="I58" s="596" t="s">
        <v>1304</v>
      </c>
      <c r="J58" s="597" t="s">
        <v>1306</v>
      </c>
      <c r="K58" s="577" t="str">
        <f t="array" ref="K58">IF($L58="", "", IFERROR(INDEX('6. TIẾN ĐỘ MUA HÀNG'!K:K, MATCH($L58, '6. TIẾN ĐỘ MUA HÀNG'!J:J, 0)), ""))</f>
        <v/>
      </c>
      <c r="L58" s="604"/>
      <c r="M58" s="579" t="str">
        <f t="array" ref="M58">IF($L58="", "", IFERROR(INDEX('6. TIẾN ĐỘ MUA HÀNG'!AF:AF, MATCH($L58, '6. TIẾN ĐỘ MUA HÀNG'!J:J, 0)), ""))</f>
        <v/>
      </c>
      <c r="N58" s="77"/>
      <c r="O58" s="598" t="str">
        <f>IF(P58="","",COUNTA($P$5:P33))</f>
        <v/>
      </c>
      <c r="P58" s="576"/>
      <c r="Q58" s="600"/>
      <c r="R58" s="600"/>
      <c r="S58" s="583" t="str">
        <f t="shared" si="2"/>
        <v/>
      </c>
      <c r="T58" s="584">
        <f t="shared" si="3"/>
        <v>0</v>
      </c>
      <c r="U58" s="584">
        <f t="shared" si="4"/>
        <v>0</v>
      </c>
      <c r="V58" s="584">
        <f t="shared" si="5"/>
        <v>0</v>
      </c>
      <c r="W58" s="585">
        <f t="shared" si="6"/>
        <v>0</v>
      </c>
      <c r="X58" s="77"/>
      <c r="Y58" s="586" t="str">
        <f t="array" ref="Y58">IF($L58="", "", IFERROR(INDEX('1. DATA CHUNG'!$E$4:$E$139, MATCH(INDEX('6. TIẾN ĐỘ MUA HÀNG'!$G$5:$G$76, MATCH($L58, '6. TIẾN ĐỘ MUA HÀNG'!$J$5:$J$76, 0)), '1. DATA CHUNG'!$D$4:$D$139, 0)), ""))</f>
        <v/>
      </c>
      <c r="Z58" s="587" t="s">
        <v>1305</v>
      </c>
      <c r="AA58" s="586" t="s">
        <v>57</v>
      </c>
      <c r="AB58" s="586">
        <f>if(len(AA58)=0,"", VLOOKUP($AA$5, '0.Ngân Hàng'!$A:$C, 2, 0)
)</f>
        <v>161816186868</v>
      </c>
      <c r="AC58" s="586" t="str">
        <f>if(len(AA58)=0,"", VLOOKUP($AA$5, '0.Ngân Hàng'!$A:$C, 3, 0)
)</f>
        <v> Ngân hàng TMCP Á Châu (ACB)</v>
      </c>
      <c r="AD58" s="588" t="str">
        <f t="array" ref="AD58">IF($L58="", "", IFERROR(INDEX('6. TIẾN ĐỘ MUA HÀNG'!AE:AE, MATCH($L58, '6. TIẾN ĐỘ MUA HÀNG'!J:J, 0)), ""))</f>
        <v/>
      </c>
      <c r="AE58" s="394"/>
      <c r="AF58" s="586" t="str">
        <f t="array" ref="AF58">IF($L58="", "", IFERROR(INDEX('6. TIẾN ĐỘ MUA HÀNG'!AT:AT, MATCH($L58, '6. TIẾN ĐỘ MUA HÀNG'!$J:$J, 0)), ""))</f>
        <v/>
      </c>
    </row>
    <row r="59" ht="30.0" customHeight="1">
      <c r="A59" s="580">
        <v>55.0</v>
      </c>
      <c r="B59" s="570">
        <v>46151.0</v>
      </c>
      <c r="C59" s="571" t="str">
        <f t="array" ref="C59">IF($L59="", "", IFERROR(INDEX('6. TIẾN ĐỘ MUA HÀNG'!F:F, MATCH($L59, '6. TIẾN ĐỘ MUA HÀNG'!J:J, 0)), ""))</f>
        <v/>
      </c>
      <c r="D59" s="571" t="str">
        <f t="array" ref="D59">IF($L59="", "", IFERROR(INDEX('6. TIẾN ĐỘ MUA HÀNG'!G:G, MATCH($L59, '6. TIẾN ĐỘ MUA HÀNG'!J:J, 0)), ""))</f>
        <v/>
      </c>
      <c r="E59" s="571" t="s">
        <v>1308</v>
      </c>
      <c r="F59" s="572">
        <v>1.62000756E8</v>
      </c>
      <c r="G59" s="573">
        <v>46154.0</v>
      </c>
      <c r="H59" s="574" t="str">
        <f t="array" ref="H59">IFERROR( XLOOKUP(L39,'6. TIẾN ĐỘ MUA HÀNG'!J:J,'6. TIẾN ĐỘ MUA HÀNG'!I:I),)</f>
        <v>Đông Tây</v>
      </c>
      <c r="I59" s="575" t="s">
        <v>1304</v>
      </c>
      <c r="J59" s="597" t="s">
        <v>1306</v>
      </c>
      <c r="K59" s="577" t="str">
        <f t="array" ref="K59">IF($L59="", "", IFERROR(INDEX('6. TIẾN ĐỘ MUA HÀNG'!K:K, MATCH($L59, '6. TIẾN ĐỘ MUA HÀNG'!J:J, 0)), ""))</f>
        <v/>
      </c>
      <c r="L59" s="604"/>
      <c r="M59" s="579"/>
      <c r="N59" s="77"/>
      <c r="O59" s="601"/>
      <c r="P59" s="576"/>
      <c r="Q59" s="600"/>
      <c r="R59" s="600"/>
      <c r="S59" s="583" t="str">
        <f t="shared" si="2"/>
        <v/>
      </c>
      <c r="T59" s="584">
        <f t="shared" si="3"/>
        <v>0</v>
      </c>
      <c r="U59" s="584">
        <f t="shared" si="4"/>
        <v>0</v>
      </c>
      <c r="V59" s="584">
        <f t="shared" si="5"/>
        <v>0</v>
      </c>
      <c r="W59" s="585">
        <f t="shared" si="6"/>
        <v>0</v>
      </c>
      <c r="X59" s="77"/>
      <c r="Y59" s="586" t="str">
        <f t="array" ref="Y59">IF($L59="", "", IFERROR(INDEX('1. DATA CHUNG'!$E$4:$E$139, MATCH(INDEX('6. TIẾN ĐỘ MUA HÀNG'!$G$5:$G$76, MATCH($L59, '6. TIẾN ĐỘ MUA HÀNG'!$J$5:$J$76, 0)), '1. DATA CHUNG'!$D$4:$D$139, 0)), ""))</f>
        <v/>
      </c>
      <c r="Z59" s="587" t="s">
        <v>1305</v>
      </c>
      <c r="AA59" s="586" t="s">
        <v>57</v>
      </c>
      <c r="AB59" s="586">
        <f>if(len(AA59)=0,"", VLOOKUP($AA$5, '0.Ngân Hàng'!$A:$C, 2, 0)
)</f>
        <v>161816186868</v>
      </c>
      <c r="AC59" s="586" t="str">
        <f>if(len(AA59)=0,"", VLOOKUP($AA$5, '0.Ngân Hàng'!$A:$C, 3, 0)
)</f>
        <v> Ngân hàng TMCP Á Châu (ACB)</v>
      </c>
      <c r="AD59" s="588"/>
      <c r="AE59" s="394"/>
      <c r="AF59" s="586" t="str">
        <f t="array" ref="AF59">IF($L59="", "", IFERROR(INDEX('6. TIẾN ĐỘ MUA HÀNG'!AT:AT, MATCH($L59, '6. TIẾN ĐỘ MUA HÀNG'!$J:$J, 0)), ""))</f>
        <v/>
      </c>
    </row>
    <row r="60" ht="30.0" customHeight="1">
      <c r="A60" s="590">
        <v>56.0</v>
      </c>
      <c r="B60" s="591">
        <v>46151.0</v>
      </c>
      <c r="C60" s="592" t="str">
        <f t="array" ref="C60">IF($L60="", "", IFERROR(INDEX('6. TIẾN ĐỘ MUA HÀNG'!F:F, MATCH($L60, '6. TIẾN ĐỘ MUA HÀNG'!J:J, 0)), ""))</f>
        <v/>
      </c>
      <c r="D60" s="592" t="str">
        <f t="array" ref="D60">IF($L60="", "", IFERROR(INDEX('6. TIẾN ĐỘ MUA HÀNG'!G:G, MATCH($L60, '6. TIẾN ĐỘ MUA HÀNG'!J:J, 0)), ""))</f>
        <v/>
      </c>
      <c r="E60" s="592" t="s">
        <v>1308</v>
      </c>
      <c r="F60" s="593">
        <v>9636840.0</v>
      </c>
      <c r="G60" s="594">
        <v>46154.0</v>
      </c>
      <c r="H60" s="595" t="str">
        <f t="array" ref="H60">IFERROR( XLOOKUP(L40,'6. TIẾN ĐỘ MUA HÀNG'!J:J,'6. TIẾN ĐỘ MUA HÀNG'!I:I),)</f>
        <v>Đông Tây</v>
      </c>
      <c r="I60" s="596" t="s">
        <v>1304</v>
      </c>
      <c r="J60" s="576" t="str">
        <f t="shared" ref="J60:J80" si="7">IFERROR( IFS(I60="1","Công nợ NCC", I60="2.10","Lãi trả chậm"),"")</f>
        <v>Công nợ NCC</v>
      </c>
      <c r="K60" s="577" t="str">
        <f t="array" ref="K60">IF($L60="", "", IFERROR(INDEX('6. TIẾN ĐỘ MUA HÀNG'!K:K, MATCH($L60, '6. TIẾN ĐỘ MUA HÀNG'!J:J, 0)), ""))</f>
        <v/>
      </c>
      <c r="L60" s="604"/>
      <c r="M60" s="579" t="str">
        <f t="array" ref="M60">IF($L60="", "", IFERROR(INDEX('6. TIẾN ĐỘ MUA HÀNG'!AF:AF, MATCH($L60, '6. TIẾN ĐỘ MUA HÀNG'!J:J, 0)), ""))</f>
        <v/>
      </c>
      <c r="N60" s="77"/>
      <c r="O60" s="601" t="str">
        <f>IF(P60="","",COUNTA($P$5:P33))</f>
        <v/>
      </c>
      <c r="P60" s="576"/>
      <c r="Q60" s="600"/>
      <c r="R60" s="600"/>
      <c r="S60" s="583" t="str">
        <f t="shared" si="2"/>
        <v/>
      </c>
      <c r="T60" s="584">
        <f t="shared" si="3"/>
        <v>0</v>
      </c>
      <c r="U60" s="584">
        <f t="shared" si="4"/>
        <v>0</v>
      </c>
      <c r="V60" s="584">
        <f t="shared" si="5"/>
        <v>0</v>
      </c>
      <c r="W60" s="585">
        <f t="shared" si="6"/>
        <v>0</v>
      </c>
      <c r="X60" s="77"/>
      <c r="Y60" s="586" t="str">
        <f t="array" ref="Y60">IF($L60="", "", IFERROR(INDEX('1. DATA CHUNG'!$E$4:$E$139, MATCH(INDEX('6. TIẾN ĐỘ MUA HÀNG'!$G$5:$G$76, MATCH($L60, '6. TIẾN ĐỘ MUA HÀNG'!$J$5:$J$76, 0)), '1. DATA CHUNG'!$D$4:$D$139, 0)), ""))</f>
        <v/>
      </c>
      <c r="Z60" s="587" t="s">
        <v>1305</v>
      </c>
      <c r="AA60" s="586" t="s">
        <v>57</v>
      </c>
      <c r="AB60" s="586">
        <f>if(len(AA60)=0,"", VLOOKUP($AA$5, '0.Ngân Hàng'!$A:$C, 2, 0)
)</f>
        <v>161816186868</v>
      </c>
      <c r="AC60" s="586" t="str">
        <f>if(len(AA60)=0,"", VLOOKUP($AA$5, '0.Ngân Hàng'!$A:$C, 3, 0)
)</f>
        <v> Ngân hàng TMCP Á Châu (ACB)</v>
      </c>
      <c r="AD60" s="588" t="str">
        <f t="array" ref="AD60">IF($L60="", "", IFERROR(INDEX('6. TIẾN ĐỘ MUA HÀNG'!AE:AE, MATCH($L60, '6. TIẾN ĐỘ MUA HÀNG'!J:J, 0)), ""))</f>
        <v/>
      </c>
      <c r="AE60" s="394"/>
      <c r="AF60" s="586" t="str">
        <f t="array" ref="AF60">IF($L60="", "", IFERROR(INDEX('6. TIẾN ĐỘ MUA HÀNG'!AT:AT, MATCH($L60, '6. TIẾN ĐỘ MUA HÀNG'!$J:$J, 0)), ""))</f>
        <v/>
      </c>
    </row>
    <row r="61" ht="30.0" customHeight="1">
      <c r="A61" s="580">
        <v>57.0</v>
      </c>
      <c r="B61" s="570">
        <v>46151.0</v>
      </c>
      <c r="C61" s="571" t="str">
        <f t="array" ref="C61">IF($L61="", "", IFERROR(INDEX('6. TIẾN ĐỘ MUA HÀNG'!F:F, MATCH($L61, '6. TIẾN ĐỘ MUA HÀNG'!J:J, 0)), ""))</f>
        <v/>
      </c>
      <c r="D61" s="571" t="str">
        <f t="array" ref="D61">IF($L61="", "", IFERROR(INDEX('6. TIẾN ĐỘ MUA HÀNG'!G:G, MATCH($L61, '6. TIẾN ĐỘ MUA HÀNG'!J:J, 0)), ""))</f>
        <v/>
      </c>
      <c r="E61" s="571" t="s">
        <v>1308</v>
      </c>
      <c r="F61" s="572">
        <v>5400216.0</v>
      </c>
      <c r="G61" s="573">
        <v>46170.0</v>
      </c>
      <c r="H61" s="574" t="str">
        <f t="array" ref="H61">IFERROR( XLOOKUP(L41,'6. TIẾN ĐỘ MUA HÀNG'!J:J,'6. TIẾN ĐỘ MUA HÀNG'!I:I),)</f>
        <v>Đông Tây</v>
      </c>
      <c r="I61" s="575" t="s">
        <v>1304</v>
      </c>
      <c r="J61" s="576" t="str">
        <f t="shared" si="7"/>
        <v>Công nợ NCC</v>
      </c>
      <c r="K61" s="577" t="str">
        <f t="array" ref="K61">IF($L61="", "", IFERROR(INDEX('6. TIẾN ĐỘ MUA HÀNG'!K:K, MATCH($L61, '6. TIẾN ĐỘ MUA HÀNG'!J:J, 0)), ""))</f>
        <v/>
      </c>
      <c r="L61" s="604"/>
      <c r="M61" s="579" t="str">
        <f t="array" ref="M61">IF($L61="", "", IFERROR(INDEX('6. TIẾN ĐỘ MUA HÀNG'!AF:AF, MATCH($L61, '6. TIẾN ĐỘ MUA HÀNG'!J:J, 0)), ""))</f>
        <v/>
      </c>
      <c r="N61" s="77"/>
      <c r="O61" s="598" t="str">
        <f t="shared" ref="O61:O80" si="8">IF(P61="","",COUNTA($P$5:P61))</f>
        <v/>
      </c>
      <c r="P61" s="576"/>
      <c r="Q61" s="605"/>
      <c r="R61" s="605"/>
      <c r="S61" s="583" t="str">
        <f t="shared" si="2"/>
        <v/>
      </c>
      <c r="T61" s="584">
        <f t="shared" si="3"/>
        <v>0</v>
      </c>
      <c r="U61" s="584">
        <f t="shared" si="4"/>
        <v>0</v>
      </c>
      <c r="V61" s="584">
        <f t="shared" si="5"/>
        <v>0</v>
      </c>
      <c r="W61" s="585">
        <f t="shared" si="6"/>
        <v>0</v>
      </c>
      <c r="X61" s="77"/>
      <c r="Y61" s="586" t="str">
        <f t="array" ref="Y61">IF($L61="", "", IFERROR(INDEX('1. DATA CHUNG'!$E$4:$E$139, MATCH(INDEX('6. TIẾN ĐỘ MUA HÀNG'!$G$5:$G$76, MATCH($L61, '6. TIẾN ĐỘ MUA HÀNG'!$J$5:$J$76, 0)), '1. DATA CHUNG'!$D$4:$D$139, 0)), ""))</f>
        <v/>
      </c>
      <c r="Z61" s="587" t="s">
        <v>1305</v>
      </c>
      <c r="AA61" s="586" t="s">
        <v>57</v>
      </c>
      <c r="AB61" s="586">
        <f>if(len(AA61)=0,"", VLOOKUP($AA$5, '0.Ngân Hàng'!$A:$C, 2, 0)
)</f>
        <v>161816186868</v>
      </c>
      <c r="AC61" s="586" t="str">
        <f>if(len(AA61)=0,"", VLOOKUP($AA$5, '0.Ngân Hàng'!$A:$C, 3, 0)
)</f>
        <v> Ngân hàng TMCP Á Châu (ACB)</v>
      </c>
      <c r="AD61" s="588" t="str">
        <f t="array" ref="AD61">IF($L61="", "", IFERROR(INDEX('6. TIẾN ĐỘ MUA HÀNG'!AE:AE, MATCH($L61, '6. TIẾN ĐỘ MUA HÀNG'!J:J, 0)), ""))</f>
        <v/>
      </c>
      <c r="AE61" s="394"/>
      <c r="AF61" s="87"/>
    </row>
    <row r="62" ht="30.0" customHeight="1">
      <c r="A62" s="590">
        <v>58.0</v>
      </c>
      <c r="B62" s="591">
        <v>46178.0</v>
      </c>
      <c r="C62" s="592" t="str">
        <f t="array" ref="C62">IF($L63="", "", IFERROR(INDEX('6. TIẾN ĐỘ MUA HÀNG'!F:F, MATCH($L63, '6. TIẾN ĐỘ MUA HÀNG'!J:J, 0)), ""))</f>
        <v/>
      </c>
      <c r="D62" s="592" t="str">
        <f t="array" ref="D62">IF($L62="", "", IFERROR(INDEX('6. TIẾN ĐỘ MUA HÀNG'!G:G, MATCH($L62, '6. TIẾN ĐỘ MUA HÀNG'!J:J, 0)), ""))</f>
        <v/>
      </c>
      <c r="E62" s="592" t="s">
        <v>1308</v>
      </c>
      <c r="F62" s="593">
        <f>'10. ĐỐI CHIẾU CÔNG NỢ'!G13</f>
        <v>59713308</v>
      </c>
      <c r="G62" s="594">
        <v>46183.0</v>
      </c>
      <c r="H62" s="595" t="str">
        <f t="array" ref="H62">IFERROR( XLOOKUP(L42,'6. TIẾN ĐỘ MUA HÀNG'!J:J,'6. TIẾN ĐỘ MUA HÀNG'!I:I),)</f>
        <v>Đông Tây</v>
      </c>
      <c r="I62" s="606"/>
      <c r="J62" s="576" t="str">
        <f t="shared" si="7"/>
        <v/>
      </c>
      <c r="K62" s="577" t="str">
        <f t="array" ref="K62">IF($L62="", "", IFERROR(INDEX('6. TIẾN ĐỘ MUA HÀNG'!K:K, MATCH($L62, '6. TIẾN ĐỘ MUA HÀNG'!J:J, 0)), ""))</f>
        <v/>
      </c>
      <c r="L62" s="604"/>
      <c r="M62" s="579" t="str">
        <f t="array" ref="M62">IF($L62="", "", IFERROR(INDEX('6. TIẾN ĐỘ MUA HÀNG'!AF:AF, MATCH($L62, '6. TIẾN ĐỘ MUA HÀNG'!J:J, 0)), ""))</f>
        <v/>
      </c>
      <c r="N62" s="77"/>
      <c r="O62" s="601" t="str">
        <f t="shared" si="8"/>
        <v/>
      </c>
      <c r="P62" s="576"/>
      <c r="Q62" s="605"/>
      <c r="R62" s="605"/>
      <c r="S62" s="583" t="str">
        <f t="shared" si="2"/>
        <v/>
      </c>
      <c r="T62" s="584">
        <f t="shared" si="3"/>
        <v>0</v>
      </c>
      <c r="U62" s="584">
        <f t="shared" si="4"/>
        <v>0</v>
      </c>
      <c r="V62" s="584">
        <f t="shared" si="5"/>
        <v>0</v>
      </c>
      <c r="W62" s="585">
        <f t="shared" si="6"/>
        <v>0</v>
      </c>
      <c r="X62" s="77"/>
      <c r="Y62" s="586" t="str">
        <f t="array" ref="Y62">IF($L62="", "", IFERROR(INDEX('1. DATA CHUNG'!$E$4:$E$139, MATCH(INDEX('6. TIẾN ĐỘ MUA HÀNG'!$G$5:$G$76, MATCH($L62, '6. TIẾN ĐỘ MUA HÀNG'!$J$5:$J$76, 0)), '1. DATA CHUNG'!$D$4:$D$139, 0)), ""))</f>
        <v/>
      </c>
      <c r="Z62" s="587" t="s">
        <v>1305</v>
      </c>
      <c r="AA62" s="586" t="s">
        <v>57</v>
      </c>
      <c r="AB62" s="586">
        <f>if(len(AA62)=0,"", VLOOKUP($AA$5, '0.Ngân Hàng'!$A:$C, 2, 0)
)</f>
        <v>161816186868</v>
      </c>
      <c r="AC62" s="586" t="str">
        <f>if(len(AA62)=0,"", VLOOKUP($AA$5, '0.Ngân Hàng'!$A:$C, 3, 0)
)</f>
        <v> Ngân hàng TMCP Á Châu (ACB)</v>
      </c>
      <c r="AD62" s="588" t="str">
        <f t="array" ref="AD62">IF($L62="", "", IFERROR(INDEX('6. TIẾN ĐỘ MUA HÀNG'!AE:AE, MATCH($L62, '6. TIẾN ĐỘ MUA HÀNG'!J:J, 0)), ""))</f>
        <v/>
      </c>
      <c r="AE62" s="394"/>
      <c r="AF62" s="87"/>
    </row>
    <row r="63" ht="30.0" customHeight="1">
      <c r="A63" s="580">
        <v>59.0</v>
      </c>
      <c r="B63" s="570">
        <v>46178.0</v>
      </c>
      <c r="C63" s="607"/>
      <c r="D63" s="571" t="str">
        <f t="array" ref="D63">IF($L63="", "", IFERROR(INDEX('6. TIẾN ĐỘ MUA HÀNG'!G:G, MATCH($L63, '6. TIẾN ĐỘ MUA HÀNG'!J:J, 0)), ""))</f>
        <v/>
      </c>
      <c r="E63" s="571" t="s">
        <v>1308</v>
      </c>
      <c r="F63" s="572">
        <f>'10. ĐỐI CHIẾU CÔNG NỢ'!G14</f>
        <v>18482688</v>
      </c>
      <c r="G63" s="573">
        <v>46183.0</v>
      </c>
      <c r="H63" s="574" t="str">
        <f t="array" ref="H63">IFERROR( XLOOKUP(L43,'6. TIẾN ĐỘ MUA HÀNG'!J:J,'6. TIẾN ĐỘ MUA HÀNG'!I:I),)</f>
        <v>Đông Tây</v>
      </c>
      <c r="I63" s="608"/>
      <c r="J63" s="576" t="str">
        <f t="shared" si="7"/>
        <v/>
      </c>
      <c r="K63" s="577" t="str">
        <f t="array" ref="K63">IF($L63="", "", IFERROR(INDEX('6. TIẾN ĐỘ MUA HÀNG'!K:K, MATCH($L63, '6. TIẾN ĐỘ MUA HÀNG'!J:J, 0)), ""))</f>
        <v/>
      </c>
      <c r="L63" s="604"/>
      <c r="M63" s="579" t="str">
        <f t="array" ref="M63">IF($L63="", "", IFERROR(INDEX('6. TIẾN ĐỘ MUA HÀNG'!AF:AF, MATCH($L63, '6. TIẾN ĐỘ MUA HÀNG'!J:J, 0)), ""))</f>
        <v/>
      </c>
      <c r="N63" s="77"/>
      <c r="O63" s="598" t="str">
        <f t="shared" si="8"/>
        <v/>
      </c>
      <c r="P63" s="576"/>
      <c r="Q63" s="605"/>
      <c r="R63" s="605"/>
      <c r="S63" s="583" t="str">
        <f t="shared" si="2"/>
        <v/>
      </c>
      <c r="T63" s="584">
        <f t="shared" si="3"/>
        <v>0</v>
      </c>
      <c r="U63" s="584">
        <f t="shared" si="4"/>
        <v>0</v>
      </c>
      <c r="V63" s="584">
        <f t="shared" si="5"/>
        <v>0</v>
      </c>
      <c r="W63" s="585">
        <f t="shared" si="6"/>
        <v>0</v>
      </c>
      <c r="X63" s="77"/>
      <c r="Y63" s="586" t="str">
        <f t="array" ref="Y63">IF($L63="", "", IFERROR(INDEX('1. DATA CHUNG'!$E$4:$E$139, MATCH(INDEX('6. TIẾN ĐỘ MUA HÀNG'!$G$5:$G$76, MATCH($L63, '6. TIẾN ĐỘ MUA HÀNG'!$J$5:$J$76, 0)), '1. DATA CHUNG'!$D$4:$D$139, 0)), ""))</f>
        <v/>
      </c>
      <c r="Z63" s="587" t="s">
        <v>1305</v>
      </c>
      <c r="AA63" s="586" t="s">
        <v>57</v>
      </c>
      <c r="AB63" s="586">
        <f>if(len(AA63)=0,"", VLOOKUP($AA$5, '0.Ngân Hàng'!$A:$C, 2, 0)
)</f>
        <v>161816186868</v>
      </c>
      <c r="AC63" s="586" t="str">
        <f>if(len(AA63)=0,"", VLOOKUP($AA$5, '0.Ngân Hàng'!$A:$C, 3, 0)
)</f>
        <v> Ngân hàng TMCP Á Châu (ACB)</v>
      </c>
      <c r="AD63" s="588" t="str">
        <f t="array" ref="AD63">IF($L63="", "", IFERROR(INDEX('6. TIẾN ĐỘ MUA HÀNG'!AE:AE, MATCH($L63, '6. TIẾN ĐỘ MUA HÀNG'!J:J, 0)), ""))</f>
        <v/>
      </c>
      <c r="AE63" s="394"/>
      <c r="AF63" s="87"/>
    </row>
    <row r="64" ht="30.0" customHeight="1">
      <c r="A64" s="590" t="s">
        <v>1190</v>
      </c>
      <c r="B64" s="609"/>
      <c r="C64" s="592" t="str">
        <f t="array" ref="C64">IF($L64="", "", IFERROR(INDEX('6. TIẾN ĐỘ MUA HÀNG'!F:F, MATCH($L64, '6. TIẾN ĐỘ MUA HÀNG'!J:J, 0)), ""))</f>
        <v/>
      </c>
      <c r="D64" s="592" t="str">
        <f t="array" ref="D64">IF($L64="", "", IFERROR(INDEX('6. TIẾN ĐỘ MUA HÀNG'!G:G, MATCH($L64, '6. TIẾN ĐỘ MUA HÀNG'!J:J, 0)), ""))</f>
        <v/>
      </c>
      <c r="E64" s="610"/>
      <c r="F64" s="593"/>
      <c r="G64" s="606"/>
      <c r="H64" s="595" t="str">
        <f t="array" ref="H64">IFERROR( XLOOKUP(L44,'6. TIẾN ĐỘ MUA HÀNG'!J:J,'6. TIẾN ĐỘ MUA HÀNG'!I:I),)</f>
        <v>Đông Tây</v>
      </c>
      <c r="I64" s="606"/>
      <c r="J64" s="576" t="str">
        <f t="shared" si="7"/>
        <v/>
      </c>
      <c r="K64" s="577" t="str">
        <f t="array" ref="K64">IF($L64="", "", IFERROR(INDEX('6. TIẾN ĐỘ MUA HÀNG'!K:K, MATCH($L64, '6. TIẾN ĐỘ MUA HÀNG'!J:J, 0)), ""))</f>
        <v/>
      </c>
      <c r="L64" s="604"/>
      <c r="M64" s="579" t="str">
        <f t="array" ref="M64">IF($L64="", "", IFERROR(INDEX('6. TIẾN ĐỘ MUA HÀNG'!AF:AF, MATCH($L64, '6. TIẾN ĐỘ MUA HÀNG'!J:J, 0)), ""))</f>
        <v/>
      </c>
      <c r="N64" s="77"/>
      <c r="O64" s="601" t="str">
        <f t="shared" si="8"/>
        <v/>
      </c>
      <c r="P64" s="576"/>
      <c r="Q64" s="605"/>
      <c r="R64" s="605"/>
      <c r="S64" s="583" t="str">
        <f t="shared" si="2"/>
        <v/>
      </c>
      <c r="T64" s="584">
        <f t="shared" si="3"/>
        <v>0</v>
      </c>
      <c r="U64" s="584">
        <f t="shared" si="4"/>
        <v>0</v>
      </c>
      <c r="V64" s="584">
        <f t="shared" si="5"/>
        <v>0</v>
      </c>
      <c r="W64" s="585">
        <f t="shared" si="6"/>
        <v>0</v>
      </c>
      <c r="X64" s="77"/>
      <c r="Y64" s="586" t="str">
        <f t="array" ref="Y64">IF($L64="", "", IFERROR(INDEX('1. DATA CHUNG'!$E$4:$E$139, MATCH(INDEX('6. TIẾN ĐỘ MUA HÀNG'!$G$5:$G$76, MATCH($L64, '6. TIẾN ĐỘ MUA HÀNG'!$J$5:$J$76, 0)), '1. DATA CHUNG'!$D$4:$D$139, 0)), ""))</f>
        <v/>
      </c>
      <c r="Z64" s="587" t="s">
        <v>1305</v>
      </c>
      <c r="AA64" s="586" t="s">
        <v>57</v>
      </c>
      <c r="AB64" s="586">
        <f>if(len(AA64)=0,"", VLOOKUP($AA$5, '0.Ngân Hàng'!$A:$C, 2, 0)
)</f>
        <v>161816186868</v>
      </c>
      <c r="AC64" s="586" t="str">
        <f>if(len(AA64)=0,"", VLOOKUP($AA$5, '0.Ngân Hàng'!$A:$C, 3, 0)
)</f>
        <v> Ngân hàng TMCP Á Châu (ACB)</v>
      </c>
      <c r="AD64" s="588" t="str">
        <f t="array" ref="AD64">IF($L64="", "", IFERROR(INDEX('6. TIẾN ĐỘ MUA HÀNG'!AE:AE, MATCH($L64, '6. TIẾN ĐỘ MUA HÀNG'!J:J, 0)), ""))</f>
        <v/>
      </c>
      <c r="AE64" s="394"/>
      <c r="AF64" s="87"/>
    </row>
    <row r="65" ht="30.0" customHeight="1">
      <c r="A65" s="580" t="s">
        <v>1190</v>
      </c>
      <c r="B65" s="611"/>
      <c r="C65" s="571" t="str">
        <f t="array" ref="C65">IF($L65="", "", IFERROR(INDEX('6. TIẾN ĐỘ MUA HÀNG'!F:F, MATCH($L65, '6. TIẾN ĐỘ MUA HÀNG'!J:J, 0)), ""))</f>
        <v/>
      </c>
      <c r="D65" s="571" t="str">
        <f t="array" ref="D65">IF($L65="", "", IFERROR(INDEX('6. TIẾN ĐỘ MUA HÀNG'!G:G, MATCH($L65, '6. TIẾN ĐỘ MUA HÀNG'!J:J, 0)), ""))</f>
        <v/>
      </c>
      <c r="E65" s="581"/>
      <c r="F65" s="572"/>
      <c r="G65" s="608"/>
      <c r="H65" s="574" t="str">
        <f t="array" ref="H65">IFERROR( XLOOKUP(L45,'6. TIẾN ĐỘ MUA HÀNG'!J:J,'6. TIẾN ĐỘ MUA HÀNG'!I:I),)</f>
        <v>Đông Tây</v>
      </c>
      <c r="I65" s="608"/>
      <c r="J65" s="576" t="str">
        <f t="shared" si="7"/>
        <v/>
      </c>
      <c r="K65" s="577" t="str">
        <f t="array" ref="K65">IF($L65="", "", IFERROR(INDEX('6. TIẾN ĐỘ MUA HÀNG'!K:K, MATCH($L65, '6. TIẾN ĐỘ MUA HÀNG'!J:J, 0)), ""))</f>
        <v/>
      </c>
      <c r="L65" s="604"/>
      <c r="M65" s="579" t="str">
        <f t="array" ref="M65">IF($L65="", "", IFERROR(INDEX('6. TIẾN ĐỘ MUA HÀNG'!AF:AF, MATCH($L65, '6. TIẾN ĐỘ MUA HÀNG'!J:J, 0)), ""))</f>
        <v/>
      </c>
      <c r="N65" s="77"/>
      <c r="O65" s="598" t="str">
        <f t="shared" si="8"/>
        <v/>
      </c>
      <c r="P65" s="576"/>
      <c r="Q65" s="605"/>
      <c r="R65" s="605"/>
      <c r="S65" s="583" t="str">
        <f t="shared" si="2"/>
        <v/>
      </c>
      <c r="T65" s="584">
        <f t="shared" si="3"/>
        <v>0</v>
      </c>
      <c r="U65" s="584">
        <f t="shared" si="4"/>
        <v>0</v>
      </c>
      <c r="V65" s="584">
        <f t="shared" si="5"/>
        <v>0</v>
      </c>
      <c r="W65" s="585">
        <f t="shared" si="6"/>
        <v>0</v>
      </c>
      <c r="X65" s="77"/>
      <c r="Y65" s="586" t="str">
        <f t="array" ref="Y65">IF($L65="", "", IFERROR(INDEX('1. DATA CHUNG'!$E$4:$E$139, MATCH(INDEX('6. TIẾN ĐỘ MUA HÀNG'!$G$5:$G$76, MATCH($L65, '6. TIẾN ĐỘ MUA HÀNG'!$J$5:$J$76, 0)), '1. DATA CHUNG'!$D$4:$D$139, 0)), ""))</f>
        <v/>
      </c>
      <c r="Z65" s="587" t="s">
        <v>1305</v>
      </c>
      <c r="AA65" s="586" t="s">
        <v>57</v>
      </c>
      <c r="AB65" s="586">
        <f>if(len(AA65)=0,"", VLOOKUP($AA$5, '0.Ngân Hàng'!$A:$C, 2, 0)
)</f>
        <v>161816186868</v>
      </c>
      <c r="AC65" s="586" t="str">
        <f>if(len(AA65)=0,"", VLOOKUP($AA$5, '0.Ngân Hàng'!$A:$C, 3, 0)
)</f>
        <v> Ngân hàng TMCP Á Châu (ACB)</v>
      </c>
      <c r="AD65" s="588" t="str">
        <f t="array" ref="AD65">IF($L65="", "", IFERROR(INDEX('6. TIẾN ĐỘ MUA HÀNG'!AE:AE, MATCH($L65, '6. TIẾN ĐỘ MUA HÀNG'!J:J, 0)), ""))</f>
        <v/>
      </c>
      <c r="AE65" s="394"/>
      <c r="AF65" s="87"/>
    </row>
    <row r="66" ht="30.0" customHeight="1">
      <c r="A66" s="590" t="s">
        <v>1190</v>
      </c>
      <c r="B66" s="609"/>
      <c r="C66" s="592" t="str">
        <f t="array" ref="C66">IF($L66="", "", IFERROR(INDEX('6. TIẾN ĐỘ MUA HÀNG'!F:F, MATCH($L66, '6. TIẾN ĐỘ MUA HÀNG'!J:J, 0)), ""))</f>
        <v/>
      </c>
      <c r="D66" s="592" t="str">
        <f t="array" ref="D66">IF($L66="", "", IFERROR(INDEX('6. TIẾN ĐỘ MUA HÀNG'!G:G, MATCH($L66, '6. TIẾN ĐỘ MUA HÀNG'!J:J, 0)), ""))</f>
        <v/>
      </c>
      <c r="E66" s="610"/>
      <c r="F66" s="593"/>
      <c r="G66" s="606"/>
      <c r="H66" s="595" t="str">
        <f t="array" ref="H66">IFERROR( XLOOKUP(L46,'6. TIẾN ĐỘ MUA HÀNG'!J:J,'6. TIẾN ĐỘ MUA HÀNG'!I:I),)</f>
        <v>Đông Tây</v>
      </c>
      <c r="I66" s="606"/>
      <c r="J66" s="576" t="str">
        <f t="shared" si="7"/>
        <v/>
      </c>
      <c r="K66" s="577" t="str">
        <f t="array" ref="K66">IF($L66="", "", IFERROR(INDEX('6. TIẾN ĐỘ MUA HÀNG'!K:K, MATCH($L66, '6. TIẾN ĐỘ MUA HÀNG'!J:J, 0)), ""))</f>
        <v/>
      </c>
      <c r="L66" s="604"/>
      <c r="M66" s="579" t="str">
        <f t="array" ref="M66">IF($L66="", "", IFERROR(INDEX('6. TIẾN ĐỘ MUA HÀNG'!AF:AF, MATCH($L66, '6. TIẾN ĐỘ MUA HÀNG'!J:J, 0)), ""))</f>
        <v/>
      </c>
      <c r="N66" s="77"/>
      <c r="O66" s="601" t="str">
        <f t="shared" si="8"/>
        <v/>
      </c>
      <c r="P66" s="576"/>
      <c r="Q66" s="605"/>
      <c r="R66" s="605"/>
      <c r="S66" s="583" t="str">
        <f t="shared" si="2"/>
        <v/>
      </c>
      <c r="T66" s="584">
        <f t="shared" si="3"/>
        <v>0</v>
      </c>
      <c r="U66" s="584">
        <f t="shared" si="4"/>
        <v>0</v>
      </c>
      <c r="V66" s="584">
        <f t="shared" si="5"/>
        <v>0</v>
      </c>
      <c r="W66" s="585">
        <f t="shared" si="6"/>
        <v>0</v>
      </c>
      <c r="X66" s="77"/>
      <c r="Y66" s="586" t="str">
        <f t="array" ref="Y66">IF($L66="", "", IFERROR(INDEX('1. DATA CHUNG'!$E$4:$E$139, MATCH(INDEX('6. TIẾN ĐỘ MUA HÀNG'!$G$5:$G$76, MATCH($L66, '6. TIẾN ĐỘ MUA HÀNG'!$J$5:$J$76, 0)), '1. DATA CHUNG'!$D$4:$D$139, 0)), ""))</f>
        <v/>
      </c>
      <c r="Z66" s="587" t="s">
        <v>1305</v>
      </c>
      <c r="AA66" s="586" t="s">
        <v>57</v>
      </c>
      <c r="AB66" s="586">
        <f>if(len(AA66)=0,"", VLOOKUP($AA$5, '0.Ngân Hàng'!$A:$C, 2, 0)
)</f>
        <v>161816186868</v>
      </c>
      <c r="AC66" s="586" t="str">
        <f>if(len(AA66)=0,"", VLOOKUP($AA$5, '0.Ngân Hàng'!$A:$C, 3, 0)
)</f>
        <v> Ngân hàng TMCP Á Châu (ACB)</v>
      </c>
      <c r="AD66" s="588" t="str">
        <f t="array" ref="AD66">IF($L66="", "", IFERROR(INDEX('6. TIẾN ĐỘ MUA HÀNG'!AE:AE, MATCH($L66, '6. TIẾN ĐỘ MUA HÀNG'!J:J, 0)), ""))</f>
        <v/>
      </c>
      <c r="AE66" s="394"/>
      <c r="AF66" s="87"/>
    </row>
    <row r="67" ht="30.0" customHeight="1">
      <c r="A67" s="580" t="s">
        <v>1190</v>
      </c>
      <c r="B67" s="611"/>
      <c r="C67" s="571" t="str">
        <f t="array" ref="C67">IF($L67="", "", IFERROR(INDEX('6. TIẾN ĐỘ MUA HÀNG'!F:F, MATCH($L67, '6. TIẾN ĐỘ MUA HÀNG'!J:J, 0)), ""))</f>
        <v/>
      </c>
      <c r="D67" s="571" t="str">
        <f t="array" ref="D67">IF($L67="", "", IFERROR(INDEX('6. TIẾN ĐỘ MUA HÀNG'!G:G, MATCH($L67, '6. TIẾN ĐỘ MUA HÀNG'!J:J, 0)), ""))</f>
        <v/>
      </c>
      <c r="E67" s="581"/>
      <c r="F67" s="572"/>
      <c r="G67" s="608"/>
      <c r="H67" s="574" t="str">
        <f t="array" ref="H67">IFERROR( XLOOKUP(L47,'6. TIẾN ĐỘ MUA HÀNG'!J:J,'6. TIẾN ĐỘ MUA HÀNG'!I:I),)</f>
        <v>Đông Tây</v>
      </c>
      <c r="I67" s="608"/>
      <c r="J67" s="576" t="str">
        <f t="shared" si="7"/>
        <v/>
      </c>
      <c r="K67" s="577" t="str">
        <f t="array" ref="K67">IF($L67="", "", IFERROR(INDEX('6. TIẾN ĐỘ MUA HÀNG'!K:K, MATCH($L67, '6. TIẾN ĐỘ MUA HÀNG'!J:J, 0)), ""))</f>
        <v/>
      </c>
      <c r="L67" s="604"/>
      <c r="M67" s="579" t="str">
        <f t="array" ref="M67">IF($L67="", "", IFERROR(INDEX('6. TIẾN ĐỘ MUA HÀNG'!AF:AF, MATCH($L67, '6. TIẾN ĐỘ MUA HÀNG'!J:J, 0)), ""))</f>
        <v/>
      </c>
      <c r="N67" s="77"/>
      <c r="O67" s="598" t="str">
        <f t="shared" si="8"/>
        <v/>
      </c>
      <c r="P67" s="576"/>
      <c r="Q67" s="605"/>
      <c r="R67" s="605"/>
      <c r="S67" s="583" t="str">
        <f t="shared" si="2"/>
        <v/>
      </c>
      <c r="T67" s="584">
        <f t="shared" si="3"/>
        <v>0</v>
      </c>
      <c r="U67" s="584">
        <f t="shared" si="4"/>
        <v>0</v>
      </c>
      <c r="V67" s="584">
        <f t="shared" si="5"/>
        <v>0</v>
      </c>
      <c r="W67" s="585">
        <f t="shared" si="6"/>
        <v>0</v>
      </c>
      <c r="X67" s="77"/>
      <c r="Y67" s="586" t="str">
        <f t="array" ref="Y67">IF($L67="", "", IFERROR(INDEX('1. DATA CHUNG'!$E$4:$E$139, MATCH(INDEX('6. TIẾN ĐỘ MUA HÀNG'!$G$5:$G$76, MATCH($L67, '6. TIẾN ĐỘ MUA HÀNG'!$J$5:$J$76, 0)), '1. DATA CHUNG'!$D$4:$D$139, 0)), ""))</f>
        <v/>
      </c>
      <c r="Z67" s="587" t="s">
        <v>1305</v>
      </c>
      <c r="AA67" s="586" t="s">
        <v>57</v>
      </c>
      <c r="AB67" s="586">
        <f>if(len(AA67)=0,"", VLOOKUP($AA$5, '0.Ngân Hàng'!$A:$C, 2, 0)
)</f>
        <v>161816186868</v>
      </c>
      <c r="AC67" s="586" t="str">
        <f>if(len(AA67)=0,"", VLOOKUP($AA$5, '0.Ngân Hàng'!$A:$C, 3, 0)
)</f>
        <v> Ngân hàng TMCP Á Châu (ACB)</v>
      </c>
      <c r="AD67" s="588" t="str">
        <f t="array" ref="AD67">IF($L67="", "", IFERROR(INDEX('6. TIẾN ĐỘ MUA HÀNG'!AE:AE, MATCH($L67, '6. TIẾN ĐỘ MUA HÀNG'!J:J, 0)), ""))</f>
        <v/>
      </c>
      <c r="AE67" s="394"/>
      <c r="AF67" s="87"/>
    </row>
    <row r="68" ht="30.0" customHeight="1">
      <c r="A68" s="590" t="s">
        <v>1190</v>
      </c>
      <c r="B68" s="609"/>
      <c r="C68" s="592" t="str">
        <f t="array" ref="C68">IF($L68="", "", IFERROR(INDEX('6. TIẾN ĐỘ MUA HÀNG'!F:F, MATCH($L68, '6. TIẾN ĐỘ MUA HÀNG'!J:J, 0)), ""))</f>
        <v/>
      </c>
      <c r="D68" s="592" t="str">
        <f t="array" ref="D68">IF($L68="", "", IFERROR(INDEX('6. TIẾN ĐỘ MUA HÀNG'!G:G, MATCH($L68, '6. TIẾN ĐỘ MUA HÀNG'!J:J, 0)), ""))</f>
        <v/>
      </c>
      <c r="E68" s="610"/>
      <c r="F68" s="593"/>
      <c r="G68" s="606"/>
      <c r="H68" s="595" t="str">
        <f t="array" ref="H68">IFERROR( XLOOKUP(L48,'6. TIẾN ĐỘ MUA HÀNG'!J:J,'6. TIẾN ĐỘ MUA HÀNG'!I:I),)</f>
        <v>Đông Tây</v>
      </c>
      <c r="I68" s="606"/>
      <c r="J68" s="576" t="str">
        <f t="shared" si="7"/>
        <v/>
      </c>
      <c r="K68" s="577" t="str">
        <f t="array" ref="K68">IF($L68="", "", IFERROR(INDEX('6. TIẾN ĐỘ MUA HÀNG'!K:K, MATCH($L68, '6. TIẾN ĐỘ MUA HÀNG'!J:J, 0)), ""))</f>
        <v/>
      </c>
      <c r="L68" s="604"/>
      <c r="M68" s="579" t="str">
        <f t="array" ref="M68">IF($L68="", "", IFERROR(INDEX('6. TIẾN ĐỘ MUA HÀNG'!AF:AF, MATCH($L68, '6. TIẾN ĐỘ MUA HÀNG'!J:J, 0)), ""))</f>
        <v/>
      </c>
      <c r="N68" s="77"/>
      <c r="O68" s="601" t="str">
        <f t="shared" si="8"/>
        <v/>
      </c>
      <c r="P68" s="576"/>
      <c r="Q68" s="605"/>
      <c r="R68" s="605"/>
      <c r="S68" s="583" t="str">
        <f t="shared" si="2"/>
        <v/>
      </c>
      <c r="T68" s="584">
        <f t="shared" si="3"/>
        <v>0</v>
      </c>
      <c r="U68" s="584">
        <f t="shared" si="4"/>
        <v>0</v>
      </c>
      <c r="V68" s="584">
        <f t="shared" si="5"/>
        <v>0</v>
      </c>
      <c r="W68" s="585">
        <f t="shared" si="6"/>
        <v>0</v>
      </c>
      <c r="X68" s="77"/>
      <c r="Y68" s="586" t="str">
        <f t="array" ref="Y68">IF($L68="", "", IFERROR(INDEX('1. DATA CHUNG'!$E$4:$E$139, MATCH(INDEX('6. TIẾN ĐỘ MUA HÀNG'!$G$5:$G$76, MATCH($L68, '6. TIẾN ĐỘ MUA HÀNG'!$J$5:$J$76, 0)), '1. DATA CHUNG'!$D$4:$D$139, 0)), ""))</f>
        <v/>
      </c>
      <c r="Z68" s="587" t="s">
        <v>1305</v>
      </c>
      <c r="AA68" s="586" t="s">
        <v>57</v>
      </c>
      <c r="AB68" s="586">
        <f>if(len(AA68)=0,"", VLOOKUP($AA$5, '0.Ngân Hàng'!$A:$C, 2, 0)
)</f>
        <v>161816186868</v>
      </c>
      <c r="AC68" s="586" t="str">
        <f>if(len(AA68)=0,"", VLOOKUP($AA$5, '0.Ngân Hàng'!$A:$C, 3, 0)
)</f>
        <v> Ngân hàng TMCP Á Châu (ACB)</v>
      </c>
      <c r="AD68" s="588" t="str">
        <f t="array" ref="AD68">IF($L68="", "", IFERROR(INDEX('6. TIẾN ĐỘ MUA HÀNG'!AE:AE, MATCH($L68, '6. TIẾN ĐỘ MUA HÀNG'!J:J, 0)), ""))</f>
        <v/>
      </c>
      <c r="AE68" s="394"/>
      <c r="AF68" s="87"/>
    </row>
    <row r="69" ht="30.0" customHeight="1">
      <c r="A69" s="580" t="s">
        <v>1190</v>
      </c>
      <c r="B69" s="611"/>
      <c r="C69" s="571" t="str">
        <f t="array" ref="C69">IF($L69="", "", IFERROR(INDEX('6. TIẾN ĐỘ MUA HÀNG'!F:F, MATCH($L69, '6. TIẾN ĐỘ MUA HÀNG'!J:J, 0)), ""))</f>
        <v/>
      </c>
      <c r="D69" s="571" t="str">
        <f t="array" ref="D69">IF($L69="", "", IFERROR(INDEX('6. TIẾN ĐỘ MUA HÀNG'!G:G, MATCH($L69, '6. TIẾN ĐỘ MUA HÀNG'!J:J, 0)), ""))</f>
        <v/>
      </c>
      <c r="E69" s="581"/>
      <c r="F69" s="572"/>
      <c r="G69" s="608"/>
      <c r="H69" s="574" t="str">
        <f t="array" ref="H69">IFERROR( XLOOKUP(L49,'6. TIẾN ĐỘ MUA HÀNG'!J:J,'6. TIẾN ĐỘ MUA HÀNG'!I:I),)</f>
        <v/>
      </c>
      <c r="I69" s="608"/>
      <c r="J69" s="576" t="str">
        <f t="shared" si="7"/>
        <v/>
      </c>
      <c r="K69" s="577" t="str">
        <f t="array" ref="K69">IF($L69="", "", IFERROR(INDEX('6. TIẾN ĐỘ MUA HÀNG'!K:K, MATCH($L69, '6. TIẾN ĐỘ MUA HÀNG'!J:J, 0)), ""))</f>
        <v/>
      </c>
      <c r="L69" s="612"/>
      <c r="M69" s="579" t="str">
        <f t="array" ref="M69">IF($L69="", "", IFERROR(INDEX('6. TIẾN ĐỘ MUA HÀNG'!AF:AF, MATCH($L69, '6. TIẾN ĐỘ MUA HÀNG'!J:J, 0)), ""))</f>
        <v/>
      </c>
      <c r="N69" s="77"/>
      <c r="O69" s="598" t="str">
        <f t="shared" si="8"/>
        <v/>
      </c>
      <c r="P69" s="576"/>
      <c r="Q69" s="605"/>
      <c r="R69" s="605"/>
      <c r="S69" s="583" t="str">
        <f t="shared" si="2"/>
        <v/>
      </c>
      <c r="T69" s="584">
        <f t="shared" si="3"/>
        <v>0</v>
      </c>
      <c r="U69" s="584">
        <f t="shared" si="4"/>
        <v>0</v>
      </c>
      <c r="V69" s="584">
        <f t="shared" si="5"/>
        <v>0</v>
      </c>
      <c r="W69" s="585">
        <f t="shared" si="6"/>
        <v>0</v>
      </c>
      <c r="X69" s="77"/>
      <c r="Y69" s="586" t="str">
        <f t="array" ref="Y69">IF($L69="", "", IFERROR(INDEX('1. DATA CHUNG'!$E$4:$E$139, MATCH(INDEX('6. TIẾN ĐỘ MUA HÀNG'!$G$5:$G$76, MATCH($L69, '6. TIẾN ĐỘ MUA HÀNG'!$J$5:$J$76, 0)), '1. DATA CHUNG'!$D$4:$D$139, 0)), ""))</f>
        <v/>
      </c>
      <c r="Z69" s="587" t="s">
        <v>1305</v>
      </c>
      <c r="AA69" s="586" t="s">
        <v>57</v>
      </c>
      <c r="AB69" s="586">
        <f>if(len(AA69)=0,"", VLOOKUP($AA$5, '0.Ngân Hàng'!$A:$C, 2, 0)
)</f>
        <v>161816186868</v>
      </c>
      <c r="AC69" s="586" t="str">
        <f>if(len(AA69)=0,"", VLOOKUP($AA$5, '0.Ngân Hàng'!$A:$C, 3, 0)
)</f>
        <v> Ngân hàng TMCP Á Châu (ACB)</v>
      </c>
      <c r="AD69" s="588" t="str">
        <f t="array" ref="AD69">IF($L69="", "", IFERROR(INDEX('6. TIẾN ĐỘ MUA HÀNG'!AE:AE, MATCH($L69, '6. TIẾN ĐỘ MUA HÀNG'!J:J, 0)), ""))</f>
        <v/>
      </c>
      <c r="AE69" s="394"/>
      <c r="AF69" s="87"/>
    </row>
    <row r="70" ht="30.0" customHeight="1">
      <c r="A70" s="590" t="s">
        <v>1190</v>
      </c>
      <c r="B70" s="609"/>
      <c r="C70" s="592" t="str">
        <f t="array" ref="C70">IF($L70="", "", IFERROR(INDEX('6. TIẾN ĐỘ MUA HÀNG'!F:F, MATCH($L70, '6. TIẾN ĐỘ MUA HÀNG'!J:J, 0)), ""))</f>
        <v/>
      </c>
      <c r="D70" s="592" t="str">
        <f t="array" ref="D70">IF($L70="", "", IFERROR(INDEX('6. TIẾN ĐỘ MUA HÀNG'!G:G, MATCH($L70, '6. TIẾN ĐỘ MUA HÀNG'!J:J, 0)), ""))</f>
        <v/>
      </c>
      <c r="E70" s="610"/>
      <c r="F70" s="593"/>
      <c r="G70" s="606"/>
      <c r="H70" s="595" t="str">
        <f t="array" ref="H70">IFERROR( XLOOKUP(L50,'6. TIẾN ĐỘ MUA HÀNG'!J:J,'6. TIẾN ĐỘ MUA HÀNG'!I:I),)</f>
        <v>Đông Tây</v>
      </c>
      <c r="I70" s="606"/>
      <c r="J70" s="576" t="str">
        <f t="shared" si="7"/>
        <v/>
      </c>
      <c r="K70" s="577" t="str">
        <f t="array" ref="K70">IF($L70="", "", IFERROR(INDEX('6. TIẾN ĐỘ MUA HÀNG'!K:K, MATCH($L70, '6. TIẾN ĐỘ MUA HÀNG'!J:J, 0)), ""))</f>
        <v/>
      </c>
      <c r="L70" s="612"/>
      <c r="M70" s="579" t="str">
        <f t="array" ref="M70">IF($L70="", "", IFERROR(INDEX('6. TIẾN ĐỘ MUA HÀNG'!AF:AF, MATCH($L70, '6. TIẾN ĐỘ MUA HÀNG'!J:J, 0)), ""))</f>
        <v/>
      </c>
      <c r="N70" s="77"/>
      <c r="O70" s="601" t="str">
        <f t="shared" si="8"/>
        <v/>
      </c>
      <c r="P70" s="576"/>
      <c r="Q70" s="605"/>
      <c r="R70" s="605"/>
      <c r="S70" s="583" t="str">
        <f t="shared" si="2"/>
        <v/>
      </c>
      <c r="T70" s="584">
        <f t="shared" si="3"/>
        <v>0</v>
      </c>
      <c r="U70" s="584">
        <f t="shared" si="4"/>
        <v>0</v>
      </c>
      <c r="V70" s="584">
        <f t="shared" si="5"/>
        <v>0</v>
      </c>
      <c r="W70" s="585">
        <f t="shared" si="6"/>
        <v>0</v>
      </c>
      <c r="X70" s="77"/>
      <c r="Y70" s="586" t="str">
        <f t="array" ref="Y70">IF($L70="", "", IFERROR(INDEX('1. DATA CHUNG'!$E$4:$E$139, MATCH(INDEX('6. TIẾN ĐỘ MUA HÀNG'!$G$5:$G$76, MATCH($L70, '6. TIẾN ĐỘ MUA HÀNG'!$J$5:$J$76, 0)), '1. DATA CHUNG'!$D$4:$D$139, 0)), ""))</f>
        <v/>
      </c>
      <c r="Z70" s="587" t="s">
        <v>1305</v>
      </c>
      <c r="AA70" s="586" t="s">
        <v>57</v>
      </c>
      <c r="AB70" s="586">
        <f>if(len(AA70)=0,"", VLOOKUP($AA$5, '0.Ngân Hàng'!$A:$C, 2, 0)
)</f>
        <v>161816186868</v>
      </c>
      <c r="AC70" s="586" t="str">
        <f>if(len(AA70)=0,"", VLOOKUP($AA$5, '0.Ngân Hàng'!$A:$C, 3, 0)
)</f>
        <v> Ngân hàng TMCP Á Châu (ACB)</v>
      </c>
      <c r="AD70" s="588" t="str">
        <f t="array" ref="AD70">IF($L70="", "", IFERROR(INDEX('6. TIẾN ĐỘ MUA HÀNG'!AE:AE, MATCH($L70, '6. TIẾN ĐỘ MUA HÀNG'!J:J, 0)), ""))</f>
        <v/>
      </c>
      <c r="AE70" s="394"/>
      <c r="AF70" s="87"/>
    </row>
    <row r="71" ht="30.0" customHeight="1">
      <c r="A71" s="580" t="s">
        <v>1190</v>
      </c>
      <c r="B71" s="611"/>
      <c r="C71" s="571" t="str">
        <f t="array" ref="C71">IF($L71="", "", IFERROR(INDEX('6. TIẾN ĐỘ MUA HÀNG'!F:F, MATCH($L71, '6. TIẾN ĐỘ MUA HÀNG'!J:J, 0)), ""))</f>
        <v/>
      </c>
      <c r="D71" s="571" t="str">
        <f t="array" ref="D71">IF($L71="", "", IFERROR(INDEX('6. TIẾN ĐỘ MUA HÀNG'!G:G, MATCH($L71, '6. TIẾN ĐỘ MUA HÀNG'!J:J, 0)), ""))</f>
        <v/>
      </c>
      <c r="E71" s="581"/>
      <c r="F71" s="572"/>
      <c r="G71" s="608"/>
      <c r="H71" s="574" t="str">
        <f t="array" ref="H71">IFERROR( XLOOKUP(L51,'6. TIẾN ĐỘ MUA HÀNG'!J:J,'6. TIẾN ĐỘ MUA HÀNG'!I:I),)</f>
        <v>Đông Tây</v>
      </c>
      <c r="I71" s="608"/>
      <c r="J71" s="576" t="str">
        <f t="shared" si="7"/>
        <v/>
      </c>
      <c r="K71" s="577" t="str">
        <f t="array" ref="K71">IF($L71="", "", IFERROR(INDEX('6. TIẾN ĐỘ MUA HÀNG'!K:K, MATCH($L71, '6. TIẾN ĐỘ MUA HÀNG'!J:J, 0)), ""))</f>
        <v/>
      </c>
      <c r="L71" s="612"/>
      <c r="M71" s="579" t="str">
        <f t="array" ref="M71">IF($L71="", "", IFERROR(INDEX('6. TIẾN ĐỘ MUA HÀNG'!AF:AF, MATCH($L71, '6. TIẾN ĐỘ MUA HÀNG'!J:J, 0)), ""))</f>
        <v/>
      </c>
      <c r="N71" s="77"/>
      <c r="O71" s="598" t="str">
        <f t="shared" si="8"/>
        <v/>
      </c>
      <c r="P71" s="576"/>
      <c r="Q71" s="605"/>
      <c r="R71" s="605"/>
      <c r="S71" s="583" t="str">
        <f t="shared" si="2"/>
        <v/>
      </c>
      <c r="T71" s="584">
        <f t="shared" si="3"/>
        <v>0</v>
      </c>
      <c r="U71" s="584">
        <f t="shared" si="4"/>
        <v>0</v>
      </c>
      <c r="V71" s="584">
        <f t="shared" si="5"/>
        <v>0</v>
      </c>
      <c r="W71" s="585">
        <f t="shared" si="6"/>
        <v>0</v>
      </c>
      <c r="X71" s="77"/>
      <c r="Y71" s="586" t="str">
        <f t="array" ref="Y71">IF($L71="", "", IFERROR(INDEX('1. DATA CHUNG'!$E$4:$E$139, MATCH(INDEX('6. TIẾN ĐỘ MUA HÀNG'!$G$5:$G$76, MATCH($L71, '6. TIẾN ĐỘ MUA HÀNG'!$J$5:$J$76, 0)), '1. DATA CHUNG'!$D$4:$D$139, 0)), ""))</f>
        <v/>
      </c>
      <c r="Z71" s="587" t="s">
        <v>1305</v>
      </c>
      <c r="AA71" s="586" t="s">
        <v>57</v>
      </c>
      <c r="AB71" s="586">
        <f>if(len(AA71)=0,"", VLOOKUP($AA$5, '0.Ngân Hàng'!$A:$C, 2, 0)
)</f>
        <v>161816186868</v>
      </c>
      <c r="AC71" s="586" t="str">
        <f>if(len(AA71)=0,"", VLOOKUP($AA$5, '0.Ngân Hàng'!$A:$C, 3, 0)
)</f>
        <v> Ngân hàng TMCP Á Châu (ACB)</v>
      </c>
      <c r="AD71" s="588" t="str">
        <f t="array" ref="AD71">IF($L71="", "", IFERROR(INDEX('6. TIẾN ĐỘ MUA HÀNG'!AE:AE, MATCH($L71, '6. TIẾN ĐỘ MUA HÀNG'!J:J, 0)), ""))</f>
        <v/>
      </c>
      <c r="AE71" s="394"/>
      <c r="AF71" s="87"/>
    </row>
    <row r="72" ht="30.0" customHeight="1">
      <c r="A72" s="590" t="s">
        <v>1190</v>
      </c>
      <c r="B72" s="609"/>
      <c r="C72" s="592" t="str">
        <f t="array" ref="C72">IF($L72="", "", IFERROR(INDEX('6. TIẾN ĐỘ MUA HÀNG'!F:F, MATCH($L72, '6. TIẾN ĐỘ MUA HÀNG'!J:J, 0)), ""))</f>
        <v/>
      </c>
      <c r="D72" s="592" t="str">
        <f t="array" ref="D72">IF($L72="", "", IFERROR(INDEX('6. TIẾN ĐỘ MUA HÀNG'!G:G, MATCH($L72, '6. TIẾN ĐỘ MUA HÀNG'!J:J, 0)), ""))</f>
        <v/>
      </c>
      <c r="E72" s="610"/>
      <c r="F72" s="593"/>
      <c r="G72" s="606"/>
      <c r="H72" s="595" t="str">
        <f t="array" ref="H72">IFERROR( XLOOKUP(L52,'6. TIẾN ĐỘ MUA HÀNG'!J:J,'6. TIẾN ĐỘ MUA HÀNG'!I:I),)</f>
        <v>BAO BÌ ĐÔNG BẮC</v>
      </c>
      <c r="I72" s="606"/>
      <c r="J72" s="576" t="str">
        <f t="shared" si="7"/>
        <v/>
      </c>
      <c r="K72" s="577" t="str">
        <f t="array" ref="K72">IF($L72="", "", IFERROR(INDEX('6. TIẾN ĐỘ MUA HÀNG'!K:K, MATCH($L72, '6. TIẾN ĐỘ MUA HÀNG'!J:J, 0)), ""))</f>
        <v/>
      </c>
      <c r="L72" s="612"/>
      <c r="M72" s="579" t="str">
        <f t="array" ref="M72">IF($L72="", "", IFERROR(INDEX('6. TIẾN ĐỘ MUA HÀNG'!AF:AF, MATCH($L72, '6. TIẾN ĐỘ MUA HÀNG'!J:J, 0)), ""))</f>
        <v/>
      </c>
      <c r="N72" s="77"/>
      <c r="O72" s="601" t="str">
        <f t="shared" si="8"/>
        <v/>
      </c>
      <c r="P72" s="576"/>
      <c r="Q72" s="605"/>
      <c r="R72" s="605"/>
      <c r="S72" s="583" t="str">
        <f t="shared" si="2"/>
        <v/>
      </c>
      <c r="T72" s="584">
        <f t="shared" si="3"/>
        <v>0</v>
      </c>
      <c r="U72" s="584">
        <f t="shared" si="4"/>
        <v>0</v>
      </c>
      <c r="V72" s="584">
        <f t="shared" si="5"/>
        <v>0</v>
      </c>
      <c r="W72" s="585">
        <f t="shared" si="6"/>
        <v>0</v>
      </c>
      <c r="X72" s="77"/>
      <c r="Y72" s="586" t="str">
        <f t="array" ref="Y72">IF($L72="", "", IFERROR(INDEX('1. DATA CHUNG'!$E$4:$E$139, MATCH(INDEX('6. TIẾN ĐỘ MUA HÀNG'!$G$5:$G$76, MATCH($L72, '6. TIẾN ĐỘ MUA HÀNG'!$J$5:$J$76, 0)), '1. DATA CHUNG'!$D$4:$D$139, 0)), ""))</f>
        <v/>
      </c>
      <c r="Z72" s="587" t="s">
        <v>1305</v>
      </c>
      <c r="AA72" s="586" t="s">
        <v>57</v>
      </c>
      <c r="AB72" s="586">
        <f>if(len(AA72)=0,"", VLOOKUP($AA$5, '0.Ngân Hàng'!$A:$C, 2, 0)
)</f>
        <v>161816186868</v>
      </c>
      <c r="AC72" s="586" t="str">
        <f>if(len(AA72)=0,"", VLOOKUP($AA$5, '0.Ngân Hàng'!$A:$C, 3, 0)
)</f>
        <v> Ngân hàng TMCP Á Châu (ACB)</v>
      </c>
      <c r="AD72" s="588" t="str">
        <f t="array" ref="AD72">IF($L72="", "", IFERROR(INDEX('6. TIẾN ĐỘ MUA HÀNG'!AE:AE, MATCH($L72, '6. TIẾN ĐỘ MUA HÀNG'!J:J, 0)), ""))</f>
        <v/>
      </c>
      <c r="AE72" s="394"/>
      <c r="AF72" s="87"/>
    </row>
    <row r="73" ht="30.0" customHeight="1">
      <c r="A73" s="580" t="s">
        <v>1190</v>
      </c>
      <c r="B73" s="611"/>
      <c r="C73" s="571" t="str">
        <f t="array" ref="C73">IF($L73="", "", IFERROR(INDEX('6. TIẾN ĐỘ MUA HÀNG'!F:F, MATCH($L73, '6. TIẾN ĐỘ MUA HÀNG'!J:J, 0)), ""))</f>
        <v/>
      </c>
      <c r="D73" s="571" t="str">
        <f t="array" ref="D73">IF($L73="", "", IFERROR(INDEX('6. TIẾN ĐỘ MUA HÀNG'!G:G, MATCH($L73, '6. TIẾN ĐỘ MUA HÀNG'!J:J, 0)), ""))</f>
        <v/>
      </c>
      <c r="E73" s="581"/>
      <c r="F73" s="572"/>
      <c r="G73" s="608"/>
      <c r="H73" s="574" t="str">
        <f t="array" ref="H73">IFERROR( XLOOKUP(L53,'6. TIẾN ĐỘ MUA HÀNG'!J:J,'6. TIẾN ĐỘ MUA HÀNG'!I:I),)</f>
        <v>Đông Tây</v>
      </c>
      <c r="I73" s="608"/>
      <c r="J73" s="576" t="str">
        <f t="shared" si="7"/>
        <v/>
      </c>
      <c r="K73" s="577" t="str">
        <f t="array" ref="K73">IF($L73="", "", IFERROR(INDEX('6. TIẾN ĐỘ MUA HÀNG'!K:K, MATCH($L73, '6. TIẾN ĐỘ MUA HÀNG'!J:J, 0)), ""))</f>
        <v/>
      </c>
      <c r="L73" s="612"/>
      <c r="M73" s="579" t="str">
        <f t="array" ref="M73">IF($L73="", "", IFERROR(INDEX('6. TIẾN ĐỘ MUA HÀNG'!AF:AF, MATCH($L73, '6. TIẾN ĐỘ MUA HÀNG'!J:J, 0)), ""))</f>
        <v/>
      </c>
      <c r="N73" s="77"/>
      <c r="O73" s="598" t="str">
        <f t="shared" si="8"/>
        <v/>
      </c>
      <c r="P73" s="576"/>
      <c r="Q73" s="605"/>
      <c r="R73" s="605"/>
      <c r="S73" s="583" t="str">
        <f t="shared" si="2"/>
        <v/>
      </c>
      <c r="T73" s="584">
        <f t="shared" si="3"/>
        <v>0</v>
      </c>
      <c r="U73" s="584">
        <f t="shared" si="4"/>
        <v>0</v>
      </c>
      <c r="V73" s="584">
        <f t="shared" si="5"/>
        <v>0</v>
      </c>
      <c r="W73" s="585">
        <f t="shared" si="6"/>
        <v>0</v>
      </c>
      <c r="X73" s="77"/>
      <c r="Y73" s="586" t="str">
        <f t="array" ref="Y73">IF($L73="", "", IFERROR(INDEX('1. DATA CHUNG'!$E$4:$E$139, MATCH(INDEX('6. TIẾN ĐỘ MUA HÀNG'!$G$5:$G$76, MATCH($L73, '6. TIẾN ĐỘ MUA HÀNG'!$J$5:$J$76, 0)), '1. DATA CHUNG'!$D$4:$D$139, 0)), ""))</f>
        <v/>
      </c>
      <c r="Z73" s="587" t="s">
        <v>1305</v>
      </c>
      <c r="AA73" s="586" t="s">
        <v>57</v>
      </c>
      <c r="AB73" s="586">
        <f>if(len(AA73)=0,"", VLOOKUP($AA$5, '0.Ngân Hàng'!$A:$C, 2, 0)
)</f>
        <v>161816186868</v>
      </c>
      <c r="AC73" s="586" t="str">
        <f>if(len(AA73)=0,"", VLOOKUP($AA$5, '0.Ngân Hàng'!$A:$C, 3, 0)
)</f>
        <v> Ngân hàng TMCP Á Châu (ACB)</v>
      </c>
      <c r="AD73" s="588" t="str">
        <f t="array" ref="AD73">IF($L73="", "", IFERROR(INDEX('6. TIẾN ĐỘ MUA HÀNG'!AE:AE, MATCH($L73, '6. TIẾN ĐỘ MUA HÀNG'!J:J, 0)), ""))</f>
        <v/>
      </c>
      <c r="AE73" s="394"/>
      <c r="AF73" s="87"/>
    </row>
    <row r="74" ht="30.0" customHeight="1">
      <c r="A74" s="590" t="s">
        <v>1190</v>
      </c>
      <c r="B74" s="609"/>
      <c r="C74" s="592" t="str">
        <f t="array" ref="C74">IF($L74="", "", IFERROR(INDEX('6. TIẾN ĐỘ MUA HÀNG'!F:F, MATCH($L74, '6. TIẾN ĐỘ MUA HÀNG'!J:J, 0)), ""))</f>
        <v/>
      </c>
      <c r="D74" s="592" t="str">
        <f t="array" ref="D74">IF($L74="", "", IFERROR(INDEX('6. TIẾN ĐỘ MUA HÀNG'!G:G, MATCH($L74, '6. TIẾN ĐỘ MUA HÀNG'!J:J, 0)), ""))</f>
        <v/>
      </c>
      <c r="E74" s="610"/>
      <c r="F74" s="593"/>
      <c r="G74" s="606"/>
      <c r="H74" s="595" t="str">
        <f t="array" ref="H74">IFERROR( XLOOKUP(L54,'6. TIẾN ĐỘ MUA HÀNG'!J:J,'6. TIẾN ĐỘ MUA HÀNG'!I:I),)</f>
        <v>BAO BÌ ĐÔNG BẮC</v>
      </c>
      <c r="I74" s="606"/>
      <c r="J74" s="576" t="str">
        <f t="shared" si="7"/>
        <v/>
      </c>
      <c r="K74" s="577" t="str">
        <f t="array" ref="K74">IF($L74="", "", IFERROR(INDEX('6. TIẾN ĐỘ MUA HÀNG'!K:K, MATCH($L74, '6. TIẾN ĐỘ MUA HÀNG'!J:J, 0)), ""))</f>
        <v/>
      </c>
      <c r="L74" s="612"/>
      <c r="M74" s="579" t="str">
        <f t="array" ref="M74">IF($L74="", "", IFERROR(INDEX('6. TIẾN ĐỘ MUA HÀNG'!AF:AF, MATCH($L74, '6. TIẾN ĐỘ MUA HÀNG'!J:J, 0)), ""))</f>
        <v/>
      </c>
      <c r="N74" s="77"/>
      <c r="O74" s="601" t="str">
        <f t="shared" si="8"/>
        <v/>
      </c>
      <c r="P74" s="576"/>
      <c r="Q74" s="605"/>
      <c r="R74" s="605"/>
      <c r="S74" s="583" t="str">
        <f t="shared" si="2"/>
        <v/>
      </c>
      <c r="T74" s="584">
        <f t="shared" si="3"/>
        <v>0</v>
      </c>
      <c r="U74" s="584">
        <f t="shared" si="4"/>
        <v>0</v>
      </c>
      <c r="V74" s="584">
        <f t="shared" si="5"/>
        <v>0</v>
      </c>
      <c r="W74" s="585">
        <f t="shared" si="6"/>
        <v>0</v>
      </c>
      <c r="X74" s="77"/>
      <c r="Y74" s="586" t="str">
        <f t="array" ref="Y74">IF($L74="", "", IFERROR(INDEX('1. DATA CHUNG'!$E$4:$E$139, MATCH(INDEX('6. TIẾN ĐỘ MUA HÀNG'!$G$5:$G$76, MATCH($L74, '6. TIẾN ĐỘ MUA HÀNG'!$J$5:$J$76, 0)), '1. DATA CHUNG'!$D$4:$D$139, 0)), ""))</f>
        <v/>
      </c>
      <c r="Z74" s="587" t="s">
        <v>1305</v>
      </c>
      <c r="AA74" s="586" t="s">
        <v>57</v>
      </c>
      <c r="AB74" s="586">
        <f>if(len(AA74)=0,"", VLOOKUP($AA$5, '0.Ngân Hàng'!$A:$C, 2, 0)
)</f>
        <v>161816186868</v>
      </c>
      <c r="AC74" s="586" t="str">
        <f>if(len(AA74)=0,"", VLOOKUP($AA$5, '0.Ngân Hàng'!$A:$C, 3, 0)
)</f>
        <v> Ngân hàng TMCP Á Châu (ACB)</v>
      </c>
      <c r="AD74" s="588" t="str">
        <f t="array" ref="AD74">IF($L74="", "", IFERROR(INDEX('6. TIẾN ĐỘ MUA HÀNG'!AE:AE, MATCH($L74, '6. TIẾN ĐỘ MUA HÀNG'!J:J, 0)), ""))</f>
        <v/>
      </c>
      <c r="AE74" s="394"/>
      <c r="AF74" s="87"/>
    </row>
    <row r="75" ht="30.0" customHeight="1">
      <c r="A75" s="580" t="s">
        <v>1190</v>
      </c>
      <c r="B75" s="611"/>
      <c r="C75" s="571" t="str">
        <f t="array" ref="C75">IF($L75="", "", IFERROR(INDEX('6. TIẾN ĐỘ MUA HÀNG'!F:F, MATCH($L75, '6. TIẾN ĐỘ MUA HÀNG'!J:J, 0)), ""))</f>
        <v/>
      </c>
      <c r="D75" s="571" t="str">
        <f t="array" ref="D75">IF($L75="", "", IFERROR(INDEX('6. TIẾN ĐỘ MUA HÀNG'!G:G, MATCH($L75, '6. TIẾN ĐỘ MUA HÀNG'!J:J, 0)), ""))</f>
        <v/>
      </c>
      <c r="E75" s="581"/>
      <c r="F75" s="572"/>
      <c r="G75" s="608"/>
      <c r="H75" s="574" t="str">
        <f t="array" ref="H75">IFERROR( XLOOKUP(L55,'6. TIẾN ĐỘ MUA HÀNG'!J:J,'6. TIẾN ĐỘ MUA HÀNG'!I:I),)</f>
        <v>Đông Tây</v>
      </c>
      <c r="I75" s="608"/>
      <c r="J75" s="576" t="str">
        <f t="shared" si="7"/>
        <v/>
      </c>
      <c r="K75" s="577" t="str">
        <f t="array" ref="K75">IF($L75="", "", IFERROR(INDEX('6. TIẾN ĐỘ MUA HÀNG'!K:K, MATCH($L75, '6. TIẾN ĐỘ MUA HÀNG'!J:J, 0)), ""))</f>
        <v/>
      </c>
      <c r="L75" s="612"/>
      <c r="M75" s="579" t="str">
        <f t="array" ref="M75">IF($L75="", "", IFERROR(INDEX('6. TIẾN ĐỘ MUA HÀNG'!AF:AF, MATCH($L75, '6. TIẾN ĐỘ MUA HÀNG'!J:J, 0)), ""))</f>
        <v/>
      </c>
      <c r="N75" s="77"/>
      <c r="O75" s="598" t="str">
        <f t="shared" si="8"/>
        <v/>
      </c>
      <c r="P75" s="576"/>
      <c r="Q75" s="605"/>
      <c r="R75" s="605"/>
      <c r="S75" s="583" t="str">
        <f t="shared" si="2"/>
        <v/>
      </c>
      <c r="T75" s="584">
        <f t="shared" si="3"/>
        <v>0</v>
      </c>
      <c r="U75" s="584">
        <f t="shared" si="4"/>
        <v>0</v>
      </c>
      <c r="V75" s="584">
        <f t="shared" si="5"/>
        <v>0</v>
      </c>
      <c r="W75" s="585">
        <f t="shared" si="6"/>
        <v>0</v>
      </c>
      <c r="X75" s="77"/>
      <c r="Y75" s="586" t="str">
        <f t="array" ref="Y75">IF($L75="", "", IFERROR(INDEX('1. DATA CHUNG'!$E$4:$E$139, MATCH(INDEX('6. TIẾN ĐỘ MUA HÀNG'!$G$5:$G$76, MATCH($L75, '6. TIẾN ĐỘ MUA HÀNG'!$J$5:$J$76, 0)), '1. DATA CHUNG'!$D$4:$D$139, 0)), ""))</f>
        <v/>
      </c>
      <c r="Z75" s="587" t="s">
        <v>1305</v>
      </c>
      <c r="AA75" s="586" t="s">
        <v>57</v>
      </c>
      <c r="AB75" s="586">
        <f>if(len(AA75)=0,"", VLOOKUP($AA$5, '0.Ngân Hàng'!$A:$C, 2, 0)
)</f>
        <v>161816186868</v>
      </c>
      <c r="AC75" s="586" t="str">
        <f>if(len(AA75)=0,"", VLOOKUP($AA$5, '0.Ngân Hàng'!$A:$C, 3, 0)
)</f>
        <v> Ngân hàng TMCP Á Châu (ACB)</v>
      </c>
      <c r="AD75" s="588" t="str">
        <f t="array" ref="AD75">IF($L75="", "", IFERROR(INDEX('6. TIẾN ĐỘ MUA HÀNG'!AE:AE, MATCH($L75, '6. TIẾN ĐỘ MUA HÀNG'!J:J, 0)), ""))</f>
        <v/>
      </c>
      <c r="AE75" s="394"/>
      <c r="AF75" s="87"/>
    </row>
    <row r="76" ht="30.0" customHeight="1">
      <c r="A76" s="590" t="s">
        <v>1190</v>
      </c>
      <c r="B76" s="609"/>
      <c r="C76" s="592" t="str">
        <f t="array" ref="C76">IF($L76="", "", IFERROR(INDEX('6. TIẾN ĐỘ MUA HÀNG'!F:F, MATCH($L76, '6. TIẾN ĐỘ MUA HÀNG'!J:J, 0)), ""))</f>
        <v/>
      </c>
      <c r="D76" s="592" t="str">
        <f t="array" ref="D76">IF($L76="", "", IFERROR(INDEX('6. TIẾN ĐỘ MUA HÀNG'!G:G, MATCH($L76, '6. TIẾN ĐỘ MUA HÀNG'!J:J, 0)), ""))</f>
        <v/>
      </c>
      <c r="E76" s="610"/>
      <c r="F76" s="593"/>
      <c r="G76" s="606"/>
      <c r="H76" s="595" t="str">
        <f t="array" ref="H76">IFERROR( XLOOKUP(L56,'6. TIẾN ĐỘ MUA HÀNG'!J:J,'6. TIẾN ĐỘ MUA HÀNG'!I:I),)</f>
        <v>Đông Tây</v>
      </c>
      <c r="I76" s="606"/>
      <c r="J76" s="576" t="str">
        <f t="shared" si="7"/>
        <v/>
      </c>
      <c r="K76" s="577" t="str">
        <f t="array" ref="K76">IF($L76="", "", IFERROR(INDEX('6. TIẾN ĐỘ MUA HÀNG'!K:K, MATCH($L76, '6. TIẾN ĐỘ MUA HÀNG'!J:J, 0)), ""))</f>
        <v/>
      </c>
      <c r="L76" s="612"/>
      <c r="M76" s="579" t="str">
        <f t="array" ref="M76">IF($L76="", "", IFERROR(INDEX('6. TIẾN ĐỘ MUA HÀNG'!AF:AF, MATCH($L76, '6. TIẾN ĐỘ MUA HÀNG'!J:J, 0)), ""))</f>
        <v/>
      </c>
      <c r="N76" s="77"/>
      <c r="O76" s="601" t="str">
        <f t="shared" si="8"/>
        <v/>
      </c>
      <c r="P76" s="576"/>
      <c r="Q76" s="605"/>
      <c r="R76" s="605"/>
      <c r="S76" s="583" t="str">
        <f t="shared" si="2"/>
        <v/>
      </c>
      <c r="T76" s="584">
        <f t="shared" si="3"/>
        <v>0</v>
      </c>
      <c r="U76" s="584">
        <f t="shared" si="4"/>
        <v>0</v>
      </c>
      <c r="V76" s="584">
        <f t="shared" si="5"/>
        <v>0</v>
      </c>
      <c r="W76" s="585">
        <f t="shared" si="6"/>
        <v>0</v>
      </c>
      <c r="X76" s="77"/>
      <c r="Y76" s="586" t="str">
        <f t="array" ref="Y76">IF($L76="", "", IFERROR(INDEX('1. DATA CHUNG'!$E$4:$E$139, MATCH(INDEX('6. TIẾN ĐỘ MUA HÀNG'!$G$5:$G$76, MATCH($L76, '6. TIẾN ĐỘ MUA HÀNG'!$J$5:$J$76, 0)), '1. DATA CHUNG'!$D$4:$D$139, 0)), ""))</f>
        <v/>
      </c>
      <c r="Z76" s="587" t="s">
        <v>1305</v>
      </c>
      <c r="AA76" s="586" t="s">
        <v>57</v>
      </c>
      <c r="AB76" s="586">
        <f>if(len(AA76)=0,"", VLOOKUP($AA$5, '0.Ngân Hàng'!$A:$C, 2, 0)
)</f>
        <v>161816186868</v>
      </c>
      <c r="AC76" s="586" t="str">
        <f>if(len(AA76)=0,"", VLOOKUP($AA$5, '0.Ngân Hàng'!$A:$C, 3, 0)
)</f>
        <v> Ngân hàng TMCP Á Châu (ACB)</v>
      </c>
      <c r="AD76" s="588" t="str">
        <f t="array" ref="AD76">IF($L76="", "", IFERROR(INDEX('6. TIẾN ĐỘ MUA HÀNG'!AE:AE, MATCH($L76, '6. TIẾN ĐỘ MUA HÀNG'!J:J, 0)), ""))</f>
        <v/>
      </c>
      <c r="AE76" s="394"/>
      <c r="AF76" s="87"/>
    </row>
    <row r="77" ht="30.0" customHeight="1">
      <c r="A77" s="580" t="s">
        <v>1190</v>
      </c>
      <c r="B77" s="611"/>
      <c r="C77" s="571" t="str">
        <f t="array" ref="C77">IF($L77="", "", IFERROR(INDEX('6. TIẾN ĐỘ MUA HÀNG'!F:F, MATCH($L77, '6. TIẾN ĐỘ MUA HÀNG'!J:J, 0)), ""))</f>
        <v/>
      </c>
      <c r="D77" s="571" t="str">
        <f t="array" ref="D77">IF($L77="", "", IFERROR(INDEX('6. TIẾN ĐỘ MUA HÀNG'!G:G, MATCH($L77, '6. TIẾN ĐỘ MUA HÀNG'!J:J, 0)), ""))</f>
        <v/>
      </c>
      <c r="E77" s="581"/>
      <c r="F77" s="572"/>
      <c r="G77" s="608"/>
      <c r="H77" s="574" t="str">
        <f t="array" ref="H77">IFERROR( XLOOKUP(L57,'6. TIẾN ĐỘ MUA HÀNG'!J:J,'6. TIẾN ĐỘ MUA HÀNG'!I:I),)</f>
        <v>Đông Tây</v>
      </c>
      <c r="I77" s="608"/>
      <c r="J77" s="576" t="str">
        <f t="shared" si="7"/>
        <v/>
      </c>
      <c r="K77" s="577" t="str">
        <f t="array" ref="K77">IF($L77="", "", IFERROR(INDEX('6. TIẾN ĐỘ MUA HÀNG'!K:K, MATCH($L77, '6. TIẾN ĐỘ MUA HÀNG'!J:J, 0)), ""))</f>
        <v/>
      </c>
      <c r="L77" s="612"/>
      <c r="M77" s="579" t="str">
        <f t="array" ref="M77">IF($L77="", "", IFERROR(INDEX('6. TIẾN ĐỘ MUA HÀNG'!AF:AF, MATCH($L77, '6. TIẾN ĐỘ MUA HÀNG'!J:J, 0)), ""))</f>
        <v/>
      </c>
      <c r="N77" s="77"/>
      <c r="O77" s="598" t="str">
        <f t="shared" si="8"/>
        <v/>
      </c>
      <c r="P77" s="576"/>
      <c r="Q77" s="605"/>
      <c r="R77" s="605"/>
      <c r="S77" s="583" t="str">
        <f t="shared" si="2"/>
        <v/>
      </c>
      <c r="T77" s="584">
        <f t="shared" si="3"/>
        <v>0</v>
      </c>
      <c r="U77" s="584">
        <f t="shared" si="4"/>
        <v>0</v>
      </c>
      <c r="V77" s="584">
        <f t="shared" si="5"/>
        <v>0</v>
      </c>
      <c r="W77" s="585">
        <f t="shared" si="6"/>
        <v>0</v>
      </c>
      <c r="X77" s="77"/>
      <c r="Y77" s="586" t="str">
        <f t="array" ref="Y77">IF($L77="", "", IFERROR(INDEX('1. DATA CHUNG'!$E$4:$E$139, MATCH(INDEX('6. TIẾN ĐỘ MUA HÀNG'!$G$5:$G$76, MATCH($L77, '6. TIẾN ĐỘ MUA HÀNG'!$J$5:$J$76, 0)), '1. DATA CHUNG'!$D$4:$D$139, 0)), ""))</f>
        <v/>
      </c>
      <c r="Z77" s="87"/>
      <c r="AA77" s="586" t="s">
        <v>57</v>
      </c>
      <c r="AB77" s="586">
        <f>if(len(AA77)=0,"", VLOOKUP($AA$5, '0.Ngân Hàng'!$A:$C, 2, 0)
)</f>
        <v>161816186868</v>
      </c>
      <c r="AC77" s="586" t="str">
        <f>if(len(AA77)=0,"", VLOOKUP($AA$5, '0.Ngân Hàng'!$A:$C, 3, 0)
)</f>
        <v> Ngân hàng TMCP Á Châu (ACB)</v>
      </c>
      <c r="AD77" s="588" t="str">
        <f t="array" ref="AD77">IF($L77="", "", IFERROR(INDEX('6. TIẾN ĐỘ MUA HÀNG'!AE:AE, MATCH($L77, '6. TIẾN ĐỘ MUA HÀNG'!J:J, 0)), ""))</f>
        <v/>
      </c>
      <c r="AE77" s="394"/>
      <c r="AF77" s="87"/>
    </row>
    <row r="78" ht="30.0" customHeight="1">
      <c r="A78" s="590" t="s">
        <v>1190</v>
      </c>
      <c r="B78" s="609"/>
      <c r="C78" s="592" t="str">
        <f t="array" ref="C78">IF($L78="", "", IFERROR(INDEX('6. TIẾN ĐỘ MUA HÀNG'!F:F, MATCH($L78, '6. TIẾN ĐỘ MUA HÀNG'!J:J, 0)), ""))</f>
        <v/>
      </c>
      <c r="D78" s="592" t="str">
        <f t="array" ref="D78">IF($L78="", "", IFERROR(INDEX('6. TIẾN ĐỘ MUA HÀNG'!G:G, MATCH($L78, '6. TIẾN ĐỘ MUA HÀNG'!J:J, 0)), ""))</f>
        <v/>
      </c>
      <c r="E78" s="610"/>
      <c r="F78" s="593"/>
      <c r="G78" s="606"/>
      <c r="H78" s="595" t="str">
        <f t="array" ref="H78">IFERROR( XLOOKUP(L58,'6. TIẾN ĐỘ MUA HÀNG'!J:J,'6. TIẾN ĐỘ MUA HÀNG'!I:I),)</f>
        <v/>
      </c>
      <c r="I78" s="606"/>
      <c r="J78" s="576" t="str">
        <f t="shared" si="7"/>
        <v/>
      </c>
      <c r="K78" s="577" t="str">
        <f t="array" ref="K78">IF($L78="", "", IFERROR(INDEX('6. TIẾN ĐỘ MUA HÀNG'!K:K, MATCH($L78, '6. TIẾN ĐỘ MUA HÀNG'!J:J, 0)), ""))</f>
        <v/>
      </c>
      <c r="L78" s="612"/>
      <c r="M78" s="579" t="str">
        <f t="array" ref="M78">IF($L78="", "", IFERROR(INDEX('6. TIẾN ĐỘ MUA HÀNG'!AF:AF, MATCH($L78, '6. TIẾN ĐỘ MUA HÀNG'!J:J, 0)), ""))</f>
        <v/>
      </c>
      <c r="N78" s="77"/>
      <c r="O78" s="601" t="str">
        <f t="shared" si="8"/>
        <v/>
      </c>
      <c r="P78" s="576"/>
      <c r="Q78" s="605"/>
      <c r="R78" s="605"/>
      <c r="S78" s="583" t="str">
        <f t="shared" si="2"/>
        <v/>
      </c>
      <c r="T78" s="584">
        <f t="shared" si="3"/>
        <v>0</v>
      </c>
      <c r="U78" s="584">
        <f t="shared" si="4"/>
        <v>0</v>
      </c>
      <c r="V78" s="584">
        <f t="shared" si="5"/>
        <v>0</v>
      </c>
      <c r="W78" s="585">
        <f t="shared" si="6"/>
        <v>0</v>
      </c>
      <c r="X78" s="77"/>
      <c r="Y78" s="586" t="str">
        <f t="array" ref="Y78">IF($L78="", "", IFERROR(INDEX('1. DATA CHUNG'!$E$4:$E$139, MATCH(INDEX('6. TIẾN ĐỘ MUA HÀNG'!$G$5:$G$76, MATCH($L78, '6. TIẾN ĐỘ MUA HÀNG'!$J$5:$J$76, 0)), '1. DATA CHUNG'!$D$4:$D$139, 0)), ""))</f>
        <v/>
      </c>
      <c r="Z78" s="87"/>
      <c r="AA78" s="87"/>
      <c r="AB78" s="87"/>
      <c r="AC78" s="87"/>
      <c r="AD78" s="588" t="str">
        <f t="array" ref="AD78">IF($L78="", "", IFERROR(INDEX('6. TIẾN ĐỘ MUA HÀNG'!AE:AE, MATCH($L78, '6. TIẾN ĐỘ MUA HÀNG'!J:J, 0)), ""))</f>
        <v/>
      </c>
      <c r="AE78" s="394"/>
      <c r="AF78" s="87"/>
    </row>
    <row r="79" ht="30.0" customHeight="1">
      <c r="A79" s="580" t="s">
        <v>1190</v>
      </c>
      <c r="B79" s="611"/>
      <c r="C79" s="571" t="str">
        <f t="array" ref="C79">IF($L79="", "", IFERROR(INDEX('6. TIẾN ĐỘ MUA HÀNG'!F:F, MATCH($L79, '6. TIẾN ĐỘ MUA HÀNG'!J:J, 0)), ""))</f>
        <v/>
      </c>
      <c r="D79" s="571" t="str">
        <f t="array" ref="D79">IF($L79="", "", IFERROR(INDEX('6. TIẾN ĐỘ MUA HÀNG'!G:G, MATCH($L79, '6. TIẾN ĐỘ MUA HÀNG'!J:J, 0)), ""))</f>
        <v/>
      </c>
      <c r="E79" s="581"/>
      <c r="F79" s="572"/>
      <c r="G79" s="608"/>
      <c r="H79" s="574" t="str">
        <f t="array" ref="H79">IFERROR( XLOOKUP(L59,'6. TIẾN ĐỘ MUA HÀNG'!J:J,'6. TIẾN ĐỘ MUA HÀNG'!I:I),)</f>
        <v/>
      </c>
      <c r="I79" s="608"/>
      <c r="J79" s="576" t="str">
        <f t="shared" si="7"/>
        <v/>
      </c>
      <c r="K79" s="577" t="str">
        <f t="array" ref="K79">IF($L79="", "", IFERROR(INDEX('6. TIẾN ĐỘ MUA HÀNG'!K:K, MATCH($L79, '6. TIẾN ĐỘ MUA HÀNG'!J:J, 0)), ""))</f>
        <v/>
      </c>
      <c r="L79" s="612"/>
      <c r="M79" s="579" t="str">
        <f t="array" ref="M79">IF($L79="", "", IFERROR(INDEX('6. TIẾN ĐỘ MUA HÀNG'!AF:AF, MATCH($L79, '6. TIẾN ĐỘ MUA HÀNG'!J:J, 0)), ""))</f>
        <v/>
      </c>
      <c r="N79" s="77"/>
      <c r="O79" s="598" t="str">
        <f t="shared" si="8"/>
        <v/>
      </c>
      <c r="P79" s="576"/>
      <c r="Q79" s="605"/>
      <c r="R79" s="605"/>
      <c r="S79" s="583" t="str">
        <f t="shared" si="2"/>
        <v/>
      </c>
      <c r="T79" s="584">
        <f t="shared" si="3"/>
        <v>0</v>
      </c>
      <c r="U79" s="584">
        <f t="shared" si="4"/>
        <v>0</v>
      </c>
      <c r="V79" s="584">
        <f t="shared" si="5"/>
        <v>0</v>
      </c>
      <c r="W79" s="585">
        <f t="shared" si="6"/>
        <v>0</v>
      </c>
      <c r="X79" s="77"/>
      <c r="Y79" s="586" t="str">
        <f t="array" ref="Y79">IF($L79="", "", IFERROR(INDEX('1. DATA CHUNG'!$E$4:$E$139, MATCH(INDEX('6. TIẾN ĐỘ MUA HÀNG'!$G$5:$G$76, MATCH($L79, '6. TIẾN ĐỘ MUA HÀNG'!$J$5:$J$76, 0)), '1. DATA CHUNG'!$D$4:$D$139, 0)), ""))</f>
        <v/>
      </c>
      <c r="Z79" s="87"/>
      <c r="AA79" s="87"/>
      <c r="AB79" s="87"/>
      <c r="AC79" s="87"/>
      <c r="AD79" s="588" t="str">
        <f t="array" ref="AD79">IF($L79="", "", IFERROR(INDEX('6. TIẾN ĐỘ MUA HÀNG'!AE:AE, MATCH($L79, '6. TIẾN ĐỘ MUA HÀNG'!J:J, 0)), ""))</f>
        <v/>
      </c>
      <c r="AE79" s="394"/>
      <c r="AF79" s="87"/>
    </row>
    <row r="80" ht="30.0" customHeight="1">
      <c r="A80" s="590" t="s">
        <v>1190</v>
      </c>
      <c r="B80" s="609"/>
      <c r="C80" s="592" t="str">
        <f t="array" ref="C80">IF($L80="", "", IFERROR(INDEX('6. TIẾN ĐỘ MUA HÀNG'!F:F, MATCH($L80, '6. TIẾN ĐỘ MUA HÀNG'!J:J, 0)), ""))</f>
        <v/>
      </c>
      <c r="D80" s="592" t="str">
        <f t="array" ref="D80">IF($L80="", "", IFERROR(INDEX('6. TIẾN ĐỘ MUA HÀNG'!G:G, MATCH($L80, '6. TIẾN ĐỘ MUA HÀNG'!J:J, 0)), ""))</f>
        <v/>
      </c>
      <c r="E80" s="610"/>
      <c r="F80" s="593"/>
      <c r="G80" s="606"/>
      <c r="H80" s="595" t="str">
        <f t="array" ref="H80">IFERROR( XLOOKUP(L60,'6. TIẾN ĐỘ MUA HÀNG'!J:J,'6. TIẾN ĐỘ MUA HÀNG'!I:I),)</f>
        <v/>
      </c>
      <c r="I80" s="606"/>
      <c r="J80" s="576" t="str">
        <f t="shared" si="7"/>
        <v/>
      </c>
      <c r="K80" s="577" t="str">
        <f t="array" ref="K80">IF($L80="", "", IFERROR(INDEX('6. TIẾN ĐỘ MUA HÀNG'!K:K, MATCH($L80, '6. TIẾN ĐỘ MUA HÀNG'!J:J, 0)), ""))</f>
        <v/>
      </c>
      <c r="L80" s="612"/>
      <c r="M80" s="579" t="str">
        <f t="array" ref="M80">IF($L80="", "", IFERROR(INDEX('6. TIẾN ĐỘ MUA HÀNG'!AF:AF, MATCH($L80, '6. TIẾN ĐỘ MUA HÀNG'!J:J, 0)), ""))</f>
        <v/>
      </c>
      <c r="N80" s="77"/>
      <c r="O80" s="601" t="str">
        <f t="shared" si="8"/>
        <v/>
      </c>
      <c r="P80" s="576"/>
      <c r="Q80" s="605"/>
      <c r="R80" s="605"/>
      <c r="S80" s="583" t="str">
        <f t="shared" si="2"/>
        <v/>
      </c>
      <c r="T80" s="584">
        <f t="shared" si="3"/>
        <v>0</v>
      </c>
      <c r="U80" s="584">
        <f t="shared" si="4"/>
        <v>0</v>
      </c>
      <c r="V80" s="584">
        <f t="shared" si="5"/>
        <v>0</v>
      </c>
      <c r="W80" s="585">
        <f t="shared" si="6"/>
        <v>0</v>
      </c>
      <c r="X80" s="77"/>
      <c r="Y80" s="586" t="str">
        <f t="array" ref="Y80">IF($L80="", "", IFERROR(INDEX('1. DATA CHUNG'!$E$4:$E$139, MATCH(INDEX('6. TIẾN ĐỘ MUA HÀNG'!$G$5:$G$76, MATCH($L80, '6. TIẾN ĐỘ MUA HÀNG'!$J$5:$J$76, 0)), '1. DATA CHUNG'!$D$4:$D$139, 0)), ""))</f>
        <v/>
      </c>
      <c r="Z80" s="87"/>
      <c r="AA80" s="87"/>
      <c r="AB80" s="87"/>
      <c r="AC80" s="87"/>
      <c r="AD80" s="588" t="str">
        <f t="array" ref="AD80">IF($L80="", "", IFERROR(INDEX('6. TIẾN ĐỘ MUA HÀNG'!AE:AE, MATCH($L80, '6. TIẾN ĐỘ MUA HÀNG'!J:J, 0)), ""))</f>
        <v/>
      </c>
      <c r="AE80" s="394"/>
      <c r="AF80" s="87"/>
    </row>
  </sheetData>
  <autoFilter ref="$A$4:$AF$80"/>
  <mergeCells count="1">
    <mergeCell ref="T3:W3"/>
  </mergeCells>
  <dataValidations>
    <dataValidation type="list" allowBlank="1" showErrorMessage="1" sqref="Z5:Z76">
      <formula1>"Chuyển khoản ,Tiền mặt"</formula1>
    </dataValidation>
    <dataValidation type="custom" allowBlank="1" showDropDown="1" showErrorMessage="1" sqref="G5:G63 B5:B80">
      <formula1>OR(NOT(ISERROR(DATEVALUE(B5))), AND(ISNUMBER(B5), LEFT(CELL("format", B5))="D"))</formula1>
    </dataValidation>
    <dataValidation type="list" allowBlank="1" showErrorMessage="1" sqref="J5:J80">
      <formula1>"Công nợ NCC,Lãi trả chậm"</formula1>
    </dataValidation>
    <dataValidation type="list" allowBlank="1" showErrorMessage="1" sqref="E5:E80">
      <formula1>"Chi thực tế,Dự chi,Hoàn ứng,Tạm ứng"</formula1>
    </dataValidation>
    <dataValidation type="list" allowBlank="1" sqref="AA5:AA77">
      <formula1>'0.Ngân Hàng'!$A$2:$A$9039</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7.75"/>
    <col customWidth="1" min="2" max="2" width="12.75"/>
    <col customWidth="1" min="3" max="3" width="39.25"/>
    <col customWidth="1" min="4" max="4" width="10.0"/>
    <col customWidth="1" min="5" max="5" width="40.13"/>
    <col customWidth="1" min="6" max="6" width="3.75"/>
    <col customWidth="1" min="7" max="7" width="39.0"/>
  </cols>
  <sheetData>
    <row r="1">
      <c r="A1" s="613" t="s">
        <v>1309</v>
      </c>
      <c r="F1" s="151"/>
      <c r="G1" s="614" t="s">
        <v>1310</v>
      </c>
    </row>
    <row r="2">
      <c r="A2" s="151"/>
      <c r="B2" s="151"/>
      <c r="C2" s="151"/>
      <c r="F2" s="151"/>
      <c r="G2" s="151"/>
    </row>
    <row r="3">
      <c r="A3" s="615" t="s">
        <v>1311</v>
      </c>
      <c r="C3" s="616" t="s">
        <v>1312</v>
      </c>
      <c r="F3" s="405"/>
      <c r="G3" s="405"/>
    </row>
    <row r="4" ht="9.0" customHeight="1">
      <c r="A4" s="405"/>
      <c r="B4" s="405"/>
      <c r="C4" s="405"/>
      <c r="F4" s="405"/>
      <c r="G4" s="405"/>
    </row>
    <row r="5">
      <c r="A5" s="617" t="s">
        <v>1313</v>
      </c>
      <c r="C5" s="616" t="s">
        <v>681</v>
      </c>
      <c r="F5" s="405"/>
      <c r="G5" s="405"/>
    </row>
    <row r="6" ht="6.75" customHeight="1">
      <c r="A6" s="405"/>
      <c r="B6" s="405"/>
      <c r="C6" s="405"/>
      <c r="F6" s="405"/>
      <c r="G6" s="405"/>
    </row>
    <row r="7">
      <c r="A7" s="617" t="s">
        <v>1314</v>
      </c>
      <c r="C7" s="616" t="s">
        <v>304</v>
      </c>
      <c r="F7" s="405"/>
      <c r="G7" s="405"/>
    </row>
    <row r="8">
      <c r="A8" s="405"/>
      <c r="B8" s="405"/>
      <c r="C8" s="405"/>
      <c r="F8" s="405"/>
      <c r="G8" s="405"/>
    </row>
    <row r="9">
      <c r="A9" s="618" t="s">
        <v>1315</v>
      </c>
      <c r="F9" s="405"/>
      <c r="G9" s="405"/>
    </row>
    <row r="10">
      <c r="A10" s="619" t="s">
        <v>80</v>
      </c>
      <c r="B10" s="620" t="s">
        <v>1316</v>
      </c>
      <c r="C10" s="620" t="s">
        <v>1317</v>
      </c>
      <c r="D10" s="620" t="s">
        <v>394</v>
      </c>
      <c r="E10" s="619" t="s">
        <v>1318</v>
      </c>
      <c r="F10" s="405"/>
      <c r="G10" s="405"/>
    </row>
    <row r="11" ht="25.5" customHeight="1">
      <c r="A11" s="621" t="s">
        <v>1319</v>
      </c>
      <c r="B11" s="622" t="s">
        <v>1320</v>
      </c>
      <c r="C11" s="461"/>
      <c r="D11" s="461"/>
      <c r="E11" s="461"/>
      <c r="F11" s="405"/>
      <c r="G11" s="405"/>
    </row>
    <row r="12" ht="25.5" customHeight="1">
      <c r="A12" s="623">
        <v>1.0</v>
      </c>
      <c r="B12" s="576"/>
      <c r="C12" s="624" t="s">
        <v>1321</v>
      </c>
      <c r="D12" s="603" t="b">
        <v>1</v>
      </c>
      <c r="E12" s="576"/>
      <c r="F12" s="405"/>
      <c r="G12" s="405"/>
    </row>
    <row r="13" ht="25.5" customHeight="1">
      <c r="A13" s="623">
        <v>2.0</v>
      </c>
      <c r="B13" s="576"/>
      <c r="C13" s="624" t="s">
        <v>1322</v>
      </c>
      <c r="D13" s="603" t="b">
        <v>1</v>
      </c>
      <c r="E13" s="576"/>
      <c r="F13" s="405"/>
      <c r="G13" s="405"/>
    </row>
    <row r="14" ht="25.5" customHeight="1">
      <c r="A14" s="623">
        <v>3.0</v>
      </c>
      <c r="B14" s="576"/>
      <c r="C14" s="624" t="s">
        <v>1323</v>
      </c>
      <c r="D14" s="603" t="b">
        <v>1</v>
      </c>
      <c r="E14" s="576"/>
      <c r="F14" s="405"/>
      <c r="G14" s="405"/>
    </row>
    <row r="15" ht="25.5" customHeight="1">
      <c r="A15" s="623">
        <v>4.0</v>
      </c>
      <c r="B15" s="576"/>
      <c r="C15" s="624" t="s">
        <v>1324</v>
      </c>
      <c r="D15" s="603" t="b">
        <v>1</v>
      </c>
      <c r="E15" s="576"/>
      <c r="F15" s="405"/>
      <c r="G15" s="405"/>
    </row>
    <row r="16" ht="25.5" customHeight="1">
      <c r="A16" s="623">
        <v>5.0</v>
      </c>
      <c r="B16" s="576"/>
      <c r="C16" s="624" t="s">
        <v>1325</v>
      </c>
      <c r="D16" s="603" t="b">
        <v>1</v>
      </c>
      <c r="E16" s="576"/>
      <c r="F16" s="405"/>
      <c r="G16" s="405"/>
    </row>
    <row r="17" ht="25.5" customHeight="1">
      <c r="A17" s="621" t="s">
        <v>1326</v>
      </c>
      <c r="B17" s="622" t="s">
        <v>1327</v>
      </c>
      <c r="C17" s="461"/>
      <c r="D17" s="461"/>
      <c r="E17" s="461"/>
      <c r="F17" s="405"/>
      <c r="G17" s="405"/>
    </row>
    <row r="18" ht="25.5" customHeight="1">
      <c r="A18" s="623">
        <v>6.0</v>
      </c>
      <c r="B18" s="576"/>
      <c r="C18" s="624" t="s">
        <v>1328</v>
      </c>
      <c r="D18" s="603" t="b">
        <v>1</v>
      </c>
      <c r="E18" s="576"/>
      <c r="F18" s="405"/>
      <c r="G18" s="405"/>
    </row>
    <row r="19" ht="25.5" customHeight="1">
      <c r="A19" s="623">
        <v>7.0</v>
      </c>
      <c r="B19" s="576"/>
      <c r="C19" s="624" t="s">
        <v>1329</v>
      </c>
      <c r="D19" s="603" t="b">
        <v>1</v>
      </c>
      <c r="E19" s="576"/>
      <c r="F19" s="405"/>
      <c r="G19" s="405"/>
    </row>
    <row r="20" ht="25.5" customHeight="1">
      <c r="A20" s="623">
        <v>8.0</v>
      </c>
      <c r="B20" s="576"/>
      <c r="C20" s="624" t="s">
        <v>1330</v>
      </c>
      <c r="D20" s="603" t="b">
        <v>1</v>
      </c>
      <c r="E20" s="576"/>
      <c r="F20" s="405"/>
      <c r="G20" s="405"/>
    </row>
    <row r="21" ht="25.5" customHeight="1">
      <c r="A21" s="623">
        <v>9.0</v>
      </c>
      <c r="B21" s="576"/>
      <c r="C21" s="624" t="s">
        <v>1331</v>
      </c>
      <c r="D21" s="603" t="b">
        <v>1</v>
      </c>
      <c r="E21" s="576"/>
      <c r="F21" s="405"/>
      <c r="G21" s="405"/>
    </row>
    <row r="22" ht="25.5" customHeight="1">
      <c r="A22" s="623">
        <v>10.0</v>
      </c>
      <c r="B22" s="576"/>
      <c r="C22" s="624" t="s">
        <v>1332</v>
      </c>
      <c r="D22" s="603" t="b">
        <v>1</v>
      </c>
      <c r="E22" s="576"/>
      <c r="F22" s="405"/>
      <c r="G22" s="405"/>
    </row>
    <row r="23" ht="25.5" customHeight="1">
      <c r="A23" s="623">
        <v>11.0</v>
      </c>
      <c r="B23" s="576"/>
      <c r="C23" s="624" t="s">
        <v>1333</v>
      </c>
      <c r="D23" s="603" t="b">
        <v>1</v>
      </c>
      <c r="E23" s="576"/>
      <c r="F23" s="405"/>
      <c r="G23" s="405"/>
    </row>
    <row r="24" ht="25.5" customHeight="1">
      <c r="A24" s="621" t="s">
        <v>1334</v>
      </c>
      <c r="B24" s="622" t="s">
        <v>1335</v>
      </c>
      <c r="C24" s="461"/>
      <c r="D24" s="461"/>
      <c r="E24" s="461"/>
      <c r="F24" s="405"/>
      <c r="G24" s="405"/>
    </row>
    <row r="25" ht="25.5" customHeight="1">
      <c r="A25" s="623">
        <v>12.0</v>
      </c>
      <c r="B25" s="576"/>
      <c r="C25" s="624" t="s">
        <v>1336</v>
      </c>
      <c r="D25" s="603" t="b">
        <v>1</v>
      </c>
      <c r="E25" s="576"/>
      <c r="F25" s="405"/>
      <c r="G25" s="405"/>
    </row>
    <row r="26" ht="25.5" customHeight="1">
      <c r="A26" s="623">
        <v>13.0</v>
      </c>
      <c r="B26" s="576"/>
      <c r="C26" s="624" t="s">
        <v>1337</v>
      </c>
      <c r="D26" s="603" t="b">
        <v>1</v>
      </c>
      <c r="E26" s="576"/>
      <c r="F26" s="405"/>
      <c r="G26" s="405"/>
    </row>
    <row r="27" ht="25.5" customHeight="1">
      <c r="A27" s="623">
        <v>14.0</v>
      </c>
      <c r="B27" s="576"/>
      <c r="C27" s="624" t="s">
        <v>1338</v>
      </c>
      <c r="D27" s="603" t="b">
        <v>1</v>
      </c>
      <c r="E27" s="576"/>
      <c r="F27" s="405"/>
      <c r="G27" s="405"/>
    </row>
    <row r="28" ht="25.5" customHeight="1">
      <c r="A28" s="623">
        <v>15.0</v>
      </c>
      <c r="B28" s="576"/>
      <c r="C28" s="624" t="s">
        <v>1339</v>
      </c>
      <c r="D28" s="603" t="b">
        <v>1</v>
      </c>
      <c r="E28" s="576"/>
      <c r="F28" s="405"/>
      <c r="G28" s="405"/>
    </row>
    <row r="29" ht="25.5" customHeight="1">
      <c r="A29" s="623">
        <v>16.0</v>
      </c>
      <c r="B29" s="576"/>
      <c r="C29" s="624" t="s">
        <v>1340</v>
      </c>
      <c r="D29" s="603" t="b">
        <v>1</v>
      </c>
      <c r="E29" s="576"/>
      <c r="F29" s="405"/>
      <c r="G29" s="405"/>
    </row>
    <row r="30" ht="25.5" customHeight="1">
      <c r="A30" s="623">
        <v>17.0</v>
      </c>
      <c r="B30" s="576"/>
      <c r="C30" s="625" t="s">
        <v>374</v>
      </c>
      <c r="D30" s="603" t="b">
        <v>1</v>
      </c>
      <c r="E30" s="576"/>
      <c r="F30" s="405"/>
      <c r="G30" s="405"/>
    </row>
    <row r="31" ht="25.5" customHeight="1">
      <c r="A31" s="623">
        <v>18.0</v>
      </c>
      <c r="B31" s="576"/>
      <c r="C31" s="625" t="s">
        <v>1341</v>
      </c>
      <c r="D31" s="603" t="b">
        <v>1</v>
      </c>
      <c r="E31" s="576"/>
      <c r="F31" s="405"/>
      <c r="G31" s="405"/>
    </row>
    <row r="32" ht="25.5" customHeight="1">
      <c r="A32" s="626" t="s">
        <v>1342</v>
      </c>
      <c r="B32" s="622" t="s">
        <v>1343</v>
      </c>
      <c r="C32" s="461"/>
      <c r="D32" s="461"/>
      <c r="E32" s="461"/>
      <c r="F32" s="405"/>
      <c r="G32" s="405"/>
    </row>
    <row r="33">
      <c r="A33" s="623">
        <v>19.0</v>
      </c>
      <c r="B33" s="576"/>
      <c r="C33" s="625" t="s">
        <v>1344</v>
      </c>
      <c r="D33" s="603" t="b">
        <v>1</v>
      </c>
      <c r="E33" s="576"/>
      <c r="F33" s="405"/>
      <c r="G33" s="405"/>
    </row>
    <row r="34" ht="25.5" customHeight="1">
      <c r="A34" s="623">
        <v>20.0</v>
      </c>
      <c r="B34" s="576"/>
      <c r="C34" s="624" t="s">
        <v>1345</v>
      </c>
      <c r="D34" s="603" t="b">
        <v>1</v>
      </c>
      <c r="E34" s="576"/>
      <c r="F34" s="405"/>
      <c r="G34" s="405"/>
    </row>
    <row r="35" ht="25.5" customHeight="1">
      <c r="A35" s="623">
        <v>21.0</v>
      </c>
      <c r="B35" s="576"/>
      <c r="C35" s="624" t="s">
        <v>1346</v>
      </c>
      <c r="D35" s="603" t="b">
        <v>1</v>
      </c>
      <c r="E35" s="576"/>
      <c r="F35" s="405"/>
      <c r="G35" s="405"/>
    </row>
    <row r="36" ht="25.5" customHeight="1">
      <c r="A36" s="623">
        <v>22.0</v>
      </c>
      <c r="B36" s="576"/>
      <c r="C36" s="625" t="s">
        <v>1347</v>
      </c>
      <c r="D36" s="603" t="b">
        <v>1</v>
      </c>
      <c r="E36" s="576"/>
      <c r="F36" s="405"/>
      <c r="G36" s="405"/>
    </row>
    <row r="37">
      <c r="A37" s="623">
        <v>23.0</v>
      </c>
      <c r="B37" s="576"/>
      <c r="C37" s="624" t="s">
        <v>1348</v>
      </c>
      <c r="D37" s="603" t="b">
        <v>1</v>
      </c>
      <c r="E37" s="576"/>
      <c r="F37" s="405"/>
      <c r="G37" s="405"/>
    </row>
    <row r="38">
      <c r="A38" s="623">
        <v>24.0</v>
      </c>
      <c r="B38" s="576"/>
      <c r="C38" s="624" t="s">
        <v>1349</v>
      </c>
      <c r="D38" s="603" t="b">
        <v>1</v>
      </c>
      <c r="E38" s="576"/>
      <c r="F38" s="405"/>
      <c r="G38" s="405"/>
    </row>
    <row r="39" ht="25.5" customHeight="1">
      <c r="A39" s="621" t="s">
        <v>1350</v>
      </c>
      <c r="B39" s="622" t="s">
        <v>1351</v>
      </c>
      <c r="C39" s="461"/>
      <c r="D39" s="461"/>
      <c r="E39" s="461"/>
      <c r="F39" s="405"/>
      <c r="G39" s="405"/>
    </row>
    <row r="40" ht="25.5" customHeight="1">
      <c r="A40" s="623">
        <v>25.0</v>
      </c>
      <c r="B40" s="576"/>
      <c r="C40" s="624" t="s">
        <v>1352</v>
      </c>
      <c r="D40" s="603" t="b">
        <v>1</v>
      </c>
      <c r="E40" s="576"/>
      <c r="F40" s="405"/>
      <c r="G40" s="405"/>
    </row>
    <row r="41" ht="25.5" customHeight="1">
      <c r="A41" s="623">
        <v>26.0</v>
      </c>
      <c r="B41" s="576"/>
      <c r="C41" s="624" t="s">
        <v>1353</v>
      </c>
      <c r="D41" s="603" t="b">
        <v>1</v>
      </c>
      <c r="E41" s="576"/>
      <c r="F41" s="405"/>
      <c r="G41" s="405"/>
    </row>
    <row r="42" ht="25.5" customHeight="1">
      <c r="A42" s="623">
        <v>27.0</v>
      </c>
      <c r="B42" s="576"/>
      <c r="C42" s="624" t="s">
        <v>1354</v>
      </c>
      <c r="D42" s="603" t="b">
        <v>1</v>
      </c>
      <c r="E42" s="576"/>
      <c r="F42" s="405"/>
      <c r="G42" s="405"/>
    </row>
    <row r="43" ht="25.5" customHeight="1">
      <c r="A43" s="623">
        <v>28.0</v>
      </c>
      <c r="B43" s="576"/>
      <c r="C43" s="624" t="s">
        <v>1355</v>
      </c>
      <c r="D43" s="603" t="b">
        <v>1</v>
      </c>
      <c r="E43" s="576"/>
      <c r="F43" s="405"/>
      <c r="G43" s="405"/>
    </row>
    <row r="44" ht="25.5" customHeight="1">
      <c r="A44" s="623">
        <v>29.0</v>
      </c>
      <c r="B44" s="576"/>
      <c r="C44" s="624" t="s">
        <v>1356</v>
      </c>
      <c r="D44" s="603" t="b">
        <v>1</v>
      </c>
      <c r="E44" s="576"/>
      <c r="F44" s="405"/>
      <c r="G44" s="405"/>
    </row>
    <row r="45" ht="25.5" customHeight="1">
      <c r="A45" s="626" t="s">
        <v>1357</v>
      </c>
      <c r="B45" s="622" t="s">
        <v>1358</v>
      </c>
      <c r="C45" s="461"/>
      <c r="D45" s="461"/>
      <c r="E45" s="461"/>
      <c r="F45" s="405"/>
      <c r="G45" s="405"/>
    </row>
    <row r="46" ht="25.5" customHeight="1">
      <c r="A46" s="623">
        <v>30.0</v>
      </c>
      <c r="B46" s="576"/>
      <c r="C46" s="624" t="s">
        <v>1359</v>
      </c>
      <c r="D46" s="603" t="b">
        <v>1</v>
      </c>
      <c r="E46" s="576"/>
      <c r="F46" s="405"/>
      <c r="G46" s="405"/>
    </row>
    <row r="47" ht="25.5" customHeight="1">
      <c r="A47" s="623">
        <v>31.0</v>
      </c>
      <c r="B47" s="576"/>
      <c r="C47" s="624" t="s">
        <v>1360</v>
      </c>
      <c r="D47" s="603" t="b">
        <v>1</v>
      </c>
      <c r="E47" s="576"/>
      <c r="F47" s="405"/>
      <c r="G47" s="405"/>
    </row>
    <row r="48" ht="25.5" customHeight="1">
      <c r="A48" s="623">
        <v>32.0</v>
      </c>
      <c r="B48" s="576"/>
      <c r="C48" s="625" t="s">
        <v>1361</v>
      </c>
      <c r="D48" s="603" t="b">
        <v>1</v>
      </c>
      <c r="E48" s="576"/>
      <c r="F48" s="405"/>
      <c r="G48" s="405"/>
    </row>
    <row r="49" ht="25.5" customHeight="1">
      <c r="A49" s="623">
        <v>33.0</v>
      </c>
      <c r="B49" s="576"/>
      <c r="C49" s="624" t="s">
        <v>1362</v>
      </c>
      <c r="D49" s="603" t="b">
        <v>1</v>
      </c>
      <c r="E49" s="576"/>
      <c r="F49" s="405"/>
      <c r="G49" s="405"/>
    </row>
    <row r="50" ht="25.5" customHeight="1">
      <c r="A50" s="623">
        <v>34.0</v>
      </c>
      <c r="B50" s="576"/>
      <c r="C50" s="624" t="s">
        <v>1363</v>
      </c>
      <c r="D50" s="603" t="b">
        <v>1</v>
      </c>
      <c r="E50" s="576"/>
      <c r="F50" s="405"/>
      <c r="G50" s="405"/>
    </row>
    <row r="51" ht="25.5" customHeight="1">
      <c r="A51" s="623">
        <v>35.0</v>
      </c>
      <c r="B51" s="576"/>
      <c r="C51" s="624" t="s">
        <v>1364</v>
      </c>
      <c r="D51" s="603" t="b">
        <v>1</v>
      </c>
      <c r="E51" s="576"/>
      <c r="F51" s="405"/>
      <c r="G51" s="405"/>
    </row>
    <row r="52" ht="25.5" customHeight="1">
      <c r="A52" s="623">
        <v>36.0</v>
      </c>
      <c r="B52" s="576"/>
      <c r="C52" s="624" t="s">
        <v>1365</v>
      </c>
      <c r="D52" s="603" t="b">
        <v>1</v>
      </c>
      <c r="E52" s="576"/>
      <c r="F52" s="405"/>
      <c r="G52" s="405"/>
    </row>
    <row r="53">
      <c r="A53" s="618" t="s">
        <v>1366</v>
      </c>
      <c r="F53" s="405"/>
      <c r="G53" s="405"/>
    </row>
    <row r="54">
      <c r="A54" s="627" t="b">
        <v>1</v>
      </c>
      <c r="B54" s="87" t="s">
        <v>1367</v>
      </c>
      <c r="C54" s="87"/>
      <c r="D54" s="87"/>
      <c r="E54" s="87"/>
      <c r="F54" s="405"/>
      <c r="G54" s="405"/>
    </row>
    <row r="55">
      <c r="A55" s="628" t="b">
        <v>0</v>
      </c>
      <c r="B55" s="87" t="s">
        <v>1368</v>
      </c>
      <c r="C55" s="87"/>
      <c r="D55" s="87"/>
      <c r="E55" s="87"/>
      <c r="F55" s="405"/>
      <c r="G55" s="405"/>
    </row>
    <row r="56">
      <c r="A56" s="628" t="b">
        <v>0</v>
      </c>
      <c r="B56" s="87" t="s">
        <v>1369</v>
      </c>
      <c r="C56" s="392"/>
      <c r="D56" s="87"/>
      <c r="E56" s="392"/>
      <c r="F56" s="629"/>
      <c r="G56" s="405"/>
    </row>
    <row r="57">
      <c r="A57" s="630" t="s">
        <v>1370</v>
      </c>
      <c r="F57" s="405"/>
      <c r="G57" s="405"/>
    </row>
    <row r="58">
      <c r="A58" s="630" t="s">
        <v>1371</v>
      </c>
      <c r="F58" s="405"/>
      <c r="G58" s="405"/>
    </row>
    <row r="59">
      <c r="A59" s="631" t="s">
        <v>1372</v>
      </c>
      <c r="F59" s="405"/>
      <c r="G59" s="405"/>
    </row>
    <row r="60">
      <c r="A60" s="87"/>
      <c r="B60" s="87"/>
      <c r="C60" s="87"/>
      <c r="D60" s="87"/>
      <c r="E60" s="87"/>
      <c r="F60" s="405"/>
      <c r="G60" s="405"/>
    </row>
    <row r="61">
      <c r="A61" s="630" t="s">
        <v>1373</v>
      </c>
      <c r="F61" s="405"/>
      <c r="G61" s="405"/>
    </row>
    <row r="62">
      <c r="A62" s="631" t="s">
        <v>1374</v>
      </c>
      <c r="F62" s="405"/>
      <c r="G62" s="405"/>
    </row>
    <row r="63">
      <c r="A63" s="87"/>
      <c r="B63" s="87"/>
      <c r="C63" s="87"/>
      <c r="D63" s="87"/>
      <c r="E63" s="632"/>
      <c r="F63" s="405"/>
      <c r="G63" s="405"/>
    </row>
    <row r="64">
      <c r="A64" s="87"/>
      <c r="B64" s="87"/>
      <c r="C64" s="87"/>
      <c r="D64" s="87"/>
      <c r="E64" s="633" t="str">
        <f>"Cần Thơ,"&amp;TEXT(TODAY(), " ""ngày"" dd ""tháng"" mm ""năm"" yyyy")</f>
        <v>Cần Thơ, ngày 18 tháng 07 năm 2026</v>
      </c>
      <c r="F64" s="405"/>
      <c r="G64" s="405"/>
    </row>
    <row r="65">
      <c r="A65" s="87"/>
      <c r="B65" s="87"/>
      <c r="C65" s="634" t="s">
        <v>1375</v>
      </c>
      <c r="D65" s="87"/>
      <c r="E65" s="634" t="s">
        <v>1194</v>
      </c>
      <c r="F65" s="405"/>
      <c r="G65" s="405"/>
    </row>
    <row r="66">
      <c r="A66" s="151"/>
      <c r="B66" s="151"/>
      <c r="C66" s="151"/>
      <c r="D66" s="151"/>
      <c r="E66" s="151"/>
      <c r="F66" s="151"/>
      <c r="G66" s="151"/>
    </row>
    <row r="67">
      <c r="A67" s="151"/>
      <c r="B67" s="151"/>
      <c r="C67" s="151"/>
      <c r="D67" s="151"/>
      <c r="E67" s="151"/>
      <c r="F67" s="151"/>
      <c r="G67" s="151"/>
    </row>
    <row r="68">
      <c r="A68" s="151"/>
      <c r="B68" s="151"/>
      <c r="C68" s="151"/>
      <c r="D68" s="151"/>
      <c r="E68" s="151"/>
      <c r="F68" s="151"/>
      <c r="G68" s="151"/>
    </row>
    <row r="69">
      <c r="A69" s="151"/>
      <c r="B69" s="151"/>
      <c r="C69" s="151"/>
      <c r="D69" s="151"/>
      <c r="E69" s="151"/>
      <c r="F69" s="151"/>
      <c r="G69" s="151"/>
    </row>
    <row r="70">
      <c r="A70" s="151"/>
      <c r="B70" s="151"/>
      <c r="C70" s="151"/>
      <c r="D70" s="151"/>
      <c r="E70" s="151"/>
      <c r="F70" s="151"/>
      <c r="G70" s="151"/>
    </row>
  </sheetData>
  <mergeCells count="24">
    <mergeCell ref="A5:B5"/>
    <mergeCell ref="A7:B7"/>
    <mergeCell ref="A1:E1"/>
    <mergeCell ref="C2:E2"/>
    <mergeCell ref="A3:B3"/>
    <mergeCell ref="C3:E3"/>
    <mergeCell ref="C4:E4"/>
    <mergeCell ref="C5:E5"/>
    <mergeCell ref="C6:E6"/>
    <mergeCell ref="B39:E39"/>
    <mergeCell ref="B45:E45"/>
    <mergeCell ref="A53:E53"/>
    <mergeCell ref="A57:E57"/>
    <mergeCell ref="A58:E58"/>
    <mergeCell ref="A59:E59"/>
    <mergeCell ref="A61:E61"/>
    <mergeCell ref="A62:E62"/>
    <mergeCell ref="C7:E7"/>
    <mergeCell ref="C8:E8"/>
    <mergeCell ref="A9:E9"/>
    <mergeCell ref="B11:E11"/>
    <mergeCell ref="B17:E17"/>
    <mergeCell ref="B24:E24"/>
    <mergeCell ref="B32:E32"/>
  </mergeCells>
  <dataValidations>
    <dataValidation type="list" allowBlank="1" showErrorMessage="1" sqref="C7">
      <formula1>'1. DATA CHUNG'!$AG$4:$AG70</formula1>
    </dataValidation>
    <dataValidation type="list" allowBlank="1" showErrorMessage="1" sqref="C5">
      <formula1>'1. DATA CHUNG'!$U$4:$U70</formula1>
    </dataValidation>
  </dataValidations>
  <printOptions gridLines="1" horizontalCentered="1"/>
  <pageMargins bottom="0.75" footer="0.0" header="0.0" left="0.7" right="0.7" top="0.75"/>
  <pageSetup paperSize="9" cellComments="atEnd"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8.5"/>
    <col customWidth="1" min="2" max="2" width="11.75"/>
    <col customWidth="1" min="3" max="3" width="21.75"/>
    <col customWidth="1" min="4" max="4" width="22.5"/>
    <col customWidth="1" min="6" max="6" width="13.88"/>
    <col customWidth="1" min="7" max="7" width="15.25"/>
    <col customWidth="1" min="8" max="8" width="14.25"/>
    <col customWidth="1" min="9" max="9" width="14.13"/>
    <col customWidth="1" min="10" max="10" width="24.25"/>
    <col customWidth="1" min="11" max="11" width="17.88"/>
    <col customWidth="1" min="12" max="12" width="18.5"/>
    <col customWidth="1" min="13" max="13" width="21.38"/>
    <col customWidth="1" min="14" max="14" width="25.38"/>
    <col customWidth="1" min="15" max="15" width="18.25"/>
  </cols>
  <sheetData>
    <row r="1">
      <c r="A1" s="14" t="s">
        <v>1376</v>
      </c>
      <c r="B1" s="128"/>
      <c r="C1" s="128"/>
      <c r="D1" s="635"/>
      <c r="E1" s="128"/>
      <c r="F1" s="128"/>
      <c r="G1" s="636" t="s">
        <v>1377</v>
      </c>
      <c r="H1" s="128"/>
      <c r="I1" s="128"/>
      <c r="J1" s="128"/>
      <c r="K1" s="14"/>
      <c r="L1" s="128"/>
      <c r="M1" s="637"/>
      <c r="N1" s="14"/>
      <c r="O1" s="14"/>
    </row>
    <row r="2">
      <c r="A2" s="201" t="s">
        <v>225</v>
      </c>
      <c r="B2" s="201" t="s">
        <v>1378</v>
      </c>
      <c r="C2" s="201" t="s">
        <v>1379</v>
      </c>
      <c r="D2" s="201" t="s">
        <v>1380</v>
      </c>
      <c r="E2" s="201" t="s">
        <v>1381</v>
      </c>
      <c r="F2" s="201" t="s">
        <v>1382</v>
      </c>
      <c r="G2" s="201" t="s">
        <v>1383</v>
      </c>
      <c r="H2" s="201" t="s">
        <v>1383</v>
      </c>
      <c r="I2" s="201" t="s">
        <v>1382</v>
      </c>
      <c r="J2" s="201" t="s">
        <v>1384</v>
      </c>
      <c r="K2" s="201" t="s">
        <v>1385</v>
      </c>
      <c r="L2" s="201" t="s">
        <v>1385</v>
      </c>
      <c r="M2" s="201" t="s">
        <v>1386</v>
      </c>
      <c r="N2" s="91" t="s">
        <v>1387</v>
      </c>
      <c r="O2" s="15"/>
    </row>
    <row r="3">
      <c r="A3" s="201" t="s">
        <v>258</v>
      </c>
      <c r="B3" s="201" t="s">
        <v>259</v>
      </c>
      <c r="C3" s="201" t="s">
        <v>259</v>
      </c>
      <c r="D3" s="201" t="s">
        <v>259</v>
      </c>
      <c r="E3" s="93" t="s">
        <v>261</v>
      </c>
      <c r="F3" s="201" t="s">
        <v>261</v>
      </c>
      <c r="G3" s="201" t="s">
        <v>261</v>
      </c>
      <c r="H3" s="201" t="s">
        <v>261</v>
      </c>
      <c r="I3" s="201" t="s">
        <v>261</v>
      </c>
      <c r="J3" s="201" t="s">
        <v>261</v>
      </c>
      <c r="K3" s="201" t="s">
        <v>261</v>
      </c>
      <c r="L3" s="128"/>
      <c r="M3" s="201" t="s">
        <v>258</v>
      </c>
      <c r="N3" s="14"/>
      <c r="O3" s="91" t="s">
        <v>261</v>
      </c>
    </row>
    <row r="4">
      <c r="A4" s="15"/>
      <c r="B4" s="15"/>
      <c r="C4" s="15"/>
      <c r="D4" s="638"/>
      <c r="E4" s="15"/>
      <c r="F4" s="639" t="s">
        <v>1388</v>
      </c>
      <c r="J4" s="14"/>
      <c r="K4" s="640" t="s">
        <v>1389</v>
      </c>
      <c r="M4" s="88"/>
      <c r="N4" s="128"/>
      <c r="O4" s="128"/>
    </row>
    <row r="5">
      <c r="A5" s="641" t="s">
        <v>80</v>
      </c>
      <c r="B5" s="641" t="s">
        <v>273</v>
      </c>
      <c r="C5" s="641" t="s">
        <v>1256</v>
      </c>
      <c r="D5" s="641" t="s">
        <v>1390</v>
      </c>
      <c r="E5" s="641" t="s">
        <v>1391</v>
      </c>
      <c r="F5" s="641" t="s">
        <v>1392</v>
      </c>
      <c r="G5" s="641" t="s">
        <v>1393</v>
      </c>
      <c r="H5" s="641" t="s">
        <v>1394</v>
      </c>
      <c r="I5" s="641" t="s">
        <v>1395</v>
      </c>
      <c r="J5" s="642" t="s">
        <v>1396</v>
      </c>
      <c r="K5" s="641" t="s">
        <v>1397</v>
      </c>
      <c r="L5" s="641" t="s">
        <v>1398</v>
      </c>
      <c r="M5" s="643" t="s">
        <v>1399</v>
      </c>
      <c r="N5" s="644" t="s">
        <v>1400</v>
      </c>
      <c r="O5" s="641" t="s">
        <v>1401</v>
      </c>
    </row>
    <row r="6">
      <c r="A6" s="569">
        <f t="array" ref="A6:A15">IF(LEN(B6:B15), ROW(B6:B15) - ROW(B6) + 1, "")</f>
        <v>1</v>
      </c>
      <c r="B6" s="645" t="s">
        <v>304</v>
      </c>
      <c r="C6" s="645" t="s">
        <v>305</v>
      </c>
      <c r="D6" s="646" t="s">
        <v>580</v>
      </c>
      <c r="E6" s="647">
        <v>46082.0</v>
      </c>
      <c r="F6" s="645">
        <v>0.0</v>
      </c>
      <c r="G6" s="645">
        <v>1.5034572E7</v>
      </c>
      <c r="H6" s="645">
        <v>1.5034572E7</v>
      </c>
      <c r="I6" s="645">
        <f t="shared" ref="I6:I14" si="1">G6-H6+F6</f>
        <v>0</v>
      </c>
      <c r="J6" s="648">
        <f t="shared" ref="J6:J12" si="2">E6</f>
        <v>46082</v>
      </c>
      <c r="K6" s="645">
        <v>1.5034572E7</v>
      </c>
      <c r="L6" s="645">
        <v>1.5034572E7</v>
      </c>
      <c r="M6" s="649" t="str">
        <f t="shared" ref="M6:M15" si="3">IFS(AND(H6="", G6=""), "", AND(L6=H6, G6=K6), "Khớp", TRUE, "Không khớp")</f>
        <v>Khớp</v>
      </c>
      <c r="N6" s="650"/>
      <c r="O6" s="650"/>
    </row>
    <row r="7">
      <c r="A7" s="569">
        <v>2.0</v>
      </c>
      <c r="B7" s="645" t="s">
        <v>304</v>
      </c>
      <c r="C7" s="645" t="s">
        <v>305</v>
      </c>
      <c r="D7" s="646" t="s">
        <v>696</v>
      </c>
      <c r="E7" s="647">
        <v>46082.0</v>
      </c>
      <c r="F7" s="645">
        <v>0.0</v>
      </c>
      <c r="G7" s="645">
        <v>1.7779176E7</v>
      </c>
      <c r="H7" s="645">
        <v>1.7779176E7</v>
      </c>
      <c r="I7" s="645">
        <f t="shared" si="1"/>
        <v>0</v>
      </c>
      <c r="J7" s="648">
        <f t="shared" si="2"/>
        <v>46082</v>
      </c>
      <c r="K7" s="645">
        <v>1.7779176E7</v>
      </c>
      <c r="L7" s="645">
        <v>1.7779176E7</v>
      </c>
      <c r="M7" s="649" t="str">
        <f t="shared" si="3"/>
        <v>Khớp</v>
      </c>
      <c r="N7" s="650"/>
      <c r="O7" s="650"/>
    </row>
    <row r="8">
      <c r="A8" s="569">
        <v>3.0</v>
      </c>
      <c r="B8" s="645" t="s">
        <v>304</v>
      </c>
      <c r="C8" s="645" t="s">
        <v>305</v>
      </c>
      <c r="D8" s="646" t="s">
        <v>562</v>
      </c>
      <c r="E8" s="647">
        <v>46082.0</v>
      </c>
      <c r="F8" s="645">
        <v>0.0</v>
      </c>
      <c r="G8" s="645">
        <v>1.02252013E8</v>
      </c>
      <c r="H8" s="645">
        <v>1.02252013E8</v>
      </c>
      <c r="I8" s="645">
        <f t="shared" si="1"/>
        <v>0</v>
      </c>
      <c r="J8" s="648">
        <f t="shared" si="2"/>
        <v>46082</v>
      </c>
      <c r="K8" s="645">
        <v>1.02252013E8</v>
      </c>
      <c r="L8" s="645">
        <v>1.02252013E8</v>
      </c>
      <c r="M8" s="651" t="str">
        <f t="shared" si="3"/>
        <v>Khớp</v>
      </c>
      <c r="N8" s="650"/>
      <c r="O8" s="650"/>
    </row>
    <row r="9">
      <c r="A9" s="569">
        <v>4.0</v>
      </c>
      <c r="B9" s="645" t="s">
        <v>304</v>
      </c>
      <c r="C9" s="645" t="s">
        <v>305</v>
      </c>
      <c r="D9" s="646" t="s">
        <v>562</v>
      </c>
      <c r="E9" s="647">
        <v>46113.0</v>
      </c>
      <c r="F9" s="645">
        <v>0.0</v>
      </c>
      <c r="G9" s="645">
        <v>1.62000756E8</v>
      </c>
      <c r="H9" s="645">
        <v>1.62000756E8</v>
      </c>
      <c r="I9" s="645">
        <f t="shared" si="1"/>
        <v>0</v>
      </c>
      <c r="J9" s="648">
        <f t="shared" si="2"/>
        <v>46113</v>
      </c>
      <c r="K9" s="645">
        <v>1.62000756E8</v>
      </c>
      <c r="L9" s="645">
        <v>1.62000756E8</v>
      </c>
      <c r="M9" s="649" t="str">
        <f t="shared" si="3"/>
        <v>Khớp</v>
      </c>
      <c r="N9" s="650"/>
      <c r="O9" s="650"/>
    </row>
    <row r="10">
      <c r="A10" s="569">
        <v>5.0</v>
      </c>
      <c r="B10" s="645" t="s">
        <v>304</v>
      </c>
      <c r="C10" s="645" t="s">
        <v>305</v>
      </c>
      <c r="D10" s="646" t="s">
        <v>580</v>
      </c>
      <c r="E10" s="647">
        <v>46113.0</v>
      </c>
      <c r="F10" s="645">
        <v>0.0</v>
      </c>
      <c r="G10" s="645">
        <v>6.1623504E7</v>
      </c>
      <c r="H10" s="645">
        <v>6.1623504E7</v>
      </c>
      <c r="I10" s="645">
        <f t="shared" si="1"/>
        <v>0</v>
      </c>
      <c r="J10" s="648">
        <f t="shared" si="2"/>
        <v>46113</v>
      </c>
      <c r="K10" s="645">
        <v>6.1623504E7</v>
      </c>
      <c r="L10" s="645">
        <v>6.1623504E7</v>
      </c>
      <c r="M10" s="649" t="str">
        <f t="shared" si="3"/>
        <v>Khớp</v>
      </c>
      <c r="N10" s="650"/>
      <c r="O10" s="650"/>
    </row>
    <row r="11">
      <c r="A11" s="569">
        <v>6.0</v>
      </c>
      <c r="B11" s="645" t="s">
        <v>304</v>
      </c>
      <c r="C11" s="645" t="s">
        <v>320</v>
      </c>
      <c r="D11" s="646" t="s">
        <v>562</v>
      </c>
      <c r="E11" s="647">
        <v>46143.0</v>
      </c>
      <c r="F11" s="645">
        <v>0.0</v>
      </c>
      <c r="G11" s="645">
        <v>9636840.0</v>
      </c>
      <c r="H11" s="645">
        <v>9636840.0</v>
      </c>
      <c r="I11" s="645">
        <f t="shared" si="1"/>
        <v>0</v>
      </c>
      <c r="J11" s="648">
        <f t="shared" si="2"/>
        <v>46143</v>
      </c>
      <c r="K11" s="645">
        <v>9636840.0</v>
      </c>
      <c r="L11" s="645">
        <v>9636840.0</v>
      </c>
      <c r="M11" s="649" t="str">
        <f t="shared" si="3"/>
        <v>Khớp</v>
      </c>
      <c r="N11" s="650"/>
      <c r="O11" s="650"/>
    </row>
    <row r="12">
      <c r="A12" s="569">
        <v>7.0</v>
      </c>
      <c r="B12" s="645" t="s">
        <v>304</v>
      </c>
      <c r="C12" s="645" t="s">
        <v>318</v>
      </c>
      <c r="D12" s="646" t="s">
        <v>562</v>
      </c>
      <c r="E12" s="647">
        <v>46143.0</v>
      </c>
      <c r="F12" s="645">
        <v>0.0</v>
      </c>
      <c r="G12" s="645">
        <v>5400216.0</v>
      </c>
      <c r="H12" s="645">
        <v>5400216.0</v>
      </c>
      <c r="I12" s="645">
        <f t="shared" si="1"/>
        <v>0</v>
      </c>
      <c r="J12" s="648">
        <f t="shared" si="2"/>
        <v>46143</v>
      </c>
      <c r="K12" s="645">
        <v>5400216.0</v>
      </c>
      <c r="L12" s="645">
        <v>5400216.0</v>
      </c>
      <c r="M12" s="649" t="str">
        <f t="shared" si="3"/>
        <v>Khớp</v>
      </c>
      <c r="N12" s="650"/>
      <c r="O12" s="650"/>
    </row>
    <row r="13">
      <c r="A13" s="569">
        <v>8.0</v>
      </c>
      <c r="B13" s="645" t="s">
        <v>304</v>
      </c>
      <c r="C13" s="645" t="s">
        <v>305</v>
      </c>
      <c r="D13" s="646" t="s">
        <v>562</v>
      </c>
      <c r="E13" s="647">
        <v>46143.0</v>
      </c>
      <c r="F13" s="645">
        <v>0.0</v>
      </c>
      <c r="G13" s="645">
        <v>5.9713308E7</v>
      </c>
      <c r="H13" s="645"/>
      <c r="I13" s="645">
        <f t="shared" si="1"/>
        <v>59713308</v>
      </c>
      <c r="J13" s="648"/>
      <c r="K13" s="645">
        <v>5.9713308E7</v>
      </c>
      <c r="L13" s="645"/>
      <c r="M13" s="649" t="str">
        <f t="shared" si="3"/>
        <v>Khớp</v>
      </c>
      <c r="N13" s="650"/>
      <c r="O13" s="650"/>
    </row>
    <row r="14">
      <c r="A14" s="569">
        <v>9.0</v>
      </c>
      <c r="B14" s="645" t="s">
        <v>304</v>
      </c>
      <c r="C14" s="645" t="s">
        <v>305</v>
      </c>
      <c r="D14" s="646" t="s">
        <v>580</v>
      </c>
      <c r="E14" s="647">
        <v>46143.0</v>
      </c>
      <c r="F14" s="645">
        <v>0.0</v>
      </c>
      <c r="G14" s="645">
        <v>1.8482688E7</v>
      </c>
      <c r="H14" s="645"/>
      <c r="I14" s="645">
        <f t="shared" si="1"/>
        <v>18482688</v>
      </c>
      <c r="J14" s="648"/>
      <c r="K14" s="645">
        <v>1.8482688E7</v>
      </c>
      <c r="L14" s="645"/>
      <c r="M14" s="649" t="str">
        <f t="shared" si="3"/>
        <v>Khớp</v>
      </c>
      <c r="N14" s="650"/>
      <c r="O14" s="650"/>
    </row>
    <row r="15">
      <c r="A15" s="569" t="s">
        <v>1190</v>
      </c>
      <c r="B15" s="650"/>
      <c r="C15" s="650"/>
      <c r="D15" s="652"/>
      <c r="E15" s="650"/>
      <c r="F15" s="650"/>
      <c r="G15" s="645"/>
      <c r="H15" s="645"/>
      <c r="I15" s="645"/>
      <c r="J15" s="648"/>
      <c r="K15" s="645"/>
      <c r="L15" s="645"/>
      <c r="M15" s="649" t="str">
        <f t="shared" si="3"/>
        <v/>
      </c>
      <c r="N15" s="650"/>
      <c r="O15" s="650"/>
    </row>
  </sheetData>
  <autoFilter ref="$A$5:$O$15"/>
  <mergeCells count="2">
    <mergeCell ref="F4:I4"/>
    <mergeCell ref="K4:L4"/>
  </mergeCells>
  <dataValidations>
    <dataValidation type="list" allowBlank="1" showErrorMessage="1" sqref="B6:B15">
      <formula1>'1. DATA CHUNG'!$AG$4:$AG15</formula1>
    </dataValidation>
    <dataValidation type="list" allowBlank="1" showErrorMessage="1" sqref="C6:C15">
      <formula1>'1. DATA CHUNG'!$U$4:$U15</formula1>
    </dataValidation>
    <dataValidation type="list" allowBlank="1" showErrorMessage="1" sqref="M6:M15">
      <formula1>"Không khớp,Khớp"</formula1>
    </dataValidation>
    <dataValidation type="list" allowBlank="1" showErrorMessage="1" sqref="D6:D15">
      <formula1>'1. DATA CHUNG'!$D$4:$D15</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75"/>
  <cols>
    <col customWidth="1" min="1" max="1" width="11.5"/>
    <col customWidth="1" min="2" max="2" width="8.88"/>
    <col customWidth="1" min="3" max="3" width="10.63"/>
    <col customWidth="1" min="4" max="4" width="18.25"/>
    <col customWidth="1" min="5" max="5" width="13.63"/>
    <col customWidth="1" min="6" max="6" width="14.13"/>
    <col customWidth="1" min="7" max="7" width="18.63"/>
    <col customWidth="1" min="9" max="9" width="18.13"/>
    <col customWidth="1" min="10" max="10" width="13.5"/>
    <col customWidth="1" min="11" max="11" width="13.63"/>
    <col customWidth="1" min="12" max="12" width="12.88"/>
    <col customWidth="1" min="13" max="13" width="15.75"/>
    <col customWidth="1" min="14" max="14" width="10.38"/>
    <col customWidth="1" min="15" max="15" width="10.5"/>
    <col customWidth="1" min="16" max="17" width="10.0"/>
    <col customWidth="1" min="18" max="18" width="8.38"/>
    <col customWidth="1" min="19" max="19" width="16.0"/>
    <col customWidth="1" min="20" max="20" width="16.63"/>
    <col customWidth="1" min="21" max="21" width="17.13"/>
    <col customWidth="1" min="22" max="22" width="23.88"/>
  </cols>
  <sheetData>
    <row r="1" ht="24.0" customHeight="1">
      <c r="A1" s="653" t="s">
        <v>1402</v>
      </c>
      <c r="B1" s="654"/>
      <c r="C1" s="654"/>
      <c r="D1" s="655"/>
      <c r="E1" s="655"/>
      <c r="F1" s="656"/>
      <c r="G1" s="657"/>
      <c r="H1" s="658" t="s">
        <v>1403</v>
      </c>
      <c r="I1" s="658" t="s">
        <v>1404</v>
      </c>
      <c r="J1" s="659"/>
      <c r="K1" s="659"/>
      <c r="L1" s="660"/>
      <c r="M1" s="661"/>
      <c r="N1" s="657"/>
      <c r="O1" s="657"/>
      <c r="P1" s="657"/>
      <c r="Q1" s="657"/>
      <c r="R1" s="657"/>
      <c r="S1" s="655"/>
      <c r="T1" s="662" t="s">
        <v>1405</v>
      </c>
      <c r="U1" s="655"/>
      <c r="V1" s="657"/>
    </row>
    <row r="2">
      <c r="A2" s="663"/>
      <c r="B2" s="664"/>
      <c r="C2" s="602"/>
      <c r="D2" s="602"/>
      <c r="E2" s="665" t="s">
        <v>1406</v>
      </c>
      <c r="F2" s="666" t="s">
        <v>1407</v>
      </c>
      <c r="G2" s="667" t="s">
        <v>1408</v>
      </c>
      <c r="H2" s="667" t="s">
        <v>1409</v>
      </c>
      <c r="I2" s="668" t="s">
        <v>1410</v>
      </c>
      <c r="J2" s="602"/>
      <c r="K2" s="665"/>
      <c r="L2" s="665"/>
      <c r="M2" s="669"/>
      <c r="N2" s="670"/>
      <c r="O2" s="670"/>
      <c r="P2" s="670"/>
      <c r="Q2" s="670"/>
      <c r="R2" s="670"/>
      <c r="S2" s="670"/>
      <c r="T2" s="665"/>
      <c r="U2" s="665"/>
      <c r="V2" s="665"/>
    </row>
    <row r="3">
      <c r="A3" s="663"/>
      <c r="B3" s="664"/>
      <c r="C3" s="602"/>
      <c r="D3" s="602"/>
      <c r="E3" s="602"/>
      <c r="F3" s="671"/>
      <c r="G3" s="672">
        <v>46113.0</v>
      </c>
      <c r="H3" s="673">
        <f>COUNTIFS(C6:C80, F3, A6:A80, G3)</f>
        <v>0</v>
      </c>
      <c r="I3" s="674" t="str">
        <f>IFERROR(__xludf.DUMMYFUNCTION("IFERROR(INDEX(SORT( FILTER(K6:K80, C6:C80 = F3, TEXT(A6:A80, ""mm/yyyy"") = TEXT(G3, ""mm/yyyy""), L6:L80 &lt;= TODAY()),1,FALSE),1, 1 ),""ĐÃ GIAO HÀNG"")"),"ĐÃ GIAO HÀNG")</f>
        <v>ĐÃ GIAO HÀNG</v>
      </c>
      <c r="J3" s="602"/>
      <c r="K3" s="665"/>
      <c r="L3" s="665"/>
      <c r="M3" s="669"/>
      <c r="N3" s="670"/>
      <c r="O3" s="670"/>
      <c r="P3" s="670"/>
      <c r="Q3" s="670"/>
      <c r="R3" s="670"/>
      <c r="S3" s="670"/>
      <c r="T3" s="665"/>
      <c r="U3" s="665"/>
      <c r="V3" s="665"/>
    </row>
    <row r="4">
      <c r="A4" s="653" t="s">
        <v>1411</v>
      </c>
      <c r="B4" s="675"/>
      <c r="C4" s="675"/>
      <c r="D4" s="676" t="s">
        <v>1412</v>
      </c>
      <c r="E4" s="676"/>
      <c r="F4" s="677"/>
      <c r="G4" s="678"/>
      <c r="H4" s="678"/>
      <c r="I4" s="676" t="s">
        <v>1413</v>
      </c>
      <c r="J4" s="679"/>
      <c r="K4" s="676" t="s">
        <v>1414</v>
      </c>
      <c r="L4" s="676" t="s">
        <v>1415</v>
      </c>
      <c r="M4" s="680"/>
      <c r="N4" s="678"/>
      <c r="O4" s="678"/>
      <c r="P4" s="678"/>
      <c r="Q4" s="678"/>
      <c r="R4" s="678"/>
      <c r="S4" s="678"/>
      <c r="T4" s="676" t="s">
        <v>1413</v>
      </c>
      <c r="U4" s="676" t="s">
        <v>1414</v>
      </c>
      <c r="V4" s="676" t="s">
        <v>1416</v>
      </c>
    </row>
    <row r="5">
      <c r="A5" s="681" t="str">
        <f>IFERROR(__xludf.DUMMYFUNCTION("QUERY(CHOOSECOLS('6. TIẾN ĐỘ MUA HÀNG'!A4:AS80, ARRAYFORMULA(IFERROR(XMATCH({
      ""Tháng""; ""NSPT""; ""Mã đơn Misa""; ""Trạng thái""; ""Bộ phận/Cá nhân đặt hàng""; 
      ""Mã VTBB/NL""; ""NCC VTBB/NL trong nước""; ""Ngày tiếp nhận""; 
      ""Ngày yê"&amp;"u cầu có hàng""; ""Ngày đặt hàng NCC""; ""Ngày dự kiến nhận tại kho""; 
      ""Ngày nhận thực tế""; ""CL NGÀY NCC DỰ KIẾN - NGÀY NHẬN HÀNG""; 
      ""Số lượng đặt NCC""; ""Số lượng đã nhận""; ""Số lần nhận""; 
      ""Thành tiền đơn hàng""; ""Số hóa đơn"&amp;"""; ""Chi tiết tiến độ, ghi chú khác""}, 
      ARRAYFORMULA(TRIM('6. TIẾN ĐỘ MUA HÀNG'!A4:AS4)), 0), 1))), 
      ""SELECT * WHERE Col8 IS NOT NULL"", 1)"),"Tháng")</f>
        <v>Tháng</v>
      </c>
      <c r="B5" s="682" t="str">
        <f>IFERROR(__xludf.DUMMYFUNCTION("""COMPUTED_VALUE"""),"NSPT")</f>
        <v>NSPT</v>
      </c>
      <c r="C5" s="683" t="str">
        <f>IFERROR(__xludf.DUMMYFUNCTION("""COMPUTED_VALUE"""),"Mã đơn Misa")</f>
        <v>Mã đơn Misa</v>
      </c>
      <c r="D5" s="683" t="str">
        <f>IFERROR(__xludf.DUMMYFUNCTION("""COMPUTED_VALUE"""),"Trạng thái")</f>
        <v>Trạng thái</v>
      </c>
      <c r="E5" s="684" t="str">
        <f>IFERROR(__xludf.DUMMYFUNCTION("""COMPUTED_VALUE"""),"Bộ phận/Cá nhân đặt hàng")</f>
        <v>Bộ phận/Cá nhân đặt hàng</v>
      </c>
      <c r="F5" s="685" t="str">
        <f>IFERROR(__xludf.DUMMYFUNCTION("""COMPUTED_VALUE"""),"Mã VTBB/NL")</f>
        <v>Mã VTBB/NL</v>
      </c>
      <c r="G5" s="686" t="str">
        <f>IFERROR(__xludf.DUMMYFUNCTION("""COMPUTED_VALUE"""),"NCC VTBB/NL trong nước")</f>
        <v>NCC VTBB/NL trong nước</v>
      </c>
      <c r="H5" s="686" t="str">
        <f>IFERROR(__xludf.DUMMYFUNCTION("""COMPUTED_VALUE"""),"Ngày tiếp nhận")</f>
        <v>Ngày tiếp nhận</v>
      </c>
      <c r="I5" s="686" t="str">
        <f>IFERROR(__xludf.DUMMYFUNCTION("""COMPUTED_VALUE"""),"Ngày yêu cầu có hàng")</f>
        <v>Ngày yêu cầu có hàng</v>
      </c>
      <c r="J5" s="687" t="str">
        <f>IFERROR(__xludf.DUMMYFUNCTION("""COMPUTED_VALUE"""),"Ngày đặt hàng NCC")</f>
        <v>Ngày đặt hàng NCC</v>
      </c>
      <c r="K5" s="688" t="str">
        <f>IFERROR(__xludf.DUMMYFUNCTION("""COMPUTED_VALUE"""),"Ngày dự kiến nhận tại kho")</f>
        <v>Ngày dự kiến nhận tại kho</v>
      </c>
      <c r="L5" s="686" t="str">
        <f>IFERROR(__xludf.DUMMYFUNCTION("""COMPUTED_VALUE"""),"Ngày nhận thực tế")</f>
        <v>Ngày nhận thực tế</v>
      </c>
      <c r="M5" s="689" t="str">
        <f>IFERROR(__xludf.DUMMYFUNCTION("""COMPUTED_VALUE"""),"CL NGÀY NCC DỰ KIẾN - NGÀY NHẬN HÀNG")</f>
        <v>CL NGÀY NCC DỰ KIẾN - NGÀY NHẬN HÀNG</v>
      </c>
      <c r="N5" s="690" t="str">
        <f>IFERROR(__xludf.DUMMYFUNCTION("""COMPUTED_VALUE"""),"Số lượng đặt NCC")</f>
        <v>Số lượng đặt NCC</v>
      </c>
      <c r="O5" s="682" t="str">
        <f>IFERROR(__xludf.DUMMYFUNCTION("""COMPUTED_VALUE"""),"Số lượng đã nhận ")</f>
        <v>Số lượng đã nhận </v>
      </c>
      <c r="P5" s="682" t="str">
        <f>IFERROR(__xludf.DUMMYFUNCTION("""COMPUTED_VALUE"""),"Số lần nhận")</f>
        <v>Số lần nhận</v>
      </c>
      <c r="Q5" s="682" t="str">
        <f>IFERROR(__xludf.DUMMYFUNCTION("""COMPUTED_VALUE"""),"Thành tiền đơn hàng")</f>
        <v>Thành tiền đơn hàng</v>
      </c>
      <c r="R5" s="682" t="str">
        <f>IFERROR(__xludf.DUMMYFUNCTION("""COMPUTED_VALUE"""),"Số hóa đơn")</f>
        <v>Số hóa đơn</v>
      </c>
      <c r="S5" s="691" t="str">
        <f>IFERROR(__xludf.DUMMYFUNCTION("""COMPUTED_VALUE"""),"Chi tiết tiến độ, ghi chú khác")</f>
        <v>Chi tiết tiến độ, ghi chú khác</v>
      </c>
      <c r="T5" s="691" t="s">
        <v>1417</v>
      </c>
      <c r="U5" s="691" t="s">
        <v>1418</v>
      </c>
      <c r="V5" s="691" t="s">
        <v>1419</v>
      </c>
    </row>
    <row r="6" ht="28.5" customHeight="1">
      <c r="A6" s="612" t="str">
        <f>IFERROR(__xludf.DUMMYFUNCTION("""COMPUTED_VALUE"""),"03/2026")</f>
        <v>03/2026</v>
      </c>
      <c r="B6" s="612" t="str">
        <f>IFERROR(__xludf.DUMMYFUNCTION("""COMPUTED_VALUE"""),"Mr Tiên")</f>
        <v>Mr Tiên</v>
      </c>
      <c r="C6" s="612" t="str">
        <f>IFERROR(__xludf.DUMMYFUNCTION("""COMPUTED_VALUE"""),"ĐMH01321")</f>
        <v>ĐMH01321</v>
      </c>
      <c r="D6" s="612" t="str">
        <f>IFERROR(__xludf.DUMMYFUNCTION("""COMPUTED_VALUE"""),"Hoàn thành")</f>
        <v>Hoàn thành</v>
      </c>
      <c r="E6" s="612" t="str">
        <f>IFERROR(__xludf.DUMMYFUNCTION("""COMPUTED_VALUE"""),"SX - Ms Ly")</f>
        <v>SX - Ms Ly</v>
      </c>
      <c r="F6" s="692" t="str">
        <f>IFERROR(__xludf.DUMMYFUNCTION("""COMPUTED_VALUE"""),"THC0239")</f>
        <v>THC0239</v>
      </c>
      <c r="G6" s="612" t="str">
        <f>IFERROR(__xludf.DUMMYFUNCTION("""COMPUTED_VALUE"""),"Đông Tây")</f>
        <v>Đông Tây</v>
      </c>
      <c r="H6" s="693">
        <f>IFERROR(__xludf.DUMMYFUNCTION("""COMPUTED_VALUE"""),46097.0)</f>
        <v>46097</v>
      </c>
      <c r="I6" s="693">
        <f>IFERROR(__xludf.DUMMYFUNCTION("""COMPUTED_VALUE"""),46112.0)</f>
        <v>46112</v>
      </c>
      <c r="J6" s="693">
        <f>IFERROR(__xludf.DUMMYFUNCTION("""COMPUTED_VALUE"""),46097.0)</f>
        <v>46097</v>
      </c>
      <c r="K6" s="694">
        <f>IFERROR(__xludf.DUMMYFUNCTION("""COMPUTED_VALUE"""),46117.0)</f>
        <v>46117</v>
      </c>
      <c r="L6" s="695">
        <f>IFERROR(__xludf.DUMMYFUNCTION("""COMPUTED_VALUE"""),46119.0)</f>
        <v>46119</v>
      </c>
      <c r="M6" s="696">
        <f>IFERROR(__xludf.DUMMYFUNCTION("""COMPUTED_VALUE"""),-2.0)</f>
        <v>-2</v>
      </c>
      <c r="N6" s="697">
        <f>IFERROR(__xludf.DUMMYFUNCTION("""COMPUTED_VALUE"""),100.0)</f>
        <v>100</v>
      </c>
      <c r="O6" s="697">
        <f>IFERROR(__xludf.DUMMYFUNCTION("""COMPUTED_VALUE"""),112.0)</f>
        <v>112</v>
      </c>
      <c r="P6" s="612">
        <f>IFERROR(__xludf.DUMMYFUNCTION("""COMPUTED_VALUE"""),1.0)</f>
        <v>1</v>
      </c>
      <c r="Q6" s="697">
        <f>IFERROR(__xludf.DUMMYFUNCTION("""COMPUTED_VALUE"""),2635200.0)</f>
        <v>2635200</v>
      </c>
      <c r="R6" s="697">
        <f>IFERROR(__xludf.DUMMYFUNCTION("""COMPUTED_VALUE"""),779.0)</f>
        <v>779</v>
      </c>
      <c r="S6" s="698"/>
      <c r="T6" s="698" t="str">
        <f t="shared" ref="T6:T80" si="1">IF(D6="Hủy đơn", "❌ Đã hủy đơn",
  IF(I6="", "",
  IF(L6&lt;&gt;"", "✅ Đã nhận hàng",
  IF(I6 = TODAY(), "🔥 Hôm nay giao hàng",
  IF(AND(I6 &gt; TODAY(), (I6 - TODAY()) &lt;= 3), "⏳ Còn " &amp; (I6 - TODAY()) &amp; " ngày",
  IF(I6 &gt; TODAY(), "", "⚠️ Trễ " &amp; (TODAY() - I6) &amp; " ngày"))))))</f>
        <v>✅ Đã nhận hàng</v>
      </c>
      <c r="U6" s="698" t="str">
        <f t="shared" ref="U6:U80" si="2">IF(D6="Hủy đơn", "❌ Đã hủy đơn",
IF(K6="", "", 
  IF(L6&lt;&gt;"", "✅ Đã xong", 
  IF(K6 = TODAY(), "🔥 Hôm nay giao hàng", 
  IF(AND(K6 &gt; TODAY(), (K6 - TODAY()) &lt;= 3), "⏳ Còn " &amp; (K6 - TODAY()) &amp; " ngày", 
  IF(K6 &gt; TODAY(), "", 
  "⚠️ Trễ " &amp; (TODAY() - K6) &amp; " ngày"))))))</f>
        <v>✅ Đã xong</v>
      </c>
      <c r="V6" s="699" t="str">
        <f t="shared" ref="V6:V80" si="3">IF(D6="Hủy đơn", "❌ Đã hủy đơn",
IF(R6&lt;&gt;"", "✅ Hoàn thành",IF(L6&lt;&gt;"", 
    IF(L6=TODAY(), "🔥 Hôm nay giao hàng - Lấy hóa đơn ngay", "⚠️ Đã giao hàng - Hóa đơn trễ " &amp; (TODAY() - L6) &amp; " ngày"),
    IF(K6="", "",IF(K6=TODAY(), "🚚 Hôm nay dự kiến giao hàng", IF(AND(K6&gt;TODAY(), (K6-TODAY())&lt;=3), "⏳ Còn " &amp; (K6-TODAY()) &amp; " ngày nữa dự kiến giao",IF(K6&gt;TODAY(), "", "❌❌❌ Quá hạn dự kiến - Chưa giao hàng")))))))</f>
        <v>✅ Hoàn thành</v>
      </c>
    </row>
    <row r="7" ht="28.5" customHeight="1">
      <c r="A7" s="612" t="str">
        <f>IFERROR(__xludf.DUMMYFUNCTION("""COMPUTED_VALUE"""),"03/2026")</f>
        <v>03/2026</v>
      </c>
      <c r="B7" s="612" t="str">
        <f>IFERROR(__xludf.DUMMYFUNCTION("""COMPUTED_VALUE"""),"Mr Tiên")</f>
        <v>Mr Tiên</v>
      </c>
      <c r="C7" s="612" t="str">
        <f>IFERROR(__xludf.DUMMYFUNCTION("""COMPUTED_VALUE"""),"ĐMH01322")</f>
        <v>ĐMH01322</v>
      </c>
      <c r="D7" s="612" t="str">
        <f>IFERROR(__xludf.DUMMYFUNCTION("""COMPUTED_VALUE"""),"Hoàn thành")</f>
        <v>Hoàn thành</v>
      </c>
      <c r="E7" s="612" t="str">
        <f>IFERROR(__xludf.DUMMYFUNCTION("""COMPUTED_VALUE"""),"SX - Ms Ly")</f>
        <v>SX - Ms Ly</v>
      </c>
      <c r="F7" s="692" t="str">
        <f>IFERROR(__xludf.DUMMYFUNCTION("""COMPUTED_VALUE"""),"THC0287")</f>
        <v>THC0287</v>
      </c>
      <c r="G7" s="612" t="str">
        <f>IFERROR(__xludf.DUMMYFUNCTION("""COMPUTED_VALUE"""),"Đông Tây")</f>
        <v>Đông Tây</v>
      </c>
      <c r="H7" s="693">
        <f>IFERROR(__xludf.DUMMYFUNCTION("""COMPUTED_VALUE"""),46097.0)</f>
        <v>46097</v>
      </c>
      <c r="I7" s="693">
        <f>IFERROR(__xludf.DUMMYFUNCTION("""COMPUTED_VALUE"""),46115.0)</f>
        <v>46115</v>
      </c>
      <c r="J7" s="693">
        <f>IFERROR(__xludf.DUMMYFUNCTION("""COMPUTED_VALUE"""),46097.0)</f>
        <v>46097</v>
      </c>
      <c r="K7" s="694">
        <f>IFERROR(__xludf.DUMMYFUNCTION("""COMPUTED_VALUE"""),46117.0)</f>
        <v>46117</v>
      </c>
      <c r="L7" s="695">
        <f>IFERROR(__xludf.DUMMYFUNCTION("""COMPUTED_VALUE"""),46119.0)</f>
        <v>46119</v>
      </c>
      <c r="M7" s="696">
        <f>IFERROR(__xludf.DUMMYFUNCTION("""COMPUTED_VALUE"""),-2.0)</f>
        <v>-2</v>
      </c>
      <c r="N7" s="697">
        <f>IFERROR(__xludf.DUMMYFUNCTION("""COMPUTED_VALUE"""),100.0)</f>
        <v>100</v>
      </c>
      <c r="O7" s="697">
        <f>IFERROR(__xludf.DUMMYFUNCTION("""COMPUTED_VALUE"""),115.0)</f>
        <v>115</v>
      </c>
      <c r="P7" s="612">
        <f>IFERROR(__xludf.DUMMYFUNCTION("""COMPUTED_VALUE"""),1.0)</f>
        <v>1</v>
      </c>
      <c r="Q7" s="697">
        <f>IFERROR(__xludf.DUMMYFUNCTION("""COMPUTED_VALUE"""),2538000.0)</f>
        <v>2538000</v>
      </c>
      <c r="R7" s="697">
        <f>IFERROR(__xludf.DUMMYFUNCTION("""COMPUTED_VALUE"""),780.0)</f>
        <v>780</v>
      </c>
      <c r="S7" s="698"/>
      <c r="T7" s="698" t="str">
        <f t="shared" si="1"/>
        <v>✅ Đã nhận hàng</v>
      </c>
      <c r="U7" s="698" t="str">
        <f t="shared" si="2"/>
        <v>✅ Đã xong</v>
      </c>
      <c r="V7" s="699" t="str">
        <f t="shared" si="3"/>
        <v>✅ Hoàn thành</v>
      </c>
    </row>
    <row r="8" ht="28.5" customHeight="1">
      <c r="A8" s="700" t="str">
        <f>IFERROR(__xludf.DUMMYFUNCTION("""COMPUTED_VALUE"""),"03/2026")</f>
        <v>03/2026</v>
      </c>
      <c r="B8" s="612" t="str">
        <f>IFERROR(__xludf.DUMMYFUNCTION("""COMPUTED_VALUE"""),"Mr Tiên")</f>
        <v>Mr Tiên</v>
      </c>
      <c r="C8" s="612" t="str">
        <f>IFERROR(__xludf.DUMMYFUNCTION("""COMPUTED_VALUE"""),"ĐMH02628")</f>
        <v>ĐMH02628</v>
      </c>
      <c r="D8" s="612" t="str">
        <f>IFERROR(__xludf.DUMMYFUNCTION("""COMPUTED_VALUE"""),"Hoàn thành")</f>
        <v>Hoàn thành</v>
      </c>
      <c r="E8" s="612" t="str">
        <f>IFERROR(__xludf.DUMMYFUNCTION("""COMPUTED_VALUE"""),"SX - Ms Ly")</f>
        <v>SX - Ms Ly</v>
      </c>
      <c r="F8" s="692" t="str">
        <f>IFERROR(__xludf.DUMMYFUNCTION("""COMPUTED_VALUE"""),"THI0277")</f>
        <v>THI0277</v>
      </c>
      <c r="G8" s="612" t="str">
        <f>IFERROR(__xludf.DUMMYFUNCTION("""COMPUTED_VALUE"""),"Đông Tây")</f>
        <v>Đông Tây</v>
      </c>
      <c r="H8" s="693">
        <f>IFERROR(__xludf.DUMMYFUNCTION("""COMPUTED_VALUE"""),46097.0)</f>
        <v>46097</v>
      </c>
      <c r="I8" s="693">
        <f>IFERROR(__xludf.DUMMYFUNCTION("""COMPUTED_VALUE"""),46115.0)</f>
        <v>46115</v>
      </c>
      <c r="J8" s="693">
        <f>IFERROR(__xludf.DUMMYFUNCTION("""COMPUTED_VALUE"""),46097.0)</f>
        <v>46097</v>
      </c>
      <c r="K8" s="694">
        <f>IFERROR(__xludf.DUMMYFUNCTION("""COMPUTED_VALUE"""),46117.0)</f>
        <v>46117</v>
      </c>
      <c r="L8" s="695">
        <f>IFERROR(__xludf.DUMMYFUNCTION("""COMPUTED_VALUE"""),46113.0)</f>
        <v>46113</v>
      </c>
      <c r="M8" s="696">
        <f>IFERROR(__xludf.DUMMYFUNCTION("""COMPUTED_VALUE"""),4.0)</f>
        <v>4</v>
      </c>
      <c r="N8" s="697">
        <f>IFERROR(__xludf.DUMMYFUNCTION("""COMPUTED_VALUE"""),400.0)</f>
        <v>400</v>
      </c>
      <c r="O8" s="697">
        <f>IFERROR(__xludf.DUMMYFUNCTION("""COMPUTED_VALUE"""),349.0)</f>
        <v>349</v>
      </c>
      <c r="P8" s="612">
        <f>IFERROR(__xludf.DUMMYFUNCTION("""COMPUTED_VALUE"""),1.0)</f>
        <v>1</v>
      </c>
      <c r="Q8" s="697">
        <f>IFERROR(__xludf.DUMMYFUNCTION("""COMPUTED_VALUE"""),1.01088E7)</f>
        <v>10108800</v>
      </c>
      <c r="R8" s="697">
        <f>IFERROR(__xludf.DUMMYFUNCTION("""COMPUTED_VALUE"""),724.0)</f>
        <v>724</v>
      </c>
      <c r="S8" s="698"/>
      <c r="T8" s="698" t="str">
        <f t="shared" si="1"/>
        <v>✅ Đã nhận hàng</v>
      </c>
      <c r="U8" s="698" t="str">
        <f t="shared" si="2"/>
        <v>✅ Đã xong</v>
      </c>
      <c r="V8" s="699" t="str">
        <f t="shared" si="3"/>
        <v>✅ Hoàn thành</v>
      </c>
    </row>
    <row r="9" ht="28.5" customHeight="1">
      <c r="A9" s="612" t="str">
        <f>IFERROR(__xludf.DUMMYFUNCTION("""COMPUTED_VALUE"""),"03/2026")</f>
        <v>03/2026</v>
      </c>
      <c r="B9" s="612" t="str">
        <f>IFERROR(__xludf.DUMMYFUNCTION("""COMPUTED_VALUE"""),"Mr Tiên")</f>
        <v>Mr Tiên</v>
      </c>
      <c r="C9" s="612" t="str">
        <f>IFERROR(__xludf.DUMMYFUNCTION("""COMPUTED_VALUE"""),"ĐMH01323")</f>
        <v>ĐMH01323</v>
      </c>
      <c r="D9" s="612" t="str">
        <f>IFERROR(__xludf.DUMMYFUNCTION("""COMPUTED_VALUE"""),"Hoàn thành")</f>
        <v>Hoàn thành</v>
      </c>
      <c r="E9" s="612" t="str">
        <f>IFERROR(__xludf.DUMMYFUNCTION("""COMPUTED_VALUE"""),"SX - Ms Ly")</f>
        <v>SX - Ms Ly</v>
      </c>
      <c r="F9" s="692" t="str">
        <f>IFERROR(__xludf.DUMMYFUNCTION("""COMPUTED_VALUE"""),"THC0286")</f>
        <v>THC0286</v>
      </c>
      <c r="G9" s="612" t="str">
        <f>IFERROR(__xludf.DUMMYFUNCTION("""COMPUTED_VALUE"""),"Đông Tây")</f>
        <v>Đông Tây</v>
      </c>
      <c r="H9" s="693">
        <f>IFERROR(__xludf.DUMMYFUNCTION("""COMPUTED_VALUE"""),46097.0)</f>
        <v>46097</v>
      </c>
      <c r="I9" s="693">
        <f>IFERROR(__xludf.DUMMYFUNCTION("""COMPUTED_VALUE"""),46115.0)</f>
        <v>46115</v>
      </c>
      <c r="J9" s="693">
        <f>IFERROR(__xludf.DUMMYFUNCTION("""COMPUTED_VALUE"""),46097.0)</f>
        <v>46097</v>
      </c>
      <c r="K9" s="694">
        <f>IFERROR(__xludf.DUMMYFUNCTION("""COMPUTED_VALUE"""),46117.0)</f>
        <v>46117</v>
      </c>
      <c r="L9" s="695">
        <f>IFERROR(__xludf.DUMMYFUNCTION("""COMPUTED_VALUE"""),46119.0)</f>
        <v>46119</v>
      </c>
      <c r="M9" s="696">
        <f>IFERROR(__xludf.DUMMYFUNCTION("""COMPUTED_VALUE"""),-2.0)</f>
        <v>-2</v>
      </c>
      <c r="N9" s="697">
        <f>IFERROR(__xludf.DUMMYFUNCTION("""COMPUTED_VALUE"""),100.0)</f>
        <v>100</v>
      </c>
      <c r="O9" s="697">
        <f>IFERROR(__xludf.DUMMYFUNCTION("""COMPUTED_VALUE"""),110.0)</f>
        <v>110</v>
      </c>
      <c r="P9" s="612">
        <f>IFERROR(__xludf.DUMMYFUNCTION("""COMPUTED_VALUE"""),1.0)</f>
        <v>1</v>
      </c>
      <c r="Q9" s="697">
        <f>IFERROR(__xludf.DUMMYFUNCTION("""COMPUTED_VALUE"""),2133000.0)</f>
        <v>2133000</v>
      </c>
      <c r="R9" s="697">
        <f>IFERROR(__xludf.DUMMYFUNCTION("""COMPUTED_VALUE"""),781.0)</f>
        <v>781</v>
      </c>
      <c r="S9" s="698"/>
      <c r="T9" s="698" t="str">
        <f t="shared" si="1"/>
        <v>✅ Đã nhận hàng</v>
      </c>
      <c r="U9" s="698" t="str">
        <f t="shared" si="2"/>
        <v>✅ Đã xong</v>
      </c>
      <c r="V9" s="699" t="str">
        <f t="shared" si="3"/>
        <v>✅ Hoàn thành</v>
      </c>
    </row>
    <row r="10" ht="28.5" customHeight="1">
      <c r="A10" s="612" t="str">
        <f>IFERROR(__xludf.DUMMYFUNCTION("""COMPUTED_VALUE"""),"03/2026")</f>
        <v>03/2026</v>
      </c>
      <c r="B10" s="612" t="str">
        <f>IFERROR(__xludf.DUMMYFUNCTION("""COMPUTED_VALUE"""),"Mr Tiên")</f>
        <v>Mr Tiên</v>
      </c>
      <c r="C10" s="612" t="str">
        <f>IFERROR(__xludf.DUMMYFUNCTION("""COMPUTED_VALUE"""),"ĐMH01334")</f>
        <v>ĐMH01334</v>
      </c>
      <c r="D10" s="612" t="str">
        <f>IFERROR(__xludf.DUMMYFUNCTION("""COMPUTED_VALUE"""),"Hoàn thành")</f>
        <v>Hoàn thành</v>
      </c>
      <c r="E10" s="612" t="str">
        <f>IFERROR(__xludf.DUMMYFUNCTION("""COMPUTED_VALUE"""),"SX - Ms Ly")</f>
        <v>SX - Ms Ly</v>
      </c>
      <c r="F10" s="692" t="str">
        <f>IFERROR(__xludf.DUMMYFUNCTION("""COMPUTED_VALUE"""),"THC0004")</f>
        <v>THC0004</v>
      </c>
      <c r="G10" s="612" t="str">
        <f>IFERROR(__xludf.DUMMYFUNCTION("""COMPUTED_VALUE"""),"Đông Tây")</f>
        <v>Đông Tây</v>
      </c>
      <c r="H10" s="693">
        <f>IFERROR(__xludf.DUMMYFUNCTION("""COMPUTED_VALUE"""),46099.0)</f>
        <v>46099</v>
      </c>
      <c r="I10" s="693">
        <f>IFERROR(__xludf.DUMMYFUNCTION("""COMPUTED_VALUE"""),46114.0)</f>
        <v>46114</v>
      </c>
      <c r="J10" s="693">
        <f>IFERROR(__xludf.DUMMYFUNCTION("""COMPUTED_VALUE"""),46099.0)</f>
        <v>46099</v>
      </c>
      <c r="K10" s="694">
        <f>IFERROR(__xludf.DUMMYFUNCTION("""COMPUTED_VALUE"""),46119.0)</f>
        <v>46119</v>
      </c>
      <c r="L10" s="695">
        <f>IFERROR(__xludf.DUMMYFUNCTION("""COMPUTED_VALUE"""),46112.0)</f>
        <v>46112</v>
      </c>
      <c r="M10" s="696">
        <f>IFERROR(__xludf.DUMMYFUNCTION("""COMPUTED_VALUE"""),7.0)</f>
        <v>7</v>
      </c>
      <c r="N10" s="697">
        <f>IFERROR(__xludf.DUMMYFUNCTION("""COMPUTED_VALUE"""),500.0)</f>
        <v>500</v>
      </c>
      <c r="O10" s="697">
        <f>IFERROR(__xludf.DUMMYFUNCTION("""COMPUTED_VALUE"""),500.0)</f>
        <v>500</v>
      </c>
      <c r="P10" s="612">
        <f>IFERROR(__xludf.DUMMYFUNCTION("""COMPUTED_VALUE"""),1.0)</f>
        <v>1</v>
      </c>
      <c r="Q10" s="697">
        <f>IFERROR(__xludf.DUMMYFUNCTION("""COMPUTED_VALUE"""),1.1718E7)</f>
        <v>11718000</v>
      </c>
      <c r="R10" s="697">
        <f>IFERROR(__xludf.DUMMYFUNCTION("""COMPUTED_VALUE"""),716.0)</f>
        <v>716</v>
      </c>
      <c r="S10" s="698"/>
      <c r="T10" s="698" t="str">
        <f t="shared" si="1"/>
        <v>✅ Đã nhận hàng</v>
      </c>
      <c r="U10" s="698" t="str">
        <f t="shared" si="2"/>
        <v>✅ Đã xong</v>
      </c>
      <c r="V10" s="699" t="str">
        <f t="shared" si="3"/>
        <v>✅ Hoàn thành</v>
      </c>
    </row>
    <row r="11" ht="28.5" customHeight="1">
      <c r="A11" s="612" t="str">
        <f>IFERROR(__xludf.DUMMYFUNCTION("""COMPUTED_VALUE"""),"03/2026")</f>
        <v>03/2026</v>
      </c>
      <c r="B11" s="612" t="str">
        <f>IFERROR(__xludf.DUMMYFUNCTION("""COMPUTED_VALUE"""),"Mr Tiên")</f>
        <v>Mr Tiên</v>
      </c>
      <c r="C11" s="612" t="str">
        <f>IFERROR(__xludf.DUMMYFUNCTION("""COMPUTED_VALUE"""),"ĐMH01335")</f>
        <v>ĐMH01335</v>
      </c>
      <c r="D11" s="612" t="str">
        <f>IFERROR(__xludf.DUMMYFUNCTION("""COMPUTED_VALUE"""),"Hoàn thành")</f>
        <v>Hoàn thành</v>
      </c>
      <c r="E11" s="612" t="str">
        <f>IFERROR(__xludf.DUMMYFUNCTION("""COMPUTED_VALUE"""),"SX - Ms Ly")</f>
        <v>SX - Ms Ly</v>
      </c>
      <c r="F11" s="692" t="str">
        <f>IFERROR(__xludf.DUMMYFUNCTION("""COMPUTED_VALUE"""),"THC0004")</f>
        <v>THC0004</v>
      </c>
      <c r="G11" s="612" t="str">
        <f>IFERROR(__xludf.DUMMYFUNCTION("""COMPUTED_VALUE"""),"Đông Tây")</f>
        <v>Đông Tây</v>
      </c>
      <c r="H11" s="693">
        <f>IFERROR(__xludf.DUMMYFUNCTION("""COMPUTED_VALUE"""),46099.0)</f>
        <v>46099</v>
      </c>
      <c r="I11" s="693">
        <f>IFERROR(__xludf.DUMMYFUNCTION("""COMPUTED_VALUE"""),46117.0)</f>
        <v>46117</v>
      </c>
      <c r="J11" s="701">
        <f>IFERROR(__xludf.DUMMYFUNCTION("""COMPUTED_VALUE"""),46099.0)</f>
        <v>46099</v>
      </c>
      <c r="K11" s="694">
        <f>IFERROR(__xludf.DUMMYFUNCTION("""COMPUTED_VALUE"""),46119.0)</f>
        <v>46119</v>
      </c>
      <c r="L11" s="695">
        <f>IFERROR(__xludf.DUMMYFUNCTION("""COMPUTED_VALUE"""),46113.0)</f>
        <v>46113</v>
      </c>
      <c r="M11" s="696">
        <f>IFERROR(__xludf.DUMMYFUNCTION("""COMPUTED_VALUE"""),6.0)</f>
        <v>6</v>
      </c>
      <c r="N11" s="697">
        <f>IFERROR(__xludf.DUMMYFUNCTION("""COMPUTED_VALUE"""),100.0)</f>
        <v>100</v>
      </c>
      <c r="O11" s="697">
        <f>IFERROR(__xludf.DUMMYFUNCTION("""COMPUTED_VALUE"""),90.0)</f>
        <v>90</v>
      </c>
      <c r="P11" s="612">
        <f>IFERROR(__xludf.DUMMYFUNCTION("""COMPUTED_VALUE"""),1.0)</f>
        <v>1</v>
      </c>
      <c r="Q11" s="697">
        <f>IFERROR(__xludf.DUMMYFUNCTION("""COMPUTED_VALUE"""),2343600.0)</f>
        <v>2343600</v>
      </c>
      <c r="R11" s="697">
        <f>IFERROR(__xludf.DUMMYFUNCTION("""COMPUTED_VALUE"""),725.0)</f>
        <v>725</v>
      </c>
      <c r="S11" s="698"/>
      <c r="T11" s="698" t="str">
        <f t="shared" si="1"/>
        <v>✅ Đã nhận hàng</v>
      </c>
      <c r="U11" s="698" t="str">
        <f t="shared" si="2"/>
        <v>✅ Đã xong</v>
      </c>
      <c r="V11" s="699" t="str">
        <f t="shared" si="3"/>
        <v>✅ Hoàn thành</v>
      </c>
    </row>
    <row r="12" ht="28.5" customHeight="1">
      <c r="A12" s="612" t="str">
        <f>IFERROR(__xludf.DUMMYFUNCTION("""COMPUTED_VALUE"""),"03/2026")</f>
        <v>03/2026</v>
      </c>
      <c r="B12" s="612" t="str">
        <f>IFERROR(__xludf.DUMMYFUNCTION("""COMPUTED_VALUE"""),"Mr Tiên")</f>
        <v>Mr Tiên</v>
      </c>
      <c r="C12" s="612" t="str">
        <f>IFERROR(__xludf.DUMMYFUNCTION("""COMPUTED_VALUE"""),"ĐMH02646")</f>
        <v>ĐMH02646</v>
      </c>
      <c r="D12" s="612" t="str">
        <f>IFERROR(__xludf.DUMMYFUNCTION("""COMPUTED_VALUE"""),"Hoàn thành")</f>
        <v>Hoàn thành</v>
      </c>
      <c r="E12" s="612" t="str">
        <f>IFERROR(__xludf.DUMMYFUNCTION("""COMPUTED_VALUE"""),"SX - Ms Ly")</f>
        <v>SX - Ms Ly</v>
      </c>
      <c r="F12" s="692" t="str">
        <f>IFERROR(__xludf.DUMMYFUNCTION("""COMPUTED_VALUE"""),"THI0089")</f>
        <v>THI0089</v>
      </c>
      <c r="G12" s="612" t="str">
        <f>IFERROR(__xludf.DUMMYFUNCTION("""COMPUTED_VALUE"""),"Đông Tây")</f>
        <v>Đông Tây</v>
      </c>
      <c r="H12" s="693">
        <f>IFERROR(__xludf.DUMMYFUNCTION("""COMPUTED_VALUE"""),46099.0)</f>
        <v>46099</v>
      </c>
      <c r="I12" s="693">
        <f>IFERROR(__xludf.DUMMYFUNCTION("""COMPUTED_VALUE"""),46117.0)</f>
        <v>46117</v>
      </c>
      <c r="J12" s="701">
        <f>IFERROR(__xludf.DUMMYFUNCTION("""COMPUTED_VALUE"""),46099.0)</f>
        <v>46099</v>
      </c>
      <c r="K12" s="694">
        <f>IFERROR(__xludf.DUMMYFUNCTION("""COMPUTED_VALUE"""),46119.0)</f>
        <v>46119</v>
      </c>
      <c r="L12" s="695">
        <f>IFERROR(__xludf.DUMMYFUNCTION("""COMPUTED_VALUE"""),46122.0)</f>
        <v>46122</v>
      </c>
      <c r="M12" s="696">
        <f>IFERROR(__xludf.DUMMYFUNCTION("""COMPUTED_VALUE"""),-3.0)</f>
        <v>-3</v>
      </c>
      <c r="N12" s="697">
        <f>IFERROR(__xludf.DUMMYFUNCTION("""COMPUTED_VALUE"""),100.0)</f>
        <v>100</v>
      </c>
      <c r="O12" s="697">
        <f>IFERROR(__xludf.DUMMYFUNCTION("""COMPUTED_VALUE"""),110.0)</f>
        <v>110</v>
      </c>
      <c r="P12" s="612">
        <f>IFERROR(__xludf.DUMMYFUNCTION("""COMPUTED_VALUE"""),1.0)</f>
        <v>1</v>
      </c>
      <c r="Q12" s="697">
        <f>IFERROR(__xludf.DUMMYFUNCTION("""COMPUTED_VALUE"""),2035800.0)</f>
        <v>2035800</v>
      </c>
      <c r="R12" s="697">
        <f>IFERROR(__xludf.DUMMYFUNCTION("""COMPUTED_VALUE"""),808.0)</f>
        <v>808</v>
      </c>
      <c r="S12" s="698"/>
      <c r="T12" s="698" t="str">
        <f t="shared" si="1"/>
        <v>✅ Đã nhận hàng</v>
      </c>
      <c r="U12" s="698" t="str">
        <f t="shared" si="2"/>
        <v>✅ Đã xong</v>
      </c>
      <c r="V12" s="699" t="str">
        <f t="shared" si="3"/>
        <v>✅ Hoàn thành</v>
      </c>
    </row>
    <row r="13" ht="28.5" customHeight="1">
      <c r="A13" s="612" t="str">
        <f>IFERROR(__xludf.DUMMYFUNCTION("""COMPUTED_VALUE"""),"03/2026")</f>
        <v>03/2026</v>
      </c>
      <c r="B13" s="612" t="str">
        <f>IFERROR(__xludf.DUMMYFUNCTION("""COMPUTED_VALUE"""),"Mr Tiên")</f>
        <v>Mr Tiên</v>
      </c>
      <c r="C13" s="612" t="str">
        <f>IFERROR(__xludf.DUMMYFUNCTION("""COMPUTED_VALUE"""),"ĐMH02647")</f>
        <v>ĐMH02647</v>
      </c>
      <c r="D13" s="612" t="str">
        <f>IFERROR(__xludf.DUMMYFUNCTION("""COMPUTED_VALUE"""),"Hoàn thành")</f>
        <v>Hoàn thành</v>
      </c>
      <c r="E13" s="612" t="str">
        <f>IFERROR(__xludf.DUMMYFUNCTION("""COMPUTED_VALUE"""),"SX - Ms Ly")</f>
        <v>SX - Ms Ly</v>
      </c>
      <c r="F13" s="692" t="str">
        <f>IFERROR(__xludf.DUMMYFUNCTION("""COMPUTED_VALUE"""),"THI0089")</f>
        <v>THI0089</v>
      </c>
      <c r="G13" s="612" t="str">
        <f>IFERROR(__xludf.DUMMYFUNCTION("""COMPUTED_VALUE"""),"Đông Tây")</f>
        <v>Đông Tây</v>
      </c>
      <c r="H13" s="693">
        <f>IFERROR(__xludf.DUMMYFUNCTION("""COMPUTED_VALUE"""),46099.0)</f>
        <v>46099</v>
      </c>
      <c r="I13" s="693">
        <f>IFERROR(__xludf.DUMMYFUNCTION("""COMPUTED_VALUE"""),46117.0)</f>
        <v>46117</v>
      </c>
      <c r="J13" s="701">
        <f>IFERROR(__xludf.DUMMYFUNCTION("""COMPUTED_VALUE"""),46099.0)</f>
        <v>46099</v>
      </c>
      <c r="K13" s="694">
        <f>IFERROR(__xludf.DUMMYFUNCTION("""COMPUTED_VALUE"""),46119.0)</f>
        <v>46119</v>
      </c>
      <c r="L13" s="695">
        <f>IFERROR(__xludf.DUMMYFUNCTION("""COMPUTED_VALUE"""),46122.0)</f>
        <v>46122</v>
      </c>
      <c r="M13" s="696">
        <f>IFERROR(__xludf.DUMMYFUNCTION("""COMPUTED_VALUE"""),-3.0)</f>
        <v>-3</v>
      </c>
      <c r="N13" s="697">
        <f>IFERROR(__xludf.DUMMYFUNCTION("""COMPUTED_VALUE"""),100.0)</f>
        <v>100</v>
      </c>
      <c r="O13" s="697">
        <f>IFERROR(__xludf.DUMMYFUNCTION("""COMPUTED_VALUE"""),106.0)</f>
        <v>106</v>
      </c>
      <c r="P13" s="612">
        <f>IFERROR(__xludf.DUMMYFUNCTION("""COMPUTED_VALUE"""),1.0)</f>
        <v>1</v>
      </c>
      <c r="Q13" s="697">
        <f>IFERROR(__xludf.DUMMYFUNCTION("""COMPUTED_VALUE"""),2035800.0)</f>
        <v>2035800</v>
      </c>
      <c r="R13" s="697">
        <f>IFERROR(__xludf.DUMMYFUNCTION("""COMPUTED_VALUE"""),809.0)</f>
        <v>809</v>
      </c>
      <c r="S13" s="698"/>
      <c r="T13" s="698" t="str">
        <f t="shared" si="1"/>
        <v>✅ Đã nhận hàng</v>
      </c>
      <c r="U13" s="698" t="str">
        <f t="shared" si="2"/>
        <v>✅ Đã xong</v>
      </c>
      <c r="V13" s="699" t="str">
        <f t="shared" si="3"/>
        <v>✅ Hoàn thành</v>
      </c>
    </row>
    <row r="14" ht="28.5" customHeight="1">
      <c r="A14" s="612" t="str">
        <f>IFERROR(__xludf.DUMMYFUNCTION("""COMPUTED_VALUE"""),"03/2026")</f>
        <v>03/2026</v>
      </c>
      <c r="B14" s="612" t="str">
        <f>IFERROR(__xludf.DUMMYFUNCTION("""COMPUTED_VALUE"""),"Mr Tiên")</f>
        <v>Mr Tiên</v>
      </c>
      <c r="C14" s="612" t="str">
        <f>IFERROR(__xludf.DUMMYFUNCTION("""COMPUTED_VALUE"""),"ĐMH01341")</f>
        <v>ĐMH01341</v>
      </c>
      <c r="D14" s="612" t="str">
        <f>IFERROR(__xludf.DUMMYFUNCTION("""COMPUTED_VALUE"""),"Hoàn thành")</f>
        <v>Hoàn thành</v>
      </c>
      <c r="E14" s="612" t="str">
        <f>IFERROR(__xludf.DUMMYFUNCTION("""COMPUTED_VALUE"""),"SX - Ms Ly")</f>
        <v>SX - Ms Ly</v>
      </c>
      <c r="F14" s="692" t="str">
        <f>IFERROR(__xludf.DUMMYFUNCTION("""COMPUTED_VALUE"""),"THC0080")</f>
        <v>THC0080</v>
      </c>
      <c r="G14" s="612" t="str">
        <f>IFERROR(__xludf.DUMMYFUNCTION("""COMPUTED_VALUE"""),"Đông Tây")</f>
        <v>Đông Tây</v>
      </c>
      <c r="H14" s="693">
        <f>IFERROR(__xludf.DUMMYFUNCTION("""COMPUTED_VALUE"""),46100.0)</f>
        <v>46100</v>
      </c>
      <c r="I14" s="693">
        <f>IFERROR(__xludf.DUMMYFUNCTION("""COMPUTED_VALUE"""),46125.0)</f>
        <v>46125</v>
      </c>
      <c r="J14" s="701">
        <f>IFERROR(__xludf.DUMMYFUNCTION("""COMPUTED_VALUE"""),46100.0)</f>
        <v>46100</v>
      </c>
      <c r="K14" s="694">
        <f>IFERROR(__xludf.DUMMYFUNCTION("""COMPUTED_VALUE"""),46120.0)</f>
        <v>46120</v>
      </c>
      <c r="L14" s="695">
        <f>IFERROR(__xludf.DUMMYFUNCTION("""COMPUTED_VALUE"""),46126.0)</f>
        <v>46126</v>
      </c>
      <c r="M14" s="696">
        <f>IFERROR(__xludf.DUMMYFUNCTION("""COMPUTED_VALUE"""),-6.0)</f>
        <v>-6</v>
      </c>
      <c r="N14" s="697">
        <f>IFERROR(__xludf.DUMMYFUNCTION("""COMPUTED_VALUE"""),300.0)</f>
        <v>300</v>
      </c>
      <c r="O14" s="697">
        <f>IFERROR(__xludf.DUMMYFUNCTION("""COMPUTED_VALUE"""),310.0)</f>
        <v>310</v>
      </c>
      <c r="P14" s="612">
        <f>IFERROR(__xludf.DUMMYFUNCTION("""COMPUTED_VALUE"""),1.0)</f>
        <v>1</v>
      </c>
      <c r="Q14" s="697">
        <f>IFERROR(__xludf.DUMMYFUNCTION("""COMPUTED_VALUE"""),5410800.0)</f>
        <v>5410800</v>
      </c>
      <c r="R14" s="697">
        <f>IFERROR(__xludf.DUMMYFUNCTION("""COMPUTED_VALUE"""),853.0)</f>
        <v>853</v>
      </c>
      <c r="S14" s="702" t="str">
        <f>IFERROR(__xludf.DUMMYFUNCTION("""COMPUTED_VALUE"""),"Máy hư , chưa sản xuất kịp")</f>
        <v>Máy hư , chưa sản xuất kịp</v>
      </c>
      <c r="T14" s="698" t="str">
        <f t="shared" si="1"/>
        <v>✅ Đã nhận hàng</v>
      </c>
      <c r="U14" s="698" t="str">
        <f t="shared" si="2"/>
        <v>✅ Đã xong</v>
      </c>
      <c r="V14" s="699" t="str">
        <f t="shared" si="3"/>
        <v>✅ Hoàn thành</v>
      </c>
    </row>
    <row r="15" ht="28.5" customHeight="1">
      <c r="A15" s="612" t="str">
        <f>IFERROR(__xludf.DUMMYFUNCTION("""COMPUTED_VALUE"""),"03/2026")</f>
        <v>03/2026</v>
      </c>
      <c r="B15" s="612" t="str">
        <f>IFERROR(__xludf.DUMMYFUNCTION("""COMPUTED_VALUE"""),"Mr Tiên")</f>
        <v>Mr Tiên</v>
      </c>
      <c r="C15" s="612" t="str">
        <f>IFERROR(__xludf.DUMMYFUNCTION("""COMPUTED_VALUE"""),"ĐMH02640")</f>
        <v>ĐMH02640</v>
      </c>
      <c r="D15" s="612" t="str">
        <f>IFERROR(__xludf.DUMMYFUNCTION("""COMPUTED_VALUE"""),"Hoàn thành")</f>
        <v>Hoàn thành</v>
      </c>
      <c r="E15" s="612" t="str">
        <f>IFERROR(__xludf.DUMMYFUNCTION("""COMPUTED_VALUE"""),"SX - Ms Ly")</f>
        <v>SX - Ms Ly</v>
      </c>
      <c r="F15" s="692" t="str">
        <f>IFERROR(__xludf.DUMMYFUNCTION("""COMPUTED_VALUE"""),"THI0276")</f>
        <v>THI0276</v>
      </c>
      <c r="G15" s="612" t="str">
        <f>IFERROR(__xludf.DUMMYFUNCTION("""COMPUTED_VALUE"""),"Đông Tây")</f>
        <v>Đông Tây</v>
      </c>
      <c r="H15" s="693">
        <f>IFERROR(__xludf.DUMMYFUNCTION("""COMPUTED_VALUE"""),46100.0)</f>
        <v>46100</v>
      </c>
      <c r="I15" s="693">
        <f>IFERROR(__xludf.DUMMYFUNCTION("""COMPUTED_VALUE"""),46118.0)</f>
        <v>46118</v>
      </c>
      <c r="J15" s="701">
        <f>IFERROR(__xludf.DUMMYFUNCTION("""COMPUTED_VALUE"""),46100.0)</f>
        <v>46100</v>
      </c>
      <c r="K15" s="694">
        <f>IFERROR(__xludf.DUMMYFUNCTION("""COMPUTED_VALUE"""),46120.0)</f>
        <v>46120</v>
      </c>
      <c r="L15" s="695">
        <f>IFERROR(__xludf.DUMMYFUNCTION("""COMPUTED_VALUE"""),46118.0)</f>
        <v>46118</v>
      </c>
      <c r="M15" s="696">
        <f>IFERROR(__xludf.DUMMYFUNCTION("""COMPUTED_VALUE"""),2.0)</f>
        <v>2</v>
      </c>
      <c r="N15" s="697">
        <f>IFERROR(__xludf.DUMMYFUNCTION("""COMPUTED_VALUE"""),500.0)</f>
        <v>500</v>
      </c>
      <c r="O15" s="697">
        <f>IFERROR(__xludf.DUMMYFUNCTION("""COMPUTED_VALUE"""),543.0)</f>
        <v>543</v>
      </c>
      <c r="P15" s="612">
        <f>IFERROR(__xludf.DUMMYFUNCTION("""COMPUTED_VALUE"""),1.0)</f>
        <v>1</v>
      </c>
      <c r="Q15" s="697">
        <f>IFERROR(__xludf.DUMMYFUNCTION("""COMPUTED_VALUE"""),9882000.0)</f>
        <v>9882000</v>
      </c>
      <c r="R15" s="697">
        <f>IFERROR(__xludf.DUMMYFUNCTION("""COMPUTED_VALUE"""),761.0)</f>
        <v>761</v>
      </c>
      <c r="S15" s="702"/>
      <c r="T15" s="698" t="str">
        <f t="shared" si="1"/>
        <v>✅ Đã nhận hàng</v>
      </c>
      <c r="U15" s="698" t="str">
        <f t="shared" si="2"/>
        <v>✅ Đã xong</v>
      </c>
      <c r="V15" s="699" t="str">
        <f t="shared" si="3"/>
        <v>✅ Hoàn thành</v>
      </c>
    </row>
    <row r="16" ht="28.5" customHeight="1">
      <c r="A16" s="612" t="str">
        <f>IFERROR(__xludf.DUMMYFUNCTION("""COMPUTED_VALUE"""),"03/2026")</f>
        <v>03/2026</v>
      </c>
      <c r="B16" s="612" t="str">
        <f>IFERROR(__xludf.DUMMYFUNCTION("""COMPUTED_VALUE"""),"Mr Tiên")</f>
        <v>Mr Tiên</v>
      </c>
      <c r="C16" s="612" t="str">
        <f>IFERROR(__xludf.DUMMYFUNCTION("""COMPUTED_VALUE"""),"ĐMH01386")</f>
        <v>ĐMH01386</v>
      </c>
      <c r="D16" s="612" t="str">
        <f>IFERROR(__xludf.DUMMYFUNCTION("""COMPUTED_VALUE"""),"Hoàn thành")</f>
        <v>Hoàn thành</v>
      </c>
      <c r="E16" s="612" t="str">
        <f>IFERROR(__xludf.DUMMYFUNCTION("""COMPUTED_VALUE"""),"SX - Ms Ly")</f>
        <v>SX - Ms Ly</v>
      </c>
      <c r="F16" s="692" t="str">
        <f>IFERROR(__xludf.DUMMYFUNCTION("""COMPUTED_VALUE"""),"THC0290")</f>
        <v>THC0290</v>
      </c>
      <c r="G16" s="612" t="str">
        <f>IFERROR(__xludf.DUMMYFUNCTION("""COMPUTED_VALUE"""),"Đông Tây")</f>
        <v>Đông Tây</v>
      </c>
      <c r="H16" s="693">
        <f>IFERROR(__xludf.DUMMYFUNCTION("""COMPUTED_VALUE"""),46102.0)</f>
        <v>46102</v>
      </c>
      <c r="I16" s="693">
        <f>IFERROR(__xludf.DUMMYFUNCTION("""COMPUTED_VALUE"""),46120.0)</f>
        <v>46120</v>
      </c>
      <c r="J16" s="701">
        <f>IFERROR(__xludf.DUMMYFUNCTION("""COMPUTED_VALUE"""),46102.0)</f>
        <v>46102</v>
      </c>
      <c r="K16" s="694">
        <f>IFERROR(__xludf.DUMMYFUNCTION("""COMPUTED_VALUE"""),46122.0)</f>
        <v>46122</v>
      </c>
      <c r="L16" s="695">
        <f>IFERROR(__xludf.DUMMYFUNCTION("""COMPUTED_VALUE"""),46123.0)</f>
        <v>46123</v>
      </c>
      <c r="M16" s="696">
        <f>IFERROR(__xludf.DUMMYFUNCTION("""COMPUTED_VALUE"""),-1.0)</f>
        <v>-1</v>
      </c>
      <c r="N16" s="697">
        <f>IFERROR(__xludf.DUMMYFUNCTION("""COMPUTED_VALUE"""),300.0)</f>
        <v>300</v>
      </c>
      <c r="O16" s="697">
        <f>IFERROR(__xludf.DUMMYFUNCTION("""COMPUTED_VALUE"""),316.0)</f>
        <v>316</v>
      </c>
      <c r="P16" s="612">
        <f>IFERROR(__xludf.DUMMYFUNCTION("""COMPUTED_VALUE"""),1.0)</f>
        <v>1</v>
      </c>
      <c r="Q16" s="697">
        <f>IFERROR(__xludf.DUMMYFUNCTION("""COMPUTED_VALUE"""),6966000.0)</f>
        <v>6966000</v>
      </c>
      <c r="R16" s="697">
        <f>IFERROR(__xludf.DUMMYFUNCTION("""COMPUTED_VALUE"""),829.0)</f>
        <v>829</v>
      </c>
      <c r="S16" s="702"/>
      <c r="T16" s="698" t="str">
        <f t="shared" si="1"/>
        <v>✅ Đã nhận hàng</v>
      </c>
      <c r="U16" s="698" t="str">
        <f t="shared" si="2"/>
        <v>✅ Đã xong</v>
      </c>
      <c r="V16" s="699" t="str">
        <f t="shared" si="3"/>
        <v>✅ Hoàn thành</v>
      </c>
    </row>
    <row r="17" ht="28.5" customHeight="1">
      <c r="A17" s="612" t="str">
        <f>IFERROR(__xludf.DUMMYFUNCTION("""COMPUTED_VALUE"""),"03/2026")</f>
        <v>03/2026</v>
      </c>
      <c r="B17" s="612" t="str">
        <f>IFERROR(__xludf.DUMMYFUNCTION("""COMPUTED_VALUE"""),"Mr Tiên")</f>
        <v>Mr Tiên</v>
      </c>
      <c r="C17" s="612" t="str">
        <f>IFERROR(__xludf.DUMMYFUNCTION("""COMPUTED_VALUE"""),"ĐMH01377")</f>
        <v>ĐMH01377</v>
      </c>
      <c r="D17" s="612" t="str">
        <f>IFERROR(__xludf.DUMMYFUNCTION("""COMPUTED_VALUE"""),"Hoàn thành")</f>
        <v>Hoàn thành</v>
      </c>
      <c r="E17" s="612" t="str">
        <f>IFERROR(__xludf.DUMMYFUNCTION("""COMPUTED_VALUE"""),"SX - Ms Ly")</f>
        <v>SX - Ms Ly</v>
      </c>
      <c r="F17" s="692" t="str">
        <f>IFERROR(__xludf.DUMMYFUNCTION("""COMPUTED_VALUE"""),"THC0239")</f>
        <v>THC0239</v>
      </c>
      <c r="G17" s="612" t="str">
        <f>IFERROR(__xludf.DUMMYFUNCTION("""COMPUTED_VALUE"""),"Đông Tây")</f>
        <v>Đông Tây</v>
      </c>
      <c r="H17" s="693">
        <f>IFERROR(__xludf.DUMMYFUNCTION("""COMPUTED_VALUE"""),46102.0)</f>
        <v>46102</v>
      </c>
      <c r="I17" s="693">
        <f>IFERROR(__xludf.DUMMYFUNCTION("""COMPUTED_VALUE"""),46125.0)</f>
        <v>46125</v>
      </c>
      <c r="J17" s="701">
        <f>IFERROR(__xludf.DUMMYFUNCTION("""COMPUTED_VALUE"""),46102.0)</f>
        <v>46102</v>
      </c>
      <c r="K17" s="694">
        <f>IFERROR(__xludf.DUMMYFUNCTION("""COMPUTED_VALUE"""),46122.0)</f>
        <v>46122</v>
      </c>
      <c r="L17" s="695">
        <f>IFERROR(__xludf.DUMMYFUNCTION("""COMPUTED_VALUE"""),46126.0)</f>
        <v>46126</v>
      </c>
      <c r="M17" s="696">
        <f>IFERROR(__xludf.DUMMYFUNCTION("""COMPUTED_VALUE"""),-4.0)</f>
        <v>-4</v>
      </c>
      <c r="N17" s="697">
        <f>IFERROR(__xludf.DUMMYFUNCTION("""COMPUTED_VALUE"""),300.0)</f>
        <v>300</v>
      </c>
      <c r="O17" s="697">
        <f>IFERROR(__xludf.DUMMYFUNCTION("""COMPUTED_VALUE"""),315.0)</f>
        <v>315</v>
      </c>
      <c r="P17" s="612">
        <f>IFERROR(__xludf.DUMMYFUNCTION("""COMPUTED_VALUE"""),1.0)</f>
        <v>1</v>
      </c>
      <c r="Q17" s="697">
        <f>IFERROR(__xludf.DUMMYFUNCTION("""COMPUTED_VALUE"""),7905600.0)</f>
        <v>7905600</v>
      </c>
      <c r="R17" s="697">
        <f>IFERROR(__xludf.DUMMYFUNCTION("""COMPUTED_VALUE"""),854.0)</f>
        <v>854</v>
      </c>
      <c r="S17" s="702" t="str">
        <f>IFERROR(__xludf.DUMMYFUNCTION("""COMPUTED_VALUE"""),"Máy hư , chưa sản xuất kịp")</f>
        <v>Máy hư , chưa sản xuất kịp</v>
      </c>
      <c r="T17" s="698" t="str">
        <f t="shared" si="1"/>
        <v>✅ Đã nhận hàng</v>
      </c>
      <c r="U17" s="698" t="str">
        <f t="shared" si="2"/>
        <v>✅ Đã xong</v>
      </c>
      <c r="V17" s="699" t="str">
        <f t="shared" si="3"/>
        <v>✅ Hoàn thành</v>
      </c>
    </row>
    <row r="18" ht="28.5" customHeight="1">
      <c r="A18" s="612" t="str">
        <f>IFERROR(__xludf.DUMMYFUNCTION("""COMPUTED_VALUE"""),"03/2026")</f>
        <v>03/2026</v>
      </c>
      <c r="B18" s="612" t="str">
        <f>IFERROR(__xludf.DUMMYFUNCTION("""COMPUTED_VALUE"""),"Mr Tiên")</f>
        <v>Mr Tiên</v>
      </c>
      <c r="C18" s="612" t="str">
        <f>IFERROR(__xludf.DUMMYFUNCTION("""COMPUTED_VALUE"""),"ĐMH01384")</f>
        <v>ĐMH01384</v>
      </c>
      <c r="D18" s="612" t="str">
        <f>IFERROR(__xludf.DUMMYFUNCTION("""COMPUTED_VALUE"""),"Hoàn thành")</f>
        <v>Hoàn thành</v>
      </c>
      <c r="E18" s="612" t="str">
        <f>IFERROR(__xludf.DUMMYFUNCTION("""COMPUTED_VALUE"""),"SX - Ms Ly")</f>
        <v>SX - Ms Ly</v>
      </c>
      <c r="F18" s="692" t="str">
        <f>IFERROR(__xludf.DUMMYFUNCTION("""COMPUTED_VALUE"""),"THC0078")</f>
        <v>THC0078</v>
      </c>
      <c r="G18" s="612" t="str">
        <f>IFERROR(__xludf.DUMMYFUNCTION("""COMPUTED_VALUE"""),"Đông Tây")</f>
        <v>Đông Tây</v>
      </c>
      <c r="H18" s="693">
        <f>IFERROR(__xludf.DUMMYFUNCTION("""COMPUTED_VALUE"""),46104.0)</f>
        <v>46104</v>
      </c>
      <c r="I18" s="693">
        <f>IFERROR(__xludf.DUMMYFUNCTION("""COMPUTED_VALUE"""),46122.0)</f>
        <v>46122</v>
      </c>
      <c r="J18" s="701">
        <f>IFERROR(__xludf.DUMMYFUNCTION("""COMPUTED_VALUE"""),46104.0)</f>
        <v>46104</v>
      </c>
      <c r="K18" s="694">
        <f>IFERROR(__xludf.DUMMYFUNCTION("""COMPUTED_VALUE"""),46124.0)</f>
        <v>46124</v>
      </c>
      <c r="L18" s="695">
        <f>IFERROR(__xludf.DUMMYFUNCTION("""COMPUTED_VALUE"""),46123.0)</f>
        <v>46123</v>
      </c>
      <c r="M18" s="696">
        <f>IFERROR(__xludf.DUMMYFUNCTION("""COMPUTED_VALUE"""),1.0)</f>
        <v>1</v>
      </c>
      <c r="N18" s="697">
        <f>IFERROR(__xludf.DUMMYFUNCTION("""COMPUTED_VALUE"""),500.0)</f>
        <v>500</v>
      </c>
      <c r="O18" s="697">
        <f>IFERROR(__xludf.DUMMYFUNCTION("""COMPUTED_VALUE"""),514.0)</f>
        <v>514</v>
      </c>
      <c r="P18" s="612">
        <f>IFERROR(__xludf.DUMMYFUNCTION("""COMPUTED_VALUE"""),1.0)</f>
        <v>1</v>
      </c>
      <c r="Q18" s="697">
        <f>IFERROR(__xludf.DUMMYFUNCTION("""COMPUTED_VALUE"""),1.0665E7)</f>
        <v>10665000</v>
      </c>
      <c r="R18" s="697">
        <f>IFERROR(__xludf.DUMMYFUNCTION("""COMPUTED_VALUE"""),828.0)</f>
        <v>828</v>
      </c>
      <c r="S18" s="702"/>
      <c r="T18" s="698" t="str">
        <f t="shared" si="1"/>
        <v>✅ Đã nhận hàng</v>
      </c>
      <c r="U18" s="698" t="str">
        <f t="shared" si="2"/>
        <v>✅ Đã xong</v>
      </c>
      <c r="V18" s="699" t="str">
        <f t="shared" si="3"/>
        <v>✅ Hoàn thành</v>
      </c>
    </row>
    <row r="19" ht="28.5" customHeight="1">
      <c r="A19" s="612" t="str">
        <f>IFERROR(__xludf.DUMMYFUNCTION("""COMPUTED_VALUE"""),"03/2026")</f>
        <v>03/2026</v>
      </c>
      <c r="B19" s="612" t="str">
        <f>IFERROR(__xludf.DUMMYFUNCTION("""COMPUTED_VALUE"""),"Mr Tiên")</f>
        <v>Mr Tiên</v>
      </c>
      <c r="C19" s="612" t="str">
        <f>IFERROR(__xludf.DUMMYFUNCTION("""COMPUTED_VALUE"""),"ĐMH01384")</f>
        <v>ĐMH01384</v>
      </c>
      <c r="D19" s="612" t="str">
        <f>IFERROR(__xludf.DUMMYFUNCTION("""COMPUTED_VALUE"""),"Hoàn thành")</f>
        <v>Hoàn thành</v>
      </c>
      <c r="E19" s="612" t="str">
        <f>IFERROR(__xludf.DUMMYFUNCTION("""COMPUTED_VALUE"""),"SX - Ms Ly")</f>
        <v>SX - Ms Ly</v>
      </c>
      <c r="F19" s="692" t="str">
        <f>IFERROR(__xludf.DUMMYFUNCTION("""COMPUTED_VALUE"""),"THC0274")</f>
        <v>THC0274</v>
      </c>
      <c r="G19" s="612" t="str">
        <f>IFERROR(__xludf.DUMMYFUNCTION("""COMPUTED_VALUE"""),"Đông Tây")</f>
        <v>Đông Tây</v>
      </c>
      <c r="H19" s="693">
        <f>IFERROR(__xludf.DUMMYFUNCTION("""COMPUTED_VALUE"""),46104.0)</f>
        <v>46104</v>
      </c>
      <c r="I19" s="693">
        <f>IFERROR(__xludf.DUMMYFUNCTION("""COMPUTED_VALUE"""),46122.0)</f>
        <v>46122</v>
      </c>
      <c r="J19" s="701">
        <f>IFERROR(__xludf.DUMMYFUNCTION("""COMPUTED_VALUE"""),46104.0)</f>
        <v>46104</v>
      </c>
      <c r="K19" s="694">
        <f>IFERROR(__xludf.DUMMYFUNCTION("""COMPUTED_VALUE"""),46124.0)</f>
        <v>46124</v>
      </c>
      <c r="L19" s="695">
        <f>IFERROR(__xludf.DUMMYFUNCTION("""COMPUTED_VALUE"""),46123.0)</f>
        <v>46123</v>
      </c>
      <c r="M19" s="696">
        <f>IFERROR(__xludf.DUMMYFUNCTION("""COMPUTED_VALUE"""),1.0)</f>
        <v>1</v>
      </c>
      <c r="N19" s="697">
        <f>IFERROR(__xludf.DUMMYFUNCTION("""COMPUTED_VALUE"""),300.0)</f>
        <v>300</v>
      </c>
      <c r="O19" s="697">
        <f>IFERROR(__xludf.DUMMYFUNCTION("""COMPUTED_VALUE"""),320.0)</f>
        <v>320</v>
      </c>
      <c r="P19" s="612">
        <f>IFERROR(__xludf.DUMMYFUNCTION("""COMPUTED_VALUE"""),1.0)</f>
        <v>1</v>
      </c>
      <c r="Q19" s="697">
        <f>IFERROR(__xludf.DUMMYFUNCTION("""COMPUTED_VALUE"""),6966000.0)</f>
        <v>6966000</v>
      </c>
      <c r="R19" s="697">
        <f>IFERROR(__xludf.DUMMYFUNCTION("""COMPUTED_VALUE"""),830.0)</f>
        <v>830</v>
      </c>
      <c r="S19" s="702"/>
      <c r="T19" s="698" t="str">
        <f t="shared" si="1"/>
        <v>✅ Đã nhận hàng</v>
      </c>
      <c r="U19" s="698" t="str">
        <f t="shared" si="2"/>
        <v>✅ Đã xong</v>
      </c>
      <c r="V19" s="699" t="str">
        <f t="shared" si="3"/>
        <v>✅ Hoàn thành</v>
      </c>
    </row>
    <row r="20" ht="28.5" customHeight="1">
      <c r="A20" s="612" t="str">
        <f>IFERROR(__xludf.DUMMYFUNCTION("""COMPUTED_VALUE"""),"03/2026")</f>
        <v>03/2026</v>
      </c>
      <c r="B20" s="612" t="str">
        <f>IFERROR(__xludf.DUMMYFUNCTION("""COMPUTED_VALUE"""),"Mr Tiên")</f>
        <v>Mr Tiên</v>
      </c>
      <c r="C20" s="612" t="str">
        <f>IFERROR(__xludf.DUMMYFUNCTION("""COMPUTED_VALUE"""),"ĐMH01402")</f>
        <v>ĐMH01402</v>
      </c>
      <c r="D20" s="612" t="str">
        <f>IFERROR(__xludf.DUMMYFUNCTION("""COMPUTED_VALUE"""),"Hoàn thành")</f>
        <v>Hoàn thành</v>
      </c>
      <c r="E20" s="612" t="str">
        <f>IFERROR(__xludf.DUMMYFUNCTION("""COMPUTED_VALUE"""),"SX - Ms Ly")</f>
        <v>SX - Ms Ly</v>
      </c>
      <c r="F20" s="692" t="str">
        <f>IFERROR(__xludf.DUMMYFUNCTION("""COMPUTED_VALUE"""),"THC0291")</f>
        <v>THC0291</v>
      </c>
      <c r="G20" s="612" t="str">
        <f>IFERROR(__xludf.DUMMYFUNCTION("""COMPUTED_VALUE"""),"Đông Tây")</f>
        <v>Đông Tây</v>
      </c>
      <c r="H20" s="693">
        <f>IFERROR(__xludf.DUMMYFUNCTION("""COMPUTED_VALUE"""),46105.0)</f>
        <v>46105</v>
      </c>
      <c r="I20" s="693">
        <f>IFERROR(__xludf.DUMMYFUNCTION("""COMPUTED_VALUE"""),46123.0)</f>
        <v>46123</v>
      </c>
      <c r="J20" s="701">
        <f>IFERROR(__xludf.DUMMYFUNCTION("""COMPUTED_VALUE"""),46105.0)</f>
        <v>46105</v>
      </c>
      <c r="K20" s="694">
        <f>IFERROR(__xludf.DUMMYFUNCTION("""COMPUTED_VALUE"""),46125.0)</f>
        <v>46125</v>
      </c>
      <c r="L20" s="695">
        <f>IFERROR(__xludf.DUMMYFUNCTION("""COMPUTED_VALUE"""),46123.0)</f>
        <v>46123</v>
      </c>
      <c r="M20" s="696">
        <f>IFERROR(__xludf.DUMMYFUNCTION("""COMPUTED_VALUE"""),2.0)</f>
        <v>2</v>
      </c>
      <c r="N20" s="697">
        <f>IFERROR(__xludf.DUMMYFUNCTION("""COMPUTED_VALUE"""),300.0)</f>
        <v>300</v>
      </c>
      <c r="O20" s="697">
        <f>IFERROR(__xludf.DUMMYFUNCTION("""COMPUTED_VALUE"""),329.0)</f>
        <v>329</v>
      </c>
      <c r="P20" s="612">
        <f>IFERROR(__xludf.DUMMYFUNCTION("""COMPUTED_VALUE"""),1.0)</f>
        <v>1</v>
      </c>
      <c r="Q20" s="697">
        <f>IFERROR(__xludf.DUMMYFUNCTION("""COMPUTED_VALUE"""),4795200.0)</f>
        <v>4795200</v>
      </c>
      <c r="R20" s="697">
        <f>IFERROR(__xludf.DUMMYFUNCTION("""COMPUTED_VALUE"""),827.0)</f>
        <v>827</v>
      </c>
      <c r="S20" s="702"/>
      <c r="T20" s="698" t="str">
        <f t="shared" si="1"/>
        <v>✅ Đã nhận hàng</v>
      </c>
      <c r="U20" s="698" t="str">
        <f t="shared" si="2"/>
        <v>✅ Đã xong</v>
      </c>
      <c r="V20" s="699" t="str">
        <f t="shared" si="3"/>
        <v>✅ Hoàn thành</v>
      </c>
    </row>
    <row r="21" ht="28.5" customHeight="1">
      <c r="A21" s="612" t="str">
        <f>IFERROR(__xludf.DUMMYFUNCTION("""COMPUTED_VALUE"""),"03/2026")</f>
        <v>03/2026</v>
      </c>
      <c r="B21" s="612" t="str">
        <f>IFERROR(__xludf.DUMMYFUNCTION("""COMPUTED_VALUE"""),"Mr Tiên")</f>
        <v>Mr Tiên</v>
      </c>
      <c r="C21" s="612" t="str">
        <f>IFERROR(__xludf.DUMMYFUNCTION("""COMPUTED_VALUE"""),"ĐMH02660")</f>
        <v>ĐMH02660</v>
      </c>
      <c r="D21" s="612" t="str">
        <f>IFERROR(__xludf.DUMMYFUNCTION("""COMPUTED_VALUE"""),"Hoàn thành")</f>
        <v>Hoàn thành</v>
      </c>
      <c r="E21" s="612" t="str">
        <f>IFERROR(__xludf.DUMMYFUNCTION("""COMPUTED_VALUE"""),"SX - Ms Ly")</f>
        <v>SX - Ms Ly</v>
      </c>
      <c r="F21" s="692" t="str">
        <f>IFERROR(__xludf.DUMMYFUNCTION("""COMPUTED_VALUE"""),"THI0293")</f>
        <v>THI0293</v>
      </c>
      <c r="G21" s="612" t="str">
        <f>IFERROR(__xludf.DUMMYFUNCTION("""COMPUTED_VALUE"""),"Đông Tây")</f>
        <v>Đông Tây</v>
      </c>
      <c r="H21" s="693">
        <f>IFERROR(__xludf.DUMMYFUNCTION("""COMPUTED_VALUE"""),46107.0)</f>
        <v>46107</v>
      </c>
      <c r="I21" s="693">
        <f>IFERROR(__xludf.DUMMYFUNCTION("""COMPUTED_VALUE"""),46125.0)</f>
        <v>46125</v>
      </c>
      <c r="J21" s="701">
        <f>IFERROR(__xludf.DUMMYFUNCTION("""COMPUTED_VALUE"""),46107.0)</f>
        <v>46107</v>
      </c>
      <c r="K21" s="694">
        <f>IFERROR(__xludf.DUMMYFUNCTION("""COMPUTED_VALUE"""),46127.0)</f>
        <v>46127</v>
      </c>
      <c r="L21" s="695">
        <f>IFERROR(__xludf.DUMMYFUNCTION("""COMPUTED_VALUE"""),46123.0)</f>
        <v>46123</v>
      </c>
      <c r="M21" s="696">
        <f>IFERROR(__xludf.DUMMYFUNCTION("""COMPUTED_VALUE"""),4.0)</f>
        <v>4</v>
      </c>
      <c r="N21" s="697">
        <f>IFERROR(__xludf.DUMMYFUNCTION("""COMPUTED_VALUE"""),400.0)</f>
        <v>400</v>
      </c>
      <c r="O21" s="697">
        <f>IFERROR(__xludf.DUMMYFUNCTION("""COMPUTED_VALUE"""),405.0)</f>
        <v>405</v>
      </c>
      <c r="P21" s="612">
        <f>IFERROR(__xludf.DUMMYFUNCTION("""COMPUTED_VALUE"""),1.0)</f>
        <v>1</v>
      </c>
      <c r="Q21" s="697">
        <f>IFERROR(__xludf.DUMMYFUNCTION("""COMPUTED_VALUE"""),8424000.0)</f>
        <v>8424000</v>
      </c>
      <c r="R21" s="697">
        <f>IFERROR(__xludf.DUMMYFUNCTION("""COMPUTED_VALUE"""),826.0)</f>
        <v>826</v>
      </c>
      <c r="S21" s="702"/>
      <c r="T21" s="698" t="str">
        <f t="shared" si="1"/>
        <v>✅ Đã nhận hàng</v>
      </c>
      <c r="U21" s="698" t="str">
        <f t="shared" si="2"/>
        <v>✅ Đã xong</v>
      </c>
      <c r="V21" s="699" t="str">
        <f t="shared" si="3"/>
        <v>✅ Hoàn thành</v>
      </c>
    </row>
    <row r="22" ht="28.5" customHeight="1">
      <c r="A22" s="612" t="str">
        <f>IFERROR(__xludf.DUMMYFUNCTION("""COMPUTED_VALUE"""),"03/2026")</f>
        <v>03/2026</v>
      </c>
      <c r="B22" s="612" t="str">
        <f>IFERROR(__xludf.DUMMYFUNCTION("""COMPUTED_VALUE"""),"Mr Tiên")</f>
        <v>Mr Tiên</v>
      </c>
      <c r="C22" s="612" t="str">
        <f>IFERROR(__xludf.DUMMYFUNCTION("""COMPUTED_VALUE"""),"ĐMH02655")</f>
        <v>ĐMH02655</v>
      </c>
      <c r="D22" s="612" t="str">
        <f>IFERROR(__xludf.DUMMYFUNCTION("""COMPUTED_VALUE"""),"Hoàn thành")</f>
        <v>Hoàn thành</v>
      </c>
      <c r="E22" s="612" t="str">
        <f>IFERROR(__xludf.DUMMYFUNCTION("""COMPUTED_VALUE"""),"SX - Ms Ly")</f>
        <v>SX - Ms Ly</v>
      </c>
      <c r="F22" s="692" t="str">
        <f>IFERROR(__xludf.DUMMYFUNCTION("""COMPUTED_VALUE"""),"THI0277")</f>
        <v>THI0277</v>
      </c>
      <c r="G22" s="612" t="str">
        <f>IFERROR(__xludf.DUMMYFUNCTION("""COMPUTED_VALUE"""),"Đông Tây")</f>
        <v>Đông Tây</v>
      </c>
      <c r="H22" s="693">
        <f>IFERROR(__xludf.DUMMYFUNCTION("""COMPUTED_VALUE"""),46107.0)</f>
        <v>46107</v>
      </c>
      <c r="I22" s="693">
        <f>IFERROR(__xludf.DUMMYFUNCTION("""COMPUTED_VALUE"""),46125.0)</f>
        <v>46125</v>
      </c>
      <c r="J22" s="701">
        <f>IFERROR(__xludf.DUMMYFUNCTION("""COMPUTED_VALUE"""),46107.0)</f>
        <v>46107</v>
      </c>
      <c r="K22" s="694">
        <f>IFERROR(__xludf.DUMMYFUNCTION("""COMPUTED_VALUE"""),46127.0)</f>
        <v>46127</v>
      </c>
      <c r="L22" s="695">
        <f>IFERROR(__xludf.DUMMYFUNCTION("""COMPUTED_VALUE"""),46125.0)</f>
        <v>46125</v>
      </c>
      <c r="M22" s="696">
        <f>IFERROR(__xludf.DUMMYFUNCTION("""COMPUTED_VALUE"""),2.0)</f>
        <v>2</v>
      </c>
      <c r="N22" s="697">
        <f>IFERROR(__xludf.DUMMYFUNCTION("""COMPUTED_VALUE"""),300.0)</f>
        <v>300</v>
      </c>
      <c r="O22" s="697">
        <f>IFERROR(__xludf.DUMMYFUNCTION("""COMPUTED_VALUE"""),300.0)</f>
        <v>300</v>
      </c>
      <c r="P22" s="612">
        <f>IFERROR(__xludf.DUMMYFUNCTION("""COMPUTED_VALUE"""),1.0)</f>
        <v>1</v>
      </c>
      <c r="Q22" s="697">
        <f>IFERROR(__xludf.DUMMYFUNCTION("""COMPUTED_VALUE"""),7581600.0)</f>
        <v>7581600</v>
      </c>
      <c r="R22" s="697">
        <f>IFERROR(__xludf.DUMMYFUNCTION("""COMPUTED_VALUE"""),841.0)</f>
        <v>841</v>
      </c>
      <c r="S22" s="702"/>
      <c r="T22" s="698" t="str">
        <f t="shared" si="1"/>
        <v>✅ Đã nhận hàng</v>
      </c>
      <c r="U22" s="698" t="str">
        <f t="shared" si="2"/>
        <v>✅ Đã xong</v>
      </c>
      <c r="V22" s="699" t="str">
        <f t="shared" si="3"/>
        <v>✅ Hoàn thành</v>
      </c>
    </row>
    <row r="23" ht="28.5" customHeight="1">
      <c r="A23" s="612" t="str">
        <f>IFERROR(__xludf.DUMMYFUNCTION("""COMPUTED_VALUE"""),"03/2026")</f>
        <v>03/2026</v>
      </c>
      <c r="B23" s="612" t="str">
        <f>IFERROR(__xludf.DUMMYFUNCTION("""COMPUTED_VALUE"""),"Mr Tiên")</f>
        <v>Mr Tiên</v>
      </c>
      <c r="C23" s="612" t="str">
        <f>IFERROR(__xludf.DUMMYFUNCTION("""COMPUTED_VALUE"""),"ĐMH02662")</f>
        <v>ĐMH02662</v>
      </c>
      <c r="D23" s="612" t="str">
        <f>IFERROR(__xludf.DUMMYFUNCTION("""COMPUTED_VALUE"""),"Hoàn thành")</f>
        <v>Hoàn thành</v>
      </c>
      <c r="E23" s="612" t="str">
        <f>IFERROR(__xludf.DUMMYFUNCTION("""COMPUTED_VALUE"""),"SX - Ms Ly")</f>
        <v>SX - Ms Ly</v>
      </c>
      <c r="F23" s="692" t="str">
        <f>IFERROR(__xludf.DUMMYFUNCTION("""COMPUTED_VALUE"""),"THI0277")</f>
        <v>THI0277</v>
      </c>
      <c r="G23" s="612" t="str">
        <f>IFERROR(__xludf.DUMMYFUNCTION("""COMPUTED_VALUE"""),"Đông Tây")</f>
        <v>Đông Tây</v>
      </c>
      <c r="H23" s="693">
        <f>IFERROR(__xludf.DUMMYFUNCTION("""COMPUTED_VALUE"""),46112.0)</f>
        <v>46112</v>
      </c>
      <c r="I23" s="693">
        <f>IFERROR(__xludf.DUMMYFUNCTION("""COMPUTED_VALUE"""),46130.0)</f>
        <v>46130</v>
      </c>
      <c r="J23" s="701">
        <f>IFERROR(__xludf.DUMMYFUNCTION("""COMPUTED_VALUE"""),46107.0)</f>
        <v>46107</v>
      </c>
      <c r="K23" s="694">
        <f>IFERROR(__xludf.DUMMYFUNCTION("""COMPUTED_VALUE"""),46132.0)</f>
        <v>46132</v>
      </c>
      <c r="L23" s="695">
        <f>IFERROR(__xludf.DUMMYFUNCTION("""COMPUTED_VALUE"""),46125.0)</f>
        <v>46125</v>
      </c>
      <c r="M23" s="696">
        <f>IFERROR(__xludf.DUMMYFUNCTION("""COMPUTED_VALUE"""),7.0)</f>
        <v>7</v>
      </c>
      <c r="N23" s="697">
        <f>IFERROR(__xludf.DUMMYFUNCTION("""COMPUTED_VALUE"""),300.0)</f>
        <v>300</v>
      </c>
      <c r="O23" s="697">
        <f>IFERROR(__xludf.DUMMYFUNCTION("""COMPUTED_VALUE"""),310.0)</f>
        <v>310</v>
      </c>
      <c r="P23" s="612">
        <f>IFERROR(__xludf.DUMMYFUNCTION("""COMPUTED_VALUE"""),1.0)</f>
        <v>1</v>
      </c>
      <c r="Q23" s="697">
        <f>IFERROR(__xludf.DUMMYFUNCTION("""COMPUTED_VALUE"""),7581600.0)</f>
        <v>7581600</v>
      </c>
      <c r="R23" s="697">
        <f>IFERROR(__xludf.DUMMYFUNCTION("""COMPUTED_VALUE"""),841.0)</f>
        <v>841</v>
      </c>
      <c r="S23" s="702"/>
      <c r="T23" s="698" t="str">
        <f t="shared" si="1"/>
        <v>✅ Đã nhận hàng</v>
      </c>
      <c r="U23" s="698" t="str">
        <f t="shared" si="2"/>
        <v>✅ Đã xong</v>
      </c>
      <c r="V23" s="699" t="str">
        <f t="shared" si="3"/>
        <v>✅ Hoàn thành</v>
      </c>
    </row>
    <row r="24" ht="28.5" customHeight="1">
      <c r="A24" s="612" t="str">
        <f>IFERROR(__xludf.DUMMYFUNCTION("""COMPUTED_VALUE"""),"03/2026")</f>
        <v>03/2026</v>
      </c>
      <c r="B24" s="612" t="str">
        <f>IFERROR(__xludf.DUMMYFUNCTION("""COMPUTED_VALUE"""),"Mr Tiên")</f>
        <v>Mr Tiên</v>
      </c>
      <c r="C24" s="612" t="str">
        <f>IFERROR(__xludf.DUMMYFUNCTION("""COMPUTED_VALUE"""),"ĐMH01441")</f>
        <v>ĐMH01441</v>
      </c>
      <c r="D24" s="612" t="str">
        <f>IFERROR(__xludf.DUMMYFUNCTION("""COMPUTED_VALUE"""),"Hoàn thành")</f>
        <v>Hoàn thành</v>
      </c>
      <c r="E24" s="612" t="str">
        <f>IFERROR(__xludf.DUMMYFUNCTION("""COMPUTED_VALUE"""),"SX - Ms Ly")</f>
        <v>SX - Ms Ly</v>
      </c>
      <c r="F24" s="692" t="str">
        <f>IFERROR(__xludf.DUMMYFUNCTION("""COMPUTED_VALUE"""),"THI0277")</f>
        <v>THI0277</v>
      </c>
      <c r="G24" s="612" t="str">
        <f>IFERROR(__xludf.DUMMYFUNCTION("""COMPUTED_VALUE"""),"Đông Tây")</f>
        <v>Đông Tây</v>
      </c>
      <c r="H24" s="693">
        <f>IFERROR(__xludf.DUMMYFUNCTION("""COMPUTED_VALUE"""),46112.0)</f>
        <v>46112</v>
      </c>
      <c r="I24" s="693">
        <f>IFERROR(__xludf.DUMMYFUNCTION("""COMPUTED_VALUE"""),46130.0)</f>
        <v>46130</v>
      </c>
      <c r="J24" s="701">
        <f>IFERROR(__xludf.DUMMYFUNCTION("""COMPUTED_VALUE"""),46107.0)</f>
        <v>46107</v>
      </c>
      <c r="K24" s="694">
        <f>IFERROR(__xludf.DUMMYFUNCTION("""COMPUTED_VALUE"""),46132.0)</f>
        <v>46132</v>
      </c>
      <c r="L24" s="695">
        <f>IFERROR(__xludf.DUMMYFUNCTION("""COMPUTED_VALUE"""),46125.0)</f>
        <v>46125</v>
      </c>
      <c r="M24" s="696">
        <f>IFERROR(__xludf.DUMMYFUNCTION("""COMPUTED_VALUE"""),7.0)</f>
        <v>7</v>
      </c>
      <c r="N24" s="697">
        <f>IFERROR(__xludf.DUMMYFUNCTION("""COMPUTED_VALUE"""),300.0)</f>
        <v>300</v>
      </c>
      <c r="O24" s="697">
        <f>IFERROR(__xludf.DUMMYFUNCTION("""COMPUTED_VALUE"""),300.0)</f>
        <v>300</v>
      </c>
      <c r="P24" s="612">
        <f>IFERROR(__xludf.DUMMYFUNCTION("""COMPUTED_VALUE"""),1.0)</f>
        <v>1</v>
      </c>
      <c r="Q24" s="697">
        <f>IFERROR(__xludf.DUMMYFUNCTION("""COMPUTED_VALUE"""),7581600.0)</f>
        <v>7581600</v>
      </c>
      <c r="R24" s="697">
        <f>IFERROR(__xludf.DUMMYFUNCTION("""COMPUTED_VALUE"""),842.0)</f>
        <v>842</v>
      </c>
      <c r="S24" s="702"/>
      <c r="T24" s="698" t="str">
        <f t="shared" si="1"/>
        <v>✅ Đã nhận hàng</v>
      </c>
      <c r="U24" s="698" t="str">
        <f t="shared" si="2"/>
        <v>✅ Đã xong</v>
      </c>
      <c r="V24" s="699" t="str">
        <f t="shared" si="3"/>
        <v>✅ Hoàn thành</v>
      </c>
    </row>
    <row r="25" ht="28.5" customHeight="1">
      <c r="A25" s="612" t="str">
        <f>IFERROR(__xludf.DUMMYFUNCTION("""COMPUTED_VALUE"""),"04/2026")</f>
        <v>04/2026</v>
      </c>
      <c r="B25" s="612" t="str">
        <f>IFERROR(__xludf.DUMMYFUNCTION("""COMPUTED_VALUE"""),"Mr Tiên")</f>
        <v>Mr Tiên</v>
      </c>
      <c r="C25" s="612" t="str">
        <f>IFERROR(__xludf.DUMMYFUNCTION("""COMPUTED_VALUE"""),"ĐMH01453")</f>
        <v>ĐMH01453</v>
      </c>
      <c r="D25" s="612" t="str">
        <f>IFERROR(__xludf.DUMMYFUNCTION("""COMPUTED_VALUE"""),"Hoàn thành")</f>
        <v>Hoàn thành</v>
      </c>
      <c r="E25" s="612" t="str">
        <f>IFERROR(__xludf.DUMMYFUNCTION("""COMPUTED_VALUE"""),"SX - Ms Ly")</f>
        <v>SX - Ms Ly</v>
      </c>
      <c r="F25" s="692" t="str">
        <f>IFERROR(__xludf.DUMMYFUNCTION("""COMPUTED_VALUE"""),"THC0292")</f>
        <v>THC0292</v>
      </c>
      <c r="G25" s="612" t="str">
        <f>IFERROR(__xludf.DUMMYFUNCTION("""COMPUTED_VALUE"""),"Đông Tây")</f>
        <v>Đông Tây</v>
      </c>
      <c r="H25" s="693">
        <f>IFERROR(__xludf.DUMMYFUNCTION("""COMPUTED_VALUE"""),46113.0)</f>
        <v>46113</v>
      </c>
      <c r="I25" s="693">
        <f>IFERROR(__xludf.DUMMYFUNCTION("""COMPUTED_VALUE"""),46133.0)</f>
        <v>46133</v>
      </c>
      <c r="J25" s="701">
        <f>IFERROR(__xludf.DUMMYFUNCTION("""COMPUTED_VALUE"""),46107.0)</f>
        <v>46107</v>
      </c>
      <c r="K25" s="694">
        <f>IFERROR(__xludf.DUMMYFUNCTION("""COMPUTED_VALUE"""),46138.0)</f>
        <v>46138</v>
      </c>
      <c r="L25" s="695">
        <f>IFERROR(__xludf.DUMMYFUNCTION("""COMPUTED_VALUE"""),46136.0)</f>
        <v>46136</v>
      </c>
      <c r="M25" s="696">
        <f>IFERROR(__xludf.DUMMYFUNCTION("""COMPUTED_VALUE"""),2.0)</f>
        <v>2</v>
      </c>
      <c r="N25" s="697">
        <f>IFERROR(__xludf.DUMMYFUNCTION("""COMPUTED_VALUE"""),30.0)</f>
        <v>30</v>
      </c>
      <c r="O25" s="697">
        <f>IFERROR(__xludf.DUMMYFUNCTION("""COMPUTED_VALUE"""),33.0)</f>
        <v>33</v>
      </c>
      <c r="P25" s="612">
        <f>IFERROR(__xludf.DUMMYFUNCTION("""COMPUTED_VALUE"""),1.0)</f>
        <v>1</v>
      </c>
      <c r="Q25" s="697">
        <f>IFERROR(__xludf.DUMMYFUNCTION("""COMPUTED_VALUE"""),873180.0)</f>
        <v>873180</v>
      </c>
      <c r="R25" s="697">
        <f>IFERROR(__xludf.DUMMYFUNCTION("""COMPUTED_VALUE"""),950.0)</f>
        <v>950</v>
      </c>
      <c r="S25" s="702"/>
      <c r="T25" s="698" t="str">
        <f t="shared" si="1"/>
        <v>✅ Đã nhận hàng</v>
      </c>
      <c r="U25" s="698" t="str">
        <f t="shared" si="2"/>
        <v>✅ Đã xong</v>
      </c>
      <c r="V25" s="699" t="str">
        <f t="shared" si="3"/>
        <v>✅ Hoàn thành</v>
      </c>
    </row>
    <row r="26" ht="28.5" customHeight="1">
      <c r="A26" s="612" t="str">
        <f>IFERROR(__xludf.DUMMYFUNCTION("""COMPUTED_VALUE"""),"04/2026")</f>
        <v>04/2026</v>
      </c>
      <c r="B26" s="612" t="str">
        <f>IFERROR(__xludf.DUMMYFUNCTION("""COMPUTED_VALUE"""),"Mr Tiên")</f>
        <v>Mr Tiên</v>
      </c>
      <c r="C26" s="612" t="str">
        <f>IFERROR(__xludf.DUMMYFUNCTION("""COMPUTED_VALUE"""),"ĐMH01454")</f>
        <v>ĐMH01454</v>
      </c>
      <c r="D26" s="612" t="str">
        <f>IFERROR(__xludf.DUMMYFUNCTION("""COMPUTED_VALUE"""),"Hoàn thành")</f>
        <v>Hoàn thành</v>
      </c>
      <c r="E26" s="612" t="str">
        <f>IFERROR(__xludf.DUMMYFUNCTION("""COMPUTED_VALUE"""),"SX - Ms Ly")</f>
        <v>SX - Ms Ly</v>
      </c>
      <c r="F26" s="692" t="str">
        <f>IFERROR(__xludf.DUMMYFUNCTION("""COMPUTED_VALUE"""),"THC0292")</f>
        <v>THC0292</v>
      </c>
      <c r="G26" s="612" t="str">
        <f>IFERROR(__xludf.DUMMYFUNCTION("""COMPUTED_VALUE"""),"Đông Tây")</f>
        <v>Đông Tây</v>
      </c>
      <c r="H26" s="693">
        <f>IFERROR(__xludf.DUMMYFUNCTION("""COMPUTED_VALUE"""),46113.0)</f>
        <v>46113</v>
      </c>
      <c r="I26" s="693">
        <f>IFERROR(__xludf.DUMMYFUNCTION("""COMPUTED_VALUE"""),46133.0)</f>
        <v>46133</v>
      </c>
      <c r="J26" s="701">
        <f>IFERROR(__xludf.DUMMYFUNCTION("""COMPUTED_VALUE"""),46113.0)</f>
        <v>46113</v>
      </c>
      <c r="K26" s="694">
        <f>IFERROR(__xludf.DUMMYFUNCTION("""COMPUTED_VALUE"""),46138.0)</f>
        <v>46138</v>
      </c>
      <c r="L26" s="695">
        <f>IFERROR(__xludf.DUMMYFUNCTION("""COMPUTED_VALUE"""),46136.0)</f>
        <v>46136</v>
      </c>
      <c r="M26" s="696">
        <f>IFERROR(__xludf.DUMMYFUNCTION("""COMPUTED_VALUE"""),2.0)</f>
        <v>2</v>
      </c>
      <c r="N26" s="697">
        <f>IFERROR(__xludf.DUMMYFUNCTION("""COMPUTED_VALUE"""),70.0)</f>
        <v>70</v>
      </c>
      <c r="O26" s="697">
        <f>IFERROR(__xludf.DUMMYFUNCTION("""COMPUTED_VALUE"""),75.0)</f>
        <v>75</v>
      </c>
      <c r="P26" s="612">
        <f>IFERROR(__xludf.DUMMYFUNCTION("""COMPUTED_VALUE"""),1.0)</f>
        <v>1</v>
      </c>
      <c r="Q26" s="697">
        <f>IFERROR(__xludf.DUMMYFUNCTION("""COMPUTED_VALUE"""),1984500.0)</f>
        <v>1984500</v>
      </c>
      <c r="R26" s="697">
        <f>IFERROR(__xludf.DUMMYFUNCTION("""COMPUTED_VALUE"""),949.0)</f>
        <v>949</v>
      </c>
      <c r="S26" s="702"/>
      <c r="T26" s="698" t="str">
        <f t="shared" si="1"/>
        <v>✅ Đã nhận hàng</v>
      </c>
      <c r="U26" s="698" t="str">
        <f t="shared" si="2"/>
        <v>✅ Đã xong</v>
      </c>
      <c r="V26" s="699" t="str">
        <f t="shared" si="3"/>
        <v>✅ Hoàn thành</v>
      </c>
    </row>
    <row r="27" ht="28.5" customHeight="1">
      <c r="A27" s="612" t="str">
        <f>IFERROR(__xludf.DUMMYFUNCTION("""COMPUTED_VALUE"""),"04/2026")</f>
        <v>04/2026</v>
      </c>
      <c r="B27" s="612" t="str">
        <f>IFERROR(__xludf.DUMMYFUNCTION("""COMPUTED_VALUE"""),"Mr Tiên")</f>
        <v>Mr Tiên</v>
      </c>
      <c r="C27" s="612" t="str">
        <f>IFERROR(__xludf.DUMMYFUNCTION("""COMPUTED_VALUE"""),"ĐMH01450")</f>
        <v>ĐMH01450</v>
      </c>
      <c r="D27" s="612" t="str">
        <f>IFERROR(__xludf.DUMMYFUNCTION("""COMPUTED_VALUE"""),"Hoàn thành")</f>
        <v>Hoàn thành</v>
      </c>
      <c r="E27" s="612" t="str">
        <f>IFERROR(__xludf.DUMMYFUNCTION("""COMPUTED_VALUE"""),"SX - Ms Ly")</f>
        <v>SX - Ms Ly</v>
      </c>
      <c r="F27" s="692" t="str">
        <f>IFERROR(__xludf.DUMMYFUNCTION("""COMPUTED_VALUE"""),"THC0270")</f>
        <v>THC0270</v>
      </c>
      <c r="G27" s="612" t="str">
        <f>IFERROR(__xludf.DUMMYFUNCTION("""COMPUTED_VALUE"""),"Đông Tây")</f>
        <v>Đông Tây</v>
      </c>
      <c r="H27" s="693">
        <f>IFERROR(__xludf.DUMMYFUNCTION("""COMPUTED_VALUE"""),46113.0)</f>
        <v>46113</v>
      </c>
      <c r="I27" s="693">
        <f>IFERROR(__xludf.DUMMYFUNCTION("""COMPUTED_VALUE"""),46133.0)</f>
        <v>46133</v>
      </c>
      <c r="J27" s="701">
        <f>IFERROR(__xludf.DUMMYFUNCTION("""COMPUTED_VALUE"""),46113.0)</f>
        <v>46113</v>
      </c>
      <c r="K27" s="694">
        <f>IFERROR(__xludf.DUMMYFUNCTION("""COMPUTED_VALUE"""),46138.0)</f>
        <v>46138</v>
      </c>
      <c r="L27" s="695">
        <f>IFERROR(__xludf.DUMMYFUNCTION("""COMPUTED_VALUE"""),46130.0)</f>
        <v>46130</v>
      </c>
      <c r="M27" s="696">
        <f>IFERROR(__xludf.DUMMYFUNCTION("""COMPUTED_VALUE"""),8.0)</f>
        <v>8</v>
      </c>
      <c r="N27" s="697">
        <f>IFERROR(__xludf.DUMMYFUNCTION("""COMPUTED_VALUE"""),300.0)</f>
        <v>300</v>
      </c>
      <c r="O27" s="697">
        <f>IFERROR(__xludf.DUMMYFUNCTION("""COMPUTED_VALUE"""),276.0)</f>
        <v>276</v>
      </c>
      <c r="P27" s="612">
        <f>IFERROR(__xludf.DUMMYFUNCTION("""COMPUTED_VALUE"""),1.0)</f>
        <v>1</v>
      </c>
      <c r="Q27" s="697">
        <f>IFERROR(__xludf.DUMMYFUNCTION("""COMPUTED_VALUE"""),7302960.0)</f>
        <v>7302960</v>
      </c>
      <c r="R27" s="697">
        <f>IFERROR(__xludf.DUMMYFUNCTION("""COMPUTED_VALUE"""),886.0)</f>
        <v>886</v>
      </c>
      <c r="S27" s="702"/>
      <c r="T27" s="698" t="str">
        <f t="shared" si="1"/>
        <v>✅ Đã nhận hàng</v>
      </c>
      <c r="U27" s="698" t="str">
        <f t="shared" si="2"/>
        <v>✅ Đã xong</v>
      </c>
      <c r="V27" s="699" t="str">
        <f t="shared" si="3"/>
        <v>✅ Hoàn thành</v>
      </c>
    </row>
    <row r="28" ht="28.5" customHeight="1">
      <c r="A28" s="612" t="str">
        <f>IFERROR(__xludf.DUMMYFUNCTION("""COMPUTED_VALUE"""),"04/2026")</f>
        <v>04/2026</v>
      </c>
      <c r="B28" s="612" t="str">
        <f>IFERROR(__xludf.DUMMYFUNCTION("""COMPUTED_VALUE"""),"Mr Tiên")</f>
        <v>Mr Tiên</v>
      </c>
      <c r="C28" s="612" t="str">
        <f>IFERROR(__xludf.DUMMYFUNCTION("""COMPUTED_VALUE"""),"ĐMH01450")</f>
        <v>ĐMH01450</v>
      </c>
      <c r="D28" s="612" t="str">
        <f>IFERROR(__xludf.DUMMYFUNCTION("""COMPUTED_VALUE"""),"Hoàn thành")</f>
        <v>Hoàn thành</v>
      </c>
      <c r="E28" s="612" t="str">
        <f>IFERROR(__xludf.DUMMYFUNCTION("""COMPUTED_VALUE"""),"SX - Ms Ly")</f>
        <v>SX - Ms Ly</v>
      </c>
      <c r="F28" s="692" t="str">
        <f>IFERROR(__xludf.DUMMYFUNCTION("""COMPUTED_VALUE"""),"THC0238")</f>
        <v>THC0238</v>
      </c>
      <c r="G28" s="612" t="str">
        <f>IFERROR(__xludf.DUMMYFUNCTION("""COMPUTED_VALUE"""),"Đông Tây")</f>
        <v>Đông Tây</v>
      </c>
      <c r="H28" s="693">
        <f>IFERROR(__xludf.DUMMYFUNCTION("""COMPUTED_VALUE"""),46113.0)</f>
        <v>46113</v>
      </c>
      <c r="I28" s="693">
        <f>IFERROR(__xludf.DUMMYFUNCTION("""COMPUTED_VALUE"""),46133.0)</f>
        <v>46133</v>
      </c>
      <c r="J28" s="701">
        <f>IFERROR(__xludf.DUMMYFUNCTION("""COMPUTED_VALUE"""),46113.0)</f>
        <v>46113</v>
      </c>
      <c r="K28" s="694">
        <f>IFERROR(__xludf.DUMMYFUNCTION("""COMPUTED_VALUE"""),46138.0)</f>
        <v>46138</v>
      </c>
      <c r="L28" s="695">
        <f>IFERROR(__xludf.DUMMYFUNCTION("""COMPUTED_VALUE"""),46135.0)</f>
        <v>46135</v>
      </c>
      <c r="M28" s="696">
        <f>IFERROR(__xludf.DUMMYFUNCTION("""COMPUTED_VALUE"""),3.0)</f>
        <v>3</v>
      </c>
      <c r="N28" s="697">
        <f>IFERROR(__xludf.DUMMYFUNCTION("""COMPUTED_VALUE"""),300.0)</f>
        <v>300</v>
      </c>
      <c r="O28" s="697">
        <f>IFERROR(__xludf.DUMMYFUNCTION("""COMPUTED_VALUE"""),306.0)</f>
        <v>306</v>
      </c>
      <c r="P28" s="612">
        <f>IFERROR(__xludf.DUMMYFUNCTION("""COMPUTED_VALUE"""),1.0)</f>
        <v>1</v>
      </c>
      <c r="Q28" s="697">
        <f>IFERROR(__xludf.DUMMYFUNCTION("""COMPUTED_VALUE"""),6345216.0)</f>
        <v>6345216</v>
      </c>
      <c r="R28" s="697">
        <f>IFERROR(__xludf.DUMMYFUNCTION("""COMPUTED_VALUE"""),937.0)</f>
        <v>937</v>
      </c>
      <c r="S28" s="702"/>
      <c r="T28" s="698" t="str">
        <f t="shared" si="1"/>
        <v>✅ Đã nhận hàng</v>
      </c>
      <c r="U28" s="698" t="str">
        <f t="shared" si="2"/>
        <v>✅ Đã xong</v>
      </c>
      <c r="V28" s="699" t="str">
        <f t="shared" si="3"/>
        <v>✅ Hoàn thành</v>
      </c>
    </row>
    <row r="29" ht="28.5" customHeight="1">
      <c r="A29" s="612" t="str">
        <f>IFERROR(__xludf.DUMMYFUNCTION("""COMPUTED_VALUE"""),"04/2026")</f>
        <v>04/2026</v>
      </c>
      <c r="B29" s="612" t="str">
        <f>IFERROR(__xludf.DUMMYFUNCTION("""COMPUTED_VALUE"""),"Mr Tiên")</f>
        <v>Mr Tiên</v>
      </c>
      <c r="C29" s="612" t="str">
        <f>IFERROR(__xludf.DUMMYFUNCTION("""COMPUTED_VALUE"""),"ĐMH01452")</f>
        <v>ĐMH01452</v>
      </c>
      <c r="D29" s="612" t="str">
        <f>IFERROR(__xludf.DUMMYFUNCTION("""COMPUTED_VALUE"""),"Hoàn thành")</f>
        <v>Hoàn thành</v>
      </c>
      <c r="E29" s="612" t="str">
        <f>IFERROR(__xludf.DUMMYFUNCTION("""COMPUTED_VALUE"""),"SX - Ms Ly")</f>
        <v>SX - Ms Ly</v>
      </c>
      <c r="F29" s="692" t="str">
        <f>IFERROR(__xludf.DUMMYFUNCTION("""COMPUTED_VALUE"""),"THC0005")</f>
        <v>THC0005</v>
      </c>
      <c r="G29" s="612" t="str">
        <f>IFERROR(__xludf.DUMMYFUNCTION("""COMPUTED_VALUE"""),"Đông Tây")</f>
        <v>Đông Tây</v>
      </c>
      <c r="H29" s="693">
        <f>IFERROR(__xludf.DUMMYFUNCTION("""COMPUTED_VALUE"""),46114.0)</f>
        <v>46114</v>
      </c>
      <c r="I29" s="693">
        <f>IFERROR(__xludf.DUMMYFUNCTION("""COMPUTED_VALUE"""),46134.0)</f>
        <v>46134</v>
      </c>
      <c r="J29" s="701">
        <f>IFERROR(__xludf.DUMMYFUNCTION("""COMPUTED_VALUE"""),46114.0)</f>
        <v>46114</v>
      </c>
      <c r="K29" s="694">
        <f>IFERROR(__xludf.DUMMYFUNCTION("""COMPUTED_VALUE"""),46139.0)</f>
        <v>46139</v>
      </c>
      <c r="L29" s="695">
        <f>IFERROR(__xludf.DUMMYFUNCTION("""COMPUTED_VALUE"""),46132.0)</f>
        <v>46132</v>
      </c>
      <c r="M29" s="696">
        <f>IFERROR(__xludf.DUMMYFUNCTION("""COMPUTED_VALUE"""),7.0)</f>
        <v>7</v>
      </c>
      <c r="N29" s="697">
        <f>IFERROR(__xludf.DUMMYFUNCTION("""COMPUTED_VALUE"""),300.0)</f>
        <v>300</v>
      </c>
      <c r="O29" s="697">
        <f>IFERROR(__xludf.DUMMYFUNCTION("""COMPUTED_VALUE"""),277.0)</f>
        <v>277</v>
      </c>
      <c r="P29" s="612">
        <f>IFERROR(__xludf.DUMMYFUNCTION("""COMPUTED_VALUE"""),1.0)</f>
        <v>1</v>
      </c>
      <c r="Q29" s="697">
        <f>IFERROR(__xludf.DUMMYFUNCTION("""COMPUTED_VALUE"""),6132780.0)</f>
        <v>6132780</v>
      </c>
      <c r="R29" s="697">
        <f>IFERROR(__xludf.DUMMYFUNCTION("""COMPUTED_VALUE"""),894.0)</f>
        <v>894</v>
      </c>
      <c r="S29" s="702"/>
      <c r="T29" s="698" t="str">
        <f t="shared" si="1"/>
        <v>✅ Đã nhận hàng</v>
      </c>
      <c r="U29" s="698" t="str">
        <f t="shared" si="2"/>
        <v>✅ Đã xong</v>
      </c>
      <c r="V29" s="699" t="str">
        <f t="shared" si="3"/>
        <v>✅ Hoàn thành</v>
      </c>
    </row>
    <row r="30" ht="28.5" customHeight="1">
      <c r="A30" s="612" t="str">
        <f>IFERROR(__xludf.DUMMYFUNCTION("""COMPUTED_VALUE"""),"04/2026")</f>
        <v>04/2026</v>
      </c>
      <c r="B30" s="612" t="str">
        <f>IFERROR(__xludf.DUMMYFUNCTION("""COMPUTED_VALUE"""),"Mr Tiên")</f>
        <v>Mr Tiên</v>
      </c>
      <c r="C30" s="612" t="str">
        <f>IFERROR(__xludf.DUMMYFUNCTION("""COMPUTED_VALUE"""),"ĐMH01458")</f>
        <v>ĐMH01458</v>
      </c>
      <c r="D30" s="612" t="str">
        <f>IFERROR(__xludf.DUMMYFUNCTION("""COMPUTED_VALUE"""),"Hoàn thành")</f>
        <v>Hoàn thành</v>
      </c>
      <c r="E30" s="612" t="str">
        <f>IFERROR(__xludf.DUMMYFUNCTION("""COMPUTED_VALUE"""),"SX - Ms Ly")</f>
        <v>SX - Ms Ly</v>
      </c>
      <c r="F30" s="692" t="str">
        <f>IFERROR(__xludf.DUMMYFUNCTION("""COMPUTED_VALUE"""),"THC0112")</f>
        <v>THC0112</v>
      </c>
      <c r="G30" s="612" t="str">
        <f>IFERROR(__xludf.DUMMYFUNCTION("""COMPUTED_VALUE"""),"Đông Tây")</f>
        <v>Đông Tây</v>
      </c>
      <c r="H30" s="693">
        <f>IFERROR(__xludf.DUMMYFUNCTION("""COMPUTED_VALUE"""),46114.0)</f>
        <v>46114</v>
      </c>
      <c r="I30" s="693">
        <f>IFERROR(__xludf.DUMMYFUNCTION("""COMPUTED_VALUE"""),46134.0)</f>
        <v>46134</v>
      </c>
      <c r="J30" s="701">
        <f>IFERROR(__xludf.DUMMYFUNCTION("""COMPUTED_VALUE"""),46114.0)</f>
        <v>46114</v>
      </c>
      <c r="K30" s="694">
        <f>IFERROR(__xludf.DUMMYFUNCTION("""COMPUTED_VALUE"""),46139.0)</f>
        <v>46139</v>
      </c>
      <c r="L30" s="695">
        <f>IFERROR(__xludf.DUMMYFUNCTION("""COMPUTED_VALUE"""),46136.0)</f>
        <v>46136</v>
      </c>
      <c r="M30" s="696">
        <f>IFERROR(__xludf.DUMMYFUNCTION("""COMPUTED_VALUE"""),3.0)</f>
        <v>3</v>
      </c>
      <c r="N30" s="697">
        <f>IFERROR(__xludf.DUMMYFUNCTION("""COMPUTED_VALUE"""),200.0)</f>
        <v>200</v>
      </c>
      <c r="O30" s="697">
        <f>IFERROR(__xludf.DUMMYFUNCTION("""COMPUTED_VALUE"""),200.0)</f>
        <v>200</v>
      </c>
      <c r="P30" s="612">
        <f>IFERROR(__xludf.DUMMYFUNCTION("""COMPUTED_VALUE"""),1.0)</f>
        <v>1</v>
      </c>
      <c r="Q30" s="697">
        <f>IFERROR(__xludf.DUMMYFUNCTION("""COMPUTED_VALUE"""),4384800.0)</f>
        <v>4384800</v>
      </c>
      <c r="R30" s="697">
        <f>IFERROR(__xludf.DUMMYFUNCTION("""COMPUTED_VALUE"""),948.0)</f>
        <v>948</v>
      </c>
      <c r="S30" s="702"/>
      <c r="T30" s="698" t="str">
        <f t="shared" si="1"/>
        <v>✅ Đã nhận hàng</v>
      </c>
      <c r="U30" s="698" t="str">
        <f t="shared" si="2"/>
        <v>✅ Đã xong</v>
      </c>
      <c r="V30" s="699" t="str">
        <f t="shared" si="3"/>
        <v>✅ Hoàn thành</v>
      </c>
    </row>
    <row r="31" ht="28.5" customHeight="1">
      <c r="A31" s="612" t="str">
        <f>IFERROR(__xludf.DUMMYFUNCTION("""COMPUTED_VALUE"""),"04/2026")</f>
        <v>04/2026</v>
      </c>
      <c r="B31" s="612" t="str">
        <f>IFERROR(__xludf.DUMMYFUNCTION("""COMPUTED_VALUE"""),"Mr Tiên")</f>
        <v>Mr Tiên</v>
      </c>
      <c r="C31" s="612" t="str">
        <f>IFERROR(__xludf.DUMMYFUNCTION("""COMPUTED_VALUE"""),"ĐMH01459")</f>
        <v>ĐMH01459</v>
      </c>
      <c r="D31" s="612" t="str">
        <f>IFERROR(__xludf.DUMMYFUNCTION("""COMPUTED_VALUE"""),"Hoàn thành")</f>
        <v>Hoàn thành</v>
      </c>
      <c r="E31" s="612" t="str">
        <f>IFERROR(__xludf.DUMMYFUNCTION("""COMPUTED_VALUE"""),"SX - Ms Ly")</f>
        <v>SX - Ms Ly</v>
      </c>
      <c r="F31" s="692" t="str">
        <f>IFERROR(__xludf.DUMMYFUNCTION("""COMPUTED_VALUE"""),"THC0112")</f>
        <v>THC0112</v>
      </c>
      <c r="G31" s="612" t="str">
        <f>IFERROR(__xludf.DUMMYFUNCTION("""COMPUTED_VALUE"""),"Đông Tây")</f>
        <v>Đông Tây</v>
      </c>
      <c r="H31" s="693">
        <f>IFERROR(__xludf.DUMMYFUNCTION("""COMPUTED_VALUE"""),46114.0)</f>
        <v>46114</v>
      </c>
      <c r="I31" s="693">
        <f>IFERROR(__xludf.DUMMYFUNCTION("""COMPUTED_VALUE"""),46134.0)</f>
        <v>46134</v>
      </c>
      <c r="J31" s="701">
        <f>IFERROR(__xludf.DUMMYFUNCTION("""COMPUTED_VALUE"""),46114.0)</f>
        <v>46114</v>
      </c>
      <c r="K31" s="694">
        <f>IFERROR(__xludf.DUMMYFUNCTION("""COMPUTED_VALUE"""),46139.0)</f>
        <v>46139</v>
      </c>
      <c r="L31" s="695">
        <f>IFERROR(__xludf.DUMMYFUNCTION("""COMPUTED_VALUE"""),46137.0)</f>
        <v>46137</v>
      </c>
      <c r="M31" s="696">
        <f>IFERROR(__xludf.DUMMYFUNCTION("""COMPUTED_VALUE"""),2.0)</f>
        <v>2</v>
      </c>
      <c r="N31" s="697">
        <f>IFERROR(__xludf.DUMMYFUNCTION("""COMPUTED_VALUE"""),200.0)</f>
        <v>200</v>
      </c>
      <c r="O31" s="697">
        <f>IFERROR(__xludf.DUMMYFUNCTION("""COMPUTED_VALUE"""),200.0)</f>
        <v>200</v>
      </c>
      <c r="P31" s="612">
        <f>IFERROR(__xludf.DUMMYFUNCTION("""COMPUTED_VALUE"""),1.0)</f>
        <v>1</v>
      </c>
      <c r="Q31" s="697">
        <f>IFERROR(__xludf.DUMMYFUNCTION("""COMPUTED_VALUE"""),4384800.0)</f>
        <v>4384800</v>
      </c>
      <c r="R31" s="697">
        <f>IFERROR(__xludf.DUMMYFUNCTION("""COMPUTED_VALUE"""),959.0)</f>
        <v>959</v>
      </c>
      <c r="S31" s="702"/>
      <c r="T31" s="698" t="str">
        <f t="shared" si="1"/>
        <v>✅ Đã nhận hàng</v>
      </c>
      <c r="U31" s="698" t="str">
        <f t="shared" si="2"/>
        <v>✅ Đã xong</v>
      </c>
      <c r="V31" s="699" t="str">
        <f t="shared" si="3"/>
        <v>✅ Hoàn thành</v>
      </c>
    </row>
    <row r="32" ht="28.5" customHeight="1">
      <c r="A32" s="612" t="str">
        <f>IFERROR(__xludf.DUMMYFUNCTION("""COMPUTED_VALUE"""),"04/2026")</f>
        <v>04/2026</v>
      </c>
      <c r="B32" s="612" t="str">
        <f>IFERROR(__xludf.DUMMYFUNCTION("""COMPUTED_VALUE"""),"Mr Tiên")</f>
        <v>Mr Tiên</v>
      </c>
      <c r="C32" s="612" t="str">
        <f>IFERROR(__xludf.DUMMYFUNCTION("""COMPUTED_VALUE"""),"ĐMH01465")</f>
        <v>ĐMH01465</v>
      </c>
      <c r="D32" s="612" t="str">
        <f>IFERROR(__xludf.DUMMYFUNCTION("""COMPUTED_VALUE"""),"Hoàn thành")</f>
        <v>Hoàn thành</v>
      </c>
      <c r="E32" s="612" t="str">
        <f>IFERROR(__xludf.DUMMYFUNCTION("""COMPUTED_VALUE"""),"SX - Ms Ly")</f>
        <v>SX - Ms Ly</v>
      </c>
      <c r="F32" s="692" t="str">
        <f>IFERROR(__xludf.DUMMYFUNCTION("""COMPUTED_VALUE"""),"THC0146")</f>
        <v>THC0146</v>
      </c>
      <c r="G32" s="612" t="str">
        <f>IFERROR(__xludf.DUMMYFUNCTION("""COMPUTED_VALUE"""),"Đông Tây")</f>
        <v>Đông Tây</v>
      </c>
      <c r="H32" s="693">
        <f>IFERROR(__xludf.DUMMYFUNCTION("""COMPUTED_VALUE"""),46116.0)</f>
        <v>46116</v>
      </c>
      <c r="I32" s="693">
        <f>IFERROR(__xludf.DUMMYFUNCTION("""COMPUTED_VALUE"""),46134.0)</f>
        <v>46134</v>
      </c>
      <c r="J32" s="701">
        <f>IFERROR(__xludf.DUMMYFUNCTION("""COMPUTED_VALUE"""),46116.0)</f>
        <v>46116</v>
      </c>
      <c r="K32" s="694">
        <f>IFERROR(__xludf.DUMMYFUNCTION("""COMPUTED_VALUE"""),46141.0)</f>
        <v>46141</v>
      </c>
      <c r="L32" s="695">
        <f>IFERROR(__xludf.DUMMYFUNCTION("""COMPUTED_VALUE"""),46130.0)</f>
        <v>46130</v>
      </c>
      <c r="M32" s="696">
        <f>IFERROR(__xludf.DUMMYFUNCTION("""COMPUTED_VALUE"""),11.0)</f>
        <v>11</v>
      </c>
      <c r="N32" s="697">
        <f>IFERROR(__xludf.DUMMYFUNCTION("""COMPUTED_VALUE"""),300.0)</f>
        <v>300</v>
      </c>
      <c r="O32" s="697">
        <f>IFERROR(__xludf.DUMMYFUNCTION("""COMPUTED_VALUE"""),310.0)</f>
        <v>310</v>
      </c>
      <c r="P32" s="612">
        <f>IFERROR(__xludf.DUMMYFUNCTION("""COMPUTED_VALUE"""),1.0)</f>
        <v>1</v>
      </c>
      <c r="Q32" s="697">
        <f>IFERROR(__xludf.DUMMYFUNCTION("""COMPUTED_VALUE"""),7198200.0)</f>
        <v>7198200</v>
      </c>
      <c r="R32" s="697">
        <f>IFERROR(__xludf.DUMMYFUNCTION("""COMPUTED_VALUE"""),887.0)</f>
        <v>887</v>
      </c>
      <c r="S32" s="702"/>
      <c r="T32" s="698" t="str">
        <f t="shared" si="1"/>
        <v>✅ Đã nhận hàng</v>
      </c>
      <c r="U32" s="698" t="str">
        <f t="shared" si="2"/>
        <v>✅ Đã xong</v>
      </c>
      <c r="V32" s="699" t="str">
        <f t="shared" si="3"/>
        <v>✅ Hoàn thành</v>
      </c>
    </row>
    <row r="33" ht="28.5" customHeight="1">
      <c r="A33" s="612" t="str">
        <f>IFERROR(__xludf.DUMMYFUNCTION("""COMPUTED_VALUE"""),"04/2026")</f>
        <v>04/2026</v>
      </c>
      <c r="B33" s="612" t="str">
        <f>IFERROR(__xludf.DUMMYFUNCTION("""COMPUTED_VALUE"""),"Mr Tiên")</f>
        <v>Mr Tiên</v>
      </c>
      <c r="C33" s="612" t="str">
        <f>IFERROR(__xludf.DUMMYFUNCTION("""COMPUTED_VALUE"""),"ĐMH01466")</f>
        <v>ĐMH01466</v>
      </c>
      <c r="D33" s="612" t="str">
        <f>IFERROR(__xludf.DUMMYFUNCTION("""COMPUTED_VALUE"""),"Hoàn thành")</f>
        <v>Hoàn thành</v>
      </c>
      <c r="E33" s="612" t="str">
        <f>IFERROR(__xludf.DUMMYFUNCTION("""COMPUTED_VALUE"""),"SX - Ms Ly")</f>
        <v>SX - Ms Ly</v>
      </c>
      <c r="F33" s="692" t="str">
        <f>IFERROR(__xludf.DUMMYFUNCTION("""COMPUTED_VALUE"""),"THI0263")</f>
        <v>THI0263</v>
      </c>
      <c r="G33" s="612" t="str">
        <f>IFERROR(__xludf.DUMMYFUNCTION("""COMPUTED_VALUE"""),"Đông Tây")</f>
        <v>Đông Tây</v>
      </c>
      <c r="H33" s="693">
        <f>IFERROR(__xludf.DUMMYFUNCTION("""COMPUTED_VALUE"""),46116.0)</f>
        <v>46116</v>
      </c>
      <c r="I33" s="693">
        <f>IFERROR(__xludf.DUMMYFUNCTION("""COMPUTED_VALUE"""),46134.0)</f>
        <v>46134</v>
      </c>
      <c r="J33" s="701">
        <f>IFERROR(__xludf.DUMMYFUNCTION("""COMPUTED_VALUE"""),46116.0)</f>
        <v>46116</v>
      </c>
      <c r="K33" s="694">
        <f>IFERROR(__xludf.DUMMYFUNCTION("""COMPUTED_VALUE"""),46141.0)</f>
        <v>46141</v>
      </c>
      <c r="L33" s="695">
        <f>IFERROR(__xludf.DUMMYFUNCTION("""COMPUTED_VALUE"""),46130.0)</f>
        <v>46130</v>
      </c>
      <c r="M33" s="696">
        <f>IFERROR(__xludf.DUMMYFUNCTION("""COMPUTED_VALUE"""),11.0)</f>
        <v>11</v>
      </c>
      <c r="N33" s="697">
        <f>IFERROR(__xludf.DUMMYFUNCTION("""COMPUTED_VALUE"""),300.0)</f>
        <v>300</v>
      </c>
      <c r="O33" s="697">
        <f>IFERROR(__xludf.DUMMYFUNCTION("""COMPUTED_VALUE"""),311.0)</f>
        <v>311</v>
      </c>
      <c r="P33" s="612">
        <f>IFERROR(__xludf.DUMMYFUNCTION("""COMPUTED_VALUE"""),1.0)</f>
        <v>1</v>
      </c>
      <c r="Q33" s="697">
        <f>IFERROR(__xludf.DUMMYFUNCTION("""COMPUTED_VALUE"""),7389360.0)</f>
        <v>7389360</v>
      </c>
      <c r="R33" s="697">
        <f>IFERROR(__xludf.DUMMYFUNCTION("""COMPUTED_VALUE"""),881.0)</f>
        <v>881</v>
      </c>
      <c r="S33" s="702"/>
      <c r="T33" s="698" t="str">
        <f t="shared" si="1"/>
        <v>✅ Đã nhận hàng</v>
      </c>
      <c r="U33" s="698" t="str">
        <f t="shared" si="2"/>
        <v>✅ Đã xong</v>
      </c>
      <c r="V33" s="699" t="str">
        <f t="shared" si="3"/>
        <v>✅ Hoàn thành</v>
      </c>
    </row>
    <row r="34" ht="28.5" customHeight="1">
      <c r="A34" s="612" t="str">
        <f>IFERROR(__xludf.DUMMYFUNCTION("""COMPUTED_VALUE"""),"04/2026")</f>
        <v>04/2026</v>
      </c>
      <c r="B34" s="612" t="str">
        <f>IFERROR(__xludf.DUMMYFUNCTION("""COMPUTED_VALUE"""),"Mr Tiên")</f>
        <v>Mr Tiên</v>
      </c>
      <c r="C34" s="612" t="str">
        <f>IFERROR(__xludf.DUMMYFUNCTION("""COMPUTED_VALUE"""),"ĐMH01466")</f>
        <v>ĐMH01466</v>
      </c>
      <c r="D34" s="612" t="str">
        <f>IFERROR(__xludf.DUMMYFUNCTION("""COMPUTED_VALUE"""),"Hoàn thành")</f>
        <v>Hoàn thành</v>
      </c>
      <c r="E34" s="612" t="str">
        <f>IFERROR(__xludf.DUMMYFUNCTION("""COMPUTED_VALUE"""),"SX - Ms Ly")</f>
        <v>SX - Ms Ly</v>
      </c>
      <c r="F34" s="692" t="str">
        <f>IFERROR(__xludf.DUMMYFUNCTION("""COMPUTED_VALUE"""),"THI0280")</f>
        <v>THI0280</v>
      </c>
      <c r="G34" s="612" t="str">
        <f>IFERROR(__xludf.DUMMYFUNCTION("""COMPUTED_VALUE"""),"Đông Tây")</f>
        <v>Đông Tây</v>
      </c>
      <c r="H34" s="693">
        <f>IFERROR(__xludf.DUMMYFUNCTION("""COMPUTED_VALUE"""),46116.0)</f>
        <v>46116</v>
      </c>
      <c r="I34" s="693">
        <f>IFERROR(__xludf.DUMMYFUNCTION("""COMPUTED_VALUE"""),46134.0)</f>
        <v>46134</v>
      </c>
      <c r="J34" s="701">
        <f>IFERROR(__xludf.DUMMYFUNCTION("""COMPUTED_VALUE"""),46116.0)</f>
        <v>46116</v>
      </c>
      <c r="K34" s="694">
        <f>IFERROR(__xludf.DUMMYFUNCTION("""COMPUTED_VALUE"""),46141.0)</f>
        <v>46141</v>
      </c>
      <c r="L34" s="695">
        <f>IFERROR(__xludf.DUMMYFUNCTION("""COMPUTED_VALUE"""),46140.0)</f>
        <v>46140</v>
      </c>
      <c r="M34" s="696">
        <f>IFERROR(__xludf.DUMMYFUNCTION("""COMPUTED_VALUE"""),1.0)</f>
        <v>1</v>
      </c>
      <c r="N34" s="697">
        <f>IFERROR(__xludf.DUMMYFUNCTION("""COMPUTED_VALUE"""),300.0)</f>
        <v>300</v>
      </c>
      <c r="O34" s="697">
        <f>IFERROR(__xludf.DUMMYFUNCTION("""COMPUTED_VALUE"""),310.0)</f>
        <v>310</v>
      </c>
      <c r="P34" s="612">
        <f>IFERROR(__xludf.DUMMYFUNCTION("""COMPUTED_VALUE"""),1.0)</f>
        <v>1</v>
      </c>
      <c r="Q34" s="697">
        <f>IFERROR(__xludf.DUMMYFUNCTION("""COMPUTED_VALUE"""),5022000.0)</f>
        <v>5022000</v>
      </c>
      <c r="R34" s="697">
        <f>IFERROR(__xludf.DUMMYFUNCTION("""COMPUTED_VALUE"""),995.0)</f>
        <v>995</v>
      </c>
      <c r="S34" s="702"/>
      <c r="T34" s="698" t="str">
        <f t="shared" si="1"/>
        <v>✅ Đã nhận hàng</v>
      </c>
      <c r="U34" s="698" t="str">
        <f t="shared" si="2"/>
        <v>✅ Đã xong</v>
      </c>
      <c r="V34" s="699" t="str">
        <f t="shared" si="3"/>
        <v>✅ Hoàn thành</v>
      </c>
    </row>
    <row r="35" ht="28.5" customHeight="1">
      <c r="A35" s="612" t="str">
        <f>IFERROR(__xludf.DUMMYFUNCTION("""COMPUTED_VALUE"""),"04/2026")</f>
        <v>04/2026</v>
      </c>
      <c r="B35" s="612" t="str">
        <f>IFERROR(__xludf.DUMMYFUNCTION("""COMPUTED_VALUE"""),"Mr Tiên")</f>
        <v>Mr Tiên</v>
      </c>
      <c r="C35" s="612" t="str">
        <f>IFERROR(__xludf.DUMMYFUNCTION("""COMPUTED_VALUE"""),"ĐMH02669")</f>
        <v>ĐMH02669</v>
      </c>
      <c r="D35" s="612" t="str">
        <f>IFERROR(__xludf.DUMMYFUNCTION("""COMPUTED_VALUE"""),"Hoàn thành")</f>
        <v>Hoàn thành</v>
      </c>
      <c r="E35" s="612" t="str">
        <f>IFERROR(__xludf.DUMMYFUNCTION("""COMPUTED_VALUE"""),"SX - Ms Ly")</f>
        <v>SX - Ms Ly</v>
      </c>
      <c r="F35" s="692" t="str">
        <f>IFERROR(__xludf.DUMMYFUNCTION("""COMPUTED_VALUE"""),"THI0190")</f>
        <v>THI0190</v>
      </c>
      <c r="G35" s="612" t="str">
        <f>IFERROR(__xludf.DUMMYFUNCTION("""COMPUTED_VALUE"""),"Đông Tây")</f>
        <v>Đông Tây</v>
      </c>
      <c r="H35" s="693">
        <f>IFERROR(__xludf.DUMMYFUNCTION("""COMPUTED_VALUE"""),46122.0)</f>
        <v>46122</v>
      </c>
      <c r="I35" s="693">
        <f>IFERROR(__xludf.DUMMYFUNCTION("""COMPUTED_VALUE"""),46140.0)</f>
        <v>46140</v>
      </c>
      <c r="J35" s="701">
        <f>IFERROR(__xludf.DUMMYFUNCTION("""COMPUTED_VALUE"""),46122.0)</f>
        <v>46122</v>
      </c>
      <c r="K35" s="694">
        <f>IFERROR(__xludf.DUMMYFUNCTION("""COMPUTED_VALUE"""),46147.0)</f>
        <v>46147</v>
      </c>
      <c r="L35" s="695">
        <f>IFERROR(__xludf.DUMMYFUNCTION("""COMPUTED_VALUE"""),46147.0)</f>
        <v>46147</v>
      </c>
      <c r="M35" s="696">
        <f>IFERROR(__xludf.DUMMYFUNCTION("""COMPUTED_VALUE"""),0.0)</f>
        <v>0</v>
      </c>
      <c r="N35" s="697">
        <f>IFERROR(__xludf.DUMMYFUNCTION("""COMPUTED_VALUE"""),300.0)</f>
        <v>300</v>
      </c>
      <c r="O35" s="697">
        <f>IFERROR(__xludf.DUMMYFUNCTION("""COMPUTED_VALUE"""),319.0)</f>
        <v>319</v>
      </c>
      <c r="P35" s="612">
        <f>IFERROR(__xludf.DUMMYFUNCTION("""COMPUTED_VALUE"""),1.0)</f>
        <v>1</v>
      </c>
      <c r="Q35" s="697">
        <f>IFERROR(__xludf.DUMMYFUNCTION("""COMPUTED_VALUE"""),6408072.0)</f>
        <v>6408072</v>
      </c>
      <c r="R35" s="697">
        <f>IFERROR(__xludf.DUMMYFUNCTION("""COMPUTED_VALUE"""),1020.0)</f>
        <v>1020</v>
      </c>
      <c r="S35" s="702" t="str">
        <f>IFERROR(__xludf.DUMMYFUNCTION("""COMPUTED_VALUE"""),"Giấy về chậm")</f>
        <v>Giấy về chậm</v>
      </c>
      <c r="T35" s="698" t="str">
        <f t="shared" si="1"/>
        <v>✅ Đã nhận hàng</v>
      </c>
      <c r="U35" s="698" t="str">
        <f t="shared" si="2"/>
        <v>✅ Đã xong</v>
      </c>
      <c r="V35" s="699" t="str">
        <f t="shared" si="3"/>
        <v>✅ Hoàn thành</v>
      </c>
    </row>
    <row r="36" ht="28.5" customHeight="1">
      <c r="A36" s="612" t="str">
        <f>IFERROR(__xludf.DUMMYFUNCTION("""COMPUTED_VALUE"""),"04/2026")</f>
        <v>04/2026</v>
      </c>
      <c r="B36" s="612" t="str">
        <f>IFERROR(__xludf.DUMMYFUNCTION("""COMPUTED_VALUE"""),"Mr Tiên")</f>
        <v>Mr Tiên</v>
      </c>
      <c r="C36" s="612" t="str">
        <f>IFERROR(__xludf.DUMMYFUNCTION("""COMPUTED_VALUE"""),"ĐMH02670")</f>
        <v>ĐMH02670</v>
      </c>
      <c r="D36" s="612" t="str">
        <f>IFERROR(__xludf.DUMMYFUNCTION("""COMPUTED_VALUE"""),"Hoàn thành")</f>
        <v>Hoàn thành</v>
      </c>
      <c r="E36" s="612" t="str">
        <f>IFERROR(__xludf.DUMMYFUNCTION("""COMPUTED_VALUE"""),"SX - Ms Ly")</f>
        <v>SX - Ms Ly</v>
      </c>
      <c r="F36" s="692" t="str">
        <f>IFERROR(__xludf.DUMMYFUNCTION("""COMPUTED_VALUE"""),"THI0173")</f>
        <v>THI0173</v>
      </c>
      <c r="G36" s="612" t="str">
        <f>IFERROR(__xludf.DUMMYFUNCTION("""COMPUTED_VALUE"""),"Đông Tây")</f>
        <v>Đông Tây</v>
      </c>
      <c r="H36" s="693">
        <f>IFERROR(__xludf.DUMMYFUNCTION("""COMPUTED_VALUE"""),46122.0)</f>
        <v>46122</v>
      </c>
      <c r="I36" s="693">
        <f>IFERROR(__xludf.DUMMYFUNCTION("""COMPUTED_VALUE"""),46140.0)</f>
        <v>46140</v>
      </c>
      <c r="J36" s="701">
        <f>IFERROR(__xludf.DUMMYFUNCTION("""COMPUTED_VALUE"""),46122.0)</f>
        <v>46122</v>
      </c>
      <c r="K36" s="694">
        <f>IFERROR(__xludf.DUMMYFUNCTION("""COMPUTED_VALUE"""),46147.0)</f>
        <v>46147</v>
      </c>
      <c r="L36" s="695">
        <f>IFERROR(__xludf.DUMMYFUNCTION("""COMPUTED_VALUE"""),46137.0)</f>
        <v>46137</v>
      </c>
      <c r="M36" s="696">
        <f>IFERROR(__xludf.DUMMYFUNCTION("""COMPUTED_VALUE"""),10.0)</f>
        <v>10</v>
      </c>
      <c r="N36" s="697">
        <f>IFERROR(__xludf.DUMMYFUNCTION("""COMPUTED_VALUE"""),300.0)</f>
        <v>300</v>
      </c>
      <c r="O36" s="697">
        <f>IFERROR(__xludf.DUMMYFUNCTION("""COMPUTED_VALUE"""),306.0)</f>
        <v>306</v>
      </c>
      <c r="P36" s="612">
        <f>IFERROR(__xludf.DUMMYFUNCTION("""COMPUTED_VALUE"""),1.0)</f>
        <v>1</v>
      </c>
      <c r="Q36" s="697">
        <f>IFERROR(__xludf.DUMMYFUNCTION("""COMPUTED_VALUE"""),6179976.0)</f>
        <v>6179976</v>
      </c>
      <c r="R36" s="697">
        <f>IFERROR(__xludf.DUMMYFUNCTION("""COMPUTED_VALUE"""),961.0)</f>
        <v>961</v>
      </c>
      <c r="S36" s="702"/>
      <c r="T36" s="698" t="str">
        <f t="shared" si="1"/>
        <v>✅ Đã nhận hàng</v>
      </c>
      <c r="U36" s="698" t="str">
        <f t="shared" si="2"/>
        <v>✅ Đã xong</v>
      </c>
      <c r="V36" s="699" t="str">
        <f t="shared" si="3"/>
        <v>✅ Hoàn thành</v>
      </c>
    </row>
    <row r="37" ht="28.5" customHeight="1">
      <c r="A37" s="612" t="str">
        <f>IFERROR(__xludf.DUMMYFUNCTION("""COMPUTED_VALUE"""),"04/2026")</f>
        <v>04/2026</v>
      </c>
      <c r="B37" s="612" t="str">
        <f>IFERROR(__xludf.DUMMYFUNCTION("""COMPUTED_VALUE"""),"Mr Tiên")</f>
        <v>Mr Tiên</v>
      </c>
      <c r="C37" s="612" t="str">
        <f>IFERROR(__xludf.DUMMYFUNCTION("""COMPUTED_VALUE"""),"ĐMH01497")</f>
        <v>ĐMH01497</v>
      </c>
      <c r="D37" s="612" t="str">
        <f>IFERROR(__xludf.DUMMYFUNCTION("""COMPUTED_VALUE"""),"Hoàn thành")</f>
        <v>Hoàn thành</v>
      </c>
      <c r="E37" s="612" t="str">
        <f>IFERROR(__xludf.DUMMYFUNCTION("""COMPUTED_VALUE"""),"SX - Ms Ly")</f>
        <v>SX - Ms Ly</v>
      </c>
      <c r="F37" s="692" t="str">
        <f>IFERROR(__xludf.DUMMYFUNCTION("""COMPUTED_VALUE"""),"THC0247")</f>
        <v>THC0247</v>
      </c>
      <c r="G37" s="612" t="str">
        <f>IFERROR(__xludf.DUMMYFUNCTION("""COMPUTED_VALUE"""),"Oanh Design")</f>
        <v>Oanh Design</v>
      </c>
      <c r="H37" s="693">
        <f>IFERROR(__xludf.DUMMYFUNCTION("""COMPUTED_VALUE"""),46122.0)</f>
        <v>46122</v>
      </c>
      <c r="I37" s="693">
        <f>IFERROR(__xludf.DUMMYFUNCTION("""COMPUTED_VALUE"""),46140.0)</f>
        <v>46140</v>
      </c>
      <c r="J37" s="701">
        <f>IFERROR(__xludf.DUMMYFUNCTION("""COMPUTED_VALUE"""),46122.0)</f>
        <v>46122</v>
      </c>
      <c r="K37" s="694">
        <f>IFERROR(__xludf.DUMMYFUNCTION("""COMPUTED_VALUE"""),46147.0)</f>
        <v>46147</v>
      </c>
      <c r="L37" s="695">
        <f>IFERROR(__xludf.DUMMYFUNCTION("""COMPUTED_VALUE"""),46139.0)</f>
        <v>46139</v>
      </c>
      <c r="M37" s="696">
        <f>IFERROR(__xludf.DUMMYFUNCTION("""COMPUTED_VALUE"""),8.0)</f>
        <v>8</v>
      </c>
      <c r="N37" s="697">
        <f>IFERROR(__xludf.DUMMYFUNCTION("""COMPUTED_VALUE"""),150.0)</f>
        <v>150</v>
      </c>
      <c r="O37" s="697">
        <f>IFERROR(__xludf.DUMMYFUNCTION("""COMPUTED_VALUE"""),147.0)</f>
        <v>147</v>
      </c>
      <c r="P37" s="612">
        <f>IFERROR(__xludf.DUMMYFUNCTION("""COMPUTED_VALUE"""),1.0)</f>
        <v>1</v>
      </c>
      <c r="Q37" s="697">
        <f>IFERROR(__xludf.DUMMYFUNCTION("""COMPUTED_VALUE"""),3016440.0)</f>
        <v>3016440</v>
      </c>
      <c r="R37" s="697">
        <f>IFERROR(__xludf.DUMMYFUNCTION("""COMPUTED_VALUE"""),158.0)</f>
        <v>158</v>
      </c>
      <c r="S37" s="702"/>
      <c r="T37" s="698" t="str">
        <f t="shared" si="1"/>
        <v>✅ Đã nhận hàng</v>
      </c>
      <c r="U37" s="698" t="str">
        <f t="shared" si="2"/>
        <v>✅ Đã xong</v>
      </c>
      <c r="V37" s="699" t="str">
        <f t="shared" si="3"/>
        <v>✅ Hoàn thành</v>
      </c>
    </row>
    <row r="38" ht="28.5" customHeight="1">
      <c r="A38" s="612" t="str">
        <f>IFERROR(__xludf.DUMMYFUNCTION("""COMPUTED_VALUE"""),"04/2026")</f>
        <v>04/2026</v>
      </c>
      <c r="B38" s="612" t="str">
        <f>IFERROR(__xludf.DUMMYFUNCTION("""COMPUTED_VALUE"""),"Mr Tiên")</f>
        <v>Mr Tiên</v>
      </c>
      <c r="C38" s="612" t="str">
        <f>IFERROR(__xludf.DUMMYFUNCTION("""COMPUTED_VALUE"""),"ĐMH01497")</f>
        <v>ĐMH01497</v>
      </c>
      <c r="D38" s="612" t="str">
        <f>IFERROR(__xludf.DUMMYFUNCTION("""COMPUTED_VALUE"""),"Hoàn thành")</f>
        <v>Hoàn thành</v>
      </c>
      <c r="E38" s="612" t="str">
        <f>IFERROR(__xludf.DUMMYFUNCTION("""COMPUTED_VALUE"""),"SX - Ms Ly")</f>
        <v>SX - Ms Ly</v>
      </c>
      <c r="F38" s="692" t="str">
        <f>IFERROR(__xludf.DUMMYFUNCTION("""COMPUTED_VALUE"""),"THC0247")</f>
        <v>THC0247</v>
      </c>
      <c r="G38" s="612" t="str">
        <f>IFERROR(__xludf.DUMMYFUNCTION("""COMPUTED_VALUE"""),"Oanh Design")</f>
        <v>Oanh Design</v>
      </c>
      <c r="H38" s="693">
        <f>IFERROR(__xludf.DUMMYFUNCTION("""COMPUTED_VALUE"""),46122.0)</f>
        <v>46122</v>
      </c>
      <c r="I38" s="693">
        <f>IFERROR(__xludf.DUMMYFUNCTION("""COMPUTED_VALUE"""),46140.0)</f>
        <v>46140</v>
      </c>
      <c r="J38" s="701">
        <f>IFERROR(__xludf.DUMMYFUNCTION("""COMPUTED_VALUE"""),46122.0)</f>
        <v>46122</v>
      </c>
      <c r="K38" s="694">
        <f>IFERROR(__xludf.DUMMYFUNCTION("""COMPUTED_VALUE"""),46147.0)</f>
        <v>46147</v>
      </c>
      <c r="L38" s="695">
        <f>IFERROR(__xludf.DUMMYFUNCTION("""COMPUTED_VALUE"""),46139.0)</f>
        <v>46139</v>
      </c>
      <c r="M38" s="696">
        <f>IFERROR(__xludf.DUMMYFUNCTION("""COMPUTED_VALUE"""),8.0)</f>
        <v>8</v>
      </c>
      <c r="N38" s="697">
        <f>IFERROR(__xludf.DUMMYFUNCTION("""COMPUTED_VALUE"""),150.0)</f>
        <v>150</v>
      </c>
      <c r="O38" s="697">
        <f>IFERROR(__xludf.DUMMYFUNCTION("""COMPUTED_VALUE"""),150.0)</f>
        <v>150</v>
      </c>
      <c r="P38" s="612">
        <f>IFERROR(__xludf.DUMMYFUNCTION("""COMPUTED_VALUE"""),1.0)</f>
        <v>1</v>
      </c>
      <c r="Q38" s="697">
        <f>IFERROR(__xludf.DUMMYFUNCTION("""COMPUTED_VALUE"""),3078000.0)</f>
        <v>3078000</v>
      </c>
      <c r="R38" s="697">
        <f>IFERROR(__xludf.DUMMYFUNCTION("""COMPUTED_VALUE"""),158.0)</f>
        <v>158</v>
      </c>
      <c r="S38" s="702"/>
      <c r="T38" s="698" t="str">
        <f t="shared" si="1"/>
        <v>✅ Đã nhận hàng</v>
      </c>
      <c r="U38" s="698" t="str">
        <f t="shared" si="2"/>
        <v>✅ Đã xong</v>
      </c>
      <c r="V38" s="699" t="str">
        <f t="shared" si="3"/>
        <v>✅ Hoàn thành</v>
      </c>
    </row>
    <row r="39" ht="28.5" customHeight="1">
      <c r="A39" s="612" t="str">
        <f>IFERROR(__xludf.DUMMYFUNCTION("""COMPUTED_VALUE"""),"04/2026")</f>
        <v>04/2026</v>
      </c>
      <c r="B39" s="612" t="str">
        <f>IFERROR(__xludf.DUMMYFUNCTION("""COMPUTED_VALUE"""),"Mr Tiên")</f>
        <v>Mr Tiên</v>
      </c>
      <c r="C39" s="612" t="str">
        <f>IFERROR(__xludf.DUMMYFUNCTION("""COMPUTED_VALUE"""),"ĐMH01497")</f>
        <v>ĐMH01497</v>
      </c>
      <c r="D39" s="612" t="str">
        <f>IFERROR(__xludf.DUMMYFUNCTION("""COMPUTED_VALUE"""),"Hoàn thành")</f>
        <v>Hoàn thành</v>
      </c>
      <c r="E39" s="612" t="str">
        <f>IFERROR(__xludf.DUMMYFUNCTION("""COMPUTED_VALUE"""),"SX - Ms Ly")</f>
        <v>SX - Ms Ly</v>
      </c>
      <c r="F39" s="692" t="str">
        <f>IFERROR(__xludf.DUMMYFUNCTION("""COMPUTED_VALUE"""),"THC0086")</f>
        <v>THC0086</v>
      </c>
      <c r="G39" s="612" t="str">
        <f>IFERROR(__xludf.DUMMYFUNCTION("""COMPUTED_VALUE"""),"Oanh Design")</f>
        <v>Oanh Design</v>
      </c>
      <c r="H39" s="693">
        <f>IFERROR(__xludf.DUMMYFUNCTION("""COMPUTED_VALUE"""),46122.0)</f>
        <v>46122</v>
      </c>
      <c r="I39" s="693">
        <f>IFERROR(__xludf.DUMMYFUNCTION("""COMPUTED_VALUE"""),46140.0)</f>
        <v>46140</v>
      </c>
      <c r="J39" s="701">
        <f>IFERROR(__xludf.DUMMYFUNCTION("""COMPUTED_VALUE"""),46122.0)</f>
        <v>46122</v>
      </c>
      <c r="K39" s="694">
        <f>IFERROR(__xludf.DUMMYFUNCTION("""COMPUTED_VALUE"""),46147.0)</f>
        <v>46147</v>
      </c>
      <c r="L39" s="695">
        <f>IFERROR(__xludf.DUMMYFUNCTION("""COMPUTED_VALUE"""),46147.0)</f>
        <v>46147</v>
      </c>
      <c r="M39" s="696">
        <f>IFERROR(__xludf.DUMMYFUNCTION("""COMPUTED_VALUE"""),0.0)</f>
        <v>0</v>
      </c>
      <c r="N39" s="697">
        <f>IFERROR(__xludf.DUMMYFUNCTION("""COMPUTED_VALUE"""),200.0)</f>
        <v>200</v>
      </c>
      <c r="O39" s="697">
        <f>IFERROR(__xludf.DUMMYFUNCTION("""COMPUTED_VALUE"""),200.0)</f>
        <v>200</v>
      </c>
      <c r="P39" s="612">
        <f>IFERROR(__xludf.DUMMYFUNCTION("""COMPUTED_VALUE"""),1.0)</f>
        <v>1</v>
      </c>
      <c r="Q39" s="697">
        <f>IFERROR(__xludf.DUMMYFUNCTION("""COMPUTED_VALUE"""),3542400.0)</f>
        <v>3542400</v>
      </c>
      <c r="R39" s="697">
        <f>IFERROR(__xludf.DUMMYFUNCTION("""COMPUTED_VALUE"""),158.0)</f>
        <v>158</v>
      </c>
      <c r="S39" s="702"/>
      <c r="T39" s="698" t="str">
        <f t="shared" si="1"/>
        <v>✅ Đã nhận hàng</v>
      </c>
      <c r="U39" s="698" t="str">
        <f t="shared" si="2"/>
        <v>✅ Đã xong</v>
      </c>
      <c r="V39" s="699" t="str">
        <f t="shared" si="3"/>
        <v>✅ Hoàn thành</v>
      </c>
    </row>
    <row r="40" ht="28.5" customHeight="1">
      <c r="A40" s="612" t="str">
        <f>IFERROR(__xludf.DUMMYFUNCTION("""COMPUTED_VALUE"""),"04/2026")</f>
        <v>04/2026</v>
      </c>
      <c r="B40" s="612" t="str">
        <f>IFERROR(__xludf.DUMMYFUNCTION("""COMPUTED_VALUE"""),"Mr Tiên")</f>
        <v>Mr Tiên</v>
      </c>
      <c r="C40" s="612" t="str">
        <f>IFERROR(__xludf.DUMMYFUNCTION("""COMPUTED_VALUE"""),"ĐMH01502")</f>
        <v>ĐMH01502</v>
      </c>
      <c r="D40" s="612" t="str">
        <f>IFERROR(__xludf.DUMMYFUNCTION("""COMPUTED_VALUE"""),"Hoàn thành")</f>
        <v>Hoàn thành</v>
      </c>
      <c r="E40" s="612" t="str">
        <f>IFERROR(__xludf.DUMMYFUNCTION("""COMPUTED_VALUE"""),"SX - Ms Ly")</f>
        <v>SX - Ms Ly</v>
      </c>
      <c r="F40" s="692" t="str">
        <f>IFERROR(__xludf.DUMMYFUNCTION("""COMPUTED_VALUE"""),"THC0004")</f>
        <v>THC0004</v>
      </c>
      <c r="G40" s="612" t="str">
        <f>IFERROR(__xludf.DUMMYFUNCTION("""COMPUTED_VALUE"""),"Đông Tây")</f>
        <v>Đông Tây</v>
      </c>
      <c r="H40" s="693">
        <f>IFERROR(__xludf.DUMMYFUNCTION("""COMPUTED_VALUE"""),46122.0)</f>
        <v>46122</v>
      </c>
      <c r="I40" s="693">
        <f>IFERROR(__xludf.DUMMYFUNCTION("""COMPUTED_VALUE"""),46140.0)</f>
        <v>46140</v>
      </c>
      <c r="J40" s="701">
        <f>IFERROR(__xludf.DUMMYFUNCTION("""COMPUTED_VALUE"""),46122.0)</f>
        <v>46122</v>
      </c>
      <c r="K40" s="694">
        <f>IFERROR(__xludf.DUMMYFUNCTION("""COMPUTED_VALUE"""),46147.0)</f>
        <v>46147</v>
      </c>
      <c r="L40" s="695">
        <f>IFERROR(__xludf.DUMMYFUNCTION("""COMPUTED_VALUE"""),46139.0)</f>
        <v>46139</v>
      </c>
      <c r="M40" s="696">
        <f>IFERROR(__xludf.DUMMYFUNCTION("""COMPUTED_VALUE"""),8.0)</f>
        <v>8</v>
      </c>
      <c r="N40" s="697">
        <f>IFERROR(__xludf.DUMMYFUNCTION("""COMPUTED_VALUE"""),500.0)</f>
        <v>500</v>
      </c>
      <c r="O40" s="697">
        <f>IFERROR(__xludf.DUMMYFUNCTION("""COMPUTED_VALUE"""),506.0)</f>
        <v>506</v>
      </c>
      <c r="P40" s="612">
        <f>IFERROR(__xludf.DUMMYFUNCTION("""COMPUTED_VALUE"""),1.0)</f>
        <v>1</v>
      </c>
      <c r="Q40" s="697">
        <f>IFERROR(__xludf.DUMMYFUNCTION("""COMPUTED_VALUE"""),1.1858616E7)</f>
        <v>11858616</v>
      </c>
      <c r="R40" s="697">
        <f>IFERROR(__xludf.DUMMYFUNCTION("""COMPUTED_VALUE"""),979.0)</f>
        <v>979</v>
      </c>
      <c r="S40" s="702"/>
      <c r="T40" s="698" t="str">
        <f t="shared" si="1"/>
        <v>✅ Đã nhận hàng</v>
      </c>
      <c r="U40" s="698" t="str">
        <f t="shared" si="2"/>
        <v>✅ Đã xong</v>
      </c>
      <c r="V40" s="699" t="str">
        <f t="shared" si="3"/>
        <v>✅ Hoàn thành</v>
      </c>
    </row>
    <row r="41" ht="28.5" customHeight="1">
      <c r="A41" s="612" t="str">
        <f>IFERROR(__xludf.DUMMYFUNCTION("""COMPUTED_VALUE"""),"04/2026")</f>
        <v>04/2026</v>
      </c>
      <c r="B41" s="612" t="str">
        <f>IFERROR(__xludf.DUMMYFUNCTION("""COMPUTED_VALUE"""),"Mr Tiên")</f>
        <v>Mr Tiên</v>
      </c>
      <c r="C41" s="612" t="str">
        <f>IFERROR(__xludf.DUMMYFUNCTION("""COMPUTED_VALUE"""),"ĐMH02674")</f>
        <v>ĐMH02674</v>
      </c>
      <c r="D41" s="612" t="str">
        <f>IFERROR(__xludf.DUMMYFUNCTION("""COMPUTED_VALUE"""),"Hoàn thành")</f>
        <v>Hoàn thành</v>
      </c>
      <c r="E41" s="612" t="str">
        <f>IFERROR(__xludf.DUMMYFUNCTION("""COMPUTED_VALUE"""),"SX - Ms Ly")</f>
        <v>SX - Ms Ly</v>
      </c>
      <c r="F41" s="692" t="str">
        <f>IFERROR(__xludf.DUMMYFUNCTION("""COMPUTED_VALUE"""),"THI0280")</f>
        <v>THI0280</v>
      </c>
      <c r="G41" s="612" t="str">
        <f>IFERROR(__xludf.DUMMYFUNCTION("""COMPUTED_VALUE"""),"Đông Tây")</f>
        <v>Đông Tây</v>
      </c>
      <c r="H41" s="693">
        <f>IFERROR(__xludf.DUMMYFUNCTION("""COMPUTED_VALUE"""),46123.0)</f>
        <v>46123</v>
      </c>
      <c r="I41" s="693">
        <f>IFERROR(__xludf.DUMMYFUNCTION("""COMPUTED_VALUE"""),46141.0)</f>
        <v>46141</v>
      </c>
      <c r="J41" s="701">
        <f>IFERROR(__xludf.DUMMYFUNCTION("""COMPUTED_VALUE"""),46123.0)</f>
        <v>46123</v>
      </c>
      <c r="K41" s="694">
        <f>IFERROR(__xludf.DUMMYFUNCTION("""COMPUTED_VALUE"""),46148.0)</f>
        <v>46148</v>
      </c>
      <c r="L41" s="695">
        <f>IFERROR(__xludf.DUMMYFUNCTION("""COMPUTED_VALUE"""),46140.0)</f>
        <v>46140</v>
      </c>
      <c r="M41" s="696">
        <f>IFERROR(__xludf.DUMMYFUNCTION("""COMPUTED_VALUE"""),8.0)</f>
        <v>8</v>
      </c>
      <c r="N41" s="697">
        <f>IFERROR(__xludf.DUMMYFUNCTION("""COMPUTED_VALUE"""),300.0)</f>
        <v>300</v>
      </c>
      <c r="O41" s="697">
        <f>IFERROR(__xludf.DUMMYFUNCTION("""COMPUTED_VALUE"""),310.0)</f>
        <v>310</v>
      </c>
      <c r="P41" s="612">
        <f>IFERROR(__xludf.DUMMYFUNCTION("""COMPUTED_VALUE"""),1.0)</f>
        <v>1</v>
      </c>
      <c r="Q41" s="697">
        <f>IFERROR(__xludf.DUMMYFUNCTION("""COMPUTED_VALUE"""),5022000.0)</f>
        <v>5022000</v>
      </c>
      <c r="R41" s="697">
        <f>IFERROR(__xludf.DUMMYFUNCTION("""COMPUTED_VALUE"""),996.0)</f>
        <v>996</v>
      </c>
      <c r="S41" s="702"/>
      <c r="T41" s="698" t="str">
        <f t="shared" si="1"/>
        <v>✅ Đã nhận hàng</v>
      </c>
      <c r="U41" s="698" t="str">
        <f t="shared" si="2"/>
        <v>✅ Đã xong</v>
      </c>
      <c r="V41" s="699" t="str">
        <f t="shared" si="3"/>
        <v>✅ Hoàn thành</v>
      </c>
    </row>
    <row r="42" ht="28.5" customHeight="1">
      <c r="A42" s="612" t="str">
        <f>IFERROR(__xludf.DUMMYFUNCTION("""COMPUTED_VALUE"""),"04/2026")</f>
        <v>04/2026</v>
      </c>
      <c r="B42" s="612" t="str">
        <f>IFERROR(__xludf.DUMMYFUNCTION("""COMPUTED_VALUE"""),"Mr Tiên")</f>
        <v>Mr Tiên</v>
      </c>
      <c r="C42" s="612" t="str">
        <f>IFERROR(__xludf.DUMMYFUNCTION("""COMPUTED_VALUE"""),"ĐMH01524")</f>
        <v>ĐMH01524</v>
      </c>
      <c r="D42" s="612" t="str">
        <f>IFERROR(__xludf.DUMMYFUNCTION("""COMPUTED_VALUE"""),"Hoàn thành")</f>
        <v>Hoàn thành</v>
      </c>
      <c r="E42" s="612" t="str">
        <f>IFERROR(__xludf.DUMMYFUNCTION("""COMPUTED_VALUE"""),"SX - Ms Ly")</f>
        <v>SX - Ms Ly</v>
      </c>
      <c r="F42" s="692" t="str">
        <f>IFERROR(__xludf.DUMMYFUNCTION("""COMPUTED_VALUE"""),"THC0228")</f>
        <v>THC0228</v>
      </c>
      <c r="G42" s="612" t="str">
        <f>IFERROR(__xludf.DUMMYFUNCTION("""COMPUTED_VALUE"""),"Đông Tây")</f>
        <v>Đông Tây</v>
      </c>
      <c r="H42" s="693">
        <f>IFERROR(__xludf.DUMMYFUNCTION("""COMPUTED_VALUE"""),46126.0)</f>
        <v>46126</v>
      </c>
      <c r="I42" s="693">
        <f>IFERROR(__xludf.DUMMYFUNCTION("""COMPUTED_VALUE"""),46144.0)</f>
        <v>46144</v>
      </c>
      <c r="J42" s="701">
        <f>IFERROR(__xludf.DUMMYFUNCTION("""COMPUTED_VALUE"""),46126.0)</f>
        <v>46126</v>
      </c>
      <c r="K42" s="694">
        <f>IFERROR(__xludf.DUMMYFUNCTION("""COMPUTED_VALUE"""),46151.0)</f>
        <v>46151</v>
      </c>
      <c r="L42" s="695">
        <f>IFERROR(__xludf.DUMMYFUNCTION("""COMPUTED_VALUE"""),46137.0)</f>
        <v>46137</v>
      </c>
      <c r="M42" s="696">
        <f>IFERROR(__xludf.DUMMYFUNCTION("""COMPUTED_VALUE"""),14.0)</f>
        <v>14</v>
      </c>
      <c r="N42" s="697">
        <f>IFERROR(__xludf.DUMMYFUNCTION("""COMPUTED_VALUE"""),300.0)</f>
        <v>300</v>
      </c>
      <c r="O42" s="697">
        <f>IFERROR(__xludf.DUMMYFUNCTION("""COMPUTED_VALUE"""),306.0)</f>
        <v>306</v>
      </c>
      <c r="P42" s="612">
        <f>IFERROR(__xludf.DUMMYFUNCTION("""COMPUTED_VALUE"""),1.0)</f>
        <v>1</v>
      </c>
      <c r="Q42" s="697">
        <f>IFERROR(__xludf.DUMMYFUNCTION("""COMPUTED_VALUE"""),8906436.0)</f>
        <v>8906436</v>
      </c>
      <c r="R42" s="697">
        <f>IFERROR(__xludf.DUMMYFUNCTION("""COMPUTED_VALUE"""),960.0)</f>
        <v>960</v>
      </c>
      <c r="S42" s="702"/>
      <c r="T42" s="698" t="str">
        <f t="shared" si="1"/>
        <v>✅ Đã nhận hàng</v>
      </c>
      <c r="U42" s="698" t="str">
        <f t="shared" si="2"/>
        <v>✅ Đã xong</v>
      </c>
      <c r="V42" s="699" t="str">
        <f t="shared" si="3"/>
        <v>✅ Hoàn thành</v>
      </c>
    </row>
    <row r="43" ht="28.5" customHeight="1">
      <c r="A43" s="612" t="str">
        <f>IFERROR(__xludf.DUMMYFUNCTION("""COMPUTED_VALUE"""),"04/2026")</f>
        <v>04/2026</v>
      </c>
      <c r="B43" s="612" t="str">
        <f>IFERROR(__xludf.DUMMYFUNCTION("""COMPUTED_VALUE"""),"Mr Tiên")</f>
        <v>Mr Tiên</v>
      </c>
      <c r="C43" s="612" t="str">
        <f>IFERROR(__xludf.DUMMYFUNCTION("""COMPUTED_VALUE"""),"ĐMH01224")</f>
        <v>ĐMH01224</v>
      </c>
      <c r="D43" s="612" t="str">
        <f>IFERROR(__xludf.DUMMYFUNCTION("""COMPUTED_VALUE"""),"Hoàn thành")</f>
        <v>Hoàn thành</v>
      </c>
      <c r="E43" s="612" t="str">
        <f>IFERROR(__xludf.DUMMYFUNCTION("""COMPUTED_VALUE"""),"SX - Ms Ly")</f>
        <v>SX - Ms Ly</v>
      </c>
      <c r="F43" s="692" t="str">
        <f>IFERROR(__xludf.DUMMYFUNCTION("""COMPUTED_VALUE"""),"THC0265")</f>
        <v>THC0265</v>
      </c>
      <c r="G43" s="612" t="str">
        <f>IFERROR(__xludf.DUMMYFUNCTION("""COMPUTED_VALUE"""),"Đông Tây")</f>
        <v>Đông Tây</v>
      </c>
      <c r="H43" s="693">
        <f>IFERROR(__xludf.DUMMYFUNCTION("""COMPUTED_VALUE"""),46126.0)</f>
        <v>46126</v>
      </c>
      <c r="I43" s="693">
        <f>IFERROR(__xludf.DUMMYFUNCTION("""COMPUTED_VALUE"""),46144.0)</f>
        <v>46144</v>
      </c>
      <c r="J43" s="701">
        <f>IFERROR(__xludf.DUMMYFUNCTION("""COMPUTED_VALUE"""),46126.0)</f>
        <v>46126</v>
      </c>
      <c r="K43" s="694">
        <f>IFERROR(__xludf.DUMMYFUNCTION("""COMPUTED_VALUE"""),46151.0)</f>
        <v>46151</v>
      </c>
      <c r="L43" s="695">
        <f>IFERROR(__xludf.DUMMYFUNCTION("""COMPUTED_VALUE"""),46139.0)</f>
        <v>46139</v>
      </c>
      <c r="M43" s="696">
        <f>IFERROR(__xludf.DUMMYFUNCTION("""COMPUTED_VALUE"""),12.0)</f>
        <v>12</v>
      </c>
      <c r="N43" s="697">
        <f>IFERROR(__xludf.DUMMYFUNCTION("""COMPUTED_VALUE"""),100.0)</f>
        <v>100</v>
      </c>
      <c r="O43" s="697">
        <f>IFERROR(__xludf.DUMMYFUNCTION("""COMPUTED_VALUE"""),216.0)</f>
        <v>216</v>
      </c>
      <c r="P43" s="612">
        <f>IFERROR(__xludf.DUMMYFUNCTION("""COMPUTED_VALUE"""),1.0)</f>
        <v>1</v>
      </c>
      <c r="Q43" s="697">
        <f>IFERROR(__xludf.DUMMYFUNCTION("""COMPUTED_VALUE"""),5505408.0)</f>
        <v>5505408</v>
      </c>
      <c r="R43" s="697">
        <f>IFERROR(__xludf.DUMMYFUNCTION("""COMPUTED_VALUE"""),980.0)</f>
        <v>980</v>
      </c>
      <c r="S43" s="702"/>
      <c r="T43" s="698" t="str">
        <f t="shared" si="1"/>
        <v>✅ Đã nhận hàng</v>
      </c>
      <c r="U43" s="698" t="str">
        <f t="shared" si="2"/>
        <v>✅ Đã xong</v>
      </c>
      <c r="V43" s="699" t="str">
        <f t="shared" si="3"/>
        <v>✅ Hoàn thành</v>
      </c>
    </row>
    <row r="44" ht="28.5" customHeight="1">
      <c r="A44" s="612" t="str">
        <f>IFERROR(__xludf.DUMMYFUNCTION("""COMPUTED_VALUE"""),"04/2026")</f>
        <v>04/2026</v>
      </c>
      <c r="B44" s="612" t="str">
        <f>IFERROR(__xludf.DUMMYFUNCTION("""COMPUTED_VALUE"""),"Mr Tiên")</f>
        <v>Mr Tiên</v>
      </c>
      <c r="C44" s="612" t="str">
        <f>IFERROR(__xludf.DUMMYFUNCTION("""COMPUTED_VALUE"""),"ĐMH01541")</f>
        <v>ĐMH01541</v>
      </c>
      <c r="D44" s="612" t="str">
        <f>IFERROR(__xludf.DUMMYFUNCTION("""COMPUTED_VALUE"""),"Hoàn thành")</f>
        <v>Hoàn thành</v>
      </c>
      <c r="E44" s="612" t="str">
        <f>IFERROR(__xludf.DUMMYFUNCTION("""COMPUTED_VALUE"""),"SX - Ms Ly")</f>
        <v>SX - Ms Ly</v>
      </c>
      <c r="F44" s="692" t="str">
        <f>IFERROR(__xludf.DUMMYFUNCTION("""COMPUTED_VALUE"""),"THC0003")</f>
        <v>THC0003</v>
      </c>
      <c r="G44" s="612" t="str">
        <f>IFERROR(__xludf.DUMMYFUNCTION("""COMPUTED_VALUE"""),"Đông Tây")</f>
        <v>Đông Tây</v>
      </c>
      <c r="H44" s="693">
        <f>IFERROR(__xludf.DUMMYFUNCTION("""COMPUTED_VALUE"""),46127.0)</f>
        <v>46127</v>
      </c>
      <c r="I44" s="693">
        <f>IFERROR(__xludf.DUMMYFUNCTION("""COMPUTED_VALUE"""),46145.0)</f>
        <v>46145</v>
      </c>
      <c r="J44" s="701">
        <f>IFERROR(__xludf.DUMMYFUNCTION("""COMPUTED_VALUE"""),46127.0)</f>
        <v>46127</v>
      </c>
      <c r="K44" s="694">
        <f>IFERROR(__xludf.DUMMYFUNCTION("""COMPUTED_VALUE"""),46152.0)</f>
        <v>46152</v>
      </c>
      <c r="L44" s="695">
        <f>IFERROR(__xludf.DUMMYFUNCTION("""COMPUTED_VALUE"""),46139.0)</f>
        <v>46139</v>
      </c>
      <c r="M44" s="696">
        <f>IFERROR(__xludf.DUMMYFUNCTION("""COMPUTED_VALUE"""),13.0)</f>
        <v>13</v>
      </c>
      <c r="N44" s="697">
        <f>IFERROR(__xludf.DUMMYFUNCTION("""COMPUTED_VALUE"""),300.0)</f>
        <v>300</v>
      </c>
      <c r="O44" s="697">
        <f>IFERROR(__xludf.DUMMYFUNCTION("""COMPUTED_VALUE"""),300.0)</f>
        <v>300</v>
      </c>
      <c r="P44" s="612">
        <f>IFERROR(__xludf.DUMMYFUNCTION("""COMPUTED_VALUE"""),1.0)</f>
        <v>1</v>
      </c>
      <c r="Q44" s="697">
        <f>IFERROR(__xludf.DUMMYFUNCTION("""COMPUTED_VALUE"""),6253200.0)</f>
        <v>6253200</v>
      </c>
      <c r="R44" s="697">
        <f>IFERROR(__xludf.DUMMYFUNCTION("""COMPUTED_VALUE"""),978.0)</f>
        <v>978</v>
      </c>
      <c r="S44" s="702"/>
      <c r="T44" s="698" t="str">
        <f t="shared" si="1"/>
        <v>✅ Đã nhận hàng</v>
      </c>
      <c r="U44" s="698" t="str">
        <f t="shared" si="2"/>
        <v>✅ Đã xong</v>
      </c>
      <c r="V44" s="699" t="str">
        <f t="shared" si="3"/>
        <v>✅ Hoàn thành</v>
      </c>
    </row>
    <row r="45" ht="28.5" customHeight="1">
      <c r="A45" s="612" t="str">
        <f>IFERROR(__xludf.DUMMYFUNCTION("""COMPUTED_VALUE"""),"04/2026")</f>
        <v>04/2026</v>
      </c>
      <c r="B45" s="612" t="str">
        <f>IFERROR(__xludf.DUMMYFUNCTION("""COMPUTED_VALUE"""),"Mr Tiên")</f>
        <v>Mr Tiên</v>
      </c>
      <c r="C45" s="612" t="str">
        <f>IFERROR(__xludf.DUMMYFUNCTION("""COMPUTED_VALUE"""),"ĐMH01540")</f>
        <v>ĐMH01540</v>
      </c>
      <c r="D45" s="612" t="str">
        <f>IFERROR(__xludf.DUMMYFUNCTION("""COMPUTED_VALUE"""),"Hoàn thành")</f>
        <v>Hoàn thành</v>
      </c>
      <c r="E45" s="612" t="str">
        <f>IFERROR(__xludf.DUMMYFUNCTION("""COMPUTED_VALUE"""),"SX - Ms Ly")</f>
        <v>SX - Ms Ly</v>
      </c>
      <c r="F45" s="692" t="str">
        <f>IFERROR(__xludf.DUMMYFUNCTION("""COMPUTED_VALUE"""),"THC0003")</f>
        <v>THC0003</v>
      </c>
      <c r="G45" s="612" t="str">
        <f>IFERROR(__xludf.DUMMYFUNCTION("""COMPUTED_VALUE"""),"Đông Tây")</f>
        <v>Đông Tây</v>
      </c>
      <c r="H45" s="693">
        <f>IFERROR(__xludf.DUMMYFUNCTION("""COMPUTED_VALUE"""),46127.0)</f>
        <v>46127</v>
      </c>
      <c r="I45" s="693">
        <f>IFERROR(__xludf.DUMMYFUNCTION("""COMPUTED_VALUE"""),46145.0)</f>
        <v>46145</v>
      </c>
      <c r="J45" s="701">
        <f>IFERROR(__xludf.DUMMYFUNCTION("""COMPUTED_VALUE"""),46127.0)</f>
        <v>46127</v>
      </c>
      <c r="K45" s="694">
        <f>IFERROR(__xludf.DUMMYFUNCTION("""COMPUTED_VALUE"""),46152.0)</f>
        <v>46152</v>
      </c>
      <c r="L45" s="695">
        <f>IFERROR(__xludf.DUMMYFUNCTION("""COMPUTED_VALUE"""),46139.0)</f>
        <v>46139</v>
      </c>
      <c r="M45" s="696">
        <f>IFERROR(__xludf.DUMMYFUNCTION("""COMPUTED_VALUE"""),13.0)</f>
        <v>13</v>
      </c>
      <c r="N45" s="697">
        <f>IFERROR(__xludf.DUMMYFUNCTION("""COMPUTED_VALUE"""),200.0)</f>
        <v>200</v>
      </c>
      <c r="O45" s="697">
        <f>IFERROR(__xludf.DUMMYFUNCTION("""COMPUTED_VALUE"""),212.0)</f>
        <v>212</v>
      </c>
      <c r="P45" s="612">
        <f>IFERROR(__xludf.DUMMYFUNCTION("""COMPUTED_VALUE"""),1.0)</f>
        <v>1</v>
      </c>
      <c r="Q45" s="697">
        <f>IFERROR(__xludf.DUMMYFUNCTION("""COMPUTED_VALUE"""),4418928.0)</f>
        <v>4418928</v>
      </c>
      <c r="R45" s="697">
        <f>IFERROR(__xludf.DUMMYFUNCTION("""COMPUTED_VALUE"""),981.0)</f>
        <v>981</v>
      </c>
      <c r="S45" s="702"/>
      <c r="T45" s="698" t="str">
        <f t="shared" si="1"/>
        <v>✅ Đã nhận hàng</v>
      </c>
      <c r="U45" s="698" t="str">
        <f t="shared" si="2"/>
        <v>✅ Đã xong</v>
      </c>
      <c r="V45" s="699" t="str">
        <f t="shared" si="3"/>
        <v>✅ Hoàn thành</v>
      </c>
    </row>
    <row r="46" ht="28.5" customHeight="1">
      <c r="A46" s="612" t="str">
        <f>IFERROR(__xludf.DUMMYFUNCTION("""COMPUTED_VALUE"""),"04/2026")</f>
        <v>04/2026</v>
      </c>
      <c r="B46" s="612" t="str">
        <f>IFERROR(__xludf.DUMMYFUNCTION("""COMPUTED_VALUE"""),"Mr Tiên")</f>
        <v>Mr Tiên</v>
      </c>
      <c r="C46" s="612" t="str">
        <f>IFERROR(__xludf.DUMMYFUNCTION("""COMPUTED_VALUE"""),"ĐMH02684")</f>
        <v>ĐMH02684</v>
      </c>
      <c r="D46" s="612" t="str">
        <f>IFERROR(__xludf.DUMMYFUNCTION("""COMPUTED_VALUE"""),"Hoàn thành")</f>
        <v>Hoàn thành</v>
      </c>
      <c r="E46" s="612" t="str">
        <f>IFERROR(__xludf.DUMMYFUNCTION("""COMPUTED_VALUE"""),"SX - Ms Ly")</f>
        <v>SX - Ms Ly</v>
      </c>
      <c r="F46" s="692" t="str">
        <f>IFERROR(__xludf.DUMMYFUNCTION("""COMPUTED_VALUE"""),"THI0202")</f>
        <v>THI0202</v>
      </c>
      <c r="G46" s="612" t="str">
        <f>IFERROR(__xludf.DUMMYFUNCTION("""COMPUTED_VALUE"""),"Đông Tây")</f>
        <v>Đông Tây</v>
      </c>
      <c r="H46" s="693">
        <f>IFERROR(__xludf.DUMMYFUNCTION("""COMPUTED_VALUE"""),46129.0)</f>
        <v>46129</v>
      </c>
      <c r="I46" s="693">
        <f>IFERROR(__xludf.DUMMYFUNCTION("""COMPUTED_VALUE"""),46147.0)</f>
        <v>46147</v>
      </c>
      <c r="J46" s="701">
        <f>IFERROR(__xludf.DUMMYFUNCTION("""COMPUTED_VALUE"""),46129.0)</f>
        <v>46129</v>
      </c>
      <c r="K46" s="694">
        <f>IFERROR(__xludf.DUMMYFUNCTION("""COMPUTED_VALUE"""),46154.0)</f>
        <v>46154</v>
      </c>
      <c r="L46" s="695">
        <f>IFERROR(__xludf.DUMMYFUNCTION("""COMPUTED_VALUE"""),46148.0)</f>
        <v>46148</v>
      </c>
      <c r="M46" s="696">
        <f>IFERROR(__xludf.DUMMYFUNCTION("""COMPUTED_VALUE"""),6.0)</f>
        <v>6</v>
      </c>
      <c r="N46" s="697">
        <f>IFERROR(__xludf.DUMMYFUNCTION("""COMPUTED_VALUE"""),300.0)</f>
        <v>300</v>
      </c>
      <c r="O46" s="697">
        <f>IFERROR(__xludf.DUMMYFUNCTION("""COMPUTED_VALUE"""),302.0)</f>
        <v>302</v>
      </c>
      <c r="P46" s="612">
        <f>IFERROR(__xludf.DUMMYFUNCTION("""COMPUTED_VALUE"""),1.0)</f>
        <v>1</v>
      </c>
      <c r="Q46" s="697">
        <f>IFERROR(__xludf.DUMMYFUNCTION("""COMPUTED_VALUE"""),7697376.0)</f>
        <v>7697376</v>
      </c>
      <c r="R46" s="697">
        <f>IFERROR(__xludf.DUMMYFUNCTION("""COMPUTED_VALUE"""),1030.0)</f>
        <v>1030</v>
      </c>
      <c r="S46" s="702" t="str">
        <f>IFERROR(__xludf.DUMMYFUNCTION("""COMPUTED_VALUE"""),"Giấy về chậm")</f>
        <v>Giấy về chậm</v>
      </c>
      <c r="T46" s="698" t="str">
        <f t="shared" si="1"/>
        <v>✅ Đã nhận hàng</v>
      </c>
      <c r="U46" s="698" t="str">
        <f t="shared" si="2"/>
        <v>✅ Đã xong</v>
      </c>
      <c r="V46" s="699" t="str">
        <f t="shared" si="3"/>
        <v>✅ Hoàn thành</v>
      </c>
    </row>
    <row r="47" ht="28.5" customHeight="1">
      <c r="A47" s="612" t="str">
        <f>IFERROR(__xludf.DUMMYFUNCTION("""COMPUTED_VALUE"""),"04/2026")</f>
        <v>04/2026</v>
      </c>
      <c r="B47" s="612" t="str">
        <f>IFERROR(__xludf.DUMMYFUNCTION("""COMPUTED_VALUE"""),"Mr Tiên")</f>
        <v>Mr Tiên</v>
      </c>
      <c r="C47" s="612" t="str">
        <f>IFERROR(__xludf.DUMMYFUNCTION("""COMPUTED_VALUE"""),"ĐMH01559")</f>
        <v>ĐMH01559</v>
      </c>
      <c r="D47" s="612" t="str">
        <f>IFERROR(__xludf.DUMMYFUNCTION("""COMPUTED_VALUE"""),"Hoàn thành")</f>
        <v>Hoàn thành</v>
      </c>
      <c r="E47" s="612" t="str">
        <f>IFERROR(__xludf.DUMMYFUNCTION("""COMPUTED_VALUE"""),"SX - Ms Ly")</f>
        <v>SX - Ms Ly</v>
      </c>
      <c r="F47" s="692" t="str">
        <f>IFERROR(__xludf.DUMMYFUNCTION("""COMPUTED_VALUE"""),"THC0004")</f>
        <v>THC0004</v>
      </c>
      <c r="G47" s="612" t="str">
        <f>IFERROR(__xludf.DUMMYFUNCTION("""COMPUTED_VALUE"""),"Đông Tây")</f>
        <v>Đông Tây</v>
      </c>
      <c r="H47" s="693">
        <f>IFERROR(__xludf.DUMMYFUNCTION("""COMPUTED_VALUE"""),46129.0)</f>
        <v>46129</v>
      </c>
      <c r="I47" s="693">
        <f>IFERROR(__xludf.DUMMYFUNCTION("""COMPUTED_VALUE"""),46147.0)</f>
        <v>46147</v>
      </c>
      <c r="J47" s="701">
        <f>IFERROR(__xludf.DUMMYFUNCTION("""COMPUTED_VALUE"""),46129.0)</f>
        <v>46129</v>
      </c>
      <c r="K47" s="694">
        <f>IFERROR(__xludf.DUMMYFUNCTION("""COMPUTED_VALUE"""),46154.0)</f>
        <v>46154</v>
      </c>
      <c r="L47" s="695">
        <f>IFERROR(__xludf.DUMMYFUNCTION("""COMPUTED_VALUE"""),46140.0)</f>
        <v>46140</v>
      </c>
      <c r="M47" s="696">
        <f>IFERROR(__xludf.DUMMYFUNCTION("""COMPUTED_VALUE"""),14.0)</f>
        <v>14</v>
      </c>
      <c r="N47" s="697">
        <f>IFERROR(__xludf.DUMMYFUNCTION("""COMPUTED_VALUE"""),300.0)</f>
        <v>300</v>
      </c>
      <c r="O47" s="697">
        <f>IFERROR(__xludf.DUMMYFUNCTION("""COMPUTED_VALUE"""),306.0)</f>
        <v>306</v>
      </c>
      <c r="P47" s="612">
        <f>IFERROR(__xludf.DUMMYFUNCTION("""COMPUTED_VALUE"""),1.0)</f>
        <v>1</v>
      </c>
      <c r="Q47" s="697">
        <f>IFERROR(__xludf.DUMMYFUNCTION("""COMPUTED_VALUE"""),7171416.0)</f>
        <v>7171416</v>
      </c>
      <c r="R47" s="697">
        <f>IFERROR(__xludf.DUMMYFUNCTION("""COMPUTED_VALUE"""),994.0)</f>
        <v>994</v>
      </c>
      <c r="S47" s="702"/>
      <c r="T47" s="698" t="str">
        <f t="shared" si="1"/>
        <v>✅ Đã nhận hàng</v>
      </c>
      <c r="U47" s="698" t="str">
        <f t="shared" si="2"/>
        <v>✅ Đã xong</v>
      </c>
      <c r="V47" s="699" t="str">
        <f t="shared" si="3"/>
        <v>✅ Hoàn thành</v>
      </c>
    </row>
    <row r="48" ht="28.5" customHeight="1">
      <c r="A48" s="612" t="str">
        <f>IFERROR(__xludf.DUMMYFUNCTION("""COMPUTED_VALUE"""),"04/2026")</f>
        <v>04/2026</v>
      </c>
      <c r="B48" s="612" t="str">
        <f>IFERROR(__xludf.DUMMYFUNCTION("""COMPUTED_VALUE"""),"Mr Tiên")</f>
        <v>Mr Tiên</v>
      </c>
      <c r="C48" s="612" t="str">
        <f>IFERROR(__xludf.DUMMYFUNCTION("""COMPUTED_VALUE"""),"ĐMH01566")</f>
        <v>ĐMH01566</v>
      </c>
      <c r="D48" s="612" t="str">
        <f>IFERROR(__xludf.DUMMYFUNCTION("""COMPUTED_VALUE"""),"Hoàn thành")</f>
        <v>Hoàn thành</v>
      </c>
      <c r="E48" s="612" t="str">
        <f>IFERROR(__xludf.DUMMYFUNCTION("""COMPUTED_VALUE"""),"SX - Ms Ly")</f>
        <v>SX - Ms Ly</v>
      </c>
      <c r="F48" s="692" t="str">
        <f>IFERROR(__xludf.DUMMYFUNCTION("""COMPUTED_VALUE"""),"THC0264")</f>
        <v>THC0264</v>
      </c>
      <c r="G48" s="612" t="str">
        <f>IFERROR(__xludf.DUMMYFUNCTION("""COMPUTED_VALUE"""),"Đông Tây")</f>
        <v>Đông Tây</v>
      </c>
      <c r="H48" s="693">
        <f>IFERROR(__xludf.DUMMYFUNCTION("""COMPUTED_VALUE"""),46132.0)</f>
        <v>46132</v>
      </c>
      <c r="I48" s="693">
        <f>IFERROR(__xludf.DUMMYFUNCTION("""COMPUTED_VALUE"""),46150.0)</f>
        <v>46150</v>
      </c>
      <c r="J48" s="701">
        <f>IFERROR(__xludf.DUMMYFUNCTION("""COMPUTED_VALUE"""),46132.0)</f>
        <v>46132</v>
      </c>
      <c r="K48" s="694">
        <f>IFERROR(__xludf.DUMMYFUNCTION("""COMPUTED_VALUE"""),46157.0)</f>
        <v>46157</v>
      </c>
      <c r="L48" s="695">
        <f>IFERROR(__xludf.DUMMYFUNCTION("""COMPUTED_VALUE"""),46150.0)</f>
        <v>46150</v>
      </c>
      <c r="M48" s="696">
        <f>IFERROR(__xludf.DUMMYFUNCTION("""COMPUTED_VALUE"""),7.0)</f>
        <v>7</v>
      </c>
      <c r="N48" s="697">
        <f>IFERROR(__xludf.DUMMYFUNCTION("""COMPUTED_VALUE"""),300.0)</f>
        <v>300</v>
      </c>
      <c r="O48" s="697">
        <f>IFERROR(__xludf.DUMMYFUNCTION("""COMPUTED_VALUE"""),320.0)</f>
        <v>320</v>
      </c>
      <c r="P48" s="612">
        <f>IFERROR(__xludf.DUMMYFUNCTION("""COMPUTED_VALUE"""),1.0)</f>
        <v>1</v>
      </c>
      <c r="Q48" s="697">
        <f>IFERROR(__xludf.DUMMYFUNCTION("""COMPUTED_VALUE"""),5253120.0)</f>
        <v>5253120</v>
      </c>
      <c r="R48" s="697">
        <f>IFERROR(__xludf.DUMMYFUNCTION("""COMPUTED_VALUE"""),1046.0)</f>
        <v>1046</v>
      </c>
      <c r="S48" s="702" t="str">
        <f>IFERROR(__xludf.DUMMYFUNCTION("""COMPUTED_VALUE"""),"Giấy về chậm")</f>
        <v>Giấy về chậm</v>
      </c>
      <c r="T48" s="698" t="str">
        <f t="shared" si="1"/>
        <v>✅ Đã nhận hàng</v>
      </c>
      <c r="U48" s="698" t="str">
        <f t="shared" si="2"/>
        <v>✅ Đã xong</v>
      </c>
      <c r="V48" s="699" t="str">
        <f t="shared" si="3"/>
        <v>✅ Hoàn thành</v>
      </c>
    </row>
    <row r="49" ht="28.5" customHeight="1">
      <c r="A49" s="612" t="str">
        <f>IFERROR(__xludf.DUMMYFUNCTION("""COMPUTED_VALUE"""),"04/2026")</f>
        <v>04/2026</v>
      </c>
      <c r="B49" s="612" t="str">
        <f>IFERROR(__xludf.DUMMYFUNCTION("""COMPUTED_VALUE"""),"Mr Tiên")</f>
        <v>Mr Tiên</v>
      </c>
      <c r="C49" s="612" t="str">
        <f>IFERROR(__xludf.DUMMYFUNCTION("""COMPUTED_VALUE"""),"ĐMH01565")</f>
        <v>ĐMH01565</v>
      </c>
      <c r="D49" s="612" t="str">
        <f>IFERROR(__xludf.DUMMYFUNCTION("""COMPUTED_VALUE"""),"Hoàn thành")</f>
        <v>Hoàn thành</v>
      </c>
      <c r="E49" s="612" t="str">
        <f>IFERROR(__xludf.DUMMYFUNCTION("""COMPUTED_VALUE"""),"SX - Ms Ly")</f>
        <v>SX - Ms Ly</v>
      </c>
      <c r="F49" s="692" t="str">
        <f>IFERROR(__xludf.DUMMYFUNCTION("""COMPUTED_VALUE"""),"THC0061")</f>
        <v>THC0061</v>
      </c>
      <c r="G49" s="612" t="str">
        <f>IFERROR(__xludf.DUMMYFUNCTION("""COMPUTED_VALUE"""),"Đông Tây")</f>
        <v>Đông Tây</v>
      </c>
      <c r="H49" s="693">
        <f>IFERROR(__xludf.DUMMYFUNCTION("""COMPUTED_VALUE"""),46132.0)</f>
        <v>46132</v>
      </c>
      <c r="I49" s="693">
        <f>IFERROR(__xludf.DUMMYFUNCTION("""COMPUTED_VALUE"""),46150.0)</f>
        <v>46150</v>
      </c>
      <c r="J49" s="701">
        <f>IFERROR(__xludf.DUMMYFUNCTION("""COMPUTED_VALUE"""),46132.0)</f>
        <v>46132</v>
      </c>
      <c r="K49" s="694">
        <f>IFERROR(__xludf.DUMMYFUNCTION("""COMPUTED_VALUE"""),46157.0)</f>
        <v>46157</v>
      </c>
      <c r="L49" s="695">
        <f>IFERROR(__xludf.DUMMYFUNCTION("""COMPUTED_VALUE"""),46150.0)</f>
        <v>46150</v>
      </c>
      <c r="M49" s="696">
        <f>IFERROR(__xludf.DUMMYFUNCTION("""COMPUTED_VALUE"""),7.0)</f>
        <v>7</v>
      </c>
      <c r="N49" s="697">
        <f>IFERROR(__xludf.DUMMYFUNCTION("""COMPUTED_VALUE"""),300.0)</f>
        <v>300</v>
      </c>
      <c r="O49" s="697">
        <f>IFERROR(__xludf.DUMMYFUNCTION("""COMPUTED_VALUE"""),310.0)</f>
        <v>310</v>
      </c>
      <c r="P49" s="612">
        <f>IFERROR(__xludf.DUMMYFUNCTION("""COMPUTED_VALUE"""),1.0)</f>
        <v>1</v>
      </c>
      <c r="Q49" s="697">
        <f>IFERROR(__xludf.DUMMYFUNCTION("""COMPUTED_VALUE"""),6595560.0)</f>
        <v>6595560</v>
      </c>
      <c r="R49" s="697">
        <f>IFERROR(__xludf.DUMMYFUNCTION("""COMPUTED_VALUE"""),1045.0)</f>
        <v>1045</v>
      </c>
      <c r="S49" s="702" t="str">
        <f>IFERROR(__xludf.DUMMYFUNCTION("""COMPUTED_VALUE"""),"Giấy về chậm")</f>
        <v>Giấy về chậm</v>
      </c>
      <c r="T49" s="698" t="str">
        <f t="shared" si="1"/>
        <v>✅ Đã nhận hàng</v>
      </c>
      <c r="U49" s="698" t="str">
        <f t="shared" si="2"/>
        <v>✅ Đã xong</v>
      </c>
      <c r="V49" s="699" t="str">
        <f t="shared" si="3"/>
        <v>✅ Hoàn thành</v>
      </c>
    </row>
    <row r="50" ht="28.5" customHeight="1">
      <c r="A50" s="612" t="str">
        <f>IFERROR(__xludf.DUMMYFUNCTION("""COMPUTED_VALUE"""),"04/2026")</f>
        <v>04/2026</v>
      </c>
      <c r="B50" s="612" t="str">
        <f>IFERROR(__xludf.DUMMYFUNCTION("""COMPUTED_VALUE"""),"Mr Tiên")</f>
        <v>Mr Tiên</v>
      </c>
      <c r="C50" s="612" t="str">
        <f>IFERROR(__xludf.DUMMYFUNCTION("""COMPUTED_VALUE"""),"ĐMH01607")</f>
        <v>ĐMH01607</v>
      </c>
      <c r="D50" s="612" t="str">
        <f>IFERROR(__xludf.DUMMYFUNCTION("""COMPUTED_VALUE"""),"Hoàn thành")</f>
        <v>Hoàn thành</v>
      </c>
      <c r="E50" s="612" t="str">
        <f>IFERROR(__xludf.DUMMYFUNCTION("""COMPUTED_VALUE"""),"SX - Ms Ly")</f>
        <v>SX - Ms Ly</v>
      </c>
      <c r="F50" s="692" t="str">
        <f>IFERROR(__xludf.DUMMYFUNCTION("""COMPUTED_VALUE"""),"THC0300")</f>
        <v>THC0300</v>
      </c>
      <c r="G50" s="612" t="str">
        <f>IFERROR(__xludf.DUMMYFUNCTION("""COMPUTED_VALUE"""),"Đông Tây")</f>
        <v>Đông Tây</v>
      </c>
      <c r="H50" s="693">
        <f>IFERROR(__xludf.DUMMYFUNCTION("""COMPUTED_VALUE"""),46137.0)</f>
        <v>46137</v>
      </c>
      <c r="I50" s="693">
        <f>IFERROR(__xludf.DUMMYFUNCTION("""COMPUTED_VALUE"""),46155.0)</f>
        <v>46155</v>
      </c>
      <c r="J50" s="701">
        <f>IFERROR(__xludf.DUMMYFUNCTION("""COMPUTED_VALUE"""),46137.0)</f>
        <v>46137</v>
      </c>
      <c r="K50" s="694">
        <f>IFERROR(__xludf.DUMMYFUNCTION("""COMPUTED_VALUE"""),46162.0)</f>
        <v>46162</v>
      </c>
      <c r="L50" s="695">
        <f>IFERROR(__xludf.DUMMYFUNCTION("""COMPUTED_VALUE"""),46154.0)</f>
        <v>46154</v>
      </c>
      <c r="M50" s="696">
        <f>IFERROR(__xludf.DUMMYFUNCTION("""COMPUTED_VALUE"""),8.0)</f>
        <v>8</v>
      </c>
      <c r="N50" s="697">
        <f>IFERROR(__xludf.DUMMYFUNCTION("""COMPUTED_VALUE"""),300.0)</f>
        <v>300</v>
      </c>
      <c r="O50" s="697">
        <f>IFERROR(__xludf.DUMMYFUNCTION("""COMPUTED_VALUE"""),321.0)</f>
        <v>321</v>
      </c>
      <c r="P50" s="612">
        <f>IFERROR(__xludf.DUMMYFUNCTION("""COMPUTED_VALUE"""),1.0)</f>
        <v>1</v>
      </c>
      <c r="Q50" s="697">
        <f>IFERROR(__xludf.DUMMYFUNCTION("""COMPUTED_VALUE"""),6656256.0)</f>
        <v>6656256</v>
      </c>
      <c r="R50" s="697">
        <f>IFERROR(__xludf.DUMMYFUNCTION("""COMPUTED_VALUE"""),1095.0)</f>
        <v>1095</v>
      </c>
      <c r="S50" s="702" t="str">
        <f>IFERROR(__xludf.DUMMYFUNCTION("""COMPUTED_VALUE"""),"Giấy về chậm")</f>
        <v>Giấy về chậm</v>
      </c>
      <c r="T50" s="698" t="str">
        <f t="shared" si="1"/>
        <v>✅ Đã nhận hàng</v>
      </c>
      <c r="U50" s="698" t="str">
        <f t="shared" si="2"/>
        <v>✅ Đã xong</v>
      </c>
      <c r="V50" s="699" t="str">
        <f t="shared" si="3"/>
        <v>✅ Hoàn thành</v>
      </c>
    </row>
    <row r="51" ht="28.5" customHeight="1">
      <c r="A51" s="612" t="str">
        <f>IFERROR(__xludf.DUMMYFUNCTION("""COMPUTED_VALUE"""),"04/2026")</f>
        <v>04/2026</v>
      </c>
      <c r="B51" s="612" t="str">
        <f>IFERROR(__xludf.DUMMYFUNCTION("""COMPUTED_VALUE"""),"Mr Tiên")</f>
        <v>Mr Tiên</v>
      </c>
      <c r="C51" s="612" t="str">
        <f>IFERROR(__xludf.DUMMYFUNCTION("""COMPUTED_VALUE"""),"ĐMH01608")</f>
        <v>ĐMH01608</v>
      </c>
      <c r="D51" s="612" t="str">
        <f>IFERROR(__xludf.DUMMYFUNCTION("""COMPUTED_VALUE"""),"Hoàn thành")</f>
        <v>Hoàn thành</v>
      </c>
      <c r="E51" s="612" t="str">
        <f>IFERROR(__xludf.DUMMYFUNCTION("""COMPUTED_VALUE"""),"SX - Ms Ly")</f>
        <v>SX - Ms Ly</v>
      </c>
      <c r="F51" s="692" t="str">
        <f>IFERROR(__xludf.DUMMYFUNCTION("""COMPUTED_VALUE"""),"THC0080")</f>
        <v>THC0080</v>
      </c>
      <c r="G51" s="612" t="str">
        <f>IFERROR(__xludf.DUMMYFUNCTION("""COMPUTED_VALUE"""),"Đông Tây")</f>
        <v>Đông Tây</v>
      </c>
      <c r="H51" s="693">
        <f>IFERROR(__xludf.DUMMYFUNCTION("""COMPUTED_VALUE"""),46139.0)</f>
        <v>46139</v>
      </c>
      <c r="I51" s="693">
        <f>IFERROR(__xludf.DUMMYFUNCTION("""COMPUTED_VALUE"""),46157.0)</f>
        <v>46157</v>
      </c>
      <c r="J51" s="701">
        <f>IFERROR(__xludf.DUMMYFUNCTION("""COMPUTED_VALUE"""),46139.0)</f>
        <v>46139</v>
      </c>
      <c r="K51" s="694">
        <f>IFERROR(__xludf.DUMMYFUNCTION("""COMPUTED_VALUE"""),46164.0)</f>
        <v>46164</v>
      </c>
      <c r="L51" s="695">
        <f>IFERROR(__xludf.DUMMYFUNCTION("""COMPUTED_VALUE"""),46154.0)</f>
        <v>46154</v>
      </c>
      <c r="M51" s="696">
        <f>IFERROR(__xludf.DUMMYFUNCTION("""COMPUTED_VALUE"""),10.0)</f>
        <v>10</v>
      </c>
      <c r="N51" s="697">
        <f>IFERROR(__xludf.DUMMYFUNCTION("""COMPUTED_VALUE"""),300.0)</f>
        <v>300</v>
      </c>
      <c r="O51" s="697">
        <f>IFERROR(__xludf.DUMMYFUNCTION("""COMPUTED_VALUE"""),316.0)</f>
        <v>316</v>
      </c>
      <c r="P51" s="612">
        <f>IFERROR(__xludf.DUMMYFUNCTION("""COMPUTED_VALUE"""),1.0)</f>
        <v>1</v>
      </c>
      <c r="Q51" s="697">
        <f>IFERROR(__xludf.DUMMYFUNCTION("""COMPUTED_VALUE"""),5699376.0)</f>
        <v>5699376</v>
      </c>
      <c r="R51" s="697">
        <f>IFERROR(__xludf.DUMMYFUNCTION("""COMPUTED_VALUE"""),1093.0)</f>
        <v>1093</v>
      </c>
      <c r="S51" s="702"/>
      <c r="T51" s="698" t="str">
        <f t="shared" si="1"/>
        <v>✅ Đã nhận hàng</v>
      </c>
      <c r="U51" s="698" t="str">
        <f t="shared" si="2"/>
        <v>✅ Đã xong</v>
      </c>
      <c r="V51" s="699" t="str">
        <f t="shared" si="3"/>
        <v>✅ Hoàn thành</v>
      </c>
    </row>
    <row r="52" ht="28.5" customHeight="1">
      <c r="A52" s="612" t="str">
        <f>IFERROR(__xludf.DUMMYFUNCTION("""COMPUTED_VALUE"""),"04/2026")</f>
        <v>04/2026</v>
      </c>
      <c r="B52" s="612" t="str">
        <f>IFERROR(__xludf.DUMMYFUNCTION("""COMPUTED_VALUE"""),"Mr Tiên")</f>
        <v>Mr Tiên</v>
      </c>
      <c r="C52" s="612" t="str">
        <f>IFERROR(__xludf.DUMMYFUNCTION("""COMPUTED_VALUE"""),"ĐMH01611")</f>
        <v>ĐMH01611</v>
      </c>
      <c r="D52" s="612" t="str">
        <f>IFERROR(__xludf.DUMMYFUNCTION("""COMPUTED_VALUE"""),"Hoàn thành")</f>
        <v>Hoàn thành</v>
      </c>
      <c r="E52" s="612" t="str">
        <f>IFERROR(__xludf.DUMMYFUNCTION("""COMPUTED_VALUE"""),"SX - Ms Ly")</f>
        <v>SX - Ms Ly</v>
      </c>
      <c r="F52" s="692" t="str">
        <f>IFERROR(__xludf.DUMMYFUNCTION("""COMPUTED_VALUE"""),"THC0302")</f>
        <v>THC0302</v>
      </c>
      <c r="G52" s="612" t="str">
        <f>IFERROR(__xludf.DUMMYFUNCTION("""COMPUTED_VALUE"""),"BAO BÌ ĐÔNG BẮC")</f>
        <v>BAO BÌ ĐÔNG BẮC</v>
      </c>
      <c r="H52" s="693">
        <f>IFERROR(__xludf.DUMMYFUNCTION("""COMPUTED_VALUE"""),46139.0)</f>
        <v>46139</v>
      </c>
      <c r="I52" s="693">
        <f>IFERROR(__xludf.DUMMYFUNCTION("""COMPUTED_VALUE"""),46157.0)</f>
        <v>46157</v>
      </c>
      <c r="J52" s="701">
        <f>IFERROR(__xludf.DUMMYFUNCTION("""COMPUTED_VALUE"""),46139.0)</f>
        <v>46139</v>
      </c>
      <c r="K52" s="694">
        <f>IFERROR(__xludf.DUMMYFUNCTION("""COMPUTED_VALUE"""),46164.0)</f>
        <v>46164</v>
      </c>
      <c r="L52" s="695">
        <f>IFERROR(__xludf.DUMMYFUNCTION("""COMPUTED_VALUE"""),46154.0)</f>
        <v>46154</v>
      </c>
      <c r="M52" s="696">
        <f>IFERROR(__xludf.DUMMYFUNCTION("""COMPUTED_VALUE"""),10.0)</f>
        <v>10</v>
      </c>
      <c r="N52" s="697">
        <f>IFERROR(__xludf.DUMMYFUNCTION("""COMPUTED_VALUE"""),100.0)</f>
        <v>100</v>
      </c>
      <c r="O52" s="697">
        <f>IFERROR(__xludf.DUMMYFUNCTION("""COMPUTED_VALUE"""),107.0)</f>
        <v>107</v>
      </c>
      <c r="P52" s="612">
        <f>IFERROR(__xludf.DUMMYFUNCTION("""COMPUTED_VALUE"""),1.0)</f>
        <v>1</v>
      </c>
      <c r="Q52" s="697">
        <f>IFERROR(__xludf.DUMMYFUNCTION("""COMPUTED_VALUE"""),2727216.0)</f>
        <v>2727216</v>
      </c>
      <c r="R52" s="697">
        <f>IFERROR(__xludf.DUMMYFUNCTION("""COMPUTED_VALUE"""),82.0)</f>
        <v>82</v>
      </c>
      <c r="S52" s="702"/>
      <c r="T52" s="698" t="str">
        <f t="shared" si="1"/>
        <v>✅ Đã nhận hàng</v>
      </c>
      <c r="U52" s="698" t="str">
        <f t="shared" si="2"/>
        <v>✅ Đã xong</v>
      </c>
      <c r="V52" s="699" t="str">
        <f t="shared" si="3"/>
        <v>✅ Hoàn thành</v>
      </c>
    </row>
    <row r="53" ht="28.5" customHeight="1">
      <c r="A53" s="612" t="str">
        <f>IFERROR(__xludf.DUMMYFUNCTION("""COMPUTED_VALUE"""),"04/2026")</f>
        <v>04/2026</v>
      </c>
      <c r="B53" s="612" t="str">
        <f>IFERROR(__xludf.DUMMYFUNCTION("""COMPUTED_VALUE"""),"Mr Tiên")</f>
        <v>Mr Tiên</v>
      </c>
      <c r="C53" s="612" t="str">
        <f>IFERROR(__xludf.DUMMYFUNCTION("""COMPUTED_VALUE"""),"ĐMH01614")</f>
        <v>ĐMH01614</v>
      </c>
      <c r="D53" s="612" t="str">
        <f>IFERROR(__xludf.DUMMYFUNCTION("""COMPUTED_VALUE"""),"Hoàn thành")</f>
        <v>Hoàn thành</v>
      </c>
      <c r="E53" s="612" t="str">
        <f>IFERROR(__xludf.DUMMYFUNCTION("""COMPUTED_VALUE"""),"SX - Ms Ly")</f>
        <v>SX - Ms Ly</v>
      </c>
      <c r="F53" s="692" t="str">
        <f>IFERROR(__xludf.DUMMYFUNCTION("""COMPUTED_VALUE"""),"THC0004")</f>
        <v>THC0004</v>
      </c>
      <c r="G53" s="612" t="str">
        <f>IFERROR(__xludf.DUMMYFUNCTION("""COMPUTED_VALUE"""),"Đông Tây")</f>
        <v>Đông Tây</v>
      </c>
      <c r="H53" s="693">
        <f>IFERROR(__xludf.DUMMYFUNCTION("""COMPUTED_VALUE"""),46140.0)</f>
        <v>46140</v>
      </c>
      <c r="I53" s="693">
        <f>IFERROR(__xludf.DUMMYFUNCTION("""COMPUTED_VALUE"""),46160.0)</f>
        <v>46160</v>
      </c>
      <c r="J53" s="701">
        <f>IFERROR(__xludf.DUMMYFUNCTION("""COMPUTED_VALUE"""),46140.0)</f>
        <v>46140</v>
      </c>
      <c r="K53" s="694">
        <f>IFERROR(__xludf.DUMMYFUNCTION("""COMPUTED_VALUE"""),46165.0)</f>
        <v>46165</v>
      </c>
      <c r="L53" s="695">
        <f>IFERROR(__xludf.DUMMYFUNCTION("""COMPUTED_VALUE"""),46154.0)</f>
        <v>46154</v>
      </c>
      <c r="M53" s="696">
        <f>IFERROR(__xludf.DUMMYFUNCTION("""COMPUTED_VALUE"""),11.0)</f>
        <v>11</v>
      </c>
      <c r="N53" s="697">
        <f>IFERROR(__xludf.DUMMYFUNCTION("""COMPUTED_VALUE"""),300.0)</f>
        <v>300</v>
      </c>
      <c r="O53" s="697">
        <f>IFERROR(__xludf.DUMMYFUNCTION("""COMPUTED_VALUE"""),309.0)</f>
        <v>309</v>
      </c>
      <c r="P53" s="612">
        <f>IFERROR(__xludf.DUMMYFUNCTION("""COMPUTED_VALUE"""),1.0)</f>
        <v>1</v>
      </c>
      <c r="Q53" s="697">
        <f>IFERROR(__xludf.DUMMYFUNCTION("""COMPUTED_VALUE"""),7241724.0)</f>
        <v>7241724</v>
      </c>
      <c r="R53" s="697">
        <f>IFERROR(__xludf.DUMMYFUNCTION("""COMPUTED_VALUE"""),1092.0)</f>
        <v>1092</v>
      </c>
      <c r="S53" s="702"/>
      <c r="T53" s="698" t="str">
        <f t="shared" si="1"/>
        <v>✅ Đã nhận hàng</v>
      </c>
      <c r="U53" s="698" t="str">
        <f t="shared" si="2"/>
        <v>✅ Đã xong</v>
      </c>
      <c r="V53" s="699" t="str">
        <f t="shared" si="3"/>
        <v>✅ Hoàn thành</v>
      </c>
    </row>
    <row r="54" ht="28.5" customHeight="1">
      <c r="A54" s="612" t="str">
        <f>IFERROR(__xludf.DUMMYFUNCTION("""COMPUTED_VALUE"""),"04/2026")</f>
        <v>04/2026</v>
      </c>
      <c r="B54" s="612" t="str">
        <f>IFERROR(__xludf.DUMMYFUNCTION("""COMPUTED_VALUE"""),"Mr Tiên")</f>
        <v>Mr Tiên</v>
      </c>
      <c r="C54" s="612" t="str">
        <f>IFERROR(__xludf.DUMMYFUNCTION("""COMPUTED_VALUE"""),"ĐMH01617")</f>
        <v>ĐMH01617</v>
      </c>
      <c r="D54" s="612" t="str">
        <f>IFERROR(__xludf.DUMMYFUNCTION("""COMPUTED_VALUE"""),"Hoàn thành")</f>
        <v>Hoàn thành</v>
      </c>
      <c r="E54" s="612" t="str">
        <f>IFERROR(__xludf.DUMMYFUNCTION("""COMPUTED_VALUE"""),"SX - Ms Ly")</f>
        <v>SX - Ms Ly</v>
      </c>
      <c r="F54" s="692" t="str">
        <f>IFERROR(__xludf.DUMMYFUNCTION("""COMPUTED_VALUE"""),"THC0303")</f>
        <v>THC0303</v>
      </c>
      <c r="G54" s="612" t="str">
        <f>IFERROR(__xludf.DUMMYFUNCTION("""COMPUTED_VALUE"""),"BAO BÌ ĐÔNG BẮC")</f>
        <v>BAO BÌ ĐÔNG BẮC</v>
      </c>
      <c r="H54" s="693">
        <f>IFERROR(__xludf.DUMMYFUNCTION("""COMPUTED_VALUE"""),46141.0)</f>
        <v>46141</v>
      </c>
      <c r="I54" s="693">
        <f>IFERROR(__xludf.DUMMYFUNCTION("""COMPUTED_VALUE"""),46161.0)</f>
        <v>46161</v>
      </c>
      <c r="J54" s="701">
        <f>IFERROR(__xludf.DUMMYFUNCTION("""COMPUTED_VALUE"""),46141.0)</f>
        <v>46141</v>
      </c>
      <c r="K54" s="694">
        <f>IFERROR(__xludf.DUMMYFUNCTION("""COMPUTED_VALUE"""),46166.0)</f>
        <v>46166</v>
      </c>
      <c r="L54" s="695">
        <f>IFERROR(__xludf.DUMMYFUNCTION("""COMPUTED_VALUE"""),46158.0)</f>
        <v>46158</v>
      </c>
      <c r="M54" s="696">
        <f>IFERROR(__xludf.DUMMYFUNCTION("""COMPUTED_VALUE"""),8.0)</f>
        <v>8</v>
      </c>
      <c r="N54" s="697">
        <f>IFERROR(__xludf.DUMMYFUNCTION("""COMPUTED_VALUE"""),100.0)</f>
        <v>100</v>
      </c>
      <c r="O54" s="697">
        <f>IFERROR(__xludf.DUMMYFUNCTION("""COMPUTED_VALUE"""),110.0)</f>
        <v>110</v>
      </c>
      <c r="P54" s="612">
        <f>IFERROR(__xludf.DUMMYFUNCTION("""COMPUTED_VALUE"""),1.0)</f>
        <v>1</v>
      </c>
      <c r="Q54" s="697">
        <f>IFERROR(__xludf.DUMMYFUNCTION("""COMPUTED_VALUE"""),2673000.0)</f>
        <v>2673000</v>
      </c>
      <c r="R54" s="697">
        <f>IFERROR(__xludf.DUMMYFUNCTION("""COMPUTED_VALUE"""),86.0)</f>
        <v>86</v>
      </c>
      <c r="S54" s="702"/>
      <c r="T54" s="698" t="str">
        <f t="shared" si="1"/>
        <v>✅ Đã nhận hàng</v>
      </c>
      <c r="U54" s="698" t="str">
        <f t="shared" si="2"/>
        <v>✅ Đã xong</v>
      </c>
      <c r="V54" s="699" t="str">
        <f t="shared" si="3"/>
        <v>✅ Hoàn thành</v>
      </c>
    </row>
    <row r="55" ht="28.5" customHeight="1">
      <c r="A55" s="612" t="str">
        <f>IFERROR(__xludf.DUMMYFUNCTION("""COMPUTED_VALUE"""),"05/2026")</f>
        <v>05/2026</v>
      </c>
      <c r="B55" s="612" t="str">
        <f>IFERROR(__xludf.DUMMYFUNCTION("""COMPUTED_VALUE"""),"Mr Tiên")</f>
        <v>Mr Tiên</v>
      </c>
      <c r="C55" s="612" t="str">
        <f>IFERROR(__xludf.DUMMYFUNCTION("""COMPUTED_VALUE"""),"ĐMH01623")</f>
        <v>ĐMH01623</v>
      </c>
      <c r="D55" s="612" t="str">
        <f>IFERROR(__xludf.DUMMYFUNCTION("""COMPUTED_VALUE"""),"Hoàn thành")</f>
        <v>Hoàn thành</v>
      </c>
      <c r="E55" s="612" t="str">
        <f>IFERROR(__xludf.DUMMYFUNCTION("""COMPUTED_VALUE"""),"SX - Ms Ly")</f>
        <v>SX - Ms Ly</v>
      </c>
      <c r="F55" s="692" t="str">
        <f>IFERROR(__xludf.DUMMYFUNCTION("""COMPUTED_VALUE"""),"THC0078")</f>
        <v>THC0078</v>
      </c>
      <c r="G55" s="612" t="str">
        <f>IFERROR(__xludf.DUMMYFUNCTION("""COMPUTED_VALUE"""),"Đông Tây")</f>
        <v>Đông Tây</v>
      </c>
      <c r="H55" s="693">
        <f>IFERROR(__xludf.DUMMYFUNCTION("""COMPUTED_VALUE"""),46146.0)</f>
        <v>46146</v>
      </c>
      <c r="I55" s="693">
        <f>IFERROR(__xludf.DUMMYFUNCTION("""COMPUTED_VALUE"""),46166.0)</f>
        <v>46166</v>
      </c>
      <c r="J55" s="701">
        <f>IFERROR(__xludf.DUMMYFUNCTION("""COMPUTED_VALUE"""),46146.0)</f>
        <v>46146</v>
      </c>
      <c r="K55" s="694">
        <f>IFERROR(__xludf.DUMMYFUNCTION("""COMPUTED_VALUE"""),46171.0)</f>
        <v>46171</v>
      </c>
      <c r="L55" s="695">
        <f>IFERROR(__xludf.DUMMYFUNCTION("""COMPUTED_VALUE"""),46154.0)</f>
        <v>46154</v>
      </c>
      <c r="M55" s="696">
        <f>IFERROR(__xludf.DUMMYFUNCTION("""COMPUTED_VALUE"""),17.0)</f>
        <v>17</v>
      </c>
      <c r="N55" s="697">
        <f>IFERROR(__xludf.DUMMYFUNCTION("""COMPUTED_VALUE"""),300.0)</f>
        <v>300</v>
      </c>
      <c r="O55" s="697">
        <f>IFERROR(__xludf.DUMMYFUNCTION("""COMPUTED_VALUE"""),306.0)</f>
        <v>306</v>
      </c>
      <c r="P55" s="612">
        <f>IFERROR(__xludf.DUMMYFUNCTION("""COMPUTED_VALUE"""),1.0)</f>
        <v>1</v>
      </c>
      <c r="Q55" s="697">
        <f>IFERROR(__xludf.DUMMYFUNCTION("""COMPUTED_VALUE"""),6526980.0)</f>
        <v>6526980</v>
      </c>
      <c r="R55" s="697">
        <f>IFERROR(__xludf.DUMMYFUNCTION("""COMPUTED_VALUE"""),1094.0)</f>
        <v>1094</v>
      </c>
      <c r="S55" s="702"/>
      <c r="T55" s="698" t="str">
        <f t="shared" si="1"/>
        <v>✅ Đã nhận hàng</v>
      </c>
      <c r="U55" s="698" t="str">
        <f t="shared" si="2"/>
        <v>✅ Đã xong</v>
      </c>
      <c r="V55" s="699" t="str">
        <f t="shared" si="3"/>
        <v>✅ Hoàn thành</v>
      </c>
    </row>
    <row r="56" ht="28.5" customHeight="1">
      <c r="A56" s="612" t="str">
        <f>IFERROR(__xludf.DUMMYFUNCTION("""COMPUTED_VALUE"""),"05/2026")</f>
        <v>05/2026</v>
      </c>
      <c r="B56" s="612" t="str">
        <f>IFERROR(__xludf.DUMMYFUNCTION("""COMPUTED_VALUE"""),"Mr Tiên")</f>
        <v>Mr Tiên</v>
      </c>
      <c r="C56" s="612" t="str">
        <f>IFERROR(__xludf.DUMMYFUNCTION("""COMPUTED_VALUE"""),"ĐMH02698")</f>
        <v>ĐMH02698</v>
      </c>
      <c r="D56" s="612" t="str">
        <f>IFERROR(__xludf.DUMMYFUNCTION("""COMPUTED_VALUE"""),"Hoàn thành")</f>
        <v>Hoàn thành</v>
      </c>
      <c r="E56" s="612" t="str">
        <f>IFERROR(__xludf.DUMMYFUNCTION("""COMPUTED_VALUE"""),"SX - Ms Ly")</f>
        <v>SX - Ms Ly</v>
      </c>
      <c r="F56" s="692" t="str">
        <f>IFERROR(__xludf.DUMMYFUNCTION("""COMPUTED_VALUE"""),"THC0003")</f>
        <v>THC0003</v>
      </c>
      <c r="G56" s="612" t="str">
        <f>IFERROR(__xludf.DUMMYFUNCTION("""COMPUTED_VALUE"""),"Đông Tây")</f>
        <v>Đông Tây</v>
      </c>
      <c r="H56" s="693">
        <f>IFERROR(__xludf.DUMMYFUNCTION("""COMPUTED_VALUE"""),46146.0)</f>
        <v>46146</v>
      </c>
      <c r="I56" s="693">
        <f>IFERROR(__xludf.DUMMYFUNCTION("""COMPUTED_VALUE"""),46166.0)</f>
        <v>46166</v>
      </c>
      <c r="J56" s="701">
        <f>IFERROR(__xludf.DUMMYFUNCTION("""COMPUTED_VALUE"""),46146.0)</f>
        <v>46146</v>
      </c>
      <c r="K56" s="694">
        <f>IFERROR(__xludf.DUMMYFUNCTION("""COMPUTED_VALUE"""),46171.0)</f>
        <v>46171</v>
      </c>
      <c r="L56" s="695">
        <f>IFERROR(__xludf.DUMMYFUNCTION("""COMPUTED_VALUE"""),46151.0)</f>
        <v>46151</v>
      </c>
      <c r="M56" s="696">
        <f>IFERROR(__xludf.DUMMYFUNCTION("""COMPUTED_VALUE"""),20.0)</f>
        <v>20</v>
      </c>
      <c r="N56" s="697">
        <f>IFERROR(__xludf.DUMMYFUNCTION("""COMPUTED_VALUE"""),200.0)</f>
        <v>200</v>
      </c>
      <c r="O56" s="697">
        <f>IFERROR(__xludf.DUMMYFUNCTION("""COMPUTED_VALUE"""),210.0)</f>
        <v>210</v>
      </c>
      <c r="P56" s="612">
        <f>IFERROR(__xludf.DUMMYFUNCTION("""COMPUTED_VALUE"""),1.0)</f>
        <v>1</v>
      </c>
      <c r="Q56" s="697">
        <f>IFERROR(__xludf.DUMMYFUNCTION("""COMPUTED_VALUE"""),4377240.0)</f>
        <v>4377240</v>
      </c>
      <c r="R56" s="697">
        <f>IFERROR(__xludf.DUMMYFUNCTION("""COMPUTED_VALUE"""),1056.0)</f>
        <v>1056</v>
      </c>
      <c r="S56" s="702"/>
      <c r="T56" s="698" t="str">
        <f t="shared" si="1"/>
        <v>✅ Đã nhận hàng</v>
      </c>
      <c r="U56" s="698" t="str">
        <f t="shared" si="2"/>
        <v>✅ Đã xong</v>
      </c>
      <c r="V56" s="699" t="str">
        <f t="shared" si="3"/>
        <v>✅ Hoàn thành</v>
      </c>
    </row>
    <row r="57" ht="28.5" customHeight="1">
      <c r="A57" s="612" t="str">
        <f>IFERROR(__xludf.DUMMYFUNCTION("""COMPUTED_VALUE"""),"05/2026")</f>
        <v>05/2026</v>
      </c>
      <c r="B57" s="612" t="str">
        <f>IFERROR(__xludf.DUMMYFUNCTION("""COMPUTED_VALUE"""),"Mr Tiên")</f>
        <v>Mr Tiên</v>
      </c>
      <c r="C57" s="612" t="str">
        <f>IFERROR(__xludf.DUMMYFUNCTION("""COMPUTED_VALUE"""),"ĐMH01644")</f>
        <v>ĐMH01644</v>
      </c>
      <c r="D57" s="612" t="str">
        <f>IFERROR(__xludf.DUMMYFUNCTION("""COMPUTED_VALUE"""),"Hoàn thành")</f>
        <v>Hoàn thành</v>
      </c>
      <c r="E57" s="612" t="str">
        <f>IFERROR(__xludf.DUMMYFUNCTION("""COMPUTED_VALUE"""),"SX - Ms Ly")</f>
        <v>SX - Ms Ly</v>
      </c>
      <c r="F57" s="692" t="str">
        <f>IFERROR(__xludf.DUMMYFUNCTION("""COMPUTED_VALUE"""),"THC0003")</f>
        <v>THC0003</v>
      </c>
      <c r="G57" s="612" t="str">
        <f>IFERROR(__xludf.DUMMYFUNCTION("""COMPUTED_VALUE"""),"Đông Tây")</f>
        <v>Đông Tây</v>
      </c>
      <c r="H57" s="693">
        <f>IFERROR(__xludf.DUMMYFUNCTION("""COMPUTED_VALUE"""),46146.0)</f>
        <v>46146</v>
      </c>
      <c r="I57" s="693">
        <f>IFERROR(__xludf.DUMMYFUNCTION("""COMPUTED_VALUE"""),46166.0)</f>
        <v>46166</v>
      </c>
      <c r="J57" s="701">
        <f>IFERROR(__xludf.DUMMYFUNCTION("""COMPUTED_VALUE"""),46146.0)</f>
        <v>46146</v>
      </c>
      <c r="K57" s="694">
        <f>IFERROR(__xludf.DUMMYFUNCTION("""COMPUTED_VALUE"""),46171.0)</f>
        <v>46171</v>
      </c>
      <c r="L57" s="695">
        <f>IFERROR(__xludf.DUMMYFUNCTION("""COMPUTED_VALUE"""),46151.0)</f>
        <v>46151</v>
      </c>
      <c r="M57" s="696">
        <f>IFERROR(__xludf.DUMMYFUNCTION("""COMPUTED_VALUE"""),20.0)</f>
        <v>20</v>
      </c>
      <c r="N57" s="697">
        <f>IFERROR(__xludf.DUMMYFUNCTION("""COMPUTED_VALUE"""),100.0)</f>
        <v>100</v>
      </c>
      <c r="O57" s="697">
        <f>IFERROR(__xludf.DUMMYFUNCTION("""COMPUTED_VALUE"""),107.0)</f>
        <v>107</v>
      </c>
      <c r="P57" s="612">
        <f>IFERROR(__xludf.DUMMYFUNCTION("""COMPUTED_VALUE"""),1.0)</f>
        <v>1</v>
      </c>
      <c r="Q57" s="697">
        <f>IFERROR(__xludf.DUMMYFUNCTION("""COMPUTED_VALUE"""),2230308.0)</f>
        <v>2230308</v>
      </c>
      <c r="R57" s="697">
        <f>IFERROR(__xludf.DUMMYFUNCTION("""COMPUTED_VALUE"""),1057.0)</f>
        <v>1057</v>
      </c>
      <c r="S57" s="702"/>
      <c r="T57" s="698" t="str">
        <f t="shared" si="1"/>
        <v>✅ Đã nhận hàng</v>
      </c>
      <c r="U57" s="698" t="str">
        <f t="shared" si="2"/>
        <v>✅ Đã xong</v>
      </c>
      <c r="V57" s="699" t="str">
        <f t="shared" si="3"/>
        <v>✅ Hoàn thành</v>
      </c>
    </row>
    <row r="58" ht="28.5" customHeight="1">
      <c r="A58" s="612" t="str">
        <f>IFERROR(__xludf.DUMMYFUNCTION("""COMPUTED_VALUE"""),"05/2026")</f>
        <v>05/2026</v>
      </c>
      <c r="B58" s="612" t="str">
        <f>IFERROR(__xludf.DUMMYFUNCTION("""COMPUTED_VALUE"""),"Mr Tiên")</f>
        <v>Mr Tiên</v>
      </c>
      <c r="C58" s="612" t="str">
        <f>IFERROR(__xludf.DUMMYFUNCTION("""COMPUTED_VALUE"""),"ĐMH01662")</f>
        <v>ĐMH01662</v>
      </c>
      <c r="D58" s="612" t="str">
        <f>IFERROR(__xludf.DUMMYFUNCTION("""COMPUTED_VALUE"""),"Hoàn thành")</f>
        <v>Hoàn thành</v>
      </c>
      <c r="E58" s="612" t="str">
        <f>IFERROR(__xludf.DUMMYFUNCTION("""COMPUTED_VALUE"""),"SX - Ms Ly")</f>
        <v>SX - Ms Ly</v>
      </c>
      <c r="F58" s="692" t="str">
        <f>IFERROR(__xludf.DUMMYFUNCTION("""COMPUTED_VALUE"""),"THC0078")</f>
        <v>THC0078</v>
      </c>
      <c r="G58" s="612" t="str">
        <f>IFERROR(__xludf.DUMMYFUNCTION("""COMPUTED_VALUE"""),"Đông Tây")</f>
        <v>Đông Tây</v>
      </c>
      <c r="H58" s="693">
        <f>IFERROR(__xludf.DUMMYFUNCTION("""COMPUTED_VALUE"""),46154.0)</f>
        <v>46154</v>
      </c>
      <c r="I58" s="693">
        <f>IFERROR(__xludf.DUMMYFUNCTION("""COMPUTED_VALUE"""),46174.0)</f>
        <v>46174</v>
      </c>
      <c r="J58" s="701">
        <f>IFERROR(__xludf.DUMMYFUNCTION("""COMPUTED_VALUE"""),46154.0)</f>
        <v>46154</v>
      </c>
      <c r="K58" s="694">
        <f>IFERROR(__xludf.DUMMYFUNCTION("""COMPUTED_VALUE"""),46179.0)</f>
        <v>46179</v>
      </c>
      <c r="L58" s="695">
        <f>IFERROR(__xludf.DUMMYFUNCTION("""COMPUTED_VALUE"""),46158.0)</f>
        <v>46158</v>
      </c>
      <c r="M58" s="696">
        <f>IFERROR(__xludf.DUMMYFUNCTION("""COMPUTED_VALUE"""),21.0)</f>
        <v>21</v>
      </c>
      <c r="N58" s="697">
        <f>IFERROR(__xludf.DUMMYFUNCTION("""COMPUTED_VALUE"""),300.0)</f>
        <v>300</v>
      </c>
      <c r="O58" s="697">
        <f>IFERROR(__xludf.DUMMYFUNCTION("""COMPUTED_VALUE"""),312.0)</f>
        <v>312</v>
      </c>
      <c r="P58" s="612">
        <f>IFERROR(__xludf.DUMMYFUNCTION("""COMPUTED_VALUE"""),1.0)</f>
        <v>1</v>
      </c>
      <c r="Q58" s="697">
        <f>IFERROR(__xludf.DUMMYFUNCTION("""COMPUTED_VALUE"""),6654960.0)</f>
        <v>6654960</v>
      </c>
      <c r="R58" s="697">
        <f>IFERROR(__xludf.DUMMYFUNCTION("""COMPUTED_VALUE"""),1133.0)</f>
        <v>1133</v>
      </c>
      <c r="S58" s="702"/>
      <c r="T58" s="698" t="str">
        <f t="shared" si="1"/>
        <v>✅ Đã nhận hàng</v>
      </c>
      <c r="U58" s="698" t="str">
        <f t="shared" si="2"/>
        <v>✅ Đã xong</v>
      </c>
      <c r="V58" s="699" t="str">
        <f t="shared" si="3"/>
        <v>✅ Hoàn thành</v>
      </c>
    </row>
    <row r="59" ht="28.5" customHeight="1">
      <c r="A59" s="612" t="str">
        <f>IFERROR(__xludf.DUMMYFUNCTION("""COMPUTED_VALUE"""),"05/2026")</f>
        <v>05/2026</v>
      </c>
      <c r="B59" s="612" t="str">
        <f>IFERROR(__xludf.DUMMYFUNCTION("""COMPUTED_VALUE"""),"Mr Tiên")</f>
        <v>Mr Tiên</v>
      </c>
      <c r="C59" s="612" t="str">
        <f>IFERROR(__xludf.DUMMYFUNCTION("""COMPUTED_VALUE"""),"ĐMH01663")</f>
        <v>ĐMH01663</v>
      </c>
      <c r="D59" s="612" t="str">
        <f>IFERROR(__xludf.DUMMYFUNCTION("""COMPUTED_VALUE"""),"Hoàn thành")</f>
        <v>Hoàn thành</v>
      </c>
      <c r="E59" s="612" t="str">
        <f>IFERROR(__xludf.DUMMYFUNCTION("""COMPUTED_VALUE"""),"SX - Ms Ly")</f>
        <v>SX - Ms Ly</v>
      </c>
      <c r="F59" s="692" t="str">
        <f>IFERROR(__xludf.DUMMYFUNCTION("""COMPUTED_VALUE"""),"THC0304")</f>
        <v>THC0304</v>
      </c>
      <c r="G59" s="612" t="str">
        <f>IFERROR(__xludf.DUMMYFUNCTION("""COMPUTED_VALUE"""),"Đông Tây")</f>
        <v>Đông Tây</v>
      </c>
      <c r="H59" s="693">
        <f>IFERROR(__xludf.DUMMYFUNCTION("""COMPUTED_VALUE"""),46154.0)</f>
        <v>46154</v>
      </c>
      <c r="I59" s="693">
        <f>IFERROR(__xludf.DUMMYFUNCTION("""COMPUTED_VALUE"""),46169.0)</f>
        <v>46169</v>
      </c>
      <c r="J59" s="701">
        <f>IFERROR(__xludf.DUMMYFUNCTION("""COMPUTED_VALUE"""),46154.0)</f>
        <v>46154</v>
      </c>
      <c r="K59" s="694">
        <f>IFERROR(__xludf.DUMMYFUNCTION("""COMPUTED_VALUE"""),46179.0)</f>
        <v>46179</v>
      </c>
      <c r="L59" s="695">
        <f>IFERROR(__xludf.DUMMYFUNCTION("""COMPUTED_VALUE"""),46172.0)</f>
        <v>46172</v>
      </c>
      <c r="M59" s="696">
        <f>IFERROR(__xludf.DUMMYFUNCTION("""COMPUTED_VALUE"""),7.0)</f>
        <v>7</v>
      </c>
      <c r="N59" s="697">
        <f>IFERROR(__xludf.DUMMYFUNCTION("""COMPUTED_VALUE"""),100.0)</f>
        <v>100</v>
      </c>
      <c r="O59" s="697">
        <f>IFERROR(__xludf.DUMMYFUNCTION("""COMPUTED_VALUE"""),110.0)</f>
        <v>110</v>
      </c>
      <c r="P59" s="612">
        <f>IFERROR(__xludf.DUMMYFUNCTION("""COMPUTED_VALUE"""),1.0)</f>
        <v>1</v>
      </c>
      <c r="Q59" s="697">
        <f>IFERROR(__xludf.DUMMYFUNCTION("""COMPUTED_VALUE"""),2779920.0)</f>
        <v>2779920</v>
      </c>
      <c r="R59" s="697">
        <f>IFERROR(__xludf.DUMMYFUNCTION("""COMPUTED_VALUE"""),1251.0)</f>
        <v>1251</v>
      </c>
      <c r="S59" s="702" t="str">
        <f>IFERROR(__xludf.DUMMYFUNCTION("""COMPUTED_VALUE"""),"Hết giấy")</f>
        <v>Hết giấy</v>
      </c>
      <c r="T59" s="698" t="str">
        <f t="shared" si="1"/>
        <v>✅ Đã nhận hàng</v>
      </c>
      <c r="U59" s="698" t="str">
        <f t="shared" si="2"/>
        <v>✅ Đã xong</v>
      </c>
      <c r="V59" s="699" t="str">
        <f t="shared" si="3"/>
        <v>✅ Hoàn thành</v>
      </c>
    </row>
    <row r="60" ht="28.5" customHeight="1">
      <c r="A60" s="612" t="str">
        <f>IFERROR(__xludf.DUMMYFUNCTION("""COMPUTED_VALUE"""),"05/2026")</f>
        <v>05/2026</v>
      </c>
      <c r="B60" s="612" t="str">
        <f>IFERROR(__xludf.DUMMYFUNCTION("""COMPUTED_VALUE"""),"Mr Tiên")</f>
        <v>Mr Tiên</v>
      </c>
      <c r="C60" s="612" t="str">
        <f>IFERROR(__xludf.DUMMYFUNCTION("""COMPUTED_VALUE"""),"ĐMH01706")</f>
        <v>ĐMH01706</v>
      </c>
      <c r="D60" s="612" t="str">
        <f>IFERROR(__xludf.DUMMYFUNCTION("""COMPUTED_VALUE"""),"Hoàn thành")</f>
        <v>Hoàn thành</v>
      </c>
      <c r="E60" s="612" t="str">
        <f>IFERROR(__xludf.DUMMYFUNCTION("""COMPUTED_VALUE"""),"SX - Ms Ly")</f>
        <v>SX - Ms Ly</v>
      </c>
      <c r="F60" s="692" t="str">
        <f>IFERROR(__xludf.DUMMYFUNCTION("""COMPUTED_VALUE"""),"THC0262")</f>
        <v>THC0262</v>
      </c>
      <c r="G60" s="612" t="str">
        <f>IFERROR(__xludf.DUMMYFUNCTION("""COMPUTED_VALUE"""),"Đông Tây")</f>
        <v>Đông Tây</v>
      </c>
      <c r="H60" s="693">
        <f>IFERROR(__xludf.DUMMYFUNCTION("""COMPUTED_VALUE"""),46162.0)</f>
        <v>46162</v>
      </c>
      <c r="I60" s="693">
        <f>IFERROR(__xludf.DUMMYFUNCTION("""COMPUTED_VALUE"""),46177.0)</f>
        <v>46177</v>
      </c>
      <c r="J60" s="701">
        <f>IFERROR(__xludf.DUMMYFUNCTION("""COMPUTED_VALUE"""),46162.0)</f>
        <v>46162</v>
      </c>
      <c r="K60" s="694">
        <f>IFERROR(__xludf.DUMMYFUNCTION("""COMPUTED_VALUE"""),46187.0)</f>
        <v>46187</v>
      </c>
      <c r="L60" s="695">
        <f>IFERROR(__xludf.DUMMYFUNCTION("""COMPUTED_VALUE"""),46169.0)</f>
        <v>46169</v>
      </c>
      <c r="M60" s="696">
        <f>IFERROR(__xludf.DUMMYFUNCTION("""COMPUTED_VALUE"""),18.0)</f>
        <v>18</v>
      </c>
      <c r="N60" s="697">
        <f>IFERROR(__xludf.DUMMYFUNCTION("""COMPUTED_VALUE"""),200.0)</f>
        <v>200</v>
      </c>
      <c r="O60" s="697">
        <f>IFERROR(__xludf.DUMMYFUNCTION("""COMPUTED_VALUE"""),208.0)</f>
        <v>208</v>
      </c>
      <c r="P60" s="612">
        <f>IFERROR(__xludf.DUMMYFUNCTION("""COMPUTED_VALUE"""),1.0)</f>
        <v>1</v>
      </c>
      <c r="Q60" s="697">
        <f>IFERROR(__xludf.DUMMYFUNCTION("""COMPUTED_VALUE"""),4930848.0)</f>
        <v>4930848</v>
      </c>
      <c r="R60" s="697">
        <f>IFERROR(__xludf.DUMMYFUNCTION("""COMPUTED_VALUE"""),1214.0)</f>
        <v>1214</v>
      </c>
      <c r="S60" s="702"/>
      <c r="T60" s="698" t="str">
        <f t="shared" si="1"/>
        <v>✅ Đã nhận hàng</v>
      </c>
      <c r="U60" s="698" t="str">
        <f t="shared" si="2"/>
        <v>✅ Đã xong</v>
      </c>
      <c r="V60" s="699" t="str">
        <f t="shared" si="3"/>
        <v>✅ Hoàn thành</v>
      </c>
    </row>
    <row r="61" ht="28.5" customHeight="1">
      <c r="A61" s="612" t="str">
        <f>IFERROR(__xludf.DUMMYFUNCTION("""COMPUTED_VALUE"""),"05/2026")</f>
        <v>05/2026</v>
      </c>
      <c r="B61" s="612" t="str">
        <f>IFERROR(__xludf.DUMMYFUNCTION("""COMPUTED_VALUE"""),"Mr Tiên")</f>
        <v>Mr Tiên</v>
      </c>
      <c r="C61" s="612" t="str">
        <f>IFERROR(__xludf.DUMMYFUNCTION("""COMPUTED_VALUE"""),"ĐMH01705")</f>
        <v>ĐMH01705</v>
      </c>
      <c r="D61" s="612" t="str">
        <f>IFERROR(__xludf.DUMMYFUNCTION("""COMPUTED_VALUE"""),"Hoàn thành")</f>
        <v>Hoàn thành</v>
      </c>
      <c r="E61" s="612" t="str">
        <f>IFERROR(__xludf.DUMMYFUNCTION("""COMPUTED_VALUE"""),"SX - Ms Ly")</f>
        <v>SX - Ms Ly</v>
      </c>
      <c r="F61" s="692" t="str">
        <f>IFERROR(__xludf.DUMMYFUNCTION("""COMPUTED_VALUE"""),"THC0077")</f>
        <v>THC0077</v>
      </c>
      <c r="G61" s="612" t="str">
        <f>IFERROR(__xludf.DUMMYFUNCTION("""COMPUTED_VALUE"""),"Đông Tây")</f>
        <v>Đông Tây</v>
      </c>
      <c r="H61" s="693">
        <f>IFERROR(__xludf.DUMMYFUNCTION("""COMPUTED_VALUE"""),46162.0)</f>
        <v>46162</v>
      </c>
      <c r="I61" s="693">
        <f>IFERROR(__xludf.DUMMYFUNCTION("""COMPUTED_VALUE"""),46177.0)</f>
        <v>46177</v>
      </c>
      <c r="J61" s="701">
        <f>IFERROR(__xludf.DUMMYFUNCTION("""COMPUTED_VALUE"""),46162.0)</f>
        <v>46162</v>
      </c>
      <c r="K61" s="694">
        <f>IFERROR(__xludf.DUMMYFUNCTION("""COMPUTED_VALUE"""),46187.0)</f>
        <v>46187</v>
      </c>
      <c r="L61" s="695">
        <f>IFERROR(__xludf.DUMMYFUNCTION("""COMPUTED_VALUE"""),46169.0)</f>
        <v>46169</v>
      </c>
      <c r="M61" s="696">
        <f>IFERROR(__xludf.DUMMYFUNCTION("""COMPUTED_VALUE"""),18.0)</f>
        <v>18</v>
      </c>
      <c r="N61" s="697">
        <f>IFERROR(__xludf.DUMMYFUNCTION("""COMPUTED_VALUE"""),100.0)</f>
        <v>100</v>
      </c>
      <c r="O61" s="697">
        <f>IFERROR(__xludf.DUMMYFUNCTION("""COMPUTED_VALUE"""),100.0)</f>
        <v>100</v>
      </c>
      <c r="P61" s="612">
        <f>IFERROR(__xludf.DUMMYFUNCTION("""COMPUTED_VALUE"""),1.0)</f>
        <v>1</v>
      </c>
      <c r="Q61" s="697">
        <f>IFERROR(__xludf.DUMMYFUNCTION("""COMPUTED_VALUE"""),1566000.0)</f>
        <v>1566000</v>
      </c>
      <c r="R61" s="697">
        <f>IFERROR(__xludf.DUMMYFUNCTION("""COMPUTED_VALUE"""),1215.0)</f>
        <v>1215</v>
      </c>
      <c r="S61" s="702"/>
      <c r="T61" s="698" t="str">
        <f t="shared" si="1"/>
        <v>✅ Đã nhận hàng</v>
      </c>
      <c r="U61" s="698" t="str">
        <f t="shared" si="2"/>
        <v>✅ Đã xong</v>
      </c>
      <c r="V61" s="699" t="str">
        <f t="shared" si="3"/>
        <v>✅ Hoàn thành</v>
      </c>
    </row>
    <row r="62" ht="28.5" customHeight="1">
      <c r="A62" s="612" t="str">
        <f>IFERROR(__xludf.DUMMYFUNCTION("""COMPUTED_VALUE"""),"05/2026")</f>
        <v>05/2026</v>
      </c>
      <c r="B62" s="612" t="str">
        <f>IFERROR(__xludf.DUMMYFUNCTION("""COMPUTED_VALUE"""),"Mr Tiên")</f>
        <v>Mr Tiên</v>
      </c>
      <c r="C62" s="612" t="str">
        <f>IFERROR(__xludf.DUMMYFUNCTION("""COMPUTED_VALUE"""),"ĐMH01705")</f>
        <v>ĐMH01705</v>
      </c>
      <c r="D62" s="612" t="str">
        <f>IFERROR(__xludf.DUMMYFUNCTION("""COMPUTED_VALUE"""),"Hoàn thành")</f>
        <v>Hoàn thành</v>
      </c>
      <c r="E62" s="612" t="str">
        <f>IFERROR(__xludf.DUMMYFUNCTION("""COMPUTED_VALUE"""),"SX - Ms Ly")</f>
        <v>SX - Ms Ly</v>
      </c>
      <c r="F62" s="692" t="str">
        <f>IFERROR(__xludf.DUMMYFUNCTION("""COMPUTED_VALUE"""),"THC0077")</f>
        <v>THC0077</v>
      </c>
      <c r="G62" s="612" t="str">
        <f>IFERROR(__xludf.DUMMYFUNCTION("""COMPUTED_VALUE"""),"Đông Tây")</f>
        <v>Đông Tây</v>
      </c>
      <c r="H62" s="693">
        <f>IFERROR(__xludf.DUMMYFUNCTION("""COMPUTED_VALUE"""),46162.0)</f>
        <v>46162</v>
      </c>
      <c r="I62" s="693">
        <f>IFERROR(__xludf.DUMMYFUNCTION("""COMPUTED_VALUE"""),46177.0)</f>
        <v>46177</v>
      </c>
      <c r="J62" s="701">
        <f>IFERROR(__xludf.DUMMYFUNCTION("""COMPUTED_VALUE"""),46162.0)</f>
        <v>46162</v>
      </c>
      <c r="K62" s="694">
        <f>IFERROR(__xludf.DUMMYFUNCTION("""COMPUTED_VALUE"""),46187.0)</f>
        <v>46187</v>
      </c>
      <c r="L62" s="695">
        <f>IFERROR(__xludf.DUMMYFUNCTION("""COMPUTED_VALUE"""),46169.0)</f>
        <v>46169</v>
      </c>
      <c r="M62" s="696">
        <f>IFERROR(__xludf.DUMMYFUNCTION("""COMPUTED_VALUE"""),18.0)</f>
        <v>18</v>
      </c>
      <c r="N62" s="697">
        <f>IFERROR(__xludf.DUMMYFUNCTION("""COMPUTED_VALUE"""),100.0)</f>
        <v>100</v>
      </c>
      <c r="O62" s="697">
        <f>IFERROR(__xludf.DUMMYFUNCTION("""COMPUTED_VALUE"""),108.0)</f>
        <v>108</v>
      </c>
      <c r="P62" s="612">
        <f>IFERROR(__xludf.DUMMYFUNCTION("""COMPUTED_VALUE"""),1.0)</f>
        <v>1</v>
      </c>
      <c r="Q62" s="697">
        <f>IFERROR(__xludf.DUMMYFUNCTION("""COMPUTED_VALUE"""),1691280.0)</f>
        <v>1691280</v>
      </c>
      <c r="R62" s="697">
        <f>IFERROR(__xludf.DUMMYFUNCTION("""COMPUTED_VALUE"""),1216.0)</f>
        <v>1216</v>
      </c>
      <c r="S62" s="702"/>
      <c r="T62" s="698" t="str">
        <f t="shared" si="1"/>
        <v>✅ Đã nhận hàng</v>
      </c>
      <c r="U62" s="698" t="str">
        <f t="shared" si="2"/>
        <v>✅ Đã xong</v>
      </c>
      <c r="V62" s="699" t="str">
        <f t="shared" si="3"/>
        <v>✅ Hoàn thành</v>
      </c>
    </row>
    <row r="63" ht="28.5" customHeight="1">
      <c r="A63" s="612" t="str">
        <f>IFERROR(__xludf.DUMMYFUNCTION("""COMPUTED_VALUE"""),"05/2026")</f>
        <v>05/2026</v>
      </c>
      <c r="B63" s="612" t="str">
        <f>IFERROR(__xludf.DUMMYFUNCTION("""COMPUTED_VALUE"""),"Mr Tiên")</f>
        <v>Mr Tiên</v>
      </c>
      <c r="C63" s="612" t="str">
        <f>IFERROR(__xludf.DUMMYFUNCTION("""COMPUTED_VALUE"""),"ĐMH01713")</f>
        <v>ĐMH01713</v>
      </c>
      <c r="D63" s="612" t="str">
        <f>IFERROR(__xludf.DUMMYFUNCTION("""COMPUTED_VALUE"""),"Hoàn thành")</f>
        <v>Hoàn thành</v>
      </c>
      <c r="E63" s="612" t="str">
        <f>IFERROR(__xludf.DUMMYFUNCTION("""COMPUTED_VALUE"""),"SX - Ms Ly")</f>
        <v>SX - Ms Ly</v>
      </c>
      <c r="F63" s="692" t="str">
        <f>IFERROR(__xludf.DUMMYFUNCTION("""COMPUTED_VALUE"""),"THC0306")</f>
        <v>THC0306</v>
      </c>
      <c r="G63" s="612" t="str">
        <f>IFERROR(__xludf.DUMMYFUNCTION("""COMPUTED_VALUE"""),"Đông Tây")</f>
        <v>Đông Tây</v>
      </c>
      <c r="H63" s="693">
        <f>IFERROR(__xludf.DUMMYFUNCTION("""COMPUTED_VALUE"""),46162.0)</f>
        <v>46162</v>
      </c>
      <c r="I63" s="693">
        <f>IFERROR(__xludf.DUMMYFUNCTION("""COMPUTED_VALUE"""),46177.0)</f>
        <v>46177</v>
      </c>
      <c r="J63" s="701">
        <f>IFERROR(__xludf.DUMMYFUNCTION("""COMPUTED_VALUE"""),46162.0)</f>
        <v>46162</v>
      </c>
      <c r="K63" s="694">
        <f>IFERROR(__xludf.DUMMYFUNCTION("""COMPUTED_VALUE"""),46187.0)</f>
        <v>46187</v>
      </c>
      <c r="L63" s="695">
        <f>IFERROR(__xludf.DUMMYFUNCTION("""COMPUTED_VALUE"""),46172.0)</f>
        <v>46172</v>
      </c>
      <c r="M63" s="696">
        <f>IFERROR(__xludf.DUMMYFUNCTION("""COMPUTED_VALUE"""),15.0)</f>
        <v>15</v>
      </c>
      <c r="N63" s="697">
        <f>IFERROR(__xludf.DUMMYFUNCTION("""COMPUTED_VALUE"""),100.0)</f>
        <v>100</v>
      </c>
      <c r="O63" s="697">
        <f>IFERROR(__xludf.DUMMYFUNCTION("""COMPUTED_VALUE"""),104.0)</f>
        <v>104</v>
      </c>
      <c r="P63" s="612">
        <f>IFERROR(__xludf.DUMMYFUNCTION("""COMPUTED_VALUE"""),1.0)</f>
        <v>1</v>
      </c>
      <c r="Q63" s="697">
        <f>IFERROR(__xludf.DUMMYFUNCTION("""COMPUTED_VALUE"""),1886976.0)</f>
        <v>1886976</v>
      </c>
      <c r="R63" s="697">
        <f>IFERROR(__xludf.DUMMYFUNCTION("""COMPUTED_VALUE"""),1250.0)</f>
        <v>1250</v>
      </c>
      <c r="S63" s="702"/>
      <c r="T63" s="698" t="str">
        <f t="shared" si="1"/>
        <v>✅ Đã nhận hàng</v>
      </c>
      <c r="U63" s="698" t="str">
        <f t="shared" si="2"/>
        <v>✅ Đã xong</v>
      </c>
      <c r="V63" s="699" t="str">
        <f t="shared" si="3"/>
        <v>✅ Hoàn thành</v>
      </c>
    </row>
    <row r="64" ht="28.5" customHeight="1">
      <c r="A64" s="612" t="str">
        <f>IFERROR(__xludf.DUMMYFUNCTION("""COMPUTED_VALUE"""),"05/2026")</f>
        <v>05/2026</v>
      </c>
      <c r="B64" s="612" t="str">
        <f>IFERROR(__xludf.DUMMYFUNCTION("""COMPUTED_VALUE"""),"Mr Tiên")</f>
        <v>Mr Tiên</v>
      </c>
      <c r="C64" s="612" t="str">
        <f>IFERROR(__xludf.DUMMYFUNCTION("""COMPUTED_VALUE"""),"ĐMH00001")</f>
        <v>ĐMH00001</v>
      </c>
      <c r="D64" s="612" t="str">
        <f>IFERROR(__xludf.DUMMYFUNCTION("""COMPUTED_VALUE"""),"Đã đặt hàng")</f>
        <v>Đã đặt hàng</v>
      </c>
      <c r="E64" s="612" t="str">
        <f>IFERROR(__xludf.DUMMYFUNCTION("""COMPUTED_VALUE"""),"KD ICARE")</f>
        <v>KD ICARE</v>
      </c>
      <c r="F64" s="692" t="str">
        <f>IFERROR(__xludf.DUMMYFUNCTION("""COMPUTED_VALUE"""),"VT00035")</f>
        <v>VT00035</v>
      </c>
      <c r="G64" s="612" t="str">
        <f>IFERROR(__xludf.DUMMYFUNCTION("""COMPUTED_VALUE"""),"Đông Tây")</f>
        <v>Đông Tây</v>
      </c>
      <c r="H64" s="693">
        <f>IFERROR(__xludf.DUMMYFUNCTION("""COMPUTED_VALUE"""),46165.0)</f>
        <v>46165</v>
      </c>
      <c r="I64" s="693">
        <f>IFERROR(__xludf.DUMMYFUNCTION("""COMPUTED_VALUE"""),46183.0)</f>
        <v>46183</v>
      </c>
      <c r="J64" s="701">
        <f>IFERROR(__xludf.DUMMYFUNCTION("""COMPUTED_VALUE"""),46165.0)</f>
        <v>46165</v>
      </c>
      <c r="K64" s="694">
        <f>IFERROR(__xludf.DUMMYFUNCTION("""COMPUTED_VALUE"""),46190.0)</f>
        <v>46190</v>
      </c>
      <c r="L64" s="695">
        <f>IFERROR(__xludf.DUMMYFUNCTION("""COMPUTED_VALUE"""),46181.0)</f>
        <v>46181</v>
      </c>
      <c r="M64" s="696">
        <f>IFERROR(__xludf.DUMMYFUNCTION("""COMPUTED_VALUE"""),9.0)</f>
        <v>9</v>
      </c>
      <c r="N64" s="697">
        <f>IFERROR(__xludf.DUMMYFUNCTION("""COMPUTED_VALUE"""),20.0)</f>
        <v>20</v>
      </c>
      <c r="O64" s="697">
        <f>IFERROR(__xludf.DUMMYFUNCTION("""COMPUTED_VALUE"""),28.0)</f>
        <v>28</v>
      </c>
      <c r="P64" s="612">
        <f>IFERROR(__xludf.DUMMYFUNCTION("""COMPUTED_VALUE"""),1.0)</f>
        <v>1</v>
      </c>
      <c r="Q64" s="697">
        <f>IFERROR(__xludf.DUMMYFUNCTION("""COMPUTED_VALUE"""),710640.0)</f>
        <v>710640</v>
      </c>
      <c r="R64" s="697">
        <f>IFERROR(__xludf.DUMMYFUNCTION("""COMPUTED_VALUE"""),1320.0)</f>
        <v>1320</v>
      </c>
      <c r="S64" s="702"/>
      <c r="T64" s="698" t="str">
        <f t="shared" si="1"/>
        <v>✅ Đã nhận hàng</v>
      </c>
      <c r="U64" s="698" t="str">
        <f t="shared" si="2"/>
        <v>✅ Đã xong</v>
      </c>
      <c r="V64" s="699" t="str">
        <f t="shared" si="3"/>
        <v>✅ Hoàn thành</v>
      </c>
    </row>
    <row r="65" ht="28.5" customHeight="1">
      <c r="A65" s="612" t="str">
        <f>IFERROR(__xludf.DUMMYFUNCTION("""COMPUTED_VALUE"""),"05/2026")</f>
        <v>05/2026</v>
      </c>
      <c r="B65" s="612" t="str">
        <f>IFERROR(__xludf.DUMMYFUNCTION("""COMPUTED_VALUE"""),"Mr Tiên")</f>
        <v>Mr Tiên</v>
      </c>
      <c r="C65" s="612" t="str">
        <f>IFERROR(__xludf.DUMMYFUNCTION("""COMPUTED_VALUE"""),"ĐMH00002")</f>
        <v>ĐMH00002</v>
      </c>
      <c r="D65" s="612" t="str">
        <f>IFERROR(__xludf.DUMMYFUNCTION("""COMPUTED_VALUE"""),"Đã đặt hàng")</f>
        <v>Đã đặt hàng</v>
      </c>
      <c r="E65" s="612" t="str">
        <f>IFERROR(__xludf.DUMMYFUNCTION("""COMPUTED_VALUE"""),"KD ICARE")</f>
        <v>KD ICARE</v>
      </c>
      <c r="F65" s="692" t="str">
        <f>IFERROR(__xludf.DUMMYFUNCTION("""COMPUTED_VALUE"""),"VT00035")</f>
        <v>VT00035</v>
      </c>
      <c r="G65" s="612" t="str">
        <f>IFERROR(__xludf.DUMMYFUNCTION("""COMPUTED_VALUE"""),"Đông Tây")</f>
        <v>Đông Tây</v>
      </c>
      <c r="H65" s="693">
        <f>IFERROR(__xludf.DUMMYFUNCTION("""COMPUTED_VALUE"""),46165.0)</f>
        <v>46165</v>
      </c>
      <c r="I65" s="693">
        <f>IFERROR(__xludf.DUMMYFUNCTION("""COMPUTED_VALUE"""),46183.0)</f>
        <v>46183</v>
      </c>
      <c r="J65" s="701">
        <f>IFERROR(__xludf.DUMMYFUNCTION("""COMPUTED_VALUE"""),46165.0)</f>
        <v>46165</v>
      </c>
      <c r="K65" s="694">
        <f>IFERROR(__xludf.DUMMYFUNCTION("""COMPUTED_VALUE"""),46190.0)</f>
        <v>46190</v>
      </c>
      <c r="L65" s="695">
        <f>IFERROR(__xludf.DUMMYFUNCTION("""COMPUTED_VALUE"""),46181.0)</f>
        <v>46181</v>
      </c>
      <c r="M65" s="696">
        <f>IFERROR(__xludf.DUMMYFUNCTION("""COMPUTED_VALUE"""),9.0)</f>
        <v>9</v>
      </c>
      <c r="N65" s="697">
        <f>IFERROR(__xludf.DUMMYFUNCTION("""COMPUTED_VALUE"""),80.0)</f>
        <v>80</v>
      </c>
      <c r="O65" s="697">
        <f>IFERROR(__xludf.DUMMYFUNCTION("""COMPUTED_VALUE"""),80.0)</f>
        <v>80</v>
      </c>
      <c r="P65" s="612">
        <f>IFERROR(__xludf.DUMMYFUNCTION("""COMPUTED_VALUE"""),1.0)</f>
        <v>1</v>
      </c>
      <c r="Q65" s="697">
        <f>IFERROR(__xludf.DUMMYFUNCTION("""COMPUTED_VALUE"""),2030400.0)</f>
        <v>2030400</v>
      </c>
      <c r="R65" s="697">
        <f>IFERROR(__xludf.DUMMYFUNCTION("""COMPUTED_VALUE"""),1319.0)</f>
        <v>1319</v>
      </c>
      <c r="S65" s="702"/>
      <c r="T65" s="698" t="str">
        <f t="shared" si="1"/>
        <v>✅ Đã nhận hàng</v>
      </c>
      <c r="U65" s="698" t="str">
        <f t="shared" si="2"/>
        <v>✅ Đã xong</v>
      </c>
      <c r="V65" s="699" t="str">
        <f t="shared" si="3"/>
        <v>✅ Hoàn thành</v>
      </c>
    </row>
    <row r="66" ht="28.5" customHeight="1">
      <c r="A66" s="612" t="str">
        <f>IFERROR(__xludf.DUMMYFUNCTION("""COMPUTED_VALUE"""),"05/2026")</f>
        <v>05/2026</v>
      </c>
      <c r="B66" s="612" t="str">
        <f>IFERROR(__xludf.DUMMYFUNCTION("""COMPUTED_VALUE"""),"Mr Tiên")</f>
        <v>Mr Tiên</v>
      </c>
      <c r="C66" s="612" t="str">
        <f>IFERROR(__xludf.DUMMYFUNCTION("""COMPUTED_VALUE"""),"ĐMH01735")</f>
        <v>ĐMH01735</v>
      </c>
      <c r="D66" s="612" t="str">
        <f>IFERROR(__xludf.DUMMYFUNCTION("""COMPUTED_VALUE"""),"Đã đặt hàng")</f>
        <v>Đã đặt hàng</v>
      </c>
      <c r="E66" s="612" t="str">
        <f>IFERROR(__xludf.DUMMYFUNCTION("""COMPUTED_VALUE"""),"Nhà máy Dego")</f>
        <v>Nhà máy Dego</v>
      </c>
      <c r="F66" s="692" t="str">
        <f>IFERROR(__xludf.DUMMYFUNCTION("""COMPUTED_VALUE"""),"THC0307")</f>
        <v>THC0307</v>
      </c>
      <c r="G66" s="612" t="str">
        <f>IFERROR(__xludf.DUMMYFUNCTION("""COMPUTED_VALUE"""),"Đông Tây")</f>
        <v>Đông Tây</v>
      </c>
      <c r="H66" s="693">
        <f>IFERROR(__xludf.DUMMYFUNCTION("""COMPUTED_VALUE"""),46168.0)</f>
        <v>46168</v>
      </c>
      <c r="I66" s="693">
        <f>IFERROR(__xludf.DUMMYFUNCTION("""COMPUTED_VALUE"""),46186.0)</f>
        <v>46186</v>
      </c>
      <c r="J66" s="701">
        <f>IFERROR(__xludf.DUMMYFUNCTION("""COMPUTED_VALUE"""),46168.0)</f>
        <v>46168</v>
      </c>
      <c r="K66" s="694">
        <f>IFERROR(__xludf.DUMMYFUNCTION("""COMPUTED_VALUE"""),46193.0)</f>
        <v>46193</v>
      </c>
      <c r="L66" s="695">
        <f>IFERROR(__xludf.DUMMYFUNCTION("""COMPUTED_VALUE"""),46181.0)</f>
        <v>46181</v>
      </c>
      <c r="M66" s="696">
        <f>IFERROR(__xludf.DUMMYFUNCTION("""COMPUTED_VALUE"""),12.0)</f>
        <v>12</v>
      </c>
      <c r="N66" s="697">
        <f>IFERROR(__xludf.DUMMYFUNCTION("""COMPUTED_VALUE"""),100.0)</f>
        <v>100</v>
      </c>
      <c r="O66" s="697">
        <f>IFERROR(__xludf.DUMMYFUNCTION("""COMPUTED_VALUE"""),110.0)</f>
        <v>110</v>
      </c>
      <c r="P66" s="612">
        <f>IFERROR(__xludf.DUMMYFUNCTION("""COMPUTED_VALUE"""),1.0)</f>
        <v>1</v>
      </c>
      <c r="Q66" s="697">
        <f>IFERROR(__xludf.DUMMYFUNCTION("""COMPUTED_VALUE"""),2174040.0)</f>
        <v>2174040</v>
      </c>
      <c r="R66" s="697">
        <f>IFERROR(__xludf.DUMMYFUNCTION("""COMPUTED_VALUE"""),1303.0)</f>
        <v>1303</v>
      </c>
      <c r="S66" s="702"/>
      <c r="T66" s="698" t="str">
        <f t="shared" si="1"/>
        <v>✅ Đã nhận hàng</v>
      </c>
      <c r="U66" s="698" t="str">
        <f t="shared" si="2"/>
        <v>✅ Đã xong</v>
      </c>
      <c r="V66" s="699" t="str">
        <f t="shared" si="3"/>
        <v>✅ Hoàn thành</v>
      </c>
    </row>
    <row r="67" ht="28.5" customHeight="1">
      <c r="A67" s="612" t="str">
        <f>IFERROR(__xludf.DUMMYFUNCTION("""COMPUTED_VALUE"""),"06/2026")</f>
        <v>06/2026</v>
      </c>
      <c r="B67" s="612" t="str">
        <f>IFERROR(__xludf.DUMMYFUNCTION("""COMPUTED_VALUE"""),"Mr Tiên")</f>
        <v>Mr Tiên</v>
      </c>
      <c r="C67" s="612" t="str">
        <f>IFERROR(__xludf.DUMMYFUNCTION("""COMPUTED_VALUE"""),"ĐMH01761")</f>
        <v>ĐMH01761</v>
      </c>
      <c r="D67" s="612" t="str">
        <f>IFERROR(__xludf.DUMMYFUNCTION("""COMPUTED_VALUE"""),"Đã đặt hàng")</f>
        <v>Đã đặt hàng</v>
      </c>
      <c r="E67" s="612" t="str">
        <f>IFERROR(__xludf.DUMMYFUNCTION("""COMPUTED_VALUE"""),"SX - Ms Ly")</f>
        <v>SX - Ms Ly</v>
      </c>
      <c r="F67" s="692" t="str">
        <f>IFERROR(__xludf.DUMMYFUNCTION("""COMPUTED_VALUE"""),"THC0004")</f>
        <v>THC0004</v>
      </c>
      <c r="G67" s="612" t="str">
        <f>IFERROR(__xludf.DUMMYFUNCTION("""COMPUTED_VALUE"""),"Đông Tây")</f>
        <v>Đông Tây</v>
      </c>
      <c r="H67" s="693">
        <f>IFERROR(__xludf.DUMMYFUNCTION("""COMPUTED_VALUE"""),46175.0)</f>
        <v>46175</v>
      </c>
      <c r="I67" s="693">
        <f>IFERROR(__xludf.DUMMYFUNCTION("""COMPUTED_VALUE"""),46193.0)</f>
        <v>46193</v>
      </c>
      <c r="J67" s="701">
        <f>IFERROR(__xludf.DUMMYFUNCTION("""COMPUTED_VALUE"""),46175.0)</f>
        <v>46175</v>
      </c>
      <c r="K67" s="694">
        <f>IFERROR(__xludf.DUMMYFUNCTION("""COMPUTED_VALUE"""),46200.0)</f>
        <v>46200</v>
      </c>
      <c r="L67" s="695">
        <f>IFERROR(__xludf.DUMMYFUNCTION("""COMPUTED_VALUE"""),46181.0)</f>
        <v>46181</v>
      </c>
      <c r="M67" s="696">
        <f>IFERROR(__xludf.DUMMYFUNCTION("""COMPUTED_VALUE"""),19.0)</f>
        <v>19</v>
      </c>
      <c r="N67" s="697">
        <f>IFERROR(__xludf.DUMMYFUNCTION("""COMPUTED_VALUE"""),300.0)</f>
        <v>300</v>
      </c>
      <c r="O67" s="697">
        <f>IFERROR(__xludf.DUMMYFUNCTION("""COMPUTED_VALUE"""),310.0)</f>
        <v>310</v>
      </c>
      <c r="P67" s="612">
        <f>IFERROR(__xludf.DUMMYFUNCTION("""COMPUTED_VALUE"""),1.0)</f>
        <v>1</v>
      </c>
      <c r="Q67" s="697">
        <f>IFERROR(__xludf.DUMMYFUNCTION("""COMPUTED_VALUE"""),7265160.0)</f>
        <v>7265160</v>
      </c>
      <c r="R67" s="697">
        <f>IFERROR(__xludf.DUMMYFUNCTION("""COMPUTED_VALUE"""),1302.0)</f>
        <v>1302</v>
      </c>
      <c r="S67" s="702"/>
      <c r="T67" s="698" t="str">
        <f t="shared" si="1"/>
        <v>✅ Đã nhận hàng</v>
      </c>
      <c r="U67" s="698" t="str">
        <f t="shared" si="2"/>
        <v>✅ Đã xong</v>
      </c>
      <c r="V67" s="699" t="str">
        <f t="shared" si="3"/>
        <v>✅ Hoàn thành</v>
      </c>
    </row>
    <row r="68" ht="28.5" customHeight="1">
      <c r="A68" s="612" t="str">
        <f>IFERROR(__xludf.DUMMYFUNCTION("""COMPUTED_VALUE"""),"06/2026")</f>
        <v>06/2026</v>
      </c>
      <c r="B68" s="612" t="str">
        <f>IFERROR(__xludf.DUMMYFUNCTION("""COMPUTED_VALUE"""),"Mr Tiên")</f>
        <v>Mr Tiên</v>
      </c>
      <c r="C68" s="612" t="str">
        <f>IFERROR(__xludf.DUMMYFUNCTION("""COMPUTED_VALUE"""),"ĐMH01765")</f>
        <v>ĐMH01765</v>
      </c>
      <c r="D68" s="612" t="str">
        <f>IFERROR(__xludf.DUMMYFUNCTION("""COMPUTED_VALUE"""),"Đã đặt hàng")</f>
        <v>Đã đặt hàng</v>
      </c>
      <c r="E68" s="612" t="str">
        <f>IFERROR(__xludf.DUMMYFUNCTION("""COMPUTED_VALUE"""),"SX - Ms Ly")</f>
        <v>SX - Ms Ly</v>
      </c>
      <c r="F68" s="692" t="str">
        <f>IFERROR(__xludf.DUMMYFUNCTION("""COMPUTED_VALUE"""),"THC0162")</f>
        <v>THC0162</v>
      </c>
      <c r="G68" s="612" t="str">
        <f>IFERROR(__xludf.DUMMYFUNCTION("""COMPUTED_VALUE"""),"Đông Tây")</f>
        <v>Đông Tây</v>
      </c>
      <c r="H68" s="693">
        <f>IFERROR(__xludf.DUMMYFUNCTION("""COMPUTED_VALUE"""),46176.0)</f>
        <v>46176</v>
      </c>
      <c r="I68" s="693">
        <f>IFERROR(__xludf.DUMMYFUNCTION("""COMPUTED_VALUE"""),46194.0)</f>
        <v>46194</v>
      </c>
      <c r="J68" s="701">
        <f>IFERROR(__xludf.DUMMYFUNCTION("""COMPUTED_VALUE"""),46176.0)</f>
        <v>46176</v>
      </c>
      <c r="K68" s="694">
        <f>IFERROR(__xludf.DUMMYFUNCTION("""COMPUTED_VALUE"""),46201.0)</f>
        <v>46201</v>
      </c>
      <c r="L68" s="695">
        <f>IFERROR(__xludf.DUMMYFUNCTION("""COMPUTED_VALUE"""),46186.0)</f>
        <v>46186</v>
      </c>
      <c r="M68" s="696">
        <f>IFERROR(__xludf.DUMMYFUNCTION("""COMPUTED_VALUE"""),15.0)</f>
        <v>15</v>
      </c>
      <c r="N68" s="697">
        <f>IFERROR(__xludf.DUMMYFUNCTION("""COMPUTED_VALUE"""),200.0)</f>
        <v>200</v>
      </c>
      <c r="O68" s="697">
        <f>IFERROR(__xludf.DUMMYFUNCTION("""COMPUTED_VALUE"""),214.0)</f>
        <v>214</v>
      </c>
      <c r="P68" s="612">
        <f>IFERROR(__xludf.DUMMYFUNCTION("""COMPUTED_VALUE"""),1.0)</f>
        <v>1</v>
      </c>
      <c r="Q68" s="697">
        <f>IFERROR(__xludf.DUMMYFUNCTION("""COMPUTED_VALUE"""),5361984.0)</f>
        <v>5361984</v>
      </c>
      <c r="R68" s="697">
        <f>IFERROR(__xludf.DUMMYFUNCTION("""COMPUTED_VALUE"""),1370.0)</f>
        <v>1370</v>
      </c>
      <c r="S68" s="702"/>
      <c r="T68" s="698" t="str">
        <f t="shared" si="1"/>
        <v>✅ Đã nhận hàng</v>
      </c>
      <c r="U68" s="698" t="str">
        <f t="shared" si="2"/>
        <v>✅ Đã xong</v>
      </c>
      <c r="V68" s="699" t="str">
        <f t="shared" si="3"/>
        <v>✅ Hoàn thành</v>
      </c>
    </row>
    <row r="69" ht="28.5" customHeight="1">
      <c r="A69" s="612" t="str">
        <f>IFERROR(__xludf.DUMMYFUNCTION("""COMPUTED_VALUE"""),"06/2026")</f>
        <v>06/2026</v>
      </c>
      <c r="B69" s="612" t="str">
        <f>IFERROR(__xludf.DUMMYFUNCTION("""COMPUTED_VALUE"""),"Mr Tiên")</f>
        <v>Mr Tiên</v>
      </c>
      <c r="C69" s="612" t="str">
        <f>IFERROR(__xludf.DUMMYFUNCTION("""COMPUTED_VALUE"""),"ĐMH01767")</f>
        <v>ĐMH01767</v>
      </c>
      <c r="D69" s="612" t="str">
        <f>IFERROR(__xludf.DUMMYFUNCTION("""COMPUTED_VALUE"""),"Đã đặt hàng")</f>
        <v>Đã đặt hàng</v>
      </c>
      <c r="E69" s="612" t="str">
        <f>IFERROR(__xludf.DUMMYFUNCTION("""COMPUTED_VALUE"""),"Nhà máy Dego")</f>
        <v>Nhà máy Dego</v>
      </c>
      <c r="F69" s="692" t="str">
        <f>IFERROR(__xludf.DUMMYFUNCTION("""COMPUTED_VALUE"""),"THC0138")</f>
        <v>THC0138</v>
      </c>
      <c r="G69" s="612" t="str">
        <f>IFERROR(__xludf.DUMMYFUNCTION("""COMPUTED_VALUE"""),"Bao Bì Đông Bắc")</f>
        <v>Bao Bì Đông Bắc</v>
      </c>
      <c r="H69" s="693">
        <f>IFERROR(__xludf.DUMMYFUNCTION("""COMPUTED_VALUE"""),46176.0)</f>
        <v>46176</v>
      </c>
      <c r="I69" s="693">
        <f>IFERROR(__xludf.DUMMYFUNCTION("""COMPUTED_VALUE"""),46194.0)</f>
        <v>46194</v>
      </c>
      <c r="J69" s="701">
        <f>IFERROR(__xludf.DUMMYFUNCTION("""COMPUTED_VALUE"""),46176.0)</f>
        <v>46176</v>
      </c>
      <c r="K69" s="694">
        <f>IFERROR(__xludf.DUMMYFUNCTION("""COMPUTED_VALUE"""),46201.0)</f>
        <v>46201</v>
      </c>
      <c r="L69" s="695">
        <f>IFERROR(__xludf.DUMMYFUNCTION("""COMPUTED_VALUE"""),46185.0)</f>
        <v>46185</v>
      </c>
      <c r="M69" s="696">
        <f>IFERROR(__xludf.DUMMYFUNCTION("""COMPUTED_VALUE"""),16.0)</f>
        <v>16</v>
      </c>
      <c r="N69" s="697">
        <f>IFERROR(__xludf.DUMMYFUNCTION("""COMPUTED_VALUE"""),100.0)</f>
        <v>100</v>
      </c>
      <c r="O69" s="697">
        <f>IFERROR(__xludf.DUMMYFUNCTION("""COMPUTED_VALUE"""),108.0)</f>
        <v>108</v>
      </c>
      <c r="P69" s="612">
        <f>IFERROR(__xludf.DUMMYFUNCTION("""COMPUTED_VALUE"""),1.0)</f>
        <v>1</v>
      </c>
      <c r="Q69" s="697">
        <f>IFERROR(__xludf.DUMMYFUNCTION("""COMPUTED_VALUE"""),1551312.0)</f>
        <v>1551312</v>
      </c>
      <c r="R69" s="697">
        <f>IFERROR(__xludf.DUMMYFUNCTION("""COMPUTED_VALUE"""),108.0)</f>
        <v>108</v>
      </c>
      <c r="S69" s="702"/>
      <c r="T69" s="698" t="str">
        <f t="shared" si="1"/>
        <v>✅ Đã nhận hàng</v>
      </c>
      <c r="U69" s="698" t="str">
        <f t="shared" si="2"/>
        <v>✅ Đã xong</v>
      </c>
      <c r="V69" s="699" t="str">
        <f t="shared" si="3"/>
        <v>✅ Hoàn thành</v>
      </c>
    </row>
    <row r="70" ht="28.5" customHeight="1">
      <c r="A70" s="612" t="str">
        <f>IFERROR(__xludf.DUMMYFUNCTION("""COMPUTED_VALUE"""),"06/2026")</f>
        <v>06/2026</v>
      </c>
      <c r="B70" s="612" t="str">
        <f>IFERROR(__xludf.DUMMYFUNCTION("""COMPUTED_VALUE"""),"Mr Tiên")</f>
        <v>Mr Tiên</v>
      </c>
      <c r="C70" s="612" t="str">
        <f>IFERROR(__xludf.DUMMYFUNCTION("""COMPUTED_VALUE"""),"ĐMH01777")</f>
        <v>ĐMH01777</v>
      </c>
      <c r="D70" s="612" t="str">
        <f>IFERROR(__xludf.DUMMYFUNCTION("""COMPUTED_VALUE"""),"Đã đặt hàng")</f>
        <v>Đã đặt hàng</v>
      </c>
      <c r="E70" s="612" t="str">
        <f>IFERROR(__xludf.DUMMYFUNCTION("""COMPUTED_VALUE"""),"SX - Ms Ly")</f>
        <v>SX - Ms Ly</v>
      </c>
      <c r="F70" s="692" t="str">
        <f>IFERROR(__xludf.DUMMYFUNCTION("""COMPUTED_VALUE"""),"THC0080")</f>
        <v>THC0080</v>
      </c>
      <c r="G70" s="612" t="str">
        <f>IFERROR(__xludf.DUMMYFUNCTION("""COMPUTED_VALUE"""),"Bao Bì Đông Bắc")</f>
        <v>Bao Bì Đông Bắc</v>
      </c>
      <c r="H70" s="693">
        <f>IFERROR(__xludf.DUMMYFUNCTION("""COMPUTED_VALUE"""),46176.0)</f>
        <v>46176</v>
      </c>
      <c r="I70" s="693">
        <f>IFERROR(__xludf.DUMMYFUNCTION("""COMPUTED_VALUE"""),46194.0)</f>
        <v>46194</v>
      </c>
      <c r="J70" s="701">
        <f>IFERROR(__xludf.DUMMYFUNCTION("""COMPUTED_VALUE"""),46176.0)</f>
        <v>46176</v>
      </c>
      <c r="K70" s="694">
        <f>IFERROR(__xludf.DUMMYFUNCTION("""COMPUTED_VALUE"""),46201.0)</f>
        <v>46201</v>
      </c>
      <c r="L70" s="695">
        <f>IFERROR(__xludf.DUMMYFUNCTION("""COMPUTED_VALUE"""),46185.0)</f>
        <v>46185</v>
      </c>
      <c r="M70" s="696">
        <f>IFERROR(__xludf.DUMMYFUNCTION("""COMPUTED_VALUE"""),16.0)</f>
        <v>16</v>
      </c>
      <c r="N70" s="697">
        <f>IFERROR(__xludf.DUMMYFUNCTION("""COMPUTED_VALUE"""),200.0)</f>
        <v>200</v>
      </c>
      <c r="O70" s="697">
        <f>IFERROR(__xludf.DUMMYFUNCTION("""COMPUTED_VALUE"""),220.0)</f>
        <v>220</v>
      </c>
      <c r="P70" s="612">
        <f>IFERROR(__xludf.DUMMYFUNCTION("""COMPUTED_VALUE"""),1.0)</f>
        <v>1</v>
      </c>
      <c r="Q70" s="697">
        <f>IFERROR(__xludf.DUMMYFUNCTION("""COMPUTED_VALUE"""),4348080.0)</f>
        <v>4348080</v>
      </c>
      <c r="R70" s="697">
        <f>IFERROR(__xludf.DUMMYFUNCTION("""COMPUTED_VALUE"""),108.0)</f>
        <v>108</v>
      </c>
      <c r="S70" s="702"/>
      <c r="T70" s="698" t="str">
        <f t="shared" si="1"/>
        <v>✅ Đã nhận hàng</v>
      </c>
      <c r="U70" s="698" t="str">
        <f t="shared" si="2"/>
        <v>✅ Đã xong</v>
      </c>
      <c r="V70" s="699" t="str">
        <f t="shared" si="3"/>
        <v>✅ Hoàn thành</v>
      </c>
    </row>
    <row r="71" ht="28.5" customHeight="1">
      <c r="A71" s="612" t="str">
        <f>IFERROR(__xludf.DUMMYFUNCTION("""COMPUTED_VALUE"""),"06/2026")</f>
        <v>06/2026</v>
      </c>
      <c r="B71" s="612" t="str">
        <f>IFERROR(__xludf.DUMMYFUNCTION("""COMPUTED_VALUE"""),"Mr Tiên")</f>
        <v>Mr Tiên</v>
      </c>
      <c r="C71" s="612" t="str">
        <f>IFERROR(__xludf.DUMMYFUNCTION("""COMPUTED_VALUE"""),"ĐMH01792")</f>
        <v>ĐMH01792</v>
      </c>
      <c r="D71" s="612" t="str">
        <f>IFERROR(__xludf.DUMMYFUNCTION("""COMPUTED_VALUE"""),"Đã đặt hàng")</f>
        <v>Đã đặt hàng</v>
      </c>
      <c r="E71" s="612" t="str">
        <f>IFERROR(__xludf.DUMMYFUNCTION("""COMPUTED_VALUE"""),"SX - Ms Ly")</f>
        <v>SX - Ms Ly</v>
      </c>
      <c r="F71" s="692" t="str">
        <f>IFERROR(__xludf.DUMMYFUNCTION("""COMPUTED_VALUE"""),"THC0309")</f>
        <v>THC0309</v>
      </c>
      <c r="G71" s="612" t="str">
        <f>IFERROR(__xludf.DUMMYFUNCTION("""COMPUTED_VALUE"""),"Đông Tây")</f>
        <v>Đông Tây</v>
      </c>
      <c r="H71" s="693">
        <f>IFERROR(__xludf.DUMMYFUNCTION("""COMPUTED_VALUE"""),46182.0)</f>
        <v>46182</v>
      </c>
      <c r="I71" s="693">
        <f>IFERROR(__xludf.DUMMYFUNCTION("""COMPUTED_VALUE"""),46200.0)</f>
        <v>46200</v>
      </c>
      <c r="J71" s="701">
        <f>IFERROR(__xludf.DUMMYFUNCTION("""COMPUTED_VALUE"""),46182.0)</f>
        <v>46182</v>
      </c>
      <c r="K71" s="694">
        <f>IFERROR(__xludf.DUMMYFUNCTION("""COMPUTED_VALUE"""),46207.0)</f>
        <v>46207</v>
      </c>
      <c r="L71" s="695">
        <f>IFERROR(__xludf.DUMMYFUNCTION("""COMPUTED_VALUE"""),46188.0)</f>
        <v>46188</v>
      </c>
      <c r="M71" s="696">
        <f>IFERROR(__xludf.DUMMYFUNCTION("""COMPUTED_VALUE"""),19.0)</f>
        <v>19</v>
      </c>
      <c r="N71" s="697">
        <f>IFERROR(__xludf.DUMMYFUNCTION("""COMPUTED_VALUE"""),150.0)</f>
        <v>150</v>
      </c>
      <c r="O71" s="697">
        <f>IFERROR(__xludf.DUMMYFUNCTION("""COMPUTED_VALUE"""),165.0)</f>
        <v>165</v>
      </c>
      <c r="P71" s="612">
        <f>IFERROR(__xludf.DUMMYFUNCTION("""COMPUTED_VALUE"""),1.0)</f>
        <v>1</v>
      </c>
      <c r="Q71" s="697">
        <f>IFERROR(__xludf.DUMMYFUNCTION("""COMPUTED_VALUE"""),3439260.0)</f>
        <v>3439260</v>
      </c>
      <c r="R71" s="697">
        <f>IFERROR(__xludf.DUMMYFUNCTION("""COMPUTED_VALUE"""),1376.0)</f>
        <v>1376</v>
      </c>
      <c r="S71" s="702"/>
      <c r="T71" s="698" t="str">
        <f t="shared" si="1"/>
        <v>✅ Đã nhận hàng</v>
      </c>
      <c r="U71" s="698" t="str">
        <f t="shared" si="2"/>
        <v>✅ Đã xong</v>
      </c>
      <c r="V71" s="699" t="str">
        <f t="shared" si="3"/>
        <v>✅ Hoàn thành</v>
      </c>
    </row>
    <row r="72" ht="28.5" customHeight="1">
      <c r="A72" s="612" t="str">
        <f>IFERROR(__xludf.DUMMYFUNCTION("""COMPUTED_VALUE"""),"06/2026")</f>
        <v>06/2026</v>
      </c>
      <c r="B72" s="612" t="str">
        <f>IFERROR(__xludf.DUMMYFUNCTION("""COMPUTED_VALUE"""),"Mr Tiên")</f>
        <v>Mr Tiên</v>
      </c>
      <c r="C72" s="612" t="str">
        <f>IFERROR(__xludf.DUMMYFUNCTION("""COMPUTED_VALUE"""),"ĐMH01799")</f>
        <v>ĐMH01799</v>
      </c>
      <c r="D72" s="612" t="str">
        <f>IFERROR(__xludf.DUMMYFUNCTION("""COMPUTED_VALUE"""),"Đã đặt hàng")</f>
        <v>Đã đặt hàng</v>
      </c>
      <c r="E72" s="612" t="str">
        <f>IFERROR(__xludf.DUMMYFUNCTION("""COMPUTED_VALUE"""),"Nhà máy Dego")</f>
        <v>Nhà máy Dego</v>
      </c>
      <c r="F72" s="692" t="str">
        <f>IFERROR(__xludf.DUMMYFUNCTION("""COMPUTED_VALUE"""),"THC0308")</f>
        <v>THC0308</v>
      </c>
      <c r="G72" s="612" t="str">
        <f>IFERROR(__xludf.DUMMYFUNCTION("""COMPUTED_VALUE"""),"Đông Tây")</f>
        <v>Đông Tây</v>
      </c>
      <c r="H72" s="693">
        <f>IFERROR(__xludf.DUMMYFUNCTION("""COMPUTED_VALUE"""),46183.0)</f>
        <v>46183</v>
      </c>
      <c r="I72" s="693">
        <f>IFERROR(__xludf.DUMMYFUNCTION("""COMPUTED_VALUE"""),46201.0)</f>
        <v>46201</v>
      </c>
      <c r="J72" s="701">
        <f>IFERROR(__xludf.DUMMYFUNCTION("""COMPUTED_VALUE"""),46183.0)</f>
        <v>46183</v>
      </c>
      <c r="K72" s="694">
        <f>IFERROR(__xludf.DUMMYFUNCTION("""COMPUTED_VALUE"""),46208.0)</f>
        <v>46208</v>
      </c>
      <c r="L72" s="695"/>
      <c r="M72" s="696"/>
      <c r="N72" s="697">
        <f>IFERROR(__xludf.DUMMYFUNCTION("""COMPUTED_VALUE"""),300.0)</f>
        <v>300</v>
      </c>
      <c r="O72" s="697"/>
      <c r="P72" s="612">
        <f>IFERROR(__xludf.DUMMYFUNCTION("""COMPUTED_VALUE"""),1.0)</f>
        <v>1</v>
      </c>
      <c r="Q72" s="697">
        <f>IFERROR(__xludf.DUMMYFUNCTION("""COMPUTED_VALUE"""),0.0)</f>
        <v>0</v>
      </c>
      <c r="R72" s="697"/>
      <c r="S72" s="702"/>
      <c r="T72" s="698" t="str">
        <f t="shared" si="1"/>
        <v>⚠️ Trễ 20 ngày</v>
      </c>
      <c r="U72" s="698" t="str">
        <f t="shared" si="2"/>
        <v>⚠️ Trễ 13 ngày</v>
      </c>
      <c r="V72" s="699" t="str">
        <f t="shared" si="3"/>
        <v>❌❌❌ Quá hạn dự kiến - Chưa giao hàng</v>
      </c>
    </row>
    <row r="73" ht="28.5" customHeight="1">
      <c r="A73" s="612" t="str">
        <f>IFERROR(__xludf.DUMMYFUNCTION("""COMPUTED_VALUE"""),"06/2026")</f>
        <v>06/2026</v>
      </c>
      <c r="B73" s="612" t="str">
        <f>IFERROR(__xludf.DUMMYFUNCTION("""COMPUTED_VALUE"""),"Mr Tiên")</f>
        <v>Mr Tiên</v>
      </c>
      <c r="C73" s="612" t="str">
        <f>IFERROR(__xludf.DUMMYFUNCTION("""COMPUTED_VALUE"""),"ĐMH01798")</f>
        <v>ĐMH01798</v>
      </c>
      <c r="D73" s="612" t="str">
        <f>IFERROR(__xludf.DUMMYFUNCTION("""COMPUTED_VALUE"""),"Đã đặt hàng")</f>
        <v>Đã đặt hàng</v>
      </c>
      <c r="E73" s="612" t="str">
        <f>IFERROR(__xludf.DUMMYFUNCTION("""COMPUTED_VALUE"""),"Nhà máy Dego")</f>
        <v>Nhà máy Dego</v>
      </c>
      <c r="F73" s="692" t="str">
        <f>IFERROR(__xludf.DUMMYFUNCTION("""COMPUTED_VALUE"""),"THC0274")</f>
        <v>THC0274</v>
      </c>
      <c r="G73" s="612" t="str">
        <f>IFERROR(__xludf.DUMMYFUNCTION("""COMPUTED_VALUE"""),"Đông Tây")</f>
        <v>Đông Tây</v>
      </c>
      <c r="H73" s="693">
        <f>IFERROR(__xludf.DUMMYFUNCTION("""COMPUTED_VALUE"""),46183.0)</f>
        <v>46183</v>
      </c>
      <c r="I73" s="693">
        <f>IFERROR(__xludf.DUMMYFUNCTION("""COMPUTED_VALUE"""),46201.0)</f>
        <v>46201</v>
      </c>
      <c r="J73" s="701">
        <f>IFERROR(__xludf.DUMMYFUNCTION("""COMPUTED_VALUE"""),46183.0)</f>
        <v>46183</v>
      </c>
      <c r="K73" s="694">
        <f>IFERROR(__xludf.DUMMYFUNCTION("""COMPUTED_VALUE"""),46208.0)</f>
        <v>46208</v>
      </c>
      <c r="L73" s="695">
        <f>IFERROR(__xludf.DUMMYFUNCTION("""COMPUTED_VALUE"""),46188.0)</f>
        <v>46188</v>
      </c>
      <c r="M73" s="696">
        <f>IFERROR(__xludf.DUMMYFUNCTION("""COMPUTED_VALUE"""),20.0)</f>
        <v>20</v>
      </c>
      <c r="N73" s="697">
        <f>IFERROR(__xludf.DUMMYFUNCTION("""COMPUTED_VALUE"""),300.0)</f>
        <v>300</v>
      </c>
      <c r="O73" s="697">
        <f>IFERROR(__xludf.DUMMYFUNCTION("""COMPUTED_VALUE"""),310.0)</f>
        <v>310</v>
      </c>
      <c r="P73" s="612">
        <f>IFERROR(__xludf.DUMMYFUNCTION("""COMPUTED_VALUE"""),1.0)</f>
        <v>1</v>
      </c>
      <c r="Q73" s="697">
        <f>IFERROR(__xludf.DUMMYFUNCTION("""COMPUTED_VALUE"""),7633440.0)</f>
        <v>7633440</v>
      </c>
      <c r="R73" s="697">
        <f>IFERROR(__xludf.DUMMYFUNCTION("""COMPUTED_VALUE"""),1377.0)</f>
        <v>1377</v>
      </c>
      <c r="S73" s="702"/>
      <c r="T73" s="698" t="str">
        <f t="shared" si="1"/>
        <v>✅ Đã nhận hàng</v>
      </c>
      <c r="U73" s="698" t="str">
        <f t="shared" si="2"/>
        <v>✅ Đã xong</v>
      </c>
      <c r="V73" s="699" t="str">
        <f t="shared" si="3"/>
        <v>✅ Hoàn thành</v>
      </c>
    </row>
    <row r="74" ht="28.5" customHeight="1">
      <c r="A74" s="612" t="str">
        <f>IFERROR(__xludf.DUMMYFUNCTION("""COMPUTED_VALUE"""),"06/2026")</f>
        <v>06/2026</v>
      </c>
      <c r="B74" s="612" t="str">
        <f>IFERROR(__xludf.DUMMYFUNCTION("""COMPUTED_VALUE"""),"Mr Tiên")</f>
        <v>Mr Tiên</v>
      </c>
      <c r="C74" s="612" t="str">
        <f>IFERROR(__xludf.DUMMYFUNCTION("""COMPUTED_VALUE"""),"ĐMH01808")</f>
        <v>ĐMH01808</v>
      </c>
      <c r="D74" s="612" t="str">
        <f>IFERROR(__xludf.DUMMYFUNCTION("""COMPUTED_VALUE"""),"Đã đặt hàng")</f>
        <v>Đã đặt hàng</v>
      </c>
      <c r="E74" s="612" t="str">
        <f>IFERROR(__xludf.DUMMYFUNCTION("""COMPUTED_VALUE"""),"SX - Ms Ly")</f>
        <v>SX - Ms Ly</v>
      </c>
      <c r="F74" s="692" t="str">
        <f>IFERROR(__xludf.DUMMYFUNCTION("""COMPUTED_VALUE"""),"THC0310")</f>
        <v>THC0310</v>
      </c>
      <c r="G74" s="612" t="str">
        <f>IFERROR(__xludf.DUMMYFUNCTION("""COMPUTED_VALUE"""),"Đông Tây")</f>
        <v>Đông Tây</v>
      </c>
      <c r="H74" s="693">
        <f>IFERROR(__xludf.DUMMYFUNCTION("""COMPUTED_VALUE"""),46184.0)</f>
        <v>46184</v>
      </c>
      <c r="I74" s="693">
        <f>IFERROR(__xludf.DUMMYFUNCTION("""COMPUTED_VALUE"""),46202.0)</f>
        <v>46202</v>
      </c>
      <c r="J74" s="701">
        <f>IFERROR(__xludf.DUMMYFUNCTION("""COMPUTED_VALUE"""),46184.0)</f>
        <v>46184</v>
      </c>
      <c r="K74" s="694">
        <f>IFERROR(__xludf.DUMMYFUNCTION("""COMPUTED_VALUE"""),46209.0)</f>
        <v>46209</v>
      </c>
      <c r="L74" s="695"/>
      <c r="M74" s="696"/>
      <c r="N74" s="697">
        <f>IFERROR(__xludf.DUMMYFUNCTION("""COMPUTED_VALUE"""),100.0)</f>
        <v>100</v>
      </c>
      <c r="O74" s="697"/>
      <c r="P74" s="612">
        <f>IFERROR(__xludf.DUMMYFUNCTION("""COMPUTED_VALUE"""),1.0)</f>
        <v>1</v>
      </c>
      <c r="Q74" s="697">
        <f>IFERROR(__xludf.DUMMYFUNCTION("""COMPUTED_VALUE"""),0.0)</f>
        <v>0</v>
      </c>
      <c r="R74" s="697"/>
      <c r="S74" s="702"/>
      <c r="T74" s="698" t="str">
        <f t="shared" si="1"/>
        <v>⚠️ Trễ 19 ngày</v>
      </c>
      <c r="U74" s="698" t="str">
        <f t="shared" si="2"/>
        <v>⚠️ Trễ 12 ngày</v>
      </c>
      <c r="V74" s="699" t="str">
        <f t="shared" si="3"/>
        <v>❌❌❌ Quá hạn dự kiến - Chưa giao hàng</v>
      </c>
    </row>
    <row r="75" ht="28.5" customHeight="1">
      <c r="A75" s="612" t="str">
        <f>IFERROR(__xludf.DUMMYFUNCTION("""COMPUTED_VALUE"""),"06/2026")</f>
        <v>06/2026</v>
      </c>
      <c r="B75" s="612" t="str">
        <f>IFERROR(__xludf.DUMMYFUNCTION("""COMPUTED_VALUE"""),"Mr Tiên")</f>
        <v>Mr Tiên</v>
      </c>
      <c r="C75" s="612" t="str">
        <f>IFERROR(__xludf.DUMMYFUNCTION("""COMPUTED_VALUE"""),"ĐMH01809")</f>
        <v>ĐMH01809</v>
      </c>
      <c r="D75" s="612" t="str">
        <f>IFERROR(__xludf.DUMMYFUNCTION("""COMPUTED_VALUE"""),"Đã đặt hàng")</f>
        <v>Đã đặt hàng</v>
      </c>
      <c r="E75" s="612" t="str">
        <f>IFERROR(__xludf.DUMMYFUNCTION("""COMPUTED_VALUE"""),"SX - Ms Ly")</f>
        <v>SX - Ms Ly</v>
      </c>
      <c r="F75" s="692" t="str">
        <f>IFERROR(__xludf.DUMMYFUNCTION("""COMPUTED_VALUE"""),"THC0310")</f>
        <v>THC0310</v>
      </c>
      <c r="G75" s="612" t="str">
        <f>IFERROR(__xludf.DUMMYFUNCTION("""COMPUTED_VALUE"""),"Đông Tây")</f>
        <v>Đông Tây</v>
      </c>
      <c r="H75" s="693">
        <f>IFERROR(__xludf.DUMMYFUNCTION("""COMPUTED_VALUE"""),46184.0)</f>
        <v>46184</v>
      </c>
      <c r="I75" s="693">
        <f>IFERROR(__xludf.DUMMYFUNCTION("""COMPUTED_VALUE"""),46202.0)</f>
        <v>46202</v>
      </c>
      <c r="J75" s="701">
        <f>IFERROR(__xludf.DUMMYFUNCTION("""COMPUTED_VALUE"""),46184.0)</f>
        <v>46184</v>
      </c>
      <c r="K75" s="694">
        <f>IFERROR(__xludf.DUMMYFUNCTION("""COMPUTED_VALUE"""),46209.0)</f>
        <v>46209</v>
      </c>
      <c r="L75" s="695">
        <f>IFERROR(__xludf.DUMMYFUNCTION("""COMPUTED_VALUE"""),46190.0)</f>
        <v>46190</v>
      </c>
      <c r="M75" s="696">
        <f>IFERROR(__xludf.DUMMYFUNCTION("""COMPUTED_VALUE"""),19.0)</f>
        <v>19</v>
      </c>
      <c r="N75" s="697">
        <f>IFERROR(__xludf.DUMMYFUNCTION("""COMPUTED_VALUE"""),100.0)</f>
        <v>100</v>
      </c>
      <c r="O75" s="697">
        <f>IFERROR(__xludf.DUMMYFUNCTION("""COMPUTED_VALUE"""),109.0)</f>
        <v>109</v>
      </c>
      <c r="P75" s="612">
        <f>IFERROR(__xludf.DUMMYFUNCTION("""COMPUTED_VALUE"""),1.0)</f>
        <v>1</v>
      </c>
      <c r="Q75" s="697">
        <f>IFERROR(__xludf.DUMMYFUNCTION("""COMPUTED_VALUE"""),2648700.0)</f>
        <v>2648700</v>
      </c>
      <c r="R75" s="697">
        <f>IFERROR(__xludf.DUMMYFUNCTION("""COMPUTED_VALUE"""),1.0)</f>
        <v>1</v>
      </c>
      <c r="S75" s="702"/>
      <c r="T75" s="698" t="str">
        <f t="shared" si="1"/>
        <v>✅ Đã nhận hàng</v>
      </c>
      <c r="U75" s="698" t="str">
        <f t="shared" si="2"/>
        <v>✅ Đã xong</v>
      </c>
      <c r="V75" s="699" t="str">
        <f t="shared" si="3"/>
        <v>✅ Hoàn thành</v>
      </c>
    </row>
    <row r="76" ht="28.5" customHeight="1">
      <c r="A76" s="612" t="str">
        <f>IFERROR(__xludf.DUMMYFUNCTION("""COMPUTED_VALUE"""),"06/2026")</f>
        <v>06/2026</v>
      </c>
      <c r="B76" s="612" t="str">
        <f>IFERROR(__xludf.DUMMYFUNCTION("""COMPUTED_VALUE"""),"Mr Tiên")</f>
        <v>Mr Tiên</v>
      </c>
      <c r="C76" s="612" t="str">
        <f>IFERROR(__xludf.DUMMYFUNCTION("""COMPUTED_VALUE"""),"ĐMH01819")</f>
        <v>ĐMH01819</v>
      </c>
      <c r="D76" s="612" t="str">
        <f>IFERROR(__xludf.DUMMYFUNCTION("""COMPUTED_VALUE"""),"Đã đặt hàng")</f>
        <v>Đã đặt hàng</v>
      </c>
      <c r="E76" s="612" t="str">
        <f>IFERROR(__xludf.DUMMYFUNCTION("""COMPUTED_VALUE"""),"Nhà máy Dego")</f>
        <v>Nhà máy Dego</v>
      </c>
      <c r="F76" s="692" t="str">
        <f>IFERROR(__xludf.DUMMYFUNCTION("""COMPUTED_VALUE"""),"THC0146")</f>
        <v>THC0146</v>
      </c>
      <c r="G76" s="612" t="str">
        <f>IFERROR(__xludf.DUMMYFUNCTION("""COMPUTED_VALUE"""),"Đông Tây")</f>
        <v>Đông Tây</v>
      </c>
      <c r="H76" s="693">
        <f>IFERROR(__xludf.DUMMYFUNCTION("""COMPUTED_VALUE"""),46186.0)</f>
        <v>46186</v>
      </c>
      <c r="I76" s="693">
        <f>IFERROR(__xludf.DUMMYFUNCTION("""COMPUTED_VALUE"""),46204.0)</f>
        <v>46204</v>
      </c>
      <c r="J76" s="701">
        <f>IFERROR(__xludf.DUMMYFUNCTION("""COMPUTED_VALUE"""),46186.0)</f>
        <v>46186</v>
      </c>
      <c r="K76" s="694">
        <f>IFERROR(__xludf.DUMMYFUNCTION("""COMPUTED_VALUE"""),46211.0)</f>
        <v>46211</v>
      </c>
      <c r="L76" s="695"/>
      <c r="M76" s="696"/>
      <c r="N76" s="697">
        <f>IFERROR(__xludf.DUMMYFUNCTION("""COMPUTED_VALUE"""),300.0)</f>
        <v>300</v>
      </c>
      <c r="O76" s="697"/>
      <c r="P76" s="612">
        <f>IFERROR(__xludf.DUMMYFUNCTION("""COMPUTED_VALUE"""),1.0)</f>
        <v>1</v>
      </c>
      <c r="Q76" s="697">
        <f>IFERROR(__xludf.DUMMYFUNCTION("""COMPUTED_VALUE"""),0.0)</f>
        <v>0</v>
      </c>
      <c r="R76" s="697"/>
      <c r="S76" s="702"/>
      <c r="T76" s="698" t="str">
        <f t="shared" si="1"/>
        <v>⚠️ Trễ 17 ngày</v>
      </c>
      <c r="U76" s="698" t="str">
        <f t="shared" si="2"/>
        <v>⚠️ Trễ 10 ngày</v>
      </c>
      <c r="V76" s="699" t="str">
        <f t="shared" si="3"/>
        <v>❌❌❌ Quá hạn dự kiến - Chưa giao hàng</v>
      </c>
    </row>
    <row r="77" ht="28.5" customHeight="1">
      <c r="A77" s="612" t="str">
        <f>IFERROR(__xludf.DUMMYFUNCTION("""COMPUTED_VALUE"""),"06/2026")</f>
        <v>06/2026</v>
      </c>
      <c r="B77" s="612" t="str">
        <f>IFERROR(__xludf.DUMMYFUNCTION("""COMPUTED_VALUE"""),"Mr Tiên")</f>
        <v>Mr Tiên</v>
      </c>
      <c r="C77" s="612" t="str">
        <f>IFERROR(__xludf.DUMMYFUNCTION("""COMPUTED_VALUE"""),"ĐMH01819")</f>
        <v>ĐMH01819</v>
      </c>
      <c r="D77" s="612" t="str">
        <f>IFERROR(__xludf.DUMMYFUNCTION("""COMPUTED_VALUE"""),"Đã đặt hàng")</f>
        <v>Đã đặt hàng</v>
      </c>
      <c r="E77" s="612" t="str">
        <f>IFERROR(__xludf.DUMMYFUNCTION("""COMPUTED_VALUE"""),"Nhà máy Dego")</f>
        <v>Nhà máy Dego</v>
      </c>
      <c r="F77" s="692" t="str">
        <f>IFERROR(__xludf.DUMMYFUNCTION("""COMPUTED_VALUE"""),"THC0043")</f>
        <v>THC0043</v>
      </c>
      <c r="G77" s="612" t="str">
        <f>IFERROR(__xludf.DUMMYFUNCTION("""COMPUTED_VALUE"""),"Đông Tây")</f>
        <v>Đông Tây</v>
      </c>
      <c r="H77" s="693">
        <f>IFERROR(__xludf.DUMMYFUNCTION("""COMPUTED_VALUE"""),46186.0)</f>
        <v>46186</v>
      </c>
      <c r="I77" s="693">
        <f>IFERROR(__xludf.DUMMYFUNCTION("""COMPUTED_VALUE"""),46204.0)</f>
        <v>46204</v>
      </c>
      <c r="J77" s="701">
        <f>IFERROR(__xludf.DUMMYFUNCTION("""COMPUTED_VALUE"""),46186.0)</f>
        <v>46186</v>
      </c>
      <c r="K77" s="694">
        <f>IFERROR(__xludf.DUMMYFUNCTION("""COMPUTED_VALUE"""),46211.0)</f>
        <v>46211</v>
      </c>
      <c r="L77" s="695"/>
      <c r="M77" s="696"/>
      <c r="N77" s="697">
        <f>IFERROR(__xludf.DUMMYFUNCTION("""COMPUTED_VALUE"""),100.0)</f>
        <v>100</v>
      </c>
      <c r="O77" s="697"/>
      <c r="P77" s="612">
        <f>IFERROR(__xludf.DUMMYFUNCTION("""COMPUTED_VALUE"""),1.0)</f>
        <v>1</v>
      </c>
      <c r="Q77" s="697">
        <f>IFERROR(__xludf.DUMMYFUNCTION("""COMPUTED_VALUE"""),0.0)</f>
        <v>0</v>
      </c>
      <c r="R77" s="697"/>
      <c r="S77" s="702"/>
      <c r="T77" s="698" t="str">
        <f t="shared" si="1"/>
        <v>⚠️ Trễ 17 ngày</v>
      </c>
      <c r="U77" s="698" t="str">
        <f t="shared" si="2"/>
        <v>⚠️ Trễ 10 ngày</v>
      </c>
      <c r="V77" s="699" t="str">
        <f t="shared" si="3"/>
        <v>❌❌❌ Quá hạn dự kiến - Chưa giao hàng</v>
      </c>
    </row>
    <row r="78">
      <c r="A78" s="612"/>
      <c r="B78" s="612"/>
      <c r="C78" s="612"/>
      <c r="D78" s="612"/>
      <c r="E78" s="612"/>
      <c r="F78" s="692"/>
      <c r="G78" s="612"/>
      <c r="H78" s="693"/>
      <c r="I78" s="693"/>
      <c r="J78" s="701"/>
      <c r="K78" s="694"/>
      <c r="L78" s="695"/>
      <c r="M78" s="696"/>
      <c r="N78" s="697"/>
      <c r="O78" s="612"/>
      <c r="P78" s="612"/>
      <c r="Q78" s="697"/>
      <c r="R78" s="697"/>
      <c r="S78" s="698"/>
      <c r="T78" s="698" t="str">
        <f t="shared" si="1"/>
        <v/>
      </c>
      <c r="U78" s="698" t="str">
        <f t="shared" si="2"/>
        <v/>
      </c>
      <c r="V78" s="699" t="str">
        <f t="shared" si="3"/>
        <v/>
      </c>
    </row>
    <row r="79">
      <c r="A79" s="612"/>
      <c r="B79" s="612"/>
      <c r="C79" s="612"/>
      <c r="D79" s="612"/>
      <c r="E79" s="612"/>
      <c r="F79" s="692"/>
      <c r="G79" s="612"/>
      <c r="H79" s="693"/>
      <c r="I79" s="693"/>
      <c r="J79" s="701"/>
      <c r="K79" s="694"/>
      <c r="L79" s="695"/>
      <c r="M79" s="696"/>
      <c r="N79" s="697"/>
      <c r="O79" s="612"/>
      <c r="P79" s="612"/>
      <c r="Q79" s="697"/>
      <c r="R79" s="697"/>
      <c r="S79" s="698"/>
      <c r="T79" s="698" t="str">
        <f t="shared" si="1"/>
        <v/>
      </c>
      <c r="U79" s="698" t="str">
        <f t="shared" si="2"/>
        <v/>
      </c>
      <c r="V79" s="699" t="str">
        <f t="shared" si="3"/>
        <v/>
      </c>
    </row>
    <row r="80">
      <c r="A80" s="612"/>
      <c r="B80" s="612"/>
      <c r="C80" s="612"/>
      <c r="D80" s="612"/>
      <c r="E80" s="612"/>
      <c r="F80" s="692"/>
      <c r="G80" s="612"/>
      <c r="H80" s="693"/>
      <c r="I80" s="693"/>
      <c r="J80" s="701"/>
      <c r="K80" s="694"/>
      <c r="L80" s="695"/>
      <c r="M80" s="696"/>
      <c r="N80" s="697"/>
      <c r="O80" s="612"/>
      <c r="P80" s="612"/>
      <c r="Q80" s="697"/>
      <c r="R80" s="697"/>
      <c r="S80" s="698"/>
      <c r="T80" s="698" t="str">
        <f t="shared" si="1"/>
        <v/>
      </c>
      <c r="U80" s="698" t="str">
        <f t="shared" si="2"/>
        <v/>
      </c>
      <c r="V80" s="699" t="str">
        <f t="shared" si="3"/>
        <v/>
      </c>
    </row>
  </sheetData>
  <autoFilter ref="$A$5:$V$80">
    <sortState ref="A5:V80">
      <sortCondition ref="U5:U80"/>
      <sortCondition descending="1" ref="T5:T80"/>
      <sortCondition ref="V5:V80"/>
      <sortCondition ref="A5:A80"/>
      <sortCondition ref="C5:C80"/>
      <sortCondition ref="L5:L80"/>
    </sortState>
  </autoFilter>
  <conditionalFormatting sqref="K6:K80">
    <cfRule type="expression" dxfId="8" priority="1">
      <formula>AND(K6&lt;&gt;"",K6 &lt; TODAY(), $M6="")</formula>
    </cfRule>
  </conditionalFormatting>
  <conditionalFormatting sqref="K6:K80">
    <cfRule type="expression" dxfId="9" priority="2">
      <formula>AND($K6 &lt;= TODAY()+2, $L6="")</formula>
    </cfRule>
  </conditionalFormatting>
  <conditionalFormatting sqref="D1 D4 D6:D80">
    <cfRule type="cellIs" dxfId="10" priority="3" operator="equal">
      <formula>"Chưa đặt hàng"</formula>
    </cfRule>
  </conditionalFormatting>
  <conditionalFormatting sqref="T5:U80">
    <cfRule type="beginsWith" dxfId="11" priority="4" operator="beginsWith" text="⚠️ Trễ">
      <formula>LEFT((T5),LEN("⚠️ Trễ"))=("⚠️ Trễ")</formula>
    </cfRule>
  </conditionalFormatting>
  <conditionalFormatting sqref="T5:U80">
    <cfRule type="beginsWith" dxfId="12" priority="5" operator="beginsWith" text="⏳ Còn">
      <formula>LEFT((T5),LEN("⏳ Còn"))=("⏳ Còn")</formula>
    </cfRule>
  </conditionalFormatting>
  <conditionalFormatting sqref="I6:I80">
    <cfRule type="expression" dxfId="8" priority="6">
      <formula>AND(I6&lt;&gt;"",I6 &lt; TODAY(), $M6="")</formula>
    </cfRule>
  </conditionalFormatting>
  <conditionalFormatting sqref="I6:I80">
    <cfRule type="expression" dxfId="9" priority="7">
      <formula>AND(I6&gt;=TODAY(),I6&lt;=TODAY()+2, $M6="")</formula>
    </cfRule>
  </conditionalFormatting>
  <conditionalFormatting sqref="L6:L80">
    <cfRule type="expression" dxfId="13" priority="8">
      <formula>AND(L6&lt;&gt;"", $R6="")</formula>
    </cfRule>
  </conditionalFormatting>
  <conditionalFormatting sqref="V1:V80">
    <cfRule type="beginsWith" dxfId="11" priority="9" operator="beginsWith" text="⚠️ Đã giao hàng">
      <formula>LEFT((V1),LEN("⚠️ Đã giao hàng"))=("⚠️ Đã giao hàng")</formula>
    </cfRule>
  </conditionalFormatting>
  <conditionalFormatting sqref="V1:V80">
    <cfRule type="beginsWith" dxfId="14" priority="10" operator="beginsWith" text="⏳ Còn">
      <formula>LEFT((V1),LEN("⏳ Còn"))=("⏳ Còn")</formula>
    </cfRule>
  </conditionalFormatting>
  <dataValidations>
    <dataValidation type="list" allowBlank="1" showErrorMessage="1" sqref="F3">
      <formula1>'11. BÁO CÁO TIẾN ĐỘ ĐƠN MUA HÀN'!$C$6:$C80</formula1>
    </dataValidation>
    <dataValidation type="list" allowBlank="1" showErrorMessage="1" sqref="G3">
      <formula1>"01/2026,02/2026,03/2026,04/2026,05/2026,06/2026,07/2026,08/2026,09/2026,10/2026,11/2026,12/2026"</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4.38"/>
    <col customWidth="1" hidden="1" min="3" max="17" width="10.38"/>
    <col customWidth="1" min="18" max="22" width="10.38"/>
    <col customWidth="1" min="60" max="63" width="17.5"/>
    <col customWidth="1" min="64" max="64" width="15.88"/>
    <col customWidth="1" min="65" max="65" width="17.5"/>
  </cols>
  <sheetData>
    <row r="1">
      <c r="A1" s="703"/>
      <c r="B1" s="704" t="s">
        <v>1420</v>
      </c>
      <c r="C1" s="703"/>
      <c r="D1" s="703"/>
      <c r="E1" s="705"/>
      <c r="F1" s="705"/>
      <c r="G1" s="705"/>
      <c r="H1" s="703"/>
      <c r="I1" s="703"/>
      <c r="J1" s="705"/>
      <c r="K1" s="705"/>
      <c r="L1" s="705"/>
      <c r="M1" s="703"/>
      <c r="N1" s="703"/>
      <c r="O1" s="703"/>
      <c r="P1" s="703"/>
      <c r="Q1" s="703"/>
      <c r="R1" s="703"/>
      <c r="S1" s="703"/>
      <c r="T1" s="703"/>
      <c r="U1" s="703"/>
      <c r="V1" s="703"/>
      <c r="W1" s="703"/>
      <c r="X1" s="703"/>
      <c r="Y1" s="703"/>
      <c r="Z1" s="703"/>
      <c r="AA1" s="703"/>
      <c r="AB1" s="703"/>
      <c r="AC1" s="703"/>
      <c r="AD1" s="703"/>
      <c r="AE1" s="703"/>
      <c r="AF1" s="703"/>
      <c r="AG1" s="703"/>
      <c r="AH1" s="703"/>
      <c r="AI1" s="703"/>
      <c r="AJ1" s="703"/>
      <c r="AK1" s="703"/>
      <c r="AL1" s="703"/>
      <c r="AM1" s="703"/>
      <c r="AN1" s="703"/>
      <c r="AO1" s="703"/>
      <c r="AP1" s="703"/>
      <c r="AQ1" s="703"/>
      <c r="AR1" s="703"/>
      <c r="AS1" s="703"/>
      <c r="AT1" s="703"/>
      <c r="AU1" s="703"/>
      <c r="AV1" s="703"/>
      <c r="AW1" s="703"/>
      <c r="AX1" s="703"/>
      <c r="AY1" s="703"/>
      <c r="AZ1" s="703"/>
      <c r="BA1" s="703"/>
      <c r="BB1" s="703"/>
      <c r="BC1" s="703"/>
      <c r="BD1" s="703"/>
      <c r="BE1" s="703"/>
      <c r="BF1" s="703"/>
      <c r="BG1" s="703"/>
      <c r="BH1" s="703"/>
      <c r="BI1" s="703"/>
      <c r="BJ1" s="703"/>
      <c r="BK1" s="703"/>
      <c r="BL1" s="703"/>
      <c r="BM1" s="705"/>
    </row>
    <row r="2">
      <c r="A2" s="15"/>
      <c r="B2" s="15"/>
      <c r="C2" s="15"/>
      <c r="D2" s="15"/>
      <c r="E2" s="706"/>
      <c r="F2" s="706"/>
      <c r="G2" s="706"/>
      <c r="H2" s="15"/>
      <c r="I2" s="15"/>
      <c r="J2" s="706"/>
      <c r="K2" s="706"/>
      <c r="L2" s="706"/>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707"/>
    </row>
    <row r="3">
      <c r="A3" s="15"/>
      <c r="B3" s="15"/>
      <c r="C3" s="708" t="s">
        <v>1421</v>
      </c>
      <c r="AW3" s="709"/>
      <c r="AX3" s="709"/>
      <c r="AY3" s="709"/>
      <c r="AZ3" s="709"/>
      <c r="BA3" s="709"/>
      <c r="BB3" s="709"/>
      <c r="BC3" s="709"/>
      <c r="BD3" s="709"/>
      <c r="BE3" s="709"/>
      <c r="BF3" s="709"/>
      <c r="BG3" s="709"/>
      <c r="BH3" s="15"/>
      <c r="BI3" s="15"/>
      <c r="BJ3" s="15"/>
      <c r="BK3" s="15"/>
      <c r="BL3" s="709"/>
      <c r="BM3" s="710"/>
    </row>
    <row r="4">
      <c r="A4" s="703"/>
      <c r="B4" s="703"/>
      <c r="C4" s="704" t="s">
        <v>1422</v>
      </c>
      <c r="D4" s="703"/>
      <c r="E4" s="705"/>
      <c r="F4" s="705"/>
      <c r="G4" s="705"/>
      <c r="H4" s="703"/>
      <c r="I4" s="703"/>
      <c r="J4" s="705"/>
      <c r="K4" s="705"/>
      <c r="L4" s="705"/>
      <c r="M4" s="703"/>
      <c r="N4" s="703"/>
      <c r="O4" s="703"/>
      <c r="P4" s="703"/>
      <c r="Q4" s="703"/>
      <c r="R4" s="703"/>
      <c r="S4" s="703"/>
      <c r="T4" s="703"/>
      <c r="U4" s="703"/>
      <c r="V4" s="703"/>
      <c r="W4" s="703"/>
      <c r="X4" s="703"/>
      <c r="Y4" s="703"/>
      <c r="Z4" s="703"/>
      <c r="AA4" s="703"/>
      <c r="AB4" s="703"/>
      <c r="AC4" s="703"/>
      <c r="AD4" s="703"/>
      <c r="AE4" s="703"/>
      <c r="AF4" s="703"/>
      <c r="AG4" s="703"/>
      <c r="AH4" s="703"/>
      <c r="AI4" s="703"/>
      <c r="AJ4" s="703"/>
      <c r="AK4" s="703"/>
      <c r="AL4" s="703"/>
      <c r="AM4" s="703"/>
      <c r="AN4" s="703"/>
      <c r="AO4" s="703"/>
      <c r="AP4" s="703"/>
      <c r="AQ4" s="703"/>
      <c r="AR4" s="703"/>
      <c r="AS4" s="703"/>
      <c r="AT4" s="703"/>
      <c r="AU4" s="703"/>
      <c r="AV4" s="703"/>
      <c r="AW4" s="703"/>
      <c r="AX4" s="703"/>
      <c r="AY4" s="703"/>
      <c r="AZ4" s="703"/>
      <c r="BA4" s="703"/>
      <c r="BB4" s="703"/>
      <c r="BC4" s="703"/>
      <c r="BD4" s="703"/>
      <c r="BE4" s="703"/>
      <c r="BF4" s="703"/>
      <c r="BG4" s="703"/>
      <c r="BH4" s="703"/>
      <c r="BI4" s="703"/>
      <c r="BJ4" s="703"/>
      <c r="BK4" s="703"/>
      <c r="BL4" s="703"/>
      <c r="BM4" s="711" t="s">
        <v>1423</v>
      </c>
    </row>
    <row r="5" ht="34.5" customHeight="1">
      <c r="A5" s="712" t="s">
        <v>80</v>
      </c>
      <c r="B5" s="713" t="s">
        <v>273</v>
      </c>
      <c r="C5" s="714" t="s">
        <v>1424</v>
      </c>
      <c r="D5" s="461"/>
      <c r="E5" s="461"/>
      <c r="F5" s="461"/>
      <c r="G5" s="461"/>
      <c r="H5" s="461"/>
      <c r="I5" s="461"/>
      <c r="J5" s="461"/>
      <c r="K5" s="461"/>
      <c r="L5" s="461"/>
      <c r="M5" s="461"/>
      <c r="N5" s="461"/>
      <c r="O5" s="461"/>
      <c r="P5" s="461"/>
      <c r="Q5" s="461"/>
      <c r="R5" s="461"/>
      <c r="S5" s="461"/>
      <c r="T5" s="461"/>
      <c r="U5" s="461"/>
      <c r="V5" s="461"/>
      <c r="W5" s="461"/>
      <c r="X5" s="461"/>
      <c r="Y5" s="461"/>
      <c r="Z5" s="461"/>
      <c r="AA5" s="461"/>
      <c r="AB5" s="461"/>
      <c r="AC5" s="461"/>
      <c r="AD5" s="461"/>
      <c r="AE5" s="461"/>
      <c r="AF5" s="461"/>
      <c r="AG5" s="461"/>
      <c r="AH5" s="461"/>
      <c r="AI5" s="461"/>
      <c r="AJ5" s="461"/>
      <c r="AK5" s="461"/>
      <c r="AL5" s="461"/>
      <c r="AM5" s="461"/>
      <c r="AN5" s="461"/>
      <c r="AO5" s="461"/>
      <c r="AP5" s="461"/>
      <c r="AQ5" s="461"/>
      <c r="AR5" s="461"/>
      <c r="AS5" s="461"/>
      <c r="AT5" s="461"/>
      <c r="AU5" s="461"/>
      <c r="AV5" s="461"/>
      <c r="AW5" s="461"/>
      <c r="AX5" s="461"/>
      <c r="AY5" s="461"/>
      <c r="AZ5" s="461"/>
      <c r="BA5" s="461"/>
      <c r="BB5" s="461"/>
      <c r="BC5" s="461"/>
      <c r="BD5" s="461"/>
      <c r="BE5" s="461"/>
      <c r="BF5" s="461"/>
      <c r="BG5" s="461"/>
      <c r="BH5" s="461"/>
      <c r="BI5" s="461"/>
      <c r="BJ5" s="461"/>
      <c r="BK5" s="713" t="s">
        <v>1425</v>
      </c>
      <c r="BL5" s="713" t="s">
        <v>1426</v>
      </c>
      <c r="BM5" s="715" t="s">
        <v>1427</v>
      </c>
    </row>
    <row r="6">
      <c r="A6" s="26"/>
      <c r="B6" s="26"/>
      <c r="C6" s="716">
        <v>46023.0</v>
      </c>
      <c r="D6" s="461"/>
      <c r="E6" s="461"/>
      <c r="F6" s="461"/>
      <c r="G6" s="426"/>
      <c r="H6" s="717">
        <v>46055.0</v>
      </c>
      <c r="I6" s="461"/>
      <c r="J6" s="461"/>
      <c r="K6" s="461"/>
      <c r="L6" s="426"/>
      <c r="M6" s="716">
        <v>46084.0</v>
      </c>
      <c r="N6" s="461"/>
      <c r="O6" s="461"/>
      <c r="P6" s="461"/>
      <c r="Q6" s="426"/>
      <c r="R6" s="717">
        <v>46116.0</v>
      </c>
      <c r="S6" s="461"/>
      <c r="T6" s="461"/>
      <c r="U6" s="461"/>
      <c r="V6" s="426"/>
      <c r="W6" s="716">
        <v>46147.0</v>
      </c>
      <c r="X6" s="461"/>
      <c r="Y6" s="461"/>
      <c r="Z6" s="461"/>
      <c r="AA6" s="426"/>
      <c r="AB6" s="717">
        <v>46174.0</v>
      </c>
      <c r="AC6" s="461"/>
      <c r="AD6" s="461"/>
      <c r="AE6" s="461"/>
      <c r="AF6" s="426"/>
      <c r="AG6" s="716">
        <v>46205.0</v>
      </c>
      <c r="AH6" s="461"/>
      <c r="AI6" s="461"/>
      <c r="AJ6" s="461"/>
      <c r="AK6" s="426"/>
      <c r="AL6" s="717">
        <v>46237.0</v>
      </c>
      <c r="AM6" s="461"/>
      <c r="AN6" s="461"/>
      <c r="AO6" s="461"/>
      <c r="AP6" s="426"/>
      <c r="AQ6" s="716">
        <v>46269.0</v>
      </c>
      <c r="AR6" s="461"/>
      <c r="AS6" s="461"/>
      <c r="AT6" s="461"/>
      <c r="AU6" s="426"/>
      <c r="AV6" s="717">
        <v>46300.0</v>
      </c>
      <c r="AW6" s="461"/>
      <c r="AX6" s="461"/>
      <c r="AY6" s="461"/>
      <c r="AZ6" s="426"/>
      <c r="BA6" s="716">
        <v>46327.0</v>
      </c>
      <c r="BB6" s="461"/>
      <c r="BC6" s="461"/>
      <c r="BD6" s="461"/>
      <c r="BE6" s="426"/>
      <c r="BF6" s="717">
        <v>46358.0</v>
      </c>
      <c r="BG6" s="461"/>
      <c r="BH6" s="461"/>
      <c r="BI6" s="461"/>
      <c r="BJ6" s="426"/>
      <c r="BK6" s="26"/>
      <c r="BL6" s="26"/>
      <c r="BM6" s="26"/>
    </row>
    <row r="7">
      <c r="A7" s="26"/>
      <c r="B7" s="26"/>
      <c r="C7" s="718" t="s">
        <v>1428</v>
      </c>
      <c r="D7" s="719" t="s">
        <v>1429</v>
      </c>
      <c r="E7" s="719" t="s">
        <v>1430</v>
      </c>
      <c r="F7" s="719" t="s">
        <v>1431</v>
      </c>
      <c r="G7" s="719" t="s">
        <v>1432</v>
      </c>
      <c r="H7" s="720" t="s">
        <v>1428</v>
      </c>
      <c r="I7" s="721" t="s">
        <v>1429</v>
      </c>
      <c r="J7" s="720" t="s">
        <v>1430</v>
      </c>
      <c r="K7" s="721" t="s">
        <v>1431</v>
      </c>
      <c r="L7" s="721" t="s">
        <v>1432</v>
      </c>
      <c r="M7" s="718" t="s">
        <v>1428</v>
      </c>
      <c r="N7" s="719" t="s">
        <v>1429</v>
      </c>
      <c r="O7" s="719" t="s">
        <v>1430</v>
      </c>
      <c r="P7" s="719" t="s">
        <v>1431</v>
      </c>
      <c r="Q7" s="719" t="s">
        <v>1432</v>
      </c>
      <c r="R7" s="720" t="s">
        <v>1428</v>
      </c>
      <c r="S7" s="721" t="s">
        <v>1429</v>
      </c>
      <c r="T7" s="720" t="s">
        <v>1430</v>
      </c>
      <c r="U7" s="721" t="s">
        <v>1431</v>
      </c>
      <c r="V7" s="721" t="s">
        <v>1432</v>
      </c>
      <c r="W7" s="718" t="s">
        <v>1428</v>
      </c>
      <c r="X7" s="719" t="s">
        <v>1429</v>
      </c>
      <c r="Y7" s="719" t="s">
        <v>1430</v>
      </c>
      <c r="Z7" s="719" t="s">
        <v>1431</v>
      </c>
      <c r="AA7" s="719" t="s">
        <v>1432</v>
      </c>
      <c r="AB7" s="720" t="s">
        <v>1428</v>
      </c>
      <c r="AC7" s="721" t="s">
        <v>1429</v>
      </c>
      <c r="AD7" s="720" t="s">
        <v>1430</v>
      </c>
      <c r="AE7" s="721" t="s">
        <v>1431</v>
      </c>
      <c r="AF7" s="721" t="s">
        <v>1432</v>
      </c>
      <c r="AG7" s="718" t="s">
        <v>1428</v>
      </c>
      <c r="AH7" s="719" t="s">
        <v>1429</v>
      </c>
      <c r="AI7" s="719" t="s">
        <v>1430</v>
      </c>
      <c r="AJ7" s="719" t="s">
        <v>1431</v>
      </c>
      <c r="AK7" s="719" t="s">
        <v>1432</v>
      </c>
      <c r="AL7" s="720" t="s">
        <v>1428</v>
      </c>
      <c r="AM7" s="721" t="s">
        <v>1429</v>
      </c>
      <c r="AN7" s="720" t="s">
        <v>1430</v>
      </c>
      <c r="AO7" s="721" t="s">
        <v>1431</v>
      </c>
      <c r="AP7" s="721" t="s">
        <v>1432</v>
      </c>
      <c r="AQ7" s="718" t="s">
        <v>1428</v>
      </c>
      <c r="AR7" s="719" t="s">
        <v>1429</v>
      </c>
      <c r="AS7" s="719" t="s">
        <v>1430</v>
      </c>
      <c r="AT7" s="719" t="s">
        <v>1431</v>
      </c>
      <c r="AU7" s="719" t="s">
        <v>1432</v>
      </c>
      <c r="AV7" s="720" t="s">
        <v>1428</v>
      </c>
      <c r="AW7" s="721" t="s">
        <v>1429</v>
      </c>
      <c r="AX7" s="720" t="s">
        <v>1430</v>
      </c>
      <c r="AY7" s="721" t="s">
        <v>1431</v>
      </c>
      <c r="AZ7" s="721" t="s">
        <v>1432</v>
      </c>
      <c r="BA7" s="718" t="s">
        <v>1428</v>
      </c>
      <c r="BB7" s="719" t="s">
        <v>1429</v>
      </c>
      <c r="BC7" s="719" t="s">
        <v>1430</v>
      </c>
      <c r="BD7" s="719" t="s">
        <v>1431</v>
      </c>
      <c r="BE7" s="719" t="s">
        <v>1432</v>
      </c>
      <c r="BF7" s="720" t="s">
        <v>1428</v>
      </c>
      <c r="BG7" s="721" t="s">
        <v>1429</v>
      </c>
      <c r="BH7" s="720" t="s">
        <v>1430</v>
      </c>
      <c r="BI7" s="721" t="s">
        <v>1431</v>
      </c>
      <c r="BJ7" s="721" t="s">
        <v>1432</v>
      </c>
      <c r="BK7" s="23"/>
      <c r="BL7" s="23"/>
      <c r="BM7" s="23"/>
    </row>
    <row r="8">
      <c r="A8" s="23"/>
      <c r="B8" s="23"/>
      <c r="C8" s="722">
        <f t="shared" ref="C8:F8" si="1">SUM(C9:C11)</f>
        <v>0</v>
      </c>
      <c r="D8" s="722">
        <f t="shared" si="1"/>
        <v>0</v>
      </c>
      <c r="E8" s="722">
        <f t="shared" si="1"/>
        <v>0</v>
      </c>
      <c r="F8" s="722">
        <f t="shared" si="1"/>
        <v>0</v>
      </c>
      <c r="G8" s="723">
        <f t="shared" ref="G8:G13" si="14">IFS(C8="", "", D8="", "", D8=0, 0, TRUE, D8/C8)</f>
        <v>0</v>
      </c>
      <c r="H8" s="724">
        <f t="shared" ref="H8:K8" si="2">SUM(H9:H11)</f>
        <v>0</v>
      </c>
      <c r="I8" s="724">
        <f t="shared" si="2"/>
        <v>0</v>
      </c>
      <c r="J8" s="724">
        <f t="shared" si="2"/>
        <v>0</v>
      </c>
      <c r="K8" s="724">
        <f t="shared" si="2"/>
        <v>0</v>
      </c>
      <c r="L8" s="725">
        <f t="shared" ref="L8:L13" si="15">IFS(H8="", "", I8="", "", I8=0, 0, TRUE, I8/H8)</f>
        <v>0</v>
      </c>
      <c r="M8" s="722">
        <f t="shared" ref="M8:P8" si="3">SUM(M9:M11)</f>
        <v>0</v>
      </c>
      <c r="N8" s="722">
        <f t="shared" si="3"/>
        <v>0</v>
      </c>
      <c r="O8" s="722">
        <f t="shared" si="3"/>
        <v>0</v>
      </c>
      <c r="P8" s="722">
        <f t="shared" si="3"/>
        <v>0</v>
      </c>
      <c r="Q8" s="723">
        <f t="shared" ref="Q8:Q13" si="16">IFS(M8="", "", N8="", "", N8=0, 0, TRUE, N8/M8)</f>
        <v>0</v>
      </c>
      <c r="R8" s="724">
        <f t="shared" ref="R8:U8" si="4">SUM(R9:R11)</f>
        <v>12</v>
      </c>
      <c r="S8" s="724">
        <f t="shared" si="4"/>
        <v>18</v>
      </c>
      <c r="T8" s="724">
        <f t="shared" si="4"/>
        <v>4</v>
      </c>
      <c r="U8" s="724">
        <f t="shared" si="4"/>
        <v>14</v>
      </c>
      <c r="V8" s="725">
        <f t="shared" ref="V8:V14" si="17">IFS(R8="", "", S8="", "", S8=0, 0, TRUE, S8/R8)</f>
        <v>1.5</v>
      </c>
      <c r="W8" s="722">
        <f t="shared" ref="W8:Z8" si="5">SUM(W9:W11)</f>
        <v>0</v>
      </c>
      <c r="X8" s="722">
        <f t="shared" si="5"/>
        <v>1</v>
      </c>
      <c r="Y8" s="722">
        <f t="shared" si="5"/>
        <v>3</v>
      </c>
      <c r="Z8" s="722">
        <f t="shared" si="5"/>
        <v>14</v>
      </c>
      <c r="AA8" s="723" t="str">
        <f t="shared" ref="AA8:AA14" si="18">IFS(W8="", "", X8="", "", X8=0, 0, TRUE, X8/W8)</f>
        <v>#DIV/0!</v>
      </c>
      <c r="AB8" s="724">
        <f t="shared" ref="AB8:AE8" si="6">SUM(AB9:AB11)</f>
        <v>0</v>
      </c>
      <c r="AC8" s="724">
        <f t="shared" si="6"/>
        <v>0</v>
      </c>
      <c r="AD8" s="724">
        <f t="shared" si="6"/>
        <v>0</v>
      </c>
      <c r="AE8" s="724">
        <f t="shared" si="6"/>
        <v>16</v>
      </c>
      <c r="AF8" s="725">
        <f t="shared" ref="AF8:AF14" si="19">IFS(AB8="", "", AC8="", "", AC8=0, 0, TRUE, AC8/AB8)</f>
        <v>0</v>
      </c>
      <c r="AG8" s="722">
        <f t="shared" ref="AG8:AJ8" si="7">SUM(AG9:AG11)</f>
        <v>0</v>
      </c>
      <c r="AH8" s="722">
        <f t="shared" si="7"/>
        <v>0</v>
      </c>
      <c r="AI8" s="722">
        <f t="shared" si="7"/>
        <v>0</v>
      </c>
      <c r="AJ8" s="722">
        <f t="shared" si="7"/>
        <v>2</v>
      </c>
      <c r="AK8" s="723">
        <f t="shared" ref="AK8:AK14" si="20">IFS(AG8="", "", AH8="", "", AH8=0, 0, TRUE, AH8/AG8)</f>
        <v>0</v>
      </c>
      <c r="AL8" s="724">
        <f t="shared" ref="AL8:AO8" si="8">SUM(AL9:AL11)</f>
        <v>0</v>
      </c>
      <c r="AM8" s="724">
        <f t="shared" si="8"/>
        <v>0</v>
      </c>
      <c r="AN8" s="724">
        <f t="shared" si="8"/>
        <v>0</v>
      </c>
      <c r="AO8" s="724">
        <f t="shared" si="8"/>
        <v>0</v>
      </c>
      <c r="AP8" s="725">
        <f t="shared" ref="AP8:AP14" si="21">IFS(AL8="", "", AM8="", "", AM8=0, 0, TRUE, AM8/AL8)</f>
        <v>0</v>
      </c>
      <c r="AQ8" s="722">
        <f t="shared" ref="AQ8:AT8" si="9">SUM(AQ9:AQ11)</f>
        <v>0</v>
      </c>
      <c r="AR8" s="722">
        <f t="shared" si="9"/>
        <v>0</v>
      </c>
      <c r="AS8" s="722">
        <f t="shared" si="9"/>
        <v>0</v>
      </c>
      <c r="AT8" s="722">
        <f t="shared" si="9"/>
        <v>0</v>
      </c>
      <c r="AU8" s="723">
        <f t="shared" ref="AU8:AU14" si="22">IFS(AQ8="", "", AR8="", "", AR8=0, 0, TRUE, AR8/AQ8)</f>
        <v>0</v>
      </c>
      <c r="AV8" s="724">
        <f t="shared" ref="AV8:AY8" si="10">SUM(AV9:AV11)</f>
        <v>0</v>
      </c>
      <c r="AW8" s="724">
        <f t="shared" si="10"/>
        <v>0</v>
      </c>
      <c r="AX8" s="724">
        <f t="shared" si="10"/>
        <v>0</v>
      </c>
      <c r="AY8" s="724">
        <f t="shared" si="10"/>
        <v>0</v>
      </c>
      <c r="AZ8" s="725">
        <f t="shared" ref="AZ8:AZ14" si="23">IFS(AV8="", "", AW8="", "", AW8=0, 0, TRUE, AW8/AV8)</f>
        <v>0</v>
      </c>
      <c r="BA8" s="722">
        <f t="shared" ref="BA8:BD8" si="11">SUM(BA9:BA11)</f>
        <v>0</v>
      </c>
      <c r="BB8" s="722">
        <f t="shared" si="11"/>
        <v>0</v>
      </c>
      <c r="BC8" s="722">
        <f t="shared" si="11"/>
        <v>0</v>
      </c>
      <c r="BD8" s="722">
        <f t="shared" si="11"/>
        <v>0</v>
      </c>
      <c r="BE8" s="723">
        <f t="shared" ref="BE8:BE14" si="24">IFS(BA8="", "", BB8="", "", BB8=0, 0, TRUE, BB8/BA8)</f>
        <v>0</v>
      </c>
      <c r="BF8" s="724">
        <f t="shared" ref="BF8:BI8" si="12">SUM(BF9:BF11)</f>
        <v>0</v>
      </c>
      <c r="BG8" s="724">
        <f t="shared" si="12"/>
        <v>0</v>
      </c>
      <c r="BH8" s="724">
        <f t="shared" si="12"/>
        <v>0</v>
      </c>
      <c r="BI8" s="724">
        <f t="shared" si="12"/>
        <v>0</v>
      </c>
      <c r="BJ8" s="725">
        <f t="shared" ref="BJ8:BJ14" si="25">IFS(BF8="", "", BG8="", "", BG8=0, 0, TRUE, BG8/BF8)</f>
        <v>0</v>
      </c>
      <c r="BK8" s="726">
        <f t="shared" ref="BK8:BL8" si="13">SUM(BK9:BK11)</f>
        <v>12</v>
      </c>
      <c r="BL8" s="726">
        <f t="shared" si="13"/>
        <v>19</v>
      </c>
      <c r="BM8" s="727">
        <f t="shared" ref="BM8:BM14" si="26">IFS(BL8="", "", BK8="", "", BL8=0, 0, TRUE, BL8/BK8)</f>
        <v>1.583333333</v>
      </c>
    </row>
    <row r="9">
      <c r="A9" s="728">
        <f t="array" ref="A9:A14">IF(LEN(B9:B14), ROW(B9:B14) - ROW(B9) + 1, "")</f>
        <v>1</v>
      </c>
      <c r="B9" s="729" t="str">
        <f>IFERROR(__xludf.DUMMYFUNCTION("Unique( QUERY('1. DATA CHUNG'!A4:AG14, ""SELECT AG WHERE AG IS NOT NULL"", 1))"),"Ms Quyên")</f>
        <v>Ms Quyên</v>
      </c>
      <c r="C9" s="730">
        <f t="array" ref="C9">SUMPRODUCT((INDEX('6. TIẾN ĐỘ MUA HÀNG'!$A$5:$AT$16, 0, MATCH("NSPT", '6. TIẾN ĐỘ MUA HÀNG'!$A$4:$AT$4, 0)) = $B9) * (TEXT(INDEX('6. TIẾN ĐỘ MUA HÀNG'!$A$5:$AT$16, 0, MATCH("Ngày quy định", '6. TIẾN ĐỘ MUA HÀNG'!$A$4:$AT$4, 0)), "mm/yyyy") = TEXT(C$6, "mm/yyyy")) * (INDEX('6. TIẾN ĐỘ MUA HÀNG'!$A$5:$AT$16, 0, MATCH("Mã đơn Misa", '6. TIẾN ĐỘ MUA HÀNG'!$A$4:$AT$4, 0)) &lt;&gt; ""))</f>
        <v>0</v>
      </c>
      <c r="D9" s="730">
        <f t="array" ref="D9">SUMPRODUCT((INDEX('6. TIẾN ĐỘ MUA HÀNG'!$A:$AT, 0, XMATCH("NSPT", '6. TIẾN ĐỘ MUA HÀNG'!$A$4:$AT$4, 0)) = $B9) * (TEXT(INDEX('6. TIẾN ĐỘ MUA HÀNG'!$A:$AT, 0, MATCH("Ngày quy định", '6. TIẾN ĐỘ MUA HÀNG'!$A$4:$AT$4, 0)), "mm/yyyy") = TEXT(C$6, "mm/yyyy")) * (INDEX('6. TIẾN ĐỘ MUA HÀNG'!$A:$AT, 0, XMATCH("*CL NGÀY QUY ĐỊNH - NGÀY NHẬN HÀNG*", '6. TIẾN ĐỘ MUA HÀNG'!$A$4:$AT$4, 2)) &lt; 0))</f>
        <v>0</v>
      </c>
      <c r="E9" s="730">
        <f t="array" ref="E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TEXT(C$6, "mm/yyyy")) * (INDEX('6. TIẾN ĐỘ MUA HÀNG'!$A$5:$AT$1161, 0, XMATCH("*CL NGÀY QUY ĐỊNH - NGÀY NHẬN HÀNG*", '6. TIẾN ĐỘ MUA HÀNG'!$A$4:$AT$4, 2)) = 0))</f>
        <v>0</v>
      </c>
      <c r="F9" s="730">
        <f t="array" ref="F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TEXT(C$6, "mm/yyyy")) * (INDEX('6. TIẾN ĐỘ MUA HÀNG'!$A$5:$AT$1161, 0, XMATCH("*CL NGÀY QUY ĐỊNH - NGÀY NHẬN HÀNG*", '6. TIẾN ĐỘ MUA HÀNG'!$A$4:$AT$4, 2)) &gt; 0))</f>
        <v>0</v>
      </c>
      <c r="G9" s="731">
        <f t="shared" si="14"/>
        <v>0</v>
      </c>
      <c r="H9" s="732">
        <f t="array" ref="H9">SUMPRODUCT((INDEX('6. TIẾN ĐỘ MUA HÀNG'!$A$5:$AT$16, 0, MATCH("NSPT", '6. TIẾN ĐỘ MUA HÀNG'!$A$4:$AT$4, 0)) = $B9) * (TEXT(INDEX('6. TIẾN ĐỘ MUA HÀNG'!$A$5:$AT$16, 0, MATCH("Ngày quy định", '6. TIẾN ĐỘ MUA HÀNG'!$A$4:$AT$4, 0)), "mm/yyyy") = TEXT(H$6, "mm/yyyy")) * (INDEX('6. TIẾN ĐỘ MUA HÀNG'!$A$5:$AT$16, 0, MATCH("Mã đơn Misa", '6. TIẾN ĐỘ MUA HÀNG'!$A$4:$AT$4, 0)) &lt;&gt; ""))</f>
        <v>0</v>
      </c>
      <c r="I9" s="732">
        <f t="array" ref="I9">SUMPRODUCT((INDEX('6. TIẾN ĐỘ MUA HÀNG'!$A:$AT, 0, XMATCH("NSPT", '6. TIẾN ĐỘ MUA HÀNG'!$A$4:$AT$4, 0)) = $B9) * (TEXT(INDEX('6. TIẾN ĐỘ MUA HÀNG'!$A:$AT, 0, MATCH("Ngày quy định", '6. TIẾN ĐỘ MUA HÀNG'!$A$4:$AT$4, 0)), "mm/yyyy") = TEXT(H$6, "mm/yyyy")) * (INDEX('6. TIẾN ĐỘ MUA HÀNG'!$A:$AT, 0, XMATCH("*CL NGÀY QUY ĐỊNH - NGÀY NHẬN HÀNG*", '6. TIẾN ĐỘ MUA HÀNG'!$A$4:$AT$4, 2)) &lt; 0))</f>
        <v>0</v>
      </c>
      <c r="J9" s="732">
        <f t="array" ref="J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TEXT(H$6, "mm/yyyy")) * (INDEX('6. TIẾN ĐỘ MUA HÀNG'!$A$5:$AT$1161, 0, XMATCH("*CL NGÀY QUY ĐỊNH - NGÀY NHẬN HÀNG*", '6. TIẾN ĐỘ MUA HÀNG'!$A$4:$AT$4, 2)) = 0))</f>
        <v>0</v>
      </c>
      <c r="K9" s="732">
        <f t="array" ref="K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TEXT(H$6, "mm/yyyy")) * (INDEX('6. TIẾN ĐỘ MUA HÀNG'!$A$5:$AT$1161, 0, XMATCH("*CL NGÀY QUY ĐỊNH - NGÀY NHẬN HÀNG*", '6. TIẾN ĐỘ MUA HÀNG'!$A$4:$AT$4, 2)) &gt; 0))</f>
        <v>0</v>
      </c>
      <c r="L9" s="733">
        <f t="shared" si="15"/>
        <v>0</v>
      </c>
      <c r="M9" s="730">
        <f t="array" ref="M9">SUMPRODUCT((INDEX('6. TIẾN ĐỘ MUA HÀNG'!$A$5:$AT$16, 0, MATCH("NSPT", '6. TIẾN ĐỘ MUA HÀNG'!$A$4:$AT$4, 0)) = $B9) * (TEXT(INDEX('6. TIẾN ĐỘ MUA HÀNG'!$A$5:$AT$16, 0, MATCH("Ngày quy định", '6. TIẾN ĐỘ MUA HÀNG'!$A$4:$AT$4, 0)), "mm/yyyy") = TEXT(M$6, "mm/yyyy")) * (INDEX('6. TIẾN ĐỘ MUA HÀNG'!$A$5:$AT$16, 0, MATCH("Mã đơn Misa", '6. TIẾN ĐỘ MUA HÀNG'!$A$4:$AT$4, 0)) &lt;&gt; ""))</f>
        <v>0</v>
      </c>
      <c r="N9" s="730">
        <f t="array" ref="N9">SUMPRODUCT((INDEX('6. TIẾN ĐỘ MUA HÀNG'!$A:$AT, 0, XMATCH("NSPT", '6. TIẾN ĐỘ MUA HÀNG'!$A$4:$AT$4, 0)) = $B9) * (TEXT(INDEX('6. TIẾN ĐỘ MUA HÀNG'!$A:$AT, 0, MATCH("Ngày quy định", '6. TIẾN ĐỘ MUA HÀNG'!$A$4:$AT$4, 0)), "mm/yyyy") = TEXT(M$6, "mm/yyyy")) * (INDEX('6. TIẾN ĐỘ MUA HÀNG'!$A:$AT, 0, XMATCH("*CL NGÀY QUY ĐỊNH - NGÀY NHẬN HÀNG*", '6. TIẾN ĐỘ MUA HÀNG'!$A$4:$AT$4, 2)) &lt; 0))</f>
        <v>0</v>
      </c>
      <c r="O9" s="730">
        <f t="array" ref="O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TEXT(M$6, "mm/yyyy")) * (INDEX('6. TIẾN ĐỘ MUA HÀNG'!$A$5:$AT$1161, 0, XMATCH("*CL NGÀY QUY ĐỊNH - NGÀY NHẬN HÀNG*", '6. TIẾN ĐỘ MUA HÀNG'!$A$4:$AT$4, 2)) = 0))</f>
        <v>0</v>
      </c>
      <c r="P9" s="730">
        <f t="array" ref="P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TEXT(M$6, "mm/yyyy")) * (INDEX('6. TIẾN ĐỘ MUA HÀNG'!$A$5:$AT$1161, 0, XMATCH("*CL NGÀY QUY ĐỊNH - NGÀY NHẬN HÀNG*", '6. TIẾN ĐỘ MUA HÀNG'!$A$4:$AT$4, 2)) &gt; 0))</f>
        <v>0</v>
      </c>
      <c r="Q9" s="731">
        <f t="shared" si="16"/>
        <v>0</v>
      </c>
      <c r="R9" s="732">
        <f t="array" ref="R9">SUMPRODUCT((INDEX('6. TIẾN ĐỘ MUA HÀNG'!$A$5:$AT$16, 0, MATCH("NSPT", '6. TIẾN ĐỘ MUA HÀNG'!$A$4:$AT$4, 0)) = $B9) * (TEXT(INDEX('6. TIẾN ĐỘ MUA HÀNG'!$A$5:$AT$16, 0, MATCH("Ngày quy định", '6. TIẾN ĐỘ MUA HÀNG'!$A$4:$AT$4, 0)), "mm/yyyy") = TEXT(R$6, "mm/yyyy")) * (INDEX('6. TIẾN ĐỘ MUA HÀNG'!$A$5:$AT$16, 0, MATCH("Mã đơn Misa", '6. TIẾN ĐỘ MUA HÀNG'!$A$4:$AT$4, 0)) &lt;&gt; ""))</f>
        <v>0</v>
      </c>
      <c r="S9" s="732">
        <f t="array" ref="S9">SUMPRODUCT((INDEX('6. TIẾN ĐỘ MUA HÀNG'!$A:$AT, 0, XMATCH("NSPT", '6. TIẾN ĐỘ MUA HÀNG'!$A$4:$AT$4, 0)) = $B9) * (TEXT(INDEX('6. TIẾN ĐỘ MUA HÀNG'!$A:$AT, 0, MATCH("Ngày quy định", '6. TIẾN ĐỘ MUA HÀNG'!$A$4:$AT$4, 0)), "mm/yyyy") = TEXT(R$6, "mm/yyyy")) * (INDEX('6. TIẾN ĐỘ MUA HÀNG'!$A:$AT, 0, XMATCH("*CL NGÀY QUY ĐỊNH - NGÀY NHẬN HÀNG*", '6. TIẾN ĐỘ MUA HÀNG'!$A$4:$AT$4, 2)) &lt; 0))</f>
        <v>0</v>
      </c>
      <c r="T9" s="732">
        <f t="array" ref="T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TEXT(R$6, "mm/yyyy")) * (INDEX('6. TIẾN ĐỘ MUA HÀNG'!$A$5:$AT$1161, 0, XMATCH("*CL NGÀY QUY ĐỊNH - NGÀY NHẬN HÀNG*", '6. TIẾN ĐỘ MUA HÀNG'!$A$4:$AT$4, 2)) = 0))</f>
        <v>0</v>
      </c>
      <c r="U9" s="732">
        <f t="array" ref="U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TEXT(R$6, "mm/yyyy")) * (INDEX('6. TIẾN ĐỘ MUA HÀNG'!$A$5:$AT$1161, 0, XMATCH("*CL NGÀY QUY ĐỊNH - NGÀY NHẬN HÀNG*", '6. TIẾN ĐỘ MUA HÀNG'!$A$4:$AT$4, 2)) &gt; 0))</f>
        <v>0</v>
      </c>
      <c r="V9" s="733">
        <f t="shared" si="17"/>
        <v>0</v>
      </c>
      <c r="W9" s="730">
        <f t="array" ref="W9">SUMPRODUCT((INDEX('6. TIẾN ĐỘ MUA HÀNG'!$A$5:$AT$16, 0, MATCH("NSPT", '6. TIẾN ĐỘ MUA HÀNG'!$A$4:$AT$4, 0)) = $B9) * (TEXT(INDEX('6. TIẾN ĐỘ MUA HÀNG'!$A$5:$AT$16, 0, MATCH("Ngày quy định", '6. TIẾN ĐỘ MUA HÀNG'!$A$4:$AT$4, 0)), "mm/yyyy") = TEXT(W$6, "mm/yyyy")) * (INDEX('6. TIẾN ĐỘ MUA HÀNG'!$A$5:$AT$16, 0, MATCH("Mã đơn Misa", '6. TIẾN ĐỘ MUA HÀNG'!$A$4:$AT$4, 0)) &lt;&gt; ""))</f>
        <v>0</v>
      </c>
      <c r="X9" s="730">
        <f t="array" ref="X9">SUMPRODUCT((INDEX('6. TIẾN ĐỘ MUA HÀNG'!$A:$AT, 0, XMATCH("NSPT", '6. TIẾN ĐỘ MUA HÀNG'!$A$4:$AT$4, 0)) = $B9) * (TEXT(INDEX('6. TIẾN ĐỘ MUA HÀNG'!$A:$AT, 0, MATCH("Ngày quy định", '6. TIẾN ĐỘ MUA HÀNG'!$A$4:$AT$4, 0)), "mm/yyyy") = TEXT(W$6, "mm/yyyy")) * (INDEX('6. TIẾN ĐỘ MUA HÀNG'!$A:$AT, 0, XMATCH("*CL NGÀY QUY ĐỊNH - NGÀY NHẬN HÀNG*", '6. TIẾN ĐỘ MUA HÀNG'!$A$4:$AT$4, 2)) &lt; 0))</f>
        <v>0</v>
      </c>
      <c r="Y9" s="730">
        <f t="array" ref="Y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TEXT(W$6, "mm/yyyy")) * (INDEX('6. TIẾN ĐỘ MUA HÀNG'!$A$5:$AT$1161, 0, XMATCH("*CL NGÀY QUY ĐỊNH - NGÀY NHẬN HÀNG*", '6. TIẾN ĐỘ MUA HÀNG'!$A$4:$AT$4, 2)) = 0))</f>
        <v>0</v>
      </c>
      <c r="Z9" s="730">
        <f t="array" ref="Z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TEXT(W$6, "mm/yyyy")) * (INDEX('6. TIẾN ĐỘ MUA HÀNG'!$A$5:$AT$1161, 0, XMATCH("*CL NGÀY QUY ĐỊNH - NGÀY NHẬN HÀNG*", '6. TIẾN ĐỘ MUA HÀNG'!$A$4:$AT$4, 2)) &gt; 0))</f>
        <v>0</v>
      </c>
      <c r="AA9" s="731">
        <f t="shared" si="18"/>
        <v>0</v>
      </c>
      <c r="AB9" s="732">
        <f t="array" ref="AB9">SUMPRODUCT((INDEX('6. TIẾN ĐỘ MUA HÀNG'!$A$5:$AT$16, 0, MATCH("NSPT", '6. TIẾN ĐỘ MUA HÀNG'!$A$4:$AT$4, 0)) = $B9) * (TEXT(INDEX('6. TIẾN ĐỘ MUA HÀNG'!$A$5:$AT$16, 0, MATCH("Ngày quy định", '6. TIẾN ĐỘ MUA HÀNG'!$A$4:$AT$4, 0)), "mm/yyyy") = TEXT(AB$6, "mm/yyyy")) * (INDEX('6. TIẾN ĐỘ MUA HÀNG'!$A$5:$AT$16, 0, MATCH("Mã đơn Misa", '6. TIẾN ĐỘ MUA HÀNG'!$A$4:$AT$4, 0)) &lt;&gt; ""))</f>
        <v>0</v>
      </c>
      <c r="AC9" s="732">
        <f t="array" ref="AC9">SUMPRODUCT((INDEX('6. TIẾN ĐỘ MUA HÀNG'!$A:$AT, 0, XMATCH("NSPT", '6. TIẾN ĐỘ MUA HÀNG'!$A$4:$AT$4, 0)) = $B9) * (TEXT(INDEX('6. TIẾN ĐỘ MUA HÀNG'!$A:$AT, 0, MATCH("Ngày quy định", '6. TIẾN ĐỘ MUA HÀNG'!$A$4:$AT$4, 0)), "mm/yyyy") = TEXT(AB$6, "mm/yyyy")) * (INDEX('6. TIẾN ĐỘ MUA HÀNG'!$A:$AT, 0, XMATCH("*CL NGÀY QUY ĐỊNH - NGÀY NHẬN HÀNG*", '6. TIẾN ĐỘ MUA HÀNG'!$A$4:$AT$4, 2)) &lt; 0))</f>
        <v>0</v>
      </c>
      <c r="AD9" s="732">
        <f t="array" ref="AD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TEXT(AB$6, "mm/yyyy")) * (INDEX('6. TIẾN ĐỘ MUA HÀNG'!$A$5:$AT$1161, 0, XMATCH("*CL NGÀY QUY ĐỊNH - NGÀY NHẬN HÀNG*", '6. TIẾN ĐỘ MUA HÀNG'!$A$4:$AT$4, 2)) = 0))</f>
        <v>0</v>
      </c>
      <c r="AE9" s="732">
        <f t="array" ref="AE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TEXT(AB$6, "mm/yyyy")) * (INDEX('6. TIẾN ĐỘ MUA HÀNG'!$A$5:$AT$1161, 0, XMATCH("*CL NGÀY QUY ĐỊNH - NGÀY NHẬN HÀNG*", '6. TIẾN ĐỘ MUA HÀNG'!$A$4:$AT$4, 2)) &gt; 0))</f>
        <v>0</v>
      </c>
      <c r="AF9" s="733">
        <f t="shared" si="19"/>
        <v>0</v>
      </c>
      <c r="AG9" s="730">
        <f t="array" ref="AG9">SUMPRODUCT((INDEX('6. TIẾN ĐỘ MUA HÀNG'!$A$5:$AT$16, 0, MATCH("NSPT", '6. TIẾN ĐỘ MUA HÀNG'!$A$4:$AT$4, 0)) = $B9) * (TEXT(INDEX('6. TIẾN ĐỘ MUA HÀNG'!$A$5:$AT$16, 0, MATCH("Ngày quy định", '6. TIẾN ĐỘ MUA HÀNG'!$A$4:$AT$4, 0)), "mm/yyyy") = TEXT(AG$6, "mm/yyyy")) * (INDEX('6. TIẾN ĐỘ MUA HÀNG'!$A$5:$AT$16, 0, MATCH("Mã đơn Misa", '6. TIẾN ĐỘ MUA HÀNG'!$A$4:$AT$4, 0)) &lt;&gt; ""))</f>
        <v>0</v>
      </c>
      <c r="AH9" s="730">
        <f t="array" ref="AH9">SUMPRODUCT((INDEX('6. TIẾN ĐỘ MUA HÀNG'!$A:$AT, 0, XMATCH("NSPT", '6. TIẾN ĐỘ MUA HÀNG'!$A$4:$AT$4, 0)) = $B9) * (TEXT(INDEX('6. TIẾN ĐỘ MUA HÀNG'!$A:$AT, 0, MATCH("Ngày quy định", '6. TIẾN ĐỘ MUA HÀNG'!$A$4:$AT$4, 0)), "mm/yyyy") = TEXT(AG$6, "mm/yyyy")) * (INDEX('6. TIẾN ĐỘ MUA HÀNG'!$A:$AT, 0, XMATCH("*CL NGÀY QUY ĐỊNH - NGÀY NHẬN HÀNG*", '6. TIẾN ĐỘ MUA HÀNG'!$A$4:$AT$4, 2)) &lt; 0))</f>
        <v>0</v>
      </c>
      <c r="AI9" s="730">
        <f t="array" ref="AI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TEXT(AG$6, "mm/yyyy")) * (INDEX('6. TIẾN ĐỘ MUA HÀNG'!$A$5:$AT$1161, 0, XMATCH("*CL NGÀY QUY ĐỊNH - NGÀY NHẬN HÀNG*", '6. TIẾN ĐỘ MUA HÀNG'!$A$4:$AT$4, 2)) = 0))</f>
        <v>0</v>
      </c>
      <c r="AJ9" s="730">
        <f t="array" ref="AJ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TEXT(AG$6, "mm/yyyy")) * (INDEX('6. TIẾN ĐỘ MUA HÀNG'!$A$5:$AT$1161, 0, XMATCH("*CL NGÀY QUY ĐỊNH - NGÀY NHẬN HÀNG*", '6. TIẾN ĐỘ MUA HÀNG'!$A$4:$AT$4, 2)) &gt; 0))</f>
        <v>0</v>
      </c>
      <c r="AK9" s="731">
        <f t="shared" si="20"/>
        <v>0</v>
      </c>
      <c r="AL9" s="732">
        <f t="array" ref="AL9">SUMPRODUCT((INDEX('6. TIẾN ĐỘ MUA HÀNG'!$A$5:$AT$16, 0, MATCH("NSPT", '6. TIẾN ĐỘ MUA HÀNG'!$A$4:$AT$4, 0)) = $B9) * (TEXT(INDEX('6. TIẾN ĐỘ MUA HÀNG'!$A$5:$AT$16, 0, MATCH("Ngày quy định", '6. TIẾN ĐỘ MUA HÀNG'!$A$4:$AT$4, 0)), "mm/yyyy") = TEXT(AL$6, "mm/yyyy")) * (INDEX('6. TIẾN ĐỘ MUA HÀNG'!$A$5:$AT$16, 0, MATCH("Mã đơn Misa", '6. TIẾN ĐỘ MUA HÀNG'!$A$4:$AT$4, 0)) &lt;&gt; ""))</f>
        <v>0</v>
      </c>
      <c r="AM9" s="732">
        <f t="array" ref="AM9">SUMPRODUCT((INDEX('6. TIẾN ĐỘ MUA HÀNG'!$A:$AT, 0, XMATCH("NSPT", '6. TIẾN ĐỘ MUA HÀNG'!$A$4:$AT$4, 0)) = $B9) * (TEXT(INDEX('6. TIẾN ĐỘ MUA HÀNG'!$A:$AT, 0, MATCH("Ngày quy định", '6. TIẾN ĐỘ MUA HÀNG'!$A$4:$AT$4, 0)), "mm/yyyy") = TEXT(AL$6, "mm/yyyy")) * (INDEX('6. TIẾN ĐỘ MUA HÀNG'!$A:$AT, 0, XMATCH("*CL NGÀY QUY ĐỊNH - NGÀY NHẬN HÀNG*", '6. TIẾN ĐỘ MUA HÀNG'!$A$4:$AT$4, 2)) &lt; 0))</f>
        <v>0</v>
      </c>
      <c r="AN9" s="732">
        <f t="array" ref="AN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TEXT(AL$6, "mm/yyyy")) * (INDEX('6. TIẾN ĐỘ MUA HÀNG'!$A$5:$AT$1161, 0, XMATCH("*CL NGÀY QUY ĐỊNH - NGÀY NHẬN HÀNG*", '6. TIẾN ĐỘ MUA HÀNG'!$A$4:$AT$4, 2)) = 0))</f>
        <v>0</v>
      </c>
      <c r="AO9" s="732">
        <f t="array" ref="AO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TEXT(AL$6, "mm/yyyy")) * (INDEX('6. TIẾN ĐỘ MUA HÀNG'!$A$5:$AT$1161, 0, XMATCH("*CL NGÀY QUY ĐỊNH - NGÀY NHẬN HÀNG*", '6. TIẾN ĐỘ MUA HÀNG'!$A$4:$AT$4, 2)) &gt; 0))</f>
        <v>0</v>
      </c>
      <c r="AP9" s="733">
        <f t="shared" si="21"/>
        <v>0</v>
      </c>
      <c r="AQ9" s="730">
        <f t="array" ref="AQ9">SUMPRODUCT((INDEX('6. TIẾN ĐỘ MUA HÀNG'!$A$5:$AT$16, 0, MATCH("NSPT", '6. TIẾN ĐỘ MUA HÀNG'!$A$4:$AT$4, 0)) = $B9) * (TEXT(INDEX('6. TIẾN ĐỘ MUA HÀNG'!$A$5:$AT$16, 0, MATCH("Ngày quy định", '6. TIẾN ĐỘ MUA HÀNG'!$A$4:$AT$4, 0)), "mm/yyyy") = TEXT(AQ$6, "mm/yyyy")) * (INDEX('6. TIẾN ĐỘ MUA HÀNG'!$A$5:$AT$16, 0, MATCH("Mã đơn Misa", '6. TIẾN ĐỘ MUA HÀNG'!$A$4:$AT$4, 0)) &lt;&gt; ""))</f>
        <v>0</v>
      </c>
      <c r="AR9" s="730">
        <f t="array" ref="AR9">SUMPRODUCT((INDEX('6. TIẾN ĐỘ MUA HÀNG'!$A:$AT, 0, XMATCH("NSPT", '6. TIẾN ĐỘ MUA HÀNG'!$A$4:$AT$4, 0)) = $B9) * (TEXT(INDEX('6. TIẾN ĐỘ MUA HÀNG'!$A:$AT, 0, MATCH("Ngày quy định", '6. TIẾN ĐỘ MUA HÀNG'!$A$4:$AT$4, 0)), "mm/yyyy") = TEXT(AQ$6, "mm/yyyy")) * (INDEX('6. TIẾN ĐỘ MUA HÀNG'!$A:$AT, 0, XMATCH("*CL NGÀY QUY ĐỊNH - NGÀY NHẬN HÀNG*", '6. TIẾN ĐỘ MUA HÀNG'!$A$4:$AT$4, 2)) &lt; 0))</f>
        <v>0</v>
      </c>
      <c r="AS9" s="730">
        <f t="array" ref="AS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TEXT(AQ$6, "mm/yyyy")) * (INDEX('6. TIẾN ĐỘ MUA HÀNG'!$A$5:$AT$1161, 0, XMATCH("*CL NGÀY QUY ĐỊNH - NGÀY NHẬN HÀNG*", '6. TIẾN ĐỘ MUA HÀNG'!$A$4:$AT$4, 2)) = 0))</f>
        <v>0</v>
      </c>
      <c r="AT9" s="730">
        <f t="array" ref="AT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TEXT(AQ$6, "mm/yyyy")) * (INDEX('6. TIẾN ĐỘ MUA HÀNG'!$A$5:$AT$1161, 0, XMATCH("*CL NGÀY QUY ĐỊNH - NGÀY NHẬN HÀNG*", '6. TIẾN ĐỘ MUA HÀNG'!$A$4:$AT$4, 2)) &gt; 0))</f>
        <v>0</v>
      </c>
      <c r="AU9" s="731">
        <f t="shared" si="22"/>
        <v>0</v>
      </c>
      <c r="AV9" s="732">
        <f t="array" ref="AV9">SUMPRODUCT((INDEX('6. TIẾN ĐỘ MUA HÀNG'!$A$5:$AT$16, 0, MATCH("NSPT", '6. TIẾN ĐỘ MUA HÀNG'!$A$4:$AT$4, 0)) = $B9) * (TEXT(INDEX('6. TIẾN ĐỘ MUA HÀNG'!$A$5:$AT$16, 0, MATCH("Ngày quy định", '6. TIẾN ĐỘ MUA HÀNG'!$A$4:$AT$4, 0)), "mm/yyyy") = TEXT(AV$6, "mm/yyyy")) * (INDEX('6. TIẾN ĐỘ MUA HÀNG'!$A$5:$AT$16, 0, MATCH("Mã đơn Misa", '6. TIẾN ĐỘ MUA HÀNG'!$A$4:$AT$4, 0)) &lt;&gt; ""))</f>
        <v>0</v>
      </c>
      <c r="AW9" s="732">
        <f t="array" ref="AW9">SUMPRODUCT((INDEX('6. TIẾN ĐỘ MUA HÀNG'!$A:$AT, 0, XMATCH("NSPT", '6. TIẾN ĐỘ MUA HÀNG'!$A$4:$AT$4, 0)) = $B9) * (TEXT(INDEX('6. TIẾN ĐỘ MUA HÀNG'!$A:$AT, 0, MATCH("Ngày quy định", '6. TIẾN ĐỘ MUA HÀNG'!$A$4:$AT$4, 0)), "mm/yyyy") = TEXT(AV$6, "mm/yyyy")) * (INDEX('6. TIẾN ĐỘ MUA HÀNG'!$A:$AT, 0, XMATCH("*CL NGÀY QUY ĐỊNH - NGÀY NHẬN HÀNG*", '6. TIẾN ĐỘ MUA HÀNG'!$A$4:$AT$4, 2)) &lt; 0))</f>
        <v>0</v>
      </c>
      <c r="AX9" s="732">
        <f t="array" ref="AX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TEXT(AV$6, "mm/yyyy")) * (INDEX('6. TIẾN ĐỘ MUA HÀNG'!$A$5:$AT$1161, 0, XMATCH("*CL NGÀY QUY ĐỊNH - NGÀY NHẬN HÀNG*", '6. TIẾN ĐỘ MUA HÀNG'!$A$4:$AT$4, 2)) = 0))</f>
        <v>0</v>
      </c>
      <c r="AY9" s="732">
        <f t="array" ref="AY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TEXT(AV$6, "mm/yyyy")) * (INDEX('6. TIẾN ĐỘ MUA HÀNG'!$A$5:$AT$1161, 0, XMATCH("*CL NGÀY QUY ĐỊNH - NGÀY NHẬN HÀNG*", '6. TIẾN ĐỘ MUA HÀNG'!$A$4:$AT$4, 2)) &gt; 0))</f>
        <v>0</v>
      </c>
      <c r="AZ9" s="733">
        <f t="shared" si="23"/>
        <v>0</v>
      </c>
      <c r="BA9" s="730">
        <f t="array" ref="BA9">SUMPRODUCT((INDEX('6. TIẾN ĐỘ MUA HÀNG'!$A$5:$AT$16, 0, MATCH("NSPT", '6. TIẾN ĐỘ MUA HÀNG'!$A$4:$AT$4, 0)) = $B9) * (TEXT(INDEX('6. TIẾN ĐỘ MUA HÀNG'!$A$5:$AT$16, 0, MATCH("Ngày quy định", '6. TIẾN ĐỘ MUA HÀNG'!$A$4:$AT$4, 0)), "mm/yyyy") = TEXT(BA$6, "mm/yyyy")) * (INDEX('6. TIẾN ĐỘ MUA HÀNG'!$A$5:$AT$16, 0, MATCH("Mã đơn Misa", '6. TIẾN ĐỘ MUA HÀNG'!$A$4:$AT$4, 0)) &lt;&gt; ""))</f>
        <v>0</v>
      </c>
      <c r="BB9" s="730">
        <f t="array" ref="BB9">SUMPRODUCT((INDEX('6. TIẾN ĐỘ MUA HÀNG'!$A:$AT, 0, XMATCH("NSPT", '6. TIẾN ĐỘ MUA HÀNG'!$A$4:$AT$4, 0)) = $B9) * (TEXT(INDEX('6. TIẾN ĐỘ MUA HÀNG'!$A:$AT, 0, MATCH("Ngày quy định", '6. TIẾN ĐỘ MUA HÀNG'!$A$4:$AT$4, 0)), "mm/yyyy") = TEXT(BA$6, "mm/yyyy")) * (INDEX('6. TIẾN ĐỘ MUA HÀNG'!$A:$AT, 0, XMATCH("*CL NGÀY QUY ĐỊNH - NGÀY NHẬN HÀNG*", '6. TIẾN ĐỘ MUA HÀNG'!$A$4:$AT$4, 2)) &lt; 0))</f>
        <v>0</v>
      </c>
      <c r="BC9" s="730">
        <f t="array" ref="BC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TEXT(BA$6, "mm/yyyy")) * (INDEX('6. TIẾN ĐỘ MUA HÀNG'!$A$5:$AT$1161, 0, XMATCH("*CL NGÀY QUY ĐỊNH - NGÀY NHẬN HÀNG*", '6. TIẾN ĐỘ MUA HÀNG'!$A$4:$AT$4, 2)) = 0))</f>
        <v>0</v>
      </c>
      <c r="BD9" s="730">
        <f t="array" ref="BD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TEXT(BA$6, "mm/yyyy")) * (INDEX('6. TIẾN ĐỘ MUA HÀNG'!$A$5:$AT$1161, 0, XMATCH("*CL NGÀY QUY ĐỊNH - NGÀY NHẬN HÀNG*", '6. TIẾN ĐỘ MUA HÀNG'!$A$4:$AT$4, 2)) &gt; 0))</f>
        <v>0</v>
      </c>
      <c r="BE9" s="731">
        <f t="shared" si="24"/>
        <v>0</v>
      </c>
      <c r="BF9" s="732">
        <f t="array" ref="BF9">SUMPRODUCT((INDEX('6. TIẾN ĐỘ MUA HÀNG'!$A$5:$AT$16, 0, MATCH("NSPT", '6. TIẾN ĐỘ MUA HÀNG'!$A$4:$AT$4, 0)) = $B9) * (TEXT(INDEX('6. TIẾN ĐỘ MUA HÀNG'!$A$5:$AT$16, 0, MATCH("Ngày quy định", '6. TIẾN ĐỘ MUA HÀNG'!$A$4:$AT$4, 0)), "mm/yyyy") = TEXT(BF$6, "mm/yyyy")) * (INDEX('6. TIẾN ĐỘ MUA HÀNG'!$A$5:$AT$16, 0, MATCH("Mã đơn Misa", '6. TIẾN ĐỘ MUA HÀNG'!$A$4:$AT$4, 0)) &lt;&gt; ""))</f>
        <v>0</v>
      </c>
      <c r="BG9" s="732">
        <f t="array" ref="BG9">SUMPRODUCT((INDEX('6. TIẾN ĐỘ MUA HÀNG'!$A:$AT, 0, XMATCH("NSPT", '6. TIẾN ĐỘ MUA HÀNG'!$A$4:$AT$4, 0)) = $B9) * (TEXT(INDEX('6. TIẾN ĐỘ MUA HÀNG'!$A:$AT, 0, MATCH("Ngày quy định", '6. TIẾN ĐỘ MUA HÀNG'!$A$4:$AT$4, 0)), "mm/yyyy") = TEXT(BF$6, "mm/yyyy")) * (INDEX('6. TIẾN ĐỘ MUA HÀNG'!$A:$AT, 0, XMATCH("*CL NGÀY QUY ĐỊNH - NGÀY NHẬN HÀNG*", '6. TIẾN ĐỘ MUA HÀNG'!$A$4:$AT$4, 2)) &lt; 0))</f>
        <v>0</v>
      </c>
      <c r="BH9" s="732">
        <f t="array" ref="BH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TEXT(BF$6, "mm/yyyy")) * (INDEX('6. TIẾN ĐỘ MUA HÀNG'!$A$5:$AT$1161, 0, XMATCH("*CL NGÀY QUY ĐỊNH - NGÀY NHẬN HÀNG*", '6. TIẾN ĐỘ MUA HÀNG'!$A$4:$AT$4, 2)) = 0))</f>
        <v>0</v>
      </c>
      <c r="BI9" s="732">
        <f t="array" ref="BI9">SUMPRODUCT( (INDEX('6. TIẾN ĐỘ MUA HÀNG'!$A$5:$AT$1161, 0, XMATCH("NSPT", '6. TIẾN ĐỘ MUA HÀNG'!$A$4:$AT$4, 0)) = $B9) * (ISNUMBER(INDEX('6. TIẾN ĐỘ MUA HÀNG'!$A$5:$AT$1161, 0, MATCH("Ngày quy định", '6. TIẾN ĐỘ MUA HÀNG'!$A$4:$AT$4, 0)))) *(TEXT(INDEX('6. TIẾN ĐỘ MUA HÀNG'!$A$5:$AT$1161, 0, MATCH("Ngày quy định", '6. TIẾN ĐỘ MUA HÀNG'!$A$4:$AT$4, 0)), "mm/yyyy") = TEXT(BF$6, "mm/yyyy")) * (INDEX('6. TIẾN ĐỘ MUA HÀNG'!$A$5:$AT$1161, 0, XMATCH("*CL NGÀY QUY ĐỊNH - NGÀY NHẬN HÀNG*", '6. TIẾN ĐỘ MUA HÀNG'!$A$4:$AT$4, 2)) &gt; 0))</f>
        <v>0</v>
      </c>
      <c r="BJ9" s="733">
        <f t="shared" si="25"/>
        <v>0</v>
      </c>
      <c r="BK9" s="726">
        <f t="shared" ref="BK9:BK14" si="27">SUMIFS(C9:BJ9, $C$7:$BJ$7, "Tổng số đơn ")</f>
        <v>0</v>
      </c>
      <c r="BL9" s="726">
        <f t="shared" ref="BL9:BL14" si="28">SUMIFS(C9:BJ9, $C$7:$BJ$7, "Tổng đơn bị trễ theo quy định")</f>
        <v>0</v>
      </c>
      <c r="BM9" s="727">
        <f t="shared" si="26"/>
        <v>0</v>
      </c>
    </row>
    <row r="10">
      <c r="A10" s="612">
        <v>2.0</v>
      </c>
      <c r="B10" s="729" t="str">
        <f>IFERROR(__xludf.DUMMYFUNCTION("""COMPUTED_VALUE"""),"Mr Tiên")</f>
        <v>Mr Tiên</v>
      </c>
      <c r="C10" s="730">
        <f t="array" ref="C10">SUMPRODUCT((INDEX('6. TIẾN ĐỘ MUA HÀNG'!$A$5:$AT$16, 0, MATCH("NSPT", '6. TIẾN ĐỘ MUA HÀNG'!$A$4:$AT$4, 0)) = $B10) * (TEXT(INDEX('6. TIẾN ĐỘ MUA HÀNG'!$A$5:$AT$16, 0, MATCH("Ngày quy định", '6. TIẾN ĐỘ MUA HÀNG'!$A$4:$AT$4, 0)), "mm/yyyy") = TEXT(C$6, "mm/yyyy")) * (INDEX('6. TIẾN ĐỘ MUA HÀNG'!$A$5:$AT$16, 0, MATCH("Mã đơn Misa", '6. TIẾN ĐỘ MUA HÀNG'!$A$4:$AT$4, 0)) &lt;&gt; ""))</f>
        <v>0</v>
      </c>
      <c r="D10" s="730">
        <f t="array" ref="D10">SUMPRODUCT((INDEX('6. TIẾN ĐỘ MUA HÀNG'!$A:$AT, 0, XMATCH("NSPT", '6. TIẾN ĐỘ MUA HÀNG'!$A$4:$AT$4, 0)) = $B10) * (TEXT(INDEX('6. TIẾN ĐỘ MUA HÀNG'!$A:$AT, 0, MATCH("Ngày quy định", '6. TIẾN ĐỘ MUA HÀNG'!$A$4:$AT$4, 0)), "mm/yyyy") = TEXT(C$6, "mm/yyyy")) * (INDEX('6. TIẾN ĐỘ MUA HÀNG'!$A:$AT, 0, XMATCH("*CL NGÀY QUY ĐỊNH - NGÀY NHẬN HÀNG*", '6. TIẾN ĐỘ MUA HÀNG'!$A$4:$AT$4, 2)) &lt; 0))</f>
        <v>0</v>
      </c>
      <c r="E10" s="730">
        <f t="array" ref="E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TEXT(C$6, "mm/yyyy")) * (INDEX('6. TIẾN ĐỘ MUA HÀNG'!$A$5:$AT$1161, 0, XMATCH("*CL NGÀY QUY ĐỊNH - NGÀY NHẬN HÀNG*", '6. TIẾN ĐỘ MUA HÀNG'!$A$4:$AT$4, 2)) = 0))</f>
        <v>0</v>
      </c>
      <c r="F10" s="730">
        <f t="array" ref="F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TEXT(C$6, "mm/yyyy")) * (INDEX('6. TIẾN ĐỘ MUA HÀNG'!$A$5:$AT$1161, 0, XMATCH("*CL NGÀY QUY ĐỊNH - NGÀY NHẬN HÀNG*", '6. TIẾN ĐỘ MUA HÀNG'!$A$4:$AT$4, 2)) &gt; 0))</f>
        <v>0</v>
      </c>
      <c r="G10" s="731">
        <f t="shared" si="14"/>
        <v>0</v>
      </c>
      <c r="H10" s="732">
        <f t="array" ref="H10">SUMPRODUCT((INDEX('6. TIẾN ĐỘ MUA HÀNG'!$A$5:$AT$16, 0, MATCH("NSPT", '6. TIẾN ĐỘ MUA HÀNG'!$A$4:$AT$4, 0)) = $B10) * (TEXT(INDEX('6. TIẾN ĐỘ MUA HÀNG'!$A$5:$AT$16, 0, MATCH("Ngày quy định", '6. TIẾN ĐỘ MUA HÀNG'!$A$4:$AT$4, 0)), "mm/yyyy") = TEXT(H$6, "mm/yyyy")) * (INDEX('6. TIẾN ĐỘ MUA HÀNG'!$A$5:$AT$16, 0, MATCH("Mã đơn Misa", '6. TIẾN ĐỘ MUA HÀNG'!$A$4:$AT$4, 0)) &lt;&gt; ""))</f>
        <v>0</v>
      </c>
      <c r="I10" s="732">
        <f t="array" ref="I10">SUMPRODUCT((INDEX('6. TIẾN ĐỘ MUA HÀNG'!$A:$AT, 0, XMATCH("NSPT", '6. TIẾN ĐỘ MUA HÀNG'!$A$4:$AT$4, 0)) = $B10) * (TEXT(INDEX('6. TIẾN ĐỘ MUA HÀNG'!$A:$AT, 0, MATCH("Ngày quy định", '6. TIẾN ĐỘ MUA HÀNG'!$A$4:$AT$4, 0)), "mm/yyyy") = TEXT(H$6, "mm/yyyy")) * (INDEX('6. TIẾN ĐỘ MUA HÀNG'!$A:$AT, 0, XMATCH("*CL NGÀY QUY ĐỊNH - NGÀY NHẬN HÀNG*", '6. TIẾN ĐỘ MUA HÀNG'!$A$4:$AT$4, 2)) &lt; 0))</f>
        <v>0</v>
      </c>
      <c r="J10" s="732">
        <f t="array" ref="J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TEXT(H$6, "mm/yyyy")) * (INDEX('6. TIẾN ĐỘ MUA HÀNG'!$A$5:$AT$1161, 0, XMATCH("*CL NGÀY QUY ĐỊNH - NGÀY NHẬN HÀNG*", '6. TIẾN ĐỘ MUA HÀNG'!$A$4:$AT$4, 2)) = 0))</f>
        <v>0</v>
      </c>
      <c r="K10" s="732">
        <f t="array" ref="K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TEXT(H$6, "mm/yyyy")) * (INDEX('6. TIẾN ĐỘ MUA HÀNG'!$A$5:$AT$1161, 0, XMATCH("*CL NGÀY QUY ĐỊNH - NGÀY NHẬN HÀNG*", '6. TIẾN ĐỘ MUA HÀNG'!$A$4:$AT$4, 2)) &gt; 0))</f>
        <v>0</v>
      </c>
      <c r="L10" s="733">
        <f t="shared" si="15"/>
        <v>0</v>
      </c>
      <c r="M10" s="730">
        <f t="array" ref="M10">SUMPRODUCT((INDEX('6. TIẾN ĐỘ MUA HÀNG'!$A$5:$AT$16, 0, MATCH("NSPT", '6. TIẾN ĐỘ MUA HÀNG'!$A$4:$AT$4, 0)) = $B10) * (TEXT(INDEX('6. TIẾN ĐỘ MUA HÀNG'!$A$5:$AT$16, 0, MATCH("Ngày quy định", '6. TIẾN ĐỘ MUA HÀNG'!$A$4:$AT$4, 0)), "mm/yyyy") = TEXT(M$6, "mm/yyyy")) * (INDEX('6. TIẾN ĐỘ MUA HÀNG'!$A$5:$AT$16, 0, MATCH("Mã đơn Misa", '6. TIẾN ĐỘ MUA HÀNG'!$A$4:$AT$4, 0)) &lt;&gt; ""))</f>
        <v>0</v>
      </c>
      <c r="N10" s="730">
        <f t="array" ref="N10">SUMPRODUCT((INDEX('6. TIẾN ĐỘ MUA HÀNG'!$A:$AT, 0, XMATCH("NSPT", '6. TIẾN ĐỘ MUA HÀNG'!$A$4:$AT$4, 0)) = $B10) * (TEXT(INDEX('6. TIẾN ĐỘ MUA HÀNG'!$A:$AT, 0, MATCH("Ngày quy định", '6. TIẾN ĐỘ MUA HÀNG'!$A$4:$AT$4, 0)), "mm/yyyy") = TEXT(M$6, "mm/yyyy")) * (INDEX('6. TIẾN ĐỘ MUA HÀNG'!$A:$AT, 0, XMATCH("*CL NGÀY QUY ĐỊNH - NGÀY NHẬN HÀNG*", '6. TIẾN ĐỘ MUA HÀNG'!$A$4:$AT$4, 2)) &lt; 0))</f>
        <v>0</v>
      </c>
      <c r="O10" s="730">
        <f t="array" ref="O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TEXT(M$6, "mm/yyyy")) * (INDEX('6. TIẾN ĐỘ MUA HÀNG'!$A$5:$AT$1161, 0, XMATCH("*CL NGÀY QUY ĐỊNH - NGÀY NHẬN HÀNG*", '6. TIẾN ĐỘ MUA HÀNG'!$A$4:$AT$4, 2)) = 0))</f>
        <v>0</v>
      </c>
      <c r="P10" s="730">
        <f t="array" ref="P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TEXT(M$6, "mm/yyyy")) * (INDEX('6. TIẾN ĐỘ MUA HÀNG'!$A$5:$AT$1161, 0, XMATCH("*CL NGÀY QUY ĐỊNH - NGÀY NHẬN HÀNG*", '6. TIẾN ĐỘ MUA HÀNG'!$A$4:$AT$4, 2)) &gt; 0))</f>
        <v>0</v>
      </c>
      <c r="Q10" s="731">
        <f t="shared" si="16"/>
        <v>0</v>
      </c>
      <c r="R10" s="732">
        <f t="array" ref="R10">SUMPRODUCT((INDEX('6. TIẾN ĐỘ MUA HÀNG'!$A$5:$AT$16, 0, MATCH("NSPT", '6. TIẾN ĐỘ MUA HÀNG'!$A$4:$AT$4, 0)) = $B10) * (TEXT(INDEX('6. TIẾN ĐỘ MUA HÀNG'!$A$5:$AT$16, 0, MATCH("Ngày quy định", '6. TIẾN ĐỘ MUA HÀNG'!$A$4:$AT$4, 0)), "mm/yyyy") = TEXT(R$6, "mm/yyyy")) * (INDEX('6. TIẾN ĐỘ MUA HÀNG'!$A$5:$AT$16, 0, MATCH("Mã đơn Misa", '6. TIẾN ĐỘ MUA HÀNG'!$A$4:$AT$4, 0)) &lt;&gt; ""))</f>
        <v>12</v>
      </c>
      <c r="S10" s="732">
        <f t="array" ref="S10">SUMPRODUCT((INDEX('6. TIẾN ĐỘ MUA HÀNG'!$A:$AT, 0, XMATCH("NSPT", '6. TIẾN ĐỘ MUA HÀNG'!$A$4:$AT$4, 0)) = $B10) * (TEXT(INDEX('6. TIẾN ĐỘ MUA HÀNG'!$A:$AT, 0, MATCH("Ngày quy định", '6. TIẾN ĐỘ MUA HÀNG'!$A$4:$AT$4, 0)), "mm/yyyy") = TEXT(R$6, "mm/yyyy")) * (INDEX('6. TIẾN ĐỘ MUA HÀNG'!$A:$AT, 0, XMATCH("*CL NGÀY QUY ĐỊNH - NGÀY NHẬN HÀNG*", '6. TIẾN ĐỘ MUA HÀNG'!$A$4:$AT$4, 2)) &lt; 0))</f>
        <v>18</v>
      </c>
      <c r="T10" s="732">
        <f t="array" ref="T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TEXT(R$6, "mm/yyyy")) * (INDEX('6. TIẾN ĐỘ MUA HÀNG'!$A$5:$AT$1161, 0, XMATCH("*CL NGÀY QUY ĐỊNH - NGÀY NHẬN HÀNG*", '6. TIẾN ĐỘ MUA HÀNG'!$A$4:$AT$4, 2)) = 0))</f>
        <v>4</v>
      </c>
      <c r="U10" s="732">
        <f t="array" ref="U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TEXT(R$6, "mm/yyyy")) * (INDEX('6. TIẾN ĐỘ MUA HÀNG'!$A$5:$AT$1161, 0, XMATCH("*CL NGÀY QUY ĐỊNH - NGÀY NHẬN HÀNG*", '6. TIẾN ĐỘ MUA HÀNG'!$A$4:$AT$4, 2)) &gt; 0))</f>
        <v>14</v>
      </c>
      <c r="V10" s="733">
        <f t="shared" si="17"/>
        <v>1.5</v>
      </c>
      <c r="W10" s="730">
        <f t="array" ref="W10">SUMPRODUCT((INDEX('6. TIẾN ĐỘ MUA HÀNG'!$A$5:$AT$16, 0, MATCH("NSPT", '6. TIẾN ĐỘ MUA HÀNG'!$A$4:$AT$4, 0)) = $B10) * (TEXT(INDEX('6. TIẾN ĐỘ MUA HÀNG'!$A$5:$AT$16, 0, MATCH("Ngày quy định", '6. TIẾN ĐỘ MUA HÀNG'!$A$4:$AT$4, 0)), "mm/yyyy") = TEXT(W$6, "mm/yyyy")) * (INDEX('6. TIẾN ĐỘ MUA HÀNG'!$A$5:$AT$16, 0, MATCH("Mã đơn Misa", '6. TIẾN ĐỘ MUA HÀNG'!$A$4:$AT$4, 0)) &lt;&gt; ""))</f>
        <v>0</v>
      </c>
      <c r="X10" s="730">
        <f t="array" ref="X10">SUMPRODUCT((INDEX('6. TIẾN ĐỘ MUA HÀNG'!$A:$AT, 0, XMATCH("NSPT", '6. TIẾN ĐỘ MUA HÀNG'!$A$4:$AT$4, 0)) = $B10) * (TEXT(INDEX('6. TIẾN ĐỘ MUA HÀNG'!$A:$AT, 0, MATCH("Ngày quy định", '6. TIẾN ĐỘ MUA HÀNG'!$A$4:$AT$4, 0)), "mm/yyyy") = TEXT(W$6, "mm/yyyy")) * (INDEX('6. TIẾN ĐỘ MUA HÀNG'!$A:$AT, 0, XMATCH("*CL NGÀY QUY ĐỊNH - NGÀY NHẬN HÀNG*", '6. TIẾN ĐỘ MUA HÀNG'!$A$4:$AT$4, 2)) &lt; 0))</f>
        <v>1</v>
      </c>
      <c r="Y10" s="730">
        <f t="array" ref="Y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TEXT(W$6, "mm/yyyy")) * (INDEX('6. TIẾN ĐỘ MUA HÀNG'!$A$5:$AT$1161, 0, XMATCH("*CL NGÀY QUY ĐỊNH - NGÀY NHẬN HÀNG*", '6. TIẾN ĐỘ MUA HÀNG'!$A$4:$AT$4, 2)) = 0))</f>
        <v>3</v>
      </c>
      <c r="Z10" s="730">
        <f t="array" ref="Z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TEXT(W$6, "mm/yyyy")) * (INDEX('6. TIẾN ĐỘ MUA HÀNG'!$A$5:$AT$1161, 0, XMATCH("*CL NGÀY QUY ĐỊNH - NGÀY NHẬN HÀNG*", '6. TIẾN ĐỘ MUA HÀNG'!$A$4:$AT$4, 2)) &gt; 0))</f>
        <v>14</v>
      </c>
      <c r="AA10" s="731" t="str">
        <f t="shared" si="18"/>
        <v>#DIV/0!</v>
      </c>
      <c r="AB10" s="732">
        <f t="array" ref="AB10">SUMPRODUCT((INDEX('6. TIẾN ĐỘ MUA HÀNG'!$A$5:$AT$16, 0, MATCH("NSPT", '6. TIẾN ĐỘ MUA HÀNG'!$A$4:$AT$4, 0)) = $B10) * (TEXT(INDEX('6. TIẾN ĐỘ MUA HÀNG'!$A$5:$AT$16, 0, MATCH("Ngày quy định", '6. TIẾN ĐỘ MUA HÀNG'!$A$4:$AT$4, 0)), "mm/yyyy") = TEXT(AB$6, "mm/yyyy")) * (INDEX('6. TIẾN ĐỘ MUA HÀNG'!$A$5:$AT$16, 0, MATCH("Mã đơn Misa", '6. TIẾN ĐỘ MUA HÀNG'!$A$4:$AT$4, 0)) &lt;&gt; ""))</f>
        <v>0</v>
      </c>
      <c r="AC10" s="732">
        <f t="array" ref="AC10">SUMPRODUCT((INDEX('6. TIẾN ĐỘ MUA HÀNG'!$A:$AT, 0, XMATCH("NSPT", '6. TIẾN ĐỘ MUA HÀNG'!$A$4:$AT$4, 0)) = $B10) * (TEXT(INDEX('6. TIẾN ĐỘ MUA HÀNG'!$A:$AT, 0, MATCH("Ngày quy định", '6. TIẾN ĐỘ MUA HÀNG'!$A$4:$AT$4, 0)), "mm/yyyy") = TEXT(AB$6, "mm/yyyy")) * (INDEX('6. TIẾN ĐỘ MUA HÀNG'!$A:$AT, 0, XMATCH("*CL NGÀY QUY ĐỊNH - NGÀY NHẬN HÀNG*", '6. TIẾN ĐỘ MUA HÀNG'!$A$4:$AT$4, 2)) &lt; 0))</f>
        <v>0</v>
      </c>
      <c r="AD10" s="732">
        <f t="array" ref="AD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TEXT(AB$6, "mm/yyyy")) * (INDEX('6. TIẾN ĐỘ MUA HÀNG'!$A$5:$AT$1161, 0, XMATCH("*CL NGÀY QUY ĐỊNH - NGÀY NHẬN HÀNG*", '6. TIẾN ĐỘ MUA HÀNG'!$A$4:$AT$4, 2)) = 0))</f>
        <v>0</v>
      </c>
      <c r="AE10" s="732">
        <f t="array" ref="AE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TEXT(AB$6, "mm/yyyy")) * (INDEX('6. TIẾN ĐỘ MUA HÀNG'!$A$5:$AT$1161, 0, XMATCH("*CL NGÀY QUY ĐỊNH - NGÀY NHẬN HÀNG*", '6. TIẾN ĐỘ MUA HÀNG'!$A$4:$AT$4, 2)) &gt; 0))</f>
        <v>16</v>
      </c>
      <c r="AF10" s="733">
        <f t="shared" si="19"/>
        <v>0</v>
      </c>
      <c r="AG10" s="730">
        <f t="array" ref="AG10">SUMPRODUCT((INDEX('6. TIẾN ĐỘ MUA HÀNG'!$A$5:$AT$16, 0, MATCH("NSPT", '6. TIẾN ĐỘ MUA HÀNG'!$A$4:$AT$4, 0)) = $B10) * (TEXT(INDEX('6. TIẾN ĐỘ MUA HÀNG'!$A$5:$AT$16, 0, MATCH("Ngày quy định", '6. TIẾN ĐỘ MUA HÀNG'!$A$4:$AT$4, 0)), "mm/yyyy") = TEXT(AG$6, "mm/yyyy")) * (INDEX('6. TIẾN ĐỘ MUA HÀNG'!$A$5:$AT$16, 0, MATCH("Mã đơn Misa", '6. TIẾN ĐỘ MUA HÀNG'!$A$4:$AT$4, 0)) &lt;&gt; ""))</f>
        <v>0</v>
      </c>
      <c r="AH10" s="730">
        <f t="array" ref="AH10">SUMPRODUCT((INDEX('6. TIẾN ĐỘ MUA HÀNG'!$A:$AT, 0, XMATCH("NSPT", '6. TIẾN ĐỘ MUA HÀNG'!$A$4:$AT$4, 0)) = $B10) * (TEXT(INDEX('6. TIẾN ĐỘ MUA HÀNG'!$A:$AT, 0, MATCH("Ngày quy định", '6. TIẾN ĐỘ MUA HÀNG'!$A$4:$AT$4, 0)), "mm/yyyy") = TEXT(AG$6, "mm/yyyy")) * (INDEX('6. TIẾN ĐỘ MUA HÀNG'!$A:$AT, 0, XMATCH("*CL NGÀY QUY ĐỊNH - NGÀY NHẬN HÀNG*", '6. TIẾN ĐỘ MUA HÀNG'!$A$4:$AT$4, 2)) &lt; 0))</f>
        <v>0</v>
      </c>
      <c r="AI10" s="730">
        <f t="array" ref="AI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TEXT(AG$6, "mm/yyyy")) * (INDEX('6. TIẾN ĐỘ MUA HÀNG'!$A$5:$AT$1161, 0, XMATCH("*CL NGÀY QUY ĐỊNH - NGÀY NHẬN HÀNG*", '6. TIẾN ĐỘ MUA HÀNG'!$A$4:$AT$4, 2)) = 0))</f>
        <v>0</v>
      </c>
      <c r="AJ10" s="730">
        <f t="array" ref="AJ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TEXT(AG$6, "mm/yyyy")) * (INDEX('6. TIẾN ĐỘ MUA HÀNG'!$A$5:$AT$1161, 0, XMATCH("*CL NGÀY QUY ĐỊNH - NGÀY NHẬN HÀNG*", '6. TIẾN ĐỘ MUA HÀNG'!$A$4:$AT$4, 2)) &gt; 0))</f>
        <v>2</v>
      </c>
      <c r="AK10" s="731">
        <f t="shared" si="20"/>
        <v>0</v>
      </c>
      <c r="AL10" s="732">
        <f t="array" ref="AL10">SUMPRODUCT((INDEX('6. TIẾN ĐỘ MUA HÀNG'!$A$5:$AT$16, 0, MATCH("NSPT", '6. TIẾN ĐỘ MUA HÀNG'!$A$4:$AT$4, 0)) = $B10) * (TEXT(INDEX('6. TIẾN ĐỘ MUA HÀNG'!$A$5:$AT$16, 0, MATCH("Ngày quy định", '6. TIẾN ĐỘ MUA HÀNG'!$A$4:$AT$4, 0)), "mm/yyyy") = TEXT(AL$6, "mm/yyyy")) * (INDEX('6. TIẾN ĐỘ MUA HÀNG'!$A$5:$AT$16, 0, MATCH("Mã đơn Misa", '6. TIẾN ĐỘ MUA HÀNG'!$A$4:$AT$4, 0)) &lt;&gt; ""))</f>
        <v>0</v>
      </c>
      <c r="AM10" s="732">
        <f t="array" ref="AM10">SUMPRODUCT((INDEX('6. TIẾN ĐỘ MUA HÀNG'!$A:$AT, 0, XMATCH("NSPT", '6. TIẾN ĐỘ MUA HÀNG'!$A$4:$AT$4, 0)) = $B10) * (TEXT(INDEX('6. TIẾN ĐỘ MUA HÀNG'!$A:$AT, 0, MATCH("Ngày quy định", '6. TIẾN ĐỘ MUA HÀNG'!$A$4:$AT$4, 0)), "mm/yyyy") = TEXT(AL$6, "mm/yyyy")) * (INDEX('6. TIẾN ĐỘ MUA HÀNG'!$A:$AT, 0, XMATCH("*CL NGÀY QUY ĐỊNH - NGÀY NHẬN HÀNG*", '6. TIẾN ĐỘ MUA HÀNG'!$A$4:$AT$4, 2)) &lt; 0))</f>
        <v>0</v>
      </c>
      <c r="AN10" s="732">
        <f t="array" ref="AN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TEXT(AL$6, "mm/yyyy")) * (INDEX('6. TIẾN ĐỘ MUA HÀNG'!$A$5:$AT$1161, 0, XMATCH("*CL NGÀY QUY ĐỊNH - NGÀY NHẬN HÀNG*", '6. TIẾN ĐỘ MUA HÀNG'!$A$4:$AT$4, 2)) = 0))</f>
        <v>0</v>
      </c>
      <c r="AO10" s="732">
        <f t="array" ref="AO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TEXT(AL$6, "mm/yyyy")) * (INDEX('6. TIẾN ĐỘ MUA HÀNG'!$A$5:$AT$1161, 0, XMATCH("*CL NGÀY QUY ĐỊNH - NGÀY NHẬN HÀNG*", '6. TIẾN ĐỘ MUA HÀNG'!$A$4:$AT$4, 2)) &gt; 0))</f>
        <v>0</v>
      </c>
      <c r="AP10" s="733">
        <f t="shared" si="21"/>
        <v>0</v>
      </c>
      <c r="AQ10" s="730">
        <f t="array" ref="AQ10">SUMPRODUCT((INDEX('6. TIẾN ĐỘ MUA HÀNG'!$A$5:$AT$16, 0, MATCH("NSPT", '6. TIẾN ĐỘ MUA HÀNG'!$A$4:$AT$4, 0)) = $B10) * (TEXT(INDEX('6. TIẾN ĐỘ MUA HÀNG'!$A$5:$AT$16, 0, MATCH("Ngày quy định", '6. TIẾN ĐỘ MUA HÀNG'!$A$4:$AT$4, 0)), "mm/yyyy") = TEXT(AQ$6, "mm/yyyy")) * (INDEX('6. TIẾN ĐỘ MUA HÀNG'!$A$5:$AT$16, 0, MATCH("Mã đơn Misa", '6. TIẾN ĐỘ MUA HÀNG'!$A$4:$AT$4, 0)) &lt;&gt; ""))</f>
        <v>0</v>
      </c>
      <c r="AR10" s="730">
        <f t="array" ref="AR10">SUMPRODUCT((INDEX('6. TIẾN ĐỘ MUA HÀNG'!$A:$AT, 0, XMATCH("NSPT", '6. TIẾN ĐỘ MUA HÀNG'!$A$4:$AT$4, 0)) = $B10) * (TEXT(INDEX('6. TIẾN ĐỘ MUA HÀNG'!$A:$AT, 0, MATCH("Ngày quy định", '6. TIẾN ĐỘ MUA HÀNG'!$A$4:$AT$4, 0)), "mm/yyyy") = TEXT(AQ$6, "mm/yyyy")) * (INDEX('6. TIẾN ĐỘ MUA HÀNG'!$A:$AT, 0, XMATCH("*CL NGÀY QUY ĐỊNH - NGÀY NHẬN HÀNG*", '6. TIẾN ĐỘ MUA HÀNG'!$A$4:$AT$4, 2)) &lt; 0))</f>
        <v>0</v>
      </c>
      <c r="AS10" s="730">
        <f t="array" ref="AS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TEXT(AQ$6, "mm/yyyy")) * (INDEX('6. TIẾN ĐỘ MUA HÀNG'!$A$5:$AT$1161, 0, XMATCH("*CL NGÀY QUY ĐỊNH - NGÀY NHẬN HÀNG*", '6. TIẾN ĐỘ MUA HÀNG'!$A$4:$AT$4, 2)) = 0))</f>
        <v>0</v>
      </c>
      <c r="AT10" s="730">
        <f t="array" ref="AT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TEXT(AQ$6, "mm/yyyy")) * (INDEX('6. TIẾN ĐỘ MUA HÀNG'!$A$5:$AT$1161, 0, XMATCH("*CL NGÀY QUY ĐỊNH - NGÀY NHẬN HÀNG*", '6. TIẾN ĐỘ MUA HÀNG'!$A$4:$AT$4, 2)) &gt; 0))</f>
        <v>0</v>
      </c>
      <c r="AU10" s="731">
        <f t="shared" si="22"/>
        <v>0</v>
      </c>
      <c r="AV10" s="732">
        <f t="array" ref="AV10">SUMPRODUCT((INDEX('6. TIẾN ĐỘ MUA HÀNG'!$A$5:$AT$16, 0, MATCH("NSPT", '6. TIẾN ĐỘ MUA HÀNG'!$A$4:$AT$4, 0)) = $B10) * (TEXT(INDEX('6. TIẾN ĐỘ MUA HÀNG'!$A$5:$AT$16, 0, MATCH("Ngày quy định", '6. TIẾN ĐỘ MUA HÀNG'!$A$4:$AT$4, 0)), "mm/yyyy") = TEXT(AV$6, "mm/yyyy")) * (INDEX('6. TIẾN ĐỘ MUA HÀNG'!$A$5:$AT$16, 0, MATCH("Mã đơn Misa", '6. TIẾN ĐỘ MUA HÀNG'!$A$4:$AT$4, 0)) &lt;&gt; ""))</f>
        <v>0</v>
      </c>
      <c r="AW10" s="732">
        <f t="array" ref="AW10">SUMPRODUCT((INDEX('6. TIẾN ĐỘ MUA HÀNG'!$A:$AT, 0, XMATCH("NSPT", '6. TIẾN ĐỘ MUA HÀNG'!$A$4:$AT$4, 0)) = $B10) * (TEXT(INDEX('6. TIẾN ĐỘ MUA HÀNG'!$A:$AT, 0, MATCH("Ngày quy định", '6. TIẾN ĐỘ MUA HÀNG'!$A$4:$AT$4, 0)), "mm/yyyy") = TEXT(AV$6, "mm/yyyy")) * (INDEX('6. TIẾN ĐỘ MUA HÀNG'!$A:$AT, 0, XMATCH("*CL NGÀY QUY ĐỊNH - NGÀY NHẬN HÀNG*", '6. TIẾN ĐỘ MUA HÀNG'!$A$4:$AT$4, 2)) &lt; 0))</f>
        <v>0</v>
      </c>
      <c r="AX10" s="732">
        <f t="array" ref="AX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TEXT(AV$6, "mm/yyyy")) * (INDEX('6. TIẾN ĐỘ MUA HÀNG'!$A$5:$AT$1161, 0, XMATCH("*CL NGÀY QUY ĐỊNH - NGÀY NHẬN HÀNG*", '6. TIẾN ĐỘ MUA HÀNG'!$A$4:$AT$4, 2)) = 0))</f>
        <v>0</v>
      </c>
      <c r="AY10" s="732">
        <f t="array" ref="AY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TEXT(AV$6, "mm/yyyy")) * (INDEX('6. TIẾN ĐỘ MUA HÀNG'!$A$5:$AT$1161, 0, XMATCH("*CL NGÀY QUY ĐỊNH - NGÀY NHẬN HÀNG*", '6. TIẾN ĐỘ MUA HÀNG'!$A$4:$AT$4, 2)) &gt; 0))</f>
        <v>0</v>
      </c>
      <c r="AZ10" s="733">
        <f t="shared" si="23"/>
        <v>0</v>
      </c>
      <c r="BA10" s="730">
        <f t="array" ref="BA10">SUMPRODUCT((INDEX('6. TIẾN ĐỘ MUA HÀNG'!$A$5:$AT$16, 0, MATCH("NSPT", '6. TIẾN ĐỘ MUA HÀNG'!$A$4:$AT$4, 0)) = $B10) * (TEXT(INDEX('6. TIẾN ĐỘ MUA HÀNG'!$A$5:$AT$16, 0, MATCH("Ngày quy định", '6. TIẾN ĐỘ MUA HÀNG'!$A$4:$AT$4, 0)), "mm/yyyy") = TEXT(BA$6, "mm/yyyy")) * (INDEX('6. TIẾN ĐỘ MUA HÀNG'!$A$5:$AT$16, 0, MATCH("Mã đơn Misa", '6. TIẾN ĐỘ MUA HÀNG'!$A$4:$AT$4, 0)) &lt;&gt; ""))</f>
        <v>0</v>
      </c>
      <c r="BB10" s="730">
        <f t="array" ref="BB10">SUMPRODUCT((INDEX('6. TIẾN ĐỘ MUA HÀNG'!$A:$AT, 0, XMATCH("NSPT", '6. TIẾN ĐỘ MUA HÀNG'!$A$4:$AT$4, 0)) = $B10) * (TEXT(INDEX('6. TIẾN ĐỘ MUA HÀNG'!$A:$AT, 0, MATCH("Ngày quy định", '6. TIẾN ĐỘ MUA HÀNG'!$A$4:$AT$4, 0)), "mm/yyyy") = TEXT(BA$6, "mm/yyyy")) * (INDEX('6. TIẾN ĐỘ MUA HÀNG'!$A:$AT, 0, XMATCH("*CL NGÀY QUY ĐỊNH - NGÀY NHẬN HÀNG*", '6. TIẾN ĐỘ MUA HÀNG'!$A$4:$AT$4, 2)) &lt; 0))</f>
        <v>0</v>
      </c>
      <c r="BC10" s="730">
        <f t="array" ref="BC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TEXT(BA$6, "mm/yyyy")) * (INDEX('6. TIẾN ĐỘ MUA HÀNG'!$A$5:$AT$1161, 0, XMATCH("*CL NGÀY QUY ĐỊNH - NGÀY NHẬN HÀNG*", '6. TIẾN ĐỘ MUA HÀNG'!$A$4:$AT$4, 2)) = 0))</f>
        <v>0</v>
      </c>
      <c r="BD10" s="730">
        <f t="array" ref="BD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TEXT(BA$6, "mm/yyyy")) * (INDEX('6. TIẾN ĐỘ MUA HÀNG'!$A$5:$AT$1161, 0, XMATCH("*CL NGÀY QUY ĐỊNH - NGÀY NHẬN HÀNG*", '6. TIẾN ĐỘ MUA HÀNG'!$A$4:$AT$4, 2)) &gt; 0))</f>
        <v>0</v>
      </c>
      <c r="BE10" s="731">
        <f t="shared" si="24"/>
        <v>0</v>
      </c>
      <c r="BF10" s="732">
        <f t="array" ref="BF10">SUMPRODUCT((INDEX('6. TIẾN ĐỘ MUA HÀNG'!$A$5:$AT$16, 0, MATCH("NSPT", '6. TIẾN ĐỘ MUA HÀNG'!$A$4:$AT$4, 0)) = $B10) * (TEXT(INDEX('6. TIẾN ĐỘ MUA HÀNG'!$A$5:$AT$16, 0, MATCH("Ngày quy định", '6. TIẾN ĐỘ MUA HÀNG'!$A$4:$AT$4, 0)), "mm/yyyy") = TEXT(BF$6, "mm/yyyy")) * (INDEX('6. TIẾN ĐỘ MUA HÀNG'!$A$5:$AT$16, 0, MATCH("Mã đơn Misa", '6. TIẾN ĐỘ MUA HÀNG'!$A$4:$AT$4, 0)) &lt;&gt; ""))</f>
        <v>0</v>
      </c>
      <c r="BG10" s="732">
        <f t="array" ref="BG10">SUMPRODUCT((INDEX('6. TIẾN ĐỘ MUA HÀNG'!$A:$AT, 0, XMATCH("NSPT", '6. TIẾN ĐỘ MUA HÀNG'!$A$4:$AT$4, 0)) = $B10) * (TEXT(INDEX('6. TIẾN ĐỘ MUA HÀNG'!$A:$AT, 0, MATCH("Ngày quy định", '6. TIẾN ĐỘ MUA HÀNG'!$A$4:$AT$4, 0)), "mm/yyyy") = TEXT(BF$6, "mm/yyyy")) * (INDEX('6. TIẾN ĐỘ MUA HÀNG'!$A:$AT, 0, XMATCH("*CL NGÀY QUY ĐỊNH - NGÀY NHẬN HÀNG*", '6. TIẾN ĐỘ MUA HÀNG'!$A$4:$AT$4, 2)) &lt; 0))</f>
        <v>0</v>
      </c>
      <c r="BH10" s="732">
        <f t="array" ref="BH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TEXT(BF$6, "mm/yyyy")) * (INDEX('6. TIẾN ĐỘ MUA HÀNG'!$A$5:$AT$1161, 0, XMATCH("*CL NGÀY QUY ĐỊNH - NGÀY NHẬN HÀNG*", '6. TIẾN ĐỘ MUA HÀNG'!$A$4:$AT$4, 2)) = 0))</f>
        <v>0</v>
      </c>
      <c r="BI10" s="732">
        <f t="array" ref="BI10">SUMPRODUCT( (INDEX('6. TIẾN ĐỘ MUA HÀNG'!$A$5:$AT$1161, 0, XMATCH("NSPT", '6. TIẾN ĐỘ MUA HÀNG'!$A$4:$AT$4, 0)) = $B10) * (ISNUMBER(INDEX('6. TIẾN ĐỘ MUA HÀNG'!$A$5:$AT$1161, 0, MATCH("Ngày quy định", '6. TIẾN ĐỘ MUA HÀNG'!$A$4:$AT$4, 0)))) *(TEXT(INDEX('6. TIẾN ĐỘ MUA HÀNG'!$A$5:$AT$1161, 0, MATCH("Ngày quy định", '6. TIẾN ĐỘ MUA HÀNG'!$A$4:$AT$4, 0)), "mm/yyyy") = TEXT(BF$6, "mm/yyyy")) * (INDEX('6. TIẾN ĐỘ MUA HÀNG'!$A$5:$AT$1161, 0, XMATCH("*CL NGÀY QUY ĐỊNH - NGÀY NHẬN HÀNG*", '6. TIẾN ĐỘ MUA HÀNG'!$A$4:$AT$4, 2)) &gt; 0))</f>
        <v>0</v>
      </c>
      <c r="BJ10" s="733">
        <f t="shared" si="25"/>
        <v>0</v>
      </c>
      <c r="BK10" s="726">
        <f t="shared" si="27"/>
        <v>12</v>
      </c>
      <c r="BL10" s="726">
        <f t="shared" si="28"/>
        <v>19</v>
      </c>
      <c r="BM10" s="727">
        <f t="shared" si="26"/>
        <v>1.583333333</v>
      </c>
    </row>
    <row r="11">
      <c r="A11" s="612">
        <v>3.0</v>
      </c>
      <c r="B11" s="729" t="str">
        <f>IFERROR(__xludf.DUMMYFUNCTION("""COMPUTED_VALUE"""),"Ms Dung")</f>
        <v>Ms Dung</v>
      </c>
      <c r="C11" s="730">
        <f t="array" ref="C11">SUMPRODUCT((INDEX('6. TIẾN ĐỘ MUA HÀNG'!$A$5:$AT$16, 0, MATCH("NSPT", '6. TIẾN ĐỘ MUA HÀNG'!$A$4:$AT$4, 0)) = $B11) * (TEXT(INDEX('6. TIẾN ĐỘ MUA HÀNG'!$A$5:$AT$16, 0, MATCH("Ngày quy định", '6. TIẾN ĐỘ MUA HÀNG'!$A$4:$AT$4, 0)), "mm/yyyy") = TEXT(C$6, "mm/yyyy")) * (INDEX('6. TIẾN ĐỘ MUA HÀNG'!$A$5:$AT$16, 0, MATCH("Mã đơn Misa", '6. TIẾN ĐỘ MUA HÀNG'!$A$4:$AT$4, 0)) &lt;&gt; ""))</f>
        <v>0</v>
      </c>
      <c r="D11" s="730">
        <f t="array" ref="D11">SUMPRODUCT((INDEX('6. TIẾN ĐỘ MUA HÀNG'!$A:$AT, 0, XMATCH("NSPT", '6. TIẾN ĐỘ MUA HÀNG'!$A$4:$AT$4, 0)) = $B11) * (TEXT(INDEX('6. TIẾN ĐỘ MUA HÀNG'!$A:$AT, 0, MATCH("Ngày quy định", '6. TIẾN ĐỘ MUA HÀNG'!$A$4:$AT$4, 0)), "mm/yyyy") = TEXT(C$6, "mm/yyyy")) * (INDEX('6. TIẾN ĐỘ MUA HÀNG'!$A:$AT, 0, XMATCH("*CL NGÀY QUY ĐỊNH - NGÀY NHẬN HÀNG*", '6. TIẾN ĐỘ MUA HÀNG'!$A$4:$AT$4, 2)) &lt; 0))</f>
        <v>0</v>
      </c>
      <c r="E11" s="730">
        <f t="array" ref="E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TEXT(C$6, "mm/yyyy")) * (INDEX('6. TIẾN ĐỘ MUA HÀNG'!$A$5:$AT$1161, 0, XMATCH("*CL NGÀY QUY ĐỊNH - NGÀY NHẬN HÀNG*", '6. TIẾN ĐỘ MUA HÀNG'!$A$4:$AT$4, 2)) = 0))</f>
        <v>0</v>
      </c>
      <c r="F11" s="730">
        <f t="array" ref="F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TEXT(C$6, "mm/yyyy")) * (INDEX('6. TIẾN ĐỘ MUA HÀNG'!$A$5:$AT$1161, 0, XMATCH("*CL NGÀY QUY ĐỊNH - NGÀY NHẬN HÀNG*", '6. TIẾN ĐỘ MUA HÀNG'!$A$4:$AT$4, 2)) &gt; 0))</f>
        <v>0</v>
      </c>
      <c r="G11" s="731">
        <f t="shared" si="14"/>
        <v>0</v>
      </c>
      <c r="H11" s="732">
        <f t="array" ref="H11">SUMPRODUCT((INDEX('6. TIẾN ĐỘ MUA HÀNG'!$A$5:$AT$16, 0, MATCH("NSPT", '6. TIẾN ĐỘ MUA HÀNG'!$A$4:$AT$4, 0)) = $B11) * (TEXT(INDEX('6. TIẾN ĐỘ MUA HÀNG'!$A$5:$AT$16, 0, MATCH("Ngày quy định", '6. TIẾN ĐỘ MUA HÀNG'!$A$4:$AT$4, 0)), "mm/yyyy") = TEXT(H$6, "mm/yyyy")) * (INDEX('6. TIẾN ĐỘ MUA HÀNG'!$A$5:$AT$16, 0, MATCH("Mã đơn Misa", '6. TIẾN ĐỘ MUA HÀNG'!$A$4:$AT$4, 0)) &lt;&gt; ""))</f>
        <v>0</v>
      </c>
      <c r="I11" s="732">
        <f t="array" ref="I11">SUMPRODUCT((INDEX('6. TIẾN ĐỘ MUA HÀNG'!$A:$AT, 0, XMATCH("NSPT", '6. TIẾN ĐỘ MUA HÀNG'!$A$4:$AT$4, 0)) = $B11) * (TEXT(INDEX('6. TIẾN ĐỘ MUA HÀNG'!$A:$AT, 0, MATCH("Ngày quy định", '6. TIẾN ĐỘ MUA HÀNG'!$A$4:$AT$4, 0)), "mm/yyyy") = TEXT(H$6, "mm/yyyy")) * (INDEX('6. TIẾN ĐỘ MUA HÀNG'!$A:$AT, 0, XMATCH("*CL NGÀY QUY ĐỊNH - NGÀY NHẬN HÀNG*", '6. TIẾN ĐỘ MUA HÀNG'!$A$4:$AT$4, 2)) &lt; 0))</f>
        <v>0</v>
      </c>
      <c r="J11" s="732">
        <f t="array" ref="J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TEXT(H$6, "mm/yyyy")) * (INDEX('6. TIẾN ĐỘ MUA HÀNG'!$A$5:$AT$1161, 0, XMATCH("*CL NGÀY QUY ĐỊNH - NGÀY NHẬN HÀNG*", '6. TIẾN ĐỘ MUA HÀNG'!$A$4:$AT$4, 2)) = 0))</f>
        <v>0</v>
      </c>
      <c r="K11" s="732">
        <f t="array" ref="K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TEXT(H$6, "mm/yyyy")) * (INDEX('6. TIẾN ĐỘ MUA HÀNG'!$A$5:$AT$1161, 0, XMATCH("*CL NGÀY QUY ĐỊNH - NGÀY NHẬN HÀNG*", '6. TIẾN ĐỘ MUA HÀNG'!$A$4:$AT$4, 2)) &gt; 0))</f>
        <v>0</v>
      </c>
      <c r="L11" s="733">
        <f t="shared" si="15"/>
        <v>0</v>
      </c>
      <c r="M11" s="730">
        <f t="array" ref="M11">SUMPRODUCT((INDEX('6. TIẾN ĐỘ MUA HÀNG'!$A$5:$AT$16, 0, MATCH("NSPT", '6. TIẾN ĐỘ MUA HÀNG'!$A$4:$AT$4, 0)) = $B11) * (TEXT(INDEX('6. TIẾN ĐỘ MUA HÀNG'!$A$5:$AT$16, 0, MATCH("Ngày quy định", '6. TIẾN ĐỘ MUA HÀNG'!$A$4:$AT$4, 0)), "mm/yyyy") = TEXT(M$6, "mm/yyyy")) * (INDEX('6. TIẾN ĐỘ MUA HÀNG'!$A$5:$AT$16, 0, MATCH("Mã đơn Misa", '6. TIẾN ĐỘ MUA HÀNG'!$A$4:$AT$4, 0)) &lt;&gt; ""))</f>
        <v>0</v>
      </c>
      <c r="N11" s="730">
        <f t="array" ref="N11">SUMPRODUCT((INDEX('6. TIẾN ĐỘ MUA HÀNG'!$A:$AT, 0, XMATCH("NSPT", '6. TIẾN ĐỘ MUA HÀNG'!$A$4:$AT$4, 0)) = $B11) * (TEXT(INDEX('6. TIẾN ĐỘ MUA HÀNG'!$A:$AT, 0, MATCH("Ngày quy định", '6. TIẾN ĐỘ MUA HÀNG'!$A$4:$AT$4, 0)), "mm/yyyy") = TEXT(M$6, "mm/yyyy")) * (INDEX('6. TIẾN ĐỘ MUA HÀNG'!$A:$AT, 0, XMATCH("*CL NGÀY QUY ĐỊNH - NGÀY NHẬN HÀNG*", '6. TIẾN ĐỘ MUA HÀNG'!$A$4:$AT$4, 2)) &lt; 0))</f>
        <v>0</v>
      </c>
      <c r="O11" s="730">
        <f t="array" ref="O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TEXT(M$6, "mm/yyyy")) * (INDEX('6. TIẾN ĐỘ MUA HÀNG'!$A$5:$AT$1161, 0, XMATCH("*CL NGÀY QUY ĐỊNH - NGÀY NHẬN HÀNG*", '6. TIẾN ĐỘ MUA HÀNG'!$A$4:$AT$4, 2)) = 0))</f>
        <v>0</v>
      </c>
      <c r="P11" s="730">
        <f t="array" ref="P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TEXT(M$6, "mm/yyyy")) * (INDEX('6. TIẾN ĐỘ MUA HÀNG'!$A$5:$AT$1161, 0, XMATCH("*CL NGÀY QUY ĐỊNH - NGÀY NHẬN HÀNG*", '6. TIẾN ĐỘ MUA HÀNG'!$A$4:$AT$4, 2)) &gt; 0))</f>
        <v>0</v>
      </c>
      <c r="Q11" s="731">
        <f t="shared" si="16"/>
        <v>0</v>
      </c>
      <c r="R11" s="732">
        <f t="array" ref="R11">SUMPRODUCT((INDEX('6. TIẾN ĐỘ MUA HÀNG'!$A$5:$AT$16, 0, MATCH("NSPT", '6. TIẾN ĐỘ MUA HÀNG'!$A$4:$AT$4, 0)) = $B11) * (TEXT(INDEX('6. TIẾN ĐỘ MUA HÀNG'!$A$5:$AT$16, 0, MATCH("Ngày quy định", '6. TIẾN ĐỘ MUA HÀNG'!$A$4:$AT$4, 0)), "mm/yyyy") = TEXT(R$6, "mm/yyyy")) * (INDEX('6. TIẾN ĐỘ MUA HÀNG'!$A$5:$AT$16, 0, MATCH("Mã đơn Misa", '6. TIẾN ĐỘ MUA HÀNG'!$A$4:$AT$4, 0)) &lt;&gt; ""))</f>
        <v>0</v>
      </c>
      <c r="S11" s="732">
        <f t="array" ref="S11">SUMPRODUCT((INDEX('6. TIẾN ĐỘ MUA HÀNG'!$A:$AT, 0, XMATCH("NSPT", '6. TIẾN ĐỘ MUA HÀNG'!$A$4:$AT$4, 0)) = $B11) * (TEXT(INDEX('6. TIẾN ĐỘ MUA HÀNG'!$A:$AT, 0, MATCH("Ngày quy định", '6. TIẾN ĐỘ MUA HÀNG'!$A$4:$AT$4, 0)), "mm/yyyy") = TEXT(R$6, "mm/yyyy")) * (INDEX('6. TIẾN ĐỘ MUA HÀNG'!$A:$AT, 0, XMATCH("*CL NGÀY QUY ĐỊNH - NGÀY NHẬN HÀNG*", '6. TIẾN ĐỘ MUA HÀNG'!$A$4:$AT$4, 2)) &lt; 0))</f>
        <v>0</v>
      </c>
      <c r="T11" s="732">
        <f t="array" ref="T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TEXT(R$6, "mm/yyyy")) * (INDEX('6. TIẾN ĐỘ MUA HÀNG'!$A$5:$AT$1161, 0, XMATCH("*CL NGÀY QUY ĐỊNH - NGÀY NHẬN HÀNG*", '6. TIẾN ĐỘ MUA HÀNG'!$A$4:$AT$4, 2)) = 0))</f>
        <v>0</v>
      </c>
      <c r="U11" s="732">
        <f t="array" ref="U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TEXT(R$6, "mm/yyyy")) * (INDEX('6. TIẾN ĐỘ MUA HÀNG'!$A$5:$AT$1161, 0, XMATCH("*CL NGÀY QUY ĐỊNH - NGÀY NHẬN HÀNG*", '6. TIẾN ĐỘ MUA HÀNG'!$A$4:$AT$4, 2)) &gt; 0))</f>
        <v>0</v>
      </c>
      <c r="V11" s="733">
        <f t="shared" si="17"/>
        <v>0</v>
      </c>
      <c r="W11" s="730">
        <f t="array" ref="W11">SUMPRODUCT((INDEX('6. TIẾN ĐỘ MUA HÀNG'!$A$5:$AT$16, 0, MATCH("NSPT", '6. TIẾN ĐỘ MUA HÀNG'!$A$4:$AT$4, 0)) = $B11) * (TEXT(INDEX('6. TIẾN ĐỘ MUA HÀNG'!$A$5:$AT$16, 0, MATCH("Ngày quy định", '6. TIẾN ĐỘ MUA HÀNG'!$A$4:$AT$4, 0)), "mm/yyyy") = TEXT(W$6, "mm/yyyy")) * (INDEX('6. TIẾN ĐỘ MUA HÀNG'!$A$5:$AT$16, 0, MATCH("Mã đơn Misa", '6. TIẾN ĐỘ MUA HÀNG'!$A$4:$AT$4, 0)) &lt;&gt; ""))</f>
        <v>0</v>
      </c>
      <c r="X11" s="730">
        <f t="array" ref="X11">SUMPRODUCT((INDEX('6. TIẾN ĐỘ MUA HÀNG'!$A:$AT, 0, XMATCH("NSPT", '6. TIẾN ĐỘ MUA HÀNG'!$A$4:$AT$4, 0)) = $B11) * (TEXT(INDEX('6. TIẾN ĐỘ MUA HÀNG'!$A:$AT, 0, MATCH("Ngày quy định", '6. TIẾN ĐỘ MUA HÀNG'!$A$4:$AT$4, 0)), "mm/yyyy") = TEXT(W$6, "mm/yyyy")) * (INDEX('6. TIẾN ĐỘ MUA HÀNG'!$A:$AT, 0, XMATCH("*CL NGÀY QUY ĐỊNH - NGÀY NHẬN HÀNG*", '6. TIẾN ĐỘ MUA HÀNG'!$A$4:$AT$4, 2)) &lt; 0))</f>
        <v>0</v>
      </c>
      <c r="Y11" s="730">
        <f t="array" ref="Y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TEXT(W$6, "mm/yyyy")) * (INDEX('6. TIẾN ĐỘ MUA HÀNG'!$A$5:$AT$1161, 0, XMATCH("*CL NGÀY QUY ĐỊNH - NGÀY NHẬN HÀNG*", '6. TIẾN ĐỘ MUA HÀNG'!$A$4:$AT$4, 2)) = 0))</f>
        <v>0</v>
      </c>
      <c r="Z11" s="730">
        <f t="array" ref="Z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TEXT(W$6, "mm/yyyy")) * (INDEX('6. TIẾN ĐỘ MUA HÀNG'!$A$5:$AT$1161, 0, XMATCH("*CL NGÀY QUY ĐỊNH - NGÀY NHẬN HÀNG*", '6. TIẾN ĐỘ MUA HÀNG'!$A$4:$AT$4, 2)) &gt; 0))</f>
        <v>0</v>
      </c>
      <c r="AA11" s="731">
        <f t="shared" si="18"/>
        <v>0</v>
      </c>
      <c r="AB11" s="732">
        <f t="array" ref="AB11">SUMPRODUCT((INDEX('6. TIẾN ĐỘ MUA HÀNG'!$A$5:$AT$16, 0, MATCH("NSPT", '6. TIẾN ĐỘ MUA HÀNG'!$A$4:$AT$4, 0)) = $B11) * (TEXT(INDEX('6. TIẾN ĐỘ MUA HÀNG'!$A$5:$AT$16, 0, MATCH("Ngày quy định", '6. TIẾN ĐỘ MUA HÀNG'!$A$4:$AT$4, 0)), "mm/yyyy") = TEXT(AB$6, "mm/yyyy")) * (INDEX('6. TIẾN ĐỘ MUA HÀNG'!$A$5:$AT$16, 0, MATCH("Mã đơn Misa", '6. TIẾN ĐỘ MUA HÀNG'!$A$4:$AT$4, 0)) &lt;&gt; ""))</f>
        <v>0</v>
      </c>
      <c r="AC11" s="732">
        <f t="array" ref="AC11">SUMPRODUCT((INDEX('6. TIẾN ĐỘ MUA HÀNG'!$A:$AT, 0, XMATCH("NSPT", '6. TIẾN ĐỘ MUA HÀNG'!$A$4:$AT$4, 0)) = $B11) * (TEXT(INDEX('6. TIẾN ĐỘ MUA HÀNG'!$A:$AT, 0, MATCH("Ngày quy định", '6. TIẾN ĐỘ MUA HÀNG'!$A$4:$AT$4, 0)), "mm/yyyy") = TEXT(AB$6, "mm/yyyy")) * (INDEX('6. TIẾN ĐỘ MUA HÀNG'!$A:$AT, 0, XMATCH("*CL NGÀY QUY ĐỊNH - NGÀY NHẬN HÀNG*", '6. TIẾN ĐỘ MUA HÀNG'!$A$4:$AT$4, 2)) &lt; 0))</f>
        <v>0</v>
      </c>
      <c r="AD11" s="732">
        <f t="array" ref="AD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TEXT(AB$6, "mm/yyyy")) * (INDEX('6. TIẾN ĐỘ MUA HÀNG'!$A$5:$AT$1161, 0, XMATCH("*CL NGÀY QUY ĐỊNH - NGÀY NHẬN HÀNG*", '6. TIẾN ĐỘ MUA HÀNG'!$A$4:$AT$4, 2)) = 0))</f>
        <v>0</v>
      </c>
      <c r="AE11" s="732">
        <f t="array" ref="AE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TEXT(AB$6, "mm/yyyy")) * (INDEX('6. TIẾN ĐỘ MUA HÀNG'!$A$5:$AT$1161, 0, XMATCH("*CL NGÀY QUY ĐỊNH - NGÀY NHẬN HÀNG*", '6. TIẾN ĐỘ MUA HÀNG'!$A$4:$AT$4, 2)) &gt; 0))</f>
        <v>0</v>
      </c>
      <c r="AF11" s="733">
        <f t="shared" si="19"/>
        <v>0</v>
      </c>
      <c r="AG11" s="730">
        <f t="array" ref="AG11">SUMPRODUCT((INDEX('6. TIẾN ĐỘ MUA HÀNG'!$A$5:$AT$16, 0, MATCH("NSPT", '6. TIẾN ĐỘ MUA HÀNG'!$A$4:$AT$4, 0)) = $B11) * (TEXT(INDEX('6. TIẾN ĐỘ MUA HÀNG'!$A$5:$AT$16, 0, MATCH("Ngày quy định", '6. TIẾN ĐỘ MUA HÀNG'!$A$4:$AT$4, 0)), "mm/yyyy") = TEXT(AG$6, "mm/yyyy")) * (INDEX('6. TIẾN ĐỘ MUA HÀNG'!$A$5:$AT$16, 0, MATCH("Mã đơn Misa", '6. TIẾN ĐỘ MUA HÀNG'!$A$4:$AT$4, 0)) &lt;&gt; ""))</f>
        <v>0</v>
      </c>
      <c r="AH11" s="730">
        <f t="array" ref="AH11">SUMPRODUCT((INDEX('6. TIẾN ĐỘ MUA HÀNG'!$A:$AT, 0, XMATCH("NSPT", '6. TIẾN ĐỘ MUA HÀNG'!$A$4:$AT$4, 0)) = $B11) * (TEXT(INDEX('6. TIẾN ĐỘ MUA HÀNG'!$A:$AT, 0, MATCH("Ngày quy định", '6. TIẾN ĐỘ MUA HÀNG'!$A$4:$AT$4, 0)), "mm/yyyy") = TEXT(AG$6, "mm/yyyy")) * (INDEX('6. TIẾN ĐỘ MUA HÀNG'!$A:$AT, 0, XMATCH("*CL NGÀY QUY ĐỊNH - NGÀY NHẬN HÀNG*", '6. TIẾN ĐỘ MUA HÀNG'!$A$4:$AT$4, 2)) &lt; 0))</f>
        <v>0</v>
      </c>
      <c r="AI11" s="730">
        <f t="array" ref="AI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TEXT(AG$6, "mm/yyyy")) * (INDEX('6. TIẾN ĐỘ MUA HÀNG'!$A$5:$AT$1161, 0, XMATCH("*CL NGÀY QUY ĐỊNH - NGÀY NHẬN HÀNG*", '6. TIẾN ĐỘ MUA HÀNG'!$A$4:$AT$4, 2)) = 0))</f>
        <v>0</v>
      </c>
      <c r="AJ11" s="730">
        <f t="array" ref="AJ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TEXT(AG$6, "mm/yyyy")) * (INDEX('6. TIẾN ĐỘ MUA HÀNG'!$A$5:$AT$1161, 0, XMATCH("*CL NGÀY QUY ĐỊNH - NGÀY NHẬN HÀNG*", '6. TIẾN ĐỘ MUA HÀNG'!$A$4:$AT$4, 2)) &gt; 0))</f>
        <v>0</v>
      </c>
      <c r="AK11" s="731">
        <f t="shared" si="20"/>
        <v>0</v>
      </c>
      <c r="AL11" s="732">
        <f t="array" ref="AL11">SUMPRODUCT((INDEX('6. TIẾN ĐỘ MUA HÀNG'!$A$5:$AT$16, 0, MATCH("NSPT", '6. TIẾN ĐỘ MUA HÀNG'!$A$4:$AT$4, 0)) = $B11) * (TEXT(INDEX('6. TIẾN ĐỘ MUA HÀNG'!$A$5:$AT$16, 0, MATCH("Ngày quy định", '6. TIẾN ĐỘ MUA HÀNG'!$A$4:$AT$4, 0)), "mm/yyyy") = TEXT(AL$6, "mm/yyyy")) * (INDEX('6. TIẾN ĐỘ MUA HÀNG'!$A$5:$AT$16, 0, MATCH("Mã đơn Misa", '6. TIẾN ĐỘ MUA HÀNG'!$A$4:$AT$4, 0)) &lt;&gt; ""))</f>
        <v>0</v>
      </c>
      <c r="AM11" s="732">
        <f t="array" ref="AM11">SUMPRODUCT((INDEX('6. TIẾN ĐỘ MUA HÀNG'!$A:$AT, 0, XMATCH("NSPT", '6. TIẾN ĐỘ MUA HÀNG'!$A$4:$AT$4, 0)) = $B11) * (TEXT(INDEX('6. TIẾN ĐỘ MUA HÀNG'!$A:$AT, 0, MATCH("Ngày quy định", '6. TIẾN ĐỘ MUA HÀNG'!$A$4:$AT$4, 0)), "mm/yyyy") = TEXT(AL$6, "mm/yyyy")) * (INDEX('6. TIẾN ĐỘ MUA HÀNG'!$A:$AT, 0, XMATCH("*CL NGÀY QUY ĐỊNH - NGÀY NHẬN HÀNG*", '6. TIẾN ĐỘ MUA HÀNG'!$A$4:$AT$4, 2)) &lt; 0))</f>
        <v>0</v>
      </c>
      <c r="AN11" s="732">
        <f t="array" ref="AN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TEXT(AL$6, "mm/yyyy")) * (INDEX('6. TIẾN ĐỘ MUA HÀNG'!$A$5:$AT$1161, 0, XMATCH("*CL NGÀY QUY ĐỊNH - NGÀY NHẬN HÀNG*", '6. TIẾN ĐỘ MUA HÀNG'!$A$4:$AT$4, 2)) = 0))</f>
        <v>0</v>
      </c>
      <c r="AO11" s="732">
        <f t="array" ref="AO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TEXT(AL$6, "mm/yyyy")) * (INDEX('6. TIẾN ĐỘ MUA HÀNG'!$A$5:$AT$1161, 0, XMATCH("*CL NGÀY QUY ĐỊNH - NGÀY NHẬN HÀNG*", '6. TIẾN ĐỘ MUA HÀNG'!$A$4:$AT$4, 2)) &gt; 0))</f>
        <v>0</v>
      </c>
      <c r="AP11" s="733">
        <f t="shared" si="21"/>
        <v>0</v>
      </c>
      <c r="AQ11" s="730">
        <f t="array" ref="AQ11">SUMPRODUCT((INDEX('6. TIẾN ĐỘ MUA HÀNG'!$A$5:$AT$16, 0, MATCH("NSPT", '6. TIẾN ĐỘ MUA HÀNG'!$A$4:$AT$4, 0)) = $B11) * (TEXT(INDEX('6. TIẾN ĐỘ MUA HÀNG'!$A$5:$AT$16, 0, MATCH("Ngày quy định", '6. TIẾN ĐỘ MUA HÀNG'!$A$4:$AT$4, 0)), "mm/yyyy") = TEXT(AQ$6, "mm/yyyy")) * (INDEX('6. TIẾN ĐỘ MUA HÀNG'!$A$5:$AT$16, 0, MATCH("Mã đơn Misa", '6. TIẾN ĐỘ MUA HÀNG'!$A$4:$AT$4, 0)) &lt;&gt; ""))</f>
        <v>0</v>
      </c>
      <c r="AR11" s="730">
        <f t="array" ref="AR11">SUMPRODUCT((INDEX('6. TIẾN ĐỘ MUA HÀNG'!$A:$AT, 0, XMATCH("NSPT", '6. TIẾN ĐỘ MUA HÀNG'!$A$4:$AT$4, 0)) = $B11) * (TEXT(INDEX('6. TIẾN ĐỘ MUA HÀNG'!$A:$AT, 0, MATCH("Ngày quy định", '6. TIẾN ĐỘ MUA HÀNG'!$A$4:$AT$4, 0)), "mm/yyyy") = TEXT(AQ$6, "mm/yyyy")) * (INDEX('6. TIẾN ĐỘ MUA HÀNG'!$A:$AT, 0, XMATCH("*CL NGÀY QUY ĐỊNH - NGÀY NHẬN HÀNG*", '6. TIẾN ĐỘ MUA HÀNG'!$A$4:$AT$4, 2)) &lt; 0))</f>
        <v>0</v>
      </c>
      <c r="AS11" s="730">
        <f t="array" ref="AS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TEXT(AQ$6, "mm/yyyy")) * (INDEX('6. TIẾN ĐỘ MUA HÀNG'!$A$5:$AT$1161, 0, XMATCH("*CL NGÀY QUY ĐỊNH - NGÀY NHẬN HÀNG*", '6. TIẾN ĐỘ MUA HÀNG'!$A$4:$AT$4, 2)) = 0))</f>
        <v>0</v>
      </c>
      <c r="AT11" s="730">
        <f t="array" ref="AT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TEXT(AQ$6, "mm/yyyy")) * (INDEX('6. TIẾN ĐỘ MUA HÀNG'!$A$5:$AT$1161, 0, XMATCH("*CL NGÀY QUY ĐỊNH - NGÀY NHẬN HÀNG*", '6. TIẾN ĐỘ MUA HÀNG'!$A$4:$AT$4, 2)) &gt; 0))</f>
        <v>0</v>
      </c>
      <c r="AU11" s="731">
        <f t="shared" si="22"/>
        <v>0</v>
      </c>
      <c r="AV11" s="732">
        <f t="array" ref="AV11">SUMPRODUCT((INDEX('6. TIẾN ĐỘ MUA HÀNG'!$A$5:$AT$16, 0, MATCH("NSPT", '6. TIẾN ĐỘ MUA HÀNG'!$A$4:$AT$4, 0)) = $B11) * (TEXT(INDEX('6. TIẾN ĐỘ MUA HÀNG'!$A$5:$AT$16, 0, MATCH("Ngày quy định", '6. TIẾN ĐỘ MUA HÀNG'!$A$4:$AT$4, 0)), "mm/yyyy") = TEXT(AV$6, "mm/yyyy")) * (INDEX('6. TIẾN ĐỘ MUA HÀNG'!$A$5:$AT$16, 0, MATCH("Mã đơn Misa", '6. TIẾN ĐỘ MUA HÀNG'!$A$4:$AT$4, 0)) &lt;&gt; ""))</f>
        <v>0</v>
      </c>
      <c r="AW11" s="732">
        <f t="array" ref="AW11">SUMPRODUCT((INDEX('6. TIẾN ĐỘ MUA HÀNG'!$A:$AT, 0, XMATCH("NSPT", '6. TIẾN ĐỘ MUA HÀNG'!$A$4:$AT$4, 0)) = $B11) * (TEXT(INDEX('6. TIẾN ĐỘ MUA HÀNG'!$A:$AT, 0, MATCH("Ngày quy định", '6. TIẾN ĐỘ MUA HÀNG'!$A$4:$AT$4, 0)), "mm/yyyy") = TEXT(AV$6, "mm/yyyy")) * (INDEX('6. TIẾN ĐỘ MUA HÀNG'!$A:$AT, 0, XMATCH("*CL NGÀY QUY ĐỊNH - NGÀY NHẬN HÀNG*", '6. TIẾN ĐỘ MUA HÀNG'!$A$4:$AT$4, 2)) &lt; 0))</f>
        <v>0</v>
      </c>
      <c r="AX11" s="732">
        <f t="array" ref="AX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TEXT(AV$6, "mm/yyyy")) * (INDEX('6. TIẾN ĐỘ MUA HÀNG'!$A$5:$AT$1161, 0, XMATCH("*CL NGÀY QUY ĐỊNH - NGÀY NHẬN HÀNG*", '6. TIẾN ĐỘ MUA HÀNG'!$A$4:$AT$4, 2)) = 0))</f>
        <v>0</v>
      </c>
      <c r="AY11" s="732">
        <f t="array" ref="AY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TEXT(AV$6, "mm/yyyy")) * (INDEX('6. TIẾN ĐỘ MUA HÀNG'!$A$5:$AT$1161, 0, XMATCH("*CL NGÀY QUY ĐỊNH - NGÀY NHẬN HÀNG*", '6. TIẾN ĐỘ MUA HÀNG'!$A$4:$AT$4, 2)) &gt; 0))</f>
        <v>0</v>
      </c>
      <c r="AZ11" s="733">
        <f t="shared" si="23"/>
        <v>0</v>
      </c>
      <c r="BA11" s="730">
        <f t="array" ref="BA11">SUMPRODUCT((INDEX('6. TIẾN ĐỘ MUA HÀNG'!$A$5:$AT$16, 0, MATCH("NSPT", '6. TIẾN ĐỘ MUA HÀNG'!$A$4:$AT$4, 0)) = $B11) * (TEXT(INDEX('6. TIẾN ĐỘ MUA HÀNG'!$A$5:$AT$16, 0, MATCH("Ngày quy định", '6. TIẾN ĐỘ MUA HÀNG'!$A$4:$AT$4, 0)), "mm/yyyy") = TEXT(BA$6, "mm/yyyy")) * (INDEX('6. TIẾN ĐỘ MUA HÀNG'!$A$5:$AT$16, 0, MATCH("Mã đơn Misa", '6. TIẾN ĐỘ MUA HÀNG'!$A$4:$AT$4, 0)) &lt;&gt; ""))</f>
        <v>0</v>
      </c>
      <c r="BB11" s="730">
        <f t="array" ref="BB11">SUMPRODUCT((INDEX('6. TIẾN ĐỘ MUA HÀNG'!$A:$AT, 0, XMATCH("NSPT", '6. TIẾN ĐỘ MUA HÀNG'!$A$4:$AT$4, 0)) = $B11) * (TEXT(INDEX('6. TIẾN ĐỘ MUA HÀNG'!$A:$AT, 0, MATCH("Ngày quy định", '6. TIẾN ĐỘ MUA HÀNG'!$A$4:$AT$4, 0)), "mm/yyyy") = TEXT(BA$6, "mm/yyyy")) * (INDEX('6. TIẾN ĐỘ MUA HÀNG'!$A:$AT, 0, XMATCH("*CL NGÀY QUY ĐỊNH - NGÀY NHẬN HÀNG*", '6. TIẾN ĐỘ MUA HÀNG'!$A$4:$AT$4, 2)) &lt; 0))</f>
        <v>0</v>
      </c>
      <c r="BC11" s="730">
        <f t="array" ref="BC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TEXT(BA$6, "mm/yyyy")) * (INDEX('6. TIẾN ĐỘ MUA HÀNG'!$A$5:$AT$1161, 0, XMATCH("*CL NGÀY QUY ĐỊNH - NGÀY NHẬN HÀNG*", '6. TIẾN ĐỘ MUA HÀNG'!$A$4:$AT$4, 2)) = 0))</f>
        <v>0</v>
      </c>
      <c r="BD11" s="730">
        <f t="array" ref="BD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TEXT(BA$6, "mm/yyyy")) * (INDEX('6. TIẾN ĐỘ MUA HÀNG'!$A$5:$AT$1161, 0, XMATCH("*CL NGÀY QUY ĐỊNH - NGÀY NHẬN HÀNG*", '6. TIẾN ĐỘ MUA HÀNG'!$A$4:$AT$4, 2)) &gt; 0))</f>
        <v>0</v>
      </c>
      <c r="BE11" s="731">
        <f t="shared" si="24"/>
        <v>0</v>
      </c>
      <c r="BF11" s="732">
        <f t="array" ref="BF11">SUMPRODUCT((INDEX('6. TIẾN ĐỘ MUA HÀNG'!$A$5:$AT$16, 0, MATCH("NSPT", '6. TIẾN ĐỘ MUA HÀNG'!$A$4:$AT$4, 0)) = $B11) * (TEXT(INDEX('6. TIẾN ĐỘ MUA HÀNG'!$A$5:$AT$16, 0, MATCH("Ngày quy định", '6. TIẾN ĐỘ MUA HÀNG'!$A$4:$AT$4, 0)), "mm/yyyy") = TEXT(BF$6, "mm/yyyy")) * (INDEX('6. TIẾN ĐỘ MUA HÀNG'!$A$5:$AT$16, 0, MATCH("Mã đơn Misa", '6. TIẾN ĐỘ MUA HÀNG'!$A$4:$AT$4, 0)) &lt;&gt; ""))</f>
        <v>0</v>
      </c>
      <c r="BG11" s="732">
        <f t="array" ref="BG11">SUMPRODUCT((INDEX('6. TIẾN ĐỘ MUA HÀNG'!$A:$AT, 0, XMATCH("NSPT", '6. TIẾN ĐỘ MUA HÀNG'!$A$4:$AT$4, 0)) = $B11) * (TEXT(INDEX('6. TIẾN ĐỘ MUA HÀNG'!$A:$AT, 0, MATCH("Ngày quy định", '6. TIẾN ĐỘ MUA HÀNG'!$A$4:$AT$4, 0)), "mm/yyyy") = TEXT(BF$6, "mm/yyyy")) * (INDEX('6. TIẾN ĐỘ MUA HÀNG'!$A:$AT, 0, XMATCH("*CL NGÀY QUY ĐỊNH - NGÀY NHẬN HÀNG*", '6. TIẾN ĐỘ MUA HÀNG'!$A$4:$AT$4, 2)) &lt; 0))</f>
        <v>0</v>
      </c>
      <c r="BH11" s="732">
        <f t="array" ref="BH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TEXT(BF$6, "mm/yyyy")) * (INDEX('6. TIẾN ĐỘ MUA HÀNG'!$A$5:$AT$1161, 0, XMATCH("*CL NGÀY QUY ĐỊNH - NGÀY NHẬN HÀNG*", '6. TIẾN ĐỘ MUA HÀNG'!$A$4:$AT$4, 2)) = 0))</f>
        <v>0</v>
      </c>
      <c r="BI11" s="732">
        <f t="array" ref="BI11">SUMPRODUCT( (INDEX('6. TIẾN ĐỘ MUA HÀNG'!$A$5:$AT$1161, 0, XMATCH("NSPT", '6. TIẾN ĐỘ MUA HÀNG'!$A$4:$AT$4, 0)) = $B11) * (ISNUMBER(INDEX('6. TIẾN ĐỘ MUA HÀNG'!$A$5:$AT$1161, 0, MATCH("Ngày quy định", '6. TIẾN ĐỘ MUA HÀNG'!$A$4:$AT$4, 0)))) *(TEXT(INDEX('6. TIẾN ĐỘ MUA HÀNG'!$A$5:$AT$1161, 0, MATCH("Ngày quy định", '6. TIẾN ĐỘ MUA HÀNG'!$A$4:$AT$4, 0)), "mm/yyyy") = TEXT(BF$6, "mm/yyyy")) * (INDEX('6. TIẾN ĐỘ MUA HÀNG'!$A$5:$AT$1161, 0, XMATCH("*CL NGÀY QUY ĐỊNH - NGÀY NHẬN HÀNG*", '6. TIẾN ĐỘ MUA HÀNG'!$A$4:$AT$4, 2)) &gt; 0))</f>
        <v>0</v>
      </c>
      <c r="BJ11" s="733">
        <f t="shared" si="25"/>
        <v>0</v>
      </c>
      <c r="BK11" s="726">
        <f t="shared" si="27"/>
        <v>0</v>
      </c>
      <c r="BL11" s="726">
        <f t="shared" si="28"/>
        <v>0</v>
      </c>
      <c r="BM11" s="727">
        <f t="shared" si="26"/>
        <v>0</v>
      </c>
    </row>
    <row r="12">
      <c r="A12" s="612">
        <v>4.0</v>
      </c>
      <c r="B12" s="729" t="str">
        <f>IFERROR(__xludf.DUMMYFUNCTION("""COMPUTED_VALUE"""),"Mr Hậu")</f>
        <v>Mr Hậu</v>
      </c>
      <c r="C12" s="730">
        <f t="array" ref="C12">SUMPRODUCT((INDEX('6. TIẾN ĐỘ MUA HÀNG'!$A$5:$AT$16, 0, MATCH("NSPT", '6. TIẾN ĐỘ MUA HÀNG'!$A$4:$AT$4, 0)) = $B12) * (TEXT(INDEX('6. TIẾN ĐỘ MUA HÀNG'!$A$5:$AT$16, 0, MATCH("Ngày quy định", '6. TIẾN ĐỘ MUA HÀNG'!$A$4:$AT$4, 0)), "mm/yyyy") = TEXT(C$6, "mm/yyyy")) * (INDEX('6. TIẾN ĐỘ MUA HÀNG'!$A$5:$AT$16, 0, MATCH("Mã đơn Misa", '6. TIẾN ĐỘ MUA HÀNG'!$A$4:$AT$4, 0)) &lt;&gt; ""))</f>
        <v>0</v>
      </c>
      <c r="D12" s="730">
        <f t="array" ref="D12">SUMPRODUCT((INDEX('6. TIẾN ĐỘ MUA HÀNG'!$A:$AT, 0, XMATCH("NSPT", '6. TIẾN ĐỘ MUA HÀNG'!$A$4:$AT$4, 0)) = $B12) * (TEXT(INDEX('6. TIẾN ĐỘ MUA HÀNG'!$A:$AT, 0, MATCH("Ngày quy định", '6. TIẾN ĐỘ MUA HÀNG'!$A$4:$AT$4, 0)), "mm/yyyy") = TEXT(C$6, "mm/yyyy")) * (INDEX('6. TIẾN ĐỘ MUA HÀNG'!$A:$AT, 0, XMATCH("*CL NGÀY QUY ĐỊNH - NGÀY NHẬN HÀNG*", '6. TIẾN ĐỘ MUA HÀNG'!$A$4:$AT$4, 2)) &lt; 0))</f>
        <v>0</v>
      </c>
      <c r="E12" s="730">
        <f t="array" ref="E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TEXT(C$6, "mm/yyyy")) * (INDEX('6. TIẾN ĐỘ MUA HÀNG'!$A$5:$AT$1161, 0, XMATCH("*CL NGÀY QUY ĐỊNH - NGÀY NHẬN HÀNG*", '6. TIẾN ĐỘ MUA HÀNG'!$A$4:$AT$4, 2)) = 0))</f>
        <v>0</v>
      </c>
      <c r="F12" s="730">
        <f t="array" ref="F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TEXT(C$6, "mm/yyyy")) * (INDEX('6. TIẾN ĐỘ MUA HÀNG'!$A$5:$AT$1161, 0, XMATCH("*CL NGÀY QUY ĐỊNH - NGÀY NHẬN HÀNG*", '6. TIẾN ĐỘ MUA HÀNG'!$A$4:$AT$4, 2)) &gt; 0))</f>
        <v>0</v>
      </c>
      <c r="G12" s="731">
        <f t="shared" si="14"/>
        <v>0</v>
      </c>
      <c r="H12" s="732">
        <f t="array" ref="H12">SUMPRODUCT((INDEX('6. TIẾN ĐỘ MUA HÀNG'!$A$5:$AT$16, 0, MATCH("NSPT", '6. TIẾN ĐỘ MUA HÀNG'!$A$4:$AT$4, 0)) = $B12) * (TEXT(INDEX('6. TIẾN ĐỘ MUA HÀNG'!$A$5:$AT$16, 0, MATCH("Ngày quy định", '6. TIẾN ĐỘ MUA HÀNG'!$A$4:$AT$4, 0)), "mm/yyyy") = TEXT(H$6, "mm/yyyy")) * (INDEX('6. TIẾN ĐỘ MUA HÀNG'!$A$5:$AT$16, 0, MATCH("Mã đơn Misa", '6. TIẾN ĐỘ MUA HÀNG'!$A$4:$AT$4, 0)) &lt;&gt; ""))</f>
        <v>0</v>
      </c>
      <c r="I12" s="732">
        <f t="array" ref="I12">SUMPRODUCT((INDEX('6. TIẾN ĐỘ MUA HÀNG'!$A:$AT, 0, XMATCH("NSPT", '6. TIẾN ĐỘ MUA HÀNG'!$A$4:$AT$4, 0)) = $B12) * (TEXT(INDEX('6. TIẾN ĐỘ MUA HÀNG'!$A:$AT, 0, MATCH("Ngày quy định", '6. TIẾN ĐỘ MUA HÀNG'!$A$4:$AT$4, 0)), "mm/yyyy") = TEXT(H$6, "mm/yyyy")) * (INDEX('6. TIẾN ĐỘ MUA HÀNG'!$A:$AT, 0, XMATCH("*CL NGÀY QUY ĐỊNH - NGÀY NHẬN HÀNG*", '6. TIẾN ĐỘ MUA HÀNG'!$A$4:$AT$4, 2)) &lt; 0))</f>
        <v>0</v>
      </c>
      <c r="J12" s="732">
        <f t="array" ref="J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TEXT(H$6, "mm/yyyy")) * (INDEX('6. TIẾN ĐỘ MUA HÀNG'!$A$5:$AT$1161, 0, XMATCH("*CL NGÀY QUY ĐỊNH - NGÀY NHẬN HÀNG*", '6. TIẾN ĐỘ MUA HÀNG'!$A$4:$AT$4, 2)) = 0))</f>
        <v>0</v>
      </c>
      <c r="K12" s="732">
        <f t="array" ref="K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TEXT(H$6, "mm/yyyy")) * (INDEX('6. TIẾN ĐỘ MUA HÀNG'!$A$5:$AT$1161, 0, XMATCH("*CL NGÀY QUY ĐỊNH - NGÀY NHẬN HÀNG*", '6. TIẾN ĐỘ MUA HÀNG'!$A$4:$AT$4, 2)) &gt; 0))</f>
        <v>0</v>
      </c>
      <c r="L12" s="733">
        <f t="shared" si="15"/>
        <v>0</v>
      </c>
      <c r="M12" s="730">
        <f t="array" ref="M12">SUMPRODUCT((INDEX('6. TIẾN ĐỘ MUA HÀNG'!$A$5:$AT$16, 0, MATCH("NSPT", '6. TIẾN ĐỘ MUA HÀNG'!$A$4:$AT$4, 0)) = $B12) * (TEXT(INDEX('6. TIẾN ĐỘ MUA HÀNG'!$A$5:$AT$16, 0, MATCH("Ngày quy định", '6. TIẾN ĐỘ MUA HÀNG'!$A$4:$AT$4, 0)), "mm/yyyy") = TEXT(M$6, "mm/yyyy")) * (INDEX('6. TIẾN ĐỘ MUA HÀNG'!$A$5:$AT$16, 0, MATCH("Mã đơn Misa", '6. TIẾN ĐỘ MUA HÀNG'!$A$4:$AT$4, 0)) &lt;&gt; ""))</f>
        <v>0</v>
      </c>
      <c r="N12" s="730">
        <f t="array" ref="N12">SUMPRODUCT((INDEX('6. TIẾN ĐỘ MUA HÀNG'!$A:$AT, 0, XMATCH("NSPT", '6. TIẾN ĐỘ MUA HÀNG'!$A$4:$AT$4, 0)) = $B12) * (TEXT(INDEX('6. TIẾN ĐỘ MUA HÀNG'!$A:$AT, 0, MATCH("Ngày quy định", '6. TIẾN ĐỘ MUA HÀNG'!$A$4:$AT$4, 0)), "mm/yyyy") = TEXT(M$6, "mm/yyyy")) * (INDEX('6. TIẾN ĐỘ MUA HÀNG'!$A:$AT, 0, XMATCH("*CL NGÀY QUY ĐỊNH - NGÀY NHẬN HÀNG*", '6. TIẾN ĐỘ MUA HÀNG'!$A$4:$AT$4, 2)) &lt; 0))</f>
        <v>0</v>
      </c>
      <c r="O12" s="730">
        <f t="array" ref="O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TEXT(M$6, "mm/yyyy")) * (INDEX('6. TIẾN ĐỘ MUA HÀNG'!$A$5:$AT$1161, 0, XMATCH("*CL NGÀY QUY ĐỊNH - NGÀY NHẬN HÀNG*", '6. TIẾN ĐỘ MUA HÀNG'!$A$4:$AT$4, 2)) = 0))</f>
        <v>0</v>
      </c>
      <c r="P12" s="730">
        <f t="array" ref="P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TEXT(M$6, "mm/yyyy")) * (INDEX('6. TIẾN ĐỘ MUA HÀNG'!$A$5:$AT$1161, 0, XMATCH("*CL NGÀY QUY ĐỊNH - NGÀY NHẬN HÀNG*", '6. TIẾN ĐỘ MUA HÀNG'!$A$4:$AT$4, 2)) &gt; 0))</f>
        <v>0</v>
      </c>
      <c r="Q12" s="731">
        <f t="shared" si="16"/>
        <v>0</v>
      </c>
      <c r="R12" s="732">
        <f t="array" ref="R12">SUMPRODUCT((INDEX('6. TIẾN ĐỘ MUA HÀNG'!$A$5:$AT$16, 0, MATCH("NSPT", '6. TIẾN ĐỘ MUA HÀNG'!$A$4:$AT$4, 0)) = $B12) * (TEXT(INDEX('6. TIẾN ĐỘ MUA HÀNG'!$A$5:$AT$16, 0, MATCH("Ngày quy định", '6. TIẾN ĐỘ MUA HÀNG'!$A$4:$AT$4, 0)), "mm/yyyy") = TEXT(R$6, "mm/yyyy")) * (INDEX('6. TIẾN ĐỘ MUA HÀNG'!$A$5:$AT$16, 0, MATCH("Mã đơn Misa", '6. TIẾN ĐỘ MUA HÀNG'!$A$4:$AT$4, 0)) &lt;&gt; ""))</f>
        <v>0</v>
      </c>
      <c r="S12" s="732">
        <f t="array" ref="S12">SUMPRODUCT((INDEX('6. TIẾN ĐỘ MUA HÀNG'!$A:$AT, 0, XMATCH("NSPT", '6. TIẾN ĐỘ MUA HÀNG'!$A$4:$AT$4, 0)) = $B12) * (TEXT(INDEX('6. TIẾN ĐỘ MUA HÀNG'!$A:$AT, 0, MATCH("Ngày quy định", '6. TIẾN ĐỘ MUA HÀNG'!$A$4:$AT$4, 0)), "mm/yyyy") = TEXT(R$6, "mm/yyyy")) * (INDEX('6. TIẾN ĐỘ MUA HÀNG'!$A:$AT, 0, XMATCH("*CL NGÀY QUY ĐỊNH - NGÀY NHẬN HÀNG*", '6. TIẾN ĐỘ MUA HÀNG'!$A$4:$AT$4, 2)) &lt; 0))</f>
        <v>0</v>
      </c>
      <c r="T12" s="732">
        <f t="array" ref="T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TEXT(R$6, "mm/yyyy")) * (INDEX('6. TIẾN ĐỘ MUA HÀNG'!$A$5:$AT$1161, 0, XMATCH("*CL NGÀY QUY ĐỊNH - NGÀY NHẬN HÀNG*", '6. TIẾN ĐỘ MUA HÀNG'!$A$4:$AT$4, 2)) = 0))</f>
        <v>0</v>
      </c>
      <c r="U12" s="732">
        <f t="array" ref="U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TEXT(R$6, "mm/yyyy")) * (INDEX('6. TIẾN ĐỘ MUA HÀNG'!$A$5:$AT$1161, 0, XMATCH("*CL NGÀY QUY ĐỊNH - NGÀY NHẬN HÀNG*", '6. TIẾN ĐỘ MUA HÀNG'!$A$4:$AT$4, 2)) &gt; 0))</f>
        <v>0</v>
      </c>
      <c r="V12" s="733">
        <f t="shared" si="17"/>
        <v>0</v>
      </c>
      <c r="W12" s="730">
        <f t="array" ref="W12">SUMPRODUCT((INDEX('6. TIẾN ĐỘ MUA HÀNG'!$A$5:$AT$16, 0, MATCH("NSPT", '6. TIẾN ĐỘ MUA HÀNG'!$A$4:$AT$4, 0)) = $B12) * (TEXT(INDEX('6. TIẾN ĐỘ MUA HÀNG'!$A$5:$AT$16, 0, MATCH("Ngày quy định", '6. TIẾN ĐỘ MUA HÀNG'!$A$4:$AT$4, 0)), "mm/yyyy") = TEXT(W$6, "mm/yyyy")) * (INDEX('6. TIẾN ĐỘ MUA HÀNG'!$A$5:$AT$16, 0, MATCH("Mã đơn Misa", '6. TIẾN ĐỘ MUA HÀNG'!$A$4:$AT$4, 0)) &lt;&gt; ""))</f>
        <v>0</v>
      </c>
      <c r="X12" s="730">
        <f t="array" ref="X12">SUMPRODUCT((INDEX('6. TIẾN ĐỘ MUA HÀNG'!$A:$AT, 0, XMATCH("NSPT", '6. TIẾN ĐỘ MUA HÀNG'!$A$4:$AT$4, 0)) = $B12) * (TEXT(INDEX('6. TIẾN ĐỘ MUA HÀNG'!$A:$AT, 0, MATCH("Ngày quy định", '6. TIẾN ĐỘ MUA HÀNG'!$A$4:$AT$4, 0)), "mm/yyyy") = TEXT(W$6, "mm/yyyy")) * (INDEX('6. TIẾN ĐỘ MUA HÀNG'!$A:$AT, 0, XMATCH("*CL NGÀY QUY ĐỊNH - NGÀY NHẬN HÀNG*", '6. TIẾN ĐỘ MUA HÀNG'!$A$4:$AT$4, 2)) &lt; 0))</f>
        <v>0</v>
      </c>
      <c r="Y12" s="730">
        <f t="array" ref="Y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TEXT(W$6, "mm/yyyy")) * (INDEX('6. TIẾN ĐỘ MUA HÀNG'!$A$5:$AT$1161, 0, XMATCH("*CL NGÀY QUY ĐỊNH - NGÀY NHẬN HÀNG*", '6. TIẾN ĐỘ MUA HÀNG'!$A$4:$AT$4, 2)) = 0))</f>
        <v>0</v>
      </c>
      <c r="Z12" s="730">
        <f t="array" ref="Z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TEXT(W$6, "mm/yyyy")) * (INDEX('6. TIẾN ĐỘ MUA HÀNG'!$A$5:$AT$1161, 0, XMATCH("*CL NGÀY QUY ĐỊNH - NGÀY NHẬN HÀNG*", '6. TIẾN ĐỘ MUA HÀNG'!$A$4:$AT$4, 2)) &gt; 0))</f>
        <v>0</v>
      </c>
      <c r="AA12" s="731">
        <f t="shared" si="18"/>
        <v>0</v>
      </c>
      <c r="AB12" s="732">
        <f t="array" ref="AB12">SUMPRODUCT((INDEX('6. TIẾN ĐỘ MUA HÀNG'!$A$5:$AT$16, 0, MATCH("NSPT", '6. TIẾN ĐỘ MUA HÀNG'!$A$4:$AT$4, 0)) = $B12) * (TEXT(INDEX('6. TIẾN ĐỘ MUA HÀNG'!$A$5:$AT$16, 0, MATCH("Ngày quy định", '6. TIẾN ĐỘ MUA HÀNG'!$A$4:$AT$4, 0)), "mm/yyyy") = TEXT(AB$6, "mm/yyyy")) * (INDEX('6. TIẾN ĐỘ MUA HÀNG'!$A$5:$AT$16, 0, MATCH("Mã đơn Misa", '6. TIẾN ĐỘ MUA HÀNG'!$A$4:$AT$4, 0)) &lt;&gt; ""))</f>
        <v>0</v>
      </c>
      <c r="AC12" s="732">
        <f t="array" ref="AC12">SUMPRODUCT((INDEX('6. TIẾN ĐỘ MUA HÀNG'!$A:$AT, 0, XMATCH("NSPT", '6. TIẾN ĐỘ MUA HÀNG'!$A$4:$AT$4, 0)) = $B12) * (TEXT(INDEX('6. TIẾN ĐỘ MUA HÀNG'!$A:$AT, 0, MATCH("Ngày quy định", '6. TIẾN ĐỘ MUA HÀNG'!$A$4:$AT$4, 0)), "mm/yyyy") = TEXT(AB$6, "mm/yyyy")) * (INDEX('6. TIẾN ĐỘ MUA HÀNG'!$A:$AT, 0, XMATCH("*CL NGÀY QUY ĐỊNH - NGÀY NHẬN HÀNG*", '6. TIẾN ĐỘ MUA HÀNG'!$A$4:$AT$4, 2)) &lt; 0))</f>
        <v>0</v>
      </c>
      <c r="AD12" s="732">
        <f t="array" ref="AD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TEXT(AB$6, "mm/yyyy")) * (INDEX('6. TIẾN ĐỘ MUA HÀNG'!$A$5:$AT$1161, 0, XMATCH("*CL NGÀY QUY ĐỊNH - NGÀY NHẬN HÀNG*", '6. TIẾN ĐỘ MUA HÀNG'!$A$4:$AT$4, 2)) = 0))</f>
        <v>0</v>
      </c>
      <c r="AE12" s="732">
        <f t="array" ref="AE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TEXT(AB$6, "mm/yyyy")) * (INDEX('6. TIẾN ĐỘ MUA HÀNG'!$A$5:$AT$1161, 0, XMATCH("*CL NGÀY QUY ĐỊNH - NGÀY NHẬN HÀNG*", '6. TIẾN ĐỘ MUA HÀNG'!$A$4:$AT$4, 2)) &gt; 0))</f>
        <v>0</v>
      </c>
      <c r="AF12" s="733">
        <f t="shared" si="19"/>
        <v>0</v>
      </c>
      <c r="AG12" s="730">
        <f t="array" ref="AG12">SUMPRODUCT((INDEX('6. TIẾN ĐỘ MUA HÀNG'!$A$5:$AT$16, 0, MATCH("NSPT", '6. TIẾN ĐỘ MUA HÀNG'!$A$4:$AT$4, 0)) = $B12) * (TEXT(INDEX('6. TIẾN ĐỘ MUA HÀNG'!$A$5:$AT$16, 0, MATCH("Ngày quy định", '6. TIẾN ĐỘ MUA HÀNG'!$A$4:$AT$4, 0)), "mm/yyyy") = TEXT(AG$6, "mm/yyyy")) * (INDEX('6. TIẾN ĐỘ MUA HÀNG'!$A$5:$AT$16, 0, MATCH("Mã đơn Misa", '6. TIẾN ĐỘ MUA HÀNG'!$A$4:$AT$4, 0)) &lt;&gt; ""))</f>
        <v>0</v>
      </c>
      <c r="AH12" s="730">
        <f t="array" ref="AH12">SUMPRODUCT((INDEX('6. TIẾN ĐỘ MUA HÀNG'!$A:$AT, 0, XMATCH("NSPT", '6. TIẾN ĐỘ MUA HÀNG'!$A$4:$AT$4, 0)) = $B12) * (TEXT(INDEX('6. TIẾN ĐỘ MUA HÀNG'!$A:$AT, 0, MATCH("Ngày quy định", '6. TIẾN ĐỘ MUA HÀNG'!$A$4:$AT$4, 0)), "mm/yyyy") = TEXT(AG$6, "mm/yyyy")) * (INDEX('6. TIẾN ĐỘ MUA HÀNG'!$A:$AT, 0, XMATCH("*CL NGÀY QUY ĐỊNH - NGÀY NHẬN HÀNG*", '6. TIẾN ĐỘ MUA HÀNG'!$A$4:$AT$4, 2)) &lt; 0))</f>
        <v>0</v>
      </c>
      <c r="AI12" s="730">
        <f t="array" ref="AI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TEXT(AG$6, "mm/yyyy")) * (INDEX('6. TIẾN ĐỘ MUA HÀNG'!$A$5:$AT$1161, 0, XMATCH("*CL NGÀY QUY ĐỊNH - NGÀY NHẬN HÀNG*", '6. TIẾN ĐỘ MUA HÀNG'!$A$4:$AT$4, 2)) = 0))</f>
        <v>0</v>
      </c>
      <c r="AJ12" s="730">
        <f t="array" ref="AJ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TEXT(AG$6, "mm/yyyy")) * (INDEX('6. TIẾN ĐỘ MUA HÀNG'!$A$5:$AT$1161, 0, XMATCH("*CL NGÀY QUY ĐỊNH - NGÀY NHẬN HÀNG*", '6. TIẾN ĐỘ MUA HÀNG'!$A$4:$AT$4, 2)) &gt; 0))</f>
        <v>0</v>
      </c>
      <c r="AK12" s="731">
        <f t="shared" si="20"/>
        <v>0</v>
      </c>
      <c r="AL12" s="732">
        <f t="array" ref="AL12">SUMPRODUCT((INDEX('6. TIẾN ĐỘ MUA HÀNG'!$A$5:$AT$16, 0, MATCH("NSPT", '6. TIẾN ĐỘ MUA HÀNG'!$A$4:$AT$4, 0)) = $B12) * (TEXT(INDEX('6. TIẾN ĐỘ MUA HÀNG'!$A$5:$AT$16, 0, MATCH("Ngày quy định", '6. TIẾN ĐỘ MUA HÀNG'!$A$4:$AT$4, 0)), "mm/yyyy") = TEXT(AL$6, "mm/yyyy")) * (INDEX('6. TIẾN ĐỘ MUA HÀNG'!$A$5:$AT$16, 0, MATCH("Mã đơn Misa", '6. TIẾN ĐỘ MUA HÀNG'!$A$4:$AT$4, 0)) &lt;&gt; ""))</f>
        <v>0</v>
      </c>
      <c r="AM12" s="732">
        <f t="array" ref="AM12">SUMPRODUCT((INDEX('6. TIẾN ĐỘ MUA HÀNG'!$A:$AT, 0, XMATCH("NSPT", '6. TIẾN ĐỘ MUA HÀNG'!$A$4:$AT$4, 0)) = $B12) * (TEXT(INDEX('6. TIẾN ĐỘ MUA HÀNG'!$A:$AT, 0, MATCH("Ngày quy định", '6. TIẾN ĐỘ MUA HÀNG'!$A$4:$AT$4, 0)), "mm/yyyy") = TEXT(AL$6, "mm/yyyy")) * (INDEX('6. TIẾN ĐỘ MUA HÀNG'!$A:$AT, 0, XMATCH("*CL NGÀY QUY ĐỊNH - NGÀY NHẬN HÀNG*", '6. TIẾN ĐỘ MUA HÀNG'!$A$4:$AT$4, 2)) &lt; 0))</f>
        <v>0</v>
      </c>
      <c r="AN12" s="732">
        <f t="array" ref="AN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TEXT(AL$6, "mm/yyyy")) * (INDEX('6. TIẾN ĐỘ MUA HÀNG'!$A$5:$AT$1161, 0, XMATCH("*CL NGÀY QUY ĐỊNH - NGÀY NHẬN HÀNG*", '6. TIẾN ĐỘ MUA HÀNG'!$A$4:$AT$4, 2)) = 0))</f>
        <v>0</v>
      </c>
      <c r="AO12" s="732">
        <f t="array" ref="AO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TEXT(AL$6, "mm/yyyy")) * (INDEX('6. TIẾN ĐỘ MUA HÀNG'!$A$5:$AT$1161, 0, XMATCH("*CL NGÀY QUY ĐỊNH - NGÀY NHẬN HÀNG*", '6. TIẾN ĐỘ MUA HÀNG'!$A$4:$AT$4, 2)) &gt; 0))</f>
        <v>0</v>
      </c>
      <c r="AP12" s="733">
        <f t="shared" si="21"/>
        <v>0</v>
      </c>
      <c r="AQ12" s="730">
        <f t="array" ref="AQ12">SUMPRODUCT((INDEX('6. TIẾN ĐỘ MUA HÀNG'!$A$5:$AT$16, 0, MATCH("NSPT", '6. TIẾN ĐỘ MUA HÀNG'!$A$4:$AT$4, 0)) = $B12) * (TEXT(INDEX('6. TIẾN ĐỘ MUA HÀNG'!$A$5:$AT$16, 0, MATCH("Ngày quy định", '6. TIẾN ĐỘ MUA HÀNG'!$A$4:$AT$4, 0)), "mm/yyyy") = TEXT(AQ$6, "mm/yyyy")) * (INDEX('6. TIẾN ĐỘ MUA HÀNG'!$A$5:$AT$16, 0, MATCH("Mã đơn Misa", '6. TIẾN ĐỘ MUA HÀNG'!$A$4:$AT$4, 0)) &lt;&gt; ""))</f>
        <v>0</v>
      </c>
      <c r="AR12" s="730">
        <f t="array" ref="AR12">SUMPRODUCT((INDEX('6. TIẾN ĐỘ MUA HÀNG'!$A:$AT, 0, XMATCH("NSPT", '6. TIẾN ĐỘ MUA HÀNG'!$A$4:$AT$4, 0)) = $B12) * (TEXT(INDEX('6. TIẾN ĐỘ MUA HÀNG'!$A:$AT, 0, MATCH("Ngày quy định", '6. TIẾN ĐỘ MUA HÀNG'!$A$4:$AT$4, 0)), "mm/yyyy") = TEXT(AQ$6, "mm/yyyy")) * (INDEX('6. TIẾN ĐỘ MUA HÀNG'!$A:$AT, 0, XMATCH("*CL NGÀY QUY ĐỊNH - NGÀY NHẬN HÀNG*", '6. TIẾN ĐỘ MUA HÀNG'!$A$4:$AT$4, 2)) &lt; 0))</f>
        <v>0</v>
      </c>
      <c r="AS12" s="730">
        <f t="array" ref="AS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TEXT(AQ$6, "mm/yyyy")) * (INDEX('6. TIẾN ĐỘ MUA HÀNG'!$A$5:$AT$1161, 0, XMATCH("*CL NGÀY QUY ĐỊNH - NGÀY NHẬN HÀNG*", '6. TIẾN ĐỘ MUA HÀNG'!$A$4:$AT$4, 2)) = 0))</f>
        <v>0</v>
      </c>
      <c r="AT12" s="730">
        <f t="array" ref="AT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TEXT(AQ$6, "mm/yyyy")) * (INDEX('6. TIẾN ĐỘ MUA HÀNG'!$A$5:$AT$1161, 0, XMATCH("*CL NGÀY QUY ĐỊNH - NGÀY NHẬN HÀNG*", '6. TIẾN ĐỘ MUA HÀNG'!$A$4:$AT$4, 2)) &gt; 0))</f>
        <v>0</v>
      </c>
      <c r="AU12" s="731">
        <f t="shared" si="22"/>
        <v>0</v>
      </c>
      <c r="AV12" s="732">
        <f t="array" ref="AV12">SUMPRODUCT((INDEX('6. TIẾN ĐỘ MUA HÀNG'!$A$5:$AT$16, 0, MATCH("NSPT", '6. TIẾN ĐỘ MUA HÀNG'!$A$4:$AT$4, 0)) = $B12) * (TEXT(INDEX('6. TIẾN ĐỘ MUA HÀNG'!$A$5:$AT$16, 0, MATCH("Ngày quy định", '6. TIẾN ĐỘ MUA HÀNG'!$A$4:$AT$4, 0)), "mm/yyyy") = TEXT(AV$6, "mm/yyyy")) * (INDEX('6. TIẾN ĐỘ MUA HÀNG'!$A$5:$AT$16, 0, MATCH("Mã đơn Misa", '6. TIẾN ĐỘ MUA HÀNG'!$A$4:$AT$4, 0)) &lt;&gt; ""))</f>
        <v>0</v>
      </c>
      <c r="AW12" s="732">
        <f t="array" ref="AW12">SUMPRODUCT((INDEX('6. TIẾN ĐỘ MUA HÀNG'!$A:$AT, 0, XMATCH("NSPT", '6. TIẾN ĐỘ MUA HÀNG'!$A$4:$AT$4, 0)) = $B12) * (TEXT(INDEX('6. TIẾN ĐỘ MUA HÀNG'!$A:$AT, 0, MATCH("Ngày quy định", '6. TIẾN ĐỘ MUA HÀNG'!$A$4:$AT$4, 0)), "mm/yyyy") = TEXT(AV$6, "mm/yyyy")) * (INDEX('6. TIẾN ĐỘ MUA HÀNG'!$A:$AT, 0, XMATCH("*CL NGÀY QUY ĐỊNH - NGÀY NHẬN HÀNG*", '6. TIẾN ĐỘ MUA HÀNG'!$A$4:$AT$4, 2)) &lt; 0))</f>
        <v>0</v>
      </c>
      <c r="AX12" s="732">
        <f t="array" ref="AX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TEXT(AV$6, "mm/yyyy")) * (INDEX('6. TIẾN ĐỘ MUA HÀNG'!$A$5:$AT$1161, 0, XMATCH("*CL NGÀY QUY ĐỊNH - NGÀY NHẬN HÀNG*", '6. TIẾN ĐỘ MUA HÀNG'!$A$4:$AT$4, 2)) = 0))</f>
        <v>0</v>
      </c>
      <c r="AY12" s="732">
        <f t="array" ref="AY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TEXT(AV$6, "mm/yyyy")) * (INDEX('6. TIẾN ĐỘ MUA HÀNG'!$A$5:$AT$1161, 0, XMATCH("*CL NGÀY QUY ĐỊNH - NGÀY NHẬN HÀNG*", '6. TIẾN ĐỘ MUA HÀNG'!$A$4:$AT$4, 2)) &gt; 0))</f>
        <v>0</v>
      </c>
      <c r="AZ12" s="733">
        <f t="shared" si="23"/>
        <v>0</v>
      </c>
      <c r="BA12" s="730">
        <f t="array" ref="BA12">SUMPRODUCT((INDEX('6. TIẾN ĐỘ MUA HÀNG'!$A$5:$AT$16, 0, MATCH("NSPT", '6. TIẾN ĐỘ MUA HÀNG'!$A$4:$AT$4, 0)) = $B12) * (TEXT(INDEX('6. TIẾN ĐỘ MUA HÀNG'!$A$5:$AT$16, 0, MATCH("Ngày quy định", '6. TIẾN ĐỘ MUA HÀNG'!$A$4:$AT$4, 0)), "mm/yyyy") = TEXT(BA$6, "mm/yyyy")) * (INDEX('6. TIẾN ĐỘ MUA HÀNG'!$A$5:$AT$16, 0, MATCH("Mã đơn Misa", '6. TIẾN ĐỘ MUA HÀNG'!$A$4:$AT$4, 0)) &lt;&gt; ""))</f>
        <v>0</v>
      </c>
      <c r="BB12" s="730">
        <f t="array" ref="BB12">SUMPRODUCT((INDEX('6. TIẾN ĐỘ MUA HÀNG'!$A:$AT, 0, XMATCH("NSPT", '6. TIẾN ĐỘ MUA HÀNG'!$A$4:$AT$4, 0)) = $B12) * (TEXT(INDEX('6. TIẾN ĐỘ MUA HÀNG'!$A:$AT, 0, MATCH("Ngày quy định", '6. TIẾN ĐỘ MUA HÀNG'!$A$4:$AT$4, 0)), "mm/yyyy") = TEXT(BA$6, "mm/yyyy")) * (INDEX('6. TIẾN ĐỘ MUA HÀNG'!$A:$AT, 0, XMATCH("*CL NGÀY QUY ĐỊNH - NGÀY NHẬN HÀNG*", '6. TIẾN ĐỘ MUA HÀNG'!$A$4:$AT$4, 2)) &lt; 0))</f>
        <v>0</v>
      </c>
      <c r="BC12" s="730">
        <f t="array" ref="BC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TEXT(BA$6, "mm/yyyy")) * (INDEX('6. TIẾN ĐỘ MUA HÀNG'!$A$5:$AT$1161, 0, XMATCH("*CL NGÀY QUY ĐỊNH - NGÀY NHẬN HÀNG*", '6. TIẾN ĐỘ MUA HÀNG'!$A$4:$AT$4, 2)) = 0))</f>
        <v>0</v>
      </c>
      <c r="BD12" s="730">
        <f t="array" ref="BD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TEXT(BA$6, "mm/yyyy")) * (INDEX('6. TIẾN ĐỘ MUA HÀNG'!$A$5:$AT$1161, 0, XMATCH("*CL NGÀY QUY ĐỊNH - NGÀY NHẬN HÀNG*", '6. TIẾN ĐỘ MUA HÀNG'!$A$4:$AT$4, 2)) &gt; 0))</f>
        <v>0</v>
      </c>
      <c r="BE12" s="731">
        <f t="shared" si="24"/>
        <v>0</v>
      </c>
      <c r="BF12" s="732">
        <f t="array" ref="BF12">SUMPRODUCT((INDEX('6. TIẾN ĐỘ MUA HÀNG'!$A$5:$AT$16, 0, MATCH("NSPT", '6. TIẾN ĐỘ MUA HÀNG'!$A$4:$AT$4, 0)) = $B12) * (TEXT(INDEX('6. TIẾN ĐỘ MUA HÀNG'!$A$5:$AT$16, 0, MATCH("Ngày quy định", '6. TIẾN ĐỘ MUA HÀNG'!$A$4:$AT$4, 0)), "mm/yyyy") = TEXT(BF$6, "mm/yyyy")) * (INDEX('6. TIẾN ĐỘ MUA HÀNG'!$A$5:$AT$16, 0, MATCH("Mã đơn Misa", '6. TIẾN ĐỘ MUA HÀNG'!$A$4:$AT$4, 0)) &lt;&gt; ""))</f>
        <v>0</v>
      </c>
      <c r="BG12" s="732">
        <f t="array" ref="BG12">SUMPRODUCT((INDEX('6. TIẾN ĐỘ MUA HÀNG'!$A:$AT, 0, XMATCH("NSPT", '6. TIẾN ĐỘ MUA HÀNG'!$A$4:$AT$4, 0)) = $B12) * (TEXT(INDEX('6. TIẾN ĐỘ MUA HÀNG'!$A:$AT, 0, MATCH("Ngày quy định", '6. TIẾN ĐỘ MUA HÀNG'!$A$4:$AT$4, 0)), "mm/yyyy") = TEXT(BF$6, "mm/yyyy")) * (INDEX('6. TIẾN ĐỘ MUA HÀNG'!$A:$AT, 0, XMATCH("*CL NGÀY QUY ĐỊNH - NGÀY NHẬN HÀNG*", '6. TIẾN ĐỘ MUA HÀNG'!$A$4:$AT$4, 2)) &lt; 0))</f>
        <v>0</v>
      </c>
      <c r="BH12" s="732">
        <f t="array" ref="BH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TEXT(BF$6, "mm/yyyy")) * (INDEX('6. TIẾN ĐỘ MUA HÀNG'!$A$5:$AT$1161, 0, XMATCH("*CL NGÀY QUY ĐỊNH - NGÀY NHẬN HÀNG*", '6. TIẾN ĐỘ MUA HÀNG'!$A$4:$AT$4, 2)) = 0))</f>
        <v>0</v>
      </c>
      <c r="BI12" s="732">
        <f t="array" ref="BI12">SUMPRODUCT( (INDEX('6. TIẾN ĐỘ MUA HÀNG'!$A$5:$AT$1161, 0, XMATCH("NSPT", '6. TIẾN ĐỘ MUA HÀNG'!$A$4:$AT$4, 0)) = $B12) * (ISNUMBER(INDEX('6. TIẾN ĐỘ MUA HÀNG'!$A$5:$AT$1161, 0, MATCH("Ngày quy định", '6. TIẾN ĐỘ MUA HÀNG'!$A$4:$AT$4, 0)))) *(TEXT(INDEX('6. TIẾN ĐỘ MUA HÀNG'!$A$5:$AT$1161, 0, MATCH("Ngày quy định", '6. TIẾN ĐỘ MUA HÀNG'!$A$4:$AT$4, 0)), "mm/yyyy") = TEXT(BF$6, "mm/yyyy")) * (INDEX('6. TIẾN ĐỘ MUA HÀNG'!$A$5:$AT$1161, 0, XMATCH("*CL NGÀY QUY ĐỊNH - NGÀY NHẬN HÀNG*", '6. TIẾN ĐỘ MUA HÀNG'!$A$4:$AT$4, 2)) &gt; 0))</f>
        <v>0</v>
      </c>
      <c r="BJ12" s="733">
        <f t="shared" si="25"/>
        <v>0</v>
      </c>
      <c r="BK12" s="726">
        <f t="shared" si="27"/>
        <v>0</v>
      </c>
      <c r="BL12" s="726">
        <f t="shared" si="28"/>
        <v>0</v>
      </c>
      <c r="BM12" s="727">
        <f t="shared" si="26"/>
        <v>0</v>
      </c>
    </row>
    <row r="13">
      <c r="A13" s="612">
        <v>5.0</v>
      </c>
      <c r="B13" s="729" t="str">
        <f>IFERROR(__xludf.DUMMYFUNCTION("""COMPUTED_VALUE"""),"Ms Thịnh")</f>
        <v>Ms Thịnh</v>
      </c>
      <c r="C13" s="730">
        <f t="array" ref="C13">SUMPRODUCT((INDEX('6. TIẾN ĐỘ MUA HÀNG'!$A$5:$AT$16, 0, MATCH("NSPT", '6. TIẾN ĐỘ MUA HÀNG'!$A$4:$AT$4, 0)) = $B13) * (TEXT(INDEX('6. TIẾN ĐỘ MUA HÀNG'!$A$5:$AT$16, 0, MATCH("Ngày quy định", '6. TIẾN ĐỘ MUA HÀNG'!$A$4:$AT$4, 0)), "mm/yyyy") = TEXT(C$6, "mm/yyyy")) * (INDEX('6. TIẾN ĐỘ MUA HÀNG'!$A$5:$AT$16, 0, MATCH("Mã đơn Misa", '6. TIẾN ĐỘ MUA HÀNG'!$A$4:$AT$4, 0)) &lt;&gt; ""))</f>
        <v>0</v>
      </c>
      <c r="D13" s="730">
        <f t="array" ref="D13">SUMPRODUCT((INDEX('6. TIẾN ĐỘ MUA HÀNG'!$A:$AT, 0, XMATCH("NSPT", '6. TIẾN ĐỘ MUA HÀNG'!$A$4:$AT$4, 0)) = $B13) * (TEXT(INDEX('6. TIẾN ĐỘ MUA HÀNG'!$A:$AT, 0, MATCH("Ngày quy định", '6. TIẾN ĐỘ MUA HÀNG'!$A$4:$AT$4, 0)), "mm/yyyy") = TEXT(C$6, "mm/yyyy")) * (INDEX('6. TIẾN ĐỘ MUA HÀNG'!$A:$AT, 0, XMATCH("*CL NGÀY QUY ĐỊNH - NGÀY NHẬN HÀNG*", '6. TIẾN ĐỘ MUA HÀNG'!$A$4:$AT$4, 2)) &lt; 0))</f>
        <v>0</v>
      </c>
      <c r="E13" s="730">
        <f t="array" ref="E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TEXT(C$6, "mm/yyyy")) * (INDEX('6. TIẾN ĐỘ MUA HÀNG'!$A$5:$AT$1161, 0, XMATCH("*CL NGÀY QUY ĐỊNH - NGÀY NHẬN HÀNG*", '6. TIẾN ĐỘ MUA HÀNG'!$A$4:$AT$4, 2)) = 0))</f>
        <v>0</v>
      </c>
      <c r="F13" s="730">
        <f t="array" ref="F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TEXT(C$6, "mm/yyyy")) * (INDEX('6. TIẾN ĐỘ MUA HÀNG'!$A$5:$AT$1161, 0, XMATCH("*CL NGÀY QUY ĐỊNH - NGÀY NHẬN HÀNG*", '6. TIẾN ĐỘ MUA HÀNG'!$A$4:$AT$4, 2)) &gt; 0))</f>
        <v>0</v>
      </c>
      <c r="G13" s="731">
        <f t="shared" si="14"/>
        <v>0</v>
      </c>
      <c r="H13" s="732">
        <f t="array" ref="H13">SUMPRODUCT((INDEX('6. TIẾN ĐỘ MUA HÀNG'!$A$5:$AT$16, 0, MATCH("NSPT", '6. TIẾN ĐỘ MUA HÀNG'!$A$4:$AT$4, 0)) = $B13) * (TEXT(INDEX('6. TIẾN ĐỘ MUA HÀNG'!$A$5:$AT$16, 0, MATCH("Ngày quy định", '6. TIẾN ĐỘ MUA HÀNG'!$A$4:$AT$4, 0)), "mm/yyyy") = TEXT(H$6, "mm/yyyy")) * (INDEX('6. TIẾN ĐỘ MUA HÀNG'!$A$5:$AT$16, 0, MATCH("Mã đơn Misa", '6. TIẾN ĐỘ MUA HÀNG'!$A$4:$AT$4, 0)) &lt;&gt; ""))</f>
        <v>0</v>
      </c>
      <c r="I13" s="732">
        <f t="array" ref="I13">SUMPRODUCT((INDEX('6. TIẾN ĐỘ MUA HÀNG'!$A:$AT, 0, XMATCH("NSPT", '6. TIẾN ĐỘ MUA HÀNG'!$A$4:$AT$4, 0)) = $B13) * (TEXT(INDEX('6. TIẾN ĐỘ MUA HÀNG'!$A:$AT, 0, MATCH("Ngày quy định", '6. TIẾN ĐỘ MUA HÀNG'!$A$4:$AT$4, 0)), "mm/yyyy") = TEXT(H$6, "mm/yyyy")) * (INDEX('6. TIẾN ĐỘ MUA HÀNG'!$A:$AT, 0, XMATCH("*CL NGÀY QUY ĐỊNH - NGÀY NHẬN HÀNG*", '6. TIẾN ĐỘ MUA HÀNG'!$A$4:$AT$4, 2)) &lt; 0))</f>
        <v>0</v>
      </c>
      <c r="J13" s="732">
        <f t="array" ref="J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TEXT(H$6, "mm/yyyy")) * (INDEX('6. TIẾN ĐỘ MUA HÀNG'!$A$5:$AT$1161, 0, XMATCH("*CL NGÀY QUY ĐỊNH - NGÀY NHẬN HÀNG*", '6. TIẾN ĐỘ MUA HÀNG'!$A$4:$AT$4, 2)) = 0))</f>
        <v>0</v>
      </c>
      <c r="K13" s="732">
        <f t="array" ref="K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TEXT(H$6, "mm/yyyy")) * (INDEX('6. TIẾN ĐỘ MUA HÀNG'!$A$5:$AT$1161, 0, XMATCH("*CL NGÀY QUY ĐỊNH - NGÀY NHẬN HÀNG*", '6. TIẾN ĐỘ MUA HÀNG'!$A$4:$AT$4, 2)) &gt; 0))</f>
        <v>0</v>
      </c>
      <c r="L13" s="733">
        <f t="shared" si="15"/>
        <v>0</v>
      </c>
      <c r="M13" s="730">
        <f t="array" ref="M13">SUMPRODUCT((INDEX('6. TIẾN ĐỘ MUA HÀNG'!$A$5:$AT$16, 0, MATCH("NSPT", '6. TIẾN ĐỘ MUA HÀNG'!$A$4:$AT$4, 0)) = $B13) * (TEXT(INDEX('6. TIẾN ĐỘ MUA HÀNG'!$A$5:$AT$16, 0, MATCH("Ngày quy định", '6. TIẾN ĐỘ MUA HÀNG'!$A$4:$AT$4, 0)), "mm/yyyy") = TEXT(M$6, "mm/yyyy")) * (INDEX('6. TIẾN ĐỘ MUA HÀNG'!$A$5:$AT$16, 0, MATCH("Mã đơn Misa", '6. TIẾN ĐỘ MUA HÀNG'!$A$4:$AT$4, 0)) &lt;&gt; ""))</f>
        <v>0</v>
      </c>
      <c r="N13" s="730">
        <f t="array" ref="N13">SUMPRODUCT((INDEX('6. TIẾN ĐỘ MUA HÀNG'!$A:$AT, 0, XMATCH("NSPT", '6. TIẾN ĐỘ MUA HÀNG'!$A$4:$AT$4, 0)) = $B13) * (TEXT(INDEX('6. TIẾN ĐỘ MUA HÀNG'!$A:$AT, 0, MATCH("Ngày quy định", '6. TIẾN ĐỘ MUA HÀNG'!$A$4:$AT$4, 0)), "mm/yyyy") = TEXT(M$6, "mm/yyyy")) * (INDEX('6. TIẾN ĐỘ MUA HÀNG'!$A:$AT, 0, XMATCH("*CL NGÀY QUY ĐỊNH - NGÀY NHẬN HÀNG*", '6. TIẾN ĐỘ MUA HÀNG'!$A$4:$AT$4, 2)) &lt; 0))</f>
        <v>0</v>
      </c>
      <c r="O13" s="730">
        <f t="array" ref="O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TEXT(M$6, "mm/yyyy")) * (INDEX('6. TIẾN ĐỘ MUA HÀNG'!$A$5:$AT$1161, 0, XMATCH("*CL NGÀY QUY ĐỊNH - NGÀY NHẬN HÀNG*", '6. TIẾN ĐỘ MUA HÀNG'!$A$4:$AT$4, 2)) = 0))</f>
        <v>0</v>
      </c>
      <c r="P13" s="730">
        <f t="array" ref="P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TEXT(M$6, "mm/yyyy")) * (INDEX('6. TIẾN ĐỘ MUA HÀNG'!$A$5:$AT$1161, 0, XMATCH("*CL NGÀY QUY ĐỊNH - NGÀY NHẬN HÀNG*", '6. TIẾN ĐỘ MUA HÀNG'!$A$4:$AT$4, 2)) &gt; 0))</f>
        <v>0</v>
      </c>
      <c r="Q13" s="731">
        <f t="shared" si="16"/>
        <v>0</v>
      </c>
      <c r="R13" s="732">
        <f t="array" ref="R13">SUMPRODUCT((INDEX('6. TIẾN ĐỘ MUA HÀNG'!$A$5:$AT$16, 0, MATCH("NSPT", '6. TIẾN ĐỘ MUA HÀNG'!$A$4:$AT$4, 0)) = $B13) * (TEXT(INDEX('6. TIẾN ĐỘ MUA HÀNG'!$A$5:$AT$16, 0, MATCH("Ngày quy định", '6. TIẾN ĐỘ MUA HÀNG'!$A$4:$AT$4, 0)), "mm/yyyy") = TEXT(R$6, "mm/yyyy")) * (INDEX('6. TIẾN ĐỘ MUA HÀNG'!$A$5:$AT$16, 0, MATCH("Mã đơn Misa", '6. TIẾN ĐỘ MUA HÀNG'!$A$4:$AT$4, 0)) &lt;&gt; ""))</f>
        <v>0</v>
      </c>
      <c r="S13" s="732">
        <f t="array" ref="S13">SUMPRODUCT((INDEX('6. TIẾN ĐỘ MUA HÀNG'!$A:$AT, 0, XMATCH("NSPT", '6. TIẾN ĐỘ MUA HÀNG'!$A$4:$AT$4, 0)) = $B13) * (TEXT(INDEX('6. TIẾN ĐỘ MUA HÀNG'!$A:$AT, 0, MATCH("Ngày quy định", '6. TIẾN ĐỘ MUA HÀNG'!$A$4:$AT$4, 0)), "mm/yyyy") = TEXT(R$6, "mm/yyyy")) * (INDEX('6. TIẾN ĐỘ MUA HÀNG'!$A:$AT, 0, XMATCH("*CL NGÀY QUY ĐỊNH - NGÀY NHẬN HÀNG*", '6. TIẾN ĐỘ MUA HÀNG'!$A$4:$AT$4, 2)) &lt; 0))</f>
        <v>0</v>
      </c>
      <c r="T13" s="732">
        <f t="array" ref="T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TEXT(R$6, "mm/yyyy")) * (INDEX('6. TIẾN ĐỘ MUA HÀNG'!$A$5:$AT$1161, 0, XMATCH("*CL NGÀY QUY ĐỊNH - NGÀY NHẬN HÀNG*", '6. TIẾN ĐỘ MUA HÀNG'!$A$4:$AT$4, 2)) = 0))</f>
        <v>0</v>
      </c>
      <c r="U13" s="732">
        <f t="array" ref="U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TEXT(R$6, "mm/yyyy")) * (INDEX('6. TIẾN ĐỘ MUA HÀNG'!$A$5:$AT$1161, 0, XMATCH("*CL NGÀY QUY ĐỊNH - NGÀY NHẬN HÀNG*", '6. TIẾN ĐỘ MUA HÀNG'!$A$4:$AT$4, 2)) &gt; 0))</f>
        <v>0</v>
      </c>
      <c r="V13" s="733">
        <f t="shared" si="17"/>
        <v>0</v>
      </c>
      <c r="W13" s="730">
        <f t="array" ref="W13">SUMPRODUCT((INDEX('6. TIẾN ĐỘ MUA HÀNG'!$A$5:$AT$16, 0, MATCH("NSPT", '6. TIẾN ĐỘ MUA HÀNG'!$A$4:$AT$4, 0)) = $B13) * (TEXT(INDEX('6. TIẾN ĐỘ MUA HÀNG'!$A$5:$AT$16, 0, MATCH("Ngày quy định", '6. TIẾN ĐỘ MUA HÀNG'!$A$4:$AT$4, 0)), "mm/yyyy") = TEXT(W$6, "mm/yyyy")) * (INDEX('6. TIẾN ĐỘ MUA HÀNG'!$A$5:$AT$16, 0, MATCH("Mã đơn Misa", '6. TIẾN ĐỘ MUA HÀNG'!$A$4:$AT$4, 0)) &lt;&gt; ""))</f>
        <v>0</v>
      </c>
      <c r="X13" s="730">
        <f t="array" ref="X13">SUMPRODUCT((INDEX('6. TIẾN ĐỘ MUA HÀNG'!$A:$AT, 0, XMATCH("NSPT", '6. TIẾN ĐỘ MUA HÀNG'!$A$4:$AT$4, 0)) = $B13) * (TEXT(INDEX('6. TIẾN ĐỘ MUA HÀNG'!$A:$AT, 0, MATCH("Ngày quy định", '6. TIẾN ĐỘ MUA HÀNG'!$A$4:$AT$4, 0)), "mm/yyyy") = TEXT(W$6, "mm/yyyy")) * (INDEX('6. TIẾN ĐỘ MUA HÀNG'!$A:$AT, 0, XMATCH("*CL NGÀY QUY ĐỊNH - NGÀY NHẬN HÀNG*", '6. TIẾN ĐỘ MUA HÀNG'!$A$4:$AT$4, 2)) &lt; 0))</f>
        <v>0</v>
      </c>
      <c r="Y13" s="730">
        <f t="array" ref="Y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TEXT(W$6, "mm/yyyy")) * (INDEX('6. TIẾN ĐỘ MUA HÀNG'!$A$5:$AT$1161, 0, XMATCH("*CL NGÀY QUY ĐỊNH - NGÀY NHẬN HÀNG*", '6. TIẾN ĐỘ MUA HÀNG'!$A$4:$AT$4, 2)) = 0))</f>
        <v>0</v>
      </c>
      <c r="Z13" s="730">
        <f t="array" ref="Z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TEXT(W$6, "mm/yyyy")) * (INDEX('6. TIẾN ĐỘ MUA HÀNG'!$A$5:$AT$1161, 0, XMATCH("*CL NGÀY QUY ĐỊNH - NGÀY NHẬN HÀNG*", '6. TIẾN ĐỘ MUA HÀNG'!$A$4:$AT$4, 2)) &gt; 0))</f>
        <v>0</v>
      </c>
      <c r="AA13" s="731">
        <f t="shared" si="18"/>
        <v>0</v>
      </c>
      <c r="AB13" s="732">
        <f t="array" ref="AB13">SUMPRODUCT((INDEX('6. TIẾN ĐỘ MUA HÀNG'!$A$5:$AT$16, 0, MATCH("NSPT", '6. TIẾN ĐỘ MUA HÀNG'!$A$4:$AT$4, 0)) = $B13) * (TEXT(INDEX('6. TIẾN ĐỘ MUA HÀNG'!$A$5:$AT$16, 0, MATCH("Ngày quy định", '6. TIẾN ĐỘ MUA HÀNG'!$A$4:$AT$4, 0)), "mm/yyyy") = TEXT(AB$6, "mm/yyyy")) * (INDEX('6. TIẾN ĐỘ MUA HÀNG'!$A$5:$AT$16, 0, MATCH("Mã đơn Misa", '6. TIẾN ĐỘ MUA HÀNG'!$A$4:$AT$4, 0)) &lt;&gt; ""))</f>
        <v>0</v>
      </c>
      <c r="AC13" s="732">
        <f t="array" ref="AC13">SUMPRODUCT((INDEX('6. TIẾN ĐỘ MUA HÀNG'!$A:$AT, 0, XMATCH("NSPT", '6. TIẾN ĐỘ MUA HÀNG'!$A$4:$AT$4, 0)) = $B13) * (TEXT(INDEX('6. TIẾN ĐỘ MUA HÀNG'!$A:$AT, 0, MATCH("Ngày quy định", '6. TIẾN ĐỘ MUA HÀNG'!$A$4:$AT$4, 0)), "mm/yyyy") = TEXT(AB$6, "mm/yyyy")) * (INDEX('6. TIẾN ĐỘ MUA HÀNG'!$A:$AT, 0, XMATCH("*CL NGÀY QUY ĐỊNH - NGÀY NHẬN HÀNG*", '6. TIẾN ĐỘ MUA HÀNG'!$A$4:$AT$4, 2)) &lt; 0))</f>
        <v>0</v>
      </c>
      <c r="AD13" s="732">
        <f t="array" ref="AD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TEXT(AB$6, "mm/yyyy")) * (INDEX('6. TIẾN ĐỘ MUA HÀNG'!$A$5:$AT$1161, 0, XMATCH("*CL NGÀY QUY ĐỊNH - NGÀY NHẬN HÀNG*", '6. TIẾN ĐỘ MUA HÀNG'!$A$4:$AT$4, 2)) = 0))</f>
        <v>0</v>
      </c>
      <c r="AE13" s="732">
        <f t="array" ref="AE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TEXT(AB$6, "mm/yyyy")) * (INDEX('6. TIẾN ĐỘ MUA HÀNG'!$A$5:$AT$1161, 0, XMATCH("*CL NGÀY QUY ĐỊNH - NGÀY NHẬN HÀNG*", '6. TIẾN ĐỘ MUA HÀNG'!$A$4:$AT$4, 2)) &gt; 0))</f>
        <v>0</v>
      </c>
      <c r="AF13" s="733">
        <f t="shared" si="19"/>
        <v>0</v>
      </c>
      <c r="AG13" s="730">
        <f t="array" ref="AG13">SUMPRODUCT((INDEX('6. TIẾN ĐỘ MUA HÀNG'!$A$5:$AT$16, 0, MATCH("NSPT", '6. TIẾN ĐỘ MUA HÀNG'!$A$4:$AT$4, 0)) = $B13) * (TEXT(INDEX('6. TIẾN ĐỘ MUA HÀNG'!$A$5:$AT$16, 0, MATCH("Ngày quy định", '6. TIẾN ĐỘ MUA HÀNG'!$A$4:$AT$4, 0)), "mm/yyyy") = TEXT(AG$6, "mm/yyyy")) * (INDEX('6. TIẾN ĐỘ MUA HÀNG'!$A$5:$AT$16, 0, MATCH("Mã đơn Misa", '6. TIẾN ĐỘ MUA HÀNG'!$A$4:$AT$4, 0)) &lt;&gt; ""))</f>
        <v>0</v>
      </c>
      <c r="AH13" s="730">
        <f t="array" ref="AH13">SUMPRODUCT((INDEX('6. TIẾN ĐỘ MUA HÀNG'!$A:$AT, 0, XMATCH("NSPT", '6. TIẾN ĐỘ MUA HÀNG'!$A$4:$AT$4, 0)) = $B13) * (TEXT(INDEX('6. TIẾN ĐỘ MUA HÀNG'!$A:$AT, 0, MATCH("Ngày quy định", '6. TIẾN ĐỘ MUA HÀNG'!$A$4:$AT$4, 0)), "mm/yyyy") = TEXT(AG$6, "mm/yyyy")) * (INDEX('6. TIẾN ĐỘ MUA HÀNG'!$A:$AT, 0, XMATCH("*CL NGÀY QUY ĐỊNH - NGÀY NHẬN HÀNG*", '6. TIẾN ĐỘ MUA HÀNG'!$A$4:$AT$4, 2)) &lt; 0))</f>
        <v>0</v>
      </c>
      <c r="AI13" s="730">
        <f t="array" ref="AI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TEXT(AG$6, "mm/yyyy")) * (INDEX('6. TIẾN ĐỘ MUA HÀNG'!$A$5:$AT$1161, 0, XMATCH("*CL NGÀY QUY ĐỊNH - NGÀY NHẬN HÀNG*", '6. TIẾN ĐỘ MUA HÀNG'!$A$4:$AT$4, 2)) = 0))</f>
        <v>0</v>
      </c>
      <c r="AJ13" s="730">
        <f t="array" ref="AJ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TEXT(AG$6, "mm/yyyy")) * (INDEX('6. TIẾN ĐỘ MUA HÀNG'!$A$5:$AT$1161, 0, XMATCH("*CL NGÀY QUY ĐỊNH - NGÀY NHẬN HÀNG*", '6. TIẾN ĐỘ MUA HÀNG'!$A$4:$AT$4, 2)) &gt; 0))</f>
        <v>0</v>
      </c>
      <c r="AK13" s="731">
        <f t="shared" si="20"/>
        <v>0</v>
      </c>
      <c r="AL13" s="732">
        <f t="array" ref="AL13">SUMPRODUCT((INDEX('6. TIẾN ĐỘ MUA HÀNG'!$A$5:$AT$16, 0, MATCH("NSPT", '6. TIẾN ĐỘ MUA HÀNG'!$A$4:$AT$4, 0)) = $B13) * (TEXT(INDEX('6. TIẾN ĐỘ MUA HÀNG'!$A$5:$AT$16, 0, MATCH("Ngày quy định", '6. TIẾN ĐỘ MUA HÀNG'!$A$4:$AT$4, 0)), "mm/yyyy") = TEXT(AL$6, "mm/yyyy")) * (INDEX('6. TIẾN ĐỘ MUA HÀNG'!$A$5:$AT$16, 0, MATCH("Mã đơn Misa", '6. TIẾN ĐỘ MUA HÀNG'!$A$4:$AT$4, 0)) &lt;&gt; ""))</f>
        <v>0</v>
      </c>
      <c r="AM13" s="732">
        <f t="array" ref="AM13">SUMPRODUCT((INDEX('6. TIẾN ĐỘ MUA HÀNG'!$A:$AT, 0, XMATCH("NSPT", '6. TIẾN ĐỘ MUA HÀNG'!$A$4:$AT$4, 0)) = $B13) * (TEXT(INDEX('6. TIẾN ĐỘ MUA HÀNG'!$A:$AT, 0, MATCH("Ngày quy định", '6. TIẾN ĐỘ MUA HÀNG'!$A$4:$AT$4, 0)), "mm/yyyy") = TEXT(AL$6, "mm/yyyy")) * (INDEX('6. TIẾN ĐỘ MUA HÀNG'!$A:$AT, 0, XMATCH("*CL NGÀY QUY ĐỊNH - NGÀY NHẬN HÀNG*", '6. TIẾN ĐỘ MUA HÀNG'!$A$4:$AT$4, 2)) &lt; 0))</f>
        <v>0</v>
      </c>
      <c r="AN13" s="732">
        <f t="array" ref="AN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TEXT(AL$6, "mm/yyyy")) * (INDEX('6. TIẾN ĐỘ MUA HÀNG'!$A$5:$AT$1161, 0, XMATCH("*CL NGÀY QUY ĐỊNH - NGÀY NHẬN HÀNG*", '6. TIẾN ĐỘ MUA HÀNG'!$A$4:$AT$4, 2)) = 0))</f>
        <v>0</v>
      </c>
      <c r="AO13" s="732">
        <f t="array" ref="AO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TEXT(AL$6, "mm/yyyy")) * (INDEX('6. TIẾN ĐỘ MUA HÀNG'!$A$5:$AT$1161, 0, XMATCH("*CL NGÀY QUY ĐỊNH - NGÀY NHẬN HÀNG*", '6. TIẾN ĐỘ MUA HÀNG'!$A$4:$AT$4, 2)) &gt; 0))</f>
        <v>0</v>
      </c>
      <c r="AP13" s="733">
        <f t="shared" si="21"/>
        <v>0</v>
      </c>
      <c r="AQ13" s="730">
        <f t="array" ref="AQ13">SUMPRODUCT((INDEX('6. TIẾN ĐỘ MUA HÀNG'!$A$5:$AT$16, 0, MATCH("NSPT", '6. TIẾN ĐỘ MUA HÀNG'!$A$4:$AT$4, 0)) = $B13) * (TEXT(INDEX('6. TIẾN ĐỘ MUA HÀNG'!$A$5:$AT$16, 0, MATCH("Ngày quy định", '6. TIẾN ĐỘ MUA HÀNG'!$A$4:$AT$4, 0)), "mm/yyyy") = TEXT(AQ$6, "mm/yyyy")) * (INDEX('6. TIẾN ĐỘ MUA HÀNG'!$A$5:$AT$16, 0, MATCH("Mã đơn Misa", '6. TIẾN ĐỘ MUA HÀNG'!$A$4:$AT$4, 0)) &lt;&gt; ""))</f>
        <v>0</v>
      </c>
      <c r="AR13" s="730">
        <f t="array" ref="AR13">SUMPRODUCT((INDEX('6. TIẾN ĐỘ MUA HÀNG'!$A:$AT, 0, XMATCH("NSPT", '6. TIẾN ĐỘ MUA HÀNG'!$A$4:$AT$4, 0)) = $B13) * (TEXT(INDEX('6. TIẾN ĐỘ MUA HÀNG'!$A:$AT, 0, MATCH("Ngày quy định", '6. TIẾN ĐỘ MUA HÀNG'!$A$4:$AT$4, 0)), "mm/yyyy") = TEXT(AQ$6, "mm/yyyy")) * (INDEX('6. TIẾN ĐỘ MUA HÀNG'!$A:$AT, 0, XMATCH("*CL NGÀY QUY ĐỊNH - NGÀY NHẬN HÀNG*", '6. TIẾN ĐỘ MUA HÀNG'!$A$4:$AT$4, 2)) &lt; 0))</f>
        <v>0</v>
      </c>
      <c r="AS13" s="730">
        <f t="array" ref="AS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TEXT(AQ$6, "mm/yyyy")) * (INDEX('6. TIẾN ĐỘ MUA HÀNG'!$A$5:$AT$1161, 0, XMATCH("*CL NGÀY QUY ĐỊNH - NGÀY NHẬN HÀNG*", '6. TIẾN ĐỘ MUA HÀNG'!$A$4:$AT$4, 2)) = 0))</f>
        <v>0</v>
      </c>
      <c r="AT13" s="730">
        <f t="array" ref="AT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TEXT(AQ$6, "mm/yyyy")) * (INDEX('6. TIẾN ĐỘ MUA HÀNG'!$A$5:$AT$1161, 0, XMATCH("*CL NGÀY QUY ĐỊNH - NGÀY NHẬN HÀNG*", '6. TIẾN ĐỘ MUA HÀNG'!$A$4:$AT$4, 2)) &gt; 0))</f>
        <v>0</v>
      </c>
      <c r="AU13" s="731">
        <f t="shared" si="22"/>
        <v>0</v>
      </c>
      <c r="AV13" s="732">
        <f t="array" ref="AV13">SUMPRODUCT((INDEX('6. TIẾN ĐỘ MUA HÀNG'!$A$5:$AT$16, 0, MATCH("NSPT", '6. TIẾN ĐỘ MUA HÀNG'!$A$4:$AT$4, 0)) = $B13) * (TEXT(INDEX('6. TIẾN ĐỘ MUA HÀNG'!$A$5:$AT$16, 0, MATCH("Ngày quy định", '6. TIẾN ĐỘ MUA HÀNG'!$A$4:$AT$4, 0)), "mm/yyyy") = TEXT(AV$6, "mm/yyyy")) * (INDEX('6. TIẾN ĐỘ MUA HÀNG'!$A$5:$AT$16, 0, MATCH("Mã đơn Misa", '6. TIẾN ĐỘ MUA HÀNG'!$A$4:$AT$4, 0)) &lt;&gt; ""))</f>
        <v>0</v>
      </c>
      <c r="AW13" s="732">
        <f t="array" ref="AW13">SUMPRODUCT((INDEX('6. TIẾN ĐỘ MUA HÀNG'!$A:$AT, 0, XMATCH("NSPT", '6. TIẾN ĐỘ MUA HÀNG'!$A$4:$AT$4, 0)) = $B13) * (TEXT(INDEX('6. TIẾN ĐỘ MUA HÀNG'!$A:$AT, 0, MATCH("Ngày quy định", '6. TIẾN ĐỘ MUA HÀNG'!$A$4:$AT$4, 0)), "mm/yyyy") = TEXT(AV$6, "mm/yyyy")) * (INDEX('6. TIẾN ĐỘ MUA HÀNG'!$A:$AT, 0, XMATCH("*CL NGÀY QUY ĐỊNH - NGÀY NHẬN HÀNG*", '6. TIẾN ĐỘ MUA HÀNG'!$A$4:$AT$4, 2)) &lt; 0))</f>
        <v>0</v>
      </c>
      <c r="AX13" s="732">
        <f t="array" ref="AX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TEXT(AV$6, "mm/yyyy")) * (INDEX('6. TIẾN ĐỘ MUA HÀNG'!$A$5:$AT$1161, 0, XMATCH("*CL NGÀY QUY ĐỊNH - NGÀY NHẬN HÀNG*", '6. TIẾN ĐỘ MUA HÀNG'!$A$4:$AT$4, 2)) = 0))</f>
        <v>0</v>
      </c>
      <c r="AY13" s="732">
        <f t="array" ref="AY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TEXT(AV$6, "mm/yyyy")) * (INDEX('6. TIẾN ĐỘ MUA HÀNG'!$A$5:$AT$1161, 0, XMATCH("*CL NGÀY QUY ĐỊNH - NGÀY NHẬN HÀNG*", '6. TIẾN ĐỘ MUA HÀNG'!$A$4:$AT$4, 2)) &gt; 0))</f>
        <v>0</v>
      </c>
      <c r="AZ13" s="733">
        <f t="shared" si="23"/>
        <v>0</v>
      </c>
      <c r="BA13" s="730">
        <f t="array" ref="BA13">SUMPRODUCT((INDEX('6. TIẾN ĐỘ MUA HÀNG'!$A$5:$AT$16, 0, MATCH("NSPT", '6. TIẾN ĐỘ MUA HÀNG'!$A$4:$AT$4, 0)) = $B13) * (TEXT(INDEX('6. TIẾN ĐỘ MUA HÀNG'!$A$5:$AT$16, 0, MATCH("Ngày quy định", '6. TIẾN ĐỘ MUA HÀNG'!$A$4:$AT$4, 0)), "mm/yyyy") = TEXT(BA$6, "mm/yyyy")) * (INDEX('6. TIẾN ĐỘ MUA HÀNG'!$A$5:$AT$16, 0, MATCH("Mã đơn Misa", '6. TIẾN ĐỘ MUA HÀNG'!$A$4:$AT$4, 0)) &lt;&gt; ""))</f>
        <v>0</v>
      </c>
      <c r="BB13" s="730">
        <f t="array" ref="BB13">SUMPRODUCT((INDEX('6. TIẾN ĐỘ MUA HÀNG'!$A:$AT, 0, XMATCH("NSPT", '6. TIẾN ĐỘ MUA HÀNG'!$A$4:$AT$4, 0)) = $B13) * (TEXT(INDEX('6. TIẾN ĐỘ MUA HÀNG'!$A:$AT, 0, MATCH("Ngày quy định", '6. TIẾN ĐỘ MUA HÀNG'!$A$4:$AT$4, 0)), "mm/yyyy") = TEXT(BA$6, "mm/yyyy")) * (INDEX('6. TIẾN ĐỘ MUA HÀNG'!$A:$AT, 0, XMATCH("*CL NGÀY QUY ĐỊNH - NGÀY NHẬN HÀNG*", '6. TIẾN ĐỘ MUA HÀNG'!$A$4:$AT$4, 2)) &lt; 0))</f>
        <v>0</v>
      </c>
      <c r="BC13" s="730">
        <f t="array" ref="BC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TEXT(BA$6, "mm/yyyy")) * (INDEX('6. TIẾN ĐỘ MUA HÀNG'!$A$5:$AT$1161, 0, XMATCH("*CL NGÀY QUY ĐỊNH - NGÀY NHẬN HÀNG*", '6. TIẾN ĐỘ MUA HÀNG'!$A$4:$AT$4, 2)) = 0))</f>
        <v>0</v>
      </c>
      <c r="BD13" s="730">
        <f t="array" ref="BD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TEXT(BA$6, "mm/yyyy")) * (INDEX('6. TIẾN ĐỘ MUA HÀNG'!$A$5:$AT$1161, 0, XMATCH("*CL NGÀY QUY ĐỊNH - NGÀY NHẬN HÀNG*", '6. TIẾN ĐỘ MUA HÀNG'!$A$4:$AT$4, 2)) &gt; 0))</f>
        <v>0</v>
      </c>
      <c r="BE13" s="731">
        <f t="shared" si="24"/>
        <v>0</v>
      </c>
      <c r="BF13" s="732">
        <f t="array" ref="BF13">SUMPRODUCT((INDEX('6. TIẾN ĐỘ MUA HÀNG'!$A$5:$AT$16, 0, MATCH("NSPT", '6. TIẾN ĐỘ MUA HÀNG'!$A$4:$AT$4, 0)) = $B13) * (TEXT(INDEX('6. TIẾN ĐỘ MUA HÀNG'!$A$5:$AT$16, 0, MATCH("Ngày quy định", '6. TIẾN ĐỘ MUA HÀNG'!$A$4:$AT$4, 0)), "mm/yyyy") = TEXT(BF$6, "mm/yyyy")) * (INDEX('6. TIẾN ĐỘ MUA HÀNG'!$A$5:$AT$16, 0, MATCH("Mã đơn Misa", '6. TIẾN ĐỘ MUA HÀNG'!$A$4:$AT$4, 0)) &lt;&gt; ""))</f>
        <v>0</v>
      </c>
      <c r="BG13" s="732">
        <f t="array" ref="BG13">SUMPRODUCT((INDEX('6. TIẾN ĐỘ MUA HÀNG'!$A:$AT, 0, XMATCH("NSPT", '6. TIẾN ĐỘ MUA HÀNG'!$A$4:$AT$4, 0)) = $B13) * (TEXT(INDEX('6. TIẾN ĐỘ MUA HÀNG'!$A:$AT, 0, MATCH("Ngày quy định", '6. TIẾN ĐỘ MUA HÀNG'!$A$4:$AT$4, 0)), "mm/yyyy") = TEXT(BF$6, "mm/yyyy")) * (INDEX('6. TIẾN ĐỘ MUA HÀNG'!$A:$AT, 0, XMATCH("*CL NGÀY QUY ĐỊNH - NGÀY NHẬN HÀNG*", '6. TIẾN ĐỘ MUA HÀNG'!$A$4:$AT$4, 2)) &lt; 0))</f>
        <v>0</v>
      </c>
      <c r="BH13" s="732">
        <f t="array" ref="BH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TEXT(BF$6, "mm/yyyy")) * (INDEX('6. TIẾN ĐỘ MUA HÀNG'!$A$5:$AT$1161, 0, XMATCH("*CL NGÀY QUY ĐỊNH - NGÀY NHẬN HÀNG*", '6. TIẾN ĐỘ MUA HÀNG'!$A$4:$AT$4, 2)) = 0))</f>
        <v>0</v>
      </c>
      <c r="BI13" s="732">
        <f t="array" ref="BI13">SUMPRODUCT( (INDEX('6. TIẾN ĐỘ MUA HÀNG'!$A$5:$AT$1161, 0, XMATCH("NSPT", '6. TIẾN ĐỘ MUA HÀNG'!$A$4:$AT$4, 0)) = $B13) * (ISNUMBER(INDEX('6. TIẾN ĐỘ MUA HÀNG'!$A$5:$AT$1161, 0, MATCH("Ngày quy định", '6. TIẾN ĐỘ MUA HÀNG'!$A$4:$AT$4, 0)))) *(TEXT(INDEX('6. TIẾN ĐỘ MUA HÀNG'!$A$5:$AT$1161, 0, MATCH("Ngày quy định", '6. TIẾN ĐỘ MUA HÀNG'!$A$4:$AT$4, 0)), "mm/yyyy") = TEXT(BF$6, "mm/yyyy")) * (INDEX('6. TIẾN ĐỘ MUA HÀNG'!$A$5:$AT$1161, 0, XMATCH("*CL NGÀY QUY ĐỊNH - NGÀY NHẬN HÀNG*", '6. TIẾN ĐỘ MUA HÀNG'!$A$4:$AT$4, 2)) &gt; 0))</f>
        <v>0</v>
      </c>
      <c r="BJ13" s="733">
        <f t="shared" si="25"/>
        <v>0</v>
      </c>
      <c r="BK13" s="726">
        <f t="shared" si="27"/>
        <v>0</v>
      </c>
      <c r="BL13" s="726">
        <f t="shared" si="28"/>
        <v>0</v>
      </c>
      <c r="BM13" s="727">
        <f t="shared" si="26"/>
        <v>0</v>
      </c>
    </row>
    <row r="14">
      <c r="A14" s="612">
        <v>6.0</v>
      </c>
      <c r="B14" s="729" t="str">
        <f>IFERROR(__xludf.DUMMYFUNCTION("""COMPUTED_VALUE"""),"Ms Dư")</f>
        <v>Ms Dư</v>
      </c>
      <c r="C14" s="730"/>
      <c r="D14" s="730"/>
      <c r="E14" s="730"/>
      <c r="F14" s="730"/>
      <c r="G14" s="731"/>
      <c r="H14" s="732"/>
      <c r="I14" s="732"/>
      <c r="J14" s="732"/>
      <c r="K14" s="732"/>
      <c r="L14" s="733"/>
      <c r="M14" s="730"/>
      <c r="N14" s="730"/>
      <c r="O14" s="730"/>
      <c r="P14" s="730"/>
      <c r="Q14" s="731"/>
      <c r="R14" s="732">
        <f t="array" ref="R14">SUMPRODUCT((INDEX('6. TIẾN ĐỘ MUA HÀNG'!$A$5:$AT$16, 0, MATCH("NSPT", '6. TIẾN ĐỘ MUA HÀNG'!$A$4:$AT$4, 0)) = $B14) * (TEXT(INDEX('6. TIẾN ĐỘ MUA HÀNG'!$A$5:$AT$16, 0, MATCH("Ngày quy định", '6. TIẾN ĐỘ MUA HÀNG'!$A$4:$AT$4, 0)), "mm/yyyy") = TEXT(R$6, "mm/yyyy")) * (INDEX('6. TIẾN ĐỘ MUA HÀNG'!$A$5:$AT$16, 0, MATCH("Mã đơn Misa", '6. TIẾN ĐỘ MUA HÀNG'!$A$4:$AT$4, 0)) &lt;&gt; ""))</f>
        <v>0</v>
      </c>
      <c r="S14" s="732">
        <f t="array" ref="S14">SUMPRODUCT((INDEX('6. TIẾN ĐỘ MUA HÀNG'!$A:$AT, 0, XMATCH("NSPT", '6. TIẾN ĐỘ MUA HÀNG'!$A$4:$AT$4, 0)) = $B14) * (TEXT(INDEX('6. TIẾN ĐỘ MUA HÀNG'!$A:$AT, 0, MATCH("Ngày quy định", '6. TIẾN ĐỘ MUA HÀNG'!$A$4:$AT$4, 0)), "mm/yyyy") = TEXT(R$6, "mm/yyyy")) * (INDEX('6. TIẾN ĐỘ MUA HÀNG'!$A:$AT, 0, XMATCH("*CL NGÀY QUY ĐỊNH - NGÀY NHẬN HÀNG*", '6. TIẾN ĐỘ MUA HÀNG'!$A$4:$AT$4, 2)) &lt; 0))</f>
        <v>0</v>
      </c>
      <c r="T14" s="732">
        <f t="array" ref="T14">SUMPRODUCT( (INDEX('6. TIẾN ĐỘ MUA HÀNG'!$A$5:$AT$1161, 0, XMATCH("NSPT", '6. TIẾN ĐỘ MUA HÀNG'!$A$4:$AT$4, 0)) = $B14) * (ISNUMBER(INDEX('6. TIẾN ĐỘ MUA HÀNG'!$A$5:$AT$1161, 0, MATCH("Ngày quy định", '6. TIẾN ĐỘ MUA HÀNG'!$A$4:$AT$4, 0)))) *(TEXT(INDEX('6. TIẾN ĐỘ MUA HÀNG'!$A$5:$AT$1161, 0, MATCH("Ngày quy định", '6. TIẾN ĐỘ MUA HÀNG'!$A$4:$AT$4, 0)), "mm/yyyy") = TEXT(R$6, "mm/yyyy")) * (INDEX('6. TIẾN ĐỘ MUA HÀNG'!$A$5:$AT$1161, 0, XMATCH("*CL NGÀY QUY ĐỊNH - NGÀY NHẬN HÀNG*", '6. TIẾN ĐỘ MUA HÀNG'!$A$4:$AT$4, 2)) = 0))</f>
        <v>0</v>
      </c>
      <c r="U14" s="732">
        <f t="array" ref="U14">SUMPRODUCT( (INDEX('6. TIẾN ĐỘ MUA HÀNG'!$A$5:$AT$1161, 0, XMATCH("NSPT", '6. TIẾN ĐỘ MUA HÀNG'!$A$4:$AT$4, 0)) = $B14) * (ISNUMBER(INDEX('6. TIẾN ĐỘ MUA HÀNG'!$A$5:$AT$1161, 0, MATCH("Ngày quy định", '6. TIẾN ĐỘ MUA HÀNG'!$A$4:$AT$4, 0)))) *(TEXT(INDEX('6. TIẾN ĐỘ MUA HÀNG'!$A$5:$AT$1161, 0, MATCH("Ngày quy định", '6. TIẾN ĐỘ MUA HÀNG'!$A$4:$AT$4, 0)), "mm/yyyy") = TEXT(R$6, "mm/yyyy")) * (INDEX('6. TIẾN ĐỘ MUA HÀNG'!$A$5:$AT$1161, 0, XMATCH("*CL NGÀY QUY ĐỊNH - NGÀY NHẬN HÀNG*", '6. TIẾN ĐỘ MUA HÀNG'!$A$4:$AT$4, 2)) &gt; 0))</f>
        <v>0</v>
      </c>
      <c r="V14" s="733">
        <f t="shared" si="17"/>
        <v>0</v>
      </c>
      <c r="W14" s="730">
        <f t="array" ref="W14">SUMPRODUCT((INDEX('6. TIẾN ĐỘ MUA HÀNG'!$A$5:$AT$16, 0, MATCH("NSPT", '6. TIẾN ĐỘ MUA HÀNG'!$A$4:$AT$4, 0)) = $B14) * (TEXT(INDEX('6. TIẾN ĐỘ MUA HÀNG'!$A$5:$AT$16, 0, MATCH("Ngày quy định", '6. TIẾN ĐỘ MUA HÀNG'!$A$4:$AT$4, 0)), "mm/yyyy") = TEXT(W$6, "mm/yyyy")) * (INDEX('6. TIẾN ĐỘ MUA HÀNG'!$A$5:$AT$16, 0, MATCH("Mã đơn Misa", '6. TIẾN ĐỘ MUA HÀNG'!$A$4:$AT$4, 0)) &lt;&gt; ""))</f>
        <v>0</v>
      </c>
      <c r="X14" s="730">
        <f t="array" ref="X14">SUMPRODUCT((INDEX('6. TIẾN ĐỘ MUA HÀNG'!$A:$AT, 0, XMATCH("NSPT", '6. TIẾN ĐỘ MUA HÀNG'!$A$4:$AT$4, 0)) = $B14) * (TEXT(INDEX('6. TIẾN ĐỘ MUA HÀNG'!$A:$AT, 0, MATCH("Ngày quy định", '6. TIẾN ĐỘ MUA HÀNG'!$A$4:$AT$4, 0)), "mm/yyyy") = TEXT(W$6, "mm/yyyy")) * (INDEX('6. TIẾN ĐỘ MUA HÀNG'!$A:$AT, 0, XMATCH("*CL NGÀY QUY ĐỊNH - NGÀY NHẬN HÀNG*", '6. TIẾN ĐỘ MUA HÀNG'!$A$4:$AT$4, 2)) &lt; 0))</f>
        <v>0</v>
      </c>
      <c r="Y14" s="730">
        <f t="array" ref="Y14">SUMPRODUCT( (INDEX('6. TIẾN ĐỘ MUA HÀNG'!$A$5:$AT$1161, 0, XMATCH("NSPT", '6. TIẾN ĐỘ MUA HÀNG'!$A$4:$AT$4, 0)) = $B14) * (ISNUMBER(INDEX('6. TIẾN ĐỘ MUA HÀNG'!$A$5:$AT$1161, 0, MATCH("Ngày quy định", '6. TIẾN ĐỘ MUA HÀNG'!$A$4:$AT$4, 0)))) *(TEXT(INDEX('6. TIẾN ĐỘ MUA HÀNG'!$A$5:$AT$1161, 0, MATCH("Ngày quy định", '6. TIẾN ĐỘ MUA HÀNG'!$A$4:$AT$4, 0)), "mm/yyyy") = TEXT(W$6, "mm/yyyy")) * (INDEX('6. TIẾN ĐỘ MUA HÀNG'!$A$5:$AT$1161, 0, XMATCH("*CL NGÀY QUY ĐỊNH - NGÀY NHẬN HÀNG*", '6. TIẾN ĐỘ MUA HÀNG'!$A$4:$AT$4, 2)) = 0))</f>
        <v>0</v>
      </c>
      <c r="Z14" s="730">
        <f t="array" ref="Z14">SUMPRODUCT( (INDEX('6. TIẾN ĐỘ MUA HÀNG'!$A$5:$AT$1161, 0, XMATCH("NSPT", '6. TIẾN ĐỘ MUA HÀNG'!$A$4:$AT$4, 0)) = $B14) * (ISNUMBER(INDEX('6. TIẾN ĐỘ MUA HÀNG'!$A$5:$AT$1161, 0, MATCH("Ngày quy định", '6. TIẾN ĐỘ MUA HÀNG'!$A$4:$AT$4, 0)))) *(TEXT(INDEX('6. TIẾN ĐỘ MUA HÀNG'!$A$5:$AT$1161, 0, MATCH("Ngày quy định", '6. TIẾN ĐỘ MUA HÀNG'!$A$4:$AT$4, 0)), "mm/yyyy") = TEXT(W$6, "mm/yyyy")) * (INDEX('6. TIẾN ĐỘ MUA HÀNG'!$A$5:$AT$1161, 0, XMATCH("*CL NGÀY QUY ĐỊNH - NGÀY NHẬN HÀNG*", '6. TIẾN ĐỘ MUA HÀNG'!$A$4:$AT$4, 2)) &gt; 0))</f>
        <v>0</v>
      </c>
      <c r="AA14" s="731">
        <f t="shared" si="18"/>
        <v>0</v>
      </c>
      <c r="AB14" s="732">
        <f t="array" ref="AB14">SUMPRODUCT((INDEX('6. TIẾN ĐỘ MUA HÀNG'!$A$5:$AT$16, 0, MATCH("NSPT", '6. TIẾN ĐỘ MUA HÀNG'!$A$4:$AT$4, 0)) = $B14) * (TEXT(INDEX('6. TIẾN ĐỘ MUA HÀNG'!$A$5:$AT$16, 0, MATCH("Ngày quy định", '6. TIẾN ĐỘ MUA HÀNG'!$A$4:$AT$4, 0)), "mm/yyyy") = TEXT(AB$6, "mm/yyyy")) * (INDEX('6. TIẾN ĐỘ MUA HÀNG'!$A$5:$AT$16, 0, MATCH("Mã đơn Misa", '6. TIẾN ĐỘ MUA HÀNG'!$A$4:$AT$4, 0)) &lt;&gt; ""))</f>
        <v>0</v>
      </c>
      <c r="AC14" s="732">
        <f t="array" ref="AC14">SUMPRODUCT((INDEX('6. TIẾN ĐỘ MUA HÀNG'!$A:$AT, 0, XMATCH("NSPT", '6. TIẾN ĐỘ MUA HÀNG'!$A$4:$AT$4, 0)) = $B14) * (TEXT(INDEX('6. TIẾN ĐỘ MUA HÀNG'!$A:$AT, 0, MATCH("Ngày quy định", '6. TIẾN ĐỘ MUA HÀNG'!$A$4:$AT$4, 0)), "mm/yyyy") = TEXT(AB$6, "mm/yyyy")) * (INDEX('6. TIẾN ĐỘ MUA HÀNG'!$A:$AT, 0, XMATCH("*CL NGÀY QUY ĐỊNH - NGÀY NHẬN HÀNG*", '6. TIẾN ĐỘ MUA HÀNG'!$A$4:$AT$4, 2)) &lt; 0))</f>
        <v>0</v>
      </c>
      <c r="AD14" s="732">
        <f t="array" ref="AD14">SUMPRODUCT( (INDEX('6. TIẾN ĐỘ MUA HÀNG'!$A$5:$AT$1161, 0, XMATCH("NSPT", '6. TIẾN ĐỘ MUA HÀNG'!$A$4:$AT$4, 0)) = $B14) * (ISNUMBER(INDEX('6. TIẾN ĐỘ MUA HÀNG'!$A$5:$AT$1161, 0, MATCH("Ngày quy định", '6. TIẾN ĐỘ MUA HÀNG'!$A$4:$AT$4, 0)))) *(TEXT(INDEX('6. TIẾN ĐỘ MUA HÀNG'!$A$5:$AT$1161, 0, MATCH("Ngày quy định", '6. TIẾN ĐỘ MUA HÀNG'!$A$4:$AT$4, 0)), "mm/yyyy") = TEXT(AB$6, "mm/yyyy")) * (INDEX('6. TIẾN ĐỘ MUA HÀNG'!$A$5:$AT$1161, 0, XMATCH("*CL NGÀY QUY ĐỊNH - NGÀY NHẬN HÀNG*", '6. TIẾN ĐỘ MUA HÀNG'!$A$4:$AT$4, 2)) = 0))</f>
        <v>0</v>
      </c>
      <c r="AE14" s="732">
        <f t="array" ref="AE14">SUMPRODUCT( (INDEX('6. TIẾN ĐỘ MUA HÀNG'!$A$5:$AT$1161, 0, XMATCH("NSPT", '6. TIẾN ĐỘ MUA HÀNG'!$A$4:$AT$4, 0)) = $B14) * (ISNUMBER(INDEX('6. TIẾN ĐỘ MUA HÀNG'!$A$5:$AT$1161, 0, MATCH("Ngày quy định", '6. TIẾN ĐỘ MUA HÀNG'!$A$4:$AT$4, 0)))) *(TEXT(INDEX('6. TIẾN ĐỘ MUA HÀNG'!$A$5:$AT$1161, 0, MATCH("Ngày quy định", '6. TIẾN ĐỘ MUA HÀNG'!$A$4:$AT$4, 0)), "mm/yyyy") = TEXT(AB$6, "mm/yyyy")) * (INDEX('6. TIẾN ĐỘ MUA HÀNG'!$A$5:$AT$1161, 0, XMATCH("*CL NGÀY QUY ĐỊNH - NGÀY NHẬN HÀNG*", '6. TIẾN ĐỘ MUA HÀNG'!$A$4:$AT$4, 2)) &gt; 0))</f>
        <v>0</v>
      </c>
      <c r="AF14" s="733">
        <f t="shared" si="19"/>
        <v>0</v>
      </c>
      <c r="AG14" s="730">
        <f t="array" ref="AG14">SUMPRODUCT((INDEX('6. TIẾN ĐỘ MUA HÀNG'!$A$5:$AT$16, 0, MATCH("NSPT", '6. TIẾN ĐỘ MUA HÀNG'!$A$4:$AT$4, 0)) = $B14) * (TEXT(INDEX('6. TIẾN ĐỘ MUA HÀNG'!$A$5:$AT$16, 0, MATCH("Ngày quy định", '6. TIẾN ĐỘ MUA HÀNG'!$A$4:$AT$4, 0)), "mm/yyyy") = TEXT(AG$6, "mm/yyyy")) * (INDEX('6. TIẾN ĐỘ MUA HÀNG'!$A$5:$AT$16, 0, MATCH("Mã đơn Misa", '6. TIẾN ĐỘ MUA HÀNG'!$A$4:$AT$4, 0)) &lt;&gt; ""))</f>
        <v>0</v>
      </c>
      <c r="AH14" s="730">
        <f t="array" ref="AH14">SUMPRODUCT((INDEX('6. TIẾN ĐỘ MUA HÀNG'!$A:$AT, 0, XMATCH("NSPT", '6. TIẾN ĐỘ MUA HÀNG'!$A$4:$AT$4, 0)) = $B14) * (TEXT(INDEX('6. TIẾN ĐỘ MUA HÀNG'!$A:$AT, 0, MATCH("Ngày quy định", '6. TIẾN ĐỘ MUA HÀNG'!$A$4:$AT$4, 0)), "mm/yyyy") = TEXT(AG$6, "mm/yyyy")) * (INDEX('6. TIẾN ĐỘ MUA HÀNG'!$A:$AT, 0, XMATCH("*CL NGÀY QUY ĐỊNH - NGÀY NHẬN HÀNG*", '6. TIẾN ĐỘ MUA HÀNG'!$A$4:$AT$4, 2)) &lt; 0))</f>
        <v>0</v>
      </c>
      <c r="AI14" s="730">
        <f t="array" ref="AI14">SUMPRODUCT( (INDEX('6. TIẾN ĐỘ MUA HÀNG'!$A$5:$AT$1161, 0, XMATCH("NSPT", '6. TIẾN ĐỘ MUA HÀNG'!$A$4:$AT$4, 0)) = $B14) * (ISNUMBER(INDEX('6. TIẾN ĐỘ MUA HÀNG'!$A$5:$AT$1161, 0, MATCH("Ngày quy định", '6. TIẾN ĐỘ MUA HÀNG'!$A$4:$AT$4, 0)))) *(TEXT(INDEX('6. TIẾN ĐỘ MUA HÀNG'!$A$5:$AT$1161, 0, MATCH("Ngày quy định", '6. TIẾN ĐỘ MUA HÀNG'!$A$4:$AT$4, 0)), "mm/yyyy") = TEXT(AG$6, "mm/yyyy")) * (INDEX('6. TIẾN ĐỘ MUA HÀNG'!$A$5:$AT$1161, 0, XMATCH("*CL NGÀY QUY ĐỊNH - NGÀY NHẬN HÀNG*", '6. TIẾN ĐỘ MUA HÀNG'!$A$4:$AT$4, 2)) = 0))</f>
        <v>0</v>
      </c>
      <c r="AJ14" s="730">
        <f t="array" ref="AJ14">SUMPRODUCT( (INDEX('6. TIẾN ĐỘ MUA HÀNG'!$A$5:$AT$1161, 0, XMATCH("NSPT", '6. TIẾN ĐỘ MUA HÀNG'!$A$4:$AT$4, 0)) = $B14) * (ISNUMBER(INDEX('6. TIẾN ĐỘ MUA HÀNG'!$A$5:$AT$1161, 0, MATCH("Ngày quy định", '6. TIẾN ĐỘ MUA HÀNG'!$A$4:$AT$4, 0)))) *(TEXT(INDEX('6. TIẾN ĐỘ MUA HÀNG'!$A$5:$AT$1161, 0, MATCH("Ngày quy định", '6. TIẾN ĐỘ MUA HÀNG'!$A$4:$AT$4, 0)), "mm/yyyy") = TEXT(AG$6, "mm/yyyy")) * (INDEX('6. TIẾN ĐỘ MUA HÀNG'!$A$5:$AT$1161, 0, XMATCH("*CL NGÀY QUY ĐỊNH - NGÀY NHẬN HÀNG*", '6. TIẾN ĐỘ MUA HÀNG'!$A$4:$AT$4, 2)) &gt; 0))</f>
        <v>0</v>
      </c>
      <c r="AK14" s="731">
        <f t="shared" si="20"/>
        <v>0</v>
      </c>
      <c r="AL14" s="732">
        <f t="array" ref="AL14">SUMPRODUCT((INDEX('6. TIẾN ĐỘ MUA HÀNG'!$A$5:$AT$16, 0, MATCH("NSPT", '6. TIẾN ĐỘ MUA HÀNG'!$A$4:$AT$4, 0)) = $B14) * (TEXT(INDEX('6. TIẾN ĐỘ MUA HÀNG'!$A$5:$AT$16, 0, MATCH("Ngày quy định", '6. TIẾN ĐỘ MUA HÀNG'!$A$4:$AT$4, 0)), "mm/yyyy") = TEXT(AL$6, "mm/yyyy")) * (INDEX('6. TIẾN ĐỘ MUA HÀNG'!$A$5:$AT$16, 0, MATCH("Mã đơn Misa", '6. TIẾN ĐỘ MUA HÀNG'!$A$4:$AT$4, 0)) &lt;&gt; ""))</f>
        <v>0</v>
      </c>
      <c r="AM14" s="732">
        <f t="array" ref="AM14">SUMPRODUCT((INDEX('6. TIẾN ĐỘ MUA HÀNG'!$A:$AT, 0, XMATCH("NSPT", '6. TIẾN ĐỘ MUA HÀNG'!$A$4:$AT$4, 0)) = $B14) * (TEXT(INDEX('6. TIẾN ĐỘ MUA HÀNG'!$A:$AT, 0, MATCH("Ngày quy định", '6. TIẾN ĐỘ MUA HÀNG'!$A$4:$AT$4, 0)), "mm/yyyy") = TEXT(AL$6, "mm/yyyy")) * (INDEX('6. TIẾN ĐỘ MUA HÀNG'!$A:$AT, 0, XMATCH("*CL NGÀY QUY ĐỊNH - NGÀY NHẬN HÀNG*", '6. TIẾN ĐỘ MUA HÀNG'!$A$4:$AT$4, 2)) &lt; 0))</f>
        <v>0</v>
      </c>
      <c r="AN14" s="732">
        <f t="array" ref="AN14">SUMPRODUCT( (INDEX('6. TIẾN ĐỘ MUA HÀNG'!$A$5:$AT$1161, 0, XMATCH("NSPT", '6. TIẾN ĐỘ MUA HÀNG'!$A$4:$AT$4, 0)) = $B14) * (ISNUMBER(INDEX('6. TIẾN ĐỘ MUA HÀNG'!$A$5:$AT$1161, 0, MATCH("Ngày quy định", '6. TIẾN ĐỘ MUA HÀNG'!$A$4:$AT$4, 0)))) *(TEXT(INDEX('6. TIẾN ĐỘ MUA HÀNG'!$A$5:$AT$1161, 0, MATCH("Ngày quy định", '6. TIẾN ĐỘ MUA HÀNG'!$A$4:$AT$4, 0)), "mm/yyyy") = TEXT(AL$6, "mm/yyyy")) * (INDEX('6. TIẾN ĐỘ MUA HÀNG'!$A$5:$AT$1161, 0, XMATCH("*CL NGÀY QUY ĐỊNH - NGÀY NHẬN HÀNG*", '6. TIẾN ĐỘ MUA HÀNG'!$A$4:$AT$4, 2)) = 0))</f>
        <v>0</v>
      </c>
      <c r="AO14" s="732">
        <f t="array" ref="AO14">SUMPRODUCT( (INDEX('6. TIẾN ĐỘ MUA HÀNG'!$A$5:$AT$1161, 0, XMATCH("NSPT", '6. TIẾN ĐỘ MUA HÀNG'!$A$4:$AT$4, 0)) = $B14) * (ISNUMBER(INDEX('6. TIẾN ĐỘ MUA HÀNG'!$A$5:$AT$1161, 0, MATCH("Ngày quy định", '6. TIẾN ĐỘ MUA HÀNG'!$A$4:$AT$4, 0)))) *(TEXT(INDEX('6. TIẾN ĐỘ MUA HÀNG'!$A$5:$AT$1161, 0, MATCH("Ngày quy định", '6. TIẾN ĐỘ MUA HÀNG'!$A$4:$AT$4, 0)), "mm/yyyy") = TEXT(AL$6, "mm/yyyy")) * (INDEX('6. TIẾN ĐỘ MUA HÀNG'!$A$5:$AT$1161, 0, XMATCH("*CL NGÀY QUY ĐỊNH - NGÀY NHẬN HÀNG*", '6. TIẾN ĐỘ MUA HÀNG'!$A$4:$AT$4, 2)) &gt; 0))</f>
        <v>0</v>
      </c>
      <c r="AP14" s="733">
        <f t="shared" si="21"/>
        <v>0</v>
      </c>
      <c r="AQ14" s="730">
        <f t="array" ref="AQ14">SUMPRODUCT((INDEX('6. TIẾN ĐỘ MUA HÀNG'!$A$5:$AT$16, 0, MATCH("NSPT", '6. TIẾN ĐỘ MUA HÀNG'!$A$4:$AT$4, 0)) = $B14) * (TEXT(INDEX('6. TIẾN ĐỘ MUA HÀNG'!$A$5:$AT$16, 0, MATCH("Ngày quy định", '6. TIẾN ĐỘ MUA HÀNG'!$A$4:$AT$4, 0)), "mm/yyyy") = TEXT(AQ$6, "mm/yyyy")) * (INDEX('6. TIẾN ĐỘ MUA HÀNG'!$A$5:$AT$16, 0, MATCH("Mã đơn Misa", '6. TIẾN ĐỘ MUA HÀNG'!$A$4:$AT$4, 0)) &lt;&gt; ""))</f>
        <v>0</v>
      </c>
      <c r="AR14" s="730">
        <f t="array" ref="AR14">SUMPRODUCT((INDEX('6. TIẾN ĐỘ MUA HÀNG'!$A:$AT, 0, XMATCH("NSPT", '6. TIẾN ĐỘ MUA HÀNG'!$A$4:$AT$4, 0)) = $B14) * (TEXT(INDEX('6. TIẾN ĐỘ MUA HÀNG'!$A:$AT, 0, MATCH("Ngày quy định", '6. TIẾN ĐỘ MUA HÀNG'!$A$4:$AT$4, 0)), "mm/yyyy") = TEXT(AQ$6, "mm/yyyy")) * (INDEX('6. TIẾN ĐỘ MUA HÀNG'!$A:$AT, 0, XMATCH("*CL NGÀY QUY ĐỊNH - NGÀY NHẬN HÀNG*", '6. TIẾN ĐỘ MUA HÀNG'!$A$4:$AT$4, 2)) &lt; 0))</f>
        <v>0</v>
      </c>
      <c r="AS14" s="730">
        <f t="array" ref="AS14">SUMPRODUCT( (INDEX('6. TIẾN ĐỘ MUA HÀNG'!$A$5:$AT$1161, 0, XMATCH("NSPT", '6. TIẾN ĐỘ MUA HÀNG'!$A$4:$AT$4, 0)) = $B14) * (ISNUMBER(INDEX('6. TIẾN ĐỘ MUA HÀNG'!$A$5:$AT$1161, 0, MATCH("Ngày quy định", '6. TIẾN ĐỘ MUA HÀNG'!$A$4:$AT$4, 0)))) *(TEXT(INDEX('6. TIẾN ĐỘ MUA HÀNG'!$A$5:$AT$1161, 0, MATCH("Ngày quy định", '6. TIẾN ĐỘ MUA HÀNG'!$A$4:$AT$4, 0)), "mm/yyyy") = TEXT(AQ$6, "mm/yyyy")) * (INDEX('6. TIẾN ĐỘ MUA HÀNG'!$A$5:$AT$1161, 0, XMATCH("*CL NGÀY QUY ĐỊNH - NGÀY NHẬN HÀNG*", '6. TIẾN ĐỘ MUA HÀNG'!$A$4:$AT$4, 2)) = 0))</f>
        <v>0</v>
      </c>
      <c r="AT14" s="730">
        <f t="array" ref="AT14">SUMPRODUCT( (INDEX('6. TIẾN ĐỘ MUA HÀNG'!$A$5:$AT$1161, 0, XMATCH("NSPT", '6. TIẾN ĐỘ MUA HÀNG'!$A$4:$AT$4, 0)) = $B14) * (ISNUMBER(INDEX('6. TIẾN ĐỘ MUA HÀNG'!$A$5:$AT$1161, 0, MATCH("Ngày quy định", '6. TIẾN ĐỘ MUA HÀNG'!$A$4:$AT$4, 0)))) *(TEXT(INDEX('6. TIẾN ĐỘ MUA HÀNG'!$A$5:$AT$1161, 0, MATCH("Ngày quy định", '6. TIẾN ĐỘ MUA HÀNG'!$A$4:$AT$4, 0)), "mm/yyyy") = TEXT(AQ$6, "mm/yyyy")) * (INDEX('6. TIẾN ĐỘ MUA HÀNG'!$A$5:$AT$1161, 0, XMATCH("*CL NGÀY QUY ĐỊNH - NGÀY NHẬN HÀNG*", '6. TIẾN ĐỘ MUA HÀNG'!$A$4:$AT$4, 2)) &gt; 0))</f>
        <v>0</v>
      </c>
      <c r="AU14" s="731">
        <f t="shared" si="22"/>
        <v>0</v>
      </c>
      <c r="AV14" s="732">
        <f t="array" ref="AV14">SUMPRODUCT((INDEX('6. TIẾN ĐỘ MUA HÀNG'!$A$5:$AT$16, 0, MATCH("NSPT", '6. TIẾN ĐỘ MUA HÀNG'!$A$4:$AT$4, 0)) = $B14) * (TEXT(INDEX('6. TIẾN ĐỘ MUA HÀNG'!$A$5:$AT$16, 0, MATCH("Ngày quy định", '6. TIẾN ĐỘ MUA HÀNG'!$A$4:$AT$4, 0)), "mm/yyyy") = TEXT(AV$6, "mm/yyyy")) * (INDEX('6. TIẾN ĐỘ MUA HÀNG'!$A$5:$AT$16, 0, MATCH("Mã đơn Misa", '6. TIẾN ĐỘ MUA HÀNG'!$A$4:$AT$4, 0)) &lt;&gt; ""))</f>
        <v>0</v>
      </c>
      <c r="AW14" s="732">
        <f t="array" ref="AW14">SUMPRODUCT((INDEX('6. TIẾN ĐỘ MUA HÀNG'!$A:$AT, 0, XMATCH("NSPT", '6. TIẾN ĐỘ MUA HÀNG'!$A$4:$AT$4, 0)) = $B14) * (TEXT(INDEX('6. TIẾN ĐỘ MUA HÀNG'!$A:$AT, 0, MATCH("Ngày quy định", '6. TIẾN ĐỘ MUA HÀNG'!$A$4:$AT$4, 0)), "mm/yyyy") = TEXT(AV$6, "mm/yyyy")) * (INDEX('6. TIẾN ĐỘ MUA HÀNG'!$A:$AT, 0, XMATCH("*CL NGÀY QUY ĐỊNH - NGÀY NHẬN HÀNG*", '6. TIẾN ĐỘ MUA HÀNG'!$A$4:$AT$4, 2)) &lt; 0))</f>
        <v>0</v>
      </c>
      <c r="AX14" s="732">
        <f t="array" ref="AX14">SUMPRODUCT( (INDEX('6. TIẾN ĐỘ MUA HÀNG'!$A$5:$AT$1161, 0, XMATCH("NSPT", '6. TIẾN ĐỘ MUA HÀNG'!$A$4:$AT$4, 0)) = $B14) * (ISNUMBER(INDEX('6. TIẾN ĐỘ MUA HÀNG'!$A$5:$AT$1161, 0, MATCH("Ngày quy định", '6. TIẾN ĐỘ MUA HÀNG'!$A$4:$AT$4, 0)))) *(TEXT(INDEX('6. TIẾN ĐỘ MUA HÀNG'!$A$5:$AT$1161, 0, MATCH("Ngày quy định", '6. TIẾN ĐỘ MUA HÀNG'!$A$4:$AT$4, 0)), "mm/yyyy") = TEXT(AV$6, "mm/yyyy")) * (INDEX('6. TIẾN ĐỘ MUA HÀNG'!$A$5:$AT$1161, 0, XMATCH("*CL NGÀY QUY ĐỊNH - NGÀY NHẬN HÀNG*", '6. TIẾN ĐỘ MUA HÀNG'!$A$4:$AT$4, 2)) = 0))</f>
        <v>0</v>
      </c>
      <c r="AY14" s="732">
        <f t="array" ref="AY14">SUMPRODUCT( (INDEX('6. TIẾN ĐỘ MUA HÀNG'!$A$5:$AT$1161, 0, XMATCH("NSPT", '6. TIẾN ĐỘ MUA HÀNG'!$A$4:$AT$4, 0)) = $B14) * (ISNUMBER(INDEX('6. TIẾN ĐỘ MUA HÀNG'!$A$5:$AT$1161, 0, MATCH("Ngày quy định", '6. TIẾN ĐỘ MUA HÀNG'!$A$4:$AT$4, 0)))) *(TEXT(INDEX('6. TIẾN ĐỘ MUA HÀNG'!$A$5:$AT$1161, 0, MATCH("Ngày quy định", '6. TIẾN ĐỘ MUA HÀNG'!$A$4:$AT$4, 0)), "mm/yyyy") = TEXT(AV$6, "mm/yyyy")) * (INDEX('6. TIẾN ĐỘ MUA HÀNG'!$A$5:$AT$1161, 0, XMATCH("*CL NGÀY QUY ĐỊNH - NGÀY NHẬN HÀNG*", '6. TIẾN ĐỘ MUA HÀNG'!$A$4:$AT$4, 2)) &gt; 0))</f>
        <v>0</v>
      </c>
      <c r="AZ14" s="733">
        <f t="shared" si="23"/>
        <v>0</v>
      </c>
      <c r="BA14" s="730">
        <f t="array" ref="BA14">SUMPRODUCT((INDEX('6. TIẾN ĐỘ MUA HÀNG'!$A$5:$AT$16, 0, MATCH("NSPT", '6. TIẾN ĐỘ MUA HÀNG'!$A$4:$AT$4, 0)) = $B14) * (TEXT(INDEX('6. TIẾN ĐỘ MUA HÀNG'!$A$5:$AT$16, 0, MATCH("Ngày quy định", '6. TIẾN ĐỘ MUA HÀNG'!$A$4:$AT$4, 0)), "mm/yyyy") = TEXT(BA$6, "mm/yyyy")) * (INDEX('6. TIẾN ĐỘ MUA HÀNG'!$A$5:$AT$16, 0, MATCH("Mã đơn Misa", '6. TIẾN ĐỘ MUA HÀNG'!$A$4:$AT$4, 0)) &lt;&gt; ""))</f>
        <v>0</v>
      </c>
      <c r="BB14" s="730">
        <f t="array" ref="BB14">SUMPRODUCT((INDEX('6. TIẾN ĐỘ MUA HÀNG'!$A:$AT, 0, XMATCH("NSPT", '6. TIẾN ĐỘ MUA HÀNG'!$A$4:$AT$4, 0)) = $B14) * (TEXT(INDEX('6. TIẾN ĐỘ MUA HÀNG'!$A:$AT, 0, MATCH("Ngày quy định", '6. TIẾN ĐỘ MUA HÀNG'!$A$4:$AT$4, 0)), "mm/yyyy") = TEXT(BA$6, "mm/yyyy")) * (INDEX('6. TIẾN ĐỘ MUA HÀNG'!$A:$AT, 0, XMATCH("*CL NGÀY QUY ĐỊNH - NGÀY NHẬN HÀNG*", '6. TIẾN ĐỘ MUA HÀNG'!$A$4:$AT$4, 2)) &lt; 0))</f>
        <v>0</v>
      </c>
      <c r="BC14" s="730">
        <f t="array" ref="BC14">SUMPRODUCT( (INDEX('6. TIẾN ĐỘ MUA HÀNG'!$A$5:$AT$1161, 0, XMATCH("NSPT", '6. TIẾN ĐỘ MUA HÀNG'!$A$4:$AT$4, 0)) = $B14) * (ISNUMBER(INDEX('6. TIẾN ĐỘ MUA HÀNG'!$A$5:$AT$1161, 0, MATCH("Ngày quy định", '6. TIẾN ĐỘ MUA HÀNG'!$A$4:$AT$4, 0)))) *(TEXT(INDEX('6. TIẾN ĐỘ MUA HÀNG'!$A$5:$AT$1161, 0, MATCH("Ngày quy định", '6. TIẾN ĐỘ MUA HÀNG'!$A$4:$AT$4, 0)), "mm/yyyy") = TEXT(BA$6, "mm/yyyy")) * (INDEX('6. TIẾN ĐỘ MUA HÀNG'!$A$5:$AT$1161, 0, XMATCH("*CL NGÀY QUY ĐỊNH - NGÀY NHẬN HÀNG*", '6. TIẾN ĐỘ MUA HÀNG'!$A$4:$AT$4, 2)) = 0))</f>
        <v>0</v>
      </c>
      <c r="BD14" s="730">
        <f t="array" ref="BD14">SUMPRODUCT( (INDEX('6. TIẾN ĐỘ MUA HÀNG'!$A$5:$AT$1161, 0, XMATCH("NSPT", '6. TIẾN ĐỘ MUA HÀNG'!$A$4:$AT$4, 0)) = $B14) * (ISNUMBER(INDEX('6. TIẾN ĐỘ MUA HÀNG'!$A$5:$AT$1161, 0, MATCH("Ngày quy định", '6. TIẾN ĐỘ MUA HÀNG'!$A$4:$AT$4, 0)))) *(TEXT(INDEX('6. TIẾN ĐỘ MUA HÀNG'!$A$5:$AT$1161, 0, MATCH("Ngày quy định", '6. TIẾN ĐỘ MUA HÀNG'!$A$4:$AT$4, 0)), "mm/yyyy") = TEXT(BA$6, "mm/yyyy")) * (INDEX('6. TIẾN ĐỘ MUA HÀNG'!$A$5:$AT$1161, 0, XMATCH("*CL NGÀY QUY ĐỊNH - NGÀY NHẬN HÀNG*", '6. TIẾN ĐỘ MUA HÀNG'!$A$4:$AT$4, 2)) &gt; 0))</f>
        <v>0</v>
      </c>
      <c r="BE14" s="731">
        <f t="shared" si="24"/>
        <v>0</v>
      </c>
      <c r="BF14" s="732">
        <f t="array" ref="BF14">SUMPRODUCT((INDEX('6. TIẾN ĐỘ MUA HÀNG'!$A$5:$AT$16, 0, MATCH("NSPT", '6. TIẾN ĐỘ MUA HÀNG'!$A$4:$AT$4, 0)) = $B14) * (TEXT(INDEX('6. TIẾN ĐỘ MUA HÀNG'!$A$5:$AT$16, 0, MATCH("Ngày quy định", '6. TIẾN ĐỘ MUA HÀNG'!$A$4:$AT$4, 0)), "mm/yyyy") = TEXT(BF$6, "mm/yyyy")) * (INDEX('6. TIẾN ĐỘ MUA HÀNG'!$A$5:$AT$16, 0, MATCH("Mã đơn Misa", '6. TIẾN ĐỘ MUA HÀNG'!$A$4:$AT$4, 0)) &lt;&gt; ""))</f>
        <v>0</v>
      </c>
      <c r="BG14" s="732">
        <f t="array" ref="BG14">SUMPRODUCT((INDEX('6. TIẾN ĐỘ MUA HÀNG'!$A:$AT, 0, XMATCH("NSPT", '6. TIẾN ĐỘ MUA HÀNG'!$A$4:$AT$4, 0)) = $B14) * (TEXT(INDEX('6. TIẾN ĐỘ MUA HÀNG'!$A:$AT, 0, MATCH("Ngày quy định", '6. TIẾN ĐỘ MUA HÀNG'!$A$4:$AT$4, 0)), "mm/yyyy") = TEXT(BF$6, "mm/yyyy")) * (INDEX('6. TIẾN ĐỘ MUA HÀNG'!$A:$AT, 0, XMATCH("*CL NGÀY QUY ĐỊNH - NGÀY NHẬN HÀNG*", '6. TIẾN ĐỘ MUA HÀNG'!$A$4:$AT$4, 2)) &lt; 0))</f>
        <v>0</v>
      </c>
      <c r="BH14" s="732">
        <f t="array" ref="BH14">SUMPRODUCT( (INDEX('6. TIẾN ĐỘ MUA HÀNG'!$A$5:$AT$1161, 0, XMATCH("NSPT", '6. TIẾN ĐỘ MUA HÀNG'!$A$4:$AT$4, 0)) = $B14) * (ISNUMBER(INDEX('6. TIẾN ĐỘ MUA HÀNG'!$A$5:$AT$1161, 0, MATCH("Ngày quy định", '6. TIẾN ĐỘ MUA HÀNG'!$A$4:$AT$4, 0)))) *(TEXT(INDEX('6. TIẾN ĐỘ MUA HÀNG'!$A$5:$AT$1161, 0, MATCH("Ngày quy định", '6. TIẾN ĐỘ MUA HÀNG'!$A$4:$AT$4, 0)), "mm/yyyy") = TEXT(BF$6, "mm/yyyy")) * (INDEX('6. TIẾN ĐỘ MUA HÀNG'!$A$5:$AT$1161, 0, XMATCH("*CL NGÀY QUY ĐỊNH - NGÀY NHẬN HÀNG*", '6. TIẾN ĐỘ MUA HÀNG'!$A$4:$AT$4, 2)) = 0))</f>
        <v>0</v>
      </c>
      <c r="BI14" s="732">
        <f t="array" ref="BI14">SUMPRODUCT( (INDEX('6. TIẾN ĐỘ MUA HÀNG'!$A$5:$AT$1161, 0, XMATCH("NSPT", '6. TIẾN ĐỘ MUA HÀNG'!$A$4:$AT$4, 0)) = $B14) * (ISNUMBER(INDEX('6. TIẾN ĐỘ MUA HÀNG'!$A$5:$AT$1161, 0, MATCH("Ngày quy định", '6. TIẾN ĐỘ MUA HÀNG'!$A$4:$AT$4, 0)))) *(TEXT(INDEX('6. TIẾN ĐỘ MUA HÀNG'!$A$5:$AT$1161, 0, MATCH("Ngày quy định", '6. TIẾN ĐỘ MUA HÀNG'!$A$4:$AT$4, 0)), "mm/yyyy") = TEXT(BF$6, "mm/yyyy")) * (INDEX('6. TIẾN ĐỘ MUA HÀNG'!$A$5:$AT$1161, 0, XMATCH("*CL NGÀY QUY ĐỊNH - NGÀY NHẬN HÀNG*", '6. TIẾN ĐỘ MUA HÀNG'!$A$4:$AT$4, 2)) &gt; 0))</f>
        <v>0</v>
      </c>
      <c r="BJ14" s="733">
        <f t="shared" si="25"/>
        <v>0</v>
      </c>
      <c r="BK14" s="726">
        <f t="shared" si="27"/>
        <v>0</v>
      </c>
      <c r="BL14" s="726">
        <f t="shared" si="28"/>
        <v>0</v>
      </c>
      <c r="BM14" s="727">
        <f t="shared" si="26"/>
        <v>0</v>
      </c>
    </row>
  </sheetData>
  <mergeCells count="19">
    <mergeCell ref="C6:G6"/>
    <mergeCell ref="H6:L6"/>
    <mergeCell ref="M6:Q6"/>
    <mergeCell ref="R6:V6"/>
    <mergeCell ref="W6:AA6"/>
    <mergeCell ref="AB6:AF6"/>
    <mergeCell ref="AG6:AK6"/>
    <mergeCell ref="AL6:AP6"/>
    <mergeCell ref="AQ6:AU6"/>
    <mergeCell ref="AV6:AZ6"/>
    <mergeCell ref="BA6:BE6"/>
    <mergeCell ref="BF6:BJ6"/>
    <mergeCell ref="C3:AV3"/>
    <mergeCell ref="A5:A8"/>
    <mergeCell ref="B5:B8"/>
    <mergeCell ref="C5:BJ5"/>
    <mergeCell ref="BK5:BK7"/>
    <mergeCell ref="BL5:BL7"/>
    <mergeCell ref="BM5:BM7"/>
  </mergeCells>
  <conditionalFormatting sqref="BM8:BM14">
    <cfRule type="expression" dxfId="15" priority="1">
      <formula>BM8&gt;=30%</formula>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6.13"/>
    <col customWidth="1" min="2" max="2" width="19.25"/>
    <col customWidth="1" min="8" max="8" width="16.0"/>
    <col customWidth="1" min="27" max="27" width="17.5"/>
    <col customWidth="1" min="28" max="28" width="15.88"/>
  </cols>
  <sheetData>
    <row r="1">
      <c r="A1" s="703"/>
      <c r="B1" s="704" t="s">
        <v>1433</v>
      </c>
      <c r="C1" s="703"/>
      <c r="D1" s="703"/>
      <c r="E1" s="703"/>
      <c r="F1" s="703"/>
      <c r="G1" s="703"/>
      <c r="H1" s="703"/>
      <c r="I1" s="703"/>
      <c r="J1" s="703"/>
      <c r="K1" s="703"/>
      <c r="L1" s="703"/>
      <c r="M1" s="703"/>
      <c r="N1" s="703"/>
      <c r="O1" s="703"/>
      <c r="P1" s="703"/>
      <c r="Q1" s="703"/>
      <c r="R1" s="703"/>
      <c r="S1" s="703"/>
      <c r="T1" s="703"/>
      <c r="U1" s="703"/>
      <c r="V1" s="703"/>
      <c r="W1" s="703"/>
      <c r="X1" s="703"/>
      <c r="Y1" s="703"/>
      <c r="Z1" s="703"/>
      <c r="AA1" s="703"/>
      <c r="AB1" s="703"/>
    </row>
    <row r="2">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row>
    <row r="3">
      <c r="A3" s="15"/>
      <c r="B3" s="15"/>
      <c r="C3" s="734" t="s">
        <v>1434</v>
      </c>
      <c r="V3" s="709"/>
      <c r="W3" s="709"/>
      <c r="X3" s="709"/>
      <c r="Y3" s="709"/>
      <c r="Z3" s="709"/>
      <c r="AA3" s="15"/>
      <c r="AB3" s="709"/>
    </row>
    <row r="4">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row>
    <row r="5" ht="24.0" customHeight="1">
      <c r="A5" s="712" t="s">
        <v>80</v>
      </c>
      <c r="B5" s="713" t="s">
        <v>1435</v>
      </c>
      <c r="C5" s="714" t="s">
        <v>1424</v>
      </c>
      <c r="D5" s="461"/>
      <c r="E5" s="461"/>
      <c r="F5" s="461"/>
      <c r="G5" s="461"/>
      <c r="H5" s="461"/>
      <c r="I5" s="461"/>
      <c r="J5" s="461"/>
      <c r="K5" s="461"/>
      <c r="L5" s="461"/>
      <c r="M5" s="461"/>
      <c r="N5" s="461"/>
      <c r="O5" s="461"/>
      <c r="P5" s="461"/>
      <c r="Q5" s="461"/>
      <c r="R5" s="461"/>
      <c r="S5" s="461"/>
      <c r="T5" s="461"/>
      <c r="U5" s="461"/>
      <c r="V5" s="461"/>
      <c r="W5" s="461"/>
      <c r="X5" s="461"/>
      <c r="Y5" s="461"/>
      <c r="Z5" s="461"/>
      <c r="AA5" s="713" t="s">
        <v>1425</v>
      </c>
      <c r="AB5" s="713" t="s">
        <v>1436</v>
      </c>
    </row>
    <row r="6">
      <c r="A6" s="26"/>
      <c r="B6" s="26"/>
      <c r="C6" s="735">
        <v>46023.0</v>
      </c>
      <c r="D6" s="426"/>
      <c r="E6" s="736">
        <v>46055.0</v>
      </c>
      <c r="F6" s="426"/>
      <c r="G6" s="737">
        <v>46084.0</v>
      </c>
      <c r="H6" s="426"/>
      <c r="I6" s="737">
        <v>46116.0</v>
      </c>
      <c r="J6" s="426"/>
      <c r="K6" s="737">
        <v>46147.0</v>
      </c>
      <c r="L6" s="426"/>
      <c r="M6" s="737">
        <v>46174.0</v>
      </c>
      <c r="N6" s="426"/>
      <c r="O6" s="737">
        <v>46205.0</v>
      </c>
      <c r="P6" s="426"/>
      <c r="Q6" s="737">
        <v>46237.0</v>
      </c>
      <c r="R6" s="426"/>
      <c r="S6" s="737">
        <v>46269.0</v>
      </c>
      <c r="T6" s="426"/>
      <c r="U6" s="737">
        <v>46300.0</v>
      </c>
      <c r="V6" s="426"/>
      <c r="W6" s="737">
        <v>46327.0</v>
      </c>
      <c r="X6" s="426"/>
      <c r="Y6" s="737">
        <v>46358.0</v>
      </c>
      <c r="Z6" s="426"/>
      <c r="AA6" s="26"/>
      <c r="AB6" s="26"/>
    </row>
    <row r="7">
      <c r="A7" s="26"/>
      <c r="B7" s="26"/>
      <c r="C7" s="720" t="s">
        <v>1437</v>
      </c>
      <c r="D7" s="720" t="s">
        <v>1438</v>
      </c>
      <c r="E7" s="738" t="s">
        <v>1437</v>
      </c>
      <c r="F7" s="738" t="s">
        <v>1438</v>
      </c>
      <c r="G7" s="720" t="s">
        <v>1437</v>
      </c>
      <c r="H7" s="720" t="s">
        <v>1438</v>
      </c>
      <c r="I7" s="738" t="s">
        <v>1437</v>
      </c>
      <c r="J7" s="738" t="s">
        <v>1438</v>
      </c>
      <c r="K7" s="720" t="s">
        <v>1437</v>
      </c>
      <c r="L7" s="720" t="s">
        <v>1438</v>
      </c>
      <c r="M7" s="738" t="s">
        <v>1437</v>
      </c>
      <c r="N7" s="738" t="s">
        <v>1438</v>
      </c>
      <c r="O7" s="720" t="s">
        <v>1437</v>
      </c>
      <c r="P7" s="720" t="s">
        <v>1438</v>
      </c>
      <c r="Q7" s="738" t="s">
        <v>1437</v>
      </c>
      <c r="R7" s="738" t="s">
        <v>1438</v>
      </c>
      <c r="S7" s="720" t="s">
        <v>1437</v>
      </c>
      <c r="T7" s="720" t="s">
        <v>1438</v>
      </c>
      <c r="U7" s="738" t="s">
        <v>1437</v>
      </c>
      <c r="V7" s="738" t="s">
        <v>1438</v>
      </c>
      <c r="W7" s="720" t="s">
        <v>1437</v>
      </c>
      <c r="X7" s="720" t="s">
        <v>1438</v>
      </c>
      <c r="Y7" s="738" t="s">
        <v>1437</v>
      </c>
      <c r="Z7" s="738" t="s">
        <v>1438</v>
      </c>
      <c r="AA7" s="23"/>
      <c r="AB7" s="23"/>
    </row>
    <row r="8">
      <c r="A8" s="23"/>
      <c r="B8" s="23"/>
      <c r="C8" s="739">
        <f t="shared" ref="C8:AB8" si="1">SUM(C9:C23)</f>
        <v>0</v>
      </c>
      <c r="D8" s="739">
        <f t="shared" si="1"/>
        <v>0</v>
      </c>
      <c r="E8" s="722">
        <f t="shared" si="1"/>
        <v>0</v>
      </c>
      <c r="F8" s="722">
        <f t="shared" si="1"/>
        <v>0</v>
      </c>
      <c r="G8" s="739">
        <f t="shared" si="1"/>
        <v>19</v>
      </c>
      <c r="H8" s="739">
        <f t="shared" si="1"/>
        <v>119307600</v>
      </c>
      <c r="I8" s="722">
        <f t="shared" si="1"/>
        <v>30</v>
      </c>
      <c r="J8" s="722">
        <f t="shared" si="1"/>
        <v>166922316</v>
      </c>
      <c r="K8" s="739">
        <f t="shared" si="1"/>
        <v>12</v>
      </c>
      <c r="L8" s="739">
        <f t="shared" si="1"/>
        <v>37559592</v>
      </c>
      <c r="M8" s="722">
        <f t="shared" si="1"/>
        <v>11</v>
      </c>
      <c r="N8" s="722">
        <f t="shared" si="1"/>
        <v>32247936</v>
      </c>
      <c r="O8" s="739">
        <f t="shared" si="1"/>
        <v>0</v>
      </c>
      <c r="P8" s="739">
        <f t="shared" si="1"/>
        <v>0</v>
      </c>
      <c r="Q8" s="722">
        <f t="shared" si="1"/>
        <v>0</v>
      </c>
      <c r="R8" s="722">
        <f t="shared" si="1"/>
        <v>0</v>
      </c>
      <c r="S8" s="739">
        <f t="shared" si="1"/>
        <v>0</v>
      </c>
      <c r="T8" s="739">
        <f t="shared" si="1"/>
        <v>0</v>
      </c>
      <c r="U8" s="722">
        <f t="shared" si="1"/>
        <v>0</v>
      </c>
      <c r="V8" s="722">
        <f t="shared" si="1"/>
        <v>0</v>
      </c>
      <c r="W8" s="739">
        <f t="shared" si="1"/>
        <v>0</v>
      </c>
      <c r="X8" s="739">
        <f t="shared" si="1"/>
        <v>0</v>
      </c>
      <c r="Y8" s="722">
        <f t="shared" si="1"/>
        <v>0</v>
      </c>
      <c r="Z8" s="722">
        <f t="shared" si="1"/>
        <v>0</v>
      </c>
      <c r="AA8" s="726">
        <f t="shared" si="1"/>
        <v>72</v>
      </c>
      <c r="AB8" s="726">
        <f t="shared" si="1"/>
        <v>356037444</v>
      </c>
    </row>
    <row r="9">
      <c r="A9" s="740">
        <f t="array" ref="A9:A81">IF(LEN(B9:B81), ROW(B9:B81) - ROW(B9) + 1, "")</f>
        <v>1</v>
      </c>
      <c r="B9" s="139" t="str">
        <f>IFERROR(__xludf.DUMMYFUNCTION("UNIQUE(QUERY('1. DATA CHUNG'!A4:AG81, ""SELECT I WHERE I IS NOT NULL"", 1))"),"Nhãn")</f>
        <v>Nhãn</v>
      </c>
      <c r="C9" s="741">
        <f t="array" ref="C9">SUMPRODUCT((INDEX('6. TIẾN ĐỘ MUA HÀNG'!$A:$AT, 0, XMATCH("Phân loại VTBB/NL", '6. TIẾN ĐỘ MUA HÀNG'!$A$4:$AT$4, 0)) = $B9) * (TRIM(INDEX('6. TIẾN ĐỘ MUA HÀNG'!$A:$AT, 0, XMATCH("Tháng", '6. TIẾN ĐỘ MUA HÀNG'!$A$4:$AT$4, 0))) = TRIM($C$6)) * (INDEX('6. TIẾN ĐỘ MUA HÀNG'!$A:$AT, 0, XMATCH("Phân loại VTBB/NL", '6. TIẾN ĐỘ MUA HÀNG'!$A$4:$AT$4, 0)) &lt;&gt; ""))</f>
        <v>0</v>
      </c>
      <c r="D9" s="742">
        <f t="array" ref="D9">SUMPRODUCT(IFERROR(INDEX('6. TIẾN ĐỘ MUA HÀNG'!$A$5:$AT81, 0, XMATCH("Thành tiền đơn hàng", '6. TIẾN ĐỘ MUA HÀNG'!$A$4:$AT$4, 0)), 0) * (INDEX('6. TIẾN ĐỘ MUA HÀNG'!$A$5:$AT81, 0, XMATCH("Phân loại VTBB/NL", '6. TIẾN ĐỘ MUA HÀNG'!$A$4:$AT$4, 0)) = $B9) * (TRIM(INDEX('6. TIẾN ĐỘ MUA HÀNG'!$A$5:$AT81, 0, XMATCH("Tháng", '6. TIẾN ĐỘ MUA HÀNG'!$A$4:$AT$4, 0))) = TRIM(C$6)))</f>
        <v>0</v>
      </c>
      <c r="E9" s="743">
        <f t="array" ref="E9">SUMPRODUCT((INDEX('6. TIẾN ĐỘ MUA HÀNG'!$A:$AT, 0, XMATCH("Phân loại VTBB/NL", '6. TIẾN ĐỘ MUA HÀNG'!$A$4:$AT$4, 0)) = $B9) * (TRIM(INDEX('6. TIẾN ĐỘ MUA HÀNG'!$A:$AT, 0, XMATCH("Tháng", '6. TIẾN ĐỘ MUA HÀNG'!$A$4:$AT$4, 0))) = TRIM(E$6)) * (INDEX('6. TIẾN ĐỘ MUA HÀNG'!$A:$AT, 0, XMATCH("Phân loại VTBB/NL", '6. TIẾN ĐỘ MUA HÀNG'!$A$4:$AT$4, 0)) &lt;&gt; ""))</f>
        <v>0</v>
      </c>
      <c r="F9" s="744">
        <f t="array" ref="F9">SUMPRODUCT(IFERROR(INDEX('6. TIẾN ĐỘ MUA HÀNG'!$A$5:$AT81, 0, XMATCH("Thành tiền đơn hàng", '6. TIẾN ĐỘ MUA HÀNG'!$A$4:$AT$4, 0)), 0) * (INDEX('6. TIẾN ĐỘ MUA HÀNG'!$A$5:$AT81, 0, XMATCH("Phân loại VTBB/NL", '6. TIẾN ĐỘ MUA HÀNG'!$A$4:$AT$4, 0)) = $B9) * (TRIM(INDEX('6. TIẾN ĐỘ MUA HÀNG'!$A$5:$AT81, 0, XMATCH("Tháng", '6. TIẾN ĐỘ MUA HÀNG'!$A$4:$AT$4, 0))) = TRIM(E$6)))</f>
        <v>0</v>
      </c>
      <c r="G9" s="741">
        <f t="array" ref="G9">SUMPRODUCT((INDEX('6. TIẾN ĐỘ MUA HÀNG'!$A:$AT, 0, XMATCH("Phân loại VTBB/NL", '6. TIẾN ĐỘ MUA HÀNG'!$A$4:$AT$4, 0)) = $B9) * (TRIM(INDEX('6. TIẾN ĐỘ MUA HÀNG'!$A:$AT, 0, XMATCH("Tháng", '6. TIẾN ĐỘ MUA HÀNG'!$A$4:$AT$4, 0))) = TRIM($G$6)) * (INDEX('6. TIẾN ĐỘ MUA HÀNG'!$A:$AT, 0, XMATCH("Phân loại VTBB/NL", '6. TIẾN ĐỘ MUA HÀNG'!$A$4:$AT$4, 0)) &lt;&gt; ""))</f>
        <v>0</v>
      </c>
      <c r="H9" s="742">
        <f t="array" ref="H9">SUMPRODUCT(IFERROR(INDEX('6. TIẾN ĐỘ MUA HÀNG'!$A$5:$AT81, 0, XMATCH("Thành tiền đơn hàng", '6. TIẾN ĐỘ MUA HÀNG'!$A$4:$AT$4, 0)), 0) * (INDEX('6. TIẾN ĐỘ MUA HÀNG'!$A$5:$AT81, 0, XMATCH("Phân loại VTBB/NL", '6. TIẾN ĐỘ MUA HÀNG'!$A$4:$AT$4, 0)) = $B9) * (TRIM(INDEX('6. TIẾN ĐỘ MUA HÀNG'!$A$5:$AT81, 0, XMATCH("Tháng", '6. TIẾN ĐỘ MUA HÀNG'!$A$4:$AT$4, 0))) = TRIM(G$6)))</f>
        <v>0</v>
      </c>
      <c r="I9" s="743">
        <f t="array" ref="I9">SUMPRODUCT((INDEX('6. TIẾN ĐỘ MUA HÀNG'!$A:$AT, 0, XMATCH("Phân loại VTBB/NL", '6. TIẾN ĐỘ MUA HÀNG'!$A$4:$AT$4, 0)) = $B9) * (TRIM(INDEX('6. TIẾN ĐỘ MUA HÀNG'!$A:$AT, 0, XMATCH("Tháng", '6. TIẾN ĐỘ MUA HÀNG'!$A$4:$AT$4, 0))) = TRIM(I$6)) * (INDEX('6. TIẾN ĐỘ MUA HÀNG'!$A:$AT, 0, XMATCH("Phân loại VTBB/NL", '6. TIẾN ĐỘ MUA HÀNG'!$A$4:$AT$4, 0)) &lt;&gt; ""))</f>
        <v>0</v>
      </c>
      <c r="J9" s="744">
        <f t="array" ref="J9">SUMPRODUCT(IFERROR(INDEX('6. TIẾN ĐỘ MUA HÀNG'!$A$5:$AT81, 0, XMATCH("Thành tiền đơn hàng", '6. TIẾN ĐỘ MUA HÀNG'!$A$4:$AT$4, 0)), 0) * (INDEX('6. TIẾN ĐỘ MUA HÀNG'!$A$5:$AT81, 0, XMATCH("Phân loại VTBB/NL", '6. TIẾN ĐỘ MUA HÀNG'!$A$4:$AT$4, 0)) = $B9) * (TRIM(INDEX('6. TIẾN ĐỘ MUA HÀNG'!$A$5:$AT81, 0, XMATCH("Tháng", '6. TIẾN ĐỘ MUA HÀNG'!$A$4:$AT$4, 0))) = TRIM(I$6)))</f>
        <v>0</v>
      </c>
      <c r="K9" s="741">
        <f t="array" ref="K9">SUMPRODUCT((INDEX('6. TIẾN ĐỘ MUA HÀNG'!$A:$AT, 0, XMATCH("Phân loại VTBB/NL", '6. TIẾN ĐỘ MUA HÀNG'!$A$4:$AT$4, 0)) = $B9) * (TRIM(INDEX('6. TIẾN ĐỘ MUA HÀNG'!$A:$AT, 0, XMATCH("Tháng", '6. TIẾN ĐỘ MUA HÀNG'!$A$4:$AT$4, 0))) = TRIM($K$6)) * (INDEX('6. TIẾN ĐỘ MUA HÀNG'!$A:$AT, 0, XMATCH("Phân loại VTBB/NL", '6. TIẾN ĐỘ MUA HÀNG'!$A$4:$AT$4, 0)) &lt;&gt; ""))</f>
        <v>0</v>
      </c>
      <c r="L9" s="742">
        <f t="array" ref="L9">SUMPRODUCT(IFERROR(INDEX('6. TIẾN ĐỘ MUA HÀNG'!$A$5:$AT81, 0, XMATCH("Thành tiền đơn hàng", '6. TIẾN ĐỘ MUA HÀNG'!$A$4:$AT$4, 0)), 0) * (INDEX('6. TIẾN ĐỘ MUA HÀNG'!$A$5:$AT81, 0, XMATCH("Phân loại VTBB/NL", '6. TIẾN ĐỘ MUA HÀNG'!$A$4:$AT$4, 0)) = $B9) * (TRIM(INDEX('6. TIẾN ĐỘ MUA HÀNG'!$A$5:$AT81, 0, XMATCH("Tháng", '6. TIẾN ĐỘ MUA HÀNG'!$A$4:$AT$4, 0))) = TRIM(K$6)))</f>
        <v>0</v>
      </c>
      <c r="M9" s="743">
        <f t="array" ref="M9">SUMPRODUCT((INDEX('6. TIẾN ĐỘ MUA HÀNG'!$A:$AT, 0, XMATCH("Phân loại VTBB/NL", '6. TIẾN ĐỘ MUA HÀNG'!$A$4:$AT$4, 0)) = $B9) * (TRIM(INDEX('6. TIẾN ĐỘ MUA HÀNG'!$A:$AT, 0, XMATCH("Tháng", '6. TIẾN ĐỘ MUA HÀNG'!$A$4:$AT$4, 0))) = TRIM(M$6)) * (INDEX('6. TIẾN ĐỘ MUA HÀNG'!$A:$AT, 0, XMATCH("Phân loại VTBB/NL", '6. TIẾN ĐỘ MUA HÀNG'!$A$4:$AT$4, 0)) &lt;&gt; ""))</f>
        <v>0</v>
      </c>
      <c r="N9" s="744">
        <f t="array" ref="N9">SUMPRODUCT(IFERROR(INDEX('6. TIẾN ĐỘ MUA HÀNG'!$A$5:$AT81, 0, XMATCH("Thành tiền đơn hàng", '6. TIẾN ĐỘ MUA HÀNG'!$A$4:$AT$4, 0)), 0) * (INDEX('6. TIẾN ĐỘ MUA HÀNG'!$A$5:$AT81, 0, XMATCH("Phân loại VTBB/NL", '6. TIẾN ĐỘ MUA HÀNG'!$A$4:$AT$4, 0)) = $B9) * (TRIM(INDEX('6. TIẾN ĐỘ MUA HÀNG'!$A$5:$AT81, 0, XMATCH("Tháng", '6. TIẾN ĐỘ MUA HÀNG'!$A$4:$AT$4, 0))) = TRIM(M$6)))</f>
        <v>0</v>
      </c>
      <c r="O9" s="741">
        <f t="array" ref="O9">SUMPRODUCT((INDEX('6. TIẾN ĐỘ MUA HÀNG'!$A:$AT, 0, XMATCH("Phân loại VTBB/NL", '6. TIẾN ĐỘ MUA HÀNG'!$A$4:$AT$4, 0)) = $B9) * (TRIM(INDEX('6. TIẾN ĐỘ MUA HÀNG'!$A:$AT, 0, XMATCH("Tháng", '6. TIẾN ĐỘ MUA HÀNG'!$A$4:$AT$4, 0))) = TRIM($O$6)) * (INDEX('6. TIẾN ĐỘ MUA HÀNG'!$A:$AT, 0, XMATCH("Phân loại VTBB/NL", '6. TIẾN ĐỘ MUA HÀNG'!$A$4:$AT$4, 0)) &lt;&gt; ""))</f>
        <v>0</v>
      </c>
      <c r="P9" s="742">
        <f t="array" ref="P9">SUMPRODUCT(IFERROR(INDEX('6. TIẾN ĐỘ MUA HÀNG'!$A$5:$AT81, 0, XMATCH("Thành tiền đơn hàng", '6. TIẾN ĐỘ MUA HÀNG'!$A$4:$AT$4, 0)), 0) * (INDEX('6. TIẾN ĐỘ MUA HÀNG'!$A$5:$AT81, 0, XMATCH("Phân loại VTBB/NL", '6. TIẾN ĐỘ MUA HÀNG'!$A$4:$AT$4, 0)) = $B9) * (TRIM(INDEX('6. TIẾN ĐỘ MUA HÀNG'!$A$5:$AT81, 0, XMATCH("Tháng", '6. TIẾN ĐỘ MUA HÀNG'!$A$4:$AT$4, 0))) = TRIM(O$6)))</f>
        <v>0</v>
      </c>
      <c r="Q9" s="743">
        <f t="array" ref="Q9">SUMPRODUCT((INDEX('6. TIẾN ĐỘ MUA HÀNG'!$A:$AT, 0, XMATCH("Phân loại VTBB/NL", '6. TIẾN ĐỘ MUA HÀNG'!$A$4:$AT$4, 0)) = $B9) * (TRIM(INDEX('6. TIẾN ĐỘ MUA HÀNG'!$A:$AT, 0, XMATCH("Tháng", '6. TIẾN ĐỘ MUA HÀNG'!$A$4:$AT$4, 0))) = TRIM(Q$6)) * (INDEX('6. TIẾN ĐỘ MUA HÀNG'!$A:$AT, 0, XMATCH("Phân loại VTBB/NL", '6. TIẾN ĐỘ MUA HÀNG'!$A$4:$AT$4, 0)) &lt;&gt; ""))</f>
        <v>0</v>
      </c>
      <c r="R9" s="744">
        <f t="array" ref="R9">SUMPRODUCT(IFERROR(INDEX('6. TIẾN ĐỘ MUA HÀNG'!$A$5:$AT81, 0, XMATCH("Thành tiền đơn hàng", '6. TIẾN ĐỘ MUA HÀNG'!$A$4:$AT$4, 0)), 0) * (INDEX('6. TIẾN ĐỘ MUA HÀNG'!$A$5:$AT81, 0, XMATCH("Phân loại VTBB/NL", '6. TIẾN ĐỘ MUA HÀNG'!$A$4:$AT$4, 0)) = $B9) * (TRIM(INDEX('6. TIẾN ĐỘ MUA HÀNG'!$A$5:$AT81, 0, XMATCH("Tháng", '6. TIẾN ĐỘ MUA HÀNG'!$A$4:$AT$4, 0))) = TRIM(Q$6)))</f>
        <v>0</v>
      </c>
      <c r="S9" s="741">
        <f t="array" ref="S9">SUMPRODUCT((INDEX('6. TIẾN ĐỘ MUA HÀNG'!$A:$AT, 0, XMATCH("Phân loại VTBB/NL", '6. TIẾN ĐỘ MUA HÀNG'!$A$4:$AT$4, 0)) = $B9) * (TRIM(INDEX('6. TIẾN ĐỘ MUA HÀNG'!$A:$AT, 0, XMATCH("Tháng", '6. TIẾN ĐỘ MUA HÀNG'!$A$4:$AT$4, 0))) = TRIM($S$6)) * (INDEX('6. TIẾN ĐỘ MUA HÀNG'!$A:$AT, 0, XMATCH("Phân loại VTBB/NL", '6. TIẾN ĐỘ MUA HÀNG'!$A$4:$AT$4, 0)) &lt;&gt; ""))</f>
        <v>0</v>
      </c>
      <c r="T9" s="742">
        <f t="array" ref="T9">SUMPRODUCT(IFERROR(INDEX('6. TIẾN ĐỘ MUA HÀNG'!$A$5:$AT81, 0, XMATCH("Thành tiền đơn hàng", '6. TIẾN ĐỘ MUA HÀNG'!$A$4:$AT$4, 0)), 0) * (INDEX('6. TIẾN ĐỘ MUA HÀNG'!$A$5:$AT81, 0, XMATCH("Phân loại VTBB/NL", '6. TIẾN ĐỘ MUA HÀNG'!$A$4:$AT$4, 0)) = $B9) * (TRIM(INDEX('6. TIẾN ĐỘ MUA HÀNG'!$A$5:$AT81, 0, XMATCH("Tháng", '6. TIẾN ĐỘ MUA HÀNG'!$A$4:$AT$4, 0))) = TRIM(S$6)))</f>
        <v>0</v>
      </c>
      <c r="U9" s="743">
        <f t="array" ref="U9">SUMPRODUCT((INDEX('6. TIẾN ĐỘ MUA HÀNG'!$A:$AT, 0, XMATCH("Phân loại VTBB/NL", '6. TIẾN ĐỘ MUA HÀNG'!$A$4:$AT$4, 0)) = $B9) * (TRIM(INDEX('6. TIẾN ĐỘ MUA HÀNG'!$A:$AT, 0, XMATCH("Tháng", '6. TIẾN ĐỘ MUA HÀNG'!$A$4:$AT$4, 0))) = TRIM(U$6)) * (INDEX('6. TIẾN ĐỘ MUA HÀNG'!$A:$AT, 0, XMATCH("Phân loại VTBB/NL", '6. TIẾN ĐỘ MUA HÀNG'!$A$4:$AT$4, 0)) &lt;&gt; ""))</f>
        <v>0</v>
      </c>
      <c r="V9" s="744">
        <f t="array" ref="V9">SUMPRODUCT(IFERROR(INDEX('6. TIẾN ĐỘ MUA HÀNG'!$A$5:$AT81, 0, XMATCH("Thành tiền đơn hàng", '6. TIẾN ĐỘ MUA HÀNG'!$A$4:$AT$4, 0)), 0) * (INDEX('6. TIẾN ĐỘ MUA HÀNG'!$A$5:$AT81, 0, XMATCH("Phân loại VTBB/NL", '6. TIẾN ĐỘ MUA HÀNG'!$A$4:$AT$4, 0)) = $B9) * (TRIM(INDEX('6. TIẾN ĐỘ MUA HÀNG'!$A$5:$AT81, 0, XMATCH("Tháng", '6. TIẾN ĐỘ MUA HÀNG'!$A$4:$AT$4, 0))) = TRIM(U$6)))</f>
        <v>0</v>
      </c>
      <c r="W9" s="741">
        <f t="array" ref="W9">SUMPRODUCT((INDEX('6. TIẾN ĐỘ MUA HÀNG'!$A:$AT, 0, XMATCH("Phân loại VTBB/NL", '6. TIẾN ĐỘ MUA HÀNG'!$A$4:$AT$4, 0)) = $B9) * (TRIM(INDEX('6. TIẾN ĐỘ MUA HÀNG'!$A:$AT, 0, XMATCH("Tháng", '6. TIẾN ĐỘ MUA HÀNG'!$A$4:$AT$4, 0))) = TRIM($W$6)) * (INDEX('6. TIẾN ĐỘ MUA HÀNG'!$A:$AT, 0, XMATCH("Phân loại VTBB/NL", '6. TIẾN ĐỘ MUA HÀNG'!$A$4:$AT$4, 0)) &lt;&gt; ""))</f>
        <v>0</v>
      </c>
      <c r="X9" s="742">
        <f t="array" ref="X9">SUMPRODUCT(IFERROR(INDEX('6. TIẾN ĐỘ MUA HÀNG'!$A$5:$AT81, 0, XMATCH("Thành tiền đơn hàng", '6. TIẾN ĐỘ MUA HÀNG'!$A$4:$AT$4, 0)), 0) * (INDEX('6. TIẾN ĐỘ MUA HÀNG'!$A$5:$AT81, 0, XMATCH("Phân loại VTBB/NL", '6. TIẾN ĐỘ MUA HÀNG'!$A$4:$AT$4, 0)) = $B9) * (TRIM(INDEX('6. TIẾN ĐỘ MUA HÀNG'!$A$5:$AT81, 0, XMATCH("Tháng", '6. TIẾN ĐỘ MUA HÀNG'!$A$4:$AT$4, 0))) = TRIM(W$6)))</f>
        <v>0</v>
      </c>
      <c r="Y9" s="743">
        <f t="array" ref="Y9">SUMPRODUCT((INDEX('6. TIẾN ĐỘ MUA HÀNG'!$A:$AT, 0, XMATCH("Phân loại VTBB/NL", '6. TIẾN ĐỘ MUA HÀNG'!$A$4:$AT$4, 0)) = $B9) * (TRIM(INDEX('6. TIẾN ĐỘ MUA HÀNG'!$A:$AT, 0, XMATCH("Tháng", '6. TIẾN ĐỘ MUA HÀNG'!$A$4:$AT$4, 0))) = TRIM(Y$6)) * (INDEX('6. TIẾN ĐỘ MUA HÀNG'!$A:$AT, 0, XMATCH("Phân loại VTBB/NL", '6. TIẾN ĐỘ MUA HÀNG'!$A$4:$AT$4, 0)) &lt;&gt; ""))</f>
        <v>0</v>
      </c>
      <c r="Z9" s="744">
        <f t="array" ref="Z9">SUMPRODUCT(IFERROR(INDEX('6. TIẾN ĐỘ MUA HÀNG'!$A$5:$AT81, 0, XMATCH("Thành tiền đơn hàng", '6. TIẾN ĐỘ MUA HÀNG'!$A$4:$AT$4, 0)), 0) * (INDEX('6. TIẾN ĐỘ MUA HÀNG'!$A$5:$AT81, 0, XMATCH("Phân loại VTBB/NL", '6. TIẾN ĐỘ MUA HÀNG'!$A$4:$AT$4, 0)) = $B9) * (TRIM(INDEX('6. TIẾN ĐỘ MUA HÀNG'!$A$5:$AT81, 0, XMATCH("Tháng", '6. TIẾN ĐỘ MUA HÀNG'!$A$4:$AT$4, 0))) = TRIM(Y$6)))</f>
        <v>0</v>
      </c>
      <c r="AA9" s="726">
        <f t="shared" ref="AA9:AA81" si="2">SUMIFS(C9:Z9, $C$7:$Z$7, "Tổng số lần giao dịch")</f>
        <v>0</v>
      </c>
      <c r="AB9" s="726">
        <f t="shared" ref="AB9:AB81" si="3">SUMIFS(C9:Z9, $C$7:$Z$7, "Tổng chi phí mua")</f>
        <v>0</v>
      </c>
    </row>
    <row r="10">
      <c r="A10" s="612">
        <v>2.0</v>
      </c>
      <c r="B10" s="139" t="str">
        <f>IFERROR(__xludf.DUMMYFUNCTION("""COMPUTED_VALUE"""),"Nhãn Metalize")</f>
        <v>Nhãn Metalize</v>
      </c>
      <c r="C10" s="741">
        <f t="array" ref="C10">SUMPRODUCT((INDEX('6. TIẾN ĐỘ MUA HÀNG'!$A:$AT, 0, XMATCH("Phân loại VTBB/NL", '6. TIẾN ĐỘ MUA HÀNG'!$A$4:$AT$4, 0)) = $B10) * (TRIM(INDEX('6. TIẾN ĐỘ MUA HÀNG'!$A:$AT, 0, XMATCH("Tháng", '6. TIẾN ĐỘ MUA HÀNG'!$A$4:$AT$4, 0))) = TRIM($C$6)) * (INDEX('6. TIẾN ĐỘ MUA HÀNG'!$A:$AT, 0, XMATCH("Phân loại VTBB/NL", '6. TIẾN ĐỘ MUA HÀNG'!$A$4:$AT$4, 0)) &lt;&gt; ""))</f>
        <v>0</v>
      </c>
      <c r="D10" s="742">
        <f t="array" ref="D10">SUMPRODUCT(IFERROR(INDEX('6. TIẾN ĐỘ MUA HÀNG'!$A$5:$AT81, 0, XMATCH("Thành tiền đơn hàng", '6. TIẾN ĐỘ MUA HÀNG'!$A$4:$AT$4, 0)), 0) * (INDEX('6. TIẾN ĐỘ MUA HÀNG'!$A$5:$AT81, 0, XMATCH("Phân loại VTBB/NL", '6. TIẾN ĐỘ MUA HÀNG'!$A$4:$AT$4, 0)) = $B10) * (TRIM(INDEX('6. TIẾN ĐỘ MUA HÀNG'!$A$5:$AT81, 0, XMATCH("Tháng", '6. TIẾN ĐỘ MUA HÀNG'!$A$4:$AT$4, 0))) = TRIM(C$6)))</f>
        <v>0</v>
      </c>
      <c r="E10" s="743">
        <f t="array" ref="E10">SUMPRODUCT((INDEX('6. TIẾN ĐỘ MUA HÀNG'!$A:$AT, 0, XMATCH("Phân loại VTBB/NL", '6. TIẾN ĐỘ MUA HÀNG'!$A$4:$AT$4, 0)) = $B10) * (TRIM(INDEX('6. TIẾN ĐỘ MUA HÀNG'!$A:$AT, 0, XMATCH("Tháng", '6. TIẾN ĐỘ MUA HÀNG'!$A$4:$AT$4, 0))) = TRIM(E$6)) * (INDEX('6. TIẾN ĐỘ MUA HÀNG'!$A:$AT, 0, XMATCH("Phân loại VTBB/NL", '6. TIẾN ĐỘ MUA HÀNG'!$A$4:$AT$4, 0)) &lt;&gt; ""))</f>
        <v>0</v>
      </c>
      <c r="F10" s="744">
        <f t="array" ref="F10">SUMPRODUCT(IFERROR(INDEX('6. TIẾN ĐỘ MUA HÀNG'!$A$5:$AT81, 0, XMATCH("Thành tiền đơn hàng", '6. TIẾN ĐỘ MUA HÀNG'!$A$4:$AT$4, 0)), 0) * (INDEX('6. TIẾN ĐỘ MUA HÀNG'!$A$5:$AT81, 0, XMATCH("Phân loại VTBB/NL", '6. TIẾN ĐỘ MUA HÀNG'!$A$4:$AT$4, 0)) = $B10) * (TRIM(INDEX('6. TIẾN ĐỘ MUA HÀNG'!$A$5:$AT81, 0, XMATCH("Tháng", '6. TIẾN ĐỘ MUA HÀNG'!$A$4:$AT$4, 0))) = TRIM(E$6)))</f>
        <v>0</v>
      </c>
      <c r="G10" s="741">
        <f t="array" ref="G10">SUMPRODUCT((INDEX('6. TIẾN ĐỘ MUA HÀNG'!$A:$AT, 0, XMATCH("Phân loại VTBB/NL", '6. TIẾN ĐỘ MUA HÀNG'!$A$4:$AT$4, 0)) = $B10) * (TRIM(INDEX('6. TIẾN ĐỘ MUA HÀNG'!$A:$AT, 0, XMATCH("Tháng", '6. TIẾN ĐỘ MUA HÀNG'!$A$4:$AT$4, 0))) = TRIM($G$6)) * (INDEX('6. TIẾN ĐỘ MUA HÀNG'!$A:$AT, 0, XMATCH("Phân loại VTBB/NL", '6. TIẾN ĐỘ MUA HÀNG'!$A$4:$AT$4, 0)) &lt;&gt; ""))</f>
        <v>0</v>
      </c>
      <c r="H10" s="742">
        <f t="array" ref="H10">SUMPRODUCT(IFERROR(INDEX('6. TIẾN ĐỘ MUA HÀNG'!$A$5:$AT81, 0, XMATCH("Thành tiền đơn hàng", '6. TIẾN ĐỘ MUA HÀNG'!$A$4:$AT$4, 0)), 0) * (INDEX('6. TIẾN ĐỘ MUA HÀNG'!$A$5:$AT81, 0, XMATCH("Phân loại VTBB/NL", '6. TIẾN ĐỘ MUA HÀNG'!$A$4:$AT$4, 0)) = $B10) * (TRIM(INDEX('6. TIẾN ĐỘ MUA HÀNG'!$A$5:$AT81, 0, XMATCH("Tháng", '6. TIẾN ĐỘ MUA HÀNG'!$A$4:$AT$4, 0))) = TRIM(G$6)))</f>
        <v>0</v>
      </c>
      <c r="I10" s="743">
        <f t="array" ref="I10">SUMPRODUCT((INDEX('6. TIẾN ĐỘ MUA HÀNG'!$A:$AT, 0, XMATCH("Phân loại VTBB/NL", '6. TIẾN ĐỘ MUA HÀNG'!$A$4:$AT$4, 0)) = $B10) * (TRIM(INDEX('6. TIẾN ĐỘ MUA HÀNG'!$A:$AT, 0, XMATCH("Tháng", '6. TIẾN ĐỘ MUA HÀNG'!$A$4:$AT$4, 0))) = TRIM(I$6)) * (INDEX('6. TIẾN ĐỘ MUA HÀNG'!$A:$AT, 0, XMATCH("Phân loại VTBB/NL", '6. TIẾN ĐỘ MUA HÀNG'!$A$4:$AT$4, 0)) &lt;&gt; ""))</f>
        <v>0</v>
      </c>
      <c r="J10" s="744">
        <f t="array" ref="J10">SUMPRODUCT(IFERROR(INDEX('6. TIẾN ĐỘ MUA HÀNG'!$A$5:$AT81, 0, XMATCH("Thành tiền đơn hàng", '6. TIẾN ĐỘ MUA HÀNG'!$A$4:$AT$4, 0)), 0) * (INDEX('6. TIẾN ĐỘ MUA HÀNG'!$A$5:$AT81, 0, XMATCH("Phân loại VTBB/NL", '6. TIẾN ĐỘ MUA HÀNG'!$A$4:$AT$4, 0)) = $B10) * (TRIM(INDEX('6. TIẾN ĐỘ MUA HÀNG'!$A$5:$AT81, 0, XMATCH("Tháng", '6. TIẾN ĐỘ MUA HÀNG'!$A$4:$AT$4, 0))) = TRIM(I$6)))</f>
        <v>0</v>
      </c>
      <c r="K10" s="741">
        <f t="array" ref="K10">SUMPRODUCT((INDEX('6. TIẾN ĐỘ MUA HÀNG'!$A:$AT, 0, XMATCH("Phân loại VTBB/NL", '6. TIẾN ĐỘ MUA HÀNG'!$A$4:$AT$4, 0)) = $B10) * (TRIM(INDEX('6. TIẾN ĐỘ MUA HÀNG'!$A:$AT, 0, XMATCH("Tháng", '6. TIẾN ĐỘ MUA HÀNG'!$A$4:$AT$4, 0))) = TRIM($K$6)) * (INDEX('6. TIẾN ĐỘ MUA HÀNG'!$A:$AT, 0, XMATCH("Phân loại VTBB/NL", '6. TIẾN ĐỘ MUA HÀNG'!$A$4:$AT$4, 0)) &lt;&gt; ""))</f>
        <v>0</v>
      </c>
      <c r="L10" s="742">
        <f t="array" ref="L10">SUMPRODUCT(IFERROR(INDEX('6. TIẾN ĐỘ MUA HÀNG'!$A$5:$AT81, 0, XMATCH("Thành tiền đơn hàng", '6. TIẾN ĐỘ MUA HÀNG'!$A$4:$AT$4, 0)), 0) * (INDEX('6. TIẾN ĐỘ MUA HÀNG'!$A$5:$AT81, 0, XMATCH("Phân loại VTBB/NL", '6. TIẾN ĐỘ MUA HÀNG'!$A$4:$AT$4, 0)) = $B10) * (TRIM(INDEX('6. TIẾN ĐỘ MUA HÀNG'!$A$5:$AT81, 0, XMATCH("Tháng", '6. TIẾN ĐỘ MUA HÀNG'!$A$4:$AT$4, 0))) = TRIM(K$6)))</f>
        <v>0</v>
      </c>
      <c r="M10" s="743">
        <f t="array" ref="M10">SUMPRODUCT((INDEX('6. TIẾN ĐỘ MUA HÀNG'!$A:$AT, 0, XMATCH("Phân loại VTBB/NL", '6. TIẾN ĐỘ MUA HÀNG'!$A$4:$AT$4, 0)) = $B10) * (TRIM(INDEX('6. TIẾN ĐỘ MUA HÀNG'!$A:$AT, 0, XMATCH("Tháng", '6. TIẾN ĐỘ MUA HÀNG'!$A$4:$AT$4, 0))) = TRIM(M$6)) * (INDEX('6. TIẾN ĐỘ MUA HÀNG'!$A:$AT, 0, XMATCH("Phân loại VTBB/NL", '6. TIẾN ĐỘ MUA HÀNG'!$A$4:$AT$4, 0)) &lt;&gt; ""))</f>
        <v>0</v>
      </c>
      <c r="N10" s="744">
        <f t="array" ref="N10">SUMPRODUCT(IFERROR(INDEX('6. TIẾN ĐỘ MUA HÀNG'!$A$5:$AT81, 0, XMATCH("Thành tiền đơn hàng", '6. TIẾN ĐỘ MUA HÀNG'!$A$4:$AT$4, 0)), 0) * (INDEX('6. TIẾN ĐỘ MUA HÀNG'!$A$5:$AT81, 0, XMATCH("Phân loại VTBB/NL", '6. TIẾN ĐỘ MUA HÀNG'!$A$4:$AT$4, 0)) = $B10) * (TRIM(INDEX('6. TIẾN ĐỘ MUA HÀNG'!$A$5:$AT81, 0, XMATCH("Tháng", '6. TIẾN ĐỘ MUA HÀNG'!$A$4:$AT$4, 0))) = TRIM(M$6)))</f>
        <v>0</v>
      </c>
      <c r="O10" s="741">
        <f t="array" ref="O10">SUMPRODUCT((INDEX('6. TIẾN ĐỘ MUA HÀNG'!$A:$AT, 0, XMATCH("Phân loại VTBB/NL", '6. TIẾN ĐỘ MUA HÀNG'!$A$4:$AT$4, 0)) = $B10) * (TRIM(INDEX('6. TIẾN ĐỘ MUA HÀNG'!$A:$AT, 0, XMATCH("Tháng", '6. TIẾN ĐỘ MUA HÀNG'!$A$4:$AT$4, 0))) = TRIM($O$6)) * (INDEX('6. TIẾN ĐỘ MUA HÀNG'!$A:$AT, 0, XMATCH("Phân loại VTBB/NL", '6. TIẾN ĐỘ MUA HÀNG'!$A$4:$AT$4, 0)) &lt;&gt; ""))</f>
        <v>0</v>
      </c>
      <c r="P10" s="742">
        <f t="array" ref="P10">SUMPRODUCT(IFERROR(INDEX('6. TIẾN ĐỘ MUA HÀNG'!$A$5:$AT81, 0, XMATCH("Thành tiền đơn hàng", '6. TIẾN ĐỘ MUA HÀNG'!$A$4:$AT$4, 0)), 0) * (INDEX('6. TIẾN ĐỘ MUA HÀNG'!$A$5:$AT81, 0, XMATCH("Phân loại VTBB/NL", '6. TIẾN ĐỘ MUA HÀNG'!$A$4:$AT$4, 0)) = $B10) * (TRIM(INDEX('6. TIẾN ĐỘ MUA HÀNG'!$A$5:$AT81, 0, XMATCH("Tháng", '6. TIẾN ĐỘ MUA HÀNG'!$A$4:$AT$4, 0))) = TRIM(O$6)))</f>
        <v>0</v>
      </c>
      <c r="Q10" s="743">
        <f t="array" ref="Q10">SUMPRODUCT((INDEX('6. TIẾN ĐỘ MUA HÀNG'!$A:$AT, 0, XMATCH("Phân loại VTBB/NL", '6. TIẾN ĐỘ MUA HÀNG'!$A$4:$AT$4, 0)) = $B10) * (TRIM(INDEX('6. TIẾN ĐỘ MUA HÀNG'!$A:$AT, 0, XMATCH("Tháng", '6. TIẾN ĐỘ MUA HÀNG'!$A$4:$AT$4, 0))) = TRIM(Q$6)) * (INDEX('6. TIẾN ĐỘ MUA HÀNG'!$A:$AT, 0, XMATCH("Phân loại VTBB/NL", '6. TIẾN ĐỘ MUA HÀNG'!$A$4:$AT$4, 0)) &lt;&gt; ""))</f>
        <v>0</v>
      </c>
      <c r="R10" s="744">
        <f t="array" ref="R10">SUMPRODUCT(IFERROR(INDEX('6. TIẾN ĐỘ MUA HÀNG'!$A$5:$AT81, 0, XMATCH("Thành tiền đơn hàng", '6. TIẾN ĐỘ MUA HÀNG'!$A$4:$AT$4, 0)), 0) * (INDEX('6. TIẾN ĐỘ MUA HÀNG'!$A$5:$AT81, 0, XMATCH("Phân loại VTBB/NL", '6. TIẾN ĐỘ MUA HÀNG'!$A$4:$AT$4, 0)) = $B10) * (TRIM(INDEX('6. TIẾN ĐỘ MUA HÀNG'!$A$5:$AT81, 0, XMATCH("Tháng", '6. TIẾN ĐỘ MUA HÀNG'!$A$4:$AT$4, 0))) = TRIM(Q$6)))</f>
        <v>0</v>
      </c>
      <c r="S10" s="741">
        <f t="array" ref="S10">SUMPRODUCT((INDEX('6. TIẾN ĐỘ MUA HÀNG'!$A:$AT, 0, XMATCH("Phân loại VTBB/NL", '6. TIẾN ĐỘ MUA HÀNG'!$A$4:$AT$4, 0)) = $B10) * (TRIM(INDEX('6. TIẾN ĐỘ MUA HÀNG'!$A:$AT, 0, XMATCH("Tháng", '6. TIẾN ĐỘ MUA HÀNG'!$A$4:$AT$4, 0))) = TRIM($S$6)) * (INDEX('6. TIẾN ĐỘ MUA HÀNG'!$A:$AT, 0, XMATCH("Phân loại VTBB/NL", '6. TIẾN ĐỘ MUA HÀNG'!$A$4:$AT$4, 0)) &lt;&gt; ""))</f>
        <v>0</v>
      </c>
      <c r="T10" s="742">
        <f t="array" ref="T10">SUMPRODUCT(IFERROR(INDEX('6. TIẾN ĐỘ MUA HÀNG'!$A$5:$AT81, 0, XMATCH("Thành tiền đơn hàng", '6. TIẾN ĐỘ MUA HÀNG'!$A$4:$AT$4, 0)), 0) * (INDEX('6. TIẾN ĐỘ MUA HÀNG'!$A$5:$AT81, 0, XMATCH("Phân loại VTBB/NL", '6. TIẾN ĐỘ MUA HÀNG'!$A$4:$AT$4, 0)) = $B10) * (TRIM(INDEX('6. TIẾN ĐỘ MUA HÀNG'!$A$5:$AT81, 0, XMATCH("Tháng", '6. TIẾN ĐỘ MUA HÀNG'!$A$4:$AT$4, 0))) = TRIM(S$6)))</f>
        <v>0</v>
      </c>
      <c r="U10" s="743">
        <f t="array" ref="U10">SUMPRODUCT((INDEX('6. TIẾN ĐỘ MUA HÀNG'!$A:$AT, 0, XMATCH("Phân loại VTBB/NL", '6. TIẾN ĐỘ MUA HÀNG'!$A$4:$AT$4, 0)) = $B10) * (TRIM(INDEX('6. TIẾN ĐỘ MUA HÀNG'!$A:$AT, 0, XMATCH("Tháng", '6. TIẾN ĐỘ MUA HÀNG'!$A$4:$AT$4, 0))) = TRIM(U$6)) * (INDEX('6. TIẾN ĐỘ MUA HÀNG'!$A:$AT, 0, XMATCH("Phân loại VTBB/NL", '6. TIẾN ĐỘ MUA HÀNG'!$A$4:$AT$4, 0)) &lt;&gt; ""))</f>
        <v>0</v>
      </c>
      <c r="V10" s="744">
        <f t="array" ref="V10">SUMPRODUCT(IFERROR(INDEX('6. TIẾN ĐỘ MUA HÀNG'!$A$5:$AT81, 0, XMATCH("Thành tiền đơn hàng", '6. TIẾN ĐỘ MUA HÀNG'!$A$4:$AT$4, 0)), 0) * (INDEX('6. TIẾN ĐỘ MUA HÀNG'!$A$5:$AT81, 0, XMATCH("Phân loại VTBB/NL", '6. TIẾN ĐỘ MUA HÀNG'!$A$4:$AT$4, 0)) = $B10) * (TRIM(INDEX('6. TIẾN ĐỘ MUA HÀNG'!$A$5:$AT81, 0, XMATCH("Tháng", '6. TIẾN ĐỘ MUA HÀNG'!$A$4:$AT$4, 0))) = TRIM(U$6)))</f>
        <v>0</v>
      </c>
      <c r="W10" s="741">
        <f t="array" ref="W10">SUMPRODUCT((INDEX('6. TIẾN ĐỘ MUA HÀNG'!$A:$AT, 0, XMATCH("Phân loại VTBB/NL", '6. TIẾN ĐỘ MUA HÀNG'!$A$4:$AT$4, 0)) = $B10) * (TRIM(INDEX('6. TIẾN ĐỘ MUA HÀNG'!$A:$AT, 0, XMATCH("Tháng", '6. TIẾN ĐỘ MUA HÀNG'!$A$4:$AT$4, 0))) = TRIM($W$6)) * (INDEX('6. TIẾN ĐỘ MUA HÀNG'!$A:$AT, 0, XMATCH("Phân loại VTBB/NL", '6. TIẾN ĐỘ MUA HÀNG'!$A$4:$AT$4, 0)) &lt;&gt; ""))</f>
        <v>0</v>
      </c>
      <c r="X10" s="742">
        <f t="array" ref="X10">SUMPRODUCT(IFERROR(INDEX('6. TIẾN ĐỘ MUA HÀNG'!$A$5:$AT81, 0, XMATCH("Thành tiền đơn hàng", '6. TIẾN ĐỘ MUA HÀNG'!$A$4:$AT$4, 0)), 0) * (INDEX('6. TIẾN ĐỘ MUA HÀNG'!$A$5:$AT81, 0, XMATCH("Phân loại VTBB/NL", '6. TIẾN ĐỘ MUA HÀNG'!$A$4:$AT$4, 0)) = $B10) * (TRIM(INDEX('6. TIẾN ĐỘ MUA HÀNG'!$A$5:$AT81, 0, XMATCH("Tháng", '6. TIẾN ĐỘ MUA HÀNG'!$A$4:$AT$4, 0))) = TRIM(W$6)))</f>
        <v>0</v>
      </c>
      <c r="Y10" s="743">
        <f t="array" ref="Y10">SUMPRODUCT((INDEX('6. TIẾN ĐỘ MUA HÀNG'!$A:$AT, 0, XMATCH("Phân loại VTBB/NL", '6. TIẾN ĐỘ MUA HÀNG'!$A$4:$AT$4, 0)) = $B10) * (TRIM(INDEX('6. TIẾN ĐỘ MUA HÀNG'!$A:$AT, 0, XMATCH("Tháng", '6. TIẾN ĐỘ MUA HÀNG'!$A$4:$AT$4, 0))) = TRIM(Y$6)) * (INDEX('6. TIẾN ĐỘ MUA HÀNG'!$A:$AT, 0, XMATCH("Phân loại VTBB/NL", '6. TIẾN ĐỘ MUA HÀNG'!$A$4:$AT$4, 0)) &lt;&gt; ""))</f>
        <v>0</v>
      </c>
      <c r="Z10" s="744">
        <f t="array" ref="Z10">SUMPRODUCT(IFERROR(INDEX('6. TIẾN ĐỘ MUA HÀNG'!$A$5:$AT81, 0, XMATCH("Thành tiền đơn hàng", '6. TIẾN ĐỘ MUA HÀNG'!$A$4:$AT$4, 0)), 0) * (INDEX('6. TIẾN ĐỘ MUA HÀNG'!$A$5:$AT81, 0, XMATCH("Phân loại VTBB/NL", '6. TIẾN ĐỘ MUA HÀNG'!$A$4:$AT$4, 0)) = $B10) * (TRIM(INDEX('6. TIẾN ĐỘ MUA HÀNG'!$A$5:$AT81, 0, XMATCH("Tháng", '6. TIẾN ĐỘ MUA HÀNG'!$A$4:$AT$4, 0))) = TRIM(Y$6)))</f>
        <v>0</v>
      </c>
      <c r="AA10" s="726">
        <f t="shared" si="2"/>
        <v>0</v>
      </c>
      <c r="AB10" s="726">
        <f t="shared" si="3"/>
        <v>0</v>
      </c>
    </row>
    <row r="11">
      <c r="A11" s="612">
        <v>3.0</v>
      </c>
      <c r="B11" s="139" t="str">
        <f>IFERROR(__xludf.DUMMYFUNCTION("""COMPUTED_VALUE"""),"Nhãn Thùng")</f>
        <v>Nhãn Thùng</v>
      </c>
      <c r="C11" s="741">
        <f t="array" ref="C11">SUMPRODUCT((INDEX('6. TIẾN ĐỘ MUA HÀNG'!$A:$AT, 0, XMATCH("Phân loại VTBB/NL", '6. TIẾN ĐỘ MUA HÀNG'!$A$4:$AT$4, 0)) = $B11) * (TRIM(INDEX('6. TIẾN ĐỘ MUA HÀNG'!$A:$AT, 0, XMATCH("Tháng", '6. TIẾN ĐỘ MUA HÀNG'!$A$4:$AT$4, 0))) = TRIM($C$6)) * (INDEX('6. TIẾN ĐỘ MUA HÀNG'!$A:$AT, 0, XMATCH("Phân loại VTBB/NL", '6. TIẾN ĐỘ MUA HÀNG'!$A$4:$AT$4, 0)) &lt;&gt; ""))</f>
        <v>0</v>
      </c>
      <c r="D11" s="742">
        <f t="array" ref="D11">SUMPRODUCT(IFERROR(INDEX('6. TIẾN ĐỘ MUA HÀNG'!$A$5:$AT81, 0, XMATCH("Thành tiền đơn hàng", '6. TIẾN ĐỘ MUA HÀNG'!$A$4:$AT$4, 0)), 0) * (INDEX('6. TIẾN ĐỘ MUA HÀNG'!$A$5:$AT81, 0, XMATCH("Phân loại VTBB/NL", '6. TIẾN ĐỘ MUA HÀNG'!$A$4:$AT$4, 0)) = $B11) * (TRIM(INDEX('6. TIẾN ĐỘ MUA HÀNG'!$A$5:$AT81, 0, XMATCH("Tháng", '6. TIẾN ĐỘ MUA HÀNG'!$A$4:$AT$4, 0))) = TRIM(C$6)))</f>
        <v>0</v>
      </c>
      <c r="E11" s="743">
        <f t="array" ref="E11">SUMPRODUCT((INDEX('6. TIẾN ĐỘ MUA HÀNG'!$A:$AT, 0, XMATCH("Phân loại VTBB/NL", '6. TIẾN ĐỘ MUA HÀNG'!$A$4:$AT$4, 0)) = $B11) * (TRIM(INDEX('6. TIẾN ĐỘ MUA HÀNG'!$A:$AT, 0, XMATCH("Tháng", '6. TIẾN ĐỘ MUA HÀNG'!$A$4:$AT$4, 0))) = TRIM(E$6)) * (INDEX('6. TIẾN ĐỘ MUA HÀNG'!$A:$AT, 0, XMATCH("Phân loại VTBB/NL", '6. TIẾN ĐỘ MUA HÀNG'!$A$4:$AT$4, 0)) &lt;&gt; ""))</f>
        <v>0</v>
      </c>
      <c r="F11" s="744">
        <f t="array" ref="F11">SUMPRODUCT(IFERROR(INDEX('6. TIẾN ĐỘ MUA HÀNG'!$A$5:$AT81, 0, XMATCH("Thành tiền đơn hàng", '6. TIẾN ĐỘ MUA HÀNG'!$A$4:$AT$4, 0)), 0) * (INDEX('6. TIẾN ĐỘ MUA HÀNG'!$A$5:$AT81, 0, XMATCH("Phân loại VTBB/NL", '6. TIẾN ĐỘ MUA HÀNG'!$A$4:$AT$4, 0)) = $B11) * (TRIM(INDEX('6. TIẾN ĐỘ MUA HÀNG'!$A$5:$AT81, 0, XMATCH("Tháng", '6. TIẾN ĐỘ MUA HÀNG'!$A$4:$AT$4, 0))) = TRIM(E$6)))</f>
        <v>0</v>
      </c>
      <c r="G11" s="741">
        <f t="array" ref="G11">SUMPRODUCT((INDEX('6. TIẾN ĐỘ MUA HÀNG'!$A:$AT, 0, XMATCH("Phân loại VTBB/NL", '6. TIẾN ĐỘ MUA HÀNG'!$A$4:$AT$4, 0)) = $B11) * (TRIM(INDEX('6. TIẾN ĐỘ MUA HÀNG'!$A:$AT, 0, XMATCH("Tháng", '6. TIẾN ĐỘ MUA HÀNG'!$A$4:$AT$4, 0))) = TRIM($G$6)) * (INDEX('6. TIẾN ĐỘ MUA HÀNG'!$A:$AT, 0, XMATCH("Phân loại VTBB/NL", '6. TIẾN ĐỘ MUA HÀNG'!$A$4:$AT$4, 0)) &lt;&gt; ""))</f>
        <v>0</v>
      </c>
      <c r="H11" s="742">
        <f t="array" ref="H11">SUMPRODUCT(IFERROR(INDEX('6. TIẾN ĐỘ MUA HÀNG'!$A$5:$AT81, 0, XMATCH("Thành tiền đơn hàng", '6. TIẾN ĐỘ MUA HÀNG'!$A$4:$AT$4, 0)), 0) * (INDEX('6. TIẾN ĐỘ MUA HÀNG'!$A$5:$AT81, 0, XMATCH("Phân loại VTBB/NL", '6. TIẾN ĐỘ MUA HÀNG'!$A$4:$AT$4, 0)) = $B11) * (TRIM(INDEX('6. TIẾN ĐỘ MUA HÀNG'!$A$5:$AT81, 0, XMATCH("Tháng", '6. TIẾN ĐỘ MUA HÀNG'!$A$4:$AT$4, 0))) = TRIM(G$6)))</f>
        <v>0</v>
      </c>
      <c r="I11" s="743">
        <f t="array" ref="I11">SUMPRODUCT((INDEX('6. TIẾN ĐỘ MUA HÀNG'!$A:$AT, 0, XMATCH("Phân loại VTBB/NL", '6. TIẾN ĐỘ MUA HÀNG'!$A$4:$AT$4, 0)) = $B11) * (TRIM(INDEX('6. TIẾN ĐỘ MUA HÀNG'!$A:$AT, 0, XMATCH("Tháng", '6. TIẾN ĐỘ MUA HÀNG'!$A$4:$AT$4, 0))) = TRIM(I$6)) * (INDEX('6. TIẾN ĐỘ MUA HÀNG'!$A:$AT, 0, XMATCH("Phân loại VTBB/NL", '6. TIẾN ĐỘ MUA HÀNG'!$A$4:$AT$4, 0)) &lt;&gt; ""))</f>
        <v>0</v>
      </c>
      <c r="J11" s="744">
        <f t="array" ref="J11">SUMPRODUCT(IFERROR(INDEX('6. TIẾN ĐỘ MUA HÀNG'!$A$5:$AT81, 0, XMATCH("Thành tiền đơn hàng", '6. TIẾN ĐỘ MUA HÀNG'!$A$4:$AT$4, 0)), 0) * (INDEX('6. TIẾN ĐỘ MUA HÀNG'!$A$5:$AT81, 0, XMATCH("Phân loại VTBB/NL", '6. TIẾN ĐỘ MUA HÀNG'!$A$4:$AT$4, 0)) = $B11) * (TRIM(INDEX('6. TIẾN ĐỘ MUA HÀNG'!$A$5:$AT81, 0, XMATCH("Tháng", '6. TIẾN ĐỘ MUA HÀNG'!$A$4:$AT$4, 0))) = TRIM(I$6)))</f>
        <v>0</v>
      </c>
      <c r="K11" s="741">
        <f t="array" ref="K11">SUMPRODUCT((INDEX('6. TIẾN ĐỘ MUA HÀNG'!$A:$AT, 0, XMATCH("Phân loại VTBB/NL", '6. TIẾN ĐỘ MUA HÀNG'!$A$4:$AT$4, 0)) = $B11) * (TRIM(INDEX('6. TIẾN ĐỘ MUA HÀNG'!$A:$AT, 0, XMATCH("Tháng", '6. TIẾN ĐỘ MUA HÀNG'!$A$4:$AT$4, 0))) = TRIM($K$6)) * (INDEX('6. TIẾN ĐỘ MUA HÀNG'!$A:$AT, 0, XMATCH("Phân loại VTBB/NL", '6. TIẾN ĐỘ MUA HÀNG'!$A$4:$AT$4, 0)) &lt;&gt; ""))</f>
        <v>0</v>
      </c>
      <c r="L11" s="742">
        <f t="array" ref="L11">SUMPRODUCT(IFERROR(INDEX('6. TIẾN ĐỘ MUA HÀNG'!$A$5:$AT81, 0, XMATCH("Thành tiền đơn hàng", '6. TIẾN ĐỘ MUA HÀNG'!$A$4:$AT$4, 0)), 0) * (INDEX('6. TIẾN ĐỘ MUA HÀNG'!$A$5:$AT81, 0, XMATCH("Phân loại VTBB/NL", '6. TIẾN ĐỘ MUA HÀNG'!$A$4:$AT$4, 0)) = $B11) * (TRIM(INDEX('6. TIẾN ĐỘ MUA HÀNG'!$A$5:$AT81, 0, XMATCH("Tháng", '6. TIẾN ĐỘ MUA HÀNG'!$A$4:$AT$4, 0))) = TRIM(K$6)))</f>
        <v>0</v>
      </c>
      <c r="M11" s="743">
        <f t="array" ref="M11">SUMPRODUCT((INDEX('6. TIẾN ĐỘ MUA HÀNG'!$A:$AT, 0, XMATCH("Phân loại VTBB/NL", '6. TIẾN ĐỘ MUA HÀNG'!$A$4:$AT$4, 0)) = $B11) * (TRIM(INDEX('6. TIẾN ĐỘ MUA HÀNG'!$A:$AT, 0, XMATCH("Tháng", '6. TIẾN ĐỘ MUA HÀNG'!$A$4:$AT$4, 0))) = TRIM(M$6)) * (INDEX('6. TIẾN ĐỘ MUA HÀNG'!$A:$AT, 0, XMATCH("Phân loại VTBB/NL", '6. TIẾN ĐỘ MUA HÀNG'!$A$4:$AT$4, 0)) &lt;&gt; ""))</f>
        <v>0</v>
      </c>
      <c r="N11" s="744">
        <f t="array" ref="N11">SUMPRODUCT(IFERROR(INDEX('6. TIẾN ĐỘ MUA HÀNG'!$A$5:$AT81, 0, XMATCH("Thành tiền đơn hàng", '6. TIẾN ĐỘ MUA HÀNG'!$A$4:$AT$4, 0)), 0) * (INDEX('6. TIẾN ĐỘ MUA HÀNG'!$A$5:$AT81, 0, XMATCH("Phân loại VTBB/NL", '6. TIẾN ĐỘ MUA HÀNG'!$A$4:$AT$4, 0)) = $B11) * (TRIM(INDEX('6. TIẾN ĐỘ MUA HÀNG'!$A$5:$AT81, 0, XMATCH("Tháng", '6. TIẾN ĐỘ MUA HÀNG'!$A$4:$AT$4, 0))) = TRIM(M$6)))</f>
        <v>0</v>
      </c>
      <c r="O11" s="741">
        <f t="array" ref="O11">SUMPRODUCT((INDEX('6. TIẾN ĐỘ MUA HÀNG'!$A:$AT, 0, XMATCH("Phân loại VTBB/NL", '6. TIẾN ĐỘ MUA HÀNG'!$A$4:$AT$4, 0)) = $B11) * (TRIM(INDEX('6. TIẾN ĐỘ MUA HÀNG'!$A:$AT, 0, XMATCH("Tháng", '6. TIẾN ĐỘ MUA HÀNG'!$A$4:$AT$4, 0))) = TRIM($O$6)) * (INDEX('6. TIẾN ĐỘ MUA HÀNG'!$A:$AT, 0, XMATCH("Phân loại VTBB/NL", '6. TIẾN ĐỘ MUA HÀNG'!$A$4:$AT$4, 0)) &lt;&gt; ""))</f>
        <v>0</v>
      </c>
      <c r="P11" s="742">
        <f t="array" ref="P11">SUMPRODUCT(IFERROR(INDEX('6. TIẾN ĐỘ MUA HÀNG'!$A$5:$AT81, 0, XMATCH("Thành tiền đơn hàng", '6. TIẾN ĐỘ MUA HÀNG'!$A$4:$AT$4, 0)), 0) * (INDEX('6. TIẾN ĐỘ MUA HÀNG'!$A$5:$AT81, 0, XMATCH("Phân loại VTBB/NL", '6. TIẾN ĐỘ MUA HÀNG'!$A$4:$AT$4, 0)) = $B11) * (TRIM(INDEX('6. TIẾN ĐỘ MUA HÀNG'!$A$5:$AT81, 0, XMATCH("Tháng", '6. TIẾN ĐỘ MUA HÀNG'!$A$4:$AT$4, 0))) = TRIM(O$6)))</f>
        <v>0</v>
      </c>
      <c r="Q11" s="743">
        <f t="array" ref="Q11">SUMPRODUCT((INDEX('6. TIẾN ĐỘ MUA HÀNG'!$A:$AT, 0, XMATCH("Phân loại VTBB/NL", '6. TIẾN ĐỘ MUA HÀNG'!$A$4:$AT$4, 0)) = $B11) * (TRIM(INDEX('6. TIẾN ĐỘ MUA HÀNG'!$A:$AT, 0, XMATCH("Tháng", '6. TIẾN ĐỘ MUA HÀNG'!$A$4:$AT$4, 0))) = TRIM(Q$6)) * (INDEX('6. TIẾN ĐỘ MUA HÀNG'!$A:$AT, 0, XMATCH("Phân loại VTBB/NL", '6. TIẾN ĐỘ MUA HÀNG'!$A$4:$AT$4, 0)) &lt;&gt; ""))</f>
        <v>0</v>
      </c>
      <c r="R11" s="744">
        <f t="array" ref="R11">SUMPRODUCT(IFERROR(INDEX('6. TIẾN ĐỘ MUA HÀNG'!$A$5:$AT81, 0, XMATCH("Thành tiền đơn hàng", '6. TIẾN ĐỘ MUA HÀNG'!$A$4:$AT$4, 0)), 0) * (INDEX('6. TIẾN ĐỘ MUA HÀNG'!$A$5:$AT81, 0, XMATCH("Phân loại VTBB/NL", '6. TIẾN ĐỘ MUA HÀNG'!$A$4:$AT$4, 0)) = $B11) * (TRIM(INDEX('6. TIẾN ĐỘ MUA HÀNG'!$A$5:$AT81, 0, XMATCH("Tháng", '6. TIẾN ĐỘ MUA HÀNG'!$A$4:$AT$4, 0))) = TRIM(Q$6)))</f>
        <v>0</v>
      </c>
      <c r="S11" s="741">
        <f t="array" ref="S11">SUMPRODUCT((INDEX('6. TIẾN ĐỘ MUA HÀNG'!$A:$AT, 0, XMATCH("Phân loại VTBB/NL", '6. TIẾN ĐỘ MUA HÀNG'!$A$4:$AT$4, 0)) = $B11) * (TRIM(INDEX('6. TIẾN ĐỘ MUA HÀNG'!$A:$AT, 0, XMATCH("Tháng", '6. TIẾN ĐỘ MUA HÀNG'!$A$4:$AT$4, 0))) = TRIM($S$6)) * (INDEX('6. TIẾN ĐỘ MUA HÀNG'!$A:$AT, 0, XMATCH("Phân loại VTBB/NL", '6. TIẾN ĐỘ MUA HÀNG'!$A$4:$AT$4, 0)) &lt;&gt; ""))</f>
        <v>0</v>
      </c>
      <c r="T11" s="742">
        <f t="array" ref="T11">SUMPRODUCT(IFERROR(INDEX('6. TIẾN ĐỘ MUA HÀNG'!$A$5:$AT81, 0, XMATCH("Thành tiền đơn hàng", '6. TIẾN ĐỘ MUA HÀNG'!$A$4:$AT$4, 0)), 0) * (INDEX('6. TIẾN ĐỘ MUA HÀNG'!$A$5:$AT81, 0, XMATCH("Phân loại VTBB/NL", '6. TIẾN ĐỘ MUA HÀNG'!$A$4:$AT$4, 0)) = $B11) * (TRIM(INDEX('6. TIẾN ĐỘ MUA HÀNG'!$A$5:$AT81, 0, XMATCH("Tháng", '6. TIẾN ĐỘ MUA HÀNG'!$A$4:$AT$4, 0))) = TRIM(S$6)))</f>
        <v>0</v>
      </c>
      <c r="U11" s="743">
        <f t="array" ref="U11">SUMPRODUCT((INDEX('6. TIẾN ĐỘ MUA HÀNG'!$A:$AT, 0, XMATCH("Phân loại VTBB/NL", '6. TIẾN ĐỘ MUA HÀNG'!$A$4:$AT$4, 0)) = $B11) * (TRIM(INDEX('6. TIẾN ĐỘ MUA HÀNG'!$A:$AT, 0, XMATCH("Tháng", '6. TIẾN ĐỘ MUA HÀNG'!$A$4:$AT$4, 0))) = TRIM(U$6)) * (INDEX('6. TIẾN ĐỘ MUA HÀNG'!$A:$AT, 0, XMATCH("Phân loại VTBB/NL", '6. TIẾN ĐỘ MUA HÀNG'!$A$4:$AT$4, 0)) &lt;&gt; ""))</f>
        <v>0</v>
      </c>
      <c r="V11" s="744">
        <f t="array" ref="V11">SUMPRODUCT(IFERROR(INDEX('6. TIẾN ĐỘ MUA HÀNG'!$A$5:$AT81, 0, XMATCH("Thành tiền đơn hàng", '6. TIẾN ĐỘ MUA HÀNG'!$A$4:$AT$4, 0)), 0) * (INDEX('6. TIẾN ĐỘ MUA HÀNG'!$A$5:$AT81, 0, XMATCH("Phân loại VTBB/NL", '6. TIẾN ĐỘ MUA HÀNG'!$A$4:$AT$4, 0)) = $B11) * (TRIM(INDEX('6. TIẾN ĐỘ MUA HÀNG'!$A$5:$AT81, 0, XMATCH("Tháng", '6. TIẾN ĐỘ MUA HÀNG'!$A$4:$AT$4, 0))) = TRIM(U$6)))</f>
        <v>0</v>
      </c>
      <c r="W11" s="741">
        <f t="array" ref="W11">SUMPRODUCT((INDEX('6. TIẾN ĐỘ MUA HÀNG'!$A:$AT, 0, XMATCH("Phân loại VTBB/NL", '6. TIẾN ĐỘ MUA HÀNG'!$A$4:$AT$4, 0)) = $B11) * (TRIM(INDEX('6. TIẾN ĐỘ MUA HÀNG'!$A:$AT, 0, XMATCH("Tháng", '6. TIẾN ĐỘ MUA HÀNG'!$A$4:$AT$4, 0))) = TRIM($W$6)) * (INDEX('6. TIẾN ĐỘ MUA HÀNG'!$A:$AT, 0, XMATCH("Phân loại VTBB/NL", '6. TIẾN ĐỘ MUA HÀNG'!$A$4:$AT$4, 0)) &lt;&gt; ""))</f>
        <v>0</v>
      </c>
      <c r="X11" s="742">
        <f t="array" ref="X11">SUMPRODUCT(IFERROR(INDEX('6. TIẾN ĐỘ MUA HÀNG'!$A$5:$AT81, 0, XMATCH("Thành tiền đơn hàng", '6. TIẾN ĐỘ MUA HÀNG'!$A$4:$AT$4, 0)), 0) * (INDEX('6. TIẾN ĐỘ MUA HÀNG'!$A$5:$AT81, 0, XMATCH("Phân loại VTBB/NL", '6. TIẾN ĐỘ MUA HÀNG'!$A$4:$AT$4, 0)) = $B11) * (TRIM(INDEX('6. TIẾN ĐỘ MUA HÀNG'!$A$5:$AT81, 0, XMATCH("Tháng", '6. TIẾN ĐỘ MUA HÀNG'!$A$4:$AT$4, 0))) = TRIM(W$6)))</f>
        <v>0</v>
      </c>
      <c r="Y11" s="743">
        <f t="array" ref="Y11">SUMPRODUCT((INDEX('6. TIẾN ĐỘ MUA HÀNG'!$A:$AT, 0, XMATCH("Phân loại VTBB/NL", '6. TIẾN ĐỘ MUA HÀNG'!$A$4:$AT$4, 0)) = $B11) * (TRIM(INDEX('6. TIẾN ĐỘ MUA HÀNG'!$A:$AT, 0, XMATCH("Tháng", '6. TIẾN ĐỘ MUA HÀNG'!$A$4:$AT$4, 0))) = TRIM(Y$6)) * (INDEX('6. TIẾN ĐỘ MUA HÀNG'!$A:$AT, 0, XMATCH("Phân loại VTBB/NL", '6. TIẾN ĐỘ MUA HÀNG'!$A$4:$AT$4, 0)) &lt;&gt; ""))</f>
        <v>0</v>
      </c>
      <c r="Z11" s="744">
        <f t="array" ref="Z11">SUMPRODUCT(IFERROR(INDEX('6. TIẾN ĐỘ MUA HÀNG'!$A$5:$AT81, 0, XMATCH("Thành tiền đơn hàng", '6. TIẾN ĐỘ MUA HÀNG'!$A$4:$AT$4, 0)), 0) * (INDEX('6. TIẾN ĐỘ MUA HÀNG'!$A$5:$AT81, 0, XMATCH("Phân loại VTBB/NL", '6. TIẾN ĐỘ MUA HÀNG'!$A$4:$AT$4, 0)) = $B11) * (TRIM(INDEX('6. TIẾN ĐỘ MUA HÀNG'!$A$5:$AT81, 0, XMATCH("Tháng", '6. TIẾN ĐỘ MUA HÀNG'!$A$4:$AT$4, 0))) = TRIM(Y$6)))</f>
        <v>0</v>
      </c>
      <c r="AA11" s="726">
        <f t="shared" si="2"/>
        <v>0</v>
      </c>
      <c r="AB11" s="726">
        <f t="shared" si="3"/>
        <v>0</v>
      </c>
    </row>
    <row r="12">
      <c r="A12" s="612">
        <v>4.0</v>
      </c>
      <c r="B12" s="139" t="str">
        <f>IFERROR(__xludf.DUMMYFUNCTION("""COMPUTED_VALUE"""),"Túi flexo")</f>
        <v>Túi flexo</v>
      </c>
      <c r="C12" s="741">
        <f t="array" ref="C12">SUMPRODUCT((INDEX('6. TIẾN ĐỘ MUA HÀNG'!$A:$AT, 0, XMATCH("Phân loại VTBB/NL", '6. TIẾN ĐỘ MUA HÀNG'!$A$4:$AT$4, 0)) = $B12) * (TRIM(INDEX('6. TIẾN ĐỘ MUA HÀNG'!$A:$AT, 0, XMATCH("Tháng", '6. TIẾN ĐỘ MUA HÀNG'!$A$4:$AT$4, 0))) = TRIM($C$6)) * (INDEX('6. TIẾN ĐỘ MUA HÀNG'!$A:$AT, 0, XMATCH("Phân loại VTBB/NL", '6. TIẾN ĐỘ MUA HÀNG'!$A$4:$AT$4, 0)) &lt;&gt; ""))</f>
        <v>0</v>
      </c>
      <c r="D12" s="742">
        <f t="array" ref="D12">SUMPRODUCT(IFERROR(INDEX('6. TIẾN ĐỘ MUA HÀNG'!$A$5:$AT81, 0, XMATCH("Thành tiền đơn hàng", '6. TIẾN ĐỘ MUA HÀNG'!$A$4:$AT$4, 0)), 0) * (INDEX('6. TIẾN ĐỘ MUA HÀNG'!$A$5:$AT81, 0, XMATCH("Phân loại VTBB/NL", '6. TIẾN ĐỘ MUA HÀNG'!$A$4:$AT$4, 0)) = $B12) * (TRIM(INDEX('6. TIẾN ĐỘ MUA HÀNG'!$A$5:$AT81, 0, XMATCH("Tháng", '6. TIẾN ĐỘ MUA HÀNG'!$A$4:$AT$4, 0))) = TRIM(C$6)))</f>
        <v>0</v>
      </c>
      <c r="E12" s="743">
        <f t="array" ref="E12">SUMPRODUCT((INDEX('6. TIẾN ĐỘ MUA HÀNG'!$A:$AT, 0, XMATCH("Phân loại VTBB/NL", '6. TIẾN ĐỘ MUA HÀNG'!$A$4:$AT$4, 0)) = $B12) * (TRIM(INDEX('6. TIẾN ĐỘ MUA HÀNG'!$A:$AT, 0, XMATCH("Tháng", '6. TIẾN ĐỘ MUA HÀNG'!$A$4:$AT$4, 0))) = TRIM(E$6)) * (INDEX('6. TIẾN ĐỘ MUA HÀNG'!$A:$AT, 0, XMATCH("Phân loại VTBB/NL", '6. TIẾN ĐỘ MUA HÀNG'!$A$4:$AT$4, 0)) &lt;&gt; ""))</f>
        <v>0</v>
      </c>
      <c r="F12" s="744">
        <f t="array" ref="F12">SUMPRODUCT(IFERROR(INDEX('6. TIẾN ĐỘ MUA HÀNG'!$A$5:$AT81, 0, XMATCH("Thành tiền đơn hàng", '6. TIẾN ĐỘ MUA HÀNG'!$A$4:$AT$4, 0)), 0) * (INDEX('6. TIẾN ĐỘ MUA HÀNG'!$A$5:$AT81, 0, XMATCH("Phân loại VTBB/NL", '6. TIẾN ĐỘ MUA HÀNG'!$A$4:$AT$4, 0)) = $B12) * (TRIM(INDEX('6. TIẾN ĐỘ MUA HÀNG'!$A$5:$AT81, 0, XMATCH("Tháng", '6. TIẾN ĐỘ MUA HÀNG'!$A$4:$AT$4, 0))) = TRIM(E$6)))</f>
        <v>0</v>
      </c>
      <c r="G12" s="741">
        <f t="array" ref="G12">SUMPRODUCT((INDEX('6. TIẾN ĐỘ MUA HÀNG'!$A:$AT, 0, XMATCH("Phân loại VTBB/NL", '6. TIẾN ĐỘ MUA HÀNG'!$A$4:$AT$4, 0)) = $B12) * (TRIM(INDEX('6. TIẾN ĐỘ MUA HÀNG'!$A:$AT, 0, XMATCH("Tháng", '6. TIẾN ĐỘ MUA HÀNG'!$A$4:$AT$4, 0))) = TRIM($G$6)) * (INDEX('6. TIẾN ĐỘ MUA HÀNG'!$A:$AT, 0, XMATCH("Phân loại VTBB/NL", '6. TIẾN ĐỘ MUA HÀNG'!$A$4:$AT$4, 0)) &lt;&gt; ""))</f>
        <v>0</v>
      </c>
      <c r="H12" s="742">
        <f t="array" ref="H12">SUMPRODUCT(IFERROR(INDEX('6. TIẾN ĐỘ MUA HÀNG'!$A$5:$AT81, 0, XMATCH("Thành tiền đơn hàng", '6. TIẾN ĐỘ MUA HÀNG'!$A$4:$AT$4, 0)), 0) * (INDEX('6. TIẾN ĐỘ MUA HÀNG'!$A$5:$AT81, 0, XMATCH("Phân loại VTBB/NL", '6. TIẾN ĐỘ MUA HÀNG'!$A$4:$AT$4, 0)) = $B12) * (TRIM(INDEX('6. TIẾN ĐỘ MUA HÀNG'!$A$5:$AT81, 0, XMATCH("Tháng", '6. TIẾN ĐỘ MUA HÀNG'!$A$4:$AT$4, 0))) = TRIM(G$6)))</f>
        <v>0</v>
      </c>
      <c r="I12" s="743">
        <f t="array" ref="I12">SUMPRODUCT((INDEX('6. TIẾN ĐỘ MUA HÀNG'!$A:$AT, 0, XMATCH("Phân loại VTBB/NL", '6. TIẾN ĐỘ MUA HÀNG'!$A$4:$AT$4, 0)) = $B12) * (TRIM(INDEX('6. TIẾN ĐỘ MUA HÀNG'!$A:$AT, 0, XMATCH("Tháng", '6. TIẾN ĐỘ MUA HÀNG'!$A$4:$AT$4, 0))) = TRIM(I$6)) * (INDEX('6. TIẾN ĐỘ MUA HÀNG'!$A:$AT, 0, XMATCH("Phân loại VTBB/NL", '6. TIẾN ĐỘ MUA HÀNG'!$A$4:$AT$4, 0)) &lt;&gt; ""))</f>
        <v>0</v>
      </c>
      <c r="J12" s="744">
        <f t="array" ref="J12">SUMPRODUCT(IFERROR(INDEX('6. TIẾN ĐỘ MUA HÀNG'!$A$5:$AT81, 0, XMATCH("Thành tiền đơn hàng", '6. TIẾN ĐỘ MUA HÀNG'!$A$4:$AT$4, 0)), 0) * (INDEX('6. TIẾN ĐỘ MUA HÀNG'!$A$5:$AT81, 0, XMATCH("Phân loại VTBB/NL", '6. TIẾN ĐỘ MUA HÀNG'!$A$4:$AT$4, 0)) = $B12) * (TRIM(INDEX('6. TIẾN ĐỘ MUA HÀNG'!$A$5:$AT81, 0, XMATCH("Tháng", '6. TIẾN ĐỘ MUA HÀNG'!$A$4:$AT$4, 0))) = TRIM(I$6)))</f>
        <v>0</v>
      </c>
      <c r="K12" s="741">
        <f t="array" ref="K12">SUMPRODUCT((INDEX('6. TIẾN ĐỘ MUA HÀNG'!$A:$AT, 0, XMATCH("Phân loại VTBB/NL", '6. TIẾN ĐỘ MUA HÀNG'!$A$4:$AT$4, 0)) = $B12) * (TRIM(INDEX('6. TIẾN ĐỘ MUA HÀNG'!$A:$AT, 0, XMATCH("Tháng", '6. TIẾN ĐỘ MUA HÀNG'!$A$4:$AT$4, 0))) = TRIM($K$6)) * (INDEX('6. TIẾN ĐỘ MUA HÀNG'!$A:$AT, 0, XMATCH("Phân loại VTBB/NL", '6. TIẾN ĐỘ MUA HÀNG'!$A$4:$AT$4, 0)) &lt;&gt; ""))</f>
        <v>0</v>
      </c>
      <c r="L12" s="742">
        <f t="array" ref="L12">SUMPRODUCT(IFERROR(INDEX('6. TIẾN ĐỘ MUA HÀNG'!$A$5:$AT81, 0, XMATCH("Thành tiền đơn hàng", '6. TIẾN ĐỘ MUA HÀNG'!$A$4:$AT$4, 0)), 0) * (INDEX('6. TIẾN ĐỘ MUA HÀNG'!$A$5:$AT81, 0, XMATCH("Phân loại VTBB/NL", '6. TIẾN ĐỘ MUA HÀNG'!$A$4:$AT$4, 0)) = $B12) * (TRIM(INDEX('6. TIẾN ĐỘ MUA HÀNG'!$A$5:$AT81, 0, XMATCH("Tháng", '6. TIẾN ĐỘ MUA HÀNG'!$A$4:$AT$4, 0))) = TRIM(K$6)))</f>
        <v>0</v>
      </c>
      <c r="M12" s="743">
        <f t="array" ref="M12">SUMPRODUCT((INDEX('6. TIẾN ĐỘ MUA HÀNG'!$A:$AT, 0, XMATCH("Phân loại VTBB/NL", '6. TIẾN ĐỘ MUA HÀNG'!$A$4:$AT$4, 0)) = $B12) * (TRIM(INDEX('6. TIẾN ĐỘ MUA HÀNG'!$A:$AT, 0, XMATCH("Tháng", '6. TIẾN ĐỘ MUA HÀNG'!$A$4:$AT$4, 0))) = TRIM(M$6)) * (INDEX('6. TIẾN ĐỘ MUA HÀNG'!$A:$AT, 0, XMATCH("Phân loại VTBB/NL", '6. TIẾN ĐỘ MUA HÀNG'!$A$4:$AT$4, 0)) &lt;&gt; ""))</f>
        <v>0</v>
      </c>
      <c r="N12" s="744">
        <f t="array" ref="N12">SUMPRODUCT(IFERROR(INDEX('6. TIẾN ĐỘ MUA HÀNG'!$A$5:$AT81, 0, XMATCH("Thành tiền đơn hàng", '6. TIẾN ĐỘ MUA HÀNG'!$A$4:$AT$4, 0)), 0) * (INDEX('6. TIẾN ĐỘ MUA HÀNG'!$A$5:$AT81, 0, XMATCH("Phân loại VTBB/NL", '6. TIẾN ĐỘ MUA HÀNG'!$A$4:$AT$4, 0)) = $B12) * (TRIM(INDEX('6. TIẾN ĐỘ MUA HÀNG'!$A$5:$AT81, 0, XMATCH("Tháng", '6. TIẾN ĐỘ MUA HÀNG'!$A$4:$AT$4, 0))) = TRIM(M$6)))</f>
        <v>0</v>
      </c>
      <c r="O12" s="741">
        <f t="array" ref="O12">SUMPRODUCT((INDEX('6. TIẾN ĐỘ MUA HÀNG'!$A:$AT, 0, XMATCH("Phân loại VTBB/NL", '6. TIẾN ĐỘ MUA HÀNG'!$A$4:$AT$4, 0)) = $B12) * (TRIM(INDEX('6. TIẾN ĐỘ MUA HÀNG'!$A:$AT, 0, XMATCH("Tháng", '6. TIẾN ĐỘ MUA HÀNG'!$A$4:$AT$4, 0))) = TRIM($O$6)) * (INDEX('6. TIẾN ĐỘ MUA HÀNG'!$A:$AT, 0, XMATCH("Phân loại VTBB/NL", '6. TIẾN ĐỘ MUA HÀNG'!$A$4:$AT$4, 0)) &lt;&gt; ""))</f>
        <v>0</v>
      </c>
      <c r="P12" s="742">
        <f t="array" ref="P12">SUMPRODUCT(IFERROR(INDEX('6. TIẾN ĐỘ MUA HÀNG'!$A$5:$AT81, 0, XMATCH("Thành tiền đơn hàng", '6. TIẾN ĐỘ MUA HÀNG'!$A$4:$AT$4, 0)), 0) * (INDEX('6. TIẾN ĐỘ MUA HÀNG'!$A$5:$AT81, 0, XMATCH("Phân loại VTBB/NL", '6. TIẾN ĐỘ MUA HÀNG'!$A$4:$AT$4, 0)) = $B12) * (TRIM(INDEX('6. TIẾN ĐỘ MUA HÀNG'!$A$5:$AT81, 0, XMATCH("Tháng", '6. TIẾN ĐỘ MUA HÀNG'!$A$4:$AT$4, 0))) = TRIM(O$6)))</f>
        <v>0</v>
      </c>
      <c r="Q12" s="743">
        <f t="array" ref="Q12">SUMPRODUCT((INDEX('6. TIẾN ĐỘ MUA HÀNG'!$A:$AT, 0, XMATCH("Phân loại VTBB/NL", '6. TIẾN ĐỘ MUA HÀNG'!$A$4:$AT$4, 0)) = $B12) * (TRIM(INDEX('6. TIẾN ĐỘ MUA HÀNG'!$A:$AT, 0, XMATCH("Tháng", '6. TIẾN ĐỘ MUA HÀNG'!$A$4:$AT$4, 0))) = TRIM(Q$6)) * (INDEX('6. TIẾN ĐỘ MUA HÀNG'!$A:$AT, 0, XMATCH("Phân loại VTBB/NL", '6. TIẾN ĐỘ MUA HÀNG'!$A$4:$AT$4, 0)) &lt;&gt; ""))</f>
        <v>0</v>
      </c>
      <c r="R12" s="744">
        <f t="array" ref="R12">SUMPRODUCT(IFERROR(INDEX('6. TIẾN ĐỘ MUA HÀNG'!$A$5:$AT81, 0, XMATCH("Thành tiền đơn hàng", '6. TIẾN ĐỘ MUA HÀNG'!$A$4:$AT$4, 0)), 0) * (INDEX('6. TIẾN ĐỘ MUA HÀNG'!$A$5:$AT81, 0, XMATCH("Phân loại VTBB/NL", '6. TIẾN ĐỘ MUA HÀNG'!$A$4:$AT$4, 0)) = $B12) * (TRIM(INDEX('6. TIẾN ĐỘ MUA HÀNG'!$A$5:$AT81, 0, XMATCH("Tháng", '6. TIẾN ĐỘ MUA HÀNG'!$A$4:$AT$4, 0))) = TRIM(Q$6)))</f>
        <v>0</v>
      </c>
      <c r="S12" s="741">
        <f t="array" ref="S12">SUMPRODUCT((INDEX('6. TIẾN ĐỘ MUA HÀNG'!$A:$AT, 0, XMATCH("Phân loại VTBB/NL", '6. TIẾN ĐỘ MUA HÀNG'!$A$4:$AT$4, 0)) = $B12) * (TRIM(INDEX('6. TIẾN ĐỘ MUA HÀNG'!$A:$AT, 0, XMATCH("Tháng", '6. TIẾN ĐỘ MUA HÀNG'!$A$4:$AT$4, 0))) = TRIM($S$6)) * (INDEX('6. TIẾN ĐỘ MUA HÀNG'!$A:$AT, 0, XMATCH("Phân loại VTBB/NL", '6. TIẾN ĐỘ MUA HÀNG'!$A$4:$AT$4, 0)) &lt;&gt; ""))</f>
        <v>0</v>
      </c>
      <c r="T12" s="742">
        <f t="array" ref="T12">SUMPRODUCT(IFERROR(INDEX('6. TIẾN ĐỘ MUA HÀNG'!$A$5:$AT81, 0, XMATCH("Thành tiền đơn hàng", '6. TIẾN ĐỘ MUA HÀNG'!$A$4:$AT$4, 0)), 0) * (INDEX('6. TIẾN ĐỘ MUA HÀNG'!$A$5:$AT81, 0, XMATCH("Phân loại VTBB/NL", '6. TIẾN ĐỘ MUA HÀNG'!$A$4:$AT$4, 0)) = $B12) * (TRIM(INDEX('6. TIẾN ĐỘ MUA HÀNG'!$A$5:$AT81, 0, XMATCH("Tháng", '6. TIẾN ĐỘ MUA HÀNG'!$A$4:$AT$4, 0))) = TRIM(S$6)))</f>
        <v>0</v>
      </c>
      <c r="U12" s="743">
        <f t="array" ref="U12">SUMPRODUCT((INDEX('6. TIẾN ĐỘ MUA HÀNG'!$A:$AT, 0, XMATCH("Phân loại VTBB/NL", '6. TIẾN ĐỘ MUA HÀNG'!$A$4:$AT$4, 0)) = $B12) * (TRIM(INDEX('6. TIẾN ĐỘ MUA HÀNG'!$A:$AT, 0, XMATCH("Tháng", '6. TIẾN ĐỘ MUA HÀNG'!$A$4:$AT$4, 0))) = TRIM(U$6)) * (INDEX('6. TIẾN ĐỘ MUA HÀNG'!$A:$AT, 0, XMATCH("Phân loại VTBB/NL", '6. TIẾN ĐỘ MUA HÀNG'!$A$4:$AT$4, 0)) &lt;&gt; ""))</f>
        <v>0</v>
      </c>
      <c r="V12" s="744">
        <f t="array" ref="V12">SUMPRODUCT(IFERROR(INDEX('6. TIẾN ĐỘ MUA HÀNG'!$A$5:$AT81, 0, XMATCH("Thành tiền đơn hàng", '6. TIẾN ĐỘ MUA HÀNG'!$A$4:$AT$4, 0)), 0) * (INDEX('6. TIẾN ĐỘ MUA HÀNG'!$A$5:$AT81, 0, XMATCH("Phân loại VTBB/NL", '6. TIẾN ĐỘ MUA HÀNG'!$A$4:$AT$4, 0)) = $B12) * (TRIM(INDEX('6. TIẾN ĐỘ MUA HÀNG'!$A$5:$AT81, 0, XMATCH("Tháng", '6. TIẾN ĐỘ MUA HÀNG'!$A$4:$AT$4, 0))) = TRIM(U$6)))</f>
        <v>0</v>
      </c>
      <c r="W12" s="741">
        <f t="array" ref="W12">SUMPRODUCT((INDEX('6. TIẾN ĐỘ MUA HÀNG'!$A:$AT, 0, XMATCH("Phân loại VTBB/NL", '6. TIẾN ĐỘ MUA HÀNG'!$A$4:$AT$4, 0)) = $B12) * (TRIM(INDEX('6. TIẾN ĐỘ MUA HÀNG'!$A:$AT, 0, XMATCH("Tháng", '6. TIẾN ĐỘ MUA HÀNG'!$A$4:$AT$4, 0))) = TRIM($W$6)) * (INDEX('6. TIẾN ĐỘ MUA HÀNG'!$A:$AT, 0, XMATCH("Phân loại VTBB/NL", '6. TIẾN ĐỘ MUA HÀNG'!$A$4:$AT$4, 0)) &lt;&gt; ""))</f>
        <v>0</v>
      </c>
      <c r="X12" s="742">
        <f t="array" ref="X12">SUMPRODUCT(IFERROR(INDEX('6. TIẾN ĐỘ MUA HÀNG'!$A$5:$AT81, 0, XMATCH("Thành tiền đơn hàng", '6. TIẾN ĐỘ MUA HÀNG'!$A$4:$AT$4, 0)), 0) * (INDEX('6. TIẾN ĐỘ MUA HÀNG'!$A$5:$AT81, 0, XMATCH("Phân loại VTBB/NL", '6. TIẾN ĐỘ MUA HÀNG'!$A$4:$AT$4, 0)) = $B12) * (TRIM(INDEX('6. TIẾN ĐỘ MUA HÀNG'!$A$5:$AT81, 0, XMATCH("Tháng", '6. TIẾN ĐỘ MUA HÀNG'!$A$4:$AT$4, 0))) = TRIM(W$6)))</f>
        <v>0</v>
      </c>
      <c r="Y12" s="743">
        <f t="array" ref="Y12">SUMPRODUCT((INDEX('6. TIẾN ĐỘ MUA HÀNG'!$A:$AT, 0, XMATCH("Phân loại VTBB/NL", '6. TIẾN ĐỘ MUA HÀNG'!$A$4:$AT$4, 0)) = $B12) * (TRIM(INDEX('6. TIẾN ĐỘ MUA HÀNG'!$A:$AT, 0, XMATCH("Tháng", '6. TIẾN ĐỘ MUA HÀNG'!$A$4:$AT$4, 0))) = TRIM(Y$6)) * (INDEX('6. TIẾN ĐỘ MUA HÀNG'!$A:$AT, 0, XMATCH("Phân loại VTBB/NL", '6. TIẾN ĐỘ MUA HÀNG'!$A$4:$AT$4, 0)) &lt;&gt; ""))</f>
        <v>0</v>
      </c>
      <c r="Z12" s="744">
        <f t="array" ref="Z12">SUMPRODUCT(IFERROR(INDEX('6. TIẾN ĐỘ MUA HÀNG'!$A$5:$AT81, 0, XMATCH("Thành tiền đơn hàng", '6. TIẾN ĐỘ MUA HÀNG'!$A$4:$AT$4, 0)), 0) * (INDEX('6. TIẾN ĐỘ MUA HÀNG'!$A$5:$AT81, 0, XMATCH("Phân loại VTBB/NL", '6. TIẾN ĐỘ MUA HÀNG'!$A$4:$AT$4, 0)) = $B12) * (TRIM(INDEX('6. TIẾN ĐỘ MUA HÀNG'!$A$5:$AT81, 0, XMATCH("Tháng", '6. TIẾN ĐỘ MUA HÀNG'!$A$4:$AT$4, 0))) = TRIM(Y$6)))</f>
        <v>0</v>
      </c>
      <c r="AA12" s="726">
        <f t="shared" si="2"/>
        <v>0</v>
      </c>
      <c r="AB12" s="726">
        <f t="shared" si="3"/>
        <v>0</v>
      </c>
    </row>
    <row r="13">
      <c r="A13" s="612">
        <v>5.0</v>
      </c>
      <c r="B13" s="139" t="str">
        <f>IFERROR(__xludf.DUMMYFUNCTION("""COMPUTED_VALUE"""),"Túi trục")</f>
        <v>Túi trục</v>
      </c>
      <c r="C13" s="741">
        <f t="array" ref="C13">SUMPRODUCT((INDEX('6. TIẾN ĐỘ MUA HÀNG'!$A:$AT, 0, XMATCH("Phân loại VTBB/NL", '6. TIẾN ĐỘ MUA HÀNG'!$A$4:$AT$4, 0)) = $B13) * (TRIM(INDEX('6. TIẾN ĐỘ MUA HÀNG'!$A:$AT, 0, XMATCH("Tháng", '6. TIẾN ĐỘ MUA HÀNG'!$A$4:$AT$4, 0))) = TRIM($C$6)) * (INDEX('6. TIẾN ĐỘ MUA HÀNG'!$A:$AT, 0, XMATCH("Phân loại VTBB/NL", '6. TIẾN ĐỘ MUA HÀNG'!$A$4:$AT$4, 0)) &lt;&gt; ""))</f>
        <v>0</v>
      </c>
      <c r="D13" s="742">
        <f t="array" ref="D13">SUMPRODUCT(IFERROR(INDEX('6. TIẾN ĐỘ MUA HÀNG'!$A$5:$AT81, 0, XMATCH("Thành tiền đơn hàng", '6. TIẾN ĐỘ MUA HÀNG'!$A$4:$AT$4, 0)), 0) * (INDEX('6. TIẾN ĐỘ MUA HÀNG'!$A$5:$AT81, 0, XMATCH("Phân loại VTBB/NL", '6. TIẾN ĐỘ MUA HÀNG'!$A$4:$AT$4, 0)) = $B13) * (TRIM(INDEX('6. TIẾN ĐỘ MUA HÀNG'!$A$5:$AT81, 0, XMATCH("Tháng", '6. TIẾN ĐỘ MUA HÀNG'!$A$4:$AT$4, 0))) = TRIM(C$6)))</f>
        <v>0</v>
      </c>
      <c r="E13" s="743">
        <f t="array" ref="E13">SUMPRODUCT((INDEX('6. TIẾN ĐỘ MUA HÀNG'!$A:$AT, 0, XMATCH("Phân loại VTBB/NL", '6. TIẾN ĐỘ MUA HÀNG'!$A$4:$AT$4, 0)) = $B13) * (TRIM(INDEX('6. TIẾN ĐỘ MUA HÀNG'!$A:$AT, 0, XMATCH("Tháng", '6. TIẾN ĐỘ MUA HÀNG'!$A$4:$AT$4, 0))) = TRIM(E$6)) * (INDEX('6. TIẾN ĐỘ MUA HÀNG'!$A:$AT, 0, XMATCH("Phân loại VTBB/NL", '6. TIẾN ĐỘ MUA HÀNG'!$A$4:$AT$4, 0)) &lt;&gt; ""))</f>
        <v>0</v>
      </c>
      <c r="F13" s="744">
        <f t="array" ref="F13">SUMPRODUCT(IFERROR(INDEX('6. TIẾN ĐỘ MUA HÀNG'!$A$5:$AT81, 0, XMATCH("Thành tiền đơn hàng", '6. TIẾN ĐỘ MUA HÀNG'!$A$4:$AT$4, 0)), 0) * (INDEX('6. TIẾN ĐỘ MUA HÀNG'!$A$5:$AT81, 0, XMATCH("Phân loại VTBB/NL", '6. TIẾN ĐỘ MUA HÀNG'!$A$4:$AT$4, 0)) = $B13) * (TRIM(INDEX('6. TIẾN ĐỘ MUA HÀNG'!$A$5:$AT81, 0, XMATCH("Tháng", '6. TIẾN ĐỘ MUA HÀNG'!$A$4:$AT$4, 0))) = TRIM(E$6)))</f>
        <v>0</v>
      </c>
      <c r="G13" s="741">
        <f t="array" ref="G13">SUMPRODUCT((INDEX('6. TIẾN ĐỘ MUA HÀNG'!$A:$AT, 0, XMATCH("Phân loại VTBB/NL", '6. TIẾN ĐỘ MUA HÀNG'!$A$4:$AT$4, 0)) = $B13) * (TRIM(INDEX('6. TIẾN ĐỘ MUA HÀNG'!$A:$AT, 0, XMATCH("Tháng", '6. TIẾN ĐỘ MUA HÀNG'!$A$4:$AT$4, 0))) = TRIM($G$6)) * (INDEX('6. TIẾN ĐỘ MUA HÀNG'!$A:$AT, 0, XMATCH("Phân loại VTBB/NL", '6. TIẾN ĐỘ MUA HÀNG'!$A$4:$AT$4, 0)) &lt;&gt; ""))</f>
        <v>0</v>
      </c>
      <c r="H13" s="742">
        <f t="array" ref="H13">SUMPRODUCT(IFERROR(INDEX('6. TIẾN ĐỘ MUA HÀNG'!$A$5:$AT81, 0, XMATCH("Thành tiền đơn hàng", '6. TIẾN ĐỘ MUA HÀNG'!$A$4:$AT$4, 0)), 0) * (INDEX('6. TIẾN ĐỘ MUA HÀNG'!$A$5:$AT81, 0, XMATCH("Phân loại VTBB/NL", '6. TIẾN ĐỘ MUA HÀNG'!$A$4:$AT$4, 0)) = $B13) * (TRIM(INDEX('6. TIẾN ĐỘ MUA HÀNG'!$A$5:$AT81, 0, XMATCH("Tháng", '6. TIẾN ĐỘ MUA HÀNG'!$A$4:$AT$4, 0))) = TRIM(G$6)))</f>
        <v>0</v>
      </c>
      <c r="I13" s="743">
        <f t="array" ref="I13">SUMPRODUCT((INDEX('6. TIẾN ĐỘ MUA HÀNG'!$A:$AT, 0, XMATCH("Phân loại VTBB/NL", '6. TIẾN ĐỘ MUA HÀNG'!$A$4:$AT$4, 0)) = $B13) * (TRIM(INDEX('6. TIẾN ĐỘ MUA HÀNG'!$A:$AT, 0, XMATCH("Tháng", '6. TIẾN ĐỘ MUA HÀNG'!$A$4:$AT$4, 0))) = TRIM(I$6)) * (INDEX('6. TIẾN ĐỘ MUA HÀNG'!$A:$AT, 0, XMATCH("Phân loại VTBB/NL", '6. TIẾN ĐỘ MUA HÀNG'!$A$4:$AT$4, 0)) &lt;&gt; ""))</f>
        <v>0</v>
      </c>
      <c r="J13" s="744">
        <f t="array" ref="J13">SUMPRODUCT(IFERROR(INDEX('6. TIẾN ĐỘ MUA HÀNG'!$A$5:$AT81, 0, XMATCH("Thành tiền đơn hàng", '6. TIẾN ĐỘ MUA HÀNG'!$A$4:$AT$4, 0)), 0) * (INDEX('6. TIẾN ĐỘ MUA HÀNG'!$A$5:$AT81, 0, XMATCH("Phân loại VTBB/NL", '6. TIẾN ĐỘ MUA HÀNG'!$A$4:$AT$4, 0)) = $B13) * (TRIM(INDEX('6. TIẾN ĐỘ MUA HÀNG'!$A$5:$AT81, 0, XMATCH("Tháng", '6. TIẾN ĐỘ MUA HÀNG'!$A$4:$AT$4, 0))) = TRIM(I$6)))</f>
        <v>0</v>
      </c>
      <c r="K13" s="741">
        <f t="array" ref="K13">SUMPRODUCT((INDEX('6. TIẾN ĐỘ MUA HÀNG'!$A:$AT, 0, XMATCH("Phân loại VTBB/NL", '6. TIẾN ĐỘ MUA HÀNG'!$A$4:$AT$4, 0)) = $B13) * (TRIM(INDEX('6. TIẾN ĐỘ MUA HÀNG'!$A:$AT, 0, XMATCH("Tháng", '6. TIẾN ĐỘ MUA HÀNG'!$A$4:$AT$4, 0))) = TRIM($K$6)) * (INDEX('6. TIẾN ĐỘ MUA HÀNG'!$A:$AT, 0, XMATCH("Phân loại VTBB/NL", '6. TIẾN ĐỘ MUA HÀNG'!$A$4:$AT$4, 0)) &lt;&gt; ""))</f>
        <v>0</v>
      </c>
      <c r="L13" s="742">
        <f t="array" ref="L13">SUMPRODUCT(IFERROR(INDEX('6. TIẾN ĐỘ MUA HÀNG'!$A$5:$AT81, 0, XMATCH("Thành tiền đơn hàng", '6. TIẾN ĐỘ MUA HÀNG'!$A$4:$AT$4, 0)), 0) * (INDEX('6. TIẾN ĐỘ MUA HÀNG'!$A$5:$AT81, 0, XMATCH("Phân loại VTBB/NL", '6. TIẾN ĐỘ MUA HÀNG'!$A$4:$AT$4, 0)) = $B13) * (TRIM(INDEX('6. TIẾN ĐỘ MUA HÀNG'!$A$5:$AT81, 0, XMATCH("Tháng", '6. TIẾN ĐỘ MUA HÀNG'!$A$4:$AT$4, 0))) = TRIM(K$6)))</f>
        <v>0</v>
      </c>
      <c r="M13" s="743">
        <f t="array" ref="M13">SUMPRODUCT((INDEX('6. TIẾN ĐỘ MUA HÀNG'!$A:$AT, 0, XMATCH("Phân loại VTBB/NL", '6. TIẾN ĐỘ MUA HÀNG'!$A$4:$AT$4, 0)) = $B13) * (TRIM(INDEX('6. TIẾN ĐỘ MUA HÀNG'!$A:$AT, 0, XMATCH("Tháng", '6. TIẾN ĐỘ MUA HÀNG'!$A$4:$AT$4, 0))) = TRIM(M$6)) * (INDEX('6. TIẾN ĐỘ MUA HÀNG'!$A:$AT, 0, XMATCH("Phân loại VTBB/NL", '6. TIẾN ĐỘ MUA HÀNG'!$A$4:$AT$4, 0)) &lt;&gt; ""))</f>
        <v>0</v>
      </c>
      <c r="N13" s="744">
        <f t="array" ref="N13">SUMPRODUCT(IFERROR(INDEX('6. TIẾN ĐỘ MUA HÀNG'!$A$5:$AT81, 0, XMATCH("Thành tiền đơn hàng", '6. TIẾN ĐỘ MUA HÀNG'!$A$4:$AT$4, 0)), 0) * (INDEX('6. TIẾN ĐỘ MUA HÀNG'!$A$5:$AT81, 0, XMATCH("Phân loại VTBB/NL", '6. TIẾN ĐỘ MUA HÀNG'!$A$4:$AT$4, 0)) = $B13) * (TRIM(INDEX('6. TIẾN ĐỘ MUA HÀNG'!$A$5:$AT81, 0, XMATCH("Tháng", '6. TIẾN ĐỘ MUA HÀNG'!$A$4:$AT$4, 0))) = TRIM(M$6)))</f>
        <v>0</v>
      </c>
      <c r="O13" s="741">
        <f t="array" ref="O13">SUMPRODUCT((INDEX('6. TIẾN ĐỘ MUA HÀNG'!$A:$AT, 0, XMATCH("Phân loại VTBB/NL", '6. TIẾN ĐỘ MUA HÀNG'!$A$4:$AT$4, 0)) = $B13) * (TRIM(INDEX('6. TIẾN ĐỘ MUA HÀNG'!$A:$AT, 0, XMATCH("Tháng", '6. TIẾN ĐỘ MUA HÀNG'!$A$4:$AT$4, 0))) = TRIM($O$6)) * (INDEX('6. TIẾN ĐỘ MUA HÀNG'!$A:$AT, 0, XMATCH("Phân loại VTBB/NL", '6. TIẾN ĐỘ MUA HÀNG'!$A$4:$AT$4, 0)) &lt;&gt; ""))</f>
        <v>0</v>
      </c>
      <c r="P13" s="742">
        <f t="array" ref="P13">SUMPRODUCT(IFERROR(INDEX('6. TIẾN ĐỘ MUA HÀNG'!$A$5:$AT81, 0, XMATCH("Thành tiền đơn hàng", '6. TIẾN ĐỘ MUA HÀNG'!$A$4:$AT$4, 0)), 0) * (INDEX('6. TIẾN ĐỘ MUA HÀNG'!$A$5:$AT81, 0, XMATCH("Phân loại VTBB/NL", '6. TIẾN ĐỘ MUA HÀNG'!$A$4:$AT$4, 0)) = $B13) * (TRIM(INDEX('6. TIẾN ĐỘ MUA HÀNG'!$A$5:$AT81, 0, XMATCH("Tháng", '6. TIẾN ĐỘ MUA HÀNG'!$A$4:$AT$4, 0))) = TRIM(O$6)))</f>
        <v>0</v>
      </c>
      <c r="Q13" s="743">
        <f t="array" ref="Q13">SUMPRODUCT((INDEX('6. TIẾN ĐỘ MUA HÀNG'!$A:$AT, 0, XMATCH("Phân loại VTBB/NL", '6. TIẾN ĐỘ MUA HÀNG'!$A$4:$AT$4, 0)) = $B13) * (TRIM(INDEX('6. TIẾN ĐỘ MUA HÀNG'!$A:$AT, 0, XMATCH("Tháng", '6. TIẾN ĐỘ MUA HÀNG'!$A$4:$AT$4, 0))) = TRIM(Q$6)) * (INDEX('6. TIẾN ĐỘ MUA HÀNG'!$A:$AT, 0, XMATCH("Phân loại VTBB/NL", '6. TIẾN ĐỘ MUA HÀNG'!$A$4:$AT$4, 0)) &lt;&gt; ""))</f>
        <v>0</v>
      </c>
      <c r="R13" s="744">
        <f t="array" ref="R13">SUMPRODUCT(IFERROR(INDEX('6. TIẾN ĐỘ MUA HÀNG'!$A$5:$AT81, 0, XMATCH("Thành tiền đơn hàng", '6. TIẾN ĐỘ MUA HÀNG'!$A$4:$AT$4, 0)), 0) * (INDEX('6. TIẾN ĐỘ MUA HÀNG'!$A$5:$AT81, 0, XMATCH("Phân loại VTBB/NL", '6. TIẾN ĐỘ MUA HÀNG'!$A$4:$AT$4, 0)) = $B13) * (TRIM(INDEX('6. TIẾN ĐỘ MUA HÀNG'!$A$5:$AT81, 0, XMATCH("Tháng", '6. TIẾN ĐỘ MUA HÀNG'!$A$4:$AT$4, 0))) = TRIM(Q$6)))</f>
        <v>0</v>
      </c>
      <c r="S13" s="741">
        <f t="array" ref="S13">SUMPRODUCT((INDEX('6. TIẾN ĐỘ MUA HÀNG'!$A:$AT, 0, XMATCH("Phân loại VTBB/NL", '6. TIẾN ĐỘ MUA HÀNG'!$A$4:$AT$4, 0)) = $B13) * (TRIM(INDEX('6. TIẾN ĐỘ MUA HÀNG'!$A:$AT, 0, XMATCH("Tháng", '6. TIẾN ĐỘ MUA HÀNG'!$A$4:$AT$4, 0))) = TRIM($S$6)) * (INDEX('6. TIẾN ĐỘ MUA HÀNG'!$A:$AT, 0, XMATCH("Phân loại VTBB/NL", '6. TIẾN ĐỘ MUA HÀNG'!$A$4:$AT$4, 0)) &lt;&gt; ""))</f>
        <v>0</v>
      </c>
      <c r="T13" s="742">
        <f t="array" ref="T13">SUMPRODUCT(IFERROR(INDEX('6. TIẾN ĐỘ MUA HÀNG'!$A$5:$AT81, 0, XMATCH("Thành tiền đơn hàng", '6. TIẾN ĐỘ MUA HÀNG'!$A$4:$AT$4, 0)), 0) * (INDEX('6. TIẾN ĐỘ MUA HÀNG'!$A$5:$AT81, 0, XMATCH("Phân loại VTBB/NL", '6. TIẾN ĐỘ MUA HÀNG'!$A$4:$AT$4, 0)) = $B13) * (TRIM(INDEX('6. TIẾN ĐỘ MUA HÀNG'!$A$5:$AT81, 0, XMATCH("Tháng", '6. TIẾN ĐỘ MUA HÀNG'!$A$4:$AT$4, 0))) = TRIM(S$6)))</f>
        <v>0</v>
      </c>
      <c r="U13" s="743">
        <f t="array" ref="U13">SUMPRODUCT((INDEX('6. TIẾN ĐỘ MUA HÀNG'!$A:$AT, 0, XMATCH("Phân loại VTBB/NL", '6. TIẾN ĐỘ MUA HÀNG'!$A$4:$AT$4, 0)) = $B13) * (TRIM(INDEX('6. TIẾN ĐỘ MUA HÀNG'!$A:$AT, 0, XMATCH("Tháng", '6. TIẾN ĐỘ MUA HÀNG'!$A$4:$AT$4, 0))) = TRIM(U$6)) * (INDEX('6. TIẾN ĐỘ MUA HÀNG'!$A:$AT, 0, XMATCH("Phân loại VTBB/NL", '6. TIẾN ĐỘ MUA HÀNG'!$A$4:$AT$4, 0)) &lt;&gt; ""))</f>
        <v>0</v>
      </c>
      <c r="V13" s="744">
        <f t="array" ref="V13">SUMPRODUCT(IFERROR(INDEX('6. TIẾN ĐỘ MUA HÀNG'!$A$5:$AT81, 0, XMATCH("Thành tiền đơn hàng", '6. TIẾN ĐỘ MUA HÀNG'!$A$4:$AT$4, 0)), 0) * (INDEX('6. TIẾN ĐỘ MUA HÀNG'!$A$5:$AT81, 0, XMATCH("Phân loại VTBB/NL", '6. TIẾN ĐỘ MUA HÀNG'!$A$4:$AT$4, 0)) = $B13) * (TRIM(INDEX('6. TIẾN ĐỘ MUA HÀNG'!$A$5:$AT81, 0, XMATCH("Tháng", '6. TIẾN ĐỘ MUA HÀNG'!$A$4:$AT$4, 0))) = TRIM(U$6)))</f>
        <v>0</v>
      </c>
      <c r="W13" s="741">
        <f t="array" ref="W13">SUMPRODUCT((INDEX('6. TIẾN ĐỘ MUA HÀNG'!$A:$AT, 0, XMATCH("Phân loại VTBB/NL", '6. TIẾN ĐỘ MUA HÀNG'!$A$4:$AT$4, 0)) = $B13) * (TRIM(INDEX('6. TIẾN ĐỘ MUA HÀNG'!$A:$AT, 0, XMATCH("Tháng", '6. TIẾN ĐỘ MUA HÀNG'!$A$4:$AT$4, 0))) = TRIM($W$6)) * (INDEX('6. TIẾN ĐỘ MUA HÀNG'!$A:$AT, 0, XMATCH("Phân loại VTBB/NL", '6. TIẾN ĐỘ MUA HÀNG'!$A$4:$AT$4, 0)) &lt;&gt; ""))</f>
        <v>0</v>
      </c>
      <c r="X13" s="742">
        <f t="array" ref="X13">SUMPRODUCT(IFERROR(INDEX('6. TIẾN ĐỘ MUA HÀNG'!$A$5:$AT81, 0, XMATCH("Thành tiền đơn hàng", '6. TIẾN ĐỘ MUA HÀNG'!$A$4:$AT$4, 0)), 0) * (INDEX('6. TIẾN ĐỘ MUA HÀNG'!$A$5:$AT81, 0, XMATCH("Phân loại VTBB/NL", '6. TIẾN ĐỘ MUA HÀNG'!$A$4:$AT$4, 0)) = $B13) * (TRIM(INDEX('6. TIẾN ĐỘ MUA HÀNG'!$A$5:$AT81, 0, XMATCH("Tháng", '6. TIẾN ĐỘ MUA HÀNG'!$A$4:$AT$4, 0))) = TRIM(W$6)))</f>
        <v>0</v>
      </c>
      <c r="Y13" s="743">
        <f t="array" ref="Y13">SUMPRODUCT((INDEX('6. TIẾN ĐỘ MUA HÀNG'!$A:$AT, 0, XMATCH("Phân loại VTBB/NL", '6. TIẾN ĐỘ MUA HÀNG'!$A$4:$AT$4, 0)) = $B13) * (TRIM(INDEX('6. TIẾN ĐỘ MUA HÀNG'!$A:$AT, 0, XMATCH("Tháng", '6. TIẾN ĐỘ MUA HÀNG'!$A$4:$AT$4, 0))) = TRIM(Y$6)) * (INDEX('6. TIẾN ĐỘ MUA HÀNG'!$A:$AT, 0, XMATCH("Phân loại VTBB/NL", '6. TIẾN ĐỘ MUA HÀNG'!$A$4:$AT$4, 0)) &lt;&gt; ""))</f>
        <v>0</v>
      </c>
      <c r="Z13" s="744">
        <f t="array" ref="Z13">SUMPRODUCT(IFERROR(INDEX('6. TIẾN ĐỘ MUA HÀNG'!$A$5:$AT81, 0, XMATCH("Thành tiền đơn hàng", '6. TIẾN ĐỘ MUA HÀNG'!$A$4:$AT$4, 0)), 0) * (INDEX('6. TIẾN ĐỘ MUA HÀNG'!$A$5:$AT81, 0, XMATCH("Phân loại VTBB/NL", '6. TIẾN ĐỘ MUA HÀNG'!$A$4:$AT$4, 0)) = $B13) * (TRIM(INDEX('6. TIẾN ĐỘ MUA HÀNG'!$A$5:$AT81, 0, XMATCH("Tháng", '6. TIẾN ĐỘ MUA HÀNG'!$A$4:$AT$4, 0))) = TRIM(Y$6)))</f>
        <v>0</v>
      </c>
      <c r="AA13" s="726">
        <f t="shared" si="2"/>
        <v>0</v>
      </c>
      <c r="AB13" s="726">
        <f t="shared" si="3"/>
        <v>0</v>
      </c>
    </row>
    <row r="14">
      <c r="A14" s="612">
        <v>6.0</v>
      </c>
      <c r="B14" s="624" t="str">
        <f>IFERROR(__xludf.DUMMYFUNCTION("""COMPUTED_VALUE"""),"Hộp")</f>
        <v>Hộp</v>
      </c>
      <c r="C14" s="741">
        <f t="array" ref="C14">SUMPRODUCT((INDEX('6. TIẾN ĐỘ MUA HÀNG'!$A:$AT, 0, XMATCH("Phân loại VTBB/NL", '6. TIẾN ĐỘ MUA HÀNG'!$A$4:$AT$4, 0)) = $B14) * (TRIM(INDEX('6. TIẾN ĐỘ MUA HÀNG'!$A:$AT, 0, XMATCH("Tháng", '6. TIẾN ĐỘ MUA HÀNG'!$A$4:$AT$4, 0))) = TRIM($C$6)) * (INDEX('6. TIẾN ĐỘ MUA HÀNG'!$A:$AT, 0, XMATCH("Phân loại VTBB/NL", '6. TIẾN ĐỘ MUA HÀNG'!$A$4:$AT$4, 0)) &lt;&gt; ""))</f>
        <v>0</v>
      </c>
      <c r="D14" s="742">
        <f t="array" ref="D14">SUMPRODUCT(IFERROR(INDEX('6. TIẾN ĐỘ MUA HÀNG'!$A$5:$AT81, 0, XMATCH("Thành tiền đơn hàng", '6. TIẾN ĐỘ MUA HÀNG'!$A$4:$AT$4, 0)), 0) * (INDEX('6. TIẾN ĐỘ MUA HÀNG'!$A$5:$AT81, 0, XMATCH("Phân loại VTBB/NL", '6. TIẾN ĐỘ MUA HÀNG'!$A$4:$AT$4, 0)) = $B14) * (TRIM(INDEX('6. TIẾN ĐỘ MUA HÀNG'!$A$5:$AT81, 0, XMATCH("Tháng", '6. TIẾN ĐỘ MUA HÀNG'!$A$4:$AT$4, 0))) = TRIM(C$6)))</f>
        <v>0</v>
      </c>
      <c r="E14" s="743">
        <f t="array" ref="E14">SUMPRODUCT((INDEX('6. TIẾN ĐỘ MUA HÀNG'!$A:$AT, 0, XMATCH("Phân loại VTBB/NL", '6. TIẾN ĐỘ MUA HÀNG'!$A$4:$AT$4, 0)) = $B14) * (TRIM(INDEX('6. TIẾN ĐỘ MUA HÀNG'!$A:$AT, 0, XMATCH("Tháng", '6. TIẾN ĐỘ MUA HÀNG'!$A$4:$AT$4, 0))) = TRIM(E$6)) * (INDEX('6. TIẾN ĐỘ MUA HÀNG'!$A:$AT, 0, XMATCH("Phân loại VTBB/NL", '6. TIẾN ĐỘ MUA HÀNG'!$A$4:$AT$4, 0)) &lt;&gt; ""))</f>
        <v>0</v>
      </c>
      <c r="F14" s="744">
        <f t="array" ref="F14">SUMPRODUCT(IFERROR(INDEX('6. TIẾN ĐỘ MUA HÀNG'!$A$5:$AT81, 0, XMATCH("Thành tiền đơn hàng", '6. TIẾN ĐỘ MUA HÀNG'!$A$4:$AT$4, 0)), 0) * (INDEX('6. TIẾN ĐỘ MUA HÀNG'!$A$5:$AT81, 0, XMATCH("Phân loại VTBB/NL", '6. TIẾN ĐỘ MUA HÀNG'!$A$4:$AT$4, 0)) = $B14) * (TRIM(INDEX('6. TIẾN ĐỘ MUA HÀNG'!$A$5:$AT81, 0, XMATCH("Tháng", '6. TIẾN ĐỘ MUA HÀNG'!$A$4:$AT$4, 0))) = TRIM(E$6)))</f>
        <v>0</v>
      </c>
      <c r="G14" s="741">
        <f t="array" ref="G14">SUMPRODUCT((INDEX('6. TIẾN ĐỘ MUA HÀNG'!$A:$AT, 0, XMATCH("Phân loại VTBB/NL", '6. TIẾN ĐỘ MUA HÀNG'!$A$4:$AT$4, 0)) = $B14) * (TRIM(INDEX('6. TIẾN ĐỘ MUA HÀNG'!$A:$AT, 0, XMATCH("Tháng", '6. TIẾN ĐỘ MUA HÀNG'!$A$4:$AT$4, 0))) = TRIM($G$6)) * (INDEX('6. TIẾN ĐỘ MUA HÀNG'!$A:$AT, 0, XMATCH("Phân loại VTBB/NL", '6. TIẾN ĐỘ MUA HÀNG'!$A$4:$AT$4, 0)) &lt;&gt; ""))</f>
        <v>0</v>
      </c>
      <c r="H14" s="742">
        <f t="array" ref="H14">SUMPRODUCT(IFERROR(INDEX('6. TIẾN ĐỘ MUA HÀNG'!$A$5:$AT81, 0, XMATCH("Thành tiền đơn hàng", '6. TIẾN ĐỘ MUA HÀNG'!$A$4:$AT$4, 0)), 0) * (INDEX('6. TIẾN ĐỘ MUA HÀNG'!$A$5:$AT81, 0, XMATCH("Phân loại VTBB/NL", '6. TIẾN ĐỘ MUA HÀNG'!$A$4:$AT$4, 0)) = $B14) * (TRIM(INDEX('6. TIẾN ĐỘ MUA HÀNG'!$A$5:$AT81, 0, XMATCH("Tháng", '6. TIẾN ĐỘ MUA HÀNG'!$A$4:$AT$4, 0))) = TRIM(G$6)))</f>
        <v>0</v>
      </c>
      <c r="I14" s="743">
        <f t="array" ref="I14">SUMPRODUCT((INDEX('6. TIẾN ĐỘ MUA HÀNG'!$A:$AT, 0, XMATCH("Phân loại VTBB/NL", '6. TIẾN ĐỘ MUA HÀNG'!$A$4:$AT$4, 0)) = $B14) * (TRIM(INDEX('6. TIẾN ĐỘ MUA HÀNG'!$A:$AT, 0, XMATCH("Tháng", '6. TIẾN ĐỘ MUA HÀNG'!$A$4:$AT$4, 0))) = TRIM(I$6)) * (INDEX('6. TIẾN ĐỘ MUA HÀNG'!$A:$AT, 0, XMATCH("Phân loại VTBB/NL", '6. TIẾN ĐỘ MUA HÀNG'!$A$4:$AT$4, 0)) &lt;&gt; ""))</f>
        <v>0</v>
      </c>
      <c r="J14" s="744">
        <f t="array" ref="J14">SUMPRODUCT(IFERROR(INDEX('6. TIẾN ĐỘ MUA HÀNG'!$A$5:$AT81, 0, XMATCH("Thành tiền đơn hàng", '6. TIẾN ĐỘ MUA HÀNG'!$A$4:$AT$4, 0)), 0) * (INDEX('6. TIẾN ĐỘ MUA HÀNG'!$A$5:$AT81, 0, XMATCH("Phân loại VTBB/NL", '6. TIẾN ĐỘ MUA HÀNG'!$A$4:$AT$4, 0)) = $B14) * (TRIM(INDEX('6. TIẾN ĐỘ MUA HÀNG'!$A$5:$AT81, 0, XMATCH("Tháng", '6. TIẾN ĐỘ MUA HÀNG'!$A$4:$AT$4, 0))) = TRIM(I$6)))</f>
        <v>0</v>
      </c>
      <c r="K14" s="741">
        <f t="array" ref="K14">SUMPRODUCT((INDEX('6. TIẾN ĐỘ MUA HÀNG'!$A:$AT, 0, XMATCH("Phân loại VTBB/NL", '6. TIẾN ĐỘ MUA HÀNG'!$A$4:$AT$4, 0)) = $B14) * (TRIM(INDEX('6. TIẾN ĐỘ MUA HÀNG'!$A:$AT, 0, XMATCH("Tháng", '6. TIẾN ĐỘ MUA HÀNG'!$A$4:$AT$4, 0))) = TRIM($K$6)) * (INDEX('6. TIẾN ĐỘ MUA HÀNG'!$A:$AT, 0, XMATCH("Phân loại VTBB/NL", '6. TIẾN ĐỘ MUA HÀNG'!$A$4:$AT$4, 0)) &lt;&gt; ""))</f>
        <v>0</v>
      </c>
      <c r="L14" s="742">
        <f t="array" ref="L14">SUMPRODUCT(IFERROR(INDEX('6. TIẾN ĐỘ MUA HÀNG'!$A$5:$AT81, 0, XMATCH("Thành tiền đơn hàng", '6. TIẾN ĐỘ MUA HÀNG'!$A$4:$AT$4, 0)), 0) * (INDEX('6. TIẾN ĐỘ MUA HÀNG'!$A$5:$AT81, 0, XMATCH("Phân loại VTBB/NL", '6. TIẾN ĐỘ MUA HÀNG'!$A$4:$AT$4, 0)) = $B14) * (TRIM(INDEX('6. TIẾN ĐỘ MUA HÀNG'!$A$5:$AT81, 0, XMATCH("Tháng", '6. TIẾN ĐỘ MUA HÀNG'!$A$4:$AT$4, 0))) = TRIM(K$6)))</f>
        <v>0</v>
      </c>
      <c r="M14" s="743">
        <f t="array" ref="M14">SUMPRODUCT((INDEX('6. TIẾN ĐỘ MUA HÀNG'!$A:$AT, 0, XMATCH("Phân loại VTBB/NL", '6. TIẾN ĐỘ MUA HÀNG'!$A$4:$AT$4, 0)) = $B14) * (TRIM(INDEX('6. TIẾN ĐỘ MUA HÀNG'!$A:$AT, 0, XMATCH("Tháng", '6. TIẾN ĐỘ MUA HÀNG'!$A$4:$AT$4, 0))) = TRIM(M$6)) * (INDEX('6. TIẾN ĐỘ MUA HÀNG'!$A:$AT, 0, XMATCH("Phân loại VTBB/NL", '6. TIẾN ĐỘ MUA HÀNG'!$A$4:$AT$4, 0)) &lt;&gt; ""))</f>
        <v>0</v>
      </c>
      <c r="N14" s="744">
        <f t="array" ref="N14">SUMPRODUCT(IFERROR(INDEX('6. TIẾN ĐỘ MUA HÀNG'!$A$5:$AT81, 0, XMATCH("Thành tiền đơn hàng", '6. TIẾN ĐỘ MUA HÀNG'!$A$4:$AT$4, 0)), 0) * (INDEX('6. TIẾN ĐỘ MUA HÀNG'!$A$5:$AT81, 0, XMATCH("Phân loại VTBB/NL", '6. TIẾN ĐỘ MUA HÀNG'!$A$4:$AT$4, 0)) = $B14) * (TRIM(INDEX('6. TIẾN ĐỘ MUA HÀNG'!$A$5:$AT81, 0, XMATCH("Tháng", '6. TIẾN ĐỘ MUA HÀNG'!$A$4:$AT$4, 0))) = TRIM(M$6)))</f>
        <v>0</v>
      </c>
      <c r="O14" s="741">
        <f t="array" ref="O14">SUMPRODUCT((INDEX('6. TIẾN ĐỘ MUA HÀNG'!$A:$AT, 0, XMATCH("Phân loại VTBB/NL", '6. TIẾN ĐỘ MUA HÀNG'!$A$4:$AT$4, 0)) = $B14) * (TRIM(INDEX('6. TIẾN ĐỘ MUA HÀNG'!$A:$AT, 0, XMATCH("Tháng", '6. TIẾN ĐỘ MUA HÀNG'!$A$4:$AT$4, 0))) = TRIM($O$6)) * (INDEX('6. TIẾN ĐỘ MUA HÀNG'!$A:$AT, 0, XMATCH("Phân loại VTBB/NL", '6. TIẾN ĐỘ MUA HÀNG'!$A$4:$AT$4, 0)) &lt;&gt; ""))</f>
        <v>0</v>
      </c>
      <c r="P14" s="742">
        <f t="array" ref="P14">SUMPRODUCT(IFERROR(INDEX('6. TIẾN ĐỘ MUA HÀNG'!$A$5:$AT81, 0, XMATCH("Thành tiền đơn hàng", '6. TIẾN ĐỘ MUA HÀNG'!$A$4:$AT$4, 0)), 0) * (INDEX('6. TIẾN ĐỘ MUA HÀNG'!$A$5:$AT81, 0, XMATCH("Phân loại VTBB/NL", '6. TIẾN ĐỘ MUA HÀNG'!$A$4:$AT$4, 0)) = $B14) * (TRIM(INDEX('6. TIẾN ĐỘ MUA HÀNG'!$A$5:$AT81, 0, XMATCH("Tháng", '6. TIẾN ĐỘ MUA HÀNG'!$A$4:$AT$4, 0))) = TRIM(O$6)))</f>
        <v>0</v>
      </c>
      <c r="Q14" s="743">
        <f t="array" ref="Q14">SUMPRODUCT((INDEX('6. TIẾN ĐỘ MUA HÀNG'!$A:$AT, 0, XMATCH("Phân loại VTBB/NL", '6. TIẾN ĐỘ MUA HÀNG'!$A$4:$AT$4, 0)) = $B14) * (TRIM(INDEX('6. TIẾN ĐỘ MUA HÀNG'!$A:$AT, 0, XMATCH("Tháng", '6. TIẾN ĐỘ MUA HÀNG'!$A$4:$AT$4, 0))) = TRIM(Q$6)) * (INDEX('6. TIẾN ĐỘ MUA HÀNG'!$A:$AT, 0, XMATCH("Phân loại VTBB/NL", '6. TIẾN ĐỘ MUA HÀNG'!$A$4:$AT$4, 0)) &lt;&gt; ""))</f>
        <v>0</v>
      </c>
      <c r="R14" s="744">
        <f t="array" ref="R14">SUMPRODUCT(IFERROR(INDEX('6. TIẾN ĐỘ MUA HÀNG'!$A$5:$AT81, 0, XMATCH("Thành tiền đơn hàng", '6. TIẾN ĐỘ MUA HÀNG'!$A$4:$AT$4, 0)), 0) * (INDEX('6. TIẾN ĐỘ MUA HÀNG'!$A$5:$AT81, 0, XMATCH("Phân loại VTBB/NL", '6. TIẾN ĐỘ MUA HÀNG'!$A$4:$AT$4, 0)) = $B14) * (TRIM(INDEX('6. TIẾN ĐỘ MUA HÀNG'!$A$5:$AT81, 0, XMATCH("Tháng", '6. TIẾN ĐỘ MUA HÀNG'!$A$4:$AT$4, 0))) = TRIM(Q$6)))</f>
        <v>0</v>
      </c>
      <c r="S14" s="741">
        <f t="array" ref="S14">SUMPRODUCT((INDEX('6. TIẾN ĐỘ MUA HÀNG'!$A:$AT, 0, XMATCH("Phân loại VTBB/NL", '6. TIẾN ĐỘ MUA HÀNG'!$A$4:$AT$4, 0)) = $B14) * (TRIM(INDEX('6. TIẾN ĐỘ MUA HÀNG'!$A:$AT, 0, XMATCH("Tháng", '6. TIẾN ĐỘ MUA HÀNG'!$A$4:$AT$4, 0))) = TRIM($S$6)) * (INDEX('6. TIẾN ĐỘ MUA HÀNG'!$A:$AT, 0, XMATCH("Phân loại VTBB/NL", '6. TIẾN ĐỘ MUA HÀNG'!$A$4:$AT$4, 0)) &lt;&gt; ""))</f>
        <v>0</v>
      </c>
      <c r="T14" s="742">
        <f t="array" ref="T14">SUMPRODUCT(IFERROR(INDEX('6. TIẾN ĐỘ MUA HÀNG'!$A$5:$AT81, 0, XMATCH("Thành tiền đơn hàng", '6. TIẾN ĐỘ MUA HÀNG'!$A$4:$AT$4, 0)), 0) * (INDEX('6. TIẾN ĐỘ MUA HÀNG'!$A$5:$AT81, 0, XMATCH("Phân loại VTBB/NL", '6. TIẾN ĐỘ MUA HÀNG'!$A$4:$AT$4, 0)) = $B14) * (TRIM(INDEX('6. TIẾN ĐỘ MUA HÀNG'!$A$5:$AT81, 0, XMATCH("Tháng", '6. TIẾN ĐỘ MUA HÀNG'!$A$4:$AT$4, 0))) = TRIM(S$6)))</f>
        <v>0</v>
      </c>
      <c r="U14" s="743">
        <f t="array" ref="U14">SUMPRODUCT((INDEX('6. TIẾN ĐỘ MUA HÀNG'!$A:$AT, 0, XMATCH("Phân loại VTBB/NL", '6. TIẾN ĐỘ MUA HÀNG'!$A$4:$AT$4, 0)) = $B14) * (TRIM(INDEX('6. TIẾN ĐỘ MUA HÀNG'!$A:$AT, 0, XMATCH("Tháng", '6. TIẾN ĐỘ MUA HÀNG'!$A$4:$AT$4, 0))) = TRIM(U$6)) * (INDEX('6. TIẾN ĐỘ MUA HÀNG'!$A:$AT, 0, XMATCH("Phân loại VTBB/NL", '6. TIẾN ĐỘ MUA HÀNG'!$A$4:$AT$4, 0)) &lt;&gt; ""))</f>
        <v>0</v>
      </c>
      <c r="V14" s="744">
        <f t="array" ref="V14">SUMPRODUCT(IFERROR(INDEX('6. TIẾN ĐỘ MUA HÀNG'!$A$5:$AT81, 0, XMATCH("Thành tiền đơn hàng", '6. TIẾN ĐỘ MUA HÀNG'!$A$4:$AT$4, 0)), 0) * (INDEX('6. TIẾN ĐỘ MUA HÀNG'!$A$5:$AT81, 0, XMATCH("Phân loại VTBB/NL", '6. TIẾN ĐỘ MUA HÀNG'!$A$4:$AT$4, 0)) = $B14) * (TRIM(INDEX('6. TIẾN ĐỘ MUA HÀNG'!$A$5:$AT81, 0, XMATCH("Tháng", '6. TIẾN ĐỘ MUA HÀNG'!$A$4:$AT$4, 0))) = TRIM(U$6)))</f>
        <v>0</v>
      </c>
      <c r="W14" s="741">
        <f t="array" ref="W14">SUMPRODUCT((INDEX('6. TIẾN ĐỘ MUA HÀNG'!$A:$AT, 0, XMATCH("Phân loại VTBB/NL", '6. TIẾN ĐỘ MUA HÀNG'!$A$4:$AT$4, 0)) = $B14) * (TRIM(INDEX('6. TIẾN ĐỘ MUA HÀNG'!$A:$AT, 0, XMATCH("Tháng", '6. TIẾN ĐỘ MUA HÀNG'!$A$4:$AT$4, 0))) = TRIM($W$6)) * (INDEX('6. TIẾN ĐỘ MUA HÀNG'!$A:$AT, 0, XMATCH("Phân loại VTBB/NL", '6. TIẾN ĐỘ MUA HÀNG'!$A$4:$AT$4, 0)) &lt;&gt; ""))</f>
        <v>0</v>
      </c>
      <c r="X14" s="742">
        <f t="array" ref="X14">SUMPRODUCT(IFERROR(INDEX('6. TIẾN ĐỘ MUA HÀNG'!$A$5:$AT81, 0, XMATCH("Thành tiền đơn hàng", '6. TIẾN ĐỘ MUA HÀNG'!$A$4:$AT$4, 0)), 0) * (INDEX('6. TIẾN ĐỘ MUA HÀNG'!$A$5:$AT81, 0, XMATCH("Phân loại VTBB/NL", '6. TIẾN ĐỘ MUA HÀNG'!$A$4:$AT$4, 0)) = $B14) * (TRIM(INDEX('6. TIẾN ĐỘ MUA HÀNG'!$A$5:$AT81, 0, XMATCH("Tháng", '6. TIẾN ĐỘ MUA HÀNG'!$A$4:$AT$4, 0))) = TRIM(W$6)))</f>
        <v>0</v>
      </c>
      <c r="Y14" s="743">
        <f t="array" ref="Y14">SUMPRODUCT((INDEX('6. TIẾN ĐỘ MUA HÀNG'!$A:$AT, 0, XMATCH("Phân loại VTBB/NL", '6. TIẾN ĐỘ MUA HÀNG'!$A$4:$AT$4, 0)) = $B14) * (TRIM(INDEX('6. TIẾN ĐỘ MUA HÀNG'!$A:$AT, 0, XMATCH("Tháng", '6. TIẾN ĐỘ MUA HÀNG'!$A$4:$AT$4, 0))) = TRIM(Y$6)) * (INDEX('6. TIẾN ĐỘ MUA HÀNG'!$A:$AT, 0, XMATCH("Phân loại VTBB/NL", '6. TIẾN ĐỘ MUA HÀNG'!$A$4:$AT$4, 0)) &lt;&gt; ""))</f>
        <v>0</v>
      </c>
      <c r="Z14" s="744">
        <f t="array" ref="Z14">SUMPRODUCT(IFERROR(INDEX('6. TIẾN ĐỘ MUA HÀNG'!$A$5:$AT81, 0, XMATCH("Thành tiền đơn hàng", '6. TIẾN ĐỘ MUA HÀNG'!$A$4:$AT$4, 0)), 0) * (INDEX('6. TIẾN ĐỘ MUA HÀNG'!$A$5:$AT81, 0, XMATCH("Phân loại VTBB/NL", '6. TIẾN ĐỘ MUA HÀNG'!$A$4:$AT$4, 0)) = $B14) * (TRIM(INDEX('6. TIẾN ĐỘ MUA HÀNG'!$A$5:$AT81, 0, XMATCH("Tháng", '6. TIẾN ĐỘ MUA HÀNG'!$A$4:$AT$4, 0))) = TRIM(Y$6)))</f>
        <v>0</v>
      </c>
      <c r="AA14" s="726">
        <f t="shared" si="2"/>
        <v>0</v>
      </c>
      <c r="AB14" s="726">
        <f t="shared" si="3"/>
        <v>0</v>
      </c>
    </row>
    <row r="15">
      <c r="A15" s="612">
        <v>7.0</v>
      </c>
      <c r="B15" s="624" t="str">
        <f>IFERROR(__xludf.DUMMYFUNCTION("""COMPUTED_VALUE"""),"Can/Xô")</f>
        <v>Can/Xô</v>
      </c>
      <c r="C15" s="741">
        <f t="array" ref="C15">SUMPRODUCT((INDEX('6. TIẾN ĐỘ MUA HÀNG'!$A:$AT, 0, XMATCH("Phân loại VTBB/NL", '6. TIẾN ĐỘ MUA HÀNG'!$A$4:$AT$4, 0)) = $B15) * (TRIM(INDEX('6. TIẾN ĐỘ MUA HÀNG'!$A:$AT, 0, XMATCH("Tháng", '6. TIẾN ĐỘ MUA HÀNG'!$A$4:$AT$4, 0))) = TRIM($C$6)) * (INDEX('6. TIẾN ĐỘ MUA HÀNG'!$A:$AT, 0, XMATCH("Phân loại VTBB/NL", '6. TIẾN ĐỘ MUA HÀNG'!$A$4:$AT$4, 0)) &lt;&gt; ""))</f>
        <v>0</v>
      </c>
      <c r="D15" s="742">
        <f t="array" ref="D15">SUMPRODUCT(IFERROR(INDEX('6. TIẾN ĐỘ MUA HÀNG'!$A$5:$AT81, 0, XMATCH("Thành tiền đơn hàng", '6. TIẾN ĐỘ MUA HÀNG'!$A$4:$AT$4, 0)), 0) * (INDEX('6. TIẾN ĐỘ MUA HÀNG'!$A$5:$AT81, 0, XMATCH("Phân loại VTBB/NL", '6. TIẾN ĐỘ MUA HÀNG'!$A$4:$AT$4, 0)) = $B15) * (TRIM(INDEX('6. TIẾN ĐỘ MUA HÀNG'!$A$5:$AT81, 0, XMATCH("Tháng", '6. TIẾN ĐỘ MUA HÀNG'!$A$4:$AT$4, 0))) = TRIM(C$6)))</f>
        <v>0</v>
      </c>
      <c r="E15" s="743">
        <f t="array" ref="E15">SUMPRODUCT((INDEX('6. TIẾN ĐỘ MUA HÀNG'!$A:$AT, 0, XMATCH("Phân loại VTBB/NL", '6. TIẾN ĐỘ MUA HÀNG'!$A$4:$AT$4, 0)) = $B15) * (TRIM(INDEX('6. TIẾN ĐỘ MUA HÀNG'!$A:$AT, 0, XMATCH("Tháng", '6. TIẾN ĐỘ MUA HÀNG'!$A$4:$AT$4, 0))) = TRIM(E$6)) * (INDEX('6. TIẾN ĐỘ MUA HÀNG'!$A:$AT, 0, XMATCH("Phân loại VTBB/NL", '6. TIẾN ĐỘ MUA HÀNG'!$A$4:$AT$4, 0)) &lt;&gt; ""))</f>
        <v>0</v>
      </c>
      <c r="F15" s="744">
        <f t="array" ref="F15">SUMPRODUCT(IFERROR(INDEX('6. TIẾN ĐỘ MUA HÀNG'!$A$5:$AT81, 0, XMATCH("Thành tiền đơn hàng", '6. TIẾN ĐỘ MUA HÀNG'!$A$4:$AT$4, 0)), 0) * (INDEX('6. TIẾN ĐỘ MUA HÀNG'!$A$5:$AT81, 0, XMATCH("Phân loại VTBB/NL", '6. TIẾN ĐỘ MUA HÀNG'!$A$4:$AT$4, 0)) = $B15) * (TRIM(INDEX('6. TIẾN ĐỘ MUA HÀNG'!$A$5:$AT81, 0, XMATCH("Tháng", '6. TIẾN ĐỘ MUA HÀNG'!$A$4:$AT$4, 0))) = TRIM(E$6)))</f>
        <v>0</v>
      </c>
      <c r="G15" s="741">
        <f t="array" ref="G15">SUMPRODUCT((INDEX('6. TIẾN ĐỘ MUA HÀNG'!$A:$AT, 0, XMATCH("Phân loại VTBB/NL", '6. TIẾN ĐỘ MUA HÀNG'!$A$4:$AT$4, 0)) = $B15) * (TRIM(INDEX('6. TIẾN ĐỘ MUA HÀNG'!$A:$AT, 0, XMATCH("Tháng", '6. TIẾN ĐỘ MUA HÀNG'!$A$4:$AT$4, 0))) = TRIM($G$6)) * (INDEX('6. TIẾN ĐỘ MUA HÀNG'!$A:$AT, 0, XMATCH("Phân loại VTBB/NL", '6. TIẾN ĐỘ MUA HÀNG'!$A$4:$AT$4, 0)) &lt;&gt; ""))</f>
        <v>0</v>
      </c>
      <c r="H15" s="742">
        <f t="array" ref="H15">SUMPRODUCT(IFERROR(INDEX('6. TIẾN ĐỘ MUA HÀNG'!$A$5:$AT81, 0, XMATCH("Thành tiền đơn hàng", '6. TIẾN ĐỘ MUA HÀNG'!$A$4:$AT$4, 0)), 0) * (INDEX('6. TIẾN ĐỘ MUA HÀNG'!$A$5:$AT81, 0, XMATCH("Phân loại VTBB/NL", '6. TIẾN ĐỘ MUA HÀNG'!$A$4:$AT$4, 0)) = $B15) * (TRIM(INDEX('6. TIẾN ĐỘ MUA HÀNG'!$A$5:$AT81, 0, XMATCH("Tháng", '6. TIẾN ĐỘ MUA HÀNG'!$A$4:$AT$4, 0))) = TRIM(G$6)))</f>
        <v>0</v>
      </c>
      <c r="I15" s="743">
        <f t="array" ref="I15">SUMPRODUCT((INDEX('6. TIẾN ĐỘ MUA HÀNG'!$A:$AT, 0, XMATCH("Phân loại VTBB/NL", '6. TIẾN ĐỘ MUA HÀNG'!$A$4:$AT$4, 0)) = $B15) * (TRIM(INDEX('6. TIẾN ĐỘ MUA HÀNG'!$A:$AT, 0, XMATCH("Tháng", '6. TIẾN ĐỘ MUA HÀNG'!$A$4:$AT$4, 0))) = TRIM(I$6)) * (INDEX('6. TIẾN ĐỘ MUA HÀNG'!$A:$AT, 0, XMATCH("Phân loại VTBB/NL", '6. TIẾN ĐỘ MUA HÀNG'!$A$4:$AT$4, 0)) &lt;&gt; ""))</f>
        <v>0</v>
      </c>
      <c r="J15" s="744">
        <f t="array" ref="J15">SUMPRODUCT(IFERROR(INDEX('6. TIẾN ĐỘ MUA HÀNG'!$A$5:$AT81, 0, XMATCH("Thành tiền đơn hàng", '6. TIẾN ĐỘ MUA HÀNG'!$A$4:$AT$4, 0)), 0) * (INDEX('6. TIẾN ĐỘ MUA HÀNG'!$A$5:$AT81, 0, XMATCH("Phân loại VTBB/NL", '6. TIẾN ĐỘ MUA HÀNG'!$A$4:$AT$4, 0)) = $B15) * (TRIM(INDEX('6. TIẾN ĐỘ MUA HÀNG'!$A$5:$AT81, 0, XMATCH("Tháng", '6. TIẾN ĐỘ MUA HÀNG'!$A$4:$AT$4, 0))) = TRIM(I$6)))</f>
        <v>0</v>
      </c>
      <c r="K15" s="741">
        <f t="array" ref="K15">SUMPRODUCT((INDEX('6. TIẾN ĐỘ MUA HÀNG'!$A:$AT, 0, XMATCH("Phân loại VTBB/NL", '6. TIẾN ĐỘ MUA HÀNG'!$A$4:$AT$4, 0)) = $B15) * (TRIM(INDEX('6. TIẾN ĐỘ MUA HÀNG'!$A:$AT, 0, XMATCH("Tháng", '6. TIẾN ĐỘ MUA HÀNG'!$A$4:$AT$4, 0))) = TRIM($K$6)) * (INDEX('6. TIẾN ĐỘ MUA HÀNG'!$A:$AT, 0, XMATCH("Phân loại VTBB/NL", '6. TIẾN ĐỘ MUA HÀNG'!$A$4:$AT$4, 0)) &lt;&gt; ""))</f>
        <v>0</v>
      </c>
      <c r="L15" s="742">
        <f t="array" ref="L15">SUMPRODUCT(IFERROR(INDEX('6. TIẾN ĐỘ MUA HÀNG'!$A$5:$AT81, 0, XMATCH("Thành tiền đơn hàng", '6. TIẾN ĐỘ MUA HÀNG'!$A$4:$AT$4, 0)), 0) * (INDEX('6. TIẾN ĐỘ MUA HÀNG'!$A$5:$AT81, 0, XMATCH("Phân loại VTBB/NL", '6. TIẾN ĐỘ MUA HÀNG'!$A$4:$AT$4, 0)) = $B15) * (TRIM(INDEX('6. TIẾN ĐỘ MUA HÀNG'!$A$5:$AT81, 0, XMATCH("Tháng", '6. TIẾN ĐỘ MUA HÀNG'!$A$4:$AT$4, 0))) = TRIM(K$6)))</f>
        <v>0</v>
      </c>
      <c r="M15" s="743">
        <f t="array" ref="M15">SUMPRODUCT((INDEX('6. TIẾN ĐỘ MUA HÀNG'!$A:$AT, 0, XMATCH("Phân loại VTBB/NL", '6. TIẾN ĐỘ MUA HÀNG'!$A$4:$AT$4, 0)) = $B15) * (TRIM(INDEX('6. TIẾN ĐỘ MUA HÀNG'!$A:$AT, 0, XMATCH("Tháng", '6. TIẾN ĐỘ MUA HÀNG'!$A$4:$AT$4, 0))) = TRIM(M$6)) * (INDEX('6. TIẾN ĐỘ MUA HÀNG'!$A:$AT, 0, XMATCH("Phân loại VTBB/NL", '6. TIẾN ĐỘ MUA HÀNG'!$A$4:$AT$4, 0)) &lt;&gt; ""))</f>
        <v>0</v>
      </c>
      <c r="N15" s="744">
        <f t="array" ref="N15">SUMPRODUCT(IFERROR(INDEX('6. TIẾN ĐỘ MUA HÀNG'!$A$5:$AT81, 0, XMATCH("Thành tiền đơn hàng", '6. TIẾN ĐỘ MUA HÀNG'!$A$4:$AT$4, 0)), 0) * (INDEX('6. TIẾN ĐỘ MUA HÀNG'!$A$5:$AT81, 0, XMATCH("Phân loại VTBB/NL", '6. TIẾN ĐỘ MUA HÀNG'!$A$4:$AT$4, 0)) = $B15) * (TRIM(INDEX('6. TIẾN ĐỘ MUA HÀNG'!$A$5:$AT81, 0, XMATCH("Tháng", '6. TIẾN ĐỘ MUA HÀNG'!$A$4:$AT$4, 0))) = TRIM(M$6)))</f>
        <v>0</v>
      </c>
      <c r="O15" s="741">
        <f t="array" ref="O15">SUMPRODUCT((INDEX('6. TIẾN ĐỘ MUA HÀNG'!$A:$AT, 0, XMATCH("Phân loại VTBB/NL", '6. TIẾN ĐỘ MUA HÀNG'!$A$4:$AT$4, 0)) = $B15) * (TRIM(INDEX('6. TIẾN ĐỘ MUA HÀNG'!$A:$AT, 0, XMATCH("Tháng", '6. TIẾN ĐỘ MUA HÀNG'!$A$4:$AT$4, 0))) = TRIM($O$6)) * (INDEX('6. TIẾN ĐỘ MUA HÀNG'!$A:$AT, 0, XMATCH("Phân loại VTBB/NL", '6. TIẾN ĐỘ MUA HÀNG'!$A$4:$AT$4, 0)) &lt;&gt; ""))</f>
        <v>0</v>
      </c>
      <c r="P15" s="742">
        <f t="array" ref="P15">SUMPRODUCT(IFERROR(INDEX('6. TIẾN ĐỘ MUA HÀNG'!$A$5:$AT81, 0, XMATCH("Thành tiền đơn hàng", '6. TIẾN ĐỘ MUA HÀNG'!$A$4:$AT$4, 0)), 0) * (INDEX('6. TIẾN ĐỘ MUA HÀNG'!$A$5:$AT81, 0, XMATCH("Phân loại VTBB/NL", '6. TIẾN ĐỘ MUA HÀNG'!$A$4:$AT$4, 0)) = $B15) * (TRIM(INDEX('6. TIẾN ĐỘ MUA HÀNG'!$A$5:$AT81, 0, XMATCH("Tháng", '6. TIẾN ĐỘ MUA HÀNG'!$A$4:$AT$4, 0))) = TRIM(O$6)))</f>
        <v>0</v>
      </c>
      <c r="Q15" s="743">
        <f t="array" ref="Q15">SUMPRODUCT((INDEX('6. TIẾN ĐỘ MUA HÀNG'!$A:$AT, 0, XMATCH("Phân loại VTBB/NL", '6. TIẾN ĐỘ MUA HÀNG'!$A$4:$AT$4, 0)) = $B15) * (TRIM(INDEX('6. TIẾN ĐỘ MUA HÀNG'!$A:$AT, 0, XMATCH("Tháng", '6. TIẾN ĐỘ MUA HÀNG'!$A$4:$AT$4, 0))) = TRIM(Q$6)) * (INDEX('6. TIẾN ĐỘ MUA HÀNG'!$A:$AT, 0, XMATCH("Phân loại VTBB/NL", '6. TIẾN ĐỘ MUA HÀNG'!$A$4:$AT$4, 0)) &lt;&gt; ""))</f>
        <v>0</v>
      </c>
      <c r="R15" s="744">
        <f t="array" ref="R15">SUMPRODUCT(IFERROR(INDEX('6. TIẾN ĐỘ MUA HÀNG'!$A$5:$AT81, 0, XMATCH("Thành tiền đơn hàng", '6. TIẾN ĐỘ MUA HÀNG'!$A$4:$AT$4, 0)), 0) * (INDEX('6. TIẾN ĐỘ MUA HÀNG'!$A$5:$AT81, 0, XMATCH("Phân loại VTBB/NL", '6. TIẾN ĐỘ MUA HÀNG'!$A$4:$AT$4, 0)) = $B15) * (TRIM(INDEX('6. TIẾN ĐỘ MUA HÀNG'!$A$5:$AT81, 0, XMATCH("Tháng", '6. TIẾN ĐỘ MUA HÀNG'!$A$4:$AT$4, 0))) = TRIM(Q$6)))</f>
        <v>0</v>
      </c>
      <c r="S15" s="741">
        <f t="array" ref="S15">SUMPRODUCT((INDEX('6. TIẾN ĐỘ MUA HÀNG'!$A:$AT, 0, XMATCH("Phân loại VTBB/NL", '6. TIẾN ĐỘ MUA HÀNG'!$A$4:$AT$4, 0)) = $B15) * (TRIM(INDEX('6. TIẾN ĐỘ MUA HÀNG'!$A:$AT, 0, XMATCH("Tháng", '6. TIẾN ĐỘ MUA HÀNG'!$A$4:$AT$4, 0))) = TRIM($S$6)) * (INDEX('6. TIẾN ĐỘ MUA HÀNG'!$A:$AT, 0, XMATCH("Phân loại VTBB/NL", '6. TIẾN ĐỘ MUA HÀNG'!$A$4:$AT$4, 0)) &lt;&gt; ""))</f>
        <v>0</v>
      </c>
      <c r="T15" s="742">
        <f t="array" ref="T15">SUMPRODUCT(IFERROR(INDEX('6. TIẾN ĐỘ MUA HÀNG'!$A$5:$AT81, 0, XMATCH("Thành tiền đơn hàng", '6. TIẾN ĐỘ MUA HÀNG'!$A$4:$AT$4, 0)), 0) * (INDEX('6. TIẾN ĐỘ MUA HÀNG'!$A$5:$AT81, 0, XMATCH("Phân loại VTBB/NL", '6. TIẾN ĐỘ MUA HÀNG'!$A$4:$AT$4, 0)) = $B15) * (TRIM(INDEX('6. TIẾN ĐỘ MUA HÀNG'!$A$5:$AT81, 0, XMATCH("Tháng", '6. TIẾN ĐỘ MUA HÀNG'!$A$4:$AT$4, 0))) = TRIM(S$6)))</f>
        <v>0</v>
      </c>
      <c r="U15" s="743">
        <f t="array" ref="U15">SUMPRODUCT((INDEX('6. TIẾN ĐỘ MUA HÀNG'!$A:$AT, 0, XMATCH("Phân loại VTBB/NL", '6. TIẾN ĐỘ MUA HÀNG'!$A$4:$AT$4, 0)) = $B15) * (TRIM(INDEX('6. TIẾN ĐỘ MUA HÀNG'!$A:$AT, 0, XMATCH("Tháng", '6. TIẾN ĐỘ MUA HÀNG'!$A$4:$AT$4, 0))) = TRIM(U$6)) * (INDEX('6. TIẾN ĐỘ MUA HÀNG'!$A:$AT, 0, XMATCH("Phân loại VTBB/NL", '6. TIẾN ĐỘ MUA HÀNG'!$A$4:$AT$4, 0)) &lt;&gt; ""))</f>
        <v>0</v>
      </c>
      <c r="V15" s="744">
        <f t="array" ref="V15">SUMPRODUCT(IFERROR(INDEX('6. TIẾN ĐỘ MUA HÀNG'!$A$5:$AT81, 0, XMATCH("Thành tiền đơn hàng", '6. TIẾN ĐỘ MUA HÀNG'!$A$4:$AT$4, 0)), 0) * (INDEX('6. TIẾN ĐỘ MUA HÀNG'!$A$5:$AT81, 0, XMATCH("Phân loại VTBB/NL", '6. TIẾN ĐỘ MUA HÀNG'!$A$4:$AT$4, 0)) = $B15) * (TRIM(INDEX('6. TIẾN ĐỘ MUA HÀNG'!$A$5:$AT81, 0, XMATCH("Tháng", '6. TIẾN ĐỘ MUA HÀNG'!$A$4:$AT$4, 0))) = TRIM(U$6)))</f>
        <v>0</v>
      </c>
      <c r="W15" s="741">
        <f t="array" ref="W15">SUMPRODUCT((INDEX('6. TIẾN ĐỘ MUA HÀNG'!$A:$AT, 0, XMATCH("Phân loại VTBB/NL", '6. TIẾN ĐỘ MUA HÀNG'!$A$4:$AT$4, 0)) = $B15) * (TRIM(INDEX('6. TIẾN ĐỘ MUA HÀNG'!$A:$AT, 0, XMATCH("Tháng", '6. TIẾN ĐỘ MUA HÀNG'!$A$4:$AT$4, 0))) = TRIM($W$6)) * (INDEX('6. TIẾN ĐỘ MUA HÀNG'!$A:$AT, 0, XMATCH("Phân loại VTBB/NL", '6. TIẾN ĐỘ MUA HÀNG'!$A$4:$AT$4, 0)) &lt;&gt; ""))</f>
        <v>0</v>
      </c>
      <c r="X15" s="742">
        <f t="array" ref="X15">SUMPRODUCT(IFERROR(INDEX('6. TIẾN ĐỘ MUA HÀNG'!$A$5:$AT81, 0, XMATCH("Thành tiền đơn hàng", '6. TIẾN ĐỘ MUA HÀNG'!$A$4:$AT$4, 0)), 0) * (INDEX('6. TIẾN ĐỘ MUA HÀNG'!$A$5:$AT81, 0, XMATCH("Phân loại VTBB/NL", '6. TIẾN ĐỘ MUA HÀNG'!$A$4:$AT$4, 0)) = $B15) * (TRIM(INDEX('6. TIẾN ĐỘ MUA HÀNG'!$A$5:$AT81, 0, XMATCH("Tháng", '6. TIẾN ĐỘ MUA HÀNG'!$A$4:$AT$4, 0))) = TRIM(W$6)))</f>
        <v>0</v>
      </c>
      <c r="Y15" s="743">
        <f t="array" ref="Y15">SUMPRODUCT((INDEX('6. TIẾN ĐỘ MUA HÀNG'!$A:$AT, 0, XMATCH("Phân loại VTBB/NL", '6. TIẾN ĐỘ MUA HÀNG'!$A$4:$AT$4, 0)) = $B15) * (TRIM(INDEX('6. TIẾN ĐỘ MUA HÀNG'!$A:$AT, 0, XMATCH("Tháng", '6. TIẾN ĐỘ MUA HÀNG'!$A$4:$AT$4, 0))) = TRIM(Y$6)) * (INDEX('6. TIẾN ĐỘ MUA HÀNG'!$A:$AT, 0, XMATCH("Phân loại VTBB/NL", '6. TIẾN ĐỘ MUA HÀNG'!$A$4:$AT$4, 0)) &lt;&gt; ""))</f>
        <v>0</v>
      </c>
      <c r="Z15" s="744">
        <f t="array" ref="Z15">SUMPRODUCT(IFERROR(INDEX('6. TIẾN ĐỘ MUA HÀNG'!$A$5:$AT81, 0, XMATCH("Thành tiền đơn hàng", '6. TIẾN ĐỘ MUA HÀNG'!$A$4:$AT$4, 0)), 0) * (INDEX('6. TIẾN ĐỘ MUA HÀNG'!$A$5:$AT81, 0, XMATCH("Phân loại VTBB/NL", '6. TIẾN ĐỘ MUA HÀNG'!$A$4:$AT$4, 0)) = $B15) * (TRIM(INDEX('6. TIẾN ĐỘ MUA HÀNG'!$A$5:$AT81, 0, XMATCH("Tháng", '6. TIẾN ĐỘ MUA HÀNG'!$A$4:$AT$4, 0))) = TRIM(Y$6)))</f>
        <v>0</v>
      </c>
      <c r="AA15" s="726">
        <f t="shared" si="2"/>
        <v>0</v>
      </c>
      <c r="AB15" s="726">
        <f t="shared" si="3"/>
        <v>0</v>
      </c>
    </row>
    <row r="16">
      <c r="A16" s="612">
        <v>8.0</v>
      </c>
      <c r="B16" s="624" t="str">
        <f>IFERROR(__xludf.DUMMYFUNCTION("""COMPUTED_VALUE"""),"NL")</f>
        <v>NL</v>
      </c>
      <c r="C16" s="741">
        <f t="array" ref="C16">SUMPRODUCT((INDEX('6. TIẾN ĐỘ MUA HÀNG'!$A:$AT, 0, XMATCH("Phân loại VTBB/NL", '6. TIẾN ĐỘ MUA HÀNG'!$A$4:$AT$4, 0)) = $B16) * (TRIM(INDEX('6. TIẾN ĐỘ MUA HÀNG'!$A:$AT, 0, XMATCH("Tháng", '6. TIẾN ĐỘ MUA HÀNG'!$A$4:$AT$4, 0))) = TRIM($C$6)) * (INDEX('6. TIẾN ĐỘ MUA HÀNG'!$A:$AT, 0, XMATCH("Phân loại VTBB/NL", '6. TIẾN ĐỘ MUA HÀNG'!$A$4:$AT$4, 0)) &lt;&gt; ""))</f>
        <v>0</v>
      </c>
      <c r="D16" s="742">
        <f t="array" ref="D16">SUMPRODUCT(IFERROR(INDEX('6. TIẾN ĐỘ MUA HÀNG'!$A$5:$AT81, 0, XMATCH("Thành tiền đơn hàng", '6. TIẾN ĐỘ MUA HÀNG'!$A$4:$AT$4, 0)), 0) * (INDEX('6. TIẾN ĐỘ MUA HÀNG'!$A$5:$AT81, 0, XMATCH("Phân loại VTBB/NL", '6. TIẾN ĐỘ MUA HÀNG'!$A$4:$AT$4, 0)) = $B16) * (TRIM(INDEX('6. TIẾN ĐỘ MUA HÀNG'!$A$5:$AT81, 0, XMATCH("Tháng", '6. TIẾN ĐỘ MUA HÀNG'!$A$4:$AT$4, 0))) = TRIM(C$6)))</f>
        <v>0</v>
      </c>
      <c r="E16" s="743">
        <f t="array" ref="E16">SUMPRODUCT((INDEX('6. TIẾN ĐỘ MUA HÀNG'!$A:$AT, 0, XMATCH("Phân loại VTBB/NL", '6. TIẾN ĐỘ MUA HÀNG'!$A$4:$AT$4, 0)) = $B16) * (TRIM(INDEX('6. TIẾN ĐỘ MUA HÀNG'!$A:$AT, 0, XMATCH("Tháng", '6. TIẾN ĐỘ MUA HÀNG'!$A$4:$AT$4, 0))) = TRIM(E$6)) * (INDEX('6. TIẾN ĐỘ MUA HÀNG'!$A:$AT, 0, XMATCH("Phân loại VTBB/NL", '6. TIẾN ĐỘ MUA HÀNG'!$A$4:$AT$4, 0)) &lt;&gt; ""))</f>
        <v>0</v>
      </c>
      <c r="F16" s="744">
        <f t="array" ref="F16">SUMPRODUCT(IFERROR(INDEX('6. TIẾN ĐỘ MUA HÀNG'!$A$5:$AT81, 0, XMATCH("Thành tiền đơn hàng", '6. TIẾN ĐỘ MUA HÀNG'!$A$4:$AT$4, 0)), 0) * (INDEX('6. TIẾN ĐỘ MUA HÀNG'!$A$5:$AT81, 0, XMATCH("Phân loại VTBB/NL", '6. TIẾN ĐỘ MUA HÀNG'!$A$4:$AT$4, 0)) = $B16) * (TRIM(INDEX('6. TIẾN ĐỘ MUA HÀNG'!$A$5:$AT81, 0, XMATCH("Tháng", '6. TIẾN ĐỘ MUA HÀNG'!$A$4:$AT$4, 0))) = TRIM(E$6)))</f>
        <v>0</v>
      </c>
      <c r="G16" s="741">
        <f t="array" ref="G16">SUMPRODUCT((INDEX('6. TIẾN ĐỘ MUA HÀNG'!$A:$AT, 0, XMATCH("Phân loại VTBB/NL", '6. TIẾN ĐỘ MUA HÀNG'!$A$4:$AT$4, 0)) = $B16) * (TRIM(INDEX('6. TIẾN ĐỘ MUA HÀNG'!$A:$AT, 0, XMATCH("Tháng", '6. TIẾN ĐỘ MUA HÀNG'!$A$4:$AT$4, 0))) = TRIM($G$6)) * (INDEX('6. TIẾN ĐỘ MUA HÀNG'!$A:$AT, 0, XMATCH("Phân loại VTBB/NL", '6. TIẾN ĐỘ MUA HÀNG'!$A$4:$AT$4, 0)) &lt;&gt; ""))</f>
        <v>0</v>
      </c>
      <c r="H16" s="742">
        <f t="array" ref="H16">SUMPRODUCT(IFERROR(INDEX('6. TIẾN ĐỘ MUA HÀNG'!$A$5:$AT81, 0, XMATCH("Thành tiền đơn hàng", '6. TIẾN ĐỘ MUA HÀNG'!$A$4:$AT$4, 0)), 0) * (INDEX('6. TIẾN ĐỘ MUA HÀNG'!$A$5:$AT81, 0, XMATCH("Phân loại VTBB/NL", '6. TIẾN ĐỘ MUA HÀNG'!$A$4:$AT$4, 0)) = $B16) * (TRIM(INDEX('6. TIẾN ĐỘ MUA HÀNG'!$A$5:$AT81, 0, XMATCH("Tháng", '6. TIẾN ĐỘ MUA HÀNG'!$A$4:$AT$4, 0))) = TRIM(G$6)))</f>
        <v>0</v>
      </c>
      <c r="I16" s="743">
        <f t="array" ref="I16">SUMPRODUCT((INDEX('6. TIẾN ĐỘ MUA HÀNG'!$A:$AT, 0, XMATCH("Phân loại VTBB/NL", '6. TIẾN ĐỘ MUA HÀNG'!$A$4:$AT$4, 0)) = $B16) * (TRIM(INDEX('6. TIẾN ĐỘ MUA HÀNG'!$A:$AT, 0, XMATCH("Tháng", '6. TIẾN ĐỘ MUA HÀNG'!$A$4:$AT$4, 0))) = TRIM(I$6)) * (INDEX('6. TIẾN ĐỘ MUA HÀNG'!$A:$AT, 0, XMATCH("Phân loại VTBB/NL", '6. TIẾN ĐỘ MUA HÀNG'!$A$4:$AT$4, 0)) &lt;&gt; ""))</f>
        <v>0</v>
      </c>
      <c r="J16" s="744">
        <f t="array" ref="J16">SUMPRODUCT(IFERROR(INDEX('6. TIẾN ĐỘ MUA HÀNG'!$A$5:$AT81, 0, XMATCH("Thành tiền đơn hàng", '6. TIẾN ĐỘ MUA HÀNG'!$A$4:$AT$4, 0)), 0) * (INDEX('6. TIẾN ĐỘ MUA HÀNG'!$A$5:$AT81, 0, XMATCH("Phân loại VTBB/NL", '6. TIẾN ĐỘ MUA HÀNG'!$A$4:$AT$4, 0)) = $B16) * (TRIM(INDEX('6. TIẾN ĐỘ MUA HÀNG'!$A$5:$AT81, 0, XMATCH("Tháng", '6. TIẾN ĐỘ MUA HÀNG'!$A$4:$AT$4, 0))) = TRIM(I$6)))</f>
        <v>0</v>
      </c>
      <c r="K16" s="741">
        <f t="array" ref="K16">SUMPRODUCT((INDEX('6. TIẾN ĐỘ MUA HÀNG'!$A:$AT, 0, XMATCH("Phân loại VTBB/NL", '6. TIẾN ĐỘ MUA HÀNG'!$A$4:$AT$4, 0)) = $B16) * (TRIM(INDEX('6. TIẾN ĐỘ MUA HÀNG'!$A:$AT, 0, XMATCH("Tháng", '6. TIẾN ĐỘ MUA HÀNG'!$A$4:$AT$4, 0))) = TRIM($K$6)) * (INDEX('6. TIẾN ĐỘ MUA HÀNG'!$A:$AT, 0, XMATCH("Phân loại VTBB/NL", '6. TIẾN ĐỘ MUA HÀNG'!$A$4:$AT$4, 0)) &lt;&gt; ""))</f>
        <v>0</v>
      </c>
      <c r="L16" s="742">
        <f t="array" ref="L16">SUMPRODUCT(IFERROR(INDEX('6. TIẾN ĐỘ MUA HÀNG'!$A$5:$AT81, 0, XMATCH("Thành tiền đơn hàng", '6. TIẾN ĐỘ MUA HÀNG'!$A$4:$AT$4, 0)), 0) * (INDEX('6. TIẾN ĐỘ MUA HÀNG'!$A$5:$AT81, 0, XMATCH("Phân loại VTBB/NL", '6. TIẾN ĐỘ MUA HÀNG'!$A$4:$AT$4, 0)) = $B16) * (TRIM(INDEX('6. TIẾN ĐỘ MUA HÀNG'!$A$5:$AT81, 0, XMATCH("Tháng", '6. TIẾN ĐỘ MUA HÀNG'!$A$4:$AT$4, 0))) = TRIM(K$6)))</f>
        <v>0</v>
      </c>
      <c r="M16" s="743">
        <f t="array" ref="M16">SUMPRODUCT((INDEX('6. TIẾN ĐỘ MUA HÀNG'!$A:$AT, 0, XMATCH("Phân loại VTBB/NL", '6. TIẾN ĐỘ MUA HÀNG'!$A$4:$AT$4, 0)) = $B16) * (TRIM(INDEX('6. TIẾN ĐỘ MUA HÀNG'!$A:$AT, 0, XMATCH("Tháng", '6. TIẾN ĐỘ MUA HÀNG'!$A$4:$AT$4, 0))) = TRIM(M$6)) * (INDEX('6. TIẾN ĐỘ MUA HÀNG'!$A:$AT, 0, XMATCH("Phân loại VTBB/NL", '6. TIẾN ĐỘ MUA HÀNG'!$A$4:$AT$4, 0)) &lt;&gt; ""))</f>
        <v>0</v>
      </c>
      <c r="N16" s="744">
        <f t="array" ref="N16">SUMPRODUCT(IFERROR(INDEX('6. TIẾN ĐỘ MUA HÀNG'!$A$5:$AT81, 0, XMATCH("Thành tiền đơn hàng", '6. TIẾN ĐỘ MUA HÀNG'!$A$4:$AT$4, 0)), 0) * (INDEX('6. TIẾN ĐỘ MUA HÀNG'!$A$5:$AT81, 0, XMATCH("Phân loại VTBB/NL", '6. TIẾN ĐỘ MUA HÀNG'!$A$4:$AT$4, 0)) = $B16) * (TRIM(INDEX('6. TIẾN ĐỘ MUA HÀNG'!$A$5:$AT81, 0, XMATCH("Tháng", '6. TIẾN ĐỘ MUA HÀNG'!$A$4:$AT$4, 0))) = TRIM(M$6)))</f>
        <v>0</v>
      </c>
      <c r="O16" s="741">
        <f t="array" ref="O16">SUMPRODUCT((INDEX('6. TIẾN ĐỘ MUA HÀNG'!$A:$AT, 0, XMATCH("Phân loại VTBB/NL", '6. TIẾN ĐỘ MUA HÀNG'!$A$4:$AT$4, 0)) = $B16) * (TRIM(INDEX('6. TIẾN ĐỘ MUA HÀNG'!$A:$AT, 0, XMATCH("Tháng", '6. TIẾN ĐỘ MUA HÀNG'!$A$4:$AT$4, 0))) = TRIM($O$6)) * (INDEX('6. TIẾN ĐỘ MUA HÀNG'!$A:$AT, 0, XMATCH("Phân loại VTBB/NL", '6. TIẾN ĐỘ MUA HÀNG'!$A$4:$AT$4, 0)) &lt;&gt; ""))</f>
        <v>0</v>
      </c>
      <c r="P16" s="742">
        <f t="array" ref="P16">SUMPRODUCT(IFERROR(INDEX('6. TIẾN ĐỘ MUA HÀNG'!$A$5:$AT81, 0, XMATCH("Thành tiền đơn hàng", '6. TIẾN ĐỘ MUA HÀNG'!$A$4:$AT$4, 0)), 0) * (INDEX('6. TIẾN ĐỘ MUA HÀNG'!$A$5:$AT81, 0, XMATCH("Phân loại VTBB/NL", '6. TIẾN ĐỘ MUA HÀNG'!$A$4:$AT$4, 0)) = $B16) * (TRIM(INDEX('6. TIẾN ĐỘ MUA HÀNG'!$A$5:$AT81, 0, XMATCH("Tháng", '6. TIẾN ĐỘ MUA HÀNG'!$A$4:$AT$4, 0))) = TRIM(O$6)))</f>
        <v>0</v>
      </c>
      <c r="Q16" s="743">
        <f t="array" ref="Q16">SUMPRODUCT((INDEX('6. TIẾN ĐỘ MUA HÀNG'!$A:$AT, 0, XMATCH("Phân loại VTBB/NL", '6. TIẾN ĐỘ MUA HÀNG'!$A$4:$AT$4, 0)) = $B16) * (TRIM(INDEX('6. TIẾN ĐỘ MUA HÀNG'!$A:$AT, 0, XMATCH("Tháng", '6. TIẾN ĐỘ MUA HÀNG'!$A$4:$AT$4, 0))) = TRIM(Q$6)) * (INDEX('6. TIẾN ĐỘ MUA HÀNG'!$A:$AT, 0, XMATCH("Phân loại VTBB/NL", '6. TIẾN ĐỘ MUA HÀNG'!$A$4:$AT$4, 0)) &lt;&gt; ""))</f>
        <v>0</v>
      </c>
      <c r="R16" s="744">
        <f t="array" ref="R16">SUMPRODUCT(IFERROR(INDEX('6. TIẾN ĐỘ MUA HÀNG'!$A$5:$AT81, 0, XMATCH("Thành tiền đơn hàng", '6. TIẾN ĐỘ MUA HÀNG'!$A$4:$AT$4, 0)), 0) * (INDEX('6. TIẾN ĐỘ MUA HÀNG'!$A$5:$AT81, 0, XMATCH("Phân loại VTBB/NL", '6. TIẾN ĐỘ MUA HÀNG'!$A$4:$AT$4, 0)) = $B16) * (TRIM(INDEX('6. TIẾN ĐỘ MUA HÀNG'!$A$5:$AT81, 0, XMATCH("Tháng", '6. TIẾN ĐỘ MUA HÀNG'!$A$4:$AT$4, 0))) = TRIM(Q$6)))</f>
        <v>0</v>
      </c>
      <c r="S16" s="741">
        <f t="array" ref="S16">SUMPRODUCT((INDEX('6. TIẾN ĐỘ MUA HÀNG'!$A:$AT, 0, XMATCH("Phân loại VTBB/NL", '6. TIẾN ĐỘ MUA HÀNG'!$A$4:$AT$4, 0)) = $B16) * (TRIM(INDEX('6. TIẾN ĐỘ MUA HÀNG'!$A:$AT, 0, XMATCH("Tháng", '6. TIẾN ĐỘ MUA HÀNG'!$A$4:$AT$4, 0))) = TRIM($S$6)) * (INDEX('6. TIẾN ĐỘ MUA HÀNG'!$A:$AT, 0, XMATCH("Phân loại VTBB/NL", '6. TIẾN ĐỘ MUA HÀNG'!$A$4:$AT$4, 0)) &lt;&gt; ""))</f>
        <v>0</v>
      </c>
      <c r="T16" s="742">
        <f t="array" ref="T16">SUMPRODUCT(IFERROR(INDEX('6. TIẾN ĐỘ MUA HÀNG'!$A$5:$AT81, 0, XMATCH("Thành tiền đơn hàng", '6. TIẾN ĐỘ MUA HÀNG'!$A$4:$AT$4, 0)), 0) * (INDEX('6. TIẾN ĐỘ MUA HÀNG'!$A$5:$AT81, 0, XMATCH("Phân loại VTBB/NL", '6. TIẾN ĐỘ MUA HÀNG'!$A$4:$AT$4, 0)) = $B16) * (TRIM(INDEX('6. TIẾN ĐỘ MUA HÀNG'!$A$5:$AT81, 0, XMATCH("Tháng", '6. TIẾN ĐỘ MUA HÀNG'!$A$4:$AT$4, 0))) = TRIM(S$6)))</f>
        <v>0</v>
      </c>
      <c r="U16" s="743">
        <f t="array" ref="U16">SUMPRODUCT((INDEX('6. TIẾN ĐỘ MUA HÀNG'!$A:$AT, 0, XMATCH("Phân loại VTBB/NL", '6. TIẾN ĐỘ MUA HÀNG'!$A$4:$AT$4, 0)) = $B16) * (TRIM(INDEX('6. TIẾN ĐỘ MUA HÀNG'!$A:$AT, 0, XMATCH("Tháng", '6. TIẾN ĐỘ MUA HÀNG'!$A$4:$AT$4, 0))) = TRIM(U$6)) * (INDEX('6. TIẾN ĐỘ MUA HÀNG'!$A:$AT, 0, XMATCH("Phân loại VTBB/NL", '6. TIẾN ĐỘ MUA HÀNG'!$A$4:$AT$4, 0)) &lt;&gt; ""))</f>
        <v>0</v>
      </c>
      <c r="V16" s="744">
        <f t="array" ref="V16">SUMPRODUCT(IFERROR(INDEX('6. TIẾN ĐỘ MUA HÀNG'!$A$5:$AT81, 0, XMATCH("Thành tiền đơn hàng", '6. TIẾN ĐỘ MUA HÀNG'!$A$4:$AT$4, 0)), 0) * (INDEX('6. TIẾN ĐỘ MUA HÀNG'!$A$5:$AT81, 0, XMATCH("Phân loại VTBB/NL", '6. TIẾN ĐỘ MUA HÀNG'!$A$4:$AT$4, 0)) = $B16) * (TRIM(INDEX('6. TIẾN ĐỘ MUA HÀNG'!$A$5:$AT81, 0, XMATCH("Tháng", '6. TIẾN ĐỘ MUA HÀNG'!$A$4:$AT$4, 0))) = TRIM(U$6)))</f>
        <v>0</v>
      </c>
      <c r="W16" s="741">
        <f t="array" ref="W16">SUMPRODUCT((INDEX('6. TIẾN ĐỘ MUA HÀNG'!$A:$AT, 0, XMATCH("Phân loại VTBB/NL", '6. TIẾN ĐỘ MUA HÀNG'!$A$4:$AT$4, 0)) = $B16) * (TRIM(INDEX('6. TIẾN ĐỘ MUA HÀNG'!$A:$AT, 0, XMATCH("Tháng", '6. TIẾN ĐỘ MUA HÀNG'!$A$4:$AT$4, 0))) = TRIM($W$6)) * (INDEX('6. TIẾN ĐỘ MUA HÀNG'!$A:$AT, 0, XMATCH("Phân loại VTBB/NL", '6. TIẾN ĐỘ MUA HÀNG'!$A$4:$AT$4, 0)) &lt;&gt; ""))</f>
        <v>0</v>
      </c>
      <c r="X16" s="742">
        <f t="array" ref="X16">SUMPRODUCT(IFERROR(INDEX('6. TIẾN ĐỘ MUA HÀNG'!$A$5:$AT81, 0, XMATCH("Thành tiền đơn hàng", '6. TIẾN ĐỘ MUA HÀNG'!$A$4:$AT$4, 0)), 0) * (INDEX('6. TIẾN ĐỘ MUA HÀNG'!$A$5:$AT81, 0, XMATCH("Phân loại VTBB/NL", '6. TIẾN ĐỘ MUA HÀNG'!$A$4:$AT$4, 0)) = $B16) * (TRIM(INDEX('6. TIẾN ĐỘ MUA HÀNG'!$A$5:$AT81, 0, XMATCH("Tháng", '6. TIẾN ĐỘ MUA HÀNG'!$A$4:$AT$4, 0))) = TRIM(W$6)))</f>
        <v>0</v>
      </c>
      <c r="Y16" s="743">
        <f t="array" ref="Y16">SUMPRODUCT((INDEX('6. TIẾN ĐỘ MUA HÀNG'!$A:$AT, 0, XMATCH("Phân loại VTBB/NL", '6. TIẾN ĐỘ MUA HÀNG'!$A$4:$AT$4, 0)) = $B16) * (TRIM(INDEX('6. TIẾN ĐỘ MUA HÀNG'!$A:$AT, 0, XMATCH("Tháng", '6. TIẾN ĐỘ MUA HÀNG'!$A$4:$AT$4, 0))) = TRIM(Y$6)) * (INDEX('6. TIẾN ĐỘ MUA HÀNG'!$A:$AT, 0, XMATCH("Phân loại VTBB/NL", '6. TIẾN ĐỘ MUA HÀNG'!$A$4:$AT$4, 0)) &lt;&gt; ""))</f>
        <v>0</v>
      </c>
      <c r="Z16" s="744">
        <f t="array" ref="Z16">SUMPRODUCT(IFERROR(INDEX('6. TIẾN ĐỘ MUA HÀNG'!$A$5:$AT81, 0, XMATCH("Thành tiền đơn hàng", '6. TIẾN ĐỘ MUA HÀNG'!$A$4:$AT$4, 0)), 0) * (INDEX('6. TIẾN ĐỘ MUA HÀNG'!$A$5:$AT81, 0, XMATCH("Phân loại VTBB/NL", '6. TIẾN ĐỘ MUA HÀNG'!$A$4:$AT$4, 0)) = $B16) * (TRIM(INDEX('6. TIẾN ĐỘ MUA HÀNG'!$A$5:$AT81, 0, XMATCH("Tháng", '6. TIẾN ĐỘ MUA HÀNG'!$A$4:$AT$4, 0))) = TRIM(Y$6)))</f>
        <v>0</v>
      </c>
      <c r="AA16" s="726">
        <f t="shared" si="2"/>
        <v>0</v>
      </c>
      <c r="AB16" s="726">
        <f t="shared" si="3"/>
        <v>0</v>
      </c>
    </row>
    <row r="17">
      <c r="A17" s="612">
        <v>9.0</v>
      </c>
      <c r="B17" s="139" t="str">
        <f>IFERROR(__xludf.DUMMYFUNCTION("""COMPUTED_VALUE"""),"Thùng")</f>
        <v>Thùng</v>
      </c>
      <c r="C17" s="741">
        <f t="array" ref="C17">SUMPRODUCT((INDEX('6. TIẾN ĐỘ MUA HÀNG'!$A:$AT, 0, XMATCH("Phân loại VTBB/NL", '6. TIẾN ĐỘ MUA HÀNG'!$A$4:$AT$4, 0)) = $B17) * (TRIM(INDEX('6. TIẾN ĐỘ MUA HÀNG'!$A:$AT, 0, XMATCH("Tháng", '6. TIẾN ĐỘ MUA HÀNG'!$A$4:$AT$4, 0))) = TRIM($C$6)) * (INDEX('6. TIẾN ĐỘ MUA HÀNG'!$A:$AT, 0, XMATCH("Phân loại VTBB/NL", '6. TIẾN ĐỘ MUA HÀNG'!$A$4:$AT$4, 0)) &lt;&gt; ""))</f>
        <v>0</v>
      </c>
      <c r="D17" s="742">
        <f t="array" ref="D17">SUMPRODUCT(IFERROR(INDEX('6. TIẾN ĐỘ MUA HÀNG'!$A$5:$AT81, 0, XMATCH("Thành tiền đơn hàng", '6. TIẾN ĐỘ MUA HÀNG'!$A$4:$AT$4, 0)), 0) * (INDEX('6. TIẾN ĐỘ MUA HÀNG'!$A$5:$AT81, 0, XMATCH("Phân loại VTBB/NL", '6. TIẾN ĐỘ MUA HÀNG'!$A$4:$AT$4, 0)) = $B17) * (TRIM(INDEX('6. TIẾN ĐỘ MUA HÀNG'!$A$5:$AT81, 0, XMATCH("Tháng", '6. TIẾN ĐỘ MUA HÀNG'!$A$4:$AT$4, 0))) = TRIM(C$6)))</f>
        <v>0</v>
      </c>
      <c r="E17" s="743">
        <f t="array" ref="E17">SUMPRODUCT((INDEX('6. TIẾN ĐỘ MUA HÀNG'!$A:$AT, 0, XMATCH("Phân loại VTBB/NL", '6. TIẾN ĐỘ MUA HÀNG'!$A$4:$AT$4, 0)) = $B17) * (TRIM(INDEX('6. TIẾN ĐỘ MUA HÀNG'!$A:$AT, 0, XMATCH("Tháng", '6. TIẾN ĐỘ MUA HÀNG'!$A$4:$AT$4, 0))) = TRIM(E$6)) * (INDEX('6. TIẾN ĐỘ MUA HÀNG'!$A:$AT, 0, XMATCH("Phân loại VTBB/NL", '6. TIẾN ĐỘ MUA HÀNG'!$A$4:$AT$4, 0)) &lt;&gt; ""))</f>
        <v>0</v>
      </c>
      <c r="F17" s="744">
        <f t="array" ref="F17">SUMPRODUCT(IFERROR(INDEX('6. TIẾN ĐỘ MUA HÀNG'!$A$5:$AT81, 0, XMATCH("Thành tiền đơn hàng", '6. TIẾN ĐỘ MUA HÀNG'!$A$4:$AT$4, 0)), 0) * (INDEX('6. TIẾN ĐỘ MUA HÀNG'!$A$5:$AT81, 0, XMATCH("Phân loại VTBB/NL", '6. TIẾN ĐỘ MUA HÀNG'!$A$4:$AT$4, 0)) = $B17) * (TRIM(INDEX('6. TIẾN ĐỘ MUA HÀNG'!$A$5:$AT81, 0, XMATCH("Tháng", '6. TIẾN ĐỘ MUA HÀNG'!$A$4:$AT$4, 0))) = TRIM(E$6)))</f>
        <v>0</v>
      </c>
      <c r="G17" s="741">
        <f t="array" ref="G17">SUMPRODUCT((INDEX('6. TIẾN ĐỘ MUA HÀNG'!$A:$AT, 0, XMATCH("Phân loại VTBB/NL", '6. TIẾN ĐỘ MUA HÀNG'!$A$4:$AT$4, 0)) = $B17) * (TRIM(INDEX('6. TIẾN ĐỘ MUA HÀNG'!$A:$AT, 0, XMATCH("Tháng", '6. TIẾN ĐỘ MUA HÀNG'!$A$4:$AT$4, 0))) = TRIM($G$6)) * (INDEX('6. TIẾN ĐỘ MUA HÀNG'!$A:$AT, 0, XMATCH("Phân loại VTBB/NL", '6. TIẾN ĐỘ MUA HÀNG'!$A$4:$AT$4, 0)) &lt;&gt; ""))</f>
        <v>19</v>
      </c>
      <c r="H17" s="742">
        <f t="array" ref="H17">SUMPRODUCT(IFERROR(INDEX('6. TIẾN ĐỘ MUA HÀNG'!$A$5:$AT81, 0, XMATCH("Thành tiền đơn hàng", '6. TIẾN ĐỘ MUA HÀNG'!$A$4:$AT$4, 0)), 0) * (INDEX('6. TIẾN ĐỘ MUA HÀNG'!$A$5:$AT81, 0, XMATCH("Phân loại VTBB/NL", '6. TIẾN ĐỘ MUA HÀNG'!$A$4:$AT$4, 0)) = $B17) * (TRIM(INDEX('6. TIẾN ĐỘ MUA HÀNG'!$A$5:$AT81, 0, XMATCH("Tháng", '6. TIẾN ĐỘ MUA HÀNG'!$A$4:$AT$4, 0))) = TRIM(G$6)))</f>
        <v>119307600</v>
      </c>
      <c r="I17" s="743">
        <f t="array" ref="I17">SUMPRODUCT((INDEX('6. TIẾN ĐỘ MUA HÀNG'!$A:$AT, 0, XMATCH("Phân loại VTBB/NL", '6. TIẾN ĐỘ MUA HÀNG'!$A$4:$AT$4, 0)) = $B17) * (TRIM(INDEX('6. TIẾN ĐỘ MUA HÀNG'!$A:$AT, 0, XMATCH("Tháng", '6. TIẾN ĐỘ MUA HÀNG'!$A$4:$AT$4, 0))) = TRIM(I$6)) * (INDEX('6. TIẾN ĐỘ MUA HÀNG'!$A:$AT, 0, XMATCH("Phân loại VTBB/NL", '6. TIẾN ĐỘ MUA HÀNG'!$A$4:$AT$4, 0)) &lt;&gt; ""))</f>
        <v>30</v>
      </c>
      <c r="J17" s="744">
        <f t="array" ref="J17">SUMPRODUCT(IFERROR(INDEX('6. TIẾN ĐỘ MUA HÀNG'!$A$5:$AT81, 0, XMATCH("Thành tiền đơn hàng", '6. TIẾN ĐỘ MUA HÀNG'!$A$4:$AT$4, 0)), 0) * (INDEX('6. TIẾN ĐỘ MUA HÀNG'!$A$5:$AT81, 0, XMATCH("Phân loại VTBB/NL", '6. TIẾN ĐỘ MUA HÀNG'!$A$4:$AT$4, 0)) = $B17) * (TRIM(INDEX('6. TIẾN ĐỘ MUA HÀNG'!$A$5:$AT81, 0, XMATCH("Tháng", '6. TIẾN ĐỘ MUA HÀNG'!$A$4:$AT$4, 0))) = TRIM(I$6)))</f>
        <v>166922316</v>
      </c>
      <c r="K17" s="741">
        <f t="array" ref="K17">SUMPRODUCT((INDEX('6. TIẾN ĐỘ MUA HÀNG'!$A:$AT, 0, XMATCH("Phân loại VTBB/NL", '6. TIẾN ĐỘ MUA HÀNG'!$A$4:$AT$4, 0)) = $B17) * (TRIM(INDEX('6. TIẾN ĐỘ MUA HÀNG'!$A:$AT, 0, XMATCH("Tháng", '6. TIẾN ĐỘ MUA HÀNG'!$A$4:$AT$4, 0))) = TRIM($K$6)) * (INDEX('6. TIẾN ĐỘ MUA HÀNG'!$A:$AT, 0, XMATCH("Phân loại VTBB/NL", '6. TIẾN ĐỘ MUA HÀNG'!$A$4:$AT$4, 0)) &lt;&gt; ""))</f>
        <v>12</v>
      </c>
      <c r="L17" s="742">
        <f t="array" ref="L17">SUMPRODUCT(IFERROR(INDEX('6. TIẾN ĐỘ MUA HÀNG'!$A$5:$AT81, 0, XMATCH("Thành tiền đơn hàng", '6. TIẾN ĐỘ MUA HÀNG'!$A$4:$AT$4, 0)), 0) * (INDEX('6. TIẾN ĐỘ MUA HÀNG'!$A$5:$AT81, 0, XMATCH("Phân loại VTBB/NL", '6. TIẾN ĐỘ MUA HÀNG'!$A$4:$AT$4, 0)) = $B17) * (TRIM(INDEX('6. TIẾN ĐỘ MUA HÀNG'!$A$5:$AT81, 0, XMATCH("Tháng", '6. TIẾN ĐỘ MUA HÀNG'!$A$4:$AT$4, 0))) = TRIM(K$6)))</f>
        <v>37559592</v>
      </c>
      <c r="M17" s="743">
        <f t="array" ref="M17">SUMPRODUCT((INDEX('6. TIẾN ĐỘ MUA HÀNG'!$A:$AT, 0, XMATCH("Phân loại VTBB/NL", '6. TIẾN ĐỘ MUA HÀNG'!$A$4:$AT$4, 0)) = $B17) * (TRIM(INDEX('6. TIẾN ĐỘ MUA HÀNG'!$A:$AT, 0, XMATCH("Tháng", '6. TIẾN ĐỘ MUA HÀNG'!$A$4:$AT$4, 0))) = TRIM(M$6)) * (INDEX('6. TIẾN ĐỘ MUA HÀNG'!$A:$AT, 0, XMATCH("Phân loại VTBB/NL", '6. TIẾN ĐỘ MUA HÀNG'!$A$4:$AT$4, 0)) &lt;&gt; ""))</f>
        <v>11</v>
      </c>
      <c r="N17" s="744">
        <f t="array" ref="N17">SUMPRODUCT(IFERROR(INDEX('6. TIẾN ĐỘ MUA HÀNG'!$A$5:$AT81, 0, XMATCH("Thành tiền đơn hàng", '6. TIẾN ĐỘ MUA HÀNG'!$A$4:$AT$4, 0)), 0) * (INDEX('6. TIẾN ĐỘ MUA HÀNG'!$A$5:$AT81, 0, XMATCH("Phân loại VTBB/NL", '6. TIẾN ĐỘ MUA HÀNG'!$A$4:$AT$4, 0)) = $B17) * (TRIM(INDEX('6. TIẾN ĐỘ MUA HÀNG'!$A$5:$AT81, 0, XMATCH("Tháng", '6. TIẾN ĐỘ MUA HÀNG'!$A$4:$AT$4, 0))) = TRIM(M$6)))</f>
        <v>32247936</v>
      </c>
      <c r="O17" s="741">
        <f t="array" ref="O17">SUMPRODUCT((INDEX('6. TIẾN ĐỘ MUA HÀNG'!$A:$AT, 0, XMATCH("Phân loại VTBB/NL", '6. TIẾN ĐỘ MUA HÀNG'!$A$4:$AT$4, 0)) = $B17) * (TRIM(INDEX('6. TIẾN ĐỘ MUA HÀNG'!$A:$AT, 0, XMATCH("Tháng", '6. TIẾN ĐỘ MUA HÀNG'!$A$4:$AT$4, 0))) = TRIM($O$6)) * (INDEX('6. TIẾN ĐỘ MUA HÀNG'!$A:$AT, 0, XMATCH("Phân loại VTBB/NL", '6. TIẾN ĐỘ MUA HÀNG'!$A$4:$AT$4, 0)) &lt;&gt; ""))</f>
        <v>0</v>
      </c>
      <c r="P17" s="742">
        <f t="array" ref="P17">SUMPRODUCT(IFERROR(INDEX('6. TIẾN ĐỘ MUA HÀNG'!$A$5:$AT81, 0, XMATCH("Thành tiền đơn hàng", '6. TIẾN ĐỘ MUA HÀNG'!$A$4:$AT$4, 0)), 0) * (INDEX('6. TIẾN ĐỘ MUA HÀNG'!$A$5:$AT81, 0, XMATCH("Phân loại VTBB/NL", '6. TIẾN ĐỘ MUA HÀNG'!$A$4:$AT$4, 0)) = $B17) * (TRIM(INDEX('6. TIẾN ĐỘ MUA HÀNG'!$A$5:$AT81, 0, XMATCH("Tháng", '6. TIẾN ĐỘ MUA HÀNG'!$A$4:$AT$4, 0))) = TRIM(O$6)))</f>
        <v>0</v>
      </c>
      <c r="Q17" s="743">
        <f t="array" ref="Q17">SUMPRODUCT((INDEX('6. TIẾN ĐỘ MUA HÀNG'!$A:$AT, 0, XMATCH("Phân loại VTBB/NL", '6. TIẾN ĐỘ MUA HÀNG'!$A$4:$AT$4, 0)) = $B17) * (TRIM(INDEX('6. TIẾN ĐỘ MUA HÀNG'!$A:$AT, 0, XMATCH("Tháng", '6. TIẾN ĐỘ MUA HÀNG'!$A$4:$AT$4, 0))) = TRIM(Q$6)) * (INDEX('6. TIẾN ĐỘ MUA HÀNG'!$A:$AT, 0, XMATCH("Phân loại VTBB/NL", '6. TIẾN ĐỘ MUA HÀNG'!$A$4:$AT$4, 0)) &lt;&gt; ""))</f>
        <v>0</v>
      </c>
      <c r="R17" s="744">
        <f t="array" ref="R17">SUMPRODUCT(IFERROR(INDEX('6. TIẾN ĐỘ MUA HÀNG'!$A$5:$AT81, 0, XMATCH("Thành tiền đơn hàng", '6. TIẾN ĐỘ MUA HÀNG'!$A$4:$AT$4, 0)), 0) * (INDEX('6. TIẾN ĐỘ MUA HÀNG'!$A$5:$AT81, 0, XMATCH("Phân loại VTBB/NL", '6. TIẾN ĐỘ MUA HÀNG'!$A$4:$AT$4, 0)) = $B17) * (TRIM(INDEX('6. TIẾN ĐỘ MUA HÀNG'!$A$5:$AT81, 0, XMATCH("Tháng", '6. TIẾN ĐỘ MUA HÀNG'!$A$4:$AT$4, 0))) = TRIM(Q$6)))</f>
        <v>0</v>
      </c>
      <c r="S17" s="741">
        <f t="array" ref="S17">SUMPRODUCT((INDEX('6. TIẾN ĐỘ MUA HÀNG'!$A:$AT, 0, XMATCH("Phân loại VTBB/NL", '6. TIẾN ĐỘ MUA HÀNG'!$A$4:$AT$4, 0)) = $B17) * (TRIM(INDEX('6. TIẾN ĐỘ MUA HÀNG'!$A:$AT, 0, XMATCH("Tháng", '6. TIẾN ĐỘ MUA HÀNG'!$A$4:$AT$4, 0))) = TRIM($S$6)) * (INDEX('6. TIẾN ĐỘ MUA HÀNG'!$A:$AT, 0, XMATCH("Phân loại VTBB/NL", '6. TIẾN ĐỘ MUA HÀNG'!$A$4:$AT$4, 0)) &lt;&gt; ""))</f>
        <v>0</v>
      </c>
      <c r="T17" s="742">
        <f t="array" ref="T17">SUMPRODUCT(IFERROR(INDEX('6. TIẾN ĐỘ MUA HÀNG'!$A$5:$AT81, 0, XMATCH("Thành tiền đơn hàng", '6. TIẾN ĐỘ MUA HÀNG'!$A$4:$AT$4, 0)), 0) * (INDEX('6. TIẾN ĐỘ MUA HÀNG'!$A$5:$AT81, 0, XMATCH("Phân loại VTBB/NL", '6. TIẾN ĐỘ MUA HÀNG'!$A$4:$AT$4, 0)) = $B17) * (TRIM(INDEX('6. TIẾN ĐỘ MUA HÀNG'!$A$5:$AT81, 0, XMATCH("Tháng", '6. TIẾN ĐỘ MUA HÀNG'!$A$4:$AT$4, 0))) = TRIM(S$6)))</f>
        <v>0</v>
      </c>
      <c r="U17" s="743">
        <f t="array" ref="U17">SUMPRODUCT((INDEX('6. TIẾN ĐỘ MUA HÀNG'!$A:$AT, 0, XMATCH("Phân loại VTBB/NL", '6. TIẾN ĐỘ MUA HÀNG'!$A$4:$AT$4, 0)) = $B17) * (TRIM(INDEX('6. TIẾN ĐỘ MUA HÀNG'!$A:$AT, 0, XMATCH("Tháng", '6. TIẾN ĐỘ MUA HÀNG'!$A$4:$AT$4, 0))) = TRIM(U$6)) * (INDEX('6. TIẾN ĐỘ MUA HÀNG'!$A:$AT, 0, XMATCH("Phân loại VTBB/NL", '6. TIẾN ĐỘ MUA HÀNG'!$A$4:$AT$4, 0)) &lt;&gt; ""))</f>
        <v>0</v>
      </c>
      <c r="V17" s="744">
        <f t="array" ref="V17">SUMPRODUCT(IFERROR(INDEX('6. TIẾN ĐỘ MUA HÀNG'!$A$5:$AT81, 0, XMATCH("Thành tiền đơn hàng", '6. TIẾN ĐỘ MUA HÀNG'!$A$4:$AT$4, 0)), 0) * (INDEX('6. TIẾN ĐỘ MUA HÀNG'!$A$5:$AT81, 0, XMATCH("Phân loại VTBB/NL", '6. TIẾN ĐỘ MUA HÀNG'!$A$4:$AT$4, 0)) = $B17) * (TRIM(INDEX('6. TIẾN ĐỘ MUA HÀNG'!$A$5:$AT81, 0, XMATCH("Tháng", '6. TIẾN ĐỘ MUA HÀNG'!$A$4:$AT$4, 0))) = TRIM(U$6)))</f>
        <v>0</v>
      </c>
      <c r="W17" s="741">
        <f t="array" ref="W17">SUMPRODUCT((INDEX('6. TIẾN ĐỘ MUA HÀNG'!$A:$AT, 0, XMATCH("Phân loại VTBB/NL", '6. TIẾN ĐỘ MUA HÀNG'!$A$4:$AT$4, 0)) = $B17) * (TRIM(INDEX('6. TIẾN ĐỘ MUA HÀNG'!$A:$AT, 0, XMATCH("Tháng", '6. TIẾN ĐỘ MUA HÀNG'!$A$4:$AT$4, 0))) = TRIM($W$6)) * (INDEX('6. TIẾN ĐỘ MUA HÀNG'!$A:$AT, 0, XMATCH("Phân loại VTBB/NL", '6. TIẾN ĐỘ MUA HÀNG'!$A$4:$AT$4, 0)) &lt;&gt; ""))</f>
        <v>0</v>
      </c>
      <c r="X17" s="742">
        <f t="array" ref="X17">SUMPRODUCT(IFERROR(INDEX('6. TIẾN ĐỘ MUA HÀNG'!$A$5:$AT81, 0, XMATCH("Thành tiền đơn hàng", '6. TIẾN ĐỘ MUA HÀNG'!$A$4:$AT$4, 0)), 0) * (INDEX('6. TIẾN ĐỘ MUA HÀNG'!$A$5:$AT81, 0, XMATCH("Phân loại VTBB/NL", '6. TIẾN ĐỘ MUA HÀNG'!$A$4:$AT$4, 0)) = $B17) * (TRIM(INDEX('6. TIẾN ĐỘ MUA HÀNG'!$A$5:$AT81, 0, XMATCH("Tháng", '6. TIẾN ĐỘ MUA HÀNG'!$A$4:$AT$4, 0))) = TRIM(W$6)))</f>
        <v>0</v>
      </c>
      <c r="Y17" s="743">
        <f t="array" ref="Y17">SUMPRODUCT((INDEX('6. TIẾN ĐỘ MUA HÀNG'!$A:$AT, 0, XMATCH("Phân loại VTBB/NL", '6. TIẾN ĐỘ MUA HÀNG'!$A$4:$AT$4, 0)) = $B17) * (TRIM(INDEX('6. TIẾN ĐỘ MUA HÀNG'!$A:$AT, 0, XMATCH("Tháng", '6. TIẾN ĐỘ MUA HÀNG'!$A$4:$AT$4, 0))) = TRIM(Y$6)) * (INDEX('6. TIẾN ĐỘ MUA HÀNG'!$A:$AT, 0, XMATCH("Phân loại VTBB/NL", '6. TIẾN ĐỘ MUA HÀNG'!$A$4:$AT$4, 0)) &lt;&gt; ""))</f>
        <v>0</v>
      </c>
      <c r="Z17" s="744">
        <f t="array" ref="Z17">SUMPRODUCT(IFERROR(INDEX('6. TIẾN ĐỘ MUA HÀNG'!$A$5:$AT81, 0, XMATCH("Thành tiền đơn hàng", '6. TIẾN ĐỘ MUA HÀNG'!$A$4:$AT$4, 0)), 0) * (INDEX('6. TIẾN ĐỘ MUA HÀNG'!$A$5:$AT81, 0, XMATCH("Phân loại VTBB/NL", '6. TIẾN ĐỘ MUA HÀNG'!$A$4:$AT$4, 0)) = $B17) * (TRIM(INDEX('6. TIẾN ĐỘ MUA HÀNG'!$A$5:$AT81, 0, XMATCH("Tháng", '6. TIẾN ĐỘ MUA HÀNG'!$A$4:$AT$4, 0))) = TRIM(Y$6)))</f>
        <v>0</v>
      </c>
      <c r="AA17" s="726">
        <f t="shared" si="2"/>
        <v>72</v>
      </c>
      <c r="AB17" s="726">
        <f t="shared" si="3"/>
        <v>356037444</v>
      </c>
    </row>
    <row r="18">
      <c r="A18" s="612">
        <v>10.0</v>
      </c>
      <c r="B18" s="624" t="str">
        <f>IFERROR(__xludf.DUMMYFUNCTION("""COMPUTED_VALUE"""),"Chai Nhôm")</f>
        <v>Chai Nhôm</v>
      </c>
      <c r="C18" s="741">
        <f t="array" ref="C18">SUMPRODUCT((INDEX('6. TIẾN ĐỘ MUA HÀNG'!$A:$AT, 0, XMATCH("Phân loại VTBB/NL", '6. TIẾN ĐỘ MUA HÀNG'!$A$4:$AT$4, 0)) = $B18) * (TRIM(INDEX('6. TIẾN ĐỘ MUA HÀNG'!$A:$AT, 0, XMATCH("Tháng", '6. TIẾN ĐỘ MUA HÀNG'!$A$4:$AT$4, 0))) = TRIM($C$6)) * (INDEX('6. TIẾN ĐỘ MUA HÀNG'!$A:$AT, 0, XMATCH("Phân loại VTBB/NL", '6. TIẾN ĐỘ MUA HÀNG'!$A$4:$AT$4, 0)) &lt;&gt; ""))</f>
        <v>0</v>
      </c>
      <c r="D18" s="742">
        <f t="array" ref="D18">SUMPRODUCT(IFERROR(INDEX('6. TIẾN ĐỘ MUA HÀNG'!$A$5:$AT81, 0, XMATCH("Thành tiền đơn hàng", '6. TIẾN ĐỘ MUA HÀNG'!$A$4:$AT$4, 0)), 0) * (INDEX('6. TIẾN ĐỘ MUA HÀNG'!$A$5:$AT81, 0, XMATCH("Phân loại VTBB/NL", '6. TIẾN ĐỘ MUA HÀNG'!$A$4:$AT$4, 0)) = $B18) * (TRIM(INDEX('6. TIẾN ĐỘ MUA HÀNG'!$A$5:$AT81, 0, XMATCH("Tháng", '6. TIẾN ĐỘ MUA HÀNG'!$A$4:$AT$4, 0))) = TRIM(C$6)))</f>
        <v>0</v>
      </c>
      <c r="E18" s="743">
        <f t="array" ref="E18">SUMPRODUCT((INDEX('6. TIẾN ĐỘ MUA HÀNG'!$A:$AT, 0, XMATCH("Phân loại VTBB/NL", '6. TIẾN ĐỘ MUA HÀNG'!$A$4:$AT$4, 0)) = $B18) * (TRIM(INDEX('6. TIẾN ĐỘ MUA HÀNG'!$A:$AT, 0, XMATCH("Tháng", '6. TIẾN ĐỘ MUA HÀNG'!$A$4:$AT$4, 0))) = TRIM(E$6)) * (INDEX('6. TIẾN ĐỘ MUA HÀNG'!$A:$AT, 0, XMATCH("Phân loại VTBB/NL", '6. TIẾN ĐỘ MUA HÀNG'!$A$4:$AT$4, 0)) &lt;&gt; ""))</f>
        <v>0</v>
      </c>
      <c r="F18" s="744">
        <f t="array" ref="F18">SUMPRODUCT(IFERROR(INDEX('6. TIẾN ĐỘ MUA HÀNG'!$A$5:$AT81, 0, XMATCH("Thành tiền đơn hàng", '6. TIẾN ĐỘ MUA HÀNG'!$A$4:$AT$4, 0)), 0) * (INDEX('6. TIẾN ĐỘ MUA HÀNG'!$A$5:$AT81, 0, XMATCH("Phân loại VTBB/NL", '6. TIẾN ĐỘ MUA HÀNG'!$A$4:$AT$4, 0)) = $B18) * (TRIM(INDEX('6. TIẾN ĐỘ MUA HÀNG'!$A$5:$AT81, 0, XMATCH("Tháng", '6. TIẾN ĐỘ MUA HÀNG'!$A$4:$AT$4, 0))) = TRIM(E$6)))</f>
        <v>0</v>
      </c>
      <c r="G18" s="741">
        <f t="array" ref="G18">SUMPRODUCT((INDEX('6. TIẾN ĐỘ MUA HÀNG'!$A:$AT, 0, XMATCH("Phân loại VTBB/NL", '6. TIẾN ĐỘ MUA HÀNG'!$A$4:$AT$4, 0)) = $B18) * (TRIM(INDEX('6. TIẾN ĐỘ MUA HÀNG'!$A:$AT, 0, XMATCH("Tháng", '6. TIẾN ĐỘ MUA HÀNG'!$A$4:$AT$4, 0))) = TRIM($G$6)) * (INDEX('6. TIẾN ĐỘ MUA HÀNG'!$A:$AT, 0, XMATCH("Phân loại VTBB/NL", '6. TIẾN ĐỘ MUA HÀNG'!$A$4:$AT$4, 0)) &lt;&gt; ""))</f>
        <v>0</v>
      </c>
      <c r="H18" s="742">
        <f t="array" ref="H18">SUMPRODUCT(IFERROR(INDEX('6. TIẾN ĐỘ MUA HÀNG'!$A$5:$AT81, 0, XMATCH("Thành tiền đơn hàng", '6. TIẾN ĐỘ MUA HÀNG'!$A$4:$AT$4, 0)), 0) * (INDEX('6. TIẾN ĐỘ MUA HÀNG'!$A$5:$AT81, 0, XMATCH("Phân loại VTBB/NL", '6. TIẾN ĐỘ MUA HÀNG'!$A$4:$AT$4, 0)) = $B18) * (TRIM(INDEX('6. TIẾN ĐỘ MUA HÀNG'!$A$5:$AT81, 0, XMATCH("Tháng", '6. TIẾN ĐỘ MUA HÀNG'!$A$4:$AT$4, 0))) = TRIM(G$6)))</f>
        <v>0</v>
      </c>
      <c r="I18" s="743">
        <f t="array" ref="I18">SUMPRODUCT((INDEX('6. TIẾN ĐỘ MUA HÀNG'!$A:$AT, 0, XMATCH("Phân loại VTBB/NL", '6. TIẾN ĐỘ MUA HÀNG'!$A$4:$AT$4, 0)) = $B18) * (TRIM(INDEX('6. TIẾN ĐỘ MUA HÀNG'!$A:$AT, 0, XMATCH("Tháng", '6. TIẾN ĐỘ MUA HÀNG'!$A$4:$AT$4, 0))) = TRIM(I$6)) * (INDEX('6. TIẾN ĐỘ MUA HÀNG'!$A:$AT, 0, XMATCH("Phân loại VTBB/NL", '6. TIẾN ĐỘ MUA HÀNG'!$A$4:$AT$4, 0)) &lt;&gt; ""))</f>
        <v>0</v>
      </c>
      <c r="J18" s="744">
        <f t="array" ref="J18">SUMPRODUCT(IFERROR(INDEX('6. TIẾN ĐỘ MUA HÀNG'!$A$5:$AT81, 0, XMATCH("Thành tiền đơn hàng", '6. TIẾN ĐỘ MUA HÀNG'!$A$4:$AT$4, 0)), 0) * (INDEX('6. TIẾN ĐỘ MUA HÀNG'!$A$5:$AT81, 0, XMATCH("Phân loại VTBB/NL", '6. TIẾN ĐỘ MUA HÀNG'!$A$4:$AT$4, 0)) = $B18) * (TRIM(INDEX('6. TIẾN ĐỘ MUA HÀNG'!$A$5:$AT81, 0, XMATCH("Tháng", '6. TIẾN ĐỘ MUA HÀNG'!$A$4:$AT$4, 0))) = TRIM(I$6)))</f>
        <v>0</v>
      </c>
      <c r="K18" s="741">
        <f t="array" ref="K18">SUMPRODUCT((INDEX('6. TIẾN ĐỘ MUA HÀNG'!$A:$AT, 0, XMATCH("Phân loại VTBB/NL", '6. TIẾN ĐỘ MUA HÀNG'!$A$4:$AT$4, 0)) = $B18) * (TRIM(INDEX('6. TIẾN ĐỘ MUA HÀNG'!$A:$AT, 0, XMATCH("Tháng", '6. TIẾN ĐỘ MUA HÀNG'!$A$4:$AT$4, 0))) = TRIM($K$6)) * (INDEX('6. TIẾN ĐỘ MUA HÀNG'!$A:$AT, 0, XMATCH("Phân loại VTBB/NL", '6. TIẾN ĐỘ MUA HÀNG'!$A$4:$AT$4, 0)) &lt;&gt; ""))</f>
        <v>0</v>
      </c>
      <c r="L18" s="742">
        <f t="array" ref="L18">SUMPRODUCT(IFERROR(INDEX('6. TIẾN ĐỘ MUA HÀNG'!$A$5:$AT81, 0, XMATCH("Thành tiền đơn hàng", '6. TIẾN ĐỘ MUA HÀNG'!$A$4:$AT$4, 0)), 0) * (INDEX('6. TIẾN ĐỘ MUA HÀNG'!$A$5:$AT81, 0, XMATCH("Phân loại VTBB/NL", '6. TIẾN ĐỘ MUA HÀNG'!$A$4:$AT$4, 0)) = $B18) * (TRIM(INDEX('6. TIẾN ĐỘ MUA HÀNG'!$A$5:$AT81, 0, XMATCH("Tháng", '6. TIẾN ĐỘ MUA HÀNG'!$A$4:$AT$4, 0))) = TRIM(K$6)))</f>
        <v>0</v>
      </c>
      <c r="M18" s="743">
        <f t="array" ref="M18">SUMPRODUCT((INDEX('6. TIẾN ĐỘ MUA HÀNG'!$A:$AT, 0, XMATCH("Phân loại VTBB/NL", '6. TIẾN ĐỘ MUA HÀNG'!$A$4:$AT$4, 0)) = $B18) * (TRIM(INDEX('6. TIẾN ĐỘ MUA HÀNG'!$A:$AT, 0, XMATCH("Tháng", '6. TIẾN ĐỘ MUA HÀNG'!$A$4:$AT$4, 0))) = TRIM(M$6)) * (INDEX('6. TIẾN ĐỘ MUA HÀNG'!$A:$AT, 0, XMATCH("Phân loại VTBB/NL", '6. TIẾN ĐỘ MUA HÀNG'!$A$4:$AT$4, 0)) &lt;&gt; ""))</f>
        <v>0</v>
      </c>
      <c r="N18" s="744">
        <f t="array" ref="N18">SUMPRODUCT(IFERROR(INDEX('6. TIẾN ĐỘ MUA HÀNG'!$A$5:$AT81, 0, XMATCH("Thành tiền đơn hàng", '6. TIẾN ĐỘ MUA HÀNG'!$A$4:$AT$4, 0)), 0) * (INDEX('6. TIẾN ĐỘ MUA HÀNG'!$A$5:$AT81, 0, XMATCH("Phân loại VTBB/NL", '6. TIẾN ĐỘ MUA HÀNG'!$A$4:$AT$4, 0)) = $B18) * (TRIM(INDEX('6. TIẾN ĐỘ MUA HÀNG'!$A$5:$AT81, 0, XMATCH("Tháng", '6. TIẾN ĐỘ MUA HÀNG'!$A$4:$AT$4, 0))) = TRIM(M$6)))</f>
        <v>0</v>
      </c>
      <c r="O18" s="741">
        <f t="array" ref="O18">SUMPRODUCT((INDEX('6. TIẾN ĐỘ MUA HÀNG'!$A:$AT, 0, XMATCH("Phân loại VTBB/NL", '6. TIẾN ĐỘ MUA HÀNG'!$A$4:$AT$4, 0)) = $B18) * (TRIM(INDEX('6. TIẾN ĐỘ MUA HÀNG'!$A:$AT, 0, XMATCH("Tháng", '6. TIẾN ĐỘ MUA HÀNG'!$A$4:$AT$4, 0))) = TRIM($O$6)) * (INDEX('6. TIẾN ĐỘ MUA HÀNG'!$A:$AT, 0, XMATCH("Phân loại VTBB/NL", '6. TIẾN ĐỘ MUA HÀNG'!$A$4:$AT$4, 0)) &lt;&gt; ""))</f>
        <v>0</v>
      </c>
      <c r="P18" s="742">
        <f t="array" ref="P18">SUMPRODUCT(IFERROR(INDEX('6. TIẾN ĐỘ MUA HÀNG'!$A$5:$AT81, 0, XMATCH("Thành tiền đơn hàng", '6. TIẾN ĐỘ MUA HÀNG'!$A$4:$AT$4, 0)), 0) * (INDEX('6. TIẾN ĐỘ MUA HÀNG'!$A$5:$AT81, 0, XMATCH("Phân loại VTBB/NL", '6. TIẾN ĐỘ MUA HÀNG'!$A$4:$AT$4, 0)) = $B18) * (TRIM(INDEX('6. TIẾN ĐỘ MUA HÀNG'!$A$5:$AT81, 0, XMATCH("Tháng", '6. TIẾN ĐỘ MUA HÀNG'!$A$4:$AT$4, 0))) = TRIM(O$6)))</f>
        <v>0</v>
      </c>
      <c r="Q18" s="743">
        <f t="array" ref="Q18">SUMPRODUCT((INDEX('6. TIẾN ĐỘ MUA HÀNG'!$A:$AT, 0, XMATCH("Phân loại VTBB/NL", '6. TIẾN ĐỘ MUA HÀNG'!$A$4:$AT$4, 0)) = $B18) * (TRIM(INDEX('6. TIẾN ĐỘ MUA HÀNG'!$A:$AT, 0, XMATCH("Tháng", '6. TIẾN ĐỘ MUA HÀNG'!$A$4:$AT$4, 0))) = TRIM(Q$6)) * (INDEX('6. TIẾN ĐỘ MUA HÀNG'!$A:$AT, 0, XMATCH("Phân loại VTBB/NL", '6. TIẾN ĐỘ MUA HÀNG'!$A$4:$AT$4, 0)) &lt;&gt; ""))</f>
        <v>0</v>
      </c>
      <c r="R18" s="744">
        <f t="array" ref="R18">SUMPRODUCT(IFERROR(INDEX('6. TIẾN ĐỘ MUA HÀNG'!$A$5:$AT81, 0, XMATCH("Thành tiền đơn hàng", '6. TIẾN ĐỘ MUA HÀNG'!$A$4:$AT$4, 0)), 0) * (INDEX('6. TIẾN ĐỘ MUA HÀNG'!$A$5:$AT81, 0, XMATCH("Phân loại VTBB/NL", '6. TIẾN ĐỘ MUA HÀNG'!$A$4:$AT$4, 0)) = $B18) * (TRIM(INDEX('6. TIẾN ĐỘ MUA HÀNG'!$A$5:$AT81, 0, XMATCH("Tháng", '6. TIẾN ĐỘ MUA HÀNG'!$A$4:$AT$4, 0))) = TRIM(Q$6)))</f>
        <v>0</v>
      </c>
      <c r="S18" s="741">
        <f t="array" ref="S18">SUMPRODUCT((INDEX('6. TIẾN ĐỘ MUA HÀNG'!$A:$AT, 0, XMATCH("Phân loại VTBB/NL", '6. TIẾN ĐỘ MUA HÀNG'!$A$4:$AT$4, 0)) = $B18) * (TRIM(INDEX('6. TIẾN ĐỘ MUA HÀNG'!$A:$AT, 0, XMATCH("Tháng", '6. TIẾN ĐỘ MUA HÀNG'!$A$4:$AT$4, 0))) = TRIM($S$6)) * (INDEX('6. TIẾN ĐỘ MUA HÀNG'!$A:$AT, 0, XMATCH("Phân loại VTBB/NL", '6. TIẾN ĐỘ MUA HÀNG'!$A$4:$AT$4, 0)) &lt;&gt; ""))</f>
        <v>0</v>
      </c>
      <c r="T18" s="742">
        <f t="array" ref="T18">SUMPRODUCT(IFERROR(INDEX('6. TIẾN ĐỘ MUA HÀNG'!$A$5:$AT81, 0, XMATCH("Thành tiền đơn hàng", '6. TIẾN ĐỘ MUA HÀNG'!$A$4:$AT$4, 0)), 0) * (INDEX('6. TIẾN ĐỘ MUA HÀNG'!$A$5:$AT81, 0, XMATCH("Phân loại VTBB/NL", '6. TIẾN ĐỘ MUA HÀNG'!$A$4:$AT$4, 0)) = $B18) * (TRIM(INDEX('6. TIẾN ĐỘ MUA HÀNG'!$A$5:$AT81, 0, XMATCH("Tháng", '6. TIẾN ĐỘ MUA HÀNG'!$A$4:$AT$4, 0))) = TRIM(S$6)))</f>
        <v>0</v>
      </c>
      <c r="U18" s="743">
        <f t="array" ref="U18">SUMPRODUCT((INDEX('6. TIẾN ĐỘ MUA HÀNG'!$A:$AT, 0, XMATCH("Phân loại VTBB/NL", '6. TIẾN ĐỘ MUA HÀNG'!$A$4:$AT$4, 0)) = $B18) * (TRIM(INDEX('6. TIẾN ĐỘ MUA HÀNG'!$A:$AT, 0, XMATCH("Tháng", '6. TIẾN ĐỘ MUA HÀNG'!$A$4:$AT$4, 0))) = TRIM(U$6)) * (INDEX('6. TIẾN ĐỘ MUA HÀNG'!$A:$AT, 0, XMATCH("Phân loại VTBB/NL", '6. TIẾN ĐỘ MUA HÀNG'!$A$4:$AT$4, 0)) &lt;&gt; ""))</f>
        <v>0</v>
      </c>
      <c r="V18" s="744">
        <f t="array" ref="V18">SUMPRODUCT(IFERROR(INDEX('6. TIẾN ĐỘ MUA HÀNG'!$A$5:$AT81, 0, XMATCH("Thành tiền đơn hàng", '6. TIẾN ĐỘ MUA HÀNG'!$A$4:$AT$4, 0)), 0) * (INDEX('6. TIẾN ĐỘ MUA HÀNG'!$A$5:$AT81, 0, XMATCH("Phân loại VTBB/NL", '6. TIẾN ĐỘ MUA HÀNG'!$A$4:$AT$4, 0)) = $B18) * (TRIM(INDEX('6. TIẾN ĐỘ MUA HÀNG'!$A$5:$AT81, 0, XMATCH("Tháng", '6. TIẾN ĐỘ MUA HÀNG'!$A$4:$AT$4, 0))) = TRIM(U$6)))</f>
        <v>0</v>
      </c>
      <c r="W18" s="741">
        <f t="array" ref="W18">SUMPRODUCT((INDEX('6. TIẾN ĐỘ MUA HÀNG'!$A:$AT, 0, XMATCH("Phân loại VTBB/NL", '6. TIẾN ĐỘ MUA HÀNG'!$A$4:$AT$4, 0)) = $B18) * (TRIM(INDEX('6. TIẾN ĐỘ MUA HÀNG'!$A:$AT, 0, XMATCH("Tháng", '6. TIẾN ĐỘ MUA HÀNG'!$A$4:$AT$4, 0))) = TRIM($W$6)) * (INDEX('6. TIẾN ĐỘ MUA HÀNG'!$A:$AT, 0, XMATCH("Phân loại VTBB/NL", '6. TIẾN ĐỘ MUA HÀNG'!$A$4:$AT$4, 0)) &lt;&gt; ""))</f>
        <v>0</v>
      </c>
      <c r="X18" s="742">
        <f t="array" ref="X18">SUMPRODUCT(IFERROR(INDEX('6. TIẾN ĐỘ MUA HÀNG'!$A$5:$AT81, 0, XMATCH("Thành tiền đơn hàng", '6. TIẾN ĐỘ MUA HÀNG'!$A$4:$AT$4, 0)), 0) * (INDEX('6. TIẾN ĐỘ MUA HÀNG'!$A$5:$AT81, 0, XMATCH("Phân loại VTBB/NL", '6. TIẾN ĐỘ MUA HÀNG'!$A$4:$AT$4, 0)) = $B18) * (TRIM(INDEX('6. TIẾN ĐỘ MUA HÀNG'!$A$5:$AT81, 0, XMATCH("Tháng", '6. TIẾN ĐỘ MUA HÀNG'!$A$4:$AT$4, 0))) = TRIM(W$6)))</f>
        <v>0</v>
      </c>
      <c r="Y18" s="743">
        <f t="array" ref="Y18">SUMPRODUCT((INDEX('6. TIẾN ĐỘ MUA HÀNG'!$A:$AT, 0, XMATCH("Phân loại VTBB/NL", '6. TIẾN ĐỘ MUA HÀNG'!$A$4:$AT$4, 0)) = $B18) * (TRIM(INDEX('6. TIẾN ĐỘ MUA HÀNG'!$A:$AT, 0, XMATCH("Tháng", '6. TIẾN ĐỘ MUA HÀNG'!$A$4:$AT$4, 0))) = TRIM(Y$6)) * (INDEX('6. TIẾN ĐỘ MUA HÀNG'!$A:$AT, 0, XMATCH("Phân loại VTBB/NL", '6. TIẾN ĐỘ MUA HÀNG'!$A$4:$AT$4, 0)) &lt;&gt; ""))</f>
        <v>0</v>
      </c>
      <c r="Z18" s="744">
        <f t="array" ref="Z18">SUMPRODUCT(IFERROR(INDEX('6. TIẾN ĐỘ MUA HÀNG'!$A$5:$AT81, 0, XMATCH("Thành tiền đơn hàng", '6. TIẾN ĐỘ MUA HÀNG'!$A$4:$AT$4, 0)), 0) * (INDEX('6. TIẾN ĐỘ MUA HÀNG'!$A$5:$AT81, 0, XMATCH("Phân loại VTBB/NL", '6. TIẾN ĐỘ MUA HÀNG'!$A$4:$AT$4, 0)) = $B18) * (TRIM(INDEX('6. TIẾN ĐỘ MUA HÀNG'!$A$5:$AT81, 0, XMATCH("Tháng", '6. TIẾN ĐỘ MUA HÀNG'!$A$4:$AT$4, 0))) = TRIM(Y$6)))</f>
        <v>0</v>
      </c>
      <c r="AA18" s="726">
        <f t="shared" si="2"/>
        <v>0</v>
      </c>
      <c r="AB18" s="726">
        <f t="shared" si="3"/>
        <v>0</v>
      </c>
    </row>
    <row r="19">
      <c r="A19" s="612">
        <v>11.0</v>
      </c>
      <c r="B19" s="624" t="str">
        <f>IFERROR(__xludf.DUMMYFUNCTION("""COMPUTED_VALUE"""),"Chai khác")</f>
        <v>Chai khác</v>
      </c>
      <c r="C19" s="741">
        <f t="array" ref="C19">SUMPRODUCT((INDEX('6. TIẾN ĐỘ MUA HÀNG'!$A:$AT, 0, XMATCH("Phân loại VTBB/NL", '6. TIẾN ĐỘ MUA HÀNG'!$A$4:$AT$4, 0)) = $B19) * (TRIM(INDEX('6. TIẾN ĐỘ MUA HÀNG'!$A:$AT, 0, XMATCH("Tháng", '6. TIẾN ĐỘ MUA HÀNG'!$A$4:$AT$4, 0))) = TRIM($C$6)) * (INDEX('6. TIẾN ĐỘ MUA HÀNG'!$A:$AT, 0, XMATCH("Phân loại VTBB/NL", '6. TIẾN ĐỘ MUA HÀNG'!$A$4:$AT$4, 0)) &lt;&gt; ""))</f>
        <v>0</v>
      </c>
      <c r="D19" s="742">
        <f t="array" ref="D19">SUMPRODUCT(IFERROR(INDEX('6. TIẾN ĐỘ MUA HÀNG'!$A$5:$AT81, 0, XMATCH("Thành tiền đơn hàng", '6. TIẾN ĐỘ MUA HÀNG'!$A$4:$AT$4, 0)), 0) * (INDEX('6. TIẾN ĐỘ MUA HÀNG'!$A$5:$AT81, 0, XMATCH("Phân loại VTBB/NL", '6. TIẾN ĐỘ MUA HÀNG'!$A$4:$AT$4, 0)) = $B19) * (TRIM(INDEX('6. TIẾN ĐỘ MUA HÀNG'!$A$5:$AT81, 0, XMATCH("Tháng", '6. TIẾN ĐỘ MUA HÀNG'!$A$4:$AT$4, 0))) = TRIM(C$6)))</f>
        <v>0</v>
      </c>
      <c r="E19" s="743">
        <f t="array" ref="E19">SUMPRODUCT((INDEX('6. TIẾN ĐỘ MUA HÀNG'!$A:$AT, 0, XMATCH("Phân loại VTBB/NL", '6. TIẾN ĐỘ MUA HÀNG'!$A$4:$AT$4, 0)) = $B19) * (TRIM(INDEX('6. TIẾN ĐỘ MUA HÀNG'!$A:$AT, 0, XMATCH("Tháng", '6. TIẾN ĐỘ MUA HÀNG'!$A$4:$AT$4, 0))) = TRIM(E$6)) * (INDEX('6. TIẾN ĐỘ MUA HÀNG'!$A:$AT, 0, XMATCH("Phân loại VTBB/NL", '6. TIẾN ĐỘ MUA HÀNG'!$A$4:$AT$4, 0)) &lt;&gt; ""))</f>
        <v>0</v>
      </c>
      <c r="F19" s="744">
        <f t="array" ref="F19">SUMPRODUCT(IFERROR(INDEX('6. TIẾN ĐỘ MUA HÀNG'!$A$5:$AT81, 0, XMATCH("Thành tiền đơn hàng", '6. TIẾN ĐỘ MUA HÀNG'!$A$4:$AT$4, 0)), 0) * (INDEX('6. TIẾN ĐỘ MUA HÀNG'!$A$5:$AT81, 0, XMATCH("Phân loại VTBB/NL", '6. TIẾN ĐỘ MUA HÀNG'!$A$4:$AT$4, 0)) = $B19) * (TRIM(INDEX('6. TIẾN ĐỘ MUA HÀNG'!$A$5:$AT81, 0, XMATCH("Tháng", '6. TIẾN ĐỘ MUA HÀNG'!$A$4:$AT$4, 0))) = TRIM(E$6)))</f>
        <v>0</v>
      </c>
      <c r="G19" s="741">
        <f t="array" ref="G19">SUMPRODUCT((INDEX('6. TIẾN ĐỘ MUA HÀNG'!$A:$AT, 0, XMATCH("Phân loại VTBB/NL", '6. TIẾN ĐỘ MUA HÀNG'!$A$4:$AT$4, 0)) = $B19) * (TRIM(INDEX('6. TIẾN ĐỘ MUA HÀNG'!$A:$AT, 0, XMATCH("Tháng", '6. TIẾN ĐỘ MUA HÀNG'!$A$4:$AT$4, 0))) = TRIM($G$6)) * (INDEX('6. TIẾN ĐỘ MUA HÀNG'!$A:$AT, 0, XMATCH("Phân loại VTBB/NL", '6. TIẾN ĐỘ MUA HÀNG'!$A$4:$AT$4, 0)) &lt;&gt; ""))</f>
        <v>0</v>
      </c>
      <c r="H19" s="742">
        <f t="array" ref="H19">SUMPRODUCT(IFERROR(INDEX('6. TIẾN ĐỘ MUA HÀNG'!$A$5:$AT81, 0, XMATCH("Thành tiền đơn hàng", '6. TIẾN ĐỘ MUA HÀNG'!$A$4:$AT$4, 0)), 0) * (INDEX('6. TIẾN ĐỘ MUA HÀNG'!$A$5:$AT81, 0, XMATCH("Phân loại VTBB/NL", '6. TIẾN ĐỘ MUA HÀNG'!$A$4:$AT$4, 0)) = $B19) * (TRIM(INDEX('6. TIẾN ĐỘ MUA HÀNG'!$A$5:$AT81, 0, XMATCH("Tháng", '6. TIẾN ĐỘ MUA HÀNG'!$A$4:$AT$4, 0))) = TRIM(G$6)))</f>
        <v>0</v>
      </c>
      <c r="I19" s="743">
        <f t="array" ref="I19">SUMPRODUCT((INDEX('6. TIẾN ĐỘ MUA HÀNG'!$A:$AT, 0, XMATCH("Phân loại VTBB/NL", '6. TIẾN ĐỘ MUA HÀNG'!$A$4:$AT$4, 0)) = $B19) * (TRIM(INDEX('6. TIẾN ĐỘ MUA HÀNG'!$A:$AT, 0, XMATCH("Tháng", '6. TIẾN ĐỘ MUA HÀNG'!$A$4:$AT$4, 0))) = TRIM(I$6)) * (INDEX('6. TIẾN ĐỘ MUA HÀNG'!$A:$AT, 0, XMATCH("Phân loại VTBB/NL", '6. TIẾN ĐỘ MUA HÀNG'!$A$4:$AT$4, 0)) &lt;&gt; ""))</f>
        <v>0</v>
      </c>
      <c r="J19" s="744">
        <f t="array" ref="J19">SUMPRODUCT(IFERROR(INDEX('6. TIẾN ĐỘ MUA HÀNG'!$A$5:$AT81, 0, XMATCH("Thành tiền đơn hàng", '6. TIẾN ĐỘ MUA HÀNG'!$A$4:$AT$4, 0)), 0) * (INDEX('6. TIẾN ĐỘ MUA HÀNG'!$A$5:$AT81, 0, XMATCH("Phân loại VTBB/NL", '6. TIẾN ĐỘ MUA HÀNG'!$A$4:$AT$4, 0)) = $B19) * (TRIM(INDEX('6. TIẾN ĐỘ MUA HÀNG'!$A$5:$AT81, 0, XMATCH("Tháng", '6. TIẾN ĐỘ MUA HÀNG'!$A$4:$AT$4, 0))) = TRIM(I$6)))</f>
        <v>0</v>
      </c>
      <c r="K19" s="741">
        <f t="array" ref="K19">SUMPRODUCT((INDEX('6. TIẾN ĐỘ MUA HÀNG'!$A:$AT, 0, XMATCH("Phân loại VTBB/NL", '6. TIẾN ĐỘ MUA HÀNG'!$A$4:$AT$4, 0)) = $B19) * (TRIM(INDEX('6. TIẾN ĐỘ MUA HÀNG'!$A:$AT, 0, XMATCH("Tháng", '6. TIẾN ĐỘ MUA HÀNG'!$A$4:$AT$4, 0))) = TRIM($K$6)) * (INDEX('6. TIẾN ĐỘ MUA HÀNG'!$A:$AT, 0, XMATCH("Phân loại VTBB/NL", '6. TIẾN ĐỘ MUA HÀNG'!$A$4:$AT$4, 0)) &lt;&gt; ""))</f>
        <v>0</v>
      </c>
      <c r="L19" s="742">
        <f t="array" ref="L19">SUMPRODUCT(IFERROR(INDEX('6. TIẾN ĐỘ MUA HÀNG'!$A$5:$AT81, 0, XMATCH("Thành tiền đơn hàng", '6. TIẾN ĐỘ MUA HÀNG'!$A$4:$AT$4, 0)), 0) * (INDEX('6. TIẾN ĐỘ MUA HÀNG'!$A$5:$AT81, 0, XMATCH("Phân loại VTBB/NL", '6. TIẾN ĐỘ MUA HÀNG'!$A$4:$AT$4, 0)) = $B19) * (TRIM(INDEX('6. TIẾN ĐỘ MUA HÀNG'!$A$5:$AT81, 0, XMATCH("Tháng", '6. TIẾN ĐỘ MUA HÀNG'!$A$4:$AT$4, 0))) = TRIM(K$6)))</f>
        <v>0</v>
      </c>
      <c r="M19" s="743">
        <f t="array" ref="M19">SUMPRODUCT((INDEX('6. TIẾN ĐỘ MUA HÀNG'!$A:$AT, 0, XMATCH("Phân loại VTBB/NL", '6. TIẾN ĐỘ MUA HÀNG'!$A$4:$AT$4, 0)) = $B19) * (TRIM(INDEX('6. TIẾN ĐỘ MUA HÀNG'!$A:$AT, 0, XMATCH("Tháng", '6. TIẾN ĐỘ MUA HÀNG'!$A$4:$AT$4, 0))) = TRIM(M$6)) * (INDEX('6. TIẾN ĐỘ MUA HÀNG'!$A:$AT, 0, XMATCH("Phân loại VTBB/NL", '6. TIẾN ĐỘ MUA HÀNG'!$A$4:$AT$4, 0)) &lt;&gt; ""))</f>
        <v>0</v>
      </c>
      <c r="N19" s="744">
        <f t="array" ref="N19">SUMPRODUCT(IFERROR(INDEX('6. TIẾN ĐỘ MUA HÀNG'!$A$5:$AT81, 0, XMATCH("Thành tiền đơn hàng", '6. TIẾN ĐỘ MUA HÀNG'!$A$4:$AT$4, 0)), 0) * (INDEX('6. TIẾN ĐỘ MUA HÀNG'!$A$5:$AT81, 0, XMATCH("Phân loại VTBB/NL", '6. TIẾN ĐỘ MUA HÀNG'!$A$4:$AT$4, 0)) = $B19) * (TRIM(INDEX('6. TIẾN ĐỘ MUA HÀNG'!$A$5:$AT81, 0, XMATCH("Tháng", '6. TIẾN ĐỘ MUA HÀNG'!$A$4:$AT$4, 0))) = TRIM(M$6)))</f>
        <v>0</v>
      </c>
      <c r="O19" s="741">
        <f t="array" ref="O19">SUMPRODUCT((INDEX('6. TIẾN ĐỘ MUA HÀNG'!$A:$AT, 0, XMATCH("Phân loại VTBB/NL", '6. TIẾN ĐỘ MUA HÀNG'!$A$4:$AT$4, 0)) = $B19) * (TRIM(INDEX('6. TIẾN ĐỘ MUA HÀNG'!$A:$AT, 0, XMATCH("Tháng", '6. TIẾN ĐỘ MUA HÀNG'!$A$4:$AT$4, 0))) = TRIM($O$6)) * (INDEX('6. TIẾN ĐỘ MUA HÀNG'!$A:$AT, 0, XMATCH("Phân loại VTBB/NL", '6. TIẾN ĐỘ MUA HÀNG'!$A$4:$AT$4, 0)) &lt;&gt; ""))</f>
        <v>0</v>
      </c>
      <c r="P19" s="742">
        <f t="array" ref="P19">SUMPRODUCT(IFERROR(INDEX('6. TIẾN ĐỘ MUA HÀNG'!$A$5:$AT81, 0, XMATCH("Thành tiền đơn hàng", '6. TIẾN ĐỘ MUA HÀNG'!$A$4:$AT$4, 0)), 0) * (INDEX('6. TIẾN ĐỘ MUA HÀNG'!$A$5:$AT81, 0, XMATCH("Phân loại VTBB/NL", '6. TIẾN ĐỘ MUA HÀNG'!$A$4:$AT$4, 0)) = $B19) * (TRIM(INDEX('6. TIẾN ĐỘ MUA HÀNG'!$A$5:$AT81, 0, XMATCH("Tháng", '6. TIẾN ĐỘ MUA HÀNG'!$A$4:$AT$4, 0))) = TRIM(O$6)))</f>
        <v>0</v>
      </c>
      <c r="Q19" s="743">
        <f t="array" ref="Q19">SUMPRODUCT((INDEX('6. TIẾN ĐỘ MUA HÀNG'!$A:$AT, 0, XMATCH("Phân loại VTBB/NL", '6. TIẾN ĐỘ MUA HÀNG'!$A$4:$AT$4, 0)) = $B19) * (TRIM(INDEX('6. TIẾN ĐỘ MUA HÀNG'!$A:$AT, 0, XMATCH("Tháng", '6. TIẾN ĐỘ MUA HÀNG'!$A$4:$AT$4, 0))) = TRIM(Q$6)) * (INDEX('6. TIẾN ĐỘ MUA HÀNG'!$A:$AT, 0, XMATCH("Phân loại VTBB/NL", '6. TIẾN ĐỘ MUA HÀNG'!$A$4:$AT$4, 0)) &lt;&gt; ""))</f>
        <v>0</v>
      </c>
      <c r="R19" s="744">
        <f t="array" ref="R19">SUMPRODUCT(IFERROR(INDEX('6. TIẾN ĐỘ MUA HÀNG'!$A$5:$AT81, 0, XMATCH("Thành tiền đơn hàng", '6. TIẾN ĐỘ MUA HÀNG'!$A$4:$AT$4, 0)), 0) * (INDEX('6. TIẾN ĐỘ MUA HÀNG'!$A$5:$AT81, 0, XMATCH("Phân loại VTBB/NL", '6. TIẾN ĐỘ MUA HÀNG'!$A$4:$AT$4, 0)) = $B19) * (TRIM(INDEX('6. TIẾN ĐỘ MUA HÀNG'!$A$5:$AT81, 0, XMATCH("Tháng", '6. TIẾN ĐỘ MUA HÀNG'!$A$4:$AT$4, 0))) = TRIM(Q$6)))</f>
        <v>0</v>
      </c>
      <c r="S19" s="741">
        <f t="array" ref="S19">SUMPRODUCT((INDEX('6. TIẾN ĐỘ MUA HÀNG'!$A:$AT, 0, XMATCH("Phân loại VTBB/NL", '6. TIẾN ĐỘ MUA HÀNG'!$A$4:$AT$4, 0)) = $B19) * (TRIM(INDEX('6. TIẾN ĐỘ MUA HÀNG'!$A:$AT, 0, XMATCH("Tháng", '6. TIẾN ĐỘ MUA HÀNG'!$A$4:$AT$4, 0))) = TRIM($S$6)) * (INDEX('6. TIẾN ĐỘ MUA HÀNG'!$A:$AT, 0, XMATCH("Phân loại VTBB/NL", '6. TIẾN ĐỘ MUA HÀNG'!$A$4:$AT$4, 0)) &lt;&gt; ""))</f>
        <v>0</v>
      </c>
      <c r="T19" s="742">
        <f t="array" ref="T19">SUMPRODUCT(IFERROR(INDEX('6. TIẾN ĐỘ MUA HÀNG'!$A$5:$AT81, 0, XMATCH("Thành tiền đơn hàng", '6. TIẾN ĐỘ MUA HÀNG'!$A$4:$AT$4, 0)), 0) * (INDEX('6. TIẾN ĐỘ MUA HÀNG'!$A$5:$AT81, 0, XMATCH("Phân loại VTBB/NL", '6. TIẾN ĐỘ MUA HÀNG'!$A$4:$AT$4, 0)) = $B19) * (TRIM(INDEX('6. TIẾN ĐỘ MUA HÀNG'!$A$5:$AT81, 0, XMATCH("Tháng", '6. TIẾN ĐỘ MUA HÀNG'!$A$4:$AT$4, 0))) = TRIM(S$6)))</f>
        <v>0</v>
      </c>
      <c r="U19" s="743">
        <f t="array" ref="U19">SUMPRODUCT((INDEX('6. TIẾN ĐỘ MUA HÀNG'!$A:$AT, 0, XMATCH("Phân loại VTBB/NL", '6. TIẾN ĐỘ MUA HÀNG'!$A$4:$AT$4, 0)) = $B19) * (TRIM(INDEX('6. TIẾN ĐỘ MUA HÀNG'!$A:$AT, 0, XMATCH("Tháng", '6. TIẾN ĐỘ MUA HÀNG'!$A$4:$AT$4, 0))) = TRIM(U$6)) * (INDEX('6. TIẾN ĐỘ MUA HÀNG'!$A:$AT, 0, XMATCH("Phân loại VTBB/NL", '6. TIẾN ĐỘ MUA HÀNG'!$A$4:$AT$4, 0)) &lt;&gt; ""))</f>
        <v>0</v>
      </c>
      <c r="V19" s="744">
        <f t="array" ref="V19">SUMPRODUCT(IFERROR(INDEX('6. TIẾN ĐỘ MUA HÀNG'!$A$5:$AT81, 0, XMATCH("Thành tiền đơn hàng", '6. TIẾN ĐỘ MUA HÀNG'!$A$4:$AT$4, 0)), 0) * (INDEX('6. TIẾN ĐỘ MUA HÀNG'!$A$5:$AT81, 0, XMATCH("Phân loại VTBB/NL", '6. TIẾN ĐỘ MUA HÀNG'!$A$4:$AT$4, 0)) = $B19) * (TRIM(INDEX('6. TIẾN ĐỘ MUA HÀNG'!$A$5:$AT81, 0, XMATCH("Tháng", '6. TIẾN ĐỘ MUA HÀNG'!$A$4:$AT$4, 0))) = TRIM(U$6)))</f>
        <v>0</v>
      </c>
      <c r="W19" s="741">
        <f t="array" ref="W19">SUMPRODUCT((INDEX('6. TIẾN ĐỘ MUA HÀNG'!$A:$AT, 0, XMATCH("Phân loại VTBB/NL", '6. TIẾN ĐỘ MUA HÀNG'!$A$4:$AT$4, 0)) = $B19) * (TRIM(INDEX('6. TIẾN ĐỘ MUA HÀNG'!$A:$AT, 0, XMATCH("Tháng", '6. TIẾN ĐỘ MUA HÀNG'!$A$4:$AT$4, 0))) = TRIM($W$6)) * (INDEX('6. TIẾN ĐỘ MUA HÀNG'!$A:$AT, 0, XMATCH("Phân loại VTBB/NL", '6. TIẾN ĐỘ MUA HÀNG'!$A$4:$AT$4, 0)) &lt;&gt; ""))</f>
        <v>0</v>
      </c>
      <c r="X19" s="742">
        <f t="array" ref="X19">SUMPRODUCT(IFERROR(INDEX('6. TIẾN ĐỘ MUA HÀNG'!$A$5:$AT81, 0, XMATCH("Thành tiền đơn hàng", '6. TIẾN ĐỘ MUA HÀNG'!$A$4:$AT$4, 0)), 0) * (INDEX('6. TIẾN ĐỘ MUA HÀNG'!$A$5:$AT81, 0, XMATCH("Phân loại VTBB/NL", '6. TIẾN ĐỘ MUA HÀNG'!$A$4:$AT$4, 0)) = $B19) * (TRIM(INDEX('6. TIẾN ĐỘ MUA HÀNG'!$A$5:$AT81, 0, XMATCH("Tháng", '6. TIẾN ĐỘ MUA HÀNG'!$A$4:$AT$4, 0))) = TRIM(W$6)))</f>
        <v>0</v>
      </c>
      <c r="Y19" s="743">
        <f t="array" ref="Y19">SUMPRODUCT((INDEX('6. TIẾN ĐỘ MUA HÀNG'!$A:$AT, 0, XMATCH("Phân loại VTBB/NL", '6. TIẾN ĐỘ MUA HÀNG'!$A$4:$AT$4, 0)) = $B19) * (TRIM(INDEX('6. TIẾN ĐỘ MUA HÀNG'!$A:$AT, 0, XMATCH("Tháng", '6. TIẾN ĐỘ MUA HÀNG'!$A$4:$AT$4, 0))) = TRIM(Y$6)) * (INDEX('6. TIẾN ĐỘ MUA HÀNG'!$A:$AT, 0, XMATCH("Phân loại VTBB/NL", '6. TIẾN ĐỘ MUA HÀNG'!$A$4:$AT$4, 0)) &lt;&gt; ""))</f>
        <v>0</v>
      </c>
      <c r="Z19" s="744">
        <f t="array" ref="Z19">SUMPRODUCT(IFERROR(INDEX('6. TIẾN ĐỘ MUA HÀNG'!$A$5:$AT81, 0, XMATCH("Thành tiền đơn hàng", '6. TIẾN ĐỘ MUA HÀNG'!$A$4:$AT$4, 0)), 0) * (INDEX('6. TIẾN ĐỘ MUA HÀNG'!$A$5:$AT81, 0, XMATCH("Phân loại VTBB/NL", '6. TIẾN ĐỘ MUA HÀNG'!$A$4:$AT$4, 0)) = $B19) * (TRIM(INDEX('6. TIẾN ĐỘ MUA HÀNG'!$A$5:$AT81, 0, XMATCH("Tháng", '6. TIẾN ĐỘ MUA HÀNG'!$A$4:$AT$4, 0))) = TRIM(Y$6)))</f>
        <v>0</v>
      </c>
      <c r="AA19" s="726">
        <f t="shared" si="2"/>
        <v>0</v>
      </c>
      <c r="AB19" s="726">
        <f t="shared" si="3"/>
        <v>0</v>
      </c>
    </row>
    <row r="20">
      <c r="A20" s="612">
        <v>12.0</v>
      </c>
      <c r="B20" s="624" t="str">
        <f>IFERROR(__xludf.DUMMYFUNCTION("""COMPUTED_VALUE"""),"Nắp")</f>
        <v>Nắp</v>
      </c>
      <c r="C20" s="741">
        <f t="array" ref="C20">SUMPRODUCT((INDEX('6. TIẾN ĐỘ MUA HÀNG'!$A:$AT, 0, XMATCH("Phân loại VTBB/NL", '6. TIẾN ĐỘ MUA HÀNG'!$A$4:$AT$4, 0)) = $B20) * (TRIM(INDEX('6. TIẾN ĐỘ MUA HÀNG'!$A:$AT, 0, XMATCH("Tháng", '6. TIẾN ĐỘ MUA HÀNG'!$A$4:$AT$4, 0))) = TRIM($C$6)) * (INDEX('6. TIẾN ĐỘ MUA HÀNG'!$A:$AT, 0, XMATCH("Phân loại VTBB/NL", '6. TIẾN ĐỘ MUA HÀNG'!$A$4:$AT$4, 0)) &lt;&gt; ""))</f>
        <v>0</v>
      </c>
      <c r="D20" s="742">
        <f t="array" ref="D20">SUMPRODUCT(IFERROR(INDEX('6. TIẾN ĐỘ MUA HÀNG'!$A$5:$AT81, 0, XMATCH("Thành tiền đơn hàng", '6. TIẾN ĐỘ MUA HÀNG'!$A$4:$AT$4, 0)), 0) * (INDEX('6. TIẾN ĐỘ MUA HÀNG'!$A$5:$AT81, 0, XMATCH("Phân loại VTBB/NL", '6. TIẾN ĐỘ MUA HÀNG'!$A$4:$AT$4, 0)) = $B20) * (TRIM(INDEX('6. TIẾN ĐỘ MUA HÀNG'!$A$5:$AT81, 0, XMATCH("Tháng", '6. TIẾN ĐỘ MUA HÀNG'!$A$4:$AT$4, 0))) = TRIM(C$6)))</f>
        <v>0</v>
      </c>
      <c r="E20" s="743">
        <f t="array" ref="E20">SUMPRODUCT((INDEX('6. TIẾN ĐỘ MUA HÀNG'!$A:$AT, 0, XMATCH("Phân loại VTBB/NL", '6. TIẾN ĐỘ MUA HÀNG'!$A$4:$AT$4, 0)) = $B20) * (TRIM(INDEX('6. TIẾN ĐỘ MUA HÀNG'!$A:$AT, 0, XMATCH("Tháng", '6. TIẾN ĐỘ MUA HÀNG'!$A$4:$AT$4, 0))) = TRIM(E$6)) * (INDEX('6. TIẾN ĐỘ MUA HÀNG'!$A:$AT, 0, XMATCH("Phân loại VTBB/NL", '6. TIẾN ĐỘ MUA HÀNG'!$A$4:$AT$4, 0)) &lt;&gt; ""))</f>
        <v>0</v>
      </c>
      <c r="F20" s="744">
        <f t="array" ref="F20">SUMPRODUCT(IFERROR(INDEX('6. TIẾN ĐỘ MUA HÀNG'!$A$5:$AT81, 0, XMATCH("Thành tiền đơn hàng", '6. TIẾN ĐỘ MUA HÀNG'!$A$4:$AT$4, 0)), 0) * (INDEX('6. TIẾN ĐỘ MUA HÀNG'!$A$5:$AT81, 0, XMATCH("Phân loại VTBB/NL", '6. TIẾN ĐỘ MUA HÀNG'!$A$4:$AT$4, 0)) = $B20) * (TRIM(INDEX('6. TIẾN ĐỘ MUA HÀNG'!$A$5:$AT81, 0, XMATCH("Tháng", '6. TIẾN ĐỘ MUA HÀNG'!$A$4:$AT$4, 0))) = TRIM(E$6)))</f>
        <v>0</v>
      </c>
      <c r="G20" s="741">
        <f t="array" ref="G20">SUMPRODUCT((INDEX('6. TIẾN ĐỘ MUA HÀNG'!$A:$AT, 0, XMATCH("Phân loại VTBB/NL", '6. TIẾN ĐỘ MUA HÀNG'!$A$4:$AT$4, 0)) = $B20) * (TRIM(INDEX('6. TIẾN ĐỘ MUA HÀNG'!$A:$AT, 0, XMATCH("Tháng", '6. TIẾN ĐỘ MUA HÀNG'!$A$4:$AT$4, 0))) = TRIM($G$6)) * (INDEX('6. TIẾN ĐỘ MUA HÀNG'!$A:$AT, 0, XMATCH("Phân loại VTBB/NL", '6. TIẾN ĐỘ MUA HÀNG'!$A$4:$AT$4, 0)) &lt;&gt; ""))</f>
        <v>0</v>
      </c>
      <c r="H20" s="742">
        <f t="array" ref="H20">SUMPRODUCT(IFERROR(INDEX('6. TIẾN ĐỘ MUA HÀNG'!$A$5:$AT81, 0, XMATCH("Thành tiền đơn hàng", '6. TIẾN ĐỘ MUA HÀNG'!$A$4:$AT$4, 0)), 0) * (INDEX('6. TIẾN ĐỘ MUA HÀNG'!$A$5:$AT81, 0, XMATCH("Phân loại VTBB/NL", '6. TIẾN ĐỘ MUA HÀNG'!$A$4:$AT$4, 0)) = $B20) * (TRIM(INDEX('6. TIẾN ĐỘ MUA HÀNG'!$A$5:$AT81, 0, XMATCH("Tháng", '6. TIẾN ĐỘ MUA HÀNG'!$A$4:$AT$4, 0))) = TRIM(G$6)))</f>
        <v>0</v>
      </c>
      <c r="I20" s="743">
        <f t="array" ref="I20">SUMPRODUCT((INDEX('6. TIẾN ĐỘ MUA HÀNG'!$A:$AT, 0, XMATCH("Phân loại VTBB/NL", '6. TIẾN ĐỘ MUA HÀNG'!$A$4:$AT$4, 0)) = $B20) * (TRIM(INDEX('6. TIẾN ĐỘ MUA HÀNG'!$A:$AT, 0, XMATCH("Tháng", '6. TIẾN ĐỘ MUA HÀNG'!$A$4:$AT$4, 0))) = TRIM(I$6)) * (INDEX('6. TIẾN ĐỘ MUA HÀNG'!$A:$AT, 0, XMATCH("Phân loại VTBB/NL", '6. TIẾN ĐỘ MUA HÀNG'!$A$4:$AT$4, 0)) &lt;&gt; ""))</f>
        <v>0</v>
      </c>
      <c r="J20" s="744">
        <f t="array" ref="J20">SUMPRODUCT(IFERROR(INDEX('6. TIẾN ĐỘ MUA HÀNG'!$A$5:$AT81, 0, XMATCH("Thành tiền đơn hàng", '6. TIẾN ĐỘ MUA HÀNG'!$A$4:$AT$4, 0)), 0) * (INDEX('6. TIẾN ĐỘ MUA HÀNG'!$A$5:$AT81, 0, XMATCH("Phân loại VTBB/NL", '6. TIẾN ĐỘ MUA HÀNG'!$A$4:$AT$4, 0)) = $B20) * (TRIM(INDEX('6. TIẾN ĐỘ MUA HÀNG'!$A$5:$AT81, 0, XMATCH("Tháng", '6. TIẾN ĐỘ MUA HÀNG'!$A$4:$AT$4, 0))) = TRIM(I$6)))</f>
        <v>0</v>
      </c>
      <c r="K20" s="741">
        <f t="array" ref="K20">SUMPRODUCT((INDEX('6. TIẾN ĐỘ MUA HÀNG'!$A:$AT, 0, XMATCH("Phân loại VTBB/NL", '6. TIẾN ĐỘ MUA HÀNG'!$A$4:$AT$4, 0)) = $B20) * (TRIM(INDEX('6. TIẾN ĐỘ MUA HÀNG'!$A:$AT, 0, XMATCH("Tháng", '6. TIẾN ĐỘ MUA HÀNG'!$A$4:$AT$4, 0))) = TRIM($K$6)) * (INDEX('6. TIẾN ĐỘ MUA HÀNG'!$A:$AT, 0, XMATCH("Phân loại VTBB/NL", '6. TIẾN ĐỘ MUA HÀNG'!$A$4:$AT$4, 0)) &lt;&gt; ""))</f>
        <v>0</v>
      </c>
      <c r="L20" s="742">
        <f t="array" ref="L20">SUMPRODUCT(IFERROR(INDEX('6. TIẾN ĐỘ MUA HÀNG'!$A$5:$AT81, 0, XMATCH("Thành tiền đơn hàng", '6. TIẾN ĐỘ MUA HÀNG'!$A$4:$AT$4, 0)), 0) * (INDEX('6. TIẾN ĐỘ MUA HÀNG'!$A$5:$AT81, 0, XMATCH("Phân loại VTBB/NL", '6. TIẾN ĐỘ MUA HÀNG'!$A$4:$AT$4, 0)) = $B20) * (TRIM(INDEX('6. TIẾN ĐỘ MUA HÀNG'!$A$5:$AT81, 0, XMATCH("Tháng", '6. TIẾN ĐỘ MUA HÀNG'!$A$4:$AT$4, 0))) = TRIM(K$6)))</f>
        <v>0</v>
      </c>
      <c r="M20" s="743">
        <f t="array" ref="M20">SUMPRODUCT((INDEX('6. TIẾN ĐỘ MUA HÀNG'!$A:$AT, 0, XMATCH("Phân loại VTBB/NL", '6. TIẾN ĐỘ MUA HÀNG'!$A$4:$AT$4, 0)) = $B20) * (TRIM(INDEX('6. TIẾN ĐỘ MUA HÀNG'!$A:$AT, 0, XMATCH("Tháng", '6. TIẾN ĐỘ MUA HÀNG'!$A$4:$AT$4, 0))) = TRIM(M$6)) * (INDEX('6. TIẾN ĐỘ MUA HÀNG'!$A:$AT, 0, XMATCH("Phân loại VTBB/NL", '6. TIẾN ĐỘ MUA HÀNG'!$A$4:$AT$4, 0)) &lt;&gt; ""))</f>
        <v>0</v>
      </c>
      <c r="N20" s="744">
        <f t="array" ref="N20">SUMPRODUCT(IFERROR(INDEX('6. TIẾN ĐỘ MUA HÀNG'!$A$5:$AT81, 0, XMATCH("Thành tiền đơn hàng", '6. TIẾN ĐỘ MUA HÀNG'!$A$4:$AT$4, 0)), 0) * (INDEX('6. TIẾN ĐỘ MUA HÀNG'!$A$5:$AT81, 0, XMATCH("Phân loại VTBB/NL", '6. TIẾN ĐỘ MUA HÀNG'!$A$4:$AT$4, 0)) = $B20) * (TRIM(INDEX('6. TIẾN ĐỘ MUA HÀNG'!$A$5:$AT81, 0, XMATCH("Tháng", '6. TIẾN ĐỘ MUA HÀNG'!$A$4:$AT$4, 0))) = TRIM(M$6)))</f>
        <v>0</v>
      </c>
      <c r="O20" s="741">
        <f t="array" ref="O20">SUMPRODUCT((INDEX('6. TIẾN ĐỘ MUA HÀNG'!$A:$AT, 0, XMATCH("Phân loại VTBB/NL", '6. TIẾN ĐỘ MUA HÀNG'!$A$4:$AT$4, 0)) = $B20) * (TRIM(INDEX('6. TIẾN ĐỘ MUA HÀNG'!$A:$AT, 0, XMATCH("Tháng", '6. TIẾN ĐỘ MUA HÀNG'!$A$4:$AT$4, 0))) = TRIM($O$6)) * (INDEX('6. TIẾN ĐỘ MUA HÀNG'!$A:$AT, 0, XMATCH("Phân loại VTBB/NL", '6. TIẾN ĐỘ MUA HÀNG'!$A$4:$AT$4, 0)) &lt;&gt; ""))</f>
        <v>0</v>
      </c>
      <c r="P20" s="742">
        <f t="array" ref="P20">SUMPRODUCT(IFERROR(INDEX('6. TIẾN ĐỘ MUA HÀNG'!$A$5:$AT81, 0, XMATCH("Thành tiền đơn hàng", '6. TIẾN ĐỘ MUA HÀNG'!$A$4:$AT$4, 0)), 0) * (INDEX('6. TIẾN ĐỘ MUA HÀNG'!$A$5:$AT81, 0, XMATCH("Phân loại VTBB/NL", '6. TIẾN ĐỘ MUA HÀNG'!$A$4:$AT$4, 0)) = $B20) * (TRIM(INDEX('6. TIẾN ĐỘ MUA HÀNG'!$A$5:$AT81, 0, XMATCH("Tháng", '6. TIẾN ĐỘ MUA HÀNG'!$A$4:$AT$4, 0))) = TRIM(O$6)))</f>
        <v>0</v>
      </c>
      <c r="Q20" s="743">
        <f t="array" ref="Q20">SUMPRODUCT((INDEX('6. TIẾN ĐỘ MUA HÀNG'!$A:$AT, 0, XMATCH("Phân loại VTBB/NL", '6. TIẾN ĐỘ MUA HÀNG'!$A$4:$AT$4, 0)) = $B20) * (TRIM(INDEX('6. TIẾN ĐỘ MUA HÀNG'!$A:$AT, 0, XMATCH("Tháng", '6. TIẾN ĐỘ MUA HÀNG'!$A$4:$AT$4, 0))) = TRIM(Q$6)) * (INDEX('6. TIẾN ĐỘ MUA HÀNG'!$A:$AT, 0, XMATCH("Phân loại VTBB/NL", '6. TIẾN ĐỘ MUA HÀNG'!$A$4:$AT$4, 0)) &lt;&gt; ""))</f>
        <v>0</v>
      </c>
      <c r="R20" s="744">
        <f t="array" ref="R20">SUMPRODUCT(IFERROR(INDEX('6. TIẾN ĐỘ MUA HÀNG'!$A$5:$AT81, 0, XMATCH("Thành tiền đơn hàng", '6. TIẾN ĐỘ MUA HÀNG'!$A$4:$AT$4, 0)), 0) * (INDEX('6. TIẾN ĐỘ MUA HÀNG'!$A$5:$AT81, 0, XMATCH("Phân loại VTBB/NL", '6. TIẾN ĐỘ MUA HÀNG'!$A$4:$AT$4, 0)) = $B20) * (TRIM(INDEX('6. TIẾN ĐỘ MUA HÀNG'!$A$5:$AT81, 0, XMATCH("Tháng", '6. TIẾN ĐỘ MUA HÀNG'!$A$4:$AT$4, 0))) = TRIM(Q$6)))</f>
        <v>0</v>
      </c>
      <c r="S20" s="741">
        <f t="array" ref="S20">SUMPRODUCT((INDEX('6. TIẾN ĐỘ MUA HÀNG'!$A:$AT, 0, XMATCH("Phân loại VTBB/NL", '6. TIẾN ĐỘ MUA HÀNG'!$A$4:$AT$4, 0)) = $B20) * (TRIM(INDEX('6. TIẾN ĐỘ MUA HÀNG'!$A:$AT, 0, XMATCH("Tháng", '6. TIẾN ĐỘ MUA HÀNG'!$A$4:$AT$4, 0))) = TRIM($S$6)) * (INDEX('6. TIẾN ĐỘ MUA HÀNG'!$A:$AT, 0, XMATCH("Phân loại VTBB/NL", '6. TIẾN ĐỘ MUA HÀNG'!$A$4:$AT$4, 0)) &lt;&gt; ""))</f>
        <v>0</v>
      </c>
      <c r="T20" s="742">
        <f t="array" ref="T20">SUMPRODUCT(IFERROR(INDEX('6. TIẾN ĐỘ MUA HÀNG'!$A$5:$AT81, 0, XMATCH("Thành tiền đơn hàng", '6. TIẾN ĐỘ MUA HÀNG'!$A$4:$AT$4, 0)), 0) * (INDEX('6. TIẾN ĐỘ MUA HÀNG'!$A$5:$AT81, 0, XMATCH("Phân loại VTBB/NL", '6. TIẾN ĐỘ MUA HÀNG'!$A$4:$AT$4, 0)) = $B20) * (TRIM(INDEX('6. TIẾN ĐỘ MUA HÀNG'!$A$5:$AT81, 0, XMATCH("Tháng", '6. TIẾN ĐỘ MUA HÀNG'!$A$4:$AT$4, 0))) = TRIM(S$6)))</f>
        <v>0</v>
      </c>
      <c r="U20" s="743">
        <f t="array" ref="U20">SUMPRODUCT((INDEX('6. TIẾN ĐỘ MUA HÀNG'!$A:$AT, 0, XMATCH("Phân loại VTBB/NL", '6. TIẾN ĐỘ MUA HÀNG'!$A$4:$AT$4, 0)) = $B20) * (TRIM(INDEX('6. TIẾN ĐỘ MUA HÀNG'!$A:$AT, 0, XMATCH("Tháng", '6. TIẾN ĐỘ MUA HÀNG'!$A$4:$AT$4, 0))) = TRIM(U$6)) * (INDEX('6. TIẾN ĐỘ MUA HÀNG'!$A:$AT, 0, XMATCH("Phân loại VTBB/NL", '6. TIẾN ĐỘ MUA HÀNG'!$A$4:$AT$4, 0)) &lt;&gt; ""))</f>
        <v>0</v>
      </c>
      <c r="V20" s="744">
        <f t="array" ref="V20">SUMPRODUCT(IFERROR(INDEX('6. TIẾN ĐỘ MUA HÀNG'!$A$5:$AT81, 0, XMATCH("Thành tiền đơn hàng", '6. TIẾN ĐỘ MUA HÀNG'!$A$4:$AT$4, 0)), 0) * (INDEX('6. TIẾN ĐỘ MUA HÀNG'!$A$5:$AT81, 0, XMATCH("Phân loại VTBB/NL", '6. TIẾN ĐỘ MUA HÀNG'!$A$4:$AT$4, 0)) = $B20) * (TRIM(INDEX('6. TIẾN ĐỘ MUA HÀNG'!$A$5:$AT81, 0, XMATCH("Tháng", '6. TIẾN ĐỘ MUA HÀNG'!$A$4:$AT$4, 0))) = TRIM(U$6)))</f>
        <v>0</v>
      </c>
      <c r="W20" s="741">
        <f t="array" ref="W20">SUMPRODUCT((INDEX('6. TIẾN ĐỘ MUA HÀNG'!$A:$AT, 0, XMATCH("Phân loại VTBB/NL", '6. TIẾN ĐỘ MUA HÀNG'!$A$4:$AT$4, 0)) = $B20) * (TRIM(INDEX('6. TIẾN ĐỘ MUA HÀNG'!$A:$AT, 0, XMATCH("Tháng", '6. TIẾN ĐỘ MUA HÀNG'!$A$4:$AT$4, 0))) = TRIM($W$6)) * (INDEX('6. TIẾN ĐỘ MUA HÀNG'!$A:$AT, 0, XMATCH("Phân loại VTBB/NL", '6. TIẾN ĐỘ MUA HÀNG'!$A$4:$AT$4, 0)) &lt;&gt; ""))</f>
        <v>0</v>
      </c>
      <c r="X20" s="742">
        <f t="array" ref="X20">SUMPRODUCT(IFERROR(INDEX('6. TIẾN ĐỘ MUA HÀNG'!$A$5:$AT81, 0, XMATCH("Thành tiền đơn hàng", '6. TIẾN ĐỘ MUA HÀNG'!$A$4:$AT$4, 0)), 0) * (INDEX('6. TIẾN ĐỘ MUA HÀNG'!$A$5:$AT81, 0, XMATCH("Phân loại VTBB/NL", '6. TIẾN ĐỘ MUA HÀNG'!$A$4:$AT$4, 0)) = $B20) * (TRIM(INDEX('6. TIẾN ĐỘ MUA HÀNG'!$A$5:$AT81, 0, XMATCH("Tháng", '6. TIẾN ĐỘ MUA HÀNG'!$A$4:$AT$4, 0))) = TRIM(W$6)))</f>
        <v>0</v>
      </c>
      <c r="Y20" s="743">
        <f t="array" ref="Y20">SUMPRODUCT((INDEX('6. TIẾN ĐỘ MUA HÀNG'!$A:$AT, 0, XMATCH("Phân loại VTBB/NL", '6. TIẾN ĐỘ MUA HÀNG'!$A$4:$AT$4, 0)) = $B20) * (TRIM(INDEX('6. TIẾN ĐỘ MUA HÀNG'!$A:$AT, 0, XMATCH("Tháng", '6. TIẾN ĐỘ MUA HÀNG'!$A$4:$AT$4, 0))) = TRIM(Y$6)) * (INDEX('6. TIẾN ĐỘ MUA HÀNG'!$A:$AT, 0, XMATCH("Phân loại VTBB/NL", '6. TIẾN ĐỘ MUA HÀNG'!$A$4:$AT$4, 0)) &lt;&gt; ""))</f>
        <v>0</v>
      </c>
      <c r="Z20" s="744">
        <f t="array" ref="Z20">SUMPRODUCT(IFERROR(INDEX('6. TIẾN ĐỘ MUA HÀNG'!$A$5:$AT81, 0, XMATCH("Thành tiền đơn hàng", '6. TIẾN ĐỘ MUA HÀNG'!$A$4:$AT$4, 0)), 0) * (INDEX('6. TIẾN ĐỘ MUA HÀNG'!$A$5:$AT81, 0, XMATCH("Phân loại VTBB/NL", '6. TIẾN ĐỘ MUA HÀNG'!$A$4:$AT$4, 0)) = $B20) * (TRIM(INDEX('6. TIẾN ĐỘ MUA HÀNG'!$A$5:$AT81, 0, XMATCH("Tháng", '6. TIẾN ĐỘ MUA HÀNG'!$A$4:$AT$4, 0))) = TRIM(Y$6)))</f>
        <v>0</v>
      </c>
      <c r="AA20" s="726">
        <f t="shared" si="2"/>
        <v>0</v>
      </c>
      <c r="AB20" s="726">
        <f t="shared" si="3"/>
        <v>0</v>
      </c>
    </row>
    <row r="21">
      <c r="A21" s="612">
        <v>13.0</v>
      </c>
      <c r="B21" s="139" t="str">
        <f>IFERROR(__xludf.DUMMYFUNCTION("""COMPUTED_VALUE"""),"Cốc đong")</f>
        <v>Cốc đong</v>
      </c>
      <c r="C21" s="741">
        <f t="array" ref="C21">SUMPRODUCT((INDEX('6. TIẾN ĐỘ MUA HÀNG'!$A:$AT, 0, XMATCH("Phân loại VTBB/NL", '6. TIẾN ĐỘ MUA HÀNG'!$A$4:$AT$4, 0)) = $B21) * (TRIM(INDEX('6. TIẾN ĐỘ MUA HÀNG'!$A:$AT, 0, XMATCH("Tháng", '6. TIẾN ĐỘ MUA HÀNG'!$A$4:$AT$4, 0))) = TRIM($C$6)) * (INDEX('6. TIẾN ĐỘ MUA HÀNG'!$A:$AT, 0, XMATCH("Phân loại VTBB/NL", '6. TIẾN ĐỘ MUA HÀNG'!$A$4:$AT$4, 0)) &lt;&gt; ""))</f>
        <v>0</v>
      </c>
      <c r="D21" s="742">
        <f t="array" ref="D21">SUMPRODUCT(IFERROR(INDEX('6. TIẾN ĐỘ MUA HÀNG'!$A$5:$AT81, 0, XMATCH("Thành tiền đơn hàng", '6. TIẾN ĐỘ MUA HÀNG'!$A$4:$AT$4, 0)), 0) * (INDEX('6. TIẾN ĐỘ MUA HÀNG'!$A$5:$AT81, 0, XMATCH("Phân loại VTBB/NL", '6. TIẾN ĐỘ MUA HÀNG'!$A$4:$AT$4, 0)) = $B21) * (TRIM(INDEX('6. TIẾN ĐỘ MUA HÀNG'!$A$5:$AT81, 0, XMATCH("Tháng", '6. TIẾN ĐỘ MUA HÀNG'!$A$4:$AT$4, 0))) = TRIM(C$6)))</f>
        <v>0</v>
      </c>
      <c r="E21" s="743">
        <f t="array" ref="E21">SUMPRODUCT((INDEX('6. TIẾN ĐỘ MUA HÀNG'!$A:$AT, 0, XMATCH("Phân loại VTBB/NL", '6. TIẾN ĐỘ MUA HÀNG'!$A$4:$AT$4, 0)) = $B21) * (TRIM(INDEX('6. TIẾN ĐỘ MUA HÀNG'!$A:$AT, 0, XMATCH("Tháng", '6. TIẾN ĐỘ MUA HÀNG'!$A$4:$AT$4, 0))) = TRIM(E$6)) * (INDEX('6. TIẾN ĐỘ MUA HÀNG'!$A:$AT, 0, XMATCH("Phân loại VTBB/NL", '6. TIẾN ĐỘ MUA HÀNG'!$A$4:$AT$4, 0)) &lt;&gt; ""))</f>
        <v>0</v>
      </c>
      <c r="F21" s="744">
        <f t="array" ref="F21">SUMPRODUCT(IFERROR(INDEX('6. TIẾN ĐỘ MUA HÀNG'!$A$5:$AT81, 0, XMATCH("Thành tiền đơn hàng", '6. TIẾN ĐỘ MUA HÀNG'!$A$4:$AT$4, 0)), 0) * (INDEX('6. TIẾN ĐỘ MUA HÀNG'!$A$5:$AT81, 0, XMATCH("Phân loại VTBB/NL", '6. TIẾN ĐỘ MUA HÀNG'!$A$4:$AT$4, 0)) = $B21) * (TRIM(INDEX('6. TIẾN ĐỘ MUA HÀNG'!$A$5:$AT81, 0, XMATCH("Tháng", '6. TIẾN ĐỘ MUA HÀNG'!$A$4:$AT$4, 0))) = TRIM(E$6)))</f>
        <v>0</v>
      </c>
      <c r="G21" s="741">
        <f t="array" ref="G21">SUMPRODUCT((INDEX('6. TIẾN ĐỘ MUA HÀNG'!$A:$AT, 0, XMATCH("Phân loại VTBB/NL", '6. TIẾN ĐỘ MUA HÀNG'!$A$4:$AT$4, 0)) = $B21) * (TRIM(INDEX('6. TIẾN ĐỘ MUA HÀNG'!$A:$AT, 0, XMATCH("Tháng", '6. TIẾN ĐỘ MUA HÀNG'!$A$4:$AT$4, 0))) = TRIM($G$6)) * (INDEX('6. TIẾN ĐỘ MUA HÀNG'!$A:$AT, 0, XMATCH("Phân loại VTBB/NL", '6. TIẾN ĐỘ MUA HÀNG'!$A$4:$AT$4, 0)) &lt;&gt; ""))</f>
        <v>0</v>
      </c>
      <c r="H21" s="742">
        <f t="array" ref="H21">SUMPRODUCT(IFERROR(INDEX('6. TIẾN ĐỘ MUA HÀNG'!$A$5:$AT81, 0, XMATCH("Thành tiền đơn hàng", '6. TIẾN ĐỘ MUA HÀNG'!$A$4:$AT$4, 0)), 0) * (INDEX('6. TIẾN ĐỘ MUA HÀNG'!$A$5:$AT81, 0, XMATCH("Phân loại VTBB/NL", '6. TIẾN ĐỘ MUA HÀNG'!$A$4:$AT$4, 0)) = $B21) * (TRIM(INDEX('6. TIẾN ĐỘ MUA HÀNG'!$A$5:$AT81, 0, XMATCH("Tháng", '6. TIẾN ĐỘ MUA HÀNG'!$A$4:$AT$4, 0))) = TRIM(G$6)))</f>
        <v>0</v>
      </c>
      <c r="I21" s="743">
        <f t="array" ref="I21">SUMPRODUCT((INDEX('6. TIẾN ĐỘ MUA HÀNG'!$A:$AT, 0, XMATCH("Phân loại VTBB/NL", '6. TIẾN ĐỘ MUA HÀNG'!$A$4:$AT$4, 0)) = $B21) * (TRIM(INDEX('6. TIẾN ĐỘ MUA HÀNG'!$A:$AT, 0, XMATCH("Tháng", '6. TIẾN ĐỘ MUA HÀNG'!$A$4:$AT$4, 0))) = TRIM(I$6)) * (INDEX('6. TIẾN ĐỘ MUA HÀNG'!$A:$AT, 0, XMATCH("Phân loại VTBB/NL", '6. TIẾN ĐỘ MUA HÀNG'!$A$4:$AT$4, 0)) &lt;&gt; ""))</f>
        <v>0</v>
      </c>
      <c r="J21" s="744">
        <f t="array" ref="J21">SUMPRODUCT(IFERROR(INDEX('6. TIẾN ĐỘ MUA HÀNG'!$A$5:$AT81, 0, XMATCH("Thành tiền đơn hàng", '6. TIẾN ĐỘ MUA HÀNG'!$A$4:$AT$4, 0)), 0) * (INDEX('6. TIẾN ĐỘ MUA HÀNG'!$A$5:$AT81, 0, XMATCH("Phân loại VTBB/NL", '6. TIẾN ĐỘ MUA HÀNG'!$A$4:$AT$4, 0)) = $B21) * (TRIM(INDEX('6. TIẾN ĐỘ MUA HÀNG'!$A$5:$AT81, 0, XMATCH("Tháng", '6. TIẾN ĐỘ MUA HÀNG'!$A$4:$AT$4, 0))) = TRIM(I$6)))</f>
        <v>0</v>
      </c>
      <c r="K21" s="741">
        <f t="array" ref="K21">SUMPRODUCT((INDEX('6. TIẾN ĐỘ MUA HÀNG'!$A:$AT, 0, XMATCH("Phân loại VTBB/NL", '6. TIẾN ĐỘ MUA HÀNG'!$A$4:$AT$4, 0)) = $B21) * (TRIM(INDEX('6. TIẾN ĐỘ MUA HÀNG'!$A:$AT, 0, XMATCH("Tháng", '6. TIẾN ĐỘ MUA HÀNG'!$A$4:$AT$4, 0))) = TRIM($K$6)) * (INDEX('6. TIẾN ĐỘ MUA HÀNG'!$A:$AT, 0, XMATCH("Phân loại VTBB/NL", '6. TIẾN ĐỘ MUA HÀNG'!$A$4:$AT$4, 0)) &lt;&gt; ""))</f>
        <v>0</v>
      </c>
      <c r="L21" s="742">
        <f t="array" ref="L21">SUMPRODUCT(IFERROR(INDEX('6. TIẾN ĐỘ MUA HÀNG'!$A$5:$AT81, 0, XMATCH("Thành tiền đơn hàng", '6. TIẾN ĐỘ MUA HÀNG'!$A$4:$AT$4, 0)), 0) * (INDEX('6. TIẾN ĐỘ MUA HÀNG'!$A$5:$AT81, 0, XMATCH("Phân loại VTBB/NL", '6. TIẾN ĐỘ MUA HÀNG'!$A$4:$AT$4, 0)) = $B21) * (TRIM(INDEX('6. TIẾN ĐỘ MUA HÀNG'!$A$5:$AT81, 0, XMATCH("Tháng", '6. TIẾN ĐỘ MUA HÀNG'!$A$4:$AT$4, 0))) = TRIM(K$6)))</f>
        <v>0</v>
      </c>
      <c r="M21" s="743">
        <f t="array" ref="M21">SUMPRODUCT((INDEX('6. TIẾN ĐỘ MUA HÀNG'!$A:$AT, 0, XMATCH("Phân loại VTBB/NL", '6. TIẾN ĐỘ MUA HÀNG'!$A$4:$AT$4, 0)) = $B21) * (TRIM(INDEX('6. TIẾN ĐỘ MUA HÀNG'!$A:$AT, 0, XMATCH("Tháng", '6. TIẾN ĐỘ MUA HÀNG'!$A$4:$AT$4, 0))) = TRIM(M$6)) * (INDEX('6. TIẾN ĐỘ MUA HÀNG'!$A:$AT, 0, XMATCH("Phân loại VTBB/NL", '6. TIẾN ĐỘ MUA HÀNG'!$A$4:$AT$4, 0)) &lt;&gt; ""))</f>
        <v>0</v>
      </c>
      <c r="N21" s="744">
        <f t="array" ref="N21">SUMPRODUCT(IFERROR(INDEX('6. TIẾN ĐỘ MUA HÀNG'!$A$5:$AT81, 0, XMATCH("Thành tiền đơn hàng", '6. TIẾN ĐỘ MUA HÀNG'!$A$4:$AT$4, 0)), 0) * (INDEX('6. TIẾN ĐỘ MUA HÀNG'!$A$5:$AT81, 0, XMATCH("Phân loại VTBB/NL", '6. TIẾN ĐỘ MUA HÀNG'!$A$4:$AT$4, 0)) = $B21) * (TRIM(INDEX('6. TIẾN ĐỘ MUA HÀNG'!$A$5:$AT81, 0, XMATCH("Tháng", '6. TIẾN ĐỘ MUA HÀNG'!$A$4:$AT$4, 0))) = TRIM(M$6)))</f>
        <v>0</v>
      </c>
      <c r="O21" s="741">
        <f t="array" ref="O21">SUMPRODUCT((INDEX('6. TIẾN ĐỘ MUA HÀNG'!$A:$AT, 0, XMATCH("Phân loại VTBB/NL", '6. TIẾN ĐỘ MUA HÀNG'!$A$4:$AT$4, 0)) = $B21) * (TRIM(INDEX('6. TIẾN ĐỘ MUA HÀNG'!$A:$AT, 0, XMATCH("Tháng", '6. TIẾN ĐỘ MUA HÀNG'!$A$4:$AT$4, 0))) = TRIM($O$6)) * (INDEX('6. TIẾN ĐỘ MUA HÀNG'!$A:$AT, 0, XMATCH("Phân loại VTBB/NL", '6. TIẾN ĐỘ MUA HÀNG'!$A$4:$AT$4, 0)) &lt;&gt; ""))</f>
        <v>0</v>
      </c>
      <c r="P21" s="742">
        <f t="array" ref="P21">SUMPRODUCT(IFERROR(INDEX('6. TIẾN ĐỘ MUA HÀNG'!$A$5:$AT81, 0, XMATCH("Thành tiền đơn hàng", '6. TIẾN ĐỘ MUA HÀNG'!$A$4:$AT$4, 0)), 0) * (INDEX('6. TIẾN ĐỘ MUA HÀNG'!$A$5:$AT81, 0, XMATCH("Phân loại VTBB/NL", '6. TIẾN ĐỘ MUA HÀNG'!$A$4:$AT$4, 0)) = $B21) * (TRIM(INDEX('6. TIẾN ĐỘ MUA HÀNG'!$A$5:$AT81, 0, XMATCH("Tháng", '6. TIẾN ĐỘ MUA HÀNG'!$A$4:$AT$4, 0))) = TRIM(O$6)))</f>
        <v>0</v>
      </c>
      <c r="Q21" s="743">
        <f t="array" ref="Q21">SUMPRODUCT((INDEX('6. TIẾN ĐỘ MUA HÀNG'!$A:$AT, 0, XMATCH("Phân loại VTBB/NL", '6. TIẾN ĐỘ MUA HÀNG'!$A$4:$AT$4, 0)) = $B21) * (TRIM(INDEX('6. TIẾN ĐỘ MUA HÀNG'!$A:$AT, 0, XMATCH("Tháng", '6. TIẾN ĐỘ MUA HÀNG'!$A$4:$AT$4, 0))) = TRIM(Q$6)) * (INDEX('6. TIẾN ĐỘ MUA HÀNG'!$A:$AT, 0, XMATCH("Phân loại VTBB/NL", '6. TIẾN ĐỘ MUA HÀNG'!$A$4:$AT$4, 0)) &lt;&gt; ""))</f>
        <v>0</v>
      </c>
      <c r="R21" s="744">
        <f t="array" ref="R21">SUMPRODUCT(IFERROR(INDEX('6. TIẾN ĐỘ MUA HÀNG'!$A$5:$AT81, 0, XMATCH("Thành tiền đơn hàng", '6. TIẾN ĐỘ MUA HÀNG'!$A$4:$AT$4, 0)), 0) * (INDEX('6. TIẾN ĐỘ MUA HÀNG'!$A$5:$AT81, 0, XMATCH("Phân loại VTBB/NL", '6. TIẾN ĐỘ MUA HÀNG'!$A$4:$AT$4, 0)) = $B21) * (TRIM(INDEX('6. TIẾN ĐỘ MUA HÀNG'!$A$5:$AT81, 0, XMATCH("Tháng", '6. TIẾN ĐỘ MUA HÀNG'!$A$4:$AT$4, 0))) = TRIM(Q$6)))</f>
        <v>0</v>
      </c>
      <c r="S21" s="741">
        <f t="array" ref="S21">SUMPRODUCT((INDEX('6. TIẾN ĐỘ MUA HÀNG'!$A:$AT, 0, XMATCH("Phân loại VTBB/NL", '6. TIẾN ĐỘ MUA HÀNG'!$A$4:$AT$4, 0)) = $B21) * (TRIM(INDEX('6. TIẾN ĐỘ MUA HÀNG'!$A:$AT, 0, XMATCH("Tháng", '6. TIẾN ĐỘ MUA HÀNG'!$A$4:$AT$4, 0))) = TRIM($S$6)) * (INDEX('6. TIẾN ĐỘ MUA HÀNG'!$A:$AT, 0, XMATCH("Phân loại VTBB/NL", '6. TIẾN ĐỘ MUA HÀNG'!$A$4:$AT$4, 0)) &lt;&gt; ""))</f>
        <v>0</v>
      </c>
      <c r="T21" s="742">
        <f t="array" ref="T21">SUMPRODUCT(IFERROR(INDEX('6. TIẾN ĐỘ MUA HÀNG'!$A$5:$AT81, 0, XMATCH("Thành tiền đơn hàng", '6. TIẾN ĐỘ MUA HÀNG'!$A$4:$AT$4, 0)), 0) * (INDEX('6. TIẾN ĐỘ MUA HÀNG'!$A$5:$AT81, 0, XMATCH("Phân loại VTBB/NL", '6. TIẾN ĐỘ MUA HÀNG'!$A$4:$AT$4, 0)) = $B21) * (TRIM(INDEX('6. TIẾN ĐỘ MUA HÀNG'!$A$5:$AT81, 0, XMATCH("Tháng", '6. TIẾN ĐỘ MUA HÀNG'!$A$4:$AT$4, 0))) = TRIM(S$6)))</f>
        <v>0</v>
      </c>
      <c r="U21" s="743">
        <f t="array" ref="U21">SUMPRODUCT((INDEX('6. TIẾN ĐỘ MUA HÀNG'!$A:$AT, 0, XMATCH("Phân loại VTBB/NL", '6. TIẾN ĐỘ MUA HÀNG'!$A$4:$AT$4, 0)) = $B21) * (TRIM(INDEX('6. TIẾN ĐỘ MUA HÀNG'!$A:$AT, 0, XMATCH("Tháng", '6. TIẾN ĐỘ MUA HÀNG'!$A$4:$AT$4, 0))) = TRIM(U$6)) * (INDEX('6. TIẾN ĐỘ MUA HÀNG'!$A:$AT, 0, XMATCH("Phân loại VTBB/NL", '6. TIẾN ĐỘ MUA HÀNG'!$A$4:$AT$4, 0)) &lt;&gt; ""))</f>
        <v>0</v>
      </c>
      <c r="V21" s="744">
        <f t="array" ref="V21">SUMPRODUCT(IFERROR(INDEX('6. TIẾN ĐỘ MUA HÀNG'!$A$5:$AT81, 0, XMATCH("Thành tiền đơn hàng", '6. TIẾN ĐỘ MUA HÀNG'!$A$4:$AT$4, 0)), 0) * (INDEX('6. TIẾN ĐỘ MUA HÀNG'!$A$5:$AT81, 0, XMATCH("Phân loại VTBB/NL", '6. TIẾN ĐỘ MUA HÀNG'!$A$4:$AT$4, 0)) = $B21) * (TRIM(INDEX('6. TIẾN ĐỘ MUA HÀNG'!$A$5:$AT81, 0, XMATCH("Tháng", '6. TIẾN ĐỘ MUA HÀNG'!$A$4:$AT$4, 0))) = TRIM(U$6)))</f>
        <v>0</v>
      </c>
      <c r="W21" s="741">
        <f t="array" ref="W21">SUMPRODUCT((INDEX('6. TIẾN ĐỘ MUA HÀNG'!$A:$AT, 0, XMATCH("Phân loại VTBB/NL", '6. TIẾN ĐỘ MUA HÀNG'!$A$4:$AT$4, 0)) = $B21) * (TRIM(INDEX('6. TIẾN ĐỘ MUA HÀNG'!$A:$AT, 0, XMATCH("Tháng", '6. TIẾN ĐỘ MUA HÀNG'!$A$4:$AT$4, 0))) = TRIM($W$6)) * (INDEX('6. TIẾN ĐỘ MUA HÀNG'!$A:$AT, 0, XMATCH("Phân loại VTBB/NL", '6. TIẾN ĐỘ MUA HÀNG'!$A$4:$AT$4, 0)) &lt;&gt; ""))</f>
        <v>0</v>
      </c>
      <c r="X21" s="742">
        <f t="array" ref="X21">SUMPRODUCT(IFERROR(INDEX('6. TIẾN ĐỘ MUA HÀNG'!$A$5:$AT81, 0, XMATCH("Thành tiền đơn hàng", '6. TIẾN ĐỘ MUA HÀNG'!$A$4:$AT$4, 0)), 0) * (INDEX('6. TIẾN ĐỘ MUA HÀNG'!$A$5:$AT81, 0, XMATCH("Phân loại VTBB/NL", '6. TIẾN ĐỘ MUA HÀNG'!$A$4:$AT$4, 0)) = $B21) * (TRIM(INDEX('6. TIẾN ĐỘ MUA HÀNG'!$A$5:$AT81, 0, XMATCH("Tháng", '6. TIẾN ĐỘ MUA HÀNG'!$A$4:$AT$4, 0))) = TRIM(W$6)))</f>
        <v>0</v>
      </c>
      <c r="Y21" s="743">
        <f t="array" ref="Y21">SUMPRODUCT((INDEX('6. TIẾN ĐỘ MUA HÀNG'!$A:$AT, 0, XMATCH("Phân loại VTBB/NL", '6. TIẾN ĐỘ MUA HÀNG'!$A$4:$AT$4, 0)) = $B21) * (TRIM(INDEX('6. TIẾN ĐỘ MUA HÀNG'!$A:$AT, 0, XMATCH("Tháng", '6. TIẾN ĐỘ MUA HÀNG'!$A$4:$AT$4, 0))) = TRIM(Y$6)) * (INDEX('6. TIẾN ĐỘ MUA HÀNG'!$A:$AT, 0, XMATCH("Phân loại VTBB/NL", '6. TIẾN ĐỘ MUA HÀNG'!$A$4:$AT$4, 0)) &lt;&gt; ""))</f>
        <v>0</v>
      </c>
      <c r="Z21" s="744">
        <f t="array" ref="Z21">SUMPRODUCT(IFERROR(INDEX('6. TIẾN ĐỘ MUA HÀNG'!$A$5:$AT81, 0, XMATCH("Thành tiền đơn hàng", '6. TIẾN ĐỘ MUA HÀNG'!$A$4:$AT$4, 0)), 0) * (INDEX('6. TIẾN ĐỘ MUA HÀNG'!$A$5:$AT81, 0, XMATCH("Phân loại VTBB/NL", '6. TIẾN ĐỘ MUA HÀNG'!$A$4:$AT$4, 0)) = $B21) * (TRIM(INDEX('6. TIẾN ĐỘ MUA HÀNG'!$A$5:$AT81, 0, XMATCH("Tháng", '6. TIẾN ĐỘ MUA HÀNG'!$A$4:$AT$4, 0))) = TRIM(Y$6)))</f>
        <v>0</v>
      </c>
      <c r="AA21" s="726">
        <f t="shared" si="2"/>
        <v>0</v>
      </c>
      <c r="AB21" s="726">
        <f t="shared" si="3"/>
        <v>0</v>
      </c>
    </row>
    <row r="22">
      <c r="A22" s="612">
        <v>14.0</v>
      </c>
      <c r="B22" s="624" t="str">
        <f>IFERROR(__xludf.DUMMYFUNCTION("""COMPUTED_VALUE"""),"NL NK")</f>
        <v>NL NK</v>
      </c>
      <c r="C22" s="741">
        <f t="array" ref="C22">SUMPRODUCT((INDEX('6. TIẾN ĐỘ MUA HÀNG'!$A:$AT, 0, XMATCH("Phân loại VTBB/NL", '6. TIẾN ĐỘ MUA HÀNG'!$A$4:$AT$4, 0)) = $B22) * (TRIM(INDEX('6. TIẾN ĐỘ MUA HÀNG'!$A:$AT, 0, XMATCH("Tháng", '6. TIẾN ĐỘ MUA HÀNG'!$A$4:$AT$4, 0))) = TRIM($C$6)) * (INDEX('6. TIẾN ĐỘ MUA HÀNG'!$A:$AT, 0, XMATCH("Phân loại VTBB/NL", '6. TIẾN ĐỘ MUA HÀNG'!$A$4:$AT$4, 0)) &lt;&gt; ""))</f>
        <v>0</v>
      </c>
      <c r="D22" s="742">
        <f t="array" ref="D22">SUMPRODUCT(IFERROR(INDEX('6. TIẾN ĐỘ MUA HÀNG'!$A$5:$AT81, 0, XMATCH("Thành tiền đơn hàng", '6. TIẾN ĐỘ MUA HÀNG'!$A$4:$AT$4, 0)), 0) * (INDEX('6. TIẾN ĐỘ MUA HÀNG'!$A$5:$AT81, 0, XMATCH("Phân loại VTBB/NL", '6. TIẾN ĐỘ MUA HÀNG'!$A$4:$AT$4, 0)) = $B22) * (TRIM(INDEX('6. TIẾN ĐỘ MUA HÀNG'!$A$5:$AT81, 0, XMATCH("Tháng", '6. TIẾN ĐỘ MUA HÀNG'!$A$4:$AT$4, 0))) = TRIM(C$6)))</f>
        <v>0</v>
      </c>
      <c r="E22" s="743">
        <f t="array" ref="E22">SUMPRODUCT((INDEX('6. TIẾN ĐỘ MUA HÀNG'!$A:$AT, 0, XMATCH("Phân loại VTBB/NL", '6. TIẾN ĐỘ MUA HÀNG'!$A$4:$AT$4, 0)) = $B22) * (TRIM(INDEX('6. TIẾN ĐỘ MUA HÀNG'!$A:$AT, 0, XMATCH("Tháng", '6. TIẾN ĐỘ MUA HÀNG'!$A$4:$AT$4, 0))) = TRIM(E$6)) * (INDEX('6. TIẾN ĐỘ MUA HÀNG'!$A:$AT, 0, XMATCH("Phân loại VTBB/NL", '6. TIẾN ĐỘ MUA HÀNG'!$A$4:$AT$4, 0)) &lt;&gt; ""))</f>
        <v>0</v>
      </c>
      <c r="F22" s="744">
        <f t="array" ref="F22">SUMPRODUCT(IFERROR(INDEX('6. TIẾN ĐỘ MUA HÀNG'!$A$5:$AT81, 0, XMATCH("Thành tiền đơn hàng", '6. TIẾN ĐỘ MUA HÀNG'!$A$4:$AT$4, 0)), 0) * (INDEX('6. TIẾN ĐỘ MUA HÀNG'!$A$5:$AT81, 0, XMATCH("Phân loại VTBB/NL", '6. TIẾN ĐỘ MUA HÀNG'!$A$4:$AT$4, 0)) = $B22) * (TRIM(INDEX('6. TIẾN ĐỘ MUA HÀNG'!$A$5:$AT81, 0, XMATCH("Tháng", '6. TIẾN ĐỘ MUA HÀNG'!$A$4:$AT$4, 0))) = TRIM(E$6)))</f>
        <v>0</v>
      </c>
      <c r="G22" s="741">
        <f t="array" ref="G22">SUMPRODUCT((INDEX('6. TIẾN ĐỘ MUA HÀNG'!$A:$AT, 0, XMATCH("Phân loại VTBB/NL", '6. TIẾN ĐỘ MUA HÀNG'!$A$4:$AT$4, 0)) = $B22) * (TRIM(INDEX('6. TIẾN ĐỘ MUA HÀNG'!$A:$AT, 0, XMATCH("Tháng", '6. TIẾN ĐỘ MUA HÀNG'!$A$4:$AT$4, 0))) = TRIM($G$6)) * (INDEX('6. TIẾN ĐỘ MUA HÀNG'!$A:$AT, 0, XMATCH("Phân loại VTBB/NL", '6. TIẾN ĐỘ MUA HÀNG'!$A$4:$AT$4, 0)) &lt;&gt; ""))</f>
        <v>0</v>
      </c>
      <c r="H22" s="742">
        <f t="array" ref="H22">SUMPRODUCT(IFERROR(INDEX('6. TIẾN ĐỘ MUA HÀNG'!$A$5:$AT81, 0, XMATCH("Thành tiền đơn hàng", '6. TIẾN ĐỘ MUA HÀNG'!$A$4:$AT$4, 0)), 0) * (INDEX('6. TIẾN ĐỘ MUA HÀNG'!$A$5:$AT81, 0, XMATCH("Phân loại VTBB/NL", '6. TIẾN ĐỘ MUA HÀNG'!$A$4:$AT$4, 0)) = $B22) * (TRIM(INDEX('6. TIẾN ĐỘ MUA HÀNG'!$A$5:$AT81, 0, XMATCH("Tháng", '6. TIẾN ĐỘ MUA HÀNG'!$A$4:$AT$4, 0))) = TRIM(G$6)))</f>
        <v>0</v>
      </c>
      <c r="I22" s="743">
        <f t="array" ref="I22">SUMPRODUCT((INDEX('6. TIẾN ĐỘ MUA HÀNG'!$A:$AT, 0, XMATCH("Phân loại VTBB/NL", '6. TIẾN ĐỘ MUA HÀNG'!$A$4:$AT$4, 0)) = $B22) * (TRIM(INDEX('6. TIẾN ĐỘ MUA HÀNG'!$A:$AT, 0, XMATCH("Tháng", '6. TIẾN ĐỘ MUA HÀNG'!$A$4:$AT$4, 0))) = TRIM(I$6)) * (INDEX('6. TIẾN ĐỘ MUA HÀNG'!$A:$AT, 0, XMATCH("Phân loại VTBB/NL", '6. TIẾN ĐỘ MUA HÀNG'!$A$4:$AT$4, 0)) &lt;&gt; ""))</f>
        <v>0</v>
      </c>
      <c r="J22" s="744">
        <f t="array" ref="J22">SUMPRODUCT(IFERROR(INDEX('6. TIẾN ĐỘ MUA HÀNG'!$A$5:$AT81, 0, XMATCH("Thành tiền đơn hàng", '6. TIẾN ĐỘ MUA HÀNG'!$A$4:$AT$4, 0)), 0) * (INDEX('6. TIẾN ĐỘ MUA HÀNG'!$A$5:$AT81, 0, XMATCH("Phân loại VTBB/NL", '6. TIẾN ĐỘ MUA HÀNG'!$A$4:$AT$4, 0)) = $B22) * (TRIM(INDEX('6. TIẾN ĐỘ MUA HÀNG'!$A$5:$AT81, 0, XMATCH("Tháng", '6. TIẾN ĐỘ MUA HÀNG'!$A$4:$AT$4, 0))) = TRIM(I$6)))</f>
        <v>0</v>
      </c>
      <c r="K22" s="741">
        <f t="array" ref="K22">SUMPRODUCT((INDEX('6. TIẾN ĐỘ MUA HÀNG'!$A:$AT, 0, XMATCH("Phân loại VTBB/NL", '6. TIẾN ĐỘ MUA HÀNG'!$A$4:$AT$4, 0)) = $B22) * (TRIM(INDEX('6. TIẾN ĐỘ MUA HÀNG'!$A:$AT, 0, XMATCH("Tháng", '6. TIẾN ĐỘ MUA HÀNG'!$A$4:$AT$4, 0))) = TRIM($K$6)) * (INDEX('6. TIẾN ĐỘ MUA HÀNG'!$A:$AT, 0, XMATCH("Phân loại VTBB/NL", '6. TIẾN ĐỘ MUA HÀNG'!$A$4:$AT$4, 0)) &lt;&gt; ""))</f>
        <v>0</v>
      </c>
      <c r="L22" s="742">
        <f t="array" ref="L22">SUMPRODUCT(IFERROR(INDEX('6. TIẾN ĐỘ MUA HÀNG'!$A$5:$AT81, 0, XMATCH("Thành tiền đơn hàng", '6. TIẾN ĐỘ MUA HÀNG'!$A$4:$AT$4, 0)), 0) * (INDEX('6. TIẾN ĐỘ MUA HÀNG'!$A$5:$AT81, 0, XMATCH("Phân loại VTBB/NL", '6. TIẾN ĐỘ MUA HÀNG'!$A$4:$AT$4, 0)) = $B22) * (TRIM(INDEX('6. TIẾN ĐỘ MUA HÀNG'!$A$5:$AT81, 0, XMATCH("Tháng", '6. TIẾN ĐỘ MUA HÀNG'!$A$4:$AT$4, 0))) = TRIM(K$6)))</f>
        <v>0</v>
      </c>
      <c r="M22" s="743">
        <f t="array" ref="M22">SUMPRODUCT((INDEX('6. TIẾN ĐỘ MUA HÀNG'!$A:$AT, 0, XMATCH("Phân loại VTBB/NL", '6. TIẾN ĐỘ MUA HÀNG'!$A$4:$AT$4, 0)) = $B22) * (TRIM(INDEX('6. TIẾN ĐỘ MUA HÀNG'!$A:$AT, 0, XMATCH("Tháng", '6. TIẾN ĐỘ MUA HÀNG'!$A$4:$AT$4, 0))) = TRIM(M$6)) * (INDEX('6. TIẾN ĐỘ MUA HÀNG'!$A:$AT, 0, XMATCH("Phân loại VTBB/NL", '6. TIẾN ĐỘ MUA HÀNG'!$A$4:$AT$4, 0)) &lt;&gt; ""))</f>
        <v>0</v>
      </c>
      <c r="N22" s="744">
        <f t="array" ref="N22">SUMPRODUCT(IFERROR(INDEX('6. TIẾN ĐỘ MUA HÀNG'!$A$5:$AT81, 0, XMATCH("Thành tiền đơn hàng", '6. TIẾN ĐỘ MUA HÀNG'!$A$4:$AT$4, 0)), 0) * (INDEX('6. TIẾN ĐỘ MUA HÀNG'!$A$5:$AT81, 0, XMATCH("Phân loại VTBB/NL", '6. TIẾN ĐỘ MUA HÀNG'!$A$4:$AT$4, 0)) = $B22) * (TRIM(INDEX('6. TIẾN ĐỘ MUA HÀNG'!$A$5:$AT81, 0, XMATCH("Tháng", '6. TIẾN ĐỘ MUA HÀNG'!$A$4:$AT$4, 0))) = TRIM(M$6)))</f>
        <v>0</v>
      </c>
      <c r="O22" s="741">
        <f t="array" ref="O22">SUMPRODUCT((INDEX('6. TIẾN ĐỘ MUA HÀNG'!$A:$AT, 0, XMATCH("Phân loại VTBB/NL", '6. TIẾN ĐỘ MUA HÀNG'!$A$4:$AT$4, 0)) = $B22) * (TRIM(INDEX('6. TIẾN ĐỘ MUA HÀNG'!$A:$AT, 0, XMATCH("Tháng", '6. TIẾN ĐỘ MUA HÀNG'!$A$4:$AT$4, 0))) = TRIM($O$6)) * (INDEX('6. TIẾN ĐỘ MUA HÀNG'!$A:$AT, 0, XMATCH("Phân loại VTBB/NL", '6. TIẾN ĐỘ MUA HÀNG'!$A$4:$AT$4, 0)) &lt;&gt; ""))</f>
        <v>0</v>
      </c>
      <c r="P22" s="742">
        <f t="array" ref="P22">SUMPRODUCT(IFERROR(INDEX('6. TIẾN ĐỘ MUA HÀNG'!$A$5:$AT81, 0, XMATCH("Thành tiền đơn hàng", '6. TIẾN ĐỘ MUA HÀNG'!$A$4:$AT$4, 0)), 0) * (INDEX('6. TIẾN ĐỘ MUA HÀNG'!$A$5:$AT81, 0, XMATCH("Phân loại VTBB/NL", '6. TIẾN ĐỘ MUA HÀNG'!$A$4:$AT$4, 0)) = $B22) * (TRIM(INDEX('6. TIẾN ĐỘ MUA HÀNG'!$A$5:$AT81, 0, XMATCH("Tháng", '6. TIẾN ĐỘ MUA HÀNG'!$A$4:$AT$4, 0))) = TRIM(O$6)))</f>
        <v>0</v>
      </c>
      <c r="Q22" s="743">
        <f t="array" ref="Q22">SUMPRODUCT((INDEX('6. TIẾN ĐỘ MUA HÀNG'!$A:$AT, 0, XMATCH("Phân loại VTBB/NL", '6. TIẾN ĐỘ MUA HÀNG'!$A$4:$AT$4, 0)) = $B22) * (TRIM(INDEX('6. TIẾN ĐỘ MUA HÀNG'!$A:$AT, 0, XMATCH("Tháng", '6. TIẾN ĐỘ MUA HÀNG'!$A$4:$AT$4, 0))) = TRIM(Q$6)) * (INDEX('6. TIẾN ĐỘ MUA HÀNG'!$A:$AT, 0, XMATCH("Phân loại VTBB/NL", '6. TIẾN ĐỘ MUA HÀNG'!$A$4:$AT$4, 0)) &lt;&gt; ""))</f>
        <v>0</v>
      </c>
      <c r="R22" s="744">
        <f t="array" ref="R22">SUMPRODUCT(IFERROR(INDEX('6. TIẾN ĐỘ MUA HÀNG'!$A$5:$AT81, 0, XMATCH("Thành tiền đơn hàng", '6. TIẾN ĐỘ MUA HÀNG'!$A$4:$AT$4, 0)), 0) * (INDEX('6. TIẾN ĐỘ MUA HÀNG'!$A$5:$AT81, 0, XMATCH("Phân loại VTBB/NL", '6. TIẾN ĐỘ MUA HÀNG'!$A$4:$AT$4, 0)) = $B22) * (TRIM(INDEX('6. TIẾN ĐỘ MUA HÀNG'!$A$5:$AT81, 0, XMATCH("Tháng", '6. TIẾN ĐỘ MUA HÀNG'!$A$4:$AT$4, 0))) = TRIM(Q$6)))</f>
        <v>0</v>
      </c>
      <c r="S22" s="741">
        <f t="array" ref="S22">SUMPRODUCT((INDEX('6. TIẾN ĐỘ MUA HÀNG'!$A:$AT, 0, XMATCH("Phân loại VTBB/NL", '6. TIẾN ĐỘ MUA HÀNG'!$A$4:$AT$4, 0)) = $B22) * (TRIM(INDEX('6. TIẾN ĐỘ MUA HÀNG'!$A:$AT, 0, XMATCH("Tháng", '6. TIẾN ĐỘ MUA HÀNG'!$A$4:$AT$4, 0))) = TRIM($S$6)) * (INDEX('6. TIẾN ĐỘ MUA HÀNG'!$A:$AT, 0, XMATCH("Phân loại VTBB/NL", '6. TIẾN ĐỘ MUA HÀNG'!$A$4:$AT$4, 0)) &lt;&gt; ""))</f>
        <v>0</v>
      </c>
      <c r="T22" s="742">
        <f t="array" ref="T22">SUMPRODUCT(IFERROR(INDEX('6. TIẾN ĐỘ MUA HÀNG'!$A$5:$AT81, 0, XMATCH("Thành tiền đơn hàng", '6. TIẾN ĐỘ MUA HÀNG'!$A$4:$AT$4, 0)), 0) * (INDEX('6. TIẾN ĐỘ MUA HÀNG'!$A$5:$AT81, 0, XMATCH("Phân loại VTBB/NL", '6. TIẾN ĐỘ MUA HÀNG'!$A$4:$AT$4, 0)) = $B22) * (TRIM(INDEX('6. TIẾN ĐỘ MUA HÀNG'!$A$5:$AT81, 0, XMATCH("Tháng", '6. TIẾN ĐỘ MUA HÀNG'!$A$4:$AT$4, 0))) = TRIM(S$6)))</f>
        <v>0</v>
      </c>
      <c r="U22" s="743">
        <f t="array" ref="U22">SUMPRODUCT((INDEX('6. TIẾN ĐỘ MUA HÀNG'!$A:$AT, 0, XMATCH("Phân loại VTBB/NL", '6. TIẾN ĐỘ MUA HÀNG'!$A$4:$AT$4, 0)) = $B22) * (TRIM(INDEX('6. TIẾN ĐỘ MUA HÀNG'!$A:$AT, 0, XMATCH("Tháng", '6. TIẾN ĐỘ MUA HÀNG'!$A$4:$AT$4, 0))) = TRIM(U$6)) * (INDEX('6. TIẾN ĐỘ MUA HÀNG'!$A:$AT, 0, XMATCH("Phân loại VTBB/NL", '6. TIẾN ĐỘ MUA HÀNG'!$A$4:$AT$4, 0)) &lt;&gt; ""))</f>
        <v>0</v>
      </c>
      <c r="V22" s="744">
        <f t="array" ref="V22">SUMPRODUCT(IFERROR(INDEX('6. TIẾN ĐỘ MUA HÀNG'!$A$5:$AT81, 0, XMATCH("Thành tiền đơn hàng", '6. TIẾN ĐỘ MUA HÀNG'!$A$4:$AT$4, 0)), 0) * (INDEX('6. TIẾN ĐỘ MUA HÀNG'!$A$5:$AT81, 0, XMATCH("Phân loại VTBB/NL", '6. TIẾN ĐỘ MUA HÀNG'!$A$4:$AT$4, 0)) = $B22) * (TRIM(INDEX('6. TIẾN ĐỘ MUA HÀNG'!$A$5:$AT81, 0, XMATCH("Tháng", '6. TIẾN ĐỘ MUA HÀNG'!$A$4:$AT$4, 0))) = TRIM(U$6)))</f>
        <v>0</v>
      </c>
      <c r="W22" s="741">
        <f t="array" ref="W22">SUMPRODUCT((INDEX('6. TIẾN ĐỘ MUA HÀNG'!$A:$AT, 0, XMATCH("Phân loại VTBB/NL", '6. TIẾN ĐỘ MUA HÀNG'!$A$4:$AT$4, 0)) = $B22) * (TRIM(INDEX('6. TIẾN ĐỘ MUA HÀNG'!$A:$AT, 0, XMATCH("Tháng", '6. TIẾN ĐỘ MUA HÀNG'!$A$4:$AT$4, 0))) = TRIM($W$6)) * (INDEX('6. TIẾN ĐỘ MUA HÀNG'!$A:$AT, 0, XMATCH("Phân loại VTBB/NL", '6. TIẾN ĐỘ MUA HÀNG'!$A$4:$AT$4, 0)) &lt;&gt; ""))</f>
        <v>0</v>
      </c>
      <c r="X22" s="742">
        <f t="array" ref="X22">SUMPRODUCT(IFERROR(INDEX('6. TIẾN ĐỘ MUA HÀNG'!$A$5:$AT81, 0, XMATCH("Thành tiền đơn hàng", '6. TIẾN ĐỘ MUA HÀNG'!$A$4:$AT$4, 0)), 0) * (INDEX('6. TIẾN ĐỘ MUA HÀNG'!$A$5:$AT81, 0, XMATCH("Phân loại VTBB/NL", '6. TIẾN ĐỘ MUA HÀNG'!$A$4:$AT$4, 0)) = $B22) * (TRIM(INDEX('6. TIẾN ĐỘ MUA HÀNG'!$A$5:$AT81, 0, XMATCH("Tháng", '6. TIẾN ĐỘ MUA HÀNG'!$A$4:$AT$4, 0))) = TRIM(W$6)))</f>
        <v>0</v>
      </c>
      <c r="Y22" s="743">
        <f t="array" ref="Y22">SUMPRODUCT((INDEX('6. TIẾN ĐỘ MUA HÀNG'!$A:$AT, 0, XMATCH("Phân loại VTBB/NL", '6. TIẾN ĐỘ MUA HÀNG'!$A$4:$AT$4, 0)) = $B22) * (TRIM(INDEX('6. TIẾN ĐỘ MUA HÀNG'!$A:$AT, 0, XMATCH("Tháng", '6. TIẾN ĐỘ MUA HÀNG'!$A$4:$AT$4, 0))) = TRIM(Y$6)) * (INDEX('6. TIẾN ĐỘ MUA HÀNG'!$A:$AT, 0, XMATCH("Phân loại VTBB/NL", '6. TIẾN ĐỘ MUA HÀNG'!$A$4:$AT$4, 0)) &lt;&gt; ""))</f>
        <v>0</v>
      </c>
      <c r="Z22" s="744">
        <f t="array" ref="Z22">SUMPRODUCT(IFERROR(INDEX('6. TIẾN ĐỘ MUA HÀNG'!$A$5:$AT81, 0, XMATCH("Thành tiền đơn hàng", '6. TIẾN ĐỘ MUA HÀNG'!$A$4:$AT$4, 0)), 0) * (INDEX('6. TIẾN ĐỘ MUA HÀNG'!$A$5:$AT81, 0, XMATCH("Phân loại VTBB/NL", '6. TIẾN ĐỘ MUA HÀNG'!$A$4:$AT$4, 0)) = $B22) * (TRIM(INDEX('6. TIẾN ĐỘ MUA HÀNG'!$A$5:$AT81, 0, XMATCH("Tháng", '6. TIẾN ĐỘ MUA HÀNG'!$A$4:$AT$4, 0))) = TRIM(Y$6)))</f>
        <v>0</v>
      </c>
      <c r="AA22" s="726">
        <f t="shared" si="2"/>
        <v>0</v>
      </c>
      <c r="AB22" s="726">
        <f t="shared" si="3"/>
        <v>0</v>
      </c>
    </row>
    <row r="23">
      <c r="A23" s="612">
        <v>15.0</v>
      </c>
      <c r="B23" s="624" t="str">
        <f>IFERROR(__xludf.DUMMYFUNCTION("""COMPUTED_VALUE"""),"NL Icare")</f>
        <v>NL Icare</v>
      </c>
      <c r="C23" s="741">
        <f t="array" ref="C23">SUMPRODUCT((INDEX('6. TIẾN ĐỘ MUA HÀNG'!$A:$AT, 0, XMATCH("Phân loại VTBB/NL", '6. TIẾN ĐỘ MUA HÀNG'!$A$4:$AT$4, 0)) = $B23) * (TRIM(INDEX('6. TIẾN ĐỘ MUA HÀNG'!$A:$AT, 0, XMATCH("Tháng", '6. TIẾN ĐỘ MUA HÀNG'!$A$4:$AT$4, 0))) = TRIM($C$6)) * (INDEX('6. TIẾN ĐỘ MUA HÀNG'!$A:$AT, 0, XMATCH("Phân loại VTBB/NL", '6. TIẾN ĐỘ MUA HÀNG'!$A$4:$AT$4, 0)) &lt;&gt; ""))</f>
        <v>0</v>
      </c>
      <c r="D23" s="742">
        <f t="array" ref="D23">SUMPRODUCT(IFERROR(INDEX('6. TIẾN ĐỘ MUA HÀNG'!$A$5:$AT81, 0, XMATCH("Thành tiền đơn hàng", '6. TIẾN ĐỘ MUA HÀNG'!$A$4:$AT$4, 0)), 0) * (INDEX('6. TIẾN ĐỘ MUA HÀNG'!$A$5:$AT81, 0, XMATCH("Phân loại VTBB/NL", '6. TIẾN ĐỘ MUA HÀNG'!$A$4:$AT$4, 0)) = $B23) * (TRIM(INDEX('6. TIẾN ĐỘ MUA HÀNG'!$A$5:$AT81, 0, XMATCH("Tháng", '6. TIẾN ĐỘ MUA HÀNG'!$A$4:$AT$4, 0))) = TRIM(C$6)))</f>
        <v>0</v>
      </c>
      <c r="E23" s="743">
        <f t="array" ref="E23">SUMPRODUCT((INDEX('6. TIẾN ĐỘ MUA HÀNG'!$A:$AT, 0, XMATCH("Phân loại VTBB/NL", '6. TIẾN ĐỘ MUA HÀNG'!$A$4:$AT$4, 0)) = $B23) * (TRIM(INDEX('6. TIẾN ĐỘ MUA HÀNG'!$A:$AT, 0, XMATCH("Tháng", '6. TIẾN ĐỘ MUA HÀNG'!$A$4:$AT$4, 0))) = TRIM(E$6)) * (INDEX('6. TIẾN ĐỘ MUA HÀNG'!$A:$AT, 0, XMATCH("Phân loại VTBB/NL", '6. TIẾN ĐỘ MUA HÀNG'!$A$4:$AT$4, 0)) &lt;&gt; ""))</f>
        <v>0</v>
      </c>
      <c r="F23" s="744">
        <f t="array" ref="F23">SUMPRODUCT(IFERROR(INDEX('6. TIẾN ĐỘ MUA HÀNG'!$A$5:$AT81, 0, XMATCH("Thành tiền đơn hàng", '6. TIẾN ĐỘ MUA HÀNG'!$A$4:$AT$4, 0)), 0) * (INDEX('6. TIẾN ĐỘ MUA HÀNG'!$A$5:$AT81, 0, XMATCH("Phân loại VTBB/NL", '6. TIẾN ĐỘ MUA HÀNG'!$A$4:$AT$4, 0)) = $B23) * (TRIM(INDEX('6. TIẾN ĐỘ MUA HÀNG'!$A$5:$AT81, 0, XMATCH("Tháng", '6. TIẾN ĐỘ MUA HÀNG'!$A$4:$AT$4, 0))) = TRIM(E$6)))</f>
        <v>0</v>
      </c>
      <c r="G23" s="741">
        <f t="array" ref="G23">SUMPRODUCT((INDEX('6. TIẾN ĐỘ MUA HÀNG'!$A:$AT, 0, XMATCH("Phân loại VTBB/NL", '6. TIẾN ĐỘ MUA HÀNG'!$A$4:$AT$4, 0)) = $B23) * (TRIM(INDEX('6. TIẾN ĐỘ MUA HÀNG'!$A:$AT, 0, XMATCH("Tháng", '6. TIẾN ĐỘ MUA HÀNG'!$A$4:$AT$4, 0))) = TRIM($G$6)) * (INDEX('6. TIẾN ĐỘ MUA HÀNG'!$A:$AT, 0, XMATCH("Phân loại VTBB/NL", '6. TIẾN ĐỘ MUA HÀNG'!$A$4:$AT$4, 0)) &lt;&gt; ""))</f>
        <v>0</v>
      </c>
      <c r="H23" s="742">
        <f t="array" ref="H23">SUMPRODUCT(IFERROR(INDEX('6. TIẾN ĐỘ MUA HÀNG'!$A$5:$AT81, 0, XMATCH("Thành tiền đơn hàng", '6. TIẾN ĐỘ MUA HÀNG'!$A$4:$AT$4, 0)), 0) * (INDEX('6. TIẾN ĐỘ MUA HÀNG'!$A$5:$AT81, 0, XMATCH("Phân loại VTBB/NL", '6. TIẾN ĐỘ MUA HÀNG'!$A$4:$AT$4, 0)) = $B23) * (TRIM(INDEX('6. TIẾN ĐỘ MUA HÀNG'!$A$5:$AT81, 0, XMATCH("Tháng", '6. TIẾN ĐỘ MUA HÀNG'!$A$4:$AT$4, 0))) = TRIM(G$6)))</f>
        <v>0</v>
      </c>
      <c r="I23" s="743">
        <f t="array" ref="I23">SUMPRODUCT((INDEX('6. TIẾN ĐỘ MUA HÀNG'!$A:$AT, 0, XMATCH("Phân loại VTBB/NL", '6. TIẾN ĐỘ MUA HÀNG'!$A$4:$AT$4, 0)) = $B23) * (TRIM(INDEX('6. TIẾN ĐỘ MUA HÀNG'!$A:$AT, 0, XMATCH("Tháng", '6. TIẾN ĐỘ MUA HÀNG'!$A$4:$AT$4, 0))) = TRIM(I$6)) * (INDEX('6. TIẾN ĐỘ MUA HÀNG'!$A:$AT, 0, XMATCH("Phân loại VTBB/NL", '6. TIẾN ĐỘ MUA HÀNG'!$A$4:$AT$4, 0)) &lt;&gt; ""))</f>
        <v>0</v>
      </c>
      <c r="J23" s="744">
        <f t="array" ref="J23">SUMPRODUCT(IFERROR(INDEX('6. TIẾN ĐỘ MUA HÀNG'!$A$5:$AT81, 0, XMATCH("Thành tiền đơn hàng", '6. TIẾN ĐỘ MUA HÀNG'!$A$4:$AT$4, 0)), 0) * (INDEX('6. TIẾN ĐỘ MUA HÀNG'!$A$5:$AT81, 0, XMATCH("Phân loại VTBB/NL", '6. TIẾN ĐỘ MUA HÀNG'!$A$4:$AT$4, 0)) = $B23) * (TRIM(INDEX('6. TIẾN ĐỘ MUA HÀNG'!$A$5:$AT81, 0, XMATCH("Tháng", '6. TIẾN ĐỘ MUA HÀNG'!$A$4:$AT$4, 0))) = TRIM(I$6)))</f>
        <v>0</v>
      </c>
      <c r="K23" s="741">
        <f t="array" ref="K23">SUMPRODUCT((INDEX('6. TIẾN ĐỘ MUA HÀNG'!$A:$AT, 0, XMATCH("Phân loại VTBB/NL", '6. TIẾN ĐỘ MUA HÀNG'!$A$4:$AT$4, 0)) = $B23) * (TRIM(INDEX('6. TIẾN ĐỘ MUA HÀNG'!$A:$AT, 0, XMATCH("Tháng", '6. TIẾN ĐỘ MUA HÀNG'!$A$4:$AT$4, 0))) = TRIM($K$6)) * (INDEX('6. TIẾN ĐỘ MUA HÀNG'!$A:$AT, 0, XMATCH("Phân loại VTBB/NL", '6. TIẾN ĐỘ MUA HÀNG'!$A$4:$AT$4, 0)) &lt;&gt; ""))</f>
        <v>0</v>
      </c>
      <c r="L23" s="742">
        <f t="array" ref="L23">SUMPRODUCT(IFERROR(INDEX('6. TIẾN ĐỘ MUA HÀNG'!$A$5:$AT81, 0, XMATCH("Thành tiền đơn hàng", '6. TIẾN ĐỘ MUA HÀNG'!$A$4:$AT$4, 0)), 0) * (INDEX('6. TIẾN ĐỘ MUA HÀNG'!$A$5:$AT81, 0, XMATCH("Phân loại VTBB/NL", '6. TIẾN ĐỘ MUA HÀNG'!$A$4:$AT$4, 0)) = $B23) * (TRIM(INDEX('6. TIẾN ĐỘ MUA HÀNG'!$A$5:$AT81, 0, XMATCH("Tháng", '6. TIẾN ĐỘ MUA HÀNG'!$A$4:$AT$4, 0))) = TRIM(K$6)))</f>
        <v>0</v>
      </c>
      <c r="M23" s="743">
        <f t="array" ref="M23">SUMPRODUCT((INDEX('6. TIẾN ĐỘ MUA HÀNG'!$A:$AT, 0, XMATCH("Phân loại VTBB/NL", '6. TIẾN ĐỘ MUA HÀNG'!$A$4:$AT$4, 0)) = $B23) * (TRIM(INDEX('6. TIẾN ĐỘ MUA HÀNG'!$A:$AT, 0, XMATCH("Tháng", '6. TIẾN ĐỘ MUA HÀNG'!$A$4:$AT$4, 0))) = TRIM(M$6)) * (INDEX('6. TIẾN ĐỘ MUA HÀNG'!$A:$AT, 0, XMATCH("Phân loại VTBB/NL", '6. TIẾN ĐỘ MUA HÀNG'!$A$4:$AT$4, 0)) &lt;&gt; ""))</f>
        <v>0</v>
      </c>
      <c r="N23" s="744">
        <f t="array" ref="N23">SUMPRODUCT(IFERROR(INDEX('6. TIẾN ĐỘ MUA HÀNG'!$A$5:$AT81, 0, XMATCH("Thành tiền đơn hàng", '6. TIẾN ĐỘ MUA HÀNG'!$A$4:$AT$4, 0)), 0) * (INDEX('6. TIẾN ĐỘ MUA HÀNG'!$A$5:$AT81, 0, XMATCH("Phân loại VTBB/NL", '6. TIẾN ĐỘ MUA HÀNG'!$A$4:$AT$4, 0)) = $B23) * (TRIM(INDEX('6. TIẾN ĐỘ MUA HÀNG'!$A$5:$AT81, 0, XMATCH("Tháng", '6. TIẾN ĐỘ MUA HÀNG'!$A$4:$AT$4, 0))) = TRIM(M$6)))</f>
        <v>0</v>
      </c>
      <c r="O23" s="741">
        <f t="array" ref="O23">SUMPRODUCT((INDEX('6. TIẾN ĐỘ MUA HÀNG'!$A:$AT, 0, XMATCH("Phân loại VTBB/NL", '6. TIẾN ĐỘ MUA HÀNG'!$A$4:$AT$4, 0)) = $B23) * (TRIM(INDEX('6. TIẾN ĐỘ MUA HÀNG'!$A:$AT, 0, XMATCH("Tháng", '6. TIẾN ĐỘ MUA HÀNG'!$A$4:$AT$4, 0))) = TRIM($O$6)) * (INDEX('6. TIẾN ĐỘ MUA HÀNG'!$A:$AT, 0, XMATCH("Phân loại VTBB/NL", '6. TIẾN ĐỘ MUA HÀNG'!$A$4:$AT$4, 0)) &lt;&gt; ""))</f>
        <v>0</v>
      </c>
      <c r="P23" s="742">
        <f t="array" ref="P23">SUMPRODUCT(IFERROR(INDEX('6. TIẾN ĐỘ MUA HÀNG'!$A$5:$AT81, 0, XMATCH("Thành tiền đơn hàng", '6. TIẾN ĐỘ MUA HÀNG'!$A$4:$AT$4, 0)), 0) * (INDEX('6. TIẾN ĐỘ MUA HÀNG'!$A$5:$AT81, 0, XMATCH("Phân loại VTBB/NL", '6. TIẾN ĐỘ MUA HÀNG'!$A$4:$AT$4, 0)) = $B23) * (TRIM(INDEX('6. TIẾN ĐỘ MUA HÀNG'!$A$5:$AT81, 0, XMATCH("Tháng", '6. TIẾN ĐỘ MUA HÀNG'!$A$4:$AT$4, 0))) = TRIM(O$6)))</f>
        <v>0</v>
      </c>
      <c r="Q23" s="743">
        <f t="array" ref="Q23">SUMPRODUCT((INDEX('6. TIẾN ĐỘ MUA HÀNG'!$A:$AT, 0, XMATCH("Phân loại VTBB/NL", '6. TIẾN ĐỘ MUA HÀNG'!$A$4:$AT$4, 0)) = $B23) * (TRIM(INDEX('6. TIẾN ĐỘ MUA HÀNG'!$A:$AT, 0, XMATCH("Tháng", '6. TIẾN ĐỘ MUA HÀNG'!$A$4:$AT$4, 0))) = TRIM(Q$6)) * (INDEX('6. TIẾN ĐỘ MUA HÀNG'!$A:$AT, 0, XMATCH("Phân loại VTBB/NL", '6. TIẾN ĐỘ MUA HÀNG'!$A$4:$AT$4, 0)) &lt;&gt; ""))</f>
        <v>0</v>
      </c>
      <c r="R23" s="744">
        <f t="array" ref="R23">SUMPRODUCT(IFERROR(INDEX('6. TIẾN ĐỘ MUA HÀNG'!$A$5:$AT81, 0, XMATCH("Thành tiền đơn hàng", '6. TIẾN ĐỘ MUA HÀNG'!$A$4:$AT$4, 0)), 0) * (INDEX('6. TIẾN ĐỘ MUA HÀNG'!$A$5:$AT81, 0, XMATCH("Phân loại VTBB/NL", '6. TIẾN ĐỘ MUA HÀNG'!$A$4:$AT$4, 0)) = $B23) * (TRIM(INDEX('6. TIẾN ĐỘ MUA HÀNG'!$A$5:$AT81, 0, XMATCH("Tháng", '6. TIẾN ĐỘ MUA HÀNG'!$A$4:$AT$4, 0))) = TRIM(Q$6)))</f>
        <v>0</v>
      </c>
      <c r="S23" s="741">
        <f t="array" ref="S23">SUMPRODUCT((INDEX('6. TIẾN ĐỘ MUA HÀNG'!$A:$AT, 0, XMATCH("Phân loại VTBB/NL", '6. TIẾN ĐỘ MUA HÀNG'!$A$4:$AT$4, 0)) = $B23) * (TRIM(INDEX('6. TIẾN ĐỘ MUA HÀNG'!$A:$AT, 0, XMATCH("Tháng", '6. TIẾN ĐỘ MUA HÀNG'!$A$4:$AT$4, 0))) = TRIM($S$6)) * (INDEX('6. TIẾN ĐỘ MUA HÀNG'!$A:$AT, 0, XMATCH("Phân loại VTBB/NL", '6. TIẾN ĐỘ MUA HÀNG'!$A$4:$AT$4, 0)) &lt;&gt; ""))</f>
        <v>0</v>
      </c>
      <c r="T23" s="742">
        <f t="array" ref="T23">SUMPRODUCT(IFERROR(INDEX('6. TIẾN ĐỘ MUA HÀNG'!$A$5:$AT81, 0, XMATCH("Thành tiền đơn hàng", '6. TIẾN ĐỘ MUA HÀNG'!$A$4:$AT$4, 0)), 0) * (INDEX('6. TIẾN ĐỘ MUA HÀNG'!$A$5:$AT81, 0, XMATCH("Phân loại VTBB/NL", '6. TIẾN ĐỘ MUA HÀNG'!$A$4:$AT$4, 0)) = $B23) * (TRIM(INDEX('6. TIẾN ĐỘ MUA HÀNG'!$A$5:$AT81, 0, XMATCH("Tháng", '6. TIẾN ĐỘ MUA HÀNG'!$A$4:$AT$4, 0))) = TRIM(S$6)))</f>
        <v>0</v>
      </c>
      <c r="U23" s="743">
        <f t="array" ref="U23">SUMPRODUCT((INDEX('6. TIẾN ĐỘ MUA HÀNG'!$A:$AT, 0, XMATCH("Phân loại VTBB/NL", '6. TIẾN ĐỘ MUA HÀNG'!$A$4:$AT$4, 0)) = $B23) * (TRIM(INDEX('6. TIẾN ĐỘ MUA HÀNG'!$A:$AT, 0, XMATCH("Tháng", '6. TIẾN ĐỘ MUA HÀNG'!$A$4:$AT$4, 0))) = TRIM(U$6)) * (INDEX('6. TIẾN ĐỘ MUA HÀNG'!$A:$AT, 0, XMATCH("Phân loại VTBB/NL", '6. TIẾN ĐỘ MUA HÀNG'!$A$4:$AT$4, 0)) &lt;&gt; ""))</f>
        <v>0</v>
      </c>
      <c r="V23" s="744">
        <f t="array" ref="V23">SUMPRODUCT(IFERROR(INDEX('6. TIẾN ĐỘ MUA HÀNG'!$A$5:$AT81, 0, XMATCH("Thành tiền đơn hàng", '6. TIẾN ĐỘ MUA HÀNG'!$A$4:$AT$4, 0)), 0) * (INDEX('6. TIẾN ĐỘ MUA HÀNG'!$A$5:$AT81, 0, XMATCH("Phân loại VTBB/NL", '6. TIẾN ĐỘ MUA HÀNG'!$A$4:$AT$4, 0)) = $B23) * (TRIM(INDEX('6. TIẾN ĐỘ MUA HÀNG'!$A$5:$AT81, 0, XMATCH("Tháng", '6. TIẾN ĐỘ MUA HÀNG'!$A$4:$AT$4, 0))) = TRIM(U$6)))</f>
        <v>0</v>
      </c>
      <c r="W23" s="741">
        <f t="array" ref="W23">SUMPRODUCT((INDEX('6. TIẾN ĐỘ MUA HÀNG'!$A:$AT, 0, XMATCH("Phân loại VTBB/NL", '6. TIẾN ĐỘ MUA HÀNG'!$A$4:$AT$4, 0)) = $B23) * (TRIM(INDEX('6. TIẾN ĐỘ MUA HÀNG'!$A:$AT, 0, XMATCH("Tháng", '6. TIẾN ĐỘ MUA HÀNG'!$A$4:$AT$4, 0))) = TRIM($W$6)) * (INDEX('6. TIẾN ĐỘ MUA HÀNG'!$A:$AT, 0, XMATCH("Phân loại VTBB/NL", '6. TIẾN ĐỘ MUA HÀNG'!$A$4:$AT$4, 0)) &lt;&gt; ""))</f>
        <v>0</v>
      </c>
      <c r="X23" s="742">
        <f t="array" ref="X23">SUMPRODUCT(IFERROR(INDEX('6. TIẾN ĐỘ MUA HÀNG'!$A$5:$AT81, 0, XMATCH("Thành tiền đơn hàng", '6. TIẾN ĐỘ MUA HÀNG'!$A$4:$AT$4, 0)), 0) * (INDEX('6. TIẾN ĐỘ MUA HÀNG'!$A$5:$AT81, 0, XMATCH("Phân loại VTBB/NL", '6. TIẾN ĐỘ MUA HÀNG'!$A$4:$AT$4, 0)) = $B23) * (TRIM(INDEX('6. TIẾN ĐỘ MUA HÀNG'!$A$5:$AT81, 0, XMATCH("Tháng", '6. TIẾN ĐỘ MUA HÀNG'!$A$4:$AT$4, 0))) = TRIM(W$6)))</f>
        <v>0</v>
      </c>
      <c r="Y23" s="743">
        <f t="array" ref="Y23">SUMPRODUCT((INDEX('6. TIẾN ĐỘ MUA HÀNG'!$A:$AT, 0, XMATCH("Phân loại VTBB/NL", '6. TIẾN ĐỘ MUA HÀNG'!$A$4:$AT$4, 0)) = $B23) * (TRIM(INDEX('6. TIẾN ĐỘ MUA HÀNG'!$A:$AT, 0, XMATCH("Tháng", '6. TIẾN ĐỘ MUA HÀNG'!$A$4:$AT$4, 0))) = TRIM(Y$6)) * (INDEX('6. TIẾN ĐỘ MUA HÀNG'!$A:$AT, 0, XMATCH("Phân loại VTBB/NL", '6. TIẾN ĐỘ MUA HÀNG'!$A$4:$AT$4, 0)) &lt;&gt; ""))</f>
        <v>0</v>
      </c>
      <c r="Z23" s="744">
        <f t="array" ref="Z23">SUMPRODUCT(IFERROR(INDEX('6. TIẾN ĐỘ MUA HÀNG'!$A$5:$AT81, 0, XMATCH("Thành tiền đơn hàng", '6. TIẾN ĐỘ MUA HÀNG'!$A$4:$AT$4, 0)), 0) * (INDEX('6. TIẾN ĐỘ MUA HÀNG'!$A$5:$AT81, 0, XMATCH("Phân loại VTBB/NL", '6. TIẾN ĐỘ MUA HÀNG'!$A$4:$AT$4, 0)) = $B23) * (TRIM(INDEX('6. TIẾN ĐỘ MUA HÀNG'!$A$5:$AT81, 0, XMATCH("Tháng", '6. TIẾN ĐỘ MUA HÀNG'!$A$4:$AT$4, 0))) = TRIM(Y$6)))</f>
        <v>0</v>
      </c>
      <c r="AA23" s="726">
        <f t="shared" si="2"/>
        <v>0</v>
      </c>
      <c r="AB23" s="726">
        <f t="shared" si="3"/>
        <v>0</v>
      </c>
    </row>
    <row r="24">
      <c r="A24" s="612">
        <v>16.0</v>
      </c>
      <c r="B24" s="139" t="str">
        <f>IFERROR(__xludf.DUMMYFUNCTION("""COMPUTED_VALUE"""),"Xốp ( bong bóng khí)")</f>
        <v>Xốp ( bong bóng khí)</v>
      </c>
      <c r="C24" s="741">
        <f t="array" ref="C24">SUMPRODUCT((INDEX('6. TIẾN ĐỘ MUA HÀNG'!$A:$AT, 0, XMATCH("Phân loại VTBB/NL", '6. TIẾN ĐỘ MUA HÀNG'!$A$4:$AT$4, 0)) = $B24) * (TRIM(INDEX('6. TIẾN ĐỘ MUA HÀNG'!$A:$AT, 0, XMATCH("Tháng", '6. TIẾN ĐỘ MUA HÀNG'!$A$4:$AT$4, 0))) = TRIM($C$6)) * (INDEX('6. TIẾN ĐỘ MUA HÀNG'!$A:$AT, 0, XMATCH("Phân loại VTBB/NL", '6. TIẾN ĐỘ MUA HÀNG'!$A$4:$AT$4, 0)) &lt;&gt; ""))</f>
        <v>0</v>
      </c>
      <c r="D24" s="742">
        <f t="array" ref="D24">SUMPRODUCT(IFERROR(INDEX('6. TIẾN ĐỘ MUA HÀNG'!$A$5:$AT81, 0, XMATCH("Thành tiền đơn hàng", '6. TIẾN ĐỘ MUA HÀNG'!$A$4:$AT$4, 0)), 0) * (INDEX('6. TIẾN ĐỘ MUA HÀNG'!$A$5:$AT81, 0, XMATCH("Phân loại VTBB/NL", '6. TIẾN ĐỘ MUA HÀNG'!$A$4:$AT$4, 0)) = $B24) * (TRIM(INDEX('6. TIẾN ĐỘ MUA HÀNG'!$A$5:$AT81, 0, XMATCH("Tháng", '6. TIẾN ĐỘ MUA HÀNG'!$A$4:$AT$4, 0))) = TRIM(C$6)))</f>
        <v>0</v>
      </c>
      <c r="E24" s="743">
        <f t="array" ref="E24">SUMPRODUCT((INDEX('6. TIẾN ĐỘ MUA HÀNG'!$A:$AT, 0, XMATCH("Phân loại VTBB/NL", '6. TIẾN ĐỘ MUA HÀNG'!$A$4:$AT$4, 0)) = $B24) * (TRIM(INDEX('6. TIẾN ĐỘ MUA HÀNG'!$A:$AT, 0, XMATCH("Tháng", '6. TIẾN ĐỘ MUA HÀNG'!$A$4:$AT$4, 0))) = TRIM(E$6)) * (INDEX('6. TIẾN ĐỘ MUA HÀNG'!$A:$AT, 0, XMATCH("Phân loại VTBB/NL", '6. TIẾN ĐỘ MUA HÀNG'!$A$4:$AT$4, 0)) &lt;&gt; ""))</f>
        <v>0</v>
      </c>
      <c r="F24" s="744">
        <f t="array" ref="F24">SUMPRODUCT(IFERROR(INDEX('6. TIẾN ĐỘ MUA HÀNG'!$A$5:$AT81, 0, XMATCH("Thành tiền đơn hàng", '6. TIẾN ĐỘ MUA HÀNG'!$A$4:$AT$4, 0)), 0) * (INDEX('6. TIẾN ĐỘ MUA HÀNG'!$A$5:$AT81, 0, XMATCH("Phân loại VTBB/NL", '6. TIẾN ĐỘ MUA HÀNG'!$A$4:$AT$4, 0)) = $B24) * (TRIM(INDEX('6. TIẾN ĐỘ MUA HÀNG'!$A$5:$AT81, 0, XMATCH("Tháng", '6. TIẾN ĐỘ MUA HÀNG'!$A$4:$AT$4, 0))) = TRIM(E$6)))</f>
        <v>0</v>
      </c>
      <c r="G24" s="741">
        <f t="array" ref="G24">SUMPRODUCT((INDEX('6. TIẾN ĐỘ MUA HÀNG'!$A:$AT, 0, XMATCH("Phân loại VTBB/NL", '6. TIẾN ĐỘ MUA HÀNG'!$A$4:$AT$4, 0)) = $B24) * (TRIM(INDEX('6. TIẾN ĐỘ MUA HÀNG'!$A:$AT, 0, XMATCH("Tháng", '6. TIẾN ĐỘ MUA HÀNG'!$A$4:$AT$4, 0))) = TRIM($G$6)) * (INDEX('6. TIẾN ĐỘ MUA HÀNG'!$A:$AT, 0, XMATCH("Phân loại VTBB/NL", '6. TIẾN ĐỘ MUA HÀNG'!$A$4:$AT$4, 0)) &lt;&gt; ""))</f>
        <v>0</v>
      </c>
      <c r="H24" s="742">
        <f t="array" ref="H24">SUMPRODUCT(IFERROR(INDEX('6. TIẾN ĐỘ MUA HÀNG'!$A$5:$AT81, 0, XMATCH("Thành tiền đơn hàng", '6. TIẾN ĐỘ MUA HÀNG'!$A$4:$AT$4, 0)), 0) * (INDEX('6. TIẾN ĐỘ MUA HÀNG'!$A$5:$AT81, 0, XMATCH("Phân loại VTBB/NL", '6. TIẾN ĐỘ MUA HÀNG'!$A$4:$AT$4, 0)) = $B24) * (TRIM(INDEX('6. TIẾN ĐỘ MUA HÀNG'!$A$5:$AT81, 0, XMATCH("Tháng", '6. TIẾN ĐỘ MUA HÀNG'!$A$4:$AT$4, 0))) = TRIM(G$6)))</f>
        <v>0</v>
      </c>
      <c r="I24" s="743">
        <f t="array" ref="I24">SUMPRODUCT((INDEX('6. TIẾN ĐỘ MUA HÀNG'!$A:$AT, 0, XMATCH("Phân loại VTBB/NL", '6. TIẾN ĐỘ MUA HÀNG'!$A$4:$AT$4, 0)) = $B24) * (TRIM(INDEX('6. TIẾN ĐỘ MUA HÀNG'!$A:$AT, 0, XMATCH("Tháng", '6. TIẾN ĐỘ MUA HÀNG'!$A$4:$AT$4, 0))) = TRIM(I$6)) * (INDEX('6. TIẾN ĐỘ MUA HÀNG'!$A:$AT, 0, XMATCH("Phân loại VTBB/NL", '6. TIẾN ĐỘ MUA HÀNG'!$A$4:$AT$4, 0)) &lt;&gt; ""))</f>
        <v>0</v>
      </c>
      <c r="J24" s="744">
        <f t="array" ref="J24">SUMPRODUCT(IFERROR(INDEX('6. TIẾN ĐỘ MUA HÀNG'!$A$5:$AT81, 0, XMATCH("Thành tiền đơn hàng", '6. TIẾN ĐỘ MUA HÀNG'!$A$4:$AT$4, 0)), 0) * (INDEX('6. TIẾN ĐỘ MUA HÀNG'!$A$5:$AT81, 0, XMATCH("Phân loại VTBB/NL", '6. TIẾN ĐỘ MUA HÀNG'!$A$4:$AT$4, 0)) = $B24) * (TRIM(INDEX('6. TIẾN ĐỘ MUA HÀNG'!$A$5:$AT81, 0, XMATCH("Tháng", '6. TIẾN ĐỘ MUA HÀNG'!$A$4:$AT$4, 0))) = TRIM(I$6)))</f>
        <v>0</v>
      </c>
      <c r="K24" s="741">
        <f t="array" ref="K24">SUMPRODUCT((INDEX('6. TIẾN ĐỘ MUA HÀNG'!$A:$AT, 0, XMATCH("Phân loại VTBB/NL", '6. TIẾN ĐỘ MUA HÀNG'!$A$4:$AT$4, 0)) = $B24) * (TRIM(INDEX('6. TIẾN ĐỘ MUA HÀNG'!$A:$AT, 0, XMATCH("Tháng", '6. TIẾN ĐỘ MUA HÀNG'!$A$4:$AT$4, 0))) = TRIM($K$6)) * (INDEX('6. TIẾN ĐỘ MUA HÀNG'!$A:$AT, 0, XMATCH("Phân loại VTBB/NL", '6. TIẾN ĐỘ MUA HÀNG'!$A$4:$AT$4, 0)) &lt;&gt; ""))</f>
        <v>0</v>
      </c>
      <c r="L24" s="742">
        <f t="array" ref="L24">SUMPRODUCT(IFERROR(INDEX('6. TIẾN ĐỘ MUA HÀNG'!$A$5:$AT81, 0, XMATCH("Thành tiền đơn hàng", '6. TIẾN ĐỘ MUA HÀNG'!$A$4:$AT$4, 0)), 0) * (INDEX('6. TIẾN ĐỘ MUA HÀNG'!$A$5:$AT81, 0, XMATCH("Phân loại VTBB/NL", '6. TIẾN ĐỘ MUA HÀNG'!$A$4:$AT$4, 0)) = $B24) * (TRIM(INDEX('6. TIẾN ĐỘ MUA HÀNG'!$A$5:$AT81, 0, XMATCH("Tháng", '6. TIẾN ĐỘ MUA HÀNG'!$A$4:$AT$4, 0))) = TRIM(K$6)))</f>
        <v>0</v>
      </c>
      <c r="M24" s="743">
        <f t="array" ref="M24">SUMPRODUCT((INDEX('6. TIẾN ĐỘ MUA HÀNG'!$A:$AT, 0, XMATCH("Phân loại VTBB/NL", '6. TIẾN ĐỘ MUA HÀNG'!$A$4:$AT$4, 0)) = $B24) * (TRIM(INDEX('6. TIẾN ĐỘ MUA HÀNG'!$A:$AT, 0, XMATCH("Tháng", '6. TIẾN ĐỘ MUA HÀNG'!$A$4:$AT$4, 0))) = TRIM(M$6)) * (INDEX('6. TIẾN ĐỘ MUA HÀNG'!$A:$AT, 0, XMATCH("Phân loại VTBB/NL", '6. TIẾN ĐỘ MUA HÀNG'!$A$4:$AT$4, 0)) &lt;&gt; ""))</f>
        <v>0</v>
      </c>
      <c r="N24" s="744">
        <f t="array" ref="N24">SUMPRODUCT(IFERROR(INDEX('6. TIẾN ĐỘ MUA HÀNG'!$A$5:$AT81, 0, XMATCH("Thành tiền đơn hàng", '6. TIẾN ĐỘ MUA HÀNG'!$A$4:$AT$4, 0)), 0) * (INDEX('6. TIẾN ĐỘ MUA HÀNG'!$A$5:$AT81, 0, XMATCH("Phân loại VTBB/NL", '6. TIẾN ĐỘ MUA HÀNG'!$A$4:$AT$4, 0)) = $B24) * (TRIM(INDEX('6. TIẾN ĐỘ MUA HÀNG'!$A$5:$AT81, 0, XMATCH("Tháng", '6. TIẾN ĐỘ MUA HÀNG'!$A$4:$AT$4, 0))) = TRIM(M$6)))</f>
        <v>0</v>
      </c>
      <c r="O24" s="741">
        <f t="array" ref="O24">SUMPRODUCT((INDEX('6. TIẾN ĐỘ MUA HÀNG'!$A:$AT, 0, XMATCH("Phân loại VTBB/NL", '6. TIẾN ĐỘ MUA HÀNG'!$A$4:$AT$4, 0)) = $B24) * (TRIM(INDEX('6. TIẾN ĐỘ MUA HÀNG'!$A:$AT, 0, XMATCH("Tháng", '6. TIẾN ĐỘ MUA HÀNG'!$A$4:$AT$4, 0))) = TRIM($O$6)) * (INDEX('6. TIẾN ĐỘ MUA HÀNG'!$A:$AT, 0, XMATCH("Phân loại VTBB/NL", '6. TIẾN ĐỘ MUA HÀNG'!$A$4:$AT$4, 0)) &lt;&gt; ""))</f>
        <v>0</v>
      </c>
      <c r="P24" s="742">
        <f t="array" ref="P24">SUMPRODUCT(IFERROR(INDEX('6. TIẾN ĐỘ MUA HÀNG'!$A$5:$AT81, 0, XMATCH("Thành tiền đơn hàng", '6. TIẾN ĐỘ MUA HÀNG'!$A$4:$AT$4, 0)), 0) * (INDEX('6. TIẾN ĐỘ MUA HÀNG'!$A$5:$AT81, 0, XMATCH("Phân loại VTBB/NL", '6. TIẾN ĐỘ MUA HÀNG'!$A$4:$AT$4, 0)) = $B24) * (TRIM(INDEX('6. TIẾN ĐỘ MUA HÀNG'!$A$5:$AT81, 0, XMATCH("Tháng", '6. TIẾN ĐỘ MUA HÀNG'!$A$4:$AT$4, 0))) = TRIM(O$6)))</f>
        <v>0</v>
      </c>
      <c r="Q24" s="743">
        <f t="array" ref="Q24">SUMPRODUCT((INDEX('6. TIẾN ĐỘ MUA HÀNG'!$A:$AT, 0, XMATCH("Phân loại VTBB/NL", '6. TIẾN ĐỘ MUA HÀNG'!$A$4:$AT$4, 0)) = $B24) * (TRIM(INDEX('6. TIẾN ĐỘ MUA HÀNG'!$A:$AT, 0, XMATCH("Tháng", '6. TIẾN ĐỘ MUA HÀNG'!$A$4:$AT$4, 0))) = TRIM(Q$6)) * (INDEX('6. TIẾN ĐỘ MUA HÀNG'!$A:$AT, 0, XMATCH("Phân loại VTBB/NL", '6. TIẾN ĐỘ MUA HÀNG'!$A$4:$AT$4, 0)) &lt;&gt; ""))</f>
        <v>0</v>
      </c>
      <c r="R24" s="744">
        <f t="array" ref="R24">SUMPRODUCT(IFERROR(INDEX('6. TIẾN ĐỘ MUA HÀNG'!$A$5:$AT81, 0, XMATCH("Thành tiền đơn hàng", '6. TIẾN ĐỘ MUA HÀNG'!$A$4:$AT$4, 0)), 0) * (INDEX('6. TIẾN ĐỘ MUA HÀNG'!$A$5:$AT81, 0, XMATCH("Phân loại VTBB/NL", '6. TIẾN ĐỘ MUA HÀNG'!$A$4:$AT$4, 0)) = $B24) * (TRIM(INDEX('6. TIẾN ĐỘ MUA HÀNG'!$A$5:$AT81, 0, XMATCH("Tháng", '6. TIẾN ĐỘ MUA HÀNG'!$A$4:$AT$4, 0))) = TRIM(Q$6)))</f>
        <v>0</v>
      </c>
      <c r="S24" s="741">
        <f t="array" ref="S24">SUMPRODUCT((INDEX('6. TIẾN ĐỘ MUA HÀNG'!$A:$AT, 0, XMATCH("Phân loại VTBB/NL", '6. TIẾN ĐỘ MUA HÀNG'!$A$4:$AT$4, 0)) = $B24) * (TRIM(INDEX('6. TIẾN ĐỘ MUA HÀNG'!$A:$AT, 0, XMATCH("Tháng", '6. TIẾN ĐỘ MUA HÀNG'!$A$4:$AT$4, 0))) = TRIM($S$6)) * (INDEX('6. TIẾN ĐỘ MUA HÀNG'!$A:$AT, 0, XMATCH("Phân loại VTBB/NL", '6. TIẾN ĐỘ MUA HÀNG'!$A$4:$AT$4, 0)) &lt;&gt; ""))</f>
        <v>0</v>
      </c>
      <c r="T24" s="742">
        <f t="array" ref="T24">SUMPRODUCT(IFERROR(INDEX('6. TIẾN ĐỘ MUA HÀNG'!$A$5:$AT81, 0, XMATCH("Thành tiền đơn hàng", '6. TIẾN ĐỘ MUA HÀNG'!$A$4:$AT$4, 0)), 0) * (INDEX('6. TIẾN ĐỘ MUA HÀNG'!$A$5:$AT81, 0, XMATCH("Phân loại VTBB/NL", '6. TIẾN ĐỘ MUA HÀNG'!$A$4:$AT$4, 0)) = $B24) * (TRIM(INDEX('6. TIẾN ĐỘ MUA HÀNG'!$A$5:$AT81, 0, XMATCH("Tháng", '6. TIẾN ĐỘ MUA HÀNG'!$A$4:$AT$4, 0))) = TRIM(S$6)))</f>
        <v>0</v>
      </c>
      <c r="U24" s="743">
        <f t="array" ref="U24">SUMPRODUCT((INDEX('6. TIẾN ĐỘ MUA HÀNG'!$A:$AT, 0, XMATCH("Phân loại VTBB/NL", '6. TIẾN ĐỘ MUA HÀNG'!$A$4:$AT$4, 0)) = $B24) * (TRIM(INDEX('6. TIẾN ĐỘ MUA HÀNG'!$A:$AT, 0, XMATCH("Tháng", '6. TIẾN ĐỘ MUA HÀNG'!$A$4:$AT$4, 0))) = TRIM(U$6)) * (INDEX('6. TIẾN ĐỘ MUA HÀNG'!$A:$AT, 0, XMATCH("Phân loại VTBB/NL", '6. TIẾN ĐỘ MUA HÀNG'!$A$4:$AT$4, 0)) &lt;&gt; ""))</f>
        <v>0</v>
      </c>
      <c r="V24" s="744">
        <f t="array" ref="V24">SUMPRODUCT(IFERROR(INDEX('6. TIẾN ĐỘ MUA HÀNG'!$A$5:$AT81, 0, XMATCH("Thành tiền đơn hàng", '6. TIẾN ĐỘ MUA HÀNG'!$A$4:$AT$4, 0)), 0) * (INDEX('6. TIẾN ĐỘ MUA HÀNG'!$A$5:$AT81, 0, XMATCH("Phân loại VTBB/NL", '6. TIẾN ĐỘ MUA HÀNG'!$A$4:$AT$4, 0)) = $B24) * (TRIM(INDEX('6. TIẾN ĐỘ MUA HÀNG'!$A$5:$AT81, 0, XMATCH("Tháng", '6. TIẾN ĐỘ MUA HÀNG'!$A$4:$AT$4, 0))) = TRIM(U$6)))</f>
        <v>0</v>
      </c>
      <c r="W24" s="741">
        <f t="array" ref="W24">SUMPRODUCT((INDEX('6. TIẾN ĐỘ MUA HÀNG'!$A:$AT, 0, XMATCH("Phân loại VTBB/NL", '6. TIẾN ĐỘ MUA HÀNG'!$A$4:$AT$4, 0)) = $B24) * (TRIM(INDEX('6. TIẾN ĐỘ MUA HÀNG'!$A:$AT, 0, XMATCH("Tháng", '6. TIẾN ĐỘ MUA HÀNG'!$A$4:$AT$4, 0))) = TRIM($W$6)) * (INDEX('6. TIẾN ĐỘ MUA HÀNG'!$A:$AT, 0, XMATCH("Phân loại VTBB/NL", '6. TIẾN ĐỘ MUA HÀNG'!$A$4:$AT$4, 0)) &lt;&gt; ""))</f>
        <v>0</v>
      </c>
      <c r="X24" s="742">
        <f t="array" ref="X24">SUMPRODUCT(IFERROR(INDEX('6. TIẾN ĐỘ MUA HÀNG'!$A$5:$AT81, 0, XMATCH("Thành tiền đơn hàng", '6. TIẾN ĐỘ MUA HÀNG'!$A$4:$AT$4, 0)), 0) * (INDEX('6. TIẾN ĐỘ MUA HÀNG'!$A$5:$AT81, 0, XMATCH("Phân loại VTBB/NL", '6. TIẾN ĐỘ MUA HÀNG'!$A$4:$AT$4, 0)) = $B24) * (TRIM(INDEX('6. TIẾN ĐỘ MUA HÀNG'!$A$5:$AT81, 0, XMATCH("Tháng", '6. TIẾN ĐỘ MUA HÀNG'!$A$4:$AT$4, 0))) = TRIM(W$6)))</f>
        <v>0</v>
      </c>
      <c r="Y24" s="743">
        <f t="array" ref="Y24">SUMPRODUCT((INDEX('6. TIẾN ĐỘ MUA HÀNG'!$A:$AT, 0, XMATCH("Phân loại VTBB/NL", '6. TIẾN ĐỘ MUA HÀNG'!$A$4:$AT$4, 0)) = $B24) * (TRIM(INDEX('6. TIẾN ĐỘ MUA HÀNG'!$A:$AT, 0, XMATCH("Tháng", '6. TIẾN ĐỘ MUA HÀNG'!$A$4:$AT$4, 0))) = TRIM(Y$6)) * (INDEX('6. TIẾN ĐỘ MUA HÀNG'!$A:$AT, 0, XMATCH("Phân loại VTBB/NL", '6. TIẾN ĐỘ MUA HÀNG'!$A$4:$AT$4, 0)) &lt;&gt; ""))</f>
        <v>0</v>
      </c>
      <c r="Z24" s="744">
        <f t="array" ref="Z24">SUMPRODUCT(IFERROR(INDEX('6. TIẾN ĐỘ MUA HÀNG'!$A$5:$AT81, 0, XMATCH("Thành tiền đơn hàng", '6. TIẾN ĐỘ MUA HÀNG'!$A$4:$AT$4, 0)), 0) * (INDEX('6. TIẾN ĐỘ MUA HÀNG'!$A$5:$AT81, 0, XMATCH("Phân loại VTBB/NL", '6. TIẾN ĐỘ MUA HÀNG'!$A$4:$AT$4, 0)) = $B24) * (TRIM(INDEX('6. TIẾN ĐỘ MUA HÀNG'!$A$5:$AT81, 0, XMATCH("Tháng", '6. TIẾN ĐỘ MUA HÀNG'!$A$4:$AT$4, 0))) = TRIM(Y$6)))</f>
        <v>0</v>
      </c>
      <c r="AA24" s="726">
        <f t="shared" si="2"/>
        <v>0</v>
      </c>
      <c r="AB24" s="726">
        <f t="shared" si="3"/>
        <v>0</v>
      </c>
    </row>
    <row r="25">
      <c r="A25" s="612">
        <v>17.0</v>
      </c>
      <c r="B25" s="624" t="str">
        <f>IFERROR(__xludf.DUMMYFUNCTION("""COMPUTED_VALUE"""),"Giấy nhiệt K100x150")</f>
        <v>Giấy nhiệt K100x150</v>
      </c>
      <c r="C25" s="741">
        <f t="array" ref="C25">SUMPRODUCT((INDEX('6. TIẾN ĐỘ MUA HÀNG'!$A:$AT, 0, XMATCH("Phân loại VTBB/NL", '6. TIẾN ĐỘ MUA HÀNG'!$A$4:$AT$4, 0)) = $B25) * (TRIM(INDEX('6. TIẾN ĐỘ MUA HÀNG'!$A:$AT, 0, XMATCH("Tháng", '6. TIẾN ĐỘ MUA HÀNG'!$A$4:$AT$4, 0))) = TRIM($C$6)) * (INDEX('6. TIẾN ĐỘ MUA HÀNG'!$A:$AT, 0, XMATCH("Phân loại VTBB/NL", '6. TIẾN ĐỘ MUA HÀNG'!$A$4:$AT$4, 0)) &lt;&gt; ""))</f>
        <v>0</v>
      </c>
      <c r="D25" s="742">
        <f t="array" ref="D25">SUMPRODUCT(IFERROR(INDEX('6. TIẾN ĐỘ MUA HÀNG'!$A$5:$AT81, 0, XMATCH("Thành tiền đơn hàng", '6. TIẾN ĐỘ MUA HÀNG'!$A$4:$AT$4, 0)), 0) * (INDEX('6. TIẾN ĐỘ MUA HÀNG'!$A$5:$AT81, 0, XMATCH("Phân loại VTBB/NL", '6. TIẾN ĐỘ MUA HÀNG'!$A$4:$AT$4, 0)) = $B25) * (TRIM(INDEX('6. TIẾN ĐỘ MUA HÀNG'!$A$5:$AT81, 0, XMATCH("Tháng", '6. TIẾN ĐỘ MUA HÀNG'!$A$4:$AT$4, 0))) = TRIM(C$6)))</f>
        <v>0</v>
      </c>
      <c r="E25" s="743">
        <f t="array" ref="E25">SUMPRODUCT((INDEX('6. TIẾN ĐỘ MUA HÀNG'!$A:$AT, 0, XMATCH("Phân loại VTBB/NL", '6. TIẾN ĐỘ MUA HÀNG'!$A$4:$AT$4, 0)) = $B25) * (TRIM(INDEX('6. TIẾN ĐỘ MUA HÀNG'!$A:$AT, 0, XMATCH("Tháng", '6. TIẾN ĐỘ MUA HÀNG'!$A$4:$AT$4, 0))) = TRIM(E$6)) * (INDEX('6. TIẾN ĐỘ MUA HÀNG'!$A:$AT, 0, XMATCH("Phân loại VTBB/NL", '6. TIẾN ĐỘ MUA HÀNG'!$A$4:$AT$4, 0)) &lt;&gt; ""))</f>
        <v>0</v>
      </c>
      <c r="F25" s="744">
        <f t="array" ref="F25">SUMPRODUCT(IFERROR(INDEX('6. TIẾN ĐỘ MUA HÀNG'!$A$5:$AT81, 0, XMATCH("Thành tiền đơn hàng", '6. TIẾN ĐỘ MUA HÀNG'!$A$4:$AT$4, 0)), 0) * (INDEX('6. TIẾN ĐỘ MUA HÀNG'!$A$5:$AT81, 0, XMATCH("Phân loại VTBB/NL", '6. TIẾN ĐỘ MUA HÀNG'!$A$4:$AT$4, 0)) = $B25) * (TRIM(INDEX('6. TIẾN ĐỘ MUA HÀNG'!$A$5:$AT81, 0, XMATCH("Tháng", '6. TIẾN ĐỘ MUA HÀNG'!$A$4:$AT$4, 0))) = TRIM(E$6)))</f>
        <v>0</v>
      </c>
      <c r="G25" s="741">
        <f t="array" ref="G25">SUMPRODUCT((INDEX('6. TIẾN ĐỘ MUA HÀNG'!$A:$AT, 0, XMATCH("Phân loại VTBB/NL", '6. TIẾN ĐỘ MUA HÀNG'!$A$4:$AT$4, 0)) = $B25) * (TRIM(INDEX('6. TIẾN ĐỘ MUA HÀNG'!$A:$AT, 0, XMATCH("Tháng", '6. TIẾN ĐỘ MUA HÀNG'!$A$4:$AT$4, 0))) = TRIM($G$6)) * (INDEX('6. TIẾN ĐỘ MUA HÀNG'!$A:$AT, 0, XMATCH("Phân loại VTBB/NL", '6. TIẾN ĐỘ MUA HÀNG'!$A$4:$AT$4, 0)) &lt;&gt; ""))</f>
        <v>0</v>
      </c>
      <c r="H25" s="742">
        <f t="array" ref="H25">SUMPRODUCT(IFERROR(INDEX('6. TIẾN ĐỘ MUA HÀNG'!$A$5:$AT81, 0, XMATCH("Thành tiền đơn hàng", '6. TIẾN ĐỘ MUA HÀNG'!$A$4:$AT$4, 0)), 0) * (INDEX('6. TIẾN ĐỘ MUA HÀNG'!$A$5:$AT81, 0, XMATCH("Phân loại VTBB/NL", '6. TIẾN ĐỘ MUA HÀNG'!$A$4:$AT$4, 0)) = $B25) * (TRIM(INDEX('6. TIẾN ĐỘ MUA HÀNG'!$A$5:$AT81, 0, XMATCH("Tháng", '6. TIẾN ĐỘ MUA HÀNG'!$A$4:$AT$4, 0))) = TRIM(G$6)))</f>
        <v>0</v>
      </c>
      <c r="I25" s="743">
        <f t="array" ref="I25">SUMPRODUCT((INDEX('6. TIẾN ĐỘ MUA HÀNG'!$A:$AT, 0, XMATCH("Phân loại VTBB/NL", '6. TIẾN ĐỘ MUA HÀNG'!$A$4:$AT$4, 0)) = $B25) * (TRIM(INDEX('6. TIẾN ĐỘ MUA HÀNG'!$A:$AT, 0, XMATCH("Tháng", '6. TIẾN ĐỘ MUA HÀNG'!$A$4:$AT$4, 0))) = TRIM(I$6)) * (INDEX('6. TIẾN ĐỘ MUA HÀNG'!$A:$AT, 0, XMATCH("Phân loại VTBB/NL", '6. TIẾN ĐỘ MUA HÀNG'!$A$4:$AT$4, 0)) &lt;&gt; ""))</f>
        <v>0</v>
      </c>
      <c r="J25" s="744">
        <f t="array" ref="J25">SUMPRODUCT(IFERROR(INDEX('6. TIẾN ĐỘ MUA HÀNG'!$A$5:$AT81, 0, XMATCH("Thành tiền đơn hàng", '6. TIẾN ĐỘ MUA HÀNG'!$A$4:$AT$4, 0)), 0) * (INDEX('6. TIẾN ĐỘ MUA HÀNG'!$A$5:$AT81, 0, XMATCH("Phân loại VTBB/NL", '6. TIẾN ĐỘ MUA HÀNG'!$A$4:$AT$4, 0)) = $B25) * (TRIM(INDEX('6. TIẾN ĐỘ MUA HÀNG'!$A$5:$AT81, 0, XMATCH("Tháng", '6. TIẾN ĐỘ MUA HÀNG'!$A$4:$AT$4, 0))) = TRIM(I$6)))</f>
        <v>0</v>
      </c>
      <c r="K25" s="741">
        <f t="array" ref="K25">SUMPRODUCT((INDEX('6. TIẾN ĐỘ MUA HÀNG'!$A:$AT, 0, XMATCH("Phân loại VTBB/NL", '6. TIẾN ĐỘ MUA HÀNG'!$A$4:$AT$4, 0)) = $B25) * (TRIM(INDEX('6. TIẾN ĐỘ MUA HÀNG'!$A:$AT, 0, XMATCH("Tháng", '6. TIẾN ĐỘ MUA HÀNG'!$A$4:$AT$4, 0))) = TRIM($K$6)) * (INDEX('6. TIẾN ĐỘ MUA HÀNG'!$A:$AT, 0, XMATCH("Phân loại VTBB/NL", '6. TIẾN ĐỘ MUA HÀNG'!$A$4:$AT$4, 0)) &lt;&gt; ""))</f>
        <v>0</v>
      </c>
      <c r="L25" s="742">
        <f t="array" ref="L25">SUMPRODUCT(IFERROR(INDEX('6. TIẾN ĐỘ MUA HÀNG'!$A$5:$AT81, 0, XMATCH("Thành tiền đơn hàng", '6. TIẾN ĐỘ MUA HÀNG'!$A$4:$AT$4, 0)), 0) * (INDEX('6. TIẾN ĐỘ MUA HÀNG'!$A$5:$AT81, 0, XMATCH("Phân loại VTBB/NL", '6. TIẾN ĐỘ MUA HÀNG'!$A$4:$AT$4, 0)) = $B25) * (TRIM(INDEX('6. TIẾN ĐỘ MUA HÀNG'!$A$5:$AT81, 0, XMATCH("Tháng", '6. TIẾN ĐỘ MUA HÀNG'!$A$4:$AT$4, 0))) = TRIM(K$6)))</f>
        <v>0</v>
      </c>
      <c r="M25" s="743">
        <f t="array" ref="M25">SUMPRODUCT((INDEX('6. TIẾN ĐỘ MUA HÀNG'!$A:$AT, 0, XMATCH("Phân loại VTBB/NL", '6. TIẾN ĐỘ MUA HÀNG'!$A$4:$AT$4, 0)) = $B25) * (TRIM(INDEX('6. TIẾN ĐỘ MUA HÀNG'!$A:$AT, 0, XMATCH("Tháng", '6. TIẾN ĐỘ MUA HÀNG'!$A$4:$AT$4, 0))) = TRIM(M$6)) * (INDEX('6. TIẾN ĐỘ MUA HÀNG'!$A:$AT, 0, XMATCH("Phân loại VTBB/NL", '6. TIẾN ĐỘ MUA HÀNG'!$A$4:$AT$4, 0)) &lt;&gt; ""))</f>
        <v>0</v>
      </c>
      <c r="N25" s="744">
        <f t="array" ref="N25">SUMPRODUCT(IFERROR(INDEX('6. TIẾN ĐỘ MUA HÀNG'!$A$5:$AT81, 0, XMATCH("Thành tiền đơn hàng", '6. TIẾN ĐỘ MUA HÀNG'!$A$4:$AT$4, 0)), 0) * (INDEX('6. TIẾN ĐỘ MUA HÀNG'!$A$5:$AT81, 0, XMATCH("Phân loại VTBB/NL", '6. TIẾN ĐỘ MUA HÀNG'!$A$4:$AT$4, 0)) = $B25) * (TRIM(INDEX('6. TIẾN ĐỘ MUA HÀNG'!$A$5:$AT81, 0, XMATCH("Tháng", '6. TIẾN ĐỘ MUA HÀNG'!$A$4:$AT$4, 0))) = TRIM(M$6)))</f>
        <v>0</v>
      </c>
      <c r="O25" s="741">
        <f t="array" ref="O25">SUMPRODUCT((INDEX('6. TIẾN ĐỘ MUA HÀNG'!$A:$AT, 0, XMATCH("Phân loại VTBB/NL", '6. TIẾN ĐỘ MUA HÀNG'!$A$4:$AT$4, 0)) = $B25) * (TRIM(INDEX('6. TIẾN ĐỘ MUA HÀNG'!$A:$AT, 0, XMATCH("Tháng", '6. TIẾN ĐỘ MUA HÀNG'!$A$4:$AT$4, 0))) = TRIM($O$6)) * (INDEX('6. TIẾN ĐỘ MUA HÀNG'!$A:$AT, 0, XMATCH("Phân loại VTBB/NL", '6. TIẾN ĐỘ MUA HÀNG'!$A$4:$AT$4, 0)) &lt;&gt; ""))</f>
        <v>0</v>
      </c>
      <c r="P25" s="742">
        <f t="array" ref="P25">SUMPRODUCT(IFERROR(INDEX('6. TIẾN ĐỘ MUA HÀNG'!$A$5:$AT81, 0, XMATCH("Thành tiền đơn hàng", '6. TIẾN ĐỘ MUA HÀNG'!$A$4:$AT$4, 0)), 0) * (INDEX('6. TIẾN ĐỘ MUA HÀNG'!$A$5:$AT81, 0, XMATCH("Phân loại VTBB/NL", '6. TIẾN ĐỘ MUA HÀNG'!$A$4:$AT$4, 0)) = $B25) * (TRIM(INDEX('6. TIẾN ĐỘ MUA HÀNG'!$A$5:$AT81, 0, XMATCH("Tháng", '6. TIẾN ĐỘ MUA HÀNG'!$A$4:$AT$4, 0))) = TRIM(O$6)))</f>
        <v>0</v>
      </c>
      <c r="Q25" s="743">
        <f t="array" ref="Q25">SUMPRODUCT((INDEX('6. TIẾN ĐỘ MUA HÀNG'!$A:$AT, 0, XMATCH("Phân loại VTBB/NL", '6. TIẾN ĐỘ MUA HÀNG'!$A$4:$AT$4, 0)) = $B25) * (TRIM(INDEX('6. TIẾN ĐỘ MUA HÀNG'!$A:$AT, 0, XMATCH("Tháng", '6. TIẾN ĐỘ MUA HÀNG'!$A$4:$AT$4, 0))) = TRIM(Q$6)) * (INDEX('6. TIẾN ĐỘ MUA HÀNG'!$A:$AT, 0, XMATCH("Phân loại VTBB/NL", '6. TIẾN ĐỘ MUA HÀNG'!$A$4:$AT$4, 0)) &lt;&gt; ""))</f>
        <v>0</v>
      </c>
      <c r="R25" s="744">
        <f t="array" ref="R25">SUMPRODUCT(IFERROR(INDEX('6. TIẾN ĐỘ MUA HÀNG'!$A$5:$AT81, 0, XMATCH("Thành tiền đơn hàng", '6. TIẾN ĐỘ MUA HÀNG'!$A$4:$AT$4, 0)), 0) * (INDEX('6. TIẾN ĐỘ MUA HÀNG'!$A$5:$AT81, 0, XMATCH("Phân loại VTBB/NL", '6. TIẾN ĐỘ MUA HÀNG'!$A$4:$AT$4, 0)) = $B25) * (TRIM(INDEX('6. TIẾN ĐỘ MUA HÀNG'!$A$5:$AT81, 0, XMATCH("Tháng", '6. TIẾN ĐỘ MUA HÀNG'!$A$4:$AT$4, 0))) = TRIM(Q$6)))</f>
        <v>0</v>
      </c>
      <c r="S25" s="741">
        <f t="array" ref="S25">SUMPRODUCT((INDEX('6. TIẾN ĐỘ MUA HÀNG'!$A:$AT, 0, XMATCH("Phân loại VTBB/NL", '6. TIẾN ĐỘ MUA HÀNG'!$A$4:$AT$4, 0)) = $B25) * (TRIM(INDEX('6. TIẾN ĐỘ MUA HÀNG'!$A:$AT, 0, XMATCH("Tháng", '6. TIẾN ĐỘ MUA HÀNG'!$A$4:$AT$4, 0))) = TRIM($S$6)) * (INDEX('6. TIẾN ĐỘ MUA HÀNG'!$A:$AT, 0, XMATCH("Phân loại VTBB/NL", '6. TIẾN ĐỘ MUA HÀNG'!$A$4:$AT$4, 0)) &lt;&gt; ""))</f>
        <v>0</v>
      </c>
      <c r="T25" s="742">
        <f t="array" ref="T25">SUMPRODUCT(IFERROR(INDEX('6. TIẾN ĐỘ MUA HÀNG'!$A$5:$AT81, 0, XMATCH("Thành tiền đơn hàng", '6. TIẾN ĐỘ MUA HÀNG'!$A$4:$AT$4, 0)), 0) * (INDEX('6. TIẾN ĐỘ MUA HÀNG'!$A$5:$AT81, 0, XMATCH("Phân loại VTBB/NL", '6. TIẾN ĐỘ MUA HÀNG'!$A$4:$AT$4, 0)) = $B25) * (TRIM(INDEX('6. TIẾN ĐỘ MUA HÀNG'!$A$5:$AT81, 0, XMATCH("Tháng", '6. TIẾN ĐỘ MUA HÀNG'!$A$4:$AT$4, 0))) = TRIM(S$6)))</f>
        <v>0</v>
      </c>
      <c r="U25" s="743">
        <f t="array" ref="U25">SUMPRODUCT((INDEX('6. TIẾN ĐỘ MUA HÀNG'!$A:$AT, 0, XMATCH("Phân loại VTBB/NL", '6. TIẾN ĐỘ MUA HÀNG'!$A$4:$AT$4, 0)) = $B25) * (TRIM(INDEX('6. TIẾN ĐỘ MUA HÀNG'!$A:$AT, 0, XMATCH("Tháng", '6. TIẾN ĐỘ MUA HÀNG'!$A$4:$AT$4, 0))) = TRIM(U$6)) * (INDEX('6. TIẾN ĐỘ MUA HÀNG'!$A:$AT, 0, XMATCH("Phân loại VTBB/NL", '6. TIẾN ĐỘ MUA HÀNG'!$A$4:$AT$4, 0)) &lt;&gt; ""))</f>
        <v>0</v>
      </c>
      <c r="V25" s="744">
        <f t="array" ref="V25">SUMPRODUCT(IFERROR(INDEX('6. TIẾN ĐỘ MUA HÀNG'!$A$5:$AT81, 0, XMATCH("Thành tiền đơn hàng", '6. TIẾN ĐỘ MUA HÀNG'!$A$4:$AT$4, 0)), 0) * (INDEX('6. TIẾN ĐỘ MUA HÀNG'!$A$5:$AT81, 0, XMATCH("Phân loại VTBB/NL", '6. TIẾN ĐỘ MUA HÀNG'!$A$4:$AT$4, 0)) = $B25) * (TRIM(INDEX('6. TIẾN ĐỘ MUA HÀNG'!$A$5:$AT81, 0, XMATCH("Tháng", '6. TIẾN ĐỘ MUA HÀNG'!$A$4:$AT$4, 0))) = TRIM(U$6)))</f>
        <v>0</v>
      </c>
      <c r="W25" s="741">
        <f t="array" ref="W25">SUMPRODUCT((INDEX('6. TIẾN ĐỘ MUA HÀNG'!$A:$AT, 0, XMATCH("Phân loại VTBB/NL", '6. TIẾN ĐỘ MUA HÀNG'!$A$4:$AT$4, 0)) = $B25) * (TRIM(INDEX('6. TIẾN ĐỘ MUA HÀNG'!$A:$AT, 0, XMATCH("Tháng", '6. TIẾN ĐỘ MUA HÀNG'!$A$4:$AT$4, 0))) = TRIM($W$6)) * (INDEX('6. TIẾN ĐỘ MUA HÀNG'!$A:$AT, 0, XMATCH("Phân loại VTBB/NL", '6. TIẾN ĐỘ MUA HÀNG'!$A$4:$AT$4, 0)) &lt;&gt; ""))</f>
        <v>0</v>
      </c>
      <c r="X25" s="742">
        <f t="array" ref="X25">SUMPRODUCT(IFERROR(INDEX('6. TIẾN ĐỘ MUA HÀNG'!$A$5:$AT81, 0, XMATCH("Thành tiền đơn hàng", '6. TIẾN ĐỘ MUA HÀNG'!$A$4:$AT$4, 0)), 0) * (INDEX('6. TIẾN ĐỘ MUA HÀNG'!$A$5:$AT81, 0, XMATCH("Phân loại VTBB/NL", '6. TIẾN ĐỘ MUA HÀNG'!$A$4:$AT$4, 0)) = $B25) * (TRIM(INDEX('6. TIẾN ĐỘ MUA HÀNG'!$A$5:$AT81, 0, XMATCH("Tháng", '6. TIẾN ĐỘ MUA HÀNG'!$A$4:$AT$4, 0))) = TRIM(W$6)))</f>
        <v>0</v>
      </c>
      <c r="Y25" s="743">
        <f t="array" ref="Y25">SUMPRODUCT((INDEX('6. TIẾN ĐỘ MUA HÀNG'!$A:$AT, 0, XMATCH("Phân loại VTBB/NL", '6. TIẾN ĐỘ MUA HÀNG'!$A$4:$AT$4, 0)) = $B25) * (TRIM(INDEX('6. TIẾN ĐỘ MUA HÀNG'!$A:$AT, 0, XMATCH("Tháng", '6. TIẾN ĐỘ MUA HÀNG'!$A$4:$AT$4, 0))) = TRIM(Y$6)) * (INDEX('6. TIẾN ĐỘ MUA HÀNG'!$A:$AT, 0, XMATCH("Phân loại VTBB/NL", '6. TIẾN ĐỘ MUA HÀNG'!$A$4:$AT$4, 0)) &lt;&gt; ""))</f>
        <v>0</v>
      </c>
      <c r="Z25" s="744">
        <f t="array" ref="Z25">SUMPRODUCT(IFERROR(INDEX('6. TIẾN ĐỘ MUA HÀNG'!$A$5:$AT81, 0, XMATCH("Thành tiền đơn hàng", '6. TIẾN ĐỘ MUA HÀNG'!$A$4:$AT$4, 0)), 0) * (INDEX('6. TIẾN ĐỘ MUA HÀNG'!$A$5:$AT81, 0, XMATCH("Phân loại VTBB/NL", '6. TIẾN ĐỘ MUA HÀNG'!$A$4:$AT$4, 0)) = $B25) * (TRIM(INDEX('6. TIẾN ĐỘ MUA HÀNG'!$A$5:$AT81, 0, XMATCH("Tháng", '6. TIẾN ĐỘ MUA HÀNG'!$A$4:$AT$4, 0))) = TRIM(Y$6)))</f>
        <v>0</v>
      </c>
      <c r="AA25" s="726">
        <f t="shared" si="2"/>
        <v>0</v>
      </c>
      <c r="AB25" s="726">
        <f t="shared" si="3"/>
        <v>0</v>
      </c>
    </row>
    <row r="26">
      <c r="A26" s="612">
        <v>18.0</v>
      </c>
      <c r="B26" s="624" t="str">
        <f>IFERROR(__xludf.DUMMYFUNCTION("""COMPUTED_VALUE"""),"HDSD Antisol")</f>
        <v>HDSD Antisol</v>
      </c>
      <c r="C26" s="741">
        <f t="array" ref="C26">SUMPRODUCT((INDEX('6. TIẾN ĐỘ MUA HÀNG'!$A:$AT, 0, XMATCH("Phân loại VTBB/NL", '6. TIẾN ĐỘ MUA HÀNG'!$A$4:$AT$4, 0)) = $B26) * (TRIM(INDEX('6. TIẾN ĐỘ MUA HÀNG'!$A:$AT, 0, XMATCH("Tháng", '6. TIẾN ĐỘ MUA HÀNG'!$A$4:$AT$4, 0))) = TRIM($C$6)) * (INDEX('6. TIẾN ĐỘ MUA HÀNG'!$A:$AT, 0, XMATCH("Phân loại VTBB/NL", '6. TIẾN ĐỘ MUA HÀNG'!$A$4:$AT$4, 0)) &lt;&gt; ""))</f>
        <v>0</v>
      </c>
      <c r="D26" s="742">
        <f t="array" ref="D26">SUMPRODUCT(IFERROR(INDEX('6. TIẾN ĐỘ MUA HÀNG'!$A$5:$AT81, 0, XMATCH("Thành tiền đơn hàng", '6. TIẾN ĐỘ MUA HÀNG'!$A$4:$AT$4, 0)), 0) * (INDEX('6. TIẾN ĐỘ MUA HÀNG'!$A$5:$AT81, 0, XMATCH("Phân loại VTBB/NL", '6. TIẾN ĐỘ MUA HÀNG'!$A$4:$AT$4, 0)) = $B26) * (TRIM(INDEX('6. TIẾN ĐỘ MUA HÀNG'!$A$5:$AT81, 0, XMATCH("Tháng", '6. TIẾN ĐỘ MUA HÀNG'!$A$4:$AT$4, 0))) = TRIM(C$6)))</f>
        <v>0</v>
      </c>
      <c r="E26" s="743">
        <f t="array" ref="E26">SUMPRODUCT((INDEX('6. TIẾN ĐỘ MUA HÀNG'!$A:$AT, 0, XMATCH("Phân loại VTBB/NL", '6. TIẾN ĐỘ MUA HÀNG'!$A$4:$AT$4, 0)) = $B26) * (TRIM(INDEX('6. TIẾN ĐỘ MUA HÀNG'!$A:$AT, 0, XMATCH("Tháng", '6. TIẾN ĐỘ MUA HÀNG'!$A$4:$AT$4, 0))) = TRIM(E$6)) * (INDEX('6. TIẾN ĐỘ MUA HÀNG'!$A:$AT, 0, XMATCH("Phân loại VTBB/NL", '6. TIẾN ĐỘ MUA HÀNG'!$A$4:$AT$4, 0)) &lt;&gt; ""))</f>
        <v>0</v>
      </c>
      <c r="F26" s="744">
        <f t="array" ref="F26">SUMPRODUCT(IFERROR(INDEX('6. TIẾN ĐỘ MUA HÀNG'!$A$5:$AT81, 0, XMATCH("Thành tiền đơn hàng", '6. TIẾN ĐỘ MUA HÀNG'!$A$4:$AT$4, 0)), 0) * (INDEX('6. TIẾN ĐỘ MUA HÀNG'!$A$5:$AT81, 0, XMATCH("Phân loại VTBB/NL", '6. TIẾN ĐỘ MUA HÀNG'!$A$4:$AT$4, 0)) = $B26) * (TRIM(INDEX('6. TIẾN ĐỘ MUA HÀNG'!$A$5:$AT81, 0, XMATCH("Tháng", '6. TIẾN ĐỘ MUA HÀNG'!$A$4:$AT$4, 0))) = TRIM(E$6)))</f>
        <v>0</v>
      </c>
      <c r="G26" s="741">
        <f t="array" ref="G26">SUMPRODUCT((INDEX('6. TIẾN ĐỘ MUA HÀNG'!$A:$AT, 0, XMATCH("Phân loại VTBB/NL", '6. TIẾN ĐỘ MUA HÀNG'!$A$4:$AT$4, 0)) = $B26) * (TRIM(INDEX('6. TIẾN ĐỘ MUA HÀNG'!$A:$AT, 0, XMATCH("Tháng", '6. TIẾN ĐỘ MUA HÀNG'!$A$4:$AT$4, 0))) = TRIM($G$6)) * (INDEX('6. TIẾN ĐỘ MUA HÀNG'!$A:$AT, 0, XMATCH("Phân loại VTBB/NL", '6. TIẾN ĐỘ MUA HÀNG'!$A$4:$AT$4, 0)) &lt;&gt; ""))</f>
        <v>0</v>
      </c>
      <c r="H26" s="742">
        <f t="array" ref="H26">SUMPRODUCT(IFERROR(INDEX('6. TIẾN ĐỘ MUA HÀNG'!$A$5:$AT81, 0, XMATCH("Thành tiền đơn hàng", '6. TIẾN ĐỘ MUA HÀNG'!$A$4:$AT$4, 0)), 0) * (INDEX('6. TIẾN ĐỘ MUA HÀNG'!$A$5:$AT81, 0, XMATCH("Phân loại VTBB/NL", '6. TIẾN ĐỘ MUA HÀNG'!$A$4:$AT$4, 0)) = $B26) * (TRIM(INDEX('6. TIẾN ĐỘ MUA HÀNG'!$A$5:$AT81, 0, XMATCH("Tháng", '6. TIẾN ĐỘ MUA HÀNG'!$A$4:$AT$4, 0))) = TRIM(G$6)))</f>
        <v>0</v>
      </c>
      <c r="I26" s="743">
        <f t="array" ref="I26">SUMPRODUCT((INDEX('6. TIẾN ĐỘ MUA HÀNG'!$A:$AT, 0, XMATCH("Phân loại VTBB/NL", '6. TIẾN ĐỘ MUA HÀNG'!$A$4:$AT$4, 0)) = $B26) * (TRIM(INDEX('6. TIẾN ĐỘ MUA HÀNG'!$A:$AT, 0, XMATCH("Tháng", '6. TIẾN ĐỘ MUA HÀNG'!$A$4:$AT$4, 0))) = TRIM(I$6)) * (INDEX('6. TIẾN ĐỘ MUA HÀNG'!$A:$AT, 0, XMATCH("Phân loại VTBB/NL", '6. TIẾN ĐỘ MUA HÀNG'!$A$4:$AT$4, 0)) &lt;&gt; ""))</f>
        <v>0</v>
      </c>
      <c r="J26" s="744">
        <f t="array" ref="J26">SUMPRODUCT(IFERROR(INDEX('6. TIẾN ĐỘ MUA HÀNG'!$A$5:$AT81, 0, XMATCH("Thành tiền đơn hàng", '6. TIẾN ĐỘ MUA HÀNG'!$A$4:$AT$4, 0)), 0) * (INDEX('6. TIẾN ĐỘ MUA HÀNG'!$A$5:$AT81, 0, XMATCH("Phân loại VTBB/NL", '6. TIẾN ĐỘ MUA HÀNG'!$A$4:$AT$4, 0)) = $B26) * (TRIM(INDEX('6. TIẾN ĐỘ MUA HÀNG'!$A$5:$AT81, 0, XMATCH("Tháng", '6. TIẾN ĐỘ MUA HÀNG'!$A$4:$AT$4, 0))) = TRIM(I$6)))</f>
        <v>0</v>
      </c>
      <c r="K26" s="741">
        <f t="array" ref="K26">SUMPRODUCT((INDEX('6. TIẾN ĐỘ MUA HÀNG'!$A:$AT, 0, XMATCH("Phân loại VTBB/NL", '6. TIẾN ĐỘ MUA HÀNG'!$A$4:$AT$4, 0)) = $B26) * (TRIM(INDEX('6. TIẾN ĐỘ MUA HÀNG'!$A:$AT, 0, XMATCH("Tháng", '6. TIẾN ĐỘ MUA HÀNG'!$A$4:$AT$4, 0))) = TRIM($K$6)) * (INDEX('6. TIẾN ĐỘ MUA HÀNG'!$A:$AT, 0, XMATCH("Phân loại VTBB/NL", '6. TIẾN ĐỘ MUA HÀNG'!$A$4:$AT$4, 0)) &lt;&gt; ""))</f>
        <v>0</v>
      </c>
      <c r="L26" s="742">
        <f t="array" ref="L26">SUMPRODUCT(IFERROR(INDEX('6. TIẾN ĐỘ MUA HÀNG'!$A$5:$AT81, 0, XMATCH("Thành tiền đơn hàng", '6. TIẾN ĐỘ MUA HÀNG'!$A$4:$AT$4, 0)), 0) * (INDEX('6. TIẾN ĐỘ MUA HÀNG'!$A$5:$AT81, 0, XMATCH("Phân loại VTBB/NL", '6. TIẾN ĐỘ MUA HÀNG'!$A$4:$AT$4, 0)) = $B26) * (TRIM(INDEX('6. TIẾN ĐỘ MUA HÀNG'!$A$5:$AT81, 0, XMATCH("Tháng", '6. TIẾN ĐỘ MUA HÀNG'!$A$4:$AT$4, 0))) = TRIM(K$6)))</f>
        <v>0</v>
      </c>
      <c r="M26" s="743">
        <f t="array" ref="M26">SUMPRODUCT((INDEX('6. TIẾN ĐỘ MUA HÀNG'!$A:$AT, 0, XMATCH("Phân loại VTBB/NL", '6. TIẾN ĐỘ MUA HÀNG'!$A$4:$AT$4, 0)) = $B26) * (TRIM(INDEX('6. TIẾN ĐỘ MUA HÀNG'!$A:$AT, 0, XMATCH("Tháng", '6. TIẾN ĐỘ MUA HÀNG'!$A$4:$AT$4, 0))) = TRIM(M$6)) * (INDEX('6. TIẾN ĐỘ MUA HÀNG'!$A:$AT, 0, XMATCH("Phân loại VTBB/NL", '6. TIẾN ĐỘ MUA HÀNG'!$A$4:$AT$4, 0)) &lt;&gt; ""))</f>
        <v>0</v>
      </c>
      <c r="N26" s="744">
        <f t="array" ref="N26">SUMPRODUCT(IFERROR(INDEX('6. TIẾN ĐỘ MUA HÀNG'!$A$5:$AT81, 0, XMATCH("Thành tiền đơn hàng", '6. TIẾN ĐỘ MUA HÀNG'!$A$4:$AT$4, 0)), 0) * (INDEX('6. TIẾN ĐỘ MUA HÀNG'!$A$5:$AT81, 0, XMATCH("Phân loại VTBB/NL", '6. TIẾN ĐỘ MUA HÀNG'!$A$4:$AT$4, 0)) = $B26) * (TRIM(INDEX('6. TIẾN ĐỘ MUA HÀNG'!$A$5:$AT81, 0, XMATCH("Tháng", '6. TIẾN ĐỘ MUA HÀNG'!$A$4:$AT$4, 0))) = TRIM(M$6)))</f>
        <v>0</v>
      </c>
      <c r="O26" s="741">
        <f t="array" ref="O26">SUMPRODUCT((INDEX('6. TIẾN ĐỘ MUA HÀNG'!$A:$AT, 0, XMATCH("Phân loại VTBB/NL", '6. TIẾN ĐỘ MUA HÀNG'!$A$4:$AT$4, 0)) = $B26) * (TRIM(INDEX('6. TIẾN ĐỘ MUA HÀNG'!$A:$AT, 0, XMATCH("Tháng", '6. TIẾN ĐỘ MUA HÀNG'!$A$4:$AT$4, 0))) = TRIM($O$6)) * (INDEX('6. TIẾN ĐỘ MUA HÀNG'!$A:$AT, 0, XMATCH("Phân loại VTBB/NL", '6. TIẾN ĐỘ MUA HÀNG'!$A$4:$AT$4, 0)) &lt;&gt; ""))</f>
        <v>0</v>
      </c>
      <c r="P26" s="742">
        <f t="array" ref="P26">SUMPRODUCT(IFERROR(INDEX('6. TIẾN ĐỘ MUA HÀNG'!$A$5:$AT81, 0, XMATCH("Thành tiền đơn hàng", '6. TIẾN ĐỘ MUA HÀNG'!$A$4:$AT$4, 0)), 0) * (INDEX('6. TIẾN ĐỘ MUA HÀNG'!$A$5:$AT81, 0, XMATCH("Phân loại VTBB/NL", '6. TIẾN ĐỘ MUA HÀNG'!$A$4:$AT$4, 0)) = $B26) * (TRIM(INDEX('6. TIẾN ĐỘ MUA HÀNG'!$A$5:$AT81, 0, XMATCH("Tháng", '6. TIẾN ĐỘ MUA HÀNG'!$A$4:$AT$4, 0))) = TRIM(O$6)))</f>
        <v>0</v>
      </c>
      <c r="Q26" s="743">
        <f t="array" ref="Q26">SUMPRODUCT((INDEX('6. TIẾN ĐỘ MUA HÀNG'!$A:$AT, 0, XMATCH("Phân loại VTBB/NL", '6. TIẾN ĐỘ MUA HÀNG'!$A$4:$AT$4, 0)) = $B26) * (TRIM(INDEX('6. TIẾN ĐỘ MUA HÀNG'!$A:$AT, 0, XMATCH("Tháng", '6. TIẾN ĐỘ MUA HÀNG'!$A$4:$AT$4, 0))) = TRIM(Q$6)) * (INDEX('6. TIẾN ĐỘ MUA HÀNG'!$A:$AT, 0, XMATCH("Phân loại VTBB/NL", '6. TIẾN ĐỘ MUA HÀNG'!$A$4:$AT$4, 0)) &lt;&gt; ""))</f>
        <v>0</v>
      </c>
      <c r="R26" s="744">
        <f t="array" ref="R26">SUMPRODUCT(IFERROR(INDEX('6. TIẾN ĐỘ MUA HÀNG'!$A$5:$AT81, 0, XMATCH("Thành tiền đơn hàng", '6. TIẾN ĐỘ MUA HÀNG'!$A$4:$AT$4, 0)), 0) * (INDEX('6. TIẾN ĐỘ MUA HÀNG'!$A$5:$AT81, 0, XMATCH("Phân loại VTBB/NL", '6. TIẾN ĐỘ MUA HÀNG'!$A$4:$AT$4, 0)) = $B26) * (TRIM(INDEX('6. TIẾN ĐỘ MUA HÀNG'!$A$5:$AT81, 0, XMATCH("Tháng", '6. TIẾN ĐỘ MUA HÀNG'!$A$4:$AT$4, 0))) = TRIM(Q$6)))</f>
        <v>0</v>
      </c>
      <c r="S26" s="741">
        <f t="array" ref="S26">SUMPRODUCT((INDEX('6. TIẾN ĐỘ MUA HÀNG'!$A:$AT, 0, XMATCH("Phân loại VTBB/NL", '6. TIẾN ĐỘ MUA HÀNG'!$A$4:$AT$4, 0)) = $B26) * (TRIM(INDEX('6. TIẾN ĐỘ MUA HÀNG'!$A:$AT, 0, XMATCH("Tháng", '6. TIẾN ĐỘ MUA HÀNG'!$A$4:$AT$4, 0))) = TRIM($S$6)) * (INDEX('6. TIẾN ĐỘ MUA HÀNG'!$A:$AT, 0, XMATCH("Phân loại VTBB/NL", '6. TIẾN ĐỘ MUA HÀNG'!$A$4:$AT$4, 0)) &lt;&gt; ""))</f>
        <v>0</v>
      </c>
      <c r="T26" s="742">
        <f t="array" ref="T26">SUMPRODUCT(IFERROR(INDEX('6. TIẾN ĐỘ MUA HÀNG'!$A$5:$AT81, 0, XMATCH("Thành tiền đơn hàng", '6. TIẾN ĐỘ MUA HÀNG'!$A$4:$AT$4, 0)), 0) * (INDEX('6. TIẾN ĐỘ MUA HÀNG'!$A$5:$AT81, 0, XMATCH("Phân loại VTBB/NL", '6. TIẾN ĐỘ MUA HÀNG'!$A$4:$AT$4, 0)) = $B26) * (TRIM(INDEX('6. TIẾN ĐỘ MUA HÀNG'!$A$5:$AT81, 0, XMATCH("Tháng", '6. TIẾN ĐỘ MUA HÀNG'!$A$4:$AT$4, 0))) = TRIM(S$6)))</f>
        <v>0</v>
      </c>
      <c r="U26" s="743">
        <f t="array" ref="U26">SUMPRODUCT((INDEX('6. TIẾN ĐỘ MUA HÀNG'!$A:$AT, 0, XMATCH("Phân loại VTBB/NL", '6. TIẾN ĐỘ MUA HÀNG'!$A$4:$AT$4, 0)) = $B26) * (TRIM(INDEX('6. TIẾN ĐỘ MUA HÀNG'!$A:$AT, 0, XMATCH("Tháng", '6. TIẾN ĐỘ MUA HÀNG'!$A$4:$AT$4, 0))) = TRIM(U$6)) * (INDEX('6. TIẾN ĐỘ MUA HÀNG'!$A:$AT, 0, XMATCH("Phân loại VTBB/NL", '6. TIẾN ĐỘ MUA HÀNG'!$A$4:$AT$4, 0)) &lt;&gt; ""))</f>
        <v>0</v>
      </c>
      <c r="V26" s="744">
        <f t="array" ref="V26">SUMPRODUCT(IFERROR(INDEX('6. TIẾN ĐỘ MUA HÀNG'!$A$5:$AT81, 0, XMATCH("Thành tiền đơn hàng", '6. TIẾN ĐỘ MUA HÀNG'!$A$4:$AT$4, 0)), 0) * (INDEX('6. TIẾN ĐỘ MUA HÀNG'!$A$5:$AT81, 0, XMATCH("Phân loại VTBB/NL", '6. TIẾN ĐỘ MUA HÀNG'!$A$4:$AT$4, 0)) = $B26) * (TRIM(INDEX('6. TIẾN ĐỘ MUA HÀNG'!$A$5:$AT81, 0, XMATCH("Tháng", '6. TIẾN ĐỘ MUA HÀNG'!$A$4:$AT$4, 0))) = TRIM(U$6)))</f>
        <v>0</v>
      </c>
      <c r="W26" s="741">
        <f t="array" ref="W26">SUMPRODUCT((INDEX('6. TIẾN ĐỘ MUA HÀNG'!$A:$AT, 0, XMATCH("Phân loại VTBB/NL", '6. TIẾN ĐỘ MUA HÀNG'!$A$4:$AT$4, 0)) = $B26) * (TRIM(INDEX('6. TIẾN ĐỘ MUA HÀNG'!$A:$AT, 0, XMATCH("Tháng", '6. TIẾN ĐỘ MUA HÀNG'!$A$4:$AT$4, 0))) = TRIM($W$6)) * (INDEX('6. TIẾN ĐỘ MUA HÀNG'!$A:$AT, 0, XMATCH("Phân loại VTBB/NL", '6. TIẾN ĐỘ MUA HÀNG'!$A$4:$AT$4, 0)) &lt;&gt; ""))</f>
        <v>0</v>
      </c>
      <c r="X26" s="742">
        <f t="array" ref="X26">SUMPRODUCT(IFERROR(INDEX('6. TIẾN ĐỘ MUA HÀNG'!$A$5:$AT81, 0, XMATCH("Thành tiền đơn hàng", '6. TIẾN ĐỘ MUA HÀNG'!$A$4:$AT$4, 0)), 0) * (INDEX('6. TIẾN ĐỘ MUA HÀNG'!$A$5:$AT81, 0, XMATCH("Phân loại VTBB/NL", '6. TIẾN ĐỘ MUA HÀNG'!$A$4:$AT$4, 0)) = $B26) * (TRIM(INDEX('6. TIẾN ĐỘ MUA HÀNG'!$A$5:$AT81, 0, XMATCH("Tháng", '6. TIẾN ĐỘ MUA HÀNG'!$A$4:$AT$4, 0))) = TRIM(W$6)))</f>
        <v>0</v>
      </c>
      <c r="Y26" s="743">
        <f t="array" ref="Y26">SUMPRODUCT((INDEX('6. TIẾN ĐỘ MUA HÀNG'!$A:$AT, 0, XMATCH("Phân loại VTBB/NL", '6. TIẾN ĐỘ MUA HÀNG'!$A$4:$AT$4, 0)) = $B26) * (TRIM(INDEX('6. TIẾN ĐỘ MUA HÀNG'!$A:$AT, 0, XMATCH("Tháng", '6. TIẾN ĐỘ MUA HÀNG'!$A$4:$AT$4, 0))) = TRIM(Y$6)) * (INDEX('6. TIẾN ĐỘ MUA HÀNG'!$A:$AT, 0, XMATCH("Phân loại VTBB/NL", '6. TIẾN ĐỘ MUA HÀNG'!$A$4:$AT$4, 0)) &lt;&gt; ""))</f>
        <v>0</v>
      </c>
      <c r="Z26" s="744">
        <f t="array" ref="Z26">SUMPRODUCT(IFERROR(INDEX('6. TIẾN ĐỘ MUA HÀNG'!$A$5:$AT81, 0, XMATCH("Thành tiền đơn hàng", '6. TIẾN ĐỘ MUA HÀNG'!$A$4:$AT$4, 0)), 0) * (INDEX('6. TIẾN ĐỘ MUA HÀNG'!$A$5:$AT81, 0, XMATCH("Phân loại VTBB/NL", '6. TIẾN ĐỘ MUA HÀNG'!$A$4:$AT$4, 0)) = $B26) * (TRIM(INDEX('6. TIẾN ĐỘ MUA HÀNG'!$A$5:$AT81, 0, XMATCH("Tháng", '6. TIẾN ĐỘ MUA HÀNG'!$A$4:$AT$4, 0))) = TRIM(Y$6)))</f>
        <v>0</v>
      </c>
      <c r="AA26" s="726">
        <f t="shared" si="2"/>
        <v>0</v>
      </c>
      <c r="AB26" s="726">
        <f t="shared" si="3"/>
        <v>0</v>
      </c>
    </row>
    <row r="27">
      <c r="A27" s="612">
        <v>19.0</v>
      </c>
      <c r="B27" s="597" t="str">
        <f>IFERROR(__xludf.DUMMYFUNCTION("""COMPUTED_VALUE"""),"Tem phụ antisol")</f>
        <v>Tem phụ antisol</v>
      </c>
      <c r="C27" s="741">
        <f t="array" ref="C27">SUMPRODUCT((INDEX('6. TIẾN ĐỘ MUA HÀNG'!$A:$AT, 0, XMATCH("Phân loại VTBB/NL", '6. TIẾN ĐỘ MUA HÀNG'!$A$4:$AT$4, 0)) = $B27) * (TRIM(INDEX('6. TIẾN ĐỘ MUA HÀNG'!$A:$AT, 0, XMATCH("Tháng", '6. TIẾN ĐỘ MUA HÀNG'!$A$4:$AT$4, 0))) = TRIM($C$6)) * (INDEX('6. TIẾN ĐỘ MUA HÀNG'!$A:$AT, 0, XMATCH("Phân loại VTBB/NL", '6. TIẾN ĐỘ MUA HÀNG'!$A$4:$AT$4, 0)) &lt;&gt; ""))</f>
        <v>0</v>
      </c>
      <c r="D27" s="742">
        <f t="array" ref="D27">SUMPRODUCT(IFERROR(INDEX('6. TIẾN ĐỘ MUA HÀNG'!$A$5:$AT81, 0, XMATCH("Thành tiền đơn hàng", '6. TIẾN ĐỘ MUA HÀNG'!$A$4:$AT$4, 0)), 0) * (INDEX('6. TIẾN ĐỘ MUA HÀNG'!$A$5:$AT81, 0, XMATCH("Phân loại VTBB/NL", '6. TIẾN ĐỘ MUA HÀNG'!$A$4:$AT$4, 0)) = $B27) * (TRIM(INDEX('6. TIẾN ĐỘ MUA HÀNG'!$A$5:$AT81, 0, XMATCH("Tháng", '6. TIẾN ĐỘ MUA HÀNG'!$A$4:$AT$4, 0))) = TRIM(C$6)))</f>
        <v>0</v>
      </c>
      <c r="E27" s="743">
        <f t="array" ref="E27">SUMPRODUCT((INDEX('6. TIẾN ĐỘ MUA HÀNG'!$A:$AT, 0, XMATCH("Phân loại VTBB/NL", '6. TIẾN ĐỘ MUA HÀNG'!$A$4:$AT$4, 0)) = $B27) * (TRIM(INDEX('6. TIẾN ĐỘ MUA HÀNG'!$A:$AT, 0, XMATCH("Tháng", '6. TIẾN ĐỘ MUA HÀNG'!$A$4:$AT$4, 0))) = TRIM(E$6)) * (INDEX('6. TIẾN ĐỘ MUA HÀNG'!$A:$AT, 0, XMATCH("Phân loại VTBB/NL", '6. TIẾN ĐỘ MUA HÀNG'!$A$4:$AT$4, 0)) &lt;&gt; ""))</f>
        <v>0</v>
      </c>
      <c r="F27" s="744">
        <f t="array" ref="F27">SUMPRODUCT(IFERROR(INDEX('6. TIẾN ĐỘ MUA HÀNG'!$A$5:$AT81, 0, XMATCH("Thành tiền đơn hàng", '6. TIẾN ĐỘ MUA HÀNG'!$A$4:$AT$4, 0)), 0) * (INDEX('6. TIẾN ĐỘ MUA HÀNG'!$A$5:$AT81, 0, XMATCH("Phân loại VTBB/NL", '6. TIẾN ĐỘ MUA HÀNG'!$A$4:$AT$4, 0)) = $B27) * (TRIM(INDEX('6. TIẾN ĐỘ MUA HÀNG'!$A$5:$AT81, 0, XMATCH("Tháng", '6. TIẾN ĐỘ MUA HÀNG'!$A$4:$AT$4, 0))) = TRIM(E$6)))</f>
        <v>0</v>
      </c>
      <c r="G27" s="741">
        <f t="array" ref="G27">SUMPRODUCT((INDEX('6. TIẾN ĐỘ MUA HÀNG'!$A:$AT, 0, XMATCH("Phân loại VTBB/NL", '6. TIẾN ĐỘ MUA HÀNG'!$A$4:$AT$4, 0)) = $B27) * (TRIM(INDEX('6. TIẾN ĐỘ MUA HÀNG'!$A:$AT, 0, XMATCH("Tháng", '6. TIẾN ĐỘ MUA HÀNG'!$A$4:$AT$4, 0))) = TRIM($G$6)) * (INDEX('6. TIẾN ĐỘ MUA HÀNG'!$A:$AT, 0, XMATCH("Phân loại VTBB/NL", '6. TIẾN ĐỘ MUA HÀNG'!$A$4:$AT$4, 0)) &lt;&gt; ""))</f>
        <v>0</v>
      </c>
      <c r="H27" s="742">
        <f t="array" ref="H27">SUMPRODUCT(IFERROR(INDEX('6. TIẾN ĐỘ MUA HÀNG'!$A$5:$AT81, 0, XMATCH("Thành tiền đơn hàng", '6. TIẾN ĐỘ MUA HÀNG'!$A$4:$AT$4, 0)), 0) * (INDEX('6. TIẾN ĐỘ MUA HÀNG'!$A$5:$AT81, 0, XMATCH("Phân loại VTBB/NL", '6. TIẾN ĐỘ MUA HÀNG'!$A$4:$AT$4, 0)) = $B27) * (TRIM(INDEX('6. TIẾN ĐỘ MUA HÀNG'!$A$5:$AT81, 0, XMATCH("Tháng", '6. TIẾN ĐỘ MUA HÀNG'!$A$4:$AT$4, 0))) = TRIM(G$6)))</f>
        <v>0</v>
      </c>
      <c r="I27" s="743">
        <f t="array" ref="I27">SUMPRODUCT((INDEX('6. TIẾN ĐỘ MUA HÀNG'!$A:$AT, 0, XMATCH("Phân loại VTBB/NL", '6. TIẾN ĐỘ MUA HÀNG'!$A$4:$AT$4, 0)) = $B27) * (TRIM(INDEX('6. TIẾN ĐỘ MUA HÀNG'!$A:$AT, 0, XMATCH("Tháng", '6. TIẾN ĐỘ MUA HÀNG'!$A$4:$AT$4, 0))) = TRIM(I$6)) * (INDEX('6. TIẾN ĐỘ MUA HÀNG'!$A:$AT, 0, XMATCH("Phân loại VTBB/NL", '6. TIẾN ĐỘ MUA HÀNG'!$A$4:$AT$4, 0)) &lt;&gt; ""))</f>
        <v>0</v>
      </c>
      <c r="J27" s="744">
        <f t="array" ref="J27">SUMPRODUCT(IFERROR(INDEX('6. TIẾN ĐỘ MUA HÀNG'!$A$5:$AT81, 0, XMATCH("Thành tiền đơn hàng", '6. TIẾN ĐỘ MUA HÀNG'!$A$4:$AT$4, 0)), 0) * (INDEX('6. TIẾN ĐỘ MUA HÀNG'!$A$5:$AT81, 0, XMATCH("Phân loại VTBB/NL", '6. TIẾN ĐỘ MUA HÀNG'!$A$4:$AT$4, 0)) = $B27) * (TRIM(INDEX('6. TIẾN ĐỘ MUA HÀNG'!$A$5:$AT81, 0, XMATCH("Tháng", '6. TIẾN ĐỘ MUA HÀNG'!$A$4:$AT$4, 0))) = TRIM(I$6)))</f>
        <v>0</v>
      </c>
      <c r="K27" s="741">
        <f t="array" ref="K27">SUMPRODUCT((INDEX('6. TIẾN ĐỘ MUA HÀNG'!$A:$AT, 0, XMATCH("Phân loại VTBB/NL", '6. TIẾN ĐỘ MUA HÀNG'!$A$4:$AT$4, 0)) = $B27) * (TRIM(INDEX('6. TIẾN ĐỘ MUA HÀNG'!$A:$AT, 0, XMATCH("Tháng", '6. TIẾN ĐỘ MUA HÀNG'!$A$4:$AT$4, 0))) = TRIM($K$6)) * (INDEX('6. TIẾN ĐỘ MUA HÀNG'!$A:$AT, 0, XMATCH("Phân loại VTBB/NL", '6. TIẾN ĐỘ MUA HÀNG'!$A$4:$AT$4, 0)) &lt;&gt; ""))</f>
        <v>0</v>
      </c>
      <c r="L27" s="742">
        <f t="array" ref="L27">SUMPRODUCT(IFERROR(INDEX('6. TIẾN ĐỘ MUA HÀNG'!$A$5:$AT81, 0, XMATCH("Thành tiền đơn hàng", '6. TIẾN ĐỘ MUA HÀNG'!$A$4:$AT$4, 0)), 0) * (INDEX('6. TIẾN ĐỘ MUA HÀNG'!$A$5:$AT81, 0, XMATCH("Phân loại VTBB/NL", '6. TIẾN ĐỘ MUA HÀNG'!$A$4:$AT$4, 0)) = $B27) * (TRIM(INDEX('6. TIẾN ĐỘ MUA HÀNG'!$A$5:$AT81, 0, XMATCH("Tháng", '6. TIẾN ĐỘ MUA HÀNG'!$A$4:$AT$4, 0))) = TRIM(K$6)))</f>
        <v>0</v>
      </c>
      <c r="M27" s="743">
        <f t="array" ref="M27">SUMPRODUCT((INDEX('6. TIẾN ĐỘ MUA HÀNG'!$A:$AT, 0, XMATCH("Phân loại VTBB/NL", '6. TIẾN ĐỘ MUA HÀNG'!$A$4:$AT$4, 0)) = $B27) * (TRIM(INDEX('6. TIẾN ĐỘ MUA HÀNG'!$A:$AT, 0, XMATCH("Tháng", '6. TIẾN ĐỘ MUA HÀNG'!$A$4:$AT$4, 0))) = TRIM(M$6)) * (INDEX('6. TIẾN ĐỘ MUA HÀNG'!$A:$AT, 0, XMATCH("Phân loại VTBB/NL", '6. TIẾN ĐỘ MUA HÀNG'!$A$4:$AT$4, 0)) &lt;&gt; ""))</f>
        <v>0</v>
      </c>
      <c r="N27" s="744">
        <f t="array" ref="N27">SUMPRODUCT(IFERROR(INDEX('6. TIẾN ĐỘ MUA HÀNG'!$A$5:$AT81, 0, XMATCH("Thành tiền đơn hàng", '6. TIẾN ĐỘ MUA HÀNG'!$A$4:$AT$4, 0)), 0) * (INDEX('6. TIẾN ĐỘ MUA HÀNG'!$A$5:$AT81, 0, XMATCH("Phân loại VTBB/NL", '6. TIẾN ĐỘ MUA HÀNG'!$A$4:$AT$4, 0)) = $B27) * (TRIM(INDEX('6. TIẾN ĐỘ MUA HÀNG'!$A$5:$AT81, 0, XMATCH("Tháng", '6. TIẾN ĐỘ MUA HÀNG'!$A$4:$AT$4, 0))) = TRIM(M$6)))</f>
        <v>0</v>
      </c>
      <c r="O27" s="741">
        <f t="array" ref="O27">SUMPRODUCT((INDEX('6. TIẾN ĐỘ MUA HÀNG'!$A:$AT, 0, XMATCH("Phân loại VTBB/NL", '6. TIẾN ĐỘ MUA HÀNG'!$A$4:$AT$4, 0)) = $B27) * (TRIM(INDEX('6. TIẾN ĐỘ MUA HÀNG'!$A:$AT, 0, XMATCH("Tháng", '6. TIẾN ĐỘ MUA HÀNG'!$A$4:$AT$4, 0))) = TRIM($O$6)) * (INDEX('6. TIẾN ĐỘ MUA HÀNG'!$A:$AT, 0, XMATCH("Phân loại VTBB/NL", '6. TIẾN ĐỘ MUA HÀNG'!$A$4:$AT$4, 0)) &lt;&gt; ""))</f>
        <v>0</v>
      </c>
      <c r="P27" s="742">
        <f t="array" ref="P27">SUMPRODUCT(IFERROR(INDEX('6. TIẾN ĐỘ MUA HÀNG'!$A$5:$AT81, 0, XMATCH("Thành tiền đơn hàng", '6. TIẾN ĐỘ MUA HÀNG'!$A$4:$AT$4, 0)), 0) * (INDEX('6. TIẾN ĐỘ MUA HÀNG'!$A$5:$AT81, 0, XMATCH("Phân loại VTBB/NL", '6. TIẾN ĐỘ MUA HÀNG'!$A$4:$AT$4, 0)) = $B27) * (TRIM(INDEX('6. TIẾN ĐỘ MUA HÀNG'!$A$5:$AT81, 0, XMATCH("Tháng", '6. TIẾN ĐỘ MUA HÀNG'!$A$4:$AT$4, 0))) = TRIM(O$6)))</f>
        <v>0</v>
      </c>
      <c r="Q27" s="743">
        <f t="array" ref="Q27">SUMPRODUCT((INDEX('6. TIẾN ĐỘ MUA HÀNG'!$A:$AT, 0, XMATCH("Phân loại VTBB/NL", '6. TIẾN ĐỘ MUA HÀNG'!$A$4:$AT$4, 0)) = $B27) * (TRIM(INDEX('6. TIẾN ĐỘ MUA HÀNG'!$A:$AT, 0, XMATCH("Tháng", '6. TIẾN ĐỘ MUA HÀNG'!$A$4:$AT$4, 0))) = TRIM(Q$6)) * (INDEX('6. TIẾN ĐỘ MUA HÀNG'!$A:$AT, 0, XMATCH("Phân loại VTBB/NL", '6. TIẾN ĐỘ MUA HÀNG'!$A$4:$AT$4, 0)) &lt;&gt; ""))</f>
        <v>0</v>
      </c>
      <c r="R27" s="744">
        <f t="array" ref="R27">SUMPRODUCT(IFERROR(INDEX('6. TIẾN ĐỘ MUA HÀNG'!$A$5:$AT81, 0, XMATCH("Thành tiền đơn hàng", '6. TIẾN ĐỘ MUA HÀNG'!$A$4:$AT$4, 0)), 0) * (INDEX('6. TIẾN ĐỘ MUA HÀNG'!$A$5:$AT81, 0, XMATCH("Phân loại VTBB/NL", '6. TIẾN ĐỘ MUA HÀNG'!$A$4:$AT$4, 0)) = $B27) * (TRIM(INDEX('6. TIẾN ĐỘ MUA HÀNG'!$A$5:$AT81, 0, XMATCH("Tháng", '6. TIẾN ĐỘ MUA HÀNG'!$A$4:$AT$4, 0))) = TRIM(Q$6)))</f>
        <v>0</v>
      </c>
      <c r="S27" s="741">
        <f t="array" ref="S27">SUMPRODUCT((INDEX('6. TIẾN ĐỘ MUA HÀNG'!$A:$AT, 0, XMATCH("Phân loại VTBB/NL", '6. TIẾN ĐỘ MUA HÀNG'!$A$4:$AT$4, 0)) = $B27) * (TRIM(INDEX('6. TIẾN ĐỘ MUA HÀNG'!$A:$AT, 0, XMATCH("Tháng", '6. TIẾN ĐỘ MUA HÀNG'!$A$4:$AT$4, 0))) = TRIM($S$6)) * (INDEX('6. TIẾN ĐỘ MUA HÀNG'!$A:$AT, 0, XMATCH("Phân loại VTBB/NL", '6. TIẾN ĐỘ MUA HÀNG'!$A$4:$AT$4, 0)) &lt;&gt; ""))</f>
        <v>0</v>
      </c>
      <c r="T27" s="742">
        <f t="array" ref="T27">SUMPRODUCT(IFERROR(INDEX('6. TIẾN ĐỘ MUA HÀNG'!$A$5:$AT81, 0, XMATCH("Thành tiền đơn hàng", '6. TIẾN ĐỘ MUA HÀNG'!$A$4:$AT$4, 0)), 0) * (INDEX('6. TIẾN ĐỘ MUA HÀNG'!$A$5:$AT81, 0, XMATCH("Phân loại VTBB/NL", '6. TIẾN ĐỘ MUA HÀNG'!$A$4:$AT$4, 0)) = $B27) * (TRIM(INDEX('6. TIẾN ĐỘ MUA HÀNG'!$A$5:$AT81, 0, XMATCH("Tháng", '6. TIẾN ĐỘ MUA HÀNG'!$A$4:$AT$4, 0))) = TRIM(S$6)))</f>
        <v>0</v>
      </c>
      <c r="U27" s="743">
        <f t="array" ref="U27">SUMPRODUCT((INDEX('6. TIẾN ĐỘ MUA HÀNG'!$A:$AT, 0, XMATCH("Phân loại VTBB/NL", '6. TIẾN ĐỘ MUA HÀNG'!$A$4:$AT$4, 0)) = $B27) * (TRIM(INDEX('6. TIẾN ĐỘ MUA HÀNG'!$A:$AT, 0, XMATCH("Tháng", '6. TIẾN ĐỘ MUA HÀNG'!$A$4:$AT$4, 0))) = TRIM(U$6)) * (INDEX('6. TIẾN ĐỘ MUA HÀNG'!$A:$AT, 0, XMATCH("Phân loại VTBB/NL", '6. TIẾN ĐỘ MUA HÀNG'!$A$4:$AT$4, 0)) &lt;&gt; ""))</f>
        <v>0</v>
      </c>
      <c r="V27" s="744">
        <f t="array" ref="V27">SUMPRODUCT(IFERROR(INDEX('6. TIẾN ĐỘ MUA HÀNG'!$A$5:$AT81, 0, XMATCH("Thành tiền đơn hàng", '6. TIẾN ĐỘ MUA HÀNG'!$A$4:$AT$4, 0)), 0) * (INDEX('6. TIẾN ĐỘ MUA HÀNG'!$A$5:$AT81, 0, XMATCH("Phân loại VTBB/NL", '6. TIẾN ĐỘ MUA HÀNG'!$A$4:$AT$4, 0)) = $B27) * (TRIM(INDEX('6. TIẾN ĐỘ MUA HÀNG'!$A$5:$AT81, 0, XMATCH("Tháng", '6. TIẾN ĐỘ MUA HÀNG'!$A$4:$AT$4, 0))) = TRIM(U$6)))</f>
        <v>0</v>
      </c>
      <c r="W27" s="741">
        <f t="array" ref="W27">SUMPRODUCT((INDEX('6. TIẾN ĐỘ MUA HÀNG'!$A:$AT, 0, XMATCH("Phân loại VTBB/NL", '6. TIẾN ĐỘ MUA HÀNG'!$A$4:$AT$4, 0)) = $B27) * (TRIM(INDEX('6. TIẾN ĐỘ MUA HÀNG'!$A:$AT, 0, XMATCH("Tháng", '6. TIẾN ĐỘ MUA HÀNG'!$A$4:$AT$4, 0))) = TRIM($W$6)) * (INDEX('6. TIẾN ĐỘ MUA HÀNG'!$A:$AT, 0, XMATCH("Phân loại VTBB/NL", '6. TIẾN ĐỘ MUA HÀNG'!$A$4:$AT$4, 0)) &lt;&gt; ""))</f>
        <v>0</v>
      </c>
      <c r="X27" s="742">
        <f t="array" ref="X27">SUMPRODUCT(IFERROR(INDEX('6. TIẾN ĐỘ MUA HÀNG'!$A$5:$AT81, 0, XMATCH("Thành tiền đơn hàng", '6. TIẾN ĐỘ MUA HÀNG'!$A$4:$AT$4, 0)), 0) * (INDEX('6. TIẾN ĐỘ MUA HÀNG'!$A$5:$AT81, 0, XMATCH("Phân loại VTBB/NL", '6. TIẾN ĐỘ MUA HÀNG'!$A$4:$AT$4, 0)) = $B27) * (TRIM(INDEX('6. TIẾN ĐỘ MUA HÀNG'!$A$5:$AT81, 0, XMATCH("Tháng", '6. TIẾN ĐỘ MUA HÀNG'!$A$4:$AT$4, 0))) = TRIM(W$6)))</f>
        <v>0</v>
      </c>
      <c r="Y27" s="743">
        <f t="array" ref="Y27">SUMPRODUCT((INDEX('6. TIẾN ĐỘ MUA HÀNG'!$A:$AT, 0, XMATCH("Phân loại VTBB/NL", '6. TIẾN ĐỘ MUA HÀNG'!$A$4:$AT$4, 0)) = $B27) * (TRIM(INDEX('6. TIẾN ĐỘ MUA HÀNG'!$A:$AT, 0, XMATCH("Tháng", '6. TIẾN ĐỘ MUA HÀNG'!$A$4:$AT$4, 0))) = TRIM(Y$6)) * (INDEX('6. TIẾN ĐỘ MUA HÀNG'!$A:$AT, 0, XMATCH("Phân loại VTBB/NL", '6. TIẾN ĐỘ MUA HÀNG'!$A$4:$AT$4, 0)) &lt;&gt; ""))</f>
        <v>0</v>
      </c>
      <c r="Z27" s="744">
        <f t="array" ref="Z27">SUMPRODUCT(IFERROR(INDEX('6. TIẾN ĐỘ MUA HÀNG'!$A$5:$AT81, 0, XMATCH("Thành tiền đơn hàng", '6. TIẾN ĐỘ MUA HÀNG'!$A$4:$AT$4, 0)), 0) * (INDEX('6. TIẾN ĐỘ MUA HÀNG'!$A$5:$AT81, 0, XMATCH("Phân loại VTBB/NL", '6. TIẾN ĐỘ MUA HÀNG'!$A$4:$AT$4, 0)) = $B27) * (TRIM(INDEX('6. TIẾN ĐỘ MUA HÀNG'!$A$5:$AT81, 0, XMATCH("Tháng", '6. TIẾN ĐỘ MUA HÀNG'!$A$4:$AT$4, 0))) = TRIM(Y$6)))</f>
        <v>0</v>
      </c>
      <c r="AA27" s="726">
        <f t="shared" si="2"/>
        <v>0</v>
      </c>
      <c r="AB27" s="726">
        <f t="shared" si="3"/>
        <v>0</v>
      </c>
    </row>
    <row r="28">
      <c r="A28" s="612">
        <v>20.0</v>
      </c>
      <c r="B28" s="597" t="str">
        <f>IFERROR(__xludf.DUMMYFUNCTION("""COMPUTED_VALUE"""),"Tem chống hàng giả")</f>
        <v>Tem chống hàng giả</v>
      </c>
      <c r="C28" s="741">
        <f t="array" ref="C28">SUMPRODUCT((INDEX('6. TIẾN ĐỘ MUA HÀNG'!$A:$AT, 0, XMATCH("Phân loại VTBB/NL", '6. TIẾN ĐỘ MUA HÀNG'!$A$4:$AT$4, 0)) = $B28) * (TRIM(INDEX('6. TIẾN ĐỘ MUA HÀNG'!$A:$AT, 0, XMATCH("Tháng", '6. TIẾN ĐỘ MUA HÀNG'!$A$4:$AT$4, 0))) = TRIM($C$6)) * (INDEX('6. TIẾN ĐỘ MUA HÀNG'!$A:$AT, 0, XMATCH("Phân loại VTBB/NL", '6. TIẾN ĐỘ MUA HÀNG'!$A$4:$AT$4, 0)) &lt;&gt; ""))</f>
        <v>0</v>
      </c>
      <c r="D28" s="742">
        <f t="array" ref="D28">SUMPRODUCT(IFERROR(INDEX('6. TIẾN ĐỘ MUA HÀNG'!$A$5:$AT81, 0, XMATCH("Thành tiền đơn hàng", '6. TIẾN ĐỘ MUA HÀNG'!$A$4:$AT$4, 0)), 0) * (INDEX('6. TIẾN ĐỘ MUA HÀNG'!$A$5:$AT81, 0, XMATCH("Phân loại VTBB/NL", '6. TIẾN ĐỘ MUA HÀNG'!$A$4:$AT$4, 0)) = $B28) * (TRIM(INDEX('6. TIẾN ĐỘ MUA HÀNG'!$A$5:$AT81, 0, XMATCH("Tháng", '6. TIẾN ĐỘ MUA HÀNG'!$A$4:$AT$4, 0))) = TRIM(C$6)))</f>
        <v>0</v>
      </c>
      <c r="E28" s="743">
        <f t="array" ref="E28">SUMPRODUCT((INDEX('6. TIẾN ĐỘ MUA HÀNG'!$A:$AT, 0, XMATCH("Phân loại VTBB/NL", '6. TIẾN ĐỘ MUA HÀNG'!$A$4:$AT$4, 0)) = $B28) * (TRIM(INDEX('6. TIẾN ĐỘ MUA HÀNG'!$A:$AT, 0, XMATCH("Tháng", '6. TIẾN ĐỘ MUA HÀNG'!$A$4:$AT$4, 0))) = TRIM(E$6)) * (INDEX('6. TIẾN ĐỘ MUA HÀNG'!$A:$AT, 0, XMATCH("Phân loại VTBB/NL", '6. TIẾN ĐỘ MUA HÀNG'!$A$4:$AT$4, 0)) &lt;&gt; ""))</f>
        <v>0</v>
      </c>
      <c r="F28" s="744">
        <f t="array" ref="F28">SUMPRODUCT(IFERROR(INDEX('6. TIẾN ĐỘ MUA HÀNG'!$A$5:$AT81, 0, XMATCH("Thành tiền đơn hàng", '6. TIẾN ĐỘ MUA HÀNG'!$A$4:$AT$4, 0)), 0) * (INDEX('6. TIẾN ĐỘ MUA HÀNG'!$A$5:$AT81, 0, XMATCH("Phân loại VTBB/NL", '6. TIẾN ĐỘ MUA HÀNG'!$A$4:$AT$4, 0)) = $B28) * (TRIM(INDEX('6. TIẾN ĐỘ MUA HÀNG'!$A$5:$AT81, 0, XMATCH("Tháng", '6. TIẾN ĐỘ MUA HÀNG'!$A$4:$AT$4, 0))) = TRIM(E$6)))</f>
        <v>0</v>
      </c>
      <c r="G28" s="741">
        <f t="array" ref="G28">SUMPRODUCT((INDEX('6. TIẾN ĐỘ MUA HÀNG'!$A:$AT, 0, XMATCH("Phân loại VTBB/NL", '6. TIẾN ĐỘ MUA HÀNG'!$A$4:$AT$4, 0)) = $B28) * (TRIM(INDEX('6. TIẾN ĐỘ MUA HÀNG'!$A:$AT, 0, XMATCH("Tháng", '6. TIẾN ĐỘ MUA HÀNG'!$A$4:$AT$4, 0))) = TRIM($G$6)) * (INDEX('6. TIẾN ĐỘ MUA HÀNG'!$A:$AT, 0, XMATCH("Phân loại VTBB/NL", '6. TIẾN ĐỘ MUA HÀNG'!$A$4:$AT$4, 0)) &lt;&gt; ""))</f>
        <v>0</v>
      </c>
      <c r="H28" s="742">
        <f t="array" ref="H28">SUMPRODUCT(IFERROR(INDEX('6. TIẾN ĐỘ MUA HÀNG'!$A$5:$AT81, 0, XMATCH("Thành tiền đơn hàng", '6. TIẾN ĐỘ MUA HÀNG'!$A$4:$AT$4, 0)), 0) * (INDEX('6. TIẾN ĐỘ MUA HÀNG'!$A$5:$AT81, 0, XMATCH("Phân loại VTBB/NL", '6. TIẾN ĐỘ MUA HÀNG'!$A$4:$AT$4, 0)) = $B28) * (TRIM(INDEX('6. TIẾN ĐỘ MUA HÀNG'!$A$5:$AT81, 0, XMATCH("Tháng", '6. TIẾN ĐỘ MUA HÀNG'!$A$4:$AT$4, 0))) = TRIM(G$6)))</f>
        <v>0</v>
      </c>
      <c r="I28" s="743">
        <f t="array" ref="I28">SUMPRODUCT((INDEX('6. TIẾN ĐỘ MUA HÀNG'!$A:$AT, 0, XMATCH("Phân loại VTBB/NL", '6. TIẾN ĐỘ MUA HÀNG'!$A$4:$AT$4, 0)) = $B28) * (TRIM(INDEX('6. TIẾN ĐỘ MUA HÀNG'!$A:$AT, 0, XMATCH("Tháng", '6. TIẾN ĐỘ MUA HÀNG'!$A$4:$AT$4, 0))) = TRIM(I$6)) * (INDEX('6. TIẾN ĐỘ MUA HÀNG'!$A:$AT, 0, XMATCH("Phân loại VTBB/NL", '6. TIẾN ĐỘ MUA HÀNG'!$A$4:$AT$4, 0)) &lt;&gt; ""))</f>
        <v>0</v>
      </c>
      <c r="J28" s="744">
        <f t="array" ref="J28">SUMPRODUCT(IFERROR(INDEX('6. TIẾN ĐỘ MUA HÀNG'!$A$5:$AT81, 0, XMATCH("Thành tiền đơn hàng", '6. TIẾN ĐỘ MUA HÀNG'!$A$4:$AT$4, 0)), 0) * (INDEX('6. TIẾN ĐỘ MUA HÀNG'!$A$5:$AT81, 0, XMATCH("Phân loại VTBB/NL", '6. TIẾN ĐỘ MUA HÀNG'!$A$4:$AT$4, 0)) = $B28) * (TRIM(INDEX('6. TIẾN ĐỘ MUA HÀNG'!$A$5:$AT81, 0, XMATCH("Tháng", '6. TIẾN ĐỘ MUA HÀNG'!$A$4:$AT$4, 0))) = TRIM(I$6)))</f>
        <v>0</v>
      </c>
      <c r="K28" s="741">
        <f t="array" ref="K28">SUMPRODUCT((INDEX('6. TIẾN ĐỘ MUA HÀNG'!$A:$AT, 0, XMATCH("Phân loại VTBB/NL", '6. TIẾN ĐỘ MUA HÀNG'!$A$4:$AT$4, 0)) = $B28) * (TRIM(INDEX('6. TIẾN ĐỘ MUA HÀNG'!$A:$AT, 0, XMATCH("Tháng", '6. TIẾN ĐỘ MUA HÀNG'!$A$4:$AT$4, 0))) = TRIM($K$6)) * (INDEX('6. TIẾN ĐỘ MUA HÀNG'!$A:$AT, 0, XMATCH("Phân loại VTBB/NL", '6. TIẾN ĐỘ MUA HÀNG'!$A$4:$AT$4, 0)) &lt;&gt; ""))</f>
        <v>0</v>
      </c>
      <c r="L28" s="742">
        <f t="array" ref="L28">SUMPRODUCT(IFERROR(INDEX('6. TIẾN ĐỘ MUA HÀNG'!$A$5:$AT81, 0, XMATCH("Thành tiền đơn hàng", '6. TIẾN ĐỘ MUA HÀNG'!$A$4:$AT$4, 0)), 0) * (INDEX('6. TIẾN ĐỘ MUA HÀNG'!$A$5:$AT81, 0, XMATCH("Phân loại VTBB/NL", '6. TIẾN ĐỘ MUA HÀNG'!$A$4:$AT$4, 0)) = $B28) * (TRIM(INDEX('6. TIẾN ĐỘ MUA HÀNG'!$A$5:$AT81, 0, XMATCH("Tháng", '6. TIẾN ĐỘ MUA HÀNG'!$A$4:$AT$4, 0))) = TRIM(K$6)))</f>
        <v>0</v>
      </c>
      <c r="M28" s="743">
        <f t="array" ref="M28">SUMPRODUCT((INDEX('6. TIẾN ĐỘ MUA HÀNG'!$A:$AT, 0, XMATCH("Phân loại VTBB/NL", '6. TIẾN ĐỘ MUA HÀNG'!$A$4:$AT$4, 0)) = $B28) * (TRIM(INDEX('6. TIẾN ĐỘ MUA HÀNG'!$A:$AT, 0, XMATCH("Tháng", '6. TIẾN ĐỘ MUA HÀNG'!$A$4:$AT$4, 0))) = TRIM(M$6)) * (INDEX('6. TIẾN ĐỘ MUA HÀNG'!$A:$AT, 0, XMATCH("Phân loại VTBB/NL", '6. TIẾN ĐỘ MUA HÀNG'!$A$4:$AT$4, 0)) &lt;&gt; ""))</f>
        <v>0</v>
      </c>
      <c r="N28" s="744">
        <f t="array" ref="N28">SUMPRODUCT(IFERROR(INDEX('6. TIẾN ĐỘ MUA HÀNG'!$A$5:$AT81, 0, XMATCH("Thành tiền đơn hàng", '6. TIẾN ĐỘ MUA HÀNG'!$A$4:$AT$4, 0)), 0) * (INDEX('6. TIẾN ĐỘ MUA HÀNG'!$A$5:$AT81, 0, XMATCH("Phân loại VTBB/NL", '6. TIẾN ĐỘ MUA HÀNG'!$A$4:$AT$4, 0)) = $B28) * (TRIM(INDEX('6. TIẾN ĐỘ MUA HÀNG'!$A$5:$AT81, 0, XMATCH("Tháng", '6. TIẾN ĐỘ MUA HÀNG'!$A$4:$AT$4, 0))) = TRIM(M$6)))</f>
        <v>0</v>
      </c>
      <c r="O28" s="741">
        <f t="array" ref="O28">SUMPRODUCT((INDEX('6. TIẾN ĐỘ MUA HÀNG'!$A:$AT, 0, XMATCH("Phân loại VTBB/NL", '6. TIẾN ĐỘ MUA HÀNG'!$A$4:$AT$4, 0)) = $B28) * (TRIM(INDEX('6. TIẾN ĐỘ MUA HÀNG'!$A:$AT, 0, XMATCH("Tháng", '6. TIẾN ĐỘ MUA HÀNG'!$A$4:$AT$4, 0))) = TRIM($O$6)) * (INDEX('6. TIẾN ĐỘ MUA HÀNG'!$A:$AT, 0, XMATCH("Phân loại VTBB/NL", '6. TIẾN ĐỘ MUA HÀNG'!$A$4:$AT$4, 0)) &lt;&gt; ""))</f>
        <v>0</v>
      </c>
      <c r="P28" s="742">
        <f t="array" ref="P28">SUMPRODUCT(IFERROR(INDEX('6. TIẾN ĐỘ MUA HÀNG'!$A$5:$AT81, 0, XMATCH("Thành tiền đơn hàng", '6. TIẾN ĐỘ MUA HÀNG'!$A$4:$AT$4, 0)), 0) * (INDEX('6. TIẾN ĐỘ MUA HÀNG'!$A$5:$AT81, 0, XMATCH("Phân loại VTBB/NL", '6. TIẾN ĐỘ MUA HÀNG'!$A$4:$AT$4, 0)) = $B28) * (TRIM(INDEX('6. TIẾN ĐỘ MUA HÀNG'!$A$5:$AT81, 0, XMATCH("Tháng", '6. TIẾN ĐỘ MUA HÀNG'!$A$4:$AT$4, 0))) = TRIM(O$6)))</f>
        <v>0</v>
      </c>
      <c r="Q28" s="743">
        <f t="array" ref="Q28">SUMPRODUCT((INDEX('6. TIẾN ĐỘ MUA HÀNG'!$A:$AT, 0, XMATCH("Phân loại VTBB/NL", '6. TIẾN ĐỘ MUA HÀNG'!$A$4:$AT$4, 0)) = $B28) * (TRIM(INDEX('6. TIẾN ĐỘ MUA HÀNG'!$A:$AT, 0, XMATCH("Tháng", '6. TIẾN ĐỘ MUA HÀNG'!$A$4:$AT$4, 0))) = TRIM(Q$6)) * (INDEX('6. TIẾN ĐỘ MUA HÀNG'!$A:$AT, 0, XMATCH("Phân loại VTBB/NL", '6. TIẾN ĐỘ MUA HÀNG'!$A$4:$AT$4, 0)) &lt;&gt; ""))</f>
        <v>0</v>
      </c>
      <c r="R28" s="744">
        <f t="array" ref="R28">SUMPRODUCT(IFERROR(INDEX('6. TIẾN ĐỘ MUA HÀNG'!$A$5:$AT81, 0, XMATCH("Thành tiền đơn hàng", '6. TIẾN ĐỘ MUA HÀNG'!$A$4:$AT$4, 0)), 0) * (INDEX('6. TIẾN ĐỘ MUA HÀNG'!$A$5:$AT81, 0, XMATCH("Phân loại VTBB/NL", '6. TIẾN ĐỘ MUA HÀNG'!$A$4:$AT$4, 0)) = $B28) * (TRIM(INDEX('6. TIẾN ĐỘ MUA HÀNG'!$A$5:$AT81, 0, XMATCH("Tháng", '6. TIẾN ĐỘ MUA HÀNG'!$A$4:$AT$4, 0))) = TRIM(Q$6)))</f>
        <v>0</v>
      </c>
      <c r="S28" s="741">
        <f t="array" ref="S28">SUMPRODUCT((INDEX('6. TIẾN ĐỘ MUA HÀNG'!$A:$AT, 0, XMATCH("Phân loại VTBB/NL", '6. TIẾN ĐỘ MUA HÀNG'!$A$4:$AT$4, 0)) = $B28) * (TRIM(INDEX('6. TIẾN ĐỘ MUA HÀNG'!$A:$AT, 0, XMATCH("Tháng", '6. TIẾN ĐỘ MUA HÀNG'!$A$4:$AT$4, 0))) = TRIM($S$6)) * (INDEX('6. TIẾN ĐỘ MUA HÀNG'!$A:$AT, 0, XMATCH("Phân loại VTBB/NL", '6. TIẾN ĐỘ MUA HÀNG'!$A$4:$AT$4, 0)) &lt;&gt; ""))</f>
        <v>0</v>
      </c>
      <c r="T28" s="742">
        <f t="array" ref="T28">SUMPRODUCT(IFERROR(INDEX('6. TIẾN ĐỘ MUA HÀNG'!$A$5:$AT81, 0, XMATCH("Thành tiền đơn hàng", '6. TIẾN ĐỘ MUA HÀNG'!$A$4:$AT$4, 0)), 0) * (INDEX('6. TIẾN ĐỘ MUA HÀNG'!$A$5:$AT81, 0, XMATCH("Phân loại VTBB/NL", '6. TIẾN ĐỘ MUA HÀNG'!$A$4:$AT$4, 0)) = $B28) * (TRIM(INDEX('6. TIẾN ĐỘ MUA HÀNG'!$A$5:$AT81, 0, XMATCH("Tháng", '6. TIẾN ĐỘ MUA HÀNG'!$A$4:$AT$4, 0))) = TRIM(S$6)))</f>
        <v>0</v>
      </c>
      <c r="U28" s="743">
        <f t="array" ref="U28">SUMPRODUCT((INDEX('6. TIẾN ĐỘ MUA HÀNG'!$A:$AT, 0, XMATCH("Phân loại VTBB/NL", '6. TIẾN ĐỘ MUA HÀNG'!$A$4:$AT$4, 0)) = $B28) * (TRIM(INDEX('6. TIẾN ĐỘ MUA HÀNG'!$A:$AT, 0, XMATCH("Tháng", '6. TIẾN ĐỘ MUA HÀNG'!$A$4:$AT$4, 0))) = TRIM(U$6)) * (INDEX('6. TIẾN ĐỘ MUA HÀNG'!$A:$AT, 0, XMATCH("Phân loại VTBB/NL", '6. TIẾN ĐỘ MUA HÀNG'!$A$4:$AT$4, 0)) &lt;&gt; ""))</f>
        <v>0</v>
      </c>
      <c r="V28" s="744">
        <f t="array" ref="V28">SUMPRODUCT(IFERROR(INDEX('6. TIẾN ĐỘ MUA HÀNG'!$A$5:$AT81, 0, XMATCH("Thành tiền đơn hàng", '6. TIẾN ĐỘ MUA HÀNG'!$A$4:$AT$4, 0)), 0) * (INDEX('6. TIẾN ĐỘ MUA HÀNG'!$A$5:$AT81, 0, XMATCH("Phân loại VTBB/NL", '6. TIẾN ĐỘ MUA HÀNG'!$A$4:$AT$4, 0)) = $B28) * (TRIM(INDEX('6. TIẾN ĐỘ MUA HÀNG'!$A$5:$AT81, 0, XMATCH("Tháng", '6. TIẾN ĐỘ MUA HÀNG'!$A$4:$AT$4, 0))) = TRIM(U$6)))</f>
        <v>0</v>
      </c>
      <c r="W28" s="741">
        <f t="array" ref="W28">SUMPRODUCT((INDEX('6. TIẾN ĐỘ MUA HÀNG'!$A:$AT, 0, XMATCH("Phân loại VTBB/NL", '6. TIẾN ĐỘ MUA HÀNG'!$A$4:$AT$4, 0)) = $B28) * (TRIM(INDEX('6. TIẾN ĐỘ MUA HÀNG'!$A:$AT, 0, XMATCH("Tháng", '6. TIẾN ĐỘ MUA HÀNG'!$A$4:$AT$4, 0))) = TRIM($W$6)) * (INDEX('6. TIẾN ĐỘ MUA HÀNG'!$A:$AT, 0, XMATCH("Phân loại VTBB/NL", '6. TIẾN ĐỘ MUA HÀNG'!$A$4:$AT$4, 0)) &lt;&gt; ""))</f>
        <v>0</v>
      </c>
      <c r="X28" s="742">
        <f t="array" ref="X28">SUMPRODUCT(IFERROR(INDEX('6. TIẾN ĐỘ MUA HÀNG'!$A$5:$AT81, 0, XMATCH("Thành tiền đơn hàng", '6. TIẾN ĐỘ MUA HÀNG'!$A$4:$AT$4, 0)), 0) * (INDEX('6. TIẾN ĐỘ MUA HÀNG'!$A$5:$AT81, 0, XMATCH("Phân loại VTBB/NL", '6. TIẾN ĐỘ MUA HÀNG'!$A$4:$AT$4, 0)) = $B28) * (TRIM(INDEX('6. TIẾN ĐỘ MUA HÀNG'!$A$5:$AT81, 0, XMATCH("Tháng", '6. TIẾN ĐỘ MUA HÀNG'!$A$4:$AT$4, 0))) = TRIM(W$6)))</f>
        <v>0</v>
      </c>
      <c r="Y28" s="743">
        <f t="array" ref="Y28">SUMPRODUCT((INDEX('6. TIẾN ĐỘ MUA HÀNG'!$A:$AT, 0, XMATCH("Phân loại VTBB/NL", '6. TIẾN ĐỘ MUA HÀNG'!$A$4:$AT$4, 0)) = $B28) * (TRIM(INDEX('6. TIẾN ĐỘ MUA HÀNG'!$A:$AT, 0, XMATCH("Tháng", '6. TIẾN ĐỘ MUA HÀNG'!$A$4:$AT$4, 0))) = TRIM(Y$6)) * (INDEX('6. TIẾN ĐỘ MUA HÀNG'!$A:$AT, 0, XMATCH("Phân loại VTBB/NL", '6. TIẾN ĐỘ MUA HÀNG'!$A$4:$AT$4, 0)) &lt;&gt; ""))</f>
        <v>0</v>
      </c>
      <c r="Z28" s="744">
        <f t="array" ref="Z28">SUMPRODUCT(IFERROR(INDEX('6. TIẾN ĐỘ MUA HÀNG'!$A$5:$AT81, 0, XMATCH("Thành tiền đơn hàng", '6. TIẾN ĐỘ MUA HÀNG'!$A$4:$AT$4, 0)), 0) * (INDEX('6. TIẾN ĐỘ MUA HÀNG'!$A$5:$AT81, 0, XMATCH("Phân loại VTBB/NL", '6. TIẾN ĐỘ MUA HÀNG'!$A$4:$AT$4, 0)) = $B28) * (TRIM(INDEX('6. TIẾN ĐỘ MUA HÀNG'!$A$5:$AT81, 0, XMATCH("Tháng", '6. TIẾN ĐỘ MUA HÀNG'!$A$4:$AT$4, 0))) = TRIM(Y$6)))</f>
        <v>0</v>
      </c>
      <c r="AA28" s="726">
        <f t="shared" si="2"/>
        <v>0</v>
      </c>
      <c r="AB28" s="726">
        <f t="shared" si="3"/>
        <v>0</v>
      </c>
    </row>
    <row r="29">
      <c r="A29" s="612">
        <v>21.0</v>
      </c>
      <c r="B29" s="597" t="str">
        <f>IFERROR(__xludf.DUMMYFUNCTION("""COMPUTED_VALUE"""),"Chai Pet có vòi")</f>
        <v>Chai Pet có vòi</v>
      </c>
      <c r="C29" s="741">
        <f t="array" ref="C29">SUMPRODUCT((INDEX('6. TIẾN ĐỘ MUA HÀNG'!$A:$AT, 0, XMATCH("Phân loại VTBB/NL", '6. TIẾN ĐỘ MUA HÀNG'!$A$4:$AT$4, 0)) = $B29) * (TRIM(INDEX('6. TIẾN ĐỘ MUA HÀNG'!$A:$AT, 0, XMATCH("Tháng", '6. TIẾN ĐỘ MUA HÀNG'!$A$4:$AT$4, 0))) = TRIM($C$6)) * (INDEX('6. TIẾN ĐỘ MUA HÀNG'!$A:$AT, 0, XMATCH("Phân loại VTBB/NL", '6. TIẾN ĐỘ MUA HÀNG'!$A$4:$AT$4, 0)) &lt;&gt; ""))</f>
        <v>0</v>
      </c>
      <c r="D29" s="742">
        <f t="array" ref="D29">SUMPRODUCT(IFERROR(INDEX('6. TIẾN ĐỘ MUA HÀNG'!$A$5:$AT81, 0, XMATCH("Thành tiền đơn hàng", '6. TIẾN ĐỘ MUA HÀNG'!$A$4:$AT$4, 0)), 0) * (INDEX('6. TIẾN ĐỘ MUA HÀNG'!$A$5:$AT81, 0, XMATCH("Phân loại VTBB/NL", '6. TIẾN ĐỘ MUA HÀNG'!$A$4:$AT$4, 0)) = $B29) * (TRIM(INDEX('6. TIẾN ĐỘ MUA HÀNG'!$A$5:$AT81, 0, XMATCH("Tháng", '6. TIẾN ĐỘ MUA HÀNG'!$A$4:$AT$4, 0))) = TRIM(C$6)))</f>
        <v>0</v>
      </c>
      <c r="E29" s="743">
        <f t="array" ref="E29">SUMPRODUCT((INDEX('6. TIẾN ĐỘ MUA HÀNG'!$A:$AT, 0, XMATCH("Phân loại VTBB/NL", '6. TIẾN ĐỘ MUA HÀNG'!$A$4:$AT$4, 0)) = $B29) * (TRIM(INDEX('6. TIẾN ĐỘ MUA HÀNG'!$A:$AT, 0, XMATCH("Tháng", '6. TIẾN ĐỘ MUA HÀNG'!$A$4:$AT$4, 0))) = TRIM(E$6)) * (INDEX('6. TIẾN ĐỘ MUA HÀNG'!$A:$AT, 0, XMATCH("Phân loại VTBB/NL", '6. TIẾN ĐỘ MUA HÀNG'!$A$4:$AT$4, 0)) &lt;&gt; ""))</f>
        <v>0</v>
      </c>
      <c r="F29" s="744">
        <f t="array" ref="F29">SUMPRODUCT(IFERROR(INDEX('6. TIẾN ĐỘ MUA HÀNG'!$A$5:$AT81, 0, XMATCH("Thành tiền đơn hàng", '6. TIẾN ĐỘ MUA HÀNG'!$A$4:$AT$4, 0)), 0) * (INDEX('6. TIẾN ĐỘ MUA HÀNG'!$A$5:$AT81, 0, XMATCH("Phân loại VTBB/NL", '6. TIẾN ĐỘ MUA HÀNG'!$A$4:$AT$4, 0)) = $B29) * (TRIM(INDEX('6. TIẾN ĐỘ MUA HÀNG'!$A$5:$AT81, 0, XMATCH("Tháng", '6. TIẾN ĐỘ MUA HÀNG'!$A$4:$AT$4, 0))) = TRIM(E$6)))</f>
        <v>0</v>
      </c>
      <c r="G29" s="741">
        <f t="array" ref="G29">SUMPRODUCT((INDEX('6. TIẾN ĐỘ MUA HÀNG'!$A:$AT, 0, XMATCH("Phân loại VTBB/NL", '6. TIẾN ĐỘ MUA HÀNG'!$A$4:$AT$4, 0)) = $B29) * (TRIM(INDEX('6. TIẾN ĐỘ MUA HÀNG'!$A:$AT, 0, XMATCH("Tháng", '6. TIẾN ĐỘ MUA HÀNG'!$A$4:$AT$4, 0))) = TRIM($G$6)) * (INDEX('6. TIẾN ĐỘ MUA HÀNG'!$A:$AT, 0, XMATCH("Phân loại VTBB/NL", '6. TIẾN ĐỘ MUA HÀNG'!$A$4:$AT$4, 0)) &lt;&gt; ""))</f>
        <v>0</v>
      </c>
      <c r="H29" s="742">
        <f t="array" ref="H29">SUMPRODUCT(IFERROR(INDEX('6. TIẾN ĐỘ MUA HÀNG'!$A$5:$AT81, 0, XMATCH("Thành tiền đơn hàng", '6. TIẾN ĐỘ MUA HÀNG'!$A$4:$AT$4, 0)), 0) * (INDEX('6. TIẾN ĐỘ MUA HÀNG'!$A$5:$AT81, 0, XMATCH("Phân loại VTBB/NL", '6. TIẾN ĐỘ MUA HÀNG'!$A$4:$AT$4, 0)) = $B29) * (TRIM(INDEX('6. TIẾN ĐỘ MUA HÀNG'!$A$5:$AT81, 0, XMATCH("Tháng", '6. TIẾN ĐỘ MUA HÀNG'!$A$4:$AT$4, 0))) = TRIM(G$6)))</f>
        <v>0</v>
      </c>
      <c r="I29" s="743">
        <f t="array" ref="I29">SUMPRODUCT((INDEX('6. TIẾN ĐỘ MUA HÀNG'!$A:$AT, 0, XMATCH("Phân loại VTBB/NL", '6. TIẾN ĐỘ MUA HÀNG'!$A$4:$AT$4, 0)) = $B29) * (TRIM(INDEX('6. TIẾN ĐỘ MUA HÀNG'!$A:$AT, 0, XMATCH("Tháng", '6. TIẾN ĐỘ MUA HÀNG'!$A$4:$AT$4, 0))) = TRIM(I$6)) * (INDEX('6. TIẾN ĐỘ MUA HÀNG'!$A:$AT, 0, XMATCH("Phân loại VTBB/NL", '6. TIẾN ĐỘ MUA HÀNG'!$A$4:$AT$4, 0)) &lt;&gt; ""))</f>
        <v>0</v>
      </c>
      <c r="J29" s="744">
        <f t="array" ref="J29">SUMPRODUCT(IFERROR(INDEX('6. TIẾN ĐỘ MUA HÀNG'!$A$5:$AT81, 0, XMATCH("Thành tiền đơn hàng", '6. TIẾN ĐỘ MUA HÀNG'!$A$4:$AT$4, 0)), 0) * (INDEX('6. TIẾN ĐỘ MUA HÀNG'!$A$5:$AT81, 0, XMATCH("Phân loại VTBB/NL", '6. TIẾN ĐỘ MUA HÀNG'!$A$4:$AT$4, 0)) = $B29) * (TRIM(INDEX('6. TIẾN ĐỘ MUA HÀNG'!$A$5:$AT81, 0, XMATCH("Tháng", '6. TIẾN ĐỘ MUA HÀNG'!$A$4:$AT$4, 0))) = TRIM(I$6)))</f>
        <v>0</v>
      </c>
      <c r="K29" s="741">
        <f t="array" ref="K29">SUMPRODUCT((INDEX('6. TIẾN ĐỘ MUA HÀNG'!$A:$AT, 0, XMATCH("Phân loại VTBB/NL", '6. TIẾN ĐỘ MUA HÀNG'!$A$4:$AT$4, 0)) = $B29) * (TRIM(INDEX('6. TIẾN ĐỘ MUA HÀNG'!$A:$AT, 0, XMATCH("Tháng", '6. TIẾN ĐỘ MUA HÀNG'!$A$4:$AT$4, 0))) = TRIM($K$6)) * (INDEX('6. TIẾN ĐỘ MUA HÀNG'!$A:$AT, 0, XMATCH("Phân loại VTBB/NL", '6. TIẾN ĐỘ MUA HÀNG'!$A$4:$AT$4, 0)) &lt;&gt; ""))</f>
        <v>0</v>
      </c>
      <c r="L29" s="742">
        <f t="array" ref="L29">SUMPRODUCT(IFERROR(INDEX('6. TIẾN ĐỘ MUA HÀNG'!$A$5:$AT81, 0, XMATCH("Thành tiền đơn hàng", '6. TIẾN ĐỘ MUA HÀNG'!$A$4:$AT$4, 0)), 0) * (INDEX('6. TIẾN ĐỘ MUA HÀNG'!$A$5:$AT81, 0, XMATCH("Phân loại VTBB/NL", '6. TIẾN ĐỘ MUA HÀNG'!$A$4:$AT$4, 0)) = $B29) * (TRIM(INDEX('6. TIẾN ĐỘ MUA HÀNG'!$A$5:$AT81, 0, XMATCH("Tháng", '6. TIẾN ĐỘ MUA HÀNG'!$A$4:$AT$4, 0))) = TRIM(K$6)))</f>
        <v>0</v>
      </c>
      <c r="M29" s="743">
        <f t="array" ref="M29">SUMPRODUCT((INDEX('6. TIẾN ĐỘ MUA HÀNG'!$A:$AT, 0, XMATCH("Phân loại VTBB/NL", '6. TIẾN ĐỘ MUA HÀNG'!$A$4:$AT$4, 0)) = $B29) * (TRIM(INDEX('6. TIẾN ĐỘ MUA HÀNG'!$A:$AT, 0, XMATCH("Tháng", '6. TIẾN ĐỘ MUA HÀNG'!$A$4:$AT$4, 0))) = TRIM(M$6)) * (INDEX('6. TIẾN ĐỘ MUA HÀNG'!$A:$AT, 0, XMATCH("Phân loại VTBB/NL", '6. TIẾN ĐỘ MUA HÀNG'!$A$4:$AT$4, 0)) &lt;&gt; ""))</f>
        <v>0</v>
      </c>
      <c r="N29" s="744">
        <f t="array" ref="N29">SUMPRODUCT(IFERROR(INDEX('6. TIẾN ĐỘ MUA HÀNG'!$A$5:$AT81, 0, XMATCH("Thành tiền đơn hàng", '6. TIẾN ĐỘ MUA HÀNG'!$A$4:$AT$4, 0)), 0) * (INDEX('6. TIẾN ĐỘ MUA HÀNG'!$A$5:$AT81, 0, XMATCH("Phân loại VTBB/NL", '6. TIẾN ĐỘ MUA HÀNG'!$A$4:$AT$4, 0)) = $B29) * (TRIM(INDEX('6. TIẾN ĐỘ MUA HÀNG'!$A$5:$AT81, 0, XMATCH("Tháng", '6. TIẾN ĐỘ MUA HÀNG'!$A$4:$AT$4, 0))) = TRIM(M$6)))</f>
        <v>0</v>
      </c>
      <c r="O29" s="741">
        <f t="array" ref="O29">SUMPRODUCT((INDEX('6. TIẾN ĐỘ MUA HÀNG'!$A:$AT, 0, XMATCH("Phân loại VTBB/NL", '6. TIẾN ĐỘ MUA HÀNG'!$A$4:$AT$4, 0)) = $B29) * (TRIM(INDEX('6. TIẾN ĐỘ MUA HÀNG'!$A:$AT, 0, XMATCH("Tháng", '6. TIẾN ĐỘ MUA HÀNG'!$A$4:$AT$4, 0))) = TRIM($O$6)) * (INDEX('6. TIẾN ĐỘ MUA HÀNG'!$A:$AT, 0, XMATCH("Phân loại VTBB/NL", '6. TIẾN ĐỘ MUA HÀNG'!$A$4:$AT$4, 0)) &lt;&gt; ""))</f>
        <v>0</v>
      </c>
      <c r="P29" s="742">
        <f t="array" ref="P29">SUMPRODUCT(IFERROR(INDEX('6. TIẾN ĐỘ MUA HÀNG'!$A$5:$AT81, 0, XMATCH("Thành tiền đơn hàng", '6. TIẾN ĐỘ MUA HÀNG'!$A$4:$AT$4, 0)), 0) * (INDEX('6. TIẾN ĐỘ MUA HÀNG'!$A$5:$AT81, 0, XMATCH("Phân loại VTBB/NL", '6. TIẾN ĐỘ MUA HÀNG'!$A$4:$AT$4, 0)) = $B29) * (TRIM(INDEX('6. TIẾN ĐỘ MUA HÀNG'!$A$5:$AT81, 0, XMATCH("Tháng", '6. TIẾN ĐỘ MUA HÀNG'!$A$4:$AT$4, 0))) = TRIM(O$6)))</f>
        <v>0</v>
      </c>
      <c r="Q29" s="743">
        <f t="array" ref="Q29">SUMPRODUCT((INDEX('6. TIẾN ĐỘ MUA HÀNG'!$A:$AT, 0, XMATCH("Phân loại VTBB/NL", '6. TIẾN ĐỘ MUA HÀNG'!$A$4:$AT$4, 0)) = $B29) * (TRIM(INDEX('6. TIẾN ĐỘ MUA HÀNG'!$A:$AT, 0, XMATCH("Tháng", '6. TIẾN ĐỘ MUA HÀNG'!$A$4:$AT$4, 0))) = TRIM(Q$6)) * (INDEX('6. TIẾN ĐỘ MUA HÀNG'!$A:$AT, 0, XMATCH("Phân loại VTBB/NL", '6. TIẾN ĐỘ MUA HÀNG'!$A$4:$AT$4, 0)) &lt;&gt; ""))</f>
        <v>0</v>
      </c>
      <c r="R29" s="744">
        <f t="array" ref="R29">SUMPRODUCT(IFERROR(INDEX('6. TIẾN ĐỘ MUA HÀNG'!$A$5:$AT81, 0, XMATCH("Thành tiền đơn hàng", '6. TIẾN ĐỘ MUA HÀNG'!$A$4:$AT$4, 0)), 0) * (INDEX('6. TIẾN ĐỘ MUA HÀNG'!$A$5:$AT81, 0, XMATCH("Phân loại VTBB/NL", '6. TIẾN ĐỘ MUA HÀNG'!$A$4:$AT$4, 0)) = $B29) * (TRIM(INDEX('6. TIẾN ĐỘ MUA HÀNG'!$A$5:$AT81, 0, XMATCH("Tháng", '6. TIẾN ĐỘ MUA HÀNG'!$A$4:$AT$4, 0))) = TRIM(Q$6)))</f>
        <v>0</v>
      </c>
      <c r="S29" s="741">
        <f t="array" ref="S29">SUMPRODUCT((INDEX('6. TIẾN ĐỘ MUA HÀNG'!$A:$AT, 0, XMATCH("Phân loại VTBB/NL", '6. TIẾN ĐỘ MUA HÀNG'!$A$4:$AT$4, 0)) = $B29) * (TRIM(INDEX('6. TIẾN ĐỘ MUA HÀNG'!$A:$AT, 0, XMATCH("Tháng", '6. TIẾN ĐỘ MUA HÀNG'!$A$4:$AT$4, 0))) = TRIM($S$6)) * (INDEX('6. TIẾN ĐỘ MUA HÀNG'!$A:$AT, 0, XMATCH("Phân loại VTBB/NL", '6. TIẾN ĐỘ MUA HÀNG'!$A$4:$AT$4, 0)) &lt;&gt; ""))</f>
        <v>0</v>
      </c>
      <c r="T29" s="742">
        <f t="array" ref="T29">SUMPRODUCT(IFERROR(INDEX('6. TIẾN ĐỘ MUA HÀNG'!$A$5:$AT81, 0, XMATCH("Thành tiền đơn hàng", '6. TIẾN ĐỘ MUA HÀNG'!$A$4:$AT$4, 0)), 0) * (INDEX('6. TIẾN ĐỘ MUA HÀNG'!$A$5:$AT81, 0, XMATCH("Phân loại VTBB/NL", '6. TIẾN ĐỘ MUA HÀNG'!$A$4:$AT$4, 0)) = $B29) * (TRIM(INDEX('6. TIẾN ĐỘ MUA HÀNG'!$A$5:$AT81, 0, XMATCH("Tháng", '6. TIẾN ĐỘ MUA HÀNG'!$A$4:$AT$4, 0))) = TRIM(S$6)))</f>
        <v>0</v>
      </c>
      <c r="U29" s="743">
        <f t="array" ref="U29">SUMPRODUCT((INDEX('6. TIẾN ĐỘ MUA HÀNG'!$A:$AT, 0, XMATCH("Phân loại VTBB/NL", '6. TIẾN ĐỘ MUA HÀNG'!$A$4:$AT$4, 0)) = $B29) * (TRIM(INDEX('6. TIẾN ĐỘ MUA HÀNG'!$A:$AT, 0, XMATCH("Tháng", '6. TIẾN ĐỘ MUA HÀNG'!$A$4:$AT$4, 0))) = TRIM(U$6)) * (INDEX('6. TIẾN ĐỘ MUA HÀNG'!$A:$AT, 0, XMATCH("Phân loại VTBB/NL", '6. TIẾN ĐỘ MUA HÀNG'!$A$4:$AT$4, 0)) &lt;&gt; ""))</f>
        <v>0</v>
      </c>
      <c r="V29" s="744">
        <f t="array" ref="V29">SUMPRODUCT(IFERROR(INDEX('6. TIẾN ĐỘ MUA HÀNG'!$A$5:$AT81, 0, XMATCH("Thành tiền đơn hàng", '6. TIẾN ĐỘ MUA HÀNG'!$A$4:$AT$4, 0)), 0) * (INDEX('6. TIẾN ĐỘ MUA HÀNG'!$A$5:$AT81, 0, XMATCH("Phân loại VTBB/NL", '6. TIẾN ĐỘ MUA HÀNG'!$A$4:$AT$4, 0)) = $B29) * (TRIM(INDEX('6. TIẾN ĐỘ MUA HÀNG'!$A$5:$AT81, 0, XMATCH("Tháng", '6. TIẾN ĐỘ MUA HÀNG'!$A$4:$AT$4, 0))) = TRIM(U$6)))</f>
        <v>0</v>
      </c>
      <c r="W29" s="741">
        <f t="array" ref="W29">SUMPRODUCT((INDEX('6. TIẾN ĐỘ MUA HÀNG'!$A:$AT, 0, XMATCH("Phân loại VTBB/NL", '6. TIẾN ĐỘ MUA HÀNG'!$A$4:$AT$4, 0)) = $B29) * (TRIM(INDEX('6. TIẾN ĐỘ MUA HÀNG'!$A:$AT, 0, XMATCH("Tháng", '6. TIẾN ĐỘ MUA HÀNG'!$A$4:$AT$4, 0))) = TRIM($W$6)) * (INDEX('6. TIẾN ĐỘ MUA HÀNG'!$A:$AT, 0, XMATCH("Phân loại VTBB/NL", '6. TIẾN ĐỘ MUA HÀNG'!$A$4:$AT$4, 0)) &lt;&gt; ""))</f>
        <v>0</v>
      </c>
      <c r="X29" s="742">
        <f t="array" ref="X29">SUMPRODUCT(IFERROR(INDEX('6. TIẾN ĐỘ MUA HÀNG'!$A$5:$AT81, 0, XMATCH("Thành tiền đơn hàng", '6. TIẾN ĐỘ MUA HÀNG'!$A$4:$AT$4, 0)), 0) * (INDEX('6. TIẾN ĐỘ MUA HÀNG'!$A$5:$AT81, 0, XMATCH("Phân loại VTBB/NL", '6. TIẾN ĐỘ MUA HÀNG'!$A$4:$AT$4, 0)) = $B29) * (TRIM(INDEX('6. TIẾN ĐỘ MUA HÀNG'!$A$5:$AT81, 0, XMATCH("Tháng", '6. TIẾN ĐỘ MUA HÀNG'!$A$4:$AT$4, 0))) = TRIM(W$6)))</f>
        <v>0</v>
      </c>
      <c r="Y29" s="743">
        <f t="array" ref="Y29">SUMPRODUCT((INDEX('6. TIẾN ĐỘ MUA HÀNG'!$A:$AT, 0, XMATCH("Phân loại VTBB/NL", '6. TIẾN ĐỘ MUA HÀNG'!$A$4:$AT$4, 0)) = $B29) * (TRIM(INDEX('6. TIẾN ĐỘ MUA HÀNG'!$A:$AT, 0, XMATCH("Tháng", '6. TIẾN ĐỘ MUA HÀNG'!$A$4:$AT$4, 0))) = TRIM(Y$6)) * (INDEX('6. TIẾN ĐỘ MUA HÀNG'!$A:$AT, 0, XMATCH("Phân loại VTBB/NL", '6. TIẾN ĐỘ MUA HÀNG'!$A$4:$AT$4, 0)) &lt;&gt; ""))</f>
        <v>0</v>
      </c>
      <c r="Z29" s="744">
        <f t="array" ref="Z29">SUMPRODUCT(IFERROR(INDEX('6. TIẾN ĐỘ MUA HÀNG'!$A$5:$AT81, 0, XMATCH("Thành tiền đơn hàng", '6. TIẾN ĐỘ MUA HÀNG'!$A$4:$AT$4, 0)), 0) * (INDEX('6. TIẾN ĐỘ MUA HÀNG'!$A$5:$AT81, 0, XMATCH("Phân loại VTBB/NL", '6. TIẾN ĐỘ MUA HÀNG'!$A$4:$AT$4, 0)) = $B29) * (TRIM(INDEX('6. TIẾN ĐỘ MUA HÀNG'!$A$5:$AT81, 0, XMATCH("Tháng", '6. TIẾN ĐỘ MUA HÀNG'!$A$4:$AT$4, 0))) = TRIM(Y$6)))</f>
        <v>0</v>
      </c>
      <c r="AA29" s="726">
        <f t="shared" si="2"/>
        <v>0</v>
      </c>
      <c r="AB29" s="726">
        <f t="shared" si="3"/>
        <v>0</v>
      </c>
    </row>
    <row r="30">
      <c r="A30" s="612">
        <v>22.0</v>
      </c>
      <c r="B30" s="597" t="str">
        <f>IFERROR(__xludf.DUMMYFUNCTION("""COMPUTED_VALUE"""),"Hộp trắng")</f>
        <v>Hộp trắng</v>
      </c>
      <c r="C30" s="741">
        <f t="array" ref="C30">SUMPRODUCT((INDEX('6. TIẾN ĐỘ MUA HÀNG'!$A:$AT, 0, XMATCH("Phân loại VTBB/NL", '6. TIẾN ĐỘ MUA HÀNG'!$A$4:$AT$4, 0)) = $B30) * (TRIM(INDEX('6. TIẾN ĐỘ MUA HÀNG'!$A:$AT, 0, XMATCH("Tháng", '6. TIẾN ĐỘ MUA HÀNG'!$A$4:$AT$4, 0))) = TRIM($C$6)) * (INDEX('6. TIẾN ĐỘ MUA HÀNG'!$A:$AT, 0, XMATCH("Phân loại VTBB/NL", '6. TIẾN ĐỘ MUA HÀNG'!$A$4:$AT$4, 0)) &lt;&gt; ""))</f>
        <v>0</v>
      </c>
      <c r="D30" s="742">
        <f t="array" ref="D30">SUMPRODUCT(IFERROR(INDEX('6. TIẾN ĐỘ MUA HÀNG'!$A$5:$AT81, 0, XMATCH("Thành tiền đơn hàng", '6. TIẾN ĐỘ MUA HÀNG'!$A$4:$AT$4, 0)), 0) * (INDEX('6. TIẾN ĐỘ MUA HÀNG'!$A$5:$AT81, 0, XMATCH("Phân loại VTBB/NL", '6. TIẾN ĐỘ MUA HÀNG'!$A$4:$AT$4, 0)) = $B30) * (TRIM(INDEX('6. TIẾN ĐỘ MUA HÀNG'!$A$5:$AT81, 0, XMATCH("Tháng", '6. TIẾN ĐỘ MUA HÀNG'!$A$4:$AT$4, 0))) = TRIM(C$6)))</f>
        <v>0</v>
      </c>
      <c r="E30" s="743">
        <f t="array" ref="E30">SUMPRODUCT((INDEX('6. TIẾN ĐỘ MUA HÀNG'!$A:$AT, 0, XMATCH("Phân loại VTBB/NL", '6. TIẾN ĐỘ MUA HÀNG'!$A$4:$AT$4, 0)) = $B30) * (TRIM(INDEX('6. TIẾN ĐỘ MUA HÀNG'!$A:$AT, 0, XMATCH("Tháng", '6. TIẾN ĐỘ MUA HÀNG'!$A$4:$AT$4, 0))) = TRIM(E$6)) * (INDEX('6. TIẾN ĐỘ MUA HÀNG'!$A:$AT, 0, XMATCH("Phân loại VTBB/NL", '6. TIẾN ĐỘ MUA HÀNG'!$A$4:$AT$4, 0)) &lt;&gt; ""))</f>
        <v>0</v>
      </c>
      <c r="F30" s="744">
        <f t="array" ref="F30">SUMPRODUCT(IFERROR(INDEX('6. TIẾN ĐỘ MUA HÀNG'!$A$5:$AT81, 0, XMATCH("Thành tiền đơn hàng", '6. TIẾN ĐỘ MUA HÀNG'!$A$4:$AT$4, 0)), 0) * (INDEX('6. TIẾN ĐỘ MUA HÀNG'!$A$5:$AT81, 0, XMATCH("Phân loại VTBB/NL", '6. TIẾN ĐỘ MUA HÀNG'!$A$4:$AT$4, 0)) = $B30) * (TRIM(INDEX('6. TIẾN ĐỘ MUA HÀNG'!$A$5:$AT81, 0, XMATCH("Tháng", '6. TIẾN ĐỘ MUA HÀNG'!$A$4:$AT$4, 0))) = TRIM(E$6)))</f>
        <v>0</v>
      </c>
      <c r="G30" s="741">
        <f t="array" ref="G30">SUMPRODUCT((INDEX('6. TIẾN ĐỘ MUA HÀNG'!$A:$AT, 0, XMATCH("Phân loại VTBB/NL", '6. TIẾN ĐỘ MUA HÀNG'!$A$4:$AT$4, 0)) = $B30) * (TRIM(INDEX('6. TIẾN ĐỘ MUA HÀNG'!$A:$AT, 0, XMATCH("Tháng", '6. TIẾN ĐỘ MUA HÀNG'!$A$4:$AT$4, 0))) = TRIM($G$6)) * (INDEX('6. TIẾN ĐỘ MUA HÀNG'!$A:$AT, 0, XMATCH("Phân loại VTBB/NL", '6. TIẾN ĐỘ MUA HÀNG'!$A$4:$AT$4, 0)) &lt;&gt; ""))</f>
        <v>0</v>
      </c>
      <c r="H30" s="742">
        <f t="array" ref="H30">SUMPRODUCT(IFERROR(INDEX('6. TIẾN ĐỘ MUA HÀNG'!$A$5:$AT81, 0, XMATCH("Thành tiền đơn hàng", '6. TIẾN ĐỘ MUA HÀNG'!$A$4:$AT$4, 0)), 0) * (INDEX('6. TIẾN ĐỘ MUA HÀNG'!$A$5:$AT81, 0, XMATCH("Phân loại VTBB/NL", '6. TIẾN ĐỘ MUA HÀNG'!$A$4:$AT$4, 0)) = $B30) * (TRIM(INDEX('6. TIẾN ĐỘ MUA HÀNG'!$A$5:$AT81, 0, XMATCH("Tháng", '6. TIẾN ĐỘ MUA HÀNG'!$A$4:$AT$4, 0))) = TRIM(G$6)))</f>
        <v>0</v>
      </c>
      <c r="I30" s="743">
        <f t="array" ref="I30">SUMPRODUCT((INDEX('6. TIẾN ĐỘ MUA HÀNG'!$A:$AT, 0, XMATCH("Phân loại VTBB/NL", '6. TIẾN ĐỘ MUA HÀNG'!$A$4:$AT$4, 0)) = $B30) * (TRIM(INDEX('6. TIẾN ĐỘ MUA HÀNG'!$A:$AT, 0, XMATCH("Tháng", '6. TIẾN ĐỘ MUA HÀNG'!$A$4:$AT$4, 0))) = TRIM(I$6)) * (INDEX('6. TIẾN ĐỘ MUA HÀNG'!$A:$AT, 0, XMATCH("Phân loại VTBB/NL", '6. TIẾN ĐỘ MUA HÀNG'!$A$4:$AT$4, 0)) &lt;&gt; ""))</f>
        <v>0</v>
      </c>
      <c r="J30" s="744">
        <f t="array" ref="J30">SUMPRODUCT(IFERROR(INDEX('6. TIẾN ĐỘ MUA HÀNG'!$A$5:$AT81, 0, XMATCH("Thành tiền đơn hàng", '6. TIẾN ĐỘ MUA HÀNG'!$A$4:$AT$4, 0)), 0) * (INDEX('6. TIẾN ĐỘ MUA HÀNG'!$A$5:$AT81, 0, XMATCH("Phân loại VTBB/NL", '6. TIẾN ĐỘ MUA HÀNG'!$A$4:$AT$4, 0)) = $B30) * (TRIM(INDEX('6. TIẾN ĐỘ MUA HÀNG'!$A$5:$AT81, 0, XMATCH("Tháng", '6. TIẾN ĐỘ MUA HÀNG'!$A$4:$AT$4, 0))) = TRIM(I$6)))</f>
        <v>0</v>
      </c>
      <c r="K30" s="741">
        <f t="array" ref="K30">SUMPRODUCT((INDEX('6. TIẾN ĐỘ MUA HÀNG'!$A:$AT, 0, XMATCH("Phân loại VTBB/NL", '6. TIẾN ĐỘ MUA HÀNG'!$A$4:$AT$4, 0)) = $B30) * (TRIM(INDEX('6. TIẾN ĐỘ MUA HÀNG'!$A:$AT, 0, XMATCH("Tháng", '6. TIẾN ĐỘ MUA HÀNG'!$A$4:$AT$4, 0))) = TRIM($K$6)) * (INDEX('6. TIẾN ĐỘ MUA HÀNG'!$A:$AT, 0, XMATCH("Phân loại VTBB/NL", '6. TIẾN ĐỘ MUA HÀNG'!$A$4:$AT$4, 0)) &lt;&gt; ""))</f>
        <v>0</v>
      </c>
      <c r="L30" s="742">
        <f t="array" ref="L30">SUMPRODUCT(IFERROR(INDEX('6. TIẾN ĐỘ MUA HÀNG'!$A$5:$AT81, 0, XMATCH("Thành tiền đơn hàng", '6. TIẾN ĐỘ MUA HÀNG'!$A$4:$AT$4, 0)), 0) * (INDEX('6. TIẾN ĐỘ MUA HÀNG'!$A$5:$AT81, 0, XMATCH("Phân loại VTBB/NL", '6. TIẾN ĐỘ MUA HÀNG'!$A$4:$AT$4, 0)) = $B30) * (TRIM(INDEX('6. TIẾN ĐỘ MUA HÀNG'!$A$5:$AT81, 0, XMATCH("Tháng", '6. TIẾN ĐỘ MUA HÀNG'!$A$4:$AT$4, 0))) = TRIM(K$6)))</f>
        <v>0</v>
      </c>
      <c r="M30" s="743">
        <f t="array" ref="M30">SUMPRODUCT((INDEX('6. TIẾN ĐỘ MUA HÀNG'!$A:$AT, 0, XMATCH("Phân loại VTBB/NL", '6. TIẾN ĐỘ MUA HÀNG'!$A$4:$AT$4, 0)) = $B30) * (TRIM(INDEX('6. TIẾN ĐỘ MUA HÀNG'!$A:$AT, 0, XMATCH("Tháng", '6. TIẾN ĐỘ MUA HÀNG'!$A$4:$AT$4, 0))) = TRIM(M$6)) * (INDEX('6. TIẾN ĐỘ MUA HÀNG'!$A:$AT, 0, XMATCH("Phân loại VTBB/NL", '6. TIẾN ĐỘ MUA HÀNG'!$A$4:$AT$4, 0)) &lt;&gt; ""))</f>
        <v>0</v>
      </c>
      <c r="N30" s="744">
        <f t="array" ref="N30">SUMPRODUCT(IFERROR(INDEX('6. TIẾN ĐỘ MUA HÀNG'!$A$5:$AT81, 0, XMATCH("Thành tiền đơn hàng", '6. TIẾN ĐỘ MUA HÀNG'!$A$4:$AT$4, 0)), 0) * (INDEX('6. TIẾN ĐỘ MUA HÀNG'!$A$5:$AT81, 0, XMATCH("Phân loại VTBB/NL", '6. TIẾN ĐỘ MUA HÀNG'!$A$4:$AT$4, 0)) = $B30) * (TRIM(INDEX('6. TIẾN ĐỘ MUA HÀNG'!$A$5:$AT81, 0, XMATCH("Tháng", '6. TIẾN ĐỘ MUA HÀNG'!$A$4:$AT$4, 0))) = TRIM(M$6)))</f>
        <v>0</v>
      </c>
      <c r="O30" s="741">
        <f t="array" ref="O30">SUMPRODUCT((INDEX('6. TIẾN ĐỘ MUA HÀNG'!$A:$AT, 0, XMATCH("Phân loại VTBB/NL", '6. TIẾN ĐỘ MUA HÀNG'!$A$4:$AT$4, 0)) = $B30) * (TRIM(INDEX('6. TIẾN ĐỘ MUA HÀNG'!$A:$AT, 0, XMATCH("Tháng", '6. TIẾN ĐỘ MUA HÀNG'!$A$4:$AT$4, 0))) = TRIM($O$6)) * (INDEX('6. TIẾN ĐỘ MUA HÀNG'!$A:$AT, 0, XMATCH("Phân loại VTBB/NL", '6. TIẾN ĐỘ MUA HÀNG'!$A$4:$AT$4, 0)) &lt;&gt; ""))</f>
        <v>0</v>
      </c>
      <c r="P30" s="742">
        <f t="array" ref="P30">SUMPRODUCT(IFERROR(INDEX('6. TIẾN ĐỘ MUA HÀNG'!$A$5:$AT81, 0, XMATCH("Thành tiền đơn hàng", '6. TIẾN ĐỘ MUA HÀNG'!$A$4:$AT$4, 0)), 0) * (INDEX('6. TIẾN ĐỘ MUA HÀNG'!$A$5:$AT81, 0, XMATCH("Phân loại VTBB/NL", '6. TIẾN ĐỘ MUA HÀNG'!$A$4:$AT$4, 0)) = $B30) * (TRIM(INDEX('6. TIẾN ĐỘ MUA HÀNG'!$A$5:$AT81, 0, XMATCH("Tháng", '6. TIẾN ĐỘ MUA HÀNG'!$A$4:$AT$4, 0))) = TRIM(O$6)))</f>
        <v>0</v>
      </c>
      <c r="Q30" s="743">
        <f t="array" ref="Q30">SUMPRODUCT((INDEX('6. TIẾN ĐỘ MUA HÀNG'!$A:$AT, 0, XMATCH("Phân loại VTBB/NL", '6. TIẾN ĐỘ MUA HÀNG'!$A$4:$AT$4, 0)) = $B30) * (TRIM(INDEX('6. TIẾN ĐỘ MUA HÀNG'!$A:$AT, 0, XMATCH("Tháng", '6. TIẾN ĐỘ MUA HÀNG'!$A$4:$AT$4, 0))) = TRIM(Q$6)) * (INDEX('6. TIẾN ĐỘ MUA HÀNG'!$A:$AT, 0, XMATCH("Phân loại VTBB/NL", '6. TIẾN ĐỘ MUA HÀNG'!$A$4:$AT$4, 0)) &lt;&gt; ""))</f>
        <v>0</v>
      </c>
      <c r="R30" s="744">
        <f t="array" ref="R30">SUMPRODUCT(IFERROR(INDEX('6. TIẾN ĐỘ MUA HÀNG'!$A$5:$AT81, 0, XMATCH("Thành tiền đơn hàng", '6. TIẾN ĐỘ MUA HÀNG'!$A$4:$AT$4, 0)), 0) * (INDEX('6. TIẾN ĐỘ MUA HÀNG'!$A$5:$AT81, 0, XMATCH("Phân loại VTBB/NL", '6. TIẾN ĐỘ MUA HÀNG'!$A$4:$AT$4, 0)) = $B30) * (TRIM(INDEX('6. TIẾN ĐỘ MUA HÀNG'!$A$5:$AT81, 0, XMATCH("Tháng", '6. TIẾN ĐỘ MUA HÀNG'!$A$4:$AT$4, 0))) = TRIM(Q$6)))</f>
        <v>0</v>
      </c>
      <c r="S30" s="741">
        <f t="array" ref="S30">SUMPRODUCT((INDEX('6. TIẾN ĐỘ MUA HÀNG'!$A:$AT, 0, XMATCH("Phân loại VTBB/NL", '6. TIẾN ĐỘ MUA HÀNG'!$A$4:$AT$4, 0)) = $B30) * (TRIM(INDEX('6. TIẾN ĐỘ MUA HÀNG'!$A:$AT, 0, XMATCH("Tháng", '6. TIẾN ĐỘ MUA HÀNG'!$A$4:$AT$4, 0))) = TRIM($S$6)) * (INDEX('6. TIẾN ĐỘ MUA HÀNG'!$A:$AT, 0, XMATCH("Phân loại VTBB/NL", '6. TIẾN ĐỘ MUA HÀNG'!$A$4:$AT$4, 0)) &lt;&gt; ""))</f>
        <v>0</v>
      </c>
      <c r="T30" s="742">
        <f t="array" ref="T30">SUMPRODUCT(IFERROR(INDEX('6. TIẾN ĐỘ MUA HÀNG'!$A$5:$AT81, 0, XMATCH("Thành tiền đơn hàng", '6. TIẾN ĐỘ MUA HÀNG'!$A$4:$AT$4, 0)), 0) * (INDEX('6. TIẾN ĐỘ MUA HÀNG'!$A$5:$AT81, 0, XMATCH("Phân loại VTBB/NL", '6. TIẾN ĐỘ MUA HÀNG'!$A$4:$AT$4, 0)) = $B30) * (TRIM(INDEX('6. TIẾN ĐỘ MUA HÀNG'!$A$5:$AT81, 0, XMATCH("Tháng", '6. TIẾN ĐỘ MUA HÀNG'!$A$4:$AT$4, 0))) = TRIM(S$6)))</f>
        <v>0</v>
      </c>
      <c r="U30" s="743">
        <f t="array" ref="U30">SUMPRODUCT((INDEX('6. TIẾN ĐỘ MUA HÀNG'!$A:$AT, 0, XMATCH("Phân loại VTBB/NL", '6. TIẾN ĐỘ MUA HÀNG'!$A$4:$AT$4, 0)) = $B30) * (TRIM(INDEX('6. TIẾN ĐỘ MUA HÀNG'!$A:$AT, 0, XMATCH("Tháng", '6. TIẾN ĐỘ MUA HÀNG'!$A$4:$AT$4, 0))) = TRIM(U$6)) * (INDEX('6. TIẾN ĐỘ MUA HÀNG'!$A:$AT, 0, XMATCH("Phân loại VTBB/NL", '6. TIẾN ĐỘ MUA HÀNG'!$A$4:$AT$4, 0)) &lt;&gt; ""))</f>
        <v>0</v>
      </c>
      <c r="V30" s="744">
        <f t="array" ref="V30">SUMPRODUCT(IFERROR(INDEX('6. TIẾN ĐỘ MUA HÀNG'!$A$5:$AT81, 0, XMATCH("Thành tiền đơn hàng", '6. TIẾN ĐỘ MUA HÀNG'!$A$4:$AT$4, 0)), 0) * (INDEX('6. TIẾN ĐỘ MUA HÀNG'!$A$5:$AT81, 0, XMATCH("Phân loại VTBB/NL", '6. TIẾN ĐỘ MUA HÀNG'!$A$4:$AT$4, 0)) = $B30) * (TRIM(INDEX('6. TIẾN ĐỘ MUA HÀNG'!$A$5:$AT81, 0, XMATCH("Tháng", '6. TIẾN ĐỘ MUA HÀNG'!$A$4:$AT$4, 0))) = TRIM(U$6)))</f>
        <v>0</v>
      </c>
      <c r="W30" s="741">
        <f t="array" ref="W30">SUMPRODUCT((INDEX('6. TIẾN ĐỘ MUA HÀNG'!$A:$AT, 0, XMATCH("Phân loại VTBB/NL", '6. TIẾN ĐỘ MUA HÀNG'!$A$4:$AT$4, 0)) = $B30) * (TRIM(INDEX('6. TIẾN ĐỘ MUA HÀNG'!$A:$AT, 0, XMATCH("Tháng", '6. TIẾN ĐỘ MUA HÀNG'!$A$4:$AT$4, 0))) = TRIM($W$6)) * (INDEX('6. TIẾN ĐỘ MUA HÀNG'!$A:$AT, 0, XMATCH("Phân loại VTBB/NL", '6. TIẾN ĐỘ MUA HÀNG'!$A$4:$AT$4, 0)) &lt;&gt; ""))</f>
        <v>0</v>
      </c>
      <c r="X30" s="742">
        <f t="array" ref="X30">SUMPRODUCT(IFERROR(INDEX('6. TIẾN ĐỘ MUA HÀNG'!$A$5:$AT81, 0, XMATCH("Thành tiền đơn hàng", '6. TIẾN ĐỘ MUA HÀNG'!$A$4:$AT$4, 0)), 0) * (INDEX('6. TIẾN ĐỘ MUA HÀNG'!$A$5:$AT81, 0, XMATCH("Phân loại VTBB/NL", '6. TIẾN ĐỘ MUA HÀNG'!$A$4:$AT$4, 0)) = $B30) * (TRIM(INDEX('6. TIẾN ĐỘ MUA HÀNG'!$A$5:$AT81, 0, XMATCH("Tháng", '6. TIẾN ĐỘ MUA HÀNG'!$A$4:$AT$4, 0))) = TRIM(W$6)))</f>
        <v>0</v>
      </c>
      <c r="Y30" s="743">
        <f t="array" ref="Y30">SUMPRODUCT((INDEX('6. TIẾN ĐỘ MUA HÀNG'!$A:$AT, 0, XMATCH("Phân loại VTBB/NL", '6. TIẾN ĐỘ MUA HÀNG'!$A$4:$AT$4, 0)) = $B30) * (TRIM(INDEX('6. TIẾN ĐỘ MUA HÀNG'!$A:$AT, 0, XMATCH("Tháng", '6. TIẾN ĐỘ MUA HÀNG'!$A$4:$AT$4, 0))) = TRIM(Y$6)) * (INDEX('6. TIẾN ĐỘ MUA HÀNG'!$A:$AT, 0, XMATCH("Phân loại VTBB/NL", '6. TIẾN ĐỘ MUA HÀNG'!$A$4:$AT$4, 0)) &lt;&gt; ""))</f>
        <v>0</v>
      </c>
      <c r="Z30" s="744">
        <f t="array" ref="Z30">SUMPRODUCT(IFERROR(INDEX('6. TIẾN ĐỘ MUA HÀNG'!$A$5:$AT81, 0, XMATCH("Thành tiền đơn hàng", '6. TIẾN ĐỘ MUA HÀNG'!$A$4:$AT$4, 0)), 0) * (INDEX('6. TIẾN ĐỘ MUA HÀNG'!$A$5:$AT81, 0, XMATCH("Phân loại VTBB/NL", '6. TIẾN ĐỘ MUA HÀNG'!$A$4:$AT$4, 0)) = $B30) * (TRIM(INDEX('6. TIẾN ĐỘ MUA HÀNG'!$A$5:$AT81, 0, XMATCH("Tháng", '6. TIẾN ĐỘ MUA HÀNG'!$A$4:$AT$4, 0))) = TRIM(Y$6)))</f>
        <v>0</v>
      </c>
      <c r="AA30" s="726">
        <f t="shared" si="2"/>
        <v>0</v>
      </c>
      <c r="AB30" s="726">
        <f t="shared" si="3"/>
        <v>0</v>
      </c>
    </row>
    <row r="31">
      <c r="A31" s="612">
        <v>23.0</v>
      </c>
      <c r="B31" s="597" t="str">
        <f>IFERROR(__xludf.DUMMYFUNCTION("""COMPUTED_VALUE"""),"Màng co")</f>
        <v>Màng co</v>
      </c>
      <c r="C31" s="741">
        <f t="array" ref="C31">SUMPRODUCT((INDEX('6. TIẾN ĐỘ MUA HÀNG'!$A:$AT, 0, XMATCH("Phân loại VTBB/NL", '6. TIẾN ĐỘ MUA HÀNG'!$A$4:$AT$4, 0)) = $B31) * (TRIM(INDEX('6. TIẾN ĐỘ MUA HÀNG'!$A:$AT, 0, XMATCH("Tháng", '6. TIẾN ĐỘ MUA HÀNG'!$A$4:$AT$4, 0))) = TRIM($C$6)) * (INDEX('6. TIẾN ĐỘ MUA HÀNG'!$A:$AT, 0, XMATCH("Phân loại VTBB/NL", '6. TIẾN ĐỘ MUA HÀNG'!$A$4:$AT$4, 0)) &lt;&gt; ""))</f>
        <v>0</v>
      </c>
      <c r="D31" s="742">
        <f t="array" ref="D31">SUMPRODUCT(IFERROR(INDEX('6. TIẾN ĐỘ MUA HÀNG'!$A$5:$AT81, 0, XMATCH("Thành tiền đơn hàng", '6. TIẾN ĐỘ MUA HÀNG'!$A$4:$AT$4, 0)), 0) * (INDEX('6. TIẾN ĐỘ MUA HÀNG'!$A$5:$AT81, 0, XMATCH("Phân loại VTBB/NL", '6. TIẾN ĐỘ MUA HÀNG'!$A$4:$AT$4, 0)) = $B31) * (TRIM(INDEX('6. TIẾN ĐỘ MUA HÀNG'!$A$5:$AT81, 0, XMATCH("Tháng", '6. TIẾN ĐỘ MUA HÀNG'!$A$4:$AT$4, 0))) = TRIM(C$6)))</f>
        <v>0</v>
      </c>
      <c r="E31" s="743">
        <f t="array" ref="E31">SUMPRODUCT((INDEX('6. TIẾN ĐỘ MUA HÀNG'!$A:$AT, 0, XMATCH("Phân loại VTBB/NL", '6. TIẾN ĐỘ MUA HÀNG'!$A$4:$AT$4, 0)) = $B31) * (TRIM(INDEX('6. TIẾN ĐỘ MUA HÀNG'!$A:$AT, 0, XMATCH("Tháng", '6. TIẾN ĐỘ MUA HÀNG'!$A$4:$AT$4, 0))) = TRIM(E$6)) * (INDEX('6. TIẾN ĐỘ MUA HÀNG'!$A:$AT, 0, XMATCH("Phân loại VTBB/NL", '6. TIẾN ĐỘ MUA HÀNG'!$A$4:$AT$4, 0)) &lt;&gt; ""))</f>
        <v>0</v>
      </c>
      <c r="F31" s="744">
        <f t="array" ref="F31">SUMPRODUCT(IFERROR(INDEX('6. TIẾN ĐỘ MUA HÀNG'!$A$5:$AT81, 0, XMATCH("Thành tiền đơn hàng", '6. TIẾN ĐỘ MUA HÀNG'!$A$4:$AT$4, 0)), 0) * (INDEX('6. TIẾN ĐỘ MUA HÀNG'!$A$5:$AT81, 0, XMATCH("Phân loại VTBB/NL", '6. TIẾN ĐỘ MUA HÀNG'!$A$4:$AT$4, 0)) = $B31) * (TRIM(INDEX('6. TIẾN ĐỘ MUA HÀNG'!$A$5:$AT81, 0, XMATCH("Tháng", '6. TIẾN ĐỘ MUA HÀNG'!$A$4:$AT$4, 0))) = TRIM(E$6)))</f>
        <v>0</v>
      </c>
      <c r="G31" s="741">
        <f t="array" ref="G31">SUMPRODUCT((INDEX('6. TIẾN ĐỘ MUA HÀNG'!$A:$AT, 0, XMATCH("Phân loại VTBB/NL", '6. TIẾN ĐỘ MUA HÀNG'!$A$4:$AT$4, 0)) = $B31) * (TRIM(INDEX('6. TIẾN ĐỘ MUA HÀNG'!$A:$AT, 0, XMATCH("Tháng", '6. TIẾN ĐỘ MUA HÀNG'!$A$4:$AT$4, 0))) = TRIM($G$6)) * (INDEX('6. TIẾN ĐỘ MUA HÀNG'!$A:$AT, 0, XMATCH("Phân loại VTBB/NL", '6. TIẾN ĐỘ MUA HÀNG'!$A$4:$AT$4, 0)) &lt;&gt; ""))</f>
        <v>0</v>
      </c>
      <c r="H31" s="742">
        <f t="array" ref="H31">SUMPRODUCT(IFERROR(INDEX('6. TIẾN ĐỘ MUA HÀNG'!$A$5:$AT81, 0, XMATCH("Thành tiền đơn hàng", '6. TIẾN ĐỘ MUA HÀNG'!$A$4:$AT$4, 0)), 0) * (INDEX('6. TIẾN ĐỘ MUA HÀNG'!$A$5:$AT81, 0, XMATCH("Phân loại VTBB/NL", '6. TIẾN ĐỘ MUA HÀNG'!$A$4:$AT$4, 0)) = $B31) * (TRIM(INDEX('6. TIẾN ĐỘ MUA HÀNG'!$A$5:$AT81, 0, XMATCH("Tháng", '6. TIẾN ĐỘ MUA HÀNG'!$A$4:$AT$4, 0))) = TRIM(G$6)))</f>
        <v>0</v>
      </c>
      <c r="I31" s="743">
        <f t="array" ref="I31">SUMPRODUCT((INDEX('6. TIẾN ĐỘ MUA HÀNG'!$A:$AT, 0, XMATCH("Phân loại VTBB/NL", '6. TIẾN ĐỘ MUA HÀNG'!$A$4:$AT$4, 0)) = $B31) * (TRIM(INDEX('6. TIẾN ĐỘ MUA HÀNG'!$A:$AT, 0, XMATCH("Tháng", '6. TIẾN ĐỘ MUA HÀNG'!$A$4:$AT$4, 0))) = TRIM(I$6)) * (INDEX('6. TIẾN ĐỘ MUA HÀNG'!$A:$AT, 0, XMATCH("Phân loại VTBB/NL", '6. TIẾN ĐỘ MUA HÀNG'!$A$4:$AT$4, 0)) &lt;&gt; ""))</f>
        <v>0</v>
      </c>
      <c r="J31" s="744">
        <f t="array" ref="J31">SUMPRODUCT(IFERROR(INDEX('6. TIẾN ĐỘ MUA HÀNG'!$A$5:$AT81, 0, XMATCH("Thành tiền đơn hàng", '6. TIẾN ĐỘ MUA HÀNG'!$A$4:$AT$4, 0)), 0) * (INDEX('6. TIẾN ĐỘ MUA HÀNG'!$A$5:$AT81, 0, XMATCH("Phân loại VTBB/NL", '6. TIẾN ĐỘ MUA HÀNG'!$A$4:$AT$4, 0)) = $B31) * (TRIM(INDEX('6. TIẾN ĐỘ MUA HÀNG'!$A$5:$AT81, 0, XMATCH("Tháng", '6. TIẾN ĐỘ MUA HÀNG'!$A$4:$AT$4, 0))) = TRIM(I$6)))</f>
        <v>0</v>
      </c>
      <c r="K31" s="741">
        <f t="array" ref="K31">SUMPRODUCT((INDEX('6. TIẾN ĐỘ MUA HÀNG'!$A:$AT, 0, XMATCH("Phân loại VTBB/NL", '6. TIẾN ĐỘ MUA HÀNG'!$A$4:$AT$4, 0)) = $B31) * (TRIM(INDEX('6. TIẾN ĐỘ MUA HÀNG'!$A:$AT, 0, XMATCH("Tháng", '6. TIẾN ĐỘ MUA HÀNG'!$A$4:$AT$4, 0))) = TRIM($K$6)) * (INDEX('6. TIẾN ĐỘ MUA HÀNG'!$A:$AT, 0, XMATCH("Phân loại VTBB/NL", '6. TIẾN ĐỘ MUA HÀNG'!$A$4:$AT$4, 0)) &lt;&gt; ""))</f>
        <v>0</v>
      </c>
      <c r="L31" s="742">
        <f t="array" ref="L31">SUMPRODUCT(IFERROR(INDEX('6. TIẾN ĐỘ MUA HÀNG'!$A$5:$AT81, 0, XMATCH("Thành tiền đơn hàng", '6. TIẾN ĐỘ MUA HÀNG'!$A$4:$AT$4, 0)), 0) * (INDEX('6. TIẾN ĐỘ MUA HÀNG'!$A$5:$AT81, 0, XMATCH("Phân loại VTBB/NL", '6. TIẾN ĐỘ MUA HÀNG'!$A$4:$AT$4, 0)) = $B31) * (TRIM(INDEX('6. TIẾN ĐỘ MUA HÀNG'!$A$5:$AT81, 0, XMATCH("Tháng", '6. TIẾN ĐỘ MUA HÀNG'!$A$4:$AT$4, 0))) = TRIM(K$6)))</f>
        <v>0</v>
      </c>
      <c r="M31" s="743">
        <f t="array" ref="M31">SUMPRODUCT((INDEX('6. TIẾN ĐỘ MUA HÀNG'!$A:$AT, 0, XMATCH("Phân loại VTBB/NL", '6. TIẾN ĐỘ MUA HÀNG'!$A$4:$AT$4, 0)) = $B31) * (TRIM(INDEX('6. TIẾN ĐỘ MUA HÀNG'!$A:$AT, 0, XMATCH("Tháng", '6. TIẾN ĐỘ MUA HÀNG'!$A$4:$AT$4, 0))) = TRIM(M$6)) * (INDEX('6. TIẾN ĐỘ MUA HÀNG'!$A:$AT, 0, XMATCH("Phân loại VTBB/NL", '6. TIẾN ĐỘ MUA HÀNG'!$A$4:$AT$4, 0)) &lt;&gt; ""))</f>
        <v>0</v>
      </c>
      <c r="N31" s="744">
        <f t="array" ref="N31">SUMPRODUCT(IFERROR(INDEX('6. TIẾN ĐỘ MUA HÀNG'!$A$5:$AT81, 0, XMATCH("Thành tiền đơn hàng", '6. TIẾN ĐỘ MUA HÀNG'!$A$4:$AT$4, 0)), 0) * (INDEX('6. TIẾN ĐỘ MUA HÀNG'!$A$5:$AT81, 0, XMATCH("Phân loại VTBB/NL", '6. TIẾN ĐỘ MUA HÀNG'!$A$4:$AT$4, 0)) = $B31) * (TRIM(INDEX('6. TIẾN ĐỘ MUA HÀNG'!$A$5:$AT81, 0, XMATCH("Tháng", '6. TIẾN ĐỘ MUA HÀNG'!$A$4:$AT$4, 0))) = TRIM(M$6)))</f>
        <v>0</v>
      </c>
      <c r="O31" s="741">
        <f t="array" ref="O31">SUMPRODUCT((INDEX('6. TIẾN ĐỘ MUA HÀNG'!$A:$AT, 0, XMATCH("Phân loại VTBB/NL", '6. TIẾN ĐỘ MUA HÀNG'!$A$4:$AT$4, 0)) = $B31) * (TRIM(INDEX('6. TIẾN ĐỘ MUA HÀNG'!$A:$AT, 0, XMATCH("Tháng", '6. TIẾN ĐỘ MUA HÀNG'!$A$4:$AT$4, 0))) = TRIM($O$6)) * (INDEX('6. TIẾN ĐỘ MUA HÀNG'!$A:$AT, 0, XMATCH("Phân loại VTBB/NL", '6. TIẾN ĐỘ MUA HÀNG'!$A$4:$AT$4, 0)) &lt;&gt; ""))</f>
        <v>0</v>
      </c>
      <c r="P31" s="742">
        <f t="array" ref="P31">SUMPRODUCT(IFERROR(INDEX('6. TIẾN ĐỘ MUA HÀNG'!$A$5:$AT81, 0, XMATCH("Thành tiền đơn hàng", '6. TIẾN ĐỘ MUA HÀNG'!$A$4:$AT$4, 0)), 0) * (INDEX('6. TIẾN ĐỘ MUA HÀNG'!$A$5:$AT81, 0, XMATCH("Phân loại VTBB/NL", '6. TIẾN ĐỘ MUA HÀNG'!$A$4:$AT$4, 0)) = $B31) * (TRIM(INDEX('6. TIẾN ĐỘ MUA HÀNG'!$A$5:$AT81, 0, XMATCH("Tháng", '6. TIẾN ĐỘ MUA HÀNG'!$A$4:$AT$4, 0))) = TRIM(O$6)))</f>
        <v>0</v>
      </c>
      <c r="Q31" s="743">
        <f t="array" ref="Q31">SUMPRODUCT((INDEX('6. TIẾN ĐỘ MUA HÀNG'!$A:$AT, 0, XMATCH("Phân loại VTBB/NL", '6. TIẾN ĐỘ MUA HÀNG'!$A$4:$AT$4, 0)) = $B31) * (TRIM(INDEX('6. TIẾN ĐỘ MUA HÀNG'!$A:$AT, 0, XMATCH("Tháng", '6. TIẾN ĐỘ MUA HÀNG'!$A$4:$AT$4, 0))) = TRIM(Q$6)) * (INDEX('6. TIẾN ĐỘ MUA HÀNG'!$A:$AT, 0, XMATCH("Phân loại VTBB/NL", '6. TIẾN ĐỘ MUA HÀNG'!$A$4:$AT$4, 0)) &lt;&gt; ""))</f>
        <v>0</v>
      </c>
      <c r="R31" s="744">
        <f t="array" ref="R31">SUMPRODUCT(IFERROR(INDEX('6. TIẾN ĐỘ MUA HÀNG'!$A$5:$AT81, 0, XMATCH("Thành tiền đơn hàng", '6. TIẾN ĐỘ MUA HÀNG'!$A$4:$AT$4, 0)), 0) * (INDEX('6. TIẾN ĐỘ MUA HÀNG'!$A$5:$AT81, 0, XMATCH("Phân loại VTBB/NL", '6. TIẾN ĐỘ MUA HÀNG'!$A$4:$AT$4, 0)) = $B31) * (TRIM(INDEX('6. TIẾN ĐỘ MUA HÀNG'!$A$5:$AT81, 0, XMATCH("Tháng", '6. TIẾN ĐỘ MUA HÀNG'!$A$4:$AT$4, 0))) = TRIM(Q$6)))</f>
        <v>0</v>
      </c>
      <c r="S31" s="741">
        <f t="array" ref="S31">SUMPRODUCT((INDEX('6. TIẾN ĐỘ MUA HÀNG'!$A:$AT, 0, XMATCH("Phân loại VTBB/NL", '6. TIẾN ĐỘ MUA HÀNG'!$A$4:$AT$4, 0)) = $B31) * (TRIM(INDEX('6. TIẾN ĐỘ MUA HÀNG'!$A:$AT, 0, XMATCH("Tháng", '6. TIẾN ĐỘ MUA HÀNG'!$A$4:$AT$4, 0))) = TRIM($S$6)) * (INDEX('6. TIẾN ĐỘ MUA HÀNG'!$A:$AT, 0, XMATCH("Phân loại VTBB/NL", '6. TIẾN ĐỘ MUA HÀNG'!$A$4:$AT$4, 0)) &lt;&gt; ""))</f>
        <v>0</v>
      </c>
      <c r="T31" s="742">
        <f t="array" ref="T31">SUMPRODUCT(IFERROR(INDEX('6. TIẾN ĐỘ MUA HÀNG'!$A$5:$AT81, 0, XMATCH("Thành tiền đơn hàng", '6. TIẾN ĐỘ MUA HÀNG'!$A$4:$AT$4, 0)), 0) * (INDEX('6. TIẾN ĐỘ MUA HÀNG'!$A$5:$AT81, 0, XMATCH("Phân loại VTBB/NL", '6. TIẾN ĐỘ MUA HÀNG'!$A$4:$AT$4, 0)) = $B31) * (TRIM(INDEX('6. TIẾN ĐỘ MUA HÀNG'!$A$5:$AT81, 0, XMATCH("Tháng", '6. TIẾN ĐỘ MUA HÀNG'!$A$4:$AT$4, 0))) = TRIM(S$6)))</f>
        <v>0</v>
      </c>
      <c r="U31" s="743">
        <f t="array" ref="U31">SUMPRODUCT((INDEX('6. TIẾN ĐỘ MUA HÀNG'!$A:$AT, 0, XMATCH("Phân loại VTBB/NL", '6. TIẾN ĐỘ MUA HÀNG'!$A$4:$AT$4, 0)) = $B31) * (TRIM(INDEX('6. TIẾN ĐỘ MUA HÀNG'!$A:$AT, 0, XMATCH("Tháng", '6. TIẾN ĐỘ MUA HÀNG'!$A$4:$AT$4, 0))) = TRIM(U$6)) * (INDEX('6. TIẾN ĐỘ MUA HÀNG'!$A:$AT, 0, XMATCH("Phân loại VTBB/NL", '6. TIẾN ĐỘ MUA HÀNG'!$A$4:$AT$4, 0)) &lt;&gt; ""))</f>
        <v>0</v>
      </c>
      <c r="V31" s="744">
        <f t="array" ref="V31">SUMPRODUCT(IFERROR(INDEX('6. TIẾN ĐỘ MUA HÀNG'!$A$5:$AT81, 0, XMATCH("Thành tiền đơn hàng", '6. TIẾN ĐỘ MUA HÀNG'!$A$4:$AT$4, 0)), 0) * (INDEX('6. TIẾN ĐỘ MUA HÀNG'!$A$5:$AT81, 0, XMATCH("Phân loại VTBB/NL", '6. TIẾN ĐỘ MUA HÀNG'!$A$4:$AT$4, 0)) = $B31) * (TRIM(INDEX('6. TIẾN ĐỘ MUA HÀNG'!$A$5:$AT81, 0, XMATCH("Tháng", '6. TIẾN ĐỘ MUA HÀNG'!$A$4:$AT$4, 0))) = TRIM(U$6)))</f>
        <v>0</v>
      </c>
      <c r="W31" s="741">
        <f t="array" ref="W31">SUMPRODUCT((INDEX('6. TIẾN ĐỘ MUA HÀNG'!$A:$AT, 0, XMATCH("Phân loại VTBB/NL", '6. TIẾN ĐỘ MUA HÀNG'!$A$4:$AT$4, 0)) = $B31) * (TRIM(INDEX('6. TIẾN ĐỘ MUA HÀNG'!$A:$AT, 0, XMATCH("Tháng", '6. TIẾN ĐỘ MUA HÀNG'!$A$4:$AT$4, 0))) = TRIM($W$6)) * (INDEX('6. TIẾN ĐỘ MUA HÀNG'!$A:$AT, 0, XMATCH("Phân loại VTBB/NL", '6. TIẾN ĐỘ MUA HÀNG'!$A$4:$AT$4, 0)) &lt;&gt; ""))</f>
        <v>0</v>
      </c>
      <c r="X31" s="742">
        <f t="array" ref="X31">SUMPRODUCT(IFERROR(INDEX('6. TIẾN ĐỘ MUA HÀNG'!$A$5:$AT81, 0, XMATCH("Thành tiền đơn hàng", '6. TIẾN ĐỘ MUA HÀNG'!$A$4:$AT$4, 0)), 0) * (INDEX('6. TIẾN ĐỘ MUA HÀNG'!$A$5:$AT81, 0, XMATCH("Phân loại VTBB/NL", '6. TIẾN ĐỘ MUA HÀNG'!$A$4:$AT$4, 0)) = $B31) * (TRIM(INDEX('6. TIẾN ĐỘ MUA HÀNG'!$A$5:$AT81, 0, XMATCH("Tháng", '6. TIẾN ĐỘ MUA HÀNG'!$A$4:$AT$4, 0))) = TRIM(W$6)))</f>
        <v>0</v>
      </c>
      <c r="Y31" s="743">
        <f t="array" ref="Y31">SUMPRODUCT((INDEX('6. TIẾN ĐỘ MUA HÀNG'!$A:$AT, 0, XMATCH("Phân loại VTBB/NL", '6. TIẾN ĐỘ MUA HÀNG'!$A$4:$AT$4, 0)) = $B31) * (TRIM(INDEX('6. TIẾN ĐỘ MUA HÀNG'!$A:$AT, 0, XMATCH("Tháng", '6. TIẾN ĐỘ MUA HÀNG'!$A$4:$AT$4, 0))) = TRIM(Y$6)) * (INDEX('6. TIẾN ĐỘ MUA HÀNG'!$A:$AT, 0, XMATCH("Phân loại VTBB/NL", '6. TIẾN ĐỘ MUA HÀNG'!$A$4:$AT$4, 0)) &lt;&gt; ""))</f>
        <v>0</v>
      </c>
      <c r="Z31" s="744">
        <f t="array" ref="Z31">SUMPRODUCT(IFERROR(INDEX('6. TIẾN ĐỘ MUA HÀNG'!$A$5:$AT81, 0, XMATCH("Thành tiền đơn hàng", '6. TIẾN ĐỘ MUA HÀNG'!$A$4:$AT$4, 0)), 0) * (INDEX('6. TIẾN ĐỘ MUA HÀNG'!$A$5:$AT81, 0, XMATCH("Phân loại VTBB/NL", '6. TIẾN ĐỘ MUA HÀNG'!$A$4:$AT$4, 0)) = $B31) * (TRIM(INDEX('6. TIẾN ĐỘ MUA HÀNG'!$A$5:$AT81, 0, XMATCH("Tháng", '6. TIẾN ĐỘ MUA HÀNG'!$A$4:$AT$4, 0))) = TRIM(Y$6)))</f>
        <v>0</v>
      </c>
      <c r="AA31" s="726">
        <f t="shared" si="2"/>
        <v>0</v>
      </c>
      <c r="AB31" s="726">
        <f t="shared" si="3"/>
        <v>0</v>
      </c>
    </row>
    <row r="32">
      <c r="A32" s="612">
        <v>24.0</v>
      </c>
      <c r="B32" s="597" t="str">
        <f>IFERROR(__xludf.DUMMYFUNCTION("""COMPUTED_VALUE"""),"Túi in cuộn màng")</f>
        <v>Túi in cuộn màng</v>
      </c>
      <c r="C32" s="741">
        <f t="array" ref="C32">SUMPRODUCT((INDEX('6. TIẾN ĐỘ MUA HÀNG'!$A:$AT, 0, XMATCH("Phân loại VTBB/NL", '6. TIẾN ĐỘ MUA HÀNG'!$A$4:$AT$4, 0)) = $B32) * (TRIM(INDEX('6. TIẾN ĐỘ MUA HÀNG'!$A:$AT, 0, XMATCH("Tháng", '6. TIẾN ĐỘ MUA HÀNG'!$A$4:$AT$4, 0))) = TRIM($C$6)) * (INDEX('6. TIẾN ĐỘ MUA HÀNG'!$A:$AT, 0, XMATCH("Phân loại VTBB/NL", '6. TIẾN ĐỘ MUA HÀNG'!$A$4:$AT$4, 0)) &lt;&gt; ""))</f>
        <v>0</v>
      </c>
      <c r="D32" s="742">
        <f t="array" ref="D32">SUMPRODUCT(IFERROR(INDEX('6. TIẾN ĐỘ MUA HÀNG'!$A$5:$AT81, 0, XMATCH("Thành tiền đơn hàng", '6. TIẾN ĐỘ MUA HÀNG'!$A$4:$AT$4, 0)), 0) * (INDEX('6. TIẾN ĐỘ MUA HÀNG'!$A$5:$AT81, 0, XMATCH("Phân loại VTBB/NL", '6. TIẾN ĐỘ MUA HÀNG'!$A$4:$AT$4, 0)) = $B32) * (TRIM(INDEX('6. TIẾN ĐỘ MUA HÀNG'!$A$5:$AT81, 0, XMATCH("Tháng", '6. TIẾN ĐỘ MUA HÀNG'!$A$4:$AT$4, 0))) = TRIM(C$6)))</f>
        <v>0</v>
      </c>
      <c r="E32" s="743">
        <f t="array" ref="E32">SUMPRODUCT((INDEX('6. TIẾN ĐỘ MUA HÀNG'!$A:$AT, 0, XMATCH("Phân loại VTBB/NL", '6. TIẾN ĐỘ MUA HÀNG'!$A$4:$AT$4, 0)) = $B32) * (TRIM(INDEX('6. TIẾN ĐỘ MUA HÀNG'!$A:$AT, 0, XMATCH("Tháng", '6. TIẾN ĐỘ MUA HÀNG'!$A$4:$AT$4, 0))) = TRIM(E$6)) * (INDEX('6. TIẾN ĐỘ MUA HÀNG'!$A:$AT, 0, XMATCH("Phân loại VTBB/NL", '6. TIẾN ĐỘ MUA HÀNG'!$A$4:$AT$4, 0)) &lt;&gt; ""))</f>
        <v>0</v>
      </c>
      <c r="F32" s="744">
        <f t="array" ref="F32">SUMPRODUCT(IFERROR(INDEX('6. TIẾN ĐỘ MUA HÀNG'!$A$5:$AT81, 0, XMATCH("Thành tiền đơn hàng", '6. TIẾN ĐỘ MUA HÀNG'!$A$4:$AT$4, 0)), 0) * (INDEX('6. TIẾN ĐỘ MUA HÀNG'!$A$5:$AT81, 0, XMATCH("Phân loại VTBB/NL", '6. TIẾN ĐỘ MUA HÀNG'!$A$4:$AT$4, 0)) = $B32) * (TRIM(INDEX('6. TIẾN ĐỘ MUA HÀNG'!$A$5:$AT81, 0, XMATCH("Tháng", '6. TIẾN ĐỘ MUA HÀNG'!$A$4:$AT$4, 0))) = TRIM(E$6)))</f>
        <v>0</v>
      </c>
      <c r="G32" s="741">
        <f t="array" ref="G32">SUMPRODUCT((INDEX('6. TIẾN ĐỘ MUA HÀNG'!$A:$AT, 0, XMATCH("Phân loại VTBB/NL", '6. TIẾN ĐỘ MUA HÀNG'!$A$4:$AT$4, 0)) = $B32) * (TRIM(INDEX('6. TIẾN ĐỘ MUA HÀNG'!$A:$AT, 0, XMATCH("Tháng", '6. TIẾN ĐỘ MUA HÀNG'!$A$4:$AT$4, 0))) = TRIM($G$6)) * (INDEX('6. TIẾN ĐỘ MUA HÀNG'!$A:$AT, 0, XMATCH("Phân loại VTBB/NL", '6. TIẾN ĐỘ MUA HÀNG'!$A$4:$AT$4, 0)) &lt;&gt; ""))</f>
        <v>0</v>
      </c>
      <c r="H32" s="742">
        <f t="array" ref="H32">SUMPRODUCT(IFERROR(INDEX('6. TIẾN ĐỘ MUA HÀNG'!$A$5:$AT81, 0, XMATCH("Thành tiền đơn hàng", '6. TIẾN ĐỘ MUA HÀNG'!$A$4:$AT$4, 0)), 0) * (INDEX('6. TIẾN ĐỘ MUA HÀNG'!$A$5:$AT81, 0, XMATCH("Phân loại VTBB/NL", '6. TIẾN ĐỘ MUA HÀNG'!$A$4:$AT$4, 0)) = $B32) * (TRIM(INDEX('6. TIẾN ĐỘ MUA HÀNG'!$A$5:$AT81, 0, XMATCH("Tháng", '6. TIẾN ĐỘ MUA HÀNG'!$A$4:$AT$4, 0))) = TRIM(G$6)))</f>
        <v>0</v>
      </c>
      <c r="I32" s="743">
        <f t="array" ref="I32">SUMPRODUCT((INDEX('6. TIẾN ĐỘ MUA HÀNG'!$A:$AT, 0, XMATCH("Phân loại VTBB/NL", '6. TIẾN ĐỘ MUA HÀNG'!$A$4:$AT$4, 0)) = $B32) * (TRIM(INDEX('6. TIẾN ĐỘ MUA HÀNG'!$A:$AT, 0, XMATCH("Tháng", '6. TIẾN ĐỘ MUA HÀNG'!$A$4:$AT$4, 0))) = TRIM(I$6)) * (INDEX('6. TIẾN ĐỘ MUA HÀNG'!$A:$AT, 0, XMATCH("Phân loại VTBB/NL", '6. TIẾN ĐỘ MUA HÀNG'!$A$4:$AT$4, 0)) &lt;&gt; ""))</f>
        <v>0</v>
      </c>
      <c r="J32" s="744">
        <f t="array" ref="J32">SUMPRODUCT(IFERROR(INDEX('6. TIẾN ĐỘ MUA HÀNG'!$A$5:$AT81, 0, XMATCH("Thành tiền đơn hàng", '6. TIẾN ĐỘ MUA HÀNG'!$A$4:$AT$4, 0)), 0) * (INDEX('6. TIẾN ĐỘ MUA HÀNG'!$A$5:$AT81, 0, XMATCH("Phân loại VTBB/NL", '6. TIẾN ĐỘ MUA HÀNG'!$A$4:$AT$4, 0)) = $B32) * (TRIM(INDEX('6. TIẾN ĐỘ MUA HÀNG'!$A$5:$AT81, 0, XMATCH("Tháng", '6. TIẾN ĐỘ MUA HÀNG'!$A$4:$AT$4, 0))) = TRIM(I$6)))</f>
        <v>0</v>
      </c>
      <c r="K32" s="741">
        <f t="array" ref="K32">SUMPRODUCT((INDEX('6. TIẾN ĐỘ MUA HÀNG'!$A:$AT, 0, XMATCH("Phân loại VTBB/NL", '6. TIẾN ĐỘ MUA HÀNG'!$A$4:$AT$4, 0)) = $B32) * (TRIM(INDEX('6. TIẾN ĐỘ MUA HÀNG'!$A:$AT, 0, XMATCH("Tháng", '6. TIẾN ĐỘ MUA HÀNG'!$A$4:$AT$4, 0))) = TRIM($K$6)) * (INDEX('6. TIẾN ĐỘ MUA HÀNG'!$A:$AT, 0, XMATCH("Phân loại VTBB/NL", '6. TIẾN ĐỘ MUA HÀNG'!$A$4:$AT$4, 0)) &lt;&gt; ""))</f>
        <v>0</v>
      </c>
      <c r="L32" s="742">
        <f t="array" ref="L32">SUMPRODUCT(IFERROR(INDEX('6. TIẾN ĐỘ MUA HÀNG'!$A$5:$AT81, 0, XMATCH("Thành tiền đơn hàng", '6. TIẾN ĐỘ MUA HÀNG'!$A$4:$AT$4, 0)), 0) * (INDEX('6. TIẾN ĐỘ MUA HÀNG'!$A$5:$AT81, 0, XMATCH("Phân loại VTBB/NL", '6. TIẾN ĐỘ MUA HÀNG'!$A$4:$AT$4, 0)) = $B32) * (TRIM(INDEX('6. TIẾN ĐỘ MUA HÀNG'!$A$5:$AT81, 0, XMATCH("Tháng", '6. TIẾN ĐỘ MUA HÀNG'!$A$4:$AT$4, 0))) = TRIM(K$6)))</f>
        <v>0</v>
      </c>
      <c r="M32" s="743">
        <f t="array" ref="M32">SUMPRODUCT((INDEX('6. TIẾN ĐỘ MUA HÀNG'!$A:$AT, 0, XMATCH("Phân loại VTBB/NL", '6. TIẾN ĐỘ MUA HÀNG'!$A$4:$AT$4, 0)) = $B32) * (TRIM(INDEX('6. TIẾN ĐỘ MUA HÀNG'!$A:$AT, 0, XMATCH("Tháng", '6. TIẾN ĐỘ MUA HÀNG'!$A$4:$AT$4, 0))) = TRIM(M$6)) * (INDEX('6. TIẾN ĐỘ MUA HÀNG'!$A:$AT, 0, XMATCH("Phân loại VTBB/NL", '6. TIẾN ĐỘ MUA HÀNG'!$A$4:$AT$4, 0)) &lt;&gt; ""))</f>
        <v>0</v>
      </c>
      <c r="N32" s="744">
        <f t="array" ref="N32">SUMPRODUCT(IFERROR(INDEX('6. TIẾN ĐỘ MUA HÀNG'!$A$5:$AT81, 0, XMATCH("Thành tiền đơn hàng", '6. TIẾN ĐỘ MUA HÀNG'!$A$4:$AT$4, 0)), 0) * (INDEX('6. TIẾN ĐỘ MUA HÀNG'!$A$5:$AT81, 0, XMATCH("Phân loại VTBB/NL", '6. TIẾN ĐỘ MUA HÀNG'!$A$4:$AT$4, 0)) = $B32) * (TRIM(INDEX('6. TIẾN ĐỘ MUA HÀNG'!$A$5:$AT81, 0, XMATCH("Tháng", '6. TIẾN ĐỘ MUA HÀNG'!$A$4:$AT$4, 0))) = TRIM(M$6)))</f>
        <v>0</v>
      </c>
      <c r="O32" s="741">
        <f t="array" ref="O32">SUMPRODUCT((INDEX('6. TIẾN ĐỘ MUA HÀNG'!$A:$AT, 0, XMATCH("Phân loại VTBB/NL", '6. TIẾN ĐỘ MUA HÀNG'!$A$4:$AT$4, 0)) = $B32) * (TRIM(INDEX('6. TIẾN ĐỘ MUA HÀNG'!$A:$AT, 0, XMATCH("Tháng", '6. TIẾN ĐỘ MUA HÀNG'!$A$4:$AT$4, 0))) = TRIM($O$6)) * (INDEX('6. TIẾN ĐỘ MUA HÀNG'!$A:$AT, 0, XMATCH("Phân loại VTBB/NL", '6. TIẾN ĐỘ MUA HÀNG'!$A$4:$AT$4, 0)) &lt;&gt; ""))</f>
        <v>0</v>
      </c>
      <c r="P32" s="742">
        <f t="array" ref="P32">SUMPRODUCT(IFERROR(INDEX('6. TIẾN ĐỘ MUA HÀNG'!$A$5:$AT81, 0, XMATCH("Thành tiền đơn hàng", '6. TIẾN ĐỘ MUA HÀNG'!$A$4:$AT$4, 0)), 0) * (INDEX('6. TIẾN ĐỘ MUA HÀNG'!$A$5:$AT81, 0, XMATCH("Phân loại VTBB/NL", '6. TIẾN ĐỘ MUA HÀNG'!$A$4:$AT$4, 0)) = $B32) * (TRIM(INDEX('6. TIẾN ĐỘ MUA HÀNG'!$A$5:$AT81, 0, XMATCH("Tháng", '6. TIẾN ĐỘ MUA HÀNG'!$A$4:$AT$4, 0))) = TRIM(O$6)))</f>
        <v>0</v>
      </c>
      <c r="Q32" s="743">
        <f t="array" ref="Q32">SUMPRODUCT((INDEX('6. TIẾN ĐỘ MUA HÀNG'!$A:$AT, 0, XMATCH("Phân loại VTBB/NL", '6. TIẾN ĐỘ MUA HÀNG'!$A$4:$AT$4, 0)) = $B32) * (TRIM(INDEX('6. TIẾN ĐỘ MUA HÀNG'!$A:$AT, 0, XMATCH("Tháng", '6. TIẾN ĐỘ MUA HÀNG'!$A$4:$AT$4, 0))) = TRIM(Q$6)) * (INDEX('6. TIẾN ĐỘ MUA HÀNG'!$A:$AT, 0, XMATCH("Phân loại VTBB/NL", '6. TIẾN ĐỘ MUA HÀNG'!$A$4:$AT$4, 0)) &lt;&gt; ""))</f>
        <v>0</v>
      </c>
      <c r="R32" s="744">
        <f t="array" ref="R32">SUMPRODUCT(IFERROR(INDEX('6. TIẾN ĐỘ MUA HÀNG'!$A$5:$AT81, 0, XMATCH("Thành tiền đơn hàng", '6. TIẾN ĐỘ MUA HÀNG'!$A$4:$AT$4, 0)), 0) * (INDEX('6. TIẾN ĐỘ MUA HÀNG'!$A$5:$AT81, 0, XMATCH("Phân loại VTBB/NL", '6. TIẾN ĐỘ MUA HÀNG'!$A$4:$AT$4, 0)) = $B32) * (TRIM(INDEX('6. TIẾN ĐỘ MUA HÀNG'!$A$5:$AT81, 0, XMATCH("Tháng", '6. TIẾN ĐỘ MUA HÀNG'!$A$4:$AT$4, 0))) = TRIM(Q$6)))</f>
        <v>0</v>
      </c>
      <c r="S32" s="741">
        <f t="array" ref="S32">SUMPRODUCT((INDEX('6. TIẾN ĐỘ MUA HÀNG'!$A:$AT, 0, XMATCH("Phân loại VTBB/NL", '6. TIẾN ĐỘ MUA HÀNG'!$A$4:$AT$4, 0)) = $B32) * (TRIM(INDEX('6. TIẾN ĐỘ MUA HÀNG'!$A:$AT, 0, XMATCH("Tháng", '6. TIẾN ĐỘ MUA HÀNG'!$A$4:$AT$4, 0))) = TRIM($S$6)) * (INDEX('6. TIẾN ĐỘ MUA HÀNG'!$A:$AT, 0, XMATCH("Phân loại VTBB/NL", '6. TIẾN ĐỘ MUA HÀNG'!$A$4:$AT$4, 0)) &lt;&gt; ""))</f>
        <v>0</v>
      </c>
      <c r="T32" s="742">
        <f t="array" ref="T32">SUMPRODUCT(IFERROR(INDEX('6. TIẾN ĐỘ MUA HÀNG'!$A$5:$AT81, 0, XMATCH("Thành tiền đơn hàng", '6. TIẾN ĐỘ MUA HÀNG'!$A$4:$AT$4, 0)), 0) * (INDEX('6. TIẾN ĐỘ MUA HÀNG'!$A$5:$AT81, 0, XMATCH("Phân loại VTBB/NL", '6. TIẾN ĐỘ MUA HÀNG'!$A$4:$AT$4, 0)) = $B32) * (TRIM(INDEX('6. TIẾN ĐỘ MUA HÀNG'!$A$5:$AT81, 0, XMATCH("Tháng", '6. TIẾN ĐỘ MUA HÀNG'!$A$4:$AT$4, 0))) = TRIM(S$6)))</f>
        <v>0</v>
      </c>
      <c r="U32" s="743">
        <f t="array" ref="U32">SUMPRODUCT((INDEX('6. TIẾN ĐỘ MUA HÀNG'!$A:$AT, 0, XMATCH("Phân loại VTBB/NL", '6. TIẾN ĐỘ MUA HÀNG'!$A$4:$AT$4, 0)) = $B32) * (TRIM(INDEX('6. TIẾN ĐỘ MUA HÀNG'!$A:$AT, 0, XMATCH("Tháng", '6. TIẾN ĐỘ MUA HÀNG'!$A$4:$AT$4, 0))) = TRIM(U$6)) * (INDEX('6. TIẾN ĐỘ MUA HÀNG'!$A:$AT, 0, XMATCH("Phân loại VTBB/NL", '6. TIẾN ĐỘ MUA HÀNG'!$A$4:$AT$4, 0)) &lt;&gt; ""))</f>
        <v>0</v>
      </c>
      <c r="V32" s="744">
        <f t="array" ref="V32">SUMPRODUCT(IFERROR(INDEX('6. TIẾN ĐỘ MUA HÀNG'!$A$5:$AT81, 0, XMATCH("Thành tiền đơn hàng", '6. TIẾN ĐỘ MUA HÀNG'!$A$4:$AT$4, 0)), 0) * (INDEX('6. TIẾN ĐỘ MUA HÀNG'!$A$5:$AT81, 0, XMATCH("Phân loại VTBB/NL", '6. TIẾN ĐỘ MUA HÀNG'!$A$4:$AT$4, 0)) = $B32) * (TRIM(INDEX('6. TIẾN ĐỘ MUA HÀNG'!$A$5:$AT81, 0, XMATCH("Tháng", '6. TIẾN ĐỘ MUA HÀNG'!$A$4:$AT$4, 0))) = TRIM(U$6)))</f>
        <v>0</v>
      </c>
      <c r="W32" s="741">
        <f t="array" ref="W32">SUMPRODUCT((INDEX('6. TIẾN ĐỘ MUA HÀNG'!$A:$AT, 0, XMATCH("Phân loại VTBB/NL", '6. TIẾN ĐỘ MUA HÀNG'!$A$4:$AT$4, 0)) = $B32) * (TRIM(INDEX('6. TIẾN ĐỘ MUA HÀNG'!$A:$AT, 0, XMATCH("Tháng", '6. TIẾN ĐỘ MUA HÀNG'!$A$4:$AT$4, 0))) = TRIM($W$6)) * (INDEX('6. TIẾN ĐỘ MUA HÀNG'!$A:$AT, 0, XMATCH("Phân loại VTBB/NL", '6. TIẾN ĐỘ MUA HÀNG'!$A$4:$AT$4, 0)) &lt;&gt; ""))</f>
        <v>0</v>
      </c>
      <c r="X32" s="742">
        <f t="array" ref="X32">SUMPRODUCT(IFERROR(INDEX('6. TIẾN ĐỘ MUA HÀNG'!$A$5:$AT81, 0, XMATCH("Thành tiền đơn hàng", '6. TIẾN ĐỘ MUA HÀNG'!$A$4:$AT$4, 0)), 0) * (INDEX('6. TIẾN ĐỘ MUA HÀNG'!$A$5:$AT81, 0, XMATCH("Phân loại VTBB/NL", '6. TIẾN ĐỘ MUA HÀNG'!$A$4:$AT$4, 0)) = $B32) * (TRIM(INDEX('6. TIẾN ĐỘ MUA HÀNG'!$A$5:$AT81, 0, XMATCH("Tháng", '6. TIẾN ĐỘ MUA HÀNG'!$A$4:$AT$4, 0))) = TRIM(W$6)))</f>
        <v>0</v>
      </c>
      <c r="Y32" s="743">
        <f t="array" ref="Y32">SUMPRODUCT((INDEX('6. TIẾN ĐỘ MUA HÀNG'!$A:$AT, 0, XMATCH("Phân loại VTBB/NL", '6. TIẾN ĐỘ MUA HÀNG'!$A$4:$AT$4, 0)) = $B32) * (TRIM(INDEX('6. TIẾN ĐỘ MUA HÀNG'!$A:$AT, 0, XMATCH("Tháng", '6. TIẾN ĐỘ MUA HÀNG'!$A$4:$AT$4, 0))) = TRIM(Y$6)) * (INDEX('6. TIẾN ĐỘ MUA HÀNG'!$A:$AT, 0, XMATCH("Phân loại VTBB/NL", '6. TIẾN ĐỘ MUA HÀNG'!$A$4:$AT$4, 0)) &lt;&gt; ""))</f>
        <v>0</v>
      </c>
      <c r="Z32" s="744">
        <f t="array" ref="Z32">SUMPRODUCT(IFERROR(INDEX('6. TIẾN ĐỘ MUA HÀNG'!$A$5:$AT81, 0, XMATCH("Thành tiền đơn hàng", '6. TIẾN ĐỘ MUA HÀNG'!$A$4:$AT$4, 0)), 0) * (INDEX('6. TIẾN ĐỘ MUA HÀNG'!$A$5:$AT81, 0, XMATCH("Phân loại VTBB/NL", '6. TIẾN ĐỘ MUA HÀNG'!$A$4:$AT$4, 0)) = $B32) * (TRIM(INDEX('6. TIẾN ĐỘ MUA HÀNG'!$A$5:$AT81, 0, XMATCH("Tháng", '6. TIẾN ĐỘ MUA HÀNG'!$A$4:$AT$4, 0))) = TRIM(Y$6)))</f>
        <v>0</v>
      </c>
      <c r="AA32" s="726">
        <f t="shared" si="2"/>
        <v>0</v>
      </c>
      <c r="AB32" s="726">
        <f t="shared" si="3"/>
        <v>0</v>
      </c>
    </row>
    <row r="33">
      <c r="A33" s="612">
        <v>25.0</v>
      </c>
      <c r="B33" s="597" t="str">
        <f>IFERROR(__xludf.DUMMYFUNCTION("""COMPUTED_VALUE"""),"Vận chuyển")</f>
        <v>Vận chuyển</v>
      </c>
      <c r="C33" s="741">
        <f t="array" ref="C33">SUMPRODUCT((INDEX('6. TIẾN ĐỘ MUA HÀNG'!$A:$AT, 0, XMATCH("Phân loại VTBB/NL", '6. TIẾN ĐỘ MUA HÀNG'!$A$4:$AT$4, 0)) = $B33) * (TRIM(INDEX('6. TIẾN ĐỘ MUA HÀNG'!$A:$AT, 0, XMATCH("Tháng", '6. TIẾN ĐỘ MUA HÀNG'!$A$4:$AT$4, 0))) = TRIM($C$6)) * (INDEX('6. TIẾN ĐỘ MUA HÀNG'!$A:$AT, 0, XMATCH("Phân loại VTBB/NL", '6. TIẾN ĐỘ MUA HÀNG'!$A$4:$AT$4, 0)) &lt;&gt; ""))</f>
        <v>0</v>
      </c>
      <c r="D33" s="742">
        <f t="array" ref="D33">SUMPRODUCT(IFERROR(INDEX('6. TIẾN ĐỘ MUA HÀNG'!$A$5:$AT81, 0, XMATCH("Thành tiền đơn hàng", '6. TIẾN ĐỘ MUA HÀNG'!$A$4:$AT$4, 0)), 0) * (INDEX('6. TIẾN ĐỘ MUA HÀNG'!$A$5:$AT81, 0, XMATCH("Phân loại VTBB/NL", '6. TIẾN ĐỘ MUA HÀNG'!$A$4:$AT$4, 0)) = $B33) * (TRIM(INDEX('6. TIẾN ĐỘ MUA HÀNG'!$A$5:$AT81, 0, XMATCH("Tháng", '6. TIẾN ĐỘ MUA HÀNG'!$A$4:$AT$4, 0))) = TRIM(C$6)))</f>
        <v>0</v>
      </c>
      <c r="E33" s="743">
        <f t="array" ref="E33">SUMPRODUCT((INDEX('6. TIẾN ĐỘ MUA HÀNG'!$A:$AT, 0, XMATCH("Phân loại VTBB/NL", '6. TIẾN ĐỘ MUA HÀNG'!$A$4:$AT$4, 0)) = $B33) * (TRIM(INDEX('6. TIẾN ĐỘ MUA HÀNG'!$A:$AT, 0, XMATCH("Tháng", '6. TIẾN ĐỘ MUA HÀNG'!$A$4:$AT$4, 0))) = TRIM(E$6)) * (INDEX('6. TIẾN ĐỘ MUA HÀNG'!$A:$AT, 0, XMATCH("Phân loại VTBB/NL", '6. TIẾN ĐỘ MUA HÀNG'!$A$4:$AT$4, 0)) &lt;&gt; ""))</f>
        <v>0</v>
      </c>
      <c r="F33" s="744">
        <f t="array" ref="F33">SUMPRODUCT(IFERROR(INDEX('6. TIẾN ĐỘ MUA HÀNG'!$A$5:$AT81, 0, XMATCH("Thành tiền đơn hàng", '6. TIẾN ĐỘ MUA HÀNG'!$A$4:$AT$4, 0)), 0) * (INDEX('6. TIẾN ĐỘ MUA HÀNG'!$A$5:$AT81, 0, XMATCH("Phân loại VTBB/NL", '6. TIẾN ĐỘ MUA HÀNG'!$A$4:$AT$4, 0)) = $B33) * (TRIM(INDEX('6. TIẾN ĐỘ MUA HÀNG'!$A$5:$AT81, 0, XMATCH("Tháng", '6. TIẾN ĐỘ MUA HÀNG'!$A$4:$AT$4, 0))) = TRIM(E$6)))</f>
        <v>0</v>
      </c>
      <c r="G33" s="741">
        <f t="array" ref="G33">SUMPRODUCT((INDEX('6. TIẾN ĐỘ MUA HÀNG'!$A:$AT, 0, XMATCH("Phân loại VTBB/NL", '6. TIẾN ĐỘ MUA HÀNG'!$A$4:$AT$4, 0)) = $B33) * (TRIM(INDEX('6. TIẾN ĐỘ MUA HÀNG'!$A:$AT, 0, XMATCH("Tháng", '6. TIẾN ĐỘ MUA HÀNG'!$A$4:$AT$4, 0))) = TRIM($G$6)) * (INDEX('6. TIẾN ĐỘ MUA HÀNG'!$A:$AT, 0, XMATCH("Phân loại VTBB/NL", '6. TIẾN ĐỘ MUA HÀNG'!$A$4:$AT$4, 0)) &lt;&gt; ""))</f>
        <v>0</v>
      </c>
      <c r="H33" s="742">
        <f t="array" ref="H33">SUMPRODUCT(IFERROR(INDEX('6. TIẾN ĐỘ MUA HÀNG'!$A$5:$AT81, 0, XMATCH("Thành tiền đơn hàng", '6. TIẾN ĐỘ MUA HÀNG'!$A$4:$AT$4, 0)), 0) * (INDEX('6. TIẾN ĐỘ MUA HÀNG'!$A$5:$AT81, 0, XMATCH("Phân loại VTBB/NL", '6. TIẾN ĐỘ MUA HÀNG'!$A$4:$AT$4, 0)) = $B33) * (TRIM(INDEX('6. TIẾN ĐỘ MUA HÀNG'!$A$5:$AT81, 0, XMATCH("Tháng", '6. TIẾN ĐỘ MUA HÀNG'!$A$4:$AT$4, 0))) = TRIM(G$6)))</f>
        <v>0</v>
      </c>
      <c r="I33" s="743">
        <f t="array" ref="I33">SUMPRODUCT((INDEX('6. TIẾN ĐỘ MUA HÀNG'!$A:$AT, 0, XMATCH("Phân loại VTBB/NL", '6. TIẾN ĐỘ MUA HÀNG'!$A$4:$AT$4, 0)) = $B33) * (TRIM(INDEX('6. TIẾN ĐỘ MUA HÀNG'!$A:$AT, 0, XMATCH("Tháng", '6. TIẾN ĐỘ MUA HÀNG'!$A$4:$AT$4, 0))) = TRIM(I$6)) * (INDEX('6. TIẾN ĐỘ MUA HÀNG'!$A:$AT, 0, XMATCH("Phân loại VTBB/NL", '6. TIẾN ĐỘ MUA HÀNG'!$A$4:$AT$4, 0)) &lt;&gt; ""))</f>
        <v>0</v>
      </c>
      <c r="J33" s="744">
        <f t="array" ref="J33">SUMPRODUCT(IFERROR(INDEX('6. TIẾN ĐỘ MUA HÀNG'!$A$5:$AT81, 0, XMATCH("Thành tiền đơn hàng", '6. TIẾN ĐỘ MUA HÀNG'!$A$4:$AT$4, 0)), 0) * (INDEX('6. TIẾN ĐỘ MUA HÀNG'!$A$5:$AT81, 0, XMATCH("Phân loại VTBB/NL", '6. TIẾN ĐỘ MUA HÀNG'!$A$4:$AT$4, 0)) = $B33) * (TRIM(INDEX('6. TIẾN ĐỘ MUA HÀNG'!$A$5:$AT81, 0, XMATCH("Tháng", '6. TIẾN ĐỘ MUA HÀNG'!$A$4:$AT$4, 0))) = TRIM(I$6)))</f>
        <v>0</v>
      </c>
      <c r="K33" s="741">
        <f t="array" ref="K33">SUMPRODUCT((INDEX('6. TIẾN ĐỘ MUA HÀNG'!$A:$AT, 0, XMATCH("Phân loại VTBB/NL", '6. TIẾN ĐỘ MUA HÀNG'!$A$4:$AT$4, 0)) = $B33) * (TRIM(INDEX('6. TIẾN ĐỘ MUA HÀNG'!$A:$AT, 0, XMATCH("Tháng", '6. TIẾN ĐỘ MUA HÀNG'!$A$4:$AT$4, 0))) = TRIM($K$6)) * (INDEX('6. TIẾN ĐỘ MUA HÀNG'!$A:$AT, 0, XMATCH("Phân loại VTBB/NL", '6. TIẾN ĐỘ MUA HÀNG'!$A$4:$AT$4, 0)) &lt;&gt; ""))</f>
        <v>0</v>
      </c>
      <c r="L33" s="742">
        <f t="array" ref="L33">SUMPRODUCT(IFERROR(INDEX('6. TIẾN ĐỘ MUA HÀNG'!$A$5:$AT81, 0, XMATCH("Thành tiền đơn hàng", '6. TIẾN ĐỘ MUA HÀNG'!$A$4:$AT$4, 0)), 0) * (INDEX('6. TIẾN ĐỘ MUA HÀNG'!$A$5:$AT81, 0, XMATCH("Phân loại VTBB/NL", '6. TIẾN ĐỘ MUA HÀNG'!$A$4:$AT$4, 0)) = $B33) * (TRIM(INDEX('6. TIẾN ĐỘ MUA HÀNG'!$A$5:$AT81, 0, XMATCH("Tháng", '6. TIẾN ĐỘ MUA HÀNG'!$A$4:$AT$4, 0))) = TRIM(K$6)))</f>
        <v>0</v>
      </c>
      <c r="M33" s="743">
        <f t="array" ref="M33">SUMPRODUCT((INDEX('6. TIẾN ĐỘ MUA HÀNG'!$A:$AT, 0, XMATCH("Phân loại VTBB/NL", '6. TIẾN ĐỘ MUA HÀNG'!$A$4:$AT$4, 0)) = $B33) * (TRIM(INDEX('6. TIẾN ĐỘ MUA HÀNG'!$A:$AT, 0, XMATCH("Tháng", '6. TIẾN ĐỘ MUA HÀNG'!$A$4:$AT$4, 0))) = TRIM(M$6)) * (INDEX('6. TIẾN ĐỘ MUA HÀNG'!$A:$AT, 0, XMATCH("Phân loại VTBB/NL", '6. TIẾN ĐỘ MUA HÀNG'!$A$4:$AT$4, 0)) &lt;&gt; ""))</f>
        <v>0</v>
      </c>
      <c r="N33" s="744">
        <f t="array" ref="N33">SUMPRODUCT(IFERROR(INDEX('6. TIẾN ĐỘ MUA HÀNG'!$A$5:$AT81, 0, XMATCH("Thành tiền đơn hàng", '6. TIẾN ĐỘ MUA HÀNG'!$A$4:$AT$4, 0)), 0) * (INDEX('6. TIẾN ĐỘ MUA HÀNG'!$A$5:$AT81, 0, XMATCH("Phân loại VTBB/NL", '6. TIẾN ĐỘ MUA HÀNG'!$A$4:$AT$4, 0)) = $B33) * (TRIM(INDEX('6. TIẾN ĐỘ MUA HÀNG'!$A$5:$AT81, 0, XMATCH("Tháng", '6. TIẾN ĐỘ MUA HÀNG'!$A$4:$AT$4, 0))) = TRIM(M$6)))</f>
        <v>0</v>
      </c>
      <c r="O33" s="741">
        <f t="array" ref="O33">SUMPRODUCT((INDEX('6. TIẾN ĐỘ MUA HÀNG'!$A:$AT, 0, XMATCH("Phân loại VTBB/NL", '6. TIẾN ĐỘ MUA HÀNG'!$A$4:$AT$4, 0)) = $B33) * (TRIM(INDEX('6. TIẾN ĐỘ MUA HÀNG'!$A:$AT, 0, XMATCH("Tháng", '6. TIẾN ĐỘ MUA HÀNG'!$A$4:$AT$4, 0))) = TRIM($O$6)) * (INDEX('6. TIẾN ĐỘ MUA HÀNG'!$A:$AT, 0, XMATCH("Phân loại VTBB/NL", '6. TIẾN ĐỘ MUA HÀNG'!$A$4:$AT$4, 0)) &lt;&gt; ""))</f>
        <v>0</v>
      </c>
      <c r="P33" s="742">
        <f t="array" ref="P33">SUMPRODUCT(IFERROR(INDEX('6. TIẾN ĐỘ MUA HÀNG'!$A$5:$AT81, 0, XMATCH("Thành tiền đơn hàng", '6. TIẾN ĐỘ MUA HÀNG'!$A$4:$AT$4, 0)), 0) * (INDEX('6. TIẾN ĐỘ MUA HÀNG'!$A$5:$AT81, 0, XMATCH("Phân loại VTBB/NL", '6. TIẾN ĐỘ MUA HÀNG'!$A$4:$AT$4, 0)) = $B33) * (TRIM(INDEX('6. TIẾN ĐỘ MUA HÀNG'!$A$5:$AT81, 0, XMATCH("Tháng", '6. TIẾN ĐỘ MUA HÀNG'!$A$4:$AT$4, 0))) = TRIM(O$6)))</f>
        <v>0</v>
      </c>
      <c r="Q33" s="743">
        <f t="array" ref="Q33">SUMPRODUCT((INDEX('6. TIẾN ĐỘ MUA HÀNG'!$A:$AT, 0, XMATCH("Phân loại VTBB/NL", '6. TIẾN ĐỘ MUA HÀNG'!$A$4:$AT$4, 0)) = $B33) * (TRIM(INDEX('6. TIẾN ĐỘ MUA HÀNG'!$A:$AT, 0, XMATCH("Tháng", '6. TIẾN ĐỘ MUA HÀNG'!$A$4:$AT$4, 0))) = TRIM(Q$6)) * (INDEX('6. TIẾN ĐỘ MUA HÀNG'!$A:$AT, 0, XMATCH("Phân loại VTBB/NL", '6. TIẾN ĐỘ MUA HÀNG'!$A$4:$AT$4, 0)) &lt;&gt; ""))</f>
        <v>0</v>
      </c>
      <c r="R33" s="744">
        <f t="array" ref="R33">SUMPRODUCT(IFERROR(INDEX('6. TIẾN ĐỘ MUA HÀNG'!$A$5:$AT81, 0, XMATCH("Thành tiền đơn hàng", '6. TIẾN ĐỘ MUA HÀNG'!$A$4:$AT$4, 0)), 0) * (INDEX('6. TIẾN ĐỘ MUA HÀNG'!$A$5:$AT81, 0, XMATCH("Phân loại VTBB/NL", '6. TIẾN ĐỘ MUA HÀNG'!$A$4:$AT$4, 0)) = $B33) * (TRIM(INDEX('6. TIẾN ĐỘ MUA HÀNG'!$A$5:$AT81, 0, XMATCH("Tháng", '6. TIẾN ĐỘ MUA HÀNG'!$A$4:$AT$4, 0))) = TRIM(Q$6)))</f>
        <v>0</v>
      </c>
      <c r="S33" s="741">
        <f t="array" ref="S33">SUMPRODUCT((INDEX('6. TIẾN ĐỘ MUA HÀNG'!$A:$AT, 0, XMATCH("Phân loại VTBB/NL", '6. TIẾN ĐỘ MUA HÀNG'!$A$4:$AT$4, 0)) = $B33) * (TRIM(INDEX('6. TIẾN ĐỘ MUA HÀNG'!$A:$AT, 0, XMATCH("Tháng", '6. TIẾN ĐỘ MUA HÀNG'!$A$4:$AT$4, 0))) = TRIM($S$6)) * (INDEX('6. TIẾN ĐỘ MUA HÀNG'!$A:$AT, 0, XMATCH("Phân loại VTBB/NL", '6. TIẾN ĐỘ MUA HÀNG'!$A$4:$AT$4, 0)) &lt;&gt; ""))</f>
        <v>0</v>
      </c>
      <c r="T33" s="742">
        <f t="array" ref="T33">SUMPRODUCT(IFERROR(INDEX('6. TIẾN ĐỘ MUA HÀNG'!$A$5:$AT81, 0, XMATCH("Thành tiền đơn hàng", '6. TIẾN ĐỘ MUA HÀNG'!$A$4:$AT$4, 0)), 0) * (INDEX('6. TIẾN ĐỘ MUA HÀNG'!$A$5:$AT81, 0, XMATCH("Phân loại VTBB/NL", '6. TIẾN ĐỘ MUA HÀNG'!$A$4:$AT$4, 0)) = $B33) * (TRIM(INDEX('6. TIẾN ĐỘ MUA HÀNG'!$A$5:$AT81, 0, XMATCH("Tháng", '6. TIẾN ĐỘ MUA HÀNG'!$A$4:$AT$4, 0))) = TRIM(S$6)))</f>
        <v>0</v>
      </c>
      <c r="U33" s="743">
        <f t="array" ref="U33">SUMPRODUCT((INDEX('6. TIẾN ĐỘ MUA HÀNG'!$A:$AT, 0, XMATCH("Phân loại VTBB/NL", '6. TIẾN ĐỘ MUA HÀNG'!$A$4:$AT$4, 0)) = $B33) * (TRIM(INDEX('6. TIẾN ĐỘ MUA HÀNG'!$A:$AT, 0, XMATCH("Tháng", '6. TIẾN ĐỘ MUA HÀNG'!$A$4:$AT$4, 0))) = TRIM(U$6)) * (INDEX('6. TIẾN ĐỘ MUA HÀNG'!$A:$AT, 0, XMATCH("Phân loại VTBB/NL", '6. TIẾN ĐỘ MUA HÀNG'!$A$4:$AT$4, 0)) &lt;&gt; ""))</f>
        <v>0</v>
      </c>
      <c r="V33" s="744">
        <f t="array" ref="V33">SUMPRODUCT(IFERROR(INDEX('6. TIẾN ĐỘ MUA HÀNG'!$A$5:$AT81, 0, XMATCH("Thành tiền đơn hàng", '6. TIẾN ĐỘ MUA HÀNG'!$A$4:$AT$4, 0)), 0) * (INDEX('6. TIẾN ĐỘ MUA HÀNG'!$A$5:$AT81, 0, XMATCH("Phân loại VTBB/NL", '6. TIẾN ĐỘ MUA HÀNG'!$A$4:$AT$4, 0)) = $B33) * (TRIM(INDEX('6. TIẾN ĐỘ MUA HÀNG'!$A$5:$AT81, 0, XMATCH("Tháng", '6. TIẾN ĐỘ MUA HÀNG'!$A$4:$AT$4, 0))) = TRIM(U$6)))</f>
        <v>0</v>
      </c>
      <c r="W33" s="741">
        <f t="array" ref="W33">SUMPRODUCT((INDEX('6. TIẾN ĐỘ MUA HÀNG'!$A:$AT, 0, XMATCH("Phân loại VTBB/NL", '6. TIẾN ĐỘ MUA HÀNG'!$A$4:$AT$4, 0)) = $B33) * (TRIM(INDEX('6. TIẾN ĐỘ MUA HÀNG'!$A:$AT, 0, XMATCH("Tháng", '6. TIẾN ĐỘ MUA HÀNG'!$A$4:$AT$4, 0))) = TRIM($W$6)) * (INDEX('6. TIẾN ĐỘ MUA HÀNG'!$A:$AT, 0, XMATCH("Phân loại VTBB/NL", '6. TIẾN ĐỘ MUA HÀNG'!$A$4:$AT$4, 0)) &lt;&gt; ""))</f>
        <v>0</v>
      </c>
      <c r="X33" s="742">
        <f t="array" ref="X33">SUMPRODUCT(IFERROR(INDEX('6. TIẾN ĐỘ MUA HÀNG'!$A$5:$AT81, 0, XMATCH("Thành tiền đơn hàng", '6. TIẾN ĐỘ MUA HÀNG'!$A$4:$AT$4, 0)), 0) * (INDEX('6. TIẾN ĐỘ MUA HÀNG'!$A$5:$AT81, 0, XMATCH("Phân loại VTBB/NL", '6. TIẾN ĐỘ MUA HÀNG'!$A$4:$AT$4, 0)) = $B33) * (TRIM(INDEX('6. TIẾN ĐỘ MUA HÀNG'!$A$5:$AT81, 0, XMATCH("Tháng", '6. TIẾN ĐỘ MUA HÀNG'!$A$4:$AT$4, 0))) = TRIM(W$6)))</f>
        <v>0</v>
      </c>
      <c r="Y33" s="743">
        <f t="array" ref="Y33">SUMPRODUCT((INDEX('6. TIẾN ĐỘ MUA HÀNG'!$A:$AT, 0, XMATCH("Phân loại VTBB/NL", '6. TIẾN ĐỘ MUA HÀNG'!$A$4:$AT$4, 0)) = $B33) * (TRIM(INDEX('6. TIẾN ĐỘ MUA HÀNG'!$A:$AT, 0, XMATCH("Tháng", '6. TIẾN ĐỘ MUA HÀNG'!$A$4:$AT$4, 0))) = TRIM(Y$6)) * (INDEX('6. TIẾN ĐỘ MUA HÀNG'!$A:$AT, 0, XMATCH("Phân loại VTBB/NL", '6. TIẾN ĐỘ MUA HÀNG'!$A$4:$AT$4, 0)) &lt;&gt; ""))</f>
        <v>0</v>
      </c>
      <c r="Z33" s="744">
        <f t="array" ref="Z33">SUMPRODUCT(IFERROR(INDEX('6. TIẾN ĐỘ MUA HÀNG'!$A$5:$AT81, 0, XMATCH("Thành tiền đơn hàng", '6. TIẾN ĐỘ MUA HÀNG'!$A$4:$AT$4, 0)), 0) * (INDEX('6. TIẾN ĐỘ MUA HÀNG'!$A$5:$AT81, 0, XMATCH("Phân loại VTBB/NL", '6. TIẾN ĐỘ MUA HÀNG'!$A$4:$AT$4, 0)) = $B33) * (TRIM(INDEX('6. TIẾN ĐỘ MUA HÀNG'!$A$5:$AT81, 0, XMATCH("Tháng", '6. TIẾN ĐỘ MUA HÀNG'!$A$4:$AT$4, 0))) = TRIM(Y$6)))</f>
        <v>0</v>
      </c>
      <c r="AA33" s="726">
        <f t="shared" si="2"/>
        <v>0</v>
      </c>
      <c r="AB33" s="726">
        <f t="shared" si="3"/>
        <v>0</v>
      </c>
    </row>
    <row r="34">
      <c r="A34" s="612">
        <v>26.0</v>
      </c>
      <c r="B34" s="597" t="str">
        <f>IFERROR(__xludf.DUMMYFUNCTION("""COMPUTED_VALUE"""),"Băng keo")</f>
        <v>Băng keo</v>
      </c>
      <c r="C34" s="741">
        <f t="array" ref="C34">SUMPRODUCT((INDEX('6. TIẾN ĐỘ MUA HÀNG'!$A:$AT, 0, XMATCH("Phân loại VTBB/NL", '6. TIẾN ĐỘ MUA HÀNG'!$A$4:$AT$4, 0)) = $B34) * (TRIM(INDEX('6. TIẾN ĐỘ MUA HÀNG'!$A:$AT, 0, XMATCH("Tháng", '6. TIẾN ĐỘ MUA HÀNG'!$A$4:$AT$4, 0))) = TRIM($C$6)) * (INDEX('6. TIẾN ĐỘ MUA HÀNG'!$A:$AT, 0, XMATCH("Phân loại VTBB/NL", '6. TIẾN ĐỘ MUA HÀNG'!$A$4:$AT$4, 0)) &lt;&gt; ""))</f>
        <v>0</v>
      </c>
      <c r="D34" s="742">
        <f t="array" ref="D34">SUMPRODUCT(IFERROR(INDEX('6. TIẾN ĐỘ MUA HÀNG'!$A$5:$AT81, 0, XMATCH("Thành tiền đơn hàng", '6. TIẾN ĐỘ MUA HÀNG'!$A$4:$AT$4, 0)), 0) * (INDEX('6. TIẾN ĐỘ MUA HÀNG'!$A$5:$AT81, 0, XMATCH("Phân loại VTBB/NL", '6. TIẾN ĐỘ MUA HÀNG'!$A$4:$AT$4, 0)) = $B34) * (TRIM(INDEX('6. TIẾN ĐỘ MUA HÀNG'!$A$5:$AT81, 0, XMATCH("Tháng", '6. TIẾN ĐỘ MUA HÀNG'!$A$4:$AT$4, 0))) = TRIM(C$6)))</f>
        <v>0</v>
      </c>
      <c r="E34" s="743">
        <f t="array" ref="E34">SUMPRODUCT((INDEX('6. TIẾN ĐỘ MUA HÀNG'!$A:$AT, 0, XMATCH("Phân loại VTBB/NL", '6. TIẾN ĐỘ MUA HÀNG'!$A$4:$AT$4, 0)) = $B34) * (TRIM(INDEX('6. TIẾN ĐỘ MUA HÀNG'!$A:$AT, 0, XMATCH("Tháng", '6. TIẾN ĐỘ MUA HÀNG'!$A$4:$AT$4, 0))) = TRIM(E$6)) * (INDEX('6. TIẾN ĐỘ MUA HÀNG'!$A:$AT, 0, XMATCH("Phân loại VTBB/NL", '6. TIẾN ĐỘ MUA HÀNG'!$A$4:$AT$4, 0)) &lt;&gt; ""))</f>
        <v>0</v>
      </c>
      <c r="F34" s="744">
        <f t="array" ref="F34">SUMPRODUCT(IFERROR(INDEX('6. TIẾN ĐỘ MUA HÀNG'!$A$5:$AT81, 0, XMATCH("Thành tiền đơn hàng", '6. TIẾN ĐỘ MUA HÀNG'!$A$4:$AT$4, 0)), 0) * (INDEX('6. TIẾN ĐỘ MUA HÀNG'!$A$5:$AT81, 0, XMATCH("Phân loại VTBB/NL", '6. TIẾN ĐỘ MUA HÀNG'!$A$4:$AT$4, 0)) = $B34) * (TRIM(INDEX('6. TIẾN ĐỘ MUA HÀNG'!$A$5:$AT81, 0, XMATCH("Tháng", '6. TIẾN ĐỘ MUA HÀNG'!$A$4:$AT$4, 0))) = TRIM(E$6)))</f>
        <v>0</v>
      </c>
      <c r="G34" s="741">
        <f t="array" ref="G34">SUMPRODUCT((INDEX('6. TIẾN ĐỘ MUA HÀNG'!$A:$AT, 0, XMATCH("Phân loại VTBB/NL", '6. TIẾN ĐỘ MUA HÀNG'!$A$4:$AT$4, 0)) = $B34) * (TRIM(INDEX('6. TIẾN ĐỘ MUA HÀNG'!$A:$AT, 0, XMATCH("Tháng", '6. TIẾN ĐỘ MUA HÀNG'!$A$4:$AT$4, 0))) = TRIM($G$6)) * (INDEX('6. TIẾN ĐỘ MUA HÀNG'!$A:$AT, 0, XMATCH("Phân loại VTBB/NL", '6. TIẾN ĐỘ MUA HÀNG'!$A$4:$AT$4, 0)) &lt;&gt; ""))</f>
        <v>0</v>
      </c>
      <c r="H34" s="742">
        <f t="array" ref="H34">SUMPRODUCT(IFERROR(INDEX('6. TIẾN ĐỘ MUA HÀNG'!$A$5:$AT81, 0, XMATCH("Thành tiền đơn hàng", '6. TIẾN ĐỘ MUA HÀNG'!$A$4:$AT$4, 0)), 0) * (INDEX('6. TIẾN ĐỘ MUA HÀNG'!$A$5:$AT81, 0, XMATCH("Phân loại VTBB/NL", '6. TIẾN ĐỘ MUA HÀNG'!$A$4:$AT$4, 0)) = $B34) * (TRIM(INDEX('6. TIẾN ĐỘ MUA HÀNG'!$A$5:$AT81, 0, XMATCH("Tháng", '6. TIẾN ĐỘ MUA HÀNG'!$A$4:$AT$4, 0))) = TRIM(G$6)))</f>
        <v>0</v>
      </c>
      <c r="I34" s="743">
        <f t="array" ref="I34">SUMPRODUCT((INDEX('6. TIẾN ĐỘ MUA HÀNG'!$A:$AT, 0, XMATCH("Phân loại VTBB/NL", '6. TIẾN ĐỘ MUA HÀNG'!$A$4:$AT$4, 0)) = $B34) * (TRIM(INDEX('6. TIẾN ĐỘ MUA HÀNG'!$A:$AT, 0, XMATCH("Tháng", '6. TIẾN ĐỘ MUA HÀNG'!$A$4:$AT$4, 0))) = TRIM(I$6)) * (INDEX('6. TIẾN ĐỘ MUA HÀNG'!$A:$AT, 0, XMATCH("Phân loại VTBB/NL", '6. TIẾN ĐỘ MUA HÀNG'!$A$4:$AT$4, 0)) &lt;&gt; ""))</f>
        <v>0</v>
      </c>
      <c r="J34" s="744">
        <f t="array" ref="J34">SUMPRODUCT(IFERROR(INDEX('6. TIẾN ĐỘ MUA HÀNG'!$A$5:$AT81, 0, XMATCH("Thành tiền đơn hàng", '6. TIẾN ĐỘ MUA HÀNG'!$A$4:$AT$4, 0)), 0) * (INDEX('6. TIẾN ĐỘ MUA HÀNG'!$A$5:$AT81, 0, XMATCH("Phân loại VTBB/NL", '6. TIẾN ĐỘ MUA HÀNG'!$A$4:$AT$4, 0)) = $B34) * (TRIM(INDEX('6. TIẾN ĐỘ MUA HÀNG'!$A$5:$AT81, 0, XMATCH("Tháng", '6. TIẾN ĐỘ MUA HÀNG'!$A$4:$AT$4, 0))) = TRIM(I$6)))</f>
        <v>0</v>
      </c>
      <c r="K34" s="741">
        <f t="array" ref="K34">SUMPRODUCT((INDEX('6. TIẾN ĐỘ MUA HÀNG'!$A:$AT, 0, XMATCH("Phân loại VTBB/NL", '6. TIẾN ĐỘ MUA HÀNG'!$A$4:$AT$4, 0)) = $B34) * (TRIM(INDEX('6. TIẾN ĐỘ MUA HÀNG'!$A:$AT, 0, XMATCH("Tháng", '6. TIẾN ĐỘ MUA HÀNG'!$A$4:$AT$4, 0))) = TRIM($K$6)) * (INDEX('6. TIẾN ĐỘ MUA HÀNG'!$A:$AT, 0, XMATCH("Phân loại VTBB/NL", '6. TIẾN ĐỘ MUA HÀNG'!$A$4:$AT$4, 0)) &lt;&gt; ""))</f>
        <v>0</v>
      </c>
      <c r="L34" s="742">
        <f t="array" ref="L34">SUMPRODUCT(IFERROR(INDEX('6. TIẾN ĐỘ MUA HÀNG'!$A$5:$AT81, 0, XMATCH("Thành tiền đơn hàng", '6. TIẾN ĐỘ MUA HÀNG'!$A$4:$AT$4, 0)), 0) * (INDEX('6. TIẾN ĐỘ MUA HÀNG'!$A$5:$AT81, 0, XMATCH("Phân loại VTBB/NL", '6. TIẾN ĐỘ MUA HÀNG'!$A$4:$AT$4, 0)) = $B34) * (TRIM(INDEX('6. TIẾN ĐỘ MUA HÀNG'!$A$5:$AT81, 0, XMATCH("Tháng", '6. TIẾN ĐỘ MUA HÀNG'!$A$4:$AT$4, 0))) = TRIM(K$6)))</f>
        <v>0</v>
      </c>
      <c r="M34" s="743">
        <f t="array" ref="M34">SUMPRODUCT((INDEX('6. TIẾN ĐỘ MUA HÀNG'!$A:$AT, 0, XMATCH("Phân loại VTBB/NL", '6. TIẾN ĐỘ MUA HÀNG'!$A$4:$AT$4, 0)) = $B34) * (TRIM(INDEX('6. TIẾN ĐỘ MUA HÀNG'!$A:$AT, 0, XMATCH("Tháng", '6. TIẾN ĐỘ MUA HÀNG'!$A$4:$AT$4, 0))) = TRIM(M$6)) * (INDEX('6. TIẾN ĐỘ MUA HÀNG'!$A:$AT, 0, XMATCH("Phân loại VTBB/NL", '6. TIẾN ĐỘ MUA HÀNG'!$A$4:$AT$4, 0)) &lt;&gt; ""))</f>
        <v>0</v>
      </c>
      <c r="N34" s="744">
        <f t="array" ref="N34">SUMPRODUCT(IFERROR(INDEX('6. TIẾN ĐỘ MUA HÀNG'!$A$5:$AT81, 0, XMATCH("Thành tiền đơn hàng", '6. TIẾN ĐỘ MUA HÀNG'!$A$4:$AT$4, 0)), 0) * (INDEX('6. TIẾN ĐỘ MUA HÀNG'!$A$5:$AT81, 0, XMATCH("Phân loại VTBB/NL", '6. TIẾN ĐỘ MUA HÀNG'!$A$4:$AT$4, 0)) = $B34) * (TRIM(INDEX('6. TIẾN ĐỘ MUA HÀNG'!$A$5:$AT81, 0, XMATCH("Tháng", '6. TIẾN ĐỘ MUA HÀNG'!$A$4:$AT$4, 0))) = TRIM(M$6)))</f>
        <v>0</v>
      </c>
      <c r="O34" s="741">
        <f t="array" ref="O34">SUMPRODUCT((INDEX('6. TIẾN ĐỘ MUA HÀNG'!$A:$AT, 0, XMATCH("Phân loại VTBB/NL", '6. TIẾN ĐỘ MUA HÀNG'!$A$4:$AT$4, 0)) = $B34) * (TRIM(INDEX('6. TIẾN ĐỘ MUA HÀNG'!$A:$AT, 0, XMATCH("Tháng", '6. TIẾN ĐỘ MUA HÀNG'!$A$4:$AT$4, 0))) = TRIM($O$6)) * (INDEX('6. TIẾN ĐỘ MUA HÀNG'!$A:$AT, 0, XMATCH("Phân loại VTBB/NL", '6. TIẾN ĐỘ MUA HÀNG'!$A$4:$AT$4, 0)) &lt;&gt; ""))</f>
        <v>0</v>
      </c>
      <c r="P34" s="742">
        <f t="array" ref="P34">SUMPRODUCT(IFERROR(INDEX('6. TIẾN ĐỘ MUA HÀNG'!$A$5:$AT81, 0, XMATCH("Thành tiền đơn hàng", '6. TIẾN ĐỘ MUA HÀNG'!$A$4:$AT$4, 0)), 0) * (INDEX('6. TIẾN ĐỘ MUA HÀNG'!$A$5:$AT81, 0, XMATCH("Phân loại VTBB/NL", '6. TIẾN ĐỘ MUA HÀNG'!$A$4:$AT$4, 0)) = $B34) * (TRIM(INDEX('6. TIẾN ĐỘ MUA HÀNG'!$A$5:$AT81, 0, XMATCH("Tháng", '6. TIẾN ĐỘ MUA HÀNG'!$A$4:$AT$4, 0))) = TRIM(O$6)))</f>
        <v>0</v>
      </c>
      <c r="Q34" s="743">
        <f t="array" ref="Q34">SUMPRODUCT((INDEX('6. TIẾN ĐỘ MUA HÀNG'!$A:$AT, 0, XMATCH("Phân loại VTBB/NL", '6. TIẾN ĐỘ MUA HÀNG'!$A$4:$AT$4, 0)) = $B34) * (TRIM(INDEX('6. TIẾN ĐỘ MUA HÀNG'!$A:$AT, 0, XMATCH("Tháng", '6. TIẾN ĐỘ MUA HÀNG'!$A$4:$AT$4, 0))) = TRIM(Q$6)) * (INDEX('6. TIẾN ĐỘ MUA HÀNG'!$A:$AT, 0, XMATCH("Phân loại VTBB/NL", '6. TIẾN ĐỘ MUA HÀNG'!$A$4:$AT$4, 0)) &lt;&gt; ""))</f>
        <v>0</v>
      </c>
      <c r="R34" s="744">
        <f t="array" ref="R34">SUMPRODUCT(IFERROR(INDEX('6. TIẾN ĐỘ MUA HÀNG'!$A$5:$AT81, 0, XMATCH("Thành tiền đơn hàng", '6. TIẾN ĐỘ MUA HÀNG'!$A$4:$AT$4, 0)), 0) * (INDEX('6. TIẾN ĐỘ MUA HÀNG'!$A$5:$AT81, 0, XMATCH("Phân loại VTBB/NL", '6. TIẾN ĐỘ MUA HÀNG'!$A$4:$AT$4, 0)) = $B34) * (TRIM(INDEX('6. TIẾN ĐỘ MUA HÀNG'!$A$5:$AT81, 0, XMATCH("Tháng", '6. TIẾN ĐỘ MUA HÀNG'!$A$4:$AT$4, 0))) = TRIM(Q$6)))</f>
        <v>0</v>
      </c>
      <c r="S34" s="741">
        <f t="array" ref="S34">SUMPRODUCT((INDEX('6. TIẾN ĐỘ MUA HÀNG'!$A:$AT, 0, XMATCH("Phân loại VTBB/NL", '6. TIẾN ĐỘ MUA HÀNG'!$A$4:$AT$4, 0)) = $B34) * (TRIM(INDEX('6. TIẾN ĐỘ MUA HÀNG'!$A:$AT, 0, XMATCH("Tháng", '6. TIẾN ĐỘ MUA HÀNG'!$A$4:$AT$4, 0))) = TRIM($S$6)) * (INDEX('6. TIẾN ĐỘ MUA HÀNG'!$A:$AT, 0, XMATCH("Phân loại VTBB/NL", '6. TIẾN ĐỘ MUA HÀNG'!$A$4:$AT$4, 0)) &lt;&gt; ""))</f>
        <v>0</v>
      </c>
      <c r="T34" s="742">
        <f t="array" ref="T34">SUMPRODUCT(IFERROR(INDEX('6. TIẾN ĐỘ MUA HÀNG'!$A$5:$AT81, 0, XMATCH("Thành tiền đơn hàng", '6. TIẾN ĐỘ MUA HÀNG'!$A$4:$AT$4, 0)), 0) * (INDEX('6. TIẾN ĐỘ MUA HÀNG'!$A$5:$AT81, 0, XMATCH("Phân loại VTBB/NL", '6. TIẾN ĐỘ MUA HÀNG'!$A$4:$AT$4, 0)) = $B34) * (TRIM(INDEX('6. TIẾN ĐỘ MUA HÀNG'!$A$5:$AT81, 0, XMATCH("Tháng", '6. TIẾN ĐỘ MUA HÀNG'!$A$4:$AT$4, 0))) = TRIM(S$6)))</f>
        <v>0</v>
      </c>
      <c r="U34" s="743">
        <f t="array" ref="U34">SUMPRODUCT((INDEX('6. TIẾN ĐỘ MUA HÀNG'!$A:$AT, 0, XMATCH("Phân loại VTBB/NL", '6. TIẾN ĐỘ MUA HÀNG'!$A$4:$AT$4, 0)) = $B34) * (TRIM(INDEX('6. TIẾN ĐỘ MUA HÀNG'!$A:$AT, 0, XMATCH("Tháng", '6. TIẾN ĐỘ MUA HÀNG'!$A$4:$AT$4, 0))) = TRIM(U$6)) * (INDEX('6. TIẾN ĐỘ MUA HÀNG'!$A:$AT, 0, XMATCH("Phân loại VTBB/NL", '6. TIẾN ĐỘ MUA HÀNG'!$A$4:$AT$4, 0)) &lt;&gt; ""))</f>
        <v>0</v>
      </c>
      <c r="V34" s="744">
        <f t="array" ref="V34">SUMPRODUCT(IFERROR(INDEX('6. TIẾN ĐỘ MUA HÀNG'!$A$5:$AT81, 0, XMATCH("Thành tiền đơn hàng", '6. TIẾN ĐỘ MUA HÀNG'!$A$4:$AT$4, 0)), 0) * (INDEX('6. TIẾN ĐỘ MUA HÀNG'!$A$5:$AT81, 0, XMATCH("Phân loại VTBB/NL", '6. TIẾN ĐỘ MUA HÀNG'!$A$4:$AT$4, 0)) = $B34) * (TRIM(INDEX('6. TIẾN ĐỘ MUA HÀNG'!$A$5:$AT81, 0, XMATCH("Tháng", '6. TIẾN ĐỘ MUA HÀNG'!$A$4:$AT$4, 0))) = TRIM(U$6)))</f>
        <v>0</v>
      </c>
      <c r="W34" s="741">
        <f t="array" ref="W34">SUMPRODUCT((INDEX('6. TIẾN ĐỘ MUA HÀNG'!$A:$AT, 0, XMATCH("Phân loại VTBB/NL", '6. TIẾN ĐỘ MUA HÀNG'!$A$4:$AT$4, 0)) = $B34) * (TRIM(INDEX('6. TIẾN ĐỘ MUA HÀNG'!$A:$AT, 0, XMATCH("Tháng", '6. TIẾN ĐỘ MUA HÀNG'!$A$4:$AT$4, 0))) = TRIM($W$6)) * (INDEX('6. TIẾN ĐỘ MUA HÀNG'!$A:$AT, 0, XMATCH("Phân loại VTBB/NL", '6. TIẾN ĐỘ MUA HÀNG'!$A$4:$AT$4, 0)) &lt;&gt; ""))</f>
        <v>0</v>
      </c>
      <c r="X34" s="742">
        <f t="array" ref="X34">SUMPRODUCT(IFERROR(INDEX('6. TIẾN ĐỘ MUA HÀNG'!$A$5:$AT81, 0, XMATCH("Thành tiền đơn hàng", '6. TIẾN ĐỘ MUA HÀNG'!$A$4:$AT$4, 0)), 0) * (INDEX('6. TIẾN ĐỘ MUA HÀNG'!$A$5:$AT81, 0, XMATCH("Phân loại VTBB/NL", '6. TIẾN ĐỘ MUA HÀNG'!$A$4:$AT$4, 0)) = $B34) * (TRIM(INDEX('6. TIẾN ĐỘ MUA HÀNG'!$A$5:$AT81, 0, XMATCH("Tháng", '6. TIẾN ĐỘ MUA HÀNG'!$A$4:$AT$4, 0))) = TRIM(W$6)))</f>
        <v>0</v>
      </c>
      <c r="Y34" s="743">
        <f t="array" ref="Y34">SUMPRODUCT((INDEX('6. TIẾN ĐỘ MUA HÀNG'!$A:$AT, 0, XMATCH("Phân loại VTBB/NL", '6. TIẾN ĐỘ MUA HÀNG'!$A$4:$AT$4, 0)) = $B34) * (TRIM(INDEX('6. TIẾN ĐỘ MUA HÀNG'!$A:$AT, 0, XMATCH("Tháng", '6. TIẾN ĐỘ MUA HÀNG'!$A$4:$AT$4, 0))) = TRIM(Y$6)) * (INDEX('6. TIẾN ĐỘ MUA HÀNG'!$A:$AT, 0, XMATCH("Phân loại VTBB/NL", '6. TIẾN ĐỘ MUA HÀNG'!$A$4:$AT$4, 0)) &lt;&gt; ""))</f>
        <v>0</v>
      </c>
      <c r="Z34" s="744">
        <f t="array" ref="Z34">SUMPRODUCT(IFERROR(INDEX('6. TIẾN ĐỘ MUA HÀNG'!$A$5:$AT81, 0, XMATCH("Thành tiền đơn hàng", '6. TIẾN ĐỘ MUA HÀNG'!$A$4:$AT$4, 0)), 0) * (INDEX('6. TIẾN ĐỘ MUA HÀNG'!$A$5:$AT81, 0, XMATCH("Phân loại VTBB/NL", '6. TIẾN ĐỘ MUA HÀNG'!$A$4:$AT$4, 0)) = $B34) * (TRIM(INDEX('6. TIẾN ĐỘ MUA HÀNG'!$A$5:$AT81, 0, XMATCH("Tháng", '6. TIẾN ĐỘ MUA HÀNG'!$A$4:$AT$4, 0))) = TRIM(Y$6)))</f>
        <v>0</v>
      </c>
      <c r="AA34" s="726">
        <f t="shared" si="2"/>
        <v>0</v>
      </c>
      <c r="AB34" s="726">
        <f t="shared" si="3"/>
        <v>0</v>
      </c>
    </row>
    <row r="35">
      <c r="A35" s="612">
        <v>27.0</v>
      </c>
      <c r="B35" s="597" t="str">
        <f>IFERROR(__xludf.DUMMYFUNCTION("""COMPUTED_VALUE"""),"Cuộn PE")</f>
        <v>Cuộn PE</v>
      </c>
      <c r="C35" s="741">
        <f t="array" ref="C35">SUMPRODUCT((INDEX('6. TIẾN ĐỘ MUA HÀNG'!$A:$AT, 0, XMATCH("Phân loại VTBB/NL", '6. TIẾN ĐỘ MUA HÀNG'!$A$4:$AT$4, 0)) = $B35) * (TRIM(INDEX('6. TIẾN ĐỘ MUA HÀNG'!$A:$AT, 0, XMATCH("Tháng", '6. TIẾN ĐỘ MUA HÀNG'!$A$4:$AT$4, 0))) = TRIM($C$6)) * (INDEX('6. TIẾN ĐỘ MUA HÀNG'!$A:$AT, 0, XMATCH("Phân loại VTBB/NL", '6. TIẾN ĐỘ MUA HÀNG'!$A$4:$AT$4, 0)) &lt;&gt; ""))</f>
        <v>0</v>
      </c>
      <c r="D35" s="742">
        <f t="array" ref="D35">SUMPRODUCT(IFERROR(INDEX('6. TIẾN ĐỘ MUA HÀNG'!$A$5:$AT81, 0, XMATCH("Thành tiền đơn hàng", '6. TIẾN ĐỘ MUA HÀNG'!$A$4:$AT$4, 0)), 0) * (INDEX('6. TIẾN ĐỘ MUA HÀNG'!$A$5:$AT81, 0, XMATCH("Phân loại VTBB/NL", '6. TIẾN ĐỘ MUA HÀNG'!$A$4:$AT$4, 0)) = $B35) * (TRIM(INDEX('6. TIẾN ĐỘ MUA HÀNG'!$A$5:$AT81, 0, XMATCH("Tháng", '6. TIẾN ĐỘ MUA HÀNG'!$A$4:$AT$4, 0))) = TRIM(C$6)))</f>
        <v>0</v>
      </c>
      <c r="E35" s="743">
        <f t="array" ref="E35">SUMPRODUCT((INDEX('6. TIẾN ĐỘ MUA HÀNG'!$A:$AT, 0, XMATCH("Phân loại VTBB/NL", '6. TIẾN ĐỘ MUA HÀNG'!$A$4:$AT$4, 0)) = $B35) * (TRIM(INDEX('6. TIẾN ĐỘ MUA HÀNG'!$A:$AT, 0, XMATCH("Tháng", '6. TIẾN ĐỘ MUA HÀNG'!$A$4:$AT$4, 0))) = TRIM(E$6)) * (INDEX('6. TIẾN ĐỘ MUA HÀNG'!$A:$AT, 0, XMATCH("Phân loại VTBB/NL", '6. TIẾN ĐỘ MUA HÀNG'!$A$4:$AT$4, 0)) &lt;&gt; ""))</f>
        <v>0</v>
      </c>
      <c r="F35" s="744">
        <f t="array" ref="F35">SUMPRODUCT(IFERROR(INDEX('6. TIẾN ĐỘ MUA HÀNG'!$A$5:$AT81, 0, XMATCH("Thành tiền đơn hàng", '6. TIẾN ĐỘ MUA HÀNG'!$A$4:$AT$4, 0)), 0) * (INDEX('6. TIẾN ĐỘ MUA HÀNG'!$A$5:$AT81, 0, XMATCH("Phân loại VTBB/NL", '6. TIẾN ĐỘ MUA HÀNG'!$A$4:$AT$4, 0)) = $B35) * (TRIM(INDEX('6. TIẾN ĐỘ MUA HÀNG'!$A$5:$AT81, 0, XMATCH("Tháng", '6. TIẾN ĐỘ MUA HÀNG'!$A$4:$AT$4, 0))) = TRIM(E$6)))</f>
        <v>0</v>
      </c>
      <c r="G35" s="741">
        <f t="array" ref="G35">SUMPRODUCT((INDEX('6. TIẾN ĐỘ MUA HÀNG'!$A:$AT, 0, XMATCH("Phân loại VTBB/NL", '6. TIẾN ĐỘ MUA HÀNG'!$A$4:$AT$4, 0)) = $B35) * (TRIM(INDEX('6. TIẾN ĐỘ MUA HÀNG'!$A:$AT, 0, XMATCH("Tháng", '6. TIẾN ĐỘ MUA HÀNG'!$A$4:$AT$4, 0))) = TRIM($G$6)) * (INDEX('6. TIẾN ĐỘ MUA HÀNG'!$A:$AT, 0, XMATCH("Phân loại VTBB/NL", '6. TIẾN ĐỘ MUA HÀNG'!$A$4:$AT$4, 0)) &lt;&gt; ""))</f>
        <v>0</v>
      </c>
      <c r="H35" s="742">
        <f t="array" ref="H35">SUMPRODUCT(IFERROR(INDEX('6. TIẾN ĐỘ MUA HÀNG'!$A$5:$AT81, 0, XMATCH("Thành tiền đơn hàng", '6. TIẾN ĐỘ MUA HÀNG'!$A$4:$AT$4, 0)), 0) * (INDEX('6. TIẾN ĐỘ MUA HÀNG'!$A$5:$AT81, 0, XMATCH("Phân loại VTBB/NL", '6. TIẾN ĐỘ MUA HÀNG'!$A$4:$AT$4, 0)) = $B35) * (TRIM(INDEX('6. TIẾN ĐỘ MUA HÀNG'!$A$5:$AT81, 0, XMATCH("Tháng", '6. TIẾN ĐỘ MUA HÀNG'!$A$4:$AT$4, 0))) = TRIM(G$6)))</f>
        <v>0</v>
      </c>
      <c r="I35" s="743">
        <f t="array" ref="I35">SUMPRODUCT((INDEX('6. TIẾN ĐỘ MUA HÀNG'!$A:$AT, 0, XMATCH("Phân loại VTBB/NL", '6. TIẾN ĐỘ MUA HÀNG'!$A$4:$AT$4, 0)) = $B35) * (TRIM(INDEX('6. TIẾN ĐỘ MUA HÀNG'!$A:$AT, 0, XMATCH("Tháng", '6. TIẾN ĐỘ MUA HÀNG'!$A$4:$AT$4, 0))) = TRIM(I$6)) * (INDEX('6. TIẾN ĐỘ MUA HÀNG'!$A:$AT, 0, XMATCH("Phân loại VTBB/NL", '6. TIẾN ĐỘ MUA HÀNG'!$A$4:$AT$4, 0)) &lt;&gt; ""))</f>
        <v>0</v>
      </c>
      <c r="J35" s="744">
        <f t="array" ref="J35">SUMPRODUCT(IFERROR(INDEX('6. TIẾN ĐỘ MUA HÀNG'!$A$5:$AT81, 0, XMATCH("Thành tiền đơn hàng", '6. TIẾN ĐỘ MUA HÀNG'!$A$4:$AT$4, 0)), 0) * (INDEX('6. TIẾN ĐỘ MUA HÀNG'!$A$5:$AT81, 0, XMATCH("Phân loại VTBB/NL", '6. TIẾN ĐỘ MUA HÀNG'!$A$4:$AT$4, 0)) = $B35) * (TRIM(INDEX('6. TIẾN ĐỘ MUA HÀNG'!$A$5:$AT81, 0, XMATCH("Tháng", '6. TIẾN ĐỘ MUA HÀNG'!$A$4:$AT$4, 0))) = TRIM(I$6)))</f>
        <v>0</v>
      </c>
      <c r="K35" s="741">
        <f t="array" ref="K35">SUMPRODUCT((INDEX('6. TIẾN ĐỘ MUA HÀNG'!$A:$AT, 0, XMATCH("Phân loại VTBB/NL", '6. TIẾN ĐỘ MUA HÀNG'!$A$4:$AT$4, 0)) = $B35) * (TRIM(INDEX('6. TIẾN ĐỘ MUA HÀNG'!$A:$AT, 0, XMATCH("Tháng", '6. TIẾN ĐỘ MUA HÀNG'!$A$4:$AT$4, 0))) = TRIM($K$6)) * (INDEX('6. TIẾN ĐỘ MUA HÀNG'!$A:$AT, 0, XMATCH("Phân loại VTBB/NL", '6. TIẾN ĐỘ MUA HÀNG'!$A$4:$AT$4, 0)) &lt;&gt; ""))</f>
        <v>0</v>
      </c>
      <c r="L35" s="742">
        <f t="array" ref="L35">SUMPRODUCT(IFERROR(INDEX('6. TIẾN ĐỘ MUA HÀNG'!$A$5:$AT81, 0, XMATCH("Thành tiền đơn hàng", '6. TIẾN ĐỘ MUA HÀNG'!$A$4:$AT$4, 0)), 0) * (INDEX('6. TIẾN ĐỘ MUA HÀNG'!$A$5:$AT81, 0, XMATCH("Phân loại VTBB/NL", '6. TIẾN ĐỘ MUA HÀNG'!$A$4:$AT$4, 0)) = $B35) * (TRIM(INDEX('6. TIẾN ĐỘ MUA HÀNG'!$A$5:$AT81, 0, XMATCH("Tháng", '6. TIẾN ĐỘ MUA HÀNG'!$A$4:$AT$4, 0))) = TRIM(K$6)))</f>
        <v>0</v>
      </c>
      <c r="M35" s="743">
        <f t="array" ref="M35">SUMPRODUCT((INDEX('6. TIẾN ĐỘ MUA HÀNG'!$A:$AT, 0, XMATCH("Phân loại VTBB/NL", '6. TIẾN ĐỘ MUA HÀNG'!$A$4:$AT$4, 0)) = $B35) * (TRIM(INDEX('6. TIẾN ĐỘ MUA HÀNG'!$A:$AT, 0, XMATCH("Tháng", '6. TIẾN ĐỘ MUA HÀNG'!$A$4:$AT$4, 0))) = TRIM(M$6)) * (INDEX('6. TIẾN ĐỘ MUA HÀNG'!$A:$AT, 0, XMATCH("Phân loại VTBB/NL", '6. TIẾN ĐỘ MUA HÀNG'!$A$4:$AT$4, 0)) &lt;&gt; ""))</f>
        <v>0</v>
      </c>
      <c r="N35" s="744">
        <f t="array" ref="N35">SUMPRODUCT(IFERROR(INDEX('6. TIẾN ĐỘ MUA HÀNG'!$A$5:$AT81, 0, XMATCH("Thành tiền đơn hàng", '6. TIẾN ĐỘ MUA HÀNG'!$A$4:$AT$4, 0)), 0) * (INDEX('6. TIẾN ĐỘ MUA HÀNG'!$A$5:$AT81, 0, XMATCH("Phân loại VTBB/NL", '6. TIẾN ĐỘ MUA HÀNG'!$A$4:$AT$4, 0)) = $B35) * (TRIM(INDEX('6. TIẾN ĐỘ MUA HÀNG'!$A$5:$AT81, 0, XMATCH("Tháng", '6. TIẾN ĐỘ MUA HÀNG'!$A$4:$AT$4, 0))) = TRIM(M$6)))</f>
        <v>0</v>
      </c>
      <c r="O35" s="741">
        <f t="array" ref="O35">SUMPRODUCT((INDEX('6. TIẾN ĐỘ MUA HÀNG'!$A:$AT, 0, XMATCH("Phân loại VTBB/NL", '6. TIẾN ĐỘ MUA HÀNG'!$A$4:$AT$4, 0)) = $B35) * (TRIM(INDEX('6. TIẾN ĐỘ MUA HÀNG'!$A:$AT, 0, XMATCH("Tháng", '6. TIẾN ĐỘ MUA HÀNG'!$A$4:$AT$4, 0))) = TRIM($O$6)) * (INDEX('6. TIẾN ĐỘ MUA HÀNG'!$A:$AT, 0, XMATCH("Phân loại VTBB/NL", '6. TIẾN ĐỘ MUA HÀNG'!$A$4:$AT$4, 0)) &lt;&gt; ""))</f>
        <v>0</v>
      </c>
      <c r="P35" s="742">
        <f t="array" ref="P35">SUMPRODUCT(IFERROR(INDEX('6. TIẾN ĐỘ MUA HÀNG'!$A$5:$AT81, 0, XMATCH("Thành tiền đơn hàng", '6. TIẾN ĐỘ MUA HÀNG'!$A$4:$AT$4, 0)), 0) * (INDEX('6. TIẾN ĐỘ MUA HÀNG'!$A$5:$AT81, 0, XMATCH("Phân loại VTBB/NL", '6. TIẾN ĐỘ MUA HÀNG'!$A$4:$AT$4, 0)) = $B35) * (TRIM(INDEX('6. TIẾN ĐỘ MUA HÀNG'!$A$5:$AT81, 0, XMATCH("Tháng", '6. TIẾN ĐỘ MUA HÀNG'!$A$4:$AT$4, 0))) = TRIM(O$6)))</f>
        <v>0</v>
      </c>
      <c r="Q35" s="743">
        <f t="array" ref="Q35">SUMPRODUCT((INDEX('6. TIẾN ĐỘ MUA HÀNG'!$A:$AT, 0, XMATCH("Phân loại VTBB/NL", '6. TIẾN ĐỘ MUA HÀNG'!$A$4:$AT$4, 0)) = $B35) * (TRIM(INDEX('6. TIẾN ĐỘ MUA HÀNG'!$A:$AT, 0, XMATCH("Tháng", '6. TIẾN ĐỘ MUA HÀNG'!$A$4:$AT$4, 0))) = TRIM(Q$6)) * (INDEX('6. TIẾN ĐỘ MUA HÀNG'!$A:$AT, 0, XMATCH("Phân loại VTBB/NL", '6. TIẾN ĐỘ MUA HÀNG'!$A$4:$AT$4, 0)) &lt;&gt; ""))</f>
        <v>0</v>
      </c>
      <c r="R35" s="744">
        <f t="array" ref="R35">SUMPRODUCT(IFERROR(INDEX('6. TIẾN ĐỘ MUA HÀNG'!$A$5:$AT81, 0, XMATCH("Thành tiền đơn hàng", '6. TIẾN ĐỘ MUA HÀNG'!$A$4:$AT$4, 0)), 0) * (INDEX('6. TIẾN ĐỘ MUA HÀNG'!$A$5:$AT81, 0, XMATCH("Phân loại VTBB/NL", '6. TIẾN ĐỘ MUA HÀNG'!$A$4:$AT$4, 0)) = $B35) * (TRIM(INDEX('6. TIẾN ĐỘ MUA HÀNG'!$A$5:$AT81, 0, XMATCH("Tháng", '6. TIẾN ĐỘ MUA HÀNG'!$A$4:$AT$4, 0))) = TRIM(Q$6)))</f>
        <v>0</v>
      </c>
      <c r="S35" s="741">
        <f t="array" ref="S35">SUMPRODUCT((INDEX('6. TIẾN ĐỘ MUA HÀNG'!$A:$AT, 0, XMATCH("Phân loại VTBB/NL", '6. TIẾN ĐỘ MUA HÀNG'!$A$4:$AT$4, 0)) = $B35) * (TRIM(INDEX('6. TIẾN ĐỘ MUA HÀNG'!$A:$AT, 0, XMATCH("Tháng", '6. TIẾN ĐỘ MUA HÀNG'!$A$4:$AT$4, 0))) = TRIM($S$6)) * (INDEX('6. TIẾN ĐỘ MUA HÀNG'!$A:$AT, 0, XMATCH("Phân loại VTBB/NL", '6. TIẾN ĐỘ MUA HÀNG'!$A$4:$AT$4, 0)) &lt;&gt; ""))</f>
        <v>0</v>
      </c>
      <c r="T35" s="742">
        <f t="array" ref="T35">SUMPRODUCT(IFERROR(INDEX('6. TIẾN ĐỘ MUA HÀNG'!$A$5:$AT81, 0, XMATCH("Thành tiền đơn hàng", '6. TIẾN ĐỘ MUA HÀNG'!$A$4:$AT$4, 0)), 0) * (INDEX('6. TIẾN ĐỘ MUA HÀNG'!$A$5:$AT81, 0, XMATCH("Phân loại VTBB/NL", '6. TIẾN ĐỘ MUA HÀNG'!$A$4:$AT$4, 0)) = $B35) * (TRIM(INDEX('6. TIẾN ĐỘ MUA HÀNG'!$A$5:$AT81, 0, XMATCH("Tháng", '6. TIẾN ĐỘ MUA HÀNG'!$A$4:$AT$4, 0))) = TRIM(S$6)))</f>
        <v>0</v>
      </c>
      <c r="U35" s="743">
        <f t="array" ref="U35">SUMPRODUCT((INDEX('6. TIẾN ĐỘ MUA HÀNG'!$A:$AT, 0, XMATCH("Phân loại VTBB/NL", '6. TIẾN ĐỘ MUA HÀNG'!$A$4:$AT$4, 0)) = $B35) * (TRIM(INDEX('6. TIẾN ĐỘ MUA HÀNG'!$A:$AT, 0, XMATCH("Tháng", '6. TIẾN ĐỘ MUA HÀNG'!$A$4:$AT$4, 0))) = TRIM(U$6)) * (INDEX('6. TIẾN ĐỘ MUA HÀNG'!$A:$AT, 0, XMATCH("Phân loại VTBB/NL", '6. TIẾN ĐỘ MUA HÀNG'!$A$4:$AT$4, 0)) &lt;&gt; ""))</f>
        <v>0</v>
      </c>
      <c r="V35" s="744">
        <f t="array" ref="V35">SUMPRODUCT(IFERROR(INDEX('6. TIẾN ĐỘ MUA HÀNG'!$A$5:$AT81, 0, XMATCH("Thành tiền đơn hàng", '6. TIẾN ĐỘ MUA HÀNG'!$A$4:$AT$4, 0)), 0) * (INDEX('6. TIẾN ĐỘ MUA HÀNG'!$A$5:$AT81, 0, XMATCH("Phân loại VTBB/NL", '6. TIẾN ĐỘ MUA HÀNG'!$A$4:$AT$4, 0)) = $B35) * (TRIM(INDEX('6. TIẾN ĐỘ MUA HÀNG'!$A$5:$AT81, 0, XMATCH("Tháng", '6. TIẾN ĐỘ MUA HÀNG'!$A$4:$AT$4, 0))) = TRIM(U$6)))</f>
        <v>0</v>
      </c>
      <c r="W35" s="741">
        <f t="array" ref="W35">SUMPRODUCT((INDEX('6. TIẾN ĐỘ MUA HÀNG'!$A:$AT, 0, XMATCH("Phân loại VTBB/NL", '6. TIẾN ĐỘ MUA HÀNG'!$A$4:$AT$4, 0)) = $B35) * (TRIM(INDEX('6. TIẾN ĐỘ MUA HÀNG'!$A:$AT, 0, XMATCH("Tháng", '6. TIẾN ĐỘ MUA HÀNG'!$A$4:$AT$4, 0))) = TRIM($W$6)) * (INDEX('6. TIẾN ĐỘ MUA HÀNG'!$A:$AT, 0, XMATCH("Phân loại VTBB/NL", '6. TIẾN ĐỘ MUA HÀNG'!$A$4:$AT$4, 0)) &lt;&gt; ""))</f>
        <v>0</v>
      </c>
      <c r="X35" s="742">
        <f t="array" ref="X35">SUMPRODUCT(IFERROR(INDEX('6. TIẾN ĐỘ MUA HÀNG'!$A$5:$AT81, 0, XMATCH("Thành tiền đơn hàng", '6. TIẾN ĐỘ MUA HÀNG'!$A$4:$AT$4, 0)), 0) * (INDEX('6. TIẾN ĐỘ MUA HÀNG'!$A$5:$AT81, 0, XMATCH("Phân loại VTBB/NL", '6. TIẾN ĐỘ MUA HÀNG'!$A$4:$AT$4, 0)) = $B35) * (TRIM(INDEX('6. TIẾN ĐỘ MUA HÀNG'!$A$5:$AT81, 0, XMATCH("Tháng", '6. TIẾN ĐỘ MUA HÀNG'!$A$4:$AT$4, 0))) = TRIM(W$6)))</f>
        <v>0</v>
      </c>
      <c r="Y35" s="743">
        <f t="array" ref="Y35">SUMPRODUCT((INDEX('6. TIẾN ĐỘ MUA HÀNG'!$A:$AT, 0, XMATCH("Phân loại VTBB/NL", '6. TIẾN ĐỘ MUA HÀNG'!$A$4:$AT$4, 0)) = $B35) * (TRIM(INDEX('6. TIẾN ĐỘ MUA HÀNG'!$A:$AT, 0, XMATCH("Tháng", '6. TIẾN ĐỘ MUA HÀNG'!$A$4:$AT$4, 0))) = TRIM(Y$6)) * (INDEX('6. TIẾN ĐỘ MUA HÀNG'!$A:$AT, 0, XMATCH("Phân loại VTBB/NL", '6. TIẾN ĐỘ MUA HÀNG'!$A$4:$AT$4, 0)) &lt;&gt; ""))</f>
        <v>0</v>
      </c>
      <c r="Z35" s="744">
        <f t="array" ref="Z35">SUMPRODUCT(IFERROR(INDEX('6. TIẾN ĐỘ MUA HÀNG'!$A$5:$AT81, 0, XMATCH("Thành tiền đơn hàng", '6. TIẾN ĐỘ MUA HÀNG'!$A$4:$AT$4, 0)), 0) * (INDEX('6. TIẾN ĐỘ MUA HÀNG'!$A$5:$AT81, 0, XMATCH("Phân loại VTBB/NL", '6. TIẾN ĐỘ MUA HÀNG'!$A$4:$AT$4, 0)) = $B35) * (TRIM(INDEX('6. TIẾN ĐỘ MUA HÀNG'!$A$5:$AT81, 0, XMATCH("Tháng", '6. TIẾN ĐỘ MUA HÀNG'!$A$4:$AT$4, 0))) = TRIM(Y$6)))</f>
        <v>0</v>
      </c>
      <c r="AA35" s="726">
        <f t="shared" si="2"/>
        <v>0</v>
      </c>
      <c r="AB35" s="726">
        <f t="shared" si="3"/>
        <v>0</v>
      </c>
    </row>
    <row r="36">
      <c r="A36" s="612">
        <v>28.0</v>
      </c>
      <c r="B36" s="597" t="str">
        <f>IFERROR(__xludf.DUMMYFUNCTION("""COMPUTED_VALUE"""),"Lon")</f>
        <v>Lon</v>
      </c>
      <c r="C36" s="741">
        <f t="array" ref="C36">SUMPRODUCT((INDEX('6. TIẾN ĐỘ MUA HÀNG'!$A:$AT, 0, XMATCH("Phân loại VTBB/NL", '6. TIẾN ĐỘ MUA HÀNG'!$A$4:$AT$4, 0)) = $B36) * (TRIM(INDEX('6. TIẾN ĐỘ MUA HÀNG'!$A:$AT, 0, XMATCH("Tháng", '6. TIẾN ĐỘ MUA HÀNG'!$A$4:$AT$4, 0))) = TRIM($C$6)) * (INDEX('6. TIẾN ĐỘ MUA HÀNG'!$A:$AT, 0, XMATCH("Phân loại VTBB/NL", '6. TIẾN ĐỘ MUA HÀNG'!$A$4:$AT$4, 0)) &lt;&gt; ""))</f>
        <v>0</v>
      </c>
      <c r="D36" s="742">
        <f t="array" ref="D36">SUMPRODUCT(IFERROR(INDEX('6. TIẾN ĐỘ MUA HÀNG'!$A$5:$AT81, 0, XMATCH("Thành tiền đơn hàng", '6. TIẾN ĐỘ MUA HÀNG'!$A$4:$AT$4, 0)), 0) * (INDEX('6. TIẾN ĐỘ MUA HÀNG'!$A$5:$AT81, 0, XMATCH("Phân loại VTBB/NL", '6. TIẾN ĐỘ MUA HÀNG'!$A$4:$AT$4, 0)) = $B36) * (TRIM(INDEX('6. TIẾN ĐỘ MUA HÀNG'!$A$5:$AT81, 0, XMATCH("Tháng", '6. TIẾN ĐỘ MUA HÀNG'!$A$4:$AT$4, 0))) = TRIM(C$6)))</f>
        <v>0</v>
      </c>
      <c r="E36" s="743">
        <f t="array" ref="E36">SUMPRODUCT((INDEX('6. TIẾN ĐỘ MUA HÀNG'!$A:$AT, 0, XMATCH("Phân loại VTBB/NL", '6. TIẾN ĐỘ MUA HÀNG'!$A$4:$AT$4, 0)) = $B36) * (TRIM(INDEX('6. TIẾN ĐỘ MUA HÀNG'!$A:$AT, 0, XMATCH("Tháng", '6. TIẾN ĐỘ MUA HÀNG'!$A$4:$AT$4, 0))) = TRIM(E$6)) * (INDEX('6. TIẾN ĐỘ MUA HÀNG'!$A:$AT, 0, XMATCH("Phân loại VTBB/NL", '6. TIẾN ĐỘ MUA HÀNG'!$A$4:$AT$4, 0)) &lt;&gt; ""))</f>
        <v>0</v>
      </c>
      <c r="F36" s="744">
        <f t="array" ref="F36">SUMPRODUCT(IFERROR(INDEX('6. TIẾN ĐỘ MUA HÀNG'!$A$5:$AT81, 0, XMATCH("Thành tiền đơn hàng", '6. TIẾN ĐỘ MUA HÀNG'!$A$4:$AT$4, 0)), 0) * (INDEX('6. TIẾN ĐỘ MUA HÀNG'!$A$5:$AT81, 0, XMATCH("Phân loại VTBB/NL", '6. TIẾN ĐỘ MUA HÀNG'!$A$4:$AT$4, 0)) = $B36) * (TRIM(INDEX('6. TIẾN ĐỘ MUA HÀNG'!$A$5:$AT81, 0, XMATCH("Tháng", '6. TIẾN ĐỘ MUA HÀNG'!$A$4:$AT$4, 0))) = TRIM(E$6)))</f>
        <v>0</v>
      </c>
      <c r="G36" s="741">
        <f t="array" ref="G36">SUMPRODUCT((INDEX('6. TIẾN ĐỘ MUA HÀNG'!$A:$AT, 0, XMATCH("Phân loại VTBB/NL", '6. TIẾN ĐỘ MUA HÀNG'!$A$4:$AT$4, 0)) = $B36) * (TRIM(INDEX('6. TIẾN ĐỘ MUA HÀNG'!$A:$AT, 0, XMATCH("Tháng", '6. TIẾN ĐỘ MUA HÀNG'!$A$4:$AT$4, 0))) = TRIM($G$6)) * (INDEX('6. TIẾN ĐỘ MUA HÀNG'!$A:$AT, 0, XMATCH("Phân loại VTBB/NL", '6. TIẾN ĐỘ MUA HÀNG'!$A$4:$AT$4, 0)) &lt;&gt; ""))</f>
        <v>0</v>
      </c>
      <c r="H36" s="742">
        <f t="array" ref="H36">SUMPRODUCT(IFERROR(INDEX('6. TIẾN ĐỘ MUA HÀNG'!$A$5:$AT81, 0, XMATCH("Thành tiền đơn hàng", '6. TIẾN ĐỘ MUA HÀNG'!$A$4:$AT$4, 0)), 0) * (INDEX('6. TIẾN ĐỘ MUA HÀNG'!$A$5:$AT81, 0, XMATCH("Phân loại VTBB/NL", '6. TIẾN ĐỘ MUA HÀNG'!$A$4:$AT$4, 0)) = $B36) * (TRIM(INDEX('6. TIẾN ĐỘ MUA HÀNG'!$A$5:$AT81, 0, XMATCH("Tháng", '6. TIẾN ĐỘ MUA HÀNG'!$A$4:$AT$4, 0))) = TRIM(G$6)))</f>
        <v>0</v>
      </c>
      <c r="I36" s="743">
        <f t="array" ref="I36">SUMPRODUCT((INDEX('6. TIẾN ĐỘ MUA HÀNG'!$A:$AT, 0, XMATCH("Phân loại VTBB/NL", '6. TIẾN ĐỘ MUA HÀNG'!$A$4:$AT$4, 0)) = $B36) * (TRIM(INDEX('6. TIẾN ĐỘ MUA HÀNG'!$A:$AT, 0, XMATCH("Tháng", '6. TIẾN ĐỘ MUA HÀNG'!$A$4:$AT$4, 0))) = TRIM(I$6)) * (INDEX('6. TIẾN ĐỘ MUA HÀNG'!$A:$AT, 0, XMATCH("Phân loại VTBB/NL", '6. TIẾN ĐỘ MUA HÀNG'!$A$4:$AT$4, 0)) &lt;&gt; ""))</f>
        <v>0</v>
      </c>
      <c r="J36" s="744">
        <f t="array" ref="J36">SUMPRODUCT(IFERROR(INDEX('6. TIẾN ĐỘ MUA HÀNG'!$A$5:$AT81, 0, XMATCH("Thành tiền đơn hàng", '6. TIẾN ĐỘ MUA HÀNG'!$A$4:$AT$4, 0)), 0) * (INDEX('6. TIẾN ĐỘ MUA HÀNG'!$A$5:$AT81, 0, XMATCH("Phân loại VTBB/NL", '6. TIẾN ĐỘ MUA HÀNG'!$A$4:$AT$4, 0)) = $B36) * (TRIM(INDEX('6. TIẾN ĐỘ MUA HÀNG'!$A$5:$AT81, 0, XMATCH("Tháng", '6. TIẾN ĐỘ MUA HÀNG'!$A$4:$AT$4, 0))) = TRIM(I$6)))</f>
        <v>0</v>
      </c>
      <c r="K36" s="741">
        <f t="array" ref="K36">SUMPRODUCT((INDEX('6. TIẾN ĐỘ MUA HÀNG'!$A:$AT, 0, XMATCH("Phân loại VTBB/NL", '6. TIẾN ĐỘ MUA HÀNG'!$A$4:$AT$4, 0)) = $B36) * (TRIM(INDEX('6. TIẾN ĐỘ MUA HÀNG'!$A:$AT, 0, XMATCH("Tháng", '6. TIẾN ĐỘ MUA HÀNG'!$A$4:$AT$4, 0))) = TRIM($K$6)) * (INDEX('6. TIẾN ĐỘ MUA HÀNG'!$A:$AT, 0, XMATCH("Phân loại VTBB/NL", '6. TIẾN ĐỘ MUA HÀNG'!$A$4:$AT$4, 0)) &lt;&gt; ""))</f>
        <v>0</v>
      </c>
      <c r="L36" s="742">
        <f t="array" ref="L36">SUMPRODUCT(IFERROR(INDEX('6. TIẾN ĐỘ MUA HÀNG'!$A$5:$AT81, 0, XMATCH("Thành tiền đơn hàng", '6. TIẾN ĐỘ MUA HÀNG'!$A$4:$AT$4, 0)), 0) * (INDEX('6. TIẾN ĐỘ MUA HÀNG'!$A$5:$AT81, 0, XMATCH("Phân loại VTBB/NL", '6. TIẾN ĐỘ MUA HÀNG'!$A$4:$AT$4, 0)) = $B36) * (TRIM(INDEX('6. TIẾN ĐỘ MUA HÀNG'!$A$5:$AT81, 0, XMATCH("Tháng", '6. TIẾN ĐỘ MUA HÀNG'!$A$4:$AT$4, 0))) = TRIM(K$6)))</f>
        <v>0</v>
      </c>
      <c r="M36" s="743">
        <f t="array" ref="M36">SUMPRODUCT((INDEX('6. TIẾN ĐỘ MUA HÀNG'!$A:$AT, 0, XMATCH("Phân loại VTBB/NL", '6. TIẾN ĐỘ MUA HÀNG'!$A$4:$AT$4, 0)) = $B36) * (TRIM(INDEX('6. TIẾN ĐỘ MUA HÀNG'!$A:$AT, 0, XMATCH("Tháng", '6. TIẾN ĐỘ MUA HÀNG'!$A$4:$AT$4, 0))) = TRIM(M$6)) * (INDEX('6. TIẾN ĐỘ MUA HÀNG'!$A:$AT, 0, XMATCH("Phân loại VTBB/NL", '6. TIẾN ĐỘ MUA HÀNG'!$A$4:$AT$4, 0)) &lt;&gt; ""))</f>
        <v>0</v>
      </c>
      <c r="N36" s="744">
        <f t="array" ref="N36">SUMPRODUCT(IFERROR(INDEX('6. TIẾN ĐỘ MUA HÀNG'!$A$5:$AT81, 0, XMATCH("Thành tiền đơn hàng", '6. TIẾN ĐỘ MUA HÀNG'!$A$4:$AT$4, 0)), 0) * (INDEX('6. TIẾN ĐỘ MUA HÀNG'!$A$5:$AT81, 0, XMATCH("Phân loại VTBB/NL", '6. TIẾN ĐỘ MUA HÀNG'!$A$4:$AT$4, 0)) = $B36) * (TRIM(INDEX('6. TIẾN ĐỘ MUA HÀNG'!$A$5:$AT81, 0, XMATCH("Tháng", '6. TIẾN ĐỘ MUA HÀNG'!$A$4:$AT$4, 0))) = TRIM(M$6)))</f>
        <v>0</v>
      </c>
      <c r="O36" s="741">
        <f t="array" ref="O36">SUMPRODUCT((INDEX('6. TIẾN ĐỘ MUA HÀNG'!$A:$AT, 0, XMATCH("Phân loại VTBB/NL", '6. TIẾN ĐỘ MUA HÀNG'!$A$4:$AT$4, 0)) = $B36) * (TRIM(INDEX('6. TIẾN ĐỘ MUA HÀNG'!$A:$AT, 0, XMATCH("Tháng", '6. TIẾN ĐỘ MUA HÀNG'!$A$4:$AT$4, 0))) = TRIM($O$6)) * (INDEX('6. TIẾN ĐỘ MUA HÀNG'!$A:$AT, 0, XMATCH("Phân loại VTBB/NL", '6. TIẾN ĐỘ MUA HÀNG'!$A$4:$AT$4, 0)) &lt;&gt; ""))</f>
        <v>0</v>
      </c>
      <c r="P36" s="742">
        <f t="array" ref="P36">SUMPRODUCT(IFERROR(INDEX('6. TIẾN ĐỘ MUA HÀNG'!$A$5:$AT81, 0, XMATCH("Thành tiền đơn hàng", '6. TIẾN ĐỘ MUA HÀNG'!$A$4:$AT$4, 0)), 0) * (INDEX('6. TIẾN ĐỘ MUA HÀNG'!$A$5:$AT81, 0, XMATCH("Phân loại VTBB/NL", '6. TIẾN ĐỘ MUA HÀNG'!$A$4:$AT$4, 0)) = $B36) * (TRIM(INDEX('6. TIẾN ĐỘ MUA HÀNG'!$A$5:$AT81, 0, XMATCH("Tháng", '6. TIẾN ĐỘ MUA HÀNG'!$A$4:$AT$4, 0))) = TRIM(O$6)))</f>
        <v>0</v>
      </c>
      <c r="Q36" s="743">
        <f t="array" ref="Q36">SUMPRODUCT((INDEX('6. TIẾN ĐỘ MUA HÀNG'!$A:$AT, 0, XMATCH("Phân loại VTBB/NL", '6. TIẾN ĐỘ MUA HÀNG'!$A$4:$AT$4, 0)) = $B36) * (TRIM(INDEX('6. TIẾN ĐỘ MUA HÀNG'!$A:$AT, 0, XMATCH("Tháng", '6. TIẾN ĐỘ MUA HÀNG'!$A$4:$AT$4, 0))) = TRIM(Q$6)) * (INDEX('6. TIẾN ĐỘ MUA HÀNG'!$A:$AT, 0, XMATCH("Phân loại VTBB/NL", '6. TIẾN ĐỘ MUA HÀNG'!$A$4:$AT$4, 0)) &lt;&gt; ""))</f>
        <v>0</v>
      </c>
      <c r="R36" s="744">
        <f t="array" ref="R36">SUMPRODUCT(IFERROR(INDEX('6. TIẾN ĐỘ MUA HÀNG'!$A$5:$AT81, 0, XMATCH("Thành tiền đơn hàng", '6. TIẾN ĐỘ MUA HÀNG'!$A$4:$AT$4, 0)), 0) * (INDEX('6. TIẾN ĐỘ MUA HÀNG'!$A$5:$AT81, 0, XMATCH("Phân loại VTBB/NL", '6. TIẾN ĐỘ MUA HÀNG'!$A$4:$AT$4, 0)) = $B36) * (TRIM(INDEX('6. TIẾN ĐỘ MUA HÀNG'!$A$5:$AT81, 0, XMATCH("Tháng", '6. TIẾN ĐỘ MUA HÀNG'!$A$4:$AT$4, 0))) = TRIM(Q$6)))</f>
        <v>0</v>
      </c>
      <c r="S36" s="741">
        <f t="array" ref="S36">SUMPRODUCT((INDEX('6. TIẾN ĐỘ MUA HÀNG'!$A:$AT, 0, XMATCH("Phân loại VTBB/NL", '6. TIẾN ĐỘ MUA HÀNG'!$A$4:$AT$4, 0)) = $B36) * (TRIM(INDEX('6. TIẾN ĐỘ MUA HÀNG'!$A:$AT, 0, XMATCH("Tháng", '6. TIẾN ĐỘ MUA HÀNG'!$A$4:$AT$4, 0))) = TRIM($S$6)) * (INDEX('6. TIẾN ĐỘ MUA HÀNG'!$A:$AT, 0, XMATCH("Phân loại VTBB/NL", '6. TIẾN ĐỘ MUA HÀNG'!$A$4:$AT$4, 0)) &lt;&gt; ""))</f>
        <v>0</v>
      </c>
      <c r="T36" s="742">
        <f t="array" ref="T36">SUMPRODUCT(IFERROR(INDEX('6. TIẾN ĐỘ MUA HÀNG'!$A$5:$AT81, 0, XMATCH("Thành tiền đơn hàng", '6. TIẾN ĐỘ MUA HÀNG'!$A$4:$AT$4, 0)), 0) * (INDEX('6. TIẾN ĐỘ MUA HÀNG'!$A$5:$AT81, 0, XMATCH("Phân loại VTBB/NL", '6. TIẾN ĐỘ MUA HÀNG'!$A$4:$AT$4, 0)) = $B36) * (TRIM(INDEX('6. TIẾN ĐỘ MUA HÀNG'!$A$5:$AT81, 0, XMATCH("Tháng", '6. TIẾN ĐỘ MUA HÀNG'!$A$4:$AT$4, 0))) = TRIM(S$6)))</f>
        <v>0</v>
      </c>
      <c r="U36" s="743">
        <f t="array" ref="U36">SUMPRODUCT((INDEX('6. TIẾN ĐỘ MUA HÀNG'!$A:$AT, 0, XMATCH("Phân loại VTBB/NL", '6. TIẾN ĐỘ MUA HÀNG'!$A$4:$AT$4, 0)) = $B36) * (TRIM(INDEX('6. TIẾN ĐỘ MUA HÀNG'!$A:$AT, 0, XMATCH("Tháng", '6. TIẾN ĐỘ MUA HÀNG'!$A$4:$AT$4, 0))) = TRIM(U$6)) * (INDEX('6. TIẾN ĐỘ MUA HÀNG'!$A:$AT, 0, XMATCH("Phân loại VTBB/NL", '6. TIẾN ĐỘ MUA HÀNG'!$A$4:$AT$4, 0)) &lt;&gt; ""))</f>
        <v>0</v>
      </c>
      <c r="V36" s="744">
        <f t="array" ref="V36">SUMPRODUCT(IFERROR(INDEX('6. TIẾN ĐỘ MUA HÀNG'!$A$5:$AT81, 0, XMATCH("Thành tiền đơn hàng", '6. TIẾN ĐỘ MUA HÀNG'!$A$4:$AT$4, 0)), 0) * (INDEX('6. TIẾN ĐỘ MUA HÀNG'!$A$5:$AT81, 0, XMATCH("Phân loại VTBB/NL", '6. TIẾN ĐỘ MUA HÀNG'!$A$4:$AT$4, 0)) = $B36) * (TRIM(INDEX('6. TIẾN ĐỘ MUA HÀNG'!$A$5:$AT81, 0, XMATCH("Tháng", '6. TIẾN ĐỘ MUA HÀNG'!$A$4:$AT$4, 0))) = TRIM(U$6)))</f>
        <v>0</v>
      </c>
      <c r="W36" s="741">
        <f t="array" ref="W36">SUMPRODUCT((INDEX('6. TIẾN ĐỘ MUA HÀNG'!$A:$AT, 0, XMATCH("Phân loại VTBB/NL", '6. TIẾN ĐỘ MUA HÀNG'!$A$4:$AT$4, 0)) = $B36) * (TRIM(INDEX('6. TIẾN ĐỘ MUA HÀNG'!$A:$AT, 0, XMATCH("Tháng", '6. TIẾN ĐỘ MUA HÀNG'!$A$4:$AT$4, 0))) = TRIM($W$6)) * (INDEX('6. TIẾN ĐỘ MUA HÀNG'!$A:$AT, 0, XMATCH("Phân loại VTBB/NL", '6. TIẾN ĐỘ MUA HÀNG'!$A$4:$AT$4, 0)) &lt;&gt; ""))</f>
        <v>0</v>
      </c>
      <c r="X36" s="742">
        <f t="array" ref="X36">SUMPRODUCT(IFERROR(INDEX('6. TIẾN ĐỘ MUA HÀNG'!$A$5:$AT81, 0, XMATCH("Thành tiền đơn hàng", '6. TIẾN ĐỘ MUA HÀNG'!$A$4:$AT$4, 0)), 0) * (INDEX('6. TIẾN ĐỘ MUA HÀNG'!$A$5:$AT81, 0, XMATCH("Phân loại VTBB/NL", '6. TIẾN ĐỘ MUA HÀNG'!$A$4:$AT$4, 0)) = $B36) * (TRIM(INDEX('6. TIẾN ĐỘ MUA HÀNG'!$A$5:$AT81, 0, XMATCH("Tháng", '6. TIẾN ĐỘ MUA HÀNG'!$A$4:$AT$4, 0))) = TRIM(W$6)))</f>
        <v>0</v>
      </c>
      <c r="Y36" s="743">
        <f t="array" ref="Y36">SUMPRODUCT((INDEX('6. TIẾN ĐỘ MUA HÀNG'!$A:$AT, 0, XMATCH("Phân loại VTBB/NL", '6. TIẾN ĐỘ MUA HÀNG'!$A$4:$AT$4, 0)) = $B36) * (TRIM(INDEX('6. TIẾN ĐỘ MUA HÀNG'!$A:$AT, 0, XMATCH("Tháng", '6. TIẾN ĐỘ MUA HÀNG'!$A$4:$AT$4, 0))) = TRIM(Y$6)) * (INDEX('6. TIẾN ĐỘ MUA HÀNG'!$A:$AT, 0, XMATCH("Phân loại VTBB/NL", '6. TIẾN ĐỘ MUA HÀNG'!$A$4:$AT$4, 0)) &lt;&gt; ""))</f>
        <v>0</v>
      </c>
      <c r="Z36" s="744">
        <f t="array" ref="Z36">SUMPRODUCT(IFERROR(INDEX('6. TIẾN ĐỘ MUA HÀNG'!$A$5:$AT81, 0, XMATCH("Thành tiền đơn hàng", '6. TIẾN ĐỘ MUA HÀNG'!$A$4:$AT$4, 0)), 0) * (INDEX('6. TIẾN ĐỘ MUA HÀNG'!$A$5:$AT81, 0, XMATCH("Phân loại VTBB/NL", '6. TIẾN ĐỘ MUA HÀNG'!$A$4:$AT$4, 0)) = $B36) * (TRIM(INDEX('6. TIẾN ĐỘ MUA HÀNG'!$A$5:$AT81, 0, XMATCH("Tháng", '6. TIẾN ĐỘ MUA HÀNG'!$A$4:$AT$4, 0))) = TRIM(Y$6)))</f>
        <v>0</v>
      </c>
      <c r="AA36" s="726">
        <f t="shared" si="2"/>
        <v>0</v>
      </c>
      <c r="AB36" s="726">
        <f t="shared" si="3"/>
        <v>0</v>
      </c>
    </row>
    <row r="37">
      <c r="A37" s="612">
        <v>29.0</v>
      </c>
      <c r="B37" s="597" t="str">
        <f>IFERROR(__xludf.DUMMYFUNCTION("""COMPUTED_VALUE"""),"VTBB SX")</f>
        <v>VTBB SX</v>
      </c>
      <c r="C37" s="741">
        <f t="array" ref="C37">SUMPRODUCT((INDEX('6. TIẾN ĐỘ MUA HÀNG'!$A:$AT, 0, XMATCH("Phân loại VTBB/NL", '6. TIẾN ĐỘ MUA HÀNG'!$A$4:$AT$4, 0)) = $B37) * (TRIM(INDEX('6. TIẾN ĐỘ MUA HÀNG'!$A:$AT, 0, XMATCH("Tháng", '6. TIẾN ĐỘ MUA HÀNG'!$A$4:$AT$4, 0))) = TRIM($C$6)) * (INDEX('6. TIẾN ĐỘ MUA HÀNG'!$A:$AT, 0, XMATCH("Phân loại VTBB/NL", '6. TIẾN ĐỘ MUA HÀNG'!$A$4:$AT$4, 0)) &lt;&gt; ""))</f>
        <v>0</v>
      </c>
      <c r="D37" s="742">
        <f t="array" ref="D37">SUMPRODUCT(IFERROR(INDEX('6. TIẾN ĐỘ MUA HÀNG'!$A$5:$AT81, 0, XMATCH("Thành tiền đơn hàng", '6. TIẾN ĐỘ MUA HÀNG'!$A$4:$AT$4, 0)), 0) * (INDEX('6. TIẾN ĐỘ MUA HÀNG'!$A$5:$AT81, 0, XMATCH("Phân loại VTBB/NL", '6. TIẾN ĐỘ MUA HÀNG'!$A$4:$AT$4, 0)) = $B37) * (TRIM(INDEX('6. TIẾN ĐỘ MUA HÀNG'!$A$5:$AT81, 0, XMATCH("Tháng", '6. TIẾN ĐỘ MUA HÀNG'!$A$4:$AT$4, 0))) = TRIM(C$6)))</f>
        <v>0</v>
      </c>
      <c r="E37" s="743">
        <f t="array" ref="E37">SUMPRODUCT((INDEX('6. TIẾN ĐỘ MUA HÀNG'!$A:$AT, 0, XMATCH("Phân loại VTBB/NL", '6. TIẾN ĐỘ MUA HÀNG'!$A$4:$AT$4, 0)) = $B37) * (TRIM(INDEX('6. TIẾN ĐỘ MUA HÀNG'!$A:$AT, 0, XMATCH("Tháng", '6. TIẾN ĐỘ MUA HÀNG'!$A$4:$AT$4, 0))) = TRIM(E$6)) * (INDEX('6. TIẾN ĐỘ MUA HÀNG'!$A:$AT, 0, XMATCH("Phân loại VTBB/NL", '6. TIẾN ĐỘ MUA HÀNG'!$A$4:$AT$4, 0)) &lt;&gt; ""))</f>
        <v>0</v>
      </c>
      <c r="F37" s="744">
        <f t="array" ref="F37">SUMPRODUCT(IFERROR(INDEX('6. TIẾN ĐỘ MUA HÀNG'!$A$5:$AT81, 0, XMATCH("Thành tiền đơn hàng", '6. TIẾN ĐỘ MUA HÀNG'!$A$4:$AT$4, 0)), 0) * (INDEX('6. TIẾN ĐỘ MUA HÀNG'!$A$5:$AT81, 0, XMATCH("Phân loại VTBB/NL", '6. TIẾN ĐỘ MUA HÀNG'!$A$4:$AT$4, 0)) = $B37) * (TRIM(INDEX('6. TIẾN ĐỘ MUA HÀNG'!$A$5:$AT81, 0, XMATCH("Tháng", '6. TIẾN ĐỘ MUA HÀNG'!$A$4:$AT$4, 0))) = TRIM(E$6)))</f>
        <v>0</v>
      </c>
      <c r="G37" s="741">
        <f t="array" ref="G37">SUMPRODUCT((INDEX('6. TIẾN ĐỘ MUA HÀNG'!$A:$AT, 0, XMATCH("Phân loại VTBB/NL", '6. TIẾN ĐỘ MUA HÀNG'!$A$4:$AT$4, 0)) = $B37) * (TRIM(INDEX('6. TIẾN ĐỘ MUA HÀNG'!$A:$AT, 0, XMATCH("Tháng", '6. TIẾN ĐỘ MUA HÀNG'!$A$4:$AT$4, 0))) = TRIM($G$6)) * (INDEX('6. TIẾN ĐỘ MUA HÀNG'!$A:$AT, 0, XMATCH("Phân loại VTBB/NL", '6. TIẾN ĐỘ MUA HÀNG'!$A$4:$AT$4, 0)) &lt;&gt; ""))</f>
        <v>0</v>
      </c>
      <c r="H37" s="742">
        <f t="array" ref="H37">SUMPRODUCT(IFERROR(INDEX('6. TIẾN ĐỘ MUA HÀNG'!$A$5:$AT81, 0, XMATCH("Thành tiền đơn hàng", '6. TIẾN ĐỘ MUA HÀNG'!$A$4:$AT$4, 0)), 0) * (INDEX('6. TIẾN ĐỘ MUA HÀNG'!$A$5:$AT81, 0, XMATCH("Phân loại VTBB/NL", '6. TIẾN ĐỘ MUA HÀNG'!$A$4:$AT$4, 0)) = $B37) * (TRIM(INDEX('6. TIẾN ĐỘ MUA HÀNG'!$A$5:$AT81, 0, XMATCH("Tháng", '6. TIẾN ĐỘ MUA HÀNG'!$A$4:$AT$4, 0))) = TRIM(G$6)))</f>
        <v>0</v>
      </c>
      <c r="I37" s="743">
        <f t="array" ref="I37">SUMPRODUCT((INDEX('6. TIẾN ĐỘ MUA HÀNG'!$A:$AT, 0, XMATCH("Phân loại VTBB/NL", '6. TIẾN ĐỘ MUA HÀNG'!$A$4:$AT$4, 0)) = $B37) * (TRIM(INDEX('6. TIẾN ĐỘ MUA HÀNG'!$A:$AT, 0, XMATCH("Tháng", '6. TIẾN ĐỘ MUA HÀNG'!$A$4:$AT$4, 0))) = TRIM(I$6)) * (INDEX('6. TIẾN ĐỘ MUA HÀNG'!$A:$AT, 0, XMATCH("Phân loại VTBB/NL", '6. TIẾN ĐỘ MUA HÀNG'!$A$4:$AT$4, 0)) &lt;&gt; ""))</f>
        <v>0</v>
      </c>
      <c r="J37" s="744">
        <f t="array" ref="J37">SUMPRODUCT(IFERROR(INDEX('6. TIẾN ĐỘ MUA HÀNG'!$A$5:$AT81, 0, XMATCH("Thành tiền đơn hàng", '6. TIẾN ĐỘ MUA HÀNG'!$A$4:$AT$4, 0)), 0) * (INDEX('6. TIẾN ĐỘ MUA HÀNG'!$A$5:$AT81, 0, XMATCH("Phân loại VTBB/NL", '6. TIẾN ĐỘ MUA HÀNG'!$A$4:$AT$4, 0)) = $B37) * (TRIM(INDEX('6. TIẾN ĐỘ MUA HÀNG'!$A$5:$AT81, 0, XMATCH("Tháng", '6. TIẾN ĐỘ MUA HÀNG'!$A$4:$AT$4, 0))) = TRIM(I$6)))</f>
        <v>0</v>
      </c>
      <c r="K37" s="741">
        <f t="array" ref="K37">SUMPRODUCT((INDEX('6. TIẾN ĐỘ MUA HÀNG'!$A:$AT, 0, XMATCH("Phân loại VTBB/NL", '6. TIẾN ĐỘ MUA HÀNG'!$A$4:$AT$4, 0)) = $B37) * (TRIM(INDEX('6. TIẾN ĐỘ MUA HÀNG'!$A:$AT, 0, XMATCH("Tháng", '6. TIẾN ĐỘ MUA HÀNG'!$A$4:$AT$4, 0))) = TRIM($K$6)) * (INDEX('6. TIẾN ĐỘ MUA HÀNG'!$A:$AT, 0, XMATCH("Phân loại VTBB/NL", '6. TIẾN ĐỘ MUA HÀNG'!$A$4:$AT$4, 0)) &lt;&gt; ""))</f>
        <v>0</v>
      </c>
      <c r="L37" s="742">
        <f t="array" ref="L37">SUMPRODUCT(IFERROR(INDEX('6. TIẾN ĐỘ MUA HÀNG'!$A$5:$AT81, 0, XMATCH("Thành tiền đơn hàng", '6. TIẾN ĐỘ MUA HÀNG'!$A$4:$AT$4, 0)), 0) * (INDEX('6. TIẾN ĐỘ MUA HÀNG'!$A$5:$AT81, 0, XMATCH("Phân loại VTBB/NL", '6. TIẾN ĐỘ MUA HÀNG'!$A$4:$AT$4, 0)) = $B37) * (TRIM(INDEX('6. TIẾN ĐỘ MUA HÀNG'!$A$5:$AT81, 0, XMATCH("Tháng", '6. TIẾN ĐỘ MUA HÀNG'!$A$4:$AT$4, 0))) = TRIM(K$6)))</f>
        <v>0</v>
      </c>
      <c r="M37" s="743">
        <f t="array" ref="M37">SUMPRODUCT((INDEX('6. TIẾN ĐỘ MUA HÀNG'!$A:$AT, 0, XMATCH("Phân loại VTBB/NL", '6. TIẾN ĐỘ MUA HÀNG'!$A$4:$AT$4, 0)) = $B37) * (TRIM(INDEX('6. TIẾN ĐỘ MUA HÀNG'!$A:$AT, 0, XMATCH("Tháng", '6. TIẾN ĐỘ MUA HÀNG'!$A$4:$AT$4, 0))) = TRIM(M$6)) * (INDEX('6. TIẾN ĐỘ MUA HÀNG'!$A:$AT, 0, XMATCH("Phân loại VTBB/NL", '6. TIẾN ĐỘ MUA HÀNG'!$A$4:$AT$4, 0)) &lt;&gt; ""))</f>
        <v>0</v>
      </c>
      <c r="N37" s="744">
        <f t="array" ref="N37">SUMPRODUCT(IFERROR(INDEX('6. TIẾN ĐỘ MUA HÀNG'!$A$5:$AT81, 0, XMATCH("Thành tiền đơn hàng", '6. TIẾN ĐỘ MUA HÀNG'!$A$4:$AT$4, 0)), 0) * (INDEX('6. TIẾN ĐỘ MUA HÀNG'!$A$5:$AT81, 0, XMATCH("Phân loại VTBB/NL", '6. TIẾN ĐỘ MUA HÀNG'!$A$4:$AT$4, 0)) = $B37) * (TRIM(INDEX('6. TIẾN ĐỘ MUA HÀNG'!$A$5:$AT81, 0, XMATCH("Tháng", '6. TIẾN ĐỘ MUA HÀNG'!$A$4:$AT$4, 0))) = TRIM(M$6)))</f>
        <v>0</v>
      </c>
      <c r="O37" s="741">
        <f t="array" ref="O37">SUMPRODUCT((INDEX('6. TIẾN ĐỘ MUA HÀNG'!$A:$AT, 0, XMATCH("Phân loại VTBB/NL", '6. TIẾN ĐỘ MUA HÀNG'!$A$4:$AT$4, 0)) = $B37) * (TRIM(INDEX('6. TIẾN ĐỘ MUA HÀNG'!$A:$AT, 0, XMATCH("Tháng", '6. TIẾN ĐỘ MUA HÀNG'!$A$4:$AT$4, 0))) = TRIM($O$6)) * (INDEX('6. TIẾN ĐỘ MUA HÀNG'!$A:$AT, 0, XMATCH("Phân loại VTBB/NL", '6. TIẾN ĐỘ MUA HÀNG'!$A$4:$AT$4, 0)) &lt;&gt; ""))</f>
        <v>0</v>
      </c>
      <c r="P37" s="742">
        <f t="array" ref="P37">SUMPRODUCT(IFERROR(INDEX('6. TIẾN ĐỘ MUA HÀNG'!$A$5:$AT81, 0, XMATCH("Thành tiền đơn hàng", '6. TIẾN ĐỘ MUA HÀNG'!$A$4:$AT$4, 0)), 0) * (INDEX('6. TIẾN ĐỘ MUA HÀNG'!$A$5:$AT81, 0, XMATCH("Phân loại VTBB/NL", '6. TIẾN ĐỘ MUA HÀNG'!$A$4:$AT$4, 0)) = $B37) * (TRIM(INDEX('6. TIẾN ĐỘ MUA HÀNG'!$A$5:$AT81, 0, XMATCH("Tháng", '6. TIẾN ĐỘ MUA HÀNG'!$A$4:$AT$4, 0))) = TRIM(O$6)))</f>
        <v>0</v>
      </c>
      <c r="Q37" s="743">
        <f t="array" ref="Q37">SUMPRODUCT((INDEX('6. TIẾN ĐỘ MUA HÀNG'!$A:$AT, 0, XMATCH("Phân loại VTBB/NL", '6. TIẾN ĐỘ MUA HÀNG'!$A$4:$AT$4, 0)) = $B37) * (TRIM(INDEX('6. TIẾN ĐỘ MUA HÀNG'!$A:$AT, 0, XMATCH("Tháng", '6. TIẾN ĐỘ MUA HÀNG'!$A$4:$AT$4, 0))) = TRIM(Q$6)) * (INDEX('6. TIẾN ĐỘ MUA HÀNG'!$A:$AT, 0, XMATCH("Phân loại VTBB/NL", '6. TIẾN ĐỘ MUA HÀNG'!$A$4:$AT$4, 0)) &lt;&gt; ""))</f>
        <v>0</v>
      </c>
      <c r="R37" s="744">
        <f t="array" ref="R37">SUMPRODUCT(IFERROR(INDEX('6. TIẾN ĐỘ MUA HÀNG'!$A$5:$AT81, 0, XMATCH("Thành tiền đơn hàng", '6. TIẾN ĐỘ MUA HÀNG'!$A$4:$AT$4, 0)), 0) * (INDEX('6. TIẾN ĐỘ MUA HÀNG'!$A$5:$AT81, 0, XMATCH("Phân loại VTBB/NL", '6. TIẾN ĐỘ MUA HÀNG'!$A$4:$AT$4, 0)) = $B37) * (TRIM(INDEX('6. TIẾN ĐỘ MUA HÀNG'!$A$5:$AT81, 0, XMATCH("Tháng", '6. TIẾN ĐỘ MUA HÀNG'!$A$4:$AT$4, 0))) = TRIM(Q$6)))</f>
        <v>0</v>
      </c>
      <c r="S37" s="741">
        <f t="array" ref="S37">SUMPRODUCT((INDEX('6. TIẾN ĐỘ MUA HÀNG'!$A:$AT, 0, XMATCH("Phân loại VTBB/NL", '6. TIẾN ĐỘ MUA HÀNG'!$A$4:$AT$4, 0)) = $B37) * (TRIM(INDEX('6. TIẾN ĐỘ MUA HÀNG'!$A:$AT, 0, XMATCH("Tháng", '6. TIẾN ĐỘ MUA HÀNG'!$A$4:$AT$4, 0))) = TRIM($S$6)) * (INDEX('6. TIẾN ĐỘ MUA HÀNG'!$A:$AT, 0, XMATCH("Phân loại VTBB/NL", '6. TIẾN ĐỘ MUA HÀNG'!$A$4:$AT$4, 0)) &lt;&gt; ""))</f>
        <v>0</v>
      </c>
      <c r="T37" s="742">
        <f t="array" ref="T37">SUMPRODUCT(IFERROR(INDEX('6. TIẾN ĐỘ MUA HÀNG'!$A$5:$AT81, 0, XMATCH("Thành tiền đơn hàng", '6. TIẾN ĐỘ MUA HÀNG'!$A$4:$AT$4, 0)), 0) * (INDEX('6. TIẾN ĐỘ MUA HÀNG'!$A$5:$AT81, 0, XMATCH("Phân loại VTBB/NL", '6. TIẾN ĐỘ MUA HÀNG'!$A$4:$AT$4, 0)) = $B37) * (TRIM(INDEX('6. TIẾN ĐỘ MUA HÀNG'!$A$5:$AT81, 0, XMATCH("Tháng", '6. TIẾN ĐỘ MUA HÀNG'!$A$4:$AT$4, 0))) = TRIM(S$6)))</f>
        <v>0</v>
      </c>
      <c r="U37" s="743">
        <f t="array" ref="U37">SUMPRODUCT((INDEX('6. TIẾN ĐỘ MUA HÀNG'!$A:$AT, 0, XMATCH("Phân loại VTBB/NL", '6. TIẾN ĐỘ MUA HÀNG'!$A$4:$AT$4, 0)) = $B37) * (TRIM(INDEX('6. TIẾN ĐỘ MUA HÀNG'!$A:$AT, 0, XMATCH("Tháng", '6. TIẾN ĐỘ MUA HÀNG'!$A$4:$AT$4, 0))) = TRIM(U$6)) * (INDEX('6. TIẾN ĐỘ MUA HÀNG'!$A:$AT, 0, XMATCH("Phân loại VTBB/NL", '6. TIẾN ĐỘ MUA HÀNG'!$A$4:$AT$4, 0)) &lt;&gt; ""))</f>
        <v>0</v>
      </c>
      <c r="V37" s="744">
        <f t="array" ref="V37">SUMPRODUCT(IFERROR(INDEX('6. TIẾN ĐỘ MUA HÀNG'!$A$5:$AT81, 0, XMATCH("Thành tiền đơn hàng", '6. TIẾN ĐỘ MUA HÀNG'!$A$4:$AT$4, 0)), 0) * (INDEX('6. TIẾN ĐỘ MUA HÀNG'!$A$5:$AT81, 0, XMATCH("Phân loại VTBB/NL", '6. TIẾN ĐỘ MUA HÀNG'!$A$4:$AT$4, 0)) = $B37) * (TRIM(INDEX('6. TIẾN ĐỘ MUA HÀNG'!$A$5:$AT81, 0, XMATCH("Tháng", '6. TIẾN ĐỘ MUA HÀNG'!$A$4:$AT$4, 0))) = TRIM(U$6)))</f>
        <v>0</v>
      </c>
      <c r="W37" s="741">
        <f t="array" ref="W37">SUMPRODUCT((INDEX('6. TIẾN ĐỘ MUA HÀNG'!$A:$AT, 0, XMATCH("Phân loại VTBB/NL", '6. TIẾN ĐỘ MUA HÀNG'!$A$4:$AT$4, 0)) = $B37) * (TRIM(INDEX('6. TIẾN ĐỘ MUA HÀNG'!$A:$AT, 0, XMATCH("Tháng", '6. TIẾN ĐỘ MUA HÀNG'!$A$4:$AT$4, 0))) = TRIM($W$6)) * (INDEX('6. TIẾN ĐỘ MUA HÀNG'!$A:$AT, 0, XMATCH("Phân loại VTBB/NL", '6. TIẾN ĐỘ MUA HÀNG'!$A$4:$AT$4, 0)) &lt;&gt; ""))</f>
        <v>0</v>
      </c>
      <c r="X37" s="742">
        <f t="array" ref="X37">SUMPRODUCT(IFERROR(INDEX('6. TIẾN ĐỘ MUA HÀNG'!$A$5:$AT81, 0, XMATCH("Thành tiền đơn hàng", '6. TIẾN ĐỘ MUA HÀNG'!$A$4:$AT$4, 0)), 0) * (INDEX('6. TIẾN ĐỘ MUA HÀNG'!$A$5:$AT81, 0, XMATCH("Phân loại VTBB/NL", '6. TIẾN ĐỘ MUA HÀNG'!$A$4:$AT$4, 0)) = $B37) * (TRIM(INDEX('6. TIẾN ĐỘ MUA HÀNG'!$A$5:$AT81, 0, XMATCH("Tháng", '6. TIẾN ĐỘ MUA HÀNG'!$A$4:$AT$4, 0))) = TRIM(W$6)))</f>
        <v>0</v>
      </c>
      <c r="Y37" s="743">
        <f t="array" ref="Y37">SUMPRODUCT((INDEX('6. TIẾN ĐỘ MUA HÀNG'!$A:$AT, 0, XMATCH("Phân loại VTBB/NL", '6. TIẾN ĐỘ MUA HÀNG'!$A$4:$AT$4, 0)) = $B37) * (TRIM(INDEX('6. TIẾN ĐỘ MUA HÀNG'!$A:$AT, 0, XMATCH("Tháng", '6. TIẾN ĐỘ MUA HÀNG'!$A$4:$AT$4, 0))) = TRIM(Y$6)) * (INDEX('6. TIẾN ĐỘ MUA HÀNG'!$A:$AT, 0, XMATCH("Phân loại VTBB/NL", '6. TIẾN ĐỘ MUA HÀNG'!$A$4:$AT$4, 0)) &lt;&gt; ""))</f>
        <v>0</v>
      </c>
      <c r="Z37" s="744">
        <f t="array" ref="Z37">SUMPRODUCT(IFERROR(INDEX('6. TIẾN ĐỘ MUA HÀNG'!$A$5:$AT81, 0, XMATCH("Thành tiền đơn hàng", '6. TIẾN ĐỘ MUA HÀNG'!$A$4:$AT$4, 0)), 0) * (INDEX('6. TIẾN ĐỘ MUA HÀNG'!$A$5:$AT81, 0, XMATCH("Phân loại VTBB/NL", '6. TIẾN ĐỘ MUA HÀNG'!$A$4:$AT$4, 0)) = $B37) * (TRIM(INDEX('6. TIẾN ĐỘ MUA HÀNG'!$A$5:$AT81, 0, XMATCH("Tháng", '6. TIẾN ĐỘ MUA HÀNG'!$A$4:$AT$4, 0))) = TRIM(Y$6)))</f>
        <v>0</v>
      </c>
      <c r="AA37" s="726">
        <f t="shared" si="2"/>
        <v>0</v>
      </c>
      <c r="AB37" s="726">
        <f t="shared" si="3"/>
        <v>0</v>
      </c>
    </row>
    <row r="38">
      <c r="A38" s="612">
        <v>30.0</v>
      </c>
      <c r="B38" s="597" t="str">
        <f>IFERROR(__xludf.DUMMYFUNCTION("""COMPUTED_VALUE"""),"Túi Zip")</f>
        <v>Túi Zip</v>
      </c>
      <c r="C38" s="741">
        <f t="array" ref="C38">SUMPRODUCT((INDEX('6. TIẾN ĐỘ MUA HÀNG'!$A:$AT, 0, XMATCH("Phân loại VTBB/NL", '6. TIẾN ĐỘ MUA HÀNG'!$A$4:$AT$4, 0)) = $B38) * (TRIM(INDEX('6. TIẾN ĐỘ MUA HÀNG'!$A:$AT, 0, XMATCH("Tháng", '6. TIẾN ĐỘ MUA HÀNG'!$A$4:$AT$4, 0))) = TRIM($C$6)) * (INDEX('6. TIẾN ĐỘ MUA HÀNG'!$A:$AT, 0, XMATCH("Phân loại VTBB/NL", '6. TIẾN ĐỘ MUA HÀNG'!$A$4:$AT$4, 0)) &lt;&gt; ""))</f>
        <v>0</v>
      </c>
      <c r="D38" s="742">
        <f t="array" ref="D38">SUMPRODUCT(IFERROR(INDEX('6. TIẾN ĐỘ MUA HÀNG'!$A$5:$AT81, 0, XMATCH("Thành tiền đơn hàng", '6. TIẾN ĐỘ MUA HÀNG'!$A$4:$AT$4, 0)), 0) * (INDEX('6. TIẾN ĐỘ MUA HÀNG'!$A$5:$AT81, 0, XMATCH("Phân loại VTBB/NL", '6. TIẾN ĐỘ MUA HÀNG'!$A$4:$AT$4, 0)) = $B38) * (TRIM(INDEX('6. TIẾN ĐỘ MUA HÀNG'!$A$5:$AT81, 0, XMATCH("Tháng", '6. TIẾN ĐỘ MUA HÀNG'!$A$4:$AT$4, 0))) = TRIM(C$6)))</f>
        <v>0</v>
      </c>
      <c r="E38" s="743">
        <f t="array" ref="E38">SUMPRODUCT((INDEX('6. TIẾN ĐỘ MUA HÀNG'!$A:$AT, 0, XMATCH("Phân loại VTBB/NL", '6. TIẾN ĐỘ MUA HÀNG'!$A$4:$AT$4, 0)) = $B38) * (TRIM(INDEX('6. TIẾN ĐỘ MUA HÀNG'!$A:$AT, 0, XMATCH("Tháng", '6. TIẾN ĐỘ MUA HÀNG'!$A$4:$AT$4, 0))) = TRIM(E$6)) * (INDEX('6. TIẾN ĐỘ MUA HÀNG'!$A:$AT, 0, XMATCH("Phân loại VTBB/NL", '6. TIẾN ĐỘ MUA HÀNG'!$A$4:$AT$4, 0)) &lt;&gt; ""))</f>
        <v>0</v>
      </c>
      <c r="F38" s="744">
        <f t="array" ref="F38">SUMPRODUCT(IFERROR(INDEX('6. TIẾN ĐỘ MUA HÀNG'!$A$5:$AT81, 0, XMATCH("Thành tiền đơn hàng", '6. TIẾN ĐỘ MUA HÀNG'!$A$4:$AT$4, 0)), 0) * (INDEX('6. TIẾN ĐỘ MUA HÀNG'!$A$5:$AT81, 0, XMATCH("Phân loại VTBB/NL", '6. TIẾN ĐỘ MUA HÀNG'!$A$4:$AT$4, 0)) = $B38) * (TRIM(INDEX('6. TIẾN ĐỘ MUA HÀNG'!$A$5:$AT81, 0, XMATCH("Tháng", '6. TIẾN ĐỘ MUA HÀNG'!$A$4:$AT$4, 0))) = TRIM(E$6)))</f>
        <v>0</v>
      </c>
      <c r="G38" s="741">
        <f t="array" ref="G38">SUMPRODUCT((INDEX('6. TIẾN ĐỘ MUA HÀNG'!$A:$AT, 0, XMATCH("Phân loại VTBB/NL", '6. TIẾN ĐỘ MUA HÀNG'!$A$4:$AT$4, 0)) = $B38) * (TRIM(INDEX('6. TIẾN ĐỘ MUA HÀNG'!$A:$AT, 0, XMATCH("Tháng", '6. TIẾN ĐỘ MUA HÀNG'!$A$4:$AT$4, 0))) = TRIM($G$6)) * (INDEX('6. TIẾN ĐỘ MUA HÀNG'!$A:$AT, 0, XMATCH("Phân loại VTBB/NL", '6. TIẾN ĐỘ MUA HÀNG'!$A$4:$AT$4, 0)) &lt;&gt; ""))</f>
        <v>0</v>
      </c>
      <c r="H38" s="742">
        <f t="array" ref="H38">SUMPRODUCT(IFERROR(INDEX('6. TIẾN ĐỘ MUA HÀNG'!$A$5:$AT81, 0, XMATCH("Thành tiền đơn hàng", '6. TIẾN ĐỘ MUA HÀNG'!$A$4:$AT$4, 0)), 0) * (INDEX('6. TIẾN ĐỘ MUA HÀNG'!$A$5:$AT81, 0, XMATCH("Phân loại VTBB/NL", '6. TIẾN ĐỘ MUA HÀNG'!$A$4:$AT$4, 0)) = $B38) * (TRIM(INDEX('6. TIẾN ĐỘ MUA HÀNG'!$A$5:$AT81, 0, XMATCH("Tháng", '6. TIẾN ĐỘ MUA HÀNG'!$A$4:$AT$4, 0))) = TRIM(G$6)))</f>
        <v>0</v>
      </c>
      <c r="I38" s="743">
        <f t="array" ref="I38">SUMPRODUCT((INDEX('6. TIẾN ĐỘ MUA HÀNG'!$A:$AT, 0, XMATCH("Phân loại VTBB/NL", '6. TIẾN ĐỘ MUA HÀNG'!$A$4:$AT$4, 0)) = $B38) * (TRIM(INDEX('6. TIẾN ĐỘ MUA HÀNG'!$A:$AT, 0, XMATCH("Tháng", '6. TIẾN ĐỘ MUA HÀNG'!$A$4:$AT$4, 0))) = TRIM(I$6)) * (INDEX('6. TIẾN ĐỘ MUA HÀNG'!$A:$AT, 0, XMATCH("Phân loại VTBB/NL", '6. TIẾN ĐỘ MUA HÀNG'!$A$4:$AT$4, 0)) &lt;&gt; ""))</f>
        <v>0</v>
      </c>
      <c r="J38" s="744">
        <f t="array" ref="J38">SUMPRODUCT(IFERROR(INDEX('6. TIẾN ĐỘ MUA HÀNG'!$A$5:$AT81, 0, XMATCH("Thành tiền đơn hàng", '6. TIẾN ĐỘ MUA HÀNG'!$A$4:$AT$4, 0)), 0) * (INDEX('6. TIẾN ĐỘ MUA HÀNG'!$A$5:$AT81, 0, XMATCH("Phân loại VTBB/NL", '6. TIẾN ĐỘ MUA HÀNG'!$A$4:$AT$4, 0)) = $B38) * (TRIM(INDEX('6. TIẾN ĐỘ MUA HÀNG'!$A$5:$AT81, 0, XMATCH("Tháng", '6. TIẾN ĐỘ MUA HÀNG'!$A$4:$AT$4, 0))) = TRIM(I$6)))</f>
        <v>0</v>
      </c>
      <c r="K38" s="741">
        <f t="array" ref="K38">SUMPRODUCT((INDEX('6. TIẾN ĐỘ MUA HÀNG'!$A:$AT, 0, XMATCH("Phân loại VTBB/NL", '6. TIẾN ĐỘ MUA HÀNG'!$A$4:$AT$4, 0)) = $B38) * (TRIM(INDEX('6. TIẾN ĐỘ MUA HÀNG'!$A:$AT, 0, XMATCH("Tháng", '6. TIẾN ĐỘ MUA HÀNG'!$A$4:$AT$4, 0))) = TRIM($K$6)) * (INDEX('6. TIẾN ĐỘ MUA HÀNG'!$A:$AT, 0, XMATCH("Phân loại VTBB/NL", '6. TIẾN ĐỘ MUA HÀNG'!$A$4:$AT$4, 0)) &lt;&gt; ""))</f>
        <v>0</v>
      </c>
      <c r="L38" s="742">
        <f t="array" ref="L38">SUMPRODUCT(IFERROR(INDEX('6. TIẾN ĐỘ MUA HÀNG'!$A$5:$AT81, 0, XMATCH("Thành tiền đơn hàng", '6. TIẾN ĐỘ MUA HÀNG'!$A$4:$AT$4, 0)), 0) * (INDEX('6. TIẾN ĐỘ MUA HÀNG'!$A$5:$AT81, 0, XMATCH("Phân loại VTBB/NL", '6. TIẾN ĐỘ MUA HÀNG'!$A$4:$AT$4, 0)) = $B38) * (TRIM(INDEX('6. TIẾN ĐỘ MUA HÀNG'!$A$5:$AT81, 0, XMATCH("Tháng", '6. TIẾN ĐỘ MUA HÀNG'!$A$4:$AT$4, 0))) = TRIM(K$6)))</f>
        <v>0</v>
      </c>
      <c r="M38" s="743">
        <f t="array" ref="M38">SUMPRODUCT((INDEX('6. TIẾN ĐỘ MUA HÀNG'!$A:$AT, 0, XMATCH("Phân loại VTBB/NL", '6. TIẾN ĐỘ MUA HÀNG'!$A$4:$AT$4, 0)) = $B38) * (TRIM(INDEX('6. TIẾN ĐỘ MUA HÀNG'!$A:$AT, 0, XMATCH("Tháng", '6. TIẾN ĐỘ MUA HÀNG'!$A$4:$AT$4, 0))) = TRIM(M$6)) * (INDEX('6. TIẾN ĐỘ MUA HÀNG'!$A:$AT, 0, XMATCH("Phân loại VTBB/NL", '6. TIẾN ĐỘ MUA HÀNG'!$A$4:$AT$4, 0)) &lt;&gt; ""))</f>
        <v>0</v>
      </c>
      <c r="N38" s="744">
        <f t="array" ref="N38">SUMPRODUCT(IFERROR(INDEX('6. TIẾN ĐỘ MUA HÀNG'!$A$5:$AT81, 0, XMATCH("Thành tiền đơn hàng", '6. TIẾN ĐỘ MUA HÀNG'!$A$4:$AT$4, 0)), 0) * (INDEX('6. TIẾN ĐỘ MUA HÀNG'!$A$5:$AT81, 0, XMATCH("Phân loại VTBB/NL", '6. TIẾN ĐỘ MUA HÀNG'!$A$4:$AT$4, 0)) = $B38) * (TRIM(INDEX('6. TIẾN ĐỘ MUA HÀNG'!$A$5:$AT81, 0, XMATCH("Tháng", '6. TIẾN ĐỘ MUA HÀNG'!$A$4:$AT$4, 0))) = TRIM(M$6)))</f>
        <v>0</v>
      </c>
      <c r="O38" s="741">
        <f t="array" ref="O38">SUMPRODUCT((INDEX('6. TIẾN ĐỘ MUA HÀNG'!$A:$AT, 0, XMATCH("Phân loại VTBB/NL", '6. TIẾN ĐỘ MUA HÀNG'!$A$4:$AT$4, 0)) = $B38) * (TRIM(INDEX('6. TIẾN ĐỘ MUA HÀNG'!$A:$AT, 0, XMATCH("Tháng", '6. TIẾN ĐỘ MUA HÀNG'!$A$4:$AT$4, 0))) = TRIM($O$6)) * (INDEX('6. TIẾN ĐỘ MUA HÀNG'!$A:$AT, 0, XMATCH("Phân loại VTBB/NL", '6. TIẾN ĐỘ MUA HÀNG'!$A$4:$AT$4, 0)) &lt;&gt; ""))</f>
        <v>0</v>
      </c>
      <c r="P38" s="742">
        <f t="array" ref="P38">SUMPRODUCT(IFERROR(INDEX('6. TIẾN ĐỘ MUA HÀNG'!$A$5:$AT81, 0, XMATCH("Thành tiền đơn hàng", '6. TIẾN ĐỘ MUA HÀNG'!$A$4:$AT$4, 0)), 0) * (INDEX('6. TIẾN ĐỘ MUA HÀNG'!$A$5:$AT81, 0, XMATCH("Phân loại VTBB/NL", '6. TIẾN ĐỘ MUA HÀNG'!$A$4:$AT$4, 0)) = $B38) * (TRIM(INDEX('6. TIẾN ĐỘ MUA HÀNG'!$A$5:$AT81, 0, XMATCH("Tháng", '6. TIẾN ĐỘ MUA HÀNG'!$A$4:$AT$4, 0))) = TRIM(O$6)))</f>
        <v>0</v>
      </c>
      <c r="Q38" s="743">
        <f t="array" ref="Q38">SUMPRODUCT((INDEX('6. TIẾN ĐỘ MUA HÀNG'!$A:$AT, 0, XMATCH("Phân loại VTBB/NL", '6. TIẾN ĐỘ MUA HÀNG'!$A$4:$AT$4, 0)) = $B38) * (TRIM(INDEX('6. TIẾN ĐỘ MUA HÀNG'!$A:$AT, 0, XMATCH("Tháng", '6. TIẾN ĐỘ MUA HÀNG'!$A$4:$AT$4, 0))) = TRIM(Q$6)) * (INDEX('6. TIẾN ĐỘ MUA HÀNG'!$A:$AT, 0, XMATCH("Phân loại VTBB/NL", '6. TIẾN ĐỘ MUA HÀNG'!$A$4:$AT$4, 0)) &lt;&gt; ""))</f>
        <v>0</v>
      </c>
      <c r="R38" s="744">
        <f t="array" ref="R38">SUMPRODUCT(IFERROR(INDEX('6. TIẾN ĐỘ MUA HÀNG'!$A$5:$AT81, 0, XMATCH("Thành tiền đơn hàng", '6. TIẾN ĐỘ MUA HÀNG'!$A$4:$AT$4, 0)), 0) * (INDEX('6. TIẾN ĐỘ MUA HÀNG'!$A$5:$AT81, 0, XMATCH("Phân loại VTBB/NL", '6. TIẾN ĐỘ MUA HÀNG'!$A$4:$AT$4, 0)) = $B38) * (TRIM(INDEX('6. TIẾN ĐỘ MUA HÀNG'!$A$5:$AT81, 0, XMATCH("Tháng", '6. TIẾN ĐỘ MUA HÀNG'!$A$4:$AT$4, 0))) = TRIM(Q$6)))</f>
        <v>0</v>
      </c>
      <c r="S38" s="741">
        <f t="array" ref="S38">SUMPRODUCT((INDEX('6. TIẾN ĐỘ MUA HÀNG'!$A:$AT, 0, XMATCH("Phân loại VTBB/NL", '6. TIẾN ĐỘ MUA HÀNG'!$A$4:$AT$4, 0)) = $B38) * (TRIM(INDEX('6. TIẾN ĐỘ MUA HÀNG'!$A:$AT, 0, XMATCH("Tháng", '6. TIẾN ĐỘ MUA HÀNG'!$A$4:$AT$4, 0))) = TRIM($S$6)) * (INDEX('6. TIẾN ĐỘ MUA HÀNG'!$A:$AT, 0, XMATCH("Phân loại VTBB/NL", '6. TIẾN ĐỘ MUA HÀNG'!$A$4:$AT$4, 0)) &lt;&gt; ""))</f>
        <v>0</v>
      </c>
      <c r="T38" s="742">
        <f t="array" ref="T38">SUMPRODUCT(IFERROR(INDEX('6. TIẾN ĐỘ MUA HÀNG'!$A$5:$AT81, 0, XMATCH("Thành tiền đơn hàng", '6. TIẾN ĐỘ MUA HÀNG'!$A$4:$AT$4, 0)), 0) * (INDEX('6. TIẾN ĐỘ MUA HÀNG'!$A$5:$AT81, 0, XMATCH("Phân loại VTBB/NL", '6. TIẾN ĐỘ MUA HÀNG'!$A$4:$AT$4, 0)) = $B38) * (TRIM(INDEX('6. TIẾN ĐỘ MUA HÀNG'!$A$5:$AT81, 0, XMATCH("Tháng", '6. TIẾN ĐỘ MUA HÀNG'!$A$4:$AT$4, 0))) = TRIM(S$6)))</f>
        <v>0</v>
      </c>
      <c r="U38" s="743">
        <f t="array" ref="U38">SUMPRODUCT((INDEX('6. TIẾN ĐỘ MUA HÀNG'!$A:$AT, 0, XMATCH("Phân loại VTBB/NL", '6. TIẾN ĐỘ MUA HÀNG'!$A$4:$AT$4, 0)) = $B38) * (TRIM(INDEX('6. TIẾN ĐỘ MUA HÀNG'!$A:$AT, 0, XMATCH("Tháng", '6. TIẾN ĐỘ MUA HÀNG'!$A$4:$AT$4, 0))) = TRIM(U$6)) * (INDEX('6. TIẾN ĐỘ MUA HÀNG'!$A:$AT, 0, XMATCH("Phân loại VTBB/NL", '6. TIẾN ĐỘ MUA HÀNG'!$A$4:$AT$4, 0)) &lt;&gt; ""))</f>
        <v>0</v>
      </c>
      <c r="V38" s="744">
        <f t="array" ref="V38">SUMPRODUCT(IFERROR(INDEX('6. TIẾN ĐỘ MUA HÀNG'!$A$5:$AT81, 0, XMATCH("Thành tiền đơn hàng", '6. TIẾN ĐỘ MUA HÀNG'!$A$4:$AT$4, 0)), 0) * (INDEX('6. TIẾN ĐỘ MUA HÀNG'!$A$5:$AT81, 0, XMATCH("Phân loại VTBB/NL", '6. TIẾN ĐỘ MUA HÀNG'!$A$4:$AT$4, 0)) = $B38) * (TRIM(INDEX('6. TIẾN ĐỘ MUA HÀNG'!$A$5:$AT81, 0, XMATCH("Tháng", '6. TIẾN ĐỘ MUA HÀNG'!$A$4:$AT$4, 0))) = TRIM(U$6)))</f>
        <v>0</v>
      </c>
      <c r="W38" s="741">
        <f t="array" ref="W38">SUMPRODUCT((INDEX('6. TIẾN ĐỘ MUA HÀNG'!$A:$AT, 0, XMATCH("Phân loại VTBB/NL", '6. TIẾN ĐỘ MUA HÀNG'!$A$4:$AT$4, 0)) = $B38) * (TRIM(INDEX('6. TIẾN ĐỘ MUA HÀNG'!$A:$AT, 0, XMATCH("Tháng", '6. TIẾN ĐỘ MUA HÀNG'!$A$4:$AT$4, 0))) = TRIM($W$6)) * (INDEX('6. TIẾN ĐỘ MUA HÀNG'!$A:$AT, 0, XMATCH("Phân loại VTBB/NL", '6. TIẾN ĐỘ MUA HÀNG'!$A$4:$AT$4, 0)) &lt;&gt; ""))</f>
        <v>0</v>
      </c>
      <c r="X38" s="742">
        <f t="array" ref="X38">SUMPRODUCT(IFERROR(INDEX('6. TIẾN ĐỘ MUA HÀNG'!$A$5:$AT81, 0, XMATCH("Thành tiền đơn hàng", '6. TIẾN ĐỘ MUA HÀNG'!$A$4:$AT$4, 0)), 0) * (INDEX('6. TIẾN ĐỘ MUA HÀNG'!$A$5:$AT81, 0, XMATCH("Phân loại VTBB/NL", '6. TIẾN ĐỘ MUA HÀNG'!$A$4:$AT$4, 0)) = $B38) * (TRIM(INDEX('6. TIẾN ĐỘ MUA HÀNG'!$A$5:$AT81, 0, XMATCH("Tháng", '6. TIẾN ĐỘ MUA HÀNG'!$A$4:$AT$4, 0))) = TRIM(W$6)))</f>
        <v>0</v>
      </c>
      <c r="Y38" s="743">
        <f t="array" ref="Y38">SUMPRODUCT((INDEX('6. TIẾN ĐỘ MUA HÀNG'!$A:$AT, 0, XMATCH("Phân loại VTBB/NL", '6. TIẾN ĐỘ MUA HÀNG'!$A$4:$AT$4, 0)) = $B38) * (TRIM(INDEX('6. TIẾN ĐỘ MUA HÀNG'!$A:$AT, 0, XMATCH("Tháng", '6. TIẾN ĐỘ MUA HÀNG'!$A$4:$AT$4, 0))) = TRIM(Y$6)) * (INDEX('6. TIẾN ĐỘ MUA HÀNG'!$A:$AT, 0, XMATCH("Phân loại VTBB/NL", '6. TIẾN ĐỘ MUA HÀNG'!$A$4:$AT$4, 0)) &lt;&gt; ""))</f>
        <v>0</v>
      </c>
      <c r="Z38" s="744">
        <f t="array" ref="Z38">SUMPRODUCT(IFERROR(INDEX('6. TIẾN ĐỘ MUA HÀNG'!$A$5:$AT81, 0, XMATCH("Thành tiền đơn hàng", '6. TIẾN ĐỘ MUA HÀNG'!$A$4:$AT$4, 0)), 0) * (INDEX('6. TIẾN ĐỘ MUA HÀNG'!$A$5:$AT81, 0, XMATCH("Phân loại VTBB/NL", '6. TIẾN ĐỘ MUA HÀNG'!$A$4:$AT$4, 0)) = $B38) * (TRIM(INDEX('6. TIẾN ĐỘ MUA HÀNG'!$A$5:$AT81, 0, XMATCH("Tháng", '6. TIẾN ĐỘ MUA HÀNG'!$A$4:$AT$4, 0))) = TRIM(Y$6)))</f>
        <v>0</v>
      </c>
      <c r="AA38" s="726">
        <f t="shared" si="2"/>
        <v>0</v>
      </c>
      <c r="AB38" s="726">
        <f t="shared" si="3"/>
        <v>0</v>
      </c>
    </row>
    <row r="39">
      <c r="A39" s="612">
        <v>31.0</v>
      </c>
      <c r="B39" s="597" t="str">
        <f>IFERROR(__xludf.DUMMYFUNCTION("""COMPUTED_VALUE"""),"Túi PA")</f>
        <v>Túi PA</v>
      </c>
      <c r="C39" s="741">
        <f t="array" ref="C39">SUMPRODUCT((INDEX('6. TIẾN ĐỘ MUA HÀNG'!$A:$AT, 0, XMATCH("Phân loại VTBB/NL", '6. TIẾN ĐỘ MUA HÀNG'!$A$4:$AT$4, 0)) = $B39) * (TRIM(INDEX('6. TIẾN ĐỘ MUA HÀNG'!$A:$AT, 0, XMATCH("Tháng", '6. TIẾN ĐỘ MUA HÀNG'!$A$4:$AT$4, 0))) = TRIM($C$6)) * (INDEX('6. TIẾN ĐỘ MUA HÀNG'!$A:$AT, 0, XMATCH("Phân loại VTBB/NL", '6. TIẾN ĐỘ MUA HÀNG'!$A$4:$AT$4, 0)) &lt;&gt; ""))</f>
        <v>0</v>
      </c>
      <c r="D39" s="742">
        <f t="array" ref="D39">SUMPRODUCT(IFERROR(INDEX('6. TIẾN ĐỘ MUA HÀNG'!$A$5:$AT81, 0, XMATCH("Thành tiền đơn hàng", '6. TIẾN ĐỘ MUA HÀNG'!$A$4:$AT$4, 0)), 0) * (INDEX('6. TIẾN ĐỘ MUA HÀNG'!$A$5:$AT81, 0, XMATCH("Phân loại VTBB/NL", '6. TIẾN ĐỘ MUA HÀNG'!$A$4:$AT$4, 0)) = $B39) * (TRIM(INDEX('6. TIẾN ĐỘ MUA HÀNG'!$A$5:$AT81, 0, XMATCH("Tháng", '6. TIẾN ĐỘ MUA HÀNG'!$A$4:$AT$4, 0))) = TRIM(C$6)))</f>
        <v>0</v>
      </c>
      <c r="E39" s="743">
        <f t="array" ref="E39">SUMPRODUCT((INDEX('6. TIẾN ĐỘ MUA HÀNG'!$A:$AT, 0, XMATCH("Phân loại VTBB/NL", '6. TIẾN ĐỘ MUA HÀNG'!$A$4:$AT$4, 0)) = $B39) * (TRIM(INDEX('6. TIẾN ĐỘ MUA HÀNG'!$A:$AT, 0, XMATCH("Tháng", '6. TIẾN ĐỘ MUA HÀNG'!$A$4:$AT$4, 0))) = TRIM(E$6)) * (INDEX('6. TIẾN ĐỘ MUA HÀNG'!$A:$AT, 0, XMATCH("Phân loại VTBB/NL", '6. TIẾN ĐỘ MUA HÀNG'!$A$4:$AT$4, 0)) &lt;&gt; ""))</f>
        <v>0</v>
      </c>
      <c r="F39" s="744">
        <f t="array" ref="F39">SUMPRODUCT(IFERROR(INDEX('6. TIẾN ĐỘ MUA HÀNG'!$A$5:$AT81, 0, XMATCH("Thành tiền đơn hàng", '6. TIẾN ĐỘ MUA HÀNG'!$A$4:$AT$4, 0)), 0) * (INDEX('6. TIẾN ĐỘ MUA HÀNG'!$A$5:$AT81, 0, XMATCH("Phân loại VTBB/NL", '6. TIẾN ĐỘ MUA HÀNG'!$A$4:$AT$4, 0)) = $B39) * (TRIM(INDEX('6. TIẾN ĐỘ MUA HÀNG'!$A$5:$AT81, 0, XMATCH("Tháng", '6. TIẾN ĐỘ MUA HÀNG'!$A$4:$AT$4, 0))) = TRIM(E$6)))</f>
        <v>0</v>
      </c>
      <c r="G39" s="741">
        <f t="array" ref="G39">SUMPRODUCT((INDEX('6. TIẾN ĐỘ MUA HÀNG'!$A:$AT, 0, XMATCH("Phân loại VTBB/NL", '6. TIẾN ĐỘ MUA HÀNG'!$A$4:$AT$4, 0)) = $B39) * (TRIM(INDEX('6. TIẾN ĐỘ MUA HÀNG'!$A:$AT, 0, XMATCH("Tháng", '6. TIẾN ĐỘ MUA HÀNG'!$A$4:$AT$4, 0))) = TRIM($G$6)) * (INDEX('6. TIẾN ĐỘ MUA HÀNG'!$A:$AT, 0, XMATCH("Phân loại VTBB/NL", '6. TIẾN ĐỘ MUA HÀNG'!$A$4:$AT$4, 0)) &lt;&gt; ""))</f>
        <v>0</v>
      </c>
      <c r="H39" s="742">
        <f t="array" ref="H39">SUMPRODUCT(IFERROR(INDEX('6. TIẾN ĐỘ MUA HÀNG'!$A$5:$AT81, 0, XMATCH("Thành tiền đơn hàng", '6. TIẾN ĐỘ MUA HÀNG'!$A$4:$AT$4, 0)), 0) * (INDEX('6. TIẾN ĐỘ MUA HÀNG'!$A$5:$AT81, 0, XMATCH("Phân loại VTBB/NL", '6. TIẾN ĐỘ MUA HÀNG'!$A$4:$AT$4, 0)) = $B39) * (TRIM(INDEX('6. TIẾN ĐỘ MUA HÀNG'!$A$5:$AT81, 0, XMATCH("Tháng", '6. TIẾN ĐỘ MUA HÀNG'!$A$4:$AT$4, 0))) = TRIM(G$6)))</f>
        <v>0</v>
      </c>
      <c r="I39" s="743">
        <f t="array" ref="I39">SUMPRODUCT((INDEX('6. TIẾN ĐỘ MUA HÀNG'!$A:$AT, 0, XMATCH("Phân loại VTBB/NL", '6. TIẾN ĐỘ MUA HÀNG'!$A$4:$AT$4, 0)) = $B39) * (TRIM(INDEX('6. TIẾN ĐỘ MUA HÀNG'!$A:$AT, 0, XMATCH("Tháng", '6. TIẾN ĐỘ MUA HÀNG'!$A$4:$AT$4, 0))) = TRIM(I$6)) * (INDEX('6. TIẾN ĐỘ MUA HÀNG'!$A:$AT, 0, XMATCH("Phân loại VTBB/NL", '6. TIẾN ĐỘ MUA HÀNG'!$A$4:$AT$4, 0)) &lt;&gt; ""))</f>
        <v>0</v>
      </c>
      <c r="J39" s="744">
        <f t="array" ref="J39">SUMPRODUCT(IFERROR(INDEX('6. TIẾN ĐỘ MUA HÀNG'!$A$5:$AT81, 0, XMATCH("Thành tiền đơn hàng", '6. TIẾN ĐỘ MUA HÀNG'!$A$4:$AT$4, 0)), 0) * (INDEX('6. TIẾN ĐỘ MUA HÀNG'!$A$5:$AT81, 0, XMATCH("Phân loại VTBB/NL", '6. TIẾN ĐỘ MUA HÀNG'!$A$4:$AT$4, 0)) = $B39) * (TRIM(INDEX('6. TIẾN ĐỘ MUA HÀNG'!$A$5:$AT81, 0, XMATCH("Tháng", '6. TIẾN ĐỘ MUA HÀNG'!$A$4:$AT$4, 0))) = TRIM(I$6)))</f>
        <v>0</v>
      </c>
      <c r="K39" s="741">
        <f t="array" ref="K39">SUMPRODUCT((INDEX('6. TIẾN ĐỘ MUA HÀNG'!$A:$AT, 0, XMATCH("Phân loại VTBB/NL", '6. TIẾN ĐỘ MUA HÀNG'!$A$4:$AT$4, 0)) = $B39) * (TRIM(INDEX('6. TIẾN ĐỘ MUA HÀNG'!$A:$AT, 0, XMATCH("Tháng", '6. TIẾN ĐỘ MUA HÀNG'!$A$4:$AT$4, 0))) = TRIM($K$6)) * (INDEX('6. TIẾN ĐỘ MUA HÀNG'!$A:$AT, 0, XMATCH("Phân loại VTBB/NL", '6. TIẾN ĐỘ MUA HÀNG'!$A$4:$AT$4, 0)) &lt;&gt; ""))</f>
        <v>0</v>
      </c>
      <c r="L39" s="742">
        <f t="array" ref="L39">SUMPRODUCT(IFERROR(INDEX('6. TIẾN ĐỘ MUA HÀNG'!$A$5:$AT81, 0, XMATCH("Thành tiền đơn hàng", '6. TIẾN ĐỘ MUA HÀNG'!$A$4:$AT$4, 0)), 0) * (INDEX('6. TIẾN ĐỘ MUA HÀNG'!$A$5:$AT81, 0, XMATCH("Phân loại VTBB/NL", '6. TIẾN ĐỘ MUA HÀNG'!$A$4:$AT$4, 0)) = $B39) * (TRIM(INDEX('6. TIẾN ĐỘ MUA HÀNG'!$A$5:$AT81, 0, XMATCH("Tháng", '6. TIẾN ĐỘ MUA HÀNG'!$A$4:$AT$4, 0))) = TRIM(K$6)))</f>
        <v>0</v>
      </c>
      <c r="M39" s="743">
        <f t="array" ref="M39">SUMPRODUCT((INDEX('6. TIẾN ĐỘ MUA HÀNG'!$A:$AT, 0, XMATCH("Phân loại VTBB/NL", '6. TIẾN ĐỘ MUA HÀNG'!$A$4:$AT$4, 0)) = $B39) * (TRIM(INDEX('6. TIẾN ĐỘ MUA HÀNG'!$A:$AT, 0, XMATCH("Tháng", '6. TIẾN ĐỘ MUA HÀNG'!$A$4:$AT$4, 0))) = TRIM(M$6)) * (INDEX('6. TIẾN ĐỘ MUA HÀNG'!$A:$AT, 0, XMATCH("Phân loại VTBB/NL", '6. TIẾN ĐỘ MUA HÀNG'!$A$4:$AT$4, 0)) &lt;&gt; ""))</f>
        <v>0</v>
      </c>
      <c r="N39" s="744">
        <f t="array" ref="N39">SUMPRODUCT(IFERROR(INDEX('6. TIẾN ĐỘ MUA HÀNG'!$A$5:$AT81, 0, XMATCH("Thành tiền đơn hàng", '6. TIẾN ĐỘ MUA HÀNG'!$A$4:$AT$4, 0)), 0) * (INDEX('6. TIẾN ĐỘ MUA HÀNG'!$A$5:$AT81, 0, XMATCH("Phân loại VTBB/NL", '6. TIẾN ĐỘ MUA HÀNG'!$A$4:$AT$4, 0)) = $B39) * (TRIM(INDEX('6. TIẾN ĐỘ MUA HÀNG'!$A$5:$AT81, 0, XMATCH("Tháng", '6. TIẾN ĐỘ MUA HÀNG'!$A$4:$AT$4, 0))) = TRIM(M$6)))</f>
        <v>0</v>
      </c>
      <c r="O39" s="741">
        <f t="array" ref="O39">SUMPRODUCT((INDEX('6. TIẾN ĐỘ MUA HÀNG'!$A:$AT, 0, XMATCH("Phân loại VTBB/NL", '6. TIẾN ĐỘ MUA HÀNG'!$A$4:$AT$4, 0)) = $B39) * (TRIM(INDEX('6. TIẾN ĐỘ MUA HÀNG'!$A:$AT, 0, XMATCH("Tháng", '6. TIẾN ĐỘ MUA HÀNG'!$A$4:$AT$4, 0))) = TRIM($O$6)) * (INDEX('6. TIẾN ĐỘ MUA HÀNG'!$A:$AT, 0, XMATCH("Phân loại VTBB/NL", '6. TIẾN ĐỘ MUA HÀNG'!$A$4:$AT$4, 0)) &lt;&gt; ""))</f>
        <v>0</v>
      </c>
      <c r="P39" s="742">
        <f t="array" ref="P39">SUMPRODUCT(IFERROR(INDEX('6. TIẾN ĐỘ MUA HÀNG'!$A$5:$AT81, 0, XMATCH("Thành tiền đơn hàng", '6. TIẾN ĐỘ MUA HÀNG'!$A$4:$AT$4, 0)), 0) * (INDEX('6. TIẾN ĐỘ MUA HÀNG'!$A$5:$AT81, 0, XMATCH("Phân loại VTBB/NL", '6. TIẾN ĐỘ MUA HÀNG'!$A$4:$AT$4, 0)) = $B39) * (TRIM(INDEX('6. TIẾN ĐỘ MUA HÀNG'!$A$5:$AT81, 0, XMATCH("Tháng", '6. TIẾN ĐỘ MUA HÀNG'!$A$4:$AT$4, 0))) = TRIM(O$6)))</f>
        <v>0</v>
      </c>
      <c r="Q39" s="743">
        <f t="array" ref="Q39">SUMPRODUCT((INDEX('6. TIẾN ĐỘ MUA HÀNG'!$A:$AT, 0, XMATCH("Phân loại VTBB/NL", '6. TIẾN ĐỘ MUA HÀNG'!$A$4:$AT$4, 0)) = $B39) * (TRIM(INDEX('6. TIẾN ĐỘ MUA HÀNG'!$A:$AT, 0, XMATCH("Tháng", '6. TIẾN ĐỘ MUA HÀNG'!$A$4:$AT$4, 0))) = TRIM(Q$6)) * (INDEX('6. TIẾN ĐỘ MUA HÀNG'!$A:$AT, 0, XMATCH("Phân loại VTBB/NL", '6. TIẾN ĐỘ MUA HÀNG'!$A$4:$AT$4, 0)) &lt;&gt; ""))</f>
        <v>0</v>
      </c>
      <c r="R39" s="744">
        <f t="array" ref="R39">SUMPRODUCT(IFERROR(INDEX('6. TIẾN ĐỘ MUA HÀNG'!$A$5:$AT81, 0, XMATCH("Thành tiền đơn hàng", '6. TIẾN ĐỘ MUA HÀNG'!$A$4:$AT$4, 0)), 0) * (INDEX('6. TIẾN ĐỘ MUA HÀNG'!$A$5:$AT81, 0, XMATCH("Phân loại VTBB/NL", '6. TIẾN ĐỘ MUA HÀNG'!$A$4:$AT$4, 0)) = $B39) * (TRIM(INDEX('6. TIẾN ĐỘ MUA HÀNG'!$A$5:$AT81, 0, XMATCH("Tháng", '6. TIẾN ĐỘ MUA HÀNG'!$A$4:$AT$4, 0))) = TRIM(Q$6)))</f>
        <v>0</v>
      </c>
      <c r="S39" s="741">
        <f t="array" ref="S39">SUMPRODUCT((INDEX('6. TIẾN ĐỘ MUA HÀNG'!$A:$AT, 0, XMATCH("Phân loại VTBB/NL", '6. TIẾN ĐỘ MUA HÀNG'!$A$4:$AT$4, 0)) = $B39) * (TRIM(INDEX('6. TIẾN ĐỘ MUA HÀNG'!$A:$AT, 0, XMATCH("Tháng", '6. TIẾN ĐỘ MUA HÀNG'!$A$4:$AT$4, 0))) = TRIM($S$6)) * (INDEX('6. TIẾN ĐỘ MUA HÀNG'!$A:$AT, 0, XMATCH("Phân loại VTBB/NL", '6. TIẾN ĐỘ MUA HÀNG'!$A$4:$AT$4, 0)) &lt;&gt; ""))</f>
        <v>0</v>
      </c>
      <c r="T39" s="742">
        <f t="array" ref="T39">SUMPRODUCT(IFERROR(INDEX('6. TIẾN ĐỘ MUA HÀNG'!$A$5:$AT81, 0, XMATCH("Thành tiền đơn hàng", '6. TIẾN ĐỘ MUA HÀNG'!$A$4:$AT$4, 0)), 0) * (INDEX('6. TIẾN ĐỘ MUA HÀNG'!$A$5:$AT81, 0, XMATCH("Phân loại VTBB/NL", '6. TIẾN ĐỘ MUA HÀNG'!$A$4:$AT$4, 0)) = $B39) * (TRIM(INDEX('6. TIẾN ĐỘ MUA HÀNG'!$A$5:$AT81, 0, XMATCH("Tháng", '6. TIẾN ĐỘ MUA HÀNG'!$A$4:$AT$4, 0))) = TRIM(S$6)))</f>
        <v>0</v>
      </c>
      <c r="U39" s="743">
        <f t="array" ref="U39">SUMPRODUCT((INDEX('6. TIẾN ĐỘ MUA HÀNG'!$A:$AT, 0, XMATCH("Phân loại VTBB/NL", '6. TIẾN ĐỘ MUA HÀNG'!$A$4:$AT$4, 0)) = $B39) * (TRIM(INDEX('6. TIẾN ĐỘ MUA HÀNG'!$A:$AT, 0, XMATCH("Tháng", '6. TIẾN ĐỘ MUA HÀNG'!$A$4:$AT$4, 0))) = TRIM(U$6)) * (INDEX('6. TIẾN ĐỘ MUA HÀNG'!$A:$AT, 0, XMATCH("Phân loại VTBB/NL", '6. TIẾN ĐỘ MUA HÀNG'!$A$4:$AT$4, 0)) &lt;&gt; ""))</f>
        <v>0</v>
      </c>
      <c r="V39" s="744">
        <f t="array" ref="V39">SUMPRODUCT(IFERROR(INDEX('6. TIẾN ĐỘ MUA HÀNG'!$A$5:$AT81, 0, XMATCH("Thành tiền đơn hàng", '6. TIẾN ĐỘ MUA HÀNG'!$A$4:$AT$4, 0)), 0) * (INDEX('6. TIẾN ĐỘ MUA HÀNG'!$A$5:$AT81, 0, XMATCH("Phân loại VTBB/NL", '6. TIẾN ĐỘ MUA HÀNG'!$A$4:$AT$4, 0)) = $B39) * (TRIM(INDEX('6. TIẾN ĐỘ MUA HÀNG'!$A$5:$AT81, 0, XMATCH("Tháng", '6. TIẾN ĐỘ MUA HÀNG'!$A$4:$AT$4, 0))) = TRIM(U$6)))</f>
        <v>0</v>
      </c>
      <c r="W39" s="741">
        <f t="array" ref="W39">SUMPRODUCT((INDEX('6. TIẾN ĐỘ MUA HÀNG'!$A:$AT, 0, XMATCH("Phân loại VTBB/NL", '6. TIẾN ĐỘ MUA HÀNG'!$A$4:$AT$4, 0)) = $B39) * (TRIM(INDEX('6. TIẾN ĐỘ MUA HÀNG'!$A:$AT, 0, XMATCH("Tháng", '6. TIẾN ĐỘ MUA HÀNG'!$A$4:$AT$4, 0))) = TRIM($W$6)) * (INDEX('6. TIẾN ĐỘ MUA HÀNG'!$A:$AT, 0, XMATCH("Phân loại VTBB/NL", '6. TIẾN ĐỘ MUA HÀNG'!$A$4:$AT$4, 0)) &lt;&gt; ""))</f>
        <v>0</v>
      </c>
      <c r="X39" s="742">
        <f t="array" ref="X39">SUMPRODUCT(IFERROR(INDEX('6. TIẾN ĐỘ MUA HÀNG'!$A$5:$AT81, 0, XMATCH("Thành tiền đơn hàng", '6. TIẾN ĐỘ MUA HÀNG'!$A$4:$AT$4, 0)), 0) * (INDEX('6. TIẾN ĐỘ MUA HÀNG'!$A$5:$AT81, 0, XMATCH("Phân loại VTBB/NL", '6. TIẾN ĐỘ MUA HÀNG'!$A$4:$AT$4, 0)) = $B39) * (TRIM(INDEX('6. TIẾN ĐỘ MUA HÀNG'!$A$5:$AT81, 0, XMATCH("Tháng", '6. TIẾN ĐỘ MUA HÀNG'!$A$4:$AT$4, 0))) = TRIM(W$6)))</f>
        <v>0</v>
      </c>
      <c r="Y39" s="743">
        <f t="array" ref="Y39">SUMPRODUCT((INDEX('6. TIẾN ĐỘ MUA HÀNG'!$A:$AT, 0, XMATCH("Phân loại VTBB/NL", '6. TIẾN ĐỘ MUA HÀNG'!$A$4:$AT$4, 0)) = $B39) * (TRIM(INDEX('6. TIẾN ĐỘ MUA HÀNG'!$A:$AT, 0, XMATCH("Tháng", '6. TIẾN ĐỘ MUA HÀNG'!$A$4:$AT$4, 0))) = TRIM(Y$6)) * (INDEX('6. TIẾN ĐỘ MUA HÀNG'!$A:$AT, 0, XMATCH("Phân loại VTBB/NL", '6. TIẾN ĐỘ MUA HÀNG'!$A$4:$AT$4, 0)) &lt;&gt; ""))</f>
        <v>0</v>
      </c>
      <c r="Z39" s="744">
        <f t="array" ref="Z39">SUMPRODUCT(IFERROR(INDEX('6. TIẾN ĐỘ MUA HÀNG'!$A$5:$AT81, 0, XMATCH("Thành tiền đơn hàng", '6. TIẾN ĐỘ MUA HÀNG'!$A$4:$AT$4, 0)), 0) * (INDEX('6. TIẾN ĐỘ MUA HÀNG'!$A$5:$AT81, 0, XMATCH("Phân loại VTBB/NL", '6. TIẾN ĐỘ MUA HÀNG'!$A$4:$AT$4, 0)) = $B39) * (TRIM(INDEX('6. TIẾN ĐỘ MUA HÀNG'!$A$5:$AT81, 0, XMATCH("Tháng", '6. TIẾN ĐỘ MUA HÀNG'!$A$4:$AT$4, 0))) = TRIM(Y$6)))</f>
        <v>0</v>
      </c>
      <c r="AA39" s="726">
        <f t="shared" si="2"/>
        <v>0</v>
      </c>
      <c r="AB39" s="726">
        <f t="shared" si="3"/>
        <v>0</v>
      </c>
    </row>
    <row r="40">
      <c r="A40" s="612">
        <v>32.0</v>
      </c>
      <c r="B40" s="597" t="str">
        <f>IFERROR(__xludf.DUMMYFUNCTION("""COMPUTED_VALUE"""),"Tank")</f>
        <v>Tank</v>
      </c>
      <c r="C40" s="741">
        <f t="array" ref="C40">SUMPRODUCT((INDEX('6. TIẾN ĐỘ MUA HÀNG'!$A:$AT, 0, XMATCH("Phân loại VTBB/NL", '6. TIẾN ĐỘ MUA HÀNG'!$A$4:$AT$4, 0)) = $B40) * (TRIM(INDEX('6. TIẾN ĐỘ MUA HÀNG'!$A:$AT, 0, XMATCH("Tháng", '6. TIẾN ĐỘ MUA HÀNG'!$A$4:$AT$4, 0))) = TRIM($C$6)) * (INDEX('6. TIẾN ĐỘ MUA HÀNG'!$A:$AT, 0, XMATCH("Phân loại VTBB/NL", '6. TIẾN ĐỘ MUA HÀNG'!$A$4:$AT$4, 0)) &lt;&gt; ""))</f>
        <v>0</v>
      </c>
      <c r="D40" s="742">
        <f t="array" ref="D40">SUMPRODUCT(IFERROR(INDEX('6. TIẾN ĐỘ MUA HÀNG'!$A$5:$AT81, 0, XMATCH("Thành tiền đơn hàng", '6. TIẾN ĐỘ MUA HÀNG'!$A$4:$AT$4, 0)), 0) * (INDEX('6. TIẾN ĐỘ MUA HÀNG'!$A$5:$AT81, 0, XMATCH("Phân loại VTBB/NL", '6. TIẾN ĐỘ MUA HÀNG'!$A$4:$AT$4, 0)) = $B40) * (TRIM(INDEX('6. TIẾN ĐỘ MUA HÀNG'!$A$5:$AT81, 0, XMATCH("Tháng", '6. TIẾN ĐỘ MUA HÀNG'!$A$4:$AT$4, 0))) = TRIM(C$6)))</f>
        <v>0</v>
      </c>
      <c r="E40" s="743">
        <f t="array" ref="E40">SUMPRODUCT((INDEX('6. TIẾN ĐỘ MUA HÀNG'!$A:$AT, 0, XMATCH("Phân loại VTBB/NL", '6. TIẾN ĐỘ MUA HÀNG'!$A$4:$AT$4, 0)) = $B40) * (TRIM(INDEX('6. TIẾN ĐỘ MUA HÀNG'!$A:$AT, 0, XMATCH("Tháng", '6. TIẾN ĐỘ MUA HÀNG'!$A$4:$AT$4, 0))) = TRIM(E$6)) * (INDEX('6. TIẾN ĐỘ MUA HÀNG'!$A:$AT, 0, XMATCH("Phân loại VTBB/NL", '6. TIẾN ĐỘ MUA HÀNG'!$A$4:$AT$4, 0)) &lt;&gt; ""))</f>
        <v>0</v>
      </c>
      <c r="F40" s="744">
        <f t="array" ref="F40">SUMPRODUCT(IFERROR(INDEX('6. TIẾN ĐỘ MUA HÀNG'!$A$5:$AT81, 0, XMATCH("Thành tiền đơn hàng", '6. TIẾN ĐỘ MUA HÀNG'!$A$4:$AT$4, 0)), 0) * (INDEX('6. TIẾN ĐỘ MUA HÀNG'!$A$5:$AT81, 0, XMATCH("Phân loại VTBB/NL", '6. TIẾN ĐỘ MUA HÀNG'!$A$4:$AT$4, 0)) = $B40) * (TRIM(INDEX('6. TIẾN ĐỘ MUA HÀNG'!$A$5:$AT81, 0, XMATCH("Tháng", '6. TIẾN ĐỘ MUA HÀNG'!$A$4:$AT$4, 0))) = TRIM(E$6)))</f>
        <v>0</v>
      </c>
      <c r="G40" s="741">
        <f t="array" ref="G40">SUMPRODUCT((INDEX('6. TIẾN ĐỘ MUA HÀNG'!$A:$AT, 0, XMATCH("Phân loại VTBB/NL", '6. TIẾN ĐỘ MUA HÀNG'!$A$4:$AT$4, 0)) = $B40) * (TRIM(INDEX('6. TIẾN ĐỘ MUA HÀNG'!$A:$AT, 0, XMATCH("Tháng", '6. TIẾN ĐỘ MUA HÀNG'!$A$4:$AT$4, 0))) = TRIM($G$6)) * (INDEX('6. TIẾN ĐỘ MUA HÀNG'!$A:$AT, 0, XMATCH("Phân loại VTBB/NL", '6. TIẾN ĐỘ MUA HÀNG'!$A$4:$AT$4, 0)) &lt;&gt; ""))</f>
        <v>0</v>
      </c>
      <c r="H40" s="742">
        <f t="array" ref="H40">SUMPRODUCT(IFERROR(INDEX('6. TIẾN ĐỘ MUA HÀNG'!$A$5:$AT81, 0, XMATCH("Thành tiền đơn hàng", '6. TIẾN ĐỘ MUA HÀNG'!$A$4:$AT$4, 0)), 0) * (INDEX('6. TIẾN ĐỘ MUA HÀNG'!$A$5:$AT81, 0, XMATCH("Phân loại VTBB/NL", '6. TIẾN ĐỘ MUA HÀNG'!$A$4:$AT$4, 0)) = $B40) * (TRIM(INDEX('6. TIẾN ĐỘ MUA HÀNG'!$A$5:$AT81, 0, XMATCH("Tháng", '6. TIẾN ĐỘ MUA HÀNG'!$A$4:$AT$4, 0))) = TRIM(G$6)))</f>
        <v>0</v>
      </c>
      <c r="I40" s="743">
        <f t="array" ref="I40">SUMPRODUCT((INDEX('6. TIẾN ĐỘ MUA HÀNG'!$A:$AT, 0, XMATCH("Phân loại VTBB/NL", '6. TIẾN ĐỘ MUA HÀNG'!$A$4:$AT$4, 0)) = $B40) * (TRIM(INDEX('6. TIẾN ĐỘ MUA HÀNG'!$A:$AT, 0, XMATCH("Tháng", '6. TIẾN ĐỘ MUA HÀNG'!$A$4:$AT$4, 0))) = TRIM(I$6)) * (INDEX('6. TIẾN ĐỘ MUA HÀNG'!$A:$AT, 0, XMATCH("Phân loại VTBB/NL", '6. TIẾN ĐỘ MUA HÀNG'!$A$4:$AT$4, 0)) &lt;&gt; ""))</f>
        <v>0</v>
      </c>
      <c r="J40" s="744">
        <f t="array" ref="J40">SUMPRODUCT(IFERROR(INDEX('6. TIẾN ĐỘ MUA HÀNG'!$A$5:$AT81, 0, XMATCH("Thành tiền đơn hàng", '6. TIẾN ĐỘ MUA HÀNG'!$A$4:$AT$4, 0)), 0) * (INDEX('6. TIẾN ĐỘ MUA HÀNG'!$A$5:$AT81, 0, XMATCH("Phân loại VTBB/NL", '6. TIẾN ĐỘ MUA HÀNG'!$A$4:$AT$4, 0)) = $B40) * (TRIM(INDEX('6. TIẾN ĐỘ MUA HÀNG'!$A$5:$AT81, 0, XMATCH("Tháng", '6. TIẾN ĐỘ MUA HÀNG'!$A$4:$AT$4, 0))) = TRIM(I$6)))</f>
        <v>0</v>
      </c>
      <c r="K40" s="741">
        <f t="array" ref="K40">SUMPRODUCT((INDEX('6. TIẾN ĐỘ MUA HÀNG'!$A:$AT, 0, XMATCH("Phân loại VTBB/NL", '6. TIẾN ĐỘ MUA HÀNG'!$A$4:$AT$4, 0)) = $B40) * (TRIM(INDEX('6. TIẾN ĐỘ MUA HÀNG'!$A:$AT, 0, XMATCH("Tháng", '6. TIẾN ĐỘ MUA HÀNG'!$A$4:$AT$4, 0))) = TRIM($K$6)) * (INDEX('6. TIẾN ĐỘ MUA HÀNG'!$A:$AT, 0, XMATCH("Phân loại VTBB/NL", '6. TIẾN ĐỘ MUA HÀNG'!$A$4:$AT$4, 0)) &lt;&gt; ""))</f>
        <v>0</v>
      </c>
      <c r="L40" s="742">
        <f t="array" ref="L40">SUMPRODUCT(IFERROR(INDEX('6. TIẾN ĐỘ MUA HÀNG'!$A$5:$AT81, 0, XMATCH("Thành tiền đơn hàng", '6. TIẾN ĐỘ MUA HÀNG'!$A$4:$AT$4, 0)), 0) * (INDEX('6. TIẾN ĐỘ MUA HÀNG'!$A$5:$AT81, 0, XMATCH("Phân loại VTBB/NL", '6. TIẾN ĐỘ MUA HÀNG'!$A$4:$AT$4, 0)) = $B40) * (TRIM(INDEX('6. TIẾN ĐỘ MUA HÀNG'!$A$5:$AT81, 0, XMATCH("Tháng", '6. TIẾN ĐỘ MUA HÀNG'!$A$4:$AT$4, 0))) = TRIM(K$6)))</f>
        <v>0</v>
      </c>
      <c r="M40" s="743">
        <f t="array" ref="M40">SUMPRODUCT((INDEX('6. TIẾN ĐỘ MUA HÀNG'!$A:$AT, 0, XMATCH("Phân loại VTBB/NL", '6. TIẾN ĐỘ MUA HÀNG'!$A$4:$AT$4, 0)) = $B40) * (TRIM(INDEX('6. TIẾN ĐỘ MUA HÀNG'!$A:$AT, 0, XMATCH("Tháng", '6. TIẾN ĐỘ MUA HÀNG'!$A$4:$AT$4, 0))) = TRIM(M$6)) * (INDEX('6. TIẾN ĐỘ MUA HÀNG'!$A:$AT, 0, XMATCH("Phân loại VTBB/NL", '6. TIẾN ĐỘ MUA HÀNG'!$A$4:$AT$4, 0)) &lt;&gt; ""))</f>
        <v>0</v>
      </c>
      <c r="N40" s="744">
        <f t="array" ref="N40">SUMPRODUCT(IFERROR(INDEX('6. TIẾN ĐỘ MUA HÀNG'!$A$5:$AT81, 0, XMATCH("Thành tiền đơn hàng", '6. TIẾN ĐỘ MUA HÀNG'!$A$4:$AT$4, 0)), 0) * (INDEX('6. TIẾN ĐỘ MUA HÀNG'!$A$5:$AT81, 0, XMATCH("Phân loại VTBB/NL", '6. TIẾN ĐỘ MUA HÀNG'!$A$4:$AT$4, 0)) = $B40) * (TRIM(INDEX('6. TIẾN ĐỘ MUA HÀNG'!$A$5:$AT81, 0, XMATCH("Tháng", '6. TIẾN ĐỘ MUA HÀNG'!$A$4:$AT$4, 0))) = TRIM(M$6)))</f>
        <v>0</v>
      </c>
      <c r="O40" s="741">
        <f t="array" ref="O40">SUMPRODUCT((INDEX('6. TIẾN ĐỘ MUA HÀNG'!$A:$AT, 0, XMATCH("Phân loại VTBB/NL", '6. TIẾN ĐỘ MUA HÀNG'!$A$4:$AT$4, 0)) = $B40) * (TRIM(INDEX('6. TIẾN ĐỘ MUA HÀNG'!$A:$AT, 0, XMATCH("Tháng", '6. TIẾN ĐỘ MUA HÀNG'!$A$4:$AT$4, 0))) = TRIM($O$6)) * (INDEX('6. TIẾN ĐỘ MUA HÀNG'!$A:$AT, 0, XMATCH("Phân loại VTBB/NL", '6. TIẾN ĐỘ MUA HÀNG'!$A$4:$AT$4, 0)) &lt;&gt; ""))</f>
        <v>0</v>
      </c>
      <c r="P40" s="742">
        <f t="array" ref="P40">SUMPRODUCT(IFERROR(INDEX('6. TIẾN ĐỘ MUA HÀNG'!$A$5:$AT81, 0, XMATCH("Thành tiền đơn hàng", '6. TIẾN ĐỘ MUA HÀNG'!$A$4:$AT$4, 0)), 0) * (INDEX('6. TIẾN ĐỘ MUA HÀNG'!$A$5:$AT81, 0, XMATCH("Phân loại VTBB/NL", '6. TIẾN ĐỘ MUA HÀNG'!$A$4:$AT$4, 0)) = $B40) * (TRIM(INDEX('6. TIẾN ĐỘ MUA HÀNG'!$A$5:$AT81, 0, XMATCH("Tháng", '6. TIẾN ĐỘ MUA HÀNG'!$A$4:$AT$4, 0))) = TRIM(O$6)))</f>
        <v>0</v>
      </c>
      <c r="Q40" s="743">
        <f t="array" ref="Q40">SUMPRODUCT((INDEX('6. TIẾN ĐỘ MUA HÀNG'!$A:$AT, 0, XMATCH("Phân loại VTBB/NL", '6. TIẾN ĐỘ MUA HÀNG'!$A$4:$AT$4, 0)) = $B40) * (TRIM(INDEX('6. TIẾN ĐỘ MUA HÀNG'!$A:$AT, 0, XMATCH("Tháng", '6. TIẾN ĐỘ MUA HÀNG'!$A$4:$AT$4, 0))) = TRIM(Q$6)) * (INDEX('6. TIẾN ĐỘ MUA HÀNG'!$A:$AT, 0, XMATCH("Phân loại VTBB/NL", '6. TIẾN ĐỘ MUA HÀNG'!$A$4:$AT$4, 0)) &lt;&gt; ""))</f>
        <v>0</v>
      </c>
      <c r="R40" s="744">
        <f t="array" ref="R40">SUMPRODUCT(IFERROR(INDEX('6. TIẾN ĐỘ MUA HÀNG'!$A$5:$AT81, 0, XMATCH("Thành tiền đơn hàng", '6. TIẾN ĐỘ MUA HÀNG'!$A$4:$AT$4, 0)), 0) * (INDEX('6. TIẾN ĐỘ MUA HÀNG'!$A$5:$AT81, 0, XMATCH("Phân loại VTBB/NL", '6. TIẾN ĐỘ MUA HÀNG'!$A$4:$AT$4, 0)) = $B40) * (TRIM(INDEX('6. TIẾN ĐỘ MUA HÀNG'!$A$5:$AT81, 0, XMATCH("Tháng", '6. TIẾN ĐỘ MUA HÀNG'!$A$4:$AT$4, 0))) = TRIM(Q$6)))</f>
        <v>0</v>
      </c>
      <c r="S40" s="741">
        <f t="array" ref="S40">SUMPRODUCT((INDEX('6. TIẾN ĐỘ MUA HÀNG'!$A:$AT, 0, XMATCH("Phân loại VTBB/NL", '6. TIẾN ĐỘ MUA HÀNG'!$A$4:$AT$4, 0)) = $B40) * (TRIM(INDEX('6. TIẾN ĐỘ MUA HÀNG'!$A:$AT, 0, XMATCH("Tháng", '6. TIẾN ĐỘ MUA HÀNG'!$A$4:$AT$4, 0))) = TRIM($S$6)) * (INDEX('6. TIẾN ĐỘ MUA HÀNG'!$A:$AT, 0, XMATCH("Phân loại VTBB/NL", '6. TIẾN ĐỘ MUA HÀNG'!$A$4:$AT$4, 0)) &lt;&gt; ""))</f>
        <v>0</v>
      </c>
      <c r="T40" s="742">
        <f t="array" ref="T40">SUMPRODUCT(IFERROR(INDEX('6. TIẾN ĐỘ MUA HÀNG'!$A$5:$AT81, 0, XMATCH("Thành tiền đơn hàng", '6. TIẾN ĐỘ MUA HÀNG'!$A$4:$AT$4, 0)), 0) * (INDEX('6. TIẾN ĐỘ MUA HÀNG'!$A$5:$AT81, 0, XMATCH("Phân loại VTBB/NL", '6. TIẾN ĐỘ MUA HÀNG'!$A$4:$AT$4, 0)) = $B40) * (TRIM(INDEX('6. TIẾN ĐỘ MUA HÀNG'!$A$5:$AT81, 0, XMATCH("Tháng", '6. TIẾN ĐỘ MUA HÀNG'!$A$4:$AT$4, 0))) = TRIM(S$6)))</f>
        <v>0</v>
      </c>
      <c r="U40" s="743">
        <f t="array" ref="U40">SUMPRODUCT((INDEX('6. TIẾN ĐỘ MUA HÀNG'!$A:$AT, 0, XMATCH("Phân loại VTBB/NL", '6. TIẾN ĐỘ MUA HÀNG'!$A$4:$AT$4, 0)) = $B40) * (TRIM(INDEX('6. TIẾN ĐỘ MUA HÀNG'!$A:$AT, 0, XMATCH("Tháng", '6. TIẾN ĐỘ MUA HÀNG'!$A$4:$AT$4, 0))) = TRIM(U$6)) * (INDEX('6. TIẾN ĐỘ MUA HÀNG'!$A:$AT, 0, XMATCH("Phân loại VTBB/NL", '6. TIẾN ĐỘ MUA HÀNG'!$A$4:$AT$4, 0)) &lt;&gt; ""))</f>
        <v>0</v>
      </c>
      <c r="V40" s="744">
        <f t="array" ref="V40">SUMPRODUCT(IFERROR(INDEX('6. TIẾN ĐỘ MUA HÀNG'!$A$5:$AT81, 0, XMATCH("Thành tiền đơn hàng", '6. TIẾN ĐỘ MUA HÀNG'!$A$4:$AT$4, 0)), 0) * (INDEX('6. TIẾN ĐỘ MUA HÀNG'!$A$5:$AT81, 0, XMATCH("Phân loại VTBB/NL", '6. TIẾN ĐỘ MUA HÀNG'!$A$4:$AT$4, 0)) = $B40) * (TRIM(INDEX('6. TIẾN ĐỘ MUA HÀNG'!$A$5:$AT81, 0, XMATCH("Tháng", '6. TIẾN ĐỘ MUA HÀNG'!$A$4:$AT$4, 0))) = TRIM(U$6)))</f>
        <v>0</v>
      </c>
      <c r="W40" s="741">
        <f t="array" ref="W40">SUMPRODUCT((INDEX('6. TIẾN ĐỘ MUA HÀNG'!$A:$AT, 0, XMATCH("Phân loại VTBB/NL", '6. TIẾN ĐỘ MUA HÀNG'!$A$4:$AT$4, 0)) = $B40) * (TRIM(INDEX('6. TIẾN ĐỘ MUA HÀNG'!$A:$AT, 0, XMATCH("Tháng", '6. TIẾN ĐỘ MUA HÀNG'!$A$4:$AT$4, 0))) = TRIM($W$6)) * (INDEX('6. TIẾN ĐỘ MUA HÀNG'!$A:$AT, 0, XMATCH("Phân loại VTBB/NL", '6. TIẾN ĐỘ MUA HÀNG'!$A$4:$AT$4, 0)) &lt;&gt; ""))</f>
        <v>0</v>
      </c>
      <c r="X40" s="742">
        <f t="array" ref="X40">SUMPRODUCT(IFERROR(INDEX('6. TIẾN ĐỘ MUA HÀNG'!$A$5:$AT81, 0, XMATCH("Thành tiền đơn hàng", '6. TIẾN ĐỘ MUA HÀNG'!$A$4:$AT$4, 0)), 0) * (INDEX('6. TIẾN ĐỘ MUA HÀNG'!$A$5:$AT81, 0, XMATCH("Phân loại VTBB/NL", '6. TIẾN ĐỘ MUA HÀNG'!$A$4:$AT$4, 0)) = $B40) * (TRIM(INDEX('6. TIẾN ĐỘ MUA HÀNG'!$A$5:$AT81, 0, XMATCH("Tháng", '6. TIẾN ĐỘ MUA HÀNG'!$A$4:$AT$4, 0))) = TRIM(W$6)))</f>
        <v>0</v>
      </c>
      <c r="Y40" s="743">
        <f t="array" ref="Y40">SUMPRODUCT((INDEX('6. TIẾN ĐỘ MUA HÀNG'!$A:$AT, 0, XMATCH("Phân loại VTBB/NL", '6. TIẾN ĐỘ MUA HÀNG'!$A$4:$AT$4, 0)) = $B40) * (TRIM(INDEX('6. TIẾN ĐỘ MUA HÀNG'!$A:$AT, 0, XMATCH("Tháng", '6. TIẾN ĐỘ MUA HÀNG'!$A$4:$AT$4, 0))) = TRIM(Y$6)) * (INDEX('6. TIẾN ĐỘ MUA HÀNG'!$A:$AT, 0, XMATCH("Phân loại VTBB/NL", '6. TIẾN ĐỘ MUA HÀNG'!$A$4:$AT$4, 0)) &lt;&gt; ""))</f>
        <v>0</v>
      </c>
      <c r="Z40" s="744">
        <f t="array" ref="Z40">SUMPRODUCT(IFERROR(INDEX('6. TIẾN ĐỘ MUA HÀNG'!$A$5:$AT81, 0, XMATCH("Thành tiền đơn hàng", '6. TIẾN ĐỘ MUA HÀNG'!$A$4:$AT$4, 0)), 0) * (INDEX('6. TIẾN ĐỘ MUA HÀNG'!$A$5:$AT81, 0, XMATCH("Phân loại VTBB/NL", '6. TIẾN ĐỘ MUA HÀNG'!$A$4:$AT$4, 0)) = $B40) * (TRIM(INDEX('6. TIẾN ĐỘ MUA HÀNG'!$A$5:$AT81, 0, XMATCH("Tháng", '6. TIẾN ĐỘ MUA HÀNG'!$A$4:$AT$4, 0))) = TRIM(Y$6)))</f>
        <v>0</v>
      </c>
      <c r="AA40" s="726">
        <f t="shared" si="2"/>
        <v>0</v>
      </c>
      <c r="AB40" s="726">
        <f t="shared" si="3"/>
        <v>0</v>
      </c>
    </row>
    <row r="41">
      <c r="A41" s="612">
        <v>33.0</v>
      </c>
      <c r="B41" s="597" t="str">
        <f>IFERROR(__xludf.DUMMYFUNCTION("""COMPUTED_VALUE"""),"Chai Pet")</f>
        <v>Chai Pet</v>
      </c>
      <c r="C41" s="741">
        <f t="array" ref="C41">SUMPRODUCT((INDEX('6. TIẾN ĐỘ MUA HÀNG'!$A:$AT, 0, XMATCH("Phân loại VTBB/NL", '6. TIẾN ĐỘ MUA HÀNG'!$A$4:$AT$4, 0)) = $B41) * (TRIM(INDEX('6. TIẾN ĐỘ MUA HÀNG'!$A:$AT, 0, XMATCH("Tháng", '6. TIẾN ĐỘ MUA HÀNG'!$A$4:$AT$4, 0))) = TRIM($C$6)) * (INDEX('6. TIẾN ĐỘ MUA HÀNG'!$A:$AT, 0, XMATCH("Phân loại VTBB/NL", '6. TIẾN ĐỘ MUA HÀNG'!$A$4:$AT$4, 0)) &lt;&gt; ""))</f>
        <v>0</v>
      </c>
      <c r="D41" s="742">
        <f t="array" ref="D41">SUMPRODUCT(IFERROR(INDEX('6. TIẾN ĐỘ MUA HÀNG'!$A$5:$AT81, 0, XMATCH("Thành tiền đơn hàng", '6. TIẾN ĐỘ MUA HÀNG'!$A$4:$AT$4, 0)), 0) * (INDEX('6. TIẾN ĐỘ MUA HÀNG'!$A$5:$AT81, 0, XMATCH("Phân loại VTBB/NL", '6. TIẾN ĐỘ MUA HÀNG'!$A$4:$AT$4, 0)) = $B41) * (TRIM(INDEX('6. TIẾN ĐỘ MUA HÀNG'!$A$5:$AT81, 0, XMATCH("Tháng", '6. TIẾN ĐỘ MUA HÀNG'!$A$4:$AT$4, 0))) = TRIM(C$6)))</f>
        <v>0</v>
      </c>
      <c r="E41" s="743">
        <f t="array" ref="E41">SUMPRODUCT((INDEX('6. TIẾN ĐỘ MUA HÀNG'!$A:$AT, 0, XMATCH("Phân loại VTBB/NL", '6. TIẾN ĐỘ MUA HÀNG'!$A$4:$AT$4, 0)) = $B41) * (TRIM(INDEX('6. TIẾN ĐỘ MUA HÀNG'!$A:$AT, 0, XMATCH("Tháng", '6. TIẾN ĐỘ MUA HÀNG'!$A$4:$AT$4, 0))) = TRIM(E$6)) * (INDEX('6. TIẾN ĐỘ MUA HÀNG'!$A:$AT, 0, XMATCH("Phân loại VTBB/NL", '6. TIẾN ĐỘ MUA HÀNG'!$A$4:$AT$4, 0)) &lt;&gt; ""))</f>
        <v>0</v>
      </c>
      <c r="F41" s="744">
        <f t="array" ref="F41">SUMPRODUCT(IFERROR(INDEX('6. TIẾN ĐỘ MUA HÀNG'!$A$5:$AT81, 0, XMATCH("Thành tiền đơn hàng", '6. TIẾN ĐỘ MUA HÀNG'!$A$4:$AT$4, 0)), 0) * (INDEX('6. TIẾN ĐỘ MUA HÀNG'!$A$5:$AT81, 0, XMATCH("Phân loại VTBB/NL", '6. TIẾN ĐỘ MUA HÀNG'!$A$4:$AT$4, 0)) = $B41) * (TRIM(INDEX('6. TIẾN ĐỘ MUA HÀNG'!$A$5:$AT81, 0, XMATCH("Tháng", '6. TIẾN ĐỘ MUA HÀNG'!$A$4:$AT$4, 0))) = TRIM(E$6)))</f>
        <v>0</v>
      </c>
      <c r="G41" s="741">
        <f t="array" ref="G41">SUMPRODUCT((INDEX('6. TIẾN ĐỘ MUA HÀNG'!$A:$AT, 0, XMATCH("Phân loại VTBB/NL", '6. TIẾN ĐỘ MUA HÀNG'!$A$4:$AT$4, 0)) = $B41) * (TRIM(INDEX('6. TIẾN ĐỘ MUA HÀNG'!$A:$AT, 0, XMATCH("Tháng", '6. TIẾN ĐỘ MUA HÀNG'!$A$4:$AT$4, 0))) = TRIM($G$6)) * (INDEX('6. TIẾN ĐỘ MUA HÀNG'!$A:$AT, 0, XMATCH("Phân loại VTBB/NL", '6. TIẾN ĐỘ MUA HÀNG'!$A$4:$AT$4, 0)) &lt;&gt; ""))</f>
        <v>0</v>
      </c>
      <c r="H41" s="742">
        <f t="array" ref="H41">SUMPRODUCT(IFERROR(INDEX('6. TIẾN ĐỘ MUA HÀNG'!$A$5:$AT81, 0, XMATCH("Thành tiền đơn hàng", '6. TIẾN ĐỘ MUA HÀNG'!$A$4:$AT$4, 0)), 0) * (INDEX('6. TIẾN ĐỘ MUA HÀNG'!$A$5:$AT81, 0, XMATCH("Phân loại VTBB/NL", '6. TIẾN ĐỘ MUA HÀNG'!$A$4:$AT$4, 0)) = $B41) * (TRIM(INDEX('6. TIẾN ĐỘ MUA HÀNG'!$A$5:$AT81, 0, XMATCH("Tháng", '6. TIẾN ĐỘ MUA HÀNG'!$A$4:$AT$4, 0))) = TRIM(G$6)))</f>
        <v>0</v>
      </c>
      <c r="I41" s="743">
        <f t="array" ref="I41">SUMPRODUCT((INDEX('6. TIẾN ĐỘ MUA HÀNG'!$A:$AT, 0, XMATCH("Phân loại VTBB/NL", '6. TIẾN ĐỘ MUA HÀNG'!$A$4:$AT$4, 0)) = $B41) * (TRIM(INDEX('6. TIẾN ĐỘ MUA HÀNG'!$A:$AT, 0, XMATCH("Tháng", '6. TIẾN ĐỘ MUA HÀNG'!$A$4:$AT$4, 0))) = TRIM(I$6)) * (INDEX('6. TIẾN ĐỘ MUA HÀNG'!$A:$AT, 0, XMATCH("Phân loại VTBB/NL", '6. TIẾN ĐỘ MUA HÀNG'!$A$4:$AT$4, 0)) &lt;&gt; ""))</f>
        <v>0</v>
      </c>
      <c r="J41" s="744">
        <f t="array" ref="J41">SUMPRODUCT(IFERROR(INDEX('6. TIẾN ĐỘ MUA HÀNG'!$A$5:$AT81, 0, XMATCH("Thành tiền đơn hàng", '6. TIẾN ĐỘ MUA HÀNG'!$A$4:$AT$4, 0)), 0) * (INDEX('6. TIẾN ĐỘ MUA HÀNG'!$A$5:$AT81, 0, XMATCH("Phân loại VTBB/NL", '6. TIẾN ĐỘ MUA HÀNG'!$A$4:$AT$4, 0)) = $B41) * (TRIM(INDEX('6. TIẾN ĐỘ MUA HÀNG'!$A$5:$AT81, 0, XMATCH("Tháng", '6. TIẾN ĐỘ MUA HÀNG'!$A$4:$AT$4, 0))) = TRIM(I$6)))</f>
        <v>0</v>
      </c>
      <c r="K41" s="741">
        <f t="array" ref="K41">SUMPRODUCT((INDEX('6. TIẾN ĐỘ MUA HÀNG'!$A:$AT, 0, XMATCH("Phân loại VTBB/NL", '6. TIẾN ĐỘ MUA HÀNG'!$A$4:$AT$4, 0)) = $B41) * (TRIM(INDEX('6. TIẾN ĐỘ MUA HÀNG'!$A:$AT, 0, XMATCH("Tháng", '6. TIẾN ĐỘ MUA HÀNG'!$A$4:$AT$4, 0))) = TRIM($K$6)) * (INDEX('6. TIẾN ĐỘ MUA HÀNG'!$A:$AT, 0, XMATCH("Phân loại VTBB/NL", '6. TIẾN ĐỘ MUA HÀNG'!$A$4:$AT$4, 0)) &lt;&gt; ""))</f>
        <v>0</v>
      </c>
      <c r="L41" s="742">
        <f t="array" ref="L41">SUMPRODUCT(IFERROR(INDEX('6. TIẾN ĐỘ MUA HÀNG'!$A$5:$AT81, 0, XMATCH("Thành tiền đơn hàng", '6. TIẾN ĐỘ MUA HÀNG'!$A$4:$AT$4, 0)), 0) * (INDEX('6. TIẾN ĐỘ MUA HÀNG'!$A$5:$AT81, 0, XMATCH("Phân loại VTBB/NL", '6. TIẾN ĐỘ MUA HÀNG'!$A$4:$AT$4, 0)) = $B41) * (TRIM(INDEX('6. TIẾN ĐỘ MUA HÀNG'!$A$5:$AT81, 0, XMATCH("Tháng", '6. TIẾN ĐỘ MUA HÀNG'!$A$4:$AT$4, 0))) = TRIM(K$6)))</f>
        <v>0</v>
      </c>
      <c r="M41" s="743">
        <f t="array" ref="M41">SUMPRODUCT((INDEX('6. TIẾN ĐỘ MUA HÀNG'!$A:$AT, 0, XMATCH("Phân loại VTBB/NL", '6. TIẾN ĐỘ MUA HÀNG'!$A$4:$AT$4, 0)) = $B41) * (TRIM(INDEX('6. TIẾN ĐỘ MUA HÀNG'!$A:$AT, 0, XMATCH("Tháng", '6. TIẾN ĐỘ MUA HÀNG'!$A$4:$AT$4, 0))) = TRIM(M$6)) * (INDEX('6. TIẾN ĐỘ MUA HÀNG'!$A:$AT, 0, XMATCH("Phân loại VTBB/NL", '6. TIẾN ĐỘ MUA HÀNG'!$A$4:$AT$4, 0)) &lt;&gt; ""))</f>
        <v>0</v>
      </c>
      <c r="N41" s="744">
        <f t="array" ref="N41">SUMPRODUCT(IFERROR(INDEX('6. TIẾN ĐỘ MUA HÀNG'!$A$5:$AT81, 0, XMATCH("Thành tiền đơn hàng", '6. TIẾN ĐỘ MUA HÀNG'!$A$4:$AT$4, 0)), 0) * (INDEX('6. TIẾN ĐỘ MUA HÀNG'!$A$5:$AT81, 0, XMATCH("Phân loại VTBB/NL", '6. TIẾN ĐỘ MUA HÀNG'!$A$4:$AT$4, 0)) = $B41) * (TRIM(INDEX('6. TIẾN ĐỘ MUA HÀNG'!$A$5:$AT81, 0, XMATCH("Tháng", '6. TIẾN ĐỘ MUA HÀNG'!$A$4:$AT$4, 0))) = TRIM(M$6)))</f>
        <v>0</v>
      </c>
      <c r="O41" s="741">
        <f t="array" ref="O41">SUMPRODUCT((INDEX('6. TIẾN ĐỘ MUA HÀNG'!$A:$AT, 0, XMATCH("Phân loại VTBB/NL", '6. TIẾN ĐỘ MUA HÀNG'!$A$4:$AT$4, 0)) = $B41) * (TRIM(INDEX('6. TIẾN ĐỘ MUA HÀNG'!$A:$AT, 0, XMATCH("Tháng", '6. TIẾN ĐỘ MUA HÀNG'!$A$4:$AT$4, 0))) = TRIM($O$6)) * (INDEX('6. TIẾN ĐỘ MUA HÀNG'!$A:$AT, 0, XMATCH("Phân loại VTBB/NL", '6. TIẾN ĐỘ MUA HÀNG'!$A$4:$AT$4, 0)) &lt;&gt; ""))</f>
        <v>0</v>
      </c>
      <c r="P41" s="742">
        <f t="array" ref="P41">SUMPRODUCT(IFERROR(INDEX('6. TIẾN ĐỘ MUA HÀNG'!$A$5:$AT81, 0, XMATCH("Thành tiền đơn hàng", '6. TIẾN ĐỘ MUA HÀNG'!$A$4:$AT$4, 0)), 0) * (INDEX('6. TIẾN ĐỘ MUA HÀNG'!$A$5:$AT81, 0, XMATCH("Phân loại VTBB/NL", '6. TIẾN ĐỘ MUA HÀNG'!$A$4:$AT$4, 0)) = $B41) * (TRIM(INDEX('6. TIẾN ĐỘ MUA HÀNG'!$A$5:$AT81, 0, XMATCH("Tháng", '6. TIẾN ĐỘ MUA HÀNG'!$A$4:$AT$4, 0))) = TRIM(O$6)))</f>
        <v>0</v>
      </c>
      <c r="Q41" s="743">
        <f t="array" ref="Q41">SUMPRODUCT((INDEX('6. TIẾN ĐỘ MUA HÀNG'!$A:$AT, 0, XMATCH("Phân loại VTBB/NL", '6. TIẾN ĐỘ MUA HÀNG'!$A$4:$AT$4, 0)) = $B41) * (TRIM(INDEX('6. TIẾN ĐỘ MUA HÀNG'!$A:$AT, 0, XMATCH("Tháng", '6. TIẾN ĐỘ MUA HÀNG'!$A$4:$AT$4, 0))) = TRIM(Q$6)) * (INDEX('6. TIẾN ĐỘ MUA HÀNG'!$A:$AT, 0, XMATCH("Phân loại VTBB/NL", '6. TIẾN ĐỘ MUA HÀNG'!$A$4:$AT$4, 0)) &lt;&gt; ""))</f>
        <v>0</v>
      </c>
      <c r="R41" s="744">
        <f t="array" ref="R41">SUMPRODUCT(IFERROR(INDEX('6. TIẾN ĐỘ MUA HÀNG'!$A$5:$AT81, 0, XMATCH("Thành tiền đơn hàng", '6. TIẾN ĐỘ MUA HÀNG'!$A$4:$AT$4, 0)), 0) * (INDEX('6. TIẾN ĐỘ MUA HÀNG'!$A$5:$AT81, 0, XMATCH("Phân loại VTBB/NL", '6. TIẾN ĐỘ MUA HÀNG'!$A$4:$AT$4, 0)) = $B41) * (TRIM(INDEX('6. TIẾN ĐỘ MUA HÀNG'!$A$5:$AT81, 0, XMATCH("Tháng", '6. TIẾN ĐỘ MUA HÀNG'!$A$4:$AT$4, 0))) = TRIM(Q$6)))</f>
        <v>0</v>
      </c>
      <c r="S41" s="741">
        <f t="array" ref="S41">SUMPRODUCT((INDEX('6. TIẾN ĐỘ MUA HÀNG'!$A:$AT, 0, XMATCH("Phân loại VTBB/NL", '6. TIẾN ĐỘ MUA HÀNG'!$A$4:$AT$4, 0)) = $B41) * (TRIM(INDEX('6. TIẾN ĐỘ MUA HÀNG'!$A:$AT, 0, XMATCH("Tháng", '6. TIẾN ĐỘ MUA HÀNG'!$A$4:$AT$4, 0))) = TRIM($S$6)) * (INDEX('6. TIẾN ĐỘ MUA HÀNG'!$A:$AT, 0, XMATCH("Phân loại VTBB/NL", '6. TIẾN ĐỘ MUA HÀNG'!$A$4:$AT$4, 0)) &lt;&gt; ""))</f>
        <v>0</v>
      </c>
      <c r="T41" s="742">
        <f t="array" ref="T41">SUMPRODUCT(IFERROR(INDEX('6. TIẾN ĐỘ MUA HÀNG'!$A$5:$AT81, 0, XMATCH("Thành tiền đơn hàng", '6. TIẾN ĐỘ MUA HÀNG'!$A$4:$AT$4, 0)), 0) * (INDEX('6. TIẾN ĐỘ MUA HÀNG'!$A$5:$AT81, 0, XMATCH("Phân loại VTBB/NL", '6. TIẾN ĐỘ MUA HÀNG'!$A$4:$AT$4, 0)) = $B41) * (TRIM(INDEX('6. TIẾN ĐỘ MUA HÀNG'!$A$5:$AT81, 0, XMATCH("Tháng", '6. TIẾN ĐỘ MUA HÀNG'!$A$4:$AT$4, 0))) = TRIM(S$6)))</f>
        <v>0</v>
      </c>
      <c r="U41" s="743">
        <f t="array" ref="U41">SUMPRODUCT((INDEX('6. TIẾN ĐỘ MUA HÀNG'!$A:$AT, 0, XMATCH("Phân loại VTBB/NL", '6. TIẾN ĐỘ MUA HÀNG'!$A$4:$AT$4, 0)) = $B41) * (TRIM(INDEX('6. TIẾN ĐỘ MUA HÀNG'!$A:$AT, 0, XMATCH("Tháng", '6. TIẾN ĐỘ MUA HÀNG'!$A$4:$AT$4, 0))) = TRIM(U$6)) * (INDEX('6. TIẾN ĐỘ MUA HÀNG'!$A:$AT, 0, XMATCH("Phân loại VTBB/NL", '6. TIẾN ĐỘ MUA HÀNG'!$A$4:$AT$4, 0)) &lt;&gt; ""))</f>
        <v>0</v>
      </c>
      <c r="V41" s="744">
        <f t="array" ref="V41">SUMPRODUCT(IFERROR(INDEX('6. TIẾN ĐỘ MUA HÀNG'!$A$5:$AT81, 0, XMATCH("Thành tiền đơn hàng", '6. TIẾN ĐỘ MUA HÀNG'!$A$4:$AT$4, 0)), 0) * (INDEX('6. TIẾN ĐỘ MUA HÀNG'!$A$5:$AT81, 0, XMATCH("Phân loại VTBB/NL", '6. TIẾN ĐỘ MUA HÀNG'!$A$4:$AT$4, 0)) = $B41) * (TRIM(INDEX('6. TIẾN ĐỘ MUA HÀNG'!$A$5:$AT81, 0, XMATCH("Tháng", '6. TIẾN ĐỘ MUA HÀNG'!$A$4:$AT$4, 0))) = TRIM(U$6)))</f>
        <v>0</v>
      </c>
      <c r="W41" s="741">
        <f t="array" ref="W41">SUMPRODUCT((INDEX('6. TIẾN ĐỘ MUA HÀNG'!$A:$AT, 0, XMATCH("Phân loại VTBB/NL", '6. TIẾN ĐỘ MUA HÀNG'!$A$4:$AT$4, 0)) = $B41) * (TRIM(INDEX('6. TIẾN ĐỘ MUA HÀNG'!$A:$AT, 0, XMATCH("Tháng", '6. TIẾN ĐỘ MUA HÀNG'!$A$4:$AT$4, 0))) = TRIM($W$6)) * (INDEX('6. TIẾN ĐỘ MUA HÀNG'!$A:$AT, 0, XMATCH("Phân loại VTBB/NL", '6. TIẾN ĐỘ MUA HÀNG'!$A$4:$AT$4, 0)) &lt;&gt; ""))</f>
        <v>0</v>
      </c>
      <c r="X41" s="742">
        <f t="array" ref="X41">SUMPRODUCT(IFERROR(INDEX('6. TIẾN ĐỘ MUA HÀNG'!$A$5:$AT81, 0, XMATCH("Thành tiền đơn hàng", '6. TIẾN ĐỘ MUA HÀNG'!$A$4:$AT$4, 0)), 0) * (INDEX('6. TIẾN ĐỘ MUA HÀNG'!$A$5:$AT81, 0, XMATCH("Phân loại VTBB/NL", '6. TIẾN ĐỘ MUA HÀNG'!$A$4:$AT$4, 0)) = $B41) * (TRIM(INDEX('6. TIẾN ĐỘ MUA HÀNG'!$A$5:$AT81, 0, XMATCH("Tháng", '6. TIẾN ĐỘ MUA HÀNG'!$A$4:$AT$4, 0))) = TRIM(W$6)))</f>
        <v>0</v>
      </c>
      <c r="Y41" s="743">
        <f t="array" ref="Y41">SUMPRODUCT((INDEX('6. TIẾN ĐỘ MUA HÀNG'!$A:$AT, 0, XMATCH("Phân loại VTBB/NL", '6. TIẾN ĐỘ MUA HÀNG'!$A$4:$AT$4, 0)) = $B41) * (TRIM(INDEX('6. TIẾN ĐỘ MUA HÀNG'!$A:$AT, 0, XMATCH("Tháng", '6. TIẾN ĐỘ MUA HÀNG'!$A$4:$AT$4, 0))) = TRIM(Y$6)) * (INDEX('6. TIẾN ĐỘ MUA HÀNG'!$A:$AT, 0, XMATCH("Phân loại VTBB/NL", '6. TIẾN ĐỘ MUA HÀNG'!$A$4:$AT$4, 0)) &lt;&gt; ""))</f>
        <v>0</v>
      </c>
      <c r="Z41" s="744">
        <f t="array" ref="Z41">SUMPRODUCT(IFERROR(INDEX('6. TIẾN ĐỘ MUA HÀNG'!$A$5:$AT81, 0, XMATCH("Thành tiền đơn hàng", '6. TIẾN ĐỘ MUA HÀNG'!$A$4:$AT$4, 0)), 0) * (INDEX('6. TIẾN ĐỘ MUA HÀNG'!$A$5:$AT81, 0, XMATCH("Phân loại VTBB/NL", '6. TIẾN ĐỘ MUA HÀNG'!$A$4:$AT$4, 0)) = $B41) * (TRIM(INDEX('6. TIẾN ĐỘ MUA HÀNG'!$A$5:$AT81, 0, XMATCH("Tháng", '6. TIẾN ĐỘ MUA HÀNG'!$A$4:$AT$4, 0))) = TRIM(Y$6)))</f>
        <v>0</v>
      </c>
      <c r="AA41" s="726">
        <f t="shared" si="2"/>
        <v>0</v>
      </c>
      <c r="AB41" s="726">
        <f t="shared" si="3"/>
        <v>0</v>
      </c>
    </row>
    <row r="42">
      <c r="A42" s="612">
        <v>34.0</v>
      </c>
      <c r="B42" s="597" t="str">
        <f>IFERROR(__xludf.DUMMYFUNCTION("""COMPUTED_VALUE"""),"Chai Hdpe")</f>
        <v>Chai Hdpe</v>
      </c>
      <c r="C42" s="741">
        <f t="array" ref="C42">SUMPRODUCT((INDEX('6. TIẾN ĐỘ MUA HÀNG'!$A:$AT, 0, XMATCH("Phân loại VTBB/NL", '6. TIẾN ĐỘ MUA HÀNG'!$A$4:$AT$4, 0)) = $B42) * (TRIM(INDEX('6. TIẾN ĐỘ MUA HÀNG'!$A:$AT, 0, XMATCH("Tháng", '6. TIẾN ĐỘ MUA HÀNG'!$A$4:$AT$4, 0))) = TRIM($C$6)) * (INDEX('6. TIẾN ĐỘ MUA HÀNG'!$A:$AT, 0, XMATCH("Phân loại VTBB/NL", '6. TIẾN ĐỘ MUA HÀNG'!$A$4:$AT$4, 0)) &lt;&gt; ""))</f>
        <v>0</v>
      </c>
      <c r="D42" s="742">
        <f t="array" ref="D42">SUMPRODUCT(IFERROR(INDEX('6. TIẾN ĐỘ MUA HÀNG'!$A$5:$AT81, 0, XMATCH("Thành tiền đơn hàng", '6. TIẾN ĐỘ MUA HÀNG'!$A$4:$AT$4, 0)), 0) * (INDEX('6. TIẾN ĐỘ MUA HÀNG'!$A$5:$AT81, 0, XMATCH("Phân loại VTBB/NL", '6. TIẾN ĐỘ MUA HÀNG'!$A$4:$AT$4, 0)) = $B42) * (TRIM(INDEX('6. TIẾN ĐỘ MUA HÀNG'!$A$5:$AT81, 0, XMATCH("Tháng", '6. TIẾN ĐỘ MUA HÀNG'!$A$4:$AT$4, 0))) = TRIM(C$6)))</f>
        <v>0</v>
      </c>
      <c r="E42" s="743">
        <f t="array" ref="E42">SUMPRODUCT((INDEX('6. TIẾN ĐỘ MUA HÀNG'!$A:$AT, 0, XMATCH("Phân loại VTBB/NL", '6. TIẾN ĐỘ MUA HÀNG'!$A$4:$AT$4, 0)) = $B42) * (TRIM(INDEX('6. TIẾN ĐỘ MUA HÀNG'!$A:$AT, 0, XMATCH("Tháng", '6. TIẾN ĐỘ MUA HÀNG'!$A$4:$AT$4, 0))) = TRIM(E$6)) * (INDEX('6. TIẾN ĐỘ MUA HÀNG'!$A:$AT, 0, XMATCH("Phân loại VTBB/NL", '6. TIẾN ĐỘ MUA HÀNG'!$A$4:$AT$4, 0)) &lt;&gt; ""))</f>
        <v>0</v>
      </c>
      <c r="F42" s="744">
        <f t="array" ref="F42">SUMPRODUCT(IFERROR(INDEX('6. TIẾN ĐỘ MUA HÀNG'!$A$5:$AT81, 0, XMATCH("Thành tiền đơn hàng", '6. TIẾN ĐỘ MUA HÀNG'!$A$4:$AT$4, 0)), 0) * (INDEX('6. TIẾN ĐỘ MUA HÀNG'!$A$5:$AT81, 0, XMATCH("Phân loại VTBB/NL", '6. TIẾN ĐỘ MUA HÀNG'!$A$4:$AT$4, 0)) = $B42) * (TRIM(INDEX('6. TIẾN ĐỘ MUA HÀNG'!$A$5:$AT81, 0, XMATCH("Tháng", '6. TIẾN ĐỘ MUA HÀNG'!$A$4:$AT$4, 0))) = TRIM(E$6)))</f>
        <v>0</v>
      </c>
      <c r="G42" s="741">
        <f t="array" ref="G42">SUMPRODUCT((INDEX('6. TIẾN ĐỘ MUA HÀNG'!$A:$AT, 0, XMATCH("Phân loại VTBB/NL", '6. TIẾN ĐỘ MUA HÀNG'!$A$4:$AT$4, 0)) = $B42) * (TRIM(INDEX('6. TIẾN ĐỘ MUA HÀNG'!$A:$AT, 0, XMATCH("Tháng", '6. TIẾN ĐỘ MUA HÀNG'!$A$4:$AT$4, 0))) = TRIM($G$6)) * (INDEX('6. TIẾN ĐỘ MUA HÀNG'!$A:$AT, 0, XMATCH("Phân loại VTBB/NL", '6. TIẾN ĐỘ MUA HÀNG'!$A$4:$AT$4, 0)) &lt;&gt; ""))</f>
        <v>0</v>
      </c>
      <c r="H42" s="742">
        <f t="array" ref="H42">SUMPRODUCT(IFERROR(INDEX('6. TIẾN ĐỘ MUA HÀNG'!$A$5:$AT81, 0, XMATCH("Thành tiền đơn hàng", '6. TIẾN ĐỘ MUA HÀNG'!$A$4:$AT$4, 0)), 0) * (INDEX('6. TIẾN ĐỘ MUA HÀNG'!$A$5:$AT81, 0, XMATCH("Phân loại VTBB/NL", '6. TIẾN ĐỘ MUA HÀNG'!$A$4:$AT$4, 0)) = $B42) * (TRIM(INDEX('6. TIẾN ĐỘ MUA HÀNG'!$A$5:$AT81, 0, XMATCH("Tháng", '6. TIẾN ĐỘ MUA HÀNG'!$A$4:$AT$4, 0))) = TRIM(G$6)))</f>
        <v>0</v>
      </c>
      <c r="I42" s="743">
        <f t="array" ref="I42">SUMPRODUCT((INDEX('6. TIẾN ĐỘ MUA HÀNG'!$A:$AT, 0, XMATCH("Phân loại VTBB/NL", '6. TIẾN ĐỘ MUA HÀNG'!$A$4:$AT$4, 0)) = $B42) * (TRIM(INDEX('6. TIẾN ĐỘ MUA HÀNG'!$A:$AT, 0, XMATCH("Tháng", '6. TIẾN ĐỘ MUA HÀNG'!$A$4:$AT$4, 0))) = TRIM(I$6)) * (INDEX('6. TIẾN ĐỘ MUA HÀNG'!$A:$AT, 0, XMATCH("Phân loại VTBB/NL", '6. TIẾN ĐỘ MUA HÀNG'!$A$4:$AT$4, 0)) &lt;&gt; ""))</f>
        <v>0</v>
      </c>
      <c r="J42" s="744">
        <f t="array" ref="J42">SUMPRODUCT(IFERROR(INDEX('6. TIẾN ĐỘ MUA HÀNG'!$A$5:$AT81, 0, XMATCH("Thành tiền đơn hàng", '6. TIẾN ĐỘ MUA HÀNG'!$A$4:$AT$4, 0)), 0) * (INDEX('6. TIẾN ĐỘ MUA HÀNG'!$A$5:$AT81, 0, XMATCH("Phân loại VTBB/NL", '6. TIẾN ĐỘ MUA HÀNG'!$A$4:$AT$4, 0)) = $B42) * (TRIM(INDEX('6. TIẾN ĐỘ MUA HÀNG'!$A$5:$AT81, 0, XMATCH("Tháng", '6. TIẾN ĐỘ MUA HÀNG'!$A$4:$AT$4, 0))) = TRIM(I$6)))</f>
        <v>0</v>
      </c>
      <c r="K42" s="741">
        <f t="array" ref="K42">SUMPRODUCT((INDEX('6. TIẾN ĐỘ MUA HÀNG'!$A:$AT, 0, XMATCH("Phân loại VTBB/NL", '6. TIẾN ĐỘ MUA HÀNG'!$A$4:$AT$4, 0)) = $B42) * (TRIM(INDEX('6. TIẾN ĐỘ MUA HÀNG'!$A:$AT, 0, XMATCH("Tháng", '6. TIẾN ĐỘ MUA HÀNG'!$A$4:$AT$4, 0))) = TRIM($K$6)) * (INDEX('6. TIẾN ĐỘ MUA HÀNG'!$A:$AT, 0, XMATCH("Phân loại VTBB/NL", '6. TIẾN ĐỘ MUA HÀNG'!$A$4:$AT$4, 0)) &lt;&gt; ""))</f>
        <v>0</v>
      </c>
      <c r="L42" s="742">
        <f t="array" ref="L42">SUMPRODUCT(IFERROR(INDEX('6. TIẾN ĐỘ MUA HÀNG'!$A$5:$AT81, 0, XMATCH("Thành tiền đơn hàng", '6. TIẾN ĐỘ MUA HÀNG'!$A$4:$AT$4, 0)), 0) * (INDEX('6. TIẾN ĐỘ MUA HÀNG'!$A$5:$AT81, 0, XMATCH("Phân loại VTBB/NL", '6. TIẾN ĐỘ MUA HÀNG'!$A$4:$AT$4, 0)) = $B42) * (TRIM(INDEX('6. TIẾN ĐỘ MUA HÀNG'!$A$5:$AT81, 0, XMATCH("Tháng", '6. TIẾN ĐỘ MUA HÀNG'!$A$4:$AT$4, 0))) = TRIM(K$6)))</f>
        <v>0</v>
      </c>
      <c r="M42" s="743">
        <f t="array" ref="M42">SUMPRODUCT((INDEX('6. TIẾN ĐỘ MUA HÀNG'!$A:$AT, 0, XMATCH("Phân loại VTBB/NL", '6. TIẾN ĐỘ MUA HÀNG'!$A$4:$AT$4, 0)) = $B42) * (TRIM(INDEX('6. TIẾN ĐỘ MUA HÀNG'!$A:$AT, 0, XMATCH("Tháng", '6. TIẾN ĐỘ MUA HÀNG'!$A$4:$AT$4, 0))) = TRIM(M$6)) * (INDEX('6. TIẾN ĐỘ MUA HÀNG'!$A:$AT, 0, XMATCH("Phân loại VTBB/NL", '6. TIẾN ĐỘ MUA HÀNG'!$A$4:$AT$4, 0)) &lt;&gt; ""))</f>
        <v>0</v>
      </c>
      <c r="N42" s="744">
        <f t="array" ref="N42">SUMPRODUCT(IFERROR(INDEX('6. TIẾN ĐỘ MUA HÀNG'!$A$5:$AT81, 0, XMATCH("Thành tiền đơn hàng", '6. TIẾN ĐỘ MUA HÀNG'!$A$4:$AT$4, 0)), 0) * (INDEX('6. TIẾN ĐỘ MUA HÀNG'!$A$5:$AT81, 0, XMATCH("Phân loại VTBB/NL", '6. TIẾN ĐỘ MUA HÀNG'!$A$4:$AT$4, 0)) = $B42) * (TRIM(INDEX('6. TIẾN ĐỘ MUA HÀNG'!$A$5:$AT81, 0, XMATCH("Tháng", '6. TIẾN ĐỘ MUA HÀNG'!$A$4:$AT$4, 0))) = TRIM(M$6)))</f>
        <v>0</v>
      </c>
      <c r="O42" s="741">
        <f t="array" ref="O42">SUMPRODUCT((INDEX('6. TIẾN ĐỘ MUA HÀNG'!$A:$AT, 0, XMATCH("Phân loại VTBB/NL", '6. TIẾN ĐỘ MUA HÀNG'!$A$4:$AT$4, 0)) = $B42) * (TRIM(INDEX('6. TIẾN ĐỘ MUA HÀNG'!$A:$AT, 0, XMATCH("Tháng", '6. TIẾN ĐỘ MUA HÀNG'!$A$4:$AT$4, 0))) = TRIM($O$6)) * (INDEX('6. TIẾN ĐỘ MUA HÀNG'!$A:$AT, 0, XMATCH("Phân loại VTBB/NL", '6. TIẾN ĐỘ MUA HÀNG'!$A$4:$AT$4, 0)) &lt;&gt; ""))</f>
        <v>0</v>
      </c>
      <c r="P42" s="742">
        <f t="array" ref="P42">SUMPRODUCT(IFERROR(INDEX('6. TIẾN ĐỘ MUA HÀNG'!$A$5:$AT81, 0, XMATCH("Thành tiền đơn hàng", '6. TIẾN ĐỘ MUA HÀNG'!$A$4:$AT$4, 0)), 0) * (INDEX('6. TIẾN ĐỘ MUA HÀNG'!$A$5:$AT81, 0, XMATCH("Phân loại VTBB/NL", '6. TIẾN ĐỘ MUA HÀNG'!$A$4:$AT$4, 0)) = $B42) * (TRIM(INDEX('6. TIẾN ĐỘ MUA HÀNG'!$A$5:$AT81, 0, XMATCH("Tháng", '6. TIẾN ĐỘ MUA HÀNG'!$A$4:$AT$4, 0))) = TRIM(O$6)))</f>
        <v>0</v>
      </c>
      <c r="Q42" s="743">
        <f t="array" ref="Q42">SUMPRODUCT((INDEX('6. TIẾN ĐỘ MUA HÀNG'!$A:$AT, 0, XMATCH("Phân loại VTBB/NL", '6. TIẾN ĐỘ MUA HÀNG'!$A$4:$AT$4, 0)) = $B42) * (TRIM(INDEX('6. TIẾN ĐỘ MUA HÀNG'!$A:$AT, 0, XMATCH("Tháng", '6. TIẾN ĐỘ MUA HÀNG'!$A$4:$AT$4, 0))) = TRIM(Q$6)) * (INDEX('6. TIẾN ĐỘ MUA HÀNG'!$A:$AT, 0, XMATCH("Phân loại VTBB/NL", '6. TIẾN ĐỘ MUA HÀNG'!$A$4:$AT$4, 0)) &lt;&gt; ""))</f>
        <v>0</v>
      </c>
      <c r="R42" s="744">
        <f t="array" ref="R42">SUMPRODUCT(IFERROR(INDEX('6. TIẾN ĐỘ MUA HÀNG'!$A$5:$AT81, 0, XMATCH("Thành tiền đơn hàng", '6. TIẾN ĐỘ MUA HÀNG'!$A$4:$AT$4, 0)), 0) * (INDEX('6. TIẾN ĐỘ MUA HÀNG'!$A$5:$AT81, 0, XMATCH("Phân loại VTBB/NL", '6. TIẾN ĐỘ MUA HÀNG'!$A$4:$AT$4, 0)) = $B42) * (TRIM(INDEX('6. TIẾN ĐỘ MUA HÀNG'!$A$5:$AT81, 0, XMATCH("Tháng", '6. TIẾN ĐỘ MUA HÀNG'!$A$4:$AT$4, 0))) = TRIM(Q$6)))</f>
        <v>0</v>
      </c>
      <c r="S42" s="741">
        <f t="array" ref="S42">SUMPRODUCT((INDEX('6. TIẾN ĐỘ MUA HÀNG'!$A:$AT, 0, XMATCH("Phân loại VTBB/NL", '6. TIẾN ĐỘ MUA HÀNG'!$A$4:$AT$4, 0)) = $B42) * (TRIM(INDEX('6. TIẾN ĐỘ MUA HÀNG'!$A:$AT, 0, XMATCH("Tháng", '6. TIẾN ĐỘ MUA HÀNG'!$A$4:$AT$4, 0))) = TRIM($S$6)) * (INDEX('6. TIẾN ĐỘ MUA HÀNG'!$A:$AT, 0, XMATCH("Phân loại VTBB/NL", '6. TIẾN ĐỘ MUA HÀNG'!$A$4:$AT$4, 0)) &lt;&gt; ""))</f>
        <v>0</v>
      </c>
      <c r="T42" s="742">
        <f t="array" ref="T42">SUMPRODUCT(IFERROR(INDEX('6. TIẾN ĐỘ MUA HÀNG'!$A$5:$AT81, 0, XMATCH("Thành tiền đơn hàng", '6. TIẾN ĐỘ MUA HÀNG'!$A$4:$AT$4, 0)), 0) * (INDEX('6. TIẾN ĐỘ MUA HÀNG'!$A$5:$AT81, 0, XMATCH("Phân loại VTBB/NL", '6. TIẾN ĐỘ MUA HÀNG'!$A$4:$AT$4, 0)) = $B42) * (TRIM(INDEX('6. TIẾN ĐỘ MUA HÀNG'!$A$5:$AT81, 0, XMATCH("Tháng", '6. TIẾN ĐỘ MUA HÀNG'!$A$4:$AT$4, 0))) = TRIM(S$6)))</f>
        <v>0</v>
      </c>
      <c r="U42" s="743">
        <f t="array" ref="U42">SUMPRODUCT((INDEX('6. TIẾN ĐỘ MUA HÀNG'!$A:$AT, 0, XMATCH("Phân loại VTBB/NL", '6. TIẾN ĐỘ MUA HÀNG'!$A$4:$AT$4, 0)) = $B42) * (TRIM(INDEX('6. TIẾN ĐỘ MUA HÀNG'!$A:$AT, 0, XMATCH("Tháng", '6. TIẾN ĐỘ MUA HÀNG'!$A$4:$AT$4, 0))) = TRIM(U$6)) * (INDEX('6. TIẾN ĐỘ MUA HÀNG'!$A:$AT, 0, XMATCH("Phân loại VTBB/NL", '6. TIẾN ĐỘ MUA HÀNG'!$A$4:$AT$4, 0)) &lt;&gt; ""))</f>
        <v>0</v>
      </c>
      <c r="V42" s="744">
        <f t="array" ref="V42">SUMPRODUCT(IFERROR(INDEX('6. TIẾN ĐỘ MUA HÀNG'!$A$5:$AT81, 0, XMATCH("Thành tiền đơn hàng", '6. TIẾN ĐỘ MUA HÀNG'!$A$4:$AT$4, 0)), 0) * (INDEX('6. TIẾN ĐỘ MUA HÀNG'!$A$5:$AT81, 0, XMATCH("Phân loại VTBB/NL", '6. TIẾN ĐỘ MUA HÀNG'!$A$4:$AT$4, 0)) = $B42) * (TRIM(INDEX('6. TIẾN ĐỘ MUA HÀNG'!$A$5:$AT81, 0, XMATCH("Tháng", '6. TIẾN ĐỘ MUA HÀNG'!$A$4:$AT$4, 0))) = TRIM(U$6)))</f>
        <v>0</v>
      </c>
      <c r="W42" s="741">
        <f t="array" ref="W42">SUMPRODUCT((INDEX('6. TIẾN ĐỘ MUA HÀNG'!$A:$AT, 0, XMATCH("Phân loại VTBB/NL", '6. TIẾN ĐỘ MUA HÀNG'!$A$4:$AT$4, 0)) = $B42) * (TRIM(INDEX('6. TIẾN ĐỘ MUA HÀNG'!$A:$AT, 0, XMATCH("Tháng", '6. TIẾN ĐỘ MUA HÀNG'!$A$4:$AT$4, 0))) = TRIM($W$6)) * (INDEX('6. TIẾN ĐỘ MUA HÀNG'!$A:$AT, 0, XMATCH("Phân loại VTBB/NL", '6. TIẾN ĐỘ MUA HÀNG'!$A$4:$AT$4, 0)) &lt;&gt; ""))</f>
        <v>0</v>
      </c>
      <c r="X42" s="742">
        <f t="array" ref="X42">SUMPRODUCT(IFERROR(INDEX('6. TIẾN ĐỘ MUA HÀNG'!$A$5:$AT81, 0, XMATCH("Thành tiền đơn hàng", '6. TIẾN ĐỘ MUA HÀNG'!$A$4:$AT$4, 0)), 0) * (INDEX('6. TIẾN ĐỘ MUA HÀNG'!$A$5:$AT81, 0, XMATCH("Phân loại VTBB/NL", '6. TIẾN ĐỘ MUA HÀNG'!$A$4:$AT$4, 0)) = $B42) * (TRIM(INDEX('6. TIẾN ĐỘ MUA HÀNG'!$A$5:$AT81, 0, XMATCH("Tháng", '6. TIẾN ĐỘ MUA HÀNG'!$A$4:$AT$4, 0))) = TRIM(W$6)))</f>
        <v>0</v>
      </c>
      <c r="Y42" s="743">
        <f t="array" ref="Y42">SUMPRODUCT((INDEX('6. TIẾN ĐỘ MUA HÀNG'!$A:$AT, 0, XMATCH("Phân loại VTBB/NL", '6. TIẾN ĐỘ MUA HÀNG'!$A$4:$AT$4, 0)) = $B42) * (TRIM(INDEX('6. TIẾN ĐỘ MUA HÀNG'!$A:$AT, 0, XMATCH("Tháng", '6. TIẾN ĐỘ MUA HÀNG'!$A$4:$AT$4, 0))) = TRIM(Y$6)) * (INDEX('6. TIẾN ĐỘ MUA HÀNG'!$A:$AT, 0, XMATCH("Phân loại VTBB/NL", '6. TIẾN ĐỘ MUA HÀNG'!$A$4:$AT$4, 0)) &lt;&gt; ""))</f>
        <v>0</v>
      </c>
      <c r="Z42" s="744">
        <f t="array" ref="Z42">SUMPRODUCT(IFERROR(INDEX('6. TIẾN ĐỘ MUA HÀNG'!$A$5:$AT81, 0, XMATCH("Thành tiền đơn hàng", '6. TIẾN ĐỘ MUA HÀNG'!$A$4:$AT$4, 0)), 0) * (INDEX('6. TIẾN ĐỘ MUA HÀNG'!$A$5:$AT81, 0, XMATCH("Phân loại VTBB/NL", '6. TIẾN ĐỘ MUA HÀNG'!$A$4:$AT$4, 0)) = $B42) * (TRIM(INDEX('6. TIẾN ĐỘ MUA HÀNG'!$A$5:$AT81, 0, XMATCH("Tháng", '6. TIẾN ĐỘ MUA HÀNG'!$A$4:$AT$4, 0))) = TRIM(Y$6)))</f>
        <v>0</v>
      </c>
      <c r="AA42" s="726">
        <f t="shared" si="2"/>
        <v>0</v>
      </c>
      <c r="AB42" s="726">
        <f t="shared" si="3"/>
        <v>0</v>
      </c>
    </row>
    <row r="43">
      <c r="A43" s="612">
        <v>35.0</v>
      </c>
      <c r="B43" s="597" t="str">
        <f>IFERROR(__xludf.DUMMYFUNCTION("""COMPUTED_VALUE"""),"Chai Pape")</f>
        <v>Chai Pape</v>
      </c>
      <c r="C43" s="741">
        <f t="array" ref="C43">SUMPRODUCT((INDEX('6. TIẾN ĐỘ MUA HÀNG'!$A:$AT, 0, XMATCH("Phân loại VTBB/NL", '6. TIẾN ĐỘ MUA HÀNG'!$A$4:$AT$4, 0)) = $B43) * (TRIM(INDEX('6. TIẾN ĐỘ MUA HÀNG'!$A:$AT, 0, XMATCH("Tháng", '6. TIẾN ĐỘ MUA HÀNG'!$A$4:$AT$4, 0))) = TRIM($C$6)) * (INDEX('6. TIẾN ĐỘ MUA HÀNG'!$A:$AT, 0, XMATCH("Phân loại VTBB/NL", '6. TIẾN ĐỘ MUA HÀNG'!$A$4:$AT$4, 0)) &lt;&gt; ""))</f>
        <v>0</v>
      </c>
      <c r="D43" s="742">
        <f t="array" ref="D43">SUMPRODUCT(IFERROR(INDEX('6. TIẾN ĐỘ MUA HÀNG'!$A$5:$AT81, 0, XMATCH("Thành tiền đơn hàng", '6. TIẾN ĐỘ MUA HÀNG'!$A$4:$AT$4, 0)), 0) * (INDEX('6. TIẾN ĐỘ MUA HÀNG'!$A$5:$AT81, 0, XMATCH("Phân loại VTBB/NL", '6. TIẾN ĐỘ MUA HÀNG'!$A$4:$AT$4, 0)) = $B43) * (TRIM(INDEX('6. TIẾN ĐỘ MUA HÀNG'!$A$5:$AT81, 0, XMATCH("Tháng", '6. TIẾN ĐỘ MUA HÀNG'!$A$4:$AT$4, 0))) = TRIM(C$6)))</f>
        <v>0</v>
      </c>
      <c r="E43" s="743">
        <f t="array" ref="E43">SUMPRODUCT((INDEX('6. TIẾN ĐỘ MUA HÀNG'!$A:$AT, 0, XMATCH("Phân loại VTBB/NL", '6. TIẾN ĐỘ MUA HÀNG'!$A$4:$AT$4, 0)) = $B43) * (TRIM(INDEX('6. TIẾN ĐỘ MUA HÀNG'!$A:$AT, 0, XMATCH("Tháng", '6. TIẾN ĐỘ MUA HÀNG'!$A$4:$AT$4, 0))) = TRIM(E$6)) * (INDEX('6. TIẾN ĐỘ MUA HÀNG'!$A:$AT, 0, XMATCH("Phân loại VTBB/NL", '6. TIẾN ĐỘ MUA HÀNG'!$A$4:$AT$4, 0)) &lt;&gt; ""))</f>
        <v>0</v>
      </c>
      <c r="F43" s="744">
        <f t="array" ref="F43">SUMPRODUCT(IFERROR(INDEX('6. TIẾN ĐỘ MUA HÀNG'!$A$5:$AT81, 0, XMATCH("Thành tiền đơn hàng", '6. TIẾN ĐỘ MUA HÀNG'!$A$4:$AT$4, 0)), 0) * (INDEX('6. TIẾN ĐỘ MUA HÀNG'!$A$5:$AT81, 0, XMATCH("Phân loại VTBB/NL", '6. TIẾN ĐỘ MUA HÀNG'!$A$4:$AT$4, 0)) = $B43) * (TRIM(INDEX('6. TIẾN ĐỘ MUA HÀNG'!$A$5:$AT81, 0, XMATCH("Tháng", '6. TIẾN ĐỘ MUA HÀNG'!$A$4:$AT$4, 0))) = TRIM(E$6)))</f>
        <v>0</v>
      </c>
      <c r="G43" s="741">
        <f t="array" ref="G43">SUMPRODUCT((INDEX('6. TIẾN ĐỘ MUA HÀNG'!$A:$AT, 0, XMATCH("Phân loại VTBB/NL", '6. TIẾN ĐỘ MUA HÀNG'!$A$4:$AT$4, 0)) = $B43) * (TRIM(INDEX('6. TIẾN ĐỘ MUA HÀNG'!$A:$AT, 0, XMATCH("Tháng", '6. TIẾN ĐỘ MUA HÀNG'!$A$4:$AT$4, 0))) = TRIM($G$6)) * (INDEX('6. TIẾN ĐỘ MUA HÀNG'!$A:$AT, 0, XMATCH("Phân loại VTBB/NL", '6. TIẾN ĐỘ MUA HÀNG'!$A$4:$AT$4, 0)) &lt;&gt; ""))</f>
        <v>0</v>
      </c>
      <c r="H43" s="742">
        <f t="array" ref="H43">SUMPRODUCT(IFERROR(INDEX('6. TIẾN ĐỘ MUA HÀNG'!$A$5:$AT81, 0, XMATCH("Thành tiền đơn hàng", '6. TIẾN ĐỘ MUA HÀNG'!$A$4:$AT$4, 0)), 0) * (INDEX('6. TIẾN ĐỘ MUA HÀNG'!$A$5:$AT81, 0, XMATCH("Phân loại VTBB/NL", '6. TIẾN ĐỘ MUA HÀNG'!$A$4:$AT$4, 0)) = $B43) * (TRIM(INDEX('6. TIẾN ĐỘ MUA HÀNG'!$A$5:$AT81, 0, XMATCH("Tháng", '6. TIẾN ĐỘ MUA HÀNG'!$A$4:$AT$4, 0))) = TRIM(G$6)))</f>
        <v>0</v>
      </c>
      <c r="I43" s="743">
        <f t="array" ref="I43">SUMPRODUCT((INDEX('6. TIẾN ĐỘ MUA HÀNG'!$A:$AT, 0, XMATCH("Phân loại VTBB/NL", '6. TIẾN ĐỘ MUA HÀNG'!$A$4:$AT$4, 0)) = $B43) * (TRIM(INDEX('6. TIẾN ĐỘ MUA HÀNG'!$A:$AT, 0, XMATCH("Tháng", '6. TIẾN ĐỘ MUA HÀNG'!$A$4:$AT$4, 0))) = TRIM(I$6)) * (INDEX('6. TIẾN ĐỘ MUA HÀNG'!$A:$AT, 0, XMATCH("Phân loại VTBB/NL", '6. TIẾN ĐỘ MUA HÀNG'!$A$4:$AT$4, 0)) &lt;&gt; ""))</f>
        <v>0</v>
      </c>
      <c r="J43" s="744">
        <f t="array" ref="J43">SUMPRODUCT(IFERROR(INDEX('6. TIẾN ĐỘ MUA HÀNG'!$A$5:$AT81, 0, XMATCH("Thành tiền đơn hàng", '6. TIẾN ĐỘ MUA HÀNG'!$A$4:$AT$4, 0)), 0) * (INDEX('6. TIẾN ĐỘ MUA HÀNG'!$A$5:$AT81, 0, XMATCH("Phân loại VTBB/NL", '6. TIẾN ĐỘ MUA HÀNG'!$A$4:$AT$4, 0)) = $B43) * (TRIM(INDEX('6. TIẾN ĐỘ MUA HÀNG'!$A$5:$AT81, 0, XMATCH("Tháng", '6. TIẾN ĐỘ MUA HÀNG'!$A$4:$AT$4, 0))) = TRIM(I$6)))</f>
        <v>0</v>
      </c>
      <c r="K43" s="741">
        <f t="array" ref="K43">SUMPRODUCT((INDEX('6. TIẾN ĐỘ MUA HÀNG'!$A:$AT, 0, XMATCH("Phân loại VTBB/NL", '6. TIẾN ĐỘ MUA HÀNG'!$A$4:$AT$4, 0)) = $B43) * (TRIM(INDEX('6. TIẾN ĐỘ MUA HÀNG'!$A:$AT, 0, XMATCH("Tháng", '6. TIẾN ĐỘ MUA HÀNG'!$A$4:$AT$4, 0))) = TRIM($K$6)) * (INDEX('6. TIẾN ĐỘ MUA HÀNG'!$A:$AT, 0, XMATCH("Phân loại VTBB/NL", '6. TIẾN ĐỘ MUA HÀNG'!$A$4:$AT$4, 0)) &lt;&gt; ""))</f>
        <v>0</v>
      </c>
      <c r="L43" s="742">
        <f t="array" ref="L43">SUMPRODUCT(IFERROR(INDEX('6. TIẾN ĐỘ MUA HÀNG'!$A$5:$AT81, 0, XMATCH("Thành tiền đơn hàng", '6. TIẾN ĐỘ MUA HÀNG'!$A$4:$AT$4, 0)), 0) * (INDEX('6. TIẾN ĐỘ MUA HÀNG'!$A$5:$AT81, 0, XMATCH("Phân loại VTBB/NL", '6. TIẾN ĐỘ MUA HÀNG'!$A$4:$AT$4, 0)) = $B43) * (TRIM(INDEX('6. TIẾN ĐỘ MUA HÀNG'!$A$5:$AT81, 0, XMATCH("Tháng", '6. TIẾN ĐỘ MUA HÀNG'!$A$4:$AT$4, 0))) = TRIM(K$6)))</f>
        <v>0</v>
      </c>
      <c r="M43" s="743">
        <f t="array" ref="M43">SUMPRODUCT((INDEX('6. TIẾN ĐỘ MUA HÀNG'!$A:$AT, 0, XMATCH("Phân loại VTBB/NL", '6. TIẾN ĐỘ MUA HÀNG'!$A$4:$AT$4, 0)) = $B43) * (TRIM(INDEX('6. TIẾN ĐỘ MUA HÀNG'!$A:$AT, 0, XMATCH("Tháng", '6. TIẾN ĐỘ MUA HÀNG'!$A$4:$AT$4, 0))) = TRIM(M$6)) * (INDEX('6. TIẾN ĐỘ MUA HÀNG'!$A:$AT, 0, XMATCH("Phân loại VTBB/NL", '6. TIẾN ĐỘ MUA HÀNG'!$A$4:$AT$4, 0)) &lt;&gt; ""))</f>
        <v>0</v>
      </c>
      <c r="N43" s="744">
        <f t="array" ref="N43">SUMPRODUCT(IFERROR(INDEX('6. TIẾN ĐỘ MUA HÀNG'!$A$5:$AT81, 0, XMATCH("Thành tiền đơn hàng", '6. TIẾN ĐỘ MUA HÀNG'!$A$4:$AT$4, 0)), 0) * (INDEX('6. TIẾN ĐỘ MUA HÀNG'!$A$5:$AT81, 0, XMATCH("Phân loại VTBB/NL", '6. TIẾN ĐỘ MUA HÀNG'!$A$4:$AT$4, 0)) = $B43) * (TRIM(INDEX('6. TIẾN ĐỘ MUA HÀNG'!$A$5:$AT81, 0, XMATCH("Tháng", '6. TIẾN ĐỘ MUA HÀNG'!$A$4:$AT$4, 0))) = TRIM(M$6)))</f>
        <v>0</v>
      </c>
      <c r="O43" s="741">
        <f t="array" ref="O43">SUMPRODUCT((INDEX('6. TIẾN ĐỘ MUA HÀNG'!$A:$AT, 0, XMATCH("Phân loại VTBB/NL", '6. TIẾN ĐỘ MUA HÀNG'!$A$4:$AT$4, 0)) = $B43) * (TRIM(INDEX('6. TIẾN ĐỘ MUA HÀNG'!$A:$AT, 0, XMATCH("Tháng", '6. TIẾN ĐỘ MUA HÀNG'!$A$4:$AT$4, 0))) = TRIM($O$6)) * (INDEX('6. TIẾN ĐỘ MUA HÀNG'!$A:$AT, 0, XMATCH("Phân loại VTBB/NL", '6. TIẾN ĐỘ MUA HÀNG'!$A$4:$AT$4, 0)) &lt;&gt; ""))</f>
        <v>0</v>
      </c>
      <c r="P43" s="742">
        <f t="array" ref="P43">SUMPRODUCT(IFERROR(INDEX('6. TIẾN ĐỘ MUA HÀNG'!$A$5:$AT81, 0, XMATCH("Thành tiền đơn hàng", '6. TIẾN ĐỘ MUA HÀNG'!$A$4:$AT$4, 0)), 0) * (INDEX('6. TIẾN ĐỘ MUA HÀNG'!$A$5:$AT81, 0, XMATCH("Phân loại VTBB/NL", '6. TIẾN ĐỘ MUA HÀNG'!$A$4:$AT$4, 0)) = $B43) * (TRIM(INDEX('6. TIẾN ĐỘ MUA HÀNG'!$A$5:$AT81, 0, XMATCH("Tháng", '6. TIẾN ĐỘ MUA HÀNG'!$A$4:$AT$4, 0))) = TRIM(O$6)))</f>
        <v>0</v>
      </c>
      <c r="Q43" s="743">
        <f t="array" ref="Q43">SUMPRODUCT((INDEX('6. TIẾN ĐỘ MUA HÀNG'!$A:$AT, 0, XMATCH("Phân loại VTBB/NL", '6. TIẾN ĐỘ MUA HÀNG'!$A$4:$AT$4, 0)) = $B43) * (TRIM(INDEX('6. TIẾN ĐỘ MUA HÀNG'!$A:$AT, 0, XMATCH("Tháng", '6. TIẾN ĐỘ MUA HÀNG'!$A$4:$AT$4, 0))) = TRIM(Q$6)) * (INDEX('6. TIẾN ĐỘ MUA HÀNG'!$A:$AT, 0, XMATCH("Phân loại VTBB/NL", '6. TIẾN ĐỘ MUA HÀNG'!$A$4:$AT$4, 0)) &lt;&gt; ""))</f>
        <v>0</v>
      </c>
      <c r="R43" s="744">
        <f t="array" ref="R43">SUMPRODUCT(IFERROR(INDEX('6. TIẾN ĐỘ MUA HÀNG'!$A$5:$AT81, 0, XMATCH("Thành tiền đơn hàng", '6. TIẾN ĐỘ MUA HÀNG'!$A$4:$AT$4, 0)), 0) * (INDEX('6. TIẾN ĐỘ MUA HÀNG'!$A$5:$AT81, 0, XMATCH("Phân loại VTBB/NL", '6. TIẾN ĐỘ MUA HÀNG'!$A$4:$AT$4, 0)) = $B43) * (TRIM(INDEX('6. TIẾN ĐỘ MUA HÀNG'!$A$5:$AT81, 0, XMATCH("Tháng", '6. TIẾN ĐỘ MUA HÀNG'!$A$4:$AT$4, 0))) = TRIM(Q$6)))</f>
        <v>0</v>
      </c>
      <c r="S43" s="741">
        <f t="array" ref="S43">SUMPRODUCT((INDEX('6. TIẾN ĐỘ MUA HÀNG'!$A:$AT, 0, XMATCH("Phân loại VTBB/NL", '6. TIẾN ĐỘ MUA HÀNG'!$A$4:$AT$4, 0)) = $B43) * (TRIM(INDEX('6. TIẾN ĐỘ MUA HÀNG'!$A:$AT, 0, XMATCH("Tháng", '6. TIẾN ĐỘ MUA HÀNG'!$A$4:$AT$4, 0))) = TRIM($S$6)) * (INDEX('6. TIẾN ĐỘ MUA HÀNG'!$A:$AT, 0, XMATCH("Phân loại VTBB/NL", '6. TIẾN ĐỘ MUA HÀNG'!$A$4:$AT$4, 0)) &lt;&gt; ""))</f>
        <v>0</v>
      </c>
      <c r="T43" s="742">
        <f t="array" ref="T43">SUMPRODUCT(IFERROR(INDEX('6. TIẾN ĐỘ MUA HÀNG'!$A$5:$AT81, 0, XMATCH("Thành tiền đơn hàng", '6. TIẾN ĐỘ MUA HÀNG'!$A$4:$AT$4, 0)), 0) * (INDEX('6. TIẾN ĐỘ MUA HÀNG'!$A$5:$AT81, 0, XMATCH("Phân loại VTBB/NL", '6. TIẾN ĐỘ MUA HÀNG'!$A$4:$AT$4, 0)) = $B43) * (TRIM(INDEX('6. TIẾN ĐỘ MUA HÀNG'!$A$5:$AT81, 0, XMATCH("Tháng", '6. TIẾN ĐỘ MUA HÀNG'!$A$4:$AT$4, 0))) = TRIM(S$6)))</f>
        <v>0</v>
      </c>
      <c r="U43" s="743">
        <f t="array" ref="U43">SUMPRODUCT((INDEX('6. TIẾN ĐỘ MUA HÀNG'!$A:$AT, 0, XMATCH("Phân loại VTBB/NL", '6. TIẾN ĐỘ MUA HÀNG'!$A$4:$AT$4, 0)) = $B43) * (TRIM(INDEX('6. TIẾN ĐỘ MUA HÀNG'!$A:$AT, 0, XMATCH("Tháng", '6. TIẾN ĐỘ MUA HÀNG'!$A$4:$AT$4, 0))) = TRIM(U$6)) * (INDEX('6. TIẾN ĐỘ MUA HÀNG'!$A:$AT, 0, XMATCH("Phân loại VTBB/NL", '6. TIẾN ĐỘ MUA HÀNG'!$A$4:$AT$4, 0)) &lt;&gt; ""))</f>
        <v>0</v>
      </c>
      <c r="V43" s="744">
        <f t="array" ref="V43">SUMPRODUCT(IFERROR(INDEX('6. TIẾN ĐỘ MUA HÀNG'!$A$5:$AT81, 0, XMATCH("Thành tiền đơn hàng", '6. TIẾN ĐỘ MUA HÀNG'!$A$4:$AT$4, 0)), 0) * (INDEX('6. TIẾN ĐỘ MUA HÀNG'!$A$5:$AT81, 0, XMATCH("Phân loại VTBB/NL", '6. TIẾN ĐỘ MUA HÀNG'!$A$4:$AT$4, 0)) = $B43) * (TRIM(INDEX('6. TIẾN ĐỘ MUA HÀNG'!$A$5:$AT81, 0, XMATCH("Tháng", '6. TIẾN ĐỘ MUA HÀNG'!$A$4:$AT$4, 0))) = TRIM(U$6)))</f>
        <v>0</v>
      </c>
      <c r="W43" s="741">
        <f t="array" ref="W43">SUMPRODUCT((INDEX('6. TIẾN ĐỘ MUA HÀNG'!$A:$AT, 0, XMATCH("Phân loại VTBB/NL", '6. TIẾN ĐỘ MUA HÀNG'!$A$4:$AT$4, 0)) = $B43) * (TRIM(INDEX('6. TIẾN ĐỘ MUA HÀNG'!$A:$AT, 0, XMATCH("Tháng", '6. TIẾN ĐỘ MUA HÀNG'!$A$4:$AT$4, 0))) = TRIM($W$6)) * (INDEX('6. TIẾN ĐỘ MUA HÀNG'!$A:$AT, 0, XMATCH("Phân loại VTBB/NL", '6. TIẾN ĐỘ MUA HÀNG'!$A$4:$AT$4, 0)) &lt;&gt; ""))</f>
        <v>0</v>
      </c>
      <c r="X43" s="742">
        <f t="array" ref="X43">SUMPRODUCT(IFERROR(INDEX('6. TIẾN ĐỘ MUA HÀNG'!$A$5:$AT81, 0, XMATCH("Thành tiền đơn hàng", '6. TIẾN ĐỘ MUA HÀNG'!$A$4:$AT$4, 0)), 0) * (INDEX('6. TIẾN ĐỘ MUA HÀNG'!$A$5:$AT81, 0, XMATCH("Phân loại VTBB/NL", '6. TIẾN ĐỘ MUA HÀNG'!$A$4:$AT$4, 0)) = $B43) * (TRIM(INDEX('6. TIẾN ĐỘ MUA HÀNG'!$A$5:$AT81, 0, XMATCH("Tháng", '6. TIẾN ĐỘ MUA HÀNG'!$A$4:$AT$4, 0))) = TRIM(W$6)))</f>
        <v>0</v>
      </c>
      <c r="Y43" s="743">
        <f t="array" ref="Y43">SUMPRODUCT((INDEX('6. TIẾN ĐỘ MUA HÀNG'!$A:$AT, 0, XMATCH("Phân loại VTBB/NL", '6. TIẾN ĐỘ MUA HÀNG'!$A$4:$AT$4, 0)) = $B43) * (TRIM(INDEX('6. TIẾN ĐỘ MUA HÀNG'!$A:$AT, 0, XMATCH("Tháng", '6. TIẾN ĐỘ MUA HÀNG'!$A$4:$AT$4, 0))) = TRIM(Y$6)) * (INDEX('6. TIẾN ĐỘ MUA HÀNG'!$A:$AT, 0, XMATCH("Phân loại VTBB/NL", '6. TIẾN ĐỘ MUA HÀNG'!$A$4:$AT$4, 0)) &lt;&gt; ""))</f>
        <v>0</v>
      </c>
      <c r="Z43" s="744">
        <f t="array" ref="Z43">SUMPRODUCT(IFERROR(INDEX('6. TIẾN ĐỘ MUA HÀNG'!$A$5:$AT81, 0, XMATCH("Thành tiền đơn hàng", '6. TIẾN ĐỘ MUA HÀNG'!$A$4:$AT$4, 0)), 0) * (INDEX('6. TIẾN ĐỘ MUA HÀNG'!$A$5:$AT81, 0, XMATCH("Phân loại VTBB/NL", '6. TIẾN ĐỘ MUA HÀNG'!$A$4:$AT$4, 0)) = $B43) * (TRIM(INDEX('6. TIẾN ĐỘ MUA HÀNG'!$A$5:$AT81, 0, XMATCH("Tháng", '6. TIẾN ĐỘ MUA HÀNG'!$A$4:$AT$4, 0))) = TRIM(Y$6)))</f>
        <v>0</v>
      </c>
      <c r="AA43" s="726">
        <f t="shared" si="2"/>
        <v>0</v>
      </c>
      <c r="AB43" s="726">
        <f t="shared" si="3"/>
        <v>0</v>
      </c>
    </row>
    <row r="44">
      <c r="A44" s="612">
        <v>36.0</v>
      </c>
      <c r="B44" s="597" t="str">
        <f>IFERROR(__xludf.DUMMYFUNCTION("""COMPUTED_VALUE"""),"Chai Nhôm nhập khẩu")</f>
        <v>Chai Nhôm nhập khẩu</v>
      </c>
      <c r="C44" s="741">
        <f t="array" ref="C44">SUMPRODUCT((INDEX('6. TIẾN ĐỘ MUA HÀNG'!$A:$AT, 0, XMATCH("Phân loại VTBB/NL", '6. TIẾN ĐỘ MUA HÀNG'!$A$4:$AT$4, 0)) = $B44) * (TRIM(INDEX('6. TIẾN ĐỘ MUA HÀNG'!$A:$AT, 0, XMATCH("Tháng", '6. TIẾN ĐỘ MUA HÀNG'!$A$4:$AT$4, 0))) = TRIM($C$6)) * (INDEX('6. TIẾN ĐỘ MUA HÀNG'!$A:$AT, 0, XMATCH("Phân loại VTBB/NL", '6. TIẾN ĐỘ MUA HÀNG'!$A$4:$AT$4, 0)) &lt;&gt; ""))</f>
        <v>0</v>
      </c>
      <c r="D44" s="742">
        <f t="array" ref="D44">SUMPRODUCT(IFERROR(INDEX('6. TIẾN ĐỘ MUA HÀNG'!$A$5:$AT81, 0, XMATCH("Thành tiền đơn hàng", '6. TIẾN ĐỘ MUA HÀNG'!$A$4:$AT$4, 0)), 0) * (INDEX('6. TIẾN ĐỘ MUA HÀNG'!$A$5:$AT81, 0, XMATCH("Phân loại VTBB/NL", '6. TIẾN ĐỘ MUA HÀNG'!$A$4:$AT$4, 0)) = $B44) * (TRIM(INDEX('6. TIẾN ĐỘ MUA HÀNG'!$A$5:$AT81, 0, XMATCH("Tháng", '6. TIẾN ĐỘ MUA HÀNG'!$A$4:$AT$4, 0))) = TRIM(C$6)))</f>
        <v>0</v>
      </c>
      <c r="E44" s="743">
        <f t="array" ref="E44">SUMPRODUCT((INDEX('6. TIẾN ĐỘ MUA HÀNG'!$A:$AT, 0, XMATCH("Phân loại VTBB/NL", '6. TIẾN ĐỘ MUA HÀNG'!$A$4:$AT$4, 0)) = $B44) * (TRIM(INDEX('6. TIẾN ĐỘ MUA HÀNG'!$A:$AT, 0, XMATCH("Tháng", '6. TIẾN ĐỘ MUA HÀNG'!$A$4:$AT$4, 0))) = TRIM(E$6)) * (INDEX('6. TIẾN ĐỘ MUA HÀNG'!$A:$AT, 0, XMATCH("Phân loại VTBB/NL", '6. TIẾN ĐỘ MUA HÀNG'!$A$4:$AT$4, 0)) &lt;&gt; ""))</f>
        <v>0</v>
      </c>
      <c r="F44" s="744">
        <f t="array" ref="F44">SUMPRODUCT(IFERROR(INDEX('6. TIẾN ĐỘ MUA HÀNG'!$A$5:$AT81, 0, XMATCH("Thành tiền đơn hàng", '6. TIẾN ĐỘ MUA HÀNG'!$A$4:$AT$4, 0)), 0) * (INDEX('6. TIẾN ĐỘ MUA HÀNG'!$A$5:$AT81, 0, XMATCH("Phân loại VTBB/NL", '6. TIẾN ĐỘ MUA HÀNG'!$A$4:$AT$4, 0)) = $B44) * (TRIM(INDEX('6. TIẾN ĐỘ MUA HÀNG'!$A$5:$AT81, 0, XMATCH("Tháng", '6. TIẾN ĐỘ MUA HÀNG'!$A$4:$AT$4, 0))) = TRIM(E$6)))</f>
        <v>0</v>
      </c>
      <c r="G44" s="741">
        <f t="array" ref="G44">SUMPRODUCT((INDEX('6. TIẾN ĐỘ MUA HÀNG'!$A:$AT, 0, XMATCH("Phân loại VTBB/NL", '6. TIẾN ĐỘ MUA HÀNG'!$A$4:$AT$4, 0)) = $B44) * (TRIM(INDEX('6. TIẾN ĐỘ MUA HÀNG'!$A:$AT, 0, XMATCH("Tháng", '6. TIẾN ĐỘ MUA HÀNG'!$A$4:$AT$4, 0))) = TRIM($G$6)) * (INDEX('6. TIẾN ĐỘ MUA HÀNG'!$A:$AT, 0, XMATCH("Phân loại VTBB/NL", '6. TIẾN ĐỘ MUA HÀNG'!$A$4:$AT$4, 0)) &lt;&gt; ""))</f>
        <v>0</v>
      </c>
      <c r="H44" s="742">
        <f t="array" ref="H44">SUMPRODUCT(IFERROR(INDEX('6. TIẾN ĐỘ MUA HÀNG'!$A$5:$AT81, 0, XMATCH("Thành tiền đơn hàng", '6. TIẾN ĐỘ MUA HÀNG'!$A$4:$AT$4, 0)), 0) * (INDEX('6. TIẾN ĐỘ MUA HÀNG'!$A$5:$AT81, 0, XMATCH("Phân loại VTBB/NL", '6. TIẾN ĐỘ MUA HÀNG'!$A$4:$AT$4, 0)) = $B44) * (TRIM(INDEX('6. TIẾN ĐỘ MUA HÀNG'!$A$5:$AT81, 0, XMATCH("Tháng", '6. TIẾN ĐỘ MUA HÀNG'!$A$4:$AT$4, 0))) = TRIM(G$6)))</f>
        <v>0</v>
      </c>
      <c r="I44" s="743">
        <f t="array" ref="I44">SUMPRODUCT((INDEX('6. TIẾN ĐỘ MUA HÀNG'!$A:$AT, 0, XMATCH("Phân loại VTBB/NL", '6. TIẾN ĐỘ MUA HÀNG'!$A$4:$AT$4, 0)) = $B44) * (TRIM(INDEX('6. TIẾN ĐỘ MUA HÀNG'!$A:$AT, 0, XMATCH("Tháng", '6. TIẾN ĐỘ MUA HÀNG'!$A$4:$AT$4, 0))) = TRIM(I$6)) * (INDEX('6. TIẾN ĐỘ MUA HÀNG'!$A:$AT, 0, XMATCH("Phân loại VTBB/NL", '6. TIẾN ĐỘ MUA HÀNG'!$A$4:$AT$4, 0)) &lt;&gt; ""))</f>
        <v>0</v>
      </c>
      <c r="J44" s="744">
        <f t="array" ref="J44">SUMPRODUCT(IFERROR(INDEX('6. TIẾN ĐỘ MUA HÀNG'!$A$5:$AT81, 0, XMATCH("Thành tiền đơn hàng", '6. TIẾN ĐỘ MUA HÀNG'!$A$4:$AT$4, 0)), 0) * (INDEX('6. TIẾN ĐỘ MUA HÀNG'!$A$5:$AT81, 0, XMATCH("Phân loại VTBB/NL", '6. TIẾN ĐỘ MUA HÀNG'!$A$4:$AT$4, 0)) = $B44) * (TRIM(INDEX('6. TIẾN ĐỘ MUA HÀNG'!$A$5:$AT81, 0, XMATCH("Tháng", '6. TIẾN ĐỘ MUA HÀNG'!$A$4:$AT$4, 0))) = TRIM(I$6)))</f>
        <v>0</v>
      </c>
      <c r="K44" s="741">
        <f t="array" ref="K44">SUMPRODUCT((INDEX('6. TIẾN ĐỘ MUA HÀNG'!$A:$AT, 0, XMATCH("Phân loại VTBB/NL", '6. TIẾN ĐỘ MUA HÀNG'!$A$4:$AT$4, 0)) = $B44) * (TRIM(INDEX('6. TIẾN ĐỘ MUA HÀNG'!$A:$AT, 0, XMATCH("Tháng", '6. TIẾN ĐỘ MUA HÀNG'!$A$4:$AT$4, 0))) = TRIM($K$6)) * (INDEX('6. TIẾN ĐỘ MUA HÀNG'!$A:$AT, 0, XMATCH("Phân loại VTBB/NL", '6. TIẾN ĐỘ MUA HÀNG'!$A$4:$AT$4, 0)) &lt;&gt; ""))</f>
        <v>0</v>
      </c>
      <c r="L44" s="742">
        <f t="array" ref="L44">SUMPRODUCT(IFERROR(INDEX('6. TIẾN ĐỘ MUA HÀNG'!$A$5:$AT81, 0, XMATCH("Thành tiền đơn hàng", '6. TIẾN ĐỘ MUA HÀNG'!$A$4:$AT$4, 0)), 0) * (INDEX('6. TIẾN ĐỘ MUA HÀNG'!$A$5:$AT81, 0, XMATCH("Phân loại VTBB/NL", '6. TIẾN ĐỘ MUA HÀNG'!$A$4:$AT$4, 0)) = $B44) * (TRIM(INDEX('6. TIẾN ĐỘ MUA HÀNG'!$A$5:$AT81, 0, XMATCH("Tháng", '6. TIẾN ĐỘ MUA HÀNG'!$A$4:$AT$4, 0))) = TRIM(K$6)))</f>
        <v>0</v>
      </c>
      <c r="M44" s="743">
        <f t="array" ref="M44">SUMPRODUCT((INDEX('6. TIẾN ĐỘ MUA HÀNG'!$A:$AT, 0, XMATCH("Phân loại VTBB/NL", '6. TIẾN ĐỘ MUA HÀNG'!$A$4:$AT$4, 0)) = $B44) * (TRIM(INDEX('6. TIẾN ĐỘ MUA HÀNG'!$A:$AT, 0, XMATCH("Tháng", '6. TIẾN ĐỘ MUA HÀNG'!$A$4:$AT$4, 0))) = TRIM(M$6)) * (INDEX('6. TIẾN ĐỘ MUA HÀNG'!$A:$AT, 0, XMATCH("Phân loại VTBB/NL", '6. TIẾN ĐỘ MUA HÀNG'!$A$4:$AT$4, 0)) &lt;&gt; ""))</f>
        <v>0</v>
      </c>
      <c r="N44" s="744">
        <f t="array" ref="N44">SUMPRODUCT(IFERROR(INDEX('6. TIẾN ĐỘ MUA HÀNG'!$A$5:$AT81, 0, XMATCH("Thành tiền đơn hàng", '6. TIẾN ĐỘ MUA HÀNG'!$A$4:$AT$4, 0)), 0) * (INDEX('6. TIẾN ĐỘ MUA HÀNG'!$A$5:$AT81, 0, XMATCH("Phân loại VTBB/NL", '6. TIẾN ĐỘ MUA HÀNG'!$A$4:$AT$4, 0)) = $B44) * (TRIM(INDEX('6. TIẾN ĐỘ MUA HÀNG'!$A$5:$AT81, 0, XMATCH("Tháng", '6. TIẾN ĐỘ MUA HÀNG'!$A$4:$AT$4, 0))) = TRIM(M$6)))</f>
        <v>0</v>
      </c>
      <c r="O44" s="741">
        <f t="array" ref="O44">SUMPRODUCT((INDEX('6. TIẾN ĐỘ MUA HÀNG'!$A:$AT, 0, XMATCH("Phân loại VTBB/NL", '6. TIẾN ĐỘ MUA HÀNG'!$A$4:$AT$4, 0)) = $B44) * (TRIM(INDEX('6. TIẾN ĐỘ MUA HÀNG'!$A:$AT, 0, XMATCH("Tháng", '6. TIẾN ĐỘ MUA HÀNG'!$A$4:$AT$4, 0))) = TRIM($O$6)) * (INDEX('6. TIẾN ĐỘ MUA HÀNG'!$A:$AT, 0, XMATCH("Phân loại VTBB/NL", '6. TIẾN ĐỘ MUA HÀNG'!$A$4:$AT$4, 0)) &lt;&gt; ""))</f>
        <v>0</v>
      </c>
      <c r="P44" s="742">
        <f t="array" ref="P44">SUMPRODUCT(IFERROR(INDEX('6. TIẾN ĐỘ MUA HÀNG'!$A$5:$AT81, 0, XMATCH("Thành tiền đơn hàng", '6. TIẾN ĐỘ MUA HÀNG'!$A$4:$AT$4, 0)), 0) * (INDEX('6. TIẾN ĐỘ MUA HÀNG'!$A$5:$AT81, 0, XMATCH("Phân loại VTBB/NL", '6. TIẾN ĐỘ MUA HÀNG'!$A$4:$AT$4, 0)) = $B44) * (TRIM(INDEX('6. TIẾN ĐỘ MUA HÀNG'!$A$5:$AT81, 0, XMATCH("Tháng", '6. TIẾN ĐỘ MUA HÀNG'!$A$4:$AT$4, 0))) = TRIM(O$6)))</f>
        <v>0</v>
      </c>
      <c r="Q44" s="743">
        <f t="array" ref="Q44">SUMPRODUCT((INDEX('6. TIẾN ĐỘ MUA HÀNG'!$A:$AT, 0, XMATCH("Phân loại VTBB/NL", '6. TIẾN ĐỘ MUA HÀNG'!$A$4:$AT$4, 0)) = $B44) * (TRIM(INDEX('6. TIẾN ĐỘ MUA HÀNG'!$A:$AT, 0, XMATCH("Tháng", '6. TIẾN ĐỘ MUA HÀNG'!$A$4:$AT$4, 0))) = TRIM(Q$6)) * (INDEX('6. TIẾN ĐỘ MUA HÀNG'!$A:$AT, 0, XMATCH("Phân loại VTBB/NL", '6. TIẾN ĐỘ MUA HÀNG'!$A$4:$AT$4, 0)) &lt;&gt; ""))</f>
        <v>0</v>
      </c>
      <c r="R44" s="744">
        <f t="array" ref="R44">SUMPRODUCT(IFERROR(INDEX('6. TIẾN ĐỘ MUA HÀNG'!$A$5:$AT81, 0, XMATCH("Thành tiền đơn hàng", '6. TIẾN ĐỘ MUA HÀNG'!$A$4:$AT$4, 0)), 0) * (INDEX('6. TIẾN ĐỘ MUA HÀNG'!$A$5:$AT81, 0, XMATCH("Phân loại VTBB/NL", '6. TIẾN ĐỘ MUA HÀNG'!$A$4:$AT$4, 0)) = $B44) * (TRIM(INDEX('6. TIẾN ĐỘ MUA HÀNG'!$A$5:$AT81, 0, XMATCH("Tháng", '6. TIẾN ĐỘ MUA HÀNG'!$A$4:$AT$4, 0))) = TRIM(Q$6)))</f>
        <v>0</v>
      </c>
      <c r="S44" s="741">
        <f t="array" ref="S44">SUMPRODUCT((INDEX('6. TIẾN ĐỘ MUA HÀNG'!$A:$AT, 0, XMATCH("Phân loại VTBB/NL", '6. TIẾN ĐỘ MUA HÀNG'!$A$4:$AT$4, 0)) = $B44) * (TRIM(INDEX('6. TIẾN ĐỘ MUA HÀNG'!$A:$AT, 0, XMATCH("Tháng", '6. TIẾN ĐỘ MUA HÀNG'!$A$4:$AT$4, 0))) = TRIM($S$6)) * (INDEX('6. TIẾN ĐỘ MUA HÀNG'!$A:$AT, 0, XMATCH("Phân loại VTBB/NL", '6. TIẾN ĐỘ MUA HÀNG'!$A$4:$AT$4, 0)) &lt;&gt; ""))</f>
        <v>0</v>
      </c>
      <c r="T44" s="742">
        <f t="array" ref="T44">SUMPRODUCT(IFERROR(INDEX('6. TIẾN ĐỘ MUA HÀNG'!$A$5:$AT81, 0, XMATCH("Thành tiền đơn hàng", '6. TIẾN ĐỘ MUA HÀNG'!$A$4:$AT$4, 0)), 0) * (INDEX('6. TIẾN ĐỘ MUA HÀNG'!$A$5:$AT81, 0, XMATCH("Phân loại VTBB/NL", '6. TIẾN ĐỘ MUA HÀNG'!$A$4:$AT$4, 0)) = $B44) * (TRIM(INDEX('6. TIẾN ĐỘ MUA HÀNG'!$A$5:$AT81, 0, XMATCH("Tháng", '6. TIẾN ĐỘ MUA HÀNG'!$A$4:$AT$4, 0))) = TRIM(S$6)))</f>
        <v>0</v>
      </c>
      <c r="U44" s="743">
        <f t="array" ref="U44">SUMPRODUCT((INDEX('6. TIẾN ĐỘ MUA HÀNG'!$A:$AT, 0, XMATCH("Phân loại VTBB/NL", '6. TIẾN ĐỘ MUA HÀNG'!$A$4:$AT$4, 0)) = $B44) * (TRIM(INDEX('6. TIẾN ĐỘ MUA HÀNG'!$A:$AT, 0, XMATCH("Tháng", '6. TIẾN ĐỘ MUA HÀNG'!$A$4:$AT$4, 0))) = TRIM(U$6)) * (INDEX('6. TIẾN ĐỘ MUA HÀNG'!$A:$AT, 0, XMATCH("Phân loại VTBB/NL", '6. TIẾN ĐỘ MUA HÀNG'!$A$4:$AT$4, 0)) &lt;&gt; ""))</f>
        <v>0</v>
      </c>
      <c r="V44" s="744">
        <f t="array" ref="V44">SUMPRODUCT(IFERROR(INDEX('6. TIẾN ĐỘ MUA HÀNG'!$A$5:$AT81, 0, XMATCH("Thành tiền đơn hàng", '6. TIẾN ĐỘ MUA HÀNG'!$A$4:$AT$4, 0)), 0) * (INDEX('6. TIẾN ĐỘ MUA HÀNG'!$A$5:$AT81, 0, XMATCH("Phân loại VTBB/NL", '6. TIẾN ĐỘ MUA HÀNG'!$A$4:$AT$4, 0)) = $B44) * (TRIM(INDEX('6. TIẾN ĐỘ MUA HÀNG'!$A$5:$AT81, 0, XMATCH("Tháng", '6. TIẾN ĐỘ MUA HÀNG'!$A$4:$AT$4, 0))) = TRIM(U$6)))</f>
        <v>0</v>
      </c>
      <c r="W44" s="741">
        <f t="array" ref="W44">SUMPRODUCT((INDEX('6. TIẾN ĐỘ MUA HÀNG'!$A:$AT, 0, XMATCH("Phân loại VTBB/NL", '6. TIẾN ĐỘ MUA HÀNG'!$A$4:$AT$4, 0)) = $B44) * (TRIM(INDEX('6. TIẾN ĐỘ MUA HÀNG'!$A:$AT, 0, XMATCH("Tháng", '6. TIẾN ĐỘ MUA HÀNG'!$A$4:$AT$4, 0))) = TRIM($W$6)) * (INDEX('6. TIẾN ĐỘ MUA HÀNG'!$A:$AT, 0, XMATCH("Phân loại VTBB/NL", '6. TIẾN ĐỘ MUA HÀNG'!$A$4:$AT$4, 0)) &lt;&gt; ""))</f>
        <v>0</v>
      </c>
      <c r="X44" s="742">
        <f t="array" ref="X44">SUMPRODUCT(IFERROR(INDEX('6. TIẾN ĐỘ MUA HÀNG'!$A$5:$AT81, 0, XMATCH("Thành tiền đơn hàng", '6. TIẾN ĐỘ MUA HÀNG'!$A$4:$AT$4, 0)), 0) * (INDEX('6. TIẾN ĐỘ MUA HÀNG'!$A$5:$AT81, 0, XMATCH("Phân loại VTBB/NL", '6. TIẾN ĐỘ MUA HÀNG'!$A$4:$AT$4, 0)) = $B44) * (TRIM(INDEX('6. TIẾN ĐỘ MUA HÀNG'!$A$5:$AT81, 0, XMATCH("Tháng", '6. TIẾN ĐỘ MUA HÀNG'!$A$4:$AT$4, 0))) = TRIM(W$6)))</f>
        <v>0</v>
      </c>
      <c r="Y44" s="743">
        <f t="array" ref="Y44">SUMPRODUCT((INDEX('6. TIẾN ĐỘ MUA HÀNG'!$A:$AT, 0, XMATCH("Phân loại VTBB/NL", '6. TIẾN ĐỘ MUA HÀNG'!$A$4:$AT$4, 0)) = $B44) * (TRIM(INDEX('6. TIẾN ĐỘ MUA HÀNG'!$A:$AT, 0, XMATCH("Tháng", '6. TIẾN ĐỘ MUA HÀNG'!$A$4:$AT$4, 0))) = TRIM(Y$6)) * (INDEX('6. TIẾN ĐỘ MUA HÀNG'!$A:$AT, 0, XMATCH("Phân loại VTBB/NL", '6. TIẾN ĐỘ MUA HÀNG'!$A$4:$AT$4, 0)) &lt;&gt; ""))</f>
        <v>0</v>
      </c>
      <c r="Z44" s="744">
        <f t="array" ref="Z44">SUMPRODUCT(IFERROR(INDEX('6. TIẾN ĐỘ MUA HÀNG'!$A$5:$AT81, 0, XMATCH("Thành tiền đơn hàng", '6. TIẾN ĐỘ MUA HÀNG'!$A$4:$AT$4, 0)), 0) * (INDEX('6. TIẾN ĐỘ MUA HÀNG'!$A$5:$AT81, 0, XMATCH("Phân loại VTBB/NL", '6. TIẾN ĐỘ MUA HÀNG'!$A$4:$AT$4, 0)) = $B44) * (TRIM(INDEX('6. TIẾN ĐỘ MUA HÀNG'!$A$5:$AT81, 0, XMATCH("Tháng", '6. TIẾN ĐỘ MUA HÀNG'!$A$4:$AT$4, 0))) = TRIM(Y$6)))</f>
        <v>0</v>
      </c>
      <c r="AA44" s="726">
        <f t="shared" si="2"/>
        <v>0</v>
      </c>
      <c r="AB44" s="726">
        <f t="shared" si="3"/>
        <v>0</v>
      </c>
    </row>
    <row r="45">
      <c r="A45" s="612">
        <v>37.0</v>
      </c>
      <c r="B45" s="597" t="str">
        <f>IFERROR(__xludf.DUMMYFUNCTION("""COMPUTED_VALUE"""),"Chai Pet giả nhôm")</f>
        <v>Chai Pet giả nhôm</v>
      </c>
      <c r="C45" s="741">
        <f t="array" ref="C45">SUMPRODUCT((INDEX('6. TIẾN ĐỘ MUA HÀNG'!$A:$AT, 0, XMATCH("Phân loại VTBB/NL", '6. TIẾN ĐỘ MUA HÀNG'!$A$4:$AT$4, 0)) = $B45) * (TRIM(INDEX('6. TIẾN ĐỘ MUA HÀNG'!$A:$AT, 0, XMATCH("Tháng", '6. TIẾN ĐỘ MUA HÀNG'!$A$4:$AT$4, 0))) = TRIM($C$6)) * (INDEX('6. TIẾN ĐỘ MUA HÀNG'!$A:$AT, 0, XMATCH("Phân loại VTBB/NL", '6. TIẾN ĐỘ MUA HÀNG'!$A$4:$AT$4, 0)) &lt;&gt; ""))</f>
        <v>0</v>
      </c>
      <c r="D45" s="742">
        <f t="array" ref="D45">SUMPRODUCT(IFERROR(INDEX('6. TIẾN ĐỘ MUA HÀNG'!$A$5:$AT81, 0, XMATCH("Thành tiền đơn hàng", '6. TIẾN ĐỘ MUA HÀNG'!$A$4:$AT$4, 0)), 0) * (INDEX('6. TIẾN ĐỘ MUA HÀNG'!$A$5:$AT81, 0, XMATCH("Phân loại VTBB/NL", '6. TIẾN ĐỘ MUA HÀNG'!$A$4:$AT$4, 0)) = $B45) * (TRIM(INDEX('6. TIẾN ĐỘ MUA HÀNG'!$A$5:$AT81, 0, XMATCH("Tháng", '6. TIẾN ĐỘ MUA HÀNG'!$A$4:$AT$4, 0))) = TRIM(C$6)))</f>
        <v>0</v>
      </c>
      <c r="E45" s="743">
        <f t="array" ref="E45">SUMPRODUCT((INDEX('6. TIẾN ĐỘ MUA HÀNG'!$A:$AT, 0, XMATCH("Phân loại VTBB/NL", '6. TIẾN ĐỘ MUA HÀNG'!$A$4:$AT$4, 0)) = $B45) * (TRIM(INDEX('6. TIẾN ĐỘ MUA HÀNG'!$A:$AT, 0, XMATCH("Tháng", '6. TIẾN ĐỘ MUA HÀNG'!$A$4:$AT$4, 0))) = TRIM(E$6)) * (INDEX('6. TIẾN ĐỘ MUA HÀNG'!$A:$AT, 0, XMATCH("Phân loại VTBB/NL", '6. TIẾN ĐỘ MUA HÀNG'!$A$4:$AT$4, 0)) &lt;&gt; ""))</f>
        <v>0</v>
      </c>
      <c r="F45" s="744">
        <f t="array" ref="F45">SUMPRODUCT(IFERROR(INDEX('6. TIẾN ĐỘ MUA HÀNG'!$A$5:$AT81, 0, XMATCH("Thành tiền đơn hàng", '6. TIẾN ĐỘ MUA HÀNG'!$A$4:$AT$4, 0)), 0) * (INDEX('6. TIẾN ĐỘ MUA HÀNG'!$A$5:$AT81, 0, XMATCH("Phân loại VTBB/NL", '6. TIẾN ĐỘ MUA HÀNG'!$A$4:$AT$4, 0)) = $B45) * (TRIM(INDEX('6. TIẾN ĐỘ MUA HÀNG'!$A$5:$AT81, 0, XMATCH("Tháng", '6. TIẾN ĐỘ MUA HÀNG'!$A$4:$AT$4, 0))) = TRIM(E$6)))</f>
        <v>0</v>
      </c>
      <c r="G45" s="741">
        <f t="array" ref="G45">SUMPRODUCT((INDEX('6. TIẾN ĐỘ MUA HÀNG'!$A:$AT, 0, XMATCH("Phân loại VTBB/NL", '6. TIẾN ĐỘ MUA HÀNG'!$A$4:$AT$4, 0)) = $B45) * (TRIM(INDEX('6. TIẾN ĐỘ MUA HÀNG'!$A:$AT, 0, XMATCH("Tháng", '6. TIẾN ĐỘ MUA HÀNG'!$A$4:$AT$4, 0))) = TRIM($G$6)) * (INDEX('6. TIẾN ĐỘ MUA HÀNG'!$A:$AT, 0, XMATCH("Phân loại VTBB/NL", '6. TIẾN ĐỘ MUA HÀNG'!$A$4:$AT$4, 0)) &lt;&gt; ""))</f>
        <v>0</v>
      </c>
      <c r="H45" s="742">
        <f t="array" ref="H45">SUMPRODUCT(IFERROR(INDEX('6. TIẾN ĐỘ MUA HÀNG'!$A$5:$AT81, 0, XMATCH("Thành tiền đơn hàng", '6. TIẾN ĐỘ MUA HÀNG'!$A$4:$AT$4, 0)), 0) * (INDEX('6. TIẾN ĐỘ MUA HÀNG'!$A$5:$AT81, 0, XMATCH("Phân loại VTBB/NL", '6. TIẾN ĐỘ MUA HÀNG'!$A$4:$AT$4, 0)) = $B45) * (TRIM(INDEX('6. TIẾN ĐỘ MUA HÀNG'!$A$5:$AT81, 0, XMATCH("Tháng", '6. TIẾN ĐỘ MUA HÀNG'!$A$4:$AT$4, 0))) = TRIM(G$6)))</f>
        <v>0</v>
      </c>
      <c r="I45" s="743">
        <f t="array" ref="I45">SUMPRODUCT((INDEX('6. TIẾN ĐỘ MUA HÀNG'!$A:$AT, 0, XMATCH("Phân loại VTBB/NL", '6. TIẾN ĐỘ MUA HÀNG'!$A$4:$AT$4, 0)) = $B45) * (TRIM(INDEX('6. TIẾN ĐỘ MUA HÀNG'!$A:$AT, 0, XMATCH("Tháng", '6. TIẾN ĐỘ MUA HÀNG'!$A$4:$AT$4, 0))) = TRIM(I$6)) * (INDEX('6. TIẾN ĐỘ MUA HÀNG'!$A:$AT, 0, XMATCH("Phân loại VTBB/NL", '6. TIẾN ĐỘ MUA HÀNG'!$A$4:$AT$4, 0)) &lt;&gt; ""))</f>
        <v>0</v>
      </c>
      <c r="J45" s="744">
        <f t="array" ref="J45">SUMPRODUCT(IFERROR(INDEX('6. TIẾN ĐỘ MUA HÀNG'!$A$5:$AT81, 0, XMATCH("Thành tiền đơn hàng", '6. TIẾN ĐỘ MUA HÀNG'!$A$4:$AT$4, 0)), 0) * (INDEX('6. TIẾN ĐỘ MUA HÀNG'!$A$5:$AT81, 0, XMATCH("Phân loại VTBB/NL", '6. TIẾN ĐỘ MUA HÀNG'!$A$4:$AT$4, 0)) = $B45) * (TRIM(INDEX('6. TIẾN ĐỘ MUA HÀNG'!$A$5:$AT81, 0, XMATCH("Tháng", '6. TIẾN ĐỘ MUA HÀNG'!$A$4:$AT$4, 0))) = TRIM(I$6)))</f>
        <v>0</v>
      </c>
      <c r="K45" s="741">
        <f t="array" ref="K45">SUMPRODUCT((INDEX('6. TIẾN ĐỘ MUA HÀNG'!$A:$AT, 0, XMATCH("Phân loại VTBB/NL", '6. TIẾN ĐỘ MUA HÀNG'!$A$4:$AT$4, 0)) = $B45) * (TRIM(INDEX('6. TIẾN ĐỘ MUA HÀNG'!$A:$AT, 0, XMATCH("Tháng", '6. TIẾN ĐỘ MUA HÀNG'!$A$4:$AT$4, 0))) = TRIM($K$6)) * (INDEX('6. TIẾN ĐỘ MUA HÀNG'!$A:$AT, 0, XMATCH("Phân loại VTBB/NL", '6. TIẾN ĐỘ MUA HÀNG'!$A$4:$AT$4, 0)) &lt;&gt; ""))</f>
        <v>0</v>
      </c>
      <c r="L45" s="742">
        <f t="array" ref="L45">SUMPRODUCT(IFERROR(INDEX('6. TIẾN ĐỘ MUA HÀNG'!$A$5:$AT81, 0, XMATCH("Thành tiền đơn hàng", '6. TIẾN ĐỘ MUA HÀNG'!$A$4:$AT$4, 0)), 0) * (INDEX('6. TIẾN ĐỘ MUA HÀNG'!$A$5:$AT81, 0, XMATCH("Phân loại VTBB/NL", '6. TIẾN ĐỘ MUA HÀNG'!$A$4:$AT$4, 0)) = $B45) * (TRIM(INDEX('6. TIẾN ĐỘ MUA HÀNG'!$A$5:$AT81, 0, XMATCH("Tháng", '6. TIẾN ĐỘ MUA HÀNG'!$A$4:$AT$4, 0))) = TRIM(K$6)))</f>
        <v>0</v>
      </c>
      <c r="M45" s="743">
        <f t="array" ref="M45">SUMPRODUCT((INDEX('6. TIẾN ĐỘ MUA HÀNG'!$A:$AT, 0, XMATCH("Phân loại VTBB/NL", '6. TIẾN ĐỘ MUA HÀNG'!$A$4:$AT$4, 0)) = $B45) * (TRIM(INDEX('6. TIẾN ĐỘ MUA HÀNG'!$A:$AT, 0, XMATCH("Tháng", '6. TIẾN ĐỘ MUA HÀNG'!$A$4:$AT$4, 0))) = TRIM(M$6)) * (INDEX('6. TIẾN ĐỘ MUA HÀNG'!$A:$AT, 0, XMATCH("Phân loại VTBB/NL", '6. TIẾN ĐỘ MUA HÀNG'!$A$4:$AT$4, 0)) &lt;&gt; ""))</f>
        <v>0</v>
      </c>
      <c r="N45" s="744">
        <f t="array" ref="N45">SUMPRODUCT(IFERROR(INDEX('6. TIẾN ĐỘ MUA HÀNG'!$A$5:$AT81, 0, XMATCH("Thành tiền đơn hàng", '6. TIẾN ĐỘ MUA HÀNG'!$A$4:$AT$4, 0)), 0) * (INDEX('6. TIẾN ĐỘ MUA HÀNG'!$A$5:$AT81, 0, XMATCH("Phân loại VTBB/NL", '6. TIẾN ĐỘ MUA HÀNG'!$A$4:$AT$4, 0)) = $B45) * (TRIM(INDEX('6. TIẾN ĐỘ MUA HÀNG'!$A$5:$AT81, 0, XMATCH("Tháng", '6. TIẾN ĐỘ MUA HÀNG'!$A$4:$AT$4, 0))) = TRIM(M$6)))</f>
        <v>0</v>
      </c>
      <c r="O45" s="741">
        <f t="array" ref="O45">SUMPRODUCT((INDEX('6. TIẾN ĐỘ MUA HÀNG'!$A:$AT, 0, XMATCH("Phân loại VTBB/NL", '6. TIẾN ĐỘ MUA HÀNG'!$A$4:$AT$4, 0)) = $B45) * (TRIM(INDEX('6. TIẾN ĐỘ MUA HÀNG'!$A:$AT, 0, XMATCH("Tháng", '6. TIẾN ĐỘ MUA HÀNG'!$A$4:$AT$4, 0))) = TRIM($O$6)) * (INDEX('6. TIẾN ĐỘ MUA HÀNG'!$A:$AT, 0, XMATCH("Phân loại VTBB/NL", '6. TIẾN ĐỘ MUA HÀNG'!$A$4:$AT$4, 0)) &lt;&gt; ""))</f>
        <v>0</v>
      </c>
      <c r="P45" s="742">
        <f t="array" ref="P45">SUMPRODUCT(IFERROR(INDEX('6. TIẾN ĐỘ MUA HÀNG'!$A$5:$AT81, 0, XMATCH("Thành tiền đơn hàng", '6. TIẾN ĐỘ MUA HÀNG'!$A$4:$AT$4, 0)), 0) * (INDEX('6. TIẾN ĐỘ MUA HÀNG'!$A$5:$AT81, 0, XMATCH("Phân loại VTBB/NL", '6. TIẾN ĐỘ MUA HÀNG'!$A$4:$AT$4, 0)) = $B45) * (TRIM(INDEX('6. TIẾN ĐỘ MUA HÀNG'!$A$5:$AT81, 0, XMATCH("Tháng", '6. TIẾN ĐỘ MUA HÀNG'!$A$4:$AT$4, 0))) = TRIM(O$6)))</f>
        <v>0</v>
      </c>
      <c r="Q45" s="743">
        <f t="array" ref="Q45">SUMPRODUCT((INDEX('6. TIẾN ĐỘ MUA HÀNG'!$A:$AT, 0, XMATCH("Phân loại VTBB/NL", '6. TIẾN ĐỘ MUA HÀNG'!$A$4:$AT$4, 0)) = $B45) * (TRIM(INDEX('6. TIẾN ĐỘ MUA HÀNG'!$A:$AT, 0, XMATCH("Tháng", '6. TIẾN ĐỘ MUA HÀNG'!$A$4:$AT$4, 0))) = TRIM(Q$6)) * (INDEX('6. TIẾN ĐỘ MUA HÀNG'!$A:$AT, 0, XMATCH("Phân loại VTBB/NL", '6. TIẾN ĐỘ MUA HÀNG'!$A$4:$AT$4, 0)) &lt;&gt; ""))</f>
        <v>0</v>
      </c>
      <c r="R45" s="744">
        <f t="array" ref="R45">SUMPRODUCT(IFERROR(INDEX('6. TIẾN ĐỘ MUA HÀNG'!$A$5:$AT81, 0, XMATCH("Thành tiền đơn hàng", '6. TIẾN ĐỘ MUA HÀNG'!$A$4:$AT$4, 0)), 0) * (INDEX('6. TIẾN ĐỘ MUA HÀNG'!$A$5:$AT81, 0, XMATCH("Phân loại VTBB/NL", '6. TIẾN ĐỘ MUA HÀNG'!$A$4:$AT$4, 0)) = $B45) * (TRIM(INDEX('6. TIẾN ĐỘ MUA HÀNG'!$A$5:$AT81, 0, XMATCH("Tháng", '6. TIẾN ĐỘ MUA HÀNG'!$A$4:$AT$4, 0))) = TRIM(Q$6)))</f>
        <v>0</v>
      </c>
      <c r="S45" s="741">
        <f t="array" ref="S45">SUMPRODUCT((INDEX('6. TIẾN ĐỘ MUA HÀNG'!$A:$AT, 0, XMATCH("Phân loại VTBB/NL", '6. TIẾN ĐỘ MUA HÀNG'!$A$4:$AT$4, 0)) = $B45) * (TRIM(INDEX('6. TIẾN ĐỘ MUA HÀNG'!$A:$AT, 0, XMATCH("Tháng", '6. TIẾN ĐỘ MUA HÀNG'!$A$4:$AT$4, 0))) = TRIM($S$6)) * (INDEX('6. TIẾN ĐỘ MUA HÀNG'!$A:$AT, 0, XMATCH("Phân loại VTBB/NL", '6. TIẾN ĐỘ MUA HÀNG'!$A$4:$AT$4, 0)) &lt;&gt; ""))</f>
        <v>0</v>
      </c>
      <c r="T45" s="742">
        <f t="array" ref="T45">SUMPRODUCT(IFERROR(INDEX('6. TIẾN ĐỘ MUA HÀNG'!$A$5:$AT81, 0, XMATCH("Thành tiền đơn hàng", '6. TIẾN ĐỘ MUA HÀNG'!$A$4:$AT$4, 0)), 0) * (INDEX('6. TIẾN ĐỘ MUA HÀNG'!$A$5:$AT81, 0, XMATCH("Phân loại VTBB/NL", '6. TIẾN ĐỘ MUA HÀNG'!$A$4:$AT$4, 0)) = $B45) * (TRIM(INDEX('6. TIẾN ĐỘ MUA HÀNG'!$A$5:$AT81, 0, XMATCH("Tháng", '6. TIẾN ĐỘ MUA HÀNG'!$A$4:$AT$4, 0))) = TRIM(S$6)))</f>
        <v>0</v>
      </c>
      <c r="U45" s="743">
        <f t="array" ref="U45">SUMPRODUCT((INDEX('6. TIẾN ĐỘ MUA HÀNG'!$A:$AT, 0, XMATCH("Phân loại VTBB/NL", '6. TIẾN ĐỘ MUA HÀNG'!$A$4:$AT$4, 0)) = $B45) * (TRIM(INDEX('6. TIẾN ĐỘ MUA HÀNG'!$A:$AT, 0, XMATCH("Tháng", '6. TIẾN ĐỘ MUA HÀNG'!$A$4:$AT$4, 0))) = TRIM(U$6)) * (INDEX('6. TIẾN ĐỘ MUA HÀNG'!$A:$AT, 0, XMATCH("Phân loại VTBB/NL", '6. TIẾN ĐỘ MUA HÀNG'!$A$4:$AT$4, 0)) &lt;&gt; ""))</f>
        <v>0</v>
      </c>
      <c r="V45" s="744">
        <f t="array" ref="V45">SUMPRODUCT(IFERROR(INDEX('6. TIẾN ĐỘ MUA HÀNG'!$A$5:$AT81, 0, XMATCH("Thành tiền đơn hàng", '6. TIẾN ĐỘ MUA HÀNG'!$A$4:$AT$4, 0)), 0) * (INDEX('6. TIẾN ĐỘ MUA HÀNG'!$A$5:$AT81, 0, XMATCH("Phân loại VTBB/NL", '6. TIẾN ĐỘ MUA HÀNG'!$A$4:$AT$4, 0)) = $B45) * (TRIM(INDEX('6. TIẾN ĐỘ MUA HÀNG'!$A$5:$AT81, 0, XMATCH("Tháng", '6. TIẾN ĐỘ MUA HÀNG'!$A$4:$AT$4, 0))) = TRIM(U$6)))</f>
        <v>0</v>
      </c>
      <c r="W45" s="741">
        <f t="array" ref="W45">SUMPRODUCT((INDEX('6. TIẾN ĐỘ MUA HÀNG'!$A:$AT, 0, XMATCH("Phân loại VTBB/NL", '6. TIẾN ĐỘ MUA HÀNG'!$A$4:$AT$4, 0)) = $B45) * (TRIM(INDEX('6. TIẾN ĐỘ MUA HÀNG'!$A:$AT, 0, XMATCH("Tháng", '6. TIẾN ĐỘ MUA HÀNG'!$A$4:$AT$4, 0))) = TRIM($W$6)) * (INDEX('6. TIẾN ĐỘ MUA HÀNG'!$A:$AT, 0, XMATCH("Phân loại VTBB/NL", '6. TIẾN ĐỘ MUA HÀNG'!$A$4:$AT$4, 0)) &lt;&gt; ""))</f>
        <v>0</v>
      </c>
      <c r="X45" s="742">
        <f t="array" ref="X45">SUMPRODUCT(IFERROR(INDEX('6. TIẾN ĐỘ MUA HÀNG'!$A$5:$AT81, 0, XMATCH("Thành tiền đơn hàng", '6. TIẾN ĐỘ MUA HÀNG'!$A$4:$AT$4, 0)), 0) * (INDEX('6. TIẾN ĐỘ MUA HÀNG'!$A$5:$AT81, 0, XMATCH("Phân loại VTBB/NL", '6. TIẾN ĐỘ MUA HÀNG'!$A$4:$AT$4, 0)) = $B45) * (TRIM(INDEX('6. TIẾN ĐỘ MUA HÀNG'!$A$5:$AT81, 0, XMATCH("Tháng", '6. TIẾN ĐỘ MUA HÀNG'!$A$4:$AT$4, 0))) = TRIM(W$6)))</f>
        <v>0</v>
      </c>
      <c r="Y45" s="743">
        <f t="array" ref="Y45">SUMPRODUCT((INDEX('6. TIẾN ĐỘ MUA HÀNG'!$A:$AT, 0, XMATCH("Phân loại VTBB/NL", '6. TIẾN ĐỘ MUA HÀNG'!$A$4:$AT$4, 0)) = $B45) * (TRIM(INDEX('6. TIẾN ĐỘ MUA HÀNG'!$A:$AT, 0, XMATCH("Tháng", '6. TIẾN ĐỘ MUA HÀNG'!$A$4:$AT$4, 0))) = TRIM(Y$6)) * (INDEX('6. TIẾN ĐỘ MUA HÀNG'!$A:$AT, 0, XMATCH("Phân loại VTBB/NL", '6. TIẾN ĐỘ MUA HÀNG'!$A$4:$AT$4, 0)) &lt;&gt; ""))</f>
        <v>0</v>
      </c>
      <c r="Z45" s="744">
        <f t="array" ref="Z45">SUMPRODUCT(IFERROR(INDEX('6. TIẾN ĐỘ MUA HÀNG'!$A$5:$AT81, 0, XMATCH("Thành tiền đơn hàng", '6. TIẾN ĐỘ MUA HÀNG'!$A$4:$AT$4, 0)), 0) * (INDEX('6. TIẾN ĐỘ MUA HÀNG'!$A$5:$AT81, 0, XMATCH("Phân loại VTBB/NL", '6. TIẾN ĐỘ MUA HÀNG'!$A$4:$AT$4, 0)) = $B45) * (TRIM(INDEX('6. TIẾN ĐỘ MUA HÀNG'!$A$5:$AT81, 0, XMATCH("Tháng", '6. TIẾN ĐỘ MUA HÀNG'!$A$4:$AT$4, 0))) = TRIM(Y$6)))</f>
        <v>0</v>
      </c>
      <c r="AA45" s="726">
        <f t="shared" si="2"/>
        <v>0</v>
      </c>
      <c r="AB45" s="726">
        <f t="shared" si="3"/>
        <v>0</v>
      </c>
    </row>
    <row r="46">
      <c r="A46" s="612">
        <v>38.0</v>
      </c>
      <c r="B46" s="597" t="str">
        <f>IFERROR(__xludf.DUMMYFUNCTION("""COMPUTED_VALUE"""),"Chai HD giả nhôm")</f>
        <v>Chai HD giả nhôm</v>
      </c>
      <c r="C46" s="741">
        <f t="array" ref="C46">SUMPRODUCT((INDEX('6. TIẾN ĐỘ MUA HÀNG'!$A:$AT, 0, XMATCH("Phân loại VTBB/NL", '6. TIẾN ĐỘ MUA HÀNG'!$A$4:$AT$4, 0)) = $B46) * (TRIM(INDEX('6. TIẾN ĐỘ MUA HÀNG'!$A:$AT, 0, XMATCH("Tháng", '6. TIẾN ĐỘ MUA HÀNG'!$A$4:$AT$4, 0))) = TRIM($C$6)) * (INDEX('6. TIẾN ĐỘ MUA HÀNG'!$A:$AT, 0, XMATCH("Phân loại VTBB/NL", '6. TIẾN ĐỘ MUA HÀNG'!$A$4:$AT$4, 0)) &lt;&gt; ""))</f>
        <v>0</v>
      </c>
      <c r="D46" s="742">
        <f t="array" ref="D46">SUMPRODUCT(IFERROR(INDEX('6. TIẾN ĐỘ MUA HÀNG'!$A$5:$AT81, 0, XMATCH("Thành tiền đơn hàng", '6. TIẾN ĐỘ MUA HÀNG'!$A$4:$AT$4, 0)), 0) * (INDEX('6. TIẾN ĐỘ MUA HÀNG'!$A$5:$AT81, 0, XMATCH("Phân loại VTBB/NL", '6. TIẾN ĐỘ MUA HÀNG'!$A$4:$AT$4, 0)) = $B46) * (TRIM(INDEX('6. TIẾN ĐỘ MUA HÀNG'!$A$5:$AT81, 0, XMATCH("Tháng", '6. TIẾN ĐỘ MUA HÀNG'!$A$4:$AT$4, 0))) = TRIM(C$6)))</f>
        <v>0</v>
      </c>
      <c r="E46" s="743">
        <f t="array" ref="E46">SUMPRODUCT((INDEX('6. TIẾN ĐỘ MUA HÀNG'!$A:$AT, 0, XMATCH("Phân loại VTBB/NL", '6. TIẾN ĐỘ MUA HÀNG'!$A$4:$AT$4, 0)) = $B46) * (TRIM(INDEX('6. TIẾN ĐỘ MUA HÀNG'!$A:$AT, 0, XMATCH("Tháng", '6. TIẾN ĐỘ MUA HÀNG'!$A$4:$AT$4, 0))) = TRIM(E$6)) * (INDEX('6. TIẾN ĐỘ MUA HÀNG'!$A:$AT, 0, XMATCH("Phân loại VTBB/NL", '6. TIẾN ĐỘ MUA HÀNG'!$A$4:$AT$4, 0)) &lt;&gt; ""))</f>
        <v>0</v>
      </c>
      <c r="F46" s="744">
        <f t="array" ref="F46">SUMPRODUCT(IFERROR(INDEX('6. TIẾN ĐỘ MUA HÀNG'!$A$5:$AT81, 0, XMATCH("Thành tiền đơn hàng", '6. TIẾN ĐỘ MUA HÀNG'!$A$4:$AT$4, 0)), 0) * (INDEX('6. TIẾN ĐỘ MUA HÀNG'!$A$5:$AT81, 0, XMATCH("Phân loại VTBB/NL", '6. TIẾN ĐỘ MUA HÀNG'!$A$4:$AT$4, 0)) = $B46) * (TRIM(INDEX('6. TIẾN ĐỘ MUA HÀNG'!$A$5:$AT81, 0, XMATCH("Tháng", '6. TIẾN ĐỘ MUA HÀNG'!$A$4:$AT$4, 0))) = TRIM(E$6)))</f>
        <v>0</v>
      </c>
      <c r="G46" s="741">
        <f t="array" ref="G46">SUMPRODUCT((INDEX('6. TIẾN ĐỘ MUA HÀNG'!$A:$AT, 0, XMATCH("Phân loại VTBB/NL", '6. TIẾN ĐỘ MUA HÀNG'!$A$4:$AT$4, 0)) = $B46) * (TRIM(INDEX('6. TIẾN ĐỘ MUA HÀNG'!$A:$AT, 0, XMATCH("Tháng", '6. TIẾN ĐỘ MUA HÀNG'!$A$4:$AT$4, 0))) = TRIM($G$6)) * (INDEX('6. TIẾN ĐỘ MUA HÀNG'!$A:$AT, 0, XMATCH("Phân loại VTBB/NL", '6. TIẾN ĐỘ MUA HÀNG'!$A$4:$AT$4, 0)) &lt;&gt; ""))</f>
        <v>0</v>
      </c>
      <c r="H46" s="742">
        <f t="array" ref="H46">SUMPRODUCT(IFERROR(INDEX('6. TIẾN ĐỘ MUA HÀNG'!$A$5:$AT81, 0, XMATCH("Thành tiền đơn hàng", '6. TIẾN ĐỘ MUA HÀNG'!$A$4:$AT$4, 0)), 0) * (INDEX('6. TIẾN ĐỘ MUA HÀNG'!$A$5:$AT81, 0, XMATCH("Phân loại VTBB/NL", '6. TIẾN ĐỘ MUA HÀNG'!$A$4:$AT$4, 0)) = $B46) * (TRIM(INDEX('6. TIẾN ĐỘ MUA HÀNG'!$A$5:$AT81, 0, XMATCH("Tháng", '6. TIẾN ĐỘ MUA HÀNG'!$A$4:$AT$4, 0))) = TRIM(G$6)))</f>
        <v>0</v>
      </c>
      <c r="I46" s="743">
        <f t="array" ref="I46">SUMPRODUCT((INDEX('6. TIẾN ĐỘ MUA HÀNG'!$A:$AT, 0, XMATCH("Phân loại VTBB/NL", '6. TIẾN ĐỘ MUA HÀNG'!$A$4:$AT$4, 0)) = $B46) * (TRIM(INDEX('6. TIẾN ĐỘ MUA HÀNG'!$A:$AT, 0, XMATCH("Tháng", '6. TIẾN ĐỘ MUA HÀNG'!$A$4:$AT$4, 0))) = TRIM(I$6)) * (INDEX('6. TIẾN ĐỘ MUA HÀNG'!$A:$AT, 0, XMATCH("Phân loại VTBB/NL", '6. TIẾN ĐỘ MUA HÀNG'!$A$4:$AT$4, 0)) &lt;&gt; ""))</f>
        <v>0</v>
      </c>
      <c r="J46" s="744">
        <f t="array" ref="J46">SUMPRODUCT(IFERROR(INDEX('6. TIẾN ĐỘ MUA HÀNG'!$A$5:$AT81, 0, XMATCH("Thành tiền đơn hàng", '6. TIẾN ĐỘ MUA HÀNG'!$A$4:$AT$4, 0)), 0) * (INDEX('6. TIẾN ĐỘ MUA HÀNG'!$A$5:$AT81, 0, XMATCH("Phân loại VTBB/NL", '6. TIẾN ĐỘ MUA HÀNG'!$A$4:$AT$4, 0)) = $B46) * (TRIM(INDEX('6. TIẾN ĐỘ MUA HÀNG'!$A$5:$AT81, 0, XMATCH("Tháng", '6. TIẾN ĐỘ MUA HÀNG'!$A$4:$AT$4, 0))) = TRIM(I$6)))</f>
        <v>0</v>
      </c>
      <c r="K46" s="741">
        <f t="array" ref="K46">SUMPRODUCT((INDEX('6. TIẾN ĐỘ MUA HÀNG'!$A:$AT, 0, XMATCH("Phân loại VTBB/NL", '6. TIẾN ĐỘ MUA HÀNG'!$A$4:$AT$4, 0)) = $B46) * (TRIM(INDEX('6. TIẾN ĐỘ MUA HÀNG'!$A:$AT, 0, XMATCH("Tháng", '6. TIẾN ĐỘ MUA HÀNG'!$A$4:$AT$4, 0))) = TRIM($K$6)) * (INDEX('6. TIẾN ĐỘ MUA HÀNG'!$A:$AT, 0, XMATCH("Phân loại VTBB/NL", '6. TIẾN ĐỘ MUA HÀNG'!$A$4:$AT$4, 0)) &lt;&gt; ""))</f>
        <v>0</v>
      </c>
      <c r="L46" s="742">
        <f t="array" ref="L46">SUMPRODUCT(IFERROR(INDEX('6. TIẾN ĐỘ MUA HÀNG'!$A$5:$AT81, 0, XMATCH("Thành tiền đơn hàng", '6. TIẾN ĐỘ MUA HÀNG'!$A$4:$AT$4, 0)), 0) * (INDEX('6. TIẾN ĐỘ MUA HÀNG'!$A$5:$AT81, 0, XMATCH("Phân loại VTBB/NL", '6. TIẾN ĐỘ MUA HÀNG'!$A$4:$AT$4, 0)) = $B46) * (TRIM(INDEX('6. TIẾN ĐỘ MUA HÀNG'!$A$5:$AT81, 0, XMATCH("Tháng", '6. TIẾN ĐỘ MUA HÀNG'!$A$4:$AT$4, 0))) = TRIM(K$6)))</f>
        <v>0</v>
      </c>
      <c r="M46" s="743">
        <f t="array" ref="M46">SUMPRODUCT((INDEX('6. TIẾN ĐỘ MUA HÀNG'!$A:$AT, 0, XMATCH("Phân loại VTBB/NL", '6. TIẾN ĐỘ MUA HÀNG'!$A$4:$AT$4, 0)) = $B46) * (TRIM(INDEX('6. TIẾN ĐỘ MUA HÀNG'!$A:$AT, 0, XMATCH("Tháng", '6. TIẾN ĐỘ MUA HÀNG'!$A$4:$AT$4, 0))) = TRIM(M$6)) * (INDEX('6. TIẾN ĐỘ MUA HÀNG'!$A:$AT, 0, XMATCH("Phân loại VTBB/NL", '6. TIẾN ĐỘ MUA HÀNG'!$A$4:$AT$4, 0)) &lt;&gt; ""))</f>
        <v>0</v>
      </c>
      <c r="N46" s="744">
        <f t="array" ref="N46">SUMPRODUCT(IFERROR(INDEX('6. TIẾN ĐỘ MUA HÀNG'!$A$5:$AT81, 0, XMATCH("Thành tiền đơn hàng", '6. TIẾN ĐỘ MUA HÀNG'!$A$4:$AT$4, 0)), 0) * (INDEX('6. TIẾN ĐỘ MUA HÀNG'!$A$5:$AT81, 0, XMATCH("Phân loại VTBB/NL", '6. TIẾN ĐỘ MUA HÀNG'!$A$4:$AT$4, 0)) = $B46) * (TRIM(INDEX('6. TIẾN ĐỘ MUA HÀNG'!$A$5:$AT81, 0, XMATCH("Tháng", '6. TIẾN ĐỘ MUA HÀNG'!$A$4:$AT$4, 0))) = TRIM(M$6)))</f>
        <v>0</v>
      </c>
      <c r="O46" s="741">
        <f t="array" ref="O46">SUMPRODUCT((INDEX('6. TIẾN ĐỘ MUA HÀNG'!$A:$AT, 0, XMATCH("Phân loại VTBB/NL", '6. TIẾN ĐỘ MUA HÀNG'!$A$4:$AT$4, 0)) = $B46) * (TRIM(INDEX('6. TIẾN ĐỘ MUA HÀNG'!$A:$AT, 0, XMATCH("Tháng", '6. TIẾN ĐỘ MUA HÀNG'!$A$4:$AT$4, 0))) = TRIM($O$6)) * (INDEX('6. TIẾN ĐỘ MUA HÀNG'!$A:$AT, 0, XMATCH("Phân loại VTBB/NL", '6. TIẾN ĐỘ MUA HÀNG'!$A$4:$AT$4, 0)) &lt;&gt; ""))</f>
        <v>0</v>
      </c>
      <c r="P46" s="742">
        <f t="array" ref="P46">SUMPRODUCT(IFERROR(INDEX('6. TIẾN ĐỘ MUA HÀNG'!$A$5:$AT81, 0, XMATCH("Thành tiền đơn hàng", '6. TIẾN ĐỘ MUA HÀNG'!$A$4:$AT$4, 0)), 0) * (INDEX('6. TIẾN ĐỘ MUA HÀNG'!$A$5:$AT81, 0, XMATCH("Phân loại VTBB/NL", '6. TIẾN ĐỘ MUA HÀNG'!$A$4:$AT$4, 0)) = $B46) * (TRIM(INDEX('6. TIẾN ĐỘ MUA HÀNG'!$A$5:$AT81, 0, XMATCH("Tháng", '6. TIẾN ĐỘ MUA HÀNG'!$A$4:$AT$4, 0))) = TRIM(O$6)))</f>
        <v>0</v>
      </c>
      <c r="Q46" s="743">
        <f t="array" ref="Q46">SUMPRODUCT((INDEX('6. TIẾN ĐỘ MUA HÀNG'!$A:$AT, 0, XMATCH("Phân loại VTBB/NL", '6. TIẾN ĐỘ MUA HÀNG'!$A$4:$AT$4, 0)) = $B46) * (TRIM(INDEX('6. TIẾN ĐỘ MUA HÀNG'!$A:$AT, 0, XMATCH("Tháng", '6. TIẾN ĐỘ MUA HÀNG'!$A$4:$AT$4, 0))) = TRIM(Q$6)) * (INDEX('6. TIẾN ĐỘ MUA HÀNG'!$A:$AT, 0, XMATCH("Phân loại VTBB/NL", '6. TIẾN ĐỘ MUA HÀNG'!$A$4:$AT$4, 0)) &lt;&gt; ""))</f>
        <v>0</v>
      </c>
      <c r="R46" s="744">
        <f t="array" ref="R46">SUMPRODUCT(IFERROR(INDEX('6. TIẾN ĐỘ MUA HÀNG'!$A$5:$AT81, 0, XMATCH("Thành tiền đơn hàng", '6. TIẾN ĐỘ MUA HÀNG'!$A$4:$AT$4, 0)), 0) * (INDEX('6. TIẾN ĐỘ MUA HÀNG'!$A$5:$AT81, 0, XMATCH("Phân loại VTBB/NL", '6. TIẾN ĐỘ MUA HÀNG'!$A$4:$AT$4, 0)) = $B46) * (TRIM(INDEX('6. TIẾN ĐỘ MUA HÀNG'!$A$5:$AT81, 0, XMATCH("Tháng", '6. TIẾN ĐỘ MUA HÀNG'!$A$4:$AT$4, 0))) = TRIM(Q$6)))</f>
        <v>0</v>
      </c>
      <c r="S46" s="741">
        <f t="array" ref="S46">SUMPRODUCT((INDEX('6. TIẾN ĐỘ MUA HÀNG'!$A:$AT, 0, XMATCH("Phân loại VTBB/NL", '6. TIẾN ĐỘ MUA HÀNG'!$A$4:$AT$4, 0)) = $B46) * (TRIM(INDEX('6. TIẾN ĐỘ MUA HÀNG'!$A:$AT, 0, XMATCH("Tháng", '6. TIẾN ĐỘ MUA HÀNG'!$A$4:$AT$4, 0))) = TRIM($S$6)) * (INDEX('6. TIẾN ĐỘ MUA HÀNG'!$A:$AT, 0, XMATCH("Phân loại VTBB/NL", '6. TIẾN ĐỘ MUA HÀNG'!$A$4:$AT$4, 0)) &lt;&gt; ""))</f>
        <v>0</v>
      </c>
      <c r="T46" s="742">
        <f t="array" ref="T46">SUMPRODUCT(IFERROR(INDEX('6. TIẾN ĐỘ MUA HÀNG'!$A$5:$AT81, 0, XMATCH("Thành tiền đơn hàng", '6. TIẾN ĐỘ MUA HÀNG'!$A$4:$AT$4, 0)), 0) * (INDEX('6. TIẾN ĐỘ MUA HÀNG'!$A$5:$AT81, 0, XMATCH("Phân loại VTBB/NL", '6. TIẾN ĐỘ MUA HÀNG'!$A$4:$AT$4, 0)) = $B46) * (TRIM(INDEX('6. TIẾN ĐỘ MUA HÀNG'!$A$5:$AT81, 0, XMATCH("Tháng", '6. TIẾN ĐỘ MUA HÀNG'!$A$4:$AT$4, 0))) = TRIM(S$6)))</f>
        <v>0</v>
      </c>
      <c r="U46" s="743">
        <f t="array" ref="U46">SUMPRODUCT((INDEX('6. TIẾN ĐỘ MUA HÀNG'!$A:$AT, 0, XMATCH("Phân loại VTBB/NL", '6. TIẾN ĐỘ MUA HÀNG'!$A$4:$AT$4, 0)) = $B46) * (TRIM(INDEX('6. TIẾN ĐỘ MUA HÀNG'!$A:$AT, 0, XMATCH("Tháng", '6. TIẾN ĐỘ MUA HÀNG'!$A$4:$AT$4, 0))) = TRIM(U$6)) * (INDEX('6. TIẾN ĐỘ MUA HÀNG'!$A:$AT, 0, XMATCH("Phân loại VTBB/NL", '6. TIẾN ĐỘ MUA HÀNG'!$A$4:$AT$4, 0)) &lt;&gt; ""))</f>
        <v>0</v>
      </c>
      <c r="V46" s="744">
        <f t="array" ref="V46">SUMPRODUCT(IFERROR(INDEX('6. TIẾN ĐỘ MUA HÀNG'!$A$5:$AT81, 0, XMATCH("Thành tiền đơn hàng", '6. TIẾN ĐỘ MUA HÀNG'!$A$4:$AT$4, 0)), 0) * (INDEX('6. TIẾN ĐỘ MUA HÀNG'!$A$5:$AT81, 0, XMATCH("Phân loại VTBB/NL", '6. TIẾN ĐỘ MUA HÀNG'!$A$4:$AT$4, 0)) = $B46) * (TRIM(INDEX('6. TIẾN ĐỘ MUA HÀNG'!$A$5:$AT81, 0, XMATCH("Tháng", '6. TIẾN ĐỘ MUA HÀNG'!$A$4:$AT$4, 0))) = TRIM(U$6)))</f>
        <v>0</v>
      </c>
      <c r="W46" s="741">
        <f t="array" ref="W46">SUMPRODUCT((INDEX('6. TIẾN ĐỘ MUA HÀNG'!$A:$AT, 0, XMATCH("Phân loại VTBB/NL", '6. TIẾN ĐỘ MUA HÀNG'!$A$4:$AT$4, 0)) = $B46) * (TRIM(INDEX('6. TIẾN ĐỘ MUA HÀNG'!$A:$AT, 0, XMATCH("Tháng", '6. TIẾN ĐỘ MUA HÀNG'!$A$4:$AT$4, 0))) = TRIM($W$6)) * (INDEX('6. TIẾN ĐỘ MUA HÀNG'!$A:$AT, 0, XMATCH("Phân loại VTBB/NL", '6. TIẾN ĐỘ MUA HÀNG'!$A$4:$AT$4, 0)) &lt;&gt; ""))</f>
        <v>0</v>
      </c>
      <c r="X46" s="742">
        <f t="array" ref="X46">SUMPRODUCT(IFERROR(INDEX('6. TIẾN ĐỘ MUA HÀNG'!$A$5:$AT81, 0, XMATCH("Thành tiền đơn hàng", '6. TIẾN ĐỘ MUA HÀNG'!$A$4:$AT$4, 0)), 0) * (INDEX('6. TIẾN ĐỘ MUA HÀNG'!$A$5:$AT81, 0, XMATCH("Phân loại VTBB/NL", '6. TIẾN ĐỘ MUA HÀNG'!$A$4:$AT$4, 0)) = $B46) * (TRIM(INDEX('6. TIẾN ĐỘ MUA HÀNG'!$A$5:$AT81, 0, XMATCH("Tháng", '6. TIẾN ĐỘ MUA HÀNG'!$A$4:$AT$4, 0))) = TRIM(W$6)))</f>
        <v>0</v>
      </c>
      <c r="Y46" s="743">
        <f t="array" ref="Y46">SUMPRODUCT((INDEX('6. TIẾN ĐỘ MUA HÀNG'!$A:$AT, 0, XMATCH("Phân loại VTBB/NL", '6. TIẾN ĐỘ MUA HÀNG'!$A$4:$AT$4, 0)) = $B46) * (TRIM(INDEX('6. TIẾN ĐỘ MUA HÀNG'!$A:$AT, 0, XMATCH("Tháng", '6. TIẾN ĐỘ MUA HÀNG'!$A$4:$AT$4, 0))) = TRIM(Y$6)) * (INDEX('6. TIẾN ĐỘ MUA HÀNG'!$A:$AT, 0, XMATCH("Phân loại VTBB/NL", '6. TIẾN ĐỘ MUA HÀNG'!$A$4:$AT$4, 0)) &lt;&gt; ""))</f>
        <v>0</v>
      </c>
      <c r="Z46" s="744">
        <f t="array" ref="Z46">SUMPRODUCT(IFERROR(INDEX('6. TIẾN ĐỘ MUA HÀNG'!$A$5:$AT81, 0, XMATCH("Thành tiền đơn hàng", '6. TIẾN ĐỘ MUA HÀNG'!$A$4:$AT$4, 0)), 0) * (INDEX('6. TIẾN ĐỘ MUA HÀNG'!$A$5:$AT81, 0, XMATCH("Phân loại VTBB/NL", '6. TIẾN ĐỘ MUA HÀNG'!$A$4:$AT$4, 0)) = $B46) * (TRIM(INDEX('6. TIẾN ĐỘ MUA HÀNG'!$A$5:$AT81, 0, XMATCH("Tháng", '6. TIẾN ĐỘ MUA HÀNG'!$A$4:$AT$4, 0))) = TRIM(Y$6)))</f>
        <v>0</v>
      </c>
      <c r="AA46" s="726">
        <f t="shared" si="2"/>
        <v>0</v>
      </c>
      <c r="AB46" s="726">
        <f t="shared" si="3"/>
        <v>0</v>
      </c>
    </row>
    <row r="47">
      <c r="A47" s="612">
        <v>39.0</v>
      </c>
      <c r="B47" s="597" t="str">
        <f>IFERROR(__xludf.DUMMYFUNCTION("""COMPUTED_VALUE"""),"Chai Pape giả nhôm")</f>
        <v>Chai Pape giả nhôm</v>
      </c>
      <c r="C47" s="741">
        <f t="array" ref="C47">SUMPRODUCT((INDEX('6. TIẾN ĐỘ MUA HÀNG'!$A:$AT, 0, XMATCH("Phân loại VTBB/NL", '6. TIẾN ĐỘ MUA HÀNG'!$A$4:$AT$4, 0)) = $B47) * (TRIM(INDEX('6. TIẾN ĐỘ MUA HÀNG'!$A:$AT, 0, XMATCH("Tháng", '6. TIẾN ĐỘ MUA HÀNG'!$A$4:$AT$4, 0))) = TRIM($C$6)) * (INDEX('6. TIẾN ĐỘ MUA HÀNG'!$A:$AT, 0, XMATCH("Phân loại VTBB/NL", '6. TIẾN ĐỘ MUA HÀNG'!$A$4:$AT$4, 0)) &lt;&gt; ""))</f>
        <v>0</v>
      </c>
      <c r="D47" s="742">
        <f t="array" ref="D47">SUMPRODUCT(IFERROR(INDEX('6. TIẾN ĐỘ MUA HÀNG'!$A$5:$AT81, 0, XMATCH("Thành tiền đơn hàng", '6. TIẾN ĐỘ MUA HÀNG'!$A$4:$AT$4, 0)), 0) * (INDEX('6. TIẾN ĐỘ MUA HÀNG'!$A$5:$AT81, 0, XMATCH("Phân loại VTBB/NL", '6. TIẾN ĐỘ MUA HÀNG'!$A$4:$AT$4, 0)) = $B47) * (TRIM(INDEX('6. TIẾN ĐỘ MUA HÀNG'!$A$5:$AT81, 0, XMATCH("Tháng", '6. TIẾN ĐỘ MUA HÀNG'!$A$4:$AT$4, 0))) = TRIM(C$6)))</f>
        <v>0</v>
      </c>
      <c r="E47" s="743">
        <f t="array" ref="E47">SUMPRODUCT((INDEX('6. TIẾN ĐỘ MUA HÀNG'!$A:$AT, 0, XMATCH("Phân loại VTBB/NL", '6. TIẾN ĐỘ MUA HÀNG'!$A$4:$AT$4, 0)) = $B47) * (TRIM(INDEX('6. TIẾN ĐỘ MUA HÀNG'!$A:$AT, 0, XMATCH("Tháng", '6. TIẾN ĐỘ MUA HÀNG'!$A$4:$AT$4, 0))) = TRIM(E$6)) * (INDEX('6. TIẾN ĐỘ MUA HÀNG'!$A:$AT, 0, XMATCH("Phân loại VTBB/NL", '6. TIẾN ĐỘ MUA HÀNG'!$A$4:$AT$4, 0)) &lt;&gt; ""))</f>
        <v>0</v>
      </c>
      <c r="F47" s="744">
        <f t="array" ref="F47">SUMPRODUCT(IFERROR(INDEX('6. TIẾN ĐỘ MUA HÀNG'!$A$5:$AT81, 0, XMATCH("Thành tiền đơn hàng", '6. TIẾN ĐỘ MUA HÀNG'!$A$4:$AT$4, 0)), 0) * (INDEX('6. TIẾN ĐỘ MUA HÀNG'!$A$5:$AT81, 0, XMATCH("Phân loại VTBB/NL", '6. TIẾN ĐỘ MUA HÀNG'!$A$4:$AT$4, 0)) = $B47) * (TRIM(INDEX('6. TIẾN ĐỘ MUA HÀNG'!$A$5:$AT81, 0, XMATCH("Tháng", '6. TIẾN ĐỘ MUA HÀNG'!$A$4:$AT$4, 0))) = TRIM(E$6)))</f>
        <v>0</v>
      </c>
      <c r="G47" s="741">
        <f t="array" ref="G47">SUMPRODUCT((INDEX('6. TIẾN ĐỘ MUA HÀNG'!$A:$AT, 0, XMATCH("Phân loại VTBB/NL", '6. TIẾN ĐỘ MUA HÀNG'!$A$4:$AT$4, 0)) = $B47) * (TRIM(INDEX('6. TIẾN ĐỘ MUA HÀNG'!$A:$AT, 0, XMATCH("Tháng", '6. TIẾN ĐỘ MUA HÀNG'!$A$4:$AT$4, 0))) = TRIM($G$6)) * (INDEX('6. TIẾN ĐỘ MUA HÀNG'!$A:$AT, 0, XMATCH("Phân loại VTBB/NL", '6. TIẾN ĐỘ MUA HÀNG'!$A$4:$AT$4, 0)) &lt;&gt; ""))</f>
        <v>0</v>
      </c>
      <c r="H47" s="742">
        <f t="array" ref="H47">SUMPRODUCT(IFERROR(INDEX('6. TIẾN ĐỘ MUA HÀNG'!$A$5:$AT81, 0, XMATCH("Thành tiền đơn hàng", '6. TIẾN ĐỘ MUA HÀNG'!$A$4:$AT$4, 0)), 0) * (INDEX('6. TIẾN ĐỘ MUA HÀNG'!$A$5:$AT81, 0, XMATCH("Phân loại VTBB/NL", '6. TIẾN ĐỘ MUA HÀNG'!$A$4:$AT$4, 0)) = $B47) * (TRIM(INDEX('6. TIẾN ĐỘ MUA HÀNG'!$A$5:$AT81, 0, XMATCH("Tháng", '6. TIẾN ĐỘ MUA HÀNG'!$A$4:$AT$4, 0))) = TRIM(G$6)))</f>
        <v>0</v>
      </c>
      <c r="I47" s="743">
        <f t="array" ref="I47">SUMPRODUCT((INDEX('6. TIẾN ĐỘ MUA HÀNG'!$A:$AT, 0, XMATCH("Phân loại VTBB/NL", '6. TIẾN ĐỘ MUA HÀNG'!$A$4:$AT$4, 0)) = $B47) * (TRIM(INDEX('6. TIẾN ĐỘ MUA HÀNG'!$A:$AT, 0, XMATCH("Tháng", '6. TIẾN ĐỘ MUA HÀNG'!$A$4:$AT$4, 0))) = TRIM(I$6)) * (INDEX('6. TIẾN ĐỘ MUA HÀNG'!$A:$AT, 0, XMATCH("Phân loại VTBB/NL", '6. TIẾN ĐỘ MUA HÀNG'!$A$4:$AT$4, 0)) &lt;&gt; ""))</f>
        <v>0</v>
      </c>
      <c r="J47" s="744">
        <f t="array" ref="J47">SUMPRODUCT(IFERROR(INDEX('6. TIẾN ĐỘ MUA HÀNG'!$A$5:$AT81, 0, XMATCH("Thành tiền đơn hàng", '6. TIẾN ĐỘ MUA HÀNG'!$A$4:$AT$4, 0)), 0) * (INDEX('6. TIẾN ĐỘ MUA HÀNG'!$A$5:$AT81, 0, XMATCH("Phân loại VTBB/NL", '6. TIẾN ĐỘ MUA HÀNG'!$A$4:$AT$4, 0)) = $B47) * (TRIM(INDEX('6. TIẾN ĐỘ MUA HÀNG'!$A$5:$AT81, 0, XMATCH("Tháng", '6. TIẾN ĐỘ MUA HÀNG'!$A$4:$AT$4, 0))) = TRIM(I$6)))</f>
        <v>0</v>
      </c>
      <c r="K47" s="741">
        <f t="array" ref="K47">SUMPRODUCT((INDEX('6. TIẾN ĐỘ MUA HÀNG'!$A:$AT, 0, XMATCH("Phân loại VTBB/NL", '6. TIẾN ĐỘ MUA HÀNG'!$A$4:$AT$4, 0)) = $B47) * (TRIM(INDEX('6. TIẾN ĐỘ MUA HÀNG'!$A:$AT, 0, XMATCH("Tháng", '6. TIẾN ĐỘ MUA HÀNG'!$A$4:$AT$4, 0))) = TRIM($K$6)) * (INDEX('6. TIẾN ĐỘ MUA HÀNG'!$A:$AT, 0, XMATCH("Phân loại VTBB/NL", '6. TIẾN ĐỘ MUA HÀNG'!$A$4:$AT$4, 0)) &lt;&gt; ""))</f>
        <v>0</v>
      </c>
      <c r="L47" s="742">
        <f t="array" ref="L47">SUMPRODUCT(IFERROR(INDEX('6. TIẾN ĐỘ MUA HÀNG'!$A$5:$AT81, 0, XMATCH("Thành tiền đơn hàng", '6. TIẾN ĐỘ MUA HÀNG'!$A$4:$AT$4, 0)), 0) * (INDEX('6. TIẾN ĐỘ MUA HÀNG'!$A$5:$AT81, 0, XMATCH("Phân loại VTBB/NL", '6. TIẾN ĐỘ MUA HÀNG'!$A$4:$AT$4, 0)) = $B47) * (TRIM(INDEX('6. TIẾN ĐỘ MUA HÀNG'!$A$5:$AT81, 0, XMATCH("Tháng", '6. TIẾN ĐỘ MUA HÀNG'!$A$4:$AT$4, 0))) = TRIM(K$6)))</f>
        <v>0</v>
      </c>
      <c r="M47" s="743">
        <f t="array" ref="M47">SUMPRODUCT((INDEX('6. TIẾN ĐỘ MUA HÀNG'!$A:$AT, 0, XMATCH("Phân loại VTBB/NL", '6. TIẾN ĐỘ MUA HÀNG'!$A$4:$AT$4, 0)) = $B47) * (TRIM(INDEX('6. TIẾN ĐỘ MUA HÀNG'!$A:$AT, 0, XMATCH("Tháng", '6. TIẾN ĐỘ MUA HÀNG'!$A$4:$AT$4, 0))) = TRIM(M$6)) * (INDEX('6. TIẾN ĐỘ MUA HÀNG'!$A:$AT, 0, XMATCH("Phân loại VTBB/NL", '6. TIẾN ĐỘ MUA HÀNG'!$A$4:$AT$4, 0)) &lt;&gt; ""))</f>
        <v>0</v>
      </c>
      <c r="N47" s="744">
        <f t="array" ref="N47">SUMPRODUCT(IFERROR(INDEX('6. TIẾN ĐỘ MUA HÀNG'!$A$5:$AT81, 0, XMATCH("Thành tiền đơn hàng", '6. TIẾN ĐỘ MUA HÀNG'!$A$4:$AT$4, 0)), 0) * (INDEX('6. TIẾN ĐỘ MUA HÀNG'!$A$5:$AT81, 0, XMATCH("Phân loại VTBB/NL", '6. TIẾN ĐỘ MUA HÀNG'!$A$4:$AT$4, 0)) = $B47) * (TRIM(INDEX('6. TIẾN ĐỘ MUA HÀNG'!$A$5:$AT81, 0, XMATCH("Tháng", '6. TIẾN ĐỘ MUA HÀNG'!$A$4:$AT$4, 0))) = TRIM(M$6)))</f>
        <v>0</v>
      </c>
      <c r="O47" s="741">
        <f t="array" ref="O47">SUMPRODUCT((INDEX('6. TIẾN ĐỘ MUA HÀNG'!$A:$AT, 0, XMATCH("Phân loại VTBB/NL", '6. TIẾN ĐỘ MUA HÀNG'!$A$4:$AT$4, 0)) = $B47) * (TRIM(INDEX('6. TIẾN ĐỘ MUA HÀNG'!$A:$AT, 0, XMATCH("Tháng", '6. TIẾN ĐỘ MUA HÀNG'!$A$4:$AT$4, 0))) = TRIM($O$6)) * (INDEX('6. TIẾN ĐỘ MUA HÀNG'!$A:$AT, 0, XMATCH("Phân loại VTBB/NL", '6. TIẾN ĐỘ MUA HÀNG'!$A$4:$AT$4, 0)) &lt;&gt; ""))</f>
        <v>0</v>
      </c>
      <c r="P47" s="742">
        <f t="array" ref="P47">SUMPRODUCT(IFERROR(INDEX('6. TIẾN ĐỘ MUA HÀNG'!$A$5:$AT81, 0, XMATCH("Thành tiền đơn hàng", '6. TIẾN ĐỘ MUA HÀNG'!$A$4:$AT$4, 0)), 0) * (INDEX('6. TIẾN ĐỘ MUA HÀNG'!$A$5:$AT81, 0, XMATCH("Phân loại VTBB/NL", '6. TIẾN ĐỘ MUA HÀNG'!$A$4:$AT$4, 0)) = $B47) * (TRIM(INDEX('6. TIẾN ĐỘ MUA HÀNG'!$A$5:$AT81, 0, XMATCH("Tháng", '6. TIẾN ĐỘ MUA HÀNG'!$A$4:$AT$4, 0))) = TRIM(O$6)))</f>
        <v>0</v>
      </c>
      <c r="Q47" s="743">
        <f t="array" ref="Q47">SUMPRODUCT((INDEX('6. TIẾN ĐỘ MUA HÀNG'!$A:$AT, 0, XMATCH("Phân loại VTBB/NL", '6. TIẾN ĐỘ MUA HÀNG'!$A$4:$AT$4, 0)) = $B47) * (TRIM(INDEX('6. TIẾN ĐỘ MUA HÀNG'!$A:$AT, 0, XMATCH("Tháng", '6. TIẾN ĐỘ MUA HÀNG'!$A$4:$AT$4, 0))) = TRIM(Q$6)) * (INDEX('6. TIẾN ĐỘ MUA HÀNG'!$A:$AT, 0, XMATCH("Phân loại VTBB/NL", '6. TIẾN ĐỘ MUA HÀNG'!$A$4:$AT$4, 0)) &lt;&gt; ""))</f>
        <v>0</v>
      </c>
      <c r="R47" s="744">
        <f t="array" ref="R47">SUMPRODUCT(IFERROR(INDEX('6. TIẾN ĐỘ MUA HÀNG'!$A$5:$AT81, 0, XMATCH("Thành tiền đơn hàng", '6. TIẾN ĐỘ MUA HÀNG'!$A$4:$AT$4, 0)), 0) * (INDEX('6. TIẾN ĐỘ MUA HÀNG'!$A$5:$AT81, 0, XMATCH("Phân loại VTBB/NL", '6. TIẾN ĐỘ MUA HÀNG'!$A$4:$AT$4, 0)) = $B47) * (TRIM(INDEX('6. TIẾN ĐỘ MUA HÀNG'!$A$5:$AT81, 0, XMATCH("Tháng", '6. TIẾN ĐỘ MUA HÀNG'!$A$4:$AT$4, 0))) = TRIM(Q$6)))</f>
        <v>0</v>
      </c>
      <c r="S47" s="741">
        <f t="array" ref="S47">SUMPRODUCT((INDEX('6. TIẾN ĐỘ MUA HÀNG'!$A:$AT, 0, XMATCH("Phân loại VTBB/NL", '6. TIẾN ĐỘ MUA HÀNG'!$A$4:$AT$4, 0)) = $B47) * (TRIM(INDEX('6. TIẾN ĐỘ MUA HÀNG'!$A:$AT, 0, XMATCH("Tháng", '6. TIẾN ĐỘ MUA HÀNG'!$A$4:$AT$4, 0))) = TRIM($S$6)) * (INDEX('6. TIẾN ĐỘ MUA HÀNG'!$A:$AT, 0, XMATCH("Phân loại VTBB/NL", '6. TIẾN ĐỘ MUA HÀNG'!$A$4:$AT$4, 0)) &lt;&gt; ""))</f>
        <v>0</v>
      </c>
      <c r="T47" s="742">
        <f t="array" ref="T47">SUMPRODUCT(IFERROR(INDEX('6. TIẾN ĐỘ MUA HÀNG'!$A$5:$AT81, 0, XMATCH("Thành tiền đơn hàng", '6. TIẾN ĐỘ MUA HÀNG'!$A$4:$AT$4, 0)), 0) * (INDEX('6. TIẾN ĐỘ MUA HÀNG'!$A$5:$AT81, 0, XMATCH("Phân loại VTBB/NL", '6. TIẾN ĐỘ MUA HÀNG'!$A$4:$AT$4, 0)) = $B47) * (TRIM(INDEX('6. TIẾN ĐỘ MUA HÀNG'!$A$5:$AT81, 0, XMATCH("Tháng", '6. TIẾN ĐỘ MUA HÀNG'!$A$4:$AT$4, 0))) = TRIM(S$6)))</f>
        <v>0</v>
      </c>
      <c r="U47" s="743">
        <f t="array" ref="U47">SUMPRODUCT((INDEX('6. TIẾN ĐỘ MUA HÀNG'!$A:$AT, 0, XMATCH("Phân loại VTBB/NL", '6. TIẾN ĐỘ MUA HÀNG'!$A$4:$AT$4, 0)) = $B47) * (TRIM(INDEX('6. TIẾN ĐỘ MUA HÀNG'!$A:$AT, 0, XMATCH("Tháng", '6. TIẾN ĐỘ MUA HÀNG'!$A$4:$AT$4, 0))) = TRIM(U$6)) * (INDEX('6. TIẾN ĐỘ MUA HÀNG'!$A:$AT, 0, XMATCH("Phân loại VTBB/NL", '6. TIẾN ĐỘ MUA HÀNG'!$A$4:$AT$4, 0)) &lt;&gt; ""))</f>
        <v>0</v>
      </c>
      <c r="V47" s="744">
        <f t="array" ref="V47">SUMPRODUCT(IFERROR(INDEX('6. TIẾN ĐỘ MUA HÀNG'!$A$5:$AT81, 0, XMATCH("Thành tiền đơn hàng", '6. TIẾN ĐỘ MUA HÀNG'!$A$4:$AT$4, 0)), 0) * (INDEX('6. TIẾN ĐỘ MUA HÀNG'!$A$5:$AT81, 0, XMATCH("Phân loại VTBB/NL", '6. TIẾN ĐỘ MUA HÀNG'!$A$4:$AT$4, 0)) = $B47) * (TRIM(INDEX('6. TIẾN ĐỘ MUA HÀNG'!$A$5:$AT81, 0, XMATCH("Tháng", '6. TIẾN ĐỘ MUA HÀNG'!$A$4:$AT$4, 0))) = TRIM(U$6)))</f>
        <v>0</v>
      </c>
      <c r="W47" s="741">
        <f t="array" ref="W47">SUMPRODUCT((INDEX('6. TIẾN ĐỘ MUA HÀNG'!$A:$AT, 0, XMATCH("Phân loại VTBB/NL", '6. TIẾN ĐỘ MUA HÀNG'!$A$4:$AT$4, 0)) = $B47) * (TRIM(INDEX('6. TIẾN ĐỘ MUA HÀNG'!$A:$AT, 0, XMATCH("Tháng", '6. TIẾN ĐỘ MUA HÀNG'!$A$4:$AT$4, 0))) = TRIM($W$6)) * (INDEX('6. TIẾN ĐỘ MUA HÀNG'!$A:$AT, 0, XMATCH("Phân loại VTBB/NL", '6. TIẾN ĐỘ MUA HÀNG'!$A$4:$AT$4, 0)) &lt;&gt; ""))</f>
        <v>0</v>
      </c>
      <c r="X47" s="742">
        <f t="array" ref="X47">SUMPRODUCT(IFERROR(INDEX('6. TIẾN ĐỘ MUA HÀNG'!$A$5:$AT81, 0, XMATCH("Thành tiền đơn hàng", '6. TIẾN ĐỘ MUA HÀNG'!$A$4:$AT$4, 0)), 0) * (INDEX('6. TIẾN ĐỘ MUA HÀNG'!$A$5:$AT81, 0, XMATCH("Phân loại VTBB/NL", '6. TIẾN ĐỘ MUA HÀNG'!$A$4:$AT$4, 0)) = $B47) * (TRIM(INDEX('6. TIẾN ĐỘ MUA HÀNG'!$A$5:$AT81, 0, XMATCH("Tháng", '6. TIẾN ĐỘ MUA HÀNG'!$A$4:$AT$4, 0))) = TRIM(W$6)))</f>
        <v>0</v>
      </c>
      <c r="Y47" s="743">
        <f t="array" ref="Y47">SUMPRODUCT((INDEX('6. TIẾN ĐỘ MUA HÀNG'!$A:$AT, 0, XMATCH("Phân loại VTBB/NL", '6. TIẾN ĐỘ MUA HÀNG'!$A$4:$AT$4, 0)) = $B47) * (TRIM(INDEX('6. TIẾN ĐỘ MUA HÀNG'!$A:$AT, 0, XMATCH("Tháng", '6. TIẾN ĐỘ MUA HÀNG'!$A$4:$AT$4, 0))) = TRIM(Y$6)) * (INDEX('6. TIẾN ĐỘ MUA HÀNG'!$A:$AT, 0, XMATCH("Phân loại VTBB/NL", '6. TIẾN ĐỘ MUA HÀNG'!$A$4:$AT$4, 0)) &lt;&gt; ""))</f>
        <v>0</v>
      </c>
      <c r="Z47" s="744">
        <f t="array" ref="Z47">SUMPRODUCT(IFERROR(INDEX('6. TIẾN ĐỘ MUA HÀNG'!$A$5:$AT81, 0, XMATCH("Thành tiền đơn hàng", '6. TIẾN ĐỘ MUA HÀNG'!$A$4:$AT$4, 0)), 0) * (INDEX('6. TIẾN ĐỘ MUA HÀNG'!$A$5:$AT81, 0, XMATCH("Phân loại VTBB/NL", '6. TIẾN ĐỘ MUA HÀNG'!$A$4:$AT$4, 0)) = $B47) * (TRIM(INDEX('6. TIẾN ĐỘ MUA HÀNG'!$A$5:$AT81, 0, XMATCH("Tháng", '6. TIẾN ĐỘ MUA HÀNG'!$A$4:$AT$4, 0))) = TRIM(Y$6)))</f>
        <v>0</v>
      </c>
      <c r="AA47" s="726">
        <f t="shared" si="2"/>
        <v>0</v>
      </c>
      <c r="AB47" s="726">
        <f t="shared" si="3"/>
        <v>0</v>
      </c>
    </row>
    <row r="48">
      <c r="A48" s="612">
        <v>40.0</v>
      </c>
      <c r="B48" s="597" t="str">
        <f>IFERROR(__xludf.DUMMYFUNCTION("""COMPUTED_VALUE"""),"Nắp Hdpe")</f>
        <v>Nắp Hdpe</v>
      </c>
      <c r="C48" s="741">
        <f t="array" ref="C48">SUMPRODUCT((INDEX('6. TIẾN ĐỘ MUA HÀNG'!$A:$AT, 0, XMATCH("Phân loại VTBB/NL", '6. TIẾN ĐỘ MUA HÀNG'!$A$4:$AT$4, 0)) = $B48) * (TRIM(INDEX('6. TIẾN ĐỘ MUA HÀNG'!$A:$AT, 0, XMATCH("Tháng", '6. TIẾN ĐỘ MUA HÀNG'!$A$4:$AT$4, 0))) = TRIM($C$6)) * (INDEX('6. TIẾN ĐỘ MUA HÀNG'!$A:$AT, 0, XMATCH("Phân loại VTBB/NL", '6. TIẾN ĐỘ MUA HÀNG'!$A$4:$AT$4, 0)) &lt;&gt; ""))</f>
        <v>0</v>
      </c>
      <c r="D48" s="742">
        <f t="array" ref="D48">SUMPRODUCT(IFERROR(INDEX('6. TIẾN ĐỘ MUA HÀNG'!$A$5:$AT81, 0, XMATCH("Thành tiền đơn hàng", '6. TIẾN ĐỘ MUA HÀNG'!$A$4:$AT$4, 0)), 0) * (INDEX('6. TIẾN ĐỘ MUA HÀNG'!$A$5:$AT81, 0, XMATCH("Phân loại VTBB/NL", '6. TIẾN ĐỘ MUA HÀNG'!$A$4:$AT$4, 0)) = $B48) * (TRIM(INDEX('6. TIẾN ĐỘ MUA HÀNG'!$A$5:$AT81, 0, XMATCH("Tháng", '6. TIẾN ĐỘ MUA HÀNG'!$A$4:$AT$4, 0))) = TRIM(C$6)))</f>
        <v>0</v>
      </c>
      <c r="E48" s="743">
        <f t="array" ref="E48">SUMPRODUCT((INDEX('6. TIẾN ĐỘ MUA HÀNG'!$A:$AT, 0, XMATCH("Phân loại VTBB/NL", '6. TIẾN ĐỘ MUA HÀNG'!$A$4:$AT$4, 0)) = $B48) * (TRIM(INDEX('6. TIẾN ĐỘ MUA HÀNG'!$A:$AT, 0, XMATCH("Tháng", '6. TIẾN ĐỘ MUA HÀNG'!$A$4:$AT$4, 0))) = TRIM(E$6)) * (INDEX('6. TIẾN ĐỘ MUA HÀNG'!$A:$AT, 0, XMATCH("Phân loại VTBB/NL", '6. TIẾN ĐỘ MUA HÀNG'!$A$4:$AT$4, 0)) &lt;&gt; ""))</f>
        <v>0</v>
      </c>
      <c r="F48" s="744">
        <f t="array" ref="F48">SUMPRODUCT(IFERROR(INDEX('6. TIẾN ĐỘ MUA HÀNG'!$A$5:$AT81, 0, XMATCH("Thành tiền đơn hàng", '6. TIẾN ĐỘ MUA HÀNG'!$A$4:$AT$4, 0)), 0) * (INDEX('6. TIẾN ĐỘ MUA HÀNG'!$A$5:$AT81, 0, XMATCH("Phân loại VTBB/NL", '6. TIẾN ĐỘ MUA HÀNG'!$A$4:$AT$4, 0)) = $B48) * (TRIM(INDEX('6. TIẾN ĐỘ MUA HÀNG'!$A$5:$AT81, 0, XMATCH("Tháng", '6. TIẾN ĐỘ MUA HÀNG'!$A$4:$AT$4, 0))) = TRIM(E$6)))</f>
        <v>0</v>
      </c>
      <c r="G48" s="741">
        <f t="array" ref="G48">SUMPRODUCT((INDEX('6. TIẾN ĐỘ MUA HÀNG'!$A:$AT, 0, XMATCH("Phân loại VTBB/NL", '6. TIẾN ĐỘ MUA HÀNG'!$A$4:$AT$4, 0)) = $B48) * (TRIM(INDEX('6. TIẾN ĐỘ MUA HÀNG'!$A:$AT, 0, XMATCH("Tháng", '6. TIẾN ĐỘ MUA HÀNG'!$A$4:$AT$4, 0))) = TRIM($G$6)) * (INDEX('6. TIẾN ĐỘ MUA HÀNG'!$A:$AT, 0, XMATCH("Phân loại VTBB/NL", '6. TIẾN ĐỘ MUA HÀNG'!$A$4:$AT$4, 0)) &lt;&gt; ""))</f>
        <v>0</v>
      </c>
      <c r="H48" s="742">
        <f t="array" ref="H48">SUMPRODUCT(IFERROR(INDEX('6. TIẾN ĐỘ MUA HÀNG'!$A$5:$AT81, 0, XMATCH("Thành tiền đơn hàng", '6. TIẾN ĐỘ MUA HÀNG'!$A$4:$AT$4, 0)), 0) * (INDEX('6. TIẾN ĐỘ MUA HÀNG'!$A$5:$AT81, 0, XMATCH("Phân loại VTBB/NL", '6. TIẾN ĐỘ MUA HÀNG'!$A$4:$AT$4, 0)) = $B48) * (TRIM(INDEX('6. TIẾN ĐỘ MUA HÀNG'!$A$5:$AT81, 0, XMATCH("Tháng", '6. TIẾN ĐỘ MUA HÀNG'!$A$4:$AT$4, 0))) = TRIM(G$6)))</f>
        <v>0</v>
      </c>
      <c r="I48" s="743">
        <f t="array" ref="I48">SUMPRODUCT((INDEX('6. TIẾN ĐỘ MUA HÀNG'!$A:$AT, 0, XMATCH("Phân loại VTBB/NL", '6. TIẾN ĐỘ MUA HÀNG'!$A$4:$AT$4, 0)) = $B48) * (TRIM(INDEX('6. TIẾN ĐỘ MUA HÀNG'!$A:$AT, 0, XMATCH("Tháng", '6. TIẾN ĐỘ MUA HÀNG'!$A$4:$AT$4, 0))) = TRIM(I$6)) * (INDEX('6. TIẾN ĐỘ MUA HÀNG'!$A:$AT, 0, XMATCH("Phân loại VTBB/NL", '6. TIẾN ĐỘ MUA HÀNG'!$A$4:$AT$4, 0)) &lt;&gt; ""))</f>
        <v>0</v>
      </c>
      <c r="J48" s="744">
        <f t="array" ref="J48">SUMPRODUCT(IFERROR(INDEX('6. TIẾN ĐỘ MUA HÀNG'!$A$5:$AT81, 0, XMATCH("Thành tiền đơn hàng", '6. TIẾN ĐỘ MUA HÀNG'!$A$4:$AT$4, 0)), 0) * (INDEX('6. TIẾN ĐỘ MUA HÀNG'!$A$5:$AT81, 0, XMATCH("Phân loại VTBB/NL", '6. TIẾN ĐỘ MUA HÀNG'!$A$4:$AT$4, 0)) = $B48) * (TRIM(INDEX('6. TIẾN ĐỘ MUA HÀNG'!$A$5:$AT81, 0, XMATCH("Tháng", '6. TIẾN ĐỘ MUA HÀNG'!$A$4:$AT$4, 0))) = TRIM(I$6)))</f>
        <v>0</v>
      </c>
      <c r="K48" s="741">
        <f t="array" ref="K48">SUMPRODUCT((INDEX('6. TIẾN ĐỘ MUA HÀNG'!$A:$AT, 0, XMATCH("Phân loại VTBB/NL", '6. TIẾN ĐỘ MUA HÀNG'!$A$4:$AT$4, 0)) = $B48) * (TRIM(INDEX('6. TIẾN ĐỘ MUA HÀNG'!$A:$AT, 0, XMATCH("Tháng", '6. TIẾN ĐỘ MUA HÀNG'!$A$4:$AT$4, 0))) = TRIM($K$6)) * (INDEX('6. TIẾN ĐỘ MUA HÀNG'!$A:$AT, 0, XMATCH("Phân loại VTBB/NL", '6. TIẾN ĐỘ MUA HÀNG'!$A$4:$AT$4, 0)) &lt;&gt; ""))</f>
        <v>0</v>
      </c>
      <c r="L48" s="742">
        <f t="array" ref="L48">SUMPRODUCT(IFERROR(INDEX('6. TIẾN ĐỘ MUA HÀNG'!$A$5:$AT81, 0, XMATCH("Thành tiền đơn hàng", '6. TIẾN ĐỘ MUA HÀNG'!$A$4:$AT$4, 0)), 0) * (INDEX('6. TIẾN ĐỘ MUA HÀNG'!$A$5:$AT81, 0, XMATCH("Phân loại VTBB/NL", '6. TIẾN ĐỘ MUA HÀNG'!$A$4:$AT$4, 0)) = $B48) * (TRIM(INDEX('6. TIẾN ĐỘ MUA HÀNG'!$A$5:$AT81, 0, XMATCH("Tháng", '6. TIẾN ĐỘ MUA HÀNG'!$A$4:$AT$4, 0))) = TRIM(K$6)))</f>
        <v>0</v>
      </c>
      <c r="M48" s="743">
        <f t="array" ref="M48">SUMPRODUCT((INDEX('6. TIẾN ĐỘ MUA HÀNG'!$A:$AT, 0, XMATCH("Phân loại VTBB/NL", '6. TIẾN ĐỘ MUA HÀNG'!$A$4:$AT$4, 0)) = $B48) * (TRIM(INDEX('6. TIẾN ĐỘ MUA HÀNG'!$A:$AT, 0, XMATCH("Tháng", '6. TIẾN ĐỘ MUA HÀNG'!$A$4:$AT$4, 0))) = TRIM(M$6)) * (INDEX('6. TIẾN ĐỘ MUA HÀNG'!$A:$AT, 0, XMATCH("Phân loại VTBB/NL", '6. TIẾN ĐỘ MUA HÀNG'!$A$4:$AT$4, 0)) &lt;&gt; ""))</f>
        <v>0</v>
      </c>
      <c r="N48" s="744">
        <f t="array" ref="N48">SUMPRODUCT(IFERROR(INDEX('6. TIẾN ĐỘ MUA HÀNG'!$A$5:$AT81, 0, XMATCH("Thành tiền đơn hàng", '6. TIẾN ĐỘ MUA HÀNG'!$A$4:$AT$4, 0)), 0) * (INDEX('6. TIẾN ĐỘ MUA HÀNG'!$A$5:$AT81, 0, XMATCH("Phân loại VTBB/NL", '6. TIẾN ĐỘ MUA HÀNG'!$A$4:$AT$4, 0)) = $B48) * (TRIM(INDEX('6. TIẾN ĐỘ MUA HÀNG'!$A$5:$AT81, 0, XMATCH("Tháng", '6. TIẾN ĐỘ MUA HÀNG'!$A$4:$AT$4, 0))) = TRIM(M$6)))</f>
        <v>0</v>
      </c>
      <c r="O48" s="741">
        <f t="array" ref="O48">SUMPRODUCT((INDEX('6. TIẾN ĐỘ MUA HÀNG'!$A:$AT, 0, XMATCH("Phân loại VTBB/NL", '6. TIẾN ĐỘ MUA HÀNG'!$A$4:$AT$4, 0)) = $B48) * (TRIM(INDEX('6. TIẾN ĐỘ MUA HÀNG'!$A:$AT, 0, XMATCH("Tháng", '6. TIẾN ĐỘ MUA HÀNG'!$A$4:$AT$4, 0))) = TRIM($O$6)) * (INDEX('6. TIẾN ĐỘ MUA HÀNG'!$A:$AT, 0, XMATCH("Phân loại VTBB/NL", '6. TIẾN ĐỘ MUA HÀNG'!$A$4:$AT$4, 0)) &lt;&gt; ""))</f>
        <v>0</v>
      </c>
      <c r="P48" s="742">
        <f t="array" ref="P48">SUMPRODUCT(IFERROR(INDEX('6. TIẾN ĐỘ MUA HÀNG'!$A$5:$AT81, 0, XMATCH("Thành tiền đơn hàng", '6. TIẾN ĐỘ MUA HÀNG'!$A$4:$AT$4, 0)), 0) * (INDEX('6. TIẾN ĐỘ MUA HÀNG'!$A$5:$AT81, 0, XMATCH("Phân loại VTBB/NL", '6. TIẾN ĐỘ MUA HÀNG'!$A$4:$AT$4, 0)) = $B48) * (TRIM(INDEX('6. TIẾN ĐỘ MUA HÀNG'!$A$5:$AT81, 0, XMATCH("Tháng", '6. TIẾN ĐỘ MUA HÀNG'!$A$4:$AT$4, 0))) = TRIM(O$6)))</f>
        <v>0</v>
      </c>
      <c r="Q48" s="743">
        <f t="array" ref="Q48">SUMPRODUCT((INDEX('6. TIẾN ĐỘ MUA HÀNG'!$A:$AT, 0, XMATCH("Phân loại VTBB/NL", '6. TIẾN ĐỘ MUA HÀNG'!$A$4:$AT$4, 0)) = $B48) * (TRIM(INDEX('6. TIẾN ĐỘ MUA HÀNG'!$A:$AT, 0, XMATCH("Tháng", '6. TIẾN ĐỘ MUA HÀNG'!$A$4:$AT$4, 0))) = TRIM(Q$6)) * (INDEX('6. TIẾN ĐỘ MUA HÀNG'!$A:$AT, 0, XMATCH("Phân loại VTBB/NL", '6. TIẾN ĐỘ MUA HÀNG'!$A$4:$AT$4, 0)) &lt;&gt; ""))</f>
        <v>0</v>
      </c>
      <c r="R48" s="744">
        <f t="array" ref="R48">SUMPRODUCT(IFERROR(INDEX('6. TIẾN ĐỘ MUA HÀNG'!$A$5:$AT81, 0, XMATCH("Thành tiền đơn hàng", '6. TIẾN ĐỘ MUA HÀNG'!$A$4:$AT$4, 0)), 0) * (INDEX('6. TIẾN ĐỘ MUA HÀNG'!$A$5:$AT81, 0, XMATCH("Phân loại VTBB/NL", '6. TIẾN ĐỘ MUA HÀNG'!$A$4:$AT$4, 0)) = $B48) * (TRIM(INDEX('6. TIẾN ĐỘ MUA HÀNG'!$A$5:$AT81, 0, XMATCH("Tháng", '6. TIẾN ĐỘ MUA HÀNG'!$A$4:$AT$4, 0))) = TRIM(Q$6)))</f>
        <v>0</v>
      </c>
      <c r="S48" s="741">
        <f t="array" ref="S48">SUMPRODUCT((INDEX('6. TIẾN ĐỘ MUA HÀNG'!$A:$AT, 0, XMATCH("Phân loại VTBB/NL", '6. TIẾN ĐỘ MUA HÀNG'!$A$4:$AT$4, 0)) = $B48) * (TRIM(INDEX('6. TIẾN ĐỘ MUA HÀNG'!$A:$AT, 0, XMATCH("Tháng", '6. TIẾN ĐỘ MUA HÀNG'!$A$4:$AT$4, 0))) = TRIM($S$6)) * (INDEX('6. TIẾN ĐỘ MUA HÀNG'!$A:$AT, 0, XMATCH("Phân loại VTBB/NL", '6. TIẾN ĐỘ MUA HÀNG'!$A$4:$AT$4, 0)) &lt;&gt; ""))</f>
        <v>0</v>
      </c>
      <c r="T48" s="742">
        <f t="array" ref="T48">SUMPRODUCT(IFERROR(INDEX('6. TIẾN ĐỘ MUA HÀNG'!$A$5:$AT81, 0, XMATCH("Thành tiền đơn hàng", '6. TIẾN ĐỘ MUA HÀNG'!$A$4:$AT$4, 0)), 0) * (INDEX('6. TIẾN ĐỘ MUA HÀNG'!$A$5:$AT81, 0, XMATCH("Phân loại VTBB/NL", '6. TIẾN ĐỘ MUA HÀNG'!$A$4:$AT$4, 0)) = $B48) * (TRIM(INDEX('6. TIẾN ĐỘ MUA HÀNG'!$A$5:$AT81, 0, XMATCH("Tháng", '6. TIẾN ĐỘ MUA HÀNG'!$A$4:$AT$4, 0))) = TRIM(S$6)))</f>
        <v>0</v>
      </c>
      <c r="U48" s="743">
        <f t="array" ref="U48">SUMPRODUCT((INDEX('6. TIẾN ĐỘ MUA HÀNG'!$A:$AT, 0, XMATCH("Phân loại VTBB/NL", '6. TIẾN ĐỘ MUA HÀNG'!$A$4:$AT$4, 0)) = $B48) * (TRIM(INDEX('6. TIẾN ĐỘ MUA HÀNG'!$A:$AT, 0, XMATCH("Tháng", '6. TIẾN ĐỘ MUA HÀNG'!$A$4:$AT$4, 0))) = TRIM(U$6)) * (INDEX('6. TIẾN ĐỘ MUA HÀNG'!$A:$AT, 0, XMATCH("Phân loại VTBB/NL", '6. TIẾN ĐỘ MUA HÀNG'!$A$4:$AT$4, 0)) &lt;&gt; ""))</f>
        <v>0</v>
      </c>
      <c r="V48" s="744">
        <f t="array" ref="V48">SUMPRODUCT(IFERROR(INDEX('6. TIẾN ĐỘ MUA HÀNG'!$A$5:$AT81, 0, XMATCH("Thành tiền đơn hàng", '6. TIẾN ĐỘ MUA HÀNG'!$A$4:$AT$4, 0)), 0) * (INDEX('6. TIẾN ĐỘ MUA HÀNG'!$A$5:$AT81, 0, XMATCH("Phân loại VTBB/NL", '6. TIẾN ĐỘ MUA HÀNG'!$A$4:$AT$4, 0)) = $B48) * (TRIM(INDEX('6. TIẾN ĐỘ MUA HÀNG'!$A$5:$AT81, 0, XMATCH("Tháng", '6. TIẾN ĐỘ MUA HÀNG'!$A$4:$AT$4, 0))) = TRIM(U$6)))</f>
        <v>0</v>
      </c>
      <c r="W48" s="741">
        <f t="array" ref="W48">SUMPRODUCT((INDEX('6. TIẾN ĐỘ MUA HÀNG'!$A:$AT, 0, XMATCH("Phân loại VTBB/NL", '6. TIẾN ĐỘ MUA HÀNG'!$A$4:$AT$4, 0)) = $B48) * (TRIM(INDEX('6. TIẾN ĐỘ MUA HÀNG'!$A:$AT, 0, XMATCH("Tháng", '6. TIẾN ĐỘ MUA HÀNG'!$A$4:$AT$4, 0))) = TRIM($W$6)) * (INDEX('6. TIẾN ĐỘ MUA HÀNG'!$A:$AT, 0, XMATCH("Phân loại VTBB/NL", '6. TIẾN ĐỘ MUA HÀNG'!$A$4:$AT$4, 0)) &lt;&gt; ""))</f>
        <v>0</v>
      </c>
      <c r="X48" s="742">
        <f t="array" ref="X48">SUMPRODUCT(IFERROR(INDEX('6. TIẾN ĐỘ MUA HÀNG'!$A$5:$AT81, 0, XMATCH("Thành tiền đơn hàng", '6. TIẾN ĐỘ MUA HÀNG'!$A$4:$AT$4, 0)), 0) * (INDEX('6. TIẾN ĐỘ MUA HÀNG'!$A$5:$AT81, 0, XMATCH("Phân loại VTBB/NL", '6. TIẾN ĐỘ MUA HÀNG'!$A$4:$AT$4, 0)) = $B48) * (TRIM(INDEX('6. TIẾN ĐỘ MUA HÀNG'!$A$5:$AT81, 0, XMATCH("Tháng", '6. TIẾN ĐỘ MUA HÀNG'!$A$4:$AT$4, 0))) = TRIM(W$6)))</f>
        <v>0</v>
      </c>
      <c r="Y48" s="743">
        <f t="array" ref="Y48">SUMPRODUCT((INDEX('6. TIẾN ĐỘ MUA HÀNG'!$A:$AT, 0, XMATCH("Phân loại VTBB/NL", '6. TIẾN ĐỘ MUA HÀNG'!$A$4:$AT$4, 0)) = $B48) * (TRIM(INDEX('6. TIẾN ĐỘ MUA HÀNG'!$A:$AT, 0, XMATCH("Tháng", '6. TIẾN ĐỘ MUA HÀNG'!$A$4:$AT$4, 0))) = TRIM(Y$6)) * (INDEX('6. TIẾN ĐỘ MUA HÀNG'!$A:$AT, 0, XMATCH("Phân loại VTBB/NL", '6. TIẾN ĐỘ MUA HÀNG'!$A$4:$AT$4, 0)) &lt;&gt; ""))</f>
        <v>0</v>
      </c>
      <c r="Z48" s="744">
        <f t="array" ref="Z48">SUMPRODUCT(IFERROR(INDEX('6. TIẾN ĐỘ MUA HÀNG'!$A$5:$AT81, 0, XMATCH("Thành tiền đơn hàng", '6. TIẾN ĐỘ MUA HÀNG'!$A$4:$AT$4, 0)), 0) * (INDEX('6. TIẾN ĐỘ MUA HÀNG'!$A$5:$AT81, 0, XMATCH("Phân loại VTBB/NL", '6. TIẾN ĐỘ MUA HÀNG'!$A$4:$AT$4, 0)) = $B48) * (TRIM(INDEX('6. TIẾN ĐỘ MUA HÀNG'!$A$5:$AT81, 0, XMATCH("Tháng", '6. TIẾN ĐỘ MUA HÀNG'!$A$4:$AT$4, 0))) = TRIM(Y$6)))</f>
        <v>0</v>
      </c>
      <c r="AA48" s="726">
        <f t="shared" si="2"/>
        <v>0</v>
      </c>
      <c r="AB48" s="726">
        <f t="shared" si="3"/>
        <v>0</v>
      </c>
    </row>
    <row r="49">
      <c r="A49" s="612">
        <v>41.0</v>
      </c>
      <c r="B49" s="597" t="str">
        <f>IFERROR(__xludf.DUMMYFUNCTION("""COMPUTED_VALUE"""),"Nắp Pet")</f>
        <v>Nắp Pet</v>
      </c>
      <c r="C49" s="741">
        <f t="array" ref="C49">SUMPRODUCT((INDEX('6. TIẾN ĐỘ MUA HÀNG'!$A:$AT, 0, XMATCH("Phân loại VTBB/NL", '6. TIẾN ĐỘ MUA HÀNG'!$A$4:$AT$4, 0)) = $B49) * (TRIM(INDEX('6. TIẾN ĐỘ MUA HÀNG'!$A:$AT, 0, XMATCH("Tháng", '6. TIẾN ĐỘ MUA HÀNG'!$A$4:$AT$4, 0))) = TRIM($C$6)) * (INDEX('6. TIẾN ĐỘ MUA HÀNG'!$A:$AT, 0, XMATCH("Phân loại VTBB/NL", '6. TIẾN ĐỘ MUA HÀNG'!$A$4:$AT$4, 0)) &lt;&gt; ""))</f>
        <v>0</v>
      </c>
      <c r="D49" s="742">
        <f t="array" ref="D49">SUMPRODUCT(IFERROR(INDEX('6. TIẾN ĐỘ MUA HÀNG'!$A$5:$AT81, 0, XMATCH("Thành tiền đơn hàng", '6. TIẾN ĐỘ MUA HÀNG'!$A$4:$AT$4, 0)), 0) * (INDEX('6. TIẾN ĐỘ MUA HÀNG'!$A$5:$AT81, 0, XMATCH("Phân loại VTBB/NL", '6. TIẾN ĐỘ MUA HÀNG'!$A$4:$AT$4, 0)) = $B49) * (TRIM(INDEX('6. TIẾN ĐỘ MUA HÀNG'!$A$5:$AT81, 0, XMATCH("Tháng", '6. TIẾN ĐỘ MUA HÀNG'!$A$4:$AT$4, 0))) = TRIM(C$6)))</f>
        <v>0</v>
      </c>
      <c r="E49" s="743">
        <f t="array" ref="E49">SUMPRODUCT((INDEX('6. TIẾN ĐỘ MUA HÀNG'!$A:$AT, 0, XMATCH("Phân loại VTBB/NL", '6. TIẾN ĐỘ MUA HÀNG'!$A$4:$AT$4, 0)) = $B49) * (TRIM(INDEX('6. TIẾN ĐỘ MUA HÀNG'!$A:$AT, 0, XMATCH("Tháng", '6. TIẾN ĐỘ MUA HÀNG'!$A$4:$AT$4, 0))) = TRIM(E$6)) * (INDEX('6. TIẾN ĐỘ MUA HÀNG'!$A:$AT, 0, XMATCH("Phân loại VTBB/NL", '6. TIẾN ĐỘ MUA HÀNG'!$A$4:$AT$4, 0)) &lt;&gt; ""))</f>
        <v>0</v>
      </c>
      <c r="F49" s="744">
        <f t="array" ref="F49">SUMPRODUCT(IFERROR(INDEX('6. TIẾN ĐỘ MUA HÀNG'!$A$5:$AT81, 0, XMATCH("Thành tiền đơn hàng", '6. TIẾN ĐỘ MUA HÀNG'!$A$4:$AT$4, 0)), 0) * (INDEX('6. TIẾN ĐỘ MUA HÀNG'!$A$5:$AT81, 0, XMATCH("Phân loại VTBB/NL", '6. TIẾN ĐỘ MUA HÀNG'!$A$4:$AT$4, 0)) = $B49) * (TRIM(INDEX('6. TIẾN ĐỘ MUA HÀNG'!$A$5:$AT81, 0, XMATCH("Tháng", '6. TIẾN ĐỘ MUA HÀNG'!$A$4:$AT$4, 0))) = TRIM(E$6)))</f>
        <v>0</v>
      </c>
      <c r="G49" s="741">
        <f t="array" ref="G49">SUMPRODUCT((INDEX('6. TIẾN ĐỘ MUA HÀNG'!$A:$AT, 0, XMATCH("Phân loại VTBB/NL", '6. TIẾN ĐỘ MUA HÀNG'!$A$4:$AT$4, 0)) = $B49) * (TRIM(INDEX('6. TIẾN ĐỘ MUA HÀNG'!$A:$AT, 0, XMATCH("Tháng", '6. TIẾN ĐỘ MUA HÀNG'!$A$4:$AT$4, 0))) = TRIM($G$6)) * (INDEX('6. TIẾN ĐỘ MUA HÀNG'!$A:$AT, 0, XMATCH("Phân loại VTBB/NL", '6. TIẾN ĐỘ MUA HÀNG'!$A$4:$AT$4, 0)) &lt;&gt; ""))</f>
        <v>0</v>
      </c>
      <c r="H49" s="742">
        <f t="array" ref="H49">SUMPRODUCT(IFERROR(INDEX('6. TIẾN ĐỘ MUA HÀNG'!$A$5:$AT81, 0, XMATCH("Thành tiền đơn hàng", '6. TIẾN ĐỘ MUA HÀNG'!$A$4:$AT$4, 0)), 0) * (INDEX('6. TIẾN ĐỘ MUA HÀNG'!$A$5:$AT81, 0, XMATCH("Phân loại VTBB/NL", '6. TIẾN ĐỘ MUA HÀNG'!$A$4:$AT$4, 0)) = $B49) * (TRIM(INDEX('6. TIẾN ĐỘ MUA HÀNG'!$A$5:$AT81, 0, XMATCH("Tháng", '6. TIẾN ĐỘ MUA HÀNG'!$A$4:$AT$4, 0))) = TRIM(G$6)))</f>
        <v>0</v>
      </c>
      <c r="I49" s="743">
        <f t="array" ref="I49">SUMPRODUCT((INDEX('6. TIẾN ĐỘ MUA HÀNG'!$A:$AT, 0, XMATCH("Phân loại VTBB/NL", '6. TIẾN ĐỘ MUA HÀNG'!$A$4:$AT$4, 0)) = $B49) * (TRIM(INDEX('6. TIẾN ĐỘ MUA HÀNG'!$A:$AT, 0, XMATCH("Tháng", '6. TIẾN ĐỘ MUA HÀNG'!$A$4:$AT$4, 0))) = TRIM(I$6)) * (INDEX('6. TIẾN ĐỘ MUA HÀNG'!$A:$AT, 0, XMATCH("Phân loại VTBB/NL", '6. TIẾN ĐỘ MUA HÀNG'!$A$4:$AT$4, 0)) &lt;&gt; ""))</f>
        <v>0</v>
      </c>
      <c r="J49" s="744">
        <f t="array" ref="J49">SUMPRODUCT(IFERROR(INDEX('6. TIẾN ĐỘ MUA HÀNG'!$A$5:$AT81, 0, XMATCH("Thành tiền đơn hàng", '6. TIẾN ĐỘ MUA HÀNG'!$A$4:$AT$4, 0)), 0) * (INDEX('6. TIẾN ĐỘ MUA HÀNG'!$A$5:$AT81, 0, XMATCH("Phân loại VTBB/NL", '6. TIẾN ĐỘ MUA HÀNG'!$A$4:$AT$4, 0)) = $B49) * (TRIM(INDEX('6. TIẾN ĐỘ MUA HÀNG'!$A$5:$AT81, 0, XMATCH("Tháng", '6. TIẾN ĐỘ MUA HÀNG'!$A$4:$AT$4, 0))) = TRIM(I$6)))</f>
        <v>0</v>
      </c>
      <c r="K49" s="741">
        <f t="array" ref="K49">SUMPRODUCT((INDEX('6. TIẾN ĐỘ MUA HÀNG'!$A:$AT, 0, XMATCH("Phân loại VTBB/NL", '6. TIẾN ĐỘ MUA HÀNG'!$A$4:$AT$4, 0)) = $B49) * (TRIM(INDEX('6. TIẾN ĐỘ MUA HÀNG'!$A:$AT, 0, XMATCH("Tháng", '6. TIẾN ĐỘ MUA HÀNG'!$A$4:$AT$4, 0))) = TRIM($K$6)) * (INDEX('6. TIẾN ĐỘ MUA HÀNG'!$A:$AT, 0, XMATCH("Phân loại VTBB/NL", '6. TIẾN ĐỘ MUA HÀNG'!$A$4:$AT$4, 0)) &lt;&gt; ""))</f>
        <v>0</v>
      </c>
      <c r="L49" s="742">
        <f t="array" ref="L49">SUMPRODUCT(IFERROR(INDEX('6. TIẾN ĐỘ MUA HÀNG'!$A$5:$AT81, 0, XMATCH("Thành tiền đơn hàng", '6. TIẾN ĐỘ MUA HÀNG'!$A$4:$AT$4, 0)), 0) * (INDEX('6. TIẾN ĐỘ MUA HÀNG'!$A$5:$AT81, 0, XMATCH("Phân loại VTBB/NL", '6. TIẾN ĐỘ MUA HÀNG'!$A$4:$AT$4, 0)) = $B49) * (TRIM(INDEX('6. TIẾN ĐỘ MUA HÀNG'!$A$5:$AT81, 0, XMATCH("Tháng", '6. TIẾN ĐỘ MUA HÀNG'!$A$4:$AT$4, 0))) = TRIM(K$6)))</f>
        <v>0</v>
      </c>
      <c r="M49" s="743">
        <f t="array" ref="M49">SUMPRODUCT((INDEX('6. TIẾN ĐỘ MUA HÀNG'!$A:$AT, 0, XMATCH("Phân loại VTBB/NL", '6. TIẾN ĐỘ MUA HÀNG'!$A$4:$AT$4, 0)) = $B49) * (TRIM(INDEX('6. TIẾN ĐỘ MUA HÀNG'!$A:$AT, 0, XMATCH("Tháng", '6. TIẾN ĐỘ MUA HÀNG'!$A$4:$AT$4, 0))) = TRIM(M$6)) * (INDEX('6. TIẾN ĐỘ MUA HÀNG'!$A:$AT, 0, XMATCH("Phân loại VTBB/NL", '6. TIẾN ĐỘ MUA HÀNG'!$A$4:$AT$4, 0)) &lt;&gt; ""))</f>
        <v>0</v>
      </c>
      <c r="N49" s="744">
        <f t="array" ref="N49">SUMPRODUCT(IFERROR(INDEX('6. TIẾN ĐỘ MUA HÀNG'!$A$5:$AT81, 0, XMATCH("Thành tiền đơn hàng", '6. TIẾN ĐỘ MUA HÀNG'!$A$4:$AT$4, 0)), 0) * (INDEX('6. TIẾN ĐỘ MUA HÀNG'!$A$5:$AT81, 0, XMATCH("Phân loại VTBB/NL", '6. TIẾN ĐỘ MUA HÀNG'!$A$4:$AT$4, 0)) = $B49) * (TRIM(INDEX('6. TIẾN ĐỘ MUA HÀNG'!$A$5:$AT81, 0, XMATCH("Tháng", '6. TIẾN ĐỘ MUA HÀNG'!$A$4:$AT$4, 0))) = TRIM(M$6)))</f>
        <v>0</v>
      </c>
      <c r="O49" s="741">
        <f t="array" ref="O49">SUMPRODUCT((INDEX('6. TIẾN ĐỘ MUA HÀNG'!$A:$AT, 0, XMATCH("Phân loại VTBB/NL", '6. TIẾN ĐỘ MUA HÀNG'!$A$4:$AT$4, 0)) = $B49) * (TRIM(INDEX('6. TIẾN ĐỘ MUA HÀNG'!$A:$AT, 0, XMATCH("Tháng", '6. TIẾN ĐỘ MUA HÀNG'!$A$4:$AT$4, 0))) = TRIM($O$6)) * (INDEX('6. TIẾN ĐỘ MUA HÀNG'!$A:$AT, 0, XMATCH("Phân loại VTBB/NL", '6. TIẾN ĐỘ MUA HÀNG'!$A$4:$AT$4, 0)) &lt;&gt; ""))</f>
        <v>0</v>
      </c>
      <c r="P49" s="742">
        <f t="array" ref="P49">SUMPRODUCT(IFERROR(INDEX('6. TIẾN ĐỘ MUA HÀNG'!$A$5:$AT81, 0, XMATCH("Thành tiền đơn hàng", '6. TIẾN ĐỘ MUA HÀNG'!$A$4:$AT$4, 0)), 0) * (INDEX('6. TIẾN ĐỘ MUA HÀNG'!$A$5:$AT81, 0, XMATCH("Phân loại VTBB/NL", '6. TIẾN ĐỘ MUA HÀNG'!$A$4:$AT$4, 0)) = $B49) * (TRIM(INDEX('6. TIẾN ĐỘ MUA HÀNG'!$A$5:$AT81, 0, XMATCH("Tháng", '6. TIẾN ĐỘ MUA HÀNG'!$A$4:$AT$4, 0))) = TRIM(O$6)))</f>
        <v>0</v>
      </c>
      <c r="Q49" s="743">
        <f t="array" ref="Q49">SUMPRODUCT((INDEX('6. TIẾN ĐỘ MUA HÀNG'!$A:$AT, 0, XMATCH("Phân loại VTBB/NL", '6. TIẾN ĐỘ MUA HÀNG'!$A$4:$AT$4, 0)) = $B49) * (TRIM(INDEX('6. TIẾN ĐỘ MUA HÀNG'!$A:$AT, 0, XMATCH("Tháng", '6. TIẾN ĐỘ MUA HÀNG'!$A$4:$AT$4, 0))) = TRIM(Q$6)) * (INDEX('6. TIẾN ĐỘ MUA HÀNG'!$A:$AT, 0, XMATCH("Phân loại VTBB/NL", '6. TIẾN ĐỘ MUA HÀNG'!$A$4:$AT$4, 0)) &lt;&gt; ""))</f>
        <v>0</v>
      </c>
      <c r="R49" s="744">
        <f t="array" ref="R49">SUMPRODUCT(IFERROR(INDEX('6. TIẾN ĐỘ MUA HÀNG'!$A$5:$AT81, 0, XMATCH("Thành tiền đơn hàng", '6. TIẾN ĐỘ MUA HÀNG'!$A$4:$AT$4, 0)), 0) * (INDEX('6. TIẾN ĐỘ MUA HÀNG'!$A$5:$AT81, 0, XMATCH("Phân loại VTBB/NL", '6. TIẾN ĐỘ MUA HÀNG'!$A$4:$AT$4, 0)) = $B49) * (TRIM(INDEX('6. TIẾN ĐỘ MUA HÀNG'!$A$5:$AT81, 0, XMATCH("Tháng", '6. TIẾN ĐỘ MUA HÀNG'!$A$4:$AT$4, 0))) = TRIM(Q$6)))</f>
        <v>0</v>
      </c>
      <c r="S49" s="741">
        <f t="array" ref="S49">SUMPRODUCT((INDEX('6. TIẾN ĐỘ MUA HÀNG'!$A:$AT, 0, XMATCH("Phân loại VTBB/NL", '6. TIẾN ĐỘ MUA HÀNG'!$A$4:$AT$4, 0)) = $B49) * (TRIM(INDEX('6. TIẾN ĐỘ MUA HÀNG'!$A:$AT, 0, XMATCH("Tháng", '6. TIẾN ĐỘ MUA HÀNG'!$A$4:$AT$4, 0))) = TRIM($S$6)) * (INDEX('6. TIẾN ĐỘ MUA HÀNG'!$A:$AT, 0, XMATCH("Phân loại VTBB/NL", '6. TIẾN ĐỘ MUA HÀNG'!$A$4:$AT$4, 0)) &lt;&gt; ""))</f>
        <v>0</v>
      </c>
      <c r="T49" s="742">
        <f t="array" ref="T49">SUMPRODUCT(IFERROR(INDEX('6. TIẾN ĐỘ MUA HÀNG'!$A$5:$AT81, 0, XMATCH("Thành tiền đơn hàng", '6. TIẾN ĐỘ MUA HÀNG'!$A$4:$AT$4, 0)), 0) * (INDEX('6. TIẾN ĐỘ MUA HÀNG'!$A$5:$AT81, 0, XMATCH("Phân loại VTBB/NL", '6. TIẾN ĐỘ MUA HÀNG'!$A$4:$AT$4, 0)) = $B49) * (TRIM(INDEX('6. TIẾN ĐỘ MUA HÀNG'!$A$5:$AT81, 0, XMATCH("Tháng", '6. TIẾN ĐỘ MUA HÀNG'!$A$4:$AT$4, 0))) = TRIM(S$6)))</f>
        <v>0</v>
      </c>
      <c r="U49" s="743">
        <f t="array" ref="U49">SUMPRODUCT((INDEX('6. TIẾN ĐỘ MUA HÀNG'!$A:$AT, 0, XMATCH("Phân loại VTBB/NL", '6. TIẾN ĐỘ MUA HÀNG'!$A$4:$AT$4, 0)) = $B49) * (TRIM(INDEX('6. TIẾN ĐỘ MUA HÀNG'!$A:$AT, 0, XMATCH("Tháng", '6. TIẾN ĐỘ MUA HÀNG'!$A$4:$AT$4, 0))) = TRIM(U$6)) * (INDEX('6. TIẾN ĐỘ MUA HÀNG'!$A:$AT, 0, XMATCH("Phân loại VTBB/NL", '6. TIẾN ĐỘ MUA HÀNG'!$A$4:$AT$4, 0)) &lt;&gt; ""))</f>
        <v>0</v>
      </c>
      <c r="V49" s="744">
        <f t="array" ref="V49">SUMPRODUCT(IFERROR(INDEX('6. TIẾN ĐỘ MUA HÀNG'!$A$5:$AT81, 0, XMATCH("Thành tiền đơn hàng", '6. TIẾN ĐỘ MUA HÀNG'!$A$4:$AT$4, 0)), 0) * (INDEX('6. TIẾN ĐỘ MUA HÀNG'!$A$5:$AT81, 0, XMATCH("Phân loại VTBB/NL", '6. TIẾN ĐỘ MUA HÀNG'!$A$4:$AT$4, 0)) = $B49) * (TRIM(INDEX('6. TIẾN ĐỘ MUA HÀNG'!$A$5:$AT81, 0, XMATCH("Tháng", '6. TIẾN ĐỘ MUA HÀNG'!$A$4:$AT$4, 0))) = TRIM(U$6)))</f>
        <v>0</v>
      </c>
      <c r="W49" s="741">
        <f t="array" ref="W49">SUMPRODUCT((INDEX('6. TIẾN ĐỘ MUA HÀNG'!$A:$AT, 0, XMATCH("Phân loại VTBB/NL", '6. TIẾN ĐỘ MUA HÀNG'!$A$4:$AT$4, 0)) = $B49) * (TRIM(INDEX('6. TIẾN ĐỘ MUA HÀNG'!$A:$AT, 0, XMATCH("Tháng", '6. TIẾN ĐỘ MUA HÀNG'!$A$4:$AT$4, 0))) = TRIM($W$6)) * (INDEX('6. TIẾN ĐỘ MUA HÀNG'!$A:$AT, 0, XMATCH("Phân loại VTBB/NL", '6. TIẾN ĐỘ MUA HÀNG'!$A$4:$AT$4, 0)) &lt;&gt; ""))</f>
        <v>0</v>
      </c>
      <c r="X49" s="742">
        <f t="array" ref="X49">SUMPRODUCT(IFERROR(INDEX('6. TIẾN ĐỘ MUA HÀNG'!$A$5:$AT81, 0, XMATCH("Thành tiền đơn hàng", '6. TIẾN ĐỘ MUA HÀNG'!$A$4:$AT$4, 0)), 0) * (INDEX('6. TIẾN ĐỘ MUA HÀNG'!$A$5:$AT81, 0, XMATCH("Phân loại VTBB/NL", '6. TIẾN ĐỘ MUA HÀNG'!$A$4:$AT$4, 0)) = $B49) * (TRIM(INDEX('6. TIẾN ĐỘ MUA HÀNG'!$A$5:$AT81, 0, XMATCH("Tháng", '6. TIẾN ĐỘ MUA HÀNG'!$A$4:$AT$4, 0))) = TRIM(W$6)))</f>
        <v>0</v>
      </c>
      <c r="Y49" s="743">
        <f t="array" ref="Y49">SUMPRODUCT((INDEX('6. TIẾN ĐỘ MUA HÀNG'!$A:$AT, 0, XMATCH("Phân loại VTBB/NL", '6. TIẾN ĐỘ MUA HÀNG'!$A$4:$AT$4, 0)) = $B49) * (TRIM(INDEX('6. TIẾN ĐỘ MUA HÀNG'!$A:$AT, 0, XMATCH("Tháng", '6. TIẾN ĐỘ MUA HÀNG'!$A$4:$AT$4, 0))) = TRIM(Y$6)) * (INDEX('6. TIẾN ĐỘ MUA HÀNG'!$A:$AT, 0, XMATCH("Phân loại VTBB/NL", '6. TIẾN ĐỘ MUA HÀNG'!$A$4:$AT$4, 0)) &lt;&gt; ""))</f>
        <v>0</v>
      </c>
      <c r="Z49" s="744">
        <f t="array" ref="Z49">SUMPRODUCT(IFERROR(INDEX('6. TIẾN ĐỘ MUA HÀNG'!$A$5:$AT81, 0, XMATCH("Thành tiền đơn hàng", '6. TIẾN ĐỘ MUA HÀNG'!$A$4:$AT$4, 0)), 0) * (INDEX('6. TIẾN ĐỘ MUA HÀNG'!$A$5:$AT81, 0, XMATCH("Phân loại VTBB/NL", '6. TIẾN ĐỘ MUA HÀNG'!$A$4:$AT$4, 0)) = $B49) * (TRIM(INDEX('6. TIẾN ĐỘ MUA HÀNG'!$A$5:$AT81, 0, XMATCH("Tháng", '6. TIẾN ĐỘ MUA HÀNG'!$A$4:$AT$4, 0))) = TRIM(Y$6)))</f>
        <v>0</v>
      </c>
      <c r="AA49" s="726">
        <f t="shared" si="2"/>
        <v>0</v>
      </c>
      <c r="AB49" s="726">
        <f t="shared" si="3"/>
        <v>0</v>
      </c>
    </row>
    <row r="50">
      <c r="A50" s="612">
        <v>42.0</v>
      </c>
      <c r="B50" s="597" t="str">
        <f>IFERROR(__xludf.DUMMYFUNCTION("""COMPUTED_VALUE"""),"Can HDPE")</f>
        <v>Can HDPE</v>
      </c>
      <c r="C50" s="741">
        <f t="array" ref="C50">SUMPRODUCT((INDEX('6. TIẾN ĐỘ MUA HÀNG'!$A:$AT, 0, XMATCH("Phân loại VTBB/NL", '6. TIẾN ĐỘ MUA HÀNG'!$A$4:$AT$4, 0)) = $B50) * (TRIM(INDEX('6. TIẾN ĐỘ MUA HÀNG'!$A:$AT, 0, XMATCH("Tháng", '6. TIẾN ĐỘ MUA HÀNG'!$A$4:$AT$4, 0))) = TRIM($C$6)) * (INDEX('6. TIẾN ĐỘ MUA HÀNG'!$A:$AT, 0, XMATCH("Phân loại VTBB/NL", '6. TIẾN ĐỘ MUA HÀNG'!$A$4:$AT$4, 0)) &lt;&gt; ""))</f>
        <v>0</v>
      </c>
      <c r="D50" s="742">
        <f t="array" ref="D50">SUMPRODUCT(IFERROR(INDEX('6. TIẾN ĐỘ MUA HÀNG'!$A$5:$AT81, 0, XMATCH("Thành tiền đơn hàng", '6. TIẾN ĐỘ MUA HÀNG'!$A$4:$AT$4, 0)), 0) * (INDEX('6. TIẾN ĐỘ MUA HÀNG'!$A$5:$AT81, 0, XMATCH("Phân loại VTBB/NL", '6. TIẾN ĐỘ MUA HÀNG'!$A$4:$AT$4, 0)) = $B50) * (TRIM(INDEX('6. TIẾN ĐỘ MUA HÀNG'!$A$5:$AT81, 0, XMATCH("Tháng", '6. TIẾN ĐỘ MUA HÀNG'!$A$4:$AT$4, 0))) = TRIM(C$6)))</f>
        <v>0</v>
      </c>
      <c r="E50" s="743">
        <f t="array" ref="E50">SUMPRODUCT((INDEX('6. TIẾN ĐỘ MUA HÀNG'!$A:$AT, 0, XMATCH("Phân loại VTBB/NL", '6. TIẾN ĐỘ MUA HÀNG'!$A$4:$AT$4, 0)) = $B50) * (TRIM(INDEX('6. TIẾN ĐỘ MUA HÀNG'!$A:$AT, 0, XMATCH("Tháng", '6. TIẾN ĐỘ MUA HÀNG'!$A$4:$AT$4, 0))) = TRIM(E$6)) * (INDEX('6. TIẾN ĐỘ MUA HÀNG'!$A:$AT, 0, XMATCH("Phân loại VTBB/NL", '6. TIẾN ĐỘ MUA HÀNG'!$A$4:$AT$4, 0)) &lt;&gt; ""))</f>
        <v>0</v>
      </c>
      <c r="F50" s="744">
        <f t="array" ref="F50">SUMPRODUCT(IFERROR(INDEX('6. TIẾN ĐỘ MUA HÀNG'!$A$5:$AT81, 0, XMATCH("Thành tiền đơn hàng", '6. TIẾN ĐỘ MUA HÀNG'!$A$4:$AT$4, 0)), 0) * (INDEX('6. TIẾN ĐỘ MUA HÀNG'!$A$5:$AT81, 0, XMATCH("Phân loại VTBB/NL", '6. TIẾN ĐỘ MUA HÀNG'!$A$4:$AT$4, 0)) = $B50) * (TRIM(INDEX('6. TIẾN ĐỘ MUA HÀNG'!$A$5:$AT81, 0, XMATCH("Tháng", '6. TIẾN ĐỘ MUA HÀNG'!$A$4:$AT$4, 0))) = TRIM(E$6)))</f>
        <v>0</v>
      </c>
      <c r="G50" s="741">
        <f t="array" ref="G50">SUMPRODUCT((INDEX('6. TIẾN ĐỘ MUA HÀNG'!$A:$AT, 0, XMATCH("Phân loại VTBB/NL", '6. TIẾN ĐỘ MUA HÀNG'!$A$4:$AT$4, 0)) = $B50) * (TRIM(INDEX('6. TIẾN ĐỘ MUA HÀNG'!$A:$AT, 0, XMATCH("Tháng", '6. TIẾN ĐỘ MUA HÀNG'!$A$4:$AT$4, 0))) = TRIM($G$6)) * (INDEX('6. TIẾN ĐỘ MUA HÀNG'!$A:$AT, 0, XMATCH("Phân loại VTBB/NL", '6. TIẾN ĐỘ MUA HÀNG'!$A$4:$AT$4, 0)) &lt;&gt; ""))</f>
        <v>0</v>
      </c>
      <c r="H50" s="742">
        <f t="array" ref="H50">SUMPRODUCT(IFERROR(INDEX('6. TIẾN ĐỘ MUA HÀNG'!$A$5:$AT81, 0, XMATCH("Thành tiền đơn hàng", '6. TIẾN ĐỘ MUA HÀNG'!$A$4:$AT$4, 0)), 0) * (INDEX('6. TIẾN ĐỘ MUA HÀNG'!$A$5:$AT81, 0, XMATCH("Phân loại VTBB/NL", '6. TIẾN ĐỘ MUA HÀNG'!$A$4:$AT$4, 0)) = $B50) * (TRIM(INDEX('6. TIẾN ĐỘ MUA HÀNG'!$A$5:$AT81, 0, XMATCH("Tháng", '6. TIẾN ĐỘ MUA HÀNG'!$A$4:$AT$4, 0))) = TRIM(G$6)))</f>
        <v>0</v>
      </c>
      <c r="I50" s="743">
        <f t="array" ref="I50">SUMPRODUCT((INDEX('6. TIẾN ĐỘ MUA HÀNG'!$A:$AT, 0, XMATCH("Phân loại VTBB/NL", '6. TIẾN ĐỘ MUA HÀNG'!$A$4:$AT$4, 0)) = $B50) * (TRIM(INDEX('6. TIẾN ĐỘ MUA HÀNG'!$A:$AT, 0, XMATCH("Tháng", '6. TIẾN ĐỘ MUA HÀNG'!$A$4:$AT$4, 0))) = TRIM(I$6)) * (INDEX('6. TIẾN ĐỘ MUA HÀNG'!$A:$AT, 0, XMATCH("Phân loại VTBB/NL", '6. TIẾN ĐỘ MUA HÀNG'!$A$4:$AT$4, 0)) &lt;&gt; ""))</f>
        <v>0</v>
      </c>
      <c r="J50" s="744">
        <f t="array" ref="J50">SUMPRODUCT(IFERROR(INDEX('6. TIẾN ĐỘ MUA HÀNG'!$A$5:$AT81, 0, XMATCH("Thành tiền đơn hàng", '6. TIẾN ĐỘ MUA HÀNG'!$A$4:$AT$4, 0)), 0) * (INDEX('6. TIẾN ĐỘ MUA HÀNG'!$A$5:$AT81, 0, XMATCH("Phân loại VTBB/NL", '6. TIẾN ĐỘ MUA HÀNG'!$A$4:$AT$4, 0)) = $B50) * (TRIM(INDEX('6. TIẾN ĐỘ MUA HÀNG'!$A$5:$AT81, 0, XMATCH("Tháng", '6. TIẾN ĐỘ MUA HÀNG'!$A$4:$AT$4, 0))) = TRIM(I$6)))</f>
        <v>0</v>
      </c>
      <c r="K50" s="741">
        <f t="array" ref="K50">SUMPRODUCT((INDEX('6. TIẾN ĐỘ MUA HÀNG'!$A:$AT, 0, XMATCH("Phân loại VTBB/NL", '6. TIẾN ĐỘ MUA HÀNG'!$A$4:$AT$4, 0)) = $B50) * (TRIM(INDEX('6. TIẾN ĐỘ MUA HÀNG'!$A:$AT, 0, XMATCH("Tháng", '6. TIẾN ĐỘ MUA HÀNG'!$A$4:$AT$4, 0))) = TRIM($K$6)) * (INDEX('6. TIẾN ĐỘ MUA HÀNG'!$A:$AT, 0, XMATCH("Phân loại VTBB/NL", '6. TIẾN ĐỘ MUA HÀNG'!$A$4:$AT$4, 0)) &lt;&gt; ""))</f>
        <v>0</v>
      </c>
      <c r="L50" s="742">
        <f t="array" ref="L50">SUMPRODUCT(IFERROR(INDEX('6. TIẾN ĐỘ MUA HÀNG'!$A$5:$AT81, 0, XMATCH("Thành tiền đơn hàng", '6. TIẾN ĐỘ MUA HÀNG'!$A$4:$AT$4, 0)), 0) * (INDEX('6. TIẾN ĐỘ MUA HÀNG'!$A$5:$AT81, 0, XMATCH("Phân loại VTBB/NL", '6. TIẾN ĐỘ MUA HÀNG'!$A$4:$AT$4, 0)) = $B50) * (TRIM(INDEX('6. TIẾN ĐỘ MUA HÀNG'!$A$5:$AT81, 0, XMATCH("Tháng", '6. TIẾN ĐỘ MUA HÀNG'!$A$4:$AT$4, 0))) = TRIM(K$6)))</f>
        <v>0</v>
      </c>
      <c r="M50" s="743">
        <f t="array" ref="M50">SUMPRODUCT((INDEX('6. TIẾN ĐỘ MUA HÀNG'!$A:$AT, 0, XMATCH("Phân loại VTBB/NL", '6. TIẾN ĐỘ MUA HÀNG'!$A$4:$AT$4, 0)) = $B50) * (TRIM(INDEX('6. TIẾN ĐỘ MUA HÀNG'!$A:$AT, 0, XMATCH("Tháng", '6. TIẾN ĐỘ MUA HÀNG'!$A$4:$AT$4, 0))) = TRIM(M$6)) * (INDEX('6. TIẾN ĐỘ MUA HÀNG'!$A:$AT, 0, XMATCH("Phân loại VTBB/NL", '6. TIẾN ĐỘ MUA HÀNG'!$A$4:$AT$4, 0)) &lt;&gt; ""))</f>
        <v>0</v>
      </c>
      <c r="N50" s="744">
        <f t="array" ref="N50">SUMPRODUCT(IFERROR(INDEX('6. TIẾN ĐỘ MUA HÀNG'!$A$5:$AT81, 0, XMATCH("Thành tiền đơn hàng", '6. TIẾN ĐỘ MUA HÀNG'!$A$4:$AT$4, 0)), 0) * (INDEX('6. TIẾN ĐỘ MUA HÀNG'!$A$5:$AT81, 0, XMATCH("Phân loại VTBB/NL", '6. TIẾN ĐỘ MUA HÀNG'!$A$4:$AT$4, 0)) = $B50) * (TRIM(INDEX('6. TIẾN ĐỘ MUA HÀNG'!$A$5:$AT81, 0, XMATCH("Tháng", '6. TIẾN ĐỘ MUA HÀNG'!$A$4:$AT$4, 0))) = TRIM(M$6)))</f>
        <v>0</v>
      </c>
      <c r="O50" s="741">
        <f t="array" ref="O50">SUMPRODUCT((INDEX('6. TIẾN ĐỘ MUA HÀNG'!$A:$AT, 0, XMATCH("Phân loại VTBB/NL", '6. TIẾN ĐỘ MUA HÀNG'!$A$4:$AT$4, 0)) = $B50) * (TRIM(INDEX('6. TIẾN ĐỘ MUA HÀNG'!$A:$AT, 0, XMATCH("Tháng", '6. TIẾN ĐỘ MUA HÀNG'!$A$4:$AT$4, 0))) = TRIM($O$6)) * (INDEX('6. TIẾN ĐỘ MUA HÀNG'!$A:$AT, 0, XMATCH("Phân loại VTBB/NL", '6. TIẾN ĐỘ MUA HÀNG'!$A$4:$AT$4, 0)) &lt;&gt; ""))</f>
        <v>0</v>
      </c>
      <c r="P50" s="742">
        <f t="array" ref="P50">SUMPRODUCT(IFERROR(INDEX('6. TIẾN ĐỘ MUA HÀNG'!$A$5:$AT81, 0, XMATCH("Thành tiền đơn hàng", '6. TIẾN ĐỘ MUA HÀNG'!$A$4:$AT$4, 0)), 0) * (INDEX('6. TIẾN ĐỘ MUA HÀNG'!$A$5:$AT81, 0, XMATCH("Phân loại VTBB/NL", '6. TIẾN ĐỘ MUA HÀNG'!$A$4:$AT$4, 0)) = $B50) * (TRIM(INDEX('6. TIẾN ĐỘ MUA HÀNG'!$A$5:$AT81, 0, XMATCH("Tháng", '6. TIẾN ĐỘ MUA HÀNG'!$A$4:$AT$4, 0))) = TRIM(O$6)))</f>
        <v>0</v>
      </c>
      <c r="Q50" s="743">
        <f t="array" ref="Q50">SUMPRODUCT((INDEX('6. TIẾN ĐỘ MUA HÀNG'!$A:$AT, 0, XMATCH("Phân loại VTBB/NL", '6. TIẾN ĐỘ MUA HÀNG'!$A$4:$AT$4, 0)) = $B50) * (TRIM(INDEX('6. TIẾN ĐỘ MUA HÀNG'!$A:$AT, 0, XMATCH("Tháng", '6. TIẾN ĐỘ MUA HÀNG'!$A$4:$AT$4, 0))) = TRIM(Q$6)) * (INDEX('6. TIẾN ĐỘ MUA HÀNG'!$A:$AT, 0, XMATCH("Phân loại VTBB/NL", '6. TIẾN ĐỘ MUA HÀNG'!$A$4:$AT$4, 0)) &lt;&gt; ""))</f>
        <v>0</v>
      </c>
      <c r="R50" s="744">
        <f t="array" ref="R50">SUMPRODUCT(IFERROR(INDEX('6. TIẾN ĐỘ MUA HÀNG'!$A$5:$AT81, 0, XMATCH("Thành tiền đơn hàng", '6. TIẾN ĐỘ MUA HÀNG'!$A$4:$AT$4, 0)), 0) * (INDEX('6. TIẾN ĐỘ MUA HÀNG'!$A$5:$AT81, 0, XMATCH("Phân loại VTBB/NL", '6. TIẾN ĐỘ MUA HÀNG'!$A$4:$AT$4, 0)) = $B50) * (TRIM(INDEX('6. TIẾN ĐỘ MUA HÀNG'!$A$5:$AT81, 0, XMATCH("Tháng", '6. TIẾN ĐỘ MUA HÀNG'!$A$4:$AT$4, 0))) = TRIM(Q$6)))</f>
        <v>0</v>
      </c>
      <c r="S50" s="741">
        <f t="array" ref="S50">SUMPRODUCT((INDEX('6. TIẾN ĐỘ MUA HÀNG'!$A:$AT, 0, XMATCH("Phân loại VTBB/NL", '6. TIẾN ĐỘ MUA HÀNG'!$A$4:$AT$4, 0)) = $B50) * (TRIM(INDEX('6. TIẾN ĐỘ MUA HÀNG'!$A:$AT, 0, XMATCH("Tháng", '6. TIẾN ĐỘ MUA HÀNG'!$A$4:$AT$4, 0))) = TRIM($S$6)) * (INDEX('6. TIẾN ĐỘ MUA HÀNG'!$A:$AT, 0, XMATCH("Phân loại VTBB/NL", '6. TIẾN ĐỘ MUA HÀNG'!$A$4:$AT$4, 0)) &lt;&gt; ""))</f>
        <v>0</v>
      </c>
      <c r="T50" s="742">
        <f t="array" ref="T50">SUMPRODUCT(IFERROR(INDEX('6. TIẾN ĐỘ MUA HÀNG'!$A$5:$AT81, 0, XMATCH("Thành tiền đơn hàng", '6. TIẾN ĐỘ MUA HÀNG'!$A$4:$AT$4, 0)), 0) * (INDEX('6. TIẾN ĐỘ MUA HÀNG'!$A$5:$AT81, 0, XMATCH("Phân loại VTBB/NL", '6. TIẾN ĐỘ MUA HÀNG'!$A$4:$AT$4, 0)) = $B50) * (TRIM(INDEX('6. TIẾN ĐỘ MUA HÀNG'!$A$5:$AT81, 0, XMATCH("Tháng", '6. TIẾN ĐỘ MUA HÀNG'!$A$4:$AT$4, 0))) = TRIM(S$6)))</f>
        <v>0</v>
      </c>
      <c r="U50" s="743">
        <f t="array" ref="U50">SUMPRODUCT((INDEX('6. TIẾN ĐỘ MUA HÀNG'!$A:$AT, 0, XMATCH("Phân loại VTBB/NL", '6. TIẾN ĐỘ MUA HÀNG'!$A$4:$AT$4, 0)) = $B50) * (TRIM(INDEX('6. TIẾN ĐỘ MUA HÀNG'!$A:$AT, 0, XMATCH("Tháng", '6. TIẾN ĐỘ MUA HÀNG'!$A$4:$AT$4, 0))) = TRIM(U$6)) * (INDEX('6. TIẾN ĐỘ MUA HÀNG'!$A:$AT, 0, XMATCH("Phân loại VTBB/NL", '6. TIẾN ĐỘ MUA HÀNG'!$A$4:$AT$4, 0)) &lt;&gt; ""))</f>
        <v>0</v>
      </c>
      <c r="V50" s="744">
        <f t="array" ref="V50">SUMPRODUCT(IFERROR(INDEX('6. TIẾN ĐỘ MUA HÀNG'!$A$5:$AT81, 0, XMATCH("Thành tiền đơn hàng", '6. TIẾN ĐỘ MUA HÀNG'!$A$4:$AT$4, 0)), 0) * (INDEX('6. TIẾN ĐỘ MUA HÀNG'!$A$5:$AT81, 0, XMATCH("Phân loại VTBB/NL", '6. TIẾN ĐỘ MUA HÀNG'!$A$4:$AT$4, 0)) = $B50) * (TRIM(INDEX('6. TIẾN ĐỘ MUA HÀNG'!$A$5:$AT81, 0, XMATCH("Tháng", '6. TIẾN ĐỘ MUA HÀNG'!$A$4:$AT$4, 0))) = TRIM(U$6)))</f>
        <v>0</v>
      </c>
      <c r="W50" s="741">
        <f t="array" ref="W50">SUMPRODUCT((INDEX('6. TIẾN ĐỘ MUA HÀNG'!$A:$AT, 0, XMATCH("Phân loại VTBB/NL", '6. TIẾN ĐỘ MUA HÀNG'!$A$4:$AT$4, 0)) = $B50) * (TRIM(INDEX('6. TIẾN ĐỘ MUA HÀNG'!$A:$AT, 0, XMATCH("Tháng", '6. TIẾN ĐỘ MUA HÀNG'!$A$4:$AT$4, 0))) = TRIM($W$6)) * (INDEX('6. TIẾN ĐỘ MUA HÀNG'!$A:$AT, 0, XMATCH("Phân loại VTBB/NL", '6. TIẾN ĐỘ MUA HÀNG'!$A$4:$AT$4, 0)) &lt;&gt; ""))</f>
        <v>0</v>
      </c>
      <c r="X50" s="742">
        <f t="array" ref="X50">SUMPRODUCT(IFERROR(INDEX('6. TIẾN ĐỘ MUA HÀNG'!$A$5:$AT81, 0, XMATCH("Thành tiền đơn hàng", '6. TIẾN ĐỘ MUA HÀNG'!$A$4:$AT$4, 0)), 0) * (INDEX('6. TIẾN ĐỘ MUA HÀNG'!$A$5:$AT81, 0, XMATCH("Phân loại VTBB/NL", '6. TIẾN ĐỘ MUA HÀNG'!$A$4:$AT$4, 0)) = $B50) * (TRIM(INDEX('6. TIẾN ĐỘ MUA HÀNG'!$A$5:$AT81, 0, XMATCH("Tháng", '6. TIẾN ĐỘ MUA HÀNG'!$A$4:$AT$4, 0))) = TRIM(W$6)))</f>
        <v>0</v>
      </c>
      <c r="Y50" s="743">
        <f t="array" ref="Y50">SUMPRODUCT((INDEX('6. TIẾN ĐỘ MUA HÀNG'!$A:$AT, 0, XMATCH("Phân loại VTBB/NL", '6. TIẾN ĐỘ MUA HÀNG'!$A$4:$AT$4, 0)) = $B50) * (TRIM(INDEX('6. TIẾN ĐỘ MUA HÀNG'!$A:$AT, 0, XMATCH("Tháng", '6. TIẾN ĐỘ MUA HÀNG'!$A$4:$AT$4, 0))) = TRIM(Y$6)) * (INDEX('6. TIẾN ĐỘ MUA HÀNG'!$A:$AT, 0, XMATCH("Phân loại VTBB/NL", '6. TIẾN ĐỘ MUA HÀNG'!$A$4:$AT$4, 0)) &lt;&gt; ""))</f>
        <v>0</v>
      </c>
      <c r="Z50" s="744">
        <f t="array" ref="Z50">SUMPRODUCT(IFERROR(INDEX('6. TIẾN ĐỘ MUA HÀNG'!$A$5:$AT81, 0, XMATCH("Thành tiền đơn hàng", '6. TIẾN ĐỘ MUA HÀNG'!$A$4:$AT$4, 0)), 0) * (INDEX('6. TIẾN ĐỘ MUA HÀNG'!$A$5:$AT81, 0, XMATCH("Phân loại VTBB/NL", '6. TIẾN ĐỘ MUA HÀNG'!$A$4:$AT$4, 0)) = $B50) * (TRIM(INDEX('6. TIẾN ĐỘ MUA HÀNG'!$A$5:$AT81, 0, XMATCH("Tháng", '6. TIẾN ĐỘ MUA HÀNG'!$A$4:$AT$4, 0))) = TRIM(Y$6)))</f>
        <v>0</v>
      </c>
      <c r="AA50" s="726">
        <f t="shared" si="2"/>
        <v>0</v>
      </c>
      <c r="AB50" s="726">
        <f t="shared" si="3"/>
        <v>0</v>
      </c>
    </row>
    <row r="51">
      <c r="A51" s="612">
        <v>43.0</v>
      </c>
      <c r="B51" s="597" t="str">
        <f>IFERROR(__xludf.DUMMYFUNCTION("""COMPUTED_VALUE"""),"Xô HDPE")</f>
        <v>Xô HDPE</v>
      </c>
      <c r="C51" s="741">
        <f t="array" ref="C51">SUMPRODUCT((INDEX('6. TIẾN ĐỘ MUA HÀNG'!$A:$AT, 0, XMATCH("Phân loại VTBB/NL", '6. TIẾN ĐỘ MUA HÀNG'!$A$4:$AT$4, 0)) = $B51) * (TRIM(INDEX('6. TIẾN ĐỘ MUA HÀNG'!$A:$AT, 0, XMATCH("Tháng", '6. TIẾN ĐỘ MUA HÀNG'!$A$4:$AT$4, 0))) = TRIM($C$6)) * (INDEX('6. TIẾN ĐỘ MUA HÀNG'!$A:$AT, 0, XMATCH("Phân loại VTBB/NL", '6. TIẾN ĐỘ MUA HÀNG'!$A$4:$AT$4, 0)) &lt;&gt; ""))</f>
        <v>0</v>
      </c>
      <c r="D51" s="742">
        <f t="array" ref="D51">SUMPRODUCT(IFERROR(INDEX('6. TIẾN ĐỘ MUA HÀNG'!$A$5:$AT81, 0, XMATCH("Thành tiền đơn hàng", '6. TIẾN ĐỘ MUA HÀNG'!$A$4:$AT$4, 0)), 0) * (INDEX('6. TIẾN ĐỘ MUA HÀNG'!$A$5:$AT81, 0, XMATCH("Phân loại VTBB/NL", '6. TIẾN ĐỘ MUA HÀNG'!$A$4:$AT$4, 0)) = $B51) * (TRIM(INDEX('6. TIẾN ĐỘ MUA HÀNG'!$A$5:$AT81, 0, XMATCH("Tháng", '6. TIẾN ĐỘ MUA HÀNG'!$A$4:$AT$4, 0))) = TRIM(C$6)))</f>
        <v>0</v>
      </c>
      <c r="E51" s="743">
        <f t="array" ref="E51">SUMPRODUCT((INDEX('6. TIẾN ĐỘ MUA HÀNG'!$A:$AT, 0, XMATCH("Phân loại VTBB/NL", '6. TIẾN ĐỘ MUA HÀNG'!$A$4:$AT$4, 0)) = $B51) * (TRIM(INDEX('6. TIẾN ĐỘ MUA HÀNG'!$A:$AT, 0, XMATCH("Tháng", '6. TIẾN ĐỘ MUA HÀNG'!$A$4:$AT$4, 0))) = TRIM(E$6)) * (INDEX('6. TIẾN ĐỘ MUA HÀNG'!$A:$AT, 0, XMATCH("Phân loại VTBB/NL", '6. TIẾN ĐỘ MUA HÀNG'!$A$4:$AT$4, 0)) &lt;&gt; ""))</f>
        <v>0</v>
      </c>
      <c r="F51" s="744">
        <f t="array" ref="F51">SUMPRODUCT(IFERROR(INDEX('6. TIẾN ĐỘ MUA HÀNG'!$A$5:$AT81, 0, XMATCH("Thành tiền đơn hàng", '6. TIẾN ĐỘ MUA HÀNG'!$A$4:$AT$4, 0)), 0) * (INDEX('6. TIẾN ĐỘ MUA HÀNG'!$A$5:$AT81, 0, XMATCH("Phân loại VTBB/NL", '6. TIẾN ĐỘ MUA HÀNG'!$A$4:$AT$4, 0)) = $B51) * (TRIM(INDEX('6. TIẾN ĐỘ MUA HÀNG'!$A$5:$AT81, 0, XMATCH("Tháng", '6. TIẾN ĐỘ MUA HÀNG'!$A$4:$AT$4, 0))) = TRIM(E$6)))</f>
        <v>0</v>
      </c>
      <c r="G51" s="741">
        <f t="array" ref="G51">SUMPRODUCT((INDEX('6. TIẾN ĐỘ MUA HÀNG'!$A:$AT, 0, XMATCH("Phân loại VTBB/NL", '6. TIẾN ĐỘ MUA HÀNG'!$A$4:$AT$4, 0)) = $B51) * (TRIM(INDEX('6. TIẾN ĐỘ MUA HÀNG'!$A:$AT, 0, XMATCH("Tháng", '6. TIẾN ĐỘ MUA HÀNG'!$A$4:$AT$4, 0))) = TRIM($G$6)) * (INDEX('6. TIẾN ĐỘ MUA HÀNG'!$A:$AT, 0, XMATCH("Phân loại VTBB/NL", '6. TIẾN ĐỘ MUA HÀNG'!$A$4:$AT$4, 0)) &lt;&gt; ""))</f>
        <v>0</v>
      </c>
      <c r="H51" s="742">
        <f t="array" ref="H51">SUMPRODUCT(IFERROR(INDEX('6. TIẾN ĐỘ MUA HÀNG'!$A$5:$AT81, 0, XMATCH("Thành tiền đơn hàng", '6. TIẾN ĐỘ MUA HÀNG'!$A$4:$AT$4, 0)), 0) * (INDEX('6. TIẾN ĐỘ MUA HÀNG'!$A$5:$AT81, 0, XMATCH("Phân loại VTBB/NL", '6. TIẾN ĐỘ MUA HÀNG'!$A$4:$AT$4, 0)) = $B51) * (TRIM(INDEX('6. TIẾN ĐỘ MUA HÀNG'!$A$5:$AT81, 0, XMATCH("Tháng", '6. TIẾN ĐỘ MUA HÀNG'!$A$4:$AT$4, 0))) = TRIM(G$6)))</f>
        <v>0</v>
      </c>
      <c r="I51" s="743">
        <f t="array" ref="I51">SUMPRODUCT((INDEX('6. TIẾN ĐỘ MUA HÀNG'!$A:$AT, 0, XMATCH("Phân loại VTBB/NL", '6. TIẾN ĐỘ MUA HÀNG'!$A$4:$AT$4, 0)) = $B51) * (TRIM(INDEX('6. TIẾN ĐỘ MUA HÀNG'!$A:$AT, 0, XMATCH("Tháng", '6. TIẾN ĐỘ MUA HÀNG'!$A$4:$AT$4, 0))) = TRIM(I$6)) * (INDEX('6. TIẾN ĐỘ MUA HÀNG'!$A:$AT, 0, XMATCH("Phân loại VTBB/NL", '6. TIẾN ĐỘ MUA HÀNG'!$A$4:$AT$4, 0)) &lt;&gt; ""))</f>
        <v>0</v>
      </c>
      <c r="J51" s="744">
        <f t="array" ref="J51">SUMPRODUCT(IFERROR(INDEX('6. TIẾN ĐỘ MUA HÀNG'!$A$5:$AT81, 0, XMATCH("Thành tiền đơn hàng", '6. TIẾN ĐỘ MUA HÀNG'!$A$4:$AT$4, 0)), 0) * (INDEX('6. TIẾN ĐỘ MUA HÀNG'!$A$5:$AT81, 0, XMATCH("Phân loại VTBB/NL", '6. TIẾN ĐỘ MUA HÀNG'!$A$4:$AT$4, 0)) = $B51) * (TRIM(INDEX('6. TIẾN ĐỘ MUA HÀNG'!$A$5:$AT81, 0, XMATCH("Tháng", '6. TIẾN ĐỘ MUA HÀNG'!$A$4:$AT$4, 0))) = TRIM(I$6)))</f>
        <v>0</v>
      </c>
      <c r="K51" s="741">
        <f t="array" ref="K51">SUMPRODUCT((INDEX('6. TIẾN ĐỘ MUA HÀNG'!$A:$AT, 0, XMATCH("Phân loại VTBB/NL", '6. TIẾN ĐỘ MUA HÀNG'!$A$4:$AT$4, 0)) = $B51) * (TRIM(INDEX('6. TIẾN ĐỘ MUA HÀNG'!$A:$AT, 0, XMATCH("Tháng", '6. TIẾN ĐỘ MUA HÀNG'!$A$4:$AT$4, 0))) = TRIM($K$6)) * (INDEX('6. TIẾN ĐỘ MUA HÀNG'!$A:$AT, 0, XMATCH("Phân loại VTBB/NL", '6. TIẾN ĐỘ MUA HÀNG'!$A$4:$AT$4, 0)) &lt;&gt; ""))</f>
        <v>0</v>
      </c>
      <c r="L51" s="742">
        <f t="array" ref="L51">SUMPRODUCT(IFERROR(INDEX('6. TIẾN ĐỘ MUA HÀNG'!$A$5:$AT81, 0, XMATCH("Thành tiền đơn hàng", '6. TIẾN ĐỘ MUA HÀNG'!$A$4:$AT$4, 0)), 0) * (INDEX('6. TIẾN ĐỘ MUA HÀNG'!$A$5:$AT81, 0, XMATCH("Phân loại VTBB/NL", '6. TIẾN ĐỘ MUA HÀNG'!$A$4:$AT$4, 0)) = $B51) * (TRIM(INDEX('6. TIẾN ĐỘ MUA HÀNG'!$A$5:$AT81, 0, XMATCH("Tháng", '6. TIẾN ĐỘ MUA HÀNG'!$A$4:$AT$4, 0))) = TRIM(K$6)))</f>
        <v>0</v>
      </c>
      <c r="M51" s="743">
        <f t="array" ref="M51">SUMPRODUCT((INDEX('6. TIẾN ĐỘ MUA HÀNG'!$A:$AT, 0, XMATCH("Phân loại VTBB/NL", '6. TIẾN ĐỘ MUA HÀNG'!$A$4:$AT$4, 0)) = $B51) * (TRIM(INDEX('6. TIẾN ĐỘ MUA HÀNG'!$A:$AT, 0, XMATCH("Tháng", '6. TIẾN ĐỘ MUA HÀNG'!$A$4:$AT$4, 0))) = TRIM(M$6)) * (INDEX('6. TIẾN ĐỘ MUA HÀNG'!$A:$AT, 0, XMATCH("Phân loại VTBB/NL", '6. TIẾN ĐỘ MUA HÀNG'!$A$4:$AT$4, 0)) &lt;&gt; ""))</f>
        <v>0</v>
      </c>
      <c r="N51" s="744">
        <f t="array" ref="N51">SUMPRODUCT(IFERROR(INDEX('6. TIẾN ĐỘ MUA HÀNG'!$A$5:$AT81, 0, XMATCH("Thành tiền đơn hàng", '6. TIẾN ĐỘ MUA HÀNG'!$A$4:$AT$4, 0)), 0) * (INDEX('6. TIẾN ĐỘ MUA HÀNG'!$A$5:$AT81, 0, XMATCH("Phân loại VTBB/NL", '6. TIẾN ĐỘ MUA HÀNG'!$A$4:$AT$4, 0)) = $B51) * (TRIM(INDEX('6. TIẾN ĐỘ MUA HÀNG'!$A$5:$AT81, 0, XMATCH("Tháng", '6. TIẾN ĐỘ MUA HÀNG'!$A$4:$AT$4, 0))) = TRIM(M$6)))</f>
        <v>0</v>
      </c>
      <c r="O51" s="741">
        <f t="array" ref="O51">SUMPRODUCT((INDEX('6. TIẾN ĐỘ MUA HÀNG'!$A:$AT, 0, XMATCH("Phân loại VTBB/NL", '6. TIẾN ĐỘ MUA HÀNG'!$A$4:$AT$4, 0)) = $B51) * (TRIM(INDEX('6. TIẾN ĐỘ MUA HÀNG'!$A:$AT, 0, XMATCH("Tháng", '6. TIẾN ĐỘ MUA HÀNG'!$A$4:$AT$4, 0))) = TRIM($O$6)) * (INDEX('6. TIẾN ĐỘ MUA HÀNG'!$A:$AT, 0, XMATCH("Phân loại VTBB/NL", '6. TIẾN ĐỘ MUA HÀNG'!$A$4:$AT$4, 0)) &lt;&gt; ""))</f>
        <v>0</v>
      </c>
      <c r="P51" s="742">
        <f t="array" ref="P51">SUMPRODUCT(IFERROR(INDEX('6. TIẾN ĐỘ MUA HÀNG'!$A$5:$AT81, 0, XMATCH("Thành tiền đơn hàng", '6. TIẾN ĐỘ MUA HÀNG'!$A$4:$AT$4, 0)), 0) * (INDEX('6. TIẾN ĐỘ MUA HÀNG'!$A$5:$AT81, 0, XMATCH("Phân loại VTBB/NL", '6. TIẾN ĐỘ MUA HÀNG'!$A$4:$AT$4, 0)) = $B51) * (TRIM(INDEX('6. TIẾN ĐỘ MUA HÀNG'!$A$5:$AT81, 0, XMATCH("Tháng", '6. TIẾN ĐỘ MUA HÀNG'!$A$4:$AT$4, 0))) = TRIM(O$6)))</f>
        <v>0</v>
      </c>
      <c r="Q51" s="743">
        <f t="array" ref="Q51">SUMPRODUCT((INDEX('6. TIẾN ĐỘ MUA HÀNG'!$A:$AT, 0, XMATCH("Phân loại VTBB/NL", '6. TIẾN ĐỘ MUA HÀNG'!$A$4:$AT$4, 0)) = $B51) * (TRIM(INDEX('6. TIẾN ĐỘ MUA HÀNG'!$A:$AT, 0, XMATCH("Tháng", '6. TIẾN ĐỘ MUA HÀNG'!$A$4:$AT$4, 0))) = TRIM(Q$6)) * (INDEX('6. TIẾN ĐỘ MUA HÀNG'!$A:$AT, 0, XMATCH("Phân loại VTBB/NL", '6. TIẾN ĐỘ MUA HÀNG'!$A$4:$AT$4, 0)) &lt;&gt; ""))</f>
        <v>0</v>
      </c>
      <c r="R51" s="744">
        <f t="array" ref="R51">SUMPRODUCT(IFERROR(INDEX('6. TIẾN ĐỘ MUA HÀNG'!$A$5:$AT81, 0, XMATCH("Thành tiền đơn hàng", '6. TIẾN ĐỘ MUA HÀNG'!$A$4:$AT$4, 0)), 0) * (INDEX('6. TIẾN ĐỘ MUA HÀNG'!$A$5:$AT81, 0, XMATCH("Phân loại VTBB/NL", '6. TIẾN ĐỘ MUA HÀNG'!$A$4:$AT$4, 0)) = $B51) * (TRIM(INDEX('6. TIẾN ĐỘ MUA HÀNG'!$A$5:$AT81, 0, XMATCH("Tháng", '6. TIẾN ĐỘ MUA HÀNG'!$A$4:$AT$4, 0))) = TRIM(Q$6)))</f>
        <v>0</v>
      </c>
      <c r="S51" s="741">
        <f t="array" ref="S51">SUMPRODUCT((INDEX('6. TIẾN ĐỘ MUA HÀNG'!$A:$AT, 0, XMATCH("Phân loại VTBB/NL", '6. TIẾN ĐỘ MUA HÀNG'!$A$4:$AT$4, 0)) = $B51) * (TRIM(INDEX('6. TIẾN ĐỘ MUA HÀNG'!$A:$AT, 0, XMATCH("Tháng", '6. TIẾN ĐỘ MUA HÀNG'!$A$4:$AT$4, 0))) = TRIM($S$6)) * (INDEX('6. TIẾN ĐỘ MUA HÀNG'!$A:$AT, 0, XMATCH("Phân loại VTBB/NL", '6. TIẾN ĐỘ MUA HÀNG'!$A$4:$AT$4, 0)) &lt;&gt; ""))</f>
        <v>0</v>
      </c>
      <c r="T51" s="742">
        <f t="array" ref="T51">SUMPRODUCT(IFERROR(INDEX('6. TIẾN ĐỘ MUA HÀNG'!$A$5:$AT81, 0, XMATCH("Thành tiền đơn hàng", '6. TIẾN ĐỘ MUA HÀNG'!$A$4:$AT$4, 0)), 0) * (INDEX('6. TIẾN ĐỘ MUA HÀNG'!$A$5:$AT81, 0, XMATCH("Phân loại VTBB/NL", '6. TIẾN ĐỘ MUA HÀNG'!$A$4:$AT$4, 0)) = $B51) * (TRIM(INDEX('6. TIẾN ĐỘ MUA HÀNG'!$A$5:$AT81, 0, XMATCH("Tháng", '6. TIẾN ĐỘ MUA HÀNG'!$A$4:$AT$4, 0))) = TRIM(S$6)))</f>
        <v>0</v>
      </c>
      <c r="U51" s="743">
        <f t="array" ref="U51">SUMPRODUCT((INDEX('6. TIẾN ĐỘ MUA HÀNG'!$A:$AT, 0, XMATCH("Phân loại VTBB/NL", '6. TIẾN ĐỘ MUA HÀNG'!$A$4:$AT$4, 0)) = $B51) * (TRIM(INDEX('6. TIẾN ĐỘ MUA HÀNG'!$A:$AT, 0, XMATCH("Tháng", '6. TIẾN ĐỘ MUA HÀNG'!$A$4:$AT$4, 0))) = TRIM(U$6)) * (INDEX('6. TIẾN ĐỘ MUA HÀNG'!$A:$AT, 0, XMATCH("Phân loại VTBB/NL", '6. TIẾN ĐỘ MUA HÀNG'!$A$4:$AT$4, 0)) &lt;&gt; ""))</f>
        <v>0</v>
      </c>
      <c r="V51" s="744">
        <f t="array" ref="V51">SUMPRODUCT(IFERROR(INDEX('6. TIẾN ĐỘ MUA HÀNG'!$A$5:$AT81, 0, XMATCH("Thành tiền đơn hàng", '6. TIẾN ĐỘ MUA HÀNG'!$A$4:$AT$4, 0)), 0) * (INDEX('6. TIẾN ĐỘ MUA HÀNG'!$A$5:$AT81, 0, XMATCH("Phân loại VTBB/NL", '6. TIẾN ĐỘ MUA HÀNG'!$A$4:$AT$4, 0)) = $B51) * (TRIM(INDEX('6. TIẾN ĐỘ MUA HÀNG'!$A$5:$AT81, 0, XMATCH("Tháng", '6. TIẾN ĐỘ MUA HÀNG'!$A$4:$AT$4, 0))) = TRIM(U$6)))</f>
        <v>0</v>
      </c>
      <c r="W51" s="741">
        <f t="array" ref="W51">SUMPRODUCT((INDEX('6. TIẾN ĐỘ MUA HÀNG'!$A:$AT, 0, XMATCH("Phân loại VTBB/NL", '6. TIẾN ĐỘ MUA HÀNG'!$A$4:$AT$4, 0)) = $B51) * (TRIM(INDEX('6. TIẾN ĐỘ MUA HÀNG'!$A:$AT, 0, XMATCH("Tháng", '6. TIẾN ĐỘ MUA HÀNG'!$A$4:$AT$4, 0))) = TRIM($W$6)) * (INDEX('6. TIẾN ĐỘ MUA HÀNG'!$A:$AT, 0, XMATCH("Phân loại VTBB/NL", '6. TIẾN ĐỘ MUA HÀNG'!$A$4:$AT$4, 0)) &lt;&gt; ""))</f>
        <v>0</v>
      </c>
      <c r="X51" s="742">
        <f t="array" ref="X51">SUMPRODUCT(IFERROR(INDEX('6. TIẾN ĐỘ MUA HÀNG'!$A$5:$AT81, 0, XMATCH("Thành tiền đơn hàng", '6. TIẾN ĐỘ MUA HÀNG'!$A$4:$AT$4, 0)), 0) * (INDEX('6. TIẾN ĐỘ MUA HÀNG'!$A$5:$AT81, 0, XMATCH("Phân loại VTBB/NL", '6. TIẾN ĐỘ MUA HÀNG'!$A$4:$AT$4, 0)) = $B51) * (TRIM(INDEX('6. TIẾN ĐỘ MUA HÀNG'!$A$5:$AT81, 0, XMATCH("Tháng", '6. TIẾN ĐỘ MUA HÀNG'!$A$4:$AT$4, 0))) = TRIM(W$6)))</f>
        <v>0</v>
      </c>
      <c r="Y51" s="743">
        <f t="array" ref="Y51">SUMPRODUCT((INDEX('6. TIẾN ĐỘ MUA HÀNG'!$A:$AT, 0, XMATCH("Phân loại VTBB/NL", '6. TIẾN ĐỘ MUA HÀNG'!$A$4:$AT$4, 0)) = $B51) * (TRIM(INDEX('6. TIẾN ĐỘ MUA HÀNG'!$A:$AT, 0, XMATCH("Tháng", '6. TIẾN ĐỘ MUA HÀNG'!$A$4:$AT$4, 0))) = TRIM(Y$6)) * (INDEX('6. TIẾN ĐỘ MUA HÀNG'!$A:$AT, 0, XMATCH("Phân loại VTBB/NL", '6. TIẾN ĐỘ MUA HÀNG'!$A$4:$AT$4, 0)) &lt;&gt; ""))</f>
        <v>0</v>
      </c>
      <c r="Z51" s="744">
        <f t="array" ref="Z51">SUMPRODUCT(IFERROR(INDEX('6. TIẾN ĐỘ MUA HÀNG'!$A$5:$AT81, 0, XMATCH("Thành tiền đơn hàng", '6. TIẾN ĐỘ MUA HÀNG'!$A$4:$AT$4, 0)), 0) * (INDEX('6. TIẾN ĐỘ MUA HÀNG'!$A$5:$AT81, 0, XMATCH("Phân loại VTBB/NL", '6. TIẾN ĐỘ MUA HÀNG'!$A$4:$AT$4, 0)) = $B51) * (TRIM(INDEX('6. TIẾN ĐỘ MUA HÀNG'!$A$5:$AT81, 0, XMATCH("Tháng", '6. TIẾN ĐỘ MUA HÀNG'!$A$4:$AT$4, 0))) = TRIM(Y$6)))</f>
        <v>0</v>
      </c>
      <c r="AA51" s="726">
        <f t="shared" si="2"/>
        <v>0</v>
      </c>
      <c r="AB51" s="726">
        <f t="shared" si="3"/>
        <v>0</v>
      </c>
    </row>
    <row r="52">
      <c r="A52" s="612">
        <v>44.0</v>
      </c>
      <c r="B52" s="597" t="str">
        <f>IFERROR(__xludf.DUMMYFUNCTION("""COMPUTED_VALUE"""),"Nhãn giấy")</f>
        <v>Nhãn giấy</v>
      </c>
      <c r="C52" s="741">
        <f t="array" ref="C52">SUMPRODUCT((INDEX('6. TIẾN ĐỘ MUA HÀNG'!$A:$AT, 0, XMATCH("Phân loại VTBB/NL", '6. TIẾN ĐỘ MUA HÀNG'!$A$4:$AT$4, 0)) = $B52) * (TRIM(INDEX('6. TIẾN ĐỘ MUA HÀNG'!$A:$AT, 0, XMATCH("Tháng", '6. TIẾN ĐỘ MUA HÀNG'!$A$4:$AT$4, 0))) = TRIM($C$6)) * (INDEX('6. TIẾN ĐỘ MUA HÀNG'!$A:$AT, 0, XMATCH("Phân loại VTBB/NL", '6. TIẾN ĐỘ MUA HÀNG'!$A$4:$AT$4, 0)) &lt;&gt; ""))</f>
        <v>0</v>
      </c>
      <c r="D52" s="742">
        <f t="array" ref="D52">SUMPRODUCT(IFERROR(INDEX('6. TIẾN ĐỘ MUA HÀNG'!$A$5:$AT81, 0, XMATCH("Thành tiền đơn hàng", '6. TIẾN ĐỘ MUA HÀNG'!$A$4:$AT$4, 0)), 0) * (INDEX('6. TIẾN ĐỘ MUA HÀNG'!$A$5:$AT81, 0, XMATCH("Phân loại VTBB/NL", '6. TIẾN ĐỘ MUA HÀNG'!$A$4:$AT$4, 0)) = $B52) * (TRIM(INDEX('6. TIẾN ĐỘ MUA HÀNG'!$A$5:$AT81, 0, XMATCH("Tháng", '6. TIẾN ĐỘ MUA HÀNG'!$A$4:$AT$4, 0))) = TRIM(C$6)))</f>
        <v>0</v>
      </c>
      <c r="E52" s="743">
        <f t="array" ref="E52">SUMPRODUCT((INDEX('6. TIẾN ĐỘ MUA HÀNG'!$A:$AT, 0, XMATCH("Phân loại VTBB/NL", '6. TIẾN ĐỘ MUA HÀNG'!$A$4:$AT$4, 0)) = $B52) * (TRIM(INDEX('6. TIẾN ĐỘ MUA HÀNG'!$A:$AT, 0, XMATCH("Tháng", '6. TIẾN ĐỘ MUA HÀNG'!$A$4:$AT$4, 0))) = TRIM(E$6)) * (INDEX('6. TIẾN ĐỘ MUA HÀNG'!$A:$AT, 0, XMATCH("Phân loại VTBB/NL", '6. TIẾN ĐỘ MUA HÀNG'!$A$4:$AT$4, 0)) &lt;&gt; ""))</f>
        <v>0</v>
      </c>
      <c r="F52" s="744">
        <f t="array" ref="F52">SUMPRODUCT(IFERROR(INDEX('6. TIẾN ĐỘ MUA HÀNG'!$A$5:$AT81, 0, XMATCH("Thành tiền đơn hàng", '6. TIẾN ĐỘ MUA HÀNG'!$A$4:$AT$4, 0)), 0) * (INDEX('6. TIẾN ĐỘ MUA HÀNG'!$A$5:$AT81, 0, XMATCH("Phân loại VTBB/NL", '6. TIẾN ĐỘ MUA HÀNG'!$A$4:$AT$4, 0)) = $B52) * (TRIM(INDEX('6. TIẾN ĐỘ MUA HÀNG'!$A$5:$AT81, 0, XMATCH("Tháng", '6. TIẾN ĐỘ MUA HÀNG'!$A$4:$AT$4, 0))) = TRIM(E$6)))</f>
        <v>0</v>
      </c>
      <c r="G52" s="741">
        <f t="array" ref="G52">SUMPRODUCT((INDEX('6. TIẾN ĐỘ MUA HÀNG'!$A:$AT, 0, XMATCH("Phân loại VTBB/NL", '6. TIẾN ĐỘ MUA HÀNG'!$A$4:$AT$4, 0)) = $B52) * (TRIM(INDEX('6. TIẾN ĐỘ MUA HÀNG'!$A:$AT, 0, XMATCH("Tháng", '6. TIẾN ĐỘ MUA HÀNG'!$A$4:$AT$4, 0))) = TRIM($G$6)) * (INDEX('6. TIẾN ĐỘ MUA HÀNG'!$A:$AT, 0, XMATCH("Phân loại VTBB/NL", '6. TIẾN ĐỘ MUA HÀNG'!$A$4:$AT$4, 0)) &lt;&gt; ""))</f>
        <v>0</v>
      </c>
      <c r="H52" s="742">
        <f t="array" ref="H52">SUMPRODUCT(IFERROR(INDEX('6. TIẾN ĐỘ MUA HÀNG'!$A$5:$AT81, 0, XMATCH("Thành tiền đơn hàng", '6. TIẾN ĐỘ MUA HÀNG'!$A$4:$AT$4, 0)), 0) * (INDEX('6. TIẾN ĐỘ MUA HÀNG'!$A$5:$AT81, 0, XMATCH("Phân loại VTBB/NL", '6. TIẾN ĐỘ MUA HÀNG'!$A$4:$AT$4, 0)) = $B52) * (TRIM(INDEX('6. TIẾN ĐỘ MUA HÀNG'!$A$5:$AT81, 0, XMATCH("Tháng", '6. TIẾN ĐỘ MUA HÀNG'!$A$4:$AT$4, 0))) = TRIM(G$6)))</f>
        <v>0</v>
      </c>
      <c r="I52" s="743">
        <f t="array" ref="I52">SUMPRODUCT((INDEX('6. TIẾN ĐỘ MUA HÀNG'!$A:$AT, 0, XMATCH("Phân loại VTBB/NL", '6. TIẾN ĐỘ MUA HÀNG'!$A$4:$AT$4, 0)) = $B52) * (TRIM(INDEX('6. TIẾN ĐỘ MUA HÀNG'!$A:$AT, 0, XMATCH("Tháng", '6. TIẾN ĐỘ MUA HÀNG'!$A$4:$AT$4, 0))) = TRIM(I$6)) * (INDEX('6. TIẾN ĐỘ MUA HÀNG'!$A:$AT, 0, XMATCH("Phân loại VTBB/NL", '6. TIẾN ĐỘ MUA HÀNG'!$A$4:$AT$4, 0)) &lt;&gt; ""))</f>
        <v>0</v>
      </c>
      <c r="J52" s="744">
        <f t="array" ref="J52">SUMPRODUCT(IFERROR(INDEX('6. TIẾN ĐỘ MUA HÀNG'!$A$5:$AT81, 0, XMATCH("Thành tiền đơn hàng", '6. TIẾN ĐỘ MUA HÀNG'!$A$4:$AT$4, 0)), 0) * (INDEX('6. TIẾN ĐỘ MUA HÀNG'!$A$5:$AT81, 0, XMATCH("Phân loại VTBB/NL", '6. TIẾN ĐỘ MUA HÀNG'!$A$4:$AT$4, 0)) = $B52) * (TRIM(INDEX('6. TIẾN ĐỘ MUA HÀNG'!$A$5:$AT81, 0, XMATCH("Tháng", '6. TIẾN ĐỘ MUA HÀNG'!$A$4:$AT$4, 0))) = TRIM(I$6)))</f>
        <v>0</v>
      </c>
      <c r="K52" s="741">
        <f t="array" ref="K52">SUMPRODUCT((INDEX('6. TIẾN ĐỘ MUA HÀNG'!$A:$AT, 0, XMATCH("Phân loại VTBB/NL", '6. TIẾN ĐỘ MUA HÀNG'!$A$4:$AT$4, 0)) = $B52) * (TRIM(INDEX('6. TIẾN ĐỘ MUA HÀNG'!$A:$AT, 0, XMATCH("Tháng", '6. TIẾN ĐỘ MUA HÀNG'!$A$4:$AT$4, 0))) = TRIM($K$6)) * (INDEX('6. TIẾN ĐỘ MUA HÀNG'!$A:$AT, 0, XMATCH("Phân loại VTBB/NL", '6. TIẾN ĐỘ MUA HÀNG'!$A$4:$AT$4, 0)) &lt;&gt; ""))</f>
        <v>0</v>
      </c>
      <c r="L52" s="742">
        <f t="array" ref="L52">SUMPRODUCT(IFERROR(INDEX('6. TIẾN ĐỘ MUA HÀNG'!$A$5:$AT81, 0, XMATCH("Thành tiền đơn hàng", '6. TIẾN ĐỘ MUA HÀNG'!$A$4:$AT$4, 0)), 0) * (INDEX('6. TIẾN ĐỘ MUA HÀNG'!$A$5:$AT81, 0, XMATCH("Phân loại VTBB/NL", '6. TIẾN ĐỘ MUA HÀNG'!$A$4:$AT$4, 0)) = $B52) * (TRIM(INDEX('6. TIẾN ĐỘ MUA HÀNG'!$A$5:$AT81, 0, XMATCH("Tháng", '6. TIẾN ĐỘ MUA HÀNG'!$A$4:$AT$4, 0))) = TRIM(K$6)))</f>
        <v>0</v>
      </c>
      <c r="M52" s="743">
        <f t="array" ref="M52">SUMPRODUCT((INDEX('6. TIẾN ĐỘ MUA HÀNG'!$A:$AT, 0, XMATCH("Phân loại VTBB/NL", '6. TIẾN ĐỘ MUA HÀNG'!$A$4:$AT$4, 0)) = $B52) * (TRIM(INDEX('6. TIẾN ĐỘ MUA HÀNG'!$A:$AT, 0, XMATCH("Tháng", '6. TIẾN ĐỘ MUA HÀNG'!$A$4:$AT$4, 0))) = TRIM(M$6)) * (INDEX('6. TIẾN ĐỘ MUA HÀNG'!$A:$AT, 0, XMATCH("Phân loại VTBB/NL", '6. TIẾN ĐỘ MUA HÀNG'!$A$4:$AT$4, 0)) &lt;&gt; ""))</f>
        <v>0</v>
      </c>
      <c r="N52" s="744">
        <f t="array" ref="N52">SUMPRODUCT(IFERROR(INDEX('6. TIẾN ĐỘ MUA HÀNG'!$A$5:$AT81, 0, XMATCH("Thành tiền đơn hàng", '6. TIẾN ĐỘ MUA HÀNG'!$A$4:$AT$4, 0)), 0) * (INDEX('6. TIẾN ĐỘ MUA HÀNG'!$A$5:$AT81, 0, XMATCH("Phân loại VTBB/NL", '6. TIẾN ĐỘ MUA HÀNG'!$A$4:$AT$4, 0)) = $B52) * (TRIM(INDEX('6. TIẾN ĐỘ MUA HÀNG'!$A$5:$AT81, 0, XMATCH("Tháng", '6. TIẾN ĐỘ MUA HÀNG'!$A$4:$AT$4, 0))) = TRIM(M$6)))</f>
        <v>0</v>
      </c>
      <c r="O52" s="741">
        <f t="array" ref="O52">SUMPRODUCT((INDEX('6. TIẾN ĐỘ MUA HÀNG'!$A:$AT, 0, XMATCH("Phân loại VTBB/NL", '6. TIẾN ĐỘ MUA HÀNG'!$A$4:$AT$4, 0)) = $B52) * (TRIM(INDEX('6. TIẾN ĐỘ MUA HÀNG'!$A:$AT, 0, XMATCH("Tháng", '6. TIẾN ĐỘ MUA HÀNG'!$A$4:$AT$4, 0))) = TRIM($O$6)) * (INDEX('6. TIẾN ĐỘ MUA HÀNG'!$A:$AT, 0, XMATCH("Phân loại VTBB/NL", '6. TIẾN ĐỘ MUA HÀNG'!$A$4:$AT$4, 0)) &lt;&gt; ""))</f>
        <v>0</v>
      </c>
      <c r="P52" s="742">
        <f t="array" ref="P52">SUMPRODUCT(IFERROR(INDEX('6. TIẾN ĐỘ MUA HÀNG'!$A$5:$AT81, 0, XMATCH("Thành tiền đơn hàng", '6. TIẾN ĐỘ MUA HÀNG'!$A$4:$AT$4, 0)), 0) * (INDEX('6. TIẾN ĐỘ MUA HÀNG'!$A$5:$AT81, 0, XMATCH("Phân loại VTBB/NL", '6. TIẾN ĐỘ MUA HÀNG'!$A$4:$AT$4, 0)) = $B52) * (TRIM(INDEX('6. TIẾN ĐỘ MUA HÀNG'!$A$5:$AT81, 0, XMATCH("Tháng", '6. TIẾN ĐỘ MUA HÀNG'!$A$4:$AT$4, 0))) = TRIM(O$6)))</f>
        <v>0</v>
      </c>
      <c r="Q52" s="743">
        <f t="array" ref="Q52">SUMPRODUCT((INDEX('6. TIẾN ĐỘ MUA HÀNG'!$A:$AT, 0, XMATCH("Phân loại VTBB/NL", '6. TIẾN ĐỘ MUA HÀNG'!$A$4:$AT$4, 0)) = $B52) * (TRIM(INDEX('6. TIẾN ĐỘ MUA HÀNG'!$A:$AT, 0, XMATCH("Tháng", '6. TIẾN ĐỘ MUA HÀNG'!$A$4:$AT$4, 0))) = TRIM(Q$6)) * (INDEX('6. TIẾN ĐỘ MUA HÀNG'!$A:$AT, 0, XMATCH("Phân loại VTBB/NL", '6. TIẾN ĐỘ MUA HÀNG'!$A$4:$AT$4, 0)) &lt;&gt; ""))</f>
        <v>0</v>
      </c>
      <c r="R52" s="744">
        <f t="array" ref="R52">SUMPRODUCT(IFERROR(INDEX('6. TIẾN ĐỘ MUA HÀNG'!$A$5:$AT81, 0, XMATCH("Thành tiền đơn hàng", '6. TIẾN ĐỘ MUA HÀNG'!$A$4:$AT$4, 0)), 0) * (INDEX('6. TIẾN ĐỘ MUA HÀNG'!$A$5:$AT81, 0, XMATCH("Phân loại VTBB/NL", '6. TIẾN ĐỘ MUA HÀNG'!$A$4:$AT$4, 0)) = $B52) * (TRIM(INDEX('6. TIẾN ĐỘ MUA HÀNG'!$A$5:$AT81, 0, XMATCH("Tháng", '6. TIẾN ĐỘ MUA HÀNG'!$A$4:$AT$4, 0))) = TRIM(Q$6)))</f>
        <v>0</v>
      </c>
      <c r="S52" s="741">
        <f t="array" ref="S52">SUMPRODUCT((INDEX('6. TIẾN ĐỘ MUA HÀNG'!$A:$AT, 0, XMATCH("Phân loại VTBB/NL", '6. TIẾN ĐỘ MUA HÀNG'!$A$4:$AT$4, 0)) = $B52) * (TRIM(INDEX('6. TIẾN ĐỘ MUA HÀNG'!$A:$AT, 0, XMATCH("Tháng", '6. TIẾN ĐỘ MUA HÀNG'!$A$4:$AT$4, 0))) = TRIM($S$6)) * (INDEX('6. TIẾN ĐỘ MUA HÀNG'!$A:$AT, 0, XMATCH("Phân loại VTBB/NL", '6. TIẾN ĐỘ MUA HÀNG'!$A$4:$AT$4, 0)) &lt;&gt; ""))</f>
        <v>0</v>
      </c>
      <c r="T52" s="742">
        <f t="array" ref="T52">SUMPRODUCT(IFERROR(INDEX('6. TIẾN ĐỘ MUA HÀNG'!$A$5:$AT81, 0, XMATCH("Thành tiền đơn hàng", '6. TIẾN ĐỘ MUA HÀNG'!$A$4:$AT$4, 0)), 0) * (INDEX('6. TIẾN ĐỘ MUA HÀNG'!$A$5:$AT81, 0, XMATCH("Phân loại VTBB/NL", '6. TIẾN ĐỘ MUA HÀNG'!$A$4:$AT$4, 0)) = $B52) * (TRIM(INDEX('6. TIẾN ĐỘ MUA HÀNG'!$A$5:$AT81, 0, XMATCH("Tháng", '6. TIẾN ĐỘ MUA HÀNG'!$A$4:$AT$4, 0))) = TRIM(S$6)))</f>
        <v>0</v>
      </c>
      <c r="U52" s="743">
        <f t="array" ref="U52">SUMPRODUCT((INDEX('6. TIẾN ĐỘ MUA HÀNG'!$A:$AT, 0, XMATCH("Phân loại VTBB/NL", '6. TIẾN ĐỘ MUA HÀNG'!$A$4:$AT$4, 0)) = $B52) * (TRIM(INDEX('6. TIẾN ĐỘ MUA HÀNG'!$A:$AT, 0, XMATCH("Tháng", '6. TIẾN ĐỘ MUA HÀNG'!$A$4:$AT$4, 0))) = TRIM(U$6)) * (INDEX('6. TIẾN ĐỘ MUA HÀNG'!$A:$AT, 0, XMATCH("Phân loại VTBB/NL", '6. TIẾN ĐỘ MUA HÀNG'!$A$4:$AT$4, 0)) &lt;&gt; ""))</f>
        <v>0</v>
      </c>
      <c r="V52" s="744">
        <f t="array" ref="V52">SUMPRODUCT(IFERROR(INDEX('6. TIẾN ĐỘ MUA HÀNG'!$A$5:$AT81, 0, XMATCH("Thành tiền đơn hàng", '6. TIẾN ĐỘ MUA HÀNG'!$A$4:$AT$4, 0)), 0) * (INDEX('6. TIẾN ĐỘ MUA HÀNG'!$A$5:$AT81, 0, XMATCH("Phân loại VTBB/NL", '6. TIẾN ĐỘ MUA HÀNG'!$A$4:$AT$4, 0)) = $B52) * (TRIM(INDEX('6. TIẾN ĐỘ MUA HÀNG'!$A$5:$AT81, 0, XMATCH("Tháng", '6. TIẾN ĐỘ MUA HÀNG'!$A$4:$AT$4, 0))) = TRIM(U$6)))</f>
        <v>0</v>
      </c>
      <c r="W52" s="741">
        <f t="array" ref="W52">SUMPRODUCT((INDEX('6. TIẾN ĐỘ MUA HÀNG'!$A:$AT, 0, XMATCH("Phân loại VTBB/NL", '6. TIẾN ĐỘ MUA HÀNG'!$A$4:$AT$4, 0)) = $B52) * (TRIM(INDEX('6. TIẾN ĐỘ MUA HÀNG'!$A:$AT, 0, XMATCH("Tháng", '6. TIẾN ĐỘ MUA HÀNG'!$A$4:$AT$4, 0))) = TRIM($W$6)) * (INDEX('6. TIẾN ĐỘ MUA HÀNG'!$A:$AT, 0, XMATCH("Phân loại VTBB/NL", '6. TIẾN ĐỘ MUA HÀNG'!$A$4:$AT$4, 0)) &lt;&gt; ""))</f>
        <v>0</v>
      </c>
      <c r="X52" s="742">
        <f t="array" ref="X52">SUMPRODUCT(IFERROR(INDEX('6. TIẾN ĐỘ MUA HÀNG'!$A$5:$AT81, 0, XMATCH("Thành tiền đơn hàng", '6. TIẾN ĐỘ MUA HÀNG'!$A$4:$AT$4, 0)), 0) * (INDEX('6. TIẾN ĐỘ MUA HÀNG'!$A$5:$AT81, 0, XMATCH("Phân loại VTBB/NL", '6. TIẾN ĐỘ MUA HÀNG'!$A$4:$AT$4, 0)) = $B52) * (TRIM(INDEX('6. TIẾN ĐỘ MUA HÀNG'!$A$5:$AT81, 0, XMATCH("Tháng", '6. TIẾN ĐỘ MUA HÀNG'!$A$4:$AT$4, 0))) = TRIM(W$6)))</f>
        <v>0</v>
      </c>
      <c r="Y52" s="743">
        <f t="array" ref="Y52">SUMPRODUCT((INDEX('6. TIẾN ĐỘ MUA HÀNG'!$A:$AT, 0, XMATCH("Phân loại VTBB/NL", '6. TIẾN ĐỘ MUA HÀNG'!$A$4:$AT$4, 0)) = $B52) * (TRIM(INDEX('6. TIẾN ĐỘ MUA HÀNG'!$A:$AT, 0, XMATCH("Tháng", '6. TIẾN ĐỘ MUA HÀNG'!$A$4:$AT$4, 0))) = TRIM(Y$6)) * (INDEX('6. TIẾN ĐỘ MUA HÀNG'!$A:$AT, 0, XMATCH("Phân loại VTBB/NL", '6. TIẾN ĐỘ MUA HÀNG'!$A$4:$AT$4, 0)) &lt;&gt; ""))</f>
        <v>0</v>
      </c>
      <c r="Z52" s="744">
        <f t="array" ref="Z52">SUMPRODUCT(IFERROR(INDEX('6. TIẾN ĐỘ MUA HÀNG'!$A$5:$AT81, 0, XMATCH("Thành tiền đơn hàng", '6. TIẾN ĐỘ MUA HÀNG'!$A$4:$AT$4, 0)), 0) * (INDEX('6. TIẾN ĐỘ MUA HÀNG'!$A$5:$AT81, 0, XMATCH("Phân loại VTBB/NL", '6. TIẾN ĐỘ MUA HÀNG'!$A$4:$AT$4, 0)) = $B52) * (TRIM(INDEX('6. TIẾN ĐỘ MUA HÀNG'!$A$5:$AT81, 0, XMATCH("Tháng", '6. TIẾN ĐỘ MUA HÀNG'!$A$4:$AT$4, 0))) = TRIM(Y$6)))</f>
        <v>0</v>
      </c>
      <c r="AA52" s="726">
        <f t="shared" si="2"/>
        <v>0</v>
      </c>
      <c r="AB52" s="726">
        <f t="shared" si="3"/>
        <v>0</v>
      </c>
    </row>
    <row r="53">
      <c r="A53" s="612">
        <v>45.0</v>
      </c>
      <c r="B53" s="597" t="str">
        <f>IFERROR(__xludf.DUMMYFUNCTION("""COMPUTED_VALUE"""),"Nhãn Decal")</f>
        <v>Nhãn Decal</v>
      </c>
      <c r="C53" s="741">
        <f t="array" ref="C53">SUMPRODUCT((INDEX('6. TIẾN ĐỘ MUA HÀNG'!$A:$AT, 0, XMATCH("Phân loại VTBB/NL", '6. TIẾN ĐỘ MUA HÀNG'!$A$4:$AT$4, 0)) = $B53) * (TRIM(INDEX('6. TIẾN ĐỘ MUA HÀNG'!$A:$AT, 0, XMATCH("Tháng", '6. TIẾN ĐỘ MUA HÀNG'!$A$4:$AT$4, 0))) = TRIM($C$6)) * (INDEX('6. TIẾN ĐỘ MUA HÀNG'!$A:$AT, 0, XMATCH("Phân loại VTBB/NL", '6. TIẾN ĐỘ MUA HÀNG'!$A$4:$AT$4, 0)) &lt;&gt; ""))</f>
        <v>0</v>
      </c>
      <c r="D53" s="742">
        <f t="array" ref="D53">SUMPRODUCT(IFERROR(INDEX('6. TIẾN ĐỘ MUA HÀNG'!$A$5:$AT81, 0, XMATCH("Thành tiền đơn hàng", '6. TIẾN ĐỘ MUA HÀNG'!$A$4:$AT$4, 0)), 0) * (INDEX('6. TIẾN ĐỘ MUA HÀNG'!$A$5:$AT81, 0, XMATCH("Phân loại VTBB/NL", '6. TIẾN ĐỘ MUA HÀNG'!$A$4:$AT$4, 0)) = $B53) * (TRIM(INDEX('6. TIẾN ĐỘ MUA HÀNG'!$A$5:$AT81, 0, XMATCH("Tháng", '6. TIẾN ĐỘ MUA HÀNG'!$A$4:$AT$4, 0))) = TRIM(C$6)))</f>
        <v>0</v>
      </c>
      <c r="E53" s="743">
        <f t="array" ref="E53">SUMPRODUCT((INDEX('6. TIẾN ĐỘ MUA HÀNG'!$A:$AT, 0, XMATCH("Phân loại VTBB/NL", '6. TIẾN ĐỘ MUA HÀNG'!$A$4:$AT$4, 0)) = $B53) * (TRIM(INDEX('6. TIẾN ĐỘ MUA HÀNG'!$A:$AT, 0, XMATCH("Tháng", '6. TIẾN ĐỘ MUA HÀNG'!$A$4:$AT$4, 0))) = TRIM(E$6)) * (INDEX('6. TIẾN ĐỘ MUA HÀNG'!$A:$AT, 0, XMATCH("Phân loại VTBB/NL", '6. TIẾN ĐỘ MUA HÀNG'!$A$4:$AT$4, 0)) &lt;&gt; ""))</f>
        <v>0</v>
      </c>
      <c r="F53" s="744">
        <f t="array" ref="F53">SUMPRODUCT(IFERROR(INDEX('6. TIẾN ĐỘ MUA HÀNG'!$A$5:$AT81, 0, XMATCH("Thành tiền đơn hàng", '6. TIẾN ĐỘ MUA HÀNG'!$A$4:$AT$4, 0)), 0) * (INDEX('6. TIẾN ĐỘ MUA HÀNG'!$A$5:$AT81, 0, XMATCH("Phân loại VTBB/NL", '6. TIẾN ĐỘ MUA HÀNG'!$A$4:$AT$4, 0)) = $B53) * (TRIM(INDEX('6. TIẾN ĐỘ MUA HÀNG'!$A$5:$AT81, 0, XMATCH("Tháng", '6. TIẾN ĐỘ MUA HÀNG'!$A$4:$AT$4, 0))) = TRIM(E$6)))</f>
        <v>0</v>
      </c>
      <c r="G53" s="741">
        <f t="array" ref="G53">SUMPRODUCT((INDEX('6. TIẾN ĐỘ MUA HÀNG'!$A:$AT, 0, XMATCH("Phân loại VTBB/NL", '6. TIẾN ĐỘ MUA HÀNG'!$A$4:$AT$4, 0)) = $B53) * (TRIM(INDEX('6. TIẾN ĐỘ MUA HÀNG'!$A:$AT, 0, XMATCH("Tháng", '6. TIẾN ĐỘ MUA HÀNG'!$A$4:$AT$4, 0))) = TRIM($G$6)) * (INDEX('6. TIẾN ĐỘ MUA HÀNG'!$A:$AT, 0, XMATCH("Phân loại VTBB/NL", '6. TIẾN ĐỘ MUA HÀNG'!$A$4:$AT$4, 0)) &lt;&gt; ""))</f>
        <v>0</v>
      </c>
      <c r="H53" s="742">
        <f t="array" ref="H53">SUMPRODUCT(IFERROR(INDEX('6. TIẾN ĐỘ MUA HÀNG'!$A$5:$AT81, 0, XMATCH("Thành tiền đơn hàng", '6. TIẾN ĐỘ MUA HÀNG'!$A$4:$AT$4, 0)), 0) * (INDEX('6. TIẾN ĐỘ MUA HÀNG'!$A$5:$AT81, 0, XMATCH("Phân loại VTBB/NL", '6. TIẾN ĐỘ MUA HÀNG'!$A$4:$AT$4, 0)) = $B53) * (TRIM(INDEX('6. TIẾN ĐỘ MUA HÀNG'!$A$5:$AT81, 0, XMATCH("Tháng", '6. TIẾN ĐỘ MUA HÀNG'!$A$4:$AT$4, 0))) = TRIM(G$6)))</f>
        <v>0</v>
      </c>
      <c r="I53" s="743">
        <f t="array" ref="I53">SUMPRODUCT((INDEX('6. TIẾN ĐỘ MUA HÀNG'!$A:$AT, 0, XMATCH("Phân loại VTBB/NL", '6. TIẾN ĐỘ MUA HÀNG'!$A$4:$AT$4, 0)) = $B53) * (TRIM(INDEX('6. TIẾN ĐỘ MUA HÀNG'!$A:$AT, 0, XMATCH("Tháng", '6. TIẾN ĐỘ MUA HÀNG'!$A$4:$AT$4, 0))) = TRIM(I$6)) * (INDEX('6. TIẾN ĐỘ MUA HÀNG'!$A:$AT, 0, XMATCH("Phân loại VTBB/NL", '6. TIẾN ĐỘ MUA HÀNG'!$A$4:$AT$4, 0)) &lt;&gt; ""))</f>
        <v>0</v>
      </c>
      <c r="J53" s="744">
        <f t="array" ref="J53">SUMPRODUCT(IFERROR(INDEX('6. TIẾN ĐỘ MUA HÀNG'!$A$5:$AT81, 0, XMATCH("Thành tiền đơn hàng", '6. TIẾN ĐỘ MUA HÀNG'!$A$4:$AT$4, 0)), 0) * (INDEX('6. TIẾN ĐỘ MUA HÀNG'!$A$5:$AT81, 0, XMATCH("Phân loại VTBB/NL", '6. TIẾN ĐỘ MUA HÀNG'!$A$4:$AT$4, 0)) = $B53) * (TRIM(INDEX('6. TIẾN ĐỘ MUA HÀNG'!$A$5:$AT81, 0, XMATCH("Tháng", '6. TIẾN ĐỘ MUA HÀNG'!$A$4:$AT$4, 0))) = TRIM(I$6)))</f>
        <v>0</v>
      </c>
      <c r="K53" s="741">
        <f t="array" ref="K53">SUMPRODUCT((INDEX('6. TIẾN ĐỘ MUA HÀNG'!$A:$AT, 0, XMATCH("Phân loại VTBB/NL", '6. TIẾN ĐỘ MUA HÀNG'!$A$4:$AT$4, 0)) = $B53) * (TRIM(INDEX('6. TIẾN ĐỘ MUA HÀNG'!$A:$AT, 0, XMATCH("Tháng", '6. TIẾN ĐỘ MUA HÀNG'!$A$4:$AT$4, 0))) = TRIM($K$6)) * (INDEX('6. TIẾN ĐỘ MUA HÀNG'!$A:$AT, 0, XMATCH("Phân loại VTBB/NL", '6. TIẾN ĐỘ MUA HÀNG'!$A$4:$AT$4, 0)) &lt;&gt; ""))</f>
        <v>0</v>
      </c>
      <c r="L53" s="742">
        <f t="array" ref="L53">SUMPRODUCT(IFERROR(INDEX('6. TIẾN ĐỘ MUA HÀNG'!$A$5:$AT81, 0, XMATCH("Thành tiền đơn hàng", '6. TIẾN ĐỘ MUA HÀNG'!$A$4:$AT$4, 0)), 0) * (INDEX('6. TIẾN ĐỘ MUA HÀNG'!$A$5:$AT81, 0, XMATCH("Phân loại VTBB/NL", '6. TIẾN ĐỘ MUA HÀNG'!$A$4:$AT$4, 0)) = $B53) * (TRIM(INDEX('6. TIẾN ĐỘ MUA HÀNG'!$A$5:$AT81, 0, XMATCH("Tháng", '6. TIẾN ĐỘ MUA HÀNG'!$A$4:$AT$4, 0))) = TRIM(K$6)))</f>
        <v>0</v>
      </c>
      <c r="M53" s="743">
        <f t="array" ref="M53">SUMPRODUCT((INDEX('6. TIẾN ĐỘ MUA HÀNG'!$A:$AT, 0, XMATCH("Phân loại VTBB/NL", '6. TIẾN ĐỘ MUA HÀNG'!$A$4:$AT$4, 0)) = $B53) * (TRIM(INDEX('6. TIẾN ĐỘ MUA HÀNG'!$A:$AT, 0, XMATCH("Tháng", '6. TIẾN ĐỘ MUA HÀNG'!$A$4:$AT$4, 0))) = TRIM(M$6)) * (INDEX('6. TIẾN ĐỘ MUA HÀNG'!$A:$AT, 0, XMATCH("Phân loại VTBB/NL", '6. TIẾN ĐỘ MUA HÀNG'!$A$4:$AT$4, 0)) &lt;&gt; ""))</f>
        <v>0</v>
      </c>
      <c r="N53" s="744">
        <f t="array" ref="N53">SUMPRODUCT(IFERROR(INDEX('6. TIẾN ĐỘ MUA HÀNG'!$A$5:$AT81, 0, XMATCH("Thành tiền đơn hàng", '6. TIẾN ĐỘ MUA HÀNG'!$A$4:$AT$4, 0)), 0) * (INDEX('6. TIẾN ĐỘ MUA HÀNG'!$A$5:$AT81, 0, XMATCH("Phân loại VTBB/NL", '6. TIẾN ĐỘ MUA HÀNG'!$A$4:$AT$4, 0)) = $B53) * (TRIM(INDEX('6. TIẾN ĐỘ MUA HÀNG'!$A$5:$AT81, 0, XMATCH("Tháng", '6. TIẾN ĐỘ MUA HÀNG'!$A$4:$AT$4, 0))) = TRIM(M$6)))</f>
        <v>0</v>
      </c>
      <c r="O53" s="741">
        <f t="array" ref="O53">SUMPRODUCT((INDEX('6. TIẾN ĐỘ MUA HÀNG'!$A:$AT, 0, XMATCH("Phân loại VTBB/NL", '6. TIẾN ĐỘ MUA HÀNG'!$A$4:$AT$4, 0)) = $B53) * (TRIM(INDEX('6. TIẾN ĐỘ MUA HÀNG'!$A:$AT, 0, XMATCH("Tháng", '6. TIẾN ĐỘ MUA HÀNG'!$A$4:$AT$4, 0))) = TRIM($O$6)) * (INDEX('6. TIẾN ĐỘ MUA HÀNG'!$A:$AT, 0, XMATCH("Phân loại VTBB/NL", '6. TIẾN ĐỘ MUA HÀNG'!$A$4:$AT$4, 0)) &lt;&gt; ""))</f>
        <v>0</v>
      </c>
      <c r="P53" s="742">
        <f t="array" ref="P53">SUMPRODUCT(IFERROR(INDEX('6. TIẾN ĐỘ MUA HÀNG'!$A$5:$AT81, 0, XMATCH("Thành tiền đơn hàng", '6. TIẾN ĐỘ MUA HÀNG'!$A$4:$AT$4, 0)), 0) * (INDEX('6. TIẾN ĐỘ MUA HÀNG'!$A$5:$AT81, 0, XMATCH("Phân loại VTBB/NL", '6. TIẾN ĐỘ MUA HÀNG'!$A$4:$AT$4, 0)) = $B53) * (TRIM(INDEX('6. TIẾN ĐỘ MUA HÀNG'!$A$5:$AT81, 0, XMATCH("Tháng", '6. TIẾN ĐỘ MUA HÀNG'!$A$4:$AT$4, 0))) = TRIM(O$6)))</f>
        <v>0</v>
      </c>
      <c r="Q53" s="743">
        <f t="array" ref="Q53">SUMPRODUCT((INDEX('6. TIẾN ĐỘ MUA HÀNG'!$A:$AT, 0, XMATCH("Phân loại VTBB/NL", '6. TIẾN ĐỘ MUA HÀNG'!$A$4:$AT$4, 0)) = $B53) * (TRIM(INDEX('6. TIẾN ĐỘ MUA HÀNG'!$A:$AT, 0, XMATCH("Tháng", '6. TIẾN ĐỘ MUA HÀNG'!$A$4:$AT$4, 0))) = TRIM(Q$6)) * (INDEX('6. TIẾN ĐỘ MUA HÀNG'!$A:$AT, 0, XMATCH("Phân loại VTBB/NL", '6. TIẾN ĐỘ MUA HÀNG'!$A$4:$AT$4, 0)) &lt;&gt; ""))</f>
        <v>0</v>
      </c>
      <c r="R53" s="744">
        <f t="array" ref="R53">SUMPRODUCT(IFERROR(INDEX('6. TIẾN ĐỘ MUA HÀNG'!$A$5:$AT81, 0, XMATCH("Thành tiền đơn hàng", '6. TIẾN ĐỘ MUA HÀNG'!$A$4:$AT$4, 0)), 0) * (INDEX('6. TIẾN ĐỘ MUA HÀNG'!$A$5:$AT81, 0, XMATCH("Phân loại VTBB/NL", '6. TIẾN ĐỘ MUA HÀNG'!$A$4:$AT$4, 0)) = $B53) * (TRIM(INDEX('6. TIẾN ĐỘ MUA HÀNG'!$A$5:$AT81, 0, XMATCH("Tháng", '6. TIẾN ĐỘ MUA HÀNG'!$A$4:$AT$4, 0))) = TRIM(Q$6)))</f>
        <v>0</v>
      </c>
      <c r="S53" s="741">
        <f t="array" ref="S53">SUMPRODUCT((INDEX('6. TIẾN ĐỘ MUA HÀNG'!$A:$AT, 0, XMATCH("Phân loại VTBB/NL", '6. TIẾN ĐỘ MUA HÀNG'!$A$4:$AT$4, 0)) = $B53) * (TRIM(INDEX('6. TIẾN ĐỘ MUA HÀNG'!$A:$AT, 0, XMATCH("Tháng", '6. TIẾN ĐỘ MUA HÀNG'!$A$4:$AT$4, 0))) = TRIM($S$6)) * (INDEX('6. TIẾN ĐỘ MUA HÀNG'!$A:$AT, 0, XMATCH("Phân loại VTBB/NL", '6. TIẾN ĐỘ MUA HÀNG'!$A$4:$AT$4, 0)) &lt;&gt; ""))</f>
        <v>0</v>
      </c>
      <c r="T53" s="742">
        <f t="array" ref="T53">SUMPRODUCT(IFERROR(INDEX('6. TIẾN ĐỘ MUA HÀNG'!$A$5:$AT81, 0, XMATCH("Thành tiền đơn hàng", '6. TIẾN ĐỘ MUA HÀNG'!$A$4:$AT$4, 0)), 0) * (INDEX('6. TIẾN ĐỘ MUA HÀNG'!$A$5:$AT81, 0, XMATCH("Phân loại VTBB/NL", '6. TIẾN ĐỘ MUA HÀNG'!$A$4:$AT$4, 0)) = $B53) * (TRIM(INDEX('6. TIẾN ĐỘ MUA HÀNG'!$A$5:$AT81, 0, XMATCH("Tháng", '6. TIẾN ĐỘ MUA HÀNG'!$A$4:$AT$4, 0))) = TRIM(S$6)))</f>
        <v>0</v>
      </c>
      <c r="U53" s="743">
        <f t="array" ref="U53">SUMPRODUCT((INDEX('6. TIẾN ĐỘ MUA HÀNG'!$A:$AT, 0, XMATCH("Phân loại VTBB/NL", '6. TIẾN ĐỘ MUA HÀNG'!$A$4:$AT$4, 0)) = $B53) * (TRIM(INDEX('6. TIẾN ĐỘ MUA HÀNG'!$A:$AT, 0, XMATCH("Tháng", '6. TIẾN ĐỘ MUA HÀNG'!$A$4:$AT$4, 0))) = TRIM(U$6)) * (INDEX('6. TIẾN ĐỘ MUA HÀNG'!$A:$AT, 0, XMATCH("Phân loại VTBB/NL", '6. TIẾN ĐỘ MUA HÀNG'!$A$4:$AT$4, 0)) &lt;&gt; ""))</f>
        <v>0</v>
      </c>
      <c r="V53" s="744">
        <f t="array" ref="V53">SUMPRODUCT(IFERROR(INDEX('6. TIẾN ĐỘ MUA HÀNG'!$A$5:$AT81, 0, XMATCH("Thành tiền đơn hàng", '6. TIẾN ĐỘ MUA HÀNG'!$A$4:$AT$4, 0)), 0) * (INDEX('6. TIẾN ĐỘ MUA HÀNG'!$A$5:$AT81, 0, XMATCH("Phân loại VTBB/NL", '6. TIẾN ĐỘ MUA HÀNG'!$A$4:$AT$4, 0)) = $B53) * (TRIM(INDEX('6. TIẾN ĐỘ MUA HÀNG'!$A$5:$AT81, 0, XMATCH("Tháng", '6. TIẾN ĐỘ MUA HÀNG'!$A$4:$AT$4, 0))) = TRIM(U$6)))</f>
        <v>0</v>
      </c>
      <c r="W53" s="741">
        <f t="array" ref="W53">SUMPRODUCT((INDEX('6. TIẾN ĐỘ MUA HÀNG'!$A:$AT, 0, XMATCH("Phân loại VTBB/NL", '6. TIẾN ĐỘ MUA HÀNG'!$A$4:$AT$4, 0)) = $B53) * (TRIM(INDEX('6. TIẾN ĐỘ MUA HÀNG'!$A:$AT, 0, XMATCH("Tháng", '6. TIẾN ĐỘ MUA HÀNG'!$A$4:$AT$4, 0))) = TRIM($W$6)) * (INDEX('6. TIẾN ĐỘ MUA HÀNG'!$A:$AT, 0, XMATCH("Phân loại VTBB/NL", '6. TIẾN ĐỘ MUA HÀNG'!$A$4:$AT$4, 0)) &lt;&gt; ""))</f>
        <v>0</v>
      </c>
      <c r="X53" s="742">
        <f t="array" ref="X53">SUMPRODUCT(IFERROR(INDEX('6. TIẾN ĐỘ MUA HÀNG'!$A$5:$AT81, 0, XMATCH("Thành tiền đơn hàng", '6. TIẾN ĐỘ MUA HÀNG'!$A$4:$AT$4, 0)), 0) * (INDEX('6. TIẾN ĐỘ MUA HÀNG'!$A$5:$AT81, 0, XMATCH("Phân loại VTBB/NL", '6. TIẾN ĐỘ MUA HÀNG'!$A$4:$AT$4, 0)) = $B53) * (TRIM(INDEX('6. TIẾN ĐỘ MUA HÀNG'!$A$5:$AT81, 0, XMATCH("Tháng", '6. TIẾN ĐỘ MUA HÀNG'!$A$4:$AT$4, 0))) = TRIM(W$6)))</f>
        <v>0</v>
      </c>
      <c r="Y53" s="743">
        <f t="array" ref="Y53">SUMPRODUCT((INDEX('6. TIẾN ĐỘ MUA HÀNG'!$A:$AT, 0, XMATCH("Phân loại VTBB/NL", '6. TIẾN ĐỘ MUA HÀNG'!$A$4:$AT$4, 0)) = $B53) * (TRIM(INDEX('6. TIẾN ĐỘ MUA HÀNG'!$A:$AT, 0, XMATCH("Tháng", '6. TIẾN ĐỘ MUA HÀNG'!$A$4:$AT$4, 0))) = TRIM(Y$6)) * (INDEX('6. TIẾN ĐỘ MUA HÀNG'!$A:$AT, 0, XMATCH("Phân loại VTBB/NL", '6. TIẾN ĐỘ MUA HÀNG'!$A$4:$AT$4, 0)) &lt;&gt; ""))</f>
        <v>0</v>
      </c>
      <c r="Z53" s="744">
        <f t="array" ref="Z53">SUMPRODUCT(IFERROR(INDEX('6. TIẾN ĐỘ MUA HÀNG'!$A$5:$AT81, 0, XMATCH("Thành tiền đơn hàng", '6. TIẾN ĐỘ MUA HÀNG'!$A$4:$AT$4, 0)), 0) * (INDEX('6. TIẾN ĐỘ MUA HÀNG'!$A$5:$AT81, 0, XMATCH("Phân loại VTBB/NL", '6. TIẾN ĐỘ MUA HÀNG'!$A$4:$AT$4, 0)) = $B53) * (TRIM(INDEX('6. TIẾN ĐỘ MUA HÀNG'!$A$5:$AT81, 0, XMATCH("Tháng", '6. TIẾN ĐỘ MUA HÀNG'!$A$4:$AT$4, 0))) = TRIM(Y$6)))</f>
        <v>0</v>
      </c>
      <c r="AA53" s="726">
        <f t="shared" si="2"/>
        <v>0</v>
      </c>
      <c r="AB53" s="726">
        <f t="shared" si="3"/>
        <v>0</v>
      </c>
    </row>
    <row r="54">
      <c r="A54" s="612">
        <v>46.0</v>
      </c>
      <c r="B54" s="597" t="str">
        <f>IFERROR(__xludf.DUMMYFUNCTION("""COMPUTED_VALUE"""),"Nhãn Phụ")</f>
        <v>Nhãn Phụ</v>
      </c>
      <c r="C54" s="741">
        <f t="array" ref="C54">SUMPRODUCT((INDEX('6. TIẾN ĐỘ MUA HÀNG'!$A:$AT, 0, XMATCH("Phân loại VTBB/NL", '6. TIẾN ĐỘ MUA HÀNG'!$A$4:$AT$4, 0)) = $B54) * (TRIM(INDEX('6. TIẾN ĐỘ MUA HÀNG'!$A:$AT, 0, XMATCH("Tháng", '6. TIẾN ĐỘ MUA HÀNG'!$A$4:$AT$4, 0))) = TRIM($C$6)) * (INDEX('6. TIẾN ĐỘ MUA HÀNG'!$A:$AT, 0, XMATCH("Phân loại VTBB/NL", '6. TIẾN ĐỘ MUA HÀNG'!$A$4:$AT$4, 0)) &lt;&gt; ""))</f>
        <v>0</v>
      </c>
      <c r="D54" s="742">
        <f t="array" ref="D54">SUMPRODUCT(IFERROR(INDEX('6. TIẾN ĐỘ MUA HÀNG'!$A$5:$AT81, 0, XMATCH("Thành tiền đơn hàng", '6. TIẾN ĐỘ MUA HÀNG'!$A$4:$AT$4, 0)), 0) * (INDEX('6. TIẾN ĐỘ MUA HÀNG'!$A$5:$AT81, 0, XMATCH("Phân loại VTBB/NL", '6. TIẾN ĐỘ MUA HÀNG'!$A$4:$AT$4, 0)) = $B54) * (TRIM(INDEX('6. TIẾN ĐỘ MUA HÀNG'!$A$5:$AT81, 0, XMATCH("Tháng", '6. TIẾN ĐỘ MUA HÀNG'!$A$4:$AT$4, 0))) = TRIM(C$6)))</f>
        <v>0</v>
      </c>
      <c r="E54" s="743">
        <f t="array" ref="E54">SUMPRODUCT((INDEX('6. TIẾN ĐỘ MUA HÀNG'!$A:$AT, 0, XMATCH("Phân loại VTBB/NL", '6. TIẾN ĐỘ MUA HÀNG'!$A$4:$AT$4, 0)) = $B54) * (TRIM(INDEX('6. TIẾN ĐỘ MUA HÀNG'!$A:$AT, 0, XMATCH("Tháng", '6. TIẾN ĐỘ MUA HÀNG'!$A$4:$AT$4, 0))) = TRIM(E$6)) * (INDEX('6. TIẾN ĐỘ MUA HÀNG'!$A:$AT, 0, XMATCH("Phân loại VTBB/NL", '6. TIẾN ĐỘ MUA HÀNG'!$A$4:$AT$4, 0)) &lt;&gt; ""))</f>
        <v>0</v>
      </c>
      <c r="F54" s="744">
        <f t="array" ref="F54">SUMPRODUCT(IFERROR(INDEX('6. TIẾN ĐỘ MUA HÀNG'!$A$5:$AT81, 0, XMATCH("Thành tiền đơn hàng", '6. TIẾN ĐỘ MUA HÀNG'!$A$4:$AT$4, 0)), 0) * (INDEX('6. TIẾN ĐỘ MUA HÀNG'!$A$5:$AT81, 0, XMATCH("Phân loại VTBB/NL", '6. TIẾN ĐỘ MUA HÀNG'!$A$4:$AT$4, 0)) = $B54) * (TRIM(INDEX('6. TIẾN ĐỘ MUA HÀNG'!$A$5:$AT81, 0, XMATCH("Tháng", '6. TIẾN ĐỘ MUA HÀNG'!$A$4:$AT$4, 0))) = TRIM(E$6)))</f>
        <v>0</v>
      </c>
      <c r="G54" s="741">
        <f t="array" ref="G54">SUMPRODUCT((INDEX('6. TIẾN ĐỘ MUA HÀNG'!$A:$AT, 0, XMATCH("Phân loại VTBB/NL", '6. TIẾN ĐỘ MUA HÀNG'!$A$4:$AT$4, 0)) = $B54) * (TRIM(INDEX('6. TIẾN ĐỘ MUA HÀNG'!$A:$AT, 0, XMATCH("Tháng", '6. TIẾN ĐỘ MUA HÀNG'!$A$4:$AT$4, 0))) = TRIM($G$6)) * (INDEX('6. TIẾN ĐỘ MUA HÀNG'!$A:$AT, 0, XMATCH("Phân loại VTBB/NL", '6. TIẾN ĐỘ MUA HÀNG'!$A$4:$AT$4, 0)) &lt;&gt; ""))</f>
        <v>0</v>
      </c>
      <c r="H54" s="742">
        <f t="array" ref="H54">SUMPRODUCT(IFERROR(INDEX('6. TIẾN ĐỘ MUA HÀNG'!$A$5:$AT81, 0, XMATCH("Thành tiền đơn hàng", '6. TIẾN ĐỘ MUA HÀNG'!$A$4:$AT$4, 0)), 0) * (INDEX('6. TIẾN ĐỘ MUA HÀNG'!$A$5:$AT81, 0, XMATCH("Phân loại VTBB/NL", '6. TIẾN ĐỘ MUA HÀNG'!$A$4:$AT$4, 0)) = $B54) * (TRIM(INDEX('6. TIẾN ĐỘ MUA HÀNG'!$A$5:$AT81, 0, XMATCH("Tháng", '6. TIẾN ĐỘ MUA HÀNG'!$A$4:$AT$4, 0))) = TRIM(G$6)))</f>
        <v>0</v>
      </c>
      <c r="I54" s="743">
        <f t="array" ref="I54">SUMPRODUCT((INDEX('6. TIẾN ĐỘ MUA HÀNG'!$A:$AT, 0, XMATCH("Phân loại VTBB/NL", '6. TIẾN ĐỘ MUA HÀNG'!$A$4:$AT$4, 0)) = $B54) * (TRIM(INDEX('6. TIẾN ĐỘ MUA HÀNG'!$A:$AT, 0, XMATCH("Tháng", '6. TIẾN ĐỘ MUA HÀNG'!$A$4:$AT$4, 0))) = TRIM(I$6)) * (INDEX('6. TIẾN ĐỘ MUA HÀNG'!$A:$AT, 0, XMATCH("Phân loại VTBB/NL", '6. TIẾN ĐỘ MUA HÀNG'!$A$4:$AT$4, 0)) &lt;&gt; ""))</f>
        <v>0</v>
      </c>
      <c r="J54" s="744">
        <f t="array" ref="J54">SUMPRODUCT(IFERROR(INDEX('6. TIẾN ĐỘ MUA HÀNG'!$A$5:$AT81, 0, XMATCH("Thành tiền đơn hàng", '6. TIẾN ĐỘ MUA HÀNG'!$A$4:$AT$4, 0)), 0) * (INDEX('6. TIẾN ĐỘ MUA HÀNG'!$A$5:$AT81, 0, XMATCH("Phân loại VTBB/NL", '6. TIẾN ĐỘ MUA HÀNG'!$A$4:$AT$4, 0)) = $B54) * (TRIM(INDEX('6. TIẾN ĐỘ MUA HÀNG'!$A$5:$AT81, 0, XMATCH("Tháng", '6. TIẾN ĐỘ MUA HÀNG'!$A$4:$AT$4, 0))) = TRIM(I$6)))</f>
        <v>0</v>
      </c>
      <c r="K54" s="741">
        <f t="array" ref="K54">SUMPRODUCT((INDEX('6. TIẾN ĐỘ MUA HÀNG'!$A:$AT, 0, XMATCH("Phân loại VTBB/NL", '6. TIẾN ĐỘ MUA HÀNG'!$A$4:$AT$4, 0)) = $B54) * (TRIM(INDEX('6. TIẾN ĐỘ MUA HÀNG'!$A:$AT, 0, XMATCH("Tháng", '6. TIẾN ĐỘ MUA HÀNG'!$A$4:$AT$4, 0))) = TRIM($K$6)) * (INDEX('6. TIẾN ĐỘ MUA HÀNG'!$A:$AT, 0, XMATCH("Phân loại VTBB/NL", '6. TIẾN ĐỘ MUA HÀNG'!$A$4:$AT$4, 0)) &lt;&gt; ""))</f>
        <v>0</v>
      </c>
      <c r="L54" s="742">
        <f t="array" ref="L54">SUMPRODUCT(IFERROR(INDEX('6. TIẾN ĐỘ MUA HÀNG'!$A$5:$AT81, 0, XMATCH("Thành tiền đơn hàng", '6. TIẾN ĐỘ MUA HÀNG'!$A$4:$AT$4, 0)), 0) * (INDEX('6. TIẾN ĐỘ MUA HÀNG'!$A$5:$AT81, 0, XMATCH("Phân loại VTBB/NL", '6. TIẾN ĐỘ MUA HÀNG'!$A$4:$AT$4, 0)) = $B54) * (TRIM(INDEX('6. TIẾN ĐỘ MUA HÀNG'!$A$5:$AT81, 0, XMATCH("Tháng", '6. TIẾN ĐỘ MUA HÀNG'!$A$4:$AT$4, 0))) = TRIM(K$6)))</f>
        <v>0</v>
      </c>
      <c r="M54" s="743">
        <f t="array" ref="M54">SUMPRODUCT((INDEX('6. TIẾN ĐỘ MUA HÀNG'!$A:$AT, 0, XMATCH("Phân loại VTBB/NL", '6. TIẾN ĐỘ MUA HÀNG'!$A$4:$AT$4, 0)) = $B54) * (TRIM(INDEX('6. TIẾN ĐỘ MUA HÀNG'!$A:$AT, 0, XMATCH("Tháng", '6. TIẾN ĐỘ MUA HÀNG'!$A$4:$AT$4, 0))) = TRIM(M$6)) * (INDEX('6. TIẾN ĐỘ MUA HÀNG'!$A:$AT, 0, XMATCH("Phân loại VTBB/NL", '6. TIẾN ĐỘ MUA HÀNG'!$A$4:$AT$4, 0)) &lt;&gt; ""))</f>
        <v>0</v>
      </c>
      <c r="N54" s="744">
        <f t="array" ref="N54">SUMPRODUCT(IFERROR(INDEX('6. TIẾN ĐỘ MUA HÀNG'!$A$5:$AT81, 0, XMATCH("Thành tiền đơn hàng", '6. TIẾN ĐỘ MUA HÀNG'!$A$4:$AT$4, 0)), 0) * (INDEX('6. TIẾN ĐỘ MUA HÀNG'!$A$5:$AT81, 0, XMATCH("Phân loại VTBB/NL", '6. TIẾN ĐỘ MUA HÀNG'!$A$4:$AT$4, 0)) = $B54) * (TRIM(INDEX('6. TIẾN ĐỘ MUA HÀNG'!$A$5:$AT81, 0, XMATCH("Tháng", '6. TIẾN ĐỘ MUA HÀNG'!$A$4:$AT$4, 0))) = TRIM(M$6)))</f>
        <v>0</v>
      </c>
      <c r="O54" s="741">
        <f t="array" ref="O54">SUMPRODUCT((INDEX('6. TIẾN ĐỘ MUA HÀNG'!$A:$AT, 0, XMATCH("Phân loại VTBB/NL", '6. TIẾN ĐỘ MUA HÀNG'!$A$4:$AT$4, 0)) = $B54) * (TRIM(INDEX('6. TIẾN ĐỘ MUA HÀNG'!$A:$AT, 0, XMATCH("Tháng", '6. TIẾN ĐỘ MUA HÀNG'!$A$4:$AT$4, 0))) = TRIM($O$6)) * (INDEX('6. TIẾN ĐỘ MUA HÀNG'!$A:$AT, 0, XMATCH("Phân loại VTBB/NL", '6. TIẾN ĐỘ MUA HÀNG'!$A$4:$AT$4, 0)) &lt;&gt; ""))</f>
        <v>0</v>
      </c>
      <c r="P54" s="742">
        <f t="array" ref="P54">SUMPRODUCT(IFERROR(INDEX('6. TIẾN ĐỘ MUA HÀNG'!$A$5:$AT81, 0, XMATCH("Thành tiền đơn hàng", '6. TIẾN ĐỘ MUA HÀNG'!$A$4:$AT$4, 0)), 0) * (INDEX('6. TIẾN ĐỘ MUA HÀNG'!$A$5:$AT81, 0, XMATCH("Phân loại VTBB/NL", '6. TIẾN ĐỘ MUA HÀNG'!$A$4:$AT$4, 0)) = $B54) * (TRIM(INDEX('6. TIẾN ĐỘ MUA HÀNG'!$A$5:$AT81, 0, XMATCH("Tháng", '6. TIẾN ĐỘ MUA HÀNG'!$A$4:$AT$4, 0))) = TRIM(O$6)))</f>
        <v>0</v>
      </c>
      <c r="Q54" s="743">
        <f t="array" ref="Q54">SUMPRODUCT((INDEX('6. TIẾN ĐỘ MUA HÀNG'!$A:$AT, 0, XMATCH("Phân loại VTBB/NL", '6. TIẾN ĐỘ MUA HÀNG'!$A$4:$AT$4, 0)) = $B54) * (TRIM(INDEX('6. TIẾN ĐỘ MUA HÀNG'!$A:$AT, 0, XMATCH("Tháng", '6. TIẾN ĐỘ MUA HÀNG'!$A$4:$AT$4, 0))) = TRIM(Q$6)) * (INDEX('6. TIẾN ĐỘ MUA HÀNG'!$A:$AT, 0, XMATCH("Phân loại VTBB/NL", '6. TIẾN ĐỘ MUA HÀNG'!$A$4:$AT$4, 0)) &lt;&gt; ""))</f>
        <v>0</v>
      </c>
      <c r="R54" s="744">
        <f t="array" ref="R54">SUMPRODUCT(IFERROR(INDEX('6. TIẾN ĐỘ MUA HÀNG'!$A$5:$AT81, 0, XMATCH("Thành tiền đơn hàng", '6. TIẾN ĐỘ MUA HÀNG'!$A$4:$AT$4, 0)), 0) * (INDEX('6. TIẾN ĐỘ MUA HÀNG'!$A$5:$AT81, 0, XMATCH("Phân loại VTBB/NL", '6. TIẾN ĐỘ MUA HÀNG'!$A$4:$AT$4, 0)) = $B54) * (TRIM(INDEX('6. TIẾN ĐỘ MUA HÀNG'!$A$5:$AT81, 0, XMATCH("Tháng", '6. TIẾN ĐỘ MUA HÀNG'!$A$4:$AT$4, 0))) = TRIM(Q$6)))</f>
        <v>0</v>
      </c>
      <c r="S54" s="741">
        <f t="array" ref="S54">SUMPRODUCT((INDEX('6. TIẾN ĐỘ MUA HÀNG'!$A:$AT, 0, XMATCH("Phân loại VTBB/NL", '6. TIẾN ĐỘ MUA HÀNG'!$A$4:$AT$4, 0)) = $B54) * (TRIM(INDEX('6. TIẾN ĐỘ MUA HÀNG'!$A:$AT, 0, XMATCH("Tháng", '6. TIẾN ĐỘ MUA HÀNG'!$A$4:$AT$4, 0))) = TRIM($S$6)) * (INDEX('6. TIẾN ĐỘ MUA HÀNG'!$A:$AT, 0, XMATCH("Phân loại VTBB/NL", '6. TIẾN ĐỘ MUA HÀNG'!$A$4:$AT$4, 0)) &lt;&gt; ""))</f>
        <v>0</v>
      </c>
      <c r="T54" s="742">
        <f t="array" ref="T54">SUMPRODUCT(IFERROR(INDEX('6. TIẾN ĐỘ MUA HÀNG'!$A$5:$AT81, 0, XMATCH("Thành tiền đơn hàng", '6. TIẾN ĐỘ MUA HÀNG'!$A$4:$AT$4, 0)), 0) * (INDEX('6. TIẾN ĐỘ MUA HÀNG'!$A$5:$AT81, 0, XMATCH("Phân loại VTBB/NL", '6. TIẾN ĐỘ MUA HÀNG'!$A$4:$AT$4, 0)) = $B54) * (TRIM(INDEX('6. TIẾN ĐỘ MUA HÀNG'!$A$5:$AT81, 0, XMATCH("Tháng", '6. TIẾN ĐỘ MUA HÀNG'!$A$4:$AT$4, 0))) = TRIM(S$6)))</f>
        <v>0</v>
      </c>
      <c r="U54" s="743">
        <f t="array" ref="U54">SUMPRODUCT((INDEX('6. TIẾN ĐỘ MUA HÀNG'!$A:$AT, 0, XMATCH("Phân loại VTBB/NL", '6. TIẾN ĐỘ MUA HÀNG'!$A$4:$AT$4, 0)) = $B54) * (TRIM(INDEX('6. TIẾN ĐỘ MUA HÀNG'!$A:$AT, 0, XMATCH("Tháng", '6. TIẾN ĐỘ MUA HÀNG'!$A$4:$AT$4, 0))) = TRIM(U$6)) * (INDEX('6. TIẾN ĐỘ MUA HÀNG'!$A:$AT, 0, XMATCH("Phân loại VTBB/NL", '6. TIẾN ĐỘ MUA HÀNG'!$A$4:$AT$4, 0)) &lt;&gt; ""))</f>
        <v>0</v>
      </c>
      <c r="V54" s="744">
        <f t="array" ref="V54">SUMPRODUCT(IFERROR(INDEX('6. TIẾN ĐỘ MUA HÀNG'!$A$5:$AT81, 0, XMATCH("Thành tiền đơn hàng", '6. TIẾN ĐỘ MUA HÀNG'!$A$4:$AT$4, 0)), 0) * (INDEX('6. TIẾN ĐỘ MUA HÀNG'!$A$5:$AT81, 0, XMATCH("Phân loại VTBB/NL", '6. TIẾN ĐỘ MUA HÀNG'!$A$4:$AT$4, 0)) = $B54) * (TRIM(INDEX('6. TIẾN ĐỘ MUA HÀNG'!$A$5:$AT81, 0, XMATCH("Tháng", '6. TIẾN ĐỘ MUA HÀNG'!$A$4:$AT$4, 0))) = TRIM(U$6)))</f>
        <v>0</v>
      </c>
      <c r="W54" s="741">
        <f t="array" ref="W54">SUMPRODUCT((INDEX('6. TIẾN ĐỘ MUA HÀNG'!$A:$AT, 0, XMATCH("Phân loại VTBB/NL", '6. TIẾN ĐỘ MUA HÀNG'!$A$4:$AT$4, 0)) = $B54) * (TRIM(INDEX('6. TIẾN ĐỘ MUA HÀNG'!$A:$AT, 0, XMATCH("Tháng", '6. TIẾN ĐỘ MUA HÀNG'!$A$4:$AT$4, 0))) = TRIM($W$6)) * (INDEX('6. TIẾN ĐỘ MUA HÀNG'!$A:$AT, 0, XMATCH("Phân loại VTBB/NL", '6. TIẾN ĐỘ MUA HÀNG'!$A$4:$AT$4, 0)) &lt;&gt; ""))</f>
        <v>0</v>
      </c>
      <c r="X54" s="742">
        <f t="array" ref="X54">SUMPRODUCT(IFERROR(INDEX('6. TIẾN ĐỘ MUA HÀNG'!$A$5:$AT81, 0, XMATCH("Thành tiền đơn hàng", '6. TIẾN ĐỘ MUA HÀNG'!$A$4:$AT$4, 0)), 0) * (INDEX('6. TIẾN ĐỘ MUA HÀNG'!$A$5:$AT81, 0, XMATCH("Phân loại VTBB/NL", '6. TIẾN ĐỘ MUA HÀNG'!$A$4:$AT$4, 0)) = $B54) * (TRIM(INDEX('6. TIẾN ĐỘ MUA HÀNG'!$A$5:$AT81, 0, XMATCH("Tháng", '6. TIẾN ĐỘ MUA HÀNG'!$A$4:$AT$4, 0))) = TRIM(W$6)))</f>
        <v>0</v>
      </c>
      <c r="Y54" s="743">
        <f t="array" ref="Y54">SUMPRODUCT((INDEX('6. TIẾN ĐỘ MUA HÀNG'!$A:$AT, 0, XMATCH("Phân loại VTBB/NL", '6. TIẾN ĐỘ MUA HÀNG'!$A$4:$AT$4, 0)) = $B54) * (TRIM(INDEX('6. TIẾN ĐỘ MUA HÀNG'!$A:$AT, 0, XMATCH("Tháng", '6. TIẾN ĐỘ MUA HÀNG'!$A$4:$AT$4, 0))) = TRIM(Y$6)) * (INDEX('6. TIẾN ĐỘ MUA HÀNG'!$A:$AT, 0, XMATCH("Phân loại VTBB/NL", '6. TIẾN ĐỘ MUA HÀNG'!$A$4:$AT$4, 0)) &lt;&gt; ""))</f>
        <v>0</v>
      </c>
      <c r="Z54" s="744">
        <f t="array" ref="Z54">SUMPRODUCT(IFERROR(INDEX('6. TIẾN ĐỘ MUA HÀNG'!$A$5:$AT81, 0, XMATCH("Thành tiền đơn hàng", '6. TIẾN ĐỘ MUA HÀNG'!$A$4:$AT$4, 0)), 0) * (INDEX('6. TIẾN ĐỘ MUA HÀNG'!$A$5:$AT81, 0, XMATCH("Phân loại VTBB/NL", '6. TIẾN ĐỘ MUA HÀNG'!$A$4:$AT$4, 0)) = $B54) * (TRIM(INDEX('6. TIẾN ĐỘ MUA HÀNG'!$A$5:$AT81, 0, XMATCH("Tháng", '6. TIẾN ĐỘ MUA HÀNG'!$A$4:$AT$4, 0))) = TRIM(Y$6)))</f>
        <v>0</v>
      </c>
      <c r="AA54" s="726">
        <f t="shared" si="2"/>
        <v>0</v>
      </c>
      <c r="AB54" s="726">
        <f t="shared" si="3"/>
        <v>0</v>
      </c>
    </row>
    <row r="55">
      <c r="A55" s="612">
        <v>47.0</v>
      </c>
      <c r="B55" s="597" t="str">
        <f>IFERROR(__xludf.DUMMYFUNCTION("""COMPUTED_VALUE"""),"Nhãn dán thùng")</f>
        <v>Nhãn dán thùng</v>
      </c>
      <c r="C55" s="741">
        <f t="array" ref="C55">SUMPRODUCT((INDEX('6. TIẾN ĐỘ MUA HÀNG'!$A:$AT, 0, XMATCH("Phân loại VTBB/NL", '6. TIẾN ĐỘ MUA HÀNG'!$A$4:$AT$4, 0)) = $B55) * (TRIM(INDEX('6. TIẾN ĐỘ MUA HÀNG'!$A:$AT, 0, XMATCH("Tháng", '6. TIẾN ĐỘ MUA HÀNG'!$A$4:$AT$4, 0))) = TRIM($C$6)) * (INDEX('6. TIẾN ĐỘ MUA HÀNG'!$A:$AT, 0, XMATCH("Phân loại VTBB/NL", '6. TIẾN ĐỘ MUA HÀNG'!$A$4:$AT$4, 0)) &lt;&gt; ""))</f>
        <v>0</v>
      </c>
      <c r="D55" s="742">
        <f t="array" ref="D55">SUMPRODUCT(IFERROR(INDEX('6. TIẾN ĐỘ MUA HÀNG'!$A$5:$AT81, 0, XMATCH("Thành tiền đơn hàng", '6. TIẾN ĐỘ MUA HÀNG'!$A$4:$AT$4, 0)), 0) * (INDEX('6. TIẾN ĐỘ MUA HÀNG'!$A$5:$AT81, 0, XMATCH("Phân loại VTBB/NL", '6. TIẾN ĐỘ MUA HÀNG'!$A$4:$AT$4, 0)) = $B55) * (TRIM(INDEX('6. TIẾN ĐỘ MUA HÀNG'!$A$5:$AT81, 0, XMATCH("Tháng", '6. TIẾN ĐỘ MUA HÀNG'!$A$4:$AT$4, 0))) = TRIM(C$6)))</f>
        <v>0</v>
      </c>
      <c r="E55" s="743">
        <f t="array" ref="E55">SUMPRODUCT((INDEX('6. TIẾN ĐỘ MUA HÀNG'!$A:$AT, 0, XMATCH("Phân loại VTBB/NL", '6. TIẾN ĐỘ MUA HÀNG'!$A$4:$AT$4, 0)) = $B55) * (TRIM(INDEX('6. TIẾN ĐỘ MUA HÀNG'!$A:$AT, 0, XMATCH("Tháng", '6. TIẾN ĐỘ MUA HÀNG'!$A$4:$AT$4, 0))) = TRIM(E$6)) * (INDEX('6. TIẾN ĐỘ MUA HÀNG'!$A:$AT, 0, XMATCH("Phân loại VTBB/NL", '6. TIẾN ĐỘ MUA HÀNG'!$A$4:$AT$4, 0)) &lt;&gt; ""))</f>
        <v>0</v>
      </c>
      <c r="F55" s="744">
        <f t="array" ref="F55">SUMPRODUCT(IFERROR(INDEX('6. TIẾN ĐỘ MUA HÀNG'!$A$5:$AT81, 0, XMATCH("Thành tiền đơn hàng", '6. TIẾN ĐỘ MUA HÀNG'!$A$4:$AT$4, 0)), 0) * (INDEX('6. TIẾN ĐỘ MUA HÀNG'!$A$5:$AT81, 0, XMATCH("Phân loại VTBB/NL", '6. TIẾN ĐỘ MUA HÀNG'!$A$4:$AT$4, 0)) = $B55) * (TRIM(INDEX('6. TIẾN ĐỘ MUA HÀNG'!$A$5:$AT81, 0, XMATCH("Tháng", '6. TIẾN ĐỘ MUA HÀNG'!$A$4:$AT$4, 0))) = TRIM(E$6)))</f>
        <v>0</v>
      </c>
      <c r="G55" s="741">
        <f t="array" ref="G55">SUMPRODUCT((INDEX('6. TIẾN ĐỘ MUA HÀNG'!$A:$AT, 0, XMATCH("Phân loại VTBB/NL", '6. TIẾN ĐỘ MUA HÀNG'!$A$4:$AT$4, 0)) = $B55) * (TRIM(INDEX('6. TIẾN ĐỘ MUA HÀNG'!$A:$AT, 0, XMATCH("Tháng", '6. TIẾN ĐỘ MUA HÀNG'!$A$4:$AT$4, 0))) = TRIM($G$6)) * (INDEX('6. TIẾN ĐỘ MUA HÀNG'!$A:$AT, 0, XMATCH("Phân loại VTBB/NL", '6. TIẾN ĐỘ MUA HÀNG'!$A$4:$AT$4, 0)) &lt;&gt; ""))</f>
        <v>0</v>
      </c>
      <c r="H55" s="742">
        <f t="array" ref="H55">SUMPRODUCT(IFERROR(INDEX('6. TIẾN ĐỘ MUA HÀNG'!$A$5:$AT81, 0, XMATCH("Thành tiền đơn hàng", '6. TIẾN ĐỘ MUA HÀNG'!$A$4:$AT$4, 0)), 0) * (INDEX('6. TIẾN ĐỘ MUA HÀNG'!$A$5:$AT81, 0, XMATCH("Phân loại VTBB/NL", '6. TIẾN ĐỘ MUA HÀNG'!$A$4:$AT$4, 0)) = $B55) * (TRIM(INDEX('6. TIẾN ĐỘ MUA HÀNG'!$A$5:$AT81, 0, XMATCH("Tháng", '6. TIẾN ĐỘ MUA HÀNG'!$A$4:$AT$4, 0))) = TRIM(G$6)))</f>
        <v>0</v>
      </c>
      <c r="I55" s="743">
        <f t="array" ref="I55">SUMPRODUCT((INDEX('6. TIẾN ĐỘ MUA HÀNG'!$A:$AT, 0, XMATCH("Phân loại VTBB/NL", '6. TIẾN ĐỘ MUA HÀNG'!$A$4:$AT$4, 0)) = $B55) * (TRIM(INDEX('6. TIẾN ĐỘ MUA HÀNG'!$A:$AT, 0, XMATCH("Tháng", '6. TIẾN ĐỘ MUA HÀNG'!$A$4:$AT$4, 0))) = TRIM(I$6)) * (INDEX('6. TIẾN ĐỘ MUA HÀNG'!$A:$AT, 0, XMATCH("Phân loại VTBB/NL", '6. TIẾN ĐỘ MUA HÀNG'!$A$4:$AT$4, 0)) &lt;&gt; ""))</f>
        <v>0</v>
      </c>
      <c r="J55" s="744">
        <f t="array" ref="J55">SUMPRODUCT(IFERROR(INDEX('6. TIẾN ĐỘ MUA HÀNG'!$A$5:$AT81, 0, XMATCH("Thành tiền đơn hàng", '6. TIẾN ĐỘ MUA HÀNG'!$A$4:$AT$4, 0)), 0) * (INDEX('6. TIẾN ĐỘ MUA HÀNG'!$A$5:$AT81, 0, XMATCH("Phân loại VTBB/NL", '6. TIẾN ĐỘ MUA HÀNG'!$A$4:$AT$4, 0)) = $B55) * (TRIM(INDEX('6. TIẾN ĐỘ MUA HÀNG'!$A$5:$AT81, 0, XMATCH("Tháng", '6. TIẾN ĐỘ MUA HÀNG'!$A$4:$AT$4, 0))) = TRIM(I$6)))</f>
        <v>0</v>
      </c>
      <c r="K55" s="741">
        <f t="array" ref="K55">SUMPRODUCT((INDEX('6. TIẾN ĐỘ MUA HÀNG'!$A:$AT, 0, XMATCH("Phân loại VTBB/NL", '6. TIẾN ĐỘ MUA HÀNG'!$A$4:$AT$4, 0)) = $B55) * (TRIM(INDEX('6. TIẾN ĐỘ MUA HÀNG'!$A:$AT, 0, XMATCH("Tháng", '6. TIẾN ĐỘ MUA HÀNG'!$A$4:$AT$4, 0))) = TRIM($K$6)) * (INDEX('6. TIẾN ĐỘ MUA HÀNG'!$A:$AT, 0, XMATCH("Phân loại VTBB/NL", '6. TIẾN ĐỘ MUA HÀNG'!$A$4:$AT$4, 0)) &lt;&gt; ""))</f>
        <v>0</v>
      </c>
      <c r="L55" s="742">
        <f t="array" ref="L55">SUMPRODUCT(IFERROR(INDEX('6. TIẾN ĐỘ MUA HÀNG'!$A$5:$AT81, 0, XMATCH("Thành tiền đơn hàng", '6. TIẾN ĐỘ MUA HÀNG'!$A$4:$AT$4, 0)), 0) * (INDEX('6. TIẾN ĐỘ MUA HÀNG'!$A$5:$AT81, 0, XMATCH("Phân loại VTBB/NL", '6. TIẾN ĐỘ MUA HÀNG'!$A$4:$AT$4, 0)) = $B55) * (TRIM(INDEX('6. TIẾN ĐỘ MUA HÀNG'!$A$5:$AT81, 0, XMATCH("Tháng", '6. TIẾN ĐỘ MUA HÀNG'!$A$4:$AT$4, 0))) = TRIM(K$6)))</f>
        <v>0</v>
      </c>
      <c r="M55" s="743">
        <f t="array" ref="M55">SUMPRODUCT((INDEX('6. TIẾN ĐỘ MUA HÀNG'!$A:$AT, 0, XMATCH("Phân loại VTBB/NL", '6. TIẾN ĐỘ MUA HÀNG'!$A$4:$AT$4, 0)) = $B55) * (TRIM(INDEX('6. TIẾN ĐỘ MUA HÀNG'!$A:$AT, 0, XMATCH("Tháng", '6. TIẾN ĐỘ MUA HÀNG'!$A$4:$AT$4, 0))) = TRIM(M$6)) * (INDEX('6. TIẾN ĐỘ MUA HÀNG'!$A:$AT, 0, XMATCH("Phân loại VTBB/NL", '6. TIẾN ĐỘ MUA HÀNG'!$A$4:$AT$4, 0)) &lt;&gt; ""))</f>
        <v>0</v>
      </c>
      <c r="N55" s="744">
        <f t="array" ref="N55">SUMPRODUCT(IFERROR(INDEX('6. TIẾN ĐỘ MUA HÀNG'!$A$5:$AT81, 0, XMATCH("Thành tiền đơn hàng", '6. TIẾN ĐỘ MUA HÀNG'!$A$4:$AT$4, 0)), 0) * (INDEX('6. TIẾN ĐỘ MUA HÀNG'!$A$5:$AT81, 0, XMATCH("Phân loại VTBB/NL", '6. TIẾN ĐỘ MUA HÀNG'!$A$4:$AT$4, 0)) = $B55) * (TRIM(INDEX('6. TIẾN ĐỘ MUA HÀNG'!$A$5:$AT81, 0, XMATCH("Tháng", '6. TIẾN ĐỘ MUA HÀNG'!$A$4:$AT$4, 0))) = TRIM(M$6)))</f>
        <v>0</v>
      </c>
      <c r="O55" s="741">
        <f t="array" ref="O55">SUMPRODUCT((INDEX('6. TIẾN ĐỘ MUA HÀNG'!$A:$AT, 0, XMATCH("Phân loại VTBB/NL", '6. TIẾN ĐỘ MUA HÀNG'!$A$4:$AT$4, 0)) = $B55) * (TRIM(INDEX('6. TIẾN ĐỘ MUA HÀNG'!$A:$AT, 0, XMATCH("Tháng", '6. TIẾN ĐỘ MUA HÀNG'!$A$4:$AT$4, 0))) = TRIM($O$6)) * (INDEX('6. TIẾN ĐỘ MUA HÀNG'!$A:$AT, 0, XMATCH("Phân loại VTBB/NL", '6. TIẾN ĐỘ MUA HÀNG'!$A$4:$AT$4, 0)) &lt;&gt; ""))</f>
        <v>0</v>
      </c>
      <c r="P55" s="742">
        <f t="array" ref="P55">SUMPRODUCT(IFERROR(INDEX('6. TIẾN ĐỘ MUA HÀNG'!$A$5:$AT81, 0, XMATCH("Thành tiền đơn hàng", '6. TIẾN ĐỘ MUA HÀNG'!$A$4:$AT$4, 0)), 0) * (INDEX('6. TIẾN ĐỘ MUA HÀNG'!$A$5:$AT81, 0, XMATCH("Phân loại VTBB/NL", '6. TIẾN ĐỘ MUA HÀNG'!$A$4:$AT$4, 0)) = $B55) * (TRIM(INDEX('6. TIẾN ĐỘ MUA HÀNG'!$A$5:$AT81, 0, XMATCH("Tháng", '6. TIẾN ĐỘ MUA HÀNG'!$A$4:$AT$4, 0))) = TRIM(O$6)))</f>
        <v>0</v>
      </c>
      <c r="Q55" s="743">
        <f t="array" ref="Q55">SUMPRODUCT((INDEX('6. TIẾN ĐỘ MUA HÀNG'!$A:$AT, 0, XMATCH("Phân loại VTBB/NL", '6. TIẾN ĐỘ MUA HÀNG'!$A$4:$AT$4, 0)) = $B55) * (TRIM(INDEX('6. TIẾN ĐỘ MUA HÀNG'!$A:$AT, 0, XMATCH("Tháng", '6. TIẾN ĐỘ MUA HÀNG'!$A$4:$AT$4, 0))) = TRIM(Q$6)) * (INDEX('6. TIẾN ĐỘ MUA HÀNG'!$A:$AT, 0, XMATCH("Phân loại VTBB/NL", '6. TIẾN ĐỘ MUA HÀNG'!$A$4:$AT$4, 0)) &lt;&gt; ""))</f>
        <v>0</v>
      </c>
      <c r="R55" s="744">
        <f t="array" ref="R55">SUMPRODUCT(IFERROR(INDEX('6. TIẾN ĐỘ MUA HÀNG'!$A$5:$AT81, 0, XMATCH("Thành tiền đơn hàng", '6. TIẾN ĐỘ MUA HÀNG'!$A$4:$AT$4, 0)), 0) * (INDEX('6. TIẾN ĐỘ MUA HÀNG'!$A$5:$AT81, 0, XMATCH("Phân loại VTBB/NL", '6. TIẾN ĐỘ MUA HÀNG'!$A$4:$AT$4, 0)) = $B55) * (TRIM(INDEX('6. TIẾN ĐỘ MUA HÀNG'!$A$5:$AT81, 0, XMATCH("Tháng", '6. TIẾN ĐỘ MUA HÀNG'!$A$4:$AT$4, 0))) = TRIM(Q$6)))</f>
        <v>0</v>
      </c>
      <c r="S55" s="741">
        <f t="array" ref="S55">SUMPRODUCT((INDEX('6. TIẾN ĐỘ MUA HÀNG'!$A:$AT, 0, XMATCH("Phân loại VTBB/NL", '6. TIẾN ĐỘ MUA HÀNG'!$A$4:$AT$4, 0)) = $B55) * (TRIM(INDEX('6. TIẾN ĐỘ MUA HÀNG'!$A:$AT, 0, XMATCH("Tháng", '6. TIẾN ĐỘ MUA HÀNG'!$A$4:$AT$4, 0))) = TRIM($S$6)) * (INDEX('6. TIẾN ĐỘ MUA HÀNG'!$A:$AT, 0, XMATCH("Phân loại VTBB/NL", '6. TIẾN ĐỘ MUA HÀNG'!$A$4:$AT$4, 0)) &lt;&gt; ""))</f>
        <v>0</v>
      </c>
      <c r="T55" s="742">
        <f t="array" ref="T55">SUMPRODUCT(IFERROR(INDEX('6. TIẾN ĐỘ MUA HÀNG'!$A$5:$AT81, 0, XMATCH("Thành tiền đơn hàng", '6. TIẾN ĐỘ MUA HÀNG'!$A$4:$AT$4, 0)), 0) * (INDEX('6. TIẾN ĐỘ MUA HÀNG'!$A$5:$AT81, 0, XMATCH("Phân loại VTBB/NL", '6. TIẾN ĐỘ MUA HÀNG'!$A$4:$AT$4, 0)) = $B55) * (TRIM(INDEX('6. TIẾN ĐỘ MUA HÀNG'!$A$5:$AT81, 0, XMATCH("Tháng", '6. TIẾN ĐỘ MUA HÀNG'!$A$4:$AT$4, 0))) = TRIM(S$6)))</f>
        <v>0</v>
      </c>
      <c r="U55" s="743">
        <f t="array" ref="U55">SUMPRODUCT((INDEX('6. TIẾN ĐỘ MUA HÀNG'!$A:$AT, 0, XMATCH("Phân loại VTBB/NL", '6. TIẾN ĐỘ MUA HÀNG'!$A$4:$AT$4, 0)) = $B55) * (TRIM(INDEX('6. TIẾN ĐỘ MUA HÀNG'!$A:$AT, 0, XMATCH("Tháng", '6. TIẾN ĐỘ MUA HÀNG'!$A$4:$AT$4, 0))) = TRIM(U$6)) * (INDEX('6. TIẾN ĐỘ MUA HÀNG'!$A:$AT, 0, XMATCH("Phân loại VTBB/NL", '6. TIẾN ĐỘ MUA HÀNG'!$A$4:$AT$4, 0)) &lt;&gt; ""))</f>
        <v>0</v>
      </c>
      <c r="V55" s="744">
        <f t="array" ref="V55">SUMPRODUCT(IFERROR(INDEX('6. TIẾN ĐỘ MUA HÀNG'!$A$5:$AT81, 0, XMATCH("Thành tiền đơn hàng", '6. TIẾN ĐỘ MUA HÀNG'!$A$4:$AT$4, 0)), 0) * (INDEX('6. TIẾN ĐỘ MUA HÀNG'!$A$5:$AT81, 0, XMATCH("Phân loại VTBB/NL", '6. TIẾN ĐỘ MUA HÀNG'!$A$4:$AT$4, 0)) = $B55) * (TRIM(INDEX('6. TIẾN ĐỘ MUA HÀNG'!$A$5:$AT81, 0, XMATCH("Tháng", '6. TIẾN ĐỘ MUA HÀNG'!$A$4:$AT$4, 0))) = TRIM(U$6)))</f>
        <v>0</v>
      </c>
      <c r="W55" s="741">
        <f t="array" ref="W55">SUMPRODUCT((INDEX('6. TIẾN ĐỘ MUA HÀNG'!$A:$AT, 0, XMATCH("Phân loại VTBB/NL", '6. TIẾN ĐỘ MUA HÀNG'!$A$4:$AT$4, 0)) = $B55) * (TRIM(INDEX('6. TIẾN ĐỘ MUA HÀNG'!$A:$AT, 0, XMATCH("Tháng", '6. TIẾN ĐỘ MUA HÀNG'!$A$4:$AT$4, 0))) = TRIM($W$6)) * (INDEX('6. TIẾN ĐỘ MUA HÀNG'!$A:$AT, 0, XMATCH("Phân loại VTBB/NL", '6. TIẾN ĐỘ MUA HÀNG'!$A$4:$AT$4, 0)) &lt;&gt; ""))</f>
        <v>0</v>
      </c>
      <c r="X55" s="742">
        <f t="array" ref="X55">SUMPRODUCT(IFERROR(INDEX('6. TIẾN ĐỘ MUA HÀNG'!$A$5:$AT81, 0, XMATCH("Thành tiền đơn hàng", '6. TIẾN ĐỘ MUA HÀNG'!$A$4:$AT$4, 0)), 0) * (INDEX('6. TIẾN ĐỘ MUA HÀNG'!$A$5:$AT81, 0, XMATCH("Phân loại VTBB/NL", '6. TIẾN ĐỘ MUA HÀNG'!$A$4:$AT$4, 0)) = $B55) * (TRIM(INDEX('6. TIẾN ĐỘ MUA HÀNG'!$A$5:$AT81, 0, XMATCH("Tháng", '6. TIẾN ĐỘ MUA HÀNG'!$A$4:$AT$4, 0))) = TRIM(W$6)))</f>
        <v>0</v>
      </c>
      <c r="Y55" s="743">
        <f t="array" ref="Y55">SUMPRODUCT((INDEX('6. TIẾN ĐỘ MUA HÀNG'!$A:$AT, 0, XMATCH("Phân loại VTBB/NL", '6. TIẾN ĐỘ MUA HÀNG'!$A$4:$AT$4, 0)) = $B55) * (TRIM(INDEX('6. TIẾN ĐỘ MUA HÀNG'!$A:$AT, 0, XMATCH("Tháng", '6. TIẾN ĐỘ MUA HÀNG'!$A$4:$AT$4, 0))) = TRIM(Y$6)) * (INDEX('6. TIẾN ĐỘ MUA HÀNG'!$A:$AT, 0, XMATCH("Phân loại VTBB/NL", '6. TIẾN ĐỘ MUA HÀNG'!$A$4:$AT$4, 0)) &lt;&gt; ""))</f>
        <v>0</v>
      </c>
      <c r="Z55" s="744">
        <f t="array" ref="Z55">SUMPRODUCT(IFERROR(INDEX('6. TIẾN ĐỘ MUA HÀNG'!$A$5:$AT81, 0, XMATCH("Thành tiền đơn hàng", '6. TIẾN ĐỘ MUA HÀNG'!$A$4:$AT$4, 0)), 0) * (INDEX('6. TIẾN ĐỘ MUA HÀNG'!$A$5:$AT81, 0, XMATCH("Phân loại VTBB/NL", '6. TIẾN ĐỘ MUA HÀNG'!$A$4:$AT$4, 0)) = $B55) * (TRIM(INDEX('6. TIẾN ĐỘ MUA HÀNG'!$A$5:$AT81, 0, XMATCH("Tháng", '6. TIẾN ĐỘ MUA HÀNG'!$A$4:$AT$4, 0))) = TRIM(Y$6)))</f>
        <v>0</v>
      </c>
      <c r="AA55" s="726">
        <f t="shared" si="2"/>
        <v>0</v>
      </c>
      <c r="AB55" s="726">
        <f t="shared" si="3"/>
        <v>0</v>
      </c>
    </row>
    <row r="56">
      <c r="A56" s="612">
        <v>48.0</v>
      </c>
      <c r="B56" s="597" t="str">
        <f>IFERROR(__xludf.DUMMYFUNCTION("""COMPUTED_VALUE"""),"Túi rời")</f>
        <v>Túi rời</v>
      </c>
      <c r="C56" s="741">
        <f t="array" ref="C56">SUMPRODUCT((INDEX('6. TIẾN ĐỘ MUA HÀNG'!$A:$AT, 0, XMATCH("Phân loại VTBB/NL", '6. TIẾN ĐỘ MUA HÀNG'!$A$4:$AT$4, 0)) = $B56) * (TRIM(INDEX('6. TIẾN ĐỘ MUA HÀNG'!$A:$AT, 0, XMATCH("Tháng", '6. TIẾN ĐỘ MUA HÀNG'!$A$4:$AT$4, 0))) = TRIM($C$6)) * (INDEX('6. TIẾN ĐỘ MUA HÀNG'!$A:$AT, 0, XMATCH("Phân loại VTBB/NL", '6. TIẾN ĐỘ MUA HÀNG'!$A$4:$AT$4, 0)) &lt;&gt; ""))</f>
        <v>0</v>
      </c>
      <c r="D56" s="742">
        <f t="array" ref="D56">SUMPRODUCT(IFERROR(INDEX('6. TIẾN ĐỘ MUA HÀNG'!$A$5:$AT81, 0, XMATCH("Thành tiền đơn hàng", '6. TIẾN ĐỘ MUA HÀNG'!$A$4:$AT$4, 0)), 0) * (INDEX('6. TIẾN ĐỘ MUA HÀNG'!$A$5:$AT81, 0, XMATCH("Phân loại VTBB/NL", '6. TIẾN ĐỘ MUA HÀNG'!$A$4:$AT$4, 0)) = $B56) * (TRIM(INDEX('6. TIẾN ĐỘ MUA HÀNG'!$A$5:$AT81, 0, XMATCH("Tháng", '6. TIẾN ĐỘ MUA HÀNG'!$A$4:$AT$4, 0))) = TRIM(C$6)))</f>
        <v>0</v>
      </c>
      <c r="E56" s="743">
        <f t="array" ref="E56">SUMPRODUCT((INDEX('6. TIẾN ĐỘ MUA HÀNG'!$A:$AT, 0, XMATCH("Phân loại VTBB/NL", '6. TIẾN ĐỘ MUA HÀNG'!$A$4:$AT$4, 0)) = $B56) * (TRIM(INDEX('6. TIẾN ĐỘ MUA HÀNG'!$A:$AT, 0, XMATCH("Tháng", '6. TIẾN ĐỘ MUA HÀNG'!$A$4:$AT$4, 0))) = TRIM(E$6)) * (INDEX('6. TIẾN ĐỘ MUA HÀNG'!$A:$AT, 0, XMATCH("Phân loại VTBB/NL", '6. TIẾN ĐỘ MUA HÀNG'!$A$4:$AT$4, 0)) &lt;&gt; ""))</f>
        <v>0</v>
      </c>
      <c r="F56" s="744">
        <f t="array" ref="F56">SUMPRODUCT(IFERROR(INDEX('6. TIẾN ĐỘ MUA HÀNG'!$A$5:$AT81, 0, XMATCH("Thành tiền đơn hàng", '6. TIẾN ĐỘ MUA HÀNG'!$A$4:$AT$4, 0)), 0) * (INDEX('6. TIẾN ĐỘ MUA HÀNG'!$A$5:$AT81, 0, XMATCH("Phân loại VTBB/NL", '6. TIẾN ĐỘ MUA HÀNG'!$A$4:$AT$4, 0)) = $B56) * (TRIM(INDEX('6. TIẾN ĐỘ MUA HÀNG'!$A$5:$AT81, 0, XMATCH("Tháng", '6. TIẾN ĐỘ MUA HÀNG'!$A$4:$AT$4, 0))) = TRIM(E$6)))</f>
        <v>0</v>
      </c>
      <c r="G56" s="741">
        <f t="array" ref="G56">SUMPRODUCT((INDEX('6. TIẾN ĐỘ MUA HÀNG'!$A:$AT, 0, XMATCH("Phân loại VTBB/NL", '6. TIẾN ĐỘ MUA HÀNG'!$A$4:$AT$4, 0)) = $B56) * (TRIM(INDEX('6. TIẾN ĐỘ MUA HÀNG'!$A:$AT, 0, XMATCH("Tháng", '6. TIẾN ĐỘ MUA HÀNG'!$A$4:$AT$4, 0))) = TRIM($G$6)) * (INDEX('6. TIẾN ĐỘ MUA HÀNG'!$A:$AT, 0, XMATCH("Phân loại VTBB/NL", '6. TIẾN ĐỘ MUA HÀNG'!$A$4:$AT$4, 0)) &lt;&gt; ""))</f>
        <v>0</v>
      </c>
      <c r="H56" s="742">
        <f t="array" ref="H56">SUMPRODUCT(IFERROR(INDEX('6. TIẾN ĐỘ MUA HÀNG'!$A$5:$AT81, 0, XMATCH("Thành tiền đơn hàng", '6. TIẾN ĐỘ MUA HÀNG'!$A$4:$AT$4, 0)), 0) * (INDEX('6. TIẾN ĐỘ MUA HÀNG'!$A$5:$AT81, 0, XMATCH("Phân loại VTBB/NL", '6. TIẾN ĐỘ MUA HÀNG'!$A$4:$AT$4, 0)) = $B56) * (TRIM(INDEX('6. TIẾN ĐỘ MUA HÀNG'!$A$5:$AT81, 0, XMATCH("Tháng", '6. TIẾN ĐỘ MUA HÀNG'!$A$4:$AT$4, 0))) = TRIM(G$6)))</f>
        <v>0</v>
      </c>
      <c r="I56" s="743">
        <f t="array" ref="I56">SUMPRODUCT((INDEX('6. TIẾN ĐỘ MUA HÀNG'!$A:$AT, 0, XMATCH("Phân loại VTBB/NL", '6. TIẾN ĐỘ MUA HÀNG'!$A$4:$AT$4, 0)) = $B56) * (TRIM(INDEX('6. TIẾN ĐỘ MUA HÀNG'!$A:$AT, 0, XMATCH("Tháng", '6. TIẾN ĐỘ MUA HÀNG'!$A$4:$AT$4, 0))) = TRIM(I$6)) * (INDEX('6. TIẾN ĐỘ MUA HÀNG'!$A:$AT, 0, XMATCH("Phân loại VTBB/NL", '6. TIẾN ĐỘ MUA HÀNG'!$A$4:$AT$4, 0)) &lt;&gt; ""))</f>
        <v>0</v>
      </c>
      <c r="J56" s="744">
        <f t="array" ref="J56">SUMPRODUCT(IFERROR(INDEX('6. TIẾN ĐỘ MUA HÀNG'!$A$5:$AT81, 0, XMATCH("Thành tiền đơn hàng", '6. TIẾN ĐỘ MUA HÀNG'!$A$4:$AT$4, 0)), 0) * (INDEX('6. TIẾN ĐỘ MUA HÀNG'!$A$5:$AT81, 0, XMATCH("Phân loại VTBB/NL", '6. TIẾN ĐỘ MUA HÀNG'!$A$4:$AT$4, 0)) = $B56) * (TRIM(INDEX('6. TIẾN ĐỘ MUA HÀNG'!$A$5:$AT81, 0, XMATCH("Tháng", '6. TIẾN ĐỘ MUA HÀNG'!$A$4:$AT$4, 0))) = TRIM(I$6)))</f>
        <v>0</v>
      </c>
      <c r="K56" s="741">
        <f t="array" ref="K56">SUMPRODUCT((INDEX('6. TIẾN ĐỘ MUA HÀNG'!$A:$AT, 0, XMATCH("Phân loại VTBB/NL", '6. TIẾN ĐỘ MUA HÀNG'!$A$4:$AT$4, 0)) = $B56) * (TRIM(INDEX('6. TIẾN ĐỘ MUA HÀNG'!$A:$AT, 0, XMATCH("Tháng", '6. TIẾN ĐỘ MUA HÀNG'!$A$4:$AT$4, 0))) = TRIM($K$6)) * (INDEX('6. TIẾN ĐỘ MUA HÀNG'!$A:$AT, 0, XMATCH("Phân loại VTBB/NL", '6. TIẾN ĐỘ MUA HÀNG'!$A$4:$AT$4, 0)) &lt;&gt; ""))</f>
        <v>0</v>
      </c>
      <c r="L56" s="742">
        <f t="array" ref="L56">SUMPRODUCT(IFERROR(INDEX('6. TIẾN ĐỘ MUA HÀNG'!$A$5:$AT81, 0, XMATCH("Thành tiền đơn hàng", '6. TIẾN ĐỘ MUA HÀNG'!$A$4:$AT$4, 0)), 0) * (INDEX('6. TIẾN ĐỘ MUA HÀNG'!$A$5:$AT81, 0, XMATCH("Phân loại VTBB/NL", '6. TIẾN ĐỘ MUA HÀNG'!$A$4:$AT$4, 0)) = $B56) * (TRIM(INDEX('6. TIẾN ĐỘ MUA HÀNG'!$A$5:$AT81, 0, XMATCH("Tháng", '6. TIẾN ĐỘ MUA HÀNG'!$A$4:$AT$4, 0))) = TRIM(K$6)))</f>
        <v>0</v>
      </c>
      <c r="M56" s="743">
        <f t="array" ref="M56">SUMPRODUCT((INDEX('6. TIẾN ĐỘ MUA HÀNG'!$A:$AT, 0, XMATCH("Phân loại VTBB/NL", '6. TIẾN ĐỘ MUA HÀNG'!$A$4:$AT$4, 0)) = $B56) * (TRIM(INDEX('6. TIẾN ĐỘ MUA HÀNG'!$A:$AT, 0, XMATCH("Tháng", '6. TIẾN ĐỘ MUA HÀNG'!$A$4:$AT$4, 0))) = TRIM(M$6)) * (INDEX('6. TIẾN ĐỘ MUA HÀNG'!$A:$AT, 0, XMATCH("Phân loại VTBB/NL", '6. TIẾN ĐỘ MUA HÀNG'!$A$4:$AT$4, 0)) &lt;&gt; ""))</f>
        <v>0</v>
      </c>
      <c r="N56" s="744">
        <f t="array" ref="N56">SUMPRODUCT(IFERROR(INDEX('6. TIẾN ĐỘ MUA HÀNG'!$A$5:$AT81, 0, XMATCH("Thành tiền đơn hàng", '6. TIẾN ĐỘ MUA HÀNG'!$A$4:$AT$4, 0)), 0) * (INDEX('6. TIẾN ĐỘ MUA HÀNG'!$A$5:$AT81, 0, XMATCH("Phân loại VTBB/NL", '6. TIẾN ĐỘ MUA HÀNG'!$A$4:$AT$4, 0)) = $B56) * (TRIM(INDEX('6. TIẾN ĐỘ MUA HÀNG'!$A$5:$AT81, 0, XMATCH("Tháng", '6. TIẾN ĐỘ MUA HÀNG'!$A$4:$AT$4, 0))) = TRIM(M$6)))</f>
        <v>0</v>
      </c>
      <c r="O56" s="741">
        <f t="array" ref="O56">SUMPRODUCT((INDEX('6. TIẾN ĐỘ MUA HÀNG'!$A:$AT, 0, XMATCH("Phân loại VTBB/NL", '6. TIẾN ĐỘ MUA HÀNG'!$A$4:$AT$4, 0)) = $B56) * (TRIM(INDEX('6. TIẾN ĐỘ MUA HÀNG'!$A:$AT, 0, XMATCH("Tháng", '6. TIẾN ĐỘ MUA HÀNG'!$A$4:$AT$4, 0))) = TRIM($O$6)) * (INDEX('6. TIẾN ĐỘ MUA HÀNG'!$A:$AT, 0, XMATCH("Phân loại VTBB/NL", '6. TIẾN ĐỘ MUA HÀNG'!$A$4:$AT$4, 0)) &lt;&gt; ""))</f>
        <v>0</v>
      </c>
      <c r="P56" s="742">
        <f t="array" ref="P56">SUMPRODUCT(IFERROR(INDEX('6. TIẾN ĐỘ MUA HÀNG'!$A$5:$AT81, 0, XMATCH("Thành tiền đơn hàng", '6. TIẾN ĐỘ MUA HÀNG'!$A$4:$AT$4, 0)), 0) * (INDEX('6. TIẾN ĐỘ MUA HÀNG'!$A$5:$AT81, 0, XMATCH("Phân loại VTBB/NL", '6. TIẾN ĐỘ MUA HÀNG'!$A$4:$AT$4, 0)) = $B56) * (TRIM(INDEX('6. TIẾN ĐỘ MUA HÀNG'!$A$5:$AT81, 0, XMATCH("Tháng", '6. TIẾN ĐỘ MUA HÀNG'!$A$4:$AT$4, 0))) = TRIM(O$6)))</f>
        <v>0</v>
      </c>
      <c r="Q56" s="743">
        <f t="array" ref="Q56">SUMPRODUCT((INDEX('6. TIẾN ĐỘ MUA HÀNG'!$A:$AT, 0, XMATCH("Phân loại VTBB/NL", '6. TIẾN ĐỘ MUA HÀNG'!$A$4:$AT$4, 0)) = $B56) * (TRIM(INDEX('6. TIẾN ĐỘ MUA HÀNG'!$A:$AT, 0, XMATCH("Tháng", '6. TIẾN ĐỘ MUA HÀNG'!$A$4:$AT$4, 0))) = TRIM(Q$6)) * (INDEX('6. TIẾN ĐỘ MUA HÀNG'!$A:$AT, 0, XMATCH("Phân loại VTBB/NL", '6. TIẾN ĐỘ MUA HÀNG'!$A$4:$AT$4, 0)) &lt;&gt; ""))</f>
        <v>0</v>
      </c>
      <c r="R56" s="744">
        <f t="array" ref="R56">SUMPRODUCT(IFERROR(INDEX('6. TIẾN ĐỘ MUA HÀNG'!$A$5:$AT81, 0, XMATCH("Thành tiền đơn hàng", '6. TIẾN ĐỘ MUA HÀNG'!$A$4:$AT$4, 0)), 0) * (INDEX('6. TIẾN ĐỘ MUA HÀNG'!$A$5:$AT81, 0, XMATCH("Phân loại VTBB/NL", '6. TIẾN ĐỘ MUA HÀNG'!$A$4:$AT$4, 0)) = $B56) * (TRIM(INDEX('6. TIẾN ĐỘ MUA HÀNG'!$A$5:$AT81, 0, XMATCH("Tháng", '6. TIẾN ĐỘ MUA HÀNG'!$A$4:$AT$4, 0))) = TRIM(Q$6)))</f>
        <v>0</v>
      </c>
      <c r="S56" s="741">
        <f t="array" ref="S56">SUMPRODUCT((INDEX('6. TIẾN ĐỘ MUA HÀNG'!$A:$AT, 0, XMATCH("Phân loại VTBB/NL", '6. TIẾN ĐỘ MUA HÀNG'!$A$4:$AT$4, 0)) = $B56) * (TRIM(INDEX('6. TIẾN ĐỘ MUA HÀNG'!$A:$AT, 0, XMATCH("Tháng", '6. TIẾN ĐỘ MUA HÀNG'!$A$4:$AT$4, 0))) = TRIM($S$6)) * (INDEX('6. TIẾN ĐỘ MUA HÀNG'!$A:$AT, 0, XMATCH("Phân loại VTBB/NL", '6. TIẾN ĐỘ MUA HÀNG'!$A$4:$AT$4, 0)) &lt;&gt; ""))</f>
        <v>0</v>
      </c>
      <c r="T56" s="742">
        <f t="array" ref="T56">SUMPRODUCT(IFERROR(INDEX('6. TIẾN ĐỘ MUA HÀNG'!$A$5:$AT81, 0, XMATCH("Thành tiền đơn hàng", '6. TIẾN ĐỘ MUA HÀNG'!$A$4:$AT$4, 0)), 0) * (INDEX('6. TIẾN ĐỘ MUA HÀNG'!$A$5:$AT81, 0, XMATCH("Phân loại VTBB/NL", '6. TIẾN ĐỘ MUA HÀNG'!$A$4:$AT$4, 0)) = $B56) * (TRIM(INDEX('6. TIẾN ĐỘ MUA HÀNG'!$A$5:$AT81, 0, XMATCH("Tháng", '6. TIẾN ĐỘ MUA HÀNG'!$A$4:$AT$4, 0))) = TRIM(S$6)))</f>
        <v>0</v>
      </c>
      <c r="U56" s="743">
        <f t="array" ref="U56">SUMPRODUCT((INDEX('6. TIẾN ĐỘ MUA HÀNG'!$A:$AT, 0, XMATCH("Phân loại VTBB/NL", '6. TIẾN ĐỘ MUA HÀNG'!$A$4:$AT$4, 0)) = $B56) * (TRIM(INDEX('6. TIẾN ĐỘ MUA HÀNG'!$A:$AT, 0, XMATCH("Tháng", '6. TIẾN ĐỘ MUA HÀNG'!$A$4:$AT$4, 0))) = TRIM(U$6)) * (INDEX('6. TIẾN ĐỘ MUA HÀNG'!$A:$AT, 0, XMATCH("Phân loại VTBB/NL", '6. TIẾN ĐỘ MUA HÀNG'!$A$4:$AT$4, 0)) &lt;&gt; ""))</f>
        <v>0</v>
      </c>
      <c r="V56" s="744">
        <f t="array" ref="V56">SUMPRODUCT(IFERROR(INDEX('6. TIẾN ĐỘ MUA HÀNG'!$A$5:$AT81, 0, XMATCH("Thành tiền đơn hàng", '6. TIẾN ĐỘ MUA HÀNG'!$A$4:$AT$4, 0)), 0) * (INDEX('6. TIẾN ĐỘ MUA HÀNG'!$A$5:$AT81, 0, XMATCH("Phân loại VTBB/NL", '6. TIẾN ĐỘ MUA HÀNG'!$A$4:$AT$4, 0)) = $B56) * (TRIM(INDEX('6. TIẾN ĐỘ MUA HÀNG'!$A$5:$AT81, 0, XMATCH("Tháng", '6. TIẾN ĐỘ MUA HÀNG'!$A$4:$AT$4, 0))) = TRIM(U$6)))</f>
        <v>0</v>
      </c>
      <c r="W56" s="741">
        <f t="array" ref="W56">SUMPRODUCT((INDEX('6. TIẾN ĐỘ MUA HÀNG'!$A:$AT, 0, XMATCH("Phân loại VTBB/NL", '6. TIẾN ĐỘ MUA HÀNG'!$A$4:$AT$4, 0)) = $B56) * (TRIM(INDEX('6. TIẾN ĐỘ MUA HÀNG'!$A:$AT, 0, XMATCH("Tháng", '6. TIẾN ĐỘ MUA HÀNG'!$A$4:$AT$4, 0))) = TRIM($W$6)) * (INDEX('6. TIẾN ĐỘ MUA HÀNG'!$A:$AT, 0, XMATCH("Phân loại VTBB/NL", '6. TIẾN ĐỘ MUA HÀNG'!$A$4:$AT$4, 0)) &lt;&gt; ""))</f>
        <v>0</v>
      </c>
      <c r="X56" s="742">
        <f t="array" ref="X56">SUMPRODUCT(IFERROR(INDEX('6. TIẾN ĐỘ MUA HÀNG'!$A$5:$AT81, 0, XMATCH("Thành tiền đơn hàng", '6. TIẾN ĐỘ MUA HÀNG'!$A$4:$AT$4, 0)), 0) * (INDEX('6. TIẾN ĐỘ MUA HÀNG'!$A$5:$AT81, 0, XMATCH("Phân loại VTBB/NL", '6. TIẾN ĐỘ MUA HÀNG'!$A$4:$AT$4, 0)) = $B56) * (TRIM(INDEX('6. TIẾN ĐỘ MUA HÀNG'!$A$5:$AT81, 0, XMATCH("Tháng", '6. TIẾN ĐỘ MUA HÀNG'!$A$4:$AT$4, 0))) = TRIM(W$6)))</f>
        <v>0</v>
      </c>
      <c r="Y56" s="743">
        <f t="array" ref="Y56">SUMPRODUCT((INDEX('6. TIẾN ĐỘ MUA HÀNG'!$A:$AT, 0, XMATCH("Phân loại VTBB/NL", '6. TIẾN ĐỘ MUA HÀNG'!$A$4:$AT$4, 0)) = $B56) * (TRIM(INDEX('6. TIẾN ĐỘ MUA HÀNG'!$A:$AT, 0, XMATCH("Tháng", '6. TIẾN ĐỘ MUA HÀNG'!$A$4:$AT$4, 0))) = TRIM(Y$6)) * (INDEX('6. TIẾN ĐỘ MUA HÀNG'!$A:$AT, 0, XMATCH("Phân loại VTBB/NL", '6. TIẾN ĐỘ MUA HÀNG'!$A$4:$AT$4, 0)) &lt;&gt; ""))</f>
        <v>0</v>
      </c>
      <c r="Z56" s="744">
        <f t="array" ref="Z56">SUMPRODUCT(IFERROR(INDEX('6. TIẾN ĐỘ MUA HÀNG'!$A$5:$AT81, 0, XMATCH("Thành tiền đơn hàng", '6. TIẾN ĐỘ MUA HÀNG'!$A$4:$AT$4, 0)), 0) * (INDEX('6. TIẾN ĐỘ MUA HÀNG'!$A$5:$AT81, 0, XMATCH("Phân loại VTBB/NL", '6. TIẾN ĐỘ MUA HÀNG'!$A$4:$AT$4, 0)) = $B56) * (TRIM(INDEX('6. TIẾN ĐỘ MUA HÀNG'!$A$5:$AT81, 0, XMATCH("Tháng", '6. TIẾN ĐỘ MUA HÀNG'!$A$4:$AT$4, 0))) = TRIM(Y$6)))</f>
        <v>0</v>
      </c>
      <c r="AA56" s="726">
        <f t="shared" si="2"/>
        <v>0</v>
      </c>
      <c r="AB56" s="726">
        <f t="shared" si="3"/>
        <v>0</v>
      </c>
    </row>
    <row r="57">
      <c r="A57" s="612">
        <v>49.0</v>
      </c>
      <c r="B57" s="597" t="str">
        <f>IFERROR(__xludf.DUMMYFUNCTION("""COMPUTED_VALUE"""),"Túi in cuộn (không trục)")</f>
        <v>Túi in cuộn (không trục)</v>
      </c>
      <c r="C57" s="741">
        <f t="array" ref="C57">SUMPRODUCT((INDEX('6. TIẾN ĐỘ MUA HÀNG'!$A:$AT, 0, XMATCH("Phân loại VTBB/NL", '6. TIẾN ĐỘ MUA HÀNG'!$A$4:$AT$4, 0)) = $B57) * (TRIM(INDEX('6. TIẾN ĐỘ MUA HÀNG'!$A:$AT, 0, XMATCH("Tháng", '6. TIẾN ĐỘ MUA HÀNG'!$A$4:$AT$4, 0))) = TRIM($C$6)) * (INDEX('6. TIẾN ĐỘ MUA HÀNG'!$A:$AT, 0, XMATCH("Phân loại VTBB/NL", '6. TIẾN ĐỘ MUA HÀNG'!$A$4:$AT$4, 0)) &lt;&gt; ""))</f>
        <v>0</v>
      </c>
      <c r="D57" s="742">
        <f t="array" ref="D57">SUMPRODUCT(IFERROR(INDEX('6. TIẾN ĐỘ MUA HÀNG'!$A$5:$AT81, 0, XMATCH("Thành tiền đơn hàng", '6. TIẾN ĐỘ MUA HÀNG'!$A$4:$AT$4, 0)), 0) * (INDEX('6. TIẾN ĐỘ MUA HÀNG'!$A$5:$AT81, 0, XMATCH("Phân loại VTBB/NL", '6. TIẾN ĐỘ MUA HÀNG'!$A$4:$AT$4, 0)) = $B57) * (TRIM(INDEX('6. TIẾN ĐỘ MUA HÀNG'!$A$5:$AT81, 0, XMATCH("Tháng", '6. TIẾN ĐỘ MUA HÀNG'!$A$4:$AT$4, 0))) = TRIM(C$6)))</f>
        <v>0</v>
      </c>
      <c r="E57" s="743">
        <f t="array" ref="E57">SUMPRODUCT((INDEX('6. TIẾN ĐỘ MUA HÀNG'!$A:$AT, 0, XMATCH("Phân loại VTBB/NL", '6. TIẾN ĐỘ MUA HÀNG'!$A$4:$AT$4, 0)) = $B57) * (TRIM(INDEX('6. TIẾN ĐỘ MUA HÀNG'!$A:$AT, 0, XMATCH("Tháng", '6. TIẾN ĐỘ MUA HÀNG'!$A$4:$AT$4, 0))) = TRIM(E$6)) * (INDEX('6. TIẾN ĐỘ MUA HÀNG'!$A:$AT, 0, XMATCH("Phân loại VTBB/NL", '6. TIẾN ĐỘ MUA HÀNG'!$A$4:$AT$4, 0)) &lt;&gt; ""))</f>
        <v>0</v>
      </c>
      <c r="F57" s="744">
        <f t="array" ref="F57">SUMPRODUCT(IFERROR(INDEX('6. TIẾN ĐỘ MUA HÀNG'!$A$5:$AT81, 0, XMATCH("Thành tiền đơn hàng", '6. TIẾN ĐỘ MUA HÀNG'!$A$4:$AT$4, 0)), 0) * (INDEX('6. TIẾN ĐỘ MUA HÀNG'!$A$5:$AT81, 0, XMATCH("Phân loại VTBB/NL", '6. TIẾN ĐỘ MUA HÀNG'!$A$4:$AT$4, 0)) = $B57) * (TRIM(INDEX('6. TIẾN ĐỘ MUA HÀNG'!$A$5:$AT81, 0, XMATCH("Tháng", '6. TIẾN ĐỘ MUA HÀNG'!$A$4:$AT$4, 0))) = TRIM(E$6)))</f>
        <v>0</v>
      </c>
      <c r="G57" s="741">
        <f t="array" ref="G57">SUMPRODUCT((INDEX('6. TIẾN ĐỘ MUA HÀNG'!$A:$AT, 0, XMATCH("Phân loại VTBB/NL", '6. TIẾN ĐỘ MUA HÀNG'!$A$4:$AT$4, 0)) = $B57) * (TRIM(INDEX('6. TIẾN ĐỘ MUA HÀNG'!$A:$AT, 0, XMATCH("Tháng", '6. TIẾN ĐỘ MUA HÀNG'!$A$4:$AT$4, 0))) = TRIM($G$6)) * (INDEX('6. TIẾN ĐỘ MUA HÀNG'!$A:$AT, 0, XMATCH("Phân loại VTBB/NL", '6. TIẾN ĐỘ MUA HÀNG'!$A$4:$AT$4, 0)) &lt;&gt; ""))</f>
        <v>0</v>
      </c>
      <c r="H57" s="742">
        <f t="array" ref="H57">SUMPRODUCT(IFERROR(INDEX('6. TIẾN ĐỘ MUA HÀNG'!$A$5:$AT81, 0, XMATCH("Thành tiền đơn hàng", '6. TIẾN ĐỘ MUA HÀNG'!$A$4:$AT$4, 0)), 0) * (INDEX('6. TIẾN ĐỘ MUA HÀNG'!$A$5:$AT81, 0, XMATCH("Phân loại VTBB/NL", '6. TIẾN ĐỘ MUA HÀNG'!$A$4:$AT$4, 0)) = $B57) * (TRIM(INDEX('6. TIẾN ĐỘ MUA HÀNG'!$A$5:$AT81, 0, XMATCH("Tháng", '6. TIẾN ĐỘ MUA HÀNG'!$A$4:$AT$4, 0))) = TRIM(G$6)))</f>
        <v>0</v>
      </c>
      <c r="I57" s="743">
        <f t="array" ref="I57">SUMPRODUCT((INDEX('6. TIẾN ĐỘ MUA HÀNG'!$A:$AT, 0, XMATCH("Phân loại VTBB/NL", '6. TIẾN ĐỘ MUA HÀNG'!$A$4:$AT$4, 0)) = $B57) * (TRIM(INDEX('6. TIẾN ĐỘ MUA HÀNG'!$A:$AT, 0, XMATCH("Tháng", '6. TIẾN ĐỘ MUA HÀNG'!$A$4:$AT$4, 0))) = TRIM(I$6)) * (INDEX('6. TIẾN ĐỘ MUA HÀNG'!$A:$AT, 0, XMATCH("Phân loại VTBB/NL", '6. TIẾN ĐỘ MUA HÀNG'!$A$4:$AT$4, 0)) &lt;&gt; ""))</f>
        <v>0</v>
      </c>
      <c r="J57" s="744">
        <f t="array" ref="J57">SUMPRODUCT(IFERROR(INDEX('6. TIẾN ĐỘ MUA HÀNG'!$A$5:$AT81, 0, XMATCH("Thành tiền đơn hàng", '6. TIẾN ĐỘ MUA HÀNG'!$A$4:$AT$4, 0)), 0) * (INDEX('6. TIẾN ĐỘ MUA HÀNG'!$A$5:$AT81, 0, XMATCH("Phân loại VTBB/NL", '6. TIẾN ĐỘ MUA HÀNG'!$A$4:$AT$4, 0)) = $B57) * (TRIM(INDEX('6. TIẾN ĐỘ MUA HÀNG'!$A$5:$AT81, 0, XMATCH("Tháng", '6. TIẾN ĐỘ MUA HÀNG'!$A$4:$AT$4, 0))) = TRIM(I$6)))</f>
        <v>0</v>
      </c>
      <c r="K57" s="741">
        <f t="array" ref="K57">SUMPRODUCT((INDEX('6. TIẾN ĐỘ MUA HÀNG'!$A:$AT, 0, XMATCH("Phân loại VTBB/NL", '6. TIẾN ĐỘ MUA HÀNG'!$A$4:$AT$4, 0)) = $B57) * (TRIM(INDEX('6. TIẾN ĐỘ MUA HÀNG'!$A:$AT, 0, XMATCH("Tháng", '6. TIẾN ĐỘ MUA HÀNG'!$A$4:$AT$4, 0))) = TRIM($K$6)) * (INDEX('6. TIẾN ĐỘ MUA HÀNG'!$A:$AT, 0, XMATCH("Phân loại VTBB/NL", '6. TIẾN ĐỘ MUA HÀNG'!$A$4:$AT$4, 0)) &lt;&gt; ""))</f>
        <v>0</v>
      </c>
      <c r="L57" s="742">
        <f t="array" ref="L57">SUMPRODUCT(IFERROR(INDEX('6. TIẾN ĐỘ MUA HÀNG'!$A$5:$AT81, 0, XMATCH("Thành tiền đơn hàng", '6. TIẾN ĐỘ MUA HÀNG'!$A$4:$AT$4, 0)), 0) * (INDEX('6. TIẾN ĐỘ MUA HÀNG'!$A$5:$AT81, 0, XMATCH("Phân loại VTBB/NL", '6. TIẾN ĐỘ MUA HÀNG'!$A$4:$AT$4, 0)) = $B57) * (TRIM(INDEX('6. TIẾN ĐỘ MUA HÀNG'!$A$5:$AT81, 0, XMATCH("Tháng", '6. TIẾN ĐỘ MUA HÀNG'!$A$4:$AT$4, 0))) = TRIM(K$6)))</f>
        <v>0</v>
      </c>
      <c r="M57" s="743">
        <f t="array" ref="M57">SUMPRODUCT((INDEX('6. TIẾN ĐỘ MUA HÀNG'!$A:$AT, 0, XMATCH("Phân loại VTBB/NL", '6. TIẾN ĐỘ MUA HÀNG'!$A$4:$AT$4, 0)) = $B57) * (TRIM(INDEX('6. TIẾN ĐỘ MUA HÀNG'!$A:$AT, 0, XMATCH("Tháng", '6. TIẾN ĐỘ MUA HÀNG'!$A$4:$AT$4, 0))) = TRIM(M$6)) * (INDEX('6. TIẾN ĐỘ MUA HÀNG'!$A:$AT, 0, XMATCH("Phân loại VTBB/NL", '6. TIẾN ĐỘ MUA HÀNG'!$A$4:$AT$4, 0)) &lt;&gt; ""))</f>
        <v>0</v>
      </c>
      <c r="N57" s="744">
        <f t="array" ref="N57">SUMPRODUCT(IFERROR(INDEX('6. TIẾN ĐỘ MUA HÀNG'!$A$5:$AT81, 0, XMATCH("Thành tiền đơn hàng", '6. TIẾN ĐỘ MUA HÀNG'!$A$4:$AT$4, 0)), 0) * (INDEX('6. TIẾN ĐỘ MUA HÀNG'!$A$5:$AT81, 0, XMATCH("Phân loại VTBB/NL", '6. TIẾN ĐỘ MUA HÀNG'!$A$4:$AT$4, 0)) = $B57) * (TRIM(INDEX('6. TIẾN ĐỘ MUA HÀNG'!$A$5:$AT81, 0, XMATCH("Tháng", '6. TIẾN ĐỘ MUA HÀNG'!$A$4:$AT$4, 0))) = TRIM(M$6)))</f>
        <v>0</v>
      </c>
      <c r="O57" s="741">
        <f t="array" ref="O57">SUMPRODUCT((INDEX('6. TIẾN ĐỘ MUA HÀNG'!$A:$AT, 0, XMATCH("Phân loại VTBB/NL", '6. TIẾN ĐỘ MUA HÀNG'!$A$4:$AT$4, 0)) = $B57) * (TRIM(INDEX('6. TIẾN ĐỘ MUA HÀNG'!$A:$AT, 0, XMATCH("Tháng", '6. TIẾN ĐỘ MUA HÀNG'!$A$4:$AT$4, 0))) = TRIM($O$6)) * (INDEX('6. TIẾN ĐỘ MUA HÀNG'!$A:$AT, 0, XMATCH("Phân loại VTBB/NL", '6. TIẾN ĐỘ MUA HÀNG'!$A$4:$AT$4, 0)) &lt;&gt; ""))</f>
        <v>0</v>
      </c>
      <c r="P57" s="742">
        <f t="array" ref="P57">SUMPRODUCT(IFERROR(INDEX('6. TIẾN ĐỘ MUA HÀNG'!$A$5:$AT81, 0, XMATCH("Thành tiền đơn hàng", '6. TIẾN ĐỘ MUA HÀNG'!$A$4:$AT$4, 0)), 0) * (INDEX('6. TIẾN ĐỘ MUA HÀNG'!$A$5:$AT81, 0, XMATCH("Phân loại VTBB/NL", '6. TIẾN ĐỘ MUA HÀNG'!$A$4:$AT$4, 0)) = $B57) * (TRIM(INDEX('6. TIẾN ĐỘ MUA HÀNG'!$A$5:$AT81, 0, XMATCH("Tháng", '6. TIẾN ĐỘ MUA HÀNG'!$A$4:$AT$4, 0))) = TRIM(O$6)))</f>
        <v>0</v>
      </c>
      <c r="Q57" s="743">
        <f t="array" ref="Q57">SUMPRODUCT((INDEX('6. TIẾN ĐỘ MUA HÀNG'!$A:$AT, 0, XMATCH("Phân loại VTBB/NL", '6. TIẾN ĐỘ MUA HÀNG'!$A$4:$AT$4, 0)) = $B57) * (TRIM(INDEX('6. TIẾN ĐỘ MUA HÀNG'!$A:$AT, 0, XMATCH("Tháng", '6. TIẾN ĐỘ MUA HÀNG'!$A$4:$AT$4, 0))) = TRIM(Q$6)) * (INDEX('6. TIẾN ĐỘ MUA HÀNG'!$A:$AT, 0, XMATCH("Phân loại VTBB/NL", '6. TIẾN ĐỘ MUA HÀNG'!$A$4:$AT$4, 0)) &lt;&gt; ""))</f>
        <v>0</v>
      </c>
      <c r="R57" s="744">
        <f t="array" ref="R57">SUMPRODUCT(IFERROR(INDEX('6. TIẾN ĐỘ MUA HÀNG'!$A$5:$AT81, 0, XMATCH("Thành tiền đơn hàng", '6. TIẾN ĐỘ MUA HÀNG'!$A$4:$AT$4, 0)), 0) * (INDEX('6. TIẾN ĐỘ MUA HÀNG'!$A$5:$AT81, 0, XMATCH("Phân loại VTBB/NL", '6. TIẾN ĐỘ MUA HÀNG'!$A$4:$AT$4, 0)) = $B57) * (TRIM(INDEX('6. TIẾN ĐỘ MUA HÀNG'!$A$5:$AT81, 0, XMATCH("Tháng", '6. TIẾN ĐỘ MUA HÀNG'!$A$4:$AT$4, 0))) = TRIM(Q$6)))</f>
        <v>0</v>
      </c>
      <c r="S57" s="741">
        <f t="array" ref="S57">SUMPRODUCT((INDEX('6. TIẾN ĐỘ MUA HÀNG'!$A:$AT, 0, XMATCH("Phân loại VTBB/NL", '6. TIẾN ĐỘ MUA HÀNG'!$A$4:$AT$4, 0)) = $B57) * (TRIM(INDEX('6. TIẾN ĐỘ MUA HÀNG'!$A:$AT, 0, XMATCH("Tháng", '6. TIẾN ĐỘ MUA HÀNG'!$A$4:$AT$4, 0))) = TRIM($S$6)) * (INDEX('6. TIẾN ĐỘ MUA HÀNG'!$A:$AT, 0, XMATCH("Phân loại VTBB/NL", '6. TIẾN ĐỘ MUA HÀNG'!$A$4:$AT$4, 0)) &lt;&gt; ""))</f>
        <v>0</v>
      </c>
      <c r="T57" s="742">
        <f t="array" ref="T57">SUMPRODUCT(IFERROR(INDEX('6. TIẾN ĐỘ MUA HÀNG'!$A$5:$AT81, 0, XMATCH("Thành tiền đơn hàng", '6. TIẾN ĐỘ MUA HÀNG'!$A$4:$AT$4, 0)), 0) * (INDEX('6. TIẾN ĐỘ MUA HÀNG'!$A$5:$AT81, 0, XMATCH("Phân loại VTBB/NL", '6. TIẾN ĐỘ MUA HÀNG'!$A$4:$AT$4, 0)) = $B57) * (TRIM(INDEX('6. TIẾN ĐỘ MUA HÀNG'!$A$5:$AT81, 0, XMATCH("Tháng", '6. TIẾN ĐỘ MUA HÀNG'!$A$4:$AT$4, 0))) = TRIM(S$6)))</f>
        <v>0</v>
      </c>
      <c r="U57" s="743">
        <f t="array" ref="U57">SUMPRODUCT((INDEX('6. TIẾN ĐỘ MUA HÀNG'!$A:$AT, 0, XMATCH("Phân loại VTBB/NL", '6. TIẾN ĐỘ MUA HÀNG'!$A$4:$AT$4, 0)) = $B57) * (TRIM(INDEX('6. TIẾN ĐỘ MUA HÀNG'!$A:$AT, 0, XMATCH("Tháng", '6. TIẾN ĐỘ MUA HÀNG'!$A$4:$AT$4, 0))) = TRIM(U$6)) * (INDEX('6. TIẾN ĐỘ MUA HÀNG'!$A:$AT, 0, XMATCH("Phân loại VTBB/NL", '6. TIẾN ĐỘ MUA HÀNG'!$A$4:$AT$4, 0)) &lt;&gt; ""))</f>
        <v>0</v>
      </c>
      <c r="V57" s="744">
        <f t="array" ref="V57">SUMPRODUCT(IFERROR(INDEX('6. TIẾN ĐỘ MUA HÀNG'!$A$5:$AT81, 0, XMATCH("Thành tiền đơn hàng", '6. TIẾN ĐỘ MUA HÀNG'!$A$4:$AT$4, 0)), 0) * (INDEX('6. TIẾN ĐỘ MUA HÀNG'!$A$5:$AT81, 0, XMATCH("Phân loại VTBB/NL", '6. TIẾN ĐỘ MUA HÀNG'!$A$4:$AT$4, 0)) = $B57) * (TRIM(INDEX('6. TIẾN ĐỘ MUA HÀNG'!$A$5:$AT81, 0, XMATCH("Tháng", '6. TIẾN ĐỘ MUA HÀNG'!$A$4:$AT$4, 0))) = TRIM(U$6)))</f>
        <v>0</v>
      </c>
      <c r="W57" s="741">
        <f t="array" ref="W57">SUMPRODUCT((INDEX('6. TIẾN ĐỘ MUA HÀNG'!$A:$AT, 0, XMATCH("Phân loại VTBB/NL", '6. TIẾN ĐỘ MUA HÀNG'!$A$4:$AT$4, 0)) = $B57) * (TRIM(INDEX('6. TIẾN ĐỘ MUA HÀNG'!$A:$AT, 0, XMATCH("Tháng", '6. TIẾN ĐỘ MUA HÀNG'!$A$4:$AT$4, 0))) = TRIM($W$6)) * (INDEX('6. TIẾN ĐỘ MUA HÀNG'!$A:$AT, 0, XMATCH("Phân loại VTBB/NL", '6. TIẾN ĐỘ MUA HÀNG'!$A$4:$AT$4, 0)) &lt;&gt; ""))</f>
        <v>0</v>
      </c>
      <c r="X57" s="742">
        <f t="array" ref="X57">SUMPRODUCT(IFERROR(INDEX('6. TIẾN ĐỘ MUA HÀNG'!$A$5:$AT81, 0, XMATCH("Thành tiền đơn hàng", '6. TIẾN ĐỘ MUA HÀNG'!$A$4:$AT$4, 0)), 0) * (INDEX('6. TIẾN ĐỘ MUA HÀNG'!$A$5:$AT81, 0, XMATCH("Phân loại VTBB/NL", '6. TIẾN ĐỘ MUA HÀNG'!$A$4:$AT$4, 0)) = $B57) * (TRIM(INDEX('6. TIẾN ĐỘ MUA HÀNG'!$A$5:$AT81, 0, XMATCH("Tháng", '6. TIẾN ĐỘ MUA HÀNG'!$A$4:$AT$4, 0))) = TRIM(W$6)))</f>
        <v>0</v>
      </c>
      <c r="Y57" s="743">
        <f t="array" ref="Y57">SUMPRODUCT((INDEX('6. TIẾN ĐỘ MUA HÀNG'!$A:$AT, 0, XMATCH("Phân loại VTBB/NL", '6. TIẾN ĐỘ MUA HÀNG'!$A$4:$AT$4, 0)) = $B57) * (TRIM(INDEX('6. TIẾN ĐỘ MUA HÀNG'!$A:$AT, 0, XMATCH("Tháng", '6. TIẾN ĐỘ MUA HÀNG'!$A$4:$AT$4, 0))) = TRIM(Y$6)) * (INDEX('6. TIẾN ĐỘ MUA HÀNG'!$A:$AT, 0, XMATCH("Phân loại VTBB/NL", '6. TIẾN ĐỘ MUA HÀNG'!$A$4:$AT$4, 0)) &lt;&gt; ""))</f>
        <v>0</v>
      </c>
      <c r="Z57" s="744">
        <f t="array" ref="Z57">SUMPRODUCT(IFERROR(INDEX('6. TIẾN ĐỘ MUA HÀNG'!$A$5:$AT81, 0, XMATCH("Thành tiền đơn hàng", '6. TIẾN ĐỘ MUA HÀNG'!$A$4:$AT$4, 0)), 0) * (INDEX('6. TIẾN ĐỘ MUA HÀNG'!$A$5:$AT81, 0, XMATCH("Phân loại VTBB/NL", '6. TIẾN ĐỘ MUA HÀNG'!$A$4:$AT$4, 0)) = $B57) * (TRIM(INDEX('6. TIẾN ĐỘ MUA HÀNG'!$A$5:$AT81, 0, XMATCH("Tháng", '6. TIẾN ĐỘ MUA HÀNG'!$A$4:$AT$4, 0))) = TRIM(Y$6)))</f>
        <v>0</v>
      </c>
      <c r="AA57" s="726">
        <f t="shared" si="2"/>
        <v>0</v>
      </c>
      <c r="AB57" s="726">
        <f t="shared" si="3"/>
        <v>0</v>
      </c>
    </row>
    <row r="58">
      <c r="A58" s="612">
        <v>50.0</v>
      </c>
      <c r="B58" s="597" t="str">
        <f>IFERROR(__xludf.DUMMYFUNCTION("""COMPUTED_VALUE"""),"Túi PE (Túi nilong)")</f>
        <v>Túi PE (Túi nilong)</v>
      </c>
      <c r="C58" s="741">
        <f t="array" ref="C58">SUMPRODUCT((INDEX('6. TIẾN ĐỘ MUA HÀNG'!$A:$AT, 0, XMATCH("Phân loại VTBB/NL", '6. TIẾN ĐỘ MUA HÀNG'!$A$4:$AT$4, 0)) = $B58) * (TRIM(INDEX('6. TIẾN ĐỘ MUA HÀNG'!$A:$AT, 0, XMATCH("Tháng", '6. TIẾN ĐỘ MUA HÀNG'!$A$4:$AT$4, 0))) = TRIM($C$6)) * (INDEX('6. TIẾN ĐỘ MUA HÀNG'!$A:$AT, 0, XMATCH("Phân loại VTBB/NL", '6. TIẾN ĐỘ MUA HÀNG'!$A$4:$AT$4, 0)) &lt;&gt; ""))</f>
        <v>0</v>
      </c>
      <c r="D58" s="742">
        <f t="array" ref="D58">SUMPRODUCT(IFERROR(INDEX('6. TIẾN ĐỘ MUA HÀNG'!$A$5:$AT81, 0, XMATCH("Thành tiền đơn hàng", '6. TIẾN ĐỘ MUA HÀNG'!$A$4:$AT$4, 0)), 0) * (INDEX('6. TIẾN ĐỘ MUA HÀNG'!$A$5:$AT81, 0, XMATCH("Phân loại VTBB/NL", '6. TIẾN ĐỘ MUA HÀNG'!$A$4:$AT$4, 0)) = $B58) * (TRIM(INDEX('6. TIẾN ĐỘ MUA HÀNG'!$A$5:$AT81, 0, XMATCH("Tháng", '6. TIẾN ĐỘ MUA HÀNG'!$A$4:$AT$4, 0))) = TRIM(C$6)))</f>
        <v>0</v>
      </c>
      <c r="E58" s="743">
        <f t="array" ref="E58">SUMPRODUCT((INDEX('6. TIẾN ĐỘ MUA HÀNG'!$A:$AT, 0, XMATCH("Phân loại VTBB/NL", '6. TIẾN ĐỘ MUA HÀNG'!$A$4:$AT$4, 0)) = $B58) * (TRIM(INDEX('6. TIẾN ĐỘ MUA HÀNG'!$A:$AT, 0, XMATCH("Tháng", '6. TIẾN ĐỘ MUA HÀNG'!$A$4:$AT$4, 0))) = TRIM(E$6)) * (INDEX('6. TIẾN ĐỘ MUA HÀNG'!$A:$AT, 0, XMATCH("Phân loại VTBB/NL", '6. TIẾN ĐỘ MUA HÀNG'!$A$4:$AT$4, 0)) &lt;&gt; ""))</f>
        <v>0</v>
      </c>
      <c r="F58" s="744">
        <f t="array" ref="F58">SUMPRODUCT(IFERROR(INDEX('6. TIẾN ĐỘ MUA HÀNG'!$A$5:$AT81, 0, XMATCH("Thành tiền đơn hàng", '6. TIẾN ĐỘ MUA HÀNG'!$A$4:$AT$4, 0)), 0) * (INDEX('6. TIẾN ĐỘ MUA HÀNG'!$A$5:$AT81, 0, XMATCH("Phân loại VTBB/NL", '6. TIẾN ĐỘ MUA HÀNG'!$A$4:$AT$4, 0)) = $B58) * (TRIM(INDEX('6. TIẾN ĐỘ MUA HÀNG'!$A$5:$AT81, 0, XMATCH("Tháng", '6. TIẾN ĐỘ MUA HÀNG'!$A$4:$AT$4, 0))) = TRIM(E$6)))</f>
        <v>0</v>
      </c>
      <c r="G58" s="741">
        <f t="array" ref="G58">SUMPRODUCT((INDEX('6. TIẾN ĐỘ MUA HÀNG'!$A:$AT, 0, XMATCH("Phân loại VTBB/NL", '6. TIẾN ĐỘ MUA HÀNG'!$A$4:$AT$4, 0)) = $B58) * (TRIM(INDEX('6. TIẾN ĐỘ MUA HÀNG'!$A:$AT, 0, XMATCH("Tháng", '6. TIẾN ĐỘ MUA HÀNG'!$A$4:$AT$4, 0))) = TRIM($G$6)) * (INDEX('6. TIẾN ĐỘ MUA HÀNG'!$A:$AT, 0, XMATCH("Phân loại VTBB/NL", '6. TIẾN ĐỘ MUA HÀNG'!$A$4:$AT$4, 0)) &lt;&gt; ""))</f>
        <v>0</v>
      </c>
      <c r="H58" s="742">
        <f t="array" ref="H58">SUMPRODUCT(IFERROR(INDEX('6. TIẾN ĐỘ MUA HÀNG'!$A$5:$AT81, 0, XMATCH("Thành tiền đơn hàng", '6. TIẾN ĐỘ MUA HÀNG'!$A$4:$AT$4, 0)), 0) * (INDEX('6. TIẾN ĐỘ MUA HÀNG'!$A$5:$AT81, 0, XMATCH("Phân loại VTBB/NL", '6. TIẾN ĐỘ MUA HÀNG'!$A$4:$AT$4, 0)) = $B58) * (TRIM(INDEX('6. TIẾN ĐỘ MUA HÀNG'!$A$5:$AT81, 0, XMATCH("Tháng", '6. TIẾN ĐỘ MUA HÀNG'!$A$4:$AT$4, 0))) = TRIM(G$6)))</f>
        <v>0</v>
      </c>
      <c r="I58" s="743">
        <f t="array" ref="I58">SUMPRODUCT((INDEX('6. TIẾN ĐỘ MUA HÀNG'!$A:$AT, 0, XMATCH("Phân loại VTBB/NL", '6. TIẾN ĐỘ MUA HÀNG'!$A$4:$AT$4, 0)) = $B58) * (TRIM(INDEX('6. TIẾN ĐỘ MUA HÀNG'!$A:$AT, 0, XMATCH("Tháng", '6. TIẾN ĐỘ MUA HÀNG'!$A$4:$AT$4, 0))) = TRIM(I$6)) * (INDEX('6. TIẾN ĐỘ MUA HÀNG'!$A:$AT, 0, XMATCH("Phân loại VTBB/NL", '6. TIẾN ĐỘ MUA HÀNG'!$A$4:$AT$4, 0)) &lt;&gt; ""))</f>
        <v>0</v>
      </c>
      <c r="J58" s="744">
        <f t="array" ref="J58">SUMPRODUCT(IFERROR(INDEX('6. TIẾN ĐỘ MUA HÀNG'!$A$5:$AT81, 0, XMATCH("Thành tiền đơn hàng", '6. TIẾN ĐỘ MUA HÀNG'!$A$4:$AT$4, 0)), 0) * (INDEX('6. TIẾN ĐỘ MUA HÀNG'!$A$5:$AT81, 0, XMATCH("Phân loại VTBB/NL", '6. TIẾN ĐỘ MUA HÀNG'!$A$4:$AT$4, 0)) = $B58) * (TRIM(INDEX('6. TIẾN ĐỘ MUA HÀNG'!$A$5:$AT81, 0, XMATCH("Tháng", '6. TIẾN ĐỘ MUA HÀNG'!$A$4:$AT$4, 0))) = TRIM(I$6)))</f>
        <v>0</v>
      </c>
      <c r="K58" s="741">
        <f t="array" ref="K58">SUMPRODUCT((INDEX('6. TIẾN ĐỘ MUA HÀNG'!$A:$AT, 0, XMATCH("Phân loại VTBB/NL", '6. TIẾN ĐỘ MUA HÀNG'!$A$4:$AT$4, 0)) = $B58) * (TRIM(INDEX('6. TIẾN ĐỘ MUA HÀNG'!$A:$AT, 0, XMATCH("Tháng", '6. TIẾN ĐỘ MUA HÀNG'!$A$4:$AT$4, 0))) = TRIM($K$6)) * (INDEX('6. TIẾN ĐỘ MUA HÀNG'!$A:$AT, 0, XMATCH("Phân loại VTBB/NL", '6. TIẾN ĐỘ MUA HÀNG'!$A$4:$AT$4, 0)) &lt;&gt; ""))</f>
        <v>0</v>
      </c>
      <c r="L58" s="742">
        <f t="array" ref="L58">SUMPRODUCT(IFERROR(INDEX('6. TIẾN ĐỘ MUA HÀNG'!$A$5:$AT81, 0, XMATCH("Thành tiền đơn hàng", '6. TIẾN ĐỘ MUA HÀNG'!$A$4:$AT$4, 0)), 0) * (INDEX('6. TIẾN ĐỘ MUA HÀNG'!$A$5:$AT81, 0, XMATCH("Phân loại VTBB/NL", '6. TIẾN ĐỘ MUA HÀNG'!$A$4:$AT$4, 0)) = $B58) * (TRIM(INDEX('6. TIẾN ĐỘ MUA HÀNG'!$A$5:$AT81, 0, XMATCH("Tháng", '6. TIẾN ĐỘ MUA HÀNG'!$A$4:$AT$4, 0))) = TRIM(K$6)))</f>
        <v>0</v>
      </c>
      <c r="M58" s="743">
        <f t="array" ref="M58">SUMPRODUCT((INDEX('6. TIẾN ĐỘ MUA HÀNG'!$A:$AT, 0, XMATCH("Phân loại VTBB/NL", '6. TIẾN ĐỘ MUA HÀNG'!$A$4:$AT$4, 0)) = $B58) * (TRIM(INDEX('6. TIẾN ĐỘ MUA HÀNG'!$A:$AT, 0, XMATCH("Tháng", '6. TIẾN ĐỘ MUA HÀNG'!$A$4:$AT$4, 0))) = TRIM(M$6)) * (INDEX('6. TIẾN ĐỘ MUA HÀNG'!$A:$AT, 0, XMATCH("Phân loại VTBB/NL", '6. TIẾN ĐỘ MUA HÀNG'!$A$4:$AT$4, 0)) &lt;&gt; ""))</f>
        <v>0</v>
      </c>
      <c r="N58" s="744">
        <f t="array" ref="N58">SUMPRODUCT(IFERROR(INDEX('6. TIẾN ĐỘ MUA HÀNG'!$A$5:$AT81, 0, XMATCH("Thành tiền đơn hàng", '6. TIẾN ĐỘ MUA HÀNG'!$A$4:$AT$4, 0)), 0) * (INDEX('6. TIẾN ĐỘ MUA HÀNG'!$A$5:$AT81, 0, XMATCH("Phân loại VTBB/NL", '6. TIẾN ĐỘ MUA HÀNG'!$A$4:$AT$4, 0)) = $B58) * (TRIM(INDEX('6. TIẾN ĐỘ MUA HÀNG'!$A$5:$AT81, 0, XMATCH("Tháng", '6. TIẾN ĐỘ MUA HÀNG'!$A$4:$AT$4, 0))) = TRIM(M$6)))</f>
        <v>0</v>
      </c>
      <c r="O58" s="741">
        <f t="array" ref="O58">SUMPRODUCT((INDEX('6. TIẾN ĐỘ MUA HÀNG'!$A:$AT, 0, XMATCH("Phân loại VTBB/NL", '6. TIẾN ĐỘ MUA HÀNG'!$A$4:$AT$4, 0)) = $B58) * (TRIM(INDEX('6. TIẾN ĐỘ MUA HÀNG'!$A:$AT, 0, XMATCH("Tháng", '6. TIẾN ĐỘ MUA HÀNG'!$A$4:$AT$4, 0))) = TRIM($O$6)) * (INDEX('6. TIẾN ĐỘ MUA HÀNG'!$A:$AT, 0, XMATCH("Phân loại VTBB/NL", '6. TIẾN ĐỘ MUA HÀNG'!$A$4:$AT$4, 0)) &lt;&gt; ""))</f>
        <v>0</v>
      </c>
      <c r="P58" s="742">
        <f t="array" ref="P58">SUMPRODUCT(IFERROR(INDEX('6. TIẾN ĐỘ MUA HÀNG'!$A$5:$AT81, 0, XMATCH("Thành tiền đơn hàng", '6. TIẾN ĐỘ MUA HÀNG'!$A$4:$AT$4, 0)), 0) * (INDEX('6. TIẾN ĐỘ MUA HÀNG'!$A$5:$AT81, 0, XMATCH("Phân loại VTBB/NL", '6. TIẾN ĐỘ MUA HÀNG'!$A$4:$AT$4, 0)) = $B58) * (TRIM(INDEX('6. TIẾN ĐỘ MUA HÀNG'!$A$5:$AT81, 0, XMATCH("Tháng", '6. TIẾN ĐỘ MUA HÀNG'!$A$4:$AT$4, 0))) = TRIM(O$6)))</f>
        <v>0</v>
      </c>
      <c r="Q58" s="743">
        <f t="array" ref="Q58">SUMPRODUCT((INDEX('6. TIẾN ĐỘ MUA HÀNG'!$A:$AT, 0, XMATCH("Phân loại VTBB/NL", '6. TIẾN ĐỘ MUA HÀNG'!$A$4:$AT$4, 0)) = $B58) * (TRIM(INDEX('6. TIẾN ĐỘ MUA HÀNG'!$A:$AT, 0, XMATCH("Tháng", '6. TIẾN ĐỘ MUA HÀNG'!$A$4:$AT$4, 0))) = TRIM(Q$6)) * (INDEX('6. TIẾN ĐỘ MUA HÀNG'!$A:$AT, 0, XMATCH("Phân loại VTBB/NL", '6. TIẾN ĐỘ MUA HÀNG'!$A$4:$AT$4, 0)) &lt;&gt; ""))</f>
        <v>0</v>
      </c>
      <c r="R58" s="744">
        <f t="array" ref="R58">SUMPRODUCT(IFERROR(INDEX('6. TIẾN ĐỘ MUA HÀNG'!$A$5:$AT81, 0, XMATCH("Thành tiền đơn hàng", '6. TIẾN ĐỘ MUA HÀNG'!$A$4:$AT$4, 0)), 0) * (INDEX('6. TIẾN ĐỘ MUA HÀNG'!$A$5:$AT81, 0, XMATCH("Phân loại VTBB/NL", '6. TIẾN ĐỘ MUA HÀNG'!$A$4:$AT$4, 0)) = $B58) * (TRIM(INDEX('6. TIẾN ĐỘ MUA HÀNG'!$A$5:$AT81, 0, XMATCH("Tháng", '6. TIẾN ĐỘ MUA HÀNG'!$A$4:$AT$4, 0))) = TRIM(Q$6)))</f>
        <v>0</v>
      </c>
      <c r="S58" s="741">
        <f t="array" ref="S58">SUMPRODUCT((INDEX('6. TIẾN ĐỘ MUA HÀNG'!$A:$AT, 0, XMATCH("Phân loại VTBB/NL", '6. TIẾN ĐỘ MUA HÀNG'!$A$4:$AT$4, 0)) = $B58) * (TRIM(INDEX('6. TIẾN ĐỘ MUA HÀNG'!$A:$AT, 0, XMATCH("Tháng", '6. TIẾN ĐỘ MUA HÀNG'!$A$4:$AT$4, 0))) = TRIM($S$6)) * (INDEX('6. TIẾN ĐỘ MUA HÀNG'!$A:$AT, 0, XMATCH("Phân loại VTBB/NL", '6. TIẾN ĐỘ MUA HÀNG'!$A$4:$AT$4, 0)) &lt;&gt; ""))</f>
        <v>0</v>
      </c>
      <c r="T58" s="742">
        <f t="array" ref="T58">SUMPRODUCT(IFERROR(INDEX('6. TIẾN ĐỘ MUA HÀNG'!$A$5:$AT81, 0, XMATCH("Thành tiền đơn hàng", '6. TIẾN ĐỘ MUA HÀNG'!$A$4:$AT$4, 0)), 0) * (INDEX('6. TIẾN ĐỘ MUA HÀNG'!$A$5:$AT81, 0, XMATCH("Phân loại VTBB/NL", '6. TIẾN ĐỘ MUA HÀNG'!$A$4:$AT$4, 0)) = $B58) * (TRIM(INDEX('6. TIẾN ĐỘ MUA HÀNG'!$A$5:$AT81, 0, XMATCH("Tháng", '6. TIẾN ĐỘ MUA HÀNG'!$A$4:$AT$4, 0))) = TRIM(S$6)))</f>
        <v>0</v>
      </c>
      <c r="U58" s="743">
        <f t="array" ref="U58">SUMPRODUCT((INDEX('6. TIẾN ĐỘ MUA HÀNG'!$A:$AT, 0, XMATCH("Phân loại VTBB/NL", '6. TIẾN ĐỘ MUA HÀNG'!$A$4:$AT$4, 0)) = $B58) * (TRIM(INDEX('6. TIẾN ĐỘ MUA HÀNG'!$A:$AT, 0, XMATCH("Tháng", '6. TIẾN ĐỘ MUA HÀNG'!$A$4:$AT$4, 0))) = TRIM(U$6)) * (INDEX('6. TIẾN ĐỘ MUA HÀNG'!$A:$AT, 0, XMATCH("Phân loại VTBB/NL", '6. TIẾN ĐỘ MUA HÀNG'!$A$4:$AT$4, 0)) &lt;&gt; ""))</f>
        <v>0</v>
      </c>
      <c r="V58" s="744">
        <f t="array" ref="V58">SUMPRODUCT(IFERROR(INDEX('6. TIẾN ĐỘ MUA HÀNG'!$A$5:$AT81, 0, XMATCH("Thành tiền đơn hàng", '6. TIẾN ĐỘ MUA HÀNG'!$A$4:$AT$4, 0)), 0) * (INDEX('6. TIẾN ĐỘ MUA HÀNG'!$A$5:$AT81, 0, XMATCH("Phân loại VTBB/NL", '6. TIẾN ĐỘ MUA HÀNG'!$A$4:$AT$4, 0)) = $B58) * (TRIM(INDEX('6. TIẾN ĐỘ MUA HÀNG'!$A$5:$AT81, 0, XMATCH("Tháng", '6. TIẾN ĐỘ MUA HÀNG'!$A$4:$AT$4, 0))) = TRIM(U$6)))</f>
        <v>0</v>
      </c>
      <c r="W58" s="741">
        <f t="array" ref="W58">SUMPRODUCT((INDEX('6. TIẾN ĐỘ MUA HÀNG'!$A:$AT, 0, XMATCH("Phân loại VTBB/NL", '6. TIẾN ĐỘ MUA HÀNG'!$A$4:$AT$4, 0)) = $B58) * (TRIM(INDEX('6. TIẾN ĐỘ MUA HÀNG'!$A:$AT, 0, XMATCH("Tháng", '6. TIẾN ĐỘ MUA HÀNG'!$A$4:$AT$4, 0))) = TRIM($W$6)) * (INDEX('6. TIẾN ĐỘ MUA HÀNG'!$A:$AT, 0, XMATCH("Phân loại VTBB/NL", '6. TIẾN ĐỘ MUA HÀNG'!$A$4:$AT$4, 0)) &lt;&gt; ""))</f>
        <v>0</v>
      </c>
      <c r="X58" s="742">
        <f t="array" ref="X58">SUMPRODUCT(IFERROR(INDEX('6. TIẾN ĐỘ MUA HÀNG'!$A$5:$AT81, 0, XMATCH("Thành tiền đơn hàng", '6. TIẾN ĐỘ MUA HÀNG'!$A$4:$AT$4, 0)), 0) * (INDEX('6. TIẾN ĐỘ MUA HÀNG'!$A$5:$AT81, 0, XMATCH("Phân loại VTBB/NL", '6. TIẾN ĐỘ MUA HÀNG'!$A$4:$AT$4, 0)) = $B58) * (TRIM(INDEX('6. TIẾN ĐỘ MUA HÀNG'!$A$5:$AT81, 0, XMATCH("Tháng", '6. TIẾN ĐỘ MUA HÀNG'!$A$4:$AT$4, 0))) = TRIM(W$6)))</f>
        <v>0</v>
      </c>
      <c r="Y58" s="743">
        <f t="array" ref="Y58">SUMPRODUCT((INDEX('6. TIẾN ĐỘ MUA HÀNG'!$A:$AT, 0, XMATCH("Phân loại VTBB/NL", '6. TIẾN ĐỘ MUA HÀNG'!$A$4:$AT$4, 0)) = $B58) * (TRIM(INDEX('6. TIẾN ĐỘ MUA HÀNG'!$A:$AT, 0, XMATCH("Tháng", '6. TIẾN ĐỘ MUA HÀNG'!$A$4:$AT$4, 0))) = TRIM(Y$6)) * (INDEX('6. TIẾN ĐỘ MUA HÀNG'!$A:$AT, 0, XMATCH("Phân loại VTBB/NL", '6. TIẾN ĐỘ MUA HÀNG'!$A$4:$AT$4, 0)) &lt;&gt; ""))</f>
        <v>0</v>
      </c>
      <c r="Z58" s="744">
        <f t="array" ref="Z58">SUMPRODUCT(IFERROR(INDEX('6. TIẾN ĐỘ MUA HÀNG'!$A$5:$AT81, 0, XMATCH("Thành tiền đơn hàng", '6. TIẾN ĐỘ MUA HÀNG'!$A$4:$AT$4, 0)), 0) * (INDEX('6. TIẾN ĐỘ MUA HÀNG'!$A$5:$AT81, 0, XMATCH("Phân loại VTBB/NL", '6. TIẾN ĐỘ MUA HÀNG'!$A$4:$AT$4, 0)) = $B58) * (TRIM(INDEX('6. TIẾN ĐỘ MUA HÀNG'!$A$5:$AT81, 0, XMATCH("Tháng", '6. TIẾN ĐỘ MUA HÀNG'!$A$4:$AT$4, 0))) = TRIM(Y$6)))</f>
        <v>0</v>
      </c>
      <c r="AA58" s="726">
        <f t="shared" si="2"/>
        <v>0</v>
      </c>
      <c r="AB58" s="726">
        <f t="shared" si="3"/>
        <v>0</v>
      </c>
    </row>
    <row r="59">
      <c r="A59" s="612">
        <v>51.0</v>
      </c>
      <c r="B59" s="597" t="str">
        <f>IFERROR(__xludf.DUMMYFUNCTION("""COMPUTED_VALUE"""),"Túi PA 3 biên")</f>
        <v>Túi PA 3 biên</v>
      </c>
      <c r="C59" s="741">
        <f t="array" ref="C59">SUMPRODUCT((INDEX('6. TIẾN ĐỘ MUA HÀNG'!$A:$AT, 0, XMATCH("Phân loại VTBB/NL", '6. TIẾN ĐỘ MUA HÀNG'!$A$4:$AT$4, 0)) = $B59) * (TRIM(INDEX('6. TIẾN ĐỘ MUA HÀNG'!$A:$AT, 0, XMATCH("Tháng", '6. TIẾN ĐỘ MUA HÀNG'!$A$4:$AT$4, 0))) = TRIM($C$6)) * (INDEX('6. TIẾN ĐỘ MUA HÀNG'!$A:$AT, 0, XMATCH("Phân loại VTBB/NL", '6. TIẾN ĐỘ MUA HÀNG'!$A$4:$AT$4, 0)) &lt;&gt; ""))</f>
        <v>0</v>
      </c>
      <c r="D59" s="742">
        <f t="array" ref="D59">SUMPRODUCT(IFERROR(INDEX('6. TIẾN ĐỘ MUA HÀNG'!$A$5:$AT81, 0, XMATCH("Thành tiền đơn hàng", '6. TIẾN ĐỘ MUA HÀNG'!$A$4:$AT$4, 0)), 0) * (INDEX('6. TIẾN ĐỘ MUA HÀNG'!$A$5:$AT81, 0, XMATCH("Phân loại VTBB/NL", '6. TIẾN ĐỘ MUA HÀNG'!$A$4:$AT$4, 0)) = $B59) * (TRIM(INDEX('6. TIẾN ĐỘ MUA HÀNG'!$A$5:$AT81, 0, XMATCH("Tháng", '6. TIẾN ĐỘ MUA HÀNG'!$A$4:$AT$4, 0))) = TRIM(C$6)))</f>
        <v>0</v>
      </c>
      <c r="E59" s="743">
        <f t="array" ref="E59">SUMPRODUCT((INDEX('6. TIẾN ĐỘ MUA HÀNG'!$A:$AT, 0, XMATCH("Phân loại VTBB/NL", '6. TIẾN ĐỘ MUA HÀNG'!$A$4:$AT$4, 0)) = $B59) * (TRIM(INDEX('6. TIẾN ĐỘ MUA HÀNG'!$A:$AT, 0, XMATCH("Tháng", '6. TIẾN ĐỘ MUA HÀNG'!$A$4:$AT$4, 0))) = TRIM(E$6)) * (INDEX('6. TIẾN ĐỘ MUA HÀNG'!$A:$AT, 0, XMATCH("Phân loại VTBB/NL", '6. TIẾN ĐỘ MUA HÀNG'!$A$4:$AT$4, 0)) &lt;&gt; ""))</f>
        <v>0</v>
      </c>
      <c r="F59" s="744">
        <f t="array" ref="F59">SUMPRODUCT(IFERROR(INDEX('6. TIẾN ĐỘ MUA HÀNG'!$A$5:$AT81, 0, XMATCH("Thành tiền đơn hàng", '6. TIẾN ĐỘ MUA HÀNG'!$A$4:$AT$4, 0)), 0) * (INDEX('6. TIẾN ĐỘ MUA HÀNG'!$A$5:$AT81, 0, XMATCH("Phân loại VTBB/NL", '6. TIẾN ĐỘ MUA HÀNG'!$A$4:$AT$4, 0)) = $B59) * (TRIM(INDEX('6. TIẾN ĐỘ MUA HÀNG'!$A$5:$AT81, 0, XMATCH("Tháng", '6. TIẾN ĐỘ MUA HÀNG'!$A$4:$AT$4, 0))) = TRIM(E$6)))</f>
        <v>0</v>
      </c>
      <c r="G59" s="741">
        <f t="array" ref="G59">SUMPRODUCT((INDEX('6. TIẾN ĐỘ MUA HÀNG'!$A:$AT, 0, XMATCH("Phân loại VTBB/NL", '6. TIẾN ĐỘ MUA HÀNG'!$A$4:$AT$4, 0)) = $B59) * (TRIM(INDEX('6. TIẾN ĐỘ MUA HÀNG'!$A:$AT, 0, XMATCH("Tháng", '6. TIẾN ĐỘ MUA HÀNG'!$A$4:$AT$4, 0))) = TRIM($G$6)) * (INDEX('6. TIẾN ĐỘ MUA HÀNG'!$A:$AT, 0, XMATCH("Phân loại VTBB/NL", '6. TIẾN ĐỘ MUA HÀNG'!$A$4:$AT$4, 0)) &lt;&gt; ""))</f>
        <v>0</v>
      </c>
      <c r="H59" s="742">
        <f t="array" ref="H59">SUMPRODUCT(IFERROR(INDEX('6. TIẾN ĐỘ MUA HÀNG'!$A$5:$AT81, 0, XMATCH("Thành tiền đơn hàng", '6. TIẾN ĐỘ MUA HÀNG'!$A$4:$AT$4, 0)), 0) * (INDEX('6. TIẾN ĐỘ MUA HÀNG'!$A$5:$AT81, 0, XMATCH("Phân loại VTBB/NL", '6. TIẾN ĐỘ MUA HÀNG'!$A$4:$AT$4, 0)) = $B59) * (TRIM(INDEX('6. TIẾN ĐỘ MUA HÀNG'!$A$5:$AT81, 0, XMATCH("Tháng", '6. TIẾN ĐỘ MUA HÀNG'!$A$4:$AT$4, 0))) = TRIM(G$6)))</f>
        <v>0</v>
      </c>
      <c r="I59" s="743">
        <f t="array" ref="I59">SUMPRODUCT((INDEX('6. TIẾN ĐỘ MUA HÀNG'!$A:$AT, 0, XMATCH("Phân loại VTBB/NL", '6. TIẾN ĐỘ MUA HÀNG'!$A$4:$AT$4, 0)) = $B59) * (TRIM(INDEX('6. TIẾN ĐỘ MUA HÀNG'!$A:$AT, 0, XMATCH("Tháng", '6. TIẾN ĐỘ MUA HÀNG'!$A$4:$AT$4, 0))) = TRIM(I$6)) * (INDEX('6. TIẾN ĐỘ MUA HÀNG'!$A:$AT, 0, XMATCH("Phân loại VTBB/NL", '6. TIẾN ĐỘ MUA HÀNG'!$A$4:$AT$4, 0)) &lt;&gt; ""))</f>
        <v>0</v>
      </c>
      <c r="J59" s="744">
        <f t="array" ref="J59">SUMPRODUCT(IFERROR(INDEX('6. TIẾN ĐỘ MUA HÀNG'!$A$5:$AT81, 0, XMATCH("Thành tiền đơn hàng", '6. TIẾN ĐỘ MUA HÀNG'!$A$4:$AT$4, 0)), 0) * (INDEX('6. TIẾN ĐỘ MUA HÀNG'!$A$5:$AT81, 0, XMATCH("Phân loại VTBB/NL", '6. TIẾN ĐỘ MUA HÀNG'!$A$4:$AT$4, 0)) = $B59) * (TRIM(INDEX('6. TIẾN ĐỘ MUA HÀNG'!$A$5:$AT81, 0, XMATCH("Tháng", '6. TIẾN ĐỘ MUA HÀNG'!$A$4:$AT$4, 0))) = TRIM(I$6)))</f>
        <v>0</v>
      </c>
      <c r="K59" s="741">
        <f t="array" ref="K59">SUMPRODUCT((INDEX('6. TIẾN ĐỘ MUA HÀNG'!$A:$AT, 0, XMATCH("Phân loại VTBB/NL", '6. TIẾN ĐỘ MUA HÀNG'!$A$4:$AT$4, 0)) = $B59) * (TRIM(INDEX('6. TIẾN ĐỘ MUA HÀNG'!$A:$AT, 0, XMATCH("Tháng", '6. TIẾN ĐỘ MUA HÀNG'!$A$4:$AT$4, 0))) = TRIM($K$6)) * (INDEX('6. TIẾN ĐỘ MUA HÀNG'!$A:$AT, 0, XMATCH("Phân loại VTBB/NL", '6. TIẾN ĐỘ MUA HÀNG'!$A$4:$AT$4, 0)) &lt;&gt; ""))</f>
        <v>0</v>
      </c>
      <c r="L59" s="742">
        <f t="array" ref="L59">SUMPRODUCT(IFERROR(INDEX('6. TIẾN ĐỘ MUA HÀNG'!$A$5:$AT81, 0, XMATCH("Thành tiền đơn hàng", '6. TIẾN ĐỘ MUA HÀNG'!$A$4:$AT$4, 0)), 0) * (INDEX('6. TIẾN ĐỘ MUA HÀNG'!$A$5:$AT81, 0, XMATCH("Phân loại VTBB/NL", '6. TIẾN ĐỘ MUA HÀNG'!$A$4:$AT$4, 0)) = $B59) * (TRIM(INDEX('6. TIẾN ĐỘ MUA HÀNG'!$A$5:$AT81, 0, XMATCH("Tháng", '6. TIẾN ĐỘ MUA HÀNG'!$A$4:$AT$4, 0))) = TRIM(K$6)))</f>
        <v>0</v>
      </c>
      <c r="M59" s="743">
        <f t="array" ref="M59">SUMPRODUCT((INDEX('6. TIẾN ĐỘ MUA HÀNG'!$A:$AT, 0, XMATCH("Phân loại VTBB/NL", '6. TIẾN ĐỘ MUA HÀNG'!$A$4:$AT$4, 0)) = $B59) * (TRIM(INDEX('6. TIẾN ĐỘ MUA HÀNG'!$A:$AT, 0, XMATCH("Tháng", '6. TIẾN ĐỘ MUA HÀNG'!$A$4:$AT$4, 0))) = TRIM(M$6)) * (INDEX('6. TIẾN ĐỘ MUA HÀNG'!$A:$AT, 0, XMATCH("Phân loại VTBB/NL", '6. TIẾN ĐỘ MUA HÀNG'!$A$4:$AT$4, 0)) &lt;&gt; ""))</f>
        <v>0</v>
      </c>
      <c r="N59" s="744">
        <f t="array" ref="N59">SUMPRODUCT(IFERROR(INDEX('6. TIẾN ĐỘ MUA HÀNG'!$A$5:$AT81, 0, XMATCH("Thành tiền đơn hàng", '6. TIẾN ĐỘ MUA HÀNG'!$A$4:$AT$4, 0)), 0) * (INDEX('6. TIẾN ĐỘ MUA HÀNG'!$A$5:$AT81, 0, XMATCH("Phân loại VTBB/NL", '6. TIẾN ĐỘ MUA HÀNG'!$A$4:$AT$4, 0)) = $B59) * (TRIM(INDEX('6. TIẾN ĐỘ MUA HÀNG'!$A$5:$AT81, 0, XMATCH("Tháng", '6. TIẾN ĐỘ MUA HÀNG'!$A$4:$AT$4, 0))) = TRIM(M$6)))</f>
        <v>0</v>
      </c>
      <c r="O59" s="741">
        <f t="array" ref="O59">SUMPRODUCT((INDEX('6. TIẾN ĐỘ MUA HÀNG'!$A:$AT, 0, XMATCH("Phân loại VTBB/NL", '6. TIẾN ĐỘ MUA HÀNG'!$A$4:$AT$4, 0)) = $B59) * (TRIM(INDEX('6. TIẾN ĐỘ MUA HÀNG'!$A:$AT, 0, XMATCH("Tháng", '6. TIẾN ĐỘ MUA HÀNG'!$A$4:$AT$4, 0))) = TRIM($O$6)) * (INDEX('6. TIẾN ĐỘ MUA HÀNG'!$A:$AT, 0, XMATCH("Phân loại VTBB/NL", '6. TIẾN ĐỘ MUA HÀNG'!$A$4:$AT$4, 0)) &lt;&gt; ""))</f>
        <v>0</v>
      </c>
      <c r="P59" s="742">
        <f t="array" ref="P59">SUMPRODUCT(IFERROR(INDEX('6. TIẾN ĐỘ MUA HÀNG'!$A$5:$AT81, 0, XMATCH("Thành tiền đơn hàng", '6. TIẾN ĐỘ MUA HÀNG'!$A$4:$AT$4, 0)), 0) * (INDEX('6. TIẾN ĐỘ MUA HÀNG'!$A$5:$AT81, 0, XMATCH("Phân loại VTBB/NL", '6. TIẾN ĐỘ MUA HÀNG'!$A$4:$AT$4, 0)) = $B59) * (TRIM(INDEX('6. TIẾN ĐỘ MUA HÀNG'!$A$5:$AT81, 0, XMATCH("Tháng", '6. TIẾN ĐỘ MUA HÀNG'!$A$4:$AT$4, 0))) = TRIM(O$6)))</f>
        <v>0</v>
      </c>
      <c r="Q59" s="743">
        <f t="array" ref="Q59">SUMPRODUCT((INDEX('6. TIẾN ĐỘ MUA HÀNG'!$A:$AT, 0, XMATCH("Phân loại VTBB/NL", '6. TIẾN ĐỘ MUA HÀNG'!$A$4:$AT$4, 0)) = $B59) * (TRIM(INDEX('6. TIẾN ĐỘ MUA HÀNG'!$A:$AT, 0, XMATCH("Tháng", '6. TIẾN ĐỘ MUA HÀNG'!$A$4:$AT$4, 0))) = TRIM(Q$6)) * (INDEX('6. TIẾN ĐỘ MUA HÀNG'!$A:$AT, 0, XMATCH("Phân loại VTBB/NL", '6. TIẾN ĐỘ MUA HÀNG'!$A$4:$AT$4, 0)) &lt;&gt; ""))</f>
        <v>0</v>
      </c>
      <c r="R59" s="744">
        <f t="array" ref="R59">SUMPRODUCT(IFERROR(INDEX('6. TIẾN ĐỘ MUA HÀNG'!$A$5:$AT81, 0, XMATCH("Thành tiền đơn hàng", '6. TIẾN ĐỘ MUA HÀNG'!$A$4:$AT$4, 0)), 0) * (INDEX('6. TIẾN ĐỘ MUA HÀNG'!$A$5:$AT81, 0, XMATCH("Phân loại VTBB/NL", '6. TIẾN ĐỘ MUA HÀNG'!$A$4:$AT$4, 0)) = $B59) * (TRIM(INDEX('6. TIẾN ĐỘ MUA HÀNG'!$A$5:$AT81, 0, XMATCH("Tháng", '6. TIẾN ĐỘ MUA HÀNG'!$A$4:$AT$4, 0))) = TRIM(Q$6)))</f>
        <v>0</v>
      </c>
      <c r="S59" s="741">
        <f t="array" ref="S59">SUMPRODUCT((INDEX('6. TIẾN ĐỘ MUA HÀNG'!$A:$AT, 0, XMATCH("Phân loại VTBB/NL", '6. TIẾN ĐỘ MUA HÀNG'!$A$4:$AT$4, 0)) = $B59) * (TRIM(INDEX('6. TIẾN ĐỘ MUA HÀNG'!$A:$AT, 0, XMATCH("Tháng", '6. TIẾN ĐỘ MUA HÀNG'!$A$4:$AT$4, 0))) = TRIM($S$6)) * (INDEX('6. TIẾN ĐỘ MUA HÀNG'!$A:$AT, 0, XMATCH("Phân loại VTBB/NL", '6. TIẾN ĐỘ MUA HÀNG'!$A$4:$AT$4, 0)) &lt;&gt; ""))</f>
        <v>0</v>
      </c>
      <c r="T59" s="742">
        <f t="array" ref="T59">SUMPRODUCT(IFERROR(INDEX('6. TIẾN ĐỘ MUA HÀNG'!$A$5:$AT81, 0, XMATCH("Thành tiền đơn hàng", '6. TIẾN ĐỘ MUA HÀNG'!$A$4:$AT$4, 0)), 0) * (INDEX('6. TIẾN ĐỘ MUA HÀNG'!$A$5:$AT81, 0, XMATCH("Phân loại VTBB/NL", '6. TIẾN ĐỘ MUA HÀNG'!$A$4:$AT$4, 0)) = $B59) * (TRIM(INDEX('6. TIẾN ĐỘ MUA HÀNG'!$A$5:$AT81, 0, XMATCH("Tháng", '6. TIẾN ĐỘ MUA HÀNG'!$A$4:$AT$4, 0))) = TRIM(S$6)))</f>
        <v>0</v>
      </c>
      <c r="U59" s="743">
        <f t="array" ref="U59">SUMPRODUCT((INDEX('6. TIẾN ĐỘ MUA HÀNG'!$A:$AT, 0, XMATCH("Phân loại VTBB/NL", '6. TIẾN ĐỘ MUA HÀNG'!$A$4:$AT$4, 0)) = $B59) * (TRIM(INDEX('6. TIẾN ĐỘ MUA HÀNG'!$A:$AT, 0, XMATCH("Tháng", '6. TIẾN ĐỘ MUA HÀNG'!$A$4:$AT$4, 0))) = TRIM(U$6)) * (INDEX('6. TIẾN ĐỘ MUA HÀNG'!$A:$AT, 0, XMATCH("Phân loại VTBB/NL", '6. TIẾN ĐỘ MUA HÀNG'!$A$4:$AT$4, 0)) &lt;&gt; ""))</f>
        <v>0</v>
      </c>
      <c r="V59" s="744">
        <f t="array" ref="V59">SUMPRODUCT(IFERROR(INDEX('6. TIẾN ĐỘ MUA HÀNG'!$A$5:$AT81, 0, XMATCH("Thành tiền đơn hàng", '6. TIẾN ĐỘ MUA HÀNG'!$A$4:$AT$4, 0)), 0) * (INDEX('6. TIẾN ĐỘ MUA HÀNG'!$A$5:$AT81, 0, XMATCH("Phân loại VTBB/NL", '6. TIẾN ĐỘ MUA HÀNG'!$A$4:$AT$4, 0)) = $B59) * (TRIM(INDEX('6. TIẾN ĐỘ MUA HÀNG'!$A$5:$AT81, 0, XMATCH("Tháng", '6. TIẾN ĐỘ MUA HÀNG'!$A$4:$AT$4, 0))) = TRIM(U$6)))</f>
        <v>0</v>
      </c>
      <c r="W59" s="741">
        <f t="array" ref="W59">SUMPRODUCT((INDEX('6. TIẾN ĐỘ MUA HÀNG'!$A:$AT, 0, XMATCH("Phân loại VTBB/NL", '6. TIẾN ĐỘ MUA HÀNG'!$A$4:$AT$4, 0)) = $B59) * (TRIM(INDEX('6. TIẾN ĐỘ MUA HÀNG'!$A:$AT, 0, XMATCH("Tháng", '6. TIẾN ĐỘ MUA HÀNG'!$A$4:$AT$4, 0))) = TRIM($W$6)) * (INDEX('6. TIẾN ĐỘ MUA HÀNG'!$A:$AT, 0, XMATCH("Phân loại VTBB/NL", '6. TIẾN ĐỘ MUA HÀNG'!$A$4:$AT$4, 0)) &lt;&gt; ""))</f>
        <v>0</v>
      </c>
      <c r="X59" s="742">
        <f t="array" ref="X59">SUMPRODUCT(IFERROR(INDEX('6. TIẾN ĐỘ MUA HÀNG'!$A$5:$AT81, 0, XMATCH("Thành tiền đơn hàng", '6. TIẾN ĐỘ MUA HÀNG'!$A$4:$AT$4, 0)), 0) * (INDEX('6. TIẾN ĐỘ MUA HÀNG'!$A$5:$AT81, 0, XMATCH("Phân loại VTBB/NL", '6. TIẾN ĐỘ MUA HÀNG'!$A$4:$AT$4, 0)) = $B59) * (TRIM(INDEX('6. TIẾN ĐỘ MUA HÀNG'!$A$5:$AT81, 0, XMATCH("Tháng", '6. TIẾN ĐỘ MUA HÀNG'!$A$4:$AT$4, 0))) = TRIM(W$6)))</f>
        <v>0</v>
      </c>
      <c r="Y59" s="743">
        <f t="array" ref="Y59">SUMPRODUCT((INDEX('6. TIẾN ĐỘ MUA HÀNG'!$A:$AT, 0, XMATCH("Phân loại VTBB/NL", '6. TIẾN ĐỘ MUA HÀNG'!$A$4:$AT$4, 0)) = $B59) * (TRIM(INDEX('6. TIẾN ĐỘ MUA HÀNG'!$A:$AT, 0, XMATCH("Tháng", '6. TIẾN ĐỘ MUA HÀNG'!$A$4:$AT$4, 0))) = TRIM(Y$6)) * (INDEX('6. TIẾN ĐỘ MUA HÀNG'!$A:$AT, 0, XMATCH("Phân loại VTBB/NL", '6. TIẾN ĐỘ MUA HÀNG'!$A$4:$AT$4, 0)) &lt;&gt; ""))</f>
        <v>0</v>
      </c>
      <c r="Z59" s="744">
        <f t="array" ref="Z59">SUMPRODUCT(IFERROR(INDEX('6. TIẾN ĐỘ MUA HÀNG'!$A$5:$AT81, 0, XMATCH("Thành tiền đơn hàng", '6. TIẾN ĐỘ MUA HÀNG'!$A$4:$AT$4, 0)), 0) * (INDEX('6. TIẾN ĐỘ MUA HÀNG'!$A$5:$AT81, 0, XMATCH("Phân loại VTBB/NL", '6. TIẾN ĐỘ MUA HÀNG'!$A$4:$AT$4, 0)) = $B59) * (TRIM(INDEX('6. TIẾN ĐỘ MUA HÀNG'!$A$5:$AT81, 0, XMATCH("Tháng", '6. TIẾN ĐỘ MUA HÀNG'!$A$4:$AT$4, 0))) = TRIM(Y$6)))</f>
        <v>0</v>
      </c>
      <c r="AA59" s="726">
        <f t="shared" si="2"/>
        <v>0</v>
      </c>
      <c r="AB59" s="726">
        <f t="shared" si="3"/>
        <v>0</v>
      </c>
    </row>
    <row r="60">
      <c r="A60" s="612">
        <v>52.0</v>
      </c>
      <c r="B60" s="597" t="str">
        <f>IFERROR(__xludf.DUMMYFUNCTION("""COMPUTED_VALUE"""),"Hộp carton 3 lớp")</f>
        <v>Hộp carton 3 lớp</v>
      </c>
      <c r="C60" s="741">
        <f t="array" ref="C60">SUMPRODUCT((INDEX('6. TIẾN ĐỘ MUA HÀNG'!$A:$AT, 0, XMATCH("Phân loại VTBB/NL", '6. TIẾN ĐỘ MUA HÀNG'!$A$4:$AT$4, 0)) = $B60) * (TRIM(INDEX('6. TIẾN ĐỘ MUA HÀNG'!$A:$AT, 0, XMATCH("Tháng", '6. TIẾN ĐỘ MUA HÀNG'!$A$4:$AT$4, 0))) = TRIM($C$6)) * (INDEX('6. TIẾN ĐỘ MUA HÀNG'!$A:$AT, 0, XMATCH("Phân loại VTBB/NL", '6. TIẾN ĐỘ MUA HÀNG'!$A$4:$AT$4, 0)) &lt;&gt; ""))</f>
        <v>0</v>
      </c>
      <c r="D60" s="742">
        <f t="array" ref="D60">SUMPRODUCT(IFERROR(INDEX('6. TIẾN ĐỘ MUA HÀNG'!$A$5:$AT81, 0, XMATCH("Thành tiền đơn hàng", '6. TIẾN ĐỘ MUA HÀNG'!$A$4:$AT$4, 0)), 0) * (INDEX('6. TIẾN ĐỘ MUA HÀNG'!$A$5:$AT81, 0, XMATCH("Phân loại VTBB/NL", '6. TIẾN ĐỘ MUA HÀNG'!$A$4:$AT$4, 0)) = $B60) * (TRIM(INDEX('6. TIẾN ĐỘ MUA HÀNG'!$A$5:$AT81, 0, XMATCH("Tháng", '6. TIẾN ĐỘ MUA HÀNG'!$A$4:$AT$4, 0))) = TRIM(C$6)))</f>
        <v>0</v>
      </c>
      <c r="E60" s="743">
        <f t="array" ref="E60">SUMPRODUCT((INDEX('6. TIẾN ĐỘ MUA HÀNG'!$A:$AT, 0, XMATCH("Phân loại VTBB/NL", '6. TIẾN ĐỘ MUA HÀNG'!$A$4:$AT$4, 0)) = $B60) * (TRIM(INDEX('6. TIẾN ĐỘ MUA HÀNG'!$A:$AT, 0, XMATCH("Tháng", '6. TIẾN ĐỘ MUA HÀNG'!$A$4:$AT$4, 0))) = TRIM(E$6)) * (INDEX('6. TIẾN ĐỘ MUA HÀNG'!$A:$AT, 0, XMATCH("Phân loại VTBB/NL", '6. TIẾN ĐỘ MUA HÀNG'!$A$4:$AT$4, 0)) &lt;&gt; ""))</f>
        <v>0</v>
      </c>
      <c r="F60" s="744">
        <f t="array" ref="F60">SUMPRODUCT(IFERROR(INDEX('6. TIẾN ĐỘ MUA HÀNG'!$A$5:$AT81, 0, XMATCH("Thành tiền đơn hàng", '6. TIẾN ĐỘ MUA HÀNG'!$A$4:$AT$4, 0)), 0) * (INDEX('6. TIẾN ĐỘ MUA HÀNG'!$A$5:$AT81, 0, XMATCH("Phân loại VTBB/NL", '6. TIẾN ĐỘ MUA HÀNG'!$A$4:$AT$4, 0)) = $B60) * (TRIM(INDEX('6. TIẾN ĐỘ MUA HÀNG'!$A$5:$AT81, 0, XMATCH("Tháng", '6. TIẾN ĐỘ MUA HÀNG'!$A$4:$AT$4, 0))) = TRIM(E$6)))</f>
        <v>0</v>
      </c>
      <c r="G60" s="741">
        <f t="array" ref="G60">SUMPRODUCT((INDEX('6. TIẾN ĐỘ MUA HÀNG'!$A:$AT, 0, XMATCH("Phân loại VTBB/NL", '6. TIẾN ĐỘ MUA HÀNG'!$A$4:$AT$4, 0)) = $B60) * (TRIM(INDEX('6. TIẾN ĐỘ MUA HÀNG'!$A:$AT, 0, XMATCH("Tháng", '6. TIẾN ĐỘ MUA HÀNG'!$A$4:$AT$4, 0))) = TRIM($G$6)) * (INDEX('6. TIẾN ĐỘ MUA HÀNG'!$A:$AT, 0, XMATCH("Phân loại VTBB/NL", '6. TIẾN ĐỘ MUA HÀNG'!$A$4:$AT$4, 0)) &lt;&gt; ""))</f>
        <v>0</v>
      </c>
      <c r="H60" s="742">
        <f t="array" ref="H60">SUMPRODUCT(IFERROR(INDEX('6. TIẾN ĐỘ MUA HÀNG'!$A$5:$AT81, 0, XMATCH("Thành tiền đơn hàng", '6. TIẾN ĐỘ MUA HÀNG'!$A$4:$AT$4, 0)), 0) * (INDEX('6. TIẾN ĐỘ MUA HÀNG'!$A$5:$AT81, 0, XMATCH("Phân loại VTBB/NL", '6. TIẾN ĐỘ MUA HÀNG'!$A$4:$AT$4, 0)) = $B60) * (TRIM(INDEX('6. TIẾN ĐỘ MUA HÀNG'!$A$5:$AT81, 0, XMATCH("Tháng", '6. TIẾN ĐỘ MUA HÀNG'!$A$4:$AT$4, 0))) = TRIM(G$6)))</f>
        <v>0</v>
      </c>
      <c r="I60" s="743">
        <f t="array" ref="I60">SUMPRODUCT((INDEX('6. TIẾN ĐỘ MUA HÀNG'!$A:$AT, 0, XMATCH("Phân loại VTBB/NL", '6. TIẾN ĐỘ MUA HÀNG'!$A$4:$AT$4, 0)) = $B60) * (TRIM(INDEX('6. TIẾN ĐỘ MUA HÀNG'!$A:$AT, 0, XMATCH("Tháng", '6. TIẾN ĐỘ MUA HÀNG'!$A$4:$AT$4, 0))) = TRIM(I$6)) * (INDEX('6. TIẾN ĐỘ MUA HÀNG'!$A:$AT, 0, XMATCH("Phân loại VTBB/NL", '6. TIẾN ĐỘ MUA HÀNG'!$A$4:$AT$4, 0)) &lt;&gt; ""))</f>
        <v>0</v>
      </c>
      <c r="J60" s="744">
        <f t="array" ref="J60">SUMPRODUCT(IFERROR(INDEX('6. TIẾN ĐỘ MUA HÀNG'!$A$5:$AT81, 0, XMATCH("Thành tiền đơn hàng", '6. TIẾN ĐỘ MUA HÀNG'!$A$4:$AT$4, 0)), 0) * (INDEX('6. TIẾN ĐỘ MUA HÀNG'!$A$5:$AT81, 0, XMATCH("Phân loại VTBB/NL", '6. TIẾN ĐỘ MUA HÀNG'!$A$4:$AT$4, 0)) = $B60) * (TRIM(INDEX('6. TIẾN ĐỘ MUA HÀNG'!$A$5:$AT81, 0, XMATCH("Tháng", '6. TIẾN ĐỘ MUA HÀNG'!$A$4:$AT$4, 0))) = TRIM(I$6)))</f>
        <v>0</v>
      </c>
      <c r="K60" s="741">
        <f t="array" ref="K60">SUMPRODUCT((INDEX('6. TIẾN ĐỘ MUA HÀNG'!$A:$AT, 0, XMATCH("Phân loại VTBB/NL", '6. TIẾN ĐỘ MUA HÀNG'!$A$4:$AT$4, 0)) = $B60) * (TRIM(INDEX('6. TIẾN ĐỘ MUA HÀNG'!$A:$AT, 0, XMATCH("Tháng", '6. TIẾN ĐỘ MUA HÀNG'!$A$4:$AT$4, 0))) = TRIM($K$6)) * (INDEX('6. TIẾN ĐỘ MUA HÀNG'!$A:$AT, 0, XMATCH("Phân loại VTBB/NL", '6. TIẾN ĐỘ MUA HÀNG'!$A$4:$AT$4, 0)) &lt;&gt; ""))</f>
        <v>0</v>
      </c>
      <c r="L60" s="742">
        <f t="array" ref="L60">SUMPRODUCT(IFERROR(INDEX('6. TIẾN ĐỘ MUA HÀNG'!$A$5:$AT81, 0, XMATCH("Thành tiền đơn hàng", '6. TIẾN ĐỘ MUA HÀNG'!$A$4:$AT$4, 0)), 0) * (INDEX('6. TIẾN ĐỘ MUA HÀNG'!$A$5:$AT81, 0, XMATCH("Phân loại VTBB/NL", '6. TIẾN ĐỘ MUA HÀNG'!$A$4:$AT$4, 0)) = $B60) * (TRIM(INDEX('6. TIẾN ĐỘ MUA HÀNG'!$A$5:$AT81, 0, XMATCH("Tháng", '6. TIẾN ĐỘ MUA HÀNG'!$A$4:$AT$4, 0))) = TRIM(K$6)))</f>
        <v>0</v>
      </c>
      <c r="M60" s="743">
        <f t="array" ref="M60">SUMPRODUCT((INDEX('6. TIẾN ĐỘ MUA HÀNG'!$A:$AT, 0, XMATCH("Phân loại VTBB/NL", '6. TIẾN ĐỘ MUA HÀNG'!$A$4:$AT$4, 0)) = $B60) * (TRIM(INDEX('6. TIẾN ĐỘ MUA HÀNG'!$A:$AT, 0, XMATCH("Tháng", '6. TIẾN ĐỘ MUA HÀNG'!$A$4:$AT$4, 0))) = TRIM(M$6)) * (INDEX('6. TIẾN ĐỘ MUA HÀNG'!$A:$AT, 0, XMATCH("Phân loại VTBB/NL", '6. TIẾN ĐỘ MUA HÀNG'!$A$4:$AT$4, 0)) &lt;&gt; ""))</f>
        <v>0</v>
      </c>
      <c r="N60" s="744">
        <f t="array" ref="N60">SUMPRODUCT(IFERROR(INDEX('6. TIẾN ĐỘ MUA HÀNG'!$A$5:$AT81, 0, XMATCH("Thành tiền đơn hàng", '6. TIẾN ĐỘ MUA HÀNG'!$A$4:$AT$4, 0)), 0) * (INDEX('6. TIẾN ĐỘ MUA HÀNG'!$A$5:$AT81, 0, XMATCH("Phân loại VTBB/NL", '6. TIẾN ĐỘ MUA HÀNG'!$A$4:$AT$4, 0)) = $B60) * (TRIM(INDEX('6. TIẾN ĐỘ MUA HÀNG'!$A$5:$AT81, 0, XMATCH("Tháng", '6. TIẾN ĐỘ MUA HÀNG'!$A$4:$AT$4, 0))) = TRIM(M$6)))</f>
        <v>0</v>
      </c>
      <c r="O60" s="741">
        <f t="array" ref="O60">SUMPRODUCT((INDEX('6. TIẾN ĐỘ MUA HÀNG'!$A:$AT, 0, XMATCH("Phân loại VTBB/NL", '6. TIẾN ĐỘ MUA HÀNG'!$A$4:$AT$4, 0)) = $B60) * (TRIM(INDEX('6. TIẾN ĐỘ MUA HÀNG'!$A:$AT, 0, XMATCH("Tháng", '6. TIẾN ĐỘ MUA HÀNG'!$A$4:$AT$4, 0))) = TRIM($O$6)) * (INDEX('6. TIẾN ĐỘ MUA HÀNG'!$A:$AT, 0, XMATCH("Phân loại VTBB/NL", '6. TIẾN ĐỘ MUA HÀNG'!$A$4:$AT$4, 0)) &lt;&gt; ""))</f>
        <v>0</v>
      </c>
      <c r="P60" s="742">
        <f t="array" ref="P60">SUMPRODUCT(IFERROR(INDEX('6. TIẾN ĐỘ MUA HÀNG'!$A$5:$AT81, 0, XMATCH("Thành tiền đơn hàng", '6. TIẾN ĐỘ MUA HÀNG'!$A$4:$AT$4, 0)), 0) * (INDEX('6. TIẾN ĐỘ MUA HÀNG'!$A$5:$AT81, 0, XMATCH("Phân loại VTBB/NL", '6. TIẾN ĐỘ MUA HÀNG'!$A$4:$AT$4, 0)) = $B60) * (TRIM(INDEX('6. TIẾN ĐỘ MUA HÀNG'!$A$5:$AT81, 0, XMATCH("Tháng", '6. TIẾN ĐỘ MUA HÀNG'!$A$4:$AT$4, 0))) = TRIM(O$6)))</f>
        <v>0</v>
      </c>
      <c r="Q60" s="743">
        <f t="array" ref="Q60">SUMPRODUCT((INDEX('6. TIẾN ĐỘ MUA HÀNG'!$A:$AT, 0, XMATCH("Phân loại VTBB/NL", '6. TIẾN ĐỘ MUA HÀNG'!$A$4:$AT$4, 0)) = $B60) * (TRIM(INDEX('6. TIẾN ĐỘ MUA HÀNG'!$A:$AT, 0, XMATCH("Tháng", '6. TIẾN ĐỘ MUA HÀNG'!$A$4:$AT$4, 0))) = TRIM(Q$6)) * (INDEX('6. TIẾN ĐỘ MUA HÀNG'!$A:$AT, 0, XMATCH("Phân loại VTBB/NL", '6. TIẾN ĐỘ MUA HÀNG'!$A$4:$AT$4, 0)) &lt;&gt; ""))</f>
        <v>0</v>
      </c>
      <c r="R60" s="744">
        <f t="array" ref="R60">SUMPRODUCT(IFERROR(INDEX('6. TIẾN ĐỘ MUA HÀNG'!$A$5:$AT81, 0, XMATCH("Thành tiền đơn hàng", '6. TIẾN ĐỘ MUA HÀNG'!$A$4:$AT$4, 0)), 0) * (INDEX('6. TIẾN ĐỘ MUA HÀNG'!$A$5:$AT81, 0, XMATCH("Phân loại VTBB/NL", '6. TIẾN ĐỘ MUA HÀNG'!$A$4:$AT$4, 0)) = $B60) * (TRIM(INDEX('6. TIẾN ĐỘ MUA HÀNG'!$A$5:$AT81, 0, XMATCH("Tháng", '6. TIẾN ĐỘ MUA HÀNG'!$A$4:$AT$4, 0))) = TRIM(Q$6)))</f>
        <v>0</v>
      </c>
      <c r="S60" s="741">
        <f t="array" ref="S60">SUMPRODUCT((INDEX('6. TIẾN ĐỘ MUA HÀNG'!$A:$AT, 0, XMATCH("Phân loại VTBB/NL", '6. TIẾN ĐỘ MUA HÀNG'!$A$4:$AT$4, 0)) = $B60) * (TRIM(INDEX('6. TIẾN ĐỘ MUA HÀNG'!$A:$AT, 0, XMATCH("Tháng", '6. TIẾN ĐỘ MUA HÀNG'!$A$4:$AT$4, 0))) = TRIM($S$6)) * (INDEX('6. TIẾN ĐỘ MUA HÀNG'!$A:$AT, 0, XMATCH("Phân loại VTBB/NL", '6. TIẾN ĐỘ MUA HÀNG'!$A$4:$AT$4, 0)) &lt;&gt; ""))</f>
        <v>0</v>
      </c>
      <c r="T60" s="742">
        <f t="array" ref="T60">SUMPRODUCT(IFERROR(INDEX('6. TIẾN ĐỘ MUA HÀNG'!$A$5:$AT81, 0, XMATCH("Thành tiền đơn hàng", '6. TIẾN ĐỘ MUA HÀNG'!$A$4:$AT$4, 0)), 0) * (INDEX('6. TIẾN ĐỘ MUA HÀNG'!$A$5:$AT81, 0, XMATCH("Phân loại VTBB/NL", '6. TIẾN ĐỘ MUA HÀNG'!$A$4:$AT$4, 0)) = $B60) * (TRIM(INDEX('6. TIẾN ĐỘ MUA HÀNG'!$A$5:$AT81, 0, XMATCH("Tháng", '6. TIẾN ĐỘ MUA HÀNG'!$A$4:$AT$4, 0))) = TRIM(S$6)))</f>
        <v>0</v>
      </c>
      <c r="U60" s="743">
        <f t="array" ref="U60">SUMPRODUCT((INDEX('6. TIẾN ĐỘ MUA HÀNG'!$A:$AT, 0, XMATCH("Phân loại VTBB/NL", '6. TIẾN ĐỘ MUA HÀNG'!$A$4:$AT$4, 0)) = $B60) * (TRIM(INDEX('6. TIẾN ĐỘ MUA HÀNG'!$A:$AT, 0, XMATCH("Tháng", '6. TIẾN ĐỘ MUA HÀNG'!$A$4:$AT$4, 0))) = TRIM(U$6)) * (INDEX('6. TIẾN ĐỘ MUA HÀNG'!$A:$AT, 0, XMATCH("Phân loại VTBB/NL", '6. TIẾN ĐỘ MUA HÀNG'!$A$4:$AT$4, 0)) &lt;&gt; ""))</f>
        <v>0</v>
      </c>
      <c r="V60" s="744">
        <f t="array" ref="V60">SUMPRODUCT(IFERROR(INDEX('6. TIẾN ĐỘ MUA HÀNG'!$A$5:$AT81, 0, XMATCH("Thành tiền đơn hàng", '6. TIẾN ĐỘ MUA HÀNG'!$A$4:$AT$4, 0)), 0) * (INDEX('6. TIẾN ĐỘ MUA HÀNG'!$A$5:$AT81, 0, XMATCH("Phân loại VTBB/NL", '6. TIẾN ĐỘ MUA HÀNG'!$A$4:$AT$4, 0)) = $B60) * (TRIM(INDEX('6. TIẾN ĐỘ MUA HÀNG'!$A$5:$AT81, 0, XMATCH("Tháng", '6. TIẾN ĐỘ MUA HÀNG'!$A$4:$AT$4, 0))) = TRIM(U$6)))</f>
        <v>0</v>
      </c>
      <c r="W60" s="741">
        <f t="array" ref="W60">SUMPRODUCT((INDEX('6. TIẾN ĐỘ MUA HÀNG'!$A:$AT, 0, XMATCH("Phân loại VTBB/NL", '6. TIẾN ĐỘ MUA HÀNG'!$A$4:$AT$4, 0)) = $B60) * (TRIM(INDEX('6. TIẾN ĐỘ MUA HÀNG'!$A:$AT, 0, XMATCH("Tháng", '6. TIẾN ĐỘ MUA HÀNG'!$A$4:$AT$4, 0))) = TRIM($W$6)) * (INDEX('6. TIẾN ĐỘ MUA HÀNG'!$A:$AT, 0, XMATCH("Phân loại VTBB/NL", '6. TIẾN ĐỘ MUA HÀNG'!$A$4:$AT$4, 0)) &lt;&gt; ""))</f>
        <v>0</v>
      </c>
      <c r="X60" s="742">
        <f t="array" ref="X60">SUMPRODUCT(IFERROR(INDEX('6. TIẾN ĐỘ MUA HÀNG'!$A$5:$AT81, 0, XMATCH("Thành tiền đơn hàng", '6. TIẾN ĐỘ MUA HÀNG'!$A$4:$AT$4, 0)), 0) * (INDEX('6. TIẾN ĐỘ MUA HÀNG'!$A$5:$AT81, 0, XMATCH("Phân loại VTBB/NL", '6. TIẾN ĐỘ MUA HÀNG'!$A$4:$AT$4, 0)) = $B60) * (TRIM(INDEX('6. TIẾN ĐỘ MUA HÀNG'!$A$5:$AT81, 0, XMATCH("Tháng", '6. TIẾN ĐỘ MUA HÀNG'!$A$4:$AT$4, 0))) = TRIM(W$6)))</f>
        <v>0</v>
      </c>
      <c r="Y60" s="743">
        <f t="array" ref="Y60">SUMPRODUCT((INDEX('6. TIẾN ĐỘ MUA HÀNG'!$A:$AT, 0, XMATCH("Phân loại VTBB/NL", '6. TIẾN ĐỘ MUA HÀNG'!$A$4:$AT$4, 0)) = $B60) * (TRIM(INDEX('6. TIẾN ĐỘ MUA HÀNG'!$A:$AT, 0, XMATCH("Tháng", '6. TIẾN ĐỘ MUA HÀNG'!$A$4:$AT$4, 0))) = TRIM(Y$6)) * (INDEX('6. TIẾN ĐỘ MUA HÀNG'!$A:$AT, 0, XMATCH("Phân loại VTBB/NL", '6. TIẾN ĐỘ MUA HÀNG'!$A$4:$AT$4, 0)) &lt;&gt; ""))</f>
        <v>0</v>
      </c>
      <c r="Z60" s="744">
        <f t="array" ref="Z60">SUMPRODUCT(IFERROR(INDEX('6. TIẾN ĐỘ MUA HÀNG'!$A$5:$AT81, 0, XMATCH("Thành tiền đơn hàng", '6. TIẾN ĐỘ MUA HÀNG'!$A$4:$AT$4, 0)), 0) * (INDEX('6. TIẾN ĐỘ MUA HÀNG'!$A$5:$AT81, 0, XMATCH("Phân loại VTBB/NL", '6. TIẾN ĐỘ MUA HÀNG'!$A$4:$AT$4, 0)) = $B60) * (TRIM(INDEX('6. TIẾN ĐỘ MUA HÀNG'!$A$5:$AT81, 0, XMATCH("Tháng", '6. TIẾN ĐỘ MUA HÀNG'!$A$4:$AT$4, 0))) = TRIM(Y$6)))</f>
        <v>0</v>
      </c>
      <c r="AA60" s="726">
        <f t="shared" si="2"/>
        <v>0</v>
      </c>
      <c r="AB60" s="726">
        <f t="shared" si="3"/>
        <v>0</v>
      </c>
    </row>
    <row r="61">
      <c r="A61" s="612">
        <v>53.0</v>
      </c>
      <c r="B61" s="597" t="str">
        <f>IFERROR(__xludf.DUMMYFUNCTION("""COMPUTED_VALUE"""),"Hộp giấy D")</f>
        <v>Hộp giấy D</v>
      </c>
      <c r="C61" s="741">
        <f t="array" ref="C61">SUMPRODUCT((INDEX('6. TIẾN ĐỘ MUA HÀNG'!$A:$AT, 0, XMATCH("Phân loại VTBB/NL", '6. TIẾN ĐỘ MUA HÀNG'!$A$4:$AT$4, 0)) = $B61) * (TRIM(INDEX('6. TIẾN ĐỘ MUA HÀNG'!$A:$AT, 0, XMATCH("Tháng", '6. TIẾN ĐỘ MUA HÀNG'!$A$4:$AT$4, 0))) = TRIM($C$6)) * (INDEX('6. TIẾN ĐỘ MUA HÀNG'!$A:$AT, 0, XMATCH("Phân loại VTBB/NL", '6. TIẾN ĐỘ MUA HÀNG'!$A$4:$AT$4, 0)) &lt;&gt; ""))</f>
        <v>0</v>
      </c>
      <c r="D61" s="742">
        <f t="array" ref="D61">SUMPRODUCT(IFERROR(INDEX('6. TIẾN ĐỘ MUA HÀNG'!$A$5:$AT81, 0, XMATCH("Thành tiền đơn hàng", '6. TIẾN ĐỘ MUA HÀNG'!$A$4:$AT$4, 0)), 0) * (INDEX('6. TIẾN ĐỘ MUA HÀNG'!$A$5:$AT81, 0, XMATCH("Phân loại VTBB/NL", '6. TIẾN ĐỘ MUA HÀNG'!$A$4:$AT$4, 0)) = $B61) * (TRIM(INDEX('6. TIẾN ĐỘ MUA HÀNG'!$A$5:$AT81, 0, XMATCH("Tháng", '6. TIẾN ĐỘ MUA HÀNG'!$A$4:$AT$4, 0))) = TRIM(C$6)))</f>
        <v>0</v>
      </c>
      <c r="E61" s="743">
        <f t="array" ref="E61">SUMPRODUCT((INDEX('6. TIẾN ĐỘ MUA HÀNG'!$A:$AT, 0, XMATCH("Phân loại VTBB/NL", '6. TIẾN ĐỘ MUA HÀNG'!$A$4:$AT$4, 0)) = $B61) * (TRIM(INDEX('6. TIẾN ĐỘ MUA HÀNG'!$A:$AT, 0, XMATCH("Tháng", '6. TIẾN ĐỘ MUA HÀNG'!$A$4:$AT$4, 0))) = TRIM(E$6)) * (INDEX('6. TIẾN ĐỘ MUA HÀNG'!$A:$AT, 0, XMATCH("Phân loại VTBB/NL", '6. TIẾN ĐỘ MUA HÀNG'!$A$4:$AT$4, 0)) &lt;&gt; ""))</f>
        <v>0</v>
      </c>
      <c r="F61" s="744">
        <f t="array" ref="F61">SUMPRODUCT(IFERROR(INDEX('6. TIẾN ĐỘ MUA HÀNG'!$A$5:$AT81, 0, XMATCH("Thành tiền đơn hàng", '6. TIẾN ĐỘ MUA HÀNG'!$A$4:$AT$4, 0)), 0) * (INDEX('6. TIẾN ĐỘ MUA HÀNG'!$A$5:$AT81, 0, XMATCH("Phân loại VTBB/NL", '6. TIẾN ĐỘ MUA HÀNG'!$A$4:$AT$4, 0)) = $B61) * (TRIM(INDEX('6. TIẾN ĐỘ MUA HÀNG'!$A$5:$AT81, 0, XMATCH("Tháng", '6. TIẾN ĐỘ MUA HÀNG'!$A$4:$AT$4, 0))) = TRIM(E$6)))</f>
        <v>0</v>
      </c>
      <c r="G61" s="741">
        <f t="array" ref="G61">SUMPRODUCT((INDEX('6. TIẾN ĐỘ MUA HÀNG'!$A:$AT, 0, XMATCH("Phân loại VTBB/NL", '6. TIẾN ĐỘ MUA HÀNG'!$A$4:$AT$4, 0)) = $B61) * (TRIM(INDEX('6. TIẾN ĐỘ MUA HÀNG'!$A:$AT, 0, XMATCH("Tháng", '6. TIẾN ĐỘ MUA HÀNG'!$A$4:$AT$4, 0))) = TRIM($G$6)) * (INDEX('6. TIẾN ĐỘ MUA HÀNG'!$A:$AT, 0, XMATCH("Phân loại VTBB/NL", '6. TIẾN ĐỘ MUA HÀNG'!$A$4:$AT$4, 0)) &lt;&gt; ""))</f>
        <v>0</v>
      </c>
      <c r="H61" s="742">
        <f t="array" ref="H61">SUMPRODUCT(IFERROR(INDEX('6. TIẾN ĐỘ MUA HÀNG'!$A$5:$AT81, 0, XMATCH("Thành tiền đơn hàng", '6. TIẾN ĐỘ MUA HÀNG'!$A$4:$AT$4, 0)), 0) * (INDEX('6. TIẾN ĐỘ MUA HÀNG'!$A$5:$AT81, 0, XMATCH("Phân loại VTBB/NL", '6. TIẾN ĐỘ MUA HÀNG'!$A$4:$AT$4, 0)) = $B61) * (TRIM(INDEX('6. TIẾN ĐỘ MUA HÀNG'!$A$5:$AT81, 0, XMATCH("Tháng", '6. TIẾN ĐỘ MUA HÀNG'!$A$4:$AT$4, 0))) = TRIM(G$6)))</f>
        <v>0</v>
      </c>
      <c r="I61" s="743">
        <f t="array" ref="I61">SUMPRODUCT((INDEX('6. TIẾN ĐỘ MUA HÀNG'!$A:$AT, 0, XMATCH("Phân loại VTBB/NL", '6. TIẾN ĐỘ MUA HÀNG'!$A$4:$AT$4, 0)) = $B61) * (TRIM(INDEX('6. TIẾN ĐỘ MUA HÀNG'!$A:$AT, 0, XMATCH("Tháng", '6. TIẾN ĐỘ MUA HÀNG'!$A$4:$AT$4, 0))) = TRIM(I$6)) * (INDEX('6. TIẾN ĐỘ MUA HÀNG'!$A:$AT, 0, XMATCH("Phân loại VTBB/NL", '6. TIẾN ĐỘ MUA HÀNG'!$A$4:$AT$4, 0)) &lt;&gt; ""))</f>
        <v>0</v>
      </c>
      <c r="J61" s="744">
        <f t="array" ref="J61">SUMPRODUCT(IFERROR(INDEX('6. TIẾN ĐỘ MUA HÀNG'!$A$5:$AT81, 0, XMATCH("Thành tiền đơn hàng", '6. TIẾN ĐỘ MUA HÀNG'!$A$4:$AT$4, 0)), 0) * (INDEX('6. TIẾN ĐỘ MUA HÀNG'!$A$5:$AT81, 0, XMATCH("Phân loại VTBB/NL", '6. TIẾN ĐỘ MUA HÀNG'!$A$4:$AT$4, 0)) = $B61) * (TRIM(INDEX('6. TIẾN ĐỘ MUA HÀNG'!$A$5:$AT81, 0, XMATCH("Tháng", '6. TIẾN ĐỘ MUA HÀNG'!$A$4:$AT$4, 0))) = TRIM(I$6)))</f>
        <v>0</v>
      </c>
      <c r="K61" s="741">
        <f t="array" ref="K61">SUMPRODUCT((INDEX('6. TIẾN ĐỘ MUA HÀNG'!$A:$AT, 0, XMATCH("Phân loại VTBB/NL", '6. TIẾN ĐỘ MUA HÀNG'!$A$4:$AT$4, 0)) = $B61) * (TRIM(INDEX('6. TIẾN ĐỘ MUA HÀNG'!$A:$AT, 0, XMATCH("Tháng", '6. TIẾN ĐỘ MUA HÀNG'!$A$4:$AT$4, 0))) = TRIM($K$6)) * (INDEX('6. TIẾN ĐỘ MUA HÀNG'!$A:$AT, 0, XMATCH("Phân loại VTBB/NL", '6. TIẾN ĐỘ MUA HÀNG'!$A$4:$AT$4, 0)) &lt;&gt; ""))</f>
        <v>0</v>
      </c>
      <c r="L61" s="742">
        <f t="array" ref="L61">SUMPRODUCT(IFERROR(INDEX('6. TIẾN ĐỘ MUA HÀNG'!$A$5:$AT81, 0, XMATCH("Thành tiền đơn hàng", '6. TIẾN ĐỘ MUA HÀNG'!$A$4:$AT$4, 0)), 0) * (INDEX('6. TIẾN ĐỘ MUA HÀNG'!$A$5:$AT81, 0, XMATCH("Phân loại VTBB/NL", '6. TIẾN ĐỘ MUA HÀNG'!$A$4:$AT$4, 0)) = $B61) * (TRIM(INDEX('6. TIẾN ĐỘ MUA HÀNG'!$A$5:$AT81, 0, XMATCH("Tháng", '6. TIẾN ĐỘ MUA HÀNG'!$A$4:$AT$4, 0))) = TRIM(K$6)))</f>
        <v>0</v>
      </c>
      <c r="M61" s="743">
        <f t="array" ref="M61">SUMPRODUCT((INDEX('6. TIẾN ĐỘ MUA HÀNG'!$A:$AT, 0, XMATCH("Phân loại VTBB/NL", '6. TIẾN ĐỘ MUA HÀNG'!$A$4:$AT$4, 0)) = $B61) * (TRIM(INDEX('6. TIẾN ĐỘ MUA HÀNG'!$A:$AT, 0, XMATCH("Tháng", '6. TIẾN ĐỘ MUA HÀNG'!$A$4:$AT$4, 0))) = TRIM(M$6)) * (INDEX('6. TIẾN ĐỘ MUA HÀNG'!$A:$AT, 0, XMATCH("Phân loại VTBB/NL", '6. TIẾN ĐỘ MUA HÀNG'!$A$4:$AT$4, 0)) &lt;&gt; ""))</f>
        <v>0</v>
      </c>
      <c r="N61" s="744">
        <f t="array" ref="N61">SUMPRODUCT(IFERROR(INDEX('6. TIẾN ĐỘ MUA HÀNG'!$A$5:$AT81, 0, XMATCH("Thành tiền đơn hàng", '6. TIẾN ĐỘ MUA HÀNG'!$A$4:$AT$4, 0)), 0) * (INDEX('6. TIẾN ĐỘ MUA HÀNG'!$A$5:$AT81, 0, XMATCH("Phân loại VTBB/NL", '6. TIẾN ĐỘ MUA HÀNG'!$A$4:$AT$4, 0)) = $B61) * (TRIM(INDEX('6. TIẾN ĐỘ MUA HÀNG'!$A$5:$AT81, 0, XMATCH("Tháng", '6. TIẾN ĐỘ MUA HÀNG'!$A$4:$AT$4, 0))) = TRIM(M$6)))</f>
        <v>0</v>
      </c>
      <c r="O61" s="741">
        <f t="array" ref="O61">SUMPRODUCT((INDEX('6. TIẾN ĐỘ MUA HÀNG'!$A:$AT, 0, XMATCH("Phân loại VTBB/NL", '6. TIẾN ĐỘ MUA HÀNG'!$A$4:$AT$4, 0)) = $B61) * (TRIM(INDEX('6. TIẾN ĐỘ MUA HÀNG'!$A:$AT, 0, XMATCH("Tháng", '6. TIẾN ĐỘ MUA HÀNG'!$A$4:$AT$4, 0))) = TRIM($O$6)) * (INDEX('6. TIẾN ĐỘ MUA HÀNG'!$A:$AT, 0, XMATCH("Phân loại VTBB/NL", '6. TIẾN ĐỘ MUA HÀNG'!$A$4:$AT$4, 0)) &lt;&gt; ""))</f>
        <v>0</v>
      </c>
      <c r="P61" s="742">
        <f t="array" ref="P61">SUMPRODUCT(IFERROR(INDEX('6. TIẾN ĐỘ MUA HÀNG'!$A$5:$AT81, 0, XMATCH("Thành tiền đơn hàng", '6. TIẾN ĐỘ MUA HÀNG'!$A$4:$AT$4, 0)), 0) * (INDEX('6. TIẾN ĐỘ MUA HÀNG'!$A$5:$AT81, 0, XMATCH("Phân loại VTBB/NL", '6. TIẾN ĐỘ MUA HÀNG'!$A$4:$AT$4, 0)) = $B61) * (TRIM(INDEX('6. TIẾN ĐỘ MUA HÀNG'!$A$5:$AT81, 0, XMATCH("Tháng", '6. TIẾN ĐỘ MUA HÀNG'!$A$4:$AT$4, 0))) = TRIM(O$6)))</f>
        <v>0</v>
      </c>
      <c r="Q61" s="743">
        <f t="array" ref="Q61">SUMPRODUCT((INDEX('6. TIẾN ĐỘ MUA HÀNG'!$A:$AT, 0, XMATCH("Phân loại VTBB/NL", '6. TIẾN ĐỘ MUA HÀNG'!$A$4:$AT$4, 0)) = $B61) * (TRIM(INDEX('6. TIẾN ĐỘ MUA HÀNG'!$A:$AT, 0, XMATCH("Tháng", '6. TIẾN ĐỘ MUA HÀNG'!$A$4:$AT$4, 0))) = TRIM(Q$6)) * (INDEX('6. TIẾN ĐỘ MUA HÀNG'!$A:$AT, 0, XMATCH("Phân loại VTBB/NL", '6. TIẾN ĐỘ MUA HÀNG'!$A$4:$AT$4, 0)) &lt;&gt; ""))</f>
        <v>0</v>
      </c>
      <c r="R61" s="744">
        <f t="array" ref="R61">SUMPRODUCT(IFERROR(INDEX('6. TIẾN ĐỘ MUA HÀNG'!$A$5:$AT81, 0, XMATCH("Thành tiền đơn hàng", '6. TIẾN ĐỘ MUA HÀNG'!$A$4:$AT$4, 0)), 0) * (INDEX('6. TIẾN ĐỘ MUA HÀNG'!$A$5:$AT81, 0, XMATCH("Phân loại VTBB/NL", '6. TIẾN ĐỘ MUA HÀNG'!$A$4:$AT$4, 0)) = $B61) * (TRIM(INDEX('6. TIẾN ĐỘ MUA HÀNG'!$A$5:$AT81, 0, XMATCH("Tháng", '6. TIẾN ĐỘ MUA HÀNG'!$A$4:$AT$4, 0))) = TRIM(Q$6)))</f>
        <v>0</v>
      </c>
      <c r="S61" s="741">
        <f t="array" ref="S61">SUMPRODUCT((INDEX('6. TIẾN ĐỘ MUA HÀNG'!$A:$AT, 0, XMATCH("Phân loại VTBB/NL", '6. TIẾN ĐỘ MUA HÀNG'!$A$4:$AT$4, 0)) = $B61) * (TRIM(INDEX('6. TIẾN ĐỘ MUA HÀNG'!$A:$AT, 0, XMATCH("Tháng", '6. TIẾN ĐỘ MUA HÀNG'!$A$4:$AT$4, 0))) = TRIM($S$6)) * (INDEX('6. TIẾN ĐỘ MUA HÀNG'!$A:$AT, 0, XMATCH("Phân loại VTBB/NL", '6. TIẾN ĐỘ MUA HÀNG'!$A$4:$AT$4, 0)) &lt;&gt; ""))</f>
        <v>0</v>
      </c>
      <c r="T61" s="742">
        <f t="array" ref="T61">SUMPRODUCT(IFERROR(INDEX('6. TIẾN ĐỘ MUA HÀNG'!$A$5:$AT81, 0, XMATCH("Thành tiền đơn hàng", '6. TIẾN ĐỘ MUA HÀNG'!$A$4:$AT$4, 0)), 0) * (INDEX('6. TIẾN ĐỘ MUA HÀNG'!$A$5:$AT81, 0, XMATCH("Phân loại VTBB/NL", '6. TIẾN ĐỘ MUA HÀNG'!$A$4:$AT$4, 0)) = $B61) * (TRIM(INDEX('6. TIẾN ĐỘ MUA HÀNG'!$A$5:$AT81, 0, XMATCH("Tháng", '6. TIẾN ĐỘ MUA HÀNG'!$A$4:$AT$4, 0))) = TRIM(S$6)))</f>
        <v>0</v>
      </c>
      <c r="U61" s="743">
        <f t="array" ref="U61">SUMPRODUCT((INDEX('6. TIẾN ĐỘ MUA HÀNG'!$A:$AT, 0, XMATCH("Phân loại VTBB/NL", '6. TIẾN ĐỘ MUA HÀNG'!$A$4:$AT$4, 0)) = $B61) * (TRIM(INDEX('6. TIẾN ĐỘ MUA HÀNG'!$A:$AT, 0, XMATCH("Tháng", '6. TIẾN ĐỘ MUA HÀNG'!$A$4:$AT$4, 0))) = TRIM(U$6)) * (INDEX('6. TIẾN ĐỘ MUA HÀNG'!$A:$AT, 0, XMATCH("Phân loại VTBB/NL", '6. TIẾN ĐỘ MUA HÀNG'!$A$4:$AT$4, 0)) &lt;&gt; ""))</f>
        <v>0</v>
      </c>
      <c r="V61" s="744">
        <f t="array" ref="V61">SUMPRODUCT(IFERROR(INDEX('6. TIẾN ĐỘ MUA HÀNG'!$A$5:$AT81, 0, XMATCH("Thành tiền đơn hàng", '6. TIẾN ĐỘ MUA HÀNG'!$A$4:$AT$4, 0)), 0) * (INDEX('6. TIẾN ĐỘ MUA HÀNG'!$A$5:$AT81, 0, XMATCH("Phân loại VTBB/NL", '6. TIẾN ĐỘ MUA HÀNG'!$A$4:$AT$4, 0)) = $B61) * (TRIM(INDEX('6. TIẾN ĐỘ MUA HÀNG'!$A$5:$AT81, 0, XMATCH("Tháng", '6. TIẾN ĐỘ MUA HÀNG'!$A$4:$AT$4, 0))) = TRIM(U$6)))</f>
        <v>0</v>
      </c>
      <c r="W61" s="741">
        <f t="array" ref="W61">SUMPRODUCT((INDEX('6. TIẾN ĐỘ MUA HÀNG'!$A:$AT, 0, XMATCH("Phân loại VTBB/NL", '6. TIẾN ĐỘ MUA HÀNG'!$A$4:$AT$4, 0)) = $B61) * (TRIM(INDEX('6. TIẾN ĐỘ MUA HÀNG'!$A:$AT, 0, XMATCH("Tháng", '6. TIẾN ĐỘ MUA HÀNG'!$A$4:$AT$4, 0))) = TRIM($W$6)) * (INDEX('6. TIẾN ĐỘ MUA HÀNG'!$A:$AT, 0, XMATCH("Phân loại VTBB/NL", '6. TIẾN ĐỘ MUA HÀNG'!$A$4:$AT$4, 0)) &lt;&gt; ""))</f>
        <v>0</v>
      </c>
      <c r="X61" s="742">
        <f t="array" ref="X61">SUMPRODUCT(IFERROR(INDEX('6. TIẾN ĐỘ MUA HÀNG'!$A$5:$AT81, 0, XMATCH("Thành tiền đơn hàng", '6. TIẾN ĐỘ MUA HÀNG'!$A$4:$AT$4, 0)), 0) * (INDEX('6. TIẾN ĐỘ MUA HÀNG'!$A$5:$AT81, 0, XMATCH("Phân loại VTBB/NL", '6. TIẾN ĐỘ MUA HÀNG'!$A$4:$AT$4, 0)) = $B61) * (TRIM(INDEX('6. TIẾN ĐỘ MUA HÀNG'!$A$5:$AT81, 0, XMATCH("Tháng", '6. TIẾN ĐỘ MUA HÀNG'!$A$4:$AT$4, 0))) = TRIM(W$6)))</f>
        <v>0</v>
      </c>
      <c r="Y61" s="743">
        <f t="array" ref="Y61">SUMPRODUCT((INDEX('6. TIẾN ĐỘ MUA HÀNG'!$A:$AT, 0, XMATCH("Phân loại VTBB/NL", '6. TIẾN ĐỘ MUA HÀNG'!$A$4:$AT$4, 0)) = $B61) * (TRIM(INDEX('6. TIẾN ĐỘ MUA HÀNG'!$A:$AT, 0, XMATCH("Tháng", '6. TIẾN ĐỘ MUA HÀNG'!$A$4:$AT$4, 0))) = TRIM(Y$6)) * (INDEX('6. TIẾN ĐỘ MUA HÀNG'!$A:$AT, 0, XMATCH("Phân loại VTBB/NL", '6. TIẾN ĐỘ MUA HÀNG'!$A$4:$AT$4, 0)) &lt;&gt; ""))</f>
        <v>0</v>
      </c>
      <c r="Z61" s="744">
        <f t="array" ref="Z61">SUMPRODUCT(IFERROR(INDEX('6. TIẾN ĐỘ MUA HÀNG'!$A$5:$AT81, 0, XMATCH("Thành tiền đơn hàng", '6. TIẾN ĐỘ MUA HÀNG'!$A$4:$AT$4, 0)), 0) * (INDEX('6. TIẾN ĐỘ MUA HÀNG'!$A$5:$AT81, 0, XMATCH("Phân loại VTBB/NL", '6. TIẾN ĐỘ MUA HÀNG'!$A$4:$AT$4, 0)) = $B61) * (TRIM(INDEX('6. TIẾN ĐỘ MUA HÀNG'!$A$5:$AT81, 0, XMATCH("Tháng", '6. TIẾN ĐỘ MUA HÀNG'!$A$4:$AT$4, 0))) = TRIM(Y$6)))</f>
        <v>0</v>
      </c>
      <c r="AA61" s="726">
        <f t="shared" si="2"/>
        <v>0</v>
      </c>
      <c r="AB61" s="726">
        <f t="shared" si="3"/>
        <v>0</v>
      </c>
    </row>
    <row r="62">
      <c r="A62" s="612">
        <v>54.0</v>
      </c>
      <c r="B62" s="597" t="str">
        <f>IFERROR(__xludf.DUMMYFUNCTION("""COMPUTED_VALUE"""),"Hộp đóng gói nâu")</f>
        <v>Hộp đóng gói nâu</v>
      </c>
      <c r="C62" s="741">
        <f t="array" ref="C62">SUMPRODUCT((INDEX('6. TIẾN ĐỘ MUA HÀNG'!$A:$AT, 0, XMATCH("Phân loại VTBB/NL", '6. TIẾN ĐỘ MUA HÀNG'!$A$4:$AT$4, 0)) = $B62) * (TRIM(INDEX('6. TIẾN ĐỘ MUA HÀNG'!$A:$AT, 0, XMATCH("Tháng", '6. TIẾN ĐỘ MUA HÀNG'!$A$4:$AT$4, 0))) = TRIM($C$6)) * (INDEX('6. TIẾN ĐỘ MUA HÀNG'!$A:$AT, 0, XMATCH("Phân loại VTBB/NL", '6. TIẾN ĐỘ MUA HÀNG'!$A$4:$AT$4, 0)) &lt;&gt; ""))</f>
        <v>0</v>
      </c>
      <c r="D62" s="742">
        <f t="array" ref="D62">SUMPRODUCT(IFERROR(INDEX('6. TIẾN ĐỘ MUA HÀNG'!$A$5:$AT81, 0, XMATCH("Thành tiền đơn hàng", '6. TIẾN ĐỘ MUA HÀNG'!$A$4:$AT$4, 0)), 0) * (INDEX('6. TIẾN ĐỘ MUA HÀNG'!$A$5:$AT81, 0, XMATCH("Phân loại VTBB/NL", '6. TIẾN ĐỘ MUA HÀNG'!$A$4:$AT$4, 0)) = $B62) * (TRIM(INDEX('6. TIẾN ĐỘ MUA HÀNG'!$A$5:$AT81, 0, XMATCH("Tháng", '6. TIẾN ĐỘ MUA HÀNG'!$A$4:$AT$4, 0))) = TRIM(C$6)))</f>
        <v>0</v>
      </c>
      <c r="E62" s="743">
        <f t="array" ref="E62">SUMPRODUCT((INDEX('6. TIẾN ĐỘ MUA HÀNG'!$A:$AT, 0, XMATCH("Phân loại VTBB/NL", '6. TIẾN ĐỘ MUA HÀNG'!$A$4:$AT$4, 0)) = $B62) * (TRIM(INDEX('6. TIẾN ĐỘ MUA HÀNG'!$A:$AT, 0, XMATCH("Tháng", '6. TIẾN ĐỘ MUA HÀNG'!$A$4:$AT$4, 0))) = TRIM(E$6)) * (INDEX('6. TIẾN ĐỘ MUA HÀNG'!$A:$AT, 0, XMATCH("Phân loại VTBB/NL", '6. TIẾN ĐỘ MUA HÀNG'!$A$4:$AT$4, 0)) &lt;&gt; ""))</f>
        <v>0</v>
      </c>
      <c r="F62" s="744">
        <f t="array" ref="F62">SUMPRODUCT(IFERROR(INDEX('6. TIẾN ĐỘ MUA HÀNG'!$A$5:$AT81, 0, XMATCH("Thành tiền đơn hàng", '6. TIẾN ĐỘ MUA HÀNG'!$A$4:$AT$4, 0)), 0) * (INDEX('6. TIẾN ĐỘ MUA HÀNG'!$A$5:$AT81, 0, XMATCH("Phân loại VTBB/NL", '6. TIẾN ĐỘ MUA HÀNG'!$A$4:$AT$4, 0)) = $B62) * (TRIM(INDEX('6. TIẾN ĐỘ MUA HÀNG'!$A$5:$AT81, 0, XMATCH("Tháng", '6. TIẾN ĐỘ MUA HÀNG'!$A$4:$AT$4, 0))) = TRIM(E$6)))</f>
        <v>0</v>
      </c>
      <c r="G62" s="741">
        <f t="array" ref="G62">SUMPRODUCT((INDEX('6. TIẾN ĐỘ MUA HÀNG'!$A:$AT, 0, XMATCH("Phân loại VTBB/NL", '6. TIẾN ĐỘ MUA HÀNG'!$A$4:$AT$4, 0)) = $B62) * (TRIM(INDEX('6. TIẾN ĐỘ MUA HÀNG'!$A:$AT, 0, XMATCH("Tháng", '6. TIẾN ĐỘ MUA HÀNG'!$A$4:$AT$4, 0))) = TRIM($G$6)) * (INDEX('6. TIẾN ĐỘ MUA HÀNG'!$A:$AT, 0, XMATCH("Phân loại VTBB/NL", '6. TIẾN ĐỘ MUA HÀNG'!$A$4:$AT$4, 0)) &lt;&gt; ""))</f>
        <v>0</v>
      </c>
      <c r="H62" s="742">
        <f t="array" ref="H62">SUMPRODUCT(IFERROR(INDEX('6. TIẾN ĐỘ MUA HÀNG'!$A$5:$AT81, 0, XMATCH("Thành tiền đơn hàng", '6. TIẾN ĐỘ MUA HÀNG'!$A$4:$AT$4, 0)), 0) * (INDEX('6. TIẾN ĐỘ MUA HÀNG'!$A$5:$AT81, 0, XMATCH("Phân loại VTBB/NL", '6. TIẾN ĐỘ MUA HÀNG'!$A$4:$AT$4, 0)) = $B62) * (TRIM(INDEX('6. TIẾN ĐỘ MUA HÀNG'!$A$5:$AT81, 0, XMATCH("Tháng", '6. TIẾN ĐỘ MUA HÀNG'!$A$4:$AT$4, 0))) = TRIM(G$6)))</f>
        <v>0</v>
      </c>
      <c r="I62" s="743">
        <f t="array" ref="I62">SUMPRODUCT((INDEX('6. TIẾN ĐỘ MUA HÀNG'!$A:$AT, 0, XMATCH("Phân loại VTBB/NL", '6. TIẾN ĐỘ MUA HÀNG'!$A$4:$AT$4, 0)) = $B62) * (TRIM(INDEX('6. TIẾN ĐỘ MUA HÀNG'!$A:$AT, 0, XMATCH("Tháng", '6. TIẾN ĐỘ MUA HÀNG'!$A$4:$AT$4, 0))) = TRIM(I$6)) * (INDEX('6. TIẾN ĐỘ MUA HÀNG'!$A:$AT, 0, XMATCH("Phân loại VTBB/NL", '6. TIẾN ĐỘ MUA HÀNG'!$A$4:$AT$4, 0)) &lt;&gt; ""))</f>
        <v>0</v>
      </c>
      <c r="J62" s="744">
        <f t="array" ref="J62">SUMPRODUCT(IFERROR(INDEX('6. TIẾN ĐỘ MUA HÀNG'!$A$5:$AT81, 0, XMATCH("Thành tiền đơn hàng", '6. TIẾN ĐỘ MUA HÀNG'!$A$4:$AT$4, 0)), 0) * (INDEX('6. TIẾN ĐỘ MUA HÀNG'!$A$5:$AT81, 0, XMATCH("Phân loại VTBB/NL", '6. TIẾN ĐỘ MUA HÀNG'!$A$4:$AT$4, 0)) = $B62) * (TRIM(INDEX('6. TIẾN ĐỘ MUA HÀNG'!$A$5:$AT81, 0, XMATCH("Tháng", '6. TIẾN ĐỘ MUA HÀNG'!$A$4:$AT$4, 0))) = TRIM(I$6)))</f>
        <v>0</v>
      </c>
      <c r="K62" s="741">
        <f t="array" ref="K62">SUMPRODUCT((INDEX('6. TIẾN ĐỘ MUA HÀNG'!$A:$AT, 0, XMATCH("Phân loại VTBB/NL", '6. TIẾN ĐỘ MUA HÀNG'!$A$4:$AT$4, 0)) = $B62) * (TRIM(INDEX('6. TIẾN ĐỘ MUA HÀNG'!$A:$AT, 0, XMATCH("Tháng", '6. TIẾN ĐỘ MUA HÀNG'!$A$4:$AT$4, 0))) = TRIM($K$6)) * (INDEX('6. TIẾN ĐỘ MUA HÀNG'!$A:$AT, 0, XMATCH("Phân loại VTBB/NL", '6. TIẾN ĐỘ MUA HÀNG'!$A$4:$AT$4, 0)) &lt;&gt; ""))</f>
        <v>0</v>
      </c>
      <c r="L62" s="742">
        <f t="array" ref="L62">SUMPRODUCT(IFERROR(INDEX('6. TIẾN ĐỘ MUA HÀNG'!$A$5:$AT81, 0, XMATCH("Thành tiền đơn hàng", '6. TIẾN ĐỘ MUA HÀNG'!$A$4:$AT$4, 0)), 0) * (INDEX('6. TIẾN ĐỘ MUA HÀNG'!$A$5:$AT81, 0, XMATCH("Phân loại VTBB/NL", '6. TIẾN ĐỘ MUA HÀNG'!$A$4:$AT$4, 0)) = $B62) * (TRIM(INDEX('6. TIẾN ĐỘ MUA HÀNG'!$A$5:$AT81, 0, XMATCH("Tháng", '6. TIẾN ĐỘ MUA HÀNG'!$A$4:$AT$4, 0))) = TRIM(K$6)))</f>
        <v>0</v>
      </c>
      <c r="M62" s="743">
        <f t="array" ref="M62">SUMPRODUCT((INDEX('6. TIẾN ĐỘ MUA HÀNG'!$A:$AT, 0, XMATCH("Phân loại VTBB/NL", '6. TIẾN ĐỘ MUA HÀNG'!$A$4:$AT$4, 0)) = $B62) * (TRIM(INDEX('6. TIẾN ĐỘ MUA HÀNG'!$A:$AT, 0, XMATCH("Tháng", '6. TIẾN ĐỘ MUA HÀNG'!$A$4:$AT$4, 0))) = TRIM(M$6)) * (INDEX('6. TIẾN ĐỘ MUA HÀNG'!$A:$AT, 0, XMATCH("Phân loại VTBB/NL", '6. TIẾN ĐỘ MUA HÀNG'!$A$4:$AT$4, 0)) &lt;&gt; ""))</f>
        <v>0</v>
      </c>
      <c r="N62" s="744">
        <f t="array" ref="N62">SUMPRODUCT(IFERROR(INDEX('6. TIẾN ĐỘ MUA HÀNG'!$A$5:$AT81, 0, XMATCH("Thành tiền đơn hàng", '6. TIẾN ĐỘ MUA HÀNG'!$A$4:$AT$4, 0)), 0) * (INDEX('6. TIẾN ĐỘ MUA HÀNG'!$A$5:$AT81, 0, XMATCH("Phân loại VTBB/NL", '6. TIẾN ĐỘ MUA HÀNG'!$A$4:$AT$4, 0)) = $B62) * (TRIM(INDEX('6. TIẾN ĐỘ MUA HÀNG'!$A$5:$AT81, 0, XMATCH("Tháng", '6. TIẾN ĐỘ MUA HÀNG'!$A$4:$AT$4, 0))) = TRIM(M$6)))</f>
        <v>0</v>
      </c>
      <c r="O62" s="741">
        <f t="array" ref="O62">SUMPRODUCT((INDEX('6. TIẾN ĐỘ MUA HÀNG'!$A:$AT, 0, XMATCH("Phân loại VTBB/NL", '6. TIẾN ĐỘ MUA HÀNG'!$A$4:$AT$4, 0)) = $B62) * (TRIM(INDEX('6. TIẾN ĐỘ MUA HÀNG'!$A:$AT, 0, XMATCH("Tháng", '6. TIẾN ĐỘ MUA HÀNG'!$A$4:$AT$4, 0))) = TRIM($O$6)) * (INDEX('6. TIẾN ĐỘ MUA HÀNG'!$A:$AT, 0, XMATCH("Phân loại VTBB/NL", '6. TIẾN ĐỘ MUA HÀNG'!$A$4:$AT$4, 0)) &lt;&gt; ""))</f>
        <v>0</v>
      </c>
      <c r="P62" s="742">
        <f t="array" ref="P62">SUMPRODUCT(IFERROR(INDEX('6. TIẾN ĐỘ MUA HÀNG'!$A$5:$AT81, 0, XMATCH("Thành tiền đơn hàng", '6. TIẾN ĐỘ MUA HÀNG'!$A$4:$AT$4, 0)), 0) * (INDEX('6. TIẾN ĐỘ MUA HÀNG'!$A$5:$AT81, 0, XMATCH("Phân loại VTBB/NL", '6. TIẾN ĐỘ MUA HÀNG'!$A$4:$AT$4, 0)) = $B62) * (TRIM(INDEX('6. TIẾN ĐỘ MUA HÀNG'!$A$5:$AT81, 0, XMATCH("Tháng", '6. TIẾN ĐỘ MUA HÀNG'!$A$4:$AT$4, 0))) = TRIM(O$6)))</f>
        <v>0</v>
      </c>
      <c r="Q62" s="743">
        <f t="array" ref="Q62">SUMPRODUCT((INDEX('6. TIẾN ĐỘ MUA HÀNG'!$A:$AT, 0, XMATCH("Phân loại VTBB/NL", '6. TIẾN ĐỘ MUA HÀNG'!$A$4:$AT$4, 0)) = $B62) * (TRIM(INDEX('6. TIẾN ĐỘ MUA HÀNG'!$A:$AT, 0, XMATCH("Tháng", '6. TIẾN ĐỘ MUA HÀNG'!$A$4:$AT$4, 0))) = TRIM(Q$6)) * (INDEX('6. TIẾN ĐỘ MUA HÀNG'!$A:$AT, 0, XMATCH("Phân loại VTBB/NL", '6. TIẾN ĐỘ MUA HÀNG'!$A$4:$AT$4, 0)) &lt;&gt; ""))</f>
        <v>0</v>
      </c>
      <c r="R62" s="744">
        <f t="array" ref="R62">SUMPRODUCT(IFERROR(INDEX('6. TIẾN ĐỘ MUA HÀNG'!$A$5:$AT81, 0, XMATCH("Thành tiền đơn hàng", '6. TIẾN ĐỘ MUA HÀNG'!$A$4:$AT$4, 0)), 0) * (INDEX('6. TIẾN ĐỘ MUA HÀNG'!$A$5:$AT81, 0, XMATCH("Phân loại VTBB/NL", '6. TIẾN ĐỘ MUA HÀNG'!$A$4:$AT$4, 0)) = $B62) * (TRIM(INDEX('6. TIẾN ĐỘ MUA HÀNG'!$A$5:$AT81, 0, XMATCH("Tháng", '6. TIẾN ĐỘ MUA HÀNG'!$A$4:$AT$4, 0))) = TRIM(Q$6)))</f>
        <v>0</v>
      </c>
      <c r="S62" s="741">
        <f t="array" ref="S62">SUMPRODUCT((INDEX('6. TIẾN ĐỘ MUA HÀNG'!$A:$AT, 0, XMATCH("Phân loại VTBB/NL", '6. TIẾN ĐỘ MUA HÀNG'!$A$4:$AT$4, 0)) = $B62) * (TRIM(INDEX('6. TIẾN ĐỘ MUA HÀNG'!$A:$AT, 0, XMATCH("Tháng", '6. TIẾN ĐỘ MUA HÀNG'!$A$4:$AT$4, 0))) = TRIM($S$6)) * (INDEX('6. TIẾN ĐỘ MUA HÀNG'!$A:$AT, 0, XMATCH("Phân loại VTBB/NL", '6. TIẾN ĐỘ MUA HÀNG'!$A$4:$AT$4, 0)) &lt;&gt; ""))</f>
        <v>0</v>
      </c>
      <c r="T62" s="742">
        <f t="array" ref="T62">SUMPRODUCT(IFERROR(INDEX('6. TIẾN ĐỘ MUA HÀNG'!$A$5:$AT81, 0, XMATCH("Thành tiền đơn hàng", '6. TIẾN ĐỘ MUA HÀNG'!$A$4:$AT$4, 0)), 0) * (INDEX('6. TIẾN ĐỘ MUA HÀNG'!$A$5:$AT81, 0, XMATCH("Phân loại VTBB/NL", '6. TIẾN ĐỘ MUA HÀNG'!$A$4:$AT$4, 0)) = $B62) * (TRIM(INDEX('6. TIẾN ĐỘ MUA HÀNG'!$A$5:$AT81, 0, XMATCH("Tháng", '6. TIẾN ĐỘ MUA HÀNG'!$A$4:$AT$4, 0))) = TRIM(S$6)))</f>
        <v>0</v>
      </c>
      <c r="U62" s="743">
        <f t="array" ref="U62">SUMPRODUCT((INDEX('6. TIẾN ĐỘ MUA HÀNG'!$A:$AT, 0, XMATCH("Phân loại VTBB/NL", '6. TIẾN ĐỘ MUA HÀNG'!$A$4:$AT$4, 0)) = $B62) * (TRIM(INDEX('6. TIẾN ĐỘ MUA HÀNG'!$A:$AT, 0, XMATCH("Tháng", '6. TIẾN ĐỘ MUA HÀNG'!$A$4:$AT$4, 0))) = TRIM(U$6)) * (INDEX('6. TIẾN ĐỘ MUA HÀNG'!$A:$AT, 0, XMATCH("Phân loại VTBB/NL", '6. TIẾN ĐỘ MUA HÀNG'!$A$4:$AT$4, 0)) &lt;&gt; ""))</f>
        <v>0</v>
      </c>
      <c r="V62" s="744">
        <f t="array" ref="V62">SUMPRODUCT(IFERROR(INDEX('6. TIẾN ĐỘ MUA HÀNG'!$A$5:$AT81, 0, XMATCH("Thành tiền đơn hàng", '6. TIẾN ĐỘ MUA HÀNG'!$A$4:$AT$4, 0)), 0) * (INDEX('6. TIẾN ĐỘ MUA HÀNG'!$A$5:$AT81, 0, XMATCH("Phân loại VTBB/NL", '6. TIẾN ĐỘ MUA HÀNG'!$A$4:$AT$4, 0)) = $B62) * (TRIM(INDEX('6. TIẾN ĐỘ MUA HÀNG'!$A$5:$AT81, 0, XMATCH("Tháng", '6. TIẾN ĐỘ MUA HÀNG'!$A$4:$AT$4, 0))) = TRIM(U$6)))</f>
        <v>0</v>
      </c>
      <c r="W62" s="741">
        <f t="array" ref="W62">SUMPRODUCT((INDEX('6. TIẾN ĐỘ MUA HÀNG'!$A:$AT, 0, XMATCH("Phân loại VTBB/NL", '6. TIẾN ĐỘ MUA HÀNG'!$A$4:$AT$4, 0)) = $B62) * (TRIM(INDEX('6. TIẾN ĐỘ MUA HÀNG'!$A:$AT, 0, XMATCH("Tháng", '6. TIẾN ĐỘ MUA HÀNG'!$A$4:$AT$4, 0))) = TRIM($W$6)) * (INDEX('6. TIẾN ĐỘ MUA HÀNG'!$A:$AT, 0, XMATCH("Phân loại VTBB/NL", '6. TIẾN ĐỘ MUA HÀNG'!$A$4:$AT$4, 0)) &lt;&gt; ""))</f>
        <v>0</v>
      </c>
      <c r="X62" s="742">
        <f t="array" ref="X62">SUMPRODUCT(IFERROR(INDEX('6. TIẾN ĐỘ MUA HÀNG'!$A$5:$AT81, 0, XMATCH("Thành tiền đơn hàng", '6. TIẾN ĐỘ MUA HÀNG'!$A$4:$AT$4, 0)), 0) * (INDEX('6. TIẾN ĐỘ MUA HÀNG'!$A$5:$AT81, 0, XMATCH("Phân loại VTBB/NL", '6. TIẾN ĐỘ MUA HÀNG'!$A$4:$AT$4, 0)) = $B62) * (TRIM(INDEX('6. TIẾN ĐỘ MUA HÀNG'!$A$5:$AT81, 0, XMATCH("Tháng", '6. TIẾN ĐỘ MUA HÀNG'!$A$4:$AT$4, 0))) = TRIM(W$6)))</f>
        <v>0</v>
      </c>
      <c r="Y62" s="743">
        <f t="array" ref="Y62">SUMPRODUCT((INDEX('6. TIẾN ĐỘ MUA HÀNG'!$A:$AT, 0, XMATCH("Phân loại VTBB/NL", '6. TIẾN ĐỘ MUA HÀNG'!$A$4:$AT$4, 0)) = $B62) * (TRIM(INDEX('6. TIẾN ĐỘ MUA HÀNG'!$A:$AT, 0, XMATCH("Tháng", '6. TIẾN ĐỘ MUA HÀNG'!$A$4:$AT$4, 0))) = TRIM(Y$6)) * (INDEX('6. TIẾN ĐỘ MUA HÀNG'!$A:$AT, 0, XMATCH("Phân loại VTBB/NL", '6. TIẾN ĐỘ MUA HÀNG'!$A$4:$AT$4, 0)) &lt;&gt; ""))</f>
        <v>0</v>
      </c>
      <c r="Z62" s="744">
        <f t="array" ref="Z62">SUMPRODUCT(IFERROR(INDEX('6. TIẾN ĐỘ MUA HÀNG'!$A$5:$AT81, 0, XMATCH("Thành tiền đơn hàng", '6. TIẾN ĐỘ MUA HÀNG'!$A$4:$AT$4, 0)), 0) * (INDEX('6. TIẾN ĐỘ MUA HÀNG'!$A$5:$AT81, 0, XMATCH("Phân loại VTBB/NL", '6. TIẾN ĐỘ MUA HÀNG'!$A$4:$AT$4, 0)) = $B62) * (TRIM(INDEX('6. TIẾN ĐỘ MUA HÀNG'!$A$5:$AT81, 0, XMATCH("Tháng", '6. TIẾN ĐỘ MUA HÀNG'!$A$4:$AT$4, 0))) = TRIM(Y$6)))</f>
        <v>0</v>
      </c>
      <c r="AA62" s="726">
        <f t="shared" si="2"/>
        <v>0</v>
      </c>
      <c r="AB62" s="726">
        <f t="shared" si="3"/>
        <v>0</v>
      </c>
    </row>
    <row r="63">
      <c r="A63" s="612">
        <v>55.0</v>
      </c>
      <c r="B63" s="597" t="str">
        <f>IFERROR(__xludf.DUMMYFUNCTION("""COMPUTED_VALUE"""),"Hộp icare: giấy Ivory")</f>
        <v>Hộp icare: giấy Ivory</v>
      </c>
      <c r="C63" s="741">
        <f t="array" ref="C63">SUMPRODUCT((INDEX('6. TIẾN ĐỘ MUA HÀNG'!$A:$AT, 0, XMATCH("Phân loại VTBB/NL", '6. TIẾN ĐỘ MUA HÀNG'!$A$4:$AT$4, 0)) = $B63) * (TRIM(INDEX('6. TIẾN ĐỘ MUA HÀNG'!$A:$AT, 0, XMATCH("Tháng", '6. TIẾN ĐỘ MUA HÀNG'!$A$4:$AT$4, 0))) = TRIM($C$6)) * (INDEX('6. TIẾN ĐỘ MUA HÀNG'!$A:$AT, 0, XMATCH("Phân loại VTBB/NL", '6. TIẾN ĐỘ MUA HÀNG'!$A$4:$AT$4, 0)) &lt;&gt; ""))</f>
        <v>0</v>
      </c>
      <c r="D63" s="742">
        <f t="array" ref="D63">SUMPRODUCT(IFERROR(INDEX('6. TIẾN ĐỘ MUA HÀNG'!$A$5:$AT81, 0, XMATCH("Thành tiền đơn hàng", '6. TIẾN ĐỘ MUA HÀNG'!$A$4:$AT$4, 0)), 0) * (INDEX('6. TIẾN ĐỘ MUA HÀNG'!$A$5:$AT81, 0, XMATCH("Phân loại VTBB/NL", '6. TIẾN ĐỘ MUA HÀNG'!$A$4:$AT$4, 0)) = $B63) * (TRIM(INDEX('6. TIẾN ĐỘ MUA HÀNG'!$A$5:$AT81, 0, XMATCH("Tháng", '6. TIẾN ĐỘ MUA HÀNG'!$A$4:$AT$4, 0))) = TRIM(C$6)))</f>
        <v>0</v>
      </c>
      <c r="E63" s="743">
        <f t="array" ref="E63">SUMPRODUCT((INDEX('6. TIẾN ĐỘ MUA HÀNG'!$A:$AT, 0, XMATCH("Phân loại VTBB/NL", '6. TIẾN ĐỘ MUA HÀNG'!$A$4:$AT$4, 0)) = $B63) * (TRIM(INDEX('6. TIẾN ĐỘ MUA HÀNG'!$A:$AT, 0, XMATCH("Tháng", '6. TIẾN ĐỘ MUA HÀNG'!$A$4:$AT$4, 0))) = TRIM(E$6)) * (INDEX('6. TIẾN ĐỘ MUA HÀNG'!$A:$AT, 0, XMATCH("Phân loại VTBB/NL", '6. TIẾN ĐỘ MUA HÀNG'!$A$4:$AT$4, 0)) &lt;&gt; ""))</f>
        <v>0</v>
      </c>
      <c r="F63" s="744">
        <f t="array" ref="F63">SUMPRODUCT(IFERROR(INDEX('6. TIẾN ĐỘ MUA HÀNG'!$A$5:$AT81, 0, XMATCH("Thành tiền đơn hàng", '6. TIẾN ĐỘ MUA HÀNG'!$A$4:$AT$4, 0)), 0) * (INDEX('6. TIẾN ĐỘ MUA HÀNG'!$A$5:$AT81, 0, XMATCH("Phân loại VTBB/NL", '6. TIẾN ĐỘ MUA HÀNG'!$A$4:$AT$4, 0)) = $B63) * (TRIM(INDEX('6. TIẾN ĐỘ MUA HÀNG'!$A$5:$AT81, 0, XMATCH("Tháng", '6. TIẾN ĐỘ MUA HÀNG'!$A$4:$AT$4, 0))) = TRIM(E$6)))</f>
        <v>0</v>
      </c>
      <c r="G63" s="741">
        <f t="array" ref="G63">SUMPRODUCT((INDEX('6. TIẾN ĐỘ MUA HÀNG'!$A:$AT, 0, XMATCH("Phân loại VTBB/NL", '6. TIẾN ĐỘ MUA HÀNG'!$A$4:$AT$4, 0)) = $B63) * (TRIM(INDEX('6. TIẾN ĐỘ MUA HÀNG'!$A:$AT, 0, XMATCH("Tháng", '6. TIẾN ĐỘ MUA HÀNG'!$A$4:$AT$4, 0))) = TRIM($G$6)) * (INDEX('6. TIẾN ĐỘ MUA HÀNG'!$A:$AT, 0, XMATCH("Phân loại VTBB/NL", '6. TIẾN ĐỘ MUA HÀNG'!$A$4:$AT$4, 0)) &lt;&gt; ""))</f>
        <v>0</v>
      </c>
      <c r="H63" s="742">
        <f t="array" ref="H63">SUMPRODUCT(IFERROR(INDEX('6. TIẾN ĐỘ MUA HÀNG'!$A$5:$AT81, 0, XMATCH("Thành tiền đơn hàng", '6. TIẾN ĐỘ MUA HÀNG'!$A$4:$AT$4, 0)), 0) * (INDEX('6. TIẾN ĐỘ MUA HÀNG'!$A$5:$AT81, 0, XMATCH("Phân loại VTBB/NL", '6. TIẾN ĐỘ MUA HÀNG'!$A$4:$AT$4, 0)) = $B63) * (TRIM(INDEX('6. TIẾN ĐỘ MUA HÀNG'!$A$5:$AT81, 0, XMATCH("Tháng", '6. TIẾN ĐỘ MUA HÀNG'!$A$4:$AT$4, 0))) = TRIM(G$6)))</f>
        <v>0</v>
      </c>
      <c r="I63" s="743">
        <f t="array" ref="I63">SUMPRODUCT((INDEX('6. TIẾN ĐỘ MUA HÀNG'!$A:$AT, 0, XMATCH("Phân loại VTBB/NL", '6. TIẾN ĐỘ MUA HÀNG'!$A$4:$AT$4, 0)) = $B63) * (TRIM(INDEX('6. TIẾN ĐỘ MUA HÀNG'!$A:$AT, 0, XMATCH("Tháng", '6. TIẾN ĐỘ MUA HÀNG'!$A$4:$AT$4, 0))) = TRIM(I$6)) * (INDEX('6. TIẾN ĐỘ MUA HÀNG'!$A:$AT, 0, XMATCH("Phân loại VTBB/NL", '6. TIẾN ĐỘ MUA HÀNG'!$A$4:$AT$4, 0)) &lt;&gt; ""))</f>
        <v>0</v>
      </c>
      <c r="J63" s="744">
        <f t="array" ref="J63">SUMPRODUCT(IFERROR(INDEX('6. TIẾN ĐỘ MUA HÀNG'!$A$5:$AT81, 0, XMATCH("Thành tiền đơn hàng", '6. TIẾN ĐỘ MUA HÀNG'!$A$4:$AT$4, 0)), 0) * (INDEX('6. TIẾN ĐỘ MUA HÀNG'!$A$5:$AT81, 0, XMATCH("Phân loại VTBB/NL", '6. TIẾN ĐỘ MUA HÀNG'!$A$4:$AT$4, 0)) = $B63) * (TRIM(INDEX('6. TIẾN ĐỘ MUA HÀNG'!$A$5:$AT81, 0, XMATCH("Tháng", '6. TIẾN ĐỘ MUA HÀNG'!$A$4:$AT$4, 0))) = TRIM(I$6)))</f>
        <v>0</v>
      </c>
      <c r="K63" s="741">
        <f t="array" ref="K63">SUMPRODUCT((INDEX('6. TIẾN ĐỘ MUA HÀNG'!$A:$AT, 0, XMATCH("Phân loại VTBB/NL", '6. TIẾN ĐỘ MUA HÀNG'!$A$4:$AT$4, 0)) = $B63) * (TRIM(INDEX('6. TIẾN ĐỘ MUA HÀNG'!$A:$AT, 0, XMATCH("Tháng", '6. TIẾN ĐỘ MUA HÀNG'!$A$4:$AT$4, 0))) = TRIM($K$6)) * (INDEX('6. TIẾN ĐỘ MUA HÀNG'!$A:$AT, 0, XMATCH("Phân loại VTBB/NL", '6. TIẾN ĐỘ MUA HÀNG'!$A$4:$AT$4, 0)) &lt;&gt; ""))</f>
        <v>0</v>
      </c>
      <c r="L63" s="742">
        <f t="array" ref="L63">SUMPRODUCT(IFERROR(INDEX('6. TIẾN ĐỘ MUA HÀNG'!$A$5:$AT81, 0, XMATCH("Thành tiền đơn hàng", '6. TIẾN ĐỘ MUA HÀNG'!$A$4:$AT$4, 0)), 0) * (INDEX('6. TIẾN ĐỘ MUA HÀNG'!$A$5:$AT81, 0, XMATCH("Phân loại VTBB/NL", '6. TIẾN ĐỘ MUA HÀNG'!$A$4:$AT$4, 0)) = $B63) * (TRIM(INDEX('6. TIẾN ĐỘ MUA HÀNG'!$A$5:$AT81, 0, XMATCH("Tháng", '6. TIẾN ĐỘ MUA HÀNG'!$A$4:$AT$4, 0))) = TRIM(K$6)))</f>
        <v>0</v>
      </c>
      <c r="M63" s="743">
        <f t="array" ref="M63">SUMPRODUCT((INDEX('6. TIẾN ĐỘ MUA HÀNG'!$A:$AT, 0, XMATCH("Phân loại VTBB/NL", '6. TIẾN ĐỘ MUA HÀNG'!$A$4:$AT$4, 0)) = $B63) * (TRIM(INDEX('6. TIẾN ĐỘ MUA HÀNG'!$A:$AT, 0, XMATCH("Tháng", '6. TIẾN ĐỘ MUA HÀNG'!$A$4:$AT$4, 0))) = TRIM(M$6)) * (INDEX('6. TIẾN ĐỘ MUA HÀNG'!$A:$AT, 0, XMATCH("Phân loại VTBB/NL", '6. TIẾN ĐỘ MUA HÀNG'!$A$4:$AT$4, 0)) &lt;&gt; ""))</f>
        <v>0</v>
      </c>
      <c r="N63" s="744">
        <f t="array" ref="N63">SUMPRODUCT(IFERROR(INDEX('6. TIẾN ĐỘ MUA HÀNG'!$A$5:$AT81, 0, XMATCH("Thành tiền đơn hàng", '6. TIẾN ĐỘ MUA HÀNG'!$A$4:$AT$4, 0)), 0) * (INDEX('6. TIẾN ĐỘ MUA HÀNG'!$A$5:$AT81, 0, XMATCH("Phân loại VTBB/NL", '6. TIẾN ĐỘ MUA HÀNG'!$A$4:$AT$4, 0)) = $B63) * (TRIM(INDEX('6. TIẾN ĐỘ MUA HÀNG'!$A$5:$AT81, 0, XMATCH("Tháng", '6. TIẾN ĐỘ MUA HÀNG'!$A$4:$AT$4, 0))) = TRIM(M$6)))</f>
        <v>0</v>
      </c>
      <c r="O63" s="741">
        <f t="array" ref="O63">SUMPRODUCT((INDEX('6. TIẾN ĐỘ MUA HÀNG'!$A:$AT, 0, XMATCH("Phân loại VTBB/NL", '6. TIẾN ĐỘ MUA HÀNG'!$A$4:$AT$4, 0)) = $B63) * (TRIM(INDEX('6. TIẾN ĐỘ MUA HÀNG'!$A:$AT, 0, XMATCH("Tháng", '6. TIẾN ĐỘ MUA HÀNG'!$A$4:$AT$4, 0))) = TRIM($O$6)) * (INDEX('6. TIẾN ĐỘ MUA HÀNG'!$A:$AT, 0, XMATCH("Phân loại VTBB/NL", '6. TIẾN ĐỘ MUA HÀNG'!$A$4:$AT$4, 0)) &lt;&gt; ""))</f>
        <v>0</v>
      </c>
      <c r="P63" s="742">
        <f t="array" ref="P63">SUMPRODUCT(IFERROR(INDEX('6. TIẾN ĐỘ MUA HÀNG'!$A$5:$AT81, 0, XMATCH("Thành tiền đơn hàng", '6. TIẾN ĐỘ MUA HÀNG'!$A$4:$AT$4, 0)), 0) * (INDEX('6. TIẾN ĐỘ MUA HÀNG'!$A$5:$AT81, 0, XMATCH("Phân loại VTBB/NL", '6. TIẾN ĐỘ MUA HÀNG'!$A$4:$AT$4, 0)) = $B63) * (TRIM(INDEX('6. TIẾN ĐỘ MUA HÀNG'!$A$5:$AT81, 0, XMATCH("Tháng", '6. TIẾN ĐỘ MUA HÀNG'!$A$4:$AT$4, 0))) = TRIM(O$6)))</f>
        <v>0</v>
      </c>
      <c r="Q63" s="743">
        <f t="array" ref="Q63">SUMPRODUCT((INDEX('6. TIẾN ĐỘ MUA HÀNG'!$A:$AT, 0, XMATCH("Phân loại VTBB/NL", '6. TIẾN ĐỘ MUA HÀNG'!$A$4:$AT$4, 0)) = $B63) * (TRIM(INDEX('6. TIẾN ĐỘ MUA HÀNG'!$A:$AT, 0, XMATCH("Tháng", '6. TIẾN ĐỘ MUA HÀNG'!$A$4:$AT$4, 0))) = TRIM(Q$6)) * (INDEX('6. TIẾN ĐỘ MUA HÀNG'!$A:$AT, 0, XMATCH("Phân loại VTBB/NL", '6. TIẾN ĐỘ MUA HÀNG'!$A$4:$AT$4, 0)) &lt;&gt; ""))</f>
        <v>0</v>
      </c>
      <c r="R63" s="744">
        <f t="array" ref="R63">SUMPRODUCT(IFERROR(INDEX('6. TIẾN ĐỘ MUA HÀNG'!$A$5:$AT81, 0, XMATCH("Thành tiền đơn hàng", '6. TIẾN ĐỘ MUA HÀNG'!$A$4:$AT$4, 0)), 0) * (INDEX('6. TIẾN ĐỘ MUA HÀNG'!$A$5:$AT81, 0, XMATCH("Phân loại VTBB/NL", '6. TIẾN ĐỘ MUA HÀNG'!$A$4:$AT$4, 0)) = $B63) * (TRIM(INDEX('6. TIẾN ĐỘ MUA HÀNG'!$A$5:$AT81, 0, XMATCH("Tháng", '6. TIẾN ĐỘ MUA HÀNG'!$A$4:$AT$4, 0))) = TRIM(Q$6)))</f>
        <v>0</v>
      </c>
      <c r="S63" s="741">
        <f t="array" ref="S63">SUMPRODUCT((INDEX('6. TIẾN ĐỘ MUA HÀNG'!$A:$AT, 0, XMATCH("Phân loại VTBB/NL", '6. TIẾN ĐỘ MUA HÀNG'!$A$4:$AT$4, 0)) = $B63) * (TRIM(INDEX('6. TIẾN ĐỘ MUA HÀNG'!$A:$AT, 0, XMATCH("Tháng", '6. TIẾN ĐỘ MUA HÀNG'!$A$4:$AT$4, 0))) = TRIM($S$6)) * (INDEX('6. TIẾN ĐỘ MUA HÀNG'!$A:$AT, 0, XMATCH("Phân loại VTBB/NL", '6. TIẾN ĐỘ MUA HÀNG'!$A$4:$AT$4, 0)) &lt;&gt; ""))</f>
        <v>0</v>
      </c>
      <c r="T63" s="742">
        <f t="array" ref="T63">SUMPRODUCT(IFERROR(INDEX('6. TIẾN ĐỘ MUA HÀNG'!$A$5:$AT81, 0, XMATCH("Thành tiền đơn hàng", '6. TIẾN ĐỘ MUA HÀNG'!$A$4:$AT$4, 0)), 0) * (INDEX('6. TIẾN ĐỘ MUA HÀNG'!$A$5:$AT81, 0, XMATCH("Phân loại VTBB/NL", '6. TIẾN ĐỘ MUA HÀNG'!$A$4:$AT$4, 0)) = $B63) * (TRIM(INDEX('6. TIẾN ĐỘ MUA HÀNG'!$A$5:$AT81, 0, XMATCH("Tháng", '6. TIẾN ĐỘ MUA HÀNG'!$A$4:$AT$4, 0))) = TRIM(S$6)))</f>
        <v>0</v>
      </c>
      <c r="U63" s="743">
        <f t="array" ref="U63">SUMPRODUCT((INDEX('6. TIẾN ĐỘ MUA HÀNG'!$A:$AT, 0, XMATCH("Phân loại VTBB/NL", '6. TIẾN ĐỘ MUA HÀNG'!$A$4:$AT$4, 0)) = $B63) * (TRIM(INDEX('6. TIẾN ĐỘ MUA HÀNG'!$A:$AT, 0, XMATCH("Tháng", '6. TIẾN ĐỘ MUA HÀNG'!$A$4:$AT$4, 0))) = TRIM(U$6)) * (INDEX('6. TIẾN ĐỘ MUA HÀNG'!$A:$AT, 0, XMATCH("Phân loại VTBB/NL", '6. TIẾN ĐỘ MUA HÀNG'!$A$4:$AT$4, 0)) &lt;&gt; ""))</f>
        <v>0</v>
      </c>
      <c r="V63" s="744">
        <f t="array" ref="V63">SUMPRODUCT(IFERROR(INDEX('6. TIẾN ĐỘ MUA HÀNG'!$A$5:$AT81, 0, XMATCH("Thành tiền đơn hàng", '6. TIẾN ĐỘ MUA HÀNG'!$A$4:$AT$4, 0)), 0) * (INDEX('6. TIẾN ĐỘ MUA HÀNG'!$A$5:$AT81, 0, XMATCH("Phân loại VTBB/NL", '6. TIẾN ĐỘ MUA HÀNG'!$A$4:$AT$4, 0)) = $B63) * (TRIM(INDEX('6. TIẾN ĐỘ MUA HÀNG'!$A$5:$AT81, 0, XMATCH("Tháng", '6. TIẾN ĐỘ MUA HÀNG'!$A$4:$AT$4, 0))) = TRIM(U$6)))</f>
        <v>0</v>
      </c>
      <c r="W63" s="741">
        <f t="array" ref="W63">SUMPRODUCT((INDEX('6. TIẾN ĐỘ MUA HÀNG'!$A:$AT, 0, XMATCH("Phân loại VTBB/NL", '6. TIẾN ĐỘ MUA HÀNG'!$A$4:$AT$4, 0)) = $B63) * (TRIM(INDEX('6. TIẾN ĐỘ MUA HÀNG'!$A:$AT, 0, XMATCH("Tháng", '6. TIẾN ĐỘ MUA HÀNG'!$A$4:$AT$4, 0))) = TRIM($W$6)) * (INDEX('6. TIẾN ĐỘ MUA HÀNG'!$A:$AT, 0, XMATCH("Phân loại VTBB/NL", '6. TIẾN ĐỘ MUA HÀNG'!$A$4:$AT$4, 0)) &lt;&gt; ""))</f>
        <v>0</v>
      </c>
      <c r="X63" s="742">
        <f t="array" ref="X63">SUMPRODUCT(IFERROR(INDEX('6. TIẾN ĐỘ MUA HÀNG'!$A$5:$AT81, 0, XMATCH("Thành tiền đơn hàng", '6. TIẾN ĐỘ MUA HÀNG'!$A$4:$AT$4, 0)), 0) * (INDEX('6. TIẾN ĐỘ MUA HÀNG'!$A$5:$AT81, 0, XMATCH("Phân loại VTBB/NL", '6. TIẾN ĐỘ MUA HÀNG'!$A$4:$AT$4, 0)) = $B63) * (TRIM(INDEX('6. TIẾN ĐỘ MUA HÀNG'!$A$5:$AT81, 0, XMATCH("Tháng", '6. TIẾN ĐỘ MUA HÀNG'!$A$4:$AT$4, 0))) = TRIM(W$6)))</f>
        <v>0</v>
      </c>
      <c r="Y63" s="743">
        <f t="array" ref="Y63">SUMPRODUCT((INDEX('6. TIẾN ĐỘ MUA HÀNG'!$A:$AT, 0, XMATCH("Phân loại VTBB/NL", '6. TIẾN ĐỘ MUA HÀNG'!$A$4:$AT$4, 0)) = $B63) * (TRIM(INDEX('6. TIẾN ĐỘ MUA HÀNG'!$A:$AT, 0, XMATCH("Tháng", '6. TIẾN ĐỘ MUA HÀNG'!$A$4:$AT$4, 0))) = TRIM(Y$6)) * (INDEX('6. TIẾN ĐỘ MUA HÀNG'!$A:$AT, 0, XMATCH("Phân loại VTBB/NL", '6. TIẾN ĐỘ MUA HÀNG'!$A$4:$AT$4, 0)) &lt;&gt; ""))</f>
        <v>0</v>
      </c>
      <c r="Z63" s="744">
        <f t="array" ref="Z63">SUMPRODUCT(IFERROR(INDEX('6. TIẾN ĐỘ MUA HÀNG'!$A$5:$AT81, 0, XMATCH("Thành tiền đơn hàng", '6. TIẾN ĐỘ MUA HÀNG'!$A$4:$AT$4, 0)), 0) * (INDEX('6. TIẾN ĐỘ MUA HÀNG'!$A$5:$AT81, 0, XMATCH("Phân loại VTBB/NL", '6. TIẾN ĐỘ MUA HÀNG'!$A$4:$AT$4, 0)) = $B63) * (TRIM(INDEX('6. TIẾN ĐỘ MUA HÀNG'!$A$5:$AT81, 0, XMATCH("Tháng", '6. TIẾN ĐỘ MUA HÀNG'!$A$4:$AT$4, 0))) = TRIM(Y$6)))</f>
        <v>0</v>
      </c>
      <c r="AA63" s="726">
        <f t="shared" si="2"/>
        <v>0</v>
      </c>
      <c r="AB63" s="726">
        <f t="shared" si="3"/>
        <v>0</v>
      </c>
    </row>
    <row r="64">
      <c r="A64" s="612">
        <v>56.0</v>
      </c>
      <c r="B64" s="597" t="str">
        <f>IFERROR(__xludf.DUMMYFUNCTION("""COMPUTED_VALUE"""),"Thùng carton 5 lớp")</f>
        <v>Thùng carton 5 lớp</v>
      </c>
      <c r="C64" s="741">
        <f t="array" ref="C64">SUMPRODUCT((INDEX('6. TIẾN ĐỘ MUA HÀNG'!$A:$AT, 0, XMATCH("Phân loại VTBB/NL", '6. TIẾN ĐỘ MUA HÀNG'!$A$4:$AT$4, 0)) = $B64) * (TRIM(INDEX('6. TIẾN ĐỘ MUA HÀNG'!$A:$AT, 0, XMATCH("Tháng", '6. TIẾN ĐỘ MUA HÀNG'!$A$4:$AT$4, 0))) = TRIM($C$6)) * (INDEX('6. TIẾN ĐỘ MUA HÀNG'!$A:$AT, 0, XMATCH("Phân loại VTBB/NL", '6. TIẾN ĐỘ MUA HÀNG'!$A$4:$AT$4, 0)) &lt;&gt; ""))</f>
        <v>0</v>
      </c>
      <c r="D64" s="742">
        <f t="array" ref="D64">SUMPRODUCT(IFERROR(INDEX('6. TIẾN ĐỘ MUA HÀNG'!$A$5:$AT81, 0, XMATCH("Thành tiền đơn hàng", '6. TIẾN ĐỘ MUA HÀNG'!$A$4:$AT$4, 0)), 0) * (INDEX('6. TIẾN ĐỘ MUA HÀNG'!$A$5:$AT81, 0, XMATCH("Phân loại VTBB/NL", '6. TIẾN ĐỘ MUA HÀNG'!$A$4:$AT$4, 0)) = $B64) * (TRIM(INDEX('6. TIẾN ĐỘ MUA HÀNG'!$A$5:$AT81, 0, XMATCH("Tháng", '6. TIẾN ĐỘ MUA HÀNG'!$A$4:$AT$4, 0))) = TRIM(C$6)))</f>
        <v>0</v>
      </c>
      <c r="E64" s="743">
        <f t="array" ref="E64">SUMPRODUCT((INDEX('6. TIẾN ĐỘ MUA HÀNG'!$A:$AT, 0, XMATCH("Phân loại VTBB/NL", '6. TIẾN ĐỘ MUA HÀNG'!$A$4:$AT$4, 0)) = $B64) * (TRIM(INDEX('6. TIẾN ĐỘ MUA HÀNG'!$A:$AT, 0, XMATCH("Tháng", '6. TIẾN ĐỘ MUA HÀNG'!$A$4:$AT$4, 0))) = TRIM(E$6)) * (INDEX('6. TIẾN ĐỘ MUA HÀNG'!$A:$AT, 0, XMATCH("Phân loại VTBB/NL", '6. TIẾN ĐỘ MUA HÀNG'!$A$4:$AT$4, 0)) &lt;&gt; ""))</f>
        <v>0</v>
      </c>
      <c r="F64" s="744">
        <f t="array" ref="F64">SUMPRODUCT(IFERROR(INDEX('6. TIẾN ĐỘ MUA HÀNG'!$A$5:$AT81, 0, XMATCH("Thành tiền đơn hàng", '6. TIẾN ĐỘ MUA HÀNG'!$A$4:$AT$4, 0)), 0) * (INDEX('6. TIẾN ĐỘ MUA HÀNG'!$A$5:$AT81, 0, XMATCH("Phân loại VTBB/NL", '6. TIẾN ĐỘ MUA HÀNG'!$A$4:$AT$4, 0)) = $B64) * (TRIM(INDEX('6. TIẾN ĐỘ MUA HÀNG'!$A$5:$AT81, 0, XMATCH("Tháng", '6. TIẾN ĐỘ MUA HÀNG'!$A$4:$AT$4, 0))) = TRIM(E$6)))</f>
        <v>0</v>
      </c>
      <c r="G64" s="741">
        <f t="array" ref="G64">SUMPRODUCT((INDEX('6. TIẾN ĐỘ MUA HÀNG'!$A:$AT, 0, XMATCH("Phân loại VTBB/NL", '6. TIẾN ĐỘ MUA HÀNG'!$A$4:$AT$4, 0)) = $B64) * (TRIM(INDEX('6. TIẾN ĐỘ MUA HÀNG'!$A:$AT, 0, XMATCH("Tháng", '6. TIẾN ĐỘ MUA HÀNG'!$A$4:$AT$4, 0))) = TRIM($G$6)) * (INDEX('6. TIẾN ĐỘ MUA HÀNG'!$A:$AT, 0, XMATCH("Phân loại VTBB/NL", '6. TIẾN ĐỘ MUA HÀNG'!$A$4:$AT$4, 0)) &lt;&gt; ""))</f>
        <v>0</v>
      </c>
      <c r="H64" s="742">
        <f t="array" ref="H64">SUMPRODUCT(IFERROR(INDEX('6. TIẾN ĐỘ MUA HÀNG'!$A$5:$AT81, 0, XMATCH("Thành tiền đơn hàng", '6. TIẾN ĐỘ MUA HÀNG'!$A$4:$AT$4, 0)), 0) * (INDEX('6. TIẾN ĐỘ MUA HÀNG'!$A$5:$AT81, 0, XMATCH("Phân loại VTBB/NL", '6. TIẾN ĐỘ MUA HÀNG'!$A$4:$AT$4, 0)) = $B64) * (TRIM(INDEX('6. TIẾN ĐỘ MUA HÀNG'!$A$5:$AT81, 0, XMATCH("Tháng", '6. TIẾN ĐỘ MUA HÀNG'!$A$4:$AT$4, 0))) = TRIM(G$6)))</f>
        <v>0</v>
      </c>
      <c r="I64" s="743">
        <f t="array" ref="I64">SUMPRODUCT((INDEX('6. TIẾN ĐỘ MUA HÀNG'!$A:$AT, 0, XMATCH("Phân loại VTBB/NL", '6. TIẾN ĐỘ MUA HÀNG'!$A$4:$AT$4, 0)) = $B64) * (TRIM(INDEX('6. TIẾN ĐỘ MUA HÀNG'!$A:$AT, 0, XMATCH("Tháng", '6. TIẾN ĐỘ MUA HÀNG'!$A$4:$AT$4, 0))) = TRIM(I$6)) * (INDEX('6. TIẾN ĐỘ MUA HÀNG'!$A:$AT, 0, XMATCH("Phân loại VTBB/NL", '6. TIẾN ĐỘ MUA HÀNG'!$A$4:$AT$4, 0)) &lt;&gt; ""))</f>
        <v>0</v>
      </c>
      <c r="J64" s="744">
        <f t="array" ref="J64">SUMPRODUCT(IFERROR(INDEX('6. TIẾN ĐỘ MUA HÀNG'!$A$5:$AT81, 0, XMATCH("Thành tiền đơn hàng", '6. TIẾN ĐỘ MUA HÀNG'!$A$4:$AT$4, 0)), 0) * (INDEX('6. TIẾN ĐỘ MUA HÀNG'!$A$5:$AT81, 0, XMATCH("Phân loại VTBB/NL", '6. TIẾN ĐỘ MUA HÀNG'!$A$4:$AT$4, 0)) = $B64) * (TRIM(INDEX('6. TIẾN ĐỘ MUA HÀNG'!$A$5:$AT81, 0, XMATCH("Tháng", '6. TIẾN ĐỘ MUA HÀNG'!$A$4:$AT$4, 0))) = TRIM(I$6)))</f>
        <v>0</v>
      </c>
      <c r="K64" s="741">
        <f t="array" ref="K64">SUMPRODUCT((INDEX('6. TIẾN ĐỘ MUA HÀNG'!$A:$AT, 0, XMATCH("Phân loại VTBB/NL", '6. TIẾN ĐỘ MUA HÀNG'!$A$4:$AT$4, 0)) = $B64) * (TRIM(INDEX('6. TIẾN ĐỘ MUA HÀNG'!$A:$AT, 0, XMATCH("Tháng", '6. TIẾN ĐỘ MUA HÀNG'!$A$4:$AT$4, 0))) = TRIM($K$6)) * (INDEX('6. TIẾN ĐỘ MUA HÀNG'!$A:$AT, 0, XMATCH("Phân loại VTBB/NL", '6. TIẾN ĐỘ MUA HÀNG'!$A$4:$AT$4, 0)) &lt;&gt; ""))</f>
        <v>0</v>
      </c>
      <c r="L64" s="742">
        <f t="array" ref="L64">SUMPRODUCT(IFERROR(INDEX('6. TIẾN ĐỘ MUA HÀNG'!$A$5:$AT81, 0, XMATCH("Thành tiền đơn hàng", '6. TIẾN ĐỘ MUA HÀNG'!$A$4:$AT$4, 0)), 0) * (INDEX('6. TIẾN ĐỘ MUA HÀNG'!$A$5:$AT81, 0, XMATCH("Phân loại VTBB/NL", '6. TIẾN ĐỘ MUA HÀNG'!$A$4:$AT$4, 0)) = $B64) * (TRIM(INDEX('6. TIẾN ĐỘ MUA HÀNG'!$A$5:$AT81, 0, XMATCH("Tháng", '6. TIẾN ĐỘ MUA HÀNG'!$A$4:$AT$4, 0))) = TRIM(K$6)))</f>
        <v>0</v>
      </c>
      <c r="M64" s="743">
        <f t="array" ref="M64">SUMPRODUCT((INDEX('6. TIẾN ĐỘ MUA HÀNG'!$A:$AT, 0, XMATCH("Phân loại VTBB/NL", '6. TIẾN ĐỘ MUA HÀNG'!$A$4:$AT$4, 0)) = $B64) * (TRIM(INDEX('6. TIẾN ĐỘ MUA HÀNG'!$A:$AT, 0, XMATCH("Tháng", '6. TIẾN ĐỘ MUA HÀNG'!$A$4:$AT$4, 0))) = TRIM(M$6)) * (INDEX('6. TIẾN ĐỘ MUA HÀNG'!$A:$AT, 0, XMATCH("Phân loại VTBB/NL", '6. TIẾN ĐỘ MUA HÀNG'!$A$4:$AT$4, 0)) &lt;&gt; ""))</f>
        <v>0</v>
      </c>
      <c r="N64" s="744">
        <f t="array" ref="N64">SUMPRODUCT(IFERROR(INDEX('6. TIẾN ĐỘ MUA HÀNG'!$A$5:$AT81, 0, XMATCH("Thành tiền đơn hàng", '6. TIẾN ĐỘ MUA HÀNG'!$A$4:$AT$4, 0)), 0) * (INDEX('6. TIẾN ĐỘ MUA HÀNG'!$A$5:$AT81, 0, XMATCH("Phân loại VTBB/NL", '6. TIẾN ĐỘ MUA HÀNG'!$A$4:$AT$4, 0)) = $B64) * (TRIM(INDEX('6. TIẾN ĐỘ MUA HÀNG'!$A$5:$AT81, 0, XMATCH("Tháng", '6. TIẾN ĐỘ MUA HÀNG'!$A$4:$AT$4, 0))) = TRIM(M$6)))</f>
        <v>0</v>
      </c>
      <c r="O64" s="741">
        <f t="array" ref="O64">SUMPRODUCT((INDEX('6. TIẾN ĐỘ MUA HÀNG'!$A:$AT, 0, XMATCH("Phân loại VTBB/NL", '6. TIẾN ĐỘ MUA HÀNG'!$A$4:$AT$4, 0)) = $B64) * (TRIM(INDEX('6. TIẾN ĐỘ MUA HÀNG'!$A:$AT, 0, XMATCH("Tháng", '6. TIẾN ĐỘ MUA HÀNG'!$A$4:$AT$4, 0))) = TRIM($O$6)) * (INDEX('6. TIẾN ĐỘ MUA HÀNG'!$A:$AT, 0, XMATCH("Phân loại VTBB/NL", '6. TIẾN ĐỘ MUA HÀNG'!$A$4:$AT$4, 0)) &lt;&gt; ""))</f>
        <v>0</v>
      </c>
      <c r="P64" s="742">
        <f t="array" ref="P64">SUMPRODUCT(IFERROR(INDEX('6. TIẾN ĐỘ MUA HÀNG'!$A$5:$AT81, 0, XMATCH("Thành tiền đơn hàng", '6. TIẾN ĐỘ MUA HÀNG'!$A$4:$AT$4, 0)), 0) * (INDEX('6. TIẾN ĐỘ MUA HÀNG'!$A$5:$AT81, 0, XMATCH("Phân loại VTBB/NL", '6. TIẾN ĐỘ MUA HÀNG'!$A$4:$AT$4, 0)) = $B64) * (TRIM(INDEX('6. TIẾN ĐỘ MUA HÀNG'!$A$5:$AT81, 0, XMATCH("Tháng", '6. TIẾN ĐỘ MUA HÀNG'!$A$4:$AT$4, 0))) = TRIM(O$6)))</f>
        <v>0</v>
      </c>
      <c r="Q64" s="743">
        <f t="array" ref="Q64">SUMPRODUCT((INDEX('6. TIẾN ĐỘ MUA HÀNG'!$A:$AT, 0, XMATCH("Phân loại VTBB/NL", '6. TIẾN ĐỘ MUA HÀNG'!$A$4:$AT$4, 0)) = $B64) * (TRIM(INDEX('6. TIẾN ĐỘ MUA HÀNG'!$A:$AT, 0, XMATCH("Tháng", '6. TIẾN ĐỘ MUA HÀNG'!$A$4:$AT$4, 0))) = TRIM(Q$6)) * (INDEX('6. TIẾN ĐỘ MUA HÀNG'!$A:$AT, 0, XMATCH("Phân loại VTBB/NL", '6. TIẾN ĐỘ MUA HÀNG'!$A$4:$AT$4, 0)) &lt;&gt; ""))</f>
        <v>0</v>
      </c>
      <c r="R64" s="744">
        <f t="array" ref="R64">SUMPRODUCT(IFERROR(INDEX('6. TIẾN ĐỘ MUA HÀNG'!$A$5:$AT81, 0, XMATCH("Thành tiền đơn hàng", '6. TIẾN ĐỘ MUA HÀNG'!$A$4:$AT$4, 0)), 0) * (INDEX('6. TIẾN ĐỘ MUA HÀNG'!$A$5:$AT81, 0, XMATCH("Phân loại VTBB/NL", '6. TIẾN ĐỘ MUA HÀNG'!$A$4:$AT$4, 0)) = $B64) * (TRIM(INDEX('6. TIẾN ĐỘ MUA HÀNG'!$A$5:$AT81, 0, XMATCH("Tháng", '6. TIẾN ĐỘ MUA HÀNG'!$A$4:$AT$4, 0))) = TRIM(Q$6)))</f>
        <v>0</v>
      </c>
      <c r="S64" s="741">
        <f t="array" ref="S64">SUMPRODUCT((INDEX('6. TIẾN ĐỘ MUA HÀNG'!$A:$AT, 0, XMATCH("Phân loại VTBB/NL", '6. TIẾN ĐỘ MUA HÀNG'!$A$4:$AT$4, 0)) = $B64) * (TRIM(INDEX('6. TIẾN ĐỘ MUA HÀNG'!$A:$AT, 0, XMATCH("Tháng", '6. TIẾN ĐỘ MUA HÀNG'!$A$4:$AT$4, 0))) = TRIM($S$6)) * (INDEX('6. TIẾN ĐỘ MUA HÀNG'!$A:$AT, 0, XMATCH("Phân loại VTBB/NL", '6. TIẾN ĐỘ MUA HÀNG'!$A$4:$AT$4, 0)) &lt;&gt; ""))</f>
        <v>0</v>
      </c>
      <c r="T64" s="742">
        <f t="array" ref="T64">SUMPRODUCT(IFERROR(INDEX('6. TIẾN ĐỘ MUA HÀNG'!$A$5:$AT81, 0, XMATCH("Thành tiền đơn hàng", '6. TIẾN ĐỘ MUA HÀNG'!$A$4:$AT$4, 0)), 0) * (INDEX('6. TIẾN ĐỘ MUA HÀNG'!$A$5:$AT81, 0, XMATCH("Phân loại VTBB/NL", '6. TIẾN ĐỘ MUA HÀNG'!$A$4:$AT$4, 0)) = $B64) * (TRIM(INDEX('6. TIẾN ĐỘ MUA HÀNG'!$A$5:$AT81, 0, XMATCH("Tháng", '6. TIẾN ĐỘ MUA HÀNG'!$A$4:$AT$4, 0))) = TRIM(S$6)))</f>
        <v>0</v>
      </c>
      <c r="U64" s="743">
        <f t="array" ref="U64">SUMPRODUCT((INDEX('6. TIẾN ĐỘ MUA HÀNG'!$A:$AT, 0, XMATCH("Phân loại VTBB/NL", '6. TIẾN ĐỘ MUA HÀNG'!$A$4:$AT$4, 0)) = $B64) * (TRIM(INDEX('6. TIẾN ĐỘ MUA HÀNG'!$A:$AT, 0, XMATCH("Tháng", '6. TIẾN ĐỘ MUA HÀNG'!$A$4:$AT$4, 0))) = TRIM(U$6)) * (INDEX('6. TIẾN ĐỘ MUA HÀNG'!$A:$AT, 0, XMATCH("Phân loại VTBB/NL", '6. TIẾN ĐỘ MUA HÀNG'!$A$4:$AT$4, 0)) &lt;&gt; ""))</f>
        <v>0</v>
      </c>
      <c r="V64" s="744">
        <f t="array" ref="V64">SUMPRODUCT(IFERROR(INDEX('6. TIẾN ĐỘ MUA HÀNG'!$A$5:$AT81, 0, XMATCH("Thành tiền đơn hàng", '6. TIẾN ĐỘ MUA HÀNG'!$A$4:$AT$4, 0)), 0) * (INDEX('6. TIẾN ĐỘ MUA HÀNG'!$A$5:$AT81, 0, XMATCH("Phân loại VTBB/NL", '6. TIẾN ĐỘ MUA HÀNG'!$A$4:$AT$4, 0)) = $B64) * (TRIM(INDEX('6. TIẾN ĐỘ MUA HÀNG'!$A$5:$AT81, 0, XMATCH("Tháng", '6. TIẾN ĐỘ MUA HÀNG'!$A$4:$AT$4, 0))) = TRIM(U$6)))</f>
        <v>0</v>
      </c>
      <c r="W64" s="741">
        <f t="array" ref="W64">SUMPRODUCT((INDEX('6. TIẾN ĐỘ MUA HÀNG'!$A:$AT, 0, XMATCH("Phân loại VTBB/NL", '6. TIẾN ĐỘ MUA HÀNG'!$A$4:$AT$4, 0)) = $B64) * (TRIM(INDEX('6. TIẾN ĐỘ MUA HÀNG'!$A:$AT, 0, XMATCH("Tháng", '6. TIẾN ĐỘ MUA HÀNG'!$A$4:$AT$4, 0))) = TRIM($W$6)) * (INDEX('6. TIẾN ĐỘ MUA HÀNG'!$A:$AT, 0, XMATCH("Phân loại VTBB/NL", '6. TIẾN ĐỘ MUA HÀNG'!$A$4:$AT$4, 0)) &lt;&gt; ""))</f>
        <v>0</v>
      </c>
      <c r="X64" s="742">
        <f t="array" ref="X64">SUMPRODUCT(IFERROR(INDEX('6. TIẾN ĐỘ MUA HÀNG'!$A$5:$AT81, 0, XMATCH("Thành tiền đơn hàng", '6. TIẾN ĐỘ MUA HÀNG'!$A$4:$AT$4, 0)), 0) * (INDEX('6. TIẾN ĐỘ MUA HÀNG'!$A$5:$AT81, 0, XMATCH("Phân loại VTBB/NL", '6. TIẾN ĐỘ MUA HÀNG'!$A$4:$AT$4, 0)) = $B64) * (TRIM(INDEX('6. TIẾN ĐỘ MUA HÀNG'!$A$5:$AT81, 0, XMATCH("Tháng", '6. TIẾN ĐỘ MUA HÀNG'!$A$4:$AT$4, 0))) = TRIM(W$6)))</f>
        <v>0</v>
      </c>
      <c r="Y64" s="743">
        <f t="array" ref="Y64">SUMPRODUCT((INDEX('6. TIẾN ĐỘ MUA HÀNG'!$A:$AT, 0, XMATCH("Phân loại VTBB/NL", '6. TIẾN ĐỘ MUA HÀNG'!$A$4:$AT$4, 0)) = $B64) * (TRIM(INDEX('6. TIẾN ĐỘ MUA HÀNG'!$A:$AT, 0, XMATCH("Tháng", '6. TIẾN ĐỘ MUA HÀNG'!$A$4:$AT$4, 0))) = TRIM(Y$6)) * (INDEX('6. TIẾN ĐỘ MUA HÀNG'!$A:$AT, 0, XMATCH("Phân loại VTBB/NL", '6. TIẾN ĐỘ MUA HÀNG'!$A$4:$AT$4, 0)) &lt;&gt; ""))</f>
        <v>0</v>
      </c>
      <c r="Z64" s="744">
        <f t="array" ref="Z64">SUMPRODUCT(IFERROR(INDEX('6. TIẾN ĐỘ MUA HÀNG'!$A$5:$AT81, 0, XMATCH("Thành tiền đơn hàng", '6. TIẾN ĐỘ MUA HÀNG'!$A$4:$AT$4, 0)), 0) * (INDEX('6. TIẾN ĐỘ MUA HÀNG'!$A$5:$AT81, 0, XMATCH("Phân loại VTBB/NL", '6. TIẾN ĐỘ MUA HÀNG'!$A$4:$AT$4, 0)) = $B64) * (TRIM(INDEX('6. TIẾN ĐỘ MUA HÀNG'!$A$5:$AT81, 0, XMATCH("Tháng", '6. TIẾN ĐỘ MUA HÀNG'!$A$4:$AT$4, 0))) = TRIM(Y$6)))</f>
        <v>0</v>
      </c>
      <c r="AA64" s="726">
        <f t="shared" si="2"/>
        <v>0</v>
      </c>
      <c r="AB64" s="726">
        <f t="shared" si="3"/>
        <v>0</v>
      </c>
    </row>
    <row r="65">
      <c r="A65" s="612">
        <v>57.0</v>
      </c>
      <c r="B65" s="597" t="str">
        <f>IFERROR(__xludf.DUMMYFUNCTION("""COMPUTED_VALUE"""),"Thùng carton 3 lớp")</f>
        <v>Thùng carton 3 lớp</v>
      </c>
      <c r="C65" s="741">
        <f t="array" ref="C65">SUMPRODUCT((INDEX('6. TIẾN ĐỘ MUA HÀNG'!$A:$AT, 0, XMATCH("Phân loại VTBB/NL", '6. TIẾN ĐỘ MUA HÀNG'!$A$4:$AT$4, 0)) = $B65) * (TRIM(INDEX('6. TIẾN ĐỘ MUA HÀNG'!$A:$AT, 0, XMATCH("Tháng", '6. TIẾN ĐỘ MUA HÀNG'!$A$4:$AT$4, 0))) = TRIM($C$6)) * (INDEX('6. TIẾN ĐỘ MUA HÀNG'!$A:$AT, 0, XMATCH("Phân loại VTBB/NL", '6. TIẾN ĐỘ MUA HÀNG'!$A$4:$AT$4, 0)) &lt;&gt; ""))</f>
        <v>0</v>
      </c>
      <c r="D65" s="742">
        <f t="array" ref="D65">SUMPRODUCT(IFERROR(INDEX('6. TIẾN ĐỘ MUA HÀNG'!$A$5:$AT81, 0, XMATCH("Thành tiền đơn hàng", '6. TIẾN ĐỘ MUA HÀNG'!$A$4:$AT$4, 0)), 0) * (INDEX('6. TIẾN ĐỘ MUA HÀNG'!$A$5:$AT81, 0, XMATCH("Phân loại VTBB/NL", '6. TIẾN ĐỘ MUA HÀNG'!$A$4:$AT$4, 0)) = $B65) * (TRIM(INDEX('6. TIẾN ĐỘ MUA HÀNG'!$A$5:$AT81, 0, XMATCH("Tháng", '6. TIẾN ĐỘ MUA HÀNG'!$A$4:$AT$4, 0))) = TRIM(C$6)))</f>
        <v>0</v>
      </c>
      <c r="E65" s="743">
        <f t="array" ref="E65">SUMPRODUCT((INDEX('6. TIẾN ĐỘ MUA HÀNG'!$A:$AT, 0, XMATCH("Phân loại VTBB/NL", '6. TIẾN ĐỘ MUA HÀNG'!$A$4:$AT$4, 0)) = $B65) * (TRIM(INDEX('6. TIẾN ĐỘ MUA HÀNG'!$A:$AT, 0, XMATCH("Tháng", '6. TIẾN ĐỘ MUA HÀNG'!$A$4:$AT$4, 0))) = TRIM(E$6)) * (INDEX('6. TIẾN ĐỘ MUA HÀNG'!$A:$AT, 0, XMATCH("Phân loại VTBB/NL", '6. TIẾN ĐỘ MUA HÀNG'!$A$4:$AT$4, 0)) &lt;&gt; ""))</f>
        <v>0</v>
      </c>
      <c r="F65" s="744">
        <f t="array" ref="F65">SUMPRODUCT(IFERROR(INDEX('6. TIẾN ĐỘ MUA HÀNG'!$A$5:$AT81, 0, XMATCH("Thành tiền đơn hàng", '6. TIẾN ĐỘ MUA HÀNG'!$A$4:$AT$4, 0)), 0) * (INDEX('6. TIẾN ĐỘ MUA HÀNG'!$A$5:$AT81, 0, XMATCH("Phân loại VTBB/NL", '6. TIẾN ĐỘ MUA HÀNG'!$A$4:$AT$4, 0)) = $B65) * (TRIM(INDEX('6. TIẾN ĐỘ MUA HÀNG'!$A$5:$AT81, 0, XMATCH("Tháng", '6. TIẾN ĐỘ MUA HÀNG'!$A$4:$AT$4, 0))) = TRIM(E$6)))</f>
        <v>0</v>
      </c>
      <c r="G65" s="741">
        <f t="array" ref="G65">SUMPRODUCT((INDEX('6. TIẾN ĐỘ MUA HÀNG'!$A:$AT, 0, XMATCH("Phân loại VTBB/NL", '6. TIẾN ĐỘ MUA HÀNG'!$A$4:$AT$4, 0)) = $B65) * (TRIM(INDEX('6. TIẾN ĐỘ MUA HÀNG'!$A:$AT, 0, XMATCH("Tháng", '6. TIẾN ĐỘ MUA HÀNG'!$A$4:$AT$4, 0))) = TRIM($G$6)) * (INDEX('6. TIẾN ĐỘ MUA HÀNG'!$A:$AT, 0, XMATCH("Phân loại VTBB/NL", '6. TIẾN ĐỘ MUA HÀNG'!$A$4:$AT$4, 0)) &lt;&gt; ""))</f>
        <v>0</v>
      </c>
      <c r="H65" s="742">
        <f t="array" ref="H65">SUMPRODUCT(IFERROR(INDEX('6. TIẾN ĐỘ MUA HÀNG'!$A$5:$AT81, 0, XMATCH("Thành tiền đơn hàng", '6. TIẾN ĐỘ MUA HÀNG'!$A$4:$AT$4, 0)), 0) * (INDEX('6. TIẾN ĐỘ MUA HÀNG'!$A$5:$AT81, 0, XMATCH("Phân loại VTBB/NL", '6. TIẾN ĐỘ MUA HÀNG'!$A$4:$AT$4, 0)) = $B65) * (TRIM(INDEX('6. TIẾN ĐỘ MUA HÀNG'!$A$5:$AT81, 0, XMATCH("Tháng", '6. TIẾN ĐỘ MUA HÀNG'!$A$4:$AT$4, 0))) = TRIM(G$6)))</f>
        <v>0</v>
      </c>
      <c r="I65" s="743">
        <f t="array" ref="I65">SUMPRODUCT((INDEX('6. TIẾN ĐỘ MUA HÀNG'!$A:$AT, 0, XMATCH("Phân loại VTBB/NL", '6. TIẾN ĐỘ MUA HÀNG'!$A$4:$AT$4, 0)) = $B65) * (TRIM(INDEX('6. TIẾN ĐỘ MUA HÀNG'!$A:$AT, 0, XMATCH("Tháng", '6. TIẾN ĐỘ MUA HÀNG'!$A$4:$AT$4, 0))) = TRIM(I$6)) * (INDEX('6. TIẾN ĐỘ MUA HÀNG'!$A:$AT, 0, XMATCH("Phân loại VTBB/NL", '6. TIẾN ĐỘ MUA HÀNG'!$A$4:$AT$4, 0)) &lt;&gt; ""))</f>
        <v>0</v>
      </c>
      <c r="J65" s="744">
        <f t="array" ref="J65">SUMPRODUCT(IFERROR(INDEX('6. TIẾN ĐỘ MUA HÀNG'!$A$5:$AT81, 0, XMATCH("Thành tiền đơn hàng", '6. TIẾN ĐỘ MUA HÀNG'!$A$4:$AT$4, 0)), 0) * (INDEX('6. TIẾN ĐỘ MUA HÀNG'!$A$5:$AT81, 0, XMATCH("Phân loại VTBB/NL", '6. TIẾN ĐỘ MUA HÀNG'!$A$4:$AT$4, 0)) = $B65) * (TRIM(INDEX('6. TIẾN ĐỘ MUA HÀNG'!$A$5:$AT81, 0, XMATCH("Tháng", '6. TIẾN ĐỘ MUA HÀNG'!$A$4:$AT$4, 0))) = TRIM(I$6)))</f>
        <v>0</v>
      </c>
      <c r="K65" s="741">
        <f t="array" ref="K65">SUMPRODUCT((INDEX('6. TIẾN ĐỘ MUA HÀNG'!$A:$AT, 0, XMATCH("Phân loại VTBB/NL", '6. TIẾN ĐỘ MUA HÀNG'!$A$4:$AT$4, 0)) = $B65) * (TRIM(INDEX('6. TIẾN ĐỘ MUA HÀNG'!$A:$AT, 0, XMATCH("Tháng", '6. TIẾN ĐỘ MUA HÀNG'!$A$4:$AT$4, 0))) = TRIM($K$6)) * (INDEX('6. TIẾN ĐỘ MUA HÀNG'!$A:$AT, 0, XMATCH("Phân loại VTBB/NL", '6. TIẾN ĐỘ MUA HÀNG'!$A$4:$AT$4, 0)) &lt;&gt; ""))</f>
        <v>0</v>
      </c>
      <c r="L65" s="742">
        <f t="array" ref="L65">SUMPRODUCT(IFERROR(INDEX('6. TIẾN ĐỘ MUA HÀNG'!$A$5:$AT81, 0, XMATCH("Thành tiền đơn hàng", '6. TIẾN ĐỘ MUA HÀNG'!$A$4:$AT$4, 0)), 0) * (INDEX('6. TIẾN ĐỘ MUA HÀNG'!$A$5:$AT81, 0, XMATCH("Phân loại VTBB/NL", '6. TIẾN ĐỘ MUA HÀNG'!$A$4:$AT$4, 0)) = $B65) * (TRIM(INDEX('6. TIẾN ĐỘ MUA HÀNG'!$A$5:$AT81, 0, XMATCH("Tháng", '6. TIẾN ĐỘ MUA HÀNG'!$A$4:$AT$4, 0))) = TRIM(K$6)))</f>
        <v>0</v>
      </c>
      <c r="M65" s="743">
        <f t="array" ref="M65">SUMPRODUCT((INDEX('6. TIẾN ĐỘ MUA HÀNG'!$A:$AT, 0, XMATCH("Phân loại VTBB/NL", '6. TIẾN ĐỘ MUA HÀNG'!$A$4:$AT$4, 0)) = $B65) * (TRIM(INDEX('6. TIẾN ĐỘ MUA HÀNG'!$A:$AT, 0, XMATCH("Tháng", '6. TIẾN ĐỘ MUA HÀNG'!$A$4:$AT$4, 0))) = TRIM(M$6)) * (INDEX('6. TIẾN ĐỘ MUA HÀNG'!$A:$AT, 0, XMATCH("Phân loại VTBB/NL", '6. TIẾN ĐỘ MUA HÀNG'!$A$4:$AT$4, 0)) &lt;&gt; ""))</f>
        <v>0</v>
      </c>
      <c r="N65" s="744">
        <f t="array" ref="N65">SUMPRODUCT(IFERROR(INDEX('6. TIẾN ĐỘ MUA HÀNG'!$A$5:$AT81, 0, XMATCH("Thành tiền đơn hàng", '6. TIẾN ĐỘ MUA HÀNG'!$A$4:$AT$4, 0)), 0) * (INDEX('6. TIẾN ĐỘ MUA HÀNG'!$A$5:$AT81, 0, XMATCH("Phân loại VTBB/NL", '6. TIẾN ĐỘ MUA HÀNG'!$A$4:$AT$4, 0)) = $B65) * (TRIM(INDEX('6. TIẾN ĐỘ MUA HÀNG'!$A$5:$AT81, 0, XMATCH("Tháng", '6. TIẾN ĐỘ MUA HÀNG'!$A$4:$AT$4, 0))) = TRIM(M$6)))</f>
        <v>0</v>
      </c>
      <c r="O65" s="741">
        <f t="array" ref="O65">SUMPRODUCT((INDEX('6. TIẾN ĐỘ MUA HÀNG'!$A:$AT, 0, XMATCH("Phân loại VTBB/NL", '6. TIẾN ĐỘ MUA HÀNG'!$A$4:$AT$4, 0)) = $B65) * (TRIM(INDEX('6. TIẾN ĐỘ MUA HÀNG'!$A:$AT, 0, XMATCH("Tháng", '6. TIẾN ĐỘ MUA HÀNG'!$A$4:$AT$4, 0))) = TRIM($O$6)) * (INDEX('6. TIẾN ĐỘ MUA HÀNG'!$A:$AT, 0, XMATCH("Phân loại VTBB/NL", '6. TIẾN ĐỘ MUA HÀNG'!$A$4:$AT$4, 0)) &lt;&gt; ""))</f>
        <v>0</v>
      </c>
      <c r="P65" s="742">
        <f t="array" ref="P65">SUMPRODUCT(IFERROR(INDEX('6. TIẾN ĐỘ MUA HÀNG'!$A$5:$AT81, 0, XMATCH("Thành tiền đơn hàng", '6. TIẾN ĐỘ MUA HÀNG'!$A$4:$AT$4, 0)), 0) * (INDEX('6. TIẾN ĐỘ MUA HÀNG'!$A$5:$AT81, 0, XMATCH("Phân loại VTBB/NL", '6. TIẾN ĐỘ MUA HÀNG'!$A$4:$AT$4, 0)) = $B65) * (TRIM(INDEX('6. TIẾN ĐỘ MUA HÀNG'!$A$5:$AT81, 0, XMATCH("Tháng", '6. TIẾN ĐỘ MUA HÀNG'!$A$4:$AT$4, 0))) = TRIM(O$6)))</f>
        <v>0</v>
      </c>
      <c r="Q65" s="743">
        <f t="array" ref="Q65">SUMPRODUCT((INDEX('6. TIẾN ĐỘ MUA HÀNG'!$A:$AT, 0, XMATCH("Phân loại VTBB/NL", '6. TIẾN ĐỘ MUA HÀNG'!$A$4:$AT$4, 0)) = $B65) * (TRIM(INDEX('6. TIẾN ĐỘ MUA HÀNG'!$A:$AT, 0, XMATCH("Tháng", '6. TIẾN ĐỘ MUA HÀNG'!$A$4:$AT$4, 0))) = TRIM(Q$6)) * (INDEX('6. TIẾN ĐỘ MUA HÀNG'!$A:$AT, 0, XMATCH("Phân loại VTBB/NL", '6. TIẾN ĐỘ MUA HÀNG'!$A$4:$AT$4, 0)) &lt;&gt; ""))</f>
        <v>0</v>
      </c>
      <c r="R65" s="744">
        <f t="array" ref="R65">SUMPRODUCT(IFERROR(INDEX('6. TIẾN ĐỘ MUA HÀNG'!$A$5:$AT81, 0, XMATCH("Thành tiền đơn hàng", '6. TIẾN ĐỘ MUA HÀNG'!$A$4:$AT$4, 0)), 0) * (INDEX('6. TIẾN ĐỘ MUA HÀNG'!$A$5:$AT81, 0, XMATCH("Phân loại VTBB/NL", '6. TIẾN ĐỘ MUA HÀNG'!$A$4:$AT$4, 0)) = $B65) * (TRIM(INDEX('6. TIẾN ĐỘ MUA HÀNG'!$A$5:$AT81, 0, XMATCH("Tháng", '6. TIẾN ĐỘ MUA HÀNG'!$A$4:$AT$4, 0))) = TRIM(Q$6)))</f>
        <v>0</v>
      </c>
      <c r="S65" s="741">
        <f t="array" ref="S65">SUMPRODUCT((INDEX('6. TIẾN ĐỘ MUA HÀNG'!$A:$AT, 0, XMATCH("Phân loại VTBB/NL", '6. TIẾN ĐỘ MUA HÀNG'!$A$4:$AT$4, 0)) = $B65) * (TRIM(INDEX('6. TIẾN ĐỘ MUA HÀNG'!$A:$AT, 0, XMATCH("Tháng", '6. TIẾN ĐỘ MUA HÀNG'!$A$4:$AT$4, 0))) = TRIM($S$6)) * (INDEX('6. TIẾN ĐỘ MUA HÀNG'!$A:$AT, 0, XMATCH("Phân loại VTBB/NL", '6. TIẾN ĐỘ MUA HÀNG'!$A$4:$AT$4, 0)) &lt;&gt; ""))</f>
        <v>0</v>
      </c>
      <c r="T65" s="742">
        <f t="array" ref="T65">SUMPRODUCT(IFERROR(INDEX('6. TIẾN ĐỘ MUA HÀNG'!$A$5:$AT81, 0, XMATCH("Thành tiền đơn hàng", '6. TIẾN ĐỘ MUA HÀNG'!$A$4:$AT$4, 0)), 0) * (INDEX('6. TIẾN ĐỘ MUA HÀNG'!$A$5:$AT81, 0, XMATCH("Phân loại VTBB/NL", '6. TIẾN ĐỘ MUA HÀNG'!$A$4:$AT$4, 0)) = $B65) * (TRIM(INDEX('6. TIẾN ĐỘ MUA HÀNG'!$A$5:$AT81, 0, XMATCH("Tháng", '6. TIẾN ĐỘ MUA HÀNG'!$A$4:$AT$4, 0))) = TRIM(S$6)))</f>
        <v>0</v>
      </c>
      <c r="U65" s="743">
        <f t="array" ref="U65">SUMPRODUCT((INDEX('6. TIẾN ĐỘ MUA HÀNG'!$A:$AT, 0, XMATCH("Phân loại VTBB/NL", '6. TIẾN ĐỘ MUA HÀNG'!$A$4:$AT$4, 0)) = $B65) * (TRIM(INDEX('6. TIẾN ĐỘ MUA HÀNG'!$A:$AT, 0, XMATCH("Tháng", '6. TIẾN ĐỘ MUA HÀNG'!$A$4:$AT$4, 0))) = TRIM(U$6)) * (INDEX('6. TIẾN ĐỘ MUA HÀNG'!$A:$AT, 0, XMATCH("Phân loại VTBB/NL", '6. TIẾN ĐỘ MUA HÀNG'!$A$4:$AT$4, 0)) &lt;&gt; ""))</f>
        <v>0</v>
      </c>
      <c r="V65" s="744">
        <f t="array" ref="V65">SUMPRODUCT(IFERROR(INDEX('6. TIẾN ĐỘ MUA HÀNG'!$A$5:$AT81, 0, XMATCH("Thành tiền đơn hàng", '6. TIẾN ĐỘ MUA HÀNG'!$A$4:$AT$4, 0)), 0) * (INDEX('6. TIẾN ĐỘ MUA HÀNG'!$A$5:$AT81, 0, XMATCH("Phân loại VTBB/NL", '6. TIẾN ĐỘ MUA HÀNG'!$A$4:$AT$4, 0)) = $B65) * (TRIM(INDEX('6. TIẾN ĐỘ MUA HÀNG'!$A$5:$AT81, 0, XMATCH("Tháng", '6. TIẾN ĐỘ MUA HÀNG'!$A$4:$AT$4, 0))) = TRIM(U$6)))</f>
        <v>0</v>
      </c>
      <c r="W65" s="741">
        <f t="array" ref="W65">SUMPRODUCT((INDEX('6. TIẾN ĐỘ MUA HÀNG'!$A:$AT, 0, XMATCH("Phân loại VTBB/NL", '6. TIẾN ĐỘ MUA HÀNG'!$A$4:$AT$4, 0)) = $B65) * (TRIM(INDEX('6. TIẾN ĐỘ MUA HÀNG'!$A:$AT, 0, XMATCH("Tháng", '6. TIẾN ĐỘ MUA HÀNG'!$A$4:$AT$4, 0))) = TRIM($W$6)) * (INDEX('6. TIẾN ĐỘ MUA HÀNG'!$A:$AT, 0, XMATCH("Phân loại VTBB/NL", '6. TIẾN ĐỘ MUA HÀNG'!$A$4:$AT$4, 0)) &lt;&gt; ""))</f>
        <v>0</v>
      </c>
      <c r="X65" s="742">
        <f t="array" ref="X65">SUMPRODUCT(IFERROR(INDEX('6. TIẾN ĐỘ MUA HÀNG'!$A$5:$AT81, 0, XMATCH("Thành tiền đơn hàng", '6. TIẾN ĐỘ MUA HÀNG'!$A$4:$AT$4, 0)), 0) * (INDEX('6. TIẾN ĐỘ MUA HÀNG'!$A$5:$AT81, 0, XMATCH("Phân loại VTBB/NL", '6. TIẾN ĐỘ MUA HÀNG'!$A$4:$AT$4, 0)) = $B65) * (TRIM(INDEX('6. TIẾN ĐỘ MUA HÀNG'!$A$5:$AT81, 0, XMATCH("Tháng", '6. TIẾN ĐỘ MUA HÀNG'!$A$4:$AT$4, 0))) = TRIM(W$6)))</f>
        <v>0</v>
      </c>
      <c r="Y65" s="743">
        <f t="array" ref="Y65">SUMPRODUCT((INDEX('6. TIẾN ĐỘ MUA HÀNG'!$A:$AT, 0, XMATCH("Phân loại VTBB/NL", '6. TIẾN ĐỘ MUA HÀNG'!$A$4:$AT$4, 0)) = $B65) * (TRIM(INDEX('6. TIẾN ĐỘ MUA HÀNG'!$A:$AT, 0, XMATCH("Tháng", '6. TIẾN ĐỘ MUA HÀNG'!$A$4:$AT$4, 0))) = TRIM(Y$6)) * (INDEX('6. TIẾN ĐỘ MUA HÀNG'!$A:$AT, 0, XMATCH("Phân loại VTBB/NL", '6. TIẾN ĐỘ MUA HÀNG'!$A$4:$AT$4, 0)) &lt;&gt; ""))</f>
        <v>0</v>
      </c>
      <c r="Z65" s="744">
        <f t="array" ref="Z65">SUMPRODUCT(IFERROR(INDEX('6. TIẾN ĐỘ MUA HÀNG'!$A$5:$AT81, 0, XMATCH("Thành tiền đơn hàng", '6. TIẾN ĐỘ MUA HÀNG'!$A$4:$AT$4, 0)), 0) * (INDEX('6. TIẾN ĐỘ MUA HÀNG'!$A$5:$AT81, 0, XMATCH("Phân loại VTBB/NL", '6. TIẾN ĐỘ MUA HÀNG'!$A$4:$AT$4, 0)) = $B65) * (TRIM(INDEX('6. TIẾN ĐỘ MUA HÀNG'!$A$5:$AT81, 0, XMATCH("Tháng", '6. TIẾN ĐỘ MUA HÀNG'!$A$4:$AT$4, 0))) = TRIM(Y$6)))</f>
        <v>0</v>
      </c>
      <c r="AA65" s="726">
        <f t="shared" si="2"/>
        <v>0</v>
      </c>
      <c r="AB65" s="726">
        <f t="shared" si="3"/>
        <v>0</v>
      </c>
    </row>
    <row r="66">
      <c r="A66" s="612">
        <v>58.0</v>
      </c>
      <c r="B66" s="597" t="str">
        <f>IFERROR(__xludf.DUMMYFUNCTION("""COMPUTED_VALUE"""),"Lon HDPE")</f>
        <v>Lon HDPE</v>
      </c>
      <c r="C66" s="741">
        <f t="array" ref="C66">SUMPRODUCT((INDEX('6. TIẾN ĐỘ MUA HÀNG'!$A:$AT, 0, XMATCH("Phân loại VTBB/NL", '6. TIẾN ĐỘ MUA HÀNG'!$A$4:$AT$4, 0)) = $B66) * (TRIM(INDEX('6. TIẾN ĐỘ MUA HÀNG'!$A:$AT, 0, XMATCH("Tháng", '6. TIẾN ĐỘ MUA HÀNG'!$A$4:$AT$4, 0))) = TRIM($C$6)) * (INDEX('6. TIẾN ĐỘ MUA HÀNG'!$A:$AT, 0, XMATCH("Phân loại VTBB/NL", '6. TIẾN ĐỘ MUA HÀNG'!$A$4:$AT$4, 0)) &lt;&gt; ""))</f>
        <v>0</v>
      </c>
      <c r="D66" s="742">
        <f t="array" ref="D66">SUMPRODUCT(IFERROR(INDEX('6. TIẾN ĐỘ MUA HÀNG'!$A$5:$AT81, 0, XMATCH("Thành tiền đơn hàng", '6. TIẾN ĐỘ MUA HÀNG'!$A$4:$AT$4, 0)), 0) * (INDEX('6. TIẾN ĐỘ MUA HÀNG'!$A$5:$AT81, 0, XMATCH("Phân loại VTBB/NL", '6. TIẾN ĐỘ MUA HÀNG'!$A$4:$AT$4, 0)) = $B66) * (TRIM(INDEX('6. TIẾN ĐỘ MUA HÀNG'!$A$5:$AT81, 0, XMATCH("Tháng", '6. TIẾN ĐỘ MUA HÀNG'!$A$4:$AT$4, 0))) = TRIM(C$6)))</f>
        <v>0</v>
      </c>
      <c r="E66" s="743">
        <f t="array" ref="E66">SUMPRODUCT((INDEX('6. TIẾN ĐỘ MUA HÀNG'!$A:$AT, 0, XMATCH("Phân loại VTBB/NL", '6. TIẾN ĐỘ MUA HÀNG'!$A$4:$AT$4, 0)) = $B66) * (TRIM(INDEX('6. TIẾN ĐỘ MUA HÀNG'!$A:$AT, 0, XMATCH("Tháng", '6. TIẾN ĐỘ MUA HÀNG'!$A$4:$AT$4, 0))) = TRIM(E$6)) * (INDEX('6. TIẾN ĐỘ MUA HÀNG'!$A:$AT, 0, XMATCH("Phân loại VTBB/NL", '6. TIẾN ĐỘ MUA HÀNG'!$A$4:$AT$4, 0)) &lt;&gt; ""))</f>
        <v>0</v>
      </c>
      <c r="F66" s="744">
        <f t="array" ref="F66">SUMPRODUCT(IFERROR(INDEX('6. TIẾN ĐỘ MUA HÀNG'!$A$5:$AT81, 0, XMATCH("Thành tiền đơn hàng", '6. TIẾN ĐỘ MUA HÀNG'!$A$4:$AT$4, 0)), 0) * (INDEX('6. TIẾN ĐỘ MUA HÀNG'!$A$5:$AT81, 0, XMATCH("Phân loại VTBB/NL", '6. TIẾN ĐỘ MUA HÀNG'!$A$4:$AT$4, 0)) = $B66) * (TRIM(INDEX('6. TIẾN ĐỘ MUA HÀNG'!$A$5:$AT81, 0, XMATCH("Tháng", '6. TIẾN ĐỘ MUA HÀNG'!$A$4:$AT$4, 0))) = TRIM(E$6)))</f>
        <v>0</v>
      </c>
      <c r="G66" s="741">
        <f t="array" ref="G66">SUMPRODUCT((INDEX('6. TIẾN ĐỘ MUA HÀNG'!$A:$AT, 0, XMATCH("Phân loại VTBB/NL", '6. TIẾN ĐỘ MUA HÀNG'!$A$4:$AT$4, 0)) = $B66) * (TRIM(INDEX('6. TIẾN ĐỘ MUA HÀNG'!$A:$AT, 0, XMATCH("Tháng", '6. TIẾN ĐỘ MUA HÀNG'!$A$4:$AT$4, 0))) = TRIM($G$6)) * (INDEX('6. TIẾN ĐỘ MUA HÀNG'!$A:$AT, 0, XMATCH("Phân loại VTBB/NL", '6. TIẾN ĐỘ MUA HÀNG'!$A$4:$AT$4, 0)) &lt;&gt; ""))</f>
        <v>0</v>
      </c>
      <c r="H66" s="742">
        <f t="array" ref="H66">SUMPRODUCT(IFERROR(INDEX('6. TIẾN ĐỘ MUA HÀNG'!$A$5:$AT81, 0, XMATCH("Thành tiền đơn hàng", '6. TIẾN ĐỘ MUA HÀNG'!$A$4:$AT$4, 0)), 0) * (INDEX('6. TIẾN ĐỘ MUA HÀNG'!$A$5:$AT81, 0, XMATCH("Phân loại VTBB/NL", '6. TIẾN ĐỘ MUA HÀNG'!$A$4:$AT$4, 0)) = $B66) * (TRIM(INDEX('6. TIẾN ĐỘ MUA HÀNG'!$A$5:$AT81, 0, XMATCH("Tháng", '6. TIẾN ĐỘ MUA HÀNG'!$A$4:$AT$4, 0))) = TRIM(G$6)))</f>
        <v>0</v>
      </c>
      <c r="I66" s="743">
        <f t="array" ref="I66">SUMPRODUCT((INDEX('6. TIẾN ĐỘ MUA HÀNG'!$A:$AT, 0, XMATCH("Phân loại VTBB/NL", '6. TIẾN ĐỘ MUA HÀNG'!$A$4:$AT$4, 0)) = $B66) * (TRIM(INDEX('6. TIẾN ĐỘ MUA HÀNG'!$A:$AT, 0, XMATCH("Tháng", '6. TIẾN ĐỘ MUA HÀNG'!$A$4:$AT$4, 0))) = TRIM(I$6)) * (INDEX('6. TIẾN ĐỘ MUA HÀNG'!$A:$AT, 0, XMATCH("Phân loại VTBB/NL", '6. TIẾN ĐỘ MUA HÀNG'!$A$4:$AT$4, 0)) &lt;&gt; ""))</f>
        <v>0</v>
      </c>
      <c r="J66" s="744">
        <f t="array" ref="J66">SUMPRODUCT(IFERROR(INDEX('6. TIẾN ĐỘ MUA HÀNG'!$A$5:$AT81, 0, XMATCH("Thành tiền đơn hàng", '6. TIẾN ĐỘ MUA HÀNG'!$A$4:$AT$4, 0)), 0) * (INDEX('6. TIẾN ĐỘ MUA HÀNG'!$A$5:$AT81, 0, XMATCH("Phân loại VTBB/NL", '6. TIẾN ĐỘ MUA HÀNG'!$A$4:$AT$4, 0)) = $B66) * (TRIM(INDEX('6. TIẾN ĐỘ MUA HÀNG'!$A$5:$AT81, 0, XMATCH("Tháng", '6. TIẾN ĐỘ MUA HÀNG'!$A$4:$AT$4, 0))) = TRIM(I$6)))</f>
        <v>0</v>
      </c>
      <c r="K66" s="741">
        <f t="array" ref="K66">SUMPRODUCT((INDEX('6. TIẾN ĐỘ MUA HÀNG'!$A:$AT, 0, XMATCH("Phân loại VTBB/NL", '6. TIẾN ĐỘ MUA HÀNG'!$A$4:$AT$4, 0)) = $B66) * (TRIM(INDEX('6. TIẾN ĐỘ MUA HÀNG'!$A:$AT, 0, XMATCH("Tháng", '6. TIẾN ĐỘ MUA HÀNG'!$A$4:$AT$4, 0))) = TRIM($K$6)) * (INDEX('6. TIẾN ĐỘ MUA HÀNG'!$A:$AT, 0, XMATCH("Phân loại VTBB/NL", '6. TIẾN ĐỘ MUA HÀNG'!$A$4:$AT$4, 0)) &lt;&gt; ""))</f>
        <v>0</v>
      </c>
      <c r="L66" s="742">
        <f t="array" ref="L66">SUMPRODUCT(IFERROR(INDEX('6. TIẾN ĐỘ MUA HÀNG'!$A$5:$AT81, 0, XMATCH("Thành tiền đơn hàng", '6. TIẾN ĐỘ MUA HÀNG'!$A$4:$AT$4, 0)), 0) * (INDEX('6. TIẾN ĐỘ MUA HÀNG'!$A$5:$AT81, 0, XMATCH("Phân loại VTBB/NL", '6. TIẾN ĐỘ MUA HÀNG'!$A$4:$AT$4, 0)) = $B66) * (TRIM(INDEX('6. TIẾN ĐỘ MUA HÀNG'!$A$5:$AT81, 0, XMATCH("Tháng", '6. TIẾN ĐỘ MUA HÀNG'!$A$4:$AT$4, 0))) = TRIM(K$6)))</f>
        <v>0</v>
      </c>
      <c r="M66" s="743">
        <f t="array" ref="M66">SUMPRODUCT((INDEX('6. TIẾN ĐỘ MUA HÀNG'!$A:$AT, 0, XMATCH("Phân loại VTBB/NL", '6. TIẾN ĐỘ MUA HÀNG'!$A$4:$AT$4, 0)) = $B66) * (TRIM(INDEX('6. TIẾN ĐỘ MUA HÀNG'!$A:$AT, 0, XMATCH("Tháng", '6. TIẾN ĐỘ MUA HÀNG'!$A$4:$AT$4, 0))) = TRIM(M$6)) * (INDEX('6. TIẾN ĐỘ MUA HÀNG'!$A:$AT, 0, XMATCH("Phân loại VTBB/NL", '6. TIẾN ĐỘ MUA HÀNG'!$A$4:$AT$4, 0)) &lt;&gt; ""))</f>
        <v>0</v>
      </c>
      <c r="N66" s="744">
        <f t="array" ref="N66">SUMPRODUCT(IFERROR(INDEX('6. TIẾN ĐỘ MUA HÀNG'!$A$5:$AT81, 0, XMATCH("Thành tiền đơn hàng", '6. TIẾN ĐỘ MUA HÀNG'!$A$4:$AT$4, 0)), 0) * (INDEX('6. TIẾN ĐỘ MUA HÀNG'!$A$5:$AT81, 0, XMATCH("Phân loại VTBB/NL", '6. TIẾN ĐỘ MUA HÀNG'!$A$4:$AT$4, 0)) = $B66) * (TRIM(INDEX('6. TIẾN ĐỘ MUA HÀNG'!$A$5:$AT81, 0, XMATCH("Tháng", '6. TIẾN ĐỘ MUA HÀNG'!$A$4:$AT$4, 0))) = TRIM(M$6)))</f>
        <v>0</v>
      </c>
      <c r="O66" s="741">
        <f t="array" ref="O66">SUMPRODUCT((INDEX('6. TIẾN ĐỘ MUA HÀNG'!$A:$AT, 0, XMATCH("Phân loại VTBB/NL", '6. TIẾN ĐỘ MUA HÀNG'!$A$4:$AT$4, 0)) = $B66) * (TRIM(INDEX('6. TIẾN ĐỘ MUA HÀNG'!$A:$AT, 0, XMATCH("Tháng", '6. TIẾN ĐỘ MUA HÀNG'!$A$4:$AT$4, 0))) = TRIM($O$6)) * (INDEX('6. TIẾN ĐỘ MUA HÀNG'!$A:$AT, 0, XMATCH("Phân loại VTBB/NL", '6. TIẾN ĐỘ MUA HÀNG'!$A$4:$AT$4, 0)) &lt;&gt; ""))</f>
        <v>0</v>
      </c>
      <c r="P66" s="742">
        <f t="array" ref="P66">SUMPRODUCT(IFERROR(INDEX('6. TIẾN ĐỘ MUA HÀNG'!$A$5:$AT81, 0, XMATCH("Thành tiền đơn hàng", '6. TIẾN ĐỘ MUA HÀNG'!$A$4:$AT$4, 0)), 0) * (INDEX('6. TIẾN ĐỘ MUA HÀNG'!$A$5:$AT81, 0, XMATCH("Phân loại VTBB/NL", '6. TIẾN ĐỘ MUA HÀNG'!$A$4:$AT$4, 0)) = $B66) * (TRIM(INDEX('6. TIẾN ĐỘ MUA HÀNG'!$A$5:$AT81, 0, XMATCH("Tháng", '6. TIẾN ĐỘ MUA HÀNG'!$A$4:$AT$4, 0))) = TRIM(O$6)))</f>
        <v>0</v>
      </c>
      <c r="Q66" s="743">
        <f t="array" ref="Q66">SUMPRODUCT((INDEX('6. TIẾN ĐỘ MUA HÀNG'!$A:$AT, 0, XMATCH("Phân loại VTBB/NL", '6. TIẾN ĐỘ MUA HÀNG'!$A$4:$AT$4, 0)) = $B66) * (TRIM(INDEX('6. TIẾN ĐỘ MUA HÀNG'!$A:$AT, 0, XMATCH("Tháng", '6. TIẾN ĐỘ MUA HÀNG'!$A$4:$AT$4, 0))) = TRIM(Q$6)) * (INDEX('6. TIẾN ĐỘ MUA HÀNG'!$A:$AT, 0, XMATCH("Phân loại VTBB/NL", '6. TIẾN ĐỘ MUA HÀNG'!$A$4:$AT$4, 0)) &lt;&gt; ""))</f>
        <v>0</v>
      </c>
      <c r="R66" s="744">
        <f t="array" ref="R66">SUMPRODUCT(IFERROR(INDEX('6. TIẾN ĐỘ MUA HÀNG'!$A$5:$AT81, 0, XMATCH("Thành tiền đơn hàng", '6. TIẾN ĐỘ MUA HÀNG'!$A$4:$AT$4, 0)), 0) * (INDEX('6. TIẾN ĐỘ MUA HÀNG'!$A$5:$AT81, 0, XMATCH("Phân loại VTBB/NL", '6. TIẾN ĐỘ MUA HÀNG'!$A$4:$AT$4, 0)) = $B66) * (TRIM(INDEX('6. TIẾN ĐỘ MUA HÀNG'!$A$5:$AT81, 0, XMATCH("Tháng", '6. TIẾN ĐỘ MUA HÀNG'!$A$4:$AT$4, 0))) = TRIM(Q$6)))</f>
        <v>0</v>
      </c>
      <c r="S66" s="741">
        <f t="array" ref="S66">SUMPRODUCT((INDEX('6. TIẾN ĐỘ MUA HÀNG'!$A:$AT, 0, XMATCH("Phân loại VTBB/NL", '6. TIẾN ĐỘ MUA HÀNG'!$A$4:$AT$4, 0)) = $B66) * (TRIM(INDEX('6. TIẾN ĐỘ MUA HÀNG'!$A:$AT, 0, XMATCH("Tháng", '6. TIẾN ĐỘ MUA HÀNG'!$A$4:$AT$4, 0))) = TRIM($S$6)) * (INDEX('6. TIẾN ĐỘ MUA HÀNG'!$A:$AT, 0, XMATCH("Phân loại VTBB/NL", '6. TIẾN ĐỘ MUA HÀNG'!$A$4:$AT$4, 0)) &lt;&gt; ""))</f>
        <v>0</v>
      </c>
      <c r="T66" s="742">
        <f t="array" ref="T66">SUMPRODUCT(IFERROR(INDEX('6. TIẾN ĐỘ MUA HÀNG'!$A$5:$AT81, 0, XMATCH("Thành tiền đơn hàng", '6. TIẾN ĐỘ MUA HÀNG'!$A$4:$AT$4, 0)), 0) * (INDEX('6. TIẾN ĐỘ MUA HÀNG'!$A$5:$AT81, 0, XMATCH("Phân loại VTBB/NL", '6. TIẾN ĐỘ MUA HÀNG'!$A$4:$AT$4, 0)) = $B66) * (TRIM(INDEX('6. TIẾN ĐỘ MUA HÀNG'!$A$5:$AT81, 0, XMATCH("Tháng", '6. TIẾN ĐỘ MUA HÀNG'!$A$4:$AT$4, 0))) = TRIM(S$6)))</f>
        <v>0</v>
      </c>
      <c r="U66" s="743">
        <f t="array" ref="U66">SUMPRODUCT((INDEX('6. TIẾN ĐỘ MUA HÀNG'!$A:$AT, 0, XMATCH("Phân loại VTBB/NL", '6. TIẾN ĐỘ MUA HÀNG'!$A$4:$AT$4, 0)) = $B66) * (TRIM(INDEX('6. TIẾN ĐỘ MUA HÀNG'!$A:$AT, 0, XMATCH("Tháng", '6. TIẾN ĐỘ MUA HÀNG'!$A$4:$AT$4, 0))) = TRIM(U$6)) * (INDEX('6. TIẾN ĐỘ MUA HÀNG'!$A:$AT, 0, XMATCH("Phân loại VTBB/NL", '6. TIẾN ĐỘ MUA HÀNG'!$A$4:$AT$4, 0)) &lt;&gt; ""))</f>
        <v>0</v>
      </c>
      <c r="V66" s="744">
        <f t="array" ref="V66">SUMPRODUCT(IFERROR(INDEX('6. TIẾN ĐỘ MUA HÀNG'!$A$5:$AT81, 0, XMATCH("Thành tiền đơn hàng", '6. TIẾN ĐỘ MUA HÀNG'!$A$4:$AT$4, 0)), 0) * (INDEX('6. TIẾN ĐỘ MUA HÀNG'!$A$5:$AT81, 0, XMATCH("Phân loại VTBB/NL", '6. TIẾN ĐỘ MUA HÀNG'!$A$4:$AT$4, 0)) = $B66) * (TRIM(INDEX('6. TIẾN ĐỘ MUA HÀNG'!$A$5:$AT81, 0, XMATCH("Tháng", '6. TIẾN ĐỘ MUA HÀNG'!$A$4:$AT$4, 0))) = TRIM(U$6)))</f>
        <v>0</v>
      </c>
      <c r="W66" s="741">
        <f t="array" ref="W66">SUMPRODUCT((INDEX('6. TIẾN ĐỘ MUA HÀNG'!$A:$AT, 0, XMATCH("Phân loại VTBB/NL", '6. TIẾN ĐỘ MUA HÀNG'!$A$4:$AT$4, 0)) = $B66) * (TRIM(INDEX('6. TIẾN ĐỘ MUA HÀNG'!$A:$AT, 0, XMATCH("Tháng", '6. TIẾN ĐỘ MUA HÀNG'!$A$4:$AT$4, 0))) = TRIM($W$6)) * (INDEX('6. TIẾN ĐỘ MUA HÀNG'!$A:$AT, 0, XMATCH("Phân loại VTBB/NL", '6. TIẾN ĐỘ MUA HÀNG'!$A$4:$AT$4, 0)) &lt;&gt; ""))</f>
        <v>0</v>
      </c>
      <c r="X66" s="742">
        <f t="array" ref="X66">SUMPRODUCT(IFERROR(INDEX('6. TIẾN ĐỘ MUA HÀNG'!$A$5:$AT81, 0, XMATCH("Thành tiền đơn hàng", '6. TIẾN ĐỘ MUA HÀNG'!$A$4:$AT$4, 0)), 0) * (INDEX('6. TIẾN ĐỘ MUA HÀNG'!$A$5:$AT81, 0, XMATCH("Phân loại VTBB/NL", '6. TIẾN ĐỘ MUA HÀNG'!$A$4:$AT$4, 0)) = $B66) * (TRIM(INDEX('6. TIẾN ĐỘ MUA HÀNG'!$A$5:$AT81, 0, XMATCH("Tháng", '6. TIẾN ĐỘ MUA HÀNG'!$A$4:$AT$4, 0))) = TRIM(W$6)))</f>
        <v>0</v>
      </c>
      <c r="Y66" s="743">
        <f t="array" ref="Y66">SUMPRODUCT((INDEX('6. TIẾN ĐỘ MUA HÀNG'!$A:$AT, 0, XMATCH("Phân loại VTBB/NL", '6. TIẾN ĐỘ MUA HÀNG'!$A$4:$AT$4, 0)) = $B66) * (TRIM(INDEX('6. TIẾN ĐỘ MUA HÀNG'!$A:$AT, 0, XMATCH("Tháng", '6. TIẾN ĐỘ MUA HÀNG'!$A$4:$AT$4, 0))) = TRIM(Y$6)) * (INDEX('6. TIẾN ĐỘ MUA HÀNG'!$A:$AT, 0, XMATCH("Phân loại VTBB/NL", '6. TIẾN ĐỘ MUA HÀNG'!$A$4:$AT$4, 0)) &lt;&gt; ""))</f>
        <v>0</v>
      </c>
      <c r="Z66" s="744">
        <f t="array" ref="Z66">SUMPRODUCT(IFERROR(INDEX('6. TIẾN ĐỘ MUA HÀNG'!$A$5:$AT81, 0, XMATCH("Thành tiền đơn hàng", '6. TIẾN ĐỘ MUA HÀNG'!$A$4:$AT$4, 0)), 0) * (INDEX('6. TIẾN ĐỘ MUA HÀNG'!$A$5:$AT81, 0, XMATCH("Phân loại VTBB/NL", '6. TIẾN ĐỘ MUA HÀNG'!$A$4:$AT$4, 0)) = $B66) * (TRIM(INDEX('6. TIẾN ĐỘ MUA HÀNG'!$A$5:$AT81, 0, XMATCH("Tháng", '6. TIẾN ĐỘ MUA HÀNG'!$A$4:$AT$4, 0))) = TRIM(Y$6)))</f>
        <v>0</v>
      </c>
      <c r="AA66" s="726">
        <f t="shared" si="2"/>
        <v>0</v>
      </c>
      <c r="AB66" s="726">
        <f t="shared" si="3"/>
        <v>0</v>
      </c>
    </row>
    <row r="67">
      <c r="A67" s="612">
        <v>59.0</v>
      </c>
      <c r="B67" s="597" t="str">
        <f>IFERROR(__xludf.DUMMYFUNCTION("""COMPUTED_VALUE"""),"Bao PP")</f>
        <v>Bao PP</v>
      </c>
      <c r="C67" s="741">
        <f t="array" ref="C67">SUMPRODUCT((INDEX('6. TIẾN ĐỘ MUA HÀNG'!$A:$AT, 0, XMATCH("Phân loại VTBB/NL", '6. TIẾN ĐỘ MUA HÀNG'!$A$4:$AT$4, 0)) = $B67) * (TRIM(INDEX('6. TIẾN ĐỘ MUA HÀNG'!$A:$AT, 0, XMATCH("Tháng", '6. TIẾN ĐỘ MUA HÀNG'!$A$4:$AT$4, 0))) = TRIM($C$6)) * (INDEX('6. TIẾN ĐỘ MUA HÀNG'!$A:$AT, 0, XMATCH("Phân loại VTBB/NL", '6. TIẾN ĐỘ MUA HÀNG'!$A$4:$AT$4, 0)) &lt;&gt; ""))</f>
        <v>0</v>
      </c>
      <c r="D67" s="742">
        <f t="array" ref="D67">SUMPRODUCT(IFERROR(INDEX('6. TIẾN ĐỘ MUA HÀNG'!$A$5:$AT81, 0, XMATCH("Thành tiền đơn hàng", '6. TIẾN ĐỘ MUA HÀNG'!$A$4:$AT$4, 0)), 0) * (INDEX('6. TIẾN ĐỘ MUA HÀNG'!$A$5:$AT81, 0, XMATCH("Phân loại VTBB/NL", '6. TIẾN ĐỘ MUA HÀNG'!$A$4:$AT$4, 0)) = $B67) * (TRIM(INDEX('6. TIẾN ĐỘ MUA HÀNG'!$A$5:$AT81, 0, XMATCH("Tháng", '6. TIẾN ĐỘ MUA HÀNG'!$A$4:$AT$4, 0))) = TRIM(C$6)))</f>
        <v>0</v>
      </c>
      <c r="E67" s="743">
        <f t="array" ref="E67">SUMPRODUCT((INDEX('6. TIẾN ĐỘ MUA HÀNG'!$A:$AT, 0, XMATCH("Phân loại VTBB/NL", '6. TIẾN ĐỘ MUA HÀNG'!$A$4:$AT$4, 0)) = $B67) * (TRIM(INDEX('6. TIẾN ĐỘ MUA HÀNG'!$A:$AT, 0, XMATCH("Tháng", '6. TIẾN ĐỘ MUA HÀNG'!$A$4:$AT$4, 0))) = TRIM(E$6)) * (INDEX('6. TIẾN ĐỘ MUA HÀNG'!$A:$AT, 0, XMATCH("Phân loại VTBB/NL", '6. TIẾN ĐỘ MUA HÀNG'!$A$4:$AT$4, 0)) &lt;&gt; ""))</f>
        <v>0</v>
      </c>
      <c r="F67" s="744">
        <f t="array" ref="F67">SUMPRODUCT(IFERROR(INDEX('6. TIẾN ĐỘ MUA HÀNG'!$A$5:$AT81, 0, XMATCH("Thành tiền đơn hàng", '6. TIẾN ĐỘ MUA HÀNG'!$A$4:$AT$4, 0)), 0) * (INDEX('6. TIẾN ĐỘ MUA HÀNG'!$A$5:$AT81, 0, XMATCH("Phân loại VTBB/NL", '6. TIẾN ĐỘ MUA HÀNG'!$A$4:$AT$4, 0)) = $B67) * (TRIM(INDEX('6. TIẾN ĐỘ MUA HÀNG'!$A$5:$AT81, 0, XMATCH("Tháng", '6. TIẾN ĐỘ MUA HÀNG'!$A$4:$AT$4, 0))) = TRIM(E$6)))</f>
        <v>0</v>
      </c>
      <c r="G67" s="741">
        <f t="array" ref="G67">SUMPRODUCT((INDEX('6. TIẾN ĐỘ MUA HÀNG'!$A:$AT, 0, XMATCH("Phân loại VTBB/NL", '6. TIẾN ĐỘ MUA HÀNG'!$A$4:$AT$4, 0)) = $B67) * (TRIM(INDEX('6. TIẾN ĐỘ MUA HÀNG'!$A:$AT, 0, XMATCH("Tháng", '6. TIẾN ĐỘ MUA HÀNG'!$A$4:$AT$4, 0))) = TRIM($G$6)) * (INDEX('6. TIẾN ĐỘ MUA HÀNG'!$A:$AT, 0, XMATCH("Phân loại VTBB/NL", '6. TIẾN ĐỘ MUA HÀNG'!$A$4:$AT$4, 0)) &lt;&gt; ""))</f>
        <v>0</v>
      </c>
      <c r="H67" s="742">
        <f t="array" ref="H67">SUMPRODUCT(IFERROR(INDEX('6. TIẾN ĐỘ MUA HÀNG'!$A$5:$AT81, 0, XMATCH("Thành tiền đơn hàng", '6. TIẾN ĐỘ MUA HÀNG'!$A$4:$AT$4, 0)), 0) * (INDEX('6. TIẾN ĐỘ MUA HÀNG'!$A$5:$AT81, 0, XMATCH("Phân loại VTBB/NL", '6. TIẾN ĐỘ MUA HÀNG'!$A$4:$AT$4, 0)) = $B67) * (TRIM(INDEX('6. TIẾN ĐỘ MUA HÀNG'!$A$5:$AT81, 0, XMATCH("Tháng", '6. TIẾN ĐỘ MUA HÀNG'!$A$4:$AT$4, 0))) = TRIM(G$6)))</f>
        <v>0</v>
      </c>
      <c r="I67" s="743">
        <f t="array" ref="I67">SUMPRODUCT((INDEX('6. TIẾN ĐỘ MUA HÀNG'!$A:$AT, 0, XMATCH("Phân loại VTBB/NL", '6. TIẾN ĐỘ MUA HÀNG'!$A$4:$AT$4, 0)) = $B67) * (TRIM(INDEX('6. TIẾN ĐỘ MUA HÀNG'!$A:$AT, 0, XMATCH("Tháng", '6. TIẾN ĐỘ MUA HÀNG'!$A$4:$AT$4, 0))) = TRIM(I$6)) * (INDEX('6. TIẾN ĐỘ MUA HÀNG'!$A:$AT, 0, XMATCH("Phân loại VTBB/NL", '6. TIẾN ĐỘ MUA HÀNG'!$A$4:$AT$4, 0)) &lt;&gt; ""))</f>
        <v>0</v>
      </c>
      <c r="J67" s="744">
        <f t="array" ref="J67">SUMPRODUCT(IFERROR(INDEX('6. TIẾN ĐỘ MUA HÀNG'!$A$5:$AT81, 0, XMATCH("Thành tiền đơn hàng", '6. TIẾN ĐỘ MUA HÀNG'!$A$4:$AT$4, 0)), 0) * (INDEX('6. TIẾN ĐỘ MUA HÀNG'!$A$5:$AT81, 0, XMATCH("Phân loại VTBB/NL", '6. TIẾN ĐỘ MUA HÀNG'!$A$4:$AT$4, 0)) = $B67) * (TRIM(INDEX('6. TIẾN ĐỘ MUA HÀNG'!$A$5:$AT81, 0, XMATCH("Tháng", '6. TIẾN ĐỘ MUA HÀNG'!$A$4:$AT$4, 0))) = TRIM(I$6)))</f>
        <v>0</v>
      </c>
      <c r="K67" s="741">
        <f t="array" ref="K67">SUMPRODUCT((INDEX('6. TIẾN ĐỘ MUA HÀNG'!$A:$AT, 0, XMATCH("Phân loại VTBB/NL", '6. TIẾN ĐỘ MUA HÀNG'!$A$4:$AT$4, 0)) = $B67) * (TRIM(INDEX('6. TIẾN ĐỘ MUA HÀNG'!$A:$AT, 0, XMATCH("Tháng", '6. TIẾN ĐỘ MUA HÀNG'!$A$4:$AT$4, 0))) = TRIM($K$6)) * (INDEX('6. TIẾN ĐỘ MUA HÀNG'!$A:$AT, 0, XMATCH("Phân loại VTBB/NL", '6. TIẾN ĐỘ MUA HÀNG'!$A$4:$AT$4, 0)) &lt;&gt; ""))</f>
        <v>0</v>
      </c>
      <c r="L67" s="742">
        <f t="array" ref="L67">SUMPRODUCT(IFERROR(INDEX('6. TIẾN ĐỘ MUA HÀNG'!$A$5:$AT81, 0, XMATCH("Thành tiền đơn hàng", '6. TIẾN ĐỘ MUA HÀNG'!$A$4:$AT$4, 0)), 0) * (INDEX('6. TIẾN ĐỘ MUA HÀNG'!$A$5:$AT81, 0, XMATCH("Phân loại VTBB/NL", '6. TIẾN ĐỘ MUA HÀNG'!$A$4:$AT$4, 0)) = $B67) * (TRIM(INDEX('6. TIẾN ĐỘ MUA HÀNG'!$A$5:$AT81, 0, XMATCH("Tháng", '6. TIẾN ĐỘ MUA HÀNG'!$A$4:$AT$4, 0))) = TRIM(K$6)))</f>
        <v>0</v>
      </c>
      <c r="M67" s="743">
        <f t="array" ref="M67">SUMPRODUCT((INDEX('6. TIẾN ĐỘ MUA HÀNG'!$A:$AT, 0, XMATCH("Phân loại VTBB/NL", '6. TIẾN ĐỘ MUA HÀNG'!$A$4:$AT$4, 0)) = $B67) * (TRIM(INDEX('6. TIẾN ĐỘ MUA HÀNG'!$A:$AT, 0, XMATCH("Tháng", '6. TIẾN ĐỘ MUA HÀNG'!$A$4:$AT$4, 0))) = TRIM(M$6)) * (INDEX('6. TIẾN ĐỘ MUA HÀNG'!$A:$AT, 0, XMATCH("Phân loại VTBB/NL", '6. TIẾN ĐỘ MUA HÀNG'!$A$4:$AT$4, 0)) &lt;&gt; ""))</f>
        <v>0</v>
      </c>
      <c r="N67" s="744">
        <f t="array" ref="N67">SUMPRODUCT(IFERROR(INDEX('6. TIẾN ĐỘ MUA HÀNG'!$A$5:$AT81, 0, XMATCH("Thành tiền đơn hàng", '6. TIẾN ĐỘ MUA HÀNG'!$A$4:$AT$4, 0)), 0) * (INDEX('6. TIẾN ĐỘ MUA HÀNG'!$A$5:$AT81, 0, XMATCH("Phân loại VTBB/NL", '6. TIẾN ĐỘ MUA HÀNG'!$A$4:$AT$4, 0)) = $B67) * (TRIM(INDEX('6. TIẾN ĐỘ MUA HÀNG'!$A$5:$AT81, 0, XMATCH("Tháng", '6. TIẾN ĐỘ MUA HÀNG'!$A$4:$AT$4, 0))) = TRIM(M$6)))</f>
        <v>0</v>
      </c>
      <c r="O67" s="741">
        <f t="array" ref="O67">SUMPRODUCT((INDEX('6. TIẾN ĐỘ MUA HÀNG'!$A:$AT, 0, XMATCH("Phân loại VTBB/NL", '6. TIẾN ĐỘ MUA HÀNG'!$A$4:$AT$4, 0)) = $B67) * (TRIM(INDEX('6. TIẾN ĐỘ MUA HÀNG'!$A:$AT, 0, XMATCH("Tháng", '6. TIẾN ĐỘ MUA HÀNG'!$A$4:$AT$4, 0))) = TRIM($O$6)) * (INDEX('6. TIẾN ĐỘ MUA HÀNG'!$A:$AT, 0, XMATCH("Phân loại VTBB/NL", '6. TIẾN ĐỘ MUA HÀNG'!$A$4:$AT$4, 0)) &lt;&gt; ""))</f>
        <v>0</v>
      </c>
      <c r="P67" s="742">
        <f t="array" ref="P67">SUMPRODUCT(IFERROR(INDEX('6. TIẾN ĐỘ MUA HÀNG'!$A$5:$AT81, 0, XMATCH("Thành tiền đơn hàng", '6. TIẾN ĐỘ MUA HÀNG'!$A$4:$AT$4, 0)), 0) * (INDEX('6. TIẾN ĐỘ MUA HÀNG'!$A$5:$AT81, 0, XMATCH("Phân loại VTBB/NL", '6. TIẾN ĐỘ MUA HÀNG'!$A$4:$AT$4, 0)) = $B67) * (TRIM(INDEX('6. TIẾN ĐỘ MUA HÀNG'!$A$5:$AT81, 0, XMATCH("Tháng", '6. TIẾN ĐỘ MUA HÀNG'!$A$4:$AT$4, 0))) = TRIM(O$6)))</f>
        <v>0</v>
      </c>
      <c r="Q67" s="743">
        <f t="array" ref="Q67">SUMPRODUCT((INDEX('6. TIẾN ĐỘ MUA HÀNG'!$A:$AT, 0, XMATCH("Phân loại VTBB/NL", '6. TIẾN ĐỘ MUA HÀNG'!$A$4:$AT$4, 0)) = $B67) * (TRIM(INDEX('6. TIẾN ĐỘ MUA HÀNG'!$A:$AT, 0, XMATCH("Tháng", '6. TIẾN ĐỘ MUA HÀNG'!$A$4:$AT$4, 0))) = TRIM(Q$6)) * (INDEX('6. TIẾN ĐỘ MUA HÀNG'!$A:$AT, 0, XMATCH("Phân loại VTBB/NL", '6. TIẾN ĐỘ MUA HÀNG'!$A$4:$AT$4, 0)) &lt;&gt; ""))</f>
        <v>0</v>
      </c>
      <c r="R67" s="744">
        <f t="array" ref="R67">SUMPRODUCT(IFERROR(INDEX('6. TIẾN ĐỘ MUA HÀNG'!$A$5:$AT81, 0, XMATCH("Thành tiền đơn hàng", '6. TIẾN ĐỘ MUA HÀNG'!$A$4:$AT$4, 0)), 0) * (INDEX('6. TIẾN ĐỘ MUA HÀNG'!$A$5:$AT81, 0, XMATCH("Phân loại VTBB/NL", '6. TIẾN ĐỘ MUA HÀNG'!$A$4:$AT$4, 0)) = $B67) * (TRIM(INDEX('6. TIẾN ĐỘ MUA HÀNG'!$A$5:$AT81, 0, XMATCH("Tháng", '6. TIẾN ĐỘ MUA HÀNG'!$A$4:$AT$4, 0))) = TRIM(Q$6)))</f>
        <v>0</v>
      </c>
      <c r="S67" s="741">
        <f t="array" ref="S67">SUMPRODUCT((INDEX('6. TIẾN ĐỘ MUA HÀNG'!$A:$AT, 0, XMATCH("Phân loại VTBB/NL", '6. TIẾN ĐỘ MUA HÀNG'!$A$4:$AT$4, 0)) = $B67) * (TRIM(INDEX('6. TIẾN ĐỘ MUA HÀNG'!$A:$AT, 0, XMATCH("Tháng", '6. TIẾN ĐỘ MUA HÀNG'!$A$4:$AT$4, 0))) = TRIM($S$6)) * (INDEX('6. TIẾN ĐỘ MUA HÀNG'!$A:$AT, 0, XMATCH("Phân loại VTBB/NL", '6. TIẾN ĐỘ MUA HÀNG'!$A$4:$AT$4, 0)) &lt;&gt; ""))</f>
        <v>0</v>
      </c>
      <c r="T67" s="742">
        <f t="array" ref="T67">SUMPRODUCT(IFERROR(INDEX('6. TIẾN ĐỘ MUA HÀNG'!$A$5:$AT81, 0, XMATCH("Thành tiền đơn hàng", '6. TIẾN ĐỘ MUA HÀNG'!$A$4:$AT$4, 0)), 0) * (INDEX('6. TIẾN ĐỘ MUA HÀNG'!$A$5:$AT81, 0, XMATCH("Phân loại VTBB/NL", '6. TIẾN ĐỘ MUA HÀNG'!$A$4:$AT$4, 0)) = $B67) * (TRIM(INDEX('6. TIẾN ĐỘ MUA HÀNG'!$A$5:$AT81, 0, XMATCH("Tháng", '6. TIẾN ĐỘ MUA HÀNG'!$A$4:$AT$4, 0))) = TRIM(S$6)))</f>
        <v>0</v>
      </c>
      <c r="U67" s="743">
        <f t="array" ref="U67">SUMPRODUCT((INDEX('6. TIẾN ĐỘ MUA HÀNG'!$A:$AT, 0, XMATCH("Phân loại VTBB/NL", '6. TIẾN ĐỘ MUA HÀNG'!$A$4:$AT$4, 0)) = $B67) * (TRIM(INDEX('6. TIẾN ĐỘ MUA HÀNG'!$A:$AT, 0, XMATCH("Tháng", '6. TIẾN ĐỘ MUA HÀNG'!$A$4:$AT$4, 0))) = TRIM(U$6)) * (INDEX('6. TIẾN ĐỘ MUA HÀNG'!$A:$AT, 0, XMATCH("Phân loại VTBB/NL", '6. TIẾN ĐỘ MUA HÀNG'!$A$4:$AT$4, 0)) &lt;&gt; ""))</f>
        <v>0</v>
      </c>
      <c r="V67" s="744">
        <f t="array" ref="V67">SUMPRODUCT(IFERROR(INDEX('6. TIẾN ĐỘ MUA HÀNG'!$A$5:$AT81, 0, XMATCH("Thành tiền đơn hàng", '6. TIẾN ĐỘ MUA HÀNG'!$A$4:$AT$4, 0)), 0) * (INDEX('6. TIẾN ĐỘ MUA HÀNG'!$A$5:$AT81, 0, XMATCH("Phân loại VTBB/NL", '6. TIẾN ĐỘ MUA HÀNG'!$A$4:$AT$4, 0)) = $B67) * (TRIM(INDEX('6. TIẾN ĐỘ MUA HÀNG'!$A$5:$AT81, 0, XMATCH("Tháng", '6. TIẾN ĐỘ MUA HÀNG'!$A$4:$AT$4, 0))) = TRIM(U$6)))</f>
        <v>0</v>
      </c>
      <c r="W67" s="741">
        <f t="array" ref="W67">SUMPRODUCT((INDEX('6. TIẾN ĐỘ MUA HÀNG'!$A:$AT, 0, XMATCH("Phân loại VTBB/NL", '6. TIẾN ĐỘ MUA HÀNG'!$A$4:$AT$4, 0)) = $B67) * (TRIM(INDEX('6. TIẾN ĐỘ MUA HÀNG'!$A:$AT, 0, XMATCH("Tháng", '6. TIẾN ĐỘ MUA HÀNG'!$A$4:$AT$4, 0))) = TRIM($W$6)) * (INDEX('6. TIẾN ĐỘ MUA HÀNG'!$A:$AT, 0, XMATCH("Phân loại VTBB/NL", '6. TIẾN ĐỘ MUA HÀNG'!$A$4:$AT$4, 0)) &lt;&gt; ""))</f>
        <v>0</v>
      </c>
      <c r="X67" s="742">
        <f t="array" ref="X67">SUMPRODUCT(IFERROR(INDEX('6. TIẾN ĐỘ MUA HÀNG'!$A$5:$AT81, 0, XMATCH("Thành tiền đơn hàng", '6. TIẾN ĐỘ MUA HÀNG'!$A$4:$AT$4, 0)), 0) * (INDEX('6. TIẾN ĐỘ MUA HÀNG'!$A$5:$AT81, 0, XMATCH("Phân loại VTBB/NL", '6. TIẾN ĐỘ MUA HÀNG'!$A$4:$AT$4, 0)) = $B67) * (TRIM(INDEX('6. TIẾN ĐỘ MUA HÀNG'!$A$5:$AT81, 0, XMATCH("Tháng", '6. TIẾN ĐỘ MUA HÀNG'!$A$4:$AT$4, 0))) = TRIM(W$6)))</f>
        <v>0</v>
      </c>
      <c r="Y67" s="743">
        <f t="array" ref="Y67">SUMPRODUCT((INDEX('6. TIẾN ĐỘ MUA HÀNG'!$A:$AT, 0, XMATCH("Phân loại VTBB/NL", '6. TIẾN ĐỘ MUA HÀNG'!$A$4:$AT$4, 0)) = $B67) * (TRIM(INDEX('6. TIẾN ĐỘ MUA HÀNG'!$A:$AT, 0, XMATCH("Tháng", '6. TIẾN ĐỘ MUA HÀNG'!$A$4:$AT$4, 0))) = TRIM(Y$6)) * (INDEX('6. TIẾN ĐỘ MUA HÀNG'!$A:$AT, 0, XMATCH("Phân loại VTBB/NL", '6. TIẾN ĐỘ MUA HÀNG'!$A$4:$AT$4, 0)) &lt;&gt; ""))</f>
        <v>0</v>
      </c>
      <c r="Z67" s="744">
        <f t="array" ref="Z67">SUMPRODUCT(IFERROR(INDEX('6. TIẾN ĐỘ MUA HÀNG'!$A$5:$AT81, 0, XMATCH("Thành tiền đơn hàng", '6. TIẾN ĐỘ MUA HÀNG'!$A$4:$AT$4, 0)), 0) * (INDEX('6. TIẾN ĐỘ MUA HÀNG'!$A$5:$AT81, 0, XMATCH("Phân loại VTBB/NL", '6. TIẾN ĐỘ MUA HÀNG'!$A$4:$AT$4, 0)) = $B67) * (TRIM(INDEX('6. TIẾN ĐỘ MUA HÀNG'!$A$5:$AT81, 0, XMATCH("Tháng", '6. TIẾN ĐỘ MUA HÀNG'!$A$4:$AT$4, 0))) = TRIM(Y$6)))</f>
        <v>0</v>
      </c>
      <c r="AA67" s="726">
        <f t="shared" si="2"/>
        <v>0</v>
      </c>
      <c r="AB67" s="726">
        <f t="shared" si="3"/>
        <v>0</v>
      </c>
    </row>
    <row r="68">
      <c r="A68" s="612">
        <v>60.0</v>
      </c>
      <c r="B68" s="597" t="str">
        <f>IFERROR(__xludf.DUMMYFUNCTION("""COMPUTED_VALUE"""),"Bao PE")</f>
        <v>Bao PE</v>
      </c>
      <c r="C68" s="741">
        <f t="array" ref="C68">SUMPRODUCT((INDEX('6. TIẾN ĐỘ MUA HÀNG'!$A:$AT, 0, XMATCH("Phân loại VTBB/NL", '6. TIẾN ĐỘ MUA HÀNG'!$A$4:$AT$4, 0)) = $B68) * (TRIM(INDEX('6. TIẾN ĐỘ MUA HÀNG'!$A:$AT, 0, XMATCH("Tháng", '6. TIẾN ĐỘ MUA HÀNG'!$A$4:$AT$4, 0))) = TRIM($C$6)) * (INDEX('6. TIẾN ĐỘ MUA HÀNG'!$A:$AT, 0, XMATCH("Phân loại VTBB/NL", '6. TIẾN ĐỘ MUA HÀNG'!$A$4:$AT$4, 0)) &lt;&gt; ""))</f>
        <v>0</v>
      </c>
      <c r="D68" s="742">
        <f t="array" ref="D68">SUMPRODUCT(IFERROR(INDEX('6. TIẾN ĐỘ MUA HÀNG'!$A$5:$AT81, 0, XMATCH("Thành tiền đơn hàng", '6. TIẾN ĐỘ MUA HÀNG'!$A$4:$AT$4, 0)), 0) * (INDEX('6. TIẾN ĐỘ MUA HÀNG'!$A$5:$AT81, 0, XMATCH("Phân loại VTBB/NL", '6. TIẾN ĐỘ MUA HÀNG'!$A$4:$AT$4, 0)) = $B68) * (TRIM(INDEX('6. TIẾN ĐỘ MUA HÀNG'!$A$5:$AT81, 0, XMATCH("Tháng", '6. TIẾN ĐỘ MUA HÀNG'!$A$4:$AT$4, 0))) = TRIM(C$6)))</f>
        <v>0</v>
      </c>
      <c r="E68" s="743">
        <f t="array" ref="E68">SUMPRODUCT((INDEX('6. TIẾN ĐỘ MUA HÀNG'!$A:$AT, 0, XMATCH("Phân loại VTBB/NL", '6. TIẾN ĐỘ MUA HÀNG'!$A$4:$AT$4, 0)) = $B68) * (TRIM(INDEX('6. TIẾN ĐỘ MUA HÀNG'!$A:$AT, 0, XMATCH("Tháng", '6. TIẾN ĐỘ MUA HÀNG'!$A$4:$AT$4, 0))) = TRIM(E$6)) * (INDEX('6. TIẾN ĐỘ MUA HÀNG'!$A:$AT, 0, XMATCH("Phân loại VTBB/NL", '6. TIẾN ĐỘ MUA HÀNG'!$A$4:$AT$4, 0)) &lt;&gt; ""))</f>
        <v>0</v>
      </c>
      <c r="F68" s="744">
        <f t="array" ref="F68">SUMPRODUCT(IFERROR(INDEX('6. TIẾN ĐỘ MUA HÀNG'!$A$5:$AT81, 0, XMATCH("Thành tiền đơn hàng", '6. TIẾN ĐỘ MUA HÀNG'!$A$4:$AT$4, 0)), 0) * (INDEX('6. TIẾN ĐỘ MUA HÀNG'!$A$5:$AT81, 0, XMATCH("Phân loại VTBB/NL", '6. TIẾN ĐỘ MUA HÀNG'!$A$4:$AT$4, 0)) = $B68) * (TRIM(INDEX('6. TIẾN ĐỘ MUA HÀNG'!$A$5:$AT81, 0, XMATCH("Tháng", '6. TIẾN ĐỘ MUA HÀNG'!$A$4:$AT$4, 0))) = TRIM(E$6)))</f>
        <v>0</v>
      </c>
      <c r="G68" s="741">
        <f t="array" ref="G68">SUMPRODUCT((INDEX('6. TIẾN ĐỘ MUA HÀNG'!$A:$AT, 0, XMATCH("Phân loại VTBB/NL", '6. TIẾN ĐỘ MUA HÀNG'!$A$4:$AT$4, 0)) = $B68) * (TRIM(INDEX('6. TIẾN ĐỘ MUA HÀNG'!$A:$AT, 0, XMATCH("Tháng", '6. TIẾN ĐỘ MUA HÀNG'!$A$4:$AT$4, 0))) = TRIM($G$6)) * (INDEX('6. TIẾN ĐỘ MUA HÀNG'!$A:$AT, 0, XMATCH("Phân loại VTBB/NL", '6. TIẾN ĐỘ MUA HÀNG'!$A$4:$AT$4, 0)) &lt;&gt; ""))</f>
        <v>0</v>
      </c>
      <c r="H68" s="742">
        <f t="array" ref="H68">SUMPRODUCT(IFERROR(INDEX('6. TIẾN ĐỘ MUA HÀNG'!$A$5:$AT81, 0, XMATCH("Thành tiền đơn hàng", '6. TIẾN ĐỘ MUA HÀNG'!$A$4:$AT$4, 0)), 0) * (INDEX('6. TIẾN ĐỘ MUA HÀNG'!$A$5:$AT81, 0, XMATCH("Phân loại VTBB/NL", '6. TIẾN ĐỘ MUA HÀNG'!$A$4:$AT$4, 0)) = $B68) * (TRIM(INDEX('6. TIẾN ĐỘ MUA HÀNG'!$A$5:$AT81, 0, XMATCH("Tháng", '6. TIẾN ĐỘ MUA HÀNG'!$A$4:$AT$4, 0))) = TRIM(G$6)))</f>
        <v>0</v>
      </c>
      <c r="I68" s="743">
        <f t="array" ref="I68">SUMPRODUCT((INDEX('6. TIẾN ĐỘ MUA HÀNG'!$A:$AT, 0, XMATCH("Phân loại VTBB/NL", '6. TIẾN ĐỘ MUA HÀNG'!$A$4:$AT$4, 0)) = $B68) * (TRIM(INDEX('6. TIẾN ĐỘ MUA HÀNG'!$A:$AT, 0, XMATCH("Tháng", '6. TIẾN ĐỘ MUA HÀNG'!$A$4:$AT$4, 0))) = TRIM(I$6)) * (INDEX('6. TIẾN ĐỘ MUA HÀNG'!$A:$AT, 0, XMATCH("Phân loại VTBB/NL", '6. TIẾN ĐỘ MUA HÀNG'!$A$4:$AT$4, 0)) &lt;&gt; ""))</f>
        <v>0</v>
      </c>
      <c r="J68" s="744">
        <f t="array" ref="J68">SUMPRODUCT(IFERROR(INDEX('6. TIẾN ĐỘ MUA HÀNG'!$A$5:$AT81, 0, XMATCH("Thành tiền đơn hàng", '6. TIẾN ĐỘ MUA HÀNG'!$A$4:$AT$4, 0)), 0) * (INDEX('6. TIẾN ĐỘ MUA HÀNG'!$A$5:$AT81, 0, XMATCH("Phân loại VTBB/NL", '6. TIẾN ĐỘ MUA HÀNG'!$A$4:$AT$4, 0)) = $B68) * (TRIM(INDEX('6. TIẾN ĐỘ MUA HÀNG'!$A$5:$AT81, 0, XMATCH("Tháng", '6. TIẾN ĐỘ MUA HÀNG'!$A$4:$AT$4, 0))) = TRIM(I$6)))</f>
        <v>0</v>
      </c>
      <c r="K68" s="741">
        <f t="array" ref="K68">SUMPRODUCT((INDEX('6. TIẾN ĐỘ MUA HÀNG'!$A:$AT, 0, XMATCH("Phân loại VTBB/NL", '6. TIẾN ĐỘ MUA HÀNG'!$A$4:$AT$4, 0)) = $B68) * (TRIM(INDEX('6. TIẾN ĐỘ MUA HÀNG'!$A:$AT, 0, XMATCH("Tháng", '6. TIẾN ĐỘ MUA HÀNG'!$A$4:$AT$4, 0))) = TRIM($K$6)) * (INDEX('6. TIẾN ĐỘ MUA HÀNG'!$A:$AT, 0, XMATCH("Phân loại VTBB/NL", '6. TIẾN ĐỘ MUA HÀNG'!$A$4:$AT$4, 0)) &lt;&gt; ""))</f>
        <v>0</v>
      </c>
      <c r="L68" s="742">
        <f t="array" ref="L68">SUMPRODUCT(IFERROR(INDEX('6. TIẾN ĐỘ MUA HÀNG'!$A$5:$AT81, 0, XMATCH("Thành tiền đơn hàng", '6. TIẾN ĐỘ MUA HÀNG'!$A$4:$AT$4, 0)), 0) * (INDEX('6. TIẾN ĐỘ MUA HÀNG'!$A$5:$AT81, 0, XMATCH("Phân loại VTBB/NL", '6. TIẾN ĐỘ MUA HÀNG'!$A$4:$AT$4, 0)) = $B68) * (TRIM(INDEX('6. TIẾN ĐỘ MUA HÀNG'!$A$5:$AT81, 0, XMATCH("Tháng", '6. TIẾN ĐỘ MUA HÀNG'!$A$4:$AT$4, 0))) = TRIM(K$6)))</f>
        <v>0</v>
      </c>
      <c r="M68" s="743">
        <f t="array" ref="M68">SUMPRODUCT((INDEX('6. TIẾN ĐỘ MUA HÀNG'!$A:$AT, 0, XMATCH("Phân loại VTBB/NL", '6. TIẾN ĐỘ MUA HÀNG'!$A$4:$AT$4, 0)) = $B68) * (TRIM(INDEX('6. TIẾN ĐỘ MUA HÀNG'!$A:$AT, 0, XMATCH("Tháng", '6. TIẾN ĐỘ MUA HÀNG'!$A$4:$AT$4, 0))) = TRIM(M$6)) * (INDEX('6. TIẾN ĐỘ MUA HÀNG'!$A:$AT, 0, XMATCH("Phân loại VTBB/NL", '6. TIẾN ĐỘ MUA HÀNG'!$A$4:$AT$4, 0)) &lt;&gt; ""))</f>
        <v>0</v>
      </c>
      <c r="N68" s="744">
        <f t="array" ref="N68">SUMPRODUCT(IFERROR(INDEX('6. TIẾN ĐỘ MUA HÀNG'!$A$5:$AT81, 0, XMATCH("Thành tiền đơn hàng", '6. TIẾN ĐỘ MUA HÀNG'!$A$4:$AT$4, 0)), 0) * (INDEX('6. TIẾN ĐỘ MUA HÀNG'!$A$5:$AT81, 0, XMATCH("Phân loại VTBB/NL", '6. TIẾN ĐỘ MUA HÀNG'!$A$4:$AT$4, 0)) = $B68) * (TRIM(INDEX('6. TIẾN ĐỘ MUA HÀNG'!$A$5:$AT81, 0, XMATCH("Tháng", '6. TIẾN ĐỘ MUA HÀNG'!$A$4:$AT$4, 0))) = TRIM(M$6)))</f>
        <v>0</v>
      </c>
      <c r="O68" s="741">
        <f t="array" ref="O68">SUMPRODUCT((INDEX('6. TIẾN ĐỘ MUA HÀNG'!$A:$AT, 0, XMATCH("Phân loại VTBB/NL", '6. TIẾN ĐỘ MUA HÀNG'!$A$4:$AT$4, 0)) = $B68) * (TRIM(INDEX('6. TIẾN ĐỘ MUA HÀNG'!$A:$AT, 0, XMATCH("Tháng", '6. TIẾN ĐỘ MUA HÀNG'!$A$4:$AT$4, 0))) = TRIM($O$6)) * (INDEX('6. TIẾN ĐỘ MUA HÀNG'!$A:$AT, 0, XMATCH("Phân loại VTBB/NL", '6. TIẾN ĐỘ MUA HÀNG'!$A$4:$AT$4, 0)) &lt;&gt; ""))</f>
        <v>0</v>
      </c>
      <c r="P68" s="742">
        <f t="array" ref="P68">SUMPRODUCT(IFERROR(INDEX('6. TIẾN ĐỘ MUA HÀNG'!$A$5:$AT81, 0, XMATCH("Thành tiền đơn hàng", '6. TIẾN ĐỘ MUA HÀNG'!$A$4:$AT$4, 0)), 0) * (INDEX('6. TIẾN ĐỘ MUA HÀNG'!$A$5:$AT81, 0, XMATCH("Phân loại VTBB/NL", '6. TIẾN ĐỘ MUA HÀNG'!$A$4:$AT$4, 0)) = $B68) * (TRIM(INDEX('6. TIẾN ĐỘ MUA HÀNG'!$A$5:$AT81, 0, XMATCH("Tháng", '6. TIẾN ĐỘ MUA HÀNG'!$A$4:$AT$4, 0))) = TRIM(O$6)))</f>
        <v>0</v>
      </c>
      <c r="Q68" s="743">
        <f t="array" ref="Q68">SUMPRODUCT((INDEX('6. TIẾN ĐỘ MUA HÀNG'!$A:$AT, 0, XMATCH("Phân loại VTBB/NL", '6. TIẾN ĐỘ MUA HÀNG'!$A$4:$AT$4, 0)) = $B68) * (TRIM(INDEX('6. TIẾN ĐỘ MUA HÀNG'!$A:$AT, 0, XMATCH("Tháng", '6. TIẾN ĐỘ MUA HÀNG'!$A$4:$AT$4, 0))) = TRIM(Q$6)) * (INDEX('6. TIẾN ĐỘ MUA HÀNG'!$A:$AT, 0, XMATCH("Phân loại VTBB/NL", '6. TIẾN ĐỘ MUA HÀNG'!$A$4:$AT$4, 0)) &lt;&gt; ""))</f>
        <v>0</v>
      </c>
      <c r="R68" s="744">
        <f t="array" ref="R68">SUMPRODUCT(IFERROR(INDEX('6. TIẾN ĐỘ MUA HÀNG'!$A$5:$AT81, 0, XMATCH("Thành tiền đơn hàng", '6. TIẾN ĐỘ MUA HÀNG'!$A$4:$AT$4, 0)), 0) * (INDEX('6. TIẾN ĐỘ MUA HÀNG'!$A$5:$AT81, 0, XMATCH("Phân loại VTBB/NL", '6. TIẾN ĐỘ MUA HÀNG'!$A$4:$AT$4, 0)) = $B68) * (TRIM(INDEX('6. TIẾN ĐỘ MUA HÀNG'!$A$5:$AT81, 0, XMATCH("Tháng", '6. TIẾN ĐỘ MUA HÀNG'!$A$4:$AT$4, 0))) = TRIM(Q$6)))</f>
        <v>0</v>
      </c>
      <c r="S68" s="741">
        <f t="array" ref="S68">SUMPRODUCT((INDEX('6. TIẾN ĐỘ MUA HÀNG'!$A:$AT, 0, XMATCH("Phân loại VTBB/NL", '6. TIẾN ĐỘ MUA HÀNG'!$A$4:$AT$4, 0)) = $B68) * (TRIM(INDEX('6. TIẾN ĐỘ MUA HÀNG'!$A:$AT, 0, XMATCH("Tháng", '6. TIẾN ĐỘ MUA HÀNG'!$A$4:$AT$4, 0))) = TRIM($S$6)) * (INDEX('6. TIẾN ĐỘ MUA HÀNG'!$A:$AT, 0, XMATCH("Phân loại VTBB/NL", '6. TIẾN ĐỘ MUA HÀNG'!$A$4:$AT$4, 0)) &lt;&gt; ""))</f>
        <v>0</v>
      </c>
      <c r="T68" s="742">
        <f t="array" ref="T68">SUMPRODUCT(IFERROR(INDEX('6. TIẾN ĐỘ MUA HÀNG'!$A$5:$AT81, 0, XMATCH("Thành tiền đơn hàng", '6. TIẾN ĐỘ MUA HÀNG'!$A$4:$AT$4, 0)), 0) * (INDEX('6. TIẾN ĐỘ MUA HÀNG'!$A$5:$AT81, 0, XMATCH("Phân loại VTBB/NL", '6. TIẾN ĐỘ MUA HÀNG'!$A$4:$AT$4, 0)) = $B68) * (TRIM(INDEX('6. TIẾN ĐỘ MUA HÀNG'!$A$5:$AT81, 0, XMATCH("Tháng", '6. TIẾN ĐỘ MUA HÀNG'!$A$4:$AT$4, 0))) = TRIM(S$6)))</f>
        <v>0</v>
      </c>
      <c r="U68" s="743">
        <f t="array" ref="U68">SUMPRODUCT((INDEX('6. TIẾN ĐỘ MUA HÀNG'!$A:$AT, 0, XMATCH("Phân loại VTBB/NL", '6. TIẾN ĐỘ MUA HÀNG'!$A$4:$AT$4, 0)) = $B68) * (TRIM(INDEX('6. TIẾN ĐỘ MUA HÀNG'!$A:$AT, 0, XMATCH("Tháng", '6. TIẾN ĐỘ MUA HÀNG'!$A$4:$AT$4, 0))) = TRIM(U$6)) * (INDEX('6. TIẾN ĐỘ MUA HÀNG'!$A:$AT, 0, XMATCH("Phân loại VTBB/NL", '6. TIẾN ĐỘ MUA HÀNG'!$A$4:$AT$4, 0)) &lt;&gt; ""))</f>
        <v>0</v>
      </c>
      <c r="V68" s="744">
        <f t="array" ref="V68">SUMPRODUCT(IFERROR(INDEX('6. TIẾN ĐỘ MUA HÀNG'!$A$5:$AT81, 0, XMATCH("Thành tiền đơn hàng", '6. TIẾN ĐỘ MUA HÀNG'!$A$4:$AT$4, 0)), 0) * (INDEX('6. TIẾN ĐỘ MUA HÀNG'!$A$5:$AT81, 0, XMATCH("Phân loại VTBB/NL", '6. TIẾN ĐỘ MUA HÀNG'!$A$4:$AT$4, 0)) = $B68) * (TRIM(INDEX('6. TIẾN ĐỘ MUA HÀNG'!$A$5:$AT81, 0, XMATCH("Tháng", '6. TIẾN ĐỘ MUA HÀNG'!$A$4:$AT$4, 0))) = TRIM(U$6)))</f>
        <v>0</v>
      </c>
      <c r="W68" s="741">
        <f t="array" ref="W68">SUMPRODUCT((INDEX('6. TIẾN ĐỘ MUA HÀNG'!$A:$AT, 0, XMATCH("Phân loại VTBB/NL", '6. TIẾN ĐỘ MUA HÀNG'!$A$4:$AT$4, 0)) = $B68) * (TRIM(INDEX('6. TIẾN ĐỘ MUA HÀNG'!$A:$AT, 0, XMATCH("Tháng", '6. TIẾN ĐỘ MUA HÀNG'!$A$4:$AT$4, 0))) = TRIM($W$6)) * (INDEX('6. TIẾN ĐỘ MUA HÀNG'!$A:$AT, 0, XMATCH("Phân loại VTBB/NL", '6. TIẾN ĐỘ MUA HÀNG'!$A$4:$AT$4, 0)) &lt;&gt; ""))</f>
        <v>0</v>
      </c>
      <c r="X68" s="742">
        <f t="array" ref="X68">SUMPRODUCT(IFERROR(INDEX('6. TIẾN ĐỘ MUA HÀNG'!$A$5:$AT81, 0, XMATCH("Thành tiền đơn hàng", '6. TIẾN ĐỘ MUA HÀNG'!$A$4:$AT$4, 0)), 0) * (INDEX('6. TIẾN ĐỘ MUA HÀNG'!$A$5:$AT81, 0, XMATCH("Phân loại VTBB/NL", '6. TIẾN ĐỘ MUA HÀNG'!$A$4:$AT$4, 0)) = $B68) * (TRIM(INDEX('6. TIẾN ĐỘ MUA HÀNG'!$A$5:$AT81, 0, XMATCH("Tháng", '6. TIẾN ĐỘ MUA HÀNG'!$A$4:$AT$4, 0))) = TRIM(W$6)))</f>
        <v>0</v>
      </c>
      <c r="Y68" s="743">
        <f t="array" ref="Y68">SUMPRODUCT((INDEX('6. TIẾN ĐỘ MUA HÀNG'!$A:$AT, 0, XMATCH("Phân loại VTBB/NL", '6. TIẾN ĐỘ MUA HÀNG'!$A$4:$AT$4, 0)) = $B68) * (TRIM(INDEX('6. TIẾN ĐỘ MUA HÀNG'!$A:$AT, 0, XMATCH("Tháng", '6. TIẾN ĐỘ MUA HÀNG'!$A$4:$AT$4, 0))) = TRIM(Y$6)) * (INDEX('6. TIẾN ĐỘ MUA HÀNG'!$A:$AT, 0, XMATCH("Phân loại VTBB/NL", '6. TIẾN ĐỘ MUA HÀNG'!$A$4:$AT$4, 0)) &lt;&gt; ""))</f>
        <v>0</v>
      </c>
      <c r="Z68" s="744">
        <f t="array" ref="Z68">SUMPRODUCT(IFERROR(INDEX('6. TIẾN ĐỘ MUA HÀNG'!$A$5:$AT81, 0, XMATCH("Thành tiền đơn hàng", '6. TIẾN ĐỘ MUA HÀNG'!$A$4:$AT$4, 0)), 0) * (INDEX('6. TIẾN ĐỘ MUA HÀNG'!$A$5:$AT81, 0, XMATCH("Phân loại VTBB/NL", '6. TIẾN ĐỘ MUA HÀNG'!$A$4:$AT$4, 0)) = $B68) * (TRIM(INDEX('6. TIẾN ĐỘ MUA HÀNG'!$A$5:$AT81, 0, XMATCH("Tháng", '6. TIẾN ĐỘ MUA HÀNG'!$A$4:$AT$4, 0))) = TRIM(Y$6)))</f>
        <v>0</v>
      </c>
      <c r="AA68" s="726">
        <f t="shared" si="2"/>
        <v>0</v>
      </c>
      <c r="AB68" s="726">
        <f t="shared" si="3"/>
        <v>0</v>
      </c>
    </row>
    <row r="69">
      <c r="A69" s="612">
        <v>61.0</v>
      </c>
      <c r="B69" s="597" t="str">
        <f>IFERROR(__xludf.DUMMYFUNCTION("""COMPUTED_VALUE"""),"Phuy")</f>
        <v>Phuy</v>
      </c>
      <c r="C69" s="741">
        <f t="array" ref="C69">SUMPRODUCT((INDEX('6. TIẾN ĐỘ MUA HÀNG'!$A:$AT, 0, XMATCH("Phân loại VTBB/NL", '6. TIẾN ĐỘ MUA HÀNG'!$A$4:$AT$4, 0)) = $B69) * (TRIM(INDEX('6. TIẾN ĐỘ MUA HÀNG'!$A:$AT, 0, XMATCH("Tháng", '6. TIẾN ĐỘ MUA HÀNG'!$A$4:$AT$4, 0))) = TRIM($C$6)) * (INDEX('6. TIẾN ĐỘ MUA HÀNG'!$A:$AT, 0, XMATCH("Phân loại VTBB/NL", '6. TIẾN ĐỘ MUA HÀNG'!$A$4:$AT$4, 0)) &lt;&gt; ""))</f>
        <v>0</v>
      </c>
      <c r="D69" s="742">
        <f t="array" ref="D69">SUMPRODUCT(IFERROR(INDEX('6. TIẾN ĐỘ MUA HÀNG'!$A$5:$AT81, 0, XMATCH("Thành tiền đơn hàng", '6. TIẾN ĐỘ MUA HÀNG'!$A$4:$AT$4, 0)), 0) * (INDEX('6. TIẾN ĐỘ MUA HÀNG'!$A$5:$AT81, 0, XMATCH("Phân loại VTBB/NL", '6. TIẾN ĐỘ MUA HÀNG'!$A$4:$AT$4, 0)) = $B69) * (TRIM(INDEX('6. TIẾN ĐỘ MUA HÀNG'!$A$5:$AT81, 0, XMATCH("Tháng", '6. TIẾN ĐỘ MUA HÀNG'!$A$4:$AT$4, 0))) = TRIM(C$6)))</f>
        <v>0</v>
      </c>
      <c r="E69" s="743">
        <f t="array" ref="E69">SUMPRODUCT((INDEX('6. TIẾN ĐỘ MUA HÀNG'!$A:$AT, 0, XMATCH("Phân loại VTBB/NL", '6. TIẾN ĐỘ MUA HÀNG'!$A$4:$AT$4, 0)) = $B69) * (TRIM(INDEX('6. TIẾN ĐỘ MUA HÀNG'!$A:$AT, 0, XMATCH("Tháng", '6. TIẾN ĐỘ MUA HÀNG'!$A$4:$AT$4, 0))) = TRIM(E$6)) * (INDEX('6. TIẾN ĐỘ MUA HÀNG'!$A:$AT, 0, XMATCH("Phân loại VTBB/NL", '6. TIẾN ĐỘ MUA HÀNG'!$A$4:$AT$4, 0)) &lt;&gt; ""))</f>
        <v>0</v>
      </c>
      <c r="F69" s="744">
        <f t="array" ref="F69">SUMPRODUCT(IFERROR(INDEX('6. TIẾN ĐỘ MUA HÀNG'!$A$5:$AT81, 0, XMATCH("Thành tiền đơn hàng", '6. TIẾN ĐỘ MUA HÀNG'!$A$4:$AT$4, 0)), 0) * (INDEX('6. TIẾN ĐỘ MUA HÀNG'!$A$5:$AT81, 0, XMATCH("Phân loại VTBB/NL", '6. TIẾN ĐỘ MUA HÀNG'!$A$4:$AT$4, 0)) = $B69) * (TRIM(INDEX('6. TIẾN ĐỘ MUA HÀNG'!$A$5:$AT81, 0, XMATCH("Tháng", '6. TIẾN ĐỘ MUA HÀNG'!$A$4:$AT$4, 0))) = TRIM(E$6)))</f>
        <v>0</v>
      </c>
      <c r="G69" s="741">
        <f t="array" ref="G69">SUMPRODUCT((INDEX('6. TIẾN ĐỘ MUA HÀNG'!$A:$AT, 0, XMATCH("Phân loại VTBB/NL", '6. TIẾN ĐỘ MUA HÀNG'!$A$4:$AT$4, 0)) = $B69) * (TRIM(INDEX('6. TIẾN ĐỘ MUA HÀNG'!$A:$AT, 0, XMATCH("Tháng", '6. TIẾN ĐỘ MUA HÀNG'!$A$4:$AT$4, 0))) = TRIM($G$6)) * (INDEX('6. TIẾN ĐỘ MUA HÀNG'!$A:$AT, 0, XMATCH("Phân loại VTBB/NL", '6. TIẾN ĐỘ MUA HÀNG'!$A$4:$AT$4, 0)) &lt;&gt; ""))</f>
        <v>0</v>
      </c>
      <c r="H69" s="742">
        <f t="array" ref="H69">SUMPRODUCT(IFERROR(INDEX('6. TIẾN ĐỘ MUA HÀNG'!$A$5:$AT81, 0, XMATCH("Thành tiền đơn hàng", '6. TIẾN ĐỘ MUA HÀNG'!$A$4:$AT$4, 0)), 0) * (INDEX('6. TIẾN ĐỘ MUA HÀNG'!$A$5:$AT81, 0, XMATCH("Phân loại VTBB/NL", '6. TIẾN ĐỘ MUA HÀNG'!$A$4:$AT$4, 0)) = $B69) * (TRIM(INDEX('6. TIẾN ĐỘ MUA HÀNG'!$A$5:$AT81, 0, XMATCH("Tháng", '6. TIẾN ĐỘ MUA HÀNG'!$A$4:$AT$4, 0))) = TRIM(G$6)))</f>
        <v>0</v>
      </c>
      <c r="I69" s="743">
        <f t="array" ref="I69">SUMPRODUCT((INDEX('6. TIẾN ĐỘ MUA HÀNG'!$A:$AT, 0, XMATCH("Phân loại VTBB/NL", '6. TIẾN ĐỘ MUA HÀNG'!$A$4:$AT$4, 0)) = $B69) * (TRIM(INDEX('6. TIẾN ĐỘ MUA HÀNG'!$A:$AT, 0, XMATCH("Tháng", '6. TIẾN ĐỘ MUA HÀNG'!$A$4:$AT$4, 0))) = TRIM(I$6)) * (INDEX('6. TIẾN ĐỘ MUA HÀNG'!$A:$AT, 0, XMATCH("Phân loại VTBB/NL", '6. TIẾN ĐỘ MUA HÀNG'!$A$4:$AT$4, 0)) &lt;&gt; ""))</f>
        <v>0</v>
      </c>
      <c r="J69" s="744">
        <f t="array" ref="J69">SUMPRODUCT(IFERROR(INDEX('6. TIẾN ĐỘ MUA HÀNG'!$A$5:$AT81, 0, XMATCH("Thành tiền đơn hàng", '6. TIẾN ĐỘ MUA HÀNG'!$A$4:$AT$4, 0)), 0) * (INDEX('6. TIẾN ĐỘ MUA HÀNG'!$A$5:$AT81, 0, XMATCH("Phân loại VTBB/NL", '6. TIẾN ĐỘ MUA HÀNG'!$A$4:$AT$4, 0)) = $B69) * (TRIM(INDEX('6. TIẾN ĐỘ MUA HÀNG'!$A$5:$AT81, 0, XMATCH("Tháng", '6. TIẾN ĐỘ MUA HÀNG'!$A$4:$AT$4, 0))) = TRIM(I$6)))</f>
        <v>0</v>
      </c>
      <c r="K69" s="741">
        <f t="array" ref="K69">SUMPRODUCT((INDEX('6. TIẾN ĐỘ MUA HÀNG'!$A:$AT, 0, XMATCH("Phân loại VTBB/NL", '6. TIẾN ĐỘ MUA HÀNG'!$A$4:$AT$4, 0)) = $B69) * (TRIM(INDEX('6. TIẾN ĐỘ MUA HÀNG'!$A:$AT, 0, XMATCH("Tháng", '6. TIẾN ĐỘ MUA HÀNG'!$A$4:$AT$4, 0))) = TRIM($K$6)) * (INDEX('6. TIẾN ĐỘ MUA HÀNG'!$A:$AT, 0, XMATCH("Phân loại VTBB/NL", '6. TIẾN ĐỘ MUA HÀNG'!$A$4:$AT$4, 0)) &lt;&gt; ""))</f>
        <v>0</v>
      </c>
      <c r="L69" s="742">
        <f t="array" ref="L69">SUMPRODUCT(IFERROR(INDEX('6. TIẾN ĐỘ MUA HÀNG'!$A$5:$AT81, 0, XMATCH("Thành tiền đơn hàng", '6. TIẾN ĐỘ MUA HÀNG'!$A$4:$AT$4, 0)), 0) * (INDEX('6. TIẾN ĐỘ MUA HÀNG'!$A$5:$AT81, 0, XMATCH("Phân loại VTBB/NL", '6. TIẾN ĐỘ MUA HÀNG'!$A$4:$AT$4, 0)) = $B69) * (TRIM(INDEX('6. TIẾN ĐỘ MUA HÀNG'!$A$5:$AT81, 0, XMATCH("Tháng", '6. TIẾN ĐỘ MUA HÀNG'!$A$4:$AT$4, 0))) = TRIM(K$6)))</f>
        <v>0</v>
      </c>
      <c r="M69" s="743">
        <f t="array" ref="M69">SUMPRODUCT((INDEX('6. TIẾN ĐỘ MUA HÀNG'!$A:$AT, 0, XMATCH("Phân loại VTBB/NL", '6. TIẾN ĐỘ MUA HÀNG'!$A$4:$AT$4, 0)) = $B69) * (TRIM(INDEX('6. TIẾN ĐỘ MUA HÀNG'!$A:$AT, 0, XMATCH("Tháng", '6. TIẾN ĐỘ MUA HÀNG'!$A$4:$AT$4, 0))) = TRIM(M$6)) * (INDEX('6. TIẾN ĐỘ MUA HÀNG'!$A:$AT, 0, XMATCH("Phân loại VTBB/NL", '6. TIẾN ĐỘ MUA HÀNG'!$A$4:$AT$4, 0)) &lt;&gt; ""))</f>
        <v>0</v>
      </c>
      <c r="N69" s="744">
        <f t="array" ref="N69">SUMPRODUCT(IFERROR(INDEX('6. TIẾN ĐỘ MUA HÀNG'!$A$5:$AT81, 0, XMATCH("Thành tiền đơn hàng", '6. TIẾN ĐỘ MUA HÀNG'!$A$4:$AT$4, 0)), 0) * (INDEX('6. TIẾN ĐỘ MUA HÀNG'!$A$5:$AT81, 0, XMATCH("Phân loại VTBB/NL", '6. TIẾN ĐỘ MUA HÀNG'!$A$4:$AT$4, 0)) = $B69) * (TRIM(INDEX('6. TIẾN ĐỘ MUA HÀNG'!$A$5:$AT81, 0, XMATCH("Tháng", '6. TIẾN ĐỘ MUA HÀNG'!$A$4:$AT$4, 0))) = TRIM(M$6)))</f>
        <v>0</v>
      </c>
      <c r="O69" s="741">
        <f t="array" ref="O69">SUMPRODUCT((INDEX('6. TIẾN ĐỘ MUA HÀNG'!$A:$AT, 0, XMATCH("Phân loại VTBB/NL", '6. TIẾN ĐỘ MUA HÀNG'!$A$4:$AT$4, 0)) = $B69) * (TRIM(INDEX('6. TIẾN ĐỘ MUA HÀNG'!$A:$AT, 0, XMATCH("Tháng", '6. TIẾN ĐỘ MUA HÀNG'!$A$4:$AT$4, 0))) = TRIM($O$6)) * (INDEX('6. TIẾN ĐỘ MUA HÀNG'!$A:$AT, 0, XMATCH("Phân loại VTBB/NL", '6. TIẾN ĐỘ MUA HÀNG'!$A$4:$AT$4, 0)) &lt;&gt; ""))</f>
        <v>0</v>
      </c>
      <c r="P69" s="742">
        <f t="array" ref="P69">SUMPRODUCT(IFERROR(INDEX('6. TIẾN ĐỘ MUA HÀNG'!$A$5:$AT81, 0, XMATCH("Thành tiền đơn hàng", '6. TIẾN ĐỘ MUA HÀNG'!$A$4:$AT$4, 0)), 0) * (INDEX('6. TIẾN ĐỘ MUA HÀNG'!$A$5:$AT81, 0, XMATCH("Phân loại VTBB/NL", '6. TIẾN ĐỘ MUA HÀNG'!$A$4:$AT$4, 0)) = $B69) * (TRIM(INDEX('6. TIẾN ĐỘ MUA HÀNG'!$A$5:$AT81, 0, XMATCH("Tháng", '6. TIẾN ĐỘ MUA HÀNG'!$A$4:$AT$4, 0))) = TRIM(O$6)))</f>
        <v>0</v>
      </c>
      <c r="Q69" s="743">
        <f t="array" ref="Q69">SUMPRODUCT((INDEX('6. TIẾN ĐỘ MUA HÀNG'!$A:$AT, 0, XMATCH("Phân loại VTBB/NL", '6. TIẾN ĐỘ MUA HÀNG'!$A$4:$AT$4, 0)) = $B69) * (TRIM(INDEX('6. TIẾN ĐỘ MUA HÀNG'!$A:$AT, 0, XMATCH("Tháng", '6. TIẾN ĐỘ MUA HÀNG'!$A$4:$AT$4, 0))) = TRIM(Q$6)) * (INDEX('6. TIẾN ĐỘ MUA HÀNG'!$A:$AT, 0, XMATCH("Phân loại VTBB/NL", '6. TIẾN ĐỘ MUA HÀNG'!$A$4:$AT$4, 0)) &lt;&gt; ""))</f>
        <v>0</v>
      </c>
      <c r="R69" s="744">
        <f t="array" ref="R69">SUMPRODUCT(IFERROR(INDEX('6. TIẾN ĐỘ MUA HÀNG'!$A$5:$AT81, 0, XMATCH("Thành tiền đơn hàng", '6. TIẾN ĐỘ MUA HÀNG'!$A$4:$AT$4, 0)), 0) * (INDEX('6. TIẾN ĐỘ MUA HÀNG'!$A$5:$AT81, 0, XMATCH("Phân loại VTBB/NL", '6. TIẾN ĐỘ MUA HÀNG'!$A$4:$AT$4, 0)) = $B69) * (TRIM(INDEX('6. TIẾN ĐỘ MUA HÀNG'!$A$5:$AT81, 0, XMATCH("Tháng", '6. TIẾN ĐỘ MUA HÀNG'!$A$4:$AT$4, 0))) = TRIM(Q$6)))</f>
        <v>0</v>
      </c>
      <c r="S69" s="741">
        <f t="array" ref="S69">SUMPRODUCT((INDEX('6. TIẾN ĐỘ MUA HÀNG'!$A:$AT, 0, XMATCH("Phân loại VTBB/NL", '6. TIẾN ĐỘ MUA HÀNG'!$A$4:$AT$4, 0)) = $B69) * (TRIM(INDEX('6. TIẾN ĐỘ MUA HÀNG'!$A:$AT, 0, XMATCH("Tháng", '6. TIẾN ĐỘ MUA HÀNG'!$A$4:$AT$4, 0))) = TRIM($S$6)) * (INDEX('6. TIẾN ĐỘ MUA HÀNG'!$A:$AT, 0, XMATCH("Phân loại VTBB/NL", '6. TIẾN ĐỘ MUA HÀNG'!$A$4:$AT$4, 0)) &lt;&gt; ""))</f>
        <v>0</v>
      </c>
      <c r="T69" s="742">
        <f t="array" ref="T69">SUMPRODUCT(IFERROR(INDEX('6. TIẾN ĐỘ MUA HÀNG'!$A$5:$AT81, 0, XMATCH("Thành tiền đơn hàng", '6. TIẾN ĐỘ MUA HÀNG'!$A$4:$AT$4, 0)), 0) * (INDEX('6. TIẾN ĐỘ MUA HÀNG'!$A$5:$AT81, 0, XMATCH("Phân loại VTBB/NL", '6. TIẾN ĐỘ MUA HÀNG'!$A$4:$AT$4, 0)) = $B69) * (TRIM(INDEX('6. TIẾN ĐỘ MUA HÀNG'!$A$5:$AT81, 0, XMATCH("Tháng", '6. TIẾN ĐỘ MUA HÀNG'!$A$4:$AT$4, 0))) = TRIM(S$6)))</f>
        <v>0</v>
      </c>
      <c r="U69" s="743">
        <f t="array" ref="U69">SUMPRODUCT((INDEX('6. TIẾN ĐỘ MUA HÀNG'!$A:$AT, 0, XMATCH("Phân loại VTBB/NL", '6. TIẾN ĐỘ MUA HÀNG'!$A$4:$AT$4, 0)) = $B69) * (TRIM(INDEX('6. TIẾN ĐỘ MUA HÀNG'!$A:$AT, 0, XMATCH("Tháng", '6. TIẾN ĐỘ MUA HÀNG'!$A$4:$AT$4, 0))) = TRIM(U$6)) * (INDEX('6. TIẾN ĐỘ MUA HÀNG'!$A:$AT, 0, XMATCH("Phân loại VTBB/NL", '6. TIẾN ĐỘ MUA HÀNG'!$A$4:$AT$4, 0)) &lt;&gt; ""))</f>
        <v>0</v>
      </c>
      <c r="V69" s="744">
        <f t="array" ref="V69">SUMPRODUCT(IFERROR(INDEX('6. TIẾN ĐỘ MUA HÀNG'!$A$5:$AT81, 0, XMATCH("Thành tiền đơn hàng", '6. TIẾN ĐỘ MUA HÀNG'!$A$4:$AT$4, 0)), 0) * (INDEX('6. TIẾN ĐỘ MUA HÀNG'!$A$5:$AT81, 0, XMATCH("Phân loại VTBB/NL", '6. TIẾN ĐỘ MUA HÀNG'!$A$4:$AT$4, 0)) = $B69) * (TRIM(INDEX('6. TIẾN ĐỘ MUA HÀNG'!$A$5:$AT81, 0, XMATCH("Tháng", '6. TIẾN ĐỘ MUA HÀNG'!$A$4:$AT$4, 0))) = TRIM(U$6)))</f>
        <v>0</v>
      </c>
      <c r="W69" s="741">
        <f t="array" ref="W69">SUMPRODUCT((INDEX('6. TIẾN ĐỘ MUA HÀNG'!$A:$AT, 0, XMATCH("Phân loại VTBB/NL", '6. TIẾN ĐỘ MUA HÀNG'!$A$4:$AT$4, 0)) = $B69) * (TRIM(INDEX('6. TIẾN ĐỘ MUA HÀNG'!$A:$AT, 0, XMATCH("Tháng", '6. TIẾN ĐỘ MUA HÀNG'!$A$4:$AT$4, 0))) = TRIM($W$6)) * (INDEX('6. TIẾN ĐỘ MUA HÀNG'!$A:$AT, 0, XMATCH("Phân loại VTBB/NL", '6. TIẾN ĐỘ MUA HÀNG'!$A$4:$AT$4, 0)) &lt;&gt; ""))</f>
        <v>0</v>
      </c>
      <c r="X69" s="742">
        <f t="array" ref="X69">SUMPRODUCT(IFERROR(INDEX('6. TIẾN ĐỘ MUA HÀNG'!$A$5:$AT81, 0, XMATCH("Thành tiền đơn hàng", '6. TIẾN ĐỘ MUA HÀNG'!$A$4:$AT$4, 0)), 0) * (INDEX('6. TIẾN ĐỘ MUA HÀNG'!$A$5:$AT81, 0, XMATCH("Phân loại VTBB/NL", '6. TIẾN ĐỘ MUA HÀNG'!$A$4:$AT$4, 0)) = $B69) * (TRIM(INDEX('6. TIẾN ĐỘ MUA HÀNG'!$A$5:$AT81, 0, XMATCH("Tháng", '6. TIẾN ĐỘ MUA HÀNG'!$A$4:$AT$4, 0))) = TRIM(W$6)))</f>
        <v>0</v>
      </c>
      <c r="Y69" s="743">
        <f t="array" ref="Y69">SUMPRODUCT((INDEX('6. TIẾN ĐỘ MUA HÀNG'!$A:$AT, 0, XMATCH("Phân loại VTBB/NL", '6. TIẾN ĐỘ MUA HÀNG'!$A$4:$AT$4, 0)) = $B69) * (TRIM(INDEX('6. TIẾN ĐỘ MUA HÀNG'!$A:$AT, 0, XMATCH("Tháng", '6. TIẾN ĐỘ MUA HÀNG'!$A$4:$AT$4, 0))) = TRIM(Y$6)) * (INDEX('6. TIẾN ĐỘ MUA HÀNG'!$A:$AT, 0, XMATCH("Phân loại VTBB/NL", '6. TIẾN ĐỘ MUA HÀNG'!$A$4:$AT$4, 0)) &lt;&gt; ""))</f>
        <v>0</v>
      </c>
      <c r="Z69" s="744">
        <f t="array" ref="Z69">SUMPRODUCT(IFERROR(INDEX('6. TIẾN ĐỘ MUA HÀNG'!$A$5:$AT81, 0, XMATCH("Thành tiền đơn hàng", '6. TIẾN ĐỘ MUA HÀNG'!$A$4:$AT$4, 0)), 0) * (INDEX('6. TIẾN ĐỘ MUA HÀNG'!$A$5:$AT81, 0, XMATCH("Phân loại VTBB/NL", '6. TIẾN ĐỘ MUA HÀNG'!$A$4:$AT$4, 0)) = $B69) * (TRIM(INDEX('6. TIẾN ĐỘ MUA HÀNG'!$A$5:$AT81, 0, XMATCH("Tháng", '6. TIẾN ĐỘ MUA HÀNG'!$A$4:$AT$4, 0))) = TRIM(Y$6)))</f>
        <v>0</v>
      </c>
      <c r="AA69" s="726">
        <f t="shared" si="2"/>
        <v>0</v>
      </c>
      <c r="AB69" s="726">
        <f t="shared" si="3"/>
        <v>0</v>
      </c>
    </row>
    <row r="70">
      <c r="A70" s="612">
        <v>62.0</v>
      </c>
      <c r="B70" s="597" t="str">
        <f>IFERROR(__xludf.DUMMYFUNCTION("""COMPUTED_VALUE"""),"Màng co nhiệt")</f>
        <v>Màng co nhiệt</v>
      </c>
      <c r="C70" s="741">
        <f t="array" ref="C70">SUMPRODUCT((INDEX('6. TIẾN ĐỘ MUA HÀNG'!$A:$AT, 0, XMATCH("Phân loại VTBB/NL", '6. TIẾN ĐỘ MUA HÀNG'!$A$4:$AT$4, 0)) = $B70) * (TRIM(INDEX('6. TIẾN ĐỘ MUA HÀNG'!$A:$AT, 0, XMATCH("Tháng", '6. TIẾN ĐỘ MUA HÀNG'!$A$4:$AT$4, 0))) = TRIM($C$6)) * (INDEX('6. TIẾN ĐỘ MUA HÀNG'!$A:$AT, 0, XMATCH("Phân loại VTBB/NL", '6. TIẾN ĐỘ MUA HÀNG'!$A$4:$AT$4, 0)) &lt;&gt; ""))</f>
        <v>0</v>
      </c>
      <c r="D70" s="742">
        <f t="array" ref="D70">SUMPRODUCT(IFERROR(INDEX('6. TIẾN ĐỘ MUA HÀNG'!$A$5:$AT81, 0, XMATCH("Thành tiền đơn hàng", '6. TIẾN ĐỘ MUA HÀNG'!$A$4:$AT$4, 0)), 0) * (INDEX('6. TIẾN ĐỘ MUA HÀNG'!$A$5:$AT81, 0, XMATCH("Phân loại VTBB/NL", '6. TIẾN ĐỘ MUA HÀNG'!$A$4:$AT$4, 0)) = $B70) * (TRIM(INDEX('6. TIẾN ĐỘ MUA HÀNG'!$A$5:$AT81, 0, XMATCH("Tháng", '6. TIẾN ĐỘ MUA HÀNG'!$A$4:$AT$4, 0))) = TRIM(C$6)))</f>
        <v>0</v>
      </c>
      <c r="E70" s="743">
        <f t="array" ref="E70">SUMPRODUCT((INDEX('6. TIẾN ĐỘ MUA HÀNG'!$A:$AT, 0, XMATCH("Phân loại VTBB/NL", '6. TIẾN ĐỘ MUA HÀNG'!$A$4:$AT$4, 0)) = $B70) * (TRIM(INDEX('6. TIẾN ĐỘ MUA HÀNG'!$A:$AT, 0, XMATCH("Tháng", '6. TIẾN ĐỘ MUA HÀNG'!$A$4:$AT$4, 0))) = TRIM(E$6)) * (INDEX('6. TIẾN ĐỘ MUA HÀNG'!$A:$AT, 0, XMATCH("Phân loại VTBB/NL", '6. TIẾN ĐỘ MUA HÀNG'!$A$4:$AT$4, 0)) &lt;&gt; ""))</f>
        <v>0</v>
      </c>
      <c r="F70" s="744">
        <f t="array" ref="F70">SUMPRODUCT(IFERROR(INDEX('6. TIẾN ĐỘ MUA HÀNG'!$A$5:$AT81, 0, XMATCH("Thành tiền đơn hàng", '6. TIẾN ĐỘ MUA HÀNG'!$A$4:$AT$4, 0)), 0) * (INDEX('6. TIẾN ĐỘ MUA HÀNG'!$A$5:$AT81, 0, XMATCH("Phân loại VTBB/NL", '6. TIẾN ĐỘ MUA HÀNG'!$A$4:$AT$4, 0)) = $B70) * (TRIM(INDEX('6. TIẾN ĐỘ MUA HÀNG'!$A$5:$AT81, 0, XMATCH("Tháng", '6. TIẾN ĐỘ MUA HÀNG'!$A$4:$AT$4, 0))) = TRIM(E$6)))</f>
        <v>0</v>
      </c>
      <c r="G70" s="741">
        <f t="array" ref="G70">SUMPRODUCT((INDEX('6. TIẾN ĐỘ MUA HÀNG'!$A:$AT, 0, XMATCH("Phân loại VTBB/NL", '6. TIẾN ĐỘ MUA HÀNG'!$A$4:$AT$4, 0)) = $B70) * (TRIM(INDEX('6. TIẾN ĐỘ MUA HÀNG'!$A:$AT, 0, XMATCH("Tháng", '6. TIẾN ĐỘ MUA HÀNG'!$A$4:$AT$4, 0))) = TRIM($G$6)) * (INDEX('6. TIẾN ĐỘ MUA HÀNG'!$A:$AT, 0, XMATCH("Phân loại VTBB/NL", '6. TIẾN ĐỘ MUA HÀNG'!$A$4:$AT$4, 0)) &lt;&gt; ""))</f>
        <v>0</v>
      </c>
      <c r="H70" s="742">
        <f t="array" ref="H70">SUMPRODUCT(IFERROR(INDEX('6. TIẾN ĐỘ MUA HÀNG'!$A$5:$AT81, 0, XMATCH("Thành tiền đơn hàng", '6. TIẾN ĐỘ MUA HÀNG'!$A$4:$AT$4, 0)), 0) * (INDEX('6. TIẾN ĐỘ MUA HÀNG'!$A$5:$AT81, 0, XMATCH("Phân loại VTBB/NL", '6. TIẾN ĐỘ MUA HÀNG'!$A$4:$AT$4, 0)) = $B70) * (TRIM(INDEX('6. TIẾN ĐỘ MUA HÀNG'!$A$5:$AT81, 0, XMATCH("Tháng", '6. TIẾN ĐỘ MUA HÀNG'!$A$4:$AT$4, 0))) = TRIM(G$6)))</f>
        <v>0</v>
      </c>
      <c r="I70" s="743">
        <f t="array" ref="I70">SUMPRODUCT((INDEX('6. TIẾN ĐỘ MUA HÀNG'!$A:$AT, 0, XMATCH("Phân loại VTBB/NL", '6. TIẾN ĐỘ MUA HÀNG'!$A$4:$AT$4, 0)) = $B70) * (TRIM(INDEX('6. TIẾN ĐỘ MUA HÀNG'!$A:$AT, 0, XMATCH("Tháng", '6. TIẾN ĐỘ MUA HÀNG'!$A$4:$AT$4, 0))) = TRIM(I$6)) * (INDEX('6. TIẾN ĐỘ MUA HÀNG'!$A:$AT, 0, XMATCH("Phân loại VTBB/NL", '6. TIẾN ĐỘ MUA HÀNG'!$A$4:$AT$4, 0)) &lt;&gt; ""))</f>
        <v>0</v>
      </c>
      <c r="J70" s="744">
        <f t="array" ref="J70">SUMPRODUCT(IFERROR(INDEX('6. TIẾN ĐỘ MUA HÀNG'!$A$5:$AT81, 0, XMATCH("Thành tiền đơn hàng", '6. TIẾN ĐỘ MUA HÀNG'!$A$4:$AT$4, 0)), 0) * (INDEX('6. TIẾN ĐỘ MUA HÀNG'!$A$5:$AT81, 0, XMATCH("Phân loại VTBB/NL", '6. TIẾN ĐỘ MUA HÀNG'!$A$4:$AT$4, 0)) = $B70) * (TRIM(INDEX('6. TIẾN ĐỘ MUA HÀNG'!$A$5:$AT81, 0, XMATCH("Tháng", '6. TIẾN ĐỘ MUA HÀNG'!$A$4:$AT$4, 0))) = TRIM(I$6)))</f>
        <v>0</v>
      </c>
      <c r="K70" s="741">
        <f t="array" ref="K70">SUMPRODUCT((INDEX('6. TIẾN ĐỘ MUA HÀNG'!$A:$AT, 0, XMATCH("Phân loại VTBB/NL", '6. TIẾN ĐỘ MUA HÀNG'!$A$4:$AT$4, 0)) = $B70) * (TRIM(INDEX('6. TIẾN ĐỘ MUA HÀNG'!$A:$AT, 0, XMATCH("Tháng", '6. TIẾN ĐỘ MUA HÀNG'!$A$4:$AT$4, 0))) = TRIM($K$6)) * (INDEX('6. TIẾN ĐỘ MUA HÀNG'!$A:$AT, 0, XMATCH("Phân loại VTBB/NL", '6. TIẾN ĐỘ MUA HÀNG'!$A$4:$AT$4, 0)) &lt;&gt; ""))</f>
        <v>0</v>
      </c>
      <c r="L70" s="742">
        <f t="array" ref="L70">SUMPRODUCT(IFERROR(INDEX('6. TIẾN ĐỘ MUA HÀNG'!$A$5:$AT81, 0, XMATCH("Thành tiền đơn hàng", '6. TIẾN ĐỘ MUA HÀNG'!$A$4:$AT$4, 0)), 0) * (INDEX('6. TIẾN ĐỘ MUA HÀNG'!$A$5:$AT81, 0, XMATCH("Phân loại VTBB/NL", '6. TIẾN ĐỘ MUA HÀNG'!$A$4:$AT$4, 0)) = $B70) * (TRIM(INDEX('6. TIẾN ĐỘ MUA HÀNG'!$A$5:$AT81, 0, XMATCH("Tháng", '6. TIẾN ĐỘ MUA HÀNG'!$A$4:$AT$4, 0))) = TRIM(K$6)))</f>
        <v>0</v>
      </c>
      <c r="M70" s="743">
        <f t="array" ref="M70">SUMPRODUCT((INDEX('6. TIẾN ĐỘ MUA HÀNG'!$A:$AT, 0, XMATCH("Phân loại VTBB/NL", '6. TIẾN ĐỘ MUA HÀNG'!$A$4:$AT$4, 0)) = $B70) * (TRIM(INDEX('6. TIẾN ĐỘ MUA HÀNG'!$A:$AT, 0, XMATCH("Tháng", '6. TIẾN ĐỘ MUA HÀNG'!$A$4:$AT$4, 0))) = TRIM(M$6)) * (INDEX('6. TIẾN ĐỘ MUA HÀNG'!$A:$AT, 0, XMATCH("Phân loại VTBB/NL", '6. TIẾN ĐỘ MUA HÀNG'!$A$4:$AT$4, 0)) &lt;&gt; ""))</f>
        <v>0</v>
      </c>
      <c r="N70" s="744">
        <f t="array" ref="N70">SUMPRODUCT(IFERROR(INDEX('6. TIẾN ĐỘ MUA HÀNG'!$A$5:$AT81, 0, XMATCH("Thành tiền đơn hàng", '6. TIẾN ĐỘ MUA HÀNG'!$A$4:$AT$4, 0)), 0) * (INDEX('6. TIẾN ĐỘ MUA HÀNG'!$A$5:$AT81, 0, XMATCH("Phân loại VTBB/NL", '6. TIẾN ĐỘ MUA HÀNG'!$A$4:$AT$4, 0)) = $B70) * (TRIM(INDEX('6. TIẾN ĐỘ MUA HÀNG'!$A$5:$AT81, 0, XMATCH("Tháng", '6. TIẾN ĐỘ MUA HÀNG'!$A$4:$AT$4, 0))) = TRIM(M$6)))</f>
        <v>0</v>
      </c>
      <c r="O70" s="741">
        <f t="array" ref="O70">SUMPRODUCT((INDEX('6. TIẾN ĐỘ MUA HÀNG'!$A:$AT, 0, XMATCH("Phân loại VTBB/NL", '6. TIẾN ĐỘ MUA HÀNG'!$A$4:$AT$4, 0)) = $B70) * (TRIM(INDEX('6. TIẾN ĐỘ MUA HÀNG'!$A:$AT, 0, XMATCH("Tháng", '6. TIẾN ĐỘ MUA HÀNG'!$A$4:$AT$4, 0))) = TRIM($O$6)) * (INDEX('6. TIẾN ĐỘ MUA HÀNG'!$A:$AT, 0, XMATCH("Phân loại VTBB/NL", '6. TIẾN ĐỘ MUA HÀNG'!$A$4:$AT$4, 0)) &lt;&gt; ""))</f>
        <v>0</v>
      </c>
      <c r="P70" s="742">
        <f t="array" ref="P70">SUMPRODUCT(IFERROR(INDEX('6. TIẾN ĐỘ MUA HÀNG'!$A$5:$AT81, 0, XMATCH("Thành tiền đơn hàng", '6. TIẾN ĐỘ MUA HÀNG'!$A$4:$AT$4, 0)), 0) * (INDEX('6. TIẾN ĐỘ MUA HÀNG'!$A$5:$AT81, 0, XMATCH("Phân loại VTBB/NL", '6. TIẾN ĐỘ MUA HÀNG'!$A$4:$AT$4, 0)) = $B70) * (TRIM(INDEX('6. TIẾN ĐỘ MUA HÀNG'!$A$5:$AT81, 0, XMATCH("Tháng", '6. TIẾN ĐỘ MUA HÀNG'!$A$4:$AT$4, 0))) = TRIM(O$6)))</f>
        <v>0</v>
      </c>
      <c r="Q70" s="743">
        <f t="array" ref="Q70">SUMPRODUCT((INDEX('6. TIẾN ĐỘ MUA HÀNG'!$A:$AT, 0, XMATCH("Phân loại VTBB/NL", '6. TIẾN ĐỘ MUA HÀNG'!$A$4:$AT$4, 0)) = $B70) * (TRIM(INDEX('6. TIẾN ĐỘ MUA HÀNG'!$A:$AT, 0, XMATCH("Tháng", '6. TIẾN ĐỘ MUA HÀNG'!$A$4:$AT$4, 0))) = TRIM(Q$6)) * (INDEX('6. TIẾN ĐỘ MUA HÀNG'!$A:$AT, 0, XMATCH("Phân loại VTBB/NL", '6. TIẾN ĐỘ MUA HÀNG'!$A$4:$AT$4, 0)) &lt;&gt; ""))</f>
        <v>0</v>
      </c>
      <c r="R70" s="744">
        <f t="array" ref="R70">SUMPRODUCT(IFERROR(INDEX('6. TIẾN ĐỘ MUA HÀNG'!$A$5:$AT81, 0, XMATCH("Thành tiền đơn hàng", '6. TIẾN ĐỘ MUA HÀNG'!$A$4:$AT$4, 0)), 0) * (INDEX('6. TIẾN ĐỘ MUA HÀNG'!$A$5:$AT81, 0, XMATCH("Phân loại VTBB/NL", '6. TIẾN ĐỘ MUA HÀNG'!$A$4:$AT$4, 0)) = $B70) * (TRIM(INDEX('6. TIẾN ĐỘ MUA HÀNG'!$A$5:$AT81, 0, XMATCH("Tháng", '6. TIẾN ĐỘ MUA HÀNG'!$A$4:$AT$4, 0))) = TRIM(Q$6)))</f>
        <v>0</v>
      </c>
      <c r="S70" s="741">
        <f t="array" ref="S70">SUMPRODUCT((INDEX('6. TIẾN ĐỘ MUA HÀNG'!$A:$AT, 0, XMATCH("Phân loại VTBB/NL", '6. TIẾN ĐỘ MUA HÀNG'!$A$4:$AT$4, 0)) = $B70) * (TRIM(INDEX('6. TIẾN ĐỘ MUA HÀNG'!$A:$AT, 0, XMATCH("Tháng", '6. TIẾN ĐỘ MUA HÀNG'!$A$4:$AT$4, 0))) = TRIM($S$6)) * (INDEX('6. TIẾN ĐỘ MUA HÀNG'!$A:$AT, 0, XMATCH("Phân loại VTBB/NL", '6. TIẾN ĐỘ MUA HÀNG'!$A$4:$AT$4, 0)) &lt;&gt; ""))</f>
        <v>0</v>
      </c>
      <c r="T70" s="742">
        <f t="array" ref="T70">SUMPRODUCT(IFERROR(INDEX('6. TIẾN ĐỘ MUA HÀNG'!$A$5:$AT81, 0, XMATCH("Thành tiền đơn hàng", '6. TIẾN ĐỘ MUA HÀNG'!$A$4:$AT$4, 0)), 0) * (INDEX('6. TIẾN ĐỘ MUA HÀNG'!$A$5:$AT81, 0, XMATCH("Phân loại VTBB/NL", '6. TIẾN ĐỘ MUA HÀNG'!$A$4:$AT$4, 0)) = $B70) * (TRIM(INDEX('6. TIẾN ĐỘ MUA HÀNG'!$A$5:$AT81, 0, XMATCH("Tháng", '6. TIẾN ĐỘ MUA HÀNG'!$A$4:$AT$4, 0))) = TRIM(S$6)))</f>
        <v>0</v>
      </c>
      <c r="U70" s="743">
        <f t="array" ref="U70">SUMPRODUCT((INDEX('6. TIẾN ĐỘ MUA HÀNG'!$A:$AT, 0, XMATCH("Phân loại VTBB/NL", '6. TIẾN ĐỘ MUA HÀNG'!$A$4:$AT$4, 0)) = $B70) * (TRIM(INDEX('6. TIẾN ĐỘ MUA HÀNG'!$A:$AT, 0, XMATCH("Tháng", '6. TIẾN ĐỘ MUA HÀNG'!$A$4:$AT$4, 0))) = TRIM(U$6)) * (INDEX('6. TIẾN ĐỘ MUA HÀNG'!$A:$AT, 0, XMATCH("Phân loại VTBB/NL", '6. TIẾN ĐỘ MUA HÀNG'!$A$4:$AT$4, 0)) &lt;&gt; ""))</f>
        <v>0</v>
      </c>
      <c r="V70" s="744">
        <f t="array" ref="V70">SUMPRODUCT(IFERROR(INDEX('6. TIẾN ĐỘ MUA HÀNG'!$A$5:$AT81, 0, XMATCH("Thành tiền đơn hàng", '6. TIẾN ĐỘ MUA HÀNG'!$A$4:$AT$4, 0)), 0) * (INDEX('6. TIẾN ĐỘ MUA HÀNG'!$A$5:$AT81, 0, XMATCH("Phân loại VTBB/NL", '6. TIẾN ĐỘ MUA HÀNG'!$A$4:$AT$4, 0)) = $B70) * (TRIM(INDEX('6. TIẾN ĐỘ MUA HÀNG'!$A$5:$AT81, 0, XMATCH("Tháng", '6. TIẾN ĐỘ MUA HÀNG'!$A$4:$AT$4, 0))) = TRIM(U$6)))</f>
        <v>0</v>
      </c>
      <c r="W70" s="741">
        <f t="array" ref="W70">SUMPRODUCT((INDEX('6. TIẾN ĐỘ MUA HÀNG'!$A:$AT, 0, XMATCH("Phân loại VTBB/NL", '6. TIẾN ĐỘ MUA HÀNG'!$A$4:$AT$4, 0)) = $B70) * (TRIM(INDEX('6. TIẾN ĐỘ MUA HÀNG'!$A:$AT, 0, XMATCH("Tháng", '6. TIẾN ĐỘ MUA HÀNG'!$A$4:$AT$4, 0))) = TRIM($W$6)) * (INDEX('6. TIẾN ĐỘ MUA HÀNG'!$A:$AT, 0, XMATCH("Phân loại VTBB/NL", '6. TIẾN ĐỘ MUA HÀNG'!$A$4:$AT$4, 0)) &lt;&gt; ""))</f>
        <v>0</v>
      </c>
      <c r="X70" s="742">
        <f t="array" ref="X70">SUMPRODUCT(IFERROR(INDEX('6. TIẾN ĐỘ MUA HÀNG'!$A$5:$AT81, 0, XMATCH("Thành tiền đơn hàng", '6. TIẾN ĐỘ MUA HÀNG'!$A$4:$AT$4, 0)), 0) * (INDEX('6. TIẾN ĐỘ MUA HÀNG'!$A$5:$AT81, 0, XMATCH("Phân loại VTBB/NL", '6. TIẾN ĐỘ MUA HÀNG'!$A$4:$AT$4, 0)) = $B70) * (TRIM(INDEX('6. TIẾN ĐỘ MUA HÀNG'!$A$5:$AT81, 0, XMATCH("Tháng", '6. TIẾN ĐỘ MUA HÀNG'!$A$4:$AT$4, 0))) = TRIM(W$6)))</f>
        <v>0</v>
      </c>
      <c r="Y70" s="743">
        <f t="array" ref="Y70">SUMPRODUCT((INDEX('6. TIẾN ĐỘ MUA HÀNG'!$A:$AT, 0, XMATCH("Phân loại VTBB/NL", '6. TIẾN ĐỘ MUA HÀNG'!$A$4:$AT$4, 0)) = $B70) * (TRIM(INDEX('6. TIẾN ĐỘ MUA HÀNG'!$A:$AT, 0, XMATCH("Tháng", '6. TIẾN ĐỘ MUA HÀNG'!$A$4:$AT$4, 0))) = TRIM(Y$6)) * (INDEX('6. TIẾN ĐỘ MUA HÀNG'!$A:$AT, 0, XMATCH("Phân loại VTBB/NL", '6. TIẾN ĐỘ MUA HÀNG'!$A$4:$AT$4, 0)) &lt;&gt; ""))</f>
        <v>0</v>
      </c>
      <c r="Z70" s="744">
        <f t="array" ref="Z70">SUMPRODUCT(IFERROR(INDEX('6. TIẾN ĐỘ MUA HÀNG'!$A$5:$AT81, 0, XMATCH("Thành tiền đơn hàng", '6. TIẾN ĐỘ MUA HÀNG'!$A$4:$AT$4, 0)), 0) * (INDEX('6. TIẾN ĐỘ MUA HÀNG'!$A$5:$AT81, 0, XMATCH("Phân loại VTBB/NL", '6. TIẾN ĐỘ MUA HÀNG'!$A$4:$AT$4, 0)) = $B70) * (TRIM(INDEX('6. TIẾN ĐỘ MUA HÀNG'!$A$5:$AT81, 0, XMATCH("Tháng", '6. TIẾN ĐỘ MUA HÀNG'!$A$4:$AT$4, 0))) = TRIM(Y$6)))</f>
        <v>0</v>
      </c>
      <c r="AA70" s="726">
        <f t="shared" si="2"/>
        <v>0</v>
      </c>
      <c r="AB70" s="726">
        <f t="shared" si="3"/>
        <v>0</v>
      </c>
    </row>
    <row r="71">
      <c r="A71" s="612">
        <v>63.0</v>
      </c>
      <c r="B71" s="597" t="str">
        <f>IFERROR(__xludf.DUMMYFUNCTION("""COMPUTED_VALUE"""),"Màng PE cuộn")</f>
        <v>Màng PE cuộn</v>
      </c>
      <c r="C71" s="741">
        <f t="array" ref="C71">SUMPRODUCT((INDEX('6. TIẾN ĐỘ MUA HÀNG'!$A:$AT, 0, XMATCH("Phân loại VTBB/NL", '6. TIẾN ĐỘ MUA HÀNG'!$A$4:$AT$4, 0)) = $B71) * (TRIM(INDEX('6. TIẾN ĐỘ MUA HÀNG'!$A:$AT, 0, XMATCH("Tháng", '6. TIẾN ĐỘ MUA HÀNG'!$A$4:$AT$4, 0))) = TRIM($C$6)) * (INDEX('6. TIẾN ĐỘ MUA HÀNG'!$A:$AT, 0, XMATCH("Phân loại VTBB/NL", '6. TIẾN ĐỘ MUA HÀNG'!$A$4:$AT$4, 0)) &lt;&gt; ""))</f>
        <v>0</v>
      </c>
      <c r="D71" s="742">
        <f t="array" ref="D71">SUMPRODUCT(IFERROR(INDEX('6. TIẾN ĐỘ MUA HÀNG'!$A$5:$AT81, 0, XMATCH("Thành tiền đơn hàng", '6. TIẾN ĐỘ MUA HÀNG'!$A$4:$AT$4, 0)), 0) * (INDEX('6. TIẾN ĐỘ MUA HÀNG'!$A$5:$AT81, 0, XMATCH("Phân loại VTBB/NL", '6. TIẾN ĐỘ MUA HÀNG'!$A$4:$AT$4, 0)) = $B71) * (TRIM(INDEX('6. TIẾN ĐỘ MUA HÀNG'!$A$5:$AT81, 0, XMATCH("Tháng", '6. TIẾN ĐỘ MUA HÀNG'!$A$4:$AT$4, 0))) = TRIM(C$6)))</f>
        <v>0</v>
      </c>
      <c r="E71" s="743">
        <f t="array" ref="E71">SUMPRODUCT((INDEX('6. TIẾN ĐỘ MUA HÀNG'!$A:$AT, 0, XMATCH("Phân loại VTBB/NL", '6. TIẾN ĐỘ MUA HÀNG'!$A$4:$AT$4, 0)) = $B71) * (TRIM(INDEX('6. TIẾN ĐỘ MUA HÀNG'!$A:$AT, 0, XMATCH("Tháng", '6. TIẾN ĐỘ MUA HÀNG'!$A$4:$AT$4, 0))) = TRIM(E$6)) * (INDEX('6. TIẾN ĐỘ MUA HÀNG'!$A:$AT, 0, XMATCH("Phân loại VTBB/NL", '6. TIẾN ĐỘ MUA HÀNG'!$A$4:$AT$4, 0)) &lt;&gt; ""))</f>
        <v>0</v>
      </c>
      <c r="F71" s="744">
        <f t="array" ref="F71">SUMPRODUCT(IFERROR(INDEX('6. TIẾN ĐỘ MUA HÀNG'!$A$5:$AT81, 0, XMATCH("Thành tiền đơn hàng", '6. TIẾN ĐỘ MUA HÀNG'!$A$4:$AT$4, 0)), 0) * (INDEX('6. TIẾN ĐỘ MUA HÀNG'!$A$5:$AT81, 0, XMATCH("Phân loại VTBB/NL", '6. TIẾN ĐỘ MUA HÀNG'!$A$4:$AT$4, 0)) = $B71) * (TRIM(INDEX('6. TIẾN ĐỘ MUA HÀNG'!$A$5:$AT81, 0, XMATCH("Tháng", '6. TIẾN ĐỘ MUA HÀNG'!$A$4:$AT$4, 0))) = TRIM(E$6)))</f>
        <v>0</v>
      </c>
      <c r="G71" s="741">
        <f t="array" ref="G71">SUMPRODUCT((INDEX('6. TIẾN ĐỘ MUA HÀNG'!$A:$AT, 0, XMATCH("Phân loại VTBB/NL", '6. TIẾN ĐỘ MUA HÀNG'!$A$4:$AT$4, 0)) = $B71) * (TRIM(INDEX('6. TIẾN ĐỘ MUA HÀNG'!$A:$AT, 0, XMATCH("Tháng", '6. TIẾN ĐỘ MUA HÀNG'!$A$4:$AT$4, 0))) = TRIM($G$6)) * (INDEX('6. TIẾN ĐỘ MUA HÀNG'!$A:$AT, 0, XMATCH("Phân loại VTBB/NL", '6. TIẾN ĐỘ MUA HÀNG'!$A$4:$AT$4, 0)) &lt;&gt; ""))</f>
        <v>0</v>
      </c>
      <c r="H71" s="742">
        <f t="array" ref="H71">SUMPRODUCT(IFERROR(INDEX('6. TIẾN ĐỘ MUA HÀNG'!$A$5:$AT81, 0, XMATCH("Thành tiền đơn hàng", '6. TIẾN ĐỘ MUA HÀNG'!$A$4:$AT$4, 0)), 0) * (INDEX('6. TIẾN ĐỘ MUA HÀNG'!$A$5:$AT81, 0, XMATCH("Phân loại VTBB/NL", '6. TIẾN ĐỘ MUA HÀNG'!$A$4:$AT$4, 0)) = $B71) * (TRIM(INDEX('6. TIẾN ĐỘ MUA HÀNG'!$A$5:$AT81, 0, XMATCH("Tháng", '6. TIẾN ĐỘ MUA HÀNG'!$A$4:$AT$4, 0))) = TRIM(G$6)))</f>
        <v>0</v>
      </c>
      <c r="I71" s="743">
        <f t="array" ref="I71">SUMPRODUCT((INDEX('6. TIẾN ĐỘ MUA HÀNG'!$A:$AT, 0, XMATCH("Phân loại VTBB/NL", '6. TIẾN ĐỘ MUA HÀNG'!$A$4:$AT$4, 0)) = $B71) * (TRIM(INDEX('6. TIẾN ĐỘ MUA HÀNG'!$A:$AT, 0, XMATCH("Tháng", '6. TIẾN ĐỘ MUA HÀNG'!$A$4:$AT$4, 0))) = TRIM(I$6)) * (INDEX('6. TIẾN ĐỘ MUA HÀNG'!$A:$AT, 0, XMATCH("Phân loại VTBB/NL", '6. TIẾN ĐỘ MUA HÀNG'!$A$4:$AT$4, 0)) &lt;&gt; ""))</f>
        <v>0</v>
      </c>
      <c r="J71" s="744">
        <f t="array" ref="J71">SUMPRODUCT(IFERROR(INDEX('6. TIẾN ĐỘ MUA HÀNG'!$A$5:$AT81, 0, XMATCH("Thành tiền đơn hàng", '6. TIẾN ĐỘ MUA HÀNG'!$A$4:$AT$4, 0)), 0) * (INDEX('6. TIẾN ĐỘ MUA HÀNG'!$A$5:$AT81, 0, XMATCH("Phân loại VTBB/NL", '6. TIẾN ĐỘ MUA HÀNG'!$A$4:$AT$4, 0)) = $B71) * (TRIM(INDEX('6. TIẾN ĐỘ MUA HÀNG'!$A$5:$AT81, 0, XMATCH("Tháng", '6. TIẾN ĐỘ MUA HÀNG'!$A$4:$AT$4, 0))) = TRIM(I$6)))</f>
        <v>0</v>
      </c>
      <c r="K71" s="741">
        <f t="array" ref="K71">SUMPRODUCT((INDEX('6. TIẾN ĐỘ MUA HÀNG'!$A:$AT, 0, XMATCH("Phân loại VTBB/NL", '6. TIẾN ĐỘ MUA HÀNG'!$A$4:$AT$4, 0)) = $B71) * (TRIM(INDEX('6. TIẾN ĐỘ MUA HÀNG'!$A:$AT, 0, XMATCH("Tháng", '6. TIẾN ĐỘ MUA HÀNG'!$A$4:$AT$4, 0))) = TRIM($K$6)) * (INDEX('6. TIẾN ĐỘ MUA HÀNG'!$A:$AT, 0, XMATCH("Phân loại VTBB/NL", '6. TIẾN ĐỘ MUA HÀNG'!$A$4:$AT$4, 0)) &lt;&gt; ""))</f>
        <v>0</v>
      </c>
      <c r="L71" s="742">
        <f t="array" ref="L71">SUMPRODUCT(IFERROR(INDEX('6. TIẾN ĐỘ MUA HÀNG'!$A$5:$AT81, 0, XMATCH("Thành tiền đơn hàng", '6. TIẾN ĐỘ MUA HÀNG'!$A$4:$AT$4, 0)), 0) * (INDEX('6. TIẾN ĐỘ MUA HÀNG'!$A$5:$AT81, 0, XMATCH("Phân loại VTBB/NL", '6. TIẾN ĐỘ MUA HÀNG'!$A$4:$AT$4, 0)) = $B71) * (TRIM(INDEX('6. TIẾN ĐỘ MUA HÀNG'!$A$5:$AT81, 0, XMATCH("Tháng", '6. TIẾN ĐỘ MUA HÀNG'!$A$4:$AT$4, 0))) = TRIM(K$6)))</f>
        <v>0</v>
      </c>
      <c r="M71" s="743">
        <f t="array" ref="M71">SUMPRODUCT((INDEX('6. TIẾN ĐỘ MUA HÀNG'!$A:$AT, 0, XMATCH("Phân loại VTBB/NL", '6. TIẾN ĐỘ MUA HÀNG'!$A$4:$AT$4, 0)) = $B71) * (TRIM(INDEX('6. TIẾN ĐỘ MUA HÀNG'!$A:$AT, 0, XMATCH("Tháng", '6. TIẾN ĐỘ MUA HÀNG'!$A$4:$AT$4, 0))) = TRIM(M$6)) * (INDEX('6. TIẾN ĐỘ MUA HÀNG'!$A:$AT, 0, XMATCH("Phân loại VTBB/NL", '6. TIẾN ĐỘ MUA HÀNG'!$A$4:$AT$4, 0)) &lt;&gt; ""))</f>
        <v>0</v>
      </c>
      <c r="N71" s="744">
        <f t="array" ref="N71">SUMPRODUCT(IFERROR(INDEX('6. TIẾN ĐỘ MUA HÀNG'!$A$5:$AT81, 0, XMATCH("Thành tiền đơn hàng", '6. TIẾN ĐỘ MUA HÀNG'!$A$4:$AT$4, 0)), 0) * (INDEX('6. TIẾN ĐỘ MUA HÀNG'!$A$5:$AT81, 0, XMATCH("Phân loại VTBB/NL", '6. TIẾN ĐỘ MUA HÀNG'!$A$4:$AT$4, 0)) = $B71) * (TRIM(INDEX('6. TIẾN ĐỘ MUA HÀNG'!$A$5:$AT81, 0, XMATCH("Tháng", '6. TIẾN ĐỘ MUA HÀNG'!$A$4:$AT$4, 0))) = TRIM(M$6)))</f>
        <v>0</v>
      </c>
      <c r="O71" s="741">
        <f t="array" ref="O71">SUMPRODUCT((INDEX('6. TIẾN ĐỘ MUA HÀNG'!$A:$AT, 0, XMATCH("Phân loại VTBB/NL", '6. TIẾN ĐỘ MUA HÀNG'!$A$4:$AT$4, 0)) = $B71) * (TRIM(INDEX('6. TIẾN ĐỘ MUA HÀNG'!$A:$AT, 0, XMATCH("Tháng", '6. TIẾN ĐỘ MUA HÀNG'!$A$4:$AT$4, 0))) = TRIM($O$6)) * (INDEX('6. TIẾN ĐỘ MUA HÀNG'!$A:$AT, 0, XMATCH("Phân loại VTBB/NL", '6. TIẾN ĐỘ MUA HÀNG'!$A$4:$AT$4, 0)) &lt;&gt; ""))</f>
        <v>0</v>
      </c>
      <c r="P71" s="742">
        <f t="array" ref="P71">SUMPRODUCT(IFERROR(INDEX('6. TIẾN ĐỘ MUA HÀNG'!$A$5:$AT81, 0, XMATCH("Thành tiền đơn hàng", '6. TIẾN ĐỘ MUA HÀNG'!$A$4:$AT$4, 0)), 0) * (INDEX('6. TIẾN ĐỘ MUA HÀNG'!$A$5:$AT81, 0, XMATCH("Phân loại VTBB/NL", '6. TIẾN ĐỘ MUA HÀNG'!$A$4:$AT$4, 0)) = $B71) * (TRIM(INDEX('6. TIẾN ĐỘ MUA HÀNG'!$A$5:$AT81, 0, XMATCH("Tháng", '6. TIẾN ĐỘ MUA HÀNG'!$A$4:$AT$4, 0))) = TRIM(O$6)))</f>
        <v>0</v>
      </c>
      <c r="Q71" s="743">
        <f t="array" ref="Q71">SUMPRODUCT((INDEX('6. TIẾN ĐỘ MUA HÀNG'!$A:$AT, 0, XMATCH("Phân loại VTBB/NL", '6. TIẾN ĐỘ MUA HÀNG'!$A$4:$AT$4, 0)) = $B71) * (TRIM(INDEX('6. TIẾN ĐỘ MUA HÀNG'!$A:$AT, 0, XMATCH("Tháng", '6. TIẾN ĐỘ MUA HÀNG'!$A$4:$AT$4, 0))) = TRIM(Q$6)) * (INDEX('6. TIẾN ĐỘ MUA HÀNG'!$A:$AT, 0, XMATCH("Phân loại VTBB/NL", '6. TIẾN ĐỘ MUA HÀNG'!$A$4:$AT$4, 0)) &lt;&gt; ""))</f>
        <v>0</v>
      </c>
      <c r="R71" s="744">
        <f t="array" ref="R71">SUMPRODUCT(IFERROR(INDEX('6. TIẾN ĐỘ MUA HÀNG'!$A$5:$AT81, 0, XMATCH("Thành tiền đơn hàng", '6. TIẾN ĐỘ MUA HÀNG'!$A$4:$AT$4, 0)), 0) * (INDEX('6. TIẾN ĐỘ MUA HÀNG'!$A$5:$AT81, 0, XMATCH("Phân loại VTBB/NL", '6. TIẾN ĐỘ MUA HÀNG'!$A$4:$AT$4, 0)) = $B71) * (TRIM(INDEX('6. TIẾN ĐỘ MUA HÀNG'!$A$5:$AT81, 0, XMATCH("Tháng", '6. TIẾN ĐỘ MUA HÀNG'!$A$4:$AT$4, 0))) = TRIM(Q$6)))</f>
        <v>0</v>
      </c>
      <c r="S71" s="741">
        <f t="array" ref="S71">SUMPRODUCT((INDEX('6. TIẾN ĐỘ MUA HÀNG'!$A:$AT, 0, XMATCH("Phân loại VTBB/NL", '6. TIẾN ĐỘ MUA HÀNG'!$A$4:$AT$4, 0)) = $B71) * (TRIM(INDEX('6. TIẾN ĐỘ MUA HÀNG'!$A:$AT, 0, XMATCH("Tháng", '6. TIẾN ĐỘ MUA HÀNG'!$A$4:$AT$4, 0))) = TRIM($S$6)) * (INDEX('6. TIẾN ĐỘ MUA HÀNG'!$A:$AT, 0, XMATCH("Phân loại VTBB/NL", '6. TIẾN ĐỘ MUA HÀNG'!$A$4:$AT$4, 0)) &lt;&gt; ""))</f>
        <v>0</v>
      </c>
      <c r="T71" s="742">
        <f t="array" ref="T71">SUMPRODUCT(IFERROR(INDEX('6. TIẾN ĐỘ MUA HÀNG'!$A$5:$AT81, 0, XMATCH("Thành tiền đơn hàng", '6. TIẾN ĐỘ MUA HÀNG'!$A$4:$AT$4, 0)), 0) * (INDEX('6. TIẾN ĐỘ MUA HÀNG'!$A$5:$AT81, 0, XMATCH("Phân loại VTBB/NL", '6. TIẾN ĐỘ MUA HÀNG'!$A$4:$AT$4, 0)) = $B71) * (TRIM(INDEX('6. TIẾN ĐỘ MUA HÀNG'!$A$5:$AT81, 0, XMATCH("Tháng", '6. TIẾN ĐỘ MUA HÀNG'!$A$4:$AT$4, 0))) = TRIM(S$6)))</f>
        <v>0</v>
      </c>
      <c r="U71" s="743">
        <f t="array" ref="U71">SUMPRODUCT((INDEX('6. TIẾN ĐỘ MUA HÀNG'!$A:$AT, 0, XMATCH("Phân loại VTBB/NL", '6. TIẾN ĐỘ MUA HÀNG'!$A$4:$AT$4, 0)) = $B71) * (TRIM(INDEX('6. TIẾN ĐỘ MUA HÀNG'!$A:$AT, 0, XMATCH("Tháng", '6. TIẾN ĐỘ MUA HÀNG'!$A$4:$AT$4, 0))) = TRIM(U$6)) * (INDEX('6. TIẾN ĐỘ MUA HÀNG'!$A:$AT, 0, XMATCH("Phân loại VTBB/NL", '6. TIẾN ĐỘ MUA HÀNG'!$A$4:$AT$4, 0)) &lt;&gt; ""))</f>
        <v>0</v>
      </c>
      <c r="V71" s="744">
        <f t="array" ref="V71">SUMPRODUCT(IFERROR(INDEX('6. TIẾN ĐỘ MUA HÀNG'!$A$5:$AT81, 0, XMATCH("Thành tiền đơn hàng", '6. TIẾN ĐỘ MUA HÀNG'!$A$4:$AT$4, 0)), 0) * (INDEX('6. TIẾN ĐỘ MUA HÀNG'!$A$5:$AT81, 0, XMATCH("Phân loại VTBB/NL", '6. TIẾN ĐỘ MUA HÀNG'!$A$4:$AT$4, 0)) = $B71) * (TRIM(INDEX('6. TIẾN ĐỘ MUA HÀNG'!$A$5:$AT81, 0, XMATCH("Tháng", '6. TIẾN ĐỘ MUA HÀNG'!$A$4:$AT$4, 0))) = TRIM(U$6)))</f>
        <v>0</v>
      </c>
      <c r="W71" s="741">
        <f t="array" ref="W71">SUMPRODUCT((INDEX('6. TIẾN ĐỘ MUA HÀNG'!$A:$AT, 0, XMATCH("Phân loại VTBB/NL", '6. TIẾN ĐỘ MUA HÀNG'!$A$4:$AT$4, 0)) = $B71) * (TRIM(INDEX('6. TIẾN ĐỘ MUA HÀNG'!$A:$AT, 0, XMATCH("Tháng", '6. TIẾN ĐỘ MUA HÀNG'!$A$4:$AT$4, 0))) = TRIM($W$6)) * (INDEX('6. TIẾN ĐỘ MUA HÀNG'!$A:$AT, 0, XMATCH("Phân loại VTBB/NL", '6. TIẾN ĐỘ MUA HÀNG'!$A$4:$AT$4, 0)) &lt;&gt; ""))</f>
        <v>0</v>
      </c>
      <c r="X71" s="742">
        <f t="array" ref="X71">SUMPRODUCT(IFERROR(INDEX('6. TIẾN ĐỘ MUA HÀNG'!$A$5:$AT81, 0, XMATCH("Thành tiền đơn hàng", '6. TIẾN ĐỘ MUA HÀNG'!$A$4:$AT$4, 0)), 0) * (INDEX('6. TIẾN ĐỘ MUA HÀNG'!$A$5:$AT81, 0, XMATCH("Phân loại VTBB/NL", '6. TIẾN ĐỘ MUA HÀNG'!$A$4:$AT$4, 0)) = $B71) * (TRIM(INDEX('6. TIẾN ĐỘ MUA HÀNG'!$A$5:$AT81, 0, XMATCH("Tháng", '6. TIẾN ĐỘ MUA HÀNG'!$A$4:$AT$4, 0))) = TRIM(W$6)))</f>
        <v>0</v>
      </c>
      <c r="Y71" s="743">
        <f t="array" ref="Y71">SUMPRODUCT((INDEX('6. TIẾN ĐỘ MUA HÀNG'!$A:$AT, 0, XMATCH("Phân loại VTBB/NL", '6. TIẾN ĐỘ MUA HÀNG'!$A$4:$AT$4, 0)) = $B71) * (TRIM(INDEX('6. TIẾN ĐỘ MUA HÀNG'!$A:$AT, 0, XMATCH("Tháng", '6. TIẾN ĐỘ MUA HÀNG'!$A$4:$AT$4, 0))) = TRIM(Y$6)) * (INDEX('6. TIẾN ĐỘ MUA HÀNG'!$A:$AT, 0, XMATCH("Phân loại VTBB/NL", '6. TIẾN ĐỘ MUA HÀNG'!$A$4:$AT$4, 0)) &lt;&gt; ""))</f>
        <v>0</v>
      </c>
      <c r="Z71" s="744">
        <f t="array" ref="Z71">SUMPRODUCT(IFERROR(INDEX('6. TIẾN ĐỘ MUA HÀNG'!$A$5:$AT81, 0, XMATCH("Thành tiền đơn hàng", '6. TIẾN ĐỘ MUA HÀNG'!$A$4:$AT$4, 0)), 0) * (INDEX('6. TIẾN ĐỘ MUA HÀNG'!$A$5:$AT81, 0, XMATCH("Phân loại VTBB/NL", '6. TIẾN ĐỘ MUA HÀNG'!$A$4:$AT$4, 0)) = $B71) * (TRIM(INDEX('6. TIẾN ĐỘ MUA HÀNG'!$A$5:$AT81, 0, XMATCH("Tháng", '6. TIẾN ĐỘ MUA HÀNG'!$A$4:$AT$4, 0))) = TRIM(Y$6)))</f>
        <v>0</v>
      </c>
      <c r="AA71" s="726">
        <f t="shared" si="2"/>
        <v>0</v>
      </c>
      <c r="AB71" s="726">
        <f t="shared" si="3"/>
        <v>0</v>
      </c>
    </row>
    <row r="72">
      <c r="A72" s="612">
        <v>64.0</v>
      </c>
      <c r="B72" s="597" t="str">
        <f>IFERROR(__xludf.DUMMYFUNCTION("""COMPUTED_VALUE"""),"Băng keo trong")</f>
        <v>Băng keo trong</v>
      </c>
      <c r="C72" s="741">
        <f t="array" ref="C72">SUMPRODUCT((INDEX('6. TIẾN ĐỘ MUA HÀNG'!$A:$AT, 0, XMATCH("Phân loại VTBB/NL", '6. TIẾN ĐỘ MUA HÀNG'!$A$4:$AT$4, 0)) = $B72) * (TRIM(INDEX('6. TIẾN ĐỘ MUA HÀNG'!$A:$AT, 0, XMATCH("Tháng", '6. TIẾN ĐỘ MUA HÀNG'!$A$4:$AT$4, 0))) = TRIM($C$6)) * (INDEX('6. TIẾN ĐỘ MUA HÀNG'!$A:$AT, 0, XMATCH("Phân loại VTBB/NL", '6. TIẾN ĐỘ MUA HÀNG'!$A$4:$AT$4, 0)) &lt;&gt; ""))</f>
        <v>0</v>
      </c>
      <c r="D72" s="742">
        <f t="array" ref="D72">SUMPRODUCT(IFERROR(INDEX('6. TIẾN ĐỘ MUA HÀNG'!$A$5:$AT81, 0, XMATCH("Thành tiền đơn hàng", '6. TIẾN ĐỘ MUA HÀNG'!$A$4:$AT$4, 0)), 0) * (INDEX('6. TIẾN ĐỘ MUA HÀNG'!$A$5:$AT81, 0, XMATCH("Phân loại VTBB/NL", '6. TIẾN ĐỘ MUA HÀNG'!$A$4:$AT$4, 0)) = $B72) * (TRIM(INDEX('6. TIẾN ĐỘ MUA HÀNG'!$A$5:$AT81, 0, XMATCH("Tháng", '6. TIẾN ĐỘ MUA HÀNG'!$A$4:$AT$4, 0))) = TRIM(C$6)))</f>
        <v>0</v>
      </c>
      <c r="E72" s="743">
        <f t="array" ref="E72">SUMPRODUCT((INDEX('6. TIẾN ĐỘ MUA HÀNG'!$A:$AT, 0, XMATCH("Phân loại VTBB/NL", '6. TIẾN ĐỘ MUA HÀNG'!$A$4:$AT$4, 0)) = $B72) * (TRIM(INDEX('6. TIẾN ĐỘ MUA HÀNG'!$A:$AT, 0, XMATCH("Tháng", '6. TIẾN ĐỘ MUA HÀNG'!$A$4:$AT$4, 0))) = TRIM(E$6)) * (INDEX('6. TIẾN ĐỘ MUA HÀNG'!$A:$AT, 0, XMATCH("Phân loại VTBB/NL", '6. TIẾN ĐỘ MUA HÀNG'!$A$4:$AT$4, 0)) &lt;&gt; ""))</f>
        <v>0</v>
      </c>
      <c r="F72" s="744">
        <f t="array" ref="F72">SUMPRODUCT(IFERROR(INDEX('6. TIẾN ĐỘ MUA HÀNG'!$A$5:$AT81, 0, XMATCH("Thành tiền đơn hàng", '6. TIẾN ĐỘ MUA HÀNG'!$A$4:$AT$4, 0)), 0) * (INDEX('6. TIẾN ĐỘ MUA HÀNG'!$A$5:$AT81, 0, XMATCH("Phân loại VTBB/NL", '6. TIẾN ĐỘ MUA HÀNG'!$A$4:$AT$4, 0)) = $B72) * (TRIM(INDEX('6. TIẾN ĐỘ MUA HÀNG'!$A$5:$AT81, 0, XMATCH("Tháng", '6. TIẾN ĐỘ MUA HÀNG'!$A$4:$AT$4, 0))) = TRIM(E$6)))</f>
        <v>0</v>
      </c>
      <c r="G72" s="741">
        <f t="array" ref="G72">SUMPRODUCT((INDEX('6. TIẾN ĐỘ MUA HÀNG'!$A:$AT, 0, XMATCH("Phân loại VTBB/NL", '6. TIẾN ĐỘ MUA HÀNG'!$A$4:$AT$4, 0)) = $B72) * (TRIM(INDEX('6. TIẾN ĐỘ MUA HÀNG'!$A:$AT, 0, XMATCH("Tháng", '6. TIẾN ĐỘ MUA HÀNG'!$A$4:$AT$4, 0))) = TRIM($G$6)) * (INDEX('6. TIẾN ĐỘ MUA HÀNG'!$A:$AT, 0, XMATCH("Phân loại VTBB/NL", '6. TIẾN ĐỘ MUA HÀNG'!$A$4:$AT$4, 0)) &lt;&gt; ""))</f>
        <v>0</v>
      </c>
      <c r="H72" s="742">
        <f t="array" ref="H72">SUMPRODUCT(IFERROR(INDEX('6. TIẾN ĐỘ MUA HÀNG'!$A$5:$AT81, 0, XMATCH("Thành tiền đơn hàng", '6. TIẾN ĐỘ MUA HÀNG'!$A$4:$AT$4, 0)), 0) * (INDEX('6. TIẾN ĐỘ MUA HÀNG'!$A$5:$AT81, 0, XMATCH("Phân loại VTBB/NL", '6. TIẾN ĐỘ MUA HÀNG'!$A$4:$AT$4, 0)) = $B72) * (TRIM(INDEX('6. TIẾN ĐỘ MUA HÀNG'!$A$5:$AT81, 0, XMATCH("Tháng", '6. TIẾN ĐỘ MUA HÀNG'!$A$4:$AT$4, 0))) = TRIM(G$6)))</f>
        <v>0</v>
      </c>
      <c r="I72" s="743">
        <f t="array" ref="I72">SUMPRODUCT((INDEX('6. TIẾN ĐỘ MUA HÀNG'!$A:$AT, 0, XMATCH("Phân loại VTBB/NL", '6. TIẾN ĐỘ MUA HÀNG'!$A$4:$AT$4, 0)) = $B72) * (TRIM(INDEX('6. TIẾN ĐỘ MUA HÀNG'!$A:$AT, 0, XMATCH("Tháng", '6. TIẾN ĐỘ MUA HÀNG'!$A$4:$AT$4, 0))) = TRIM(I$6)) * (INDEX('6. TIẾN ĐỘ MUA HÀNG'!$A:$AT, 0, XMATCH("Phân loại VTBB/NL", '6. TIẾN ĐỘ MUA HÀNG'!$A$4:$AT$4, 0)) &lt;&gt; ""))</f>
        <v>0</v>
      </c>
      <c r="J72" s="744">
        <f t="array" ref="J72">SUMPRODUCT(IFERROR(INDEX('6. TIẾN ĐỘ MUA HÀNG'!$A$5:$AT81, 0, XMATCH("Thành tiền đơn hàng", '6. TIẾN ĐỘ MUA HÀNG'!$A$4:$AT$4, 0)), 0) * (INDEX('6. TIẾN ĐỘ MUA HÀNG'!$A$5:$AT81, 0, XMATCH("Phân loại VTBB/NL", '6. TIẾN ĐỘ MUA HÀNG'!$A$4:$AT$4, 0)) = $B72) * (TRIM(INDEX('6. TIẾN ĐỘ MUA HÀNG'!$A$5:$AT81, 0, XMATCH("Tháng", '6. TIẾN ĐỘ MUA HÀNG'!$A$4:$AT$4, 0))) = TRIM(I$6)))</f>
        <v>0</v>
      </c>
      <c r="K72" s="741">
        <f t="array" ref="K72">SUMPRODUCT((INDEX('6. TIẾN ĐỘ MUA HÀNG'!$A:$AT, 0, XMATCH("Phân loại VTBB/NL", '6. TIẾN ĐỘ MUA HÀNG'!$A$4:$AT$4, 0)) = $B72) * (TRIM(INDEX('6. TIẾN ĐỘ MUA HÀNG'!$A:$AT, 0, XMATCH("Tháng", '6. TIẾN ĐỘ MUA HÀNG'!$A$4:$AT$4, 0))) = TRIM($K$6)) * (INDEX('6. TIẾN ĐỘ MUA HÀNG'!$A:$AT, 0, XMATCH("Phân loại VTBB/NL", '6. TIẾN ĐỘ MUA HÀNG'!$A$4:$AT$4, 0)) &lt;&gt; ""))</f>
        <v>0</v>
      </c>
      <c r="L72" s="742">
        <f t="array" ref="L72">SUMPRODUCT(IFERROR(INDEX('6. TIẾN ĐỘ MUA HÀNG'!$A$5:$AT81, 0, XMATCH("Thành tiền đơn hàng", '6. TIẾN ĐỘ MUA HÀNG'!$A$4:$AT$4, 0)), 0) * (INDEX('6. TIẾN ĐỘ MUA HÀNG'!$A$5:$AT81, 0, XMATCH("Phân loại VTBB/NL", '6. TIẾN ĐỘ MUA HÀNG'!$A$4:$AT$4, 0)) = $B72) * (TRIM(INDEX('6. TIẾN ĐỘ MUA HÀNG'!$A$5:$AT81, 0, XMATCH("Tháng", '6. TIẾN ĐỘ MUA HÀNG'!$A$4:$AT$4, 0))) = TRIM(K$6)))</f>
        <v>0</v>
      </c>
      <c r="M72" s="743">
        <f t="array" ref="M72">SUMPRODUCT((INDEX('6. TIẾN ĐỘ MUA HÀNG'!$A:$AT, 0, XMATCH("Phân loại VTBB/NL", '6. TIẾN ĐỘ MUA HÀNG'!$A$4:$AT$4, 0)) = $B72) * (TRIM(INDEX('6. TIẾN ĐỘ MUA HÀNG'!$A:$AT, 0, XMATCH("Tháng", '6. TIẾN ĐỘ MUA HÀNG'!$A$4:$AT$4, 0))) = TRIM(M$6)) * (INDEX('6. TIẾN ĐỘ MUA HÀNG'!$A:$AT, 0, XMATCH("Phân loại VTBB/NL", '6. TIẾN ĐỘ MUA HÀNG'!$A$4:$AT$4, 0)) &lt;&gt; ""))</f>
        <v>0</v>
      </c>
      <c r="N72" s="744">
        <f t="array" ref="N72">SUMPRODUCT(IFERROR(INDEX('6. TIẾN ĐỘ MUA HÀNG'!$A$5:$AT81, 0, XMATCH("Thành tiền đơn hàng", '6. TIẾN ĐỘ MUA HÀNG'!$A$4:$AT$4, 0)), 0) * (INDEX('6. TIẾN ĐỘ MUA HÀNG'!$A$5:$AT81, 0, XMATCH("Phân loại VTBB/NL", '6. TIẾN ĐỘ MUA HÀNG'!$A$4:$AT$4, 0)) = $B72) * (TRIM(INDEX('6. TIẾN ĐỘ MUA HÀNG'!$A$5:$AT81, 0, XMATCH("Tháng", '6. TIẾN ĐỘ MUA HÀNG'!$A$4:$AT$4, 0))) = TRIM(M$6)))</f>
        <v>0</v>
      </c>
      <c r="O72" s="741">
        <f t="array" ref="O72">SUMPRODUCT((INDEX('6. TIẾN ĐỘ MUA HÀNG'!$A:$AT, 0, XMATCH("Phân loại VTBB/NL", '6. TIẾN ĐỘ MUA HÀNG'!$A$4:$AT$4, 0)) = $B72) * (TRIM(INDEX('6. TIẾN ĐỘ MUA HÀNG'!$A:$AT, 0, XMATCH("Tháng", '6. TIẾN ĐỘ MUA HÀNG'!$A$4:$AT$4, 0))) = TRIM($O$6)) * (INDEX('6. TIẾN ĐỘ MUA HÀNG'!$A:$AT, 0, XMATCH("Phân loại VTBB/NL", '6. TIẾN ĐỘ MUA HÀNG'!$A$4:$AT$4, 0)) &lt;&gt; ""))</f>
        <v>0</v>
      </c>
      <c r="P72" s="742">
        <f t="array" ref="P72">SUMPRODUCT(IFERROR(INDEX('6. TIẾN ĐỘ MUA HÀNG'!$A$5:$AT81, 0, XMATCH("Thành tiền đơn hàng", '6. TIẾN ĐỘ MUA HÀNG'!$A$4:$AT$4, 0)), 0) * (INDEX('6. TIẾN ĐỘ MUA HÀNG'!$A$5:$AT81, 0, XMATCH("Phân loại VTBB/NL", '6. TIẾN ĐỘ MUA HÀNG'!$A$4:$AT$4, 0)) = $B72) * (TRIM(INDEX('6. TIẾN ĐỘ MUA HÀNG'!$A$5:$AT81, 0, XMATCH("Tháng", '6. TIẾN ĐỘ MUA HÀNG'!$A$4:$AT$4, 0))) = TRIM(O$6)))</f>
        <v>0</v>
      </c>
      <c r="Q72" s="743">
        <f t="array" ref="Q72">SUMPRODUCT((INDEX('6. TIẾN ĐỘ MUA HÀNG'!$A:$AT, 0, XMATCH("Phân loại VTBB/NL", '6. TIẾN ĐỘ MUA HÀNG'!$A$4:$AT$4, 0)) = $B72) * (TRIM(INDEX('6. TIẾN ĐỘ MUA HÀNG'!$A:$AT, 0, XMATCH("Tháng", '6. TIẾN ĐỘ MUA HÀNG'!$A$4:$AT$4, 0))) = TRIM(Q$6)) * (INDEX('6. TIẾN ĐỘ MUA HÀNG'!$A:$AT, 0, XMATCH("Phân loại VTBB/NL", '6. TIẾN ĐỘ MUA HÀNG'!$A$4:$AT$4, 0)) &lt;&gt; ""))</f>
        <v>0</v>
      </c>
      <c r="R72" s="744">
        <f t="array" ref="R72">SUMPRODUCT(IFERROR(INDEX('6. TIẾN ĐỘ MUA HÀNG'!$A$5:$AT81, 0, XMATCH("Thành tiền đơn hàng", '6. TIẾN ĐỘ MUA HÀNG'!$A$4:$AT$4, 0)), 0) * (INDEX('6. TIẾN ĐỘ MUA HÀNG'!$A$5:$AT81, 0, XMATCH("Phân loại VTBB/NL", '6. TIẾN ĐỘ MUA HÀNG'!$A$4:$AT$4, 0)) = $B72) * (TRIM(INDEX('6. TIẾN ĐỘ MUA HÀNG'!$A$5:$AT81, 0, XMATCH("Tháng", '6. TIẾN ĐỘ MUA HÀNG'!$A$4:$AT$4, 0))) = TRIM(Q$6)))</f>
        <v>0</v>
      </c>
      <c r="S72" s="741">
        <f t="array" ref="S72">SUMPRODUCT((INDEX('6. TIẾN ĐỘ MUA HÀNG'!$A:$AT, 0, XMATCH("Phân loại VTBB/NL", '6. TIẾN ĐỘ MUA HÀNG'!$A$4:$AT$4, 0)) = $B72) * (TRIM(INDEX('6. TIẾN ĐỘ MUA HÀNG'!$A:$AT, 0, XMATCH("Tháng", '6. TIẾN ĐỘ MUA HÀNG'!$A$4:$AT$4, 0))) = TRIM($S$6)) * (INDEX('6. TIẾN ĐỘ MUA HÀNG'!$A:$AT, 0, XMATCH("Phân loại VTBB/NL", '6. TIẾN ĐỘ MUA HÀNG'!$A$4:$AT$4, 0)) &lt;&gt; ""))</f>
        <v>0</v>
      </c>
      <c r="T72" s="742">
        <f t="array" ref="T72">SUMPRODUCT(IFERROR(INDEX('6. TIẾN ĐỘ MUA HÀNG'!$A$5:$AT81, 0, XMATCH("Thành tiền đơn hàng", '6. TIẾN ĐỘ MUA HÀNG'!$A$4:$AT$4, 0)), 0) * (INDEX('6. TIẾN ĐỘ MUA HÀNG'!$A$5:$AT81, 0, XMATCH("Phân loại VTBB/NL", '6. TIẾN ĐỘ MUA HÀNG'!$A$4:$AT$4, 0)) = $B72) * (TRIM(INDEX('6. TIẾN ĐỘ MUA HÀNG'!$A$5:$AT81, 0, XMATCH("Tháng", '6. TIẾN ĐỘ MUA HÀNG'!$A$4:$AT$4, 0))) = TRIM(S$6)))</f>
        <v>0</v>
      </c>
      <c r="U72" s="743">
        <f t="array" ref="U72">SUMPRODUCT((INDEX('6. TIẾN ĐỘ MUA HÀNG'!$A:$AT, 0, XMATCH("Phân loại VTBB/NL", '6. TIẾN ĐỘ MUA HÀNG'!$A$4:$AT$4, 0)) = $B72) * (TRIM(INDEX('6. TIẾN ĐỘ MUA HÀNG'!$A:$AT, 0, XMATCH("Tháng", '6. TIẾN ĐỘ MUA HÀNG'!$A$4:$AT$4, 0))) = TRIM(U$6)) * (INDEX('6. TIẾN ĐỘ MUA HÀNG'!$A:$AT, 0, XMATCH("Phân loại VTBB/NL", '6. TIẾN ĐỘ MUA HÀNG'!$A$4:$AT$4, 0)) &lt;&gt; ""))</f>
        <v>0</v>
      </c>
      <c r="V72" s="744">
        <f t="array" ref="V72">SUMPRODUCT(IFERROR(INDEX('6. TIẾN ĐỘ MUA HÀNG'!$A$5:$AT81, 0, XMATCH("Thành tiền đơn hàng", '6. TIẾN ĐỘ MUA HÀNG'!$A$4:$AT$4, 0)), 0) * (INDEX('6. TIẾN ĐỘ MUA HÀNG'!$A$5:$AT81, 0, XMATCH("Phân loại VTBB/NL", '6. TIẾN ĐỘ MUA HÀNG'!$A$4:$AT$4, 0)) = $B72) * (TRIM(INDEX('6. TIẾN ĐỘ MUA HÀNG'!$A$5:$AT81, 0, XMATCH("Tháng", '6. TIẾN ĐỘ MUA HÀNG'!$A$4:$AT$4, 0))) = TRIM(U$6)))</f>
        <v>0</v>
      </c>
      <c r="W72" s="741">
        <f t="array" ref="W72">SUMPRODUCT((INDEX('6. TIẾN ĐỘ MUA HÀNG'!$A:$AT, 0, XMATCH("Phân loại VTBB/NL", '6. TIẾN ĐỘ MUA HÀNG'!$A$4:$AT$4, 0)) = $B72) * (TRIM(INDEX('6. TIẾN ĐỘ MUA HÀNG'!$A:$AT, 0, XMATCH("Tháng", '6. TIẾN ĐỘ MUA HÀNG'!$A$4:$AT$4, 0))) = TRIM($W$6)) * (INDEX('6. TIẾN ĐỘ MUA HÀNG'!$A:$AT, 0, XMATCH("Phân loại VTBB/NL", '6. TIẾN ĐỘ MUA HÀNG'!$A$4:$AT$4, 0)) &lt;&gt; ""))</f>
        <v>0</v>
      </c>
      <c r="X72" s="742">
        <f t="array" ref="X72">SUMPRODUCT(IFERROR(INDEX('6. TIẾN ĐỘ MUA HÀNG'!$A$5:$AT81, 0, XMATCH("Thành tiền đơn hàng", '6. TIẾN ĐỘ MUA HÀNG'!$A$4:$AT$4, 0)), 0) * (INDEX('6. TIẾN ĐỘ MUA HÀNG'!$A$5:$AT81, 0, XMATCH("Phân loại VTBB/NL", '6. TIẾN ĐỘ MUA HÀNG'!$A$4:$AT$4, 0)) = $B72) * (TRIM(INDEX('6. TIẾN ĐỘ MUA HÀNG'!$A$5:$AT81, 0, XMATCH("Tháng", '6. TIẾN ĐỘ MUA HÀNG'!$A$4:$AT$4, 0))) = TRIM(W$6)))</f>
        <v>0</v>
      </c>
      <c r="Y72" s="743">
        <f t="array" ref="Y72">SUMPRODUCT((INDEX('6. TIẾN ĐỘ MUA HÀNG'!$A:$AT, 0, XMATCH("Phân loại VTBB/NL", '6. TIẾN ĐỘ MUA HÀNG'!$A$4:$AT$4, 0)) = $B72) * (TRIM(INDEX('6. TIẾN ĐỘ MUA HÀNG'!$A:$AT, 0, XMATCH("Tháng", '6. TIẾN ĐỘ MUA HÀNG'!$A$4:$AT$4, 0))) = TRIM(Y$6)) * (INDEX('6. TIẾN ĐỘ MUA HÀNG'!$A:$AT, 0, XMATCH("Phân loại VTBB/NL", '6. TIẾN ĐỘ MUA HÀNG'!$A$4:$AT$4, 0)) &lt;&gt; ""))</f>
        <v>0</v>
      </c>
      <c r="Z72" s="744">
        <f t="array" ref="Z72">SUMPRODUCT(IFERROR(INDEX('6. TIẾN ĐỘ MUA HÀNG'!$A$5:$AT81, 0, XMATCH("Thành tiền đơn hàng", '6. TIẾN ĐỘ MUA HÀNG'!$A$4:$AT$4, 0)), 0) * (INDEX('6. TIẾN ĐỘ MUA HÀNG'!$A$5:$AT81, 0, XMATCH("Phân loại VTBB/NL", '6. TIẾN ĐỘ MUA HÀNG'!$A$4:$AT$4, 0)) = $B72) * (TRIM(INDEX('6. TIẾN ĐỘ MUA HÀNG'!$A$5:$AT81, 0, XMATCH("Tháng", '6. TIẾN ĐỘ MUA HÀNG'!$A$4:$AT$4, 0))) = TRIM(Y$6)))</f>
        <v>0</v>
      </c>
      <c r="AA72" s="726">
        <f t="shared" si="2"/>
        <v>0</v>
      </c>
      <c r="AB72" s="726">
        <f t="shared" si="3"/>
        <v>0</v>
      </c>
    </row>
    <row r="73">
      <c r="A73" s="612">
        <v>65.0</v>
      </c>
      <c r="B73" s="597" t="str">
        <f>IFERROR(__xludf.DUMMYFUNCTION("""COMPUTED_VALUE"""),"Băng keo in logo")</f>
        <v>Băng keo in logo</v>
      </c>
      <c r="C73" s="741">
        <f t="array" ref="C73">SUMPRODUCT((INDEX('6. TIẾN ĐỘ MUA HÀNG'!$A:$AT, 0, XMATCH("Phân loại VTBB/NL", '6. TIẾN ĐỘ MUA HÀNG'!$A$4:$AT$4, 0)) = $B73) * (TRIM(INDEX('6. TIẾN ĐỘ MUA HÀNG'!$A:$AT, 0, XMATCH("Tháng", '6. TIẾN ĐỘ MUA HÀNG'!$A$4:$AT$4, 0))) = TRIM($C$6)) * (INDEX('6. TIẾN ĐỘ MUA HÀNG'!$A:$AT, 0, XMATCH("Phân loại VTBB/NL", '6. TIẾN ĐỘ MUA HÀNG'!$A$4:$AT$4, 0)) &lt;&gt; ""))</f>
        <v>0</v>
      </c>
      <c r="D73" s="742">
        <f t="array" ref="D73">SUMPRODUCT(IFERROR(INDEX('6. TIẾN ĐỘ MUA HÀNG'!$A$5:$AT81, 0, XMATCH("Thành tiền đơn hàng", '6. TIẾN ĐỘ MUA HÀNG'!$A$4:$AT$4, 0)), 0) * (INDEX('6. TIẾN ĐỘ MUA HÀNG'!$A$5:$AT81, 0, XMATCH("Phân loại VTBB/NL", '6. TIẾN ĐỘ MUA HÀNG'!$A$4:$AT$4, 0)) = $B73) * (TRIM(INDEX('6. TIẾN ĐỘ MUA HÀNG'!$A$5:$AT81, 0, XMATCH("Tháng", '6. TIẾN ĐỘ MUA HÀNG'!$A$4:$AT$4, 0))) = TRIM(C$6)))</f>
        <v>0</v>
      </c>
      <c r="E73" s="743">
        <f t="array" ref="E73">SUMPRODUCT((INDEX('6. TIẾN ĐỘ MUA HÀNG'!$A:$AT, 0, XMATCH("Phân loại VTBB/NL", '6. TIẾN ĐỘ MUA HÀNG'!$A$4:$AT$4, 0)) = $B73) * (TRIM(INDEX('6. TIẾN ĐỘ MUA HÀNG'!$A:$AT, 0, XMATCH("Tháng", '6. TIẾN ĐỘ MUA HÀNG'!$A$4:$AT$4, 0))) = TRIM(E$6)) * (INDEX('6. TIẾN ĐỘ MUA HÀNG'!$A:$AT, 0, XMATCH("Phân loại VTBB/NL", '6. TIẾN ĐỘ MUA HÀNG'!$A$4:$AT$4, 0)) &lt;&gt; ""))</f>
        <v>0</v>
      </c>
      <c r="F73" s="744">
        <f t="array" ref="F73">SUMPRODUCT(IFERROR(INDEX('6. TIẾN ĐỘ MUA HÀNG'!$A$5:$AT81, 0, XMATCH("Thành tiền đơn hàng", '6. TIẾN ĐỘ MUA HÀNG'!$A$4:$AT$4, 0)), 0) * (INDEX('6. TIẾN ĐỘ MUA HÀNG'!$A$5:$AT81, 0, XMATCH("Phân loại VTBB/NL", '6. TIẾN ĐỘ MUA HÀNG'!$A$4:$AT$4, 0)) = $B73) * (TRIM(INDEX('6. TIẾN ĐỘ MUA HÀNG'!$A$5:$AT81, 0, XMATCH("Tháng", '6. TIẾN ĐỘ MUA HÀNG'!$A$4:$AT$4, 0))) = TRIM(E$6)))</f>
        <v>0</v>
      </c>
      <c r="G73" s="741">
        <f t="array" ref="G73">SUMPRODUCT((INDEX('6. TIẾN ĐỘ MUA HÀNG'!$A:$AT, 0, XMATCH("Phân loại VTBB/NL", '6. TIẾN ĐỘ MUA HÀNG'!$A$4:$AT$4, 0)) = $B73) * (TRIM(INDEX('6. TIẾN ĐỘ MUA HÀNG'!$A:$AT, 0, XMATCH("Tháng", '6. TIẾN ĐỘ MUA HÀNG'!$A$4:$AT$4, 0))) = TRIM($G$6)) * (INDEX('6. TIẾN ĐỘ MUA HÀNG'!$A:$AT, 0, XMATCH("Phân loại VTBB/NL", '6. TIẾN ĐỘ MUA HÀNG'!$A$4:$AT$4, 0)) &lt;&gt; ""))</f>
        <v>0</v>
      </c>
      <c r="H73" s="742">
        <f t="array" ref="H73">SUMPRODUCT(IFERROR(INDEX('6. TIẾN ĐỘ MUA HÀNG'!$A$5:$AT81, 0, XMATCH("Thành tiền đơn hàng", '6. TIẾN ĐỘ MUA HÀNG'!$A$4:$AT$4, 0)), 0) * (INDEX('6. TIẾN ĐỘ MUA HÀNG'!$A$5:$AT81, 0, XMATCH("Phân loại VTBB/NL", '6. TIẾN ĐỘ MUA HÀNG'!$A$4:$AT$4, 0)) = $B73) * (TRIM(INDEX('6. TIẾN ĐỘ MUA HÀNG'!$A$5:$AT81, 0, XMATCH("Tháng", '6. TIẾN ĐỘ MUA HÀNG'!$A$4:$AT$4, 0))) = TRIM(G$6)))</f>
        <v>0</v>
      </c>
      <c r="I73" s="743">
        <f t="array" ref="I73">SUMPRODUCT((INDEX('6. TIẾN ĐỘ MUA HÀNG'!$A:$AT, 0, XMATCH("Phân loại VTBB/NL", '6. TIẾN ĐỘ MUA HÀNG'!$A$4:$AT$4, 0)) = $B73) * (TRIM(INDEX('6. TIẾN ĐỘ MUA HÀNG'!$A:$AT, 0, XMATCH("Tháng", '6. TIẾN ĐỘ MUA HÀNG'!$A$4:$AT$4, 0))) = TRIM(I$6)) * (INDEX('6. TIẾN ĐỘ MUA HÀNG'!$A:$AT, 0, XMATCH("Phân loại VTBB/NL", '6. TIẾN ĐỘ MUA HÀNG'!$A$4:$AT$4, 0)) &lt;&gt; ""))</f>
        <v>0</v>
      </c>
      <c r="J73" s="744">
        <f t="array" ref="J73">SUMPRODUCT(IFERROR(INDEX('6. TIẾN ĐỘ MUA HÀNG'!$A$5:$AT81, 0, XMATCH("Thành tiền đơn hàng", '6. TIẾN ĐỘ MUA HÀNG'!$A$4:$AT$4, 0)), 0) * (INDEX('6. TIẾN ĐỘ MUA HÀNG'!$A$5:$AT81, 0, XMATCH("Phân loại VTBB/NL", '6. TIẾN ĐỘ MUA HÀNG'!$A$4:$AT$4, 0)) = $B73) * (TRIM(INDEX('6. TIẾN ĐỘ MUA HÀNG'!$A$5:$AT81, 0, XMATCH("Tháng", '6. TIẾN ĐỘ MUA HÀNG'!$A$4:$AT$4, 0))) = TRIM(I$6)))</f>
        <v>0</v>
      </c>
      <c r="K73" s="741">
        <f t="array" ref="K73">SUMPRODUCT((INDEX('6. TIẾN ĐỘ MUA HÀNG'!$A:$AT, 0, XMATCH("Phân loại VTBB/NL", '6. TIẾN ĐỘ MUA HÀNG'!$A$4:$AT$4, 0)) = $B73) * (TRIM(INDEX('6. TIẾN ĐỘ MUA HÀNG'!$A:$AT, 0, XMATCH("Tháng", '6. TIẾN ĐỘ MUA HÀNG'!$A$4:$AT$4, 0))) = TRIM($K$6)) * (INDEX('6. TIẾN ĐỘ MUA HÀNG'!$A:$AT, 0, XMATCH("Phân loại VTBB/NL", '6. TIẾN ĐỘ MUA HÀNG'!$A$4:$AT$4, 0)) &lt;&gt; ""))</f>
        <v>0</v>
      </c>
      <c r="L73" s="742">
        <f t="array" ref="L73">SUMPRODUCT(IFERROR(INDEX('6. TIẾN ĐỘ MUA HÀNG'!$A$5:$AT81, 0, XMATCH("Thành tiền đơn hàng", '6. TIẾN ĐỘ MUA HÀNG'!$A$4:$AT$4, 0)), 0) * (INDEX('6. TIẾN ĐỘ MUA HÀNG'!$A$5:$AT81, 0, XMATCH("Phân loại VTBB/NL", '6. TIẾN ĐỘ MUA HÀNG'!$A$4:$AT$4, 0)) = $B73) * (TRIM(INDEX('6. TIẾN ĐỘ MUA HÀNG'!$A$5:$AT81, 0, XMATCH("Tháng", '6. TIẾN ĐỘ MUA HÀNG'!$A$4:$AT$4, 0))) = TRIM(K$6)))</f>
        <v>0</v>
      </c>
      <c r="M73" s="743">
        <f t="array" ref="M73">SUMPRODUCT((INDEX('6. TIẾN ĐỘ MUA HÀNG'!$A:$AT, 0, XMATCH("Phân loại VTBB/NL", '6. TIẾN ĐỘ MUA HÀNG'!$A$4:$AT$4, 0)) = $B73) * (TRIM(INDEX('6. TIẾN ĐỘ MUA HÀNG'!$A:$AT, 0, XMATCH("Tháng", '6. TIẾN ĐỘ MUA HÀNG'!$A$4:$AT$4, 0))) = TRIM(M$6)) * (INDEX('6. TIẾN ĐỘ MUA HÀNG'!$A:$AT, 0, XMATCH("Phân loại VTBB/NL", '6. TIẾN ĐỘ MUA HÀNG'!$A$4:$AT$4, 0)) &lt;&gt; ""))</f>
        <v>0</v>
      </c>
      <c r="N73" s="744">
        <f t="array" ref="N73">SUMPRODUCT(IFERROR(INDEX('6. TIẾN ĐỘ MUA HÀNG'!$A$5:$AT81, 0, XMATCH("Thành tiền đơn hàng", '6. TIẾN ĐỘ MUA HÀNG'!$A$4:$AT$4, 0)), 0) * (INDEX('6. TIẾN ĐỘ MUA HÀNG'!$A$5:$AT81, 0, XMATCH("Phân loại VTBB/NL", '6. TIẾN ĐỘ MUA HÀNG'!$A$4:$AT$4, 0)) = $B73) * (TRIM(INDEX('6. TIẾN ĐỘ MUA HÀNG'!$A$5:$AT81, 0, XMATCH("Tháng", '6. TIẾN ĐỘ MUA HÀNG'!$A$4:$AT$4, 0))) = TRIM(M$6)))</f>
        <v>0</v>
      </c>
      <c r="O73" s="741">
        <f t="array" ref="O73">SUMPRODUCT((INDEX('6. TIẾN ĐỘ MUA HÀNG'!$A:$AT, 0, XMATCH("Phân loại VTBB/NL", '6. TIẾN ĐỘ MUA HÀNG'!$A$4:$AT$4, 0)) = $B73) * (TRIM(INDEX('6. TIẾN ĐỘ MUA HÀNG'!$A:$AT, 0, XMATCH("Tháng", '6. TIẾN ĐỘ MUA HÀNG'!$A$4:$AT$4, 0))) = TRIM($O$6)) * (INDEX('6. TIẾN ĐỘ MUA HÀNG'!$A:$AT, 0, XMATCH("Phân loại VTBB/NL", '6. TIẾN ĐỘ MUA HÀNG'!$A$4:$AT$4, 0)) &lt;&gt; ""))</f>
        <v>0</v>
      </c>
      <c r="P73" s="742">
        <f t="array" ref="P73">SUMPRODUCT(IFERROR(INDEX('6. TIẾN ĐỘ MUA HÀNG'!$A$5:$AT81, 0, XMATCH("Thành tiền đơn hàng", '6. TIẾN ĐỘ MUA HÀNG'!$A$4:$AT$4, 0)), 0) * (INDEX('6. TIẾN ĐỘ MUA HÀNG'!$A$5:$AT81, 0, XMATCH("Phân loại VTBB/NL", '6. TIẾN ĐỘ MUA HÀNG'!$A$4:$AT$4, 0)) = $B73) * (TRIM(INDEX('6. TIẾN ĐỘ MUA HÀNG'!$A$5:$AT81, 0, XMATCH("Tháng", '6. TIẾN ĐỘ MUA HÀNG'!$A$4:$AT$4, 0))) = TRIM(O$6)))</f>
        <v>0</v>
      </c>
      <c r="Q73" s="743">
        <f t="array" ref="Q73">SUMPRODUCT((INDEX('6. TIẾN ĐỘ MUA HÀNG'!$A:$AT, 0, XMATCH("Phân loại VTBB/NL", '6. TIẾN ĐỘ MUA HÀNG'!$A$4:$AT$4, 0)) = $B73) * (TRIM(INDEX('6. TIẾN ĐỘ MUA HÀNG'!$A:$AT, 0, XMATCH("Tháng", '6. TIẾN ĐỘ MUA HÀNG'!$A$4:$AT$4, 0))) = TRIM(Q$6)) * (INDEX('6. TIẾN ĐỘ MUA HÀNG'!$A:$AT, 0, XMATCH("Phân loại VTBB/NL", '6. TIẾN ĐỘ MUA HÀNG'!$A$4:$AT$4, 0)) &lt;&gt; ""))</f>
        <v>0</v>
      </c>
      <c r="R73" s="744">
        <f t="array" ref="R73">SUMPRODUCT(IFERROR(INDEX('6. TIẾN ĐỘ MUA HÀNG'!$A$5:$AT81, 0, XMATCH("Thành tiền đơn hàng", '6. TIẾN ĐỘ MUA HÀNG'!$A$4:$AT$4, 0)), 0) * (INDEX('6. TIẾN ĐỘ MUA HÀNG'!$A$5:$AT81, 0, XMATCH("Phân loại VTBB/NL", '6. TIẾN ĐỘ MUA HÀNG'!$A$4:$AT$4, 0)) = $B73) * (TRIM(INDEX('6. TIẾN ĐỘ MUA HÀNG'!$A$5:$AT81, 0, XMATCH("Tháng", '6. TIẾN ĐỘ MUA HÀNG'!$A$4:$AT$4, 0))) = TRIM(Q$6)))</f>
        <v>0</v>
      </c>
      <c r="S73" s="741">
        <f t="array" ref="S73">SUMPRODUCT((INDEX('6. TIẾN ĐỘ MUA HÀNG'!$A:$AT, 0, XMATCH("Phân loại VTBB/NL", '6. TIẾN ĐỘ MUA HÀNG'!$A$4:$AT$4, 0)) = $B73) * (TRIM(INDEX('6. TIẾN ĐỘ MUA HÀNG'!$A:$AT, 0, XMATCH("Tháng", '6. TIẾN ĐỘ MUA HÀNG'!$A$4:$AT$4, 0))) = TRIM($S$6)) * (INDEX('6. TIẾN ĐỘ MUA HÀNG'!$A:$AT, 0, XMATCH("Phân loại VTBB/NL", '6. TIẾN ĐỘ MUA HÀNG'!$A$4:$AT$4, 0)) &lt;&gt; ""))</f>
        <v>0</v>
      </c>
      <c r="T73" s="742">
        <f t="array" ref="T73">SUMPRODUCT(IFERROR(INDEX('6. TIẾN ĐỘ MUA HÀNG'!$A$5:$AT81, 0, XMATCH("Thành tiền đơn hàng", '6. TIẾN ĐỘ MUA HÀNG'!$A$4:$AT$4, 0)), 0) * (INDEX('6. TIẾN ĐỘ MUA HÀNG'!$A$5:$AT81, 0, XMATCH("Phân loại VTBB/NL", '6. TIẾN ĐỘ MUA HÀNG'!$A$4:$AT$4, 0)) = $B73) * (TRIM(INDEX('6. TIẾN ĐỘ MUA HÀNG'!$A$5:$AT81, 0, XMATCH("Tháng", '6. TIẾN ĐỘ MUA HÀNG'!$A$4:$AT$4, 0))) = TRIM(S$6)))</f>
        <v>0</v>
      </c>
      <c r="U73" s="743">
        <f t="array" ref="U73">SUMPRODUCT((INDEX('6. TIẾN ĐỘ MUA HÀNG'!$A:$AT, 0, XMATCH("Phân loại VTBB/NL", '6. TIẾN ĐỘ MUA HÀNG'!$A$4:$AT$4, 0)) = $B73) * (TRIM(INDEX('6. TIẾN ĐỘ MUA HÀNG'!$A:$AT, 0, XMATCH("Tháng", '6. TIẾN ĐỘ MUA HÀNG'!$A$4:$AT$4, 0))) = TRIM(U$6)) * (INDEX('6. TIẾN ĐỘ MUA HÀNG'!$A:$AT, 0, XMATCH("Phân loại VTBB/NL", '6. TIẾN ĐỘ MUA HÀNG'!$A$4:$AT$4, 0)) &lt;&gt; ""))</f>
        <v>0</v>
      </c>
      <c r="V73" s="744">
        <f t="array" ref="V73">SUMPRODUCT(IFERROR(INDEX('6. TIẾN ĐỘ MUA HÀNG'!$A$5:$AT81, 0, XMATCH("Thành tiền đơn hàng", '6. TIẾN ĐỘ MUA HÀNG'!$A$4:$AT$4, 0)), 0) * (INDEX('6. TIẾN ĐỘ MUA HÀNG'!$A$5:$AT81, 0, XMATCH("Phân loại VTBB/NL", '6. TIẾN ĐỘ MUA HÀNG'!$A$4:$AT$4, 0)) = $B73) * (TRIM(INDEX('6. TIẾN ĐỘ MUA HÀNG'!$A$5:$AT81, 0, XMATCH("Tháng", '6. TIẾN ĐỘ MUA HÀNG'!$A$4:$AT$4, 0))) = TRIM(U$6)))</f>
        <v>0</v>
      </c>
      <c r="W73" s="741">
        <f t="array" ref="W73">SUMPRODUCT((INDEX('6. TIẾN ĐỘ MUA HÀNG'!$A:$AT, 0, XMATCH("Phân loại VTBB/NL", '6. TIẾN ĐỘ MUA HÀNG'!$A$4:$AT$4, 0)) = $B73) * (TRIM(INDEX('6. TIẾN ĐỘ MUA HÀNG'!$A:$AT, 0, XMATCH("Tháng", '6. TIẾN ĐỘ MUA HÀNG'!$A$4:$AT$4, 0))) = TRIM($W$6)) * (INDEX('6. TIẾN ĐỘ MUA HÀNG'!$A:$AT, 0, XMATCH("Phân loại VTBB/NL", '6. TIẾN ĐỘ MUA HÀNG'!$A$4:$AT$4, 0)) &lt;&gt; ""))</f>
        <v>0</v>
      </c>
      <c r="X73" s="742">
        <f t="array" ref="X73">SUMPRODUCT(IFERROR(INDEX('6. TIẾN ĐỘ MUA HÀNG'!$A$5:$AT81, 0, XMATCH("Thành tiền đơn hàng", '6. TIẾN ĐỘ MUA HÀNG'!$A$4:$AT$4, 0)), 0) * (INDEX('6. TIẾN ĐỘ MUA HÀNG'!$A$5:$AT81, 0, XMATCH("Phân loại VTBB/NL", '6. TIẾN ĐỘ MUA HÀNG'!$A$4:$AT$4, 0)) = $B73) * (TRIM(INDEX('6. TIẾN ĐỘ MUA HÀNG'!$A$5:$AT81, 0, XMATCH("Tháng", '6. TIẾN ĐỘ MUA HÀNG'!$A$4:$AT$4, 0))) = TRIM(W$6)))</f>
        <v>0</v>
      </c>
      <c r="Y73" s="743">
        <f t="array" ref="Y73">SUMPRODUCT((INDEX('6. TIẾN ĐỘ MUA HÀNG'!$A:$AT, 0, XMATCH("Phân loại VTBB/NL", '6. TIẾN ĐỘ MUA HÀNG'!$A$4:$AT$4, 0)) = $B73) * (TRIM(INDEX('6. TIẾN ĐỘ MUA HÀNG'!$A:$AT, 0, XMATCH("Tháng", '6. TIẾN ĐỘ MUA HÀNG'!$A$4:$AT$4, 0))) = TRIM(Y$6)) * (INDEX('6. TIẾN ĐỘ MUA HÀNG'!$A:$AT, 0, XMATCH("Phân loại VTBB/NL", '6. TIẾN ĐỘ MUA HÀNG'!$A$4:$AT$4, 0)) &lt;&gt; ""))</f>
        <v>0</v>
      </c>
      <c r="Z73" s="744">
        <f t="array" ref="Z73">SUMPRODUCT(IFERROR(INDEX('6. TIẾN ĐỘ MUA HÀNG'!$A$5:$AT81, 0, XMATCH("Thành tiền đơn hàng", '6. TIẾN ĐỘ MUA HÀNG'!$A$4:$AT$4, 0)), 0) * (INDEX('6. TIẾN ĐỘ MUA HÀNG'!$A$5:$AT81, 0, XMATCH("Phân loại VTBB/NL", '6. TIẾN ĐỘ MUA HÀNG'!$A$4:$AT$4, 0)) = $B73) * (TRIM(INDEX('6. TIẾN ĐỘ MUA HÀNG'!$A$5:$AT81, 0, XMATCH("Tháng", '6. TIẾN ĐỘ MUA HÀNG'!$A$4:$AT$4, 0))) = TRIM(Y$6)))</f>
        <v>0</v>
      </c>
      <c r="AA73" s="726">
        <f t="shared" si="2"/>
        <v>0</v>
      </c>
      <c r="AB73" s="726">
        <f t="shared" si="3"/>
        <v>0</v>
      </c>
    </row>
    <row r="74">
      <c r="A74" s="612">
        <v>66.0</v>
      </c>
      <c r="B74" s="597" t="str">
        <f>IFERROR(__xludf.DUMMYFUNCTION("""COMPUTED_VALUE"""),"Keo sữa")</f>
        <v>Keo sữa</v>
      </c>
      <c r="C74" s="741">
        <f t="array" ref="C74">SUMPRODUCT((INDEX('6. TIẾN ĐỘ MUA HÀNG'!$A:$AT, 0, XMATCH("Phân loại VTBB/NL", '6. TIẾN ĐỘ MUA HÀNG'!$A$4:$AT$4, 0)) = $B74) * (TRIM(INDEX('6. TIẾN ĐỘ MUA HÀNG'!$A:$AT, 0, XMATCH("Tháng", '6. TIẾN ĐỘ MUA HÀNG'!$A$4:$AT$4, 0))) = TRIM($C$6)) * (INDEX('6. TIẾN ĐỘ MUA HÀNG'!$A:$AT, 0, XMATCH("Phân loại VTBB/NL", '6. TIẾN ĐỘ MUA HÀNG'!$A$4:$AT$4, 0)) &lt;&gt; ""))</f>
        <v>0</v>
      </c>
      <c r="D74" s="742">
        <f t="array" ref="D74">SUMPRODUCT(IFERROR(INDEX('6. TIẾN ĐỘ MUA HÀNG'!$A$5:$AT81, 0, XMATCH("Thành tiền đơn hàng", '6. TIẾN ĐỘ MUA HÀNG'!$A$4:$AT$4, 0)), 0) * (INDEX('6. TIẾN ĐỘ MUA HÀNG'!$A$5:$AT81, 0, XMATCH("Phân loại VTBB/NL", '6. TIẾN ĐỘ MUA HÀNG'!$A$4:$AT$4, 0)) = $B74) * (TRIM(INDEX('6. TIẾN ĐỘ MUA HÀNG'!$A$5:$AT81, 0, XMATCH("Tháng", '6. TIẾN ĐỘ MUA HÀNG'!$A$4:$AT$4, 0))) = TRIM(C$6)))</f>
        <v>0</v>
      </c>
      <c r="E74" s="743">
        <f t="array" ref="E74">SUMPRODUCT((INDEX('6. TIẾN ĐỘ MUA HÀNG'!$A:$AT, 0, XMATCH("Phân loại VTBB/NL", '6. TIẾN ĐỘ MUA HÀNG'!$A$4:$AT$4, 0)) = $B74) * (TRIM(INDEX('6. TIẾN ĐỘ MUA HÀNG'!$A:$AT, 0, XMATCH("Tháng", '6. TIẾN ĐỘ MUA HÀNG'!$A$4:$AT$4, 0))) = TRIM(E$6)) * (INDEX('6. TIẾN ĐỘ MUA HÀNG'!$A:$AT, 0, XMATCH("Phân loại VTBB/NL", '6. TIẾN ĐỘ MUA HÀNG'!$A$4:$AT$4, 0)) &lt;&gt; ""))</f>
        <v>0</v>
      </c>
      <c r="F74" s="744">
        <f t="array" ref="F74">SUMPRODUCT(IFERROR(INDEX('6. TIẾN ĐỘ MUA HÀNG'!$A$5:$AT81, 0, XMATCH("Thành tiền đơn hàng", '6. TIẾN ĐỘ MUA HÀNG'!$A$4:$AT$4, 0)), 0) * (INDEX('6. TIẾN ĐỘ MUA HÀNG'!$A$5:$AT81, 0, XMATCH("Phân loại VTBB/NL", '6. TIẾN ĐỘ MUA HÀNG'!$A$4:$AT$4, 0)) = $B74) * (TRIM(INDEX('6. TIẾN ĐỘ MUA HÀNG'!$A$5:$AT81, 0, XMATCH("Tháng", '6. TIẾN ĐỘ MUA HÀNG'!$A$4:$AT$4, 0))) = TRIM(E$6)))</f>
        <v>0</v>
      </c>
      <c r="G74" s="741">
        <f t="array" ref="G74">SUMPRODUCT((INDEX('6. TIẾN ĐỘ MUA HÀNG'!$A:$AT, 0, XMATCH("Phân loại VTBB/NL", '6. TIẾN ĐỘ MUA HÀNG'!$A$4:$AT$4, 0)) = $B74) * (TRIM(INDEX('6. TIẾN ĐỘ MUA HÀNG'!$A:$AT, 0, XMATCH("Tháng", '6. TIẾN ĐỘ MUA HÀNG'!$A$4:$AT$4, 0))) = TRIM($G$6)) * (INDEX('6. TIẾN ĐỘ MUA HÀNG'!$A:$AT, 0, XMATCH("Phân loại VTBB/NL", '6. TIẾN ĐỘ MUA HÀNG'!$A$4:$AT$4, 0)) &lt;&gt; ""))</f>
        <v>0</v>
      </c>
      <c r="H74" s="742">
        <f t="array" ref="H74">SUMPRODUCT(IFERROR(INDEX('6. TIẾN ĐỘ MUA HÀNG'!$A$5:$AT81, 0, XMATCH("Thành tiền đơn hàng", '6. TIẾN ĐỘ MUA HÀNG'!$A$4:$AT$4, 0)), 0) * (INDEX('6. TIẾN ĐỘ MUA HÀNG'!$A$5:$AT81, 0, XMATCH("Phân loại VTBB/NL", '6. TIẾN ĐỘ MUA HÀNG'!$A$4:$AT$4, 0)) = $B74) * (TRIM(INDEX('6. TIẾN ĐỘ MUA HÀNG'!$A$5:$AT81, 0, XMATCH("Tháng", '6. TIẾN ĐỘ MUA HÀNG'!$A$4:$AT$4, 0))) = TRIM(G$6)))</f>
        <v>0</v>
      </c>
      <c r="I74" s="743">
        <f t="array" ref="I74">SUMPRODUCT((INDEX('6. TIẾN ĐỘ MUA HÀNG'!$A:$AT, 0, XMATCH("Phân loại VTBB/NL", '6. TIẾN ĐỘ MUA HÀNG'!$A$4:$AT$4, 0)) = $B74) * (TRIM(INDEX('6. TIẾN ĐỘ MUA HÀNG'!$A:$AT, 0, XMATCH("Tháng", '6. TIẾN ĐỘ MUA HÀNG'!$A$4:$AT$4, 0))) = TRIM(I$6)) * (INDEX('6. TIẾN ĐỘ MUA HÀNG'!$A:$AT, 0, XMATCH("Phân loại VTBB/NL", '6. TIẾN ĐỘ MUA HÀNG'!$A$4:$AT$4, 0)) &lt;&gt; ""))</f>
        <v>0</v>
      </c>
      <c r="J74" s="744">
        <f t="array" ref="J74">SUMPRODUCT(IFERROR(INDEX('6. TIẾN ĐỘ MUA HÀNG'!$A$5:$AT81, 0, XMATCH("Thành tiền đơn hàng", '6. TIẾN ĐỘ MUA HÀNG'!$A$4:$AT$4, 0)), 0) * (INDEX('6. TIẾN ĐỘ MUA HÀNG'!$A$5:$AT81, 0, XMATCH("Phân loại VTBB/NL", '6. TIẾN ĐỘ MUA HÀNG'!$A$4:$AT$4, 0)) = $B74) * (TRIM(INDEX('6. TIẾN ĐỘ MUA HÀNG'!$A$5:$AT81, 0, XMATCH("Tháng", '6. TIẾN ĐỘ MUA HÀNG'!$A$4:$AT$4, 0))) = TRIM(I$6)))</f>
        <v>0</v>
      </c>
      <c r="K74" s="741">
        <f t="array" ref="K74">SUMPRODUCT((INDEX('6. TIẾN ĐỘ MUA HÀNG'!$A:$AT, 0, XMATCH("Phân loại VTBB/NL", '6. TIẾN ĐỘ MUA HÀNG'!$A$4:$AT$4, 0)) = $B74) * (TRIM(INDEX('6. TIẾN ĐỘ MUA HÀNG'!$A:$AT, 0, XMATCH("Tháng", '6. TIẾN ĐỘ MUA HÀNG'!$A$4:$AT$4, 0))) = TRIM($K$6)) * (INDEX('6. TIẾN ĐỘ MUA HÀNG'!$A:$AT, 0, XMATCH("Phân loại VTBB/NL", '6. TIẾN ĐỘ MUA HÀNG'!$A$4:$AT$4, 0)) &lt;&gt; ""))</f>
        <v>0</v>
      </c>
      <c r="L74" s="742">
        <f t="array" ref="L74">SUMPRODUCT(IFERROR(INDEX('6. TIẾN ĐỘ MUA HÀNG'!$A$5:$AT81, 0, XMATCH("Thành tiền đơn hàng", '6. TIẾN ĐỘ MUA HÀNG'!$A$4:$AT$4, 0)), 0) * (INDEX('6. TIẾN ĐỘ MUA HÀNG'!$A$5:$AT81, 0, XMATCH("Phân loại VTBB/NL", '6. TIẾN ĐỘ MUA HÀNG'!$A$4:$AT$4, 0)) = $B74) * (TRIM(INDEX('6. TIẾN ĐỘ MUA HÀNG'!$A$5:$AT81, 0, XMATCH("Tháng", '6. TIẾN ĐỘ MUA HÀNG'!$A$4:$AT$4, 0))) = TRIM(K$6)))</f>
        <v>0</v>
      </c>
      <c r="M74" s="743">
        <f t="array" ref="M74">SUMPRODUCT((INDEX('6. TIẾN ĐỘ MUA HÀNG'!$A:$AT, 0, XMATCH("Phân loại VTBB/NL", '6. TIẾN ĐỘ MUA HÀNG'!$A$4:$AT$4, 0)) = $B74) * (TRIM(INDEX('6. TIẾN ĐỘ MUA HÀNG'!$A:$AT, 0, XMATCH("Tháng", '6. TIẾN ĐỘ MUA HÀNG'!$A$4:$AT$4, 0))) = TRIM(M$6)) * (INDEX('6. TIẾN ĐỘ MUA HÀNG'!$A:$AT, 0, XMATCH("Phân loại VTBB/NL", '6. TIẾN ĐỘ MUA HÀNG'!$A$4:$AT$4, 0)) &lt;&gt; ""))</f>
        <v>0</v>
      </c>
      <c r="N74" s="744">
        <f t="array" ref="N74">SUMPRODUCT(IFERROR(INDEX('6. TIẾN ĐỘ MUA HÀNG'!$A$5:$AT81, 0, XMATCH("Thành tiền đơn hàng", '6. TIẾN ĐỘ MUA HÀNG'!$A$4:$AT$4, 0)), 0) * (INDEX('6. TIẾN ĐỘ MUA HÀNG'!$A$5:$AT81, 0, XMATCH("Phân loại VTBB/NL", '6. TIẾN ĐỘ MUA HÀNG'!$A$4:$AT$4, 0)) = $B74) * (TRIM(INDEX('6. TIẾN ĐỘ MUA HÀNG'!$A$5:$AT81, 0, XMATCH("Tháng", '6. TIẾN ĐỘ MUA HÀNG'!$A$4:$AT$4, 0))) = TRIM(M$6)))</f>
        <v>0</v>
      </c>
      <c r="O74" s="741">
        <f t="array" ref="O74">SUMPRODUCT((INDEX('6. TIẾN ĐỘ MUA HÀNG'!$A:$AT, 0, XMATCH("Phân loại VTBB/NL", '6. TIẾN ĐỘ MUA HÀNG'!$A$4:$AT$4, 0)) = $B74) * (TRIM(INDEX('6. TIẾN ĐỘ MUA HÀNG'!$A:$AT, 0, XMATCH("Tháng", '6. TIẾN ĐỘ MUA HÀNG'!$A$4:$AT$4, 0))) = TRIM($O$6)) * (INDEX('6. TIẾN ĐỘ MUA HÀNG'!$A:$AT, 0, XMATCH("Phân loại VTBB/NL", '6. TIẾN ĐỘ MUA HÀNG'!$A$4:$AT$4, 0)) &lt;&gt; ""))</f>
        <v>0</v>
      </c>
      <c r="P74" s="742">
        <f t="array" ref="P74">SUMPRODUCT(IFERROR(INDEX('6. TIẾN ĐỘ MUA HÀNG'!$A$5:$AT81, 0, XMATCH("Thành tiền đơn hàng", '6. TIẾN ĐỘ MUA HÀNG'!$A$4:$AT$4, 0)), 0) * (INDEX('6. TIẾN ĐỘ MUA HÀNG'!$A$5:$AT81, 0, XMATCH("Phân loại VTBB/NL", '6. TIẾN ĐỘ MUA HÀNG'!$A$4:$AT$4, 0)) = $B74) * (TRIM(INDEX('6. TIẾN ĐỘ MUA HÀNG'!$A$5:$AT81, 0, XMATCH("Tháng", '6. TIẾN ĐỘ MUA HÀNG'!$A$4:$AT$4, 0))) = TRIM(O$6)))</f>
        <v>0</v>
      </c>
      <c r="Q74" s="743">
        <f t="array" ref="Q74">SUMPRODUCT((INDEX('6. TIẾN ĐỘ MUA HÀNG'!$A:$AT, 0, XMATCH("Phân loại VTBB/NL", '6. TIẾN ĐỘ MUA HÀNG'!$A$4:$AT$4, 0)) = $B74) * (TRIM(INDEX('6. TIẾN ĐỘ MUA HÀNG'!$A:$AT, 0, XMATCH("Tháng", '6. TIẾN ĐỘ MUA HÀNG'!$A$4:$AT$4, 0))) = TRIM(Q$6)) * (INDEX('6. TIẾN ĐỘ MUA HÀNG'!$A:$AT, 0, XMATCH("Phân loại VTBB/NL", '6. TIẾN ĐỘ MUA HÀNG'!$A$4:$AT$4, 0)) &lt;&gt; ""))</f>
        <v>0</v>
      </c>
      <c r="R74" s="744">
        <f t="array" ref="R74">SUMPRODUCT(IFERROR(INDEX('6. TIẾN ĐỘ MUA HÀNG'!$A$5:$AT81, 0, XMATCH("Thành tiền đơn hàng", '6. TIẾN ĐỘ MUA HÀNG'!$A$4:$AT$4, 0)), 0) * (INDEX('6. TIẾN ĐỘ MUA HÀNG'!$A$5:$AT81, 0, XMATCH("Phân loại VTBB/NL", '6. TIẾN ĐỘ MUA HÀNG'!$A$4:$AT$4, 0)) = $B74) * (TRIM(INDEX('6. TIẾN ĐỘ MUA HÀNG'!$A$5:$AT81, 0, XMATCH("Tháng", '6. TIẾN ĐỘ MUA HÀNG'!$A$4:$AT$4, 0))) = TRIM(Q$6)))</f>
        <v>0</v>
      </c>
      <c r="S74" s="741">
        <f t="array" ref="S74">SUMPRODUCT((INDEX('6. TIẾN ĐỘ MUA HÀNG'!$A:$AT, 0, XMATCH("Phân loại VTBB/NL", '6. TIẾN ĐỘ MUA HÀNG'!$A$4:$AT$4, 0)) = $B74) * (TRIM(INDEX('6. TIẾN ĐỘ MUA HÀNG'!$A:$AT, 0, XMATCH("Tháng", '6. TIẾN ĐỘ MUA HÀNG'!$A$4:$AT$4, 0))) = TRIM($S$6)) * (INDEX('6. TIẾN ĐỘ MUA HÀNG'!$A:$AT, 0, XMATCH("Phân loại VTBB/NL", '6. TIẾN ĐỘ MUA HÀNG'!$A$4:$AT$4, 0)) &lt;&gt; ""))</f>
        <v>0</v>
      </c>
      <c r="T74" s="742">
        <f t="array" ref="T74">SUMPRODUCT(IFERROR(INDEX('6. TIẾN ĐỘ MUA HÀNG'!$A$5:$AT81, 0, XMATCH("Thành tiền đơn hàng", '6. TIẾN ĐỘ MUA HÀNG'!$A$4:$AT$4, 0)), 0) * (INDEX('6. TIẾN ĐỘ MUA HÀNG'!$A$5:$AT81, 0, XMATCH("Phân loại VTBB/NL", '6. TIẾN ĐỘ MUA HÀNG'!$A$4:$AT$4, 0)) = $B74) * (TRIM(INDEX('6. TIẾN ĐỘ MUA HÀNG'!$A$5:$AT81, 0, XMATCH("Tháng", '6. TIẾN ĐỘ MUA HÀNG'!$A$4:$AT$4, 0))) = TRIM(S$6)))</f>
        <v>0</v>
      </c>
      <c r="U74" s="743">
        <f t="array" ref="U74">SUMPRODUCT((INDEX('6. TIẾN ĐỘ MUA HÀNG'!$A:$AT, 0, XMATCH("Phân loại VTBB/NL", '6. TIẾN ĐỘ MUA HÀNG'!$A$4:$AT$4, 0)) = $B74) * (TRIM(INDEX('6. TIẾN ĐỘ MUA HÀNG'!$A:$AT, 0, XMATCH("Tháng", '6. TIẾN ĐỘ MUA HÀNG'!$A$4:$AT$4, 0))) = TRIM(U$6)) * (INDEX('6. TIẾN ĐỘ MUA HÀNG'!$A:$AT, 0, XMATCH("Phân loại VTBB/NL", '6. TIẾN ĐỘ MUA HÀNG'!$A$4:$AT$4, 0)) &lt;&gt; ""))</f>
        <v>0</v>
      </c>
      <c r="V74" s="744">
        <f t="array" ref="V74">SUMPRODUCT(IFERROR(INDEX('6. TIẾN ĐỘ MUA HÀNG'!$A$5:$AT81, 0, XMATCH("Thành tiền đơn hàng", '6. TIẾN ĐỘ MUA HÀNG'!$A$4:$AT$4, 0)), 0) * (INDEX('6. TIẾN ĐỘ MUA HÀNG'!$A$5:$AT81, 0, XMATCH("Phân loại VTBB/NL", '6. TIẾN ĐỘ MUA HÀNG'!$A$4:$AT$4, 0)) = $B74) * (TRIM(INDEX('6. TIẾN ĐỘ MUA HÀNG'!$A$5:$AT81, 0, XMATCH("Tháng", '6. TIẾN ĐỘ MUA HÀNG'!$A$4:$AT$4, 0))) = TRIM(U$6)))</f>
        <v>0</v>
      </c>
      <c r="W74" s="741">
        <f t="array" ref="W74">SUMPRODUCT((INDEX('6. TIẾN ĐỘ MUA HÀNG'!$A:$AT, 0, XMATCH("Phân loại VTBB/NL", '6. TIẾN ĐỘ MUA HÀNG'!$A$4:$AT$4, 0)) = $B74) * (TRIM(INDEX('6. TIẾN ĐỘ MUA HÀNG'!$A:$AT, 0, XMATCH("Tháng", '6. TIẾN ĐỘ MUA HÀNG'!$A$4:$AT$4, 0))) = TRIM($W$6)) * (INDEX('6. TIẾN ĐỘ MUA HÀNG'!$A:$AT, 0, XMATCH("Phân loại VTBB/NL", '6. TIẾN ĐỘ MUA HÀNG'!$A$4:$AT$4, 0)) &lt;&gt; ""))</f>
        <v>0</v>
      </c>
      <c r="X74" s="742">
        <f t="array" ref="X74">SUMPRODUCT(IFERROR(INDEX('6. TIẾN ĐỘ MUA HÀNG'!$A$5:$AT81, 0, XMATCH("Thành tiền đơn hàng", '6. TIẾN ĐỘ MUA HÀNG'!$A$4:$AT$4, 0)), 0) * (INDEX('6. TIẾN ĐỘ MUA HÀNG'!$A$5:$AT81, 0, XMATCH("Phân loại VTBB/NL", '6. TIẾN ĐỘ MUA HÀNG'!$A$4:$AT$4, 0)) = $B74) * (TRIM(INDEX('6. TIẾN ĐỘ MUA HÀNG'!$A$5:$AT81, 0, XMATCH("Tháng", '6. TIẾN ĐỘ MUA HÀNG'!$A$4:$AT$4, 0))) = TRIM(W$6)))</f>
        <v>0</v>
      </c>
      <c r="Y74" s="743">
        <f t="array" ref="Y74">SUMPRODUCT((INDEX('6. TIẾN ĐỘ MUA HÀNG'!$A:$AT, 0, XMATCH("Phân loại VTBB/NL", '6. TIẾN ĐỘ MUA HÀNG'!$A$4:$AT$4, 0)) = $B74) * (TRIM(INDEX('6. TIẾN ĐỘ MUA HÀNG'!$A:$AT, 0, XMATCH("Tháng", '6. TIẾN ĐỘ MUA HÀNG'!$A$4:$AT$4, 0))) = TRIM(Y$6)) * (INDEX('6. TIẾN ĐỘ MUA HÀNG'!$A:$AT, 0, XMATCH("Phân loại VTBB/NL", '6. TIẾN ĐỘ MUA HÀNG'!$A$4:$AT$4, 0)) &lt;&gt; ""))</f>
        <v>0</v>
      </c>
      <c r="Z74" s="744">
        <f t="array" ref="Z74">SUMPRODUCT(IFERROR(INDEX('6. TIẾN ĐỘ MUA HÀNG'!$A$5:$AT81, 0, XMATCH("Thành tiền đơn hàng", '6. TIẾN ĐỘ MUA HÀNG'!$A$4:$AT$4, 0)), 0) * (INDEX('6. TIẾN ĐỘ MUA HÀNG'!$A$5:$AT81, 0, XMATCH("Phân loại VTBB/NL", '6. TIẾN ĐỘ MUA HÀNG'!$A$4:$AT$4, 0)) = $B74) * (TRIM(INDEX('6. TIẾN ĐỘ MUA HÀNG'!$A$5:$AT81, 0, XMATCH("Tháng", '6. TIẾN ĐỘ MUA HÀNG'!$A$4:$AT$4, 0))) = TRIM(Y$6)))</f>
        <v>0</v>
      </c>
      <c r="AA74" s="726">
        <f t="shared" si="2"/>
        <v>0</v>
      </c>
      <c r="AB74" s="726">
        <f t="shared" si="3"/>
        <v>0</v>
      </c>
    </row>
    <row r="75">
      <c r="A75" s="612">
        <v>67.0</v>
      </c>
      <c r="B75" s="597" t="str">
        <f>IFERROR(__xludf.DUMMYFUNCTION("""COMPUTED_VALUE"""),"Tem Hologram bạc (tem chống hàng giả icare)")</f>
        <v>Tem Hologram bạc (tem chống hàng giả icare)</v>
      </c>
      <c r="C75" s="741">
        <f t="array" ref="C75">SUMPRODUCT((INDEX('6. TIẾN ĐỘ MUA HÀNG'!$A:$AT, 0, XMATCH("Phân loại VTBB/NL", '6. TIẾN ĐỘ MUA HÀNG'!$A$4:$AT$4, 0)) = $B75) * (TRIM(INDEX('6. TIẾN ĐỘ MUA HÀNG'!$A:$AT, 0, XMATCH("Tháng", '6. TIẾN ĐỘ MUA HÀNG'!$A$4:$AT$4, 0))) = TRIM($C$6)) * (INDEX('6. TIẾN ĐỘ MUA HÀNG'!$A:$AT, 0, XMATCH("Phân loại VTBB/NL", '6. TIẾN ĐỘ MUA HÀNG'!$A$4:$AT$4, 0)) &lt;&gt; ""))</f>
        <v>0</v>
      </c>
      <c r="D75" s="742">
        <f t="array" ref="D75">SUMPRODUCT(IFERROR(INDEX('6. TIẾN ĐỘ MUA HÀNG'!$A$5:$AT81, 0, XMATCH("Thành tiền đơn hàng", '6. TIẾN ĐỘ MUA HÀNG'!$A$4:$AT$4, 0)), 0) * (INDEX('6. TIẾN ĐỘ MUA HÀNG'!$A$5:$AT81, 0, XMATCH("Phân loại VTBB/NL", '6. TIẾN ĐỘ MUA HÀNG'!$A$4:$AT$4, 0)) = $B75) * (TRIM(INDEX('6. TIẾN ĐỘ MUA HÀNG'!$A$5:$AT81, 0, XMATCH("Tháng", '6. TIẾN ĐỘ MUA HÀNG'!$A$4:$AT$4, 0))) = TRIM(C$6)))</f>
        <v>0</v>
      </c>
      <c r="E75" s="743">
        <f t="array" ref="E75">SUMPRODUCT((INDEX('6. TIẾN ĐỘ MUA HÀNG'!$A:$AT, 0, XMATCH("Phân loại VTBB/NL", '6. TIẾN ĐỘ MUA HÀNG'!$A$4:$AT$4, 0)) = $B75) * (TRIM(INDEX('6. TIẾN ĐỘ MUA HÀNG'!$A:$AT, 0, XMATCH("Tháng", '6. TIẾN ĐỘ MUA HÀNG'!$A$4:$AT$4, 0))) = TRIM(E$6)) * (INDEX('6. TIẾN ĐỘ MUA HÀNG'!$A:$AT, 0, XMATCH("Phân loại VTBB/NL", '6. TIẾN ĐỘ MUA HÀNG'!$A$4:$AT$4, 0)) &lt;&gt; ""))</f>
        <v>0</v>
      </c>
      <c r="F75" s="744">
        <f t="array" ref="F75">SUMPRODUCT(IFERROR(INDEX('6. TIẾN ĐỘ MUA HÀNG'!$A$5:$AT81, 0, XMATCH("Thành tiền đơn hàng", '6. TIẾN ĐỘ MUA HÀNG'!$A$4:$AT$4, 0)), 0) * (INDEX('6. TIẾN ĐỘ MUA HÀNG'!$A$5:$AT81, 0, XMATCH("Phân loại VTBB/NL", '6. TIẾN ĐỘ MUA HÀNG'!$A$4:$AT$4, 0)) = $B75) * (TRIM(INDEX('6. TIẾN ĐỘ MUA HÀNG'!$A$5:$AT81, 0, XMATCH("Tháng", '6. TIẾN ĐỘ MUA HÀNG'!$A$4:$AT$4, 0))) = TRIM(E$6)))</f>
        <v>0</v>
      </c>
      <c r="G75" s="741">
        <f t="array" ref="G75">SUMPRODUCT((INDEX('6. TIẾN ĐỘ MUA HÀNG'!$A:$AT, 0, XMATCH("Phân loại VTBB/NL", '6. TIẾN ĐỘ MUA HÀNG'!$A$4:$AT$4, 0)) = $B75) * (TRIM(INDEX('6. TIẾN ĐỘ MUA HÀNG'!$A:$AT, 0, XMATCH("Tháng", '6. TIẾN ĐỘ MUA HÀNG'!$A$4:$AT$4, 0))) = TRIM($G$6)) * (INDEX('6. TIẾN ĐỘ MUA HÀNG'!$A:$AT, 0, XMATCH("Phân loại VTBB/NL", '6. TIẾN ĐỘ MUA HÀNG'!$A$4:$AT$4, 0)) &lt;&gt; ""))</f>
        <v>0</v>
      </c>
      <c r="H75" s="742">
        <f t="array" ref="H75">SUMPRODUCT(IFERROR(INDEX('6. TIẾN ĐỘ MUA HÀNG'!$A$5:$AT81, 0, XMATCH("Thành tiền đơn hàng", '6. TIẾN ĐỘ MUA HÀNG'!$A$4:$AT$4, 0)), 0) * (INDEX('6. TIẾN ĐỘ MUA HÀNG'!$A$5:$AT81, 0, XMATCH("Phân loại VTBB/NL", '6. TIẾN ĐỘ MUA HÀNG'!$A$4:$AT$4, 0)) = $B75) * (TRIM(INDEX('6. TIẾN ĐỘ MUA HÀNG'!$A$5:$AT81, 0, XMATCH("Tháng", '6. TIẾN ĐỘ MUA HÀNG'!$A$4:$AT$4, 0))) = TRIM(G$6)))</f>
        <v>0</v>
      </c>
      <c r="I75" s="743">
        <f t="array" ref="I75">SUMPRODUCT((INDEX('6. TIẾN ĐỘ MUA HÀNG'!$A:$AT, 0, XMATCH("Phân loại VTBB/NL", '6. TIẾN ĐỘ MUA HÀNG'!$A$4:$AT$4, 0)) = $B75) * (TRIM(INDEX('6. TIẾN ĐỘ MUA HÀNG'!$A:$AT, 0, XMATCH("Tháng", '6. TIẾN ĐỘ MUA HÀNG'!$A$4:$AT$4, 0))) = TRIM(I$6)) * (INDEX('6. TIẾN ĐỘ MUA HÀNG'!$A:$AT, 0, XMATCH("Phân loại VTBB/NL", '6. TIẾN ĐỘ MUA HÀNG'!$A$4:$AT$4, 0)) &lt;&gt; ""))</f>
        <v>0</v>
      </c>
      <c r="J75" s="744">
        <f t="array" ref="J75">SUMPRODUCT(IFERROR(INDEX('6. TIẾN ĐỘ MUA HÀNG'!$A$5:$AT81, 0, XMATCH("Thành tiền đơn hàng", '6. TIẾN ĐỘ MUA HÀNG'!$A$4:$AT$4, 0)), 0) * (INDEX('6. TIẾN ĐỘ MUA HÀNG'!$A$5:$AT81, 0, XMATCH("Phân loại VTBB/NL", '6. TIẾN ĐỘ MUA HÀNG'!$A$4:$AT$4, 0)) = $B75) * (TRIM(INDEX('6. TIẾN ĐỘ MUA HÀNG'!$A$5:$AT81, 0, XMATCH("Tháng", '6. TIẾN ĐỘ MUA HÀNG'!$A$4:$AT$4, 0))) = TRIM(I$6)))</f>
        <v>0</v>
      </c>
      <c r="K75" s="741">
        <f t="array" ref="K75">SUMPRODUCT((INDEX('6. TIẾN ĐỘ MUA HÀNG'!$A:$AT, 0, XMATCH("Phân loại VTBB/NL", '6. TIẾN ĐỘ MUA HÀNG'!$A$4:$AT$4, 0)) = $B75) * (TRIM(INDEX('6. TIẾN ĐỘ MUA HÀNG'!$A:$AT, 0, XMATCH("Tháng", '6. TIẾN ĐỘ MUA HÀNG'!$A$4:$AT$4, 0))) = TRIM($K$6)) * (INDEX('6. TIẾN ĐỘ MUA HÀNG'!$A:$AT, 0, XMATCH("Phân loại VTBB/NL", '6. TIẾN ĐỘ MUA HÀNG'!$A$4:$AT$4, 0)) &lt;&gt; ""))</f>
        <v>0</v>
      </c>
      <c r="L75" s="742">
        <f t="array" ref="L75">SUMPRODUCT(IFERROR(INDEX('6. TIẾN ĐỘ MUA HÀNG'!$A$5:$AT81, 0, XMATCH("Thành tiền đơn hàng", '6. TIẾN ĐỘ MUA HÀNG'!$A$4:$AT$4, 0)), 0) * (INDEX('6. TIẾN ĐỘ MUA HÀNG'!$A$5:$AT81, 0, XMATCH("Phân loại VTBB/NL", '6. TIẾN ĐỘ MUA HÀNG'!$A$4:$AT$4, 0)) = $B75) * (TRIM(INDEX('6. TIẾN ĐỘ MUA HÀNG'!$A$5:$AT81, 0, XMATCH("Tháng", '6. TIẾN ĐỘ MUA HÀNG'!$A$4:$AT$4, 0))) = TRIM(K$6)))</f>
        <v>0</v>
      </c>
      <c r="M75" s="743">
        <f t="array" ref="M75">SUMPRODUCT((INDEX('6. TIẾN ĐỘ MUA HÀNG'!$A:$AT, 0, XMATCH("Phân loại VTBB/NL", '6. TIẾN ĐỘ MUA HÀNG'!$A$4:$AT$4, 0)) = $B75) * (TRIM(INDEX('6. TIẾN ĐỘ MUA HÀNG'!$A:$AT, 0, XMATCH("Tháng", '6. TIẾN ĐỘ MUA HÀNG'!$A$4:$AT$4, 0))) = TRIM(M$6)) * (INDEX('6. TIẾN ĐỘ MUA HÀNG'!$A:$AT, 0, XMATCH("Phân loại VTBB/NL", '6. TIẾN ĐỘ MUA HÀNG'!$A$4:$AT$4, 0)) &lt;&gt; ""))</f>
        <v>0</v>
      </c>
      <c r="N75" s="744">
        <f t="array" ref="N75">SUMPRODUCT(IFERROR(INDEX('6. TIẾN ĐỘ MUA HÀNG'!$A$5:$AT81, 0, XMATCH("Thành tiền đơn hàng", '6. TIẾN ĐỘ MUA HÀNG'!$A$4:$AT$4, 0)), 0) * (INDEX('6. TIẾN ĐỘ MUA HÀNG'!$A$5:$AT81, 0, XMATCH("Phân loại VTBB/NL", '6. TIẾN ĐỘ MUA HÀNG'!$A$4:$AT$4, 0)) = $B75) * (TRIM(INDEX('6. TIẾN ĐỘ MUA HÀNG'!$A$5:$AT81, 0, XMATCH("Tháng", '6. TIẾN ĐỘ MUA HÀNG'!$A$4:$AT$4, 0))) = TRIM(M$6)))</f>
        <v>0</v>
      </c>
      <c r="O75" s="741">
        <f t="array" ref="O75">SUMPRODUCT((INDEX('6. TIẾN ĐỘ MUA HÀNG'!$A:$AT, 0, XMATCH("Phân loại VTBB/NL", '6. TIẾN ĐỘ MUA HÀNG'!$A$4:$AT$4, 0)) = $B75) * (TRIM(INDEX('6. TIẾN ĐỘ MUA HÀNG'!$A:$AT, 0, XMATCH("Tháng", '6. TIẾN ĐỘ MUA HÀNG'!$A$4:$AT$4, 0))) = TRIM($O$6)) * (INDEX('6. TIẾN ĐỘ MUA HÀNG'!$A:$AT, 0, XMATCH("Phân loại VTBB/NL", '6. TIẾN ĐỘ MUA HÀNG'!$A$4:$AT$4, 0)) &lt;&gt; ""))</f>
        <v>0</v>
      </c>
      <c r="P75" s="742">
        <f t="array" ref="P75">SUMPRODUCT(IFERROR(INDEX('6. TIẾN ĐỘ MUA HÀNG'!$A$5:$AT81, 0, XMATCH("Thành tiền đơn hàng", '6. TIẾN ĐỘ MUA HÀNG'!$A$4:$AT$4, 0)), 0) * (INDEX('6. TIẾN ĐỘ MUA HÀNG'!$A$5:$AT81, 0, XMATCH("Phân loại VTBB/NL", '6. TIẾN ĐỘ MUA HÀNG'!$A$4:$AT$4, 0)) = $B75) * (TRIM(INDEX('6. TIẾN ĐỘ MUA HÀNG'!$A$5:$AT81, 0, XMATCH("Tháng", '6. TIẾN ĐỘ MUA HÀNG'!$A$4:$AT$4, 0))) = TRIM(O$6)))</f>
        <v>0</v>
      </c>
      <c r="Q75" s="743">
        <f t="array" ref="Q75">SUMPRODUCT((INDEX('6. TIẾN ĐỘ MUA HÀNG'!$A:$AT, 0, XMATCH("Phân loại VTBB/NL", '6. TIẾN ĐỘ MUA HÀNG'!$A$4:$AT$4, 0)) = $B75) * (TRIM(INDEX('6. TIẾN ĐỘ MUA HÀNG'!$A:$AT, 0, XMATCH("Tháng", '6. TIẾN ĐỘ MUA HÀNG'!$A$4:$AT$4, 0))) = TRIM(Q$6)) * (INDEX('6. TIẾN ĐỘ MUA HÀNG'!$A:$AT, 0, XMATCH("Phân loại VTBB/NL", '6. TIẾN ĐỘ MUA HÀNG'!$A$4:$AT$4, 0)) &lt;&gt; ""))</f>
        <v>0</v>
      </c>
      <c r="R75" s="744">
        <f t="array" ref="R75">SUMPRODUCT(IFERROR(INDEX('6. TIẾN ĐỘ MUA HÀNG'!$A$5:$AT81, 0, XMATCH("Thành tiền đơn hàng", '6. TIẾN ĐỘ MUA HÀNG'!$A$4:$AT$4, 0)), 0) * (INDEX('6. TIẾN ĐỘ MUA HÀNG'!$A$5:$AT81, 0, XMATCH("Phân loại VTBB/NL", '6. TIẾN ĐỘ MUA HÀNG'!$A$4:$AT$4, 0)) = $B75) * (TRIM(INDEX('6. TIẾN ĐỘ MUA HÀNG'!$A$5:$AT81, 0, XMATCH("Tháng", '6. TIẾN ĐỘ MUA HÀNG'!$A$4:$AT$4, 0))) = TRIM(Q$6)))</f>
        <v>0</v>
      </c>
      <c r="S75" s="741">
        <f t="array" ref="S75">SUMPRODUCT((INDEX('6. TIẾN ĐỘ MUA HÀNG'!$A:$AT, 0, XMATCH("Phân loại VTBB/NL", '6. TIẾN ĐỘ MUA HÀNG'!$A$4:$AT$4, 0)) = $B75) * (TRIM(INDEX('6. TIẾN ĐỘ MUA HÀNG'!$A:$AT, 0, XMATCH("Tháng", '6. TIẾN ĐỘ MUA HÀNG'!$A$4:$AT$4, 0))) = TRIM($S$6)) * (INDEX('6. TIẾN ĐỘ MUA HÀNG'!$A:$AT, 0, XMATCH("Phân loại VTBB/NL", '6. TIẾN ĐỘ MUA HÀNG'!$A$4:$AT$4, 0)) &lt;&gt; ""))</f>
        <v>0</v>
      </c>
      <c r="T75" s="742">
        <f t="array" ref="T75">SUMPRODUCT(IFERROR(INDEX('6. TIẾN ĐỘ MUA HÀNG'!$A$5:$AT81, 0, XMATCH("Thành tiền đơn hàng", '6. TIẾN ĐỘ MUA HÀNG'!$A$4:$AT$4, 0)), 0) * (INDEX('6. TIẾN ĐỘ MUA HÀNG'!$A$5:$AT81, 0, XMATCH("Phân loại VTBB/NL", '6. TIẾN ĐỘ MUA HÀNG'!$A$4:$AT$4, 0)) = $B75) * (TRIM(INDEX('6. TIẾN ĐỘ MUA HÀNG'!$A$5:$AT81, 0, XMATCH("Tháng", '6. TIẾN ĐỘ MUA HÀNG'!$A$4:$AT$4, 0))) = TRIM(S$6)))</f>
        <v>0</v>
      </c>
      <c r="U75" s="743">
        <f t="array" ref="U75">SUMPRODUCT((INDEX('6. TIẾN ĐỘ MUA HÀNG'!$A:$AT, 0, XMATCH("Phân loại VTBB/NL", '6. TIẾN ĐỘ MUA HÀNG'!$A$4:$AT$4, 0)) = $B75) * (TRIM(INDEX('6. TIẾN ĐỘ MUA HÀNG'!$A:$AT, 0, XMATCH("Tháng", '6. TIẾN ĐỘ MUA HÀNG'!$A$4:$AT$4, 0))) = TRIM(U$6)) * (INDEX('6. TIẾN ĐỘ MUA HÀNG'!$A:$AT, 0, XMATCH("Phân loại VTBB/NL", '6. TIẾN ĐỘ MUA HÀNG'!$A$4:$AT$4, 0)) &lt;&gt; ""))</f>
        <v>0</v>
      </c>
      <c r="V75" s="744">
        <f t="array" ref="V75">SUMPRODUCT(IFERROR(INDEX('6. TIẾN ĐỘ MUA HÀNG'!$A$5:$AT81, 0, XMATCH("Thành tiền đơn hàng", '6. TIẾN ĐỘ MUA HÀNG'!$A$4:$AT$4, 0)), 0) * (INDEX('6. TIẾN ĐỘ MUA HÀNG'!$A$5:$AT81, 0, XMATCH("Phân loại VTBB/NL", '6. TIẾN ĐỘ MUA HÀNG'!$A$4:$AT$4, 0)) = $B75) * (TRIM(INDEX('6. TIẾN ĐỘ MUA HÀNG'!$A$5:$AT81, 0, XMATCH("Tháng", '6. TIẾN ĐỘ MUA HÀNG'!$A$4:$AT$4, 0))) = TRIM(U$6)))</f>
        <v>0</v>
      </c>
      <c r="W75" s="741">
        <f t="array" ref="W75">SUMPRODUCT((INDEX('6. TIẾN ĐỘ MUA HÀNG'!$A:$AT, 0, XMATCH("Phân loại VTBB/NL", '6. TIẾN ĐỘ MUA HÀNG'!$A$4:$AT$4, 0)) = $B75) * (TRIM(INDEX('6. TIẾN ĐỘ MUA HÀNG'!$A:$AT, 0, XMATCH("Tháng", '6. TIẾN ĐỘ MUA HÀNG'!$A$4:$AT$4, 0))) = TRIM($W$6)) * (INDEX('6. TIẾN ĐỘ MUA HÀNG'!$A:$AT, 0, XMATCH("Phân loại VTBB/NL", '6. TIẾN ĐỘ MUA HÀNG'!$A$4:$AT$4, 0)) &lt;&gt; ""))</f>
        <v>0</v>
      </c>
      <c r="X75" s="742">
        <f t="array" ref="X75">SUMPRODUCT(IFERROR(INDEX('6. TIẾN ĐỘ MUA HÀNG'!$A$5:$AT81, 0, XMATCH("Thành tiền đơn hàng", '6. TIẾN ĐỘ MUA HÀNG'!$A$4:$AT$4, 0)), 0) * (INDEX('6. TIẾN ĐỘ MUA HÀNG'!$A$5:$AT81, 0, XMATCH("Phân loại VTBB/NL", '6. TIẾN ĐỘ MUA HÀNG'!$A$4:$AT$4, 0)) = $B75) * (TRIM(INDEX('6. TIẾN ĐỘ MUA HÀNG'!$A$5:$AT81, 0, XMATCH("Tháng", '6. TIẾN ĐỘ MUA HÀNG'!$A$4:$AT$4, 0))) = TRIM(W$6)))</f>
        <v>0</v>
      </c>
      <c r="Y75" s="743">
        <f t="array" ref="Y75">SUMPRODUCT((INDEX('6. TIẾN ĐỘ MUA HÀNG'!$A:$AT, 0, XMATCH("Phân loại VTBB/NL", '6. TIẾN ĐỘ MUA HÀNG'!$A$4:$AT$4, 0)) = $B75) * (TRIM(INDEX('6. TIẾN ĐỘ MUA HÀNG'!$A:$AT, 0, XMATCH("Tháng", '6. TIẾN ĐỘ MUA HÀNG'!$A$4:$AT$4, 0))) = TRIM(Y$6)) * (INDEX('6. TIẾN ĐỘ MUA HÀNG'!$A:$AT, 0, XMATCH("Phân loại VTBB/NL", '6. TIẾN ĐỘ MUA HÀNG'!$A$4:$AT$4, 0)) &lt;&gt; ""))</f>
        <v>0</v>
      </c>
      <c r="Z75" s="744">
        <f t="array" ref="Z75">SUMPRODUCT(IFERROR(INDEX('6. TIẾN ĐỘ MUA HÀNG'!$A$5:$AT81, 0, XMATCH("Thành tiền đơn hàng", '6. TIẾN ĐỘ MUA HÀNG'!$A$4:$AT$4, 0)), 0) * (INDEX('6. TIẾN ĐỘ MUA HÀNG'!$A$5:$AT81, 0, XMATCH("Phân loại VTBB/NL", '6. TIẾN ĐỘ MUA HÀNG'!$A$4:$AT$4, 0)) = $B75) * (TRIM(INDEX('6. TIẾN ĐỘ MUA HÀNG'!$A$5:$AT81, 0, XMATCH("Tháng", '6. TIẾN ĐỘ MUA HÀNG'!$A$4:$AT$4, 0))) = TRIM(Y$6)))</f>
        <v>0</v>
      </c>
      <c r="AA75" s="726">
        <f t="shared" si="2"/>
        <v>0</v>
      </c>
      <c r="AB75" s="726">
        <f t="shared" si="3"/>
        <v>0</v>
      </c>
    </row>
    <row r="76">
      <c r="A76" s="612">
        <v>68.0</v>
      </c>
      <c r="B76" s="597" t="str">
        <f>IFERROR(__xludf.DUMMYFUNCTION("""COMPUTED_VALUE"""),"Tem decal vỡ (tem Asahi)")</f>
        <v>Tem decal vỡ (tem Asahi)</v>
      </c>
      <c r="C76" s="741">
        <f t="array" ref="C76">SUMPRODUCT((INDEX('6. TIẾN ĐỘ MUA HÀNG'!$A:$AT, 0, XMATCH("Phân loại VTBB/NL", '6. TIẾN ĐỘ MUA HÀNG'!$A$4:$AT$4, 0)) = $B76) * (TRIM(INDEX('6. TIẾN ĐỘ MUA HÀNG'!$A:$AT, 0, XMATCH("Tháng", '6. TIẾN ĐỘ MUA HÀNG'!$A$4:$AT$4, 0))) = TRIM($C$6)) * (INDEX('6. TIẾN ĐỘ MUA HÀNG'!$A:$AT, 0, XMATCH("Phân loại VTBB/NL", '6. TIẾN ĐỘ MUA HÀNG'!$A$4:$AT$4, 0)) &lt;&gt; ""))</f>
        <v>0</v>
      </c>
      <c r="D76" s="742">
        <f t="array" ref="D76">SUMPRODUCT(IFERROR(INDEX('6. TIẾN ĐỘ MUA HÀNG'!$A$5:$AT81, 0, XMATCH("Thành tiền đơn hàng", '6. TIẾN ĐỘ MUA HÀNG'!$A$4:$AT$4, 0)), 0) * (INDEX('6. TIẾN ĐỘ MUA HÀNG'!$A$5:$AT81, 0, XMATCH("Phân loại VTBB/NL", '6. TIẾN ĐỘ MUA HÀNG'!$A$4:$AT$4, 0)) = $B76) * (TRIM(INDEX('6. TIẾN ĐỘ MUA HÀNG'!$A$5:$AT81, 0, XMATCH("Tháng", '6. TIẾN ĐỘ MUA HÀNG'!$A$4:$AT$4, 0))) = TRIM(C$6)))</f>
        <v>0</v>
      </c>
      <c r="E76" s="743">
        <f t="array" ref="E76">SUMPRODUCT((INDEX('6. TIẾN ĐỘ MUA HÀNG'!$A:$AT, 0, XMATCH("Phân loại VTBB/NL", '6. TIẾN ĐỘ MUA HÀNG'!$A$4:$AT$4, 0)) = $B76) * (TRIM(INDEX('6. TIẾN ĐỘ MUA HÀNG'!$A:$AT, 0, XMATCH("Tháng", '6. TIẾN ĐỘ MUA HÀNG'!$A$4:$AT$4, 0))) = TRIM(E$6)) * (INDEX('6. TIẾN ĐỘ MUA HÀNG'!$A:$AT, 0, XMATCH("Phân loại VTBB/NL", '6. TIẾN ĐỘ MUA HÀNG'!$A$4:$AT$4, 0)) &lt;&gt; ""))</f>
        <v>0</v>
      </c>
      <c r="F76" s="744">
        <f t="array" ref="F76">SUMPRODUCT(IFERROR(INDEX('6. TIẾN ĐỘ MUA HÀNG'!$A$5:$AT81, 0, XMATCH("Thành tiền đơn hàng", '6. TIẾN ĐỘ MUA HÀNG'!$A$4:$AT$4, 0)), 0) * (INDEX('6. TIẾN ĐỘ MUA HÀNG'!$A$5:$AT81, 0, XMATCH("Phân loại VTBB/NL", '6. TIẾN ĐỘ MUA HÀNG'!$A$4:$AT$4, 0)) = $B76) * (TRIM(INDEX('6. TIẾN ĐỘ MUA HÀNG'!$A$5:$AT81, 0, XMATCH("Tháng", '6. TIẾN ĐỘ MUA HÀNG'!$A$4:$AT$4, 0))) = TRIM(E$6)))</f>
        <v>0</v>
      </c>
      <c r="G76" s="741">
        <f t="array" ref="G76">SUMPRODUCT((INDEX('6. TIẾN ĐỘ MUA HÀNG'!$A:$AT, 0, XMATCH("Phân loại VTBB/NL", '6. TIẾN ĐỘ MUA HÀNG'!$A$4:$AT$4, 0)) = $B76) * (TRIM(INDEX('6. TIẾN ĐỘ MUA HÀNG'!$A:$AT, 0, XMATCH("Tháng", '6. TIẾN ĐỘ MUA HÀNG'!$A$4:$AT$4, 0))) = TRIM($G$6)) * (INDEX('6. TIẾN ĐỘ MUA HÀNG'!$A:$AT, 0, XMATCH("Phân loại VTBB/NL", '6. TIẾN ĐỘ MUA HÀNG'!$A$4:$AT$4, 0)) &lt;&gt; ""))</f>
        <v>0</v>
      </c>
      <c r="H76" s="742">
        <f t="array" ref="H76">SUMPRODUCT(IFERROR(INDEX('6. TIẾN ĐỘ MUA HÀNG'!$A$5:$AT81, 0, XMATCH("Thành tiền đơn hàng", '6. TIẾN ĐỘ MUA HÀNG'!$A$4:$AT$4, 0)), 0) * (INDEX('6. TIẾN ĐỘ MUA HÀNG'!$A$5:$AT81, 0, XMATCH("Phân loại VTBB/NL", '6. TIẾN ĐỘ MUA HÀNG'!$A$4:$AT$4, 0)) = $B76) * (TRIM(INDEX('6. TIẾN ĐỘ MUA HÀNG'!$A$5:$AT81, 0, XMATCH("Tháng", '6. TIẾN ĐỘ MUA HÀNG'!$A$4:$AT$4, 0))) = TRIM(G$6)))</f>
        <v>0</v>
      </c>
      <c r="I76" s="743">
        <f t="array" ref="I76">SUMPRODUCT((INDEX('6. TIẾN ĐỘ MUA HÀNG'!$A:$AT, 0, XMATCH("Phân loại VTBB/NL", '6. TIẾN ĐỘ MUA HÀNG'!$A$4:$AT$4, 0)) = $B76) * (TRIM(INDEX('6. TIẾN ĐỘ MUA HÀNG'!$A:$AT, 0, XMATCH("Tháng", '6. TIẾN ĐỘ MUA HÀNG'!$A$4:$AT$4, 0))) = TRIM(I$6)) * (INDEX('6. TIẾN ĐỘ MUA HÀNG'!$A:$AT, 0, XMATCH("Phân loại VTBB/NL", '6. TIẾN ĐỘ MUA HÀNG'!$A$4:$AT$4, 0)) &lt;&gt; ""))</f>
        <v>0</v>
      </c>
      <c r="J76" s="744">
        <f t="array" ref="J76">SUMPRODUCT(IFERROR(INDEX('6. TIẾN ĐỘ MUA HÀNG'!$A$5:$AT81, 0, XMATCH("Thành tiền đơn hàng", '6. TIẾN ĐỘ MUA HÀNG'!$A$4:$AT$4, 0)), 0) * (INDEX('6. TIẾN ĐỘ MUA HÀNG'!$A$5:$AT81, 0, XMATCH("Phân loại VTBB/NL", '6. TIẾN ĐỘ MUA HÀNG'!$A$4:$AT$4, 0)) = $B76) * (TRIM(INDEX('6. TIẾN ĐỘ MUA HÀNG'!$A$5:$AT81, 0, XMATCH("Tháng", '6. TIẾN ĐỘ MUA HÀNG'!$A$4:$AT$4, 0))) = TRIM(I$6)))</f>
        <v>0</v>
      </c>
      <c r="K76" s="741">
        <f t="array" ref="K76">SUMPRODUCT((INDEX('6. TIẾN ĐỘ MUA HÀNG'!$A:$AT, 0, XMATCH("Phân loại VTBB/NL", '6. TIẾN ĐỘ MUA HÀNG'!$A$4:$AT$4, 0)) = $B76) * (TRIM(INDEX('6. TIẾN ĐỘ MUA HÀNG'!$A:$AT, 0, XMATCH("Tháng", '6. TIẾN ĐỘ MUA HÀNG'!$A$4:$AT$4, 0))) = TRIM($K$6)) * (INDEX('6. TIẾN ĐỘ MUA HÀNG'!$A:$AT, 0, XMATCH("Phân loại VTBB/NL", '6. TIẾN ĐỘ MUA HÀNG'!$A$4:$AT$4, 0)) &lt;&gt; ""))</f>
        <v>0</v>
      </c>
      <c r="L76" s="742">
        <f t="array" ref="L76">SUMPRODUCT(IFERROR(INDEX('6. TIẾN ĐỘ MUA HÀNG'!$A$5:$AT81, 0, XMATCH("Thành tiền đơn hàng", '6. TIẾN ĐỘ MUA HÀNG'!$A$4:$AT$4, 0)), 0) * (INDEX('6. TIẾN ĐỘ MUA HÀNG'!$A$5:$AT81, 0, XMATCH("Phân loại VTBB/NL", '6. TIẾN ĐỘ MUA HÀNG'!$A$4:$AT$4, 0)) = $B76) * (TRIM(INDEX('6. TIẾN ĐỘ MUA HÀNG'!$A$5:$AT81, 0, XMATCH("Tháng", '6. TIẾN ĐỘ MUA HÀNG'!$A$4:$AT$4, 0))) = TRIM(K$6)))</f>
        <v>0</v>
      </c>
      <c r="M76" s="743">
        <f t="array" ref="M76">SUMPRODUCT((INDEX('6. TIẾN ĐỘ MUA HÀNG'!$A:$AT, 0, XMATCH("Phân loại VTBB/NL", '6. TIẾN ĐỘ MUA HÀNG'!$A$4:$AT$4, 0)) = $B76) * (TRIM(INDEX('6. TIẾN ĐỘ MUA HÀNG'!$A:$AT, 0, XMATCH("Tháng", '6. TIẾN ĐỘ MUA HÀNG'!$A$4:$AT$4, 0))) = TRIM(M$6)) * (INDEX('6. TIẾN ĐỘ MUA HÀNG'!$A:$AT, 0, XMATCH("Phân loại VTBB/NL", '6. TIẾN ĐỘ MUA HÀNG'!$A$4:$AT$4, 0)) &lt;&gt; ""))</f>
        <v>0</v>
      </c>
      <c r="N76" s="744">
        <f t="array" ref="N76">SUMPRODUCT(IFERROR(INDEX('6. TIẾN ĐỘ MUA HÀNG'!$A$5:$AT81, 0, XMATCH("Thành tiền đơn hàng", '6. TIẾN ĐỘ MUA HÀNG'!$A$4:$AT$4, 0)), 0) * (INDEX('6. TIẾN ĐỘ MUA HÀNG'!$A$5:$AT81, 0, XMATCH("Phân loại VTBB/NL", '6. TIẾN ĐỘ MUA HÀNG'!$A$4:$AT$4, 0)) = $B76) * (TRIM(INDEX('6. TIẾN ĐỘ MUA HÀNG'!$A$5:$AT81, 0, XMATCH("Tháng", '6. TIẾN ĐỘ MUA HÀNG'!$A$4:$AT$4, 0))) = TRIM(M$6)))</f>
        <v>0</v>
      </c>
      <c r="O76" s="741">
        <f t="array" ref="O76">SUMPRODUCT((INDEX('6. TIẾN ĐỘ MUA HÀNG'!$A:$AT, 0, XMATCH("Phân loại VTBB/NL", '6. TIẾN ĐỘ MUA HÀNG'!$A$4:$AT$4, 0)) = $B76) * (TRIM(INDEX('6. TIẾN ĐỘ MUA HÀNG'!$A:$AT, 0, XMATCH("Tháng", '6. TIẾN ĐỘ MUA HÀNG'!$A$4:$AT$4, 0))) = TRIM($O$6)) * (INDEX('6. TIẾN ĐỘ MUA HÀNG'!$A:$AT, 0, XMATCH("Phân loại VTBB/NL", '6. TIẾN ĐỘ MUA HÀNG'!$A$4:$AT$4, 0)) &lt;&gt; ""))</f>
        <v>0</v>
      </c>
      <c r="P76" s="742">
        <f t="array" ref="P76">SUMPRODUCT(IFERROR(INDEX('6. TIẾN ĐỘ MUA HÀNG'!$A$5:$AT81, 0, XMATCH("Thành tiền đơn hàng", '6. TIẾN ĐỘ MUA HÀNG'!$A$4:$AT$4, 0)), 0) * (INDEX('6. TIẾN ĐỘ MUA HÀNG'!$A$5:$AT81, 0, XMATCH("Phân loại VTBB/NL", '6. TIẾN ĐỘ MUA HÀNG'!$A$4:$AT$4, 0)) = $B76) * (TRIM(INDEX('6. TIẾN ĐỘ MUA HÀNG'!$A$5:$AT81, 0, XMATCH("Tháng", '6. TIẾN ĐỘ MUA HÀNG'!$A$4:$AT$4, 0))) = TRIM(O$6)))</f>
        <v>0</v>
      </c>
      <c r="Q76" s="743">
        <f t="array" ref="Q76">SUMPRODUCT((INDEX('6. TIẾN ĐỘ MUA HÀNG'!$A:$AT, 0, XMATCH("Phân loại VTBB/NL", '6. TIẾN ĐỘ MUA HÀNG'!$A$4:$AT$4, 0)) = $B76) * (TRIM(INDEX('6. TIẾN ĐỘ MUA HÀNG'!$A:$AT, 0, XMATCH("Tháng", '6. TIẾN ĐỘ MUA HÀNG'!$A$4:$AT$4, 0))) = TRIM(Q$6)) * (INDEX('6. TIẾN ĐỘ MUA HÀNG'!$A:$AT, 0, XMATCH("Phân loại VTBB/NL", '6. TIẾN ĐỘ MUA HÀNG'!$A$4:$AT$4, 0)) &lt;&gt; ""))</f>
        <v>0</v>
      </c>
      <c r="R76" s="744">
        <f t="array" ref="R76">SUMPRODUCT(IFERROR(INDEX('6. TIẾN ĐỘ MUA HÀNG'!$A$5:$AT81, 0, XMATCH("Thành tiền đơn hàng", '6. TIẾN ĐỘ MUA HÀNG'!$A$4:$AT$4, 0)), 0) * (INDEX('6. TIẾN ĐỘ MUA HÀNG'!$A$5:$AT81, 0, XMATCH("Phân loại VTBB/NL", '6. TIẾN ĐỘ MUA HÀNG'!$A$4:$AT$4, 0)) = $B76) * (TRIM(INDEX('6. TIẾN ĐỘ MUA HÀNG'!$A$5:$AT81, 0, XMATCH("Tháng", '6. TIẾN ĐỘ MUA HÀNG'!$A$4:$AT$4, 0))) = TRIM(Q$6)))</f>
        <v>0</v>
      </c>
      <c r="S76" s="741">
        <f t="array" ref="S76">SUMPRODUCT((INDEX('6. TIẾN ĐỘ MUA HÀNG'!$A:$AT, 0, XMATCH("Phân loại VTBB/NL", '6. TIẾN ĐỘ MUA HÀNG'!$A$4:$AT$4, 0)) = $B76) * (TRIM(INDEX('6. TIẾN ĐỘ MUA HÀNG'!$A:$AT, 0, XMATCH("Tháng", '6. TIẾN ĐỘ MUA HÀNG'!$A$4:$AT$4, 0))) = TRIM($S$6)) * (INDEX('6. TIẾN ĐỘ MUA HÀNG'!$A:$AT, 0, XMATCH("Phân loại VTBB/NL", '6. TIẾN ĐỘ MUA HÀNG'!$A$4:$AT$4, 0)) &lt;&gt; ""))</f>
        <v>0</v>
      </c>
      <c r="T76" s="742">
        <f t="array" ref="T76">SUMPRODUCT(IFERROR(INDEX('6. TIẾN ĐỘ MUA HÀNG'!$A$5:$AT81, 0, XMATCH("Thành tiền đơn hàng", '6. TIẾN ĐỘ MUA HÀNG'!$A$4:$AT$4, 0)), 0) * (INDEX('6. TIẾN ĐỘ MUA HÀNG'!$A$5:$AT81, 0, XMATCH("Phân loại VTBB/NL", '6. TIẾN ĐỘ MUA HÀNG'!$A$4:$AT$4, 0)) = $B76) * (TRIM(INDEX('6. TIẾN ĐỘ MUA HÀNG'!$A$5:$AT81, 0, XMATCH("Tháng", '6. TIẾN ĐỘ MUA HÀNG'!$A$4:$AT$4, 0))) = TRIM(S$6)))</f>
        <v>0</v>
      </c>
      <c r="U76" s="743">
        <f t="array" ref="U76">SUMPRODUCT((INDEX('6. TIẾN ĐỘ MUA HÀNG'!$A:$AT, 0, XMATCH("Phân loại VTBB/NL", '6. TIẾN ĐỘ MUA HÀNG'!$A$4:$AT$4, 0)) = $B76) * (TRIM(INDEX('6. TIẾN ĐỘ MUA HÀNG'!$A:$AT, 0, XMATCH("Tháng", '6. TIẾN ĐỘ MUA HÀNG'!$A$4:$AT$4, 0))) = TRIM(U$6)) * (INDEX('6. TIẾN ĐỘ MUA HÀNG'!$A:$AT, 0, XMATCH("Phân loại VTBB/NL", '6. TIẾN ĐỘ MUA HÀNG'!$A$4:$AT$4, 0)) &lt;&gt; ""))</f>
        <v>0</v>
      </c>
      <c r="V76" s="744">
        <f t="array" ref="V76">SUMPRODUCT(IFERROR(INDEX('6. TIẾN ĐỘ MUA HÀNG'!$A$5:$AT81, 0, XMATCH("Thành tiền đơn hàng", '6. TIẾN ĐỘ MUA HÀNG'!$A$4:$AT$4, 0)), 0) * (INDEX('6. TIẾN ĐỘ MUA HÀNG'!$A$5:$AT81, 0, XMATCH("Phân loại VTBB/NL", '6. TIẾN ĐỘ MUA HÀNG'!$A$4:$AT$4, 0)) = $B76) * (TRIM(INDEX('6. TIẾN ĐỘ MUA HÀNG'!$A$5:$AT81, 0, XMATCH("Tháng", '6. TIẾN ĐỘ MUA HÀNG'!$A$4:$AT$4, 0))) = TRIM(U$6)))</f>
        <v>0</v>
      </c>
      <c r="W76" s="741">
        <f t="array" ref="W76">SUMPRODUCT((INDEX('6. TIẾN ĐỘ MUA HÀNG'!$A:$AT, 0, XMATCH("Phân loại VTBB/NL", '6. TIẾN ĐỘ MUA HÀNG'!$A$4:$AT$4, 0)) = $B76) * (TRIM(INDEX('6. TIẾN ĐỘ MUA HÀNG'!$A:$AT, 0, XMATCH("Tháng", '6. TIẾN ĐỘ MUA HÀNG'!$A$4:$AT$4, 0))) = TRIM($W$6)) * (INDEX('6. TIẾN ĐỘ MUA HÀNG'!$A:$AT, 0, XMATCH("Phân loại VTBB/NL", '6. TIẾN ĐỘ MUA HÀNG'!$A$4:$AT$4, 0)) &lt;&gt; ""))</f>
        <v>0</v>
      </c>
      <c r="X76" s="742">
        <f t="array" ref="X76">SUMPRODUCT(IFERROR(INDEX('6. TIẾN ĐỘ MUA HÀNG'!$A$5:$AT81, 0, XMATCH("Thành tiền đơn hàng", '6. TIẾN ĐỘ MUA HÀNG'!$A$4:$AT$4, 0)), 0) * (INDEX('6. TIẾN ĐỘ MUA HÀNG'!$A$5:$AT81, 0, XMATCH("Phân loại VTBB/NL", '6. TIẾN ĐỘ MUA HÀNG'!$A$4:$AT$4, 0)) = $B76) * (TRIM(INDEX('6. TIẾN ĐỘ MUA HÀNG'!$A$5:$AT81, 0, XMATCH("Tháng", '6. TIẾN ĐỘ MUA HÀNG'!$A$4:$AT$4, 0))) = TRIM(W$6)))</f>
        <v>0</v>
      </c>
      <c r="Y76" s="743">
        <f t="array" ref="Y76">SUMPRODUCT((INDEX('6. TIẾN ĐỘ MUA HÀNG'!$A:$AT, 0, XMATCH("Phân loại VTBB/NL", '6. TIẾN ĐỘ MUA HÀNG'!$A$4:$AT$4, 0)) = $B76) * (TRIM(INDEX('6. TIẾN ĐỘ MUA HÀNG'!$A:$AT, 0, XMATCH("Tháng", '6. TIẾN ĐỘ MUA HÀNG'!$A$4:$AT$4, 0))) = TRIM(Y$6)) * (INDEX('6. TIẾN ĐỘ MUA HÀNG'!$A:$AT, 0, XMATCH("Phân loại VTBB/NL", '6. TIẾN ĐỘ MUA HÀNG'!$A$4:$AT$4, 0)) &lt;&gt; ""))</f>
        <v>0</v>
      </c>
      <c r="Z76" s="744">
        <f t="array" ref="Z76">SUMPRODUCT(IFERROR(INDEX('6. TIẾN ĐỘ MUA HÀNG'!$A$5:$AT81, 0, XMATCH("Thành tiền đơn hàng", '6. TIẾN ĐỘ MUA HÀNG'!$A$4:$AT$4, 0)), 0) * (INDEX('6. TIẾN ĐỘ MUA HÀNG'!$A$5:$AT81, 0, XMATCH("Phân loại VTBB/NL", '6. TIẾN ĐỘ MUA HÀNG'!$A$4:$AT$4, 0)) = $B76) * (TRIM(INDEX('6. TIẾN ĐỘ MUA HÀNG'!$A$5:$AT81, 0, XMATCH("Tháng", '6. TIẾN ĐỘ MUA HÀNG'!$A$4:$AT$4, 0))) = TRIM(Y$6)))</f>
        <v>0</v>
      </c>
      <c r="AA76" s="726">
        <f t="shared" si="2"/>
        <v>0</v>
      </c>
      <c r="AB76" s="726">
        <f t="shared" si="3"/>
        <v>0</v>
      </c>
    </row>
    <row r="77">
      <c r="A77" s="612">
        <v>69.0</v>
      </c>
      <c r="B77" s="597" t="str">
        <f>IFERROR(__xludf.DUMMYFUNCTION("""COMPUTED_VALUE"""),"Tem decal giấy")</f>
        <v>Tem decal giấy</v>
      </c>
      <c r="C77" s="741">
        <f t="array" ref="C77">SUMPRODUCT((INDEX('6. TIẾN ĐỘ MUA HÀNG'!$A:$AT, 0, XMATCH("Phân loại VTBB/NL", '6. TIẾN ĐỘ MUA HÀNG'!$A$4:$AT$4, 0)) = $B77) * (TRIM(INDEX('6. TIẾN ĐỘ MUA HÀNG'!$A:$AT, 0, XMATCH("Tháng", '6. TIẾN ĐỘ MUA HÀNG'!$A$4:$AT$4, 0))) = TRIM($C$6)) * (INDEX('6. TIẾN ĐỘ MUA HÀNG'!$A:$AT, 0, XMATCH("Phân loại VTBB/NL", '6. TIẾN ĐỘ MUA HÀNG'!$A$4:$AT$4, 0)) &lt;&gt; ""))</f>
        <v>0</v>
      </c>
      <c r="D77" s="742">
        <f t="array" ref="D77">SUMPRODUCT(IFERROR(INDEX('6. TIẾN ĐỘ MUA HÀNG'!$A$5:$AT81, 0, XMATCH("Thành tiền đơn hàng", '6. TIẾN ĐỘ MUA HÀNG'!$A$4:$AT$4, 0)), 0) * (INDEX('6. TIẾN ĐỘ MUA HÀNG'!$A$5:$AT81, 0, XMATCH("Phân loại VTBB/NL", '6. TIẾN ĐỘ MUA HÀNG'!$A$4:$AT$4, 0)) = $B77) * (TRIM(INDEX('6. TIẾN ĐỘ MUA HÀNG'!$A$5:$AT81, 0, XMATCH("Tháng", '6. TIẾN ĐỘ MUA HÀNG'!$A$4:$AT$4, 0))) = TRIM(C$6)))</f>
        <v>0</v>
      </c>
      <c r="E77" s="743">
        <f t="array" ref="E77">SUMPRODUCT((INDEX('6. TIẾN ĐỘ MUA HÀNG'!$A:$AT, 0, XMATCH("Phân loại VTBB/NL", '6. TIẾN ĐỘ MUA HÀNG'!$A$4:$AT$4, 0)) = $B77) * (TRIM(INDEX('6. TIẾN ĐỘ MUA HÀNG'!$A:$AT, 0, XMATCH("Tháng", '6. TIẾN ĐỘ MUA HÀNG'!$A$4:$AT$4, 0))) = TRIM(E$6)) * (INDEX('6. TIẾN ĐỘ MUA HÀNG'!$A:$AT, 0, XMATCH("Phân loại VTBB/NL", '6. TIẾN ĐỘ MUA HÀNG'!$A$4:$AT$4, 0)) &lt;&gt; ""))</f>
        <v>0</v>
      </c>
      <c r="F77" s="744">
        <f t="array" ref="F77">SUMPRODUCT(IFERROR(INDEX('6. TIẾN ĐỘ MUA HÀNG'!$A$5:$AT81, 0, XMATCH("Thành tiền đơn hàng", '6. TIẾN ĐỘ MUA HÀNG'!$A$4:$AT$4, 0)), 0) * (INDEX('6. TIẾN ĐỘ MUA HÀNG'!$A$5:$AT81, 0, XMATCH("Phân loại VTBB/NL", '6. TIẾN ĐỘ MUA HÀNG'!$A$4:$AT$4, 0)) = $B77) * (TRIM(INDEX('6. TIẾN ĐỘ MUA HÀNG'!$A$5:$AT81, 0, XMATCH("Tháng", '6. TIẾN ĐỘ MUA HÀNG'!$A$4:$AT$4, 0))) = TRIM(E$6)))</f>
        <v>0</v>
      </c>
      <c r="G77" s="741">
        <f t="array" ref="G77">SUMPRODUCT((INDEX('6. TIẾN ĐỘ MUA HÀNG'!$A:$AT, 0, XMATCH("Phân loại VTBB/NL", '6. TIẾN ĐỘ MUA HÀNG'!$A$4:$AT$4, 0)) = $B77) * (TRIM(INDEX('6. TIẾN ĐỘ MUA HÀNG'!$A:$AT, 0, XMATCH("Tháng", '6. TIẾN ĐỘ MUA HÀNG'!$A$4:$AT$4, 0))) = TRIM($G$6)) * (INDEX('6. TIẾN ĐỘ MUA HÀNG'!$A:$AT, 0, XMATCH("Phân loại VTBB/NL", '6. TIẾN ĐỘ MUA HÀNG'!$A$4:$AT$4, 0)) &lt;&gt; ""))</f>
        <v>0</v>
      </c>
      <c r="H77" s="742">
        <f t="array" ref="H77">SUMPRODUCT(IFERROR(INDEX('6. TIẾN ĐỘ MUA HÀNG'!$A$5:$AT81, 0, XMATCH("Thành tiền đơn hàng", '6. TIẾN ĐỘ MUA HÀNG'!$A$4:$AT$4, 0)), 0) * (INDEX('6. TIẾN ĐỘ MUA HÀNG'!$A$5:$AT81, 0, XMATCH("Phân loại VTBB/NL", '6. TIẾN ĐỘ MUA HÀNG'!$A$4:$AT$4, 0)) = $B77) * (TRIM(INDEX('6. TIẾN ĐỘ MUA HÀNG'!$A$5:$AT81, 0, XMATCH("Tháng", '6. TIẾN ĐỘ MUA HÀNG'!$A$4:$AT$4, 0))) = TRIM(G$6)))</f>
        <v>0</v>
      </c>
      <c r="I77" s="743">
        <f t="array" ref="I77">SUMPRODUCT((INDEX('6. TIẾN ĐỘ MUA HÀNG'!$A:$AT, 0, XMATCH("Phân loại VTBB/NL", '6. TIẾN ĐỘ MUA HÀNG'!$A$4:$AT$4, 0)) = $B77) * (TRIM(INDEX('6. TIẾN ĐỘ MUA HÀNG'!$A:$AT, 0, XMATCH("Tháng", '6. TIẾN ĐỘ MUA HÀNG'!$A$4:$AT$4, 0))) = TRIM(I$6)) * (INDEX('6. TIẾN ĐỘ MUA HÀNG'!$A:$AT, 0, XMATCH("Phân loại VTBB/NL", '6. TIẾN ĐỘ MUA HÀNG'!$A$4:$AT$4, 0)) &lt;&gt; ""))</f>
        <v>0</v>
      </c>
      <c r="J77" s="744">
        <f t="array" ref="J77">SUMPRODUCT(IFERROR(INDEX('6. TIẾN ĐỘ MUA HÀNG'!$A$5:$AT81, 0, XMATCH("Thành tiền đơn hàng", '6. TIẾN ĐỘ MUA HÀNG'!$A$4:$AT$4, 0)), 0) * (INDEX('6. TIẾN ĐỘ MUA HÀNG'!$A$5:$AT81, 0, XMATCH("Phân loại VTBB/NL", '6. TIẾN ĐỘ MUA HÀNG'!$A$4:$AT$4, 0)) = $B77) * (TRIM(INDEX('6. TIẾN ĐỘ MUA HÀNG'!$A$5:$AT81, 0, XMATCH("Tháng", '6. TIẾN ĐỘ MUA HÀNG'!$A$4:$AT$4, 0))) = TRIM(I$6)))</f>
        <v>0</v>
      </c>
      <c r="K77" s="741">
        <f t="array" ref="K77">SUMPRODUCT((INDEX('6. TIẾN ĐỘ MUA HÀNG'!$A:$AT, 0, XMATCH("Phân loại VTBB/NL", '6. TIẾN ĐỘ MUA HÀNG'!$A$4:$AT$4, 0)) = $B77) * (TRIM(INDEX('6. TIẾN ĐỘ MUA HÀNG'!$A:$AT, 0, XMATCH("Tháng", '6. TIẾN ĐỘ MUA HÀNG'!$A$4:$AT$4, 0))) = TRIM($K$6)) * (INDEX('6. TIẾN ĐỘ MUA HÀNG'!$A:$AT, 0, XMATCH("Phân loại VTBB/NL", '6. TIẾN ĐỘ MUA HÀNG'!$A$4:$AT$4, 0)) &lt;&gt; ""))</f>
        <v>0</v>
      </c>
      <c r="L77" s="742">
        <f t="array" ref="L77">SUMPRODUCT(IFERROR(INDEX('6. TIẾN ĐỘ MUA HÀNG'!$A$5:$AT81, 0, XMATCH("Thành tiền đơn hàng", '6. TIẾN ĐỘ MUA HÀNG'!$A$4:$AT$4, 0)), 0) * (INDEX('6. TIẾN ĐỘ MUA HÀNG'!$A$5:$AT81, 0, XMATCH("Phân loại VTBB/NL", '6. TIẾN ĐỘ MUA HÀNG'!$A$4:$AT$4, 0)) = $B77) * (TRIM(INDEX('6. TIẾN ĐỘ MUA HÀNG'!$A$5:$AT81, 0, XMATCH("Tháng", '6. TIẾN ĐỘ MUA HÀNG'!$A$4:$AT$4, 0))) = TRIM(K$6)))</f>
        <v>0</v>
      </c>
      <c r="M77" s="743">
        <f t="array" ref="M77">SUMPRODUCT((INDEX('6. TIẾN ĐỘ MUA HÀNG'!$A:$AT, 0, XMATCH("Phân loại VTBB/NL", '6. TIẾN ĐỘ MUA HÀNG'!$A$4:$AT$4, 0)) = $B77) * (TRIM(INDEX('6. TIẾN ĐỘ MUA HÀNG'!$A:$AT, 0, XMATCH("Tháng", '6. TIẾN ĐỘ MUA HÀNG'!$A$4:$AT$4, 0))) = TRIM(M$6)) * (INDEX('6. TIẾN ĐỘ MUA HÀNG'!$A:$AT, 0, XMATCH("Phân loại VTBB/NL", '6. TIẾN ĐỘ MUA HÀNG'!$A$4:$AT$4, 0)) &lt;&gt; ""))</f>
        <v>0</v>
      </c>
      <c r="N77" s="744">
        <f t="array" ref="N77">SUMPRODUCT(IFERROR(INDEX('6. TIẾN ĐỘ MUA HÀNG'!$A$5:$AT81, 0, XMATCH("Thành tiền đơn hàng", '6. TIẾN ĐỘ MUA HÀNG'!$A$4:$AT$4, 0)), 0) * (INDEX('6. TIẾN ĐỘ MUA HÀNG'!$A$5:$AT81, 0, XMATCH("Phân loại VTBB/NL", '6. TIẾN ĐỘ MUA HÀNG'!$A$4:$AT$4, 0)) = $B77) * (TRIM(INDEX('6. TIẾN ĐỘ MUA HÀNG'!$A$5:$AT81, 0, XMATCH("Tháng", '6. TIẾN ĐỘ MUA HÀNG'!$A$4:$AT$4, 0))) = TRIM(M$6)))</f>
        <v>0</v>
      </c>
      <c r="O77" s="741">
        <f t="array" ref="O77">SUMPRODUCT((INDEX('6. TIẾN ĐỘ MUA HÀNG'!$A:$AT, 0, XMATCH("Phân loại VTBB/NL", '6. TIẾN ĐỘ MUA HÀNG'!$A$4:$AT$4, 0)) = $B77) * (TRIM(INDEX('6. TIẾN ĐỘ MUA HÀNG'!$A:$AT, 0, XMATCH("Tháng", '6. TIẾN ĐỘ MUA HÀNG'!$A$4:$AT$4, 0))) = TRIM($O$6)) * (INDEX('6. TIẾN ĐỘ MUA HÀNG'!$A:$AT, 0, XMATCH("Phân loại VTBB/NL", '6. TIẾN ĐỘ MUA HÀNG'!$A$4:$AT$4, 0)) &lt;&gt; ""))</f>
        <v>0</v>
      </c>
      <c r="P77" s="742">
        <f t="array" ref="P77">SUMPRODUCT(IFERROR(INDEX('6. TIẾN ĐỘ MUA HÀNG'!$A$5:$AT81, 0, XMATCH("Thành tiền đơn hàng", '6. TIẾN ĐỘ MUA HÀNG'!$A$4:$AT$4, 0)), 0) * (INDEX('6. TIẾN ĐỘ MUA HÀNG'!$A$5:$AT81, 0, XMATCH("Phân loại VTBB/NL", '6. TIẾN ĐỘ MUA HÀNG'!$A$4:$AT$4, 0)) = $B77) * (TRIM(INDEX('6. TIẾN ĐỘ MUA HÀNG'!$A$5:$AT81, 0, XMATCH("Tháng", '6. TIẾN ĐỘ MUA HÀNG'!$A$4:$AT$4, 0))) = TRIM(O$6)))</f>
        <v>0</v>
      </c>
      <c r="Q77" s="743">
        <f t="array" ref="Q77">SUMPRODUCT((INDEX('6. TIẾN ĐỘ MUA HÀNG'!$A:$AT, 0, XMATCH("Phân loại VTBB/NL", '6. TIẾN ĐỘ MUA HÀNG'!$A$4:$AT$4, 0)) = $B77) * (TRIM(INDEX('6. TIẾN ĐỘ MUA HÀNG'!$A:$AT, 0, XMATCH("Tháng", '6. TIẾN ĐỘ MUA HÀNG'!$A$4:$AT$4, 0))) = TRIM(Q$6)) * (INDEX('6. TIẾN ĐỘ MUA HÀNG'!$A:$AT, 0, XMATCH("Phân loại VTBB/NL", '6. TIẾN ĐỘ MUA HÀNG'!$A$4:$AT$4, 0)) &lt;&gt; ""))</f>
        <v>0</v>
      </c>
      <c r="R77" s="744">
        <f t="array" ref="R77">SUMPRODUCT(IFERROR(INDEX('6. TIẾN ĐỘ MUA HÀNG'!$A$5:$AT81, 0, XMATCH("Thành tiền đơn hàng", '6. TIẾN ĐỘ MUA HÀNG'!$A$4:$AT$4, 0)), 0) * (INDEX('6. TIẾN ĐỘ MUA HÀNG'!$A$5:$AT81, 0, XMATCH("Phân loại VTBB/NL", '6. TIẾN ĐỘ MUA HÀNG'!$A$4:$AT$4, 0)) = $B77) * (TRIM(INDEX('6. TIẾN ĐỘ MUA HÀNG'!$A$5:$AT81, 0, XMATCH("Tháng", '6. TIẾN ĐỘ MUA HÀNG'!$A$4:$AT$4, 0))) = TRIM(Q$6)))</f>
        <v>0</v>
      </c>
      <c r="S77" s="741">
        <f t="array" ref="S77">SUMPRODUCT((INDEX('6. TIẾN ĐỘ MUA HÀNG'!$A:$AT, 0, XMATCH("Phân loại VTBB/NL", '6. TIẾN ĐỘ MUA HÀNG'!$A$4:$AT$4, 0)) = $B77) * (TRIM(INDEX('6. TIẾN ĐỘ MUA HÀNG'!$A:$AT, 0, XMATCH("Tháng", '6. TIẾN ĐỘ MUA HÀNG'!$A$4:$AT$4, 0))) = TRIM($S$6)) * (INDEX('6. TIẾN ĐỘ MUA HÀNG'!$A:$AT, 0, XMATCH("Phân loại VTBB/NL", '6. TIẾN ĐỘ MUA HÀNG'!$A$4:$AT$4, 0)) &lt;&gt; ""))</f>
        <v>0</v>
      </c>
      <c r="T77" s="742">
        <f t="array" ref="T77">SUMPRODUCT(IFERROR(INDEX('6. TIẾN ĐỘ MUA HÀNG'!$A$5:$AT81, 0, XMATCH("Thành tiền đơn hàng", '6. TIẾN ĐỘ MUA HÀNG'!$A$4:$AT$4, 0)), 0) * (INDEX('6. TIẾN ĐỘ MUA HÀNG'!$A$5:$AT81, 0, XMATCH("Phân loại VTBB/NL", '6. TIẾN ĐỘ MUA HÀNG'!$A$4:$AT$4, 0)) = $B77) * (TRIM(INDEX('6. TIẾN ĐỘ MUA HÀNG'!$A$5:$AT81, 0, XMATCH("Tháng", '6. TIẾN ĐỘ MUA HÀNG'!$A$4:$AT$4, 0))) = TRIM(S$6)))</f>
        <v>0</v>
      </c>
      <c r="U77" s="743">
        <f t="array" ref="U77">SUMPRODUCT((INDEX('6. TIẾN ĐỘ MUA HÀNG'!$A:$AT, 0, XMATCH("Phân loại VTBB/NL", '6. TIẾN ĐỘ MUA HÀNG'!$A$4:$AT$4, 0)) = $B77) * (TRIM(INDEX('6. TIẾN ĐỘ MUA HÀNG'!$A:$AT, 0, XMATCH("Tháng", '6. TIẾN ĐỘ MUA HÀNG'!$A$4:$AT$4, 0))) = TRIM(U$6)) * (INDEX('6. TIẾN ĐỘ MUA HÀNG'!$A:$AT, 0, XMATCH("Phân loại VTBB/NL", '6. TIẾN ĐỘ MUA HÀNG'!$A$4:$AT$4, 0)) &lt;&gt; ""))</f>
        <v>0</v>
      </c>
      <c r="V77" s="744">
        <f t="array" ref="V77">SUMPRODUCT(IFERROR(INDEX('6. TIẾN ĐỘ MUA HÀNG'!$A$5:$AT81, 0, XMATCH("Thành tiền đơn hàng", '6. TIẾN ĐỘ MUA HÀNG'!$A$4:$AT$4, 0)), 0) * (INDEX('6. TIẾN ĐỘ MUA HÀNG'!$A$5:$AT81, 0, XMATCH("Phân loại VTBB/NL", '6. TIẾN ĐỘ MUA HÀNG'!$A$4:$AT$4, 0)) = $B77) * (TRIM(INDEX('6. TIẾN ĐỘ MUA HÀNG'!$A$5:$AT81, 0, XMATCH("Tháng", '6. TIẾN ĐỘ MUA HÀNG'!$A$4:$AT$4, 0))) = TRIM(U$6)))</f>
        <v>0</v>
      </c>
      <c r="W77" s="741">
        <f t="array" ref="W77">SUMPRODUCT((INDEX('6. TIẾN ĐỘ MUA HÀNG'!$A:$AT, 0, XMATCH("Phân loại VTBB/NL", '6. TIẾN ĐỘ MUA HÀNG'!$A$4:$AT$4, 0)) = $B77) * (TRIM(INDEX('6. TIẾN ĐỘ MUA HÀNG'!$A:$AT, 0, XMATCH("Tháng", '6. TIẾN ĐỘ MUA HÀNG'!$A$4:$AT$4, 0))) = TRIM($W$6)) * (INDEX('6. TIẾN ĐỘ MUA HÀNG'!$A:$AT, 0, XMATCH("Phân loại VTBB/NL", '6. TIẾN ĐỘ MUA HÀNG'!$A$4:$AT$4, 0)) &lt;&gt; ""))</f>
        <v>0</v>
      </c>
      <c r="X77" s="742">
        <f t="array" ref="X77">SUMPRODUCT(IFERROR(INDEX('6. TIẾN ĐỘ MUA HÀNG'!$A$5:$AT81, 0, XMATCH("Thành tiền đơn hàng", '6. TIẾN ĐỘ MUA HÀNG'!$A$4:$AT$4, 0)), 0) * (INDEX('6. TIẾN ĐỘ MUA HÀNG'!$A$5:$AT81, 0, XMATCH("Phân loại VTBB/NL", '6. TIẾN ĐỘ MUA HÀNG'!$A$4:$AT$4, 0)) = $B77) * (TRIM(INDEX('6. TIẾN ĐỘ MUA HÀNG'!$A$5:$AT81, 0, XMATCH("Tháng", '6. TIẾN ĐỘ MUA HÀNG'!$A$4:$AT$4, 0))) = TRIM(W$6)))</f>
        <v>0</v>
      </c>
      <c r="Y77" s="743">
        <f t="array" ref="Y77">SUMPRODUCT((INDEX('6. TIẾN ĐỘ MUA HÀNG'!$A:$AT, 0, XMATCH("Phân loại VTBB/NL", '6. TIẾN ĐỘ MUA HÀNG'!$A$4:$AT$4, 0)) = $B77) * (TRIM(INDEX('6. TIẾN ĐỘ MUA HÀNG'!$A:$AT, 0, XMATCH("Tháng", '6. TIẾN ĐỘ MUA HÀNG'!$A$4:$AT$4, 0))) = TRIM(Y$6)) * (INDEX('6. TIẾN ĐỘ MUA HÀNG'!$A:$AT, 0, XMATCH("Phân loại VTBB/NL", '6. TIẾN ĐỘ MUA HÀNG'!$A$4:$AT$4, 0)) &lt;&gt; ""))</f>
        <v>0</v>
      </c>
      <c r="Z77" s="744">
        <f t="array" ref="Z77">SUMPRODUCT(IFERROR(INDEX('6. TIẾN ĐỘ MUA HÀNG'!$A$5:$AT81, 0, XMATCH("Thành tiền đơn hàng", '6. TIẾN ĐỘ MUA HÀNG'!$A$4:$AT$4, 0)), 0) * (INDEX('6. TIẾN ĐỘ MUA HÀNG'!$A$5:$AT81, 0, XMATCH("Phân loại VTBB/NL", '6. TIẾN ĐỘ MUA HÀNG'!$A$4:$AT$4, 0)) = $B77) * (TRIM(INDEX('6. TIẾN ĐỘ MUA HÀNG'!$A$5:$AT81, 0, XMATCH("Tháng", '6. TIẾN ĐỘ MUA HÀNG'!$A$4:$AT$4, 0))) = TRIM(Y$6)))</f>
        <v>0</v>
      </c>
      <c r="AA77" s="726">
        <f t="shared" si="2"/>
        <v>0</v>
      </c>
      <c r="AB77" s="726">
        <f t="shared" si="3"/>
        <v>0</v>
      </c>
    </row>
    <row r="78">
      <c r="A78" s="612">
        <v>70.0</v>
      </c>
      <c r="B78" s="597" t="str">
        <f>IFERROR(__xludf.DUMMYFUNCTION("""COMPUTED_VALUE"""),"NL Nhập khẩu")</f>
        <v>NL Nhập khẩu</v>
      </c>
      <c r="C78" s="741">
        <f t="array" ref="C78">SUMPRODUCT((INDEX('6. TIẾN ĐỘ MUA HÀNG'!$A:$AT, 0, XMATCH("Phân loại VTBB/NL", '6. TIẾN ĐỘ MUA HÀNG'!$A$4:$AT$4, 0)) = $B78) * (TRIM(INDEX('6. TIẾN ĐỘ MUA HÀNG'!$A:$AT, 0, XMATCH("Tháng", '6. TIẾN ĐỘ MUA HÀNG'!$A$4:$AT$4, 0))) = TRIM($C$6)) * (INDEX('6. TIẾN ĐỘ MUA HÀNG'!$A:$AT, 0, XMATCH("Phân loại VTBB/NL", '6. TIẾN ĐỘ MUA HÀNG'!$A$4:$AT$4, 0)) &lt;&gt; ""))</f>
        <v>0</v>
      </c>
      <c r="D78" s="742">
        <f t="array" ref="D78">SUMPRODUCT(IFERROR(INDEX('6. TIẾN ĐỘ MUA HÀNG'!$A$5:$AT81, 0, XMATCH("Thành tiền đơn hàng", '6. TIẾN ĐỘ MUA HÀNG'!$A$4:$AT$4, 0)), 0) * (INDEX('6. TIẾN ĐỘ MUA HÀNG'!$A$5:$AT81, 0, XMATCH("Phân loại VTBB/NL", '6. TIẾN ĐỘ MUA HÀNG'!$A$4:$AT$4, 0)) = $B78) * (TRIM(INDEX('6. TIẾN ĐỘ MUA HÀNG'!$A$5:$AT81, 0, XMATCH("Tháng", '6. TIẾN ĐỘ MUA HÀNG'!$A$4:$AT$4, 0))) = TRIM(C$6)))</f>
        <v>0</v>
      </c>
      <c r="E78" s="743">
        <f t="array" ref="E78">SUMPRODUCT((INDEX('6. TIẾN ĐỘ MUA HÀNG'!$A:$AT, 0, XMATCH("Phân loại VTBB/NL", '6. TIẾN ĐỘ MUA HÀNG'!$A$4:$AT$4, 0)) = $B78) * (TRIM(INDEX('6. TIẾN ĐỘ MUA HÀNG'!$A:$AT, 0, XMATCH("Tháng", '6. TIẾN ĐỘ MUA HÀNG'!$A$4:$AT$4, 0))) = TRIM(E$6)) * (INDEX('6. TIẾN ĐỘ MUA HÀNG'!$A:$AT, 0, XMATCH("Phân loại VTBB/NL", '6. TIẾN ĐỘ MUA HÀNG'!$A$4:$AT$4, 0)) &lt;&gt; ""))</f>
        <v>0</v>
      </c>
      <c r="F78" s="744">
        <f t="array" ref="F78">SUMPRODUCT(IFERROR(INDEX('6. TIẾN ĐỘ MUA HÀNG'!$A$5:$AT81, 0, XMATCH("Thành tiền đơn hàng", '6. TIẾN ĐỘ MUA HÀNG'!$A$4:$AT$4, 0)), 0) * (INDEX('6. TIẾN ĐỘ MUA HÀNG'!$A$5:$AT81, 0, XMATCH("Phân loại VTBB/NL", '6. TIẾN ĐỘ MUA HÀNG'!$A$4:$AT$4, 0)) = $B78) * (TRIM(INDEX('6. TIẾN ĐỘ MUA HÀNG'!$A$5:$AT81, 0, XMATCH("Tháng", '6. TIẾN ĐỘ MUA HÀNG'!$A$4:$AT$4, 0))) = TRIM(E$6)))</f>
        <v>0</v>
      </c>
      <c r="G78" s="741">
        <f t="array" ref="G78">SUMPRODUCT((INDEX('6. TIẾN ĐỘ MUA HÀNG'!$A:$AT, 0, XMATCH("Phân loại VTBB/NL", '6. TIẾN ĐỘ MUA HÀNG'!$A$4:$AT$4, 0)) = $B78) * (TRIM(INDEX('6. TIẾN ĐỘ MUA HÀNG'!$A:$AT, 0, XMATCH("Tháng", '6. TIẾN ĐỘ MUA HÀNG'!$A$4:$AT$4, 0))) = TRIM($G$6)) * (INDEX('6. TIẾN ĐỘ MUA HÀNG'!$A:$AT, 0, XMATCH("Phân loại VTBB/NL", '6. TIẾN ĐỘ MUA HÀNG'!$A$4:$AT$4, 0)) &lt;&gt; ""))</f>
        <v>0</v>
      </c>
      <c r="H78" s="742">
        <f t="array" ref="H78">SUMPRODUCT(IFERROR(INDEX('6. TIẾN ĐỘ MUA HÀNG'!$A$5:$AT81, 0, XMATCH("Thành tiền đơn hàng", '6. TIẾN ĐỘ MUA HÀNG'!$A$4:$AT$4, 0)), 0) * (INDEX('6. TIẾN ĐỘ MUA HÀNG'!$A$5:$AT81, 0, XMATCH("Phân loại VTBB/NL", '6. TIẾN ĐỘ MUA HÀNG'!$A$4:$AT$4, 0)) = $B78) * (TRIM(INDEX('6. TIẾN ĐỘ MUA HÀNG'!$A$5:$AT81, 0, XMATCH("Tháng", '6. TIẾN ĐỘ MUA HÀNG'!$A$4:$AT$4, 0))) = TRIM(G$6)))</f>
        <v>0</v>
      </c>
      <c r="I78" s="743">
        <f t="array" ref="I78">SUMPRODUCT((INDEX('6. TIẾN ĐỘ MUA HÀNG'!$A:$AT, 0, XMATCH("Phân loại VTBB/NL", '6. TIẾN ĐỘ MUA HÀNG'!$A$4:$AT$4, 0)) = $B78) * (TRIM(INDEX('6. TIẾN ĐỘ MUA HÀNG'!$A:$AT, 0, XMATCH("Tháng", '6. TIẾN ĐỘ MUA HÀNG'!$A$4:$AT$4, 0))) = TRIM(I$6)) * (INDEX('6. TIẾN ĐỘ MUA HÀNG'!$A:$AT, 0, XMATCH("Phân loại VTBB/NL", '6. TIẾN ĐỘ MUA HÀNG'!$A$4:$AT$4, 0)) &lt;&gt; ""))</f>
        <v>0</v>
      </c>
      <c r="J78" s="744">
        <f t="array" ref="J78">SUMPRODUCT(IFERROR(INDEX('6. TIẾN ĐỘ MUA HÀNG'!$A$5:$AT81, 0, XMATCH("Thành tiền đơn hàng", '6. TIẾN ĐỘ MUA HÀNG'!$A$4:$AT$4, 0)), 0) * (INDEX('6. TIẾN ĐỘ MUA HÀNG'!$A$5:$AT81, 0, XMATCH("Phân loại VTBB/NL", '6. TIẾN ĐỘ MUA HÀNG'!$A$4:$AT$4, 0)) = $B78) * (TRIM(INDEX('6. TIẾN ĐỘ MUA HÀNG'!$A$5:$AT81, 0, XMATCH("Tháng", '6. TIẾN ĐỘ MUA HÀNG'!$A$4:$AT$4, 0))) = TRIM(I$6)))</f>
        <v>0</v>
      </c>
      <c r="K78" s="741">
        <f t="array" ref="K78">SUMPRODUCT((INDEX('6. TIẾN ĐỘ MUA HÀNG'!$A:$AT, 0, XMATCH("Phân loại VTBB/NL", '6. TIẾN ĐỘ MUA HÀNG'!$A$4:$AT$4, 0)) = $B78) * (TRIM(INDEX('6. TIẾN ĐỘ MUA HÀNG'!$A:$AT, 0, XMATCH("Tháng", '6. TIẾN ĐỘ MUA HÀNG'!$A$4:$AT$4, 0))) = TRIM($K$6)) * (INDEX('6. TIẾN ĐỘ MUA HÀNG'!$A:$AT, 0, XMATCH("Phân loại VTBB/NL", '6. TIẾN ĐỘ MUA HÀNG'!$A$4:$AT$4, 0)) &lt;&gt; ""))</f>
        <v>0</v>
      </c>
      <c r="L78" s="742">
        <f t="array" ref="L78">SUMPRODUCT(IFERROR(INDEX('6. TIẾN ĐỘ MUA HÀNG'!$A$5:$AT81, 0, XMATCH("Thành tiền đơn hàng", '6. TIẾN ĐỘ MUA HÀNG'!$A$4:$AT$4, 0)), 0) * (INDEX('6. TIẾN ĐỘ MUA HÀNG'!$A$5:$AT81, 0, XMATCH("Phân loại VTBB/NL", '6. TIẾN ĐỘ MUA HÀNG'!$A$4:$AT$4, 0)) = $B78) * (TRIM(INDEX('6. TIẾN ĐỘ MUA HÀNG'!$A$5:$AT81, 0, XMATCH("Tháng", '6. TIẾN ĐỘ MUA HÀNG'!$A$4:$AT$4, 0))) = TRIM(K$6)))</f>
        <v>0</v>
      </c>
      <c r="M78" s="743">
        <f t="array" ref="M78">SUMPRODUCT((INDEX('6. TIẾN ĐỘ MUA HÀNG'!$A:$AT, 0, XMATCH("Phân loại VTBB/NL", '6. TIẾN ĐỘ MUA HÀNG'!$A$4:$AT$4, 0)) = $B78) * (TRIM(INDEX('6. TIẾN ĐỘ MUA HÀNG'!$A:$AT, 0, XMATCH("Tháng", '6. TIẾN ĐỘ MUA HÀNG'!$A$4:$AT$4, 0))) = TRIM(M$6)) * (INDEX('6. TIẾN ĐỘ MUA HÀNG'!$A:$AT, 0, XMATCH("Phân loại VTBB/NL", '6. TIẾN ĐỘ MUA HÀNG'!$A$4:$AT$4, 0)) &lt;&gt; ""))</f>
        <v>0</v>
      </c>
      <c r="N78" s="744">
        <f t="array" ref="N78">SUMPRODUCT(IFERROR(INDEX('6. TIẾN ĐỘ MUA HÀNG'!$A$5:$AT81, 0, XMATCH("Thành tiền đơn hàng", '6. TIẾN ĐỘ MUA HÀNG'!$A$4:$AT$4, 0)), 0) * (INDEX('6. TIẾN ĐỘ MUA HÀNG'!$A$5:$AT81, 0, XMATCH("Phân loại VTBB/NL", '6. TIẾN ĐỘ MUA HÀNG'!$A$4:$AT$4, 0)) = $B78) * (TRIM(INDEX('6. TIẾN ĐỘ MUA HÀNG'!$A$5:$AT81, 0, XMATCH("Tháng", '6. TIẾN ĐỘ MUA HÀNG'!$A$4:$AT$4, 0))) = TRIM(M$6)))</f>
        <v>0</v>
      </c>
      <c r="O78" s="741">
        <f t="array" ref="O78">SUMPRODUCT((INDEX('6. TIẾN ĐỘ MUA HÀNG'!$A:$AT, 0, XMATCH("Phân loại VTBB/NL", '6. TIẾN ĐỘ MUA HÀNG'!$A$4:$AT$4, 0)) = $B78) * (TRIM(INDEX('6. TIẾN ĐỘ MUA HÀNG'!$A:$AT, 0, XMATCH("Tháng", '6. TIẾN ĐỘ MUA HÀNG'!$A$4:$AT$4, 0))) = TRIM($O$6)) * (INDEX('6. TIẾN ĐỘ MUA HÀNG'!$A:$AT, 0, XMATCH("Phân loại VTBB/NL", '6. TIẾN ĐỘ MUA HÀNG'!$A$4:$AT$4, 0)) &lt;&gt; ""))</f>
        <v>0</v>
      </c>
      <c r="P78" s="742">
        <f t="array" ref="P78">SUMPRODUCT(IFERROR(INDEX('6. TIẾN ĐỘ MUA HÀNG'!$A$5:$AT81, 0, XMATCH("Thành tiền đơn hàng", '6. TIẾN ĐỘ MUA HÀNG'!$A$4:$AT$4, 0)), 0) * (INDEX('6. TIẾN ĐỘ MUA HÀNG'!$A$5:$AT81, 0, XMATCH("Phân loại VTBB/NL", '6. TIẾN ĐỘ MUA HÀNG'!$A$4:$AT$4, 0)) = $B78) * (TRIM(INDEX('6. TIẾN ĐỘ MUA HÀNG'!$A$5:$AT81, 0, XMATCH("Tháng", '6. TIẾN ĐỘ MUA HÀNG'!$A$4:$AT$4, 0))) = TRIM(O$6)))</f>
        <v>0</v>
      </c>
      <c r="Q78" s="743">
        <f t="array" ref="Q78">SUMPRODUCT((INDEX('6. TIẾN ĐỘ MUA HÀNG'!$A:$AT, 0, XMATCH("Phân loại VTBB/NL", '6. TIẾN ĐỘ MUA HÀNG'!$A$4:$AT$4, 0)) = $B78) * (TRIM(INDEX('6. TIẾN ĐỘ MUA HÀNG'!$A:$AT, 0, XMATCH("Tháng", '6. TIẾN ĐỘ MUA HÀNG'!$A$4:$AT$4, 0))) = TRIM(Q$6)) * (INDEX('6. TIẾN ĐỘ MUA HÀNG'!$A:$AT, 0, XMATCH("Phân loại VTBB/NL", '6. TIẾN ĐỘ MUA HÀNG'!$A$4:$AT$4, 0)) &lt;&gt; ""))</f>
        <v>0</v>
      </c>
      <c r="R78" s="744">
        <f t="array" ref="R78">SUMPRODUCT(IFERROR(INDEX('6. TIẾN ĐỘ MUA HÀNG'!$A$5:$AT81, 0, XMATCH("Thành tiền đơn hàng", '6. TIẾN ĐỘ MUA HÀNG'!$A$4:$AT$4, 0)), 0) * (INDEX('6. TIẾN ĐỘ MUA HÀNG'!$A$5:$AT81, 0, XMATCH("Phân loại VTBB/NL", '6. TIẾN ĐỘ MUA HÀNG'!$A$4:$AT$4, 0)) = $B78) * (TRIM(INDEX('6. TIẾN ĐỘ MUA HÀNG'!$A$5:$AT81, 0, XMATCH("Tháng", '6. TIẾN ĐỘ MUA HÀNG'!$A$4:$AT$4, 0))) = TRIM(Q$6)))</f>
        <v>0</v>
      </c>
      <c r="S78" s="741">
        <f t="array" ref="S78">SUMPRODUCT((INDEX('6. TIẾN ĐỘ MUA HÀNG'!$A:$AT, 0, XMATCH("Phân loại VTBB/NL", '6. TIẾN ĐỘ MUA HÀNG'!$A$4:$AT$4, 0)) = $B78) * (TRIM(INDEX('6. TIẾN ĐỘ MUA HÀNG'!$A:$AT, 0, XMATCH("Tháng", '6. TIẾN ĐỘ MUA HÀNG'!$A$4:$AT$4, 0))) = TRIM($S$6)) * (INDEX('6. TIẾN ĐỘ MUA HÀNG'!$A:$AT, 0, XMATCH("Phân loại VTBB/NL", '6. TIẾN ĐỘ MUA HÀNG'!$A$4:$AT$4, 0)) &lt;&gt; ""))</f>
        <v>0</v>
      </c>
      <c r="T78" s="742">
        <f t="array" ref="T78">SUMPRODUCT(IFERROR(INDEX('6. TIẾN ĐỘ MUA HÀNG'!$A$5:$AT81, 0, XMATCH("Thành tiền đơn hàng", '6. TIẾN ĐỘ MUA HÀNG'!$A$4:$AT$4, 0)), 0) * (INDEX('6. TIẾN ĐỘ MUA HÀNG'!$A$5:$AT81, 0, XMATCH("Phân loại VTBB/NL", '6. TIẾN ĐỘ MUA HÀNG'!$A$4:$AT$4, 0)) = $B78) * (TRIM(INDEX('6. TIẾN ĐỘ MUA HÀNG'!$A$5:$AT81, 0, XMATCH("Tháng", '6. TIẾN ĐỘ MUA HÀNG'!$A$4:$AT$4, 0))) = TRIM(S$6)))</f>
        <v>0</v>
      </c>
      <c r="U78" s="743">
        <f t="array" ref="U78">SUMPRODUCT((INDEX('6. TIẾN ĐỘ MUA HÀNG'!$A:$AT, 0, XMATCH("Phân loại VTBB/NL", '6. TIẾN ĐỘ MUA HÀNG'!$A$4:$AT$4, 0)) = $B78) * (TRIM(INDEX('6. TIẾN ĐỘ MUA HÀNG'!$A:$AT, 0, XMATCH("Tháng", '6. TIẾN ĐỘ MUA HÀNG'!$A$4:$AT$4, 0))) = TRIM(U$6)) * (INDEX('6. TIẾN ĐỘ MUA HÀNG'!$A:$AT, 0, XMATCH("Phân loại VTBB/NL", '6. TIẾN ĐỘ MUA HÀNG'!$A$4:$AT$4, 0)) &lt;&gt; ""))</f>
        <v>0</v>
      </c>
      <c r="V78" s="744">
        <f t="array" ref="V78">SUMPRODUCT(IFERROR(INDEX('6. TIẾN ĐỘ MUA HÀNG'!$A$5:$AT81, 0, XMATCH("Thành tiền đơn hàng", '6. TIẾN ĐỘ MUA HÀNG'!$A$4:$AT$4, 0)), 0) * (INDEX('6. TIẾN ĐỘ MUA HÀNG'!$A$5:$AT81, 0, XMATCH("Phân loại VTBB/NL", '6. TIẾN ĐỘ MUA HÀNG'!$A$4:$AT$4, 0)) = $B78) * (TRIM(INDEX('6. TIẾN ĐỘ MUA HÀNG'!$A$5:$AT81, 0, XMATCH("Tháng", '6. TIẾN ĐỘ MUA HÀNG'!$A$4:$AT$4, 0))) = TRIM(U$6)))</f>
        <v>0</v>
      </c>
      <c r="W78" s="741">
        <f t="array" ref="W78">SUMPRODUCT((INDEX('6. TIẾN ĐỘ MUA HÀNG'!$A:$AT, 0, XMATCH("Phân loại VTBB/NL", '6. TIẾN ĐỘ MUA HÀNG'!$A$4:$AT$4, 0)) = $B78) * (TRIM(INDEX('6. TIẾN ĐỘ MUA HÀNG'!$A:$AT, 0, XMATCH("Tháng", '6. TIẾN ĐỘ MUA HÀNG'!$A$4:$AT$4, 0))) = TRIM($W$6)) * (INDEX('6. TIẾN ĐỘ MUA HÀNG'!$A:$AT, 0, XMATCH("Phân loại VTBB/NL", '6. TIẾN ĐỘ MUA HÀNG'!$A$4:$AT$4, 0)) &lt;&gt; ""))</f>
        <v>0</v>
      </c>
      <c r="X78" s="742">
        <f t="array" ref="X78">SUMPRODUCT(IFERROR(INDEX('6. TIẾN ĐỘ MUA HÀNG'!$A$5:$AT81, 0, XMATCH("Thành tiền đơn hàng", '6. TIẾN ĐỘ MUA HÀNG'!$A$4:$AT$4, 0)), 0) * (INDEX('6. TIẾN ĐỘ MUA HÀNG'!$A$5:$AT81, 0, XMATCH("Phân loại VTBB/NL", '6. TIẾN ĐỘ MUA HÀNG'!$A$4:$AT$4, 0)) = $B78) * (TRIM(INDEX('6. TIẾN ĐỘ MUA HÀNG'!$A$5:$AT81, 0, XMATCH("Tháng", '6. TIẾN ĐỘ MUA HÀNG'!$A$4:$AT$4, 0))) = TRIM(W$6)))</f>
        <v>0</v>
      </c>
      <c r="Y78" s="743">
        <f t="array" ref="Y78">SUMPRODUCT((INDEX('6. TIẾN ĐỘ MUA HÀNG'!$A:$AT, 0, XMATCH("Phân loại VTBB/NL", '6. TIẾN ĐỘ MUA HÀNG'!$A$4:$AT$4, 0)) = $B78) * (TRIM(INDEX('6. TIẾN ĐỘ MUA HÀNG'!$A:$AT, 0, XMATCH("Tháng", '6. TIẾN ĐỘ MUA HÀNG'!$A$4:$AT$4, 0))) = TRIM(Y$6)) * (INDEX('6. TIẾN ĐỘ MUA HÀNG'!$A:$AT, 0, XMATCH("Phân loại VTBB/NL", '6. TIẾN ĐỘ MUA HÀNG'!$A$4:$AT$4, 0)) &lt;&gt; ""))</f>
        <v>0</v>
      </c>
      <c r="Z78" s="744">
        <f t="array" ref="Z78">SUMPRODUCT(IFERROR(INDEX('6. TIẾN ĐỘ MUA HÀNG'!$A$5:$AT81, 0, XMATCH("Thành tiền đơn hàng", '6. TIẾN ĐỘ MUA HÀNG'!$A$4:$AT$4, 0)), 0) * (INDEX('6. TIẾN ĐỘ MUA HÀNG'!$A$5:$AT81, 0, XMATCH("Phân loại VTBB/NL", '6. TIẾN ĐỘ MUA HÀNG'!$A$4:$AT$4, 0)) = $B78) * (TRIM(INDEX('6. TIẾN ĐỘ MUA HÀNG'!$A$5:$AT81, 0, XMATCH("Tháng", '6. TIẾN ĐỘ MUA HÀNG'!$A$4:$AT$4, 0))) = TRIM(Y$6)))</f>
        <v>0</v>
      </c>
      <c r="AA78" s="726">
        <f t="shared" si="2"/>
        <v>0</v>
      </c>
      <c r="AB78" s="726">
        <f t="shared" si="3"/>
        <v>0</v>
      </c>
    </row>
    <row r="79">
      <c r="A79" s="612">
        <v>71.0</v>
      </c>
      <c r="B79" s="597" t="str">
        <f>IFERROR(__xludf.DUMMYFUNCTION("""COMPUTED_VALUE"""),"Tag treo")</f>
        <v>Tag treo</v>
      </c>
      <c r="C79" s="741">
        <f t="array" ref="C79">SUMPRODUCT((INDEX('6. TIẾN ĐỘ MUA HÀNG'!$A:$AT, 0, XMATCH("Phân loại VTBB/NL", '6. TIẾN ĐỘ MUA HÀNG'!$A$4:$AT$4, 0)) = $B79) * (TRIM(INDEX('6. TIẾN ĐỘ MUA HÀNG'!$A:$AT, 0, XMATCH("Tháng", '6. TIẾN ĐỘ MUA HÀNG'!$A$4:$AT$4, 0))) = TRIM($C$6)) * (INDEX('6. TIẾN ĐỘ MUA HÀNG'!$A:$AT, 0, XMATCH("Phân loại VTBB/NL", '6. TIẾN ĐỘ MUA HÀNG'!$A$4:$AT$4, 0)) &lt;&gt; ""))</f>
        <v>0</v>
      </c>
      <c r="D79" s="742">
        <f t="array" ref="D79">SUMPRODUCT(IFERROR(INDEX('6. TIẾN ĐỘ MUA HÀNG'!$A$5:$AT81, 0, XMATCH("Thành tiền đơn hàng", '6. TIẾN ĐỘ MUA HÀNG'!$A$4:$AT$4, 0)), 0) * (INDEX('6. TIẾN ĐỘ MUA HÀNG'!$A$5:$AT81, 0, XMATCH("Phân loại VTBB/NL", '6. TIẾN ĐỘ MUA HÀNG'!$A$4:$AT$4, 0)) = $B79) * (TRIM(INDEX('6. TIẾN ĐỘ MUA HÀNG'!$A$5:$AT81, 0, XMATCH("Tháng", '6. TIẾN ĐỘ MUA HÀNG'!$A$4:$AT$4, 0))) = TRIM(C$6)))</f>
        <v>0</v>
      </c>
      <c r="E79" s="743">
        <f t="array" ref="E79">SUMPRODUCT((INDEX('6. TIẾN ĐỘ MUA HÀNG'!$A:$AT, 0, XMATCH("Phân loại VTBB/NL", '6. TIẾN ĐỘ MUA HÀNG'!$A$4:$AT$4, 0)) = $B79) * (TRIM(INDEX('6. TIẾN ĐỘ MUA HÀNG'!$A:$AT, 0, XMATCH("Tháng", '6. TIẾN ĐỘ MUA HÀNG'!$A$4:$AT$4, 0))) = TRIM(E$6)) * (INDEX('6. TIẾN ĐỘ MUA HÀNG'!$A:$AT, 0, XMATCH("Phân loại VTBB/NL", '6. TIẾN ĐỘ MUA HÀNG'!$A$4:$AT$4, 0)) &lt;&gt; ""))</f>
        <v>0</v>
      </c>
      <c r="F79" s="744">
        <f t="array" ref="F79">SUMPRODUCT(IFERROR(INDEX('6. TIẾN ĐỘ MUA HÀNG'!$A$5:$AT81, 0, XMATCH("Thành tiền đơn hàng", '6. TIẾN ĐỘ MUA HÀNG'!$A$4:$AT$4, 0)), 0) * (INDEX('6. TIẾN ĐỘ MUA HÀNG'!$A$5:$AT81, 0, XMATCH("Phân loại VTBB/NL", '6. TIẾN ĐỘ MUA HÀNG'!$A$4:$AT$4, 0)) = $B79) * (TRIM(INDEX('6. TIẾN ĐỘ MUA HÀNG'!$A$5:$AT81, 0, XMATCH("Tháng", '6. TIẾN ĐỘ MUA HÀNG'!$A$4:$AT$4, 0))) = TRIM(E$6)))</f>
        <v>0</v>
      </c>
      <c r="G79" s="741">
        <f t="array" ref="G79">SUMPRODUCT((INDEX('6. TIẾN ĐỘ MUA HÀNG'!$A:$AT, 0, XMATCH("Phân loại VTBB/NL", '6. TIẾN ĐỘ MUA HÀNG'!$A$4:$AT$4, 0)) = $B79) * (TRIM(INDEX('6. TIẾN ĐỘ MUA HÀNG'!$A:$AT, 0, XMATCH("Tháng", '6. TIẾN ĐỘ MUA HÀNG'!$A$4:$AT$4, 0))) = TRIM($G$6)) * (INDEX('6. TIẾN ĐỘ MUA HÀNG'!$A:$AT, 0, XMATCH("Phân loại VTBB/NL", '6. TIẾN ĐỘ MUA HÀNG'!$A$4:$AT$4, 0)) &lt;&gt; ""))</f>
        <v>0</v>
      </c>
      <c r="H79" s="742">
        <f t="array" ref="H79">SUMPRODUCT(IFERROR(INDEX('6. TIẾN ĐỘ MUA HÀNG'!$A$5:$AT81, 0, XMATCH("Thành tiền đơn hàng", '6. TIẾN ĐỘ MUA HÀNG'!$A$4:$AT$4, 0)), 0) * (INDEX('6. TIẾN ĐỘ MUA HÀNG'!$A$5:$AT81, 0, XMATCH("Phân loại VTBB/NL", '6. TIẾN ĐỘ MUA HÀNG'!$A$4:$AT$4, 0)) = $B79) * (TRIM(INDEX('6. TIẾN ĐỘ MUA HÀNG'!$A$5:$AT81, 0, XMATCH("Tháng", '6. TIẾN ĐỘ MUA HÀNG'!$A$4:$AT$4, 0))) = TRIM(G$6)))</f>
        <v>0</v>
      </c>
      <c r="I79" s="743">
        <f t="array" ref="I79">SUMPRODUCT((INDEX('6. TIẾN ĐỘ MUA HÀNG'!$A:$AT, 0, XMATCH("Phân loại VTBB/NL", '6. TIẾN ĐỘ MUA HÀNG'!$A$4:$AT$4, 0)) = $B79) * (TRIM(INDEX('6. TIẾN ĐỘ MUA HÀNG'!$A:$AT, 0, XMATCH("Tháng", '6. TIẾN ĐỘ MUA HÀNG'!$A$4:$AT$4, 0))) = TRIM(I$6)) * (INDEX('6. TIẾN ĐỘ MUA HÀNG'!$A:$AT, 0, XMATCH("Phân loại VTBB/NL", '6. TIẾN ĐỘ MUA HÀNG'!$A$4:$AT$4, 0)) &lt;&gt; ""))</f>
        <v>0</v>
      </c>
      <c r="J79" s="744">
        <f t="array" ref="J79">SUMPRODUCT(IFERROR(INDEX('6. TIẾN ĐỘ MUA HÀNG'!$A$5:$AT81, 0, XMATCH("Thành tiền đơn hàng", '6. TIẾN ĐỘ MUA HÀNG'!$A$4:$AT$4, 0)), 0) * (INDEX('6. TIẾN ĐỘ MUA HÀNG'!$A$5:$AT81, 0, XMATCH("Phân loại VTBB/NL", '6. TIẾN ĐỘ MUA HÀNG'!$A$4:$AT$4, 0)) = $B79) * (TRIM(INDEX('6. TIẾN ĐỘ MUA HÀNG'!$A$5:$AT81, 0, XMATCH("Tháng", '6. TIẾN ĐỘ MUA HÀNG'!$A$4:$AT$4, 0))) = TRIM(I$6)))</f>
        <v>0</v>
      </c>
      <c r="K79" s="741">
        <f t="array" ref="K79">SUMPRODUCT((INDEX('6. TIẾN ĐỘ MUA HÀNG'!$A:$AT, 0, XMATCH("Phân loại VTBB/NL", '6. TIẾN ĐỘ MUA HÀNG'!$A$4:$AT$4, 0)) = $B79) * (TRIM(INDEX('6. TIẾN ĐỘ MUA HÀNG'!$A:$AT, 0, XMATCH("Tháng", '6. TIẾN ĐỘ MUA HÀNG'!$A$4:$AT$4, 0))) = TRIM($K$6)) * (INDEX('6. TIẾN ĐỘ MUA HÀNG'!$A:$AT, 0, XMATCH("Phân loại VTBB/NL", '6. TIẾN ĐỘ MUA HÀNG'!$A$4:$AT$4, 0)) &lt;&gt; ""))</f>
        <v>0</v>
      </c>
      <c r="L79" s="742">
        <f t="array" ref="L79">SUMPRODUCT(IFERROR(INDEX('6. TIẾN ĐỘ MUA HÀNG'!$A$5:$AT81, 0, XMATCH("Thành tiền đơn hàng", '6. TIẾN ĐỘ MUA HÀNG'!$A$4:$AT$4, 0)), 0) * (INDEX('6. TIẾN ĐỘ MUA HÀNG'!$A$5:$AT81, 0, XMATCH("Phân loại VTBB/NL", '6. TIẾN ĐỘ MUA HÀNG'!$A$4:$AT$4, 0)) = $B79) * (TRIM(INDEX('6. TIẾN ĐỘ MUA HÀNG'!$A$5:$AT81, 0, XMATCH("Tháng", '6. TIẾN ĐỘ MUA HÀNG'!$A$4:$AT$4, 0))) = TRIM(K$6)))</f>
        <v>0</v>
      </c>
      <c r="M79" s="743">
        <f t="array" ref="M79">SUMPRODUCT((INDEX('6. TIẾN ĐỘ MUA HÀNG'!$A:$AT, 0, XMATCH("Phân loại VTBB/NL", '6. TIẾN ĐỘ MUA HÀNG'!$A$4:$AT$4, 0)) = $B79) * (TRIM(INDEX('6. TIẾN ĐỘ MUA HÀNG'!$A:$AT, 0, XMATCH("Tháng", '6. TIẾN ĐỘ MUA HÀNG'!$A$4:$AT$4, 0))) = TRIM(M$6)) * (INDEX('6. TIẾN ĐỘ MUA HÀNG'!$A:$AT, 0, XMATCH("Phân loại VTBB/NL", '6. TIẾN ĐỘ MUA HÀNG'!$A$4:$AT$4, 0)) &lt;&gt; ""))</f>
        <v>0</v>
      </c>
      <c r="N79" s="744">
        <f t="array" ref="N79">SUMPRODUCT(IFERROR(INDEX('6. TIẾN ĐỘ MUA HÀNG'!$A$5:$AT81, 0, XMATCH("Thành tiền đơn hàng", '6. TIẾN ĐỘ MUA HÀNG'!$A$4:$AT$4, 0)), 0) * (INDEX('6. TIẾN ĐỘ MUA HÀNG'!$A$5:$AT81, 0, XMATCH("Phân loại VTBB/NL", '6. TIẾN ĐỘ MUA HÀNG'!$A$4:$AT$4, 0)) = $B79) * (TRIM(INDEX('6. TIẾN ĐỘ MUA HÀNG'!$A$5:$AT81, 0, XMATCH("Tháng", '6. TIẾN ĐỘ MUA HÀNG'!$A$4:$AT$4, 0))) = TRIM(M$6)))</f>
        <v>0</v>
      </c>
      <c r="O79" s="741">
        <f t="array" ref="O79">SUMPRODUCT((INDEX('6. TIẾN ĐỘ MUA HÀNG'!$A:$AT, 0, XMATCH("Phân loại VTBB/NL", '6. TIẾN ĐỘ MUA HÀNG'!$A$4:$AT$4, 0)) = $B79) * (TRIM(INDEX('6. TIẾN ĐỘ MUA HÀNG'!$A:$AT, 0, XMATCH("Tháng", '6. TIẾN ĐỘ MUA HÀNG'!$A$4:$AT$4, 0))) = TRIM($O$6)) * (INDEX('6. TIẾN ĐỘ MUA HÀNG'!$A:$AT, 0, XMATCH("Phân loại VTBB/NL", '6. TIẾN ĐỘ MUA HÀNG'!$A$4:$AT$4, 0)) &lt;&gt; ""))</f>
        <v>0</v>
      </c>
      <c r="P79" s="742">
        <f t="array" ref="P79">SUMPRODUCT(IFERROR(INDEX('6. TIẾN ĐỘ MUA HÀNG'!$A$5:$AT81, 0, XMATCH("Thành tiền đơn hàng", '6. TIẾN ĐỘ MUA HÀNG'!$A$4:$AT$4, 0)), 0) * (INDEX('6. TIẾN ĐỘ MUA HÀNG'!$A$5:$AT81, 0, XMATCH("Phân loại VTBB/NL", '6. TIẾN ĐỘ MUA HÀNG'!$A$4:$AT$4, 0)) = $B79) * (TRIM(INDEX('6. TIẾN ĐỘ MUA HÀNG'!$A$5:$AT81, 0, XMATCH("Tháng", '6. TIẾN ĐỘ MUA HÀNG'!$A$4:$AT$4, 0))) = TRIM(O$6)))</f>
        <v>0</v>
      </c>
      <c r="Q79" s="743">
        <f t="array" ref="Q79">SUMPRODUCT((INDEX('6. TIẾN ĐỘ MUA HÀNG'!$A:$AT, 0, XMATCH("Phân loại VTBB/NL", '6. TIẾN ĐỘ MUA HÀNG'!$A$4:$AT$4, 0)) = $B79) * (TRIM(INDEX('6. TIẾN ĐỘ MUA HÀNG'!$A:$AT, 0, XMATCH("Tháng", '6. TIẾN ĐỘ MUA HÀNG'!$A$4:$AT$4, 0))) = TRIM(Q$6)) * (INDEX('6. TIẾN ĐỘ MUA HÀNG'!$A:$AT, 0, XMATCH("Phân loại VTBB/NL", '6. TIẾN ĐỘ MUA HÀNG'!$A$4:$AT$4, 0)) &lt;&gt; ""))</f>
        <v>0</v>
      </c>
      <c r="R79" s="744">
        <f t="array" ref="R79">SUMPRODUCT(IFERROR(INDEX('6. TIẾN ĐỘ MUA HÀNG'!$A$5:$AT81, 0, XMATCH("Thành tiền đơn hàng", '6. TIẾN ĐỘ MUA HÀNG'!$A$4:$AT$4, 0)), 0) * (INDEX('6. TIẾN ĐỘ MUA HÀNG'!$A$5:$AT81, 0, XMATCH("Phân loại VTBB/NL", '6. TIẾN ĐỘ MUA HÀNG'!$A$4:$AT$4, 0)) = $B79) * (TRIM(INDEX('6. TIẾN ĐỘ MUA HÀNG'!$A$5:$AT81, 0, XMATCH("Tháng", '6. TIẾN ĐỘ MUA HÀNG'!$A$4:$AT$4, 0))) = TRIM(Q$6)))</f>
        <v>0</v>
      </c>
      <c r="S79" s="741">
        <f t="array" ref="S79">SUMPRODUCT((INDEX('6. TIẾN ĐỘ MUA HÀNG'!$A:$AT, 0, XMATCH("Phân loại VTBB/NL", '6. TIẾN ĐỘ MUA HÀNG'!$A$4:$AT$4, 0)) = $B79) * (TRIM(INDEX('6. TIẾN ĐỘ MUA HÀNG'!$A:$AT, 0, XMATCH("Tháng", '6. TIẾN ĐỘ MUA HÀNG'!$A$4:$AT$4, 0))) = TRIM($S$6)) * (INDEX('6. TIẾN ĐỘ MUA HÀNG'!$A:$AT, 0, XMATCH("Phân loại VTBB/NL", '6. TIẾN ĐỘ MUA HÀNG'!$A$4:$AT$4, 0)) &lt;&gt; ""))</f>
        <v>0</v>
      </c>
      <c r="T79" s="742">
        <f t="array" ref="T79">SUMPRODUCT(IFERROR(INDEX('6. TIẾN ĐỘ MUA HÀNG'!$A$5:$AT81, 0, XMATCH("Thành tiền đơn hàng", '6. TIẾN ĐỘ MUA HÀNG'!$A$4:$AT$4, 0)), 0) * (INDEX('6. TIẾN ĐỘ MUA HÀNG'!$A$5:$AT81, 0, XMATCH("Phân loại VTBB/NL", '6. TIẾN ĐỘ MUA HÀNG'!$A$4:$AT$4, 0)) = $B79) * (TRIM(INDEX('6. TIẾN ĐỘ MUA HÀNG'!$A$5:$AT81, 0, XMATCH("Tháng", '6. TIẾN ĐỘ MUA HÀNG'!$A$4:$AT$4, 0))) = TRIM(S$6)))</f>
        <v>0</v>
      </c>
      <c r="U79" s="743">
        <f t="array" ref="U79">SUMPRODUCT((INDEX('6. TIẾN ĐỘ MUA HÀNG'!$A:$AT, 0, XMATCH("Phân loại VTBB/NL", '6. TIẾN ĐỘ MUA HÀNG'!$A$4:$AT$4, 0)) = $B79) * (TRIM(INDEX('6. TIẾN ĐỘ MUA HÀNG'!$A:$AT, 0, XMATCH("Tháng", '6. TIẾN ĐỘ MUA HÀNG'!$A$4:$AT$4, 0))) = TRIM(U$6)) * (INDEX('6. TIẾN ĐỘ MUA HÀNG'!$A:$AT, 0, XMATCH("Phân loại VTBB/NL", '6. TIẾN ĐỘ MUA HÀNG'!$A$4:$AT$4, 0)) &lt;&gt; ""))</f>
        <v>0</v>
      </c>
      <c r="V79" s="744">
        <f t="array" ref="V79">SUMPRODUCT(IFERROR(INDEX('6. TIẾN ĐỘ MUA HÀNG'!$A$5:$AT81, 0, XMATCH("Thành tiền đơn hàng", '6. TIẾN ĐỘ MUA HÀNG'!$A$4:$AT$4, 0)), 0) * (INDEX('6. TIẾN ĐỘ MUA HÀNG'!$A$5:$AT81, 0, XMATCH("Phân loại VTBB/NL", '6. TIẾN ĐỘ MUA HÀNG'!$A$4:$AT$4, 0)) = $B79) * (TRIM(INDEX('6. TIẾN ĐỘ MUA HÀNG'!$A$5:$AT81, 0, XMATCH("Tháng", '6. TIẾN ĐỘ MUA HÀNG'!$A$4:$AT$4, 0))) = TRIM(U$6)))</f>
        <v>0</v>
      </c>
      <c r="W79" s="741">
        <f t="array" ref="W79">SUMPRODUCT((INDEX('6. TIẾN ĐỘ MUA HÀNG'!$A:$AT, 0, XMATCH("Phân loại VTBB/NL", '6. TIẾN ĐỘ MUA HÀNG'!$A$4:$AT$4, 0)) = $B79) * (TRIM(INDEX('6. TIẾN ĐỘ MUA HÀNG'!$A:$AT, 0, XMATCH("Tháng", '6. TIẾN ĐỘ MUA HÀNG'!$A$4:$AT$4, 0))) = TRIM($W$6)) * (INDEX('6. TIẾN ĐỘ MUA HÀNG'!$A:$AT, 0, XMATCH("Phân loại VTBB/NL", '6. TIẾN ĐỘ MUA HÀNG'!$A$4:$AT$4, 0)) &lt;&gt; ""))</f>
        <v>0</v>
      </c>
      <c r="X79" s="742">
        <f t="array" ref="X79">SUMPRODUCT(IFERROR(INDEX('6. TIẾN ĐỘ MUA HÀNG'!$A$5:$AT81, 0, XMATCH("Thành tiền đơn hàng", '6. TIẾN ĐỘ MUA HÀNG'!$A$4:$AT$4, 0)), 0) * (INDEX('6. TIẾN ĐỘ MUA HÀNG'!$A$5:$AT81, 0, XMATCH("Phân loại VTBB/NL", '6. TIẾN ĐỘ MUA HÀNG'!$A$4:$AT$4, 0)) = $B79) * (TRIM(INDEX('6. TIẾN ĐỘ MUA HÀNG'!$A$5:$AT81, 0, XMATCH("Tháng", '6. TIẾN ĐỘ MUA HÀNG'!$A$4:$AT$4, 0))) = TRIM(W$6)))</f>
        <v>0</v>
      </c>
      <c r="Y79" s="743">
        <f t="array" ref="Y79">SUMPRODUCT((INDEX('6. TIẾN ĐỘ MUA HÀNG'!$A:$AT, 0, XMATCH("Phân loại VTBB/NL", '6. TIẾN ĐỘ MUA HÀNG'!$A$4:$AT$4, 0)) = $B79) * (TRIM(INDEX('6. TIẾN ĐỘ MUA HÀNG'!$A:$AT, 0, XMATCH("Tháng", '6. TIẾN ĐỘ MUA HÀNG'!$A$4:$AT$4, 0))) = TRIM(Y$6)) * (INDEX('6. TIẾN ĐỘ MUA HÀNG'!$A:$AT, 0, XMATCH("Phân loại VTBB/NL", '6. TIẾN ĐỘ MUA HÀNG'!$A$4:$AT$4, 0)) &lt;&gt; ""))</f>
        <v>0</v>
      </c>
      <c r="Z79" s="744">
        <f t="array" ref="Z79">SUMPRODUCT(IFERROR(INDEX('6. TIẾN ĐỘ MUA HÀNG'!$A$5:$AT81, 0, XMATCH("Thành tiền đơn hàng", '6. TIẾN ĐỘ MUA HÀNG'!$A$4:$AT$4, 0)), 0) * (INDEX('6. TIẾN ĐỘ MUA HÀNG'!$A$5:$AT81, 0, XMATCH("Phân loại VTBB/NL", '6. TIẾN ĐỘ MUA HÀNG'!$A$4:$AT$4, 0)) = $B79) * (TRIM(INDEX('6. TIẾN ĐỘ MUA HÀNG'!$A$5:$AT81, 0, XMATCH("Tháng", '6. TIẾN ĐỘ MUA HÀNG'!$A$4:$AT$4, 0))) = TRIM(Y$6)))</f>
        <v>0</v>
      </c>
      <c r="AA79" s="726">
        <f t="shared" si="2"/>
        <v>0</v>
      </c>
      <c r="AB79" s="726">
        <f t="shared" si="3"/>
        <v>0</v>
      </c>
    </row>
    <row r="80">
      <c r="A80" s="612">
        <v>72.0</v>
      </c>
      <c r="B80" s="597" t="str">
        <f>IFERROR(__xludf.DUMMYFUNCTION("""COMPUTED_VALUE"""),"Hàng sẵn kho ncc")</f>
        <v>Hàng sẵn kho ncc</v>
      </c>
      <c r="C80" s="741">
        <f t="array" ref="C80">SUMPRODUCT((INDEX('6. TIẾN ĐỘ MUA HÀNG'!$A:$AT, 0, XMATCH("Phân loại VTBB/NL", '6. TIẾN ĐỘ MUA HÀNG'!$A$4:$AT$4, 0)) = $B80) * (TRIM(INDEX('6. TIẾN ĐỘ MUA HÀNG'!$A:$AT, 0, XMATCH("Tháng", '6. TIẾN ĐỘ MUA HÀNG'!$A$4:$AT$4, 0))) = TRIM($C$6)) * (INDEX('6. TIẾN ĐỘ MUA HÀNG'!$A:$AT, 0, XMATCH("Phân loại VTBB/NL", '6. TIẾN ĐỘ MUA HÀNG'!$A$4:$AT$4, 0)) &lt;&gt; ""))</f>
        <v>0</v>
      </c>
      <c r="D80" s="742">
        <f t="array" ref="D80">SUMPRODUCT(IFERROR(INDEX('6. TIẾN ĐỘ MUA HÀNG'!$A$5:$AT81, 0, XMATCH("Thành tiền đơn hàng", '6. TIẾN ĐỘ MUA HÀNG'!$A$4:$AT$4, 0)), 0) * (INDEX('6. TIẾN ĐỘ MUA HÀNG'!$A$5:$AT81, 0, XMATCH("Phân loại VTBB/NL", '6. TIẾN ĐỘ MUA HÀNG'!$A$4:$AT$4, 0)) = $B80) * (TRIM(INDEX('6. TIẾN ĐỘ MUA HÀNG'!$A$5:$AT81, 0, XMATCH("Tháng", '6. TIẾN ĐỘ MUA HÀNG'!$A$4:$AT$4, 0))) = TRIM(C$6)))</f>
        <v>0</v>
      </c>
      <c r="E80" s="743">
        <f t="array" ref="E80">SUMPRODUCT((INDEX('6. TIẾN ĐỘ MUA HÀNG'!$A:$AT, 0, XMATCH("Phân loại VTBB/NL", '6. TIẾN ĐỘ MUA HÀNG'!$A$4:$AT$4, 0)) = $B80) * (TRIM(INDEX('6. TIẾN ĐỘ MUA HÀNG'!$A:$AT, 0, XMATCH("Tháng", '6. TIẾN ĐỘ MUA HÀNG'!$A$4:$AT$4, 0))) = TRIM(E$6)) * (INDEX('6. TIẾN ĐỘ MUA HÀNG'!$A:$AT, 0, XMATCH("Phân loại VTBB/NL", '6. TIẾN ĐỘ MUA HÀNG'!$A$4:$AT$4, 0)) &lt;&gt; ""))</f>
        <v>0</v>
      </c>
      <c r="F80" s="744">
        <f t="array" ref="F80">SUMPRODUCT(IFERROR(INDEX('6. TIẾN ĐỘ MUA HÀNG'!$A$5:$AT81, 0, XMATCH("Thành tiền đơn hàng", '6. TIẾN ĐỘ MUA HÀNG'!$A$4:$AT$4, 0)), 0) * (INDEX('6. TIẾN ĐỘ MUA HÀNG'!$A$5:$AT81, 0, XMATCH("Phân loại VTBB/NL", '6. TIẾN ĐỘ MUA HÀNG'!$A$4:$AT$4, 0)) = $B80) * (TRIM(INDEX('6. TIẾN ĐỘ MUA HÀNG'!$A$5:$AT81, 0, XMATCH("Tháng", '6. TIẾN ĐỘ MUA HÀNG'!$A$4:$AT$4, 0))) = TRIM(E$6)))</f>
        <v>0</v>
      </c>
      <c r="G80" s="741">
        <f t="array" ref="G80">SUMPRODUCT((INDEX('6. TIẾN ĐỘ MUA HÀNG'!$A:$AT, 0, XMATCH("Phân loại VTBB/NL", '6. TIẾN ĐỘ MUA HÀNG'!$A$4:$AT$4, 0)) = $B80) * (TRIM(INDEX('6. TIẾN ĐỘ MUA HÀNG'!$A:$AT, 0, XMATCH("Tháng", '6. TIẾN ĐỘ MUA HÀNG'!$A$4:$AT$4, 0))) = TRIM($G$6)) * (INDEX('6. TIẾN ĐỘ MUA HÀNG'!$A:$AT, 0, XMATCH("Phân loại VTBB/NL", '6. TIẾN ĐỘ MUA HÀNG'!$A$4:$AT$4, 0)) &lt;&gt; ""))</f>
        <v>0</v>
      </c>
      <c r="H80" s="742">
        <f t="array" ref="H80">SUMPRODUCT(IFERROR(INDEX('6. TIẾN ĐỘ MUA HÀNG'!$A$5:$AT81, 0, XMATCH("Thành tiền đơn hàng", '6. TIẾN ĐỘ MUA HÀNG'!$A$4:$AT$4, 0)), 0) * (INDEX('6. TIẾN ĐỘ MUA HÀNG'!$A$5:$AT81, 0, XMATCH("Phân loại VTBB/NL", '6. TIẾN ĐỘ MUA HÀNG'!$A$4:$AT$4, 0)) = $B80) * (TRIM(INDEX('6. TIẾN ĐỘ MUA HÀNG'!$A$5:$AT81, 0, XMATCH("Tháng", '6. TIẾN ĐỘ MUA HÀNG'!$A$4:$AT$4, 0))) = TRIM(G$6)))</f>
        <v>0</v>
      </c>
      <c r="I80" s="743">
        <f t="array" ref="I80">SUMPRODUCT((INDEX('6. TIẾN ĐỘ MUA HÀNG'!$A:$AT, 0, XMATCH("Phân loại VTBB/NL", '6. TIẾN ĐỘ MUA HÀNG'!$A$4:$AT$4, 0)) = $B80) * (TRIM(INDEX('6. TIẾN ĐỘ MUA HÀNG'!$A:$AT, 0, XMATCH("Tháng", '6. TIẾN ĐỘ MUA HÀNG'!$A$4:$AT$4, 0))) = TRIM(I$6)) * (INDEX('6. TIẾN ĐỘ MUA HÀNG'!$A:$AT, 0, XMATCH("Phân loại VTBB/NL", '6. TIẾN ĐỘ MUA HÀNG'!$A$4:$AT$4, 0)) &lt;&gt; ""))</f>
        <v>0</v>
      </c>
      <c r="J80" s="744">
        <f t="array" ref="J80">SUMPRODUCT(IFERROR(INDEX('6. TIẾN ĐỘ MUA HÀNG'!$A$5:$AT81, 0, XMATCH("Thành tiền đơn hàng", '6. TIẾN ĐỘ MUA HÀNG'!$A$4:$AT$4, 0)), 0) * (INDEX('6. TIẾN ĐỘ MUA HÀNG'!$A$5:$AT81, 0, XMATCH("Phân loại VTBB/NL", '6. TIẾN ĐỘ MUA HÀNG'!$A$4:$AT$4, 0)) = $B80) * (TRIM(INDEX('6. TIẾN ĐỘ MUA HÀNG'!$A$5:$AT81, 0, XMATCH("Tháng", '6. TIẾN ĐỘ MUA HÀNG'!$A$4:$AT$4, 0))) = TRIM(I$6)))</f>
        <v>0</v>
      </c>
      <c r="K80" s="741">
        <f t="array" ref="K80">SUMPRODUCT((INDEX('6. TIẾN ĐỘ MUA HÀNG'!$A:$AT, 0, XMATCH("Phân loại VTBB/NL", '6. TIẾN ĐỘ MUA HÀNG'!$A$4:$AT$4, 0)) = $B80) * (TRIM(INDEX('6. TIẾN ĐỘ MUA HÀNG'!$A:$AT, 0, XMATCH("Tháng", '6. TIẾN ĐỘ MUA HÀNG'!$A$4:$AT$4, 0))) = TRIM($K$6)) * (INDEX('6. TIẾN ĐỘ MUA HÀNG'!$A:$AT, 0, XMATCH("Phân loại VTBB/NL", '6. TIẾN ĐỘ MUA HÀNG'!$A$4:$AT$4, 0)) &lt;&gt; ""))</f>
        <v>0</v>
      </c>
      <c r="L80" s="742">
        <f t="array" ref="L80">SUMPRODUCT(IFERROR(INDEX('6. TIẾN ĐỘ MUA HÀNG'!$A$5:$AT81, 0, XMATCH("Thành tiền đơn hàng", '6. TIẾN ĐỘ MUA HÀNG'!$A$4:$AT$4, 0)), 0) * (INDEX('6. TIẾN ĐỘ MUA HÀNG'!$A$5:$AT81, 0, XMATCH("Phân loại VTBB/NL", '6. TIẾN ĐỘ MUA HÀNG'!$A$4:$AT$4, 0)) = $B80) * (TRIM(INDEX('6. TIẾN ĐỘ MUA HÀNG'!$A$5:$AT81, 0, XMATCH("Tháng", '6. TIẾN ĐỘ MUA HÀNG'!$A$4:$AT$4, 0))) = TRIM(K$6)))</f>
        <v>0</v>
      </c>
      <c r="M80" s="743">
        <f t="array" ref="M80">SUMPRODUCT((INDEX('6. TIẾN ĐỘ MUA HÀNG'!$A:$AT, 0, XMATCH("Phân loại VTBB/NL", '6. TIẾN ĐỘ MUA HÀNG'!$A$4:$AT$4, 0)) = $B80) * (TRIM(INDEX('6. TIẾN ĐỘ MUA HÀNG'!$A:$AT, 0, XMATCH("Tháng", '6. TIẾN ĐỘ MUA HÀNG'!$A$4:$AT$4, 0))) = TRIM(M$6)) * (INDEX('6. TIẾN ĐỘ MUA HÀNG'!$A:$AT, 0, XMATCH("Phân loại VTBB/NL", '6. TIẾN ĐỘ MUA HÀNG'!$A$4:$AT$4, 0)) &lt;&gt; ""))</f>
        <v>0</v>
      </c>
      <c r="N80" s="744">
        <f t="array" ref="N80">SUMPRODUCT(IFERROR(INDEX('6. TIẾN ĐỘ MUA HÀNG'!$A$5:$AT81, 0, XMATCH("Thành tiền đơn hàng", '6. TIẾN ĐỘ MUA HÀNG'!$A$4:$AT$4, 0)), 0) * (INDEX('6. TIẾN ĐỘ MUA HÀNG'!$A$5:$AT81, 0, XMATCH("Phân loại VTBB/NL", '6. TIẾN ĐỘ MUA HÀNG'!$A$4:$AT$4, 0)) = $B80) * (TRIM(INDEX('6. TIẾN ĐỘ MUA HÀNG'!$A$5:$AT81, 0, XMATCH("Tháng", '6. TIẾN ĐỘ MUA HÀNG'!$A$4:$AT$4, 0))) = TRIM(M$6)))</f>
        <v>0</v>
      </c>
      <c r="O80" s="741">
        <f t="array" ref="O80">SUMPRODUCT((INDEX('6. TIẾN ĐỘ MUA HÀNG'!$A:$AT, 0, XMATCH("Phân loại VTBB/NL", '6. TIẾN ĐỘ MUA HÀNG'!$A$4:$AT$4, 0)) = $B80) * (TRIM(INDEX('6. TIẾN ĐỘ MUA HÀNG'!$A:$AT, 0, XMATCH("Tháng", '6. TIẾN ĐỘ MUA HÀNG'!$A$4:$AT$4, 0))) = TRIM($O$6)) * (INDEX('6. TIẾN ĐỘ MUA HÀNG'!$A:$AT, 0, XMATCH("Phân loại VTBB/NL", '6. TIẾN ĐỘ MUA HÀNG'!$A$4:$AT$4, 0)) &lt;&gt; ""))</f>
        <v>0</v>
      </c>
      <c r="P80" s="742">
        <f t="array" ref="P80">SUMPRODUCT(IFERROR(INDEX('6. TIẾN ĐỘ MUA HÀNG'!$A$5:$AT81, 0, XMATCH("Thành tiền đơn hàng", '6. TIẾN ĐỘ MUA HÀNG'!$A$4:$AT$4, 0)), 0) * (INDEX('6. TIẾN ĐỘ MUA HÀNG'!$A$5:$AT81, 0, XMATCH("Phân loại VTBB/NL", '6. TIẾN ĐỘ MUA HÀNG'!$A$4:$AT$4, 0)) = $B80) * (TRIM(INDEX('6. TIẾN ĐỘ MUA HÀNG'!$A$5:$AT81, 0, XMATCH("Tháng", '6. TIẾN ĐỘ MUA HÀNG'!$A$4:$AT$4, 0))) = TRIM(O$6)))</f>
        <v>0</v>
      </c>
      <c r="Q80" s="743">
        <f t="array" ref="Q80">SUMPRODUCT((INDEX('6. TIẾN ĐỘ MUA HÀNG'!$A:$AT, 0, XMATCH("Phân loại VTBB/NL", '6. TIẾN ĐỘ MUA HÀNG'!$A$4:$AT$4, 0)) = $B80) * (TRIM(INDEX('6. TIẾN ĐỘ MUA HÀNG'!$A:$AT, 0, XMATCH("Tháng", '6. TIẾN ĐỘ MUA HÀNG'!$A$4:$AT$4, 0))) = TRIM(Q$6)) * (INDEX('6. TIẾN ĐỘ MUA HÀNG'!$A:$AT, 0, XMATCH("Phân loại VTBB/NL", '6. TIẾN ĐỘ MUA HÀNG'!$A$4:$AT$4, 0)) &lt;&gt; ""))</f>
        <v>0</v>
      </c>
      <c r="R80" s="744">
        <f t="array" ref="R80">SUMPRODUCT(IFERROR(INDEX('6. TIẾN ĐỘ MUA HÀNG'!$A$5:$AT81, 0, XMATCH("Thành tiền đơn hàng", '6. TIẾN ĐỘ MUA HÀNG'!$A$4:$AT$4, 0)), 0) * (INDEX('6. TIẾN ĐỘ MUA HÀNG'!$A$5:$AT81, 0, XMATCH("Phân loại VTBB/NL", '6. TIẾN ĐỘ MUA HÀNG'!$A$4:$AT$4, 0)) = $B80) * (TRIM(INDEX('6. TIẾN ĐỘ MUA HÀNG'!$A$5:$AT81, 0, XMATCH("Tháng", '6. TIẾN ĐỘ MUA HÀNG'!$A$4:$AT$4, 0))) = TRIM(Q$6)))</f>
        <v>0</v>
      </c>
      <c r="S80" s="741">
        <f t="array" ref="S80">SUMPRODUCT((INDEX('6. TIẾN ĐỘ MUA HÀNG'!$A:$AT, 0, XMATCH("Phân loại VTBB/NL", '6. TIẾN ĐỘ MUA HÀNG'!$A$4:$AT$4, 0)) = $B80) * (TRIM(INDEX('6. TIẾN ĐỘ MUA HÀNG'!$A:$AT, 0, XMATCH("Tháng", '6. TIẾN ĐỘ MUA HÀNG'!$A$4:$AT$4, 0))) = TRIM($S$6)) * (INDEX('6. TIẾN ĐỘ MUA HÀNG'!$A:$AT, 0, XMATCH("Phân loại VTBB/NL", '6. TIẾN ĐỘ MUA HÀNG'!$A$4:$AT$4, 0)) &lt;&gt; ""))</f>
        <v>0</v>
      </c>
      <c r="T80" s="742">
        <f t="array" ref="T80">SUMPRODUCT(IFERROR(INDEX('6. TIẾN ĐỘ MUA HÀNG'!$A$5:$AT81, 0, XMATCH("Thành tiền đơn hàng", '6. TIẾN ĐỘ MUA HÀNG'!$A$4:$AT$4, 0)), 0) * (INDEX('6. TIẾN ĐỘ MUA HÀNG'!$A$5:$AT81, 0, XMATCH("Phân loại VTBB/NL", '6. TIẾN ĐỘ MUA HÀNG'!$A$4:$AT$4, 0)) = $B80) * (TRIM(INDEX('6. TIẾN ĐỘ MUA HÀNG'!$A$5:$AT81, 0, XMATCH("Tháng", '6. TIẾN ĐỘ MUA HÀNG'!$A$4:$AT$4, 0))) = TRIM(S$6)))</f>
        <v>0</v>
      </c>
      <c r="U80" s="743">
        <f t="array" ref="U80">SUMPRODUCT((INDEX('6. TIẾN ĐỘ MUA HÀNG'!$A:$AT, 0, XMATCH("Phân loại VTBB/NL", '6. TIẾN ĐỘ MUA HÀNG'!$A$4:$AT$4, 0)) = $B80) * (TRIM(INDEX('6. TIẾN ĐỘ MUA HÀNG'!$A:$AT, 0, XMATCH("Tháng", '6. TIẾN ĐỘ MUA HÀNG'!$A$4:$AT$4, 0))) = TRIM(U$6)) * (INDEX('6. TIẾN ĐỘ MUA HÀNG'!$A:$AT, 0, XMATCH("Phân loại VTBB/NL", '6. TIẾN ĐỘ MUA HÀNG'!$A$4:$AT$4, 0)) &lt;&gt; ""))</f>
        <v>0</v>
      </c>
      <c r="V80" s="744">
        <f t="array" ref="V80">SUMPRODUCT(IFERROR(INDEX('6. TIẾN ĐỘ MUA HÀNG'!$A$5:$AT81, 0, XMATCH("Thành tiền đơn hàng", '6. TIẾN ĐỘ MUA HÀNG'!$A$4:$AT$4, 0)), 0) * (INDEX('6. TIẾN ĐỘ MUA HÀNG'!$A$5:$AT81, 0, XMATCH("Phân loại VTBB/NL", '6. TIẾN ĐỘ MUA HÀNG'!$A$4:$AT$4, 0)) = $B80) * (TRIM(INDEX('6. TIẾN ĐỘ MUA HÀNG'!$A$5:$AT81, 0, XMATCH("Tháng", '6. TIẾN ĐỘ MUA HÀNG'!$A$4:$AT$4, 0))) = TRIM(U$6)))</f>
        <v>0</v>
      </c>
      <c r="W80" s="741">
        <f t="array" ref="W80">SUMPRODUCT((INDEX('6. TIẾN ĐỘ MUA HÀNG'!$A:$AT, 0, XMATCH("Phân loại VTBB/NL", '6. TIẾN ĐỘ MUA HÀNG'!$A$4:$AT$4, 0)) = $B80) * (TRIM(INDEX('6. TIẾN ĐỘ MUA HÀNG'!$A:$AT, 0, XMATCH("Tháng", '6. TIẾN ĐỘ MUA HÀNG'!$A$4:$AT$4, 0))) = TRIM($W$6)) * (INDEX('6. TIẾN ĐỘ MUA HÀNG'!$A:$AT, 0, XMATCH("Phân loại VTBB/NL", '6. TIẾN ĐỘ MUA HÀNG'!$A$4:$AT$4, 0)) &lt;&gt; ""))</f>
        <v>0</v>
      </c>
      <c r="X80" s="742">
        <f t="array" ref="X80">SUMPRODUCT(IFERROR(INDEX('6. TIẾN ĐỘ MUA HÀNG'!$A$5:$AT81, 0, XMATCH("Thành tiền đơn hàng", '6. TIẾN ĐỘ MUA HÀNG'!$A$4:$AT$4, 0)), 0) * (INDEX('6. TIẾN ĐỘ MUA HÀNG'!$A$5:$AT81, 0, XMATCH("Phân loại VTBB/NL", '6. TIẾN ĐỘ MUA HÀNG'!$A$4:$AT$4, 0)) = $B80) * (TRIM(INDEX('6. TIẾN ĐỘ MUA HÀNG'!$A$5:$AT81, 0, XMATCH("Tháng", '6. TIẾN ĐỘ MUA HÀNG'!$A$4:$AT$4, 0))) = TRIM(W$6)))</f>
        <v>0</v>
      </c>
      <c r="Y80" s="743">
        <f t="array" ref="Y80">SUMPRODUCT((INDEX('6. TIẾN ĐỘ MUA HÀNG'!$A:$AT, 0, XMATCH("Phân loại VTBB/NL", '6. TIẾN ĐỘ MUA HÀNG'!$A$4:$AT$4, 0)) = $B80) * (TRIM(INDEX('6. TIẾN ĐỘ MUA HÀNG'!$A:$AT, 0, XMATCH("Tháng", '6. TIẾN ĐỘ MUA HÀNG'!$A$4:$AT$4, 0))) = TRIM(Y$6)) * (INDEX('6. TIẾN ĐỘ MUA HÀNG'!$A:$AT, 0, XMATCH("Phân loại VTBB/NL", '6. TIẾN ĐỘ MUA HÀNG'!$A$4:$AT$4, 0)) &lt;&gt; ""))</f>
        <v>0</v>
      </c>
      <c r="Z80" s="744">
        <f t="array" ref="Z80">SUMPRODUCT(IFERROR(INDEX('6. TIẾN ĐỘ MUA HÀNG'!$A$5:$AT81, 0, XMATCH("Thành tiền đơn hàng", '6. TIẾN ĐỘ MUA HÀNG'!$A$4:$AT$4, 0)), 0) * (INDEX('6. TIẾN ĐỘ MUA HÀNG'!$A$5:$AT81, 0, XMATCH("Phân loại VTBB/NL", '6. TIẾN ĐỘ MUA HÀNG'!$A$4:$AT$4, 0)) = $B80) * (TRIM(INDEX('6. TIẾN ĐỘ MUA HÀNG'!$A$5:$AT81, 0, XMATCH("Tháng", '6. TIẾN ĐỘ MUA HÀNG'!$A$4:$AT$4, 0))) = TRIM(Y$6)))</f>
        <v>0</v>
      </c>
      <c r="AA80" s="726">
        <f t="shared" si="2"/>
        <v>0</v>
      </c>
      <c r="AB80" s="726">
        <f t="shared" si="3"/>
        <v>0</v>
      </c>
    </row>
    <row r="81">
      <c r="A81" s="612">
        <v>73.0</v>
      </c>
      <c r="B81" s="597" t="str">
        <f>IFERROR(__xludf.DUMMYFUNCTION("""COMPUTED_VALUE"""),"Hàng ko sẵn kho ncc")</f>
        <v>Hàng ko sẵn kho ncc</v>
      </c>
      <c r="C81" s="741">
        <f t="array" ref="C81">SUMPRODUCT((INDEX('6. TIẾN ĐỘ MUA HÀNG'!$A:$AT, 0, XMATCH("Phân loại VTBB/NL", '6. TIẾN ĐỘ MUA HÀNG'!$A$4:$AT$4, 0)) = $B81) * (TRIM(INDEX('6. TIẾN ĐỘ MUA HÀNG'!$A:$AT, 0, XMATCH("Tháng", '6. TIẾN ĐỘ MUA HÀNG'!$A$4:$AT$4, 0))) = TRIM($C$6)) * (INDEX('6. TIẾN ĐỘ MUA HÀNG'!$A:$AT, 0, XMATCH("Phân loại VTBB/NL", '6. TIẾN ĐỘ MUA HÀNG'!$A$4:$AT$4, 0)) &lt;&gt; ""))</f>
        <v>0</v>
      </c>
      <c r="D81" s="742">
        <f t="array" ref="D81">SUMPRODUCT(IFERROR(INDEX('6. TIẾN ĐỘ MUA HÀNG'!$A$5:$AT81, 0, XMATCH("Thành tiền đơn hàng", '6. TIẾN ĐỘ MUA HÀNG'!$A$4:$AT$4, 0)), 0) * (INDEX('6. TIẾN ĐỘ MUA HÀNG'!$A$5:$AT81, 0, XMATCH("Phân loại VTBB/NL", '6. TIẾN ĐỘ MUA HÀNG'!$A$4:$AT$4, 0)) = $B81) * (TRIM(INDEX('6. TIẾN ĐỘ MUA HÀNG'!$A$5:$AT81, 0, XMATCH("Tháng", '6. TIẾN ĐỘ MUA HÀNG'!$A$4:$AT$4, 0))) = TRIM(C$6)))</f>
        <v>0</v>
      </c>
      <c r="E81" s="743">
        <f t="array" ref="E81">SUMPRODUCT((INDEX('6. TIẾN ĐỘ MUA HÀNG'!$A:$AT, 0, XMATCH("Phân loại VTBB/NL", '6. TIẾN ĐỘ MUA HÀNG'!$A$4:$AT$4, 0)) = $B81) * (TRIM(INDEX('6. TIẾN ĐỘ MUA HÀNG'!$A:$AT, 0, XMATCH("Tháng", '6. TIẾN ĐỘ MUA HÀNG'!$A$4:$AT$4, 0))) = TRIM(E$6)) * (INDEX('6. TIẾN ĐỘ MUA HÀNG'!$A:$AT, 0, XMATCH("Phân loại VTBB/NL", '6. TIẾN ĐỘ MUA HÀNG'!$A$4:$AT$4, 0)) &lt;&gt; ""))</f>
        <v>0</v>
      </c>
      <c r="F81" s="744">
        <f t="array" ref="F81">SUMPRODUCT(IFERROR(INDEX('6. TIẾN ĐỘ MUA HÀNG'!$A$5:$AT81, 0, XMATCH("Thành tiền đơn hàng", '6. TIẾN ĐỘ MUA HÀNG'!$A$4:$AT$4, 0)), 0) * (INDEX('6. TIẾN ĐỘ MUA HÀNG'!$A$5:$AT81, 0, XMATCH("Phân loại VTBB/NL", '6. TIẾN ĐỘ MUA HÀNG'!$A$4:$AT$4, 0)) = $B81) * (TRIM(INDEX('6. TIẾN ĐỘ MUA HÀNG'!$A$5:$AT81, 0, XMATCH("Tháng", '6. TIẾN ĐỘ MUA HÀNG'!$A$4:$AT$4, 0))) = TRIM(E$6)))</f>
        <v>0</v>
      </c>
      <c r="G81" s="741">
        <f t="array" ref="G81">SUMPRODUCT((INDEX('6. TIẾN ĐỘ MUA HÀNG'!$A:$AT, 0, XMATCH("Phân loại VTBB/NL", '6. TIẾN ĐỘ MUA HÀNG'!$A$4:$AT$4, 0)) = $B81) * (TRIM(INDEX('6. TIẾN ĐỘ MUA HÀNG'!$A:$AT, 0, XMATCH("Tháng", '6. TIẾN ĐỘ MUA HÀNG'!$A$4:$AT$4, 0))) = TRIM($G$6)) * (INDEX('6. TIẾN ĐỘ MUA HÀNG'!$A:$AT, 0, XMATCH("Phân loại VTBB/NL", '6. TIẾN ĐỘ MUA HÀNG'!$A$4:$AT$4, 0)) &lt;&gt; ""))</f>
        <v>0</v>
      </c>
      <c r="H81" s="742">
        <f t="array" ref="H81">SUMPRODUCT(IFERROR(INDEX('6. TIẾN ĐỘ MUA HÀNG'!$A$5:$AT81, 0, XMATCH("Thành tiền đơn hàng", '6. TIẾN ĐỘ MUA HÀNG'!$A$4:$AT$4, 0)), 0) * (INDEX('6. TIẾN ĐỘ MUA HÀNG'!$A$5:$AT81, 0, XMATCH("Phân loại VTBB/NL", '6. TIẾN ĐỘ MUA HÀNG'!$A$4:$AT$4, 0)) = $B81) * (TRIM(INDEX('6. TIẾN ĐỘ MUA HÀNG'!$A$5:$AT81, 0, XMATCH("Tháng", '6. TIẾN ĐỘ MUA HÀNG'!$A$4:$AT$4, 0))) = TRIM(G$6)))</f>
        <v>0</v>
      </c>
      <c r="I81" s="743">
        <f t="array" ref="I81">SUMPRODUCT((INDEX('6. TIẾN ĐỘ MUA HÀNG'!$A:$AT, 0, XMATCH("Phân loại VTBB/NL", '6. TIẾN ĐỘ MUA HÀNG'!$A$4:$AT$4, 0)) = $B81) * (TRIM(INDEX('6. TIẾN ĐỘ MUA HÀNG'!$A:$AT, 0, XMATCH("Tháng", '6. TIẾN ĐỘ MUA HÀNG'!$A$4:$AT$4, 0))) = TRIM(I$6)) * (INDEX('6. TIẾN ĐỘ MUA HÀNG'!$A:$AT, 0, XMATCH("Phân loại VTBB/NL", '6. TIẾN ĐỘ MUA HÀNG'!$A$4:$AT$4, 0)) &lt;&gt; ""))</f>
        <v>0</v>
      </c>
      <c r="J81" s="744">
        <f t="array" ref="J81">SUMPRODUCT(IFERROR(INDEX('6. TIẾN ĐỘ MUA HÀNG'!$A$5:$AT81, 0, XMATCH("Thành tiền đơn hàng", '6. TIẾN ĐỘ MUA HÀNG'!$A$4:$AT$4, 0)), 0) * (INDEX('6. TIẾN ĐỘ MUA HÀNG'!$A$5:$AT81, 0, XMATCH("Phân loại VTBB/NL", '6. TIẾN ĐỘ MUA HÀNG'!$A$4:$AT$4, 0)) = $B81) * (TRIM(INDEX('6. TIẾN ĐỘ MUA HÀNG'!$A$5:$AT81, 0, XMATCH("Tháng", '6. TIẾN ĐỘ MUA HÀNG'!$A$4:$AT$4, 0))) = TRIM(I$6)))</f>
        <v>0</v>
      </c>
      <c r="K81" s="741">
        <f t="array" ref="K81">SUMPRODUCT((INDEX('6. TIẾN ĐỘ MUA HÀNG'!$A:$AT, 0, XMATCH("Phân loại VTBB/NL", '6. TIẾN ĐỘ MUA HÀNG'!$A$4:$AT$4, 0)) = $B81) * (TRIM(INDEX('6. TIẾN ĐỘ MUA HÀNG'!$A:$AT, 0, XMATCH("Tháng", '6. TIẾN ĐỘ MUA HÀNG'!$A$4:$AT$4, 0))) = TRIM($K$6)) * (INDEX('6. TIẾN ĐỘ MUA HÀNG'!$A:$AT, 0, XMATCH("Phân loại VTBB/NL", '6. TIẾN ĐỘ MUA HÀNG'!$A$4:$AT$4, 0)) &lt;&gt; ""))</f>
        <v>0</v>
      </c>
      <c r="L81" s="742">
        <f t="array" ref="L81">SUMPRODUCT(IFERROR(INDEX('6. TIẾN ĐỘ MUA HÀNG'!$A$5:$AT81, 0, XMATCH("Thành tiền đơn hàng", '6. TIẾN ĐỘ MUA HÀNG'!$A$4:$AT$4, 0)), 0) * (INDEX('6. TIẾN ĐỘ MUA HÀNG'!$A$5:$AT81, 0, XMATCH("Phân loại VTBB/NL", '6. TIẾN ĐỘ MUA HÀNG'!$A$4:$AT$4, 0)) = $B81) * (TRIM(INDEX('6. TIẾN ĐỘ MUA HÀNG'!$A$5:$AT81, 0, XMATCH("Tháng", '6. TIẾN ĐỘ MUA HÀNG'!$A$4:$AT$4, 0))) = TRIM(K$6)))</f>
        <v>0</v>
      </c>
      <c r="M81" s="743">
        <f t="array" ref="M81">SUMPRODUCT((INDEX('6. TIẾN ĐỘ MUA HÀNG'!$A:$AT, 0, XMATCH("Phân loại VTBB/NL", '6. TIẾN ĐỘ MUA HÀNG'!$A$4:$AT$4, 0)) = $B81) * (TRIM(INDEX('6. TIẾN ĐỘ MUA HÀNG'!$A:$AT, 0, XMATCH("Tháng", '6. TIẾN ĐỘ MUA HÀNG'!$A$4:$AT$4, 0))) = TRIM(M$6)) * (INDEX('6. TIẾN ĐỘ MUA HÀNG'!$A:$AT, 0, XMATCH("Phân loại VTBB/NL", '6. TIẾN ĐỘ MUA HÀNG'!$A$4:$AT$4, 0)) &lt;&gt; ""))</f>
        <v>0</v>
      </c>
      <c r="N81" s="744">
        <f t="array" ref="N81">SUMPRODUCT(IFERROR(INDEX('6. TIẾN ĐỘ MUA HÀNG'!$A$5:$AT81, 0, XMATCH("Thành tiền đơn hàng", '6. TIẾN ĐỘ MUA HÀNG'!$A$4:$AT$4, 0)), 0) * (INDEX('6. TIẾN ĐỘ MUA HÀNG'!$A$5:$AT81, 0, XMATCH("Phân loại VTBB/NL", '6. TIẾN ĐỘ MUA HÀNG'!$A$4:$AT$4, 0)) = $B81) * (TRIM(INDEX('6. TIẾN ĐỘ MUA HÀNG'!$A$5:$AT81, 0, XMATCH("Tháng", '6. TIẾN ĐỘ MUA HÀNG'!$A$4:$AT$4, 0))) = TRIM(M$6)))</f>
        <v>0</v>
      </c>
      <c r="O81" s="741">
        <f t="array" ref="O81">SUMPRODUCT((INDEX('6. TIẾN ĐỘ MUA HÀNG'!$A:$AT, 0, XMATCH("Phân loại VTBB/NL", '6. TIẾN ĐỘ MUA HÀNG'!$A$4:$AT$4, 0)) = $B81) * (TRIM(INDEX('6. TIẾN ĐỘ MUA HÀNG'!$A:$AT, 0, XMATCH("Tháng", '6. TIẾN ĐỘ MUA HÀNG'!$A$4:$AT$4, 0))) = TRIM($O$6)) * (INDEX('6. TIẾN ĐỘ MUA HÀNG'!$A:$AT, 0, XMATCH("Phân loại VTBB/NL", '6. TIẾN ĐỘ MUA HÀNG'!$A$4:$AT$4, 0)) &lt;&gt; ""))</f>
        <v>0</v>
      </c>
      <c r="P81" s="742">
        <f t="array" ref="P81">SUMPRODUCT(IFERROR(INDEX('6. TIẾN ĐỘ MUA HÀNG'!$A$5:$AT81, 0, XMATCH("Thành tiền đơn hàng", '6. TIẾN ĐỘ MUA HÀNG'!$A$4:$AT$4, 0)), 0) * (INDEX('6. TIẾN ĐỘ MUA HÀNG'!$A$5:$AT81, 0, XMATCH("Phân loại VTBB/NL", '6. TIẾN ĐỘ MUA HÀNG'!$A$4:$AT$4, 0)) = $B81) * (TRIM(INDEX('6. TIẾN ĐỘ MUA HÀNG'!$A$5:$AT81, 0, XMATCH("Tháng", '6. TIẾN ĐỘ MUA HÀNG'!$A$4:$AT$4, 0))) = TRIM(O$6)))</f>
        <v>0</v>
      </c>
      <c r="Q81" s="743">
        <f t="array" ref="Q81">SUMPRODUCT((INDEX('6. TIẾN ĐỘ MUA HÀNG'!$A:$AT, 0, XMATCH("Phân loại VTBB/NL", '6. TIẾN ĐỘ MUA HÀNG'!$A$4:$AT$4, 0)) = $B81) * (TRIM(INDEX('6. TIẾN ĐỘ MUA HÀNG'!$A:$AT, 0, XMATCH("Tháng", '6. TIẾN ĐỘ MUA HÀNG'!$A$4:$AT$4, 0))) = TRIM(Q$6)) * (INDEX('6. TIẾN ĐỘ MUA HÀNG'!$A:$AT, 0, XMATCH("Phân loại VTBB/NL", '6. TIẾN ĐỘ MUA HÀNG'!$A$4:$AT$4, 0)) &lt;&gt; ""))</f>
        <v>0</v>
      </c>
      <c r="R81" s="744">
        <f t="array" ref="R81">SUMPRODUCT(IFERROR(INDEX('6. TIẾN ĐỘ MUA HÀNG'!$A$5:$AT81, 0, XMATCH("Thành tiền đơn hàng", '6. TIẾN ĐỘ MUA HÀNG'!$A$4:$AT$4, 0)), 0) * (INDEX('6. TIẾN ĐỘ MUA HÀNG'!$A$5:$AT81, 0, XMATCH("Phân loại VTBB/NL", '6. TIẾN ĐỘ MUA HÀNG'!$A$4:$AT$4, 0)) = $B81) * (TRIM(INDEX('6. TIẾN ĐỘ MUA HÀNG'!$A$5:$AT81, 0, XMATCH("Tháng", '6. TIẾN ĐỘ MUA HÀNG'!$A$4:$AT$4, 0))) = TRIM(Q$6)))</f>
        <v>0</v>
      </c>
      <c r="S81" s="741">
        <f t="array" ref="S81">SUMPRODUCT((INDEX('6. TIẾN ĐỘ MUA HÀNG'!$A:$AT, 0, XMATCH("Phân loại VTBB/NL", '6. TIẾN ĐỘ MUA HÀNG'!$A$4:$AT$4, 0)) = $B81) * (TRIM(INDEX('6. TIẾN ĐỘ MUA HÀNG'!$A:$AT, 0, XMATCH("Tháng", '6. TIẾN ĐỘ MUA HÀNG'!$A$4:$AT$4, 0))) = TRIM($S$6)) * (INDEX('6. TIẾN ĐỘ MUA HÀNG'!$A:$AT, 0, XMATCH("Phân loại VTBB/NL", '6. TIẾN ĐỘ MUA HÀNG'!$A$4:$AT$4, 0)) &lt;&gt; ""))</f>
        <v>0</v>
      </c>
      <c r="T81" s="742">
        <f t="array" ref="T81">SUMPRODUCT(IFERROR(INDEX('6. TIẾN ĐỘ MUA HÀNG'!$A$5:$AT81, 0, XMATCH("Thành tiền đơn hàng", '6. TIẾN ĐỘ MUA HÀNG'!$A$4:$AT$4, 0)), 0) * (INDEX('6. TIẾN ĐỘ MUA HÀNG'!$A$5:$AT81, 0, XMATCH("Phân loại VTBB/NL", '6. TIẾN ĐỘ MUA HÀNG'!$A$4:$AT$4, 0)) = $B81) * (TRIM(INDEX('6. TIẾN ĐỘ MUA HÀNG'!$A$5:$AT81, 0, XMATCH("Tháng", '6. TIẾN ĐỘ MUA HÀNG'!$A$4:$AT$4, 0))) = TRIM(S$6)))</f>
        <v>0</v>
      </c>
      <c r="U81" s="743">
        <f t="array" ref="U81">SUMPRODUCT((INDEX('6. TIẾN ĐỘ MUA HÀNG'!$A:$AT, 0, XMATCH("Phân loại VTBB/NL", '6. TIẾN ĐỘ MUA HÀNG'!$A$4:$AT$4, 0)) = $B81) * (TRIM(INDEX('6. TIẾN ĐỘ MUA HÀNG'!$A:$AT, 0, XMATCH("Tháng", '6. TIẾN ĐỘ MUA HÀNG'!$A$4:$AT$4, 0))) = TRIM(U$6)) * (INDEX('6. TIẾN ĐỘ MUA HÀNG'!$A:$AT, 0, XMATCH("Phân loại VTBB/NL", '6. TIẾN ĐỘ MUA HÀNG'!$A$4:$AT$4, 0)) &lt;&gt; ""))</f>
        <v>0</v>
      </c>
      <c r="V81" s="744">
        <f t="array" ref="V81">SUMPRODUCT(IFERROR(INDEX('6. TIẾN ĐỘ MUA HÀNG'!$A$5:$AT81, 0, XMATCH("Thành tiền đơn hàng", '6. TIẾN ĐỘ MUA HÀNG'!$A$4:$AT$4, 0)), 0) * (INDEX('6. TIẾN ĐỘ MUA HÀNG'!$A$5:$AT81, 0, XMATCH("Phân loại VTBB/NL", '6. TIẾN ĐỘ MUA HÀNG'!$A$4:$AT$4, 0)) = $B81) * (TRIM(INDEX('6. TIẾN ĐỘ MUA HÀNG'!$A$5:$AT81, 0, XMATCH("Tháng", '6. TIẾN ĐỘ MUA HÀNG'!$A$4:$AT$4, 0))) = TRIM(U$6)))</f>
        <v>0</v>
      </c>
      <c r="W81" s="741">
        <f t="array" ref="W81">SUMPRODUCT((INDEX('6. TIẾN ĐỘ MUA HÀNG'!$A:$AT, 0, XMATCH("Phân loại VTBB/NL", '6. TIẾN ĐỘ MUA HÀNG'!$A$4:$AT$4, 0)) = $B81) * (TRIM(INDEX('6. TIẾN ĐỘ MUA HÀNG'!$A:$AT, 0, XMATCH("Tháng", '6. TIẾN ĐỘ MUA HÀNG'!$A$4:$AT$4, 0))) = TRIM($W$6)) * (INDEX('6. TIẾN ĐỘ MUA HÀNG'!$A:$AT, 0, XMATCH("Phân loại VTBB/NL", '6. TIẾN ĐỘ MUA HÀNG'!$A$4:$AT$4, 0)) &lt;&gt; ""))</f>
        <v>0</v>
      </c>
      <c r="X81" s="742">
        <f t="array" ref="X81">SUMPRODUCT(IFERROR(INDEX('6. TIẾN ĐỘ MUA HÀNG'!$A$5:$AT81, 0, XMATCH("Thành tiền đơn hàng", '6. TIẾN ĐỘ MUA HÀNG'!$A$4:$AT$4, 0)), 0) * (INDEX('6. TIẾN ĐỘ MUA HÀNG'!$A$5:$AT81, 0, XMATCH("Phân loại VTBB/NL", '6. TIẾN ĐỘ MUA HÀNG'!$A$4:$AT$4, 0)) = $B81) * (TRIM(INDEX('6. TIẾN ĐỘ MUA HÀNG'!$A$5:$AT81, 0, XMATCH("Tháng", '6. TIẾN ĐỘ MUA HÀNG'!$A$4:$AT$4, 0))) = TRIM(W$6)))</f>
        <v>0</v>
      </c>
      <c r="Y81" s="743">
        <f t="array" ref="Y81">SUMPRODUCT((INDEX('6. TIẾN ĐỘ MUA HÀNG'!$A:$AT, 0, XMATCH("Phân loại VTBB/NL", '6. TIẾN ĐỘ MUA HÀNG'!$A$4:$AT$4, 0)) = $B81) * (TRIM(INDEX('6. TIẾN ĐỘ MUA HÀNG'!$A:$AT, 0, XMATCH("Tháng", '6. TIẾN ĐỘ MUA HÀNG'!$A$4:$AT$4, 0))) = TRIM(Y$6)) * (INDEX('6. TIẾN ĐỘ MUA HÀNG'!$A:$AT, 0, XMATCH("Phân loại VTBB/NL", '6. TIẾN ĐỘ MUA HÀNG'!$A$4:$AT$4, 0)) &lt;&gt; ""))</f>
        <v>0</v>
      </c>
      <c r="Z81" s="744">
        <f t="array" ref="Z81">SUMPRODUCT(IFERROR(INDEX('6. TIẾN ĐỘ MUA HÀNG'!$A$5:$AT81, 0, XMATCH("Thành tiền đơn hàng", '6. TIẾN ĐỘ MUA HÀNG'!$A$4:$AT$4, 0)), 0) * (INDEX('6. TIẾN ĐỘ MUA HÀNG'!$A$5:$AT81, 0, XMATCH("Phân loại VTBB/NL", '6. TIẾN ĐỘ MUA HÀNG'!$A$4:$AT$4, 0)) = $B81) * (TRIM(INDEX('6. TIẾN ĐỘ MUA HÀNG'!$A$5:$AT81, 0, XMATCH("Tháng", '6. TIẾN ĐỘ MUA HÀNG'!$A$4:$AT$4, 0))) = TRIM(Y$6)))</f>
        <v>0</v>
      </c>
      <c r="AA81" s="726">
        <f t="shared" si="2"/>
        <v>0</v>
      </c>
      <c r="AB81" s="726">
        <f t="shared" si="3"/>
        <v>0</v>
      </c>
    </row>
  </sheetData>
  <mergeCells count="18">
    <mergeCell ref="E6:F6"/>
    <mergeCell ref="G6:H6"/>
    <mergeCell ref="I6:J6"/>
    <mergeCell ref="K6:L6"/>
    <mergeCell ref="M6:N6"/>
    <mergeCell ref="O6:P6"/>
    <mergeCell ref="Q6:R6"/>
    <mergeCell ref="S6:T6"/>
    <mergeCell ref="U6:V6"/>
    <mergeCell ref="W6:X6"/>
    <mergeCell ref="C3:U3"/>
    <mergeCell ref="A5:A8"/>
    <mergeCell ref="B5:B8"/>
    <mergeCell ref="C5:Z5"/>
    <mergeCell ref="AA5:AA7"/>
    <mergeCell ref="AB5:AB7"/>
    <mergeCell ref="C6:D6"/>
    <mergeCell ref="Y6:Z6"/>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4.38"/>
    <col customWidth="1" min="2" max="2" width="24.25"/>
    <col customWidth="1" min="3" max="14" width="10.38"/>
    <col customWidth="1" min="38" max="39" width="17.5"/>
    <col customWidth="1" min="40" max="40" width="15.88"/>
    <col customWidth="1" min="41" max="41" width="17.5"/>
  </cols>
  <sheetData>
    <row r="1">
      <c r="A1" s="703"/>
      <c r="B1" s="704" t="s">
        <v>1439</v>
      </c>
      <c r="C1" s="703"/>
      <c r="D1" s="703"/>
      <c r="E1" s="705"/>
      <c r="F1" s="703"/>
      <c r="G1" s="703"/>
      <c r="H1" s="705"/>
      <c r="I1" s="703"/>
      <c r="J1" s="703"/>
      <c r="K1" s="703"/>
      <c r="L1" s="703"/>
      <c r="M1" s="703"/>
      <c r="N1" s="703"/>
      <c r="O1" s="703"/>
      <c r="P1" s="703"/>
      <c r="Q1" s="703"/>
      <c r="R1" s="703"/>
      <c r="S1" s="703"/>
      <c r="T1" s="703"/>
      <c r="U1" s="703"/>
      <c r="V1" s="703"/>
      <c r="W1" s="703"/>
      <c r="X1" s="703"/>
      <c r="Y1" s="703"/>
      <c r="Z1" s="703"/>
      <c r="AA1" s="703"/>
      <c r="AB1" s="703"/>
      <c r="AC1" s="703"/>
      <c r="AD1" s="703"/>
      <c r="AE1" s="703"/>
      <c r="AF1" s="703"/>
      <c r="AG1" s="703"/>
      <c r="AH1" s="703"/>
      <c r="AI1" s="703"/>
      <c r="AJ1" s="703"/>
      <c r="AK1" s="703"/>
      <c r="AL1" s="703"/>
      <c r="AM1" s="703"/>
      <c r="AN1" s="703"/>
      <c r="AO1" s="705"/>
    </row>
    <row r="2">
      <c r="A2" s="15"/>
      <c r="B2" s="15"/>
      <c r="C2" s="15"/>
      <c r="D2" s="15"/>
      <c r="E2" s="706"/>
      <c r="F2" s="15"/>
      <c r="G2" s="15"/>
      <c r="H2" s="706"/>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707"/>
    </row>
    <row r="3">
      <c r="A3" s="15"/>
      <c r="B3" s="15"/>
      <c r="C3" s="708" t="s">
        <v>1421</v>
      </c>
      <c r="AE3" s="709"/>
      <c r="AF3" s="709"/>
      <c r="AG3" s="709"/>
      <c r="AH3" s="709"/>
      <c r="AI3" s="709"/>
      <c r="AJ3" s="709"/>
      <c r="AK3" s="709"/>
      <c r="AL3" s="15"/>
      <c r="AM3" s="15"/>
      <c r="AN3" s="709"/>
      <c r="AO3" s="710"/>
    </row>
    <row r="4">
      <c r="A4" s="15"/>
      <c r="B4" s="15"/>
      <c r="C4" s="15"/>
      <c r="D4" s="15"/>
      <c r="E4" s="706"/>
      <c r="F4" s="15"/>
      <c r="G4" s="15"/>
      <c r="H4" s="706"/>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745"/>
      <c r="AN4" s="745"/>
      <c r="AO4" s="746" t="s">
        <v>1423</v>
      </c>
    </row>
    <row r="5" ht="20.25" customHeight="1">
      <c r="A5" s="747" t="s">
        <v>80</v>
      </c>
      <c r="B5" s="748" t="s">
        <v>1256</v>
      </c>
      <c r="C5" s="749" t="s">
        <v>1424</v>
      </c>
      <c r="D5" s="461"/>
      <c r="E5" s="461"/>
      <c r="F5" s="461"/>
      <c r="G5" s="461"/>
      <c r="H5" s="461"/>
      <c r="I5" s="461"/>
      <c r="J5" s="461"/>
      <c r="K5" s="461"/>
      <c r="L5" s="461"/>
      <c r="M5" s="461"/>
      <c r="N5" s="461"/>
      <c r="O5" s="461"/>
      <c r="P5" s="461"/>
      <c r="Q5" s="461"/>
      <c r="R5" s="461"/>
      <c r="S5" s="461"/>
      <c r="T5" s="461"/>
      <c r="U5" s="461"/>
      <c r="V5" s="461"/>
      <c r="W5" s="461"/>
      <c r="X5" s="461"/>
      <c r="Y5" s="461"/>
      <c r="Z5" s="461"/>
      <c r="AA5" s="461"/>
      <c r="AB5" s="461"/>
      <c r="AC5" s="461"/>
      <c r="AD5" s="461"/>
      <c r="AE5" s="461"/>
      <c r="AF5" s="461"/>
      <c r="AG5" s="461"/>
      <c r="AH5" s="461"/>
      <c r="AI5" s="461"/>
      <c r="AJ5" s="461"/>
      <c r="AK5" s="461"/>
      <c r="AL5" s="461"/>
      <c r="AM5" s="748" t="s">
        <v>1425</v>
      </c>
      <c r="AN5" s="748" t="s">
        <v>1426</v>
      </c>
      <c r="AO5" s="750" t="s">
        <v>1440</v>
      </c>
    </row>
    <row r="6" ht="20.25" customHeight="1">
      <c r="A6" s="26"/>
      <c r="B6" s="26"/>
      <c r="C6" s="736">
        <v>46023.0</v>
      </c>
      <c r="D6" s="461"/>
      <c r="E6" s="426"/>
      <c r="F6" s="751">
        <v>46055.0</v>
      </c>
      <c r="G6" s="461"/>
      <c r="H6" s="426"/>
      <c r="I6" s="736">
        <v>46084.0</v>
      </c>
      <c r="J6" s="461"/>
      <c r="K6" s="426"/>
      <c r="L6" s="751">
        <v>46116.0</v>
      </c>
      <c r="M6" s="461"/>
      <c r="N6" s="426"/>
      <c r="O6" s="736">
        <v>46147.0</v>
      </c>
      <c r="P6" s="461"/>
      <c r="Q6" s="426"/>
      <c r="R6" s="751">
        <v>46174.0</v>
      </c>
      <c r="S6" s="461"/>
      <c r="T6" s="426"/>
      <c r="U6" s="736">
        <v>46205.0</v>
      </c>
      <c r="V6" s="461"/>
      <c r="W6" s="426"/>
      <c r="X6" s="751">
        <v>46237.0</v>
      </c>
      <c r="Y6" s="461"/>
      <c r="Z6" s="426"/>
      <c r="AA6" s="736">
        <v>46269.0</v>
      </c>
      <c r="AB6" s="461"/>
      <c r="AC6" s="426"/>
      <c r="AD6" s="751">
        <v>46300.0</v>
      </c>
      <c r="AE6" s="461"/>
      <c r="AF6" s="426"/>
      <c r="AG6" s="736">
        <v>46327.0</v>
      </c>
      <c r="AH6" s="461"/>
      <c r="AI6" s="426"/>
      <c r="AJ6" s="751">
        <v>46358.0</v>
      </c>
      <c r="AK6" s="461"/>
      <c r="AL6" s="426"/>
      <c r="AM6" s="26"/>
      <c r="AN6" s="26"/>
      <c r="AO6" s="26"/>
    </row>
    <row r="7">
      <c r="A7" s="26"/>
      <c r="B7" s="26"/>
      <c r="C7" s="738" t="s">
        <v>1437</v>
      </c>
      <c r="D7" s="738" t="s">
        <v>1441</v>
      </c>
      <c r="E7" s="718" t="s">
        <v>1442</v>
      </c>
      <c r="F7" s="752" t="s">
        <v>1437</v>
      </c>
      <c r="G7" s="752" t="s">
        <v>1441</v>
      </c>
      <c r="H7" s="753" t="s">
        <v>1442</v>
      </c>
      <c r="I7" s="738" t="s">
        <v>1437</v>
      </c>
      <c r="J7" s="738" t="s">
        <v>1441</v>
      </c>
      <c r="K7" s="718" t="s">
        <v>1442</v>
      </c>
      <c r="L7" s="752" t="s">
        <v>1437</v>
      </c>
      <c r="M7" s="752" t="s">
        <v>1441</v>
      </c>
      <c r="N7" s="753" t="s">
        <v>1442</v>
      </c>
      <c r="O7" s="738" t="s">
        <v>1437</v>
      </c>
      <c r="P7" s="738" t="s">
        <v>1441</v>
      </c>
      <c r="Q7" s="718" t="s">
        <v>1442</v>
      </c>
      <c r="R7" s="752" t="s">
        <v>1437</v>
      </c>
      <c r="S7" s="752" t="s">
        <v>1441</v>
      </c>
      <c r="T7" s="753" t="s">
        <v>1442</v>
      </c>
      <c r="U7" s="738" t="s">
        <v>1437</v>
      </c>
      <c r="V7" s="738" t="s">
        <v>1441</v>
      </c>
      <c r="W7" s="718" t="s">
        <v>1442</v>
      </c>
      <c r="X7" s="752" t="s">
        <v>1437</v>
      </c>
      <c r="Y7" s="752" t="s">
        <v>1441</v>
      </c>
      <c r="Z7" s="753" t="s">
        <v>1442</v>
      </c>
      <c r="AA7" s="738" t="s">
        <v>1437</v>
      </c>
      <c r="AB7" s="738" t="s">
        <v>1441</v>
      </c>
      <c r="AC7" s="718" t="s">
        <v>1442</v>
      </c>
      <c r="AD7" s="752" t="s">
        <v>1437</v>
      </c>
      <c r="AE7" s="752" t="s">
        <v>1441</v>
      </c>
      <c r="AF7" s="753" t="s">
        <v>1442</v>
      </c>
      <c r="AG7" s="738" t="s">
        <v>1437</v>
      </c>
      <c r="AH7" s="738" t="s">
        <v>1441</v>
      </c>
      <c r="AI7" s="718" t="s">
        <v>1442</v>
      </c>
      <c r="AJ7" s="752" t="s">
        <v>1437</v>
      </c>
      <c r="AK7" s="752" t="s">
        <v>1441</v>
      </c>
      <c r="AL7" s="753" t="s">
        <v>1442</v>
      </c>
      <c r="AM7" s="23"/>
      <c r="AN7" s="23"/>
      <c r="AO7" s="23"/>
    </row>
    <row r="8">
      <c r="A8" s="23"/>
      <c r="B8" s="23"/>
      <c r="C8" s="722">
        <f t="shared" ref="C8:D8" si="1">SUM(C9:C29)</f>
        <v>0</v>
      </c>
      <c r="D8" s="722">
        <f t="shared" si="1"/>
        <v>0</v>
      </c>
      <c r="E8" s="723">
        <f t="shared" ref="E8:E13" si="14">IFS(C8="", "", D8="", "", D8=0, 0, TRUE, D8/C8)</f>
        <v>0</v>
      </c>
      <c r="F8" s="724">
        <f t="shared" ref="F8:G8" si="2">SUM(F9:F29)</f>
        <v>0</v>
      </c>
      <c r="G8" s="724">
        <f t="shared" si="2"/>
        <v>0</v>
      </c>
      <c r="H8" s="725">
        <f t="shared" ref="H8:H143" si="15">IFS(F8="", "", G8="", "", G8=0, 0, TRUE, G8/F8)</f>
        <v>0</v>
      </c>
      <c r="I8" s="722">
        <f t="shared" ref="I8:J8" si="3">SUM(I9:I29)</f>
        <v>19</v>
      </c>
      <c r="J8" s="722">
        <f t="shared" si="3"/>
        <v>8</v>
      </c>
      <c r="K8" s="723">
        <f t="shared" ref="K8:K13" si="16">IFS(I8="", "", J8="", "", J8=0, 0, TRUE, J8/I8)</f>
        <v>0.4210526316</v>
      </c>
      <c r="L8" s="724">
        <f t="shared" ref="L8:M8" si="4">SUM(L9:L29)</f>
        <v>25</v>
      </c>
      <c r="M8" s="724">
        <f t="shared" si="4"/>
        <v>0</v>
      </c>
      <c r="N8" s="725">
        <f t="shared" ref="N8:N143" si="17">IFS(L8="", "", M8="", "", M8=0, 0, TRUE, M8/L8)</f>
        <v>0</v>
      </c>
      <c r="O8" s="722">
        <f t="shared" ref="O8:P8" si="5">SUM(O9:O29)</f>
        <v>12</v>
      </c>
      <c r="P8" s="722">
        <f t="shared" si="5"/>
        <v>0</v>
      </c>
      <c r="Q8" s="723">
        <f t="shared" ref="Q8:Q13" si="18">IFS(O8="", "", P8="", "", P8=0, 0, TRUE, P8/O8)</f>
        <v>0</v>
      </c>
      <c r="R8" s="724">
        <f t="shared" ref="R8:S8" si="6">SUM(R9:R29)</f>
        <v>9</v>
      </c>
      <c r="S8" s="724">
        <f t="shared" si="6"/>
        <v>0</v>
      </c>
      <c r="T8" s="725">
        <f t="shared" ref="T8:T143" si="19">IFS(R8="", "", S8="", "", S8=0, 0, TRUE, S8/R8)</f>
        <v>0</v>
      </c>
      <c r="U8" s="722">
        <f t="shared" ref="U8:V8" si="7">SUM(U9:U29)</f>
        <v>0</v>
      </c>
      <c r="V8" s="722">
        <f t="shared" si="7"/>
        <v>0</v>
      </c>
      <c r="W8" s="723">
        <f t="shared" ref="W8:W13" si="20">IFS(U8="", "", V8="", "", V8=0, 0, TRUE, V8/U8)</f>
        <v>0</v>
      </c>
      <c r="X8" s="724">
        <f t="shared" ref="X8:Y8" si="8">SUM(X9:X29)</f>
        <v>0</v>
      </c>
      <c r="Y8" s="724">
        <f t="shared" si="8"/>
        <v>0</v>
      </c>
      <c r="Z8" s="725">
        <f t="shared" ref="Z8:Z143" si="21">IFS(X8="", "", Y8="", "", Y8=0, 0, TRUE, Y8/X8)</f>
        <v>0</v>
      </c>
      <c r="AA8" s="722">
        <f t="shared" ref="AA8:AB8" si="9">SUM(AA9:AA29)</f>
        <v>0</v>
      </c>
      <c r="AB8" s="722">
        <f t="shared" si="9"/>
        <v>0</v>
      </c>
      <c r="AC8" s="723">
        <f t="shared" ref="AC8:AC13" si="22">IFS(AA8="", "", AB8="", "", AB8=0, 0, TRUE, AB8/AA8)</f>
        <v>0</v>
      </c>
      <c r="AD8" s="724">
        <f t="shared" ref="AD8:AE8" si="10">SUM(AD9:AD29)</f>
        <v>0</v>
      </c>
      <c r="AE8" s="724">
        <f t="shared" si="10"/>
        <v>0</v>
      </c>
      <c r="AF8" s="725">
        <f t="shared" ref="AF8:AF143" si="23">IFS(AD8="", "", AE8="", "", AE8=0, 0, TRUE, AE8/AD8)</f>
        <v>0</v>
      </c>
      <c r="AG8" s="722">
        <f t="shared" ref="AG8:AH8" si="11">SUM(AG9:AG29)</f>
        <v>0</v>
      </c>
      <c r="AH8" s="722">
        <f t="shared" si="11"/>
        <v>0</v>
      </c>
      <c r="AI8" s="723">
        <f t="shared" ref="AI8:AI13" si="24">IFS(AG8="", "", AH8="", "", AH8=0, 0, TRUE, AH8/AG8)</f>
        <v>0</v>
      </c>
      <c r="AJ8" s="724">
        <f t="shared" ref="AJ8:AK8" si="12">SUM(AJ9:AJ29)</f>
        <v>0</v>
      </c>
      <c r="AK8" s="724">
        <f t="shared" si="12"/>
        <v>0</v>
      </c>
      <c r="AL8" s="725">
        <f t="shared" ref="AL8:AL143" si="25">IFS(AJ8="", "", AK8="", "", AK8=0, 0, TRUE, AK8/AJ8)</f>
        <v>0</v>
      </c>
      <c r="AM8" s="726">
        <f t="shared" ref="AM8:AN8" si="13">SUM(AM9:AM29)</f>
        <v>65</v>
      </c>
      <c r="AN8" s="726">
        <f t="shared" si="13"/>
        <v>8</v>
      </c>
      <c r="AO8" s="727">
        <f t="shared" ref="AO8:AO143" si="26">IFS(AN8="", "", AM8="", "", AN8=0, 0, TRUE, AN8/AM8)</f>
        <v>0.1230769231</v>
      </c>
    </row>
    <row r="9">
      <c r="A9" s="740">
        <f t="array" ref="A9:A644">IF(LEN(B9:B644), ROW(B9:B644) - ROW(B9) + 1, "")</f>
        <v>1</v>
      </c>
      <c r="B9" s="624" t="str">
        <f>IFERROR(__xludf.DUMMYFUNCTION("UNIQUE( QUERY('1. DATA CHUNG'!A4:Z644, ""SELECT U WHERE U IS NOT NULL"", 1))"),"Cẩm Hùng")</f>
        <v>Cẩm Hùng</v>
      </c>
      <c r="C9" s="754">
        <f t="array" ref="C9">SUMPRODUCT((TRIM(INDEX('6. TIẾN ĐỘ MUA HÀNG'!$A$5:$AT644, 0, XMATCH("NCC VTBB/NL trong nước", '6. TIẾN ĐỘ MUA HÀNG'!$A$4:$AT$4, 0))) = TRIM($B9)) * (TRIM(INDEX('6. TIẾN ĐỘ MUA HÀNG'!$A$5:$AT644, 0, XMATCH("Tháng", '6. TIẾN ĐỘ MUA HÀNG'!$A$4:$AT$4, 0))) = TRIM(C$6)) * (INDEX('6. TIẾN ĐỘ MUA HÀNG'!$A$5:$AT644, 0, XMATCH("Mã đơn Misa", '6. TIẾN ĐỘ MUA HÀNG'!$A$4:$AT$4, 0)) &lt;&gt; ""))</f>
        <v>0</v>
      </c>
      <c r="D9" s="754">
        <f t="array" ref="D9">SUMPRODUCT(
  (INDEX('6. TIẾN ĐỘ MUA HÀNG'!$A$5:$AT644, 0, XMATCH("NCC VTBB/NL trong nước", '6. TIẾN ĐỘ MUA HÀNG'!$A$4:$AT$4, 0)) = $B9) * (TRIM(INDEX('6. TIẾN ĐỘ MUA HÀNG'!$A$5:$AT644, 0, XMATCH("Tháng", '6. TIẾN ĐỘ MUA HÀNG'!$A$4:$AT$4, 0))) = TRIM(C$6)) * (INDEX('6. TIẾN ĐỘ MUA HÀNG'!$A$5:$AT644, 0, XMATCH("CL NGÀY NCC DỰ KIẾN - NGÀY NHẬN HÀNG", '6. TIẾN ĐỘ MUA HÀNG'!$A$4:$AT$4, 0)) &lt; 0)
)</f>
        <v>0</v>
      </c>
      <c r="E9" s="755">
        <f t="shared" si="14"/>
        <v>0</v>
      </c>
      <c r="F9" s="756">
        <f t="array" ref="F9">SUMPRODUCT((TRIM(INDEX('6. TIẾN ĐỘ MUA HÀNG'!$A$5:$AT644, 0, XMATCH("NCC VTBB/NL trong nước", '6. TIẾN ĐỘ MUA HÀNG'!$A$4:$AT$4, 0))) = TRIM($B9)) * (TRIM(INDEX('6. TIẾN ĐỘ MUA HÀNG'!$A$5:$AT644, 0, XMATCH("Tháng", '6. TIẾN ĐỘ MUA HÀNG'!$A$4:$AT$4, 0))) = TRIM(F$6)) * (INDEX('6. TIẾN ĐỘ MUA HÀNG'!$A$5:$AT644, 0, XMATCH("Mã đơn Misa", '6. TIẾN ĐỘ MUA HÀNG'!$A$4:$AT$4, 0)) &lt;&gt; ""))</f>
        <v>0</v>
      </c>
      <c r="G9" s="756">
        <f t="array" ref="G9">SUMPRODUCT(
  (INDEX('6. TIẾN ĐỘ MUA HÀNG'!$A$5:$AT644, 0, XMATCH("NCC VTBB/NL trong nước", '6. TIẾN ĐỘ MUA HÀNG'!$A$4:$AT$4, 0)) = $B9) * (TRIM(INDEX('6. TIẾN ĐỘ MUA HÀNG'!$A$5:$AT644, 0, XMATCH("Tháng", '6. TIẾN ĐỘ MUA HÀNG'!$A$4:$AT$4, 0))) = TRIM(F$6)) * (INDEX('6. TIẾN ĐỘ MUA HÀNG'!$A$5:$AT644, 0, XMATCH("CL NGÀY NCC DỰ KIẾN - NGÀY NHẬN HÀNG", '6. TIẾN ĐỘ MUA HÀNG'!$A$4:$AT$4, 0)) &lt; 0)
)</f>
        <v>0</v>
      </c>
      <c r="H9" s="757">
        <f t="shared" si="15"/>
        <v>0</v>
      </c>
      <c r="I9" s="754">
        <f t="array" ref="I9">SUMPRODUCT((TRIM(INDEX('6. TIẾN ĐỘ MUA HÀNG'!$A$5:$AT644, 0, XMATCH("NCC VTBB/NL trong nước", '6. TIẾN ĐỘ MUA HÀNG'!$A$4:$AT$4, 0))) = TRIM($B9)) * (TRIM(INDEX('6. TIẾN ĐỘ MUA HÀNG'!$A$5:$AT644, 0, XMATCH("Tháng", '6. TIẾN ĐỘ MUA HÀNG'!$A$4:$AT$4, 0))) = TRIM(I$6)) * (INDEX('6. TIẾN ĐỘ MUA HÀNG'!$A$5:$AT644, 0, XMATCH("Mã đơn Misa", '6. TIẾN ĐỘ MUA HÀNG'!$A$4:$AT$4, 0)) &lt;&gt; ""))</f>
        <v>0</v>
      </c>
      <c r="J9" s="754">
        <f t="array" ref="J9">SUMPRODUCT(
  (INDEX('6. TIẾN ĐỘ MUA HÀNG'!$A$5:$AT644, 0, XMATCH("NCC VTBB/NL trong nước", '6. TIẾN ĐỘ MUA HÀNG'!$A$4:$AT$4, 0)) = $B9) * (TRIM(INDEX('6. TIẾN ĐỘ MUA HÀNG'!$A$5:$AT644, 0, XMATCH("Tháng", '6. TIẾN ĐỘ MUA HÀNG'!$A$4:$AT$4, 0))) = TRIM(I$6)) * (INDEX('6. TIẾN ĐỘ MUA HÀNG'!$A$5:$AT644, 0, XMATCH("CL NGÀY NCC DỰ KIẾN - NGÀY NHẬN HÀNG", '6. TIẾN ĐỘ MUA HÀNG'!$A$4:$AT$4, 0)) &lt; 0)
)</f>
        <v>0</v>
      </c>
      <c r="K9" s="755">
        <f t="shared" si="16"/>
        <v>0</v>
      </c>
      <c r="L9" s="756">
        <f t="array" ref="L9">SUMPRODUCT((TRIM(INDEX('6. TIẾN ĐỘ MUA HÀNG'!$A$5:$AT644, 0, XMATCH("NCC VTBB/NL trong nước", '6. TIẾN ĐỘ MUA HÀNG'!$A$4:$AT$4, 0))) = TRIM($B9)) * (TRIM(INDEX('6. TIẾN ĐỘ MUA HÀNG'!$A$5:$AT644, 0, XMATCH("Tháng", '6. TIẾN ĐỘ MUA HÀNG'!$A$4:$AT$4, 0))) = TRIM(L$6)) * (INDEX('6. TIẾN ĐỘ MUA HÀNG'!$A$5:$AT644, 0, XMATCH("Mã đơn Misa", '6. TIẾN ĐỘ MUA HÀNG'!$A$4:$AT$4, 0)) &lt;&gt; ""))</f>
        <v>0</v>
      </c>
      <c r="M9" s="756">
        <f t="array" ref="M9">SUMPRODUCT(
  (INDEX('6. TIẾN ĐỘ MUA HÀNG'!$A$5:$AT644, 0, XMATCH("NCC VTBB/NL trong nước", '6. TIẾN ĐỘ MUA HÀNG'!$A$4:$AT$4, 0)) = $B9) * (TRIM(INDEX('6. TIẾN ĐỘ MUA HÀNG'!$A$5:$AT644, 0, XMATCH("Tháng", '6. TIẾN ĐỘ MUA HÀNG'!$A$4:$AT$4, 0))) = TRIM(L$6)) * (INDEX('6. TIẾN ĐỘ MUA HÀNG'!$A$5:$AT644, 0, XMATCH("CL NGÀY NCC DỰ KIẾN - NGÀY NHẬN HÀNG", '6. TIẾN ĐỘ MUA HÀNG'!$A$4:$AT$4, 0)) &lt; 0)
)</f>
        <v>0</v>
      </c>
      <c r="N9" s="757">
        <f t="shared" si="17"/>
        <v>0</v>
      </c>
      <c r="O9" s="754">
        <f t="array" ref="O9">SUMPRODUCT((TRIM(INDEX('6. TIẾN ĐỘ MUA HÀNG'!$A$5:$AT644, 0, XMATCH("NCC VTBB/NL trong nước", '6. TIẾN ĐỘ MUA HÀNG'!$A$4:$AT$4, 0))) = TRIM($B9)) * (TRIM(INDEX('6. TIẾN ĐỘ MUA HÀNG'!$A$5:$AT644, 0, XMATCH("Tháng", '6. TIẾN ĐỘ MUA HÀNG'!$A$4:$AT$4, 0))) = TRIM(O$6)) * (INDEX('6. TIẾN ĐỘ MUA HÀNG'!$A$5:$AT644, 0, XMATCH("Mã đơn Misa", '6. TIẾN ĐỘ MUA HÀNG'!$A$4:$AT$4, 0)) &lt;&gt; ""))</f>
        <v>0</v>
      </c>
      <c r="P9" s="754">
        <f t="array" ref="P9">SUMPRODUCT(
  (INDEX('6. TIẾN ĐỘ MUA HÀNG'!$A$5:$AT644, 0, XMATCH("NCC VTBB/NL trong nước", '6. TIẾN ĐỘ MUA HÀNG'!$A$4:$AT$4, 0)) = $B9) * (TRIM(INDEX('6. TIẾN ĐỘ MUA HÀNG'!$A$5:$AT644, 0, XMATCH("Tháng", '6. TIẾN ĐỘ MUA HÀNG'!$A$4:$AT$4, 0))) = TRIM(O$6)) * (INDEX('6. TIẾN ĐỘ MUA HÀNG'!$A$5:$AT644, 0, XMATCH("CL NGÀY NCC DỰ KIẾN - NGÀY NHẬN HÀNG", '6. TIẾN ĐỘ MUA HÀNG'!$A$4:$AT$4, 0)) &lt; 0)
)</f>
        <v>0</v>
      </c>
      <c r="Q9" s="755">
        <f t="shared" si="18"/>
        <v>0</v>
      </c>
      <c r="R9" s="756">
        <f t="array" ref="R9">SUMPRODUCT((TRIM(INDEX('6. TIẾN ĐỘ MUA HÀNG'!$A$5:$AT644, 0, XMATCH("NCC VTBB/NL trong nước", '6. TIẾN ĐỘ MUA HÀNG'!$A$4:$AT$4, 0))) = TRIM($B9)) * (TRIM(INDEX('6. TIẾN ĐỘ MUA HÀNG'!$A$5:$AT644, 0, XMATCH("Tháng", '6. TIẾN ĐỘ MUA HÀNG'!$A$4:$AT$4, 0))) = TRIM(R$6)) * (INDEX('6. TIẾN ĐỘ MUA HÀNG'!$A$5:$AT644, 0, XMATCH("Mã đơn Misa", '6. TIẾN ĐỘ MUA HÀNG'!$A$4:$AT$4, 0)) &lt;&gt; ""))</f>
        <v>0</v>
      </c>
      <c r="S9" s="756">
        <f t="array" ref="S9">SUMPRODUCT(
  (INDEX('6. TIẾN ĐỘ MUA HÀNG'!$A$5:$AT644, 0, XMATCH("NCC VTBB/NL trong nước", '6. TIẾN ĐỘ MUA HÀNG'!$A$4:$AT$4, 0)) = $B9) * (TRIM(INDEX('6. TIẾN ĐỘ MUA HÀNG'!$A$5:$AT644, 0, XMATCH("Tháng", '6. TIẾN ĐỘ MUA HÀNG'!$A$4:$AT$4, 0))) = TRIM(R$6)) * (INDEX('6. TIẾN ĐỘ MUA HÀNG'!$A$5:$AT644, 0, XMATCH("CL NGÀY NCC DỰ KIẾN - NGÀY NHẬN HÀNG", '6. TIẾN ĐỘ MUA HÀNG'!$A$4:$AT$4, 0)) &lt; 0)
)</f>
        <v>0</v>
      </c>
      <c r="T9" s="757">
        <f t="shared" si="19"/>
        <v>0</v>
      </c>
      <c r="U9" s="754">
        <f t="array" ref="U9">SUMPRODUCT((TRIM(INDEX('6. TIẾN ĐỘ MUA HÀNG'!$A$5:$AT644, 0, XMATCH("NCC VTBB/NL trong nước", '6. TIẾN ĐỘ MUA HÀNG'!$A$4:$AT$4, 0))) = TRIM($B9)) * (TRIM(INDEX('6. TIẾN ĐỘ MUA HÀNG'!$A$5:$AT644, 0, XMATCH("Tháng", '6. TIẾN ĐỘ MUA HÀNG'!$A$4:$AT$4, 0))) = TRIM(U$6)) * (INDEX('6. TIẾN ĐỘ MUA HÀNG'!$A$5:$AT644, 0, XMATCH("Mã đơn Misa", '6. TIẾN ĐỘ MUA HÀNG'!$A$4:$AT$4, 0)) &lt;&gt; ""))</f>
        <v>0</v>
      </c>
      <c r="V9" s="754">
        <f t="array" ref="V9">SUMPRODUCT(
  (INDEX('6. TIẾN ĐỘ MUA HÀNG'!$A$5:$AT644, 0, XMATCH("NCC VTBB/NL trong nước", '6. TIẾN ĐỘ MUA HÀNG'!$A$4:$AT$4, 0)) = $B9) * (TRIM(INDEX('6. TIẾN ĐỘ MUA HÀNG'!$A$5:$AT644, 0, XMATCH("Tháng", '6. TIẾN ĐỘ MUA HÀNG'!$A$4:$AT$4, 0))) = TRIM(U$6)) * (INDEX('6. TIẾN ĐỘ MUA HÀNG'!$A$5:$AT644, 0, XMATCH("CL NGÀY NCC DỰ KIẾN - NGÀY NHẬN HÀNG", '6. TIẾN ĐỘ MUA HÀNG'!$A$4:$AT$4, 0)) &lt; 0)
)</f>
        <v>0</v>
      </c>
      <c r="W9" s="755">
        <f t="shared" si="20"/>
        <v>0</v>
      </c>
      <c r="X9" s="756">
        <f t="array" ref="X9">SUMPRODUCT((TRIM(INDEX('6. TIẾN ĐỘ MUA HÀNG'!$A$5:$AT644, 0, XMATCH("NCC VTBB/NL trong nước", '6. TIẾN ĐỘ MUA HÀNG'!$A$4:$AT$4, 0))) = TRIM($B9)) * (TRIM(INDEX('6. TIẾN ĐỘ MUA HÀNG'!$A$5:$AT644, 0, XMATCH("Tháng", '6. TIẾN ĐỘ MUA HÀNG'!$A$4:$AT$4, 0))) = TRIM(X$6)) * (INDEX('6. TIẾN ĐỘ MUA HÀNG'!$A$5:$AT644, 0, XMATCH("Mã đơn Misa", '6. TIẾN ĐỘ MUA HÀNG'!$A$4:$AT$4, 0)) &lt;&gt; ""))</f>
        <v>0</v>
      </c>
      <c r="Y9" s="756">
        <f t="array" ref="Y9">SUMPRODUCT(
  (INDEX('6. TIẾN ĐỘ MUA HÀNG'!$A$5:$AT644, 0, XMATCH("NCC VTBB/NL trong nước", '6. TIẾN ĐỘ MUA HÀNG'!$A$4:$AT$4, 0)) = $B9) * (TRIM(INDEX('6. TIẾN ĐỘ MUA HÀNG'!$A$5:$AT644, 0, XMATCH("Tháng", '6. TIẾN ĐỘ MUA HÀNG'!$A$4:$AT$4, 0))) = TRIM(X$6)) * (INDEX('6. TIẾN ĐỘ MUA HÀNG'!$A$5:$AT644, 0, XMATCH("CL NGÀY NCC DỰ KIẾN - NGÀY NHẬN HÀNG", '6. TIẾN ĐỘ MUA HÀNG'!$A$4:$AT$4, 0)) &lt; 0)
)</f>
        <v>0</v>
      </c>
      <c r="Z9" s="757">
        <f t="shared" si="21"/>
        <v>0</v>
      </c>
      <c r="AA9" s="754">
        <f t="array" ref="AA9">SUMPRODUCT((TRIM(INDEX('6. TIẾN ĐỘ MUA HÀNG'!$A$5:$AT644, 0, XMATCH("NCC VTBB/NL trong nước", '6. TIẾN ĐỘ MUA HÀNG'!$A$4:$AT$4, 0))) = TRIM($B9)) * (TRIM(INDEX('6. TIẾN ĐỘ MUA HÀNG'!$A$5:$AT644, 0, XMATCH("Tháng", '6. TIẾN ĐỘ MUA HÀNG'!$A$4:$AT$4, 0))) = TRIM(AA$6)) * (INDEX('6. TIẾN ĐỘ MUA HÀNG'!$A$5:$AT644, 0, XMATCH("Mã đơn Misa", '6. TIẾN ĐỘ MUA HÀNG'!$A$4:$AT$4, 0)) &lt;&gt; ""))</f>
        <v>0</v>
      </c>
      <c r="AB9" s="754">
        <f t="array" ref="AB9">SUMPRODUCT(
  (INDEX('6. TIẾN ĐỘ MUA HÀNG'!$A$5:$AT644, 0, XMATCH("NCC VTBB/NL trong nước", '6. TIẾN ĐỘ MUA HÀNG'!$A$4:$AT$4, 0)) = $B9) * (TRIM(INDEX('6. TIẾN ĐỘ MUA HÀNG'!$A$5:$AT644, 0, XMATCH("Tháng", '6. TIẾN ĐỘ MUA HÀNG'!$A$4:$AT$4, 0))) = TRIM(AA$6)) * (INDEX('6. TIẾN ĐỘ MUA HÀNG'!$A$5:$AT644, 0, XMATCH("CL NGÀY NCC DỰ KIẾN - NGÀY NHẬN HÀNG", '6. TIẾN ĐỘ MUA HÀNG'!$A$4:$AT$4, 0)) &lt; 0)
)</f>
        <v>0</v>
      </c>
      <c r="AC9" s="755">
        <f t="shared" si="22"/>
        <v>0</v>
      </c>
      <c r="AD9" s="756">
        <f t="array" ref="AD9">SUMPRODUCT((TRIM(INDEX('6. TIẾN ĐỘ MUA HÀNG'!$A$5:$AT644, 0, XMATCH("NCC VTBB/NL trong nước", '6. TIẾN ĐỘ MUA HÀNG'!$A$4:$AT$4, 0))) = TRIM($B9)) * (TRIM(INDEX('6. TIẾN ĐỘ MUA HÀNG'!$A$5:$AT644, 0, XMATCH("Tháng", '6. TIẾN ĐỘ MUA HÀNG'!$A$4:$AT$4, 0))) = TRIM(AD$6)) * (INDEX('6. TIẾN ĐỘ MUA HÀNG'!$A$5:$AT644, 0, XMATCH("Mã đơn Misa", '6. TIẾN ĐỘ MUA HÀNG'!$A$4:$AT$4, 0)) &lt;&gt; ""))</f>
        <v>0</v>
      </c>
      <c r="AE9" s="756">
        <f t="array" ref="AE9">SUMPRODUCT(
  (INDEX('6. TIẾN ĐỘ MUA HÀNG'!$A$5:$AT644, 0, XMATCH("NCC VTBB/NL trong nước", '6. TIẾN ĐỘ MUA HÀNG'!$A$4:$AT$4, 0)) = $B9) * (TRIM(INDEX('6. TIẾN ĐỘ MUA HÀNG'!$A$5:$AT644, 0, XMATCH("Tháng", '6. TIẾN ĐỘ MUA HÀNG'!$A$4:$AT$4, 0))) = TRIM(AD$6)) * (INDEX('6. TIẾN ĐỘ MUA HÀNG'!$A$5:$AT644, 0, XMATCH("CL NGÀY NCC DỰ KIẾN - NGÀY NHẬN HÀNG", '6. TIẾN ĐỘ MUA HÀNG'!$A$4:$AT$4, 0)) &lt; 0)
)</f>
        <v>0</v>
      </c>
      <c r="AF9" s="757">
        <f t="shared" si="23"/>
        <v>0</v>
      </c>
      <c r="AG9" s="754">
        <f t="array" ref="AG9">SUMPRODUCT((TRIM(INDEX('6. TIẾN ĐỘ MUA HÀNG'!$A$5:$AT644, 0, XMATCH("NCC VTBB/NL trong nước", '6. TIẾN ĐỘ MUA HÀNG'!$A$4:$AT$4, 0))) = TRIM($B9)) * (TRIM(INDEX('6. TIẾN ĐỘ MUA HÀNG'!$A$5:$AT644, 0, XMATCH("Tháng", '6. TIẾN ĐỘ MUA HÀNG'!$A$4:$AT$4, 0))) = TRIM(AG$6)) * (INDEX('6. TIẾN ĐỘ MUA HÀNG'!$A$5:$AT644, 0, XMATCH("Mã đơn Misa", '6. TIẾN ĐỘ MUA HÀNG'!$A$4:$AT$4, 0)) &lt;&gt; ""))</f>
        <v>0</v>
      </c>
      <c r="AH9" s="754">
        <f t="array" ref="AH9">SUMPRODUCT(
  (INDEX('6. TIẾN ĐỘ MUA HÀNG'!$A$5:$AT644, 0, XMATCH("NCC VTBB/NL trong nước", '6. TIẾN ĐỘ MUA HÀNG'!$A$4:$AT$4, 0)) = $B9) * (TRIM(INDEX('6. TIẾN ĐỘ MUA HÀNG'!$A$5:$AT644, 0, XMATCH("Tháng", '6. TIẾN ĐỘ MUA HÀNG'!$A$4:$AT$4, 0))) = TRIM(AG$6)) * (INDEX('6. TIẾN ĐỘ MUA HÀNG'!$A$5:$AT644, 0, XMATCH("CL NGÀY NCC DỰ KIẾN - NGÀY NHẬN HÀNG", '6. TIẾN ĐỘ MUA HÀNG'!$A$4:$AT$4, 0)) &lt; 0)
)</f>
        <v>0</v>
      </c>
      <c r="AI9" s="755">
        <f t="shared" si="24"/>
        <v>0</v>
      </c>
      <c r="AJ9" s="756">
        <f t="array" ref="AJ9">SUMPRODUCT((TRIM(INDEX('6. TIẾN ĐỘ MUA HÀNG'!$A$5:$AT644, 0, XMATCH("NCC VTBB/NL trong nước", '6. TIẾN ĐỘ MUA HÀNG'!$A$4:$AT$4, 0))) = TRIM($B9)) * (TRIM(INDEX('6. TIẾN ĐỘ MUA HÀNG'!$A$5:$AT644, 0, XMATCH("Tháng", '6. TIẾN ĐỘ MUA HÀNG'!$A$4:$AT$4, 0))) = TRIM(AJ$6)) * (INDEX('6. TIẾN ĐỘ MUA HÀNG'!$A$5:$AT644, 0, XMATCH("Mã đơn Misa", '6. TIẾN ĐỘ MUA HÀNG'!$A$4:$AT$4, 0)) &lt;&gt; ""))</f>
        <v>0</v>
      </c>
      <c r="AK9" s="756">
        <f t="array" ref="AK9">SUMPRODUCT(
  (INDEX('6. TIẾN ĐỘ MUA HÀNG'!$A$5:$AT644, 0, XMATCH("NCC VTBB/NL trong nước", '6. TIẾN ĐỘ MUA HÀNG'!$A$4:$AT$4, 0)) = $B9) * (TRIM(INDEX('6. TIẾN ĐỘ MUA HÀNG'!$A$5:$AT644, 0, XMATCH("Tháng", '6. TIẾN ĐỘ MUA HÀNG'!$A$4:$AT$4, 0))) = TRIM(AJ$6)) * (INDEX('6. TIẾN ĐỘ MUA HÀNG'!$A$5:$AT644, 0, XMATCH("CL NGÀY NCC DỰ KIẾN - NGÀY NHẬN HÀNG", '6. TIẾN ĐỘ MUA HÀNG'!$A$4:$AT$4, 0)) &lt; 0)
)</f>
        <v>0</v>
      </c>
      <c r="AL9" s="757">
        <f t="shared" si="25"/>
        <v>0</v>
      </c>
      <c r="AM9" s="726">
        <f t="shared" ref="AM9:AM143" si="27">SUMIFS(C9:AK9, $C$7:$AK$7, "Tổng số lần giao dịch")</f>
        <v>0</v>
      </c>
      <c r="AN9" s="726">
        <f t="shared" ref="AN9:AN143" si="28">SUMIFS(C9:AK9, $C$7:$AK$7, "Số lần trễ")</f>
        <v>0</v>
      </c>
      <c r="AO9" s="727">
        <f t="shared" si="26"/>
        <v>0</v>
      </c>
    </row>
    <row r="10">
      <c r="A10" s="612">
        <v>2.0</v>
      </c>
      <c r="B10" s="624" t="str">
        <f>IFERROR(__xludf.DUMMYFUNCTION("""COMPUTED_VALUE"""),"Đông Tây")</f>
        <v>Đông Tây</v>
      </c>
      <c r="C10" s="754">
        <f t="array" ref="C10">SUMPRODUCT((TRIM(INDEX('6. TIẾN ĐỘ MUA HÀNG'!$A$5:$AT644, 0, XMATCH("NCC VTBB/NL trong nước", '6. TIẾN ĐỘ MUA HÀNG'!$A$4:$AT$4, 0))) = TRIM($B10)) * (TRIM(INDEX('6. TIẾN ĐỘ MUA HÀNG'!$A$5:$AT644, 0, XMATCH("Tháng", '6. TIẾN ĐỘ MUA HÀNG'!$A$4:$AT$4, 0))) = TRIM(C$6)) * (INDEX('6. TIẾN ĐỘ MUA HÀNG'!$A$5:$AT644, 0, XMATCH("Mã đơn Misa", '6. TIẾN ĐỘ MUA HÀNG'!$A$4:$AT$4, 0)) &lt;&gt; ""))</f>
        <v>0</v>
      </c>
      <c r="D10" s="754">
        <f t="array" ref="D10">SUMPRODUCT(
  (INDEX('6. TIẾN ĐỘ MUA HÀNG'!$A$5:$AT644, 0, XMATCH("NCC VTBB/NL trong nước", '6. TIẾN ĐỘ MUA HÀNG'!$A$4:$AT$4, 0)) = $B10) * (TRIM(INDEX('6. TIẾN ĐỘ MUA HÀNG'!$A$5:$AT644, 0, XMATCH("Tháng", '6. TIẾN ĐỘ MUA HÀNG'!$A$4:$AT$4, 0))) = TRIM(C$6)) * (INDEX('6. TIẾN ĐỘ MUA HÀNG'!$A$5:$AT644, 0, XMATCH("CL NGÀY NCC DỰ KIẾN - NGÀY NHẬN HÀNG", '6. TIẾN ĐỘ MUA HÀNG'!$A$4:$AT$4, 0)) &lt; 0)
)</f>
        <v>0</v>
      </c>
      <c r="E10" s="755">
        <f t="shared" si="14"/>
        <v>0</v>
      </c>
      <c r="F10" s="756">
        <f t="array" ref="F10">SUMPRODUCT((TRIM(INDEX('6. TIẾN ĐỘ MUA HÀNG'!$A$5:$AT644, 0, XMATCH("NCC VTBB/NL trong nước", '6. TIẾN ĐỘ MUA HÀNG'!$A$4:$AT$4, 0))) = TRIM($B10)) * (TRIM(INDEX('6. TIẾN ĐỘ MUA HÀNG'!$A$5:$AT644, 0, XMATCH("Tháng", '6. TIẾN ĐỘ MUA HÀNG'!$A$4:$AT$4, 0))) = TRIM(F$6)) * (INDEX('6. TIẾN ĐỘ MUA HÀNG'!$A$5:$AT644, 0, XMATCH("Mã đơn Misa", '6. TIẾN ĐỘ MUA HÀNG'!$A$4:$AT$4, 0)) &lt;&gt; ""))</f>
        <v>0</v>
      </c>
      <c r="G10" s="756">
        <f t="array" ref="G10">SUMPRODUCT(
  (INDEX('6. TIẾN ĐỘ MUA HÀNG'!$A$5:$AT644, 0, XMATCH("NCC VTBB/NL trong nước", '6. TIẾN ĐỘ MUA HÀNG'!$A$4:$AT$4, 0)) = $B10) * (TRIM(INDEX('6. TIẾN ĐỘ MUA HÀNG'!$A$5:$AT644, 0, XMATCH("Tháng", '6. TIẾN ĐỘ MUA HÀNG'!$A$4:$AT$4, 0))) = TRIM(F$6)) * (INDEX('6. TIẾN ĐỘ MUA HÀNG'!$A$5:$AT644, 0, XMATCH("CL NGÀY NCC DỰ KIẾN - NGÀY NHẬN HÀNG", '6. TIẾN ĐỘ MUA HÀNG'!$A$4:$AT$4, 0)) &lt; 0)
)</f>
        <v>0</v>
      </c>
      <c r="H10" s="757">
        <f t="shared" si="15"/>
        <v>0</v>
      </c>
      <c r="I10" s="754">
        <f t="array" ref="I10">SUMPRODUCT((TRIM(INDEX('6. TIẾN ĐỘ MUA HÀNG'!$A$5:$AT644, 0, XMATCH("NCC VTBB/NL trong nước", '6. TIẾN ĐỘ MUA HÀNG'!$A$4:$AT$4, 0))) = TRIM($B10)) * (TRIM(INDEX('6. TIẾN ĐỘ MUA HÀNG'!$A$5:$AT644, 0, XMATCH("Tháng", '6. TIẾN ĐỘ MUA HÀNG'!$A$4:$AT$4, 0))) = TRIM(I$6)) * (INDEX('6. TIẾN ĐỘ MUA HÀNG'!$A$5:$AT644, 0, XMATCH("Mã đơn Misa", '6. TIẾN ĐỘ MUA HÀNG'!$A$4:$AT$4, 0)) &lt;&gt; ""))</f>
        <v>19</v>
      </c>
      <c r="J10" s="754">
        <f t="array" ref="J10">SUMPRODUCT(
  (INDEX('6. TIẾN ĐỘ MUA HÀNG'!$A$5:$AT644, 0, XMATCH("NCC VTBB/NL trong nước", '6. TIẾN ĐỘ MUA HÀNG'!$A$4:$AT$4, 0)) = $B10) * (TRIM(INDEX('6. TIẾN ĐỘ MUA HÀNG'!$A$5:$AT644, 0, XMATCH("Tháng", '6. TIẾN ĐỘ MUA HÀNG'!$A$4:$AT$4, 0))) = TRIM(I$6)) * (INDEX('6. TIẾN ĐỘ MUA HÀNG'!$A$5:$AT644, 0, XMATCH("CL NGÀY NCC DỰ KIẾN - NGÀY NHẬN HÀNG", '6. TIẾN ĐỘ MUA HÀNG'!$A$4:$AT$4, 0)) &lt; 0)
)</f>
        <v>8</v>
      </c>
      <c r="K10" s="755">
        <f t="shared" si="16"/>
        <v>0.4210526316</v>
      </c>
      <c r="L10" s="756">
        <f t="array" ref="L10">SUMPRODUCT((TRIM(INDEX('6. TIẾN ĐỘ MUA HÀNG'!$A$5:$AT644, 0, XMATCH("NCC VTBB/NL trong nước", '6. TIẾN ĐỘ MUA HÀNG'!$A$4:$AT$4, 0))) = TRIM($B10)) * (TRIM(INDEX('6. TIẾN ĐỘ MUA HÀNG'!$A$5:$AT644, 0, XMATCH("Tháng", '6. TIẾN ĐỘ MUA HÀNG'!$A$4:$AT$4, 0))) = TRIM(L$6)) * (INDEX('6. TIẾN ĐỘ MUA HÀNG'!$A$5:$AT644, 0, XMATCH("Mã đơn Misa", '6. TIẾN ĐỘ MUA HÀNG'!$A$4:$AT$4, 0)) &lt;&gt; ""))</f>
        <v>25</v>
      </c>
      <c r="M10" s="756">
        <f t="array" ref="M10">SUMPRODUCT(
  (INDEX('6. TIẾN ĐỘ MUA HÀNG'!$A$5:$AT644, 0, XMATCH("NCC VTBB/NL trong nước", '6. TIẾN ĐỘ MUA HÀNG'!$A$4:$AT$4, 0)) = $B10) * (TRIM(INDEX('6. TIẾN ĐỘ MUA HÀNG'!$A$5:$AT644, 0, XMATCH("Tháng", '6. TIẾN ĐỘ MUA HÀNG'!$A$4:$AT$4, 0))) = TRIM(L$6)) * (INDEX('6. TIẾN ĐỘ MUA HÀNG'!$A$5:$AT644, 0, XMATCH("CL NGÀY NCC DỰ KIẾN - NGÀY NHẬN HÀNG", '6. TIẾN ĐỘ MUA HÀNG'!$A$4:$AT$4, 0)) &lt; 0)
)</f>
        <v>0</v>
      </c>
      <c r="N10" s="757">
        <f t="shared" si="17"/>
        <v>0</v>
      </c>
      <c r="O10" s="754">
        <f t="array" ref="O10">SUMPRODUCT((TRIM(INDEX('6. TIẾN ĐỘ MUA HÀNG'!$A$5:$AT644, 0, XMATCH("NCC VTBB/NL trong nước", '6. TIẾN ĐỘ MUA HÀNG'!$A$4:$AT$4, 0))) = TRIM($B10)) * (TRIM(INDEX('6. TIẾN ĐỘ MUA HÀNG'!$A$5:$AT644, 0, XMATCH("Tháng", '6. TIẾN ĐỘ MUA HÀNG'!$A$4:$AT$4, 0))) = TRIM(O$6)) * (INDEX('6. TIẾN ĐỘ MUA HÀNG'!$A$5:$AT644, 0, XMATCH("Mã đơn Misa", '6. TIẾN ĐỘ MUA HÀNG'!$A$4:$AT$4, 0)) &lt;&gt; ""))</f>
        <v>12</v>
      </c>
      <c r="P10" s="754">
        <f t="array" ref="P10">SUMPRODUCT(
  (INDEX('6. TIẾN ĐỘ MUA HÀNG'!$A$5:$AT644, 0, XMATCH("NCC VTBB/NL trong nước", '6. TIẾN ĐỘ MUA HÀNG'!$A$4:$AT$4, 0)) = $B10) * (TRIM(INDEX('6. TIẾN ĐỘ MUA HÀNG'!$A$5:$AT644, 0, XMATCH("Tháng", '6. TIẾN ĐỘ MUA HÀNG'!$A$4:$AT$4, 0))) = TRIM(O$6)) * (INDEX('6. TIẾN ĐỘ MUA HÀNG'!$A$5:$AT644, 0, XMATCH("CL NGÀY NCC DỰ KIẾN - NGÀY NHẬN HÀNG", '6. TIẾN ĐỘ MUA HÀNG'!$A$4:$AT$4, 0)) &lt; 0)
)</f>
        <v>0</v>
      </c>
      <c r="Q10" s="755">
        <f t="shared" si="18"/>
        <v>0</v>
      </c>
      <c r="R10" s="756">
        <f t="array" ref="R10">SUMPRODUCT((TRIM(INDEX('6. TIẾN ĐỘ MUA HÀNG'!$A$5:$AT644, 0, XMATCH("NCC VTBB/NL trong nước", '6. TIẾN ĐỘ MUA HÀNG'!$A$4:$AT$4, 0))) = TRIM($B10)) * (TRIM(INDEX('6. TIẾN ĐỘ MUA HÀNG'!$A$5:$AT644, 0, XMATCH("Tháng", '6. TIẾN ĐỘ MUA HÀNG'!$A$4:$AT$4, 0))) = TRIM(R$6)) * (INDEX('6. TIẾN ĐỘ MUA HÀNG'!$A$5:$AT644, 0, XMATCH("Mã đơn Misa", '6. TIẾN ĐỘ MUA HÀNG'!$A$4:$AT$4, 0)) &lt;&gt; ""))</f>
        <v>9</v>
      </c>
      <c r="S10" s="756">
        <f t="array" ref="S10">SUMPRODUCT(
  (INDEX('6. TIẾN ĐỘ MUA HÀNG'!$A$5:$AT644, 0, XMATCH("NCC VTBB/NL trong nước", '6. TIẾN ĐỘ MUA HÀNG'!$A$4:$AT$4, 0)) = $B10) * (TRIM(INDEX('6. TIẾN ĐỘ MUA HÀNG'!$A$5:$AT644, 0, XMATCH("Tháng", '6. TIẾN ĐỘ MUA HÀNG'!$A$4:$AT$4, 0))) = TRIM(R$6)) * (INDEX('6. TIẾN ĐỘ MUA HÀNG'!$A$5:$AT644, 0, XMATCH("CL NGÀY NCC DỰ KIẾN - NGÀY NHẬN HÀNG", '6. TIẾN ĐỘ MUA HÀNG'!$A$4:$AT$4, 0)) &lt; 0)
)</f>
        <v>0</v>
      </c>
      <c r="T10" s="757">
        <f t="shared" si="19"/>
        <v>0</v>
      </c>
      <c r="U10" s="754">
        <f t="array" ref="U10">SUMPRODUCT((TRIM(INDEX('6. TIẾN ĐỘ MUA HÀNG'!$A$5:$AT644, 0, XMATCH("NCC VTBB/NL trong nước", '6. TIẾN ĐỘ MUA HÀNG'!$A$4:$AT$4, 0))) = TRIM($B10)) * (TRIM(INDEX('6. TIẾN ĐỘ MUA HÀNG'!$A$5:$AT644, 0, XMATCH("Tháng", '6. TIẾN ĐỘ MUA HÀNG'!$A$4:$AT$4, 0))) = TRIM(U$6)) * (INDEX('6. TIẾN ĐỘ MUA HÀNG'!$A$5:$AT644, 0, XMATCH("Mã đơn Misa", '6. TIẾN ĐỘ MUA HÀNG'!$A$4:$AT$4, 0)) &lt;&gt; ""))</f>
        <v>0</v>
      </c>
      <c r="V10" s="754">
        <f t="array" ref="V10">SUMPRODUCT(
  (INDEX('6. TIẾN ĐỘ MUA HÀNG'!$A$5:$AT644, 0, XMATCH("NCC VTBB/NL trong nước", '6. TIẾN ĐỘ MUA HÀNG'!$A$4:$AT$4, 0)) = $B10) * (TRIM(INDEX('6. TIẾN ĐỘ MUA HÀNG'!$A$5:$AT644, 0, XMATCH("Tháng", '6. TIẾN ĐỘ MUA HÀNG'!$A$4:$AT$4, 0))) = TRIM(U$6)) * (INDEX('6. TIẾN ĐỘ MUA HÀNG'!$A$5:$AT644, 0, XMATCH("CL NGÀY NCC DỰ KIẾN - NGÀY NHẬN HÀNG", '6. TIẾN ĐỘ MUA HÀNG'!$A$4:$AT$4, 0)) &lt; 0)
)</f>
        <v>0</v>
      </c>
      <c r="W10" s="755">
        <f t="shared" si="20"/>
        <v>0</v>
      </c>
      <c r="X10" s="756">
        <f t="array" ref="X10">SUMPRODUCT((TRIM(INDEX('6. TIẾN ĐỘ MUA HÀNG'!$A$5:$AT644, 0, XMATCH("NCC VTBB/NL trong nước", '6. TIẾN ĐỘ MUA HÀNG'!$A$4:$AT$4, 0))) = TRIM($B10)) * (TRIM(INDEX('6. TIẾN ĐỘ MUA HÀNG'!$A$5:$AT644, 0, XMATCH("Tháng", '6. TIẾN ĐỘ MUA HÀNG'!$A$4:$AT$4, 0))) = TRIM(X$6)) * (INDEX('6. TIẾN ĐỘ MUA HÀNG'!$A$5:$AT644, 0, XMATCH("Mã đơn Misa", '6. TIẾN ĐỘ MUA HÀNG'!$A$4:$AT$4, 0)) &lt;&gt; ""))</f>
        <v>0</v>
      </c>
      <c r="Y10" s="756">
        <f t="array" ref="Y10">SUMPRODUCT(
  (INDEX('6. TIẾN ĐỘ MUA HÀNG'!$A$5:$AT644, 0, XMATCH("NCC VTBB/NL trong nước", '6. TIẾN ĐỘ MUA HÀNG'!$A$4:$AT$4, 0)) = $B10) * (TRIM(INDEX('6. TIẾN ĐỘ MUA HÀNG'!$A$5:$AT644, 0, XMATCH("Tháng", '6. TIẾN ĐỘ MUA HÀNG'!$A$4:$AT$4, 0))) = TRIM(X$6)) * (INDEX('6. TIẾN ĐỘ MUA HÀNG'!$A$5:$AT644, 0, XMATCH("CL NGÀY NCC DỰ KIẾN - NGÀY NHẬN HÀNG", '6. TIẾN ĐỘ MUA HÀNG'!$A$4:$AT$4, 0)) &lt; 0)
)</f>
        <v>0</v>
      </c>
      <c r="Z10" s="757">
        <f t="shared" si="21"/>
        <v>0</v>
      </c>
      <c r="AA10" s="754">
        <f t="array" ref="AA10">SUMPRODUCT((TRIM(INDEX('6. TIẾN ĐỘ MUA HÀNG'!$A$5:$AT644, 0, XMATCH("NCC VTBB/NL trong nước", '6. TIẾN ĐỘ MUA HÀNG'!$A$4:$AT$4, 0))) = TRIM($B10)) * (TRIM(INDEX('6. TIẾN ĐỘ MUA HÀNG'!$A$5:$AT644, 0, XMATCH("Tháng", '6. TIẾN ĐỘ MUA HÀNG'!$A$4:$AT$4, 0))) = TRIM(AA$6)) * (INDEX('6. TIẾN ĐỘ MUA HÀNG'!$A$5:$AT644, 0, XMATCH("Mã đơn Misa", '6. TIẾN ĐỘ MUA HÀNG'!$A$4:$AT$4, 0)) &lt;&gt; ""))</f>
        <v>0</v>
      </c>
      <c r="AB10" s="754">
        <f t="array" ref="AB10">SUMPRODUCT(
  (INDEX('6. TIẾN ĐỘ MUA HÀNG'!$A$5:$AT644, 0, XMATCH("NCC VTBB/NL trong nước", '6. TIẾN ĐỘ MUA HÀNG'!$A$4:$AT$4, 0)) = $B10) * (TRIM(INDEX('6. TIẾN ĐỘ MUA HÀNG'!$A$5:$AT644, 0, XMATCH("Tháng", '6. TIẾN ĐỘ MUA HÀNG'!$A$4:$AT$4, 0))) = TRIM(AA$6)) * (INDEX('6. TIẾN ĐỘ MUA HÀNG'!$A$5:$AT644, 0, XMATCH("CL NGÀY NCC DỰ KIẾN - NGÀY NHẬN HÀNG", '6. TIẾN ĐỘ MUA HÀNG'!$A$4:$AT$4, 0)) &lt; 0)
)</f>
        <v>0</v>
      </c>
      <c r="AC10" s="755">
        <f t="shared" si="22"/>
        <v>0</v>
      </c>
      <c r="AD10" s="756">
        <f t="array" ref="AD10">SUMPRODUCT((TRIM(INDEX('6. TIẾN ĐỘ MUA HÀNG'!$A$5:$AT644, 0, XMATCH("NCC VTBB/NL trong nước", '6. TIẾN ĐỘ MUA HÀNG'!$A$4:$AT$4, 0))) = TRIM($B10)) * (TRIM(INDEX('6. TIẾN ĐỘ MUA HÀNG'!$A$5:$AT644, 0, XMATCH("Tháng", '6. TIẾN ĐỘ MUA HÀNG'!$A$4:$AT$4, 0))) = TRIM(AD$6)) * (INDEX('6. TIẾN ĐỘ MUA HÀNG'!$A$5:$AT644, 0, XMATCH("Mã đơn Misa", '6. TIẾN ĐỘ MUA HÀNG'!$A$4:$AT$4, 0)) &lt;&gt; ""))</f>
        <v>0</v>
      </c>
      <c r="AE10" s="756">
        <f t="array" ref="AE10">SUMPRODUCT(
  (INDEX('6. TIẾN ĐỘ MUA HÀNG'!$A$5:$AT644, 0, XMATCH("NCC VTBB/NL trong nước", '6. TIẾN ĐỘ MUA HÀNG'!$A$4:$AT$4, 0)) = $B10) * (TRIM(INDEX('6. TIẾN ĐỘ MUA HÀNG'!$A$5:$AT644, 0, XMATCH("Tháng", '6. TIẾN ĐỘ MUA HÀNG'!$A$4:$AT$4, 0))) = TRIM(AD$6)) * (INDEX('6. TIẾN ĐỘ MUA HÀNG'!$A$5:$AT644, 0, XMATCH("CL NGÀY NCC DỰ KIẾN - NGÀY NHẬN HÀNG", '6. TIẾN ĐỘ MUA HÀNG'!$A$4:$AT$4, 0)) &lt; 0)
)</f>
        <v>0</v>
      </c>
      <c r="AF10" s="757">
        <f t="shared" si="23"/>
        <v>0</v>
      </c>
      <c r="AG10" s="754">
        <f t="array" ref="AG10">SUMPRODUCT((TRIM(INDEX('6. TIẾN ĐỘ MUA HÀNG'!$A$5:$AT644, 0, XMATCH("NCC VTBB/NL trong nước", '6. TIẾN ĐỘ MUA HÀNG'!$A$4:$AT$4, 0))) = TRIM($B10)) * (TRIM(INDEX('6. TIẾN ĐỘ MUA HÀNG'!$A$5:$AT644, 0, XMATCH("Tháng", '6. TIẾN ĐỘ MUA HÀNG'!$A$4:$AT$4, 0))) = TRIM(AG$6)) * (INDEX('6. TIẾN ĐỘ MUA HÀNG'!$A$5:$AT644, 0, XMATCH("Mã đơn Misa", '6. TIẾN ĐỘ MUA HÀNG'!$A$4:$AT$4, 0)) &lt;&gt; ""))</f>
        <v>0</v>
      </c>
      <c r="AH10" s="754">
        <f t="array" ref="AH10">SUMPRODUCT(
  (INDEX('6. TIẾN ĐỘ MUA HÀNG'!$A$5:$AT644, 0, XMATCH("NCC VTBB/NL trong nước", '6. TIẾN ĐỘ MUA HÀNG'!$A$4:$AT$4, 0)) = $B10) * (TRIM(INDEX('6. TIẾN ĐỘ MUA HÀNG'!$A$5:$AT644, 0, XMATCH("Tháng", '6. TIẾN ĐỘ MUA HÀNG'!$A$4:$AT$4, 0))) = TRIM(AG$6)) * (INDEX('6. TIẾN ĐỘ MUA HÀNG'!$A$5:$AT644, 0, XMATCH("CL NGÀY NCC DỰ KIẾN - NGÀY NHẬN HÀNG", '6. TIẾN ĐỘ MUA HÀNG'!$A$4:$AT$4, 0)) &lt; 0)
)</f>
        <v>0</v>
      </c>
      <c r="AI10" s="755">
        <f t="shared" si="24"/>
        <v>0</v>
      </c>
      <c r="AJ10" s="756">
        <f t="array" ref="AJ10">SUMPRODUCT((TRIM(INDEX('6. TIẾN ĐỘ MUA HÀNG'!$A$5:$AT644, 0, XMATCH("NCC VTBB/NL trong nước", '6. TIẾN ĐỘ MUA HÀNG'!$A$4:$AT$4, 0))) = TRIM($B10)) * (TRIM(INDEX('6. TIẾN ĐỘ MUA HÀNG'!$A$5:$AT644, 0, XMATCH("Tháng", '6. TIẾN ĐỘ MUA HÀNG'!$A$4:$AT$4, 0))) = TRIM(AJ$6)) * (INDEX('6. TIẾN ĐỘ MUA HÀNG'!$A$5:$AT644, 0, XMATCH("Mã đơn Misa", '6. TIẾN ĐỘ MUA HÀNG'!$A$4:$AT$4, 0)) &lt;&gt; ""))</f>
        <v>0</v>
      </c>
      <c r="AK10" s="756">
        <f t="array" ref="AK10">SUMPRODUCT(
  (INDEX('6. TIẾN ĐỘ MUA HÀNG'!$A$5:$AT644, 0, XMATCH("NCC VTBB/NL trong nước", '6. TIẾN ĐỘ MUA HÀNG'!$A$4:$AT$4, 0)) = $B10) * (TRIM(INDEX('6. TIẾN ĐỘ MUA HÀNG'!$A$5:$AT644, 0, XMATCH("Tháng", '6. TIẾN ĐỘ MUA HÀNG'!$A$4:$AT$4, 0))) = TRIM(AJ$6)) * (INDEX('6. TIẾN ĐỘ MUA HÀNG'!$A$5:$AT644, 0, XMATCH("CL NGÀY NCC DỰ KIẾN - NGÀY NHẬN HÀNG", '6. TIẾN ĐỘ MUA HÀNG'!$A$4:$AT$4, 0)) &lt; 0)
)</f>
        <v>0</v>
      </c>
      <c r="AL10" s="757">
        <f t="shared" si="25"/>
        <v>0</v>
      </c>
      <c r="AM10" s="726">
        <f t="shared" si="27"/>
        <v>65</v>
      </c>
      <c r="AN10" s="726">
        <f t="shared" si="28"/>
        <v>8</v>
      </c>
      <c r="AO10" s="727">
        <f t="shared" si="26"/>
        <v>0.1230769231</v>
      </c>
    </row>
    <row r="11">
      <c r="A11" s="612">
        <v>3.0</v>
      </c>
      <c r="B11" s="624" t="str">
        <f>IFERROR(__xludf.DUMMYFUNCTION("""COMPUTED_VALUE"""),"Mộc Ấn")</f>
        <v>Mộc Ấn</v>
      </c>
      <c r="C11" s="754">
        <f t="array" ref="C11">SUMPRODUCT((TRIM(INDEX('6. TIẾN ĐỘ MUA HÀNG'!$A$5:$AT644, 0, XMATCH("NCC VTBB/NL trong nước", '6. TIẾN ĐỘ MUA HÀNG'!$A$4:$AT$4, 0))) = TRIM($B11)) * (TRIM(INDEX('6. TIẾN ĐỘ MUA HÀNG'!$A$5:$AT644, 0, XMATCH("Tháng", '6. TIẾN ĐỘ MUA HÀNG'!$A$4:$AT$4, 0))) = TRIM(C$6)) * (INDEX('6. TIẾN ĐỘ MUA HÀNG'!$A$5:$AT644, 0, XMATCH("Mã đơn Misa", '6. TIẾN ĐỘ MUA HÀNG'!$A$4:$AT$4, 0)) &lt;&gt; ""))</f>
        <v>0</v>
      </c>
      <c r="D11" s="754">
        <f t="array" ref="D11">SUMPRODUCT(
  (INDEX('6. TIẾN ĐỘ MUA HÀNG'!$A$5:$AT644, 0, XMATCH("NCC VTBB/NL trong nước", '6. TIẾN ĐỘ MUA HÀNG'!$A$4:$AT$4, 0)) = $B11) * (TRIM(INDEX('6. TIẾN ĐỘ MUA HÀNG'!$A$5:$AT644, 0, XMATCH("Tháng", '6. TIẾN ĐỘ MUA HÀNG'!$A$4:$AT$4, 0))) = TRIM(C$6)) * (INDEX('6. TIẾN ĐỘ MUA HÀNG'!$A$5:$AT644, 0, XMATCH("CL NGÀY NCC DỰ KIẾN - NGÀY NHẬN HÀNG", '6. TIẾN ĐỘ MUA HÀNG'!$A$4:$AT$4, 0)) &lt; 0)
)</f>
        <v>0</v>
      </c>
      <c r="E11" s="755">
        <f t="shared" si="14"/>
        <v>0</v>
      </c>
      <c r="F11" s="756">
        <f t="array" ref="F11">SUMPRODUCT((TRIM(INDEX('6. TIẾN ĐỘ MUA HÀNG'!$A$5:$AT644, 0, XMATCH("NCC VTBB/NL trong nước", '6. TIẾN ĐỘ MUA HÀNG'!$A$4:$AT$4, 0))) = TRIM($B11)) * (TRIM(INDEX('6. TIẾN ĐỘ MUA HÀNG'!$A$5:$AT644, 0, XMATCH("Tháng", '6. TIẾN ĐỘ MUA HÀNG'!$A$4:$AT$4, 0))) = TRIM(F$6)) * (INDEX('6. TIẾN ĐỘ MUA HÀNG'!$A$5:$AT644, 0, XMATCH("Mã đơn Misa", '6. TIẾN ĐỘ MUA HÀNG'!$A$4:$AT$4, 0)) &lt;&gt; ""))</f>
        <v>0</v>
      </c>
      <c r="G11" s="756">
        <f t="array" ref="G11">SUMPRODUCT(
  (INDEX('6. TIẾN ĐỘ MUA HÀNG'!$A$5:$AT644, 0, XMATCH("NCC VTBB/NL trong nước", '6. TIẾN ĐỘ MUA HÀNG'!$A$4:$AT$4, 0)) = $B11) * (TRIM(INDEX('6. TIẾN ĐỘ MUA HÀNG'!$A$5:$AT644, 0, XMATCH("Tháng", '6. TIẾN ĐỘ MUA HÀNG'!$A$4:$AT$4, 0))) = TRIM(F$6)) * (INDEX('6. TIẾN ĐỘ MUA HÀNG'!$A$5:$AT644, 0, XMATCH("CL NGÀY NCC DỰ KIẾN - NGÀY NHẬN HÀNG", '6. TIẾN ĐỘ MUA HÀNG'!$A$4:$AT$4, 0)) &lt; 0)
)</f>
        <v>0</v>
      </c>
      <c r="H11" s="757">
        <f t="shared" si="15"/>
        <v>0</v>
      </c>
      <c r="I11" s="754">
        <f t="array" ref="I11">SUMPRODUCT((TRIM(INDEX('6. TIẾN ĐỘ MUA HÀNG'!$A$5:$AT644, 0, XMATCH("NCC VTBB/NL trong nước", '6. TIẾN ĐỘ MUA HÀNG'!$A$4:$AT$4, 0))) = TRIM($B11)) * (TRIM(INDEX('6. TIẾN ĐỘ MUA HÀNG'!$A$5:$AT644, 0, XMATCH("Tháng", '6. TIẾN ĐỘ MUA HÀNG'!$A$4:$AT$4, 0))) = TRIM(I$6)) * (INDEX('6. TIẾN ĐỘ MUA HÀNG'!$A$5:$AT644, 0, XMATCH("Mã đơn Misa", '6. TIẾN ĐỘ MUA HÀNG'!$A$4:$AT$4, 0)) &lt;&gt; ""))</f>
        <v>0</v>
      </c>
      <c r="J11" s="754">
        <f t="array" ref="J11">SUMPRODUCT(
  (INDEX('6. TIẾN ĐỘ MUA HÀNG'!$A$5:$AT644, 0, XMATCH("NCC VTBB/NL trong nước", '6. TIẾN ĐỘ MUA HÀNG'!$A$4:$AT$4, 0)) = $B11) * (TRIM(INDEX('6. TIẾN ĐỘ MUA HÀNG'!$A$5:$AT644, 0, XMATCH("Tháng", '6. TIẾN ĐỘ MUA HÀNG'!$A$4:$AT$4, 0))) = TRIM(I$6)) * (INDEX('6. TIẾN ĐỘ MUA HÀNG'!$A$5:$AT644, 0, XMATCH("CL NGÀY NCC DỰ KIẾN - NGÀY NHẬN HÀNG", '6. TIẾN ĐỘ MUA HÀNG'!$A$4:$AT$4, 0)) &lt; 0)
)</f>
        <v>0</v>
      </c>
      <c r="K11" s="755">
        <f t="shared" si="16"/>
        <v>0</v>
      </c>
      <c r="L11" s="756">
        <f t="array" ref="L11">SUMPRODUCT((TRIM(INDEX('6. TIẾN ĐỘ MUA HÀNG'!$A$5:$AT644, 0, XMATCH("NCC VTBB/NL trong nước", '6. TIẾN ĐỘ MUA HÀNG'!$A$4:$AT$4, 0))) = TRIM($B11)) * (TRIM(INDEX('6. TIẾN ĐỘ MUA HÀNG'!$A$5:$AT644, 0, XMATCH("Tháng", '6. TIẾN ĐỘ MUA HÀNG'!$A$4:$AT$4, 0))) = TRIM(L$6)) * (INDEX('6. TIẾN ĐỘ MUA HÀNG'!$A$5:$AT644, 0, XMATCH("Mã đơn Misa", '6. TIẾN ĐỘ MUA HÀNG'!$A$4:$AT$4, 0)) &lt;&gt; ""))</f>
        <v>0</v>
      </c>
      <c r="M11" s="756">
        <f t="array" ref="M11">SUMPRODUCT(
  (INDEX('6. TIẾN ĐỘ MUA HÀNG'!$A$5:$AT644, 0, XMATCH("NCC VTBB/NL trong nước", '6. TIẾN ĐỘ MUA HÀNG'!$A$4:$AT$4, 0)) = $B11) * (TRIM(INDEX('6. TIẾN ĐỘ MUA HÀNG'!$A$5:$AT644, 0, XMATCH("Tháng", '6. TIẾN ĐỘ MUA HÀNG'!$A$4:$AT$4, 0))) = TRIM(L$6)) * (INDEX('6. TIẾN ĐỘ MUA HÀNG'!$A$5:$AT644, 0, XMATCH("CL NGÀY NCC DỰ KIẾN - NGÀY NHẬN HÀNG", '6. TIẾN ĐỘ MUA HÀNG'!$A$4:$AT$4, 0)) &lt; 0)
)</f>
        <v>0</v>
      </c>
      <c r="N11" s="757">
        <f t="shared" si="17"/>
        <v>0</v>
      </c>
      <c r="O11" s="754">
        <f t="array" ref="O11">SUMPRODUCT((TRIM(INDEX('6. TIẾN ĐỘ MUA HÀNG'!$A$5:$AT644, 0, XMATCH("NCC VTBB/NL trong nước", '6. TIẾN ĐỘ MUA HÀNG'!$A$4:$AT$4, 0))) = TRIM($B11)) * (TRIM(INDEX('6. TIẾN ĐỘ MUA HÀNG'!$A$5:$AT644, 0, XMATCH("Tháng", '6. TIẾN ĐỘ MUA HÀNG'!$A$4:$AT$4, 0))) = TRIM(O$6)) * (INDEX('6. TIẾN ĐỘ MUA HÀNG'!$A$5:$AT644, 0, XMATCH("Mã đơn Misa", '6. TIẾN ĐỘ MUA HÀNG'!$A$4:$AT$4, 0)) &lt;&gt; ""))</f>
        <v>0</v>
      </c>
      <c r="P11" s="754">
        <f t="array" ref="P11">SUMPRODUCT(
  (INDEX('6. TIẾN ĐỘ MUA HÀNG'!$A$5:$AT644, 0, XMATCH("NCC VTBB/NL trong nước", '6. TIẾN ĐỘ MUA HÀNG'!$A$4:$AT$4, 0)) = $B11) * (TRIM(INDEX('6. TIẾN ĐỘ MUA HÀNG'!$A$5:$AT644, 0, XMATCH("Tháng", '6. TIẾN ĐỘ MUA HÀNG'!$A$4:$AT$4, 0))) = TRIM(O$6)) * (INDEX('6. TIẾN ĐỘ MUA HÀNG'!$A$5:$AT644, 0, XMATCH("CL NGÀY NCC DỰ KIẾN - NGÀY NHẬN HÀNG", '6. TIẾN ĐỘ MUA HÀNG'!$A$4:$AT$4, 0)) &lt; 0)
)</f>
        <v>0</v>
      </c>
      <c r="Q11" s="755">
        <f t="shared" si="18"/>
        <v>0</v>
      </c>
      <c r="R11" s="756">
        <f t="array" ref="R11">SUMPRODUCT((TRIM(INDEX('6. TIẾN ĐỘ MUA HÀNG'!$A$5:$AT644, 0, XMATCH("NCC VTBB/NL trong nước", '6. TIẾN ĐỘ MUA HÀNG'!$A$4:$AT$4, 0))) = TRIM($B11)) * (TRIM(INDEX('6. TIẾN ĐỘ MUA HÀNG'!$A$5:$AT644, 0, XMATCH("Tháng", '6. TIẾN ĐỘ MUA HÀNG'!$A$4:$AT$4, 0))) = TRIM(R$6)) * (INDEX('6. TIẾN ĐỘ MUA HÀNG'!$A$5:$AT644, 0, XMATCH("Mã đơn Misa", '6. TIẾN ĐỘ MUA HÀNG'!$A$4:$AT$4, 0)) &lt;&gt; ""))</f>
        <v>0</v>
      </c>
      <c r="S11" s="756">
        <f t="array" ref="S11">SUMPRODUCT(
  (INDEX('6. TIẾN ĐỘ MUA HÀNG'!$A$5:$AT644, 0, XMATCH("NCC VTBB/NL trong nước", '6. TIẾN ĐỘ MUA HÀNG'!$A$4:$AT$4, 0)) = $B11) * (TRIM(INDEX('6. TIẾN ĐỘ MUA HÀNG'!$A$5:$AT644, 0, XMATCH("Tháng", '6. TIẾN ĐỘ MUA HÀNG'!$A$4:$AT$4, 0))) = TRIM(R$6)) * (INDEX('6. TIẾN ĐỘ MUA HÀNG'!$A$5:$AT644, 0, XMATCH("CL NGÀY NCC DỰ KIẾN - NGÀY NHẬN HÀNG", '6. TIẾN ĐỘ MUA HÀNG'!$A$4:$AT$4, 0)) &lt; 0)
)</f>
        <v>0</v>
      </c>
      <c r="T11" s="757">
        <f t="shared" si="19"/>
        <v>0</v>
      </c>
      <c r="U11" s="754">
        <f t="array" ref="U11">SUMPRODUCT((TRIM(INDEX('6. TIẾN ĐỘ MUA HÀNG'!$A$5:$AT644, 0, XMATCH("NCC VTBB/NL trong nước", '6. TIẾN ĐỘ MUA HÀNG'!$A$4:$AT$4, 0))) = TRIM($B11)) * (TRIM(INDEX('6. TIẾN ĐỘ MUA HÀNG'!$A$5:$AT644, 0, XMATCH("Tháng", '6. TIẾN ĐỘ MUA HÀNG'!$A$4:$AT$4, 0))) = TRIM(U$6)) * (INDEX('6. TIẾN ĐỘ MUA HÀNG'!$A$5:$AT644, 0, XMATCH("Mã đơn Misa", '6. TIẾN ĐỘ MUA HÀNG'!$A$4:$AT$4, 0)) &lt;&gt; ""))</f>
        <v>0</v>
      </c>
      <c r="V11" s="754">
        <f t="array" ref="V11">SUMPRODUCT(
  (INDEX('6. TIẾN ĐỘ MUA HÀNG'!$A$5:$AT644, 0, XMATCH("NCC VTBB/NL trong nước", '6. TIẾN ĐỘ MUA HÀNG'!$A$4:$AT$4, 0)) = $B11) * (TRIM(INDEX('6. TIẾN ĐỘ MUA HÀNG'!$A$5:$AT644, 0, XMATCH("Tháng", '6. TIẾN ĐỘ MUA HÀNG'!$A$4:$AT$4, 0))) = TRIM(U$6)) * (INDEX('6. TIẾN ĐỘ MUA HÀNG'!$A$5:$AT644, 0, XMATCH("CL NGÀY NCC DỰ KIẾN - NGÀY NHẬN HÀNG", '6. TIẾN ĐỘ MUA HÀNG'!$A$4:$AT$4, 0)) &lt; 0)
)</f>
        <v>0</v>
      </c>
      <c r="W11" s="755">
        <f t="shared" si="20"/>
        <v>0</v>
      </c>
      <c r="X11" s="756">
        <f t="array" ref="X11">SUMPRODUCT((TRIM(INDEX('6. TIẾN ĐỘ MUA HÀNG'!$A$5:$AT644, 0, XMATCH("NCC VTBB/NL trong nước", '6. TIẾN ĐỘ MUA HÀNG'!$A$4:$AT$4, 0))) = TRIM($B11)) * (TRIM(INDEX('6. TIẾN ĐỘ MUA HÀNG'!$A$5:$AT644, 0, XMATCH("Tháng", '6. TIẾN ĐỘ MUA HÀNG'!$A$4:$AT$4, 0))) = TRIM(X$6)) * (INDEX('6. TIẾN ĐỘ MUA HÀNG'!$A$5:$AT644, 0, XMATCH("Mã đơn Misa", '6. TIẾN ĐỘ MUA HÀNG'!$A$4:$AT$4, 0)) &lt;&gt; ""))</f>
        <v>0</v>
      </c>
      <c r="Y11" s="756">
        <f t="array" ref="Y11">SUMPRODUCT(
  (INDEX('6. TIẾN ĐỘ MUA HÀNG'!$A$5:$AT644, 0, XMATCH("NCC VTBB/NL trong nước", '6. TIẾN ĐỘ MUA HÀNG'!$A$4:$AT$4, 0)) = $B11) * (TRIM(INDEX('6. TIẾN ĐỘ MUA HÀNG'!$A$5:$AT644, 0, XMATCH("Tháng", '6. TIẾN ĐỘ MUA HÀNG'!$A$4:$AT$4, 0))) = TRIM(X$6)) * (INDEX('6. TIẾN ĐỘ MUA HÀNG'!$A$5:$AT644, 0, XMATCH("CL NGÀY NCC DỰ KIẾN - NGÀY NHẬN HÀNG", '6. TIẾN ĐỘ MUA HÀNG'!$A$4:$AT$4, 0)) &lt; 0)
)</f>
        <v>0</v>
      </c>
      <c r="Z11" s="757">
        <f t="shared" si="21"/>
        <v>0</v>
      </c>
      <c r="AA11" s="754">
        <f t="array" ref="AA11">SUMPRODUCT((TRIM(INDEX('6. TIẾN ĐỘ MUA HÀNG'!$A$5:$AT644, 0, XMATCH("NCC VTBB/NL trong nước", '6. TIẾN ĐỘ MUA HÀNG'!$A$4:$AT$4, 0))) = TRIM($B11)) * (TRIM(INDEX('6. TIẾN ĐỘ MUA HÀNG'!$A$5:$AT644, 0, XMATCH("Tháng", '6. TIẾN ĐỘ MUA HÀNG'!$A$4:$AT$4, 0))) = TRIM(AA$6)) * (INDEX('6. TIẾN ĐỘ MUA HÀNG'!$A$5:$AT644, 0, XMATCH("Mã đơn Misa", '6. TIẾN ĐỘ MUA HÀNG'!$A$4:$AT$4, 0)) &lt;&gt; ""))</f>
        <v>0</v>
      </c>
      <c r="AB11" s="754">
        <f t="array" ref="AB11">SUMPRODUCT(
  (INDEX('6. TIẾN ĐỘ MUA HÀNG'!$A$5:$AT644, 0, XMATCH("NCC VTBB/NL trong nước", '6. TIẾN ĐỘ MUA HÀNG'!$A$4:$AT$4, 0)) = $B11) * (TRIM(INDEX('6. TIẾN ĐỘ MUA HÀNG'!$A$5:$AT644, 0, XMATCH("Tháng", '6. TIẾN ĐỘ MUA HÀNG'!$A$4:$AT$4, 0))) = TRIM(AA$6)) * (INDEX('6. TIẾN ĐỘ MUA HÀNG'!$A$5:$AT644, 0, XMATCH("CL NGÀY NCC DỰ KIẾN - NGÀY NHẬN HÀNG", '6. TIẾN ĐỘ MUA HÀNG'!$A$4:$AT$4, 0)) &lt; 0)
)</f>
        <v>0</v>
      </c>
      <c r="AC11" s="755">
        <f t="shared" si="22"/>
        <v>0</v>
      </c>
      <c r="AD11" s="756">
        <f t="array" ref="AD11">SUMPRODUCT((TRIM(INDEX('6. TIẾN ĐỘ MUA HÀNG'!$A$5:$AT644, 0, XMATCH("NCC VTBB/NL trong nước", '6. TIẾN ĐỘ MUA HÀNG'!$A$4:$AT$4, 0))) = TRIM($B11)) * (TRIM(INDEX('6. TIẾN ĐỘ MUA HÀNG'!$A$5:$AT644, 0, XMATCH("Tháng", '6. TIẾN ĐỘ MUA HÀNG'!$A$4:$AT$4, 0))) = TRIM(AD$6)) * (INDEX('6. TIẾN ĐỘ MUA HÀNG'!$A$5:$AT644, 0, XMATCH("Mã đơn Misa", '6. TIẾN ĐỘ MUA HÀNG'!$A$4:$AT$4, 0)) &lt;&gt; ""))</f>
        <v>0</v>
      </c>
      <c r="AE11" s="756">
        <f t="array" ref="AE11">SUMPRODUCT(
  (INDEX('6. TIẾN ĐỘ MUA HÀNG'!$A$5:$AT644, 0, XMATCH("NCC VTBB/NL trong nước", '6. TIẾN ĐỘ MUA HÀNG'!$A$4:$AT$4, 0)) = $B11) * (TRIM(INDEX('6. TIẾN ĐỘ MUA HÀNG'!$A$5:$AT644, 0, XMATCH("Tháng", '6. TIẾN ĐỘ MUA HÀNG'!$A$4:$AT$4, 0))) = TRIM(AD$6)) * (INDEX('6. TIẾN ĐỘ MUA HÀNG'!$A$5:$AT644, 0, XMATCH("CL NGÀY NCC DỰ KIẾN - NGÀY NHẬN HÀNG", '6. TIẾN ĐỘ MUA HÀNG'!$A$4:$AT$4, 0)) &lt; 0)
)</f>
        <v>0</v>
      </c>
      <c r="AF11" s="757">
        <f t="shared" si="23"/>
        <v>0</v>
      </c>
      <c r="AG11" s="754">
        <f t="array" ref="AG11">SUMPRODUCT((TRIM(INDEX('6. TIẾN ĐỘ MUA HÀNG'!$A$5:$AT644, 0, XMATCH("NCC VTBB/NL trong nước", '6. TIẾN ĐỘ MUA HÀNG'!$A$4:$AT$4, 0))) = TRIM($B11)) * (TRIM(INDEX('6. TIẾN ĐỘ MUA HÀNG'!$A$5:$AT644, 0, XMATCH("Tháng", '6. TIẾN ĐỘ MUA HÀNG'!$A$4:$AT$4, 0))) = TRIM(AG$6)) * (INDEX('6. TIẾN ĐỘ MUA HÀNG'!$A$5:$AT644, 0, XMATCH("Mã đơn Misa", '6. TIẾN ĐỘ MUA HÀNG'!$A$4:$AT$4, 0)) &lt;&gt; ""))</f>
        <v>0</v>
      </c>
      <c r="AH11" s="754">
        <f t="array" ref="AH11">SUMPRODUCT(
  (INDEX('6. TIẾN ĐỘ MUA HÀNG'!$A$5:$AT644, 0, XMATCH("NCC VTBB/NL trong nước", '6. TIẾN ĐỘ MUA HÀNG'!$A$4:$AT$4, 0)) = $B11) * (TRIM(INDEX('6. TIẾN ĐỘ MUA HÀNG'!$A$5:$AT644, 0, XMATCH("Tháng", '6. TIẾN ĐỘ MUA HÀNG'!$A$4:$AT$4, 0))) = TRIM(AG$6)) * (INDEX('6. TIẾN ĐỘ MUA HÀNG'!$A$5:$AT644, 0, XMATCH("CL NGÀY NCC DỰ KIẾN - NGÀY NHẬN HÀNG", '6. TIẾN ĐỘ MUA HÀNG'!$A$4:$AT$4, 0)) &lt; 0)
)</f>
        <v>0</v>
      </c>
      <c r="AI11" s="755">
        <f t="shared" si="24"/>
        <v>0</v>
      </c>
      <c r="AJ11" s="756">
        <f t="array" ref="AJ11">SUMPRODUCT((TRIM(INDEX('6. TIẾN ĐỘ MUA HÀNG'!$A$5:$AT644, 0, XMATCH("NCC VTBB/NL trong nước", '6. TIẾN ĐỘ MUA HÀNG'!$A$4:$AT$4, 0))) = TRIM($B11)) * (TRIM(INDEX('6. TIẾN ĐỘ MUA HÀNG'!$A$5:$AT644, 0, XMATCH("Tháng", '6. TIẾN ĐỘ MUA HÀNG'!$A$4:$AT$4, 0))) = TRIM(AJ$6)) * (INDEX('6. TIẾN ĐỘ MUA HÀNG'!$A$5:$AT644, 0, XMATCH("Mã đơn Misa", '6. TIẾN ĐỘ MUA HÀNG'!$A$4:$AT$4, 0)) &lt;&gt; ""))</f>
        <v>0</v>
      </c>
      <c r="AK11" s="756">
        <f t="array" ref="AK11">SUMPRODUCT(
  (INDEX('6. TIẾN ĐỘ MUA HÀNG'!$A$5:$AT644, 0, XMATCH("NCC VTBB/NL trong nước", '6. TIẾN ĐỘ MUA HÀNG'!$A$4:$AT$4, 0)) = $B11) * (TRIM(INDEX('6. TIẾN ĐỘ MUA HÀNG'!$A$5:$AT644, 0, XMATCH("Tháng", '6. TIẾN ĐỘ MUA HÀNG'!$A$4:$AT$4, 0))) = TRIM(AJ$6)) * (INDEX('6. TIẾN ĐỘ MUA HÀNG'!$A$5:$AT644, 0, XMATCH("CL NGÀY NCC DỰ KIẾN - NGÀY NHẬN HÀNG", '6. TIẾN ĐỘ MUA HÀNG'!$A$4:$AT$4, 0)) &lt; 0)
)</f>
        <v>0</v>
      </c>
      <c r="AL11" s="757">
        <f t="shared" si="25"/>
        <v>0</v>
      </c>
      <c r="AM11" s="726">
        <f t="shared" si="27"/>
        <v>0</v>
      </c>
      <c r="AN11" s="726">
        <f t="shared" si="28"/>
        <v>0</v>
      </c>
      <c r="AO11" s="727">
        <f t="shared" si="26"/>
        <v>0</v>
      </c>
    </row>
    <row r="12">
      <c r="A12" s="612">
        <v>4.0</v>
      </c>
      <c r="B12" s="624" t="str">
        <f>IFERROR(__xludf.DUMMYFUNCTION("""COMPUTED_VALUE"""),"Tân Đức")</f>
        <v>Tân Đức</v>
      </c>
      <c r="C12" s="754">
        <f t="array" ref="C12">SUMPRODUCT((TRIM(INDEX('6. TIẾN ĐỘ MUA HÀNG'!$A$5:$AT644, 0, XMATCH("NCC VTBB/NL trong nước", '6. TIẾN ĐỘ MUA HÀNG'!$A$4:$AT$4, 0))) = TRIM($B12)) * (TRIM(INDEX('6. TIẾN ĐỘ MUA HÀNG'!$A$5:$AT644, 0, XMATCH("Tháng", '6. TIẾN ĐỘ MUA HÀNG'!$A$4:$AT$4, 0))) = TRIM(C$6)) * (INDEX('6. TIẾN ĐỘ MUA HÀNG'!$A$5:$AT644, 0, XMATCH("Mã đơn Misa", '6. TIẾN ĐỘ MUA HÀNG'!$A$4:$AT$4, 0)) &lt;&gt; ""))</f>
        <v>0</v>
      </c>
      <c r="D12" s="754">
        <f t="array" ref="D12">SUMPRODUCT(
  (INDEX('6. TIẾN ĐỘ MUA HÀNG'!$A$5:$AT644, 0, XMATCH("NCC VTBB/NL trong nước", '6. TIẾN ĐỘ MUA HÀNG'!$A$4:$AT$4, 0)) = $B12) * (TRIM(INDEX('6. TIẾN ĐỘ MUA HÀNG'!$A$5:$AT644, 0, XMATCH("Tháng", '6. TIẾN ĐỘ MUA HÀNG'!$A$4:$AT$4, 0))) = TRIM(C$6)) * (INDEX('6. TIẾN ĐỘ MUA HÀNG'!$A$5:$AT644, 0, XMATCH("CL NGÀY NCC DỰ KIẾN - NGÀY NHẬN HÀNG", '6. TIẾN ĐỘ MUA HÀNG'!$A$4:$AT$4, 0)) &lt; 0)
)</f>
        <v>0</v>
      </c>
      <c r="E12" s="755">
        <f t="shared" si="14"/>
        <v>0</v>
      </c>
      <c r="F12" s="756">
        <f t="array" ref="F12">SUMPRODUCT((TRIM(INDEX('6. TIẾN ĐỘ MUA HÀNG'!$A$5:$AT644, 0, XMATCH("NCC VTBB/NL trong nước", '6. TIẾN ĐỘ MUA HÀNG'!$A$4:$AT$4, 0))) = TRIM($B12)) * (TRIM(INDEX('6. TIẾN ĐỘ MUA HÀNG'!$A$5:$AT644, 0, XMATCH("Tháng", '6. TIẾN ĐỘ MUA HÀNG'!$A$4:$AT$4, 0))) = TRIM(F$6)) * (INDEX('6. TIẾN ĐỘ MUA HÀNG'!$A$5:$AT644, 0, XMATCH("Mã đơn Misa", '6. TIẾN ĐỘ MUA HÀNG'!$A$4:$AT$4, 0)) &lt;&gt; ""))</f>
        <v>0</v>
      </c>
      <c r="G12" s="756">
        <f t="array" ref="G12">SUMPRODUCT(
  (INDEX('6. TIẾN ĐỘ MUA HÀNG'!$A$5:$AT644, 0, XMATCH("NCC VTBB/NL trong nước", '6. TIẾN ĐỘ MUA HÀNG'!$A$4:$AT$4, 0)) = $B12) * (TRIM(INDEX('6. TIẾN ĐỘ MUA HÀNG'!$A$5:$AT644, 0, XMATCH("Tháng", '6. TIẾN ĐỘ MUA HÀNG'!$A$4:$AT$4, 0))) = TRIM(F$6)) * (INDEX('6. TIẾN ĐỘ MUA HÀNG'!$A$5:$AT644, 0, XMATCH("CL NGÀY NCC DỰ KIẾN - NGÀY NHẬN HÀNG", '6. TIẾN ĐỘ MUA HÀNG'!$A$4:$AT$4, 0)) &lt; 0)
)</f>
        <v>0</v>
      </c>
      <c r="H12" s="757">
        <f t="shared" si="15"/>
        <v>0</v>
      </c>
      <c r="I12" s="754">
        <f t="array" ref="I12">SUMPRODUCT((TRIM(INDEX('6. TIẾN ĐỘ MUA HÀNG'!$A$5:$AT644, 0, XMATCH("NCC VTBB/NL trong nước", '6. TIẾN ĐỘ MUA HÀNG'!$A$4:$AT$4, 0))) = TRIM($B12)) * (TRIM(INDEX('6. TIẾN ĐỘ MUA HÀNG'!$A$5:$AT644, 0, XMATCH("Tháng", '6. TIẾN ĐỘ MUA HÀNG'!$A$4:$AT$4, 0))) = TRIM(I$6)) * (INDEX('6. TIẾN ĐỘ MUA HÀNG'!$A$5:$AT644, 0, XMATCH("Mã đơn Misa", '6. TIẾN ĐỘ MUA HÀNG'!$A$4:$AT$4, 0)) &lt;&gt; ""))</f>
        <v>0</v>
      </c>
      <c r="J12" s="754">
        <f t="array" ref="J12">SUMPRODUCT(
  (INDEX('6. TIẾN ĐỘ MUA HÀNG'!$A$5:$AT644, 0, XMATCH("NCC VTBB/NL trong nước", '6. TIẾN ĐỘ MUA HÀNG'!$A$4:$AT$4, 0)) = $B12) * (TRIM(INDEX('6. TIẾN ĐỘ MUA HÀNG'!$A$5:$AT644, 0, XMATCH("Tháng", '6. TIẾN ĐỘ MUA HÀNG'!$A$4:$AT$4, 0))) = TRIM(I$6)) * (INDEX('6. TIẾN ĐỘ MUA HÀNG'!$A$5:$AT644, 0, XMATCH("CL NGÀY NCC DỰ KIẾN - NGÀY NHẬN HÀNG", '6. TIẾN ĐỘ MUA HÀNG'!$A$4:$AT$4, 0)) &lt; 0)
)</f>
        <v>0</v>
      </c>
      <c r="K12" s="755">
        <f t="shared" si="16"/>
        <v>0</v>
      </c>
      <c r="L12" s="756">
        <f t="array" ref="L12">SUMPRODUCT((TRIM(INDEX('6. TIẾN ĐỘ MUA HÀNG'!$A$5:$AT644, 0, XMATCH("NCC VTBB/NL trong nước", '6. TIẾN ĐỘ MUA HÀNG'!$A$4:$AT$4, 0))) = TRIM($B12)) * (TRIM(INDEX('6. TIẾN ĐỘ MUA HÀNG'!$A$5:$AT644, 0, XMATCH("Tháng", '6. TIẾN ĐỘ MUA HÀNG'!$A$4:$AT$4, 0))) = TRIM(L$6)) * (INDEX('6. TIẾN ĐỘ MUA HÀNG'!$A$5:$AT644, 0, XMATCH("Mã đơn Misa", '6. TIẾN ĐỘ MUA HÀNG'!$A$4:$AT$4, 0)) &lt;&gt; ""))</f>
        <v>0</v>
      </c>
      <c r="M12" s="756">
        <f t="array" ref="M12">SUMPRODUCT(
  (INDEX('6. TIẾN ĐỘ MUA HÀNG'!$A$5:$AT644, 0, XMATCH("NCC VTBB/NL trong nước", '6. TIẾN ĐỘ MUA HÀNG'!$A$4:$AT$4, 0)) = $B12) * (TRIM(INDEX('6. TIẾN ĐỘ MUA HÀNG'!$A$5:$AT644, 0, XMATCH("Tháng", '6. TIẾN ĐỘ MUA HÀNG'!$A$4:$AT$4, 0))) = TRIM(L$6)) * (INDEX('6. TIẾN ĐỘ MUA HÀNG'!$A$5:$AT644, 0, XMATCH("CL NGÀY NCC DỰ KIẾN - NGÀY NHẬN HÀNG", '6. TIẾN ĐỘ MUA HÀNG'!$A$4:$AT$4, 0)) &lt; 0)
)</f>
        <v>0</v>
      </c>
      <c r="N12" s="757">
        <f t="shared" si="17"/>
        <v>0</v>
      </c>
      <c r="O12" s="754">
        <f t="array" ref="O12">SUMPRODUCT((TRIM(INDEX('6. TIẾN ĐỘ MUA HÀNG'!$A$5:$AT644, 0, XMATCH("NCC VTBB/NL trong nước", '6. TIẾN ĐỘ MUA HÀNG'!$A$4:$AT$4, 0))) = TRIM($B12)) * (TRIM(INDEX('6. TIẾN ĐỘ MUA HÀNG'!$A$5:$AT644, 0, XMATCH("Tháng", '6. TIẾN ĐỘ MUA HÀNG'!$A$4:$AT$4, 0))) = TRIM(O$6)) * (INDEX('6. TIẾN ĐỘ MUA HÀNG'!$A$5:$AT644, 0, XMATCH("Mã đơn Misa", '6. TIẾN ĐỘ MUA HÀNG'!$A$4:$AT$4, 0)) &lt;&gt; ""))</f>
        <v>0</v>
      </c>
      <c r="P12" s="754">
        <f t="array" ref="P12">SUMPRODUCT(
  (INDEX('6. TIẾN ĐỘ MUA HÀNG'!$A$5:$AT644, 0, XMATCH("NCC VTBB/NL trong nước", '6. TIẾN ĐỘ MUA HÀNG'!$A$4:$AT$4, 0)) = $B12) * (TRIM(INDEX('6. TIẾN ĐỘ MUA HÀNG'!$A$5:$AT644, 0, XMATCH("Tháng", '6. TIẾN ĐỘ MUA HÀNG'!$A$4:$AT$4, 0))) = TRIM(O$6)) * (INDEX('6. TIẾN ĐỘ MUA HÀNG'!$A$5:$AT644, 0, XMATCH("CL NGÀY NCC DỰ KIẾN - NGÀY NHẬN HÀNG", '6. TIẾN ĐỘ MUA HÀNG'!$A$4:$AT$4, 0)) &lt; 0)
)</f>
        <v>0</v>
      </c>
      <c r="Q12" s="755">
        <f t="shared" si="18"/>
        <v>0</v>
      </c>
      <c r="R12" s="756">
        <f t="array" ref="R12">SUMPRODUCT((TRIM(INDEX('6. TIẾN ĐỘ MUA HÀNG'!$A$5:$AT644, 0, XMATCH("NCC VTBB/NL trong nước", '6. TIẾN ĐỘ MUA HÀNG'!$A$4:$AT$4, 0))) = TRIM($B12)) * (TRIM(INDEX('6. TIẾN ĐỘ MUA HÀNG'!$A$5:$AT644, 0, XMATCH("Tháng", '6. TIẾN ĐỘ MUA HÀNG'!$A$4:$AT$4, 0))) = TRIM(R$6)) * (INDEX('6. TIẾN ĐỘ MUA HÀNG'!$A$5:$AT644, 0, XMATCH("Mã đơn Misa", '6. TIẾN ĐỘ MUA HÀNG'!$A$4:$AT$4, 0)) &lt;&gt; ""))</f>
        <v>0</v>
      </c>
      <c r="S12" s="756">
        <f t="array" ref="S12">SUMPRODUCT(
  (INDEX('6. TIẾN ĐỘ MUA HÀNG'!$A$5:$AT644, 0, XMATCH("NCC VTBB/NL trong nước", '6. TIẾN ĐỘ MUA HÀNG'!$A$4:$AT$4, 0)) = $B12) * (TRIM(INDEX('6. TIẾN ĐỘ MUA HÀNG'!$A$5:$AT644, 0, XMATCH("Tháng", '6. TIẾN ĐỘ MUA HÀNG'!$A$4:$AT$4, 0))) = TRIM(R$6)) * (INDEX('6. TIẾN ĐỘ MUA HÀNG'!$A$5:$AT644, 0, XMATCH("CL NGÀY NCC DỰ KIẾN - NGÀY NHẬN HÀNG", '6. TIẾN ĐỘ MUA HÀNG'!$A$4:$AT$4, 0)) &lt; 0)
)</f>
        <v>0</v>
      </c>
      <c r="T12" s="757">
        <f t="shared" si="19"/>
        <v>0</v>
      </c>
      <c r="U12" s="754">
        <f t="array" ref="U12">SUMPRODUCT((TRIM(INDEX('6. TIẾN ĐỘ MUA HÀNG'!$A$5:$AT644, 0, XMATCH("NCC VTBB/NL trong nước", '6. TIẾN ĐỘ MUA HÀNG'!$A$4:$AT$4, 0))) = TRIM($B12)) * (TRIM(INDEX('6. TIẾN ĐỘ MUA HÀNG'!$A$5:$AT644, 0, XMATCH("Tháng", '6. TIẾN ĐỘ MUA HÀNG'!$A$4:$AT$4, 0))) = TRIM(U$6)) * (INDEX('6. TIẾN ĐỘ MUA HÀNG'!$A$5:$AT644, 0, XMATCH("Mã đơn Misa", '6. TIẾN ĐỘ MUA HÀNG'!$A$4:$AT$4, 0)) &lt;&gt; ""))</f>
        <v>0</v>
      </c>
      <c r="V12" s="754">
        <f t="array" ref="V12">SUMPRODUCT(
  (INDEX('6. TIẾN ĐỘ MUA HÀNG'!$A$5:$AT644, 0, XMATCH("NCC VTBB/NL trong nước", '6. TIẾN ĐỘ MUA HÀNG'!$A$4:$AT$4, 0)) = $B12) * (TRIM(INDEX('6. TIẾN ĐỘ MUA HÀNG'!$A$5:$AT644, 0, XMATCH("Tháng", '6. TIẾN ĐỘ MUA HÀNG'!$A$4:$AT$4, 0))) = TRIM(U$6)) * (INDEX('6. TIẾN ĐỘ MUA HÀNG'!$A$5:$AT644, 0, XMATCH("CL NGÀY NCC DỰ KIẾN - NGÀY NHẬN HÀNG", '6. TIẾN ĐỘ MUA HÀNG'!$A$4:$AT$4, 0)) &lt; 0)
)</f>
        <v>0</v>
      </c>
      <c r="W12" s="755">
        <f t="shared" si="20"/>
        <v>0</v>
      </c>
      <c r="X12" s="756">
        <f t="array" ref="X12">SUMPRODUCT((TRIM(INDEX('6. TIẾN ĐỘ MUA HÀNG'!$A$5:$AT644, 0, XMATCH("NCC VTBB/NL trong nước", '6. TIẾN ĐỘ MUA HÀNG'!$A$4:$AT$4, 0))) = TRIM($B12)) * (TRIM(INDEX('6. TIẾN ĐỘ MUA HÀNG'!$A$5:$AT644, 0, XMATCH("Tháng", '6. TIẾN ĐỘ MUA HÀNG'!$A$4:$AT$4, 0))) = TRIM(X$6)) * (INDEX('6. TIẾN ĐỘ MUA HÀNG'!$A$5:$AT644, 0, XMATCH("Mã đơn Misa", '6. TIẾN ĐỘ MUA HÀNG'!$A$4:$AT$4, 0)) &lt;&gt; ""))</f>
        <v>0</v>
      </c>
      <c r="Y12" s="756">
        <f t="array" ref="Y12">SUMPRODUCT(
  (INDEX('6. TIẾN ĐỘ MUA HÀNG'!$A$5:$AT644, 0, XMATCH("NCC VTBB/NL trong nước", '6. TIẾN ĐỘ MUA HÀNG'!$A$4:$AT$4, 0)) = $B12) * (TRIM(INDEX('6. TIẾN ĐỘ MUA HÀNG'!$A$5:$AT644, 0, XMATCH("Tháng", '6. TIẾN ĐỘ MUA HÀNG'!$A$4:$AT$4, 0))) = TRIM(X$6)) * (INDEX('6. TIẾN ĐỘ MUA HÀNG'!$A$5:$AT644, 0, XMATCH("CL NGÀY NCC DỰ KIẾN - NGÀY NHẬN HÀNG", '6. TIẾN ĐỘ MUA HÀNG'!$A$4:$AT$4, 0)) &lt; 0)
)</f>
        <v>0</v>
      </c>
      <c r="Z12" s="757">
        <f t="shared" si="21"/>
        <v>0</v>
      </c>
      <c r="AA12" s="754">
        <f t="array" ref="AA12">SUMPRODUCT((TRIM(INDEX('6. TIẾN ĐỘ MUA HÀNG'!$A$5:$AT644, 0, XMATCH("NCC VTBB/NL trong nước", '6. TIẾN ĐỘ MUA HÀNG'!$A$4:$AT$4, 0))) = TRIM($B12)) * (TRIM(INDEX('6. TIẾN ĐỘ MUA HÀNG'!$A$5:$AT644, 0, XMATCH("Tháng", '6. TIẾN ĐỘ MUA HÀNG'!$A$4:$AT$4, 0))) = TRIM(AA$6)) * (INDEX('6. TIẾN ĐỘ MUA HÀNG'!$A$5:$AT644, 0, XMATCH("Mã đơn Misa", '6. TIẾN ĐỘ MUA HÀNG'!$A$4:$AT$4, 0)) &lt;&gt; ""))</f>
        <v>0</v>
      </c>
      <c r="AB12" s="754">
        <f t="array" ref="AB12">SUMPRODUCT(
  (INDEX('6. TIẾN ĐỘ MUA HÀNG'!$A$5:$AT644, 0, XMATCH("NCC VTBB/NL trong nước", '6. TIẾN ĐỘ MUA HÀNG'!$A$4:$AT$4, 0)) = $B12) * (TRIM(INDEX('6. TIẾN ĐỘ MUA HÀNG'!$A$5:$AT644, 0, XMATCH("Tháng", '6. TIẾN ĐỘ MUA HÀNG'!$A$4:$AT$4, 0))) = TRIM(AA$6)) * (INDEX('6. TIẾN ĐỘ MUA HÀNG'!$A$5:$AT644, 0, XMATCH("CL NGÀY NCC DỰ KIẾN - NGÀY NHẬN HÀNG", '6. TIẾN ĐỘ MUA HÀNG'!$A$4:$AT$4, 0)) &lt; 0)
)</f>
        <v>0</v>
      </c>
      <c r="AC12" s="755">
        <f t="shared" si="22"/>
        <v>0</v>
      </c>
      <c r="AD12" s="756">
        <f t="array" ref="AD12">SUMPRODUCT((TRIM(INDEX('6. TIẾN ĐỘ MUA HÀNG'!$A$5:$AT644, 0, XMATCH("NCC VTBB/NL trong nước", '6. TIẾN ĐỘ MUA HÀNG'!$A$4:$AT$4, 0))) = TRIM($B12)) * (TRIM(INDEX('6. TIẾN ĐỘ MUA HÀNG'!$A$5:$AT644, 0, XMATCH("Tháng", '6. TIẾN ĐỘ MUA HÀNG'!$A$4:$AT$4, 0))) = TRIM(AD$6)) * (INDEX('6. TIẾN ĐỘ MUA HÀNG'!$A$5:$AT644, 0, XMATCH("Mã đơn Misa", '6. TIẾN ĐỘ MUA HÀNG'!$A$4:$AT$4, 0)) &lt;&gt; ""))</f>
        <v>0</v>
      </c>
      <c r="AE12" s="756">
        <f t="array" ref="AE12">SUMPRODUCT(
  (INDEX('6. TIẾN ĐỘ MUA HÀNG'!$A$5:$AT644, 0, XMATCH("NCC VTBB/NL trong nước", '6. TIẾN ĐỘ MUA HÀNG'!$A$4:$AT$4, 0)) = $B12) * (TRIM(INDEX('6. TIẾN ĐỘ MUA HÀNG'!$A$5:$AT644, 0, XMATCH("Tháng", '6. TIẾN ĐỘ MUA HÀNG'!$A$4:$AT$4, 0))) = TRIM(AD$6)) * (INDEX('6. TIẾN ĐỘ MUA HÀNG'!$A$5:$AT644, 0, XMATCH("CL NGÀY NCC DỰ KIẾN - NGÀY NHẬN HÀNG", '6. TIẾN ĐỘ MUA HÀNG'!$A$4:$AT$4, 0)) &lt; 0)
)</f>
        <v>0</v>
      </c>
      <c r="AF12" s="757">
        <f t="shared" si="23"/>
        <v>0</v>
      </c>
      <c r="AG12" s="754">
        <f t="array" ref="AG12">SUMPRODUCT((TRIM(INDEX('6. TIẾN ĐỘ MUA HÀNG'!$A$5:$AT644, 0, XMATCH("NCC VTBB/NL trong nước", '6. TIẾN ĐỘ MUA HÀNG'!$A$4:$AT$4, 0))) = TRIM($B12)) * (TRIM(INDEX('6. TIẾN ĐỘ MUA HÀNG'!$A$5:$AT644, 0, XMATCH("Tháng", '6. TIẾN ĐỘ MUA HÀNG'!$A$4:$AT$4, 0))) = TRIM(AG$6)) * (INDEX('6. TIẾN ĐỘ MUA HÀNG'!$A$5:$AT644, 0, XMATCH("Mã đơn Misa", '6. TIẾN ĐỘ MUA HÀNG'!$A$4:$AT$4, 0)) &lt;&gt; ""))</f>
        <v>0</v>
      </c>
      <c r="AH12" s="754">
        <f t="array" ref="AH12">SUMPRODUCT(
  (INDEX('6. TIẾN ĐỘ MUA HÀNG'!$A$5:$AT644, 0, XMATCH("NCC VTBB/NL trong nước", '6. TIẾN ĐỘ MUA HÀNG'!$A$4:$AT$4, 0)) = $B12) * (TRIM(INDEX('6. TIẾN ĐỘ MUA HÀNG'!$A$5:$AT644, 0, XMATCH("Tháng", '6. TIẾN ĐỘ MUA HÀNG'!$A$4:$AT$4, 0))) = TRIM(AG$6)) * (INDEX('6. TIẾN ĐỘ MUA HÀNG'!$A$5:$AT644, 0, XMATCH("CL NGÀY NCC DỰ KIẾN - NGÀY NHẬN HÀNG", '6. TIẾN ĐỘ MUA HÀNG'!$A$4:$AT$4, 0)) &lt; 0)
)</f>
        <v>0</v>
      </c>
      <c r="AI12" s="755">
        <f t="shared" si="24"/>
        <v>0</v>
      </c>
      <c r="AJ12" s="756">
        <f t="array" ref="AJ12">SUMPRODUCT((TRIM(INDEX('6. TIẾN ĐỘ MUA HÀNG'!$A$5:$AT644, 0, XMATCH("NCC VTBB/NL trong nước", '6. TIẾN ĐỘ MUA HÀNG'!$A$4:$AT$4, 0))) = TRIM($B12)) * (TRIM(INDEX('6. TIẾN ĐỘ MUA HÀNG'!$A$5:$AT644, 0, XMATCH("Tháng", '6. TIẾN ĐỘ MUA HÀNG'!$A$4:$AT$4, 0))) = TRIM(AJ$6)) * (INDEX('6. TIẾN ĐỘ MUA HÀNG'!$A$5:$AT644, 0, XMATCH("Mã đơn Misa", '6. TIẾN ĐỘ MUA HÀNG'!$A$4:$AT$4, 0)) &lt;&gt; ""))</f>
        <v>0</v>
      </c>
      <c r="AK12" s="756">
        <f t="array" ref="AK12">SUMPRODUCT(
  (INDEX('6. TIẾN ĐỘ MUA HÀNG'!$A$5:$AT644, 0, XMATCH("NCC VTBB/NL trong nước", '6. TIẾN ĐỘ MUA HÀNG'!$A$4:$AT$4, 0)) = $B12) * (TRIM(INDEX('6. TIẾN ĐỘ MUA HÀNG'!$A$5:$AT644, 0, XMATCH("Tháng", '6. TIẾN ĐỘ MUA HÀNG'!$A$4:$AT$4, 0))) = TRIM(AJ$6)) * (INDEX('6. TIẾN ĐỘ MUA HÀNG'!$A$5:$AT644, 0, XMATCH("CL NGÀY NCC DỰ KIẾN - NGÀY NHẬN HÀNG", '6. TIẾN ĐỘ MUA HÀNG'!$A$4:$AT$4, 0)) &lt; 0)
)</f>
        <v>0</v>
      </c>
      <c r="AL12" s="757">
        <f t="shared" si="25"/>
        <v>0</v>
      </c>
      <c r="AM12" s="726">
        <f t="shared" si="27"/>
        <v>0</v>
      </c>
      <c r="AN12" s="726">
        <f t="shared" si="28"/>
        <v>0</v>
      </c>
      <c r="AO12" s="727">
        <f t="shared" si="26"/>
        <v>0</v>
      </c>
    </row>
    <row r="13">
      <c r="A13" s="612">
        <v>5.0</v>
      </c>
      <c r="B13" s="624" t="str">
        <f>IFERROR(__xludf.DUMMYFUNCTION("""COMPUTED_VALUE"""),"Thành Công")</f>
        <v>Thành Công</v>
      </c>
      <c r="C13" s="754">
        <f t="array" ref="C13">SUMPRODUCT((TRIM(INDEX('6. TIẾN ĐỘ MUA HÀNG'!$A$5:$AT644, 0, XMATCH("NCC VTBB/NL trong nước", '6. TIẾN ĐỘ MUA HÀNG'!$A$4:$AT$4, 0))) = TRIM($B13)) * (TRIM(INDEX('6. TIẾN ĐỘ MUA HÀNG'!$A$5:$AT644, 0, XMATCH("Tháng", '6. TIẾN ĐỘ MUA HÀNG'!$A$4:$AT$4, 0))) = TRIM(C$6)) * (INDEX('6. TIẾN ĐỘ MUA HÀNG'!$A$5:$AT644, 0, XMATCH("Mã đơn Misa", '6. TIẾN ĐỘ MUA HÀNG'!$A$4:$AT$4, 0)) &lt;&gt; ""))</f>
        <v>0</v>
      </c>
      <c r="D13" s="754">
        <f t="array" ref="D13">SUMPRODUCT(
  (INDEX('6. TIẾN ĐỘ MUA HÀNG'!$A$5:$AT644, 0, XMATCH("NCC VTBB/NL trong nước", '6. TIẾN ĐỘ MUA HÀNG'!$A$4:$AT$4, 0)) = $B13) * (TRIM(INDEX('6. TIẾN ĐỘ MUA HÀNG'!$A$5:$AT644, 0, XMATCH("Tháng", '6. TIẾN ĐỘ MUA HÀNG'!$A$4:$AT$4, 0))) = TRIM(C$6)) * (INDEX('6. TIẾN ĐỘ MUA HÀNG'!$A$5:$AT644, 0, XMATCH("CL NGÀY NCC DỰ KIẾN - NGÀY NHẬN HÀNG", '6. TIẾN ĐỘ MUA HÀNG'!$A$4:$AT$4, 0)) &lt; 0)
)</f>
        <v>0</v>
      </c>
      <c r="E13" s="755">
        <f t="shared" si="14"/>
        <v>0</v>
      </c>
      <c r="F13" s="756">
        <f t="array" ref="F13">SUMPRODUCT((TRIM(INDEX('6. TIẾN ĐỘ MUA HÀNG'!$A$5:$AT644, 0, XMATCH("NCC VTBB/NL trong nước", '6. TIẾN ĐỘ MUA HÀNG'!$A$4:$AT$4, 0))) = TRIM($B13)) * (TRIM(INDEX('6. TIẾN ĐỘ MUA HÀNG'!$A$5:$AT644, 0, XMATCH("Tháng", '6. TIẾN ĐỘ MUA HÀNG'!$A$4:$AT$4, 0))) = TRIM(F$6)) * (INDEX('6. TIẾN ĐỘ MUA HÀNG'!$A$5:$AT644, 0, XMATCH("Mã đơn Misa", '6. TIẾN ĐỘ MUA HÀNG'!$A$4:$AT$4, 0)) &lt;&gt; ""))</f>
        <v>0</v>
      </c>
      <c r="G13" s="756">
        <f t="array" ref="G13">SUMPRODUCT(
  (INDEX('6. TIẾN ĐỘ MUA HÀNG'!$A$5:$AT644, 0, XMATCH("NCC VTBB/NL trong nước", '6. TIẾN ĐỘ MUA HÀNG'!$A$4:$AT$4, 0)) = $B13) * (TRIM(INDEX('6. TIẾN ĐỘ MUA HÀNG'!$A$5:$AT644, 0, XMATCH("Tháng", '6. TIẾN ĐỘ MUA HÀNG'!$A$4:$AT$4, 0))) = TRIM(F$6)) * (INDEX('6. TIẾN ĐỘ MUA HÀNG'!$A$5:$AT644, 0, XMATCH("CL NGÀY NCC DỰ KIẾN - NGÀY NHẬN HÀNG", '6. TIẾN ĐỘ MUA HÀNG'!$A$4:$AT$4, 0)) &lt; 0)
)</f>
        <v>0</v>
      </c>
      <c r="H13" s="757">
        <f t="shared" si="15"/>
        <v>0</v>
      </c>
      <c r="I13" s="754">
        <f t="array" ref="I13">SUMPRODUCT((TRIM(INDEX('6. TIẾN ĐỘ MUA HÀNG'!$A$5:$AT644, 0, XMATCH("NCC VTBB/NL trong nước", '6. TIẾN ĐỘ MUA HÀNG'!$A$4:$AT$4, 0))) = TRIM($B13)) * (TRIM(INDEX('6. TIẾN ĐỘ MUA HÀNG'!$A$5:$AT644, 0, XMATCH("Tháng", '6. TIẾN ĐỘ MUA HÀNG'!$A$4:$AT$4, 0))) = TRIM(I$6)) * (INDEX('6. TIẾN ĐỘ MUA HÀNG'!$A$5:$AT644, 0, XMATCH("Mã đơn Misa", '6. TIẾN ĐỘ MUA HÀNG'!$A$4:$AT$4, 0)) &lt;&gt; ""))</f>
        <v>0</v>
      </c>
      <c r="J13" s="754">
        <f t="array" ref="J13">SUMPRODUCT(
  (INDEX('6. TIẾN ĐỘ MUA HÀNG'!$A$5:$AT644, 0, XMATCH("NCC VTBB/NL trong nước", '6. TIẾN ĐỘ MUA HÀNG'!$A$4:$AT$4, 0)) = $B13) * (TRIM(INDEX('6. TIẾN ĐỘ MUA HÀNG'!$A$5:$AT644, 0, XMATCH("Tháng", '6. TIẾN ĐỘ MUA HÀNG'!$A$4:$AT$4, 0))) = TRIM(I$6)) * (INDEX('6. TIẾN ĐỘ MUA HÀNG'!$A$5:$AT644, 0, XMATCH("CL NGÀY NCC DỰ KIẾN - NGÀY NHẬN HÀNG", '6. TIẾN ĐỘ MUA HÀNG'!$A$4:$AT$4, 0)) &lt; 0)
)</f>
        <v>0</v>
      </c>
      <c r="K13" s="755">
        <f t="shared" si="16"/>
        <v>0</v>
      </c>
      <c r="L13" s="756">
        <f t="array" ref="L13">SUMPRODUCT((TRIM(INDEX('6. TIẾN ĐỘ MUA HÀNG'!$A$5:$AT644, 0, XMATCH("NCC VTBB/NL trong nước", '6. TIẾN ĐỘ MUA HÀNG'!$A$4:$AT$4, 0))) = TRIM($B13)) * (TRIM(INDEX('6. TIẾN ĐỘ MUA HÀNG'!$A$5:$AT644, 0, XMATCH("Tháng", '6. TIẾN ĐỘ MUA HÀNG'!$A$4:$AT$4, 0))) = TRIM(L$6)) * (INDEX('6. TIẾN ĐỘ MUA HÀNG'!$A$5:$AT644, 0, XMATCH("Mã đơn Misa", '6. TIẾN ĐỘ MUA HÀNG'!$A$4:$AT$4, 0)) &lt;&gt; ""))</f>
        <v>0</v>
      </c>
      <c r="M13" s="756">
        <f t="array" ref="M13">SUMPRODUCT(
  (INDEX('6. TIẾN ĐỘ MUA HÀNG'!$A$5:$AT644, 0, XMATCH("NCC VTBB/NL trong nước", '6. TIẾN ĐỘ MUA HÀNG'!$A$4:$AT$4, 0)) = $B13) * (TRIM(INDEX('6. TIẾN ĐỘ MUA HÀNG'!$A$5:$AT644, 0, XMATCH("Tháng", '6. TIẾN ĐỘ MUA HÀNG'!$A$4:$AT$4, 0))) = TRIM(L$6)) * (INDEX('6. TIẾN ĐỘ MUA HÀNG'!$A$5:$AT644, 0, XMATCH("CL NGÀY NCC DỰ KIẾN - NGÀY NHẬN HÀNG", '6. TIẾN ĐỘ MUA HÀNG'!$A$4:$AT$4, 0)) &lt; 0)
)</f>
        <v>0</v>
      </c>
      <c r="N13" s="757">
        <f t="shared" si="17"/>
        <v>0</v>
      </c>
      <c r="O13" s="754">
        <f t="array" ref="O13">SUMPRODUCT((TRIM(INDEX('6. TIẾN ĐỘ MUA HÀNG'!$A$5:$AT644, 0, XMATCH("NCC VTBB/NL trong nước", '6. TIẾN ĐỘ MUA HÀNG'!$A$4:$AT$4, 0))) = TRIM($B13)) * (TRIM(INDEX('6. TIẾN ĐỘ MUA HÀNG'!$A$5:$AT644, 0, XMATCH("Tháng", '6. TIẾN ĐỘ MUA HÀNG'!$A$4:$AT$4, 0))) = TRIM(O$6)) * (INDEX('6. TIẾN ĐỘ MUA HÀNG'!$A$5:$AT644, 0, XMATCH("Mã đơn Misa", '6. TIẾN ĐỘ MUA HÀNG'!$A$4:$AT$4, 0)) &lt;&gt; ""))</f>
        <v>0</v>
      </c>
      <c r="P13" s="754">
        <f t="array" ref="P13">SUMPRODUCT(
  (INDEX('6. TIẾN ĐỘ MUA HÀNG'!$A$5:$AT644, 0, XMATCH("NCC VTBB/NL trong nước", '6. TIẾN ĐỘ MUA HÀNG'!$A$4:$AT$4, 0)) = $B13) * (TRIM(INDEX('6. TIẾN ĐỘ MUA HÀNG'!$A$5:$AT644, 0, XMATCH("Tháng", '6. TIẾN ĐỘ MUA HÀNG'!$A$4:$AT$4, 0))) = TRIM(O$6)) * (INDEX('6. TIẾN ĐỘ MUA HÀNG'!$A$5:$AT644, 0, XMATCH("CL NGÀY NCC DỰ KIẾN - NGÀY NHẬN HÀNG", '6. TIẾN ĐỘ MUA HÀNG'!$A$4:$AT$4, 0)) &lt; 0)
)</f>
        <v>0</v>
      </c>
      <c r="Q13" s="755">
        <f t="shared" si="18"/>
        <v>0</v>
      </c>
      <c r="R13" s="756">
        <f t="array" ref="R13">SUMPRODUCT((TRIM(INDEX('6. TIẾN ĐỘ MUA HÀNG'!$A$5:$AT644, 0, XMATCH("NCC VTBB/NL trong nước", '6. TIẾN ĐỘ MUA HÀNG'!$A$4:$AT$4, 0))) = TRIM($B13)) * (TRIM(INDEX('6. TIẾN ĐỘ MUA HÀNG'!$A$5:$AT644, 0, XMATCH("Tháng", '6. TIẾN ĐỘ MUA HÀNG'!$A$4:$AT$4, 0))) = TRIM(R$6)) * (INDEX('6. TIẾN ĐỘ MUA HÀNG'!$A$5:$AT644, 0, XMATCH("Mã đơn Misa", '6. TIẾN ĐỘ MUA HÀNG'!$A$4:$AT$4, 0)) &lt;&gt; ""))</f>
        <v>0</v>
      </c>
      <c r="S13" s="756">
        <f t="array" ref="S13">SUMPRODUCT(
  (INDEX('6. TIẾN ĐỘ MUA HÀNG'!$A$5:$AT644, 0, XMATCH("NCC VTBB/NL trong nước", '6. TIẾN ĐỘ MUA HÀNG'!$A$4:$AT$4, 0)) = $B13) * (TRIM(INDEX('6. TIẾN ĐỘ MUA HÀNG'!$A$5:$AT644, 0, XMATCH("Tháng", '6. TIẾN ĐỘ MUA HÀNG'!$A$4:$AT$4, 0))) = TRIM(R$6)) * (INDEX('6. TIẾN ĐỘ MUA HÀNG'!$A$5:$AT644, 0, XMATCH("CL NGÀY NCC DỰ KIẾN - NGÀY NHẬN HÀNG", '6. TIẾN ĐỘ MUA HÀNG'!$A$4:$AT$4, 0)) &lt; 0)
)</f>
        <v>0</v>
      </c>
      <c r="T13" s="757">
        <f t="shared" si="19"/>
        <v>0</v>
      </c>
      <c r="U13" s="754">
        <f t="array" ref="U13">SUMPRODUCT((TRIM(INDEX('6. TIẾN ĐỘ MUA HÀNG'!$A$5:$AT644, 0, XMATCH("NCC VTBB/NL trong nước", '6. TIẾN ĐỘ MUA HÀNG'!$A$4:$AT$4, 0))) = TRIM($B13)) * (TRIM(INDEX('6. TIẾN ĐỘ MUA HÀNG'!$A$5:$AT644, 0, XMATCH("Tháng", '6. TIẾN ĐỘ MUA HÀNG'!$A$4:$AT$4, 0))) = TRIM(U$6)) * (INDEX('6. TIẾN ĐỘ MUA HÀNG'!$A$5:$AT644, 0, XMATCH("Mã đơn Misa", '6. TIẾN ĐỘ MUA HÀNG'!$A$4:$AT$4, 0)) &lt;&gt; ""))</f>
        <v>0</v>
      </c>
      <c r="V13" s="754">
        <f t="array" ref="V13">SUMPRODUCT(
  (INDEX('6. TIẾN ĐỘ MUA HÀNG'!$A$5:$AT644, 0, XMATCH("NCC VTBB/NL trong nước", '6. TIẾN ĐỘ MUA HÀNG'!$A$4:$AT$4, 0)) = $B13) * (TRIM(INDEX('6. TIẾN ĐỘ MUA HÀNG'!$A$5:$AT644, 0, XMATCH("Tháng", '6. TIẾN ĐỘ MUA HÀNG'!$A$4:$AT$4, 0))) = TRIM(U$6)) * (INDEX('6. TIẾN ĐỘ MUA HÀNG'!$A$5:$AT644, 0, XMATCH("CL NGÀY NCC DỰ KIẾN - NGÀY NHẬN HÀNG", '6. TIẾN ĐỘ MUA HÀNG'!$A$4:$AT$4, 0)) &lt; 0)
)</f>
        <v>0</v>
      </c>
      <c r="W13" s="755">
        <f t="shared" si="20"/>
        <v>0</v>
      </c>
      <c r="X13" s="756">
        <f t="array" ref="X13">SUMPRODUCT((TRIM(INDEX('6. TIẾN ĐỘ MUA HÀNG'!$A$5:$AT644, 0, XMATCH("NCC VTBB/NL trong nước", '6. TIẾN ĐỘ MUA HÀNG'!$A$4:$AT$4, 0))) = TRIM($B13)) * (TRIM(INDEX('6. TIẾN ĐỘ MUA HÀNG'!$A$5:$AT644, 0, XMATCH("Tháng", '6. TIẾN ĐỘ MUA HÀNG'!$A$4:$AT$4, 0))) = TRIM(X$6)) * (INDEX('6. TIẾN ĐỘ MUA HÀNG'!$A$5:$AT644, 0, XMATCH("Mã đơn Misa", '6. TIẾN ĐỘ MUA HÀNG'!$A$4:$AT$4, 0)) &lt;&gt; ""))</f>
        <v>0</v>
      </c>
      <c r="Y13" s="756">
        <f t="array" ref="Y13">SUMPRODUCT(
  (INDEX('6. TIẾN ĐỘ MUA HÀNG'!$A$5:$AT644, 0, XMATCH("NCC VTBB/NL trong nước", '6. TIẾN ĐỘ MUA HÀNG'!$A$4:$AT$4, 0)) = $B13) * (TRIM(INDEX('6. TIẾN ĐỘ MUA HÀNG'!$A$5:$AT644, 0, XMATCH("Tháng", '6. TIẾN ĐỘ MUA HÀNG'!$A$4:$AT$4, 0))) = TRIM(X$6)) * (INDEX('6. TIẾN ĐỘ MUA HÀNG'!$A$5:$AT644, 0, XMATCH("CL NGÀY NCC DỰ KIẾN - NGÀY NHẬN HÀNG", '6. TIẾN ĐỘ MUA HÀNG'!$A$4:$AT$4, 0)) &lt; 0)
)</f>
        <v>0</v>
      </c>
      <c r="Z13" s="757">
        <f t="shared" si="21"/>
        <v>0</v>
      </c>
      <c r="AA13" s="754">
        <f t="array" ref="AA13">SUMPRODUCT((TRIM(INDEX('6. TIẾN ĐỘ MUA HÀNG'!$A$5:$AT644, 0, XMATCH("NCC VTBB/NL trong nước", '6. TIẾN ĐỘ MUA HÀNG'!$A$4:$AT$4, 0))) = TRIM($B13)) * (TRIM(INDEX('6. TIẾN ĐỘ MUA HÀNG'!$A$5:$AT644, 0, XMATCH("Tháng", '6. TIẾN ĐỘ MUA HÀNG'!$A$4:$AT$4, 0))) = TRIM(AA$6)) * (INDEX('6. TIẾN ĐỘ MUA HÀNG'!$A$5:$AT644, 0, XMATCH("Mã đơn Misa", '6. TIẾN ĐỘ MUA HÀNG'!$A$4:$AT$4, 0)) &lt;&gt; ""))</f>
        <v>0</v>
      </c>
      <c r="AB13" s="754">
        <f t="array" ref="AB13">SUMPRODUCT(
  (INDEX('6. TIẾN ĐỘ MUA HÀNG'!$A$5:$AT644, 0, XMATCH("NCC VTBB/NL trong nước", '6. TIẾN ĐỘ MUA HÀNG'!$A$4:$AT$4, 0)) = $B13) * (TRIM(INDEX('6. TIẾN ĐỘ MUA HÀNG'!$A$5:$AT644, 0, XMATCH("Tháng", '6. TIẾN ĐỘ MUA HÀNG'!$A$4:$AT$4, 0))) = TRIM(AA$6)) * (INDEX('6. TIẾN ĐỘ MUA HÀNG'!$A$5:$AT644, 0, XMATCH("CL NGÀY NCC DỰ KIẾN - NGÀY NHẬN HÀNG", '6. TIẾN ĐỘ MUA HÀNG'!$A$4:$AT$4, 0)) &lt; 0)
)</f>
        <v>0</v>
      </c>
      <c r="AC13" s="755">
        <f t="shared" si="22"/>
        <v>0</v>
      </c>
      <c r="AD13" s="756">
        <f t="array" ref="AD13">SUMPRODUCT((TRIM(INDEX('6. TIẾN ĐỘ MUA HÀNG'!$A$5:$AT644, 0, XMATCH("NCC VTBB/NL trong nước", '6. TIẾN ĐỘ MUA HÀNG'!$A$4:$AT$4, 0))) = TRIM($B13)) * (TRIM(INDEX('6. TIẾN ĐỘ MUA HÀNG'!$A$5:$AT644, 0, XMATCH("Tháng", '6. TIẾN ĐỘ MUA HÀNG'!$A$4:$AT$4, 0))) = TRIM(AD$6)) * (INDEX('6. TIẾN ĐỘ MUA HÀNG'!$A$5:$AT644, 0, XMATCH("Mã đơn Misa", '6. TIẾN ĐỘ MUA HÀNG'!$A$4:$AT$4, 0)) &lt;&gt; ""))</f>
        <v>0</v>
      </c>
      <c r="AE13" s="756">
        <f t="array" ref="AE13">SUMPRODUCT(
  (INDEX('6. TIẾN ĐỘ MUA HÀNG'!$A$5:$AT644, 0, XMATCH("NCC VTBB/NL trong nước", '6. TIẾN ĐỘ MUA HÀNG'!$A$4:$AT$4, 0)) = $B13) * (TRIM(INDEX('6. TIẾN ĐỘ MUA HÀNG'!$A$5:$AT644, 0, XMATCH("Tháng", '6. TIẾN ĐỘ MUA HÀNG'!$A$4:$AT$4, 0))) = TRIM(AD$6)) * (INDEX('6. TIẾN ĐỘ MUA HÀNG'!$A$5:$AT644, 0, XMATCH("CL NGÀY NCC DỰ KIẾN - NGÀY NHẬN HÀNG", '6. TIẾN ĐỘ MUA HÀNG'!$A$4:$AT$4, 0)) &lt; 0)
)</f>
        <v>0</v>
      </c>
      <c r="AF13" s="757">
        <f t="shared" si="23"/>
        <v>0</v>
      </c>
      <c r="AG13" s="754">
        <f t="array" ref="AG13">SUMPRODUCT((TRIM(INDEX('6. TIẾN ĐỘ MUA HÀNG'!$A$5:$AT644, 0, XMATCH("NCC VTBB/NL trong nước", '6. TIẾN ĐỘ MUA HÀNG'!$A$4:$AT$4, 0))) = TRIM($B13)) * (TRIM(INDEX('6. TIẾN ĐỘ MUA HÀNG'!$A$5:$AT644, 0, XMATCH("Tháng", '6. TIẾN ĐỘ MUA HÀNG'!$A$4:$AT$4, 0))) = TRIM(AG$6)) * (INDEX('6. TIẾN ĐỘ MUA HÀNG'!$A$5:$AT644, 0, XMATCH("Mã đơn Misa", '6. TIẾN ĐỘ MUA HÀNG'!$A$4:$AT$4, 0)) &lt;&gt; ""))</f>
        <v>0</v>
      </c>
      <c r="AH13" s="754">
        <f t="array" ref="AH13">SUMPRODUCT(
  (INDEX('6. TIẾN ĐỘ MUA HÀNG'!$A$5:$AT644, 0, XMATCH("NCC VTBB/NL trong nước", '6. TIẾN ĐỘ MUA HÀNG'!$A$4:$AT$4, 0)) = $B13) * (TRIM(INDEX('6. TIẾN ĐỘ MUA HÀNG'!$A$5:$AT644, 0, XMATCH("Tháng", '6. TIẾN ĐỘ MUA HÀNG'!$A$4:$AT$4, 0))) = TRIM(AG$6)) * (INDEX('6. TIẾN ĐỘ MUA HÀNG'!$A$5:$AT644, 0, XMATCH("CL NGÀY NCC DỰ KIẾN - NGÀY NHẬN HÀNG", '6. TIẾN ĐỘ MUA HÀNG'!$A$4:$AT$4, 0)) &lt; 0)
)</f>
        <v>0</v>
      </c>
      <c r="AI13" s="755">
        <f t="shared" si="24"/>
        <v>0</v>
      </c>
      <c r="AJ13" s="756">
        <f t="array" ref="AJ13">SUMPRODUCT((TRIM(INDEX('6. TIẾN ĐỘ MUA HÀNG'!$A$5:$AT644, 0, XMATCH("NCC VTBB/NL trong nước", '6. TIẾN ĐỘ MUA HÀNG'!$A$4:$AT$4, 0))) = TRIM($B13)) * (TRIM(INDEX('6. TIẾN ĐỘ MUA HÀNG'!$A$5:$AT644, 0, XMATCH("Tháng", '6. TIẾN ĐỘ MUA HÀNG'!$A$4:$AT$4, 0))) = TRIM(AJ$6)) * (INDEX('6. TIẾN ĐỘ MUA HÀNG'!$A$5:$AT644, 0, XMATCH("Mã đơn Misa", '6. TIẾN ĐỘ MUA HÀNG'!$A$4:$AT$4, 0)) &lt;&gt; ""))</f>
        <v>0</v>
      </c>
      <c r="AK13" s="756">
        <f t="array" ref="AK13">SUMPRODUCT(
  (INDEX('6. TIẾN ĐỘ MUA HÀNG'!$A$5:$AT644, 0, XMATCH("NCC VTBB/NL trong nước", '6. TIẾN ĐỘ MUA HÀNG'!$A$4:$AT$4, 0)) = $B13) * (TRIM(INDEX('6. TIẾN ĐỘ MUA HÀNG'!$A$5:$AT644, 0, XMATCH("Tháng", '6. TIẾN ĐỘ MUA HÀNG'!$A$4:$AT$4, 0))) = TRIM(AJ$6)) * (INDEX('6. TIẾN ĐỘ MUA HÀNG'!$A$5:$AT644, 0, XMATCH("CL NGÀY NCC DỰ KIẾN - NGÀY NHẬN HÀNG", '6. TIẾN ĐỘ MUA HÀNG'!$A$4:$AT$4, 0)) &lt; 0)
)</f>
        <v>0</v>
      </c>
      <c r="AL13" s="757">
        <f t="shared" si="25"/>
        <v>0</v>
      </c>
      <c r="AM13" s="726">
        <f t="shared" si="27"/>
        <v>0</v>
      </c>
      <c r="AN13" s="726">
        <f t="shared" si="28"/>
        <v>0</v>
      </c>
      <c r="AO13" s="727">
        <f t="shared" si="26"/>
        <v>0</v>
      </c>
    </row>
    <row r="14">
      <c r="A14" s="612">
        <v>6.0</v>
      </c>
      <c r="B14" s="624" t="str">
        <f>IFERROR(__xludf.DUMMYFUNCTION("""COMPUTED_VALUE"""),"An Tín")</f>
        <v>An Tín</v>
      </c>
      <c r="C14" s="754">
        <f t="array" ref="C14">SUMPRODUCT((TRIM(INDEX('6. TIẾN ĐỘ MUA HÀNG'!$A$5:$AT644, 0, XMATCH("NCC VTBB/NL trong nước", '6. TIẾN ĐỘ MUA HÀNG'!$A$4:$AT$4, 0))) = TRIM($B14)) * (TRIM(INDEX('6. TIẾN ĐỘ MUA HÀNG'!$A$5:$AT644, 0, XMATCH("Tháng", '6. TIẾN ĐỘ MUA HÀNG'!$A$4:$AT$4, 0))) = TRIM(C$6)) * (INDEX('6. TIẾN ĐỘ MUA HÀNG'!$A$5:$AT644, 0, XMATCH("Mã đơn Misa", '6. TIẾN ĐỘ MUA HÀNG'!$A$4:$AT$4, 0)) &lt;&gt; ""))</f>
        <v>0</v>
      </c>
      <c r="D14" s="754">
        <f t="array" ref="D14">SUMPRODUCT(
  (INDEX('6. TIẾN ĐỘ MUA HÀNG'!$A$5:$AT644, 0, XMATCH("NCC VTBB/NL trong nước", '6. TIẾN ĐỘ MUA HÀNG'!$A$4:$AT$4, 0)) = $B14) * (TRIM(INDEX('6. TIẾN ĐỘ MUA HÀNG'!$A$5:$AT644, 0, XMATCH("Tháng", '6. TIẾN ĐỘ MUA HÀNG'!$A$4:$AT$4, 0))) = TRIM(C$6)) * (INDEX('6. TIẾN ĐỘ MUA HÀNG'!$A$5:$AT644, 0, XMATCH("CL NGÀY NCC DỰ KIẾN - NGÀY NHẬN HÀNG", '6. TIẾN ĐỘ MUA HÀNG'!$A$4:$AT$4, 0)) &lt; 0)
)</f>
        <v>0</v>
      </c>
      <c r="E14" s="755">
        <f t="shared" ref="E14:E143" si="29">IFS(C14="", "", D14="", "", D14=0, 0, TRUE, C14/D14)</f>
        <v>0</v>
      </c>
      <c r="F14" s="756">
        <f t="array" ref="F14">SUMPRODUCT((TRIM(INDEX('6. TIẾN ĐỘ MUA HÀNG'!$A$5:$AT644, 0, XMATCH("NCC VTBB/NL trong nước", '6. TIẾN ĐỘ MUA HÀNG'!$A$4:$AT$4, 0))) = TRIM($B14)) * (TRIM(INDEX('6. TIẾN ĐỘ MUA HÀNG'!$A$5:$AT644, 0, XMATCH("Tháng", '6. TIẾN ĐỘ MUA HÀNG'!$A$4:$AT$4, 0))) = TRIM(F$6)) * (INDEX('6. TIẾN ĐỘ MUA HÀNG'!$A$5:$AT644, 0, XMATCH("Mã đơn Misa", '6. TIẾN ĐỘ MUA HÀNG'!$A$4:$AT$4, 0)) &lt;&gt; ""))</f>
        <v>0</v>
      </c>
      <c r="G14" s="756">
        <f t="array" ref="G14">SUMPRODUCT(
  (INDEX('6. TIẾN ĐỘ MUA HÀNG'!$A$5:$AT644, 0, XMATCH("NCC VTBB/NL trong nước", '6. TIẾN ĐỘ MUA HÀNG'!$A$4:$AT$4, 0)) = $B14) * (TRIM(INDEX('6. TIẾN ĐỘ MUA HÀNG'!$A$5:$AT644, 0, XMATCH("Tháng", '6. TIẾN ĐỘ MUA HÀNG'!$A$4:$AT$4, 0))) = TRIM(F$6)) * (INDEX('6. TIẾN ĐỘ MUA HÀNG'!$A$5:$AT644, 0, XMATCH("CL NGÀY NCC DỰ KIẾN - NGÀY NHẬN HÀNG", '6. TIẾN ĐỘ MUA HÀNG'!$A$4:$AT$4, 0)) &lt; 0)
)</f>
        <v>0</v>
      </c>
      <c r="H14" s="757">
        <f t="shared" si="15"/>
        <v>0</v>
      </c>
      <c r="I14" s="754">
        <f t="array" ref="I14">SUMPRODUCT((TRIM(INDEX('6. TIẾN ĐỘ MUA HÀNG'!$A$5:$AT644, 0, XMATCH("NCC VTBB/NL trong nước", '6. TIẾN ĐỘ MUA HÀNG'!$A$4:$AT$4, 0))) = TRIM($B14)) * (TRIM(INDEX('6. TIẾN ĐỘ MUA HÀNG'!$A$5:$AT644, 0, XMATCH("Tháng", '6. TIẾN ĐỘ MUA HÀNG'!$A$4:$AT$4, 0))) = TRIM(I$6)) * (INDEX('6. TIẾN ĐỘ MUA HÀNG'!$A$5:$AT644, 0, XMATCH("Mã đơn Misa", '6. TIẾN ĐỘ MUA HÀNG'!$A$4:$AT$4, 0)) &lt;&gt; ""))</f>
        <v>0</v>
      </c>
      <c r="J14" s="754">
        <f t="array" ref="J14">SUMPRODUCT(
  (INDEX('6. TIẾN ĐỘ MUA HÀNG'!$A$5:$AT644, 0, XMATCH("NCC VTBB/NL trong nước", '6. TIẾN ĐỘ MUA HÀNG'!$A$4:$AT$4, 0)) = $B14) * (TRIM(INDEX('6. TIẾN ĐỘ MUA HÀNG'!$A$5:$AT644, 0, XMATCH("Tháng", '6. TIẾN ĐỘ MUA HÀNG'!$A$4:$AT$4, 0))) = TRIM(I$6)) * (INDEX('6. TIẾN ĐỘ MUA HÀNG'!$A$5:$AT644, 0, XMATCH("CL NGÀY NCC DỰ KIẾN - NGÀY NHẬN HÀNG", '6. TIẾN ĐỘ MUA HÀNG'!$A$4:$AT$4, 0)) &lt; 0)
)</f>
        <v>0</v>
      </c>
      <c r="K14" s="755">
        <f t="shared" ref="K14:K143" si="30">IFS(I14="", "", J14="", "", J14=0, 0, TRUE, I14/J14)</f>
        <v>0</v>
      </c>
      <c r="L14" s="756">
        <f t="array" ref="L14">SUMPRODUCT((TRIM(INDEX('6. TIẾN ĐỘ MUA HÀNG'!$A$5:$AT644, 0, XMATCH("NCC VTBB/NL trong nước", '6. TIẾN ĐỘ MUA HÀNG'!$A$4:$AT$4, 0))) = TRIM($B14)) * (TRIM(INDEX('6. TIẾN ĐỘ MUA HÀNG'!$A$5:$AT644, 0, XMATCH("Tháng", '6. TIẾN ĐỘ MUA HÀNG'!$A$4:$AT$4, 0))) = TRIM(L$6)) * (INDEX('6. TIẾN ĐỘ MUA HÀNG'!$A$5:$AT644, 0, XMATCH("Mã đơn Misa", '6. TIẾN ĐỘ MUA HÀNG'!$A$4:$AT$4, 0)) &lt;&gt; ""))</f>
        <v>0</v>
      </c>
      <c r="M14" s="756">
        <f t="array" ref="M14">SUMPRODUCT(
  (INDEX('6. TIẾN ĐỘ MUA HÀNG'!$A$5:$AT644, 0, XMATCH("NCC VTBB/NL trong nước", '6. TIẾN ĐỘ MUA HÀNG'!$A$4:$AT$4, 0)) = $B14) * (TRIM(INDEX('6. TIẾN ĐỘ MUA HÀNG'!$A$5:$AT644, 0, XMATCH("Tháng", '6. TIẾN ĐỘ MUA HÀNG'!$A$4:$AT$4, 0))) = TRIM(L$6)) * (INDEX('6. TIẾN ĐỘ MUA HÀNG'!$A$5:$AT644, 0, XMATCH("CL NGÀY NCC DỰ KIẾN - NGÀY NHẬN HÀNG", '6. TIẾN ĐỘ MUA HÀNG'!$A$4:$AT$4, 0)) &lt; 0)
)</f>
        <v>0</v>
      </c>
      <c r="N14" s="757">
        <f t="shared" si="17"/>
        <v>0</v>
      </c>
      <c r="O14" s="754">
        <f t="array" ref="O14">SUMPRODUCT((TRIM(INDEX('6. TIẾN ĐỘ MUA HÀNG'!$A$5:$AT644, 0, XMATCH("NCC VTBB/NL trong nước", '6. TIẾN ĐỘ MUA HÀNG'!$A$4:$AT$4, 0))) = TRIM($B14)) * (TRIM(INDEX('6. TIẾN ĐỘ MUA HÀNG'!$A$5:$AT644, 0, XMATCH("Tháng", '6. TIẾN ĐỘ MUA HÀNG'!$A$4:$AT$4, 0))) = TRIM(O$6)) * (INDEX('6. TIẾN ĐỘ MUA HÀNG'!$A$5:$AT644, 0, XMATCH("Mã đơn Misa", '6. TIẾN ĐỘ MUA HÀNG'!$A$4:$AT$4, 0)) &lt;&gt; ""))</f>
        <v>0</v>
      </c>
      <c r="P14" s="754">
        <f t="array" ref="P14">SUMPRODUCT(
  (INDEX('6. TIẾN ĐỘ MUA HÀNG'!$A$5:$AT644, 0, XMATCH("NCC VTBB/NL trong nước", '6. TIẾN ĐỘ MUA HÀNG'!$A$4:$AT$4, 0)) = $B14) * (TRIM(INDEX('6. TIẾN ĐỘ MUA HÀNG'!$A$5:$AT644, 0, XMATCH("Tháng", '6. TIẾN ĐỘ MUA HÀNG'!$A$4:$AT$4, 0))) = TRIM(O$6)) * (INDEX('6. TIẾN ĐỘ MUA HÀNG'!$A$5:$AT644, 0, XMATCH("CL NGÀY NCC DỰ KIẾN - NGÀY NHẬN HÀNG", '6. TIẾN ĐỘ MUA HÀNG'!$A$4:$AT$4, 0)) &lt; 0)
)</f>
        <v>0</v>
      </c>
      <c r="Q14" s="755">
        <f t="shared" ref="Q14:Q143" si="31">IFS(O14="", "", P14="", "", P14=0, 0, TRUE, O14/P14)</f>
        <v>0</v>
      </c>
      <c r="R14" s="756">
        <f t="array" ref="R14">SUMPRODUCT((TRIM(INDEX('6. TIẾN ĐỘ MUA HÀNG'!$A$5:$AT644, 0, XMATCH("NCC VTBB/NL trong nước", '6. TIẾN ĐỘ MUA HÀNG'!$A$4:$AT$4, 0))) = TRIM($B14)) * (TRIM(INDEX('6. TIẾN ĐỘ MUA HÀNG'!$A$5:$AT644, 0, XMATCH("Tháng", '6. TIẾN ĐỘ MUA HÀNG'!$A$4:$AT$4, 0))) = TRIM(R$6)) * (INDEX('6. TIẾN ĐỘ MUA HÀNG'!$A$5:$AT644, 0, XMATCH("Mã đơn Misa", '6. TIẾN ĐỘ MUA HÀNG'!$A$4:$AT$4, 0)) &lt;&gt; ""))</f>
        <v>0</v>
      </c>
      <c r="S14" s="756">
        <f t="array" ref="S14">SUMPRODUCT(
  (INDEX('6. TIẾN ĐỘ MUA HÀNG'!$A$5:$AT644, 0, XMATCH("NCC VTBB/NL trong nước", '6. TIẾN ĐỘ MUA HÀNG'!$A$4:$AT$4, 0)) = $B14) * (TRIM(INDEX('6. TIẾN ĐỘ MUA HÀNG'!$A$5:$AT644, 0, XMATCH("Tháng", '6. TIẾN ĐỘ MUA HÀNG'!$A$4:$AT$4, 0))) = TRIM(R$6)) * (INDEX('6. TIẾN ĐỘ MUA HÀNG'!$A$5:$AT644, 0, XMATCH("CL NGÀY NCC DỰ KIẾN - NGÀY NHẬN HÀNG", '6. TIẾN ĐỘ MUA HÀNG'!$A$4:$AT$4, 0)) &lt; 0)
)</f>
        <v>0</v>
      </c>
      <c r="T14" s="757">
        <f t="shared" si="19"/>
        <v>0</v>
      </c>
      <c r="U14" s="754">
        <f t="array" ref="U14">SUMPRODUCT((TRIM(INDEX('6. TIẾN ĐỘ MUA HÀNG'!$A$5:$AT644, 0, XMATCH("NCC VTBB/NL trong nước", '6. TIẾN ĐỘ MUA HÀNG'!$A$4:$AT$4, 0))) = TRIM($B14)) * (TRIM(INDEX('6. TIẾN ĐỘ MUA HÀNG'!$A$5:$AT644, 0, XMATCH("Tháng", '6. TIẾN ĐỘ MUA HÀNG'!$A$4:$AT$4, 0))) = TRIM(U$6)) * (INDEX('6. TIẾN ĐỘ MUA HÀNG'!$A$5:$AT644, 0, XMATCH("Mã đơn Misa", '6. TIẾN ĐỘ MUA HÀNG'!$A$4:$AT$4, 0)) &lt;&gt; ""))</f>
        <v>0</v>
      </c>
      <c r="V14" s="754">
        <f t="array" ref="V14">SUMPRODUCT(
  (INDEX('6. TIẾN ĐỘ MUA HÀNG'!$A$5:$AT644, 0, XMATCH("NCC VTBB/NL trong nước", '6. TIẾN ĐỘ MUA HÀNG'!$A$4:$AT$4, 0)) = $B14) * (TRIM(INDEX('6. TIẾN ĐỘ MUA HÀNG'!$A$5:$AT644, 0, XMATCH("Tháng", '6. TIẾN ĐỘ MUA HÀNG'!$A$4:$AT$4, 0))) = TRIM(U$6)) * (INDEX('6. TIẾN ĐỘ MUA HÀNG'!$A$5:$AT644, 0, XMATCH("CL NGÀY NCC DỰ KIẾN - NGÀY NHẬN HÀNG", '6. TIẾN ĐỘ MUA HÀNG'!$A$4:$AT$4, 0)) &lt; 0)
)</f>
        <v>0</v>
      </c>
      <c r="W14" s="755">
        <f t="shared" ref="W14:W143" si="32">IFS(U14="", "", V14="", "", V14=0, 0, TRUE, U14/V14)</f>
        <v>0</v>
      </c>
      <c r="X14" s="756">
        <f t="array" ref="X14">SUMPRODUCT((TRIM(INDEX('6. TIẾN ĐỘ MUA HÀNG'!$A$5:$AT644, 0, XMATCH("NCC VTBB/NL trong nước", '6. TIẾN ĐỘ MUA HÀNG'!$A$4:$AT$4, 0))) = TRIM($B14)) * (TRIM(INDEX('6. TIẾN ĐỘ MUA HÀNG'!$A$5:$AT644, 0, XMATCH("Tháng", '6. TIẾN ĐỘ MUA HÀNG'!$A$4:$AT$4, 0))) = TRIM(X$6)) * (INDEX('6. TIẾN ĐỘ MUA HÀNG'!$A$5:$AT644, 0, XMATCH("Mã đơn Misa", '6. TIẾN ĐỘ MUA HÀNG'!$A$4:$AT$4, 0)) &lt;&gt; ""))</f>
        <v>0</v>
      </c>
      <c r="Y14" s="756">
        <f t="array" ref="Y14">SUMPRODUCT(
  (INDEX('6. TIẾN ĐỘ MUA HÀNG'!$A$5:$AT644, 0, XMATCH("NCC VTBB/NL trong nước", '6. TIẾN ĐỘ MUA HÀNG'!$A$4:$AT$4, 0)) = $B14) * (TRIM(INDEX('6. TIẾN ĐỘ MUA HÀNG'!$A$5:$AT644, 0, XMATCH("Tháng", '6. TIẾN ĐỘ MUA HÀNG'!$A$4:$AT$4, 0))) = TRIM(X$6)) * (INDEX('6. TIẾN ĐỘ MUA HÀNG'!$A$5:$AT644, 0, XMATCH("CL NGÀY NCC DỰ KIẾN - NGÀY NHẬN HÀNG", '6. TIẾN ĐỘ MUA HÀNG'!$A$4:$AT$4, 0)) &lt; 0)
)</f>
        <v>0</v>
      </c>
      <c r="Z14" s="757">
        <f t="shared" si="21"/>
        <v>0</v>
      </c>
      <c r="AA14" s="754">
        <f t="array" ref="AA14">SUMPRODUCT((TRIM(INDEX('6. TIẾN ĐỘ MUA HÀNG'!$A$5:$AT644, 0, XMATCH("NCC VTBB/NL trong nước", '6. TIẾN ĐỘ MUA HÀNG'!$A$4:$AT$4, 0))) = TRIM($B14)) * (TRIM(INDEX('6. TIẾN ĐỘ MUA HÀNG'!$A$5:$AT644, 0, XMATCH("Tháng", '6. TIẾN ĐỘ MUA HÀNG'!$A$4:$AT$4, 0))) = TRIM(AA$6)) * (INDEX('6. TIẾN ĐỘ MUA HÀNG'!$A$5:$AT644, 0, XMATCH("Mã đơn Misa", '6. TIẾN ĐỘ MUA HÀNG'!$A$4:$AT$4, 0)) &lt;&gt; ""))</f>
        <v>0</v>
      </c>
      <c r="AB14" s="754">
        <f t="array" ref="AB14">SUMPRODUCT(
  (INDEX('6. TIẾN ĐỘ MUA HÀNG'!$A$5:$AT644, 0, XMATCH("NCC VTBB/NL trong nước", '6. TIẾN ĐỘ MUA HÀNG'!$A$4:$AT$4, 0)) = $B14) * (TRIM(INDEX('6. TIẾN ĐỘ MUA HÀNG'!$A$5:$AT644, 0, XMATCH("Tháng", '6. TIẾN ĐỘ MUA HÀNG'!$A$4:$AT$4, 0))) = TRIM(AA$6)) * (INDEX('6. TIẾN ĐỘ MUA HÀNG'!$A$5:$AT644, 0, XMATCH("CL NGÀY NCC DỰ KIẾN - NGÀY NHẬN HÀNG", '6. TIẾN ĐỘ MUA HÀNG'!$A$4:$AT$4, 0)) &lt; 0)
)</f>
        <v>0</v>
      </c>
      <c r="AC14" s="755">
        <f t="shared" ref="AC14:AC143" si="33">IFS(AA14="", "", AB14="", "", AB14=0, 0, TRUE, AA14/AB14)</f>
        <v>0</v>
      </c>
      <c r="AD14" s="756">
        <f t="array" ref="AD14">SUMPRODUCT((TRIM(INDEX('6. TIẾN ĐỘ MUA HÀNG'!$A$5:$AT644, 0, XMATCH("NCC VTBB/NL trong nước", '6. TIẾN ĐỘ MUA HÀNG'!$A$4:$AT$4, 0))) = TRIM($B14)) * (TRIM(INDEX('6. TIẾN ĐỘ MUA HÀNG'!$A$5:$AT644, 0, XMATCH("Tháng", '6. TIẾN ĐỘ MUA HÀNG'!$A$4:$AT$4, 0))) = TRIM(AD$6)) * (INDEX('6. TIẾN ĐỘ MUA HÀNG'!$A$5:$AT644, 0, XMATCH("Mã đơn Misa", '6. TIẾN ĐỘ MUA HÀNG'!$A$4:$AT$4, 0)) &lt;&gt; ""))</f>
        <v>0</v>
      </c>
      <c r="AE14" s="756">
        <f t="array" ref="AE14">SUMPRODUCT(
  (INDEX('6. TIẾN ĐỘ MUA HÀNG'!$A$5:$AT644, 0, XMATCH("NCC VTBB/NL trong nước", '6. TIẾN ĐỘ MUA HÀNG'!$A$4:$AT$4, 0)) = $B14) * (TRIM(INDEX('6. TIẾN ĐỘ MUA HÀNG'!$A$5:$AT644, 0, XMATCH("Tháng", '6. TIẾN ĐỘ MUA HÀNG'!$A$4:$AT$4, 0))) = TRIM(AD$6)) * (INDEX('6. TIẾN ĐỘ MUA HÀNG'!$A$5:$AT644, 0, XMATCH("CL NGÀY NCC DỰ KIẾN - NGÀY NHẬN HÀNG", '6. TIẾN ĐỘ MUA HÀNG'!$A$4:$AT$4, 0)) &lt; 0)
)</f>
        <v>0</v>
      </c>
      <c r="AF14" s="757">
        <f t="shared" si="23"/>
        <v>0</v>
      </c>
      <c r="AG14" s="754">
        <f t="array" ref="AG14">SUMPRODUCT((TRIM(INDEX('6. TIẾN ĐỘ MUA HÀNG'!$A$5:$AT644, 0, XMATCH("NCC VTBB/NL trong nước", '6. TIẾN ĐỘ MUA HÀNG'!$A$4:$AT$4, 0))) = TRIM($B14)) * (TRIM(INDEX('6. TIẾN ĐỘ MUA HÀNG'!$A$5:$AT644, 0, XMATCH("Tháng", '6. TIẾN ĐỘ MUA HÀNG'!$A$4:$AT$4, 0))) = TRIM(AG$6)) * (INDEX('6. TIẾN ĐỘ MUA HÀNG'!$A$5:$AT644, 0, XMATCH("Mã đơn Misa", '6. TIẾN ĐỘ MUA HÀNG'!$A$4:$AT$4, 0)) &lt;&gt; ""))</f>
        <v>0</v>
      </c>
      <c r="AH14" s="754">
        <f t="array" ref="AH14">SUMPRODUCT(
  (INDEX('6. TIẾN ĐỘ MUA HÀNG'!$A$5:$AT644, 0, XMATCH("NCC VTBB/NL trong nước", '6. TIẾN ĐỘ MUA HÀNG'!$A$4:$AT$4, 0)) = $B14) * (TRIM(INDEX('6. TIẾN ĐỘ MUA HÀNG'!$A$5:$AT644, 0, XMATCH("Tháng", '6. TIẾN ĐỘ MUA HÀNG'!$A$4:$AT$4, 0))) = TRIM(AG$6)) * (INDEX('6. TIẾN ĐỘ MUA HÀNG'!$A$5:$AT644, 0, XMATCH("CL NGÀY NCC DỰ KIẾN - NGÀY NHẬN HÀNG", '6. TIẾN ĐỘ MUA HÀNG'!$A$4:$AT$4, 0)) &lt; 0)
)</f>
        <v>0</v>
      </c>
      <c r="AI14" s="755">
        <f t="shared" ref="AI14:AI143" si="34">IFS(AG14="", "", AH14="", "", AH14=0, 0, TRUE, AG14/AH14)</f>
        <v>0</v>
      </c>
      <c r="AJ14" s="756">
        <f t="array" ref="AJ14">SUMPRODUCT((TRIM(INDEX('6. TIẾN ĐỘ MUA HÀNG'!$A$5:$AT644, 0, XMATCH("NCC VTBB/NL trong nước", '6. TIẾN ĐỘ MUA HÀNG'!$A$4:$AT$4, 0))) = TRIM($B14)) * (TRIM(INDEX('6. TIẾN ĐỘ MUA HÀNG'!$A$5:$AT644, 0, XMATCH("Tháng", '6. TIẾN ĐỘ MUA HÀNG'!$A$4:$AT$4, 0))) = TRIM(AJ$6)) * (INDEX('6. TIẾN ĐỘ MUA HÀNG'!$A$5:$AT644, 0, XMATCH("Mã đơn Misa", '6. TIẾN ĐỘ MUA HÀNG'!$A$4:$AT$4, 0)) &lt;&gt; ""))</f>
        <v>0</v>
      </c>
      <c r="AK14" s="756">
        <f t="array" ref="AK14">SUMPRODUCT(
  (INDEX('6. TIẾN ĐỘ MUA HÀNG'!$A$5:$AT644, 0, XMATCH("NCC VTBB/NL trong nước", '6. TIẾN ĐỘ MUA HÀNG'!$A$4:$AT$4, 0)) = $B14) * (TRIM(INDEX('6. TIẾN ĐỘ MUA HÀNG'!$A$5:$AT644, 0, XMATCH("Tháng", '6. TIẾN ĐỘ MUA HÀNG'!$A$4:$AT$4, 0))) = TRIM(AJ$6)) * (INDEX('6. TIẾN ĐỘ MUA HÀNG'!$A$5:$AT644, 0, XMATCH("CL NGÀY NCC DỰ KIẾN - NGÀY NHẬN HÀNG", '6. TIẾN ĐỘ MUA HÀNG'!$A$4:$AT$4, 0)) &lt; 0)
)</f>
        <v>0</v>
      </c>
      <c r="AL14" s="757">
        <f t="shared" si="25"/>
        <v>0</v>
      </c>
      <c r="AM14" s="726">
        <f t="shared" si="27"/>
        <v>0</v>
      </c>
      <c r="AN14" s="726">
        <f t="shared" si="28"/>
        <v>0</v>
      </c>
      <c r="AO14" s="727">
        <f t="shared" si="26"/>
        <v>0</v>
      </c>
    </row>
    <row r="15">
      <c r="A15" s="612">
        <v>7.0</v>
      </c>
      <c r="B15" s="624" t="str">
        <f>IFERROR(__xludf.DUMMYFUNCTION("""COMPUTED_VALUE"""),"Cường Phát")</f>
        <v>Cường Phát</v>
      </c>
      <c r="C15" s="754">
        <f t="array" ref="C15">SUMPRODUCT((TRIM(INDEX('6. TIẾN ĐỘ MUA HÀNG'!$A$5:$AT644, 0, XMATCH("NCC VTBB/NL trong nước", '6. TIẾN ĐỘ MUA HÀNG'!$A$4:$AT$4, 0))) = TRIM($B15)) * (TRIM(INDEX('6. TIẾN ĐỘ MUA HÀNG'!$A$5:$AT644, 0, XMATCH("Tháng", '6. TIẾN ĐỘ MUA HÀNG'!$A$4:$AT$4, 0))) = TRIM(C$6)) * (INDEX('6. TIẾN ĐỘ MUA HÀNG'!$A$5:$AT644, 0, XMATCH("Mã đơn Misa", '6. TIẾN ĐỘ MUA HÀNG'!$A$4:$AT$4, 0)) &lt;&gt; ""))</f>
        <v>0</v>
      </c>
      <c r="D15" s="754">
        <f t="array" ref="D15">SUMPRODUCT(
  (INDEX('6. TIẾN ĐỘ MUA HÀNG'!$A$5:$AT644, 0, XMATCH("NCC VTBB/NL trong nước", '6. TIẾN ĐỘ MUA HÀNG'!$A$4:$AT$4, 0)) = $B15) * (TRIM(INDEX('6. TIẾN ĐỘ MUA HÀNG'!$A$5:$AT644, 0, XMATCH("Tháng", '6. TIẾN ĐỘ MUA HÀNG'!$A$4:$AT$4, 0))) = TRIM(C$6)) * (INDEX('6. TIẾN ĐỘ MUA HÀNG'!$A$5:$AT644, 0, XMATCH("CL NGÀY NCC DỰ KIẾN - NGÀY NHẬN HÀNG", '6. TIẾN ĐỘ MUA HÀNG'!$A$4:$AT$4, 0)) &lt; 0)
)</f>
        <v>0</v>
      </c>
      <c r="E15" s="755">
        <f t="shared" si="29"/>
        <v>0</v>
      </c>
      <c r="F15" s="756">
        <f t="array" ref="F15">SUMPRODUCT((TRIM(INDEX('6. TIẾN ĐỘ MUA HÀNG'!$A$5:$AT644, 0, XMATCH("NCC VTBB/NL trong nước", '6. TIẾN ĐỘ MUA HÀNG'!$A$4:$AT$4, 0))) = TRIM($B15)) * (TRIM(INDEX('6. TIẾN ĐỘ MUA HÀNG'!$A$5:$AT644, 0, XMATCH("Tháng", '6. TIẾN ĐỘ MUA HÀNG'!$A$4:$AT$4, 0))) = TRIM(F$6)) * (INDEX('6. TIẾN ĐỘ MUA HÀNG'!$A$5:$AT644, 0, XMATCH("Mã đơn Misa", '6. TIẾN ĐỘ MUA HÀNG'!$A$4:$AT$4, 0)) &lt;&gt; ""))</f>
        <v>0</v>
      </c>
      <c r="G15" s="756">
        <f t="array" ref="G15">SUMPRODUCT(
  (INDEX('6. TIẾN ĐỘ MUA HÀNG'!$A$5:$AT644, 0, XMATCH("NCC VTBB/NL trong nước", '6. TIẾN ĐỘ MUA HÀNG'!$A$4:$AT$4, 0)) = $B15) * (TRIM(INDEX('6. TIẾN ĐỘ MUA HÀNG'!$A$5:$AT644, 0, XMATCH("Tháng", '6. TIẾN ĐỘ MUA HÀNG'!$A$4:$AT$4, 0))) = TRIM(F$6)) * (INDEX('6. TIẾN ĐỘ MUA HÀNG'!$A$5:$AT644, 0, XMATCH("CL NGÀY NCC DỰ KIẾN - NGÀY NHẬN HÀNG", '6. TIẾN ĐỘ MUA HÀNG'!$A$4:$AT$4, 0)) &lt; 0)
)</f>
        <v>0</v>
      </c>
      <c r="H15" s="757">
        <f t="shared" si="15"/>
        <v>0</v>
      </c>
      <c r="I15" s="754">
        <f t="array" ref="I15">SUMPRODUCT((TRIM(INDEX('6. TIẾN ĐỘ MUA HÀNG'!$A$5:$AT644, 0, XMATCH("NCC VTBB/NL trong nước", '6. TIẾN ĐỘ MUA HÀNG'!$A$4:$AT$4, 0))) = TRIM($B15)) * (TRIM(INDEX('6. TIẾN ĐỘ MUA HÀNG'!$A$5:$AT644, 0, XMATCH("Tháng", '6. TIẾN ĐỘ MUA HÀNG'!$A$4:$AT$4, 0))) = TRIM(I$6)) * (INDEX('6. TIẾN ĐỘ MUA HÀNG'!$A$5:$AT644, 0, XMATCH("Mã đơn Misa", '6. TIẾN ĐỘ MUA HÀNG'!$A$4:$AT$4, 0)) &lt;&gt; ""))</f>
        <v>0</v>
      </c>
      <c r="J15" s="754">
        <f t="array" ref="J15">SUMPRODUCT(
  (INDEX('6. TIẾN ĐỘ MUA HÀNG'!$A$5:$AT644, 0, XMATCH("NCC VTBB/NL trong nước", '6. TIẾN ĐỘ MUA HÀNG'!$A$4:$AT$4, 0)) = $B15) * (TRIM(INDEX('6. TIẾN ĐỘ MUA HÀNG'!$A$5:$AT644, 0, XMATCH("Tháng", '6. TIẾN ĐỘ MUA HÀNG'!$A$4:$AT$4, 0))) = TRIM(I$6)) * (INDEX('6. TIẾN ĐỘ MUA HÀNG'!$A$5:$AT644, 0, XMATCH("CL NGÀY NCC DỰ KIẾN - NGÀY NHẬN HÀNG", '6. TIẾN ĐỘ MUA HÀNG'!$A$4:$AT$4, 0)) &lt; 0)
)</f>
        <v>0</v>
      </c>
      <c r="K15" s="755">
        <f t="shared" si="30"/>
        <v>0</v>
      </c>
      <c r="L15" s="756">
        <f t="array" ref="L15">SUMPRODUCT((TRIM(INDEX('6. TIẾN ĐỘ MUA HÀNG'!$A$5:$AT644, 0, XMATCH("NCC VTBB/NL trong nước", '6. TIẾN ĐỘ MUA HÀNG'!$A$4:$AT$4, 0))) = TRIM($B15)) * (TRIM(INDEX('6. TIẾN ĐỘ MUA HÀNG'!$A$5:$AT644, 0, XMATCH("Tháng", '6. TIẾN ĐỘ MUA HÀNG'!$A$4:$AT$4, 0))) = TRIM(L$6)) * (INDEX('6. TIẾN ĐỘ MUA HÀNG'!$A$5:$AT644, 0, XMATCH("Mã đơn Misa", '6. TIẾN ĐỘ MUA HÀNG'!$A$4:$AT$4, 0)) &lt;&gt; ""))</f>
        <v>0</v>
      </c>
      <c r="M15" s="756">
        <f t="array" ref="M15">SUMPRODUCT(
  (INDEX('6. TIẾN ĐỘ MUA HÀNG'!$A$5:$AT644, 0, XMATCH("NCC VTBB/NL trong nước", '6. TIẾN ĐỘ MUA HÀNG'!$A$4:$AT$4, 0)) = $B15) * (TRIM(INDEX('6. TIẾN ĐỘ MUA HÀNG'!$A$5:$AT644, 0, XMATCH("Tháng", '6. TIẾN ĐỘ MUA HÀNG'!$A$4:$AT$4, 0))) = TRIM(L$6)) * (INDEX('6. TIẾN ĐỘ MUA HÀNG'!$A$5:$AT644, 0, XMATCH("CL NGÀY NCC DỰ KIẾN - NGÀY NHẬN HÀNG", '6. TIẾN ĐỘ MUA HÀNG'!$A$4:$AT$4, 0)) &lt; 0)
)</f>
        <v>0</v>
      </c>
      <c r="N15" s="757">
        <f t="shared" si="17"/>
        <v>0</v>
      </c>
      <c r="O15" s="754">
        <f t="array" ref="O15">SUMPRODUCT((TRIM(INDEX('6. TIẾN ĐỘ MUA HÀNG'!$A$5:$AT644, 0, XMATCH("NCC VTBB/NL trong nước", '6. TIẾN ĐỘ MUA HÀNG'!$A$4:$AT$4, 0))) = TRIM($B15)) * (TRIM(INDEX('6. TIẾN ĐỘ MUA HÀNG'!$A$5:$AT644, 0, XMATCH("Tháng", '6. TIẾN ĐỘ MUA HÀNG'!$A$4:$AT$4, 0))) = TRIM(O$6)) * (INDEX('6. TIẾN ĐỘ MUA HÀNG'!$A$5:$AT644, 0, XMATCH("Mã đơn Misa", '6. TIẾN ĐỘ MUA HÀNG'!$A$4:$AT$4, 0)) &lt;&gt; ""))</f>
        <v>0</v>
      </c>
      <c r="P15" s="754">
        <f t="array" ref="P15">SUMPRODUCT(
  (INDEX('6. TIẾN ĐỘ MUA HÀNG'!$A$5:$AT644, 0, XMATCH("NCC VTBB/NL trong nước", '6. TIẾN ĐỘ MUA HÀNG'!$A$4:$AT$4, 0)) = $B15) * (TRIM(INDEX('6. TIẾN ĐỘ MUA HÀNG'!$A$5:$AT644, 0, XMATCH("Tháng", '6. TIẾN ĐỘ MUA HÀNG'!$A$4:$AT$4, 0))) = TRIM(O$6)) * (INDEX('6. TIẾN ĐỘ MUA HÀNG'!$A$5:$AT644, 0, XMATCH("CL NGÀY NCC DỰ KIẾN - NGÀY NHẬN HÀNG", '6. TIẾN ĐỘ MUA HÀNG'!$A$4:$AT$4, 0)) &lt; 0)
)</f>
        <v>0</v>
      </c>
      <c r="Q15" s="755">
        <f t="shared" si="31"/>
        <v>0</v>
      </c>
      <c r="R15" s="756">
        <f t="array" ref="R15">SUMPRODUCT((TRIM(INDEX('6. TIẾN ĐỘ MUA HÀNG'!$A$5:$AT644, 0, XMATCH("NCC VTBB/NL trong nước", '6. TIẾN ĐỘ MUA HÀNG'!$A$4:$AT$4, 0))) = TRIM($B15)) * (TRIM(INDEX('6. TIẾN ĐỘ MUA HÀNG'!$A$5:$AT644, 0, XMATCH("Tháng", '6. TIẾN ĐỘ MUA HÀNG'!$A$4:$AT$4, 0))) = TRIM(R$6)) * (INDEX('6. TIẾN ĐỘ MUA HÀNG'!$A$5:$AT644, 0, XMATCH("Mã đơn Misa", '6. TIẾN ĐỘ MUA HÀNG'!$A$4:$AT$4, 0)) &lt;&gt; ""))</f>
        <v>0</v>
      </c>
      <c r="S15" s="756">
        <f t="array" ref="S15">SUMPRODUCT(
  (INDEX('6. TIẾN ĐỘ MUA HÀNG'!$A$5:$AT644, 0, XMATCH("NCC VTBB/NL trong nước", '6. TIẾN ĐỘ MUA HÀNG'!$A$4:$AT$4, 0)) = $B15) * (TRIM(INDEX('6. TIẾN ĐỘ MUA HÀNG'!$A$5:$AT644, 0, XMATCH("Tháng", '6. TIẾN ĐỘ MUA HÀNG'!$A$4:$AT$4, 0))) = TRIM(R$6)) * (INDEX('6. TIẾN ĐỘ MUA HÀNG'!$A$5:$AT644, 0, XMATCH("CL NGÀY NCC DỰ KIẾN - NGÀY NHẬN HÀNG", '6. TIẾN ĐỘ MUA HÀNG'!$A$4:$AT$4, 0)) &lt; 0)
)</f>
        <v>0</v>
      </c>
      <c r="T15" s="757">
        <f t="shared" si="19"/>
        <v>0</v>
      </c>
      <c r="U15" s="754">
        <f t="array" ref="U15">SUMPRODUCT((TRIM(INDEX('6. TIẾN ĐỘ MUA HÀNG'!$A$5:$AT644, 0, XMATCH("NCC VTBB/NL trong nước", '6. TIẾN ĐỘ MUA HÀNG'!$A$4:$AT$4, 0))) = TRIM($B15)) * (TRIM(INDEX('6. TIẾN ĐỘ MUA HÀNG'!$A$5:$AT644, 0, XMATCH("Tháng", '6. TIẾN ĐỘ MUA HÀNG'!$A$4:$AT$4, 0))) = TRIM(U$6)) * (INDEX('6. TIẾN ĐỘ MUA HÀNG'!$A$5:$AT644, 0, XMATCH("Mã đơn Misa", '6. TIẾN ĐỘ MUA HÀNG'!$A$4:$AT$4, 0)) &lt;&gt; ""))</f>
        <v>0</v>
      </c>
      <c r="V15" s="754">
        <f t="array" ref="V15">SUMPRODUCT(
  (INDEX('6. TIẾN ĐỘ MUA HÀNG'!$A$5:$AT644, 0, XMATCH("NCC VTBB/NL trong nước", '6. TIẾN ĐỘ MUA HÀNG'!$A$4:$AT$4, 0)) = $B15) * (TRIM(INDEX('6. TIẾN ĐỘ MUA HÀNG'!$A$5:$AT644, 0, XMATCH("Tháng", '6. TIẾN ĐỘ MUA HÀNG'!$A$4:$AT$4, 0))) = TRIM(U$6)) * (INDEX('6. TIẾN ĐỘ MUA HÀNG'!$A$5:$AT644, 0, XMATCH("CL NGÀY NCC DỰ KIẾN - NGÀY NHẬN HÀNG", '6. TIẾN ĐỘ MUA HÀNG'!$A$4:$AT$4, 0)) &lt; 0)
)</f>
        <v>0</v>
      </c>
      <c r="W15" s="755">
        <f t="shared" si="32"/>
        <v>0</v>
      </c>
      <c r="X15" s="756">
        <f t="array" ref="X15">SUMPRODUCT((TRIM(INDEX('6. TIẾN ĐỘ MUA HÀNG'!$A$5:$AT644, 0, XMATCH("NCC VTBB/NL trong nước", '6. TIẾN ĐỘ MUA HÀNG'!$A$4:$AT$4, 0))) = TRIM($B15)) * (TRIM(INDEX('6. TIẾN ĐỘ MUA HÀNG'!$A$5:$AT644, 0, XMATCH("Tháng", '6. TIẾN ĐỘ MUA HÀNG'!$A$4:$AT$4, 0))) = TRIM(X$6)) * (INDEX('6. TIẾN ĐỘ MUA HÀNG'!$A$5:$AT644, 0, XMATCH("Mã đơn Misa", '6. TIẾN ĐỘ MUA HÀNG'!$A$4:$AT$4, 0)) &lt;&gt; ""))</f>
        <v>0</v>
      </c>
      <c r="Y15" s="756">
        <f t="array" ref="Y15">SUMPRODUCT(
  (INDEX('6. TIẾN ĐỘ MUA HÀNG'!$A$5:$AT644, 0, XMATCH("NCC VTBB/NL trong nước", '6. TIẾN ĐỘ MUA HÀNG'!$A$4:$AT$4, 0)) = $B15) * (TRIM(INDEX('6. TIẾN ĐỘ MUA HÀNG'!$A$5:$AT644, 0, XMATCH("Tháng", '6. TIẾN ĐỘ MUA HÀNG'!$A$4:$AT$4, 0))) = TRIM(X$6)) * (INDEX('6. TIẾN ĐỘ MUA HÀNG'!$A$5:$AT644, 0, XMATCH("CL NGÀY NCC DỰ KIẾN - NGÀY NHẬN HÀNG", '6. TIẾN ĐỘ MUA HÀNG'!$A$4:$AT$4, 0)) &lt; 0)
)</f>
        <v>0</v>
      </c>
      <c r="Z15" s="757">
        <f t="shared" si="21"/>
        <v>0</v>
      </c>
      <c r="AA15" s="754">
        <f t="array" ref="AA15">SUMPRODUCT((TRIM(INDEX('6. TIẾN ĐỘ MUA HÀNG'!$A$5:$AT644, 0, XMATCH("NCC VTBB/NL trong nước", '6. TIẾN ĐỘ MUA HÀNG'!$A$4:$AT$4, 0))) = TRIM($B15)) * (TRIM(INDEX('6. TIẾN ĐỘ MUA HÀNG'!$A$5:$AT644, 0, XMATCH("Tháng", '6. TIẾN ĐỘ MUA HÀNG'!$A$4:$AT$4, 0))) = TRIM(AA$6)) * (INDEX('6. TIẾN ĐỘ MUA HÀNG'!$A$5:$AT644, 0, XMATCH("Mã đơn Misa", '6. TIẾN ĐỘ MUA HÀNG'!$A$4:$AT$4, 0)) &lt;&gt; ""))</f>
        <v>0</v>
      </c>
      <c r="AB15" s="754">
        <f t="array" ref="AB15">SUMPRODUCT(
  (INDEX('6. TIẾN ĐỘ MUA HÀNG'!$A$5:$AT644, 0, XMATCH("NCC VTBB/NL trong nước", '6. TIẾN ĐỘ MUA HÀNG'!$A$4:$AT$4, 0)) = $B15) * (TRIM(INDEX('6. TIẾN ĐỘ MUA HÀNG'!$A$5:$AT644, 0, XMATCH("Tháng", '6. TIẾN ĐỘ MUA HÀNG'!$A$4:$AT$4, 0))) = TRIM(AA$6)) * (INDEX('6. TIẾN ĐỘ MUA HÀNG'!$A$5:$AT644, 0, XMATCH("CL NGÀY NCC DỰ KIẾN - NGÀY NHẬN HÀNG", '6. TIẾN ĐỘ MUA HÀNG'!$A$4:$AT$4, 0)) &lt; 0)
)</f>
        <v>0</v>
      </c>
      <c r="AC15" s="755">
        <f t="shared" si="33"/>
        <v>0</v>
      </c>
      <c r="AD15" s="756">
        <f t="array" ref="AD15">SUMPRODUCT((TRIM(INDEX('6. TIẾN ĐỘ MUA HÀNG'!$A$5:$AT644, 0, XMATCH("NCC VTBB/NL trong nước", '6. TIẾN ĐỘ MUA HÀNG'!$A$4:$AT$4, 0))) = TRIM($B15)) * (TRIM(INDEX('6. TIẾN ĐỘ MUA HÀNG'!$A$5:$AT644, 0, XMATCH("Tháng", '6. TIẾN ĐỘ MUA HÀNG'!$A$4:$AT$4, 0))) = TRIM(AD$6)) * (INDEX('6. TIẾN ĐỘ MUA HÀNG'!$A$5:$AT644, 0, XMATCH("Mã đơn Misa", '6. TIẾN ĐỘ MUA HÀNG'!$A$4:$AT$4, 0)) &lt;&gt; ""))</f>
        <v>0</v>
      </c>
      <c r="AE15" s="756">
        <f t="array" ref="AE15">SUMPRODUCT(
  (INDEX('6. TIẾN ĐỘ MUA HÀNG'!$A$5:$AT644, 0, XMATCH("NCC VTBB/NL trong nước", '6. TIẾN ĐỘ MUA HÀNG'!$A$4:$AT$4, 0)) = $B15) * (TRIM(INDEX('6. TIẾN ĐỘ MUA HÀNG'!$A$5:$AT644, 0, XMATCH("Tháng", '6. TIẾN ĐỘ MUA HÀNG'!$A$4:$AT$4, 0))) = TRIM(AD$6)) * (INDEX('6. TIẾN ĐỘ MUA HÀNG'!$A$5:$AT644, 0, XMATCH("CL NGÀY NCC DỰ KIẾN - NGÀY NHẬN HÀNG", '6. TIẾN ĐỘ MUA HÀNG'!$A$4:$AT$4, 0)) &lt; 0)
)</f>
        <v>0</v>
      </c>
      <c r="AF15" s="757">
        <f t="shared" si="23"/>
        <v>0</v>
      </c>
      <c r="AG15" s="754">
        <f t="array" ref="AG15">SUMPRODUCT((TRIM(INDEX('6. TIẾN ĐỘ MUA HÀNG'!$A$5:$AT644, 0, XMATCH("NCC VTBB/NL trong nước", '6. TIẾN ĐỘ MUA HÀNG'!$A$4:$AT$4, 0))) = TRIM($B15)) * (TRIM(INDEX('6. TIẾN ĐỘ MUA HÀNG'!$A$5:$AT644, 0, XMATCH("Tháng", '6. TIẾN ĐỘ MUA HÀNG'!$A$4:$AT$4, 0))) = TRIM(AG$6)) * (INDEX('6. TIẾN ĐỘ MUA HÀNG'!$A$5:$AT644, 0, XMATCH("Mã đơn Misa", '6. TIẾN ĐỘ MUA HÀNG'!$A$4:$AT$4, 0)) &lt;&gt; ""))</f>
        <v>0</v>
      </c>
      <c r="AH15" s="754">
        <f t="array" ref="AH15">SUMPRODUCT(
  (INDEX('6. TIẾN ĐỘ MUA HÀNG'!$A$5:$AT644, 0, XMATCH("NCC VTBB/NL trong nước", '6. TIẾN ĐỘ MUA HÀNG'!$A$4:$AT$4, 0)) = $B15) * (TRIM(INDEX('6. TIẾN ĐỘ MUA HÀNG'!$A$5:$AT644, 0, XMATCH("Tháng", '6. TIẾN ĐỘ MUA HÀNG'!$A$4:$AT$4, 0))) = TRIM(AG$6)) * (INDEX('6. TIẾN ĐỘ MUA HÀNG'!$A$5:$AT644, 0, XMATCH("CL NGÀY NCC DỰ KIẾN - NGÀY NHẬN HÀNG", '6. TIẾN ĐỘ MUA HÀNG'!$A$4:$AT$4, 0)) &lt; 0)
)</f>
        <v>0</v>
      </c>
      <c r="AI15" s="755">
        <f t="shared" si="34"/>
        <v>0</v>
      </c>
      <c r="AJ15" s="756">
        <f t="array" ref="AJ15">SUMPRODUCT((TRIM(INDEX('6. TIẾN ĐỘ MUA HÀNG'!$A$5:$AT644, 0, XMATCH("NCC VTBB/NL trong nước", '6. TIẾN ĐỘ MUA HÀNG'!$A$4:$AT$4, 0))) = TRIM($B15)) * (TRIM(INDEX('6. TIẾN ĐỘ MUA HÀNG'!$A$5:$AT644, 0, XMATCH("Tháng", '6. TIẾN ĐỘ MUA HÀNG'!$A$4:$AT$4, 0))) = TRIM(AJ$6)) * (INDEX('6. TIẾN ĐỘ MUA HÀNG'!$A$5:$AT644, 0, XMATCH("Mã đơn Misa", '6. TIẾN ĐỘ MUA HÀNG'!$A$4:$AT$4, 0)) &lt;&gt; ""))</f>
        <v>0</v>
      </c>
      <c r="AK15" s="756">
        <f t="array" ref="AK15">SUMPRODUCT(
  (INDEX('6. TIẾN ĐỘ MUA HÀNG'!$A$5:$AT644, 0, XMATCH("NCC VTBB/NL trong nước", '6. TIẾN ĐỘ MUA HÀNG'!$A$4:$AT$4, 0)) = $B15) * (TRIM(INDEX('6. TIẾN ĐỘ MUA HÀNG'!$A$5:$AT644, 0, XMATCH("Tháng", '6. TIẾN ĐỘ MUA HÀNG'!$A$4:$AT$4, 0))) = TRIM(AJ$6)) * (INDEX('6. TIẾN ĐỘ MUA HÀNG'!$A$5:$AT644, 0, XMATCH("CL NGÀY NCC DỰ KIẾN - NGÀY NHẬN HÀNG", '6. TIẾN ĐỘ MUA HÀNG'!$A$4:$AT$4, 0)) &lt; 0)
)</f>
        <v>0</v>
      </c>
      <c r="AL15" s="757">
        <f t="shared" si="25"/>
        <v>0</v>
      </c>
      <c r="AM15" s="726">
        <f t="shared" si="27"/>
        <v>0</v>
      </c>
      <c r="AN15" s="726">
        <f t="shared" si="28"/>
        <v>0</v>
      </c>
      <c r="AO15" s="727">
        <f t="shared" si="26"/>
        <v>0</v>
      </c>
    </row>
    <row r="16">
      <c r="A16" s="612">
        <v>8.0</v>
      </c>
      <c r="B16" s="624" t="str">
        <f>IFERROR(__xludf.DUMMYFUNCTION("""COMPUTED_VALUE"""),"Hns")</f>
        <v>Hns</v>
      </c>
      <c r="C16" s="754">
        <f t="array" ref="C16">SUMPRODUCT((TRIM(INDEX('6. TIẾN ĐỘ MUA HÀNG'!$A$5:$AT644, 0, XMATCH("NCC VTBB/NL trong nước", '6. TIẾN ĐỘ MUA HÀNG'!$A$4:$AT$4, 0))) = TRIM($B16)) * (TRIM(INDEX('6. TIẾN ĐỘ MUA HÀNG'!$A$5:$AT644, 0, XMATCH("Tháng", '6. TIẾN ĐỘ MUA HÀNG'!$A$4:$AT$4, 0))) = TRIM(C$6)) * (INDEX('6. TIẾN ĐỘ MUA HÀNG'!$A$5:$AT644, 0, XMATCH("Mã đơn Misa", '6. TIẾN ĐỘ MUA HÀNG'!$A$4:$AT$4, 0)) &lt;&gt; ""))</f>
        <v>0</v>
      </c>
      <c r="D16" s="754">
        <f t="array" ref="D16">SUMPRODUCT(
  (INDEX('6. TIẾN ĐỘ MUA HÀNG'!$A$5:$AT644, 0, XMATCH("NCC VTBB/NL trong nước", '6. TIẾN ĐỘ MUA HÀNG'!$A$4:$AT$4, 0)) = $B16) * (TRIM(INDEX('6. TIẾN ĐỘ MUA HÀNG'!$A$5:$AT644, 0, XMATCH("Tháng", '6. TIẾN ĐỘ MUA HÀNG'!$A$4:$AT$4, 0))) = TRIM(C$6)) * (INDEX('6. TIẾN ĐỘ MUA HÀNG'!$A$5:$AT644, 0, XMATCH("CL NGÀY NCC DỰ KIẾN - NGÀY NHẬN HÀNG", '6. TIẾN ĐỘ MUA HÀNG'!$A$4:$AT$4, 0)) &lt; 0)
)</f>
        <v>0</v>
      </c>
      <c r="E16" s="755">
        <f t="shared" si="29"/>
        <v>0</v>
      </c>
      <c r="F16" s="756">
        <f t="array" ref="F16">SUMPRODUCT((TRIM(INDEX('6. TIẾN ĐỘ MUA HÀNG'!$A$5:$AT644, 0, XMATCH("NCC VTBB/NL trong nước", '6. TIẾN ĐỘ MUA HÀNG'!$A$4:$AT$4, 0))) = TRIM($B16)) * (TRIM(INDEX('6. TIẾN ĐỘ MUA HÀNG'!$A$5:$AT644, 0, XMATCH("Tháng", '6. TIẾN ĐỘ MUA HÀNG'!$A$4:$AT$4, 0))) = TRIM(F$6)) * (INDEX('6. TIẾN ĐỘ MUA HÀNG'!$A$5:$AT644, 0, XMATCH("Mã đơn Misa", '6. TIẾN ĐỘ MUA HÀNG'!$A$4:$AT$4, 0)) &lt;&gt; ""))</f>
        <v>0</v>
      </c>
      <c r="G16" s="756">
        <f t="array" ref="G16">SUMPRODUCT(
  (INDEX('6. TIẾN ĐỘ MUA HÀNG'!$A$5:$AT644, 0, XMATCH("NCC VTBB/NL trong nước", '6. TIẾN ĐỘ MUA HÀNG'!$A$4:$AT$4, 0)) = $B16) * (TRIM(INDEX('6. TIẾN ĐỘ MUA HÀNG'!$A$5:$AT644, 0, XMATCH("Tháng", '6. TIẾN ĐỘ MUA HÀNG'!$A$4:$AT$4, 0))) = TRIM(F$6)) * (INDEX('6. TIẾN ĐỘ MUA HÀNG'!$A$5:$AT644, 0, XMATCH("CL NGÀY NCC DỰ KIẾN - NGÀY NHẬN HÀNG", '6. TIẾN ĐỘ MUA HÀNG'!$A$4:$AT$4, 0)) &lt; 0)
)</f>
        <v>0</v>
      </c>
      <c r="H16" s="757">
        <f t="shared" si="15"/>
        <v>0</v>
      </c>
      <c r="I16" s="754">
        <f t="array" ref="I16">SUMPRODUCT((TRIM(INDEX('6. TIẾN ĐỘ MUA HÀNG'!$A$5:$AT644, 0, XMATCH("NCC VTBB/NL trong nước", '6. TIẾN ĐỘ MUA HÀNG'!$A$4:$AT$4, 0))) = TRIM($B16)) * (TRIM(INDEX('6. TIẾN ĐỘ MUA HÀNG'!$A$5:$AT644, 0, XMATCH("Tháng", '6. TIẾN ĐỘ MUA HÀNG'!$A$4:$AT$4, 0))) = TRIM(I$6)) * (INDEX('6. TIẾN ĐỘ MUA HÀNG'!$A$5:$AT644, 0, XMATCH("Mã đơn Misa", '6. TIẾN ĐỘ MUA HÀNG'!$A$4:$AT$4, 0)) &lt;&gt; ""))</f>
        <v>0</v>
      </c>
      <c r="J16" s="754">
        <f t="array" ref="J16">SUMPRODUCT(
  (INDEX('6. TIẾN ĐỘ MUA HÀNG'!$A$5:$AT644, 0, XMATCH("NCC VTBB/NL trong nước", '6. TIẾN ĐỘ MUA HÀNG'!$A$4:$AT$4, 0)) = $B16) * (TRIM(INDEX('6. TIẾN ĐỘ MUA HÀNG'!$A$5:$AT644, 0, XMATCH("Tháng", '6. TIẾN ĐỘ MUA HÀNG'!$A$4:$AT$4, 0))) = TRIM(I$6)) * (INDEX('6. TIẾN ĐỘ MUA HÀNG'!$A$5:$AT644, 0, XMATCH("CL NGÀY NCC DỰ KIẾN - NGÀY NHẬN HÀNG", '6. TIẾN ĐỘ MUA HÀNG'!$A$4:$AT$4, 0)) &lt; 0)
)</f>
        <v>0</v>
      </c>
      <c r="K16" s="755">
        <f t="shared" si="30"/>
        <v>0</v>
      </c>
      <c r="L16" s="756">
        <f t="array" ref="L16">SUMPRODUCT((TRIM(INDEX('6. TIẾN ĐỘ MUA HÀNG'!$A$5:$AT644, 0, XMATCH("NCC VTBB/NL trong nước", '6. TIẾN ĐỘ MUA HÀNG'!$A$4:$AT$4, 0))) = TRIM($B16)) * (TRIM(INDEX('6. TIẾN ĐỘ MUA HÀNG'!$A$5:$AT644, 0, XMATCH("Tháng", '6. TIẾN ĐỘ MUA HÀNG'!$A$4:$AT$4, 0))) = TRIM(L$6)) * (INDEX('6. TIẾN ĐỘ MUA HÀNG'!$A$5:$AT644, 0, XMATCH("Mã đơn Misa", '6. TIẾN ĐỘ MUA HÀNG'!$A$4:$AT$4, 0)) &lt;&gt; ""))</f>
        <v>0</v>
      </c>
      <c r="M16" s="756">
        <f t="array" ref="M16">SUMPRODUCT(
  (INDEX('6. TIẾN ĐỘ MUA HÀNG'!$A$5:$AT644, 0, XMATCH("NCC VTBB/NL trong nước", '6. TIẾN ĐỘ MUA HÀNG'!$A$4:$AT$4, 0)) = $B16) * (TRIM(INDEX('6. TIẾN ĐỘ MUA HÀNG'!$A$5:$AT644, 0, XMATCH("Tháng", '6. TIẾN ĐỘ MUA HÀNG'!$A$4:$AT$4, 0))) = TRIM(L$6)) * (INDEX('6. TIẾN ĐỘ MUA HÀNG'!$A$5:$AT644, 0, XMATCH("CL NGÀY NCC DỰ KIẾN - NGÀY NHẬN HÀNG", '6. TIẾN ĐỘ MUA HÀNG'!$A$4:$AT$4, 0)) &lt; 0)
)</f>
        <v>0</v>
      </c>
      <c r="N16" s="757">
        <f t="shared" si="17"/>
        <v>0</v>
      </c>
      <c r="O16" s="754">
        <f t="array" ref="O16">SUMPRODUCT((TRIM(INDEX('6. TIẾN ĐỘ MUA HÀNG'!$A$5:$AT644, 0, XMATCH("NCC VTBB/NL trong nước", '6. TIẾN ĐỘ MUA HÀNG'!$A$4:$AT$4, 0))) = TRIM($B16)) * (TRIM(INDEX('6. TIẾN ĐỘ MUA HÀNG'!$A$5:$AT644, 0, XMATCH("Tháng", '6. TIẾN ĐỘ MUA HÀNG'!$A$4:$AT$4, 0))) = TRIM(O$6)) * (INDEX('6. TIẾN ĐỘ MUA HÀNG'!$A$5:$AT644, 0, XMATCH("Mã đơn Misa", '6. TIẾN ĐỘ MUA HÀNG'!$A$4:$AT$4, 0)) &lt;&gt; ""))</f>
        <v>0</v>
      </c>
      <c r="P16" s="754">
        <f t="array" ref="P16">SUMPRODUCT(
  (INDEX('6. TIẾN ĐỘ MUA HÀNG'!$A$5:$AT644, 0, XMATCH("NCC VTBB/NL trong nước", '6. TIẾN ĐỘ MUA HÀNG'!$A$4:$AT$4, 0)) = $B16) * (TRIM(INDEX('6. TIẾN ĐỘ MUA HÀNG'!$A$5:$AT644, 0, XMATCH("Tháng", '6. TIẾN ĐỘ MUA HÀNG'!$A$4:$AT$4, 0))) = TRIM(O$6)) * (INDEX('6. TIẾN ĐỘ MUA HÀNG'!$A$5:$AT644, 0, XMATCH("CL NGÀY NCC DỰ KIẾN - NGÀY NHẬN HÀNG", '6. TIẾN ĐỘ MUA HÀNG'!$A$4:$AT$4, 0)) &lt; 0)
)</f>
        <v>0</v>
      </c>
      <c r="Q16" s="755">
        <f t="shared" si="31"/>
        <v>0</v>
      </c>
      <c r="R16" s="756">
        <f t="array" ref="R16">SUMPRODUCT((TRIM(INDEX('6. TIẾN ĐỘ MUA HÀNG'!$A$5:$AT644, 0, XMATCH("NCC VTBB/NL trong nước", '6. TIẾN ĐỘ MUA HÀNG'!$A$4:$AT$4, 0))) = TRIM($B16)) * (TRIM(INDEX('6. TIẾN ĐỘ MUA HÀNG'!$A$5:$AT644, 0, XMATCH("Tháng", '6. TIẾN ĐỘ MUA HÀNG'!$A$4:$AT$4, 0))) = TRIM(R$6)) * (INDEX('6. TIẾN ĐỘ MUA HÀNG'!$A$5:$AT644, 0, XMATCH("Mã đơn Misa", '6. TIẾN ĐỘ MUA HÀNG'!$A$4:$AT$4, 0)) &lt;&gt; ""))</f>
        <v>0</v>
      </c>
      <c r="S16" s="756">
        <f t="array" ref="S16">SUMPRODUCT(
  (INDEX('6. TIẾN ĐỘ MUA HÀNG'!$A$5:$AT644, 0, XMATCH("NCC VTBB/NL trong nước", '6. TIẾN ĐỘ MUA HÀNG'!$A$4:$AT$4, 0)) = $B16) * (TRIM(INDEX('6. TIẾN ĐỘ MUA HÀNG'!$A$5:$AT644, 0, XMATCH("Tháng", '6. TIẾN ĐỘ MUA HÀNG'!$A$4:$AT$4, 0))) = TRIM(R$6)) * (INDEX('6. TIẾN ĐỘ MUA HÀNG'!$A$5:$AT644, 0, XMATCH("CL NGÀY NCC DỰ KIẾN - NGÀY NHẬN HÀNG", '6. TIẾN ĐỘ MUA HÀNG'!$A$4:$AT$4, 0)) &lt; 0)
)</f>
        <v>0</v>
      </c>
      <c r="T16" s="757">
        <f t="shared" si="19"/>
        <v>0</v>
      </c>
      <c r="U16" s="754">
        <f t="array" ref="U16">SUMPRODUCT((TRIM(INDEX('6. TIẾN ĐỘ MUA HÀNG'!$A$5:$AT644, 0, XMATCH("NCC VTBB/NL trong nước", '6. TIẾN ĐỘ MUA HÀNG'!$A$4:$AT$4, 0))) = TRIM($B16)) * (TRIM(INDEX('6. TIẾN ĐỘ MUA HÀNG'!$A$5:$AT644, 0, XMATCH("Tháng", '6. TIẾN ĐỘ MUA HÀNG'!$A$4:$AT$4, 0))) = TRIM(U$6)) * (INDEX('6. TIẾN ĐỘ MUA HÀNG'!$A$5:$AT644, 0, XMATCH("Mã đơn Misa", '6. TIẾN ĐỘ MUA HÀNG'!$A$4:$AT$4, 0)) &lt;&gt; ""))</f>
        <v>0</v>
      </c>
      <c r="V16" s="754">
        <f t="array" ref="V16">SUMPRODUCT(
  (INDEX('6. TIẾN ĐỘ MUA HÀNG'!$A$5:$AT644, 0, XMATCH("NCC VTBB/NL trong nước", '6. TIẾN ĐỘ MUA HÀNG'!$A$4:$AT$4, 0)) = $B16) * (TRIM(INDEX('6. TIẾN ĐỘ MUA HÀNG'!$A$5:$AT644, 0, XMATCH("Tháng", '6. TIẾN ĐỘ MUA HÀNG'!$A$4:$AT$4, 0))) = TRIM(U$6)) * (INDEX('6. TIẾN ĐỘ MUA HÀNG'!$A$5:$AT644, 0, XMATCH("CL NGÀY NCC DỰ KIẾN - NGÀY NHẬN HÀNG", '6. TIẾN ĐỘ MUA HÀNG'!$A$4:$AT$4, 0)) &lt; 0)
)</f>
        <v>0</v>
      </c>
      <c r="W16" s="755">
        <f t="shared" si="32"/>
        <v>0</v>
      </c>
      <c r="X16" s="756">
        <f t="array" ref="X16">SUMPRODUCT((TRIM(INDEX('6. TIẾN ĐỘ MUA HÀNG'!$A$5:$AT644, 0, XMATCH("NCC VTBB/NL trong nước", '6. TIẾN ĐỘ MUA HÀNG'!$A$4:$AT$4, 0))) = TRIM($B16)) * (TRIM(INDEX('6. TIẾN ĐỘ MUA HÀNG'!$A$5:$AT644, 0, XMATCH("Tháng", '6. TIẾN ĐỘ MUA HÀNG'!$A$4:$AT$4, 0))) = TRIM(X$6)) * (INDEX('6. TIẾN ĐỘ MUA HÀNG'!$A$5:$AT644, 0, XMATCH("Mã đơn Misa", '6. TIẾN ĐỘ MUA HÀNG'!$A$4:$AT$4, 0)) &lt;&gt; ""))</f>
        <v>0</v>
      </c>
      <c r="Y16" s="756">
        <f t="array" ref="Y16">SUMPRODUCT(
  (INDEX('6. TIẾN ĐỘ MUA HÀNG'!$A$5:$AT644, 0, XMATCH("NCC VTBB/NL trong nước", '6. TIẾN ĐỘ MUA HÀNG'!$A$4:$AT$4, 0)) = $B16) * (TRIM(INDEX('6. TIẾN ĐỘ MUA HÀNG'!$A$5:$AT644, 0, XMATCH("Tháng", '6. TIẾN ĐỘ MUA HÀNG'!$A$4:$AT$4, 0))) = TRIM(X$6)) * (INDEX('6. TIẾN ĐỘ MUA HÀNG'!$A$5:$AT644, 0, XMATCH("CL NGÀY NCC DỰ KIẾN - NGÀY NHẬN HÀNG", '6. TIẾN ĐỘ MUA HÀNG'!$A$4:$AT$4, 0)) &lt; 0)
)</f>
        <v>0</v>
      </c>
      <c r="Z16" s="757">
        <f t="shared" si="21"/>
        <v>0</v>
      </c>
      <c r="AA16" s="754">
        <f t="array" ref="AA16">SUMPRODUCT((TRIM(INDEX('6. TIẾN ĐỘ MUA HÀNG'!$A$5:$AT644, 0, XMATCH("NCC VTBB/NL trong nước", '6. TIẾN ĐỘ MUA HÀNG'!$A$4:$AT$4, 0))) = TRIM($B16)) * (TRIM(INDEX('6. TIẾN ĐỘ MUA HÀNG'!$A$5:$AT644, 0, XMATCH("Tháng", '6. TIẾN ĐỘ MUA HÀNG'!$A$4:$AT$4, 0))) = TRIM(AA$6)) * (INDEX('6. TIẾN ĐỘ MUA HÀNG'!$A$5:$AT644, 0, XMATCH("Mã đơn Misa", '6. TIẾN ĐỘ MUA HÀNG'!$A$4:$AT$4, 0)) &lt;&gt; ""))</f>
        <v>0</v>
      </c>
      <c r="AB16" s="754">
        <f t="array" ref="AB16">SUMPRODUCT(
  (INDEX('6. TIẾN ĐỘ MUA HÀNG'!$A$5:$AT644, 0, XMATCH("NCC VTBB/NL trong nước", '6. TIẾN ĐỘ MUA HÀNG'!$A$4:$AT$4, 0)) = $B16) * (TRIM(INDEX('6. TIẾN ĐỘ MUA HÀNG'!$A$5:$AT644, 0, XMATCH("Tháng", '6. TIẾN ĐỘ MUA HÀNG'!$A$4:$AT$4, 0))) = TRIM(AA$6)) * (INDEX('6. TIẾN ĐỘ MUA HÀNG'!$A$5:$AT644, 0, XMATCH("CL NGÀY NCC DỰ KIẾN - NGÀY NHẬN HÀNG", '6. TIẾN ĐỘ MUA HÀNG'!$A$4:$AT$4, 0)) &lt; 0)
)</f>
        <v>0</v>
      </c>
      <c r="AC16" s="755">
        <f t="shared" si="33"/>
        <v>0</v>
      </c>
      <c r="AD16" s="756">
        <f t="array" ref="AD16">SUMPRODUCT((TRIM(INDEX('6. TIẾN ĐỘ MUA HÀNG'!$A$5:$AT644, 0, XMATCH("NCC VTBB/NL trong nước", '6. TIẾN ĐỘ MUA HÀNG'!$A$4:$AT$4, 0))) = TRIM($B16)) * (TRIM(INDEX('6. TIẾN ĐỘ MUA HÀNG'!$A$5:$AT644, 0, XMATCH("Tháng", '6. TIẾN ĐỘ MUA HÀNG'!$A$4:$AT$4, 0))) = TRIM(AD$6)) * (INDEX('6. TIẾN ĐỘ MUA HÀNG'!$A$5:$AT644, 0, XMATCH("Mã đơn Misa", '6. TIẾN ĐỘ MUA HÀNG'!$A$4:$AT$4, 0)) &lt;&gt; ""))</f>
        <v>0</v>
      </c>
      <c r="AE16" s="756">
        <f t="array" ref="AE16">SUMPRODUCT(
  (INDEX('6. TIẾN ĐỘ MUA HÀNG'!$A$5:$AT644, 0, XMATCH("NCC VTBB/NL trong nước", '6. TIẾN ĐỘ MUA HÀNG'!$A$4:$AT$4, 0)) = $B16) * (TRIM(INDEX('6. TIẾN ĐỘ MUA HÀNG'!$A$5:$AT644, 0, XMATCH("Tháng", '6. TIẾN ĐỘ MUA HÀNG'!$A$4:$AT$4, 0))) = TRIM(AD$6)) * (INDEX('6. TIẾN ĐỘ MUA HÀNG'!$A$5:$AT644, 0, XMATCH("CL NGÀY NCC DỰ KIẾN - NGÀY NHẬN HÀNG", '6. TIẾN ĐỘ MUA HÀNG'!$A$4:$AT$4, 0)) &lt; 0)
)</f>
        <v>0</v>
      </c>
      <c r="AF16" s="757">
        <f t="shared" si="23"/>
        <v>0</v>
      </c>
      <c r="AG16" s="754">
        <f t="array" ref="AG16">SUMPRODUCT((TRIM(INDEX('6. TIẾN ĐỘ MUA HÀNG'!$A$5:$AT644, 0, XMATCH("NCC VTBB/NL trong nước", '6. TIẾN ĐỘ MUA HÀNG'!$A$4:$AT$4, 0))) = TRIM($B16)) * (TRIM(INDEX('6. TIẾN ĐỘ MUA HÀNG'!$A$5:$AT644, 0, XMATCH("Tháng", '6. TIẾN ĐỘ MUA HÀNG'!$A$4:$AT$4, 0))) = TRIM(AG$6)) * (INDEX('6. TIẾN ĐỘ MUA HÀNG'!$A$5:$AT644, 0, XMATCH("Mã đơn Misa", '6. TIẾN ĐỘ MUA HÀNG'!$A$4:$AT$4, 0)) &lt;&gt; ""))</f>
        <v>0</v>
      </c>
      <c r="AH16" s="754">
        <f t="array" ref="AH16">SUMPRODUCT(
  (INDEX('6. TIẾN ĐỘ MUA HÀNG'!$A$5:$AT644, 0, XMATCH("NCC VTBB/NL trong nước", '6. TIẾN ĐỘ MUA HÀNG'!$A$4:$AT$4, 0)) = $B16) * (TRIM(INDEX('6. TIẾN ĐỘ MUA HÀNG'!$A$5:$AT644, 0, XMATCH("Tháng", '6. TIẾN ĐỘ MUA HÀNG'!$A$4:$AT$4, 0))) = TRIM(AG$6)) * (INDEX('6. TIẾN ĐỘ MUA HÀNG'!$A$5:$AT644, 0, XMATCH("CL NGÀY NCC DỰ KIẾN - NGÀY NHẬN HÀNG", '6. TIẾN ĐỘ MUA HÀNG'!$A$4:$AT$4, 0)) &lt; 0)
)</f>
        <v>0</v>
      </c>
      <c r="AI16" s="755">
        <f t="shared" si="34"/>
        <v>0</v>
      </c>
      <c r="AJ16" s="756">
        <f t="array" ref="AJ16">SUMPRODUCT((TRIM(INDEX('6. TIẾN ĐỘ MUA HÀNG'!$A$5:$AT644, 0, XMATCH("NCC VTBB/NL trong nước", '6. TIẾN ĐỘ MUA HÀNG'!$A$4:$AT$4, 0))) = TRIM($B16)) * (TRIM(INDEX('6. TIẾN ĐỘ MUA HÀNG'!$A$5:$AT644, 0, XMATCH("Tháng", '6. TIẾN ĐỘ MUA HÀNG'!$A$4:$AT$4, 0))) = TRIM(AJ$6)) * (INDEX('6. TIẾN ĐỘ MUA HÀNG'!$A$5:$AT644, 0, XMATCH("Mã đơn Misa", '6. TIẾN ĐỘ MUA HÀNG'!$A$4:$AT$4, 0)) &lt;&gt; ""))</f>
        <v>0</v>
      </c>
      <c r="AK16" s="756">
        <f t="array" ref="AK16">SUMPRODUCT(
  (INDEX('6. TIẾN ĐỘ MUA HÀNG'!$A$5:$AT644, 0, XMATCH("NCC VTBB/NL trong nước", '6. TIẾN ĐỘ MUA HÀNG'!$A$4:$AT$4, 0)) = $B16) * (TRIM(INDEX('6. TIẾN ĐỘ MUA HÀNG'!$A$5:$AT644, 0, XMATCH("Tháng", '6. TIẾN ĐỘ MUA HÀNG'!$A$4:$AT$4, 0))) = TRIM(AJ$6)) * (INDEX('6. TIẾN ĐỘ MUA HÀNG'!$A$5:$AT644, 0, XMATCH("CL NGÀY NCC DỰ KIẾN - NGÀY NHẬN HÀNG", '6. TIẾN ĐỘ MUA HÀNG'!$A$4:$AT$4, 0)) &lt; 0)
)</f>
        <v>0</v>
      </c>
      <c r="AL16" s="757">
        <f t="shared" si="25"/>
        <v>0</v>
      </c>
      <c r="AM16" s="726">
        <f t="shared" si="27"/>
        <v>0</v>
      </c>
      <c r="AN16" s="726">
        <f t="shared" si="28"/>
        <v>0</v>
      </c>
      <c r="AO16" s="727">
        <f t="shared" si="26"/>
        <v>0</v>
      </c>
    </row>
    <row r="17">
      <c r="A17" s="612">
        <v>9.0</v>
      </c>
      <c r="B17" s="624" t="str">
        <f>IFERROR(__xludf.DUMMYFUNCTION("""COMPUTED_VALUE"""),"Hồ Gia")</f>
        <v>Hồ Gia</v>
      </c>
      <c r="C17" s="754">
        <f t="array" ref="C17">SUMPRODUCT((TRIM(INDEX('6. TIẾN ĐỘ MUA HÀNG'!$A$5:$AT644, 0, XMATCH("NCC VTBB/NL trong nước", '6. TIẾN ĐỘ MUA HÀNG'!$A$4:$AT$4, 0))) = TRIM($B17)) * (TRIM(INDEX('6. TIẾN ĐỘ MUA HÀNG'!$A$5:$AT644, 0, XMATCH("Tháng", '6. TIẾN ĐỘ MUA HÀNG'!$A$4:$AT$4, 0))) = TRIM(C$6)) * (INDEX('6. TIẾN ĐỘ MUA HÀNG'!$A$5:$AT644, 0, XMATCH("Mã đơn Misa", '6. TIẾN ĐỘ MUA HÀNG'!$A$4:$AT$4, 0)) &lt;&gt; ""))</f>
        <v>0</v>
      </c>
      <c r="D17" s="754">
        <f t="array" ref="D17">SUMPRODUCT(
  (INDEX('6. TIẾN ĐỘ MUA HÀNG'!$A$5:$AT644, 0, XMATCH("NCC VTBB/NL trong nước", '6. TIẾN ĐỘ MUA HÀNG'!$A$4:$AT$4, 0)) = $B17) * (TRIM(INDEX('6. TIẾN ĐỘ MUA HÀNG'!$A$5:$AT644, 0, XMATCH("Tháng", '6. TIẾN ĐỘ MUA HÀNG'!$A$4:$AT$4, 0))) = TRIM(C$6)) * (INDEX('6. TIẾN ĐỘ MUA HÀNG'!$A$5:$AT644, 0, XMATCH("CL NGÀY NCC DỰ KIẾN - NGÀY NHẬN HÀNG", '6. TIẾN ĐỘ MUA HÀNG'!$A$4:$AT$4, 0)) &lt; 0)
)</f>
        <v>0</v>
      </c>
      <c r="E17" s="755">
        <f t="shared" si="29"/>
        <v>0</v>
      </c>
      <c r="F17" s="756">
        <f t="array" ref="F17">SUMPRODUCT((TRIM(INDEX('6. TIẾN ĐỘ MUA HÀNG'!$A$5:$AT644, 0, XMATCH("NCC VTBB/NL trong nước", '6. TIẾN ĐỘ MUA HÀNG'!$A$4:$AT$4, 0))) = TRIM($B17)) * (TRIM(INDEX('6. TIẾN ĐỘ MUA HÀNG'!$A$5:$AT644, 0, XMATCH("Tháng", '6. TIẾN ĐỘ MUA HÀNG'!$A$4:$AT$4, 0))) = TRIM(F$6)) * (INDEX('6. TIẾN ĐỘ MUA HÀNG'!$A$5:$AT644, 0, XMATCH("Mã đơn Misa", '6. TIẾN ĐỘ MUA HÀNG'!$A$4:$AT$4, 0)) &lt;&gt; ""))</f>
        <v>0</v>
      </c>
      <c r="G17" s="756">
        <f t="array" ref="G17">SUMPRODUCT(
  (INDEX('6. TIẾN ĐỘ MUA HÀNG'!$A$5:$AT644, 0, XMATCH("NCC VTBB/NL trong nước", '6. TIẾN ĐỘ MUA HÀNG'!$A$4:$AT$4, 0)) = $B17) * (TRIM(INDEX('6. TIẾN ĐỘ MUA HÀNG'!$A$5:$AT644, 0, XMATCH("Tháng", '6. TIẾN ĐỘ MUA HÀNG'!$A$4:$AT$4, 0))) = TRIM(F$6)) * (INDEX('6. TIẾN ĐỘ MUA HÀNG'!$A$5:$AT644, 0, XMATCH("CL NGÀY NCC DỰ KIẾN - NGÀY NHẬN HÀNG", '6. TIẾN ĐỘ MUA HÀNG'!$A$4:$AT$4, 0)) &lt; 0)
)</f>
        <v>0</v>
      </c>
      <c r="H17" s="757">
        <f t="shared" si="15"/>
        <v>0</v>
      </c>
      <c r="I17" s="754">
        <f t="array" ref="I17">SUMPRODUCT((TRIM(INDEX('6. TIẾN ĐỘ MUA HÀNG'!$A$5:$AT644, 0, XMATCH("NCC VTBB/NL trong nước", '6. TIẾN ĐỘ MUA HÀNG'!$A$4:$AT$4, 0))) = TRIM($B17)) * (TRIM(INDEX('6. TIẾN ĐỘ MUA HÀNG'!$A$5:$AT644, 0, XMATCH("Tháng", '6. TIẾN ĐỘ MUA HÀNG'!$A$4:$AT$4, 0))) = TRIM(I$6)) * (INDEX('6. TIẾN ĐỘ MUA HÀNG'!$A$5:$AT644, 0, XMATCH("Mã đơn Misa", '6. TIẾN ĐỘ MUA HÀNG'!$A$4:$AT$4, 0)) &lt;&gt; ""))</f>
        <v>0</v>
      </c>
      <c r="J17" s="754">
        <f t="array" ref="J17">SUMPRODUCT(
  (INDEX('6. TIẾN ĐỘ MUA HÀNG'!$A$5:$AT644, 0, XMATCH("NCC VTBB/NL trong nước", '6. TIẾN ĐỘ MUA HÀNG'!$A$4:$AT$4, 0)) = $B17) * (TRIM(INDEX('6. TIẾN ĐỘ MUA HÀNG'!$A$5:$AT644, 0, XMATCH("Tháng", '6. TIẾN ĐỘ MUA HÀNG'!$A$4:$AT$4, 0))) = TRIM(I$6)) * (INDEX('6. TIẾN ĐỘ MUA HÀNG'!$A$5:$AT644, 0, XMATCH("CL NGÀY NCC DỰ KIẾN - NGÀY NHẬN HÀNG", '6. TIẾN ĐỘ MUA HÀNG'!$A$4:$AT$4, 0)) &lt; 0)
)</f>
        <v>0</v>
      </c>
      <c r="K17" s="755">
        <f t="shared" si="30"/>
        <v>0</v>
      </c>
      <c r="L17" s="756">
        <f t="array" ref="L17">SUMPRODUCT((TRIM(INDEX('6. TIẾN ĐỘ MUA HÀNG'!$A$5:$AT644, 0, XMATCH("NCC VTBB/NL trong nước", '6. TIẾN ĐỘ MUA HÀNG'!$A$4:$AT$4, 0))) = TRIM($B17)) * (TRIM(INDEX('6. TIẾN ĐỘ MUA HÀNG'!$A$5:$AT644, 0, XMATCH("Tháng", '6. TIẾN ĐỘ MUA HÀNG'!$A$4:$AT$4, 0))) = TRIM(L$6)) * (INDEX('6. TIẾN ĐỘ MUA HÀNG'!$A$5:$AT644, 0, XMATCH("Mã đơn Misa", '6. TIẾN ĐỘ MUA HÀNG'!$A$4:$AT$4, 0)) &lt;&gt; ""))</f>
        <v>0</v>
      </c>
      <c r="M17" s="756">
        <f t="array" ref="M17">SUMPRODUCT(
  (INDEX('6. TIẾN ĐỘ MUA HÀNG'!$A$5:$AT644, 0, XMATCH("NCC VTBB/NL trong nước", '6. TIẾN ĐỘ MUA HÀNG'!$A$4:$AT$4, 0)) = $B17) * (TRIM(INDEX('6. TIẾN ĐỘ MUA HÀNG'!$A$5:$AT644, 0, XMATCH("Tháng", '6. TIẾN ĐỘ MUA HÀNG'!$A$4:$AT$4, 0))) = TRIM(L$6)) * (INDEX('6. TIẾN ĐỘ MUA HÀNG'!$A$5:$AT644, 0, XMATCH("CL NGÀY NCC DỰ KIẾN - NGÀY NHẬN HÀNG", '6. TIẾN ĐỘ MUA HÀNG'!$A$4:$AT$4, 0)) &lt; 0)
)</f>
        <v>0</v>
      </c>
      <c r="N17" s="757">
        <f t="shared" si="17"/>
        <v>0</v>
      </c>
      <c r="O17" s="754">
        <f t="array" ref="O17">SUMPRODUCT((TRIM(INDEX('6. TIẾN ĐỘ MUA HÀNG'!$A$5:$AT644, 0, XMATCH("NCC VTBB/NL trong nước", '6. TIẾN ĐỘ MUA HÀNG'!$A$4:$AT$4, 0))) = TRIM($B17)) * (TRIM(INDEX('6. TIẾN ĐỘ MUA HÀNG'!$A$5:$AT644, 0, XMATCH("Tháng", '6. TIẾN ĐỘ MUA HÀNG'!$A$4:$AT$4, 0))) = TRIM(O$6)) * (INDEX('6. TIẾN ĐỘ MUA HÀNG'!$A$5:$AT644, 0, XMATCH("Mã đơn Misa", '6. TIẾN ĐỘ MUA HÀNG'!$A$4:$AT$4, 0)) &lt;&gt; ""))</f>
        <v>0</v>
      </c>
      <c r="P17" s="754">
        <f t="array" ref="P17">SUMPRODUCT(
  (INDEX('6. TIẾN ĐỘ MUA HÀNG'!$A$5:$AT644, 0, XMATCH("NCC VTBB/NL trong nước", '6. TIẾN ĐỘ MUA HÀNG'!$A$4:$AT$4, 0)) = $B17) * (TRIM(INDEX('6. TIẾN ĐỘ MUA HÀNG'!$A$5:$AT644, 0, XMATCH("Tháng", '6. TIẾN ĐỘ MUA HÀNG'!$A$4:$AT$4, 0))) = TRIM(O$6)) * (INDEX('6. TIẾN ĐỘ MUA HÀNG'!$A$5:$AT644, 0, XMATCH("CL NGÀY NCC DỰ KIẾN - NGÀY NHẬN HÀNG", '6. TIẾN ĐỘ MUA HÀNG'!$A$4:$AT$4, 0)) &lt; 0)
)</f>
        <v>0</v>
      </c>
      <c r="Q17" s="755">
        <f t="shared" si="31"/>
        <v>0</v>
      </c>
      <c r="R17" s="756">
        <f t="array" ref="R17">SUMPRODUCT((TRIM(INDEX('6. TIẾN ĐỘ MUA HÀNG'!$A$5:$AT644, 0, XMATCH("NCC VTBB/NL trong nước", '6. TIẾN ĐỘ MUA HÀNG'!$A$4:$AT$4, 0))) = TRIM($B17)) * (TRIM(INDEX('6. TIẾN ĐỘ MUA HÀNG'!$A$5:$AT644, 0, XMATCH("Tháng", '6. TIẾN ĐỘ MUA HÀNG'!$A$4:$AT$4, 0))) = TRIM(R$6)) * (INDEX('6. TIẾN ĐỘ MUA HÀNG'!$A$5:$AT644, 0, XMATCH("Mã đơn Misa", '6. TIẾN ĐỘ MUA HÀNG'!$A$4:$AT$4, 0)) &lt;&gt; ""))</f>
        <v>0</v>
      </c>
      <c r="S17" s="756">
        <f t="array" ref="S17">SUMPRODUCT(
  (INDEX('6. TIẾN ĐỘ MUA HÀNG'!$A$5:$AT644, 0, XMATCH("NCC VTBB/NL trong nước", '6. TIẾN ĐỘ MUA HÀNG'!$A$4:$AT$4, 0)) = $B17) * (TRIM(INDEX('6. TIẾN ĐỘ MUA HÀNG'!$A$5:$AT644, 0, XMATCH("Tháng", '6. TIẾN ĐỘ MUA HÀNG'!$A$4:$AT$4, 0))) = TRIM(R$6)) * (INDEX('6. TIẾN ĐỘ MUA HÀNG'!$A$5:$AT644, 0, XMATCH("CL NGÀY NCC DỰ KIẾN - NGÀY NHẬN HÀNG", '6. TIẾN ĐỘ MUA HÀNG'!$A$4:$AT$4, 0)) &lt; 0)
)</f>
        <v>0</v>
      </c>
      <c r="T17" s="757">
        <f t="shared" si="19"/>
        <v>0</v>
      </c>
      <c r="U17" s="754">
        <f t="array" ref="U17">SUMPRODUCT((TRIM(INDEX('6. TIẾN ĐỘ MUA HÀNG'!$A$5:$AT644, 0, XMATCH("NCC VTBB/NL trong nước", '6. TIẾN ĐỘ MUA HÀNG'!$A$4:$AT$4, 0))) = TRIM($B17)) * (TRIM(INDEX('6. TIẾN ĐỘ MUA HÀNG'!$A$5:$AT644, 0, XMATCH("Tháng", '6. TIẾN ĐỘ MUA HÀNG'!$A$4:$AT$4, 0))) = TRIM(U$6)) * (INDEX('6. TIẾN ĐỘ MUA HÀNG'!$A$5:$AT644, 0, XMATCH("Mã đơn Misa", '6. TIẾN ĐỘ MUA HÀNG'!$A$4:$AT$4, 0)) &lt;&gt; ""))</f>
        <v>0</v>
      </c>
      <c r="V17" s="754">
        <f t="array" ref="V17">SUMPRODUCT(
  (INDEX('6. TIẾN ĐỘ MUA HÀNG'!$A$5:$AT644, 0, XMATCH("NCC VTBB/NL trong nước", '6. TIẾN ĐỘ MUA HÀNG'!$A$4:$AT$4, 0)) = $B17) * (TRIM(INDEX('6. TIẾN ĐỘ MUA HÀNG'!$A$5:$AT644, 0, XMATCH("Tháng", '6. TIẾN ĐỘ MUA HÀNG'!$A$4:$AT$4, 0))) = TRIM(U$6)) * (INDEX('6. TIẾN ĐỘ MUA HÀNG'!$A$5:$AT644, 0, XMATCH("CL NGÀY NCC DỰ KIẾN - NGÀY NHẬN HÀNG", '6. TIẾN ĐỘ MUA HÀNG'!$A$4:$AT$4, 0)) &lt; 0)
)</f>
        <v>0</v>
      </c>
      <c r="W17" s="755">
        <f t="shared" si="32"/>
        <v>0</v>
      </c>
      <c r="X17" s="756">
        <f t="array" ref="X17">SUMPRODUCT((TRIM(INDEX('6. TIẾN ĐỘ MUA HÀNG'!$A$5:$AT644, 0, XMATCH("NCC VTBB/NL trong nước", '6. TIẾN ĐỘ MUA HÀNG'!$A$4:$AT$4, 0))) = TRIM($B17)) * (TRIM(INDEX('6. TIẾN ĐỘ MUA HÀNG'!$A$5:$AT644, 0, XMATCH("Tháng", '6. TIẾN ĐỘ MUA HÀNG'!$A$4:$AT$4, 0))) = TRIM(X$6)) * (INDEX('6. TIẾN ĐỘ MUA HÀNG'!$A$5:$AT644, 0, XMATCH("Mã đơn Misa", '6. TIẾN ĐỘ MUA HÀNG'!$A$4:$AT$4, 0)) &lt;&gt; ""))</f>
        <v>0</v>
      </c>
      <c r="Y17" s="756">
        <f t="array" ref="Y17">SUMPRODUCT(
  (INDEX('6. TIẾN ĐỘ MUA HÀNG'!$A$5:$AT644, 0, XMATCH("NCC VTBB/NL trong nước", '6. TIẾN ĐỘ MUA HÀNG'!$A$4:$AT$4, 0)) = $B17) * (TRIM(INDEX('6. TIẾN ĐỘ MUA HÀNG'!$A$5:$AT644, 0, XMATCH("Tháng", '6. TIẾN ĐỘ MUA HÀNG'!$A$4:$AT$4, 0))) = TRIM(X$6)) * (INDEX('6. TIẾN ĐỘ MUA HÀNG'!$A$5:$AT644, 0, XMATCH("CL NGÀY NCC DỰ KIẾN - NGÀY NHẬN HÀNG", '6. TIẾN ĐỘ MUA HÀNG'!$A$4:$AT$4, 0)) &lt; 0)
)</f>
        <v>0</v>
      </c>
      <c r="Z17" s="757">
        <f t="shared" si="21"/>
        <v>0</v>
      </c>
      <c r="AA17" s="754">
        <f t="array" ref="AA17">SUMPRODUCT((TRIM(INDEX('6. TIẾN ĐỘ MUA HÀNG'!$A$5:$AT644, 0, XMATCH("NCC VTBB/NL trong nước", '6. TIẾN ĐỘ MUA HÀNG'!$A$4:$AT$4, 0))) = TRIM($B17)) * (TRIM(INDEX('6. TIẾN ĐỘ MUA HÀNG'!$A$5:$AT644, 0, XMATCH("Tháng", '6. TIẾN ĐỘ MUA HÀNG'!$A$4:$AT$4, 0))) = TRIM(AA$6)) * (INDEX('6. TIẾN ĐỘ MUA HÀNG'!$A$5:$AT644, 0, XMATCH("Mã đơn Misa", '6. TIẾN ĐỘ MUA HÀNG'!$A$4:$AT$4, 0)) &lt;&gt; ""))</f>
        <v>0</v>
      </c>
      <c r="AB17" s="754">
        <f t="array" ref="AB17">SUMPRODUCT(
  (INDEX('6. TIẾN ĐỘ MUA HÀNG'!$A$5:$AT644, 0, XMATCH("NCC VTBB/NL trong nước", '6. TIẾN ĐỘ MUA HÀNG'!$A$4:$AT$4, 0)) = $B17) * (TRIM(INDEX('6. TIẾN ĐỘ MUA HÀNG'!$A$5:$AT644, 0, XMATCH("Tháng", '6. TIẾN ĐỘ MUA HÀNG'!$A$4:$AT$4, 0))) = TRIM(AA$6)) * (INDEX('6. TIẾN ĐỘ MUA HÀNG'!$A$5:$AT644, 0, XMATCH("CL NGÀY NCC DỰ KIẾN - NGÀY NHẬN HÀNG", '6. TIẾN ĐỘ MUA HÀNG'!$A$4:$AT$4, 0)) &lt; 0)
)</f>
        <v>0</v>
      </c>
      <c r="AC17" s="755">
        <f t="shared" si="33"/>
        <v>0</v>
      </c>
      <c r="AD17" s="756">
        <f t="array" ref="AD17">SUMPRODUCT((TRIM(INDEX('6. TIẾN ĐỘ MUA HÀNG'!$A$5:$AT644, 0, XMATCH("NCC VTBB/NL trong nước", '6. TIẾN ĐỘ MUA HÀNG'!$A$4:$AT$4, 0))) = TRIM($B17)) * (TRIM(INDEX('6. TIẾN ĐỘ MUA HÀNG'!$A$5:$AT644, 0, XMATCH("Tháng", '6. TIẾN ĐỘ MUA HÀNG'!$A$4:$AT$4, 0))) = TRIM(AD$6)) * (INDEX('6. TIẾN ĐỘ MUA HÀNG'!$A$5:$AT644, 0, XMATCH("Mã đơn Misa", '6. TIẾN ĐỘ MUA HÀNG'!$A$4:$AT$4, 0)) &lt;&gt; ""))</f>
        <v>0</v>
      </c>
      <c r="AE17" s="756">
        <f t="array" ref="AE17">SUMPRODUCT(
  (INDEX('6. TIẾN ĐỘ MUA HÀNG'!$A$5:$AT644, 0, XMATCH("NCC VTBB/NL trong nước", '6. TIẾN ĐỘ MUA HÀNG'!$A$4:$AT$4, 0)) = $B17) * (TRIM(INDEX('6. TIẾN ĐỘ MUA HÀNG'!$A$5:$AT644, 0, XMATCH("Tháng", '6. TIẾN ĐỘ MUA HÀNG'!$A$4:$AT$4, 0))) = TRIM(AD$6)) * (INDEX('6. TIẾN ĐỘ MUA HÀNG'!$A$5:$AT644, 0, XMATCH("CL NGÀY NCC DỰ KIẾN - NGÀY NHẬN HÀNG", '6. TIẾN ĐỘ MUA HÀNG'!$A$4:$AT$4, 0)) &lt; 0)
)</f>
        <v>0</v>
      </c>
      <c r="AF17" s="757">
        <f t="shared" si="23"/>
        <v>0</v>
      </c>
      <c r="AG17" s="754">
        <f t="array" ref="AG17">SUMPRODUCT((TRIM(INDEX('6. TIẾN ĐỘ MUA HÀNG'!$A$5:$AT644, 0, XMATCH("NCC VTBB/NL trong nước", '6. TIẾN ĐỘ MUA HÀNG'!$A$4:$AT$4, 0))) = TRIM($B17)) * (TRIM(INDEX('6. TIẾN ĐỘ MUA HÀNG'!$A$5:$AT644, 0, XMATCH("Tháng", '6. TIẾN ĐỘ MUA HÀNG'!$A$4:$AT$4, 0))) = TRIM(AG$6)) * (INDEX('6. TIẾN ĐỘ MUA HÀNG'!$A$5:$AT644, 0, XMATCH("Mã đơn Misa", '6. TIẾN ĐỘ MUA HÀNG'!$A$4:$AT$4, 0)) &lt;&gt; ""))</f>
        <v>0</v>
      </c>
      <c r="AH17" s="754">
        <f t="array" ref="AH17">SUMPRODUCT(
  (INDEX('6. TIẾN ĐỘ MUA HÀNG'!$A$5:$AT644, 0, XMATCH("NCC VTBB/NL trong nước", '6. TIẾN ĐỘ MUA HÀNG'!$A$4:$AT$4, 0)) = $B17) * (TRIM(INDEX('6. TIẾN ĐỘ MUA HÀNG'!$A$5:$AT644, 0, XMATCH("Tháng", '6. TIẾN ĐỘ MUA HÀNG'!$A$4:$AT$4, 0))) = TRIM(AG$6)) * (INDEX('6. TIẾN ĐỘ MUA HÀNG'!$A$5:$AT644, 0, XMATCH("CL NGÀY NCC DỰ KIẾN - NGÀY NHẬN HÀNG", '6. TIẾN ĐỘ MUA HÀNG'!$A$4:$AT$4, 0)) &lt; 0)
)</f>
        <v>0</v>
      </c>
      <c r="AI17" s="755">
        <f t="shared" si="34"/>
        <v>0</v>
      </c>
      <c r="AJ17" s="756">
        <f t="array" ref="AJ17">SUMPRODUCT((TRIM(INDEX('6. TIẾN ĐỘ MUA HÀNG'!$A$5:$AT644, 0, XMATCH("NCC VTBB/NL trong nước", '6. TIẾN ĐỘ MUA HÀNG'!$A$4:$AT$4, 0))) = TRIM($B17)) * (TRIM(INDEX('6. TIẾN ĐỘ MUA HÀNG'!$A$5:$AT644, 0, XMATCH("Tháng", '6. TIẾN ĐỘ MUA HÀNG'!$A$4:$AT$4, 0))) = TRIM(AJ$6)) * (INDEX('6. TIẾN ĐỘ MUA HÀNG'!$A$5:$AT644, 0, XMATCH("Mã đơn Misa", '6. TIẾN ĐỘ MUA HÀNG'!$A$4:$AT$4, 0)) &lt;&gt; ""))</f>
        <v>0</v>
      </c>
      <c r="AK17" s="756">
        <f t="array" ref="AK17">SUMPRODUCT(
  (INDEX('6. TIẾN ĐỘ MUA HÀNG'!$A$5:$AT644, 0, XMATCH("NCC VTBB/NL trong nước", '6. TIẾN ĐỘ MUA HÀNG'!$A$4:$AT$4, 0)) = $B17) * (TRIM(INDEX('6. TIẾN ĐỘ MUA HÀNG'!$A$5:$AT644, 0, XMATCH("Tháng", '6. TIẾN ĐỘ MUA HÀNG'!$A$4:$AT$4, 0))) = TRIM(AJ$6)) * (INDEX('6. TIẾN ĐỘ MUA HÀNG'!$A$5:$AT644, 0, XMATCH("CL NGÀY NCC DỰ KIẾN - NGÀY NHẬN HÀNG", '6. TIẾN ĐỘ MUA HÀNG'!$A$4:$AT$4, 0)) &lt; 0)
)</f>
        <v>0</v>
      </c>
      <c r="AL17" s="757">
        <f t="shared" si="25"/>
        <v>0</v>
      </c>
      <c r="AM17" s="726">
        <f t="shared" si="27"/>
        <v>0</v>
      </c>
      <c r="AN17" s="726">
        <f t="shared" si="28"/>
        <v>0</v>
      </c>
      <c r="AO17" s="727">
        <f t="shared" si="26"/>
        <v>0</v>
      </c>
    </row>
    <row r="18">
      <c r="A18" s="612">
        <v>10.0</v>
      </c>
      <c r="B18" s="624" t="str">
        <f>IFERROR(__xludf.DUMMYFUNCTION("""COMPUTED_VALUE"""),"Minh Ngọc")</f>
        <v>Minh Ngọc</v>
      </c>
      <c r="C18" s="754">
        <f t="array" ref="C18">SUMPRODUCT((TRIM(INDEX('6. TIẾN ĐỘ MUA HÀNG'!$A$5:$AT644, 0, XMATCH("NCC VTBB/NL trong nước", '6. TIẾN ĐỘ MUA HÀNG'!$A$4:$AT$4, 0))) = TRIM($B18)) * (TRIM(INDEX('6. TIẾN ĐỘ MUA HÀNG'!$A$5:$AT644, 0, XMATCH("Tháng", '6. TIẾN ĐỘ MUA HÀNG'!$A$4:$AT$4, 0))) = TRIM(C$6)) * (INDEX('6. TIẾN ĐỘ MUA HÀNG'!$A$5:$AT644, 0, XMATCH("Mã đơn Misa", '6. TIẾN ĐỘ MUA HÀNG'!$A$4:$AT$4, 0)) &lt;&gt; ""))</f>
        <v>0</v>
      </c>
      <c r="D18" s="754">
        <f t="array" ref="D18">SUMPRODUCT(
  (INDEX('6. TIẾN ĐỘ MUA HÀNG'!$A$5:$AT644, 0, XMATCH("NCC VTBB/NL trong nước", '6. TIẾN ĐỘ MUA HÀNG'!$A$4:$AT$4, 0)) = $B18) * (TRIM(INDEX('6. TIẾN ĐỘ MUA HÀNG'!$A$5:$AT644, 0, XMATCH("Tháng", '6. TIẾN ĐỘ MUA HÀNG'!$A$4:$AT$4, 0))) = TRIM(C$6)) * (INDEX('6. TIẾN ĐỘ MUA HÀNG'!$A$5:$AT644, 0, XMATCH("CL NGÀY NCC DỰ KIẾN - NGÀY NHẬN HÀNG", '6. TIẾN ĐỘ MUA HÀNG'!$A$4:$AT$4, 0)) &lt; 0)
)</f>
        <v>0</v>
      </c>
      <c r="E18" s="755">
        <f t="shared" si="29"/>
        <v>0</v>
      </c>
      <c r="F18" s="756">
        <f t="array" ref="F18">SUMPRODUCT((TRIM(INDEX('6. TIẾN ĐỘ MUA HÀNG'!$A$5:$AT644, 0, XMATCH("NCC VTBB/NL trong nước", '6. TIẾN ĐỘ MUA HÀNG'!$A$4:$AT$4, 0))) = TRIM($B18)) * (TRIM(INDEX('6. TIẾN ĐỘ MUA HÀNG'!$A$5:$AT644, 0, XMATCH("Tháng", '6. TIẾN ĐỘ MUA HÀNG'!$A$4:$AT$4, 0))) = TRIM(F$6)) * (INDEX('6. TIẾN ĐỘ MUA HÀNG'!$A$5:$AT644, 0, XMATCH("Mã đơn Misa", '6. TIẾN ĐỘ MUA HÀNG'!$A$4:$AT$4, 0)) &lt;&gt; ""))</f>
        <v>0</v>
      </c>
      <c r="G18" s="756">
        <f t="array" ref="G18">SUMPRODUCT(
  (INDEX('6. TIẾN ĐỘ MUA HÀNG'!$A$5:$AT644, 0, XMATCH("NCC VTBB/NL trong nước", '6. TIẾN ĐỘ MUA HÀNG'!$A$4:$AT$4, 0)) = $B18) * (TRIM(INDEX('6. TIẾN ĐỘ MUA HÀNG'!$A$5:$AT644, 0, XMATCH("Tháng", '6. TIẾN ĐỘ MUA HÀNG'!$A$4:$AT$4, 0))) = TRIM(F$6)) * (INDEX('6. TIẾN ĐỘ MUA HÀNG'!$A$5:$AT644, 0, XMATCH("CL NGÀY NCC DỰ KIẾN - NGÀY NHẬN HÀNG", '6. TIẾN ĐỘ MUA HÀNG'!$A$4:$AT$4, 0)) &lt; 0)
)</f>
        <v>0</v>
      </c>
      <c r="H18" s="757">
        <f t="shared" si="15"/>
        <v>0</v>
      </c>
      <c r="I18" s="754">
        <f t="array" ref="I18">SUMPRODUCT((TRIM(INDEX('6. TIẾN ĐỘ MUA HÀNG'!$A$5:$AT644, 0, XMATCH("NCC VTBB/NL trong nước", '6. TIẾN ĐỘ MUA HÀNG'!$A$4:$AT$4, 0))) = TRIM($B18)) * (TRIM(INDEX('6. TIẾN ĐỘ MUA HÀNG'!$A$5:$AT644, 0, XMATCH("Tháng", '6. TIẾN ĐỘ MUA HÀNG'!$A$4:$AT$4, 0))) = TRIM(I$6)) * (INDEX('6. TIẾN ĐỘ MUA HÀNG'!$A$5:$AT644, 0, XMATCH("Mã đơn Misa", '6. TIẾN ĐỘ MUA HÀNG'!$A$4:$AT$4, 0)) &lt;&gt; ""))</f>
        <v>0</v>
      </c>
      <c r="J18" s="754">
        <f t="array" ref="J18">SUMPRODUCT(
  (INDEX('6. TIẾN ĐỘ MUA HÀNG'!$A$5:$AT644, 0, XMATCH("NCC VTBB/NL trong nước", '6. TIẾN ĐỘ MUA HÀNG'!$A$4:$AT$4, 0)) = $B18) * (TRIM(INDEX('6. TIẾN ĐỘ MUA HÀNG'!$A$5:$AT644, 0, XMATCH("Tháng", '6. TIẾN ĐỘ MUA HÀNG'!$A$4:$AT$4, 0))) = TRIM(I$6)) * (INDEX('6. TIẾN ĐỘ MUA HÀNG'!$A$5:$AT644, 0, XMATCH("CL NGÀY NCC DỰ KIẾN - NGÀY NHẬN HÀNG", '6. TIẾN ĐỘ MUA HÀNG'!$A$4:$AT$4, 0)) &lt; 0)
)</f>
        <v>0</v>
      </c>
      <c r="K18" s="755">
        <f t="shared" si="30"/>
        <v>0</v>
      </c>
      <c r="L18" s="756">
        <f t="array" ref="L18">SUMPRODUCT((TRIM(INDEX('6. TIẾN ĐỘ MUA HÀNG'!$A$5:$AT644, 0, XMATCH("NCC VTBB/NL trong nước", '6. TIẾN ĐỘ MUA HÀNG'!$A$4:$AT$4, 0))) = TRIM($B18)) * (TRIM(INDEX('6. TIẾN ĐỘ MUA HÀNG'!$A$5:$AT644, 0, XMATCH("Tháng", '6. TIẾN ĐỘ MUA HÀNG'!$A$4:$AT$4, 0))) = TRIM(L$6)) * (INDEX('6. TIẾN ĐỘ MUA HÀNG'!$A$5:$AT644, 0, XMATCH("Mã đơn Misa", '6. TIẾN ĐỘ MUA HÀNG'!$A$4:$AT$4, 0)) &lt;&gt; ""))</f>
        <v>0</v>
      </c>
      <c r="M18" s="756">
        <f t="array" ref="M18">SUMPRODUCT(
  (INDEX('6. TIẾN ĐỘ MUA HÀNG'!$A$5:$AT644, 0, XMATCH("NCC VTBB/NL trong nước", '6. TIẾN ĐỘ MUA HÀNG'!$A$4:$AT$4, 0)) = $B18) * (TRIM(INDEX('6. TIẾN ĐỘ MUA HÀNG'!$A$5:$AT644, 0, XMATCH("Tháng", '6. TIẾN ĐỘ MUA HÀNG'!$A$4:$AT$4, 0))) = TRIM(L$6)) * (INDEX('6. TIẾN ĐỘ MUA HÀNG'!$A$5:$AT644, 0, XMATCH("CL NGÀY NCC DỰ KIẾN - NGÀY NHẬN HÀNG", '6. TIẾN ĐỘ MUA HÀNG'!$A$4:$AT$4, 0)) &lt; 0)
)</f>
        <v>0</v>
      </c>
      <c r="N18" s="757">
        <f t="shared" si="17"/>
        <v>0</v>
      </c>
      <c r="O18" s="754">
        <f t="array" ref="O18">SUMPRODUCT((TRIM(INDEX('6. TIẾN ĐỘ MUA HÀNG'!$A$5:$AT644, 0, XMATCH("NCC VTBB/NL trong nước", '6. TIẾN ĐỘ MUA HÀNG'!$A$4:$AT$4, 0))) = TRIM($B18)) * (TRIM(INDEX('6. TIẾN ĐỘ MUA HÀNG'!$A$5:$AT644, 0, XMATCH("Tháng", '6. TIẾN ĐỘ MUA HÀNG'!$A$4:$AT$4, 0))) = TRIM(O$6)) * (INDEX('6. TIẾN ĐỘ MUA HÀNG'!$A$5:$AT644, 0, XMATCH("Mã đơn Misa", '6. TIẾN ĐỘ MUA HÀNG'!$A$4:$AT$4, 0)) &lt;&gt; ""))</f>
        <v>0</v>
      </c>
      <c r="P18" s="754">
        <f t="array" ref="P18">SUMPRODUCT(
  (INDEX('6. TIẾN ĐỘ MUA HÀNG'!$A$5:$AT644, 0, XMATCH("NCC VTBB/NL trong nước", '6. TIẾN ĐỘ MUA HÀNG'!$A$4:$AT$4, 0)) = $B18) * (TRIM(INDEX('6. TIẾN ĐỘ MUA HÀNG'!$A$5:$AT644, 0, XMATCH("Tháng", '6. TIẾN ĐỘ MUA HÀNG'!$A$4:$AT$4, 0))) = TRIM(O$6)) * (INDEX('6. TIẾN ĐỘ MUA HÀNG'!$A$5:$AT644, 0, XMATCH("CL NGÀY NCC DỰ KIẾN - NGÀY NHẬN HÀNG", '6. TIẾN ĐỘ MUA HÀNG'!$A$4:$AT$4, 0)) &lt; 0)
)</f>
        <v>0</v>
      </c>
      <c r="Q18" s="755">
        <f t="shared" si="31"/>
        <v>0</v>
      </c>
      <c r="R18" s="756">
        <f t="array" ref="R18">SUMPRODUCT((TRIM(INDEX('6. TIẾN ĐỘ MUA HÀNG'!$A$5:$AT644, 0, XMATCH("NCC VTBB/NL trong nước", '6. TIẾN ĐỘ MUA HÀNG'!$A$4:$AT$4, 0))) = TRIM($B18)) * (TRIM(INDEX('6. TIẾN ĐỘ MUA HÀNG'!$A$5:$AT644, 0, XMATCH("Tháng", '6. TIẾN ĐỘ MUA HÀNG'!$A$4:$AT$4, 0))) = TRIM(R$6)) * (INDEX('6. TIẾN ĐỘ MUA HÀNG'!$A$5:$AT644, 0, XMATCH("Mã đơn Misa", '6. TIẾN ĐỘ MUA HÀNG'!$A$4:$AT$4, 0)) &lt;&gt; ""))</f>
        <v>0</v>
      </c>
      <c r="S18" s="756">
        <f t="array" ref="S18">SUMPRODUCT(
  (INDEX('6. TIẾN ĐỘ MUA HÀNG'!$A$5:$AT644, 0, XMATCH("NCC VTBB/NL trong nước", '6. TIẾN ĐỘ MUA HÀNG'!$A$4:$AT$4, 0)) = $B18) * (TRIM(INDEX('6. TIẾN ĐỘ MUA HÀNG'!$A$5:$AT644, 0, XMATCH("Tháng", '6. TIẾN ĐỘ MUA HÀNG'!$A$4:$AT$4, 0))) = TRIM(R$6)) * (INDEX('6. TIẾN ĐỘ MUA HÀNG'!$A$5:$AT644, 0, XMATCH("CL NGÀY NCC DỰ KIẾN - NGÀY NHẬN HÀNG", '6. TIẾN ĐỘ MUA HÀNG'!$A$4:$AT$4, 0)) &lt; 0)
)</f>
        <v>0</v>
      </c>
      <c r="T18" s="757">
        <f t="shared" si="19"/>
        <v>0</v>
      </c>
      <c r="U18" s="754">
        <f t="array" ref="U18">SUMPRODUCT((TRIM(INDEX('6. TIẾN ĐỘ MUA HÀNG'!$A$5:$AT644, 0, XMATCH("NCC VTBB/NL trong nước", '6. TIẾN ĐỘ MUA HÀNG'!$A$4:$AT$4, 0))) = TRIM($B18)) * (TRIM(INDEX('6. TIẾN ĐỘ MUA HÀNG'!$A$5:$AT644, 0, XMATCH("Tháng", '6. TIẾN ĐỘ MUA HÀNG'!$A$4:$AT$4, 0))) = TRIM(U$6)) * (INDEX('6. TIẾN ĐỘ MUA HÀNG'!$A$5:$AT644, 0, XMATCH("Mã đơn Misa", '6. TIẾN ĐỘ MUA HÀNG'!$A$4:$AT$4, 0)) &lt;&gt; ""))</f>
        <v>0</v>
      </c>
      <c r="V18" s="754">
        <f t="array" ref="V18">SUMPRODUCT(
  (INDEX('6. TIẾN ĐỘ MUA HÀNG'!$A$5:$AT644, 0, XMATCH("NCC VTBB/NL trong nước", '6. TIẾN ĐỘ MUA HÀNG'!$A$4:$AT$4, 0)) = $B18) * (TRIM(INDEX('6. TIẾN ĐỘ MUA HÀNG'!$A$5:$AT644, 0, XMATCH("Tháng", '6. TIẾN ĐỘ MUA HÀNG'!$A$4:$AT$4, 0))) = TRIM(U$6)) * (INDEX('6. TIẾN ĐỘ MUA HÀNG'!$A$5:$AT644, 0, XMATCH("CL NGÀY NCC DỰ KIẾN - NGÀY NHẬN HÀNG", '6. TIẾN ĐỘ MUA HÀNG'!$A$4:$AT$4, 0)) &lt; 0)
)</f>
        <v>0</v>
      </c>
      <c r="W18" s="755">
        <f t="shared" si="32"/>
        <v>0</v>
      </c>
      <c r="X18" s="756">
        <f t="array" ref="X18">SUMPRODUCT((TRIM(INDEX('6. TIẾN ĐỘ MUA HÀNG'!$A$5:$AT644, 0, XMATCH("NCC VTBB/NL trong nước", '6. TIẾN ĐỘ MUA HÀNG'!$A$4:$AT$4, 0))) = TRIM($B18)) * (TRIM(INDEX('6. TIẾN ĐỘ MUA HÀNG'!$A$5:$AT644, 0, XMATCH("Tháng", '6. TIẾN ĐỘ MUA HÀNG'!$A$4:$AT$4, 0))) = TRIM(X$6)) * (INDEX('6. TIẾN ĐỘ MUA HÀNG'!$A$5:$AT644, 0, XMATCH("Mã đơn Misa", '6. TIẾN ĐỘ MUA HÀNG'!$A$4:$AT$4, 0)) &lt;&gt; ""))</f>
        <v>0</v>
      </c>
      <c r="Y18" s="756">
        <f t="array" ref="Y18">SUMPRODUCT(
  (INDEX('6. TIẾN ĐỘ MUA HÀNG'!$A$5:$AT644, 0, XMATCH("NCC VTBB/NL trong nước", '6. TIẾN ĐỘ MUA HÀNG'!$A$4:$AT$4, 0)) = $B18) * (TRIM(INDEX('6. TIẾN ĐỘ MUA HÀNG'!$A$5:$AT644, 0, XMATCH("Tháng", '6. TIẾN ĐỘ MUA HÀNG'!$A$4:$AT$4, 0))) = TRIM(X$6)) * (INDEX('6. TIẾN ĐỘ MUA HÀNG'!$A$5:$AT644, 0, XMATCH("CL NGÀY NCC DỰ KIẾN - NGÀY NHẬN HÀNG", '6. TIẾN ĐỘ MUA HÀNG'!$A$4:$AT$4, 0)) &lt; 0)
)</f>
        <v>0</v>
      </c>
      <c r="Z18" s="757">
        <f t="shared" si="21"/>
        <v>0</v>
      </c>
      <c r="AA18" s="754">
        <f t="array" ref="AA18">SUMPRODUCT((TRIM(INDEX('6. TIẾN ĐỘ MUA HÀNG'!$A$5:$AT644, 0, XMATCH("NCC VTBB/NL trong nước", '6. TIẾN ĐỘ MUA HÀNG'!$A$4:$AT$4, 0))) = TRIM($B18)) * (TRIM(INDEX('6. TIẾN ĐỘ MUA HÀNG'!$A$5:$AT644, 0, XMATCH("Tháng", '6. TIẾN ĐỘ MUA HÀNG'!$A$4:$AT$4, 0))) = TRIM(AA$6)) * (INDEX('6. TIẾN ĐỘ MUA HÀNG'!$A$5:$AT644, 0, XMATCH("Mã đơn Misa", '6. TIẾN ĐỘ MUA HÀNG'!$A$4:$AT$4, 0)) &lt;&gt; ""))</f>
        <v>0</v>
      </c>
      <c r="AB18" s="754">
        <f t="array" ref="AB18">SUMPRODUCT(
  (INDEX('6. TIẾN ĐỘ MUA HÀNG'!$A$5:$AT644, 0, XMATCH("NCC VTBB/NL trong nước", '6. TIẾN ĐỘ MUA HÀNG'!$A$4:$AT$4, 0)) = $B18) * (TRIM(INDEX('6. TIẾN ĐỘ MUA HÀNG'!$A$5:$AT644, 0, XMATCH("Tháng", '6. TIẾN ĐỘ MUA HÀNG'!$A$4:$AT$4, 0))) = TRIM(AA$6)) * (INDEX('6. TIẾN ĐỘ MUA HÀNG'!$A$5:$AT644, 0, XMATCH("CL NGÀY NCC DỰ KIẾN - NGÀY NHẬN HÀNG", '6. TIẾN ĐỘ MUA HÀNG'!$A$4:$AT$4, 0)) &lt; 0)
)</f>
        <v>0</v>
      </c>
      <c r="AC18" s="755">
        <f t="shared" si="33"/>
        <v>0</v>
      </c>
      <c r="AD18" s="756">
        <f t="array" ref="AD18">SUMPRODUCT((TRIM(INDEX('6. TIẾN ĐỘ MUA HÀNG'!$A$5:$AT644, 0, XMATCH("NCC VTBB/NL trong nước", '6. TIẾN ĐỘ MUA HÀNG'!$A$4:$AT$4, 0))) = TRIM($B18)) * (TRIM(INDEX('6. TIẾN ĐỘ MUA HÀNG'!$A$5:$AT644, 0, XMATCH("Tháng", '6. TIẾN ĐỘ MUA HÀNG'!$A$4:$AT$4, 0))) = TRIM(AD$6)) * (INDEX('6. TIẾN ĐỘ MUA HÀNG'!$A$5:$AT644, 0, XMATCH("Mã đơn Misa", '6. TIẾN ĐỘ MUA HÀNG'!$A$4:$AT$4, 0)) &lt;&gt; ""))</f>
        <v>0</v>
      </c>
      <c r="AE18" s="756">
        <f t="array" ref="AE18">SUMPRODUCT(
  (INDEX('6. TIẾN ĐỘ MUA HÀNG'!$A$5:$AT644, 0, XMATCH("NCC VTBB/NL trong nước", '6. TIẾN ĐỘ MUA HÀNG'!$A$4:$AT$4, 0)) = $B18) * (TRIM(INDEX('6. TIẾN ĐỘ MUA HÀNG'!$A$5:$AT644, 0, XMATCH("Tháng", '6. TIẾN ĐỘ MUA HÀNG'!$A$4:$AT$4, 0))) = TRIM(AD$6)) * (INDEX('6. TIẾN ĐỘ MUA HÀNG'!$A$5:$AT644, 0, XMATCH("CL NGÀY NCC DỰ KIẾN - NGÀY NHẬN HÀNG", '6. TIẾN ĐỘ MUA HÀNG'!$A$4:$AT$4, 0)) &lt; 0)
)</f>
        <v>0</v>
      </c>
      <c r="AF18" s="757">
        <f t="shared" si="23"/>
        <v>0</v>
      </c>
      <c r="AG18" s="754">
        <f t="array" ref="AG18">SUMPRODUCT((TRIM(INDEX('6. TIẾN ĐỘ MUA HÀNG'!$A$5:$AT644, 0, XMATCH("NCC VTBB/NL trong nước", '6. TIẾN ĐỘ MUA HÀNG'!$A$4:$AT$4, 0))) = TRIM($B18)) * (TRIM(INDEX('6. TIẾN ĐỘ MUA HÀNG'!$A$5:$AT644, 0, XMATCH("Tháng", '6. TIẾN ĐỘ MUA HÀNG'!$A$4:$AT$4, 0))) = TRIM(AG$6)) * (INDEX('6. TIẾN ĐỘ MUA HÀNG'!$A$5:$AT644, 0, XMATCH("Mã đơn Misa", '6. TIẾN ĐỘ MUA HÀNG'!$A$4:$AT$4, 0)) &lt;&gt; ""))</f>
        <v>0</v>
      </c>
      <c r="AH18" s="754">
        <f t="array" ref="AH18">SUMPRODUCT(
  (INDEX('6. TIẾN ĐỘ MUA HÀNG'!$A$5:$AT644, 0, XMATCH("NCC VTBB/NL trong nước", '6. TIẾN ĐỘ MUA HÀNG'!$A$4:$AT$4, 0)) = $B18) * (TRIM(INDEX('6. TIẾN ĐỘ MUA HÀNG'!$A$5:$AT644, 0, XMATCH("Tháng", '6. TIẾN ĐỘ MUA HÀNG'!$A$4:$AT$4, 0))) = TRIM(AG$6)) * (INDEX('6. TIẾN ĐỘ MUA HÀNG'!$A$5:$AT644, 0, XMATCH("CL NGÀY NCC DỰ KIẾN - NGÀY NHẬN HÀNG", '6. TIẾN ĐỘ MUA HÀNG'!$A$4:$AT$4, 0)) &lt; 0)
)</f>
        <v>0</v>
      </c>
      <c r="AI18" s="755">
        <f t="shared" si="34"/>
        <v>0</v>
      </c>
      <c r="AJ18" s="756">
        <f t="array" ref="AJ18">SUMPRODUCT((TRIM(INDEX('6. TIẾN ĐỘ MUA HÀNG'!$A$5:$AT644, 0, XMATCH("NCC VTBB/NL trong nước", '6. TIẾN ĐỘ MUA HÀNG'!$A$4:$AT$4, 0))) = TRIM($B18)) * (TRIM(INDEX('6. TIẾN ĐỘ MUA HÀNG'!$A$5:$AT644, 0, XMATCH("Tháng", '6. TIẾN ĐỘ MUA HÀNG'!$A$4:$AT$4, 0))) = TRIM(AJ$6)) * (INDEX('6. TIẾN ĐỘ MUA HÀNG'!$A$5:$AT644, 0, XMATCH("Mã đơn Misa", '6. TIẾN ĐỘ MUA HÀNG'!$A$4:$AT$4, 0)) &lt;&gt; ""))</f>
        <v>0</v>
      </c>
      <c r="AK18" s="756">
        <f t="array" ref="AK18">SUMPRODUCT(
  (INDEX('6. TIẾN ĐỘ MUA HÀNG'!$A$5:$AT644, 0, XMATCH("NCC VTBB/NL trong nước", '6. TIẾN ĐỘ MUA HÀNG'!$A$4:$AT$4, 0)) = $B18) * (TRIM(INDEX('6. TIẾN ĐỘ MUA HÀNG'!$A$5:$AT644, 0, XMATCH("Tháng", '6. TIẾN ĐỘ MUA HÀNG'!$A$4:$AT$4, 0))) = TRIM(AJ$6)) * (INDEX('6. TIẾN ĐỘ MUA HÀNG'!$A$5:$AT644, 0, XMATCH("CL NGÀY NCC DỰ KIẾN - NGÀY NHẬN HÀNG", '6. TIẾN ĐỘ MUA HÀNG'!$A$4:$AT$4, 0)) &lt; 0)
)</f>
        <v>0</v>
      </c>
      <c r="AL18" s="757">
        <f t="shared" si="25"/>
        <v>0</v>
      </c>
      <c r="AM18" s="726">
        <f t="shared" si="27"/>
        <v>0</v>
      </c>
      <c r="AN18" s="726">
        <f t="shared" si="28"/>
        <v>0</v>
      </c>
      <c r="AO18" s="727">
        <f t="shared" si="26"/>
        <v>0</v>
      </c>
    </row>
    <row r="19">
      <c r="A19" s="612">
        <v>11.0</v>
      </c>
      <c r="B19" s="624" t="str">
        <f>IFERROR(__xludf.DUMMYFUNCTION("""COMPUTED_VALUE"""),"Quang Đạt")</f>
        <v>Quang Đạt</v>
      </c>
      <c r="C19" s="754">
        <f t="array" ref="C19">SUMPRODUCT((TRIM(INDEX('6. TIẾN ĐỘ MUA HÀNG'!$A$5:$AT644, 0, XMATCH("NCC VTBB/NL trong nước", '6. TIẾN ĐỘ MUA HÀNG'!$A$4:$AT$4, 0))) = TRIM($B19)) * (TRIM(INDEX('6. TIẾN ĐỘ MUA HÀNG'!$A$5:$AT644, 0, XMATCH("Tháng", '6. TIẾN ĐỘ MUA HÀNG'!$A$4:$AT$4, 0))) = TRIM(C$6)) * (INDEX('6. TIẾN ĐỘ MUA HÀNG'!$A$5:$AT644, 0, XMATCH("Mã đơn Misa", '6. TIẾN ĐỘ MUA HÀNG'!$A$4:$AT$4, 0)) &lt;&gt; ""))</f>
        <v>0</v>
      </c>
      <c r="D19" s="754">
        <f t="array" ref="D19">SUMPRODUCT(
  (INDEX('6. TIẾN ĐỘ MUA HÀNG'!$A$5:$AT644, 0, XMATCH("NCC VTBB/NL trong nước", '6. TIẾN ĐỘ MUA HÀNG'!$A$4:$AT$4, 0)) = $B19) * (TRIM(INDEX('6. TIẾN ĐỘ MUA HÀNG'!$A$5:$AT644, 0, XMATCH("Tháng", '6. TIẾN ĐỘ MUA HÀNG'!$A$4:$AT$4, 0))) = TRIM(C$6)) * (INDEX('6. TIẾN ĐỘ MUA HÀNG'!$A$5:$AT644, 0, XMATCH("CL NGÀY NCC DỰ KIẾN - NGÀY NHẬN HÀNG", '6. TIẾN ĐỘ MUA HÀNG'!$A$4:$AT$4, 0)) &lt; 0)
)</f>
        <v>0</v>
      </c>
      <c r="E19" s="755">
        <f t="shared" si="29"/>
        <v>0</v>
      </c>
      <c r="F19" s="756">
        <f t="array" ref="F19">SUMPRODUCT((TRIM(INDEX('6. TIẾN ĐỘ MUA HÀNG'!$A$5:$AT644, 0, XMATCH("NCC VTBB/NL trong nước", '6. TIẾN ĐỘ MUA HÀNG'!$A$4:$AT$4, 0))) = TRIM($B19)) * (TRIM(INDEX('6. TIẾN ĐỘ MUA HÀNG'!$A$5:$AT644, 0, XMATCH("Tháng", '6. TIẾN ĐỘ MUA HÀNG'!$A$4:$AT$4, 0))) = TRIM(F$6)) * (INDEX('6. TIẾN ĐỘ MUA HÀNG'!$A$5:$AT644, 0, XMATCH("Mã đơn Misa", '6. TIẾN ĐỘ MUA HÀNG'!$A$4:$AT$4, 0)) &lt;&gt; ""))</f>
        <v>0</v>
      </c>
      <c r="G19" s="756">
        <f t="array" ref="G19">SUMPRODUCT(
  (INDEX('6. TIẾN ĐỘ MUA HÀNG'!$A$5:$AT644, 0, XMATCH("NCC VTBB/NL trong nước", '6. TIẾN ĐỘ MUA HÀNG'!$A$4:$AT$4, 0)) = $B19) * (TRIM(INDEX('6. TIẾN ĐỘ MUA HÀNG'!$A$5:$AT644, 0, XMATCH("Tháng", '6. TIẾN ĐỘ MUA HÀNG'!$A$4:$AT$4, 0))) = TRIM(F$6)) * (INDEX('6. TIẾN ĐỘ MUA HÀNG'!$A$5:$AT644, 0, XMATCH("CL NGÀY NCC DỰ KIẾN - NGÀY NHẬN HÀNG", '6. TIẾN ĐỘ MUA HÀNG'!$A$4:$AT$4, 0)) &lt; 0)
)</f>
        <v>0</v>
      </c>
      <c r="H19" s="757">
        <f t="shared" si="15"/>
        <v>0</v>
      </c>
      <c r="I19" s="754">
        <f t="array" ref="I19">SUMPRODUCT((TRIM(INDEX('6. TIẾN ĐỘ MUA HÀNG'!$A$5:$AT644, 0, XMATCH("NCC VTBB/NL trong nước", '6. TIẾN ĐỘ MUA HÀNG'!$A$4:$AT$4, 0))) = TRIM($B19)) * (TRIM(INDEX('6. TIẾN ĐỘ MUA HÀNG'!$A$5:$AT644, 0, XMATCH("Tháng", '6. TIẾN ĐỘ MUA HÀNG'!$A$4:$AT$4, 0))) = TRIM(I$6)) * (INDEX('6. TIẾN ĐỘ MUA HÀNG'!$A$5:$AT644, 0, XMATCH("Mã đơn Misa", '6. TIẾN ĐỘ MUA HÀNG'!$A$4:$AT$4, 0)) &lt;&gt; ""))</f>
        <v>0</v>
      </c>
      <c r="J19" s="754">
        <f t="array" ref="J19">SUMPRODUCT(
  (INDEX('6. TIẾN ĐỘ MUA HÀNG'!$A$5:$AT644, 0, XMATCH("NCC VTBB/NL trong nước", '6. TIẾN ĐỘ MUA HÀNG'!$A$4:$AT$4, 0)) = $B19) * (TRIM(INDEX('6. TIẾN ĐỘ MUA HÀNG'!$A$5:$AT644, 0, XMATCH("Tháng", '6. TIẾN ĐỘ MUA HÀNG'!$A$4:$AT$4, 0))) = TRIM(I$6)) * (INDEX('6. TIẾN ĐỘ MUA HÀNG'!$A$5:$AT644, 0, XMATCH("CL NGÀY NCC DỰ KIẾN - NGÀY NHẬN HÀNG", '6. TIẾN ĐỘ MUA HÀNG'!$A$4:$AT$4, 0)) &lt; 0)
)</f>
        <v>0</v>
      </c>
      <c r="K19" s="755">
        <f t="shared" si="30"/>
        <v>0</v>
      </c>
      <c r="L19" s="756">
        <f t="array" ref="L19">SUMPRODUCT((TRIM(INDEX('6. TIẾN ĐỘ MUA HÀNG'!$A$5:$AT644, 0, XMATCH("NCC VTBB/NL trong nước", '6. TIẾN ĐỘ MUA HÀNG'!$A$4:$AT$4, 0))) = TRIM($B19)) * (TRIM(INDEX('6. TIẾN ĐỘ MUA HÀNG'!$A$5:$AT644, 0, XMATCH("Tháng", '6. TIẾN ĐỘ MUA HÀNG'!$A$4:$AT$4, 0))) = TRIM(L$6)) * (INDEX('6. TIẾN ĐỘ MUA HÀNG'!$A$5:$AT644, 0, XMATCH("Mã đơn Misa", '6. TIẾN ĐỘ MUA HÀNG'!$A$4:$AT$4, 0)) &lt;&gt; ""))</f>
        <v>0</v>
      </c>
      <c r="M19" s="756">
        <f t="array" ref="M19">SUMPRODUCT(
  (INDEX('6. TIẾN ĐỘ MUA HÀNG'!$A$5:$AT644, 0, XMATCH("NCC VTBB/NL trong nước", '6. TIẾN ĐỘ MUA HÀNG'!$A$4:$AT$4, 0)) = $B19) * (TRIM(INDEX('6. TIẾN ĐỘ MUA HÀNG'!$A$5:$AT644, 0, XMATCH("Tháng", '6. TIẾN ĐỘ MUA HÀNG'!$A$4:$AT$4, 0))) = TRIM(L$6)) * (INDEX('6. TIẾN ĐỘ MUA HÀNG'!$A$5:$AT644, 0, XMATCH("CL NGÀY NCC DỰ KIẾN - NGÀY NHẬN HÀNG", '6. TIẾN ĐỘ MUA HÀNG'!$A$4:$AT$4, 0)) &lt; 0)
)</f>
        <v>0</v>
      </c>
      <c r="N19" s="757">
        <f t="shared" si="17"/>
        <v>0</v>
      </c>
      <c r="O19" s="754">
        <f t="array" ref="O19">SUMPRODUCT((TRIM(INDEX('6. TIẾN ĐỘ MUA HÀNG'!$A$5:$AT644, 0, XMATCH("NCC VTBB/NL trong nước", '6. TIẾN ĐỘ MUA HÀNG'!$A$4:$AT$4, 0))) = TRIM($B19)) * (TRIM(INDEX('6. TIẾN ĐỘ MUA HÀNG'!$A$5:$AT644, 0, XMATCH("Tháng", '6. TIẾN ĐỘ MUA HÀNG'!$A$4:$AT$4, 0))) = TRIM(O$6)) * (INDEX('6. TIẾN ĐỘ MUA HÀNG'!$A$5:$AT644, 0, XMATCH("Mã đơn Misa", '6. TIẾN ĐỘ MUA HÀNG'!$A$4:$AT$4, 0)) &lt;&gt; ""))</f>
        <v>0</v>
      </c>
      <c r="P19" s="754">
        <f t="array" ref="P19">SUMPRODUCT(
  (INDEX('6. TIẾN ĐỘ MUA HÀNG'!$A$5:$AT644, 0, XMATCH("NCC VTBB/NL trong nước", '6. TIẾN ĐỘ MUA HÀNG'!$A$4:$AT$4, 0)) = $B19) * (TRIM(INDEX('6. TIẾN ĐỘ MUA HÀNG'!$A$5:$AT644, 0, XMATCH("Tháng", '6. TIẾN ĐỘ MUA HÀNG'!$A$4:$AT$4, 0))) = TRIM(O$6)) * (INDEX('6. TIẾN ĐỘ MUA HÀNG'!$A$5:$AT644, 0, XMATCH("CL NGÀY NCC DỰ KIẾN - NGÀY NHẬN HÀNG", '6. TIẾN ĐỘ MUA HÀNG'!$A$4:$AT$4, 0)) &lt; 0)
)</f>
        <v>0</v>
      </c>
      <c r="Q19" s="755">
        <f t="shared" si="31"/>
        <v>0</v>
      </c>
      <c r="R19" s="756">
        <f t="array" ref="R19">SUMPRODUCT((TRIM(INDEX('6. TIẾN ĐỘ MUA HÀNG'!$A$5:$AT644, 0, XMATCH("NCC VTBB/NL trong nước", '6. TIẾN ĐỘ MUA HÀNG'!$A$4:$AT$4, 0))) = TRIM($B19)) * (TRIM(INDEX('6. TIẾN ĐỘ MUA HÀNG'!$A$5:$AT644, 0, XMATCH("Tháng", '6. TIẾN ĐỘ MUA HÀNG'!$A$4:$AT$4, 0))) = TRIM(R$6)) * (INDEX('6. TIẾN ĐỘ MUA HÀNG'!$A$5:$AT644, 0, XMATCH("Mã đơn Misa", '6. TIẾN ĐỘ MUA HÀNG'!$A$4:$AT$4, 0)) &lt;&gt; ""))</f>
        <v>0</v>
      </c>
      <c r="S19" s="756">
        <f t="array" ref="S19">SUMPRODUCT(
  (INDEX('6. TIẾN ĐỘ MUA HÀNG'!$A$5:$AT644, 0, XMATCH("NCC VTBB/NL trong nước", '6. TIẾN ĐỘ MUA HÀNG'!$A$4:$AT$4, 0)) = $B19) * (TRIM(INDEX('6. TIẾN ĐỘ MUA HÀNG'!$A$5:$AT644, 0, XMATCH("Tháng", '6. TIẾN ĐỘ MUA HÀNG'!$A$4:$AT$4, 0))) = TRIM(R$6)) * (INDEX('6. TIẾN ĐỘ MUA HÀNG'!$A$5:$AT644, 0, XMATCH("CL NGÀY NCC DỰ KIẾN - NGÀY NHẬN HÀNG", '6. TIẾN ĐỘ MUA HÀNG'!$A$4:$AT$4, 0)) &lt; 0)
)</f>
        <v>0</v>
      </c>
      <c r="T19" s="757">
        <f t="shared" si="19"/>
        <v>0</v>
      </c>
      <c r="U19" s="754">
        <f t="array" ref="U19">SUMPRODUCT((TRIM(INDEX('6. TIẾN ĐỘ MUA HÀNG'!$A$5:$AT644, 0, XMATCH("NCC VTBB/NL trong nước", '6. TIẾN ĐỘ MUA HÀNG'!$A$4:$AT$4, 0))) = TRIM($B19)) * (TRIM(INDEX('6. TIẾN ĐỘ MUA HÀNG'!$A$5:$AT644, 0, XMATCH("Tháng", '6. TIẾN ĐỘ MUA HÀNG'!$A$4:$AT$4, 0))) = TRIM(U$6)) * (INDEX('6. TIẾN ĐỘ MUA HÀNG'!$A$5:$AT644, 0, XMATCH("Mã đơn Misa", '6. TIẾN ĐỘ MUA HÀNG'!$A$4:$AT$4, 0)) &lt;&gt; ""))</f>
        <v>0</v>
      </c>
      <c r="V19" s="754">
        <f t="array" ref="V19">SUMPRODUCT(
  (INDEX('6. TIẾN ĐỘ MUA HÀNG'!$A$5:$AT644, 0, XMATCH("NCC VTBB/NL trong nước", '6. TIẾN ĐỘ MUA HÀNG'!$A$4:$AT$4, 0)) = $B19) * (TRIM(INDEX('6. TIẾN ĐỘ MUA HÀNG'!$A$5:$AT644, 0, XMATCH("Tháng", '6. TIẾN ĐỘ MUA HÀNG'!$A$4:$AT$4, 0))) = TRIM(U$6)) * (INDEX('6. TIẾN ĐỘ MUA HÀNG'!$A$5:$AT644, 0, XMATCH("CL NGÀY NCC DỰ KIẾN - NGÀY NHẬN HÀNG", '6. TIẾN ĐỘ MUA HÀNG'!$A$4:$AT$4, 0)) &lt; 0)
)</f>
        <v>0</v>
      </c>
      <c r="W19" s="755">
        <f t="shared" si="32"/>
        <v>0</v>
      </c>
      <c r="X19" s="756">
        <f t="array" ref="X19">SUMPRODUCT((TRIM(INDEX('6. TIẾN ĐỘ MUA HÀNG'!$A$5:$AT644, 0, XMATCH("NCC VTBB/NL trong nước", '6. TIẾN ĐỘ MUA HÀNG'!$A$4:$AT$4, 0))) = TRIM($B19)) * (TRIM(INDEX('6. TIẾN ĐỘ MUA HÀNG'!$A$5:$AT644, 0, XMATCH("Tháng", '6. TIẾN ĐỘ MUA HÀNG'!$A$4:$AT$4, 0))) = TRIM(X$6)) * (INDEX('6. TIẾN ĐỘ MUA HÀNG'!$A$5:$AT644, 0, XMATCH("Mã đơn Misa", '6. TIẾN ĐỘ MUA HÀNG'!$A$4:$AT$4, 0)) &lt;&gt; ""))</f>
        <v>0</v>
      </c>
      <c r="Y19" s="756">
        <f t="array" ref="Y19">SUMPRODUCT(
  (INDEX('6. TIẾN ĐỘ MUA HÀNG'!$A$5:$AT644, 0, XMATCH("NCC VTBB/NL trong nước", '6. TIẾN ĐỘ MUA HÀNG'!$A$4:$AT$4, 0)) = $B19) * (TRIM(INDEX('6. TIẾN ĐỘ MUA HÀNG'!$A$5:$AT644, 0, XMATCH("Tháng", '6. TIẾN ĐỘ MUA HÀNG'!$A$4:$AT$4, 0))) = TRIM(X$6)) * (INDEX('6. TIẾN ĐỘ MUA HÀNG'!$A$5:$AT644, 0, XMATCH("CL NGÀY NCC DỰ KIẾN - NGÀY NHẬN HÀNG", '6. TIẾN ĐỘ MUA HÀNG'!$A$4:$AT$4, 0)) &lt; 0)
)</f>
        <v>0</v>
      </c>
      <c r="Z19" s="757">
        <f t="shared" si="21"/>
        <v>0</v>
      </c>
      <c r="AA19" s="754">
        <f t="array" ref="AA19">SUMPRODUCT((TRIM(INDEX('6. TIẾN ĐỘ MUA HÀNG'!$A$5:$AT644, 0, XMATCH("NCC VTBB/NL trong nước", '6. TIẾN ĐỘ MUA HÀNG'!$A$4:$AT$4, 0))) = TRIM($B19)) * (TRIM(INDEX('6. TIẾN ĐỘ MUA HÀNG'!$A$5:$AT644, 0, XMATCH("Tháng", '6. TIẾN ĐỘ MUA HÀNG'!$A$4:$AT$4, 0))) = TRIM(AA$6)) * (INDEX('6. TIẾN ĐỘ MUA HÀNG'!$A$5:$AT644, 0, XMATCH("Mã đơn Misa", '6. TIẾN ĐỘ MUA HÀNG'!$A$4:$AT$4, 0)) &lt;&gt; ""))</f>
        <v>0</v>
      </c>
      <c r="AB19" s="754">
        <f t="array" ref="AB19">SUMPRODUCT(
  (INDEX('6. TIẾN ĐỘ MUA HÀNG'!$A$5:$AT644, 0, XMATCH("NCC VTBB/NL trong nước", '6. TIẾN ĐỘ MUA HÀNG'!$A$4:$AT$4, 0)) = $B19) * (TRIM(INDEX('6. TIẾN ĐỘ MUA HÀNG'!$A$5:$AT644, 0, XMATCH("Tháng", '6. TIẾN ĐỘ MUA HÀNG'!$A$4:$AT$4, 0))) = TRIM(AA$6)) * (INDEX('6. TIẾN ĐỘ MUA HÀNG'!$A$5:$AT644, 0, XMATCH("CL NGÀY NCC DỰ KIẾN - NGÀY NHẬN HÀNG", '6. TIẾN ĐỘ MUA HÀNG'!$A$4:$AT$4, 0)) &lt; 0)
)</f>
        <v>0</v>
      </c>
      <c r="AC19" s="755">
        <f t="shared" si="33"/>
        <v>0</v>
      </c>
      <c r="AD19" s="756">
        <f t="array" ref="AD19">SUMPRODUCT((TRIM(INDEX('6. TIẾN ĐỘ MUA HÀNG'!$A$5:$AT644, 0, XMATCH("NCC VTBB/NL trong nước", '6. TIẾN ĐỘ MUA HÀNG'!$A$4:$AT$4, 0))) = TRIM($B19)) * (TRIM(INDEX('6. TIẾN ĐỘ MUA HÀNG'!$A$5:$AT644, 0, XMATCH("Tháng", '6. TIẾN ĐỘ MUA HÀNG'!$A$4:$AT$4, 0))) = TRIM(AD$6)) * (INDEX('6. TIẾN ĐỘ MUA HÀNG'!$A$5:$AT644, 0, XMATCH("Mã đơn Misa", '6. TIẾN ĐỘ MUA HÀNG'!$A$4:$AT$4, 0)) &lt;&gt; ""))</f>
        <v>0</v>
      </c>
      <c r="AE19" s="756">
        <f t="array" ref="AE19">SUMPRODUCT(
  (INDEX('6. TIẾN ĐỘ MUA HÀNG'!$A$5:$AT644, 0, XMATCH("NCC VTBB/NL trong nước", '6. TIẾN ĐỘ MUA HÀNG'!$A$4:$AT$4, 0)) = $B19) * (TRIM(INDEX('6. TIẾN ĐỘ MUA HÀNG'!$A$5:$AT644, 0, XMATCH("Tháng", '6. TIẾN ĐỘ MUA HÀNG'!$A$4:$AT$4, 0))) = TRIM(AD$6)) * (INDEX('6. TIẾN ĐỘ MUA HÀNG'!$A$5:$AT644, 0, XMATCH("CL NGÀY NCC DỰ KIẾN - NGÀY NHẬN HÀNG", '6. TIẾN ĐỘ MUA HÀNG'!$A$4:$AT$4, 0)) &lt; 0)
)</f>
        <v>0</v>
      </c>
      <c r="AF19" s="757">
        <f t="shared" si="23"/>
        <v>0</v>
      </c>
      <c r="AG19" s="754">
        <f t="array" ref="AG19">SUMPRODUCT((TRIM(INDEX('6. TIẾN ĐỘ MUA HÀNG'!$A$5:$AT644, 0, XMATCH("NCC VTBB/NL trong nước", '6. TIẾN ĐỘ MUA HÀNG'!$A$4:$AT$4, 0))) = TRIM($B19)) * (TRIM(INDEX('6. TIẾN ĐỘ MUA HÀNG'!$A$5:$AT644, 0, XMATCH("Tháng", '6. TIẾN ĐỘ MUA HÀNG'!$A$4:$AT$4, 0))) = TRIM(AG$6)) * (INDEX('6. TIẾN ĐỘ MUA HÀNG'!$A$5:$AT644, 0, XMATCH("Mã đơn Misa", '6. TIẾN ĐỘ MUA HÀNG'!$A$4:$AT$4, 0)) &lt;&gt; ""))</f>
        <v>0</v>
      </c>
      <c r="AH19" s="754">
        <f t="array" ref="AH19">SUMPRODUCT(
  (INDEX('6. TIẾN ĐỘ MUA HÀNG'!$A$5:$AT644, 0, XMATCH("NCC VTBB/NL trong nước", '6. TIẾN ĐỘ MUA HÀNG'!$A$4:$AT$4, 0)) = $B19) * (TRIM(INDEX('6. TIẾN ĐỘ MUA HÀNG'!$A$5:$AT644, 0, XMATCH("Tháng", '6. TIẾN ĐỘ MUA HÀNG'!$A$4:$AT$4, 0))) = TRIM(AG$6)) * (INDEX('6. TIẾN ĐỘ MUA HÀNG'!$A$5:$AT644, 0, XMATCH("CL NGÀY NCC DỰ KIẾN - NGÀY NHẬN HÀNG", '6. TIẾN ĐỘ MUA HÀNG'!$A$4:$AT$4, 0)) &lt; 0)
)</f>
        <v>0</v>
      </c>
      <c r="AI19" s="755">
        <f t="shared" si="34"/>
        <v>0</v>
      </c>
      <c r="AJ19" s="756">
        <f t="array" ref="AJ19">SUMPRODUCT((TRIM(INDEX('6. TIẾN ĐỘ MUA HÀNG'!$A$5:$AT644, 0, XMATCH("NCC VTBB/NL trong nước", '6. TIẾN ĐỘ MUA HÀNG'!$A$4:$AT$4, 0))) = TRIM($B19)) * (TRIM(INDEX('6. TIẾN ĐỘ MUA HÀNG'!$A$5:$AT644, 0, XMATCH("Tháng", '6. TIẾN ĐỘ MUA HÀNG'!$A$4:$AT$4, 0))) = TRIM(AJ$6)) * (INDEX('6. TIẾN ĐỘ MUA HÀNG'!$A$5:$AT644, 0, XMATCH("Mã đơn Misa", '6. TIẾN ĐỘ MUA HÀNG'!$A$4:$AT$4, 0)) &lt;&gt; ""))</f>
        <v>0</v>
      </c>
      <c r="AK19" s="756">
        <f t="array" ref="AK19">SUMPRODUCT(
  (INDEX('6. TIẾN ĐỘ MUA HÀNG'!$A$5:$AT644, 0, XMATCH("NCC VTBB/NL trong nước", '6. TIẾN ĐỘ MUA HÀNG'!$A$4:$AT$4, 0)) = $B19) * (TRIM(INDEX('6. TIẾN ĐỘ MUA HÀNG'!$A$5:$AT644, 0, XMATCH("Tháng", '6. TIẾN ĐỘ MUA HÀNG'!$A$4:$AT$4, 0))) = TRIM(AJ$6)) * (INDEX('6. TIẾN ĐỘ MUA HÀNG'!$A$5:$AT644, 0, XMATCH("CL NGÀY NCC DỰ KIẾN - NGÀY NHẬN HÀNG", '6. TIẾN ĐỘ MUA HÀNG'!$A$4:$AT$4, 0)) &lt; 0)
)</f>
        <v>0</v>
      </c>
      <c r="AL19" s="757">
        <f t="shared" si="25"/>
        <v>0</v>
      </c>
      <c r="AM19" s="726">
        <f t="shared" si="27"/>
        <v>0</v>
      </c>
      <c r="AN19" s="726">
        <f t="shared" si="28"/>
        <v>0</v>
      </c>
      <c r="AO19" s="727">
        <f t="shared" si="26"/>
        <v>0</v>
      </c>
    </row>
    <row r="20">
      <c r="A20" s="612">
        <v>12.0</v>
      </c>
      <c r="B20" s="624" t="str">
        <f>IFERROR(__xludf.DUMMYFUNCTION("""COMPUTED_VALUE"""),"Thành Phát")</f>
        <v>Thành Phát</v>
      </c>
      <c r="C20" s="754">
        <f t="array" ref="C20">SUMPRODUCT((TRIM(INDEX('6. TIẾN ĐỘ MUA HÀNG'!$A$5:$AT644, 0, XMATCH("NCC VTBB/NL trong nước", '6. TIẾN ĐỘ MUA HÀNG'!$A$4:$AT$4, 0))) = TRIM($B20)) * (TRIM(INDEX('6. TIẾN ĐỘ MUA HÀNG'!$A$5:$AT644, 0, XMATCH("Tháng", '6. TIẾN ĐỘ MUA HÀNG'!$A$4:$AT$4, 0))) = TRIM(C$6)) * (INDEX('6. TIẾN ĐỘ MUA HÀNG'!$A$5:$AT644, 0, XMATCH("Mã đơn Misa", '6. TIẾN ĐỘ MUA HÀNG'!$A$4:$AT$4, 0)) &lt;&gt; ""))</f>
        <v>0</v>
      </c>
      <c r="D20" s="754">
        <f t="array" ref="D20">SUMPRODUCT(
  (INDEX('6. TIẾN ĐỘ MUA HÀNG'!$A$5:$AT644, 0, XMATCH("NCC VTBB/NL trong nước", '6. TIẾN ĐỘ MUA HÀNG'!$A$4:$AT$4, 0)) = $B20) * (TRIM(INDEX('6. TIẾN ĐỘ MUA HÀNG'!$A$5:$AT644, 0, XMATCH("Tháng", '6. TIẾN ĐỘ MUA HÀNG'!$A$4:$AT$4, 0))) = TRIM(C$6)) * (INDEX('6. TIẾN ĐỘ MUA HÀNG'!$A$5:$AT644, 0, XMATCH("CL NGÀY NCC DỰ KIẾN - NGÀY NHẬN HÀNG", '6. TIẾN ĐỘ MUA HÀNG'!$A$4:$AT$4, 0)) &lt; 0)
)</f>
        <v>0</v>
      </c>
      <c r="E20" s="755">
        <f t="shared" si="29"/>
        <v>0</v>
      </c>
      <c r="F20" s="756">
        <f t="array" ref="F20">SUMPRODUCT((TRIM(INDEX('6. TIẾN ĐỘ MUA HÀNG'!$A$5:$AT644, 0, XMATCH("NCC VTBB/NL trong nước", '6. TIẾN ĐỘ MUA HÀNG'!$A$4:$AT$4, 0))) = TRIM($B20)) * (TRIM(INDEX('6. TIẾN ĐỘ MUA HÀNG'!$A$5:$AT644, 0, XMATCH("Tháng", '6. TIẾN ĐỘ MUA HÀNG'!$A$4:$AT$4, 0))) = TRIM(F$6)) * (INDEX('6. TIẾN ĐỘ MUA HÀNG'!$A$5:$AT644, 0, XMATCH("Mã đơn Misa", '6. TIẾN ĐỘ MUA HÀNG'!$A$4:$AT$4, 0)) &lt;&gt; ""))</f>
        <v>0</v>
      </c>
      <c r="G20" s="756">
        <f t="array" ref="G20">SUMPRODUCT(
  (INDEX('6. TIẾN ĐỘ MUA HÀNG'!$A$5:$AT644, 0, XMATCH("NCC VTBB/NL trong nước", '6. TIẾN ĐỘ MUA HÀNG'!$A$4:$AT$4, 0)) = $B20) * (TRIM(INDEX('6. TIẾN ĐỘ MUA HÀNG'!$A$5:$AT644, 0, XMATCH("Tháng", '6. TIẾN ĐỘ MUA HÀNG'!$A$4:$AT$4, 0))) = TRIM(F$6)) * (INDEX('6. TIẾN ĐỘ MUA HÀNG'!$A$5:$AT644, 0, XMATCH("CL NGÀY NCC DỰ KIẾN - NGÀY NHẬN HÀNG", '6. TIẾN ĐỘ MUA HÀNG'!$A$4:$AT$4, 0)) &lt; 0)
)</f>
        <v>0</v>
      </c>
      <c r="H20" s="757">
        <f t="shared" si="15"/>
        <v>0</v>
      </c>
      <c r="I20" s="754">
        <f t="array" ref="I20">SUMPRODUCT((TRIM(INDEX('6. TIẾN ĐỘ MUA HÀNG'!$A$5:$AT644, 0, XMATCH("NCC VTBB/NL trong nước", '6. TIẾN ĐỘ MUA HÀNG'!$A$4:$AT$4, 0))) = TRIM($B20)) * (TRIM(INDEX('6. TIẾN ĐỘ MUA HÀNG'!$A$5:$AT644, 0, XMATCH("Tháng", '6. TIẾN ĐỘ MUA HÀNG'!$A$4:$AT$4, 0))) = TRIM(I$6)) * (INDEX('6. TIẾN ĐỘ MUA HÀNG'!$A$5:$AT644, 0, XMATCH("Mã đơn Misa", '6. TIẾN ĐỘ MUA HÀNG'!$A$4:$AT$4, 0)) &lt;&gt; ""))</f>
        <v>0</v>
      </c>
      <c r="J20" s="754">
        <f t="array" ref="J20">SUMPRODUCT(
  (INDEX('6. TIẾN ĐỘ MUA HÀNG'!$A$5:$AT644, 0, XMATCH("NCC VTBB/NL trong nước", '6. TIẾN ĐỘ MUA HÀNG'!$A$4:$AT$4, 0)) = $B20) * (TRIM(INDEX('6. TIẾN ĐỘ MUA HÀNG'!$A$5:$AT644, 0, XMATCH("Tháng", '6. TIẾN ĐỘ MUA HÀNG'!$A$4:$AT$4, 0))) = TRIM(I$6)) * (INDEX('6. TIẾN ĐỘ MUA HÀNG'!$A$5:$AT644, 0, XMATCH("CL NGÀY NCC DỰ KIẾN - NGÀY NHẬN HÀNG", '6. TIẾN ĐỘ MUA HÀNG'!$A$4:$AT$4, 0)) &lt; 0)
)</f>
        <v>0</v>
      </c>
      <c r="K20" s="755">
        <f t="shared" si="30"/>
        <v>0</v>
      </c>
      <c r="L20" s="756">
        <f t="array" ref="L20">SUMPRODUCT((TRIM(INDEX('6. TIẾN ĐỘ MUA HÀNG'!$A$5:$AT644, 0, XMATCH("NCC VTBB/NL trong nước", '6. TIẾN ĐỘ MUA HÀNG'!$A$4:$AT$4, 0))) = TRIM($B20)) * (TRIM(INDEX('6. TIẾN ĐỘ MUA HÀNG'!$A$5:$AT644, 0, XMATCH("Tháng", '6. TIẾN ĐỘ MUA HÀNG'!$A$4:$AT$4, 0))) = TRIM(L$6)) * (INDEX('6. TIẾN ĐỘ MUA HÀNG'!$A$5:$AT644, 0, XMATCH("Mã đơn Misa", '6. TIẾN ĐỘ MUA HÀNG'!$A$4:$AT$4, 0)) &lt;&gt; ""))</f>
        <v>0</v>
      </c>
      <c r="M20" s="756">
        <f t="array" ref="M20">SUMPRODUCT(
  (INDEX('6. TIẾN ĐỘ MUA HÀNG'!$A$5:$AT644, 0, XMATCH("NCC VTBB/NL trong nước", '6. TIẾN ĐỘ MUA HÀNG'!$A$4:$AT$4, 0)) = $B20) * (TRIM(INDEX('6. TIẾN ĐỘ MUA HÀNG'!$A$5:$AT644, 0, XMATCH("Tháng", '6. TIẾN ĐỘ MUA HÀNG'!$A$4:$AT$4, 0))) = TRIM(L$6)) * (INDEX('6. TIẾN ĐỘ MUA HÀNG'!$A$5:$AT644, 0, XMATCH("CL NGÀY NCC DỰ KIẾN - NGÀY NHẬN HÀNG", '6. TIẾN ĐỘ MUA HÀNG'!$A$4:$AT$4, 0)) &lt; 0)
)</f>
        <v>0</v>
      </c>
      <c r="N20" s="757">
        <f t="shared" si="17"/>
        <v>0</v>
      </c>
      <c r="O20" s="754">
        <f t="array" ref="O20">SUMPRODUCT((TRIM(INDEX('6. TIẾN ĐỘ MUA HÀNG'!$A$5:$AT644, 0, XMATCH("NCC VTBB/NL trong nước", '6. TIẾN ĐỘ MUA HÀNG'!$A$4:$AT$4, 0))) = TRIM($B20)) * (TRIM(INDEX('6. TIẾN ĐỘ MUA HÀNG'!$A$5:$AT644, 0, XMATCH("Tháng", '6. TIẾN ĐỘ MUA HÀNG'!$A$4:$AT$4, 0))) = TRIM(O$6)) * (INDEX('6. TIẾN ĐỘ MUA HÀNG'!$A$5:$AT644, 0, XMATCH("Mã đơn Misa", '6. TIẾN ĐỘ MUA HÀNG'!$A$4:$AT$4, 0)) &lt;&gt; ""))</f>
        <v>0</v>
      </c>
      <c r="P20" s="754">
        <f t="array" ref="P20">SUMPRODUCT(
  (INDEX('6. TIẾN ĐỘ MUA HÀNG'!$A$5:$AT644, 0, XMATCH("NCC VTBB/NL trong nước", '6. TIẾN ĐỘ MUA HÀNG'!$A$4:$AT$4, 0)) = $B20) * (TRIM(INDEX('6. TIẾN ĐỘ MUA HÀNG'!$A$5:$AT644, 0, XMATCH("Tháng", '6. TIẾN ĐỘ MUA HÀNG'!$A$4:$AT$4, 0))) = TRIM(O$6)) * (INDEX('6. TIẾN ĐỘ MUA HÀNG'!$A$5:$AT644, 0, XMATCH("CL NGÀY NCC DỰ KIẾN - NGÀY NHẬN HÀNG", '6. TIẾN ĐỘ MUA HÀNG'!$A$4:$AT$4, 0)) &lt; 0)
)</f>
        <v>0</v>
      </c>
      <c r="Q20" s="755">
        <f t="shared" si="31"/>
        <v>0</v>
      </c>
      <c r="R20" s="756">
        <f t="array" ref="R20">SUMPRODUCT((TRIM(INDEX('6. TIẾN ĐỘ MUA HÀNG'!$A$5:$AT644, 0, XMATCH("NCC VTBB/NL trong nước", '6. TIẾN ĐỘ MUA HÀNG'!$A$4:$AT$4, 0))) = TRIM($B20)) * (TRIM(INDEX('6. TIẾN ĐỘ MUA HÀNG'!$A$5:$AT644, 0, XMATCH("Tháng", '6. TIẾN ĐỘ MUA HÀNG'!$A$4:$AT$4, 0))) = TRIM(R$6)) * (INDEX('6. TIẾN ĐỘ MUA HÀNG'!$A$5:$AT644, 0, XMATCH("Mã đơn Misa", '6. TIẾN ĐỘ MUA HÀNG'!$A$4:$AT$4, 0)) &lt;&gt; ""))</f>
        <v>0</v>
      </c>
      <c r="S20" s="756">
        <f t="array" ref="S20">SUMPRODUCT(
  (INDEX('6. TIẾN ĐỘ MUA HÀNG'!$A$5:$AT644, 0, XMATCH("NCC VTBB/NL trong nước", '6. TIẾN ĐỘ MUA HÀNG'!$A$4:$AT$4, 0)) = $B20) * (TRIM(INDEX('6. TIẾN ĐỘ MUA HÀNG'!$A$5:$AT644, 0, XMATCH("Tháng", '6. TIẾN ĐỘ MUA HÀNG'!$A$4:$AT$4, 0))) = TRIM(R$6)) * (INDEX('6. TIẾN ĐỘ MUA HÀNG'!$A$5:$AT644, 0, XMATCH("CL NGÀY NCC DỰ KIẾN - NGÀY NHẬN HÀNG", '6. TIẾN ĐỘ MUA HÀNG'!$A$4:$AT$4, 0)) &lt; 0)
)</f>
        <v>0</v>
      </c>
      <c r="T20" s="757">
        <f t="shared" si="19"/>
        <v>0</v>
      </c>
      <c r="U20" s="754">
        <f t="array" ref="U20">SUMPRODUCT((TRIM(INDEX('6. TIẾN ĐỘ MUA HÀNG'!$A$5:$AT644, 0, XMATCH("NCC VTBB/NL trong nước", '6. TIẾN ĐỘ MUA HÀNG'!$A$4:$AT$4, 0))) = TRIM($B20)) * (TRIM(INDEX('6. TIẾN ĐỘ MUA HÀNG'!$A$5:$AT644, 0, XMATCH("Tháng", '6. TIẾN ĐỘ MUA HÀNG'!$A$4:$AT$4, 0))) = TRIM(U$6)) * (INDEX('6. TIẾN ĐỘ MUA HÀNG'!$A$5:$AT644, 0, XMATCH("Mã đơn Misa", '6. TIẾN ĐỘ MUA HÀNG'!$A$4:$AT$4, 0)) &lt;&gt; ""))</f>
        <v>0</v>
      </c>
      <c r="V20" s="754">
        <f t="array" ref="V20">SUMPRODUCT(
  (INDEX('6. TIẾN ĐỘ MUA HÀNG'!$A$5:$AT644, 0, XMATCH("NCC VTBB/NL trong nước", '6. TIẾN ĐỘ MUA HÀNG'!$A$4:$AT$4, 0)) = $B20) * (TRIM(INDEX('6. TIẾN ĐỘ MUA HÀNG'!$A$5:$AT644, 0, XMATCH("Tháng", '6. TIẾN ĐỘ MUA HÀNG'!$A$4:$AT$4, 0))) = TRIM(U$6)) * (INDEX('6. TIẾN ĐỘ MUA HÀNG'!$A$5:$AT644, 0, XMATCH("CL NGÀY NCC DỰ KIẾN - NGÀY NHẬN HÀNG", '6. TIẾN ĐỘ MUA HÀNG'!$A$4:$AT$4, 0)) &lt; 0)
)</f>
        <v>0</v>
      </c>
      <c r="W20" s="755">
        <f t="shared" si="32"/>
        <v>0</v>
      </c>
      <c r="X20" s="756">
        <f t="array" ref="X20">SUMPRODUCT((TRIM(INDEX('6. TIẾN ĐỘ MUA HÀNG'!$A$5:$AT644, 0, XMATCH("NCC VTBB/NL trong nước", '6. TIẾN ĐỘ MUA HÀNG'!$A$4:$AT$4, 0))) = TRIM($B20)) * (TRIM(INDEX('6. TIẾN ĐỘ MUA HÀNG'!$A$5:$AT644, 0, XMATCH("Tháng", '6. TIẾN ĐỘ MUA HÀNG'!$A$4:$AT$4, 0))) = TRIM(X$6)) * (INDEX('6. TIẾN ĐỘ MUA HÀNG'!$A$5:$AT644, 0, XMATCH("Mã đơn Misa", '6. TIẾN ĐỘ MUA HÀNG'!$A$4:$AT$4, 0)) &lt;&gt; ""))</f>
        <v>0</v>
      </c>
      <c r="Y20" s="756">
        <f t="array" ref="Y20">SUMPRODUCT(
  (INDEX('6. TIẾN ĐỘ MUA HÀNG'!$A$5:$AT644, 0, XMATCH("NCC VTBB/NL trong nước", '6. TIẾN ĐỘ MUA HÀNG'!$A$4:$AT$4, 0)) = $B20) * (TRIM(INDEX('6. TIẾN ĐỘ MUA HÀNG'!$A$5:$AT644, 0, XMATCH("Tháng", '6. TIẾN ĐỘ MUA HÀNG'!$A$4:$AT$4, 0))) = TRIM(X$6)) * (INDEX('6. TIẾN ĐỘ MUA HÀNG'!$A$5:$AT644, 0, XMATCH("CL NGÀY NCC DỰ KIẾN - NGÀY NHẬN HÀNG", '6. TIẾN ĐỘ MUA HÀNG'!$A$4:$AT$4, 0)) &lt; 0)
)</f>
        <v>0</v>
      </c>
      <c r="Z20" s="757">
        <f t="shared" si="21"/>
        <v>0</v>
      </c>
      <c r="AA20" s="754">
        <f t="array" ref="AA20">SUMPRODUCT((TRIM(INDEX('6. TIẾN ĐỘ MUA HÀNG'!$A$5:$AT644, 0, XMATCH("NCC VTBB/NL trong nước", '6. TIẾN ĐỘ MUA HÀNG'!$A$4:$AT$4, 0))) = TRIM($B20)) * (TRIM(INDEX('6. TIẾN ĐỘ MUA HÀNG'!$A$5:$AT644, 0, XMATCH("Tháng", '6. TIẾN ĐỘ MUA HÀNG'!$A$4:$AT$4, 0))) = TRIM(AA$6)) * (INDEX('6. TIẾN ĐỘ MUA HÀNG'!$A$5:$AT644, 0, XMATCH("Mã đơn Misa", '6. TIẾN ĐỘ MUA HÀNG'!$A$4:$AT$4, 0)) &lt;&gt; ""))</f>
        <v>0</v>
      </c>
      <c r="AB20" s="754">
        <f t="array" ref="AB20">SUMPRODUCT(
  (INDEX('6. TIẾN ĐỘ MUA HÀNG'!$A$5:$AT644, 0, XMATCH("NCC VTBB/NL trong nước", '6. TIẾN ĐỘ MUA HÀNG'!$A$4:$AT$4, 0)) = $B20) * (TRIM(INDEX('6. TIẾN ĐỘ MUA HÀNG'!$A$5:$AT644, 0, XMATCH("Tháng", '6. TIẾN ĐỘ MUA HÀNG'!$A$4:$AT$4, 0))) = TRIM(AA$6)) * (INDEX('6. TIẾN ĐỘ MUA HÀNG'!$A$5:$AT644, 0, XMATCH("CL NGÀY NCC DỰ KIẾN - NGÀY NHẬN HÀNG", '6. TIẾN ĐỘ MUA HÀNG'!$A$4:$AT$4, 0)) &lt; 0)
)</f>
        <v>0</v>
      </c>
      <c r="AC20" s="755">
        <f t="shared" si="33"/>
        <v>0</v>
      </c>
      <c r="AD20" s="756">
        <f t="array" ref="AD20">SUMPRODUCT((TRIM(INDEX('6. TIẾN ĐỘ MUA HÀNG'!$A$5:$AT644, 0, XMATCH("NCC VTBB/NL trong nước", '6. TIẾN ĐỘ MUA HÀNG'!$A$4:$AT$4, 0))) = TRIM($B20)) * (TRIM(INDEX('6. TIẾN ĐỘ MUA HÀNG'!$A$5:$AT644, 0, XMATCH("Tháng", '6. TIẾN ĐỘ MUA HÀNG'!$A$4:$AT$4, 0))) = TRIM(AD$6)) * (INDEX('6. TIẾN ĐỘ MUA HÀNG'!$A$5:$AT644, 0, XMATCH("Mã đơn Misa", '6. TIẾN ĐỘ MUA HÀNG'!$A$4:$AT$4, 0)) &lt;&gt; ""))</f>
        <v>0</v>
      </c>
      <c r="AE20" s="756">
        <f t="array" ref="AE20">SUMPRODUCT(
  (INDEX('6. TIẾN ĐỘ MUA HÀNG'!$A$5:$AT644, 0, XMATCH("NCC VTBB/NL trong nước", '6. TIẾN ĐỘ MUA HÀNG'!$A$4:$AT$4, 0)) = $B20) * (TRIM(INDEX('6. TIẾN ĐỘ MUA HÀNG'!$A$5:$AT644, 0, XMATCH("Tháng", '6. TIẾN ĐỘ MUA HÀNG'!$A$4:$AT$4, 0))) = TRIM(AD$6)) * (INDEX('6. TIẾN ĐỘ MUA HÀNG'!$A$5:$AT644, 0, XMATCH("CL NGÀY NCC DỰ KIẾN - NGÀY NHẬN HÀNG", '6. TIẾN ĐỘ MUA HÀNG'!$A$4:$AT$4, 0)) &lt; 0)
)</f>
        <v>0</v>
      </c>
      <c r="AF20" s="757">
        <f t="shared" si="23"/>
        <v>0</v>
      </c>
      <c r="AG20" s="754">
        <f t="array" ref="AG20">SUMPRODUCT((TRIM(INDEX('6. TIẾN ĐỘ MUA HÀNG'!$A$5:$AT644, 0, XMATCH("NCC VTBB/NL trong nước", '6. TIẾN ĐỘ MUA HÀNG'!$A$4:$AT$4, 0))) = TRIM($B20)) * (TRIM(INDEX('6. TIẾN ĐỘ MUA HÀNG'!$A$5:$AT644, 0, XMATCH("Tháng", '6. TIẾN ĐỘ MUA HÀNG'!$A$4:$AT$4, 0))) = TRIM(AG$6)) * (INDEX('6. TIẾN ĐỘ MUA HÀNG'!$A$5:$AT644, 0, XMATCH("Mã đơn Misa", '6. TIẾN ĐỘ MUA HÀNG'!$A$4:$AT$4, 0)) &lt;&gt; ""))</f>
        <v>0</v>
      </c>
      <c r="AH20" s="754">
        <f t="array" ref="AH20">SUMPRODUCT(
  (INDEX('6. TIẾN ĐỘ MUA HÀNG'!$A$5:$AT644, 0, XMATCH("NCC VTBB/NL trong nước", '6. TIẾN ĐỘ MUA HÀNG'!$A$4:$AT$4, 0)) = $B20) * (TRIM(INDEX('6. TIẾN ĐỘ MUA HÀNG'!$A$5:$AT644, 0, XMATCH("Tháng", '6. TIẾN ĐỘ MUA HÀNG'!$A$4:$AT$4, 0))) = TRIM(AG$6)) * (INDEX('6. TIẾN ĐỘ MUA HÀNG'!$A$5:$AT644, 0, XMATCH("CL NGÀY NCC DỰ KIẾN - NGÀY NHẬN HÀNG", '6. TIẾN ĐỘ MUA HÀNG'!$A$4:$AT$4, 0)) &lt; 0)
)</f>
        <v>0</v>
      </c>
      <c r="AI20" s="755">
        <f t="shared" si="34"/>
        <v>0</v>
      </c>
      <c r="AJ20" s="756">
        <f t="array" ref="AJ20">SUMPRODUCT((TRIM(INDEX('6. TIẾN ĐỘ MUA HÀNG'!$A$5:$AT644, 0, XMATCH("NCC VTBB/NL trong nước", '6. TIẾN ĐỘ MUA HÀNG'!$A$4:$AT$4, 0))) = TRIM($B20)) * (TRIM(INDEX('6. TIẾN ĐỘ MUA HÀNG'!$A$5:$AT644, 0, XMATCH("Tháng", '6. TIẾN ĐỘ MUA HÀNG'!$A$4:$AT$4, 0))) = TRIM(AJ$6)) * (INDEX('6. TIẾN ĐỘ MUA HÀNG'!$A$5:$AT644, 0, XMATCH("Mã đơn Misa", '6. TIẾN ĐỘ MUA HÀNG'!$A$4:$AT$4, 0)) &lt;&gt; ""))</f>
        <v>0</v>
      </c>
      <c r="AK20" s="756">
        <f t="array" ref="AK20">SUMPRODUCT(
  (INDEX('6. TIẾN ĐỘ MUA HÀNG'!$A$5:$AT644, 0, XMATCH("NCC VTBB/NL trong nước", '6. TIẾN ĐỘ MUA HÀNG'!$A$4:$AT$4, 0)) = $B20) * (TRIM(INDEX('6. TIẾN ĐỘ MUA HÀNG'!$A$5:$AT644, 0, XMATCH("Tháng", '6. TIẾN ĐỘ MUA HÀNG'!$A$4:$AT$4, 0))) = TRIM(AJ$6)) * (INDEX('6. TIẾN ĐỘ MUA HÀNG'!$A$5:$AT644, 0, XMATCH("CL NGÀY NCC DỰ KIẾN - NGÀY NHẬN HÀNG", '6. TIẾN ĐỘ MUA HÀNG'!$A$4:$AT$4, 0)) &lt; 0)
)</f>
        <v>0</v>
      </c>
      <c r="AL20" s="757">
        <f t="shared" si="25"/>
        <v>0</v>
      </c>
      <c r="AM20" s="726">
        <f t="shared" si="27"/>
        <v>0</v>
      </c>
      <c r="AN20" s="726">
        <f t="shared" si="28"/>
        <v>0</v>
      </c>
      <c r="AO20" s="727">
        <f t="shared" si="26"/>
        <v>0</v>
      </c>
    </row>
    <row r="21">
      <c r="A21" s="612">
        <v>13.0</v>
      </c>
      <c r="B21" s="624" t="str">
        <f>IFERROR(__xludf.DUMMYFUNCTION("""COMPUTED_VALUE"""),"Phương Nam")</f>
        <v>Phương Nam</v>
      </c>
      <c r="C21" s="754">
        <f t="array" ref="C21">SUMPRODUCT((TRIM(INDEX('6. TIẾN ĐỘ MUA HÀNG'!$A$5:$AT644, 0, XMATCH("NCC VTBB/NL trong nước", '6. TIẾN ĐỘ MUA HÀNG'!$A$4:$AT$4, 0))) = TRIM($B21)) * (TRIM(INDEX('6. TIẾN ĐỘ MUA HÀNG'!$A$5:$AT644, 0, XMATCH("Tháng", '6. TIẾN ĐỘ MUA HÀNG'!$A$4:$AT$4, 0))) = TRIM(C$6)) * (INDEX('6. TIẾN ĐỘ MUA HÀNG'!$A$5:$AT644, 0, XMATCH("Mã đơn Misa", '6. TIẾN ĐỘ MUA HÀNG'!$A$4:$AT$4, 0)) &lt;&gt; ""))</f>
        <v>0</v>
      </c>
      <c r="D21" s="754">
        <f t="array" ref="D21">SUMPRODUCT(
  (INDEX('6. TIẾN ĐỘ MUA HÀNG'!$A$5:$AT644, 0, XMATCH("NCC VTBB/NL trong nước", '6. TIẾN ĐỘ MUA HÀNG'!$A$4:$AT$4, 0)) = $B21) * (TRIM(INDEX('6. TIẾN ĐỘ MUA HÀNG'!$A$5:$AT644, 0, XMATCH("Tháng", '6. TIẾN ĐỘ MUA HÀNG'!$A$4:$AT$4, 0))) = TRIM(C$6)) * (INDEX('6. TIẾN ĐỘ MUA HÀNG'!$A$5:$AT644, 0, XMATCH("CL NGÀY NCC DỰ KIẾN - NGÀY NHẬN HÀNG", '6. TIẾN ĐỘ MUA HÀNG'!$A$4:$AT$4, 0)) &lt; 0)
)</f>
        <v>0</v>
      </c>
      <c r="E21" s="755">
        <f t="shared" si="29"/>
        <v>0</v>
      </c>
      <c r="F21" s="756">
        <f t="array" ref="F21">SUMPRODUCT((TRIM(INDEX('6. TIẾN ĐỘ MUA HÀNG'!$A$5:$AT644, 0, XMATCH("NCC VTBB/NL trong nước", '6. TIẾN ĐỘ MUA HÀNG'!$A$4:$AT$4, 0))) = TRIM($B21)) * (TRIM(INDEX('6. TIẾN ĐỘ MUA HÀNG'!$A$5:$AT644, 0, XMATCH("Tháng", '6. TIẾN ĐỘ MUA HÀNG'!$A$4:$AT$4, 0))) = TRIM(F$6)) * (INDEX('6. TIẾN ĐỘ MUA HÀNG'!$A$5:$AT644, 0, XMATCH("Mã đơn Misa", '6. TIẾN ĐỘ MUA HÀNG'!$A$4:$AT$4, 0)) &lt;&gt; ""))</f>
        <v>0</v>
      </c>
      <c r="G21" s="756">
        <f t="array" ref="G21">SUMPRODUCT(
  (INDEX('6. TIẾN ĐỘ MUA HÀNG'!$A$5:$AT644, 0, XMATCH("NCC VTBB/NL trong nước", '6. TIẾN ĐỘ MUA HÀNG'!$A$4:$AT$4, 0)) = $B21) * (TRIM(INDEX('6. TIẾN ĐỘ MUA HÀNG'!$A$5:$AT644, 0, XMATCH("Tháng", '6. TIẾN ĐỘ MUA HÀNG'!$A$4:$AT$4, 0))) = TRIM(F$6)) * (INDEX('6. TIẾN ĐỘ MUA HÀNG'!$A$5:$AT644, 0, XMATCH("CL NGÀY NCC DỰ KIẾN - NGÀY NHẬN HÀNG", '6. TIẾN ĐỘ MUA HÀNG'!$A$4:$AT$4, 0)) &lt; 0)
)</f>
        <v>0</v>
      </c>
      <c r="H21" s="757">
        <f t="shared" si="15"/>
        <v>0</v>
      </c>
      <c r="I21" s="754">
        <f t="array" ref="I21">SUMPRODUCT((TRIM(INDEX('6. TIẾN ĐỘ MUA HÀNG'!$A$5:$AT644, 0, XMATCH("NCC VTBB/NL trong nước", '6. TIẾN ĐỘ MUA HÀNG'!$A$4:$AT$4, 0))) = TRIM($B21)) * (TRIM(INDEX('6. TIẾN ĐỘ MUA HÀNG'!$A$5:$AT644, 0, XMATCH("Tháng", '6. TIẾN ĐỘ MUA HÀNG'!$A$4:$AT$4, 0))) = TRIM(I$6)) * (INDEX('6. TIẾN ĐỘ MUA HÀNG'!$A$5:$AT644, 0, XMATCH("Mã đơn Misa", '6. TIẾN ĐỘ MUA HÀNG'!$A$4:$AT$4, 0)) &lt;&gt; ""))</f>
        <v>0</v>
      </c>
      <c r="J21" s="754">
        <f t="array" ref="J21">SUMPRODUCT(
  (INDEX('6. TIẾN ĐỘ MUA HÀNG'!$A$5:$AT644, 0, XMATCH("NCC VTBB/NL trong nước", '6. TIẾN ĐỘ MUA HÀNG'!$A$4:$AT$4, 0)) = $B21) * (TRIM(INDEX('6. TIẾN ĐỘ MUA HÀNG'!$A$5:$AT644, 0, XMATCH("Tháng", '6. TIẾN ĐỘ MUA HÀNG'!$A$4:$AT$4, 0))) = TRIM(I$6)) * (INDEX('6. TIẾN ĐỘ MUA HÀNG'!$A$5:$AT644, 0, XMATCH("CL NGÀY NCC DỰ KIẾN - NGÀY NHẬN HÀNG", '6. TIẾN ĐỘ MUA HÀNG'!$A$4:$AT$4, 0)) &lt; 0)
)</f>
        <v>0</v>
      </c>
      <c r="K21" s="755">
        <f t="shared" si="30"/>
        <v>0</v>
      </c>
      <c r="L21" s="756">
        <f t="array" ref="L21">SUMPRODUCT((TRIM(INDEX('6. TIẾN ĐỘ MUA HÀNG'!$A$5:$AT644, 0, XMATCH("NCC VTBB/NL trong nước", '6. TIẾN ĐỘ MUA HÀNG'!$A$4:$AT$4, 0))) = TRIM($B21)) * (TRIM(INDEX('6. TIẾN ĐỘ MUA HÀNG'!$A$5:$AT644, 0, XMATCH("Tháng", '6. TIẾN ĐỘ MUA HÀNG'!$A$4:$AT$4, 0))) = TRIM(L$6)) * (INDEX('6. TIẾN ĐỘ MUA HÀNG'!$A$5:$AT644, 0, XMATCH("Mã đơn Misa", '6. TIẾN ĐỘ MUA HÀNG'!$A$4:$AT$4, 0)) &lt;&gt; ""))</f>
        <v>0</v>
      </c>
      <c r="M21" s="756">
        <f t="array" ref="M21">SUMPRODUCT(
  (INDEX('6. TIẾN ĐỘ MUA HÀNG'!$A$5:$AT644, 0, XMATCH("NCC VTBB/NL trong nước", '6. TIẾN ĐỘ MUA HÀNG'!$A$4:$AT$4, 0)) = $B21) * (TRIM(INDEX('6. TIẾN ĐỘ MUA HÀNG'!$A$5:$AT644, 0, XMATCH("Tháng", '6. TIẾN ĐỘ MUA HÀNG'!$A$4:$AT$4, 0))) = TRIM(L$6)) * (INDEX('6. TIẾN ĐỘ MUA HÀNG'!$A$5:$AT644, 0, XMATCH("CL NGÀY NCC DỰ KIẾN - NGÀY NHẬN HÀNG", '6. TIẾN ĐỘ MUA HÀNG'!$A$4:$AT$4, 0)) &lt; 0)
)</f>
        <v>0</v>
      </c>
      <c r="N21" s="757">
        <f t="shared" si="17"/>
        <v>0</v>
      </c>
      <c r="O21" s="754">
        <f t="array" ref="O21">SUMPRODUCT((TRIM(INDEX('6. TIẾN ĐỘ MUA HÀNG'!$A$5:$AT644, 0, XMATCH("NCC VTBB/NL trong nước", '6. TIẾN ĐỘ MUA HÀNG'!$A$4:$AT$4, 0))) = TRIM($B21)) * (TRIM(INDEX('6. TIẾN ĐỘ MUA HÀNG'!$A$5:$AT644, 0, XMATCH("Tháng", '6. TIẾN ĐỘ MUA HÀNG'!$A$4:$AT$4, 0))) = TRIM(O$6)) * (INDEX('6. TIẾN ĐỘ MUA HÀNG'!$A$5:$AT644, 0, XMATCH("Mã đơn Misa", '6. TIẾN ĐỘ MUA HÀNG'!$A$4:$AT$4, 0)) &lt;&gt; ""))</f>
        <v>0</v>
      </c>
      <c r="P21" s="754">
        <f t="array" ref="P21">SUMPRODUCT(
  (INDEX('6. TIẾN ĐỘ MUA HÀNG'!$A$5:$AT644, 0, XMATCH("NCC VTBB/NL trong nước", '6. TIẾN ĐỘ MUA HÀNG'!$A$4:$AT$4, 0)) = $B21) * (TRIM(INDEX('6. TIẾN ĐỘ MUA HÀNG'!$A$5:$AT644, 0, XMATCH("Tháng", '6. TIẾN ĐỘ MUA HÀNG'!$A$4:$AT$4, 0))) = TRIM(O$6)) * (INDEX('6. TIẾN ĐỘ MUA HÀNG'!$A$5:$AT644, 0, XMATCH("CL NGÀY NCC DỰ KIẾN - NGÀY NHẬN HÀNG", '6. TIẾN ĐỘ MUA HÀNG'!$A$4:$AT$4, 0)) &lt; 0)
)</f>
        <v>0</v>
      </c>
      <c r="Q21" s="755">
        <f t="shared" si="31"/>
        <v>0</v>
      </c>
      <c r="R21" s="756">
        <f t="array" ref="R21">SUMPRODUCT((TRIM(INDEX('6. TIẾN ĐỘ MUA HÀNG'!$A$5:$AT644, 0, XMATCH("NCC VTBB/NL trong nước", '6. TIẾN ĐỘ MUA HÀNG'!$A$4:$AT$4, 0))) = TRIM($B21)) * (TRIM(INDEX('6. TIẾN ĐỘ MUA HÀNG'!$A$5:$AT644, 0, XMATCH("Tháng", '6. TIẾN ĐỘ MUA HÀNG'!$A$4:$AT$4, 0))) = TRIM(R$6)) * (INDEX('6. TIẾN ĐỘ MUA HÀNG'!$A$5:$AT644, 0, XMATCH("Mã đơn Misa", '6. TIẾN ĐỘ MUA HÀNG'!$A$4:$AT$4, 0)) &lt;&gt; ""))</f>
        <v>0</v>
      </c>
      <c r="S21" s="756">
        <f t="array" ref="S21">SUMPRODUCT(
  (INDEX('6. TIẾN ĐỘ MUA HÀNG'!$A$5:$AT644, 0, XMATCH("NCC VTBB/NL trong nước", '6. TIẾN ĐỘ MUA HÀNG'!$A$4:$AT$4, 0)) = $B21) * (TRIM(INDEX('6. TIẾN ĐỘ MUA HÀNG'!$A$5:$AT644, 0, XMATCH("Tháng", '6. TIẾN ĐỘ MUA HÀNG'!$A$4:$AT$4, 0))) = TRIM(R$6)) * (INDEX('6. TIẾN ĐỘ MUA HÀNG'!$A$5:$AT644, 0, XMATCH("CL NGÀY NCC DỰ KIẾN - NGÀY NHẬN HÀNG", '6. TIẾN ĐỘ MUA HÀNG'!$A$4:$AT$4, 0)) &lt; 0)
)</f>
        <v>0</v>
      </c>
      <c r="T21" s="757">
        <f t="shared" si="19"/>
        <v>0</v>
      </c>
      <c r="U21" s="754">
        <f t="array" ref="U21">SUMPRODUCT((TRIM(INDEX('6. TIẾN ĐỘ MUA HÀNG'!$A$5:$AT644, 0, XMATCH("NCC VTBB/NL trong nước", '6. TIẾN ĐỘ MUA HÀNG'!$A$4:$AT$4, 0))) = TRIM($B21)) * (TRIM(INDEX('6. TIẾN ĐỘ MUA HÀNG'!$A$5:$AT644, 0, XMATCH("Tháng", '6. TIẾN ĐỘ MUA HÀNG'!$A$4:$AT$4, 0))) = TRIM(U$6)) * (INDEX('6. TIẾN ĐỘ MUA HÀNG'!$A$5:$AT644, 0, XMATCH("Mã đơn Misa", '6. TIẾN ĐỘ MUA HÀNG'!$A$4:$AT$4, 0)) &lt;&gt; ""))</f>
        <v>0</v>
      </c>
      <c r="V21" s="754">
        <f t="array" ref="V21">SUMPRODUCT(
  (INDEX('6. TIẾN ĐỘ MUA HÀNG'!$A$5:$AT644, 0, XMATCH("NCC VTBB/NL trong nước", '6. TIẾN ĐỘ MUA HÀNG'!$A$4:$AT$4, 0)) = $B21) * (TRIM(INDEX('6. TIẾN ĐỘ MUA HÀNG'!$A$5:$AT644, 0, XMATCH("Tháng", '6. TIẾN ĐỘ MUA HÀNG'!$A$4:$AT$4, 0))) = TRIM(U$6)) * (INDEX('6. TIẾN ĐỘ MUA HÀNG'!$A$5:$AT644, 0, XMATCH("CL NGÀY NCC DỰ KIẾN - NGÀY NHẬN HÀNG", '6. TIẾN ĐỘ MUA HÀNG'!$A$4:$AT$4, 0)) &lt; 0)
)</f>
        <v>0</v>
      </c>
      <c r="W21" s="755">
        <f t="shared" si="32"/>
        <v>0</v>
      </c>
      <c r="X21" s="756">
        <f t="array" ref="X21">SUMPRODUCT((TRIM(INDEX('6. TIẾN ĐỘ MUA HÀNG'!$A$5:$AT644, 0, XMATCH("NCC VTBB/NL trong nước", '6. TIẾN ĐỘ MUA HÀNG'!$A$4:$AT$4, 0))) = TRIM($B21)) * (TRIM(INDEX('6. TIẾN ĐỘ MUA HÀNG'!$A$5:$AT644, 0, XMATCH("Tháng", '6. TIẾN ĐỘ MUA HÀNG'!$A$4:$AT$4, 0))) = TRIM(X$6)) * (INDEX('6. TIẾN ĐỘ MUA HÀNG'!$A$5:$AT644, 0, XMATCH("Mã đơn Misa", '6. TIẾN ĐỘ MUA HÀNG'!$A$4:$AT$4, 0)) &lt;&gt; ""))</f>
        <v>0</v>
      </c>
      <c r="Y21" s="756">
        <f t="array" ref="Y21">SUMPRODUCT(
  (INDEX('6. TIẾN ĐỘ MUA HÀNG'!$A$5:$AT644, 0, XMATCH("NCC VTBB/NL trong nước", '6. TIẾN ĐỘ MUA HÀNG'!$A$4:$AT$4, 0)) = $B21) * (TRIM(INDEX('6. TIẾN ĐỘ MUA HÀNG'!$A$5:$AT644, 0, XMATCH("Tháng", '6. TIẾN ĐỘ MUA HÀNG'!$A$4:$AT$4, 0))) = TRIM(X$6)) * (INDEX('6. TIẾN ĐỘ MUA HÀNG'!$A$5:$AT644, 0, XMATCH("CL NGÀY NCC DỰ KIẾN - NGÀY NHẬN HÀNG", '6. TIẾN ĐỘ MUA HÀNG'!$A$4:$AT$4, 0)) &lt; 0)
)</f>
        <v>0</v>
      </c>
      <c r="Z21" s="757">
        <f t="shared" si="21"/>
        <v>0</v>
      </c>
      <c r="AA21" s="754">
        <f t="array" ref="AA21">SUMPRODUCT((TRIM(INDEX('6. TIẾN ĐỘ MUA HÀNG'!$A$5:$AT644, 0, XMATCH("NCC VTBB/NL trong nước", '6. TIẾN ĐỘ MUA HÀNG'!$A$4:$AT$4, 0))) = TRIM($B21)) * (TRIM(INDEX('6. TIẾN ĐỘ MUA HÀNG'!$A$5:$AT644, 0, XMATCH("Tháng", '6. TIẾN ĐỘ MUA HÀNG'!$A$4:$AT$4, 0))) = TRIM(AA$6)) * (INDEX('6. TIẾN ĐỘ MUA HÀNG'!$A$5:$AT644, 0, XMATCH("Mã đơn Misa", '6. TIẾN ĐỘ MUA HÀNG'!$A$4:$AT$4, 0)) &lt;&gt; ""))</f>
        <v>0</v>
      </c>
      <c r="AB21" s="754">
        <f t="array" ref="AB21">SUMPRODUCT(
  (INDEX('6. TIẾN ĐỘ MUA HÀNG'!$A$5:$AT644, 0, XMATCH("NCC VTBB/NL trong nước", '6. TIẾN ĐỘ MUA HÀNG'!$A$4:$AT$4, 0)) = $B21) * (TRIM(INDEX('6. TIẾN ĐỘ MUA HÀNG'!$A$5:$AT644, 0, XMATCH("Tháng", '6. TIẾN ĐỘ MUA HÀNG'!$A$4:$AT$4, 0))) = TRIM(AA$6)) * (INDEX('6. TIẾN ĐỘ MUA HÀNG'!$A$5:$AT644, 0, XMATCH("CL NGÀY NCC DỰ KIẾN - NGÀY NHẬN HÀNG", '6. TIẾN ĐỘ MUA HÀNG'!$A$4:$AT$4, 0)) &lt; 0)
)</f>
        <v>0</v>
      </c>
      <c r="AC21" s="755">
        <f t="shared" si="33"/>
        <v>0</v>
      </c>
      <c r="AD21" s="756">
        <f t="array" ref="AD21">SUMPRODUCT((TRIM(INDEX('6. TIẾN ĐỘ MUA HÀNG'!$A$5:$AT644, 0, XMATCH("NCC VTBB/NL trong nước", '6. TIẾN ĐỘ MUA HÀNG'!$A$4:$AT$4, 0))) = TRIM($B21)) * (TRIM(INDEX('6. TIẾN ĐỘ MUA HÀNG'!$A$5:$AT644, 0, XMATCH("Tháng", '6. TIẾN ĐỘ MUA HÀNG'!$A$4:$AT$4, 0))) = TRIM(AD$6)) * (INDEX('6. TIẾN ĐỘ MUA HÀNG'!$A$5:$AT644, 0, XMATCH("Mã đơn Misa", '6. TIẾN ĐỘ MUA HÀNG'!$A$4:$AT$4, 0)) &lt;&gt; ""))</f>
        <v>0</v>
      </c>
      <c r="AE21" s="756">
        <f t="array" ref="AE21">SUMPRODUCT(
  (INDEX('6. TIẾN ĐỘ MUA HÀNG'!$A$5:$AT644, 0, XMATCH("NCC VTBB/NL trong nước", '6. TIẾN ĐỘ MUA HÀNG'!$A$4:$AT$4, 0)) = $B21) * (TRIM(INDEX('6. TIẾN ĐỘ MUA HÀNG'!$A$5:$AT644, 0, XMATCH("Tháng", '6. TIẾN ĐỘ MUA HÀNG'!$A$4:$AT$4, 0))) = TRIM(AD$6)) * (INDEX('6. TIẾN ĐỘ MUA HÀNG'!$A$5:$AT644, 0, XMATCH("CL NGÀY NCC DỰ KIẾN - NGÀY NHẬN HÀNG", '6. TIẾN ĐỘ MUA HÀNG'!$A$4:$AT$4, 0)) &lt; 0)
)</f>
        <v>0</v>
      </c>
      <c r="AF21" s="757">
        <f t="shared" si="23"/>
        <v>0</v>
      </c>
      <c r="AG21" s="754">
        <f t="array" ref="AG21">SUMPRODUCT((TRIM(INDEX('6. TIẾN ĐỘ MUA HÀNG'!$A$5:$AT644, 0, XMATCH("NCC VTBB/NL trong nước", '6. TIẾN ĐỘ MUA HÀNG'!$A$4:$AT$4, 0))) = TRIM($B21)) * (TRIM(INDEX('6. TIẾN ĐỘ MUA HÀNG'!$A$5:$AT644, 0, XMATCH("Tháng", '6. TIẾN ĐỘ MUA HÀNG'!$A$4:$AT$4, 0))) = TRIM(AG$6)) * (INDEX('6. TIẾN ĐỘ MUA HÀNG'!$A$5:$AT644, 0, XMATCH("Mã đơn Misa", '6. TIẾN ĐỘ MUA HÀNG'!$A$4:$AT$4, 0)) &lt;&gt; ""))</f>
        <v>0</v>
      </c>
      <c r="AH21" s="754">
        <f t="array" ref="AH21">SUMPRODUCT(
  (INDEX('6. TIẾN ĐỘ MUA HÀNG'!$A$5:$AT644, 0, XMATCH("NCC VTBB/NL trong nước", '6. TIẾN ĐỘ MUA HÀNG'!$A$4:$AT$4, 0)) = $B21) * (TRIM(INDEX('6. TIẾN ĐỘ MUA HÀNG'!$A$5:$AT644, 0, XMATCH("Tháng", '6. TIẾN ĐỘ MUA HÀNG'!$A$4:$AT$4, 0))) = TRIM(AG$6)) * (INDEX('6. TIẾN ĐỘ MUA HÀNG'!$A$5:$AT644, 0, XMATCH("CL NGÀY NCC DỰ KIẾN - NGÀY NHẬN HÀNG", '6. TIẾN ĐỘ MUA HÀNG'!$A$4:$AT$4, 0)) &lt; 0)
)</f>
        <v>0</v>
      </c>
      <c r="AI21" s="755">
        <f t="shared" si="34"/>
        <v>0</v>
      </c>
      <c r="AJ21" s="756">
        <f t="array" ref="AJ21">SUMPRODUCT((TRIM(INDEX('6. TIẾN ĐỘ MUA HÀNG'!$A$5:$AT644, 0, XMATCH("NCC VTBB/NL trong nước", '6. TIẾN ĐỘ MUA HÀNG'!$A$4:$AT$4, 0))) = TRIM($B21)) * (TRIM(INDEX('6. TIẾN ĐỘ MUA HÀNG'!$A$5:$AT644, 0, XMATCH("Tháng", '6. TIẾN ĐỘ MUA HÀNG'!$A$4:$AT$4, 0))) = TRIM(AJ$6)) * (INDEX('6. TIẾN ĐỘ MUA HÀNG'!$A$5:$AT644, 0, XMATCH("Mã đơn Misa", '6. TIẾN ĐỘ MUA HÀNG'!$A$4:$AT$4, 0)) &lt;&gt; ""))</f>
        <v>0</v>
      </c>
      <c r="AK21" s="756">
        <f t="array" ref="AK21">SUMPRODUCT(
  (INDEX('6. TIẾN ĐỘ MUA HÀNG'!$A$5:$AT644, 0, XMATCH("NCC VTBB/NL trong nước", '6. TIẾN ĐỘ MUA HÀNG'!$A$4:$AT$4, 0)) = $B21) * (TRIM(INDEX('6. TIẾN ĐỘ MUA HÀNG'!$A$5:$AT644, 0, XMATCH("Tháng", '6. TIẾN ĐỘ MUA HÀNG'!$A$4:$AT$4, 0))) = TRIM(AJ$6)) * (INDEX('6. TIẾN ĐỘ MUA HÀNG'!$A$5:$AT644, 0, XMATCH("CL NGÀY NCC DỰ KIẾN - NGÀY NHẬN HÀNG", '6. TIẾN ĐỘ MUA HÀNG'!$A$4:$AT$4, 0)) &lt; 0)
)</f>
        <v>0</v>
      </c>
      <c r="AL21" s="757">
        <f t="shared" si="25"/>
        <v>0</v>
      </c>
      <c r="AM21" s="726">
        <f t="shared" si="27"/>
        <v>0</v>
      </c>
      <c r="AN21" s="726">
        <f t="shared" si="28"/>
        <v>0</v>
      </c>
      <c r="AO21" s="727">
        <f t="shared" si="26"/>
        <v>0</v>
      </c>
    </row>
    <row r="22">
      <c r="A22" s="612">
        <v>14.0</v>
      </c>
      <c r="B22" s="624" t="str">
        <f>IFERROR(__xludf.DUMMYFUNCTION("""COMPUTED_VALUE"""),"PHL")</f>
        <v>PHL</v>
      </c>
      <c r="C22" s="754">
        <f t="array" ref="C22">SUMPRODUCT((TRIM(INDEX('6. TIẾN ĐỘ MUA HÀNG'!$A$5:$AT644, 0, XMATCH("NCC VTBB/NL trong nước", '6. TIẾN ĐỘ MUA HÀNG'!$A$4:$AT$4, 0))) = TRIM($B22)) * (TRIM(INDEX('6. TIẾN ĐỘ MUA HÀNG'!$A$5:$AT644, 0, XMATCH("Tháng", '6. TIẾN ĐỘ MUA HÀNG'!$A$4:$AT$4, 0))) = TRIM(C$6)) * (INDEX('6. TIẾN ĐỘ MUA HÀNG'!$A$5:$AT644, 0, XMATCH("Mã đơn Misa", '6. TIẾN ĐỘ MUA HÀNG'!$A$4:$AT$4, 0)) &lt;&gt; ""))</f>
        <v>0</v>
      </c>
      <c r="D22" s="754">
        <f t="array" ref="D22">SUMPRODUCT(
  (INDEX('6. TIẾN ĐỘ MUA HÀNG'!$A$5:$AT644, 0, XMATCH("NCC VTBB/NL trong nước", '6. TIẾN ĐỘ MUA HÀNG'!$A$4:$AT$4, 0)) = $B22) * (TRIM(INDEX('6. TIẾN ĐỘ MUA HÀNG'!$A$5:$AT644, 0, XMATCH("Tháng", '6. TIẾN ĐỘ MUA HÀNG'!$A$4:$AT$4, 0))) = TRIM(C$6)) * (INDEX('6. TIẾN ĐỘ MUA HÀNG'!$A$5:$AT644, 0, XMATCH("CL NGÀY NCC DỰ KIẾN - NGÀY NHẬN HÀNG", '6. TIẾN ĐỘ MUA HÀNG'!$A$4:$AT$4, 0)) &lt; 0)
)</f>
        <v>0</v>
      </c>
      <c r="E22" s="755">
        <f t="shared" si="29"/>
        <v>0</v>
      </c>
      <c r="F22" s="756">
        <f t="array" ref="F22">SUMPRODUCT((TRIM(INDEX('6. TIẾN ĐỘ MUA HÀNG'!$A$5:$AT644, 0, XMATCH("NCC VTBB/NL trong nước", '6. TIẾN ĐỘ MUA HÀNG'!$A$4:$AT$4, 0))) = TRIM($B22)) * (TRIM(INDEX('6. TIẾN ĐỘ MUA HÀNG'!$A$5:$AT644, 0, XMATCH("Tháng", '6. TIẾN ĐỘ MUA HÀNG'!$A$4:$AT$4, 0))) = TRIM(F$6)) * (INDEX('6. TIẾN ĐỘ MUA HÀNG'!$A$5:$AT644, 0, XMATCH("Mã đơn Misa", '6. TIẾN ĐỘ MUA HÀNG'!$A$4:$AT$4, 0)) &lt;&gt; ""))</f>
        <v>0</v>
      </c>
      <c r="G22" s="756">
        <f t="array" ref="G22">SUMPRODUCT(
  (INDEX('6. TIẾN ĐỘ MUA HÀNG'!$A$5:$AT644, 0, XMATCH("NCC VTBB/NL trong nước", '6. TIẾN ĐỘ MUA HÀNG'!$A$4:$AT$4, 0)) = $B22) * (TRIM(INDEX('6. TIẾN ĐỘ MUA HÀNG'!$A$5:$AT644, 0, XMATCH("Tháng", '6. TIẾN ĐỘ MUA HÀNG'!$A$4:$AT$4, 0))) = TRIM(F$6)) * (INDEX('6. TIẾN ĐỘ MUA HÀNG'!$A$5:$AT644, 0, XMATCH("CL NGÀY NCC DỰ KIẾN - NGÀY NHẬN HÀNG", '6. TIẾN ĐỘ MUA HÀNG'!$A$4:$AT$4, 0)) &lt; 0)
)</f>
        <v>0</v>
      </c>
      <c r="H22" s="757">
        <f t="shared" si="15"/>
        <v>0</v>
      </c>
      <c r="I22" s="754">
        <f t="array" ref="I22">SUMPRODUCT((TRIM(INDEX('6. TIẾN ĐỘ MUA HÀNG'!$A$5:$AT644, 0, XMATCH("NCC VTBB/NL trong nước", '6. TIẾN ĐỘ MUA HÀNG'!$A$4:$AT$4, 0))) = TRIM($B22)) * (TRIM(INDEX('6. TIẾN ĐỘ MUA HÀNG'!$A$5:$AT644, 0, XMATCH("Tháng", '6. TIẾN ĐỘ MUA HÀNG'!$A$4:$AT$4, 0))) = TRIM(I$6)) * (INDEX('6. TIẾN ĐỘ MUA HÀNG'!$A$5:$AT644, 0, XMATCH("Mã đơn Misa", '6. TIẾN ĐỘ MUA HÀNG'!$A$4:$AT$4, 0)) &lt;&gt; ""))</f>
        <v>0</v>
      </c>
      <c r="J22" s="754">
        <f t="array" ref="J22">SUMPRODUCT(
  (INDEX('6. TIẾN ĐỘ MUA HÀNG'!$A$5:$AT644, 0, XMATCH("NCC VTBB/NL trong nước", '6. TIẾN ĐỘ MUA HÀNG'!$A$4:$AT$4, 0)) = $B22) * (TRIM(INDEX('6. TIẾN ĐỘ MUA HÀNG'!$A$5:$AT644, 0, XMATCH("Tháng", '6. TIẾN ĐỘ MUA HÀNG'!$A$4:$AT$4, 0))) = TRIM(I$6)) * (INDEX('6. TIẾN ĐỘ MUA HÀNG'!$A$5:$AT644, 0, XMATCH("CL NGÀY NCC DỰ KIẾN - NGÀY NHẬN HÀNG", '6. TIẾN ĐỘ MUA HÀNG'!$A$4:$AT$4, 0)) &lt; 0)
)</f>
        <v>0</v>
      </c>
      <c r="K22" s="755">
        <f t="shared" si="30"/>
        <v>0</v>
      </c>
      <c r="L22" s="756">
        <f t="array" ref="L22">SUMPRODUCT((TRIM(INDEX('6. TIẾN ĐỘ MUA HÀNG'!$A$5:$AT644, 0, XMATCH("NCC VTBB/NL trong nước", '6. TIẾN ĐỘ MUA HÀNG'!$A$4:$AT$4, 0))) = TRIM($B22)) * (TRIM(INDEX('6. TIẾN ĐỘ MUA HÀNG'!$A$5:$AT644, 0, XMATCH("Tháng", '6. TIẾN ĐỘ MUA HÀNG'!$A$4:$AT$4, 0))) = TRIM(L$6)) * (INDEX('6. TIẾN ĐỘ MUA HÀNG'!$A$5:$AT644, 0, XMATCH("Mã đơn Misa", '6. TIẾN ĐỘ MUA HÀNG'!$A$4:$AT$4, 0)) &lt;&gt; ""))</f>
        <v>0</v>
      </c>
      <c r="M22" s="756">
        <f t="array" ref="M22">SUMPRODUCT(
  (INDEX('6. TIẾN ĐỘ MUA HÀNG'!$A$5:$AT644, 0, XMATCH("NCC VTBB/NL trong nước", '6. TIẾN ĐỘ MUA HÀNG'!$A$4:$AT$4, 0)) = $B22) * (TRIM(INDEX('6. TIẾN ĐỘ MUA HÀNG'!$A$5:$AT644, 0, XMATCH("Tháng", '6. TIẾN ĐỘ MUA HÀNG'!$A$4:$AT$4, 0))) = TRIM(L$6)) * (INDEX('6. TIẾN ĐỘ MUA HÀNG'!$A$5:$AT644, 0, XMATCH("CL NGÀY NCC DỰ KIẾN - NGÀY NHẬN HÀNG", '6. TIẾN ĐỘ MUA HÀNG'!$A$4:$AT$4, 0)) &lt; 0)
)</f>
        <v>0</v>
      </c>
      <c r="N22" s="757">
        <f t="shared" si="17"/>
        <v>0</v>
      </c>
      <c r="O22" s="754">
        <f t="array" ref="O22">SUMPRODUCT((TRIM(INDEX('6. TIẾN ĐỘ MUA HÀNG'!$A$5:$AT644, 0, XMATCH("NCC VTBB/NL trong nước", '6. TIẾN ĐỘ MUA HÀNG'!$A$4:$AT$4, 0))) = TRIM($B22)) * (TRIM(INDEX('6. TIẾN ĐỘ MUA HÀNG'!$A$5:$AT644, 0, XMATCH("Tháng", '6. TIẾN ĐỘ MUA HÀNG'!$A$4:$AT$4, 0))) = TRIM(O$6)) * (INDEX('6. TIẾN ĐỘ MUA HÀNG'!$A$5:$AT644, 0, XMATCH("Mã đơn Misa", '6. TIẾN ĐỘ MUA HÀNG'!$A$4:$AT$4, 0)) &lt;&gt; ""))</f>
        <v>0</v>
      </c>
      <c r="P22" s="754">
        <f t="array" ref="P22">SUMPRODUCT(
  (INDEX('6. TIẾN ĐỘ MUA HÀNG'!$A$5:$AT644, 0, XMATCH("NCC VTBB/NL trong nước", '6. TIẾN ĐỘ MUA HÀNG'!$A$4:$AT$4, 0)) = $B22) * (TRIM(INDEX('6. TIẾN ĐỘ MUA HÀNG'!$A$5:$AT644, 0, XMATCH("Tháng", '6. TIẾN ĐỘ MUA HÀNG'!$A$4:$AT$4, 0))) = TRIM(O$6)) * (INDEX('6. TIẾN ĐỘ MUA HÀNG'!$A$5:$AT644, 0, XMATCH("CL NGÀY NCC DỰ KIẾN - NGÀY NHẬN HÀNG", '6. TIẾN ĐỘ MUA HÀNG'!$A$4:$AT$4, 0)) &lt; 0)
)</f>
        <v>0</v>
      </c>
      <c r="Q22" s="755">
        <f t="shared" si="31"/>
        <v>0</v>
      </c>
      <c r="R22" s="756">
        <f t="array" ref="R22">SUMPRODUCT((TRIM(INDEX('6. TIẾN ĐỘ MUA HÀNG'!$A$5:$AT644, 0, XMATCH("NCC VTBB/NL trong nước", '6. TIẾN ĐỘ MUA HÀNG'!$A$4:$AT$4, 0))) = TRIM($B22)) * (TRIM(INDEX('6. TIẾN ĐỘ MUA HÀNG'!$A$5:$AT644, 0, XMATCH("Tháng", '6. TIẾN ĐỘ MUA HÀNG'!$A$4:$AT$4, 0))) = TRIM(R$6)) * (INDEX('6. TIẾN ĐỘ MUA HÀNG'!$A$5:$AT644, 0, XMATCH("Mã đơn Misa", '6. TIẾN ĐỘ MUA HÀNG'!$A$4:$AT$4, 0)) &lt;&gt; ""))</f>
        <v>0</v>
      </c>
      <c r="S22" s="756">
        <f t="array" ref="S22">SUMPRODUCT(
  (INDEX('6. TIẾN ĐỘ MUA HÀNG'!$A$5:$AT644, 0, XMATCH("NCC VTBB/NL trong nước", '6. TIẾN ĐỘ MUA HÀNG'!$A$4:$AT$4, 0)) = $B22) * (TRIM(INDEX('6. TIẾN ĐỘ MUA HÀNG'!$A$5:$AT644, 0, XMATCH("Tháng", '6. TIẾN ĐỘ MUA HÀNG'!$A$4:$AT$4, 0))) = TRIM(R$6)) * (INDEX('6. TIẾN ĐỘ MUA HÀNG'!$A$5:$AT644, 0, XMATCH("CL NGÀY NCC DỰ KIẾN - NGÀY NHẬN HÀNG", '6. TIẾN ĐỘ MUA HÀNG'!$A$4:$AT$4, 0)) &lt; 0)
)</f>
        <v>0</v>
      </c>
      <c r="T22" s="757">
        <f t="shared" si="19"/>
        <v>0</v>
      </c>
      <c r="U22" s="754">
        <f t="array" ref="U22">SUMPRODUCT((TRIM(INDEX('6. TIẾN ĐỘ MUA HÀNG'!$A$5:$AT644, 0, XMATCH("NCC VTBB/NL trong nước", '6. TIẾN ĐỘ MUA HÀNG'!$A$4:$AT$4, 0))) = TRIM($B22)) * (TRIM(INDEX('6. TIẾN ĐỘ MUA HÀNG'!$A$5:$AT644, 0, XMATCH("Tháng", '6. TIẾN ĐỘ MUA HÀNG'!$A$4:$AT$4, 0))) = TRIM(U$6)) * (INDEX('6. TIẾN ĐỘ MUA HÀNG'!$A$5:$AT644, 0, XMATCH("Mã đơn Misa", '6. TIẾN ĐỘ MUA HÀNG'!$A$4:$AT$4, 0)) &lt;&gt; ""))</f>
        <v>0</v>
      </c>
      <c r="V22" s="754">
        <f t="array" ref="V22">SUMPRODUCT(
  (INDEX('6. TIẾN ĐỘ MUA HÀNG'!$A$5:$AT644, 0, XMATCH("NCC VTBB/NL trong nước", '6. TIẾN ĐỘ MUA HÀNG'!$A$4:$AT$4, 0)) = $B22) * (TRIM(INDEX('6. TIẾN ĐỘ MUA HÀNG'!$A$5:$AT644, 0, XMATCH("Tháng", '6. TIẾN ĐỘ MUA HÀNG'!$A$4:$AT$4, 0))) = TRIM(U$6)) * (INDEX('6. TIẾN ĐỘ MUA HÀNG'!$A$5:$AT644, 0, XMATCH("CL NGÀY NCC DỰ KIẾN - NGÀY NHẬN HÀNG", '6. TIẾN ĐỘ MUA HÀNG'!$A$4:$AT$4, 0)) &lt; 0)
)</f>
        <v>0</v>
      </c>
      <c r="W22" s="755">
        <f t="shared" si="32"/>
        <v>0</v>
      </c>
      <c r="X22" s="756">
        <f t="array" ref="X22">SUMPRODUCT((TRIM(INDEX('6. TIẾN ĐỘ MUA HÀNG'!$A$5:$AT644, 0, XMATCH("NCC VTBB/NL trong nước", '6. TIẾN ĐỘ MUA HÀNG'!$A$4:$AT$4, 0))) = TRIM($B22)) * (TRIM(INDEX('6. TIẾN ĐỘ MUA HÀNG'!$A$5:$AT644, 0, XMATCH("Tháng", '6. TIẾN ĐỘ MUA HÀNG'!$A$4:$AT$4, 0))) = TRIM(X$6)) * (INDEX('6. TIẾN ĐỘ MUA HÀNG'!$A$5:$AT644, 0, XMATCH("Mã đơn Misa", '6. TIẾN ĐỘ MUA HÀNG'!$A$4:$AT$4, 0)) &lt;&gt; ""))</f>
        <v>0</v>
      </c>
      <c r="Y22" s="756">
        <f t="array" ref="Y22">SUMPRODUCT(
  (INDEX('6. TIẾN ĐỘ MUA HÀNG'!$A$5:$AT644, 0, XMATCH("NCC VTBB/NL trong nước", '6. TIẾN ĐỘ MUA HÀNG'!$A$4:$AT$4, 0)) = $B22) * (TRIM(INDEX('6. TIẾN ĐỘ MUA HÀNG'!$A$5:$AT644, 0, XMATCH("Tháng", '6. TIẾN ĐỘ MUA HÀNG'!$A$4:$AT$4, 0))) = TRIM(X$6)) * (INDEX('6. TIẾN ĐỘ MUA HÀNG'!$A$5:$AT644, 0, XMATCH("CL NGÀY NCC DỰ KIẾN - NGÀY NHẬN HÀNG", '6. TIẾN ĐỘ MUA HÀNG'!$A$4:$AT$4, 0)) &lt; 0)
)</f>
        <v>0</v>
      </c>
      <c r="Z22" s="757">
        <f t="shared" si="21"/>
        <v>0</v>
      </c>
      <c r="AA22" s="754">
        <f t="array" ref="AA22">SUMPRODUCT((TRIM(INDEX('6. TIẾN ĐỘ MUA HÀNG'!$A$5:$AT644, 0, XMATCH("NCC VTBB/NL trong nước", '6. TIẾN ĐỘ MUA HÀNG'!$A$4:$AT$4, 0))) = TRIM($B22)) * (TRIM(INDEX('6. TIẾN ĐỘ MUA HÀNG'!$A$5:$AT644, 0, XMATCH("Tháng", '6. TIẾN ĐỘ MUA HÀNG'!$A$4:$AT$4, 0))) = TRIM(AA$6)) * (INDEX('6. TIẾN ĐỘ MUA HÀNG'!$A$5:$AT644, 0, XMATCH("Mã đơn Misa", '6. TIẾN ĐỘ MUA HÀNG'!$A$4:$AT$4, 0)) &lt;&gt; ""))</f>
        <v>0</v>
      </c>
      <c r="AB22" s="754">
        <f t="array" ref="AB22">SUMPRODUCT(
  (INDEX('6. TIẾN ĐỘ MUA HÀNG'!$A$5:$AT644, 0, XMATCH("NCC VTBB/NL trong nước", '6. TIẾN ĐỘ MUA HÀNG'!$A$4:$AT$4, 0)) = $B22) * (TRIM(INDEX('6. TIẾN ĐỘ MUA HÀNG'!$A$5:$AT644, 0, XMATCH("Tháng", '6. TIẾN ĐỘ MUA HÀNG'!$A$4:$AT$4, 0))) = TRIM(AA$6)) * (INDEX('6. TIẾN ĐỘ MUA HÀNG'!$A$5:$AT644, 0, XMATCH("CL NGÀY NCC DỰ KIẾN - NGÀY NHẬN HÀNG", '6. TIẾN ĐỘ MUA HÀNG'!$A$4:$AT$4, 0)) &lt; 0)
)</f>
        <v>0</v>
      </c>
      <c r="AC22" s="755">
        <f t="shared" si="33"/>
        <v>0</v>
      </c>
      <c r="AD22" s="756">
        <f t="array" ref="AD22">SUMPRODUCT((TRIM(INDEX('6. TIẾN ĐỘ MUA HÀNG'!$A$5:$AT644, 0, XMATCH("NCC VTBB/NL trong nước", '6. TIẾN ĐỘ MUA HÀNG'!$A$4:$AT$4, 0))) = TRIM($B22)) * (TRIM(INDEX('6. TIẾN ĐỘ MUA HÀNG'!$A$5:$AT644, 0, XMATCH("Tháng", '6. TIẾN ĐỘ MUA HÀNG'!$A$4:$AT$4, 0))) = TRIM(AD$6)) * (INDEX('6. TIẾN ĐỘ MUA HÀNG'!$A$5:$AT644, 0, XMATCH("Mã đơn Misa", '6. TIẾN ĐỘ MUA HÀNG'!$A$4:$AT$4, 0)) &lt;&gt; ""))</f>
        <v>0</v>
      </c>
      <c r="AE22" s="756">
        <f t="array" ref="AE22">SUMPRODUCT(
  (INDEX('6. TIẾN ĐỘ MUA HÀNG'!$A$5:$AT644, 0, XMATCH("NCC VTBB/NL trong nước", '6. TIẾN ĐỘ MUA HÀNG'!$A$4:$AT$4, 0)) = $B22) * (TRIM(INDEX('6. TIẾN ĐỘ MUA HÀNG'!$A$5:$AT644, 0, XMATCH("Tháng", '6. TIẾN ĐỘ MUA HÀNG'!$A$4:$AT$4, 0))) = TRIM(AD$6)) * (INDEX('6. TIẾN ĐỘ MUA HÀNG'!$A$5:$AT644, 0, XMATCH("CL NGÀY NCC DỰ KIẾN - NGÀY NHẬN HÀNG", '6. TIẾN ĐỘ MUA HÀNG'!$A$4:$AT$4, 0)) &lt; 0)
)</f>
        <v>0</v>
      </c>
      <c r="AF22" s="757">
        <f t="shared" si="23"/>
        <v>0</v>
      </c>
      <c r="AG22" s="754">
        <f t="array" ref="AG22">SUMPRODUCT((TRIM(INDEX('6. TIẾN ĐỘ MUA HÀNG'!$A$5:$AT644, 0, XMATCH("NCC VTBB/NL trong nước", '6. TIẾN ĐỘ MUA HÀNG'!$A$4:$AT$4, 0))) = TRIM($B22)) * (TRIM(INDEX('6. TIẾN ĐỘ MUA HÀNG'!$A$5:$AT644, 0, XMATCH("Tháng", '6. TIẾN ĐỘ MUA HÀNG'!$A$4:$AT$4, 0))) = TRIM(AG$6)) * (INDEX('6. TIẾN ĐỘ MUA HÀNG'!$A$5:$AT644, 0, XMATCH("Mã đơn Misa", '6. TIẾN ĐỘ MUA HÀNG'!$A$4:$AT$4, 0)) &lt;&gt; ""))</f>
        <v>0</v>
      </c>
      <c r="AH22" s="754">
        <f t="array" ref="AH22">SUMPRODUCT(
  (INDEX('6. TIẾN ĐỘ MUA HÀNG'!$A$5:$AT644, 0, XMATCH("NCC VTBB/NL trong nước", '6. TIẾN ĐỘ MUA HÀNG'!$A$4:$AT$4, 0)) = $B22) * (TRIM(INDEX('6. TIẾN ĐỘ MUA HÀNG'!$A$5:$AT644, 0, XMATCH("Tháng", '6. TIẾN ĐỘ MUA HÀNG'!$A$4:$AT$4, 0))) = TRIM(AG$6)) * (INDEX('6. TIẾN ĐỘ MUA HÀNG'!$A$5:$AT644, 0, XMATCH("CL NGÀY NCC DỰ KIẾN - NGÀY NHẬN HÀNG", '6. TIẾN ĐỘ MUA HÀNG'!$A$4:$AT$4, 0)) &lt; 0)
)</f>
        <v>0</v>
      </c>
      <c r="AI22" s="755">
        <f t="shared" si="34"/>
        <v>0</v>
      </c>
      <c r="AJ22" s="756">
        <f t="array" ref="AJ22">SUMPRODUCT((TRIM(INDEX('6. TIẾN ĐỘ MUA HÀNG'!$A$5:$AT644, 0, XMATCH("NCC VTBB/NL trong nước", '6. TIẾN ĐỘ MUA HÀNG'!$A$4:$AT$4, 0))) = TRIM($B22)) * (TRIM(INDEX('6. TIẾN ĐỘ MUA HÀNG'!$A$5:$AT644, 0, XMATCH("Tháng", '6. TIẾN ĐỘ MUA HÀNG'!$A$4:$AT$4, 0))) = TRIM(AJ$6)) * (INDEX('6. TIẾN ĐỘ MUA HÀNG'!$A$5:$AT644, 0, XMATCH("Mã đơn Misa", '6. TIẾN ĐỘ MUA HÀNG'!$A$4:$AT$4, 0)) &lt;&gt; ""))</f>
        <v>0</v>
      </c>
      <c r="AK22" s="756">
        <f t="array" ref="AK22">SUMPRODUCT(
  (INDEX('6. TIẾN ĐỘ MUA HÀNG'!$A$5:$AT644, 0, XMATCH("NCC VTBB/NL trong nước", '6. TIẾN ĐỘ MUA HÀNG'!$A$4:$AT$4, 0)) = $B22) * (TRIM(INDEX('6. TIẾN ĐỘ MUA HÀNG'!$A$5:$AT644, 0, XMATCH("Tháng", '6. TIẾN ĐỘ MUA HÀNG'!$A$4:$AT$4, 0))) = TRIM(AJ$6)) * (INDEX('6. TIẾN ĐỘ MUA HÀNG'!$A$5:$AT644, 0, XMATCH("CL NGÀY NCC DỰ KIẾN - NGÀY NHẬN HÀNG", '6. TIẾN ĐỘ MUA HÀNG'!$A$4:$AT$4, 0)) &lt; 0)
)</f>
        <v>0</v>
      </c>
      <c r="AL22" s="757">
        <f t="shared" si="25"/>
        <v>0</v>
      </c>
      <c r="AM22" s="726">
        <f t="shared" si="27"/>
        <v>0</v>
      </c>
      <c r="AN22" s="726">
        <f t="shared" si="28"/>
        <v>0</v>
      </c>
      <c r="AO22" s="727">
        <f t="shared" si="26"/>
        <v>0</v>
      </c>
    </row>
    <row r="23">
      <c r="A23" s="612">
        <v>15.0</v>
      </c>
      <c r="B23" s="624" t="str">
        <f>IFERROR(__xludf.DUMMYFUNCTION("""COMPUTED_VALUE"""),"Vinaco")</f>
        <v>Vinaco</v>
      </c>
      <c r="C23" s="754">
        <f t="array" ref="C23">SUMPRODUCT((TRIM(INDEX('6. TIẾN ĐỘ MUA HÀNG'!$A$5:$AT644, 0, XMATCH("NCC VTBB/NL trong nước", '6. TIẾN ĐỘ MUA HÀNG'!$A$4:$AT$4, 0))) = TRIM($B23)) * (TRIM(INDEX('6. TIẾN ĐỘ MUA HÀNG'!$A$5:$AT644, 0, XMATCH("Tháng", '6. TIẾN ĐỘ MUA HÀNG'!$A$4:$AT$4, 0))) = TRIM(C$6)) * (INDEX('6. TIẾN ĐỘ MUA HÀNG'!$A$5:$AT644, 0, XMATCH("Mã đơn Misa", '6. TIẾN ĐỘ MUA HÀNG'!$A$4:$AT$4, 0)) &lt;&gt; ""))</f>
        <v>0</v>
      </c>
      <c r="D23" s="754">
        <f t="array" ref="D23">SUMPRODUCT(
  (INDEX('6. TIẾN ĐỘ MUA HÀNG'!$A$5:$AT644, 0, XMATCH("NCC VTBB/NL trong nước", '6. TIẾN ĐỘ MUA HÀNG'!$A$4:$AT$4, 0)) = $B23) * (TRIM(INDEX('6. TIẾN ĐỘ MUA HÀNG'!$A$5:$AT644, 0, XMATCH("Tháng", '6. TIẾN ĐỘ MUA HÀNG'!$A$4:$AT$4, 0))) = TRIM(C$6)) * (INDEX('6. TIẾN ĐỘ MUA HÀNG'!$A$5:$AT644, 0, XMATCH("CL NGÀY NCC DỰ KIẾN - NGÀY NHẬN HÀNG", '6. TIẾN ĐỘ MUA HÀNG'!$A$4:$AT$4, 0)) &lt; 0)
)</f>
        <v>0</v>
      </c>
      <c r="E23" s="755">
        <f t="shared" si="29"/>
        <v>0</v>
      </c>
      <c r="F23" s="756">
        <f t="array" ref="F23">SUMPRODUCT((TRIM(INDEX('6. TIẾN ĐỘ MUA HÀNG'!$A$5:$AT644, 0, XMATCH("NCC VTBB/NL trong nước", '6. TIẾN ĐỘ MUA HÀNG'!$A$4:$AT$4, 0))) = TRIM($B23)) * (TRIM(INDEX('6. TIẾN ĐỘ MUA HÀNG'!$A$5:$AT644, 0, XMATCH("Tháng", '6. TIẾN ĐỘ MUA HÀNG'!$A$4:$AT$4, 0))) = TRIM(F$6)) * (INDEX('6. TIẾN ĐỘ MUA HÀNG'!$A$5:$AT644, 0, XMATCH("Mã đơn Misa", '6. TIẾN ĐỘ MUA HÀNG'!$A$4:$AT$4, 0)) &lt;&gt; ""))</f>
        <v>0</v>
      </c>
      <c r="G23" s="756">
        <f t="array" ref="G23">SUMPRODUCT(
  (INDEX('6. TIẾN ĐỘ MUA HÀNG'!$A$5:$AT644, 0, XMATCH("NCC VTBB/NL trong nước", '6. TIẾN ĐỘ MUA HÀNG'!$A$4:$AT$4, 0)) = $B23) * (TRIM(INDEX('6. TIẾN ĐỘ MUA HÀNG'!$A$5:$AT644, 0, XMATCH("Tháng", '6. TIẾN ĐỘ MUA HÀNG'!$A$4:$AT$4, 0))) = TRIM(F$6)) * (INDEX('6. TIẾN ĐỘ MUA HÀNG'!$A$5:$AT644, 0, XMATCH("CL NGÀY NCC DỰ KIẾN - NGÀY NHẬN HÀNG", '6. TIẾN ĐỘ MUA HÀNG'!$A$4:$AT$4, 0)) &lt; 0)
)</f>
        <v>0</v>
      </c>
      <c r="H23" s="757">
        <f t="shared" si="15"/>
        <v>0</v>
      </c>
      <c r="I23" s="754">
        <f t="array" ref="I23">SUMPRODUCT((TRIM(INDEX('6. TIẾN ĐỘ MUA HÀNG'!$A$5:$AT644, 0, XMATCH("NCC VTBB/NL trong nước", '6. TIẾN ĐỘ MUA HÀNG'!$A$4:$AT$4, 0))) = TRIM($B23)) * (TRIM(INDEX('6. TIẾN ĐỘ MUA HÀNG'!$A$5:$AT644, 0, XMATCH("Tháng", '6. TIẾN ĐỘ MUA HÀNG'!$A$4:$AT$4, 0))) = TRIM(I$6)) * (INDEX('6. TIẾN ĐỘ MUA HÀNG'!$A$5:$AT644, 0, XMATCH("Mã đơn Misa", '6. TIẾN ĐỘ MUA HÀNG'!$A$4:$AT$4, 0)) &lt;&gt; ""))</f>
        <v>0</v>
      </c>
      <c r="J23" s="754">
        <f t="array" ref="J23">SUMPRODUCT(
  (INDEX('6. TIẾN ĐỘ MUA HÀNG'!$A$5:$AT644, 0, XMATCH("NCC VTBB/NL trong nước", '6. TIẾN ĐỘ MUA HÀNG'!$A$4:$AT$4, 0)) = $B23) * (TRIM(INDEX('6. TIẾN ĐỘ MUA HÀNG'!$A$5:$AT644, 0, XMATCH("Tháng", '6. TIẾN ĐỘ MUA HÀNG'!$A$4:$AT$4, 0))) = TRIM(I$6)) * (INDEX('6. TIẾN ĐỘ MUA HÀNG'!$A$5:$AT644, 0, XMATCH("CL NGÀY NCC DỰ KIẾN - NGÀY NHẬN HÀNG", '6. TIẾN ĐỘ MUA HÀNG'!$A$4:$AT$4, 0)) &lt; 0)
)</f>
        <v>0</v>
      </c>
      <c r="K23" s="755">
        <f t="shared" si="30"/>
        <v>0</v>
      </c>
      <c r="L23" s="756">
        <f t="array" ref="L23">SUMPRODUCT((TRIM(INDEX('6. TIẾN ĐỘ MUA HÀNG'!$A$5:$AT644, 0, XMATCH("NCC VTBB/NL trong nước", '6. TIẾN ĐỘ MUA HÀNG'!$A$4:$AT$4, 0))) = TRIM($B23)) * (TRIM(INDEX('6. TIẾN ĐỘ MUA HÀNG'!$A$5:$AT644, 0, XMATCH("Tháng", '6. TIẾN ĐỘ MUA HÀNG'!$A$4:$AT$4, 0))) = TRIM(L$6)) * (INDEX('6. TIẾN ĐỘ MUA HÀNG'!$A$5:$AT644, 0, XMATCH("Mã đơn Misa", '6. TIẾN ĐỘ MUA HÀNG'!$A$4:$AT$4, 0)) &lt;&gt; ""))</f>
        <v>0</v>
      </c>
      <c r="M23" s="756">
        <f t="array" ref="M23">SUMPRODUCT(
  (INDEX('6. TIẾN ĐỘ MUA HÀNG'!$A$5:$AT644, 0, XMATCH("NCC VTBB/NL trong nước", '6. TIẾN ĐỘ MUA HÀNG'!$A$4:$AT$4, 0)) = $B23) * (TRIM(INDEX('6. TIẾN ĐỘ MUA HÀNG'!$A$5:$AT644, 0, XMATCH("Tháng", '6. TIẾN ĐỘ MUA HÀNG'!$A$4:$AT$4, 0))) = TRIM(L$6)) * (INDEX('6. TIẾN ĐỘ MUA HÀNG'!$A$5:$AT644, 0, XMATCH("CL NGÀY NCC DỰ KIẾN - NGÀY NHẬN HÀNG", '6. TIẾN ĐỘ MUA HÀNG'!$A$4:$AT$4, 0)) &lt; 0)
)</f>
        <v>0</v>
      </c>
      <c r="N23" s="757">
        <f t="shared" si="17"/>
        <v>0</v>
      </c>
      <c r="O23" s="754">
        <f t="array" ref="O23">SUMPRODUCT((TRIM(INDEX('6. TIẾN ĐỘ MUA HÀNG'!$A$5:$AT644, 0, XMATCH("NCC VTBB/NL trong nước", '6. TIẾN ĐỘ MUA HÀNG'!$A$4:$AT$4, 0))) = TRIM($B23)) * (TRIM(INDEX('6. TIẾN ĐỘ MUA HÀNG'!$A$5:$AT644, 0, XMATCH("Tháng", '6. TIẾN ĐỘ MUA HÀNG'!$A$4:$AT$4, 0))) = TRIM(O$6)) * (INDEX('6. TIẾN ĐỘ MUA HÀNG'!$A$5:$AT644, 0, XMATCH("Mã đơn Misa", '6. TIẾN ĐỘ MUA HÀNG'!$A$4:$AT$4, 0)) &lt;&gt; ""))</f>
        <v>0</v>
      </c>
      <c r="P23" s="754">
        <f t="array" ref="P23">SUMPRODUCT(
  (INDEX('6. TIẾN ĐỘ MUA HÀNG'!$A$5:$AT644, 0, XMATCH("NCC VTBB/NL trong nước", '6. TIẾN ĐỘ MUA HÀNG'!$A$4:$AT$4, 0)) = $B23) * (TRIM(INDEX('6. TIẾN ĐỘ MUA HÀNG'!$A$5:$AT644, 0, XMATCH("Tháng", '6. TIẾN ĐỘ MUA HÀNG'!$A$4:$AT$4, 0))) = TRIM(O$6)) * (INDEX('6. TIẾN ĐỘ MUA HÀNG'!$A$5:$AT644, 0, XMATCH("CL NGÀY NCC DỰ KIẾN - NGÀY NHẬN HÀNG", '6. TIẾN ĐỘ MUA HÀNG'!$A$4:$AT$4, 0)) &lt; 0)
)</f>
        <v>0</v>
      </c>
      <c r="Q23" s="755">
        <f t="shared" si="31"/>
        <v>0</v>
      </c>
      <c r="R23" s="756">
        <f t="array" ref="R23">SUMPRODUCT((TRIM(INDEX('6. TIẾN ĐỘ MUA HÀNG'!$A$5:$AT644, 0, XMATCH("NCC VTBB/NL trong nước", '6. TIẾN ĐỘ MUA HÀNG'!$A$4:$AT$4, 0))) = TRIM($B23)) * (TRIM(INDEX('6. TIẾN ĐỘ MUA HÀNG'!$A$5:$AT644, 0, XMATCH("Tháng", '6. TIẾN ĐỘ MUA HÀNG'!$A$4:$AT$4, 0))) = TRIM(R$6)) * (INDEX('6. TIẾN ĐỘ MUA HÀNG'!$A$5:$AT644, 0, XMATCH("Mã đơn Misa", '6. TIẾN ĐỘ MUA HÀNG'!$A$4:$AT$4, 0)) &lt;&gt; ""))</f>
        <v>0</v>
      </c>
      <c r="S23" s="756">
        <f t="array" ref="S23">SUMPRODUCT(
  (INDEX('6. TIẾN ĐỘ MUA HÀNG'!$A$5:$AT644, 0, XMATCH("NCC VTBB/NL trong nước", '6. TIẾN ĐỘ MUA HÀNG'!$A$4:$AT$4, 0)) = $B23) * (TRIM(INDEX('6. TIẾN ĐỘ MUA HÀNG'!$A$5:$AT644, 0, XMATCH("Tháng", '6. TIẾN ĐỘ MUA HÀNG'!$A$4:$AT$4, 0))) = TRIM(R$6)) * (INDEX('6. TIẾN ĐỘ MUA HÀNG'!$A$5:$AT644, 0, XMATCH("CL NGÀY NCC DỰ KIẾN - NGÀY NHẬN HÀNG", '6. TIẾN ĐỘ MUA HÀNG'!$A$4:$AT$4, 0)) &lt; 0)
)</f>
        <v>0</v>
      </c>
      <c r="T23" s="757">
        <f t="shared" si="19"/>
        <v>0</v>
      </c>
      <c r="U23" s="754">
        <f t="array" ref="U23">SUMPRODUCT((TRIM(INDEX('6. TIẾN ĐỘ MUA HÀNG'!$A$5:$AT644, 0, XMATCH("NCC VTBB/NL trong nước", '6. TIẾN ĐỘ MUA HÀNG'!$A$4:$AT$4, 0))) = TRIM($B23)) * (TRIM(INDEX('6. TIẾN ĐỘ MUA HÀNG'!$A$5:$AT644, 0, XMATCH("Tháng", '6. TIẾN ĐỘ MUA HÀNG'!$A$4:$AT$4, 0))) = TRIM(U$6)) * (INDEX('6. TIẾN ĐỘ MUA HÀNG'!$A$5:$AT644, 0, XMATCH("Mã đơn Misa", '6. TIẾN ĐỘ MUA HÀNG'!$A$4:$AT$4, 0)) &lt;&gt; ""))</f>
        <v>0</v>
      </c>
      <c r="V23" s="754">
        <f t="array" ref="V23">SUMPRODUCT(
  (INDEX('6. TIẾN ĐỘ MUA HÀNG'!$A$5:$AT644, 0, XMATCH("NCC VTBB/NL trong nước", '6. TIẾN ĐỘ MUA HÀNG'!$A$4:$AT$4, 0)) = $B23) * (TRIM(INDEX('6. TIẾN ĐỘ MUA HÀNG'!$A$5:$AT644, 0, XMATCH("Tháng", '6. TIẾN ĐỘ MUA HÀNG'!$A$4:$AT$4, 0))) = TRIM(U$6)) * (INDEX('6. TIẾN ĐỘ MUA HÀNG'!$A$5:$AT644, 0, XMATCH("CL NGÀY NCC DỰ KIẾN - NGÀY NHẬN HÀNG", '6. TIẾN ĐỘ MUA HÀNG'!$A$4:$AT$4, 0)) &lt; 0)
)</f>
        <v>0</v>
      </c>
      <c r="W23" s="755">
        <f t="shared" si="32"/>
        <v>0</v>
      </c>
      <c r="X23" s="756">
        <f t="array" ref="X23">SUMPRODUCT((TRIM(INDEX('6. TIẾN ĐỘ MUA HÀNG'!$A$5:$AT644, 0, XMATCH("NCC VTBB/NL trong nước", '6. TIẾN ĐỘ MUA HÀNG'!$A$4:$AT$4, 0))) = TRIM($B23)) * (TRIM(INDEX('6. TIẾN ĐỘ MUA HÀNG'!$A$5:$AT644, 0, XMATCH("Tháng", '6. TIẾN ĐỘ MUA HÀNG'!$A$4:$AT$4, 0))) = TRIM(X$6)) * (INDEX('6. TIẾN ĐỘ MUA HÀNG'!$A$5:$AT644, 0, XMATCH("Mã đơn Misa", '6. TIẾN ĐỘ MUA HÀNG'!$A$4:$AT$4, 0)) &lt;&gt; ""))</f>
        <v>0</v>
      </c>
      <c r="Y23" s="756">
        <f t="array" ref="Y23">SUMPRODUCT(
  (INDEX('6. TIẾN ĐỘ MUA HÀNG'!$A$5:$AT644, 0, XMATCH("NCC VTBB/NL trong nước", '6. TIẾN ĐỘ MUA HÀNG'!$A$4:$AT$4, 0)) = $B23) * (TRIM(INDEX('6. TIẾN ĐỘ MUA HÀNG'!$A$5:$AT644, 0, XMATCH("Tháng", '6. TIẾN ĐỘ MUA HÀNG'!$A$4:$AT$4, 0))) = TRIM(X$6)) * (INDEX('6. TIẾN ĐỘ MUA HÀNG'!$A$5:$AT644, 0, XMATCH("CL NGÀY NCC DỰ KIẾN - NGÀY NHẬN HÀNG", '6. TIẾN ĐỘ MUA HÀNG'!$A$4:$AT$4, 0)) &lt; 0)
)</f>
        <v>0</v>
      </c>
      <c r="Z23" s="757">
        <f t="shared" si="21"/>
        <v>0</v>
      </c>
      <c r="AA23" s="754">
        <f t="array" ref="AA23">SUMPRODUCT((TRIM(INDEX('6. TIẾN ĐỘ MUA HÀNG'!$A$5:$AT644, 0, XMATCH("NCC VTBB/NL trong nước", '6. TIẾN ĐỘ MUA HÀNG'!$A$4:$AT$4, 0))) = TRIM($B23)) * (TRIM(INDEX('6. TIẾN ĐỘ MUA HÀNG'!$A$5:$AT644, 0, XMATCH("Tháng", '6. TIẾN ĐỘ MUA HÀNG'!$A$4:$AT$4, 0))) = TRIM(AA$6)) * (INDEX('6. TIẾN ĐỘ MUA HÀNG'!$A$5:$AT644, 0, XMATCH("Mã đơn Misa", '6. TIẾN ĐỘ MUA HÀNG'!$A$4:$AT$4, 0)) &lt;&gt; ""))</f>
        <v>0</v>
      </c>
      <c r="AB23" s="754">
        <f t="array" ref="AB23">SUMPRODUCT(
  (INDEX('6. TIẾN ĐỘ MUA HÀNG'!$A$5:$AT644, 0, XMATCH("NCC VTBB/NL trong nước", '6. TIẾN ĐỘ MUA HÀNG'!$A$4:$AT$4, 0)) = $B23) * (TRIM(INDEX('6. TIẾN ĐỘ MUA HÀNG'!$A$5:$AT644, 0, XMATCH("Tháng", '6. TIẾN ĐỘ MUA HÀNG'!$A$4:$AT$4, 0))) = TRIM(AA$6)) * (INDEX('6. TIẾN ĐỘ MUA HÀNG'!$A$5:$AT644, 0, XMATCH("CL NGÀY NCC DỰ KIẾN - NGÀY NHẬN HÀNG", '6. TIẾN ĐỘ MUA HÀNG'!$A$4:$AT$4, 0)) &lt; 0)
)</f>
        <v>0</v>
      </c>
      <c r="AC23" s="755">
        <f t="shared" si="33"/>
        <v>0</v>
      </c>
      <c r="AD23" s="756">
        <f t="array" ref="AD23">SUMPRODUCT((TRIM(INDEX('6. TIẾN ĐỘ MUA HÀNG'!$A$5:$AT644, 0, XMATCH("NCC VTBB/NL trong nước", '6. TIẾN ĐỘ MUA HÀNG'!$A$4:$AT$4, 0))) = TRIM($B23)) * (TRIM(INDEX('6. TIẾN ĐỘ MUA HÀNG'!$A$5:$AT644, 0, XMATCH("Tháng", '6. TIẾN ĐỘ MUA HÀNG'!$A$4:$AT$4, 0))) = TRIM(AD$6)) * (INDEX('6. TIẾN ĐỘ MUA HÀNG'!$A$5:$AT644, 0, XMATCH("Mã đơn Misa", '6. TIẾN ĐỘ MUA HÀNG'!$A$4:$AT$4, 0)) &lt;&gt; ""))</f>
        <v>0</v>
      </c>
      <c r="AE23" s="756">
        <f t="array" ref="AE23">SUMPRODUCT(
  (INDEX('6. TIẾN ĐỘ MUA HÀNG'!$A$5:$AT644, 0, XMATCH("NCC VTBB/NL trong nước", '6. TIẾN ĐỘ MUA HÀNG'!$A$4:$AT$4, 0)) = $B23) * (TRIM(INDEX('6. TIẾN ĐỘ MUA HÀNG'!$A$5:$AT644, 0, XMATCH("Tháng", '6. TIẾN ĐỘ MUA HÀNG'!$A$4:$AT$4, 0))) = TRIM(AD$6)) * (INDEX('6. TIẾN ĐỘ MUA HÀNG'!$A$5:$AT644, 0, XMATCH("CL NGÀY NCC DỰ KIẾN - NGÀY NHẬN HÀNG", '6. TIẾN ĐỘ MUA HÀNG'!$A$4:$AT$4, 0)) &lt; 0)
)</f>
        <v>0</v>
      </c>
      <c r="AF23" s="757">
        <f t="shared" si="23"/>
        <v>0</v>
      </c>
      <c r="AG23" s="754">
        <f t="array" ref="AG23">SUMPRODUCT((TRIM(INDEX('6. TIẾN ĐỘ MUA HÀNG'!$A$5:$AT644, 0, XMATCH("NCC VTBB/NL trong nước", '6. TIẾN ĐỘ MUA HÀNG'!$A$4:$AT$4, 0))) = TRIM($B23)) * (TRIM(INDEX('6. TIẾN ĐỘ MUA HÀNG'!$A$5:$AT644, 0, XMATCH("Tháng", '6. TIẾN ĐỘ MUA HÀNG'!$A$4:$AT$4, 0))) = TRIM(AG$6)) * (INDEX('6. TIẾN ĐỘ MUA HÀNG'!$A$5:$AT644, 0, XMATCH("Mã đơn Misa", '6. TIẾN ĐỘ MUA HÀNG'!$A$4:$AT$4, 0)) &lt;&gt; ""))</f>
        <v>0</v>
      </c>
      <c r="AH23" s="754">
        <f t="array" ref="AH23">SUMPRODUCT(
  (INDEX('6. TIẾN ĐỘ MUA HÀNG'!$A$5:$AT644, 0, XMATCH("NCC VTBB/NL trong nước", '6. TIẾN ĐỘ MUA HÀNG'!$A$4:$AT$4, 0)) = $B23) * (TRIM(INDEX('6. TIẾN ĐỘ MUA HÀNG'!$A$5:$AT644, 0, XMATCH("Tháng", '6. TIẾN ĐỘ MUA HÀNG'!$A$4:$AT$4, 0))) = TRIM(AG$6)) * (INDEX('6. TIẾN ĐỘ MUA HÀNG'!$A$5:$AT644, 0, XMATCH("CL NGÀY NCC DỰ KIẾN - NGÀY NHẬN HÀNG", '6. TIẾN ĐỘ MUA HÀNG'!$A$4:$AT$4, 0)) &lt; 0)
)</f>
        <v>0</v>
      </c>
      <c r="AI23" s="755">
        <f t="shared" si="34"/>
        <v>0</v>
      </c>
      <c r="AJ23" s="756">
        <f t="array" ref="AJ23">SUMPRODUCT((TRIM(INDEX('6. TIẾN ĐỘ MUA HÀNG'!$A$5:$AT644, 0, XMATCH("NCC VTBB/NL trong nước", '6. TIẾN ĐỘ MUA HÀNG'!$A$4:$AT$4, 0))) = TRIM($B23)) * (TRIM(INDEX('6. TIẾN ĐỘ MUA HÀNG'!$A$5:$AT644, 0, XMATCH("Tháng", '6. TIẾN ĐỘ MUA HÀNG'!$A$4:$AT$4, 0))) = TRIM(AJ$6)) * (INDEX('6. TIẾN ĐỘ MUA HÀNG'!$A$5:$AT644, 0, XMATCH("Mã đơn Misa", '6. TIẾN ĐỘ MUA HÀNG'!$A$4:$AT$4, 0)) &lt;&gt; ""))</f>
        <v>0</v>
      </c>
      <c r="AK23" s="756">
        <f t="array" ref="AK23">SUMPRODUCT(
  (INDEX('6. TIẾN ĐỘ MUA HÀNG'!$A$5:$AT644, 0, XMATCH("NCC VTBB/NL trong nước", '6. TIẾN ĐỘ MUA HÀNG'!$A$4:$AT$4, 0)) = $B23) * (TRIM(INDEX('6. TIẾN ĐỘ MUA HÀNG'!$A$5:$AT644, 0, XMATCH("Tháng", '6. TIẾN ĐỘ MUA HÀNG'!$A$4:$AT$4, 0))) = TRIM(AJ$6)) * (INDEX('6. TIẾN ĐỘ MUA HÀNG'!$A$5:$AT644, 0, XMATCH("CL NGÀY NCC DỰ KIẾN - NGÀY NHẬN HÀNG", '6. TIẾN ĐỘ MUA HÀNG'!$A$4:$AT$4, 0)) &lt; 0)
)</f>
        <v>0</v>
      </c>
      <c r="AL23" s="757">
        <f t="shared" si="25"/>
        <v>0</v>
      </c>
      <c r="AM23" s="726">
        <f t="shared" si="27"/>
        <v>0</v>
      </c>
      <c r="AN23" s="726">
        <f t="shared" si="28"/>
        <v>0</v>
      </c>
      <c r="AO23" s="727">
        <f t="shared" si="26"/>
        <v>0</v>
      </c>
    </row>
    <row r="24">
      <c r="A24" s="612">
        <v>16.0</v>
      </c>
      <c r="B24" s="624" t="str">
        <f>IFERROR(__xludf.DUMMYFUNCTION("""COMPUTED_VALUE"""),"Hải Bình")</f>
        <v>Hải Bình</v>
      </c>
      <c r="C24" s="754">
        <f t="array" ref="C24">SUMPRODUCT((TRIM(INDEX('6. TIẾN ĐỘ MUA HÀNG'!$A$5:$AT644, 0, XMATCH("NCC VTBB/NL trong nước", '6. TIẾN ĐỘ MUA HÀNG'!$A$4:$AT$4, 0))) = TRIM($B24)) * (TRIM(INDEX('6. TIẾN ĐỘ MUA HÀNG'!$A$5:$AT644, 0, XMATCH("Tháng", '6. TIẾN ĐỘ MUA HÀNG'!$A$4:$AT$4, 0))) = TRIM(C$6)) * (INDEX('6. TIẾN ĐỘ MUA HÀNG'!$A$5:$AT644, 0, XMATCH("Mã đơn Misa", '6. TIẾN ĐỘ MUA HÀNG'!$A$4:$AT$4, 0)) &lt;&gt; ""))</f>
        <v>0</v>
      </c>
      <c r="D24" s="754">
        <f t="array" ref="D24">SUMPRODUCT(
  (INDEX('6. TIẾN ĐỘ MUA HÀNG'!$A$5:$AT644, 0, XMATCH("NCC VTBB/NL trong nước", '6. TIẾN ĐỘ MUA HÀNG'!$A$4:$AT$4, 0)) = $B24) * (TRIM(INDEX('6. TIẾN ĐỘ MUA HÀNG'!$A$5:$AT644, 0, XMATCH("Tháng", '6. TIẾN ĐỘ MUA HÀNG'!$A$4:$AT$4, 0))) = TRIM(C$6)) * (INDEX('6. TIẾN ĐỘ MUA HÀNG'!$A$5:$AT644, 0, XMATCH("CL NGÀY NCC DỰ KIẾN - NGÀY NHẬN HÀNG", '6. TIẾN ĐỘ MUA HÀNG'!$A$4:$AT$4, 0)) &lt; 0)
)</f>
        <v>0</v>
      </c>
      <c r="E24" s="755">
        <f t="shared" si="29"/>
        <v>0</v>
      </c>
      <c r="F24" s="756">
        <f t="array" ref="F24">SUMPRODUCT((TRIM(INDEX('6. TIẾN ĐỘ MUA HÀNG'!$A$5:$AT644, 0, XMATCH("NCC VTBB/NL trong nước", '6. TIẾN ĐỘ MUA HÀNG'!$A$4:$AT$4, 0))) = TRIM($B24)) * (TRIM(INDEX('6. TIẾN ĐỘ MUA HÀNG'!$A$5:$AT644, 0, XMATCH("Tháng", '6. TIẾN ĐỘ MUA HÀNG'!$A$4:$AT$4, 0))) = TRIM(F$6)) * (INDEX('6. TIẾN ĐỘ MUA HÀNG'!$A$5:$AT644, 0, XMATCH("Mã đơn Misa", '6. TIẾN ĐỘ MUA HÀNG'!$A$4:$AT$4, 0)) &lt;&gt; ""))</f>
        <v>0</v>
      </c>
      <c r="G24" s="756">
        <f t="array" ref="G24">SUMPRODUCT(
  (INDEX('6. TIẾN ĐỘ MUA HÀNG'!$A$5:$AT644, 0, XMATCH("NCC VTBB/NL trong nước", '6. TIẾN ĐỘ MUA HÀNG'!$A$4:$AT$4, 0)) = $B24) * (TRIM(INDEX('6. TIẾN ĐỘ MUA HÀNG'!$A$5:$AT644, 0, XMATCH("Tháng", '6. TIẾN ĐỘ MUA HÀNG'!$A$4:$AT$4, 0))) = TRIM(F$6)) * (INDEX('6. TIẾN ĐỘ MUA HÀNG'!$A$5:$AT644, 0, XMATCH("CL NGÀY NCC DỰ KIẾN - NGÀY NHẬN HÀNG", '6. TIẾN ĐỘ MUA HÀNG'!$A$4:$AT$4, 0)) &lt; 0)
)</f>
        <v>0</v>
      </c>
      <c r="H24" s="757">
        <f t="shared" si="15"/>
        <v>0</v>
      </c>
      <c r="I24" s="754">
        <f t="array" ref="I24">SUMPRODUCT((TRIM(INDEX('6. TIẾN ĐỘ MUA HÀNG'!$A$5:$AT644, 0, XMATCH("NCC VTBB/NL trong nước", '6. TIẾN ĐỘ MUA HÀNG'!$A$4:$AT$4, 0))) = TRIM($B24)) * (TRIM(INDEX('6. TIẾN ĐỘ MUA HÀNG'!$A$5:$AT644, 0, XMATCH("Tháng", '6. TIẾN ĐỘ MUA HÀNG'!$A$4:$AT$4, 0))) = TRIM(I$6)) * (INDEX('6. TIẾN ĐỘ MUA HÀNG'!$A$5:$AT644, 0, XMATCH("Mã đơn Misa", '6. TIẾN ĐỘ MUA HÀNG'!$A$4:$AT$4, 0)) &lt;&gt; ""))</f>
        <v>0</v>
      </c>
      <c r="J24" s="754">
        <f t="array" ref="J24">SUMPRODUCT(
  (INDEX('6. TIẾN ĐỘ MUA HÀNG'!$A$5:$AT644, 0, XMATCH("NCC VTBB/NL trong nước", '6. TIẾN ĐỘ MUA HÀNG'!$A$4:$AT$4, 0)) = $B24) * (TRIM(INDEX('6. TIẾN ĐỘ MUA HÀNG'!$A$5:$AT644, 0, XMATCH("Tháng", '6. TIẾN ĐỘ MUA HÀNG'!$A$4:$AT$4, 0))) = TRIM(I$6)) * (INDEX('6. TIẾN ĐỘ MUA HÀNG'!$A$5:$AT644, 0, XMATCH("CL NGÀY NCC DỰ KIẾN - NGÀY NHẬN HÀNG", '6. TIẾN ĐỘ MUA HÀNG'!$A$4:$AT$4, 0)) &lt; 0)
)</f>
        <v>0</v>
      </c>
      <c r="K24" s="755">
        <f t="shared" si="30"/>
        <v>0</v>
      </c>
      <c r="L24" s="756">
        <f t="array" ref="L24">SUMPRODUCT((TRIM(INDEX('6. TIẾN ĐỘ MUA HÀNG'!$A$5:$AT644, 0, XMATCH("NCC VTBB/NL trong nước", '6. TIẾN ĐỘ MUA HÀNG'!$A$4:$AT$4, 0))) = TRIM($B24)) * (TRIM(INDEX('6. TIẾN ĐỘ MUA HÀNG'!$A$5:$AT644, 0, XMATCH("Tháng", '6. TIẾN ĐỘ MUA HÀNG'!$A$4:$AT$4, 0))) = TRIM(L$6)) * (INDEX('6. TIẾN ĐỘ MUA HÀNG'!$A$5:$AT644, 0, XMATCH("Mã đơn Misa", '6. TIẾN ĐỘ MUA HÀNG'!$A$4:$AT$4, 0)) &lt;&gt; ""))</f>
        <v>0</v>
      </c>
      <c r="M24" s="756">
        <f t="array" ref="M24">SUMPRODUCT(
  (INDEX('6. TIẾN ĐỘ MUA HÀNG'!$A$5:$AT644, 0, XMATCH("NCC VTBB/NL trong nước", '6. TIẾN ĐỘ MUA HÀNG'!$A$4:$AT$4, 0)) = $B24) * (TRIM(INDEX('6. TIẾN ĐỘ MUA HÀNG'!$A$5:$AT644, 0, XMATCH("Tháng", '6. TIẾN ĐỘ MUA HÀNG'!$A$4:$AT$4, 0))) = TRIM(L$6)) * (INDEX('6. TIẾN ĐỘ MUA HÀNG'!$A$5:$AT644, 0, XMATCH("CL NGÀY NCC DỰ KIẾN - NGÀY NHẬN HÀNG", '6. TIẾN ĐỘ MUA HÀNG'!$A$4:$AT$4, 0)) &lt; 0)
)</f>
        <v>0</v>
      </c>
      <c r="N24" s="757">
        <f t="shared" si="17"/>
        <v>0</v>
      </c>
      <c r="O24" s="754">
        <f t="array" ref="O24">SUMPRODUCT((TRIM(INDEX('6. TIẾN ĐỘ MUA HÀNG'!$A$5:$AT644, 0, XMATCH("NCC VTBB/NL trong nước", '6. TIẾN ĐỘ MUA HÀNG'!$A$4:$AT$4, 0))) = TRIM($B24)) * (TRIM(INDEX('6. TIẾN ĐỘ MUA HÀNG'!$A$5:$AT644, 0, XMATCH("Tháng", '6. TIẾN ĐỘ MUA HÀNG'!$A$4:$AT$4, 0))) = TRIM(O$6)) * (INDEX('6. TIẾN ĐỘ MUA HÀNG'!$A$5:$AT644, 0, XMATCH("Mã đơn Misa", '6. TIẾN ĐỘ MUA HÀNG'!$A$4:$AT$4, 0)) &lt;&gt; ""))</f>
        <v>0</v>
      </c>
      <c r="P24" s="754">
        <f t="array" ref="P24">SUMPRODUCT(
  (INDEX('6. TIẾN ĐỘ MUA HÀNG'!$A$5:$AT644, 0, XMATCH("NCC VTBB/NL trong nước", '6. TIẾN ĐỘ MUA HÀNG'!$A$4:$AT$4, 0)) = $B24) * (TRIM(INDEX('6. TIẾN ĐỘ MUA HÀNG'!$A$5:$AT644, 0, XMATCH("Tháng", '6. TIẾN ĐỘ MUA HÀNG'!$A$4:$AT$4, 0))) = TRIM(O$6)) * (INDEX('6. TIẾN ĐỘ MUA HÀNG'!$A$5:$AT644, 0, XMATCH("CL NGÀY NCC DỰ KIẾN - NGÀY NHẬN HÀNG", '6. TIẾN ĐỘ MUA HÀNG'!$A$4:$AT$4, 0)) &lt; 0)
)</f>
        <v>0</v>
      </c>
      <c r="Q24" s="755">
        <f t="shared" si="31"/>
        <v>0</v>
      </c>
      <c r="R24" s="756">
        <f t="array" ref="R24">SUMPRODUCT((TRIM(INDEX('6. TIẾN ĐỘ MUA HÀNG'!$A$5:$AT644, 0, XMATCH("NCC VTBB/NL trong nước", '6. TIẾN ĐỘ MUA HÀNG'!$A$4:$AT$4, 0))) = TRIM($B24)) * (TRIM(INDEX('6. TIẾN ĐỘ MUA HÀNG'!$A$5:$AT644, 0, XMATCH("Tháng", '6. TIẾN ĐỘ MUA HÀNG'!$A$4:$AT$4, 0))) = TRIM(R$6)) * (INDEX('6. TIẾN ĐỘ MUA HÀNG'!$A$5:$AT644, 0, XMATCH("Mã đơn Misa", '6. TIẾN ĐỘ MUA HÀNG'!$A$4:$AT$4, 0)) &lt;&gt; ""))</f>
        <v>0</v>
      </c>
      <c r="S24" s="756">
        <f t="array" ref="S24">SUMPRODUCT(
  (INDEX('6. TIẾN ĐỘ MUA HÀNG'!$A$5:$AT644, 0, XMATCH("NCC VTBB/NL trong nước", '6. TIẾN ĐỘ MUA HÀNG'!$A$4:$AT$4, 0)) = $B24) * (TRIM(INDEX('6. TIẾN ĐỘ MUA HÀNG'!$A$5:$AT644, 0, XMATCH("Tháng", '6. TIẾN ĐỘ MUA HÀNG'!$A$4:$AT$4, 0))) = TRIM(R$6)) * (INDEX('6. TIẾN ĐỘ MUA HÀNG'!$A$5:$AT644, 0, XMATCH("CL NGÀY NCC DỰ KIẾN - NGÀY NHẬN HÀNG", '6. TIẾN ĐỘ MUA HÀNG'!$A$4:$AT$4, 0)) &lt; 0)
)</f>
        <v>0</v>
      </c>
      <c r="T24" s="757">
        <f t="shared" si="19"/>
        <v>0</v>
      </c>
      <c r="U24" s="754">
        <f t="array" ref="U24">SUMPRODUCT((TRIM(INDEX('6. TIẾN ĐỘ MUA HÀNG'!$A$5:$AT644, 0, XMATCH("NCC VTBB/NL trong nước", '6. TIẾN ĐỘ MUA HÀNG'!$A$4:$AT$4, 0))) = TRIM($B24)) * (TRIM(INDEX('6. TIẾN ĐỘ MUA HÀNG'!$A$5:$AT644, 0, XMATCH("Tháng", '6. TIẾN ĐỘ MUA HÀNG'!$A$4:$AT$4, 0))) = TRIM(U$6)) * (INDEX('6. TIẾN ĐỘ MUA HÀNG'!$A$5:$AT644, 0, XMATCH("Mã đơn Misa", '6. TIẾN ĐỘ MUA HÀNG'!$A$4:$AT$4, 0)) &lt;&gt; ""))</f>
        <v>0</v>
      </c>
      <c r="V24" s="754">
        <f t="array" ref="V24">SUMPRODUCT(
  (INDEX('6. TIẾN ĐỘ MUA HÀNG'!$A$5:$AT644, 0, XMATCH("NCC VTBB/NL trong nước", '6. TIẾN ĐỘ MUA HÀNG'!$A$4:$AT$4, 0)) = $B24) * (TRIM(INDEX('6. TIẾN ĐỘ MUA HÀNG'!$A$5:$AT644, 0, XMATCH("Tháng", '6. TIẾN ĐỘ MUA HÀNG'!$A$4:$AT$4, 0))) = TRIM(U$6)) * (INDEX('6. TIẾN ĐỘ MUA HÀNG'!$A$5:$AT644, 0, XMATCH("CL NGÀY NCC DỰ KIẾN - NGÀY NHẬN HÀNG", '6. TIẾN ĐỘ MUA HÀNG'!$A$4:$AT$4, 0)) &lt; 0)
)</f>
        <v>0</v>
      </c>
      <c r="W24" s="755">
        <f t="shared" si="32"/>
        <v>0</v>
      </c>
      <c r="X24" s="756">
        <f t="array" ref="X24">SUMPRODUCT((TRIM(INDEX('6. TIẾN ĐỘ MUA HÀNG'!$A$5:$AT644, 0, XMATCH("NCC VTBB/NL trong nước", '6. TIẾN ĐỘ MUA HÀNG'!$A$4:$AT$4, 0))) = TRIM($B24)) * (TRIM(INDEX('6. TIẾN ĐỘ MUA HÀNG'!$A$5:$AT644, 0, XMATCH("Tháng", '6. TIẾN ĐỘ MUA HÀNG'!$A$4:$AT$4, 0))) = TRIM(X$6)) * (INDEX('6. TIẾN ĐỘ MUA HÀNG'!$A$5:$AT644, 0, XMATCH("Mã đơn Misa", '6. TIẾN ĐỘ MUA HÀNG'!$A$4:$AT$4, 0)) &lt;&gt; ""))</f>
        <v>0</v>
      </c>
      <c r="Y24" s="756">
        <f t="array" ref="Y24">SUMPRODUCT(
  (INDEX('6. TIẾN ĐỘ MUA HÀNG'!$A$5:$AT644, 0, XMATCH("NCC VTBB/NL trong nước", '6. TIẾN ĐỘ MUA HÀNG'!$A$4:$AT$4, 0)) = $B24) * (TRIM(INDEX('6. TIẾN ĐỘ MUA HÀNG'!$A$5:$AT644, 0, XMATCH("Tháng", '6. TIẾN ĐỘ MUA HÀNG'!$A$4:$AT$4, 0))) = TRIM(X$6)) * (INDEX('6. TIẾN ĐỘ MUA HÀNG'!$A$5:$AT644, 0, XMATCH("CL NGÀY NCC DỰ KIẾN - NGÀY NHẬN HÀNG", '6. TIẾN ĐỘ MUA HÀNG'!$A$4:$AT$4, 0)) &lt; 0)
)</f>
        <v>0</v>
      </c>
      <c r="Z24" s="757">
        <f t="shared" si="21"/>
        <v>0</v>
      </c>
      <c r="AA24" s="754">
        <f t="array" ref="AA24">SUMPRODUCT((TRIM(INDEX('6. TIẾN ĐỘ MUA HÀNG'!$A$5:$AT644, 0, XMATCH("NCC VTBB/NL trong nước", '6. TIẾN ĐỘ MUA HÀNG'!$A$4:$AT$4, 0))) = TRIM($B24)) * (TRIM(INDEX('6. TIẾN ĐỘ MUA HÀNG'!$A$5:$AT644, 0, XMATCH("Tháng", '6. TIẾN ĐỘ MUA HÀNG'!$A$4:$AT$4, 0))) = TRIM(AA$6)) * (INDEX('6. TIẾN ĐỘ MUA HÀNG'!$A$5:$AT644, 0, XMATCH("Mã đơn Misa", '6. TIẾN ĐỘ MUA HÀNG'!$A$4:$AT$4, 0)) &lt;&gt; ""))</f>
        <v>0</v>
      </c>
      <c r="AB24" s="754">
        <f t="array" ref="AB24">SUMPRODUCT(
  (INDEX('6. TIẾN ĐỘ MUA HÀNG'!$A$5:$AT644, 0, XMATCH("NCC VTBB/NL trong nước", '6. TIẾN ĐỘ MUA HÀNG'!$A$4:$AT$4, 0)) = $B24) * (TRIM(INDEX('6. TIẾN ĐỘ MUA HÀNG'!$A$5:$AT644, 0, XMATCH("Tháng", '6. TIẾN ĐỘ MUA HÀNG'!$A$4:$AT$4, 0))) = TRIM(AA$6)) * (INDEX('6. TIẾN ĐỘ MUA HÀNG'!$A$5:$AT644, 0, XMATCH("CL NGÀY NCC DỰ KIẾN - NGÀY NHẬN HÀNG", '6. TIẾN ĐỘ MUA HÀNG'!$A$4:$AT$4, 0)) &lt; 0)
)</f>
        <v>0</v>
      </c>
      <c r="AC24" s="755">
        <f t="shared" si="33"/>
        <v>0</v>
      </c>
      <c r="AD24" s="756">
        <f t="array" ref="AD24">SUMPRODUCT((TRIM(INDEX('6. TIẾN ĐỘ MUA HÀNG'!$A$5:$AT644, 0, XMATCH("NCC VTBB/NL trong nước", '6. TIẾN ĐỘ MUA HÀNG'!$A$4:$AT$4, 0))) = TRIM($B24)) * (TRIM(INDEX('6. TIẾN ĐỘ MUA HÀNG'!$A$5:$AT644, 0, XMATCH("Tháng", '6. TIẾN ĐỘ MUA HÀNG'!$A$4:$AT$4, 0))) = TRIM(AD$6)) * (INDEX('6. TIẾN ĐỘ MUA HÀNG'!$A$5:$AT644, 0, XMATCH("Mã đơn Misa", '6. TIẾN ĐỘ MUA HÀNG'!$A$4:$AT$4, 0)) &lt;&gt; ""))</f>
        <v>0</v>
      </c>
      <c r="AE24" s="756">
        <f t="array" ref="AE24">SUMPRODUCT(
  (INDEX('6. TIẾN ĐỘ MUA HÀNG'!$A$5:$AT644, 0, XMATCH("NCC VTBB/NL trong nước", '6. TIẾN ĐỘ MUA HÀNG'!$A$4:$AT$4, 0)) = $B24) * (TRIM(INDEX('6. TIẾN ĐỘ MUA HÀNG'!$A$5:$AT644, 0, XMATCH("Tháng", '6. TIẾN ĐỘ MUA HÀNG'!$A$4:$AT$4, 0))) = TRIM(AD$6)) * (INDEX('6. TIẾN ĐỘ MUA HÀNG'!$A$5:$AT644, 0, XMATCH("CL NGÀY NCC DỰ KIẾN - NGÀY NHẬN HÀNG", '6. TIẾN ĐỘ MUA HÀNG'!$A$4:$AT$4, 0)) &lt; 0)
)</f>
        <v>0</v>
      </c>
      <c r="AF24" s="757">
        <f t="shared" si="23"/>
        <v>0</v>
      </c>
      <c r="AG24" s="754">
        <f t="array" ref="AG24">SUMPRODUCT((TRIM(INDEX('6. TIẾN ĐỘ MUA HÀNG'!$A$5:$AT644, 0, XMATCH("NCC VTBB/NL trong nước", '6. TIẾN ĐỘ MUA HÀNG'!$A$4:$AT$4, 0))) = TRIM($B24)) * (TRIM(INDEX('6. TIẾN ĐỘ MUA HÀNG'!$A$5:$AT644, 0, XMATCH("Tháng", '6. TIẾN ĐỘ MUA HÀNG'!$A$4:$AT$4, 0))) = TRIM(AG$6)) * (INDEX('6. TIẾN ĐỘ MUA HÀNG'!$A$5:$AT644, 0, XMATCH("Mã đơn Misa", '6. TIẾN ĐỘ MUA HÀNG'!$A$4:$AT$4, 0)) &lt;&gt; ""))</f>
        <v>0</v>
      </c>
      <c r="AH24" s="754">
        <f t="array" ref="AH24">SUMPRODUCT(
  (INDEX('6. TIẾN ĐỘ MUA HÀNG'!$A$5:$AT644, 0, XMATCH("NCC VTBB/NL trong nước", '6. TIẾN ĐỘ MUA HÀNG'!$A$4:$AT$4, 0)) = $B24) * (TRIM(INDEX('6. TIẾN ĐỘ MUA HÀNG'!$A$5:$AT644, 0, XMATCH("Tháng", '6. TIẾN ĐỘ MUA HÀNG'!$A$4:$AT$4, 0))) = TRIM(AG$6)) * (INDEX('6. TIẾN ĐỘ MUA HÀNG'!$A$5:$AT644, 0, XMATCH("CL NGÀY NCC DỰ KIẾN - NGÀY NHẬN HÀNG", '6. TIẾN ĐỘ MUA HÀNG'!$A$4:$AT$4, 0)) &lt; 0)
)</f>
        <v>0</v>
      </c>
      <c r="AI24" s="755">
        <f t="shared" si="34"/>
        <v>0</v>
      </c>
      <c r="AJ24" s="756">
        <f t="array" ref="AJ24">SUMPRODUCT((TRIM(INDEX('6. TIẾN ĐỘ MUA HÀNG'!$A$5:$AT644, 0, XMATCH("NCC VTBB/NL trong nước", '6. TIẾN ĐỘ MUA HÀNG'!$A$4:$AT$4, 0))) = TRIM($B24)) * (TRIM(INDEX('6. TIẾN ĐỘ MUA HÀNG'!$A$5:$AT644, 0, XMATCH("Tháng", '6. TIẾN ĐỘ MUA HÀNG'!$A$4:$AT$4, 0))) = TRIM(AJ$6)) * (INDEX('6. TIẾN ĐỘ MUA HÀNG'!$A$5:$AT644, 0, XMATCH("Mã đơn Misa", '6. TIẾN ĐỘ MUA HÀNG'!$A$4:$AT$4, 0)) &lt;&gt; ""))</f>
        <v>0</v>
      </c>
      <c r="AK24" s="756">
        <f t="array" ref="AK24">SUMPRODUCT(
  (INDEX('6. TIẾN ĐỘ MUA HÀNG'!$A$5:$AT644, 0, XMATCH("NCC VTBB/NL trong nước", '6. TIẾN ĐỘ MUA HÀNG'!$A$4:$AT$4, 0)) = $B24) * (TRIM(INDEX('6. TIẾN ĐỘ MUA HÀNG'!$A$5:$AT644, 0, XMATCH("Tháng", '6. TIẾN ĐỘ MUA HÀNG'!$A$4:$AT$4, 0))) = TRIM(AJ$6)) * (INDEX('6. TIẾN ĐỘ MUA HÀNG'!$A$5:$AT644, 0, XMATCH("CL NGÀY NCC DỰ KIẾN - NGÀY NHẬN HÀNG", '6. TIẾN ĐỘ MUA HÀNG'!$A$4:$AT$4, 0)) &lt; 0)
)</f>
        <v>0</v>
      </c>
      <c r="AL24" s="757">
        <f t="shared" si="25"/>
        <v>0</v>
      </c>
      <c r="AM24" s="726">
        <f t="shared" si="27"/>
        <v>0</v>
      </c>
      <c r="AN24" s="726">
        <f t="shared" si="28"/>
        <v>0</v>
      </c>
      <c r="AO24" s="727">
        <f t="shared" si="26"/>
        <v>0</v>
      </c>
    </row>
    <row r="25">
      <c r="A25" s="612">
        <v>17.0</v>
      </c>
      <c r="B25" s="624" t="str">
        <f>IFERROR(__xludf.DUMMYFUNCTION("""COMPUTED_VALUE"""),"Hóa Chất Miền Nam")</f>
        <v>Hóa Chất Miền Nam</v>
      </c>
      <c r="C25" s="754">
        <f t="array" ref="C25">SUMPRODUCT((TRIM(INDEX('6. TIẾN ĐỘ MUA HÀNG'!$A$5:$AT644, 0, XMATCH("NCC VTBB/NL trong nước", '6. TIẾN ĐỘ MUA HÀNG'!$A$4:$AT$4, 0))) = TRIM($B25)) * (TRIM(INDEX('6. TIẾN ĐỘ MUA HÀNG'!$A$5:$AT644, 0, XMATCH("Tháng", '6. TIẾN ĐỘ MUA HÀNG'!$A$4:$AT$4, 0))) = TRIM(C$6)) * (INDEX('6. TIẾN ĐỘ MUA HÀNG'!$A$5:$AT644, 0, XMATCH("Mã đơn Misa", '6. TIẾN ĐỘ MUA HÀNG'!$A$4:$AT$4, 0)) &lt;&gt; ""))</f>
        <v>0</v>
      </c>
      <c r="D25" s="754">
        <f t="array" ref="D25">SUMPRODUCT(
  (INDEX('6. TIẾN ĐỘ MUA HÀNG'!$A$5:$AT644, 0, XMATCH("NCC VTBB/NL trong nước", '6. TIẾN ĐỘ MUA HÀNG'!$A$4:$AT$4, 0)) = $B25) * (TRIM(INDEX('6. TIẾN ĐỘ MUA HÀNG'!$A$5:$AT644, 0, XMATCH("Tháng", '6. TIẾN ĐỘ MUA HÀNG'!$A$4:$AT$4, 0))) = TRIM(C$6)) * (INDEX('6. TIẾN ĐỘ MUA HÀNG'!$A$5:$AT644, 0, XMATCH("CL NGÀY NCC DỰ KIẾN - NGÀY NHẬN HÀNG", '6. TIẾN ĐỘ MUA HÀNG'!$A$4:$AT$4, 0)) &lt; 0)
)</f>
        <v>0</v>
      </c>
      <c r="E25" s="755">
        <f t="shared" si="29"/>
        <v>0</v>
      </c>
      <c r="F25" s="756">
        <f t="array" ref="F25">SUMPRODUCT((TRIM(INDEX('6. TIẾN ĐỘ MUA HÀNG'!$A$5:$AT644, 0, XMATCH("NCC VTBB/NL trong nước", '6. TIẾN ĐỘ MUA HÀNG'!$A$4:$AT$4, 0))) = TRIM($B25)) * (TRIM(INDEX('6. TIẾN ĐỘ MUA HÀNG'!$A$5:$AT644, 0, XMATCH("Tháng", '6. TIẾN ĐỘ MUA HÀNG'!$A$4:$AT$4, 0))) = TRIM(F$6)) * (INDEX('6. TIẾN ĐỘ MUA HÀNG'!$A$5:$AT644, 0, XMATCH("Mã đơn Misa", '6. TIẾN ĐỘ MUA HÀNG'!$A$4:$AT$4, 0)) &lt;&gt; ""))</f>
        <v>0</v>
      </c>
      <c r="G25" s="756">
        <f t="array" ref="G25">SUMPRODUCT(
  (INDEX('6. TIẾN ĐỘ MUA HÀNG'!$A$5:$AT644, 0, XMATCH("NCC VTBB/NL trong nước", '6. TIẾN ĐỘ MUA HÀNG'!$A$4:$AT$4, 0)) = $B25) * (TRIM(INDEX('6. TIẾN ĐỘ MUA HÀNG'!$A$5:$AT644, 0, XMATCH("Tháng", '6. TIẾN ĐỘ MUA HÀNG'!$A$4:$AT$4, 0))) = TRIM(F$6)) * (INDEX('6. TIẾN ĐỘ MUA HÀNG'!$A$5:$AT644, 0, XMATCH("CL NGÀY NCC DỰ KIẾN - NGÀY NHẬN HÀNG", '6. TIẾN ĐỘ MUA HÀNG'!$A$4:$AT$4, 0)) &lt; 0)
)</f>
        <v>0</v>
      </c>
      <c r="H25" s="757">
        <f t="shared" si="15"/>
        <v>0</v>
      </c>
      <c r="I25" s="754">
        <f t="array" ref="I25">SUMPRODUCT((TRIM(INDEX('6. TIẾN ĐỘ MUA HÀNG'!$A$5:$AT644, 0, XMATCH("NCC VTBB/NL trong nước", '6. TIẾN ĐỘ MUA HÀNG'!$A$4:$AT$4, 0))) = TRIM($B25)) * (TRIM(INDEX('6. TIẾN ĐỘ MUA HÀNG'!$A$5:$AT644, 0, XMATCH("Tháng", '6. TIẾN ĐỘ MUA HÀNG'!$A$4:$AT$4, 0))) = TRIM(I$6)) * (INDEX('6. TIẾN ĐỘ MUA HÀNG'!$A$5:$AT644, 0, XMATCH("Mã đơn Misa", '6. TIẾN ĐỘ MUA HÀNG'!$A$4:$AT$4, 0)) &lt;&gt; ""))</f>
        <v>0</v>
      </c>
      <c r="J25" s="754">
        <f t="array" ref="J25">SUMPRODUCT(
  (INDEX('6. TIẾN ĐỘ MUA HÀNG'!$A$5:$AT644, 0, XMATCH("NCC VTBB/NL trong nước", '6. TIẾN ĐỘ MUA HÀNG'!$A$4:$AT$4, 0)) = $B25) * (TRIM(INDEX('6. TIẾN ĐỘ MUA HÀNG'!$A$5:$AT644, 0, XMATCH("Tháng", '6. TIẾN ĐỘ MUA HÀNG'!$A$4:$AT$4, 0))) = TRIM(I$6)) * (INDEX('6. TIẾN ĐỘ MUA HÀNG'!$A$5:$AT644, 0, XMATCH("CL NGÀY NCC DỰ KIẾN - NGÀY NHẬN HÀNG", '6. TIẾN ĐỘ MUA HÀNG'!$A$4:$AT$4, 0)) &lt; 0)
)</f>
        <v>0</v>
      </c>
      <c r="K25" s="755">
        <f t="shared" si="30"/>
        <v>0</v>
      </c>
      <c r="L25" s="756">
        <f t="array" ref="L25">SUMPRODUCT((TRIM(INDEX('6. TIẾN ĐỘ MUA HÀNG'!$A$5:$AT644, 0, XMATCH("NCC VTBB/NL trong nước", '6. TIẾN ĐỘ MUA HÀNG'!$A$4:$AT$4, 0))) = TRIM($B25)) * (TRIM(INDEX('6. TIẾN ĐỘ MUA HÀNG'!$A$5:$AT644, 0, XMATCH("Tháng", '6. TIẾN ĐỘ MUA HÀNG'!$A$4:$AT$4, 0))) = TRIM(L$6)) * (INDEX('6. TIẾN ĐỘ MUA HÀNG'!$A$5:$AT644, 0, XMATCH("Mã đơn Misa", '6. TIẾN ĐỘ MUA HÀNG'!$A$4:$AT$4, 0)) &lt;&gt; ""))</f>
        <v>0</v>
      </c>
      <c r="M25" s="756">
        <f t="array" ref="M25">SUMPRODUCT(
  (INDEX('6. TIẾN ĐỘ MUA HÀNG'!$A$5:$AT644, 0, XMATCH("NCC VTBB/NL trong nước", '6. TIẾN ĐỘ MUA HÀNG'!$A$4:$AT$4, 0)) = $B25) * (TRIM(INDEX('6. TIẾN ĐỘ MUA HÀNG'!$A$5:$AT644, 0, XMATCH("Tháng", '6. TIẾN ĐỘ MUA HÀNG'!$A$4:$AT$4, 0))) = TRIM(L$6)) * (INDEX('6. TIẾN ĐỘ MUA HÀNG'!$A$5:$AT644, 0, XMATCH("CL NGÀY NCC DỰ KIẾN - NGÀY NHẬN HÀNG", '6. TIẾN ĐỘ MUA HÀNG'!$A$4:$AT$4, 0)) &lt; 0)
)</f>
        <v>0</v>
      </c>
      <c r="N25" s="757">
        <f t="shared" si="17"/>
        <v>0</v>
      </c>
      <c r="O25" s="754">
        <f t="array" ref="O25">SUMPRODUCT((TRIM(INDEX('6. TIẾN ĐỘ MUA HÀNG'!$A$5:$AT644, 0, XMATCH("NCC VTBB/NL trong nước", '6. TIẾN ĐỘ MUA HÀNG'!$A$4:$AT$4, 0))) = TRIM($B25)) * (TRIM(INDEX('6. TIẾN ĐỘ MUA HÀNG'!$A$5:$AT644, 0, XMATCH("Tháng", '6. TIẾN ĐỘ MUA HÀNG'!$A$4:$AT$4, 0))) = TRIM(O$6)) * (INDEX('6. TIẾN ĐỘ MUA HÀNG'!$A$5:$AT644, 0, XMATCH("Mã đơn Misa", '6. TIẾN ĐỘ MUA HÀNG'!$A$4:$AT$4, 0)) &lt;&gt; ""))</f>
        <v>0</v>
      </c>
      <c r="P25" s="754">
        <f t="array" ref="P25">SUMPRODUCT(
  (INDEX('6. TIẾN ĐỘ MUA HÀNG'!$A$5:$AT644, 0, XMATCH("NCC VTBB/NL trong nước", '6. TIẾN ĐỘ MUA HÀNG'!$A$4:$AT$4, 0)) = $B25) * (TRIM(INDEX('6. TIẾN ĐỘ MUA HÀNG'!$A$5:$AT644, 0, XMATCH("Tháng", '6. TIẾN ĐỘ MUA HÀNG'!$A$4:$AT$4, 0))) = TRIM(O$6)) * (INDEX('6. TIẾN ĐỘ MUA HÀNG'!$A$5:$AT644, 0, XMATCH("CL NGÀY NCC DỰ KIẾN - NGÀY NHẬN HÀNG", '6. TIẾN ĐỘ MUA HÀNG'!$A$4:$AT$4, 0)) &lt; 0)
)</f>
        <v>0</v>
      </c>
      <c r="Q25" s="755">
        <f t="shared" si="31"/>
        <v>0</v>
      </c>
      <c r="R25" s="756">
        <f t="array" ref="R25">SUMPRODUCT((TRIM(INDEX('6. TIẾN ĐỘ MUA HÀNG'!$A$5:$AT644, 0, XMATCH("NCC VTBB/NL trong nước", '6. TIẾN ĐỘ MUA HÀNG'!$A$4:$AT$4, 0))) = TRIM($B25)) * (TRIM(INDEX('6. TIẾN ĐỘ MUA HÀNG'!$A$5:$AT644, 0, XMATCH("Tháng", '6. TIẾN ĐỘ MUA HÀNG'!$A$4:$AT$4, 0))) = TRIM(R$6)) * (INDEX('6. TIẾN ĐỘ MUA HÀNG'!$A$5:$AT644, 0, XMATCH("Mã đơn Misa", '6. TIẾN ĐỘ MUA HÀNG'!$A$4:$AT$4, 0)) &lt;&gt; ""))</f>
        <v>0</v>
      </c>
      <c r="S25" s="756">
        <f t="array" ref="S25">SUMPRODUCT(
  (INDEX('6. TIẾN ĐỘ MUA HÀNG'!$A$5:$AT644, 0, XMATCH("NCC VTBB/NL trong nước", '6. TIẾN ĐỘ MUA HÀNG'!$A$4:$AT$4, 0)) = $B25) * (TRIM(INDEX('6. TIẾN ĐỘ MUA HÀNG'!$A$5:$AT644, 0, XMATCH("Tháng", '6. TIẾN ĐỘ MUA HÀNG'!$A$4:$AT$4, 0))) = TRIM(R$6)) * (INDEX('6. TIẾN ĐỘ MUA HÀNG'!$A$5:$AT644, 0, XMATCH("CL NGÀY NCC DỰ KIẾN - NGÀY NHẬN HÀNG", '6. TIẾN ĐỘ MUA HÀNG'!$A$4:$AT$4, 0)) &lt; 0)
)</f>
        <v>0</v>
      </c>
      <c r="T25" s="757">
        <f t="shared" si="19"/>
        <v>0</v>
      </c>
      <c r="U25" s="754">
        <f t="array" ref="U25">SUMPRODUCT((TRIM(INDEX('6. TIẾN ĐỘ MUA HÀNG'!$A$5:$AT644, 0, XMATCH("NCC VTBB/NL trong nước", '6. TIẾN ĐỘ MUA HÀNG'!$A$4:$AT$4, 0))) = TRIM($B25)) * (TRIM(INDEX('6. TIẾN ĐỘ MUA HÀNG'!$A$5:$AT644, 0, XMATCH("Tháng", '6. TIẾN ĐỘ MUA HÀNG'!$A$4:$AT$4, 0))) = TRIM(U$6)) * (INDEX('6. TIẾN ĐỘ MUA HÀNG'!$A$5:$AT644, 0, XMATCH("Mã đơn Misa", '6. TIẾN ĐỘ MUA HÀNG'!$A$4:$AT$4, 0)) &lt;&gt; ""))</f>
        <v>0</v>
      </c>
      <c r="V25" s="754">
        <f t="array" ref="V25">SUMPRODUCT(
  (INDEX('6. TIẾN ĐỘ MUA HÀNG'!$A$5:$AT644, 0, XMATCH("NCC VTBB/NL trong nước", '6. TIẾN ĐỘ MUA HÀNG'!$A$4:$AT$4, 0)) = $B25) * (TRIM(INDEX('6. TIẾN ĐỘ MUA HÀNG'!$A$5:$AT644, 0, XMATCH("Tháng", '6. TIẾN ĐỘ MUA HÀNG'!$A$4:$AT$4, 0))) = TRIM(U$6)) * (INDEX('6. TIẾN ĐỘ MUA HÀNG'!$A$5:$AT644, 0, XMATCH("CL NGÀY NCC DỰ KIẾN - NGÀY NHẬN HÀNG", '6. TIẾN ĐỘ MUA HÀNG'!$A$4:$AT$4, 0)) &lt; 0)
)</f>
        <v>0</v>
      </c>
      <c r="W25" s="755">
        <f t="shared" si="32"/>
        <v>0</v>
      </c>
      <c r="X25" s="756">
        <f t="array" ref="X25">SUMPRODUCT((TRIM(INDEX('6. TIẾN ĐỘ MUA HÀNG'!$A$5:$AT644, 0, XMATCH("NCC VTBB/NL trong nước", '6. TIẾN ĐỘ MUA HÀNG'!$A$4:$AT$4, 0))) = TRIM($B25)) * (TRIM(INDEX('6. TIẾN ĐỘ MUA HÀNG'!$A$5:$AT644, 0, XMATCH("Tháng", '6. TIẾN ĐỘ MUA HÀNG'!$A$4:$AT$4, 0))) = TRIM(X$6)) * (INDEX('6. TIẾN ĐỘ MUA HÀNG'!$A$5:$AT644, 0, XMATCH("Mã đơn Misa", '6. TIẾN ĐỘ MUA HÀNG'!$A$4:$AT$4, 0)) &lt;&gt; ""))</f>
        <v>0</v>
      </c>
      <c r="Y25" s="756">
        <f t="array" ref="Y25">SUMPRODUCT(
  (INDEX('6. TIẾN ĐỘ MUA HÀNG'!$A$5:$AT644, 0, XMATCH("NCC VTBB/NL trong nước", '6. TIẾN ĐỘ MUA HÀNG'!$A$4:$AT$4, 0)) = $B25) * (TRIM(INDEX('6. TIẾN ĐỘ MUA HÀNG'!$A$5:$AT644, 0, XMATCH("Tháng", '6. TIẾN ĐỘ MUA HÀNG'!$A$4:$AT$4, 0))) = TRIM(X$6)) * (INDEX('6. TIẾN ĐỘ MUA HÀNG'!$A$5:$AT644, 0, XMATCH("CL NGÀY NCC DỰ KIẾN - NGÀY NHẬN HÀNG", '6. TIẾN ĐỘ MUA HÀNG'!$A$4:$AT$4, 0)) &lt; 0)
)</f>
        <v>0</v>
      </c>
      <c r="Z25" s="757">
        <f t="shared" si="21"/>
        <v>0</v>
      </c>
      <c r="AA25" s="754">
        <f t="array" ref="AA25">SUMPRODUCT((TRIM(INDEX('6. TIẾN ĐỘ MUA HÀNG'!$A$5:$AT644, 0, XMATCH("NCC VTBB/NL trong nước", '6. TIẾN ĐỘ MUA HÀNG'!$A$4:$AT$4, 0))) = TRIM($B25)) * (TRIM(INDEX('6. TIẾN ĐỘ MUA HÀNG'!$A$5:$AT644, 0, XMATCH("Tháng", '6. TIẾN ĐỘ MUA HÀNG'!$A$4:$AT$4, 0))) = TRIM(AA$6)) * (INDEX('6. TIẾN ĐỘ MUA HÀNG'!$A$5:$AT644, 0, XMATCH("Mã đơn Misa", '6. TIẾN ĐỘ MUA HÀNG'!$A$4:$AT$4, 0)) &lt;&gt; ""))</f>
        <v>0</v>
      </c>
      <c r="AB25" s="754">
        <f t="array" ref="AB25">SUMPRODUCT(
  (INDEX('6. TIẾN ĐỘ MUA HÀNG'!$A$5:$AT644, 0, XMATCH("NCC VTBB/NL trong nước", '6. TIẾN ĐỘ MUA HÀNG'!$A$4:$AT$4, 0)) = $B25) * (TRIM(INDEX('6. TIẾN ĐỘ MUA HÀNG'!$A$5:$AT644, 0, XMATCH("Tháng", '6. TIẾN ĐỘ MUA HÀNG'!$A$4:$AT$4, 0))) = TRIM(AA$6)) * (INDEX('6. TIẾN ĐỘ MUA HÀNG'!$A$5:$AT644, 0, XMATCH("CL NGÀY NCC DỰ KIẾN - NGÀY NHẬN HÀNG", '6. TIẾN ĐỘ MUA HÀNG'!$A$4:$AT$4, 0)) &lt; 0)
)</f>
        <v>0</v>
      </c>
      <c r="AC25" s="755">
        <f t="shared" si="33"/>
        <v>0</v>
      </c>
      <c r="AD25" s="756">
        <f t="array" ref="AD25">SUMPRODUCT((TRIM(INDEX('6. TIẾN ĐỘ MUA HÀNG'!$A$5:$AT644, 0, XMATCH("NCC VTBB/NL trong nước", '6. TIẾN ĐỘ MUA HÀNG'!$A$4:$AT$4, 0))) = TRIM($B25)) * (TRIM(INDEX('6. TIẾN ĐỘ MUA HÀNG'!$A$5:$AT644, 0, XMATCH("Tháng", '6. TIẾN ĐỘ MUA HÀNG'!$A$4:$AT$4, 0))) = TRIM(AD$6)) * (INDEX('6. TIẾN ĐỘ MUA HÀNG'!$A$5:$AT644, 0, XMATCH("Mã đơn Misa", '6. TIẾN ĐỘ MUA HÀNG'!$A$4:$AT$4, 0)) &lt;&gt; ""))</f>
        <v>0</v>
      </c>
      <c r="AE25" s="756">
        <f t="array" ref="AE25">SUMPRODUCT(
  (INDEX('6. TIẾN ĐỘ MUA HÀNG'!$A$5:$AT644, 0, XMATCH("NCC VTBB/NL trong nước", '6. TIẾN ĐỘ MUA HÀNG'!$A$4:$AT$4, 0)) = $B25) * (TRIM(INDEX('6. TIẾN ĐỘ MUA HÀNG'!$A$5:$AT644, 0, XMATCH("Tháng", '6. TIẾN ĐỘ MUA HÀNG'!$A$4:$AT$4, 0))) = TRIM(AD$6)) * (INDEX('6. TIẾN ĐỘ MUA HÀNG'!$A$5:$AT644, 0, XMATCH("CL NGÀY NCC DỰ KIẾN - NGÀY NHẬN HÀNG", '6. TIẾN ĐỘ MUA HÀNG'!$A$4:$AT$4, 0)) &lt; 0)
)</f>
        <v>0</v>
      </c>
      <c r="AF25" s="757">
        <f t="shared" si="23"/>
        <v>0</v>
      </c>
      <c r="AG25" s="754">
        <f t="array" ref="AG25">SUMPRODUCT((TRIM(INDEX('6. TIẾN ĐỘ MUA HÀNG'!$A$5:$AT644, 0, XMATCH("NCC VTBB/NL trong nước", '6. TIẾN ĐỘ MUA HÀNG'!$A$4:$AT$4, 0))) = TRIM($B25)) * (TRIM(INDEX('6. TIẾN ĐỘ MUA HÀNG'!$A$5:$AT644, 0, XMATCH("Tháng", '6. TIẾN ĐỘ MUA HÀNG'!$A$4:$AT$4, 0))) = TRIM(AG$6)) * (INDEX('6. TIẾN ĐỘ MUA HÀNG'!$A$5:$AT644, 0, XMATCH("Mã đơn Misa", '6. TIẾN ĐỘ MUA HÀNG'!$A$4:$AT$4, 0)) &lt;&gt; ""))</f>
        <v>0</v>
      </c>
      <c r="AH25" s="754">
        <f t="array" ref="AH25">SUMPRODUCT(
  (INDEX('6. TIẾN ĐỘ MUA HÀNG'!$A$5:$AT644, 0, XMATCH("NCC VTBB/NL trong nước", '6. TIẾN ĐỘ MUA HÀNG'!$A$4:$AT$4, 0)) = $B25) * (TRIM(INDEX('6. TIẾN ĐỘ MUA HÀNG'!$A$5:$AT644, 0, XMATCH("Tháng", '6. TIẾN ĐỘ MUA HÀNG'!$A$4:$AT$4, 0))) = TRIM(AG$6)) * (INDEX('6. TIẾN ĐỘ MUA HÀNG'!$A$5:$AT644, 0, XMATCH("CL NGÀY NCC DỰ KIẾN - NGÀY NHẬN HÀNG", '6. TIẾN ĐỘ MUA HÀNG'!$A$4:$AT$4, 0)) &lt; 0)
)</f>
        <v>0</v>
      </c>
      <c r="AI25" s="755">
        <f t="shared" si="34"/>
        <v>0</v>
      </c>
      <c r="AJ25" s="756">
        <f t="array" ref="AJ25">SUMPRODUCT((TRIM(INDEX('6. TIẾN ĐỘ MUA HÀNG'!$A$5:$AT644, 0, XMATCH("NCC VTBB/NL trong nước", '6. TIẾN ĐỘ MUA HÀNG'!$A$4:$AT$4, 0))) = TRIM($B25)) * (TRIM(INDEX('6. TIẾN ĐỘ MUA HÀNG'!$A$5:$AT644, 0, XMATCH("Tháng", '6. TIẾN ĐỘ MUA HÀNG'!$A$4:$AT$4, 0))) = TRIM(AJ$6)) * (INDEX('6. TIẾN ĐỘ MUA HÀNG'!$A$5:$AT644, 0, XMATCH("Mã đơn Misa", '6. TIẾN ĐỘ MUA HÀNG'!$A$4:$AT$4, 0)) &lt;&gt; ""))</f>
        <v>0</v>
      </c>
      <c r="AK25" s="756">
        <f t="array" ref="AK25">SUMPRODUCT(
  (INDEX('6. TIẾN ĐỘ MUA HÀNG'!$A$5:$AT644, 0, XMATCH("NCC VTBB/NL trong nước", '6. TIẾN ĐỘ MUA HÀNG'!$A$4:$AT$4, 0)) = $B25) * (TRIM(INDEX('6. TIẾN ĐỘ MUA HÀNG'!$A$5:$AT644, 0, XMATCH("Tháng", '6. TIẾN ĐỘ MUA HÀNG'!$A$4:$AT$4, 0))) = TRIM(AJ$6)) * (INDEX('6. TIẾN ĐỘ MUA HÀNG'!$A$5:$AT644, 0, XMATCH("CL NGÀY NCC DỰ KIẾN - NGÀY NHẬN HÀNG", '6. TIẾN ĐỘ MUA HÀNG'!$A$4:$AT$4, 0)) &lt; 0)
)</f>
        <v>0</v>
      </c>
      <c r="AL25" s="757">
        <f t="shared" si="25"/>
        <v>0</v>
      </c>
      <c r="AM25" s="726">
        <f t="shared" si="27"/>
        <v>0</v>
      </c>
      <c r="AN25" s="726">
        <f t="shared" si="28"/>
        <v>0</v>
      </c>
      <c r="AO25" s="727">
        <f t="shared" si="26"/>
        <v>0</v>
      </c>
    </row>
    <row r="26">
      <c r="A26" s="612">
        <v>18.0</v>
      </c>
      <c r="B26" s="624" t="str">
        <f>IFERROR(__xludf.DUMMYFUNCTION("""COMPUTED_VALUE"""),"Tmg")</f>
        <v>Tmg</v>
      </c>
      <c r="C26" s="754">
        <f t="array" ref="C26">SUMPRODUCT((TRIM(INDEX('6. TIẾN ĐỘ MUA HÀNG'!$A$5:$AT644, 0, XMATCH("NCC VTBB/NL trong nước", '6. TIẾN ĐỘ MUA HÀNG'!$A$4:$AT$4, 0))) = TRIM($B26)) * (TRIM(INDEX('6. TIẾN ĐỘ MUA HÀNG'!$A$5:$AT644, 0, XMATCH("Tháng", '6. TIẾN ĐỘ MUA HÀNG'!$A$4:$AT$4, 0))) = TRIM(C$6)) * (INDEX('6. TIẾN ĐỘ MUA HÀNG'!$A$5:$AT644, 0, XMATCH("Mã đơn Misa", '6. TIẾN ĐỘ MUA HÀNG'!$A$4:$AT$4, 0)) &lt;&gt; ""))</f>
        <v>0</v>
      </c>
      <c r="D26" s="754">
        <f t="array" ref="D26">SUMPRODUCT(
  (INDEX('6. TIẾN ĐỘ MUA HÀNG'!$A$5:$AT644, 0, XMATCH("NCC VTBB/NL trong nước", '6. TIẾN ĐỘ MUA HÀNG'!$A$4:$AT$4, 0)) = $B26) * (TRIM(INDEX('6. TIẾN ĐỘ MUA HÀNG'!$A$5:$AT644, 0, XMATCH("Tháng", '6. TIẾN ĐỘ MUA HÀNG'!$A$4:$AT$4, 0))) = TRIM(C$6)) * (INDEX('6. TIẾN ĐỘ MUA HÀNG'!$A$5:$AT644, 0, XMATCH("CL NGÀY NCC DỰ KIẾN - NGÀY NHẬN HÀNG", '6. TIẾN ĐỘ MUA HÀNG'!$A$4:$AT$4, 0)) &lt; 0)
)</f>
        <v>0</v>
      </c>
      <c r="E26" s="755">
        <f t="shared" si="29"/>
        <v>0</v>
      </c>
      <c r="F26" s="756">
        <f t="array" ref="F26">SUMPRODUCT((TRIM(INDEX('6. TIẾN ĐỘ MUA HÀNG'!$A$5:$AT644, 0, XMATCH("NCC VTBB/NL trong nước", '6. TIẾN ĐỘ MUA HÀNG'!$A$4:$AT$4, 0))) = TRIM($B26)) * (TRIM(INDEX('6. TIẾN ĐỘ MUA HÀNG'!$A$5:$AT644, 0, XMATCH("Tháng", '6. TIẾN ĐỘ MUA HÀNG'!$A$4:$AT$4, 0))) = TRIM(F$6)) * (INDEX('6. TIẾN ĐỘ MUA HÀNG'!$A$5:$AT644, 0, XMATCH("Mã đơn Misa", '6. TIẾN ĐỘ MUA HÀNG'!$A$4:$AT$4, 0)) &lt;&gt; ""))</f>
        <v>0</v>
      </c>
      <c r="G26" s="756">
        <f t="array" ref="G26">SUMPRODUCT(
  (INDEX('6. TIẾN ĐỘ MUA HÀNG'!$A$5:$AT644, 0, XMATCH("NCC VTBB/NL trong nước", '6. TIẾN ĐỘ MUA HÀNG'!$A$4:$AT$4, 0)) = $B26) * (TRIM(INDEX('6. TIẾN ĐỘ MUA HÀNG'!$A$5:$AT644, 0, XMATCH("Tháng", '6. TIẾN ĐỘ MUA HÀNG'!$A$4:$AT$4, 0))) = TRIM(F$6)) * (INDEX('6. TIẾN ĐỘ MUA HÀNG'!$A$5:$AT644, 0, XMATCH("CL NGÀY NCC DỰ KIẾN - NGÀY NHẬN HÀNG", '6. TIẾN ĐỘ MUA HÀNG'!$A$4:$AT$4, 0)) &lt; 0)
)</f>
        <v>0</v>
      </c>
      <c r="H26" s="757">
        <f t="shared" si="15"/>
        <v>0</v>
      </c>
      <c r="I26" s="754">
        <f t="array" ref="I26">SUMPRODUCT((TRIM(INDEX('6. TIẾN ĐỘ MUA HÀNG'!$A$5:$AT644, 0, XMATCH("NCC VTBB/NL trong nước", '6. TIẾN ĐỘ MUA HÀNG'!$A$4:$AT$4, 0))) = TRIM($B26)) * (TRIM(INDEX('6. TIẾN ĐỘ MUA HÀNG'!$A$5:$AT644, 0, XMATCH("Tháng", '6. TIẾN ĐỘ MUA HÀNG'!$A$4:$AT$4, 0))) = TRIM(I$6)) * (INDEX('6. TIẾN ĐỘ MUA HÀNG'!$A$5:$AT644, 0, XMATCH("Mã đơn Misa", '6. TIẾN ĐỘ MUA HÀNG'!$A$4:$AT$4, 0)) &lt;&gt; ""))</f>
        <v>0</v>
      </c>
      <c r="J26" s="754">
        <f t="array" ref="J26">SUMPRODUCT(
  (INDEX('6. TIẾN ĐỘ MUA HÀNG'!$A$5:$AT644, 0, XMATCH("NCC VTBB/NL trong nước", '6. TIẾN ĐỘ MUA HÀNG'!$A$4:$AT$4, 0)) = $B26) * (TRIM(INDEX('6. TIẾN ĐỘ MUA HÀNG'!$A$5:$AT644, 0, XMATCH("Tháng", '6. TIẾN ĐỘ MUA HÀNG'!$A$4:$AT$4, 0))) = TRIM(I$6)) * (INDEX('6. TIẾN ĐỘ MUA HÀNG'!$A$5:$AT644, 0, XMATCH("CL NGÀY NCC DỰ KIẾN - NGÀY NHẬN HÀNG", '6. TIẾN ĐỘ MUA HÀNG'!$A$4:$AT$4, 0)) &lt; 0)
)</f>
        <v>0</v>
      </c>
      <c r="K26" s="755">
        <f t="shared" si="30"/>
        <v>0</v>
      </c>
      <c r="L26" s="756">
        <f t="array" ref="L26">SUMPRODUCT((TRIM(INDEX('6. TIẾN ĐỘ MUA HÀNG'!$A$5:$AT644, 0, XMATCH("NCC VTBB/NL trong nước", '6. TIẾN ĐỘ MUA HÀNG'!$A$4:$AT$4, 0))) = TRIM($B26)) * (TRIM(INDEX('6. TIẾN ĐỘ MUA HÀNG'!$A$5:$AT644, 0, XMATCH("Tháng", '6. TIẾN ĐỘ MUA HÀNG'!$A$4:$AT$4, 0))) = TRIM(L$6)) * (INDEX('6. TIẾN ĐỘ MUA HÀNG'!$A$5:$AT644, 0, XMATCH("Mã đơn Misa", '6. TIẾN ĐỘ MUA HÀNG'!$A$4:$AT$4, 0)) &lt;&gt; ""))</f>
        <v>0</v>
      </c>
      <c r="M26" s="756">
        <f t="array" ref="M26">SUMPRODUCT(
  (INDEX('6. TIẾN ĐỘ MUA HÀNG'!$A$5:$AT644, 0, XMATCH("NCC VTBB/NL trong nước", '6. TIẾN ĐỘ MUA HÀNG'!$A$4:$AT$4, 0)) = $B26) * (TRIM(INDEX('6. TIẾN ĐỘ MUA HÀNG'!$A$5:$AT644, 0, XMATCH("Tháng", '6. TIẾN ĐỘ MUA HÀNG'!$A$4:$AT$4, 0))) = TRIM(L$6)) * (INDEX('6. TIẾN ĐỘ MUA HÀNG'!$A$5:$AT644, 0, XMATCH("CL NGÀY NCC DỰ KIẾN - NGÀY NHẬN HÀNG", '6. TIẾN ĐỘ MUA HÀNG'!$A$4:$AT$4, 0)) &lt; 0)
)</f>
        <v>0</v>
      </c>
      <c r="N26" s="757">
        <f t="shared" si="17"/>
        <v>0</v>
      </c>
      <c r="O26" s="754">
        <f t="array" ref="O26">SUMPRODUCT((TRIM(INDEX('6. TIẾN ĐỘ MUA HÀNG'!$A$5:$AT644, 0, XMATCH("NCC VTBB/NL trong nước", '6. TIẾN ĐỘ MUA HÀNG'!$A$4:$AT$4, 0))) = TRIM($B26)) * (TRIM(INDEX('6. TIẾN ĐỘ MUA HÀNG'!$A$5:$AT644, 0, XMATCH("Tháng", '6. TIẾN ĐỘ MUA HÀNG'!$A$4:$AT$4, 0))) = TRIM(O$6)) * (INDEX('6. TIẾN ĐỘ MUA HÀNG'!$A$5:$AT644, 0, XMATCH("Mã đơn Misa", '6. TIẾN ĐỘ MUA HÀNG'!$A$4:$AT$4, 0)) &lt;&gt; ""))</f>
        <v>0</v>
      </c>
      <c r="P26" s="754">
        <f t="array" ref="P26">SUMPRODUCT(
  (INDEX('6. TIẾN ĐỘ MUA HÀNG'!$A$5:$AT644, 0, XMATCH("NCC VTBB/NL trong nước", '6. TIẾN ĐỘ MUA HÀNG'!$A$4:$AT$4, 0)) = $B26) * (TRIM(INDEX('6. TIẾN ĐỘ MUA HÀNG'!$A$5:$AT644, 0, XMATCH("Tháng", '6. TIẾN ĐỘ MUA HÀNG'!$A$4:$AT$4, 0))) = TRIM(O$6)) * (INDEX('6. TIẾN ĐỘ MUA HÀNG'!$A$5:$AT644, 0, XMATCH("CL NGÀY NCC DỰ KIẾN - NGÀY NHẬN HÀNG", '6. TIẾN ĐỘ MUA HÀNG'!$A$4:$AT$4, 0)) &lt; 0)
)</f>
        <v>0</v>
      </c>
      <c r="Q26" s="755">
        <f t="shared" si="31"/>
        <v>0</v>
      </c>
      <c r="R26" s="756">
        <f t="array" ref="R26">SUMPRODUCT((TRIM(INDEX('6. TIẾN ĐỘ MUA HÀNG'!$A$5:$AT644, 0, XMATCH("NCC VTBB/NL trong nước", '6. TIẾN ĐỘ MUA HÀNG'!$A$4:$AT$4, 0))) = TRIM($B26)) * (TRIM(INDEX('6. TIẾN ĐỘ MUA HÀNG'!$A$5:$AT644, 0, XMATCH("Tháng", '6. TIẾN ĐỘ MUA HÀNG'!$A$4:$AT$4, 0))) = TRIM(R$6)) * (INDEX('6. TIẾN ĐỘ MUA HÀNG'!$A$5:$AT644, 0, XMATCH("Mã đơn Misa", '6. TIẾN ĐỘ MUA HÀNG'!$A$4:$AT$4, 0)) &lt;&gt; ""))</f>
        <v>0</v>
      </c>
      <c r="S26" s="756">
        <f t="array" ref="S26">SUMPRODUCT(
  (INDEX('6. TIẾN ĐỘ MUA HÀNG'!$A$5:$AT644, 0, XMATCH("NCC VTBB/NL trong nước", '6. TIẾN ĐỘ MUA HÀNG'!$A$4:$AT$4, 0)) = $B26) * (TRIM(INDEX('6. TIẾN ĐỘ MUA HÀNG'!$A$5:$AT644, 0, XMATCH("Tháng", '6. TIẾN ĐỘ MUA HÀNG'!$A$4:$AT$4, 0))) = TRIM(R$6)) * (INDEX('6. TIẾN ĐỘ MUA HÀNG'!$A$5:$AT644, 0, XMATCH("CL NGÀY NCC DỰ KIẾN - NGÀY NHẬN HÀNG", '6. TIẾN ĐỘ MUA HÀNG'!$A$4:$AT$4, 0)) &lt; 0)
)</f>
        <v>0</v>
      </c>
      <c r="T26" s="757">
        <f t="shared" si="19"/>
        <v>0</v>
      </c>
      <c r="U26" s="754">
        <f t="array" ref="U26">SUMPRODUCT((TRIM(INDEX('6. TIẾN ĐỘ MUA HÀNG'!$A$5:$AT644, 0, XMATCH("NCC VTBB/NL trong nước", '6. TIẾN ĐỘ MUA HÀNG'!$A$4:$AT$4, 0))) = TRIM($B26)) * (TRIM(INDEX('6. TIẾN ĐỘ MUA HÀNG'!$A$5:$AT644, 0, XMATCH("Tháng", '6. TIẾN ĐỘ MUA HÀNG'!$A$4:$AT$4, 0))) = TRIM(U$6)) * (INDEX('6. TIẾN ĐỘ MUA HÀNG'!$A$5:$AT644, 0, XMATCH("Mã đơn Misa", '6. TIẾN ĐỘ MUA HÀNG'!$A$4:$AT$4, 0)) &lt;&gt; ""))</f>
        <v>0</v>
      </c>
      <c r="V26" s="754">
        <f t="array" ref="V26">SUMPRODUCT(
  (INDEX('6. TIẾN ĐỘ MUA HÀNG'!$A$5:$AT644, 0, XMATCH("NCC VTBB/NL trong nước", '6. TIẾN ĐỘ MUA HÀNG'!$A$4:$AT$4, 0)) = $B26) * (TRIM(INDEX('6. TIẾN ĐỘ MUA HÀNG'!$A$5:$AT644, 0, XMATCH("Tháng", '6. TIẾN ĐỘ MUA HÀNG'!$A$4:$AT$4, 0))) = TRIM(U$6)) * (INDEX('6. TIẾN ĐỘ MUA HÀNG'!$A$5:$AT644, 0, XMATCH("CL NGÀY NCC DỰ KIẾN - NGÀY NHẬN HÀNG", '6. TIẾN ĐỘ MUA HÀNG'!$A$4:$AT$4, 0)) &lt; 0)
)</f>
        <v>0</v>
      </c>
      <c r="W26" s="755">
        <f t="shared" si="32"/>
        <v>0</v>
      </c>
      <c r="X26" s="756">
        <f t="array" ref="X26">SUMPRODUCT((TRIM(INDEX('6. TIẾN ĐỘ MUA HÀNG'!$A$5:$AT644, 0, XMATCH("NCC VTBB/NL trong nước", '6. TIẾN ĐỘ MUA HÀNG'!$A$4:$AT$4, 0))) = TRIM($B26)) * (TRIM(INDEX('6. TIẾN ĐỘ MUA HÀNG'!$A$5:$AT644, 0, XMATCH("Tháng", '6. TIẾN ĐỘ MUA HÀNG'!$A$4:$AT$4, 0))) = TRIM(X$6)) * (INDEX('6. TIẾN ĐỘ MUA HÀNG'!$A$5:$AT644, 0, XMATCH("Mã đơn Misa", '6. TIẾN ĐỘ MUA HÀNG'!$A$4:$AT$4, 0)) &lt;&gt; ""))</f>
        <v>0</v>
      </c>
      <c r="Y26" s="756">
        <f t="array" ref="Y26">SUMPRODUCT(
  (INDEX('6. TIẾN ĐỘ MUA HÀNG'!$A$5:$AT644, 0, XMATCH("NCC VTBB/NL trong nước", '6. TIẾN ĐỘ MUA HÀNG'!$A$4:$AT$4, 0)) = $B26) * (TRIM(INDEX('6. TIẾN ĐỘ MUA HÀNG'!$A$5:$AT644, 0, XMATCH("Tháng", '6. TIẾN ĐỘ MUA HÀNG'!$A$4:$AT$4, 0))) = TRIM(X$6)) * (INDEX('6. TIẾN ĐỘ MUA HÀNG'!$A$5:$AT644, 0, XMATCH("CL NGÀY NCC DỰ KIẾN - NGÀY NHẬN HÀNG", '6. TIẾN ĐỘ MUA HÀNG'!$A$4:$AT$4, 0)) &lt; 0)
)</f>
        <v>0</v>
      </c>
      <c r="Z26" s="757">
        <f t="shared" si="21"/>
        <v>0</v>
      </c>
      <c r="AA26" s="754">
        <f t="array" ref="AA26">SUMPRODUCT((TRIM(INDEX('6. TIẾN ĐỘ MUA HÀNG'!$A$5:$AT644, 0, XMATCH("NCC VTBB/NL trong nước", '6. TIẾN ĐỘ MUA HÀNG'!$A$4:$AT$4, 0))) = TRIM($B26)) * (TRIM(INDEX('6. TIẾN ĐỘ MUA HÀNG'!$A$5:$AT644, 0, XMATCH("Tháng", '6. TIẾN ĐỘ MUA HÀNG'!$A$4:$AT$4, 0))) = TRIM(AA$6)) * (INDEX('6. TIẾN ĐỘ MUA HÀNG'!$A$5:$AT644, 0, XMATCH("Mã đơn Misa", '6. TIẾN ĐỘ MUA HÀNG'!$A$4:$AT$4, 0)) &lt;&gt; ""))</f>
        <v>0</v>
      </c>
      <c r="AB26" s="754">
        <f t="array" ref="AB26">SUMPRODUCT(
  (INDEX('6. TIẾN ĐỘ MUA HÀNG'!$A$5:$AT644, 0, XMATCH("NCC VTBB/NL trong nước", '6. TIẾN ĐỘ MUA HÀNG'!$A$4:$AT$4, 0)) = $B26) * (TRIM(INDEX('6. TIẾN ĐỘ MUA HÀNG'!$A$5:$AT644, 0, XMATCH("Tháng", '6. TIẾN ĐỘ MUA HÀNG'!$A$4:$AT$4, 0))) = TRIM(AA$6)) * (INDEX('6. TIẾN ĐỘ MUA HÀNG'!$A$5:$AT644, 0, XMATCH("CL NGÀY NCC DỰ KIẾN - NGÀY NHẬN HÀNG", '6. TIẾN ĐỘ MUA HÀNG'!$A$4:$AT$4, 0)) &lt; 0)
)</f>
        <v>0</v>
      </c>
      <c r="AC26" s="755">
        <f t="shared" si="33"/>
        <v>0</v>
      </c>
      <c r="AD26" s="756">
        <f t="array" ref="AD26">SUMPRODUCT((TRIM(INDEX('6. TIẾN ĐỘ MUA HÀNG'!$A$5:$AT644, 0, XMATCH("NCC VTBB/NL trong nước", '6. TIẾN ĐỘ MUA HÀNG'!$A$4:$AT$4, 0))) = TRIM($B26)) * (TRIM(INDEX('6. TIẾN ĐỘ MUA HÀNG'!$A$5:$AT644, 0, XMATCH("Tháng", '6. TIẾN ĐỘ MUA HÀNG'!$A$4:$AT$4, 0))) = TRIM(AD$6)) * (INDEX('6. TIẾN ĐỘ MUA HÀNG'!$A$5:$AT644, 0, XMATCH("Mã đơn Misa", '6. TIẾN ĐỘ MUA HÀNG'!$A$4:$AT$4, 0)) &lt;&gt; ""))</f>
        <v>0</v>
      </c>
      <c r="AE26" s="756">
        <f t="array" ref="AE26">SUMPRODUCT(
  (INDEX('6. TIẾN ĐỘ MUA HÀNG'!$A$5:$AT644, 0, XMATCH("NCC VTBB/NL trong nước", '6. TIẾN ĐỘ MUA HÀNG'!$A$4:$AT$4, 0)) = $B26) * (TRIM(INDEX('6. TIẾN ĐỘ MUA HÀNG'!$A$5:$AT644, 0, XMATCH("Tháng", '6. TIẾN ĐỘ MUA HÀNG'!$A$4:$AT$4, 0))) = TRIM(AD$6)) * (INDEX('6. TIẾN ĐỘ MUA HÀNG'!$A$5:$AT644, 0, XMATCH("CL NGÀY NCC DỰ KIẾN - NGÀY NHẬN HÀNG", '6. TIẾN ĐỘ MUA HÀNG'!$A$4:$AT$4, 0)) &lt; 0)
)</f>
        <v>0</v>
      </c>
      <c r="AF26" s="757">
        <f t="shared" si="23"/>
        <v>0</v>
      </c>
      <c r="AG26" s="754">
        <f t="array" ref="AG26">SUMPRODUCT((TRIM(INDEX('6. TIẾN ĐỘ MUA HÀNG'!$A$5:$AT644, 0, XMATCH("NCC VTBB/NL trong nước", '6. TIẾN ĐỘ MUA HÀNG'!$A$4:$AT$4, 0))) = TRIM($B26)) * (TRIM(INDEX('6. TIẾN ĐỘ MUA HÀNG'!$A$5:$AT644, 0, XMATCH("Tháng", '6. TIẾN ĐỘ MUA HÀNG'!$A$4:$AT$4, 0))) = TRIM(AG$6)) * (INDEX('6. TIẾN ĐỘ MUA HÀNG'!$A$5:$AT644, 0, XMATCH("Mã đơn Misa", '6. TIẾN ĐỘ MUA HÀNG'!$A$4:$AT$4, 0)) &lt;&gt; ""))</f>
        <v>0</v>
      </c>
      <c r="AH26" s="754">
        <f t="array" ref="AH26">SUMPRODUCT(
  (INDEX('6. TIẾN ĐỘ MUA HÀNG'!$A$5:$AT644, 0, XMATCH("NCC VTBB/NL trong nước", '6. TIẾN ĐỘ MUA HÀNG'!$A$4:$AT$4, 0)) = $B26) * (TRIM(INDEX('6. TIẾN ĐỘ MUA HÀNG'!$A$5:$AT644, 0, XMATCH("Tháng", '6. TIẾN ĐỘ MUA HÀNG'!$A$4:$AT$4, 0))) = TRIM(AG$6)) * (INDEX('6. TIẾN ĐỘ MUA HÀNG'!$A$5:$AT644, 0, XMATCH("CL NGÀY NCC DỰ KIẾN - NGÀY NHẬN HÀNG", '6. TIẾN ĐỘ MUA HÀNG'!$A$4:$AT$4, 0)) &lt; 0)
)</f>
        <v>0</v>
      </c>
      <c r="AI26" s="755">
        <f t="shared" si="34"/>
        <v>0</v>
      </c>
      <c r="AJ26" s="756">
        <f t="array" ref="AJ26">SUMPRODUCT((TRIM(INDEX('6. TIẾN ĐỘ MUA HÀNG'!$A$5:$AT644, 0, XMATCH("NCC VTBB/NL trong nước", '6. TIẾN ĐỘ MUA HÀNG'!$A$4:$AT$4, 0))) = TRIM($B26)) * (TRIM(INDEX('6. TIẾN ĐỘ MUA HÀNG'!$A$5:$AT644, 0, XMATCH("Tháng", '6. TIẾN ĐỘ MUA HÀNG'!$A$4:$AT$4, 0))) = TRIM(AJ$6)) * (INDEX('6. TIẾN ĐỘ MUA HÀNG'!$A$5:$AT644, 0, XMATCH("Mã đơn Misa", '6. TIẾN ĐỘ MUA HÀNG'!$A$4:$AT$4, 0)) &lt;&gt; ""))</f>
        <v>0</v>
      </c>
      <c r="AK26" s="756">
        <f t="array" ref="AK26">SUMPRODUCT(
  (INDEX('6. TIẾN ĐỘ MUA HÀNG'!$A$5:$AT644, 0, XMATCH("NCC VTBB/NL trong nước", '6. TIẾN ĐỘ MUA HÀNG'!$A$4:$AT$4, 0)) = $B26) * (TRIM(INDEX('6. TIẾN ĐỘ MUA HÀNG'!$A$5:$AT644, 0, XMATCH("Tháng", '6. TIẾN ĐỘ MUA HÀNG'!$A$4:$AT$4, 0))) = TRIM(AJ$6)) * (INDEX('6. TIẾN ĐỘ MUA HÀNG'!$A$5:$AT644, 0, XMATCH("CL NGÀY NCC DỰ KIẾN - NGÀY NHẬN HÀNG", '6. TIẾN ĐỘ MUA HÀNG'!$A$4:$AT$4, 0)) &lt; 0)
)</f>
        <v>0</v>
      </c>
      <c r="AL26" s="757">
        <f t="shared" si="25"/>
        <v>0</v>
      </c>
      <c r="AM26" s="726">
        <f t="shared" si="27"/>
        <v>0</v>
      </c>
      <c r="AN26" s="726">
        <f t="shared" si="28"/>
        <v>0</v>
      </c>
      <c r="AO26" s="727">
        <f t="shared" si="26"/>
        <v>0</v>
      </c>
    </row>
    <row r="27">
      <c r="A27" s="612">
        <v>19.0</v>
      </c>
      <c r="B27" s="624" t="str">
        <f>IFERROR(__xludf.DUMMYFUNCTION("""COMPUTED_VALUE"""),"Đắc Khang")</f>
        <v>Đắc Khang</v>
      </c>
      <c r="C27" s="754">
        <f t="array" ref="C27">SUMPRODUCT((TRIM(INDEX('6. TIẾN ĐỘ MUA HÀNG'!$A$5:$AT644, 0, XMATCH("NCC VTBB/NL trong nước", '6. TIẾN ĐỘ MUA HÀNG'!$A$4:$AT$4, 0))) = TRIM($B27)) * (TRIM(INDEX('6. TIẾN ĐỘ MUA HÀNG'!$A$5:$AT644, 0, XMATCH("Tháng", '6. TIẾN ĐỘ MUA HÀNG'!$A$4:$AT$4, 0))) = TRIM(C$6)) * (INDEX('6. TIẾN ĐỘ MUA HÀNG'!$A$5:$AT644, 0, XMATCH("Mã đơn Misa", '6. TIẾN ĐỘ MUA HÀNG'!$A$4:$AT$4, 0)) &lt;&gt; ""))</f>
        <v>0</v>
      </c>
      <c r="D27" s="754">
        <f t="array" ref="D27">SUMPRODUCT(
  (INDEX('6. TIẾN ĐỘ MUA HÀNG'!$A$5:$AT644, 0, XMATCH("NCC VTBB/NL trong nước", '6. TIẾN ĐỘ MUA HÀNG'!$A$4:$AT$4, 0)) = $B27) * (TRIM(INDEX('6. TIẾN ĐỘ MUA HÀNG'!$A$5:$AT644, 0, XMATCH("Tháng", '6. TIẾN ĐỘ MUA HÀNG'!$A$4:$AT$4, 0))) = TRIM(C$6)) * (INDEX('6. TIẾN ĐỘ MUA HÀNG'!$A$5:$AT644, 0, XMATCH("CL NGÀY NCC DỰ KIẾN - NGÀY NHẬN HÀNG", '6. TIẾN ĐỘ MUA HÀNG'!$A$4:$AT$4, 0)) &lt; 0)
)</f>
        <v>0</v>
      </c>
      <c r="E27" s="755">
        <f t="shared" si="29"/>
        <v>0</v>
      </c>
      <c r="F27" s="756">
        <f t="array" ref="F27">SUMPRODUCT((TRIM(INDEX('6. TIẾN ĐỘ MUA HÀNG'!$A$5:$AT644, 0, XMATCH("NCC VTBB/NL trong nước", '6. TIẾN ĐỘ MUA HÀNG'!$A$4:$AT$4, 0))) = TRIM($B27)) * (TRIM(INDEX('6. TIẾN ĐỘ MUA HÀNG'!$A$5:$AT644, 0, XMATCH("Tháng", '6. TIẾN ĐỘ MUA HÀNG'!$A$4:$AT$4, 0))) = TRIM(F$6)) * (INDEX('6. TIẾN ĐỘ MUA HÀNG'!$A$5:$AT644, 0, XMATCH("Mã đơn Misa", '6. TIẾN ĐỘ MUA HÀNG'!$A$4:$AT$4, 0)) &lt;&gt; ""))</f>
        <v>0</v>
      </c>
      <c r="G27" s="756">
        <f t="array" ref="G27">SUMPRODUCT(
  (INDEX('6. TIẾN ĐỘ MUA HÀNG'!$A$5:$AT644, 0, XMATCH("NCC VTBB/NL trong nước", '6. TIẾN ĐỘ MUA HÀNG'!$A$4:$AT$4, 0)) = $B27) * (TRIM(INDEX('6. TIẾN ĐỘ MUA HÀNG'!$A$5:$AT644, 0, XMATCH("Tháng", '6. TIẾN ĐỘ MUA HÀNG'!$A$4:$AT$4, 0))) = TRIM(F$6)) * (INDEX('6. TIẾN ĐỘ MUA HÀNG'!$A$5:$AT644, 0, XMATCH("CL NGÀY NCC DỰ KIẾN - NGÀY NHẬN HÀNG", '6. TIẾN ĐỘ MUA HÀNG'!$A$4:$AT$4, 0)) &lt; 0)
)</f>
        <v>0</v>
      </c>
      <c r="H27" s="757">
        <f t="shared" si="15"/>
        <v>0</v>
      </c>
      <c r="I27" s="754">
        <f t="array" ref="I27">SUMPRODUCT((TRIM(INDEX('6. TIẾN ĐỘ MUA HÀNG'!$A$5:$AT644, 0, XMATCH("NCC VTBB/NL trong nước", '6. TIẾN ĐỘ MUA HÀNG'!$A$4:$AT$4, 0))) = TRIM($B27)) * (TRIM(INDEX('6. TIẾN ĐỘ MUA HÀNG'!$A$5:$AT644, 0, XMATCH("Tháng", '6. TIẾN ĐỘ MUA HÀNG'!$A$4:$AT$4, 0))) = TRIM(I$6)) * (INDEX('6. TIẾN ĐỘ MUA HÀNG'!$A$5:$AT644, 0, XMATCH("Mã đơn Misa", '6. TIẾN ĐỘ MUA HÀNG'!$A$4:$AT$4, 0)) &lt;&gt; ""))</f>
        <v>0</v>
      </c>
      <c r="J27" s="754">
        <f t="array" ref="J27">SUMPRODUCT(
  (INDEX('6. TIẾN ĐỘ MUA HÀNG'!$A$5:$AT644, 0, XMATCH("NCC VTBB/NL trong nước", '6. TIẾN ĐỘ MUA HÀNG'!$A$4:$AT$4, 0)) = $B27) * (TRIM(INDEX('6. TIẾN ĐỘ MUA HÀNG'!$A$5:$AT644, 0, XMATCH("Tháng", '6. TIẾN ĐỘ MUA HÀNG'!$A$4:$AT$4, 0))) = TRIM(I$6)) * (INDEX('6. TIẾN ĐỘ MUA HÀNG'!$A$5:$AT644, 0, XMATCH("CL NGÀY NCC DỰ KIẾN - NGÀY NHẬN HÀNG", '6. TIẾN ĐỘ MUA HÀNG'!$A$4:$AT$4, 0)) &lt; 0)
)</f>
        <v>0</v>
      </c>
      <c r="K27" s="755">
        <f t="shared" si="30"/>
        <v>0</v>
      </c>
      <c r="L27" s="756">
        <f t="array" ref="L27">SUMPRODUCT((TRIM(INDEX('6. TIẾN ĐỘ MUA HÀNG'!$A$5:$AT644, 0, XMATCH("NCC VTBB/NL trong nước", '6. TIẾN ĐỘ MUA HÀNG'!$A$4:$AT$4, 0))) = TRIM($B27)) * (TRIM(INDEX('6. TIẾN ĐỘ MUA HÀNG'!$A$5:$AT644, 0, XMATCH("Tháng", '6. TIẾN ĐỘ MUA HÀNG'!$A$4:$AT$4, 0))) = TRIM(L$6)) * (INDEX('6. TIẾN ĐỘ MUA HÀNG'!$A$5:$AT644, 0, XMATCH("Mã đơn Misa", '6. TIẾN ĐỘ MUA HÀNG'!$A$4:$AT$4, 0)) &lt;&gt; ""))</f>
        <v>0</v>
      </c>
      <c r="M27" s="756">
        <f t="array" ref="M27">SUMPRODUCT(
  (INDEX('6. TIẾN ĐỘ MUA HÀNG'!$A$5:$AT644, 0, XMATCH("NCC VTBB/NL trong nước", '6. TIẾN ĐỘ MUA HÀNG'!$A$4:$AT$4, 0)) = $B27) * (TRIM(INDEX('6. TIẾN ĐỘ MUA HÀNG'!$A$5:$AT644, 0, XMATCH("Tháng", '6. TIẾN ĐỘ MUA HÀNG'!$A$4:$AT$4, 0))) = TRIM(L$6)) * (INDEX('6. TIẾN ĐỘ MUA HÀNG'!$A$5:$AT644, 0, XMATCH("CL NGÀY NCC DỰ KIẾN - NGÀY NHẬN HÀNG", '6. TIẾN ĐỘ MUA HÀNG'!$A$4:$AT$4, 0)) &lt; 0)
)</f>
        <v>0</v>
      </c>
      <c r="N27" s="757">
        <f t="shared" si="17"/>
        <v>0</v>
      </c>
      <c r="O27" s="754">
        <f t="array" ref="O27">SUMPRODUCT((TRIM(INDEX('6. TIẾN ĐỘ MUA HÀNG'!$A$5:$AT644, 0, XMATCH("NCC VTBB/NL trong nước", '6. TIẾN ĐỘ MUA HÀNG'!$A$4:$AT$4, 0))) = TRIM($B27)) * (TRIM(INDEX('6. TIẾN ĐỘ MUA HÀNG'!$A$5:$AT644, 0, XMATCH("Tháng", '6. TIẾN ĐỘ MUA HÀNG'!$A$4:$AT$4, 0))) = TRIM(O$6)) * (INDEX('6. TIẾN ĐỘ MUA HÀNG'!$A$5:$AT644, 0, XMATCH("Mã đơn Misa", '6. TIẾN ĐỘ MUA HÀNG'!$A$4:$AT$4, 0)) &lt;&gt; ""))</f>
        <v>0</v>
      </c>
      <c r="P27" s="754">
        <f t="array" ref="P27">SUMPRODUCT(
  (INDEX('6. TIẾN ĐỘ MUA HÀNG'!$A$5:$AT644, 0, XMATCH("NCC VTBB/NL trong nước", '6. TIẾN ĐỘ MUA HÀNG'!$A$4:$AT$4, 0)) = $B27) * (TRIM(INDEX('6. TIẾN ĐỘ MUA HÀNG'!$A$5:$AT644, 0, XMATCH("Tháng", '6. TIẾN ĐỘ MUA HÀNG'!$A$4:$AT$4, 0))) = TRIM(O$6)) * (INDEX('6. TIẾN ĐỘ MUA HÀNG'!$A$5:$AT644, 0, XMATCH("CL NGÀY NCC DỰ KIẾN - NGÀY NHẬN HÀNG", '6. TIẾN ĐỘ MUA HÀNG'!$A$4:$AT$4, 0)) &lt; 0)
)</f>
        <v>0</v>
      </c>
      <c r="Q27" s="755">
        <f t="shared" si="31"/>
        <v>0</v>
      </c>
      <c r="R27" s="756">
        <f t="array" ref="R27">SUMPRODUCT((TRIM(INDEX('6. TIẾN ĐỘ MUA HÀNG'!$A$5:$AT644, 0, XMATCH("NCC VTBB/NL trong nước", '6. TIẾN ĐỘ MUA HÀNG'!$A$4:$AT$4, 0))) = TRIM($B27)) * (TRIM(INDEX('6. TIẾN ĐỘ MUA HÀNG'!$A$5:$AT644, 0, XMATCH("Tháng", '6. TIẾN ĐỘ MUA HÀNG'!$A$4:$AT$4, 0))) = TRIM(R$6)) * (INDEX('6. TIẾN ĐỘ MUA HÀNG'!$A$5:$AT644, 0, XMATCH("Mã đơn Misa", '6. TIẾN ĐỘ MUA HÀNG'!$A$4:$AT$4, 0)) &lt;&gt; ""))</f>
        <v>0</v>
      </c>
      <c r="S27" s="756">
        <f t="array" ref="S27">SUMPRODUCT(
  (INDEX('6. TIẾN ĐỘ MUA HÀNG'!$A$5:$AT644, 0, XMATCH("NCC VTBB/NL trong nước", '6. TIẾN ĐỘ MUA HÀNG'!$A$4:$AT$4, 0)) = $B27) * (TRIM(INDEX('6. TIẾN ĐỘ MUA HÀNG'!$A$5:$AT644, 0, XMATCH("Tháng", '6. TIẾN ĐỘ MUA HÀNG'!$A$4:$AT$4, 0))) = TRIM(R$6)) * (INDEX('6. TIẾN ĐỘ MUA HÀNG'!$A$5:$AT644, 0, XMATCH("CL NGÀY NCC DỰ KIẾN - NGÀY NHẬN HÀNG", '6. TIẾN ĐỘ MUA HÀNG'!$A$4:$AT$4, 0)) &lt; 0)
)</f>
        <v>0</v>
      </c>
      <c r="T27" s="757">
        <f t="shared" si="19"/>
        <v>0</v>
      </c>
      <c r="U27" s="754">
        <f t="array" ref="U27">SUMPRODUCT((TRIM(INDEX('6. TIẾN ĐỘ MUA HÀNG'!$A$5:$AT644, 0, XMATCH("NCC VTBB/NL trong nước", '6. TIẾN ĐỘ MUA HÀNG'!$A$4:$AT$4, 0))) = TRIM($B27)) * (TRIM(INDEX('6. TIẾN ĐỘ MUA HÀNG'!$A$5:$AT644, 0, XMATCH("Tháng", '6. TIẾN ĐỘ MUA HÀNG'!$A$4:$AT$4, 0))) = TRIM(U$6)) * (INDEX('6. TIẾN ĐỘ MUA HÀNG'!$A$5:$AT644, 0, XMATCH("Mã đơn Misa", '6. TIẾN ĐỘ MUA HÀNG'!$A$4:$AT$4, 0)) &lt;&gt; ""))</f>
        <v>0</v>
      </c>
      <c r="V27" s="754">
        <f t="array" ref="V27">SUMPRODUCT(
  (INDEX('6. TIẾN ĐỘ MUA HÀNG'!$A$5:$AT644, 0, XMATCH("NCC VTBB/NL trong nước", '6. TIẾN ĐỘ MUA HÀNG'!$A$4:$AT$4, 0)) = $B27) * (TRIM(INDEX('6. TIẾN ĐỘ MUA HÀNG'!$A$5:$AT644, 0, XMATCH("Tháng", '6. TIẾN ĐỘ MUA HÀNG'!$A$4:$AT$4, 0))) = TRIM(U$6)) * (INDEX('6. TIẾN ĐỘ MUA HÀNG'!$A$5:$AT644, 0, XMATCH("CL NGÀY NCC DỰ KIẾN - NGÀY NHẬN HÀNG", '6. TIẾN ĐỘ MUA HÀNG'!$A$4:$AT$4, 0)) &lt; 0)
)</f>
        <v>0</v>
      </c>
      <c r="W27" s="755">
        <f t="shared" si="32"/>
        <v>0</v>
      </c>
      <c r="X27" s="756">
        <f t="array" ref="X27">SUMPRODUCT((TRIM(INDEX('6. TIẾN ĐỘ MUA HÀNG'!$A$5:$AT644, 0, XMATCH("NCC VTBB/NL trong nước", '6. TIẾN ĐỘ MUA HÀNG'!$A$4:$AT$4, 0))) = TRIM($B27)) * (TRIM(INDEX('6. TIẾN ĐỘ MUA HÀNG'!$A$5:$AT644, 0, XMATCH("Tháng", '6. TIẾN ĐỘ MUA HÀNG'!$A$4:$AT$4, 0))) = TRIM(X$6)) * (INDEX('6. TIẾN ĐỘ MUA HÀNG'!$A$5:$AT644, 0, XMATCH("Mã đơn Misa", '6. TIẾN ĐỘ MUA HÀNG'!$A$4:$AT$4, 0)) &lt;&gt; ""))</f>
        <v>0</v>
      </c>
      <c r="Y27" s="756">
        <f t="array" ref="Y27">SUMPRODUCT(
  (INDEX('6. TIẾN ĐỘ MUA HÀNG'!$A$5:$AT644, 0, XMATCH("NCC VTBB/NL trong nước", '6. TIẾN ĐỘ MUA HÀNG'!$A$4:$AT$4, 0)) = $B27) * (TRIM(INDEX('6. TIẾN ĐỘ MUA HÀNG'!$A$5:$AT644, 0, XMATCH("Tháng", '6. TIẾN ĐỘ MUA HÀNG'!$A$4:$AT$4, 0))) = TRIM(X$6)) * (INDEX('6. TIẾN ĐỘ MUA HÀNG'!$A$5:$AT644, 0, XMATCH("CL NGÀY NCC DỰ KIẾN - NGÀY NHẬN HÀNG", '6. TIẾN ĐỘ MUA HÀNG'!$A$4:$AT$4, 0)) &lt; 0)
)</f>
        <v>0</v>
      </c>
      <c r="Z27" s="757">
        <f t="shared" si="21"/>
        <v>0</v>
      </c>
      <c r="AA27" s="754">
        <f t="array" ref="AA27">SUMPRODUCT((TRIM(INDEX('6. TIẾN ĐỘ MUA HÀNG'!$A$5:$AT644, 0, XMATCH("NCC VTBB/NL trong nước", '6. TIẾN ĐỘ MUA HÀNG'!$A$4:$AT$4, 0))) = TRIM($B27)) * (TRIM(INDEX('6. TIẾN ĐỘ MUA HÀNG'!$A$5:$AT644, 0, XMATCH("Tháng", '6. TIẾN ĐỘ MUA HÀNG'!$A$4:$AT$4, 0))) = TRIM(AA$6)) * (INDEX('6. TIẾN ĐỘ MUA HÀNG'!$A$5:$AT644, 0, XMATCH("Mã đơn Misa", '6. TIẾN ĐỘ MUA HÀNG'!$A$4:$AT$4, 0)) &lt;&gt; ""))</f>
        <v>0</v>
      </c>
      <c r="AB27" s="754">
        <f t="array" ref="AB27">SUMPRODUCT(
  (INDEX('6. TIẾN ĐỘ MUA HÀNG'!$A$5:$AT644, 0, XMATCH("NCC VTBB/NL trong nước", '6. TIẾN ĐỘ MUA HÀNG'!$A$4:$AT$4, 0)) = $B27) * (TRIM(INDEX('6. TIẾN ĐỘ MUA HÀNG'!$A$5:$AT644, 0, XMATCH("Tháng", '6. TIẾN ĐỘ MUA HÀNG'!$A$4:$AT$4, 0))) = TRIM(AA$6)) * (INDEX('6. TIẾN ĐỘ MUA HÀNG'!$A$5:$AT644, 0, XMATCH("CL NGÀY NCC DỰ KIẾN - NGÀY NHẬN HÀNG", '6. TIẾN ĐỘ MUA HÀNG'!$A$4:$AT$4, 0)) &lt; 0)
)</f>
        <v>0</v>
      </c>
      <c r="AC27" s="755">
        <f t="shared" si="33"/>
        <v>0</v>
      </c>
      <c r="AD27" s="756">
        <f t="array" ref="AD27">SUMPRODUCT((TRIM(INDEX('6. TIẾN ĐỘ MUA HÀNG'!$A$5:$AT644, 0, XMATCH("NCC VTBB/NL trong nước", '6. TIẾN ĐỘ MUA HÀNG'!$A$4:$AT$4, 0))) = TRIM($B27)) * (TRIM(INDEX('6. TIẾN ĐỘ MUA HÀNG'!$A$5:$AT644, 0, XMATCH("Tháng", '6. TIẾN ĐỘ MUA HÀNG'!$A$4:$AT$4, 0))) = TRIM(AD$6)) * (INDEX('6. TIẾN ĐỘ MUA HÀNG'!$A$5:$AT644, 0, XMATCH("Mã đơn Misa", '6. TIẾN ĐỘ MUA HÀNG'!$A$4:$AT$4, 0)) &lt;&gt; ""))</f>
        <v>0</v>
      </c>
      <c r="AE27" s="756">
        <f t="array" ref="AE27">SUMPRODUCT(
  (INDEX('6. TIẾN ĐỘ MUA HÀNG'!$A$5:$AT644, 0, XMATCH("NCC VTBB/NL trong nước", '6. TIẾN ĐỘ MUA HÀNG'!$A$4:$AT$4, 0)) = $B27) * (TRIM(INDEX('6. TIẾN ĐỘ MUA HÀNG'!$A$5:$AT644, 0, XMATCH("Tháng", '6. TIẾN ĐỘ MUA HÀNG'!$A$4:$AT$4, 0))) = TRIM(AD$6)) * (INDEX('6. TIẾN ĐỘ MUA HÀNG'!$A$5:$AT644, 0, XMATCH("CL NGÀY NCC DỰ KIẾN - NGÀY NHẬN HÀNG", '6. TIẾN ĐỘ MUA HÀNG'!$A$4:$AT$4, 0)) &lt; 0)
)</f>
        <v>0</v>
      </c>
      <c r="AF27" s="757">
        <f t="shared" si="23"/>
        <v>0</v>
      </c>
      <c r="AG27" s="754">
        <f t="array" ref="AG27">SUMPRODUCT((TRIM(INDEX('6. TIẾN ĐỘ MUA HÀNG'!$A$5:$AT644, 0, XMATCH("NCC VTBB/NL trong nước", '6. TIẾN ĐỘ MUA HÀNG'!$A$4:$AT$4, 0))) = TRIM($B27)) * (TRIM(INDEX('6. TIẾN ĐỘ MUA HÀNG'!$A$5:$AT644, 0, XMATCH("Tháng", '6. TIẾN ĐỘ MUA HÀNG'!$A$4:$AT$4, 0))) = TRIM(AG$6)) * (INDEX('6. TIẾN ĐỘ MUA HÀNG'!$A$5:$AT644, 0, XMATCH("Mã đơn Misa", '6. TIẾN ĐỘ MUA HÀNG'!$A$4:$AT$4, 0)) &lt;&gt; ""))</f>
        <v>0</v>
      </c>
      <c r="AH27" s="754">
        <f t="array" ref="AH27">SUMPRODUCT(
  (INDEX('6. TIẾN ĐỘ MUA HÀNG'!$A$5:$AT644, 0, XMATCH("NCC VTBB/NL trong nước", '6. TIẾN ĐỘ MUA HÀNG'!$A$4:$AT$4, 0)) = $B27) * (TRIM(INDEX('6. TIẾN ĐỘ MUA HÀNG'!$A$5:$AT644, 0, XMATCH("Tháng", '6. TIẾN ĐỘ MUA HÀNG'!$A$4:$AT$4, 0))) = TRIM(AG$6)) * (INDEX('6. TIẾN ĐỘ MUA HÀNG'!$A$5:$AT644, 0, XMATCH("CL NGÀY NCC DỰ KIẾN - NGÀY NHẬN HÀNG", '6. TIẾN ĐỘ MUA HÀNG'!$A$4:$AT$4, 0)) &lt; 0)
)</f>
        <v>0</v>
      </c>
      <c r="AI27" s="755">
        <f t="shared" si="34"/>
        <v>0</v>
      </c>
      <c r="AJ27" s="756">
        <f t="array" ref="AJ27">SUMPRODUCT((TRIM(INDEX('6. TIẾN ĐỘ MUA HÀNG'!$A$5:$AT644, 0, XMATCH("NCC VTBB/NL trong nước", '6. TIẾN ĐỘ MUA HÀNG'!$A$4:$AT$4, 0))) = TRIM($B27)) * (TRIM(INDEX('6. TIẾN ĐỘ MUA HÀNG'!$A$5:$AT644, 0, XMATCH("Tháng", '6. TIẾN ĐỘ MUA HÀNG'!$A$4:$AT$4, 0))) = TRIM(AJ$6)) * (INDEX('6. TIẾN ĐỘ MUA HÀNG'!$A$5:$AT644, 0, XMATCH("Mã đơn Misa", '6. TIẾN ĐỘ MUA HÀNG'!$A$4:$AT$4, 0)) &lt;&gt; ""))</f>
        <v>0</v>
      </c>
      <c r="AK27" s="756">
        <f t="array" ref="AK27">SUMPRODUCT(
  (INDEX('6. TIẾN ĐỘ MUA HÀNG'!$A$5:$AT644, 0, XMATCH("NCC VTBB/NL trong nước", '6. TIẾN ĐỘ MUA HÀNG'!$A$4:$AT$4, 0)) = $B27) * (TRIM(INDEX('6. TIẾN ĐỘ MUA HÀNG'!$A$5:$AT644, 0, XMATCH("Tháng", '6. TIẾN ĐỘ MUA HÀNG'!$A$4:$AT$4, 0))) = TRIM(AJ$6)) * (INDEX('6. TIẾN ĐỘ MUA HÀNG'!$A$5:$AT644, 0, XMATCH("CL NGÀY NCC DỰ KIẾN - NGÀY NHẬN HÀNG", '6. TIẾN ĐỘ MUA HÀNG'!$A$4:$AT$4, 0)) &lt; 0)
)</f>
        <v>0</v>
      </c>
      <c r="AL27" s="757">
        <f t="shared" si="25"/>
        <v>0</v>
      </c>
      <c r="AM27" s="726">
        <f t="shared" si="27"/>
        <v>0</v>
      </c>
      <c r="AN27" s="726">
        <f t="shared" si="28"/>
        <v>0</v>
      </c>
      <c r="AO27" s="727">
        <f t="shared" si="26"/>
        <v>0</v>
      </c>
    </row>
    <row r="28">
      <c r="A28" s="612">
        <v>20.0</v>
      </c>
      <c r="B28" s="624" t="str">
        <f>IFERROR(__xludf.DUMMYFUNCTION("""COMPUTED_VALUE"""),"Phát Đại Lộc")</f>
        <v>Phát Đại Lộc</v>
      </c>
      <c r="C28" s="754">
        <f t="array" ref="C28">SUMPRODUCT((TRIM(INDEX('6. TIẾN ĐỘ MUA HÀNG'!$A$5:$AT644, 0, XMATCH("NCC VTBB/NL trong nước", '6. TIẾN ĐỘ MUA HÀNG'!$A$4:$AT$4, 0))) = TRIM($B28)) * (TRIM(INDEX('6. TIẾN ĐỘ MUA HÀNG'!$A$5:$AT644, 0, XMATCH("Tháng", '6. TIẾN ĐỘ MUA HÀNG'!$A$4:$AT$4, 0))) = TRIM(C$6)) * (INDEX('6. TIẾN ĐỘ MUA HÀNG'!$A$5:$AT644, 0, XMATCH("Mã đơn Misa", '6. TIẾN ĐỘ MUA HÀNG'!$A$4:$AT$4, 0)) &lt;&gt; ""))</f>
        <v>0</v>
      </c>
      <c r="D28" s="754">
        <f t="array" ref="D28">SUMPRODUCT(
  (INDEX('6. TIẾN ĐỘ MUA HÀNG'!$A$5:$AT644, 0, XMATCH("NCC VTBB/NL trong nước", '6. TIẾN ĐỘ MUA HÀNG'!$A$4:$AT$4, 0)) = $B28) * (TRIM(INDEX('6. TIẾN ĐỘ MUA HÀNG'!$A$5:$AT644, 0, XMATCH("Tháng", '6. TIẾN ĐỘ MUA HÀNG'!$A$4:$AT$4, 0))) = TRIM(C$6)) * (INDEX('6. TIẾN ĐỘ MUA HÀNG'!$A$5:$AT644, 0, XMATCH("CL NGÀY NCC DỰ KIẾN - NGÀY NHẬN HÀNG", '6. TIẾN ĐỘ MUA HÀNG'!$A$4:$AT$4, 0)) &lt; 0)
)</f>
        <v>0</v>
      </c>
      <c r="E28" s="755">
        <f t="shared" si="29"/>
        <v>0</v>
      </c>
      <c r="F28" s="756">
        <f t="array" ref="F28">SUMPRODUCT((TRIM(INDEX('6. TIẾN ĐỘ MUA HÀNG'!$A$5:$AT644, 0, XMATCH("NCC VTBB/NL trong nước", '6. TIẾN ĐỘ MUA HÀNG'!$A$4:$AT$4, 0))) = TRIM($B28)) * (TRIM(INDEX('6. TIẾN ĐỘ MUA HÀNG'!$A$5:$AT644, 0, XMATCH("Tháng", '6. TIẾN ĐỘ MUA HÀNG'!$A$4:$AT$4, 0))) = TRIM(F$6)) * (INDEX('6. TIẾN ĐỘ MUA HÀNG'!$A$5:$AT644, 0, XMATCH("Mã đơn Misa", '6. TIẾN ĐỘ MUA HÀNG'!$A$4:$AT$4, 0)) &lt;&gt; ""))</f>
        <v>0</v>
      </c>
      <c r="G28" s="756">
        <f t="array" ref="G28">SUMPRODUCT(
  (INDEX('6. TIẾN ĐỘ MUA HÀNG'!$A$5:$AT644, 0, XMATCH("NCC VTBB/NL trong nước", '6. TIẾN ĐỘ MUA HÀNG'!$A$4:$AT$4, 0)) = $B28) * (TRIM(INDEX('6. TIẾN ĐỘ MUA HÀNG'!$A$5:$AT644, 0, XMATCH("Tháng", '6. TIẾN ĐỘ MUA HÀNG'!$A$4:$AT$4, 0))) = TRIM(F$6)) * (INDEX('6. TIẾN ĐỘ MUA HÀNG'!$A$5:$AT644, 0, XMATCH("CL NGÀY NCC DỰ KIẾN - NGÀY NHẬN HÀNG", '6. TIẾN ĐỘ MUA HÀNG'!$A$4:$AT$4, 0)) &lt; 0)
)</f>
        <v>0</v>
      </c>
      <c r="H28" s="757">
        <f t="shared" si="15"/>
        <v>0</v>
      </c>
      <c r="I28" s="754">
        <f t="array" ref="I28">SUMPRODUCT((TRIM(INDEX('6. TIẾN ĐỘ MUA HÀNG'!$A$5:$AT644, 0, XMATCH("NCC VTBB/NL trong nước", '6. TIẾN ĐỘ MUA HÀNG'!$A$4:$AT$4, 0))) = TRIM($B28)) * (TRIM(INDEX('6. TIẾN ĐỘ MUA HÀNG'!$A$5:$AT644, 0, XMATCH("Tháng", '6. TIẾN ĐỘ MUA HÀNG'!$A$4:$AT$4, 0))) = TRIM(I$6)) * (INDEX('6. TIẾN ĐỘ MUA HÀNG'!$A$5:$AT644, 0, XMATCH("Mã đơn Misa", '6. TIẾN ĐỘ MUA HÀNG'!$A$4:$AT$4, 0)) &lt;&gt; ""))</f>
        <v>0</v>
      </c>
      <c r="J28" s="754">
        <f t="array" ref="J28">SUMPRODUCT(
  (INDEX('6. TIẾN ĐỘ MUA HÀNG'!$A$5:$AT644, 0, XMATCH("NCC VTBB/NL trong nước", '6. TIẾN ĐỘ MUA HÀNG'!$A$4:$AT$4, 0)) = $B28) * (TRIM(INDEX('6. TIẾN ĐỘ MUA HÀNG'!$A$5:$AT644, 0, XMATCH("Tháng", '6. TIẾN ĐỘ MUA HÀNG'!$A$4:$AT$4, 0))) = TRIM(I$6)) * (INDEX('6. TIẾN ĐỘ MUA HÀNG'!$A$5:$AT644, 0, XMATCH("CL NGÀY NCC DỰ KIẾN - NGÀY NHẬN HÀNG", '6. TIẾN ĐỘ MUA HÀNG'!$A$4:$AT$4, 0)) &lt; 0)
)</f>
        <v>0</v>
      </c>
      <c r="K28" s="755">
        <f t="shared" si="30"/>
        <v>0</v>
      </c>
      <c r="L28" s="756">
        <f t="array" ref="L28">SUMPRODUCT((TRIM(INDEX('6. TIẾN ĐỘ MUA HÀNG'!$A$5:$AT644, 0, XMATCH("NCC VTBB/NL trong nước", '6. TIẾN ĐỘ MUA HÀNG'!$A$4:$AT$4, 0))) = TRIM($B28)) * (TRIM(INDEX('6. TIẾN ĐỘ MUA HÀNG'!$A$5:$AT644, 0, XMATCH("Tháng", '6. TIẾN ĐỘ MUA HÀNG'!$A$4:$AT$4, 0))) = TRIM(L$6)) * (INDEX('6. TIẾN ĐỘ MUA HÀNG'!$A$5:$AT644, 0, XMATCH("Mã đơn Misa", '6. TIẾN ĐỘ MUA HÀNG'!$A$4:$AT$4, 0)) &lt;&gt; ""))</f>
        <v>0</v>
      </c>
      <c r="M28" s="756">
        <f t="array" ref="M28">SUMPRODUCT(
  (INDEX('6. TIẾN ĐỘ MUA HÀNG'!$A$5:$AT644, 0, XMATCH("NCC VTBB/NL trong nước", '6. TIẾN ĐỘ MUA HÀNG'!$A$4:$AT$4, 0)) = $B28) * (TRIM(INDEX('6. TIẾN ĐỘ MUA HÀNG'!$A$5:$AT644, 0, XMATCH("Tháng", '6. TIẾN ĐỘ MUA HÀNG'!$A$4:$AT$4, 0))) = TRIM(L$6)) * (INDEX('6. TIẾN ĐỘ MUA HÀNG'!$A$5:$AT644, 0, XMATCH("CL NGÀY NCC DỰ KIẾN - NGÀY NHẬN HÀNG", '6. TIẾN ĐỘ MUA HÀNG'!$A$4:$AT$4, 0)) &lt; 0)
)</f>
        <v>0</v>
      </c>
      <c r="N28" s="757">
        <f t="shared" si="17"/>
        <v>0</v>
      </c>
      <c r="O28" s="754">
        <f t="array" ref="O28">SUMPRODUCT((TRIM(INDEX('6. TIẾN ĐỘ MUA HÀNG'!$A$5:$AT644, 0, XMATCH("NCC VTBB/NL trong nước", '6. TIẾN ĐỘ MUA HÀNG'!$A$4:$AT$4, 0))) = TRIM($B28)) * (TRIM(INDEX('6. TIẾN ĐỘ MUA HÀNG'!$A$5:$AT644, 0, XMATCH("Tháng", '6. TIẾN ĐỘ MUA HÀNG'!$A$4:$AT$4, 0))) = TRIM(O$6)) * (INDEX('6. TIẾN ĐỘ MUA HÀNG'!$A$5:$AT644, 0, XMATCH("Mã đơn Misa", '6. TIẾN ĐỘ MUA HÀNG'!$A$4:$AT$4, 0)) &lt;&gt; ""))</f>
        <v>0</v>
      </c>
      <c r="P28" s="754">
        <f t="array" ref="P28">SUMPRODUCT(
  (INDEX('6. TIẾN ĐỘ MUA HÀNG'!$A$5:$AT644, 0, XMATCH("NCC VTBB/NL trong nước", '6. TIẾN ĐỘ MUA HÀNG'!$A$4:$AT$4, 0)) = $B28) * (TRIM(INDEX('6. TIẾN ĐỘ MUA HÀNG'!$A$5:$AT644, 0, XMATCH("Tháng", '6. TIẾN ĐỘ MUA HÀNG'!$A$4:$AT$4, 0))) = TRIM(O$6)) * (INDEX('6. TIẾN ĐỘ MUA HÀNG'!$A$5:$AT644, 0, XMATCH("CL NGÀY NCC DỰ KIẾN - NGÀY NHẬN HÀNG", '6. TIẾN ĐỘ MUA HÀNG'!$A$4:$AT$4, 0)) &lt; 0)
)</f>
        <v>0</v>
      </c>
      <c r="Q28" s="755">
        <f t="shared" si="31"/>
        <v>0</v>
      </c>
      <c r="R28" s="756">
        <f t="array" ref="R28">SUMPRODUCT((TRIM(INDEX('6. TIẾN ĐỘ MUA HÀNG'!$A$5:$AT644, 0, XMATCH("NCC VTBB/NL trong nước", '6. TIẾN ĐỘ MUA HÀNG'!$A$4:$AT$4, 0))) = TRIM($B28)) * (TRIM(INDEX('6. TIẾN ĐỘ MUA HÀNG'!$A$5:$AT644, 0, XMATCH("Tháng", '6. TIẾN ĐỘ MUA HÀNG'!$A$4:$AT$4, 0))) = TRIM(R$6)) * (INDEX('6. TIẾN ĐỘ MUA HÀNG'!$A$5:$AT644, 0, XMATCH("Mã đơn Misa", '6. TIẾN ĐỘ MUA HÀNG'!$A$4:$AT$4, 0)) &lt;&gt; ""))</f>
        <v>0</v>
      </c>
      <c r="S28" s="756">
        <f t="array" ref="S28">SUMPRODUCT(
  (INDEX('6. TIẾN ĐỘ MUA HÀNG'!$A$5:$AT644, 0, XMATCH("NCC VTBB/NL trong nước", '6. TIẾN ĐỘ MUA HÀNG'!$A$4:$AT$4, 0)) = $B28) * (TRIM(INDEX('6. TIẾN ĐỘ MUA HÀNG'!$A$5:$AT644, 0, XMATCH("Tháng", '6. TIẾN ĐỘ MUA HÀNG'!$A$4:$AT$4, 0))) = TRIM(R$6)) * (INDEX('6. TIẾN ĐỘ MUA HÀNG'!$A$5:$AT644, 0, XMATCH("CL NGÀY NCC DỰ KIẾN - NGÀY NHẬN HÀNG", '6. TIẾN ĐỘ MUA HÀNG'!$A$4:$AT$4, 0)) &lt; 0)
)</f>
        <v>0</v>
      </c>
      <c r="T28" s="757">
        <f t="shared" si="19"/>
        <v>0</v>
      </c>
      <c r="U28" s="754">
        <f t="array" ref="U28">SUMPRODUCT((TRIM(INDEX('6. TIẾN ĐỘ MUA HÀNG'!$A$5:$AT644, 0, XMATCH("NCC VTBB/NL trong nước", '6. TIẾN ĐỘ MUA HÀNG'!$A$4:$AT$4, 0))) = TRIM($B28)) * (TRIM(INDEX('6. TIẾN ĐỘ MUA HÀNG'!$A$5:$AT644, 0, XMATCH("Tháng", '6. TIẾN ĐỘ MUA HÀNG'!$A$4:$AT$4, 0))) = TRIM(U$6)) * (INDEX('6. TIẾN ĐỘ MUA HÀNG'!$A$5:$AT644, 0, XMATCH("Mã đơn Misa", '6. TIẾN ĐỘ MUA HÀNG'!$A$4:$AT$4, 0)) &lt;&gt; ""))</f>
        <v>0</v>
      </c>
      <c r="V28" s="754">
        <f t="array" ref="V28">SUMPRODUCT(
  (INDEX('6. TIẾN ĐỘ MUA HÀNG'!$A$5:$AT644, 0, XMATCH("NCC VTBB/NL trong nước", '6. TIẾN ĐỘ MUA HÀNG'!$A$4:$AT$4, 0)) = $B28) * (TRIM(INDEX('6. TIẾN ĐỘ MUA HÀNG'!$A$5:$AT644, 0, XMATCH("Tháng", '6. TIẾN ĐỘ MUA HÀNG'!$A$4:$AT$4, 0))) = TRIM(U$6)) * (INDEX('6. TIẾN ĐỘ MUA HÀNG'!$A$5:$AT644, 0, XMATCH("CL NGÀY NCC DỰ KIẾN - NGÀY NHẬN HÀNG", '6. TIẾN ĐỘ MUA HÀNG'!$A$4:$AT$4, 0)) &lt; 0)
)</f>
        <v>0</v>
      </c>
      <c r="W28" s="755">
        <f t="shared" si="32"/>
        <v>0</v>
      </c>
      <c r="X28" s="756">
        <f t="array" ref="X28">SUMPRODUCT((TRIM(INDEX('6. TIẾN ĐỘ MUA HÀNG'!$A$5:$AT644, 0, XMATCH("NCC VTBB/NL trong nước", '6. TIẾN ĐỘ MUA HÀNG'!$A$4:$AT$4, 0))) = TRIM($B28)) * (TRIM(INDEX('6. TIẾN ĐỘ MUA HÀNG'!$A$5:$AT644, 0, XMATCH("Tháng", '6. TIẾN ĐỘ MUA HÀNG'!$A$4:$AT$4, 0))) = TRIM(X$6)) * (INDEX('6. TIẾN ĐỘ MUA HÀNG'!$A$5:$AT644, 0, XMATCH("Mã đơn Misa", '6. TIẾN ĐỘ MUA HÀNG'!$A$4:$AT$4, 0)) &lt;&gt; ""))</f>
        <v>0</v>
      </c>
      <c r="Y28" s="756">
        <f t="array" ref="Y28">SUMPRODUCT(
  (INDEX('6. TIẾN ĐỘ MUA HÀNG'!$A$5:$AT644, 0, XMATCH("NCC VTBB/NL trong nước", '6. TIẾN ĐỘ MUA HÀNG'!$A$4:$AT$4, 0)) = $B28) * (TRIM(INDEX('6. TIẾN ĐỘ MUA HÀNG'!$A$5:$AT644, 0, XMATCH("Tháng", '6. TIẾN ĐỘ MUA HÀNG'!$A$4:$AT$4, 0))) = TRIM(X$6)) * (INDEX('6. TIẾN ĐỘ MUA HÀNG'!$A$5:$AT644, 0, XMATCH("CL NGÀY NCC DỰ KIẾN - NGÀY NHẬN HÀNG", '6. TIẾN ĐỘ MUA HÀNG'!$A$4:$AT$4, 0)) &lt; 0)
)</f>
        <v>0</v>
      </c>
      <c r="Z28" s="757">
        <f t="shared" si="21"/>
        <v>0</v>
      </c>
      <c r="AA28" s="754">
        <f t="array" ref="AA28">SUMPRODUCT((TRIM(INDEX('6. TIẾN ĐỘ MUA HÀNG'!$A$5:$AT644, 0, XMATCH("NCC VTBB/NL trong nước", '6. TIẾN ĐỘ MUA HÀNG'!$A$4:$AT$4, 0))) = TRIM($B28)) * (TRIM(INDEX('6. TIẾN ĐỘ MUA HÀNG'!$A$5:$AT644, 0, XMATCH("Tháng", '6. TIẾN ĐỘ MUA HÀNG'!$A$4:$AT$4, 0))) = TRIM(AA$6)) * (INDEX('6. TIẾN ĐỘ MUA HÀNG'!$A$5:$AT644, 0, XMATCH("Mã đơn Misa", '6. TIẾN ĐỘ MUA HÀNG'!$A$4:$AT$4, 0)) &lt;&gt; ""))</f>
        <v>0</v>
      </c>
      <c r="AB28" s="754">
        <f t="array" ref="AB28">SUMPRODUCT(
  (INDEX('6. TIẾN ĐỘ MUA HÀNG'!$A$5:$AT644, 0, XMATCH("NCC VTBB/NL trong nước", '6. TIẾN ĐỘ MUA HÀNG'!$A$4:$AT$4, 0)) = $B28) * (TRIM(INDEX('6. TIẾN ĐỘ MUA HÀNG'!$A$5:$AT644, 0, XMATCH("Tháng", '6. TIẾN ĐỘ MUA HÀNG'!$A$4:$AT$4, 0))) = TRIM(AA$6)) * (INDEX('6. TIẾN ĐỘ MUA HÀNG'!$A$5:$AT644, 0, XMATCH("CL NGÀY NCC DỰ KIẾN - NGÀY NHẬN HÀNG", '6. TIẾN ĐỘ MUA HÀNG'!$A$4:$AT$4, 0)) &lt; 0)
)</f>
        <v>0</v>
      </c>
      <c r="AC28" s="755">
        <f t="shared" si="33"/>
        <v>0</v>
      </c>
      <c r="AD28" s="756">
        <f t="array" ref="AD28">SUMPRODUCT((TRIM(INDEX('6. TIẾN ĐỘ MUA HÀNG'!$A$5:$AT644, 0, XMATCH("NCC VTBB/NL trong nước", '6. TIẾN ĐỘ MUA HÀNG'!$A$4:$AT$4, 0))) = TRIM($B28)) * (TRIM(INDEX('6. TIẾN ĐỘ MUA HÀNG'!$A$5:$AT644, 0, XMATCH("Tháng", '6. TIẾN ĐỘ MUA HÀNG'!$A$4:$AT$4, 0))) = TRIM(AD$6)) * (INDEX('6. TIẾN ĐỘ MUA HÀNG'!$A$5:$AT644, 0, XMATCH("Mã đơn Misa", '6. TIẾN ĐỘ MUA HÀNG'!$A$4:$AT$4, 0)) &lt;&gt; ""))</f>
        <v>0</v>
      </c>
      <c r="AE28" s="756">
        <f t="array" ref="AE28">SUMPRODUCT(
  (INDEX('6. TIẾN ĐỘ MUA HÀNG'!$A$5:$AT644, 0, XMATCH("NCC VTBB/NL trong nước", '6. TIẾN ĐỘ MUA HÀNG'!$A$4:$AT$4, 0)) = $B28) * (TRIM(INDEX('6. TIẾN ĐỘ MUA HÀNG'!$A$5:$AT644, 0, XMATCH("Tháng", '6. TIẾN ĐỘ MUA HÀNG'!$A$4:$AT$4, 0))) = TRIM(AD$6)) * (INDEX('6. TIẾN ĐỘ MUA HÀNG'!$A$5:$AT644, 0, XMATCH("CL NGÀY NCC DỰ KIẾN - NGÀY NHẬN HÀNG", '6. TIẾN ĐỘ MUA HÀNG'!$A$4:$AT$4, 0)) &lt; 0)
)</f>
        <v>0</v>
      </c>
      <c r="AF28" s="757">
        <f t="shared" si="23"/>
        <v>0</v>
      </c>
      <c r="AG28" s="754">
        <f t="array" ref="AG28">SUMPRODUCT((TRIM(INDEX('6. TIẾN ĐỘ MUA HÀNG'!$A$5:$AT644, 0, XMATCH("NCC VTBB/NL trong nước", '6. TIẾN ĐỘ MUA HÀNG'!$A$4:$AT$4, 0))) = TRIM($B28)) * (TRIM(INDEX('6. TIẾN ĐỘ MUA HÀNG'!$A$5:$AT644, 0, XMATCH("Tháng", '6. TIẾN ĐỘ MUA HÀNG'!$A$4:$AT$4, 0))) = TRIM(AG$6)) * (INDEX('6. TIẾN ĐỘ MUA HÀNG'!$A$5:$AT644, 0, XMATCH("Mã đơn Misa", '6. TIẾN ĐỘ MUA HÀNG'!$A$4:$AT$4, 0)) &lt;&gt; ""))</f>
        <v>0</v>
      </c>
      <c r="AH28" s="754">
        <f t="array" ref="AH28">SUMPRODUCT(
  (INDEX('6. TIẾN ĐỘ MUA HÀNG'!$A$5:$AT644, 0, XMATCH("NCC VTBB/NL trong nước", '6. TIẾN ĐỘ MUA HÀNG'!$A$4:$AT$4, 0)) = $B28) * (TRIM(INDEX('6. TIẾN ĐỘ MUA HÀNG'!$A$5:$AT644, 0, XMATCH("Tháng", '6. TIẾN ĐỘ MUA HÀNG'!$A$4:$AT$4, 0))) = TRIM(AG$6)) * (INDEX('6. TIẾN ĐỘ MUA HÀNG'!$A$5:$AT644, 0, XMATCH("CL NGÀY NCC DỰ KIẾN - NGÀY NHẬN HÀNG", '6. TIẾN ĐỘ MUA HÀNG'!$A$4:$AT$4, 0)) &lt; 0)
)</f>
        <v>0</v>
      </c>
      <c r="AI28" s="755">
        <f t="shared" si="34"/>
        <v>0</v>
      </c>
      <c r="AJ28" s="756">
        <f t="array" ref="AJ28">SUMPRODUCT((TRIM(INDEX('6. TIẾN ĐỘ MUA HÀNG'!$A$5:$AT644, 0, XMATCH("NCC VTBB/NL trong nước", '6. TIẾN ĐỘ MUA HÀNG'!$A$4:$AT$4, 0))) = TRIM($B28)) * (TRIM(INDEX('6. TIẾN ĐỘ MUA HÀNG'!$A$5:$AT644, 0, XMATCH("Tháng", '6. TIẾN ĐỘ MUA HÀNG'!$A$4:$AT$4, 0))) = TRIM(AJ$6)) * (INDEX('6. TIẾN ĐỘ MUA HÀNG'!$A$5:$AT644, 0, XMATCH("Mã đơn Misa", '6. TIẾN ĐỘ MUA HÀNG'!$A$4:$AT$4, 0)) &lt;&gt; ""))</f>
        <v>0</v>
      </c>
      <c r="AK28" s="756">
        <f t="array" ref="AK28">SUMPRODUCT(
  (INDEX('6. TIẾN ĐỘ MUA HÀNG'!$A$5:$AT644, 0, XMATCH("NCC VTBB/NL trong nước", '6. TIẾN ĐỘ MUA HÀNG'!$A$4:$AT$4, 0)) = $B28) * (TRIM(INDEX('6. TIẾN ĐỘ MUA HÀNG'!$A$5:$AT644, 0, XMATCH("Tháng", '6. TIẾN ĐỘ MUA HÀNG'!$A$4:$AT$4, 0))) = TRIM(AJ$6)) * (INDEX('6. TIẾN ĐỘ MUA HÀNG'!$A$5:$AT644, 0, XMATCH("CL NGÀY NCC DỰ KIẾN - NGÀY NHẬN HÀNG", '6. TIẾN ĐỘ MUA HÀNG'!$A$4:$AT$4, 0)) &lt; 0)
)</f>
        <v>0</v>
      </c>
      <c r="AL28" s="757">
        <f t="shared" si="25"/>
        <v>0</v>
      </c>
      <c r="AM28" s="726">
        <f t="shared" si="27"/>
        <v>0</v>
      </c>
      <c r="AN28" s="726">
        <f t="shared" si="28"/>
        <v>0</v>
      </c>
      <c r="AO28" s="727">
        <f t="shared" si="26"/>
        <v>0</v>
      </c>
    </row>
    <row r="29">
      <c r="A29" s="612">
        <v>21.0</v>
      </c>
      <c r="B29" s="624" t="str">
        <f>IFERROR(__xludf.DUMMYFUNCTION("""COMPUTED_VALUE"""),"Hiền Phan")</f>
        <v>Hiền Phan</v>
      </c>
      <c r="C29" s="754">
        <f t="array" ref="C29">SUMPRODUCT((TRIM(INDEX('6. TIẾN ĐỘ MUA HÀNG'!$A$5:$AT644, 0, XMATCH("NCC VTBB/NL trong nước", '6. TIẾN ĐỘ MUA HÀNG'!$A$4:$AT$4, 0))) = TRIM($B29)) * (TRIM(INDEX('6. TIẾN ĐỘ MUA HÀNG'!$A$5:$AT644, 0, XMATCH("Tháng", '6. TIẾN ĐỘ MUA HÀNG'!$A$4:$AT$4, 0))) = TRIM(C$6)) * (INDEX('6. TIẾN ĐỘ MUA HÀNG'!$A$5:$AT644, 0, XMATCH("Mã đơn Misa", '6. TIẾN ĐỘ MUA HÀNG'!$A$4:$AT$4, 0)) &lt;&gt; ""))</f>
        <v>0</v>
      </c>
      <c r="D29" s="754">
        <f t="array" ref="D29">SUMPRODUCT(
  (INDEX('6. TIẾN ĐỘ MUA HÀNG'!$A$5:$AT644, 0, XMATCH("NCC VTBB/NL trong nước", '6. TIẾN ĐỘ MUA HÀNG'!$A$4:$AT$4, 0)) = $B29) * (TRIM(INDEX('6. TIẾN ĐỘ MUA HÀNG'!$A$5:$AT644, 0, XMATCH("Tháng", '6. TIẾN ĐỘ MUA HÀNG'!$A$4:$AT$4, 0))) = TRIM(C$6)) * (INDEX('6. TIẾN ĐỘ MUA HÀNG'!$A$5:$AT644, 0, XMATCH("CL NGÀY NCC DỰ KIẾN - NGÀY NHẬN HÀNG", '6. TIẾN ĐỘ MUA HÀNG'!$A$4:$AT$4, 0)) &lt; 0)
)</f>
        <v>0</v>
      </c>
      <c r="E29" s="755">
        <f t="shared" si="29"/>
        <v>0</v>
      </c>
      <c r="F29" s="756">
        <f t="array" ref="F29">SUMPRODUCT((TRIM(INDEX('6. TIẾN ĐỘ MUA HÀNG'!$A$5:$AT644, 0, XMATCH("NCC VTBB/NL trong nước", '6. TIẾN ĐỘ MUA HÀNG'!$A$4:$AT$4, 0))) = TRIM($B29)) * (TRIM(INDEX('6. TIẾN ĐỘ MUA HÀNG'!$A$5:$AT644, 0, XMATCH("Tháng", '6. TIẾN ĐỘ MUA HÀNG'!$A$4:$AT$4, 0))) = TRIM(F$6)) * (INDEX('6. TIẾN ĐỘ MUA HÀNG'!$A$5:$AT644, 0, XMATCH("Mã đơn Misa", '6. TIẾN ĐỘ MUA HÀNG'!$A$4:$AT$4, 0)) &lt;&gt; ""))</f>
        <v>0</v>
      </c>
      <c r="G29" s="756">
        <f t="array" ref="G29">SUMPRODUCT(
  (INDEX('6. TIẾN ĐỘ MUA HÀNG'!$A$5:$AT644, 0, XMATCH("NCC VTBB/NL trong nước", '6. TIẾN ĐỘ MUA HÀNG'!$A$4:$AT$4, 0)) = $B29) * (TRIM(INDEX('6. TIẾN ĐỘ MUA HÀNG'!$A$5:$AT644, 0, XMATCH("Tháng", '6. TIẾN ĐỘ MUA HÀNG'!$A$4:$AT$4, 0))) = TRIM(F$6)) * (INDEX('6. TIẾN ĐỘ MUA HÀNG'!$A$5:$AT644, 0, XMATCH("CL NGÀY NCC DỰ KIẾN - NGÀY NHẬN HÀNG", '6. TIẾN ĐỘ MUA HÀNG'!$A$4:$AT$4, 0)) &lt; 0)
)</f>
        <v>0</v>
      </c>
      <c r="H29" s="757">
        <f t="shared" si="15"/>
        <v>0</v>
      </c>
      <c r="I29" s="754">
        <f t="array" ref="I29">SUMPRODUCT((TRIM(INDEX('6. TIẾN ĐỘ MUA HÀNG'!$A$5:$AT644, 0, XMATCH("NCC VTBB/NL trong nước", '6. TIẾN ĐỘ MUA HÀNG'!$A$4:$AT$4, 0))) = TRIM($B29)) * (TRIM(INDEX('6. TIẾN ĐỘ MUA HÀNG'!$A$5:$AT644, 0, XMATCH("Tháng", '6. TIẾN ĐỘ MUA HÀNG'!$A$4:$AT$4, 0))) = TRIM(I$6)) * (INDEX('6. TIẾN ĐỘ MUA HÀNG'!$A$5:$AT644, 0, XMATCH("Mã đơn Misa", '6. TIẾN ĐỘ MUA HÀNG'!$A$4:$AT$4, 0)) &lt;&gt; ""))</f>
        <v>0</v>
      </c>
      <c r="J29" s="754">
        <f t="array" ref="J29">SUMPRODUCT(
  (INDEX('6. TIẾN ĐỘ MUA HÀNG'!$A$5:$AT644, 0, XMATCH("NCC VTBB/NL trong nước", '6. TIẾN ĐỘ MUA HÀNG'!$A$4:$AT$4, 0)) = $B29) * (TRIM(INDEX('6. TIẾN ĐỘ MUA HÀNG'!$A$5:$AT644, 0, XMATCH("Tháng", '6. TIẾN ĐỘ MUA HÀNG'!$A$4:$AT$4, 0))) = TRIM(I$6)) * (INDEX('6. TIẾN ĐỘ MUA HÀNG'!$A$5:$AT644, 0, XMATCH("CL NGÀY NCC DỰ KIẾN - NGÀY NHẬN HÀNG", '6. TIẾN ĐỘ MUA HÀNG'!$A$4:$AT$4, 0)) &lt; 0)
)</f>
        <v>0</v>
      </c>
      <c r="K29" s="755">
        <f t="shared" si="30"/>
        <v>0</v>
      </c>
      <c r="L29" s="756">
        <f t="array" ref="L29">SUMPRODUCT((TRIM(INDEX('6. TIẾN ĐỘ MUA HÀNG'!$A$5:$AT644, 0, XMATCH("NCC VTBB/NL trong nước", '6. TIẾN ĐỘ MUA HÀNG'!$A$4:$AT$4, 0))) = TRIM($B29)) * (TRIM(INDEX('6. TIẾN ĐỘ MUA HÀNG'!$A$5:$AT644, 0, XMATCH("Tháng", '6. TIẾN ĐỘ MUA HÀNG'!$A$4:$AT$4, 0))) = TRIM(L$6)) * (INDEX('6. TIẾN ĐỘ MUA HÀNG'!$A$5:$AT644, 0, XMATCH("Mã đơn Misa", '6. TIẾN ĐỘ MUA HÀNG'!$A$4:$AT$4, 0)) &lt;&gt; ""))</f>
        <v>0</v>
      </c>
      <c r="M29" s="756">
        <f t="array" ref="M29">SUMPRODUCT(
  (INDEX('6. TIẾN ĐỘ MUA HÀNG'!$A$5:$AT644, 0, XMATCH("NCC VTBB/NL trong nước", '6. TIẾN ĐỘ MUA HÀNG'!$A$4:$AT$4, 0)) = $B29) * (TRIM(INDEX('6. TIẾN ĐỘ MUA HÀNG'!$A$5:$AT644, 0, XMATCH("Tháng", '6. TIẾN ĐỘ MUA HÀNG'!$A$4:$AT$4, 0))) = TRIM(L$6)) * (INDEX('6. TIẾN ĐỘ MUA HÀNG'!$A$5:$AT644, 0, XMATCH("CL NGÀY NCC DỰ KIẾN - NGÀY NHẬN HÀNG", '6. TIẾN ĐỘ MUA HÀNG'!$A$4:$AT$4, 0)) &lt; 0)
)</f>
        <v>0</v>
      </c>
      <c r="N29" s="757">
        <f t="shared" si="17"/>
        <v>0</v>
      </c>
      <c r="O29" s="754">
        <f t="array" ref="O29">SUMPRODUCT((TRIM(INDEX('6. TIẾN ĐỘ MUA HÀNG'!$A$5:$AT644, 0, XMATCH("NCC VTBB/NL trong nước", '6. TIẾN ĐỘ MUA HÀNG'!$A$4:$AT$4, 0))) = TRIM($B29)) * (TRIM(INDEX('6. TIẾN ĐỘ MUA HÀNG'!$A$5:$AT644, 0, XMATCH("Tháng", '6. TIẾN ĐỘ MUA HÀNG'!$A$4:$AT$4, 0))) = TRIM(O$6)) * (INDEX('6. TIẾN ĐỘ MUA HÀNG'!$A$5:$AT644, 0, XMATCH("Mã đơn Misa", '6. TIẾN ĐỘ MUA HÀNG'!$A$4:$AT$4, 0)) &lt;&gt; ""))</f>
        <v>0</v>
      </c>
      <c r="P29" s="754">
        <f t="array" ref="P29">SUMPRODUCT(
  (INDEX('6. TIẾN ĐỘ MUA HÀNG'!$A$5:$AT644, 0, XMATCH("NCC VTBB/NL trong nước", '6. TIẾN ĐỘ MUA HÀNG'!$A$4:$AT$4, 0)) = $B29) * (TRIM(INDEX('6. TIẾN ĐỘ MUA HÀNG'!$A$5:$AT644, 0, XMATCH("Tháng", '6. TIẾN ĐỘ MUA HÀNG'!$A$4:$AT$4, 0))) = TRIM(O$6)) * (INDEX('6. TIẾN ĐỘ MUA HÀNG'!$A$5:$AT644, 0, XMATCH("CL NGÀY NCC DỰ KIẾN - NGÀY NHẬN HÀNG", '6. TIẾN ĐỘ MUA HÀNG'!$A$4:$AT$4, 0)) &lt; 0)
)</f>
        <v>0</v>
      </c>
      <c r="Q29" s="755">
        <f t="shared" si="31"/>
        <v>0</v>
      </c>
      <c r="R29" s="756">
        <f t="array" ref="R29">SUMPRODUCT((TRIM(INDEX('6. TIẾN ĐỘ MUA HÀNG'!$A$5:$AT644, 0, XMATCH("NCC VTBB/NL trong nước", '6. TIẾN ĐỘ MUA HÀNG'!$A$4:$AT$4, 0))) = TRIM($B29)) * (TRIM(INDEX('6. TIẾN ĐỘ MUA HÀNG'!$A$5:$AT644, 0, XMATCH("Tháng", '6. TIẾN ĐỘ MUA HÀNG'!$A$4:$AT$4, 0))) = TRIM(R$6)) * (INDEX('6. TIẾN ĐỘ MUA HÀNG'!$A$5:$AT644, 0, XMATCH("Mã đơn Misa", '6. TIẾN ĐỘ MUA HÀNG'!$A$4:$AT$4, 0)) &lt;&gt; ""))</f>
        <v>0</v>
      </c>
      <c r="S29" s="756">
        <f t="array" ref="S29">SUMPRODUCT(
  (INDEX('6. TIẾN ĐỘ MUA HÀNG'!$A$5:$AT644, 0, XMATCH("NCC VTBB/NL trong nước", '6. TIẾN ĐỘ MUA HÀNG'!$A$4:$AT$4, 0)) = $B29) * (TRIM(INDEX('6. TIẾN ĐỘ MUA HÀNG'!$A$5:$AT644, 0, XMATCH("Tháng", '6. TIẾN ĐỘ MUA HÀNG'!$A$4:$AT$4, 0))) = TRIM(R$6)) * (INDEX('6. TIẾN ĐỘ MUA HÀNG'!$A$5:$AT644, 0, XMATCH("CL NGÀY NCC DỰ KIẾN - NGÀY NHẬN HÀNG", '6. TIẾN ĐỘ MUA HÀNG'!$A$4:$AT$4, 0)) &lt; 0)
)</f>
        <v>0</v>
      </c>
      <c r="T29" s="757">
        <f t="shared" si="19"/>
        <v>0</v>
      </c>
      <c r="U29" s="754">
        <f t="array" ref="U29">SUMPRODUCT((TRIM(INDEX('6. TIẾN ĐỘ MUA HÀNG'!$A$5:$AT644, 0, XMATCH("NCC VTBB/NL trong nước", '6. TIẾN ĐỘ MUA HÀNG'!$A$4:$AT$4, 0))) = TRIM($B29)) * (TRIM(INDEX('6. TIẾN ĐỘ MUA HÀNG'!$A$5:$AT644, 0, XMATCH("Tháng", '6. TIẾN ĐỘ MUA HÀNG'!$A$4:$AT$4, 0))) = TRIM(U$6)) * (INDEX('6. TIẾN ĐỘ MUA HÀNG'!$A$5:$AT644, 0, XMATCH("Mã đơn Misa", '6. TIẾN ĐỘ MUA HÀNG'!$A$4:$AT$4, 0)) &lt;&gt; ""))</f>
        <v>0</v>
      </c>
      <c r="V29" s="754">
        <f t="array" ref="V29">SUMPRODUCT(
  (INDEX('6. TIẾN ĐỘ MUA HÀNG'!$A$5:$AT644, 0, XMATCH("NCC VTBB/NL trong nước", '6. TIẾN ĐỘ MUA HÀNG'!$A$4:$AT$4, 0)) = $B29) * (TRIM(INDEX('6. TIẾN ĐỘ MUA HÀNG'!$A$5:$AT644, 0, XMATCH("Tháng", '6. TIẾN ĐỘ MUA HÀNG'!$A$4:$AT$4, 0))) = TRIM(U$6)) * (INDEX('6. TIẾN ĐỘ MUA HÀNG'!$A$5:$AT644, 0, XMATCH("CL NGÀY NCC DỰ KIẾN - NGÀY NHẬN HÀNG", '6. TIẾN ĐỘ MUA HÀNG'!$A$4:$AT$4, 0)) &lt; 0)
)</f>
        <v>0</v>
      </c>
      <c r="W29" s="755">
        <f t="shared" si="32"/>
        <v>0</v>
      </c>
      <c r="X29" s="756">
        <f t="array" ref="X29">SUMPRODUCT((TRIM(INDEX('6. TIẾN ĐỘ MUA HÀNG'!$A$5:$AT644, 0, XMATCH("NCC VTBB/NL trong nước", '6. TIẾN ĐỘ MUA HÀNG'!$A$4:$AT$4, 0))) = TRIM($B29)) * (TRIM(INDEX('6. TIẾN ĐỘ MUA HÀNG'!$A$5:$AT644, 0, XMATCH("Tháng", '6. TIẾN ĐỘ MUA HÀNG'!$A$4:$AT$4, 0))) = TRIM(X$6)) * (INDEX('6. TIẾN ĐỘ MUA HÀNG'!$A$5:$AT644, 0, XMATCH("Mã đơn Misa", '6. TIẾN ĐỘ MUA HÀNG'!$A$4:$AT$4, 0)) &lt;&gt; ""))</f>
        <v>0</v>
      </c>
      <c r="Y29" s="756">
        <f t="array" ref="Y29">SUMPRODUCT(
  (INDEX('6. TIẾN ĐỘ MUA HÀNG'!$A$5:$AT644, 0, XMATCH("NCC VTBB/NL trong nước", '6. TIẾN ĐỘ MUA HÀNG'!$A$4:$AT$4, 0)) = $B29) * (TRIM(INDEX('6. TIẾN ĐỘ MUA HÀNG'!$A$5:$AT644, 0, XMATCH("Tháng", '6. TIẾN ĐỘ MUA HÀNG'!$A$4:$AT$4, 0))) = TRIM(X$6)) * (INDEX('6. TIẾN ĐỘ MUA HÀNG'!$A$5:$AT644, 0, XMATCH("CL NGÀY NCC DỰ KIẾN - NGÀY NHẬN HÀNG", '6. TIẾN ĐỘ MUA HÀNG'!$A$4:$AT$4, 0)) &lt; 0)
)</f>
        <v>0</v>
      </c>
      <c r="Z29" s="757">
        <f t="shared" si="21"/>
        <v>0</v>
      </c>
      <c r="AA29" s="754">
        <f t="array" ref="AA29">SUMPRODUCT((TRIM(INDEX('6. TIẾN ĐỘ MUA HÀNG'!$A$5:$AT644, 0, XMATCH("NCC VTBB/NL trong nước", '6. TIẾN ĐỘ MUA HÀNG'!$A$4:$AT$4, 0))) = TRIM($B29)) * (TRIM(INDEX('6. TIẾN ĐỘ MUA HÀNG'!$A$5:$AT644, 0, XMATCH("Tháng", '6. TIẾN ĐỘ MUA HÀNG'!$A$4:$AT$4, 0))) = TRIM(AA$6)) * (INDEX('6. TIẾN ĐỘ MUA HÀNG'!$A$5:$AT644, 0, XMATCH("Mã đơn Misa", '6. TIẾN ĐỘ MUA HÀNG'!$A$4:$AT$4, 0)) &lt;&gt; ""))</f>
        <v>0</v>
      </c>
      <c r="AB29" s="754">
        <f t="array" ref="AB29">SUMPRODUCT(
  (INDEX('6. TIẾN ĐỘ MUA HÀNG'!$A$5:$AT644, 0, XMATCH("NCC VTBB/NL trong nước", '6. TIẾN ĐỘ MUA HÀNG'!$A$4:$AT$4, 0)) = $B29) * (TRIM(INDEX('6. TIẾN ĐỘ MUA HÀNG'!$A$5:$AT644, 0, XMATCH("Tháng", '6. TIẾN ĐỘ MUA HÀNG'!$A$4:$AT$4, 0))) = TRIM(AA$6)) * (INDEX('6. TIẾN ĐỘ MUA HÀNG'!$A$5:$AT644, 0, XMATCH("CL NGÀY NCC DỰ KIẾN - NGÀY NHẬN HÀNG", '6. TIẾN ĐỘ MUA HÀNG'!$A$4:$AT$4, 0)) &lt; 0)
)</f>
        <v>0</v>
      </c>
      <c r="AC29" s="755">
        <f t="shared" si="33"/>
        <v>0</v>
      </c>
      <c r="AD29" s="756">
        <f t="array" ref="AD29">SUMPRODUCT((TRIM(INDEX('6. TIẾN ĐỘ MUA HÀNG'!$A$5:$AT644, 0, XMATCH("NCC VTBB/NL trong nước", '6. TIẾN ĐỘ MUA HÀNG'!$A$4:$AT$4, 0))) = TRIM($B29)) * (TRIM(INDEX('6. TIẾN ĐỘ MUA HÀNG'!$A$5:$AT644, 0, XMATCH("Tháng", '6. TIẾN ĐỘ MUA HÀNG'!$A$4:$AT$4, 0))) = TRIM(AD$6)) * (INDEX('6. TIẾN ĐỘ MUA HÀNG'!$A$5:$AT644, 0, XMATCH("Mã đơn Misa", '6. TIẾN ĐỘ MUA HÀNG'!$A$4:$AT$4, 0)) &lt;&gt; ""))</f>
        <v>0</v>
      </c>
      <c r="AE29" s="756">
        <f t="array" ref="AE29">SUMPRODUCT(
  (INDEX('6. TIẾN ĐỘ MUA HÀNG'!$A$5:$AT644, 0, XMATCH("NCC VTBB/NL trong nước", '6. TIẾN ĐỘ MUA HÀNG'!$A$4:$AT$4, 0)) = $B29) * (TRIM(INDEX('6. TIẾN ĐỘ MUA HÀNG'!$A$5:$AT644, 0, XMATCH("Tháng", '6. TIẾN ĐỘ MUA HÀNG'!$A$4:$AT$4, 0))) = TRIM(AD$6)) * (INDEX('6. TIẾN ĐỘ MUA HÀNG'!$A$5:$AT644, 0, XMATCH("CL NGÀY NCC DỰ KIẾN - NGÀY NHẬN HÀNG", '6. TIẾN ĐỘ MUA HÀNG'!$A$4:$AT$4, 0)) &lt; 0)
)</f>
        <v>0</v>
      </c>
      <c r="AF29" s="757">
        <f t="shared" si="23"/>
        <v>0</v>
      </c>
      <c r="AG29" s="754">
        <f t="array" ref="AG29">SUMPRODUCT((TRIM(INDEX('6. TIẾN ĐỘ MUA HÀNG'!$A$5:$AT644, 0, XMATCH("NCC VTBB/NL trong nước", '6. TIẾN ĐỘ MUA HÀNG'!$A$4:$AT$4, 0))) = TRIM($B29)) * (TRIM(INDEX('6. TIẾN ĐỘ MUA HÀNG'!$A$5:$AT644, 0, XMATCH("Tháng", '6. TIẾN ĐỘ MUA HÀNG'!$A$4:$AT$4, 0))) = TRIM(AG$6)) * (INDEX('6. TIẾN ĐỘ MUA HÀNG'!$A$5:$AT644, 0, XMATCH("Mã đơn Misa", '6. TIẾN ĐỘ MUA HÀNG'!$A$4:$AT$4, 0)) &lt;&gt; ""))</f>
        <v>0</v>
      </c>
      <c r="AH29" s="754">
        <f t="array" ref="AH29">SUMPRODUCT(
  (INDEX('6. TIẾN ĐỘ MUA HÀNG'!$A$5:$AT644, 0, XMATCH("NCC VTBB/NL trong nước", '6. TIẾN ĐỘ MUA HÀNG'!$A$4:$AT$4, 0)) = $B29) * (TRIM(INDEX('6. TIẾN ĐỘ MUA HÀNG'!$A$5:$AT644, 0, XMATCH("Tháng", '6. TIẾN ĐỘ MUA HÀNG'!$A$4:$AT$4, 0))) = TRIM(AG$6)) * (INDEX('6. TIẾN ĐỘ MUA HÀNG'!$A$5:$AT644, 0, XMATCH("CL NGÀY NCC DỰ KIẾN - NGÀY NHẬN HÀNG", '6. TIẾN ĐỘ MUA HÀNG'!$A$4:$AT$4, 0)) &lt; 0)
)</f>
        <v>0</v>
      </c>
      <c r="AI29" s="755">
        <f t="shared" si="34"/>
        <v>0</v>
      </c>
      <c r="AJ29" s="756">
        <f t="array" ref="AJ29">SUMPRODUCT((TRIM(INDEX('6. TIẾN ĐỘ MUA HÀNG'!$A$5:$AT644, 0, XMATCH("NCC VTBB/NL trong nước", '6. TIẾN ĐỘ MUA HÀNG'!$A$4:$AT$4, 0))) = TRIM($B29)) * (TRIM(INDEX('6. TIẾN ĐỘ MUA HÀNG'!$A$5:$AT644, 0, XMATCH("Tháng", '6. TIẾN ĐỘ MUA HÀNG'!$A$4:$AT$4, 0))) = TRIM(AJ$6)) * (INDEX('6. TIẾN ĐỘ MUA HÀNG'!$A$5:$AT644, 0, XMATCH("Mã đơn Misa", '6. TIẾN ĐỘ MUA HÀNG'!$A$4:$AT$4, 0)) &lt;&gt; ""))</f>
        <v>0</v>
      </c>
      <c r="AK29" s="756">
        <f t="array" ref="AK29">SUMPRODUCT(
  (INDEX('6. TIẾN ĐỘ MUA HÀNG'!$A$5:$AT644, 0, XMATCH("NCC VTBB/NL trong nước", '6. TIẾN ĐỘ MUA HÀNG'!$A$4:$AT$4, 0)) = $B29) * (TRIM(INDEX('6. TIẾN ĐỘ MUA HÀNG'!$A$5:$AT644, 0, XMATCH("Tháng", '6. TIẾN ĐỘ MUA HÀNG'!$A$4:$AT$4, 0))) = TRIM(AJ$6)) * (INDEX('6. TIẾN ĐỘ MUA HÀNG'!$A$5:$AT644, 0, XMATCH("CL NGÀY NCC DỰ KIẾN - NGÀY NHẬN HÀNG", '6. TIẾN ĐỘ MUA HÀNG'!$A$4:$AT$4, 0)) &lt; 0)
)</f>
        <v>0</v>
      </c>
      <c r="AL29" s="757">
        <f t="shared" si="25"/>
        <v>0</v>
      </c>
      <c r="AM29" s="726">
        <f t="shared" si="27"/>
        <v>0</v>
      </c>
      <c r="AN29" s="726">
        <f t="shared" si="28"/>
        <v>0</v>
      </c>
      <c r="AO29" s="727">
        <f t="shared" si="26"/>
        <v>0</v>
      </c>
    </row>
    <row r="30">
      <c r="A30" s="612">
        <v>22.0</v>
      </c>
      <c r="B30" s="624" t="str">
        <f>IFERROR(__xludf.DUMMYFUNCTION("""COMPUTED_VALUE"""),"Vạn An")</f>
        <v>Vạn An</v>
      </c>
      <c r="C30" s="754">
        <f t="array" ref="C30">SUMPRODUCT((TRIM(INDEX('6. TIẾN ĐỘ MUA HÀNG'!$A$5:$AT644, 0, XMATCH("NCC VTBB/NL trong nước", '6. TIẾN ĐỘ MUA HÀNG'!$A$4:$AT$4, 0))) = TRIM($B30)) * (TRIM(INDEX('6. TIẾN ĐỘ MUA HÀNG'!$A$5:$AT644, 0, XMATCH("Tháng", '6. TIẾN ĐỘ MUA HÀNG'!$A$4:$AT$4, 0))) = TRIM(C$6)) * (INDEX('6. TIẾN ĐỘ MUA HÀNG'!$A$5:$AT644, 0, XMATCH("Mã đơn Misa", '6. TIẾN ĐỘ MUA HÀNG'!$A$4:$AT$4, 0)) &lt;&gt; ""))</f>
        <v>0</v>
      </c>
      <c r="D30" s="754">
        <f t="array" ref="D30">SUMPRODUCT(
  (INDEX('6. TIẾN ĐỘ MUA HÀNG'!$A$5:$AT644, 0, XMATCH("NCC VTBB/NL trong nước", '6. TIẾN ĐỘ MUA HÀNG'!$A$4:$AT$4, 0)) = $B30) * (TRIM(INDEX('6. TIẾN ĐỘ MUA HÀNG'!$A$5:$AT644, 0, XMATCH("Tháng", '6. TIẾN ĐỘ MUA HÀNG'!$A$4:$AT$4, 0))) = TRIM(C$6)) * (INDEX('6. TIẾN ĐỘ MUA HÀNG'!$A$5:$AT644, 0, XMATCH("CL NGÀY NCC DỰ KIẾN - NGÀY NHẬN HÀNG", '6. TIẾN ĐỘ MUA HÀNG'!$A$4:$AT$4, 0)) &lt; 0)
)</f>
        <v>0</v>
      </c>
      <c r="E30" s="755">
        <f t="shared" si="29"/>
        <v>0</v>
      </c>
      <c r="F30" s="756">
        <f t="array" ref="F30">SUMPRODUCT((TRIM(INDEX('6. TIẾN ĐỘ MUA HÀNG'!$A$5:$AT644, 0, XMATCH("NCC VTBB/NL trong nước", '6. TIẾN ĐỘ MUA HÀNG'!$A$4:$AT$4, 0))) = TRIM($B30)) * (TRIM(INDEX('6. TIẾN ĐỘ MUA HÀNG'!$A$5:$AT644, 0, XMATCH("Tháng", '6. TIẾN ĐỘ MUA HÀNG'!$A$4:$AT$4, 0))) = TRIM(F$6)) * (INDEX('6. TIẾN ĐỘ MUA HÀNG'!$A$5:$AT644, 0, XMATCH("Mã đơn Misa", '6. TIẾN ĐỘ MUA HÀNG'!$A$4:$AT$4, 0)) &lt;&gt; ""))</f>
        <v>0</v>
      </c>
      <c r="G30" s="756">
        <f t="array" ref="G30">SUMPRODUCT(
  (INDEX('6. TIẾN ĐỘ MUA HÀNG'!$A$5:$AT644, 0, XMATCH("NCC VTBB/NL trong nước", '6. TIẾN ĐỘ MUA HÀNG'!$A$4:$AT$4, 0)) = $B30) * (TRIM(INDEX('6. TIẾN ĐỘ MUA HÀNG'!$A$5:$AT644, 0, XMATCH("Tháng", '6. TIẾN ĐỘ MUA HÀNG'!$A$4:$AT$4, 0))) = TRIM(F$6)) * (INDEX('6. TIẾN ĐỘ MUA HÀNG'!$A$5:$AT644, 0, XMATCH("CL NGÀY NCC DỰ KIẾN - NGÀY NHẬN HÀNG", '6. TIẾN ĐỘ MUA HÀNG'!$A$4:$AT$4, 0)) &lt; 0)
)</f>
        <v>0</v>
      </c>
      <c r="H30" s="757">
        <f t="shared" si="15"/>
        <v>0</v>
      </c>
      <c r="I30" s="754">
        <f t="array" ref="I30">SUMPRODUCT((TRIM(INDEX('6. TIẾN ĐỘ MUA HÀNG'!$A$5:$AT644, 0, XMATCH("NCC VTBB/NL trong nước", '6. TIẾN ĐỘ MUA HÀNG'!$A$4:$AT$4, 0))) = TRIM($B30)) * (TRIM(INDEX('6. TIẾN ĐỘ MUA HÀNG'!$A$5:$AT644, 0, XMATCH("Tháng", '6. TIẾN ĐỘ MUA HÀNG'!$A$4:$AT$4, 0))) = TRIM(I$6)) * (INDEX('6. TIẾN ĐỘ MUA HÀNG'!$A$5:$AT644, 0, XMATCH("Mã đơn Misa", '6. TIẾN ĐỘ MUA HÀNG'!$A$4:$AT$4, 0)) &lt;&gt; ""))</f>
        <v>0</v>
      </c>
      <c r="J30" s="754">
        <f t="array" ref="J30">SUMPRODUCT(
  (INDEX('6. TIẾN ĐỘ MUA HÀNG'!$A$5:$AT644, 0, XMATCH("NCC VTBB/NL trong nước", '6. TIẾN ĐỘ MUA HÀNG'!$A$4:$AT$4, 0)) = $B30) * (TRIM(INDEX('6. TIẾN ĐỘ MUA HÀNG'!$A$5:$AT644, 0, XMATCH("Tháng", '6. TIẾN ĐỘ MUA HÀNG'!$A$4:$AT$4, 0))) = TRIM(I$6)) * (INDEX('6. TIẾN ĐỘ MUA HÀNG'!$A$5:$AT644, 0, XMATCH("CL NGÀY NCC DỰ KIẾN - NGÀY NHẬN HÀNG", '6. TIẾN ĐỘ MUA HÀNG'!$A$4:$AT$4, 0)) &lt; 0)
)</f>
        <v>0</v>
      </c>
      <c r="K30" s="755">
        <f t="shared" si="30"/>
        <v>0</v>
      </c>
      <c r="L30" s="756">
        <f t="array" ref="L30">SUMPRODUCT((TRIM(INDEX('6. TIẾN ĐỘ MUA HÀNG'!$A$5:$AT644, 0, XMATCH("NCC VTBB/NL trong nước", '6. TIẾN ĐỘ MUA HÀNG'!$A$4:$AT$4, 0))) = TRIM($B30)) * (TRIM(INDEX('6. TIẾN ĐỘ MUA HÀNG'!$A$5:$AT644, 0, XMATCH("Tháng", '6. TIẾN ĐỘ MUA HÀNG'!$A$4:$AT$4, 0))) = TRIM(L$6)) * (INDEX('6. TIẾN ĐỘ MUA HÀNG'!$A$5:$AT644, 0, XMATCH("Mã đơn Misa", '6. TIẾN ĐỘ MUA HÀNG'!$A$4:$AT$4, 0)) &lt;&gt; ""))</f>
        <v>0</v>
      </c>
      <c r="M30" s="756">
        <f t="array" ref="M30">SUMPRODUCT(
  (INDEX('6. TIẾN ĐỘ MUA HÀNG'!$A$5:$AT644, 0, XMATCH("NCC VTBB/NL trong nước", '6. TIẾN ĐỘ MUA HÀNG'!$A$4:$AT$4, 0)) = $B30) * (TRIM(INDEX('6. TIẾN ĐỘ MUA HÀNG'!$A$5:$AT644, 0, XMATCH("Tháng", '6. TIẾN ĐỘ MUA HÀNG'!$A$4:$AT$4, 0))) = TRIM(L$6)) * (INDEX('6. TIẾN ĐỘ MUA HÀNG'!$A$5:$AT644, 0, XMATCH("CL NGÀY NCC DỰ KIẾN - NGÀY NHẬN HÀNG", '6. TIẾN ĐỘ MUA HÀNG'!$A$4:$AT$4, 0)) &lt; 0)
)</f>
        <v>0</v>
      </c>
      <c r="N30" s="757">
        <f t="shared" si="17"/>
        <v>0</v>
      </c>
      <c r="O30" s="754">
        <f t="array" ref="O30">SUMPRODUCT((TRIM(INDEX('6. TIẾN ĐỘ MUA HÀNG'!$A$5:$AT644, 0, XMATCH("NCC VTBB/NL trong nước", '6. TIẾN ĐỘ MUA HÀNG'!$A$4:$AT$4, 0))) = TRIM($B30)) * (TRIM(INDEX('6. TIẾN ĐỘ MUA HÀNG'!$A$5:$AT644, 0, XMATCH("Tháng", '6. TIẾN ĐỘ MUA HÀNG'!$A$4:$AT$4, 0))) = TRIM(O$6)) * (INDEX('6. TIẾN ĐỘ MUA HÀNG'!$A$5:$AT644, 0, XMATCH("Mã đơn Misa", '6. TIẾN ĐỘ MUA HÀNG'!$A$4:$AT$4, 0)) &lt;&gt; ""))</f>
        <v>0</v>
      </c>
      <c r="P30" s="754">
        <f t="array" ref="P30">SUMPRODUCT(
  (INDEX('6. TIẾN ĐỘ MUA HÀNG'!$A$5:$AT644, 0, XMATCH("NCC VTBB/NL trong nước", '6. TIẾN ĐỘ MUA HÀNG'!$A$4:$AT$4, 0)) = $B30) * (TRIM(INDEX('6. TIẾN ĐỘ MUA HÀNG'!$A$5:$AT644, 0, XMATCH("Tháng", '6. TIẾN ĐỘ MUA HÀNG'!$A$4:$AT$4, 0))) = TRIM(O$6)) * (INDEX('6. TIẾN ĐỘ MUA HÀNG'!$A$5:$AT644, 0, XMATCH("CL NGÀY NCC DỰ KIẾN - NGÀY NHẬN HÀNG", '6. TIẾN ĐỘ MUA HÀNG'!$A$4:$AT$4, 0)) &lt; 0)
)</f>
        <v>0</v>
      </c>
      <c r="Q30" s="755">
        <f t="shared" si="31"/>
        <v>0</v>
      </c>
      <c r="R30" s="756">
        <f t="array" ref="R30">SUMPRODUCT((TRIM(INDEX('6. TIẾN ĐỘ MUA HÀNG'!$A$5:$AT644, 0, XMATCH("NCC VTBB/NL trong nước", '6. TIẾN ĐỘ MUA HÀNG'!$A$4:$AT$4, 0))) = TRIM($B30)) * (TRIM(INDEX('6. TIẾN ĐỘ MUA HÀNG'!$A$5:$AT644, 0, XMATCH("Tháng", '6. TIẾN ĐỘ MUA HÀNG'!$A$4:$AT$4, 0))) = TRIM(R$6)) * (INDEX('6. TIẾN ĐỘ MUA HÀNG'!$A$5:$AT644, 0, XMATCH("Mã đơn Misa", '6. TIẾN ĐỘ MUA HÀNG'!$A$4:$AT$4, 0)) &lt;&gt; ""))</f>
        <v>0</v>
      </c>
      <c r="S30" s="756">
        <f t="array" ref="S30">SUMPRODUCT(
  (INDEX('6. TIẾN ĐỘ MUA HÀNG'!$A$5:$AT644, 0, XMATCH("NCC VTBB/NL trong nước", '6. TIẾN ĐỘ MUA HÀNG'!$A$4:$AT$4, 0)) = $B30) * (TRIM(INDEX('6. TIẾN ĐỘ MUA HÀNG'!$A$5:$AT644, 0, XMATCH("Tháng", '6. TIẾN ĐỘ MUA HÀNG'!$A$4:$AT$4, 0))) = TRIM(R$6)) * (INDEX('6. TIẾN ĐỘ MUA HÀNG'!$A$5:$AT644, 0, XMATCH("CL NGÀY NCC DỰ KIẾN - NGÀY NHẬN HÀNG", '6. TIẾN ĐỘ MUA HÀNG'!$A$4:$AT$4, 0)) &lt; 0)
)</f>
        <v>0</v>
      </c>
      <c r="T30" s="757">
        <f t="shared" si="19"/>
        <v>0</v>
      </c>
      <c r="U30" s="754">
        <f t="array" ref="U30">SUMPRODUCT((TRIM(INDEX('6. TIẾN ĐỘ MUA HÀNG'!$A$5:$AT644, 0, XMATCH("NCC VTBB/NL trong nước", '6. TIẾN ĐỘ MUA HÀNG'!$A$4:$AT$4, 0))) = TRIM($B30)) * (TRIM(INDEX('6. TIẾN ĐỘ MUA HÀNG'!$A$5:$AT644, 0, XMATCH("Tháng", '6. TIẾN ĐỘ MUA HÀNG'!$A$4:$AT$4, 0))) = TRIM(U$6)) * (INDEX('6. TIẾN ĐỘ MUA HÀNG'!$A$5:$AT644, 0, XMATCH("Mã đơn Misa", '6. TIẾN ĐỘ MUA HÀNG'!$A$4:$AT$4, 0)) &lt;&gt; ""))</f>
        <v>0</v>
      </c>
      <c r="V30" s="754">
        <f t="array" ref="V30">SUMPRODUCT(
  (INDEX('6. TIẾN ĐỘ MUA HÀNG'!$A$5:$AT644, 0, XMATCH("NCC VTBB/NL trong nước", '6. TIẾN ĐỘ MUA HÀNG'!$A$4:$AT$4, 0)) = $B30) * (TRIM(INDEX('6. TIẾN ĐỘ MUA HÀNG'!$A$5:$AT644, 0, XMATCH("Tháng", '6. TIẾN ĐỘ MUA HÀNG'!$A$4:$AT$4, 0))) = TRIM(U$6)) * (INDEX('6. TIẾN ĐỘ MUA HÀNG'!$A$5:$AT644, 0, XMATCH("CL NGÀY NCC DỰ KIẾN - NGÀY NHẬN HÀNG", '6. TIẾN ĐỘ MUA HÀNG'!$A$4:$AT$4, 0)) &lt; 0)
)</f>
        <v>0</v>
      </c>
      <c r="W30" s="755">
        <f t="shared" si="32"/>
        <v>0</v>
      </c>
      <c r="X30" s="756">
        <f t="array" ref="X30">SUMPRODUCT((TRIM(INDEX('6. TIẾN ĐỘ MUA HÀNG'!$A$5:$AT644, 0, XMATCH("NCC VTBB/NL trong nước", '6. TIẾN ĐỘ MUA HÀNG'!$A$4:$AT$4, 0))) = TRIM($B30)) * (TRIM(INDEX('6. TIẾN ĐỘ MUA HÀNG'!$A$5:$AT644, 0, XMATCH("Tháng", '6. TIẾN ĐỘ MUA HÀNG'!$A$4:$AT$4, 0))) = TRIM(X$6)) * (INDEX('6. TIẾN ĐỘ MUA HÀNG'!$A$5:$AT644, 0, XMATCH("Mã đơn Misa", '6. TIẾN ĐỘ MUA HÀNG'!$A$4:$AT$4, 0)) &lt;&gt; ""))</f>
        <v>0</v>
      </c>
      <c r="Y30" s="756">
        <f t="array" ref="Y30">SUMPRODUCT(
  (INDEX('6. TIẾN ĐỘ MUA HÀNG'!$A$5:$AT644, 0, XMATCH("NCC VTBB/NL trong nước", '6. TIẾN ĐỘ MUA HÀNG'!$A$4:$AT$4, 0)) = $B30) * (TRIM(INDEX('6. TIẾN ĐỘ MUA HÀNG'!$A$5:$AT644, 0, XMATCH("Tháng", '6. TIẾN ĐỘ MUA HÀNG'!$A$4:$AT$4, 0))) = TRIM(X$6)) * (INDEX('6. TIẾN ĐỘ MUA HÀNG'!$A$5:$AT644, 0, XMATCH("CL NGÀY NCC DỰ KIẾN - NGÀY NHẬN HÀNG", '6. TIẾN ĐỘ MUA HÀNG'!$A$4:$AT$4, 0)) &lt; 0)
)</f>
        <v>0</v>
      </c>
      <c r="Z30" s="757">
        <f t="shared" si="21"/>
        <v>0</v>
      </c>
      <c r="AA30" s="754">
        <f t="array" ref="AA30">SUMPRODUCT((TRIM(INDEX('6. TIẾN ĐỘ MUA HÀNG'!$A$5:$AT644, 0, XMATCH("NCC VTBB/NL trong nước", '6. TIẾN ĐỘ MUA HÀNG'!$A$4:$AT$4, 0))) = TRIM($B30)) * (TRIM(INDEX('6. TIẾN ĐỘ MUA HÀNG'!$A$5:$AT644, 0, XMATCH("Tháng", '6. TIẾN ĐỘ MUA HÀNG'!$A$4:$AT$4, 0))) = TRIM(AA$6)) * (INDEX('6. TIẾN ĐỘ MUA HÀNG'!$A$5:$AT644, 0, XMATCH("Mã đơn Misa", '6. TIẾN ĐỘ MUA HÀNG'!$A$4:$AT$4, 0)) &lt;&gt; ""))</f>
        <v>0</v>
      </c>
      <c r="AB30" s="754">
        <f t="array" ref="AB30">SUMPRODUCT(
  (INDEX('6. TIẾN ĐỘ MUA HÀNG'!$A$5:$AT644, 0, XMATCH("NCC VTBB/NL trong nước", '6. TIẾN ĐỘ MUA HÀNG'!$A$4:$AT$4, 0)) = $B30) * (TRIM(INDEX('6. TIẾN ĐỘ MUA HÀNG'!$A$5:$AT644, 0, XMATCH("Tháng", '6. TIẾN ĐỘ MUA HÀNG'!$A$4:$AT$4, 0))) = TRIM(AA$6)) * (INDEX('6. TIẾN ĐỘ MUA HÀNG'!$A$5:$AT644, 0, XMATCH("CL NGÀY NCC DỰ KIẾN - NGÀY NHẬN HÀNG", '6. TIẾN ĐỘ MUA HÀNG'!$A$4:$AT$4, 0)) &lt; 0)
)</f>
        <v>0</v>
      </c>
      <c r="AC30" s="755">
        <f t="shared" si="33"/>
        <v>0</v>
      </c>
      <c r="AD30" s="756">
        <f t="array" ref="AD30">SUMPRODUCT((TRIM(INDEX('6. TIẾN ĐỘ MUA HÀNG'!$A$5:$AT644, 0, XMATCH("NCC VTBB/NL trong nước", '6. TIẾN ĐỘ MUA HÀNG'!$A$4:$AT$4, 0))) = TRIM($B30)) * (TRIM(INDEX('6. TIẾN ĐỘ MUA HÀNG'!$A$5:$AT644, 0, XMATCH("Tháng", '6. TIẾN ĐỘ MUA HÀNG'!$A$4:$AT$4, 0))) = TRIM(AD$6)) * (INDEX('6. TIẾN ĐỘ MUA HÀNG'!$A$5:$AT644, 0, XMATCH("Mã đơn Misa", '6. TIẾN ĐỘ MUA HÀNG'!$A$4:$AT$4, 0)) &lt;&gt; ""))</f>
        <v>0</v>
      </c>
      <c r="AE30" s="756">
        <f t="array" ref="AE30">SUMPRODUCT(
  (INDEX('6. TIẾN ĐỘ MUA HÀNG'!$A$5:$AT644, 0, XMATCH("NCC VTBB/NL trong nước", '6. TIẾN ĐỘ MUA HÀNG'!$A$4:$AT$4, 0)) = $B30) * (TRIM(INDEX('6. TIẾN ĐỘ MUA HÀNG'!$A$5:$AT644, 0, XMATCH("Tháng", '6. TIẾN ĐỘ MUA HÀNG'!$A$4:$AT$4, 0))) = TRIM(AD$6)) * (INDEX('6. TIẾN ĐỘ MUA HÀNG'!$A$5:$AT644, 0, XMATCH("CL NGÀY NCC DỰ KIẾN - NGÀY NHẬN HÀNG", '6. TIẾN ĐỘ MUA HÀNG'!$A$4:$AT$4, 0)) &lt; 0)
)</f>
        <v>0</v>
      </c>
      <c r="AF30" s="757">
        <f t="shared" si="23"/>
        <v>0</v>
      </c>
      <c r="AG30" s="754">
        <f t="array" ref="AG30">SUMPRODUCT((TRIM(INDEX('6. TIẾN ĐỘ MUA HÀNG'!$A$5:$AT644, 0, XMATCH("NCC VTBB/NL trong nước", '6. TIẾN ĐỘ MUA HÀNG'!$A$4:$AT$4, 0))) = TRIM($B30)) * (TRIM(INDEX('6. TIẾN ĐỘ MUA HÀNG'!$A$5:$AT644, 0, XMATCH("Tháng", '6. TIẾN ĐỘ MUA HÀNG'!$A$4:$AT$4, 0))) = TRIM(AG$6)) * (INDEX('6. TIẾN ĐỘ MUA HÀNG'!$A$5:$AT644, 0, XMATCH("Mã đơn Misa", '6. TIẾN ĐỘ MUA HÀNG'!$A$4:$AT$4, 0)) &lt;&gt; ""))</f>
        <v>0</v>
      </c>
      <c r="AH30" s="754">
        <f t="array" ref="AH30">SUMPRODUCT(
  (INDEX('6. TIẾN ĐỘ MUA HÀNG'!$A$5:$AT644, 0, XMATCH("NCC VTBB/NL trong nước", '6. TIẾN ĐỘ MUA HÀNG'!$A$4:$AT$4, 0)) = $B30) * (TRIM(INDEX('6. TIẾN ĐỘ MUA HÀNG'!$A$5:$AT644, 0, XMATCH("Tháng", '6. TIẾN ĐỘ MUA HÀNG'!$A$4:$AT$4, 0))) = TRIM(AG$6)) * (INDEX('6. TIẾN ĐỘ MUA HÀNG'!$A$5:$AT644, 0, XMATCH("CL NGÀY NCC DỰ KIẾN - NGÀY NHẬN HÀNG", '6. TIẾN ĐỘ MUA HÀNG'!$A$4:$AT$4, 0)) &lt; 0)
)</f>
        <v>0</v>
      </c>
      <c r="AI30" s="755">
        <f t="shared" si="34"/>
        <v>0</v>
      </c>
      <c r="AJ30" s="756">
        <f t="array" ref="AJ30">SUMPRODUCT((TRIM(INDEX('6. TIẾN ĐỘ MUA HÀNG'!$A$5:$AT644, 0, XMATCH("NCC VTBB/NL trong nước", '6. TIẾN ĐỘ MUA HÀNG'!$A$4:$AT$4, 0))) = TRIM($B30)) * (TRIM(INDEX('6. TIẾN ĐỘ MUA HÀNG'!$A$5:$AT644, 0, XMATCH("Tháng", '6. TIẾN ĐỘ MUA HÀNG'!$A$4:$AT$4, 0))) = TRIM(AJ$6)) * (INDEX('6. TIẾN ĐỘ MUA HÀNG'!$A$5:$AT644, 0, XMATCH("Mã đơn Misa", '6. TIẾN ĐỘ MUA HÀNG'!$A$4:$AT$4, 0)) &lt;&gt; ""))</f>
        <v>0</v>
      </c>
      <c r="AK30" s="756">
        <f t="array" ref="AK30">SUMPRODUCT(
  (INDEX('6. TIẾN ĐỘ MUA HÀNG'!$A$5:$AT644, 0, XMATCH("NCC VTBB/NL trong nước", '6. TIẾN ĐỘ MUA HÀNG'!$A$4:$AT$4, 0)) = $B30) * (TRIM(INDEX('6. TIẾN ĐỘ MUA HÀNG'!$A$5:$AT644, 0, XMATCH("Tháng", '6. TIẾN ĐỘ MUA HÀNG'!$A$4:$AT$4, 0))) = TRIM(AJ$6)) * (INDEX('6. TIẾN ĐỘ MUA HÀNG'!$A$5:$AT644, 0, XMATCH("CL NGÀY NCC DỰ KIẾN - NGÀY NHẬN HÀNG", '6. TIẾN ĐỘ MUA HÀNG'!$A$4:$AT$4, 0)) &lt; 0)
)</f>
        <v>0</v>
      </c>
      <c r="AL30" s="757">
        <f t="shared" si="25"/>
        <v>0</v>
      </c>
      <c r="AM30" s="726">
        <f t="shared" si="27"/>
        <v>0</v>
      </c>
      <c r="AN30" s="726">
        <f t="shared" si="28"/>
        <v>0</v>
      </c>
      <c r="AO30" s="727">
        <f t="shared" si="26"/>
        <v>0</v>
      </c>
    </row>
    <row r="31">
      <c r="A31" s="612">
        <v>23.0</v>
      </c>
      <c r="B31" s="624" t="str">
        <f>IFERROR(__xludf.DUMMYFUNCTION("""COMPUTED_VALUE"""),"Vĩnh Nam Anh")</f>
        <v>Vĩnh Nam Anh</v>
      </c>
      <c r="C31" s="754">
        <f t="array" ref="C31">SUMPRODUCT((TRIM(INDEX('6. TIẾN ĐỘ MUA HÀNG'!$A$5:$AT644, 0, XMATCH("NCC VTBB/NL trong nước", '6. TIẾN ĐỘ MUA HÀNG'!$A$4:$AT$4, 0))) = TRIM($B31)) * (TRIM(INDEX('6. TIẾN ĐỘ MUA HÀNG'!$A$5:$AT644, 0, XMATCH("Tháng", '6. TIẾN ĐỘ MUA HÀNG'!$A$4:$AT$4, 0))) = TRIM(C$6)) * (INDEX('6. TIẾN ĐỘ MUA HÀNG'!$A$5:$AT644, 0, XMATCH("Mã đơn Misa", '6. TIẾN ĐỘ MUA HÀNG'!$A$4:$AT$4, 0)) &lt;&gt; ""))</f>
        <v>0</v>
      </c>
      <c r="D31" s="754">
        <f t="array" ref="D31">SUMPRODUCT(
  (INDEX('6. TIẾN ĐỘ MUA HÀNG'!$A$5:$AT644, 0, XMATCH("NCC VTBB/NL trong nước", '6. TIẾN ĐỘ MUA HÀNG'!$A$4:$AT$4, 0)) = $B31) * (TRIM(INDEX('6. TIẾN ĐỘ MUA HÀNG'!$A$5:$AT644, 0, XMATCH("Tháng", '6. TIẾN ĐỘ MUA HÀNG'!$A$4:$AT$4, 0))) = TRIM(C$6)) * (INDEX('6. TIẾN ĐỘ MUA HÀNG'!$A$5:$AT644, 0, XMATCH("CL NGÀY NCC DỰ KIẾN - NGÀY NHẬN HÀNG", '6. TIẾN ĐỘ MUA HÀNG'!$A$4:$AT$4, 0)) &lt; 0)
)</f>
        <v>0</v>
      </c>
      <c r="E31" s="755">
        <f t="shared" si="29"/>
        <v>0</v>
      </c>
      <c r="F31" s="756">
        <f t="array" ref="F31">SUMPRODUCT((TRIM(INDEX('6. TIẾN ĐỘ MUA HÀNG'!$A$5:$AT644, 0, XMATCH("NCC VTBB/NL trong nước", '6. TIẾN ĐỘ MUA HÀNG'!$A$4:$AT$4, 0))) = TRIM($B31)) * (TRIM(INDEX('6. TIẾN ĐỘ MUA HÀNG'!$A$5:$AT644, 0, XMATCH("Tháng", '6. TIẾN ĐỘ MUA HÀNG'!$A$4:$AT$4, 0))) = TRIM(F$6)) * (INDEX('6. TIẾN ĐỘ MUA HÀNG'!$A$5:$AT644, 0, XMATCH("Mã đơn Misa", '6. TIẾN ĐỘ MUA HÀNG'!$A$4:$AT$4, 0)) &lt;&gt; ""))</f>
        <v>0</v>
      </c>
      <c r="G31" s="756">
        <f t="array" ref="G31">SUMPRODUCT(
  (INDEX('6. TIẾN ĐỘ MUA HÀNG'!$A$5:$AT644, 0, XMATCH("NCC VTBB/NL trong nước", '6. TIẾN ĐỘ MUA HÀNG'!$A$4:$AT$4, 0)) = $B31) * (TRIM(INDEX('6. TIẾN ĐỘ MUA HÀNG'!$A$5:$AT644, 0, XMATCH("Tháng", '6. TIẾN ĐỘ MUA HÀNG'!$A$4:$AT$4, 0))) = TRIM(F$6)) * (INDEX('6. TIẾN ĐỘ MUA HÀNG'!$A$5:$AT644, 0, XMATCH("CL NGÀY NCC DỰ KIẾN - NGÀY NHẬN HÀNG", '6. TIẾN ĐỘ MUA HÀNG'!$A$4:$AT$4, 0)) &lt; 0)
)</f>
        <v>0</v>
      </c>
      <c r="H31" s="757">
        <f t="shared" si="15"/>
        <v>0</v>
      </c>
      <c r="I31" s="754">
        <f t="array" ref="I31">SUMPRODUCT((TRIM(INDEX('6. TIẾN ĐỘ MUA HÀNG'!$A$5:$AT644, 0, XMATCH("NCC VTBB/NL trong nước", '6. TIẾN ĐỘ MUA HÀNG'!$A$4:$AT$4, 0))) = TRIM($B31)) * (TRIM(INDEX('6. TIẾN ĐỘ MUA HÀNG'!$A$5:$AT644, 0, XMATCH("Tháng", '6. TIẾN ĐỘ MUA HÀNG'!$A$4:$AT$4, 0))) = TRIM(I$6)) * (INDEX('6. TIẾN ĐỘ MUA HÀNG'!$A$5:$AT644, 0, XMATCH("Mã đơn Misa", '6. TIẾN ĐỘ MUA HÀNG'!$A$4:$AT$4, 0)) &lt;&gt; ""))</f>
        <v>0</v>
      </c>
      <c r="J31" s="754">
        <f t="array" ref="J31">SUMPRODUCT(
  (INDEX('6. TIẾN ĐỘ MUA HÀNG'!$A$5:$AT644, 0, XMATCH("NCC VTBB/NL trong nước", '6. TIẾN ĐỘ MUA HÀNG'!$A$4:$AT$4, 0)) = $B31) * (TRIM(INDEX('6. TIẾN ĐỘ MUA HÀNG'!$A$5:$AT644, 0, XMATCH("Tháng", '6. TIẾN ĐỘ MUA HÀNG'!$A$4:$AT$4, 0))) = TRIM(I$6)) * (INDEX('6. TIẾN ĐỘ MUA HÀNG'!$A$5:$AT644, 0, XMATCH("CL NGÀY NCC DỰ KIẾN - NGÀY NHẬN HÀNG", '6. TIẾN ĐỘ MUA HÀNG'!$A$4:$AT$4, 0)) &lt; 0)
)</f>
        <v>0</v>
      </c>
      <c r="K31" s="755">
        <f t="shared" si="30"/>
        <v>0</v>
      </c>
      <c r="L31" s="756">
        <f t="array" ref="L31">SUMPRODUCT((TRIM(INDEX('6. TIẾN ĐỘ MUA HÀNG'!$A$5:$AT644, 0, XMATCH("NCC VTBB/NL trong nước", '6. TIẾN ĐỘ MUA HÀNG'!$A$4:$AT$4, 0))) = TRIM($B31)) * (TRIM(INDEX('6. TIẾN ĐỘ MUA HÀNG'!$A$5:$AT644, 0, XMATCH("Tháng", '6. TIẾN ĐỘ MUA HÀNG'!$A$4:$AT$4, 0))) = TRIM(L$6)) * (INDEX('6. TIẾN ĐỘ MUA HÀNG'!$A$5:$AT644, 0, XMATCH("Mã đơn Misa", '6. TIẾN ĐỘ MUA HÀNG'!$A$4:$AT$4, 0)) &lt;&gt; ""))</f>
        <v>0</v>
      </c>
      <c r="M31" s="756">
        <f t="array" ref="M31">SUMPRODUCT(
  (INDEX('6. TIẾN ĐỘ MUA HÀNG'!$A$5:$AT644, 0, XMATCH("NCC VTBB/NL trong nước", '6. TIẾN ĐỘ MUA HÀNG'!$A$4:$AT$4, 0)) = $B31) * (TRIM(INDEX('6. TIẾN ĐỘ MUA HÀNG'!$A$5:$AT644, 0, XMATCH("Tháng", '6. TIẾN ĐỘ MUA HÀNG'!$A$4:$AT$4, 0))) = TRIM(L$6)) * (INDEX('6. TIẾN ĐỘ MUA HÀNG'!$A$5:$AT644, 0, XMATCH("CL NGÀY NCC DỰ KIẾN - NGÀY NHẬN HÀNG", '6. TIẾN ĐỘ MUA HÀNG'!$A$4:$AT$4, 0)) &lt; 0)
)</f>
        <v>0</v>
      </c>
      <c r="N31" s="757">
        <f t="shared" si="17"/>
        <v>0</v>
      </c>
      <c r="O31" s="754">
        <f t="array" ref="O31">SUMPRODUCT((TRIM(INDEX('6. TIẾN ĐỘ MUA HÀNG'!$A$5:$AT644, 0, XMATCH("NCC VTBB/NL trong nước", '6. TIẾN ĐỘ MUA HÀNG'!$A$4:$AT$4, 0))) = TRIM($B31)) * (TRIM(INDEX('6. TIẾN ĐỘ MUA HÀNG'!$A$5:$AT644, 0, XMATCH("Tháng", '6. TIẾN ĐỘ MUA HÀNG'!$A$4:$AT$4, 0))) = TRIM(O$6)) * (INDEX('6. TIẾN ĐỘ MUA HÀNG'!$A$5:$AT644, 0, XMATCH("Mã đơn Misa", '6. TIẾN ĐỘ MUA HÀNG'!$A$4:$AT$4, 0)) &lt;&gt; ""))</f>
        <v>0</v>
      </c>
      <c r="P31" s="754">
        <f t="array" ref="P31">SUMPRODUCT(
  (INDEX('6. TIẾN ĐỘ MUA HÀNG'!$A$5:$AT644, 0, XMATCH("NCC VTBB/NL trong nước", '6. TIẾN ĐỘ MUA HÀNG'!$A$4:$AT$4, 0)) = $B31) * (TRIM(INDEX('6. TIẾN ĐỘ MUA HÀNG'!$A$5:$AT644, 0, XMATCH("Tháng", '6. TIẾN ĐỘ MUA HÀNG'!$A$4:$AT$4, 0))) = TRIM(O$6)) * (INDEX('6. TIẾN ĐỘ MUA HÀNG'!$A$5:$AT644, 0, XMATCH("CL NGÀY NCC DỰ KIẾN - NGÀY NHẬN HÀNG", '6. TIẾN ĐỘ MUA HÀNG'!$A$4:$AT$4, 0)) &lt; 0)
)</f>
        <v>0</v>
      </c>
      <c r="Q31" s="755">
        <f t="shared" si="31"/>
        <v>0</v>
      </c>
      <c r="R31" s="756">
        <f t="array" ref="R31">SUMPRODUCT((TRIM(INDEX('6. TIẾN ĐỘ MUA HÀNG'!$A$5:$AT644, 0, XMATCH("NCC VTBB/NL trong nước", '6. TIẾN ĐỘ MUA HÀNG'!$A$4:$AT$4, 0))) = TRIM($B31)) * (TRIM(INDEX('6. TIẾN ĐỘ MUA HÀNG'!$A$5:$AT644, 0, XMATCH("Tháng", '6. TIẾN ĐỘ MUA HÀNG'!$A$4:$AT$4, 0))) = TRIM(R$6)) * (INDEX('6. TIẾN ĐỘ MUA HÀNG'!$A$5:$AT644, 0, XMATCH("Mã đơn Misa", '6. TIẾN ĐỘ MUA HÀNG'!$A$4:$AT$4, 0)) &lt;&gt; ""))</f>
        <v>0</v>
      </c>
      <c r="S31" s="756">
        <f t="array" ref="S31">SUMPRODUCT(
  (INDEX('6. TIẾN ĐỘ MUA HÀNG'!$A$5:$AT644, 0, XMATCH("NCC VTBB/NL trong nước", '6. TIẾN ĐỘ MUA HÀNG'!$A$4:$AT$4, 0)) = $B31) * (TRIM(INDEX('6. TIẾN ĐỘ MUA HÀNG'!$A$5:$AT644, 0, XMATCH("Tháng", '6. TIẾN ĐỘ MUA HÀNG'!$A$4:$AT$4, 0))) = TRIM(R$6)) * (INDEX('6. TIẾN ĐỘ MUA HÀNG'!$A$5:$AT644, 0, XMATCH("CL NGÀY NCC DỰ KIẾN - NGÀY NHẬN HÀNG", '6. TIẾN ĐỘ MUA HÀNG'!$A$4:$AT$4, 0)) &lt; 0)
)</f>
        <v>0</v>
      </c>
      <c r="T31" s="757">
        <f t="shared" si="19"/>
        <v>0</v>
      </c>
      <c r="U31" s="754">
        <f t="array" ref="U31">SUMPRODUCT((TRIM(INDEX('6. TIẾN ĐỘ MUA HÀNG'!$A$5:$AT644, 0, XMATCH("NCC VTBB/NL trong nước", '6. TIẾN ĐỘ MUA HÀNG'!$A$4:$AT$4, 0))) = TRIM($B31)) * (TRIM(INDEX('6. TIẾN ĐỘ MUA HÀNG'!$A$5:$AT644, 0, XMATCH("Tháng", '6. TIẾN ĐỘ MUA HÀNG'!$A$4:$AT$4, 0))) = TRIM(U$6)) * (INDEX('6. TIẾN ĐỘ MUA HÀNG'!$A$5:$AT644, 0, XMATCH("Mã đơn Misa", '6. TIẾN ĐỘ MUA HÀNG'!$A$4:$AT$4, 0)) &lt;&gt; ""))</f>
        <v>0</v>
      </c>
      <c r="V31" s="754">
        <f t="array" ref="V31">SUMPRODUCT(
  (INDEX('6. TIẾN ĐỘ MUA HÀNG'!$A$5:$AT644, 0, XMATCH("NCC VTBB/NL trong nước", '6. TIẾN ĐỘ MUA HÀNG'!$A$4:$AT$4, 0)) = $B31) * (TRIM(INDEX('6. TIẾN ĐỘ MUA HÀNG'!$A$5:$AT644, 0, XMATCH("Tháng", '6. TIẾN ĐỘ MUA HÀNG'!$A$4:$AT$4, 0))) = TRIM(U$6)) * (INDEX('6. TIẾN ĐỘ MUA HÀNG'!$A$5:$AT644, 0, XMATCH("CL NGÀY NCC DỰ KIẾN - NGÀY NHẬN HÀNG", '6. TIẾN ĐỘ MUA HÀNG'!$A$4:$AT$4, 0)) &lt; 0)
)</f>
        <v>0</v>
      </c>
      <c r="W31" s="755">
        <f t="shared" si="32"/>
        <v>0</v>
      </c>
      <c r="X31" s="756">
        <f t="array" ref="X31">SUMPRODUCT((TRIM(INDEX('6. TIẾN ĐỘ MUA HÀNG'!$A$5:$AT644, 0, XMATCH("NCC VTBB/NL trong nước", '6. TIẾN ĐỘ MUA HÀNG'!$A$4:$AT$4, 0))) = TRIM($B31)) * (TRIM(INDEX('6. TIẾN ĐỘ MUA HÀNG'!$A$5:$AT644, 0, XMATCH("Tháng", '6. TIẾN ĐỘ MUA HÀNG'!$A$4:$AT$4, 0))) = TRIM(X$6)) * (INDEX('6. TIẾN ĐỘ MUA HÀNG'!$A$5:$AT644, 0, XMATCH("Mã đơn Misa", '6. TIẾN ĐỘ MUA HÀNG'!$A$4:$AT$4, 0)) &lt;&gt; ""))</f>
        <v>0</v>
      </c>
      <c r="Y31" s="756">
        <f t="array" ref="Y31">SUMPRODUCT(
  (INDEX('6. TIẾN ĐỘ MUA HÀNG'!$A$5:$AT644, 0, XMATCH("NCC VTBB/NL trong nước", '6. TIẾN ĐỘ MUA HÀNG'!$A$4:$AT$4, 0)) = $B31) * (TRIM(INDEX('6. TIẾN ĐỘ MUA HÀNG'!$A$5:$AT644, 0, XMATCH("Tháng", '6. TIẾN ĐỘ MUA HÀNG'!$A$4:$AT$4, 0))) = TRIM(X$6)) * (INDEX('6. TIẾN ĐỘ MUA HÀNG'!$A$5:$AT644, 0, XMATCH("CL NGÀY NCC DỰ KIẾN - NGÀY NHẬN HÀNG", '6. TIẾN ĐỘ MUA HÀNG'!$A$4:$AT$4, 0)) &lt; 0)
)</f>
        <v>0</v>
      </c>
      <c r="Z31" s="757">
        <f t="shared" si="21"/>
        <v>0</v>
      </c>
      <c r="AA31" s="754">
        <f t="array" ref="AA31">SUMPRODUCT((TRIM(INDEX('6. TIẾN ĐỘ MUA HÀNG'!$A$5:$AT644, 0, XMATCH("NCC VTBB/NL trong nước", '6. TIẾN ĐỘ MUA HÀNG'!$A$4:$AT$4, 0))) = TRIM($B31)) * (TRIM(INDEX('6. TIẾN ĐỘ MUA HÀNG'!$A$5:$AT644, 0, XMATCH("Tháng", '6. TIẾN ĐỘ MUA HÀNG'!$A$4:$AT$4, 0))) = TRIM(AA$6)) * (INDEX('6. TIẾN ĐỘ MUA HÀNG'!$A$5:$AT644, 0, XMATCH("Mã đơn Misa", '6. TIẾN ĐỘ MUA HÀNG'!$A$4:$AT$4, 0)) &lt;&gt; ""))</f>
        <v>0</v>
      </c>
      <c r="AB31" s="754">
        <f t="array" ref="AB31">SUMPRODUCT(
  (INDEX('6. TIẾN ĐỘ MUA HÀNG'!$A$5:$AT644, 0, XMATCH("NCC VTBB/NL trong nước", '6. TIẾN ĐỘ MUA HÀNG'!$A$4:$AT$4, 0)) = $B31) * (TRIM(INDEX('6. TIẾN ĐỘ MUA HÀNG'!$A$5:$AT644, 0, XMATCH("Tháng", '6. TIẾN ĐỘ MUA HÀNG'!$A$4:$AT$4, 0))) = TRIM(AA$6)) * (INDEX('6. TIẾN ĐỘ MUA HÀNG'!$A$5:$AT644, 0, XMATCH("CL NGÀY NCC DỰ KIẾN - NGÀY NHẬN HÀNG", '6. TIẾN ĐỘ MUA HÀNG'!$A$4:$AT$4, 0)) &lt; 0)
)</f>
        <v>0</v>
      </c>
      <c r="AC31" s="755">
        <f t="shared" si="33"/>
        <v>0</v>
      </c>
      <c r="AD31" s="756">
        <f t="array" ref="AD31">SUMPRODUCT((TRIM(INDEX('6. TIẾN ĐỘ MUA HÀNG'!$A$5:$AT644, 0, XMATCH("NCC VTBB/NL trong nước", '6. TIẾN ĐỘ MUA HÀNG'!$A$4:$AT$4, 0))) = TRIM($B31)) * (TRIM(INDEX('6. TIẾN ĐỘ MUA HÀNG'!$A$5:$AT644, 0, XMATCH("Tháng", '6. TIẾN ĐỘ MUA HÀNG'!$A$4:$AT$4, 0))) = TRIM(AD$6)) * (INDEX('6. TIẾN ĐỘ MUA HÀNG'!$A$5:$AT644, 0, XMATCH("Mã đơn Misa", '6. TIẾN ĐỘ MUA HÀNG'!$A$4:$AT$4, 0)) &lt;&gt; ""))</f>
        <v>0</v>
      </c>
      <c r="AE31" s="756">
        <f t="array" ref="AE31">SUMPRODUCT(
  (INDEX('6. TIẾN ĐỘ MUA HÀNG'!$A$5:$AT644, 0, XMATCH("NCC VTBB/NL trong nước", '6. TIẾN ĐỘ MUA HÀNG'!$A$4:$AT$4, 0)) = $B31) * (TRIM(INDEX('6. TIẾN ĐỘ MUA HÀNG'!$A$5:$AT644, 0, XMATCH("Tháng", '6. TIẾN ĐỘ MUA HÀNG'!$A$4:$AT$4, 0))) = TRIM(AD$6)) * (INDEX('6. TIẾN ĐỘ MUA HÀNG'!$A$5:$AT644, 0, XMATCH("CL NGÀY NCC DỰ KIẾN - NGÀY NHẬN HÀNG", '6. TIẾN ĐỘ MUA HÀNG'!$A$4:$AT$4, 0)) &lt; 0)
)</f>
        <v>0</v>
      </c>
      <c r="AF31" s="757">
        <f t="shared" si="23"/>
        <v>0</v>
      </c>
      <c r="AG31" s="754">
        <f t="array" ref="AG31">SUMPRODUCT((TRIM(INDEX('6. TIẾN ĐỘ MUA HÀNG'!$A$5:$AT644, 0, XMATCH("NCC VTBB/NL trong nước", '6. TIẾN ĐỘ MUA HÀNG'!$A$4:$AT$4, 0))) = TRIM($B31)) * (TRIM(INDEX('6. TIẾN ĐỘ MUA HÀNG'!$A$5:$AT644, 0, XMATCH("Tháng", '6. TIẾN ĐỘ MUA HÀNG'!$A$4:$AT$4, 0))) = TRIM(AG$6)) * (INDEX('6. TIẾN ĐỘ MUA HÀNG'!$A$5:$AT644, 0, XMATCH("Mã đơn Misa", '6. TIẾN ĐỘ MUA HÀNG'!$A$4:$AT$4, 0)) &lt;&gt; ""))</f>
        <v>0</v>
      </c>
      <c r="AH31" s="754">
        <f t="array" ref="AH31">SUMPRODUCT(
  (INDEX('6. TIẾN ĐỘ MUA HÀNG'!$A$5:$AT644, 0, XMATCH("NCC VTBB/NL trong nước", '6. TIẾN ĐỘ MUA HÀNG'!$A$4:$AT$4, 0)) = $B31) * (TRIM(INDEX('6. TIẾN ĐỘ MUA HÀNG'!$A$5:$AT644, 0, XMATCH("Tháng", '6. TIẾN ĐỘ MUA HÀNG'!$A$4:$AT$4, 0))) = TRIM(AG$6)) * (INDEX('6. TIẾN ĐỘ MUA HÀNG'!$A$5:$AT644, 0, XMATCH("CL NGÀY NCC DỰ KIẾN - NGÀY NHẬN HÀNG", '6. TIẾN ĐỘ MUA HÀNG'!$A$4:$AT$4, 0)) &lt; 0)
)</f>
        <v>0</v>
      </c>
      <c r="AI31" s="755">
        <f t="shared" si="34"/>
        <v>0</v>
      </c>
      <c r="AJ31" s="756">
        <f t="array" ref="AJ31">SUMPRODUCT((TRIM(INDEX('6. TIẾN ĐỘ MUA HÀNG'!$A$5:$AT644, 0, XMATCH("NCC VTBB/NL trong nước", '6. TIẾN ĐỘ MUA HÀNG'!$A$4:$AT$4, 0))) = TRIM($B31)) * (TRIM(INDEX('6. TIẾN ĐỘ MUA HÀNG'!$A$5:$AT644, 0, XMATCH("Tháng", '6. TIẾN ĐỘ MUA HÀNG'!$A$4:$AT$4, 0))) = TRIM(AJ$6)) * (INDEX('6. TIẾN ĐỘ MUA HÀNG'!$A$5:$AT644, 0, XMATCH("Mã đơn Misa", '6. TIẾN ĐỘ MUA HÀNG'!$A$4:$AT$4, 0)) &lt;&gt; ""))</f>
        <v>0</v>
      </c>
      <c r="AK31" s="756">
        <f t="array" ref="AK31">SUMPRODUCT(
  (INDEX('6. TIẾN ĐỘ MUA HÀNG'!$A$5:$AT644, 0, XMATCH("NCC VTBB/NL trong nước", '6. TIẾN ĐỘ MUA HÀNG'!$A$4:$AT$4, 0)) = $B31) * (TRIM(INDEX('6. TIẾN ĐỘ MUA HÀNG'!$A$5:$AT644, 0, XMATCH("Tháng", '6. TIẾN ĐỘ MUA HÀNG'!$A$4:$AT$4, 0))) = TRIM(AJ$6)) * (INDEX('6. TIẾN ĐỘ MUA HÀNG'!$A$5:$AT644, 0, XMATCH("CL NGÀY NCC DỰ KIẾN - NGÀY NHẬN HÀNG", '6. TIẾN ĐỘ MUA HÀNG'!$A$4:$AT$4, 0)) &lt; 0)
)</f>
        <v>0</v>
      </c>
      <c r="AL31" s="757">
        <f t="shared" si="25"/>
        <v>0</v>
      </c>
      <c r="AM31" s="726">
        <f t="shared" si="27"/>
        <v>0</v>
      </c>
      <c r="AN31" s="726">
        <f t="shared" si="28"/>
        <v>0</v>
      </c>
      <c r="AO31" s="727">
        <f t="shared" si="26"/>
        <v>0</v>
      </c>
    </row>
    <row r="32">
      <c r="A32" s="612">
        <v>24.0</v>
      </c>
      <c r="B32" s="624" t="str">
        <f>IFERROR(__xludf.DUMMYFUNCTION("""COMPUTED_VALUE"""),"Hòa Phát")</f>
        <v>Hòa Phát</v>
      </c>
      <c r="C32" s="754">
        <f t="array" ref="C32">SUMPRODUCT((TRIM(INDEX('6. TIẾN ĐỘ MUA HÀNG'!$A$5:$AT644, 0, XMATCH("NCC VTBB/NL trong nước", '6. TIẾN ĐỘ MUA HÀNG'!$A$4:$AT$4, 0))) = TRIM($B32)) * (TRIM(INDEX('6. TIẾN ĐỘ MUA HÀNG'!$A$5:$AT644, 0, XMATCH("Tháng", '6. TIẾN ĐỘ MUA HÀNG'!$A$4:$AT$4, 0))) = TRIM(C$6)) * (INDEX('6. TIẾN ĐỘ MUA HÀNG'!$A$5:$AT644, 0, XMATCH("Mã đơn Misa", '6. TIẾN ĐỘ MUA HÀNG'!$A$4:$AT$4, 0)) &lt;&gt; ""))</f>
        <v>0</v>
      </c>
      <c r="D32" s="754">
        <f t="array" ref="D32">SUMPRODUCT(
  (INDEX('6. TIẾN ĐỘ MUA HÀNG'!$A$5:$AT644, 0, XMATCH("NCC VTBB/NL trong nước", '6. TIẾN ĐỘ MUA HÀNG'!$A$4:$AT$4, 0)) = $B32) * (TRIM(INDEX('6. TIẾN ĐỘ MUA HÀNG'!$A$5:$AT644, 0, XMATCH("Tháng", '6. TIẾN ĐỘ MUA HÀNG'!$A$4:$AT$4, 0))) = TRIM(C$6)) * (INDEX('6. TIẾN ĐỘ MUA HÀNG'!$A$5:$AT644, 0, XMATCH("CL NGÀY NCC DỰ KIẾN - NGÀY NHẬN HÀNG", '6. TIẾN ĐỘ MUA HÀNG'!$A$4:$AT$4, 0)) &lt; 0)
)</f>
        <v>0</v>
      </c>
      <c r="E32" s="755">
        <f t="shared" si="29"/>
        <v>0</v>
      </c>
      <c r="F32" s="756">
        <f t="array" ref="F32">SUMPRODUCT((TRIM(INDEX('6. TIẾN ĐỘ MUA HÀNG'!$A$5:$AT644, 0, XMATCH("NCC VTBB/NL trong nước", '6. TIẾN ĐỘ MUA HÀNG'!$A$4:$AT$4, 0))) = TRIM($B32)) * (TRIM(INDEX('6. TIẾN ĐỘ MUA HÀNG'!$A$5:$AT644, 0, XMATCH("Tháng", '6. TIẾN ĐỘ MUA HÀNG'!$A$4:$AT$4, 0))) = TRIM(F$6)) * (INDEX('6. TIẾN ĐỘ MUA HÀNG'!$A$5:$AT644, 0, XMATCH("Mã đơn Misa", '6. TIẾN ĐỘ MUA HÀNG'!$A$4:$AT$4, 0)) &lt;&gt; ""))</f>
        <v>0</v>
      </c>
      <c r="G32" s="756">
        <f t="array" ref="G32">SUMPRODUCT(
  (INDEX('6. TIẾN ĐỘ MUA HÀNG'!$A$5:$AT644, 0, XMATCH("NCC VTBB/NL trong nước", '6. TIẾN ĐỘ MUA HÀNG'!$A$4:$AT$4, 0)) = $B32) * (TRIM(INDEX('6. TIẾN ĐỘ MUA HÀNG'!$A$5:$AT644, 0, XMATCH("Tháng", '6. TIẾN ĐỘ MUA HÀNG'!$A$4:$AT$4, 0))) = TRIM(F$6)) * (INDEX('6. TIẾN ĐỘ MUA HÀNG'!$A$5:$AT644, 0, XMATCH("CL NGÀY NCC DỰ KIẾN - NGÀY NHẬN HÀNG", '6. TIẾN ĐỘ MUA HÀNG'!$A$4:$AT$4, 0)) &lt; 0)
)</f>
        <v>0</v>
      </c>
      <c r="H32" s="757">
        <f t="shared" si="15"/>
        <v>0</v>
      </c>
      <c r="I32" s="754">
        <f t="array" ref="I32">SUMPRODUCT((TRIM(INDEX('6. TIẾN ĐỘ MUA HÀNG'!$A$5:$AT644, 0, XMATCH("NCC VTBB/NL trong nước", '6. TIẾN ĐỘ MUA HÀNG'!$A$4:$AT$4, 0))) = TRIM($B32)) * (TRIM(INDEX('6. TIẾN ĐỘ MUA HÀNG'!$A$5:$AT644, 0, XMATCH("Tháng", '6. TIẾN ĐỘ MUA HÀNG'!$A$4:$AT$4, 0))) = TRIM(I$6)) * (INDEX('6. TIẾN ĐỘ MUA HÀNG'!$A$5:$AT644, 0, XMATCH("Mã đơn Misa", '6. TIẾN ĐỘ MUA HÀNG'!$A$4:$AT$4, 0)) &lt;&gt; ""))</f>
        <v>0</v>
      </c>
      <c r="J32" s="754">
        <f t="array" ref="J32">SUMPRODUCT(
  (INDEX('6. TIẾN ĐỘ MUA HÀNG'!$A$5:$AT644, 0, XMATCH("NCC VTBB/NL trong nước", '6. TIẾN ĐỘ MUA HÀNG'!$A$4:$AT$4, 0)) = $B32) * (TRIM(INDEX('6. TIẾN ĐỘ MUA HÀNG'!$A$5:$AT644, 0, XMATCH("Tháng", '6. TIẾN ĐỘ MUA HÀNG'!$A$4:$AT$4, 0))) = TRIM(I$6)) * (INDEX('6. TIẾN ĐỘ MUA HÀNG'!$A$5:$AT644, 0, XMATCH("CL NGÀY NCC DỰ KIẾN - NGÀY NHẬN HÀNG", '6. TIẾN ĐỘ MUA HÀNG'!$A$4:$AT$4, 0)) &lt; 0)
)</f>
        <v>0</v>
      </c>
      <c r="K32" s="755">
        <f t="shared" si="30"/>
        <v>0</v>
      </c>
      <c r="L32" s="756">
        <f t="array" ref="L32">SUMPRODUCT((TRIM(INDEX('6. TIẾN ĐỘ MUA HÀNG'!$A$5:$AT644, 0, XMATCH("NCC VTBB/NL trong nước", '6. TIẾN ĐỘ MUA HÀNG'!$A$4:$AT$4, 0))) = TRIM($B32)) * (TRIM(INDEX('6. TIẾN ĐỘ MUA HÀNG'!$A$5:$AT644, 0, XMATCH("Tháng", '6. TIẾN ĐỘ MUA HÀNG'!$A$4:$AT$4, 0))) = TRIM(L$6)) * (INDEX('6. TIẾN ĐỘ MUA HÀNG'!$A$5:$AT644, 0, XMATCH("Mã đơn Misa", '6. TIẾN ĐỘ MUA HÀNG'!$A$4:$AT$4, 0)) &lt;&gt; ""))</f>
        <v>0</v>
      </c>
      <c r="M32" s="756">
        <f t="array" ref="M32">SUMPRODUCT(
  (INDEX('6. TIẾN ĐỘ MUA HÀNG'!$A$5:$AT644, 0, XMATCH("NCC VTBB/NL trong nước", '6. TIẾN ĐỘ MUA HÀNG'!$A$4:$AT$4, 0)) = $B32) * (TRIM(INDEX('6. TIẾN ĐỘ MUA HÀNG'!$A$5:$AT644, 0, XMATCH("Tháng", '6. TIẾN ĐỘ MUA HÀNG'!$A$4:$AT$4, 0))) = TRIM(L$6)) * (INDEX('6. TIẾN ĐỘ MUA HÀNG'!$A$5:$AT644, 0, XMATCH("CL NGÀY NCC DỰ KIẾN - NGÀY NHẬN HÀNG", '6. TIẾN ĐỘ MUA HÀNG'!$A$4:$AT$4, 0)) &lt; 0)
)</f>
        <v>0</v>
      </c>
      <c r="N32" s="757">
        <f t="shared" si="17"/>
        <v>0</v>
      </c>
      <c r="O32" s="754">
        <f t="array" ref="O32">SUMPRODUCT((TRIM(INDEX('6. TIẾN ĐỘ MUA HÀNG'!$A$5:$AT644, 0, XMATCH("NCC VTBB/NL trong nước", '6. TIẾN ĐỘ MUA HÀNG'!$A$4:$AT$4, 0))) = TRIM($B32)) * (TRIM(INDEX('6. TIẾN ĐỘ MUA HÀNG'!$A$5:$AT644, 0, XMATCH("Tháng", '6. TIẾN ĐỘ MUA HÀNG'!$A$4:$AT$4, 0))) = TRIM(O$6)) * (INDEX('6. TIẾN ĐỘ MUA HÀNG'!$A$5:$AT644, 0, XMATCH("Mã đơn Misa", '6. TIẾN ĐỘ MUA HÀNG'!$A$4:$AT$4, 0)) &lt;&gt; ""))</f>
        <v>0</v>
      </c>
      <c r="P32" s="754">
        <f t="array" ref="P32">SUMPRODUCT(
  (INDEX('6. TIẾN ĐỘ MUA HÀNG'!$A$5:$AT644, 0, XMATCH("NCC VTBB/NL trong nước", '6. TIẾN ĐỘ MUA HÀNG'!$A$4:$AT$4, 0)) = $B32) * (TRIM(INDEX('6. TIẾN ĐỘ MUA HÀNG'!$A$5:$AT644, 0, XMATCH("Tháng", '6. TIẾN ĐỘ MUA HÀNG'!$A$4:$AT$4, 0))) = TRIM(O$6)) * (INDEX('6. TIẾN ĐỘ MUA HÀNG'!$A$5:$AT644, 0, XMATCH("CL NGÀY NCC DỰ KIẾN - NGÀY NHẬN HÀNG", '6. TIẾN ĐỘ MUA HÀNG'!$A$4:$AT$4, 0)) &lt; 0)
)</f>
        <v>0</v>
      </c>
      <c r="Q32" s="755">
        <f t="shared" si="31"/>
        <v>0</v>
      </c>
      <c r="R32" s="756">
        <f t="array" ref="R32">SUMPRODUCT((TRIM(INDEX('6. TIẾN ĐỘ MUA HÀNG'!$A$5:$AT644, 0, XMATCH("NCC VTBB/NL trong nước", '6. TIẾN ĐỘ MUA HÀNG'!$A$4:$AT$4, 0))) = TRIM($B32)) * (TRIM(INDEX('6. TIẾN ĐỘ MUA HÀNG'!$A$5:$AT644, 0, XMATCH("Tháng", '6. TIẾN ĐỘ MUA HÀNG'!$A$4:$AT$4, 0))) = TRIM(R$6)) * (INDEX('6. TIẾN ĐỘ MUA HÀNG'!$A$5:$AT644, 0, XMATCH("Mã đơn Misa", '6. TIẾN ĐỘ MUA HÀNG'!$A$4:$AT$4, 0)) &lt;&gt; ""))</f>
        <v>0</v>
      </c>
      <c r="S32" s="756">
        <f t="array" ref="S32">SUMPRODUCT(
  (INDEX('6. TIẾN ĐỘ MUA HÀNG'!$A$5:$AT644, 0, XMATCH("NCC VTBB/NL trong nước", '6. TIẾN ĐỘ MUA HÀNG'!$A$4:$AT$4, 0)) = $B32) * (TRIM(INDEX('6. TIẾN ĐỘ MUA HÀNG'!$A$5:$AT644, 0, XMATCH("Tháng", '6. TIẾN ĐỘ MUA HÀNG'!$A$4:$AT$4, 0))) = TRIM(R$6)) * (INDEX('6. TIẾN ĐỘ MUA HÀNG'!$A$5:$AT644, 0, XMATCH("CL NGÀY NCC DỰ KIẾN - NGÀY NHẬN HÀNG", '6. TIẾN ĐỘ MUA HÀNG'!$A$4:$AT$4, 0)) &lt; 0)
)</f>
        <v>0</v>
      </c>
      <c r="T32" s="757">
        <f t="shared" si="19"/>
        <v>0</v>
      </c>
      <c r="U32" s="754">
        <f t="array" ref="U32">SUMPRODUCT((TRIM(INDEX('6. TIẾN ĐỘ MUA HÀNG'!$A$5:$AT644, 0, XMATCH("NCC VTBB/NL trong nước", '6. TIẾN ĐỘ MUA HÀNG'!$A$4:$AT$4, 0))) = TRIM($B32)) * (TRIM(INDEX('6. TIẾN ĐỘ MUA HÀNG'!$A$5:$AT644, 0, XMATCH("Tháng", '6. TIẾN ĐỘ MUA HÀNG'!$A$4:$AT$4, 0))) = TRIM(U$6)) * (INDEX('6. TIẾN ĐỘ MUA HÀNG'!$A$5:$AT644, 0, XMATCH("Mã đơn Misa", '6. TIẾN ĐỘ MUA HÀNG'!$A$4:$AT$4, 0)) &lt;&gt; ""))</f>
        <v>0</v>
      </c>
      <c r="V32" s="754">
        <f t="array" ref="V32">SUMPRODUCT(
  (INDEX('6. TIẾN ĐỘ MUA HÀNG'!$A$5:$AT644, 0, XMATCH("NCC VTBB/NL trong nước", '6. TIẾN ĐỘ MUA HÀNG'!$A$4:$AT$4, 0)) = $B32) * (TRIM(INDEX('6. TIẾN ĐỘ MUA HÀNG'!$A$5:$AT644, 0, XMATCH("Tháng", '6. TIẾN ĐỘ MUA HÀNG'!$A$4:$AT$4, 0))) = TRIM(U$6)) * (INDEX('6. TIẾN ĐỘ MUA HÀNG'!$A$5:$AT644, 0, XMATCH("CL NGÀY NCC DỰ KIẾN - NGÀY NHẬN HÀNG", '6. TIẾN ĐỘ MUA HÀNG'!$A$4:$AT$4, 0)) &lt; 0)
)</f>
        <v>0</v>
      </c>
      <c r="W32" s="755">
        <f t="shared" si="32"/>
        <v>0</v>
      </c>
      <c r="X32" s="756">
        <f t="array" ref="X32">SUMPRODUCT((TRIM(INDEX('6. TIẾN ĐỘ MUA HÀNG'!$A$5:$AT644, 0, XMATCH("NCC VTBB/NL trong nước", '6. TIẾN ĐỘ MUA HÀNG'!$A$4:$AT$4, 0))) = TRIM($B32)) * (TRIM(INDEX('6. TIẾN ĐỘ MUA HÀNG'!$A$5:$AT644, 0, XMATCH("Tháng", '6. TIẾN ĐỘ MUA HÀNG'!$A$4:$AT$4, 0))) = TRIM(X$6)) * (INDEX('6. TIẾN ĐỘ MUA HÀNG'!$A$5:$AT644, 0, XMATCH("Mã đơn Misa", '6. TIẾN ĐỘ MUA HÀNG'!$A$4:$AT$4, 0)) &lt;&gt; ""))</f>
        <v>0</v>
      </c>
      <c r="Y32" s="756">
        <f t="array" ref="Y32">SUMPRODUCT(
  (INDEX('6. TIẾN ĐỘ MUA HÀNG'!$A$5:$AT644, 0, XMATCH("NCC VTBB/NL trong nước", '6. TIẾN ĐỘ MUA HÀNG'!$A$4:$AT$4, 0)) = $B32) * (TRIM(INDEX('6. TIẾN ĐỘ MUA HÀNG'!$A$5:$AT644, 0, XMATCH("Tháng", '6. TIẾN ĐỘ MUA HÀNG'!$A$4:$AT$4, 0))) = TRIM(X$6)) * (INDEX('6. TIẾN ĐỘ MUA HÀNG'!$A$5:$AT644, 0, XMATCH("CL NGÀY NCC DỰ KIẾN - NGÀY NHẬN HÀNG", '6. TIẾN ĐỘ MUA HÀNG'!$A$4:$AT$4, 0)) &lt; 0)
)</f>
        <v>0</v>
      </c>
      <c r="Z32" s="757">
        <f t="shared" si="21"/>
        <v>0</v>
      </c>
      <c r="AA32" s="754">
        <f t="array" ref="AA32">SUMPRODUCT((TRIM(INDEX('6. TIẾN ĐỘ MUA HÀNG'!$A$5:$AT644, 0, XMATCH("NCC VTBB/NL trong nước", '6. TIẾN ĐỘ MUA HÀNG'!$A$4:$AT$4, 0))) = TRIM($B32)) * (TRIM(INDEX('6. TIẾN ĐỘ MUA HÀNG'!$A$5:$AT644, 0, XMATCH("Tháng", '6. TIẾN ĐỘ MUA HÀNG'!$A$4:$AT$4, 0))) = TRIM(AA$6)) * (INDEX('6. TIẾN ĐỘ MUA HÀNG'!$A$5:$AT644, 0, XMATCH("Mã đơn Misa", '6. TIẾN ĐỘ MUA HÀNG'!$A$4:$AT$4, 0)) &lt;&gt; ""))</f>
        <v>0</v>
      </c>
      <c r="AB32" s="754">
        <f t="array" ref="AB32">SUMPRODUCT(
  (INDEX('6. TIẾN ĐỘ MUA HÀNG'!$A$5:$AT644, 0, XMATCH("NCC VTBB/NL trong nước", '6. TIẾN ĐỘ MUA HÀNG'!$A$4:$AT$4, 0)) = $B32) * (TRIM(INDEX('6. TIẾN ĐỘ MUA HÀNG'!$A$5:$AT644, 0, XMATCH("Tháng", '6. TIẾN ĐỘ MUA HÀNG'!$A$4:$AT$4, 0))) = TRIM(AA$6)) * (INDEX('6. TIẾN ĐỘ MUA HÀNG'!$A$5:$AT644, 0, XMATCH("CL NGÀY NCC DỰ KIẾN - NGÀY NHẬN HÀNG", '6. TIẾN ĐỘ MUA HÀNG'!$A$4:$AT$4, 0)) &lt; 0)
)</f>
        <v>0</v>
      </c>
      <c r="AC32" s="755">
        <f t="shared" si="33"/>
        <v>0</v>
      </c>
      <c r="AD32" s="756">
        <f t="array" ref="AD32">SUMPRODUCT((TRIM(INDEX('6. TIẾN ĐỘ MUA HÀNG'!$A$5:$AT644, 0, XMATCH("NCC VTBB/NL trong nước", '6. TIẾN ĐỘ MUA HÀNG'!$A$4:$AT$4, 0))) = TRIM($B32)) * (TRIM(INDEX('6. TIẾN ĐỘ MUA HÀNG'!$A$5:$AT644, 0, XMATCH("Tháng", '6. TIẾN ĐỘ MUA HÀNG'!$A$4:$AT$4, 0))) = TRIM(AD$6)) * (INDEX('6. TIẾN ĐỘ MUA HÀNG'!$A$5:$AT644, 0, XMATCH("Mã đơn Misa", '6. TIẾN ĐỘ MUA HÀNG'!$A$4:$AT$4, 0)) &lt;&gt; ""))</f>
        <v>0</v>
      </c>
      <c r="AE32" s="756">
        <f t="array" ref="AE32">SUMPRODUCT(
  (INDEX('6. TIẾN ĐỘ MUA HÀNG'!$A$5:$AT644, 0, XMATCH("NCC VTBB/NL trong nước", '6. TIẾN ĐỘ MUA HÀNG'!$A$4:$AT$4, 0)) = $B32) * (TRIM(INDEX('6. TIẾN ĐỘ MUA HÀNG'!$A$5:$AT644, 0, XMATCH("Tháng", '6. TIẾN ĐỘ MUA HÀNG'!$A$4:$AT$4, 0))) = TRIM(AD$6)) * (INDEX('6. TIẾN ĐỘ MUA HÀNG'!$A$5:$AT644, 0, XMATCH("CL NGÀY NCC DỰ KIẾN - NGÀY NHẬN HÀNG", '6. TIẾN ĐỘ MUA HÀNG'!$A$4:$AT$4, 0)) &lt; 0)
)</f>
        <v>0</v>
      </c>
      <c r="AF32" s="757">
        <f t="shared" si="23"/>
        <v>0</v>
      </c>
      <c r="AG32" s="754">
        <f t="array" ref="AG32">SUMPRODUCT((TRIM(INDEX('6. TIẾN ĐỘ MUA HÀNG'!$A$5:$AT644, 0, XMATCH("NCC VTBB/NL trong nước", '6. TIẾN ĐỘ MUA HÀNG'!$A$4:$AT$4, 0))) = TRIM($B32)) * (TRIM(INDEX('6. TIẾN ĐỘ MUA HÀNG'!$A$5:$AT644, 0, XMATCH("Tháng", '6. TIẾN ĐỘ MUA HÀNG'!$A$4:$AT$4, 0))) = TRIM(AG$6)) * (INDEX('6. TIẾN ĐỘ MUA HÀNG'!$A$5:$AT644, 0, XMATCH("Mã đơn Misa", '6. TIẾN ĐỘ MUA HÀNG'!$A$4:$AT$4, 0)) &lt;&gt; ""))</f>
        <v>0</v>
      </c>
      <c r="AH32" s="754">
        <f t="array" ref="AH32">SUMPRODUCT(
  (INDEX('6. TIẾN ĐỘ MUA HÀNG'!$A$5:$AT644, 0, XMATCH("NCC VTBB/NL trong nước", '6. TIẾN ĐỘ MUA HÀNG'!$A$4:$AT$4, 0)) = $B32) * (TRIM(INDEX('6. TIẾN ĐỘ MUA HÀNG'!$A$5:$AT644, 0, XMATCH("Tháng", '6. TIẾN ĐỘ MUA HÀNG'!$A$4:$AT$4, 0))) = TRIM(AG$6)) * (INDEX('6. TIẾN ĐỘ MUA HÀNG'!$A$5:$AT644, 0, XMATCH("CL NGÀY NCC DỰ KIẾN - NGÀY NHẬN HÀNG", '6. TIẾN ĐỘ MUA HÀNG'!$A$4:$AT$4, 0)) &lt; 0)
)</f>
        <v>0</v>
      </c>
      <c r="AI32" s="755">
        <f t="shared" si="34"/>
        <v>0</v>
      </c>
      <c r="AJ32" s="756">
        <f t="array" ref="AJ32">SUMPRODUCT((TRIM(INDEX('6. TIẾN ĐỘ MUA HÀNG'!$A$5:$AT644, 0, XMATCH("NCC VTBB/NL trong nước", '6. TIẾN ĐỘ MUA HÀNG'!$A$4:$AT$4, 0))) = TRIM($B32)) * (TRIM(INDEX('6. TIẾN ĐỘ MUA HÀNG'!$A$5:$AT644, 0, XMATCH("Tháng", '6. TIẾN ĐỘ MUA HÀNG'!$A$4:$AT$4, 0))) = TRIM(AJ$6)) * (INDEX('6. TIẾN ĐỘ MUA HÀNG'!$A$5:$AT644, 0, XMATCH("Mã đơn Misa", '6. TIẾN ĐỘ MUA HÀNG'!$A$4:$AT$4, 0)) &lt;&gt; ""))</f>
        <v>0</v>
      </c>
      <c r="AK32" s="756">
        <f t="array" ref="AK32">SUMPRODUCT(
  (INDEX('6. TIẾN ĐỘ MUA HÀNG'!$A$5:$AT644, 0, XMATCH("NCC VTBB/NL trong nước", '6. TIẾN ĐỘ MUA HÀNG'!$A$4:$AT$4, 0)) = $B32) * (TRIM(INDEX('6. TIẾN ĐỘ MUA HÀNG'!$A$5:$AT644, 0, XMATCH("Tháng", '6. TIẾN ĐỘ MUA HÀNG'!$A$4:$AT$4, 0))) = TRIM(AJ$6)) * (INDEX('6. TIẾN ĐỘ MUA HÀNG'!$A$5:$AT644, 0, XMATCH("CL NGÀY NCC DỰ KIẾN - NGÀY NHẬN HÀNG", '6. TIẾN ĐỘ MUA HÀNG'!$A$4:$AT$4, 0)) &lt; 0)
)</f>
        <v>0</v>
      </c>
      <c r="AL32" s="757">
        <f t="shared" si="25"/>
        <v>0</v>
      </c>
      <c r="AM32" s="726">
        <f t="shared" si="27"/>
        <v>0</v>
      </c>
      <c r="AN32" s="726">
        <f t="shared" si="28"/>
        <v>0</v>
      </c>
      <c r="AO32" s="727">
        <f t="shared" si="26"/>
        <v>0</v>
      </c>
    </row>
    <row r="33">
      <c r="A33" s="612">
        <v>25.0</v>
      </c>
      <c r="B33" s="624" t="str">
        <f>IFERROR(__xludf.DUMMYFUNCTION("""COMPUTED_VALUE"""),"Mekong")</f>
        <v>Mekong</v>
      </c>
      <c r="C33" s="754">
        <f t="array" ref="C33">SUMPRODUCT((TRIM(INDEX('6. TIẾN ĐỘ MUA HÀNG'!$A$5:$AT644, 0, XMATCH("NCC VTBB/NL trong nước", '6. TIẾN ĐỘ MUA HÀNG'!$A$4:$AT$4, 0))) = TRIM($B33)) * (TRIM(INDEX('6. TIẾN ĐỘ MUA HÀNG'!$A$5:$AT644, 0, XMATCH("Tháng", '6. TIẾN ĐỘ MUA HÀNG'!$A$4:$AT$4, 0))) = TRIM(C$6)) * (INDEX('6. TIẾN ĐỘ MUA HÀNG'!$A$5:$AT644, 0, XMATCH("Mã đơn Misa", '6. TIẾN ĐỘ MUA HÀNG'!$A$4:$AT$4, 0)) &lt;&gt; ""))</f>
        <v>0</v>
      </c>
      <c r="D33" s="754">
        <f t="array" ref="D33">SUMPRODUCT(
  (INDEX('6. TIẾN ĐỘ MUA HÀNG'!$A$5:$AT644, 0, XMATCH("NCC VTBB/NL trong nước", '6. TIẾN ĐỘ MUA HÀNG'!$A$4:$AT$4, 0)) = $B33) * (TRIM(INDEX('6. TIẾN ĐỘ MUA HÀNG'!$A$5:$AT644, 0, XMATCH("Tháng", '6. TIẾN ĐỘ MUA HÀNG'!$A$4:$AT$4, 0))) = TRIM(C$6)) * (INDEX('6. TIẾN ĐỘ MUA HÀNG'!$A$5:$AT644, 0, XMATCH("CL NGÀY NCC DỰ KIẾN - NGÀY NHẬN HÀNG", '6. TIẾN ĐỘ MUA HÀNG'!$A$4:$AT$4, 0)) &lt; 0)
)</f>
        <v>0</v>
      </c>
      <c r="E33" s="755">
        <f t="shared" si="29"/>
        <v>0</v>
      </c>
      <c r="F33" s="756">
        <f t="array" ref="F33">SUMPRODUCT((TRIM(INDEX('6. TIẾN ĐỘ MUA HÀNG'!$A$5:$AT644, 0, XMATCH("NCC VTBB/NL trong nước", '6. TIẾN ĐỘ MUA HÀNG'!$A$4:$AT$4, 0))) = TRIM($B33)) * (TRIM(INDEX('6. TIẾN ĐỘ MUA HÀNG'!$A$5:$AT644, 0, XMATCH("Tháng", '6. TIẾN ĐỘ MUA HÀNG'!$A$4:$AT$4, 0))) = TRIM(F$6)) * (INDEX('6. TIẾN ĐỘ MUA HÀNG'!$A$5:$AT644, 0, XMATCH("Mã đơn Misa", '6. TIẾN ĐỘ MUA HÀNG'!$A$4:$AT$4, 0)) &lt;&gt; ""))</f>
        <v>0</v>
      </c>
      <c r="G33" s="756">
        <f t="array" ref="G33">SUMPRODUCT(
  (INDEX('6. TIẾN ĐỘ MUA HÀNG'!$A$5:$AT644, 0, XMATCH("NCC VTBB/NL trong nước", '6. TIẾN ĐỘ MUA HÀNG'!$A$4:$AT$4, 0)) = $B33) * (TRIM(INDEX('6. TIẾN ĐỘ MUA HÀNG'!$A$5:$AT644, 0, XMATCH("Tháng", '6. TIẾN ĐỘ MUA HÀNG'!$A$4:$AT$4, 0))) = TRIM(F$6)) * (INDEX('6. TIẾN ĐỘ MUA HÀNG'!$A$5:$AT644, 0, XMATCH("CL NGÀY NCC DỰ KIẾN - NGÀY NHẬN HÀNG", '6. TIẾN ĐỘ MUA HÀNG'!$A$4:$AT$4, 0)) &lt; 0)
)</f>
        <v>0</v>
      </c>
      <c r="H33" s="757">
        <f t="shared" si="15"/>
        <v>0</v>
      </c>
      <c r="I33" s="754">
        <f t="array" ref="I33">SUMPRODUCT((TRIM(INDEX('6. TIẾN ĐỘ MUA HÀNG'!$A$5:$AT644, 0, XMATCH("NCC VTBB/NL trong nước", '6. TIẾN ĐỘ MUA HÀNG'!$A$4:$AT$4, 0))) = TRIM($B33)) * (TRIM(INDEX('6. TIẾN ĐỘ MUA HÀNG'!$A$5:$AT644, 0, XMATCH("Tháng", '6. TIẾN ĐỘ MUA HÀNG'!$A$4:$AT$4, 0))) = TRIM(I$6)) * (INDEX('6. TIẾN ĐỘ MUA HÀNG'!$A$5:$AT644, 0, XMATCH("Mã đơn Misa", '6. TIẾN ĐỘ MUA HÀNG'!$A$4:$AT$4, 0)) &lt;&gt; ""))</f>
        <v>0</v>
      </c>
      <c r="J33" s="754">
        <f t="array" ref="J33">SUMPRODUCT(
  (INDEX('6. TIẾN ĐỘ MUA HÀNG'!$A$5:$AT644, 0, XMATCH("NCC VTBB/NL trong nước", '6. TIẾN ĐỘ MUA HÀNG'!$A$4:$AT$4, 0)) = $B33) * (TRIM(INDEX('6. TIẾN ĐỘ MUA HÀNG'!$A$5:$AT644, 0, XMATCH("Tháng", '6. TIẾN ĐỘ MUA HÀNG'!$A$4:$AT$4, 0))) = TRIM(I$6)) * (INDEX('6. TIẾN ĐỘ MUA HÀNG'!$A$5:$AT644, 0, XMATCH("CL NGÀY NCC DỰ KIẾN - NGÀY NHẬN HÀNG", '6. TIẾN ĐỘ MUA HÀNG'!$A$4:$AT$4, 0)) &lt; 0)
)</f>
        <v>0</v>
      </c>
      <c r="K33" s="755">
        <f t="shared" si="30"/>
        <v>0</v>
      </c>
      <c r="L33" s="756">
        <f t="array" ref="L33">SUMPRODUCT((TRIM(INDEX('6. TIẾN ĐỘ MUA HÀNG'!$A$5:$AT644, 0, XMATCH("NCC VTBB/NL trong nước", '6. TIẾN ĐỘ MUA HÀNG'!$A$4:$AT$4, 0))) = TRIM($B33)) * (TRIM(INDEX('6. TIẾN ĐỘ MUA HÀNG'!$A$5:$AT644, 0, XMATCH("Tháng", '6. TIẾN ĐỘ MUA HÀNG'!$A$4:$AT$4, 0))) = TRIM(L$6)) * (INDEX('6. TIẾN ĐỘ MUA HÀNG'!$A$5:$AT644, 0, XMATCH("Mã đơn Misa", '6. TIẾN ĐỘ MUA HÀNG'!$A$4:$AT$4, 0)) &lt;&gt; ""))</f>
        <v>0</v>
      </c>
      <c r="M33" s="756">
        <f t="array" ref="M33">SUMPRODUCT(
  (INDEX('6. TIẾN ĐỘ MUA HÀNG'!$A$5:$AT644, 0, XMATCH("NCC VTBB/NL trong nước", '6. TIẾN ĐỘ MUA HÀNG'!$A$4:$AT$4, 0)) = $B33) * (TRIM(INDEX('6. TIẾN ĐỘ MUA HÀNG'!$A$5:$AT644, 0, XMATCH("Tháng", '6. TIẾN ĐỘ MUA HÀNG'!$A$4:$AT$4, 0))) = TRIM(L$6)) * (INDEX('6. TIẾN ĐỘ MUA HÀNG'!$A$5:$AT644, 0, XMATCH("CL NGÀY NCC DỰ KIẾN - NGÀY NHẬN HÀNG", '6. TIẾN ĐỘ MUA HÀNG'!$A$4:$AT$4, 0)) &lt; 0)
)</f>
        <v>0</v>
      </c>
      <c r="N33" s="757">
        <f t="shared" si="17"/>
        <v>0</v>
      </c>
      <c r="O33" s="754">
        <f t="array" ref="O33">SUMPRODUCT((TRIM(INDEX('6. TIẾN ĐỘ MUA HÀNG'!$A$5:$AT644, 0, XMATCH("NCC VTBB/NL trong nước", '6. TIẾN ĐỘ MUA HÀNG'!$A$4:$AT$4, 0))) = TRIM($B33)) * (TRIM(INDEX('6. TIẾN ĐỘ MUA HÀNG'!$A$5:$AT644, 0, XMATCH("Tháng", '6. TIẾN ĐỘ MUA HÀNG'!$A$4:$AT$4, 0))) = TRIM(O$6)) * (INDEX('6. TIẾN ĐỘ MUA HÀNG'!$A$5:$AT644, 0, XMATCH("Mã đơn Misa", '6. TIẾN ĐỘ MUA HÀNG'!$A$4:$AT$4, 0)) &lt;&gt; ""))</f>
        <v>0</v>
      </c>
      <c r="P33" s="754">
        <f t="array" ref="P33">SUMPRODUCT(
  (INDEX('6. TIẾN ĐỘ MUA HÀNG'!$A$5:$AT644, 0, XMATCH("NCC VTBB/NL trong nước", '6. TIẾN ĐỘ MUA HÀNG'!$A$4:$AT$4, 0)) = $B33) * (TRIM(INDEX('6. TIẾN ĐỘ MUA HÀNG'!$A$5:$AT644, 0, XMATCH("Tháng", '6. TIẾN ĐỘ MUA HÀNG'!$A$4:$AT$4, 0))) = TRIM(O$6)) * (INDEX('6. TIẾN ĐỘ MUA HÀNG'!$A$5:$AT644, 0, XMATCH("CL NGÀY NCC DỰ KIẾN - NGÀY NHẬN HÀNG", '6. TIẾN ĐỘ MUA HÀNG'!$A$4:$AT$4, 0)) &lt; 0)
)</f>
        <v>0</v>
      </c>
      <c r="Q33" s="755">
        <f t="shared" si="31"/>
        <v>0</v>
      </c>
      <c r="R33" s="756">
        <f t="array" ref="R33">SUMPRODUCT((TRIM(INDEX('6. TIẾN ĐỘ MUA HÀNG'!$A$5:$AT644, 0, XMATCH("NCC VTBB/NL trong nước", '6. TIẾN ĐỘ MUA HÀNG'!$A$4:$AT$4, 0))) = TRIM($B33)) * (TRIM(INDEX('6. TIẾN ĐỘ MUA HÀNG'!$A$5:$AT644, 0, XMATCH("Tháng", '6. TIẾN ĐỘ MUA HÀNG'!$A$4:$AT$4, 0))) = TRIM(R$6)) * (INDEX('6. TIẾN ĐỘ MUA HÀNG'!$A$5:$AT644, 0, XMATCH("Mã đơn Misa", '6. TIẾN ĐỘ MUA HÀNG'!$A$4:$AT$4, 0)) &lt;&gt; ""))</f>
        <v>0</v>
      </c>
      <c r="S33" s="756">
        <f t="array" ref="S33">SUMPRODUCT(
  (INDEX('6. TIẾN ĐỘ MUA HÀNG'!$A$5:$AT644, 0, XMATCH("NCC VTBB/NL trong nước", '6. TIẾN ĐỘ MUA HÀNG'!$A$4:$AT$4, 0)) = $B33) * (TRIM(INDEX('6. TIẾN ĐỘ MUA HÀNG'!$A$5:$AT644, 0, XMATCH("Tháng", '6. TIẾN ĐỘ MUA HÀNG'!$A$4:$AT$4, 0))) = TRIM(R$6)) * (INDEX('6. TIẾN ĐỘ MUA HÀNG'!$A$5:$AT644, 0, XMATCH("CL NGÀY NCC DỰ KIẾN - NGÀY NHẬN HÀNG", '6. TIẾN ĐỘ MUA HÀNG'!$A$4:$AT$4, 0)) &lt; 0)
)</f>
        <v>0</v>
      </c>
      <c r="T33" s="757">
        <f t="shared" si="19"/>
        <v>0</v>
      </c>
      <c r="U33" s="754">
        <f t="array" ref="U33">SUMPRODUCT((TRIM(INDEX('6. TIẾN ĐỘ MUA HÀNG'!$A$5:$AT644, 0, XMATCH("NCC VTBB/NL trong nước", '6. TIẾN ĐỘ MUA HÀNG'!$A$4:$AT$4, 0))) = TRIM($B33)) * (TRIM(INDEX('6. TIẾN ĐỘ MUA HÀNG'!$A$5:$AT644, 0, XMATCH("Tháng", '6. TIẾN ĐỘ MUA HÀNG'!$A$4:$AT$4, 0))) = TRIM(U$6)) * (INDEX('6. TIẾN ĐỘ MUA HÀNG'!$A$5:$AT644, 0, XMATCH("Mã đơn Misa", '6. TIẾN ĐỘ MUA HÀNG'!$A$4:$AT$4, 0)) &lt;&gt; ""))</f>
        <v>0</v>
      </c>
      <c r="V33" s="754">
        <f t="array" ref="V33">SUMPRODUCT(
  (INDEX('6. TIẾN ĐỘ MUA HÀNG'!$A$5:$AT644, 0, XMATCH("NCC VTBB/NL trong nước", '6. TIẾN ĐỘ MUA HÀNG'!$A$4:$AT$4, 0)) = $B33) * (TRIM(INDEX('6. TIẾN ĐỘ MUA HÀNG'!$A$5:$AT644, 0, XMATCH("Tháng", '6. TIẾN ĐỘ MUA HÀNG'!$A$4:$AT$4, 0))) = TRIM(U$6)) * (INDEX('6. TIẾN ĐỘ MUA HÀNG'!$A$5:$AT644, 0, XMATCH("CL NGÀY NCC DỰ KIẾN - NGÀY NHẬN HÀNG", '6. TIẾN ĐỘ MUA HÀNG'!$A$4:$AT$4, 0)) &lt; 0)
)</f>
        <v>0</v>
      </c>
      <c r="W33" s="755">
        <f t="shared" si="32"/>
        <v>0</v>
      </c>
      <c r="X33" s="756">
        <f t="array" ref="X33">SUMPRODUCT((TRIM(INDEX('6. TIẾN ĐỘ MUA HÀNG'!$A$5:$AT644, 0, XMATCH("NCC VTBB/NL trong nước", '6. TIẾN ĐỘ MUA HÀNG'!$A$4:$AT$4, 0))) = TRIM($B33)) * (TRIM(INDEX('6. TIẾN ĐỘ MUA HÀNG'!$A$5:$AT644, 0, XMATCH("Tháng", '6. TIẾN ĐỘ MUA HÀNG'!$A$4:$AT$4, 0))) = TRIM(X$6)) * (INDEX('6. TIẾN ĐỘ MUA HÀNG'!$A$5:$AT644, 0, XMATCH("Mã đơn Misa", '6. TIẾN ĐỘ MUA HÀNG'!$A$4:$AT$4, 0)) &lt;&gt; ""))</f>
        <v>0</v>
      </c>
      <c r="Y33" s="756">
        <f t="array" ref="Y33">SUMPRODUCT(
  (INDEX('6. TIẾN ĐỘ MUA HÀNG'!$A$5:$AT644, 0, XMATCH("NCC VTBB/NL trong nước", '6. TIẾN ĐỘ MUA HÀNG'!$A$4:$AT$4, 0)) = $B33) * (TRIM(INDEX('6. TIẾN ĐỘ MUA HÀNG'!$A$5:$AT644, 0, XMATCH("Tháng", '6. TIẾN ĐỘ MUA HÀNG'!$A$4:$AT$4, 0))) = TRIM(X$6)) * (INDEX('6. TIẾN ĐỘ MUA HÀNG'!$A$5:$AT644, 0, XMATCH("CL NGÀY NCC DỰ KIẾN - NGÀY NHẬN HÀNG", '6. TIẾN ĐỘ MUA HÀNG'!$A$4:$AT$4, 0)) &lt; 0)
)</f>
        <v>0</v>
      </c>
      <c r="Z33" s="757">
        <f t="shared" si="21"/>
        <v>0</v>
      </c>
      <c r="AA33" s="754">
        <f t="array" ref="AA33">SUMPRODUCT((TRIM(INDEX('6. TIẾN ĐỘ MUA HÀNG'!$A$5:$AT644, 0, XMATCH("NCC VTBB/NL trong nước", '6. TIẾN ĐỘ MUA HÀNG'!$A$4:$AT$4, 0))) = TRIM($B33)) * (TRIM(INDEX('6. TIẾN ĐỘ MUA HÀNG'!$A$5:$AT644, 0, XMATCH("Tháng", '6. TIẾN ĐỘ MUA HÀNG'!$A$4:$AT$4, 0))) = TRIM(AA$6)) * (INDEX('6. TIẾN ĐỘ MUA HÀNG'!$A$5:$AT644, 0, XMATCH("Mã đơn Misa", '6. TIẾN ĐỘ MUA HÀNG'!$A$4:$AT$4, 0)) &lt;&gt; ""))</f>
        <v>0</v>
      </c>
      <c r="AB33" s="754">
        <f t="array" ref="AB33">SUMPRODUCT(
  (INDEX('6. TIẾN ĐỘ MUA HÀNG'!$A$5:$AT644, 0, XMATCH("NCC VTBB/NL trong nước", '6. TIẾN ĐỘ MUA HÀNG'!$A$4:$AT$4, 0)) = $B33) * (TRIM(INDEX('6. TIẾN ĐỘ MUA HÀNG'!$A$5:$AT644, 0, XMATCH("Tháng", '6. TIẾN ĐỘ MUA HÀNG'!$A$4:$AT$4, 0))) = TRIM(AA$6)) * (INDEX('6. TIẾN ĐỘ MUA HÀNG'!$A$5:$AT644, 0, XMATCH("CL NGÀY NCC DỰ KIẾN - NGÀY NHẬN HÀNG", '6. TIẾN ĐỘ MUA HÀNG'!$A$4:$AT$4, 0)) &lt; 0)
)</f>
        <v>0</v>
      </c>
      <c r="AC33" s="755">
        <f t="shared" si="33"/>
        <v>0</v>
      </c>
      <c r="AD33" s="756">
        <f t="array" ref="AD33">SUMPRODUCT((TRIM(INDEX('6. TIẾN ĐỘ MUA HÀNG'!$A$5:$AT644, 0, XMATCH("NCC VTBB/NL trong nước", '6. TIẾN ĐỘ MUA HÀNG'!$A$4:$AT$4, 0))) = TRIM($B33)) * (TRIM(INDEX('6. TIẾN ĐỘ MUA HÀNG'!$A$5:$AT644, 0, XMATCH("Tháng", '6. TIẾN ĐỘ MUA HÀNG'!$A$4:$AT$4, 0))) = TRIM(AD$6)) * (INDEX('6. TIẾN ĐỘ MUA HÀNG'!$A$5:$AT644, 0, XMATCH("Mã đơn Misa", '6. TIẾN ĐỘ MUA HÀNG'!$A$4:$AT$4, 0)) &lt;&gt; ""))</f>
        <v>0</v>
      </c>
      <c r="AE33" s="756">
        <f t="array" ref="AE33">SUMPRODUCT(
  (INDEX('6. TIẾN ĐỘ MUA HÀNG'!$A$5:$AT644, 0, XMATCH("NCC VTBB/NL trong nước", '6. TIẾN ĐỘ MUA HÀNG'!$A$4:$AT$4, 0)) = $B33) * (TRIM(INDEX('6. TIẾN ĐỘ MUA HÀNG'!$A$5:$AT644, 0, XMATCH("Tháng", '6. TIẾN ĐỘ MUA HÀNG'!$A$4:$AT$4, 0))) = TRIM(AD$6)) * (INDEX('6. TIẾN ĐỘ MUA HÀNG'!$A$5:$AT644, 0, XMATCH("CL NGÀY NCC DỰ KIẾN - NGÀY NHẬN HÀNG", '6. TIẾN ĐỘ MUA HÀNG'!$A$4:$AT$4, 0)) &lt; 0)
)</f>
        <v>0</v>
      </c>
      <c r="AF33" s="757">
        <f t="shared" si="23"/>
        <v>0</v>
      </c>
      <c r="AG33" s="754">
        <f t="array" ref="AG33">SUMPRODUCT((TRIM(INDEX('6. TIẾN ĐỘ MUA HÀNG'!$A$5:$AT644, 0, XMATCH("NCC VTBB/NL trong nước", '6. TIẾN ĐỘ MUA HÀNG'!$A$4:$AT$4, 0))) = TRIM($B33)) * (TRIM(INDEX('6. TIẾN ĐỘ MUA HÀNG'!$A$5:$AT644, 0, XMATCH("Tháng", '6. TIẾN ĐỘ MUA HÀNG'!$A$4:$AT$4, 0))) = TRIM(AG$6)) * (INDEX('6. TIẾN ĐỘ MUA HÀNG'!$A$5:$AT644, 0, XMATCH("Mã đơn Misa", '6. TIẾN ĐỘ MUA HÀNG'!$A$4:$AT$4, 0)) &lt;&gt; ""))</f>
        <v>0</v>
      </c>
      <c r="AH33" s="754">
        <f t="array" ref="AH33">SUMPRODUCT(
  (INDEX('6. TIẾN ĐỘ MUA HÀNG'!$A$5:$AT644, 0, XMATCH("NCC VTBB/NL trong nước", '6. TIẾN ĐỘ MUA HÀNG'!$A$4:$AT$4, 0)) = $B33) * (TRIM(INDEX('6. TIẾN ĐỘ MUA HÀNG'!$A$5:$AT644, 0, XMATCH("Tháng", '6. TIẾN ĐỘ MUA HÀNG'!$A$4:$AT$4, 0))) = TRIM(AG$6)) * (INDEX('6. TIẾN ĐỘ MUA HÀNG'!$A$5:$AT644, 0, XMATCH("CL NGÀY NCC DỰ KIẾN - NGÀY NHẬN HÀNG", '6. TIẾN ĐỘ MUA HÀNG'!$A$4:$AT$4, 0)) &lt; 0)
)</f>
        <v>0</v>
      </c>
      <c r="AI33" s="755">
        <f t="shared" si="34"/>
        <v>0</v>
      </c>
      <c r="AJ33" s="756">
        <f t="array" ref="AJ33">SUMPRODUCT((TRIM(INDEX('6. TIẾN ĐỘ MUA HÀNG'!$A$5:$AT644, 0, XMATCH("NCC VTBB/NL trong nước", '6. TIẾN ĐỘ MUA HÀNG'!$A$4:$AT$4, 0))) = TRIM($B33)) * (TRIM(INDEX('6. TIẾN ĐỘ MUA HÀNG'!$A$5:$AT644, 0, XMATCH("Tháng", '6. TIẾN ĐỘ MUA HÀNG'!$A$4:$AT$4, 0))) = TRIM(AJ$6)) * (INDEX('6. TIẾN ĐỘ MUA HÀNG'!$A$5:$AT644, 0, XMATCH("Mã đơn Misa", '6. TIẾN ĐỘ MUA HÀNG'!$A$4:$AT$4, 0)) &lt;&gt; ""))</f>
        <v>0</v>
      </c>
      <c r="AK33" s="756">
        <f t="array" ref="AK33">SUMPRODUCT(
  (INDEX('6. TIẾN ĐỘ MUA HÀNG'!$A$5:$AT644, 0, XMATCH("NCC VTBB/NL trong nước", '6. TIẾN ĐỘ MUA HÀNG'!$A$4:$AT$4, 0)) = $B33) * (TRIM(INDEX('6. TIẾN ĐỘ MUA HÀNG'!$A$5:$AT644, 0, XMATCH("Tháng", '6. TIẾN ĐỘ MUA HÀNG'!$A$4:$AT$4, 0))) = TRIM(AJ$6)) * (INDEX('6. TIẾN ĐỘ MUA HÀNG'!$A$5:$AT644, 0, XMATCH("CL NGÀY NCC DỰ KIẾN - NGÀY NHẬN HÀNG", '6. TIẾN ĐỘ MUA HÀNG'!$A$4:$AT$4, 0)) &lt; 0)
)</f>
        <v>0</v>
      </c>
      <c r="AL33" s="757">
        <f t="shared" si="25"/>
        <v>0</v>
      </c>
      <c r="AM33" s="726">
        <f t="shared" si="27"/>
        <v>0</v>
      </c>
      <c r="AN33" s="726">
        <f t="shared" si="28"/>
        <v>0</v>
      </c>
      <c r="AO33" s="727">
        <f t="shared" si="26"/>
        <v>0</v>
      </c>
    </row>
    <row r="34">
      <c r="A34" s="612">
        <v>26.0</v>
      </c>
      <c r="B34" s="624" t="str">
        <f>IFERROR(__xludf.DUMMYFUNCTION("""COMPUTED_VALUE"""),"An Gia Phú")</f>
        <v>An Gia Phú</v>
      </c>
      <c r="C34" s="754">
        <f t="array" ref="C34">SUMPRODUCT((TRIM(INDEX('6. TIẾN ĐỘ MUA HÀNG'!$A$5:$AT644, 0, XMATCH("NCC VTBB/NL trong nước", '6. TIẾN ĐỘ MUA HÀNG'!$A$4:$AT$4, 0))) = TRIM($B34)) * (TRIM(INDEX('6. TIẾN ĐỘ MUA HÀNG'!$A$5:$AT644, 0, XMATCH("Tháng", '6. TIẾN ĐỘ MUA HÀNG'!$A$4:$AT$4, 0))) = TRIM(C$6)) * (INDEX('6. TIẾN ĐỘ MUA HÀNG'!$A$5:$AT644, 0, XMATCH("Mã đơn Misa", '6. TIẾN ĐỘ MUA HÀNG'!$A$4:$AT$4, 0)) &lt;&gt; ""))</f>
        <v>0</v>
      </c>
      <c r="D34" s="754">
        <f t="array" ref="D34">SUMPRODUCT(
  (INDEX('6. TIẾN ĐỘ MUA HÀNG'!$A$5:$AT644, 0, XMATCH("NCC VTBB/NL trong nước", '6. TIẾN ĐỘ MUA HÀNG'!$A$4:$AT$4, 0)) = $B34) * (TRIM(INDEX('6. TIẾN ĐỘ MUA HÀNG'!$A$5:$AT644, 0, XMATCH("Tháng", '6. TIẾN ĐỘ MUA HÀNG'!$A$4:$AT$4, 0))) = TRIM(C$6)) * (INDEX('6. TIẾN ĐỘ MUA HÀNG'!$A$5:$AT644, 0, XMATCH("CL NGÀY NCC DỰ KIẾN - NGÀY NHẬN HÀNG", '6. TIẾN ĐỘ MUA HÀNG'!$A$4:$AT$4, 0)) &lt; 0)
)</f>
        <v>0</v>
      </c>
      <c r="E34" s="755">
        <f t="shared" si="29"/>
        <v>0</v>
      </c>
      <c r="F34" s="756">
        <f t="array" ref="F34">SUMPRODUCT((TRIM(INDEX('6. TIẾN ĐỘ MUA HÀNG'!$A$5:$AT644, 0, XMATCH("NCC VTBB/NL trong nước", '6. TIẾN ĐỘ MUA HÀNG'!$A$4:$AT$4, 0))) = TRIM($B34)) * (TRIM(INDEX('6. TIẾN ĐỘ MUA HÀNG'!$A$5:$AT644, 0, XMATCH("Tháng", '6. TIẾN ĐỘ MUA HÀNG'!$A$4:$AT$4, 0))) = TRIM(F$6)) * (INDEX('6. TIẾN ĐỘ MUA HÀNG'!$A$5:$AT644, 0, XMATCH("Mã đơn Misa", '6. TIẾN ĐỘ MUA HÀNG'!$A$4:$AT$4, 0)) &lt;&gt; ""))</f>
        <v>0</v>
      </c>
      <c r="G34" s="756">
        <f t="array" ref="G34">SUMPRODUCT(
  (INDEX('6. TIẾN ĐỘ MUA HÀNG'!$A$5:$AT644, 0, XMATCH("NCC VTBB/NL trong nước", '6. TIẾN ĐỘ MUA HÀNG'!$A$4:$AT$4, 0)) = $B34) * (TRIM(INDEX('6. TIẾN ĐỘ MUA HÀNG'!$A$5:$AT644, 0, XMATCH("Tháng", '6. TIẾN ĐỘ MUA HÀNG'!$A$4:$AT$4, 0))) = TRIM(F$6)) * (INDEX('6. TIẾN ĐỘ MUA HÀNG'!$A$5:$AT644, 0, XMATCH("CL NGÀY NCC DỰ KIẾN - NGÀY NHẬN HÀNG", '6. TIẾN ĐỘ MUA HÀNG'!$A$4:$AT$4, 0)) &lt; 0)
)</f>
        <v>0</v>
      </c>
      <c r="H34" s="757">
        <f t="shared" si="15"/>
        <v>0</v>
      </c>
      <c r="I34" s="754">
        <f t="array" ref="I34">SUMPRODUCT((TRIM(INDEX('6. TIẾN ĐỘ MUA HÀNG'!$A$5:$AT644, 0, XMATCH("NCC VTBB/NL trong nước", '6. TIẾN ĐỘ MUA HÀNG'!$A$4:$AT$4, 0))) = TRIM($B34)) * (TRIM(INDEX('6. TIẾN ĐỘ MUA HÀNG'!$A$5:$AT644, 0, XMATCH("Tháng", '6. TIẾN ĐỘ MUA HÀNG'!$A$4:$AT$4, 0))) = TRIM(I$6)) * (INDEX('6. TIẾN ĐỘ MUA HÀNG'!$A$5:$AT644, 0, XMATCH("Mã đơn Misa", '6. TIẾN ĐỘ MUA HÀNG'!$A$4:$AT$4, 0)) &lt;&gt; ""))</f>
        <v>0</v>
      </c>
      <c r="J34" s="754">
        <f t="array" ref="J34">SUMPRODUCT(
  (INDEX('6. TIẾN ĐỘ MUA HÀNG'!$A$5:$AT644, 0, XMATCH("NCC VTBB/NL trong nước", '6. TIẾN ĐỘ MUA HÀNG'!$A$4:$AT$4, 0)) = $B34) * (TRIM(INDEX('6. TIẾN ĐỘ MUA HÀNG'!$A$5:$AT644, 0, XMATCH("Tháng", '6. TIẾN ĐỘ MUA HÀNG'!$A$4:$AT$4, 0))) = TRIM(I$6)) * (INDEX('6. TIẾN ĐỘ MUA HÀNG'!$A$5:$AT644, 0, XMATCH("CL NGÀY NCC DỰ KIẾN - NGÀY NHẬN HÀNG", '6. TIẾN ĐỘ MUA HÀNG'!$A$4:$AT$4, 0)) &lt; 0)
)</f>
        <v>0</v>
      </c>
      <c r="K34" s="755">
        <f t="shared" si="30"/>
        <v>0</v>
      </c>
      <c r="L34" s="756">
        <f t="array" ref="L34">SUMPRODUCT((TRIM(INDEX('6. TIẾN ĐỘ MUA HÀNG'!$A$5:$AT644, 0, XMATCH("NCC VTBB/NL trong nước", '6. TIẾN ĐỘ MUA HÀNG'!$A$4:$AT$4, 0))) = TRIM($B34)) * (TRIM(INDEX('6. TIẾN ĐỘ MUA HÀNG'!$A$5:$AT644, 0, XMATCH("Tháng", '6. TIẾN ĐỘ MUA HÀNG'!$A$4:$AT$4, 0))) = TRIM(L$6)) * (INDEX('6. TIẾN ĐỘ MUA HÀNG'!$A$5:$AT644, 0, XMATCH("Mã đơn Misa", '6. TIẾN ĐỘ MUA HÀNG'!$A$4:$AT$4, 0)) &lt;&gt; ""))</f>
        <v>0</v>
      </c>
      <c r="M34" s="756">
        <f t="array" ref="M34">SUMPRODUCT(
  (INDEX('6. TIẾN ĐỘ MUA HÀNG'!$A$5:$AT644, 0, XMATCH("NCC VTBB/NL trong nước", '6. TIẾN ĐỘ MUA HÀNG'!$A$4:$AT$4, 0)) = $B34) * (TRIM(INDEX('6. TIẾN ĐỘ MUA HÀNG'!$A$5:$AT644, 0, XMATCH("Tháng", '6. TIẾN ĐỘ MUA HÀNG'!$A$4:$AT$4, 0))) = TRIM(L$6)) * (INDEX('6. TIẾN ĐỘ MUA HÀNG'!$A$5:$AT644, 0, XMATCH("CL NGÀY NCC DỰ KIẾN - NGÀY NHẬN HÀNG", '6. TIẾN ĐỘ MUA HÀNG'!$A$4:$AT$4, 0)) &lt; 0)
)</f>
        <v>0</v>
      </c>
      <c r="N34" s="757">
        <f t="shared" si="17"/>
        <v>0</v>
      </c>
      <c r="O34" s="754">
        <f t="array" ref="O34">SUMPRODUCT((TRIM(INDEX('6. TIẾN ĐỘ MUA HÀNG'!$A$5:$AT644, 0, XMATCH("NCC VTBB/NL trong nước", '6. TIẾN ĐỘ MUA HÀNG'!$A$4:$AT$4, 0))) = TRIM($B34)) * (TRIM(INDEX('6. TIẾN ĐỘ MUA HÀNG'!$A$5:$AT644, 0, XMATCH("Tháng", '6. TIẾN ĐỘ MUA HÀNG'!$A$4:$AT$4, 0))) = TRIM(O$6)) * (INDEX('6. TIẾN ĐỘ MUA HÀNG'!$A$5:$AT644, 0, XMATCH("Mã đơn Misa", '6. TIẾN ĐỘ MUA HÀNG'!$A$4:$AT$4, 0)) &lt;&gt; ""))</f>
        <v>0</v>
      </c>
      <c r="P34" s="754">
        <f t="array" ref="P34">SUMPRODUCT(
  (INDEX('6. TIẾN ĐỘ MUA HÀNG'!$A$5:$AT644, 0, XMATCH("NCC VTBB/NL trong nước", '6. TIẾN ĐỘ MUA HÀNG'!$A$4:$AT$4, 0)) = $B34) * (TRIM(INDEX('6. TIẾN ĐỘ MUA HÀNG'!$A$5:$AT644, 0, XMATCH("Tháng", '6. TIẾN ĐỘ MUA HÀNG'!$A$4:$AT$4, 0))) = TRIM(O$6)) * (INDEX('6. TIẾN ĐỘ MUA HÀNG'!$A$5:$AT644, 0, XMATCH("CL NGÀY NCC DỰ KIẾN - NGÀY NHẬN HÀNG", '6. TIẾN ĐỘ MUA HÀNG'!$A$4:$AT$4, 0)) &lt; 0)
)</f>
        <v>0</v>
      </c>
      <c r="Q34" s="755">
        <f t="shared" si="31"/>
        <v>0</v>
      </c>
      <c r="R34" s="756">
        <f t="array" ref="R34">SUMPRODUCT((TRIM(INDEX('6. TIẾN ĐỘ MUA HÀNG'!$A$5:$AT644, 0, XMATCH("NCC VTBB/NL trong nước", '6. TIẾN ĐỘ MUA HÀNG'!$A$4:$AT$4, 0))) = TRIM($B34)) * (TRIM(INDEX('6. TIẾN ĐỘ MUA HÀNG'!$A$5:$AT644, 0, XMATCH("Tháng", '6. TIẾN ĐỘ MUA HÀNG'!$A$4:$AT$4, 0))) = TRIM(R$6)) * (INDEX('6. TIẾN ĐỘ MUA HÀNG'!$A$5:$AT644, 0, XMATCH("Mã đơn Misa", '6. TIẾN ĐỘ MUA HÀNG'!$A$4:$AT$4, 0)) &lt;&gt; ""))</f>
        <v>0</v>
      </c>
      <c r="S34" s="756">
        <f t="array" ref="S34">SUMPRODUCT(
  (INDEX('6. TIẾN ĐỘ MUA HÀNG'!$A$5:$AT644, 0, XMATCH("NCC VTBB/NL trong nước", '6. TIẾN ĐỘ MUA HÀNG'!$A$4:$AT$4, 0)) = $B34) * (TRIM(INDEX('6. TIẾN ĐỘ MUA HÀNG'!$A$5:$AT644, 0, XMATCH("Tháng", '6. TIẾN ĐỘ MUA HÀNG'!$A$4:$AT$4, 0))) = TRIM(R$6)) * (INDEX('6. TIẾN ĐỘ MUA HÀNG'!$A$5:$AT644, 0, XMATCH("CL NGÀY NCC DỰ KIẾN - NGÀY NHẬN HÀNG", '6. TIẾN ĐỘ MUA HÀNG'!$A$4:$AT$4, 0)) &lt; 0)
)</f>
        <v>0</v>
      </c>
      <c r="T34" s="757">
        <f t="shared" si="19"/>
        <v>0</v>
      </c>
      <c r="U34" s="754">
        <f t="array" ref="U34">SUMPRODUCT((TRIM(INDEX('6. TIẾN ĐỘ MUA HÀNG'!$A$5:$AT644, 0, XMATCH("NCC VTBB/NL trong nước", '6. TIẾN ĐỘ MUA HÀNG'!$A$4:$AT$4, 0))) = TRIM($B34)) * (TRIM(INDEX('6. TIẾN ĐỘ MUA HÀNG'!$A$5:$AT644, 0, XMATCH("Tháng", '6. TIẾN ĐỘ MUA HÀNG'!$A$4:$AT$4, 0))) = TRIM(U$6)) * (INDEX('6. TIẾN ĐỘ MUA HÀNG'!$A$5:$AT644, 0, XMATCH("Mã đơn Misa", '6. TIẾN ĐỘ MUA HÀNG'!$A$4:$AT$4, 0)) &lt;&gt; ""))</f>
        <v>0</v>
      </c>
      <c r="V34" s="754">
        <f t="array" ref="V34">SUMPRODUCT(
  (INDEX('6. TIẾN ĐỘ MUA HÀNG'!$A$5:$AT644, 0, XMATCH("NCC VTBB/NL trong nước", '6. TIẾN ĐỘ MUA HÀNG'!$A$4:$AT$4, 0)) = $B34) * (TRIM(INDEX('6. TIẾN ĐỘ MUA HÀNG'!$A$5:$AT644, 0, XMATCH("Tháng", '6. TIẾN ĐỘ MUA HÀNG'!$A$4:$AT$4, 0))) = TRIM(U$6)) * (INDEX('6. TIẾN ĐỘ MUA HÀNG'!$A$5:$AT644, 0, XMATCH("CL NGÀY NCC DỰ KIẾN - NGÀY NHẬN HÀNG", '6. TIẾN ĐỘ MUA HÀNG'!$A$4:$AT$4, 0)) &lt; 0)
)</f>
        <v>0</v>
      </c>
      <c r="W34" s="755">
        <f t="shared" si="32"/>
        <v>0</v>
      </c>
      <c r="X34" s="756">
        <f t="array" ref="X34">SUMPRODUCT((TRIM(INDEX('6. TIẾN ĐỘ MUA HÀNG'!$A$5:$AT644, 0, XMATCH("NCC VTBB/NL trong nước", '6. TIẾN ĐỘ MUA HÀNG'!$A$4:$AT$4, 0))) = TRIM($B34)) * (TRIM(INDEX('6. TIẾN ĐỘ MUA HÀNG'!$A$5:$AT644, 0, XMATCH("Tháng", '6. TIẾN ĐỘ MUA HÀNG'!$A$4:$AT$4, 0))) = TRIM(X$6)) * (INDEX('6. TIẾN ĐỘ MUA HÀNG'!$A$5:$AT644, 0, XMATCH("Mã đơn Misa", '6. TIẾN ĐỘ MUA HÀNG'!$A$4:$AT$4, 0)) &lt;&gt; ""))</f>
        <v>0</v>
      </c>
      <c r="Y34" s="756">
        <f t="array" ref="Y34">SUMPRODUCT(
  (INDEX('6. TIẾN ĐỘ MUA HÀNG'!$A$5:$AT644, 0, XMATCH("NCC VTBB/NL trong nước", '6. TIẾN ĐỘ MUA HÀNG'!$A$4:$AT$4, 0)) = $B34) * (TRIM(INDEX('6. TIẾN ĐỘ MUA HÀNG'!$A$5:$AT644, 0, XMATCH("Tháng", '6. TIẾN ĐỘ MUA HÀNG'!$A$4:$AT$4, 0))) = TRIM(X$6)) * (INDEX('6. TIẾN ĐỘ MUA HÀNG'!$A$5:$AT644, 0, XMATCH("CL NGÀY NCC DỰ KIẾN - NGÀY NHẬN HÀNG", '6. TIẾN ĐỘ MUA HÀNG'!$A$4:$AT$4, 0)) &lt; 0)
)</f>
        <v>0</v>
      </c>
      <c r="Z34" s="757">
        <f t="shared" si="21"/>
        <v>0</v>
      </c>
      <c r="AA34" s="754">
        <f t="array" ref="AA34">SUMPRODUCT((TRIM(INDEX('6. TIẾN ĐỘ MUA HÀNG'!$A$5:$AT644, 0, XMATCH("NCC VTBB/NL trong nước", '6. TIẾN ĐỘ MUA HÀNG'!$A$4:$AT$4, 0))) = TRIM($B34)) * (TRIM(INDEX('6. TIẾN ĐỘ MUA HÀNG'!$A$5:$AT644, 0, XMATCH("Tháng", '6. TIẾN ĐỘ MUA HÀNG'!$A$4:$AT$4, 0))) = TRIM(AA$6)) * (INDEX('6. TIẾN ĐỘ MUA HÀNG'!$A$5:$AT644, 0, XMATCH("Mã đơn Misa", '6. TIẾN ĐỘ MUA HÀNG'!$A$4:$AT$4, 0)) &lt;&gt; ""))</f>
        <v>0</v>
      </c>
      <c r="AB34" s="754">
        <f t="array" ref="AB34">SUMPRODUCT(
  (INDEX('6. TIẾN ĐỘ MUA HÀNG'!$A$5:$AT644, 0, XMATCH("NCC VTBB/NL trong nước", '6. TIẾN ĐỘ MUA HÀNG'!$A$4:$AT$4, 0)) = $B34) * (TRIM(INDEX('6. TIẾN ĐỘ MUA HÀNG'!$A$5:$AT644, 0, XMATCH("Tháng", '6. TIẾN ĐỘ MUA HÀNG'!$A$4:$AT$4, 0))) = TRIM(AA$6)) * (INDEX('6. TIẾN ĐỘ MUA HÀNG'!$A$5:$AT644, 0, XMATCH("CL NGÀY NCC DỰ KIẾN - NGÀY NHẬN HÀNG", '6. TIẾN ĐỘ MUA HÀNG'!$A$4:$AT$4, 0)) &lt; 0)
)</f>
        <v>0</v>
      </c>
      <c r="AC34" s="755">
        <f t="shared" si="33"/>
        <v>0</v>
      </c>
      <c r="AD34" s="756">
        <f t="array" ref="AD34">SUMPRODUCT((TRIM(INDEX('6. TIẾN ĐỘ MUA HÀNG'!$A$5:$AT644, 0, XMATCH("NCC VTBB/NL trong nước", '6. TIẾN ĐỘ MUA HÀNG'!$A$4:$AT$4, 0))) = TRIM($B34)) * (TRIM(INDEX('6. TIẾN ĐỘ MUA HÀNG'!$A$5:$AT644, 0, XMATCH("Tháng", '6. TIẾN ĐỘ MUA HÀNG'!$A$4:$AT$4, 0))) = TRIM(AD$6)) * (INDEX('6. TIẾN ĐỘ MUA HÀNG'!$A$5:$AT644, 0, XMATCH("Mã đơn Misa", '6. TIẾN ĐỘ MUA HÀNG'!$A$4:$AT$4, 0)) &lt;&gt; ""))</f>
        <v>0</v>
      </c>
      <c r="AE34" s="756">
        <f t="array" ref="AE34">SUMPRODUCT(
  (INDEX('6. TIẾN ĐỘ MUA HÀNG'!$A$5:$AT644, 0, XMATCH("NCC VTBB/NL trong nước", '6. TIẾN ĐỘ MUA HÀNG'!$A$4:$AT$4, 0)) = $B34) * (TRIM(INDEX('6. TIẾN ĐỘ MUA HÀNG'!$A$5:$AT644, 0, XMATCH("Tháng", '6. TIẾN ĐỘ MUA HÀNG'!$A$4:$AT$4, 0))) = TRIM(AD$6)) * (INDEX('6. TIẾN ĐỘ MUA HÀNG'!$A$5:$AT644, 0, XMATCH("CL NGÀY NCC DỰ KIẾN - NGÀY NHẬN HÀNG", '6. TIẾN ĐỘ MUA HÀNG'!$A$4:$AT$4, 0)) &lt; 0)
)</f>
        <v>0</v>
      </c>
      <c r="AF34" s="757">
        <f t="shared" si="23"/>
        <v>0</v>
      </c>
      <c r="AG34" s="754">
        <f t="array" ref="AG34">SUMPRODUCT((TRIM(INDEX('6. TIẾN ĐỘ MUA HÀNG'!$A$5:$AT644, 0, XMATCH("NCC VTBB/NL trong nước", '6. TIẾN ĐỘ MUA HÀNG'!$A$4:$AT$4, 0))) = TRIM($B34)) * (TRIM(INDEX('6. TIẾN ĐỘ MUA HÀNG'!$A$5:$AT644, 0, XMATCH("Tháng", '6. TIẾN ĐỘ MUA HÀNG'!$A$4:$AT$4, 0))) = TRIM(AG$6)) * (INDEX('6. TIẾN ĐỘ MUA HÀNG'!$A$5:$AT644, 0, XMATCH("Mã đơn Misa", '6. TIẾN ĐỘ MUA HÀNG'!$A$4:$AT$4, 0)) &lt;&gt; ""))</f>
        <v>0</v>
      </c>
      <c r="AH34" s="754">
        <f t="array" ref="AH34">SUMPRODUCT(
  (INDEX('6. TIẾN ĐỘ MUA HÀNG'!$A$5:$AT644, 0, XMATCH("NCC VTBB/NL trong nước", '6. TIẾN ĐỘ MUA HÀNG'!$A$4:$AT$4, 0)) = $B34) * (TRIM(INDEX('6. TIẾN ĐỘ MUA HÀNG'!$A$5:$AT644, 0, XMATCH("Tháng", '6. TIẾN ĐỘ MUA HÀNG'!$A$4:$AT$4, 0))) = TRIM(AG$6)) * (INDEX('6. TIẾN ĐỘ MUA HÀNG'!$A$5:$AT644, 0, XMATCH("CL NGÀY NCC DỰ KIẾN - NGÀY NHẬN HÀNG", '6. TIẾN ĐỘ MUA HÀNG'!$A$4:$AT$4, 0)) &lt; 0)
)</f>
        <v>0</v>
      </c>
      <c r="AI34" s="755">
        <f t="shared" si="34"/>
        <v>0</v>
      </c>
      <c r="AJ34" s="756">
        <f t="array" ref="AJ34">SUMPRODUCT((TRIM(INDEX('6. TIẾN ĐỘ MUA HÀNG'!$A$5:$AT644, 0, XMATCH("NCC VTBB/NL trong nước", '6. TIẾN ĐỘ MUA HÀNG'!$A$4:$AT$4, 0))) = TRIM($B34)) * (TRIM(INDEX('6. TIẾN ĐỘ MUA HÀNG'!$A$5:$AT644, 0, XMATCH("Tháng", '6. TIẾN ĐỘ MUA HÀNG'!$A$4:$AT$4, 0))) = TRIM(AJ$6)) * (INDEX('6. TIẾN ĐỘ MUA HÀNG'!$A$5:$AT644, 0, XMATCH("Mã đơn Misa", '6. TIẾN ĐỘ MUA HÀNG'!$A$4:$AT$4, 0)) &lt;&gt; ""))</f>
        <v>0</v>
      </c>
      <c r="AK34" s="756">
        <f t="array" ref="AK34">SUMPRODUCT(
  (INDEX('6. TIẾN ĐỘ MUA HÀNG'!$A$5:$AT644, 0, XMATCH("NCC VTBB/NL trong nước", '6. TIẾN ĐỘ MUA HÀNG'!$A$4:$AT$4, 0)) = $B34) * (TRIM(INDEX('6. TIẾN ĐỘ MUA HÀNG'!$A$5:$AT644, 0, XMATCH("Tháng", '6. TIẾN ĐỘ MUA HÀNG'!$A$4:$AT$4, 0))) = TRIM(AJ$6)) * (INDEX('6. TIẾN ĐỘ MUA HÀNG'!$A$5:$AT644, 0, XMATCH("CL NGÀY NCC DỰ KIẾN - NGÀY NHẬN HÀNG", '6. TIẾN ĐỘ MUA HÀNG'!$A$4:$AT$4, 0)) &lt; 0)
)</f>
        <v>0</v>
      </c>
      <c r="AL34" s="757">
        <f t="shared" si="25"/>
        <v>0</v>
      </c>
      <c r="AM34" s="726">
        <f t="shared" si="27"/>
        <v>0</v>
      </c>
      <c r="AN34" s="726">
        <f t="shared" si="28"/>
        <v>0</v>
      </c>
      <c r="AO34" s="727">
        <f t="shared" si="26"/>
        <v>0</v>
      </c>
    </row>
    <row r="35">
      <c r="A35" s="612">
        <v>27.0</v>
      </c>
      <c r="B35" s="624" t="str">
        <f>IFERROR(__xludf.DUMMYFUNCTION("""COMPUTED_VALUE"""),"Ngàn Hương")</f>
        <v>Ngàn Hương</v>
      </c>
      <c r="C35" s="754">
        <f t="array" ref="C35">SUMPRODUCT((TRIM(INDEX('6. TIẾN ĐỘ MUA HÀNG'!$A$5:$AT644, 0, XMATCH("NCC VTBB/NL trong nước", '6. TIẾN ĐỘ MUA HÀNG'!$A$4:$AT$4, 0))) = TRIM($B35)) * (TRIM(INDEX('6. TIẾN ĐỘ MUA HÀNG'!$A$5:$AT644, 0, XMATCH("Tháng", '6. TIẾN ĐỘ MUA HÀNG'!$A$4:$AT$4, 0))) = TRIM(C$6)) * (INDEX('6. TIẾN ĐỘ MUA HÀNG'!$A$5:$AT644, 0, XMATCH("Mã đơn Misa", '6. TIẾN ĐỘ MUA HÀNG'!$A$4:$AT$4, 0)) &lt;&gt; ""))</f>
        <v>0</v>
      </c>
      <c r="D35" s="754">
        <f t="array" ref="D35">SUMPRODUCT(
  (INDEX('6. TIẾN ĐỘ MUA HÀNG'!$A$5:$AT644, 0, XMATCH("NCC VTBB/NL trong nước", '6. TIẾN ĐỘ MUA HÀNG'!$A$4:$AT$4, 0)) = $B35) * (TRIM(INDEX('6. TIẾN ĐỘ MUA HÀNG'!$A$5:$AT644, 0, XMATCH("Tháng", '6. TIẾN ĐỘ MUA HÀNG'!$A$4:$AT$4, 0))) = TRIM(C$6)) * (INDEX('6. TIẾN ĐỘ MUA HÀNG'!$A$5:$AT644, 0, XMATCH("CL NGÀY NCC DỰ KIẾN - NGÀY NHẬN HÀNG", '6. TIẾN ĐỘ MUA HÀNG'!$A$4:$AT$4, 0)) &lt; 0)
)</f>
        <v>0</v>
      </c>
      <c r="E35" s="755">
        <f t="shared" si="29"/>
        <v>0</v>
      </c>
      <c r="F35" s="756">
        <f t="array" ref="F35">SUMPRODUCT((TRIM(INDEX('6. TIẾN ĐỘ MUA HÀNG'!$A$5:$AT644, 0, XMATCH("NCC VTBB/NL trong nước", '6. TIẾN ĐỘ MUA HÀNG'!$A$4:$AT$4, 0))) = TRIM($B35)) * (TRIM(INDEX('6. TIẾN ĐỘ MUA HÀNG'!$A$5:$AT644, 0, XMATCH("Tháng", '6. TIẾN ĐỘ MUA HÀNG'!$A$4:$AT$4, 0))) = TRIM(F$6)) * (INDEX('6. TIẾN ĐỘ MUA HÀNG'!$A$5:$AT644, 0, XMATCH("Mã đơn Misa", '6. TIẾN ĐỘ MUA HÀNG'!$A$4:$AT$4, 0)) &lt;&gt; ""))</f>
        <v>0</v>
      </c>
      <c r="G35" s="756">
        <f t="array" ref="G35">SUMPRODUCT(
  (INDEX('6. TIẾN ĐỘ MUA HÀNG'!$A$5:$AT644, 0, XMATCH("NCC VTBB/NL trong nước", '6. TIẾN ĐỘ MUA HÀNG'!$A$4:$AT$4, 0)) = $B35) * (TRIM(INDEX('6. TIẾN ĐỘ MUA HÀNG'!$A$5:$AT644, 0, XMATCH("Tháng", '6. TIẾN ĐỘ MUA HÀNG'!$A$4:$AT$4, 0))) = TRIM(F$6)) * (INDEX('6. TIẾN ĐỘ MUA HÀNG'!$A$5:$AT644, 0, XMATCH("CL NGÀY NCC DỰ KIẾN - NGÀY NHẬN HÀNG", '6. TIẾN ĐỘ MUA HÀNG'!$A$4:$AT$4, 0)) &lt; 0)
)</f>
        <v>0</v>
      </c>
      <c r="H35" s="757">
        <f t="shared" si="15"/>
        <v>0</v>
      </c>
      <c r="I35" s="754">
        <f t="array" ref="I35">SUMPRODUCT((TRIM(INDEX('6. TIẾN ĐỘ MUA HÀNG'!$A$5:$AT644, 0, XMATCH("NCC VTBB/NL trong nước", '6. TIẾN ĐỘ MUA HÀNG'!$A$4:$AT$4, 0))) = TRIM($B35)) * (TRIM(INDEX('6. TIẾN ĐỘ MUA HÀNG'!$A$5:$AT644, 0, XMATCH("Tháng", '6. TIẾN ĐỘ MUA HÀNG'!$A$4:$AT$4, 0))) = TRIM(I$6)) * (INDEX('6. TIẾN ĐỘ MUA HÀNG'!$A$5:$AT644, 0, XMATCH("Mã đơn Misa", '6. TIẾN ĐỘ MUA HÀNG'!$A$4:$AT$4, 0)) &lt;&gt; ""))</f>
        <v>0</v>
      </c>
      <c r="J35" s="754">
        <f t="array" ref="J35">SUMPRODUCT(
  (INDEX('6. TIẾN ĐỘ MUA HÀNG'!$A$5:$AT644, 0, XMATCH("NCC VTBB/NL trong nước", '6. TIẾN ĐỘ MUA HÀNG'!$A$4:$AT$4, 0)) = $B35) * (TRIM(INDEX('6. TIẾN ĐỘ MUA HÀNG'!$A$5:$AT644, 0, XMATCH("Tháng", '6. TIẾN ĐỘ MUA HÀNG'!$A$4:$AT$4, 0))) = TRIM(I$6)) * (INDEX('6. TIẾN ĐỘ MUA HÀNG'!$A$5:$AT644, 0, XMATCH("CL NGÀY NCC DỰ KIẾN - NGÀY NHẬN HÀNG", '6. TIẾN ĐỘ MUA HÀNG'!$A$4:$AT$4, 0)) &lt; 0)
)</f>
        <v>0</v>
      </c>
      <c r="K35" s="755">
        <f t="shared" si="30"/>
        <v>0</v>
      </c>
      <c r="L35" s="756">
        <f t="array" ref="L35">SUMPRODUCT((TRIM(INDEX('6. TIẾN ĐỘ MUA HÀNG'!$A$5:$AT644, 0, XMATCH("NCC VTBB/NL trong nước", '6. TIẾN ĐỘ MUA HÀNG'!$A$4:$AT$4, 0))) = TRIM($B35)) * (TRIM(INDEX('6. TIẾN ĐỘ MUA HÀNG'!$A$5:$AT644, 0, XMATCH("Tháng", '6. TIẾN ĐỘ MUA HÀNG'!$A$4:$AT$4, 0))) = TRIM(L$6)) * (INDEX('6. TIẾN ĐỘ MUA HÀNG'!$A$5:$AT644, 0, XMATCH("Mã đơn Misa", '6. TIẾN ĐỘ MUA HÀNG'!$A$4:$AT$4, 0)) &lt;&gt; ""))</f>
        <v>0</v>
      </c>
      <c r="M35" s="756">
        <f t="array" ref="M35">SUMPRODUCT(
  (INDEX('6. TIẾN ĐỘ MUA HÀNG'!$A$5:$AT644, 0, XMATCH("NCC VTBB/NL trong nước", '6. TIẾN ĐỘ MUA HÀNG'!$A$4:$AT$4, 0)) = $B35) * (TRIM(INDEX('6. TIẾN ĐỘ MUA HÀNG'!$A$5:$AT644, 0, XMATCH("Tháng", '6. TIẾN ĐỘ MUA HÀNG'!$A$4:$AT$4, 0))) = TRIM(L$6)) * (INDEX('6. TIẾN ĐỘ MUA HÀNG'!$A$5:$AT644, 0, XMATCH("CL NGÀY NCC DỰ KIẾN - NGÀY NHẬN HÀNG", '6. TIẾN ĐỘ MUA HÀNG'!$A$4:$AT$4, 0)) &lt; 0)
)</f>
        <v>0</v>
      </c>
      <c r="N35" s="757">
        <f t="shared" si="17"/>
        <v>0</v>
      </c>
      <c r="O35" s="754">
        <f t="array" ref="O35">SUMPRODUCT((TRIM(INDEX('6. TIẾN ĐỘ MUA HÀNG'!$A$5:$AT644, 0, XMATCH("NCC VTBB/NL trong nước", '6. TIẾN ĐỘ MUA HÀNG'!$A$4:$AT$4, 0))) = TRIM($B35)) * (TRIM(INDEX('6. TIẾN ĐỘ MUA HÀNG'!$A$5:$AT644, 0, XMATCH("Tháng", '6. TIẾN ĐỘ MUA HÀNG'!$A$4:$AT$4, 0))) = TRIM(O$6)) * (INDEX('6. TIẾN ĐỘ MUA HÀNG'!$A$5:$AT644, 0, XMATCH("Mã đơn Misa", '6. TIẾN ĐỘ MUA HÀNG'!$A$4:$AT$4, 0)) &lt;&gt; ""))</f>
        <v>0</v>
      </c>
      <c r="P35" s="754">
        <f t="array" ref="P35">SUMPRODUCT(
  (INDEX('6. TIẾN ĐỘ MUA HÀNG'!$A$5:$AT644, 0, XMATCH("NCC VTBB/NL trong nước", '6. TIẾN ĐỘ MUA HÀNG'!$A$4:$AT$4, 0)) = $B35) * (TRIM(INDEX('6. TIẾN ĐỘ MUA HÀNG'!$A$5:$AT644, 0, XMATCH("Tháng", '6. TIẾN ĐỘ MUA HÀNG'!$A$4:$AT$4, 0))) = TRIM(O$6)) * (INDEX('6. TIẾN ĐỘ MUA HÀNG'!$A$5:$AT644, 0, XMATCH("CL NGÀY NCC DỰ KIẾN - NGÀY NHẬN HÀNG", '6. TIẾN ĐỘ MUA HÀNG'!$A$4:$AT$4, 0)) &lt; 0)
)</f>
        <v>0</v>
      </c>
      <c r="Q35" s="755">
        <f t="shared" si="31"/>
        <v>0</v>
      </c>
      <c r="R35" s="756">
        <f t="array" ref="R35">SUMPRODUCT((TRIM(INDEX('6. TIẾN ĐỘ MUA HÀNG'!$A$5:$AT644, 0, XMATCH("NCC VTBB/NL trong nước", '6. TIẾN ĐỘ MUA HÀNG'!$A$4:$AT$4, 0))) = TRIM($B35)) * (TRIM(INDEX('6. TIẾN ĐỘ MUA HÀNG'!$A$5:$AT644, 0, XMATCH("Tháng", '6. TIẾN ĐỘ MUA HÀNG'!$A$4:$AT$4, 0))) = TRIM(R$6)) * (INDEX('6. TIẾN ĐỘ MUA HÀNG'!$A$5:$AT644, 0, XMATCH("Mã đơn Misa", '6. TIẾN ĐỘ MUA HÀNG'!$A$4:$AT$4, 0)) &lt;&gt; ""))</f>
        <v>0</v>
      </c>
      <c r="S35" s="756">
        <f t="array" ref="S35">SUMPRODUCT(
  (INDEX('6. TIẾN ĐỘ MUA HÀNG'!$A$5:$AT644, 0, XMATCH("NCC VTBB/NL trong nước", '6. TIẾN ĐỘ MUA HÀNG'!$A$4:$AT$4, 0)) = $B35) * (TRIM(INDEX('6. TIẾN ĐỘ MUA HÀNG'!$A$5:$AT644, 0, XMATCH("Tháng", '6. TIẾN ĐỘ MUA HÀNG'!$A$4:$AT$4, 0))) = TRIM(R$6)) * (INDEX('6. TIẾN ĐỘ MUA HÀNG'!$A$5:$AT644, 0, XMATCH("CL NGÀY NCC DỰ KIẾN - NGÀY NHẬN HÀNG", '6. TIẾN ĐỘ MUA HÀNG'!$A$4:$AT$4, 0)) &lt; 0)
)</f>
        <v>0</v>
      </c>
      <c r="T35" s="757">
        <f t="shared" si="19"/>
        <v>0</v>
      </c>
      <c r="U35" s="754">
        <f t="array" ref="U35">SUMPRODUCT((TRIM(INDEX('6. TIẾN ĐỘ MUA HÀNG'!$A$5:$AT644, 0, XMATCH("NCC VTBB/NL trong nước", '6. TIẾN ĐỘ MUA HÀNG'!$A$4:$AT$4, 0))) = TRIM($B35)) * (TRIM(INDEX('6. TIẾN ĐỘ MUA HÀNG'!$A$5:$AT644, 0, XMATCH("Tháng", '6. TIẾN ĐỘ MUA HÀNG'!$A$4:$AT$4, 0))) = TRIM(U$6)) * (INDEX('6. TIẾN ĐỘ MUA HÀNG'!$A$5:$AT644, 0, XMATCH("Mã đơn Misa", '6. TIẾN ĐỘ MUA HÀNG'!$A$4:$AT$4, 0)) &lt;&gt; ""))</f>
        <v>0</v>
      </c>
      <c r="V35" s="754">
        <f t="array" ref="V35">SUMPRODUCT(
  (INDEX('6. TIẾN ĐỘ MUA HÀNG'!$A$5:$AT644, 0, XMATCH("NCC VTBB/NL trong nước", '6. TIẾN ĐỘ MUA HÀNG'!$A$4:$AT$4, 0)) = $B35) * (TRIM(INDEX('6. TIẾN ĐỘ MUA HÀNG'!$A$5:$AT644, 0, XMATCH("Tháng", '6. TIẾN ĐỘ MUA HÀNG'!$A$4:$AT$4, 0))) = TRIM(U$6)) * (INDEX('6. TIẾN ĐỘ MUA HÀNG'!$A$5:$AT644, 0, XMATCH("CL NGÀY NCC DỰ KIẾN - NGÀY NHẬN HÀNG", '6. TIẾN ĐỘ MUA HÀNG'!$A$4:$AT$4, 0)) &lt; 0)
)</f>
        <v>0</v>
      </c>
      <c r="W35" s="755">
        <f t="shared" si="32"/>
        <v>0</v>
      </c>
      <c r="X35" s="756">
        <f t="array" ref="X35">SUMPRODUCT((TRIM(INDEX('6. TIẾN ĐỘ MUA HÀNG'!$A$5:$AT644, 0, XMATCH("NCC VTBB/NL trong nước", '6. TIẾN ĐỘ MUA HÀNG'!$A$4:$AT$4, 0))) = TRIM($B35)) * (TRIM(INDEX('6. TIẾN ĐỘ MUA HÀNG'!$A$5:$AT644, 0, XMATCH("Tháng", '6. TIẾN ĐỘ MUA HÀNG'!$A$4:$AT$4, 0))) = TRIM(X$6)) * (INDEX('6. TIẾN ĐỘ MUA HÀNG'!$A$5:$AT644, 0, XMATCH("Mã đơn Misa", '6. TIẾN ĐỘ MUA HÀNG'!$A$4:$AT$4, 0)) &lt;&gt; ""))</f>
        <v>0</v>
      </c>
      <c r="Y35" s="756">
        <f t="array" ref="Y35">SUMPRODUCT(
  (INDEX('6. TIẾN ĐỘ MUA HÀNG'!$A$5:$AT644, 0, XMATCH("NCC VTBB/NL trong nước", '6. TIẾN ĐỘ MUA HÀNG'!$A$4:$AT$4, 0)) = $B35) * (TRIM(INDEX('6. TIẾN ĐỘ MUA HÀNG'!$A$5:$AT644, 0, XMATCH("Tháng", '6. TIẾN ĐỘ MUA HÀNG'!$A$4:$AT$4, 0))) = TRIM(X$6)) * (INDEX('6. TIẾN ĐỘ MUA HÀNG'!$A$5:$AT644, 0, XMATCH("CL NGÀY NCC DỰ KIẾN - NGÀY NHẬN HÀNG", '6. TIẾN ĐỘ MUA HÀNG'!$A$4:$AT$4, 0)) &lt; 0)
)</f>
        <v>0</v>
      </c>
      <c r="Z35" s="757">
        <f t="shared" si="21"/>
        <v>0</v>
      </c>
      <c r="AA35" s="754">
        <f t="array" ref="AA35">SUMPRODUCT((TRIM(INDEX('6. TIẾN ĐỘ MUA HÀNG'!$A$5:$AT644, 0, XMATCH("NCC VTBB/NL trong nước", '6. TIẾN ĐỘ MUA HÀNG'!$A$4:$AT$4, 0))) = TRIM($B35)) * (TRIM(INDEX('6. TIẾN ĐỘ MUA HÀNG'!$A$5:$AT644, 0, XMATCH("Tháng", '6. TIẾN ĐỘ MUA HÀNG'!$A$4:$AT$4, 0))) = TRIM(AA$6)) * (INDEX('6. TIẾN ĐỘ MUA HÀNG'!$A$5:$AT644, 0, XMATCH("Mã đơn Misa", '6. TIẾN ĐỘ MUA HÀNG'!$A$4:$AT$4, 0)) &lt;&gt; ""))</f>
        <v>0</v>
      </c>
      <c r="AB35" s="754">
        <f t="array" ref="AB35">SUMPRODUCT(
  (INDEX('6. TIẾN ĐỘ MUA HÀNG'!$A$5:$AT644, 0, XMATCH("NCC VTBB/NL trong nước", '6. TIẾN ĐỘ MUA HÀNG'!$A$4:$AT$4, 0)) = $B35) * (TRIM(INDEX('6. TIẾN ĐỘ MUA HÀNG'!$A$5:$AT644, 0, XMATCH("Tháng", '6. TIẾN ĐỘ MUA HÀNG'!$A$4:$AT$4, 0))) = TRIM(AA$6)) * (INDEX('6. TIẾN ĐỘ MUA HÀNG'!$A$5:$AT644, 0, XMATCH("CL NGÀY NCC DỰ KIẾN - NGÀY NHẬN HÀNG", '6. TIẾN ĐỘ MUA HÀNG'!$A$4:$AT$4, 0)) &lt; 0)
)</f>
        <v>0</v>
      </c>
      <c r="AC35" s="755">
        <f t="shared" si="33"/>
        <v>0</v>
      </c>
      <c r="AD35" s="756">
        <f t="array" ref="AD35">SUMPRODUCT((TRIM(INDEX('6. TIẾN ĐỘ MUA HÀNG'!$A$5:$AT644, 0, XMATCH("NCC VTBB/NL trong nước", '6. TIẾN ĐỘ MUA HÀNG'!$A$4:$AT$4, 0))) = TRIM($B35)) * (TRIM(INDEX('6. TIẾN ĐỘ MUA HÀNG'!$A$5:$AT644, 0, XMATCH("Tháng", '6. TIẾN ĐỘ MUA HÀNG'!$A$4:$AT$4, 0))) = TRIM(AD$6)) * (INDEX('6. TIẾN ĐỘ MUA HÀNG'!$A$5:$AT644, 0, XMATCH("Mã đơn Misa", '6. TIẾN ĐỘ MUA HÀNG'!$A$4:$AT$4, 0)) &lt;&gt; ""))</f>
        <v>0</v>
      </c>
      <c r="AE35" s="756">
        <f t="array" ref="AE35">SUMPRODUCT(
  (INDEX('6. TIẾN ĐỘ MUA HÀNG'!$A$5:$AT644, 0, XMATCH("NCC VTBB/NL trong nước", '6. TIẾN ĐỘ MUA HÀNG'!$A$4:$AT$4, 0)) = $B35) * (TRIM(INDEX('6. TIẾN ĐỘ MUA HÀNG'!$A$5:$AT644, 0, XMATCH("Tháng", '6. TIẾN ĐỘ MUA HÀNG'!$A$4:$AT$4, 0))) = TRIM(AD$6)) * (INDEX('6. TIẾN ĐỘ MUA HÀNG'!$A$5:$AT644, 0, XMATCH("CL NGÀY NCC DỰ KIẾN - NGÀY NHẬN HÀNG", '6. TIẾN ĐỘ MUA HÀNG'!$A$4:$AT$4, 0)) &lt; 0)
)</f>
        <v>0</v>
      </c>
      <c r="AF35" s="757">
        <f t="shared" si="23"/>
        <v>0</v>
      </c>
      <c r="AG35" s="754">
        <f t="array" ref="AG35">SUMPRODUCT((TRIM(INDEX('6. TIẾN ĐỘ MUA HÀNG'!$A$5:$AT644, 0, XMATCH("NCC VTBB/NL trong nước", '6. TIẾN ĐỘ MUA HÀNG'!$A$4:$AT$4, 0))) = TRIM($B35)) * (TRIM(INDEX('6. TIẾN ĐỘ MUA HÀNG'!$A$5:$AT644, 0, XMATCH("Tháng", '6. TIẾN ĐỘ MUA HÀNG'!$A$4:$AT$4, 0))) = TRIM(AG$6)) * (INDEX('6. TIẾN ĐỘ MUA HÀNG'!$A$5:$AT644, 0, XMATCH("Mã đơn Misa", '6. TIẾN ĐỘ MUA HÀNG'!$A$4:$AT$4, 0)) &lt;&gt; ""))</f>
        <v>0</v>
      </c>
      <c r="AH35" s="754">
        <f t="array" ref="AH35">SUMPRODUCT(
  (INDEX('6. TIẾN ĐỘ MUA HÀNG'!$A$5:$AT644, 0, XMATCH("NCC VTBB/NL trong nước", '6. TIẾN ĐỘ MUA HÀNG'!$A$4:$AT$4, 0)) = $B35) * (TRIM(INDEX('6. TIẾN ĐỘ MUA HÀNG'!$A$5:$AT644, 0, XMATCH("Tháng", '6. TIẾN ĐỘ MUA HÀNG'!$A$4:$AT$4, 0))) = TRIM(AG$6)) * (INDEX('6. TIẾN ĐỘ MUA HÀNG'!$A$5:$AT644, 0, XMATCH("CL NGÀY NCC DỰ KIẾN - NGÀY NHẬN HÀNG", '6. TIẾN ĐỘ MUA HÀNG'!$A$4:$AT$4, 0)) &lt; 0)
)</f>
        <v>0</v>
      </c>
      <c r="AI35" s="755">
        <f t="shared" si="34"/>
        <v>0</v>
      </c>
      <c r="AJ35" s="756">
        <f t="array" ref="AJ35">SUMPRODUCT((TRIM(INDEX('6. TIẾN ĐỘ MUA HÀNG'!$A$5:$AT644, 0, XMATCH("NCC VTBB/NL trong nước", '6. TIẾN ĐỘ MUA HÀNG'!$A$4:$AT$4, 0))) = TRIM($B35)) * (TRIM(INDEX('6. TIẾN ĐỘ MUA HÀNG'!$A$5:$AT644, 0, XMATCH("Tháng", '6. TIẾN ĐỘ MUA HÀNG'!$A$4:$AT$4, 0))) = TRIM(AJ$6)) * (INDEX('6. TIẾN ĐỘ MUA HÀNG'!$A$5:$AT644, 0, XMATCH("Mã đơn Misa", '6. TIẾN ĐỘ MUA HÀNG'!$A$4:$AT$4, 0)) &lt;&gt; ""))</f>
        <v>0</v>
      </c>
      <c r="AK35" s="756">
        <f t="array" ref="AK35">SUMPRODUCT(
  (INDEX('6. TIẾN ĐỘ MUA HÀNG'!$A$5:$AT644, 0, XMATCH("NCC VTBB/NL trong nước", '6. TIẾN ĐỘ MUA HÀNG'!$A$4:$AT$4, 0)) = $B35) * (TRIM(INDEX('6. TIẾN ĐỘ MUA HÀNG'!$A$5:$AT644, 0, XMATCH("Tháng", '6. TIẾN ĐỘ MUA HÀNG'!$A$4:$AT$4, 0))) = TRIM(AJ$6)) * (INDEX('6. TIẾN ĐỘ MUA HÀNG'!$A$5:$AT644, 0, XMATCH("CL NGÀY NCC DỰ KIẾN - NGÀY NHẬN HÀNG", '6. TIẾN ĐỘ MUA HÀNG'!$A$4:$AT$4, 0)) &lt; 0)
)</f>
        <v>0</v>
      </c>
      <c r="AL35" s="757">
        <f t="shared" si="25"/>
        <v>0</v>
      </c>
      <c r="AM35" s="726">
        <f t="shared" si="27"/>
        <v>0</v>
      </c>
      <c r="AN35" s="726">
        <f t="shared" si="28"/>
        <v>0</v>
      </c>
      <c r="AO35" s="727">
        <f t="shared" si="26"/>
        <v>0</v>
      </c>
    </row>
    <row r="36">
      <c r="A36" s="612">
        <v>28.0</v>
      </c>
      <c r="B36" s="624" t="str">
        <f>IFERROR(__xludf.DUMMYFUNCTION("""COMPUTED_VALUE"""),"Mạnh Đan")</f>
        <v>Mạnh Đan</v>
      </c>
      <c r="C36" s="754">
        <f t="array" ref="C36">SUMPRODUCT((TRIM(INDEX('6. TIẾN ĐỘ MUA HÀNG'!$A$5:$AT644, 0, XMATCH("NCC VTBB/NL trong nước", '6. TIẾN ĐỘ MUA HÀNG'!$A$4:$AT$4, 0))) = TRIM($B36)) * (TRIM(INDEX('6. TIẾN ĐỘ MUA HÀNG'!$A$5:$AT644, 0, XMATCH("Tháng", '6. TIẾN ĐỘ MUA HÀNG'!$A$4:$AT$4, 0))) = TRIM(C$6)) * (INDEX('6. TIẾN ĐỘ MUA HÀNG'!$A$5:$AT644, 0, XMATCH("Mã đơn Misa", '6. TIẾN ĐỘ MUA HÀNG'!$A$4:$AT$4, 0)) &lt;&gt; ""))</f>
        <v>0</v>
      </c>
      <c r="D36" s="754">
        <f t="array" ref="D36">SUMPRODUCT(
  (INDEX('6. TIẾN ĐỘ MUA HÀNG'!$A$5:$AT644, 0, XMATCH("NCC VTBB/NL trong nước", '6. TIẾN ĐỘ MUA HÀNG'!$A$4:$AT$4, 0)) = $B36) * (TRIM(INDEX('6. TIẾN ĐỘ MUA HÀNG'!$A$5:$AT644, 0, XMATCH("Tháng", '6. TIẾN ĐỘ MUA HÀNG'!$A$4:$AT$4, 0))) = TRIM(C$6)) * (INDEX('6. TIẾN ĐỘ MUA HÀNG'!$A$5:$AT644, 0, XMATCH("CL NGÀY NCC DỰ KIẾN - NGÀY NHẬN HÀNG", '6. TIẾN ĐỘ MUA HÀNG'!$A$4:$AT$4, 0)) &lt; 0)
)</f>
        <v>0</v>
      </c>
      <c r="E36" s="755">
        <f t="shared" si="29"/>
        <v>0</v>
      </c>
      <c r="F36" s="756">
        <f t="array" ref="F36">SUMPRODUCT((TRIM(INDEX('6. TIẾN ĐỘ MUA HÀNG'!$A$5:$AT644, 0, XMATCH("NCC VTBB/NL trong nước", '6. TIẾN ĐỘ MUA HÀNG'!$A$4:$AT$4, 0))) = TRIM($B36)) * (TRIM(INDEX('6. TIẾN ĐỘ MUA HÀNG'!$A$5:$AT644, 0, XMATCH("Tháng", '6. TIẾN ĐỘ MUA HÀNG'!$A$4:$AT$4, 0))) = TRIM(F$6)) * (INDEX('6. TIẾN ĐỘ MUA HÀNG'!$A$5:$AT644, 0, XMATCH("Mã đơn Misa", '6. TIẾN ĐỘ MUA HÀNG'!$A$4:$AT$4, 0)) &lt;&gt; ""))</f>
        <v>0</v>
      </c>
      <c r="G36" s="756">
        <f t="array" ref="G36">SUMPRODUCT(
  (INDEX('6. TIẾN ĐỘ MUA HÀNG'!$A$5:$AT644, 0, XMATCH("NCC VTBB/NL trong nước", '6. TIẾN ĐỘ MUA HÀNG'!$A$4:$AT$4, 0)) = $B36) * (TRIM(INDEX('6. TIẾN ĐỘ MUA HÀNG'!$A$5:$AT644, 0, XMATCH("Tháng", '6. TIẾN ĐỘ MUA HÀNG'!$A$4:$AT$4, 0))) = TRIM(F$6)) * (INDEX('6. TIẾN ĐỘ MUA HÀNG'!$A$5:$AT644, 0, XMATCH("CL NGÀY NCC DỰ KIẾN - NGÀY NHẬN HÀNG", '6. TIẾN ĐỘ MUA HÀNG'!$A$4:$AT$4, 0)) &lt; 0)
)</f>
        <v>0</v>
      </c>
      <c r="H36" s="757">
        <f t="shared" si="15"/>
        <v>0</v>
      </c>
      <c r="I36" s="754">
        <f t="array" ref="I36">SUMPRODUCT((TRIM(INDEX('6. TIẾN ĐỘ MUA HÀNG'!$A$5:$AT644, 0, XMATCH("NCC VTBB/NL trong nước", '6. TIẾN ĐỘ MUA HÀNG'!$A$4:$AT$4, 0))) = TRIM($B36)) * (TRIM(INDEX('6. TIẾN ĐỘ MUA HÀNG'!$A$5:$AT644, 0, XMATCH("Tháng", '6. TIẾN ĐỘ MUA HÀNG'!$A$4:$AT$4, 0))) = TRIM(I$6)) * (INDEX('6. TIẾN ĐỘ MUA HÀNG'!$A$5:$AT644, 0, XMATCH("Mã đơn Misa", '6. TIẾN ĐỘ MUA HÀNG'!$A$4:$AT$4, 0)) &lt;&gt; ""))</f>
        <v>0</v>
      </c>
      <c r="J36" s="754">
        <f t="array" ref="J36">SUMPRODUCT(
  (INDEX('6. TIẾN ĐỘ MUA HÀNG'!$A$5:$AT644, 0, XMATCH("NCC VTBB/NL trong nước", '6. TIẾN ĐỘ MUA HÀNG'!$A$4:$AT$4, 0)) = $B36) * (TRIM(INDEX('6. TIẾN ĐỘ MUA HÀNG'!$A$5:$AT644, 0, XMATCH("Tháng", '6. TIẾN ĐỘ MUA HÀNG'!$A$4:$AT$4, 0))) = TRIM(I$6)) * (INDEX('6. TIẾN ĐỘ MUA HÀNG'!$A$5:$AT644, 0, XMATCH("CL NGÀY NCC DỰ KIẾN - NGÀY NHẬN HÀNG", '6. TIẾN ĐỘ MUA HÀNG'!$A$4:$AT$4, 0)) &lt; 0)
)</f>
        <v>0</v>
      </c>
      <c r="K36" s="755">
        <f t="shared" si="30"/>
        <v>0</v>
      </c>
      <c r="L36" s="756">
        <f t="array" ref="L36">SUMPRODUCT((TRIM(INDEX('6. TIẾN ĐỘ MUA HÀNG'!$A$5:$AT644, 0, XMATCH("NCC VTBB/NL trong nước", '6. TIẾN ĐỘ MUA HÀNG'!$A$4:$AT$4, 0))) = TRIM($B36)) * (TRIM(INDEX('6. TIẾN ĐỘ MUA HÀNG'!$A$5:$AT644, 0, XMATCH("Tháng", '6. TIẾN ĐỘ MUA HÀNG'!$A$4:$AT$4, 0))) = TRIM(L$6)) * (INDEX('6. TIẾN ĐỘ MUA HÀNG'!$A$5:$AT644, 0, XMATCH("Mã đơn Misa", '6. TIẾN ĐỘ MUA HÀNG'!$A$4:$AT$4, 0)) &lt;&gt; ""))</f>
        <v>0</v>
      </c>
      <c r="M36" s="756">
        <f t="array" ref="M36">SUMPRODUCT(
  (INDEX('6. TIẾN ĐỘ MUA HÀNG'!$A$5:$AT644, 0, XMATCH("NCC VTBB/NL trong nước", '6. TIẾN ĐỘ MUA HÀNG'!$A$4:$AT$4, 0)) = $B36) * (TRIM(INDEX('6. TIẾN ĐỘ MUA HÀNG'!$A$5:$AT644, 0, XMATCH("Tháng", '6. TIẾN ĐỘ MUA HÀNG'!$A$4:$AT$4, 0))) = TRIM(L$6)) * (INDEX('6. TIẾN ĐỘ MUA HÀNG'!$A$5:$AT644, 0, XMATCH("CL NGÀY NCC DỰ KIẾN - NGÀY NHẬN HÀNG", '6. TIẾN ĐỘ MUA HÀNG'!$A$4:$AT$4, 0)) &lt; 0)
)</f>
        <v>0</v>
      </c>
      <c r="N36" s="757">
        <f t="shared" si="17"/>
        <v>0</v>
      </c>
      <c r="O36" s="754">
        <f t="array" ref="O36">SUMPRODUCT((TRIM(INDEX('6. TIẾN ĐỘ MUA HÀNG'!$A$5:$AT644, 0, XMATCH("NCC VTBB/NL trong nước", '6. TIẾN ĐỘ MUA HÀNG'!$A$4:$AT$4, 0))) = TRIM($B36)) * (TRIM(INDEX('6. TIẾN ĐỘ MUA HÀNG'!$A$5:$AT644, 0, XMATCH("Tháng", '6. TIẾN ĐỘ MUA HÀNG'!$A$4:$AT$4, 0))) = TRIM(O$6)) * (INDEX('6. TIẾN ĐỘ MUA HÀNG'!$A$5:$AT644, 0, XMATCH("Mã đơn Misa", '6. TIẾN ĐỘ MUA HÀNG'!$A$4:$AT$4, 0)) &lt;&gt; ""))</f>
        <v>0</v>
      </c>
      <c r="P36" s="754">
        <f t="array" ref="P36">SUMPRODUCT(
  (INDEX('6. TIẾN ĐỘ MUA HÀNG'!$A$5:$AT644, 0, XMATCH("NCC VTBB/NL trong nước", '6. TIẾN ĐỘ MUA HÀNG'!$A$4:$AT$4, 0)) = $B36) * (TRIM(INDEX('6. TIẾN ĐỘ MUA HÀNG'!$A$5:$AT644, 0, XMATCH("Tháng", '6. TIẾN ĐỘ MUA HÀNG'!$A$4:$AT$4, 0))) = TRIM(O$6)) * (INDEX('6. TIẾN ĐỘ MUA HÀNG'!$A$5:$AT644, 0, XMATCH("CL NGÀY NCC DỰ KIẾN - NGÀY NHẬN HÀNG", '6. TIẾN ĐỘ MUA HÀNG'!$A$4:$AT$4, 0)) &lt; 0)
)</f>
        <v>0</v>
      </c>
      <c r="Q36" s="755">
        <f t="shared" si="31"/>
        <v>0</v>
      </c>
      <c r="R36" s="756">
        <f t="array" ref="R36">SUMPRODUCT((TRIM(INDEX('6. TIẾN ĐỘ MUA HÀNG'!$A$5:$AT644, 0, XMATCH("NCC VTBB/NL trong nước", '6. TIẾN ĐỘ MUA HÀNG'!$A$4:$AT$4, 0))) = TRIM($B36)) * (TRIM(INDEX('6. TIẾN ĐỘ MUA HÀNG'!$A$5:$AT644, 0, XMATCH("Tháng", '6. TIẾN ĐỘ MUA HÀNG'!$A$4:$AT$4, 0))) = TRIM(R$6)) * (INDEX('6. TIẾN ĐỘ MUA HÀNG'!$A$5:$AT644, 0, XMATCH("Mã đơn Misa", '6. TIẾN ĐỘ MUA HÀNG'!$A$4:$AT$4, 0)) &lt;&gt; ""))</f>
        <v>0</v>
      </c>
      <c r="S36" s="756">
        <f t="array" ref="S36">SUMPRODUCT(
  (INDEX('6. TIẾN ĐỘ MUA HÀNG'!$A$5:$AT644, 0, XMATCH("NCC VTBB/NL trong nước", '6. TIẾN ĐỘ MUA HÀNG'!$A$4:$AT$4, 0)) = $B36) * (TRIM(INDEX('6. TIẾN ĐỘ MUA HÀNG'!$A$5:$AT644, 0, XMATCH("Tháng", '6. TIẾN ĐỘ MUA HÀNG'!$A$4:$AT$4, 0))) = TRIM(R$6)) * (INDEX('6. TIẾN ĐỘ MUA HÀNG'!$A$5:$AT644, 0, XMATCH("CL NGÀY NCC DỰ KIẾN - NGÀY NHẬN HÀNG", '6. TIẾN ĐỘ MUA HÀNG'!$A$4:$AT$4, 0)) &lt; 0)
)</f>
        <v>0</v>
      </c>
      <c r="T36" s="757">
        <f t="shared" si="19"/>
        <v>0</v>
      </c>
      <c r="U36" s="754">
        <f t="array" ref="U36">SUMPRODUCT((TRIM(INDEX('6. TIẾN ĐỘ MUA HÀNG'!$A$5:$AT644, 0, XMATCH("NCC VTBB/NL trong nước", '6. TIẾN ĐỘ MUA HÀNG'!$A$4:$AT$4, 0))) = TRIM($B36)) * (TRIM(INDEX('6. TIẾN ĐỘ MUA HÀNG'!$A$5:$AT644, 0, XMATCH("Tháng", '6. TIẾN ĐỘ MUA HÀNG'!$A$4:$AT$4, 0))) = TRIM(U$6)) * (INDEX('6. TIẾN ĐỘ MUA HÀNG'!$A$5:$AT644, 0, XMATCH("Mã đơn Misa", '6. TIẾN ĐỘ MUA HÀNG'!$A$4:$AT$4, 0)) &lt;&gt; ""))</f>
        <v>0</v>
      </c>
      <c r="V36" s="754">
        <f t="array" ref="V36">SUMPRODUCT(
  (INDEX('6. TIẾN ĐỘ MUA HÀNG'!$A$5:$AT644, 0, XMATCH("NCC VTBB/NL trong nước", '6. TIẾN ĐỘ MUA HÀNG'!$A$4:$AT$4, 0)) = $B36) * (TRIM(INDEX('6. TIẾN ĐỘ MUA HÀNG'!$A$5:$AT644, 0, XMATCH("Tháng", '6. TIẾN ĐỘ MUA HÀNG'!$A$4:$AT$4, 0))) = TRIM(U$6)) * (INDEX('6. TIẾN ĐỘ MUA HÀNG'!$A$5:$AT644, 0, XMATCH("CL NGÀY NCC DỰ KIẾN - NGÀY NHẬN HÀNG", '6. TIẾN ĐỘ MUA HÀNG'!$A$4:$AT$4, 0)) &lt; 0)
)</f>
        <v>0</v>
      </c>
      <c r="W36" s="755">
        <f t="shared" si="32"/>
        <v>0</v>
      </c>
      <c r="X36" s="756">
        <f t="array" ref="X36">SUMPRODUCT((TRIM(INDEX('6. TIẾN ĐỘ MUA HÀNG'!$A$5:$AT644, 0, XMATCH("NCC VTBB/NL trong nước", '6. TIẾN ĐỘ MUA HÀNG'!$A$4:$AT$4, 0))) = TRIM($B36)) * (TRIM(INDEX('6. TIẾN ĐỘ MUA HÀNG'!$A$5:$AT644, 0, XMATCH("Tháng", '6. TIẾN ĐỘ MUA HÀNG'!$A$4:$AT$4, 0))) = TRIM(X$6)) * (INDEX('6. TIẾN ĐỘ MUA HÀNG'!$A$5:$AT644, 0, XMATCH("Mã đơn Misa", '6. TIẾN ĐỘ MUA HÀNG'!$A$4:$AT$4, 0)) &lt;&gt; ""))</f>
        <v>0</v>
      </c>
      <c r="Y36" s="756">
        <f t="array" ref="Y36">SUMPRODUCT(
  (INDEX('6. TIẾN ĐỘ MUA HÀNG'!$A$5:$AT644, 0, XMATCH("NCC VTBB/NL trong nước", '6. TIẾN ĐỘ MUA HÀNG'!$A$4:$AT$4, 0)) = $B36) * (TRIM(INDEX('6. TIẾN ĐỘ MUA HÀNG'!$A$5:$AT644, 0, XMATCH("Tháng", '6. TIẾN ĐỘ MUA HÀNG'!$A$4:$AT$4, 0))) = TRIM(X$6)) * (INDEX('6. TIẾN ĐỘ MUA HÀNG'!$A$5:$AT644, 0, XMATCH("CL NGÀY NCC DỰ KIẾN - NGÀY NHẬN HÀNG", '6. TIẾN ĐỘ MUA HÀNG'!$A$4:$AT$4, 0)) &lt; 0)
)</f>
        <v>0</v>
      </c>
      <c r="Z36" s="757">
        <f t="shared" si="21"/>
        <v>0</v>
      </c>
      <c r="AA36" s="754">
        <f t="array" ref="AA36">SUMPRODUCT((TRIM(INDEX('6. TIẾN ĐỘ MUA HÀNG'!$A$5:$AT644, 0, XMATCH("NCC VTBB/NL trong nước", '6. TIẾN ĐỘ MUA HÀNG'!$A$4:$AT$4, 0))) = TRIM($B36)) * (TRIM(INDEX('6. TIẾN ĐỘ MUA HÀNG'!$A$5:$AT644, 0, XMATCH("Tháng", '6. TIẾN ĐỘ MUA HÀNG'!$A$4:$AT$4, 0))) = TRIM(AA$6)) * (INDEX('6. TIẾN ĐỘ MUA HÀNG'!$A$5:$AT644, 0, XMATCH("Mã đơn Misa", '6. TIẾN ĐỘ MUA HÀNG'!$A$4:$AT$4, 0)) &lt;&gt; ""))</f>
        <v>0</v>
      </c>
      <c r="AB36" s="754">
        <f t="array" ref="AB36">SUMPRODUCT(
  (INDEX('6. TIẾN ĐỘ MUA HÀNG'!$A$5:$AT644, 0, XMATCH("NCC VTBB/NL trong nước", '6. TIẾN ĐỘ MUA HÀNG'!$A$4:$AT$4, 0)) = $B36) * (TRIM(INDEX('6. TIẾN ĐỘ MUA HÀNG'!$A$5:$AT644, 0, XMATCH("Tháng", '6. TIẾN ĐỘ MUA HÀNG'!$A$4:$AT$4, 0))) = TRIM(AA$6)) * (INDEX('6. TIẾN ĐỘ MUA HÀNG'!$A$5:$AT644, 0, XMATCH("CL NGÀY NCC DỰ KIẾN - NGÀY NHẬN HÀNG", '6. TIẾN ĐỘ MUA HÀNG'!$A$4:$AT$4, 0)) &lt; 0)
)</f>
        <v>0</v>
      </c>
      <c r="AC36" s="755">
        <f t="shared" si="33"/>
        <v>0</v>
      </c>
      <c r="AD36" s="756">
        <f t="array" ref="AD36">SUMPRODUCT((TRIM(INDEX('6. TIẾN ĐỘ MUA HÀNG'!$A$5:$AT644, 0, XMATCH("NCC VTBB/NL trong nước", '6. TIẾN ĐỘ MUA HÀNG'!$A$4:$AT$4, 0))) = TRIM($B36)) * (TRIM(INDEX('6. TIẾN ĐỘ MUA HÀNG'!$A$5:$AT644, 0, XMATCH("Tháng", '6. TIẾN ĐỘ MUA HÀNG'!$A$4:$AT$4, 0))) = TRIM(AD$6)) * (INDEX('6. TIẾN ĐỘ MUA HÀNG'!$A$5:$AT644, 0, XMATCH("Mã đơn Misa", '6. TIẾN ĐỘ MUA HÀNG'!$A$4:$AT$4, 0)) &lt;&gt; ""))</f>
        <v>0</v>
      </c>
      <c r="AE36" s="756">
        <f t="array" ref="AE36">SUMPRODUCT(
  (INDEX('6. TIẾN ĐỘ MUA HÀNG'!$A$5:$AT644, 0, XMATCH("NCC VTBB/NL trong nước", '6. TIẾN ĐỘ MUA HÀNG'!$A$4:$AT$4, 0)) = $B36) * (TRIM(INDEX('6. TIẾN ĐỘ MUA HÀNG'!$A$5:$AT644, 0, XMATCH("Tháng", '6. TIẾN ĐỘ MUA HÀNG'!$A$4:$AT$4, 0))) = TRIM(AD$6)) * (INDEX('6. TIẾN ĐỘ MUA HÀNG'!$A$5:$AT644, 0, XMATCH("CL NGÀY NCC DỰ KIẾN - NGÀY NHẬN HÀNG", '6. TIẾN ĐỘ MUA HÀNG'!$A$4:$AT$4, 0)) &lt; 0)
)</f>
        <v>0</v>
      </c>
      <c r="AF36" s="757">
        <f t="shared" si="23"/>
        <v>0</v>
      </c>
      <c r="AG36" s="754">
        <f t="array" ref="AG36">SUMPRODUCT((TRIM(INDEX('6. TIẾN ĐỘ MUA HÀNG'!$A$5:$AT644, 0, XMATCH("NCC VTBB/NL trong nước", '6. TIẾN ĐỘ MUA HÀNG'!$A$4:$AT$4, 0))) = TRIM($B36)) * (TRIM(INDEX('6. TIẾN ĐỘ MUA HÀNG'!$A$5:$AT644, 0, XMATCH("Tháng", '6. TIẾN ĐỘ MUA HÀNG'!$A$4:$AT$4, 0))) = TRIM(AG$6)) * (INDEX('6. TIẾN ĐỘ MUA HÀNG'!$A$5:$AT644, 0, XMATCH("Mã đơn Misa", '6. TIẾN ĐỘ MUA HÀNG'!$A$4:$AT$4, 0)) &lt;&gt; ""))</f>
        <v>0</v>
      </c>
      <c r="AH36" s="754">
        <f t="array" ref="AH36">SUMPRODUCT(
  (INDEX('6. TIẾN ĐỘ MUA HÀNG'!$A$5:$AT644, 0, XMATCH("NCC VTBB/NL trong nước", '6. TIẾN ĐỘ MUA HÀNG'!$A$4:$AT$4, 0)) = $B36) * (TRIM(INDEX('6. TIẾN ĐỘ MUA HÀNG'!$A$5:$AT644, 0, XMATCH("Tháng", '6. TIẾN ĐỘ MUA HÀNG'!$A$4:$AT$4, 0))) = TRIM(AG$6)) * (INDEX('6. TIẾN ĐỘ MUA HÀNG'!$A$5:$AT644, 0, XMATCH("CL NGÀY NCC DỰ KIẾN - NGÀY NHẬN HÀNG", '6. TIẾN ĐỘ MUA HÀNG'!$A$4:$AT$4, 0)) &lt; 0)
)</f>
        <v>0</v>
      </c>
      <c r="AI36" s="755">
        <f t="shared" si="34"/>
        <v>0</v>
      </c>
      <c r="AJ36" s="756">
        <f t="array" ref="AJ36">SUMPRODUCT((TRIM(INDEX('6. TIẾN ĐỘ MUA HÀNG'!$A$5:$AT644, 0, XMATCH("NCC VTBB/NL trong nước", '6. TIẾN ĐỘ MUA HÀNG'!$A$4:$AT$4, 0))) = TRIM($B36)) * (TRIM(INDEX('6. TIẾN ĐỘ MUA HÀNG'!$A$5:$AT644, 0, XMATCH("Tháng", '6. TIẾN ĐỘ MUA HÀNG'!$A$4:$AT$4, 0))) = TRIM(AJ$6)) * (INDEX('6. TIẾN ĐỘ MUA HÀNG'!$A$5:$AT644, 0, XMATCH("Mã đơn Misa", '6. TIẾN ĐỘ MUA HÀNG'!$A$4:$AT$4, 0)) &lt;&gt; ""))</f>
        <v>0</v>
      </c>
      <c r="AK36" s="756">
        <f t="array" ref="AK36">SUMPRODUCT(
  (INDEX('6. TIẾN ĐỘ MUA HÀNG'!$A$5:$AT644, 0, XMATCH("NCC VTBB/NL trong nước", '6. TIẾN ĐỘ MUA HÀNG'!$A$4:$AT$4, 0)) = $B36) * (TRIM(INDEX('6. TIẾN ĐỘ MUA HÀNG'!$A$5:$AT644, 0, XMATCH("Tháng", '6. TIẾN ĐỘ MUA HÀNG'!$A$4:$AT$4, 0))) = TRIM(AJ$6)) * (INDEX('6. TIẾN ĐỘ MUA HÀNG'!$A$5:$AT644, 0, XMATCH("CL NGÀY NCC DỰ KIẾN - NGÀY NHẬN HÀNG", '6. TIẾN ĐỘ MUA HÀNG'!$A$4:$AT$4, 0)) &lt; 0)
)</f>
        <v>0</v>
      </c>
      <c r="AL36" s="757">
        <f t="shared" si="25"/>
        <v>0</v>
      </c>
      <c r="AM36" s="726">
        <f t="shared" si="27"/>
        <v>0</v>
      </c>
      <c r="AN36" s="726">
        <f t="shared" si="28"/>
        <v>0</v>
      </c>
      <c r="AO36" s="727">
        <f t="shared" si="26"/>
        <v>0</v>
      </c>
    </row>
    <row r="37">
      <c r="A37" s="612">
        <v>29.0</v>
      </c>
      <c r="B37" s="624" t="str">
        <f>IFERROR(__xludf.DUMMYFUNCTION("""COMPUTED_VALUE"""),"Trung Phong")</f>
        <v>Trung Phong</v>
      </c>
      <c r="C37" s="754">
        <f t="array" ref="C37">SUMPRODUCT((TRIM(INDEX('6. TIẾN ĐỘ MUA HÀNG'!$A$5:$AT644, 0, XMATCH("NCC VTBB/NL trong nước", '6. TIẾN ĐỘ MUA HÀNG'!$A$4:$AT$4, 0))) = TRIM($B37)) * (TRIM(INDEX('6. TIẾN ĐỘ MUA HÀNG'!$A$5:$AT644, 0, XMATCH("Tháng", '6. TIẾN ĐỘ MUA HÀNG'!$A$4:$AT$4, 0))) = TRIM(C$6)) * (INDEX('6. TIẾN ĐỘ MUA HÀNG'!$A$5:$AT644, 0, XMATCH("Mã đơn Misa", '6. TIẾN ĐỘ MUA HÀNG'!$A$4:$AT$4, 0)) &lt;&gt; ""))</f>
        <v>0</v>
      </c>
      <c r="D37" s="754">
        <f t="array" ref="D37">SUMPRODUCT(
  (INDEX('6. TIẾN ĐỘ MUA HÀNG'!$A$5:$AT644, 0, XMATCH("NCC VTBB/NL trong nước", '6. TIẾN ĐỘ MUA HÀNG'!$A$4:$AT$4, 0)) = $B37) * (TRIM(INDEX('6. TIẾN ĐỘ MUA HÀNG'!$A$5:$AT644, 0, XMATCH("Tháng", '6. TIẾN ĐỘ MUA HÀNG'!$A$4:$AT$4, 0))) = TRIM(C$6)) * (INDEX('6. TIẾN ĐỘ MUA HÀNG'!$A$5:$AT644, 0, XMATCH("CL NGÀY NCC DỰ KIẾN - NGÀY NHẬN HÀNG", '6. TIẾN ĐỘ MUA HÀNG'!$A$4:$AT$4, 0)) &lt; 0)
)</f>
        <v>0</v>
      </c>
      <c r="E37" s="755">
        <f t="shared" si="29"/>
        <v>0</v>
      </c>
      <c r="F37" s="756">
        <f t="array" ref="F37">SUMPRODUCT((TRIM(INDEX('6. TIẾN ĐỘ MUA HÀNG'!$A$5:$AT644, 0, XMATCH("NCC VTBB/NL trong nước", '6. TIẾN ĐỘ MUA HÀNG'!$A$4:$AT$4, 0))) = TRIM($B37)) * (TRIM(INDEX('6. TIẾN ĐỘ MUA HÀNG'!$A$5:$AT644, 0, XMATCH("Tháng", '6. TIẾN ĐỘ MUA HÀNG'!$A$4:$AT$4, 0))) = TRIM(F$6)) * (INDEX('6. TIẾN ĐỘ MUA HÀNG'!$A$5:$AT644, 0, XMATCH("Mã đơn Misa", '6. TIẾN ĐỘ MUA HÀNG'!$A$4:$AT$4, 0)) &lt;&gt; ""))</f>
        <v>0</v>
      </c>
      <c r="G37" s="756">
        <f t="array" ref="G37">SUMPRODUCT(
  (INDEX('6. TIẾN ĐỘ MUA HÀNG'!$A$5:$AT644, 0, XMATCH("NCC VTBB/NL trong nước", '6. TIẾN ĐỘ MUA HÀNG'!$A$4:$AT$4, 0)) = $B37) * (TRIM(INDEX('6. TIẾN ĐỘ MUA HÀNG'!$A$5:$AT644, 0, XMATCH("Tháng", '6. TIẾN ĐỘ MUA HÀNG'!$A$4:$AT$4, 0))) = TRIM(F$6)) * (INDEX('6. TIẾN ĐỘ MUA HÀNG'!$A$5:$AT644, 0, XMATCH("CL NGÀY NCC DỰ KIẾN - NGÀY NHẬN HÀNG", '6. TIẾN ĐỘ MUA HÀNG'!$A$4:$AT$4, 0)) &lt; 0)
)</f>
        <v>0</v>
      </c>
      <c r="H37" s="757">
        <f t="shared" si="15"/>
        <v>0</v>
      </c>
      <c r="I37" s="754">
        <f t="array" ref="I37">SUMPRODUCT((TRIM(INDEX('6. TIẾN ĐỘ MUA HÀNG'!$A$5:$AT644, 0, XMATCH("NCC VTBB/NL trong nước", '6. TIẾN ĐỘ MUA HÀNG'!$A$4:$AT$4, 0))) = TRIM($B37)) * (TRIM(INDEX('6. TIẾN ĐỘ MUA HÀNG'!$A$5:$AT644, 0, XMATCH("Tháng", '6. TIẾN ĐỘ MUA HÀNG'!$A$4:$AT$4, 0))) = TRIM(I$6)) * (INDEX('6. TIẾN ĐỘ MUA HÀNG'!$A$5:$AT644, 0, XMATCH("Mã đơn Misa", '6. TIẾN ĐỘ MUA HÀNG'!$A$4:$AT$4, 0)) &lt;&gt; ""))</f>
        <v>0</v>
      </c>
      <c r="J37" s="754">
        <f t="array" ref="J37">SUMPRODUCT(
  (INDEX('6. TIẾN ĐỘ MUA HÀNG'!$A$5:$AT644, 0, XMATCH("NCC VTBB/NL trong nước", '6. TIẾN ĐỘ MUA HÀNG'!$A$4:$AT$4, 0)) = $B37) * (TRIM(INDEX('6. TIẾN ĐỘ MUA HÀNG'!$A$5:$AT644, 0, XMATCH("Tháng", '6. TIẾN ĐỘ MUA HÀNG'!$A$4:$AT$4, 0))) = TRIM(I$6)) * (INDEX('6. TIẾN ĐỘ MUA HÀNG'!$A$5:$AT644, 0, XMATCH("CL NGÀY NCC DỰ KIẾN - NGÀY NHẬN HÀNG", '6. TIẾN ĐỘ MUA HÀNG'!$A$4:$AT$4, 0)) &lt; 0)
)</f>
        <v>0</v>
      </c>
      <c r="K37" s="755">
        <f t="shared" si="30"/>
        <v>0</v>
      </c>
      <c r="L37" s="756">
        <f t="array" ref="L37">SUMPRODUCT((TRIM(INDEX('6. TIẾN ĐỘ MUA HÀNG'!$A$5:$AT644, 0, XMATCH("NCC VTBB/NL trong nước", '6. TIẾN ĐỘ MUA HÀNG'!$A$4:$AT$4, 0))) = TRIM($B37)) * (TRIM(INDEX('6. TIẾN ĐỘ MUA HÀNG'!$A$5:$AT644, 0, XMATCH("Tháng", '6. TIẾN ĐỘ MUA HÀNG'!$A$4:$AT$4, 0))) = TRIM(L$6)) * (INDEX('6. TIẾN ĐỘ MUA HÀNG'!$A$5:$AT644, 0, XMATCH("Mã đơn Misa", '6. TIẾN ĐỘ MUA HÀNG'!$A$4:$AT$4, 0)) &lt;&gt; ""))</f>
        <v>0</v>
      </c>
      <c r="M37" s="756">
        <f t="array" ref="M37">SUMPRODUCT(
  (INDEX('6. TIẾN ĐỘ MUA HÀNG'!$A$5:$AT644, 0, XMATCH("NCC VTBB/NL trong nước", '6. TIẾN ĐỘ MUA HÀNG'!$A$4:$AT$4, 0)) = $B37) * (TRIM(INDEX('6. TIẾN ĐỘ MUA HÀNG'!$A$5:$AT644, 0, XMATCH("Tháng", '6. TIẾN ĐỘ MUA HÀNG'!$A$4:$AT$4, 0))) = TRIM(L$6)) * (INDEX('6. TIẾN ĐỘ MUA HÀNG'!$A$5:$AT644, 0, XMATCH("CL NGÀY NCC DỰ KIẾN - NGÀY NHẬN HÀNG", '6. TIẾN ĐỘ MUA HÀNG'!$A$4:$AT$4, 0)) &lt; 0)
)</f>
        <v>0</v>
      </c>
      <c r="N37" s="757">
        <f t="shared" si="17"/>
        <v>0</v>
      </c>
      <c r="O37" s="754">
        <f t="array" ref="O37">SUMPRODUCT((TRIM(INDEX('6. TIẾN ĐỘ MUA HÀNG'!$A$5:$AT644, 0, XMATCH("NCC VTBB/NL trong nước", '6. TIẾN ĐỘ MUA HÀNG'!$A$4:$AT$4, 0))) = TRIM($B37)) * (TRIM(INDEX('6. TIẾN ĐỘ MUA HÀNG'!$A$5:$AT644, 0, XMATCH("Tháng", '6. TIẾN ĐỘ MUA HÀNG'!$A$4:$AT$4, 0))) = TRIM(O$6)) * (INDEX('6. TIẾN ĐỘ MUA HÀNG'!$A$5:$AT644, 0, XMATCH("Mã đơn Misa", '6. TIẾN ĐỘ MUA HÀNG'!$A$4:$AT$4, 0)) &lt;&gt; ""))</f>
        <v>0</v>
      </c>
      <c r="P37" s="754">
        <f t="array" ref="P37">SUMPRODUCT(
  (INDEX('6. TIẾN ĐỘ MUA HÀNG'!$A$5:$AT644, 0, XMATCH("NCC VTBB/NL trong nước", '6. TIẾN ĐỘ MUA HÀNG'!$A$4:$AT$4, 0)) = $B37) * (TRIM(INDEX('6. TIẾN ĐỘ MUA HÀNG'!$A$5:$AT644, 0, XMATCH("Tháng", '6. TIẾN ĐỘ MUA HÀNG'!$A$4:$AT$4, 0))) = TRIM(O$6)) * (INDEX('6. TIẾN ĐỘ MUA HÀNG'!$A$5:$AT644, 0, XMATCH("CL NGÀY NCC DỰ KIẾN - NGÀY NHẬN HÀNG", '6. TIẾN ĐỘ MUA HÀNG'!$A$4:$AT$4, 0)) &lt; 0)
)</f>
        <v>0</v>
      </c>
      <c r="Q37" s="755">
        <f t="shared" si="31"/>
        <v>0</v>
      </c>
      <c r="R37" s="756">
        <f t="array" ref="R37">SUMPRODUCT((TRIM(INDEX('6. TIẾN ĐỘ MUA HÀNG'!$A$5:$AT644, 0, XMATCH("NCC VTBB/NL trong nước", '6. TIẾN ĐỘ MUA HÀNG'!$A$4:$AT$4, 0))) = TRIM($B37)) * (TRIM(INDEX('6. TIẾN ĐỘ MUA HÀNG'!$A$5:$AT644, 0, XMATCH("Tháng", '6. TIẾN ĐỘ MUA HÀNG'!$A$4:$AT$4, 0))) = TRIM(R$6)) * (INDEX('6. TIẾN ĐỘ MUA HÀNG'!$A$5:$AT644, 0, XMATCH("Mã đơn Misa", '6. TIẾN ĐỘ MUA HÀNG'!$A$4:$AT$4, 0)) &lt;&gt; ""))</f>
        <v>0</v>
      </c>
      <c r="S37" s="756">
        <f t="array" ref="S37">SUMPRODUCT(
  (INDEX('6. TIẾN ĐỘ MUA HÀNG'!$A$5:$AT644, 0, XMATCH("NCC VTBB/NL trong nước", '6. TIẾN ĐỘ MUA HÀNG'!$A$4:$AT$4, 0)) = $B37) * (TRIM(INDEX('6. TIẾN ĐỘ MUA HÀNG'!$A$5:$AT644, 0, XMATCH("Tháng", '6. TIẾN ĐỘ MUA HÀNG'!$A$4:$AT$4, 0))) = TRIM(R$6)) * (INDEX('6. TIẾN ĐỘ MUA HÀNG'!$A$5:$AT644, 0, XMATCH("CL NGÀY NCC DỰ KIẾN - NGÀY NHẬN HÀNG", '6. TIẾN ĐỘ MUA HÀNG'!$A$4:$AT$4, 0)) &lt; 0)
)</f>
        <v>0</v>
      </c>
      <c r="T37" s="757">
        <f t="shared" si="19"/>
        <v>0</v>
      </c>
      <c r="U37" s="754">
        <f t="array" ref="U37">SUMPRODUCT((TRIM(INDEX('6. TIẾN ĐỘ MUA HÀNG'!$A$5:$AT644, 0, XMATCH("NCC VTBB/NL trong nước", '6. TIẾN ĐỘ MUA HÀNG'!$A$4:$AT$4, 0))) = TRIM($B37)) * (TRIM(INDEX('6. TIẾN ĐỘ MUA HÀNG'!$A$5:$AT644, 0, XMATCH("Tháng", '6. TIẾN ĐỘ MUA HÀNG'!$A$4:$AT$4, 0))) = TRIM(U$6)) * (INDEX('6. TIẾN ĐỘ MUA HÀNG'!$A$5:$AT644, 0, XMATCH("Mã đơn Misa", '6. TIẾN ĐỘ MUA HÀNG'!$A$4:$AT$4, 0)) &lt;&gt; ""))</f>
        <v>0</v>
      </c>
      <c r="V37" s="754">
        <f t="array" ref="V37">SUMPRODUCT(
  (INDEX('6. TIẾN ĐỘ MUA HÀNG'!$A$5:$AT644, 0, XMATCH("NCC VTBB/NL trong nước", '6. TIẾN ĐỘ MUA HÀNG'!$A$4:$AT$4, 0)) = $B37) * (TRIM(INDEX('6. TIẾN ĐỘ MUA HÀNG'!$A$5:$AT644, 0, XMATCH("Tháng", '6. TIẾN ĐỘ MUA HÀNG'!$A$4:$AT$4, 0))) = TRIM(U$6)) * (INDEX('6. TIẾN ĐỘ MUA HÀNG'!$A$5:$AT644, 0, XMATCH("CL NGÀY NCC DỰ KIẾN - NGÀY NHẬN HÀNG", '6. TIẾN ĐỘ MUA HÀNG'!$A$4:$AT$4, 0)) &lt; 0)
)</f>
        <v>0</v>
      </c>
      <c r="W37" s="755">
        <f t="shared" si="32"/>
        <v>0</v>
      </c>
      <c r="X37" s="756">
        <f t="array" ref="X37">SUMPRODUCT((TRIM(INDEX('6. TIẾN ĐỘ MUA HÀNG'!$A$5:$AT644, 0, XMATCH("NCC VTBB/NL trong nước", '6. TIẾN ĐỘ MUA HÀNG'!$A$4:$AT$4, 0))) = TRIM($B37)) * (TRIM(INDEX('6. TIẾN ĐỘ MUA HÀNG'!$A$5:$AT644, 0, XMATCH("Tháng", '6. TIẾN ĐỘ MUA HÀNG'!$A$4:$AT$4, 0))) = TRIM(X$6)) * (INDEX('6. TIẾN ĐỘ MUA HÀNG'!$A$5:$AT644, 0, XMATCH("Mã đơn Misa", '6. TIẾN ĐỘ MUA HÀNG'!$A$4:$AT$4, 0)) &lt;&gt; ""))</f>
        <v>0</v>
      </c>
      <c r="Y37" s="756">
        <f t="array" ref="Y37">SUMPRODUCT(
  (INDEX('6. TIẾN ĐỘ MUA HÀNG'!$A$5:$AT644, 0, XMATCH("NCC VTBB/NL trong nước", '6. TIẾN ĐỘ MUA HÀNG'!$A$4:$AT$4, 0)) = $B37) * (TRIM(INDEX('6. TIẾN ĐỘ MUA HÀNG'!$A$5:$AT644, 0, XMATCH("Tháng", '6. TIẾN ĐỘ MUA HÀNG'!$A$4:$AT$4, 0))) = TRIM(X$6)) * (INDEX('6. TIẾN ĐỘ MUA HÀNG'!$A$5:$AT644, 0, XMATCH("CL NGÀY NCC DỰ KIẾN - NGÀY NHẬN HÀNG", '6. TIẾN ĐỘ MUA HÀNG'!$A$4:$AT$4, 0)) &lt; 0)
)</f>
        <v>0</v>
      </c>
      <c r="Z37" s="757">
        <f t="shared" si="21"/>
        <v>0</v>
      </c>
      <c r="AA37" s="754">
        <f t="array" ref="AA37">SUMPRODUCT((TRIM(INDEX('6. TIẾN ĐỘ MUA HÀNG'!$A$5:$AT644, 0, XMATCH("NCC VTBB/NL trong nước", '6. TIẾN ĐỘ MUA HÀNG'!$A$4:$AT$4, 0))) = TRIM($B37)) * (TRIM(INDEX('6. TIẾN ĐỘ MUA HÀNG'!$A$5:$AT644, 0, XMATCH("Tháng", '6. TIẾN ĐỘ MUA HÀNG'!$A$4:$AT$4, 0))) = TRIM(AA$6)) * (INDEX('6. TIẾN ĐỘ MUA HÀNG'!$A$5:$AT644, 0, XMATCH("Mã đơn Misa", '6. TIẾN ĐỘ MUA HÀNG'!$A$4:$AT$4, 0)) &lt;&gt; ""))</f>
        <v>0</v>
      </c>
      <c r="AB37" s="754">
        <f t="array" ref="AB37">SUMPRODUCT(
  (INDEX('6. TIẾN ĐỘ MUA HÀNG'!$A$5:$AT644, 0, XMATCH("NCC VTBB/NL trong nước", '6. TIẾN ĐỘ MUA HÀNG'!$A$4:$AT$4, 0)) = $B37) * (TRIM(INDEX('6. TIẾN ĐỘ MUA HÀNG'!$A$5:$AT644, 0, XMATCH("Tháng", '6. TIẾN ĐỘ MUA HÀNG'!$A$4:$AT$4, 0))) = TRIM(AA$6)) * (INDEX('6. TIẾN ĐỘ MUA HÀNG'!$A$5:$AT644, 0, XMATCH("CL NGÀY NCC DỰ KIẾN - NGÀY NHẬN HÀNG", '6. TIẾN ĐỘ MUA HÀNG'!$A$4:$AT$4, 0)) &lt; 0)
)</f>
        <v>0</v>
      </c>
      <c r="AC37" s="755">
        <f t="shared" si="33"/>
        <v>0</v>
      </c>
      <c r="AD37" s="756">
        <f t="array" ref="AD37">SUMPRODUCT((TRIM(INDEX('6. TIẾN ĐỘ MUA HÀNG'!$A$5:$AT644, 0, XMATCH("NCC VTBB/NL trong nước", '6. TIẾN ĐỘ MUA HÀNG'!$A$4:$AT$4, 0))) = TRIM($B37)) * (TRIM(INDEX('6. TIẾN ĐỘ MUA HÀNG'!$A$5:$AT644, 0, XMATCH("Tháng", '6. TIẾN ĐỘ MUA HÀNG'!$A$4:$AT$4, 0))) = TRIM(AD$6)) * (INDEX('6. TIẾN ĐỘ MUA HÀNG'!$A$5:$AT644, 0, XMATCH("Mã đơn Misa", '6. TIẾN ĐỘ MUA HÀNG'!$A$4:$AT$4, 0)) &lt;&gt; ""))</f>
        <v>0</v>
      </c>
      <c r="AE37" s="756">
        <f t="array" ref="AE37">SUMPRODUCT(
  (INDEX('6. TIẾN ĐỘ MUA HÀNG'!$A$5:$AT644, 0, XMATCH("NCC VTBB/NL trong nước", '6. TIẾN ĐỘ MUA HÀNG'!$A$4:$AT$4, 0)) = $B37) * (TRIM(INDEX('6. TIẾN ĐỘ MUA HÀNG'!$A$5:$AT644, 0, XMATCH("Tháng", '6. TIẾN ĐỘ MUA HÀNG'!$A$4:$AT$4, 0))) = TRIM(AD$6)) * (INDEX('6. TIẾN ĐỘ MUA HÀNG'!$A$5:$AT644, 0, XMATCH("CL NGÀY NCC DỰ KIẾN - NGÀY NHẬN HÀNG", '6. TIẾN ĐỘ MUA HÀNG'!$A$4:$AT$4, 0)) &lt; 0)
)</f>
        <v>0</v>
      </c>
      <c r="AF37" s="757">
        <f t="shared" si="23"/>
        <v>0</v>
      </c>
      <c r="AG37" s="754">
        <f t="array" ref="AG37">SUMPRODUCT((TRIM(INDEX('6. TIẾN ĐỘ MUA HÀNG'!$A$5:$AT644, 0, XMATCH("NCC VTBB/NL trong nước", '6. TIẾN ĐỘ MUA HÀNG'!$A$4:$AT$4, 0))) = TRIM($B37)) * (TRIM(INDEX('6. TIẾN ĐỘ MUA HÀNG'!$A$5:$AT644, 0, XMATCH("Tháng", '6. TIẾN ĐỘ MUA HÀNG'!$A$4:$AT$4, 0))) = TRIM(AG$6)) * (INDEX('6. TIẾN ĐỘ MUA HÀNG'!$A$5:$AT644, 0, XMATCH("Mã đơn Misa", '6. TIẾN ĐỘ MUA HÀNG'!$A$4:$AT$4, 0)) &lt;&gt; ""))</f>
        <v>0</v>
      </c>
      <c r="AH37" s="754">
        <f t="array" ref="AH37">SUMPRODUCT(
  (INDEX('6. TIẾN ĐỘ MUA HÀNG'!$A$5:$AT644, 0, XMATCH("NCC VTBB/NL trong nước", '6. TIẾN ĐỘ MUA HÀNG'!$A$4:$AT$4, 0)) = $B37) * (TRIM(INDEX('6. TIẾN ĐỘ MUA HÀNG'!$A$5:$AT644, 0, XMATCH("Tháng", '6. TIẾN ĐỘ MUA HÀNG'!$A$4:$AT$4, 0))) = TRIM(AG$6)) * (INDEX('6. TIẾN ĐỘ MUA HÀNG'!$A$5:$AT644, 0, XMATCH("CL NGÀY NCC DỰ KIẾN - NGÀY NHẬN HÀNG", '6. TIẾN ĐỘ MUA HÀNG'!$A$4:$AT$4, 0)) &lt; 0)
)</f>
        <v>0</v>
      </c>
      <c r="AI37" s="755">
        <f t="shared" si="34"/>
        <v>0</v>
      </c>
      <c r="AJ37" s="756">
        <f t="array" ref="AJ37">SUMPRODUCT((TRIM(INDEX('6. TIẾN ĐỘ MUA HÀNG'!$A$5:$AT644, 0, XMATCH("NCC VTBB/NL trong nước", '6. TIẾN ĐỘ MUA HÀNG'!$A$4:$AT$4, 0))) = TRIM($B37)) * (TRIM(INDEX('6. TIẾN ĐỘ MUA HÀNG'!$A$5:$AT644, 0, XMATCH("Tháng", '6. TIẾN ĐỘ MUA HÀNG'!$A$4:$AT$4, 0))) = TRIM(AJ$6)) * (INDEX('6. TIẾN ĐỘ MUA HÀNG'!$A$5:$AT644, 0, XMATCH("Mã đơn Misa", '6. TIẾN ĐỘ MUA HÀNG'!$A$4:$AT$4, 0)) &lt;&gt; ""))</f>
        <v>0</v>
      </c>
      <c r="AK37" s="756">
        <f t="array" ref="AK37">SUMPRODUCT(
  (INDEX('6. TIẾN ĐỘ MUA HÀNG'!$A$5:$AT644, 0, XMATCH("NCC VTBB/NL trong nước", '6. TIẾN ĐỘ MUA HÀNG'!$A$4:$AT$4, 0)) = $B37) * (TRIM(INDEX('6. TIẾN ĐỘ MUA HÀNG'!$A$5:$AT644, 0, XMATCH("Tháng", '6. TIẾN ĐỘ MUA HÀNG'!$A$4:$AT$4, 0))) = TRIM(AJ$6)) * (INDEX('6. TIẾN ĐỘ MUA HÀNG'!$A$5:$AT644, 0, XMATCH("CL NGÀY NCC DỰ KIẾN - NGÀY NHẬN HÀNG", '6. TIẾN ĐỘ MUA HÀNG'!$A$4:$AT$4, 0)) &lt; 0)
)</f>
        <v>0</v>
      </c>
      <c r="AL37" s="757">
        <f t="shared" si="25"/>
        <v>0</v>
      </c>
      <c r="AM37" s="726">
        <f t="shared" si="27"/>
        <v>0</v>
      </c>
      <c r="AN37" s="726">
        <f t="shared" si="28"/>
        <v>0</v>
      </c>
      <c r="AO37" s="727">
        <f t="shared" si="26"/>
        <v>0</v>
      </c>
    </row>
    <row r="38">
      <c r="A38" s="612">
        <v>30.0</v>
      </c>
      <c r="B38" s="624" t="str">
        <f>IFERROR(__xludf.DUMMYFUNCTION("""COMPUTED_VALUE"""),"Jd")</f>
        <v>Jd</v>
      </c>
      <c r="C38" s="754">
        <f t="array" ref="C38">SUMPRODUCT((TRIM(INDEX('6. TIẾN ĐỘ MUA HÀNG'!$A$5:$AT644, 0, XMATCH("NCC VTBB/NL trong nước", '6. TIẾN ĐỘ MUA HÀNG'!$A$4:$AT$4, 0))) = TRIM($B38)) * (TRIM(INDEX('6. TIẾN ĐỘ MUA HÀNG'!$A$5:$AT644, 0, XMATCH("Tháng", '6. TIẾN ĐỘ MUA HÀNG'!$A$4:$AT$4, 0))) = TRIM(C$6)) * (INDEX('6. TIẾN ĐỘ MUA HÀNG'!$A$5:$AT644, 0, XMATCH("Mã đơn Misa", '6. TIẾN ĐỘ MUA HÀNG'!$A$4:$AT$4, 0)) &lt;&gt; ""))</f>
        <v>0</v>
      </c>
      <c r="D38" s="754">
        <f t="array" ref="D38">SUMPRODUCT(
  (INDEX('6. TIẾN ĐỘ MUA HÀNG'!$A$5:$AT644, 0, XMATCH("NCC VTBB/NL trong nước", '6. TIẾN ĐỘ MUA HÀNG'!$A$4:$AT$4, 0)) = $B38) * (TRIM(INDEX('6. TIẾN ĐỘ MUA HÀNG'!$A$5:$AT644, 0, XMATCH("Tháng", '6. TIẾN ĐỘ MUA HÀNG'!$A$4:$AT$4, 0))) = TRIM(C$6)) * (INDEX('6. TIẾN ĐỘ MUA HÀNG'!$A$5:$AT644, 0, XMATCH("CL NGÀY NCC DỰ KIẾN - NGÀY NHẬN HÀNG", '6. TIẾN ĐỘ MUA HÀNG'!$A$4:$AT$4, 0)) &lt; 0)
)</f>
        <v>0</v>
      </c>
      <c r="E38" s="755">
        <f t="shared" si="29"/>
        <v>0</v>
      </c>
      <c r="F38" s="756">
        <f t="array" ref="F38">SUMPRODUCT((TRIM(INDEX('6. TIẾN ĐỘ MUA HÀNG'!$A$5:$AT644, 0, XMATCH("NCC VTBB/NL trong nước", '6. TIẾN ĐỘ MUA HÀNG'!$A$4:$AT$4, 0))) = TRIM($B38)) * (TRIM(INDEX('6. TIẾN ĐỘ MUA HÀNG'!$A$5:$AT644, 0, XMATCH("Tháng", '6. TIẾN ĐỘ MUA HÀNG'!$A$4:$AT$4, 0))) = TRIM(F$6)) * (INDEX('6. TIẾN ĐỘ MUA HÀNG'!$A$5:$AT644, 0, XMATCH("Mã đơn Misa", '6. TIẾN ĐỘ MUA HÀNG'!$A$4:$AT$4, 0)) &lt;&gt; ""))</f>
        <v>0</v>
      </c>
      <c r="G38" s="756">
        <f t="array" ref="G38">SUMPRODUCT(
  (INDEX('6. TIẾN ĐỘ MUA HÀNG'!$A$5:$AT644, 0, XMATCH("NCC VTBB/NL trong nước", '6. TIẾN ĐỘ MUA HÀNG'!$A$4:$AT$4, 0)) = $B38) * (TRIM(INDEX('6. TIẾN ĐỘ MUA HÀNG'!$A$5:$AT644, 0, XMATCH("Tháng", '6. TIẾN ĐỘ MUA HÀNG'!$A$4:$AT$4, 0))) = TRIM(F$6)) * (INDEX('6. TIẾN ĐỘ MUA HÀNG'!$A$5:$AT644, 0, XMATCH("CL NGÀY NCC DỰ KIẾN - NGÀY NHẬN HÀNG", '6. TIẾN ĐỘ MUA HÀNG'!$A$4:$AT$4, 0)) &lt; 0)
)</f>
        <v>0</v>
      </c>
      <c r="H38" s="757">
        <f t="shared" si="15"/>
        <v>0</v>
      </c>
      <c r="I38" s="754">
        <f t="array" ref="I38">SUMPRODUCT((TRIM(INDEX('6. TIẾN ĐỘ MUA HÀNG'!$A$5:$AT644, 0, XMATCH("NCC VTBB/NL trong nước", '6. TIẾN ĐỘ MUA HÀNG'!$A$4:$AT$4, 0))) = TRIM($B38)) * (TRIM(INDEX('6. TIẾN ĐỘ MUA HÀNG'!$A$5:$AT644, 0, XMATCH("Tháng", '6. TIẾN ĐỘ MUA HÀNG'!$A$4:$AT$4, 0))) = TRIM(I$6)) * (INDEX('6. TIẾN ĐỘ MUA HÀNG'!$A$5:$AT644, 0, XMATCH("Mã đơn Misa", '6. TIẾN ĐỘ MUA HÀNG'!$A$4:$AT$4, 0)) &lt;&gt; ""))</f>
        <v>0</v>
      </c>
      <c r="J38" s="754">
        <f t="array" ref="J38">SUMPRODUCT(
  (INDEX('6. TIẾN ĐỘ MUA HÀNG'!$A$5:$AT644, 0, XMATCH("NCC VTBB/NL trong nước", '6. TIẾN ĐỘ MUA HÀNG'!$A$4:$AT$4, 0)) = $B38) * (TRIM(INDEX('6. TIẾN ĐỘ MUA HÀNG'!$A$5:$AT644, 0, XMATCH("Tháng", '6. TIẾN ĐỘ MUA HÀNG'!$A$4:$AT$4, 0))) = TRIM(I$6)) * (INDEX('6. TIẾN ĐỘ MUA HÀNG'!$A$5:$AT644, 0, XMATCH("CL NGÀY NCC DỰ KIẾN - NGÀY NHẬN HÀNG", '6. TIẾN ĐỘ MUA HÀNG'!$A$4:$AT$4, 0)) &lt; 0)
)</f>
        <v>0</v>
      </c>
      <c r="K38" s="755">
        <f t="shared" si="30"/>
        <v>0</v>
      </c>
      <c r="L38" s="756">
        <f t="array" ref="L38">SUMPRODUCT((TRIM(INDEX('6. TIẾN ĐỘ MUA HÀNG'!$A$5:$AT644, 0, XMATCH("NCC VTBB/NL trong nước", '6. TIẾN ĐỘ MUA HÀNG'!$A$4:$AT$4, 0))) = TRIM($B38)) * (TRIM(INDEX('6. TIẾN ĐỘ MUA HÀNG'!$A$5:$AT644, 0, XMATCH("Tháng", '6. TIẾN ĐỘ MUA HÀNG'!$A$4:$AT$4, 0))) = TRIM(L$6)) * (INDEX('6. TIẾN ĐỘ MUA HÀNG'!$A$5:$AT644, 0, XMATCH("Mã đơn Misa", '6. TIẾN ĐỘ MUA HÀNG'!$A$4:$AT$4, 0)) &lt;&gt; ""))</f>
        <v>0</v>
      </c>
      <c r="M38" s="756">
        <f t="array" ref="M38">SUMPRODUCT(
  (INDEX('6. TIẾN ĐỘ MUA HÀNG'!$A$5:$AT644, 0, XMATCH("NCC VTBB/NL trong nước", '6. TIẾN ĐỘ MUA HÀNG'!$A$4:$AT$4, 0)) = $B38) * (TRIM(INDEX('6. TIẾN ĐỘ MUA HÀNG'!$A$5:$AT644, 0, XMATCH("Tháng", '6. TIẾN ĐỘ MUA HÀNG'!$A$4:$AT$4, 0))) = TRIM(L$6)) * (INDEX('6. TIẾN ĐỘ MUA HÀNG'!$A$5:$AT644, 0, XMATCH("CL NGÀY NCC DỰ KIẾN - NGÀY NHẬN HÀNG", '6. TIẾN ĐỘ MUA HÀNG'!$A$4:$AT$4, 0)) &lt; 0)
)</f>
        <v>0</v>
      </c>
      <c r="N38" s="757">
        <f t="shared" si="17"/>
        <v>0</v>
      </c>
      <c r="O38" s="754">
        <f t="array" ref="O38">SUMPRODUCT((TRIM(INDEX('6. TIẾN ĐỘ MUA HÀNG'!$A$5:$AT644, 0, XMATCH("NCC VTBB/NL trong nước", '6. TIẾN ĐỘ MUA HÀNG'!$A$4:$AT$4, 0))) = TRIM($B38)) * (TRIM(INDEX('6. TIẾN ĐỘ MUA HÀNG'!$A$5:$AT644, 0, XMATCH("Tháng", '6. TIẾN ĐỘ MUA HÀNG'!$A$4:$AT$4, 0))) = TRIM(O$6)) * (INDEX('6. TIẾN ĐỘ MUA HÀNG'!$A$5:$AT644, 0, XMATCH("Mã đơn Misa", '6. TIẾN ĐỘ MUA HÀNG'!$A$4:$AT$4, 0)) &lt;&gt; ""))</f>
        <v>0</v>
      </c>
      <c r="P38" s="754">
        <f t="array" ref="P38">SUMPRODUCT(
  (INDEX('6. TIẾN ĐỘ MUA HÀNG'!$A$5:$AT644, 0, XMATCH("NCC VTBB/NL trong nước", '6. TIẾN ĐỘ MUA HÀNG'!$A$4:$AT$4, 0)) = $B38) * (TRIM(INDEX('6. TIẾN ĐỘ MUA HÀNG'!$A$5:$AT644, 0, XMATCH("Tháng", '6. TIẾN ĐỘ MUA HÀNG'!$A$4:$AT$4, 0))) = TRIM(O$6)) * (INDEX('6. TIẾN ĐỘ MUA HÀNG'!$A$5:$AT644, 0, XMATCH("CL NGÀY NCC DỰ KIẾN - NGÀY NHẬN HÀNG", '6. TIẾN ĐỘ MUA HÀNG'!$A$4:$AT$4, 0)) &lt; 0)
)</f>
        <v>0</v>
      </c>
      <c r="Q38" s="755">
        <f t="shared" si="31"/>
        <v>0</v>
      </c>
      <c r="R38" s="756">
        <f t="array" ref="R38">SUMPRODUCT((TRIM(INDEX('6. TIẾN ĐỘ MUA HÀNG'!$A$5:$AT644, 0, XMATCH("NCC VTBB/NL trong nước", '6. TIẾN ĐỘ MUA HÀNG'!$A$4:$AT$4, 0))) = TRIM($B38)) * (TRIM(INDEX('6. TIẾN ĐỘ MUA HÀNG'!$A$5:$AT644, 0, XMATCH("Tháng", '6. TIẾN ĐỘ MUA HÀNG'!$A$4:$AT$4, 0))) = TRIM(R$6)) * (INDEX('6. TIẾN ĐỘ MUA HÀNG'!$A$5:$AT644, 0, XMATCH("Mã đơn Misa", '6. TIẾN ĐỘ MUA HÀNG'!$A$4:$AT$4, 0)) &lt;&gt; ""))</f>
        <v>0</v>
      </c>
      <c r="S38" s="756">
        <f t="array" ref="S38">SUMPRODUCT(
  (INDEX('6. TIẾN ĐỘ MUA HÀNG'!$A$5:$AT644, 0, XMATCH("NCC VTBB/NL trong nước", '6. TIẾN ĐỘ MUA HÀNG'!$A$4:$AT$4, 0)) = $B38) * (TRIM(INDEX('6. TIẾN ĐỘ MUA HÀNG'!$A$5:$AT644, 0, XMATCH("Tháng", '6. TIẾN ĐỘ MUA HÀNG'!$A$4:$AT$4, 0))) = TRIM(R$6)) * (INDEX('6. TIẾN ĐỘ MUA HÀNG'!$A$5:$AT644, 0, XMATCH("CL NGÀY NCC DỰ KIẾN - NGÀY NHẬN HÀNG", '6. TIẾN ĐỘ MUA HÀNG'!$A$4:$AT$4, 0)) &lt; 0)
)</f>
        <v>0</v>
      </c>
      <c r="T38" s="757">
        <f t="shared" si="19"/>
        <v>0</v>
      </c>
      <c r="U38" s="754">
        <f t="array" ref="U38">SUMPRODUCT((TRIM(INDEX('6. TIẾN ĐỘ MUA HÀNG'!$A$5:$AT644, 0, XMATCH("NCC VTBB/NL trong nước", '6. TIẾN ĐỘ MUA HÀNG'!$A$4:$AT$4, 0))) = TRIM($B38)) * (TRIM(INDEX('6. TIẾN ĐỘ MUA HÀNG'!$A$5:$AT644, 0, XMATCH("Tháng", '6. TIẾN ĐỘ MUA HÀNG'!$A$4:$AT$4, 0))) = TRIM(U$6)) * (INDEX('6. TIẾN ĐỘ MUA HÀNG'!$A$5:$AT644, 0, XMATCH("Mã đơn Misa", '6. TIẾN ĐỘ MUA HÀNG'!$A$4:$AT$4, 0)) &lt;&gt; ""))</f>
        <v>0</v>
      </c>
      <c r="V38" s="754">
        <f t="array" ref="V38">SUMPRODUCT(
  (INDEX('6. TIẾN ĐỘ MUA HÀNG'!$A$5:$AT644, 0, XMATCH("NCC VTBB/NL trong nước", '6. TIẾN ĐỘ MUA HÀNG'!$A$4:$AT$4, 0)) = $B38) * (TRIM(INDEX('6. TIẾN ĐỘ MUA HÀNG'!$A$5:$AT644, 0, XMATCH("Tháng", '6. TIẾN ĐỘ MUA HÀNG'!$A$4:$AT$4, 0))) = TRIM(U$6)) * (INDEX('6. TIẾN ĐỘ MUA HÀNG'!$A$5:$AT644, 0, XMATCH("CL NGÀY NCC DỰ KIẾN - NGÀY NHẬN HÀNG", '6. TIẾN ĐỘ MUA HÀNG'!$A$4:$AT$4, 0)) &lt; 0)
)</f>
        <v>0</v>
      </c>
      <c r="W38" s="755">
        <f t="shared" si="32"/>
        <v>0</v>
      </c>
      <c r="X38" s="756">
        <f t="array" ref="X38">SUMPRODUCT((TRIM(INDEX('6. TIẾN ĐỘ MUA HÀNG'!$A$5:$AT644, 0, XMATCH("NCC VTBB/NL trong nước", '6. TIẾN ĐỘ MUA HÀNG'!$A$4:$AT$4, 0))) = TRIM($B38)) * (TRIM(INDEX('6. TIẾN ĐỘ MUA HÀNG'!$A$5:$AT644, 0, XMATCH("Tháng", '6. TIẾN ĐỘ MUA HÀNG'!$A$4:$AT$4, 0))) = TRIM(X$6)) * (INDEX('6. TIẾN ĐỘ MUA HÀNG'!$A$5:$AT644, 0, XMATCH("Mã đơn Misa", '6. TIẾN ĐỘ MUA HÀNG'!$A$4:$AT$4, 0)) &lt;&gt; ""))</f>
        <v>0</v>
      </c>
      <c r="Y38" s="756">
        <f t="array" ref="Y38">SUMPRODUCT(
  (INDEX('6. TIẾN ĐỘ MUA HÀNG'!$A$5:$AT644, 0, XMATCH("NCC VTBB/NL trong nước", '6. TIẾN ĐỘ MUA HÀNG'!$A$4:$AT$4, 0)) = $B38) * (TRIM(INDEX('6. TIẾN ĐỘ MUA HÀNG'!$A$5:$AT644, 0, XMATCH("Tháng", '6. TIẾN ĐỘ MUA HÀNG'!$A$4:$AT$4, 0))) = TRIM(X$6)) * (INDEX('6. TIẾN ĐỘ MUA HÀNG'!$A$5:$AT644, 0, XMATCH("CL NGÀY NCC DỰ KIẾN - NGÀY NHẬN HÀNG", '6. TIẾN ĐỘ MUA HÀNG'!$A$4:$AT$4, 0)) &lt; 0)
)</f>
        <v>0</v>
      </c>
      <c r="Z38" s="757">
        <f t="shared" si="21"/>
        <v>0</v>
      </c>
      <c r="AA38" s="754">
        <f t="array" ref="AA38">SUMPRODUCT((TRIM(INDEX('6. TIẾN ĐỘ MUA HÀNG'!$A$5:$AT644, 0, XMATCH("NCC VTBB/NL trong nước", '6. TIẾN ĐỘ MUA HÀNG'!$A$4:$AT$4, 0))) = TRIM($B38)) * (TRIM(INDEX('6. TIẾN ĐỘ MUA HÀNG'!$A$5:$AT644, 0, XMATCH("Tháng", '6. TIẾN ĐỘ MUA HÀNG'!$A$4:$AT$4, 0))) = TRIM(AA$6)) * (INDEX('6. TIẾN ĐỘ MUA HÀNG'!$A$5:$AT644, 0, XMATCH("Mã đơn Misa", '6. TIẾN ĐỘ MUA HÀNG'!$A$4:$AT$4, 0)) &lt;&gt; ""))</f>
        <v>0</v>
      </c>
      <c r="AB38" s="754">
        <f t="array" ref="AB38">SUMPRODUCT(
  (INDEX('6. TIẾN ĐỘ MUA HÀNG'!$A$5:$AT644, 0, XMATCH("NCC VTBB/NL trong nước", '6. TIẾN ĐỘ MUA HÀNG'!$A$4:$AT$4, 0)) = $B38) * (TRIM(INDEX('6. TIẾN ĐỘ MUA HÀNG'!$A$5:$AT644, 0, XMATCH("Tháng", '6. TIẾN ĐỘ MUA HÀNG'!$A$4:$AT$4, 0))) = TRIM(AA$6)) * (INDEX('6. TIẾN ĐỘ MUA HÀNG'!$A$5:$AT644, 0, XMATCH("CL NGÀY NCC DỰ KIẾN - NGÀY NHẬN HÀNG", '6. TIẾN ĐỘ MUA HÀNG'!$A$4:$AT$4, 0)) &lt; 0)
)</f>
        <v>0</v>
      </c>
      <c r="AC38" s="755">
        <f t="shared" si="33"/>
        <v>0</v>
      </c>
      <c r="AD38" s="756">
        <f t="array" ref="AD38">SUMPRODUCT((TRIM(INDEX('6. TIẾN ĐỘ MUA HÀNG'!$A$5:$AT644, 0, XMATCH("NCC VTBB/NL trong nước", '6. TIẾN ĐỘ MUA HÀNG'!$A$4:$AT$4, 0))) = TRIM($B38)) * (TRIM(INDEX('6. TIẾN ĐỘ MUA HÀNG'!$A$5:$AT644, 0, XMATCH("Tháng", '6. TIẾN ĐỘ MUA HÀNG'!$A$4:$AT$4, 0))) = TRIM(AD$6)) * (INDEX('6. TIẾN ĐỘ MUA HÀNG'!$A$5:$AT644, 0, XMATCH("Mã đơn Misa", '6. TIẾN ĐỘ MUA HÀNG'!$A$4:$AT$4, 0)) &lt;&gt; ""))</f>
        <v>0</v>
      </c>
      <c r="AE38" s="756">
        <f t="array" ref="AE38">SUMPRODUCT(
  (INDEX('6. TIẾN ĐỘ MUA HÀNG'!$A$5:$AT644, 0, XMATCH("NCC VTBB/NL trong nước", '6. TIẾN ĐỘ MUA HÀNG'!$A$4:$AT$4, 0)) = $B38) * (TRIM(INDEX('6. TIẾN ĐỘ MUA HÀNG'!$A$5:$AT644, 0, XMATCH("Tháng", '6. TIẾN ĐỘ MUA HÀNG'!$A$4:$AT$4, 0))) = TRIM(AD$6)) * (INDEX('6. TIẾN ĐỘ MUA HÀNG'!$A$5:$AT644, 0, XMATCH("CL NGÀY NCC DỰ KIẾN - NGÀY NHẬN HÀNG", '6. TIẾN ĐỘ MUA HÀNG'!$A$4:$AT$4, 0)) &lt; 0)
)</f>
        <v>0</v>
      </c>
      <c r="AF38" s="757">
        <f t="shared" si="23"/>
        <v>0</v>
      </c>
      <c r="AG38" s="754">
        <f t="array" ref="AG38">SUMPRODUCT((TRIM(INDEX('6. TIẾN ĐỘ MUA HÀNG'!$A$5:$AT644, 0, XMATCH("NCC VTBB/NL trong nước", '6. TIẾN ĐỘ MUA HÀNG'!$A$4:$AT$4, 0))) = TRIM($B38)) * (TRIM(INDEX('6. TIẾN ĐỘ MUA HÀNG'!$A$5:$AT644, 0, XMATCH("Tháng", '6. TIẾN ĐỘ MUA HÀNG'!$A$4:$AT$4, 0))) = TRIM(AG$6)) * (INDEX('6. TIẾN ĐỘ MUA HÀNG'!$A$5:$AT644, 0, XMATCH("Mã đơn Misa", '6. TIẾN ĐỘ MUA HÀNG'!$A$4:$AT$4, 0)) &lt;&gt; ""))</f>
        <v>0</v>
      </c>
      <c r="AH38" s="754">
        <f t="array" ref="AH38">SUMPRODUCT(
  (INDEX('6. TIẾN ĐỘ MUA HÀNG'!$A$5:$AT644, 0, XMATCH("NCC VTBB/NL trong nước", '6. TIẾN ĐỘ MUA HÀNG'!$A$4:$AT$4, 0)) = $B38) * (TRIM(INDEX('6. TIẾN ĐỘ MUA HÀNG'!$A$5:$AT644, 0, XMATCH("Tháng", '6. TIẾN ĐỘ MUA HÀNG'!$A$4:$AT$4, 0))) = TRIM(AG$6)) * (INDEX('6. TIẾN ĐỘ MUA HÀNG'!$A$5:$AT644, 0, XMATCH("CL NGÀY NCC DỰ KIẾN - NGÀY NHẬN HÀNG", '6. TIẾN ĐỘ MUA HÀNG'!$A$4:$AT$4, 0)) &lt; 0)
)</f>
        <v>0</v>
      </c>
      <c r="AI38" s="755">
        <f t="shared" si="34"/>
        <v>0</v>
      </c>
      <c r="AJ38" s="756">
        <f t="array" ref="AJ38">SUMPRODUCT((TRIM(INDEX('6. TIẾN ĐỘ MUA HÀNG'!$A$5:$AT644, 0, XMATCH("NCC VTBB/NL trong nước", '6. TIẾN ĐỘ MUA HÀNG'!$A$4:$AT$4, 0))) = TRIM($B38)) * (TRIM(INDEX('6. TIẾN ĐỘ MUA HÀNG'!$A$5:$AT644, 0, XMATCH("Tháng", '6. TIẾN ĐỘ MUA HÀNG'!$A$4:$AT$4, 0))) = TRIM(AJ$6)) * (INDEX('6. TIẾN ĐỘ MUA HÀNG'!$A$5:$AT644, 0, XMATCH("Mã đơn Misa", '6. TIẾN ĐỘ MUA HÀNG'!$A$4:$AT$4, 0)) &lt;&gt; ""))</f>
        <v>0</v>
      </c>
      <c r="AK38" s="756">
        <f t="array" ref="AK38">SUMPRODUCT(
  (INDEX('6. TIẾN ĐỘ MUA HÀNG'!$A$5:$AT644, 0, XMATCH("NCC VTBB/NL trong nước", '6. TIẾN ĐỘ MUA HÀNG'!$A$4:$AT$4, 0)) = $B38) * (TRIM(INDEX('6. TIẾN ĐỘ MUA HÀNG'!$A$5:$AT644, 0, XMATCH("Tháng", '6. TIẾN ĐỘ MUA HÀNG'!$A$4:$AT$4, 0))) = TRIM(AJ$6)) * (INDEX('6. TIẾN ĐỘ MUA HÀNG'!$A$5:$AT644, 0, XMATCH("CL NGÀY NCC DỰ KIẾN - NGÀY NHẬN HÀNG", '6. TIẾN ĐỘ MUA HÀNG'!$A$4:$AT$4, 0)) &lt; 0)
)</f>
        <v>0</v>
      </c>
      <c r="AL38" s="757">
        <f t="shared" si="25"/>
        <v>0</v>
      </c>
      <c r="AM38" s="726">
        <f t="shared" si="27"/>
        <v>0</v>
      </c>
      <c r="AN38" s="726">
        <f t="shared" si="28"/>
        <v>0</v>
      </c>
      <c r="AO38" s="727">
        <f t="shared" si="26"/>
        <v>0</v>
      </c>
    </row>
    <row r="39">
      <c r="A39" s="612">
        <v>31.0</v>
      </c>
      <c r="B39" s="624" t="str">
        <f>IFERROR(__xludf.DUMMYFUNCTION("""COMPUTED_VALUE"""),"Kel")</f>
        <v>Kel</v>
      </c>
      <c r="C39" s="754">
        <f t="array" ref="C39">SUMPRODUCT((TRIM(INDEX('6. TIẾN ĐỘ MUA HÀNG'!$A$5:$AT644, 0, XMATCH("NCC VTBB/NL trong nước", '6. TIẾN ĐỘ MUA HÀNG'!$A$4:$AT$4, 0))) = TRIM($B39)) * (TRIM(INDEX('6. TIẾN ĐỘ MUA HÀNG'!$A$5:$AT644, 0, XMATCH("Tháng", '6. TIẾN ĐỘ MUA HÀNG'!$A$4:$AT$4, 0))) = TRIM(C$6)) * (INDEX('6. TIẾN ĐỘ MUA HÀNG'!$A$5:$AT644, 0, XMATCH("Mã đơn Misa", '6. TIẾN ĐỘ MUA HÀNG'!$A$4:$AT$4, 0)) &lt;&gt; ""))</f>
        <v>0</v>
      </c>
      <c r="D39" s="754">
        <f t="array" ref="D39">SUMPRODUCT(
  (INDEX('6. TIẾN ĐỘ MUA HÀNG'!$A$5:$AT644, 0, XMATCH("NCC VTBB/NL trong nước", '6. TIẾN ĐỘ MUA HÀNG'!$A$4:$AT$4, 0)) = $B39) * (TRIM(INDEX('6. TIẾN ĐỘ MUA HÀNG'!$A$5:$AT644, 0, XMATCH("Tháng", '6. TIẾN ĐỘ MUA HÀNG'!$A$4:$AT$4, 0))) = TRIM(C$6)) * (INDEX('6. TIẾN ĐỘ MUA HÀNG'!$A$5:$AT644, 0, XMATCH("CL NGÀY NCC DỰ KIẾN - NGÀY NHẬN HÀNG", '6. TIẾN ĐỘ MUA HÀNG'!$A$4:$AT$4, 0)) &lt; 0)
)</f>
        <v>0</v>
      </c>
      <c r="E39" s="755">
        <f t="shared" si="29"/>
        <v>0</v>
      </c>
      <c r="F39" s="756">
        <f t="array" ref="F39">SUMPRODUCT((TRIM(INDEX('6. TIẾN ĐỘ MUA HÀNG'!$A$5:$AT644, 0, XMATCH("NCC VTBB/NL trong nước", '6. TIẾN ĐỘ MUA HÀNG'!$A$4:$AT$4, 0))) = TRIM($B39)) * (TRIM(INDEX('6. TIẾN ĐỘ MUA HÀNG'!$A$5:$AT644, 0, XMATCH("Tháng", '6. TIẾN ĐỘ MUA HÀNG'!$A$4:$AT$4, 0))) = TRIM(F$6)) * (INDEX('6. TIẾN ĐỘ MUA HÀNG'!$A$5:$AT644, 0, XMATCH("Mã đơn Misa", '6. TIẾN ĐỘ MUA HÀNG'!$A$4:$AT$4, 0)) &lt;&gt; ""))</f>
        <v>0</v>
      </c>
      <c r="G39" s="756">
        <f t="array" ref="G39">SUMPRODUCT(
  (INDEX('6. TIẾN ĐỘ MUA HÀNG'!$A$5:$AT644, 0, XMATCH("NCC VTBB/NL trong nước", '6. TIẾN ĐỘ MUA HÀNG'!$A$4:$AT$4, 0)) = $B39) * (TRIM(INDEX('6. TIẾN ĐỘ MUA HÀNG'!$A$5:$AT644, 0, XMATCH("Tháng", '6. TIẾN ĐỘ MUA HÀNG'!$A$4:$AT$4, 0))) = TRIM(F$6)) * (INDEX('6. TIẾN ĐỘ MUA HÀNG'!$A$5:$AT644, 0, XMATCH("CL NGÀY NCC DỰ KIẾN - NGÀY NHẬN HÀNG", '6. TIẾN ĐỘ MUA HÀNG'!$A$4:$AT$4, 0)) &lt; 0)
)</f>
        <v>0</v>
      </c>
      <c r="H39" s="757">
        <f t="shared" si="15"/>
        <v>0</v>
      </c>
      <c r="I39" s="754">
        <f t="array" ref="I39">SUMPRODUCT((TRIM(INDEX('6. TIẾN ĐỘ MUA HÀNG'!$A$5:$AT644, 0, XMATCH("NCC VTBB/NL trong nước", '6. TIẾN ĐỘ MUA HÀNG'!$A$4:$AT$4, 0))) = TRIM($B39)) * (TRIM(INDEX('6. TIẾN ĐỘ MUA HÀNG'!$A$5:$AT644, 0, XMATCH("Tháng", '6. TIẾN ĐỘ MUA HÀNG'!$A$4:$AT$4, 0))) = TRIM(I$6)) * (INDEX('6. TIẾN ĐỘ MUA HÀNG'!$A$5:$AT644, 0, XMATCH("Mã đơn Misa", '6. TIẾN ĐỘ MUA HÀNG'!$A$4:$AT$4, 0)) &lt;&gt; ""))</f>
        <v>0</v>
      </c>
      <c r="J39" s="754">
        <f t="array" ref="J39">SUMPRODUCT(
  (INDEX('6. TIẾN ĐỘ MUA HÀNG'!$A$5:$AT644, 0, XMATCH("NCC VTBB/NL trong nước", '6. TIẾN ĐỘ MUA HÀNG'!$A$4:$AT$4, 0)) = $B39) * (TRIM(INDEX('6. TIẾN ĐỘ MUA HÀNG'!$A$5:$AT644, 0, XMATCH("Tháng", '6. TIẾN ĐỘ MUA HÀNG'!$A$4:$AT$4, 0))) = TRIM(I$6)) * (INDEX('6. TIẾN ĐỘ MUA HÀNG'!$A$5:$AT644, 0, XMATCH("CL NGÀY NCC DỰ KIẾN - NGÀY NHẬN HÀNG", '6. TIẾN ĐỘ MUA HÀNG'!$A$4:$AT$4, 0)) &lt; 0)
)</f>
        <v>0</v>
      </c>
      <c r="K39" s="755">
        <f t="shared" si="30"/>
        <v>0</v>
      </c>
      <c r="L39" s="756">
        <f t="array" ref="L39">SUMPRODUCT((TRIM(INDEX('6. TIẾN ĐỘ MUA HÀNG'!$A$5:$AT644, 0, XMATCH("NCC VTBB/NL trong nước", '6. TIẾN ĐỘ MUA HÀNG'!$A$4:$AT$4, 0))) = TRIM($B39)) * (TRIM(INDEX('6. TIẾN ĐỘ MUA HÀNG'!$A$5:$AT644, 0, XMATCH("Tháng", '6. TIẾN ĐỘ MUA HÀNG'!$A$4:$AT$4, 0))) = TRIM(L$6)) * (INDEX('6. TIẾN ĐỘ MUA HÀNG'!$A$5:$AT644, 0, XMATCH("Mã đơn Misa", '6. TIẾN ĐỘ MUA HÀNG'!$A$4:$AT$4, 0)) &lt;&gt; ""))</f>
        <v>0</v>
      </c>
      <c r="M39" s="756">
        <f t="array" ref="M39">SUMPRODUCT(
  (INDEX('6. TIẾN ĐỘ MUA HÀNG'!$A$5:$AT644, 0, XMATCH("NCC VTBB/NL trong nước", '6. TIẾN ĐỘ MUA HÀNG'!$A$4:$AT$4, 0)) = $B39) * (TRIM(INDEX('6. TIẾN ĐỘ MUA HÀNG'!$A$5:$AT644, 0, XMATCH("Tháng", '6. TIẾN ĐỘ MUA HÀNG'!$A$4:$AT$4, 0))) = TRIM(L$6)) * (INDEX('6. TIẾN ĐỘ MUA HÀNG'!$A$5:$AT644, 0, XMATCH("CL NGÀY NCC DỰ KIẾN - NGÀY NHẬN HÀNG", '6. TIẾN ĐỘ MUA HÀNG'!$A$4:$AT$4, 0)) &lt; 0)
)</f>
        <v>0</v>
      </c>
      <c r="N39" s="757">
        <f t="shared" si="17"/>
        <v>0</v>
      </c>
      <c r="O39" s="754">
        <f t="array" ref="O39">SUMPRODUCT((TRIM(INDEX('6. TIẾN ĐỘ MUA HÀNG'!$A$5:$AT644, 0, XMATCH("NCC VTBB/NL trong nước", '6. TIẾN ĐỘ MUA HÀNG'!$A$4:$AT$4, 0))) = TRIM($B39)) * (TRIM(INDEX('6. TIẾN ĐỘ MUA HÀNG'!$A$5:$AT644, 0, XMATCH("Tháng", '6. TIẾN ĐỘ MUA HÀNG'!$A$4:$AT$4, 0))) = TRIM(O$6)) * (INDEX('6. TIẾN ĐỘ MUA HÀNG'!$A$5:$AT644, 0, XMATCH("Mã đơn Misa", '6. TIẾN ĐỘ MUA HÀNG'!$A$4:$AT$4, 0)) &lt;&gt; ""))</f>
        <v>0</v>
      </c>
      <c r="P39" s="754">
        <f t="array" ref="P39">SUMPRODUCT(
  (INDEX('6. TIẾN ĐỘ MUA HÀNG'!$A$5:$AT644, 0, XMATCH("NCC VTBB/NL trong nước", '6. TIẾN ĐỘ MUA HÀNG'!$A$4:$AT$4, 0)) = $B39) * (TRIM(INDEX('6. TIẾN ĐỘ MUA HÀNG'!$A$5:$AT644, 0, XMATCH("Tháng", '6. TIẾN ĐỘ MUA HÀNG'!$A$4:$AT$4, 0))) = TRIM(O$6)) * (INDEX('6. TIẾN ĐỘ MUA HÀNG'!$A$5:$AT644, 0, XMATCH("CL NGÀY NCC DỰ KIẾN - NGÀY NHẬN HÀNG", '6. TIẾN ĐỘ MUA HÀNG'!$A$4:$AT$4, 0)) &lt; 0)
)</f>
        <v>0</v>
      </c>
      <c r="Q39" s="755">
        <f t="shared" si="31"/>
        <v>0</v>
      </c>
      <c r="R39" s="756">
        <f t="array" ref="R39">SUMPRODUCT((TRIM(INDEX('6. TIẾN ĐỘ MUA HÀNG'!$A$5:$AT644, 0, XMATCH("NCC VTBB/NL trong nước", '6. TIẾN ĐỘ MUA HÀNG'!$A$4:$AT$4, 0))) = TRIM($B39)) * (TRIM(INDEX('6. TIẾN ĐỘ MUA HÀNG'!$A$5:$AT644, 0, XMATCH("Tháng", '6. TIẾN ĐỘ MUA HÀNG'!$A$4:$AT$4, 0))) = TRIM(R$6)) * (INDEX('6. TIẾN ĐỘ MUA HÀNG'!$A$5:$AT644, 0, XMATCH("Mã đơn Misa", '6. TIẾN ĐỘ MUA HÀNG'!$A$4:$AT$4, 0)) &lt;&gt; ""))</f>
        <v>0</v>
      </c>
      <c r="S39" s="756">
        <f t="array" ref="S39">SUMPRODUCT(
  (INDEX('6. TIẾN ĐỘ MUA HÀNG'!$A$5:$AT644, 0, XMATCH("NCC VTBB/NL trong nước", '6. TIẾN ĐỘ MUA HÀNG'!$A$4:$AT$4, 0)) = $B39) * (TRIM(INDEX('6. TIẾN ĐỘ MUA HÀNG'!$A$5:$AT644, 0, XMATCH("Tháng", '6. TIẾN ĐỘ MUA HÀNG'!$A$4:$AT$4, 0))) = TRIM(R$6)) * (INDEX('6. TIẾN ĐỘ MUA HÀNG'!$A$5:$AT644, 0, XMATCH("CL NGÀY NCC DỰ KIẾN - NGÀY NHẬN HÀNG", '6. TIẾN ĐỘ MUA HÀNG'!$A$4:$AT$4, 0)) &lt; 0)
)</f>
        <v>0</v>
      </c>
      <c r="T39" s="757">
        <f t="shared" si="19"/>
        <v>0</v>
      </c>
      <c r="U39" s="754">
        <f t="array" ref="U39">SUMPRODUCT((TRIM(INDEX('6. TIẾN ĐỘ MUA HÀNG'!$A$5:$AT644, 0, XMATCH("NCC VTBB/NL trong nước", '6. TIẾN ĐỘ MUA HÀNG'!$A$4:$AT$4, 0))) = TRIM($B39)) * (TRIM(INDEX('6. TIẾN ĐỘ MUA HÀNG'!$A$5:$AT644, 0, XMATCH("Tháng", '6. TIẾN ĐỘ MUA HÀNG'!$A$4:$AT$4, 0))) = TRIM(U$6)) * (INDEX('6. TIẾN ĐỘ MUA HÀNG'!$A$5:$AT644, 0, XMATCH("Mã đơn Misa", '6. TIẾN ĐỘ MUA HÀNG'!$A$4:$AT$4, 0)) &lt;&gt; ""))</f>
        <v>0</v>
      </c>
      <c r="V39" s="754">
        <f t="array" ref="V39">SUMPRODUCT(
  (INDEX('6. TIẾN ĐỘ MUA HÀNG'!$A$5:$AT644, 0, XMATCH("NCC VTBB/NL trong nước", '6. TIẾN ĐỘ MUA HÀNG'!$A$4:$AT$4, 0)) = $B39) * (TRIM(INDEX('6. TIẾN ĐỘ MUA HÀNG'!$A$5:$AT644, 0, XMATCH("Tháng", '6. TIẾN ĐỘ MUA HÀNG'!$A$4:$AT$4, 0))) = TRIM(U$6)) * (INDEX('6. TIẾN ĐỘ MUA HÀNG'!$A$5:$AT644, 0, XMATCH("CL NGÀY NCC DỰ KIẾN - NGÀY NHẬN HÀNG", '6. TIẾN ĐỘ MUA HÀNG'!$A$4:$AT$4, 0)) &lt; 0)
)</f>
        <v>0</v>
      </c>
      <c r="W39" s="755">
        <f t="shared" si="32"/>
        <v>0</v>
      </c>
      <c r="X39" s="756">
        <f t="array" ref="X39">SUMPRODUCT((TRIM(INDEX('6. TIẾN ĐỘ MUA HÀNG'!$A$5:$AT644, 0, XMATCH("NCC VTBB/NL trong nước", '6. TIẾN ĐỘ MUA HÀNG'!$A$4:$AT$4, 0))) = TRIM($B39)) * (TRIM(INDEX('6. TIẾN ĐỘ MUA HÀNG'!$A$5:$AT644, 0, XMATCH("Tháng", '6. TIẾN ĐỘ MUA HÀNG'!$A$4:$AT$4, 0))) = TRIM(X$6)) * (INDEX('6. TIẾN ĐỘ MUA HÀNG'!$A$5:$AT644, 0, XMATCH("Mã đơn Misa", '6. TIẾN ĐỘ MUA HÀNG'!$A$4:$AT$4, 0)) &lt;&gt; ""))</f>
        <v>0</v>
      </c>
      <c r="Y39" s="756">
        <f t="array" ref="Y39">SUMPRODUCT(
  (INDEX('6. TIẾN ĐỘ MUA HÀNG'!$A$5:$AT644, 0, XMATCH("NCC VTBB/NL trong nước", '6. TIẾN ĐỘ MUA HÀNG'!$A$4:$AT$4, 0)) = $B39) * (TRIM(INDEX('6. TIẾN ĐỘ MUA HÀNG'!$A$5:$AT644, 0, XMATCH("Tháng", '6. TIẾN ĐỘ MUA HÀNG'!$A$4:$AT$4, 0))) = TRIM(X$6)) * (INDEX('6. TIẾN ĐỘ MUA HÀNG'!$A$5:$AT644, 0, XMATCH("CL NGÀY NCC DỰ KIẾN - NGÀY NHẬN HÀNG", '6. TIẾN ĐỘ MUA HÀNG'!$A$4:$AT$4, 0)) &lt; 0)
)</f>
        <v>0</v>
      </c>
      <c r="Z39" s="757">
        <f t="shared" si="21"/>
        <v>0</v>
      </c>
      <c r="AA39" s="754">
        <f t="array" ref="AA39">SUMPRODUCT((TRIM(INDEX('6. TIẾN ĐỘ MUA HÀNG'!$A$5:$AT644, 0, XMATCH("NCC VTBB/NL trong nước", '6. TIẾN ĐỘ MUA HÀNG'!$A$4:$AT$4, 0))) = TRIM($B39)) * (TRIM(INDEX('6. TIẾN ĐỘ MUA HÀNG'!$A$5:$AT644, 0, XMATCH("Tháng", '6. TIẾN ĐỘ MUA HÀNG'!$A$4:$AT$4, 0))) = TRIM(AA$6)) * (INDEX('6. TIẾN ĐỘ MUA HÀNG'!$A$5:$AT644, 0, XMATCH("Mã đơn Misa", '6. TIẾN ĐỘ MUA HÀNG'!$A$4:$AT$4, 0)) &lt;&gt; ""))</f>
        <v>0</v>
      </c>
      <c r="AB39" s="754">
        <f t="array" ref="AB39">SUMPRODUCT(
  (INDEX('6. TIẾN ĐỘ MUA HÀNG'!$A$5:$AT644, 0, XMATCH("NCC VTBB/NL trong nước", '6. TIẾN ĐỘ MUA HÀNG'!$A$4:$AT$4, 0)) = $B39) * (TRIM(INDEX('6. TIẾN ĐỘ MUA HÀNG'!$A$5:$AT644, 0, XMATCH("Tháng", '6. TIẾN ĐỘ MUA HÀNG'!$A$4:$AT$4, 0))) = TRIM(AA$6)) * (INDEX('6. TIẾN ĐỘ MUA HÀNG'!$A$5:$AT644, 0, XMATCH("CL NGÀY NCC DỰ KIẾN - NGÀY NHẬN HÀNG", '6. TIẾN ĐỘ MUA HÀNG'!$A$4:$AT$4, 0)) &lt; 0)
)</f>
        <v>0</v>
      </c>
      <c r="AC39" s="755">
        <f t="shared" si="33"/>
        <v>0</v>
      </c>
      <c r="AD39" s="756">
        <f t="array" ref="AD39">SUMPRODUCT((TRIM(INDEX('6. TIẾN ĐỘ MUA HÀNG'!$A$5:$AT644, 0, XMATCH("NCC VTBB/NL trong nước", '6. TIẾN ĐỘ MUA HÀNG'!$A$4:$AT$4, 0))) = TRIM($B39)) * (TRIM(INDEX('6. TIẾN ĐỘ MUA HÀNG'!$A$5:$AT644, 0, XMATCH("Tháng", '6. TIẾN ĐỘ MUA HÀNG'!$A$4:$AT$4, 0))) = TRIM(AD$6)) * (INDEX('6. TIẾN ĐỘ MUA HÀNG'!$A$5:$AT644, 0, XMATCH("Mã đơn Misa", '6. TIẾN ĐỘ MUA HÀNG'!$A$4:$AT$4, 0)) &lt;&gt; ""))</f>
        <v>0</v>
      </c>
      <c r="AE39" s="756">
        <f t="array" ref="AE39">SUMPRODUCT(
  (INDEX('6. TIẾN ĐỘ MUA HÀNG'!$A$5:$AT644, 0, XMATCH("NCC VTBB/NL trong nước", '6. TIẾN ĐỘ MUA HÀNG'!$A$4:$AT$4, 0)) = $B39) * (TRIM(INDEX('6. TIẾN ĐỘ MUA HÀNG'!$A$5:$AT644, 0, XMATCH("Tháng", '6. TIẾN ĐỘ MUA HÀNG'!$A$4:$AT$4, 0))) = TRIM(AD$6)) * (INDEX('6. TIẾN ĐỘ MUA HÀNG'!$A$5:$AT644, 0, XMATCH("CL NGÀY NCC DỰ KIẾN - NGÀY NHẬN HÀNG", '6. TIẾN ĐỘ MUA HÀNG'!$A$4:$AT$4, 0)) &lt; 0)
)</f>
        <v>0</v>
      </c>
      <c r="AF39" s="757">
        <f t="shared" si="23"/>
        <v>0</v>
      </c>
      <c r="AG39" s="754">
        <f t="array" ref="AG39">SUMPRODUCT((TRIM(INDEX('6. TIẾN ĐỘ MUA HÀNG'!$A$5:$AT644, 0, XMATCH("NCC VTBB/NL trong nước", '6. TIẾN ĐỘ MUA HÀNG'!$A$4:$AT$4, 0))) = TRIM($B39)) * (TRIM(INDEX('6. TIẾN ĐỘ MUA HÀNG'!$A$5:$AT644, 0, XMATCH("Tháng", '6. TIẾN ĐỘ MUA HÀNG'!$A$4:$AT$4, 0))) = TRIM(AG$6)) * (INDEX('6. TIẾN ĐỘ MUA HÀNG'!$A$5:$AT644, 0, XMATCH("Mã đơn Misa", '6. TIẾN ĐỘ MUA HÀNG'!$A$4:$AT$4, 0)) &lt;&gt; ""))</f>
        <v>0</v>
      </c>
      <c r="AH39" s="754">
        <f t="array" ref="AH39">SUMPRODUCT(
  (INDEX('6. TIẾN ĐỘ MUA HÀNG'!$A$5:$AT644, 0, XMATCH("NCC VTBB/NL trong nước", '6. TIẾN ĐỘ MUA HÀNG'!$A$4:$AT$4, 0)) = $B39) * (TRIM(INDEX('6. TIẾN ĐỘ MUA HÀNG'!$A$5:$AT644, 0, XMATCH("Tháng", '6. TIẾN ĐỘ MUA HÀNG'!$A$4:$AT$4, 0))) = TRIM(AG$6)) * (INDEX('6. TIẾN ĐỘ MUA HÀNG'!$A$5:$AT644, 0, XMATCH("CL NGÀY NCC DỰ KIẾN - NGÀY NHẬN HÀNG", '6. TIẾN ĐỘ MUA HÀNG'!$A$4:$AT$4, 0)) &lt; 0)
)</f>
        <v>0</v>
      </c>
      <c r="AI39" s="755">
        <f t="shared" si="34"/>
        <v>0</v>
      </c>
      <c r="AJ39" s="756">
        <f t="array" ref="AJ39">SUMPRODUCT((TRIM(INDEX('6. TIẾN ĐỘ MUA HÀNG'!$A$5:$AT644, 0, XMATCH("NCC VTBB/NL trong nước", '6. TIẾN ĐỘ MUA HÀNG'!$A$4:$AT$4, 0))) = TRIM($B39)) * (TRIM(INDEX('6. TIẾN ĐỘ MUA HÀNG'!$A$5:$AT644, 0, XMATCH("Tháng", '6. TIẾN ĐỘ MUA HÀNG'!$A$4:$AT$4, 0))) = TRIM(AJ$6)) * (INDEX('6. TIẾN ĐỘ MUA HÀNG'!$A$5:$AT644, 0, XMATCH("Mã đơn Misa", '6. TIẾN ĐỘ MUA HÀNG'!$A$4:$AT$4, 0)) &lt;&gt; ""))</f>
        <v>0</v>
      </c>
      <c r="AK39" s="756">
        <f t="array" ref="AK39">SUMPRODUCT(
  (INDEX('6. TIẾN ĐỘ MUA HÀNG'!$A$5:$AT644, 0, XMATCH("NCC VTBB/NL trong nước", '6. TIẾN ĐỘ MUA HÀNG'!$A$4:$AT$4, 0)) = $B39) * (TRIM(INDEX('6. TIẾN ĐỘ MUA HÀNG'!$A$5:$AT644, 0, XMATCH("Tháng", '6. TIẾN ĐỘ MUA HÀNG'!$A$4:$AT$4, 0))) = TRIM(AJ$6)) * (INDEX('6. TIẾN ĐỘ MUA HÀNG'!$A$5:$AT644, 0, XMATCH("CL NGÀY NCC DỰ KIẾN - NGÀY NHẬN HÀNG", '6. TIẾN ĐỘ MUA HÀNG'!$A$4:$AT$4, 0)) &lt; 0)
)</f>
        <v>0</v>
      </c>
      <c r="AL39" s="757">
        <f t="shared" si="25"/>
        <v>0</v>
      </c>
      <c r="AM39" s="726">
        <f t="shared" si="27"/>
        <v>0</v>
      </c>
      <c r="AN39" s="726">
        <f t="shared" si="28"/>
        <v>0</v>
      </c>
      <c r="AO39" s="727">
        <f t="shared" si="26"/>
        <v>0</v>
      </c>
    </row>
    <row r="40">
      <c r="A40" s="612">
        <v>32.0</v>
      </c>
      <c r="B40" s="624" t="str">
        <f>IFERROR(__xludf.DUMMYFUNCTION("""COMPUTED_VALUE"""),"Ntk")</f>
        <v>Ntk</v>
      </c>
      <c r="C40" s="754">
        <f t="array" ref="C40">SUMPRODUCT((TRIM(INDEX('6. TIẾN ĐỘ MUA HÀNG'!$A$5:$AT644, 0, XMATCH("NCC VTBB/NL trong nước", '6. TIẾN ĐỘ MUA HÀNG'!$A$4:$AT$4, 0))) = TRIM($B40)) * (TRIM(INDEX('6. TIẾN ĐỘ MUA HÀNG'!$A$5:$AT644, 0, XMATCH("Tháng", '6. TIẾN ĐỘ MUA HÀNG'!$A$4:$AT$4, 0))) = TRIM(C$6)) * (INDEX('6. TIẾN ĐỘ MUA HÀNG'!$A$5:$AT644, 0, XMATCH("Mã đơn Misa", '6. TIẾN ĐỘ MUA HÀNG'!$A$4:$AT$4, 0)) &lt;&gt; ""))</f>
        <v>0</v>
      </c>
      <c r="D40" s="754">
        <f t="array" ref="D40">SUMPRODUCT(
  (INDEX('6. TIẾN ĐỘ MUA HÀNG'!$A$5:$AT644, 0, XMATCH("NCC VTBB/NL trong nước", '6. TIẾN ĐỘ MUA HÀNG'!$A$4:$AT$4, 0)) = $B40) * (TRIM(INDEX('6. TIẾN ĐỘ MUA HÀNG'!$A$5:$AT644, 0, XMATCH("Tháng", '6. TIẾN ĐỘ MUA HÀNG'!$A$4:$AT$4, 0))) = TRIM(C$6)) * (INDEX('6. TIẾN ĐỘ MUA HÀNG'!$A$5:$AT644, 0, XMATCH("CL NGÀY NCC DỰ KIẾN - NGÀY NHẬN HÀNG", '6. TIẾN ĐỘ MUA HÀNG'!$A$4:$AT$4, 0)) &lt; 0)
)</f>
        <v>0</v>
      </c>
      <c r="E40" s="755">
        <f t="shared" si="29"/>
        <v>0</v>
      </c>
      <c r="F40" s="756">
        <f t="array" ref="F40">SUMPRODUCT((TRIM(INDEX('6. TIẾN ĐỘ MUA HÀNG'!$A$5:$AT644, 0, XMATCH("NCC VTBB/NL trong nước", '6. TIẾN ĐỘ MUA HÀNG'!$A$4:$AT$4, 0))) = TRIM($B40)) * (TRIM(INDEX('6. TIẾN ĐỘ MUA HÀNG'!$A$5:$AT644, 0, XMATCH("Tháng", '6. TIẾN ĐỘ MUA HÀNG'!$A$4:$AT$4, 0))) = TRIM(F$6)) * (INDEX('6. TIẾN ĐỘ MUA HÀNG'!$A$5:$AT644, 0, XMATCH("Mã đơn Misa", '6. TIẾN ĐỘ MUA HÀNG'!$A$4:$AT$4, 0)) &lt;&gt; ""))</f>
        <v>0</v>
      </c>
      <c r="G40" s="756">
        <f t="array" ref="G40">SUMPRODUCT(
  (INDEX('6. TIẾN ĐỘ MUA HÀNG'!$A$5:$AT644, 0, XMATCH("NCC VTBB/NL trong nước", '6. TIẾN ĐỘ MUA HÀNG'!$A$4:$AT$4, 0)) = $B40) * (TRIM(INDEX('6. TIẾN ĐỘ MUA HÀNG'!$A$5:$AT644, 0, XMATCH("Tháng", '6. TIẾN ĐỘ MUA HÀNG'!$A$4:$AT$4, 0))) = TRIM(F$6)) * (INDEX('6. TIẾN ĐỘ MUA HÀNG'!$A$5:$AT644, 0, XMATCH("CL NGÀY NCC DỰ KIẾN - NGÀY NHẬN HÀNG", '6. TIẾN ĐỘ MUA HÀNG'!$A$4:$AT$4, 0)) &lt; 0)
)</f>
        <v>0</v>
      </c>
      <c r="H40" s="757">
        <f t="shared" si="15"/>
        <v>0</v>
      </c>
      <c r="I40" s="754">
        <f t="array" ref="I40">SUMPRODUCT((TRIM(INDEX('6. TIẾN ĐỘ MUA HÀNG'!$A$5:$AT644, 0, XMATCH("NCC VTBB/NL trong nước", '6. TIẾN ĐỘ MUA HÀNG'!$A$4:$AT$4, 0))) = TRIM($B40)) * (TRIM(INDEX('6. TIẾN ĐỘ MUA HÀNG'!$A$5:$AT644, 0, XMATCH("Tháng", '6. TIẾN ĐỘ MUA HÀNG'!$A$4:$AT$4, 0))) = TRIM(I$6)) * (INDEX('6. TIẾN ĐỘ MUA HÀNG'!$A$5:$AT644, 0, XMATCH("Mã đơn Misa", '6. TIẾN ĐỘ MUA HÀNG'!$A$4:$AT$4, 0)) &lt;&gt; ""))</f>
        <v>0</v>
      </c>
      <c r="J40" s="754">
        <f t="array" ref="J40">SUMPRODUCT(
  (INDEX('6. TIẾN ĐỘ MUA HÀNG'!$A$5:$AT644, 0, XMATCH("NCC VTBB/NL trong nước", '6. TIẾN ĐỘ MUA HÀNG'!$A$4:$AT$4, 0)) = $B40) * (TRIM(INDEX('6. TIẾN ĐỘ MUA HÀNG'!$A$5:$AT644, 0, XMATCH("Tháng", '6. TIẾN ĐỘ MUA HÀNG'!$A$4:$AT$4, 0))) = TRIM(I$6)) * (INDEX('6. TIẾN ĐỘ MUA HÀNG'!$A$5:$AT644, 0, XMATCH("CL NGÀY NCC DỰ KIẾN - NGÀY NHẬN HÀNG", '6. TIẾN ĐỘ MUA HÀNG'!$A$4:$AT$4, 0)) &lt; 0)
)</f>
        <v>0</v>
      </c>
      <c r="K40" s="755">
        <f t="shared" si="30"/>
        <v>0</v>
      </c>
      <c r="L40" s="756">
        <f t="array" ref="L40">SUMPRODUCT((TRIM(INDEX('6. TIẾN ĐỘ MUA HÀNG'!$A$5:$AT644, 0, XMATCH("NCC VTBB/NL trong nước", '6. TIẾN ĐỘ MUA HÀNG'!$A$4:$AT$4, 0))) = TRIM($B40)) * (TRIM(INDEX('6. TIẾN ĐỘ MUA HÀNG'!$A$5:$AT644, 0, XMATCH("Tháng", '6. TIẾN ĐỘ MUA HÀNG'!$A$4:$AT$4, 0))) = TRIM(L$6)) * (INDEX('6. TIẾN ĐỘ MUA HÀNG'!$A$5:$AT644, 0, XMATCH("Mã đơn Misa", '6. TIẾN ĐỘ MUA HÀNG'!$A$4:$AT$4, 0)) &lt;&gt; ""))</f>
        <v>0</v>
      </c>
      <c r="M40" s="756">
        <f t="array" ref="M40">SUMPRODUCT(
  (INDEX('6. TIẾN ĐỘ MUA HÀNG'!$A$5:$AT644, 0, XMATCH("NCC VTBB/NL trong nước", '6. TIẾN ĐỘ MUA HÀNG'!$A$4:$AT$4, 0)) = $B40) * (TRIM(INDEX('6. TIẾN ĐỘ MUA HÀNG'!$A$5:$AT644, 0, XMATCH("Tháng", '6. TIẾN ĐỘ MUA HÀNG'!$A$4:$AT$4, 0))) = TRIM(L$6)) * (INDEX('6. TIẾN ĐỘ MUA HÀNG'!$A$5:$AT644, 0, XMATCH("CL NGÀY NCC DỰ KIẾN - NGÀY NHẬN HÀNG", '6. TIẾN ĐỘ MUA HÀNG'!$A$4:$AT$4, 0)) &lt; 0)
)</f>
        <v>0</v>
      </c>
      <c r="N40" s="757">
        <f t="shared" si="17"/>
        <v>0</v>
      </c>
      <c r="O40" s="754">
        <f t="array" ref="O40">SUMPRODUCT((TRIM(INDEX('6. TIẾN ĐỘ MUA HÀNG'!$A$5:$AT644, 0, XMATCH("NCC VTBB/NL trong nước", '6. TIẾN ĐỘ MUA HÀNG'!$A$4:$AT$4, 0))) = TRIM($B40)) * (TRIM(INDEX('6. TIẾN ĐỘ MUA HÀNG'!$A$5:$AT644, 0, XMATCH("Tháng", '6. TIẾN ĐỘ MUA HÀNG'!$A$4:$AT$4, 0))) = TRIM(O$6)) * (INDEX('6. TIẾN ĐỘ MUA HÀNG'!$A$5:$AT644, 0, XMATCH("Mã đơn Misa", '6. TIẾN ĐỘ MUA HÀNG'!$A$4:$AT$4, 0)) &lt;&gt; ""))</f>
        <v>0</v>
      </c>
      <c r="P40" s="754">
        <f t="array" ref="P40">SUMPRODUCT(
  (INDEX('6. TIẾN ĐỘ MUA HÀNG'!$A$5:$AT644, 0, XMATCH("NCC VTBB/NL trong nước", '6. TIẾN ĐỘ MUA HÀNG'!$A$4:$AT$4, 0)) = $B40) * (TRIM(INDEX('6. TIẾN ĐỘ MUA HÀNG'!$A$5:$AT644, 0, XMATCH("Tháng", '6. TIẾN ĐỘ MUA HÀNG'!$A$4:$AT$4, 0))) = TRIM(O$6)) * (INDEX('6. TIẾN ĐỘ MUA HÀNG'!$A$5:$AT644, 0, XMATCH("CL NGÀY NCC DỰ KIẾN - NGÀY NHẬN HÀNG", '6. TIẾN ĐỘ MUA HÀNG'!$A$4:$AT$4, 0)) &lt; 0)
)</f>
        <v>0</v>
      </c>
      <c r="Q40" s="755">
        <f t="shared" si="31"/>
        <v>0</v>
      </c>
      <c r="R40" s="756">
        <f t="array" ref="R40">SUMPRODUCT((TRIM(INDEX('6. TIẾN ĐỘ MUA HÀNG'!$A$5:$AT644, 0, XMATCH("NCC VTBB/NL trong nước", '6. TIẾN ĐỘ MUA HÀNG'!$A$4:$AT$4, 0))) = TRIM($B40)) * (TRIM(INDEX('6. TIẾN ĐỘ MUA HÀNG'!$A$5:$AT644, 0, XMATCH("Tháng", '6. TIẾN ĐỘ MUA HÀNG'!$A$4:$AT$4, 0))) = TRIM(R$6)) * (INDEX('6. TIẾN ĐỘ MUA HÀNG'!$A$5:$AT644, 0, XMATCH("Mã đơn Misa", '6. TIẾN ĐỘ MUA HÀNG'!$A$4:$AT$4, 0)) &lt;&gt; ""))</f>
        <v>0</v>
      </c>
      <c r="S40" s="756">
        <f t="array" ref="S40">SUMPRODUCT(
  (INDEX('6. TIẾN ĐỘ MUA HÀNG'!$A$5:$AT644, 0, XMATCH("NCC VTBB/NL trong nước", '6. TIẾN ĐỘ MUA HÀNG'!$A$4:$AT$4, 0)) = $B40) * (TRIM(INDEX('6. TIẾN ĐỘ MUA HÀNG'!$A$5:$AT644, 0, XMATCH("Tháng", '6. TIẾN ĐỘ MUA HÀNG'!$A$4:$AT$4, 0))) = TRIM(R$6)) * (INDEX('6. TIẾN ĐỘ MUA HÀNG'!$A$5:$AT644, 0, XMATCH("CL NGÀY NCC DỰ KIẾN - NGÀY NHẬN HÀNG", '6. TIẾN ĐỘ MUA HÀNG'!$A$4:$AT$4, 0)) &lt; 0)
)</f>
        <v>0</v>
      </c>
      <c r="T40" s="757">
        <f t="shared" si="19"/>
        <v>0</v>
      </c>
      <c r="U40" s="754">
        <f t="array" ref="U40">SUMPRODUCT((TRIM(INDEX('6. TIẾN ĐỘ MUA HÀNG'!$A$5:$AT644, 0, XMATCH("NCC VTBB/NL trong nước", '6. TIẾN ĐỘ MUA HÀNG'!$A$4:$AT$4, 0))) = TRIM($B40)) * (TRIM(INDEX('6. TIẾN ĐỘ MUA HÀNG'!$A$5:$AT644, 0, XMATCH("Tháng", '6. TIẾN ĐỘ MUA HÀNG'!$A$4:$AT$4, 0))) = TRIM(U$6)) * (INDEX('6. TIẾN ĐỘ MUA HÀNG'!$A$5:$AT644, 0, XMATCH("Mã đơn Misa", '6. TIẾN ĐỘ MUA HÀNG'!$A$4:$AT$4, 0)) &lt;&gt; ""))</f>
        <v>0</v>
      </c>
      <c r="V40" s="754">
        <f t="array" ref="V40">SUMPRODUCT(
  (INDEX('6. TIẾN ĐỘ MUA HÀNG'!$A$5:$AT644, 0, XMATCH("NCC VTBB/NL trong nước", '6. TIẾN ĐỘ MUA HÀNG'!$A$4:$AT$4, 0)) = $B40) * (TRIM(INDEX('6. TIẾN ĐỘ MUA HÀNG'!$A$5:$AT644, 0, XMATCH("Tháng", '6. TIẾN ĐỘ MUA HÀNG'!$A$4:$AT$4, 0))) = TRIM(U$6)) * (INDEX('6. TIẾN ĐỘ MUA HÀNG'!$A$5:$AT644, 0, XMATCH("CL NGÀY NCC DỰ KIẾN - NGÀY NHẬN HÀNG", '6. TIẾN ĐỘ MUA HÀNG'!$A$4:$AT$4, 0)) &lt; 0)
)</f>
        <v>0</v>
      </c>
      <c r="W40" s="755">
        <f t="shared" si="32"/>
        <v>0</v>
      </c>
      <c r="X40" s="756">
        <f t="array" ref="X40">SUMPRODUCT((TRIM(INDEX('6. TIẾN ĐỘ MUA HÀNG'!$A$5:$AT644, 0, XMATCH("NCC VTBB/NL trong nước", '6. TIẾN ĐỘ MUA HÀNG'!$A$4:$AT$4, 0))) = TRIM($B40)) * (TRIM(INDEX('6. TIẾN ĐỘ MUA HÀNG'!$A$5:$AT644, 0, XMATCH("Tháng", '6. TIẾN ĐỘ MUA HÀNG'!$A$4:$AT$4, 0))) = TRIM(X$6)) * (INDEX('6. TIẾN ĐỘ MUA HÀNG'!$A$5:$AT644, 0, XMATCH("Mã đơn Misa", '6. TIẾN ĐỘ MUA HÀNG'!$A$4:$AT$4, 0)) &lt;&gt; ""))</f>
        <v>0</v>
      </c>
      <c r="Y40" s="756">
        <f t="array" ref="Y40">SUMPRODUCT(
  (INDEX('6. TIẾN ĐỘ MUA HÀNG'!$A$5:$AT644, 0, XMATCH("NCC VTBB/NL trong nước", '6. TIẾN ĐỘ MUA HÀNG'!$A$4:$AT$4, 0)) = $B40) * (TRIM(INDEX('6. TIẾN ĐỘ MUA HÀNG'!$A$5:$AT644, 0, XMATCH("Tháng", '6. TIẾN ĐỘ MUA HÀNG'!$A$4:$AT$4, 0))) = TRIM(X$6)) * (INDEX('6. TIẾN ĐỘ MUA HÀNG'!$A$5:$AT644, 0, XMATCH("CL NGÀY NCC DỰ KIẾN - NGÀY NHẬN HÀNG", '6. TIẾN ĐỘ MUA HÀNG'!$A$4:$AT$4, 0)) &lt; 0)
)</f>
        <v>0</v>
      </c>
      <c r="Z40" s="757">
        <f t="shared" si="21"/>
        <v>0</v>
      </c>
      <c r="AA40" s="754">
        <f t="array" ref="AA40">SUMPRODUCT((TRIM(INDEX('6. TIẾN ĐỘ MUA HÀNG'!$A$5:$AT644, 0, XMATCH("NCC VTBB/NL trong nước", '6. TIẾN ĐỘ MUA HÀNG'!$A$4:$AT$4, 0))) = TRIM($B40)) * (TRIM(INDEX('6. TIẾN ĐỘ MUA HÀNG'!$A$5:$AT644, 0, XMATCH("Tháng", '6. TIẾN ĐỘ MUA HÀNG'!$A$4:$AT$4, 0))) = TRIM(AA$6)) * (INDEX('6. TIẾN ĐỘ MUA HÀNG'!$A$5:$AT644, 0, XMATCH("Mã đơn Misa", '6. TIẾN ĐỘ MUA HÀNG'!$A$4:$AT$4, 0)) &lt;&gt; ""))</f>
        <v>0</v>
      </c>
      <c r="AB40" s="754">
        <f t="array" ref="AB40">SUMPRODUCT(
  (INDEX('6. TIẾN ĐỘ MUA HÀNG'!$A$5:$AT644, 0, XMATCH("NCC VTBB/NL trong nước", '6. TIẾN ĐỘ MUA HÀNG'!$A$4:$AT$4, 0)) = $B40) * (TRIM(INDEX('6. TIẾN ĐỘ MUA HÀNG'!$A$5:$AT644, 0, XMATCH("Tháng", '6. TIẾN ĐỘ MUA HÀNG'!$A$4:$AT$4, 0))) = TRIM(AA$6)) * (INDEX('6. TIẾN ĐỘ MUA HÀNG'!$A$5:$AT644, 0, XMATCH("CL NGÀY NCC DỰ KIẾN - NGÀY NHẬN HÀNG", '6. TIẾN ĐỘ MUA HÀNG'!$A$4:$AT$4, 0)) &lt; 0)
)</f>
        <v>0</v>
      </c>
      <c r="AC40" s="755">
        <f t="shared" si="33"/>
        <v>0</v>
      </c>
      <c r="AD40" s="756">
        <f t="array" ref="AD40">SUMPRODUCT((TRIM(INDEX('6. TIẾN ĐỘ MUA HÀNG'!$A$5:$AT644, 0, XMATCH("NCC VTBB/NL trong nước", '6. TIẾN ĐỘ MUA HÀNG'!$A$4:$AT$4, 0))) = TRIM($B40)) * (TRIM(INDEX('6. TIẾN ĐỘ MUA HÀNG'!$A$5:$AT644, 0, XMATCH("Tháng", '6. TIẾN ĐỘ MUA HÀNG'!$A$4:$AT$4, 0))) = TRIM(AD$6)) * (INDEX('6. TIẾN ĐỘ MUA HÀNG'!$A$5:$AT644, 0, XMATCH("Mã đơn Misa", '6. TIẾN ĐỘ MUA HÀNG'!$A$4:$AT$4, 0)) &lt;&gt; ""))</f>
        <v>0</v>
      </c>
      <c r="AE40" s="756">
        <f t="array" ref="AE40">SUMPRODUCT(
  (INDEX('6. TIẾN ĐỘ MUA HÀNG'!$A$5:$AT644, 0, XMATCH("NCC VTBB/NL trong nước", '6. TIẾN ĐỘ MUA HÀNG'!$A$4:$AT$4, 0)) = $B40) * (TRIM(INDEX('6. TIẾN ĐỘ MUA HÀNG'!$A$5:$AT644, 0, XMATCH("Tháng", '6. TIẾN ĐỘ MUA HÀNG'!$A$4:$AT$4, 0))) = TRIM(AD$6)) * (INDEX('6. TIẾN ĐỘ MUA HÀNG'!$A$5:$AT644, 0, XMATCH("CL NGÀY NCC DỰ KIẾN - NGÀY NHẬN HÀNG", '6. TIẾN ĐỘ MUA HÀNG'!$A$4:$AT$4, 0)) &lt; 0)
)</f>
        <v>0</v>
      </c>
      <c r="AF40" s="757">
        <f t="shared" si="23"/>
        <v>0</v>
      </c>
      <c r="AG40" s="754">
        <f t="array" ref="AG40">SUMPRODUCT((TRIM(INDEX('6. TIẾN ĐỘ MUA HÀNG'!$A$5:$AT644, 0, XMATCH("NCC VTBB/NL trong nước", '6. TIẾN ĐỘ MUA HÀNG'!$A$4:$AT$4, 0))) = TRIM($B40)) * (TRIM(INDEX('6. TIẾN ĐỘ MUA HÀNG'!$A$5:$AT644, 0, XMATCH("Tháng", '6. TIẾN ĐỘ MUA HÀNG'!$A$4:$AT$4, 0))) = TRIM(AG$6)) * (INDEX('6. TIẾN ĐỘ MUA HÀNG'!$A$5:$AT644, 0, XMATCH("Mã đơn Misa", '6. TIẾN ĐỘ MUA HÀNG'!$A$4:$AT$4, 0)) &lt;&gt; ""))</f>
        <v>0</v>
      </c>
      <c r="AH40" s="754">
        <f t="array" ref="AH40">SUMPRODUCT(
  (INDEX('6. TIẾN ĐỘ MUA HÀNG'!$A$5:$AT644, 0, XMATCH("NCC VTBB/NL trong nước", '6. TIẾN ĐỘ MUA HÀNG'!$A$4:$AT$4, 0)) = $B40) * (TRIM(INDEX('6. TIẾN ĐỘ MUA HÀNG'!$A$5:$AT644, 0, XMATCH("Tháng", '6. TIẾN ĐỘ MUA HÀNG'!$A$4:$AT$4, 0))) = TRIM(AG$6)) * (INDEX('6. TIẾN ĐỘ MUA HÀNG'!$A$5:$AT644, 0, XMATCH("CL NGÀY NCC DỰ KIẾN - NGÀY NHẬN HÀNG", '6. TIẾN ĐỘ MUA HÀNG'!$A$4:$AT$4, 0)) &lt; 0)
)</f>
        <v>0</v>
      </c>
      <c r="AI40" s="755">
        <f t="shared" si="34"/>
        <v>0</v>
      </c>
      <c r="AJ40" s="756">
        <f t="array" ref="AJ40">SUMPRODUCT((TRIM(INDEX('6. TIẾN ĐỘ MUA HÀNG'!$A$5:$AT644, 0, XMATCH("NCC VTBB/NL trong nước", '6. TIẾN ĐỘ MUA HÀNG'!$A$4:$AT$4, 0))) = TRIM($B40)) * (TRIM(INDEX('6. TIẾN ĐỘ MUA HÀNG'!$A$5:$AT644, 0, XMATCH("Tháng", '6. TIẾN ĐỘ MUA HÀNG'!$A$4:$AT$4, 0))) = TRIM(AJ$6)) * (INDEX('6. TIẾN ĐỘ MUA HÀNG'!$A$5:$AT644, 0, XMATCH("Mã đơn Misa", '6. TIẾN ĐỘ MUA HÀNG'!$A$4:$AT$4, 0)) &lt;&gt; ""))</f>
        <v>0</v>
      </c>
      <c r="AK40" s="756">
        <f t="array" ref="AK40">SUMPRODUCT(
  (INDEX('6. TIẾN ĐỘ MUA HÀNG'!$A$5:$AT644, 0, XMATCH("NCC VTBB/NL trong nước", '6. TIẾN ĐỘ MUA HÀNG'!$A$4:$AT$4, 0)) = $B40) * (TRIM(INDEX('6. TIẾN ĐỘ MUA HÀNG'!$A$5:$AT644, 0, XMATCH("Tháng", '6. TIẾN ĐỘ MUA HÀNG'!$A$4:$AT$4, 0))) = TRIM(AJ$6)) * (INDEX('6. TIẾN ĐỘ MUA HÀNG'!$A$5:$AT644, 0, XMATCH("CL NGÀY NCC DỰ KIẾN - NGÀY NHẬN HÀNG", '6. TIẾN ĐỘ MUA HÀNG'!$A$4:$AT$4, 0)) &lt; 0)
)</f>
        <v>0</v>
      </c>
      <c r="AL40" s="757">
        <f t="shared" si="25"/>
        <v>0</v>
      </c>
      <c r="AM40" s="726">
        <f t="shared" si="27"/>
        <v>0</v>
      </c>
      <c r="AN40" s="726">
        <f t="shared" si="28"/>
        <v>0</v>
      </c>
      <c r="AO40" s="727">
        <f t="shared" si="26"/>
        <v>0</v>
      </c>
    </row>
    <row r="41">
      <c r="A41" s="612">
        <v>33.0</v>
      </c>
      <c r="B41" s="624" t="str">
        <f>IFERROR(__xludf.DUMMYFUNCTION("""COMPUTED_VALUE"""),"Mộc Lan")</f>
        <v>Mộc Lan</v>
      </c>
      <c r="C41" s="754">
        <f t="array" ref="C41">SUMPRODUCT((TRIM(INDEX('6. TIẾN ĐỘ MUA HÀNG'!$A$5:$AT644, 0, XMATCH("NCC VTBB/NL trong nước", '6. TIẾN ĐỘ MUA HÀNG'!$A$4:$AT$4, 0))) = TRIM($B41)) * (TRIM(INDEX('6. TIẾN ĐỘ MUA HÀNG'!$A$5:$AT644, 0, XMATCH("Tháng", '6. TIẾN ĐỘ MUA HÀNG'!$A$4:$AT$4, 0))) = TRIM(C$6)) * (INDEX('6. TIẾN ĐỘ MUA HÀNG'!$A$5:$AT644, 0, XMATCH("Mã đơn Misa", '6. TIẾN ĐỘ MUA HÀNG'!$A$4:$AT$4, 0)) &lt;&gt; ""))</f>
        <v>0</v>
      </c>
      <c r="D41" s="754">
        <f t="array" ref="D41">SUMPRODUCT(
  (INDEX('6. TIẾN ĐỘ MUA HÀNG'!$A$5:$AT644, 0, XMATCH("NCC VTBB/NL trong nước", '6. TIẾN ĐỘ MUA HÀNG'!$A$4:$AT$4, 0)) = $B41) * (TRIM(INDEX('6. TIẾN ĐỘ MUA HÀNG'!$A$5:$AT644, 0, XMATCH("Tháng", '6. TIẾN ĐỘ MUA HÀNG'!$A$4:$AT$4, 0))) = TRIM(C$6)) * (INDEX('6. TIẾN ĐỘ MUA HÀNG'!$A$5:$AT644, 0, XMATCH("CL NGÀY NCC DỰ KIẾN - NGÀY NHẬN HÀNG", '6. TIẾN ĐỘ MUA HÀNG'!$A$4:$AT$4, 0)) &lt; 0)
)</f>
        <v>0</v>
      </c>
      <c r="E41" s="755">
        <f t="shared" si="29"/>
        <v>0</v>
      </c>
      <c r="F41" s="756">
        <f t="array" ref="F41">SUMPRODUCT((TRIM(INDEX('6. TIẾN ĐỘ MUA HÀNG'!$A$5:$AT644, 0, XMATCH("NCC VTBB/NL trong nước", '6. TIẾN ĐỘ MUA HÀNG'!$A$4:$AT$4, 0))) = TRIM($B41)) * (TRIM(INDEX('6. TIẾN ĐỘ MUA HÀNG'!$A$5:$AT644, 0, XMATCH("Tháng", '6. TIẾN ĐỘ MUA HÀNG'!$A$4:$AT$4, 0))) = TRIM(F$6)) * (INDEX('6. TIẾN ĐỘ MUA HÀNG'!$A$5:$AT644, 0, XMATCH("Mã đơn Misa", '6. TIẾN ĐỘ MUA HÀNG'!$A$4:$AT$4, 0)) &lt;&gt; ""))</f>
        <v>0</v>
      </c>
      <c r="G41" s="756">
        <f t="array" ref="G41">SUMPRODUCT(
  (INDEX('6. TIẾN ĐỘ MUA HÀNG'!$A$5:$AT644, 0, XMATCH("NCC VTBB/NL trong nước", '6. TIẾN ĐỘ MUA HÀNG'!$A$4:$AT$4, 0)) = $B41) * (TRIM(INDEX('6. TIẾN ĐỘ MUA HÀNG'!$A$5:$AT644, 0, XMATCH("Tháng", '6. TIẾN ĐỘ MUA HÀNG'!$A$4:$AT$4, 0))) = TRIM(F$6)) * (INDEX('6. TIẾN ĐỘ MUA HÀNG'!$A$5:$AT644, 0, XMATCH("CL NGÀY NCC DỰ KIẾN - NGÀY NHẬN HÀNG", '6. TIẾN ĐỘ MUA HÀNG'!$A$4:$AT$4, 0)) &lt; 0)
)</f>
        <v>0</v>
      </c>
      <c r="H41" s="757">
        <f t="shared" si="15"/>
        <v>0</v>
      </c>
      <c r="I41" s="754">
        <f t="array" ref="I41">SUMPRODUCT((TRIM(INDEX('6. TIẾN ĐỘ MUA HÀNG'!$A$5:$AT644, 0, XMATCH("NCC VTBB/NL trong nước", '6. TIẾN ĐỘ MUA HÀNG'!$A$4:$AT$4, 0))) = TRIM($B41)) * (TRIM(INDEX('6. TIẾN ĐỘ MUA HÀNG'!$A$5:$AT644, 0, XMATCH("Tháng", '6. TIẾN ĐỘ MUA HÀNG'!$A$4:$AT$4, 0))) = TRIM(I$6)) * (INDEX('6. TIẾN ĐỘ MUA HÀNG'!$A$5:$AT644, 0, XMATCH("Mã đơn Misa", '6. TIẾN ĐỘ MUA HÀNG'!$A$4:$AT$4, 0)) &lt;&gt; ""))</f>
        <v>0</v>
      </c>
      <c r="J41" s="754">
        <f t="array" ref="J41">SUMPRODUCT(
  (INDEX('6. TIẾN ĐỘ MUA HÀNG'!$A$5:$AT644, 0, XMATCH("NCC VTBB/NL trong nước", '6. TIẾN ĐỘ MUA HÀNG'!$A$4:$AT$4, 0)) = $B41) * (TRIM(INDEX('6. TIẾN ĐỘ MUA HÀNG'!$A$5:$AT644, 0, XMATCH("Tháng", '6. TIẾN ĐỘ MUA HÀNG'!$A$4:$AT$4, 0))) = TRIM(I$6)) * (INDEX('6. TIẾN ĐỘ MUA HÀNG'!$A$5:$AT644, 0, XMATCH("CL NGÀY NCC DỰ KIẾN - NGÀY NHẬN HÀNG", '6. TIẾN ĐỘ MUA HÀNG'!$A$4:$AT$4, 0)) &lt; 0)
)</f>
        <v>0</v>
      </c>
      <c r="K41" s="755">
        <f t="shared" si="30"/>
        <v>0</v>
      </c>
      <c r="L41" s="756">
        <f t="array" ref="L41">SUMPRODUCT((TRIM(INDEX('6. TIẾN ĐỘ MUA HÀNG'!$A$5:$AT644, 0, XMATCH("NCC VTBB/NL trong nước", '6. TIẾN ĐỘ MUA HÀNG'!$A$4:$AT$4, 0))) = TRIM($B41)) * (TRIM(INDEX('6. TIẾN ĐỘ MUA HÀNG'!$A$5:$AT644, 0, XMATCH("Tháng", '6. TIẾN ĐỘ MUA HÀNG'!$A$4:$AT$4, 0))) = TRIM(L$6)) * (INDEX('6. TIẾN ĐỘ MUA HÀNG'!$A$5:$AT644, 0, XMATCH("Mã đơn Misa", '6. TIẾN ĐỘ MUA HÀNG'!$A$4:$AT$4, 0)) &lt;&gt; ""))</f>
        <v>0</v>
      </c>
      <c r="M41" s="756">
        <f t="array" ref="M41">SUMPRODUCT(
  (INDEX('6. TIẾN ĐỘ MUA HÀNG'!$A$5:$AT644, 0, XMATCH("NCC VTBB/NL trong nước", '6. TIẾN ĐỘ MUA HÀNG'!$A$4:$AT$4, 0)) = $B41) * (TRIM(INDEX('6. TIẾN ĐỘ MUA HÀNG'!$A$5:$AT644, 0, XMATCH("Tháng", '6. TIẾN ĐỘ MUA HÀNG'!$A$4:$AT$4, 0))) = TRIM(L$6)) * (INDEX('6. TIẾN ĐỘ MUA HÀNG'!$A$5:$AT644, 0, XMATCH("CL NGÀY NCC DỰ KIẾN - NGÀY NHẬN HÀNG", '6. TIẾN ĐỘ MUA HÀNG'!$A$4:$AT$4, 0)) &lt; 0)
)</f>
        <v>0</v>
      </c>
      <c r="N41" s="757">
        <f t="shared" si="17"/>
        <v>0</v>
      </c>
      <c r="O41" s="754">
        <f t="array" ref="O41">SUMPRODUCT((TRIM(INDEX('6. TIẾN ĐỘ MUA HÀNG'!$A$5:$AT644, 0, XMATCH("NCC VTBB/NL trong nước", '6. TIẾN ĐỘ MUA HÀNG'!$A$4:$AT$4, 0))) = TRIM($B41)) * (TRIM(INDEX('6. TIẾN ĐỘ MUA HÀNG'!$A$5:$AT644, 0, XMATCH("Tháng", '6. TIẾN ĐỘ MUA HÀNG'!$A$4:$AT$4, 0))) = TRIM(O$6)) * (INDEX('6. TIẾN ĐỘ MUA HÀNG'!$A$5:$AT644, 0, XMATCH("Mã đơn Misa", '6. TIẾN ĐỘ MUA HÀNG'!$A$4:$AT$4, 0)) &lt;&gt; ""))</f>
        <v>0</v>
      </c>
      <c r="P41" s="754">
        <f t="array" ref="P41">SUMPRODUCT(
  (INDEX('6. TIẾN ĐỘ MUA HÀNG'!$A$5:$AT644, 0, XMATCH("NCC VTBB/NL trong nước", '6. TIẾN ĐỘ MUA HÀNG'!$A$4:$AT$4, 0)) = $B41) * (TRIM(INDEX('6. TIẾN ĐỘ MUA HÀNG'!$A$5:$AT644, 0, XMATCH("Tháng", '6. TIẾN ĐỘ MUA HÀNG'!$A$4:$AT$4, 0))) = TRIM(O$6)) * (INDEX('6. TIẾN ĐỘ MUA HÀNG'!$A$5:$AT644, 0, XMATCH("CL NGÀY NCC DỰ KIẾN - NGÀY NHẬN HÀNG", '6. TIẾN ĐỘ MUA HÀNG'!$A$4:$AT$4, 0)) &lt; 0)
)</f>
        <v>0</v>
      </c>
      <c r="Q41" s="755">
        <f t="shared" si="31"/>
        <v>0</v>
      </c>
      <c r="R41" s="756">
        <f t="array" ref="R41">SUMPRODUCT((TRIM(INDEX('6. TIẾN ĐỘ MUA HÀNG'!$A$5:$AT644, 0, XMATCH("NCC VTBB/NL trong nước", '6. TIẾN ĐỘ MUA HÀNG'!$A$4:$AT$4, 0))) = TRIM($B41)) * (TRIM(INDEX('6. TIẾN ĐỘ MUA HÀNG'!$A$5:$AT644, 0, XMATCH("Tháng", '6. TIẾN ĐỘ MUA HÀNG'!$A$4:$AT$4, 0))) = TRIM(R$6)) * (INDEX('6. TIẾN ĐỘ MUA HÀNG'!$A$5:$AT644, 0, XMATCH("Mã đơn Misa", '6. TIẾN ĐỘ MUA HÀNG'!$A$4:$AT$4, 0)) &lt;&gt; ""))</f>
        <v>0</v>
      </c>
      <c r="S41" s="756">
        <f t="array" ref="S41">SUMPRODUCT(
  (INDEX('6. TIẾN ĐỘ MUA HÀNG'!$A$5:$AT644, 0, XMATCH("NCC VTBB/NL trong nước", '6. TIẾN ĐỘ MUA HÀNG'!$A$4:$AT$4, 0)) = $B41) * (TRIM(INDEX('6. TIẾN ĐỘ MUA HÀNG'!$A$5:$AT644, 0, XMATCH("Tháng", '6. TIẾN ĐỘ MUA HÀNG'!$A$4:$AT$4, 0))) = TRIM(R$6)) * (INDEX('6. TIẾN ĐỘ MUA HÀNG'!$A$5:$AT644, 0, XMATCH("CL NGÀY NCC DỰ KIẾN - NGÀY NHẬN HÀNG", '6. TIẾN ĐỘ MUA HÀNG'!$A$4:$AT$4, 0)) &lt; 0)
)</f>
        <v>0</v>
      </c>
      <c r="T41" s="757">
        <f t="shared" si="19"/>
        <v>0</v>
      </c>
      <c r="U41" s="754">
        <f t="array" ref="U41">SUMPRODUCT((TRIM(INDEX('6. TIẾN ĐỘ MUA HÀNG'!$A$5:$AT644, 0, XMATCH("NCC VTBB/NL trong nước", '6. TIẾN ĐỘ MUA HÀNG'!$A$4:$AT$4, 0))) = TRIM($B41)) * (TRIM(INDEX('6. TIẾN ĐỘ MUA HÀNG'!$A$5:$AT644, 0, XMATCH("Tháng", '6. TIẾN ĐỘ MUA HÀNG'!$A$4:$AT$4, 0))) = TRIM(U$6)) * (INDEX('6. TIẾN ĐỘ MUA HÀNG'!$A$5:$AT644, 0, XMATCH("Mã đơn Misa", '6. TIẾN ĐỘ MUA HÀNG'!$A$4:$AT$4, 0)) &lt;&gt; ""))</f>
        <v>0</v>
      </c>
      <c r="V41" s="754">
        <f t="array" ref="V41">SUMPRODUCT(
  (INDEX('6. TIẾN ĐỘ MUA HÀNG'!$A$5:$AT644, 0, XMATCH("NCC VTBB/NL trong nước", '6. TIẾN ĐỘ MUA HÀNG'!$A$4:$AT$4, 0)) = $B41) * (TRIM(INDEX('6. TIẾN ĐỘ MUA HÀNG'!$A$5:$AT644, 0, XMATCH("Tháng", '6. TIẾN ĐỘ MUA HÀNG'!$A$4:$AT$4, 0))) = TRIM(U$6)) * (INDEX('6. TIẾN ĐỘ MUA HÀNG'!$A$5:$AT644, 0, XMATCH("CL NGÀY NCC DỰ KIẾN - NGÀY NHẬN HÀNG", '6. TIẾN ĐỘ MUA HÀNG'!$A$4:$AT$4, 0)) &lt; 0)
)</f>
        <v>0</v>
      </c>
      <c r="W41" s="755">
        <f t="shared" si="32"/>
        <v>0</v>
      </c>
      <c r="X41" s="756">
        <f t="array" ref="X41">SUMPRODUCT((TRIM(INDEX('6. TIẾN ĐỘ MUA HÀNG'!$A$5:$AT644, 0, XMATCH("NCC VTBB/NL trong nước", '6. TIẾN ĐỘ MUA HÀNG'!$A$4:$AT$4, 0))) = TRIM($B41)) * (TRIM(INDEX('6. TIẾN ĐỘ MUA HÀNG'!$A$5:$AT644, 0, XMATCH("Tháng", '6. TIẾN ĐỘ MUA HÀNG'!$A$4:$AT$4, 0))) = TRIM(X$6)) * (INDEX('6. TIẾN ĐỘ MUA HÀNG'!$A$5:$AT644, 0, XMATCH("Mã đơn Misa", '6. TIẾN ĐỘ MUA HÀNG'!$A$4:$AT$4, 0)) &lt;&gt; ""))</f>
        <v>0</v>
      </c>
      <c r="Y41" s="756">
        <f t="array" ref="Y41">SUMPRODUCT(
  (INDEX('6. TIẾN ĐỘ MUA HÀNG'!$A$5:$AT644, 0, XMATCH("NCC VTBB/NL trong nước", '6. TIẾN ĐỘ MUA HÀNG'!$A$4:$AT$4, 0)) = $B41) * (TRIM(INDEX('6. TIẾN ĐỘ MUA HÀNG'!$A$5:$AT644, 0, XMATCH("Tháng", '6. TIẾN ĐỘ MUA HÀNG'!$A$4:$AT$4, 0))) = TRIM(X$6)) * (INDEX('6. TIẾN ĐỘ MUA HÀNG'!$A$5:$AT644, 0, XMATCH("CL NGÀY NCC DỰ KIẾN - NGÀY NHẬN HÀNG", '6. TIẾN ĐỘ MUA HÀNG'!$A$4:$AT$4, 0)) &lt; 0)
)</f>
        <v>0</v>
      </c>
      <c r="Z41" s="757">
        <f t="shared" si="21"/>
        <v>0</v>
      </c>
      <c r="AA41" s="754">
        <f t="array" ref="AA41">SUMPRODUCT((TRIM(INDEX('6. TIẾN ĐỘ MUA HÀNG'!$A$5:$AT644, 0, XMATCH("NCC VTBB/NL trong nước", '6. TIẾN ĐỘ MUA HÀNG'!$A$4:$AT$4, 0))) = TRIM($B41)) * (TRIM(INDEX('6. TIẾN ĐỘ MUA HÀNG'!$A$5:$AT644, 0, XMATCH("Tháng", '6. TIẾN ĐỘ MUA HÀNG'!$A$4:$AT$4, 0))) = TRIM(AA$6)) * (INDEX('6. TIẾN ĐỘ MUA HÀNG'!$A$5:$AT644, 0, XMATCH("Mã đơn Misa", '6. TIẾN ĐỘ MUA HÀNG'!$A$4:$AT$4, 0)) &lt;&gt; ""))</f>
        <v>0</v>
      </c>
      <c r="AB41" s="754">
        <f t="array" ref="AB41">SUMPRODUCT(
  (INDEX('6. TIẾN ĐỘ MUA HÀNG'!$A$5:$AT644, 0, XMATCH("NCC VTBB/NL trong nước", '6. TIẾN ĐỘ MUA HÀNG'!$A$4:$AT$4, 0)) = $B41) * (TRIM(INDEX('6. TIẾN ĐỘ MUA HÀNG'!$A$5:$AT644, 0, XMATCH("Tháng", '6. TIẾN ĐỘ MUA HÀNG'!$A$4:$AT$4, 0))) = TRIM(AA$6)) * (INDEX('6. TIẾN ĐỘ MUA HÀNG'!$A$5:$AT644, 0, XMATCH("CL NGÀY NCC DỰ KIẾN - NGÀY NHẬN HÀNG", '6. TIẾN ĐỘ MUA HÀNG'!$A$4:$AT$4, 0)) &lt; 0)
)</f>
        <v>0</v>
      </c>
      <c r="AC41" s="755">
        <f t="shared" si="33"/>
        <v>0</v>
      </c>
      <c r="AD41" s="756">
        <f t="array" ref="AD41">SUMPRODUCT((TRIM(INDEX('6. TIẾN ĐỘ MUA HÀNG'!$A$5:$AT644, 0, XMATCH("NCC VTBB/NL trong nước", '6. TIẾN ĐỘ MUA HÀNG'!$A$4:$AT$4, 0))) = TRIM($B41)) * (TRIM(INDEX('6. TIẾN ĐỘ MUA HÀNG'!$A$5:$AT644, 0, XMATCH("Tháng", '6. TIẾN ĐỘ MUA HÀNG'!$A$4:$AT$4, 0))) = TRIM(AD$6)) * (INDEX('6. TIẾN ĐỘ MUA HÀNG'!$A$5:$AT644, 0, XMATCH("Mã đơn Misa", '6. TIẾN ĐỘ MUA HÀNG'!$A$4:$AT$4, 0)) &lt;&gt; ""))</f>
        <v>0</v>
      </c>
      <c r="AE41" s="756">
        <f t="array" ref="AE41">SUMPRODUCT(
  (INDEX('6. TIẾN ĐỘ MUA HÀNG'!$A$5:$AT644, 0, XMATCH("NCC VTBB/NL trong nước", '6. TIẾN ĐỘ MUA HÀNG'!$A$4:$AT$4, 0)) = $B41) * (TRIM(INDEX('6. TIẾN ĐỘ MUA HÀNG'!$A$5:$AT644, 0, XMATCH("Tháng", '6. TIẾN ĐỘ MUA HÀNG'!$A$4:$AT$4, 0))) = TRIM(AD$6)) * (INDEX('6. TIẾN ĐỘ MUA HÀNG'!$A$5:$AT644, 0, XMATCH("CL NGÀY NCC DỰ KIẾN - NGÀY NHẬN HÀNG", '6. TIẾN ĐỘ MUA HÀNG'!$A$4:$AT$4, 0)) &lt; 0)
)</f>
        <v>0</v>
      </c>
      <c r="AF41" s="757">
        <f t="shared" si="23"/>
        <v>0</v>
      </c>
      <c r="AG41" s="754">
        <f t="array" ref="AG41">SUMPRODUCT((TRIM(INDEX('6. TIẾN ĐỘ MUA HÀNG'!$A$5:$AT644, 0, XMATCH("NCC VTBB/NL trong nước", '6. TIẾN ĐỘ MUA HÀNG'!$A$4:$AT$4, 0))) = TRIM($B41)) * (TRIM(INDEX('6. TIẾN ĐỘ MUA HÀNG'!$A$5:$AT644, 0, XMATCH("Tháng", '6. TIẾN ĐỘ MUA HÀNG'!$A$4:$AT$4, 0))) = TRIM(AG$6)) * (INDEX('6. TIẾN ĐỘ MUA HÀNG'!$A$5:$AT644, 0, XMATCH("Mã đơn Misa", '6. TIẾN ĐỘ MUA HÀNG'!$A$4:$AT$4, 0)) &lt;&gt; ""))</f>
        <v>0</v>
      </c>
      <c r="AH41" s="754">
        <f t="array" ref="AH41">SUMPRODUCT(
  (INDEX('6. TIẾN ĐỘ MUA HÀNG'!$A$5:$AT644, 0, XMATCH("NCC VTBB/NL trong nước", '6. TIẾN ĐỘ MUA HÀNG'!$A$4:$AT$4, 0)) = $B41) * (TRIM(INDEX('6. TIẾN ĐỘ MUA HÀNG'!$A$5:$AT644, 0, XMATCH("Tháng", '6. TIẾN ĐỘ MUA HÀNG'!$A$4:$AT$4, 0))) = TRIM(AG$6)) * (INDEX('6. TIẾN ĐỘ MUA HÀNG'!$A$5:$AT644, 0, XMATCH("CL NGÀY NCC DỰ KIẾN - NGÀY NHẬN HÀNG", '6. TIẾN ĐỘ MUA HÀNG'!$A$4:$AT$4, 0)) &lt; 0)
)</f>
        <v>0</v>
      </c>
      <c r="AI41" s="755">
        <f t="shared" si="34"/>
        <v>0</v>
      </c>
      <c r="AJ41" s="756">
        <f t="array" ref="AJ41">SUMPRODUCT((TRIM(INDEX('6. TIẾN ĐỘ MUA HÀNG'!$A$5:$AT644, 0, XMATCH("NCC VTBB/NL trong nước", '6. TIẾN ĐỘ MUA HÀNG'!$A$4:$AT$4, 0))) = TRIM($B41)) * (TRIM(INDEX('6. TIẾN ĐỘ MUA HÀNG'!$A$5:$AT644, 0, XMATCH("Tháng", '6. TIẾN ĐỘ MUA HÀNG'!$A$4:$AT$4, 0))) = TRIM(AJ$6)) * (INDEX('6. TIẾN ĐỘ MUA HÀNG'!$A$5:$AT644, 0, XMATCH("Mã đơn Misa", '6. TIẾN ĐỘ MUA HÀNG'!$A$4:$AT$4, 0)) &lt;&gt; ""))</f>
        <v>0</v>
      </c>
      <c r="AK41" s="756">
        <f t="array" ref="AK41">SUMPRODUCT(
  (INDEX('6. TIẾN ĐỘ MUA HÀNG'!$A$5:$AT644, 0, XMATCH("NCC VTBB/NL trong nước", '6. TIẾN ĐỘ MUA HÀNG'!$A$4:$AT$4, 0)) = $B41) * (TRIM(INDEX('6. TIẾN ĐỘ MUA HÀNG'!$A$5:$AT644, 0, XMATCH("Tháng", '6. TIẾN ĐỘ MUA HÀNG'!$A$4:$AT$4, 0))) = TRIM(AJ$6)) * (INDEX('6. TIẾN ĐỘ MUA HÀNG'!$A$5:$AT644, 0, XMATCH("CL NGÀY NCC DỰ KIẾN - NGÀY NHẬN HÀNG", '6. TIẾN ĐỘ MUA HÀNG'!$A$4:$AT$4, 0)) &lt; 0)
)</f>
        <v>0</v>
      </c>
      <c r="AL41" s="757">
        <f t="shared" si="25"/>
        <v>0</v>
      </c>
      <c r="AM41" s="726">
        <f t="shared" si="27"/>
        <v>0</v>
      </c>
      <c r="AN41" s="726">
        <f t="shared" si="28"/>
        <v>0</v>
      </c>
      <c r="AO41" s="727">
        <f t="shared" si="26"/>
        <v>0</v>
      </c>
    </row>
    <row r="42">
      <c r="A42" s="612">
        <v>34.0</v>
      </c>
      <c r="B42" s="624" t="str">
        <f>IFERROR(__xludf.DUMMYFUNCTION("""COMPUTED_VALUE"""),"Nam Bình")</f>
        <v>Nam Bình</v>
      </c>
      <c r="C42" s="754">
        <f t="array" ref="C42">SUMPRODUCT((TRIM(INDEX('6. TIẾN ĐỘ MUA HÀNG'!$A$5:$AT644, 0, XMATCH("NCC VTBB/NL trong nước", '6. TIẾN ĐỘ MUA HÀNG'!$A$4:$AT$4, 0))) = TRIM($B42)) * (TRIM(INDEX('6. TIẾN ĐỘ MUA HÀNG'!$A$5:$AT644, 0, XMATCH("Tháng", '6. TIẾN ĐỘ MUA HÀNG'!$A$4:$AT$4, 0))) = TRIM(C$6)) * (INDEX('6. TIẾN ĐỘ MUA HÀNG'!$A$5:$AT644, 0, XMATCH("Mã đơn Misa", '6. TIẾN ĐỘ MUA HÀNG'!$A$4:$AT$4, 0)) &lt;&gt; ""))</f>
        <v>0</v>
      </c>
      <c r="D42" s="754">
        <f t="array" ref="D42">SUMPRODUCT(
  (INDEX('6. TIẾN ĐỘ MUA HÀNG'!$A$5:$AT644, 0, XMATCH("NCC VTBB/NL trong nước", '6. TIẾN ĐỘ MUA HÀNG'!$A$4:$AT$4, 0)) = $B42) * (TRIM(INDEX('6. TIẾN ĐỘ MUA HÀNG'!$A$5:$AT644, 0, XMATCH("Tháng", '6. TIẾN ĐỘ MUA HÀNG'!$A$4:$AT$4, 0))) = TRIM(C$6)) * (INDEX('6. TIẾN ĐỘ MUA HÀNG'!$A$5:$AT644, 0, XMATCH("CL NGÀY NCC DỰ KIẾN - NGÀY NHẬN HÀNG", '6. TIẾN ĐỘ MUA HÀNG'!$A$4:$AT$4, 0)) &lt; 0)
)</f>
        <v>0</v>
      </c>
      <c r="E42" s="755">
        <f t="shared" si="29"/>
        <v>0</v>
      </c>
      <c r="F42" s="756">
        <f t="array" ref="F42">SUMPRODUCT((TRIM(INDEX('6. TIẾN ĐỘ MUA HÀNG'!$A$5:$AT644, 0, XMATCH("NCC VTBB/NL trong nước", '6. TIẾN ĐỘ MUA HÀNG'!$A$4:$AT$4, 0))) = TRIM($B42)) * (TRIM(INDEX('6. TIẾN ĐỘ MUA HÀNG'!$A$5:$AT644, 0, XMATCH("Tháng", '6. TIẾN ĐỘ MUA HÀNG'!$A$4:$AT$4, 0))) = TRIM(F$6)) * (INDEX('6. TIẾN ĐỘ MUA HÀNG'!$A$5:$AT644, 0, XMATCH("Mã đơn Misa", '6. TIẾN ĐỘ MUA HÀNG'!$A$4:$AT$4, 0)) &lt;&gt; ""))</f>
        <v>0</v>
      </c>
      <c r="G42" s="756">
        <f t="array" ref="G42">SUMPRODUCT(
  (INDEX('6. TIẾN ĐỘ MUA HÀNG'!$A$5:$AT644, 0, XMATCH("NCC VTBB/NL trong nước", '6. TIẾN ĐỘ MUA HÀNG'!$A$4:$AT$4, 0)) = $B42) * (TRIM(INDEX('6. TIẾN ĐỘ MUA HÀNG'!$A$5:$AT644, 0, XMATCH("Tháng", '6. TIẾN ĐỘ MUA HÀNG'!$A$4:$AT$4, 0))) = TRIM(F$6)) * (INDEX('6. TIẾN ĐỘ MUA HÀNG'!$A$5:$AT644, 0, XMATCH("CL NGÀY NCC DỰ KIẾN - NGÀY NHẬN HÀNG", '6. TIẾN ĐỘ MUA HÀNG'!$A$4:$AT$4, 0)) &lt; 0)
)</f>
        <v>0</v>
      </c>
      <c r="H42" s="757">
        <f t="shared" si="15"/>
        <v>0</v>
      </c>
      <c r="I42" s="754">
        <f t="array" ref="I42">SUMPRODUCT((TRIM(INDEX('6. TIẾN ĐỘ MUA HÀNG'!$A$5:$AT644, 0, XMATCH("NCC VTBB/NL trong nước", '6. TIẾN ĐỘ MUA HÀNG'!$A$4:$AT$4, 0))) = TRIM($B42)) * (TRIM(INDEX('6. TIẾN ĐỘ MUA HÀNG'!$A$5:$AT644, 0, XMATCH("Tháng", '6. TIẾN ĐỘ MUA HÀNG'!$A$4:$AT$4, 0))) = TRIM(I$6)) * (INDEX('6. TIẾN ĐỘ MUA HÀNG'!$A$5:$AT644, 0, XMATCH("Mã đơn Misa", '6. TIẾN ĐỘ MUA HÀNG'!$A$4:$AT$4, 0)) &lt;&gt; ""))</f>
        <v>0</v>
      </c>
      <c r="J42" s="754">
        <f t="array" ref="J42">SUMPRODUCT(
  (INDEX('6. TIẾN ĐỘ MUA HÀNG'!$A$5:$AT644, 0, XMATCH("NCC VTBB/NL trong nước", '6. TIẾN ĐỘ MUA HÀNG'!$A$4:$AT$4, 0)) = $B42) * (TRIM(INDEX('6. TIẾN ĐỘ MUA HÀNG'!$A$5:$AT644, 0, XMATCH("Tháng", '6. TIẾN ĐỘ MUA HÀNG'!$A$4:$AT$4, 0))) = TRIM(I$6)) * (INDEX('6. TIẾN ĐỘ MUA HÀNG'!$A$5:$AT644, 0, XMATCH("CL NGÀY NCC DỰ KIẾN - NGÀY NHẬN HÀNG", '6. TIẾN ĐỘ MUA HÀNG'!$A$4:$AT$4, 0)) &lt; 0)
)</f>
        <v>0</v>
      </c>
      <c r="K42" s="755">
        <f t="shared" si="30"/>
        <v>0</v>
      </c>
      <c r="L42" s="756">
        <f t="array" ref="L42">SUMPRODUCT((TRIM(INDEX('6. TIẾN ĐỘ MUA HÀNG'!$A$5:$AT644, 0, XMATCH("NCC VTBB/NL trong nước", '6. TIẾN ĐỘ MUA HÀNG'!$A$4:$AT$4, 0))) = TRIM($B42)) * (TRIM(INDEX('6. TIẾN ĐỘ MUA HÀNG'!$A$5:$AT644, 0, XMATCH("Tháng", '6. TIẾN ĐỘ MUA HÀNG'!$A$4:$AT$4, 0))) = TRIM(L$6)) * (INDEX('6. TIẾN ĐỘ MUA HÀNG'!$A$5:$AT644, 0, XMATCH("Mã đơn Misa", '6. TIẾN ĐỘ MUA HÀNG'!$A$4:$AT$4, 0)) &lt;&gt; ""))</f>
        <v>0</v>
      </c>
      <c r="M42" s="756">
        <f t="array" ref="M42">SUMPRODUCT(
  (INDEX('6. TIẾN ĐỘ MUA HÀNG'!$A$5:$AT644, 0, XMATCH("NCC VTBB/NL trong nước", '6. TIẾN ĐỘ MUA HÀNG'!$A$4:$AT$4, 0)) = $B42) * (TRIM(INDEX('6. TIẾN ĐỘ MUA HÀNG'!$A$5:$AT644, 0, XMATCH("Tháng", '6. TIẾN ĐỘ MUA HÀNG'!$A$4:$AT$4, 0))) = TRIM(L$6)) * (INDEX('6. TIẾN ĐỘ MUA HÀNG'!$A$5:$AT644, 0, XMATCH("CL NGÀY NCC DỰ KIẾN - NGÀY NHẬN HÀNG", '6. TIẾN ĐỘ MUA HÀNG'!$A$4:$AT$4, 0)) &lt; 0)
)</f>
        <v>0</v>
      </c>
      <c r="N42" s="757">
        <f t="shared" si="17"/>
        <v>0</v>
      </c>
      <c r="O42" s="754">
        <f t="array" ref="O42">SUMPRODUCT((TRIM(INDEX('6. TIẾN ĐỘ MUA HÀNG'!$A$5:$AT644, 0, XMATCH("NCC VTBB/NL trong nước", '6. TIẾN ĐỘ MUA HÀNG'!$A$4:$AT$4, 0))) = TRIM($B42)) * (TRIM(INDEX('6. TIẾN ĐỘ MUA HÀNG'!$A$5:$AT644, 0, XMATCH("Tháng", '6. TIẾN ĐỘ MUA HÀNG'!$A$4:$AT$4, 0))) = TRIM(O$6)) * (INDEX('6. TIẾN ĐỘ MUA HÀNG'!$A$5:$AT644, 0, XMATCH("Mã đơn Misa", '6. TIẾN ĐỘ MUA HÀNG'!$A$4:$AT$4, 0)) &lt;&gt; ""))</f>
        <v>0</v>
      </c>
      <c r="P42" s="754">
        <f t="array" ref="P42">SUMPRODUCT(
  (INDEX('6. TIẾN ĐỘ MUA HÀNG'!$A$5:$AT644, 0, XMATCH("NCC VTBB/NL trong nước", '6. TIẾN ĐỘ MUA HÀNG'!$A$4:$AT$4, 0)) = $B42) * (TRIM(INDEX('6. TIẾN ĐỘ MUA HÀNG'!$A$5:$AT644, 0, XMATCH("Tháng", '6. TIẾN ĐỘ MUA HÀNG'!$A$4:$AT$4, 0))) = TRIM(O$6)) * (INDEX('6. TIẾN ĐỘ MUA HÀNG'!$A$5:$AT644, 0, XMATCH("CL NGÀY NCC DỰ KIẾN - NGÀY NHẬN HÀNG", '6. TIẾN ĐỘ MUA HÀNG'!$A$4:$AT$4, 0)) &lt; 0)
)</f>
        <v>0</v>
      </c>
      <c r="Q42" s="755">
        <f t="shared" si="31"/>
        <v>0</v>
      </c>
      <c r="R42" s="756">
        <f t="array" ref="R42">SUMPRODUCT((TRIM(INDEX('6. TIẾN ĐỘ MUA HÀNG'!$A$5:$AT644, 0, XMATCH("NCC VTBB/NL trong nước", '6. TIẾN ĐỘ MUA HÀNG'!$A$4:$AT$4, 0))) = TRIM($B42)) * (TRIM(INDEX('6. TIẾN ĐỘ MUA HÀNG'!$A$5:$AT644, 0, XMATCH("Tháng", '6. TIẾN ĐỘ MUA HÀNG'!$A$4:$AT$4, 0))) = TRIM(R$6)) * (INDEX('6. TIẾN ĐỘ MUA HÀNG'!$A$5:$AT644, 0, XMATCH("Mã đơn Misa", '6. TIẾN ĐỘ MUA HÀNG'!$A$4:$AT$4, 0)) &lt;&gt; ""))</f>
        <v>0</v>
      </c>
      <c r="S42" s="756">
        <f t="array" ref="S42">SUMPRODUCT(
  (INDEX('6. TIẾN ĐỘ MUA HÀNG'!$A$5:$AT644, 0, XMATCH("NCC VTBB/NL trong nước", '6. TIẾN ĐỘ MUA HÀNG'!$A$4:$AT$4, 0)) = $B42) * (TRIM(INDEX('6. TIẾN ĐỘ MUA HÀNG'!$A$5:$AT644, 0, XMATCH("Tháng", '6. TIẾN ĐỘ MUA HÀNG'!$A$4:$AT$4, 0))) = TRIM(R$6)) * (INDEX('6. TIẾN ĐỘ MUA HÀNG'!$A$5:$AT644, 0, XMATCH("CL NGÀY NCC DỰ KIẾN - NGÀY NHẬN HÀNG", '6. TIẾN ĐỘ MUA HÀNG'!$A$4:$AT$4, 0)) &lt; 0)
)</f>
        <v>0</v>
      </c>
      <c r="T42" s="757">
        <f t="shared" si="19"/>
        <v>0</v>
      </c>
      <c r="U42" s="754">
        <f t="array" ref="U42">SUMPRODUCT((TRIM(INDEX('6. TIẾN ĐỘ MUA HÀNG'!$A$5:$AT644, 0, XMATCH("NCC VTBB/NL trong nước", '6. TIẾN ĐỘ MUA HÀNG'!$A$4:$AT$4, 0))) = TRIM($B42)) * (TRIM(INDEX('6. TIẾN ĐỘ MUA HÀNG'!$A$5:$AT644, 0, XMATCH("Tháng", '6. TIẾN ĐỘ MUA HÀNG'!$A$4:$AT$4, 0))) = TRIM(U$6)) * (INDEX('6. TIẾN ĐỘ MUA HÀNG'!$A$5:$AT644, 0, XMATCH("Mã đơn Misa", '6. TIẾN ĐỘ MUA HÀNG'!$A$4:$AT$4, 0)) &lt;&gt; ""))</f>
        <v>0</v>
      </c>
      <c r="V42" s="754">
        <f t="array" ref="V42">SUMPRODUCT(
  (INDEX('6. TIẾN ĐỘ MUA HÀNG'!$A$5:$AT644, 0, XMATCH("NCC VTBB/NL trong nước", '6. TIẾN ĐỘ MUA HÀNG'!$A$4:$AT$4, 0)) = $B42) * (TRIM(INDEX('6. TIẾN ĐỘ MUA HÀNG'!$A$5:$AT644, 0, XMATCH("Tháng", '6. TIẾN ĐỘ MUA HÀNG'!$A$4:$AT$4, 0))) = TRIM(U$6)) * (INDEX('6. TIẾN ĐỘ MUA HÀNG'!$A$5:$AT644, 0, XMATCH("CL NGÀY NCC DỰ KIẾN - NGÀY NHẬN HÀNG", '6. TIẾN ĐỘ MUA HÀNG'!$A$4:$AT$4, 0)) &lt; 0)
)</f>
        <v>0</v>
      </c>
      <c r="W42" s="755">
        <f t="shared" si="32"/>
        <v>0</v>
      </c>
      <c r="X42" s="756">
        <f t="array" ref="X42">SUMPRODUCT((TRIM(INDEX('6. TIẾN ĐỘ MUA HÀNG'!$A$5:$AT644, 0, XMATCH("NCC VTBB/NL trong nước", '6. TIẾN ĐỘ MUA HÀNG'!$A$4:$AT$4, 0))) = TRIM($B42)) * (TRIM(INDEX('6. TIẾN ĐỘ MUA HÀNG'!$A$5:$AT644, 0, XMATCH("Tháng", '6. TIẾN ĐỘ MUA HÀNG'!$A$4:$AT$4, 0))) = TRIM(X$6)) * (INDEX('6. TIẾN ĐỘ MUA HÀNG'!$A$5:$AT644, 0, XMATCH("Mã đơn Misa", '6. TIẾN ĐỘ MUA HÀNG'!$A$4:$AT$4, 0)) &lt;&gt; ""))</f>
        <v>0</v>
      </c>
      <c r="Y42" s="756">
        <f t="array" ref="Y42">SUMPRODUCT(
  (INDEX('6. TIẾN ĐỘ MUA HÀNG'!$A$5:$AT644, 0, XMATCH("NCC VTBB/NL trong nước", '6. TIẾN ĐỘ MUA HÀNG'!$A$4:$AT$4, 0)) = $B42) * (TRIM(INDEX('6. TIẾN ĐỘ MUA HÀNG'!$A$5:$AT644, 0, XMATCH("Tháng", '6. TIẾN ĐỘ MUA HÀNG'!$A$4:$AT$4, 0))) = TRIM(X$6)) * (INDEX('6. TIẾN ĐỘ MUA HÀNG'!$A$5:$AT644, 0, XMATCH("CL NGÀY NCC DỰ KIẾN - NGÀY NHẬN HÀNG", '6. TIẾN ĐỘ MUA HÀNG'!$A$4:$AT$4, 0)) &lt; 0)
)</f>
        <v>0</v>
      </c>
      <c r="Z42" s="757">
        <f t="shared" si="21"/>
        <v>0</v>
      </c>
      <c r="AA42" s="754">
        <f t="array" ref="AA42">SUMPRODUCT((TRIM(INDEX('6. TIẾN ĐỘ MUA HÀNG'!$A$5:$AT644, 0, XMATCH("NCC VTBB/NL trong nước", '6. TIẾN ĐỘ MUA HÀNG'!$A$4:$AT$4, 0))) = TRIM($B42)) * (TRIM(INDEX('6. TIẾN ĐỘ MUA HÀNG'!$A$5:$AT644, 0, XMATCH("Tháng", '6. TIẾN ĐỘ MUA HÀNG'!$A$4:$AT$4, 0))) = TRIM(AA$6)) * (INDEX('6. TIẾN ĐỘ MUA HÀNG'!$A$5:$AT644, 0, XMATCH("Mã đơn Misa", '6. TIẾN ĐỘ MUA HÀNG'!$A$4:$AT$4, 0)) &lt;&gt; ""))</f>
        <v>0</v>
      </c>
      <c r="AB42" s="754">
        <f t="array" ref="AB42">SUMPRODUCT(
  (INDEX('6. TIẾN ĐỘ MUA HÀNG'!$A$5:$AT644, 0, XMATCH("NCC VTBB/NL trong nước", '6. TIẾN ĐỘ MUA HÀNG'!$A$4:$AT$4, 0)) = $B42) * (TRIM(INDEX('6. TIẾN ĐỘ MUA HÀNG'!$A$5:$AT644, 0, XMATCH("Tháng", '6. TIẾN ĐỘ MUA HÀNG'!$A$4:$AT$4, 0))) = TRIM(AA$6)) * (INDEX('6. TIẾN ĐỘ MUA HÀNG'!$A$5:$AT644, 0, XMATCH("CL NGÀY NCC DỰ KIẾN - NGÀY NHẬN HÀNG", '6. TIẾN ĐỘ MUA HÀNG'!$A$4:$AT$4, 0)) &lt; 0)
)</f>
        <v>0</v>
      </c>
      <c r="AC42" s="755">
        <f t="shared" si="33"/>
        <v>0</v>
      </c>
      <c r="AD42" s="756">
        <f t="array" ref="AD42">SUMPRODUCT((TRIM(INDEX('6. TIẾN ĐỘ MUA HÀNG'!$A$5:$AT644, 0, XMATCH("NCC VTBB/NL trong nước", '6. TIẾN ĐỘ MUA HÀNG'!$A$4:$AT$4, 0))) = TRIM($B42)) * (TRIM(INDEX('6. TIẾN ĐỘ MUA HÀNG'!$A$5:$AT644, 0, XMATCH("Tháng", '6. TIẾN ĐỘ MUA HÀNG'!$A$4:$AT$4, 0))) = TRIM(AD$6)) * (INDEX('6. TIẾN ĐỘ MUA HÀNG'!$A$5:$AT644, 0, XMATCH("Mã đơn Misa", '6. TIẾN ĐỘ MUA HÀNG'!$A$4:$AT$4, 0)) &lt;&gt; ""))</f>
        <v>0</v>
      </c>
      <c r="AE42" s="756">
        <f t="array" ref="AE42">SUMPRODUCT(
  (INDEX('6. TIẾN ĐỘ MUA HÀNG'!$A$5:$AT644, 0, XMATCH("NCC VTBB/NL trong nước", '6. TIẾN ĐỘ MUA HÀNG'!$A$4:$AT$4, 0)) = $B42) * (TRIM(INDEX('6. TIẾN ĐỘ MUA HÀNG'!$A$5:$AT644, 0, XMATCH("Tháng", '6. TIẾN ĐỘ MUA HÀNG'!$A$4:$AT$4, 0))) = TRIM(AD$6)) * (INDEX('6. TIẾN ĐỘ MUA HÀNG'!$A$5:$AT644, 0, XMATCH("CL NGÀY NCC DỰ KIẾN - NGÀY NHẬN HÀNG", '6. TIẾN ĐỘ MUA HÀNG'!$A$4:$AT$4, 0)) &lt; 0)
)</f>
        <v>0</v>
      </c>
      <c r="AF42" s="757">
        <f t="shared" si="23"/>
        <v>0</v>
      </c>
      <c r="AG42" s="754">
        <f t="array" ref="AG42">SUMPRODUCT((TRIM(INDEX('6. TIẾN ĐỘ MUA HÀNG'!$A$5:$AT644, 0, XMATCH("NCC VTBB/NL trong nước", '6. TIẾN ĐỘ MUA HÀNG'!$A$4:$AT$4, 0))) = TRIM($B42)) * (TRIM(INDEX('6. TIẾN ĐỘ MUA HÀNG'!$A$5:$AT644, 0, XMATCH("Tháng", '6. TIẾN ĐỘ MUA HÀNG'!$A$4:$AT$4, 0))) = TRIM(AG$6)) * (INDEX('6. TIẾN ĐỘ MUA HÀNG'!$A$5:$AT644, 0, XMATCH("Mã đơn Misa", '6. TIẾN ĐỘ MUA HÀNG'!$A$4:$AT$4, 0)) &lt;&gt; ""))</f>
        <v>0</v>
      </c>
      <c r="AH42" s="754">
        <f t="array" ref="AH42">SUMPRODUCT(
  (INDEX('6. TIẾN ĐỘ MUA HÀNG'!$A$5:$AT644, 0, XMATCH("NCC VTBB/NL trong nước", '6. TIẾN ĐỘ MUA HÀNG'!$A$4:$AT$4, 0)) = $B42) * (TRIM(INDEX('6. TIẾN ĐỘ MUA HÀNG'!$A$5:$AT644, 0, XMATCH("Tháng", '6. TIẾN ĐỘ MUA HÀNG'!$A$4:$AT$4, 0))) = TRIM(AG$6)) * (INDEX('6. TIẾN ĐỘ MUA HÀNG'!$A$5:$AT644, 0, XMATCH("CL NGÀY NCC DỰ KIẾN - NGÀY NHẬN HÀNG", '6. TIẾN ĐỘ MUA HÀNG'!$A$4:$AT$4, 0)) &lt; 0)
)</f>
        <v>0</v>
      </c>
      <c r="AI42" s="755">
        <f t="shared" si="34"/>
        <v>0</v>
      </c>
      <c r="AJ42" s="756">
        <f t="array" ref="AJ42">SUMPRODUCT((TRIM(INDEX('6. TIẾN ĐỘ MUA HÀNG'!$A$5:$AT644, 0, XMATCH("NCC VTBB/NL trong nước", '6. TIẾN ĐỘ MUA HÀNG'!$A$4:$AT$4, 0))) = TRIM($B42)) * (TRIM(INDEX('6. TIẾN ĐỘ MUA HÀNG'!$A$5:$AT644, 0, XMATCH("Tháng", '6. TIẾN ĐỘ MUA HÀNG'!$A$4:$AT$4, 0))) = TRIM(AJ$6)) * (INDEX('6. TIẾN ĐỘ MUA HÀNG'!$A$5:$AT644, 0, XMATCH("Mã đơn Misa", '6. TIẾN ĐỘ MUA HÀNG'!$A$4:$AT$4, 0)) &lt;&gt; ""))</f>
        <v>0</v>
      </c>
      <c r="AK42" s="756">
        <f t="array" ref="AK42">SUMPRODUCT(
  (INDEX('6. TIẾN ĐỘ MUA HÀNG'!$A$5:$AT644, 0, XMATCH("NCC VTBB/NL trong nước", '6. TIẾN ĐỘ MUA HÀNG'!$A$4:$AT$4, 0)) = $B42) * (TRIM(INDEX('6. TIẾN ĐỘ MUA HÀNG'!$A$5:$AT644, 0, XMATCH("Tháng", '6. TIẾN ĐỘ MUA HÀNG'!$A$4:$AT$4, 0))) = TRIM(AJ$6)) * (INDEX('6. TIẾN ĐỘ MUA HÀNG'!$A$5:$AT644, 0, XMATCH("CL NGÀY NCC DỰ KIẾN - NGÀY NHẬN HÀNG", '6. TIẾN ĐỘ MUA HÀNG'!$A$4:$AT$4, 0)) &lt; 0)
)</f>
        <v>0</v>
      </c>
      <c r="AL42" s="757">
        <f t="shared" si="25"/>
        <v>0</v>
      </c>
      <c r="AM42" s="726">
        <f t="shared" si="27"/>
        <v>0</v>
      </c>
      <c r="AN42" s="726">
        <f t="shared" si="28"/>
        <v>0</v>
      </c>
      <c r="AO42" s="727">
        <f t="shared" si="26"/>
        <v>0</v>
      </c>
    </row>
    <row r="43">
      <c r="A43" s="612">
        <v>35.0</v>
      </c>
      <c r="B43" s="624" t="str">
        <f>IFERROR(__xludf.DUMMYFUNCTION("""COMPUTED_VALUE"""),"Kết Nông")</f>
        <v>Kết Nông</v>
      </c>
      <c r="C43" s="754">
        <f t="array" ref="C43">SUMPRODUCT((TRIM(INDEX('6. TIẾN ĐỘ MUA HÀNG'!$A$5:$AT644, 0, XMATCH("NCC VTBB/NL trong nước", '6. TIẾN ĐỘ MUA HÀNG'!$A$4:$AT$4, 0))) = TRIM($B43)) * (TRIM(INDEX('6. TIẾN ĐỘ MUA HÀNG'!$A$5:$AT644, 0, XMATCH("Tháng", '6. TIẾN ĐỘ MUA HÀNG'!$A$4:$AT$4, 0))) = TRIM(C$6)) * (INDEX('6. TIẾN ĐỘ MUA HÀNG'!$A$5:$AT644, 0, XMATCH("Mã đơn Misa", '6. TIẾN ĐỘ MUA HÀNG'!$A$4:$AT$4, 0)) &lt;&gt; ""))</f>
        <v>0</v>
      </c>
      <c r="D43" s="754">
        <f t="array" ref="D43">SUMPRODUCT(
  (INDEX('6. TIẾN ĐỘ MUA HÀNG'!$A$5:$AT644, 0, XMATCH("NCC VTBB/NL trong nước", '6. TIẾN ĐỘ MUA HÀNG'!$A$4:$AT$4, 0)) = $B43) * (TRIM(INDEX('6. TIẾN ĐỘ MUA HÀNG'!$A$5:$AT644, 0, XMATCH("Tháng", '6. TIẾN ĐỘ MUA HÀNG'!$A$4:$AT$4, 0))) = TRIM(C$6)) * (INDEX('6. TIẾN ĐỘ MUA HÀNG'!$A$5:$AT644, 0, XMATCH("CL NGÀY NCC DỰ KIẾN - NGÀY NHẬN HÀNG", '6. TIẾN ĐỘ MUA HÀNG'!$A$4:$AT$4, 0)) &lt; 0)
)</f>
        <v>0</v>
      </c>
      <c r="E43" s="755">
        <f t="shared" si="29"/>
        <v>0</v>
      </c>
      <c r="F43" s="756">
        <f t="array" ref="F43">SUMPRODUCT((TRIM(INDEX('6. TIẾN ĐỘ MUA HÀNG'!$A$5:$AT644, 0, XMATCH("NCC VTBB/NL trong nước", '6. TIẾN ĐỘ MUA HÀNG'!$A$4:$AT$4, 0))) = TRIM($B43)) * (TRIM(INDEX('6. TIẾN ĐỘ MUA HÀNG'!$A$5:$AT644, 0, XMATCH("Tháng", '6. TIẾN ĐỘ MUA HÀNG'!$A$4:$AT$4, 0))) = TRIM(F$6)) * (INDEX('6. TIẾN ĐỘ MUA HÀNG'!$A$5:$AT644, 0, XMATCH("Mã đơn Misa", '6. TIẾN ĐỘ MUA HÀNG'!$A$4:$AT$4, 0)) &lt;&gt; ""))</f>
        <v>0</v>
      </c>
      <c r="G43" s="756">
        <f t="array" ref="G43">SUMPRODUCT(
  (INDEX('6. TIẾN ĐỘ MUA HÀNG'!$A$5:$AT644, 0, XMATCH("NCC VTBB/NL trong nước", '6. TIẾN ĐỘ MUA HÀNG'!$A$4:$AT$4, 0)) = $B43) * (TRIM(INDEX('6. TIẾN ĐỘ MUA HÀNG'!$A$5:$AT644, 0, XMATCH("Tháng", '6. TIẾN ĐỘ MUA HÀNG'!$A$4:$AT$4, 0))) = TRIM(F$6)) * (INDEX('6. TIẾN ĐỘ MUA HÀNG'!$A$5:$AT644, 0, XMATCH("CL NGÀY NCC DỰ KIẾN - NGÀY NHẬN HÀNG", '6. TIẾN ĐỘ MUA HÀNG'!$A$4:$AT$4, 0)) &lt; 0)
)</f>
        <v>0</v>
      </c>
      <c r="H43" s="757">
        <f t="shared" si="15"/>
        <v>0</v>
      </c>
      <c r="I43" s="754">
        <f t="array" ref="I43">SUMPRODUCT((TRIM(INDEX('6. TIẾN ĐỘ MUA HÀNG'!$A$5:$AT644, 0, XMATCH("NCC VTBB/NL trong nước", '6. TIẾN ĐỘ MUA HÀNG'!$A$4:$AT$4, 0))) = TRIM($B43)) * (TRIM(INDEX('6. TIẾN ĐỘ MUA HÀNG'!$A$5:$AT644, 0, XMATCH("Tháng", '6. TIẾN ĐỘ MUA HÀNG'!$A$4:$AT$4, 0))) = TRIM(I$6)) * (INDEX('6. TIẾN ĐỘ MUA HÀNG'!$A$5:$AT644, 0, XMATCH("Mã đơn Misa", '6. TIẾN ĐỘ MUA HÀNG'!$A$4:$AT$4, 0)) &lt;&gt; ""))</f>
        <v>0</v>
      </c>
      <c r="J43" s="754">
        <f t="array" ref="J43">SUMPRODUCT(
  (INDEX('6. TIẾN ĐỘ MUA HÀNG'!$A$5:$AT644, 0, XMATCH("NCC VTBB/NL trong nước", '6. TIẾN ĐỘ MUA HÀNG'!$A$4:$AT$4, 0)) = $B43) * (TRIM(INDEX('6. TIẾN ĐỘ MUA HÀNG'!$A$5:$AT644, 0, XMATCH("Tháng", '6. TIẾN ĐỘ MUA HÀNG'!$A$4:$AT$4, 0))) = TRIM(I$6)) * (INDEX('6. TIẾN ĐỘ MUA HÀNG'!$A$5:$AT644, 0, XMATCH("CL NGÀY NCC DỰ KIẾN - NGÀY NHẬN HÀNG", '6. TIẾN ĐỘ MUA HÀNG'!$A$4:$AT$4, 0)) &lt; 0)
)</f>
        <v>0</v>
      </c>
      <c r="K43" s="755">
        <f t="shared" si="30"/>
        <v>0</v>
      </c>
      <c r="L43" s="756">
        <f t="array" ref="L43">SUMPRODUCT((TRIM(INDEX('6. TIẾN ĐỘ MUA HÀNG'!$A$5:$AT644, 0, XMATCH("NCC VTBB/NL trong nước", '6. TIẾN ĐỘ MUA HÀNG'!$A$4:$AT$4, 0))) = TRIM($B43)) * (TRIM(INDEX('6. TIẾN ĐỘ MUA HÀNG'!$A$5:$AT644, 0, XMATCH("Tháng", '6. TIẾN ĐỘ MUA HÀNG'!$A$4:$AT$4, 0))) = TRIM(L$6)) * (INDEX('6. TIẾN ĐỘ MUA HÀNG'!$A$5:$AT644, 0, XMATCH("Mã đơn Misa", '6. TIẾN ĐỘ MUA HÀNG'!$A$4:$AT$4, 0)) &lt;&gt; ""))</f>
        <v>0</v>
      </c>
      <c r="M43" s="756">
        <f t="array" ref="M43">SUMPRODUCT(
  (INDEX('6. TIẾN ĐỘ MUA HÀNG'!$A$5:$AT644, 0, XMATCH("NCC VTBB/NL trong nước", '6. TIẾN ĐỘ MUA HÀNG'!$A$4:$AT$4, 0)) = $B43) * (TRIM(INDEX('6. TIẾN ĐỘ MUA HÀNG'!$A$5:$AT644, 0, XMATCH("Tháng", '6. TIẾN ĐỘ MUA HÀNG'!$A$4:$AT$4, 0))) = TRIM(L$6)) * (INDEX('6. TIẾN ĐỘ MUA HÀNG'!$A$5:$AT644, 0, XMATCH("CL NGÀY NCC DỰ KIẾN - NGÀY NHẬN HÀNG", '6. TIẾN ĐỘ MUA HÀNG'!$A$4:$AT$4, 0)) &lt; 0)
)</f>
        <v>0</v>
      </c>
      <c r="N43" s="757">
        <f t="shared" si="17"/>
        <v>0</v>
      </c>
      <c r="O43" s="754">
        <f t="array" ref="O43">SUMPRODUCT((TRIM(INDEX('6. TIẾN ĐỘ MUA HÀNG'!$A$5:$AT644, 0, XMATCH("NCC VTBB/NL trong nước", '6. TIẾN ĐỘ MUA HÀNG'!$A$4:$AT$4, 0))) = TRIM($B43)) * (TRIM(INDEX('6. TIẾN ĐỘ MUA HÀNG'!$A$5:$AT644, 0, XMATCH("Tháng", '6. TIẾN ĐỘ MUA HÀNG'!$A$4:$AT$4, 0))) = TRIM(O$6)) * (INDEX('6. TIẾN ĐỘ MUA HÀNG'!$A$5:$AT644, 0, XMATCH("Mã đơn Misa", '6. TIẾN ĐỘ MUA HÀNG'!$A$4:$AT$4, 0)) &lt;&gt; ""))</f>
        <v>0</v>
      </c>
      <c r="P43" s="754">
        <f t="array" ref="P43">SUMPRODUCT(
  (INDEX('6. TIẾN ĐỘ MUA HÀNG'!$A$5:$AT644, 0, XMATCH("NCC VTBB/NL trong nước", '6. TIẾN ĐỘ MUA HÀNG'!$A$4:$AT$4, 0)) = $B43) * (TRIM(INDEX('6. TIẾN ĐỘ MUA HÀNG'!$A$5:$AT644, 0, XMATCH("Tháng", '6. TIẾN ĐỘ MUA HÀNG'!$A$4:$AT$4, 0))) = TRIM(O$6)) * (INDEX('6. TIẾN ĐỘ MUA HÀNG'!$A$5:$AT644, 0, XMATCH("CL NGÀY NCC DỰ KIẾN - NGÀY NHẬN HÀNG", '6. TIẾN ĐỘ MUA HÀNG'!$A$4:$AT$4, 0)) &lt; 0)
)</f>
        <v>0</v>
      </c>
      <c r="Q43" s="755">
        <f t="shared" si="31"/>
        <v>0</v>
      </c>
      <c r="R43" s="756">
        <f t="array" ref="R43">SUMPRODUCT((TRIM(INDEX('6. TIẾN ĐỘ MUA HÀNG'!$A$5:$AT644, 0, XMATCH("NCC VTBB/NL trong nước", '6. TIẾN ĐỘ MUA HÀNG'!$A$4:$AT$4, 0))) = TRIM($B43)) * (TRIM(INDEX('6. TIẾN ĐỘ MUA HÀNG'!$A$5:$AT644, 0, XMATCH("Tháng", '6. TIẾN ĐỘ MUA HÀNG'!$A$4:$AT$4, 0))) = TRIM(R$6)) * (INDEX('6. TIẾN ĐỘ MUA HÀNG'!$A$5:$AT644, 0, XMATCH("Mã đơn Misa", '6. TIẾN ĐỘ MUA HÀNG'!$A$4:$AT$4, 0)) &lt;&gt; ""))</f>
        <v>0</v>
      </c>
      <c r="S43" s="756">
        <f t="array" ref="S43">SUMPRODUCT(
  (INDEX('6. TIẾN ĐỘ MUA HÀNG'!$A$5:$AT644, 0, XMATCH("NCC VTBB/NL trong nước", '6. TIẾN ĐỘ MUA HÀNG'!$A$4:$AT$4, 0)) = $B43) * (TRIM(INDEX('6. TIẾN ĐỘ MUA HÀNG'!$A$5:$AT644, 0, XMATCH("Tháng", '6. TIẾN ĐỘ MUA HÀNG'!$A$4:$AT$4, 0))) = TRIM(R$6)) * (INDEX('6. TIẾN ĐỘ MUA HÀNG'!$A$5:$AT644, 0, XMATCH("CL NGÀY NCC DỰ KIẾN - NGÀY NHẬN HÀNG", '6. TIẾN ĐỘ MUA HÀNG'!$A$4:$AT$4, 0)) &lt; 0)
)</f>
        <v>0</v>
      </c>
      <c r="T43" s="757">
        <f t="shared" si="19"/>
        <v>0</v>
      </c>
      <c r="U43" s="754">
        <f t="array" ref="U43">SUMPRODUCT((TRIM(INDEX('6. TIẾN ĐỘ MUA HÀNG'!$A$5:$AT644, 0, XMATCH("NCC VTBB/NL trong nước", '6. TIẾN ĐỘ MUA HÀNG'!$A$4:$AT$4, 0))) = TRIM($B43)) * (TRIM(INDEX('6. TIẾN ĐỘ MUA HÀNG'!$A$5:$AT644, 0, XMATCH("Tháng", '6. TIẾN ĐỘ MUA HÀNG'!$A$4:$AT$4, 0))) = TRIM(U$6)) * (INDEX('6. TIẾN ĐỘ MUA HÀNG'!$A$5:$AT644, 0, XMATCH("Mã đơn Misa", '6. TIẾN ĐỘ MUA HÀNG'!$A$4:$AT$4, 0)) &lt;&gt; ""))</f>
        <v>0</v>
      </c>
      <c r="V43" s="754">
        <f t="array" ref="V43">SUMPRODUCT(
  (INDEX('6. TIẾN ĐỘ MUA HÀNG'!$A$5:$AT644, 0, XMATCH("NCC VTBB/NL trong nước", '6. TIẾN ĐỘ MUA HÀNG'!$A$4:$AT$4, 0)) = $B43) * (TRIM(INDEX('6. TIẾN ĐỘ MUA HÀNG'!$A$5:$AT644, 0, XMATCH("Tháng", '6. TIẾN ĐỘ MUA HÀNG'!$A$4:$AT$4, 0))) = TRIM(U$6)) * (INDEX('6. TIẾN ĐỘ MUA HÀNG'!$A$5:$AT644, 0, XMATCH("CL NGÀY NCC DỰ KIẾN - NGÀY NHẬN HÀNG", '6. TIẾN ĐỘ MUA HÀNG'!$A$4:$AT$4, 0)) &lt; 0)
)</f>
        <v>0</v>
      </c>
      <c r="W43" s="755">
        <f t="shared" si="32"/>
        <v>0</v>
      </c>
      <c r="X43" s="756">
        <f t="array" ref="X43">SUMPRODUCT((TRIM(INDEX('6. TIẾN ĐỘ MUA HÀNG'!$A$5:$AT644, 0, XMATCH("NCC VTBB/NL trong nước", '6. TIẾN ĐỘ MUA HÀNG'!$A$4:$AT$4, 0))) = TRIM($B43)) * (TRIM(INDEX('6. TIẾN ĐỘ MUA HÀNG'!$A$5:$AT644, 0, XMATCH("Tháng", '6. TIẾN ĐỘ MUA HÀNG'!$A$4:$AT$4, 0))) = TRIM(X$6)) * (INDEX('6. TIẾN ĐỘ MUA HÀNG'!$A$5:$AT644, 0, XMATCH("Mã đơn Misa", '6. TIẾN ĐỘ MUA HÀNG'!$A$4:$AT$4, 0)) &lt;&gt; ""))</f>
        <v>0</v>
      </c>
      <c r="Y43" s="756">
        <f t="array" ref="Y43">SUMPRODUCT(
  (INDEX('6. TIẾN ĐỘ MUA HÀNG'!$A$5:$AT644, 0, XMATCH("NCC VTBB/NL trong nước", '6. TIẾN ĐỘ MUA HÀNG'!$A$4:$AT$4, 0)) = $B43) * (TRIM(INDEX('6. TIẾN ĐỘ MUA HÀNG'!$A$5:$AT644, 0, XMATCH("Tháng", '6. TIẾN ĐỘ MUA HÀNG'!$A$4:$AT$4, 0))) = TRIM(X$6)) * (INDEX('6. TIẾN ĐỘ MUA HÀNG'!$A$5:$AT644, 0, XMATCH("CL NGÀY NCC DỰ KIẾN - NGÀY NHẬN HÀNG", '6. TIẾN ĐỘ MUA HÀNG'!$A$4:$AT$4, 0)) &lt; 0)
)</f>
        <v>0</v>
      </c>
      <c r="Z43" s="757">
        <f t="shared" si="21"/>
        <v>0</v>
      </c>
      <c r="AA43" s="754">
        <f t="array" ref="AA43">SUMPRODUCT((TRIM(INDEX('6. TIẾN ĐỘ MUA HÀNG'!$A$5:$AT644, 0, XMATCH("NCC VTBB/NL trong nước", '6. TIẾN ĐỘ MUA HÀNG'!$A$4:$AT$4, 0))) = TRIM($B43)) * (TRIM(INDEX('6. TIẾN ĐỘ MUA HÀNG'!$A$5:$AT644, 0, XMATCH("Tháng", '6. TIẾN ĐỘ MUA HÀNG'!$A$4:$AT$4, 0))) = TRIM(AA$6)) * (INDEX('6. TIẾN ĐỘ MUA HÀNG'!$A$5:$AT644, 0, XMATCH("Mã đơn Misa", '6. TIẾN ĐỘ MUA HÀNG'!$A$4:$AT$4, 0)) &lt;&gt; ""))</f>
        <v>0</v>
      </c>
      <c r="AB43" s="754">
        <f t="array" ref="AB43">SUMPRODUCT(
  (INDEX('6. TIẾN ĐỘ MUA HÀNG'!$A$5:$AT644, 0, XMATCH("NCC VTBB/NL trong nước", '6. TIẾN ĐỘ MUA HÀNG'!$A$4:$AT$4, 0)) = $B43) * (TRIM(INDEX('6. TIẾN ĐỘ MUA HÀNG'!$A$5:$AT644, 0, XMATCH("Tháng", '6. TIẾN ĐỘ MUA HÀNG'!$A$4:$AT$4, 0))) = TRIM(AA$6)) * (INDEX('6. TIẾN ĐỘ MUA HÀNG'!$A$5:$AT644, 0, XMATCH("CL NGÀY NCC DỰ KIẾN - NGÀY NHẬN HÀNG", '6. TIẾN ĐỘ MUA HÀNG'!$A$4:$AT$4, 0)) &lt; 0)
)</f>
        <v>0</v>
      </c>
      <c r="AC43" s="755">
        <f t="shared" si="33"/>
        <v>0</v>
      </c>
      <c r="AD43" s="756">
        <f t="array" ref="AD43">SUMPRODUCT((TRIM(INDEX('6. TIẾN ĐỘ MUA HÀNG'!$A$5:$AT644, 0, XMATCH("NCC VTBB/NL trong nước", '6. TIẾN ĐỘ MUA HÀNG'!$A$4:$AT$4, 0))) = TRIM($B43)) * (TRIM(INDEX('6. TIẾN ĐỘ MUA HÀNG'!$A$5:$AT644, 0, XMATCH("Tháng", '6. TIẾN ĐỘ MUA HÀNG'!$A$4:$AT$4, 0))) = TRIM(AD$6)) * (INDEX('6. TIẾN ĐỘ MUA HÀNG'!$A$5:$AT644, 0, XMATCH("Mã đơn Misa", '6. TIẾN ĐỘ MUA HÀNG'!$A$4:$AT$4, 0)) &lt;&gt; ""))</f>
        <v>0</v>
      </c>
      <c r="AE43" s="756">
        <f t="array" ref="AE43">SUMPRODUCT(
  (INDEX('6. TIẾN ĐỘ MUA HÀNG'!$A$5:$AT644, 0, XMATCH("NCC VTBB/NL trong nước", '6. TIẾN ĐỘ MUA HÀNG'!$A$4:$AT$4, 0)) = $B43) * (TRIM(INDEX('6. TIẾN ĐỘ MUA HÀNG'!$A$5:$AT644, 0, XMATCH("Tháng", '6. TIẾN ĐỘ MUA HÀNG'!$A$4:$AT$4, 0))) = TRIM(AD$6)) * (INDEX('6. TIẾN ĐỘ MUA HÀNG'!$A$5:$AT644, 0, XMATCH("CL NGÀY NCC DỰ KIẾN - NGÀY NHẬN HÀNG", '6. TIẾN ĐỘ MUA HÀNG'!$A$4:$AT$4, 0)) &lt; 0)
)</f>
        <v>0</v>
      </c>
      <c r="AF43" s="757">
        <f t="shared" si="23"/>
        <v>0</v>
      </c>
      <c r="AG43" s="754">
        <f t="array" ref="AG43">SUMPRODUCT((TRIM(INDEX('6. TIẾN ĐỘ MUA HÀNG'!$A$5:$AT644, 0, XMATCH("NCC VTBB/NL trong nước", '6. TIẾN ĐỘ MUA HÀNG'!$A$4:$AT$4, 0))) = TRIM($B43)) * (TRIM(INDEX('6. TIẾN ĐỘ MUA HÀNG'!$A$5:$AT644, 0, XMATCH("Tháng", '6. TIẾN ĐỘ MUA HÀNG'!$A$4:$AT$4, 0))) = TRIM(AG$6)) * (INDEX('6. TIẾN ĐỘ MUA HÀNG'!$A$5:$AT644, 0, XMATCH("Mã đơn Misa", '6. TIẾN ĐỘ MUA HÀNG'!$A$4:$AT$4, 0)) &lt;&gt; ""))</f>
        <v>0</v>
      </c>
      <c r="AH43" s="754">
        <f t="array" ref="AH43">SUMPRODUCT(
  (INDEX('6. TIẾN ĐỘ MUA HÀNG'!$A$5:$AT644, 0, XMATCH("NCC VTBB/NL trong nước", '6. TIẾN ĐỘ MUA HÀNG'!$A$4:$AT$4, 0)) = $B43) * (TRIM(INDEX('6. TIẾN ĐỘ MUA HÀNG'!$A$5:$AT644, 0, XMATCH("Tháng", '6. TIẾN ĐỘ MUA HÀNG'!$A$4:$AT$4, 0))) = TRIM(AG$6)) * (INDEX('6. TIẾN ĐỘ MUA HÀNG'!$A$5:$AT644, 0, XMATCH("CL NGÀY NCC DỰ KIẾN - NGÀY NHẬN HÀNG", '6. TIẾN ĐỘ MUA HÀNG'!$A$4:$AT$4, 0)) &lt; 0)
)</f>
        <v>0</v>
      </c>
      <c r="AI43" s="755">
        <f t="shared" si="34"/>
        <v>0</v>
      </c>
      <c r="AJ43" s="756">
        <f t="array" ref="AJ43">SUMPRODUCT((TRIM(INDEX('6. TIẾN ĐỘ MUA HÀNG'!$A$5:$AT644, 0, XMATCH("NCC VTBB/NL trong nước", '6. TIẾN ĐỘ MUA HÀNG'!$A$4:$AT$4, 0))) = TRIM($B43)) * (TRIM(INDEX('6. TIẾN ĐỘ MUA HÀNG'!$A$5:$AT644, 0, XMATCH("Tháng", '6. TIẾN ĐỘ MUA HÀNG'!$A$4:$AT$4, 0))) = TRIM(AJ$6)) * (INDEX('6. TIẾN ĐỘ MUA HÀNG'!$A$5:$AT644, 0, XMATCH("Mã đơn Misa", '6. TIẾN ĐỘ MUA HÀNG'!$A$4:$AT$4, 0)) &lt;&gt; ""))</f>
        <v>0</v>
      </c>
      <c r="AK43" s="756">
        <f t="array" ref="AK43">SUMPRODUCT(
  (INDEX('6. TIẾN ĐỘ MUA HÀNG'!$A$5:$AT644, 0, XMATCH("NCC VTBB/NL trong nước", '6. TIẾN ĐỘ MUA HÀNG'!$A$4:$AT$4, 0)) = $B43) * (TRIM(INDEX('6. TIẾN ĐỘ MUA HÀNG'!$A$5:$AT644, 0, XMATCH("Tháng", '6. TIẾN ĐỘ MUA HÀNG'!$A$4:$AT$4, 0))) = TRIM(AJ$6)) * (INDEX('6. TIẾN ĐỘ MUA HÀNG'!$A$5:$AT644, 0, XMATCH("CL NGÀY NCC DỰ KIẾN - NGÀY NHẬN HÀNG", '6. TIẾN ĐỘ MUA HÀNG'!$A$4:$AT$4, 0)) &lt; 0)
)</f>
        <v>0</v>
      </c>
      <c r="AL43" s="757">
        <f t="shared" si="25"/>
        <v>0</v>
      </c>
      <c r="AM43" s="726">
        <f t="shared" si="27"/>
        <v>0</v>
      </c>
      <c r="AN43" s="726">
        <f t="shared" si="28"/>
        <v>0</v>
      </c>
      <c r="AO43" s="727">
        <f t="shared" si="26"/>
        <v>0</v>
      </c>
    </row>
    <row r="44">
      <c r="A44" s="612">
        <v>36.0</v>
      </c>
      <c r="B44" s="624" t="str">
        <f>IFERROR(__xludf.DUMMYFUNCTION("""COMPUTED_VALUE"""),"Hóa Chất Mê Kông")</f>
        <v>Hóa Chất Mê Kông</v>
      </c>
      <c r="C44" s="754">
        <f t="array" ref="C44">SUMPRODUCT((TRIM(INDEX('6. TIẾN ĐỘ MUA HÀNG'!$A$5:$AT644, 0, XMATCH("NCC VTBB/NL trong nước", '6. TIẾN ĐỘ MUA HÀNG'!$A$4:$AT$4, 0))) = TRIM($B44)) * (TRIM(INDEX('6. TIẾN ĐỘ MUA HÀNG'!$A$5:$AT644, 0, XMATCH("Tháng", '6. TIẾN ĐỘ MUA HÀNG'!$A$4:$AT$4, 0))) = TRIM(C$6)) * (INDEX('6. TIẾN ĐỘ MUA HÀNG'!$A$5:$AT644, 0, XMATCH("Mã đơn Misa", '6. TIẾN ĐỘ MUA HÀNG'!$A$4:$AT$4, 0)) &lt;&gt; ""))</f>
        <v>0</v>
      </c>
      <c r="D44" s="754">
        <f t="array" ref="D44">SUMPRODUCT(
  (INDEX('6. TIẾN ĐỘ MUA HÀNG'!$A$5:$AT644, 0, XMATCH("NCC VTBB/NL trong nước", '6. TIẾN ĐỘ MUA HÀNG'!$A$4:$AT$4, 0)) = $B44) * (TRIM(INDEX('6. TIẾN ĐỘ MUA HÀNG'!$A$5:$AT644, 0, XMATCH("Tháng", '6. TIẾN ĐỘ MUA HÀNG'!$A$4:$AT$4, 0))) = TRIM(C$6)) * (INDEX('6. TIẾN ĐỘ MUA HÀNG'!$A$5:$AT644, 0, XMATCH("CL NGÀY NCC DỰ KIẾN - NGÀY NHẬN HÀNG", '6. TIẾN ĐỘ MUA HÀNG'!$A$4:$AT$4, 0)) &lt; 0)
)</f>
        <v>0</v>
      </c>
      <c r="E44" s="755">
        <f t="shared" si="29"/>
        <v>0</v>
      </c>
      <c r="F44" s="756">
        <f t="array" ref="F44">SUMPRODUCT((TRIM(INDEX('6. TIẾN ĐỘ MUA HÀNG'!$A$5:$AT644, 0, XMATCH("NCC VTBB/NL trong nước", '6. TIẾN ĐỘ MUA HÀNG'!$A$4:$AT$4, 0))) = TRIM($B44)) * (TRIM(INDEX('6. TIẾN ĐỘ MUA HÀNG'!$A$5:$AT644, 0, XMATCH("Tháng", '6. TIẾN ĐỘ MUA HÀNG'!$A$4:$AT$4, 0))) = TRIM(F$6)) * (INDEX('6. TIẾN ĐỘ MUA HÀNG'!$A$5:$AT644, 0, XMATCH("Mã đơn Misa", '6. TIẾN ĐỘ MUA HÀNG'!$A$4:$AT$4, 0)) &lt;&gt; ""))</f>
        <v>0</v>
      </c>
      <c r="G44" s="756">
        <f t="array" ref="G44">SUMPRODUCT(
  (INDEX('6. TIẾN ĐỘ MUA HÀNG'!$A$5:$AT644, 0, XMATCH("NCC VTBB/NL trong nước", '6. TIẾN ĐỘ MUA HÀNG'!$A$4:$AT$4, 0)) = $B44) * (TRIM(INDEX('6. TIẾN ĐỘ MUA HÀNG'!$A$5:$AT644, 0, XMATCH("Tháng", '6. TIẾN ĐỘ MUA HÀNG'!$A$4:$AT$4, 0))) = TRIM(F$6)) * (INDEX('6. TIẾN ĐỘ MUA HÀNG'!$A$5:$AT644, 0, XMATCH("CL NGÀY NCC DỰ KIẾN - NGÀY NHẬN HÀNG", '6. TIẾN ĐỘ MUA HÀNG'!$A$4:$AT$4, 0)) &lt; 0)
)</f>
        <v>0</v>
      </c>
      <c r="H44" s="757">
        <f t="shared" si="15"/>
        <v>0</v>
      </c>
      <c r="I44" s="754">
        <f t="array" ref="I44">SUMPRODUCT((TRIM(INDEX('6. TIẾN ĐỘ MUA HÀNG'!$A$5:$AT644, 0, XMATCH("NCC VTBB/NL trong nước", '6. TIẾN ĐỘ MUA HÀNG'!$A$4:$AT$4, 0))) = TRIM($B44)) * (TRIM(INDEX('6. TIẾN ĐỘ MUA HÀNG'!$A$5:$AT644, 0, XMATCH("Tháng", '6. TIẾN ĐỘ MUA HÀNG'!$A$4:$AT$4, 0))) = TRIM(I$6)) * (INDEX('6. TIẾN ĐỘ MUA HÀNG'!$A$5:$AT644, 0, XMATCH("Mã đơn Misa", '6. TIẾN ĐỘ MUA HÀNG'!$A$4:$AT$4, 0)) &lt;&gt; ""))</f>
        <v>0</v>
      </c>
      <c r="J44" s="754">
        <f t="array" ref="J44">SUMPRODUCT(
  (INDEX('6. TIẾN ĐỘ MUA HÀNG'!$A$5:$AT644, 0, XMATCH("NCC VTBB/NL trong nước", '6. TIẾN ĐỘ MUA HÀNG'!$A$4:$AT$4, 0)) = $B44) * (TRIM(INDEX('6. TIẾN ĐỘ MUA HÀNG'!$A$5:$AT644, 0, XMATCH("Tháng", '6. TIẾN ĐỘ MUA HÀNG'!$A$4:$AT$4, 0))) = TRIM(I$6)) * (INDEX('6. TIẾN ĐỘ MUA HÀNG'!$A$5:$AT644, 0, XMATCH("CL NGÀY NCC DỰ KIẾN - NGÀY NHẬN HÀNG", '6. TIẾN ĐỘ MUA HÀNG'!$A$4:$AT$4, 0)) &lt; 0)
)</f>
        <v>0</v>
      </c>
      <c r="K44" s="755">
        <f t="shared" si="30"/>
        <v>0</v>
      </c>
      <c r="L44" s="756">
        <f t="array" ref="L44">SUMPRODUCT((TRIM(INDEX('6. TIẾN ĐỘ MUA HÀNG'!$A$5:$AT644, 0, XMATCH("NCC VTBB/NL trong nước", '6. TIẾN ĐỘ MUA HÀNG'!$A$4:$AT$4, 0))) = TRIM($B44)) * (TRIM(INDEX('6. TIẾN ĐỘ MUA HÀNG'!$A$5:$AT644, 0, XMATCH("Tháng", '6. TIẾN ĐỘ MUA HÀNG'!$A$4:$AT$4, 0))) = TRIM(L$6)) * (INDEX('6. TIẾN ĐỘ MUA HÀNG'!$A$5:$AT644, 0, XMATCH("Mã đơn Misa", '6. TIẾN ĐỘ MUA HÀNG'!$A$4:$AT$4, 0)) &lt;&gt; ""))</f>
        <v>0</v>
      </c>
      <c r="M44" s="756">
        <f t="array" ref="M44">SUMPRODUCT(
  (INDEX('6. TIẾN ĐỘ MUA HÀNG'!$A$5:$AT644, 0, XMATCH("NCC VTBB/NL trong nước", '6. TIẾN ĐỘ MUA HÀNG'!$A$4:$AT$4, 0)) = $B44) * (TRIM(INDEX('6. TIẾN ĐỘ MUA HÀNG'!$A$5:$AT644, 0, XMATCH("Tháng", '6. TIẾN ĐỘ MUA HÀNG'!$A$4:$AT$4, 0))) = TRIM(L$6)) * (INDEX('6. TIẾN ĐỘ MUA HÀNG'!$A$5:$AT644, 0, XMATCH("CL NGÀY NCC DỰ KIẾN - NGÀY NHẬN HÀNG", '6. TIẾN ĐỘ MUA HÀNG'!$A$4:$AT$4, 0)) &lt; 0)
)</f>
        <v>0</v>
      </c>
      <c r="N44" s="757">
        <f t="shared" si="17"/>
        <v>0</v>
      </c>
      <c r="O44" s="754">
        <f t="array" ref="O44">SUMPRODUCT((TRIM(INDEX('6. TIẾN ĐỘ MUA HÀNG'!$A$5:$AT644, 0, XMATCH("NCC VTBB/NL trong nước", '6. TIẾN ĐỘ MUA HÀNG'!$A$4:$AT$4, 0))) = TRIM($B44)) * (TRIM(INDEX('6. TIẾN ĐỘ MUA HÀNG'!$A$5:$AT644, 0, XMATCH("Tháng", '6. TIẾN ĐỘ MUA HÀNG'!$A$4:$AT$4, 0))) = TRIM(O$6)) * (INDEX('6. TIẾN ĐỘ MUA HÀNG'!$A$5:$AT644, 0, XMATCH("Mã đơn Misa", '6. TIẾN ĐỘ MUA HÀNG'!$A$4:$AT$4, 0)) &lt;&gt; ""))</f>
        <v>0</v>
      </c>
      <c r="P44" s="754">
        <f t="array" ref="P44">SUMPRODUCT(
  (INDEX('6. TIẾN ĐỘ MUA HÀNG'!$A$5:$AT644, 0, XMATCH("NCC VTBB/NL trong nước", '6. TIẾN ĐỘ MUA HÀNG'!$A$4:$AT$4, 0)) = $B44) * (TRIM(INDEX('6. TIẾN ĐỘ MUA HÀNG'!$A$5:$AT644, 0, XMATCH("Tháng", '6. TIẾN ĐỘ MUA HÀNG'!$A$4:$AT$4, 0))) = TRIM(O$6)) * (INDEX('6. TIẾN ĐỘ MUA HÀNG'!$A$5:$AT644, 0, XMATCH("CL NGÀY NCC DỰ KIẾN - NGÀY NHẬN HÀNG", '6. TIẾN ĐỘ MUA HÀNG'!$A$4:$AT$4, 0)) &lt; 0)
)</f>
        <v>0</v>
      </c>
      <c r="Q44" s="755">
        <f t="shared" si="31"/>
        <v>0</v>
      </c>
      <c r="R44" s="756">
        <f t="array" ref="R44">SUMPRODUCT((TRIM(INDEX('6. TIẾN ĐỘ MUA HÀNG'!$A$5:$AT644, 0, XMATCH("NCC VTBB/NL trong nước", '6. TIẾN ĐỘ MUA HÀNG'!$A$4:$AT$4, 0))) = TRIM($B44)) * (TRIM(INDEX('6. TIẾN ĐỘ MUA HÀNG'!$A$5:$AT644, 0, XMATCH("Tháng", '6. TIẾN ĐỘ MUA HÀNG'!$A$4:$AT$4, 0))) = TRIM(R$6)) * (INDEX('6. TIẾN ĐỘ MUA HÀNG'!$A$5:$AT644, 0, XMATCH("Mã đơn Misa", '6. TIẾN ĐỘ MUA HÀNG'!$A$4:$AT$4, 0)) &lt;&gt; ""))</f>
        <v>0</v>
      </c>
      <c r="S44" s="756">
        <f t="array" ref="S44">SUMPRODUCT(
  (INDEX('6. TIẾN ĐỘ MUA HÀNG'!$A$5:$AT644, 0, XMATCH("NCC VTBB/NL trong nước", '6. TIẾN ĐỘ MUA HÀNG'!$A$4:$AT$4, 0)) = $B44) * (TRIM(INDEX('6. TIẾN ĐỘ MUA HÀNG'!$A$5:$AT644, 0, XMATCH("Tháng", '6. TIẾN ĐỘ MUA HÀNG'!$A$4:$AT$4, 0))) = TRIM(R$6)) * (INDEX('6. TIẾN ĐỘ MUA HÀNG'!$A$5:$AT644, 0, XMATCH("CL NGÀY NCC DỰ KIẾN - NGÀY NHẬN HÀNG", '6. TIẾN ĐỘ MUA HÀNG'!$A$4:$AT$4, 0)) &lt; 0)
)</f>
        <v>0</v>
      </c>
      <c r="T44" s="757">
        <f t="shared" si="19"/>
        <v>0</v>
      </c>
      <c r="U44" s="754">
        <f t="array" ref="U44">SUMPRODUCT((TRIM(INDEX('6. TIẾN ĐỘ MUA HÀNG'!$A$5:$AT644, 0, XMATCH("NCC VTBB/NL trong nước", '6. TIẾN ĐỘ MUA HÀNG'!$A$4:$AT$4, 0))) = TRIM($B44)) * (TRIM(INDEX('6. TIẾN ĐỘ MUA HÀNG'!$A$5:$AT644, 0, XMATCH("Tháng", '6. TIẾN ĐỘ MUA HÀNG'!$A$4:$AT$4, 0))) = TRIM(U$6)) * (INDEX('6. TIẾN ĐỘ MUA HÀNG'!$A$5:$AT644, 0, XMATCH("Mã đơn Misa", '6. TIẾN ĐỘ MUA HÀNG'!$A$4:$AT$4, 0)) &lt;&gt; ""))</f>
        <v>0</v>
      </c>
      <c r="V44" s="754">
        <f t="array" ref="V44">SUMPRODUCT(
  (INDEX('6. TIẾN ĐỘ MUA HÀNG'!$A$5:$AT644, 0, XMATCH("NCC VTBB/NL trong nước", '6. TIẾN ĐỘ MUA HÀNG'!$A$4:$AT$4, 0)) = $B44) * (TRIM(INDEX('6. TIẾN ĐỘ MUA HÀNG'!$A$5:$AT644, 0, XMATCH("Tháng", '6. TIẾN ĐỘ MUA HÀNG'!$A$4:$AT$4, 0))) = TRIM(U$6)) * (INDEX('6. TIẾN ĐỘ MUA HÀNG'!$A$5:$AT644, 0, XMATCH("CL NGÀY NCC DỰ KIẾN - NGÀY NHẬN HÀNG", '6. TIẾN ĐỘ MUA HÀNG'!$A$4:$AT$4, 0)) &lt; 0)
)</f>
        <v>0</v>
      </c>
      <c r="W44" s="755">
        <f t="shared" si="32"/>
        <v>0</v>
      </c>
      <c r="X44" s="756">
        <f t="array" ref="X44">SUMPRODUCT((TRIM(INDEX('6. TIẾN ĐỘ MUA HÀNG'!$A$5:$AT644, 0, XMATCH("NCC VTBB/NL trong nước", '6. TIẾN ĐỘ MUA HÀNG'!$A$4:$AT$4, 0))) = TRIM($B44)) * (TRIM(INDEX('6. TIẾN ĐỘ MUA HÀNG'!$A$5:$AT644, 0, XMATCH("Tháng", '6. TIẾN ĐỘ MUA HÀNG'!$A$4:$AT$4, 0))) = TRIM(X$6)) * (INDEX('6. TIẾN ĐỘ MUA HÀNG'!$A$5:$AT644, 0, XMATCH("Mã đơn Misa", '6. TIẾN ĐỘ MUA HÀNG'!$A$4:$AT$4, 0)) &lt;&gt; ""))</f>
        <v>0</v>
      </c>
      <c r="Y44" s="756">
        <f t="array" ref="Y44">SUMPRODUCT(
  (INDEX('6. TIẾN ĐỘ MUA HÀNG'!$A$5:$AT644, 0, XMATCH("NCC VTBB/NL trong nước", '6. TIẾN ĐỘ MUA HÀNG'!$A$4:$AT$4, 0)) = $B44) * (TRIM(INDEX('6. TIẾN ĐỘ MUA HÀNG'!$A$5:$AT644, 0, XMATCH("Tháng", '6. TIẾN ĐỘ MUA HÀNG'!$A$4:$AT$4, 0))) = TRIM(X$6)) * (INDEX('6. TIẾN ĐỘ MUA HÀNG'!$A$5:$AT644, 0, XMATCH("CL NGÀY NCC DỰ KIẾN - NGÀY NHẬN HÀNG", '6. TIẾN ĐỘ MUA HÀNG'!$A$4:$AT$4, 0)) &lt; 0)
)</f>
        <v>0</v>
      </c>
      <c r="Z44" s="757">
        <f t="shared" si="21"/>
        <v>0</v>
      </c>
      <c r="AA44" s="754">
        <f t="array" ref="AA44">SUMPRODUCT((TRIM(INDEX('6. TIẾN ĐỘ MUA HÀNG'!$A$5:$AT644, 0, XMATCH("NCC VTBB/NL trong nước", '6. TIẾN ĐỘ MUA HÀNG'!$A$4:$AT$4, 0))) = TRIM($B44)) * (TRIM(INDEX('6. TIẾN ĐỘ MUA HÀNG'!$A$5:$AT644, 0, XMATCH("Tháng", '6. TIẾN ĐỘ MUA HÀNG'!$A$4:$AT$4, 0))) = TRIM(AA$6)) * (INDEX('6. TIẾN ĐỘ MUA HÀNG'!$A$5:$AT644, 0, XMATCH("Mã đơn Misa", '6. TIẾN ĐỘ MUA HÀNG'!$A$4:$AT$4, 0)) &lt;&gt; ""))</f>
        <v>0</v>
      </c>
      <c r="AB44" s="754">
        <f t="array" ref="AB44">SUMPRODUCT(
  (INDEX('6. TIẾN ĐỘ MUA HÀNG'!$A$5:$AT644, 0, XMATCH("NCC VTBB/NL trong nước", '6. TIẾN ĐỘ MUA HÀNG'!$A$4:$AT$4, 0)) = $B44) * (TRIM(INDEX('6. TIẾN ĐỘ MUA HÀNG'!$A$5:$AT644, 0, XMATCH("Tháng", '6. TIẾN ĐỘ MUA HÀNG'!$A$4:$AT$4, 0))) = TRIM(AA$6)) * (INDEX('6. TIẾN ĐỘ MUA HÀNG'!$A$5:$AT644, 0, XMATCH("CL NGÀY NCC DỰ KIẾN - NGÀY NHẬN HÀNG", '6. TIẾN ĐỘ MUA HÀNG'!$A$4:$AT$4, 0)) &lt; 0)
)</f>
        <v>0</v>
      </c>
      <c r="AC44" s="755">
        <f t="shared" si="33"/>
        <v>0</v>
      </c>
      <c r="AD44" s="756">
        <f t="array" ref="AD44">SUMPRODUCT((TRIM(INDEX('6. TIẾN ĐỘ MUA HÀNG'!$A$5:$AT644, 0, XMATCH("NCC VTBB/NL trong nước", '6. TIẾN ĐỘ MUA HÀNG'!$A$4:$AT$4, 0))) = TRIM($B44)) * (TRIM(INDEX('6. TIẾN ĐỘ MUA HÀNG'!$A$5:$AT644, 0, XMATCH("Tháng", '6. TIẾN ĐỘ MUA HÀNG'!$A$4:$AT$4, 0))) = TRIM(AD$6)) * (INDEX('6. TIẾN ĐỘ MUA HÀNG'!$A$5:$AT644, 0, XMATCH("Mã đơn Misa", '6. TIẾN ĐỘ MUA HÀNG'!$A$4:$AT$4, 0)) &lt;&gt; ""))</f>
        <v>0</v>
      </c>
      <c r="AE44" s="756">
        <f t="array" ref="AE44">SUMPRODUCT(
  (INDEX('6. TIẾN ĐỘ MUA HÀNG'!$A$5:$AT644, 0, XMATCH("NCC VTBB/NL trong nước", '6. TIẾN ĐỘ MUA HÀNG'!$A$4:$AT$4, 0)) = $B44) * (TRIM(INDEX('6. TIẾN ĐỘ MUA HÀNG'!$A$5:$AT644, 0, XMATCH("Tháng", '6. TIẾN ĐỘ MUA HÀNG'!$A$4:$AT$4, 0))) = TRIM(AD$6)) * (INDEX('6. TIẾN ĐỘ MUA HÀNG'!$A$5:$AT644, 0, XMATCH("CL NGÀY NCC DỰ KIẾN - NGÀY NHẬN HÀNG", '6. TIẾN ĐỘ MUA HÀNG'!$A$4:$AT$4, 0)) &lt; 0)
)</f>
        <v>0</v>
      </c>
      <c r="AF44" s="757">
        <f t="shared" si="23"/>
        <v>0</v>
      </c>
      <c r="AG44" s="754">
        <f t="array" ref="AG44">SUMPRODUCT((TRIM(INDEX('6. TIẾN ĐỘ MUA HÀNG'!$A$5:$AT644, 0, XMATCH("NCC VTBB/NL trong nước", '6. TIẾN ĐỘ MUA HÀNG'!$A$4:$AT$4, 0))) = TRIM($B44)) * (TRIM(INDEX('6. TIẾN ĐỘ MUA HÀNG'!$A$5:$AT644, 0, XMATCH("Tháng", '6. TIẾN ĐỘ MUA HÀNG'!$A$4:$AT$4, 0))) = TRIM(AG$6)) * (INDEX('6. TIẾN ĐỘ MUA HÀNG'!$A$5:$AT644, 0, XMATCH("Mã đơn Misa", '6. TIẾN ĐỘ MUA HÀNG'!$A$4:$AT$4, 0)) &lt;&gt; ""))</f>
        <v>0</v>
      </c>
      <c r="AH44" s="754">
        <f t="array" ref="AH44">SUMPRODUCT(
  (INDEX('6. TIẾN ĐỘ MUA HÀNG'!$A$5:$AT644, 0, XMATCH("NCC VTBB/NL trong nước", '6. TIẾN ĐỘ MUA HÀNG'!$A$4:$AT$4, 0)) = $B44) * (TRIM(INDEX('6. TIẾN ĐỘ MUA HÀNG'!$A$5:$AT644, 0, XMATCH("Tháng", '6. TIẾN ĐỘ MUA HÀNG'!$A$4:$AT$4, 0))) = TRIM(AG$6)) * (INDEX('6. TIẾN ĐỘ MUA HÀNG'!$A$5:$AT644, 0, XMATCH("CL NGÀY NCC DỰ KIẾN - NGÀY NHẬN HÀNG", '6. TIẾN ĐỘ MUA HÀNG'!$A$4:$AT$4, 0)) &lt; 0)
)</f>
        <v>0</v>
      </c>
      <c r="AI44" s="755">
        <f t="shared" si="34"/>
        <v>0</v>
      </c>
      <c r="AJ44" s="756">
        <f t="array" ref="AJ44">SUMPRODUCT((TRIM(INDEX('6. TIẾN ĐỘ MUA HÀNG'!$A$5:$AT644, 0, XMATCH("NCC VTBB/NL trong nước", '6. TIẾN ĐỘ MUA HÀNG'!$A$4:$AT$4, 0))) = TRIM($B44)) * (TRIM(INDEX('6. TIẾN ĐỘ MUA HÀNG'!$A$5:$AT644, 0, XMATCH("Tháng", '6. TIẾN ĐỘ MUA HÀNG'!$A$4:$AT$4, 0))) = TRIM(AJ$6)) * (INDEX('6. TIẾN ĐỘ MUA HÀNG'!$A$5:$AT644, 0, XMATCH("Mã đơn Misa", '6. TIẾN ĐỘ MUA HÀNG'!$A$4:$AT$4, 0)) &lt;&gt; ""))</f>
        <v>0</v>
      </c>
      <c r="AK44" s="756">
        <f t="array" ref="AK44">SUMPRODUCT(
  (INDEX('6. TIẾN ĐỘ MUA HÀNG'!$A$5:$AT644, 0, XMATCH("NCC VTBB/NL trong nước", '6. TIẾN ĐỘ MUA HÀNG'!$A$4:$AT$4, 0)) = $B44) * (TRIM(INDEX('6. TIẾN ĐỘ MUA HÀNG'!$A$5:$AT644, 0, XMATCH("Tháng", '6. TIẾN ĐỘ MUA HÀNG'!$A$4:$AT$4, 0))) = TRIM(AJ$6)) * (INDEX('6. TIẾN ĐỘ MUA HÀNG'!$A$5:$AT644, 0, XMATCH("CL NGÀY NCC DỰ KIẾN - NGÀY NHẬN HÀNG", '6. TIẾN ĐỘ MUA HÀNG'!$A$4:$AT$4, 0)) &lt; 0)
)</f>
        <v>0</v>
      </c>
      <c r="AL44" s="757">
        <f t="shared" si="25"/>
        <v>0</v>
      </c>
      <c r="AM44" s="726">
        <f t="shared" si="27"/>
        <v>0</v>
      </c>
      <c r="AN44" s="726">
        <f t="shared" si="28"/>
        <v>0</v>
      </c>
      <c r="AO44" s="727">
        <f t="shared" si="26"/>
        <v>0</v>
      </c>
    </row>
    <row r="45">
      <c r="A45" s="612">
        <v>37.0</v>
      </c>
      <c r="B45" s="624" t="str">
        <f>IFERROR(__xludf.DUMMYFUNCTION("""COMPUTED_VALUE"""),"Đệ Nhất")</f>
        <v>Đệ Nhất</v>
      </c>
      <c r="C45" s="754">
        <f t="array" ref="C45">SUMPRODUCT((TRIM(INDEX('6. TIẾN ĐỘ MUA HÀNG'!$A$5:$AT644, 0, XMATCH("NCC VTBB/NL trong nước", '6. TIẾN ĐỘ MUA HÀNG'!$A$4:$AT$4, 0))) = TRIM($B45)) * (TRIM(INDEX('6. TIẾN ĐỘ MUA HÀNG'!$A$5:$AT644, 0, XMATCH("Tháng", '6. TIẾN ĐỘ MUA HÀNG'!$A$4:$AT$4, 0))) = TRIM(C$6)) * (INDEX('6. TIẾN ĐỘ MUA HÀNG'!$A$5:$AT644, 0, XMATCH("Mã đơn Misa", '6. TIẾN ĐỘ MUA HÀNG'!$A$4:$AT$4, 0)) &lt;&gt; ""))</f>
        <v>0</v>
      </c>
      <c r="D45" s="754">
        <f t="array" ref="D45">SUMPRODUCT(
  (INDEX('6. TIẾN ĐỘ MUA HÀNG'!$A$5:$AT644, 0, XMATCH("NCC VTBB/NL trong nước", '6. TIẾN ĐỘ MUA HÀNG'!$A$4:$AT$4, 0)) = $B45) * (TRIM(INDEX('6. TIẾN ĐỘ MUA HÀNG'!$A$5:$AT644, 0, XMATCH("Tháng", '6. TIẾN ĐỘ MUA HÀNG'!$A$4:$AT$4, 0))) = TRIM(C$6)) * (INDEX('6. TIẾN ĐỘ MUA HÀNG'!$A$5:$AT644, 0, XMATCH("CL NGÀY NCC DỰ KIẾN - NGÀY NHẬN HÀNG", '6. TIẾN ĐỘ MUA HÀNG'!$A$4:$AT$4, 0)) &lt; 0)
)</f>
        <v>0</v>
      </c>
      <c r="E45" s="755">
        <f t="shared" si="29"/>
        <v>0</v>
      </c>
      <c r="F45" s="756">
        <f t="array" ref="F45">SUMPRODUCT((TRIM(INDEX('6. TIẾN ĐỘ MUA HÀNG'!$A$5:$AT644, 0, XMATCH("NCC VTBB/NL trong nước", '6. TIẾN ĐỘ MUA HÀNG'!$A$4:$AT$4, 0))) = TRIM($B45)) * (TRIM(INDEX('6. TIẾN ĐỘ MUA HÀNG'!$A$5:$AT644, 0, XMATCH("Tháng", '6. TIẾN ĐỘ MUA HÀNG'!$A$4:$AT$4, 0))) = TRIM(F$6)) * (INDEX('6. TIẾN ĐỘ MUA HÀNG'!$A$5:$AT644, 0, XMATCH("Mã đơn Misa", '6. TIẾN ĐỘ MUA HÀNG'!$A$4:$AT$4, 0)) &lt;&gt; ""))</f>
        <v>0</v>
      </c>
      <c r="G45" s="756">
        <f t="array" ref="G45">SUMPRODUCT(
  (INDEX('6. TIẾN ĐỘ MUA HÀNG'!$A$5:$AT644, 0, XMATCH("NCC VTBB/NL trong nước", '6. TIẾN ĐỘ MUA HÀNG'!$A$4:$AT$4, 0)) = $B45) * (TRIM(INDEX('6. TIẾN ĐỘ MUA HÀNG'!$A$5:$AT644, 0, XMATCH("Tháng", '6. TIẾN ĐỘ MUA HÀNG'!$A$4:$AT$4, 0))) = TRIM(F$6)) * (INDEX('6. TIẾN ĐỘ MUA HÀNG'!$A$5:$AT644, 0, XMATCH("CL NGÀY NCC DỰ KIẾN - NGÀY NHẬN HÀNG", '6. TIẾN ĐỘ MUA HÀNG'!$A$4:$AT$4, 0)) &lt; 0)
)</f>
        <v>0</v>
      </c>
      <c r="H45" s="757">
        <f t="shared" si="15"/>
        <v>0</v>
      </c>
      <c r="I45" s="754">
        <f t="array" ref="I45">SUMPRODUCT((TRIM(INDEX('6. TIẾN ĐỘ MUA HÀNG'!$A$5:$AT644, 0, XMATCH("NCC VTBB/NL trong nước", '6. TIẾN ĐỘ MUA HÀNG'!$A$4:$AT$4, 0))) = TRIM($B45)) * (TRIM(INDEX('6. TIẾN ĐỘ MUA HÀNG'!$A$5:$AT644, 0, XMATCH("Tháng", '6. TIẾN ĐỘ MUA HÀNG'!$A$4:$AT$4, 0))) = TRIM(I$6)) * (INDEX('6. TIẾN ĐỘ MUA HÀNG'!$A$5:$AT644, 0, XMATCH("Mã đơn Misa", '6. TIẾN ĐỘ MUA HÀNG'!$A$4:$AT$4, 0)) &lt;&gt; ""))</f>
        <v>0</v>
      </c>
      <c r="J45" s="754">
        <f t="array" ref="J45">SUMPRODUCT(
  (INDEX('6. TIẾN ĐỘ MUA HÀNG'!$A$5:$AT644, 0, XMATCH("NCC VTBB/NL trong nước", '6. TIẾN ĐỘ MUA HÀNG'!$A$4:$AT$4, 0)) = $B45) * (TRIM(INDEX('6. TIẾN ĐỘ MUA HÀNG'!$A$5:$AT644, 0, XMATCH("Tháng", '6. TIẾN ĐỘ MUA HÀNG'!$A$4:$AT$4, 0))) = TRIM(I$6)) * (INDEX('6. TIẾN ĐỘ MUA HÀNG'!$A$5:$AT644, 0, XMATCH("CL NGÀY NCC DỰ KIẾN - NGÀY NHẬN HÀNG", '6. TIẾN ĐỘ MUA HÀNG'!$A$4:$AT$4, 0)) &lt; 0)
)</f>
        <v>0</v>
      </c>
      <c r="K45" s="755">
        <f t="shared" si="30"/>
        <v>0</v>
      </c>
      <c r="L45" s="756">
        <f t="array" ref="L45">SUMPRODUCT((TRIM(INDEX('6. TIẾN ĐỘ MUA HÀNG'!$A$5:$AT644, 0, XMATCH("NCC VTBB/NL trong nước", '6. TIẾN ĐỘ MUA HÀNG'!$A$4:$AT$4, 0))) = TRIM($B45)) * (TRIM(INDEX('6. TIẾN ĐỘ MUA HÀNG'!$A$5:$AT644, 0, XMATCH("Tháng", '6. TIẾN ĐỘ MUA HÀNG'!$A$4:$AT$4, 0))) = TRIM(L$6)) * (INDEX('6. TIẾN ĐỘ MUA HÀNG'!$A$5:$AT644, 0, XMATCH("Mã đơn Misa", '6. TIẾN ĐỘ MUA HÀNG'!$A$4:$AT$4, 0)) &lt;&gt; ""))</f>
        <v>0</v>
      </c>
      <c r="M45" s="756">
        <f t="array" ref="M45">SUMPRODUCT(
  (INDEX('6. TIẾN ĐỘ MUA HÀNG'!$A$5:$AT644, 0, XMATCH("NCC VTBB/NL trong nước", '6. TIẾN ĐỘ MUA HÀNG'!$A$4:$AT$4, 0)) = $B45) * (TRIM(INDEX('6. TIẾN ĐỘ MUA HÀNG'!$A$5:$AT644, 0, XMATCH("Tháng", '6. TIẾN ĐỘ MUA HÀNG'!$A$4:$AT$4, 0))) = TRIM(L$6)) * (INDEX('6. TIẾN ĐỘ MUA HÀNG'!$A$5:$AT644, 0, XMATCH("CL NGÀY NCC DỰ KIẾN - NGÀY NHẬN HÀNG", '6. TIẾN ĐỘ MUA HÀNG'!$A$4:$AT$4, 0)) &lt; 0)
)</f>
        <v>0</v>
      </c>
      <c r="N45" s="757">
        <f t="shared" si="17"/>
        <v>0</v>
      </c>
      <c r="O45" s="754">
        <f t="array" ref="O45">SUMPRODUCT((TRIM(INDEX('6. TIẾN ĐỘ MUA HÀNG'!$A$5:$AT644, 0, XMATCH("NCC VTBB/NL trong nước", '6. TIẾN ĐỘ MUA HÀNG'!$A$4:$AT$4, 0))) = TRIM($B45)) * (TRIM(INDEX('6. TIẾN ĐỘ MUA HÀNG'!$A$5:$AT644, 0, XMATCH("Tháng", '6. TIẾN ĐỘ MUA HÀNG'!$A$4:$AT$4, 0))) = TRIM(O$6)) * (INDEX('6. TIẾN ĐỘ MUA HÀNG'!$A$5:$AT644, 0, XMATCH("Mã đơn Misa", '6. TIẾN ĐỘ MUA HÀNG'!$A$4:$AT$4, 0)) &lt;&gt; ""))</f>
        <v>0</v>
      </c>
      <c r="P45" s="754">
        <f t="array" ref="P45">SUMPRODUCT(
  (INDEX('6. TIẾN ĐỘ MUA HÀNG'!$A$5:$AT644, 0, XMATCH("NCC VTBB/NL trong nước", '6. TIẾN ĐỘ MUA HÀNG'!$A$4:$AT$4, 0)) = $B45) * (TRIM(INDEX('6. TIẾN ĐỘ MUA HÀNG'!$A$5:$AT644, 0, XMATCH("Tháng", '6. TIẾN ĐỘ MUA HÀNG'!$A$4:$AT$4, 0))) = TRIM(O$6)) * (INDEX('6. TIẾN ĐỘ MUA HÀNG'!$A$5:$AT644, 0, XMATCH("CL NGÀY NCC DỰ KIẾN - NGÀY NHẬN HÀNG", '6. TIẾN ĐỘ MUA HÀNG'!$A$4:$AT$4, 0)) &lt; 0)
)</f>
        <v>0</v>
      </c>
      <c r="Q45" s="755">
        <f t="shared" si="31"/>
        <v>0</v>
      </c>
      <c r="R45" s="756">
        <f t="array" ref="R45">SUMPRODUCT((TRIM(INDEX('6. TIẾN ĐỘ MUA HÀNG'!$A$5:$AT644, 0, XMATCH("NCC VTBB/NL trong nước", '6. TIẾN ĐỘ MUA HÀNG'!$A$4:$AT$4, 0))) = TRIM($B45)) * (TRIM(INDEX('6. TIẾN ĐỘ MUA HÀNG'!$A$5:$AT644, 0, XMATCH("Tháng", '6. TIẾN ĐỘ MUA HÀNG'!$A$4:$AT$4, 0))) = TRIM(R$6)) * (INDEX('6. TIẾN ĐỘ MUA HÀNG'!$A$5:$AT644, 0, XMATCH("Mã đơn Misa", '6. TIẾN ĐỘ MUA HÀNG'!$A$4:$AT$4, 0)) &lt;&gt; ""))</f>
        <v>0</v>
      </c>
      <c r="S45" s="756">
        <f t="array" ref="S45">SUMPRODUCT(
  (INDEX('6. TIẾN ĐỘ MUA HÀNG'!$A$5:$AT644, 0, XMATCH("NCC VTBB/NL trong nước", '6. TIẾN ĐỘ MUA HÀNG'!$A$4:$AT$4, 0)) = $B45) * (TRIM(INDEX('6. TIẾN ĐỘ MUA HÀNG'!$A$5:$AT644, 0, XMATCH("Tháng", '6. TIẾN ĐỘ MUA HÀNG'!$A$4:$AT$4, 0))) = TRIM(R$6)) * (INDEX('6. TIẾN ĐỘ MUA HÀNG'!$A$5:$AT644, 0, XMATCH("CL NGÀY NCC DỰ KIẾN - NGÀY NHẬN HÀNG", '6. TIẾN ĐỘ MUA HÀNG'!$A$4:$AT$4, 0)) &lt; 0)
)</f>
        <v>0</v>
      </c>
      <c r="T45" s="757">
        <f t="shared" si="19"/>
        <v>0</v>
      </c>
      <c r="U45" s="754">
        <f t="array" ref="U45">SUMPRODUCT((TRIM(INDEX('6. TIẾN ĐỘ MUA HÀNG'!$A$5:$AT644, 0, XMATCH("NCC VTBB/NL trong nước", '6. TIẾN ĐỘ MUA HÀNG'!$A$4:$AT$4, 0))) = TRIM($B45)) * (TRIM(INDEX('6. TIẾN ĐỘ MUA HÀNG'!$A$5:$AT644, 0, XMATCH("Tháng", '6. TIẾN ĐỘ MUA HÀNG'!$A$4:$AT$4, 0))) = TRIM(U$6)) * (INDEX('6. TIẾN ĐỘ MUA HÀNG'!$A$5:$AT644, 0, XMATCH("Mã đơn Misa", '6. TIẾN ĐỘ MUA HÀNG'!$A$4:$AT$4, 0)) &lt;&gt; ""))</f>
        <v>0</v>
      </c>
      <c r="V45" s="754">
        <f t="array" ref="V45">SUMPRODUCT(
  (INDEX('6. TIẾN ĐỘ MUA HÀNG'!$A$5:$AT644, 0, XMATCH("NCC VTBB/NL trong nước", '6. TIẾN ĐỘ MUA HÀNG'!$A$4:$AT$4, 0)) = $B45) * (TRIM(INDEX('6. TIẾN ĐỘ MUA HÀNG'!$A$5:$AT644, 0, XMATCH("Tháng", '6. TIẾN ĐỘ MUA HÀNG'!$A$4:$AT$4, 0))) = TRIM(U$6)) * (INDEX('6. TIẾN ĐỘ MUA HÀNG'!$A$5:$AT644, 0, XMATCH("CL NGÀY NCC DỰ KIẾN - NGÀY NHẬN HÀNG", '6. TIẾN ĐỘ MUA HÀNG'!$A$4:$AT$4, 0)) &lt; 0)
)</f>
        <v>0</v>
      </c>
      <c r="W45" s="755">
        <f t="shared" si="32"/>
        <v>0</v>
      </c>
      <c r="X45" s="756">
        <f t="array" ref="X45">SUMPRODUCT((TRIM(INDEX('6. TIẾN ĐỘ MUA HÀNG'!$A$5:$AT644, 0, XMATCH("NCC VTBB/NL trong nước", '6. TIẾN ĐỘ MUA HÀNG'!$A$4:$AT$4, 0))) = TRIM($B45)) * (TRIM(INDEX('6. TIẾN ĐỘ MUA HÀNG'!$A$5:$AT644, 0, XMATCH("Tháng", '6. TIẾN ĐỘ MUA HÀNG'!$A$4:$AT$4, 0))) = TRIM(X$6)) * (INDEX('6. TIẾN ĐỘ MUA HÀNG'!$A$5:$AT644, 0, XMATCH("Mã đơn Misa", '6. TIẾN ĐỘ MUA HÀNG'!$A$4:$AT$4, 0)) &lt;&gt; ""))</f>
        <v>0</v>
      </c>
      <c r="Y45" s="756">
        <f t="array" ref="Y45">SUMPRODUCT(
  (INDEX('6. TIẾN ĐỘ MUA HÀNG'!$A$5:$AT644, 0, XMATCH("NCC VTBB/NL trong nước", '6. TIẾN ĐỘ MUA HÀNG'!$A$4:$AT$4, 0)) = $B45) * (TRIM(INDEX('6. TIẾN ĐỘ MUA HÀNG'!$A$5:$AT644, 0, XMATCH("Tháng", '6. TIẾN ĐỘ MUA HÀNG'!$A$4:$AT$4, 0))) = TRIM(X$6)) * (INDEX('6. TIẾN ĐỘ MUA HÀNG'!$A$5:$AT644, 0, XMATCH("CL NGÀY NCC DỰ KIẾN - NGÀY NHẬN HÀNG", '6. TIẾN ĐỘ MUA HÀNG'!$A$4:$AT$4, 0)) &lt; 0)
)</f>
        <v>0</v>
      </c>
      <c r="Z45" s="757">
        <f t="shared" si="21"/>
        <v>0</v>
      </c>
      <c r="AA45" s="754">
        <f t="array" ref="AA45">SUMPRODUCT((TRIM(INDEX('6. TIẾN ĐỘ MUA HÀNG'!$A$5:$AT644, 0, XMATCH("NCC VTBB/NL trong nước", '6. TIẾN ĐỘ MUA HÀNG'!$A$4:$AT$4, 0))) = TRIM($B45)) * (TRIM(INDEX('6. TIẾN ĐỘ MUA HÀNG'!$A$5:$AT644, 0, XMATCH("Tháng", '6. TIẾN ĐỘ MUA HÀNG'!$A$4:$AT$4, 0))) = TRIM(AA$6)) * (INDEX('6. TIẾN ĐỘ MUA HÀNG'!$A$5:$AT644, 0, XMATCH("Mã đơn Misa", '6. TIẾN ĐỘ MUA HÀNG'!$A$4:$AT$4, 0)) &lt;&gt; ""))</f>
        <v>0</v>
      </c>
      <c r="AB45" s="754">
        <f t="array" ref="AB45">SUMPRODUCT(
  (INDEX('6. TIẾN ĐỘ MUA HÀNG'!$A$5:$AT644, 0, XMATCH("NCC VTBB/NL trong nước", '6. TIẾN ĐỘ MUA HÀNG'!$A$4:$AT$4, 0)) = $B45) * (TRIM(INDEX('6. TIẾN ĐỘ MUA HÀNG'!$A$5:$AT644, 0, XMATCH("Tháng", '6. TIẾN ĐỘ MUA HÀNG'!$A$4:$AT$4, 0))) = TRIM(AA$6)) * (INDEX('6. TIẾN ĐỘ MUA HÀNG'!$A$5:$AT644, 0, XMATCH("CL NGÀY NCC DỰ KIẾN - NGÀY NHẬN HÀNG", '6. TIẾN ĐỘ MUA HÀNG'!$A$4:$AT$4, 0)) &lt; 0)
)</f>
        <v>0</v>
      </c>
      <c r="AC45" s="755">
        <f t="shared" si="33"/>
        <v>0</v>
      </c>
      <c r="AD45" s="756">
        <f t="array" ref="AD45">SUMPRODUCT((TRIM(INDEX('6. TIẾN ĐỘ MUA HÀNG'!$A$5:$AT644, 0, XMATCH("NCC VTBB/NL trong nước", '6. TIẾN ĐỘ MUA HÀNG'!$A$4:$AT$4, 0))) = TRIM($B45)) * (TRIM(INDEX('6. TIẾN ĐỘ MUA HÀNG'!$A$5:$AT644, 0, XMATCH("Tháng", '6. TIẾN ĐỘ MUA HÀNG'!$A$4:$AT$4, 0))) = TRIM(AD$6)) * (INDEX('6. TIẾN ĐỘ MUA HÀNG'!$A$5:$AT644, 0, XMATCH("Mã đơn Misa", '6. TIẾN ĐỘ MUA HÀNG'!$A$4:$AT$4, 0)) &lt;&gt; ""))</f>
        <v>0</v>
      </c>
      <c r="AE45" s="756">
        <f t="array" ref="AE45">SUMPRODUCT(
  (INDEX('6. TIẾN ĐỘ MUA HÀNG'!$A$5:$AT644, 0, XMATCH("NCC VTBB/NL trong nước", '6. TIẾN ĐỘ MUA HÀNG'!$A$4:$AT$4, 0)) = $B45) * (TRIM(INDEX('6. TIẾN ĐỘ MUA HÀNG'!$A$5:$AT644, 0, XMATCH("Tháng", '6. TIẾN ĐỘ MUA HÀNG'!$A$4:$AT$4, 0))) = TRIM(AD$6)) * (INDEX('6. TIẾN ĐỘ MUA HÀNG'!$A$5:$AT644, 0, XMATCH("CL NGÀY NCC DỰ KIẾN - NGÀY NHẬN HÀNG", '6. TIẾN ĐỘ MUA HÀNG'!$A$4:$AT$4, 0)) &lt; 0)
)</f>
        <v>0</v>
      </c>
      <c r="AF45" s="757">
        <f t="shared" si="23"/>
        <v>0</v>
      </c>
      <c r="AG45" s="754">
        <f t="array" ref="AG45">SUMPRODUCT((TRIM(INDEX('6. TIẾN ĐỘ MUA HÀNG'!$A$5:$AT644, 0, XMATCH("NCC VTBB/NL trong nước", '6. TIẾN ĐỘ MUA HÀNG'!$A$4:$AT$4, 0))) = TRIM($B45)) * (TRIM(INDEX('6. TIẾN ĐỘ MUA HÀNG'!$A$5:$AT644, 0, XMATCH("Tháng", '6. TIẾN ĐỘ MUA HÀNG'!$A$4:$AT$4, 0))) = TRIM(AG$6)) * (INDEX('6. TIẾN ĐỘ MUA HÀNG'!$A$5:$AT644, 0, XMATCH("Mã đơn Misa", '6. TIẾN ĐỘ MUA HÀNG'!$A$4:$AT$4, 0)) &lt;&gt; ""))</f>
        <v>0</v>
      </c>
      <c r="AH45" s="754">
        <f t="array" ref="AH45">SUMPRODUCT(
  (INDEX('6. TIẾN ĐỘ MUA HÀNG'!$A$5:$AT644, 0, XMATCH("NCC VTBB/NL trong nước", '6. TIẾN ĐỘ MUA HÀNG'!$A$4:$AT$4, 0)) = $B45) * (TRIM(INDEX('6. TIẾN ĐỘ MUA HÀNG'!$A$5:$AT644, 0, XMATCH("Tháng", '6. TIẾN ĐỘ MUA HÀNG'!$A$4:$AT$4, 0))) = TRIM(AG$6)) * (INDEX('6. TIẾN ĐỘ MUA HÀNG'!$A$5:$AT644, 0, XMATCH("CL NGÀY NCC DỰ KIẾN - NGÀY NHẬN HÀNG", '6. TIẾN ĐỘ MUA HÀNG'!$A$4:$AT$4, 0)) &lt; 0)
)</f>
        <v>0</v>
      </c>
      <c r="AI45" s="755">
        <f t="shared" si="34"/>
        <v>0</v>
      </c>
      <c r="AJ45" s="756">
        <f t="array" ref="AJ45">SUMPRODUCT((TRIM(INDEX('6. TIẾN ĐỘ MUA HÀNG'!$A$5:$AT644, 0, XMATCH("NCC VTBB/NL trong nước", '6. TIẾN ĐỘ MUA HÀNG'!$A$4:$AT$4, 0))) = TRIM($B45)) * (TRIM(INDEX('6. TIẾN ĐỘ MUA HÀNG'!$A$5:$AT644, 0, XMATCH("Tháng", '6. TIẾN ĐỘ MUA HÀNG'!$A$4:$AT$4, 0))) = TRIM(AJ$6)) * (INDEX('6. TIẾN ĐỘ MUA HÀNG'!$A$5:$AT644, 0, XMATCH("Mã đơn Misa", '6. TIẾN ĐỘ MUA HÀNG'!$A$4:$AT$4, 0)) &lt;&gt; ""))</f>
        <v>0</v>
      </c>
      <c r="AK45" s="756">
        <f t="array" ref="AK45">SUMPRODUCT(
  (INDEX('6. TIẾN ĐỘ MUA HÀNG'!$A$5:$AT644, 0, XMATCH("NCC VTBB/NL trong nước", '6. TIẾN ĐỘ MUA HÀNG'!$A$4:$AT$4, 0)) = $B45) * (TRIM(INDEX('6. TIẾN ĐỘ MUA HÀNG'!$A$5:$AT644, 0, XMATCH("Tháng", '6. TIẾN ĐỘ MUA HÀNG'!$A$4:$AT$4, 0))) = TRIM(AJ$6)) * (INDEX('6. TIẾN ĐỘ MUA HÀNG'!$A$5:$AT644, 0, XMATCH("CL NGÀY NCC DỰ KIẾN - NGÀY NHẬN HÀNG", '6. TIẾN ĐỘ MUA HÀNG'!$A$4:$AT$4, 0)) &lt; 0)
)</f>
        <v>0</v>
      </c>
      <c r="AL45" s="757">
        <f t="shared" si="25"/>
        <v>0</v>
      </c>
      <c r="AM45" s="726">
        <f t="shared" si="27"/>
        <v>0</v>
      </c>
      <c r="AN45" s="726">
        <f t="shared" si="28"/>
        <v>0</v>
      </c>
      <c r="AO45" s="727">
        <f t="shared" si="26"/>
        <v>0</v>
      </c>
    </row>
    <row r="46">
      <c r="A46" s="612">
        <v>38.0</v>
      </c>
      <c r="B46" s="624" t="str">
        <f>IFERROR(__xludf.DUMMYFUNCTION("""COMPUTED_VALUE"""),"Svc")</f>
        <v>Svc</v>
      </c>
      <c r="C46" s="754">
        <f t="array" ref="C46">SUMPRODUCT((TRIM(INDEX('6. TIẾN ĐỘ MUA HÀNG'!$A$5:$AT644, 0, XMATCH("NCC VTBB/NL trong nước", '6. TIẾN ĐỘ MUA HÀNG'!$A$4:$AT$4, 0))) = TRIM($B46)) * (TRIM(INDEX('6. TIẾN ĐỘ MUA HÀNG'!$A$5:$AT644, 0, XMATCH("Tháng", '6. TIẾN ĐỘ MUA HÀNG'!$A$4:$AT$4, 0))) = TRIM(C$6)) * (INDEX('6. TIẾN ĐỘ MUA HÀNG'!$A$5:$AT644, 0, XMATCH("Mã đơn Misa", '6. TIẾN ĐỘ MUA HÀNG'!$A$4:$AT$4, 0)) &lt;&gt; ""))</f>
        <v>0</v>
      </c>
      <c r="D46" s="754">
        <f t="array" ref="D46">SUMPRODUCT(
  (INDEX('6. TIẾN ĐỘ MUA HÀNG'!$A$5:$AT644, 0, XMATCH("NCC VTBB/NL trong nước", '6. TIẾN ĐỘ MUA HÀNG'!$A$4:$AT$4, 0)) = $B46) * (TRIM(INDEX('6. TIẾN ĐỘ MUA HÀNG'!$A$5:$AT644, 0, XMATCH("Tháng", '6. TIẾN ĐỘ MUA HÀNG'!$A$4:$AT$4, 0))) = TRIM(C$6)) * (INDEX('6. TIẾN ĐỘ MUA HÀNG'!$A$5:$AT644, 0, XMATCH("CL NGÀY NCC DỰ KIẾN - NGÀY NHẬN HÀNG", '6. TIẾN ĐỘ MUA HÀNG'!$A$4:$AT$4, 0)) &lt; 0)
)</f>
        <v>0</v>
      </c>
      <c r="E46" s="755">
        <f t="shared" si="29"/>
        <v>0</v>
      </c>
      <c r="F46" s="756">
        <f t="array" ref="F46">SUMPRODUCT((TRIM(INDEX('6. TIẾN ĐỘ MUA HÀNG'!$A$5:$AT644, 0, XMATCH("NCC VTBB/NL trong nước", '6. TIẾN ĐỘ MUA HÀNG'!$A$4:$AT$4, 0))) = TRIM($B46)) * (TRIM(INDEX('6. TIẾN ĐỘ MUA HÀNG'!$A$5:$AT644, 0, XMATCH("Tháng", '6. TIẾN ĐỘ MUA HÀNG'!$A$4:$AT$4, 0))) = TRIM(F$6)) * (INDEX('6. TIẾN ĐỘ MUA HÀNG'!$A$5:$AT644, 0, XMATCH("Mã đơn Misa", '6. TIẾN ĐỘ MUA HÀNG'!$A$4:$AT$4, 0)) &lt;&gt; ""))</f>
        <v>0</v>
      </c>
      <c r="G46" s="756">
        <f t="array" ref="G46">SUMPRODUCT(
  (INDEX('6. TIẾN ĐỘ MUA HÀNG'!$A$5:$AT644, 0, XMATCH("NCC VTBB/NL trong nước", '6. TIẾN ĐỘ MUA HÀNG'!$A$4:$AT$4, 0)) = $B46) * (TRIM(INDEX('6. TIẾN ĐỘ MUA HÀNG'!$A$5:$AT644, 0, XMATCH("Tháng", '6. TIẾN ĐỘ MUA HÀNG'!$A$4:$AT$4, 0))) = TRIM(F$6)) * (INDEX('6. TIẾN ĐỘ MUA HÀNG'!$A$5:$AT644, 0, XMATCH("CL NGÀY NCC DỰ KIẾN - NGÀY NHẬN HÀNG", '6. TIẾN ĐỘ MUA HÀNG'!$A$4:$AT$4, 0)) &lt; 0)
)</f>
        <v>0</v>
      </c>
      <c r="H46" s="757">
        <f t="shared" si="15"/>
        <v>0</v>
      </c>
      <c r="I46" s="754">
        <f t="array" ref="I46">SUMPRODUCT((TRIM(INDEX('6. TIẾN ĐỘ MUA HÀNG'!$A$5:$AT644, 0, XMATCH("NCC VTBB/NL trong nước", '6. TIẾN ĐỘ MUA HÀNG'!$A$4:$AT$4, 0))) = TRIM($B46)) * (TRIM(INDEX('6. TIẾN ĐỘ MUA HÀNG'!$A$5:$AT644, 0, XMATCH("Tháng", '6. TIẾN ĐỘ MUA HÀNG'!$A$4:$AT$4, 0))) = TRIM(I$6)) * (INDEX('6. TIẾN ĐỘ MUA HÀNG'!$A$5:$AT644, 0, XMATCH("Mã đơn Misa", '6. TIẾN ĐỘ MUA HÀNG'!$A$4:$AT$4, 0)) &lt;&gt; ""))</f>
        <v>0</v>
      </c>
      <c r="J46" s="754">
        <f t="array" ref="J46">SUMPRODUCT(
  (INDEX('6. TIẾN ĐỘ MUA HÀNG'!$A$5:$AT644, 0, XMATCH("NCC VTBB/NL trong nước", '6. TIẾN ĐỘ MUA HÀNG'!$A$4:$AT$4, 0)) = $B46) * (TRIM(INDEX('6. TIẾN ĐỘ MUA HÀNG'!$A$5:$AT644, 0, XMATCH("Tháng", '6. TIẾN ĐỘ MUA HÀNG'!$A$4:$AT$4, 0))) = TRIM(I$6)) * (INDEX('6. TIẾN ĐỘ MUA HÀNG'!$A$5:$AT644, 0, XMATCH("CL NGÀY NCC DỰ KIẾN - NGÀY NHẬN HÀNG", '6. TIẾN ĐỘ MUA HÀNG'!$A$4:$AT$4, 0)) &lt; 0)
)</f>
        <v>0</v>
      </c>
      <c r="K46" s="755">
        <f t="shared" si="30"/>
        <v>0</v>
      </c>
      <c r="L46" s="756">
        <f t="array" ref="L46">SUMPRODUCT((TRIM(INDEX('6. TIẾN ĐỘ MUA HÀNG'!$A$5:$AT644, 0, XMATCH("NCC VTBB/NL trong nước", '6. TIẾN ĐỘ MUA HÀNG'!$A$4:$AT$4, 0))) = TRIM($B46)) * (TRIM(INDEX('6. TIẾN ĐỘ MUA HÀNG'!$A$5:$AT644, 0, XMATCH("Tháng", '6. TIẾN ĐỘ MUA HÀNG'!$A$4:$AT$4, 0))) = TRIM(L$6)) * (INDEX('6. TIẾN ĐỘ MUA HÀNG'!$A$5:$AT644, 0, XMATCH("Mã đơn Misa", '6. TIẾN ĐỘ MUA HÀNG'!$A$4:$AT$4, 0)) &lt;&gt; ""))</f>
        <v>0</v>
      </c>
      <c r="M46" s="756">
        <f t="array" ref="M46">SUMPRODUCT(
  (INDEX('6. TIẾN ĐỘ MUA HÀNG'!$A$5:$AT644, 0, XMATCH("NCC VTBB/NL trong nước", '6. TIẾN ĐỘ MUA HÀNG'!$A$4:$AT$4, 0)) = $B46) * (TRIM(INDEX('6. TIẾN ĐỘ MUA HÀNG'!$A$5:$AT644, 0, XMATCH("Tháng", '6. TIẾN ĐỘ MUA HÀNG'!$A$4:$AT$4, 0))) = TRIM(L$6)) * (INDEX('6. TIẾN ĐỘ MUA HÀNG'!$A$5:$AT644, 0, XMATCH("CL NGÀY NCC DỰ KIẾN - NGÀY NHẬN HÀNG", '6. TIẾN ĐỘ MUA HÀNG'!$A$4:$AT$4, 0)) &lt; 0)
)</f>
        <v>0</v>
      </c>
      <c r="N46" s="757">
        <f t="shared" si="17"/>
        <v>0</v>
      </c>
      <c r="O46" s="754">
        <f t="array" ref="O46">SUMPRODUCT((TRIM(INDEX('6. TIẾN ĐỘ MUA HÀNG'!$A$5:$AT644, 0, XMATCH("NCC VTBB/NL trong nước", '6. TIẾN ĐỘ MUA HÀNG'!$A$4:$AT$4, 0))) = TRIM($B46)) * (TRIM(INDEX('6. TIẾN ĐỘ MUA HÀNG'!$A$5:$AT644, 0, XMATCH("Tháng", '6. TIẾN ĐỘ MUA HÀNG'!$A$4:$AT$4, 0))) = TRIM(O$6)) * (INDEX('6. TIẾN ĐỘ MUA HÀNG'!$A$5:$AT644, 0, XMATCH("Mã đơn Misa", '6. TIẾN ĐỘ MUA HÀNG'!$A$4:$AT$4, 0)) &lt;&gt; ""))</f>
        <v>0</v>
      </c>
      <c r="P46" s="754">
        <f t="array" ref="P46">SUMPRODUCT(
  (INDEX('6. TIẾN ĐỘ MUA HÀNG'!$A$5:$AT644, 0, XMATCH("NCC VTBB/NL trong nước", '6. TIẾN ĐỘ MUA HÀNG'!$A$4:$AT$4, 0)) = $B46) * (TRIM(INDEX('6. TIẾN ĐỘ MUA HÀNG'!$A$5:$AT644, 0, XMATCH("Tháng", '6. TIẾN ĐỘ MUA HÀNG'!$A$4:$AT$4, 0))) = TRIM(O$6)) * (INDEX('6. TIẾN ĐỘ MUA HÀNG'!$A$5:$AT644, 0, XMATCH("CL NGÀY NCC DỰ KIẾN - NGÀY NHẬN HÀNG", '6. TIẾN ĐỘ MUA HÀNG'!$A$4:$AT$4, 0)) &lt; 0)
)</f>
        <v>0</v>
      </c>
      <c r="Q46" s="755">
        <f t="shared" si="31"/>
        <v>0</v>
      </c>
      <c r="R46" s="756">
        <f t="array" ref="R46">SUMPRODUCT((TRIM(INDEX('6. TIẾN ĐỘ MUA HÀNG'!$A$5:$AT644, 0, XMATCH("NCC VTBB/NL trong nước", '6. TIẾN ĐỘ MUA HÀNG'!$A$4:$AT$4, 0))) = TRIM($B46)) * (TRIM(INDEX('6. TIẾN ĐỘ MUA HÀNG'!$A$5:$AT644, 0, XMATCH("Tháng", '6. TIẾN ĐỘ MUA HÀNG'!$A$4:$AT$4, 0))) = TRIM(R$6)) * (INDEX('6. TIẾN ĐỘ MUA HÀNG'!$A$5:$AT644, 0, XMATCH("Mã đơn Misa", '6. TIẾN ĐỘ MUA HÀNG'!$A$4:$AT$4, 0)) &lt;&gt; ""))</f>
        <v>0</v>
      </c>
      <c r="S46" s="756">
        <f t="array" ref="S46">SUMPRODUCT(
  (INDEX('6. TIẾN ĐỘ MUA HÀNG'!$A$5:$AT644, 0, XMATCH("NCC VTBB/NL trong nước", '6. TIẾN ĐỘ MUA HÀNG'!$A$4:$AT$4, 0)) = $B46) * (TRIM(INDEX('6. TIẾN ĐỘ MUA HÀNG'!$A$5:$AT644, 0, XMATCH("Tháng", '6. TIẾN ĐỘ MUA HÀNG'!$A$4:$AT$4, 0))) = TRIM(R$6)) * (INDEX('6. TIẾN ĐỘ MUA HÀNG'!$A$5:$AT644, 0, XMATCH("CL NGÀY NCC DỰ KIẾN - NGÀY NHẬN HÀNG", '6. TIẾN ĐỘ MUA HÀNG'!$A$4:$AT$4, 0)) &lt; 0)
)</f>
        <v>0</v>
      </c>
      <c r="T46" s="757">
        <f t="shared" si="19"/>
        <v>0</v>
      </c>
      <c r="U46" s="754">
        <f t="array" ref="U46">SUMPRODUCT((TRIM(INDEX('6. TIẾN ĐỘ MUA HÀNG'!$A$5:$AT644, 0, XMATCH("NCC VTBB/NL trong nước", '6. TIẾN ĐỘ MUA HÀNG'!$A$4:$AT$4, 0))) = TRIM($B46)) * (TRIM(INDEX('6. TIẾN ĐỘ MUA HÀNG'!$A$5:$AT644, 0, XMATCH("Tháng", '6. TIẾN ĐỘ MUA HÀNG'!$A$4:$AT$4, 0))) = TRIM(U$6)) * (INDEX('6. TIẾN ĐỘ MUA HÀNG'!$A$5:$AT644, 0, XMATCH("Mã đơn Misa", '6. TIẾN ĐỘ MUA HÀNG'!$A$4:$AT$4, 0)) &lt;&gt; ""))</f>
        <v>0</v>
      </c>
      <c r="V46" s="754">
        <f t="array" ref="V46">SUMPRODUCT(
  (INDEX('6. TIẾN ĐỘ MUA HÀNG'!$A$5:$AT644, 0, XMATCH("NCC VTBB/NL trong nước", '6. TIẾN ĐỘ MUA HÀNG'!$A$4:$AT$4, 0)) = $B46) * (TRIM(INDEX('6. TIẾN ĐỘ MUA HÀNG'!$A$5:$AT644, 0, XMATCH("Tháng", '6. TIẾN ĐỘ MUA HÀNG'!$A$4:$AT$4, 0))) = TRIM(U$6)) * (INDEX('6. TIẾN ĐỘ MUA HÀNG'!$A$5:$AT644, 0, XMATCH("CL NGÀY NCC DỰ KIẾN - NGÀY NHẬN HÀNG", '6. TIẾN ĐỘ MUA HÀNG'!$A$4:$AT$4, 0)) &lt; 0)
)</f>
        <v>0</v>
      </c>
      <c r="W46" s="755">
        <f t="shared" si="32"/>
        <v>0</v>
      </c>
      <c r="X46" s="756">
        <f t="array" ref="X46">SUMPRODUCT((TRIM(INDEX('6. TIẾN ĐỘ MUA HÀNG'!$A$5:$AT644, 0, XMATCH("NCC VTBB/NL trong nước", '6. TIẾN ĐỘ MUA HÀNG'!$A$4:$AT$4, 0))) = TRIM($B46)) * (TRIM(INDEX('6. TIẾN ĐỘ MUA HÀNG'!$A$5:$AT644, 0, XMATCH("Tháng", '6. TIẾN ĐỘ MUA HÀNG'!$A$4:$AT$4, 0))) = TRIM(X$6)) * (INDEX('6. TIẾN ĐỘ MUA HÀNG'!$A$5:$AT644, 0, XMATCH("Mã đơn Misa", '6. TIẾN ĐỘ MUA HÀNG'!$A$4:$AT$4, 0)) &lt;&gt; ""))</f>
        <v>0</v>
      </c>
      <c r="Y46" s="756">
        <f t="array" ref="Y46">SUMPRODUCT(
  (INDEX('6. TIẾN ĐỘ MUA HÀNG'!$A$5:$AT644, 0, XMATCH("NCC VTBB/NL trong nước", '6. TIẾN ĐỘ MUA HÀNG'!$A$4:$AT$4, 0)) = $B46) * (TRIM(INDEX('6. TIẾN ĐỘ MUA HÀNG'!$A$5:$AT644, 0, XMATCH("Tháng", '6. TIẾN ĐỘ MUA HÀNG'!$A$4:$AT$4, 0))) = TRIM(X$6)) * (INDEX('6. TIẾN ĐỘ MUA HÀNG'!$A$5:$AT644, 0, XMATCH("CL NGÀY NCC DỰ KIẾN - NGÀY NHẬN HÀNG", '6. TIẾN ĐỘ MUA HÀNG'!$A$4:$AT$4, 0)) &lt; 0)
)</f>
        <v>0</v>
      </c>
      <c r="Z46" s="757">
        <f t="shared" si="21"/>
        <v>0</v>
      </c>
      <c r="AA46" s="754">
        <f t="array" ref="AA46">SUMPRODUCT((TRIM(INDEX('6. TIẾN ĐỘ MUA HÀNG'!$A$5:$AT644, 0, XMATCH("NCC VTBB/NL trong nước", '6. TIẾN ĐỘ MUA HÀNG'!$A$4:$AT$4, 0))) = TRIM($B46)) * (TRIM(INDEX('6. TIẾN ĐỘ MUA HÀNG'!$A$5:$AT644, 0, XMATCH("Tháng", '6. TIẾN ĐỘ MUA HÀNG'!$A$4:$AT$4, 0))) = TRIM(AA$6)) * (INDEX('6. TIẾN ĐỘ MUA HÀNG'!$A$5:$AT644, 0, XMATCH("Mã đơn Misa", '6. TIẾN ĐỘ MUA HÀNG'!$A$4:$AT$4, 0)) &lt;&gt; ""))</f>
        <v>0</v>
      </c>
      <c r="AB46" s="754">
        <f t="array" ref="AB46">SUMPRODUCT(
  (INDEX('6. TIẾN ĐỘ MUA HÀNG'!$A$5:$AT644, 0, XMATCH("NCC VTBB/NL trong nước", '6. TIẾN ĐỘ MUA HÀNG'!$A$4:$AT$4, 0)) = $B46) * (TRIM(INDEX('6. TIẾN ĐỘ MUA HÀNG'!$A$5:$AT644, 0, XMATCH("Tháng", '6. TIẾN ĐỘ MUA HÀNG'!$A$4:$AT$4, 0))) = TRIM(AA$6)) * (INDEX('6. TIẾN ĐỘ MUA HÀNG'!$A$5:$AT644, 0, XMATCH("CL NGÀY NCC DỰ KIẾN - NGÀY NHẬN HÀNG", '6. TIẾN ĐỘ MUA HÀNG'!$A$4:$AT$4, 0)) &lt; 0)
)</f>
        <v>0</v>
      </c>
      <c r="AC46" s="755">
        <f t="shared" si="33"/>
        <v>0</v>
      </c>
      <c r="AD46" s="756">
        <f t="array" ref="AD46">SUMPRODUCT((TRIM(INDEX('6. TIẾN ĐỘ MUA HÀNG'!$A$5:$AT644, 0, XMATCH("NCC VTBB/NL trong nước", '6. TIẾN ĐỘ MUA HÀNG'!$A$4:$AT$4, 0))) = TRIM($B46)) * (TRIM(INDEX('6. TIẾN ĐỘ MUA HÀNG'!$A$5:$AT644, 0, XMATCH("Tháng", '6. TIẾN ĐỘ MUA HÀNG'!$A$4:$AT$4, 0))) = TRIM(AD$6)) * (INDEX('6. TIẾN ĐỘ MUA HÀNG'!$A$5:$AT644, 0, XMATCH("Mã đơn Misa", '6. TIẾN ĐỘ MUA HÀNG'!$A$4:$AT$4, 0)) &lt;&gt; ""))</f>
        <v>0</v>
      </c>
      <c r="AE46" s="756">
        <f t="array" ref="AE46">SUMPRODUCT(
  (INDEX('6. TIẾN ĐỘ MUA HÀNG'!$A$5:$AT644, 0, XMATCH("NCC VTBB/NL trong nước", '6. TIẾN ĐỘ MUA HÀNG'!$A$4:$AT$4, 0)) = $B46) * (TRIM(INDEX('6. TIẾN ĐỘ MUA HÀNG'!$A$5:$AT644, 0, XMATCH("Tháng", '6. TIẾN ĐỘ MUA HÀNG'!$A$4:$AT$4, 0))) = TRIM(AD$6)) * (INDEX('6. TIẾN ĐỘ MUA HÀNG'!$A$5:$AT644, 0, XMATCH("CL NGÀY NCC DỰ KIẾN - NGÀY NHẬN HÀNG", '6. TIẾN ĐỘ MUA HÀNG'!$A$4:$AT$4, 0)) &lt; 0)
)</f>
        <v>0</v>
      </c>
      <c r="AF46" s="757">
        <f t="shared" si="23"/>
        <v>0</v>
      </c>
      <c r="AG46" s="754">
        <f t="array" ref="AG46">SUMPRODUCT((TRIM(INDEX('6. TIẾN ĐỘ MUA HÀNG'!$A$5:$AT644, 0, XMATCH("NCC VTBB/NL trong nước", '6. TIẾN ĐỘ MUA HÀNG'!$A$4:$AT$4, 0))) = TRIM($B46)) * (TRIM(INDEX('6. TIẾN ĐỘ MUA HÀNG'!$A$5:$AT644, 0, XMATCH("Tháng", '6. TIẾN ĐỘ MUA HÀNG'!$A$4:$AT$4, 0))) = TRIM(AG$6)) * (INDEX('6. TIẾN ĐỘ MUA HÀNG'!$A$5:$AT644, 0, XMATCH("Mã đơn Misa", '6. TIẾN ĐỘ MUA HÀNG'!$A$4:$AT$4, 0)) &lt;&gt; ""))</f>
        <v>0</v>
      </c>
      <c r="AH46" s="754">
        <f t="array" ref="AH46">SUMPRODUCT(
  (INDEX('6. TIẾN ĐỘ MUA HÀNG'!$A$5:$AT644, 0, XMATCH("NCC VTBB/NL trong nước", '6. TIẾN ĐỘ MUA HÀNG'!$A$4:$AT$4, 0)) = $B46) * (TRIM(INDEX('6. TIẾN ĐỘ MUA HÀNG'!$A$5:$AT644, 0, XMATCH("Tháng", '6. TIẾN ĐỘ MUA HÀNG'!$A$4:$AT$4, 0))) = TRIM(AG$6)) * (INDEX('6. TIẾN ĐỘ MUA HÀNG'!$A$5:$AT644, 0, XMATCH("CL NGÀY NCC DỰ KIẾN - NGÀY NHẬN HÀNG", '6. TIẾN ĐỘ MUA HÀNG'!$A$4:$AT$4, 0)) &lt; 0)
)</f>
        <v>0</v>
      </c>
      <c r="AI46" s="755">
        <f t="shared" si="34"/>
        <v>0</v>
      </c>
      <c r="AJ46" s="756">
        <f t="array" ref="AJ46">SUMPRODUCT((TRIM(INDEX('6. TIẾN ĐỘ MUA HÀNG'!$A$5:$AT644, 0, XMATCH("NCC VTBB/NL trong nước", '6. TIẾN ĐỘ MUA HÀNG'!$A$4:$AT$4, 0))) = TRIM($B46)) * (TRIM(INDEX('6. TIẾN ĐỘ MUA HÀNG'!$A$5:$AT644, 0, XMATCH("Tháng", '6. TIẾN ĐỘ MUA HÀNG'!$A$4:$AT$4, 0))) = TRIM(AJ$6)) * (INDEX('6. TIẾN ĐỘ MUA HÀNG'!$A$5:$AT644, 0, XMATCH("Mã đơn Misa", '6. TIẾN ĐỘ MUA HÀNG'!$A$4:$AT$4, 0)) &lt;&gt; ""))</f>
        <v>0</v>
      </c>
      <c r="AK46" s="756">
        <f t="array" ref="AK46">SUMPRODUCT(
  (INDEX('6. TIẾN ĐỘ MUA HÀNG'!$A$5:$AT644, 0, XMATCH("NCC VTBB/NL trong nước", '6. TIẾN ĐỘ MUA HÀNG'!$A$4:$AT$4, 0)) = $B46) * (TRIM(INDEX('6. TIẾN ĐỘ MUA HÀNG'!$A$5:$AT644, 0, XMATCH("Tháng", '6. TIẾN ĐỘ MUA HÀNG'!$A$4:$AT$4, 0))) = TRIM(AJ$6)) * (INDEX('6. TIẾN ĐỘ MUA HÀNG'!$A$5:$AT644, 0, XMATCH("CL NGÀY NCC DỰ KIẾN - NGÀY NHẬN HÀNG", '6. TIẾN ĐỘ MUA HÀNG'!$A$4:$AT$4, 0)) &lt; 0)
)</f>
        <v>0</v>
      </c>
      <c r="AL46" s="757">
        <f t="shared" si="25"/>
        <v>0</v>
      </c>
      <c r="AM46" s="726">
        <f t="shared" si="27"/>
        <v>0</v>
      </c>
      <c r="AN46" s="726">
        <f t="shared" si="28"/>
        <v>0</v>
      </c>
      <c r="AO46" s="727">
        <f t="shared" si="26"/>
        <v>0</v>
      </c>
    </row>
    <row r="47">
      <c r="A47" s="612">
        <v>39.0</v>
      </c>
      <c r="B47" s="624" t="str">
        <f>IFERROR(__xludf.DUMMYFUNCTION("""COMPUTED_VALUE"""),"Khả Doanh")</f>
        <v>Khả Doanh</v>
      </c>
      <c r="C47" s="754">
        <f t="array" ref="C47">SUMPRODUCT((TRIM(INDEX('6. TIẾN ĐỘ MUA HÀNG'!$A$5:$AT644, 0, XMATCH("NCC VTBB/NL trong nước", '6. TIẾN ĐỘ MUA HÀNG'!$A$4:$AT$4, 0))) = TRIM($B47)) * (TRIM(INDEX('6. TIẾN ĐỘ MUA HÀNG'!$A$5:$AT644, 0, XMATCH("Tháng", '6. TIẾN ĐỘ MUA HÀNG'!$A$4:$AT$4, 0))) = TRIM(C$6)) * (INDEX('6. TIẾN ĐỘ MUA HÀNG'!$A$5:$AT644, 0, XMATCH("Mã đơn Misa", '6. TIẾN ĐỘ MUA HÀNG'!$A$4:$AT$4, 0)) &lt;&gt; ""))</f>
        <v>0</v>
      </c>
      <c r="D47" s="754">
        <f t="array" ref="D47">SUMPRODUCT(
  (INDEX('6. TIẾN ĐỘ MUA HÀNG'!$A$5:$AT644, 0, XMATCH("NCC VTBB/NL trong nước", '6. TIẾN ĐỘ MUA HÀNG'!$A$4:$AT$4, 0)) = $B47) * (TRIM(INDEX('6. TIẾN ĐỘ MUA HÀNG'!$A$5:$AT644, 0, XMATCH("Tháng", '6. TIẾN ĐỘ MUA HÀNG'!$A$4:$AT$4, 0))) = TRIM(C$6)) * (INDEX('6. TIẾN ĐỘ MUA HÀNG'!$A$5:$AT644, 0, XMATCH("CL NGÀY NCC DỰ KIẾN - NGÀY NHẬN HÀNG", '6. TIẾN ĐỘ MUA HÀNG'!$A$4:$AT$4, 0)) &lt; 0)
)</f>
        <v>0</v>
      </c>
      <c r="E47" s="755">
        <f t="shared" si="29"/>
        <v>0</v>
      </c>
      <c r="F47" s="756">
        <f t="array" ref="F47">SUMPRODUCT((TRIM(INDEX('6. TIẾN ĐỘ MUA HÀNG'!$A$5:$AT644, 0, XMATCH("NCC VTBB/NL trong nước", '6. TIẾN ĐỘ MUA HÀNG'!$A$4:$AT$4, 0))) = TRIM($B47)) * (TRIM(INDEX('6. TIẾN ĐỘ MUA HÀNG'!$A$5:$AT644, 0, XMATCH("Tháng", '6. TIẾN ĐỘ MUA HÀNG'!$A$4:$AT$4, 0))) = TRIM(F$6)) * (INDEX('6. TIẾN ĐỘ MUA HÀNG'!$A$5:$AT644, 0, XMATCH("Mã đơn Misa", '6. TIẾN ĐỘ MUA HÀNG'!$A$4:$AT$4, 0)) &lt;&gt; ""))</f>
        <v>0</v>
      </c>
      <c r="G47" s="756">
        <f t="array" ref="G47">SUMPRODUCT(
  (INDEX('6. TIẾN ĐỘ MUA HÀNG'!$A$5:$AT644, 0, XMATCH("NCC VTBB/NL trong nước", '6. TIẾN ĐỘ MUA HÀNG'!$A$4:$AT$4, 0)) = $B47) * (TRIM(INDEX('6. TIẾN ĐỘ MUA HÀNG'!$A$5:$AT644, 0, XMATCH("Tháng", '6. TIẾN ĐỘ MUA HÀNG'!$A$4:$AT$4, 0))) = TRIM(F$6)) * (INDEX('6. TIẾN ĐỘ MUA HÀNG'!$A$5:$AT644, 0, XMATCH("CL NGÀY NCC DỰ KIẾN - NGÀY NHẬN HÀNG", '6. TIẾN ĐỘ MUA HÀNG'!$A$4:$AT$4, 0)) &lt; 0)
)</f>
        <v>0</v>
      </c>
      <c r="H47" s="757">
        <f t="shared" si="15"/>
        <v>0</v>
      </c>
      <c r="I47" s="754">
        <f t="array" ref="I47">SUMPRODUCT((TRIM(INDEX('6. TIẾN ĐỘ MUA HÀNG'!$A$5:$AT644, 0, XMATCH("NCC VTBB/NL trong nước", '6. TIẾN ĐỘ MUA HÀNG'!$A$4:$AT$4, 0))) = TRIM($B47)) * (TRIM(INDEX('6. TIẾN ĐỘ MUA HÀNG'!$A$5:$AT644, 0, XMATCH("Tháng", '6. TIẾN ĐỘ MUA HÀNG'!$A$4:$AT$4, 0))) = TRIM(I$6)) * (INDEX('6. TIẾN ĐỘ MUA HÀNG'!$A$5:$AT644, 0, XMATCH("Mã đơn Misa", '6. TIẾN ĐỘ MUA HÀNG'!$A$4:$AT$4, 0)) &lt;&gt; ""))</f>
        <v>0</v>
      </c>
      <c r="J47" s="754">
        <f t="array" ref="J47">SUMPRODUCT(
  (INDEX('6. TIẾN ĐỘ MUA HÀNG'!$A$5:$AT644, 0, XMATCH("NCC VTBB/NL trong nước", '6. TIẾN ĐỘ MUA HÀNG'!$A$4:$AT$4, 0)) = $B47) * (TRIM(INDEX('6. TIẾN ĐỘ MUA HÀNG'!$A$5:$AT644, 0, XMATCH("Tháng", '6. TIẾN ĐỘ MUA HÀNG'!$A$4:$AT$4, 0))) = TRIM(I$6)) * (INDEX('6. TIẾN ĐỘ MUA HÀNG'!$A$5:$AT644, 0, XMATCH("CL NGÀY NCC DỰ KIẾN - NGÀY NHẬN HÀNG", '6. TIẾN ĐỘ MUA HÀNG'!$A$4:$AT$4, 0)) &lt; 0)
)</f>
        <v>0</v>
      </c>
      <c r="K47" s="755">
        <f t="shared" si="30"/>
        <v>0</v>
      </c>
      <c r="L47" s="756">
        <f t="array" ref="L47">SUMPRODUCT((TRIM(INDEX('6. TIẾN ĐỘ MUA HÀNG'!$A$5:$AT644, 0, XMATCH("NCC VTBB/NL trong nước", '6. TIẾN ĐỘ MUA HÀNG'!$A$4:$AT$4, 0))) = TRIM($B47)) * (TRIM(INDEX('6. TIẾN ĐỘ MUA HÀNG'!$A$5:$AT644, 0, XMATCH("Tháng", '6. TIẾN ĐỘ MUA HÀNG'!$A$4:$AT$4, 0))) = TRIM(L$6)) * (INDEX('6. TIẾN ĐỘ MUA HÀNG'!$A$5:$AT644, 0, XMATCH("Mã đơn Misa", '6. TIẾN ĐỘ MUA HÀNG'!$A$4:$AT$4, 0)) &lt;&gt; ""))</f>
        <v>0</v>
      </c>
      <c r="M47" s="756">
        <f t="array" ref="M47">SUMPRODUCT(
  (INDEX('6. TIẾN ĐỘ MUA HÀNG'!$A$5:$AT644, 0, XMATCH("NCC VTBB/NL trong nước", '6. TIẾN ĐỘ MUA HÀNG'!$A$4:$AT$4, 0)) = $B47) * (TRIM(INDEX('6. TIẾN ĐỘ MUA HÀNG'!$A$5:$AT644, 0, XMATCH("Tháng", '6. TIẾN ĐỘ MUA HÀNG'!$A$4:$AT$4, 0))) = TRIM(L$6)) * (INDEX('6. TIẾN ĐỘ MUA HÀNG'!$A$5:$AT644, 0, XMATCH("CL NGÀY NCC DỰ KIẾN - NGÀY NHẬN HÀNG", '6. TIẾN ĐỘ MUA HÀNG'!$A$4:$AT$4, 0)) &lt; 0)
)</f>
        <v>0</v>
      </c>
      <c r="N47" s="757">
        <f t="shared" si="17"/>
        <v>0</v>
      </c>
      <c r="O47" s="754">
        <f t="array" ref="O47">SUMPRODUCT((TRIM(INDEX('6. TIẾN ĐỘ MUA HÀNG'!$A$5:$AT644, 0, XMATCH("NCC VTBB/NL trong nước", '6. TIẾN ĐỘ MUA HÀNG'!$A$4:$AT$4, 0))) = TRIM($B47)) * (TRIM(INDEX('6. TIẾN ĐỘ MUA HÀNG'!$A$5:$AT644, 0, XMATCH("Tháng", '6. TIẾN ĐỘ MUA HÀNG'!$A$4:$AT$4, 0))) = TRIM(O$6)) * (INDEX('6. TIẾN ĐỘ MUA HÀNG'!$A$5:$AT644, 0, XMATCH("Mã đơn Misa", '6. TIẾN ĐỘ MUA HÀNG'!$A$4:$AT$4, 0)) &lt;&gt; ""))</f>
        <v>0</v>
      </c>
      <c r="P47" s="754">
        <f t="array" ref="P47">SUMPRODUCT(
  (INDEX('6. TIẾN ĐỘ MUA HÀNG'!$A$5:$AT644, 0, XMATCH("NCC VTBB/NL trong nước", '6. TIẾN ĐỘ MUA HÀNG'!$A$4:$AT$4, 0)) = $B47) * (TRIM(INDEX('6. TIẾN ĐỘ MUA HÀNG'!$A$5:$AT644, 0, XMATCH("Tháng", '6. TIẾN ĐỘ MUA HÀNG'!$A$4:$AT$4, 0))) = TRIM(O$6)) * (INDEX('6. TIẾN ĐỘ MUA HÀNG'!$A$5:$AT644, 0, XMATCH("CL NGÀY NCC DỰ KIẾN - NGÀY NHẬN HÀNG", '6. TIẾN ĐỘ MUA HÀNG'!$A$4:$AT$4, 0)) &lt; 0)
)</f>
        <v>0</v>
      </c>
      <c r="Q47" s="755">
        <f t="shared" si="31"/>
        <v>0</v>
      </c>
      <c r="R47" s="756">
        <f t="array" ref="R47">SUMPRODUCT((TRIM(INDEX('6. TIẾN ĐỘ MUA HÀNG'!$A$5:$AT644, 0, XMATCH("NCC VTBB/NL trong nước", '6. TIẾN ĐỘ MUA HÀNG'!$A$4:$AT$4, 0))) = TRIM($B47)) * (TRIM(INDEX('6. TIẾN ĐỘ MUA HÀNG'!$A$5:$AT644, 0, XMATCH("Tháng", '6. TIẾN ĐỘ MUA HÀNG'!$A$4:$AT$4, 0))) = TRIM(R$6)) * (INDEX('6. TIẾN ĐỘ MUA HÀNG'!$A$5:$AT644, 0, XMATCH("Mã đơn Misa", '6. TIẾN ĐỘ MUA HÀNG'!$A$4:$AT$4, 0)) &lt;&gt; ""))</f>
        <v>0</v>
      </c>
      <c r="S47" s="756">
        <f t="array" ref="S47">SUMPRODUCT(
  (INDEX('6. TIẾN ĐỘ MUA HÀNG'!$A$5:$AT644, 0, XMATCH("NCC VTBB/NL trong nước", '6. TIẾN ĐỘ MUA HÀNG'!$A$4:$AT$4, 0)) = $B47) * (TRIM(INDEX('6. TIẾN ĐỘ MUA HÀNG'!$A$5:$AT644, 0, XMATCH("Tháng", '6. TIẾN ĐỘ MUA HÀNG'!$A$4:$AT$4, 0))) = TRIM(R$6)) * (INDEX('6. TIẾN ĐỘ MUA HÀNG'!$A$5:$AT644, 0, XMATCH("CL NGÀY NCC DỰ KIẾN - NGÀY NHẬN HÀNG", '6. TIẾN ĐỘ MUA HÀNG'!$A$4:$AT$4, 0)) &lt; 0)
)</f>
        <v>0</v>
      </c>
      <c r="T47" s="757">
        <f t="shared" si="19"/>
        <v>0</v>
      </c>
      <c r="U47" s="754">
        <f t="array" ref="U47">SUMPRODUCT((TRIM(INDEX('6. TIẾN ĐỘ MUA HÀNG'!$A$5:$AT644, 0, XMATCH("NCC VTBB/NL trong nước", '6. TIẾN ĐỘ MUA HÀNG'!$A$4:$AT$4, 0))) = TRIM($B47)) * (TRIM(INDEX('6. TIẾN ĐỘ MUA HÀNG'!$A$5:$AT644, 0, XMATCH("Tháng", '6. TIẾN ĐỘ MUA HÀNG'!$A$4:$AT$4, 0))) = TRIM(U$6)) * (INDEX('6. TIẾN ĐỘ MUA HÀNG'!$A$5:$AT644, 0, XMATCH("Mã đơn Misa", '6. TIẾN ĐỘ MUA HÀNG'!$A$4:$AT$4, 0)) &lt;&gt; ""))</f>
        <v>0</v>
      </c>
      <c r="V47" s="754">
        <f t="array" ref="V47">SUMPRODUCT(
  (INDEX('6. TIẾN ĐỘ MUA HÀNG'!$A$5:$AT644, 0, XMATCH("NCC VTBB/NL trong nước", '6. TIẾN ĐỘ MUA HÀNG'!$A$4:$AT$4, 0)) = $B47) * (TRIM(INDEX('6. TIẾN ĐỘ MUA HÀNG'!$A$5:$AT644, 0, XMATCH("Tháng", '6. TIẾN ĐỘ MUA HÀNG'!$A$4:$AT$4, 0))) = TRIM(U$6)) * (INDEX('6. TIẾN ĐỘ MUA HÀNG'!$A$5:$AT644, 0, XMATCH("CL NGÀY NCC DỰ KIẾN - NGÀY NHẬN HÀNG", '6. TIẾN ĐỘ MUA HÀNG'!$A$4:$AT$4, 0)) &lt; 0)
)</f>
        <v>0</v>
      </c>
      <c r="W47" s="755">
        <f t="shared" si="32"/>
        <v>0</v>
      </c>
      <c r="X47" s="756">
        <f t="array" ref="X47">SUMPRODUCT((TRIM(INDEX('6. TIẾN ĐỘ MUA HÀNG'!$A$5:$AT644, 0, XMATCH("NCC VTBB/NL trong nước", '6. TIẾN ĐỘ MUA HÀNG'!$A$4:$AT$4, 0))) = TRIM($B47)) * (TRIM(INDEX('6. TIẾN ĐỘ MUA HÀNG'!$A$5:$AT644, 0, XMATCH("Tháng", '6. TIẾN ĐỘ MUA HÀNG'!$A$4:$AT$4, 0))) = TRIM(X$6)) * (INDEX('6. TIẾN ĐỘ MUA HÀNG'!$A$5:$AT644, 0, XMATCH("Mã đơn Misa", '6. TIẾN ĐỘ MUA HÀNG'!$A$4:$AT$4, 0)) &lt;&gt; ""))</f>
        <v>0</v>
      </c>
      <c r="Y47" s="756">
        <f t="array" ref="Y47">SUMPRODUCT(
  (INDEX('6. TIẾN ĐỘ MUA HÀNG'!$A$5:$AT644, 0, XMATCH("NCC VTBB/NL trong nước", '6. TIẾN ĐỘ MUA HÀNG'!$A$4:$AT$4, 0)) = $B47) * (TRIM(INDEX('6. TIẾN ĐỘ MUA HÀNG'!$A$5:$AT644, 0, XMATCH("Tháng", '6. TIẾN ĐỘ MUA HÀNG'!$A$4:$AT$4, 0))) = TRIM(X$6)) * (INDEX('6. TIẾN ĐỘ MUA HÀNG'!$A$5:$AT644, 0, XMATCH("CL NGÀY NCC DỰ KIẾN - NGÀY NHẬN HÀNG", '6. TIẾN ĐỘ MUA HÀNG'!$A$4:$AT$4, 0)) &lt; 0)
)</f>
        <v>0</v>
      </c>
      <c r="Z47" s="757">
        <f t="shared" si="21"/>
        <v>0</v>
      </c>
      <c r="AA47" s="754">
        <f t="array" ref="AA47">SUMPRODUCT((TRIM(INDEX('6. TIẾN ĐỘ MUA HÀNG'!$A$5:$AT644, 0, XMATCH("NCC VTBB/NL trong nước", '6. TIẾN ĐỘ MUA HÀNG'!$A$4:$AT$4, 0))) = TRIM($B47)) * (TRIM(INDEX('6. TIẾN ĐỘ MUA HÀNG'!$A$5:$AT644, 0, XMATCH("Tháng", '6. TIẾN ĐỘ MUA HÀNG'!$A$4:$AT$4, 0))) = TRIM(AA$6)) * (INDEX('6. TIẾN ĐỘ MUA HÀNG'!$A$5:$AT644, 0, XMATCH("Mã đơn Misa", '6. TIẾN ĐỘ MUA HÀNG'!$A$4:$AT$4, 0)) &lt;&gt; ""))</f>
        <v>0</v>
      </c>
      <c r="AB47" s="754">
        <f t="array" ref="AB47">SUMPRODUCT(
  (INDEX('6. TIẾN ĐỘ MUA HÀNG'!$A$5:$AT644, 0, XMATCH("NCC VTBB/NL trong nước", '6. TIẾN ĐỘ MUA HÀNG'!$A$4:$AT$4, 0)) = $B47) * (TRIM(INDEX('6. TIẾN ĐỘ MUA HÀNG'!$A$5:$AT644, 0, XMATCH("Tháng", '6. TIẾN ĐỘ MUA HÀNG'!$A$4:$AT$4, 0))) = TRIM(AA$6)) * (INDEX('6. TIẾN ĐỘ MUA HÀNG'!$A$5:$AT644, 0, XMATCH("CL NGÀY NCC DỰ KIẾN - NGÀY NHẬN HÀNG", '6. TIẾN ĐỘ MUA HÀNG'!$A$4:$AT$4, 0)) &lt; 0)
)</f>
        <v>0</v>
      </c>
      <c r="AC47" s="755">
        <f t="shared" si="33"/>
        <v>0</v>
      </c>
      <c r="AD47" s="756">
        <f t="array" ref="AD47">SUMPRODUCT((TRIM(INDEX('6. TIẾN ĐỘ MUA HÀNG'!$A$5:$AT644, 0, XMATCH("NCC VTBB/NL trong nước", '6. TIẾN ĐỘ MUA HÀNG'!$A$4:$AT$4, 0))) = TRIM($B47)) * (TRIM(INDEX('6. TIẾN ĐỘ MUA HÀNG'!$A$5:$AT644, 0, XMATCH("Tháng", '6. TIẾN ĐỘ MUA HÀNG'!$A$4:$AT$4, 0))) = TRIM(AD$6)) * (INDEX('6. TIẾN ĐỘ MUA HÀNG'!$A$5:$AT644, 0, XMATCH("Mã đơn Misa", '6. TIẾN ĐỘ MUA HÀNG'!$A$4:$AT$4, 0)) &lt;&gt; ""))</f>
        <v>0</v>
      </c>
      <c r="AE47" s="756">
        <f t="array" ref="AE47">SUMPRODUCT(
  (INDEX('6. TIẾN ĐỘ MUA HÀNG'!$A$5:$AT644, 0, XMATCH("NCC VTBB/NL trong nước", '6. TIẾN ĐỘ MUA HÀNG'!$A$4:$AT$4, 0)) = $B47) * (TRIM(INDEX('6. TIẾN ĐỘ MUA HÀNG'!$A$5:$AT644, 0, XMATCH("Tháng", '6. TIẾN ĐỘ MUA HÀNG'!$A$4:$AT$4, 0))) = TRIM(AD$6)) * (INDEX('6. TIẾN ĐỘ MUA HÀNG'!$A$5:$AT644, 0, XMATCH("CL NGÀY NCC DỰ KIẾN - NGÀY NHẬN HÀNG", '6. TIẾN ĐỘ MUA HÀNG'!$A$4:$AT$4, 0)) &lt; 0)
)</f>
        <v>0</v>
      </c>
      <c r="AF47" s="757">
        <f t="shared" si="23"/>
        <v>0</v>
      </c>
      <c r="AG47" s="754">
        <f t="array" ref="AG47">SUMPRODUCT((TRIM(INDEX('6. TIẾN ĐỘ MUA HÀNG'!$A$5:$AT644, 0, XMATCH("NCC VTBB/NL trong nước", '6. TIẾN ĐỘ MUA HÀNG'!$A$4:$AT$4, 0))) = TRIM($B47)) * (TRIM(INDEX('6. TIẾN ĐỘ MUA HÀNG'!$A$5:$AT644, 0, XMATCH("Tháng", '6. TIẾN ĐỘ MUA HÀNG'!$A$4:$AT$4, 0))) = TRIM(AG$6)) * (INDEX('6. TIẾN ĐỘ MUA HÀNG'!$A$5:$AT644, 0, XMATCH("Mã đơn Misa", '6. TIẾN ĐỘ MUA HÀNG'!$A$4:$AT$4, 0)) &lt;&gt; ""))</f>
        <v>0</v>
      </c>
      <c r="AH47" s="754">
        <f t="array" ref="AH47">SUMPRODUCT(
  (INDEX('6. TIẾN ĐỘ MUA HÀNG'!$A$5:$AT644, 0, XMATCH("NCC VTBB/NL trong nước", '6. TIẾN ĐỘ MUA HÀNG'!$A$4:$AT$4, 0)) = $B47) * (TRIM(INDEX('6. TIẾN ĐỘ MUA HÀNG'!$A$5:$AT644, 0, XMATCH("Tháng", '6. TIẾN ĐỘ MUA HÀNG'!$A$4:$AT$4, 0))) = TRIM(AG$6)) * (INDEX('6. TIẾN ĐỘ MUA HÀNG'!$A$5:$AT644, 0, XMATCH("CL NGÀY NCC DỰ KIẾN - NGÀY NHẬN HÀNG", '6. TIẾN ĐỘ MUA HÀNG'!$A$4:$AT$4, 0)) &lt; 0)
)</f>
        <v>0</v>
      </c>
      <c r="AI47" s="755">
        <f t="shared" si="34"/>
        <v>0</v>
      </c>
      <c r="AJ47" s="756">
        <f t="array" ref="AJ47">SUMPRODUCT((TRIM(INDEX('6. TIẾN ĐỘ MUA HÀNG'!$A$5:$AT644, 0, XMATCH("NCC VTBB/NL trong nước", '6. TIẾN ĐỘ MUA HÀNG'!$A$4:$AT$4, 0))) = TRIM($B47)) * (TRIM(INDEX('6. TIẾN ĐỘ MUA HÀNG'!$A$5:$AT644, 0, XMATCH("Tháng", '6. TIẾN ĐỘ MUA HÀNG'!$A$4:$AT$4, 0))) = TRIM(AJ$6)) * (INDEX('6. TIẾN ĐỘ MUA HÀNG'!$A$5:$AT644, 0, XMATCH("Mã đơn Misa", '6. TIẾN ĐỘ MUA HÀNG'!$A$4:$AT$4, 0)) &lt;&gt; ""))</f>
        <v>0</v>
      </c>
      <c r="AK47" s="756">
        <f t="array" ref="AK47">SUMPRODUCT(
  (INDEX('6. TIẾN ĐỘ MUA HÀNG'!$A$5:$AT644, 0, XMATCH("NCC VTBB/NL trong nước", '6. TIẾN ĐỘ MUA HÀNG'!$A$4:$AT$4, 0)) = $B47) * (TRIM(INDEX('6. TIẾN ĐỘ MUA HÀNG'!$A$5:$AT644, 0, XMATCH("Tháng", '6. TIẾN ĐỘ MUA HÀNG'!$A$4:$AT$4, 0))) = TRIM(AJ$6)) * (INDEX('6. TIẾN ĐỘ MUA HÀNG'!$A$5:$AT644, 0, XMATCH("CL NGÀY NCC DỰ KIẾN - NGÀY NHẬN HÀNG", '6. TIẾN ĐỘ MUA HÀNG'!$A$4:$AT$4, 0)) &lt; 0)
)</f>
        <v>0</v>
      </c>
      <c r="AL47" s="757">
        <f t="shared" si="25"/>
        <v>0</v>
      </c>
      <c r="AM47" s="726">
        <f t="shared" si="27"/>
        <v>0</v>
      </c>
      <c r="AN47" s="726">
        <f t="shared" si="28"/>
        <v>0</v>
      </c>
      <c r="AO47" s="727">
        <f t="shared" si="26"/>
        <v>0</v>
      </c>
    </row>
    <row r="48">
      <c r="A48" s="612">
        <v>40.0</v>
      </c>
      <c r="B48" s="624" t="str">
        <f>IFERROR(__xludf.DUMMYFUNCTION("""COMPUTED_VALUE"""),"Basel Thụy Sĩ")</f>
        <v>Basel Thụy Sĩ</v>
      </c>
      <c r="C48" s="754">
        <f t="array" ref="C48">SUMPRODUCT((TRIM(INDEX('6. TIẾN ĐỘ MUA HÀNG'!$A$5:$AT644, 0, XMATCH("NCC VTBB/NL trong nước", '6. TIẾN ĐỘ MUA HÀNG'!$A$4:$AT$4, 0))) = TRIM($B48)) * (TRIM(INDEX('6. TIẾN ĐỘ MUA HÀNG'!$A$5:$AT644, 0, XMATCH("Tháng", '6. TIẾN ĐỘ MUA HÀNG'!$A$4:$AT$4, 0))) = TRIM(C$6)) * (INDEX('6. TIẾN ĐỘ MUA HÀNG'!$A$5:$AT644, 0, XMATCH("Mã đơn Misa", '6. TIẾN ĐỘ MUA HÀNG'!$A$4:$AT$4, 0)) &lt;&gt; ""))</f>
        <v>0</v>
      </c>
      <c r="D48" s="754">
        <f t="array" ref="D48">SUMPRODUCT(
  (INDEX('6. TIẾN ĐỘ MUA HÀNG'!$A$5:$AT644, 0, XMATCH("NCC VTBB/NL trong nước", '6. TIẾN ĐỘ MUA HÀNG'!$A$4:$AT$4, 0)) = $B48) * (TRIM(INDEX('6. TIẾN ĐỘ MUA HÀNG'!$A$5:$AT644, 0, XMATCH("Tháng", '6. TIẾN ĐỘ MUA HÀNG'!$A$4:$AT$4, 0))) = TRIM(C$6)) * (INDEX('6. TIẾN ĐỘ MUA HÀNG'!$A$5:$AT644, 0, XMATCH("CL NGÀY NCC DỰ KIẾN - NGÀY NHẬN HÀNG", '6. TIẾN ĐỘ MUA HÀNG'!$A$4:$AT$4, 0)) &lt; 0)
)</f>
        <v>0</v>
      </c>
      <c r="E48" s="755">
        <f t="shared" si="29"/>
        <v>0</v>
      </c>
      <c r="F48" s="756">
        <f t="array" ref="F48">SUMPRODUCT((TRIM(INDEX('6. TIẾN ĐỘ MUA HÀNG'!$A$5:$AT644, 0, XMATCH("NCC VTBB/NL trong nước", '6. TIẾN ĐỘ MUA HÀNG'!$A$4:$AT$4, 0))) = TRIM($B48)) * (TRIM(INDEX('6. TIẾN ĐỘ MUA HÀNG'!$A$5:$AT644, 0, XMATCH("Tháng", '6. TIẾN ĐỘ MUA HÀNG'!$A$4:$AT$4, 0))) = TRIM(F$6)) * (INDEX('6. TIẾN ĐỘ MUA HÀNG'!$A$5:$AT644, 0, XMATCH("Mã đơn Misa", '6. TIẾN ĐỘ MUA HÀNG'!$A$4:$AT$4, 0)) &lt;&gt; ""))</f>
        <v>0</v>
      </c>
      <c r="G48" s="756">
        <f t="array" ref="G48">SUMPRODUCT(
  (INDEX('6. TIẾN ĐỘ MUA HÀNG'!$A$5:$AT644, 0, XMATCH("NCC VTBB/NL trong nước", '6. TIẾN ĐỘ MUA HÀNG'!$A$4:$AT$4, 0)) = $B48) * (TRIM(INDEX('6. TIẾN ĐỘ MUA HÀNG'!$A$5:$AT644, 0, XMATCH("Tháng", '6. TIẾN ĐỘ MUA HÀNG'!$A$4:$AT$4, 0))) = TRIM(F$6)) * (INDEX('6. TIẾN ĐỘ MUA HÀNG'!$A$5:$AT644, 0, XMATCH("CL NGÀY NCC DỰ KIẾN - NGÀY NHẬN HÀNG", '6. TIẾN ĐỘ MUA HÀNG'!$A$4:$AT$4, 0)) &lt; 0)
)</f>
        <v>0</v>
      </c>
      <c r="H48" s="757">
        <f t="shared" si="15"/>
        <v>0</v>
      </c>
      <c r="I48" s="754">
        <f t="array" ref="I48">SUMPRODUCT((TRIM(INDEX('6. TIẾN ĐỘ MUA HÀNG'!$A$5:$AT644, 0, XMATCH("NCC VTBB/NL trong nước", '6. TIẾN ĐỘ MUA HÀNG'!$A$4:$AT$4, 0))) = TRIM($B48)) * (TRIM(INDEX('6. TIẾN ĐỘ MUA HÀNG'!$A$5:$AT644, 0, XMATCH("Tháng", '6. TIẾN ĐỘ MUA HÀNG'!$A$4:$AT$4, 0))) = TRIM(I$6)) * (INDEX('6. TIẾN ĐỘ MUA HÀNG'!$A$5:$AT644, 0, XMATCH("Mã đơn Misa", '6. TIẾN ĐỘ MUA HÀNG'!$A$4:$AT$4, 0)) &lt;&gt; ""))</f>
        <v>0</v>
      </c>
      <c r="J48" s="754">
        <f t="array" ref="J48">SUMPRODUCT(
  (INDEX('6. TIẾN ĐỘ MUA HÀNG'!$A$5:$AT644, 0, XMATCH("NCC VTBB/NL trong nước", '6. TIẾN ĐỘ MUA HÀNG'!$A$4:$AT$4, 0)) = $B48) * (TRIM(INDEX('6. TIẾN ĐỘ MUA HÀNG'!$A$5:$AT644, 0, XMATCH("Tháng", '6. TIẾN ĐỘ MUA HÀNG'!$A$4:$AT$4, 0))) = TRIM(I$6)) * (INDEX('6. TIẾN ĐỘ MUA HÀNG'!$A$5:$AT644, 0, XMATCH("CL NGÀY NCC DỰ KIẾN - NGÀY NHẬN HÀNG", '6. TIẾN ĐỘ MUA HÀNG'!$A$4:$AT$4, 0)) &lt; 0)
)</f>
        <v>0</v>
      </c>
      <c r="K48" s="755">
        <f t="shared" si="30"/>
        <v>0</v>
      </c>
      <c r="L48" s="756">
        <f t="array" ref="L48">SUMPRODUCT((TRIM(INDEX('6. TIẾN ĐỘ MUA HÀNG'!$A$5:$AT644, 0, XMATCH("NCC VTBB/NL trong nước", '6. TIẾN ĐỘ MUA HÀNG'!$A$4:$AT$4, 0))) = TRIM($B48)) * (TRIM(INDEX('6. TIẾN ĐỘ MUA HÀNG'!$A$5:$AT644, 0, XMATCH("Tháng", '6. TIẾN ĐỘ MUA HÀNG'!$A$4:$AT$4, 0))) = TRIM(L$6)) * (INDEX('6. TIẾN ĐỘ MUA HÀNG'!$A$5:$AT644, 0, XMATCH("Mã đơn Misa", '6. TIẾN ĐỘ MUA HÀNG'!$A$4:$AT$4, 0)) &lt;&gt; ""))</f>
        <v>0</v>
      </c>
      <c r="M48" s="756">
        <f t="array" ref="M48">SUMPRODUCT(
  (INDEX('6. TIẾN ĐỘ MUA HÀNG'!$A$5:$AT644, 0, XMATCH("NCC VTBB/NL trong nước", '6. TIẾN ĐỘ MUA HÀNG'!$A$4:$AT$4, 0)) = $B48) * (TRIM(INDEX('6. TIẾN ĐỘ MUA HÀNG'!$A$5:$AT644, 0, XMATCH("Tháng", '6. TIẾN ĐỘ MUA HÀNG'!$A$4:$AT$4, 0))) = TRIM(L$6)) * (INDEX('6. TIẾN ĐỘ MUA HÀNG'!$A$5:$AT644, 0, XMATCH("CL NGÀY NCC DỰ KIẾN - NGÀY NHẬN HÀNG", '6. TIẾN ĐỘ MUA HÀNG'!$A$4:$AT$4, 0)) &lt; 0)
)</f>
        <v>0</v>
      </c>
      <c r="N48" s="757">
        <f t="shared" si="17"/>
        <v>0</v>
      </c>
      <c r="O48" s="754">
        <f t="array" ref="O48">SUMPRODUCT((TRIM(INDEX('6. TIẾN ĐỘ MUA HÀNG'!$A$5:$AT644, 0, XMATCH("NCC VTBB/NL trong nước", '6. TIẾN ĐỘ MUA HÀNG'!$A$4:$AT$4, 0))) = TRIM($B48)) * (TRIM(INDEX('6. TIẾN ĐỘ MUA HÀNG'!$A$5:$AT644, 0, XMATCH("Tháng", '6. TIẾN ĐỘ MUA HÀNG'!$A$4:$AT$4, 0))) = TRIM(O$6)) * (INDEX('6. TIẾN ĐỘ MUA HÀNG'!$A$5:$AT644, 0, XMATCH("Mã đơn Misa", '6. TIẾN ĐỘ MUA HÀNG'!$A$4:$AT$4, 0)) &lt;&gt; ""))</f>
        <v>0</v>
      </c>
      <c r="P48" s="754">
        <f t="array" ref="P48">SUMPRODUCT(
  (INDEX('6. TIẾN ĐỘ MUA HÀNG'!$A$5:$AT644, 0, XMATCH("NCC VTBB/NL trong nước", '6. TIẾN ĐỘ MUA HÀNG'!$A$4:$AT$4, 0)) = $B48) * (TRIM(INDEX('6. TIẾN ĐỘ MUA HÀNG'!$A$5:$AT644, 0, XMATCH("Tháng", '6. TIẾN ĐỘ MUA HÀNG'!$A$4:$AT$4, 0))) = TRIM(O$6)) * (INDEX('6. TIẾN ĐỘ MUA HÀNG'!$A$5:$AT644, 0, XMATCH("CL NGÀY NCC DỰ KIẾN - NGÀY NHẬN HÀNG", '6. TIẾN ĐỘ MUA HÀNG'!$A$4:$AT$4, 0)) &lt; 0)
)</f>
        <v>0</v>
      </c>
      <c r="Q48" s="755">
        <f t="shared" si="31"/>
        <v>0</v>
      </c>
      <c r="R48" s="756">
        <f t="array" ref="R48">SUMPRODUCT((TRIM(INDEX('6. TIẾN ĐỘ MUA HÀNG'!$A$5:$AT644, 0, XMATCH("NCC VTBB/NL trong nước", '6. TIẾN ĐỘ MUA HÀNG'!$A$4:$AT$4, 0))) = TRIM($B48)) * (TRIM(INDEX('6. TIẾN ĐỘ MUA HÀNG'!$A$5:$AT644, 0, XMATCH("Tháng", '6. TIẾN ĐỘ MUA HÀNG'!$A$4:$AT$4, 0))) = TRIM(R$6)) * (INDEX('6. TIẾN ĐỘ MUA HÀNG'!$A$5:$AT644, 0, XMATCH("Mã đơn Misa", '6. TIẾN ĐỘ MUA HÀNG'!$A$4:$AT$4, 0)) &lt;&gt; ""))</f>
        <v>0</v>
      </c>
      <c r="S48" s="756">
        <f t="array" ref="S48">SUMPRODUCT(
  (INDEX('6. TIẾN ĐỘ MUA HÀNG'!$A$5:$AT644, 0, XMATCH("NCC VTBB/NL trong nước", '6. TIẾN ĐỘ MUA HÀNG'!$A$4:$AT$4, 0)) = $B48) * (TRIM(INDEX('6. TIẾN ĐỘ MUA HÀNG'!$A$5:$AT644, 0, XMATCH("Tháng", '6. TIẾN ĐỘ MUA HÀNG'!$A$4:$AT$4, 0))) = TRIM(R$6)) * (INDEX('6. TIẾN ĐỘ MUA HÀNG'!$A$5:$AT644, 0, XMATCH("CL NGÀY NCC DỰ KIẾN - NGÀY NHẬN HÀNG", '6. TIẾN ĐỘ MUA HÀNG'!$A$4:$AT$4, 0)) &lt; 0)
)</f>
        <v>0</v>
      </c>
      <c r="T48" s="757">
        <f t="shared" si="19"/>
        <v>0</v>
      </c>
      <c r="U48" s="754">
        <f t="array" ref="U48">SUMPRODUCT((TRIM(INDEX('6. TIẾN ĐỘ MUA HÀNG'!$A$5:$AT644, 0, XMATCH("NCC VTBB/NL trong nước", '6. TIẾN ĐỘ MUA HÀNG'!$A$4:$AT$4, 0))) = TRIM($B48)) * (TRIM(INDEX('6. TIẾN ĐỘ MUA HÀNG'!$A$5:$AT644, 0, XMATCH("Tháng", '6. TIẾN ĐỘ MUA HÀNG'!$A$4:$AT$4, 0))) = TRIM(U$6)) * (INDEX('6. TIẾN ĐỘ MUA HÀNG'!$A$5:$AT644, 0, XMATCH("Mã đơn Misa", '6. TIẾN ĐỘ MUA HÀNG'!$A$4:$AT$4, 0)) &lt;&gt; ""))</f>
        <v>0</v>
      </c>
      <c r="V48" s="754">
        <f t="array" ref="V48">SUMPRODUCT(
  (INDEX('6. TIẾN ĐỘ MUA HÀNG'!$A$5:$AT644, 0, XMATCH("NCC VTBB/NL trong nước", '6. TIẾN ĐỘ MUA HÀNG'!$A$4:$AT$4, 0)) = $B48) * (TRIM(INDEX('6. TIẾN ĐỘ MUA HÀNG'!$A$5:$AT644, 0, XMATCH("Tháng", '6. TIẾN ĐỘ MUA HÀNG'!$A$4:$AT$4, 0))) = TRIM(U$6)) * (INDEX('6. TIẾN ĐỘ MUA HÀNG'!$A$5:$AT644, 0, XMATCH("CL NGÀY NCC DỰ KIẾN - NGÀY NHẬN HÀNG", '6. TIẾN ĐỘ MUA HÀNG'!$A$4:$AT$4, 0)) &lt; 0)
)</f>
        <v>0</v>
      </c>
      <c r="W48" s="755">
        <f t="shared" si="32"/>
        <v>0</v>
      </c>
      <c r="X48" s="756">
        <f t="array" ref="X48">SUMPRODUCT((TRIM(INDEX('6. TIẾN ĐỘ MUA HÀNG'!$A$5:$AT644, 0, XMATCH("NCC VTBB/NL trong nước", '6. TIẾN ĐỘ MUA HÀNG'!$A$4:$AT$4, 0))) = TRIM($B48)) * (TRIM(INDEX('6. TIẾN ĐỘ MUA HÀNG'!$A$5:$AT644, 0, XMATCH("Tháng", '6. TIẾN ĐỘ MUA HÀNG'!$A$4:$AT$4, 0))) = TRIM(X$6)) * (INDEX('6. TIẾN ĐỘ MUA HÀNG'!$A$5:$AT644, 0, XMATCH("Mã đơn Misa", '6. TIẾN ĐỘ MUA HÀNG'!$A$4:$AT$4, 0)) &lt;&gt; ""))</f>
        <v>0</v>
      </c>
      <c r="Y48" s="756">
        <f t="array" ref="Y48">SUMPRODUCT(
  (INDEX('6. TIẾN ĐỘ MUA HÀNG'!$A$5:$AT644, 0, XMATCH("NCC VTBB/NL trong nước", '6. TIẾN ĐỘ MUA HÀNG'!$A$4:$AT$4, 0)) = $B48) * (TRIM(INDEX('6. TIẾN ĐỘ MUA HÀNG'!$A$5:$AT644, 0, XMATCH("Tháng", '6. TIẾN ĐỘ MUA HÀNG'!$A$4:$AT$4, 0))) = TRIM(X$6)) * (INDEX('6. TIẾN ĐỘ MUA HÀNG'!$A$5:$AT644, 0, XMATCH("CL NGÀY NCC DỰ KIẾN - NGÀY NHẬN HÀNG", '6. TIẾN ĐỘ MUA HÀNG'!$A$4:$AT$4, 0)) &lt; 0)
)</f>
        <v>0</v>
      </c>
      <c r="Z48" s="757">
        <f t="shared" si="21"/>
        <v>0</v>
      </c>
      <c r="AA48" s="754">
        <f t="array" ref="AA48">SUMPRODUCT((TRIM(INDEX('6. TIẾN ĐỘ MUA HÀNG'!$A$5:$AT644, 0, XMATCH("NCC VTBB/NL trong nước", '6. TIẾN ĐỘ MUA HÀNG'!$A$4:$AT$4, 0))) = TRIM($B48)) * (TRIM(INDEX('6. TIẾN ĐỘ MUA HÀNG'!$A$5:$AT644, 0, XMATCH("Tháng", '6. TIẾN ĐỘ MUA HÀNG'!$A$4:$AT$4, 0))) = TRIM(AA$6)) * (INDEX('6. TIẾN ĐỘ MUA HÀNG'!$A$5:$AT644, 0, XMATCH("Mã đơn Misa", '6. TIẾN ĐỘ MUA HÀNG'!$A$4:$AT$4, 0)) &lt;&gt; ""))</f>
        <v>0</v>
      </c>
      <c r="AB48" s="754">
        <f t="array" ref="AB48">SUMPRODUCT(
  (INDEX('6. TIẾN ĐỘ MUA HÀNG'!$A$5:$AT644, 0, XMATCH("NCC VTBB/NL trong nước", '6. TIẾN ĐỘ MUA HÀNG'!$A$4:$AT$4, 0)) = $B48) * (TRIM(INDEX('6. TIẾN ĐỘ MUA HÀNG'!$A$5:$AT644, 0, XMATCH("Tháng", '6. TIẾN ĐỘ MUA HÀNG'!$A$4:$AT$4, 0))) = TRIM(AA$6)) * (INDEX('6. TIẾN ĐỘ MUA HÀNG'!$A$5:$AT644, 0, XMATCH("CL NGÀY NCC DỰ KIẾN - NGÀY NHẬN HÀNG", '6. TIẾN ĐỘ MUA HÀNG'!$A$4:$AT$4, 0)) &lt; 0)
)</f>
        <v>0</v>
      </c>
      <c r="AC48" s="755">
        <f t="shared" si="33"/>
        <v>0</v>
      </c>
      <c r="AD48" s="756">
        <f t="array" ref="AD48">SUMPRODUCT((TRIM(INDEX('6. TIẾN ĐỘ MUA HÀNG'!$A$5:$AT644, 0, XMATCH("NCC VTBB/NL trong nước", '6. TIẾN ĐỘ MUA HÀNG'!$A$4:$AT$4, 0))) = TRIM($B48)) * (TRIM(INDEX('6. TIẾN ĐỘ MUA HÀNG'!$A$5:$AT644, 0, XMATCH("Tháng", '6. TIẾN ĐỘ MUA HÀNG'!$A$4:$AT$4, 0))) = TRIM(AD$6)) * (INDEX('6. TIẾN ĐỘ MUA HÀNG'!$A$5:$AT644, 0, XMATCH("Mã đơn Misa", '6. TIẾN ĐỘ MUA HÀNG'!$A$4:$AT$4, 0)) &lt;&gt; ""))</f>
        <v>0</v>
      </c>
      <c r="AE48" s="756">
        <f t="array" ref="AE48">SUMPRODUCT(
  (INDEX('6. TIẾN ĐỘ MUA HÀNG'!$A$5:$AT644, 0, XMATCH("NCC VTBB/NL trong nước", '6. TIẾN ĐỘ MUA HÀNG'!$A$4:$AT$4, 0)) = $B48) * (TRIM(INDEX('6. TIẾN ĐỘ MUA HÀNG'!$A$5:$AT644, 0, XMATCH("Tháng", '6. TIẾN ĐỘ MUA HÀNG'!$A$4:$AT$4, 0))) = TRIM(AD$6)) * (INDEX('6. TIẾN ĐỘ MUA HÀNG'!$A$5:$AT644, 0, XMATCH("CL NGÀY NCC DỰ KIẾN - NGÀY NHẬN HÀNG", '6. TIẾN ĐỘ MUA HÀNG'!$A$4:$AT$4, 0)) &lt; 0)
)</f>
        <v>0</v>
      </c>
      <c r="AF48" s="757">
        <f t="shared" si="23"/>
        <v>0</v>
      </c>
      <c r="AG48" s="754">
        <f t="array" ref="AG48">SUMPRODUCT((TRIM(INDEX('6. TIẾN ĐỘ MUA HÀNG'!$A$5:$AT644, 0, XMATCH("NCC VTBB/NL trong nước", '6. TIẾN ĐỘ MUA HÀNG'!$A$4:$AT$4, 0))) = TRIM($B48)) * (TRIM(INDEX('6. TIẾN ĐỘ MUA HÀNG'!$A$5:$AT644, 0, XMATCH("Tháng", '6. TIẾN ĐỘ MUA HÀNG'!$A$4:$AT$4, 0))) = TRIM(AG$6)) * (INDEX('6. TIẾN ĐỘ MUA HÀNG'!$A$5:$AT644, 0, XMATCH("Mã đơn Misa", '6. TIẾN ĐỘ MUA HÀNG'!$A$4:$AT$4, 0)) &lt;&gt; ""))</f>
        <v>0</v>
      </c>
      <c r="AH48" s="754">
        <f t="array" ref="AH48">SUMPRODUCT(
  (INDEX('6. TIẾN ĐỘ MUA HÀNG'!$A$5:$AT644, 0, XMATCH("NCC VTBB/NL trong nước", '6. TIẾN ĐỘ MUA HÀNG'!$A$4:$AT$4, 0)) = $B48) * (TRIM(INDEX('6. TIẾN ĐỘ MUA HÀNG'!$A$5:$AT644, 0, XMATCH("Tháng", '6. TIẾN ĐỘ MUA HÀNG'!$A$4:$AT$4, 0))) = TRIM(AG$6)) * (INDEX('6. TIẾN ĐỘ MUA HÀNG'!$A$5:$AT644, 0, XMATCH("CL NGÀY NCC DỰ KIẾN - NGÀY NHẬN HÀNG", '6. TIẾN ĐỘ MUA HÀNG'!$A$4:$AT$4, 0)) &lt; 0)
)</f>
        <v>0</v>
      </c>
      <c r="AI48" s="755">
        <f t="shared" si="34"/>
        <v>0</v>
      </c>
      <c r="AJ48" s="756">
        <f t="array" ref="AJ48">SUMPRODUCT((TRIM(INDEX('6. TIẾN ĐỘ MUA HÀNG'!$A$5:$AT644, 0, XMATCH("NCC VTBB/NL trong nước", '6. TIẾN ĐỘ MUA HÀNG'!$A$4:$AT$4, 0))) = TRIM($B48)) * (TRIM(INDEX('6. TIẾN ĐỘ MUA HÀNG'!$A$5:$AT644, 0, XMATCH("Tháng", '6. TIẾN ĐỘ MUA HÀNG'!$A$4:$AT$4, 0))) = TRIM(AJ$6)) * (INDEX('6. TIẾN ĐỘ MUA HÀNG'!$A$5:$AT644, 0, XMATCH("Mã đơn Misa", '6. TIẾN ĐỘ MUA HÀNG'!$A$4:$AT$4, 0)) &lt;&gt; ""))</f>
        <v>0</v>
      </c>
      <c r="AK48" s="756">
        <f t="array" ref="AK48">SUMPRODUCT(
  (INDEX('6. TIẾN ĐỘ MUA HÀNG'!$A$5:$AT644, 0, XMATCH("NCC VTBB/NL trong nước", '6. TIẾN ĐỘ MUA HÀNG'!$A$4:$AT$4, 0)) = $B48) * (TRIM(INDEX('6. TIẾN ĐỘ MUA HÀNG'!$A$5:$AT644, 0, XMATCH("Tháng", '6. TIẾN ĐỘ MUA HÀNG'!$A$4:$AT$4, 0))) = TRIM(AJ$6)) * (INDEX('6. TIẾN ĐỘ MUA HÀNG'!$A$5:$AT644, 0, XMATCH("CL NGÀY NCC DỰ KIẾN - NGÀY NHẬN HÀNG", '6. TIẾN ĐỘ MUA HÀNG'!$A$4:$AT$4, 0)) &lt; 0)
)</f>
        <v>0</v>
      </c>
      <c r="AL48" s="757">
        <f t="shared" si="25"/>
        <v>0</v>
      </c>
      <c r="AM48" s="726">
        <f t="shared" si="27"/>
        <v>0</v>
      </c>
      <c r="AN48" s="726">
        <f t="shared" si="28"/>
        <v>0</v>
      </c>
      <c r="AO48" s="727">
        <f t="shared" si="26"/>
        <v>0</v>
      </c>
    </row>
    <row r="49">
      <c r="A49" s="612">
        <v>41.0</v>
      </c>
      <c r="B49" s="624" t="str">
        <f>IFERROR(__xludf.DUMMYFUNCTION("""COMPUTED_VALUE"""),"Thiên Nhiên Xanh")</f>
        <v>Thiên Nhiên Xanh</v>
      </c>
      <c r="C49" s="754">
        <f t="array" ref="C49">SUMPRODUCT((TRIM(INDEX('6. TIẾN ĐỘ MUA HÀNG'!$A$5:$AT644, 0, XMATCH("NCC VTBB/NL trong nước", '6. TIẾN ĐỘ MUA HÀNG'!$A$4:$AT$4, 0))) = TRIM($B49)) * (TRIM(INDEX('6. TIẾN ĐỘ MUA HÀNG'!$A$5:$AT644, 0, XMATCH("Tháng", '6. TIẾN ĐỘ MUA HÀNG'!$A$4:$AT$4, 0))) = TRIM(C$6)) * (INDEX('6. TIẾN ĐỘ MUA HÀNG'!$A$5:$AT644, 0, XMATCH("Mã đơn Misa", '6. TIẾN ĐỘ MUA HÀNG'!$A$4:$AT$4, 0)) &lt;&gt; ""))</f>
        <v>0</v>
      </c>
      <c r="D49" s="754">
        <f t="array" ref="D49">SUMPRODUCT(
  (INDEX('6. TIẾN ĐỘ MUA HÀNG'!$A$5:$AT644, 0, XMATCH("NCC VTBB/NL trong nước", '6. TIẾN ĐỘ MUA HÀNG'!$A$4:$AT$4, 0)) = $B49) * (TRIM(INDEX('6. TIẾN ĐỘ MUA HÀNG'!$A$5:$AT644, 0, XMATCH("Tháng", '6. TIẾN ĐỘ MUA HÀNG'!$A$4:$AT$4, 0))) = TRIM(C$6)) * (INDEX('6. TIẾN ĐỘ MUA HÀNG'!$A$5:$AT644, 0, XMATCH("CL NGÀY NCC DỰ KIẾN - NGÀY NHẬN HÀNG", '6. TIẾN ĐỘ MUA HÀNG'!$A$4:$AT$4, 0)) &lt; 0)
)</f>
        <v>0</v>
      </c>
      <c r="E49" s="755">
        <f t="shared" si="29"/>
        <v>0</v>
      </c>
      <c r="F49" s="756">
        <f t="array" ref="F49">SUMPRODUCT((TRIM(INDEX('6. TIẾN ĐỘ MUA HÀNG'!$A$5:$AT644, 0, XMATCH("NCC VTBB/NL trong nước", '6. TIẾN ĐỘ MUA HÀNG'!$A$4:$AT$4, 0))) = TRIM($B49)) * (TRIM(INDEX('6. TIẾN ĐỘ MUA HÀNG'!$A$5:$AT644, 0, XMATCH("Tháng", '6. TIẾN ĐỘ MUA HÀNG'!$A$4:$AT$4, 0))) = TRIM(F$6)) * (INDEX('6. TIẾN ĐỘ MUA HÀNG'!$A$5:$AT644, 0, XMATCH("Mã đơn Misa", '6. TIẾN ĐỘ MUA HÀNG'!$A$4:$AT$4, 0)) &lt;&gt; ""))</f>
        <v>0</v>
      </c>
      <c r="G49" s="756">
        <f t="array" ref="G49">SUMPRODUCT(
  (INDEX('6. TIẾN ĐỘ MUA HÀNG'!$A$5:$AT644, 0, XMATCH("NCC VTBB/NL trong nước", '6. TIẾN ĐỘ MUA HÀNG'!$A$4:$AT$4, 0)) = $B49) * (TRIM(INDEX('6. TIẾN ĐỘ MUA HÀNG'!$A$5:$AT644, 0, XMATCH("Tháng", '6. TIẾN ĐỘ MUA HÀNG'!$A$4:$AT$4, 0))) = TRIM(F$6)) * (INDEX('6. TIẾN ĐỘ MUA HÀNG'!$A$5:$AT644, 0, XMATCH("CL NGÀY NCC DỰ KIẾN - NGÀY NHẬN HÀNG", '6. TIẾN ĐỘ MUA HÀNG'!$A$4:$AT$4, 0)) &lt; 0)
)</f>
        <v>0</v>
      </c>
      <c r="H49" s="757">
        <f t="shared" si="15"/>
        <v>0</v>
      </c>
      <c r="I49" s="754">
        <f t="array" ref="I49">SUMPRODUCT((TRIM(INDEX('6. TIẾN ĐỘ MUA HÀNG'!$A$5:$AT644, 0, XMATCH("NCC VTBB/NL trong nước", '6. TIẾN ĐỘ MUA HÀNG'!$A$4:$AT$4, 0))) = TRIM($B49)) * (TRIM(INDEX('6. TIẾN ĐỘ MUA HÀNG'!$A$5:$AT644, 0, XMATCH("Tháng", '6. TIẾN ĐỘ MUA HÀNG'!$A$4:$AT$4, 0))) = TRIM(I$6)) * (INDEX('6. TIẾN ĐỘ MUA HÀNG'!$A$5:$AT644, 0, XMATCH("Mã đơn Misa", '6. TIẾN ĐỘ MUA HÀNG'!$A$4:$AT$4, 0)) &lt;&gt; ""))</f>
        <v>0</v>
      </c>
      <c r="J49" s="754">
        <f t="array" ref="J49">SUMPRODUCT(
  (INDEX('6. TIẾN ĐỘ MUA HÀNG'!$A$5:$AT644, 0, XMATCH("NCC VTBB/NL trong nước", '6. TIẾN ĐỘ MUA HÀNG'!$A$4:$AT$4, 0)) = $B49) * (TRIM(INDEX('6. TIẾN ĐỘ MUA HÀNG'!$A$5:$AT644, 0, XMATCH("Tháng", '6. TIẾN ĐỘ MUA HÀNG'!$A$4:$AT$4, 0))) = TRIM(I$6)) * (INDEX('6. TIẾN ĐỘ MUA HÀNG'!$A$5:$AT644, 0, XMATCH("CL NGÀY NCC DỰ KIẾN - NGÀY NHẬN HÀNG", '6. TIẾN ĐỘ MUA HÀNG'!$A$4:$AT$4, 0)) &lt; 0)
)</f>
        <v>0</v>
      </c>
      <c r="K49" s="755">
        <f t="shared" si="30"/>
        <v>0</v>
      </c>
      <c r="L49" s="756">
        <f t="array" ref="L49">SUMPRODUCT((TRIM(INDEX('6. TIẾN ĐỘ MUA HÀNG'!$A$5:$AT644, 0, XMATCH("NCC VTBB/NL trong nước", '6. TIẾN ĐỘ MUA HÀNG'!$A$4:$AT$4, 0))) = TRIM($B49)) * (TRIM(INDEX('6. TIẾN ĐỘ MUA HÀNG'!$A$5:$AT644, 0, XMATCH("Tháng", '6. TIẾN ĐỘ MUA HÀNG'!$A$4:$AT$4, 0))) = TRIM(L$6)) * (INDEX('6. TIẾN ĐỘ MUA HÀNG'!$A$5:$AT644, 0, XMATCH("Mã đơn Misa", '6. TIẾN ĐỘ MUA HÀNG'!$A$4:$AT$4, 0)) &lt;&gt; ""))</f>
        <v>0</v>
      </c>
      <c r="M49" s="756">
        <f t="array" ref="M49">SUMPRODUCT(
  (INDEX('6. TIẾN ĐỘ MUA HÀNG'!$A$5:$AT644, 0, XMATCH("NCC VTBB/NL trong nước", '6. TIẾN ĐỘ MUA HÀNG'!$A$4:$AT$4, 0)) = $B49) * (TRIM(INDEX('6. TIẾN ĐỘ MUA HÀNG'!$A$5:$AT644, 0, XMATCH("Tháng", '6. TIẾN ĐỘ MUA HÀNG'!$A$4:$AT$4, 0))) = TRIM(L$6)) * (INDEX('6. TIẾN ĐỘ MUA HÀNG'!$A$5:$AT644, 0, XMATCH("CL NGÀY NCC DỰ KIẾN - NGÀY NHẬN HÀNG", '6. TIẾN ĐỘ MUA HÀNG'!$A$4:$AT$4, 0)) &lt; 0)
)</f>
        <v>0</v>
      </c>
      <c r="N49" s="757">
        <f t="shared" si="17"/>
        <v>0</v>
      </c>
      <c r="O49" s="754">
        <f t="array" ref="O49">SUMPRODUCT((TRIM(INDEX('6. TIẾN ĐỘ MUA HÀNG'!$A$5:$AT644, 0, XMATCH("NCC VTBB/NL trong nước", '6. TIẾN ĐỘ MUA HÀNG'!$A$4:$AT$4, 0))) = TRIM($B49)) * (TRIM(INDEX('6. TIẾN ĐỘ MUA HÀNG'!$A$5:$AT644, 0, XMATCH("Tháng", '6. TIẾN ĐỘ MUA HÀNG'!$A$4:$AT$4, 0))) = TRIM(O$6)) * (INDEX('6. TIẾN ĐỘ MUA HÀNG'!$A$5:$AT644, 0, XMATCH("Mã đơn Misa", '6. TIẾN ĐỘ MUA HÀNG'!$A$4:$AT$4, 0)) &lt;&gt; ""))</f>
        <v>0</v>
      </c>
      <c r="P49" s="754">
        <f t="array" ref="P49">SUMPRODUCT(
  (INDEX('6. TIẾN ĐỘ MUA HÀNG'!$A$5:$AT644, 0, XMATCH("NCC VTBB/NL trong nước", '6. TIẾN ĐỘ MUA HÀNG'!$A$4:$AT$4, 0)) = $B49) * (TRIM(INDEX('6. TIẾN ĐỘ MUA HÀNG'!$A$5:$AT644, 0, XMATCH("Tháng", '6. TIẾN ĐỘ MUA HÀNG'!$A$4:$AT$4, 0))) = TRIM(O$6)) * (INDEX('6. TIẾN ĐỘ MUA HÀNG'!$A$5:$AT644, 0, XMATCH("CL NGÀY NCC DỰ KIẾN - NGÀY NHẬN HÀNG", '6. TIẾN ĐỘ MUA HÀNG'!$A$4:$AT$4, 0)) &lt; 0)
)</f>
        <v>0</v>
      </c>
      <c r="Q49" s="755">
        <f t="shared" si="31"/>
        <v>0</v>
      </c>
      <c r="R49" s="756">
        <f t="array" ref="R49">SUMPRODUCT((TRIM(INDEX('6. TIẾN ĐỘ MUA HÀNG'!$A$5:$AT644, 0, XMATCH("NCC VTBB/NL trong nước", '6. TIẾN ĐỘ MUA HÀNG'!$A$4:$AT$4, 0))) = TRIM($B49)) * (TRIM(INDEX('6. TIẾN ĐỘ MUA HÀNG'!$A$5:$AT644, 0, XMATCH("Tháng", '6. TIẾN ĐỘ MUA HÀNG'!$A$4:$AT$4, 0))) = TRIM(R$6)) * (INDEX('6. TIẾN ĐỘ MUA HÀNG'!$A$5:$AT644, 0, XMATCH("Mã đơn Misa", '6. TIẾN ĐỘ MUA HÀNG'!$A$4:$AT$4, 0)) &lt;&gt; ""))</f>
        <v>0</v>
      </c>
      <c r="S49" s="756">
        <f t="array" ref="S49">SUMPRODUCT(
  (INDEX('6. TIẾN ĐỘ MUA HÀNG'!$A$5:$AT644, 0, XMATCH("NCC VTBB/NL trong nước", '6. TIẾN ĐỘ MUA HÀNG'!$A$4:$AT$4, 0)) = $B49) * (TRIM(INDEX('6. TIẾN ĐỘ MUA HÀNG'!$A$5:$AT644, 0, XMATCH("Tháng", '6. TIẾN ĐỘ MUA HÀNG'!$A$4:$AT$4, 0))) = TRIM(R$6)) * (INDEX('6. TIẾN ĐỘ MUA HÀNG'!$A$5:$AT644, 0, XMATCH("CL NGÀY NCC DỰ KIẾN - NGÀY NHẬN HÀNG", '6. TIẾN ĐỘ MUA HÀNG'!$A$4:$AT$4, 0)) &lt; 0)
)</f>
        <v>0</v>
      </c>
      <c r="T49" s="757">
        <f t="shared" si="19"/>
        <v>0</v>
      </c>
      <c r="U49" s="754">
        <f t="array" ref="U49">SUMPRODUCT((TRIM(INDEX('6. TIẾN ĐỘ MUA HÀNG'!$A$5:$AT644, 0, XMATCH("NCC VTBB/NL trong nước", '6. TIẾN ĐỘ MUA HÀNG'!$A$4:$AT$4, 0))) = TRIM($B49)) * (TRIM(INDEX('6. TIẾN ĐỘ MUA HÀNG'!$A$5:$AT644, 0, XMATCH("Tháng", '6. TIẾN ĐỘ MUA HÀNG'!$A$4:$AT$4, 0))) = TRIM(U$6)) * (INDEX('6. TIẾN ĐỘ MUA HÀNG'!$A$5:$AT644, 0, XMATCH("Mã đơn Misa", '6. TIẾN ĐỘ MUA HÀNG'!$A$4:$AT$4, 0)) &lt;&gt; ""))</f>
        <v>0</v>
      </c>
      <c r="V49" s="754">
        <f t="array" ref="V49">SUMPRODUCT(
  (INDEX('6. TIẾN ĐỘ MUA HÀNG'!$A$5:$AT644, 0, XMATCH("NCC VTBB/NL trong nước", '6. TIẾN ĐỘ MUA HÀNG'!$A$4:$AT$4, 0)) = $B49) * (TRIM(INDEX('6. TIẾN ĐỘ MUA HÀNG'!$A$5:$AT644, 0, XMATCH("Tháng", '6. TIẾN ĐỘ MUA HÀNG'!$A$4:$AT$4, 0))) = TRIM(U$6)) * (INDEX('6. TIẾN ĐỘ MUA HÀNG'!$A$5:$AT644, 0, XMATCH("CL NGÀY NCC DỰ KIẾN - NGÀY NHẬN HÀNG", '6. TIẾN ĐỘ MUA HÀNG'!$A$4:$AT$4, 0)) &lt; 0)
)</f>
        <v>0</v>
      </c>
      <c r="W49" s="755">
        <f t="shared" si="32"/>
        <v>0</v>
      </c>
      <c r="X49" s="756">
        <f t="array" ref="X49">SUMPRODUCT((TRIM(INDEX('6. TIẾN ĐỘ MUA HÀNG'!$A$5:$AT644, 0, XMATCH("NCC VTBB/NL trong nước", '6. TIẾN ĐỘ MUA HÀNG'!$A$4:$AT$4, 0))) = TRIM($B49)) * (TRIM(INDEX('6. TIẾN ĐỘ MUA HÀNG'!$A$5:$AT644, 0, XMATCH("Tháng", '6. TIẾN ĐỘ MUA HÀNG'!$A$4:$AT$4, 0))) = TRIM(X$6)) * (INDEX('6. TIẾN ĐỘ MUA HÀNG'!$A$5:$AT644, 0, XMATCH("Mã đơn Misa", '6. TIẾN ĐỘ MUA HÀNG'!$A$4:$AT$4, 0)) &lt;&gt; ""))</f>
        <v>0</v>
      </c>
      <c r="Y49" s="756">
        <f t="array" ref="Y49">SUMPRODUCT(
  (INDEX('6. TIẾN ĐỘ MUA HÀNG'!$A$5:$AT644, 0, XMATCH("NCC VTBB/NL trong nước", '6. TIẾN ĐỘ MUA HÀNG'!$A$4:$AT$4, 0)) = $B49) * (TRIM(INDEX('6. TIẾN ĐỘ MUA HÀNG'!$A$5:$AT644, 0, XMATCH("Tháng", '6. TIẾN ĐỘ MUA HÀNG'!$A$4:$AT$4, 0))) = TRIM(X$6)) * (INDEX('6. TIẾN ĐỘ MUA HÀNG'!$A$5:$AT644, 0, XMATCH("CL NGÀY NCC DỰ KIẾN - NGÀY NHẬN HÀNG", '6. TIẾN ĐỘ MUA HÀNG'!$A$4:$AT$4, 0)) &lt; 0)
)</f>
        <v>0</v>
      </c>
      <c r="Z49" s="757">
        <f t="shared" si="21"/>
        <v>0</v>
      </c>
      <c r="AA49" s="754">
        <f t="array" ref="AA49">SUMPRODUCT((TRIM(INDEX('6. TIẾN ĐỘ MUA HÀNG'!$A$5:$AT644, 0, XMATCH("NCC VTBB/NL trong nước", '6. TIẾN ĐỘ MUA HÀNG'!$A$4:$AT$4, 0))) = TRIM($B49)) * (TRIM(INDEX('6. TIẾN ĐỘ MUA HÀNG'!$A$5:$AT644, 0, XMATCH("Tháng", '6. TIẾN ĐỘ MUA HÀNG'!$A$4:$AT$4, 0))) = TRIM(AA$6)) * (INDEX('6. TIẾN ĐỘ MUA HÀNG'!$A$5:$AT644, 0, XMATCH("Mã đơn Misa", '6. TIẾN ĐỘ MUA HÀNG'!$A$4:$AT$4, 0)) &lt;&gt; ""))</f>
        <v>0</v>
      </c>
      <c r="AB49" s="754">
        <f t="array" ref="AB49">SUMPRODUCT(
  (INDEX('6. TIẾN ĐỘ MUA HÀNG'!$A$5:$AT644, 0, XMATCH("NCC VTBB/NL trong nước", '6. TIẾN ĐỘ MUA HÀNG'!$A$4:$AT$4, 0)) = $B49) * (TRIM(INDEX('6. TIẾN ĐỘ MUA HÀNG'!$A$5:$AT644, 0, XMATCH("Tháng", '6. TIẾN ĐỘ MUA HÀNG'!$A$4:$AT$4, 0))) = TRIM(AA$6)) * (INDEX('6. TIẾN ĐỘ MUA HÀNG'!$A$5:$AT644, 0, XMATCH("CL NGÀY NCC DỰ KIẾN - NGÀY NHẬN HÀNG", '6. TIẾN ĐỘ MUA HÀNG'!$A$4:$AT$4, 0)) &lt; 0)
)</f>
        <v>0</v>
      </c>
      <c r="AC49" s="755">
        <f t="shared" si="33"/>
        <v>0</v>
      </c>
      <c r="AD49" s="756">
        <f t="array" ref="AD49">SUMPRODUCT((TRIM(INDEX('6. TIẾN ĐỘ MUA HÀNG'!$A$5:$AT644, 0, XMATCH("NCC VTBB/NL trong nước", '6. TIẾN ĐỘ MUA HÀNG'!$A$4:$AT$4, 0))) = TRIM($B49)) * (TRIM(INDEX('6. TIẾN ĐỘ MUA HÀNG'!$A$5:$AT644, 0, XMATCH("Tháng", '6. TIẾN ĐỘ MUA HÀNG'!$A$4:$AT$4, 0))) = TRIM(AD$6)) * (INDEX('6. TIẾN ĐỘ MUA HÀNG'!$A$5:$AT644, 0, XMATCH("Mã đơn Misa", '6. TIẾN ĐỘ MUA HÀNG'!$A$4:$AT$4, 0)) &lt;&gt; ""))</f>
        <v>0</v>
      </c>
      <c r="AE49" s="756">
        <f t="array" ref="AE49">SUMPRODUCT(
  (INDEX('6. TIẾN ĐỘ MUA HÀNG'!$A$5:$AT644, 0, XMATCH("NCC VTBB/NL trong nước", '6. TIẾN ĐỘ MUA HÀNG'!$A$4:$AT$4, 0)) = $B49) * (TRIM(INDEX('6. TIẾN ĐỘ MUA HÀNG'!$A$5:$AT644, 0, XMATCH("Tháng", '6. TIẾN ĐỘ MUA HÀNG'!$A$4:$AT$4, 0))) = TRIM(AD$6)) * (INDEX('6. TIẾN ĐỘ MUA HÀNG'!$A$5:$AT644, 0, XMATCH("CL NGÀY NCC DỰ KIẾN - NGÀY NHẬN HÀNG", '6. TIẾN ĐỘ MUA HÀNG'!$A$4:$AT$4, 0)) &lt; 0)
)</f>
        <v>0</v>
      </c>
      <c r="AF49" s="757">
        <f t="shared" si="23"/>
        <v>0</v>
      </c>
      <c r="AG49" s="754">
        <f t="array" ref="AG49">SUMPRODUCT((TRIM(INDEX('6. TIẾN ĐỘ MUA HÀNG'!$A$5:$AT644, 0, XMATCH("NCC VTBB/NL trong nước", '6. TIẾN ĐỘ MUA HÀNG'!$A$4:$AT$4, 0))) = TRIM($B49)) * (TRIM(INDEX('6. TIẾN ĐỘ MUA HÀNG'!$A$5:$AT644, 0, XMATCH("Tháng", '6. TIẾN ĐỘ MUA HÀNG'!$A$4:$AT$4, 0))) = TRIM(AG$6)) * (INDEX('6. TIẾN ĐỘ MUA HÀNG'!$A$5:$AT644, 0, XMATCH("Mã đơn Misa", '6. TIẾN ĐỘ MUA HÀNG'!$A$4:$AT$4, 0)) &lt;&gt; ""))</f>
        <v>0</v>
      </c>
      <c r="AH49" s="754">
        <f t="array" ref="AH49">SUMPRODUCT(
  (INDEX('6. TIẾN ĐỘ MUA HÀNG'!$A$5:$AT644, 0, XMATCH("NCC VTBB/NL trong nước", '6. TIẾN ĐỘ MUA HÀNG'!$A$4:$AT$4, 0)) = $B49) * (TRIM(INDEX('6. TIẾN ĐỘ MUA HÀNG'!$A$5:$AT644, 0, XMATCH("Tháng", '6. TIẾN ĐỘ MUA HÀNG'!$A$4:$AT$4, 0))) = TRIM(AG$6)) * (INDEX('6. TIẾN ĐỘ MUA HÀNG'!$A$5:$AT644, 0, XMATCH("CL NGÀY NCC DỰ KIẾN - NGÀY NHẬN HÀNG", '6. TIẾN ĐỘ MUA HÀNG'!$A$4:$AT$4, 0)) &lt; 0)
)</f>
        <v>0</v>
      </c>
      <c r="AI49" s="755">
        <f t="shared" si="34"/>
        <v>0</v>
      </c>
      <c r="AJ49" s="756">
        <f t="array" ref="AJ49">SUMPRODUCT((TRIM(INDEX('6. TIẾN ĐỘ MUA HÀNG'!$A$5:$AT644, 0, XMATCH("NCC VTBB/NL trong nước", '6. TIẾN ĐỘ MUA HÀNG'!$A$4:$AT$4, 0))) = TRIM($B49)) * (TRIM(INDEX('6. TIẾN ĐỘ MUA HÀNG'!$A$5:$AT644, 0, XMATCH("Tháng", '6. TIẾN ĐỘ MUA HÀNG'!$A$4:$AT$4, 0))) = TRIM(AJ$6)) * (INDEX('6. TIẾN ĐỘ MUA HÀNG'!$A$5:$AT644, 0, XMATCH("Mã đơn Misa", '6. TIẾN ĐỘ MUA HÀNG'!$A$4:$AT$4, 0)) &lt;&gt; ""))</f>
        <v>0</v>
      </c>
      <c r="AK49" s="756">
        <f t="array" ref="AK49">SUMPRODUCT(
  (INDEX('6. TIẾN ĐỘ MUA HÀNG'!$A$5:$AT644, 0, XMATCH("NCC VTBB/NL trong nước", '6. TIẾN ĐỘ MUA HÀNG'!$A$4:$AT$4, 0)) = $B49) * (TRIM(INDEX('6. TIẾN ĐỘ MUA HÀNG'!$A$5:$AT644, 0, XMATCH("Tháng", '6. TIẾN ĐỘ MUA HÀNG'!$A$4:$AT$4, 0))) = TRIM(AJ$6)) * (INDEX('6. TIẾN ĐỘ MUA HÀNG'!$A$5:$AT644, 0, XMATCH("CL NGÀY NCC DỰ KIẾN - NGÀY NHẬN HÀNG", '6. TIẾN ĐỘ MUA HÀNG'!$A$4:$AT$4, 0)) &lt; 0)
)</f>
        <v>0</v>
      </c>
      <c r="AL49" s="757">
        <f t="shared" si="25"/>
        <v>0</v>
      </c>
      <c r="AM49" s="726">
        <f t="shared" si="27"/>
        <v>0</v>
      </c>
      <c r="AN49" s="726">
        <f t="shared" si="28"/>
        <v>0</v>
      </c>
      <c r="AO49" s="727">
        <f t="shared" si="26"/>
        <v>0</v>
      </c>
    </row>
    <row r="50">
      <c r="A50" s="612">
        <v>42.0</v>
      </c>
      <c r="B50" s="624" t="str">
        <f>IFERROR(__xludf.DUMMYFUNCTION("""COMPUTED_VALUE"""),"Thịnh Phát Vi Na")</f>
        <v>Thịnh Phát Vi Na</v>
      </c>
      <c r="C50" s="754">
        <f t="array" ref="C50">SUMPRODUCT((TRIM(INDEX('6. TIẾN ĐỘ MUA HÀNG'!$A$5:$AT644, 0, XMATCH("NCC VTBB/NL trong nước", '6. TIẾN ĐỘ MUA HÀNG'!$A$4:$AT$4, 0))) = TRIM($B50)) * (TRIM(INDEX('6. TIẾN ĐỘ MUA HÀNG'!$A$5:$AT644, 0, XMATCH("Tháng", '6. TIẾN ĐỘ MUA HÀNG'!$A$4:$AT$4, 0))) = TRIM(C$6)) * (INDEX('6. TIẾN ĐỘ MUA HÀNG'!$A$5:$AT644, 0, XMATCH("Mã đơn Misa", '6. TIẾN ĐỘ MUA HÀNG'!$A$4:$AT$4, 0)) &lt;&gt; ""))</f>
        <v>0</v>
      </c>
      <c r="D50" s="754">
        <f t="array" ref="D50">SUMPRODUCT(
  (INDEX('6. TIẾN ĐỘ MUA HÀNG'!$A$5:$AT644, 0, XMATCH("NCC VTBB/NL trong nước", '6. TIẾN ĐỘ MUA HÀNG'!$A$4:$AT$4, 0)) = $B50) * (TRIM(INDEX('6. TIẾN ĐỘ MUA HÀNG'!$A$5:$AT644, 0, XMATCH("Tháng", '6. TIẾN ĐỘ MUA HÀNG'!$A$4:$AT$4, 0))) = TRIM(C$6)) * (INDEX('6. TIẾN ĐỘ MUA HÀNG'!$A$5:$AT644, 0, XMATCH("CL NGÀY NCC DỰ KIẾN - NGÀY NHẬN HÀNG", '6. TIẾN ĐỘ MUA HÀNG'!$A$4:$AT$4, 0)) &lt; 0)
)</f>
        <v>0</v>
      </c>
      <c r="E50" s="755">
        <f t="shared" si="29"/>
        <v>0</v>
      </c>
      <c r="F50" s="756">
        <f t="array" ref="F50">SUMPRODUCT((TRIM(INDEX('6. TIẾN ĐỘ MUA HÀNG'!$A$5:$AT644, 0, XMATCH("NCC VTBB/NL trong nước", '6. TIẾN ĐỘ MUA HÀNG'!$A$4:$AT$4, 0))) = TRIM($B50)) * (TRIM(INDEX('6. TIẾN ĐỘ MUA HÀNG'!$A$5:$AT644, 0, XMATCH("Tháng", '6. TIẾN ĐỘ MUA HÀNG'!$A$4:$AT$4, 0))) = TRIM(F$6)) * (INDEX('6. TIẾN ĐỘ MUA HÀNG'!$A$5:$AT644, 0, XMATCH("Mã đơn Misa", '6. TIẾN ĐỘ MUA HÀNG'!$A$4:$AT$4, 0)) &lt;&gt; ""))</f>
        <v>0</v>
      </c>
      <c r="G50" s="756">
        <f t="array" ref="G50">SUMPRODUCT(
  (INDEX('6. TIẾN ĐỘ MUA HÀNG'!$A$5:$AT644, 0, XMATCH("NCC VTBB/NL trong nước", '6. TIẾN ĐỘ MUA HÀNG'!$A$4:$AT$4, 0)) = $B50) * (TRIM(INDEX('6. TIẾN ĐỘ MUA HÀNG'!$A$5:$AT644, 0, XMATCH("Tháng", '6. TIẾN ĐỘ MUA HÀNG'!$A$4:$AT$4, 0))) = TRIM(F$6)) * (INDEX('6. TIẾN ĐỘ MUA HÀNG'!$A$5:$AT644, 0, XMATCH("CL NGÀY NCC DỰ KIẾN - NGÀY NHẬN HÀNG", '6. TIẾN ĐỘ MUA HÀNG'!$A$4:$AT$4, 0)) &lt; 0)
)</f>
        <v>0</v>
      </c>
      <c r="H50" s="757">
        <f t="shared" si="15"/>
        <v>0</v>
      </c>
      <c r="I50" s="754">
        <f t="array" ref="I50">SUMPRODUCT((TRIM(INDEX('6. TIẾN ĐỘ MUA HÀNG'!$A$5:$AT644, 0, XMATCH("NCC VTBB/NL trong nước", '6. TIẾN ĐỘ MUA HÀNG'!$A$4:$AT$4, 0))) = TRIM($B50)) * (TRIM(INDEX('6. TIẾN ĐỘ MUA HÀNG'!$A$5:$AT644, 0, XMATCH("Tháng", '6. TIẾN ĐỘ MUA HÀNG'!$A$4:$AT$4, 0))) = TRIM(I$6)) * (INDEX('6. TIẾN ĐỘ MUA HÀNG'!$A$5:$AT644, 0, XMATCH("Mã đơn Misa", '6. TIẾN ĐỘ MUA HÀNG'!$A$4:$AT$4, 0)) &lt;&gt; ""))</f>
        <v>0</v>
      </c>
      <c r="J50" s="754">
        <f t="array" ref="J50">SUMPRODUCT(
  (INDEX('6. TIẾN ĐỘ MUA HÀNG'!$A$5:$AT644, 0, XMATCH("NCC VTBB/NL trong nước", '6. TIẾN ĐỘ MUA HÀNG'!$A$4:$AT$4, 0)) = $B50) * (TRIM(INDEX('6. TIẾN ĐỘ MUA HÀNG'!$A$5:$AT644, 0, XMATCH("Tháng", '6. TIẾN ĐỘ MUA HÀNG'!$A$4:$AT$4, 0))) = TRIM(I$6)) * (INDEX('6. TIẾN ĐỘ MUA HÀNG'!$A$5:$AT644, 0, XMATCH("CL NGÀY NCC DỰ KIẾN - NGÀY NHẬN HÀNG", '6. TIẾN ĐỘ MUA HÀNG'!$A$4:$AT$4, 0)) &lt; 0)
)</f>
        <v>0</v>
      </c>
      <c r="K50" s="755">
        <f t="shared" si="30"/>
        <v>0</v>
      </c>
      <c r="L50" s="756">
        <f t="array" ref="L50">SUMPRODUCT((TRIM(INDEX('6. TIẾN ĐỘ MUA HÀNG'!$A$5:$AT644, 0, XMATCH("NCC VTBB/NL trong nước", '6. TIẾN ĐỘ MUA HÀNG'!$A$4:$AT$4, 0))) = TRIM($B50)) * (TRIM(INDEX('6. TIẾN ĐỘ MUA HÀNG'!$A$5:$AT644, 0, XMATCH("Tháng", '6. TIẾN ĐỘ MUA HÀNG'!$A$4:$AT$4, 0))) = TRIM(L$6)) * (INDEX('6. TIẾN ĐỘ MUA HÀNG'!$A$5:$AT644, 0, XMATCH("Mã đơn Misa", '6. TIẾN ĐỘ MUA HÀNG'!$A$4:$AT$4, 0)) &lt;&gt; ""))</f>
        <v>0</v>
      </c>
      <c r="M50" s="756">
        <f t="array" ref="M50">SUMPRODUCT(
  (INDEX('6. TIẾN ĐỘ MUA HÀNG'!$A$5:$AT644, 0, XMATCH("NCC VTBB/NL trong nước", '6. TIẾN ĐỘ MUA HÀNG'!$A$4:$AT$4, 0)) = $B50) * (TRIM(INDEX('6. TIẾN ĐỘ MUA HÀNG'!$A$5:$AT644, 0, XMATCH("Tháng", '6. TIẾN ĐỘ MUA HÀNG'!$A$4:$AT$4, 0))) = TRIM(L$6)) * (INDEX('6. TIẾN ĐỘ MUA HÀNG'!$A$5:$AT644, 0, XMATCH("CL NGÀY NCC DỰ KIẾN - NGÀY NHẬN HÀNG", '6. TIẾN ĐỘ MUA HÀNG'!$A$4:$AT$4, 0)) &lt; 0)
)</f>
        <v>0</v>
      </c>
      <c r="N50" s="757">
        <f t="shared" si="17"/>
        <v>0</v>
      </c>
      <c r="O50" s="754">
        <f t="array" ref="O50">SUMPRODUCT((TRIM(INDEX('6. TIẾN ĐỘ MUA HÀNG'!$A$5:$AT644, 0, XMATCH("NCC VTBB/NL trong nước", '6. TIẾN ĐỘ MUA HÀNG'!$A$4:$AT$4, 0))) = TRIM($B50)) * (TRIM(INDEX('6. TIẾN ĐỘ MUA HÀNG'!$A$5:$AT644, 0, XMATCH("Tháng", '6. TIẾN ĐỘ MUA HÀNG'!$A$4:$AT$4, 0))) = TRIM(O$6)) * (INDEX('6. TIẾN ĐỘ MUA HÀNG'!$A$5:$AT644, 0, XMATCH("Mã đơn Misa", '6. TIẾN ĐỘ MUA HÀNG'!$A$4:$AT$4, 0)) &lt;&gt; ""))</f>
        <v>0</v>
      </c>
      <c r="P50" s="754">
        <f t="array" ref="P50">SUMPRODUCT(
  (INDEX('6. TIẾN ĐỘ MUA HÀNG'!$A$5:$AT644, 0, XMATCH("NCC VTBB/NL trong nước", '6. TIẾN ĐỘ MUA HÀNG'!$A$4:$AT$4, 0)) = $B50) * (TRIM(INDEX('6. TIẾN ĐỘ MUA HÀNG'!$A$5:$AT644, 0, XMATCH("Tháng", '6. TIẾN ĐỘ MUA HÀNG'!$A$4:$AT$4, 0))) = TRIM(O$6)) * (INDEX('6. TIẾN ĐỘ MUA HÀNG'!$A$5:$AT644, 0, XMATCH("CL NGÀY NCC DỰ KIẾN - NGÀY NHẬN HÀNG", '6. TIẾN ĐỘ MUA HÀNG'!$A$4:$AT$4, 0)) &lt; 0)
)</f>
        <v>0</v>
      </c>
      <c r="Q50" s="755">
        <f t="shared" si="31"/>
        <v>0</v>
      </c>
      <c r="R50" s="756">
        <f t="array" ref="R50">SUMPRODUCT((TRIM(INDEX('6. TIẾN ĐỘ MUA HÀNG'!$A$5:$AT644, 0, XMATCH("NCC VTBB/NL trong nước", '6. TIẾN ĐỘ MUA HÀNG'!$A$4:$AT$4, 0))) = TRIM($B50)) * (TRIM(INDEX('6. TIẾN ĐỘ MUA HÀNG'!$A$5:$AT644, 0, XMATCH("Tháng", '6. TIẾN ĐỘ MUA HÀNG'!$A$4:$AT$4, 0))) = TRIM(R$6)) * (INDEX('6. TIẾN ĐỘ MUA HÀNG'!$A$5:$AT644, 0, XMATCH("Mã đơn Misa", '6. TIẾN ĐỘ MUA HÀNG'!$A$4:$AT$4, 0)) &lt;&gt; ""))</f>
        <v>0</v>
      </c>
      <c r="S50" s="756">
        <f t="array" ref="S50">SUMPRODUCT(
  (INDEX('6. TIẾN ĐỘ MUA HÀNG'!$A$5:$AT644, 0, XMATCH("NCC VTBB/NL trong nước", '6. TIẾN ĐỘ MUA HÀNG'!$A$4:$AT$4, 0)) = $B50) * (TRIM(INDEX('6. TIẾN ĐỘ MUA HÀNG'!$A$5:$AT644, 0, XMATCH("Tháng", '6. TIẾN ĐỘ MUA HÀNG'!$A$4:$AT$4, 0))) = TRIM(R$6)) * (INDEX('6. TIẾN ĐỘ MUA HÀNG'!$A$5:$AT644, 0, XMATCH("CL NGÀY NCC DỰ KIẾN - NGÀY NHẬN HÀNG", '6. TIẾN ĐỘ MUA HÀNG'!$A$4:$AT$4, 0)) &lt; 0)
)</f>
        <v>0</v>
      </c>
      <c r="T50" s="757">
        <f t="shared" si="19"/>
        <v>0</v>
      </c>
      <c r="U50" s="754">
        <f t="array" ref="U50">SUMPRODUCT((TRIM(INDEX('6. TIẾN ĐỘ MUA HÀNG'!$A$5:$AT644, 0, XMATCH("NCC VTBB/NL trong nước", '6. TIẾN ĐỘ MUA HÀNG'!$A$4:$AT$4, 0))) = TRIM($B50)) * (TRIM(INDEX('6. TIẾN ĐỘ MUA HÀNG'!$A$5:$AT644, 0, XMATCH("Tháng", '6. TIẾN ĐỘ MUA HÀNG'!$A$4:$AT$4, 0))) = TRIM(U$6)) * (INDEX('6. TIẾN ĐỘ MUA HÀNG'!$A$5:$AT644, 0, XMATCH("Mã đơn Misa", '6. TIẾN ĐỘ MUA HÀNG'!$A$4:$AT$4, 0)) &lt;&gt; ""))</f>
        <v>0</v>
      </c>
      <c r="V50" s="754">
        <f t="array" ref="V50">SUMPRODUCT(
  (INDEX('6. TIẾN ĐỘ MUA HÀNG'!$A$5:$AT644, 0, XMATCH("NCC VTBB/NL trong nước", '6. TIẾN ĐỘ MUA HÀNG'!$A$4:$AT$4, 0)) = $B50) * (TRIM(INDEX('6. TIẾN ĐỘ MUA HÀNG'!$A$5:$AT644, 0, XMATCH("Tháng", '6. TIẾN ĐỘ MUA HÀNG'!$A$4:$AT$4, 0))) = TRIM(U$6)) * (INDEX('6. TIẾN ĐỘ MUA HÀNG'!$A$5:$AT644, 0, XMATCH("CL NGÀY NCC DỰ KIẾN - NGÀY NHẬN HÀNG", '6. TIẾN ĐỘ MUA HÀNG'!$A$4:$AT$4, 0)) &lt; 0)
)</f>
        <v>0</v>
      </c>
      <c r="W50" s="755">
        <f t="shared" si="32"/>
        <v>0</v>
      </c>
      <c r="X50" s="756">
        <f t="array" ref="X50">SUMPRODUCT((TRIM(INDEX('6. TIẾN ĐỘ MUA HÀNG'!$A$5:$AT644, 0, XMATCH("NCC VTBB/NL trong nước", '6. TIẾN ĐỘ MUA HÀNG'!$A$4:$AT$4, 0))) = TRIM($B50)) * (TRIM(INDEX('6. TIẾN ĐỘ MUA HÀNG'!$A$5:$AT644, 0, XMATCH("Tháng", '6. TIẾN ĐỘ MUA HÀNG'!$A$4:$AT$4, 0))) = TRIM(X$6)) * (INDEX('6. TIẾN ĐỘ MUA HÀNG'!$A$5:$AT644, 0, XMATCH("Mã đơn Misa", '6. TIẾN ĐỘ MUA HÀNG'!$A$4:$AT$4, 0)) &lt;&gt; ""))</f>
        <v>0</v>
      </c>
      <c r="Y50" s="756">
        <f t="array" ref="Y50">SUMPRODUCT(
  (INDEX('6. TIẾN ĐỘ MUA HÀNG'!$A$5:$AT644, 0, XMATCH("NCC VTBB/NL trong nước", '6. TIẾN ĐỘ MUA HÀNG'!$A$4:$AT$4, 0)) = $B50) * (TRIM(INDEX('6. TIẾN ĐỘ MUA HÀNG'!$A$5:$AT644, 0, XMATCH("Tháng", '6. TIẾN ĐỘ MUA HÀNG'!$A$4:$AT$4, 0))) = TRIM(X$6)) * (INDEX('6. TIẾN ĐỘ MUA HÀNG'!$A$5:$AT644, 0, XMATCH("CL NGÀY NCC DỰ KIẾN - NGÀY NHẬN HÀNG", '6. TIẾN ĐỘ MUA HÀNG'!$A$4:$AT$4, 0)) &lt; 0)
)</f>
        <v>0</v>
      </c>
      <c r="Z50" s="757">
        <f t="shared" si="21"/>
        <v>0</v>
      </c>
      <c r="AA50" s="754">
        <f t="array" ref="AA50">SUMPRODUCT((TRIM(INDEX('6. TIẾN ĐỘ MUA HÀNG'!$A$5:$AT644, 0, XMATCH("NCC VTBB/NL trong nước", '6. TIẾN ĐỘ MUA HÀNG'!$A$4:$AT$4, 0))) = TRIM($B50)) * (TRIM(INDEX('6. TIẾN ĐỘ MUA HÀNG'!$A$5:$AT644, 0, XMATCH("Tháng", '6. TIẾN ĐỘ MUA HÀNG'!$A$4:$AT$4, 0))) = TRIM(AA$6)) * (INDEX('6. TIẾN ĐỘ MUA HÀNG'!$A$5:$AT644, 0, XMATCH("Mã đơn Misa", '6. TIẾN ĐỘ MUA HÀNG'!$A$4:$AT$4, 0)) &lt;&gt; ""))</f>
        <v>0</v>
      </c>
      <c r="AB50" s="754">
        <f t="array" ref="AB50">SUMPRODUCT(
  (INDEX('6. TIẾN ĐỘ MUA HÀNG'!$A$5:$AT644, 0, XMATCH("NCC VTBB/NL trong nước", '6. TIẾN ĐỘ MUA HÀNG'!$A$4:$AT$4, 0)) = $B50) * (TRIM(INDEX('6. TIẾN ĐỘ MUA HÀNG'!$A$5:$AT644, 0, XMATCH("Tháng", '6. TIẾN ĐỘ MUA HÀNG'!$A$4:$AT$4, 0))) = TRIM(AA$6)) * (INDEX('6. TIẾN ĐỘ MUA HÀNG'!$A$5:$AT644, 0, XMATCH("CL NGÀY NCC DỰ KIẾN - NGÀY NHẬN HÀNG", '6. TIẾN ĐỘ MUA HÀNG'!$A$4:$AT$4, 0)) &lt; 0)
)</f>
        <v>0</v>
      </c>
      <c r="AC50" s="755">
        <f t="shared" si="33"/>
        <v>0</v>
      </c>
      <c r="AD50" s="756">
        <f t="array" ref="AD50">SUMPRODUCT((TRIM(INDEX('6. TIẾN ĐỘ MUA HÀNG'!$A$5:$AT644, 0, XMATCH("NCC VTBB/NL trong nước", '6. TIẾN ĐỘ MUA HÀNG'!$A$4:$AT$4, 0))) = TRIM($B50)) * (TRIM(INDEX('6. TIẾN ĐỘ MUA HÀNG'!$A$5:$AT644, 0, XMATCH("Tháng", '6. TIẾN ĐỘ MUA HÀNG'!$A$4:$AT$4, 0))) = TRIM(AD$6)) * (INDEX('6. TIẾN ĐỘ MUA HÀNG'!$A$5:$AT644, 0, XMATCH("Mã đơn Misa", '6. TIẾN ĐỘ MUA HÀNG'!$A$4:$AT$4, 0)) &lt;&gt; ""))</f>
        <v>0</v>
      </c>
      <c r="AE50" s="756">
        <f t="array" ref="AE50">SUMPRODUCT(
  (INDEX('6. TIẾN ĐỘ MUA HÀNG'!$A$5:$AT644, 0, XMATCH("NCC VTBB/NL trong nước", '6. TIẾN ĐỘ MUA HÀNG'!$A$4:$AT$4, 0)) = $B50) * (TRIM(INDEX('6. TIẾN ĐỘ MUA HÀNG'!$A$5:$AT644, 0, XMATCH("Tháng", '6. TIẾN ĐỘ MUA HÀNG'!$A$4:$AT$4, 0))) = TRIM(AD$6)) * (INDEX('6. TIẾN ĐỘ MUA HÀNG'!$A$5:$AT644, 0, XMATCH("CL NGÀY NCC DỰ KIẾN - NGÀY NHẬN HÀNG", '6. TIẾN ĐỘ MUA HÀNG'!$A$4:$AT$4, 0)) &lt; 0)
)</f>
        <v>0</v>
      </c>
      <c r="AF50" s="757">
        <f t="shared" si="23"/>
        <v>0</v>
      </c>
      <c r="AG50" s="754">
        <f t="array" ref="AG50">SUMPRODUCT((TRIM(INDEX('6. TIẾN ĐỘ MUA HÀNG'!$A$5:$AT644, 0, XMATCH("NCC VTBB/NL trong nước", '6. TIẾN ĐỘ MUA HÀNG'!$A$4:$AT$4, 0))) = TRIM($B50)) * (TRIM(INDEX('6. TIẾN ĐỘ MUA HÀNG'!$A$5:$AT644, 0, XMATCH("Tháng", '6. TIẾN ĐỘ MUA HÀNG'!$A$4:$AT$4, 0))) = TRIM(AG$6)) * (INDEX('6. TIẾN ĐỘ MUA HÀNG'!$A$5:$AT644, 0, XMATCH("Mã đơn Misa", '6. TIẾN ĐỘ MUA HÀNG'!$A$4:$AT$4, 0)) &lt;&gt; ""))</f>
        <v>0</v>
      </c>
      <c r="AH50" s="754">
        <f t="array" ref="AH50">SUMPRODUCT(
  (INDEX('6. TIẾN ĐỘ MUA HÀNG'!$A$5:$AT644, 0, XMATCH("NCC VTBB/NL trong nước", '6. TIẾN ĐỘ MUA HÀNG'!$A$4:$AT$4, 0)) = $B50) * (TRIM(INDEX('6. TIẾN ĐỘ MUA HÀNG'!$A$5:$AT644, 0, XMATCH("Tháng", '6. TIẾN ĐỘ MUA HÀNG'!$A$4:$AT$4, 0))) = TRIM(AG$6)) * (INDEX('6. TIẾN ĐỘ MUA HÀNG'!$A$5:$AT644, 0, XMATCH("CL NGÀY NCC DỰ KIẾN - NGÀY NHẬN HÀNG", '6. TIẾN ĐỘ MUA HÀNG'!$A$4:$AT$4, 0)) &lt; 0)
)</f>
        <v>0</v>
      </c>
      <c r="AI50" s="755">
        <f t="shared" si="34"/>
        <v>0</v>
      </c>
      <c r="AJ50" s="756">
        <f t="array" ref="AJ50">SUMPRODUCT((TRIM(INDEX('6. TIẾN ĐỘ MUA HÀNG'!$A$5:$AT644, 0, XMATCH("NCC VTBB/NL trong nước", '6. TIẾN ĐỘ MUA HÀNG'!$A$4:$AT$4, 0))) = TRIM($B50)) * (TRIM(INDEX('6. TIẾN ĐỘ MUA HÀNG'!$A$5:$AT644, 0, XMATCH("Tháng", '6. TIẾN ĐỘ MUA HÀNG'!$A$4:$AT$4, 0))) = TRIM(AJ$6)) * (INDEX('6. TIẾN ĐỘ MUA HÀNG'!$A$5:$AT644, 0, XMATCH("Mã đơn Misa", '6. TIẾN ĐỘ MUA HÀNG'!$A$4:$AT$4, 0)) &lt;&gt; ""))</f>
        <v>0</v>
      </c>
      <c r="AK50" s="756">
        <f t="array" ref="AK50">SUMPRODUCT(
  (INDEX('6. TIẾN ĐỘ MUA HÀNG'!$A$5:$AT644, 0, XMATCH("NCC VTBB/NL trong nước", '6. TIẾN ĐỘ MUA HÀNG'!$A$4:$AT$4, 0)) = $B50) * (TRIM(INDEX('6. TIẾN ĐỘ MUA HÀNG'!$A$5:$AT644, 0, XMATCH("Tháng", '6. TIẾN ĐỘ MUA HÀNG'!$A$4:$AT$4, 0))) = TRIM(AJ$6)) * (INDEX('6. TIẾN ĐỘ MUA HÀNG'!$A$5:$AT644, 0, XMATCH("CL NGÀY NCC DỰ KIẾN - NGÀY NHẬN HÀNG", '6. TIẾN ĐỘ MUA HÀNG'!$A$4:$AT$4, 0)) &lt; 0)
)</f>
        <v>0</v>
      </c>
      <c r="AL50" s="757">
        <f t="shared" si="25"/>
        <v>0</v>
      </c>
      <c r="AM50" s="726">
        <f t="shared" si="27"/>
        <v>0</v>
      </c>
      <c r="AN50" s="726">
        <f t="shared" si="28"/>
        <v>0</v>
      </c>
      <c r="AO50" s="727">
        <f t="shared" si="26"/>
        <v>0</v>
      </c>
    </row>
    <row r="51">
      <c r="A51" s="612">
        <v>43.0</v>
      </c>
      <c r="B51" s="624" t="str">
        <f>IFERROR(__xludf.DUMMYFUNCTION("""COMPUTED_VALUE"""),"Nguyễn Bá")</f>
        <v>Nguyễn Bá</v>
      </c>
      <c r="C51" s="754">
        <f t="array" ref="C51">SUMPRODUCT((TRIM(INDEX('6. TIẾN ĐỘ MUA HÀNG'!$A$5:$AT644, 0, XMATCH("NCC VTBB/NL trong nước", '6. TIẾN ĐỘ MUA HÀNG'!$A$4:$AT$4, 0))) = TRIM($B51)) * (TRIM(INDEX('6. TIẾN ĐỘ MUA HÀNG'!$A$5:$AT644, 0, XMATCH("Tháng", '6. TIẾN ĐỘ MUA HÀNG'!$A$4:$AT$4, 0))) = TRIM(C$6)) * (INDEX('6. TIẾN ĐỘ MUA HÀNG'!$A$5:$AT644, 0, XMATCH("Mã đơn Misa", '6. TIẾN ĐỘ MUA HÀNG'!$A$4:$AT$4, 0)) &lt;&gt; ""))</f>
        <v>0</v>
      </c>
      <c r="D51" s="754">
        <f t="array" ref="D51">SUMPRODUCT(
  (INDEX('6. TIẾN ĐỘ MUA HÀNG'!$A$5:$AT644, 0, XMATCH("NCC VTBB/NL trong nước", '6. TIẾN ĐỘ MUA HÀNG'!$A$4:$AT$4, 0)) = $B51) * (TRIM(INDEX('6. TIẾN ĐỘ MUA HÀNG'!$A$5:$AT644, 0, XMATCH("Tháng", '6. TIẾN ĐỘ MUA HÀNG'!$A$4:$AT$4, 0))) = TRIM(C$6)) * (INDEX('6. TIẾN ĐỘ MUA HÀNG'!$A$5:$AT644, 0, XMATCH("CL NGÀY NCC DỰ KIẾN - NGÀY NHẬN HÀNG", '6. TIẾN ĐỘ MUA HÀNG'!$A$4:$AT$4, 0)) &lt; 0)
)</f>
        <v>0</v>
      </c>
      <c r="E51" s="755">
        <f t="shared" si="29"/>
        <v>0</v>
      </c>
      <c r="F51" s="756">
        <f t="array" ref="F51">SUMPRODUCT((TRIM(INDEX('6. TIẾN ĐỘ MUA HÀNG'!$A$5:$AT644, 0, XMATCH("NCC VTBB/NL trong nước", '6. TIẾN ĐỘ MUA HÀNG'!$A$4:$AT$4, 0))) = TRIM($B51)) * (TRIM(INDEX('6. TIẾN ĐỘ MUA HÀNG'!$A$5:$AT644, 0, XMATCH("Tháng", '6. TIẾN ĐỘ MUA HÀNG'!$A$4:$AT$4, 0))) = TRIM(F$6)) * (INDEX('6. TIẾN ĐỘ MUA HÀNG'!$A$5:$AT644, 0, XMATCH("Mã đơn Misa", '6. TIẾN ĐỘ MUA HÀNG'!$A$4:$AT$4, 0)) &lt;&gt; ""))</f>
        <v>0</v>
      </c>
      <c r="G51" s="756">
        <f t="array" ref="G51">SUMPRODUCT(
  (INDEX('6. TIẾN ĐỘ MUA HÀNG'!$A$5:$AT644, 0, XMATCH("NCC VTBB/NL trong nước", '6. TIẾN ĐỘ MUA HÀNG'!$A$4:$AT$4, 0)) = $B51) * (TRIM(INDEX('6. TIẾN ĐỘ MUA HÀNG'!$A$5:$AT644, 0, XMATCH("Tháng", '6. TIẾN ĐỘ MUA HÀNG'!$A$4:$AT$4, 0))) = TRIM(F$6)) * (INDEX('6. TIẾN ĐỘ MUA HÀNG'!$A$5:$AT644, 0, XMATCH("CL NGÀY NCC DỰ KIẾN - NGÀY NHẬN HÀNG", '6. TIẾN ĐỘ MUA HÀNG'!$A$4:$AT$4, 0)) &lt; 0)
)</f>
        <v>0</v>
      </c>
      <c r="H51" s="757">
        <f t="shared" si="15"/>
        <v>0</v>
      </c>
      <c r="I51" s="754">
        <f t="array" ref="I51">SUMPRODUCT((TRIM(INDEX('6. TIẾN ĐỘ MUA HÀNG'!$A$5:$AT644, 0, XMATCH("NCC VTBB/NL trong nước", '6. TIẾN ĐỘ MUA HÀNG'!$A$4:$AT$4, 0))) = TRIM($B51)) * (TRIM(INDEX('6. TIẾN ĐỘ MUA HÀNG'!$A$5:$AT644, 0, XMATCH("Tháng", '6. TIẾN ĐỘ MUA HÀNG'!$A$4:$AT$4, 0))) = TRIM(I$6)) * (INDEX('6. TIẾN ĐỘ MUA HÀNG'!$A$5:$AT644, 0, XMATCH("Mã đơn Misa", '6. TIẾN ĐỘ MUA HÀNG'!$A$4:$AT$4, 0)) &lt;&gt; ""))</f>
        <v>0</v>
      </c>
      <c r="J51" s="754">
        <f t="array" ref="J51">SUMPRODUCT(
  (INDEX('6. TIẾN ĐỘ MUA HÀNG'!$A$5:$AT644, 0, XMATCH("NCC VTBB/NL trong nước", '6. TIẾN ĐỘ MUA HÀNG'!$A$4:$AT$4, 0)) = $B51) * (TRIM(INDEX('6. TIẾN ĐỘ MUA HÀNG'!$A$5:$AT644, 0, XMATCH("Tháng", '6. TIẾN ĐỘ MUA HÀNG'!$A$4:$AT$4, 0))) = TRIM(I$6)) * (INDEX('6. TIẾN ĐỘ MUA HÀNG'!$A$5:$AT644, 0, XMATCH("CL NGÀY NCC DỰ KIẾN - NGÀY NHẬN HÀNG", '6. TIẾN ĐỘ MUA HÀNG'!$A$4:$AT$4, 0)) &lt; 0)
)</f>
        <v>0</v>
      </c>
      <c r="K51" s="755">
        <f t="shared" si="30"/>
        <v>0</v>
      </c>
      <c r="L51" s="756">
        <f t="array" ref="L51">SUMPRODUCT((TRIM(INDEX('6. TIẾN ĐỘ MUA HÀNG'!$A$5:$AT644, 0, XMATCH("NCC VTBB/NL trong nước", '6. TIẾN ĐỘ MUA HÀNG'!$A$4:$AT$4, 0))) = TRIM($B51)) * (TRIM(INDEX('6. TIẾN ĐỘ MUA HÀNG'!$A$5:$AT644, 0, XMATCH("Tháng", '6. TIẾN ĐỘ MUA HÀNG'!$A$4:$AT$4, 0))) = TRIM(L$6)) * (INDEX('6. TIẾN ĐỘ MUA HÀNG'!$A$5:$AT644, 0, XMATCH("Mã đơn Misa", '6. TIẾN ĐỘ MUA HÀNG'!$A$4:$AT$4, 0)) &lt;&gt; ""))</f>
        <v>0</v>
      </c>
      <c r="M51" s="756">
        <f t="array" ref="M51">SUMPRODUCT(
  (INDEX('6. TIẾN ĐỘ MUA HÀNG'!$A$5:$AT644, 0, XMATCH("NCC VTBB/NL trong nước", '6. TIẾN ĐỘ MUA HÀNG'!$A$4:$AT$4, 0)) = $B51) * (TRIM(INDEX('6. TIẾN ĐỘ MUA HÀNG'!$A$5:$AT644, 0, XMATCH("Tháng", '6. TIẾN ĐỘ MUA HÀNG'!$A$4:$AT$4, 0))) = TRIM(L$6)) * (INDEX('6. TIẾN ĐỘ MUA HÀNG'!$A$5:$AT644, 0, XMATCH("CL NGÀY NCC DỰ KIẾN - NGÀY NHẬN HÀNG", '6. TIẾN ĐỘ MUA HÀNG'!$A$4:$AT$4, 0)) &lt; 0)
)</f>
        <v>0</v>
      </c>
      <c r="N51" s="757">
        <f t="shared" si="17"/>
        <v>0</v>
      </c>
      <c r="O51" s="754">
        <f t="array" ref="O51">SUMPRODUCT((TRIM(INDEX('6. TIẾN ĐỘ MUA HÀNG'!$A$5:$AT644, 0, XMATCH("NCC VTBB/NL trong nước", '6. TIẾN ĐỘ MUA HÀNG'!$A$4:$AT$4, 0))) = TRIM($B51)) * (TRIM(INDEX('6. TIẾN ĐỘ MUA HÀNG'!$A$5:$AT644, 0, XMATCH("Tháng", '6. TIẾN ĐỘ MUA HÀNG'!$A$4:$AT$4, 0))) = TRIM(O$6)) * (INDEX('6. TIẾN ĐỘ MUA HÀNG'!$A$5:$AT644, 0, XMATCH("Mã đơn Misa", '6. TIẾN ĐỘ MUA HÀNG'!$A$4:$AT$4, 0)) &lt;&gt; ""))</f>
        <v>0</v>
      </c>
      <c r="P51" s="754">
        <f t="array" ref="P51">SUMPRODUCT(
  (INDEX('6. TIẾN ĐỘ MUA HÀNG'!$A$5:$AT644, 0, XMATCH("NCC VTBB/NL trong nước", '6. TIẾN ĐỘ MUA HÀNG'!$A$4:$AT$4, 0)) = $B51) * (TRIM(INDEX('6. TIẾN ĐỘ MUA HÀNG'!$A$5:$AT644, 0, XMATCH("Tháng", '6. TIẾN ĐỘ MUA HÀNG'!$A$4:$AT$4, 0))) = TRIM(O$6)) * (INDEX('6. TIẾN ĐỘ MUA HÀNG'!$A$5:$AT644, 0, XMATCH("CL NGÀY NCC DỰ KIẾN - NGÀY NHẬN HÀNG", '6. TIẾN ĐỘ MUA HÀNG'!$A$4:$AT$4, 0)) &lt; 0)
)</f>
        <v>0</v>
      </c>
      <c r="Q51" s="755">
        <f t="shared" si="31"/>
        <v>0</v>
      </c>
      <c r="R51" s="756">
        <f t="array" ref="R51">SUMPRODUCT((TRIM(INDEX('6. TIẾN ĐỘ MUA HÀNG'!$A$5:$AT644, 0, XMATCH("NCC VTBB/NL trong nước", '6. TIẾN ĐỘ MUA HÀNG'!$A$4:$AT$4, 0))) = TRIM($B51)) * (TRIM(INDEX('6. TIẾN ĐỘ MUA HÀNG'!$A$5:$AT644, 0, XMATCH("Tháng", '6. TIẾN ĐỘ MUA HÀNG'!$A$4:$AT$4, 0))) = TRIM(R$6)) * (INDEX('6. TIẾN ĐỘ MUA HÀNG'!$A$5:$AT644, 0, XMATCH("Mã đơn Misa", '6. TIẾN ĐỘ MUA HÀNG'!$A$4:$AT$4, 0)) &lt;&gt; ""))</f>
        <v>0</v>
      </c>
      <c r="S51" s="756">
        <f t="array" ref="S51">SUMPRODUCT(
  (INDEX('6. TIẾN ĐỘ MUA HÀNG'!$A$5:$AT644, 0, XMATCH("NCC VTBB/NL trong nước", '6. TIẾN ĐỘ MUA HÀNG'!$A$4:$AT$4, 0)) = $B51) * (TRIM(INDEX('6. TIẾN ĐỘ MUA HÀNG'!$A$5:$AT644, 0, XMATCH("Tháng", '6. TIẾN ĐỘ MUA HÀNG'!$A$4:$AT$4, 0))) = TRIM(R$6)) * (INDEX('6. TIẾN ĐỘ MUA HÀNG'!$A$5:$AT644, 0, XMATCH("CL NGÀY NCC DỰ KIẾN - NGÀY NHẬN HÀNG", '6. TIẾN ĐỘ MUA HÀNG'!$A$4:$AT$4, 0)) &lt; 0)
)</f>
        <v>0</v>
      </c>
      <c r="T51" s="757">
        <f t="shared" si="19"/>
        <v>0</v>
      </c>
      <c r="U51" s="754">
        <f t="array" ref="U51">SUMPRODUCT((TRIM(INDEX('6. TIẾN ĐỘ MUA HÀNG'!$A$5:$AT644, 0, XMATCH("NCC VTBB/NL trong nước", '6. TIẾN ĐỘ MUA HÀNG'!$A$4:$AT$4, 0))) = TRIM($B51)) * (TRIM(INDEX('6. TIẾN ĐỘ MUA HÀNG'!$A$5:$AT644, 0, XMATCH("Tháng", '6. TIẾN ĐỘ MUA HÀNG'!$A$4:$AT$4, 0))) = TRIM(U$6)) * (INDEX('6. TIẾN ĐỘ MUA HÀNG'!$A$5:$AT644, 0, XMATCH("Mã đơn Misa", '6. TIẾN ĐỘ MUA HÀNG'!$A$4:$AT$4, 0)) &lt;&gt; ""))</f>
        <v>0</v>
      </c>
      <c r="V51" s="754">
        <f t="array" ref="V51">SUMPRODUCT(
  (INDEX('6. TIẾN ĐỘ MUA HÀNG'!$A$5:$AT644, 0, XMATCH("NCC VTBB/NL trong nước", '6. TIẾN ĐỘ MUA HÀNG'!$A$4:$AT$4, 0)) = $B51) * (TRIM(INDEX('6. TIẾN ĐỘ MUA HÀNG'!$A$5:$AT644, 0, XMATCH("Tháng", '6. TIẾN ĐỘ MUA HÀNG'!$A$4:$AT$4, 0))) = TRIM(U$6)) * (INDEX('6. TIẾN ĐỘ MUA HÀNG'!$A$5:$AT644, 0, XMATCH("CL NGÀY NCC DỰ KIẾN - NGÀY NHẬN HÀNG", '6. TIẾN ĐỘ MUA HÀNG'!$A$4:$AT$4, 0)) &lt; 0)
)</f>
        <v>0</v>
      </c>
      <c r="W51" s="755">
        <f t="shared" si="32"/>
        <v>0</v>
      </c>
      <c r="X51" s="756">
        <f t="array" ref="X51">SUMPRODUCT((TRIM(INDEX('6. TIẾN ĐỘ MUA HÀNG'!$A$5:$AT644, 0, XMATCH("NCC VTBB/NL trong nước", '6. TIẾN ĐỘ MUA HÀNG'!$A$4:$AT$4, 0))) = TRIM($B51)) * (TRIM(INDEX('6. TIẾN ĐỘ MUA HÀNG'!$A$5:$AT644, 0, XMATCH("Tháng", '6. TIẾN ĐỘ MUA HÀNG'!$A$4:$AT$4, 0))) = TRIM(X$6)) * (INDEX('6. TIẾN ĐỘ MUA HÀNG'!$A$5:$AT644, 0, XMATCH("Mã đơn Misa", '6. TIẾN ĐỘ MUA HÀNG'!$A$4:$AT$4, 0)) &lt;&gt; ""))</f>
        <v>0</v>
      </c>
      <c r="Y51" s="756">
        <f t="array" ref="Y51">SUMPRODUCT(
  (INDEX('6. TIẾN ĐỘ MUA HÀNG'!$A$5:$AT644, 0, XMATCH("NCC VTBB/NL trong nước", '6. TIẾN ĐỘ MUA HÀNG'!$A$4:$AT$4, 0)) = $B51) * (TRIM(INDEX('6. TIẾN ĐỘ MUA HÀNG'!$A$5:$AT644, 0, XMATCH("Tháng", '6. TIẾN ĐỘ MUA HÀNG'!$A$4:$AT$4, 0))) = TRIM(X$6)) * (INDEX('6. TIẾN ĐỘ MUA HÀNG'!$A$5:$AT644, 0, XMATCH("CL NGÀY NCC DỰ KIẾN - NGÀY NHẬN HÀNG", '6. TIẾN ĐỘ MUA HÀNG'!$A$4:$AT$4, 0)) &lt; 0)
)</f>
        <v>0</v>
      </c>
      <c r="Z51" s="757">
        <f t="shared" si="21"/>
        <v>0</v>
      </c>
      <c r="AA51" s="754">
        <f t="array" ref="AA51">SUMPRODUCT((TRIM(INDEX('6. TIẾN ĐỘ MUA HÀNG'!$A$5:$AT644, 0, XMATCH("NCC VTBB/NL trong nước", '6. TIẾN ĐỘ MUA HÀNG'!$A$4:$AT$4, 0))) = TRIM($B51)) * (TRIM(INDEX('6. TIẾN ĐỘ MUA HÀNG'!$A$5:$AT644, 0, XMATCH("Tháng", '6. TIẾN ĐỘ MUA HÀNG'!$A$4:$AT$4, 0))) = TRIM(AA$6)) * (INDEX('6. TIẾN ĐỘ MUA HÀNG'!$A$5:$AT644, 0, XMATCH("Mã đơn Misa", '6. TIẾN ĐỘ MUA HÀNG'!$A$4:$AT$4, 0)) &lt;&gt; ""))</f>
        <v>0</v>
      </c>
      <c r="AB51" s="754">
        <f t="array" ref="AB51">SUMPRODUCT(
  (INDEX('6. TIẾN ĐỘ MUA HÀNG'!$A$5:$AT644, 0, XMATCH("NCC VTBB/NL trong nước", '6. TIẾN ĐỘ MUA HÀNG'!$A$4:$AT$4, 0)) = $B51) * (TRIM(INDEX('6. TIẾN ĐỘ MUA HÀNG'!$A$5:$AT644, 0, XMATCH("Tháng", '6. TIẾN ĐỘ MUA HÀNG'!$A$4:$AT$4, 0))) = TRIM(AA$6)) * (INDEX('6. TIẾN ĐỘ MUA HÀNG'!$A$5:$AT644, 0, XMATCH("CL NGÀY NCC DỰ KIẾN - NGÀY NHẬN HÀNG", '6. TIẾN ĐỘ MUA HÀNG'!$A$4:$AT$4, 0)) &lt; 0)
)</f>
        <v>0</v>
      </c>
      <c r="AC51" s="755">
        <f t="shared" si="33"/>
        <v>0</v>
      </c>
      <c r="AD51" s="756">
        <f t="array" ref="AD51">SUMPRODUCT((TRIM(INDEX('6. TIẾN ĐỘ MUA HÀNG'!$A$5:$AT644, 0, XMATCH("NCC VTBB/NL trong nước", '6. TIẾN ĐỘ MUA HÀNG'!$A$4:$AT$4, 0))) = TRIM($B51)) * (TRIM(INDEX('6. TIẾN ĐỘ MUA HÀNG'!$A$5:$AT644, 0, XMATCH("Tháng", '6. TIẾN ĐỘ MUA HÀNG'!$A$4:$AT$4, 0))) = TRIM(AD$6)) * (INDEX('6. TIẾN ĐỘ MUA HÀNG'!$A$5:$AT644, 0, XMATCH("Mã đơn Misa", '6. TIẾN ĐỘ MUA HÀNG'!$A$4:$AT$4, 0)) &lt;&gt; ""))</f>
        <v>0</v>
      </c>
      <c r="AE51" s="756">
        <f t="array" ref="AE51">SUMPRODUCT(
  (INDEX('6. TIẾN ĐỘ MUA HÀNG'!$A$5:$AT644, 0, XMATCH("NCC VTBB/NL trong nước", '6. TIẾN ĐỘ MUA HÀNG'!$A$4:$AT$4, 0)) = $B51) * (TRIM(INDEX('6. TIẾN ĐỘ MUA HÀNG'!$A$5:$AT644, 0, XMATCH("Tháng", '6. TIẾN ĐỘ MUA HÀNG'!$A$4:$AT$4, 0))) = TRIM(AD$6)) * (INDEX('6. TIẾN ĐỘ MUA HÀNG'!$A$5:$AT644, 0, XMATCH("CL NGÀY NCC DỰ KIẾN - NGÀY NHẬN HÀNG", '6. TIẾN ĐỘ MUA HÀNG'!$A$4:$AT$4, 0)) &lt; 0)
)</f>
        <v>0</v>
      </c>
      <c r="AF51" s="757">
        <f t="shared" si="23"/>
        <v>0</v>
      </c>
      <c r="AG51" s="754">
        <f t="array" ref="AG51">SUMPRODUCT((TRIM(INDEX('6. TIẾN ĐỘ MUA HÀNG'!$A$5:$AT644, 0, XMATCH("NCC VTBB/NL trong nước", '6. TIẾN ĐỘ MUA HÀNG'!$A$4:$AT$4, 0))) = TRIM($B51)) * (TRIM(INDEX('6. TIẾN ĐỘ MUA HÀNG'!$A$5:$AT644, 0, XMATCH("Tháng", '6. TIẾN ĐỘ MUA HÀNG'!$A$4:$AT$4, 0))) = TRIM(AG$6)) * (INDEX('6. TIẾN ĐỘ MUA HÀNG'!$A$5:$AT644, 0, XMATCH("Mã đơn Misa", '6. TIẾN ĐỘ MUA HÀNG'!$A$4:$AT$4, 0)) &lt;&gt; ""))</f>
        <v>0</v>
      </c>
      <c r="AH51" s="754">
        <f t="array" ref="AH51">SUMPRODUCT(
  (INDEX('6. TIẾN ĐỘ MUA HÀNG'!$A$5:$AT644, 0, XMATCH("NCC VTBB/NL trong nước", '6. TIẾN ĐỘ MUA HÀNG'!$A$4:$AT$4, 0)) = $B51) * (TRIM(INDEX('6. TIẾN ĐỘ MUA HÀNG'!$A$5:$AT644, 0, XMATCH("Tháng", '6. TIẾN ĐỘ MUA HÀNG'!$A$4:$AT$4, 0))) = TRIM(AG$6)) * (INDEX('6. TIẾN ĐỘ MUA HÀNG'!$A$5:$AT644, 0, XMATCH("CL NGÀY NCC DỰ KIẾN - NGÀY NHẬN HÀNG", '6. TIẾN ĐỘ MUA HÀNG'!$A$4:$AT$4, 0)) &lt; 0)
)</f>
        <v>0</v>
      </c>
      <c r="AI51" s="755">
        <f t="shared" si="34"/>
        <v>0</v>
      </c>
      <c r="AJ51" s="756">
        <f t="array" ref="AJ51">SUMPRODUCT((TRIM(INDEX('6. TIẾN ĐỘ MUA HÀNG'!$A$5:$AT644, 0, XMATCH("NCC VTBB/NL trong nước", '6. TIẾN ĐỘ MUA HÀNG'!$A$4:$AT$4, 0))) = TRIM($B51)) * (TRIM(INDEX('6. TIẾN ĐỘ MUA HÀNG'!$A$5:$AT644, 0, XMATCH("Tháng", '6. TIẾN ĐỘ MUA HÀNG'!$A$4:$AT$4, 0))) = TRIM(AJ$6)) * (INDEX('6. TIẾN ĐỘ MUA HÀNG'!$A$5:$AT644, 0, XMATCH("Mã đơn Misa", '6. TIẾN ĐỘ MUA HÀNG'!$A$4:$AT$4, 0)) &lt;&gt; ""))</f>
        <v>0</v>
      </c>
      <c r="AK51" s="756">
        <f t="array" ref="AK51">SUMPRODUCT(
  (INDEX('6. TIẾN ĐỘ MUA HÀNG'!$A$5:$AT644, 0, XMATCH("NCC VTBB/NL trong nước", '6. TIẾN ĐỘ MUA HÀNG'!$A$4:$AT$4, 0)) = $B51) * (TRIM(INDEX('6. TIẾN ĐỘ MUA HÀNG'!$A$5:$AT644, 0, XMATCH("Tháng", '6. TIẾN ĐỘ MUA HÀNG'!$A$4:$AT$4, 0))) = TRIM(AJ$6)) * (INDEX('6. TIẾN ĐỘ MUA HÀNG'!$A$5:$AT644, 0, XMATCH("CL NGÀY NCC DỰ KIẾN - NGÀY NHẬN HÀNG", '6. TIẾN ĐỘ MUA HÀNG'!$A$4:$AT$4, 0)) &lt; 0)
)</f>
        <v>0</v>
      </c>
      <c r="AL51" s="757">
        <f t="shared" si="25"/>
        <v>0</v>
      </c>
      <c r="AM51" s="726">
        <f t="shared" si="27"/>
        <v>0</v>
      </c>
      <c r="AN51" s="726">
        <f t="shared" si="28"/>
        <v>0</v>
      </c>
      <c r="AO51" s="727">
        <f t="shared" si="26"/>
        <v>0</v>
      </c>
    </row>
    <row r="52">
      <c r="A52" s="612">
        <v>44.0</v>
      </c>
      <c r="B52" s="624" t="str">
        <f>IFERROR(__xludf.DUMMYFUNCTION("""COMPUTED_VALUE"""),"Thuận Duyên")</f>
        <v>Thuận Duyên</v>
      </c>
      <c r="C52" s="754">
        <f t="array" ref="C52">SUMPRODUCT((TRIM(INDEX('6. TIẾN ĐỘ MUA HÀNG'!$A$5:$AT644, 0, XMATCH("NCC VTBB/NL trong nước", '6. TIẾN ĐỘ MUA HÀNG'!$A$4:$AT$4, 0))) = TRIM($B52)) * (TRIM(INDEX('6. TIẾN ĐỘ MUA HÀNG'!$A$5:$AT644, 0, XMATCH("Tháng", '6. TIẾN ĐỘ MUA HÀNG'!$A$4:$AT$4, 0))) = TRIM(C$6)) * (INDEX('6. TIẾN ĐỘ MUA HÀNG'!$A$5:$AT644, 0, XMATCH("Mã đơn Misa", '6. TIẾN ĐỘ MUA HÀNG'!$A$4:$AT$4, 0)) &lt;&gt; ""))</f>
        <v>0</v>
      </c>
      <c r="D52" s="754">
        <f t="array" ref="D52">SUMPRODUCT(
  (INDEX('6. TIẾN ĐỘ MUA HÀNG'!$A$5:$AT644, 0, XMATCH("NCC VTBB/NL trong nước", '6. TIẾN ĐỘ MUA HÀNG'!$A$4:$AT$4, 0)) = $B52) * (TRIM(INDEX('6. TIẾN ĐỘ MUA HÀNG'!$A$5:$AT644, 0, XMATCH("Tháng", '6. TIẾN ĐỘ MUA HÀNG'!$A$4:$AT$4, 0))) = TRIM(C$6)) * (INDEX('6. TIẾN ĐỘ MUA HÀNG'!$A$5:$AT644, 0, XMATCH("CL NGÀY NCC DỰ KIẾN - NGÀY NHẬN HÀNG", '6. TIẾN ĐỘ MUA HÀNG'!$A$4:$AT$4, 0)) &lt; 0)
)</f>
        <v>0</v>
      </c>
      <c r="E52" s="755">
        <f t="shared" si="29"/>
        <v>0</v>
      </c>
      <c r="F52" s="756">
        <f t="array" ref="F52">SUMPRODUCT((TRIM(INDEX('6. TIẾN ĐỘ MUA HÀNG'!$A$5:$AT644, 0, XMATCH("NCC VTBB/NL trong nước", '6. TIẾN ĐỘ MUA HÀNG'!$A$4:$AT$4, 0))) = TRIM($B52)) * (TRIM(INDEX('6. TIẾN ĐỘ MUA HÀNG'!$A$5:$AT644, 0, XMATCH("Tháng", '6. TIẾN ĐỘ MUA HÀNG'!$A$4:$AT$4, 0))) = TRIM(F$6)) * (INDEX('6. TIẾN ĐỘ MUA HÀNG'!$A$5:$AT644, 0, XMATCH("Mã đơn Misa", '6. TIẾN ĐỘ MUA HÀNG'!$A$4:$AT$4, 0)) &lt;&gt; ""))</f>
        <v>0</v>
      </c>
      <c r="G52" s="756">
        <f t="array" ref="G52">SUMPRODUCT(
  (INDEX('6. TIẾN ĐỘ MUA HÀNG'!$A$5:$AT644, 0, XMATCH("NCC VTBB/NL trong nước", '6. TIẾN ĐỘ MUA HÀNG'!$A$4:$AT$4, 0)) = $B52) * (TRIM(INDEX('6. TIẾN ĐỘ MUA HÀNG'!$A$5:$AT644, 0, XMATCH("Tháng", '6. TIẾN ĐỘ MUA HÀNG'!$A$4:$AT$4, 0))) = TRIM(F$6)) * (INDEX('6. TIẾN ĐỘ MUA HÀNG'!$A$5:$AT644, 0, XMATCH("CL NGÀY NCC DỰ KIẾN - NGÀY NHẬN HÀNG", '6. TIẾN ĐỘ MUA HÀNG'!$A$4:$AT$4, 0)) &lt; 0)
)</f>
        <v>0</v>
      </c>
      <c r="H52" s="757">
        <f t="shared" si="15"/>
        <v>0</v>
      </c>
      <c r="I52" s="754">
        <f t="array" ref="I52">SUMPRODUCT((TRIM(INDEX('6. TIẾN ĐỘ MUA HÀNG'!$A$5:$AT644, 0, XMATCH("NCC VTBB/NL trong nước", '6. TIẾN ĐỘ MUA HÀNG'!$A$4:$AT$4, 0))) = TRIM($B52)) * (TRIM(INDEX('6. TIẾN ĐỘ MUA HÀNG'!$A$5:$AT644, 0, XMATCH("Tháng", '6. TIẾN ĐỘ MUA HÀNG'!$A$4:$AT$4, 0))) = TRIM(I$6)) * (INDEX('6. TIẾN ĐỘ MUA HÀNG'!$A$5:$AT644, 0, XMATCH("Mã đơn Misa", '6. TIẾN ĐỘ MUA HÀNG'!$A$4:$AT$4, 0)) &lt;&gt; ""))</f>
        <v>0</v>
      </c>
      <c r="J52" s="754">
        <f t="array" ref="J52">SUMPRODUCT(
  (INDEX('6. TIẾN ĐỘ MUA HÀNG'!$A$5:$AT644, 0, XMATCH("NCC VTBB/NL trong nước", '6. TIẾN ĐỘ MUA HÀNG'!$A$4:$AT$4, 0)) = $B52) * (TRIM(INDEX('6. TIẾN ĐỘ MUA HÀNG'!$A$5:$AT644, 0, XMATCH("Tháng", '6. TIẾN ĐỘ MUA HÀNG'!$A$4:$AT$4, 0))) = TRIM(I$6)) * (INDEX('6. TIẾN ĐỘ MUA HÀNG'!$A$5:$AT644, 0, XMATCH("CL NGÀY NCC DỰ KIẾN - NGÀY NHẬN HÀNG", '6. TIẾN ĐỘ MUA HÀNG'!$A$4:$AT$4, 0)) &lt; 0)
)</f>
        <v>0</v>
      </c>
      <c r="K52" s="755">
        <f t="shared" si="30"/>
        <v>0</v>
      </c>
      <c r="L52" s="756">
        <f t="array" ref="L52">SUMPRODUCT((TRIM(INDEX('6. TIẾN ĐỘ MUA HÀNG'!$A$5:$AT644, 0, XMATCH("NCC VTBB/NL trong nước", '6. TIẾN ĐỘ MUA HÀNG'!$A$4:$AT$4, 0))) = TRIM($B52)) * (TRIM(INDEX('6. TIẾN ĐỘ MUA HÀNG'!$A$5:$AT644, 0, XMATCH("Tháng", '6. TIẾN ĐỘ MUA HÀNG'!$A$4:$AT$4, 0))) = TRIM(L$6)) * (INDEX('6. TIẾN ĐỘ MUA HÀNG'!$A$5:$AT644, 0, XMATCH("Mã đơn Misa", '6. TIẾN ĐỘ MUA HÀNG'!$A$4:$AT$4, 0)) &lt;&gt; ""))</f>
        <v>0</v>
      </c>
      <c r="M52" s="756">
        <f t="array" ref="M52">SUMPRODUCT(
  (INDEX('6. TIẾN ĐỘ MUA HÀNG'!$A$5:$AT644, 0, XMATCH("NCC VTBB/NL trong nước", '6. TIẾN ĐỘ MUA HÀNG'!$A$4:$AT$4, 0)) = $B52) * (TRIM(INDEX('6. TIẾN ĐỘ MUA HÀNG'!$A$5:$AT644, 0, XMATCH("Tháng", '6. TIẾN ĐỘ MUA HÀNG'!$A$4:$AT$4, 0))) = TRIM(L$6)) * (INDEX('6. TIẾN ĐỘ MUA HÀNG'!$A$5:$AT644, 0, XMATCH("CL NGÀY NCC DỰ KIẾN - NGÀY NHẬN HÀNG", '6. TIẾN ĐỘ MUA HÀNG'!$A$4:$AT$4, 0)) &lt; 0)
)</f>
        <v>0</v>
      </c>
      <c r="N52" s="757">
        <f t="shared" si="17"/>
        <v>0</v>
      </c>
      <c r="O52" s="754">
        <f t="array" ref="O52">SUMPRODUCT((TRIM(INDEX('6. TIẾN ĐỘ MUA HÀNG'!$A$5:$AT644, 0, XMATCH("NCC VTBB/NL trong nước", '6. TIẾN ĐỘ MUA HÀNG'!$A$4:$AT$4, 0))) = TRIM($B52)) * (TRIM(INDEX('6. TIẾN ĐỘ MUA HÀNG'!$A$5:$AT644, 0, XMATCH("Tháng", '6. TIẾN ĐỘ MUA HÀNG'!$A$4:$AT$4, 0))) = TRIM(O$6)) * (INDEX('6. TIẾN ĐỘ MUA HÀNG'!$A$5:$AT644, 0, XMATCH("Mã đơn Misa", '6. TIẾN ĐỘ MUA HÀNG'!$A$4:$AT$4, 0)) &lt;&gt; ""))</f>
        <v>0</v>
      </c>
      <c r="P52" s="754">
        <f t="array" ref="P52">SUMPRODUCT(
  (INDEX('6. TIẾN ĐỘ MUA HÀNG'!$A$5:$AT644, 0, XMATCH("NCC VTBB/NL trong nước", '6. TIẾN ĐỘ MUA HÀNG'!$A$4:$AT$4, 0)) = $B52) * (TRIM(INDEX('6. TIẾN ĐỘ MUA HÀNG'!$A$5:$AT644, 0, XMATCH("Tháng", '6. TIẾN ĐỘ MUA HÀNG'!$A$4:$AT$4, 0))) = TRIM(O$6)) * (INDEX('6. TIẾN ĐỘ MUA HÀNG'!$A$5:$AT644, 0, XMATCH("CL NGÀY NCC DỰ KIẾN - NGÀY NHẬN HÀNG", '6. TIẾN ĐỘ MUA HÀNG'!$A$4:$AT$4, 0)) &lt; 0)
)</f>
        <v>0</v>
      </c>
      <c r="Q52" s="755">
        <f t="shared" si="31"/>
        <v>0</v>
      </c>
      <c r="R52" s="756">
        <f t="array" ref="R52">SUMPRODUCT((TRIM(INDEX('6. TIẾN ĐỘ MUA HÀNG'!$A$5:$AT644, 0, XMATCH("NCC VTBB/NL trong nước", '6. TIẾN ĐỘ MUA HÀNG'!$A$4:$AT$4, 0))) = TRIM($B52)) * (TRIM(INDEX('6. TIẾN ĐỘ MUA HÀNG'!$A$5:$AT644, 0, XMATCH("Tháng", '6. TIẾN ĐỘ MUA HÀNG'!$A$4:$AT$4, 0))) = TRIM(R$6)) * (INDEX('6. TIẾN ĐỘ MUA HÀNG'!$A$5:$AT644, 0, XMATCH("Mã đơn Misa", '6. TIẾN ĐỘ MUA HÀNG'!$A$4:$AT$4, 0)) &lt;&gt; ""))</f>
        <v>0</v>
      </c>
      <c r="S52" s="756">
        <f t="array" ref="S52">SUMPRODUCT(
  (INDEX('6. TIẾN ĐỘ MUA HÀNG'!$A$5:$AT644, 0, XMATCH("NCC VTBB/NL trong nước", '6. TIẾN ĐỘ MUA HÀNG'!$A$4:$AT$4, 0)) = $B52) * (TRIM(INDEX('6. TIẾN ĐỘ MUA HÀNG'!$A$5:$AT644, 0, XMATCH("Tháng", '6. TIẾN ĐỘ MUA HÀNG'!$A$4:$AT$4, 0))) = TRIM(R$6)) * (INDEX('6. TIẾN ĐỘ MUA HÀNG'!$A$5:$AT644, 0, XMATCH("CL NGÀY NCC DỰ KIẾN - NGÀY NHẬN HÀNG", '6. TIẾN ĐỘ MUA HÀNG'!$A$4:$AT$4, 0)) &lt; 0)
)</f>
        <v>0</v>
      </c>
      <c r="T52" s="757">
        <f t="shared" si="19"/>
        <v>0</v>
      </c>
      <c r="U52" s="754">
        <f t="array" ref="U52">SUMPRODUCT((TRIM(INDEX('6. TIẾN ĐỘ MUA HÀNG'!$A$5:$AT644, 0, XMATCH("NCC VTBB/NL trong nước", '6. TIẾN ĐỘ MUA HÀNG'!$A$4:$AT$4, 0))) = TRIM($B52)) * (TRIM(INDEX('6. TIẾN ĐỘ MUA HÀNG'!$A$5:$AT644, 0, XMATCH("Tháng", '6. TIẾN ĐỘ MUA HÀNG'!$A$4:$AT$4, 0))) = TRIM(U$6)) * (INDEX('6. TIẾN ĐỘ MUA HÀNG'!$A$5:$AT644, 0, XMATCH("Mã đơn Misa", '6. TIẾN ĐỘ MUA HÀNG'!$A$4:$AT$4, 0)) &lt;&gt; ""))</f>
        <v>0</v>
      </c>
      <c r="V52" s="754">
        <f t="array" ref="V52">SUMPRODUCT(
  (INDEX('6. TIẾN ĐỘ MUA HÀNG'!$A$5:$AT644, 0, XMATCH("NCC VTBB/NL trong nước", '6. TIẾN ĐỘ MUA HÀNG'!$A$4:$AT$4, 0)) = $B52) * (TRIM(INDEX('6. TIẾN ĐỘ MUA HÀNG'!$A$5:$AT644, 0, XMATCH("Tháng", '6. TIẾN ĐỘ MUA HÀNG'!$A$4:$AT$4, 0))) = TRIM(U$6)) * (INDEX('6. TIẾN ĐỘ MUA HÀNG'!$A$5:$AT644, 0, XMATCH("CL NGÀY NCC DỰ KIẾN - NGÀY NHẬN HÀNG", '6. TIẾN ĐỘ MUA HÀNG'!$A$4:$AT$4, 0)) &lt; 0)
)</f>
        <v>0</v>
      </c>
      <c r="W52" s="755">
        <f t="shared" si="32"/>
        <v>0</v>
      </c>
      <c r="X52" s="756">
        <f t="array" ref="X52">SUMPRODUCT((TRIM(INDEX('6. TIẾN ĐỘ MUA HÀNG'!$A$5:$AT644, 0, XMATCH("NCC VTBB/NL trong nước", '6. TIẾN ĐỘ MUA HÀNG'!$A$4:$AT$4, 0))) = TRIM($B52)) * (TRIM(INDEX('6. TIẾN ĐỘ MUA HÀNG'!$A$5:$AT644, 0, XMATCH("Tháng", '6. TIẾN ĐỘ MUA HÀNG'!$A$4:$AT$4, 0))) = TRIM(X$6)) * (INDEX('6. TIẾN ĐỘ MUA HÀNG'!$A$5:$AT644, 0, XMATCH("Mã đơn Misa", '6. TIẾN ĐỘ MUA HÀNG'!$A$4:$AT$4, 0)) &lt;&gt; ""))</f>
        <v>0</v>
      </c>
      <c r="Y52" s="756">
        <f t="array" ref="Y52">SUMPRODUCT(
  (INDEX('6. TIẾN ĐỘ MUA HÀNG'!$A$5:$AT644, 0, XMATCH("NCC VTBB/NL trong nước", '6. TIẾN ĐỘ MUA HÀNG'!$A$4:$AT$4, 0)) = $B52) * (TRIM(INDEX('6. TIẾN ĐỘ MUA HÀNG'!$A$5:$AT644, 0, XMATCH("Tháng", '6. TIẾN ĐỘ MUA HÀNG'!$A$4:$AT$4, 0))) = TRIM(X$6)) * (INDEX('6. TIẾN ĐỘ MUA HÀNG'!$A$5:$AT644, 0, XMATCH("CL NGÀY NCC DỰ KIẾN - NGÀY NHẬN HÀNG", '6. TIẾN ĐỘ MUA HÀNG'!$A$4:$AT$4, 0)) &lt; 0)
)</f>
        <v>0</v>
      </c>
      <c r="Z52" s="757">
        <f t="shared" si="21"/>
        <v>0</v>
      </c>
      <c r="AA52" s="754">
        <f t="array" ref="AA52">SUMPRODUCT((TRIM(INDEX('6. TIẾN ĐỘ MUA HÀNG'!$A$5:$AT644, 0, XMATCH("NCC VTBB/NL trong nước", '6. TIẾN ĐỘ MUA HÀNG'!$A$4:$AT$4, 0))) = TRIM($B52)) * (TRIM(INDEX('6. TIẾN ĐỘ MUA HÀNG'!$A$5:$AT644, 0, XMATCH("Tháng", '6. TIẾN ĐỘ MUA HÀNG'!$A$4:$AT$4, 0))) = TRIM(AA$6)) * (INDEX('6. TIẾN ĐỘ MUA HÀNG'!$A$5:$AT644, 0, XMATCH("Mã đơn Misa", '6. TIẾN ĐỘ MUA HÀNG'!$A$4:$AT$4, 0)) &lt;&gt; ""))</f>
        <v>0</v>
      </c>
      <c r="AB52" s="754">
        <f t="array" ref="AB52">SUMPRODUCT(
  (INDEX('6. TIẾN ĐỘ MUA HÀNG'!$A$5:$AT644, 0, XMATCH("NCC VTBB/NL trong nước", '6. TIẾN ĐỘ MUA HÀNG'!$A$4:$AT$4, 0)) = $B52) * (TRIM(INDEX('6. TIẾN ĐỘ MUA HÀNG'!$A$5:$AT644, 0, XMATCH("Tháng", '6. TIẾN ĐỘ MUA HÀNG'!$A$4:$AT$4, 0))) = TRIM(AA$6)) * (INDEX('6. TIẾN ĐỘ MUA HÀNG'!$A$5:$AT644, 0, XMATCH("CL NGÀY NCC DỰ KIẾN - NGÀY NHẬN HÀNG", '6. TIẾN ĐỘ MUA HÀNG'!$A$4:$AT$4, 0)) &lt; 0)
)</f>
        <v>0</v>
      </c>
      <c r="AC52" s="755">
        <f t="shared" si="33"/>
        <v>0</v>
      </c>
      <c r="AD52" s="756">
        <f t="array" ref="AD52">SUMPRODUCT((TRIM(INDEX('6. TIẾN ĐỘ MUA HÀNG'!$A$5:$AT644, 0, XMATCH("NCC VTBB/NL trong nước", '6. TIẾN ĐỘ MUA HÀNG'!$A$4:$AT$4, 0))) = TRIM($B52)) * (TRIM(INDEX('6. TIẾN ĐỘ MUA HÀNG'!$A$5:$AT644, 0, XMATCH("Tháng", '6. TIẾN ĐỘ MUA HÀNG'!$A$4:$AT$4, 0))) = TRIM(AD$6)) * (INDEX('6. TIẾN ĐỘ MUA HÀNG'!$A$5:$AT644, 0, XMATCH("Mã đơn Misa", '6. TIẾN ĐỘ MUA HÀNG'!$A$4:$AT$4, 0)) &lt;&gt; ""))</f>
        <v>0</v>
      </c>
      <c r="AE52" s="756">
        <f t="array" ref="AE52">SUMPRODUCT(
  (INDEX('6. TIẾN ĐỘ MUA HÀNG'!$A$5:$AT644, 0, XMATCH("NCC VTBB/NL trong nước", '6. TIẾN ĐỘ MUA HÀNG'!$A$4:$AT$4, 0)) = $B52) * (TRIM(INDEX('6. TIẾN ĐỘ MUA HÀNG'!$A$5:$AT644, 0, XMATCH("Tháng", '6. TIẾN ĐỘ MUA HÀNG'!$A$4:$AT$4, 0))) = TRIM(AD$6)) * (INDEX('6. TIẾN ĐỘ MUA HÀNG'!$A$5:$AT644, 0, XMATCH("CL NGÀY NCC DỰ KIẾN - NGÀY NHẬN HÀNG", '6. TIẾN ĐỘ MUA HÀNG'!$A$4:$AT$4, 0)) &lt; 0)
)</f>
        <v>0</v>
      </c>
      <c r="AF52" s="757">
        <f t="shared" si="23"/>
        <v>0</v>
      </c>
      <c r="AG52" s="754">
        <f t="array" ref="AG52">SUMPRODUCT((TRIM(INDEX('6. TIẾN ĐỘ MUA HÀNG'!$A$5:$AT644, 0, XMATCH("NCC VTBB/NL trong nước", '6. TIẾN ĐỘ MUA HÀNG'!$A$4:$AT$4, 0))) = TRIM($B52)) * (TRIM(INDEX('6. TIẾN ĐỘ MUA HÀNG'!$A$5:$AT644, 0, XMATCH("Tháng", '6. TIẾN ĐỘ MUA HÀNG'!$A$4:$AT$4, 0))) = TRIM(AG$6)) * (INDEX('6. TIẾN ĐỘ MUA HÀNG'!$A$5:$AT644, 0, XMATCH("Mã đơn Misa", '6. TIẾN ĐỘ MUA HÀNG'!$A$4:$AT$4, 0)) &lt;&gt; ""))</f>
        <v>0</v>
      </c>
      <c r="AH52" s="754">
        <f t="array" ref="AH52">SUMPRODUCT(
  (INDEX('6. TIẾN ĐỘ MUA HÀNG'!$A$5:$AT644, 0, XMATCH("NCC VTBB/NL trong nước", '6. TIẾN ĐỘ MUA HÀNG'!$A$4:$AT$4, 0)) = $B52) * (TRIM(INDEX('6. TIẾN ĐỘ MUA HÀNG'!$A$5:$AT644, 0, XMATCH("Tháng", '6. TIẾN ĐỘ MUA HÀNG'!$A$4:$AT$4, 0))) = TRIM(AG$6)) * (INDEX('6. TIẾN ĐỘ MUA HÀNG'!$A$5:$AT644, 0, XMATCH("CL NGÀY NCC DỰ KIẾN - NGÀY NHẬN HÀNG", '6. TIẾN ĐỘ MUA HÀNG'!$A$4:$AT$4, 0)) &lt; 0)
)</f>
        <v>0</v>
      </c>
      <c r="AI52" s="755">
        <f t="shared" si="34"/>
        <v>0</v>
      </c>
      <c r="AJ52" s="756">
        <f t="array" ref="AJ52">SUMPRODUCT((TRIM(INDEX('6. TIẾN ĐỘ MUA HÀNG'!$A$5:$AT644, 0, XMATCH("NCC VTBB/NL trong nước", '6. TIẾN ĐỘ MUA HÀNG'!$A$4:$AT$4, 0))) = TRIM($B52)) * (TRIM(INDEX('6. TIẾN ĐỘ MUA HÀNG'!$A$5:$AT644, 0, XMATCH("Tháng", '6. TIẾN ĐỘ MUA HÀNG'!$A$4:$AT$4, 0))) = TRIM(AJ$6)) * (INDEX('6. TIẾN ĐỘ MUA HÀNG'!$A$5:$AT644, 0, XMATCH("Mã đơn Misa", '6. TIẾN ĐỘ MUA HÀNG'!$A$4:$AT$4, 0)) &lt;&gt; ""))</f>
        <v>0</v>
      </c>
      <c r="AK52" s="756">
        <f t="array" ref="AK52">SUMPRODUCT(
  (INDEX('6. TIẾN ĐỘ MUA HÀNG'!$A$5:$AT644, 0, XMATCH("NCC VTBB/NL trong nước", '6. TIẾN ĐỘ MUA HÀNG'!$A$4:$AT$4, 0)) = $B52) * (TRIM(INDEX('6. TIẾN ĐỘ MUA HÀNG'!$A$5:$AT644, 0, XMATCH("Tháng", '6. TIẾN ĐỘ MUA HÀNG'!$A$4:$AT$4, 0))) = TRIM(AJ$6)) * (INDEX('6. TIẾN ĐỘ MUA HÀNG'!$A$5:$AT644, 0, XMATCH("CL NGÀY NCC DỰ KIẾN - NGÀY NHẬN HÀNG", '6. TIẾN ĐỘ MUA HÀNG'!$A$4:$AT$4, 0)) &lt; 0)
)</f>
        <v>0</v>
      </c>
      <c r="AL52" s="757">
        <f t="shared" si="25"/>
        <v>0</v>
      </c>
      <c r="AM52" s="726">
        <f t="shared" si="27"/>
        <v>0</v>
      </c>
      <c r="AN52" s="726">
        <f t="shared" si="28"/>
        <v>0</v>
      </c>
      <c r="AO52" s="727">
        <f t="shared" si="26"/>
        <v>0</v>
      </c>
    </row>
    <row r="53">
      <c r="A53" s="612">
        <v>45.0</v>
      </c>
      <c r="B53" s="624" t="str">
        <f>IFERROR(__xludf.DUMMYFUNCTION("""COMPUTED_VALUE"""),"Việt Mỹ")</f>
        <v>Việt Mỹ</v>
      </c>
      <c r="C53" s="754">
        <f t="array" ref="C53">SUMPRODUCT((TRIM(INDEX('6. TIẾN ĐỘ MUA HÀNG'!$A$5:$AT644, 0, XMATCH("NCC VTBB/NL trong nước", '6. TIẾN ĐỘ MUA HÀNG'!$A$4:$AT$4, 0))) = TRIM($B53)) * (TRIM(INDEX('6. TIẾN ĐỘ MUA HÀNG'!$A$5:$AT644, 0, XMATCH("Tháng", '6. TIẾN ĐỘ MUA HÀNG'!$A$4:$AT$4, 0))) = TRIM(C$6)) * (INDEX('6. TIẾN ĐỘ MUA HÀNG'!$A$5:$AT644, 0, XMATCH("Mã đơn Misa", '6. TIẾN ĐỘ MUA HÀNG'!$A$4:$AT$4, 0)) &lt;&gt; ""))</f>
        <v>0</v>
      </c>
      <c r="D53" s="754">
        <f t="array" ref="D53">SUMPRODUCT(
  (INDEX('6. TIẾN ĐỘ MUA HÀNG'!$A$5:$AT644, 0, XMATCH("NCC VTBB/NL trong nước", '6. TIẾN ĐỘ MUA HÀNG'!$A$4:$AT$4, 0)) = $B53) * (TRIM(INDEX('6. TIẾN ĐỘ MUA HÀNG'!$A$5:$AT644, 0, XMATCH("Tháng", '6. TIẾN ĐỘ MUA HÀNG'!$A$4:$AT$4, 0))) = TRIM(C$6)) * (INDEX('6. TIẾN ĐỘ MUA HÀNG'!$A$5:$AT644, 0, XMATCH("CL NGÀY NCC DỰ KIẾN - NGÀY NHẬN HÀNG", '6. TIẾN ĐỘ MUA HÀNG'!$A$4:$AT$4, 0)) &lt; 0)
)</f>
        <v>0</v>
      </c>
      <c r="E53" s="755">
        <f t="shared" si="29"/>
        <v>0</v>
      </c>
      <c r="F53" s="756">
        <f t="array" ref="F53">SUMPRODUCT((TRIM(INDEX('6. TIẾN ĐỘ MUA HÀNG'!$A$5:$AT644, 0, XMATCH("NCC VTBB/NL trong nước", '6. TIẾN ĐỘ MUA HÀNG'!$A$4:$AT$4, 0))) = TRIM($B53)) * (TRIM(INDEX('6. TIẾN ĐỘ MUA HÀNG'!$A$5:$AT644, 0, XMATCH("Tháng", '6. TIẾN ĐỘ MUA HÀNG'!$A$4:$AT$4, 0))) = TRIM(F$6)) * (INDEX('6. TIẾN ĐỘ MUA HÀNG'!$A$5:$AT644, 0, XMATCH("Mã đơn Misa", '6. TIẾN ĐỘ MUA HÀNG'!$A$4:$AT$4, 0)) &lt;&gt; ""))</f>
        <v>0</v>
      </c>
      <c r="G53" s="756">
        <f t="array" ref="G53">SUMPRODUCT(
  (INDEX('6. TIẾN ĐỘ MUA HÀNG'!$A$5:$AT644, 0, XMATCH("NCC VTBB/NL trong nước", '6. TIẾN ĐỘ MUA HÀNG'!$A$4:$AT$4, 0)) = $B53) * (TRIM(INDEX('6. TIẾN ĐỘ MUA HÀNG'!$A$5:$AT644, 0, XMATCH("Tháng", '6. TIẾN ĐỘ MUA HÀNG'!$A$4:$AT$4, 0))) = TRIM(F$6)) * (INDEX('6. TIẾN ĐỘ MUA HÀNG'!$A$5:$AT644, 0, XMATCH("CL NGÀY NCC DỰ KIẾN - NGÀY NHẬN HÀNG", '6. TIẾN ĐỘ MUA HÀNG'!$A$4:$AT$4, 0)) &lt; 0)
)</f>
        <v>0</v>
      </c>
      <c r="H53" s="757">
        <f t="shared" si="15"/>
        <v>0</v>
      </c>
      <c r="I53" s="754">
        <f t="array" ref="I53">SUMPRODUCT((TRIM(INDEX('6. TIẾN ĐỘ MUA HÀNG'!$A$5:$AT644, 0, XMATCH("NCC VTBB/NL trong nước", '6. TIẾN ĐỘ MUA HÀNG'!$A$4:$AT$4, 0))) = TRIM($B53)) * (TRIM(INDEX('6. TIẾN ĐỘ MUA HÀNG'!$A$5:$AT644, 0, XMATCH("Tháng", '6. TIẾN ĐỘ MUA HÀNG'!$A$4:$AT$4, 0))) = TRIM(I$6)) * (INDEX('6. TIẾN ĐỘ MUA HÀNG'!$A$5:$AT644, 0, XMATCH("Mã đơn Misa", '6. TIẾN ĐỘ MUA HÀNG'!$A$4:$AT$4, 0)) &lt;&gt; ""))</f>
        <v>0</v>
      </c>
      <c r="J53" s="754">
        <f t="array" ref="J53">SUMPRODUCT(
  (INDEX('6. TIẾN ĐỘ MUA HÀNG'!$A$5:$AT644, 0, XMATCH("NCC VTBB/NL trong nước", '6. TIẾN ĐỘ MUA HÀNG'!$A$4:$AT$4, 0)) = $B53) * (TRIM(INDEX('6. TIẾN ĐỘ MUA HÀNG'!$A$5:$AT644, 0, XMATCH("Tháng", '6. TIẾN ĐỘ MUA HÀNG'!$A$4:$AT$4, 0))) = TRIM(I$6)) * (INDEX('6. TIẾN ĐỘ MUA HÀNG'!$A$5:$AT644, 0, XMATCH("CL NGÀY NCC DỰ KIẾN - NGÀY NHẬN HÀNG", '6. TIẾN ĐỘ MUA HÀNG'!$A$4:$AT$4, 0)) &lt; 0)
)</f>
        <v>0</v>
      </c>
      <c r="K53" s="755">
        <f t="shared" si="30"/>
        <v>0</v>
      </c>
      <c r="L53" s="756">
        <f t="array" ref="L53">SUMPRODUCT((TRIM(INDEX('6. TIẾN ĐỘ MUA HÀNG'!$A$5:$AT644, 0, XMATCH("NCC VTBB/NL trong nước", '6. TIẾN ĐỘ MUA HÀNG'!$A$4:$AT$4, 0))) = TRIM($B53)) * (TRIM(INDEX('6. TIẾN ĐỘ MUA HÀNG'!$A$5:$AT644, 0, XMATCH("Tháng", '6. TIẾN ĐỘ MUA HÀNG'!$A$4:$AT$4, 0))) = TRIM(L$6)) * (INDEX('6. TIẾN ĐỘ MUA HÀNG'!$A$5:$AT644, 0, XMATCH("Mã đơn Misa", '6. TIẾN ĐỘ MUA HÀNG'!$A$4:$AT$4, 0)) &lt;&gt; ""))</f>
        <v>0</v>
      </c>
      <c r="M53" s="756">
        <f t="array" ref="M53">SUMPRODUCT(
  (INDEX('6. TIẾN ĐỘ MUA HÀNG'!$A$5:$AT644, 0, XMATCH("NCC VTBB/NL trong nước", '6. TIẾN ĐỘ MUA HÀNG'!$A$4:$AT$4, 0)) = $B53) * (TRIM(INDEX('6. TIẾN ĐỘ MUA HÀNG'!$A$5:$AT644, 0, XMATCH("Tháng", '6. TIẾN ĐỘ MUA HÀNG'!$A$4:$AT$4, 0))) = TRIM(L$6)) * (INDEX('6. TIẾN ĐỘ MUA HÀNG'!$A$5:$AT644, 0, XMATCH("CL NGÀY NCC DỰ KIẾN - NGÀY NHẬN HÀNG", '6. TIẾN ĐỘ MUA HÀNG'!$A$4:$AT$4, 0)) &lt; 0)
)</f>
        <v>0</v>
      </c>
      <c r="N53" s="757">
        <f t="shared" si="17"/>
        <v>0</v>
      </c>
      <c r="O53" s="754">
        <f t="array" ref="O53">SUMPRODUCT((TRIM(INDEX('6. TIẾN ĐỘ MUA HÀNG'!$A$5:$AT644, 0, XMATCH("NCC VTBB/NL trong nước", '6. TIẾN ĐỘ MUA HÀNG'!$A$4:$AT$4, 0))) = TRIM($B53)) * (TRIM(INDEX('6. TIẾN ĐỘ MUA HÀNG'!$A$5:$AT644, 0, XMATCH("Tháng", '6. TIẾN ĐỘ MUA HÀNG'!$A$4:$AT$4, 0))) = TRIM(O$6)) * (INDEX('6. TIẾN ĐỘ MUA HÀNG'!$A$5:$AT644, 0, XMATCH("Mã đơn Misa", '6. TIẾN ĐỘ MUA HÀNG'!$A$4:$AT$4, 0)) &lt;&gt; ""))</f>
        <v>0</v>
      </c>
      <c r="P53" s="754">
        <f t="array" ref="P53">SUMPRODUCT(
  (INDEX('6. TIẾN ĐỘ MUA HÀNG'!$A$5:$AT644, 0, XMATCH("NCC VTBB/NL trong nước", '6. TIẾN ĐỘ MUA HÀNG'!$A$4:$AT$4, 0)) = $B53) * (TRIM(INDEX('6. TIẾN ĐỘ MUA HÀNG'!$A$5:$AT644, 0, XMATCH("Tháng", '6. TIẾN ĐỘ MUA HÀNG'!$A$4:$AT$4, 0))) = TRIM(O$6)) * (INDEX('6. TIẾN ĐỘ MUA HÀNG'!$A$5:$AT644, 0, XMATCH("CL NGÀY NCC DỰ KIẾN - NGÀY NHẬN HÀNG", '6. TIẾN ĐỘ MUA HÀNG'!$A$4:$AT$4, 0)) &lt; 0)
)</f>
        <v>0</v>
      </c>
      <c r="Q53" s="755">
        <f t="shared" si="31"/>
        <v>0</v>
      </c>
      <c r="R53" s="756">
        <f t="array" ref="R53">SUMPRODUCT((TRIM(INDEX('6. TIẾN ĐỘ MUA HÀNG'!$A$5:$AT644, 0, XMATCH("NCC VTBB/NL trong nước", '6. TIẾN ĐỘ MUA HÀNG'!$A$4:$AT$4, 0))) = TRIM($B53)) * (TRIM(INDEX('6. TIẾN ĐỘ MUA HÀNG'!$A$5:$AT644, 0, XMATCH("Tháng", '6. TIẾN ĐỘ MUA HÀNG'!$A$4:$AT$4, 0))) = TRIM(R$6)) * (INDEX('6. TIẾN ĐỘ MUA HÀNG'!$A$5:$AT644, 0, XMATCH("Mã đơn Misa", '6. TIẾN ĐỘ MUA HÀNG'!$A$4:$AT$4, 0)) &lt;&gt; ""))</f>
        <v>0</v>
      </c>
      <c r="S53" s="756">
        <f t="array" ref="S53">SUMPRODUCT(
  (INDEX('6. TIẾN ĐỘ MUA HÀNG'!$A$5:$AT644, 0, XMATCH("NCC VTBB/NL trong nước", '6. TIẾN ĐỘ MUA HÀNG'!$A$4:$AT$4, 0)) = $B53) * (TRIM(INDEX('6. TIẾN ĐỘ MUA HÀNG'!$A$5:$AT644, 0, XMATCH("Tháng", '6. TIẾN ĐỘ MUA HÀNG'!$A$4:$AT$4, 0))) = TRIM(R$6)) * (INDEX('6. TIẾN ĐỘ MUA HÀNG'!$A$5:$AT644, 0, XMATCH("CL NGÀY NCC DỰ KIẾN - NGÀY NHẬN HÀNG", '6. TIẾN ĐỘ MUA HÀNG'!$A$4:$AT$4, 0)) &lt; 0)
)</f>
        <v>0</v>
      </c>
      <c r="T53" s="757">
        <f t="shared" si="19"/>
        <v>0</v>
      </c>
      <c r="U53" s="754">
        <f t="array" ref="U53">SUMPRODUCT((TRIM(INDEX('6. TIẾN ĐỘ MUA HÀNG'!$A$5:$AT644, 0, XMATCH("NCC VTBB/NL trong nước", '6. TIẾN ĐỘ MUA HÀNG'!$A$4:$AT$4, 0))) = TRIM($B53)) * (TRIM(INDEX('6. TIẾN ĐỘ MUA HÀNG'!$A$5:$AT644, 0, XMATCH("Tháng", '6. TIẾN ĐỘ MUA HÀNG'!$A$4:$AT$4, 0))) = TRIM(U$6)) * (INDEX('6. TIẾN ĐỘ MUA HÀNG'!$A$5:$AT644, 0, XMATCH("Mã đơn Misa", '6. TIẾN ĐỘ MUA HÀNG'!$A$4:$AT$4, 0)) &lt;&gt; ""))</f>
        <v>0</v>
      </c>
      <c r="V53" s="754">
        <f t="array" ref="V53">SUMPRODUCT(
  (INDEX('6. TIẾN ĐỘ MUA HÀNG'!$A$5:$AT644, 0, XMATCH("NCC VTBB/NL trong nước", '6. TIẾN ĐỘ MUA HÀNG'!$A$4:$AT$4, 0)) = $B53) * (TRIM(INDEX('6. TIẾN ĐỘ MUA HÀNG'!$A$5:$AT644, 0, XMATCH("Tháng", '6. TIẾN ĐỘ MUA HÀNG'!$A$4:$AT$4, 0))) = TRIM(U$6)) * (INDEX('6. TIẾN ĐỘ MUA HÀNG'!$A$5:$AT644, 0, XMATCH("CL NGÀY NCC DỰ KIẾN - NGÀY NHẬN HÀNG", '6. TIẾN ĐỘ MUA HÀNG'!$A$4:$AT$4, 0)) &lt; 0)
)</f>
        <v>0</v>
      </c>
      <c r="W53" s="755">
        <f t="shared" si="32"/>
        <v>0</v>
      </c>
      <c r="X53" s="756">
        <f t="array" ref="X53">SUMPRODUCT((TRIM(INDEX('6. TIẾN ĐỘ MUA HÀNG'!$A$5:$AT644, 0, XMATCH("NCC VTBB/NL trong nước", '6. TIẾN ĐỘ MUA HÀNG'!$A$4:$AT$4, 0))) = TRIM($B53)) * (TRIM(INDEX('6. TIẾN ĐỘ MUA HÀNG'!$A$5:$AT644, 0, XMATCH("Tháng", '6. TIẾN ĐỘ MUA HÀNG'!$A$4:$AT$4, 0))) = TRIM(X$6)) * (INDEX('6. TIẾN ĐỘ MUA HÀNG'!$A$5:$AT644, 0, XMATCH("Mã đơn Misa", '6. TIẾN ĐỘ MUA HÀNG'!$A$4:$AT$4, 0)) &lt;&gt; ""))</f>
        <v>0</v>
      </c>
      <c r="Y53" s="756">
        <f t="array" ref="Y53">SUMPRODUCT(
  (INDEX('6. TIẾN ĐỘ MUA HÀNG'!$A$5:$AT644, 0, XMATCH("NCC VTBB/NL trong nước", '6. TIẾN ĐỘ MUA HÀNG'!$A$4:$AT$4, 0)) = $B53) * (TRIM(INDEX('6. TIẾN ĐỘ MUA HÀNG'!$A$5:$AT644, 0, XMATCH("Tháng", '6. TIẾN ĐỘ MUA HÀNG'!$A$4:$AT$4, 0))) = TRIM(X$6)) * (INDEX('6. TIẾN ĐỘ MUA HÀNG'!$A$5:$AT644, 0, XMATCH("CL NGÀY NCC DỰ KIẾN - NGÀY NHẬN HÀNG", '6. TIẾN ĐỘ MUA HÀNG'!$A$4:$AT$4, 0)) &lt; 0)
)</f>
        <v>0</v>
      </c>
      <c r="Z53" s="757">
        <f t="shared" si="21"/>
        <v>0</v>
      </c>
      <c r="AA53" s="754">
        <f t="array" ref="AA53">SUMPRODUCT((TRIM(INDEX('6. TIẾN ĐỘ MUA HÀNG'!$A$5:$AT644, 0, XMATCH("NCC VTBB/NL trong nước", '6. TIẾN ĐỘ MUA HÀNG'!$A$4:$AT$4, 0))) = TRIM($B53)) * (TRIM(INDEX('6. TIẾN ĐỘ MUA HÀNG'!$A$5:$AT644, 0, XMATCH("Tháng", '6. TIẾN ĐỘ MUA HÀNG'!$A$4:$AT$4, 0))) = TRIM(AA$6)) * (INDEX('6. TIẾN ĐỘ MUA HÀNG'!$A$5:$AT644, 0, XMATCH("Mã đơn Misa", '6. TIẾN ĐỘ MUA HÀNG'!$A$4:$AT$4, 0)) &lt;&gt; ""))</f>
        <v>0</v>
      </c>
      <c r="AB53" s="754">
        <f t="array" ref="AB53">SUMPRODUCT(
  (INDEX('6. TIẾN ĐỘ MUA HÀNG'!$A$5:$AT644, 0, XMATCH("NCC VTBB/NL trong nước", '6. TIẾN ĐỘ MUA HÀNG'!$A$4:$AT$4, 0)) = $B53) * (TRIM(INDEX('6. TIẾN ĐỘ MUA HÀNG'!$A$5:$AT644, 0, XMATCH("Tháng", '6. TIẾN ĐỘ MUA HÀNG'!$A$4:$AT$4, 0))) = TRIM(AA$6)) * (INDEX('6. TIẾN ĐỘ MUA HÀNG'!$A$5:$AT644, 0, XMATCH("CL NGÀY NCC DỰ KIẾN - NGÀY NHẬN HÀNG", '6. TIẾN ĐỘ MUA HÀNG'!$A$4:$AT$4, 0)) &lt; 0)
)</f>
        <v>0</v>
      </c>
      <c r="AC53" s="755">
        <f t="shared" si="33"/>
        <v>0</v>
      </c>
      <c r="AD53" s="756">
        <f t="array" ref="AD53">SUMPRODUCT((TRIM(INDEX('6. TIẾN ĐỘ MUA HÀNG'!$A$5:$AT644, 0, XMATCH("NCC VTBB/NL trong nước", '6. TIẾN ĐỘ MUA HÀNG'!$A$4:$AT$4, 0))) = TRIM($B53)) * (TRIM(INDEX('6. TIẾN ĐỘ MUA HÀNG'!$A$5:$AT644, 0, XMATCH("Tháng", '6. TIẾN ĐỘ MUA HÀNG'!$A$4:$AT$4, 0))) = TRIM(AD$6)) * (INDEX('6. TIẾN ĐỘ MUA HÀNG'!$A$5:$AT644, 0, XMATCH("Mã đơn Misa", '6. TIẾN ĐỘ MUA HÀNG'!$A$4:$AT$4, 0)) &lt;&gt; ""))</f>
        <v>0</v>
      </c>
      <c r="AE53" s="756">
        <f t="array" ref="AE53">SUMPRODUCT(
  (INDEX('6. TIẾN ĐỘ MUA HÀNG'!$A$5:$AT644, 0, XMATCH("NCC VTBB/NL trong nước", '6. TIẾN ĐỘ MUA HÀNG'!$A$4:$AT$4, 0)) = $B53) * (TRIM(INDEX('6. TIẾN ĐỘ MUA HÀNG'!$A$5:$AT644, 0, XMATCH("Tháng", '6. TIẾN ĐỘ MUA HÀNG'!$A$4:$AT$4, 0))) = TRIM(AD$6)) * (INDEX('6. TIẾN ĐỘ MUA HÀNG'!$A$5:$AT644, 0, XMATCH("CL NGÀY NCC DỰ KIẾN - NGÀY NHẬN HÀNG", '6. TIẾN ĐỘ MUA HÀNG'!$A$4:$AT$4, 0)) &lt; 0)
)</f>
        <v>0</v>
      </c>
      <c r="AF53" s="757">
        <f t="shared" si="23"/>
        <v>0</v>
      </c>
      <c r="AG53" s="754">
        <f t="array" ref="AG53">SUMPRODUCT((TRIM(INDEX('6. TIẾN ĐỘ MUA HÀNG'!$A$5:$AT644, 0, XMATCH("NCC VTBB/NL trong nước", '6. TIẾN ĐỘ MUA HÀNG'!$A$4:$AT$4, 0))) = TRIM($B53)) * (TRIM(INDEX('6. TIẾN ĐỘ MUA HÀNG'!$A$5:$AT644, 0, XMATCH("Tháng", '6. TIẾN ĐỘ MUA HÀNG'!$A$4:$AT$4, 0))) = TRIM(AG$6)) * (INDEX('6. TIẾN ĐỘ MUA HÀNG'!$A$5:$AT644, 0, XMATCH("Mã đơn Misa", '6. TIẾN ĐỘ MUA HÀNG'!$A$4:$AT$4, 0)) &lt;&gt; ""))</f>
        <v>0</v>
      </c>
      <c r="AH53" s="754">
        <f t="array" ref="AH53">SUMPRODUCT(
  (INDEX('6. TIẾN ĐỘ MUA HÀNG'!$A$5:$AT644, 0, XMATCH("NCC VTBB/NL trong nước", '6. TIẾN ĐỘ MUA HÀNG'!$A$4:$AT$4, 0)) = $B53) * (TRIM(INDEX('6. TIẾN ĐỘ MUA HÀNG'!$A$5:$AT644, 0, XMATCH("Tháng", '6. TIẾN ĐỘ MUA HÀNG'!$A$4:$AT$4, 0))) = TRIM(AG$6)) * (INDEX('6. TIẾN ĐỘ MUA HÀNG'!$A$5:$AT644, 0, XMATCH("CL NGÀY NCC DỰ KIẾN - NGÀY NHẬN HÀNG", '6. TIẾN ĐỘ MUA HÀNG'!$A$4:$AT$4, 0)) &lt; 0)
)</f>
        <v>0</v>
      </c>
      <c r="AI53" s="755">
        <f t="shared" si="34"/>
        <v>0</v>
      </c>
      <c r="AJ53" s="756">
        <f t="array" ref="AJ53">SUMPRODUCT((TRIM(INDEX('6. TIẾN ĐỘ MUA HÀNG'!$A$5:$AT644, 0, XMATCH("NCC VTBB/NL trong nước", '6. TIẾN ĐỘ MUA HÀNG'!$A$4:$AT$4, 0))) = TRIM($B53)) * (TRIM(INDEX('6. TIẾN ĐỘ MUA HÀNG'!$A$5:$AT644, 0, XMATCH("Tháng", '6. TIẾN ĐỘ MUA HÀNG'!$A$4:$AT$4, 0))) = TRIM(AJ$6)) * (INDEX('6. TIẾN ĐỘ MUA HÀNG'!$A$5:$AT644, 0, XMATCH("Mã đơn Misa", '6. TIẾN ĐỘ MUA HÀNG'!$A$4:$AT$4, 0)) &lt;&gt; ""))</f>
        <v>0</v>
      </c>
      <c r="AK53" s="756">
        <f t="array" ref="AK53">SUMPRODUCT(
  (INDEX('6. TIẾN ĐỘ MUA HÀNG'!$A$5:$AT644, 0, XMATCH("NCC VTBB/NL trong nước", '6. TIẾN ĐỘ MUA HÀNG'!$A$4:$AT$4, 0)) = $B53) * (TRIM(INDEX('6. TIẾN ĐỘ MUA HÀNG'!$A$5:$AT644, 0, XMATCH("Tháng", '6. TIẾN ĐỘ MUA HÀNG'!$A$4:$AT$4, 0))) = TRIM(AJ$6)) * (INDEX('6. TIẾN ĐỘ MUA HÀNG'!$A$5:$AT644, 0, XMATCH("CL NGÀY NCC DỰ KIẾN - NGÀY NHẬN HÀNG", '6. TIẾN ĐỘ MUA HÀNG'!$A$4:$AT$4, 0)) &lt; 0)
)</f>
        <v>0</v>
      </c>
      <c r="AL53" s="757">
        <f t="shared" si="25"/>
        <v>0</v>
      </c>
      <c r="AM53" s="726">
        <f t="shared" si="27"/>
        <v>0</v>
      </c>
      <c r="AN53" s="726">
        <f t="shared" si="28"/>
        <v>0</v>
      </c>
      <c r="AO53" s="727">
        <f t="shared" si="26"/>
        <v>0</v>
      </c>
    </row>
    <row r="54">
      <c r="A54" s="612">
        <v>46.0</v>
      </c>
      <c r="B54" s="624" t="str">
        <f>IFERROR(__xludf.DUMMYFUNCTION("""COMPUTED_VALUE"""),"Châu Ngân")</f>
        <v>Châu Ngân</v>
      </c>
      <c r="C54" s="754">
        <f t="array" ref="C54">SUMPRODUCT((TRIM(INDEX('6. TIẾN ĐỘ MUA HÀNG'!$A$5:$AT644, 0, XMATCH("NCC VTBB/NL trong nước", '6. TIẾN ĐỘ MUA HÀNG'!$A$4:$AT$4, 0))) = TRIM($B54)) * (TRIM(INDEX('6. TIẾN ĐỘ MUA HÀNG'!$A$5:$AT644, 0, XMATCH("Tháng", '6. TIẾN ĐỘ MUA HÀNG'!$A$4:$AT$4, 0))) = TRIM(C$6)) * (INDEX('6. TIẾN ĐỘ MUA HÀNG'!$A$5:$AT644, 0, XMATCH("Mã đơn Misa", '6. TIẾN ĐỘ MUA HÀNG'!$A$4:$AT$4, 0)) &lt;&gt; ""))</f>
        <v>0</v>
      </c>
      <c r="D54" s="754">
        <f t="array" ref="D54">SUMPRODUCT(
  (INDEX('6. TIẾN ĐỘ MUA HÀNG'!$A$5:$AT644, 0, XMATCH("NCC VTBB/NL trong nước", '6. TIẾN ĐỘ MUA HÀNG'!$A$4:$AT$4, 0)) = $B54) * (TRIM(INDEX('6. TIẾN ĐỘ MUA HÀNG'!$A$5:$AT644, 0, XMATCH("Tháng", '6. TIẾN ĐỘ MUA HÀNG'!$A$4:$AT$4, 0))) = TRIM(C$6)) * (INDEX('6. TIẾN ĐỘ MUA HÀNG'!$A$5:$AT644, 0, XMATCH("CL NGÀY NCC DỰ KIẾN - NGÀY NHẬN HÀNG", '6. TIẾN ĐỘ MUA HÀNG'!$A$4:$AT$4, 0)) &lt; 0)
)</f>
        <v>0</v>
      </c>
      <c r="E54" s="755">
        <f t="shared" si="29"/>
        <v>0</v>
      </c>
      <c r="F54" s="756">
        <f t="array" ref="F54">SUMPRODUCT((TRIM(INDEX('6. TIẾN ĐỘ MUA HÀNG'!$A$5:$AT644, 0, XMATCH("NCC VTBB/NL trong nước", '6. TIẾN ĐỘ MUA HÀNG'!$A$4:$AT$4, 0))) = TRIM($B54)) * (TRIM(INDEX('6. TIẾN ĐỘ MUA HÀNG'!$A$5:$AT644, 0, XMATCH("Tháng", '6. TIẾN ĐỘ MUA HÀNG'!$A$4:$AT$4, 0))) = TRIM(F$6)) * (INDEX('6. TIẾN ĐỘ MUA HÀNG'!$A$5:$AT644, 0, XMATCH("Mã đơn Misa", '6. TIẾN ĐỘ MUA HÀNG'!$A$4:$AT$4, 0)) &lt;&gt; ""))</f>
        <v>0</v>
      </c>
      <c r="G54" s="756">
        <f t="array" ref="G54">SUMPRODUCT(
  (INDEX('6. TIẾN ĐỘ MUA HÀNG'!$A$5:$AT644, 0, XMATCH("NCC VTBB/NL trong nước", '6. TIẾN ĐỘ MUA HÀNG'!$A$4:$AT$4, 0)) = $B54) * (TRIM(INDEX('6. TIẾN ĐỘ MUA HÀNG'!$A$5:$AT644, 0, XMATCH("Tháng", '6. TIẾN ĐỘ MUA HÀNG'!$A$4:$AT$4, 0))) = TRIM(F$6)) * (INDEX('6. TIẾN ĐỘ MUA HÀNG'!$A$5:$AT644, 0, XMATCH("CL NGÀY NCC DỰ KIẾN - NGÀY NHẬN HÀNG", '6. TIẾN ĐỘ MUA HÀNG'!$A$4:$AT$4, 0)) &lt; 0)
)</f>
        <v>0</v>
      </c>
      <c r="H54" s="757">
        <f t="shared" si="15"/>
        <v>0</v>
      </c>
      <c r="I54" s="754">
        <f t="array" ref="I54">SUMPRODUCT((TRIM(INDEX('6. TIẾN ĐỘ MUA HÀNG'!$A$5:$AT644, 0, XMATCH("NCC VTBB/NL trong nước", '6. TIẾN ĐỘ MUA HÀNG'!$A$4:$AT$4, 0))) = TRIM($B54)) * (TRIM(INDEX('6. TIẾN ĐỘ MUA HÀNG'!$A$5:$AT644, 0, XMATCH("Tháng", '6. TIẾN ĐỘ MUA HÀNG'!$A$4:$AT$4, 0))) = TRIM(I$6)) * (INDEX('6. TIẾN ĐỘ MUA HÀNG'!$A$5:$AT644, 0, XMATCH("Mã đơn Misa", '6. TIẾN ĐỘ MUA HÀNG'!$A$4:$AT$4, 0)) &lt;&gt; ""))</f>
        <v>0</v>
      </c>
      <c r="J54" s="754">
        <f t="array" ref="J54">SUMPRODUCT(
  (INDEX('6. TIẾN ĐỘ MUA HÀNG'!$A$5:$AT644, 0, XMATCH("NCC VTBB/NL trong nước", '6. TIẾN ĐỘ MUA HÀNG'!$A$4:$AT$4, 0)) = $B54) * (TRIM(INDEX('6. TIẾN ĐỘ MUA HÀNG'!$A$5:$AT644, 0, XMATCH("Tháng", '6. TIẾN ĐỘ MUA HÀNG'!$A$4:$AT$4, 0))) = TRIM(I$6)) * (INDEX('6. TIẾN ĐỘ MUA HÀNG'!$A$5:$AT644, 0, XMATCH("CL NGÀY NCC DỰ KIẾN - NGÀY NHẬN HÀNG", '6. TIẾN ĐỘ MUA HÀNG'!$A$4:$AT$4, 0)) &lt; 0)
)</f>
        <v>0</v>
      </c>
      <c r="K54" s="755">
        <f t="shared" si="30"/>
        <v>0</v>
      </c>
      <c r="L54" s="756">
        <f t="array" ref="L54">SUMPRODUCT((TRIM(INDEX('6. TIẾN ĐỘ MUA HÀNG'!$A$5:$AT644, 0, XMATCH("NCC VTBB/NL trong nước", '6. TIẾN ĐỘ MUA HÀNG'!$A$4:$AT$4, 0))) = TRIM($B54)) * (TRIM(INDEX('6. TIẾN ĐỘ MUA HÀNG'!$A$5:$AT644, 0, XMATCH("Tháng", '6. TIẾN ĐỘ MUA HÀNG'!$A$4:$AT$4, 0))) = TRIM(L$6)) * (INDEX('6. TIẾN ĐỘ MUA HÀNG'!$A$5:$AT644, 0, XMATCH("Mã đơn Misa", '6. TIẾN ĐỘ MUA HÀNG'!$A$4:$AT$4, 0)) &lt;&gt; ""))</f>
        <v>0</v>
      </c>
      <c r="M54" s="756">
        <f t="array" ref="M54">SUMPRODUCT(
  (INDEX('6. TIẾN ĐỘ MUA HÀNG'!$A$5:$AT644, 0, XMATCH("NCC VTBB/NL trong nước", '6. TIẾN ĐỘ MUA HÀNG'!$A$4:$AT$4, 0)) = $B54) * (TRIM(INDEX('6. TIẾN ĐỘ MUA HÀNG'!$A$5:$AT644, 0, XMATCH("Tháng", '6. TIẾN ĐỘ MUA HÀNG'!$A$4:$AT$4, 0))) = TRIM(L$6)) * (INDEX('6. TIẾN ĐỘ MUA HÀNG'!$A$5:$AT644, 0, XMATCH("CL NGÀY NCC DỰ KIẾN - NGÀY NHẬN HÀNG", '6. TIẾN ĐỘ MUA HÀNG'!$A$4:$AT$4, 0)) &lt; 0)
)</f>
        <v>0</v>
      </c>
      <c r="N54" s="757">
        <f t="shared" si="17"/>
        <v>0</v>
      </c>
      <c r="O54" s="754">
        <f t="array" ref="O54">SUMPRODUCT((TRIM(INDEX('6. TIẾN ĐỘ MUA HÀNG'!$A$5:$AT644, 0, XMATCH("NCC VTBB/NL trong nước", '6. TIẾN ĐỘ MUA HÀNG'!$A$4:$AT$4, 0))) = TRIM($B54)) * (TRIM(INDEX('6. TIẾN ĐỘ MUA HÀNG'!$A$5:$AT644, 0, XMATCH("Tháng", '6. TIẾN ĐỘ MUA HÀNG'!$A$4:$AT$4, 0))) = TRIM(O$6)) * (INDEX('6. TIẾN ĐỘ MUA HÀNG'!$A$5:$AT644, 0, XMATCH("Mã đơn Misa", '6. TIẾN ĐỘ MUA HÀNG'!$A$4:$AT$4, 0)) &lt;&gt; ""))</f>
        <v>0</v>
      </c>
      <c r="P54" s="754">
        <f t="array" ref="P54">SUMPRODUCT(
  (INDEX('6. TIẾN ĐỘ MUA HÀNG'!$A$5:$AT644, 0, XMATCH("NCC VTBB/NL trong nước", '6. TIẾN ĐỘ MUA HÀNG'!$A$4:$AT$4, 0)) = $B54) * (TRIM(INDEX('6. TIẾN ĐỘ MUA HÀNG'!$A$5:$AT644, 0, XMATCH("Tháng", '6. TIẾN ĐỘ MUA HÀNG'!$A$4:$AT$4, 0))) = TRIM(O$6)) * (INDEX('6. TIẾN ĐỘ MUA HÀNG'!$A$5:$AT644, 0, XMATCH("CL NGÀY NCC DỰ KIẾN - NGÀY NHẬN HÀNG", '6. TIẾN ĐỘ MUA HÀNG'!$A$4:$AT$4, 0)) &lt; 0)
)</f>
        <v>0</v>
      </c>
      <c r="Q54" s="755">
        <f t="shared" si="31"/>
        <v>0</v>
      </c>
      <c r="R54" s="756">
        <f t="array" ref="R54">SUMPRODUCT((TRIM(INDEX('6. TIẾN ĐỘ MUA HÀNG'!$A$5:$AT644, 0, XMATCH("NCC VTBB/NL trong nước", '6. TIẾN ĐỘ MUA HÀNG'!$A$4:$AT$4, 0))) = TRIM($B54)) * (TRIM(INDEX('6. TIẾN ĐỘ MUA HÀNG'!$A$5:$AT644, 0, XMATCH("Tháng", '6. TIẾN ĐỘ MUA HÀNG'!$A$4:$AT$4, 0))) = TRIM(R$6)) * (INDEX('6. TIẾN ĐỘ MUA HÀNG'!$A$5:$AT644, 0, XMATCH("Mã đơn Misa", '6. TIẾN ĐỘ MUA HÀNG'!$A$4:$AT$4, 0)) &lt;&gt; ""))</f>
        <v>0</v>
      </c>
      <c r="S54" s="756">
        <f t="array" ref="S54">SUMPRODUCT(
  (INDEX('6. TIẾN ĐỘ MUA HÀNG'!$A$5:$AT644, 0, XMATCH("NCC VTBB/NL trong nước", '6. TIẾN ĐỘ MUA HÀNG'!$A$4:$AT$4, 0)) = $B54) * (TRIM(INDEX('6. TIẾN ĐỘ MUA HÀNG'!$A$5:$AT644, 0, XMATCH("Tháng", '6. TIẾN ĐỘ MUA HÀNG'!$A$4:$AT$4, 0))) = TRIM(R$6)) * (INDEX('6. TIẾN ĐỘ MUA HÀNG'!$A$5:$AT644, 0, XMATCH("CL NGÀY NCC DỰ KIẾN - NGÀY NHẬN HÀNG", '6. TIẾN ĐỘ MUA HÀNG'!$A$4:$AT$4, 0)) &lt; 0)
)</f>
        <v>0</v>
      </c>
      <c r="T54" s="757">
        <f t="shared" si="19"/>
        <v>0</v>
      </c>
      <c r="U54" s="754">
        <f t="array" ref="U54">SUMPRODUCT((TRIM(INDEX('6. TIẾN ĐỘ MUA HÀNG'!$A$5:$AT644, 0, XMATCH("NCC VTBB/NL trong nước", '6. TIẾN ĐỘ MUA HÀNG'!$A$4:$AT$4, 0))) = TRIM($B54)) * (TRIM(INDEX('6. TIẾN ĐỘ MUA HÀNG'!$A$5:$AT644, 0, XMATCH("Tháng", '6. TIẾN ĐỘ MUA HÀNG'!$A$4:$AT$4, 0))) = TRIM(U$6)) * (INDEX('6. TIẾN ĐỘ MUA HÀNG'!$A$5:$AT644, 0, XMATCH("Mã đơn Misa", '6. TIẾN ĐỘ MUA HÀNG'!$A$4:$AT$4, 0)) &lt;&gt; ""))</f>
        <v>0</v>
      </c>
      <c r="V54" s="754">
        <f t="array" ref="V54">SUMPRODUCT(
  (INDEX('6. TIẾN ĐỘ MUA HÀNG'!$A$5:$AT644, 0, XMATCH("NCC VTBB/NL trong nước", '6. TIẾN ĐỘ MUA HÀNG'!$A$4:$AT$4, 0)) = $B54) * (TRIM(INDEX('6. TIẾN ĐỘ MUA HÀNG'!$A$5:$AT644, 0, XMATCH("Tháng", '6. TIẾN ĐỘ MUA HÀNG'!$A$4:$AT$4, 0))) = TRIM(U$6)) * (INDEX('6. TIẾN ĐỘ MUA HÀNG'!$A$5:$AT644, 0, XMATCH("CL NGÀY NCC DỰ KIẾN - NGÀY NHẬN HÀNG", '6. TIẾN ĐỘ MUA HÀNG'!$A$4:$AT$4, 0)) &lt; 0)
)</f>
        <v>0</v>
      </c>
      <c r="W54" s="755">
        <f t="shared" si="32"/>
        <v>0</v>
      </c>
      <c r="X54" s="756">
        <f t="array" ref="X54">SUMPRODUCT((TRIM(INDEX('6. TIẾN ĐỘ MUA HÀNG'!$A$5:$AT644, 0, XMATCH("NCC VTBB/NL trong nước", '6. TIẾN ĐỘ MUA HÀNG'!$A$4:$AT$4, 0))) = TRIM($B54)) * (TRIM(INDEX('6. TIẾN ĐỘ MUA HÀNG'!$A$5:$AT644, 0, XMATCH("Tháng", '6. TIẾN ĐỘ MUA HÀNG'!$A$4:$AT$4, 0))) = TRIM(X$6)) * (INDEX('6. TIẾN ĐỘ MUA HÀNG'!$A$5:$AT644, 0, XMATCH("Mã đơn Misa", '6. TIẾN ĐỘ MUA HÀNG'!$A$4:$AT$4, 0)) &lt;&gt; ""))</f>
        <v>0</v>
      </c>
      <c r="Y54" s="756">
        <f t="array" ref="Y54">SUMPRODUCT(
  (INDEX('6. TIẾN ĐỘ MUA HÀNG'!$A$5:$AT644, 0, XMATCH("NCC VTBB/NL trong nước", '6. TIẾN ĐỘ MUA HÀNG'!$A$4:$AT$4, 0)) = $B54) * (TRIM(INDEX('6. TIẾN ĐỘ MUA HÀNG'!$A$5:$AT644, 0, XMATCH("Tháng", '6. TIẾN ĐỘ MUA HÀNG'!$A$4:$AT$4, 0))) = TRIM(X$6)) * (INDEX('6. TIẾN ĐỘ MUA HÀNG'!$A$5:$AT644, 0, XMATCH("CL NGÀY NCC DỰ KIẾN - NGÀY NHẬN HÀNG", '6. TIẾN ĐỘ MUA HÀNG'!$A$4:$AT$4, 0)) &lt; 0)
)</f>
        <v>0</v>
      </c>
      <c r="Z54" s="757">
        <f t="shared" si="21"/>
        <v>0</v>
      </c>
      <c r="AA54" s="754">
        <f t="array" ref="AA54">SUMPRODUCT((TRIM(INDEX('6. TIẾN ĐỘ MUA HÀNG'!$A$5:$AT644, 0, XMATCH("NCC VTBB/NL trong nước", '6. TIẾN ĐỘ MUA HÀNG'!$A$4:$AT$4, 0))) = TRIM($B54)) * (TRIM(INDEX('6. TIẾN ĐỘ MUA HÀNG'!$A$5:$AT644, 0, XMATCH("Tháng", '6. TIẾN ĐỘ MUA HÀNG'!$A$4:$AT$4, 0))) = TRIM(AA$6)) * (INDEX('6. TIẾN ĐỘ MUA HÀNG'!$A$5:$AT644, 0, XMATCH("Mã đơn Misa", '6. TIẾN ĐỘ MUA HÀNG'!$A$4:$AT$4, 0)) &lt;&gt; ""))</f>
        <v>0</v>
      </c>
      <c r="AB54" s="754">
        <f t="array" ref="AB54">SUMPRODUCT(
  (INDEX('6. TIẾN ĐỘ MUA HÀNG'!$A$5:$AT644, 0, XMATCH("NCC VTBB/NL trong nước", '6. TIẾN ĐỘ MUA HÀNG'!$A$4:$AT$4, 0)) = $B54) * (TRIM(INDEX('6. TIẾN ĐỘ MUA HÀNG'!$A$5:$AT644, 0, XMATCH("Tháng", '6. TIẾN ĐỘ MUA HÀNG'!$A$4:$AT$4, 0))) = TRIM(AA$6)) * (INDEX('6. TIẾN ĐỘ MUA HÀNG'!$A$5:$AT644, 0, XMATCH("CL NGÀY NCC DỰ KIẾN - NGÀY NHẬN HÀNG", '6. TIẾN ĐỘ MUA HÀNG'!$A$4:$AT$4, 0)) &lt; 0)
)</f>
        <v>0</v>
      </c>
      <c r="AC54" s="755">
        <f t="shared" si="33"/>
        <v>0</v>
      </c>
      <c r="AD54" s="756">
        <f t="array" ref="AD54">SUMPRODUCT((TRIM(INDEX('6. TIẾN ĐỘ MUA HÀNG'!$A$5:$AT644, 0, XMATCH("NCC VTBB/NL trong nước", '6. TIẾN ĐỘ MUA HÀNG'!$A$4:$AT$4, 0))) = TRIM($B54)) * (TRIM(INDEX('6. TIẾN ĐỘ MUA HÀNG'!$A$5:$AT644, 0, XMATCH("Tháng", '6. TIẾN ĐỘ MUA HÀNG'!$A$4:$AT$4, 0))) = TRIM(AD$6)) * (INDEX('6. TIẾN ĐỘ MUA HÀNG'!$A$5:$AT644, 0, XMATCH("Mã đơn Misa", '6. TIẾN ĐỘ MUA HÀNG'!$A$4:$AT$4, 0)) &lt;&gt; ""))</f>
        <v>0</v>
      </c>
      <c r="AE54" s="756">
        <f t="array" ref="AE54">SUMPRODUCT(
  (INDEX('6. TIẾN ĐỘ MUA HÀNG'!$A$5:$AT644, 0, XMATCH("NCC VTBB/NL trong nước", '6. TIẾN ĐỘ MUA HÀNG'!$A$4:$AT$4, 0)) = $B54) * (TRIM(INDEX('6. TIẾN ĐỘ MUA HÀNG'!$A$5:$AT644, 0, XMATCH("Tháng", '6. TIẾN ĐỘ MUA HÀNG'!$A$4:$AT$4, 0))) = TRIM(AD$6)) * (INDEX('6. TIẾN ĐỘ MUA HÀNG'!$A$5:$AT644, 0, XMATCH("CL NGÀY NCC DỰ KIẾN - NGÀY NHẬN HÀNG", '6. TIẾN ĐỘ MUA HÀNG'!$A$4:$AT$4, 0)) &lt; 0)
)</f>
        <v>0</v>
      </c>
      <c r="AF54" s="757">
        <f t="shared" si="23"/>
        <v>0</v>
      </c>
      <c r="AG54" s="754">
        <f t="array" ref="AG54">SUMPRODUCT((TRIM(INDEX('6. TIẾN ĐỘ MUA HÀNG'!$A$5:$AT644, 0, XMATCH("NCC VTBB/NL trong nước", '6. TIẾN ĐỘ MUA HÀNG'!$A$4:$AT$4, 0))) = TRIM($B54)) * (TRIM(INDEX('6. TIẾN ĐỘ MUA HÀNG'!$A$5:$AT644, 0, XMATCH("Tháng", '6. TIẾN ĐỘ MUA HÀNG'!$A$4:$AT$4, 0))) = TRIM(AG$6)) * (INDEX('6. TIẾN ĐỘ MUA HÀNG'!$A$5:$AT644, 0, XMATCH("Mã đơn Misa", '6. TIẾN ĐỘ MUA HÀNG'!$A$4:$AT$4, 0)) &lt;&gt; ""))</f>
        <v>0</v>
      </c>
      <c r="AH54" s="754">
        <f t="array" ref="AH54">SUMPRODUCT(
  (INDEX('6. TIẾN ĐỘ MUA HÀNG'!$A$5:$AT644, 0, XMATCH("NCC VTBB/NL trong nước", '6. TIẾN ĐỘ MUA HÀNG'!$A$4:$AT$4, 0)) = $B54) * (TRIM(INDEX('6. TIẾN ĐỘ MUA HÀNG'!$A$5:$AT644, 0, XMATCH("Tháng", '6. TIẾN ĐỘ MUA HÀNG'!$A$4:$AT$4, 0))) = TRIM(AG$6)) * (INDEX('6. TIẾN ĐỘ MUA HÀNG'!$A$5:$AT644, 0, XMATCH("CL NGÀY NCC DỰ KIẾN - NGÀY NHẬN HÀNG", '6. TIẾN ĐỘ MUA HÀNG'!$A$4:$AT$4, 0)) &lt; 0)
)</f>
        <v>0</v>
      </c>
      <c r="AI54" s="755">
        <f t="shared" si="34"/>
        <v>0</v>
      </c>
      <c r="AJ54" s="756">
        <f t="array" ref="AJ54">SUMPRODUCT((TRIM(INDEX('6. TIẾN ĐỘ MUA HÀNG'!$A$5:$AT644, 0, XMATCH("NCC VTBB/NL trong nước", '6. TIẾN ĐỘ MUA HÀNG'!$A$4:$AT$4, 0))) = TRIM($B54)) * (TRIM(INDEX('6. TIẾN ĐỘ MUA HÀNG'!$A$5:$AT644, 0, XMATCH("Tháng", '6. TIẾN ĐỘ MUA HÀNG'!$A$4:$AT$4, 0))) = TRIM(AJ$6)) * (INDEX('6. TIẾN ĐỘ MUA HÀNG'!$A$5:$AT644, 0, XMATCH("Mã đơn Misa", '6. TIẾN ĐỘ MUA HÀNG'!$A$4:$AT$4, 0)) &lt;&gt; ""))</f>
        <v>0</v>
      </c>
      <c r="AK54" s="756">
        <f t="array" ref="AK54">SUMPRODUCT(
  (INDEX('6. TIẾN ĐỘ MUA HÀNG'!$A$5:$AT644, 0, XMATCH("NCC VTBB/NL trong nước", '6. TIẾN ĐỘ MUA HÀNG'!$A$4:$AT$4, 0)) = $B54) * (TRIM(INDEX('6. TIẾN ĐỘ MUA HÀNG'!$A$5:$AT644, 0, XMATCH("Tháng", '6. TIẾN ĐỘ MUA HÀNG'!$A$4:$AT$4, 0))) = TRIM(AJ$6)) * (INDEX('6. TIẾN ĐỘ MUA HÀNG'!$A$5:$AT644, 0, XMATCH("CL NGÀY NCC DỰ KIẾN - NGÀY NHẬN HÀNG", '6. TIẾN ĐỘ MUA HÀNG'!$A$4:$AT$4, 0)) &lt; 0)
)</f>
        <v>0</v>
      </c>
      <c r="AL54" s="757">
        <f t="shared" si="25"/>
        <v>0</v>
      </c>
      <c r="AM54" s="726">
        <f t="shared" si="27"/>
        <v>0</v>
      </c>
      <c r="AN54" s="726">
        <f t="shared" si="28"/>
        <v>0</v>
      </c>
      <c r="AO54" s="727">
        <f t="shared" si="26"/>
        <v>0</v>
      </c>
    </row>
    <row r="55">
      <c r="A55" s="612">
        <v>47.0</v>
      </c>
      <c r="B55" s="624" t="str">
        <f>IFERROR(__xludf.DUMMYFUNCTION("""COMPUTED_VALUE"""),"An Khánh")</f>
        <v>An Khánh</v>
      </c>
      <c r="C55" s="754">
        <f t="array" ref="C55">SUMPRODUCT((TRIM(INDEX('6. TIẾN ĐỘ MUA HÀNG'!$A$5:$AT644, 0, XMATCH("NCC VTBB/NL trong nước", '6. TIẾN ĐỘ MUA HÀNG'!$A$4:$AT$4, 0))) = TRIM($B55)) * (TRIM(INDEX('6. TIẾN ĐỘ MUA HÀNG'!$A$5:$AT644, 0, XMATCH("Tháng", '6. TIẾN ĐỘ MUA HÀNG'!$A$4:$AT$4, 0))) = TRIM(C$6)) * (INDEX('6. TIẾN ĐỘ MUA HÀNG'!$A$5:$AT644, 0, XMATCH("Mã đơn Misa", '6. TIẾN ĐỘ MUA HÀNG'!$A$4:$AT$4, 0)) &lt;&gt; ""))</f>
        <v>0</v>
      </c>
      <c r="D55" s="754">
        <f t="array" ref="D55">SUMPRODUCT(
  (INDEX('6. TIẾN ĐỘ MUA HÀNG'!$A$5:$AT644, 0, XMATCH("NCC VTBB/NL trong nước", '6. TIẾN ĐỘ MUA HÀNG'!$A$4:$AT$4, 0)) = $B55) * (TRIM(INDEX('6. TIẾN ĐỘ MUA HÀNG'!$A$5:$AT644, 0, XMATCH("Tháng", '6. TIẾN ĐỘ MUA HÀNG'!$A$4:$AT$4, 0))) = TRIM(C$6)) * (INDEX('6. TIẾN ĐỘ MUA HÀNG'!$A$5:$AT644, 0, XMATCH("CL NGÀY NCC DỰ KIẾN - NGÀY NHẬN HÀNG", '6. TIẾN ĐỘ MUA HÀNG'!$A$4:$AT$4, 0)) &lt; 0)
)</f>
        <v>0</v>
      </c>
      <c r="E55" s="755">
        <f t="shared" si="29"/>
        <v>0</v>
      </c>
      <c r="F55" s="756">
        <f t="array" ref="F55">SUMPRODUCT((TRIM(INDEX('6. TIẾN ĐỘ MUA HÀNG'!$A$5:$AT644, 0, XMATCH("NCC VTBB/NL trong nước", '6. TIẾN ĐỘ MUA HÀNG'!$A$4:$AT$4, 0))) = TRIM($B55)) * (TRIM(INDEX('6. TIẾN ĐỘ MUA HÀNG'!$A$5:$AT644, 0, XMATCH("Tháng", '6. TIẾN ĐỘ MUA HÀNG'!$A$4:$AT$4, 0))) = TRIM(F$6)) * (INDEX('6. TIẾN ĐỘ MUA HÀNG'!$A$5:$AT644, 0, XMATCH("Mã đơn Misa", '6. TIẾN ĐỘ MUA HÀNG'!$A$4:$AT$4, 0)) &lt;&gt; ""))</f>
        <v>0</v>
      </c>
      <c r="G55" s="756">
        <f t="array" ref="G55">SUMPRODUCT(
  (INDEX('6. TIẾN ĐỘ MUA HÀNG'!$A$5:$AT644, 0, XMATCH("NCC VTBB/NL trong nước", '6. TIẾN ĐỘ MUA HÀNG'!$A$4:$AT$4, 0)) = $B55) * (TRIM(INDEX('6. TIẾN ĐỘ MUA HÀNG'!$A$5:$AT644, 0, XMATCH("Tháng", '6. TIẾN ĐỘ MUA HÀNG'!$A$4:$AT$4, 0))) = TRIM(F$6)) * (INDEX('6. TIẾN ĐỘ MUA HÀNG'!$A$5:$AT644, 0, XMATCH("CL NGÀY NCC DỰ KIẾN - NGÀY NHẬN HÀNG", '6. TIẾN ĐỘ MUA HÀNG'!$A$4:$AT$4, 0)) &lt; 0)
)</f>
        <v>0</v>
      </c>
      <c r="H55" s="757">
        <f t="shared" si="15"/>
        <v>0</v>
      </c>
      <c r="I55" s="754">
        <f t="array" ref="I55">SUMPRODUCT((TRIM(INDEX('6. TIẾN ĐỘ MUA HÀNG'!$A$5:$AT644, 0, XMATCH("NCC VTBB/NL trong nước", '6. TIẾN ĐỘ MUA HÀNG'!$A$4:$AT$4, 0))) = TRIM($B55)) * (TRIM(INDEX('6. TIẾN ĐỘ MUA HÀNG'!$A$5:$AT644, 0, XMATCH("Tháng", '6. TIẾN ĐỘ MUA HÀNG'!$A$4:$AT$4, 0))) = TRIM(I$6)) * (INDEX('6. TIẾN ĐỘ MUA HÀNG'!$A$5:$AT644, 0, XMATCH("Mã đơn Misa", '6. TIẾN ĐỘ MUA HÀNG'!$A$4:$AT$4, 0)) &lt;&gt; ""))</f>
        <v>0</v>
      </c>
      <c r="J55" s="754">
        <f t="array" ref="J55">SUMPRODUCT(
  (INDEX('6. TIẾN ĐỘ MUA HÀNG'!$A$5:$AT644, 0, XMATCH("NCC VTBB/NL trong nước", '6. TIẾN ĐỘ MUA HÀNG'!$A$4:$AT$4, 0)) = $B55) * (TRIM(INDEX('6. TIẾN ĐỘ MUA HÀNG'!$A$5:$AT644, 0, XMATCH("Tháng", '6. TIẾN ĐỘ MUA HÀNG'!$A$4:$AT$4, 0))) = TRIM(I$6)) * (INDEX('6. TIẾN ĐỘ MUA HÀNG'!$A$5:$AT644, 0, XMATCH("CL NGÀY NCC DỰ KIẾN - NGÀY NHẬN HÀNG", '6. TIẾN ĐỘ MUA HÀNG'!$A$4:$AT$4, 0)) &lt; 0)
)</f>
        <v>0</v>
      </c>
      <c r="K55" s="755">
        <f t="shared" si="30"/>
        <v>0</v>
      </c>
      <c r="L55" s="756">
        <f t="array" ref="L55">SUMPRODUCT((TRIM(INDEX('6. TIẾN ĐỘ MUA HÀNG'!$A$5:$AT644, 0, XMATCH("NCC VTBB/NL trong nước", '6. TIẾN ĐỘ MUA HÀNG'!$A$4:$AT$4, 0))) = TRIM($B55)) * (TRIM(INDEX('6. TIẾN ĐỘ MUA HÀNG'!$A$5:$AT644, 0, XMATCH("Tháng", '6. TIẾN ĐỘ MUA HÀNG'!$A$4:$AT$4, 0))) = TRIM(L$6)) * (INDEX('6. TIẾN ĐỘ MUA HÀNG'!$A$5:$AT644, 0, XMATCH("Mã đơn Misa", '6. TIẾN ĐỘ MUA HÀNG'!$A$4:$AT$4, 0)) &lt;&gt; ""))</f>
        <v>0</v>
      </c>
      <c r="M55" s="756">
        <f t="array" ref="M55">SUMPRODUCT(
  (INDEX('6. TIẾN ĐỘ MUA HÀNG'!$A$5:$AT644, 0, XMATCH("NCC VTBB/NL trong nước", '6. TIẾN ĐỘ MUA HÀNG'!$A$4:$AT$4, 0)) = $B55) * (TRIM(INDEX('6. TIẾN ĐỘ MUA HÀNG'!$A$5:$AT644, 0, XMATCH("Tháng", '6. TIẾN ĐỘ MUA HÀNG'!$A$4:$AT$4, 0))) = TRIM(L$6)) * (INDEX('6. TIẾN ĐỘ MUA HÀNG'!$A$5:$AT644, 0, XMATCH("CL NGÀY NCC DỰ KIẾN - NGÀY NHẬN HÀNG", '6. TIẾN ĐỘ MUA HÀNG'!$A$4:$AT$4, 0)) &lt; 0)
)</f>
        <v>0</v>
      </c>
      <c r="N55" s="757">
        <f t="shared" si="17"/>
        <v>0</v>
      </c>
      <c r="O55" s="754">
        <f t="array" ref="O55">SUMPRODUCT((TRIM(INDEX('6. TIẾN ĐỘ MUA HÀNG'!$A$5:$AT644, 0, XMATCH("NCC VTBB/NL trong nước", '6. TIẾN ĐỘ MUA HÀNG'!$A$4:$AT$4, 0))) = TRIM($B55)) * (TRIM(INDEX('6. TIẾN ĐỘ MUA HÀNG'!$A$5:$AT644, 0, XMATCH("Tháng", '6. TIẾN ĐỘ MUA HÀNG'!$A$4:$AT$4, 0))) = TRIM(O$6)) * (INDEX('6. TIẾN ĐỘ MUA HÀNG'!$A$5:$AT644, 0, XMATCH("Mã đơn Misa", '6. TIẾN ĐỘ MUA HÀNG'!$A$4:$AT$4, 0)) &lt;&gt; ""))</f>
        <v>0</v>
      </c>
      <c r="P55" s="754">
        <f t="array" ref="P55">SUMPRODUCT(
  (INDEX('6. TIẾN ĐỘ MUA HÀNG'!$A$5:$AT644, 0, XMATCH("NCC VTBB/NL trong nước", '6. TIẾN ĐỘ MUA HÀNG'!$A$4:$AT$4, 0)) = $B55) * (TRIM(INDEX('6. TIẾN ĐỘ MUA HÀNG'!$A$5:$AT644, 0, XMATCH("Tháng", '6. TIẾN ĐỘ MUA HÀNG'!$A$4:$AT$4, 0))) = TRIM(O$6)) * (INDEX('6. TIẾN ĐỘ MUA HÀNG'!$A$5:$AT644, 0, XMATCH("CL NGÀY NCC DỰ KIẾN - NGÀY NHẬN HÀNG", '6. TIẾN ĐỘ MUA HÀNG'!$A$4:$AT$4, 0)) &lt; 0)
)</f>
        <v>0</v>
      </c>
      <c r="Q55" s="755">
        <f t="shared" si="31"/>
        <v>0</v>
      </c>
      <c r="R55" s="756">
        <f t="array" ref="R55">SUMPRODUCT((TRIM(INDEX('6. TIẾN ĐỘ MUA HÀNG'!$A$5:$AT644, 0, XMATCH("NCC VTBB/NL trong nước", '6. TIẾN ĐỘ MUA HÀNG'!$A$4:$AT$4, 0))) = TRIM($B55)) * (TRIM(INDEX('6. TIẾN ĐỘ MUA HÀNG'!$A$5:$AT644, 0, XMATCH("Tháng", '6. TIẾN ĐỘ MUA HÀNG'!$A$4:$AT$4, 0))) = TRIM(R$6)) * (INDEX('6. TIẾN ĐỘ MUA HÀNG'!$A$5:$AT644, 0, XMATCH("Mã đơn Misa", '6. TIẾN ĐỘ MUA HÀNG'!$A$4:$AT$4, 0)) &lt;&gt; ""))</f>
        <v>0</v>
      </c>
      <c r="S55" s="756">
        <f t="array" ref="S55">SUMPRODUCT(
  (INDEX('6. TIẾN ĐỘ MUA HÀNG'!$A$5:$AT644, 0, XMATCH("NCC VTBB/NL trong nước", '6. TIẾN ĐỘ MUA HÀNG'!$A$4:$AT$4, 0)) = $B55) * (TRIM(INDEX('6. TIẾN ĐỘ MUA HÀNG'!$A$5:$AT644, 0, XMATCH("Tháng", '6. TIẾN ĐỘ MUA HÀNG'!$A$4:$AT$4, 0))) = TRIM(R$6)) * (INDEX('6. TIẾN ĐỘ MUA HÀNG'!$A$5:$AT644, 0, XMATCH("CL NGÀY NCC DỰ KIẾN - NGÀY NHẬN HÀNG", '6. TIẾN ĐỘ MUA HÀNG'!$A$4:$AT$4, 0)) &lt; 0)
)</f>
        <v>0</v>
      </c>
      <c r="T55" s="757">
        <f t="shared" si="19"/>
        <v>0</v>
      </c>
      <c r="U55" s="754">
        <f t="array" ref="U55">SUMPRODUCT((TRIM(INDEX('6. TIẾN ĐỘ MUA HÀNG'!$A$5:$AT644, 0, XMATCH("NCC VTBB/NL trong nước", '6. TIẾN ĐỘ MUA HÀNG'!$A$4:$AT$4, 0))) = TRIM($B55)) * (TRIM(INDEX('6. TIẾN ĐỘ MUA HÀNG'!$A$5:$AT644, 0, XMATCH("Tháng", '6. TIẾN ĐỘ MUA HÀNG'!$A$4:$AT$4, 0))) = TRIM(U$6)) * (INDEX('6. TIẾN ĐỘ MUA HÀNG'!$A$5:$AT644, 0, XMATCH("Mã đơn Misa", '6. TIẾN ĐỘ MUA HÀNG'!$A$4:$AT$4, 0)) &lt;&gt; ""))</f>
        <v>0</v>
      </c>
      <c r="V55" s="754">
        <f t="array" ref="V55">SUMPRODUCT(
  (INDEX('6. TIẾN ĐỘ MUA HÀNG'!$A$5:$AT644, 0, XMATCH("NCC VTBB/NL trong nước", '6. TIẾN ĐỘ MUA HÀNG'!$A$4:$AT$4, 0)) = $B55) * (TRIM(INDEX('6. TIẾN ĐỘ MUA HÀNG'!$A$5:$AT644, 0, XMATCH("Tháng", '6. TIẾN ĐỘ MUA HÀNG'!$A$4:$AT$4, 0))) = TRIM(U$6)) * (INDEX('6. TIẾN ĐỘ MUA HÀNG'!$A$5:$AT644, 0, XMATCH("CL NGÀY NCC DỰ KIẾN - NGÀY NHẬN HÀNG", '6. TIẾN ĐỘ MUA HÀNG'!$A$4:$AT$4, 0)) &lt; 0)
)</f>
        <v>0</v>
      </c>
      <c r="W55" s="755">
        <f t="shared" si="32"/>
        <v>0</v>
      </c>
      <c r="X55" s="756">
        <f t="array" ref="X55">SUMPRODUCT((TRIM(INDEX('6. TIẾN ĐỘ MUA HÀNG'!$A$5:$AT644, 0, XMATCH("NCC VTBB/NL trong nước", '6. TIẾN ĐỘ MUA HÀNG'!$A$4:$AT$4, 0))) = TRIM($B55)) * (TRIM(INDEX('6. TIẾN ĐỘ MUA HÀNG'!$A$5:$AT644, 0, XMATCH("Tháng", '6. TIẾN ĐỘ MUA HÀNG'!$A$4:$AT$4, 0))) = TRIM(X$6)) * (INDEX('6. TIẾN ĐỘ MUA HÀNG'!$A$5:$AT644, 0, XMATCH("Mã đơn Misa", '6. TIẾN ĐỘ MUA HÀNG'!$A$4:$AT$4, 0)) &lt;&gt; ""))</f>
        <v>0</v>
      </c>
      <c r="Y55" s="756">
        <f t="array" ref="Y55">SUMPRODUCT(
  (INDEX('6. TIẾN ĐỘ MUA HÀNG'!$A$5:$AT644, 0, XMATCH("NCC VTBB/NL trong nước", '6. TIẾN ĐỘ MUA HÀNG'!$A$4:$AT$4, 0)) = $B55) * (TRIM(INDEX('6. TIẾN ĐỘ MUA HÀNG'!$A$5:$AT644, 0, XMATCH("Tháng", '6. TIẾN ĐỘ MUA HÀNG'!$A$4:$AT$4, 0))) = TRIM(X$6)) * (INDEX('6. TIẾN ĐỘ MUA HÀNG'!$A$5:$AT644, 0, XMATCH("CL NGÀY NCC DỰ KIẾN - NGÀY NHẬN HÀNG", '6. TIẾN ĐỘ MUA HÀNG'!$A$4:$AT$4, 0)) &lt; 0)
)</f>
        <v>0</v>
      </c>
      <c r="Z55" s="757">
        <f t="shared" si="21"/>
        <v>0</v>
      </c>
      <c r="AA55" s="754">
        <f t="array" ref="AA55">SUMPRODUCT((TRIM(INDEX('6. TIẾN ĐỘ MUA HÀNG'!$A$5:$AT644, 0, XMATCH("NCC VTBB/NL trong nước", '6. TIẾN ĐỘ MUA HÀNG'!$A$4:$AT$4, 0))) = TRIM($B55)) * (TRIM(INDEX('6. TIẾN ĐỘ MUA HÀNG'!$A$5:$AT644, 0, XMATCH("Tháng", '6. TIẾN ĐỘ MUA HÀNG'!$A$4:$AT$4, 0))) = TRIM(AA$6)) * (INDEX('6. TIẾN ĐỘ MUA HÀNG'!$A$5:$AT644, 0, XMATCH("Mã đơn Misa", '6. TIẾN ĐỘ MUA HÀNG'!$A$4:$AT$4, 0)) &lt;&gt; ""))</f>
        <v>0</v>
      </c>
      <c r="AB55" s="754">
        <f t="array" ref="AB55">SUMPRODUCT(
  (INDEX('6. TIẾN ĐỘ MUA HÀNG'!$A$5:$AT644, 0, XMATCH("NCC VTBB/NL trong nước", '6. TIẾN ĐỘ MUA HÀNG'!$A$4:$AT$4, 0)) = $B55) * (TRIM(INDEX('6. TIẾN ĐỘ MUA HÀNG'!$A$5:$AT644, 0, XMATCH("Tháng", '6. TIẾN ĐỘ MUA HÀNG'!$A$4:$AT$4, 0))) = TRIM(AA$6)) * (INDEX('6. TIẾN ĐỘ MUA HÀNG'!$A$5:$AT644, 0, XMATCH("CL NGÀY NCC DỰ KIẾN - NGÀY NHẬN HÀNG", '6. TIẾN ĐỘ MUA HÀNG'!$A$4:$AT$4, 0)) &lt; 0)
)</f>
        <v>0</v>
      </c>
      <c r="AC55" s="755">
        <f t="shared" si="33"/>
        <v>0</v>
      </c>
      <c r="AD55" s="756">
        <f t="array" ref="AD55">SUMPRODUCT((TRIM(INDEX('6. TIẾN ĐỘ MUA HÀNG'!$A$5:$AT644, 0, XMATCH("NCC VTBB/NL trong nước", '6. TIẾN ĐỘ MUA HÀNG'!$A$4:$AT$4, 0))) = TRIM($B55)) * (TRIM(INDEX('6. TIẾN ĐỘ MUA HÀNG'!$A$5:$AT644, 0, XMATCH("Tháng", '6. TIẾN ĐỘ MUA HÀNG'!$A$4:$AT$4, 0))) = TRIM(AD$6)) * (INDEX('6. TIẾN ĐỘ MUA HÀNG'!$A$5:$AT644, 0, XMATCH("Mã đơn Misa", '6. TIẾN ĐỘ MUA HÀNG'!$A$4:$AT$4, 0)) &lt;&gt; ""))</f>
        <v>0</v>
      </c>
      <c r="AE55" s="756">
        <f t="array" ref="AE55">SUMPRODUCT(
  (INDEX('6. TIẾN ĐỘ MUA HÀNG'!$A$5:$AT644, 0, XMATCH("NCC VTBB/NL trong nước", '6. TIẾN ĐỘ MUA HÀNG'!$A$4:$AT$4, 0)) = $B55) * (TRIM(INDEX('6. TIẾN ĐỘ MUA HÀNG'!$A$5:$AT644, 0, XMATCH("Tháng", '6. TIẾN ĐỘ MUA HÀNG'!$A$4:$AT$4, 0))) = TRIM(AD$6)) * (INDEX('6. TIẾN ĐỘ MUA HÀNG'!$A$5:$AT644, 0, XMATCH("CL NGÀY NCC DỰ KIẾN - NGÀY NHẬN HÀNG", '6. TIẾN ĐỘ MUA HÀNG'!$A$4:$AT$4, 0)) &lt; 0)
)</f>
        <v>0</v>
      </c>
      <c r="AF55" s="757">
        <f t="shared" si="23"/>
        <v>0</v>
      </c>
      <c r="AG55" s="754">
        <f t="array" ref="AG55">SUMPRODUCT((TRIM(INDEX('6. TIẾN ĐỘ MUA HÀNG'!$A$5:$AT644, 0, XMATCH("NCC VTBB/NL trong nước", '6. TIẾN ĐỘ MUA HÀNG'!$A$4:$AT$4, 0))) = TRIM($B55)) * (TRIM(INDEX('6. TIẾN ĐỘ MUA HÀNG'!$A$5:$AT644, 0, XMATCH("Tháng", '6. TIẾN ĐỘ MUA HÀNG'!$A$4:$AT$4, 0))) = TRIM(AG$6)) * (INDEX('6. TIẾN ĐỘ MUA HÀNG'!$A$5:$AT644, 0, XMATCH("Mã đơn Misa", '6. TIẾN ĐỘ MUA HÀNG'!$A$4:$AT$4, 0)) &lt;&gt; ""))</f>
        <v>0</v>
      </c>
      <c r="AH55" s="754">
        <f t="array" ref="AH55">SUMPRODUCT(
  (INDEX('6. TIẾN ĐỘ MUA HÀNG'!$A$5:$AT644, 0, XMATCH("NCC VTBB/NL trong nước", '6. TIẾN ĐỘ MUA HÀNG'!$A$4:$AT$4, 0)) = $B55) * (TRIM(INDEX('6. TIẾN ĐỘ MUA HÀNG'!$A$5:$AT644, 0, XMATCH("Tháng", '6. TIẾN ĐỘ MUA HÀNG'!$A$4:$AT$4, 0))) = TRIM(AG$6)) * (INDEX('6. TIẾN ĐỘ MUA HÀNG'!$A$5:$AT644, 0, XMATCH("CL NGÀY NCC DỰ KIẾN - NGÀY NHẬN HÀNG", '6. TIẾN ĐỘ MUA HÀNG'!$A$4:$AT$4, 0)) &lt; 0)
)</f>
        <v>0</v>
      </c>
      <c r="AI55" s="755">
        <f t="shared" si="34"/>
        <v>0</v>
      </c>
      <c r="AJ55" s="756">
        <f t="array" ref="AJ55">SUMPRODUCT((TRIM(INDEX('6. TIẾN ĐỘ MUA HÀNG'!$A$5:$AT644, 0, XMATCH("NCC VTBB/NL trong nước", '6. TIẾN ĐỘ MUA HÀNG'!$A$4:$AT$4, 0))) = TRIM($B55)) * (TRIM(INDEX('6. TIẾN ĐỘ MUA HÀNG'!$A$5:$AT644, 0, XMATCH("Tháng", '6. TIẾN ĐỘ MUA HÀNG'!$A$4:$AT$4, 0))) = TRIM(AJ$6)) * (INDEX('6. TIẾN ĐỘ MUA HÀNG'!$A$5:$AT644, 0, XMATCH("Mã đơn Misa", '6. TIẾN ĐỘ MUA HÀNG'!$A$4:$AT$4, 0)) &lt;&gt; ""))</f>
        <v>0</v>
      </c>
      <c r="AK55" s="756">
        <f t="array" ref="AK55">SUMPRODUCT(
  (INDEX('6. TIẾN ĐỘ MUA HÀNG'!$A$5:$AT644, 0, XMATCH("NCC VTBB/NL trong nước", '6. TIẾN ĐỘ MUA HÀNG'!$A$4:$AT$4, 0)) = $B55) * (TRIM(INDEX('6. TIẾN ĐỘ MUA HÀNG'!$A$5:$AT644, 0, XMATCH("Tháng", '6. TIẾN ĐỘ MUA HÀNG'!$A$4:$AT$4, 0))) = TRIM(AJ$6)) * (INDEX('6. TIẾN ĐỘ MUA HÀNG'!$A$5:$AT644, 0, XMATCH("CL NGÀY NCC DỰ KIẾN - NGÀY NHẬN HÀNG", '6. TIẾN ĐỘ MUA HÀNG'!$A$4:$AT$4, 0)) &lt; 0)
)</f>
        <v>0</v>
      </c>
      <c r="AL55" s="757">
        <f t="shared" si="25"/>
        <v>0</v>
      </c>
      <c r="AM55" s="726">
        <f t="shared" si="27"/>
        <v>0</v>
      </c>
      <c r="AN55" s="726">
        <f t="shared" si="28"/>
        <v>0</v>
      </c>
      <c r="AO55" s="727">
        <f t="shared" si="26"/>
        <v>0</v>
      </c>
    </row>
    <row r="56">
      <c r="A56" s="612">
        <v>48.0</v>
      </c>
      <c r="B56" s="624" t="str">
        <f>IFERROR(__xludf.DUMMYFUNCTION("""COMPUTED_VALUE"""),"Nutifer Vn")</f>
        <v>Nutifer Vn</v>
      </c>
      <c r="C56" s="754">
        <f t="array" ref="C56">SUMPRODUCT((TRIM(INDEX('6. TIẾN ĐỘ MUA HÀNG'!$A$5:$AT644, 0, XMATCH("NCC VTBB/NL trong nước", '6. TIẾN ĐỘ MUA HÀNG'!$A$4:$AT$4, 0))) = TRIM($B56)) * (TRIM(INDEX('6. TIẾN ĐỘ MUA HÀNG'!$A$5:$AT644, 0, XMATCH("Tháng", '6. TIẾN ĐỘ MUA HÀNG'!$A$4:$AT$4, 0))) = TRIM(C$6)) * (INDEX('6. TIẾN ĐỘ MUA HÀNG'!$A$5:$AT644, 0, XMATCH("Mã đơn Misa", '6. TIẾN ĐỘ MUA HÀNG'!$A$4:$AT$4, 0)) &lt;&gt; ""))</f>
        <v>0</v>
      </c>
      <c r="D56" s="754">
        <f t="array" ref="D56">SUMPRODUCT(
  (INDEX('6. TIẾN ĐỘ MUA HÀNG'!$A$5:$AT644, 0, XMATCH("NCC VTBB/NL trong nước", '6. TIẾN ĐỘ MUA HÀNG'!$A$4:$AT$4, 0)) = $B56) * (TRIM(INDEX('6. TIẾN ĐỘ MUA HÀNG'!$A$5:$AT644, 0, XMATCH("Tháng", '6. TIẾN ĐỘ MUA HÀNG'!$A$4:$AT$4, 0))) = TRIM(C$6)) * (INDEX('6. TIẾN ĐỘ MUA HÀNG'!$A$5:$AT644, 0, XMATCH("CL NGÀY NCC DỰ KIẾN - NGÀY NHẬN HÀNG", '6. TIẾN ĐỘ MUA HÀNG'!$A$4:$AT$4, 0)) &lt; 0)
)</f>
        <v>0</v>
      </c>
      <c r="E56" s="755">
        <f t="shared" si="29"/>
        <v>0</v>
      </c>
      <c r="F56" s="756">
        <f t="array" ref="F56">SUMPRODUCT((TRIM(INDEX('6. TIẾN ĐỘ MUA HÀNG'!$A$5:$AT644, 0, XMATCH("NCC VTBB/NL trong nước", '6. TIẾN ĐỘ MUA HÀNG'!$A$4:$AT$4, 0))) = TRIM($B56)) * (TRIM(INDEX('6. TIẾN ĐỘ MUA HÀNG'!$A$5:$AT644, 0, XMATCH("Tháng", '6. TIẾN ĐỘ MUA HÀNG'!$A$4:$AT$4, 0))) = TRIM(F$6)) * (INDEX('6. TIẾN ĐỘ MUA HÀNG'!$A$5:$AT644, 0, XMATCH("Mã đơn Misa", '6. TIẾN ĐỘ MUA HÀNG'!$A$4:$AT$4, 0)) &lt;&gt; ""))</f>
        <v>0</v>
      </c>
      <c r="G56" s="756">
        <f t="array" ref="G56">SUMPRODUCT(
  (INDEX('6. TIẾN ĐỘ MUA HÀNG'!$A$5:$AT644, 0, XMATCH("NCC VTBB/NL trong nước", '6. TIẾN ĐỘ MUA HÀNG'!$A$4:$AT$4, 0)) = $B56) * (TRIM(INDEX('6. TIẾN ĐỘ MUA HÀNG'!$A$5:$AT644, 0, XMATCH("Tháng", '6. TIẾN ĐỘ MUA HÀNG'!$A$4:$AT$4, 0))) = TRIM(F$6)) * (INDEX('6. TIẾN ĐỘ MUA HÀNG'!$A$5:$AT644, 0, XMATCH("CL NGÀY NCC DỰ KIẾN - NGÀY NHẬN HÀNG", '6. TIẾN ĐỘ MUA HÀNG'!$A$4:$AT$4, 0)) &lt; 0)
)</f>
        <v>0</v>
      </c>
      <c r="H56" s="757">
        <f t="shared" si="15"/>
        <v>0</v>
      </c>
      <c r="I56" s="754">
        <f t="array" ref="I56">SUMPRODUCT((TRIM(INDEX('6. TIẾN ĐỘ MUA HÀNG'!$A$5:$AT644, 0, XMATCH("NCC VTBB/NL trong nước", '6. TIẾN ĐỘ MUA HÀNG'!$A$4:$AT$4, 0))) = TRIM($B56)) * (TRIM(INDEX('6. TIẾN ĐỘ MUA HÀNG'!$A$5:$AT644, 0, XMATCH("Tháng", '6. TIẾN ĐỘ MUA HÀNG'!$A$4:$AT$4, 0))) = TRIM(I$6)) * (INDEX('6. TIẾN ĐỘ MUA HÀNG'!$A$5:$AT644, 0, XMATCH("Mã đơn Misa", '6. TIẾN ĐỘ MUA HÀNG'!$A$4:$AT$4, 0)) &lt;&gt; ""))</f>
        <v>0</v>
      </c>
      <c r="J56" s="754">
        <f t="array" ref="J56">SUMPRODUCT(
  (INDEX('6. TIẾN ĐỘ MUA HÀNG'!$A$5:$AT644, 0, XMATCH("NCC VTBB/NL trong nước", '6. TIẾN ĐỘ MUA HÀNG'!$A$4:$AT$4, 0)) = $B56) * (TRIM(INDEX('6. TIẾN ĐỘ MUA HÀNG'!$A$5:$AT644, 0, XMATCH("Tháng", '6. TIẾN ĐỘ MUA HÀNG'!$A$4:$AT$4, 0))) = TRIM(I$6)) * (INDEX('6. TIẾN ĐỘ MUA HÀNG'!$A$5:$AT644, 0, XMATCH("CL NGÀY NCC DỰ KIẾN - NGÀY NHẬN HÀNG", '6. TIẾN ĐỘ MUA HÀNG'!$A$4:$AT$4, 0)) &lt; 0)
)</f>
        <v>0</v>
      </c>
      <c r="K56" s="755">
        <f t="shared" si="30"/>
        <v>0</v>
      </c>
      <c r="L56" s="756">
        <f t="array" ref="L56">SUMPRODUCT((TRIM(INDEX('6. TIẾN ĐỘ MUA HÀNG'!$A$5:$AT644, 0, XMATCH("NCC VTBB/NL trong nước", '6. TIẾN ĐỘ MUA HÀNG'!$A$4:$AT$4, 0))) = TRIM($B56)) * (TRIM(INDEX('6. TIẾN ĐỘ MUA HÀNG'!$A$5:$AT644, 0, XMATCH("Tháng", '6. TIẾN ĐỘ MUA HÀNG'!$A$4:$AT$4, 0))) = TRIM(L$6)) * (INDEX('6. TIẾN ĐỘ MUA HÀNG'!$A$5:$AT644, 0, XMATCH("Mã đơn Misa", '6. TIẾN ĐỘ MUA HÀNG'!$A$4:$AT$4, 0)) &lt;&gt; ""))</f>
        <v>0</v>
      </c>
      <c r="M56" s="756">
        <f t="array" ref="M56">SUMPRODUCT(
  (INDEX('6. TIẾN ĐỘ MUA HÀNG'!$A$5:$AT644, 0, XMATCH("NCC VTBB/NL trong nước", '6. TIẾN ĐỘ MUA HÀNG'!$A$4:$AT$4, 0)) = $B56) * (TRIM(INDEX('6. TIẾN ĐỘ MUA HÀNG'!$A$5:$AT644, 0, XMATCH("Tháng", '6. TIẾN ĐỘ MUA HÀNG'!$A$4:$AT$4, 0))) = TRIM(L$6)) * (INDEX('6. TIẾN ĐỘ MUA HÀNG'!$A$5:$AT644, 0, XMATCH("CL NGÀY NCC DỰ KIẾN - NGÀY NHẬN HÀNG", '6. TIẾN ĐỘ MUA HÀNG'!$A$4:$AT$4, 0)) &lt; 0)
)</f>
        <v>0</v>
      </c>
      <c r="N56" s="757">
        <f t="shared" si="17"/>
        <v>0</v>
      </c>
      <c r="O56" s="754">
        <f t="array" ref="O56">SUMPRODUCT((TRIM(INDEX('6. TIẾN ĐỘ MUA HÀNG'!$A$5:$AT644, 0, XMATCH("NCC VTBB/NL trong nước", '6. TIẾN ĐỘ MUA HÀNG'!$A$4:$AT$4, 0))) = TRIM($B56)) * (TRIM(INDEX('6. TIẾN ĐỘ MUA HÀNG'!$A$5:$AT644, 0, XMATCH("Tháng", '6. TIẾN ĐỘ MUA HÀNG'!$A$4:$AT$4, 0))) = TRIM(O$6)) * (INDEX('6. TIẾN ĐỘ MUA HÀNG'!$A$5:$AT644, 0, XMATCH("Mã đơn Misa", '6. TIẾN ĐỘ MUA HÀNG'!$A$4:$AT$4, 0)) &lt;&gt; ""))</f>
        <v>0</v>
      </c>
      <c r="P56" s="754">
        <f t="array" ref="P56">SUMPRODUCT(
  (INDEX('6. TIẾN ĐỘ MUA HÀNG'!$A$5:$AT644, 0, XMATCH("NCC VTBB/NL trong nước", '6. TIẾN ĐỘ MUA HÀNG'!$A$4:$AT$4, 0)) = $B56) * (TRIM(INDEX('6. TIẾN ĐỘ MUA HÀNG'!$A$5:$AT644, 0, XMATCH("Tháng", '6. TIẾN ĐỘ MUA HÀNG'!$A$4:$AT$4, 0))) = TRIM(O$6)) * (INDEX('6. TIẾN ĐỘ MUA HÀNG'!$A$5:$AT644, 0, XMATCH("CL NGÀY NCC DỰ KIẾN - NGÀY NHẬN HÀNG", '6. TIẾN ĐỘ MUA HÀNG'!$A$4:$AT$4, 0)) &lt; 0)
)</f>
        <v>0</v>
      </c>
      <c r="Q56" s="755">
        <f t="shared" si="31"/>
        <v>0</v>
      </c>
      <c r="R56" s="756">
        <f t="array" ref="R56">SUMPRODUCT((TRIM(INDEX('6. TIẾN ĐỘ MUA HÀNG'!$A$5:$AT644, 0, XMATCH("NCC VTBB/NL trong nước", '6. TIẾN ĐỘ MUA HÀNG'!$A$4:$AT$4, 0))) = TRIM($B56)) * (TRIM(INDEX('6. TIẾN ĐỘ MUA HÀNG'!$A$5:$AT644, 0, XMATCH("Tháng", '6. TIẾN ĐỘ MUA HÀNG'!$A$4:$AT$4, 0))) = TRIM(R$6)) * (INDEX('6. TIẾN ĐỘ MUA HÀNG'!$A$5:$AT644, 0, XMATCH("Mã đơn Misa", '6. TIẾN ĐỘ MUA HÀNG'!$A$4:$AT$4, 0)) &lt;&gt; ""))</f>
        <v>0</v>
      </c>
      <c r="S56" s="756">
        <f t="array" ref="S56">SUMPRODUCT(
  (INDEX('6. TIẾN ĐỘ MUA HÀNG'!$A$5:$AT644, 0, XMATCH("NCC VTBB/NL trong nước", '6. TIẾN ĐỘ MUA HÀNG'!$A$4:$AT$4, 0)) = $B56) * (TRIM(INDEX('6. TIẾN ĐỘ MUA HÀNG'!$A$5:$AT644, 0, XMATCH("Tháng", '6. TIẾN ĐỘ MUA HÀNG'!$A$4:$AT$4, 0))) = TRIM(R$6)) * (INDEX('6. TIẾN ĐỘ MUA HÀNG'!$A$5:$AT644, 0, XMATCH("CL NGÀY NCC DỰ KIẾN - NGÀY NHẬN HÀNG", '6. TIẾN ĐỘ MUA HÀNG'!$A$4:$AT$4, 0)) &lt; 0)
)</f>
        <v>0</v>
      </c>
      <c r="T56" s="757">
        <f t="shared" si="19"/>
        <v>0</v>
      </c>
      <c r="U56" s="754">
        <f t="array" ref="U56">SUMPRODUCT((TRIM(INDEX('6. TIẾN ĐỘ MUA HÀNG'!$A$5:$AT644, 0, XMATCH("NCC VTBB/NL trong nước", '6. TIẾN ĐỘ MUA HÀNG'!$A$4:$AT$4, 0))) = TRIM($B56)) * (TRIM(INDEX('6. TIẾN ĐỘ MUA HÀNG'!$A$5:$AT644, 0, XMATCH("Tháng", '6. TIẾN ĐỘ MUA HÀNG'!$A$4:$AT$4, 0))) = TRIM(U$6)) * (INDEX('6. TIẾN ĐỘ MUA HÀNG'!$A$5:$AT644, 0, XMATCH("Mã đơn Misa", '6. TIẾN ĐỘ MUA HÀNG'!$A$4:$AT$4, 0)) &lt;&gt; ""))</f>
        <v>0</v>
      </c>
      <c r="V56" s="754">
        <f t="array" ref="V56">SUMPRODUCT(
  (INDEX('6. TIẾN ĐỘ MUA HÀNG'!$A$5:$AT644, 0, XMATCH("NCC VTBB/NL trong nước", '6. TIẾN ĐỘ MUA HÀNG'!$A$4:$AT$4, 0)) = $B56) * (TRIM(INDEX('6. TIẾN ĐỘ MUA HÀNG'!$A$5:$AT644, 0, XMATCH("Tháng", '6. TIẾN ĐỘ MUA HÀNG'!$A$4:$AT$4, 0))) = TRIM(U$6)) * (INDEX('6. TIẾN ĐỘ MUA HÀNG'!$A$5:$AT644, 0, XMATCH("CL NGÀY NCC DỰ KIẾN - NGÀY NHẬN HÀNG", '6. TIẾN ĐỘ MUA HÀNG'!$A$4:$AT$4, 0)) &lt; 0)
)</f>
        <v>0</v>
      </c>
      <c r="W56" s="755">
        <f t="shared" si="32"/>
        <v>0</v>
      </c>
      <c r="X56" s="756">
        <f t="array" ref="X56">SUMPRODUCT((TRIM(INDEX('6. TIẾN ĐỘ MUA HÀNG'!$A$5:$AT644, 0, XMATCH("NCC VTBB/NL trong nước", '6. TIẾN ĐỘ MUA HÀNG'!$A$4:$AT$4, 0))) = TRIM($B56)) * (TRIM(INDEX('6. TIẾN ĐỘ MUA HÀNG'!$A$5:$AT644, 0, XMATCH("Tháng", '6. TIẾN ĐỘ MUA HÀNG'!$A$4:$AT$4, 0))) = TRIM(X$6)) * (INDEX('6. TIẾN ĐỘ MUA HÀNG'!$A$5:$AT644, 0, XMATCH("Mã đơn Misa", '6. TIẾN ĐỘ MUA HÀNG'!$A$4:$AT$4, 0)) &lt;&gt; ""))</f>
        <v>0</v>
      </c>
      <c r="Y56" s="756">
        <f t="array" ref="Y56">SUMPRODUCT(
  (INDEX('6. TIẾN ĐỘ MUA HÀNG'!$A$5:$AT644, 0, XMATCH("NCC VTBB/NL trong nước", '6. TIẾN ĐỘ MUA HÀNG'!$A$4:$AT$4, 0)) = $B56) * (TRIM(INDEX('6. TIẾN ĐỘ MUA HÀNG'!$A$5:$AT644, 0, XMATCH("Tháng", '6. TIẾN ĐỘ MUA HÀNG'!$A$4:$AT$4, 0))) = TRIM(X$6)) * (INDEX('6. TIẾN ĐỘ MUA HÀNG'!$A$5:$AT644, 0, XMATCH("CL NGÀY NCC DỰ KIẾN - NGÀY NHẬN HÀNG", '6. TIẾN ĐỘ MUA HÀNG'!$A$4:$AT$4, 0)) &lt; 0)
)</f>
        <v>0</v>
      </c>
      <c r="Z56" s="757">
        <f t="shared" si="21"/>
        <v>0</v>
      </c>
      <c r="AA56" s="754">
        <f t="array" ref="AA56">SUMPRODUCT((TRIM(INDEX('6. TIẾN ĐỘ MUA HÀNG'!$A$5:$AT644, 0, XMATCH("NCC VTBB/NL trong nước", '6. TIẾN ĐỘ MUA HÀNG'!$A$4:$AT$4, 0))) = TRIM($B56)) * (TRIM(INDEX('6. TIẾN ĐỘ MUA HÀNG'!$A$5:$AT644, 0, XMATCH("Tháng", '6. TIẾN ĐỘ MUA HÀNG'!$A$4:$AT$4, 0))) = TRIM(AA$6)) * (INDEX('6. TIẾN ĐỘ MUA HÀNG'!$A$5:$AT644, 0, XMATCH("Mã đơn Misa", '6. TIẾN ĐỘ MUA HÀNG'!$A$4:$AT$4, 0)) &lt;&gt; ""))</f>
        <v>0</v>
      </c>
      <c r="AB56" s="754">
        <f t="array" ref="AB56">SUMPRODUCT(
  (INDEX('6. TIẾN ĐỘ MUA HÀNG'!$A$5:$AT644, 0, XMATCH("NCC VTBB/NL trong nước", '6. TIẾN ĐỘ MUA HÀNG'!$A$4:$AT$4, 0)) = $B56) * (TRIM(INDEX('6. TIẾN ĐỘ MUA HÀNG'!$A$5:$AT644, 0, XMATCH("Tháng", '6. TIẾN ĐỘ MUA HÀNG'!$A$4:$AT$4, 0))) = TRIM(AA$6)) * (INDEX('6. TIẾN ĐỘ MUA HÀNG'!$A$5:$AT644, 0, XMATCH("CL NGÀY NCC DỰ KIẾN - NGÀY NHẬN HÀNG", '6. TIẾN ĐỘ MUA HÀNG'!$A$4:$AT$4, 0)) &lt; 0)
)</f>
        <v>0</v>
      </c>
      <c r="AC56" s="755">
        <f t="shared" si="33"/>
        <v>0</v>
      </c>
      <c r="AD56" s="756">
        <f t="array" ref="AD56">SUMPRODUCT((TRIM(INDEX('6. TIẾN ĐỘ MUA HÀNG'!$A$5:$AT644, 0, XMATCH("NCC VTBB/NL trong nước", '6. TIẾN ĐỘ MUA HÀNG'!$A$4:$AT$4, 0))) = TRIM($B56)) * (TRIM(INDEX('6. TIẾN ĐỘ MUA HÀNG'!$A$5:$AT644, 0, XMATCH("Tháng", '6. TIẾN ĐỘ MUA HÀNG'!$A$4:$AT$4, 0))) = TRIM(AD$6)) * (INDEX('6. TIẾN ĐỘ MUA HÀNG'!$A$5:$AT644, 0, XMATCH("Mã đơn Misa", '6. TIẾN ĐỘ MUA HÀNG'!$A$4:$AT$4, 0)) &lt;&gt; ""))</f>
        <v>0</v>
      </c>
      <c r="AE56" s="756">
        <f t="array" ref="AE56">SUMPRODUCT(
  (INDEX('6. TIẾN ĐỘ MUA HÀNG'!$A$5:$AT644, 0, XMATCH("NCC VTBB/NL trong nước", '6. TIẾN ĐỘ MUA HÀNG'!$A$4:$AT$4, 0)) = $B56) * (TRIM(INDEX('6. TIẾN ĐỘ MUA HÀNG'!$A$5:$AT644, 0, XMATCH("Tháng", '6. TIẾN ĐỘ MUA HÀNG'!$A$4:$AT$4, 0))) = TRIM(AD$6)) * (INDEX('6. TIẾN ĐỘ MUA HÀNG'!$A$5:$AT644, 0, XMATCH("CL NGÀY NCC DỰ KIẾN - NGÀY NHẬN HÀNG", '6. TIẾN ĐỘ MUA HÀNG'!$A$4:$AT$4, 0)) &lt; 0)
)</f>
        <v>0</v>
      </c>
      <c r="AF56" s="757">
        <f t="shared" si="23"/>
        <v>0</v>
      </c>
      <c r="AG56" s="754">
        <f t="array" ref="AG56">SUMPRODUCT((TRIM(INDEX('6. TIẾN ĐỘ MUA HÀNG'!$A$5:$AT644, 0, XMATCH("NCC VTBB/NL trong nước", '6. TIẾN ĐỘ MUA HÀNG'!$A$4:$AT$4, 0))) = TRIM($B56)) * (TRIM(INDEX('6. TIẾN ĐỘ MUA HÀNG'!$A$5:$AT644, 0, XMATCH("Tháng", '6. TIẾN ĐỘ MUA HÀNG'!$A$4:$AT$4, 0))) = TRIM(AG$6)) * (INDEX('6. TIẾN ĐỘ MUA HÀNG'!$A$5:$AT644, 0, XMATCH("Mã đơn Misa", '6. TIẾN ĐỘ MUA HÀNG'!$A$4:$AT$4, 0)) &lt;&gt; ""))</f>
        <v>0</v>
      </c>
      <c r="AH56" s="754">
        <f t="array" ref="AH56">SUMPRODUCT(
  (INDEX('6. TIẾN ĐỘ MUA HÀNG'!$A$5:$AT644, 0, XMATCH("NCC VTBB/NL trong nước", '6. TIẾN ĐỘ MUA HÀNG'!$A$4:$AT$4, 0)) = $B56) * (TRIM(INDEX('6. TIẾN ĐỘ MUA HÀNG'!$A$5:$AT644, 0, XMATCH("Tháng", '6. TIẾN ĐỘ MUA HÀNG'!$A$4:$AT$4, 0))) = TRIM(AG$6)) * (INDEX('6. TIẾN ĐỘ MUA HÀNG'!$A$5:$AT644, 0, XMATCH("CL NGÀY NCC DỰ KIẾN - NGÀY NHẬN HÀNG", '6. TIẾN ĐỘ MUA HÀNG'!$A$4:$AT$4, 0)) &lt; 0)
)</f>
        <v>0</v>
      </c>
      <c r="AI56" s="755">
        <f t="shared" si="34"/>
        <v>0</v>
      </c>
      <c r="AJ56" s="756">
        <f t="array" ref="AJ56">SUMPRODUCT((TRIM(INDEX('6. TIẾN ĐỘ MUA HÀNG'!$A$5:$AT644, 0, XMATCH("NCC VTBB/NL trong nước", '6. TIẾN ĐỘ MUA HÀNG'!$A$4:$AT$4, 0))) = TRIM($B56)) * (TRIM(INDEX('6. TIẾN ĐỘ MUA HÀNG'!$A$5:$AT644, 0, XMATCH("Tháng", '6. TIẾN ĐỘ MUA HÀNG'!$A$4:$AT$4, 0))) = TRIM(AJ$6)) * (INDEX('6. TIẾN ĐỘ MUA HÀNG'!$A$5:$AT644, 0, XMATCH("Mã đơn Misa", '6. TIẾN ĐỘ MUA HÀNG'!$A$4:$AT$4, 0)) &lt;&gt; ""))</f>
        <v>0</v>
      </c>
      <c r="AK56" s="756">
        <f t="array" ref="AK56">SUMPRODUCT(
  (INDEX('6. TIẾN ĐỘ MUA HÀNG'!$A$5:$AT644, 0, XMATCH("NCC VTBB/NL trong nước", '6. TIẾN ĐỘ MUA HÀNG'!$A$4:$AT$4, 0)) = $B56) * (TRIM(INDEX('6. TIẾN ĐỘ MUA HÀNG'!$A$5:$AT644, 0, XMATCH("Tháng", '6. TIẾN ĐỘ MUA HÀNG'!$A$4:$AT$4, 0))) = TRIM(AJ$6)) * (INDEX('6. TIẾN ĐỘ MUA HÀNG'!$A$5:$AT644, 0, XMATCH("CL NGÀY NCC DỰ KIẾN - NGÀY NHẬN HÀNG", '6. TIẾN ĐỘ MUA HÀNG'!$A$4:$AT$4, 0)) &lt; 0)
)</f>
        <v>0</v>
      </c>
      <c r="AL56" s="757">
        <f t="shared" si="25"/>
        <v>0</v>
      </c>
      <c r="AM56" s="726">
        <f t="shared" si="27"/>
        <v>0</v>
      </c>
      <c r="AN56" s="726">
        <f t="shared" si="28"/>
        <v>0</v>
      </c>
      <c r="AO56" s="727">
        <f t="shared" si="26"/>
        <v>0</v>
      </c>
    </row>
    <row r="57">
      <c r="A57" s="612">
        <v>49.0</v>
      </c>
      <c r="B57" s="624" t="str">
        <f>IFERROR(__xludf.DUMMYFUNCTION("""COMPUTED_VALUE"""),"Hiền Phan Long An")</f>
        <v>Hiền Phan Long An</v>
      </c>
      <c r="C57" s="754">
        <f t="array" ref="C57">SUMPRODUCT((TRIM(INDEX('6. TIẾN ĐỘ MUA HÀNG'!$A$5:$AT644, 0, XMATCH("NCC VTBB/NL trong nước", '6. TIẾN ĐỘ MUA HÀNG'!$A$4:$AT$4, 0))) = TRIM($B57)) * (TRIM(INDEX('6. TIẾN ĐỘ MUA HÀNG'!$A$5:$AT644, 0, XMATCH("Tháng", '6. TIẾN ĐỘ MUA HÀNG'!$A$4:$AT$4, 0))) = TRIM(C$6)) * (INDEX('6. TIẾN ĐỘ MUA HÀNG'!$A$5:$AT644, 0, XMATCH("Mã đơn Misa", '6. TIẾN ĐỘ MUA HÀNG'!$A$4:$AT$4, 0)) &lt;&gt; ""))</f>
        <v>0</v>
      </c>
      <c r="D57" s="754">
        <f t="array" ref="D57">SUMPRODUCT(
  (INDEX('6. TIẾN ĐỘ MUA HÀNG'!$A$5:$AT644, 0, XMATCH("NCC VTBB/NL trong nước", '6. TIẾN ĐỘ MUA HÀNG'!$A$4:$AT$4, 0)) = $B57) * (TRIM(INDEX('6. TIẾN ĐỘ MUA HÀNG'!$A$5:$AT644, 0, XMATCH("Tháng", '6. TIẾN ĐỘ MUA HÀNG'!$A$4:$AT$4, 0))) = TRIM(C$6)) * (INDEX('6. TIẾN ĐỘ MUA HÀNG'!$A$5:$AT644, 0, XMATCH("CL NGÀY NCC DỰ KIẾN - NGÀY NHẬN HÀNG", '6. TIẾN ĐỘ MUA HÀNG'!$A$4:$AT$4, 0)) &lt; 0)
)</f>
        <v>0</v>
      </c>
      <c r="E57" s="755">
        <f t="shared" si="29"/>
        <v>0</v>
      </c>
      <c r="F57" s="756">
        <f t="array" ref="F57">SUMPRODUCT((TRIM(INDEX('6. TIẾN ĐỘ MUA HÀNG'!$A$5:$AT644, 0, XMATCH("NCC VTBB/NL trong nước", '6. TIẾN ĐỘ MUA HÀNG'!$A$4:$AT$4, 0))) = TRIM($B57)) * (TRIM(INDEX('6. TIẾN ĐỘ MUA HÀNG'!$A$5:$AT644, 0, XMATCH("Tháng", '6. TIẾN ĐỘ MUA HÀNG'!$A$4:$AT$4, 0))) = TRIM(F$6)) * (INDEX('6. TIẾN ĐỘ MUA HÀNG'!$A$5:$AT644, 0, XMATCH("Mã đơn Misa", '6. TIẾN ĐỘ MUA HÀNG'!$A$4:$AT$4, 0)) &lt;&gt; ""))</f>
        <v>0</v>
      </c>
      <c r="G57" s="756">
        <f t="array" ref="G57">SUMPRODUCT(
  (INDEX('6. TIẾN ĐỘ MUA HÀNG'!$A$5:$AT644, 0, XMATCH("NCC VTBB/NL trong nước", '6. TIẾN ĐỘ MUA HÀNG'!$A$4:$AT$4, 0)) = $B57) * (TRIM(INDEX('6. TIẾN ĐỘ MUA HÀNG'!$A$5:$AT644, 0, XMATCH("Tháng", '6. TIẾN ĐỘ MUA HÀNG'!$A$4:$AT$4, 0))) = TRIM(F$6)) * (INDEX('6. TIẾN ĐỘ MUA HÀNG'!$A$5:$AT644, 0, XMATCH("CL NGÀY NCC DỰ KIẾN - NGÀY NHẬN HÀNG", '6. TIẾN ĐỘ MUA HÀNG'!$A$4:$AT$4, 0)) &lt; 0)
)</f>
        <v>0</v>
      </c>
      <c r="H57" s="757">
        <f t="shared" si="15"/>
        <v>0</v>
      </c>
      <c r="I57" s="754">
        <f t="array" ref="I57">SUMPRODUCT((TRIM(INDEX('6. TIẾN ĐỘ MUA HÀNG'!$A$5:$AT644, 0, XMATCH("NCC VTBB/NL trong nước", '6. TIẾN ĐỘ MUA HÀNG'!$A$4:$AT$4, 0))) = TRIM($B57)) * (TRIM(INDEX('6. TIẾN ĐỘ MUA HÀNG'!$A$5:$AT644, 0, XMATCH("Tháng", '6. TIẾN ĐỘ MUA HÀNG'!$A$4:$AT$4, 0))) = TRIM(I$6)) * (INDEX('6. TIẾN ĐỘ MUA HÀNG'!$A$5:$AT644, 0, XMATCH("Mã đơn Misa", '6. TIẾN ĐỘ MUA HÀNG'!$A$4:$AT$4, 0)) &lt;&gt; ""))</f>
        <v>0</v>
      </c>
      <c r="J57" s="754">
        <f t="array" ref="J57">SUMPRODUCT(
  (INDEX('6. TIẾN ĐỘ MUA HÀNG'!$A$5:$AT644, 0, XMATCH("NCC VTBB/NL trong nước", '6. TIẾN ĐỘ MUA HÀNG'!$A$4:$AT$4, 0)) = $B57) * (TRIM(INDEX('6. TIẾN ĐỘ MUA HÀNG'!$A$5:$AT644, 0, XMATCH("Tháng", '6. TIẾN ĐỘ MUA HÀNG'!$A$4:$AT$4, 0))) = TRIM(I$6)) * (INDEX('6. TIẾN ĐỘ MUA HÀNG'!$A$5:$AT644, 0, XMATCH("CL NGÀY NCC DỰ KIẾN - NGÀY NHẬN HÀNG", '6. TIẾN ĐỘ MUA HÀNG'!$A$4:$AT$4, 0)) &lt; 0)
)</f>
        <v>0</v>
      </c>
      <c r="K57" s="755">
        <f t="shared" si="30"/>
        <v>0</v>
      </c>
      <c r="L57" s="756">
        <f t="array" ref="L57">SUMPRODUCT((TRIM(INDEX('6. TIẾN ĐỘ MUA HÀNG'!$A$5:$AT644, 0, XMATCH("NCC VTBB/NL trong nước", '6. TIẾN ĐỘ MUA HÀNG'!$A$4:$AT$4, 0))) = TRIM($B57)) * (TRIM(INDEX('6. TIẾN ĐỘ MUA HÀNG'!$A$5:$AT644, 0, XMATCH("Tháng", '6. TIẾN ĐỘ MUA HÀNG'!$A$4:$AT$4, 0))) = TRIM(L$6)) * (INDEX('6. TIẾN ĐỘ MUA HÀNG'!$A$5:$AT644, 0, XMATCH("Mã đơn Misa", '6. TIẾN ĐỘ MUA HÀNG'!$A$4:$AT$4, 0)) &lt;&gt; ""))</f>
        <v>0</v>
      </c>
      <c r="M57" s="756">
        <f t="array" ref="M57">SUMPRODUCT(
  (INDEX('6. TIẾN ĐỘ MUA HÀNG'!$A$5:$AT644, 0, XMATCH("NCC VTBB/NL trong nước", '6. TIẾN ĐỘ MUA HÀNG'!$A$4:$AT$4, 0)) = $B57) * (TRIM(INDEX('6. TIẾN ĐỘ MUA HÀNG'!$A$5:$AT644, 0, XMATCH("Tháng", '6. TIẾN ĐỘ MUA HÀNG'!$A$4:$AT$4, 0))) = TRIM(L$6)) * (INDEX('6. TIẾN ĐỘ MUA HÀNG'!$A$5:$AT644, 0, XMATCH("CL NGÀY NCC DỰ KIẾN - NGÀY NHẬN HÀNG", '6. TIẾN ĐỘ MUA HÀNG'!$A$4:$AT$4, 0)) &lt; 0)
)</f>
        <v>0</v>
      </c>
      <c r="N57" s="757">
        <f t="shared" si="17"/>
        <v>0</v>
      </c>
      <c r="O57" s="754">
        <f t="array" ref="O57">SUMPRODUCT((TRIM(INDEX('6. TIẾN ĐỘ MUA HÀNG'!$A$5:$AT644, 0, XMATCH("NCC VTBB/NL trong nước", '6. TIẾN ĐỘ MUA HÀNG'!$A$4:$AT$4, 0))) = TRIM($B57)) * (TRIM(INDEX('6. TIẾN ĐỘ MUA HÀNG'!$A$5:$AT644, 0, XMATCH("Tháng", '6. TIẾN ĐỘ MUA HÀNG'!$A$4:$AT$4, 0))) = TRIM(O$6)) * (INDEX('6. TIẾN ĐỘ MUA HÀNG'!$A$5:$AT644, 0, XMATCH("Mã đơn Misa", '6. TIẾN ĐỘ MUA HÀNG'!$A$4:$AT$4, 0)) &lt;&gt; ""))</f>
        <v>0</v>
      </c>
      <c r="P57" s="754">
        <f t="array" ref="P57">SUMPRODUCT(
  (INDEX('6. TIẾN ĐỘ MUA HÀNG'!$A$5:$AT644, 0, XMATCH("NCC VTBB/NL trong nước", '6. TIẾN ĐỘ MUA HÀNG'!$A$4:$AT$4, 0)) = $B57) * (TRIM(INDEX('6. TIẾN ĐỘ MUA HÀNG'!$A$5:$AT644, 0, XMATCH("Tháng", '6. TIẾN ĐỘ MUA HÀNG'!$A$4:$AT$4, 0))) = TRIM(O$6)) * (INDEX('6. TIẾN ĐỘ MUA HÀNG'!$A$5:$AT644, 0, XMATCH("CL NGÀY NCC DỰ KIẾN - NGÀY NHẬN HÀNG", '6. TIẾN ĐỘ MUA HÀNG'!$A$4:$AT$4, 0)) &lt; 0)
)</f>
        <v>0</v>
      </c>
      <c r="Q57" s="755">
        <f t="shared" si="31"/>
        <v>0</v>
      </c>
      <c r="R57" s="756">
        <f t="array" ref="R57">SUMPRODUCT((TRIM(INDEX('6. TIẾN ĐỘ MUA HÀNG'!$A$5:$AT644, 0, XMATCH("NCC VTBB/NL trong nước", '6. TIẾN ĐỘ MUA HÀNG'!$A$4:$AT$4, 0))) = TRIM($B57)) * (TRIM(INDEX('6. TIẾN ĐỘ MUA HÀNG'!$A$5:$AT644, 0, XMATCH("Tháng", '6. TIẾN ĐỘ MUA HÀNG'!$A$4:$AT$4, 0))) = TRIM(R$6)) * (INDEX('6. TIẾN ĐỘ MUA HÀNG'!$A$5:$AT644, 0, XMATCH("Mã đơn Misa", '6. TIẾN ĐỘ MUA HÀNG'!$A$4:$AT$4, 0)) &lt;&gt; ""))</f>
        <v>0</v>
      </c>
      <c r="S57" s="756">
        <f t="array" ref="S57">SUMPRODUCT(
  (INDEX('6. TIẾN ĐỘ MUA HÀNG'!$A$5:$AT644, 0, XMATCH("NCC VTBB/NL trong nước", '6. TIẾN ĐỘ MUA HÀNG'!$A$4:$AT$4, 0)) = $B57) * (TRIM(INDEX('6. TIẾN ĐỘ MUA HÀNG'!$A$5:$AT644, 0, XMATCH("Tháng", '6. TIẾN ĐỘ MUA HÀNG'!$A$4:$AT$4, 0))) = TRIM(R$6)) * (INDEX('6. TIẾN ĐỘ MUA HÀNG'!$A$5:$AT644, 0, XMATCH("CL NGÀY NCC DỰ KIẾN - NGÀY NHẬN HÀNG", '6. TIẾN ĐỘ MUA HÀNG'!$A$4:$AT$4, 0)) &lt; 0)
)</f>
        <v>0</v>
      </c>
      <c r="T57" s="757">
        <f t="shared" si="19"/>
        <v>0</v>
      </c>
      <c r="U57" s="754">
        <f t="array" ref="U57">SUMPRODUCT((TRIM(INDEX('6. TIẾN ĐỘ MUA HÀNG'!$A$5:$AT644, 0, XMATCH("NCC VTBB/NL trong nước", '6. TIẾN ĐỘ MUA HÀNG'!$A$4:$AT$4, 0))) = TRIM($B57)) * (TRIM(INDEX('6. TIẾN ĐỘ MUA HÀNG'!$A$5:$AT644, 0, XMATCH("Tháng", '6. TIẾN ĐỘ MUA HÀNG'!$A$4:$AT$4, 0))) = TRIM(U$6)) * (INDEX('6. TIẾN ĐỘ MUA HÀNG'!$A$5:$AT644, 0, XMATCH("Mã đơn Misa", '6. TIẾN ĐỘ MUA HÀNG'!$A$4:$AT$4, 0)) &lt;&gt; ""))</f>
        <v>0</v>
      </c>
      <c r="V57" s="754">
        <f t="array" ref="V57">SUMPRODUCT(
  (INDEX('6. TIẾN ĐỘ MUA HÀNG'!$A$5:$AT644, 0, XMATCH("NCC VTBB/NL trong nước", '6. TIẾN ĐỘ MUA HÀNG'!$A$4:$AT$4, 0)) = $B57) * (TRIM(INDEX('6. TIẾN ĐỘ MUA HÀNG'!$A$5:$AT644, 0, XMATCH("Tháng", '6. TIẾN ĐỘ MUA HÀNG'!$A$4:$AT$4, 0))) = TRIM(U$6)) * (INDEX('6. TIẾN ĐỘ MUA HÀNG'!$A$5:$AT644, 0, XMATCH("CL NGÀY NCC DỰ KIẾN - NGÀY NHẬN HÀNG", '6. TIẾN ĐỘ MUA HÀNG'!$A$4:$AT$4, 0)) &lt; 0)
)</f>
        <v>0</v>
      </c>
      <c r="W57" s="755">
        <f t="shared" si="32"/>
        <v>0</v>
      </c>
      <c r="X57" s="756">
        <f t="array" ref="X57">SUMPRODUCT((TRIM(INDEX('6. TIẾN ĐỘ MUA HÀNG'!$A$5:$AT644, 0, XMATCH("NCC VTBB/NL trong nước", '6. TIẾN ĐỘ MUA HÀNG'!$A$4:$AT$4, 0))) = TRIM($B57)) * (TRIM(INDEX('6. TIẾN ĐỘ MUA HÀNG'!$A$5:$AT644, 0, XMATCH("Tháng", '6. TIẾN ĐỘ MUA HÀNG'!$A$4:$AT$4, 0))) = TRIM(X$6)) * (INDEX('6. TIẾN ĐỘ MUA HÀNG'!$A$5:$AT644, 0, XMATCH("Mã đơn Misa", '6. TIẾN ĐỘ MUA HÀNG'!$A$4:$AT$4, 0)) &lt;&gt; ""))</f>
        <v>0</v>
      </c>
      <c r="Y57" s="756">
        <f t="array" ref="Y57">SUMPRODUCT(
  (INDEX('6. TIẾN ĐỘ MUA HÀNG'!$A$5:$AT644, 0, XMATCH("NCC VTBB/NL trong nước", '6. TIẾN ĐỘ MUA HÀNG'!$A$4:$AT$4, 0)) = $B57) * (TRIM(INDEX('6. TIẾN ĐỘ MUA HÀNG'!$A$5:$AT644, 0, XMATCH("Tháng", '6. TIẾN ĐỘ MUA HÀNG'!$A$4:$AT$4, 0))) = TRIM(X$6)) * (INDEX('6. TIẾN ĐỘ MUA HÀNG'!$A$5:$AT644, 0, XMATCH("CL NGÀY NCC DỰ KIẾN - NGÀY NHẬN HÀNG", '6. TIẾN ĐỘ MUA HÀNG'!$A$4:$AT$4, 0)) &lt; 0)
)</f>
        <v>0</v>
      </c>
      <c r="Z57" s="757">
        <f t="shared" si="21"/>
        <v>0</v>
      </c>
      <c r="AA57" s="754">
        <f t="array" ref="AA57">SUMPRODUCT((TRIM(INDEX('6. TIẾN ĐỘ MUA HÀNG'!$A$5:$AT644, 0, XMATCH("NCC VTBB/NL trong nước", '6. TIẾN ĐỘ MUA HÀNG'!$A$4:$AT$4, 0))) = TRIM($B57)) * (TRIM(INDEX('6. TIẾN ĐỘ MUA HÀNG'!$A$5:$AT644, 0, XMATCH("Tháng", '6. TIẾN ĐỘ MUA HÀNG'!$A$4:$AT$4, 0))) = TRIM(AA$6)) * (INDEX('6. TIẾN ĐỘ MUA HÀNG'!$A$5:$AT644, 0, XMATCH("Mã đơn Misa", '6. TIẾN ĐỘ MUA HÀNG'!$A$4:$AT$4, 0)) &lt;&gt; ""))</f>
        <v>0</v>
      </c>
      <c r="AB57" s="754">
        <f t="array" ref="AB57">SUMPRODUCT(
  (INDEX('6. TIẾN ĐỘ MUA HÀNG'!$A$5:$AT644, 0, XMATCH("NCC VTBB/NL trong nước", '6. TIẾN ĐỘ MUA HÀNG'!$A$4:$AT$4, 0)) = $B57) * (TRIM(INDEX('6. TIẾN ĐỘ MUA HÀNG'!$A$5:$AT644, 0, XMATCH("Tháng", '6. TIẾN ĐỘ MUA HÀNG'!$A$4:$AT$4, 0))) = TRIM(AA$6)) * (INDEX('6. TIẾN ĐỘ MUA HÀNG'!$A$5:$AT644, 0, XMATCH("CL NGÀY NCC DỰ KIẾN - NGÀY NHẬN HÀNG", '6. TIẾN ĐỘ MUA HÀNG'!$A$4:$AT$4, 0)) &lt; 0)
)</f>
        <v>0</v>
      </c>
      <c r="AC57" s="755">
        <f t="shared" si="33"/>
        <v>0</v>
      </c>
      <c r="AD57" s="756">
        <f t="array" ref="AD57">SUMPRODUCT((TRIM(INDEX('6. TIẾN ĐỘ MUA HÀNG'!$A$5:$AT644, 0, XMATCH("NCC VTBB/NL trong nước", '6. TIẾN ĐỘ MUA HÀNG'!$A$4:$AT$4, 0))) = TRIM($B57)) * (TRIM(INDEX('6. TIẾN ĐỘ MUA HÀNG'!$A$5:$AT644, 0, XMATCH("Tháng", '6. TIẾN ĐỘ MUA HÀNG'!$A$4:$AT$4, 0))) = TRIM(AD$6)) * (INDEX('6. TIẾN ĐỘ MUA HÀNG'!$A$5:$AT644, 0, XMATCH("Mã đơn Misa", '6. TIẾN ĐỘ MUA HÀNG'!$A$4:$AT$4, 0)) &lt;&gt; ""))</f>
        <v>0</v>
      </c>
      <c r="AE57" s="756">
        <f t="array" ref="AE57">SUMPRODUCT(
  (INDEX('6. TIẾN ĐỘ MUA HÀNG'!$A$5:$AT644, 0, XMATCH("NCC VTBB/NL trong nước", '6. TIẾN ĐỘ MUA HÀNG'!$A$4:$AT$4, 0)) = $B57) * (TRIM(INDEX('6. TIẾN ĐỘ MUA HÀNG'!$A$5:$AT644, 0, XMATCH("Tháng", '6. TIẾN ĐỘ MUA HÀNG'!$A$4:$AT$4, 0))) = TRIM(AD$6)) * (INDEX('6. TIẾN ĐỘ MUA HÀNG'!$A$5:$AT644, 0, XMATCH("CL NGÀY NCC DỰ KIẾN - NGÀY NHẬN HÀNG", '6. TIẾN ĐỘ MUA HÀNG'!$A$4:$AT$4, 0)) &lt; 0)
)</f>
        <v>0</v>
      </c>
      <c r="AF57" s="757">
        <f t="shared" si="23"/>
        <v>0</v>
      </c>
      <c r="AG57" s="754">
        <f t="array" ref="AG57">SUMPRODUCT((TRIM(INDEX('6. TIẾN ĐỘ MUA HÀNG'!$A$5:$AT644, 0, XMATCH("NCC VTBB/NL trong nước", '6. TIẾN ĐỘ MUA HÀNG'!$A$4:$AT$4, 0))) = TRIM($B57)) * (TRIM(INDEX('6. TIẾN ĐỘ MUA HÀNG'!$A$5:$AT644, 0, XMATCH("Tháng", '6. TIẾN ĐỘ MUA HÀNG'!$A$4:$AT$4, 0))) = TRIM(AG$6)) * (INDEX('6. TIẾN ĐỘ MUA HÀNG'!$A$5:$AT644, 0, XMATCH("Mã đơn Misa", '6. TIẾN ĐỘ MUA HÀNG'!$A$4:$AT$4, 0)) &lt;&gt; ""))</f>
        <v>0</v>
      </c>
      <c r="AH57" s="754">
        <f t="array" ref="AH57">SUMPRODUCT(
  (INDEX('6. TIẾN ĐỘ MUA HÀNG'!$A$5:$AT644, 0, XMATCH("NCC VTBB/NL trong nước", '6. TIẾN ĐỘ MUA HÀNG'!$A$4:$AT$4, 0)) = $B57) * (TRIM(INDEX('6. TIẾN ĐỘ MUA HÀNG'!$A$5:$AT644, 0, XMATCH("Tháng", '6. TIẾN ĐỘ MUA HÀNG'!$A$4:$AT$4, 0))) = TRIM(AG$6)) * (INDEX('6. TIẾN ĐỘ MUA HÀNG'!$A$5:$AT644, 0, XMATCH("CL NGÀY NCC DỰ KIẾN - NGÀY NHẬN HÀNG", '6. TIẾN ĐỘ MUA HÀNG'!$A$4:$AT$4, 0)) &lt; 0)
)</f>
        <v>0</v>
      </c>
      <c r="AI57" s="755">
        <f t="shared" si="34"/>
        <v>0</v>
      </c>
      <c r="AJ57" s="756">
        <f t="array" ref="AJ57">SUMPRODUCT((TRIM(INDEX('6. TIẾN ĐỘ MUA HÀNG'!$A$5:$AT644, 0, XMATCH("NCC VTBB/NL trong nước", '6. TIẾN ĐỘ MUA HÀNG'!$A$4:$AT$4, 0))) = TRIM($B57)) * (TRIM(INDEX('6. TIẾN ĐỘ MUA HÀNG'!$A$5:$AT644, 0, XMATCH("Tháng", '6. TIẾN ĐỘ MUA HÀNG'!$A$4:$AT$4, 0))) = TRIM(AJ$6)) * (INDEX('6. TIẾN ĐỘ MUA HÀNG'!$A$5:$AT644, 0, XMATCH("Mã đơn Misa", '6. TIẾN ĐỘ MUA HÀNG'!$A$4:$AT$4, 0)) &lt;&gt; ""))</f>
        <v>0</v>
      </c>
      <c r="AK57" s="756">
        <f t="array" ref="AK57">SUMPRODUCT(
  (INDEX('6. TIẾN ĐỘ MUA HÀNG'!$A$5:$AT644, 0, XMATCH("NCC VTBB/NL trong nước", '6. TIẾN ĐỘ MUA HÀNG'!$A$4:$AT$4, 0)) = $B57) * (TRIM(INDEX('6. TIẾN ĐỘ MUA HÀNG'!$A$5:$AT644, 0, XMATCH("Tháng", '6. TIẾN ĐỘ MUA HÀNG'!$A$4:$AT$4, 0))) = TRIM(AJ$6)) * (INDEX('6. TIẾN ĐỘ MUA HÀNG'!$A$5:$AT644, 0, XMATCH("CL NGÀY NCC DỰ KIẾN - NGÀY NHẬN HÀNG", '6. TIẾN ĐỘ MUA HÀNG'!$A$4:$AT$4, 0)) &lt; 0)
)</f>
        <v>0</v>
      </c>
      <c r="AL57" s="757">
        <f t="shared" si="25"/>
        <v>0</v>
      </c>
      <c r="AM57" s="726">
        <f t="shared" si="27"/>
        <v>0</v>
      </c>
      <c r="AN57" s="726">
        <f t="shared" si="28"/>
        <v>0</v>
      </c>
      <c r="AO57" s="727">
        <f t="shared" si="26"/>
        <v>0</v>
      </c>
    </row>
    <row r="58">
      <c r="A58" s="612">
        <v>50.0</v>
      </c>
      <c r="B58" s="624" t="str">
        <f>IFERROR(__xludf.DUMMYFUNCTION("""COMPUTED_VALUE"""),"Cvgr")</f>
        <v>Cvgr</v>
      </c>
      <c r="C58" s="754">
        <f t="array" ref="C58">SUMPRODUCT((TRIM(INDEX('6. TIẾN ĐỘ MUA HÀNG'!$A$5:$AT644, 0, XMATCH("NCC VTBB/NL trong nước", '6. TIẾN ĐỘ MUA HÀNG'!$A$4:$AT$4, 0))) = TRIM($B58)) * (TRIM(INDEX('6. TIẾN ĐỘ MUA HÀNG'!$A$5:$AT644, 0, XMATCH("Tháng", '6. TIẾN ĐỘ MUA HÀNG'!$A$4:$AT$4, 0))) = TRIM(C$6)) * (INDEX('6. TIẾN ĐỘ MUA HÀNG'!$A$5:$AT644, 0, XMATCH("Mã đơn Misa", '6. TIẾN ĐỘ MUA HÀNG'!$A$4:$AT$4, 0)) &lt;&gt; ""))</f>
        <v>0</v>
      </c>
      <c r="D58" s="754">
        <f t="array" ref="D58">SUMPRODUCT(
  (INDEX('6. TIẾN ĐỘ MUA HÀNG'!$A$5:$AT644, 0, XMATCH("NCC VTBB/NL trong nước", '6. TIẾN ĐỘ MUA HÀNG'!$A$4:$AT$4, 0)) = $B58) * (TRIM(INDEX('6. TIẾN ĐỘ MUA HÀNG'!$A$5:$AT644, 0, XMATCH("Tháng", '6. TIẾN ĐỘ MUA HÀNG'!$A$4:$AT$4, 0))) = TRIM(C$6)) * (INDEX('6. TIẾN ĐỘ MUA HÀNG'!$A$5:$AT644, 0, XMATCH("CL NGÀY NCC DỰ KIẾN - NGÀY NHẬN HÀNG", '6. TIẾN ĐỘ MUA HÀNG'!$A$4:$AT$4, 0)) &lt; 0)
)</f>
        <v>0</v>
      </c>
      <c r="E58" s="755">
        <f t="shared" si="29"/>
        <v>0</v>
      </c>
      <c r="F58" s="756">
        <f t="array" ref="F58">SUMPRODUCT((TRIM(INDEX('6. TIẾN ĐỘ MUA HÀNG'!$A$5:$AT644, 0, XMATCH("NCC VTBB/NL trong nước", '6. TIẾN ĐỘ MUA HÀNG'!$A$4:$AT$4, 0))) = TRIM($B58)) * (TRIM(INDEX('6. TIẾN ĐỘ MUA HÀNG'!$A$5:$AT644, 0, XMATCH("Tháng", '6. TIẾN ĐỘ MUA HÀNG'!$A$4:$AT$4, 0))) = TRIM(F$6)) * (INDEX('6. TIẾN ĐỘ MUA HÀNG'!$A$5:$AT644, 0, XMATCH("Mã đơn Misa", '6. TIẾN ĐỘ MUA HÀNG'!$A$4:$AT$4, 0)) &lt;&gt; ""))</f>
        <v>0</v>
      </c>
      <c r="G58" s="756">
        <f t="array" ref="G58">SUMPRODUCT(
  (INDEX('6. TIẾN ĐỘ MUA HÀNG'!$A$5:$AT644, 0, XMATCH("NCC VTBB/NL trong nước", '6. TIẾN ĐỘ MUA HÀNG'!$A$4:$AT$4, 0)) = $B58) * (TRIM(INDEX('6. TIẾN ĐỘ MUA HÀNG'!$A$5:$AT644, 0, XMATCH("Tháng", '6. TIẾN ĐỘ MUA HÀNG'!$A$4:$AT$4, 0))) = TRIM(F$6)) * (INDEX('6. TIẾN ĐỘ MUA HÀNG'!$A$5:$AT644, 0, XMATCH("CL NGÀY NCC DỰ KIẾN - NGÀY NHẬN HÀNG", '6. TIẾN ĐỘ MUA HÀNG'!$A$4:$AT$4, 0)) &lt; 0)
)</f>
        <v>0</v>
      </c>
      <c r="H58" s="757">
        <f t="shared" si="15"/>
        <v>0</v>
      </c>
      <c r="I58" s="754">
        <f t="array" ref="I58">SUMPRODUCT((TRIM(INDEX('6. TIẾN ĐỘ MUA HÀNG'!$A$5:$AT644, 0, XMATCH("NCC VTBB/NL trong nước", '6. TIẾN ĐỘ MUA HÀNG'!$A$4:$AT$4, 0))) = TRIM($B58)) * (TRIM(INDEX('6. TIẾN ĐỘ MUA HÀNG'!$A$5:$AT644, 0, XMATCH("Tháng", '6. TIẾN ĐỘ MUA HÀNG'!$A$4:$AT$4, 0))) = TRIM(I$6)) * (INDEX('6. TIẾN ĐỘ MUA HÀNG'!$A$5:$AT644, 0, XMATCH("Mã đơn Misa", '6. TIẾN ĐỘ MUA HÀNG'!$A$4:$AT$4, 0)) &lt;&gt; ""))</f>
        <v>0</v>
      </c>
      <c r="J58" s="754">
        <f t="array" ref="J58">SUMPRODUCT(
  (INDEX('6. TIẾN ĐỘ MUA HÀNG'!$A$5:$AT644, 0, XMATCH("NCC VTBB/NL trong nước", '6. TIẾN ĐỘ MUA HÀNG'!$A$4:$AT$4, 0)) = $B58) * (TRIM(INDEX('6. TIẾN ĐỘ MUA HÀNG'!$A$5:$AT644, 0, XMATCH("Tháng", '6. TIẾN ĐỘ MUA HÀNG'!$A$4:$AT$4, 0))) = TRIM(I$6)) * (INDEX('6. TIẾN ĐỘ MUA HÀNG'!$A$5:$AT644, 0, XMATCH("CL NGÀY NCC DỰ KIẾN - NGÀY NHẬN HÀNG", '6. TIẾN ĐỘ MUA HÀNG'!$A$4:$AT$4, 0)) &lt; 0)
)</f>
        <v>0</v>
      </c>
      <c r="K58" s="755">
        <f t="shared" si="30"/>
        <v>0</v>
      </c>
      <c r="L58" s="756">
        <f t="array" ref="L58">SUMPRODUCT((TRIM(INDEX('6. TIẾN ĐỘ MUA HÀNG'!$A$5:$AT644, 0, XMATCH("NCC VTBB/NL trong nước", '6. TIẾN ĐỘ MUA HÀNG'!$A$4:$AT$4, 0))) = TRIM($B58)) * (TRIM(INDEX('6. TIẾN ĐỘ MUA HÀNG'!$A$5:$AT644, 0, XMATCH("Tháng", '6. TIẾN ĐỘ MUA HÀNG'!$A$4:$AT$4, 0))) = TRIM(L$6)) * (INDEX('6. TIẾN ĐỘ MUA HÀNG'!$A$5:$AT644, 0, XMATCH("Mã đơn Misa", '6. TIẾN ĐỘ MUA HÀNG'!$A$4:$AT$4, 0)) &lt;&gt; ""))</f>
        <v>0</v>
      </c>
      <c r="M58" s="756">
        <f t="array" ref="M58">SUMPRODUCT(
  (INDEX('6. TIẾN ĐỘ MUA HÀNG'!$A$5:$AT644, 0, XMATCH("NCC VTBB/NL trong nước", '6. TIẾN ĐỘ MUA HÀNG'!$A$4:$AT$4, 0)) = $B58) * (TRIM(INDEX('6. TIẾN ĐỘ MUA HÀNG'!$A$5:$AT644, 0, XMATCH("Tháng", '6. TIẾN ĐỘ MUA HÀNG'!$A$4:$AT$4, 0))) = TRIM(L$6)) * (INDEX('6. TIẾN ĐỘ MUA HÀNG'!$A$5:$AT644, 0, XMATCH("CL NGÀY NCC DỰ KIẾN - NGÀY NHẬN HÀNG", '6. TIẾN ĐỘ MUA HÀNG'!$A$4:$AT$4, 0)) &lt; 0)
)</f>
        <v>0</v>
      </c>
      <c r="N58" s="757">
        <f t="shared" si="17"/>
        <v>0</v>
      </c>
      <c r="O58" s="754">
        <f t="array" ref="O58">SUMPRODUCT((TRIM(INDEX('6. TIẾN ĐỘ MUA HÀNG'!$A$5:$AT644, 0, XMATCH("NCC VTBB/NL trong nước", '6. TIẾN ĐỘ MUA HÀNG'!$A$4:$AT$4, 0))) = TRIM($B58)) * (TRIM(INDEX('6. TIẾN ĐỘ MUA HÀNG'!$A$5:$AT644, 0, XMATCH("Tháng", '6. TIẾN ĐỘ MUA HÀNG'!$A$4:$AT$4, 0))) = TRIM(O$6)) * (INDEX('6. TIẾN ĐỘ MUA HÀNG'!$A$5:$AT644, 0, XMATCH("Mã đơn Misa", '6. TIẾN ĐỘ MUA HÀNG'!$A$4:$AT$4, 0)) &lt;&gt; ""))</f>
        <v>0</v>
      </c>
      <c r="P58" s="754">
        <f t="array" ref="P58">SUMPRODUCT(
  (INDEX('6. TIẾN ĐỘ MUA HÀNG'!$A$5:$AT644, 0, XMATCH("NCC VTBB/NL trong nước", '6. TIẾN ĐỘ MUA HÀNG'!$A$4:$AT$4, 0)) = $B58) * (TRIM(INDEX('6. TIẾN ĐỘ MUA HÀNG'!$A$5:$AT644, 0, XMATCH("Tháng", '6. TIẾN ĐỘ MUA HÀNG'!$A$4:$AT$4, 0))) = TRIM(O$6)) * (INDEX('6. TIẾN ĐỘ MUA HÀNG'!$A$5:$AT644, 0, XMATCH("CL NGÀY NCC DỰ KIẾN - NGÀY NHẬN HÀNG", '6. TIẾN ĐỘ MUA HÀNG'!$A$4:$AT$4, 0)) &lt; 0)
)</f>
        <v>0</v>
      </c>
      <c r="Q58" s="755">
        <f t="shared" si="31"/>
        <v>0</v>
      </c>
      <c r="R58" s="756">
        <f t="array" ref="R58">SUMPRODUCT((TRIM(INDEX('6. TIẾN ĐỘ MUA HÀNG'!$A$5:$AT644, 0, XMATCH("NCC VTBB/NL trong nước", '6. TIẾN ĐỘ MUA HÀNG'!$A$4:$AT$4, 0))) = TRIM($B58)) * (TRIM(INDEX('6. TIẾN ĐỘ MUA HÀNG'!$A$5:$AT644, 0, XMATCH("Tháng", '6. TIẾN ĐỘ MUA HÀNG'!$A$4:$AT$4, 0))) = TRIM(R$6)) * (INDEX('6. TIẾN ĐỘ MUA HÀNG'!$A$5:$AT644, 0, XMATCH("Mã đơn Misa", '6. TIẾN ĐỘ MUA HÀNG'!$A$4:$AT$4, 0)) &lt;&gt; ""))</f>
        <v>0</v>
      </c>
      <c r="S58" s="756">
        <f t="array" ref="S58">SUMPRODUCT(
  (INDEX('6. TIẾN ĐỘ MUA HÀNG'!$A$5:$AT644, 0, XMATCH("NCC VTBB/NL trong nước", '6. TIẾN ĐỘ MUA HÀNG'!$A$4:$AT$4, 0)) = $B58) * (TRIM(INDEX('6. TIẾN ĐỘ MUA HÀNG'!$A$5:$AT644, 0, XMATCH("Tháng", '6. TIẾN ĐỘ MUA HÀNG'!$A$4:$AT$4, 0))) = TRIM(R$6)) * (INDEX('6. TIẾN ĐỘ MUA HÀNG'!$A$5:$AT644, 0, XMATCH("CL NGÀY NCC DỰ KIẾN - NGÀY NHẬN HÀNG", '6. TIẾN ĐỘ MUA HÀNG'!$A$4:$AT$4, 0)) &lt; 0)
)</f>
        <v>0</v>
      </c>
      <c r="T58" s="757">
        <f t="shared" si="19"/>
        <v>0</v>
      </c>
      <c r="U58" s="754">
        <f t="array" ref="U58">SUMPRODUCT((TRIM(INDEX('6. TIẾN ĐỘ MUA HÀNG'!$A$5:$AT644, 0, XMATCH("NCC VTBB/NL trong nước", '6. TIẾN ĐỘ MUA HÀNG'!$A$4:$AT$4, 0))) = TRIM($B58)) * (TRIM(INDEX('6. TIẾN ĐỘ MUA HÀNG'!$A$5:$AT644, 0, XMATCH("Tháng", '6. TIẾN ĐỘ MUA HÀNG'!$A$4:$AT$4, 0))) = TRIM(U$6)) * (INDEX('6. TIẾN ĐỘ MUA HÀNG'!$A$5:$AT644, 0, XMATCH("Mã đơn Misa", '6. TIẾN ĐỘ MUA HÀNG'!$A$4:$AT$4, 0)) &lt;&gt; ""))</f>
        <v>0</v>
      </c>
      <c r="V58" s="754">
        <f t="array" ref="V58">SUMPRODUCT(
  (INDEX('6. TIẾN ĐỘ MUA HÀNG'!$A$5:$AT644, 0, XMATCH("NCC VTBB/NL trong nước", '6. TIẾN ĐỘ MUA HÀNG'!$A$4:$AT$4, 0)) = $B58) * (TRIM(INDEX('6. TIẾN ĐỘ MUA HÀNG'!$A$5:$AT644, 0, XMATCH("Tháng", '6. TIẾN ĐỘ MUA HÀNG'!$A$4:$AT$4, 0))) = TRIM(U$6)) * (INDEX('6. TIẾN ĐỘ MUA HÀNG'!$A$5:$AT644, 0, XMATCH("CL NGÀY NCC DỰ KIẾN - NGÀY NHẬN HÀNG", '6. TIẾN ĐỘ MUA HÀNG'!$A$4:$AT$4, 0)) &lt; 0)
)</f>
        <v>0</v>
      </c>
      <c r="W58" s="755">
        <f t="shared" si="32"/>
        <v>0</v>
      </c>
      <c r="X58" s="756">
        <f t="array" ref="X58">SUMPRODUCT((TRIM(INDEX('6. TIẾN ĐỘ MUA HÀNG'!$A$5:$AT644, 0, XMATCH("NCC VTBB/NL trong nước", '6. TIẾN ĐỘ MUA HÀNG'!$A$4:$AT$4, 0))) = TRIM($B58)) * (TRIM(INDEX('6. TIẾN ĐỘ MUA HÀNG'!$A$5:$AT644, 0, XMATCH("Tháng", '6. TIẾN ĐỘ MUA HÀNG'!$A$4:$AT$4, 0))) = TRIM(X$6)) * (INDEX('6. TIẾN ĐỘ MUA HÀNG'!$A$5:$AT644, 0, XMATCH("Mã đơn Misa", '6. TIẾN ĐỘ MUA HÀNG'!$A$4:$AT$4, 0)) &lt;&gt; ""))</f>
        <v>0</v>
      </c>
      <c r="Y58" s="756">
        <f t="array" ref="Y58">SUMPRODUCT(
  (INDEX('6. TIẾN ĐỘ MUA HÀNG'!$A$5:$AT644, 0, XMATCH("NCC VTBB/NL trong nước", '6. TIẾN ĐỘ MUA HÀNG'!$A$4:$AT$4, 0)) = $B58) * (TRIM(INDEX('6. TIẾN ĐỘ MUA HÀNG'!$A$5:$AT644, 0, XMATCH("Tháng", '6. TIẾN ĐỘ MUA HÀNG'!$A$4:$AT$4, 0))) = TRIM(X$6)) * (INDEX('6. TIẾN ĐỘ MUA HÀNG'!$A$5:$AT644, 0, XMATCH("CL NGÀY NCC DỰ KIẾN - NGÀY NHẬN HÀNG", '6. TIẾN ĐỘ MUA HÀNG'!$A$4:$AT$4, 0)) &lt; 0)
)</f>
        <v>0</v>
      </c>
      <c r="Z58" s="757">
        <f t="shared" si="21"/>
        <v>0</v>
      </c>
      <c r="AA58" s="754">
        <f t="array" ref="AA58">SUMPRODUCT((TRIM(INDEX('6. TIẾN ĐỘ MUA HÀNG'!$A$5:$AT644, 0, XMATCH("NCC VTBB/NL trong nước", '6. TIẾN ĐỘ MUA HÀNG'!$A$4:$AT$4, 0))) = TRIM($B58)) * (TRIM(INDEX('6. TIẾN ĐỘ MUA HÀNG'!$A$5:$AT644, 0, XMATCH("Tháng", '6. TIẾN ĐỘ MUA HÀNG'!$A$4:$AT$4, 0))) = TRIM(AA$6)) * (INDEX('6. TIẾN ĐỘ MUA HÀNG'!$A$5:$AT644, 0, XMATCH("Mã đơn Misa", '6. TIẾN ĐỘ MUA HÀNG'!$A$4:$AT$4, 0)) &lt;&gt; ""))</f>
        <v>0</v>
      </c>
      <c r="AB58" s="754">
        <f t="array" ref="AB58">SUMPRODUCT(
  (INDEX('6. TIẾN ĐỘ MUA HÀNG'!$A$5:$AT644, 0, XMATCH("NCC VTBB/NL trong nước", '6. TIẾN ĐỘ MUA HÀNG'!$A$4:$AT$4, 0)) = $B58) * (TRIM(INDEX('6. TIẾN ĐỘ MUA HÀNG'!$A$5:$AT644, 0, XMATCH("Tháng", '6. TIẾN ĐỘ MUA HÀNG'!$A$4:$AT$4, 0))) = TRIM(AA$6)) * (INDEX('6. TIẾN ĐỘ MUA HÀNG'!$A$5:$AT644, 0, XMATCH("CL NGÀY NCC DỰ KIẾN - NGÀY NHẬN HÀNG", '6. TIẾN ĐỘ MUA HÀNG'!$A$4:$AT$4, 0)) &lt; 0)
)</f>
        <v>0</v>
      </c>
      <c r="AC58" s="755">
        <f t="shared" si="33"/>
        <v>0</v>
      </c>
      <c r="AD58" s="756">
        <f t="array" ref="AD58">SUMPRODUCT((TRIM(INDEX('6. TIẾN ĐỘ MUA HÀNG'!$A$5:$AT644, 0, XMATCH("NCC VTBB/NL trong nước", '6. TIẾN ĐỘ MUA HÀNG'!$A$4:$AT$4, 0))) = TRIM($B58)) * (TRIM(INDEX('6. TIẾN ĐỘ MUA HÀNG'!$A$5:$AT644, 0, XMATCH("Tháng", '6. TIẾN ĐỘ MUA HÀNG'!$A$4:$AT$4, 0))) = TRIM(AD$6)) * (INDEX('6. TIẾN ĐỘ MUA HÀNG'!$A$5:$AT644, 0, XMATCH("Mã đơn Misa", '6. TIẾN ĐỘ MUA HÀNG'!$A$4:$AT$4, 0)) &lt;&gt; ""))</f>
        <v>0</v>
      </c>
      <c r="AE58" s="756">
        <f t="array" ref="AE58">SUMPRODUCT(
  (INDEX('6. TIẾN ĐỘ MUA HÀNG'!$A$5:$AT644, 0, XMATCH("NCC VTBB/NL trong nước", '6. TIẾN ĐỘ MUA HÀNG'!$A$4:$AT$4, 0)) = $B58) * (TRIM(INDEX('6. TIẾN ĐỘ MUA HÀNG'!$A$5:$AT644, 0, XMATCH("Tháng", '6. TIẾN ĐỘ MUA HÀNG'!$A$4:$AT$4, 0))) = TRIM(AD$6)) * (INDEX('6. TIẾN ĐỘ MUA HÀNG'!$A$5:$AT644, 0, XMATCH("CL NGÀY NCC DỰ KIẾN - NGÀY NHẬN HÀNG", '6. TIẾN ĐỘ MUA HÀNG'!$A$4:$AT$4, 0)) &lt; 0)
)</f>
        <v>0</v>
      </c>
      <c r="AF58" s="757">
        <f t="shared" si="23"/>
        <v>0</v>
      </c>
      <c r="AG58" s="754">
        <f t="array" ref="AG58">SUMPRODUCT((TRIM(INDEX('6. TIẾN ĐỘ MUA HÀNG'!$A$5:$AT644, 0, XMATCH("NCC VTBB/NL trong nước", '6. TIẾN ĐỘ MUA HÀNG'!$A$4:$AT$4, 0))) = TRIM($B58)) * (TRIM(INDEX('6. TIẾN ĐỘ MUA HÀNG'!$A$5:$AT644, 0, XMATCH("Tháng", '6. TIẾN ĐỘ MUA HÀNG'!$A$4:$AT$4, 0))) = TRIM(AG$6)) * (INDEX('6. TIẾN ĐỘ MUA HÀNG'!$A$5:$AT644, 0, XMATCH("Mã đơn Misa", '6. TIẾN ĐỘ MUA HÀNG'!$A$4:$AT$4, 0)) &lt;&gt; ""))</f>
        <v>0</v>
      </c>
      <c r="AH58" s="754">
        <f t="array" ref="AH58">SUMPRODUCT(
  (INDEX('6. TIẾN ĐỘ MUA HÀNG'!$A$5:$AT644, 0, XMATCH("NCC VTBB/NL trong nước", '6. TIẾN ĐỘ MUA HÀNG'!$A$4:$AT$4, 0)) = $B58) * (TRIM(INDEX('6. TIẾN ĐỘ MUA HÀNG'!$A$5:$AT644, 0, XMATCH("Tháng", '6. TIẾN ĐỘ MUA HÀNG'!$A$4:$AT$4, 0))) = TRIM(AG$6)) * (INDEX('6. TIẾN ĐỘ MUA HÀNG'!$A$5:$AT644, 0, XMATCH("CL NGÀY NCC DỰ KIẾN - NGÀY NHẬN HÀNG", '6. TIẾN ĐỘ MUA HÀNG'!$A$4:$AT$4, 0)) &lt; 0)
)</f>
        <v>0</v>
      </c>
      <c r="AI58" s="755">
        <f t="shared" si="34"/>
        <v>0</v>
      </c>
      <c r="AJ58" s="756">
        <f t="array" ref="AJ58">SUMPRODUCT((TRIM(INDEX('6. TIẾN ĐỘ MUA HÀNG'!$A$5:$AT644, 0, XMATCH("NCC VTBB/NL trong nước", '6. TIẾN ĐỘ MUA HÀNG'!$A$4:$AT$4, 0))) = TRIM($B58)) * (TRIM(INDEX('6. TIẾN ĐỘ MUA HÀNG'!$A$5:$AT644, 0, XMATCH("Tháng", '6. TIẾN ĐỘ MUA HÀNG'!$A$4:$AT$4, 0))) = TRIM(AJ$6)) * (INDEX('6. TIẾN ĐỘ MUA HÀNG'!$A$5:$AT644, 0, XMATCH("Mã đơn Misa", '6. TIẾN ĐỘ MUA HÀNG'!$A$4:$AT$4, 0)) &lt;&gt; ""))</f>
        <v>0</v>
      </c>
      <c r="AK58" s="756">
        <f t="array" ref="AK58">SUMPRODUCT(
  (INDEX('6. TIẾN ĐỘ MUA HÀNG'!$A$5:$AT644, 0, XMATCH("NCC VTBB/NL trong nước", '6. TIẾN ĐỘ MUA HÀNG'!$A$4:$AT$4, 0)) = $B58) * (TRIM(INDEX('6. TIẾN ĐỘ MUA HÀNG'!$A$5:$AT644, 0, XMATCH("Tháng", '6. TIẾN ĐỘ MUA HÀNG'!$A$4:$AT$4, 0))) = TRIM(AJ$6)) * (INDEX('6. TIẾN ĐỘ MUA HÀNG'!$A$5:$AT644, 0, XMATCH("CL NGÀY NCC DỰ KIẾN - NGÀY NHẬN HÀNG", '6. TIẾN ĐỘ MUA HÀNG'!$A$4:$AT$4, 0)) &lt; 0)
)</f>
        <v>0</v>
      </c>
      <c r="AL58" s="757">
        <f t="shared" si="25"/>
        <v>0</v>
      </c>
      <c r="AM58" s="726">
        <f t="shared" si="27"/>
        <v>0</v>
      </c>
      <c r="AN58" s="726">
        <f t="shared" si="28"/>
        <v>0</v>
      </c>
      <c r="AO58" s="727">
        <f t="shared" si="26"/>
        <v>0</v>
      </c>
    </row>
    <row r="59">
      <c r="A59" s="612">
        <v>51.0</v>
      </c>
      <c r="B59" s="624" t="str">
        <f>IFERROR(__xludf.DUMMYFUNCTION("""COMPUTED_VALUE"""),"Namsiang")</f>
        <v>Namsiang</v>
      </c>
      <c r="C59" s="754">
        <f t="array" ref="C59">SUMPRODUCT((TRIM(INDEX('6. TIẾN ĐỘ MUA HÀNG'!$A$5:$AT644, 0, XMATCH("NCC VTBB/NL trong nước", '6. TIẾN ĐỘ MUA HÀNG'!$A$4:$AT$4, 0))) = TRIM($B59)) * (TRIM(INDEX('6. TIẾN ĐỘ MUA HÀNG'!$A$5:$AT644, 0, XMATCH("Tháng", '6. TIẾN ĐỘ MUA HÀNG'!$A$4:$AT$4, 0))) = TRIM(C$6)) * (INDEX('6. TIẾN ĐỘ MUA HÀNG'!$A$5:$AT644, 0, XMATCH("Mã đơn Misa", '6. TIẾN ĐỘ MUA HÀNG'!$A$4:$AT$4, 0)) &lt;&gt; ""))</f>
        <v>0</v>
      </c>
      <c r="D59" s="754">
        <f t="array" ref="D59">SUMPRODUCT(
  (INDEX('6. TIẾN ĐỘ MUA HÀNG'!$A$5:$AT644, 0, XMATCH("NCC VTBB/NL trong nước", '6. TIẾN ĐỘ MUA HÀNG'!$A$4:$AT$4, 0)) = $B59) * (TRIM(INDEX('6. TIẾN ĐỘ MUA HÀNG'!$A$5:$AT644, 0, XMATCH("Tháng", '6. TIẾN ĐỘ MUA HÀNG'!$A$4:$AT$4, 0))) = TRIM(C$6)) * (INDEX('6. TIẾN ĐỘ MUA HÀNG'!$A$5:$AT644, 0, XMATCH("CL NGÀY NCC DỰ KIẾN - NGÀY NHẬN HÀNG", '6. TIẾN ĐỘ MUA HÀNG'!$A$4:$AT$4, 0)) &lt; 0)
)</f>
        <v>0</v>
      </c>
      <c r="E59" s="755">
        <f t="shared" si="29"/>
        <v>0</v>
      </c>
      <c r="F59" s="756">
        <f t="array" ref="F59">SUMPRODUCT((TRIM(INDEX('6. TIẾN ĐỘ MUA HÀNG'!$A$5:$AT644, 0, XMATCH("NCC VTBB/NL trong nước", '6. TIẾN ĐỘ MUA HÀNG'!$A$4:$AT$4, 0))) = TRIM($B59)) * (TRIM(INDEX('6. TIẾN ĐỘ MUA HÀNG'!$A$5:$AT644, 0, XMATCH("Tháng", '6. TIẾN ĐỘ MUA HÀNG'!$A$4:$AT$4, 0))) = TRIM(F$6)) * (INDEX('6. TIẾN ĐỘ MUA HÀNG'!$A$5:$AT644, 0, XMATCH("Mã đơn Misa", '6. TIẾN ĐỘ MUA HÀNG'!$A$4:$AT$4, 0)) &lt;&gt; ""))</f>
        <v>0</v>
      </c>
      <c r="G59" s="756">
        <f t="array" ref="G59">SUMPRODUCT(
  (INDEX('6. TIẾN ĐỘ MUA HÀNG'!$A$5:$AT644, 0, XMATCH("NCC VTBB/NL trong nước", '6. TIẾN ĐỘ MUA HÀNG'!$A$4:$AT$4, 0)) = $B59) * (TRIM(INDEX('6. TIẾN ĐỘ MUA HÀNG'!$A$5:$AT644, 0, XMATCH("Tháng", '6. TIẾN ĐỘ MUA HÀNG'!$A$4:$AT$4, 0))) = TRIM(F$6)) * (INDEX('6. TIẾN ĐỘ MUA HÀNG'!$A$5:$AT644, 0, XMATCH("CL NGÀY NCC DỰ KIẾN - NGÀY NHẬN HÀNG", '6. TIẾN ĐỘ MUA HÀNG'!$A$4:$AT$4, 0)) &lt; 0)
)</f>
        <v>0</v>
      </c>
      <c r="H59" s="757">
        <f t="shared" si="15"/>
        <v>0</v>
      </c>
      <c r="I59" s="754">
        <f t="array" ref="I59">SUMPRODUCT((TRIM(INDEX('6. TIẾN ĐỘ MUA HÀNG'!$A$5:$AT644, 0, XMATCH("NCC VTBB/NL trong nước", '6. TIẾN ĐỘ MUA HÀNG'!$A$4:$AT$4, 0))) = TRIM($B59)) * (TRIM(INDEX('6. TIẾN ĐỘ MUA HÀNG'!$A$5:$AT644, 0, XMATCH("Tháng", '6. TIẾN ĐỘ MUA HÀNG'!$A$4:$AT$4, 0))) = TRIM(I$6)) * (INDEX('6. TIẾN ĐỘ MUA HÀNG'!$A$5:$AT644, 0, XMATCH("Mã đơn Misa", '6. TIẾN ĐỘ MUA HÀNG'!$A$4:$AT$4, 0)) &lt;&gt; ""))</f>
        <v>0</v>
      </c>
      <c r="J59" s="754">
        <f t="array" ref="J59">SUMPRODUCT(
  (INDEX('6. TIẾN ĐỘ MUA HÀNG'!$A$5:$AT644, 0, XMATCH("NCC VTBB/NL trong nước", '6. TIẾN ĐỘ MUA HÀNG'!$A$4:$AT$4, 0)) = $B59) * (TRIM(INDEX('6. TIẾN ĐỘ MUA HÀNG'!$A$5:$AT644, 0, XMATCH("Tháng", '6. TIẾN ĐỘ MUA HÀNG'!$A$4:$AT$4, 0))) = TRIM(I$6)) * (INDEX('6. TIẾN ĐỘ MUA HÀNG'!$A$5:$AT644, 0, XMATCH("CL NGÀY NCC DỰ KIẾN - NGÀY NHẬN HÀNG", '6. TIẾN ĐỘ MUA HÀNG'!$A$4:$AT$4, 0)) &lt; 0)
)</f>
        <v>0</v>
      </c>
      <c r="K59" s="755">
        <f t="shared" si="30"/>
        <v>0</v>
      </c>
      <c r="L59" s="756">
        <f t="array" ref="L59">SUMPRODUCT((TRIM(INDEX('6. TIẾN ĐỘ MUA HÀNG'!$A$5:$AT644, 0, XMATCH("NCC VTBB/NL trong nước", '6. TIẾN ĐỘ MUA HÀNG'!$A$4:$AT$4, 0))) = TRIM($B59)) * (TRIM(INDEX('6. TIẾN ĐỘ MUA HÀNG'!$A$5:$AT644, 0, XMATCH("Tháng", '6. TIẾN ĐỘ MUA HÀNG'!$A$4:$AT$4, 0))) = TRIM(L$6)) * (INDEX('6. TIẾN ĐỘ MUA HÀNG'!$A$5:$AT644, 0, XMATCH("Mã đơn Misa", '6. TIẾN ĐỘ MUA HÀNG'!$A$4:$AT$4, 0)) &lt;&gt; ""))</f>
        <v>0</v>
      </c>
      <c r="M59" s="756">
        <f t="array" ref="M59">SUMPRODUCT(
  (INDEX('6. TIẾN ĐỘ MUA HÀNG'!$A$5:$AT644, 0, XMATCH("NCC VTBB/NL trong nước", '6. TIẾN ĐỘ MUA HÀNG'!$A$4:$AT$4, 0)) = $B59) * (TRIM(INDEX('6. TIẾN ĐỘ MUA HÀNG'!$A$5:$AT644, 0, XMATCH("Tháng", '6. TIẾN ĐỘ MUA HÀNG'!$A$4:$AT$4, 0))) = TRIM(L$6)) * (INDEX('6. TIẾN ĐỘ MUA HÀNG'!$A$5:$AT644, 0, XMATCH("CL NGÀY NCC DỰ KIẾN - NGÀY NHẬN HÀNG", '6. TIẾN ĐỘ MUA HÀNG'!$A$4:$AT$4, 0)) &lt; 0)
)</f>
        <v>0</v>
      </c>
      <c r="N59" s="757">
        <f t="shared" si="17"/>
        <v>0</v>
      </c>
      <c r="O59" s="754">
        <f t="array" ref="O59">SUMPRODUCT((TRIM(INDEX('6. TIẾN ĐỘ MUA HÀNG'!$A$5:$AT644, 0, XMATCH("NCC VTBB/NL trong nước", '6. TIẾN ĐỘ MUA HÀNG'!$A$4:$AT$4, 0))) = TRIM($B59)) * (TRIM(INDEX('6. TIẾN ĐỘ MUA HÀNG'!$A$5:$AT644, 0, XMATCH("Tháng", '6. TIẾN ĐỘ MUA HÀNG'!$A$4:$AT$4, 0))) = TRIM(O$6)) * (INDEX('6. TIẾN ĐỘ MUA HÀNG'!$A$5:$AT644, 0, XMATCH("Mã đơn Misa", '6. TIẾN ĐỘ MUA HÀNG'!$A$4:$AT$4, 0)) &lt;&gt; ""))</f>
        <v>0</v>
      </c>
      <c r="P59" s="754">
        <f t="array" ref="P59">SUMPRODUCT(
  (INDEX('6. TIẾN ĐỘ MUA HÀNG'!$A$5:$AT644, 0, XMATCH("NCC VTBB/NL trong nước", '6. TIẾN ĐỘ MUA HÀNG'!$A$4:$AT$4, 0)) = $B59) * (TRIM(INDEX('6. TIẾN ĐỘ MUA HÀNG'!$A$5:$AT644, 0, XMATCH("Tháng", '6. TIẾN ĐỘ MUA HÀNG'!$A$4:$AT$4, 0))) = TRIM(O$6)) * (INDEX('6. TIẾN ĐỘ MUA HÀNG'!$A$5:$AT644, 0, XMATCH("CL NGÀY NCC DỰ KIẾN - NGÀY NHẬN HÀNG", '6. TIẾN ĐỘ MUA HÀNG'!$A$4:$AT$4, 0)) &lt; 0)
)</f>
        <v>0</v>
      </c>
      <c r="Q59" s="755">
        <f t="shared" si="31"/>
        <v>0</v>
      </c>
      <c r="R59" s="756">
        <f t="array" ref="R59">SUMPRODUCT((TRIM(INDEX('6. TIẾN ĐỘ MUA HÀNG'!$A$5:$AT644, 0, XMATCH("NCC VTBB/NL trong nước", '6. TIẾN ĐỘ MUA HÀNG'!$A$4:$AT$4, 0))) = TRIM($B59)) * (TRIM(INDEX('6. TIẾN ĐỘ MUA HÀNG'!$A$5:$AT644, 0, XMATCH("Tháng", '6. TIẾN ĐỘ MUA HÀNG'!$A$4:$AT$4, 0))) = TRIM(R$6)) * (INDEX('6. TIẾN ĐỘ MUA HÀNG'!$A$5:$AT644, 0, XMATCH("Mã đơn Misa", '6. TIẾN ĐỘ MUA HÀNG'!$A$4:$AT$4, 0)) &lt;&gt; ""))</f>
        <v>0</v>
      </c>
      <c r="S59" s="756">
        <f t="array" ref="S59">SUMPRODUCT(
  (INDEX('6. TIẾN ĐỘ MUA HÀNG'!$A$5:$AT644, 0, XMATCH("NCC VTBB/NL trong nước", '6. TIẾN ĐỘ MUA HÀNG'!$A$4:$AT$4, 0)) = $B59) * (TRIM(INDEX('6. TIẾN ĐỘ MUA HÀNG'!$A$5:$AT644, 0, XMATCH("Tháng", '6. TIẾN ĐỘ MUA HÀNG'!$A$4:$AT$4, 0))) = TRIM(R$6)) * (INDEX('6. TIẾN ĐỘ MUA HÀNG'!$A$5:$AT644, 0, XMATCH("CL NGÀY NCC DỰ KIẾN - NGÀY NHẬN HÀNG", '6. TIẾN ĐỘ MUA HÀNG'!$A$4:$AT$4, 0)) &lt; 0)
)</f>
        <v>0</v>
      </c>
      <c r="T59" s="757">
        <f t="shared" si="19"/>
        <v>0</v>
      </c>
      <c r="U59" s="754">
        <f t="array" ref="U59">SUMPRODUCT((TRIM(INDEX('6. TIẾN ĐỘ MUA HÀNG'!$A$5:$AT644, 0, XMATCH("NCC VTBB/NL trong nước", '6. TIẾN ĐỘ MUA HÀNG'!$A$4:$AT$4, 0))) = TRIM($B59)) * (TRIM(INDEX('6. TIẾN ĐỘ MUA HÀNG'!$A$5:$AT644, 0, XMATCH("Tháng", '6. TIẾN ĐỘ MUA HÀNG'!$A$4:$AT$4, 0))) = TRIM(U$6)) * (INDEX('6. TIẾN ĐỘ MUA HÀNG'!$A$5:$AT644, 0, XMATCH("Mã đơn Misa", '6. TIẾN ĐỘ MUA HÀNG'!$A$4:$AT$4, 0)) &lt;&gt; ""))</f>
        <v>0</v>
      </c>
      <c r="V59" s="754">
        <f t="array" ref="V59">SUMPRODUCT(
  (INDEX('6. TIẾN ĐỘ MUA HÀNG'!$A$5:$AT644, 0, XMATCH("NCC VTBB/NL trong nước", '6. TIẾN ĐỘ MUA HÀNG'!$A$4:$AT$4, 0)) = $B59) * (TRIM(INDEX('6. TIẾN ĐỘ MUA HÀNG'!$A$5:$AT644, 0, XMATCH("Tháng", '6. TIẾN ĐỘ MUA HÀNG'!$A$4:$AT$4, 0))) = TRIM(U$6)) * (INDEX('6. TIẾN ĐỘ MUA HÀNG'!$A$5:$AT644, 0, XMATCH("CL NGÀY NCC DỰ KIẾN - NGÀY NHẬN HÀNG", '6. TIẾN ĐỘ MUA HÀNG'!$A$4:$AT$4, 0)) &lt; 0)
)</f>
        <v>0</v>
      </c>
      <c r="W59" s="755">
        <f t="shared" si="32"/>
        <v>0</v>
      </c>
      <c r="X59" s="756">
        <f t="array" ref="X59">SUMPRODUCT((TRIM(INDEX('6. TIẾN ĐỘ MUA HÀNG'!$A$5:$AT644, 0, XMATCH("NCC VTBB/NL trong nước", '6. TIẾN ĐỘ MUA HÀNG'!$A$4:$AT$4, 0))) = TRIM($B59)) * (TRIM(INDEX('6. TIẾN ĐỘ MUA HÀNG'!$A$5:$AT644, 0, XMATCH("Tháng", '6. TIẾN ĐỘ MUA HÀNG'!$A$4:$AT$4, 0))) = TRIM(X$6)) * (INDEX('6. TIẾN ĐỘ MUA HÀNG'!$A$5:$AT644, 0, XMATCH("Mã đơn Misa", '6. TIẾN ĐỘ MUA HÀNG'!$A$4:$AT$4, 0)) &lt;&gt; ""))</f>
        <v>0</v>
      </c>
      <c r="Y59" s="756">
        <f t="array" ref="Y59">SUMPRODUCT(
  (INDEX('6. TIẾN ĐỘ MUA HÀNG'!$A$5:$AT644, 0, XMATCH("NCC VTBB/NL trong nước", '6. TIẾN ĐỘ MUA HÀNG'!$A$4:$AT$4, 0)) = $B59) * (TRIM(INDEX('6. TIẾN ĐỘ MUA HÀNG'!$A$5:$AT644, 0, XMATCH("Tháng", '6. TIẾN ĐỘ MUA HÀNG'!$A$4:$AT$4, 0))) = TRIM(X$6)) * (INDEX('6. TIẾN ĐỘ MUA HÀNG'!$A$5:$AT644, 0, XMATCH("CL NGÀY NCC DỰ KIẾN - NGÀY NHẬN HÀNG", '6. TIẾN ĐỘ MUA HÀNG'!$A$4:$AT$4, 0)) &lt; 0)
)</f>
        <v>0</v>
      </c>
      <c r="Z59" s="757">
        <f t="shared" si="21"/>
        <v>0</v>
      </c>
      <c r="AA59" s="754">
        <f t="array" ref="AA59">SUMPRODUCT((TRIM(INDEX('6. TIẾN ĐỘ MUA HÀNG'!$A$5:$AT644, 0, XMATCH("NCC VTBB/NL trong nước", '6. TIẾN ĐỘ MUA HÀNG'!$A$4:$AT$4, 0))) = TRIM($B59)) * (TRIM(INDEX('6. TIẾN ĐỘ MUA HÀNG'!$A$5:$AT644, 0, XMATCH("Tháng", '6. TIẾN ĐỘ MUA HÀNG'!$A$4:$AT$4, 0))) = TRIM(AA$6)) * (INDEX('6. TIẾN ĐỘ MUA HÀNG'!$A$5:$AT644, 0, XMATCH("Mã đơn Misa", '6. TIẾN ĐỘ MUA HÀNG'!$A$4:$AT$4, 0)) &lt;&gt; ""))</f>
        <v>0</v>
      </c>
      <c r="AB59" s="754">
        <f t="array" ref="AB59">SUMPRODUCT(
  (INDEX('6. TIẾN ĐỘ MUA HÀNG'!$A$5:$AT644, 0, XMATCH("NCC VTBB/NL trong nước", '6. TIẾN ĐỘ MUA HÀNG'!$A$4:$AT$4, 0)) = $B59) * (TRIM(INDEX('6. TIẾN ĐỘ MUA HÀNG'!$A$5:$AT644, 0, XMATCH("Tháng", '6. TIẾN ĐỘ MUA HÀNG'!$A$4:$AT$4, 0))) = TRIM(AA$6)) * (INDEX('6. TIẾN ĐỘ MUA HÀNG'!$A$5:$AT644, 0, XMATCH("CL NGÀY NCC DỰ KIẾN - NGÀY NHẬN HÀNG", '6. TIẾN ĐỘ MUA HÀNG'!$A$4:$AT$4, 0)) &lt; 0)
)</f>
        <v>0</v>
      </c>
      <c r="AC59" s="755">
        <f t="shared" si="33"/>
        <v>0</v>
      </c>
      <c r="AD59" s="756">
        <f t="array" ref="AD59">SUMPRODUCT((TRIM(INDEX('6. TIẾN ĐỘ MUA HÀNG'!$A$5:$AT644, 0, XMATCH("NCC VTBB/NL trong nước", '6. TIẾN ĐỘ MUA HÀNG'!$A$4:$AT$4, 0))) = TRIM($B59)) * (TRIM(INDEX('6. TIẾN ĐỘ MUA HÀNG'!$A$5:$AT644, 0, XMATCH("Tháng", '6. TIẾN ĐỘ MUA HÀNG'!$A$4:$AT$4, 0))) = TRIM(AD$6)) * (INDEX('6. TIẾN ĐỘ MUA HÀNG'!$A$5:$AT644, 0, XMATCH("Mã đơn Misa", '6. TIẾN ĐỘ MUA HÀNG'!$A$4:$AT$4, 0)) &lt;&gt; ""))</f>
        <v>0</v>
      </c>
      <c r="AE59" s="756">
        <f t="array" ref="AE59">SUMPRODUCT(
  (INDEX('6. TIẾN ĐỘ MUA HÀNG'!$A$5:$AT644, 0, XMATCH("NCC VTBB/NL trong nước", '6. TIẾN ĐỘ MUA HÀNG'!$A$4:$AT$4, 0)) = $B59) * (TRIM(INDEX('6. TIẾN ĐỘ MUA HÀNG'!$A$5:$AT644, 0, XMATCH("Tháng", '6. TIẾN ĐỘ MUA HÀNG'!$A$4:$AT$4, 0))) = TRIM(AD$6)) * (INDEX('6. TIẾN ĐỘ MUA HÀNG'!$A$5:$AT644, 0, XMATCH("CL NGÀY NCC DỰ KIẾN - NGÀY NHẬN HÀNG", '6. TIẾN ĐỘ MUA HÀNG'!$A$4:$AT$4, 0)) &lt; 0)
)</f>
        <v>0</v>
      </c>
      <c r="AF59" s="757">
        <f t="shared" si="23"/>
        <v>0</v>
      </c>
      <c r="AG59" s="754">
        <f t="array" ref="AG59">SUMPRODUCT((TRIM(INDEX('6. TIẾN ĐỘ MUA HÀNG'!$A$5:$AT644, 0, XMATCH("NCC VTBB/NL trong nước", '6. TIẾN ĐỘ MUA HÀNG'!$A$4:$AT$4, 0))) = TRIM($B59)) * (TRIM(INDEX('6. TIẾN ĐỘ MUA HÀNG'!$A$5:$AT644, 0, XMATCH("Tháng", '6. TIẾN ĐỘ MUA HÀNG'!$A$4:$AT$4, 0))) = TRIM(AG$6)) * (INDEX('6. TIẾN ĐỘ MUA HÀNG'!$A$5:$AT644, 0, XMATCH("Mã đơn Misa", '6. TIẾN ĐỘ MUA HÀNG'!$A$4:$AT$4, 0)) &lt;&gt; ""))</f>
        <v>0</v>
      </c>
      <c r="AH59" s="754">
        <f t="array" ref="AH59">SUMPRODUCT(
  (INDEX('6. TIẾN ĐỘ MUA HÀNG'!$A$5:$AT644, 0, XMATCH("NCC VTBB/NL trong nước", '6. TIẾN ĐỘ MUA HÀNG'!$A$4:$AT$4, 0)) = $B59) * (TRIM(INDEX('6. TIẾN ĐỘ MUA HÀNG'!$A$5:$AT644, 0, XMATCH("Tháng", '6. TIẾN ĐỘ MUA HÀNG'!$A$4:$AT$4, 0))) = TRIM(AG$6)) * (INDEX('6. TIẾN ĐỘ MUA HÀNG'!$A$5:$AT644, 0, XMATCH("CL NGÀY NCC DỰ KIẾN - NGÀY NHẬN HÀNG", '6. TIẾN ĐỘ MUA HÀNG'!$A$4:$AT$4, 0)) &lt; 0)
)</f>
        <v>0</v>
      </c>
      <c r="AI59" s="755">
        <f t="shared" si="34"/>
        <v>0</v>
      </c>
      <c r="AJ59" s="756">
        <f t="array" ref="AJ59">SUMPRODUCT((TRIM(INDEX('6. TIẾN ĐỘ MUA HÀNG'!$A$5:$AT644, 0, XMATCH("NCC VTBB/NL trong nước", '6. TIẾN ĐỘ MUA HÀNG'!$A$4:$AT$4, 0))) = TRIM($B59)) * (TRIM(INDEX('6. TIẾN ĐỘ MUA HÀNG'!$A$5:$AT644, 0, XMATCH("Tháng", '6. TIẾN ĐỘ MUA HÀNG'!$A$4:$AT$4, 0))) = TRIM(AJ$6)) * (INDEX('6. TIẾN ĐỘ MUA HÀNG'!$A$5:$AT644, 0, XMATCH("Mã đơn Misa", '6. TIẾN ĐỘ MUA HÀNG'!$A$4:$AT$4, 0)) &lt;&gt; ""))</f>
        <v>0</v>
      </c>
      <c r="AK59" s="756">
        <f t="array" ref="AK59">SUMPRODUCT(
  (INDEX('6. TIẾN ĐỘ MUA HÀNG'!$A$5:$AT644, 0, XMATCH("NCC VTBB/NL trong nước", '6. TIẾN ĐỘ MUA HÀNG'!$A$4:$AT$4, 0)) = $B59) * (TRIM(INDEX('6. TIẾN ĐỘ MUA HÀNG'!$A$5:$AT644, 0, XMATCH("Tháng", '6. TIẾN ĐỘ MUA HÀNG'!$A$4:$AT$4, 0))) = TRIM(AJ$6)) * (INDEX('6. TIẾN ĐỘ MUA HÀNG'!$A$5:$AT644, 0, XMATCH("CL NGÀY NCC DỰ KIẾN - NGÀY NHẬN HÀNG", '6. TIẾN ĐỘ MUA HÀNG'!$A$4:$AT$4, 0)) &lt; 0)
)</f>
        <v>0</v>
      </c>
      <c r="AL59" s="757">
        <f t="shared" si="25"/>
        <v>0</v>
      </c>
      <c r="AM59" s="726">
        <f t="shared" si="27"/>
        <v>0</v>
      </c>
      <c r="AN59" s="726">
        <f t="shared" si="28"/>
        <v>0</v>
      </c>
      <c r="AO59" s="727">
        <f t="shared" si="26"/>
        <v>0</v>
      </c>
    </row>
    <row r="60">
      <c r="A60" s="612">
        <v>52.0</v>
      </c>
      <c r="B60" s="624" t="str">
        <f>IFERROR(__xludf.DUMMYFUNCTION("""COMPUTED_VALUE"""),"Nam Hà")</f>
        <v>Nam Hà</v>
      </c>
      <c r="C60" s="754">
        <f t="array" ref="C60">SUMPRODUCT((TRIM(INDEX('6. TIẾN ĐỘ MUA HÀNG'!$A$5:$AT644, 0, XMATCH("NCC VTBB/NL trong nước", '6. TIẾN ĐỘ MUA HÀNG'!$A$4:$AT$4, 0))) = TRIM($B60)) * (TRIM(INDEX('6. TIẾN ĐỘ MUA HÀNG'!$A$5:$AT644, 0, XMATCH("Tháng", '6. TIẾN ĐỘ MUA HÀNG'!$A$4:$AT$4, 0))) = TRIM(C$6)) * (INDEX('6. TIẾN ĐỘ MUA HÀNG'!$A$5:$AT644, 0, XMATCH("Mã đơn Misa", '6. TIẾN ĐỘ MUA HÀNG'!$A$4:$AT$4, 0)) &lt;&gt; ""))</f>
        <v>0</v>
      </c>
      <c r="D60" s="754">
        <f t="array" ref="D60">SUMPRODUCT(
  (INDEX('6. TIẾN ĐỘ MUA HÀNG'!$A$5:$AT644, 0, XMATCH("NCC VTBB/NL trong nước", '6. TIẾN ĐỘ MUA HÀNG'!$A$4:$AT$4, 0)) = $B60) * (TRIM(INDEX('6. TIẾN ĐỘ MUA HÀNG'!$A$5:$AT644, 0, XMATCH("Tháng", '6. TIẾN ĐỘ MUA HÀNG'!$A$4:$AT$4, 0))) = TRIM(C$6)) * (INDEX('6. TIẾN ĐỘ MUA HÀNG'!$A$5:$AT644, 0, XMATCH("CL NGÀY NCC DỰ KIẾN - NGÀY NHẬN HÀNG", '6. TIẾN ĐỘ MUA HÀNG'!$A$4:$AT$4, 0)) &lt; 0)
)</f>
        <v>0</v>
      </c>
      <c r="E60" s="755">
        <f t="shared" si="29"/>
        <v>0</v>
      </c>
      <c r="F60" s="756">
        <f t="array" ref="F60">SUMPRODUCT((TRIM(INDEX('6. TIẾN ĐỘ MUA HÀNG'!$A$5:$AT644, 0, XMATCH("NCC VTBB/NL trong nước", '6. TIẾN ĐỘ MUA HÀNG'!$A$4:$AT$4, 0))) = TRIM($B60)) * (TRIM(INDEX('6. TIẾN ĐỘ MUA HÀNG'!$A$5:$AT644, 0, XMATCH("Tháng", '6. TIẾN ĐỘ MUA HÀNG'!$A$4:$AT$4, 0))) = TRIM(F$6)) * (INDEX('6. TIẾN ĐỘ MUA HÀNG'!$A$5:$AT644, 0, XMATCH("Mã đơn Misa", '6. TIẾN ĐỘ MUA HÀNG'!$A$4:$AT$4, 0)) &lt;&gt; ""))</f>
        <v>0</v>
      </c>
      <c r="G60" s="756">
        <f t="array" ref="G60">SUMPRODUCT(
  (INDEX('6. TIẾN ĐỘ MUA HÀNG'!$A$5:$AT644, 0, XMATCH("NCC VTBB/NL trong nước", '6. TIẾN ĐỘ MUA HÀNG'!$A$4:$AT$4, 0)) = $B60) * (TRIM(INDEX('6. TIẾN ĐỘ MUA HÀNG'!$A$5:$AT644, 0, XMATCH("Tháng", '6. TIẾN ĐỘ MUA HÀNG'!$A$4:$AT$4, 0))) = TRIM(F$6)) * (INDEX('6. TIẾN ĐỘ MUA HÀNG'!$A$5:$AT644, 0, XMATCH("CL NGÀY NCC DỰ KIẾN - NGÀY NHẬN HÀNG", '6. TIẾN ĐỘ MUA HÀNG'!$A$4:$AT$4, 0)) &lt; 0)
)</f>
        <v>0</v>
      </c>
      <c r="H60" s="757">
        <f t="shared" si="15"/>
        <v>0</v>
      </c>
      <c r="I60" s="754">
        <f t="array" ref="I60">SUMPRODUCT((TRIM(INDEX('6. TIẾN ĐỘ MUA HÀNG'!$A$5:$AT644, 0, XMATCH("NCC VTBB/NL trong nước", '6. TIẾN ĐỘ MUA HÀNG'!$A$4:$AT$4, 0))) = TRIM($B60)) * (TRIM(INDEX('6. TIẾN ĐỘ MUA HÀNG'!$A$5:$AT644, 0, XMATCH("Tháng", '6. TIẾN ĐỘ MUA HÀNG'!$A$4:$AT$4, 0))) = TRIM(I$6)) * (INDEX('6. TIẾN ĐỘ MUA HÀNG'!$A$5:$AT644, 0, XMATCH("Mã đơn Misa", '6. TIẾN ĐỘ MUA HÀNG'!$A$4:$AT$4, 0)) &lt;&gt; ""))</f>
        <v>0</v>
      </c>
      <c r="J60" s="754">
        <f t="array" ref="J60">SUMPRODUCT(
  (INDEX('6. TIẾN ĐỘ MUA HÀNG'!$A$5:$AT644, 0, XMATCH("NCC VTBB/NL trong nước", '6. TIẾN ĐỘ MUA HÀNG'!$A$4:$AT$4, 0)) = $B60) * (TRIM(INDEX('6. TIẾN ĐỘ MUA HÀNG'!$A$5:$AT644, 0, XMATCH("Tháng", '6. TIẾN ĐỘ MUA HÀNG'!$A$4:$AT$4, 0))) = TRIM(I$6)) * (INDEX('6. TIẾN ĐỘ MUA HÀNG'!$A$5:$AT644, 0, XMATCH("CL NGÀY NCC DỰ KIẾN - NGÀY NHẬN HÀNG", '6. TIẾN ĐỘ MUA HÀNG'!$A$4:$AT$4, 0)) &lt; 0)
)</f>
        <v>0</v>
      </c>
      <c r="K60" s="755">
        <f t="shared" si="30"/>
        <v>0</v>
      </c>
      <c r="L60" s="756">
        <f t="array" ref="L60">SUMPRODUCT((TRIM(INDEX('6. TIẾN ĐỘ MUA HÀNG'!$A$5:$AT644, 0, XMATCH("NCC VTBB/NL trong nước", '6. TIẾN ĐỘ MUA HÀNG'!$A$4:$AT$4, 0))) = TRIM($B60)) * (TRIM(INDEX('6. TIẾN ĐỘ MUA HÀNG'!$A$5:$AT644, 0, XMATCH("Tháng", '6. TIẾN ĐỘ MUA HÀNG'!$A$4:$AT$4, 0))) = TRIM(L$6)) * (INDEX('6. TIẾN ĐỘ MUA HÀNG'!$A$5:$AT644, 0, XMATCH("Mã đơn Misa", '6. TIẾN ĐỘ MUA HÀNG'!$A$4:$AT$4, 0)) &lt;&gt; ""))</f>
        <v>0</v>
      </c>
      <c r="M60" s="756">
        <f t="array" ref="M60">SUMPRODUCT(
  (INDEX('6. TIẾN ĐỘ MUA HÀNG'!$A$5:$AT644, 0, XMATCH("NCC VTBB/NL trong nước", '6. TIẾN ĐỘ MUA HÀNG'!$A$4:$AT$4, 0)) = $B60) * (TRIM(INDEX('6. TIẾN ĐỘ MUA HÀNG'!$A$5:$AT644, 0, XMATCH("Tháng", '6. TIẾN ĐỘ MUA HÀNG'!$A$4:$AT$4, 0))) = TRIM(L$6)) * (INDEX('6. TIẾN ĐỘ MUA HÀNG'!$A$5:$AT644, 0, XMATCH("CL NGÀY NCC DỰ KIẾN - NGÀY NHẬN HÀNG", '6. TIẾN ĐỘ MUA HÀNG'!$A$4:$AT$4, 0)) &lt; 0)
)</f>
        <v>0</v>
      </c>
      <c r="N60" s="757">
        <f t="shared" si="17"/>
        <v>0</v>
      </c>
      <c r="O60" s="754">
        <f t="array" ref="O60">SUMPRODUCT((TRIM(INDEX('6. TIẾN ĐỘ MUA HÀNG'!$A$5:$AT644, 0, XMATCH("NCC VTBB/NL trong nước", '6. TIẾN ĐỘ MUA HÀNG'!$A$4:$AT$4, 0))) = TRIM($B60)) * (TRIM(INDEX('6. TIẾN ĐỘ MUA HÀNG'!$A$5:$AT644, 0, XMATCH("Tháng", '6. TIẾN ĐỘ MUA HÀNG'!$A$4:$AT$4, 0))) = TRIM(O$6)) * (INDEX('6. TIẾN ĐỘ MUA HÀNG'!$A$5:$AT644, 0, XMATCH("Mã đơn Misa", '6. TIẾN ĐỘ MUA HÀNG'!$A$4:$AT$4, 0)) &lt;&gt; ""))</f>
        <v>0</v>
      </c>
      <c r="P60" s="754">
        <f t="array" ref="P60">SUMPRODUCT(
  (INDEX('6. TIẾN ĐỘ MUA HÀNG'!$A$5:$AT644, 0, XMATCH("NCC VTBB/NL trong nước", '6. TIẾN ĐỘ MUA HÀNG'!$A$4:$AT$4, 0)) = $B60) * (TRIM(INDEX('6. TIẾN ĐỘ MUA HÀNG'!$A$5:$AT644, 0, XMATCH("Tháng", '6. TIẾN ĐỘ MUA HÀNG'!$A$4:$AT$4, 0))) = TRIM(O$6)) * (INDEX('6. TIẾN ĐỘ MUA HÀNG'!$A$5:$AT644, 0, XMATCH("CL NGÀY NCC DỰ KIẾN - NGÀY NHẬN HÀNG", '6. TIẾN ĐỘ MUA HÀNG'!$A$4:$AT$4, 0)) &lt; 0)
)</f>
        <v>0</v>
      </c>
      <c r="Q60" s="755">
        <f t="shared" si="31"/>
        <v>0</v>
      </c>
      <c r="R60" s="756">
        <f t="array" ref="R60">SUMPRODUCT((TRIM(INDEX('6. TIẾN ĐỘ MUA HÀNG'!$A$5:$AT644, 0, XMATCH("NCC VTBB/NL trong nước", '6. TIẾN ĐỘ MUA HÀNG'!$A$4:$AT$4, 0))) = TRIM($B60)) * (TRIM(INDEX('6. TIẾN ĐỘ MUA HÀNG'!$A$5:$AT644, 0, XMATCH("Tháng", '6. TIẾN ĐỘ MUA HÀNG'!$A$4:$AT$4, 0))) = TRIM(R$6)) * (INDEX('6. TIẾN ĐỘ MUA HÀNG'!$A$5:$AT644, 0, XMATCH("Mã đơn Misa", '6. TIẾN ĐỘ MUA HÀNG'!$A$4:$AT$4, 0)) &lt;&gt; ""))</f>
        <v>0</v>
      </c>
      <c r="S60" s="756">
        <f t="array" ref="S60">SUMPRODUCT(
  (INDEX('6. TIẾN ĐỘ MUA HÀNG'!$A$5:$AT644, 0, XMATCH("NCC VTBB/NL trong nước", '6. TIẾN ĐỘ MUA HÀNG'!$A$4:$AT$4, 0)) = $B60) * (TRIM(INDEX('6. TIẾN ĐỘ MUA HÀNG'!$A$5:$AT644, 0, XMATCH("Tháng", '6. TIẾN ĐỘ MUA HÀNG'!$A$4:$AT$4, 0))) = TRIM(R$6)) * (INDEX('6. TIẾN ĐỘ MUA HÀNG'!$A$5:$AT644, 0, XMATCH("CL NGÀY NCC DỰ KIẾN - NGÀY NHẬN HÀNG", '6. TIẾN ĐỘ MUA HÀNG'!$A$4:$AT$4, 0)) &lt; 0)
)</f>
        <v>0</v>
      </c>
      <c r="T60" s="757">
        <f t="shared" si="19"/>
        <v>0</v>
      </c>
      <c r="U60" s="754">
        <f t="array" ref="U60">SUMPRODUCT((TRIM(INDEX('6. TIẾN ĐỘ MUA HÀNG'!$A$5:$AT644, 0, XMATCH("NCC VTBB/NL trong nước", '6. TIẾN ĐỘ MUA HÀNG'!$A$4:$AT$4, 0))) = TRIM($B60)) * (TRIM(INDEX('6. TIẾN ĐỘ MUA HÀNG'!$A$5:$AT644, 0, XMATCH("Tháng", '6. TIẾN ĐỘ MUA HÀNG'!$A$4:$AT$4, 0))) = TRIM(U$6)) * (INDEX('6. TIẾN ĐỘ MUA HÀNG'!$A$5:$AT644, 0, XMATCH("Mã đơn Misa", '6. TIẾN ĐỘ MUA HÀNG'!$A$4:$AT$4, 0)) &lt;&gt; ""))</f>
        <v>0</v>
      </c>
      <c r="V60" s="754">
        <f t="array" ref="V60">SUMPRODUCT(
  (INDEX('6. TIẾN ĐỘ MUA HÀNG'!$A$5:$AT644, 0, XMATCH("NCC VTBB/NL trong nước", '6. TIẾN ĐỘ MUA HÀNG'!$A$4:$AT$4, 0)) = $B60) * (TRIM(INDEX('6. TIẾN ĐỘ MUA HÀNG'!$A$5:$AT644, 0, XMATCH("Tháng", '6. TIẾN ĐỘ MUA HÀNG'!$A$4:$AT$4, 0))) = TRIM(U$6)) * (INDEX('6. TIẾN ĐỘ MUA HÀNG'!$A$5:$AT644, 0, XMATCH("CL NGÀY NCC DỰ KIẾN - NGÀY NHẬN HÀNG", '6. TIẾN ĐỘ MUA HÀNG'!$A$4:$AT$4, 0)) &lt; 0)
)</f>
        <v>0</v>
      </c>
      <c r="W60" s="755">
        <f t="shared" si="32"/>
        <v>0</v>
      </c>
      <c r="X60" s="756">
        <f t="array" ref="X60">SUMPRODUCT((TRIM(INDEX('6. TIẾN ĐỘ MUA HÀNG'!$A$5:$AT644, 0, XMATCH("NCC VTBB/NL trong nước", '6. TIẾN ĐỘ MUA HÀNG'!$A$4:$AT$4, 0))) = TRIM($B60)) * (TRIM(INDEX('6. TIẾN ĐỘ MUA HÀNG'!$A$5:$AT644, 0, XMATCH("Tháng", '6. TIẾN ĐỘ MUA HÀNG'!$A$4:$AT$4, 0))) = TRIM(X$6)) * (INDEX('6. TIẾN ĐỘ MUA HÀNG'!$A$5:$AT644, 0, XMATCH("Mã đơn Misa", '6. TIẾN ĐỘ MUA HÀNG'!$A$4:$AT$4, 0)) &lt;&gt; ""))</f>
        <v>0</v>
      </c>
      <c r="Y60" s="756">
        <f t="array" ref="Y60">SUMPRODUCT(
  (INDEX('6. TIẾN ĐỘ MUA HÀNG'!$A$5:$AT644, 0, XMATCH("NCC VTBB/NL trong nước", '6. TIẾN ĐỘ MUA HÀNG'!$A$4:$AT$4, 0)) = $B60) * (TRIM(INDEX('6. TIẾN ĐỘ MUA HÀNG'!$A$5:$AT644, 0, XMATCH("Tháng", '6. TIẾN ĐỘ MUA HÀNG'!$A$4:$AT$4, 0))) = TRIM(X$6)) * (INDEX('6. TIẾN ĐỘ MUA HÀNG'!$A$5:$AT644, 0, XMATCH("CL NGÀY NCC DỰ KIẾN - NGÀY NHẬN HÀNG", '6. TIẾN ĐỘ MUA HÀNG'!$A$4:$AT$4, 0)) &lt; 0)
)</f>
        <v>0</v>
      </c>
      <c r="Z60" s="757">
        <f t="shared" si="21"/>
        <v>0</v>
      </c>
      <c r="AA60" s="754">
        <f t="array" ref="AA60">SUMPRODUCT((TRIM(INDEX('6. TIẾN ĐỘ MUA HÀNG'!$A$5:$AT644, 0, XMATCH("NCC VTBB/NL trong nước", '6. TIẾN ĐỘ MUA HÀNG'!$A$4:$AT$4, 0))) = TRIM($B60)) * (TRIM(INDEX('6. TIẾN ĐỘ MUA HÀNG'!$A$5:$AT644, 0, XMATCH("Tháng", '6. TIẾN ĐỘ MUA HÀNG'!$A$4:$AT$4, 0))) = TRIM(AA$6)) * (INDEX('6. TIẾN ĐỘ MUA HÀNG'!$A$5:$AT644, 0, XMATCH("Mã đơn Misa", '6. TIẾN ĐỘ MUA HÀNG'!$A$4:$AT$4, 0)) &lt;&gt; ""))</f>
        <v>0</v>
      </c>
      <c r="AB60" s="754">
        <f t="array" ref="AB60">SUMPRODUCT(
  (INDEX('6. TIẾN ĐỘ MUA HÀNG'!$A$5:$AT644, 0, XMATCH("NCC VTBB/NL trong nước", '6. TIẾN ĐỘ MUA HÀNG'!$A$4:$AT$4, 0)) = $B60) * (TRIM(INDEX('6. TIẾN ĐỘ MUA HÀNG'!$A$5:$AT644, 0, XMATCH("Tháng", '6. TIẾN ĐỘ MUA HÀNG'!$A$4:$AT$4, 0))) = TRIM(AA$6)) * (INDEX('6. TIẾN ĐỘ MUA HÀNG'!$A$5:$AT644, 0, XMATCH("CL NGÀY NCC DỰ KIẾN - NGÀY NHẬN HÀNG", '6. TIẾN ĐỘ MUA HÀNG'!$A$4:$AT$4, 0)) &lt; 0)
)</f>
        <v>0</v>
      </c>
      <c r="AC60" s="755">
        <f t="shared" si="33"/>
        <v>0</v>
      </c>
      <c r="AD60" s="756">
        <f t="array" ref="AD60">SUMPRODUCT((TRIM(INDEX('6. TIẾN ĐỘ MUA HÀNG'!$A$5:$AT644, 0, XMATCH("NCC VTBB/NL trong nước", '6. TIẾN ĐỘ MUA HÀNG'!$A$4:$AT$4, 0))) = TRIM($B60)) * (TRIM(INDEX('6. TIẾN ĐỘ MUA HÀNG'!$A$5:$AT644, 0, XMATCH("Tháng", '6. TIẾN ĐỘ MUA HÀNG'!$A$4:$AT$4, 0))) = TRIM(AD$6)) * (INDEX('6. TIẾN ĐỘ MUA HÀNG'!$A$5:$AT644, 0, XMATCH("Mã đơn Misa", '6. TIẾN ĐỘ MUA HÀNG'!$A$4:$AT$4, 0)) &lt;&gt; ""))</f>
        <v>0</v>
      </c>
      <c r="AE60" s="756">
        <f t="array" ref="AE60">SUMPRODUCT(
  (INDEX('6. TIẾN ĐỘ MUA HÀNG'!$A$5:$AT644, 0, XMATCH("NCC VTBB/NL trong nước", '6. TIẾN ĐỘ MUA HÀNG'!$A$4:$AT$4, 0)) = $B60) * (TRIM(INDEX('6. TIẾN ĐỘ MUA HÀNG'!$A$5:$AT644, 0, XMATCH("Tháng", '6. TIẾN ĐỘ MUA HÀNG'!$A$4:$AT$4, 0))) = TRIM(AD$6)) * (INDEX('6. TIẾN ĐỘ MUA HÀNG'!$A$5:$AT644, 0, XMATCH("CL NGÀY NCC DỰ KIẾN - NGÀY NHẬN HÀNG", '6. TIẾN ĐỘ MUA HÀNG'!$A$4:$AT$4, 0)) &lt; 0)
)</f>
        <v>0</v>
      </c>
      <c r="AF60" s="757">
        <f t="shared" si="23"/>
        <v>0</v>
      </c>
      <c r="AG60" s="754">
        <f t="array" ref="AG60">SUMPRODUCT((TRIM(INDEX('6. TIẾN ĐỘ MUA HÀNG'!$A$5:$AT644, 0, XMATCH("NCC VTBB/NL trong nước", '6. TIẾN ĐỘ MUA HÀNG'!$A$4:$AT$4, 0))) = TRIM($B60)) * (TRIM(INDEX('6. TIẾN ĐỘ MUA HÀNG'!$A$5:$AT644, 0, XMATCH("Tháng", '6. TIẾN ĐỘ MUA HÀNG'!$A$4:$AT$4, 0))) = TRIM(AG$6)) * (INDEX('6. TIẾN ĐỘ MUA HÀNG'!$A$5:$AT644, 0, XMATCH("Mã đơn Misa", '6. TIẾN ĐỘ MUA HÀNG'!$A$4:$AT$4, 0)) &lt;&gt; ""))</f>
        <v>0</v>
      </c>
      <c r="AH60" s="754">
        <f t="array" ref="AH60">SUMPRODUCT(
  (INDEX('6. TIẾN ĐỘ MUA HÀNG'!$A$5:$AT644, 0, XMATCH("NCC VTBB/NL trong nước", '6. TIẾN ĐỘ MUA HÀNG'!$A$4:$AT$4, 0)) = $B60) * (TRIM(INDEX('6. TIẾN ĐỘ MUA HÀNG'!$A$5:$AT644, 0, XMATCH("Tháng", '6. TIẾN ĐỘ MUA HÀNG'!$A$4:$AT$4, 0))) = TRIM(AG$6)) * (INDEX('6. TIẾN ĐỘ MUA HÀNG'!$A$5:$AT644, 0, XMATCH("CL NGÀY NCC DỰ KIẾN - NGÀY NHẬN HÀNG", '6. TIẾN ĐỘ MUA HÀNG'!$A$4:$AT$4, 0)) &lt; 0)
)</f>
        <v>0</v>
      </c>
      <c r="AI60" s="755">
        <f t="shared" si="34"/>
        <v>0</v>
      </c>
      <c r="AJ60" s="756">
        <f t="array" ref="AJ60">SUMPRODUCT((TRIM(INDEX('6. TIẾN ĐỘ MUA HÀNG'!$A$5:$AT644, 0, XMATCH("NCC VTBB/NL trong nước", '6. TIẾN ĐỘ MUA HÀNG'!$A$4:$AT$4, 0))) = TRIM($B60)) * (TRIM(INDEX('6. TIẾN ĐỘ MUA HÀNG'!$A$5:$AT644, 0, XMATCH("Tháng", '6. TIẾN ĐỘ MUA HÀNG'!$A$4:$AT$4, 0))) = TRIM(AJ$6)) * (INDEX('6. TIẾN ĐỘ MUA HÀNG'!$A$5:$AT644, 0, XMATCH("Mã đơn Misa", '6. TIẾN ĐỘ MUA HÀNG'!$A$4:$AT$4, 0)) &lt;&gt; ""))</f>
        <v>0</v>
      </c>
      <c r="AK60" s="756">
        <f t="array" ref="AK60">SUMPRODUCT(
  (INDEX('6. TIẾN ĐỘ MUA HÀNG'!$A$5:$AT644, 0, XMATCH("NCC VTBB/NL trong nước", '6. TIẾN ĐỘ MUA HÀNG'!$A$4:$AT$4, 0)) = $B60) * (TRIM(INDEX('6. TIẾN ĐỘ MUA HÀNG'!$A$5:$AT644, 0, XMATCH("Tháng", '6. TIẾN ĐỘ MUA HÀNG'!$A$4:$AT$4, 0))) = TRIM(AJ$6)) * (INDEX('6. TIẾN ĐỘ MUA HÀNG'!$A$5:$AT644, 0, XMATCH("CL NGÀY NCC DỰ KIẾN - NGÀY NHẬN HÀNG", '6. TIẾN ĐỘ MUA HÀNG'!$A$4:$AT$4, 0)) &lt; 0)
)</f>
        <v>0</v>
      </c>
      <c r="AL60" s="757">
        <f t="shared" si="25"/>
        <v>0</v>
      </c>
      <c r="AM60" s="726">
        <f t="shared" si="27"/>
        <v>0</v>
      </c>
      <c r="AN60" s="726">
        <f t="shared" si="28"/>
        <v>0</v>
      </c>
      <c r="AO60" s="727">
        <f t="shared" si="26"/>
        <v>0</v>
      </c>
    </row>
    <row r="61">
      <c r="A61" s="612">
        <v>53.0</v>
      </c>
      <c r="B61" s="624" t="str">
        <f>IFERROR(__xludf.DUMMYFUNCTION("""COMPUTED_VALUE"""),"Kỳ Anh")</f>
        <v>Kỳ Anh</v>
      </c>
      <c r="C61" s="754">
        <f t="array" ref="C61">SUMPRODUCT((TRIM(INDEX('6. TIẾN ĐỘ MUA HÀNG'!$A$5:$AT644, 0, XMATCH("NCC VTBB/NL trong nước", '6. TIẾN ĐỘ MUA HÀNG'!$A$4:$AT$4, 0))) = TRIM($B61)) * (TRIM(INDEX('6. TIẾN ĐỘ MUA HÀNG'!$A$5:$AT644, 0, XMATCH("Tháng", '6. TIẾN ĐỘ MUA HÀNG'!$A$4:$AT$4, 0))) = TRIM(C$6)) * (INDEX('6. TIẾN ĐỘ MUA HÀNG'!$A$5:$AT644, 0, XMATCH("Mã đơn Misa", '6. TIẾN ĐỘ MUA HÀNG'!$A$4:$AT$4, 0)) &lt;&gt; ""))</f>
        <v>0</v>
      </c>
      <c r="D61" s="754">
        <f t="array" ref="D61">SUMPRODUCT(
  (INDEX('6. TIẾN ĐỘ MUA HÀNG'!$A$5:$AT644, 0, XMATCH("NCC VTBB/NL trong nước", '6. TIẾN ĐỘ MUA HÀNG'!$A$4:$AT$4, 0)) = $B61) * (TRIM(INDEX('6. TIẾN ĐỘ MUA HÀNG'!$A$5:$AT644, 0, XMATCH("Tháng", '6. TIẾN ĐỘ MUA HÀNG'!$A$4:$AT$4, 0))) = TRIM(C$6)) * (INDEX('6. TIẾN ĐỘ MUA HÀNG'!$A$5:$AT644, 0, XMATCH("CL NGÀY NCC DỰ KIẾN - NGÀY NHẬN HÀNG", '6. TIẾN ĐỘ MUA HÀNG'!$A$4:$AT$4, 0)) &lt; 0)
)</f>
        <v>0</v>
      </c>
      <c r="E61" s="755">
        <f t="shared" si="29"/>
        <v>0</v>
      </c>
      <c r="F61" s="756">
        <f t="array" ref="F61">SUMPRODUCT((TRIM(INDEX('6. TIẾN ĐỘ MUA HÀNG'!$A$5:$AT644, 0, XMATCH("NCC VTBB/NL trong nước", '6. TIẾN ĐỘ MUA HÀNG'!$A$4:$AT$4, 0))) = TRIM($B61)) * (TRIM(INDEX('6. TIẾN ĐỘ MUA HÀNG'!$A$5:$AT644, 0, XMATCH("Tháng", '6. TIẾN ĐỘ MUA HÀNG'!$A$4:$AT$4, 0))) = TRIM(F$6)) * (INDEX('6. TIẾN ĐỘ MUA HÀNG'!$A$5:$AT644, 0, XMATCH("Mã đơn Misa", '6. TIẾN ĐỘ MUA HÀNG'!$A$4:$AT$4, 0)) &lt;&gt; ""))</f>
        <v>0</v>
      </c>
      <c r="G61" s="756">
        <f t="array" ref="G61">SUMPRODUCT(
  (INDEX('6. TIẾN ĐỘ MUA HÀNG'!$A$5:$AT644, 0, XMATCH("NCC VTBB/NL trong nước", '6. TIẾN ĐỘ MUA HÀNG'!$A$4:$AT$4, 0)) = $B61) * (TRIM(INDEX('6. TIẾN ĐỘ MUA HÀNG'!$A$5:$AT644, 0, XMATCH("Tháng", '6. TIẾN ĐỘ MUA HÀNG'!$A$4:$AT$4, 0))) = TRIM(F$6)) * (INDEX('6. TIẾN ĐỘ MUA HÀNG'!$A$5:$AT644, 0, XMATCH("CL NGÀY NCC DỰ KIẾN - NGÀY NHẬN HÀNG", '6. TIẾN ĐỘ MUA HÀNG'!$A$4:$AT$4, 0)) &lt; 0)
)</f>
        <v>0</v>
      </c>
      <c r="H61" s="757">
        <f t="shared" si="15"/>
        <v>0</v>
      </c>
      <c r="I61" s="754">
        <f t="array" ref="I61">SUMPRODUCT((TRIM(INDEX('6. TIẾN ĐỘ MUA HÀNG'!$A$5:$AT644, 0, XMATCH("NCC VTBB/NL trong nước", '6. TIẾN ĐỘ MUA HÀNG'!$A$4:$AT$4, 0))) = TRIM($B61)) * (TRIM(INDEX('6. TIẾN ĐỘ MUA HÀNG'!$A$5:$AT644, 0, XMATCH("Tháng", '6. TIẾN ĐỘ MUA HÀNG'!$A$4:$AT$4, 0))) = TRIM(I$6)) * (INDEX('6. TIẾN ĐỘ MUA HÀNG'!$A$5:$AT644, 0, XMATCH("Mã đơn Misa", '6. TIẾN ĐỘ MUA HÀNG'!$A$4:$AT$4, 0)) &lt;&gt; ""))</f>
        <v>0</v>
      </c>
      <c r="J61" s="754">
        <f t="array" ref="J61">SUMPRODUCT(
  (INDEX('6. TIẾN ĐỘ MUA HÀNG'!$A$5:$AT644, 0, XMATCH("NCC VTBB/NL trong nước", '6. TIẾN ĐỘ MUA HÀNG'!$A$4:$AT$4, 0)) = $B61) * (TRIM(INDEX('6. TIẾN ĐỘ MUA HÀNG'!$A$5:$AT644, 0, XMATCH("Tháng", '6. TIẾN ĐỘ MUA HÀNG'!$A$4:$AT$4, 0))) = TRIM(I$6)) * (INDEX('6. TIẾN ĐỘ MUA HÀNG'!$A$5:$AT644, 0, XMATCH("CL NGÀY NCC DỰ KIẾN - NGÀY NHẬN HÀNG", '6. TIẾN ĐỘ MUA HÀNG'!$A$4:$AT$4, 0)) &lt; 0)
)</f>
        <v>0</v>
      </c>
      <c r="K61" s="755">
        <f t="shared" si="30"/>
        <v>0</v>
      </c>
      <c r="L61" s="756">
        <f t="array" ref="L61">SUMPRODUCT((TRIM(INDEX('6. TIẾN ĐỘ MUA HÀNG'!$A$5:$AT644, 0, XMATCH("NCC VTBB/NL trong nước", '6. TIẾN ĐỘ MUA HÀNG'!$A$4:$AT$4, 0))) = TRIM($B61)) * (TRIM(INDEX('6. TIẾN ĐỘ MUA HÀNG'!$A$5:$AT644, 0, XMATCH("Tháng", '6. TIẾN ĐỘ MUA HÀNG'!$A$4:$AT$4, 0))) = TRIM(L$6)) * (INDEX('6. TIẾN ĐỘ MUA HÀNG'!$A$5:$AT644, 0, XMATCH("Mã đơn Misa", '6. TIẾN ĐỘ MUA HÀNG'!$A$4:$AT$4, 0)) &lt;&gt; ""))</f>
        <v>0</v>
      </c>
      <c r="M61" s="756">
        <f t="array" ref="M61">SUMPRODUCT(
  (INDEX('6. TIẾN ĐỘ MUA HÀNG'!$A$5:$AT644, 0, XMATCH("NCC VTBB/NL trong nước", '6. TIẾN ĐỘ MUA HÀNG'!$A$4:$AT$4, 0)) = $B61) * (TRIM(INDEX('6. TIẾN ĐỘ MUA HÀNG'!$A$5:$AT644, 0, XMATCH("Tháng", '6. TIẾN ĐỘ MUA HÀNG'!$A$4:$AT$4, 0))) = TRIM(L$6)) * (INDEX('6. TIẾN ĐỘ MUA HÀNG'!$A$5:$AT644, 0, XMATCH("CL NGÀY NCC DỰ KIẾN - NGÀY NHẬN HÀNG", '6. TIẾN ĐỘ MUA HÀNG'!$A$4:$AT$4, 0)) &lt; 0)
)</f>
        <v>0</v>
      </c>
      <c r="N61" s="757">
        <f t="shared" si="17"/>
        <v>0</v>
      </c>
      <c r="O61" s="754">
        <f t="array" ref="O61">SUMPRODUCT((TRIM(INDEX('6. TIẾN ĐỘ MUA HÀNG'!$A$5:$AT644, 0, XMATCH("NCC VTBB/NL trong nước", '6. TIẾN ĐỘ MUA HÀNG'!$A$4:$AT$4, 0))) = TRIM($B61)) * (TRIM(INDEX('6. TIẾN ĐỘ MUA HÀNG'!$A$5:$AT644, 0, XMATCH("Tháng", '6. TIẾN ĐỘ MUA HÀNG'!$A$4:$AT$4, 0))) = TRIM(O$6)) * (INDEX('6. TIẾN ĐỘ MUA HÀNG'!$A$5:$AT644, 0, XMATCH("Mã đơn Misa", '6. TIẾN ĐỘ MUA HÀNG'!$A$4:$AT$4, 0)) &lt;&gt; ""))</f>
        <v>0</v>
      </c>
      <c r="P61" s="754">
        <f t="array" ref="P61">SUMPRODUCT(
  (INDEX('6. TIẾN ĐỘ MUA HÀNG'!$A$5:$AT644, 0, XMATCH("NCC VTBB/NL trong nước", '6. TIẾN ĐỘ MUA HÀNG'!$A$4:$AT$4, 0)) = $B61) * (TRIM(INDEX('6. TIẾN ĐỘ MUA HÀNG'!$A$5:$AT644, 0, XMATCH("Tháng", '6. TIẾN ĐỘ MUA HÀNG'!$A$4:$AT$4, 0))) = TRIM(O$6)) * (INDEX('6. TIẾN ĐỘ MUA HÀNG'!$A$5:$AT644, 0, XMATCH("CL NGÀY NCC DỰ KIẾN - NGÀY NHẬN HÀNG", '6. TIẾN ĐỘ MUA HÀNG'!$A$4:$AT$4, 0)) &lt; 0)
)</f>
        <v>0</v>
      </c>
      <c r="Q61" s="755">
        <f t="shared" si="31"/>
        <v>0</v>
      </c>
      <c r="R61" s="756">
        <f t="array" ref="R61">SUMPRODUCT((TRIM(INDEX('6. TIẾN ĐỘ MUA HÀNG'!$A$5:$AT644, 0, XMATCH("NCC VTBB/NL trong nước", '6. TIẾN ĐỘ MUA HÀNG'!$A$4:$AT$4, 0))) = TRIM($B61)) * (TRIM(INDEX('6. TIẾN ĐỘ MUA HÀNG'!$A$5:$AT644, 0, XMATCH("Tháng", '6. TIẾN ĐỘ MUA HÀNG'!$A$4:$AT$4, 0))) = TRIM(R$6)) * (INDEX('6. TIẾN ĐỘ MUA HÀNG'!$A$5:$AT644, 0, XMATCH("Mã đơn Misa", '6. TIẾN ĐỘ MUA HÀNG'!$A$4:$AT$4, 0)) &lt;&gt; ""))</f>
        <v>0</v>
      </c>
      <c r="S61" s="756">
        <f t="array" ref="S61">SUMPRODUCT(
  (INDEX('6. TIẾN ĐỘ MUA HÀNG'!$A$5:$AT644, 0, XMATCH("NCC VTBB/NL trong nước", '6. TIẾN ĐỘ MUA HÀNG'!$A$4:$AT$4, 0)) = $B61) * (TRIM(INDEX('6. TIẾN ĐỘ MUA HÀNG'!$A$5:$AT644, 0, XMATCH("Tháng", '6. TIẾN ĐỘ MUA HÀNG'!$A$4:$AT$4, 0))) = TRIM(R$6)) * (INDEX('6. TIẾN ĐỘ MUA HÀNG'!$A$5:$AT644, 0, XMATCH("CL NGÀY NCC DỰ KIẾN - NGÀY NHẬN HÀNG", '6. TIẾN ĐỘ MUA HÀNG'!$A$4:$AT$4, 0)) &lt; 0)
)</f>
        <v>0</v>
      </c>
      <c r="T61" s="757">
        <f t="shared" si="19"/>
        <v>0</v>
      </c>
      <c r="U61" s="754">
        <f t="array" ref="U61">SUMPRODUCT((TRIM(INDEX('6. TIẾN ĐỘ MUA HÀNG'!$A$5:$AT644, 0, XMATCH("NCC VTBB/NL trong nước", '6. TIẾN ĐỘ MUA HÀNG'!$A$4:$AT$4, 0))) = TRIM($B61)) * (TRIM(INDEX('6. TIẾN ĐỘ MUA HÀNG'!$A$5:$AT644, 0, XMATCH("Tháng", '6. TIẾN ĐỘ MUA HÀNG'!$A$4:$AT$4, 0))) = TRIM(U$6)) * (INDEX('6. TIẾN ĐỘ MUA HÀNG'!$A$5:$AT644, 0, XMATCH("Mã đơn Misa", '6. TIẾN ĐỘ MUA HÀNG'!$A$4:$AT$4, 0)) &lt;&gt; ""))</f>
        <v>0</v>
      </c>
      <c r="V61" s="754">
        <f t="array" ref="V61">SUMPRODUCT(
  (INDEX('6. TIẾN ĐỘ MUA HÀNG'!$A$5:$AT644, 0, XMATCH("NCC VTBB/NL trong nước", '6. TIẾN ĐỘ MUA HÀNG'!$A$4:$AT$4, 0)) = $B61) * (TRIM(INDEX('6. TIẾN ĐỘ MUA HÀNG'!$A$5:$AT644, 0, XMATCH("Tháng", '6. TIẾN ĐỘ MUA HÀNG'!$A$4:$AT$4, 0))) = TRIM(U$6)) * (INDEX('6. TIẾN ĐỘ MUA HÀNG'!$A$5:$AT644, 0, XMATCH("CL NGÀY NCC DỰ KIẾN - NGÀY NHẬN HÀNG", '6. TIẾN ĐỘ MUA HÀNG'!$A$4:$AT$4, 0)) &lt; 0)
)</f>
        <v>0</v>
      </c>
      <c r="W61" s="755">
        <f t="shared" si="32"/>
        <v>0</v>
      </c>
      <c r="X61" s="756">
        <f t="array" ref="X61">SUMPRODUCT((TRIM(INDEX('6. TIẾN ĐỘ MUA HÀNG'!$A$5:$AT644, 0, XMATCH("NCC VTBB/NL trong nước", '6. TIẾN ĐỘ MUA HÀNG'!$A$4:$AT$4, 0))) = TRIM($B61)) * (TRIM(INDEX('6. TIẾN ĐỘ MUA HÀNG'!$A$5:$AT644, 0, XMATCH("Tháng", '6. TIẾN ĐỘ MUA HÀNG'!$A$4:$AT$4, 0))) = TRIM(X$6)) * (INDEX('6. TIẾN ĐỘ MUA HÀNG'!$A$5:$AT644, 0, XMATCH("Mã đơn Misa", '6. TIẾN ĐỘ MUA HÀNG'!$A$4:$AT$4, 0)) &lt;&gt; ""))</f>
        <v>0</v>
      </c>
      <c r="Y61" s="756">
        <f t="array" ref="Y61">SUMPRODUCT(
  (INDEX('6. TIẾN ĐỘ MUA HÀNG'!$A$5:$AT644, 0, XMATCH("NCC VTBB/NL trong nước", '6. TIẾN ĐỘ MUA HÀNG'!$A$4:$AT$4, 0)) = $B61) * (TRIM(INDEX('6. TIẾN ĐỘ MUA HÀNG'!$A$5:$AT644, 0, XMATCH("Tháng", '6. TIẾN ĐỘ MUA HÀNG'!$A$4:$AT$4, 0))) = TRIM(X$6)) * (INDEX('6. TIẾN ĐỘ MUA HÀNG'!$A$5:$AT644, 0, XMATCH("CL NGÀY NCC DỰ KIẾN - NGÀY NHẬN HÀNG", '6. TIẾN ĐỘ MUA HÀNG'!$A$4:$AT$4, 0)) &lt; 0)
)</f>
        <v>0</v>
      </c>
      <c r="Z61" s="757">
        <f t="shared" si="21"/>
        <v>0</v>
      </c>
      <c r="AA61" s="754">
        <f t="array" ref="AA61">SUMPRODUCT((TRIM(INDEX('6. TIẾN ĐỘ MUA HÀNG'!$A$5:$AT644, 0, XMATCH("NCC VTBB/NL trong nước", '6. TIẾN ĐỘ MUA HÀNG'!$A$4:$AT$4, 0))) = TRIM($B61)) * (TRIM(INDEX('6. TIẾN ĐỘ MUA HÀNG'!$A$5:$AT644, 0, XMATCH("Tháng", '6. TIẾN ĐỘ MUA HÀNG'!$A$4:$AT$4, 0))) = TRIM(AA$6)) * (INDEX('6. TIẾN ĐỘ MUA HÀNG'!$A$5:$AT644, 0, XMATCH("Mã đơn Misa", '6. TIẾN ĐỘ MUA HÀNG'!$A$4:$AT$4, 0)) &lt;&gt; ""))</f>
        <v>0</v>
      </c>
      <c r="AB61" s="754">
        <f t="array" ref="AB61">SUMPRODUCT(
  (INDEX('6. TIẾN ĐỘ MUA HÀNG'!$A$5:$AT644, 0, XMATCH("NCC VTBB/NL trong nước", '6. TIẾN ĐỘ MUA HÀNG'!$A$4:$AT$4, 0)) = $B61) * (TRIM(INDEX('6. TIẾN ĐỘ MUA HÀNG'!$A$5:$AT644, 0, XMATCH("Tháng", '6. TIẾN ĐỘ MUA HÀNG'!$A$4:$AT$4, 0))) = TRIM(AA$6)) * (INDEX('6. TIẾN ĐỘ MUA HÀNG'!$A$5:$AT644, 0, XMATCH("CL NGÀY NCC DỰ KIẾN - NGÀY NHẬN HÀNG", '6. TIẾN ĐỘ MUA HÀNG'!$A$4:$AT$4, 0)) &lt; 0)
)</f>
        <v>0</v>
      </c>
      <c r="AC61" s="755">
        <f t="shared" si="33"/>
        <v>0</v>
      </c>
      <c r="AD61" s="756">
        <f t="array" ref="AD61">SUMPRODUCT((TRIM(INDEX('6. TIẾN ĐỘ MUA HÀNG'!$A$5:$AT644, 0, XMATCH("NCC VTBB/NL trong nước", '6. TIẾN ĐỘ MUA HÀNG'!$A$4:$AT$4, 0))) = TRIM($B61)) * (TRIM(INDEX('6. TIẾN ĐỘ MUA HÀNG'!$A$5:$AT644, 0, XMATCH("Tháng", '6. TIẾN ĐỘ MUA HÀNG'!$A$4:$AT$4, 0))) = TRIM(AD$6)) * (INDEX('6. TIẾN ĐỘ MUA HÀNG'!$A$5:$AT644, 0, XMATCH("Mã đơn Misa", '6. TIẾN ĐỘ MUA HÀNG'!$A$4:$AT$4, 0)) &lt;&gt; ""))</f>
        <v>0</v>
      </c>
      <c r="AE61" s="756">
        <f t="array" ref="AE61">SUMPRODUCT(
  (INDEX('6. TIẾN ĐỘ MUA HÀNG'!$A$5:$AT644, 0, XMATCH("NCC VTBB/NL trong nước", '6. TIẾN ĐỘ MUA HÀNG'!$A$4:$AT$4, 0)) = $B61) * (TRIM(INDEX('6. TIẾN ĐỘ MUA HÀNG'!$A$5:$AT644, 0, XMATCH("Tháng", '6. TIẾN ĐỘ MUA HÀNG'!$A$4:$AT$4, 0))) = TRIM(AD$6)) * (INDEX('6. TIẾN ĐỘ MUA HÀNG'!$A$5:$AT644, 0, XMATCH("CL NGÀY NCC DỰ KIẾN - NGÀY NHẬN HÀNG", '6. TIẾN ĐỘ MUA HÀNG'!$A$4:$AT$4, 0)) &lt; 0)
)</f>
        <v>0</v>
      </c>
      <c r="AF61" s="757">
        <f t="shared" si="23"/>
        <v>0</v>
      </c>
      <c r="AG61" s="754">
        <f t="array" ref="AG61">SUMPRODUCT((TRIM(INDEX('6. TIẾN ĐỘ MUA HÀNG'!$A$5:$AT644, 0, XMATCH("NCC VTBB/NL trong nước", '6. TIẾN ĐỘ MUA HÀNG'!$A$4:$AT$4, 0))) = TRIM($B61)) * (TRIM(INDEX('6. TIẾN ĐỘ MUA HÀNG'!$A$5:$AT644, 0, XMATCH("Tháng", '6. TIẾN ĐỘ MUA HÀNG'!$A$4:$AT$4, 0))) = TRIM(AG$6)) * (INDEX('6. TIẾN ĐỘ MUA HÀNG'!$A$5:$AT644, 0, XMATCH("Mã đơn Misa", '6. TIẾN ĐỘ MUA HÀNG'!$A$4:$AT$4, 0)) &lt;&gt; ""))</f>
        <v>0</v>
      </c>
      <c r="AH61" s="754">
        <f t="array" ref="AH61">SUMPRODUCT(
  (INDEX('6. TIẾN ĐỘ MUA HÀNG'!$A$5:$AT644, 0, XMATCH("NCC VTBB/NL trong nước", '6. TIẾN ĐỘ MUA HÀNG'!$A$4:$AT$4, 0)) = $B61) * (TRIM(INDEX('6. TIẾN ĐỘ MUA HÀNG'!$A$5:$AT644, 0, XMATCH("Tháng", '6. TIẾN ĐỘ MUA HÀNG'!$A$4:$AT$4, 0))) = TRIM(AG$6)) * (INDEX('6. TIẾN ĐỘ MUA HÀNG'!$A$5:$AT644, 0, XMATCH("CL NGÀY NCC DỰ KIẾN - NGÀY NHẬN HÀNG", '6. TIẾN ĐỘ MUA HÀNG'!$A$4:$AT$4, 0)) &lt; 0)
)</f>
        <v>0</v>
      </c>
      <c r="AI61" s="755">
        <f t="shared" si="34"/>
        <v>0</v>
      </c>
      <c r="AJ61" s="756">
        <f t="array" ref="AJ61">SUMPRODUCT((TRIM(INDEX('6. TIẾN ĐỘ MUA HÀNG'!$A$5:$AT644, 0, XMATCH("NCC VTBB/NL trong nước", '6. TIẾN ĐỘ MUA HÀNG'!$A$4:$AT$4, 0))) = TRIM($B61)) * (TRIM(INDEX('6. TIẾN ĐỘ MUA HÀNG'!$A$5:$AT644, 0, XMATCH("Tháng", '6. TIẾN ĐỘ MUA HÀNG'!$A$4:$AT$4, 0))) = TRIM(AJ$6)) * (INDEX('6. TIẾN ĐỘ MUA HÀNG'!$A$5:$AT644, 0, XMATCH("Mã đơn Misa", '6. TIẾN ĐỘ MUA HÀNG'!$A$4:$AT$4, 0)) &lt;&gt; ""))</f>
        <v>0</v>
      </c>
      <c r="AK61" s="756">
        <f t="array" ref="AK61">SUMPRODUCT(
  (INDEX('6. TIẾN ĐỘ MUA HÀNG'!$A$5:$AT644, 0, XMATCH("NCC VTBB/NL trong nước", '6. TIẾN ĐỘ MUA HÀNG'!$A$4:$AT$4, 0)) = $B61) * (TRIM(INDEX('6. TIẾN ĐỘ MUA HÀNG'!$A$5:$AT644, 0, XMATCH("Tháng", '6. TIẾN ĐỘ MUA HÀNG'!$A$4:$AT$4, 0))) = TRIM(AJ$6)) * (INDEX('6. TIẾN ĐỘ MUA HÀNG'!$A$5:$AT644, 0, XMATCH("CL NGÀY NCC DỰ KIẾN - NGÀY NHẬN HÀNG", '6. TIẾN ĐỘ MUA HÀNG'!$A$4:$AT$4, 0)) &lt; 0)
)</f>
        <v>0</v>
      </c>
      <c r="AL61" s="757">
        <f t="shared" si="25"/>
        <v>0</v>
      </c>
      <c r="AM61" s="726">
        <f t="shared" si="27"/>
        <v>0</v>
      </c>
      <c r="AN61" s="726">
        <f t="shared" si="28"/>
        <v>0</v>
      </c>
      <c r="AO61" s="727">
        <f t="shared" si="26"/>
        <v>0</v>
      </c>
    </row>
    <row r="62">
      <c r="A62" s="612">
        <v>54.0</v>
      </c>
      <c r="B62" s="624" t="str">
        <f>IFERROR(__xludf.DUMMYFUNCTION("""COMPUTED_VALUE"""),"Trương Gia Phước")</f>
        <v>Trương Gia Phước</v>
      </c>
      <c r="C62" s="754">
        <f t="array" ref="C62">SUMPRODUCT((TRIM(INDEX('6. TIẾN ĐỘ MUA HÀNG'!$A$5:$AT644, 0, XMATCH("NCC VTBB/NL trong nước", '6. TIẾN ĐỘ MUA HÀNG'!$A$4:$AT$4, 0))) = TRIM($B62)) * (TRIM(INDEX('6. TIẾN ĐỘ MUA HÀNG'!$A$5:$AT644, 0, XMATCH("Tháng", '6. TIẾN ĐỘ MUA HÀNG'!$A$4:$AT$4, 0))) = TRIM(C$6)) * (INDEX('6. TIẾN ĐỘ MUA HÀNG'!$A$5:$AT644, 0, XMATCH("Mã đơn Misa", '6. TIẾN ĐỘ MUA HÀNG'!$A$4:$AT$4, 0)) &lt;&gt; ""))</f>
        <v>0</v>
      </c>
      <c r="D62" s="754">
        <f t="array" ref="D62">SUMPRODUCT(
  (INDEX('6. TIẾN ĐỘ MUA HÀNG'!$A$5:$AT644, 0, XMATCH("NCC VTBB/NL trong nước", '6. TIẾN ĐỘ MUA HÀNG'!$A$4:$AT$4, 0)) = $B62) * (TRIM(INDEX('6. TIẾN ĐỘ MUA HÀNG'!$A$5:$AT644, 0, XMATCH("Tháng", '6. TIẾN ĐỘ MUA HÀNG'!$A$4:$AT$4, 0))) = TRIM(C$6)) * (INDEX('6. TIẾN ĐỘ MUA HÀNG'!$A$5:$AT644, 0, XMATCH("CL NGÀY NCC DỰ KIẾN - NGÀY NHẬN HÀNG", '6. TIẾN ĐỘ MUA HÀNG'!$A$4:$AT$4, 0)) &lt; 0)
)</f>
        <v>0</v>
      </c>
      <c r="E62" s="755">
        <f t="shared" si="29"/>
        <v>0</v>
      </c>
      <c r="F62" s="756">
        <f t="array" ref="F62">SUMPRODUCT((TRIM(INDEX('6. TIẾN ĐỘ MUA HÀNG'!$A$5:$AT644, 0, XMATCH("NCC VTBB/NL trong nước", '6. TIẾN ĐỘ MUA HÀNG'!$A$4:$AT$4, 0))) = TRIM($B62)) * (TRIM(INDEX('6. TIẾN ĐỘ MUA HÀNG'!$A$5:$AT644, 0, XMATCH("Tháng", '6. TIẾN ĐỘ MUA HÀNG'!$A$4:$AT$4, 0))) = TRIM(F$6)) * (INDEX('6. TIẾN ĐỘ MUA HÀNG'!$A$5:$AT644, 0, XMATCH("Mã đơn Misa", '6. TIẾN ĐỘ MUA HÀNG'!$A$4:$AT$4, 0)) &lt;&gt; ""))</f>
        <v>0</v>
      </c>
      <c r="G62" s="756">
        <f t="array" ref="G62">SUMPRODUCT(
  (INDEX('6. TIẾN ĐỘ MUA HÀNG'!$A$5:$AT644, 0, XMATCH("NCC VTBB/NL trong nước", '6. TIẾN ĐỘ MUA HÀNG'!$A$4:$AT$4, 0)) = $B62) * (TRIM(INDEX('6. TIẾN ĐỘ MUA HÀNG'!$A$5:$AT644, 0, XMATCH("Tháng", '6. TIẾN ĐỘ MUA HÀNG'!$A$4:$AT$4, 0))) = TRIM(F$6)) * (INDEX('6. TIẾN ĐỘ MUA HÀNG'!$A$5:$AT644, 0, XMATCH("CL NGÀY NCC DỰ KIẾN - NGÀY NHẬN HÀNG", '6. TIẾN ĐỘ MUA HÀNG'!$A$4:$AT$4, 0)) &lt; 0)
)</f>
        <v>0</v>
      </c>
      <c r="H62" s="757">
        <f t="shared" si="15"/>
        <v>0</v>
      </c>
      <c r="I62" s="754">
        <f t="array" ref="I62">SUMPRODUCT((TRIM(INDEX('6. TIẾN ĐỘ MUA HÀNG'!$A$5:$AT644, 0, XMATCH("NCC VTBB/NL trong nước", '6. TIẾN ĐỘ MUA HÀNG'!$A$4:$AT$4, 0))) = TRIM($B62)) * (TRIM(INDEX('6. TIẾN ĐỘ MUA HÀNG'!$A$5:$AT644, 0, XMATCH("Tháng", '6. TIẾN ĐỘ MUA HÀNG'!$A$4:$AT$4, 0))) = TRIM(I$6)) * (INDEX('6. TIẾN ĐỘ MUA HÀNG'!$A$5:$AT644, 0, XMATCH("Mã đơn Misa", '6. TIẾN ĐỘ MUA HÀNG'!$A$4:$AT$4, 0)) &lt;&gt; ""))</f>
        <v>0</v>
      </c>
      <c r="J62" s="754">
        <f t="array" ref="J62">SUMPRODUCT(
  (INDEX('6. TIẾN ĐỘ MUA HÀNG'!$A$5:$AT644, 0, XMATCH("NCC VTBB/NL trong nước", '6. TIẾN ĐỘ MUA HÀNG'!$A$4:$AT$4, 0)) = $B62) * (TRIM(INDEX('6. TIẾN ĐỘ MUA HÀNG'!$A$5:$AT644, 0, XMATCH("Tháng", '6. TIẾN ĐỘ MUA HÀNG'!$A$4:$AT$4, 0))) = TRIM(I$6)) * (INDEX('6. TIẾN ĐỘ MUA HÀNG'!$A$5:$AT644, 0, XMATCH("CL NGÀY NCC DỰ KIẾN - NGÀY NHẬN HÀNG", '6. TIẾN ĐỘ MUA HÀNG'!$A$4:$AT$4, 0)) &lt; 0)
)</f>
        <v>0</v>
      </c>
      <c r="K62" s="755">
        <f t="shared" si="30"/>
        <v>0</v>
      </c>
      <c r="L62" s="756">
        <f t="array" ref="L62">SUMPRODUCT((TRIM(INDEX('6. TIẾN ĐỘ MUA HÀNG'!$A$5:$AT644, 0, XMATCH("NCC VTBB/NL trong nước", '6. TIẾN ĐỘ MUA HÀNG'!$A$4:$AT$4, 0))) = TRIM($B62)) * (TRIM(INDEX('6. TIẾN ĐỘ MUA HÀNG'!$A$5:$AT644, 0, XMATCH("Tháng", '6. TIẾN ĐỘ MUA HÀNG'!$A$4:$AT$4, 0))) = TRIM(L$6)) * (INDEX('6. TIẾN ĐỘ MUA HÀNG'!$A$5:$AT644, 0, XMATCH("Mã đơn Misa", '6. TIẾN ĐỘ MUA HÀNG'!$A$4:$AT$4, 0)) &lt;&gt; ""))</f>
        <v>0</v>
      </c>
      <c r="M62" s="756">
        <f t="array" ref="M62">SUMPRODUCT(
  (INDEX('6. TIẾN ĐỘ MUA HÀNG'!$A$5:$AT644, 0, XMATCH("NCC VTBB/NL trong nước", '6. TIẾN ĐỘ MUA HÀNG'!$A$4:$AT$4, 0)) = $B62) * (TRIM(INDEX('6. TIẾN ĐỘ MUA HÀNG'!$A$5:$AT644, 0, XMATCH("Tháng", '6. TIẾN ĐỘ MUA HÀNG'!$A$4:$AT$4, 0))) = TRIM(L$6)) * (INDEX('6. TIẾN ĐỘ MUA HÀNG'!$A$5:$AT644, 0, XMATCH("CL NGÀY NCC DỰ KIẾN - NGÀY NHẬN HÀNG", '6. TIẾN ĐỘ MUA HÀNG'!$A$4:$AT$4, 0)) &lt; 0)
)</f>
        <v>0</v>
      </c>
      <c r="N62" s="757">
        <f t="shared" si="17"/>
        <v>0</v>
      </c>
      <c r="O62" s="754">
        <f t="array" ref="O62">SUMPRODUCT((TRIM(INDEX('6. TIẾN ĐỘ MUA HÀNG'!$A$5:$AT644, 0, XMATCH("NCC VTBB/NL trong nước", '6. TIẾN ĐỘ MUA HÀNG'!$A$4:$AT$4, 0))) = TRIM($B62)) * (TRIM(INDEX('6. TIẾN ĐỘ MUA HÀNG'!$A$5:$AT644, 0, XMATCH("Tháng", '6. TIẾN ĐỘ MUA HÀNG'!$A$4:$AT$4, 0))) = TRIM(O$6)) * (INDEX('6. TIẾN ĐỘ MUA HÀNG'!$A$5:$AT644, 0, XMATCH("Mã đơn Misa", '6. TIẾN ĐỘ MUA HÀNG'!$A$4:$AT$4, 0)) &lt;&gt; ""))</f>
        <v>0</v>
      </c>
      <c r="P62" s="754">
        <f t="array" ref="P62">SUMPRODUCT(
  (INDEX('6. TIẾN ĐỘ MUA HÀNG'!$A$5:$AT644, 0, XMATCH("NCC VTBB/NL trong nước", '6. TIẾN ĐỘ MUA HÀNG'!$A$4:$AT$4, 0)) = $B62) * (TRIM(INDEX('6. TIẾN ĐỘ MUA HÀNG'!$A$5:$AT644, 0, XMATCH("Tháng", '6. TIẾN ĐỘ MUA HÀNG'!$A$4:$AT$4, 0))) = TRIM(O$6)) * (INDEX('6. TIẾN ĐỘ MUA HÀNG'!$A$5:$AT644, 0, XMATCH("CL NGÀY NCC DỰ KIẾN - NGÀY NHẬN HÀNG", '6. TIẾN ĐỘ MUA HÀNG'!$A$4:$AT$4, 0)) &lt; 0)
)</f>
        <v>0</v>
      </c>
      <c r="Q62" s="755">
        <f t="shared" si="31"/>
        <v>0</v>
      </c>
      <c r="R62" s="756">
        <f t="array" ref="R62">SUMPRODUCT((TRIM(INDEX('6. TIẾN ĐỘ MUA HÀNG'!$A$5:$AT644, 0, XMATCH("NCC VTBB/NL trong nước", '6. TIẾN ĐỘ MUA HÀNG'!$A$4:$AT$4, 0))) = TRIM($B62)) * (TRIM(INDEX('6. TIẾN ĐỘ MUA HÀNG'!$A$5:$AT644, 0, XMATCH("Tháng", '6. TIẾN ĐỘ MUA HÀNG'!$A$4:$AT$4, 0))) = TRIM(R$6)) * (INDEX('6. TIẾN ĐỘ MUA HÀNG'!$A$5:$AT644, 0, XMATCH("Mã đơn Misa", '6. TIẾN ĐỘ MUA HÀNG'!$A$4:$AT$4, 0)) &lt;&gt; ""))</f>
        <v>0</v>
      </c>
      <c r="S62" s="756">
        <f t="array" ref="S62">SUMPRODUCT(
  (INDEX('6. TIẾN ĐỘ MUA HÀNG'!$A$5:$AT644, 0, XMATCH("NCC VTBB/NL trong nước", '6. TIẾN ĐỘ MUA HÀNG'!$A$4:$AT$4, 0)) = $B62) * (TRIM(INDEX('6. TIẾN ĐỘ MUA HÀNG'!$A$5:$AT644, 0, XMATCH("Tháng", '6. TIẾN ĐỘ MUA HÀNG'!$A$4:$AT$4, 0))) = TRIM(R$6)) * (INDEX('6. TIẾN ĐỘ MUA HÀNG'!$A$5:$AT644, 0, XMATCH("CL NGÀY NCC DỰ KIẾN - NGÀY NHẬN HÀNG", '6. TIẾN ĐỘ MUA HÀNG'!$A$4:$AT$4, 0)) &lt; 0)
)</f>
        <v>0</v>
      </c>
      <c r="T62" s="757">
        <f t="shared" si="19"/>
        <v>0</v>
      </c>
      <c r="U62" s="754">
        <f t="array" ref="U62">SUMPRODUCT((TRIM(INDEX('6. TIẾN ĐỘ MUA HÀNG'!$A$5:$AT644, 0, XMATCH("NCC VTBB/NL trong nước", '6. TIẾN ĐỘ MUA HÀNG'!$A$4:$AT$4, 0))) = TRIM($B62)) * (TRIM(INDEX('6. TIẾN ĐỘ MUA HÀNG'!$A$5:$AT644, 0, XMATCH("Tháng", '6. TIẾN ĐỘ MUA HÀNG'!$A$4:$AT$4, 0))) = TRIM(U$6)) * (INDEX('6. TIẾN ĐỘ MUA HÀNG'!$A$5:$AT644, 0, XMATCH("Mã đơn Misa", '6. TIẾN ĐỘ MUA HÀNG'!$A$4:$AT$4, 0)) &lt;&gt; ""))</f>
        <v>0</v>
      </c>
      <c r="V62" s="754">
        <f t="array" ref="V62">SUMPRODUCT(
  (INDEX('6. TIẾN ĐỘ MUA HÀNG'!$A$5:$AT644, 0, XMATCH("NCC VTBB/NL trong nước", '6. TIẾN ĐỘ MUA HÀNG'!$A$4:$AT$4, 0)) = $B62) * (TRIM(INDEX('6. TIẾN ĐỘ MUA HÀNG'!$A$5:$AT644, 0, XMATCH("Tháng", '6. TIẾN ĐỘ MUA HÀNG'!$A$4:$AT$4, 0))) = TRIM(U$6)) * (INDEX('6. TIẾN ĐỘ MUA HÀNG'!$A$5:$AT644, 0, XMATCH("CL NGÀY NCC DỰ KIẾN - NGÀY NHẬN HÀNG", '6. TIẾN ĐỘ MUA HÀNG'!$A$4:$AT$4, 0)) &lt; 0)
)</f>
        <v>0</v>
      </c>
      <c r="W62" s="755">
        <f t="shared" si="32"/>
        <v>0</v>
      </c>
      <c r="X62" s="756">
        <f t="array" ref="X62">SUMPRODUCT((TRIM(INDEX('6. TIẾN ĐỘ MUA HÀNG'!$A$5:$AT644, 0, XMATCH("NCC VTBB/NL trong nước", '6. TIẾN ĐỘ MUA HÀNG'!$A$4:$AT$4, 0))) = TRIM($B62)) * (TRIM(INDEX('6. TIẾN ĐỘ MUA HÀNG'!$A$5:$AT644, 0, XMATCH("Tháng", '6. TIẾN ĐỘ MUA HÀNG'!$A$4:$AT$4, 0))) = TRIM(X$6)) * (INDEX('6. TIẾN ĐỘ MUA HÀNG'!$A$5:$AT644, 0, XMATCH("Mã đơn Misa", '6. TIẾN ĐỘ MUA HÀNG'!$A$4:$AT$4, 0)) &lt;&gt; ""))</f>
        <v>0</v>
      </c>
      <c r="Y62" s="756">
        <f t="array" ref="Y62">SUMPRODUCT(
  (INDEX('6. TIẾN ĐỘ MUA HÀNG'!$A$5:$AT644, 0, XMATCH("NCC VTBB/NL trong nước", '6. TIẾN ĐỘ MUA HÀNG'!$A$4:$AT$4, 0)) = $B62) * (TRIM(INDEX('6. TIẾN ĐỘ MUA HÀNG'!$A$5:$AT644, 0, XMATCH("Tháng", '6. TIẾN ĐỘ MUA HÀNG'!$A$4:$AT$4, 0))) = TRIM(X$6)) * (INDEX('6. TIẾN ĐỘ MUA HÀNG'!$A$5:$AT644, 0, XMATCH("CL NGÀY NCC DỰ KIẾN - NGÀY NHẬN HÀNG", '6. TIẾN ĐỘ MUA HÀNG'!$A$4:$AT$4, 0)) &lt; 0)
)</f>
        <v>0</v>
      </c>
      <c r="Z62" s="757">
        <f t="shared" si="21"/>
        <v>0</v>
      </c>
      <c r="AA62" s="754">
        <f t="array" ref="AA62">SUMPRODUCT((TRIM(INDEX('6. TIẾN ĐỘ MUA HÀNG'!$A$5:$AT644, 0, XMATCH("NCC VTBB/NL trong nước", '6. TIẾN ĐỘ MUA HÀNG'!$A$4:$AT$4, 0))) = TRIM($B62)) * (TRIM(INDEX('6. TIẾN ĐỘ MUA HÀNG'!$A$5:$AT644, 0, XMATCH("Tháng", '6. TIẾN ĐỘ MUA HÀNG'!$A$4:$AT$4, 0))) = TRIM(AA$6)) * (INDEX('6. TIẾN ĐỘ MUA HÀNG'!$A$5:$AT644, 0, XMATCH("Mã đơn Misa", '6. TIẾN ĐỘ MUA HÀNG'!$A$4:$AT$4, 0)) &lt;&gt; ""))</f>
        <v>0</v>
      </c>
      <c r="AB62" s="754">
        <f t="array" ref="AB62">SUMPRODUCT(
  (INDEX('6. TIẾN ĐỘ MUA HÀNG'!$A$5:$AT644, 0, XMATCH("NCC VTBB/NL trong nước", '6. TIẾN ĐỘ MUA HÀNG'!$A$4:$AT$4, 0)) = $B62) * (TRIM(INDEX('6. TIẾN ĐỘ MUA HÀNG'!$A$5:$AT644, 0, XMATCH("Tháng", '6. TIẾN ĐỘ MUA HÀNG'!$A$4:$AT$4, 0))) = TRIM(AA$6)) * (INDEX('6. TIẾN ĐỘ MUA HÀNG'!$A$5:$AT644, 0, XMATCH("CL NGÀY NCC DỰ KIẾN - NGÀY NHẬN HÀNG", '6. TIẾN ĐỘ MUA HÀNG'!$A$4:$AT$4, 0)) &lt; 0)
)</f>
        <v>0</v>
      </c>
      <c r="AC62" s="755">
        <f t="shared" si="33"/>
        <v>0</v>
      </c>
      <c r="AD62" s="756">
        <f t="array" ref="AD62">SUMPRODUCT((TRIM(INDEX('6. TIẾN ĐỘ MUA HÀNG'!$A$5:$AT644, 0, XMATCH("NCC VTBB/NL trong nước", '6. TIẾN ĐỘ MUA HÀNG'!$A$4:$AT$4, 0))) = TRIM($B62)) * (TRIM(INDEX('6. TIẾN ĐỘ MUA HÀNG'!$A$5:$AT644, 0, XMATCH("Tháng", '6. TIẾN ĐỘ MUA HÀNG'!$A$4:$AT$4, 0))) = TRIM(AD$6)) * (INDEX('6. TIẾN ĐỘ MUA HÀNG'!$A$5:$AT644, 0, XMATCH("Mã đơn Misa", '6. TIẾN ĐỘ MUA HÀNG'!$A$4:$AT$4, 0)) &lt;&gt; ""))</f>
        <v>0</v>
      </c>
      <c r="AE62" s="756">
        <f t="array" ref="AE62">SUMPRODUCT(
  (INDEX('6. TIẾN ĐỘ MUA HÀNG'!$A$5:$AT644, 0, XMATCH("NCC VTBB/NL trong nước", '6. TIẾN ĐỘ MUA HÀNG'!$A$4:$AT$4, 0)) = $B62) * (TRIM(INDEX('6. TIẾN ĐỘ MUA HÀNG'!$A$5:$AT644, 0, XMATCH("Tháng", '6. TIẾN ĐỘ MUA HÀNG'!$A$4:$AT$4, 0))) = TRIM(AD$6)) * (INDEX('6. TIẾN ĐỘ MUA HÀNG'!$A$5:$AT644, 0, XMATCH("CL NGÀY NCC DỰ KIẾN - NGÀY NHẬN HÀNG", '6. TIẾN ĐỘ MUA HÀNG'!$A$4:$AT$4, 0)) &lt; 0)
)</f>
        <v>0</v>
      </c>
      <c r="AF62" s="757">
        <f t="shared" si="23"/>
        <v>0</v>
      </c>
      <c r="AG62" s="754">
        <f t="array" ref="AG62">SUMPRODUCT((TRIM(INDEX('6. TIẾN ĐỘ MUA HÀNG'!$A$5:$AT644, 0, XMATCH("NCC VTBB/NL trong nước", '6. TIẾN ĐỘ MUA HÀNG'!$A$4:$AT$4, 0))) = TRIM($B62)) * (TRIM(INDEX('6. TIẾN ĐỘ MUA HÀNG'!$A$5:$AT644, 0, XMATCH("Tháng", '6. TIẾN ĐỘ MUA HÀNG'!$A$4:$AT$4, 0))) = TRIM(AG$6)) * (INDEX('6. TIẾN ĐỘ MUA HÀNG'!$A$5:$AT644, 0, XMATCH("Mã đơn Misa", '6. TIẾN ĐỘ MUA HÀNG'!$A$4:$AT$4, 0)) &lt;&gt; ""))</f>
        <v>0</v>
      </c>
      <c r="AH62" s="754">
        <f t="array" ref="AH62">SUMPRODUCT(
  (INDEX('6. TIẾN ĐỘ MUA HÀNG'!$A$5:$AT644, 0, XMATCH("NCC VTBB/NL trong nước", '6. TIẾN ĐỘ MUA HÀNG'!$A$4:$AT$4, 0)) = $B62) * (TRIM(INDEX('6. TIẾN ĐỘ MUA HÀNG'!$A$5:$AT644, 0, XMATCH("Tháng", '6. TIẾN ĐỘ MUA HÀNG'!$A$4:$AT$4, 0))) = TRIM(AG$6)) * (INDEX('6. TIẾN ĐỘ MUA HÀNG'!$A$5:$AT644, 0, XMATCH("CL NGÀY NCC DỰ KIẾN - NGÀY NHẬN HÀNG", '6. TIẾN ĐỘ MUA HÀNG'!$A$4:$AT$4, 0)) &lt; 0)
)</f>
        <v>0</v>
      </c>
      <c r="AI62" s="755">
        <f t="shared" si="34"/>
        <v>0</v>
      </c>
      <c r="AJ62" s="756">
        <f t="array" ref="AJ62">SUMPRODUCT((TRIM(INDEX('6. TIẾN ĐỘ MUA HÀNG'!$A$5:$AT644, 0, XMATCH("NCC VTBB/NL trong nước", '6. TIẾN ĐỘ MUA HÀNG'!$A$4:$AT$4, 0))) = TRIM($B62)) * (TRIM(INDEX('6. TIẾN ĐỘ MUA HÀNG'!$A$5:$AT644, 0, XMATCH("Tháng", '6. TIẾN ĐỘ MUA HÀNG'!$A$4:$AT$4, 0))) = TRIM(AJ$6)) * (INDEX('6. TIẾN ĐỘ MUA HÀNG'!$A$5:$AT644, 0, XMATCH("Mã đơn Misa", '6. TIẾN ĐỘ MUA HÀNG'!$A$4:$AT$4, 0)) &lt;&gt; ""))</f>
        <v>0</v>
      </c>
      <c r="AK62" s="756">
        <f t="array" ref="AK62">SUMPRODUCT(
  (INDEX('6. TIẾN ĐỘ MUA HÀNG'!$A$5:$AT644, 0, XMATCH("NCC VTBB/NL trong nước", '6. TIẾN ĐỘ MUA HÀNG'!$A$4:$AT$4, 0)) = $B62) * (TRIM(INDEX('6. TIẾN ĐỘ MUA HÀNG'!$A$5:$AT644, 0, XMATCH("Tháng", '6. TIẾN ĐỘ MUA HÀNG'!$A$4:$AT$4, 0))) = TRIM(AJ$6)) * (INDEX('6. TIẾN ĐỘ MUA HÀNG'!$A$5:$AT644, 0, XMATCH("CL NGÀY NCC DỰ KIẾN - NGÀY NHẬN HÀNG", '6. TIẾN ĐỘ MUA HÀNG'!$A$4:$AT$4, 0)) &lt; 0)
)</f>
        <v>0</v>
      </c>
      <c r="AL62" s="757">
        <f t="shared" si="25"/>
        <v>0</v>
      </c>
      <c r="AM62" s="726">
        <f t="shared" si="27"/>
        <v>0</v>
      </c>
      <c r="AN62" s="726">
        <f t="shared" si="28"/>
        <v>0</v>
      </c>
      <c r="AO62" s="727">
        <f t="shared" si="26"/>
        <v>0</v>
      </c>
    </row>
    <row r="63">
      <c r="A63" s="612">
        <v>55.0</v>
      </c>
      <c r="B63" s="624" t="str">
        <f>IFERROR(__xludf.DUMMYFUNCTION("""COMPUTED_VALUE"""),"Như Cương")</f>
        <v>Như Cương</v>
      </c>
      <c r="C63" s="754">
        <f t="array" ref="C63">SUMPRODUCT((TRIM(INDEX('6. TIẾN ĐỘ MUA HÀNG'!$A$5:$AT644, 0, XMATCH("NCC VTBB/NL trong nước", '6. TIẾN ĐỘ MUA HÀNG'!$A$4:$AT$4, 0))) = TRIM($B63)) * (TRIM(INDEX('6. TIẾN ĐỘ MUA HÀNG'!$A$5:$AT644, 0, XMATCH("Tháng", '6. TIẾN ĐỘ MUA HÀNG'!$A$4:$AT$4, 0))) = TRIM(C$6)) * (INDEX('6. TIẾN ĐỘ MUA HÀNG'!$A$5:$AT644, 0, XMATCH("Mã đơn Misa", '6. TIẾN ĐỘ MUA HÀNG'!$A$4:$AT$4, 0)) &lt;&gt; ""))</f>
        <v>0</v>
      </c>
      <c r="D63" s="754">
        <f t="array" ref="D63">SUMPRODUCT(
  (INDEX('6. TIẾN ĐỘ MUA HÀNG'!$A$5:$AT644, 0, XMATCH("NCC VTBB/NL trong nước", '6. TIẾN ĐỘ MUA HÀNG'!$A$4:$AT$4, 0)) = $B63) * (TRIM(INDEX('6. TIẾN ĐỘ MUA HÀNG'!$A$5:$AT644, 0, XMATCH("Tháng", '6. TIẾN ĐỘ MUA HÀNG'!$A$4:$AT$4, 0))) = TRIM(C$6)) * (INDEX('6. TIẾN ĐỘ MUA HÀNG'!$A$5:$AT644, 0, XMATCH("CL NGÀY NCC DỰ KIẾN - NGÀY NHẬN HÀNG", '6. TIẾN ĐỘ MUA HÀNG'!$A$4:$AT$4, 0)) &lt; 0)
)</f>
        <v>0</v>
      </c>
      <c r="E63" s="755">
        <f t="shared" si="29"/>
        <v>0</v>
      </c>
      <c r="F63" s="756">
        <f t="array" ref="F63">SUMPRODUCT((TRIM(INDEX('6. TIẾN ĐỘ MUA HÀNG'!$A$5:$AT644, 0, XMATCH("NCC VTBB/NL trong nước", '6. TIẾN ĐỘ MUA HÀNG'!$A$4:$AT$4, 0))) = TRIM($B63)) * (TRIM(INDEX('6. TIẾN ĐỘ MUA HÀNG'!$A$5:$AT644, 0, XMATCH("Tháng", '6. TIẾN ĐỘ MUA HÀNG'!$A$4:$AT$4, 0))) = TRIM(F$6)) * (INDEX('6. TIẾN ĐỘ MUA HÀNG'!$A$5:$AT644, 0, XMATCH("Mã đơn Misa", '6. TIẾN ĐỘ MUA HÀNG'!$A$4:$AT$4, 0)) &lt;&gt; ""))</f>
        <v>0</v>
      </c>
      <c r="G63" s="756">
        <f t="array" ref="G63">SUMPRODUCT(
  (INDEX('6. TIẾN ĐỘ MUA HÀNG'!$A$5:$AT644, 0, XMATCH("NCC VTBB/NL trong nước", '6. TIẾN ĐỘ MUA HÀNG'!$A$4:$AT$4, 0)) = $B63) * (TRIM(INDEX('6. TIẾN ĐỘ MUA HÀNG'!$A$5:$AT644, 0, XMATCH("Tháng", '6. TIẾN ĐỘ MUA HÀNG'!$A$4:$AT$4, 0))) = TRIM(F$6)) * (INDEX('6. TIẾN ĐỘ MUA HÀNG'!$A$5:$AT644, 0, XMATCH("CL NGÀY NCC DỰ KIẾN - NGÀY NHẬN HÀNG", '6. TIẾN ĐỘ MUA HÀNG'!$A$4:$AT$4, 0)) &lt; 0)
)</f>
        <v>0</v>
      </c>
      <c r="H63" s="757">
        <f t="shared" si="15"/>
        <v>0</v>
      </c>
      <c r="I63" s="754">
        <f t="array" ref="I63">SUMPRODUCT((TRIM(INDEX('6. TIẾN ĐỘ MUA HÀNG'!$A$5:$AT644, 0, XMATCH("NCC VTBB/NL trong nước", '6. TIẾN ĐỘ MUA HÀNG'!$A$4:$AT$4, 0))) = TRIM($B63)) * (TRIM(INDEX('6. TIẾN ĐỘ MUA HÀNG'!$A$5:$AT644, 0, XMATCH("Tháng", '6. TIẾN ĐỘ MUA HÀNG'!$A$4:$AT$4, 0))) = TRIM(I$6)) * (INDEX('6. TIẾN ĐỘ MUA HÀNG'!$A$5:$AT644, 0, XMATCH("Mã đơn Misa", '6. TIẾN ĐỘ MUA HÀNG'!$A$4:$AT$4, 0)) &lt;&gt; ""))</f>
        <v>0</v>
      </c>
      <c r="J63" s="754">
        <f t="array" ref="J63">SUMPRODUCT(
  (INDEX('6. TIẾN ĐỘ MUA HÀNG'!$A$5:$AT644, 0, XMATCH("NCC VTBB/NL trong nước", '6. TIẾN ĐỘ MUA HÀNG'!$A$4:$AT$4, 0)) = $B63) * (TRIM(INDEX('6. TIẾN ĐỘ MUA HÀNG'!$A$5:$AT644, 0, XMATCH("Tháng", '6. TIẾN ĐỘ MUA HÀNG'!$A$4:$AT$4, 0))) = TRIM(I$6)) * (INDEX('6. TIẾN ĐỘ MUA HÀNG'!$A$5:$AT644, 0, XMATCH("CL NGÀY NCC DỰ KIẾN - NGÀY NHẬN HÀNG", '6. TIẾN ĐỘ MUA HÀNG'!$A$4:$AT$4, 0)) &lt; 0)
)</f>
        <v>0</v>
      </c>
      <c r="K63" s="755">
        <f t="shared" si="30"/>
        <v>0</v>
      </c>
      <c r="L63" s="756">
        <f t="array" ref="L63">SUMPRODUCT((TRIM(INDEX('6. TIẾN ĐỘ MUA HÀNG'!$A$5:$AT644, 0, XMATCH("NCC VTBB/NL trong nước", '6. TIẾN ĐỘ MUA HÀNG'!$A$4:$AT$4, 0))) = TRIM($B63)) * (TRIM(INDEX('6. TIẾN ĐỘ MUA HÀNG'!$A$5:$AT644, 0, XMATCH("Tháng", '6. TIẾN ĐỘ MUA HÀNG'!$A$4:$AT$4, 0))) = TRIM(L$6)) * (INDEX('6. TIẾN ĐỘ MUA HÀNG'!$A$5:$AT644, 0, XMATCH("Mã đơn Misa", '6. TIẾN ĐỘ MUA HÀNG'!$A$4:$AT$4, 0)) &lt;&gt; ""))</f>
        <v>0</v>
      </c>
      <c r="M63" s="756">
        <f t="array" ref="M63">SUMPRODUCT(
  (INDEX('6. TIẾN ĐỘ MUA HÀNG'!$A$5:$AT644, 0, XMATCH("NCC VTBB/NL trong nước", '6. TIẾN ĐỘ MUA HÀNG'!$A$4:$AT$4, 0)) = $B63) * (TRIM(INDEX('6. TIẾN ĐỘ MUA HÀNG'!$A$5:$AT644, 0, XMATCH("Tháng", '6. TIẾN ĐỘ MUA HÀNG'!$A$4:$AT$4, 0))) = TRIM(L$6)) * (INDEX('6. TIẾN ĐỘ MUA HÀNG'!$A$5:$AT644, 0, XMATCH("CL NGÀY NCC DỰ KIẾN - NGÀY NHẬN HÀNG", '6. TIẾN ĐỘ MUA HÀNG'!$A$4:$AT$4, 0)) &lt; 0)
)</f>
        <v>0</v>
      </c>
      <c r="N63" s="757">
        <f t="shared" si="17"/>
        <v>0</v>
      </c>
      <c r="O63" s="754">
        <f t="array" ref="O63">SUMPRODUCT((TRIM(INDEX('6. TIẾN ĐỘ MUA HÀNG'!$A$5:$AT644, 0, XMATCH("NCC VTBB/NL trong nước", '6. TIẾN ĐỘ MUA HÀNG'!$A$4:$AT$4, 0))) = TRIM($B63)) * (TRIM(INDEX('6. TIẾN ĐỘ MUA HÀNG'!$A$5:$AT644, 0, XMATCH("Tháng", '6. TIẾN ĐỘ MUA HÀNG'!$A$4:$AT$4, 0))) = TRIM(O$6)) * (INDEX('6. TIẾN ĐỘ MUA HÀNG'!$A$5:$AT644, 0, XMATCH("Mã đơn Misa", '6. TIẾN ĐỘ MUA HÀNG'!$A$4:$AT$4, 0)) &lt;&gt; ""))</f>
        <v>0</v>
      </c>
      <c r="P63" s="754">
        <f t="array" ref="P63">SUMPRODUCT(
  (INDEX('6. TIẾN ĐỘ MUA HÀNG'!$A$5:$AT644, 0, XMATCH("NCC VTBB/NL trong nước", '6. TIẾN ĐỘ MUA HÀNG'!$A$4:$AT$4, 0)) = $B63) * (TRIM(INDEX('6. TIẾN ĐỘ MUA HÀNG'!$A$5:$AT644, 0, XMATCH("Tháng", '6. TIẾN ĐỘ MUA HÀNG'!$A$4:$AT$4, 0))) = TRIM(O$6)) * (INDEX('6. TIẾN ĐỘ MUA HÀNG'!$A$5:$AT644, 0, XMATCH("CL NGÀY NCC DỰ KIẾN - NGÀY NHẬN HÀNG", '6. TIẾN ĐỘ MUA HÀNG'!$A$4:$AT$4, 0)) &lt; 0)
)</f>
        <v>0</v>
      </c>
      <c r="Q63" s="755">
        <f t="shared" si="31"/>
        <v>0</v>
      </c>
      <c r="R63" s="756">
        <f t="array" ref="R63">SUMPRODUCT((TRIM(INDEX('6. TIẾN ĐỘ MUA HÀNG'!$A$5:$AT644, 0, XMATCH("NCC VTBB/NL trong nước", '6. TIẾN ĐỘ MUA HÀNG'!$A$4:$AT$4, 0))) = TRIM($B63)) * (TRIM(INDEX('6. TIẾN ĐỘ MUA HÀNG'!$A$5:$AT644, 0, XMATCH("Tháng", '6. TIẾN ĐỘ MUA HÀNG'!$A$4:$AT$4, 0))) = TRIM(R$6)) * (INDEX('6. TIẾN ĐỘ MUA HÀNG'!$A$5:$AT644, 0, XMATCH("Mã đơn Misa", '6. TIẾN ĐỘ MUA HÀNG'!$A$4:$AT$4, 0)) &lt;&gt; ""))</f>
        <v>0</v>
      </c>
      <c r="S63" s="756">
        <f t="array" ref="S63">SUMPRODUCT(
  (INDEX('6. TIẾN ĐỘ MUA HÀNG'!$A$5:$AT644, 0, XMATCH("NCC VTBB/NL trong nước", '6. TIẾN ĐỘ MUA HÀNG'!$A$4:$AT$4, 0)) = $B63) * (TRIM(INDEX('6. TIẾN ĐỘ MUA HÀNG'!$A$5:$AT644, 0, XMATCH("Tháng", '6. TIẾN ĐỘ MUA HÀNG'!$A$4:$AT$4, 0))) = TRIM(R$6)) * (INDEX('6. TIẾN ĐỘ MUA HÀNG'!$A$5:$AT644, 0, XMATCH("CL NGÀY NCC DỰ KIẾN - NGÀY NHẬN HÀNG", '6. TIẾN ĐỘ MUA HÀNG'!$A$4:$AT$4, 0)) &lt; 0)
)</f>
        <v>0</v>
      </c>
      <c r="T63" s="757">
        <f t="shared" si="19"/>
        <v>0</v>
      </c>
      <c r="U63" s="754">
        <f t="array" ref="U63">SUMPRODUCT((TRIM(INDEX('6. TIẾN ĐỘ MUA HÀNG'!$A$5:$AT644, 0, XMATCH("NCC VTBB/NL trong nước", '6. TIẾN ĐỘ MUA HÀNG'!$A$4:$AT$4, 0))) = TRIM($B63)) * (TRIM(INDEX('6. TIẾN ĐỘ MUA HÀNG'!$A$5:$AT644, 0, XMATCH("Tháng", '6. TIẾN ĐỘ MUA HÀNG'!$A$4:$AT$4, 0))) = TRIM(U$6)) * (INDEX('6. TIẾN ĐỘ MUA HÀNG'!$A$5:$AT644, 0, XMATCH("Mã đơn Misa", '6. TIẾN ĐỘ MUA HÀNG'!$A$4:$AT$4, 0)) &lt;&gt; ""))</f>
        <v>0</v>
      </c>
      <c r="V63" s="754">
        <f t="array" ref="V63">SUMPRODUCT(
  (INDEX('6. TIẾN ĐỘ MUA HÀNG'!$A$5:$AT644, 0, XMATCH("NCC VTBB/NL trong nước", '6. TIẾN ĐỘ MUA HÀNG'!$A$4:$AT$4, 0)) = $B63) * (TRIM(INDEX('6. TIẾN ĐỘ MUA HÀNG'!$A$5:$AT644, 0, XMATCH("Tháng", '6. TIẾN ĐỘ MUA HÀNG'!$A$4:$AT$4, 0))) = TRIM(U$6)) * (INDEX('6. TIẾN ĐỘ MUA HÀNG'!$A$5:$AT644, 0, XMATCH("CL NGÀY NCC DỰ KIẾN - NGÀY NHẬN HÀNG", '6. TIẾN ĐỘ MUA HÀNG'!$A$4:$AT$4, 0)) &lt; 0)
)</f>
        <v>0</v>
      </c>
      <c r="W63" s="755">
        <f t="shared" si="32"/>
        <v>0</v>
      </c>
      <c r="X63" s="756">
        <f t="array" ref="X63">SUMPRODUCT((TRIM(INDEX('6. TIẾN ĐỘ MUA HÀNG'!$A$5:$AT644, 0, XMATCH("NCC VTBB/NL trong nước", '6. TIẾN ĐỘ MUA HÀNG'!$A$4:$AT$4, 0))) = TRIM($B63)) * (TRIM(INDEX('6. TIẾN ĐỘ MUA HÀNG'!$A$5:$AT644, 0, XMATCH("Tháng", '6. TIẾN ĐỘ MUA HÀNG'!$A$4:$AT$4, 0))) = TRIM(X$6)) * (INDEX('6. TIẾN ĐỘ MUA HÀNG'!$A$5:$AT644, 0, XMATCH("Mã đơn Misa", '6. TIẾN ĐỘ MUA HÀNG'!$A$4:$AT$4, 0)) &lt;&gt; ""))</f>
        <v>0</v>
      </c>
      <c r="Y63" s="756">
        <f t="array" ref="Y63">SUMPRODUCT(
  (INDEX('6. TIẾN ĐỘ MUA HÀNG'!$A$5:$AT644, 0, XMATCH("NCC VTBB/NL trong nước", '6. TIẾN ĐỘ MUA HÀNG'!$A$4:$AT$4, 0)) = $B63) * (TRIM(INDEX('6. TIẾN ĐỘ MUA HÀNG'!$A$5:$AT644, 0, XMATCH("Tháng", '6. TIẾN ĐỘ MUA HÀNG'!$A$4:$AT$4, 0))) = TRIM(X$6)) * (INDEX('6. TIẾN ĐỘ MUA HÀNG'!$A$5:$AT644, 0, XMATCH("CL NGÀY NCC DỰ KIẾN - NGÀY NHẬN HÀNG", '6. TIẾN ĐỘ MUA HÀNG'!$A$4:$AT$4, 0)) &lt; 0)
)</f>
        <v>0</v>
      </c>
      <c r="Z63" s="757">
        <f t="shared" si="21"/>
        <v>0</v>
      </c>
      <c r="AA63" s="754">
        <f t="array" ref="AA63">SUMPRODUCT((TRIM(INDEX('6. TIẾN ĐỘ MUA HÀNG'!$A$5:$AT644, 0, XMATCH("NCC VTBB/NL trong nước", '6. TIẾN ĐỘ MUA HÀNG'!$A$4:$AT$4, 0))) = TRIM($B63)) * (TRIM(INDEX('6. TIẾN ĐỘ MUA HÀNG'!$A$5:$AT644, 0, XMATCH("Tháng", '6. TIẾN ĐỘ MUA HÀNG'!$A$4:$AT$4, 0))) = TRIM(AA$6)) * (INDEX('6. TIẾN ĐỘ MUA HÀNG'!$A$5:$AT644, 0, XMATCH("Mã đơn Misa", '6. TIẾN ĐỘ MUA HÀNG'!$A$4:$AT$4, 0)) &lt;&gt; ""))</f>
        <v>0</v>
      </c>
      <c r="AB63" s="754">
        <f t="array" ref="AB63">SUMPRODUCT(
  (INDEX('6. TIẾN ĐỘ MUA HÀNG'!$A$5:$AT644, 0, XMATCH("NCC VTBB/NL trong nước", '6. TIẾN ĐỘ MUA HÀNG'!$A$4:$AT$4, 0)) = $B63) * (TRIM(INDEX('6. TIẾN ĐỘ MUA HÀNG'!$A$5:$AT644, 0, XMATCH("Tháng", '6. TIẾN ĐỘ MUA HÀNG'!$A$4:$AT$4, 0))) = TRIM(AA$6)) * (INDEX('6. TIẾN ĐỘ MUA HÀNG'!$A$5:$AT644, 0, XMATCH("CL NGÀY NCC DỰ KIẾN - NGÀY NHẬN HÀNG", '6. TIẾN ĐỘ MUA HÀNG'!$A$4:$AT$4, 0)) &lt; 0)
)</f>
        <v>0</v>
      </c>
      <c r="AC63" s="755">
        <f t="shared" si="33"/>
        <v>0</v>
      </c>
      <c r="AD63" s="756">
        <f t="array" ref="AD63">SUMPRODUCT((TRIM(INDEX('6. TIẾN ĐỘ MUA HÀNG'!$A$5:$AT644, 0, XMATCH("NCC VTBB/NL trong nước", '6. TIẾN ĐỘ MUA HÀNG'!$A$4:$AT$4, 0))) = TRIM($B63)) * (TRIM(INDEX('6. TIẾN ĐỘ MUA HÀNG'!$A$5:$AT644, 0, XMATCH("Tháng", '6. TIẾN ĐỘ MUA HÀNG'!$A$4:$AT$4, 0))) = TRIM(AD$6)) * (INDEX('6. TIẾN ĐỘ MUA HÀNG'!$A$5:$AT644, 0, XMATCH("Mã đơn Misa", '6. TIẾN ĐỘ MUA HÀNG'!$A$4:$AT$4, 0)) &lt;&gt; ""))</f>
        <v>0</v>
      </c>
      <c r="AE63" s="756">
        <f t="array" ref="AE63">SUMPRODUCT(
  (INDEX('6. TIẾN ĐỘ MUA HÀNG'!$A$5:$AT644, 0, XMATCH("NCC VTBB/NL trong nước", '6. TIẾN ĐỘ MUA HÀNG'!$A$4:$AT$4, 0)) = $B63) * (TRIM(INDEX('6. TIẾN ĐỘ MUA HÀNG'!$A$5:$AT644, 0, XMATCH("Tháng", '6. TIẾN ĐỘ MUA HÀNG'!$A$4:$AT$4, 0))) = TRIM(AD$6)) * (INDEX('6. TIẾN ĐỘ MUA HÀNG'!$A$5:$AT644, 0, XMATCH("CL NGÀY NCC DỰ KIẾN - NGÀY NHẬN HÀNG", '6. TIẾN ĐỘ MUA HÀNG'!$A$4:$AT$4, 0)) &lt; 0)
)</f>
        <v>0</v>
      </c>
      <c r="AF63" s="757">
        <f t="shared" si="23"/>
        <v>0</v>
      </c>
      <c r="AG63" s="754">
        <f t="array" ref="AG63">SUMPRODUCT((TRIM(INDEX('6. TIẾN ĐỘ MUA HÀNG'!$A$5:$AT644, 0, XMATCH("NCC VTBB/NL trong nước", '6. TIẾN ĐỘ MUA HÀNG'!$A$4:$AT$4, 0))) = TRIM($B63)) * (TRIM(INDEX('6. TIẾN ĐỘ MUA HÀNG'!$A$5:$AT644, 0, XMATCH("Tháng", '6. TIẾN ĐỘ MUA HÀNG'!$A$4:$AT$4, 0))) = TRIM(AG$6)) * (INDEX('6. TIẾN ĐỘ MUA HÀNG'!$A$5:$AT644, 0, XMATCH("Mã đơn Misa", '6. TIẾN ĐỘ MUA HÀNG'!$A$4:$AT$4, 0)) &lt;&gt; ""))</f>
        <v>0</v>
      </c>
      <c r="AH63" s="754">
        <f t="array" ref="AH63">SUMPRODUCT(
  (INDEX('6. TIẾN ĐỘ MUA HÀNG'!$A$5:$AT644, 0, XMATCH("NCC VTBB/NL trong nước", '6. TIẾN ĐỘ MUA HÀNG'!$A$4:$AT$4, 0)) = $B63) * (TRIM(INDEX('6. TIẾN ĐỘ MUA HÀNG'!$A$5:$AT644, 0, XMATCH("Tháng", '6. TIẾN ĐỘ MUA HÀNG'!$A$4:$AT$4, 0))) = TRIM(AG$6)) * (INDEX('6. TIẾN ĐỘ MUA HÀNG'!$A$5:$AT644, 0, XMATCH("CL NGÀY NCC DỰ KIẾN - NGÀY NHẬN HÀNG", '6. TIẾN ĐỘ MUA HÀNG'!$A$4:$AT$4, 0)) &lt; 0)
)</f>
        <v>0</v>
      </c>
      <c r="AI63" s="755">
        <f t="shared" si="34"/>
        <v>0</v>
      </c>
      <c r="AJ63" s="756">
        <f t="array" ref="AJ63">SUMPRODUCT((TRIM(INDEX('6. TIẾN ĐỘ MUA HÀNG'!$A$5:$AT644, 0, XMATCH("NCC VTBB/NL trong nước", '6. TIẾN ĐỘ MUA HÀNG'!$A$4:$AT$4, 0))) = TRIM($B63)) * (TRIM(INDEX('6. TIẾN ĐỘ MUA HÀNG'!$A$5:$AT644, 0, XMATCH("Tháng", '6. TIẾN ĐỘ MUA HÀNG'!$A$4:$AT$4, 0))) = TRIM(AJ$6)) * (INDEX('6. TIẾN ĐỘ MUA HÀNG'!$A$5:$AT644, 0, XMATCH("Mã đơn Misa", '6. TIẾN ĐỘ MUA HÀNG'!$A$4:$AT$4, 0)) &lt;&gt; ""))</f>
        <v>0</v>
      </c>
      <c r="AK63" s="756">
        <f t="array" ref="AK63">SUMPRODUCT(
  (INDEX('6. TIẾN ĐỘ MUA HÀNG'!$A$5:$AT644, 0, XMATCH("NCC VTBB/NL trong nước", '6. TIẾN ĐỘ MUA HÀNG'!$A$4:$AT$4, 0)) = $B63) * (TRIM(INDEX('6. TIẾN ĐỘ MUA HÀNG'!$A$5:$AT644, 0, XMATCH("Tháng", '6. TIẾN ĐỘ MUA HÀNG'!$A$4:$AT$4, 0))) = TRIM(AJ$6)) * (INDEX('6. TIẾN ĐỘ MUA HÀNG'!$A$5:$AT644, 0, XMATCH("CL NGÀY NCC DỰ KIẾN - NGÀY NHẬN HÀNG", '6. TIẾN ĐỘ MUA HÀNG'!$A$4:$AT$4, 0)) &lt; 0)
)</f>
        <v>0</v>
      </c>
      <c r="AL63" s="757">
        <f t="shared" si="25"/>
        <v>0</v>
      </c>
      <c r="AM63" s="726">
        <f t="shared" si="27"/>
        <v>0</v>
      </c>
      <c r="AN63" s="726">
        <f t="shared" si="28"/>
        <v>0</v>
      </c>
      <c r="AO63" s="727">
        <f t="shared" si="26"/>
        <v>0</v>
      </c>
    </row>
    <row r="64">
      <c r="A64" s="612">
        <v>56.0</v>
      </c>
      <c r="B64" s="624" t="str">
        <f>IFERROR(__xludf.DUMMYFUNCTION("""COMPUTED_VALUE"""),"Tân Hoa Mai")</f>
        <v>Tân Hoa Mai</v>
      </c>
      <c r="C64" s="754">
        <f t="array" ref="C64">SUMPRODUCT((TRIM(INDEX('6. TIẾN ĐỘ MUA HÀNG'!$A$5:$AT644, 0, XMATCH("NCC VTBB/NL trong nước", '6. TIẾN ĐỘ MUA HÀNG'!$A$4:$AT$4, 0))) = TRIM($B64)) * (TRIM(INDEX('6. TIẾN ĐỘ MUA HÀNG'!$A$5:$AT644, 0, XMATCH("Tháng", '6. TIẾN ĐỘ MUA HÀNG'!$A$4:$AT$4, 0))) = TRIM(C$6)) * (INDEX('6. TIẾN ĐỘ MUA HÀNG'!$A$5:$AT644, 0, XMATCH("Mã đơn Misa", '6. TIẾN ĐỘ MUA HÀNG'!$A$4:$AT$4, 0)) &lt;&gt; ""))</f>
        <v>0</v>
      </c>
      <c r="D64" s="754">
        <f t="array" ref="D64">SUMPRODUCT(
  (INDEX('6. TIẾN ĐỘ MUA HÀNG'!$A$5:$AT644, 0, XMATCH("NCC VTBB/NL trong nước", '6. TIẾN ĐỘ MUA HÀNG'!$A$4:$AT$4, 0)) = $B64) * (TRIM(INDEX('6. TIẾN ĐỘ MUA HÀNG'!$A$5:$AT644, 0, XMATCH("Tháng", '6. TIẾN ĐỘ MUA HÀNG'!$A$4:$AT$4, 0))) = TRIM(C$6)) * (INDEX('6. TIẾN ĐỘ MUA HÀNG'!$A$5:$AT644, 0, XMATCH("CL NGÀY NCC DỰ KIẾN - NGÀY NHẬN HÀNG", '6. TIẾN ĐỘ MUA HÀNG'!$A$4:$AT$4, 0)) &lt; 0)
)</f>
        <v>0</v>
      </c>
      <c r="E64" s="755">
        <f t="shared" si="29"/>
        <v>0</v>
      </c>
      <c r="F64" s="756">
        <f t="array" ref="F64">SUMPRODUCT((TRIM(INDEX('6. TIẾN ĐỘ MUA HÀNG'!$A$5:$AT644, 0, XMATCH("NCC VTBB/NL trong nước", '6. TIẾN ĐỘ MUA HÀNG'!$A$4:$AT$4, 0))) = TRIM($B64)) * (TRIM(INDEX('6. TIẾN ĐỘ MUA HÀNG'!$A$5:$AT644, 0, XMATCH("Tháng", '6. TIẾN ĐỘ MUA HÀNG'!$A$4:$AT$4, 0))) = TRIM(F$6)) * (INDEX('6. TIẾN ĐỘ MUA HÀNG'!$A$5:$AT644, 0, XMATCH("Mã đơn Misa", '6. TIẾN ĐỘ MUA HÀNG'!$A$4:$AT$4, 0)) &lt;&gt; ""))</f>
        <v>0</v>
      </c>
      <c r="G64" s="756">
        <f t="array" ref="G64">SUMPRODUCT(
  (INDEX('6. TIẾN ĐỘ MUA HÀNG'!$A$5:$AT644, 0, XMATCH("NCC VTBB/NL trong nước", '6. TIẾN ĐỘ MUA HÀNG'!$A$4:$AT$4, 0)) = $B64) * (TRIM(INDEX('6. TIẾN ĐỘ MUA HÀNG'!$A$5:$AT644, 0, XMATCH("Tháng", '6. TIẾN ĐỘ MUA HÀNG'!$A$4:$AT$4, 0))) = TRIM(F$6)) * (INDEX('6. TIẾN ĐỘ MUA HÀNG'!$A$5:$AT644, 0, XMATCH("CL NGÀY NCC DỰ KIẾN - NGÀY NHẬN HÀNG", '6. TIẾN ĐỘ MUA HÀNG'!$A$4:$AT$4, 0)) &lt; 0)
)</f>
        <v>0</v>
      </c>
      <c r="H64" s="757">
        <f t="shared" si="15"/>
        <v>0</v>
      </c>
      <c r="I64" s="754">
        <f t="array" ref="I64">SUMPRODUCT((TRIM(INDEX('6. TIẾN ĐỘ MUA HÀNG'!$A$5:$AT644, 0, XMATCH("NCC VTBB/NL trong nước", '6. TIẾN ĐỘ MUA HÀNG'!$A$4:$AT$4, 0))) = TRIM($B64)) * (TRIM(INDEX('6. TIẾN ĐỘ MUA HÀNG'!$A$5:$AT644, 0, XMATCH("Tháng", '6. TIẾN ĐỘ MUA HÀNG'!$A$4:$AT$4, 0))) = TRIM(I$6)) * (INDEX('6. TIẾN ĐỘ MUA HÀNG'!$A$5:$AT644, 0, XMATCH("Mã đơn Misa", '6. TIẾN ĐỘ MUA HÀNG'!$A$4:$AT$4, 0)) &lt;&gt; ""))</f>
        <v>0</v>
      </c>
      <c r="J64" s="754">
        <f t="array" ref="J64">SUMPRODUCT(
  (INDEX('6. TIẾN ĐỘ MUA HÀNG'!$A$5:$AT644, 0, XMATCH("NCC VTBB/NL trong nước", '6. TIẾN ĐỘ MUA HÀNG'!$A$4:$AT$4, 0)) = $B64) * (TRIM(INDEX('6. TIẾN ĐỘ MUA HÀNG'!$A$5:$AT644, 0, XMATCH("Tháng", '6. TIẾN ĐỘ MUA HÀNG'!$A$4:$AT$4, 0))) = TRIM(I$6)) * (INDEX('6. TIẾN ĐỘ MUA HÀNG'!$A$5:$AT644, 0, XMATCH("CL NGÀY NCC DỰ KIẾN - NGÀY NHẬN HÀNG", '6. TIẾN ĐỘ MUA HÀNG'!$A$4:$AT$4, 0)) &lt; 0)
)</f>
        <v>0</v>
      </c>
      <c r="K64" s="755">
        <f t="shared" si="30"/>
        <v>0</v>
      </c>
      <c r="L64" s="756">
        <f t="array" ref="L64">SUMPRODUCT((TRIM(INDEX('6. TIẾN ĐỘ MUA HÀNG'!$A$5:$AT644, 0, XMATCH("NCC VTBB/NL trong nước", '6. TIẾN ĐỘ MUA HÀNG'!$A$4:$AT$4, 0))) = TRIM($B64)) * (TRIM(INDEX('6. TIẾN ĐỘ MUA HÀNG'!$A$5:$AT644, 0, XMATCH("Tháng", '6. TIẾN ĐỘ MUA HÀNG'!$A$4:$AT$4, 0))) = TRIM(L$6)) * (INDEX('6. TIẾN ĐỘ MUA HÀNG'!$A$5:$AT644, 0, XMATCH("Mã đơn Misa", '6. TIẾN ĐỘ MUA HÀNG'!$A$4:$AT$4, 0)) &lt;&gt; ""))</f>
        <v>0</v>
      </c>
      <c r="M64" s="756">
        <f t="array" ref="M64">SUMPRODUCT(
  (INDEX('6. TIẾN ĐỘ MUA HÀNG'!$A$5:$AT644, 0, XMATCH("NCC VTBB/NL trong nước", '6. TIẾN ĐỘ MUA HÀNG'!$A$4:$AT$4, 0)) = $B64) * (TRIM(INDEX('6. TIẾN ĐỘ MUA HÀNG'!$A$5:$AT644, 0, XMATCH("Tháng", '6. TIẾN ĐỘ MUA HÀNG'!$A$4:$AT$4, 0))) = TRIM(L$6)) * (INDEX('6. TIẾN ĐỘ MUA HÀNG'!$A$5:$AT644, 0, XMATCH("CL NGÀY NCC DỰ KIẾN - NGÀY NHẬN HÀNG", '6. TIẾN ĐỘ MUA HÀNG'!$A$4:$AT$4, 0)) &lt; 0)
)</f>
        <v>0</v>
      </c>
      <c r="N64" s="757">
        <f t="shared" si="17"/>
        <v>0</v>
      </c>
      <c r="O64" s="754">
        <f t="array" ref="O64">SUMPRODUCT((TRIM(INDEX('6. TIẾN ĐỘ MUA HÀNG'!$A$5:$AT644, 0, XMATCH("NCC VTBB/NL trong nước", '6. TIẾN ĐỘ MUA HÀNG'!$A$4:$AT$4, 0))) = TRIM($B64)) * (TRIM(INDEX('6. TIẾN ĐỘ MUA HÀNG'!$A$5:$AT644, 0, XMATCH("Tháng", '6. TIẾN ĐỘ MUA HÀNG'!$A$4:$AT$4, 0))) = TRIM(O$6)) * (INDEX('6. TIẾN ĐỘ MUA HÀNG'!$A$5:$AT644, 0, XMATCH("Mã đơn Misa", '6. TIẾN ĐỘ MUA HÀNG'!$A$4:$AT$4, 0)) &lt;&gt; ""))</f>
        <v>0</v>
      </c>
      <c r="P64" s="754">
        <f t="array" ref="P64">SUMPRODUCT(
  (INDEX('6. TIẾN ĐỘ MUA HÀNG'!$A$5:$AT644, 0, XMATCH("NCC VTBB/NL trong nước", '6. TIẾN ĐỘ MUA HÀNG'!$A$4:$AT$4, 0)) = $B64) * (TRIM(INDEX('6. TIẾN ĐỘ MUA HÀNG'!$A$5:$AT644, 0, XMATCH("Tháng", '6. TIẾN ĐỘ MUA HÀNG'!$A$4:$AT$4, 0))) = TRIM(O$6)) * (INDEX('6. TIẾN ĐỘ MUA HÀNG'!$A$5:$AT644, 0, XMATCH("CL NGÀY NCC DỰ KIẾN - NGÀY NHẬN HÀNG", '6. TIẾN ĐỘ MUA HÀNG'!$A$4:$AT$4, 0)) &lt; 0)
)</f>
        <v>0</v>
      </c>
      <c r="Q64" s="755">
        <f t="shared" si="31"/>
        <v>0</v>
      </c>
      <c r="R64" s="756">
        <f t="array" ref="R64">SUMPRODUCT((TRIM(INDEX('6. TIẾN ĐỘ MUA HÀNG'!$A$5:$AT644, 0, XMATCH("NCC VTBB/NL trong nước", '6. TIẾN ĐỘ MUA HÀNG'!$A$4:$AT$4, 0))) = TRIM($B64)) * (TRIM(INDEX('6. TIẾN ĐỘ MUA HÀNG'!$A$5:$AT644, 0, XMATCH("Tháng", '6. TIẾN ĐỘ MUA HÀNG'!$A$4:$AT$4, 0))) = TRIM(R$6)) * (INDEX('6. TIẾN ĐỘ MUA HÀNG'!$A$5:$AT644, 0, XMATCH("Mã đơn Misa", '6. TIẾN ĐỘ MUA HÀNG'!$A$4:$AT$4, 0)) &lt;&gt; ""))</f>
        <v>0</v>
      </c>
      <c r="S64" s="756">
        <f t="array" ref="S64">SUMPRODUCT(
  (INDEX('6. TIẾN ĐỘ MUA HÀNG'!$A$5:$AT644, 0, XMATCH("NCC VTBB/NL trong nước", '6. TIẾN ĐỘ MUA HÀNG'!$A$4:$AT$4, 0)) = $B64) * (TRIM(INDEX('6. TIẾN ĐỘ MUA HÀNG'!$A$5:$AT644, 0, XMATCH("Tháng", '6. TIẾN ĐỘ MUA HÀNG'!$A$4:$AT$4, 0))) = TRIM(R$6)) * (INDEX('6. TIẾN ĐỘ MUA HÀNG'!$A$5:$AT644, 0, XMATCH("CL NGÀY NCC DỰ KIẾN - NGÀY NHẬN HÀNG", '6. TIẾN ĐỘ MUA HÀNG'!$A$4:$AT$4, 0)) &lt; 0)
)</f>
        <v>0</v>
      </c>
      <c r="T64" s="757">
        <f t="shared" si="19"/>
        <v>0</v>
      </c>
      <c r="U64" s="754">
        <f t="array" ref="U64">SUMPRODUCT((TRIM(INDEX('6. TIẾN ĐỘ MUA HÀNG'!$A$5:$AT644, 0, XMATCH("NCC VTBB/NL trong nước", '6. TIẾN ĐỘ MUA HÀNG'!$A$4:$AT$4, 0))) = TRIM($B64)) * (TRIM(INDEX('6. TIẾN ĐỘ MUA HÀNG'!$A$5:$AT644, 0, XMATCH("Tháng", '6. TIẾN ĐỘ MUA HÀNG'!$A$4:$AT$4, 0))) = TRIM(U$6)) * (INDEX('6. TIẾN ĐỘ MUA HÀNG'!$A$5:$AT644, 0, XMATCH("Mã đơn Misa", '6. TIẾN ĐỘ MUA HÀNG'!$A$4:$AT$4, 0)) &lt;&gt; ""))</f>
        <v>0</v>
      </c>
      <c r="V64" s="754">
        <f t="array" ref="V64">SUMPRODUCT(
  (INDEX('6. TIẾN ĐỘ MUA HÀNG'!$A$5:$AT644, 0, XMATCH("NCC VTBB/NL trong nước", '6. TIẾN ĐỘ MUA HÀNG'!$A$4:$AT$4, 0)) = $B64) * (TRIM(INDEX('6. TIẾN ĐỘ MUA HÀNG'!$A$5:$AT644, 0, XMATCH("Tháng", '6. TIẾN ĐỘ MUA HÀNG'!$A$4:$AT$4, 0))) = TRIM(U$6)) * (INDEX('6. TIẾN ĐỘ MUA HÀNG'!$A$5:$AT644, 0, XMATCH("CL NGÀY NCC DỰ KIẾN - NGÀY NHẬN HÀNG", '6. TIẾN ĐỘ MUA HÀNG'!$A$4:$AT$4, 0)) &lt; 0)
)</f>
        <v>0</v>
      </c>
      <c r="W64" s="755">
        <f t="shared" si="32"/>
        <v>0</v>
      </c>
      <c r="X64" s="756">
        <f t="array" ref="X64">SUMPRODUCT((TRIM(INDEX('6. TIẾN ĐỘ MUA HÀNG'!$A$5:$AT644, 0, XMATCH("NCC VTBB/NL trong nước", '6. TIẾN ĐỘ MUA HÀNG'!$A$4:$AT$4, 0))) = TRIM($B64)) * (TRIM(INDEX('6. TIẾN ĐỘ MUA HÀNG'!$A$5:$AT644, 0, XMATCH("Tháng", '6. TIẾN ĐỘ MUA HÀNG'!$A$4:$AT$4, 0))) = TRIM(X$6)) * (INDEX('6. TIẾN ĐỘ MUA HÀNG'!$A$5:$AT644, 0, XMATCH("Mã đơn Misa", '6. TIẾN ĐỘ MUA HÀNG'!$A$4:$AT$4, 0)) &lt;&gt; ""))</f>
        <v>0</v>
      </c>
      <c r="Y64" s="756">
        <f t="array" ref="Y64">SUMPRODUCT(
  (INDEX('6. TIẾN ĐỘ MUA HÀNG'!$A$5:$AT644, 0, XMATCH("NCC VTBB/NL trong nước", '6. TIẾN ĐỘ MUA HÀNG'!$A$4:$AT$4, 0)) = $B64) * (TRIM(INDEX('6. TIẾN ĐỘ MUA HÀNG'!$A$5:$AT644, 0, XMATCH("Tháng", '6. TIẾN ĐỘ MUA HÀNG'!$A$4:$AT$4, 0))) = TRIM(X$6)) * (INDEX('6. TIẾN ĐỘ MUA HÀNG'!$A$5:$AT644, 0, XMATCH("CL NGÀY NCC DỰ KIẾN - NGÀY NHẬN HÀNG", '6. TIẾN ĐỘ MUA HÀNG'!$A$4:$AT$4, 0)) &lt; 0)
)</f>
        <v>0</v>
      </c>
      <c r="Z64" s="757">
        <f t="shared" si="21"/>
        <v>0</v>
      </c>
      <c r="AA64" s="754">
        <f t="array" ref="AA64">SUMPRODUCT((TRIM(INDEX('6. TIẾN ĐỘ MUA HÀNG'!$A$5:$AT644, 0, XMATCH("NCC VTBB/NL trong nước", '6. TIẾN ĐỘ MUA HÀNG'!$A$4:$AT$4, 0))) = TRIM($B64)) * (TRIM(INDEX('6. TIẾN ĐỘ MUA HÀNG'!$A$5:$AT644, 0, XMATCH("Tháng", '6. TIẾN ĐỘ MUA HÀNG'!$A$4:$AT$4, 0))) = TRIM(AA$6)) * (INDEX('6. TIẾN ĐỘ MUA HÀNG'!$A$5:$AT644, 0, XMATCH("Mã đơn Misa", '6. TIẾN ĐỘ MUA HÀNG'!$A$4:$AT$4, 0)) &lt;&gt; ""))</f>
        <v>0</v>
      </c>
      <c r="AB64" s="754">
        <f t="array" ref="AB64">SUMPRODUCT(
  (INDEX('6. TIẾN ĐỘ MUA HÀNG'!$A$5:$AT644, 0, XMATCH("NCC VTBB/NL trong nước", '6. TIẾN ĐỘ MUA HÀNG'!$A$4:$AT$4, 0)) = $B64) * (TRIM(INDEX('6. TIẾN ĐỘ MUA HÀNG'!$A$5:$AT644, 0, XMATCH("Tháng", '6. TIẾN ĐỘ MUA HÀNG'!$A$4:$AT$4, 0))) = TRIM(AA$6)) * (INDEX('6. TIẾN ĐỘ MUA HÀNG'!$A$5:$AT644, 0, XMATCH("CL NGÀY NCC DỰ KIẾN - NGÀY NHẬN HÀNG", '6. TIẾN ĐỘ MUA HÀNG'!$A$4:$AT$4, 0)) &lt; 0)
)</f>
        <v>0</v>
      </c>
      <c r="AC64" s="755">
        <f t="shared" si="33"/>
        <v>0</v>
      </c>
      <c r="AD64" s="756">
        <f t="array" ref="AD64">SUMPRODUCT((TRIM(INDEX('6. TIẾN ĐỘ MUA HÀNG'!$A$5:$AT644, 0, XMATCH("NCC VTBB/NL trong nước", '6. TIẾN ĐỘ MUA HÀNG'!$A$4:$AT$4, 0))) = TRIM($B64)) * (TRIM(INDEX('6. TIẾN ĐỘ MUA HÀNG'!$A$5:$AT644, 0, XMATCH("Tháng", '6. TIẾN ĐỘ MUA HÀNG'!$A$4:$AT$4, 0))) = TRIM(AD$6)) * (INDEX('6. TIẾN ĐỘ MUA HÀNG'!$A$5:$AT644, 0, XMATCH("Mã đơn Misa", '6. TIẾN ĐỘ MUA HÀNG'!$A$4:$AT$4, 0)) &lt;&gt; ""))</f>
        <v>0</v>
      </c>
      <c r="AE64" s="756">
        <f t="array" ref="AE64">SUMPRODUCT(
  (INDEX('6. TIẾN ĐỘ MUA HÀNG'!$A$5:$AT644, 0, XMATCH("NCC VTBB/NL trong nước", '6. TIẾN ĐỘ MUA HÀNG'!$A$4:$AT$4, 0)) = $B64) * (TRIM(INDEX('6. TIẾN ĐỘ MUA HÀNG'!$A$5:$AT644, 0, XMATCH("Tháng", '6. TIẾN ĐỘ MUA HÀNG'!$A$4:$AT$4, 0))) = TRIM(AD$6)) * (INDEX('6. TIẾN ĐỘ MUA HÀNG'!$A$5:$AT644, 0, XMATCH("CL NGÀY NCC DỰ KIẾN - NGÀY NHẬN HÀNG", '6. TIẾN ĐỘ MUA HÀNG'!$A$4:$AT$4, 0)) &lt; 0)
)</f>
        <v>0</v>
      </c>
      <c r="AF64" s="757">
        <f t="shared" si="23"/>
        <v>0</v>
      </c>
      <c r="AG64" s="754">
        <f t="array" ref="AG64">SUMPRODUCT((TRIM(INDEX('6. TIẾN ĐỘ MUA HÀNG'!$A$5:$AT644, 0, XMATCH("NCC VTBB/NL trong nước", '6. TIẾN ĐỘ MUA HÀNG'!$A$4:$AT$4, 0))) = TRIM($B64)) * (TRIM(INDEX('6. TIẾN ĐỘ MUA HÀNG'!$A$5:$AT644, 0, XMATCH("Tháng", '6. TIẾN ĐỘ MUA HÀNG'!$A$4:$AT$4, 0))) = TRIM(AG$6)) * (INDEX('6. TIẾN ĐỘ MUA HÀNG'!$A$5:$AT644, 0, XMATCH("Mã đơn Misa", '6. TIẾN ĐỘ MUA HÀNG'!$A$4:$AT$4, 0)) &lt;&gt; ""))</f>
        <v>0</v>
      </c>
      <c r="AH64" s="754">
        <f t="array" ref="AH64">SUMPRODUCT(
  (INDEX('6. TIẾN ĐỘ MUA HÀNG'!$A$5:$AT644, 0, XMATCH("NCC VTBB/NL trong nước", '6. TIẾN ĐỘ MUA HÀNG'!$A$4:$AT$4, 0)) = $B64) * (TRIM(INDEX('6. TIẾN ĐỘ MUA HÀNG'!$A$5:$AT644, 0, XMATCH("Tháng", '6. TIẾN ĐỘ MUA HÀNG'!$A$4:$AT$4, 0))) = TRIM(AG$6)) * (INDEX('6. TIẾN ĐỘ MUA HÀNG'!$A$5:$AT644, 0, XMATCH("CL NGÀY NCC DỰ KIẾN - NGÀY NHẬN HÀNG", '6. TIẾN ĐỘ MUA HÀNG'!$A$4:$AT$4, 0)) &lt; 0)
)</f>
        <v>0</v>
      </c>
      <c r="AI64" s="755">
        <f t="shared" si="34"/>
        <v>0</v>
      </c>
      <c r="AJ64" s="756">
        <f t="array" ref="AJ64">SUMPRODUCT((TRIM(INDEX('6. TIẾN ĐỘ MUA HÀNG'!$A$5:$AT644, 0, XMATCH("NCC VTBB/NL trong nước", '6. TIẾN ĐỘ MUA HÀNG'!$A$4:$AT$4, 0))) = TRIM($B64)) * (TRIM(INDEX('6. TIẾN ĐỘ MUA HÀNG'!$A$5:$AT644, 0, XMATCH("Tháng", '6. TIẾN ĐỘ MUA HÀNG'!$A$4:$AT$4, 0))) = TRIM(AJ$6)) * (INDEX('6. TIẾN ĐỘ MUA HÀNG'!$A$5:$AT644, 0, XMATCH("Mã đơn Misa", '6. TIẾN ĐỘ MUA HÀNG'!$A$4:$AT$4, 0)) &lt;&gt; ""))</f>
        <v>0</v>
      </c>
      <c r="AK64" s="756">
        <f t="array" ref="AK64">SUMPRODUCT(
  (INDEX('6. TIẾN ĐỘ MUA HÀNG'!$A$5:$AT644, 0, XMATCH("NCC VTBB/NL trong nước", '6. TIẾN ĐỘ MUA HÀNG'!$A$4:$AT$4, 0)) = $B64) * (TRIM(INDEX('6. TIẾN ĐỘ MUA HÀNG'!$A$5:$AT644, 0, XMATCH("Tháng", '6. TIẾN ĐỘ MUA HÀNG'!$A$4:$AT$4, 0))) = TRIM(AJ$6)) * (INDEX('6. TIẾN ĐỘ MUA HÀNG'!$A$5:$AT644, 0, XMATCH("CL NGÀY NCC DỰ KIẾN - NGÀY NHẬN HÀNG", '6. TIẾN ĐỘ MUA HÀNG'!$A$4:$AT$4, 0)) &lt; 0)
)</f>
        <v>0</v>
      </c>
      <c r="AL64" s="757">
        <f t="shared" si="25"/>
        <v>0</v>
      </c>
      <c r="AM64" s="726">
        <f t="shared" si="27"/>
        <v>0</v>
      </c>
      <c r="AN64" s="726">
        <f t="shared" si="28"/>
        <v>0</v>
      </c>
      <c r="AO64" s="727">
        <f t="shared" si="26"/>
        <v>0</v>
      </c>
    </row>
    <row r="65">
      <c r="A65" s="612">
        <v>57.0</v>
      </c>
      <c r="B65" s="624" t="str">
        <f>IFERROR(__xludf.DUMMYFUNCTION("""COMPUTED_VALUE"""),"Cbv")</f>
        <v>Cbv</v>
      </c>
      <c r="C65" s="754">
        <f t="array" ref="C65">SUMPRODUCT((TRIM(INDEX('6. TIẾN ĐỘ MUA HÀNG'!$A$5:$AT644, 0, XMATCH("NCC VTBB/NL trong nước", '6. TIẾN ĐỘ MUA HÀNG'!$A$4:$AT$4, 0))) = TRIM($B65)) * (TRIM(INDEX('6. TIẾN ĐỘ MUA HÀNG'!$A$5:$AT644, 0, XMATCH("Tháng", '6. TIẾN ĐỘ MUA HÀNG'!$A$4:$AT$4, 0))) = TRIM(C$6)) * (INDEX('6. TIẾN ĐỘ MUA HÀNG'!$A$5:$AT644, 0, XMATCH("Mã đơn Misa", '6. TIẾN ĐỘ MUA HÀNG'!$A$4:$AT$4, 0)) &lt;&gt; ""))</f>
        <v>0</v>
      </c>
      <c r="D65" s="754">
        <f t="array" ref="D65">SUMPRODUCT(
  (INDEX('6. TIẾN ĐỘ MUA HÀNG'!$A$5:$AT644, 0, XMATCH("NCC VTBB/NL trong nước", '6. TIẾN ĐỘ MUA HÀNG'!$A$4:$AT$4, 0)) = $B65) * (TRIM(INDEX('6. TIẾN ĐỘ MUA HÀNG'!$A$5:$AT644, 0, XMATCH("Tháng", '6. TIẾN ĐỘ MUA HÀNG'!$A$4:$AT$4, 0))) = TRIM(C$6)) * (INDEX('6. TIẾN ĐỘ MUA HÀNG'!$A$5:$AT644, 0, XMATCH("CL NGÀY NCC DỰ KIẾN - NGÀY NHẬN HÀNG", '6. TIẾN ĐỘ MUA HÀNG'!$A$4:$AT$4, 0)) &lt; 0)
)</f>
        <v>0</v>
      </c>
      <c r="E65" s="755">
        <f t="shared" si="29"/>
        <v>0</v>
      </c>
      <c r="F65" s="756">
        <f t="array" ref="F65">SUMPRODUCT((TRIM(INDEX('6. TIẾN ĐỘ MUA HÀNG'!$A$5:$AT644, 0, XMATCH("NCC VTBB/NL trong nước", '6. TIẾN ĐỘ MUA HÀNG'!$A$4:$AT$4, 0))) = TRIM($B65)) * (TRIM(INDEX('6. TIẾN ĐỘ MUA HÀNG'!$A$5:$AT644, 0, XMATCH("Tháng", '6. TIẾN ĐỘ MUA HÀNG'!$A$4:$AT$4, 0))) = TRIM(F$6)) * (INDEX('6. TIẾN ĐỘ MUA HÀNG'!$A$5:$AT644, 0, XMATCH("Mã đơn Misa", '6. TIẾN ĐỘ MUA HÀNG'!$A$4:$AT$4, 0)) &lt;&gt; ""))</f>
        <v>0</v>
      </c>
      <c r="G65" s="756">
        <f t="array" ref="G65">SUMPRODUCT(
  (INDEX('6. TIẾN ĐỘ MUA HÀNG'!$A$5:$AT644, 0, XMATCH("NCC VTBB/NL trong nước", '6. TIẾN ĐỘ MUA HÀNG'!$A$4:$AT$4, 0)) = $B65) * (TRIM(INDEX('6. TIẾN ĐỘ MUA HÀNG'!$A$5:$AT644, 0, XMATCH("Tháng", '6. TIẾN ĐỘ MUA HÀNG'!$A$4:$AT$4, 0))) = TRIM(F$6)) * (INDEX('6. TIẾN ĐỘ MUA HÀNG'!$A$5:$AT644, 0, XMATCH("CL NGÀY NCC DỰ KIẾN - NGÀY NHẬN HÀNG", '6. TIẾN ĐỘ MUA HÀNG'!$A$4:$AT$4, 0)) &lt; 0)
)</f>
        <v>0</v>
      </c>
      <c r="H65" s="757">
        <f t="shared" si="15"/>
        <v>0</v>
      </c>
      <c r="I65" s="754">
        <f t="array" ref="I65">SUMPRODUCT((TRIM(INDEX('6. TIẾN ĐỘ MUA HÀNG'!$A$5:$AT644, 0, XMATCH("NCC VTBB/NL trong nước", '6. TIẾN ĐỘ MUA HÀNG'!$A$4:$AT$4, 0))) = TRIM($B65)) * (TRIM(INDEX('6. TIẾN ĐỘ MUA HÀNG'!$A$5:$AT644, 0, XMATCH("Tháng", '6. TIẾN ĐỘ MUA HÀNG'!$A$4:$AT$4, 0))) = TRIM(I$6)) * (INDEX('6. TIẾN ĐỘ MUA HÀNG'!$A$5:$AT644, 0, XMATCH("Mã đơn Misa", '6. TIẾN ĐỘ MUA HÀNG'!$A$4:$AT$4, 0)) &lt;&gt; ""))</f>
        <v>0</v>
      </c>
      <c r="J65" s="754">
        <f t="array" ref="J65">SUMPRODUCT(
  (INDEX('6. TIẾN ĐỘ MUA HÀNG'!$A$5:$AT644, 0, XMATCH("NCC VTBB/NL trong nước", '6. TIẾN ĐỘ MUA HÀNG'!$A$4:$AT$4, 0)) = $B65) * (TRIM(INDEX('6. TIẾN ĐỘ MUA HÀNG'!$A$5:$AT644, 0, XMATCH("Tháng", '6. TIẾN ĐỘ MUA HÀNG'!$A$4:$AT$4, 0))) = TRIM(I$6)) * (INDEX('6. TIẾN ĐỘ MUA HÀNG'!$A$5:$AT644, 0, XMATCH("CL NGÀY NCC DỰ KIẾN - NGÀY NHẬN HÀNG", '6. TIẾN ĐỘ MUA HÀNG'!$A$4:$AT$4, 0)) &lt; 0)
)</f>
        <v>0</v>
      </c>
      <c r="K65" s="755">
        <f t="shared" si="30"/>
        <v>0</v>
      </c>
      <c r="L65" s="756">
        <f t="array" ref="L65">SUMPRODUCT((TRIM(INDEX('6. TIẾN ĐỘ MUA HÀNG'!$A$5:$AT644, 0, XMATCH("NCC VTBB/NL trong nước", '6. TIẾN ĐỘ MUA HÀNG'!$A$4:$AT$4, 0))) = TRIM($B65)) * (TRIM(INDEX('6. TIẾN ĐỘ MUA HÀNG'!$A$5:$AT644, 0, XMATCH("Tháng", '6. TIẾN ĐỘ MUA HÀNG'!$A$4:$AT$4, 0))) = TRIM(L$6)) * (INDEX('6. TIẾN ĐỘ MUA HÀNG'!$A$5:$AT644, 0, XMATCH("Mã đơn Misa", '6. TIẾN ĐỘ MUA HÀNG'!$A$4:$AT$4, 0)) &lt;&gt; ""))</f>
        <v>0</v>
      </c>
      <c r="M65" s="756">
        <f t="array" ref="M65">SUMPRODUCT(
  (INDEX('6. TIẾN ĐỘ MUA HÀNG'!$A$5:$AT644, 0, XMATCH("NCC VTBB/NL trong nước", '6. TIẾN ĐỘ MUA HÀNG'!$A$4:$AT$4, 0)) = $B65) * (TRIM(INDEX('6. TIẾN ĐỘ MUA HÀNG'!$A$5:$AT644, 0, XMATCH("Tháng", '6. TIẾN ĐỘ MUA HÀNG'!$A$4:$AT$4, 0))) = TRIM(L$6)) * (INDEX('6. TIẾN ĐỘ MUA HÀNG'!$A$5:$AT644, 0, XMATCH("CL NGÀY NCC DỰ KIẾN - NGÀY NHẬN HÀNG", '6. TIẾN ĐỘ MUA HÀNG'!$A$4:$AT$4, 0)) &lt; 0)
)</f>
        <v>0</v>
      </c>
      <c r="N65" s="757">
        <f t="shared" si="17"/>
        <v>0</v>
      </c>
      <c r="O65" s="754">
        <f t="array" ref="O65">SUMPRODUCT((TRIM(INDEX('6. TIẾN ĐỘ MUA HÀNG'!$A$5:$AT644, 0, XMATCH("NCC VTBB/NL trong nước", '6. TIẾN ĐỘ MUA HÀNG'!$A$4:$AT$4, 0))) = TRIM($B65)) * (TRIM(INDEX('6. TIẾN ĐỘ MUA HÀNG'!$A$5:$AT644, 0, XMATCH("Tháng", '6. TIẾN ĐỘ MUA HÀNG'!$A$4:$AT$4, 0))) = TRIM(O$6)) * (INDEX('6. TIẾN ĐỘ MUA HÀNG'!$A$5:$AT644, 0, XMATCH("Mã đơn Misa", '6. TIẾN ĐỘ MUA HÀNG'!$A$4:$AT$4, 0)) &lt;&gt; ""))</f>
        <v>0</v>
      </c>
      <c r="P65" s="754">
        <f t="array" ref="P65">SUMPRODUCT(
  (INDEX('6. TIẾN ĐỘ MUA HÀNG'!$A$5:$AT644, 0, XMATCH("NCC VTBB/NL trong nước", '6. TIẾN ĐỘ MUA HÀNG'!$A$4:$AT$4, 0)) = $B65) * (TRIM(INDEX('6. TIẾN ĐỘ MUA HÀNG'!$A$5:$AT644, 0, XMATCH("Tháng", '6. TIẾN ĐỘ MUA HÀNG'!$A$4:$AT$4, 0))) = TRIM(O$6)) * (INDEX('6. TIẾN ĐỘ MUA HÀNG'!$A$5:$AT644, 0, XMATCH("CL NGÀY NCC DỰ KIẾN - NGÀY NHẬN HÀNG", '6. TIẾN ĐỘ MUA HÀNG'!$A$4:$AT$4, 0)) &lt; 0)
)</f>
        <v>0</v>
      </c>
      <c r="Q65" s="755">
        <f t="shared" si="31"/>
        <v>0</v>
      </c>
      <c r="R65" s="756">
        <f t="array" ref="R65">SUMPRODUCT((TRIM(INDEX('6. TIẾN ĐỘ MUA HÀNG'!$A$5:$AT644, 0, XMATCH("NCC VTBB/NL trong nước", '6. TIẾN ĐỘ MUA HÀNG'!$A$4:$AT$4, 0))) = TRIM($B65)) * (TRIM(INDEX('6. TIẾN ĐỘ MUA HÀNG'!$A$5:$AT644, 0, XMATCH("Tháng", '6. TIẾN ĐỘ MUA HÀNG'!$A$4:$AT$4, 0))) = TRIM(R$6)) * (INDEX('6. TIẾN ĐỘ MUA HÀNG'!$A$5:$AT644, 0, XMATCH("Mã đơn Misa", '6. TIẾN ĐỘ MUA HÀNG'!$A$4:$AT$4, 0)) &lt;&gt; ""))</f>
        <v>0</v>
      </c>
      <c r="S65" s="756">
        <f t="array" ref="S65">SUMPRODUCT(
  (INDEX('6. TIẾN ĐỘ MUA HÀNG'!$A$5:$AT644, 0, XMATCH("NCC VTBB/NL trong nước", '6. TIẾN ĐỘ MUA HÀNG'!$A$4:$AT$4, 0)) = $B65) * (TRIM(INDEX('6. TIẾN ĐỘ MUA HÀNG'!$A$5:$AT644, 0, XMATCH("Tháng", '6. TIẾN ĐỘ MUA HÀNG'!$A$4:$AT$4, 0))) = TRIM(R$6)) * (INDEX('6. TIẾN ĐỘ MUA HÀNG'!$A$5:$AT644, 0, XMATCH("CL NGÀY NCC DỰ KIẾN - NGÀY NHẬN HÀNG", '6. TIẾN ĐỘ MUA HÀNG'!$A$4:$AT$4, 0)) &lt; 0)
)</f>
        <v>0</v>
      </c>
      <c r="T65" s="757">
        <f t="shared" si="19"/>
        <v>0</v>
      </c>
      <c r="U65" s="754">
        <f t="array" ref="U65">SUMPRODUCT((TRIM(INDEX('6. TIẾN ĐỘ MUA HÀNG'!$A$5:$AT644, 0, XMATCH("NCC VTBB/NL trong nước", '6. TIẾN ĐỘ MUA HÀNG'!$A$4:$AT$4, 0))) = TRIM($B65)) * (TRIM(INDEX('6. TIẾN ĐỘ MUA HÀNG'!$A$5:$AT644, 0, XMATCH("Tháng", '6. TIẾN ĐỘ MUA HÀNG'!$A$4:$AT$4, 0))) = TRIM(U$6)) * (INDEX('6. TIẾN ĐỘ MUA HÀNG'!$A$5:$AT644, 0, XMATCH("Mã đơn Misa", '6. TIẾN ĐỘ MUA HÀNG'!$A$4:$AT$4, 0)) &lt;&gt; ""))</f>
        <v>0</v>
      </c>
      <c r="V65" s="754">
        <f t="array" ref="V65">SUMPRODUCT(
  (INDEX('6. TIẾN ĐỘ MUA HÀNG'!$A$5:$AT644, 0, XMATCH("NCC VTBB/NL trong nước", '6. TIẾN ĐỘ MUA HÀNG'!$A$4:$AT$4, 0)) = $B65) * (TRIM(INDEX('6. TIẾN ĐỘ MUA HÀNG'!$A$5:$AT644, 0, XMATCH("Tháng", '6. TIẾN ĐỘ MUA HÀNG'!$A$4:$AT$4, 0))) = TRIM(U$6)) * (INDEX('6. TIẾN ĐỘ MUA HÀNG'!$A$5:$AT644, 0, XMATCH("CL NGÀY NCC DỰ KIẾN - NGÀY NHẬN HÀNG", '6. TIẾN ĐỘ MUA HÀNG'!$A$4:$AT$4, 0)) &lt; 0)
)</f>
        <v>0</v>
      </c>
      <c r="W65" s="755">
        <f t="shared" si="32"/>
        <v>0</v>
      </c>
      <c r="X65" s="756">
        <f t="array" ref="X65">SUMPRODUCT((TRIM(INDEX('6. TIẾN ĐỘ MUA HÀNG'!$A$5:$AT644, 0, XMATCH("NCC VTBB/NL trong nước", '6. TIẾN ĐỘ MUA HÀNG'!$A$4:$AT$4, 0))) = TRIM($B65)) * (TRIM(INDEX('6. TIẾN ĐỘ MUA HÀNG'!$A$5:$AT644, 0, XMATCH("Tháng", '6. TIẾN ĐỘ MUA HÀNG'!$A$4:$AT$4, 0))) = TRIM(X$6)) * (INDEX('6. TIẾN ĐỘ MUA HÀNG'!$A$5:$AT644, 0, XMATCH("Mã đơn Misa", '6. TIẾN ĐỘ MUA HÀNG'!$A$4:$AT$4, 0)) &lt;&gt; ""))</f>
        <v>0</v>
      </c>
      <c r="Y65" s="756">
        <f t="array" ref="Y65">SUMPRODUCT(
  (INDEX('6. TIẾN ĐỘ MUA HÀNG'!$A$5:$AT644, 0, XMATCH("NCC VTBB/NL trong nước", '6. TIẾN ĐỘ MUA HÀNG'!$A$4:$AT$4, 0)) = $B65) * (TRIM(INDEX('6. TIẾN ĐỘ MUA HÀNG'!$A$5:$AT644, 0, XMATCH("Tháng", '6. TIẾN ĐỘ MUA HÀNG'!$A$4:$AT$4, 0))) = TRIM(X$6)) * (INDEX('6. TIẾN ĐỘ MUA HÀNG'!$A$5:$AT644, 0, XMATCH("CL NGÀY NCC DỰ KIẾN - NGÀY NHẬN HÀNG", '6. TIẾN ĐỘ MUA HÀNG'!$A$4:$AT$4, 0)) &lt; 0)
)</f>
        <v>0</v>
      </c>
      <c r="Z65" s="757">
        <f t="shared" si="21"/>
        <v>0</v>
      </c>
      <c r="AA65" s="754">
        <f t="array" ref="AA65">SUMPRODUCT((TRIM(INDEX('6. TIẾN ĐỘ MUA HÀNG'!$A$5:$AT644, 0, XMATCH("NCC VTBB/NL trong nước", '6. TIẾN ĐỘ MUA HÀNG'!$A$4:$AT$4, 0))) = TRIM($B65)) * (TRIM(INDEX('6. TIẾN ĐỘ MUA HÀNG'!$A$5:$AT644, 0, XMATCH("Tháng", '6. TIẾN ĐỘ MUA HÀNG'!$A$4:$AT$4, 0))) = TRIM(AA$6)) * (INDEX('6. TIẾN ĐỘ MUA HÀNG'!$A$5:$AT644, 0, XMATCH("Mã đơn Misa", '6. TIẾN ĐỘ MUA HÀNG'!$A$4:$AT$4, 0)) &lt;&gt; ""))</f>
        <v>0</v>
      </c>
      <c r="AB65" s="754">
        <f t="array" ref="AB65">SUMPRODUCT(
  (INDEX('6. TIẾN ĐỘ MUA HÀNG'!$A$5:$AT644, 0, XMATCH("NCC VTBB/NL trong nước", '6. TIẾN ĐỘ MUA HÀNG'!$A$4:$AT$4, 0)) = $B65) * (TRIM(INDEX('6. TIẾN ĐỘ MUA HÀNG'!$A$5:$AT644, 0, XMATCH("Tháng", '6. TIẾN ĐỘ MUA HÀNG'!$A$4:$AT$4, 0))) = TRIM(AA$6)) * (INDEX('6. TIẾN ĐỘ MUA HÀNG'!$A$5:$AT644, 0, XMATCH("CL NGÀY NCC DỰ KIẾN - NGÀY NHẬN HÀNG", '6. TIẾN ĐỘ MUA HÀNG'!$A$4:$AT$4, 0)) &lt; 0)
)</f>
        <v>0</v>
      </c>
      <c r="AC65" s="755">
        <f t="shared" si="33"/>
        <v>0</v>
      </c>
      <c r="AD65" s="756">
        <f t="array" ref="AD65">SUMPRODUCT((TRIM(INDEX('6. TIẾN ĐỘ MUA HÀNG'!$A$5:$AT644, 0, XMATCH("NCC VTBB/NL trong nước", '6. TIẾN ĐỘ MUA HÀNG'!$A$4:$AT$4, 0))) = TRIM($B65)) * (TRIM(INDEX('6. TIẾN ĐỘ MUA HÀNG'!$A$5:$AT644, 0, XMATCH("Tháng", '6. TIẾN ĐỘ MUA HÀNG'!$A$4:$AT$4, 0))) = TRIM(AD$6)) * (INDEX('6. TIẾN ĐỘ MUA HÀNG'!$A$5:$AT644, 0, XMATCH("Mã đơn Misa", '6. TIẾN ĐỘ MUA HÀNG'!$A$4:$AT$4, 0)) &lt;&gt; ""))</f>
        <v>0</v>
      </c>
      <c r="AE65" s="756">
        <f t="array" ref="AE65">SUMPRODUCT(
  (INDEX('6. TIẾN ĐỘ MUA HÀNG'!$A$5:$AT644, 0, XMATCH("NCC VTBB/NL trong nước", '6. TIẾN ĐỘ MUA HÀNG'!$A$4:$AT$4, 0)) = $B65) * (TRIM(INDEX('6. TIẾN ĐỘ MUA HÀNG'!$A$5:$AT644, 0, XMATCH("Tháng", '6. TIẾN ĐỘ MUA HÀNG'!$A$4:$AT$4, 0))) = TRIM(AD$6)) * (INDEX('6. TIẾN ĐỘ MUA HÀNG'!$A$5:$AT644, 0, XMATCH("CL NGÀY NCC DỰ KIẾN - NGÀY NHẬN HÀNG", '6. TIẾN ĐỘ MUA HÀNG'!$A$4:$AT$4, 0)) &lt; 0)
)</f>
        <v>0</v>
      </c>
      <c r="AF65" s="757">
        <f t="shared" si="23"/>
        <v>0</v>
      </c>
      <c r="AG65" s="754">
        <f t="array" ref="AG65">SUMPRODUCT((TRIM(INDEX('6. TIẾN ĐỘ MUA HÀNG'!$A$5:$AT644, 0, XMATCH("NCC VTBB/NL trong nước", '6. TIẾN ĐỘ MUA HÀNG'!$A$4:$AT$4, 0))) = TRIM($B65)) * (TRIM(INDEX('6. TIẾN ĐỘ MUA HÀNG'!$A$5:$AT644, 0, XMATCH("Tháng", '6. TIẾN ĐỘ MUA HÀNG'!$A$4:$AT$4, 0))) = TRIM(AG$6)) * (INDEX('6. TIẾN ĐỘ MUA HÀNG'!$A$5:$AT644, 0, XMATCH("Mã đơn Misa", '6. TIẾN ĐỘ MUA HÀNG'!$A$4:$AT$4, 0)) &lt;&gt; ""))</f>
        <v>0</v>
      </c>
      <c r="AH65" s="754">
        <f t="array" ref="AH65">SUMPRODUCT(
  (INDEX('6. TIẾN ĐỘ MUA HÀNG'!$A$5:$AT644, 0, XMATCH("NCC VTBB/NL trong nước", '6. TIẾN ĐỘ MUA HÀNG'!$A$4:$AT$4, 0)) = $B65) * (TRIM(INDEX('6. TIẾN ĐỘ MUA HÀNG'!$A$5:$AT644, 0, XMATCH("Tháng", '6. TIẾN ĐỘ MUA HÀNG'!$A$4:$AT$4, 0))) = TRIM(AG$6)) * (INDEX('6. TIẾN ĐỘ MUA HÀNG'!$A$5:$AT644, 0, XMATCH("CL NGÀY NCC DỰ KIẾN - NGÀY NHẬN HÀNG", '6. TIẾN ĐỘ MUA HÀNG'!$A$4:$AT$4, 0)) &lt; 0)
)</f>
        <v>0</v>
      </c>
      <c r="AI65" s="755">
        <f t="shared" si="34"/>
        <v>0</v>
      </c>
      <c r="AJ65" s="756">
        <f t="array" ref="AJ65">SUMPRODUCT((TRIM(INDEX('6. TIẾN ĐỘ MUA HÀNG'!$A$5:$AT644, 0, XMATCH("NCC VTBB/NL trong nước", '6. TIẾN ĐỘ MUA HÀNG'!$A$4:$AT$4, 0))) = TRIM($B65)) * (TRIM(INDEX('6. TIẾN ĐỘ MUA HÀNG'!$A$5:$AT644, 0, XMATCH("Tháng", '6. TIẾN ĐỘ MUA HÀNG'!$A$4:$AT$4, 0))) = TRIM(AJ$6)) * (INDEX('6. TIẾN ĐỘ MUA HÀNG'!$A$5:$AT644, 0, XMATCH("Mã đơn Misa", '6. TIẾN ĐỘ MUA HÀNG'!$A$4:$AT$4, 0)) &lt;&gt; ""))</f>
        <v>0</v>
      </c>
      <c r="AK65" s="756">
        <f t="array" ref="AK65">SUMPRODUCT(
  (INDEX('6. TIẾN ĐỘ MUA HÀNG'!$A$5:$AT644, 0, XMATCH("NCC VTBB/NL trong nước", '6. TIẾN ĐỘ MUA HÀNG'!$A$4:$AT$4, 0)) = $B65) * (TRIM(INDEX('6. TIẾN ĐỘ MUA HÀNG'!$A$5:$AT644, 0, XMATCH("Tháng", '6. TIẾN ĐỘ MUA HÀNG'!$A$4:$AT$4, 0))) = TRIM(AJ$6)) * (INDEX('6. TIẾN ĐỘ MUA HÀNG'!$A$5:$AT644, 0, XMATCH("CL NGÀY NCC DỰ KIẾN - NGÀY NHẬN HÀNG", '6. TIẾN ĐỘ MUA HÀNG'!$A$4:$AT$4, 0)) &lt; 0)
)</f>
        <v>0</v>
      </c>
      <c r="AL65" s="757">
        <f t="shared" si="25"/>
        <v>0</v>
      </c>
      <c r="AM65" s="726">
        <f t="shared" si="27"/>
        <v>0</v>
      </c>
      <c r="AN65" s="726">
        <f t="shared" si="28"/>
        <v>0</v>
      </c>
      <c r="AO65" s="727">
        <f t="shared" si="26"/>
        <v>0</v>
      </c>
    </row>
    <row r="66">
      <c r="A66" s="612">
        <v>58.0</v>
      </c>
      <c r="B66" s="624" t="str">
        <f>IFERROR(__xludf.DUMMYFUNCTION("""COMPUTED_VALUE"""),"Ldb")</f>
        <v>Ldb</v>
      </c>
      <c r="C66" s="754">
        <f t="array" ref="C66">SUMPRODUCT((TRIM(INDEX('6. TIẾN ĐỘ MUA HÀNG'!$A$5:$AT644, 0, XMATCH("NCC VTBB/NL trong nước", '6. TIẾN ĐỘ MUA HÀNG'!$A$4:$AT$4, 0))) = TRIM($B66)) * (TRIM(INDEX('6. TIẾN ĐỘ MUA HÀNG'!$A$5:$AT644, 0, XMATCH("Tháng", '6. TIẾN ĐỘ MUA HÀNG'!$A$4:$AT$4, 0))) = TRIM(C$6)) * (INDEX('6. TIẾN ĐỘ MUA HÀNG'!$A$5:$AT644, 0, XMATCH("Mã đơn Misa", '6. TIẾN ĐỘ MUA HÀNG'!$A$4:$AT$4, 0)) &lt;&gt; ""))</f>
        <v>0</v>
      </c>
      <c r="D66" s="754">
        <f t="array" ref="D66">SUMPRODUCT(
  (INDEX('6. TIẾN ĐỘ MUA HÀNG'!$A$5:$AT644, 0, XMATCH("NCC VTBB/NL trong nước", '6. TIẾN ĐỘ MUA HÀNG'!$A$4:$AT$4, 0)) = $B66) * (TRIM(INDEX('6. TIẾN ĐỘ MUA HÀNG'!$A$5:$AT644, 0, XMATCH("Tháng", '6. TIẾN ĐỘ MUA HÀNG'!$A$4:$AT$4, 0))) = TRIM(C$6)) * (INDEX('6. TIẾN ĐỘ MUA HÀNG'!$A$5:$AT644, 0, XMATCH("CL NGÀY NCC DỰ KIẾN - NGÀY NHẬN HÀNG", '6. TIẾN ĐỘ MUA HÀNG'!$A$4:$AT$4, 0)) &lt; 0)
)</f>
        <v>0</v>
      </c>
      <c r="E66" s="755">
        <f t="shared" si="29"/>
        <v>0</v>
      </c>
      <c r="F66" s="756">
        <f t="array" ref="F66">SUMPRODUCT((TRIM(INDEX('6. TIẾN ĐỘ MUA HÀNG'!$A$5:$AT644, 0, XMATCH("NCC VTBB/NL trong nước", '6. TIẾN ĐỘ MUA HÀNG'!$A$4:$AT$4, 0))) = TRIM($B66)) * (TRIM(INDEX('6. TIẾN ĐỘ MUA HÀNG'!$A$5:$AT644, 0, XMATCH("Tháng", '6. TIẾN ĐỘ MUA HÀNG'!$A$4:$AT$4, 0))) = TRIM(F$6)) * (INDEX('6. TIẾN ĐỘ MUA HÀNG'!$A$5:$AT644, 0, XMATCH("Mã đơn Misa", '6. TIẾN ĐỘ MUA HÀNG'!$A$4:$AT$4, 0)) &lt;&gt; ""))</f>
        <v>0</v>
      </c>
      <c r="G66" s="756">
        <f t="array" ref="G66">SUMPRODUCT(
  (INDEX('6. TIẾN ĐỘ MUA HÀNG'!$A$5:$AT644, 0, XMATCH("NCC VTBB/NL trong nước", '6. TIẾN ĐỘ MUA HÀNG'!$A$4:$AT$4, 0)) = $B66) * (TRIM(INDEX('6. TIẾN ĐỘ MUA HÀNG'!$A$5:$AT644, 0, XMATCH("Tháng", '6. TIẾN ĐỘ MUA HÀNG'!$A$4:$AT$4, 0))) = TRIM(F$6)) * (INDEX('6. TIẾN ĐỘ MUA HÀNG'!$A$5:$AT644, 0, XMATCH("CL NGÀY NCC DỰ KIẾN - NGÀY NHẬN HÀNG", '6. TIẾN ĐỘ MUA HÀNG'!$A$4:$AT$4, 0)) &lt; 0)
)</f>
        <v>0</v>
      </c>
      <c r="H66" s="757">
        <f t="shared" si="15"/>
        <v>0</v>
      </c>
      <c r="I66" s="754">
        <f t="array" ref="I66">SUMPRODUCT((TRIM(INDEX('6. TIẾN ĐỘ MUA HÀNG'!$A$5:$AT644, 0, XMATCH("NCC VTBB/NL trong nước", '6. TIẾN ĐỘ MUA HÀNG'!$A$4:$AT$4, 0))) = TRIM($B66)) * (TRIM(INDEX('6. TIẾN ĐỘ MUA HÀNG'!$A$5:$AT644, 0, XMATCH("Tháng", '6. TIẾN ĐỘ MUA HÀNG'!$A$4:$AT$4, 0))) = TRIM(I$6)) * (INDEX('6. TIẾN ĐỘ MUA HÀNG'!$A$5:$AT644, 0, XMATCH("Mã đơn Misa", '6. TIẾN ĐỘ MUA HÀNG'!$A$4:$AT$4, 0)) &lt;&gt; ""))</f>
        <v>0</v>
      </c>
      <c r="J66" s="754">
        <f t="array" ref="J66">SUMPRODUCT(
  (INDEX('6. TIẾN ĐỘ MUA HÀNG'!$A$5:$AT644, 0, XMATCH("NCC VTBB/NL trong nước", '6. TIẾN ĐỘ MUA HÀNG'!$A$4:$AT$4, 0)) = $B66) * (TRIM(INDEX('6. TIẾN ĐỘ MUA HÀNG'!$A$5:$AT644, 0, XMATCH("Tháng", '6. TIẾN ĐỘ MUA HÀNG'!$A$4:$AT$4, 0))) = TRIM(I$6)) * (INDEX('6. TIẾN ĐỘ MUA HÀNG'!$A$5:$AT644, 0, XMATCH("CL NGÀY NCC DỰ KIẾN - NGÀY NHẬN HÀNG", '6. TIẾN ĐỘ MUA HÀNG'!$A$4:$AT$4, 0)) &lt; 0)
)</f>
        <v>0</v>
      </c>
      <c r="K66" s="755">
        <f t="shared" si="30"/>
        <v>0</v>
      </c>
      <c r="L66" s="756">
        <f t="array" ref="L66">SUMPRODUCT((TRIM(INDEX('6. TIẾN ĐỘ MUA HÀNG'!$A$5:$AT644, 0, XMATCH("NCC VTBB/NL trong nước", '6. TIẾN ĐỘ MUA HÀNG'!$A$4:$AT$4, 0))) = TRIM($B66)) * (TRIM(INDEX('6. TIẾN ĐỘ MUA HÀNG'!$A$5:$AT644, 0, XMATCH("Tháng", '6. TIẾN ĐỘ MUA HÀNG'!$A$4:$AT$4, 0))) = TRIM(L$6)) * (INDEX('6. TIẾN ĐỘ MUA HÀNG'!$A$5:$AT644, 0, XMATCH("Mã đơn Misa", '6. TIẾN ĐỘ MUA HÀNG'!$A$4:$AT$4, 0)) &lt;&gt; ""))</f>
        <v>0</v>
      </c>
      <c r="M66" s="756">
        <f t="array" ref="M66">SUMPRODUCT(
  (INDEX('6. TIẾN ĐỘ MUA HÀNG'!$A$5:$AT644, 0, XMATCH("NCC VTBB/NL trong nước", '6. TIẾN ĐỘ MUA HÀNG'!$A$4:$AT$4, 0)) = $B66) * (TRIM(INDEX('6. TIẾN ĐỘ MUA HÀNG'!$A$5:$AT644, 0, XMATCH("Tháng", '6. TIẾN ĐỘ MUA HÀNG'!$A$4:$AT$4, 0))) = TRIM(L$6)) * (INDEX('6. TIẾN ĐỘ MUA HÀNG'!$A$5:$AT644, 0, XMATCH("CL NGÀY NCC DỰ KIẾN - NGÀY NHẬN HÀNG", '6. TIẾN ĐỘ MUA HÀNG'!$A$4:$AT$4, 0)) &lt; 0)
)</f>
        <v>0</v>
      </c>
      <c r="N66" s="757">
        <f t="shared" si="17"/>
        <v>0</v>
      </c>
      <c r="O66" s="754">
        <f t="array" ref="O66">SUMPRODUCT((TRIM(INDEX('6. TIẾN ĐỘ MUA HÀNG'!$A$5:$AT644, 0, XMATCH("NCC VTBB/NL trong nước", '6. TIẾN ĐỘ MUA HÀNG'!$A$4:$AT$4, 0))) = TRIM($B66)) * (TRIM(INDEX('6. TIẾN ĐỘ MUA HÀNG'!$A$5:$AT644, 0, XMATCH("Tháng", '6. TIẾN ĐỘ MUA HÀNG'!$A$4:$AT$4, 0))) = TRIM(O$6)) * (INDEX('6. TIẾN ĐỘ MUA HÀNG'!$A$5:$AT644, 0, XMATCH("Mã đơn Misa", '6. TIẾN ĐỘ MUA HÀNG'!$A$4:$AT$4, 0)) &lt;&gt; ""))</f>
        <v>0</v>
      </c>
      <c r="P66" s="754">
        <f t="array" ref="P66">SUMPRODUCT(
  (INDEX('6. TIẾN ĐỘ MUA HÀNG'!$A$5:$AT644, 0, XMATCH("NCC VTBB/NL trong nước", '6. TIẾN ĐỘ MUA HÀNG'!$A$4:$AT$4, 0)) = $B66) * (TRIM(INDEX('6. TIẾN ĐỘ MUA HÀNG'!$A$5:$AT644, 0, XMATCH("Tháng", '6. TIẾN ĐỘ MUA HÀNG'!$A$4:$AT$4, 0))) = TRIM(O$6)) * (INDEX('6. TIẾN ĐỘ MUA HÀNG'!$A$5:$AT644, 0, XMATCH("CL NGÀY NCC DỰ KIẾN - NGÀY NHẬN HÀNG", '6. TIẾN ĐỘ MUA HÀNG'!$A$4:$AT$4, 0)) &lt; 0)
)</f>
        <v>0</v>
      </c>
      <c r="Q66" s="755">
        <f t="shared" si="31"/>
        <v>0</v>
      </c>
      <c r="R66" s="756">
        <f t="array" ref="R66">SUMPRODUCT((TRIM(INDEX('6. TIẾN ĐỘ MUA HÀNG'!$A$5:$AT644, 0, XMATCH("NCC VTBB/NL trong nước", '6. TIẾN ĐỘ MUA HÀNG'!$A$4:$AT$4, 0))) = TRIM($B66)) * (TRIM(INDEX('6. TIẾN ĐỘ MUA HÀNG'!$A$5:$AT644, 0, XMATCH("Tháng", '6. TIẾN ĐỘ MUA HÀNG'!$A$4:$AT$4, 0))) = TRIM(R$6)) * (INDEX('6. TIẾN ĐỘ MUA HÀNG'!$A$5:$AT644, 0, XMATCH("Mã đơn Misa", '6. TIẾN ĐỘ MUA HÀNG'!$A$4:$AT$4, 0)) &lt;&gt; ""))</f>
        <v>0</v>
      </c>
      <c r="S66" s="756">
        <f t="array" ref="S66">SUMPRODUCT(
  (INDEX('6. TIẾN ĐỘ MUA HÀNG'!$A$5:$AT644, 0, XMATCH("NCC VTBB/NL trong nước", '6. TIẾN ĐỘ MUA HÀNG'!$A$4:$AT$4, 0)) = $B66) * (TRIM(INDEX('6. TIẾN ĐỘ MUA HÀNG'!$A$5:$AT644, 0, XMATCH("Tháng", '6. TIẾN ĐỘ MUA HÀNG'!$A$4:$AT$4, 0))) = TRIM(R$6)) * (INDEX('6. TIẾN ĐỘ MUA HÀNG'!$A$5:$AT644, 0, XMATCH("CL NGÀY NCC DỰ KIẾN - NGÀY NHẬN HÀNG", '6. TIẾN ĐỘ MUA HÀNG'!$A$4:$AT$4, 0)) &lt; 0)
)</f>
        <v>0</v>
      </c>
      <c r="T66" s="757">
        <f t="shared" si="19"/>
        <v>0</v>
      </c>
      <c r="U66" s="754">
        <f t="array" ref="U66">SUMPRODUCT((TRIM(INDEX('6. TIẾN ĐỘ MUA HÀNG'!$A$5:$AT644, 0, XMATCH("NCC VTBB/NL trong nước", '6. TIẾN ĐỘ MUA HÀNG'!$A$4:$AT$4, 0))) = TRIM($B66)) * (TRIM(INDEX('6. TIẾN ĐỘ MUA HÀNG'!$A$5:$AT644, 0, XMATCH("Tháng", '6. TIẾN ĐỘ MUA HÀNG'!$A$4:$AT$4, 0))) = TRIM(U$6)) * (INDEX('6. TIẾN ĐỘ MUA HÀNG'!$A$5:$AT644, 0, XMATCH("Mã đơn Misa", '6. TIẾN ĐỘ MUA HÀNG'!$A$4:$AT$4, 0)) &lt;&gt; ""))</f>
        <v>0</v>
      </c>
      <c r="V66" s="754">
        <f t="array" ref="V66">SUMPRODUCT(
  (INDEX('6. TIẾN ĐỘ MUA HÀNG'!$A$5:$AT644, 0, XMATCH("NCC VTBB/NL trong nước", '6. TIẾN ĐỘ MUA HÀNG'!$A$4:$AT$4, 0)) = $B66) * (TRIM(INDEX('6. TIẾN ĐỘ MUA HÀNG'!$A$5:$AT644, 0, XMATCH("Tháng", '6. TIẾN ĐỘ MUA HÀNG'!$A$4:$AT$4, 0))) = TRIM(U$6)) * (INDEX('6. TIẾN ĐỘ MUA HÀNG'!$A$5:$AT644, 0, XMATCH("CL NGÀY NCC DỰ KIẾN - NGÀY NHẬN HÀNG", '6. TIẾN ĐỘ MUA HÀNG'!$A$4:$AT$4, 0)) &lt; 0)
)</f>
        <v>0</v>
      </c>
      <c r="W66" s="755">
        <f t="shared" si="32"/>
        <v>0</v>
      </c>
      <c r="X66" s="756">
        <f t="array" ref="X66">SUMPRODUCT((TRIM(INDEX('6. TIẾN ĐỘ MUA HÀNG'!$A$5:$AT644, 0, XMATCH("NCC VTBB/NL trong nước", '6. TIẾN ĐỘ MUA HÀNG'!$A$4:$AT$4, 0))) = TRIM($B66)) * (TRIM(INDEX('6. TIẾN ĐỘ MUA HÀNG'!$A$5:$AT644, 0, XMATCH("Tháng", '6. TIẾN ĐỘ MUA HÀNG'!$A$4:$AT$4, 0))) = TRIM(X$6)) * (INDEX('6. TIẾN ĐỘ MUA HÀNG'!$A$5:$AT644, 0, XMATCH("Mã đơn Misa", '6. TIẾN ĐỘ MUA HÀNG'!$A$4:$AT$4, 0)) &lt;&gt; ""))</f>
        <v>0</v>
      </c>
      <c r="Y66" s="756">
        <f t="array" ref="Y66">SUMPRODUCT(
  (INDEX('6. TIẾN ĐỘ MUA HÀNG'!$A$5:$AT644, 0, XMATCH("NCC VTBB/NL trong nước", '6. TIẾN ĐỘ MUA HÀNG'!$A$4:$AT$4, 0)) = $B66) * (TRIM(INDEX('6. TIẾN ĐỘ MUA HÀNG'!$A$5:$AT644, 0, XMATCH("Tháng", '6. TIẾN ĐỘ MUA HÀNG'!$A$4:$AT$4, 0))) = TRIM(X$6)) * (INDEX('6. TIẾN ĐỘ MUA HÀNG'!$A$5:$AT644, 0, XMATCH("CL NGÀY NCC DỰ KIẾN - NGÀY NHẬN HÀNG", '6. TIẾN ĐỘ MUA HÀNG'!$A$4:$AT$4, 0)) &lt; 0)
)</f>
        <v>0</v>
      </c>
      <c r="Z66" s="757">
        <f t="shared" si="21"/>
        <v>0</v>
      </c>
      <c r="AA66" s="754">
        <f t="array" ref="AA66">SUMPRODUCT((TRIM(INDEX('6. TIẾN ĐỘ MUA HÀNG'!$A$5:$AT644, 0, XMATCH("NCC VTBB/NL trong nước", '6. TIẾN ĐỘ MUA HÀNG'!$A$4:$AT$4, 0))) = TRIM($B66)) * (TRIM(INDEX('6. TIẾN ĐỘ MUA HÀNG'!$A$5:$AT644, 0, XMATCH("Tháng", '6. TIẾN ĐỘ MUA HÀNG'!$A$4:$AT$4, 0))) = TRIM(AA$6)) * (INDEX('6. TIẾN ĐỘ MUA HÀNG'!$A$5:$AT644, 0, XMATCH("Mã đơn Misa", '6. TIẾN ĐỘ MUA HÀNG'!$A$4:$AT$4, 0)) &lt;&gt; ""))</f>
        <v>0</v>
      </c>
      <c r="AB66" s="754">
        <f t="array" ref="AB66">SUMPRODUCT(
  (INDEX('6. TIẾN ĐỘ MUA HÀNG'!$A$5:$AT644, 0, XMATCH("NCC VTBB/NL trong nước", '6. TIẾN ĐỘ MUA HÀNG'!$A$4:$AT$4, 0)) = $B66) * (TRIM(INDEX('6. TIẾN ĐỘ MUA HÀNG'!$A$5:$AT644, 0, XMATCH("Tháng", '6. TIẾN ĐỘ MUA HÀNG'!$A$4:$AT$4, 0))) = TRIM(AA$6)) * (INDEX('6. TIẾN ĐỘ MUA HÀNG'!$A$5:$AT644, 0, XMATCH("CL NGÀY NCC DỰ KIẾN - NGÀY NHẬN HÀNG", '6. TIẾN ĐỘ MUA HÀNG'!$A$4:$AT$4, 0)) &lt; 0)
)</f>
        <v>0</v>
      </c>
      <c r="AC66" s="755">
        <f t="shared" si="33"/>
        <v>0</v>
      </c>
      <c r="AD66" s="756">
        <f t="array" ref="AD66">SUMPRODUCT((TRIM(INDEX('6. TIẾN ĐỘ MUA HÀNG'!$A$5:$AT644, 0, XMATCH("NCC VTBB/NL trong nước", '6. TIẾN ĐỘ MUA HÀNG'!$A$4:$AT$4, 0))) = TRIM($B66)) * (TRIM(INDEX('6. TIẾN ĐỘ MUA HÀNG'!$A$5:$AT644, 0, XMATCH("Tháng", '6. TIẾN ĐỘ MUA HÀNG'!$A$4:$AT$4, 0))) = TRIM(AD$6)) * (INDEX('6. TIẾN ĐỘ MUA HÀNG'!$A$5:$AT644, 0, XMATCH("Mã đơn Misa", '6. TIẾN ĐỘ MUA HÀNG'!$A$4:$AT$4, 0)) &lt;&gt; ""))</f>
        <v>0</v>
      </c>
      <c r="AE66" s="756">
        <f t="array" ref="AE66">SUMPRODUCT(
  (INDEX('6. TIẾN ĐỘ MUA HÀNG'!$A$5:$AT644, 0, XMATCH("NCC VTBB/NL trong nước", '6. TIẾN ĐỘ MUA HÀNG'!$A$4:$AT$4, 0)) = $B66) * (TRIM(INDEX('6. TIẾN ĐỘ MUA HÀNG'!$A$5:$AT644, 0, XMATCH("Tháng", '6. TIẾN ĐỘ MUA HÀNG'!$A$4:$AT$4, 0))) = TRIM(AD$6)) * (INDEX('6. TIẾN ĐỘ MUA HÀNG'!$A$5:$AT644, 0, XMATCH("CL NGÀY NCC DỰ KIẾN - NGÀY NHẬN HÀNG", '6. TIẾN ĐỘ MUA HÀNG'!$A$4:$AT$4, 0)) &lt; 0)
)</f>
        <v>0</v>
      </c>
      <c r="AF66" s="757">
        <f t="shared" si="23"/>
        <v>0</v>
      </c>
      <c r="AG66" s="754">
        <f t="array" ref="AG66">SUMPRODUCT((TRIM(INDEX('6. TIẾN ĐỘ MUA HÀNG'!$A$5:$AT644, 0, XMATCH("NCC VTBB/NL trong nước", '6. TIẾN ĐỘ MUA HÀNG'!$A$4:$AT$4, 0))) = TRIM($B66)) * (TRIM(INDEX('6. TIẾN ĐỘ MUA HÀNG'!$A$5:$AT644, 0, XMATCH("Tháng", '6. TIẾN ĐỘ MUA HÀNG'!$A$4:$AT$4, 0))) = TRIM(AG$6)) * (INDEX('6. TIẾN ĐỘ MUA HÀNG'!$A$5:$AT644, 0, XMATCH("Mã đơn Misa", '6. TIẾN ĐỘ MUA HÀNG'!$A$4:$AT$4, 0)) &lt;&gt; ""))</f>
        <v>0</v>
      </c>
      <c r="AH66" s="754">
        <f t="array" ref="AH66">SUMPRODUCT(
  (INDEX('6. TIẾN ĐỘ MUA HÀNG'!$A$5:$AT644, 0, XMATCH("NCC VTBB/NL trong nước", '6. TIẾN ĐỘ MUA HÀNG'!$A$4:$AT$4, 0)) = $B66) * (TRIM(INDEX('6. TIẾN ĐỘ MUA HÀNG'!$A$5:$AT644, 0, XMATCH("Tháng", '6. TIẾN ĐỘ MUA HÀNG'!$A$4:$AT$4, 0))) = TRIM(AG$6)) * (INDEX('6. TIẾN ĐỘ MUA HÀNG'!$A$5:$AT644, 0, XMATCH("CL NGÀY NCC DỰ KIẾN - NGÀY NHẬN HÀNG", '6. TIẾN ĐỘ MUA HÀNG'!$A$4:$AT$4, 0)) &lt; 0)
)</f>
        <v>0</v>
      </c>
      <c r="AI66" s="755">
        <f t="shared" si="34"/>
        <v>0</v>
      </c>
      <c r="AJ66" s="756">
        <f t="array" ref="AJ66">SUMPRODUCT((TRIM(INDEX('6. TIẾN ĐỘ MUA HÀNG'!$A$5:$AT644, 0, XMATCH("NCC VTBB/NL trong nước", '6. TIẾN ĐỘ MUA HÀNG'!$A$4:$AT$4, 0))) = TRIM($B66)) * (TRIM(INDEX('6. TIẾN ĐỘ MUA HÀNG'!$A$5:$AT644, 0, XMATCH("Tháng", '6. TIẾN ĐỘ MUA HÀNG'!$A$4:$AT$4, 0))) = TRIM(AJ$6)) * (INDEX('6. TIẾN ĐỘ MUA HÀNG'!$A$5:$AT644, 0, XMATCH("Mã đơn Misa", '6. TIẾN ĐỘ MUA HÀNG'!$A$4:$AT$4, 0)) &lt;&gt; ""))</f>
        <v>0</v>
      </c>
      <c r="AK66" s="756">
        <f t="array" ref="AK66">SUMPRODUCT(
  (INDEX('6. TIẾN ĐỘ MUA HÀNG'!$A$5:$AT644, 0, XMATCH("NCC VTBB/NL trong nước", '6. TIẾN ĐỘ MUA HÀNG'!$A$4:$AT$4, 0)) = $B66) * (TRIM(INDEX('6. TIẾN ĐỘ MUA HÀNG'!$A$5:$AT644, 0, XMATCH("Tháng", '6. TIẾN ĐỘ MUA HÀNG'!$A$4:$AT$4, 0))) = TRIM(AJ$6)) * (INDEX('6. TIẾN ĐỘ MUA HÀNG'!$A$5:$AT644, 0, XMATCH("CL NGÀY NCC DỰ KIẾN - NGÀY NHẬN HÀNG", '6. TIẾN ĐỘ MUA HÀNG'!$A$4:$AT$4, 0)) &lt; 0)
)</f>
        <v>0</v>
      </c>
      <c r="AL66" s="757">
        <f t="shared" si="25"/>
        <v>0</v>
      </c>
      <c r="AM66" s="726">
        <f t="shared" si="27"/>
        <v>0</v>
      </c>
      <c r="AN66" s="726">
        <f t="shared" si="28"/>
        <v>0</v>
      </c>
      <c r="AO66" s="727">
        <f t="shared" si="26"/>
        <v>0</v>
      </c>
    </row>
    <row r="67">
      <c r="A67" s="612">
        <v>59.0</v>
      </c>
      <c r="B67" s="624" t="str">
        <f>IFERROR(__xludf.DUMMYFUNCTION("""COMPUTED_VALUE"""),"Cmc")</f>
        <v>Cmc</v>
      </c>
      <c r="C67" s="754">
        <f t="array" ref="C67">SUMPRODUCT((TRIM(INDEX('6. TIẾN ĐỘ MUA HÀNG'!$A$5:$AT644, 0, XMATCH("NCC VTBB/NL trong nước", '6. TIẾN ĐỘ MUA HÀNG'!$A$4:$AT$4, 0))) = TRIM($B67)) * (TRIM(INDEX('6. TIẾN ĐỘ MUA HÀNG'!$A$5:$AT644, 0, XMATCH("Tháng", '6. TIẾN ĐỘ MUA HÀNG'!$A$4:$AT$4, 0))) = TRIM(C$6)) * (INDEX('6. TIẾN ĐỘ MUA HÀNG'!$A$5:$AT644, 0, XMATCH("Mã đơn Misa", '6. TIẾN ĐỘ MUA HÀNG'!$A$4:$AT$4, 0)) &lt;&gt; ""))</f>
        <v>0</v>
      </c>
      <c r="D67" s="754">
        <f t="array" ref="D67">SUMPRODUCT(
  (INDEX('6. TIẾN ĐỘ MUA HÀNG'!$A$5:$AT644, 0, XMATCH("NCC VTBB/NL trong nước", '6. TIẾN ĐỘ MUA HÀNG'!$A$4:$AT$4, 0)) = $B67) * (TRIM(INDEX('6. TIẾN ĐỘ MUA HÀNG'!$A$5:$AT644, 0, XMATCH("Tháng", '6. TIẾN ĐỘ MUA HÀNG'!$A$4:$AT$4, 0))) = TRIM(C$6)) * (INDEX('6. TIẾN ĐỘ MUA HÀNG'!$A$5:$AT644, 0, XMATCH("CL NGÀY NCC DỰ KIẾN - NGÀY NHẬN HÀNG", '6. TIẾN ĐỘ MUA HÀNG'!$A$4:$AT$4, 0)) &lt; 0)
)</f>
        <v>0</v>
      </c>
      <c r="E67" s="755">
        <f t="shared" si="29"/>
        <v>0</v>
      </c>
      <c r="F67" s="756">
        <f t="array" ref="F67">SUMPRODUCT((TRIM(INDEX('6. TIẾN ĐỘ MUA HÀNG'!$A$5:$AT644, 0, XMATCH("NCC VTBB/NL trong nước", '6. TIẾN ĐỘ MUA HÀNG'!$A$4:$AT$4, 0))) = TRIM($B67)) * (TRIM(INDEX('6. TIẾN ĐỘ MUA HÀNG'!$A$5:$AT644, 0, XMATCH("Tháng", '6. TIẾN ĐỘ MUA HÀNG'!$A$4:$AT$4, 0))) = TRIM(F$6)) * (INDEX('6. TIẾN ĐỘ MUA HÀNG'!$A$5:$AT644, 0, XMATCH("Mã đơn Misa", '6. TIẾN ĐỘ MUA HÀNG'!$A$4:$AT$4, 0)) &lt;&gt; ""))</f>
        <v>0</v>
      </c>
      <c r="G67" s="756">
        <f t="array" ref="G67">SUMPRODUCT(
  (INDEX('6. TIẾN ĐỘ MUA HÀNG'!$A$5:$AT644, 0, XMATCH("NCC VTBB/NL trong nước", '6. TIẾN ĐỘ MUA HÀNG'!$A$4:$AT$4, 0)) = $B67) * (TRIM(INDEX('6. TIẾN ĐỘ MUA HÀNG'!$A$5:$AT644, 0, XMATCH("Tháng", '6. TIẾN ĐỘ MUA HÀNG'!$A$4:$AT$4, 0))) = TRIM(F$6)) * (INDEX('6. TIẾN ĐỘ MUA HÀNG'!$A$5:$AT644, 0, XMATCH("CL NGÀY NCC DỰ KIẾN - NGÀY NHẬN HÀNG", '6. TIẾN ĐỘ MUA HÀNG'!$A$4:$AT$4, 0)) &lt; 0)
)</f>
        <v>0</v>
      </c>
      <c r="H67" s="757">
        <f t="shared" si="15"/>
        <v>0</v>
      </c>
      <c r="I67" s="754">
        <f t="array" ref="I67">SUMPRODUCT((TRIM(INDEX('6. TIẾN ĐỘ MUA HÀNG'!$A$5:$AT644, 0, XMATCH("NCC VTBB/NL trong nước", '6. TIẾN ĐỘ MUA HÀNG'!$A$4:$AT$4, 0))) = TRIM($B67)) * (TRIM(INDEX('6. TIẾN ĐỘ MUA HÀNG'!$A$5:$AT644, 0, XMATCH("Tháng", '6. TIẾN ĐỘ MUA HÀNG'!$A$4:$AT$4, 0))) = TRIM(I$6)) * (INDEX('6. TIẾN ĐỘ MUA HÀNG'!$A$5:$AT644, 0, XMATCH("Mã đơn Misa", '6. TIẾN ĐỘ MUA HÀNG'!$A$4:$AT$4, 0)) &lt;&gt; ""))</f>
        <v>0</v>
      </c>
      <c r="J67" s="754">
        <f t="array" ref="J67">SUMPRODUCT(
  (INDEX('6. TIẾN ĐỘ MUA HÀNG'!$A$5:$AT644, 0, XMATCH("NCC VTBB/NL trong nước", '6. TIẾN ĐỘ MUA HÀNG'!$A$4:$AT$4, 0)) = $B67) * (TRIM(INDEX('6. TIẾN ĐỘ MUA HÀNG'!$A$5:$AT644, 0, XMATCH("Tháng", '6. TIẾN ĐỘ MUA HÀNG'!$A$4:$AT$4, 0))) = TRIM(I$6)) * (INDEX('6. TIẾN ĐỘ MUA HÀNG'!$A$5:$AT644, 0, XMATCH("CL NGÀY NCC DỰ KIẾN - NGÀY NHẬN HÀNG", '6. TIẾN ĐỘ MUA HÀNG'!$A$4:$AT$4, 0)) &lt; 0)
)</f>
        <v>0</v>
      </c>
      <c r="K67" s="755">
        <f t="shared" si="30"/>
        <v>0</v>
      </c>
      <c r="L67" s="756">
        <f t="array" ref="L67">SUMPRODUCT((TRIM(INDEX('6. TIẾN ĐỘ MUA HÀNG'!$A$5:$AT644, 0, XMATCH("NCC VTBB/NL trong nước", '6. TIẾN ĐỘ MUA HÀNG'!$A$4:$AT$4, 0))) = TRIM($B67)) * (TRIM(INDEX('6. TIẾN ĐỘ MUA HÀNG'!$A$5:$AT644, 0, XMATCH("Tháng", '6. TIẾN ĐỘ MUA HÀNG'!$A$4:$AT$4, 0))) = TRIM(L$6)) * (INDEX('6. TIẾN ĐỘ MUA HÀNG'!$A$5:$AT644, 0, XMATCH("Mã đơn Misa", '6. TIẾN ĐỘ MUA HÀNG'!$A$4:$AT$4, 0)) &lt;&gt; ""))</f>
        <v>0</v>
      </c>
      <c r="M67" s="756">
        <f t="array" ref="M67">SUMPRODUCT(
  (INDEX('6. TIẾN ĐỘ MUA HÀNG'!$A$5:$AT644, 0, XMATCH("NCC VTBB/NL trong nước", '6. TIẾN ĐỘ MUA HÀNG'!$A$4:$AT$4, 0)) = $B67) * (TRIM(INDEX('6. TIẾN ĐỘ MUA HÀNG'!$A$5:$AT644, 0, XMATCH("Tháng", '6. TIẾN ĐỘ MUA HÀNG'!$A$4:$AT$4, 0))) = TRIM(L$6)) * (INDEX('6. TIẾN ĐỘ MUA HÀNG'!$A$5:$AT644, 0, XMATCH("CL NGÀY NCC DỰ KIẾN - NGÀY NHẬN HÀNG", '6. TIẾN ĐỘ MUA HÀNG'!$A$4:$AT$4, 0)) &lt; 0)
)</f>
        <v>0</v>
      </c>
      <c r="N67" s="757">
        <f t="shared" si="17"/>
        <v>0</v>
      </c>
      <c r="O67" s="754">
        <f t="array" ref="O67">SUMPRODUCT((TRIM(INDEX('6. TIẾN ĐỘ MUA HÀNG'!$A$5:$AT644, 0, XMATCH("NCC VTBB/NL trong nước", '6. TIẾN ĐỘ MUA HÀNG'!$A$4:$AT$4, 0))) = TRIM($B67)) * (TRIM(INDEX('6. TIẾN ĐỘ MUA HÀNG'!$A$5:$AT644, 0, XMATCH("Tháng", '6. TIẾN ĐỘ MUA HÀNG'!$A$4:$AT$4, 0))) = TRIM(O$6)) * (INDEX('6. TIẾN ĐỘ MUA HÀNG'!$A$5:$AT644, 0, XMATCH("Mã đơn Misa", '6. TIẾN ĐỘ MUA HÀNG'!$A$4:$AT$4, 0)) &lt;&gt; ""))</f>
        <v>0</v>
      </c>
      <c r="P67" s="754">
        <f t="array" ref="P67">SUMPRODUCT(
  (INDEX('6. TIẾN ĐỘ MUA HÀNG'!$A$5:$AT644, 0, XMATCH("NCC VTBB/NL trong nước", '6. TIẾN ĐỘ MUA HÀNG'!$A$4:$AT$4, 0)) = $B67) * (TRIM(INDEX('6. TIẾN ĐỘ MUA HÀNG'!$A$5:$AT644, 0, XMATCH("Tháng", '6. TIẾN ĐỘ MUA HÀNG'!$A$4:$AT$4, 0))) = TRIM(O$6)) * (INDEX('6. TIẾN ĐỘ MUA HÀNG'!$A$5:$AT644, 0, XMATCH("CL NGÀY NCC DỰ KIẾN - NGÀY NHẬN HÀNG", '6. TIẾN ĐỘ MUA HÀNG'!$A$4:$AT$4, 0)) &lt; 0)
)</f>
        <v>0</v>
      </c>
      <c r="Q67" s="755">
        <f t="shared" si="31"/>
        <v>0</v>
      </c>
      <c r="R67" s="756">
        <f t="array" ref="R67">SUMPRODUCT((TRIM(INDEX('6. TIẾN ĐỘ MUA HÀNG'!$A$5:$AT644, 0, XMATCH("NCC VTBB/NL trong nước", '6. TIẾN ĐỘ MUA HÀNG'!$A$4:$AT$4, 0))) = TRIM($B67)) * (TRIM(INDEX('6. TIẾN ĐỘ MUA HÀNG'!$A$5:$AT644, 0, XMATCH("Tháng", '6. TIẾN ĐỘ MUA HÀNG'!$A$4:$AT$4, 0))) = TRIM(R$6)) * (INDEX('6. TIẾN ĐỘ MUA HÀNG'!$A$5:$AT644, 0, XMATCH("Mã đơn Misa", '6. TIẾN ĐỘ MUA HÀNG'!$A$4:$AT$4, 0)) &lt;&gt; ""))</f>
        <v>0</v>
      </c>
      <c r="S67" s="756">
        <f t="array" ref="S67">SUMPRODUCT(
  (INDEX('6. TIẾN ĐỘ MUA HÀNG'!$A$5:$AT644, 0, XMATCH("NCC VTBB/NL trong nước", '6. TIẾN ĐỘ MUA HÀNG'!$A$4:$AT$4, 0)) = $B67) * (TRIM(INDEX('6. TIẾN ĐỘ MUA HÀNG'!$A$5:$AT644, 0, XMATCH("Tháng", '6. TIẾN ĐỘ MUA HÀNG'!$A$4:$AT$4, 0))) = TRIM(R$6)) * (INDEX('6. TIẾN ĐỘ MUA HÀNG'!$A$5:$AT644, 0, XMATCH("CL NGÀY NCC DỰ KIẾN - NGÀY NHẬN HÀNG", '6. TIẾN ĐỘ MUA HÀNG'!$A$4:$AT$4, 0)) &lt; 0)
)</f>
        <v>0</v>
      </c>
      <c r="T67" s="757">
        <f t="shared" si="19"/>
        <v>0</v>
      </c>
      <c r="U67" s="754">
        <f t="array" ref="U67">SUMPRODUCT((TRIM(INDEX('6. TIẾN ĐỘ MUA HÀNG'!$A$5:$AT644, 0, XMATCH("NCC VTBB/NL trong nước", '6. TIẾN ĐỘ MUA HÀNG'!$A$4:$AT$4, 0))) = TRIM($B67)) * (TRIM(INDEX('6. TIẾN ĐỘ MUA HÀNG'!$A$5:$AT644, 0, XMATCH("Tháng", '6. TIẾN ĐỘ MUA HÀNG'!$A$4:$AT$4, 0))) = TRIM(U$6)) * (INDEX('6. TIẾN ĐỘ MUA HÀNG'!$A$5:$AT644, 0, XMATCH("Mã đơn Misa", '6. TIẾN ĐỘ MUA HÀNG'!$A$4:$AT$4, 0)) &lt;&gt; ""))</f>
        <v>0</v>
      </c>
      <c r="V67" s="754">
        <f t="array" ref="V67">SUMPRODUCT(
  (INDEX('6. TIẾN ĐỘ MUA HÀNG'!$A$5:$AT644, 0, XMATCH("NCC VTBB/NL trong nước", '6. TIẾN ĐỘ MUA HÀNG'!$A$4:$AT$4, 0)) = $B67) * (TRIM(INDEX('6. TIẾN ĐỘ MUA HÀNG'!$A$5:$AT644, 0, XMATCH("Tháng", '6. TIẾN ĐỘ MUA HÀNG'!$A$4:$AT$4, 0))) = TRIM(U$6)) * (INDEX('6. TIẾN ĐỘ MUA HÀNG'!$A$5:$AT644, 0, XMATCH("CL NGÀY NCC DỰ KIẾN - NGÀY NHẬN HÀNG", '6. TIẾN ĐỘ MUA HÀNG'!$A$4:$AT$4, 0)) &lt; 0)
)</f>
        <v>0</v>
      </c>
      <c r="W67" s="755">
        <f t="shared" si="32"/>
        <v>0</v>
      </c>
      <c r="X67" s="756">
        <f t="array" ref="X67">SUMPRODUCT((TRIM(INDEX('6. TIẾN ĐỘ MUA HÀNG'!$A$5:$AT644, 0, XMATCH("NCC VTBB/NL trong nước", '6. TIẾN ĐỘ MUA HÀNG'!$A$4:$AT$4, 0))) = TRIM($B67)) * (TRIM(INDEX('6. TIẾN ĐỘ MUA HÀNG'!$A$5:$AT644, 0, XMATCH("Tháng", '6. TIẾN ĐỘ MUA HÀNG'!$A$4:$AT$4, 0))) = TRIM(X$6)) * (INDEX('6. TIẾN ĐỘ MUA HÀNG'!$A$5:$AT644, 0, XMATCH("Mã đơn Misa", '6. TIẾN ĐỘ MUA HÀNG'!$A$4:$AT$4, 0)) &lt;&gt; ""))</f>
        <v>0</v>
      </c>
      <c r="Y67" s="756">
        <f t="array" ref="Y67">SUMPRODUCT(
  (INDEX('6. TIẾN ĐỘ MUA HÀNG'!$A$5:$AT644, 0, XMATCH("NCC VTBB/NL trong nước", '6. TIẾN ĐỘ MUA HÀNG'!$A$4:$AT$4, 0)) = $B67) * (TRIM(INDEX('6. TIẾN ĐỘ MUA HÀNG'!$A$5:$AT644, 0, XMATCH("Tháng", '6. TIẾN ĐỘ MUA HÀNG'!$A$4:$AT$4, 0))) = TRIM(X$6)) * (INDEX('6. TIẾN ĐỘ MUA HÀNG'!$A$5:$AT644, 0, XMATCH("CL NGÀY NCC DỰ KIẾN - NGÀY NHẬN HÀNG", '6. TIẾN ĐỘ MUA HÀNG'!$A$4:$AT$4, 0)) &lt; 0)
)</f>
        <v>0</v>
      </c>
      <c r="Z67" s="757">
        <f t="shared" si="21"/>
        <v>0</v>
      </c>
      <c r="AA67" s="754">
        <f t="array" ref="AA67">SUMPRODUCT((TRIM(INDEX('6. TIẾN ĐỘ MUA HÀNG'!$A$5:$AT644, 0, XMATCH("NCC VTBB/NL trong nước", '6. TIẾN ĐỘ MUA HÀNG'!$A$4:$AT$4, 0))) = TRIM($B67)) * (TRIM(INDEX('6. TIẾN ĐỘ MUA HÀNG'!$A$5:$AT644, 0, XMATCH("Tháng", '6. TIẾN ĐỘ MUA HÀNG'!$A$4:$AT$4, 0))) = TRIM(AA$6)) * (INDEX('6. TIẾN ĐỘ MUA HÀNG'!$A$5:$AT644, 0, XMATCH("Mã đơn Misa", '6. TIẾN ĐỘ MUA HÀNG'!$A$4:$AT$4, 0)) &lt;&gt; ""))</f>
        <v>0</v>
      </c>
      <c r="AB67" s="754">
        <f t="array" ref="AB67">SUMPRODUCT(
  (INDEX('6. TIẾN ĐỘ MUA HÀNG'!$A$5:$AT644, 0, XMATCH("NCC VTBB/NL trong nước", '6. TIẾN ĐỘ MUA HÀNG'!$A$4:$AT$4, 0)) = $B67) * (TRIM(INDEX('6. TIẾN ĐỘ MUA HÀNG'!$A$5:$AT644, 0, XMATCH("Tháng", '6. TIẾN ĐỘ MUA HÀNG'!$A$4:$AT$4, 0))) = TRIM(AA$6)) * (INDEX('6. TIẾN ĐỘ MUA HÀNG'!$A$5:$AT644, 0, XMATCH("CL NGÀY NCC DỰ KIẾN - NGÀY NHẬN HÀNG", '6. TIẾN ĐỘ MUA HÀNG'!$A$4:$AT$4, 0)) &lt; 0)
)</f>
        <v>0</v>
      </c>
      <c r="AC67" s="755">
        <f t="shared" si="33"/>
        <v>0</v>
      </c>
      <c r="AD67" s="756">
        <f t="array" ref="AD67">SUMPRODUCT((TRIM(INDEX('6. TIẾN ĐỘ MUA HÀNG'!$A$5:$AT644, 0, XMATCH("NCC VTBB/NL trong nước", '6. TIẾN ĐỘ MUA HÀNG'!$A$4:$AT$4, 0))) = TRIM($B67)) * (TRIM(INDEX('6. TIẾN ĐỘ MUA HÀNG'!$A$5:$AT644, 0, XMATCH("Tháng", '6. TIẾN ĐỘ MUA HÀNG'!$A$4:$AT$4, 0))) = TRIM(AD$6)) * (INDEX('6. TIẾN ĐỘ MUA HÀNG'!$A$5:$AT644, 0, XMATCH("Mã đơn Misa", '6. TIẾN ĐỘ MUA HÀNG'!$A$4:$AT$4, 0)) &lt;&gt; ""))</f>
        <v>0</v>
      </c>
      <c r="AE67" s="756">
        <f t="array" ref="AE67">SUMPRODUCT(
  (INDEX('6. TIẾN ĐỘ MUA HÀNG'!$A$5:$AT644, 0, XMATCH("NCC VTBB/NL trong nước", '6. TIẾN ĐỘ MUA HÀNG'!$A$4:$AT$4, 0)) = $B67) * (TRIM(INDEX('6. TIẾN ĐỘ MUA HÀNG'!$A$5:$AT644, 0, XMATCH("Tháng", '6. TIẾN ĐỘ MUA HÀNG'!$A$4:$AT$4, 0))) = TRIM(AD$6)) * (INDEX('6. TIẾN ĐỘ MUA HÀNG'!$A$5:$AT644, 0, XMATCH("CL NGÀY NCC DỰ KIẾN - NGÀY NHẬN HÀNG", '6. TIẾN ĐỘ MUA HÀNG'!$A$4:$AT$4, 0)) &lt; 0)
)</f>
        <v>0</v>
      </c>
      <c r="AF67" s="757">
        <f t="shared" si="23"/>
        <v>0</v>
      </c>
      <c r="AG67" s="754">
        <f t="array" ref="AG67">SUMPRODUCT((TRIM(INDEX('6. TIẾN ĐỘ MUA HÀNG'!$A$5:$AT644, 0, XMATCH("NCC VTBB/NL trong nước", '6. TIẾN ĐỘ MUA HÀNG'!$A$4:$AT$4, 0))) = TRIM($B67)) * (TRIM(INDEX('6. TIẾN ĐỘ MUA HÀNG'!$A$5:$AT644, 0, XMATCH("Tháng", '6. TIẾN ĐỘ MUA HÀNG'!$A$4:$AT$4, 0))) = TRIM(AG$6)) * (INDEX('6. TIẾN ĐỘ MUA HÀNG'!$A$5:$AT644, 0, XMATCH("Mã đơn Misa", '6. TIẾN ĐỘ MUA HÀNG'!$A$4:$AT$4, 0)) &lt;&gt; ""))</f>
        <v>0</v>
      </c>
      <c r="AH67" s="754">
        <f t="array" ref="AH67">SUMPRODUCT(
  (INDEX('6. TIẾN ĐỘ MUA HÀNG'!$A$5:$AT644, 0, XMATCH("NCC VTBB/NL trong nước", '6. TIẾN ĐỘ MUA HÀNG'!$A$4:$AT$4, 0)) = $B67) * (TRIM(INDEX('6. TIẾN ĐỘ MUA HÀNG'!$A$5:$AT644, 0, XMATCH("Tháng", '6. TIẾN ĐỘ MUA HÀNG'!$A$4:$AT$4, 0))) = TRIM(AG$6)) * (INDEX('6. TIẾN ĐỘ MUA HÀNG'!$A$5:$AT644, 0, XMATCH("CL NGÀY NCC DỰ KIẾN - NGÀY NHẬN HÀNG", '6. TIẾN ĐỘ MUA HÀNG'!$A$4:$AT$4, 0)) &lt; 0)
)</f>
        <v>0</v>
      </c>
      <c r="AI67" s="755">
        <f t="shared" si="34"/>
        <v>0</v>
      </c>
      <c r="AJ67" s="756">
        <f t="array" ref="AJ67">SUMPRODUCT((TRIM(INDEX('6. TIẾN ĐỘ MUA HÀNG'!$A$5:$AT644, 0, XMATCH("NCC VTBB/NL trong nước", '6. TIẾN ĐỘ MUA HÀNG'!$A$4:$AT$4, 0))) = TRIM($B67)) * (TRIM(INDEX('6. TIẾN ĐỘ MUA HÀNG'!$A$5:$AT644, 0, XMATCH("Tháng", '6. TIẾN ĐỘ MUA HÀNG'!$A$4:$AT$4, 0))) = TRIM(AJ$6)) * (INDEX('6. TIẾN ĐỘ MUA HÀNG'!$A$5:$AT644, 0, XMATCH("Mã đơn Misa", '6. TIẾN ĐỘ MUA HÀNG'!$A$4:$AT$4, 0)) &lt;&gt; ""))</f>
        <v>0</v>
      </c>
      <c r="AK67" s="756">
        <f t="array" ref="AK67">SUMPRODUCT(
  (INDEX('6. TIẾN ĐỘ MUA HÀNG'!$A$5:$AT644, 0, XMATCH("NCC VTBB/NL trong nước", '6. TIẾN ĐỘ MUA HÀNG'!$A$4:$AT$4, 0)) = $B67) * (TRIM(INDEX('6. TIẾN ĐỘ MUA HÀNG'!$A$5:$AT644, 0, XMATCH("Tháng", '6. TIẾN ĐỘ MUA HÀNG'!$A$4:$AT$4, 0))) = TRIM(AJ$6)) * (INDEX('6. TIẾN ĐỘ MUA HÀNG'!$A$5:$AT644, 0, XMATCH("CL NGÀY NCC DỰ KIẾN - NGÀY NHẬN HÀNG", '6. TIẾN ĐỘ MUA HÀNG'!$A$4:$AT$4, 0)) &lt; 0)
)</f>
        <v>0</v>
      </c>
      <c r="AL67" s="757">
        <f t="shared" si="25"/>
        <v>0</v>
      </c>
      <c r="AM67" s="726">
        <f t="shared" si="27"/>
        <v>0</v>
      </c>
      <c r="AN67" s="726">
        <f t="shared" si="28"/>
        <v>0</v>
      </c>
      <c r="AO67" s="727">
        <f t="shared" si="26"/>
        <v>0</v>
      </c>
    </row>
    <row r="68">
      <c r="A68" s="612">
        <v>60.0</v>
      </c>
      <c r="B68" s="624" t="str">
        <f>IFERROR(__xludf.DUMMYFUNCTION("""COMPUTED_VALUE"""),"Aq")</f>
        <v>Aq</v>
      </c>
      <c r="C68" s="754">
        <f t="array" ref="C68">SUMPRODUCT((TRIM(INDEX('6. TIẾN ĐỘ MUA HÀNG'!$A$5:$AT644, 0, XMATCH("NCC VTBB/NL trong nước", '6. TIẾN ĐỘ MUA HÀNG'!$A$4:$AT$4, 0))) = TRIM($B68)) * (TRIM(INDEX('6. TIẾN ĐỘ MUA HÀNG'!$A$5:$AT644, 0, XMATCH("Tháng", '6. TIẾN ĐỘ MUA HÀNG'!$A$4:$AT$4, 0))) = TRIM(C$6)) * (INDEX('6. TIẾN ĐỘ MUA HÀNG'!$A$5:$AT644, 0, XMATCH("Mã đơn Misa", '6. TIẾN ĐỘ MUA HÀNG'!$A$4:$AT$4, 0)) &lt;&gt; ""))</f>
        <v>0</v>
      </c>
      <c r="D68" s="754">
        <f t="array" ref="D68">SUMPRODUCT(
  (INDEX('6. TIẾN ĐỘ MUA HÀNG'!$A$5:$AT644, 0, XMATCH("NCC VTBB/NL trong nước", '6. TIẾN ĐỘ MUA HÀNG'!$A$4:$AT$4, 0)) = $B68) * (TRIM(INDEX('6. TIẾN ĐỘ MUA HÀNG'!$A$5:$AT644, 0, XMATCH("Tháng", '6. TIẾN ĐỘ MUA HÀNG'!$A$4:$AT$4, 0))) = TRIM(C$6)) * (INDEX('6. TIẾN ĐỘ MUA HÀNG'!$A$5:$AT644, 0, XMATCH("CL NGÀY NCC DỰ KIẾN - NGÀY NHẬN HÀNG", '6. TIẾN ĐỘ MUA HÀNG'!$A$4:$AT$4, 0)) &lt; 0)
)</f>
        <v>0</v>
      </c>
      <c r="E68" s="755">
        <f t="shared" si="29"/>
        <v>0</v>
      </c>
      <c r="F68" s="756">
        <f t="array" ref="F68">SUMPRODUCT((TRIM(INDEX('6. TIẾN ĐỘ MUA HÀNG'!$A$5:$AT644, 0, XMATCH("NCC VTBB/NL trong nước", '6. TIẾN ĐỘ MUA HÀNG'!$A$4:$AT$4, 0))) = TRIM($B68)) * (TRIM(INDEX('6. TIẾN ĐỘ MUA HÀNG'!$A$5:$AT644, 0, XMATCH("Tháng", '6. TIẾN ĐỘ MUA HÀNG'!$A$4:$AT$4, 0))) = TRIM(F$6)) * (INDEX('6. TIẾN ĐỘ MUA HÀNG'!$A$5:$AT644, 0, XMATCH("Mã đơn Misa", '6. TIẾN ĐỘ MUA HÀNG'!$A$4:$AT$4, 0)) &lt;&gt; ""))</f>
        <v>0</v>
      </c>
      <c r="G68" s="756">
        <f t="array" ref="G68">SUMPRODUCT(
  (INDEX('6. TIẾN ĐỘ MUA HÀNG'!$A$5:$AT644, 0, XMATCH("NCC VTBB/NL trong nước", '6. TIẾN ĐỘ MUA HÀNG'!$A$4:$AT$4, 0)) = $B68) * (TRIM(INDEX('6. TIẾN ĐỘ MUA HÀNG'!$A$5:$AT644, 0, XMATCH("Tháng", '6. TIẾN ĐỘ MUA HÀNG'!$A$4:$AT$4, 0))) = TRIM(F$6)) * (INDEX('6. TIẾN ĐỘ MUA HÀNG'!$A$5:$AT644, 0, XMATCH("CL NGÀY NCC DỰ KIẾN - NGÀY NHẬN HÀNG", '6. TIẾN ĐỘ MUA HÀNG'!$A$4:$AT$4, 0)) &lt; 0)
)</f>
        <v>0</v>
      </c>
      <c r="H68" s="757">
        <f t="shared" si="15"/>
        <v>0</v>
      </c>
      <c r="I68" s="754">
        <f t="array" ref="I68">SUMPRODUCT((TRIM(INDEX('6. TIẾN ĐỘ MUA HÀNG'!$A$5:$AT644, 0, XMATCH("NCC VTBB/NL trong nước", '6. TIẾN ĐỘ MUA HÀNG'!$A$4:$AT$4, 0))) = TRIM($B68)) * (TRIM(INDEX('6. TIẾN ĐỘ MUA HÀNG'!$A$5:$AT644, 0, XMATCH("Tháng", '6. TIẾN ĐỘ MUA HÀNG'!$A$4:$AT$4, 0))) = TRIM(I$6)) * (INDEX('6. TIẾN ĐỘ MUA HÀNG'!$A$5:$AT644, 0, XMATCH("Mã đơn Misa", '6. TIẾN ĐỘ MUA HÀNG'!$A$4:$AT$4, 0)) &lt;&gt; ""))</f>
        <v>0</v>
      </c>
      <c r="J68" s="754">
        <f t="array" ref="J68">SUMPRODUCT(
  (INDEX('6. TIẾN ĐỘ MUA HÀNG'!$A$5:$AT644, 0, XMATCH("NCC VTBB/NL trong nước", '6. TIẾN ĐỘ MUA HÀNG'!$A$4:$AT$4, 0)) = $B68) * (TRIM(INDEX('6. TIẾN ĐỘ MUA HÀNG'!$A$5:$AT644, 0, XMATCH("Tháng", '6. TIẾN ĐỘ MUA HÀNG'!$A$4:$AT$4, 0))) = TRIM(I$6)) * (INDEX('6. TIẾN ĐỘ MUA HÀNG'!$A$5:$AT644, 0, XMATCH("CL NGÀY NCC DỰ KIẾN - NGÀY NHẬN HÀNG", '6. TIẾN ĐỘ MUA HÀNG'!$A$4:$AT$4, 0)) &lt; 0)
)</f>
        <v>0</v>
      </c>
      <c r="K68" s="755">
        <f t="shared" si="30"/>
        <v>0</v>
      </c>
      <c r="L68" s="756">
        <f t="array" ref="L68">SUMPRODUCT((TRIM(INDEX('6. TIẾN ĐỘ MUA HÀNG'!$A$5:$AT644, 0, XMATCH("NCC VTBB/NL trong nước", '6. TIẾN ĐỘ MUA HÀNG'!$A$4:$AT$4, 0))) = TRIM($B68)) * (TRIM(INDEX('6. TIẾN ĐỘ MUA HÀNG'!$A$5:$AT644, 0, XMATCH("Tháng", '6. TIẾN ĐỘ MUA HÀNG'!$A$4:$AT$4, 0))) = TRIM(L$6)) * (INDEX('6. TIẾN ĐỘ MUA HÀNG'!$A$5:$AT644, 0, XMATCH("Mã đơn Misa", '6. TIẾN ĐỘ MUA HÀNG'!$A$4:$AT$4, 0)) &lt;&gt; ""))</f>
        <v>0</v>
      </c>
      <c r="M68" s="756">
        <f t="array" ref="M68">SUMPRODUCT(
  (INDEX('6. TIẾN ĐỘ MUA HÀNG'!$A$5:$AT644, 0, XMATCH("NCC VTBB/NL trong nước", '6. TIẾN ĐỘ MUA HÀNG'!$A$4:$AT$4, 0)) = $B68) * (TRIM(INDEX('6. TIẾN ĐỘ MUA HÀNG'!$A$5:$AT644, 0, XMATCH("Tháng", '6. TIẾN ĐỘ MUA HÀNG'!$A$4:$AT$4, 0))) = TRIM(L$6)) * (INDEX('6. TIẾN ĐỘ MUA HÀNG'!$A$5:$AT644, 0, XMATCH("CL NGÀY NCC DỰ KIẾN - NGÀY NHẬN HÀNG", '6. TIẾN ĐỘ MUA HÀNG'!$A$4:$AT$4, 0)) &lt; 0)
)</f>
        <v>0</v>
      </c>
      <c r="N68" s="757">
        <f t="shared" si="17"/>
        <v>0</v>
      </c>
      <c r="O68" s="754">
        <f t="array" ref="O68">SUMPRODUCT((TRIM(INDEX('6. TIẾN ĐỘ MUA HÀNG'!$A$5:$AT644, 0, XMATCH("NCC VTBB/NL trong nước", '6. TIẾN ĐỘ MUA HÀNG'!$A$4:$AT$4, 0))) = TRIM($B68)) * (TRIM(INDEX('6. TIẾN ĐỘ MUA HÀNG'!$A$5:$AT644, 0, XMATCH("Tháng", '6. TIẾN ĐỘ MUA HÀNG'!$A$4:$AT$4, 0))) = TRIM(O$6)) * (INDEX('6. TIẾN ĐỘ MUA HÀNG'!$A$5:$AT644, 0, XMATCH("Mã đơn Misa", '6. TIẾN ĐỘ MUA HÀNG'!$A$4:$AT$4, 0)) &lt;&gt; ""))</f>
        <v>0</v>
      </c>
      <c r="P68" s="754">
        <f t="array" ref="P68">SUMPRODUCT(
  (INDEX('6. TIẾN ĐỘ MUA HÀNG'!$A$5:$AT644, 0, XMATCH("NCC VTBB/NL trong nước", '6. TIẾN ĐỘ MUA HÀNG'!$A$4:$AT$4, 0)) = $B68) * (TRIM(INDEX('6. TIẾN ĐỘ MUA HÀNG'!$A$5:$AT644, 0, XMATCH("Tháng", '6. TIẾN ĐỘ MUA HÀNG'!$A$4:$AT$4, 0))) = TRIM(O$6)) * (INDEX('6. TIẾN ĐỘ MUA HÀNG'!$A$5:$AT644, 0, XMATCH("CL NGÀY NCC DỰ KIẾN - NGÀY NHẬN HÀNG", '6. TIẾN ĐỘ MUA HÀNG'!$A$4:$AT$4, 0)) &lt; 0)
)</f>
        <v>0</v>
      </c>
      <c r="Q68" s="755">
        <f t="shared" si="31"/>
        <v>0</v>
      </c>
      <c r="R68" s="756">
        <f t="array" ref="R68">SUMPRODUCT((TRIM(INDEX('6. TIẾN ĐỘ MUA HÀNG'!$A$5:$AT644, 0, XMATCH("NCC VTBB/NL trong nước", '6. TIẾN ĐỘ MUA HÀNG'!$A$4:$AT$4, 0))) = TRIM($B68)) * (TRIM(INDEX('6. TIẾN ĐỘ MUA HÀNG'!$A$5:$AT644, 0, XMATCH("Tháng", '6. TIẾN ĐỘ MUA HÀNG'!$A$4:$AT$4, 0))) = TRIM(R$6)) * (INDEX('6. TIẾN ĐỘ MUA HÀNG'!$A$5:$AT644, 0, XMATCH("Mã đơn Misa", '6. TIẾN ĐỘ MUA HÀNG'!$A$4:$AT$4, 0)) &lt;&gt; ""))</f>
        <v>0</v>
      </c>
      <c r="S68" s="756">
        <f t="array" ref="S68">SUMPRODUCT(
  (INDEX('6. TIẾN ĐỘ MUA HÀNG'!$A$5:$AT644, 0, XMATCH("NCC VTBB/NL trong nước", '6. TIẾN ĐỘ MUA HÀNG'!$A$4:$AT$4, 0)) = $B68) * (TRIM(INDEX('6. TIẾN ĐỘ MUA HÀNG'!$A$5:$AT644, 0, XMATCH("Tháng", '6. TIẾN ĐỘ MUA HÀNG'!$A$4:$AT$4, 0))) = TRIM(R$6)) * (INDEX('6. TIẾN ĐỘ MUA HÀNG'!$A$5:$AT644, 0, XMATCH("CL NGÀY NCC DỰ KIẾN - NGÀY NHẬN HÀNG", '6. TIẾN ĐỘ MUA HÀNG'!$A$4:$AT$4, 0)) &lt; 0)
)</f>
        <v>0</v>
      </c>
      <c r="T68" s="757">
        <f t="shared" si="19"/>
        <v>0</v>
      </c>
      <c r="U68" s="754">
        <f t="array" ref="U68">SUMPRODUCT((TRIM(INDEX('6. TIẾN ĐỘ MUA HÀNG'!$A$5:$AT644, 0, XMATCH("NCC VTBB/NL trong nước", '6. TIẾN ĐỘ MUA HÀNG'!$A$4:$AT$4, 0))) = TRIM($B68)) * (TRIM(INDEX('6. TIẾN ĐỘ MUA HÀNG'!$A$5:$AT644, 0, XMATCH("Tháng", '6. TIẾN ĐỘ MUA HÀNG'!$A$4:$AT$4, 0))) = TRIM(U$6)) * (INDEX('6. TIẾN ĐỘ MUA HÀNG'!$A$5:$AT644, 0, XMATCH("Mã đơn Misa", '6. TIẾN ĐỘ MUA HÀNG'!$A$4:$AT$4, 0)) &lt;&gt; ""))</f>
        <v>0</v>
      </c>
      <c r="V68" s="754">
        <f t="array" ref="V68">SUMPRODUCT(
  (INDEX('6. TIẾN ĐỘ MUA HÀNG'!$A$5:$AT644, 0, XMATCH("NCC VTBB/NL trong nước", '6. TIẾN ĐỘ MUA HÀNG'!$A$4:$AT$4, 0)) = $B68) * (TRIM(INDEX('6. TIẾN ĐỘ MUA HÀNG'!$A$5:$AT644, 0, XMATCH("Tháng", '6. TIẾN ĐỘ MUA HÀNG'!$A$4:$AT$4, 0))) = TRIM(U$6)) * (INDEX('6. TIẾN ĐỘ MUA HÀNG'!$A$5:$AT644, 0, XMATCH("CL NGÀY NCC DỰ KIẾN - NGÀY NHẬN HÀNG", '6. TIẾN ĐỘ MUA HÀNG'!$A$4:$AT$4, 0)) &lt; 0)
)</f>
        <v>0</v>
      </c>
      <c r="W68" s="755">
        <f t="shared" si="32"/>
        <v>0</v>
      </c>
      <c r="X68" s="756">
        <f t="array" ref="X68">SUMPRODUCT((TRIM(INDEX('6. TIẾN ĐỘ MUA HÀNG'!$A$5:$AT644, 0, XMATCH("NCC VTBB/NL trong nước", '6. TIẾN ĐỘ MUA HÀNG'!$A$4:$AT$4, 0))) = TRIM($B68)) * (TRIM(INDEX('6. TIẾN ĐỘ MUA HÀNG'!$A$5:$AT644, 0, XMATCH("Tháng", '6. TIẾN ĐỘ MUA HÀNG'!$A$4:$AT$4, 0))) = TRIM(X$6)) * (INDEX('6. TIẾN ĐỘ MUA HÀNG'!$A$5:$AT644, 0, XMATCH("Mã đơn Misa", '6. TIẾN ĐỘ MUA HÀNG'!$A$4:$AT$4, 0)) &lt;&gt; ""))</f>
        <v>0</v>
      </c>
      <c r="Y68" s="756">
        <f t="array" ref="Y68">SUMPRODUCT(
  (INDEX('6. TIẾN ĐỘ MUA HÀNG'!$A$5:$AT644, 0, XMATCH("NCC VTBB/NL trong nước", '6. TIẾN ĐỘ MUA HÀNG'!$A$4:$AT$4, 0)) = $B68) * (TRIM(INDEX('6. TIẾN ĐỘ MUA HÀNG'!$A$5:$AT644, 0, XMATCH("Tháng", '6. TIẾN ĐỘ MUA HÀNG'!$A$4:$AT$4, 0))) = TRIM(X$6)) * (INDEX('6. TIẾN ĐỘ MUA HÀNG'!$A$5:$AT644, 0, XMATCH("CL NGÀY NCC DỰ KIẾN - NGÀY NHẬN HÀNG", '6. TIẾN ĐỘ MUA HÀNG'!$A$4:$AT$4, 0)) &lt; 0)
)</f>
        <v>0</v>
      </c>
      <c r="Z68" s="757">
        <f t="shared" si="21"/>
        <v>0</v>
      </c>
      <c r="AA68" s="754">
        <f t="array" ref="AA68">SUMPRODUCT((TRIM(INDEX('6. TIẾN ĐỘ MUA HÀNG'!$A$5:$AT644, 0, XMATCH("NCC VTBB/NL trong nước", '6. TIẾN ĐỘ MUA HÀNG'!$A$4:$AT$4, 0))) = TRIM($B68)) * (TRIM(INDEX('6. TIẾN ĐỘ MUA HÀNG'!$A$5:$AT644, 0, XMATCH("Tháng", '6. TIẾN ĐỘ MUA HÀNG'!$A$4:$AT$4, 0))) = TRIM(AA$6)) * (INDEX('6. TIẾN ĐỘ MUA HÀNG'!$A$5:$AT644, 0, XMATCH("Mã đơn Misa", '6. TIẾN ĐỘ MUA HÀNG'!$A$4:$AT$4, 0)) &lt;&gt; ""))</f>
        <v>0</v>
      </c>
      <c r="AB68" s="754">
        <f t="array" ref="AB68">SUMPRODUCT(
  (INDEX('6. TIẾN ĐỘ MUA HÀNG'!$A$5:$AT644, 0, XMATCH("NCC VTBB/NL trong nước", '6. TIẾN ĐỘ MUA HÀNG'!$A$4:$AT$4, 0)) = $B68) * (TRIM(INDEX('6. TIẾN ĐỘ MUA HÀNG'!$A$5:$AT644, 0, XMATCH("Tháng", '6. TIẾN ĐỘ MUA HÀNG'!$A$4:$AT$4, 0))) = TRIM(AA$6)) * (INDEX('6. TIẾN ĐỘ MUA HÀNG'!$A$5:$AT644, 0, XMATCH("CL NGÀY NCC DỰ KIẾN - NGÀY NHẬN HÀNG", '6. TIẾN ĐỘ MUA HÀNG'!$A$4:$AT$4, 0)) &lt; 0)
)</f>
        <v>0</v>
      </c>
      <c r="AC68" s="755">
        <f t="shared" si="33"/>
        <v>0</v>
      </c>
      <c r="AD68" s="756">
        <f t="array" ref="AD68">SUMPRODUCT((TRIM(INDEX('6. TIẾN ĐỘ MUA HÀNG'!$A$5:$AT644, 0, XMATCH("NCC VTBB/NL trong nước", '6. TIẾN ĐỘ MUA HÀNG'!$A$4:$AT$4, 0))) = TRIM($B68)) * (TRIM(INDEX('6. TIẾN ĐỘ MUA HÀNG'!$A$5:$AT644, 0, XMATCH("Tháng", '6. TIẾN ĐỘ MUA HÀNG'!$A$4:$AT$4, 0))) = TRIM(AD$6)) * (INDEX('6. TIẾN ĐỘ MUA HÀNG'!$A$5:$AT644, 0, XMATCH("Mã đơn Misa", '6. TIẾN ĐỘ MUA HÀNG'!$A$4:$AT$4, 0)) &lt;&gt; ""))</f>
        <v>0</v>
      </c>
      <c r="AE68" s="756">
        <f t="array" ref="AE68">SUMPRODUCT(
  (INDEX('6. TIẾN ĐỘ MUA HÀNG'!$A$5:$AT644, 0, XMATCH("NCC VTBB/NL trong nước", '6. TIẾN ĐỘ MUA HÀNG'!$A$4:$AT$4, 0)) = $B68) * (TRIM(INDEX('6. TIẾN ĐỘ MUA HÀNG'!$A$5:$AT644, 0, XMATCH("Tháng", '6. TIẾN ĐỘ MUA HÀNG'!$A$4:$AT$4, 0))) = TRIM(AD$6)) * (INDEX('6. TIẾN ĐỘ MUA HÀNG'!$A$5:$AT644, 0, XMATCH("CL NGÀY NCC DỰ KIẾN - NGÀY NHẬN HÀNG", '6. TIẾN ĐỘ MUA HÀNG'!$A$4:$AT$4, 0)) &lt; 0)
)</f>
        <v>0</v>
      </c>
      <c r="AF68" s="757">
        <f t="shared" si="23"/>
        <v>0</v>
      </c>
      <c r="AG68" s="754">
        <f t="array" ref="AG68">SUMPRODUCT((TRIM(INDEX('6. TIẾN ĐỘ MUA HÀNG'!$A$5:$AT644, 0, XMATCH("NCC VTBB/NL trong nước", '6. TIẾN ĐỘ MUA HÀNG'!$A$4:$AT$4, 0))) = TRIM($B68)) * (TRIM(INDEX('6. TIẾN ĐỘ MUA HÀNG'!$A$5:$AT644, 0, XMATCH("Tháng", '6. TIẾN ĐỘ MUA HÀNG'!$A$4:$AT$4, 0))) = TRIM(AG$6)) * (INDEX('6. TIẾN ĐỘ MUA HÀNG'!$A$5:$AT644, 0, XMATCH("Mã đơn Misa", '6. TIẾN ĐỘ MUA HÀNG'!$A$4:$AT$4, 0)) &lt;&gt; ""))</f>
        <v>0</v>
      </c>
      <c r="AH68" s="754">
        <f t="array" ref="AH68">SUMPRODUCT(
  (INDEX('6. TIẾN ĐỘ MUA HÀNG'!$A$5:$AT644, 0, XMATCH("NCC VTBB/NL trong nước", '6. TIẾN ĐỘ MUA HÀNG'!$A$4:$AT$4, 0)) = $B68) * (TRIM(INDEX('6. TIẾN ĐỘ MUA HÀNG'!$A$5:$AT644, 0, XMATCH("Tháng", '6. TIẾN ĐỘ MUA HÀNG'!$A$4:$AT$4, 0))) = TRIM(AG$6)) * (INDEX('6. TIẾN ĐỘ MUA HÀNG'!$A$5:$AT644, 0, XMATCH("CL NGÀY NCC DỰ KIẾN - NGÀY NHẬN HÀNG", '6. TIẾN ĐỘ MUA HÀNG'!$A$4:$AT$4, 0)) &lt; 0)
)</f>
        <v>0</v>
      </c>
      <c r="AI68" s="755">
        <f t="shared" si="34"/>
        <v>0</v>
      </c>
      <c r="AJ68" s="756">
        <f t="array" ref="AJ68">SUMPRODUCT((TRIM(INDEX('6. TIẾN ĐỘ MUA HÀNG'!$A$5:$AT644, 0, XMATCH("NCC VTBB/NL trong nước", '6. TIẾN ĐỘ MUA HÀNG'!$A$4:$AT$4, 0))) = TRIM($B68)) * (TRIM(INDEX('6. TIẾN ĐỘ MUA HÀNG'!$A$5:$AT644, 0, XMATCH("Tháng", '6. TIẾN ĐỘ MUA HÀNG'!$A$4:$AT$4, 0))) = TRIM(AJ$6)) * (INDEX('6. TIẾN ĐỘ MUA HÀNG'!$A$5:$AT644, 0, XMATCH("Mã đơn Misa", '6. TIẾN ĐỘ MUA HÀNG'!$A$4:$AT$4, 0)) &lt;&gt; ""))</f>
        <v>0</v>
      </c>
      <c r="AK68" s="756">
        <f t="array" ref="AK68">SUMPRODUCT(
  (INDEX('6. TIẾN ĐỘ MUA HÀNG'!$A$5:$AT644, 0, XMATCH("NCC VTBB/NL trong nước", '6. TIẾN ĐỘ MUA HÀNG'!$A$4:$AT$4, 0)) = $B68) * (TRIM(INDEX('6. TIẾN ĐỘ MUA HÀNG'!$A$5:$AT644, 0, XMATCH("Tháng", '6. TIẾN ĐỘ MUA HÀNG'!$A$4:$AT$4, 0))) = TRIM(AJ$6)) * (INDEX('6. TIẾN ĐỘ MUA HÀNG'!$A$5:$AT644, 0, XMATCH("CL NGÀY NCC DỰ KIẾN - NGÀY NHẬN HÀNG", '6. TIẾN ĐỘ MUA HÀNG'!$A$4:$AT$4, 0)) &lt; 0)
)</f>
        <v>0</v>
      </c>
      <c r="AL68" s="757">
        <f t="shared" si="25"/>
        <v>0</v>
      </c>
      <c r="AM68" s="726">
        <f t="shared" si="27"/>
        <v>0</v>
      </c>
      <c r="AN68" s="726">
        <f t="shared" si="28"/>
        <v>0</v>
      </c>
      <c r="AO68" s="727">
        <f t="shared" si="26"/>
        <v>0</v>
      </c>
    </row>
    <row r="69">
      <c r="A69" s="612">
        <v>61.0</v>
      </c>
      <c r="B69" s="624" t="str">
        <f>IFERROR(__xludf.DUMMYFUNCTION("""COMPUTED_VALUE"""),"Du Bai")</f>
        <v>Du Bai</v>
      </c>
      <c r="C69" s="754">
        <f t="array" ref="C69">SUMPRODUCT((TRIM(INDEX('6. TIẾN ĐỘ MUA HÀNG'!$A$5:$AT644, 0, XMATCH("NCC VTBB/NL trong nước", '6. TIẾN ĐỘ MUA HÀNG'!$A$4:$AT$4, 0))) = TRIM($B69)) * (TRIM(INDEX('6. TIẾN ĐỘ MUA HÀNG'!$A$5:$AT644, 0, XMATCH("Tháng", '6. TIẾN ĐỘ MUA HÀNG'!$A$4:$AT$4, 0))) = TRIM(C$6)) * (INDEX('6. TIẾN ĐỘ MUA HÀNG'!$A$5:$AT644, 0, XMATCH("Mã đơn Misa", '6. TIẾN ĐỘ MUA HÀNG'!$A$4:$AT$4, 0)) &lt;&gt; ""))</f>
        <v>0</v>
      </c>
      <c r="D69" s="754">
        <f t="array" ref="D69">SUMPRODUCT(
  (INDEX('6. TIẾN ĐỘ MUA HÀNG'!$A$5:$AT644, 0, XMATCH("NCC VTBB/NL trong nước", '6. TIẾN ĐỘ MUA HÀNG'!$A$4:$AT$4, 0)) = $B69) * (TRIM(INDEX('6. TIẾN ĐỘ MUA HÀNG'!$A$5:$AT644, 0, XMATCH("Tháng", '6. TIẾN ĐỘ MUA HÀNG'!$A$4:$AT$4, 0))) = TRIM(C$6)) * (INDEX('6. TIẾN ĐỘ MUA HÀNG'!$A$5:$AT644, 0, XMATCH("CL NGÀY NCC DỰ KIẾN - NGÀY NHẬN HÀNG", '6. TIẾN ĐỘ MUA HÀNG'!$A$4:$AT$4, 0)) &lt; 0)
)</f>
        <v>0</v>
      </c>
      <c r="E69" s="755">
        <f t="shared" si="29"/>
        <v>0</v>
      </c>
      <c r="F69" s="756">
        <f t="array" ref="F69">SUMPRODUCT((TRIM(INDEX('6. TIẾN ĐỘ MUA HÀNG'!$A$5:$AT644, 0, XMATCH("NCC VTBB/NL trong nước", '6. TIẾN ĐỘ MUA HÀNG'!$A$4:$AT$4, 0))) = TRIM($B69)) * (TRIM(INDEX('6. TIẾN ĐỘ MUA HÀNG'!$A$5:$AT644, 0, XMATCH("Tháng", '6. TIẾN ĐỘ MUA HÀNG'!$A$4:$AT$4, 0))) = TRIM(F$6)) * (INDEX('6. TIẾN ĐỘ MUA HÀNG'!$A$5:$AT644, 0, XMATCH("Mã đơn Misa", '6. TIẾN ĐỘ MUA HÀNG'!$A$4:$AT$4, 0)) &lt;&gt; ""))</f>
        <v>0</v>
      </c>
      <c r="G69" s="756">
        <f t="array" ref="G69">SUMPRODUCT(
  (INDEX('6. TIẾN ĐỘ MUA HÀNG'!$A$5:$AT644, 0, XMATCH("NCC VTBB/NL trong nước", '6. TIẾN ĐỘ MUA HÀNG'!$A$4:$AT$4, 0)) = $B69) * (TRIM(INDEX('6. TIẾN ĐỘ MUA HÀNG'!$A$5:$AT644, 0, XMATCH("Tháng", '6. TIẾN ĐỘ MUA HÀNG'!$A$4:$AT$4, 0))) = TRIM(F$6)) * (INDEX('6. TIẾN ĐỘ MUA HÀNG'!$A$5:$AT644, 0, XMATCH("CL NGÀY NCC DỰ KIẾN - NGÀY NHẬN HÀNG", '6. TIẾN ĐỘ MUA HÀNG'!$A$4:$AT$4, 0)) &lt; 0)
)</f>
        <v>0</v>
      </c>
      <c r="H69" s="757">
        <f t="shared" si="15"/>
        <v>0</v>
      </c>
      <c r="I69" s="754">
        <f t="array" ref="I69">SUMPRODUCT((TRIM(INDEX('6. TIẾN ĐỘ MUA HÀNG'!$A$5:$AT644, 0, XMATCH("NCC VTBB/NL trong nước", '6. TIẾN ĐỘ MUA HÀNG'!$A$4:$AT$4, 0))) = TRIM($B69)) * (TRIM(INDEX('6. TIẾN ĐỘ MUA HÀNG'!$A$5:$AT644, 0, XMATCH("Tháng", '6. TIẾN ĐỘ MUA HÀNG'!$A$4:$AT$4, 0))) = TRIM(I$6)) * (INDEX('6. TIẾN ĐỘ MUA HÀNG'!$A$5:$AT644, 0, XMATCH("Mã đơn Misa", '6. TIẾN ĐỘ MUA HÀNG'!$A$4:$AT$4, 0)) &lt;&gt; ""))</f>
        <v>0</v>
      </c>
      <c r="J69" s="754">
        <f t="array" ref="J69">SUMPRODUCT(
  (INDEX('6. TIẾN ĐỘ MUA HÀNG'!$A$5:$AT644, 0, XMATCH("NCC VTBB/NL trong nước", '6. TIẾN ĐỘ MUA HÀNG'!$A$4:$AT$4, 0)) = $B69) * (TRIM(INDEX('6. TIẾN ĐỘ MUA HÀNG'!$A$5:$AT644, 0, XMATCH("Tháng", '6. TIẾN ĐỘ MUA HÀNG'!$A$4:$AT$4, 0))) = TRIM(I$6)) * (INDEX('6. TIẾN ĐỘ MUA HÀNG'!$A$5:$AT644, 0, XMATCH("CL NGÀY NCC DỰ KIẾN - NGÀY NHẬN HÀNG", '6. TIẾN ĐỘ MUA HÀNG'!$A$4:$AT$4, 0)) &lt; 0)
)</f>
        <v>0</v>
      </c>
      <c r="K69" s="755">
        <f t="shared" si="30"/>
        <v>0</v>
      </c>
      <c r="L69" s="756">
        <f t="array" ref="L69">SUMPRODUCT((TRIM(INDEX('6. TIẾN ĐỘ MUA HÀNG'!$A$5:$AT644, 0, XMATCH("NCC VTBB/NL trong nước", '6. TIẾN ĐỘ MUA HÀNG'!$A$4:$AT$4, 0))) = TRIM($B69)) * (TRIM(INDEX('6. TIẾN ĐỘ MUA HÀNG'!$A$5:$AT644, 0, XMATCH("Tháng", '6. TIẾN ĐỘ MUA HÀNG'!$A$4:$AT$4, 0))) = TRIM(L$6)) * (INDEX('6. TIẾN ĐỘ MUA HÀNG'!$A$5:$AT644, 0, XMATCH("Mã đơn Misa", '6. TIẾN ĐỘ MUA HÀNG'!$A$4:$AT$4, 0)) &lt;&gt; ""))</f>
        <v>0</v>
      </c>
      <c r="M69" s="756">
        <f t="array" ref="M69">SUMPRODUCT(
  (INDEX('6. TIẾN ĐỘ MUA HÀNG'!$A$5:$AT644, 0, XMATCH("NCC VTBB/NL trong nước", '6. TIẾN ĐỘ MUA HÀNG'!$A$4:$AT$4, 0)) = $B69) * (TRIM(INDEX('6. TIẾN ĐỘ MUA HÀNG'!$A$5:$AT644, 0, XMATCH("Tháng", '6. TIẾN ĐỘ MUA HÀNG'!$A$4:$AT$4, 0))) = TRIM(L$6)) * (INDEX('6. TIẾN ĐỘ MUA HÀNG'!$A$5:$AT644, 0, XMATCH("CL NGÀY NCC DỰ KIẾN - NGÀY NHẬN HÀNG", '6. TIẾN ĐỘ MUA HÀNG'!$A$4:$AT$4, 0)) &lt; 0)
)</f>
        <v>0</v>
      </c>
      <c r="N69" s="757">
        <f t="shared" si="17"/>
        <v>0</v>
      </c>
      <c r="O69" s="754">
        <f t="array" ref="O69">SUMPRODUCT((TRIM(INDEX('6. TIẾN ĐỘ MUA HÀNG'!$A$5:$AT644, 0, XMATCH("NCC VTBB/NL trong nước", '6. TIẾN ĐỘ MUA HÀNG'!$A$4:$AT$4, 0))) = TRIM($B69)) * (TRIM(INDEX('6. TIẾN ĐỘ MUA HÀNG'!$A$5:$AT644, 0, XMATCH("Tháng", '6. TIẾN ĐỘ MUA HÀNG'!$A$4:$AT$4, 0))) = TRIM(O$6)) * (INDEX('6. TIẾN ĐỘ MUA HÀNG'!$A$5:$AT644, 0, XMATCH("Mã đơn Misa", '6. TIẾN ĐỘ MUA HÀNG'!$A$4:$AT$4, 0)) &lt;&gt; ""))</f>
        <v>0</v>
      </c>
      <c r="P69" s="754">
        <f t="array" ref="P69">SUMPRODUCT(
  (INDEX('6. TIẾN ĐỘ MUA HÀNG'!$A$5:$AT644, 0, XMATCH("NCC VTBB/NL trong nước", '6. TIẾN ĐỘ MUA HÀNG'!$A$4:$AT$4, 0)) = $B69) * (TRIM(INDEX('6. TIẾN ĐỘ MUA HÀNG'!$A$5:$AT644, 0, XMATCH("Tháng", '6. TIẾN ĐỘ MUA HÀNG'!$A$4:$AT$4, 0))) = TRIM(O$6)) * (INDEX('6. TIẾN ĐỘ MUA HÀNG'!$A$5:$AT644, 0, XMATCH("CL NGÀY NCC DỰ KIẾN - NGÀY NHẬN HÀNG", '6. TIẾN ĐỘ MUA HÀNG'!$A$4:$AT$4, 0)) &lt; 0)
)</f>
        <v>0</v>
      </c>
      <c r="Q69" s="755">
        <f t="shared" si="31"/>
        <v>0</v>
      </c>
      <c r="R69" s="756">
        <f t="array" ref="R69">SUMPRODUCT((TRIM(INDEX('6. TIẾN ĐỘ MUA HÀNG'!$A$5:$AT644, 0, XMATCH("NCC VTBB/NL trong nước", '6. TIẾN ĐỘ MUA HÀNG'!$A$4:$AT$4, 0))) = TRIM($B69)) * (TRIM(INDEX('6. TIẾN ĐỘ MUA HÀNG'!$A$5:$AT644, 0, XMATCH("Tháng", '6. TIẾN ĐỘ MUA HÀNG'!$A$4:$AT$4, 0))) = TRIM(R$6)) * (INDEX('6. TIẾN ĐỘ MUA HÀNG'!$A$5:$AT644, 0, XMATCH("Mã đơn Misa", '6. TIẾN ĐỘ MUA HÀNG'!$A$4:$AT$4, 0)) &lt;&gt; ""))</f>
        <v>0</v>
      </c>
      <c r="S69" s="756">
        <f t="array" ref="S69">SUMPRODUCT(
  (INDEX('6. TIẾN ĐỘ MUA HÀNG'!$A$5:$AT644, 0, XMATCH("NCC VTBB/NL trong nước", '6. TIẾN ĐỘ MUA HÀNG'!$A$4:$AT$4, 0)) = $B69) * (TRIM(INDEX('6. TIẾN ĐỘ MUA HÀNG'!$A$5:$AT644, 0, XMATCH("Tháng", '6. TIẾN ĐỘ MUA HÀNG'!$A$4:$AT$4, 0))) = TRIM(R$6)) * (INDEX('6. TIẾN ĐỘ MUA HÀNG'!$A$5:$AT644, 0, XMATCH("CL NGÀY NCC DỰ KIẾN - NGÀY NHẬN HÀNG", '6. TIẾN ĐỘ MUA HÀNG'!$A$4:$AT$4, 0)) &lt; 0)
)</f>
        <v>0</v>
      </c>
      <c r="T69" s="757">
        <f t="shared" si="19"/>
        <v>0</v>
      </c>
      <c r="U69" s="754">
        <f t="array" ref="U69">SUMPRODUCT((TRIM(INDEX('6. TIẾN ĐỘ MUA HÀNG'!$A$5:$AT644, 0, XMATCH("NCC VTBB/NL trong nước", '6. TIẾN ĐỘ MUA HÀNG'!$A$4:$AT$4, 0))) = TRIM($B69)) * (TRIM(INDEX('6. TIẾN ĐỘ MUA HÀNG'!$A$5:$AT644, 0, XMATCH("Tháng", '6. TIẾN ĐỘ MUA HÀNG'!$A$4:$AT$4, 0))) = TRIM(U$6)) * (INDEX('6. TIẾN ĐỘ MUA HÀNG'!$A$5:$AT644, 0, XMATCH("Mã đơn Misa", '6. TIẾN ĐỘ MUA HÀNG'!$A$4:$AT$4, 0)) &lt;&gt; ""))</f>
        <v>0</v>
      </c>
      <c r="V69" s="754">
        <f t="array" ref="V69">SUMPRODUCT(
  (INDEX('6. TIẾN ĐỘ MUA HÀNG'!$A$5:$AT644, 0, XMATCH("NCC VTBB/NL trong nước", '6. TIẾN ĐỘ MUA HÀNG'!$A$4:$AT$4, 0)) = $B69) * (TRIM(INDEX('6. TIẾN ĐỘ MUA HÀNG'!$A$5:$AT644, 0, XMATCH("Tháng", '6. TIẾN ĐỘ MUA HÀNG'!$A$4:$AT$4, 0))) = TRIM(U$6)) * (INDEX('6. TIẾN ĐỘ MUA HÀNG'!$A$5:$AT644, 0, XMATCH("CL NGÀY NCC DỰ KIẾN - NGÀY NHẬN HÀNG", '6. TIẾN ĐỘ MUA HÀNG'!$A$4:$AT$4, 0)) &lt; 0)
)</f>
        <v>0</v>
      </c>
      <c r="W69" s="755">
        <f t="shared" si="32"/>
        <v>0</v>
      </c>
      <c r="X69" s="756">
        <f t="array" ref="X69">SUMPRODUCT((TRIM(INDEX('6. TIẾN ĐỘ MUA HÀNG'!$A$5:$AT644, 0, XMATCH("NCC VTBB/NL trong nước", '6. TIẾN ĐỘ MUA HÀNG'!$A$4:$AT$4, 0))) = TRIM($B69)) * (TRIM(INDEX('6. TIẾN ĐỘ MUA HÀNG'!$A$5:$AT644, 0, XMATCH("Tháng", '6. TIẾN ĐỘ MUA HÀNG'!$A$4:$AT$4, 0))) = TRIM(X$6)) * (INDEX('6. TIẾN ĐỘ MUA HÀNG'!$A$5:$AT644, 0, XMATCH("Mã đơn Misa", '6. TIẾN ĐỘ MUA HÀNG'!$A$4:$AT$4, 0)) &lt;&gt; ""))</f>
        <v>0</v>
      </c>
      <c r="Y69" s="756">
        <f t="array" ref="Y69">SUMPRODUCT(
  (INDEX('6. TIẾN ĐỘ MUA HÀNG'!$A$5:$AT644, 0, XMATCH("NCC VTBB/NL trong nước", '6. TIẾN ĐỘ MUA HÀNG'!$A$4:$AT$4, 0)) = $B69) * (TRIM(INDEX('6. TIẾN ĐỘ MUA HÀNG'!$A$5:$AT644, 0, XMATCH("Tháng", '6. TIẾN ĐỘ MUA HÀNG'!$A$4:$AT$4, 0))) = TRIM(X$6)) * (INDEX('6. TIẾN ĐỘ MUA HÀNG'!$A$5:$AT644, 0, XMATCH("CL NGÀY NCC DỰ KIẾN - NGÀY NHẬN HÀNG", '6. TIẾN ĐỘ MUA HÀNG'!$A$4:$AT$4, 0)) &lt; 0)
)</f>
        <v>0</v>
      </c>
      <c r="Z69" s="757">
        <f t="shared" si="21"/>
        <v>0</v>
      </c>
      <c r="AA69" s="754">
        <f t="array" ref="AA69">SUMPRODUCT((TRIM(INDEX('6. TIẾN ĐỘ MUA HÀNG'!$A$5:$AT644, 0, XMATCH("NCC VTBB/NL trong nước", '6. TIẾN ĐỘ MUA HÀNG'!$A$4:$AT$4, 0))) = TRIM($B69)) * (TRIM(INDEX('6. TIẾN ĐỘ MUA HÀNG'!$A$5:$AT644, 0, XMATCH("Tháng", '6. TIẾN ĐỘ MUA HÀNG'!$A$4:$AT$4, 0))) = TRIM(AA$6)) * (INDEX('6. TIẾN ĐỘ MUA HÀNG'!$A$5:$AT644, 0, XMATCH("Mã đơn Misa", '6. TIẾN ĐỘ MUA HÀNG'!$A$4:$AT$4, 0)) &lt;&gt; ""))</f>
        <v>0</v>
      </c>
      <c r="AB69" s="754">
        <f t="array" ref="AB69">SUMPRODUCT(
  (INDEX('6. TIẾN ĐỘ MUA HÀNG'!$A$5:$AT644, 0, XMATCH("NCC VTBB/NL trong nước", '6. TIẾN ĐỘ MUA HÀNG'!$A$4:$AT$4, 0)) = $B69) * (TRIM(INDEX('6. TIẾN ĐỘ MUA HÀNG'!$A$5:$AT644, 0, XMATCH("Tháng", '6. TIẾN ĐỘ MUA HÀNG'!$A$4:$AT$4, 0))) = TRIM(AA$6)) * (INDEX('6. TIẾN ĐỘ MUA HÀNG'!$A$5:$AT644, 0, XMATCH("CL NGÀY NCC DỰ KIẾN - NGÀY NHẬN HÀNG", '6. TIẾN ĐỘ MUA HÀNG'!$A$4:$AT$4, 0)) &lt; 0)
)</f>
        <v>0</v>
      </c>
      <c r="AC69" s="755">
        <f t="shared" si="33"/>
        <v>0</v>
      </c>
      <c r="AD69" s="756">
        <f t="array" ref="AD69">SUMPRODUCT((TRIM(INDEX('6. TIẾN ĐỘ MUA HÀNG'!$A$5:$AT644, 0, XMATCH("NCC VTBB/NL trong nước", '6. TIẾN ĐỘ MUA HÀNG'!$A$4:$AT$4, 0))) = TRIM($B69)) * (TRIM(INDEX('6. TIẾN ĐỘ MUA HÀNG'!$A$5:$AT644, 0, XMATCH("Tháng", '6. TIẾN ĐỘ MUA HÀNG'!$A$4:$AT$4, 0))) = TRIM(AD$6)) * (INDEX('6. TIẾN ĐỘ MUA HÀNG'!$A$5:$AT644, 0, XMATCH("Mã đơn Misa", '6. TIẾN ĐỘ MUA HÀNG'!$A$4:$AT$4, 0)) &lt;&gt; ""))</f>
        <v>0</v>
      </c>
      <c r="AE69" s="756">
        <f t="array" ref="AE69">SUMPRODUCT(
  (INDEX('6. TIẾN ĐỘ MUA HÀNG'!$A$5:$AT644, 0, XMATCH("NCC VTBB/NL trong nước", '6. TIẾN ĐỘ MUA HÀNG'!$A$4:$AT$4, 0)) = $B69) * (TRIM(INDEX('6. TIẾN ĐỘ MUA HÀNG'!$A$5:$AT644, 0, XMATCH("Tháng", '6. TIẾN ĐỘ MUA HÀNG'!$A$4:$AT$4, 0))) = TRIM(AD$6)) * (INDEX('6. TIẾN ĐỘ MUA HÀNG'!$A$5:$AT644, 0, XMATCH("CL NGÀY NCC DỰ KIẾN - NGÀY NHẬN HÀNG", '6. TIẾN ĐỘ MUA HÀNG'!$A$4:$AT$4, 0)) &lt; 0)
)</f>
        <v>0</v>
      </c>
      <c r="AF69" s="757">
        <f t="shared" si="23"/>
        <v>0</v>
      </c>
      <c r="AG69" s="754">
        <f t="array" ref="AG69">SUMPRODUCT((TRIM(INDEX('6. TIẾN ĐỘ MUA HÀNG'!$A$5:$AT644, 0, XMATCH("NCC VTBB/NL trong nước", '6. TIẾN ĐỘ MUA HÀNG'!$A$4:$AT$4, 0))) = TRIM($B69)) * (TRIM(INDEX('6. TIẾN ĐỘ MUA HÀNG'!$A$5:$AT644, 0, XMATCH("Tháng", '6. TIẾN ĐỘ MUA HÀNG'!$A$4:$AT$4, 0))) = TRIM(AG$6)) * (INDEX('6. TIẾN ĐỘ MUA HÀNG'!$A$5:$AT644, 0, XMATCH("Mã đơn Misa", '6. TIẾN ĐỘ MUA HÀNG'!$A$4:$AT$4, 0)) &lt;&gt; ""))</f>
        <v>0</v>
      </c>
      <c r="AH69" s="754">
        <f t="array" ref="AH69">SUMPRODUCT(
  (INDEX('6. TIẾN ĐỘ MUA HÀNG'!$A$5:$AT644, 0, XMATCH("NCC VTBB/NL trong nước", '6. TIẾN ĐỘ MUA HÀNG'!$A$4:$AT$4, 0)) = $B69) * (TRIM(INDEX('6. TIẾN ĐỘ MUA HÀNG'!$A$5:$AT644, 0, XMATCH("Tháng", '6. TIẾN ĐỘ MUA HÀNG'!$A$4:$AT$4, 0))) = TRIM(AG$6)) * (INDEX('6. TIẾN ĐỘ MUA HÀNG'!$A$5:$AT644, 0, XMATCH("CL NGÀY NCC DỰ KIẾN - NGÀY NHẬN HÀNG", '6. TIẾN ĐỘ MUA HÀNG'!$A$4:$AT$4, 0)) &lt; 0)
)</f>
        <v>0</v>
      </c>
      <c r="AI69" s="755">
        <f t="shared" si="34"/>
        <v>0</v>
      </c>
      <c r="AJ69" s="756">
        <f t="array" ref="AJ69">SUMPRODUCT((TRIM(INDEX('6. TIẾN ĐỘ MUA HÀNG'!$A$5:$AT644, 0, XMATCH("NCC VTBB/NL trong nước", '6. TIẾN ĐỘ MUA HÀNG'!$A$4:$AT$4, 0))) = TRIM($B69)) * (TRIM(INDEX('6. TIẾN ĐỘ MUA HÀNG'!$A$5:$AT644, 0, XMATCH("Tháng", '6. TIẾN ĐỘ MUA HÀNG'!$A$4:$AT$4, 0))) = TRIM(AJ$6)) * (INDEX('6. TIẾN ĐỘ MUA HÀNG'!$A$5:$AT644, 0, XMATCH("Mã đơn Misa", '6. TIẾN ĐỘ MUA HÀNG'!$A$4:$AT$4, 0)) &lt;&gt; ""))</f>
        <v>0</v>
      </c>
      <c r="AK69" s="756">
        <f t="array" ref="AK69">SUMPRODUCT(
  (INDEX('6. TIẾN ĐỘ MUA HÀNG'!$A$5:$AT644, 0, XMATCH("NCC VTBB/NL trong nước", '6. TIẾN ĐỘ MUA HÀNG'!$A$4:$AT$4, 0)) = $B69) * (TRIM(INDEX('6. TIẾN ĐỘ MUA HÀNG'!$A$5:$AT644, 0, XMATCH("Tháng", '6. TIẾN ĐỘ MUA HÀNG'!$A$4:$AT$4, 0))) = TRIM(AJ$6)) * (INDEX('6. TIẾN ĐỘ MUA HÀNG'!$A$5:$AT644, 0, XMATCH("CL NGÀY NCC DỰ KIẾN - NGÀY NHẬN HÀNG", '6. TIẾN ĐỘ MUA HÀNG'!$A$4:$AT$4, 0)) &lt; 0)
)</f>
        <v>0</v>
      </c>
      <c r="AL69" s="757">
        <f t="shared" si="25"/>
        <v>0</v>
      </c>
      <c r="AM69" s="726">
        <f t="shared" si="27"/>
        <v>0</v>
      </c>
      <c r="AN69" s="726">
        <f t="shared" si="28"/>
        <v>0</v>
      </c>
      <c r="AO69" s="727">
        <f t="shared" si="26"/>
        <v>0</v>
      </c>
    </row>
    <row r="70">
      <c r="A70" s="612">
        <v>62.0</v>
      </c>
      <c r="B70" s="624" t="str">
        <f>IFERROR(__xludf.DUMMYFUNCTION("""COMPUTED_VALUE"""),"Gemachem")</f>
        <v>Gemachem</v>
      </c>
      <c r="C70" s="754">
        <f t="array" ref="C70">SUMPRODUCT((TRIM(INDEX('6. TIẾN ĐỘ MUA HÀNG'!$A$5:$AT644, 0, XMATCH("NCC VTBB/NL trong nước", '6. TIẾN ĐỘ MUA HÀNG'!$A$4:$AT$4, 0))) = TRIM($B70)) * (TRIM(INDEX('6. TIẾN ĐỘ MUA HÀNG'!$A$5:$AT644, 0, XMATCH("Tháng", '6. TIẾN ĐỘ MUA HÀNG'!$A$4:$AT$4, 0))) = TRIM(C$6)) * (INDEX('6. TIẾN ĐỘ MUA HÀNG'!$A$5:$AT644, 0, XMATCH("Mã đơn Misa", '6. TIẾN ĐỘ MUA HÀNG'!$A$4:$AT$4, 0)) &lt;&gt; ""))</f>
        <v>0</v>
      </c>
      <c r="D70" s="754">
        <f t="array" ref="D70">SUMPRODUCT(
  (INDEX('6. TIẾN ĐỘ MUA HÀNG'!$A$5:$AT644, 0, XMATCH("NCC VTBB/NL trong nước", '6. TIẾN ĐỘ MUA HÀNG'!$A$4:$AT$4, 0)) = $B70) * (TRIM(INDEX('6. TIẾN ĐỘ MUA HÀNG'!$A$5:$AT644, 0, XMATCH("Tháng", '6. TIẾN ĐỘ MUA HÀNG'!$A$4:$AT$4, 0))) = TRIM(C$6)) * (INDEX('6. TIẾN ĐỘ MUA HÀNG'!$A$5:$AT644, 0, XMATCH("CL NGÀY NCC DỰ KIẾN - NGÀY NHẬN HÀNG", '6. TIẾN ĐỘ MUA HÀNG'!$A$4:$AT$4, 0)) &lt; 0)
)</f>
        <v>0</v>
      </c>
      <c r="E70" s="755">
        <f t="shared" si="29"/>
        <v>0</v>
      </c>
      <c r="F70" s="756">
        <f t="array" ref="F70">SUMPRODUCT((TRIM(INDEX('6. TIẾN ĐỘ MUA HÀNG'!$A$5:$AT644, 0, XMATCH("NCC VTBB/NL trong nước", '6. TIẾN ĐỘ MUA HÀNG'!$A$4:$AT$4, 0))) = TRIM($B70)) * (TRIM(INDEX('6. TIẾN ĐỘ MUA HÀNG'!$A$5:$AT644, 0, XMATCH("Tháng", '6. TIẾN ĐỘ MUA HÀNG'!$A$4:$AT$4, 0))) = TRIM(F$6)) * (INDEX('6. TIẾN ĐỘ MUA HÀNG'!$A$5:$AT644, 0, XMATCH("Mã đơn Misa", '6. TIẾN ĐỘ MUA HÀNG'!$A$4:$AT$4, 0)) &lt;&gt; ""))</f>
        <v>0</v>
      </c>
      <c r="G70" s="756">
        <f t="array" ref="G70">SUMPRODUCT(
  (INDEX('6. TIẾN ĐỘ MUA HÀNG'!$A$5:$AT644, 0, XMATCH("NCC VTBB/NL trong nước", '6. TIẾN ĐỘ MUA HÀNG'!$A$4:$AT$4, 0)) = $B70) * (TRIM(INDEX('6. TIẾN ĐỘ MUA HÀNG'!$A$5:$AT644, 0, XMATCH("Tháng", '6. TIẾN ĐỘ MUA HÀNG'!$A$4:$AT$4, 0))) = TRIM(F$6)) * (INDEX('6. TIẾN ĐỘ MUA HÀNG'!$A$5:$AT644, 0, XMATCH("CL NGÀY NCC DỰ KIẾN - NGÀY NHẬN HÀNG", '6. TIẾN ĐỘ MUA HÀNG'!$A$4:$AT$4, 0)) &lt; 0)
)</f>
        <v>0</v>
      </c>
      <c r="H70" s="757">
        <f t="shared" si="15"/>
        <v>0</v>
      </c>
      <c r="I70" s="754">
        <f t="array" ref="I70">SUMPRODUCT((TRIM(INDEX('6. TIẾN ĐỘ MUA HÀNG'!$A$5:$AT644, 0, XMATCH("NCC VTBB/NL trong nước", '6. TIẾN ĐỘ MUA HÀNG'!$A$4:$AT$4, 0))) = TRIM($B70)) * (TRIM(INDEX('6. TIẾN ĐỘ MUA HÀNG'!$A$5:$AT644, 0, XMATCH("Tháng", '6. TIẾN ĐỘ MUA HÀNG'!$A$4:$AT$4, 0))) = TRIM(I$6)) * (INDEX('6. TIẾN ĐỘ MUA HÀNG'!$A$5:$AT644, 0, XMATCH("Mã đơn Misa", '6. TIẾN ĐỘ MUA HÀNG'!$A$4:$AT$4, 0)) &lt;&gt; ""))</f>
        <v>0</v>
      </c>
      <c r="J70" s="754">
        <f t="array" ref="J70">SUMPRODUCT(
  (INDEX('6. TIẾN ĐỘ MUA HÀNG'!$A$5:$AT644, 0, XMATCH("NCC VTBB/NL trong nước", '6. TIẾN ĐỘ MUA HÀNG'!$A$4:$AT$4, 0)) = $B70) * (TRIM(INDEX('6. TIẾN ĐỘ MUA HÀNG'!$A$5:$AT644, 0, XMATCH("Tháng", '6. TIẾN ĐỘ MUA HÀNG'!$A$4:$AT$4, 0))) = TRIM(I$6)) * (INDEX('6. TIẾN ĐỘ MUA HÀNG'!$A$5:$AT644, 0, XMATCH("CL NGÀY NCC DỰ KIẾN - NGÀY NHẬN HÀNG", '6. TIẾN ĐỘ MUA HÀNG'!$A$4:$AT$4, 0)) &lt; 0)
)</f>
        <v>0</v>
      </c>
      <c r="K70" s="755">
        <f t="shared" si="30"/>
        <v>0</v>
      </c>
      <c r="L70" s="756">
        <f t="array" ref="L70">SUMPRODUCT((TRIM(INDEX('6. TIẾN ĐỘ MUA HÀNG'!$A$5:$AT644, 0, XMATCH("NCC VTBB/NL trong nước", '6. TIẾN ĐỘ MUA HÀNG'!$A$4:$AT$4, 0))) = TRIM($B70)) * (TRIM(INDEX('6. TIẾN ĐỘ MUA HÀNG'!$A$5:$AT644, 0, XMATCH("Tháng", '6. TIẾN ĐỘ MUA HÀNG'!$A$4:$AT$4, 0))) = TRIM(L$6)) * (INDEX('6. TIẾN ĐỘ MUA HÀNG'!$A$5:$AT644, 0, XMATCH("Mã đơn Misa", '6. TIẾN ĐỘ MUA HÀNG'!$A$4:$AT$4, 0)) &lt;&gt; ""))</f>
        <v>0</v>
      </c>
      <c r="M70" s="756">
        <f t="array" ref="M70">SUMPRODUCT(
  (INDEX('6. TIẾN ĐỘ MUA HÀNG'!$A$5:$AT644, 0, XMATCH("NCC VTBB/NL trong nước", '6. TIẾN ĐỘ MUA HÀNG'!$A$4:$AT$4, 0)) = $B70) * (TRIM(INDEX('6. TIẾN ĐỘ MUA HÀNG'!$A$5:$AT644, 0, XMATCH("Tháng", '6. TIẾN ĐỘ MUA HÀNG'!$A$4:$AT$4, 0))) = TRIM(L$6)) * (INDEX('6. TIẾN ĐỘ MUA HÀNG'!$A$5:$AT644, 0, XMATCH("CL NGÀY NCC DỰ KIẾN - NGÀY NHẬN HÀNG", '6. TIẾN ĐỘ MUA HÀNG'!$A$4:$AT$4, 0)) &lt; 0)
)</f>
        <v>0</v>
      </c>
      <c r="N70" s="757">
        <f t="shared" si="17"/>
        <v>0</v>
      </c>
      <c r="O70" s="754">
        <f t="array" ref="O70">SUMPRODUCT((TRIM(INDEX('6. TIẾN ĐỘ MUA HÀNG'!$A$5:$AT644, 0, XMATCH("NCC VTBB/NL trong nước", '6. TIẾN ĐỘ MUA HÀNG'!$A$4:$AT$4, 0))) = TRIM($B70)) * (TRIM(INDEX('6. TIẾN ĐỘ MUA HÀNG'!$A$5:$AT644, 0, XMATCH("Tháng", '6. TIẾN ĐỘ MUA HÀNG'!$A$4:$AT$4, 0))) = TRIM(O$6)) * (INDEX('6. TIẾN ĐỘ MUA HÀNG'!$A$5:$AT644, 0, XMATCH("Mã đơn Misa", '6. TIẾN ĐỘ MUA HÀNG'!$A$4:$AT$4, 0)) &lt;&gt; ""))</f>
        <v>0</v>
      </c>
      <c r="P70" s="754">
        <f t="array" ref="P70">SUMPRODUCT(
  (INDEX('6. TIẾN ĐỘ MUA HÀNG'!$A$5:$AT644, 0, XMATCH("NCC VTBB/NL trong nước", '6. TIẾN ĐỘ MUA HÀNG'!$A$4:$AT$4, 0)) = $B70) * (TRIM(INDEX('6. TIẾN ĐỘ MUA HÀNG'!$A$5:$AT644, 0, XMATCH("Tháng", '6. TIẾN ĐỘ MUA HÀNG'!$A$4:$AT$4, 0))) = TRIM(O$6)) * (INDEX('6. TIẾN ĐỘ MUA HÀNG'!$A$5:$AT644, 0, XMATCH("CL NGÀY NCC DỰ KIẾN - NGÀY NHẬN HÀNG", '6. TIẾN ĐỘ MUA HÀNG'!$A$4:$AT$4, 0)) &lt; 0)
)</f>
        <v>0</v>
      </c>
      <c r="Q70" s="755">
        <f t="shared" si="31"/>
        <v>0</v>
      </c>
      <c r="R70" s="756">
        <f t="array" ref="R70">SUMPRODUCT((TRIM(INDEX('6. TIẾN ĐỘ MUA HÀNG'!$A$5:$AT644, 0, XMATCH("NCC VTBB/NL trong nước", '6. TIẾN ĐỘ MUA HÀNG'!$A$4:$AT$4, 0))) = TRIM($B70)) * (TRIM(INDEX('6. TIẾN ĐỘ MUA HÀNG'!$A$5:$AT644, 0, XMATCH("Tháng", '6. TIẾN ĐỘ MUA HÀNG'!$A$4:$AT$4, 0))) = TRIM(R$6)) * (INDEX('6. TIẾN ĐỘ MUA HÀNG'!$A$5:$AT644, 0, XMATCH("Mã đơn Misa", '6. TIẾN ĐỘ MUA HÀNG'!$A$4:$AT$4, 0)) &lt;&gt; ""))</f>
        <v>0</v>
      </c>
      <c r="S70" s="756">
        <f t="array" ref="S70">SUMPRODUCT(
  (INDEX('6. TIẾN ĐỘ MUA HÀNG'!$A$5:$AT644, 0, XMATCH("NCC VTBB/NL trong nước", '6. TIẾN ĐỘ MUA HÀNG'!$A$4:$AT$4, 0)) = $B70) * (TRIM(INDEX('6. TIẾN ĐỘ MUA HÀNG'!$A$5:$AT644, 0, XMATCH("Tháng", '6. TIẾN ĐỘ MUA HÀNG'!$A$4:$AT$4, 0))) = TRIM(R$6)) * (INDEX('6. TIẾN ĐỘ MUA HÀNG'!$A$5:$AT644, 0, XMATCH("CL NGÀY NCC DỰ KIẾN - NGÀY NHẬN HÀNG", '6. TIẾN ĐỘ MUA HÀNG'!$A$4:$AT$4, 0)) &lt; 0)
)</f>
        <v>0</v>
      </c>
      <c r="T70" s="757">
        <f t="shared" si="19"/>
        <v>0</v>
      </c>
      <c r="U70" s="754">
        <f t="array" ref="U70">SUMPRODUCT((TRIM(INDEX('6. TIẾN ĐỘ MUA HÀNG'!$A$5:$AT644, 0, XMATCH("NCC VTBB/NL trong nước", '6. TIẾN ĐỘ MUA HÀNG'!$A$4:$AT$4, 0))) = TRIM($B70)) * (TRIM(INDEX('6. TIẾN ĐỘ MUA HÀNG'!$A$5:$AT644, 0, XMATCH("Tháng", '6. TIẾN ĐỘ MUA HÀNG'!$A$4:$AT$4, 0))) = TRIM(U$6)) * (INDEX('6. TIẾN ĐỘ MUA HÀNG'!$A$5:$AT644, 0, XMATCH("Mã đơn Misa", '6. TIẾN ĐỘ MUA HÀNG'!$A$4:$AT$4, 0)) &lt;&gt; ""))</f>
        <v>0</v>
      </c>
      <c r="V70" s="754">
        <f t="array" ref="V70">SUMPRODUCT(
  (INDEX('6. TIẾN ĐỘ MUA HÀNG'!$A$5:$AT644, 0, XMATCH("NCC VTBB/NL trong nước", '6. TIẾN ĐỘ MUA HÀNG'!$A$4:$AT$4, 0)) = $B70) * (TRIM(INDEX('6. TIẾN ĐỘ MUA HÀNG'!$A$5:$AT644, 0, XMATCH("Tháng", '6. TIẾN ĐỘ MUA HÀNG'!$A$4:$AT$4, 0))) = TRIM(U$6)) * (INDEX('6. TIẾN ĐỘ MUA HÀNG'!$A$5:$AT644, 0, XMATCH("CL NGÀY NCC DỰ KIẾN - NGÀY NHẬN HÀNG", '6. TIẾN ĐỘ MUA HÀNG'!$A$4:$AT$4, 0)) &lt; 0)
)</f>
        <v>0</v>
      </c>
      <c r="W70" s="755">
        <f t="shared" si="32"/>
        <v>0</v>
      </c>
      <c r="X70" s="756">
        <f t="array" ref="X70">SUMPRODUCT((TRIM(INDEX('6. TIẾN ĐỘ MUA HÀNG'!$A$5:$AT644, 0, XMATCH("NCC VTBB/NL trong nước", '6. TIẾN ĐỘ MUA HÀNG'!$A$4:$AT$4, 0))) = TRIM($B70)) * (TRIM(INDEX('6. TIẾN ĐỘ MUA HÀNG'!$A$5:$AT644, 0, XMATCH("Tháng", '6. TIẾN ĐỘ MUA HÀNG'!$A$4:$AT$4, 0))) = TRIM(X$6)) * (INDEX('6. TIẾN ĐỘ MUA HÀNG'!$A$5:$AT644, 0, XMATCH("Mã đơn Misa", '6. TIẾN ĐỘ MUA HÀNG'!$A$4:$AT$4, 0)) &lt;&gt; ""))</f>
        <v>0</v>
      </c>
      <c r="Y70" s="756">
        <f t="array" ref="Y70">SUMPRODUCT(
  (INDEX('6. TIẾN ĐỘ MUA HÀNG'!$A$5:$AT644, 0, XMATCH("NCC VTBB/NL trong nước", '6. TIẾN ĐỘ MUA HÀNG'!$A$4:$AT$4, 0)) = $B70) * (TRIM(INDEX('6. TIẾN ĐỘ MUA HÀNG'!$A$5:$AT644, 0, XMATCH("Tháng", '6. TIẾN ĐỘ MUA HÀNG'!$A$4:$AT$4, 0))) = TRIM(X$6)) * (INDEX('6. TIẾN ĐỘ MUA HÀNG'!$A$5:$AT644, 0, XMATCH("CL NGÀY NCC DỰ KIẾN - NGÀY NHẬN HÀNG", '6. TIẾN ĐỘ MUA HÀNG'!$A$4:$AT$4, 0)) &lt; 0)
)</f>
        <v>0</v>
      </c>
      <c r="Z70" s="757">
        <f t="shared" si="21"/>
        <v>0</v>
      </c>
      <c r="AA70" s="754">
        <f t="array" ref="AA70">SUMPRODUCT((TRIM(INDEX('6. TIẾN ĐỘ MUA HÀNG'!$A$5:$AT644, 0, XMATCH("NCC VTBB/NL trong nước", '6. TIẾN ĐỘ MUA HÀNG'!$A$4:$AT$4, 0))) = TRIM($B70)) * (TRIM(INDEX('6. TIẾN ĐỘ MUA HÀNG'!$A$5:$AT644, 0, XMATCH("Tháng", '6. TIẾN ĐỘ MUA HÀNG'!$A$4:$AT$4, 0))) = TRIM(AA$6)) * (INDEX('6. TIẾN ĐỘ MUA HÀNG'!$A$5:$AT644, 0, XMATCH("Mã đơn Misa", '6. TIẾN ĐỘ MUA HÀNG'!$A$4:$AT$4, 0)) &lt;&gt; ""))</f>
        <v>0</v>
      </c>
      <c r="AB70" s="754">
        <f t="array" ref="AB70">SUMPRODUCT(
  (INDEX('6. TIẾN ĐỘ MUA HÀNG'!$A$5:$AT644, 0, XMATCH("NCC VTBB/NL trong nước", '6. TIẾN ĐỘ MUA HÀNG'!$A$4:$AT$4, 0)) = $B70) * (TRIM(INDEX('6. TIẾN ĐỘ MUA HÀNG'!$A$5:$AT644, 0, XMATCH("Tháng", '6. TIẾN ĐỘ MUA HÀNG'!$A$4:$AT$4, 0))) = TRIM(AA$6)) * (INDEX('6. TIẾN ĐỘ MUA HÀNG'!$A$5:$AT644, 0, XMATCH("CL NGÀY NCC DỰ KIẾN - NGÀY NHẬN HÀNG", '6. TIẾN ĐỘ MUA HÀNG'!$A$4:$AT$4, 0)) &lt; 0)
)</f>
        <v>0</v>
      </c>
      <c r="AC70" s="755">
        <f t="shared" si="33"/>
        <v>0</v>
      </c>
      <c r="AD70" s="756">
        <f t="array" ref="AD70">SUMPRODUCT((TRIM(INDEX('6. TIẾN ĐỘ MUA HÀNG'!$A$5:$AT644, 0, XMATCH("NCC VTBB/NL trong nước", '6. TIẾN ĐỘ MUA HÀNG'!$A$4:$AT$4, 0))) = TRIM($B70)) * (TRIM(INDEX('6. TIẾN ĐỘ MUA HÀNG'!$A$5:$AT644, 0, XMATCH("Tháng", '6. TIẾN ĐỘ MUA HÀNG'!$A$4:$AT$4, 0))) = TRIM(AD$6)) * (INDEX('6. TIẾN ĐỘ MUA HÀNG'!$A$5:$AT644, 0, XMATCH("Mã đơn Misa", '6. TIẾN ĐỘ MUA HÀNG'!$A$4:$AT$4, 0)) &lt;&gt; ""))</f>
        <v>0</v>
      </c>
      <c r="AE70" s="756">
        <f t="array" ref="AE70">SUMPRODUCT(
  (INDEX('6. TIẾN ĐỘ MUA HÀNG'!$A$5:$AT644, 0, XMATCH("NCC VTBB/NL trong nước", '6. TIẾN ĐỘ MUA HÀNG'!$A$4:$AT$4, 0)) = $B70) * (TRIM(INDEX('6. TIẾN ĐỘ MUA HÀNG'!$A$5:$AT644, 0, XMATCH("Tháng", '6. TIẾN ĐỘ MUA HÀNG'!$A$4:$AT$4, 0))) = TRIM(AD$6)) * (INDEX('6. TIẾN ĐỘ MUA HÀNG'!$A$5:$AT644, 0, XMATCH("CL NGÀY NCC DỰ KIẾN - NGÀY NHẬN HÀNG", '6. TIẾN ĐỘ MUA HÀNG'!$A$4:$AT$4, 0)) &lt; 0)
)</f>
        <v>0</v>
      </c>
      <c r="AF70" s="757">
        <f t="shared" si="23"/>
        <v>0</v>
      </c>
      <c r="AG70" s="754">
        <f t="array" ref="AG70">SUMPRODUCT((TRIM(INDEX('6. TIẾN ĐỘ MUA HÀNG'!$A$5:$AT644, 0, XMATCH("NCC VTBB/NL trong nước", '6. TIẾN ĐỘ MUA HÀNG'!$A$4:$AT$4, 0))) = TRIM($B70)) * (TRIM(INDEX('6. TIẾN ĐỘ MUA HÀNG'!$A$5:$AT644, 0, XMATCH("Tháng", '6. TIẾN ĐỘ MUA HÀNG'!$A$4:$AT$4, 0))) = TRIM(AG$6)) * (INDEX('6. TIẾN ĐỘ MUA HÀNG'!$A$5:$AT644, 0, XMATCH("Mã đơn Misa", '6. TIẾN ĐỘ MUA HÀNG'!$A$4:$AT$4, 0)) &lt;&gt; ""))</f>
        <v>0</v>
      </c>
      <c r="AH70" s="754">
        <f t="array" ref="AH70">SUMPRODUCT(
  (INDEX('6. TIẾN ĐỘ MUA HÀNG'!$A$5:$AT644, 0, XMATCH("NCC VTBB/NL trong nước", '6. TIẾN ĐỘ MUA HÀNG'!$A$4:$AT$4, 0)) = $B70) * (TRIM(INDEX('6. TIẾN ĐỘ MUA HÀNG'!$A$5:$AT644, 0, XMATCH("Tháng", '6. TIẾN ĐỘ MUA HÀNG'!$A$4:$AT$4, 0))) = TRIM(AG$6)) * (INDEX('6. TIẾN ĐỘ MUA HÀNG'!$A$5:$AT644, 0, XMATCH("CL NGÀY NCC DỰ KIẾN - NGÀY NHẬN HÀNG", '6. TIẾN ĐỘ MUA HÀNG'!$A$4:$AT$4, 0)) &lt; 0)
)</f>
        <v>0</v>
      </c>
      <c r="AI70" s="755">
        <f t="shared" si="34"/>
        <v>0</v>
      </c>
      <c r="AJ70" s="756">
        <f t="array" ref="AJ70">SUMPRODUCT((TRIM(INDEX('6. TIẾN ĐỘ MUA HÀNG'!$A$5:$AT644, 0, XMATCH("NCC VTBB/NL trong nước", '6. TIẾN ĐỘ MUA HÀNG'!$A$4:$AT$4, 0))) = TRIM($B70)) * (TRIM(INDEX('6. TIẾN ĐỘ MUA HÀNG'!$A$5:$AT644, 0, XMATCH("Tháng", '6. TIẾN ĐỘ MUA HÀNG'!$A$4:$AT$4, 0))) = TRIM(AJ$6)) * (INDEX('6. TIẾN ĐỘ MUA HÀNG'!$A$5:$AT644, 0, XMATCH("Mã đơn Misa", '6. TIẾN ĐỘ MUA HÀNG'!$A$4:$AT$4, 0)) &lt;&gt; ""))</f>
        <v>0</v>
      </c>
      <c r="AK70" s="756">
        <f t="array" ref="AK70">SUMPRODUCT(
  (INDEX('6. TIẾN ĐỘ MUA HÀNG'!$A$5:$AT644, 0, XMATCH("NCC VTBB/NL trong nước", '6. TIẾN ĐỘ MUA HÀNG'!$A$4:$AT$4, 0)) = $B70) * (TRIM(INDEX('6. TIẾN ĐỘ MUA HÀNG'!$A$5:$AT644, 0, XMATCH("Tháng", '6. TIẾN ĐỘ MUA HÀNG'!$A$4:$AT$4, 0))) = TRIM(AJ$6)) * (INDEX('6. TIẾN ĐỘ MUA HÀNG'!$A$5:$AT644, 0, XMATCH("CL NGÀY NCC DỰ KIẾN - NGÀY NHẬN HÀNG", '6. TIẾN ĐỘ MUA HÀNG'!$A$4:$AT$4, 0)) &lt; 0)
)</f>
        <v>0</v>
      </c>
      <c r="AL70" s="757">
        <f t="shared" si="25"/>
        <v>0</v>
      </c>
      <c r="AM70" s="726">
        <f t="shared" si="27"/>
        <v>0</v>
      </c>
      <c r="AN70" s="726">
        <f t="shared" si="28"/>
        <v>0</v>
      </c>
      <c r="AO70" s="727">
        <f t="shared" si="26"/>
        <v>0</v>
      </c>
    </row>
    <row r="71">
      <c r="A71" s="612">
        <v>63.0</v>
      </c>
      <c r="B71" s="624" t="str">
        <f>IFERROR(__xludf.DUMMYFUNCTION("""COMPUTED_VALUE"""),"Gemsky")</f>
        <v>Gemsky</v>
      </c>
      <c r="C71" s="754">
        <f t="array" ref="C71">SUMPRODUCT((TRIM(INDEX('6. TIẾN ĐỘ MUA HÀNG'!$A$5:$AT644, 0, XMATCH("NCC VTBB/NL trong nước", '6. TIẾN ĐỘ MUA HÀNG'!$A$4:$AT$4, 0))) = TRIM($B71)) * (TRIM(INDEX('6. TIẾN ĐỘ MUA HÀNG'!$A$5:$AT644, 0, XMATCH("Tháng", '6. TIẾN ĐỘ MUA HÀNG'!$A$4:$AT$4, 0))) = TRIM(C$6)) * (INDEX('6. TIẾN ĐỘ MUA HÀNG'!$A$5:$AT644, 0, XMATCH("Mã đơn Misa", '6. TIẾN ĐỘ MUA HÀNG'!$A$4:$AT$4, 0)) &lt;&gt; ""))</f>
        <v>0</v>
      </c>
      <c r="D71" s="754">
        <f t="array" ref="D71">SUMPRODUCT(
  (INDEX('6. TIẾN ĐỘ MUA HÀNG'!$A$5:$AT644, 0, XMATCH("NCC VTBB/NL trong nước", '6. TIẾN ĐỘ MUA HÀNG'!$A$4:$AT$4, 0)) = $B71) * (TRIM(INDEX('6. TIẾN ĐỘ MUA HÀNG'!$A$5:$AT644, 0, XMATCH("Tháng", '6. TIẾN ĐỘ MUA HÀNG'!$A$4:$AT$4, 0))) = TRIM(C$6)) * (INDEX('6. TIẾN ĐỘ MUA HÀNG'!$A$5:$AT644, 0, XMATCH("CL NGÀY NCC DỰ KIẾN - NGÀY NHẬN HÀNG", '6. TIẾN ĐỘ MUA HÀNG'!$A$4:$AT$4, 0)) &lt; 0)
)</f>
        <v>0</v>
      </c>
      <c r="E71" s="755">
        <f t="shared" si="29"/>
        <v>0</v>
      </c>
      <c r="F71" s="756">
        <f t="array" ref="F71">SUMPRODUCT((TRIM(INDEX('6. TIẾN ĐỘ MUA HÀNG'!$A$5:$AT644, 0, XMATCH("NCC VTBB/NL trong nước", '6. TIẾN ĐỘ MUA HÀNG'!$A$4:$AT$4, 0))) = TRIM($B71)) * (TRIM(INDEX('6. TIẾN ĐỘ MUA HÀNG'!$A$5:$AT644, 0, XMATCH("Tháng", '6. TIẾN ĐỘ MUA HÀNG'!$A$4:$AT$4, 0))) = TRIM(F$6)) * (INDEX('6. TIẾN ĐỘ MUA HÀNG'!$A$5:$AT644, 0, XMATCH("Mã đơn Misa", '6. TIẾN ĐỘ MUA HÀNG'!$A$4:$AT$4, 0)) &lt;&gt; ""))</f>
        <v>0</v>
      </c>
      <c r="G71" s="756">
        <f t="array" ref="G71">SUMPRODUCT(
  (INDEX('6. TIẾN ĐỘ MUA HÀNG'!$A$5:$AT644, 0, XMATCH("NCC VTBB/NL trong nước", '6. TIẾN ĐỘ MUA HÀNG'!$A$4:$AT$4, 0)) = $B71) * (TRIM(INDEX('6. TIẾN ĐỘ MUA HÀNG'!$A$5:$AT644, 0, XMATCH("Tháng", '6. TIẾN ĐỘ MUA HÀNG'!$A$4:$AT$4, 0))) = TRIM(F$6)) * (INDEX('6. TIẾN ĐỘ MUA HÀNG'!$A$5:$AT644, 0, XMATCH("CL NGÀY NCC DỰ KIẾN - NGÀY NHẬN HÀNG", '6. TIẾN ĐỘ MUA HÀNG'!$A$4:$AT$4, 0)) &lt; 0)
)</f>
        <v>0</v>
      </c>
      <c r="H71" s="757">
        <f t="shared" si="15"/>
        <v>0</v>
      </c>
      <c r="I71" s="754">
        <f t="array" ref="I71">SUMPRODUCT((TRIM(INDEX('6. TIẾN ĐỘ MUA HÀNG'!$A$5:$AT644, 0, XMATCH("NCC VTBB/NL trong nước", '6. TIẾN ĐỘ MUA HÀNG'!$A$4:$AT$4, 0))) = TRIM($B71)) * (TRIM(INDEX('6. TIẾN ĐỘ MUA HÀNG'!$A$5:$AT644, 0, XMATCH("Tháng", '6. TIẾN ĐỘ MUA HÀNG'!$A$4:$AT$4, 0))) = TRIM(I$6)) * (INDEX('6. TIẾN ĐỘ MUA HÀNG'!$A$5:$AT644, 0, XMATCH("Mã đơn Misa", '6. TIẾN ĐỘ MUA HÀNG'!$A$4:$AT$4, 0)) &lt;&gt; ""))</f>
        <v>0</v>
      </c>
      <c r="J71" s="754">
        <f t="array" ref="J71">SUMPRODUCT(
  (INDEX('6. TIẾN ĐỘ MUA HÀNG'!$A$5:$AT644, 0, XMATCH("NCC VTBB/NL trong nước", '6. TIẾN ĐỘ MUA HÀNG'!$A$4:$AT$4, 0)) = $B71) * (TRIM(INDEX('6. TIẾN ĐỘ MUA HÀNG'!$A$5:$AT644, 0, XMATCH("Tháng", '6. TIẾN ĐỘ MUA HÀNG'!$A$4:$AT$4, 0))) = TRIM(I$6)) * (INDEX('6. TIẾN ĐỘ MUA HÀNG'!$A$5:$AT644, 0, XMATCH("CL NGÀY NCC DỰ KIẾN - NGÀY NHẬN HÀNG", '6. TIẾN ĐỘ MUA HÀNG'!$A$4:$AT$4, 0)) &lt; 0)
)</f>
        <v>0</v>
      </c>
      <c r="K71" s="755">
        <f t="shared" si="30"/>
        <v>0</v>
      </c>
      <c r="L71" s="756">
        <f t="array" ref="L71">SUMPRODUCT((TRIM(INDEX('6. TIẾN ĐỘ MUA HÀNG'!$A$5:$AT644, 0, XMATCH("NCC VTBB/NL trong nước", '6. TIẾN ĐỘ MUA HÀNG'!$A$4:$AT$4, 0))) = TRIM($B71)) * (TRIM(INDEX('6. TIẾN ĐỘ MUA HÀNG'!$A$5:$AT644, 0, XMATCH("Tháng", '6. TIẾN ĐỘ MUA HÀNG'!$A$4:$AT$4, 0))) = TRIM(L$6)) * (INDEX('6. TIẾN ĐỘ MUA HÀNG'!$A$5:$AT644, 0, XMATCH("Mã đơn Misa", '6. TIẾN ĐỘ MUA HÀNG'!$A$4:$AT$4, 0)) &lt;&gt; ""))</f>
        <v>0</v>
      </c>
      <c r="M71" s="756">
        <f t="array" ref="M71">SUMPRODUCT(
  (INDEX('6. TIẾN ĐỘ MUA HÀNG'!$A$5:$AT644, 0, XMATCH("NCC VTBB/NL trong nước", '6. TIẾN ĐỘ MUA HÀNG'!$A$4:$AT$4, 0)) = $B71) * (TRIM(INDEX('6. TIẾN ĐỘ MUA HÀNG'!$A$5:$AT644, 0, XMATCH("Tháng", '6. TIẾN ĐỘ MUA HÀNG'!$A$4:$AT$4, 0))) = TRIM(L$6)) * (INDEX('6. TIẾN ĐỘ MUA HÀNG'!$A$5:$AT644, 0, XMATCH("CL NGÀY NCC DỰ KIẾN - NGÀY NHẬN HÀNG", '6. TIẾN ĐỘ MUA HÀNG'!$A$4:$AT$4, 0)) &lt; 0)
)</f>
        <v>0</v>
      </c>
      <c r="N71" s="757">
        <f t="shared" si="17"/>
        <v>0</v>
      </c>
      <c r="O71" s="754">
        <f t="array" ref="O71">SUMPRODUCT((TRIM(INDEX('6. TIẾN ĐỘ MUA HÀNG'!$A$5:$AT644, 0, XMATCH("NCC VTBB/NL trong nước", '6. TIẾN ĐỘ MUA HÀNG'!$A$4:$AT$4, 0))) = TRIM($B71)) * (TRIM(INDEX('6. TIẾN ĐỘ MUA HÀNG'!$A$5:$AT644, 0, XMATCH("Tháng", '6. TIẾN ĐỘ MUA HÀNG'!$A$4:$AT$4, 0))) = TRIM(O$6)) * (INDEX('6. TIẾN ĐỘ MUA HÀNG'!$A$5:$AT644, 0, XMATCH("Mã đơn Misa", '6. TIẾN ĐỘ MUA HÀNG'!$A$4:$AT$4, 0)) &lt;&gt; ""))</f>
        <v>0</v>
      </c>
      <c r="P71" s="754">
        <f t="array" ref="P71">SUMPRODUCT(
  (INDEX('6. TIẾN ĐỘ MUA HÀNG'!$A$5:$AT644, 0, XMATCH("NCC VTBB/NL trong nước", '6. TIẾN ĐỘ MUA HÀNG'!$A$4:$AT$4, 0)) = $B71) * (TRIM(INDEX('6. TIẾN ĐỘ MUA HÀNG'!$A$5:$AT644, 0, XMATCH("Tháng", '6. TIẾN ĐỘ MUA HÀNG'!$A$4:$AT$4, 0))) = TRIM(O$6)) * (INDEX('6. TIẾN ĐỘ MUA HÀNG'!$A$5:$AT644, 0, XMATCH("CL NGÀY NCC DỰ KIẾN - NGÀY NHẬN HÀNG", '6. TIẾN ĐỘ MUA HÀNG'!$A$4:$AT$4, 0)) &lt; 0)
)</f>
        <v>0</v>
      </c>
      <c r="Q71" s="755">
        <f t="shared" si="31"/>
        <v>0</v>
      </c>
      <c r="R71" s="756">
        <f t="array" ref="R71">SUMPRODUCT((TRIM(INDEX('6. TIẾN ĐỘ MUA HÀNG'!$A$5:$AT644, 0, XMATCH("NCC VTBB/NL trong nước", '6. TIẾN ĐỘ MUA HÀNG'!$A$4:$AT$4, 0))) = TRIM($B71)) * (TRIM(INDEX('6. TIẾN ĐỘ MUA HÀNG'!$A$5:$AT644, 0, XMATCH("Tháng", '6. TIẾN ĐỘ MUA HÀNG'!$A$4:$AT$4, 0))) = TRIM(R$6)) * (INDEX('6. TIẾN ĐỘ MUA HÀNG'!$A$5:$AT644, 0, XMATCH("Mã đơn Misa", '6. TIẾN ĐỘ MUA HÀNG'!$A$4:$AT$4, 0)) &lt;&gt; ""))</f>
        <v>0</v>
      </c>
      <c r="S71" s="756">
        <f t="array" ref="S71">SUMPRODUCT(
  (INDEX('6. TIẾN ĐỘ MUA HÀNG'!$A$5:$AT644, 0, XMATCH("NCC VTBB/NL trong nước", '6. TIẾN ĐỘ MUA HÀNG'!$A$4:$AT$4, 0)) = $B71) * (TRIM(INDEX('6. TIẾN ĐỘ MUA HÀNG'!$A$5:$AT644, 0, XMATCH("Tháng", '6. TIẾN ĐỘ MUA HÀNG'!$A$4:$AT$4, 0))) = TRIM(R$6)) * (INDEX('6. TIẾN ĐỘ MUA HÀNG'!$A$5:$AT644, 0, XMATCH("CL NGÀY NCC DỰ KIẾN - NGÀY NHẬN HÀNG", '6. TIẾN ĐỘ MUA HÀNG'!$A$4:$AT$4, 0)) &lt; 0)
)</f>
        <v>0</v>
      </c>
      <c r="T71" s="757">
        <f t="shared" si="19"/>
        <v>0</v>
      </c>
      <c r="U71" s="754">
        <f t="array" ref="U71">SUMPRODUCT((TRIM(INDEX('6. TIẾN ĐỘ MUA HÀNG'!$A$5:$AT644, 0, XMATCH("NCC VTBB/NL trong nước", '6. TIẾN ĐỘ MUA HÀNG'!$A$4:$AT$4, 0))) = TRIM($B71)) * (TRIM(INDEX('6. TIẾN ĐỘ MUA HÀNG'!$A$5:$AT644, 0, XMATCH("Tháng", '6. TIẾN ĐỘ MUA HÀNG'!$A$4:$AT$4, 0))) = TRIM(U$6)) * (INDEX('6. TIẾN ĐỘ MUA HÀNG'!$A$5:$AT644, 0, XMATCH("Mã đơn Misa", '6. TIẾN ĐỘ MUA HÀNG'!$A$4:$AT$4, 0)) &lt;&gt; ""))</f>
        <v>0</v>
      </c>
      <c r="V71" s="754">
        <f t="array" ref="V71">SUMPRODUCT(
  (INDEX('6. TIẾN ĐỘ MUA HÀNG'!$A$5:$AT644, 0, XMATCH("NCC VTBB/NL trong nước", '6. TIẾN ĐỘ MUA HÀNG'!$A$4:$AT$4, 0)) = $B71) * (TRIM(INDEX('6. TIẾN ĐỘ MUA HÀNG'!$A$5:$AT644, 0, XMATCH("Tháng", '6. TIẾN ĐỘ MUA HÀNG'!$A$4:$AT$4, 0))) = TRIM(U$6)) * (INDEX('6. TIẾN ĐỘ MUA HÀNG'!$A$5:$AT644, 0, XMATCH("CL NGÀY NCC DỰ KIẾN - NGÀY NHẬN HÀNG", '6. TIẾN ĐỘ MUA HÀNG'!$A$4:$AT$4, 0)) &lt; 0)
)</f>
        <v>0</v>
      </c>
      <c r="W71" s="755">
        <f t="shared" si="32"/>
        <v>0</v>
      </c>
      <c r="X71" s="756">
        <f t="array" ref="X71">SUMPRODUCT((TRIM(INDEX('6. TIẾN ĐỘ MUA HÀNG'!$A$5:$AT644, 0, XMATCH("NCC VTBB/NL trong nước", '6. TIẾN ĐỘ MUA HÀNG'!$A$4:$AT$4, 0))) = TRIM($B71)) * (TRIM(INDEX('6. TIẾN ĐỘ MUA HÀNG'!$A$5:$AT644, 0, XMATCH("Tháng", '6. TIẾN ĐỘ MUA HÀNG'!$A$4:$AT$4, 0))) = TRIM(X$6)) * (INDEX('6. TIẾN ĐỘ MUA HÀNG'!$A$5:$AT644, 0, XMATCH("Mã đơn Misa", '6. TIẾN ĐỘ MUA HÀNG'!$A$4:$AT$4, 0)) &lt;&gt; ""))</f>
        <v>0</v>
      </c>
      <c r="Y71" s="756">
        <f t="array" ref="Y71">SUMPRODUCT(
  (INDEX('6. TIẾN ĐỘ MUA HÀNG'!$A$5:$AT644, 0, XMATCH("NCC VTBB/NL trong nước", '6. TIẾN ĐỘ MUA HÀNG'!$A$4:$AT$4, 0)) = $B71) * (TRIM(INDEX('6. TIẾN ĐỘ MUA HÀNG'!$A$5:$AT644, 0, XMATCH("Tháng", '6. TIẾN ĐỘ MUA HÀNG'!$A$4:$AT$4, 0))) = TRIM(X$6)) * (INDEX('6. TIẾN ĐỘ MUA HÀNG'!$A$5:$AT644, 0, XMATCH("CL NGÀY NCC DỰ KIẾN - NGÀY NHẬN HÀNG", '6. TIẾN ĐỘ MUA HÀNG'!$A$4:$AT$4, 0)) &lt; 0)
)</f>
        <v>0</v>
      </c>
      <c r="Z71" s="757">
        <f t="shared" si="21"/>
        <v>0</v>
      </c>
      <c r="AA71" s="754">
        <f t="array" ref="AA71">SUMPRODUCT((TRIM(INDEX('6. TIẾN ĐỘ MUA HÀNG'!$A$5:$AT644, 0, XMATCH("NCC VTBB/NL trong nước", '6. TIẾN ĐỘ MUA HÀNG'!$A$4:$AT$4, 0))) = TRIM($B71)) * (TRIM(INDEX('6. TIẾN ĐỘ MUA HÀNG'!$A$5:$AT644, 0, XMATCH("Tháng", '6. TIẾN ĐỘ MUA HÀNG'!$A$4:$AT$4, 0))) = TRIM(AA$6)) * (INDEX('6. TIẾN ĐỘ MUA HÀNG'!$A$5:$AT644, 0, XMATCH("Mã đơn Misa", '6. TIẾN ĐỘ MUA HÀNG'!$A$4:$AT$4, 0)) &lt;&gt; ""))</f>
        <v>0</v>
      </c>
      <c r="AB71" s="754">
        <f t="array" ref="AB71">SUMPRODUCT(
  (INDEX('6. TIẾN ĐỘ MUA HÀNG'!$A$5:$AT644, 0, XMATCH("NCC VTBB/NL trong nước", '6. TIẾN ĐỘ MUA HÀNG'!$A$4:$AT$4, 0)) = $B71) * (TRIM(INDEX('6. TIẾN ĐỘ MUA HÀNG'!$A$5:$AT644, 0, XMATCH("Tháng", '6. TIẾN ĐỘ MUA HÀNG'!$A$4:$AT$4, 0))) = TRIM(AA$6)) * (INDEX('6. TIẾN ĐỘ MUA HÀNG'!$A$5:$AT644, 0, XMATCH("CL NGÀY NCC DỰ KIẾN - NGÀY NHẬN HÀNG", '6. TIẾN ĐỘ MUA HÀNG'!$A$4:$AT$4, 0)) &lt; 0)
)</f>
        <v>0</v>
      </c>
      <c r="AC71" s="755">
        <f t="shared" si="33"/>
        <v>0</v>
      </c>
      <c r="AD71" s="756">
        <f t="array" ref="AD71">SUMPRODUCT((TRIM(INDEX('6. TIẾN ĐỘ MUA HÀNG'!$A$5:$AT644, 0, XMATCH("NCC VTBB/NL trong nước", '6. TIẾN ĐỘ MUA HÀNG'!$A$4:$AT$4, 0))) = TRIM($B71)) * (TRIM(INDEX('6. TIẾN ĐỘ MUA HÀNG'!$A$5:$AT644, 0, XMATCH("Tháng", '6. TIẾN ĐỘ MUA HÀNG'!$A$4:$AT$4, 0))) = TRIM(AD$6)) * (INDEX('6. TIẾN ĐỘ MUA HÀNG'!$A$5:$AT644, 0, XMATCH("Mã đơn Misa", '6. TIẾN ĐỘ MUA HÀNG'!$A$4:$AT$4, 0)) &lt;&gt; ""))</f>
        <v>0</v>
      </c>
      <c r="AE71" s="756">
        <f t="array" ref="AE71">SUMPRODUCT(
  (INDEX('6. TIẾN ĐỘ MUA HÀNG'!$A$5:$AT644, 0, XMATCH("NCC VTBB/NL trong nước", '6. TIẾN ĐỘ MUA HÀNG'!$A$4:$AT$4, 0)) = $B71) * (TRIM(INDEX('6. TIẾN ĐỘ MUA HÀNG'!$A$5:$AT644, 0, XMATCH("Tháng", '6. TIẾN ĐỘ MUA HÀNG'!$A$4:$AT$4, 0))) = TRIM(AD$6)) * (INDEX('6. TIẾN ĐỘ MUA HÀNG'!$A$5:$AT644, 0, XMATCH("CL NGÀY NCC DỰ KIẾN - NGÀY NHẬN HÀNG", '6. TIẾN ĐỘ MUA HÀNG'!$A$4:$AT$4, 0)) &lt; 0)
)</f>
        <v>0</v>
      </c>
      <c r="AF71" s="757">
        <f t="shared" si="23"/>
        <v>0</v>
      </c>
      <c r="AG71" s="754">
        <f t="array" ref="AG71">SUMPRODUCT((TRIM(INDEX('6. TIẾN ĐỘ MUA HÀNG'!$A$5:$AT644, 0, XMATCH("NCC VTBB/NL trong nước", '6. TIẾN ĐỘ MUA HÀNG'!$A$4:$AT$4, 0))) = TRIM($B71)) * (TRIM(INDEX('6. TIẾN ĐỘ MUA HÀNG'!$A$5:$AT644, 0, XMATCH("Tháng", '6. TIẾN ĐỘ MUA HÀNG'!$A$4:$AT$4, 0))) = TRIM(AG$6)) * (INDEX('6. TIẾN ĐỘ MUA HÀNG'!$A$5:$AT644, 0, XMATCH("Mã đơn Misa", '6. TIẾN ĐỘ MUA HÀNG'!$A$4:$AT$4, 0)) &lt;&gt; ""))</f>
        <v>0</v>
      </c>
      <c r="AH71" s="754">
        <f t="array" ref="AH71">SUMPRODUCT(
  (INDEX('6. TIẾN ĐỘ MUA HÀNG'!$A$5:$AT644, 0, XMATCH("NCC VTBB/NL trong nước", '6. TIẾN ĐỘ MUA HÀNG'!$A$4:$AT$4, 0)) = $B71) * (TRIM(INDEX('6. TIẾN ĐỘ MUA HÀNG'!$A$5:$AT644, 0, XMATCH("Tháng", '6. TIẾN ĐỘ MUA HÀNG'!$A$4:$AT$4, 0))) = TRIM(AG$6)) * (INDEX('6. TIẾN ĐỘ MUA HÀNG'!$A$5:$AT644, 0, XMATCH("CL NGÀY NCC DỰ KIẾN - NGÀY NHẬN HÀNG", '6. TIẾN ĐỘ MUA HÀNG'!$A$4:$AT$4, 0)) &lt; 0)
)</f>
        <v>0</v>
      </c>
      <c r="AI71" s="755">
        <f t="shared" si="34"/>
        <v>0</v>
      </c>
      <c r="AJ71" s="756">
        <f t="array" ref="AJ71">SUMPRODUCT((TRIM(INDEX('6. TIẾN ĐỘ MUA HÀNG'!$A$5:$AT644, 0, XMATCH("NCC VTBB/NL trong nước", '6. TIẾN ĐỘ MUA HÀNG'!$A$4:$AT$4, 0))) = TRIM($B71)) * (TRIM(INDEX('6. TIẾN ĐỘ MUA HÀNG'!$A$5:$AT644, 0, XMATCH("Tháng", '6. TIẾN ĐỘ MUA HÀNG'!$A$4:$AT$4, 0))) = TRIM(AJ$6)) * (INDEX('6. TIẾN ĐỘ MUA HÀNG'!$A$5:$AT644, 0, XMATCH("Mã đơn Misa", '6. TIẾN ĐỘ MUA HÀNG'!$A$4:$AT$4, 0)) &lt;&gt; ""))</f>
        <v>0</v>
      </c>
      <c r="AK71" s="756">
        <f t="array" ref="AK71">SUMPRODUCT(
  (INDEX('6. TIẾN ĐỘ MUA HÀNG'!$A$5:$AT644, 0, XMATCH("NCC VTBB/NL trong nước", '6. TIẾN ĐỘ MUA HÀNG'!$A$4:$AT$4, 0)) = $B71) * (TRIM(INDEX('6. TIẾN ĐỘ MUA HÀNG'!$A$5:$AT644, 0, XMATCH("Tháng", '6. TIẾN ĐỘ MUA HÀNG'!$A$4:$AT$4, 0))) = TRIM(AJ$6)) * (INDEX('6. TIẾN ĐỘ MUA HÀNG'!$A$5:$AT644, 0, XMATCH("CL NGÀY NCC DỰ KIẾN - NGÀY NHẬN HÀNG", '6. TIẾN ĐỘ MUA HÀNG'!$A$4:$AT$4, 0)) &lt; 0)
)</f>
        <v>0</v>
      </c>
      <c r="AL71" s="757">
        <f t="shared" si="25"/>
        <v>0</v>
      </c>
      <c r="AM71" s="726">
        <f t="shared" si="27"/>
        <v>0</v>
      </c>
      <c r="AN71" s="726">
        <f t="shared" si="28"/>
        <v>0</v>
      </c>
      <c r="AO71" s="727">
        <f t="shared" si="26"/>
        <v>0</v>
      </c>
    </row>
    <row r="72">
      <c r="A72" s="612">
        <v>64.0</v>
      </c>
      <c r="B72" s="624" t="str">
        <f>IFERROR(__xludf.DUMMYFUNCTION("""COMPUTED_VALUE"""),"An Phát")</f>
        <v>An Phát</v>
      </c>
      <c r="C72" s="754">
        <f t="array" ref="C72">SUMPRODUCT((TRIM(INDEX('6. TIẾN ĐỘ MUA HÀNG'!$A$5:$AT644, 0, XMATCH("NCC VTBB/NL trong nước", '6. TIẾN ĐỘ MUA HÀNG'!$A$4:$AT$4, 0))) = TRIM($B72)) * (TRIM(INDEX('6. TIẾN ĐỘ MUA HÀNG'!$A$5:$AT644, 0, XMATCH("Tháng", '6. TIẾN ĐỘ MUA HÀNG'!$A$4:$AT$4, 0))) = TRIM(C$6)) * (INDEX('6. TIẾN ĐỘ MUA HÀNG'!$A$5:$AT644, 0, XMATCH("Mã đơn Misa", '6. TIẾN ĐỘ MUA HÀNG'!$A$4:$AT$4, 0)) &lt;&gt; ""))</f>
        <v>0</v>
      </c>
      <c r="D72" s="754">
        <f t="array" ref="D72">SUMPRODUCT(
  (INDEX('6. TIẾN ĐỘ MUA HÀNG'!$A$5:$AT644, 0, XMATCH("NCC VTBB/NL trong nước", '6. TIẾN ĐỘ MUA HÀNG'!$A$4:$AT$4, 0)) = $B72) * (TRIM(INDEX('6. TIẾN ĐỘ MUA HÀNG'!$A$5:$AT644, 0, XMATCH("Tháng", '6. TIẾN ĐỘ MUA HÀNG'!$A$4:$AT$4, 0))) = TRIM(C$6)) * (INDEX('6. TIẾN ĐỘ MUA HÀNG'!$A$5:$AT644, 0, XMATCH("CL NGÀY NCC DỰ KIẾN - NGÀY NHẬN HÀNG", '6. TIẾN ĐỘ MUA HÀNG'!$A$4:$AT$4, 0)) &lt; 0)
)</f>
        <v>0</v>
      </c>
      <c r="E72" s="755">
        <f t="shared" si="29"/>
        <v>0</v>
      </c>
      <c r="F72" s="756">
        <f t="array" ref="F72">SUMPRODUCT((TRIM(INDEX('6. TIẾN ĐỘ MUA HÀNG'!$A$5:$AT644, 0, XMATCH("NCC VTBB/NL trong nước", '6. TIẾN ĐỘ MUA HÀNG'!$A$4:$AT$4, 0))) = TRIM($B72)) * (TRIM(INDEX('6. TIẾN ĐỘ MUA HÀNG'!$A$5:$AT644, 0, XMATCH("Tháng", '6. TIẾN ĐỘ MUA HÀNG'!$A$4:$AT$4, 0))) = TRIM(F$6)) * (INDEX('6. TIẾN ĐỘ MUA HÀNG'!$A$5:$AT644, 0, XMATCH("Mã đơn Misa", '6. TIẾN ĐỘ MUA HÀNG'!$A$4:$AT$4, 0)) &lt;&gt; ""))</f>
        <v>0</v>
      </c>
      <c r="G72" s="756">
        <f t="array" ref="G72">SUMPRODUCT(
  (INDEX('6. TIẾN ĐỘ MUA HÀNG'!$A$5:$AT644, 0, XMATCH("NCC VTBB/NL trong nước", '6. TIẾN ĐỘ MUA HÀNG'!$A$4:$AT$4, 0)) = $B72) * (TRIM(INDEX('6. TIẾN ĐỘ MUA HÀNG'!$A$5:$AT644, 0, XMATCH("Tháng", '6. TIẾN ĐỘ MUA HÀNG'!$A$4:$AT$4, 0))) = TRIM(F$6)) * (INDEX('6. TIẾN ĐỘ MUA HÀNG'!$A$5:$AT644, 0, XMATCH("CL NGÀY NCC DỰ KIẾN - NGÀY NHẬN HÀNG", '6. TIẾN ĐỘ MUA HÀNG'!$A$4:$AT$4, 0)) &lt; 0)
)</f>
        <v>0</v>
      </c>
      <c r="H72" s="757">
        <f t="shared" si="15"/>
        <v>0</v>
      </c>
      <c r="I72" s="754">
        <f t="array" ref="I72">SUMPRODUCT((TRIM(INDEX('6. TIẾN ĐỘ MUA HÀNG'!$A$5:$AT644, 0, XMATCH("NCC VTBB/NL trong nước", '6. TIẾN ĐỘ MUA HÀNG'!$A$4:$AT$4, 0))) = TRIM($B72)) * (TRIM(INDEX('6. TIẾN ĐỘ MUA HÀNG'!$A$5:$AT644, 0, XMATCH("Tháng", '6. TIẾN ĐỘ MUA HÀNG'!$A$4:$AT$4, 0))) = TRIM(I$6)) * (INDEX('6. TIẾN ĐỘ MUA HÀNG'!$A$5:$AT644, 0, XMATCH("Mã đơn Misa", '6. TIẾN ĐỘ MUA HÀNG'!$A$4:$AT$4, 0)) &lt;&gt; ""))</f>
        <v>0</v>
      </c>
      <c r="J72" s="754">
        <f t="array" ref="J72">SUMPRODUCT(
  (INDEX('6. TIẾN ĐỘ MUA HÀNG'!$A$5:$AT644, 0, XMATCH("NCC VTBB/NL trong nước", '6. TIẾN ĐỘ MUA HÀNG'!$A$4:$AT$4, 0)) = $B72) * (TRIM(INDEX('6. TIẾN ĐỘ MUA HÀNG'!$A$5:$AT644, 0, XMATCH("Tháng", '6. TIẾN ĐỘ MUA HÀNG'!$A$4:$AT$4, 0))) = TRIM(I$6)) * (INDEX('6. TIẾN ĐỘ MUA HÀNG'!$A$5:$AT644, 0, XMATCH("CL NGÀY NCC DỰ KIẾN - NGÀY NHẬN HÀNG", '6. TIẾN ĐỘ MUA HÀNG'!$A$4:$AT$4, 0)) &lt; 0)
)</f>
        <v>0</v>
      </c>
      <c r="K72" s="755">
        <f t="shared" si="30"/>
        <v>0</v>
      </c>
      <c r="L72" s="756">
        <f t="array" ref="L72">SUMPRODUCT((TRIM(INDEX('6. TIẾN ĐỘ MUA HÀNG'!$A$5:$AT644, 0, XMATCH("NCC VTBB/NL trong nước", '6. TIẾN ĐỘ MUA HÀNG'!$A$4:$AT$4, 0))) = TRIM($B72)) * (TRIM(INDEX('6. TIẾN ĐỘ MUA HÀNG'!$A$5:$AT644, 0, XMATCH("Tháng", '6. TIẾN ĐỘ MUA HÀNG'!$A$4:$AT$4, 0))) = TRIM(L$6)) * (INDEX('6. TIẾN ĐỘ MUA HÀNG'!$A$5:$AT644, 0, XMATCH("Mã đơn Misa", '6. TIẾN ĐỘ MUA HÀNG'!$A$4:$AT$4, 0)) &lt;&gt; ""))</f>
        <v>0</v>
      </c>
      <c r="M72" s="756">
        <f t="array" ref="M72">SUMPRODUCT(
  (INDEX('6. TIẾN ĐỘ MUA HÀNG'!$A$5:$AT644, 0, XMATCH("NCC VTBB/NL trong nước", '6. TIẾN ĐỘ MUA HÀNG'!$A$4:$AT$4, 0)) = $B72) * (TRIM(INDEX('6. TIẾN ĐỘ MUA HÀNG'!$A$5:$AT644, 0, XMATCH("Tháng", '6. TIẾN ĐỘ MUA HÀNG'!$A$4:$AT$4, 0))) = TRIM(L$6)) * (INDEX('6. TIẾN ĐỘ MUA HÀNG'!$A$5:$AT644, 0, XMATCH("CL NGÀY NCC DỰ KIẾN - NGÀY NHẬN HÀNG", '6. TIẾN ĐỘ MUA HÀNG'!$A$4:$AT$4, 0)) &lt; 0)
)</f>
        <v>0</v>
      </c>
      <c r="N72" s="757">
        <f t="shared" si="17"/>
        <v>0</v>
      </c>
      <c r="O72" s="754">
        <f t="array" ref="O72">SUMPRODUCT((TRIM(INDEX('6. TIẾN ĐỘ MUA HÀNG'!$A$5:$AT644, 0, XMATCH("NCC VTBB/NL trong nước", '6. TIẾN ĐỘ MUA HÀNG'!$A$4:$AT$4, 0))) = TRIM($B72)) * (TRIM(INDEX('6. TIẾN ĐỘ MUA HÀNG'!$A$5:$AT644, 0, XMATCH("Tháng", '6. TIẾN ĐỘ MUA HÀNG'!$A$4:$AT$4, 0))) = TRIM(O$6)) * (INDEX('6. TIẾN ĐỘ MUA HÀNG'!$A$5:$AT644, 0, XMATCH("Mã đơn Misa", '6. TIẾN ĐỘ MUA HÀNG'!$A$4:$AT$4, 0)) &lt;&gt; ""))</f>
        <v>0</v>
      </c>
      <c r="P72" s="754">
        <f t="array" ref="P72">SUMPRODUCT(
  (INDEX('6. TIẾN ĐỘ MUA HÀNG'!$A$5:$AT644, 0, XMATCH("NCC VTBB/NL trong nước", '6. TIẾN ĐỘ MUA HÀNG'!$A$4:$AT$4, 0)) = $B72) * (TRIM(INDEX('6. TIẾN ĐỘ MUA HÀNG'!$A$5:$AT644, 0, XMATCH("Tháng", '6. TIẾN ĐỘ MUA HÀNG'!$A$4:$AT$4, 0))) = TRIM(O$6)) * (INDEX('6. TIẾN ĐỘ MUA HÀNG'!$A$5:$AT644, 0, XMATCH("CL NGÀY NCC DỰ KIẾN - NGÀY NHẬN HÀNG", '6. TIẾN ĐỘ MUA HÀNG'!$A$4:$AT$4, 0)) &lt; 0)
)</f>
        <v>0</v>
      </c>
      <c r="Q72" s="755">
        <f t="shared" si="31"/>
        <v>0</v>
      </c>
      <c r="R72" s="756">
        <f t="array" ref="R72">SUMPRODUCT((TRIM(INDEX('6. TIẾN ĐỘ MUA HÀNG'!$A$5:$AT644, 0, XMATCH("NCC VTBB/NL trong nước", '6. TIẾN ĐỘ MUA HÀNG'!$A$4:$AT$4, 0))) = TRIM($B72)) * (TRIM(INDEX('6. TIẾN ĐỘ MUA HÀNG'!$A$5:$AT644, 0, XMATCH("Tháng", '6. TIẾN ĐỘ MUA HÀNG'!$A$4:$AT$4, 0))) = TRIM(R$6)) * (INDEX('6. TIẾN ĐỘ MUA HÀNG'!$A$5:$AT644, 0, XMATCH("Mã đơn Misa", '6. TIẾN ĐỘ MUA HÀNG'!$A$4:$AT$4, 0)) &lt;&gt; ""))</f>
        <v>0</v>
      </c>
      <c r="S72" s="756">
        <f t="array" ref="S72">SUMPRODUCT(
  (INDEX('6. TIẾN ĐỘ MUA HÀNG'!$A$5:$AT644, 0, XMATCH("NCC VTBB/NL trong nước", '6. TIẾN ĐỘ MUA HÀNG'!$A$4:$AT$4, 0)) = $B72) * (TRIM(INDEX('6. TIẾN ĐỘ MUA HÀNG'!$A$5:$AT644, 0, XMATCH("Tháng", '6. TIẾN ĐỘ MUA HÀNG'!$A$4:$AT$4, 0))) = TRIM(R$6)) * (INDEX('6. TIẾN ĐỘ MUA HÀNG'!$A$5:$AT644, 0, XMATCH("CL NGÀY NCC DỰ KIẾN - NGÀY NHẬN HÀNG", '6. TIẾN ĐỘ MUA HÀNG'!$A$4:$AT$4, 0)) &lt; 0)
)</f>
        <v>0</v>
      </c>
      <c r="T72" s="757">
        <f t="shared" si="19"/>
        <v>0</v>
      </c>
      <c r="U72" s="754">
        <f t="array" ref="U72">SUMPRODUCT((TRIM(INDEX('6. TIẾN ĐỘ MUA HÀNG'!$A$5:$AT644, 0, XMATCH("NCC VTBB/NL trong nước", '6. TIẾN ĐỘ MUA HÀNG'!$A$4:$AT$4, 0))) = TRIM($B72)) * (TRIM(INDEX('6. TIẾN ĐỘ MUA HÀNG'!$A$5:$AT644, 0, XMATCH("Tháng", '6. TIẾN ĐỘ MUA HÀNG'!$A$4:$AT$4, 0))) = TRIM(U$6)) * (INDEX('6. TIẾN ĐỘ MUA HÀNG'!$A$5:$AT644, 0, XMATCH("Mã đơn Misa", '6. TIẾN ĐỘ MUA HÀNG'!$A$4:$AT$4, 0)) &lt;&gt; ""))</f>
        <v>0</v>
      </c>
      <c r="V72" s="754">
        <f t="array" ref="V72">SUMPRODUCT(
  (INDEX('6. TIẾN ĐỘ MUA HÀNG'!$A$5:$AT644, 0, XMATCH("NCC VTBB/NL trong nước", '6. TIẾN ĐỘ MUA HÀNG'!$A$4:$AT$4, 0)) = $B72) * (TRIM(INDEX('6. TIẾN ĐỘ MUA HÀNG'!$A$5:$AT644, 0, XMATCH("Tháng", '6. TIẾN ĐỘ MUA HÀNG'!$A$4:$AT$4, 0))) = TRIM(U$6)) * (INDEX('6. TIẾN ĐỘ MUA HÀNG'!$A$5:$AT644, 0, XMATCH("CL NGÀY NCC DỰ KIẾN - NGÀY NHẬN HÀNG", '6. TIẾN ĐỘ MUA HÀNG'!$A$4:$AT$4, 0)) &lt; 0)
)</f>
        <v>0</v>
      </c>
      <c r="W72" s="755">
        <f t="shared" si="32"/>
        <v>0</v>
      </c>
      <c r="X72" s="756">
        <f t="array" ref="X72">SUMPRODUCT((TRIM(INDEX('6. TIẾN ĐỘ MUA HÀNG'!$A$5:$AT644, 0, XMATCH("NCC VTBB/NL trong nước", '6. TIẾN ĐỘ MUA HÀNG'!$A$4:$AT$4, 0))) = TRIM($B72)) * (TRIM(INDEX('6. TIẾN ĐỘ MUA HÀNG'!$A$5:$AT644, 0, XMATCH("Tháng", '6. TIẾN ĐỘ MUA HÀNG'!$A$4:$AT$4, 0))) = TRIM(X$6)) * (INDEX('6. TIẾN ĐỘ MUA HÀNG'!$A$5:$AT644, 0, XMATCH("Mã đơn Misa", '6. TIẾN ĐỘ MUA HÀNG'!$A$4:$AT$4, 0)) &lt;&gt; ""))</f>
        <v>0</v>
      </c>
      <c r="Y72" s="756">
        <f t="array" ref="Y72">SUMPRODUCT(
  (INDEX('6. TIẾN ĐỘ MUA HÀNG'!$A$5:$AT644, 0, XMATCH("NCC VTBB/NL trong nước", '6. TIẾN ĐỘ MUA HÀNG'!$A$4:$AT$4, 0)) = $B72) * (TRIM(INDEX('6. TIẾN ĐỘ MUA HÀNG'!$A$5:$AT644, 0, XMATCH("Tháng", '6. TIẾN ĐỘ MUA HÀNG'!$A$4:$AT$4, 0))) = TRIM(X$6)) * (INDEX('6. TIẾN ĐỘ MUA HÀNG'!$A$5:$AT644, 0, XMATCH("CL NGÀY NCC DỰ KIẾN - NGÀY NHẬN HÀNG", '6. TIẾN ĐỘ MUA HÀNG'!$A$4:$AT$4, 0)) &lt; 0)
)</f>
        <v>0</v>
      </c>
      <c r="Z72" s="757">
        <f t="shared" si="21"/>
        <v>0</v>
      </c>
      <c r="AA72" s="754">
        <f t="array" ref="AA72">SUMPRODUCT((TRIM(INDEX('6. TIẾN ĐỘ MUA HÀNG'!$A$5:$AT644, 0, XMATCH("NCC VTBB/NL trong nước", '6. TIẾN ĐỘ MUA HÀNG'!$A$4:$AT$4, 0))) = TRIM($B72)) * (TRIM(INDEX('6. TIẾN ĐỘ MUA HÀNG'!$A$5:$AT644, 0, XMATCH("Tháng", '6. TIẾN ĐỘ MUA HÀNG'!$A$4:$AT$4, 0))) = TRIM(AA$6)) * (INDEX('6. TIẾN ĐỘ MUA HÀNG'!$A$5:$AT644, 0, XMATCH("Mã đơn Misa", '6. TIẾN ĐỘ MUA HÀNG'!$A$4:$AT$4, 0)) &lt;&gt; ""))</f>
        <v>0</v>
      </c>
      <c r="AB72" s="754">
        <f t="array" ref="AB72">SUMPRODUCT(
  (INDEX('6. TIẾN ĐỘ MUA HÀNG'!$A$5:$AT644, 0, XMATCH("NCC VTBB/NL trong nước", '6. TIẾN ĐỘ MUA HÀNG'!$A$4:$AT$4, 0)) = $B72) * (TRIM(INDEX('6. TIẾN ĐỘ MUA HÀNG'!$A$5:$AT644, 0, XMATCH("Tháng", '6. TIẾN ĐỘ MUA HÀNG'!$A$4:$AT$4, 0))) = TRIM(AA$6)) * (INDEX('6. TIẾN ĐỘ MUA HÀNG'!$A$5:$AT644, 0, XMATCH("CL NGÀY NCC DỰ KIẾN - NGÀY NHẬN HÀNG", '6. TIẾN ĐỘ MUA HÀNG'!$A$4:$AT$4, 0)) &lt; 0)
)</f>
        <v>0</v>
      </c>
      <c r="AC72" s="755">
        <f t="shared" si="33"/>
        <v>0</v>
      </c>
      <c r="AD72" s="756">
        <f t="array" ref="AD72">SUMPRODUCT((TRIM(INDEX('6. TIẾN ĐỘ MUA HÀNG'!$A$5:$AT644, 0, XMATCH("NCC VTBB/NL trong nước", '6. TIẾN ĐỘ MUA HÀNG'!$A$4:$AT$4, 0))) = TRIM($B72)) * (TRIM(INDEX('6. TIẾN ĐỘ MUA HÀNG'!$A$5:$AT644, 0, XMATCH("Tháng", '6. TIẾN ĐỘ MUA HÀNG'!$A$4:$AT$4, 0))) = TRIM(AD$6)) * (INDEX('6. TIẾN ĐỘ MUA HÀNG'!$A$5:$AT644, 0, XMATCH("Mã đơn Misa", '6. TIẾN ĐỘ MUA HÀNG'!$A$4:$AT$4, 0)) &lt;&gt; ""))</f>
        <v>0</v>
      </c>
      <c r="AE72" s="756">
        <f t="array" ref="AE72">SUMPRODUCT(
  (INDEX('6. TIẾN ĐỘ MUA HÀNG'!$A$5:$AT644, 0, XMATCH("NCC VTBB/NL trong nước", '6. TIẾN ĐỘ MUA HÀNG'!$A$4:$AT$4, 0)) = $B72) * (TRIM(INDEX('6. TIẾN ĐỘ MUA HÀNG'!$A$5:$AT644, 0, XMATCH("Tháng", '6. TIẾN ĐỘ MUA HÀNG'!$A$4:$AT$4, 0))) = TRIM(AD$6)) * (INDEX('6. TIẾN ĐỘ MUA HÀNG'!$A$5:$AT644, 0, XMATCH("CL NGÀY NCC DỰ KIẾN - NGÀY NHẬN HÀNG", '6. TIẾN ĐỘ MUA HÀNG'!$A$4:$AT$4, 0)) &lt; 0)
)</f>
        <v>0</v>
      </c>
      <c r="AF72" s="757">
        <f t="shared" si="23"/>
        <v>0</v>
      </c>
      <c r="AG72" s="754">
        <f t="array" ref="AG72">SUMPRODUCT((TRIM(INDEX('6. TIẾN ĐỘ MUA HÀNG'!$A$5:$AT644, 0, XMATCH("NCC VTBB/NL trong nước", '6. TIẾN ĐỘ MUA HÀNG'!$A$4:$AT$4, 0))) = TRIM($B72)) * (TRIM(INDEX('6. TIẾN ĐỘ MUA HÀNG'!$A$5:$AT644, 0, XMATCH("Tháng", '6. TIẾN ĐỘ MUA HÀNG'!$A$4:$AT$4, 0))) = TRIM(AG$6)) * (INDEX('6. TIẾN ĐỘ MUA HÀNG'!$A$5:$AT644, 0, XMATCH("Mã đơn Misa", '6. TIẾN ĐỘ MUA HÀNG'!$A$4:$AT$4, 0)) &lt;&gt; ""))</f>
        <v>0</v>
      </c>
      <c r="AH72" s="754">
        <f t="array" ref="AH72">SUMPRODUCT(
  (INDEX('6. TIẾN ĐỘ MUA HÀNG'!$A$5:$AT644, 0, XMATCH("NCC VTBB/NL trong nước", '6. TIẾN ĐỘ MUA HÀNG'!$A$4:$AT$4, 0)) = $B72) * (TRIM(INDEX('6. TIẾN ĐỘ MUA HÀNG'!$A$5:$AT644, 0, XMATCH("Tháng", '6. TIẾN ĐỘ MUA HÀNG'!$A$4:$AT$4, 0))) = TRIM(AG$6)) * (INDEX('6. TIẾN ĐỘ MUA HÀNG'!$A$5:$AT644, 0, XMATCH("CL NGÀY NCC DỰ KIẾN - NGÀY NHẬN HÀNG", '6. TIẾN ĐỘ MUA HÀNG'!$A$4:$AT$4, 0)) &lt; 0)
)</f>
        <v>0</v>
      </c>
      <c r="AI72" s="755">
        <f t="shared" si="34"/>
        <v>0</v>
      </c>
      <c r="AJ72" s="756">
        <f t="array" ref="AJ72">SUMPRODUCT((TRIM(INDEX('6. TIẾN ĐỘ MUA HÀNG'!$A$5:$AT644, 0, XMATCH("NCC VTBB/NL trong nước", '6. TIẾN ĐỘ MUA HÀNG'!$A$4:$AT$4, 0))) = TRIM($B72)) * (TRIM(INDEX('6. TIẾN ĐỘ MUA HÀNG'!$A$5:$AT644, 0, XMATCH("Tháng", '6. TIẾN ĐỘ MUA HÀNG'!$A$4:$AT$4, 0))) = TRIM(AJ$6)) * (INDEX('6. TIẾN ĐỘ MUA HÀNG'!$A$5:$AT644, 0, XMATCH("Mã đơn Misa", '6. TIẾN ĐỘ MUA HÀNG'!$A$4:$AT$4, 0)) &lt;&gt; ""))</f>
        <v>0</v>
      </c>
      <c r="AK72" s="756">
        <f t="array" ref="AK72">SUMPRODUCT(
  (INDEX('6. TIẾN ĐỘ MUA HÀNG'!$A$5:$AT644, 0, XMATCH("NCC VTBB/NL trong nước", '6. TIẾN ĐỘ MUA HÀNG'!$A$4:$AT$4, 0)) = $B72) * (TRIM(INDEX('6. TIẾN ĐỘ MUA HÀNG'!$A$5:$AT644, 0, XMATCH("Tháng", '6. TIẾN ĐỘ MUA HÀNG'!$A$4:$AT$4, 0))) = TRIM(AJ$6)) * (INDEX('6. TIẾN ĐỘ MUA HÀNG'!$A$5:$AT644, 0, XMATCH("CL NGÀY NCC DỰ KIẾN - NGÀY NHẬN HÀNG", '6. TIẾN ĐỘ MUA HÀNG'!$A$4:$AT$4, 0)) &lt; 0)
)</f>
        <v>0</v>
      </c>
      <c r="AL72" s="757">
        <f t="shared" si="25"/>
        <v>0</v>
      </c>
      <c r="AM72" s="726">
        <f t="shared" si="27"/>
        <v>0</v>
      </c>
      <c r="AN72" s="726">
        <f t="shared" si="28"/>
        <v>0</v>
      </c>
      <c r="AO72" s="727">
        <f t="shared" si="26"/>
        <v>0</v>
      </c>
    </row>
    <row r="73">
      <c r="A73" s="612">
        <v>65.0</v>
      </c>
      <c r="B73" s="624" t="str">
        <f>IFERROR(__xludf.DUMMYFUNCTION("""COMPUTED_VALUE"""),"Phương Lâm")</f>
        <v>Phương Lâm</v>
      </c>
      <c r="C73" s="754">
        <f t="array" ref="C73">SUMPRODUCT((TRIM(INDEX('6. TIẾN ĐỘ MUA HÀNG'!$A$5:$AT644, 0, XMATCH("NCC VTBB/NL trong nước", '6. TIẾN ĐỘ MUA HÀNG'!$A$4:$AT$4, 0))) = TRIM($B73)) * (TRIM(INDEX('6. TIẾN ĐỘ MUA HÀNG'!$A$5:$AT644, 0, XMATCH("Tháng", '6. TIẾN ĐỘ MUA HÀNG'!$A$4:$AT$4, 0))) = TRIM(C$6)) * (INDEX('6. TIẾN ĐỘ MUA HÀNG'!$A$5:$AT644, 0, XMATCH("Mã đơn Misa", '6. TIẾN ĐỘ MUA HÀNG'!$A$4:$AT$4, 0)) &lt;&gt; ""))</f>
        <v>0</v>
      </c>
      <c r="D73" s="754">
        <f t="array" ref="D73">SUMPRODUCT(
  (INDEX('6. TIẾN ĐỘ MUA HÀNG'!$A$5:$AT644, 0, XMATCH("NCC VTBB/NL trong nước", '6. TIẾN ĐỘ MUA HÀNG'!$A$4:$AT$4, 0)) = $B73) * (TRIM(INDEX('6. TIẾN ĐỘ MUA HÀNG'!$A$5:$AT644, 0, XMATCH("Tháng", '6. TIẾN ĐỘ MUA HÀNG'!$A$4:$AT$4, 0))) = TRIM(C$6)) * (INDEX('6. TIẾN ĐỘ MUA HÀNG'!$A$5:$AT644, 0, XMATCH("CL NGÀY NCC DỰ KIẾN - NGÀY NHẬN HÀNG", '6. TIẾN ĐỘ MUA HÀNG'!$A$4:$AT$4, 0)) &lt; 0)
)</f>
        <v>0</v>
      </c>
      <c r="E73" s="755">
        <f t="shared" si="29"/>
        <v>0</v>
      </c>
      <c r="F73" s="756">
        <f t="array" ref="F73">SUMPRODUCT((TRIM(INDEX('6. TIẾN ĐỘ MUA HÀNG'!$A$5:$AT644, 0, XMATCH("NCC VTBB/NL trong nước", '6. TIẾN ĐỘ MUA HÀNG'!$A$4:$AT$4, 0))) = TRIM($B73)) * (TRIM(INDEX('6. TIẾN ĐỘ MUA HÀNG'!$A$5:$AT644, 0, XMATCH("Tháng", '6. TIẾN ĐỘ MUA HÀNG'!$A$4:$AT$4, 0))) = TRIM(F$6)) * (INDEX('6. TIẾN ĐỘ MUA HÀNG'!$A$5:$AT644, 0, XMATCH("Mã đơn Misa", '6. TIẾN ĐỘ MUA HÀNG'!$A$4:$AT$4, 0)) &lt;&gt; ""))</f>
        <v>0</v>
      </c>
      <c r="G73" s="756">
        <f t="array" ref="G73">SUMPRODUCT(
  (INDEX('6. TIẾN ĐỘ MUA HÀNG'!$A$5:$AT644, 0, XMATCH("NCC VTBB/NL trong nước", '6. TIẾN ĐỘ MUA HÀNG'!$A$4:$AT$4, 0)) = $B73) * (TRIM(INDEX('6. TIẾN ĐỘ MUA HÀNG'!$A$5:$AT644, 0, XMATCH("Tháng", '6. TIẾN ĐỘ MUA HÀNG'!$A$4:$AT$4, 0))) = TRIM(F$6)) * (INDEX('6. TIẾN ĐỘ MUA HÀNG'!$A$5:$AT644, 0, XMATCH("CL NGÀY NCC DỰ KIẾN - NGÀY NHẬN HÀNG", '6. TIẾN ĐỘ MUA HÀNG'!$A$4:$AT$4, 0)) &lt; 0)
)</f>
        <v>0</v>
      </c>
      <c r="H73" s="757">
        <f t="shared" si="15"/>
        <v>0</v>
      </c>
      <c r="I73" s="754">
        <f t="array" ref="I73">SUMPRODUCT((TRIM(INDEX('6. TIẾN ĐỘ MUA HÀNG'!$A$5:$AT644, 0, XMATCH("NCC VTBB/NL trong nước", '6. TIẾN ĐỘ MUA HÀNG'!$A$4:$AT$4, 0))) = TRIM($B73)) * (TRIM(INDEX('6. TIẾN ĐỘ MUA HÀNG'!$A$5:$AT644, 0, XMATCH("Tháng", '6. TIẾN ĐỘ MUA HÀNG'!$A$4:$AT$4, 0))) = TRIM(I$6)) * (INDEX('6. TIẾN ĐỘ MUA HÀNG'!$A$5:$AT644, 0, XMATCH("Mã đơn Misa", '6. TIẾN ĐỘ MUA HÀNG'!$A$4:$AT$4, 0)) &lt;&gt; ""))</f>
        <v>0</v>
      </c>
      <c r="J73" s="754">
        <f t="array" ref="J73">SUMPRODUCT(
  (INDEX('6. TIẾN ĐỘ MUA HÀNG'!$A$5:$AT644, 0, XMATCH("NCC VTBB/NL trong nước", '6. TIẾN ĐỘ MUA HÀNG'!$A$4:$AT$4, 0)) = $B73) * (TRIM(INDEX('6. TIẾN ĐỘ MUA HÀNG'!$A$5:$AT644, 0, XMATCH("Tháng", '6. TIẾN ĐỘ MUA HÀNG'!$A$4:$AT$4, 0))) = TRIM(I$6)) * (INDEX('6. TIẾN ĐỘ MUA HÀNG'!$A$5:$AT644, 0, XMATCH("CL NGÀY NCC DỰ KIẾN - NGÀY NHẬN HÀNG", '6. TIẾN ĐỘ MUA HÀNG'!$A$4:$AT$4, 0)) &lt; 0)
)</f>
        <v>0</v>
      </c>
      <c r="K73" s="755">
        <f t="shared" si="30"/>
        <v>0</v>
      </c>
      <c r="L73" s="756">
        <f t="array" ref="L73">SUMPRODUCT((TRIM(INDEX('6. TIẾN ĐỘ MUA HÀNG'!$A$5:$AT644, 0, XMATCH("NCC VTBB/NL trong nước", '6. TIẾN ĐỘ MUA HÀNG'!$A$4:$AT$4, 0))) = TRIM($B73)) * (TRIM(INDEX('6. TIẾN ĐỘ MUA HÀNG'!$A$5:$AT644, 0, XMATCH("Tháng", '6. TIẾN ĐỘ MUA HÀNG'!$A$4:$AT$4, 0))) = TRIM(L$6)) * (INDEX('6. TIẾN ĐỘ MUA HÀNG'!$A$5:$AT644, 0, XMATCH("Mã đơn Misa", '6. TIẾN ĐỘ MUA HÀNG'!$A$4:$AT$4, 0)) &lt;&gt; ""))</f>
        <v>0</v>
      </c>
      <c r="M73" s="756">
        <f t="array" ref="M73">SUMPRODUCT(
  (INDEX('6. TIẾN ĐỘ MUA HÀNG'!$A$5:$AT644, 0, XMATCH("NCC VTBB/NL trong nước", '6. TIẾN ĐỘ MUA HÀNG'!$A$4:$AT$4, 0)) = $B73) * (TRIM(INDEX('6. TIẾN ĐỘ MUA HÀNG'!$A$5:$AT644, 0, XMATCH("Tháng", '6. TIẾN ĐỘ MUA HÀNG'!$A$4:$AT$4, 0))) = TRIM(L$6)) * (INDEX('6. TIẾN ĐỘ MUA HÀNG'!$A$5:$AT644, 0, XMATCH("CL NGÀY NCC DỰ KIẾN - NGÀY NHẬN HÀNG", '6. TIẾN ĐỘ MUA HÀNG'!$A$4:$AT$4, 0)) &lt; 0)
)</f>
        <v>0</v>
      </c>
      <c r="N73" s="757">
        <f t="shared" si="17"/>
        <v>0</v>
      </c>
      <c r="O73" s="754">
        <f t="array" ref="O73">SUMPRODUCT((TRIM(INDEX('6. TIẾN ĐỘ MUA HÀNG'!$A$5:$AT644, 0, XMATCH("NCC VTBB/NL trong nước", '6. TIẾN ĐỘ MUA HÀNG'!$A$4:$AT$4, 0))) = TRIM($B73)) * (TRIM(INDEX('6. TIẾN ĐỘ MUA HÀNG'!$A$5:$AT644, 0, XMATCH("Tháng", '6. TIẾN ĐỘ MUA HÀNG'!$A$4:$AT$4, 0))) = TRIM(O$6)) * (INDEX('6. TIẾN ĐỘ MUA HÀNG'!$A$5:$AT644, 0, XMATCH("Mã đơn Misa", '6. TIẾN ĐỘ MUA HÀNG'!$A$4:$AT$4, 0)) &lt;&gt; ""))</f>
        <v>0</v>
      </c>
      <c r="P73" s="754">
        <f t="array" ref="P73">SUMPRODUCT(
  (INDEX('6. TIẾN ĐỘ MUA HÀNG'!$A$5:$AT644, 0, XMATCH("NCC VTBB/NL trong nước", '6. TIẾN ĐỘ MUA HÀNG'!$A$4:$AT$4, 0)) = $B73) * (TRIM(INDEX('6. TIẾN ĐỘ MUA HÀNG'!$A$5:$AT644, 0, XMATCH("Tháng", '6. TIẾN ĐỘ MUA HÀNG'!$A$4:$AT$4, 0))) = TRIM(O$6)) * (INDEX('6. TIẾN ĐỘ MUA HÀNG'!$A$5:$AT644, 0, XMATCH("CL NGÀY NCC DỰ KIẾN - NGÀY NHẬN HÀNG", '6. TIẾN ĐỘ MUA HÀNG'!$A$4:$AT$4, 0)) &lt; 0)
)</f>
        <v>0</v>
      </c>
      <c r="Q73" s="755">
        <f t="shared" si="31"/>
        <v>0</v>
      </c>
      <c r="R73" s="756">
        <f t="array" ref="R73">SUMPRODUCT((TRIM(INDEX('6. TIẾN ĐỘ MUA HÀNG'!$A$5:$AT644, 0, XMATCH("NCC VTBB/NL trong nước", '6. TIẾN ĐỘ MUA HÀNG'!$A$4:$AT$4, 0))) = TRIM($B73)) * (TRIM(INDEX('6. TIẾN ĐỘ MUA HÀNG'!$A$5:$AT644, 0, XMATCH("Tháng", '6. TIẾN ĐỘ MUA HÀNG'!$A$4:$AT$4, 0))) = TRIM(R$6)) * (INDEX('6. TIẾN ĐỘ MUA HÀNG'!$A$5:$AT644, 0, XMATCH("Mã đơn Misa", '6. TIẾN ĐỘ MUA HÀNG'!$A$4:$AT$4, 0)) &lt;&gt; ""))</f>
        <v>0</v>
      </c>
      <c r="S73" s="756">
        <f t="array" ref="S73">SUMPRODUCT(
  (INDEX('6. TIẾN ĐỘ MUA HÀNG'!$A$5:$AT644, 0, XMATCH("NCC VTBB/NL trong nước", '6. TIẾN ĐỘ MUA HÀNG'!$A$4:$AT$4, 0)) = $B73) * (TRIM(INDEX('6. TIẾN ĐỘ MUA HÀNG'!$A$5:$AT644, 0, XMATCH("Tháng", '6. TIẾN ĐỘ MUA HÀNG'!$A$4:$AT$4, 0))) = TRIM(R$6)) * (INDEX('6. TIẾN ĐỘ MUA HÀNG'!$A$5:$AT644, 0, XMATCH("CL NGÀY NCC DỰ KIẾN - NGÀY NHẬN HÀNG", '6. TIẾN ĐỘ MUA HÀNG'!$A$4:$AT$4, 0)) &lt; 0)
)</f>
        <v>0</v>
      </c>
      <c r="T73" s="757">
        <f t="shared" si="19"/>
        <v>0</v>
      </c>
      <c r="U73" s="754">
        <f t="array" ref="U73">SUMPRODUCT((TRIM(INDEX('6. TIẾN ĐỘ MUA HÀNG'!$A$5:$AT644, 0, XMATCH("NCC VTBB/NL trong nước", '6. TIẾN ĐỘ MUA HÀNG'!$A$4:$AT$4, 0))) = TRIM($B73)) * (TRIM(INDEX('6. TIẾN ĐỘ MUA HÀNG'!$A$5:$AT644, 0, XMATCH("Tháng", '6. TIẾN ĐỘ MUA HÀNG'!$A$4:$AT$4, 0))) = TRIM(U$6)) * (INDEX('6. TIẾN ĐỘ MUA HÀNG'!$A$5:$AT644, 0, XMATCH("Mã đơn Misa", '6. TIẾN ĐỘ MUA HÀNG'!$A$4:$AT$4, 0)) &lt;&gt; ""))</f>
        <v>0</v>
      </c>
      <c r="V73" s="754">
        <f t="array" ref="V73">SUMPRODUCT(
  (INDEX('6. TIẾN ĐỘ MUA HÀNG'!$A$5:$AT644, 0, XMATCH("NCC VTBB/NL trong nước", '6. TIẾN ĐỘ MUA HÀNG'!$A$4:$AT$4, 0)) = $B73) * (TRIM(INDEX('6. TIẾN ĐỘ MUA HÀNG'!$A$5:$AT644, 0, XMATCH("Tháng", '6. TIẾN ĐỘ MUA HÀNG'!$A$4:$AT$4, 0))) = TRIM(U$6)) * (INDEX('6. TIẾN ĐỘ MUA HÀNG'!$A$5:$AT644, 0, XMATCH("CL NGÀY NCC DỰ KIẾN - NGÀY NHẬN HÀNG", '6. TIẾN ĐỘ MUA HÀNG'!$A$4:$AT$4, 0)) &lt; 0)
)</f>
        <v>0</v>
      </c>
      <c r="W73" s="755">
        <f t="shared" si="32"/>
        <v>0</v>
      </c>
      <c r="X73" s="756">
        <f t="array" ref="X73">SUMPRODUCT((TRIM(INDEX('6. TIẾN ĐỘ MUA HÀNG'!$A$5:$AT644, 0, XMATCH("NCC VTBB/NL trong nước", '6. TIẾN ĐỘ MUA HÀNG'!$A$4:$AT$4, 0))) = TRIM($B73)) * (TRIM(INDEX('6. TIẾN ĐỘ MUA HÀNG'!$A$5:$AT644, 0, XMATCH("Tháng", '6. TIẾN ĐỘ MUA HÀNG'!$A$4:$AT$4, 0))) = TRIM(X$6)) * (INDEX('6. TIẾN ĐỘ MUA HÀNG'!$A$5:$AT644, 0, XMATCH("Mã đơn Misa", '6. TIẾN ĐỘ MUA HÀNG'!$A$4:$AT$4, 0)) &lt;&gt; ""))</f>
        <v>0</v>
      </c>
      <c r="Y73" s="756">
        <f t="array" ref="Y73">SUMPRODUCT(
  (INDEX('6. TIẾN ĐỘ MUA HÀNG'!$A$5:$AT644, 0, XMATCH("NCC VTBB/NL trong nước", '6. TIẾN ĐỘ MUA HÀNG'!$A$4:$AT$4, 0)) = $B73) * (TRIM(INDEX('6. TIẾN ĐỘ MUA HÀNG'!$A$5:$AT644, 0, XMATCH("Tháng", '6. TIẾN ĐỘ MUA HÀNG'!$A$4:$AT$4, 0))) = TRIM(X$6)) * (INDEX('6. TIẾN ĐỘ MUA HÀNG'!$A$5:$AT644, 0, XMATCH("CL NGÀY NCC DỰ KIẾN - NGÀY NHẬN HÀNG", '6. TIẾN ĐỘ MUA HÀNG'!$A$4:$AT$4, 0)) &lt; 0)
)</f>
        <v>0</v>
      </c>
      <c r="Z73" s="757">
        <f t="shared" si="21"/>
        <v>0</v>
      </c>
      <c r="AA73" s="754">
        <f t="array" ref="AA73">SUMPRODUCT((TRIM(INDEX('6. TIẾN ĐỘ MUA HÀNG'!$A$5:$AT644, 0, XMATCH("NCC VTBB/NL trong nước", '6. TIẾN ĐỘ MUA HÀNG'!$A$4:$AT$4, 0))) = TRIM($B73)) * (TRIM(INDEX('6. TIẾN ĐỘ MUA HÀNG'!$A$5:$AT644, 0, XMATCH("Tháng", '6. TIẾN ĐỘ MUA HÀNG'!$A$4:$AT$4, 0))) = TRIM(AA$6)) * (INDEX('6. TIẾN ĐỘ MUA HÀNG'!$A$5:$AT644, 0, XMATCH("Mã đơn Misa", '6. TIẾN ĐỘ MUA HÀNG'!$A$4:$AT$4, 0)) &lt;&gt; ""))</f>
        <v>0</v>
      </c>
      <c r="AB73" s="754">
        <f t="array" ref="AB73">SUMPRODUCT(
  (INDEX('6. TIẾN ĐỘ MUA HÀNG'!$A$5:$AT644, 0, XMATCH("NCC VTBB/NL trong nước", '6. TIẾN ĐỘ MUA HÀNG'!$A$4:$AT$4, 0)) = $B73) * (TRIM(INDEX('6. TIẾN ĐỘ MUA HÀNG'!$A$5:$AT644, 0, XMATCH("Tháng", '6. TIẾN ĐỘ MUA HÀNG'!$A$4:$AT$4, 0))) = TRIM(AA$6)) * (INDEX('6. TIẾN ĐỘ MUA HÀNG'!$A$5:$AT644, 0, XMATCH("CL NGÀY NCC DỰ KIẾN - NGÀY NHẬN HÀNG", '6. TIẾN ĐỘ MUA HÀNG'!$A$4:$AT$4, 0)) &lt; 0)
)</f>
        <v>0</v>
      </c>
      <c r="AC73" s="755">
        <f t="shared" si="33"/>
        <v>0</v>
      </c>
      <c r="AD73" s="756">
        <f t="array" ref="AD73">SUMPRODUCT((TRIM(INDEX('6. TIẾN ĐỘ MUA HÀNG'!$A$5:$AT644, 0, XMATCH("NCC VTBB/NL trong nước", '6. TIẾN ĐỘ MUA HÀNG'!$A$4:$AT$4, 0))) = TRIM($B73)) * (TRIM(INDEX('6. TIẾN ĐỘ MUA HÀNG'!$A$5:$AT644, 0, XMATCH("Tháng", '6. TIẾN ĐỘ MUA HÀNG'!$A$4:$AT$4, 0))) = TRIM(AD$6)) * (INDEX('6. TIẾN ĐỘ MUA HÀNG'!$A$5:$AT644, 0, XMATCH("Mã đơn Misa", '6. TIẾN ĐỘ MUA HÀNG'!$A$4:$AT$4, 0)) &lt;&gt; ""))</f>
        <v>0</v>
      </c>
      <c r="AE73" s="756">
        <f t="array" ref="AE73">SUMPRODUCT(
  (INDEX('6. TIẾN ĐỘ MUA HÀNG'!$A$5:$AT644, 0, XMATCH("NCC VTBB/NL trong nước", '6. TIẾN ĐỘ MUA HÀNG'!$A$4:$AT$4, 0)) = $B73) * (TRIM(INDEX('6. TIẾN ĐỘ MUA HÀNG'!$A$5:$AT644, 0, XMATCH("Tháng", '6. TIẾN ĐỘ MUA HÀNG'!$A$4:$AT$4, 0))) = TRIM(AD$6)) * (INDEX('6. TIẾN ĐỘ MUA HÀNG'!$A$5:$AT644, 0, XMATCH("CL NGÀY NCC DỰ KIẾN - NGÀY NHẬN HÀNG", '6. TIẾN ĐỘ MUA HÀNG'!$A$4:$AT$4, 0)) &lt; 0)
)</f>
        <v>0</v>
      </c>
      <c r="AF73" s="757">
        <f t="shared" si="23"/>
        <v>0</v>
      </c>
      <c r="AG73" s="754">
        <f t="array" ref="AG73">SUMPRODUCT((TRIM(INDEX('6. TIẾN ĐỘ MUA HÀNG'!$A$5:$AT644, 0, XMATCH("NCC VTBB/NL trong nước", '6. TIẾN ĐỘ MUA HÀNG'!$A$4:$AT$4, 0))) = TRIM($B73)) * (TRIM(INDEX('6. TIẾN ĐỘ MUA HÀNG'!$A$5:$AT644, 0, XMATCH("Tháng", '6. TIẾN ĐỘ MUA HÀNG'!$A$4:$AT$4, 0))) = TRIM(AG$6)) * (INDEX('6. TIẾN ĐỘ MUA HÀNG'!$A$5:$AT644, 0, XMATCH("Mã đơn Misa", '6. TIẾN ĐỘ MUA HÀNG'!$A$4:$AT$4, 0)) &lt;&gt; ""))</f>
        <v>0</v>
      </c>
      <c r="AH73" s="754">
        <f t="array" ref="AH73">SUMPRODUCT(
  (INDEX('6. TIẾN ĐỘ MUA HÀNG'!$A$5:$AT644, 0, XMATCH("NCC VTBB/NL trong nước", '6. TIẾN ĐỘ MUA HÀNG'!$A$4:$AT$4, 0)) = $B73) * (TRIM(INDEX('6. TIẾN ĐỘ MUA HÀNG'!$A$5:$AT644, 0, XMATCH("Tháng", '6. TIẾN ĐỘ MUA HÀNG'!$A$4:$AT$4, 0))) = TRIM(AG$6)) * (INDEX('6. TIẾN ĐỘ MUA HÀNG'!$A$5:$AT644, 0, XMATCH("CL NGÀY NCC DỰ KIẾN - NGÀY NHẬN HÀNG", '6. TIẾN ĐỘ MUA HÀNG'!$A$4:$AT$4, 0)) &lt; 0)
)</f>
        <v>0</v>
      </c>
      <c r="AI73" s="755">
        <f t="shared" si="34"/>
        <v>0</v>
      </c>
      <c r="AJ73" s="756">
        <f t="array" ref="AJ73">SUMPRODUCT((TRIM(INDEX('6. TIẾN ĐỘ MUA HÀNG'!$A$5:$AT644, 0, XMATCH("NCC VTBB/NL trong nước", '6. TIẾN ĐỘ MUA HÀNG'!$A$4:$AT$4, 0))) = TRIM($B73)) * (TRIM(INDEX('6. TIẾN ĐỘ MUA HÀNG'!$A$5:$AT644, 0, XMATCH("Tháng", '6. TIẾN ĐỘ MUA HÀNG'!$A$4:$AT$4, 0))) = TRIM(AJ$6)) * (INDEX('6. TIẾN ĐỘ MUA HÀNG'!$A$5:$AT644, 0, XMATCH("Mã đơn Misa", '6. TIẾN ĐỘ MUA HÀNG'!$A$4:$AT$4, 0)) &lt;&gt; ""))</f>
        <v>0</v>
      </c>
      <c r="AK73" s="756">
        <f t="array" ref="AK73">SUMPRODUCT(
  (INDEX('6. TIẾN ĐỘ MUA HÀNG'!$A$5:$AT644, 0, XMATCH("NCC VTBB/NL trong nước", '6. TIẾN ĐỘ MUA HÀNG'!$A$4:$AT$4, 0)) = $B73) * (TRIM(INDEX('6. TIẾN ĐỘ MUA HÀNG'!$A$5:$AT644, 0, XMATCH("Tháng", '6. TIẾN ĐỘ MUA HÀNG'!$A$4:$AT$4, 0))) = TRIM(AJ$6)) * (INDEX('6. TIẾN ĐỘ MUA HÀNG'!$A$5:$AT644, 0, XMATCH("CL NGÀY NCC DỰ KIẾN - NGÀY NHẬN HÀNG", '6. TIẾN ĐỘ MUA HÀNG'!$A$4:$AT$4, 0)) &lt; 0)
)</f>
        <v>0</v>
      </c>
      <c r="AL73" s="757">
        <f t="shared" si="25"/>
        <v>0</v>
      </c>
      <c r="AM73" s="726">
        <f t="shared" si="27"/>
        <v>0</v>
      </c>
      <c r="AN73" s="726">
        <f t="shared" si="28"/>
        <v>0</v>
      </c>
      <c r="AO73" s="727">
        <f t="shared" si="26"/>
        <v>0</v>
      </c>
    </row>
    <row r="74">
      <c r="A74" s="612">
        <v>66.0</v>
      </c>
      <c r="B74" s="624" t="str">
        <f>IFERROR(__xludf.DUMMYFUNCTION("""COMPUTED_VALUE"""),"Khai Nhật")</f>
        <v>Khai Nhật</v>
      </c>
      <c r="C74" s="754">
        <f t="array" ref="C74">SUMPRODUCT((TRIM(INDEX('6. TIẾN ĐỘ MUA HÀNG'!$A$5:$AT644, 0, XMATCH("NCC VTBB/NL trong nước", '6. TIẾN ĐỘ MUA HÀNG'!$A$4:$AT$4, 0))) = TRIM($B74)) * (TRIM(INDEX('6. TIẾN ĐỘ MUA HÀNG'!$A$5:$AT644, 0, XMATCH("Tháng", '6. TIẾN ĐỘ MUA HÀNG'!$A$4:$AT$4, 0))) = TRIM(C$6)) * (INDEX('6. TIẾN ĐỘ MUA HÀNG'!$A$5:$AT644, 0, XMATCH("Mã đơn Misa", '6. TIẾN ĐỘ MUA HÀNG'!$A$4:$AT$4, 0)) &lt;&gt; ""))</f>
        <v>0</v>
      </c>
      <c r="D74" s="754">
        <f t="array" ref="D74">SUMPRODUCT(
  (INDEX('6. TIẾN ĐỘ MUA HÀNG'!$A$5:$AT644, 0, XMATCH("NCC VTBB/NL trong nước", '6. TIẾN ĐỘ MUA HÀNG'!$A$4:$AT$4, 0)) = $B74) * (TRIM(INDEX('6. TIẾN ĐỘ MUA HÀNG'!$A$5:$AT644, 0, XMATCH("Tháng", '6. TIẾN ĐỘ MUA HÀNG'!$A$4:$AT$4, 0))) = TRIM(C$6)) * (INDEX('6. TIẾN ĐỘ MUA HÀNG'!$A$5:$AT644, 0, XMATCH("CL NGÀY NCC DỰ KIẾN - NGÀY NHẬN HÀNG", '6. TIẾN ĐỘ MUA HÀNG'!$A$4:$AT$4, 0)) &lt; 0)
)</f>
        <v>0</v>
      </c>
      <c r="E74" s="755">
        <f t="shared" si="29"/>
        <v>0</v>
      </c>
      <c r="F74" s="756">
        <f t="array" ref="F74">SUMPRODUCT((TRIM(INDEX('6. TIẾN ĐỘ MUA HÀNG'!$A$5:$AT644, 0, XMATCH("NCC VTBB/NL trong nước", '6. TIẾN ĐỘ MUA HÀNG'!$A$4:$AT$4, 0))) = TRIM($B74)) * (TRIM(INDEX('6. TIẾN ĐỘ MUA HÀNG'!$A$5:$AT644, 0, XMATCH("Tháng", '6. TIẾN ĐỘ MUA HÀNG'!$A$4:$AT$4, 0))) = TRIM(F$6)) * (INDEX('6. TIẾN ĐỘ MUA HÀNG'!$A$5:$AT644, 0, XMATCH("Mã đơn Misa", '6. TIẾN ĐỘ MUA HÀNG'!$A$4:$AT$4, 0)) &lt;&gt; ""))</f>
        <v>0</v>
      </c>
      <c r="G74" s="756">
        <f t="array" ref="G74">SUMPRODUCT(
  (INDEX('6. TIẾN ĐỘ MUA HÀNG'!$A$5:$AT644, 0, XMATCH("NCC VTBB/NL trong nước", '6. TIẾN ĐỘ MUA HÀNG'!$A$4:$AT$4, 0)) = $B74) * (TRIM(INDEX('6. TIẾN ĐỘ MUA HÀNG'!$A$5:$AT644, 0, XMATCH("Tháng", '6. TIẾN ĐỘ MUA HÀNG'!$A$4:$AT$4, 0))) = TRIM(F$6)) * (INDEX('6. TIẾN ĐỘ MUA HÀNG'!$A$5:$AT644, 0, XMATCH("CL NGÀY NCC DỰ KIẾN - NGÀY NHẬN HÀNG", '6. TIẾN ĐỘ MUA HÀNG'!$A$4:$AT$4, 0)) &lt; 0)
)</f>
        <v>0</v>
      </c>
      <c r="H74" s="757">
        <f t="shared" si="15"/>
        <v>0</v>
      </c>
      <c r="I74" s="754">
        <f t="array" ref="I74">SUMPRODUCT((TRIM(INDEX('6. TIẾN ĐỘ MUA HÀNG'!$A$5:$AT644, 0, XMATCH("NCC VTBB/NL trong nước", '6. TIẾN ĐỘ MUA HÀNG'!$A$4:$AT$4, 0))) = TRIM($B74)) * (TRIM(INDEX('6. TIẾN ĐỘ MUA HÀNG'!$A$5:$AT644, 0, XMATCH("Tháng", '6. TIẾN ĐỘ MUA HÀNG'!$A$4:$AT$4, 0))) = TRIM(I$6)) * (INDEX('6. TIẾN ĐỘ MUA HÀNG'!$A$5:$AT644, 0, XMATCH("Mã đơn Misa", '6. TIẾN ĐỘ MUA HÀNG'!$A$4:$AT$4, 0)) &lt;&gt; ""))</f>
        <v>0</v>
      </c>
      <c r="J74" s="754">
        <f t="array" ref="J74">SUMPRODUCT(
  (INDEX('6. TIẾN ĐỘ MUA HÀNG'!$A$5:$AT644, 0, XMATCH("NCC VTBB/NL trong nước", '6. TIẾN ĐỘ MUA HÀNG'!$A$4:$AT$4, 0)) = $B74) * (TRIM(INDEX('6. TIẾN ĐỘ MUA HÀNG'!$A$5:$AT644, 0, XMATCH("Tháng", '6. TIẾN ĐỘ MUA HÀNG'!$A$4:$AT$4, 0))) = TRIM(I$6)) * (INDEX('6. TIẾN ĐỘ MUA HÀNG'!$A$5:$AT644, 0, XMATCH("CL NGÀY NCC DỰ KIẾN - NGÀY NHẬN HÀNG", '6. TIẾN ĐỘ MUA HÀNG'!$A$4:$AT$4, 0)) &lt; 0)
)</f>
        <v>0</v>
      </c>
      <c r="K74" s="755">
        <f t="shared" si="30"/>
        <v>0</v>
      </c>
      <c r="L74" s="756">
        <f t="array" ref="L74">SUMPRODUCT((TRIM(INDEX('6. TIẾN ĐỘ MUA HÀNG'!$A$5:$AT644, 0, XMATCH("NCC VTBB/NL trong nước", '6. TIẾN ĐỘ MUA HÀNG'!$A$4:$AT$4, 0))) = TRIM($B74)) * (TRIM(INDEX('6. TIẾN ĐỘ MUA HÀNG'!$A$5:$AT644, 0, XMATCH("Tháng", '6. TIẾN ĐỘ MUA HÀNG'!$A$4:$AT$4, 0))) = TRIM(L$6)) * (INDEX('6. TIẾN ĐỘ MUA HÀNG'!$A$5:$AT644, 0, XMATCH("Mã đơn Misa", '6. TIẾN ĐỘ MUA HÀNG'!$A$4:$AT$4, 0)) &lt;&gt; ""))</f>
        <v>0</v>
      </c>
      <c r="M74" s="756">
        <f t="array" ref="M74">SUMPRODUCT(
  (INDEX('6. TIẾN ĐỘ MUA HÀNG'!$A$5:$AT644, 0, XMATCH("NCC VTBB/NL trong nước", '6. TIẾN ĐỘ MUA HÀNG'!$A$4:$AT$4, 0)) = $B74) * (TRIM(INDEX('6. TIẾN ĐỘ MUA HÀNG'!$A$5:$AT644, 0, XMATCH("Tháng", '6. TIẾN ĐỘ MUA HÀNG'!$A$4:$AT$4, 0))) = TRIM(L$6)) * (INDEX('6. TIẾN ĐỘ MUA HÀNG'!$A$5:$AT644, 0, XMATCH("CL NGÀY NCC DỰ KIẾN - NGÀY NHẬN HÀNG", '6. TIẾN ĐỘ MUA HÀNG'!$A$4:$AT$4, 0)) &lt; 0)
)</f>
        <v>0</v>
      </c>
      <c r="N74" s="757">
        <f t="shared" si="17"/>
        <v>0</v>
      </c>
      <c r="O74" s="754">
        <f t="array" ref="O74">SUMPRODUCT((TRIM(INDEX('6. TIẾN ĐỘ MUA HÀNG'!$A$5:$AT644, 0, XMATCH("NCC VTBB/NL trong nước", '6. TIẾN ĐỘ MUA HÀNG'!$A$4:$AT$4, 0))) = TRIM($B74)) * (TRIM(INDEX('6. TIẾN ĐỘ MUA HÀNG'!$A$5:$AT644, 0, XMATCH("Tháng", '6. TIẾN ĐỘ MUA HÀNG'!$A$4:$AT$4, 0))) = TRIM(O$6)) * (INDEX('6. TIẾN ĐỘ MUA HÀNG'!$A$5:$AT644, 0, XMATCH("Mã đơn Misa", '6. TIẾN ĐỘ MUA HÀNG'!$A$4:$AT$4, 0)) &lt;&gt; ""))</f>
        <v>0</v>
      </c>
      <c r="P74" s="754">
        <f t="array" ref="P74">SUMPRODUCT(
  (INDEX('6. TIẾN ĐỘ MUA HÀNG'!$A$5:$AT644, 0, XMATCH("NCC VTBB/NL trong nước", '6. TIẾN ĐỘ MUA HÀNG'!$A$4:$AT$4, 0)) = $B74) * (TRIM(INDEX('6. TIẾN ĐỘ MUA HÀNG'!$A$5:$AT644, 0, XMATCH("Tháng", '6. TIẾN ĐỘ MUA HÀNG'!$A$4:$AT$4, 0))) = TRIM(O$6)) * (INDEX('6. TIẾN ĐỘ MUA HÀNG'!$A$5:$AT644, 0, XMATCH("CL NGÀY NCC DỰ KIẾN - NGÀY NHẬN HÀNG", '6. TIẾN ĐỘ MUA HÀNG'!$A$4:$AT$4, 0)) &lt; 0)
)</f>
        <v>0</v>
      </c>
      <c r="Q74" s="755">
        <f t="shared" si="31"/>
        <v>0</v>
      </c>
      <c r="R74" s="756">
        <f t="array" ref="R74">SUMPRODUCT((TRIM(INDEX('6. TIẾN ĐỘ MUA HÀNG'!$A$5:$AT644, 0, XMATCH("NCC VTBB/NL trong nước", '6. TIẾN ĐỘ MUA HÀNG'!$A$4:$AT$4, 0))) = TRIM($B74)) * (TRIM(INDEX('6. TIẾN ĐỘ MUA HÀNG'!$A$5:$AT644, 0, XMATCH("Tháng", '6. TIẾN ĐỘ MUA HÀNG'!$A$4:$AT$4, 0))) = TRIM(R$6)) * (INDEX('6. TIẾN ĐỘ MUA HÀNG'!$A$5:$AT644, 0, XMATCH("Mã đơn Misa", '6. TIẾN ĐỘ MUA HÀNG'!$A$4:$AT$4, 0)) &lt;&gt; ""))</f>
        <v>0</v>
      </c>
      <c r="S74" s="756">
        <f t="array" ref="S74">SUMPRODUCT(
  (INDEX('6. TIẾN ĐỘ MUA HÀNG'!$A$5:$AT644, 0, XMATCH("NCC VTBB/NL trong nước", '6. TIẾN ĐỘ MUA HÀNG'!$A$4:$AT$4, 0)) = $B74) * (TRIM(INDEX('6. TIẾN ĐỘ MUA HÀNG'!$A$5:$AT644, 0, XMATCH("Tháng", '6. TIẾN ĐỘ MUA HÀNG'!$A$4:$AT$4, 0))) = TRIM(R$6)) * (INDEX('6. TIẾN ĐỘ MUA HÀNG'!$A$5:$AT644, 0, XMATCH("CL NGÀY NCC DỰ KIẾN - NGÀY NHẬN HÀNG", '6. TIẾN ĐỘ MUA HÀNG'!$A$4:$AT$4, 0)) &lt; 0)
)</f>
        <v>0</v>
      </c>
      <c r="T74" s="757">
        <f t="shared" si="19"/>
        <v>0</v>
      </c>
      <c r="U74" s="754">
        <f t="array" ref="U74">SUMPRODUCT((TRIM(INDEX('6. TIẾN ĐỘ MUA HÀNG'!$A$5:$AT644, 0, XMATCH("NCC VTBB/NL trong nước", '6. TIẾN ĐỘ MUA HÀNG'!$A$4:$AT$4, 0))) = TRIM($B74)) * (TRIM(INDEX('6. TIẾN ĐỘ MUA HÀNG'!$A$5:$AT644, 0, XMATCH("Tháng", '6. TIẾN ĐỘ MUA HÀNG'!$A$4:$AT$4, 0))) = TRIM(U$6)) * (INDEX('6. TIẾN ĐỘ MUA HÀNG'!$A$5:$AT644, 0, XMATCH("Mã đơn Misa", '6. TIẾN ĐỘ MUA HÀNG'!$A$4:$AT$4, 0)) &lt;&gt; ""))</f>
        <v>0</v>
      </c>
      <c r="V74" s="754">
        <f t="array" ref="V74">SUMPRODUCT(
  (INDEX('6. TIẾN ĐỘ MUA HÀNG'!$A$5:$AT644, 0, XMATCH("NCC VTBB/NL trong nước", '6. TIẾN ĐỘ MUA HÀNG'!$A$4:$AT$4, 0)) = $B74) * (TRIM(INDEX('6. TIẾN ĐỘ MUA HÀNG'!$A$5:$AT644, 0, XMATCH("Tháng", '6. TIẾN ĐỘ MUA HÀNG'!$A$4:$AT$4, 0))) = TRIM(U$6)) * (INDEX('6. TIẾN ĐỘ MUA HÀNG'!$A$5:$AT644, 0, XMATCH("CL NGÀY NCC DỰ KIẾN - NGÀY NHẬN HÀNG", '6. TIẾN ĐỘ MUA HÀNG'!$A$4:$AT$4, 0)) &lt; 0)
)</f>
        <v>0</v>
      </c>
      <c r="W74" s="755">
        <f t="shared" si="32"/>
        <v>0</v>
      </c>
      <c r="X74" s="756">
        <f t="array" ref="X74">SUMPRODUCT((TRIM(INDEX('6. TIẾN ĐỘ MUA HÀNG'!$A$5:$AT644, 0, XMATCH("NCC VTBB/NL trong nước", '6. TIẾN ĐỘ MUA HÀNG'!$A$4:$AT$4, 0))) = TRIM($B74)) * (TRIM(INDEX('6. TIẾN ĐỘ MUA HÀNG'!$A$5:$AT644, 0, XMATCH("Tháng", '6. TIẾN ĐỘ MUA HÀNG'!$A$4:$AT$4, 0))) = TRIM(X$6)) * (INDEX('6. TIẾN ĐỘ MUA HÀNG'!$A$5:$AT644, 0, XMATCH("Mã đơn Misa", '6. TIẾN ĐỘ MUA HÀNG'!$A$4:$AT$4, 0)) &lt;&gt; ""))</f>
        <v>0</v>
      </c>
      <c r="Y74" s="756">
        <f t="array" ref="Y74">SUMPRODUCT(
  (INDEX('6. TIẾN ĐỘ MUA HÀNG'!$A$5:$AT644, 0, XMATCH("NCC VTBB/NL trong nước", '6. TIẾN ĐỘ MUA HÀNG'!$A$4:$AT$4, 0)) = $B74) * (TRIM(INDEX('6. TIẾN ĐỘ MUA HÀNG'!$A$5:$AT644, 0, XMATCH("Tháng", '6. TIẾN ĐỘ MUA HÀNG'!$A$4:$AT$4, 0))) = TRIM(X$6)) * (INDEX('6. TIẾN ĐỘ MUA HÀNG'!$A$5:$AT644, 0, XMATCH("CL NGÀY NCC DỰ KIẾN - NGÀY NHẬN HÀNG", '6. TIẾN ĐỘ MUA HÀNG'!$A$4:$AT$4, 0)) &lt; 0)
)</f>
        <v>0</v>
      </c>
      <c r="Z74" s="757">
        <f t="shared" si="21"/>
        <v>0</v>
      </c>
      <c r="AA74" s="754">
        <f t="array" ref="AA74">SUMPRODUCT((TRIM(INDEX('6. TIẾN ĐỘ MUA HÀNG'!$A$5:$AT644, 0, XMATCH("NCC VTBB/NL trong nước", '6. TIẾN ĐỘ MUA HÀNG'!$A$4:$AT$4, 0))) = TRIM($B74)) * (TRIM(INDEX('6. TIẾN ĐỘ MUA HÀNG'!$A$5:$AT644, 0, XMATCH("Tháng", '6. TIẾN ĐỘ MUA HÀNG'!$A$4:$AT$4, 0))) = TRIM(AA$6)) * (INDEX('6. TIẾN ĐỘ MUA HÀNG'!$A$5:$AT644, 0, XMATCH("Mã đơn Misa", '6. TIẾN ĐỘ MUA HÀNG'!$A$4:$AT$4, 0)) &lt;&gt; ""))</f>
        <v>0</v>
      </c>
      <c r="AB74" s="754">
        <f t="array" ref="AB74">SUMPRODUCT(
  (INDEX('6. TIẾN ĐỘ MUA HÀNG'!$A$5:$AT644, 0, XMATCH("NCC VTBB/NL trong nước", '6. TIẾN ĐỘ MUA HÀNG'!$A$4:$AT$4, 0)) = $B74) * (TRIM(INDEX('6. TIẾN ĐỘ MUA HÀNG'!$A$5:$AT644, 0, XMATCH("Tháng", '6. TIẾN ĐỘ MUA HÀNG'!$A$4:$AT$4, 0))) = TRIM(AA$6)) * (INDEX('6. TIẾN ĐỘ MUA HÀNG'!$A$5:$AT644, 0, XMATCH("CL NGÀY NCC DỰ KIẾN - NGÀY NHẬN HÀNG", '6. TIẾN ĐỘ MUA HÀNG'!$A$4:$AT$4, 0)) &lt; 0)
)</f>
        <v>0</v>
      </c>
      <c r="AC74" s="755">
        <f t="shared" si="33"/>
        <v>0</v>
      </c>
      <c r="AD74" s="756">
        <f t="array" ref="AD74">SUMPRODUCT((TRIM(INDEX('6. TIẾN ĐỘ MUA HÀNG'!$A$5:$AT644, 0, XMATCH("NCC VTBB/NL trong nước", '6. TIẾN ĐỘ MUA HÀNG'!$A$4:$AT$4, 0))) = TRIM($B74)) * (TRIM(INDEX('6. TIẾN ĐỘ MUA HÀNG'!$A$5:$AT644, 0, XMATCH("Tháng", '6. TIẾN ĐỘ MUA HÀNG'!$A$4:$AT$4, 0))) = TRIM(AD$6)) * (INDEX('6. TIẾN ĐỘ MUA HÀNG'!$A$5:$AT644, 0, XMATCH("Mã đơn Misa", '6. TIẾN ĐỘ MUA HÀNG'!$A$4:$AT$4, 0)) &lt;&gt; ""))</f>
        <v>0</v>
      </c>
      <c r="AE74" s="756">
        <f t="array" ref="AE74">SUMPRODUCT(
  (INDEX('6. TIẾN ĐỘ MUA HÀNG'!$A$5:$AT644, 0, XMATCH("NCC VTBB/NL trong nước", '6. TIẾN ĐỘ MUA HÀNG'!$A$4:$AT$4, 0)) = $B74) * (TRIM(INDEX('6. TIẾN ĐỘ MUA HÀNG'!$A$5:$AT644, 0, XMATCH("Tháng", '6. TIẾN ĐỘ MUA HÀNG'!$A$4:$AT$4, 0))) = TRIM(AD$6)) * (INDEX('6. TIẾN ĐỘ MUA HÀNG'!$A$5:$AT644, 0, XMATCH("CL NGÀY NCC DỰ KIẾN - NGÀY NHẬN HÀNG", '6. TIẾN ĐỘ MUA HÀNG'!$A$4:$AT$4, 0)) &lt; 0)
)</f>
        <v>0</v>
      </c>
      <c r="AF74" s="757">
        <f t="shared" si="23"/>
        <v>0</v>
      </c>
      <c r="AG74" s="754">
        <f t="array" ref="AG74">SUMPRODUCT((TRIM(INDEX('6. TIẾN ĐỘ MUA HÀNG'!$A$5:$AT644, 0, XMATCH("NCC VTBB/NL trong nước", '6. TIẾN ĐỘ MUA HÀNG'!$A$4:$AT$4, 0))) = TRIM($B74)) * (TRIM(INDEX('6. TIẾN ĐỘ MUA HÀNG'!$A$5:$AT644, 0, XMATCH("Tháng", '6. TIẾN ĐỘ MUA HÀNG'!$A$4:$AT$4, 0))) = TRIM(AG$6)) * (INDEX('6. TIẾN ĐỘ MUA HÀNG'!$A$5:$AT644, 0, XMATCH("Mã đơn Misa", '6. TIẾN ĐỘ MUA HÀNG'!$A$4:$AT$4, 0)) &lt;&gt; ""))</f>
        <v>0</v>
      </c>
      <c r="AH74" s="754">
        <f t="array" ref="AH74">SUMPRODUCT(
  (INDEX('6. TIẾN ĐỘ MUA HÀNG'!$A$5:$AT644, 0, XMATCH("NCC VTBB/NL trong nước", '6. TIẾN ĐỘ MUA HÀNG'!$A$4:$AT$4, 0)) = $B74) * (TRIM(INDEX('6. TIẾN ĐỘ MUA HÀNG'!$A$5:$AT644, 0, XMATCH("Tháng", '6. TIẾN ĐỘ MUA HÀNG'!$A$4:$AT$4, 0))) = TRIM(AG$6)) * (INDEX('6. TIẾN ĐỘ MUA HÀNG'!$A$5:$AT644, 0, XMATCH("CL NGÀY NCC DỰ KIẾN - NGÀY NHẬN HÀNG", '6. TIẾN ĐỘ MUA HÀNG'!$A$4:$AT$4, 0)) &lt; 0)
)</f>
        <v>0</v>
      </c>
      <c r="AI74" s="755">
        <f t="shared" si="34"/>
        <v>0</v>
      </c>
      <c r="AJ74" s="756">
        <f t="array" ref="AJ74">SUMPRODUCT((TRIM(INDEX('6. TIẾN ĐỘ MUA HÀNG'!$A$5:$AT644, 0, XMATCH("NCC VTBB/NL trong nước", '6. TIẾN ĐỘ MUA HÀNG'!$A$4:$AT$4, 0))) = TRIM($B74)) * (TRIM(INDEX('6. TIẾN ĐỘ MUA HÀNG'!$A$5:$AT644, 0, XMATCH("Tháng", '6. TIẾN ĐỘ MUA HÀNG'!$A$4:$AT$4, 0))) = TRIM(AJ$6)) * (INDEX('6. TIẾN ĐỘ MUA HÀNG'!$A$5:$AT644, 0, XMATCH("Mã đơn Misa", '6. TIẾN ĐỘ MUA HÀNG'!$A$4:$AT$4, 0)) &lt;&gt; ""))</f>
        <v>0</v>
      </c>
      <c r="AK74" s="756">
        <f t="array" ref="AK74">SUMPRODUCT(
  (INDEX('6. TIẾN ĐỘ MUA HÀNG'!$A$5:$AT644, 0, XMATCH("NCC VTBB/NL trong nước", '6. TIẾN ĐỘ MUA HÀNG'!$A$4:$AT$4, 0)) = $B74) * (TRIM(INDEX('6. TIẾN ĐỘ MUA HÀNG'!$A$5:$AT644, 0, XMATCH("Tháng", '6. TIẾN ĐỘ MUA HÀNG'!$A$4:$AT$4, 0))) = TRIM(AJ$6)) * (INDEX('6. TIẾN ĐỘ MUA HÀNG'!$A$5:$AT644, 0, XMATCH("CL NGÀY NCC DỰ KIẾN - NGÀY NHẬN HÀNG", '6. TIẾN ĐỘ MUA HÀNG'!$A$4:$AT$4, 0)) &lt; 0)
)</f>
        <v>0</v>
      </c>
      <c r="AL74" s="757">
        <f t="shared" si="25"/>
        <v>0</v>
      </c>
      <c r="AM74" s="726">
        <f t="shared" si="27"/>
        <v>0</v>
      </c>
      <c r="AN74" s="726">
        <f t="shared" si="28"/>
        <v>0</v>
      </c>
      <c r="AO74" s="727">
        <f t="shared" si="26"/>
        <v>0</v>
      </c>
    </row>
    <row r="75">
      <c r="A75" s="612">
        <v>67.0</v>
      </c>
      <c r="B75" s="624" t="str">
        <f>IFERROR(__xludf.DUMMYFUNCTION("""COMPUTED_VALUE"""),"Sam Chem")</f>
        <v>Sam Chem</v>
      </c>
      <c r="C75" s="754">
        <f t="array" ref="C75">SUMPRODUCT((TRIM(INDEX('6. TIẾN ĐỘ MUA HÀNG'!$A$5:$AT644, 0, XMATCH("NCC VTBB/NL trong nước", '6. TIẾN ĐỘ MUA HÀNG'!$A$4:$AT$4, 0))) = TRIM($B75)) * (TRIM(INDEX('6. TIẾN ĐỘ MUA HÀNG'!$A$5:$AT644, 0, XMATCH("Tháng", '6. TIẾN ĐỘ MUA HÀNG'!$A$4:$AT$4, 0))) = TRIM(C$6)) * (INDEX('6. TIẾN ĐỘ MUA HÀNG'!$A$5:$AT644, 0, XMATCH("Mã đơn Misa", '6. TIẾN ĐỘ MUA HÀNG'!$A$4:$AT$4, 0)) &lt;&gt; ""))</f>
        <v>0</v>
      </c>
      <c r="D75" s="754">
        <f t="array" ref="D75">SUMPRODUCT(
  (INDEX('6. TIẾN ĐỘ MUA HÀNG'!$A$5:$AT644, 0, XMATCH("NCC VTBB/NL trong nước", '6. TIẾN ĐỘ MUA HÀNG'!$A$4:$AT$4, 0)) = $B75) * (TRIM(INDEX('6. TIẾN ĐỘ MUA HÀNG'!$A$5:$AT644, 0, XMATCH("Tháng", '6. TIẾN ĐỘ MUA HÀNG'!$A$4:$AT$4, 0))) = TRIM(C$6)) * (INDEX('6. TIẾN ĐỘ MUA HÀNG'!$A$5:$AT644, 0, XMATCH("CL NGÀY NCC DỰ KIẾN - NGÀY NHẬN HÀNG", '6. TIẾN ĐỘ MUA HÀNG'!$A$4:$AT$4, 0)) &lt; 0)
)</f>
        <v>0</v>
      </c>
      <c r="E75" s="755">
        <f t="shared" si="29"/>
        <v>0</v>
      </c>
      <c r="F75" s="756">
        <f t="array" ref="F75">SUMPRODUCT((TRIM(INDEX('6. TIẾN ĐỘ MUA HÀNG'!$A$5:$AT644, 0, XMATCH("NCC VTBB/NL trong nước", '6. TIẾN ĐỘ MUA HÀNG'!$A$4:$AT$4, 0))) = TRIM($B75)) * (TRIM(INDEX('6. TIẾN ĐỘ MUA HÀNG'!$A$5:$AT644, 0, XMATCH("Tháng", '6. TIẾN ĐỘ MUA HÀNG'!$A$4:$AT$4, 0))) = TRIM(F$6)) * (INDEX('6. TIẾN ĐỘ MUA HÀNG'!$A$5:$AT644, 0, XMATCH("Mã đơn Misa", '6. TIẾN ĐỘ MUA HÀNG'!$A$4:$AT$4, 0)) &lt;&gt; ""))</f>
        <v>0</v>
      </c>
      <c r="G75" s="756">
        <f t="array" ref="G75">SUMPRODUCT(
  (INDEX('6. TIẾN ĐỘ MUA HÀNG'!$A$5:$AT644, 0, XMATCH("NCC VTBB/NL trong nước", '6. TIẾN ĐỘ MUA HÀNG'!$A$4:$AT$4, 0)) = $B75) * (TRIM(INDEX('6. TIẾN ĐỘ MUA HÀNG'!$A$5:$AT644, 0, XMATCH("Tháng", '6. TIẾN ĐỘ MUA HÀNG'!$A$4:$AT$4, 0))) = TRIM(F$6)) * (INDEX('6. TIẾN ĐỘ MUA HÀNG'!$A$5:$AT644, 0, XMATCH("CL NGÀY NCC DỰ KIẾN - NGÀY NHẬN HÀNG", '6. TIẾN ĐỘ MUA HÀNG'!$A$4:$AT$4, 0)) &lt; 0)
)</f>
        <v>0</v>
      </c>
      <c r="H75" s="757">
        <f t="shared" si="15"/>
        <v>0</v>
      </c>
      <c r="I75" s="754">
        <f t="array" ref="I75">SUMPRODUCT((TRIM(INDEX('6. TIẾN ĐỘ MUA HÀNG'!$A$5:$AT644, 0, XMATCH("NCC VTBB/NL trong nước", '6. TIẾN ĐỘ MUA HÀNG'!$A$4:$AT$4, 0))) = TRIM($B75)) * (TRIM(INDEX('6. TIẾN ĐỘ MUA HÀNG'!$A$5:$AT644, 0, XMATCH("Tháng", '6. TIẾN ĐỘ MUA HÀNG'!$A$4:$AT$4, 0))) = TRIM(I$6)) * (INDEX('6. TIẾN ĐỘ MUA HÀNG'!$A$5:$AT644, 0, XMATCH("Mã đơn Misa", '6. TIẾN ĐỘ MUA HÀNG'!$A$4:$AT$4, 0)) &lt;&gt; ""))</f>
        <v>0</v>
      </c>
      <c r="J75" s="754">
        <f t="array" ref="J75">SUMPRODUCT(
  (INDEX('6. TIẾN ĐỘ MUA HÀNG'!$A$5:$AT644, 0, XMATCH("NCC VTBB/NL trong nước", '6. TIẾN ĐỘ MUA HÀNG'!$A$4:$AT$4, 0)) = $B75) * (TRIM(INDEX('6. TIẾN ĐỘ MUA HÀNG'!$A$5:$AT644, 0, XMATCH("Tháng", '6. TIẾN ĐỘ MUA HÀNG'!$A$4:$AT$4, 0))) = TRIM(I$6)) * (INDEX('6. TIẾN ĐỘ MUA HÀNG'!$A$5:$AT644, 0, XMATCH("CL NGÀY NCC DỰ KIẾN - NGÀY NHẬN HÀNG", '6. TIẾN ĐỘ MUA HÀNG'!$A$4:$AT$4, 0)) &lt; 0)
)</f>
        <v>0</v>
      </c>
      <c r="K75" s="755">
        <f t="shared" si="30"/>
        <v>0</v>
      </c>
      <c r="L75" s="756">
        <f t="array" ref="L75">SUMPRODUCT((TRIM(INDEX('6. TIẾN ĐỘ MUA HÀNG'!$A$5:$AT644, 0, XMATCH("NCC VTBB/NL trong nước", '6. TIẾN ĐỘ MUA HÀNG'!$A$4:$AT$4, 0))) = TRIM($B75)) * (TRIM(INDEX('6. TIẾN ĐỘ MUA HÀNG'!$A$5:$AT644, 0, XMATCH("Tháng", '6. TIẾN ĐỘ MUA HÀNG'!$A$4:$AT$4, 0))) = TRIM(L$6)) * (INDEX('6. TIẾN ĐỘ MUA HÀNG'!$A$5:$AT644, 0, XMATCH("Mã đơn Misa", '6. TIẾN ĐỘ MUA HÀNG'!$A$4:$AT$4, 0)) &lt;&gt; ""))</f>
        <v>0</v>
      </c>
      <c r="M75" s="756">
        <f t="array" ref="M75">SUMPRODUCT(
  (INDEX('6. TIẾN ĐỘ MUA HÀNG'!$A$5:$AT644, 0, XMATCH("NCC VTBB/NL trong nước", '6. TIẾN ĐỘ MUA HÀNG'!$A$4:$AT$4, 0)) = $B75) * (TRIM(INDEX('6. TIẾN ĐỘ MUA HÀNG'!$A$5:$AT644, 0, XMATCH("Tháng", '6. TIẾN ĐỘ MUA HÀNG'!$A$4:$AT$4, 0))) = TRIM(L$6)) * (INDEX('6. TIẾN ĐỘ MUA HÀNG'!$A$5:$AT644, 0, XMATCH("CL NGÀY NCC DỰ KIẾN - NGÀY NHẬN HÀNG", '6. TIẾN ĐỘ MUA HÀNG'!$A$4:$AT$4, 0)) &lt; 0)
)</f>
        <v>0</v>
      </c>
      <c r="N75" s="757">
        <f t="shared" si="17"/>
        <v>0</v>
      </c>
      <c r="O75" s="754">
        <f t="array" ref="O75">SUMPRODUCT((TRIM(INDEX('6. TIẾN ĐỘ MUA HÀNG'!$A$5:$AT644, 0, XMATCH("NCC VTBB/NL trong nước", '6. TIẾN ĐỘ MUA HÀNG'!$A$4:$AT$4, 0))) = TRIM($B75)) * (TRIM(INDEX('6. TIẾN ĐỘ MUA HÀNG'!$A$5:$AT644, 0, XMATCH("Tháng", '6. TIẾN ĐỘ MUA HÀNG'!$A$4:$AT$4, 0))) = TRIM(O$6)) * (INDEX('6. TIẾN ĐỘ MUA HÀNG'!$A$5:$AT644, 0, XMATCH("Mã đơn Misa", '6. TIẾN ĐỘ MUA HÀNG'!$A$4:$AT$4, 0)) &lt;&gt; ""))</f>
        <v>0</v>
      </c>
      <c r="P75" s="754">
        <f t="array" ref="P75">SUMPRODUCT(
  (INDEX('6. TIẾN ĐỘ MUA HÀNG'!$A$5:$AT644, 0, XMATCH("NCC VTBB/NL trong nước", '6. TIẾN ĐỘ MUA HÀNG'!$A$4:$AT$4, 0)) = $B75) * (TRIM(INDEX('6. TIẾN ĐỘ MUA HÀNG'!$A$5:$AT644, 0, XMATCH("Tháng", '6. TIẾN ĐỘ MUA HÀNG'!$A$4:$AT$4, 0))) = TRIM(O$6)) * (INDEX('6. TIẾN ĐỘ MUA HÀNG'!$A$5:$AT644, 0, XMATCH("CL NGÀY NCC DỰ KIẾN - NGÀY NHẬN HÀNG", '6. TIẾN ĐỘ MUA HÀNG'!$A$4:$AT$4, 0)) &lt; 0)
)</f>
        <v>0</v>
      </c>
      <c r="Q75" s="755">
        <f t="shared" si="31"/>
        <v>0</v>
      </c>
      <c r="R75" s="756">
        <f t="array" ref="R75">SUMPRODUCT((TRIM(INDEX('6. TIẾN ĐỘ MUA HÀNG'!$A$5:$AT644, 0, XMATCH("NCC VTBB/NL trong nước", '6. TIẾN ĐỘ MUA HÀNG'!$A$4:$AT$4, 0))) = TRIM($B75)) * (TRIM(INDEX('6. TIẾN ĐỘ MUA HÀNG'!$A$5:$AT644, 0, XMATCH("Tháng", '6. TIẾN ĐỘ MUA HÀNG'!$A$4:$AT$4, 0))) = TRIM(R$6)) * (INDEX('6. TIẾN ĐỘ MUA HÀNG'!$A$5:$AT644, 0, XMATCH("Mã đơn Misa", '6. TIẾN ĐỘ MUA HÀNG'!$A$4:$AT$4, 0)) &lt;&gt; ""))</f>
        <v>0</v>
      </c>
      <c r="S75" s="756">
        <f t="array" ref="S75">SUMPRODUCT(
  (INDEX('6. TIẾN ĐỘ MUA HÀNG'!$A$5:$AT644, 0, XMATCH("NCC VTBB/NL trong nước", '6. TIẾN ĐỘ MUA HÀNG'!$A$4:$AT$4, 0)) = $B75) * (TRIM(INDEX('6. TIẾN ĐỘ MUA HÀNG'!$A$5:$AT644, 0, XMATCH("Tháng", '6. TIẾN ĐỘ MUA HÀNG'!$A$4:$AT$4, 0))) = TRIM(R$6)) * (INDEX('6. TIẾN ĐỘ MUA HÀNG'!$A$5:$AT644, 0, XMATCH("CL NGÀY NCC DỰ KIẾN - NGÀY NHẬN HÀNG", '6. TIẾN ĐỘ MUA HÀNG'!$A$4:$AT$4, 0)) &lt; 0)
)</f>
        <v>0</v>
      </c>
      <c r="T75" s="757">
        <f t="shared" si="19"/>
        <v>0</v>
      </c>
      <c r="U75" s="754">
        <f t="array" ref="U75">SUMPRODUCT((TRIM(INDEX('6. TIẾN ĐỘ MUA HÀNG'!$A$5:$AT644, 0, XMATCH("NCC VTBB/NL trong nước", '6. TIẾN ĐỘ MUA HÀNG'!$A$4:$AT$4, 0))) = TRIM($B75)) * (TRIM(INDEX('6. TIẾN ĐỘ MUA HÀNG'!$A$5:$AT644, 0, XMATCH("Tháng", '6. TIẾN ĐỘ MUA HÀNG'!$A$4:$AT$4, 0))) = TRIM(U$6)) * (INDEX('6. TIẾN ĐỘ MUA HÀNG'!$A$5:$AT644, 0, XMATCH("Mã đơn Misa", '6. TIẾN ĐỘ MUA HÀNG'!$A$4:$AT$4, 0)) &lt;&gt; ""))</f>
        <v>0</v>
      </c>
      <c r="V75" s="754">
        <f t="array" ref="V75">SUMPRODUCT(
  (INDEX('6. TIẾN ĐỘ MUA HÀNG'!$A$5:$AT644, 0, XMATCH("NCC VTBB/NL trong nước", '6. TIẾN ĐỘ MUA HÀNG'!$A$4:$AT$4, 0)) = $B75) * (TRIM(INDEX('6. TIẾN ĐỘ MUA HÀNG'!$A$5:$AT644, 0, XMATCH("Tháng", '6. TIẾN ĐỘ MUA HÀNG'!$A$4:$AT$4, 0))) = TRIM(U$6)) * (INDEX('6. TIẾN ĐỘ MUA HÀNG'!$A$5:$AT644, 0, XMATCH("CL NGÀY NCC DỰ KIẾN - NGÀY NHẬN HÀNG", '6. TIẾN ĐỘ MUA HÀNG'!$A$4:$AT$4, 0)) &lt; 0)
)</f>
        <v>0</v>
      </c>
      <c r="W75" s="755">
        <f t="shared" si="32"/>
        <v>0</v>
      </c>
      <c r="X75" s="756">
        <f t="array" ref="X75">SUMPRODUCT((TRIM(INDEX('6. TIẾN ĐỘ MUA HÀNG'!$A$5:$AT644, 0, XMATCH("NCC VTBB/NL trong nước", '6. TIẾN ĐỘ MUA HÀNG'!$A$4:$AT$4, 0))) = TRIM($B75)) * (TRIM(INDEX('6. TIẾN ĐỘ MUA HÀNG'!$A$5:$AT644, 0, XMATCH("Tháng", '6. TIẾN ĐỘ MUA HÀNG'!$A$4:$AT$4, 0))) = TRIM(X$6)) * (INDEX('6. TIẾN ĐỘ MUA HÀNG'!$A$5:$AT644, 0, XMATCH("Mã đơn Misa", '6. TIẾN ĐỘ MUA HÀNG'!$A$4:$AT$4, 0)) &lt;&gt; ""))</f>
        <v>0</v>
      </c>
      <c r="Y75" s="756">
        <f t="array" ref="Y75">SUMPRODUCT(
  (INDEX('6. TIẾN ĐỘ MUA HÀNG'!$A$5:$AT644, 0, XMATCH("NCC VTBB/NL trong nước", '6. TIẾN ĐỘ MUA HÀNG'!$A$4:$AT$4, 0)) = $B75) * (TRIM(INDEX('6. TIẾN ĐỘ MUA HÀNG'!$A$5:$AT644, 0, XMATCH("Tháng", '6. TIẾN ĐỘ MUA HÀNG'!$A$4:$AT$4, 0))) = TRIM(X$6)) * (INDEX('6. TIẾN ĐỘ MUA HÀNG'!$A$5:$AT644, 0, XMATCH("CL NGÀY NCC DỰ KIẾN - NGÀY NHẬN HÀNG", '6. TIẾN ĐỘ MUA HÀNG'!$A$4:$AT$4, 0)) &lt; 0)
)</f>
        <v>0</v>
      </c>
      <c r="Z75" s="757">
        <f t="shared" si="21"/>
        <v>0</v>
      </c>
      <c r="AA75" s="754">
        <f t="array" ref="AA75">SUMPRODUCT((TRIM(INDEX('6. TIẾN ĐỘ MUA HÀNG'!$A$5:$AT644, 0, XMATCH("NCC VTBB/NL trong nước", '6. TIẾN ĐỘ MUA HÀNG'!$A$4:$AT$4, 0))) = TRIM($B75)) * (TRIM(INDEX('6. TIẾN ĐỘ MUA HÀNG'!$A$5:$AT644, 0, XMATCH("Tháng", '6. TIẾN ĐỘ MUA HÀNG'!$A$4:$AT$4, 0))) = TRIM(AA$6)) * (INDEX('6. TIẾN ĐỘ MUA HÀNG'!$A$5:$AT644, 0, XMATCH("Mã đơn Misa", '6. TIẾN ĐỘ MUA HÀNG'!$A$4:$AT$4, 0)) &lt;&gt; ""))</f>
        <v>0</v>
      </c>
      <c r="AB75" s="754">
        <f t="array" ref="AB75">SUMPRODUCT(
  (INDEX('6. TIẾN ĐỘ MUA HÀNG'!$A$5:$AT644, 0, XMATCH("NCC VTBB/NL trong nước", '6. TIẾN ĐỘ MUA HÀNG'!$A$4:$AT$4, 0)) = $B75) * (TRIM(INDEX('6. TIẾN ĐỘ MUA HÀNG'!$A$5:$AT644, 0, XMATCH("Tháng", '6. TIẾN ĐỘ MUA HÀNG'!$A$4:$AT$4, 0))) = TRIM(AA$6)) * (INDEX('6. TIẾN ĐỘ MUA HÀNG'!$A$5:$AT644, 0, XMATCH("CL NGÀY NCC DỰ KIẾN - NGÀY NHẬN HÀNG", '6. TIẾN ĐỘ MUA HÀNG'!$A$4:$AT$4, 0)) &lt; 0)
)</f>
        <v>0</v>
      </c>
      <c r="AC75" s="755">
        <f t="shared" si="33"/>
        <v>0</v>
      </c>
      <c r="AD75" s="756">
        <f t="array" ref="AD75">SUMPRODUCT((TRIM(INDEX('6. TIẾN ĐỘ MUA HÀNG'!$A$5:$AT644, 0, XMATCH("NCC VTBB/NL trong nước", '6. TIẾN ĐỘ MUA HÀNG'!$A$4:$AT$4, 0))) = TRIM($B75)) * (TRIM(INDEX('6. TIẾN ĐỘ MUA HÀNG'!$A$5:$AT644, 0, XMATCH("Tháng", '6. TIẾN ĐỘ MUA HÀNG'!$A$4:$AT$4, 0))) = TRIM(AD$6)) * (INDEX('6. TIẾN ĐỘ MUA HÀNG'!$A$5:$AT644, 0, XMATCH("Mã đơn Misa", '6. TIẾN ĐỘ MUA HÀNG'!$A$4:$AT$4, 0)) &lt;&gt; ""))</f>
        <v>0</v>
      </c>
      <c r="AE75" s="756">
        <f t="array" ref="AE75">SUMPRODUCT(
  (INDEX('6. TIẾN ĐỘ MUA HÀNG'!$A$5:$AT644, 0, XMATCH("NCC VTBB/NL trong nước", '6. TIẾN ĐỘ MUA HÀNG'!$A$4:$AT$4, 0)) = $B75) * (TRIM(INDEX('6. TIẾN ĐỘ MUA HÀNG'!$A$5:$AT644, 0, XMATCH("Tháng", '6. TIẾN ĐỘ MUA HÀNG'!$A$4:$AT$4, 0))) = TRIM(AD$6)) * (INDEX('6. TIẾN ĐỘ MUA HÀNG'!$A$5:$AT644, 0, XMATCH("CL NGÀY NCC DỰ KIẾN - NGÀY NHẬN HÀNG", '6. TIẾN ĐỘ MUA HÀNG'!$A$4:$AT$4, 0)) &lt; 0)
)</f>
        <v>0</v>
      </c>
      <c r="AF75" s="757">
        <f t="shared" si="23"/>
        <v>0</v>
      </c>
      <c r="AG75" s="754">
        <f t="array" ref="AG75">SUMPRODUCT((TRIM(INDEX('6. TIẾN ĐỘ MUA HÀNG'!$A$5:$AT644, 0, XMATCH("NCC VTBB/NL trong nước", '6. TIẾN ĐỘ MUA HÀNG'!$A$4:$AT$4, 0))) = TRIM($B75)) * (TRIM(INDEX('6. TIẾN ĐỘ MUA HÀNG'!$A$5:$AT644, 0, XMATCH("Tháng", '6. TIẾN ĐỘ MUA HÀNG'!$A$4:$AT$4, 0))) = TRIM(AG$6)) * (INDEX('6. TIẾN ĐỘ MUA HÀNG'!$A$5:$AT644, 0, XMATCH("Mã đơn Misa", '6. TIẾN ĐỘ MUA HÀNG'!$A$4:$AT$4, 0)) &lt;&gt; ""))</f>
        <v>0</v>
      </c>
      <c r="AH75" s="754">
        <f t="array" ref="AH75">SUMPRODUCT(
  (INDEX('6. TIẾN ĐỘ MUA HÀNG'!$A$5:$AT644, 0, XMATCH("NCC VTBB/NL trong nước", '6. TIẾN ĐỘ MUA HÀNG'!$A$4:$AT$4, 0)) = $B75) * (TRIM(INDEX('6. TIẾN ĐỘ MUA HÀNG'!$A$5:$AT644, 0, XMATCH("Tháng", '6. TIẾN ĐỘ MUA HÀNG'!$A$4:$AT$4, 0))) = TRIM(AG$6)) * (INDEX('6. TIẾN ĐỘ MUA HÀNG'!$A$5:$AT644, 0, XMATCH("CL NGÀY NCC DỰ KIẾN - NGÀY NHẬN HÀNG", '6. TIẾN ĐỘ MUA HÀNG'!$A$4:$AT$4, 0)) &lt; 0)
)</f>
        <v>0</v>
      </c>
      <c r="AI75" s="755">
        <f t="shared" si="34"/>
        <v>0</v>
      </c>
      <c r="AJ75" s="756">
        <f t="array" ref="AJ75">SUMPRODUCT((TRIM(INDEX('6. TIẾN ĐỘ MUA HÀNG'!$A$5:$AT644, 0, XMATCH("NCC VTBB/NL trong nước", '6. TIẾN ĐỘ MUA HÀNG'!$A$4:$AT$4, 0))) = TRIM($B75)) * (TRIM(INDEX('6. TIẾN ĐỘ MUA HÀNG'!$A$5:$AT644, 0, XMATCH("Tháng", '6. TIẾN ĐỘ MUA HÀNG'!$A$4:$AT$4, 0))) = TRIM(AJ$6)) * (INDEX('6. TIẾN ĐỘ MUA HÀNG'!$A$5:$AT644, 0, XMATCH("Mã đơn Misa", '6. TIẾN ĐỘ MUA HÀNG'!$A$4:$AT$4, 0)) &lt;&gt; ""))</f>
        <v>0</v>
      </c>
      <c r="AK75" s="756">
        <f t="array" ref="AK75">SUMPRODUCT(
  (INDEX('6. TIẾN ĐỘ MUA HÀNG'!$A$5:$AT644, 0, XMATCH("NCC VTBB/NL trong nước", '6. TIẾN ĐỘ MUA HÀNG'!$A$4:$AT$4, 0)) = $B75) * (TRIM(INDEX('6. TIẾN ĐỘ MUA HÀNG'!$A$5:$AT644, 0, XMATCH("Tháng", '6. TIẾN ĐỘ MUA HÀNG'!$A$4:$AT$4, 0))) = TRIM(AJ$6)) * (INDEX('6. TIẾN ĐỘ MUA HÀNG'!$A$5:$AT644, 0, XMATCH("CL NGÀY NCC DỰ KIẾN - NGÀY NHẬN HÀNG", '6. TIẾN ĐỘ MUA HÀNG'!$A$4:$AT$4, 0)) &lt; 0)
)</f>
        <v>0</v>
      </c>
      <c r="AL75" s="757">
        <f t="shared" si="25"/>
        <v>0</v>
      </c>
      <c r="AM75" s="726">
        <f t="shared" si="27"/>
        <v>0</v>
      </c>
      <c r="AN75" s="726">
        <f t="shared" si="28"/>
        <v>0</v>
      </c>
      <c r="AO75" s="727">
        <f t="shared" si="26"/>
        <v>0</v>
      </c>
    </row>
    <row r="76">
      <c r="A76" s="612">
        <v>68.0</v>
      </c>
      <c r="B76" s="624" t="str">
        <f>IFERROR(__xludf.DUMMYFUNCTION("""COMPUTED_VALUE"""),"Thùy Anh")</f>
        <v>Thùy Anh</v>
      </c>
      <c r="C76" s="754">
        <f t="array" ref="C76">SUMPRODUCT((TRIM(INDEX('6. TIẾN ĐỘ MUA HÀNG'!$A$5:$AT644, 0, XMATCH("NCC VTBB/NL trong nước", '6. TIẾN ĐỘ MUA HÀNG'!$A$4:$AT$4, 0))) = TRIM($B76)) * (TRIM(INDEX('6. TIẾN ĐỘ MUA HÀNG'!$A$5:$AT644, 0, XMATCH("Tháng", '6. TIẾN ĐỘ MUA HÀNG'!$A$4:$AT$4, 0))) = TRIM(C$6)) * (INDEX('6. TIẾN ĐỘ MUA HÀNG'!$A$5:$AT644, 0, XMATCH("Mã đơn Misa", '6. TIẾN ĐỘ MUA HÀNG'!$A$4:$AT$4, 0)) &lt;&gt; ""))</f>
        <v>0</v>
      </c>
      <c r="D76" s="754">
        <f t="array" ref="D76">SUMPRODUCT(
  (INDEX('6. TIẾN ĐỘ MUA HÀNG'!$A$5:$AT644, 0, XMATCH("NCC VTBB/NL trong nước", '6. TIẾN ĐỘ MUA HÀNG'!$A$4:$AT$4, 0)) = $B76) * (TRIM(INDEX('6. TIẾN ĐỘ MUA HÀNG'!$A$5:$AT644, 0, XMATCH("Tháng", '6. TIẾN ĐỘ MUA HÀNG'!$A$4:$AT$4, 0))) = TRIM(C$6)) * (INDEX('6. TIẾN ĐỘ MUA HÀNG'!$A$5:$AT644, 0, XMATCH("CL NGÀY NCC DỰ KIẾN - NGÀY NHẬN HÀNG", '6. TIẾN ĐỘ MUA HÀNG'!$A$4:$AT$4, 0)) &lt; 0)
)</f>
        <v>0</v>
      </c>
      <c r="E76" s="755">
        <f t="shared" si="29"/>
        <v>0</v>
      </c>
      <c r="F76" s="756">
        <f t="array" ref="F76">SUMPRODUCT((TRIM(INDEX('6. TIẾN ĐỘ MUA HÀNG'!$A$5:$AT644, 0, XMATCH("NCC VTBB/NL trong nước", '6. TIẾN ĐỘ MUA HÀNG'!$A$4:$AT$4, 0))) = TRIM($B76)) * (TRIM(INDEX('6. TIẾN ĐỘ MUA HÀNG'!$A$5:$AT644, 0, XMATCH("Tháng", '6. TIẾN ĐỘ MUA HÀNG'!$A$4:$AT$4, 0))) = TRIM(F$6)) * (INDEX('6. TIẾN ĐỘ MUA HÀNG'!$A$5:$AT644, 0, XMATCH("Mã đơn Misa", '6. TIẾN ĐỘ MUA HÀNG'!$A$4:$AT$4, 0)) &lt;&gt; ""))</f>
        <v>0</v>
      </c>
      <c r="G76" s="756">
        <f t="array" ref="G76">SUMPRODUCT(
  (INDEX('6. TIẾN ĐỘ MUA HÀNG'!$A$5:$AT644, 0, XMATCH("NCC VTBB/NL trong nước", '6. TIẾN ĐỘ MUA HÀNG'!$A$4:$AT$4, 0)) = $B76) * (TRIM(INDEX('6. TIẾN ĐỘ MUA HÀNG'!$A$5:$AT644, 0, XMATCH("Tháng", '6. TIẾN ĐỘ MUA HÀNG'!$A$4:$AT$4, 0))) = TRIM(F$6)) * (INDEX('6. TIẾN ĐỘ MUA HÀNG'!$A$5:$AT644, 0, XMATCH("CL NGÀY NCC DỰ KIẾN - NGÀY NHẬN HÀNG", '6. TIẾN ĐỘ MUA HÀNG'!$A$4:$AT$4, 0)) &lt; 0)
)</f>
        <v>0</v>
      </c>
      <c r="H76" s="757">
        <f t="shared" si="15"/>
        <v>0</v>
      </c>
      <c r="I76" s="754">
        <f t="array" ref="I76">SUMPRODUCT((TRIM(INDEX('6. TIẾN ĐỘ MUA HÀNG'!$A$5:$AT644, 0, XMATCH("NCC VTBB/NL trong nước", '6. TIẾN ĐỘ MUA HÀNG'!$A$4:$AT$4, 0))) = TRIM($B76)) * (TRIM(INDEX('6. TIẾN ĐỘ MUA HÀNG'!$A$5:$AT644, 0, XMATCH("Tháng", '6. TIẾN ĐỘ MUA HÀNG'!$A$4:$AT$4, 0))) = TRIM(I$6)) * (INDEX('6. TIẾN ĐỘ MUA HÀNG'!$A$5:$AT644, 0, XMATCH("Mã đơn Misa", '6. TIẾN ĐỘ MUA HÀNG'!$A$4:$AT$4, 0)) &lt;&gt; ""))</f>
        <v>0</v>
      </c>
      <c r="J76" s="754">
        <f t="array" ref="J76">SUMPRODUCT(
  (INDEX('6. TIẾN ĐỘ MUA HÀNG'!$A$5:$AT644, 0, XMATCH("NCC VTBB/NL trong nước", '6. TIẾN ĐỘ MUA HÀNG'!$A$4:$AT$4, 0)) = $B76) * (TRIM(INDEX('6. TIẾN ĐỘ MUA HÀNG'!$A$5:$AT644, 0, XMATCH("Tháng", '6. TIẾN ĐỘ MUA HÀNG'!$A$4:$AT$4, 0))) = TRIM(I$6)) * (INDEX('6. TIẾN ĐỘ MUA HÀNG'!$A$5:$AT644, 0, XMATCH("CL NGÀY NCC DỰ KIẾN - NGÀY NHẬN HÀNG", '6. TIẾN ĐỘ MUA HÀNG'!$A$4:$AT$4, 0)) &lt; 0)
)</f>
        <v>0</v>
      </c>
      <c r="K76" s="755">
        <f t="shared" si="30"/>
        <v>0</v>
      </c>
      <c r="L76" s="756">
        <f t="array" ref="L76">SUMPRODUCT((TRIM(INDEX('6. TIẾN ĐỘ MUA HÀNG'!$A$5:$AT644, 0, XMATCH("NCC VTBB/NL trong nước", '6. TIẾN ĐỘ MUA HÀNG'!$A$4:$AT$4, 0))) = TRIM($B76)) * (TRIM(INDEX('6. TIẾN ĐỘ MUA HÀNG'!$A$5:$AT644, 0, XMATCH("Tháng", '6. TIẾN ĐỘ MUA HÀNG'!$A$4:$AT$4, 0))) = TRIM(L$6)) * (INDEX('6. TIẾN ĐỘ MUA HÀNG'!$A$5:$AT644, 0, XMATCH("Mã đơn Misa", '6. TIẾN ĐỘ MUA HÀNG'!$A$4:$AT$4, 0)) &lt;&gt; ""))</f>
        <v>0</v>
      </c>
      <c r="M76" s="756">
        <f t="array" ref="M76">SUMPRODUCT(
  (INDEX('6. TIẾN ĐỘ MUA HÀNG'!$A$5:$AT644, 0, XMATCH("NCC VTBB/NL trong nước", '6. TIẾN ĐỘ MUA HÀNG'!$A$4:$AT$4, 0)) = $B76) * (TRIM(INDEX('6. TIẾN ĐỘ MUA HÀNG'!$A$5:$AT644, 0, XMATCH("Tháng", '6. TIẾN ĐỘ MUA HÀNG'!$A$4:$AT$4, 0))) = TRIM(L$6)) * (INDEX('6. TIẾN ĐỘ MUA HÀNG'!$A$5:$AT644, 0, XMATCH("CL NGÀY NCC DỰ KIẾN - NGÀY NHẬN HÀNG", '6. TIẾN ĐỘ MUA HÀNG'!$A$4:$AT$4, 0)) &lt; 0)
)</f>
        <v>0</v>
      </c>
      <c r="N76" s="757">
        <f t="shared" si="17"/>
        <v>0</v>
      </c>
      <c r="O76" s="754">
        <f t="array" ref="O76">SUMPRODUCT((TRIM(INDEX('6. TIẾN ĐỘ MUA HÀNG'!$A$5:$AT644, 0, XMATCH("NCC VTBB/NL trong nước", '6. TIẾN ĐỘ MUA HÀNG'!$A$4:$AT$4, 0))) = TRIM($B76)) * (TRIM(INDEX('6. TIẾN ĐỘ MUA HÀNG'!$A$5:$AT644, 0, XMATCH("Tháng", '6. TIẾN ĐỘ MUA HÀNG'!$A$4:$AT$4, 0))) = TRIM(O$6)) * (INDEX('6. TIẾN ĐỘ MUA HÀNG'!$A$5:$AT644, 0, XMATCH("Mã đơn Misa", '6. TIẾN ĐỘ MUA HÀNG'!$A$4:$AT$4, 0)) &lt;&gt; ""))</f>
        <v>0</v>
      </c>
      <c r="P76" s="754">
        <f t="array" ref="P76">SUMPRODUCT(
  (INDEX('6. TIẾN ĐỘ MUA HÀNG'!$A$5:$AT644, 0, XMATCH("NCC VTBB/NL trong nước", '6. TIẾN ĐỘ MUA HÀNG'!$A$4:$AT$4, 0)) = $B76) * (TRIM(INDEX('6. TIẾN ĐỘ MUA HÀNG'!$A$5:$AT644, 0, XMATCH("Tháng", '6. TIẾN ĐỘ MUA HÀNG'!$A$4:$AT$4, 0))) = TRIM(O$6)) * (INDEX('6. TIẾN ĐỘ MUA HÀNG'!$A$5:$AT644, 0, XMATCH("CL NGÀY NCC DỰ KIẾN - NGÀY NHẬN HÀNG", '6. TIẾN ĐỘ MUA HÀNG'!$A$4:$AT$4, 0)) &lt; 0)
)</f>
        <v>0</v>
      </c>
      <c r="Q76" s="755">
        <f t="shared" si="31"/>
        <v>0</v>
      </c>
      <c r="R76" s="756">
        <f t="array" ref="R76">SUMPRODUCT((TRIM(INDEX('6. TIẾN ĐỘ MUA HÀNG'!$A$5:$AT644, 0, XMATCH("NCC VTBB/NL trong nước", '6. TIẾN ĐỘ MUA HÀNG'!$A$4:$AT$4, 0))) = TRIM($B76)) * (TRIM(INDEX('6. TIẾN ĐỘ MUA HÀNG'!$A$5:$AT644, 0, XMATCH("Tháng", '6. TIẾN ĐỘ MUA HÀNG'!$A$4:$AT$4, 0))) = TRIM(R$6)) * (INDEX('6. TIẾN ĐỘ MUA HÀNG'!$A$5:$AT644, 0, XMATCH("Mã đơn Misa", '6. TIẾN ĐỘ MUA HÀNG'!$A$4:$AT$4, 0)) &lt;&gt; ""))</f>
        <v>0</v>
      </c>
      <c r="S76" s="756">
        <f t="array" ref="S76">SUMPRODUCT(
  (INDEX('6. TIẾN ĐỘ MUA HÀNG'!$A$5:$AT644, 0, XMATCH("NCC VTBB/NL trong nước", '6. TIẾN ĐỘ MUA HÀNG'!$A$4:$AT$4, 0)) = $B76) * (TRIM(INDEX('6. TIẾN ĐỘ MUA HÀNG'!$A$5:$AT644, 0, XMATCH("Tháng", '6. TIẾN ĐỘ MUA HÀNG'!$A$4:$AT$4, 0))) = TRIM(R$6)) * (INDEX('6. TIẾN ĐỘ MUA HÀNG'!$A$5:$AT644, 0, XMATCH("CL NGÀY NCC DỰ KIẾN - NGÀY NHẬN HÀNG", '6. TIẾN ĐỘ MUA HÀNG'!$A$4:$AT$4, 0)) &lt; 0)
)</f>
        <v>0</v>
      </c>
      <c r="T76" s="757">
        <f t="shared" si="19"/>
        <v>0</v>
      </c>
      <c r="U76" s="754">
        <f t="array" ref="U76">SUMPRODUCT((TRIM(INDEX('6. TIẾN ĐỘ MUA HÀNG'!$A$5:$AT644, 0, XMATCH("NCC VTBB/NL trong nước", '6. TIẾN ĐỘ MUA HÀNG'!$A$4:$AT$4, 0))) = TRIM($B76)) * (TRIM(INDEX('6. TIẾN ĐỘ MUA HÀNG'!$A$5:$AT644, 0, XMATCH("Tháng", '6. TIẾN ĐỘ MUA HÀNG'!$A$4:$AT$4, 0))) = TRIM(U$6)) * (INDEX('6. TIẾN ĐỘ MUA HÀNG'!$A$5:$AT644, 0, XMATCH("Mã đơn Misa", '6. TIẾN ĐỘ MUA HÀNG'!$A$4:$AT$4, 0)) &lt;&gt; ""))</f>
        <v>0</v>
      </c>
      <c r="V76" s="754">
        <f t="array" ref="V76">SUMPRODUCT(
  (INDEX('6. TIẾN ĐỘ MUA HÀNG'!$A$5:$AT644, 0, XMATCH("NCC VTBB/NL trong nước", '6. TIẾN ĐỘ MUA HÀNG'!$A$4:$AT$4, 0)) = $B76) * (TRIM(INDEX('6. TIẾN ĐỘ MUA HÀNG'!$A$5:$AT644, 0, XMATCH("Tháng", '6. TIẾN ĐỘ MUA HÀNG'!$A$4:$AT$4, 0))) = TRIM(U$6)) * (INDEX('6. TIẾN ĐỘ MUA HÀNG'!$A$5:$AT644, 0, XMATCH("CL NGÀY NCC DỰ KIẾN - NGÀY NHẬN HÀNG", '6. TIẾN ĐỘ MUA HÀNG'!$A$4:$AT$4, 0)) &lt; 0)
)</f>
        <v>0</v>
      </c>
      <c r="W76" s="755">
        <f t="shared" si="32"/>
        <v>0</v>
      </c>
      <c r="X76" s="756">
        <f t="array" ref="X76">SUMPRODUCT((TRIM(INDEX('6. TIẾN ĐỘ MUA HÀNG'!$A$5:$AT644, 0, XMATCH("NCC VTBB/NL trong nước", '6. TIẾN ĐỘ MUA HÀNG'!$A$4:$AT$4, 0))) = TRIM($B76)) * (TRIM(INDEX('6. TIẾN ĐỘ MUA HÀNG'!$A$5:$AT644, 0, XMATCH("Tháng", '6. TIẾN ĐỘ MUA HÀNG'!$A$4:$AT$4, 0))) = TRIM(X$6)) * (INDEX('6. TIẾN ĐỘ MUA HÀNG'!$A$5:$AT644, 0, XMATCH("Mã đơn Misa", '6. TIẾN ĐỘ MUA HÀNG'!$A$4:$AT$4, 0)) &lt;&gt; ""))</f>
        <v>0</v>
      </c>
      <c r="Y76" s="756">
        <f t="array" ref="Y76">SUMPRODUCT(
  (INDEX('6. TIẾN ĐỘ MUA HÀNG'!$A$5:$AT644, 0, XMATCH("NCC VTBB/NL trong nước", '6. TIẾN ĐỘ MUA HÀNG'!$A$4:$AT$4, 0)) = $B76) * (TRIM(INDEX('6. TIẾN ĐỘ MUA HÀNG'!$A$5:$AT644, 0, XMATCH("Tháng", '6. TIẾN ĐỘ MUA HÀNG'!$A$4:$AT$4, 0))) = TRIM(X$6)) * (INDEX('6. TIẾN ĐỘ MUA HÀNG'!$A$5:$AT644, 0, XMATCH("CL NGÀY NCC DỰ KIẾN - NGÀY NHẬN HÀNG", '6. TIẾN ĐỘ MUA HÀNG'!$A$4:$AT$4, 0)) &lt; 0)
)</f>
        <v>0</v>
      </c>
      <c r="Z76" s="757">
        <f t="shared" si="21"/>
        <v>0</v>
      </c>
      <c r="AA76" s="754">
        <f t="array" ref="AA76">SUMPRODUCT((TRIM(INDEX('6. TIẾN ĐỘ MUA HÀNG'!$A$5:$AT644, 0, XMATCH("NCC VTBB/NL trong nước", '6. TIẾN ĐỘ MUA HÀNG'!$A$4:$AT$4, 0))) = TRIM($B76)) * (TRIM(INDEX('6. TIẾN ĐỘ MUA HÀNG'!$A$5:$AT644, 0, XMATCH("Tháng", '6. TIẾN ĐỘ MUA HÀNG'!$A$4:$AT$4, 0))) = TRIM(AA$6)) * (INDEX('6. TIẾN ĐỘ MUA HÀNG'!$A$5:$AT644, 0, XMATCH("Mã đơn Misa", '6. TIẾN ĐỘ MUA HÀNG'!$A$4:$AT$4, 0)) &lt;&gt; ""))</f>
        <v>0</v>
      </c>
      <c r="AB76" s="754">
        <f t="array" ref="AB76">SUMPRODUCT(
  (INDEX('6. TIẾN ĐỘ MUA HÀNG'!$A$5:$AT644, 0, XMATCH("NCC VTBB/NL trong nước", '6. TIẾN ĐỘ MUA HÀNG'!$A$4:$AT$4, 0)) = $B76) * (TRIM(INDEX('6. TIẾN ĐỘ MUA HÀNG'!$A$5:$AT644, 0, XMATCH("Tháng", '6. TIẾN ĐỘ MUA HÀNG'!$A$4:$AT$4, 0))) = TRIM(AA$6)) * (INDEX('6. TIẾN ĐỘ MUA HÀNG'!$A$5:$AT644, 0, XMATCH("CL NGÀY NCC DỰ KIẾN - NGÀY NHẬN HÀNG", '6. TIẾN ĐỘ MUA HÀNG'!$A$4:$AT$4, 0)) &lt; 0)
)</f>
        <v>0</v>
      </c>
      <c r="AC76" s="755">
        <f t="shared" si="33"/>
        <v>0</v>
      </c>
      <c r="AD76" s="756">
        <f t="array" ref="AD76">SUMPRODUCT((TRIM(INDEX('6. TIẾN ĐỘ MUA HÀNG'!$A$5:$AT644, 0, XMATCH("NCC VTBB/NL trong nước", '6. TIẾN ĐỘ MUA HÀNG'!$A$4:$AT$4, 0))) = TRIM($B76)) * (TRIM(INDEX('6. TIẾN ĐỘ MUA HÀNG'!$A$5:$AT644, 0, XMATCH("Tháng", '6. TIẾN ĐỘ MUA HÀNG'!$A$4:$AT$4, 0))) = TRIM(AD$6)) * (INDEX('6. TIẾN ĐỘ MUA HÀNG'!$A$5:$AT644, 0, XMATCH("Mã đơn Misa", '6. TIẾN ĐỘ MUA HÀNG'!$A$4:$AT$4, 0)) &lt;&gt; ""))</f>
        <v>0</v>
      </c>
      <c r="AE76" s="756">
        <f t="array" ref="AE76">SUMPRODUCT(
  (INDEX('6. TIẾN ĐỘ MUA HÀNG'!$A$5:$AT644, 0, XMATCH("NCC VTBB/NL trong nước", '6. TIẾN ĐỘ MUA HÀNG'!$A$4:$AT$4, 0)) = $B76) * (TRIM(INDEX('6. TIẾN ĐỘ MUA HÀNG'!$A$5:$AT644, 0, XMATCH("Tháng", '6. TIẾN ĐỘ MUA HÀNG'!$A$4:$AT$4, 0))) = TRIM(AD$6)) * (INDEX('6. TIẾN ĐỘ MUA HÀNG'!$A$5:$AT644, 0, XMATCH("CL NGÀY NCC DỰ KIẾN - NGÀY NHẬN HÀNG", '6. TIẾN ĐỘ MUA HÀNG'!$A$4:$AT$4, 0)) &lt; 0)
)</f>
        <v>0</v>
      </c>
      <c r="AF76" s="757">
        <f t="shared" si="23"/>
        <v>0</v>
      </c>
      <c r="AG76" s="754">
        <f t="array" ref="AG76">SUMPRODUCT((TRIM(INDEX('6. TIẾN ĐỘ MUA HÀNG'!$A$5:$AT644, 0, XMATCH("NCC VTBB/NL trong nước", '6. TIẾN ĐỘ MUA HÀNG'!$A$4:$AT$4, 0))) = TRIM($B76)) * (TRIM(INDEX('6. TIẾN ĐỘ MUA HÀNG'!$A$5:$AT644, 0, XMATCH("Tháng", '6. TIẾN ĐỘ MUA HÀNG'!$A$4:$AT$4, 0))) = TRIM(AG$6)) * (INDEX('6. TIẾN ĐỘ MUA HÀNG'!$A$5:$AT644, 0, XMATCH("Mã đơn Misa", '6. TIẾN ĐỘ MUA HÀNG'!$A$4:$AT$4, 0)) &lt;&gt; ""))</f>
        <v>0</v>
      </c>
      <c r="AH76" s="754">
        <f t="array" ref="AH76">SUMPRODUCT(
  (INDEX('6. TIẾN ĐỘ MUA HÀNG'!$A$5:$AT644, 0, XMATCH("NCC VTBB/NL trong nước", '6. TIẾN ĐỘ MUA HÀNG'!$A$4:$AT$4, 0)) = $B76) * (TRIM(INDEX('6. TIẾN ĐỘ MUA HÀNG'!$A$5:$AT644, 0, XMATCH("Tháng", '6. TIẾN ĐỘ MUA HÀNG'!$A$4:$AT$4, 0))) = TRIM(AG$6)) * (INDEX('6. TIẾN ĐỘ MUA HÀNG'!$A$5:$AT644, 0, XMATCH("CL NGÀY NCC DỰ KIẾN - NGÀY NHẬN HÀNG", '6. TIẾN ĐỘ MUA HÀNG'!$A$4:$AT$4, 0)) &lt; 0)
)</f>
        <v>0</v>
      </c>
      <c r="AI76" s="755">
        <f t="shared" si="34"/>
        <v>0</v>
      </c>
      <c r="AJ76" s="756">
        <f t="array" ref="AJ76">SUMPRODUCT((TRIM(INDEX('6. TIẾN ĐỘ MUA HÀNG'!$A$5:$AT644, 0, XMATCH("NCC VTBB/NL trong nước", '6. TIẾN ĐỘ MUA HÀNG'!$A$4:$AT$4, 0))) = TRIM($B76)) * (TRIM(INDEX('6. TIẾN ĐỘ MUA HÀNG'!$A$5:$AT644, 0, XMATCH("Tháng", '6. TIẾN ĐỘ MUA HÀNG'!$A$4:$AT$4, 0))) = TRIM(AJ$6)) * (INDEX('6. TIẾN ĐỘ MUA HÀNG'!$A$5:$AT644, 0, XMATCH("Mã đơn Misa", '6. TIẾN ĐỘ MUA HÀNG'!$A$4:$AT$4, 0)) &lt;&gt; ""))</f>
        <v>0</v>
      </c>
      <c r="AK76" s="756">
        <f t="array" ref="AK76">SUMPRODUCT(
  (INDEX('6. TIẾN ĐỘ MUA HÀNG'!$A$5:$AT644, 0, XMATCH("NCC VTBB/NL trong nước", '6. TIẾN ĐỘ MUA HÀNG'!$A$4:$AT$4, 0)) = $B76) * (TRIM(INDEX('6. TIẾN ĐỘ MUA HÀNG'!$A$5:$AT644, 0, XMATCH("Tháng", '6. TIẾN ĐỘ MUA HÀNG'!$A$4:$AT$4, 0))) = TRIM(AJ$6)) * (INDEX('6. TIẾN ĐỘ MUA HÀNG'!$A$5:$AT644, 0, XMATCH("CL NGÀY NCC DỰ KIẾN - NGÀY NHẬN HÀNG", '6. TIẾN ĐỘ MUA HÀNG'!$A$4:$AT$4, 0)) &lt; 0)
)</f>
        <v>0</v>
      </c>
      <c r="AL76" s="757">
        <f t="shared" si="25"/>
        <v>0</v>
      </c>
      <c r="AM76" s="726">
        <f t="shared" si="27"/>
        <v>0</v>
      </c>
      <c r="AN76" s="726">
        <f t="shared" si="28"/>
        <v>0</v>
      </c>
      <c r="AO76" s="727">
        <f t="shared" si="26"/>
        <v>0</v>
      </c>
    </row>
    <row r="77">
      <c r="A77" s="612">
        <v>69.0</v>
      </c>
      <c r="B77" s="624" t="str">
        <f>IFERROR(__xludf.DUMMYFUNCTION("""COMPUTED_VALUE"""),"Hkm")</f>
        <v>Hkm</v>
      </c>
      <c r="C77" s="754">
        <f t="array" ref="C77">SUMPRODUCT((TRIM(INDEX('6. TIẾN ĐỘ MUA HÀNG'!$A$5:$AT644, 0, XMATCH("NCC VTBB/NL trong nước", '6. TIẾN ĐỘ MUA HÀNG'!$A$4:$AT$4, 0))) = TRIM($B77)) * (TRIM(INDEX('6. TIẾN ĐỘ MUA HÀNG'!$A$5:$AT644, 0, XMATCH("Tháng", '6. TIẾN ĐỘ MUA HÀNG'!$A$4:$AT$4, 0))) = TRIM(C$6)) * (INDEX('6. TIẾN ĐỘ MUA HÀNG'!$A$5:$AT644, 0, XMATCH("Mã đơn Misa", '6. TIẾN ĐỘ MUA HÀNG'!$A$4:$AT$4, 0)) &lt;&gt; ""))</f>
        <v>0</v>
      </c>
      <c r="D77" s="754">
        <f t="array" ref="D77">SUMPRODUCT(
  (INDEX('6. TIẾN ĐỘ MUA HÀNG'!$A$5:$AT644, 0, XMATCH("NCC VTBB/NL trong nước", '6. TIẾN ĐỘ MUA HÀNG'!$A$4:$AT$4, 0)) = $B77) * (TRIM(INDEX('6. TIẾN ĐỘ MUA HÀNG'!$A$5:$AT644, 0, XMATCH("Tháng", '6. TIẾN ĐỘ MUA HÀNG'!$A$4:$AT$4, 0))) = TRIM(C$6)) * (INDEX('6. TIẾN ĐỘ MUA HÀNG'!$A$5:$AT644, 0, XMATCH("CL NGÀY NCC DỰ KIẾN - NGÀY NHẬN HÀNG", '6. TIẾN ĐỘ MUA HÀNG'!$A$4:$AT$4, 0)) &lt; 0)
)</f>
        <v>0</v>
      </c>
      <c r="E77" s="755">
        <f t="shared" si="29"/>
        <v>0</v>
      </c>
      <c r="F77" s="756">
        <f t="array" ref="F77">SUMPRODUCT((TRIM(INDEX('6. TIẾN ĐỘ MUA HÀNG'!$A$5:$AT644, 0, XMATCH("NCC VTBB/NL trong nước", '6. TIẾN ĐỘ MUA HÀNG'!$A$4:$AT$4, 0))) = TRIM($B77)) * (TRIM(INDEX('6. TIẾN ĐỘ MUA HÀNG'!$A$5:$AT644, 0, XMATCH("Tháng", '6. TIẾN ĐỘ MUA HÀNG'!$A$4:$AT$4, 0))) = TRIM(F$6)) * (INDEX('6. TIẾN ĐỘ MUA HÀNG'!$A$5:$AT644, 0, XMATCH("Mã đơn Misa", '6. TIẾN ĐỘ MUA HÀNG'!$A$4:$AT$4, 0)) &lt;&gt; ""))</f>
        <v>0</v>
      </c>
      <c r="G77" s="756">
        <f t="array" ref="G77">SUMPRODUCT(
  (INDEX('6. TIẾN ĐỘ MUA HÀNG'!$A$5:$AT644, 0, XMATCH("NCC VTBB/NL trong nước", '6. TIẾN ĐỘ MUA HÀNG'!$A$4:$AT$4, 0)) = $B77) * (TRIM(INDEX('6. TIẾN ĐỘ MUA HÀNG'!$A$5:$AT644, 0, XMATCH("Tháng", '6. TIẾN ĐỘ MUA HÀNG'!$A$4:$AT$4, 0))) = TRIM(F$6)) * (INDEX('6. TIẾN ĐỘ MUA HÀNG'!$A$5:$AT644, 0, XMATCH("CL NGÀY NCC DỰ KIẾN - NGÀY NHẬN HÀNG", '6. TIẾN ĐỘ MUA HÀNG'!$A$4:$AT$4, 0)) &lt; 0)
)</f>
        <v>0</v>
      </c>
      <c r="H77" s="757">
        <f t="shared" si="15"/>
        <v>0</v>
      </c>
      <c r="I77" s="754">
        <f t="array" ref="I77">SUMPRODUCT((TRIM(INDEX('6. TIẾN ĐỘ MUA HÀNG'!$A$5:$AT644, 0, XMATCH("NCC VTBB/NL trong nước", '6. TIẾN ĐỘ MUA HÀNG'!$A$4:$AT$4, 0))) = TRIM($B77)) * (TRIM(INDEX('6. TIẾN ĐỘ MUA HÀNG'!$A$5:$AT644, 0, XMATCH("Tháng", '6. TIẾN ĐỘ MUA HÀNG'!$A$4:$AT$4, 0))) = TRIM(I$6)) * (INDEX('6. TIẾN ĐỘ MUA HÀNG'!$A$5:$AT644, 0, XMATCH("Mã đơn Misa", '6. TIẾN ĐỘ MUA HÀNG'!$A$4:$AT$4, 0)) &lt;&gt; ""))</f>
        <v>0</v>
      </c>
      <c r="J77" s="754">
        <f t="array" ref="J77">SUMPRODUCT(
  (INDEX('6. TIẾN ĐỘ MUA HÀNG'!$A$5:$AT644, 0, XMATCH("NCC VTBB/NL trong nước", '6. TIẾN ĐỘ MUA HÀNG'!$A$4:$AT$4, 0)) = $B77) * (TRIM(INDEX('6. TIẾN ĐỘ MUA HÀNG'!$A$5:$AT644, 0, XMATCH("Tháng", '6. TIẾN ĐỘ MUA HÀNG'!$A$4:$AT$4, 0))) = TRIM(I$6)) * (INDEX('6. TIẾN ĐỘ MUA HÀNG'!$A$5:$AT644, 0, XMATCH("CL NGÀY NCC DỰ KIẾN - NGÀY NHẬN HÀNG", '6. TIẾN ĐỘ MUA HÀNG'!$A$4:$AT$4, 0)) &lt; 0)
)</f>
        <v>0</v>
      </c>
      <c r="K77" s="755">
        <f t="shared" si="30"/>
        <v>0</v>
      </c>
      <c r="L77" s="756">
        <f t="array" ref="L77">SUMPRODUCT((TRIM(INDEX('6. TIẾN ĐỘ MUA HÀNG'!$A$5:$AT644, 0, XMATCH("NCC VTBB/NL trong nước", '6. TIẾN ĐỘ MUA HÀNG'!$A$4:$AT$4, 0))) = TRIM($B77)) * (TRIM(INDEX('6. TIẾN ĐỘ MUA HÀNG'!$A$5:$AT644, 0, XMATCH("Tháng", '6. TIẾN ĐỘ MUA HÀNG'!$A$4:$AT$4, 0))) = TRIM(L$6)) * (INDEX('6. TIẾN ĐỘ MUA HÀNG'!$A$5:$AT644, 0, XMATCH("Mã đơn Misa", '6. TIẾN ĐỘ MUA HÀNG'!$A$4:$AT$4, 0)) &lt;&gt; ""))</f>
        <v>0</v>
      </c>
      <c r="M77" s="756">
        <f t="array" ref="M77">SUMPRODUCT(
  (INDEX('6. TIẾN ĐỘ MUA HÀNG'!$A$5:$AT644, 0, XMATCH("NCC VTBB/NL trong nước", '6. TIẾN ĐỘ MUA HÀNG'!$A$4:$AT$4, 0)) = $B77) * (TRIM(INDEX('6. TIẾN ĐỘ MUA HÀNG'!$A$5:$AT644, 0, XMATCH("Tháng", '6. TIẾN ĐỘ MUA HÀNG'!$A$4:$AT$4, 0))) = TRIM(L$6)) * (INDEX('6. TIẾN ĐỘ MUA HÀNG'!$A$5:$AT644, 0, XMATCH("CL NGÀY NCC DỰ KIẾN - NGÀY NHẬN HÀNG", '6. TIẾN ĐỘ MUA HÀNG'!$A$4:$AT$4, 0)) &lt; 0)
)</f>
        <v>0</v>
      </c>
      <c r="N77" s="757">
        <f t="shared" si="17"/>
        <v>0</v>
      </c>
      <c r="O77" s="754">
        <f t="array" ref="O77">SUMPRODUCT((TRIM(INDEX('6. TIẾN ĐỘ MUA HÀNG'!$A$5:$AT644, 0, XMATCH("NCC VTBB/NL trong nước", '6. TIẾN ĐỘ MUA HÀNG'!$A$4:$AT$4, 0))) = TRIM($B77)) * (TRIM(INDEX('6. TIẾN ĐỘ MUA HÀNG'!$A$5:$AT644, 0, XMATCH("Tháng", '6. TIẾN ĐỘ MUA HÀNG'!$A$4:$AT$4, 0))) = TRIM(O$6)) * (INDEX('6. TIẾN ĐỘ MUA HÀNG'!$A$5:$AT644, 0, XMATCH("Mã đơn Misa", '6. TIẾN ĐỘ MUA HÀNG'!$A$4:$AT$4, 0)) &lt;&gt; ""))</f>
        <v>0</v>
      </c>
      <c r="P77" s="754">
        <f t="array" ref="P77">SUMPRODUCT(
  (INDEX('6. TIẾN ĐỘ MUA HÀNG'!$A$5:$AT644, 0, XMATCH("NCC VTBB/NL trong nước", '6. TIẾN ĐỘ MUA HÀNG'!$A$4:$AT$4, 0)) = $B77) * (TRIM(INDEX('6. TIẾN ĐỘ MUA HÀNG'!$A$5:$AT644, 0, XMATCH("Tháng", '6. TIẾN ĐỘ MUA HÀNG'!$A$4:$AT$4, 0))) = TRIM(O$6)) * (INDEX('6. TIẾN ĐỘ MUA HÀNG'!$A$5:$AT644, 0, XMATCH("CL NGÀY NCC DỰ KIẾN - NGÀY NHẬN HÀNG", '6. TIẾN ĐỘ MUA HÀNG'!$A$4:$AT$4, 0)) &lt; 0)
)</f>
        <v>0</v>
      </c>
      <c r="Q77" s="755">
        <f t="shared" si="31"/>
        <v>0</v>
      </c>
      <c r="R77" s="756">
        <f t="array" ref="R77">SUMPRODUCT((TRIM(INDEX('6. TIẾN ĐỘ MUA HÀNG'!$A$5:$AT644, 0, XMATCH("NCC VTBB/NL trong nước", '6. TIẾN ĐỘ MUA HÀNG'!$A$4:$AT$4, 0))) = TRIM($B77)) * (TRIM(INDEX('6. TIẾN ĐỘ MUA HÀNG'!$A$5:$AT644, 0, XMATCH("Tháng", '6. TIẾN ĐỘ MUA HÀNG'!$A$4:$AT$4, 0))) = TRIM(R$6)) * (INDEX('6. TIẾN ĐỘ MUA HÀNG'!$A$5:$AT644, 0, XMATCH("Mã đơn Misa", '6. TIẾN ĐỘ MUA HÀNG'!$A$4:$AT$4, 0)) &lt;&gt; ""))</f>
        <v>0</v>
      </c>
      <c r="S77" s="756">
        <f t="array" ref="S77">SUMPRODUCT(
  (INDEX('6. TIẾN ĐỘ MUA HÀNG'!$A$5:$AT644, 0, XMATCH("NCC VTBB/NL trong nước", '6. TIẾN ĐỘ MUA HÀNG'!$A$4:$AT$4, 0)) = $B77) * (TRIM(INDEX('6. TIẾN ĐỘ MUA HÀNG'!$A$5:$AT644, 0, XMATCH("Tháng", '6. TIẾN ĐỘ MUA HÀNG'!$A$4:$AT$4, 0))) = TRIM(R$6)) * (INDEX('6. TIẾN ĐỘ MUA HÀNG'!$A$5:$AT644, 0, XMATCH("CL NGÀY NCC DỰ KIẾN - NGÀY NHẬN HÀNG", '6. TIẾN ĐỘ MUA HÀNG'!$A$4:$AT$4, 0)) &lt; 0)
)</f>
        <v>0</v>
      </c>
      <c r="T77" s="757">
        <f t="shared" si="19"/>
        <v>0</v>
      </c>
      <c r="U77" s="754">
        <f t="array" ref="U77">SUMPRODUCT((TRIM(INDEX('6. TIẾN ĐỘ MUA HÀNG'!$A$5:$AT644, 0, XMATCH("NCC VTBB/NL trong nước", '6. TIẾN ĐỘ MUA HÀNG'!$A$4:$AT$4, 0))) = TRIM($B77)) * (TRIM(INDEX('6. TIẾN ĐỘ MUA HÀNG'!$A$5:$AT644, 0, XMATCH("Tháng", '6. TIẾN ĐỘ MUA HÀNG'!$A$4:$AT$4, 0))) = TRIM(U$6)) * (INDEX('6. TIẾN ĐỘ MUA HÀNG'!$A$5:$AT644, 0, XMATCH("Mã đơn Misa", '6. TIẾN ĐỘ MUA HÀNG'!$A$4:$AT$4, 0)) &lt;&gt; ""))</f>
        <v>0</v>
      </c>
      <c r="V77" s="754">
        <f t="array" ref="V77">SUMPRODUCT(
  (INDEX('6. TIẾN ĐỘ MUA HÀNG'!$A$5:$AT644, 0, XMATCH("NCC VTBB/NL trong nước", '6. TIẾN ĐỘ MUA HÀNG'!$A$4:$AT$4, 0)) = $B77) * (TRIM(INDEX('6. TIẾN ĐỘ MUA HÀNG'!$A$5:$AT644, 0, XMATCH("Tháng", '6. TIẾN ĐỘ MUA HÀNG'!$A$4:$AT$4, 0))) = TRIM(U$6)) * (INDEX('6. TIẾN ĐỘ MUA HÀNG'!$A$5:$AT644, 0, XMATCH("CL NGÀY NCC DỰ KIẾN - NGÀY NHẬN HÀNG", '6. TIẾN ĐỘ MUA HÀNG'!$A$4:$AT$4, 0)) &lt; 0)
)</f>
        <v>0</v>
      </c>
      <c r="W77" s="755">
        <f t="shared" si="32"/>
        <v>0</v>
      </c>
      <c r="X77" s="756">
        <f t="array" ref="X77">SUMPRODUCT((TRIM(INDEX('6. TIẾN ĐỘ MUA HÀNG'!$A$5:$AT644, 0, XMATCH("NCC VTBB/NL trong nước", '6. TIẾN ĐỘ MUA HÀNG'!$A$4:$AT$4, 0))) = TRIM($B77)) * (TRIM(INDEX('6. TIẾN ĐỘ MUA HÀNG'!$A$5:$AT644, 0, XMATCH("Tháng", '6. TIẾN ĐỘ MUA HÀNG'!$A$4:$AT$4, 0))) = TRIM(X$6)) * (INDEX('6. TIẾN ĐỘ MUA HÀNG'!$A$5:$AT644, 0, XMATCH("Mã đơn Misa", '6. TIẾN ĐỘ MUA HÀNG'!$A$4:$AT$4, 0)) &lt;&gt; ""))</f>
        <v>0</v>
      </c>
      <c r="Y77" s="756">
        <f t="array" ref="Y77">SUMPRODUCT(
  (INDEX('6. TIẾN ĐỘ MUA HÀNG'!$A$5:$AT644, 0, XMATCH("NCC VTBB/NL trong nước", '6. TIẾN ĐỘ MUA HÀNG'!$A$4:$AT$4, 0)) = $B77) * (TRIM(INDEX('6. TIẾN ĐỘ MUA HÀNG'!$A$5:$AT644, 0, XMATCH("Tháng", '6. TIẾN ĐỘ MUA HÀNG'!$A$4:$AT$4, 0))) = TRIM(X$6)) * (INDEX('6. TIẾN ĐỘ MUA HÀNG'!$A$5:$AT644, 0, XMATCH("CL NGÀY NCC DỰ KIẾN - NGÀY NHẬN HÀNG", '6. TIẾN ĐỘ MUA HÀNG'!$A$4:$AT$4, 0)) &lt; 0)
)</f>
        <v>0</v>
      </c>
      <c r="Z77" s="757">
        <f t="shared" si="21"/>
        <v>0</v>
      </c>
      <c r="AA77" s="754">
        <f t="array" ref="AA77">SUMPRODUCT((TRIM(INDEX('6. TIẾN ĐỘ MUA HÀNG'!$A$5:$AT644, 0, XMATCH("NCC VTBB/NL trong nước", '6. TIẾN ĐỘ MUA HÀNG'!$A$4:$AT$4, 0))) = TRIM($B77)) * (TRIM(INDEX('6. TIẾN ĐỘ MUA HÀNG'!$A$5:$AT644, 0, XMATCH("Tháng", '6. TIẾN ĐỘ MUA HÀNG'!$A$4:$AT$4, 0))) = TRIM(AA$6)) * (INDEX('6. TIẾN ĐỘ MUA HÀNG'!$A$5:$AT644, 0, XMATCH("Mã đơn Misa", '6. TIẾN ĐỘ MUA HÀNG'!$A$4:$AT$4, 0)) &lt;&gt; ""))</f>
        <v>0</v>
      </c>
      <c r="AB77" s="754">
        <f t="array" ref="AB77">SUMPRODUCT(
  (INDEX('6. TIẾN ĐỘ MUA HÀNG'!$A$5:$AT644, 0, XMATCH("NCC VTBB/NL trong nước", '6. TIẾN ĐỘ MUA HÀNG'!$A$4:$AT$4, 0)) = $B77) * (TRIM(INDEX('6. TIẾN ĐỘ MUA HÀNG'!$A$5:$AT644, 0, XMATCH("Tháng", '6. TIẾN ĐỘ MUA HÀNG'!$A$4:$AT$4, 0))) = TRIM(AA$6)) * (INDEX('6. TIẾN ĐỘ MUA HÀNG'!$A$5:$AT644, 0, XMATCH("CL NGÀY NCC DỰ KIẾN - NGÀY NHẬN HÀNG", '6. TIẾN ĐỘ MUA HÀNG'!$A$4:$AT$4, 0)) &lt; 0)
)</f>
        <v>0</v>
      </c>
      <c r="AC77" s="755">
        <f t="shared" si="33"/>
        <v>0</v>
      </c>
      <c r="AD77" s="756">
        <f t="array" ref="AD77">SUMPRODUCT((TRIM(INDEX('6. TIẾN ĐỘ MUA HÀNG'!$A$5:$AT644, 0, XMATCH("NCC VTBB/NL trong nước", '6. TIẾN ĐỘ MUA HÀNG'!$A$4:$AT$4, 0))) = TRIM($B77)) * (TRIM(INDEX('6. TIẾN ĐỘ MUA HÀNG'!$A$5:$AT644, 0, XMATCH("Tháng", '6. TIẾN ĐỘ MUA HÀNG'!$A$4:$AT$4, 0))) = TRIM(AD$6)) * (INDEX('6. TIẾN ĐỘ MUA HÀNG'!$A$5:$AT644, 0, XMATCH("Mã đơn Misa", '6. TIẾN ĐỘ MUA HÀNG'!$A$4:$AT$4, 0)) &lt;&gt; ""))</f>
        <v>0</v>
      </c>
      <c r="AE77" s="756">
        <f t="array" ref="AE77">SUMPRODUCT(
  (INDEX('6. TIẾN ĐỘ MUA HÀNG'!$A$5:$AT644, 0, XMATCH("NCC VTBB/NL trong nước", '6. TIẾN ĐỘ MUA HÀNG'!$A$4:$AT$4, 0)) = $B77) * (TRIM(INDEX('6. TIẾN ĐỘ MUA HÀNG'!$A$5:$AT644, 0, XMATCH("Tháng", '6. TIẾN ĐỘ MUA HÀNG'!$A$4:$AT$4, 0))) = TRIM(AD$6)) * (INDEX('6. TIẾN ĐỘ MUA HÀNG'!$A$5:$AT644, 0, XMATCH("CL NGÀY NCC DỰ KIẾN - NGÀY NHẬN HÀNG", '6. TIẾN ĐỘ MUA HÀNG'!$A$4:$AT$4, 0)) &lt; 0)
)</f>
        <v>0</v>
      </c>
      <c r="AF77" s="757">
        <f t="shared" si="23"/>
        <v>0</v>
      </c>
      <c r="AG77" s="754">
        <f t="array" ref="AG77">SUMPRODUCT((TRIM(INDEX('6. TIẾN ĐỘ MUA HÀNG'!$A$5:$AT644, 0, XMATCH("NCC VTBB/NL trong nước", '6. TIẾN ĐỘ MUA HÀNG'!$A$4:$AT$4, 0))) = TRIM($B77)) * (TRIM(INDEX('6. TIẾN ĐỘ MUA HÀNG'!$A$5:$AT644, 0, XMATCH("Tháng", '6. TIẾN ĐỘ MUA HÀNG'!$A$4:$AT$4, 0))) = TRIM(AG$6)) * (INDEX('6. TIẾN ĐỘ MUA HÀNG'!$A$5:$AT644, 0, XMATCH("Mã đơn Misa", '6. TIẾN ĐỘ MUA HÀNG'!$A$4:$AT$4, 0)) &lt;&gt; ""))</f>
        <v>0</v>
      </c>
      <c r="AH77" s="754">
        <f t="array" ref="AH77">SUMPRODUCT(
  (INDEX('6. TIẾN ĐỘ MUA HÀNG'!$A$5:$AT644, 0, XMATCH("NCC VTBB/NL trong nước", '6. TIẾN ĐỘ MUA HÀNG'!$A$4:$AT$4, 0)) = $B77) * (TRIM(INDEX('6. TIẾN ĐỘ MUA HÀNG'!$A$5:$AT644, 0, XMATCH("Tháng", '6. TIẾN ĐỘ MUA HÀNG'!$A$4:$AT$4, 0))) = TRIM(AG$6)) * (INDEX('6. TIẾN ĐỘ MUA HÀNG'!$A$5:$AT644, 0, XMATCH("CL NGÀY NCC DỰ KIẾN - NGÀY NHẬN HÀNG", '6. TIẾN ĐỘ MUA HÀNG'!$A$4:$AT$4, 0)) &lt; 0)
)</f>
        <v>0</v>
      </c>
      <c r="AI77" s="755">
        <f t="shared" si="34"/>
        <v>0</v>
      </c>
      <c r="AJ77" s="756">
        <f t="array" ref="AJ77">SUMPRODUCT((TRIM(INDEX('6. TIẾN ĐỘ MUA HÀNG'!$A$5:$AT644, 0, XMATCH("NCC VTBB/NL trong nước", '6. TIẾN ĐỘ MUA HÀNG'!$A$4:$AT$4, 0))) = TRIM($B77)) * (TRIM(INDEX('6. TIẾN ĐỘ MUA HÀNG'!$A$5:$AT644, 0, XMATCH("Tháng", '6. TIẾN ĐỘ MUA HÀNG'!$A$4:$AT$4, 0))) = TRIM(AJ$6)) * (INDEX('6. TIẾN ĐỘ MUA HÀNG'!$A$5:$AT644, 0, XMATCH("Mã đơn Misa", '6. TIẾN ĐỘ MUA HÀNG'!$A$4:$AT$4, 0)) &lt;&gt; ""))</f>
        <v>0</v>
      </c>
      <c r="AK77" s="756">
        <f t="array" ref="AK77">SUMPRODUCT(
  (INDEX('6. TIẾN ĐỘ MUA HÀNG'!$A$5:$AT644, 0, XMATCH("NCC VTBB/NL trong nước", '6. TIẾN ĐỘ MUA HÀNG'!$A$4:$AT$4, 0)) = $B77) * (TRIM(INDEX('6. TIẾN ĐỘ MUA HÀNG'!$A$5:$AT644, 0, XMATCH("Tháng", '6. TIẾN ĐỘ MUA HÀNG'!$A$4:$AT$4, 0))) = TRIM(AJ$6)) * (INDEX('6. TIẾN ĐỘ MUA HÀNG'!$A$5:$AT644, 0, XMATCH("CL NGÀY NCC DỰ KIẾN - NGÀY NHẬN HÀNG", '6. TIẾN ĐỘ MUA HÀNG'!$A$4:$AT$4, 0)) &lt; 0)
)</f>
        <v>0</v>
      </c>
      <c r="AL77" s="757">
        <f t="shared" si="25"/>
        <v>0</v>
      </c>
      <c r="AM77" s="726">
        <f t="shared" si="27"/>
        <v>0</v>
      </c>
      <c r="AN77" s="726">
        <f t="shared" si="28"/>
        <v>0</v>
      </c>
      <c r="AO77" s="727">
        <f t="shared" si="26"/>
        <v>0</v>
      </c>
    </row>
    <row r="78">
      <c r="A78" s="612">
        <v>70.0</v>
      </c>
      <c r="B78" s="624" t="str">
        <f>IFERROR(__xludf.DUMMYFUNCTION("""COMPUTED_VALUE"""),"Mỹ Kỳ")</f>
        <v>Mỹ Kỳ</v>
      </c>
      <c r="C78" s="754">
        <f t="array" ref="C78">SUMPRODUCT((TRIM(INDEX('6. TIẾN ĐỘ MUA HÀNG'!$A$5:$AT644, 0, XMATCH("NCC VTBB/NL trong nước", '6. TIẾN ĐỘ MUA HÀNG'!$A$4:$AT$4, 0))) = TRIM($B78)) * (TRIM(INDEX('6. TIẾN ĐỘ MUA HÀNG'!$A$5:$AT644, 0, XMATCH("Tháng", '6. TIẾN ĐỘ MUA HÀNG'!$A$4:$AT$4, 0))) = TRIM(C$6)) * (INDEX('6. TIẾN ĐỘ MUA HÀNG'!$A$5:$AT644, 0, XMATCH("Mã đơn Misa", '6. TIẾN ĐỘ MUA HÀNG'!$A$4:$AT$4, 0)) &lt;&gt; ""))</f>
        <v>0</v>
      </c>
      <c r="D78" s="754">
        <f t="array" ref="D78">SUMPRODUCT(
  (INDEX('6. TIẾN ĐỘ MUA HÀNG'!$A$5:$AT644, 0, XMATCH("NCC VTBB/NL trong nước", '6. TIẾN ĐỘ MUA HÀNG'!$A$4:$AT$4, 0)) = $B78) * (TRIM(INDEX('6. TIẾN ĐỘ MUA HÀNG'!$A$5:$AT644, 0, XMATCH("Tháng", '6. TIẾN ĐỘ MUA HÀNG'!$A$4:$AT$4, 0))) = TRIM(C$6)) * (INDEX('6. TIẾN ĐỘ MUA HÀNG'!$A$5:$AT644, 0, XMATCH("CL NGÀY NCC DỰ KIẾN - NGÀY NHẬN HÀNG", '6. TIẾN ĐỘ MUA HÀNG'!$A$4:$AT$4, 0)) &lt; 0)
)</f>
        <v>0</v>
      </c>
      <c r="E78" s="755">
        <f t="shared" si="29"/>
        <v>0</v>
      </c>
      <c r="F78" s="756">
        <f t="array" ref="F78">SUMPRODUCT((TRIM(INDEX('6. TIẾN ĐỘ MUA HÀNG'!$A$5:$AT644, 0, XMATCH("NCC VTBB/NL trong nước", '6. TIẾN ĐỘ MUA HÀNG'!$A$4:$AT$4, 0))) = TRIM($B78)) * (TRIM(INDEX('6. TIẾN ĐỘ MUA HÀNG'!$A$5:$AT644, 0, XMATCH("Tháng", '6. TIẾN ĐỘ MUA HÀNG'!$A$4:$AT$4, 0))) = TRIM(F$6)) * (INDEX('6. TIẾN ĐỘ MUA HÀNG'!$A$5:$AT644, 0, XMATCH("Mã đơn Misa", '6. TIẾN ĐỘ MUA HÀNG'!$A$4:$AT$4, 0)) &lt;&gt; ""))</f>
        <v>0</v>
      </c>
      <c r="G78" s="756">
        <f t="array" ref="G78">SUMPRODUCT(
  (INDEX('6. TIẾN ĐỘ MUA HÀNG'!$A$5:$AT644, 0, XMATCH("NCC VTBB/NL trong nước", '6. TIẾN ĐỘ MUA HÀNG'!$A$4:$AT$4, 0)) = $B78) * (TRIM(INDEX('6. TIẾN ĐỘ MUA HÀNG'!$A$5:$AT644, 0, XMATCH("Tháng", '6. TIẾN ĐỘ MUA HÀNG'!$A$4:$AT$4, 0))) = TRIM(F$6)) * (INDEX('6. TIẾN ĐỘ MUA HÀNG'!$A$5:$AT644, 0, XMATCH("CL NGÀY NCC DỰ KIẾN - NGÀY NHẬN HÀNG", '6. TIẾN ĐỘ MUA HÀNG'!$A$4:$AT$4, 0)) &lt; 0)
)</f>
        <v>0</v>
      </c>
      <c r="H78" s="757">
        <f t="shared" si="15"/>
        <v>0</v>
      </c>
      <c r="I78" s="754">
        <f t="array" ref="I78">SUMPRODUCT((TRIM(INDEX('6. TIẾN ĐỘ MUA HÀNG'!$A$5:$AT644, 0, XMATCH("NCC VTBB/NL trong nước", '6. TIẾN ĐỘ MUA HÀNG'!$A$4:$AT$4, 0))) = TRIM($B78)) * (TRIM(INDEX('6. TIẾN ĐỘ MUA HÀNG'!$A$5:$AT644, 0, XMATCH("Tháng", '6. TIẾN ĐỘ MUA HÀNG'!$A$4:$AT$4, 0))) = TRIM(I$6)) * (INDEX('6. TIẾN ĐỘ MUA HÀNG'!$A$5:$AT644, 0, XMATCH("Mã đơn Misa", '6. TIẾN ĐỘ MUA HÀNG'!$A$4:$AT$4, 0)) &lt;&gt; ""))</f>
        <v>0</v>
      </c>
      <c r="J78" s="754">
        <f t="array" ref="J78">SUMPRODUCT(
  (INDEX('6. TIẾN ĐỘ MUA HÀNG'!$A$5:$AT644, 0, XMATCH("NCC VTBB/NL trong nước", '6. TIẾN ĐỘ MUA HÀNG'!$A$4:$AT$4, 0)) = $B78) * (TRIM(INDEX('6. TIẾN ĐỘ MUA HÀNG'!$A$5:$AT644, 0, XMATCH("Tháng", '6. TIẾN ĐỘ MUA HÀNG'!$A$4:$AT$4, 0))) = TRIM(I$6)) * (INDEX('6. TIẾN ĐỘ MUA HÀNG'!$A$5:$AT644, 0, XMATCH("CL NGÀY NCC DỰ KIẾN - NGÀY NHẬN HÀNG", '6. TIẾN ĐỘ MUA HÀNG'!$A$4:$AT$4, 0)) &lt; 0)
)</f>
        <v>0</v>
      </c>
      <c r="K78" s="755">
        <f t="shared" si="30"/>
        <v>0</v>
      </c>
      <c r="L78" s="756">
        <f t="array" ref="L78">SUMPRODUCT((TRIM(INDEX('6. TIẾN ĐỘ MUA HÀNG'!$A$5:$AT644, 0, XMATCH("NCC VTBB/NL trong nước", '6. TIẾN ĐỘ MUA HÀNG'!$A$4:$AT$4, 0))) = TRIM($B78)) * (TRIM(INDEX('6. TIẾN ĐỘ MUA HÀNG'!$A$5:$AT644, 0, XMATCH("Tháng", '6. TIẾN ĐỘ MUA HÀNG'!$A$4:$AT$4, 0))) = TRIM(L$6)) * (INDEX('6. TIẾN ĐỘ MUA HÀNG'!$A$5:$AT644, 0, XMATCH("Mã đơn Misa", '6. TIẾN ĐỘ MUA HÀNG'!$A$4:$AT$4, 0)) &lt;&gt; ""))</f>
        <v>0</v>
      </c>
      <c r="M78" s="756">
        <f t="array" ref="M78">SUMPRODUCT(
  (INDEX('6. TIẾN ĐỘ MUA HÀNG'!$A$5:$AT644, 0, XMATCH("NCC VTBB/NL trong nước", '6. TIẾN ĐỘ MUA HÀNG'!$A$4:$AT$4, 0)) = $B78) * (TRIM(INDEX('6. TIẾN ĐỘ MUA HÀNG'!$A$5:$AT644, 0, XMATCH("Tháng", '6. TIẾN ĐỘ MUA HÀNG'!$A$4:$AT$4, 0))) = TRIM(L$6)) * (INDEX('6. TIẾN ĐỘ MUA HÀNG'!$A$5:$AT644, 0, XMATCH("CL NGÀY NCC DỰ KIẾN - NGÀY NHẬN HÀNG", '6. TIẾN ĐỘ MUA HÀNG'!$A$4:$AT$4, 0)) &lt; 0)
)</f>
        <v>0</v>
      </c>
      <c r="N78" s="757">
        <f t="shared" si="17"/>
        <v>0</v>
      </c>
      <c r="O78" s="754">
        <f t="array" ref="O78">SUMPRODUCT((TRIM(INDEX('6. TIẾN ĐỘ MUA HÀNG'!$A$5:$AT644, 0, XMATCH("NCC VTBB/NL trong nước", '6. TIẾN ĐỘ MUA HÀNG'!$A$4:$AT$4, 0))) = TRIM($B78)) * (TRIM(INDEX('6. TIẾN ĐỘ MUA HÀNG'!$A$5:$AT644, 0, XMATCH("Tháng", '6. TIẾN ĐỘ MUA HÀNG'!$A$4:$AT$4, 0))) = TRIM(O$6)) * (INDEX('6. TIẾN ĐỘ MUA HÀNG'!$A$5:$AT644, 0, XMATCH("Mã đơn Misa", '6. TIẾN ĐỘ MUA HÀNG'!$A$4:$AT$4, 0)) &lt;&gt; ""))</f>
        <v>0</v>
      </c>
      <c r="P78" s="754">
        <f t="array" ref="P78">SUMPRODUCT(
  (INDEX('6. TIẾN ĐỘ MUA HÀNG'!$A$5:$AT644, 0, XMATCH("NCC VTBB/NL trong nước", '6. TIẾN ĐỘ MUA HÀNG'!$A$4:$AT$4, 0)) = $B78) * (TRIM(INDEX('6. TIẾN ĐỘ MUA HÀNG'!$A$5:$AT644, 0, XMATCH("Tháng", '6. TIẾN ĐỘ MUA HÀNG'!$A$4:$AT$4, 0))) = TRIM(O$6)) * (INDEX('6. TIẾN ĐỘ MUA HÀNG'!$A$5:$AT644, 0, XMATCH("CL NGÀY NCC DỰ KIẾN - NGÀY NHẬN HÀNG", '6. TIẾN ĐỘ MUA HÀNG'!$A$4:$AT$4, 0)) &lt; 0)
)</f>
        <v>0</v>
      </c>
      <c r="Q78" s="755">
        <f t="shared" si="31"/>
        <v>0</v>
      </c>
      <c r="R78" s="756">
        <f t="array" ref="R78">SUMPRODUCT((TRIM(INDEX('6. TIẾN ĐỘ MUA HÀNG'!$A$5:$AT644, 0, XMATCH("NCC VTBB/NL trong nước", '6. TIẾN ĐỘ MUA HÀNG'!$A$4:$AT$4, 0))) = TRIM($B78)) * (TRIM(INDEX('6. TIẾN ĐỘ MUA HÀNG'!$A$5:$AT644, 0, XMATCH("Tháng", '6. TIẾN ĐỘ MUA HÀNG'!$A$4:$AT$4, 0))) = TRIM(R$6)) * (INDEX('6. TIẾN ĐỘ MUA HÀNG'!$A$5:$AT644, 0, XMATCH("Mã đơn Misa", '6. TIẾN ĐỘ MUA HÀNG'!$A$4:$AT$4, 0)) &lt;&gt; ""))</f>
        <v>0</v>
      </c>
      <c r="S78" s="756">
        <f t="array" ref="S78">SUMPRODUCT(
  (INDEX('6. TIẾN ĐỘ MUA HÀNG'!$A$5:$AT644, 0, XMATCH("NCC VTBB/NL trong nước", '6. TIẾN ĐỘ MUA HÀNG'!$A$4:$AT$4, 0)) = $B78) * (TRIM(INDEX('6. TIẾN ĐỘ MUA HÀNG'!$A$5:$AT644, 0, XMATCH("Tháng", '6. TIẾN ĐỘ MUA HÀNG'!$A$4:$AT$4, 0))) = TRIM(R$6)) * (INDEX('6. TIẾN ĐỘ MUA HÀNG'!$A$5:$AT644, 0, XMATCH("CL NGÀY NCC DỰ KIẾN - NGÀY NHẬN HÀNG", '6. TIẾN ĐỘ MUA HÀNG'!$A$4:$AT$4, 0)) &lt; 0)
)</f>
        <v>0</v>
      </c>
      <c r="T78" s="757">
        <f t="shared" si="19"/>
        <v>0</v>
      </c>
      <c r="U78" s="754">
        <f t="array" ref="U78">SUMPRODUCT((TRIM(INDEX('6. TIẾN ĐỘ MUA HÀNG'!$A$5:$AT644, 0, XMATCH("NCC VTBB/NL trong nước", '6. TIẾN ĐỘ MUA HÀNG'!$A$4:$AT$4, 0))) = TRIM($B78)) * (TRIM(INDEX('6. TIẾN ĐỘ MUA HÀNG'!$A$5:$AT644, 0, XMATCH("Tháng", '6. TIẾN ĐỘ MUA HÀNG'!$A$4:$AT$4, 0))) = TRIM(U$6)) * (INDEX('6. TIẾN ĐỘ MUA HÀNG'!$A$5:$AT644, 0, XMATCH("Mã đơn Misa", '6. TIẾN ĐỘ MUA HÀNG'!$A$4:$AT$4, 0)) &lt;&gt; ""))</f>
        <v>0</v>
      </c>
      <c r="V78" s="754">
        <f t="array" ref="V78">SUMPRODUCT(
  (INDEX('6. TIẾN ĐỘ MUA HÀNG'!$A$5:$AT644, 0, XMATCH("NCC VTBB/NL trong nước", '6. TIẾN ĐỘ MUA HÀNG'!$A$4:$AT$4, 0)) = $B78) * (TRIM(INDEX('6. TIẾN ĐỘ MUA HÀNG'!$A$5:$AT644, 0, XMATCH("Tháng", '6. TIẾN ĐỘ MUA HÀNG'!$A$4:$AT$4, 0))) = TRIM(U$6)) * (INDEX('6. TIẾN ĐỘ MUA HÀNG'!$A$5:$AT644, 0, XMATCH("CL NGÀY NCC DỰ KIẾN - NGÀY NHẬN HÀNG", '6. TIẾN ĐỘ MUA HÀNG'!$A$4:$AT$4, 0)) &lt; 0)
)</f>
        <v>0</v>
      </c>
      <c r="W78" s="755">
        <f t="shared" si="32"/>
        <v>0</v>
      </c>
      <c r="X78" s="756">
        <f t="array" ref="X78">SUMPRODUCT((TRIM(INDEX('6. TIẾN ĐỘ MUA HÀNG'!$A$5:$AT644, 0, XMATCH("NCC VTBB/NL trong nước", '6. TIẾN ĐỘ MUA HÀNG'!$A$4:$AT$4, 0))) = TRIM($B78)) * (TRIM(INDEX('6. TIẾN ĐỘ MUA HÀNG'!$A$5:$AT644, 0, XMATCH("Tháng", '6. TIẾN ĐỘ MUA HÀNG'!$A$4:$AT$4, 0))) = TRIM(X$6)) * (INDEX('6. TIẾN ĐỘ MUA HÀNG'!$A$5:$AT644, 0, XMATCH("Mã đơn Misa", '6. TIẾN ĐỘ MUA HÀNG'!$A$4:$AT$4, 0)) &lt;&gt; ""))</f>
        <v>0</v>
      </c>
      <c r="Y78" s="756">
        <f t="array" ref="Y78">SUMPRODUCT(
  (INDEX('6. TIẾN ĐỘ MUA HÀNG'!$A$5:$AT644, 0, XMATCH("NCC VTBB/NL trong nước", '6. TIẾN ĐỘ MUA HÀNG'!$A$4:$AT$4, 0)) = $B78) * (TRIM(INDEX('6. TIẾN ĐỘ MUA HÀNG'!$A$5:$AT644, 0, XMATCH("Tháng", '6. TIẾN ĐỘ MUA HÀNG'!$A$4:$AT$4, 0))) = TRIM(X$6)) * (INDEX('6. TIẾN ĐỘ MUA HÀNG'!$A$5:$AT644, 0, XMATCH("CL NGÀY NCC DỰ KIẾN - NGÀY NHẬN HÀNG", '6. TIẾN ĐỘ MUA HÀNG'!$A$4:$AT$4, 0)) &lt; 0)
)</f>
        <v>0</v>
      </c>
      <c r="Z78" s="757">
        <f t="shared" si="21"/>
        <v>0</v>
      </c>
      <c r="AA78" s="754">
        <f t="array" ref="AA78">SUMPRODUCT((TRIM(INDEX('6. TIẾN ĐỘ MUA HÀNG'!$A$5:$AT644, 0, XMATCH("NCC VTBB/NL trong nước", '6. TIẾN ĐỘ MUA HÀNG'!$A$4:$AT$4, 0))) = TRIM($B78)) * (TRIM(INDEX('6. TIẾN ĐỘ MUA HÀNG'!$A$5:$AT644, 0, XMATCH("Tháng", '6. TIẾN ĐỘ MUA HÀNG'!$A$4:$AT$4, 0))) = TRIM(AA$6)) * (INDEX('6. TIẾN ĐỘ MUA HÀNG'!$A$5:$AT644, 0, XMATCH("Mã đơn Misa", '6. TIẾN ĐỘ MUA HÀNG'!$A$4:$AT$4, 0)) &lt;&gt; ""))</f>
        <v>0</v>
      </c>
      <c r="AB78" s="754">
        <f t="array" ref="AB78">SUMPRODUCT(
  (INDEX('6. TIẾN ĐỘ MUA HÀNG'!$A$5:$AT644, 0, XMATCH("NCC VTBB/NL trong nước", '6. TIẾN ĐỘ MUA HÀNG'!$A$4:$AT$4, 0)) = $B78) * (TRIM(INDEX('6. TIẾN ĐỘ MUA HÀNG'!$A$5:$AT644, 0, XMATCH("Tháng", '6. TIẾN ĐỘ MUA HÀNG'!$A$4:$AT$4, 0))) = TRIM(AA$6)) * (INDEX('6. TIẾN ĐỘ MUA HÀNG'!$A$5:$AT644, 0, XMATCH("CL NGÀY NCC DỰ KIẾN - NGÀY NHẬN HÀNG", '6. TIẾN ĐỘ MUA HÀNG'!$A$4:$AT$4, 0)) &lt; 0)
)</f>
        <v>0</v>
      </c>
      <c r="AC78" s="755">
        <f t="shared" si="33"/>
        <v>0</v>
      </c>
      <c r="AD78" s="756">
        <f t="array" ref="AD78">SUMPRODUCT((TRIM(INDEX('6. TIẾN ĐỘ MUA HÀNG'!$A$5:$AT644, 0, XMATCH("NCC VTBB/NL trong nước", '6. TIẾN ĐỘ MUA HÀNG'!$A$4:$AT$4, 0))) = TRIM($B78)) * (TRIM(INDEX('6. TIẾN ĐỘ MUA HÀNG'!$A$5:$AT644, 0, XMATCH("Tháng", '6. TIẾN ĐỘ MUA HÀNG'!$A$4:$AT$4, 0))) = TRIM(AD$6)) * (INDEX('6. TIẾN ĐỘ MUA HÀNG'!$A$5:$AT644, 0, XMATCH("Mã đơn Misa", '6. TIẾN ĐỘ MUA HÀNG'!$A$4:$AT$4, 0)) &lt;&gt; ""))</f>
        <v>0</v>
      </c>
      <c r="AE78" s="756">
        <f t="array" ref="AE78">SUMPRODUCT(
  (INDEX('6. TIẾN ĐỘ MUA HÀNG'!$A$5:$AT644, 0, XMATCH("NCC VTBB/NL trong nước", '6. TIẾN ĐỘ MUA HÀNG'!$A$4:$AT$4, 0)) = $B78) * (TRIM(INDEX('6. TIẾN ĐỘ MUA HÀNG'!$A$5:$AT644, 0, XMATCH("Tháng", '6. TIẾN ĐỘ MUA HÀNG'!$A$4:$AT$4, 0))) = TRIM(AD$6)) * (INDEX('6. TIẾN ĐỘ MUA HÀNG'!$A$5:$AT644, 0, XMATCH("CL NGÀY NCC DỰ KIẾN - NGÀY NHẬN HÀNG", '6. TIẾN ĐỘ MUA HÀNG'!$A$4:$AT$4, 0)) &lt; 0)
)</f>
        <v>0</v>
      </c>
      <c r="AF78" s="757">
        <f t="shared" si="23"/>
        <v>0</v>
      </c>
      <c r="AG78" s="754">
        <f t="array" ref="AG78">SUMPRODUCT((TRIM(INDEX('6. TIẾN ĐỘ MUA HÀNG'!$A$5:$AT644, 0, XMATCH("NCC VTBB/NL trong nước", '6. TIẾN ĐỘ MUA HÀNG'!$A$4:$AT$4, 0))) = TRIM($B78)) * (TRIM(INDEX('6. TIẾN ĐỘ MUA HÀNG'!$A$5:$AT644, 0, XMATCH("Tháng", '6. TIẾN ĐỘ MUA HÀNG'!$A$4:$AT$4, 0))) = TRIM(AG$6)) * (INDEX('6. TIẾN ĐỘ MUA HÀNG'!$A$5:$AT644, 0, XMATCH("Mã đơn Misa", '6. TIẾN ĐỘ MUA HÀNG'!$A$4:$AT$4, 0)) &lt;&gt; ""))</f>
        <v>0</v>
      </c>
      <c r="AH78" s="754">
        <f t="array" ref="AH78">SUMPRODUCT(
  (INDEX('6. TIẾN ĐỘ MUA HÀNG'!$A$5:$AT644, 0, XMATCH("NCC VTBB/NL trong nước", '6. TIẾN ĐỘ MUA HÀNG'!$A$4:$AT$4, 0)) = $B78) * (TRIM(INDEX('6. TIẾN ĐỘ MUA HÀNG'!$A$5:$AT644, 0, XMATCH("Tháng", '6. TIẾN ĐỘ MUA HÀNG'!$A$4:$AT$4, 0))) = TRIM(AG$6)) * (INDEX('6. TIẾN ĐỘ MUA HÀNG'!$A$5:$AT644, 0, XMATCH("CL NGÀY NCC DỰ KIẾN - NGÀY NHẬN HÀNG", '6. TIẾN ĐỘ MUA HÀNG'!$A$4:$AT$4, 0)) &lt; 0)
)</f>
        <v>0</v>
      </c>
      <c r="AI78" s="755">
        <f t="shared" si="34"/>
        <v>0</v>
      </c>
      <c r="AJ78" s="756">
        <f t="array" ref="AJ78">SUMPRODUCT((TRIM(INDEX('6. TIẾN ĐỘ MUA HÀNG'!$A$5:$AT644, 0, XMATCH("NCC VTBB/NL trong nước", '6. TIẾN ĐỘ MUA HÀNG'!$A$4:$AT$4, 0))) = TRIM($B78)) * (TRIM(INDEX('6. TIẾN ĐỘ MUA HÀNG'!$A$5:$AT644, 0, XMATCH("Tháng", '6. TIẾN ĐỘ MUA HÀNG'!$A$4:$AT$4, 0))) = TRIM(AJ$6)) * (INDEX('6. TIẾN ĐỘ MUA HÀNG'!$A$5:$AT644, 0, XMATCH("Mã đơn Misa", '6. TIẾN ĐỘ MUA HÀNG'!$A$4:$AT$4, 0)) &lt;&gt; ""))</f>
        <v>0</v>
      </c>
      <c r="AK78" s="756">
        <f t="array" ref="AK78">SUMPRODUCT(
  (INDEX('6. TIẾN ĐỘ MUA HÀNG'!$A$5:$AT644, 0, XMATCH("NCC VTBB/NL trong nước", '6. TIẾN ĐỘ MUA HÀNG'!$A$4:$AT$4, 0)) = $B78) * (TRIM(INDEX('6. TIẾN ĐỘ MUA HÀNG'!$A$5:$AT644, 0, XMATCH("Tháng", '6. TIẾN ĐỘ MUA HÀNG'!$A$4:$AT$4, 0))) = TRIM(AJ$6)) * (INDEX('6. TIẾN ĐỘ MUA HÀNG'!$A$5:$AT644, 0, XMATCH("CL NGÀY NCC DỰ KIẾN - NGÀY NHẬN HÀNG", '6. TIẾN ĐỘ MUA HÀNG'!$A$4:$AT$4, 0)) &lt; 0)
)</f>
        <v>0</v>
      </c>
      <c r="AL78" s="757">
        <f t="shared" si="25"/>
        <v>0</v>
      </c>
      <c r="AM78" s="726">
        <f t="shared" si="27"/>
        <v>0</v>
      </c>
      <c r="AN78" s="726">
        <f t="shared" si="28"/>
        <v>0</v>
      </c>
      <c r="AO78" s="727">
        <f t="shared" si="26"/>
        <v>0</v>
      </c>
    </row>
    <row r="79">
      <c r="A79" s="612">
        <v>71.0</v>
      </c>
      <c r="B79" s="624" t="str">
        <f>IFERROR(__xludf.DUMMYFUNCTION("""COMPUTED_VALUE"""),"Sài Gòn Nguyễn")</f>
        <v>Sài Gòn Nguyễn</v>
      </c>
      <c r="C79" s="754">
        <f t="array" ref="C79">SUMPRODUCT((TRIM(INDEX('6. TIẾN ĐỘ MUA HÀNG'!$A$5:$AT644, 0, XMATCH("NCC VTBB/NL trong nước", '6. TIẾN ĐỘ MUA HÀNG'!$A$4:$AT$4, 0))) = TRIM($B79)) * (TRIM(INDEX('6. TIẾN ĐỘ MUA HÀNG'!$A$5:$AT644, 0, XMATCH("Tháng", '6. TIẾN ĐỘ MUA HÀNG'!$A$4:$AT$4, 0))) = TRIM(C$6)) * (INDEX('6. TIẾN ĐỘ MUA HÀNG'!$A$5:$AT644, 0, XMATCH("Mã đơn Misa", '6. TIẾN ĐỘ MUA HÀNG'!$A$4:$AT$4, 0)) &lt;&gt; ""))</f>
        <v>0</v>
      </c>
      <c r="D79" s="754">
        <f t="array" ref="D79">SUMPRODUCT(
  (INDEX('6. TIẾN ĐỘ MUA HÀNG'!$A$5:$AT644, 0, XMATCH("NCC VTBB/NL trong nước", '6. TIẾN ĐỘ MUA HÀNG'!$A$4:$AT$4, 0)) = $B79) * (TRIM(INDEX('6. TIẾN ĐỘ MUA HÀNG'!$A$5:$AT644, 0, XMATCH("Tháng", '6. TIẾN ĐỘ MUA HÀNG'!$A$4:$AT$4, 0))) = TRIM(C$6)) * (INDEX('6. TIẾN ĐỘ MUA HÀNG'!$A$5:$AT644, 0, XMATCH("CL NGÀY NCC DỰ KIẾN - NGÀY NHẬN HÀNG", '6. TIẾN ĐỘ MUA HÀNG'!$A$4:$AT$4, 0)) &lt; 0)
)</f>
        <v>0</v>
      </c>
      <c r="E79" s="755">
        <f t="shared" si="29"/>
        <v>0</v>
      </c>
      <c r="F79" s="756">
        <f t="array" ref="F79">SUMPRODUCT((TRIM(INDEX('6. TIẾN ĐỘ MUA HÀNG'!$A$5:$AT644, 0, XMATCH("NCC VTBB/NL trong nước", '6. TIẾN ĐỘ MUA HÀNG'!$A$4:$AT$4, 0))) = TRIM($B79)) * (TRIM(INDEX('6. TIẾN ĐỘ MUA HÀNG'!$A$5:$AT644, 0, XMATCH("Tháng", '6. TIẾN ĐỘ MUA HÀNG'!$A$4:$AT$4, 0))) = TRIM(F$6)) * (INDEX('6. TIẾN ĐỘ MUA HÀNG'!$A$5:$AT644, 0, XMATCH("Mã đơn Misa", '6. TIẾN ĐỘ MUA HÀNG'!$A$4:$AT$4, 0)) &lt;&gt; ""))</f>
        <v>0</v>
      </c>
      <c r="G79" s="756">
        <f t="array" ref="G79">SUMPRODUCT(
  (INDEX('6. TIẾN ĐỘ MUA HÀNG'!$A$5:$AT644, 0, XMATCH("NCC VTBB/NL trong nước", '6. TIẾN ĐỘ MUA HÀNG'!$A$4:$AT$4, 0)) = $B79) * (TRIM(INDEX('6. TIẾN ĐỘ MUA HÀNG'!$A$5:$AT644, 0, XMATCH("Tháng", '6. TIẾN ĐỘ MUA HÀNG'!$A$4:$AT$4, 0))) = TRIM(F$6)) * (INDEX('6. TIẾN ĐỘ MUA HÀNG'!$A$5:$AT644, 0, XMATCH("CL NGÀY NCC DỰ KIẾN - NGÀY NHẬN HÀNG", '6. TIẾN ĐỘ MUA HÀNG'!$A$4:$AT$4, 0)) &lt; 0)
)</f>
        <v>0</v>
      </c>
      <c r="H79" s="757">
        <f t="shared" si="15"/>
        <v>0</v>
      </c>
      <c r="I79" s="754">
        <f t="array" ref="I79">SUMPRODUCT((TRIM(INDEX('6. TIẾN ĐỘ MUA HÀNG'!$A$5:$AT644, 0, XMATCH("NCC VTBB/NL trong nước", '6. TIẾN ĐỘ MUA HÀNG'!$A$4:$AT$4, 0))) = TRIM($B79)) * (TRIM(INDEX('6. TIẾN ĐỘ MUA HÀNG'!$A$5:$AT644, 0, XMATCH("Tháng", '6. TIẾN ĐỘ MUA HÀNG'!$A$4:$AT$4, 0))) = TRIM(I$6)) * (INDEX('6. TIẾN ĐỘ MUA HÀNG'!$A$5:$AT644, 0, XMATCH("Mã đơn Misa", '6. TIẾN ĐỘ MUA HÀNG'!$A$4:$AT$4, 0)) &lt;&gt; ""))</f>
        <v>0</v>
      </c>
      <c r="J79" s="754">
        <f t="array" ref="J79">SUMPRODUCT(
  (INDEX('6. TIẾN ĐỘ MUA HÀNG'!$A$5:$AT644, 0, XMATCH("NCC VTBB/NL trong nước", '6. TIẾN ĐỘ MUA HÀNG'!$A$4:$AT$4, 0)) = $B79) * (TRIM(INDEX('6. TIẾN ĐỘ MUA HÀNG'!$A$5:$AT644, 0, XMATCH("Tháng", '6. TIẾN ĐỘ MUA HÀNG'!$A$4:$AT$4, 0))) = TRIM(I$6)) * (INDEX('6. TIẾN ĐỘ MUA HÀNG'!$A$5:$AT644, 0, XMATCH("CL NGÀY NCC DỰ KIẾN - NGÀY NHẬN HÀNG", '6. TIẾN ĐỘ MUA HÀNG'!$A$4:$AT$4, 0)) &lt; 0)
)</f>
        <v>0</v>
      </c>
      <c r="K79" s="755">
        <f t="shared" si="30"/>
        <v>0</v>
      </c>
      <c r="L79" s="756">
        <f t="array" ref="L79">SUMPRODUCT((TRIM(INDEX('6. TIẾN ĐỘ MUA HÀNG'!$A$5:$AT644, 0, XMATCH("NCC VTBB/NL trong nước", '6. TIẾN ĐỘ MUA HÀNG'!$A$4:$AT$4, 0))) = TRIM($B79)) * (TRIM(INDEX('6. TIẾN ĐỘ MUA HÀNG'!$A$5:$AT644, 0, XMATCH("Tháng", '6. TIẾN ĐỘ MUA HÀNG'!$A$4:$AT$4, 0))) = TRIM(L$6)) * (INDEX('6. TIẾN ĐỘ MUA HÀNG'!$A$5:$AT644, 0, XMATCH("Mã đơn Misa", '6. TIẾN ĐỘ MUA HÀNG'!$A$4:$AT$4, 0)) &lt;&gt; ""))</f>
        <v>0</v>
      </c>
      <c r="M79" s="756">
        <f t="array" ref="M79">SUMPRODUCT(
  (INDEX('6. TIẾN ĐỘ MUA HÀNG'!$A$5:$AT644, 0, XMATCH("NCC VTBB/NL trong nước", '6. TIẾN ĐỘ MUA HÀNG'!$A$4:$AT$4, 0)) = $B79) * (TRIM(INDEX('6. TIẾN ĐỘ MUA HÀNG'!$A$5:$AT644, 0, XMATCH("Tháng", '6. TIẾN ĐỘ MUA HÀNG'!$A$4:$AT$4, 0))) = TRIM(L$6)) * (INDEX('6. TIẾN ĐỘ MUA HÀNG'!$A$5:$AT644, 0, XMATCH("CL NGÀY NCC DỰ KIẾN - NGÀY NHẬN HÀNG", '6. TIẾN ĐỘ MUA HÀNG'!$A$4:$AT$4, 0)) &lt; 0)
)</f>
        <v>0</v>
      </c>
      <c r="N79" s="757">
        <f t="shared" si="17"/>
        <v>0</v>
      </c>
      <c r="O79" s="754">
        <f t="array" ref="O79">SUMPRODUCT((TRIM(INDEX('6. TIẾN ĐỘ MUA HÀNG'!$A$5:$AT644, 0, XMATCH("NCC VTBB/NL trong nước", '6. TIẾN ĐỘ MUA HÀNG'!$A$4:$AT$4, 0))) = TRIM($B79)) * (TRIM(INDEX('6. TIẾN ĐỘ MUA HÀNG'!$A$5:$AT644, 0, XMATCH("Tháng", '6. TIẾN ĐỘ MUA HÀNG'!$A$4:$AT$4, 0))) = TRIM(O$6)) * (INDEX('6. TIẾN ĐỘ MUA HÀNG'!$A$5:$AT644, 0, XMATCH("Mã đơn Misa", '6. TIẾN ĐỘ MUA HÀNG'!$A$4:$AT$4, 0)) &lt;&gt; ""))</f>
        <v>0</v>
      </c>
      <c r="P79" s="754">
        <f t="array" ref="P79">SUMPRODUCT(
  (INDEX('6. TIẾN ĐỘ MUA HÀNG'!$A$5:$AT644, 0, XMATCH("NCC VTBB/NL trong nước", '6. TIẾN ĐỘ MUA HÀNG'!$A$4:$AT$4, 0)) = $B79) * (TRIM(INDEX('6. TIẾN ĐỘ MUA HÀNG'!$A$5:$AT644, 0, XMATCH("Tháng", '6. TIẾN ĐỘ MUA HÀNG'!$A$4:$AT$4, 0))) = TRIM(O$6)) * (INDEX('6. TIẾN ĐỘ MUA HÀNG'!$A$5:$AT644, 0, XMATCH("CL NGÀY NCC DỰ KIẾN - NGÀY NHẬN HÀNG", '6. TIẾN ĐỘ MUA HÀNG'!$A$4:$AT$4, 0)) &lt; 0)
)</f>
        <v>0</v>
      </c>
      <c r="Q79" s="755">
        <f t="shared" si="31"/>
        <v>0</v>
      </c>
      <c r="R79" s="756">
        <f t="array" ref="R79">SUMPRODUCT((TRIM(INDEX('6. TIẾN ĐỘ MUA HÀNG'!$A$5:$AT644, 0, XMATCH("NCC VTBB/NL trong nước", '6. TIẾN ĐỘ MUA HÀNG'!$A$4:$AT$4, 0))) = TRIM($B79)) * (TRIM(INDEX('6. TIẾN ĐỘ MUA HÀNG'!$A$5:$AT644, 0, XMATCH("Tháng", '6. TIẾN ĐỘ MUA HÀNG'!$A$4:$AT$4, 0))) = TRIM(R$6)) * (INDEX('6. TIẾN ĐỘ MUA HÀNG'!$A$5:$AT644, 0, XMATCH("Mã đơn Misa", '6. TIẾN ĐỘ MUA HÀNG'!$A$4:$AT$4, 0)) &lt;&gt; ""))</f>
        <v>0</v>
      </c>
      <c r="S79" s="756">
        <f t="array" ref="S79">SUMPRODUCT(
  (INDEX('6. TIẾN ĐỘ MUA HÀNG'!$A$5:$AT644, 0, XMATCH("NCC VTBB/NL trong nước", '6. TIẾN ĐỘ MUA HÀNG'!$A$4:$AT$4, 0)) = $B79) * (TRIM(INDEX('6. TIẾN ĐỘ MUA HÀNG'!$A$5:$AT644, 0, XMATCH("Tháng", '6. TIẾN ĐỘ MUA HÀNG'!$A$4:$AT$4, 0))) = TRIM(R$6)) * (INDEX('6. TIẾN ĐỘ MUA HÀNG'!$A$5:$AT644, 0, XMATCH("CL NGÀY NCC DỰ KIẾN - NGÀY NHẬN HÀNG", '6. TIẾN ĐỘ MUA HÀNG'!$A$4:$AT$4, 0)) &lt; 0)
)</f>
        <v>0</v>
      </c>
      <c r="T79" s="757">
        <f t="shared" si="19"/>
        <v>0</v>
      </c>
      <c r="U79" s="754">
        <f t="array" ref="U79">SUMPRODUCT((TRIM(INDEX('6. TIẾN ĐỘ MUA HÀNG'!$A$5:$AT644, 0, XMATCH("NCC VTBB/NL trong nước", '6. TIẾN ĐỘ MUA HÀNG'!$A$4:$AT$4, 0))) = TRIM($B79)) * (TRIM(INDEX('6. TIẾN ĐỘ MUA HÀNG'!$A$5:$AT644, 0, XMATCH("Tháng", '6. TIẾN ĐỘ MUA HÀNG'!$A$4:$AT$4, 0))) = TRIM(U$6)) * (INDEX('6. TIẾN ĐỘ MUA HÀNG'!$A$5:$AT644, 0, XMATCH("Mã đơn Misa", '6. TIẾN ĐỘ MUA HÀNG'!$A$4:$AT$4, 0)) &lt;&gt; ""))</f>
        <v>0</v>
      </c>
      <c r="V79" s="754">
        <f t="array" ref="V79">SUMPRODUCT(
  (INDEX('6. TIẾN ĐỘ MUA HÀNG'!$A$5:$AT644, 0, XMATCH("NCC VTBB/NL trong nước", '6. TIẾN ĐỘ MUA HÀNG'!$A$4:$AT$4, 0)) = $B79) * (TRIM(INDEX('6. TIẾN ĐỘ MUA HÀNG'!$A$5:$AT644, 0, XMATCH("Tháng", '6. TIẾN ĐỘ MUA HÀNG'!$A$4:$AT$4, 0))) = TRIM(U$6)) * (INDEX('6. TIẾN ĐỘ MUA HÀNG'!$A$5:$AT644, 0, XMATCH("CL NGÀY NCC DỰ KIẾN - NGÀY NHẬN HÀNG", '6. TIẾN ĐỘ MUA HÀNG'!$A$4:$AT$4, 0)) &lt; 0)
)</f>
        <v>0</v>
      </c>
      <c r="W79" s="755">
        <f t="shared" si="32"/>
        <v>0</v>
      </c>
      <c r="X79" s="756">
        <f t="array" ref="X79">SUMPRODUCT((TRIM(INDEX('6. TIẾN ĐỘ MUA HÀNG'!$A$5:$AT644, 0, XMATCH("NCC VTBB/NL trong nước", '6. TIẾN ĐỘ MUA HÀNG'!$A$4:$AT$4, 0))) = TRIM($B79)) * (TRIM(INDEX('6. TIẾN ĐỘ MUA HÀNG'!$A$5:$AT644, 0, XMATCH("Tháng", '6. TIẾN ĐỘ MUA HÀNG'!$A$4:$AT$4, 0))) = TRIM(X$6)) * (INDEX('6. TIẾN ĐỘ MUA HÀNG'!$A$5:$AT644, 0, XMATCH("Mã đơn Misa", '6. TIẾN ĐỘ MUA HÀNG'!$A$4:$AT$4, 0)) &lt;&gt; ""))</f>
        <v>0</v>
      </c>
      <c r="Y79" s="756">
        <f t="array" ref="Y79">SUMPRODUCT(
  (INDEX('6. TIẾN ĐỘ MUA HÀNG'!$A$5:$AT644, 0, XMATCH("NCC VTBB/NL trong nước", '6. TIẾN ĐỘ MUA HÀNG'!$A$4:$AT$4, 0)) = $B79) * (TRIM(INDEX('6. TIẾN ĐỘ MUA HÀNG'!$A$5:$AT644, 0, XMATCH("Tháng", '6. TIẾN ĐỘ MUA HÀNG'!$A$4:$AT$4, 0))) = TRIM(X$6)) * (INDEX('6. TIẾN ĐỘ MUA HÀNG'!$A$5:$AT644, 0, XMATCH("CL NGÀY NCC DỰ KIẾN - NGÀY NHẬN HÀNG", '6. TIẾN ĐỘ MUA HÀNG'!$A$4:$AT$4, 0)) &lt; 0)
)</f>
        <v>0</v>
      </c>
      <c r="Z79" s="757">
        <f t="shared" si="21"/>
        <v>0</v>
      </c>
      <c r="AA79" s="754">
        <f t="array" ref="AA79">SUMPRODUCT((TRIM(INDEX('6. TIẾN ĐỘ MUA HÀNG'!$A$5:$AT644, 0, XMATCH("NCC VTBB/NL trong nước", '6. TIẾN ĐỘ MUA HÀNG'!$A$4:$AT$4, 0))) = TRIM($B79)) * (TRIM(INDEX('6. TIẾN ĐỘ MUA HÀNG'!$A$5:$AT644, 0, XMATCH("Tháng", '6. TIẾN ĐỘ MUA HÀNG'!$A$4:$AT$4, 0))) = TRIM(AA$6)) * (INDEX('6. TIẾN ĐỘ MUA HÀNG'!$A$5:$AT644, 0, XMATCH("Mã đơn Misa", '6. TIẾN ĐỘ MUA HÀNG'!$A$4:$AT$4, 0)) &lt;&gt; ""))</f>
        <v>0</v>
      </c>
      <c r="AB79" s="754">
        <f t="array" ref="AB79">SUMPRODUCT(
  (INDEX('6. TIẾN ĐỘ MUA HÀNG'!$A$5:$AT644, 0, XMATCH("NCC VTBB/NL trong nước", '6. TIẾN ĐỘ MUA HÀNG'!$A$4:$AT$4, 0)) = $B79) * (TRIM(INDEX('6. TIẾN ĐỘ MUA HÀNG'!$A$5:$AT644, 0, XMATCH("Tháng", '6. TIẾN ĐỘ MUA HÀNG'!$A$4:$AT$4, 0))) = TRIM(AA$6)) * (INDEX('6. TIẾN ĐỘ MUA HÀNG'!$A$5:$AT644, 0, XMATCH("CL NGÀY NCC DỰ KIẾN - NGÀY NHẬN HÀNG", '6. TIẾN ĐỘ MUA HÀNG'!$A$4:$AT$4, 0)) &lt; 0)
)</f>
        <v>0</v>
      </c>
      <c r="AC79" s="755">
        <f t="shared" si="33"/>
        <v>0</v>
      </c>
      <c r="AD79" s="756">
        <f t="array" ref="AD79">SUMPRODUCT((TRIM(INDEX('6. TIẾN ĐỘ MUA HÀNG'!$A$5:$AT644, 0, XMATCH("NCC VTBB/NL trong nước", '6. TIẾN ĐỘ MUA HÀNG'!$A$4:$AT$4, 0))) = TRIM($B79)) * (TRIM(INDEX('6. TIẾN ĐỘ MUA HÀNG'!$A$5:$AT644, 0, XMATCH("Tháng", '6. TIẾN ĐỘ MUA HÀNG'!$A$4:$AT$4, 0))) = TRIM(AD$6)) * (INDEX('6. TIẾN ĐỘ MUA HÀNG'!$A$5:$AT644, 0, XMATCH("Mã đơn Misa", '6. TIẾN ĐỘ MUA HÀNG'!$A$4:$AT$4, 0)) &lt;&gt; ""))</f>
        <v>0</v>
      </c>
      <c r="AE79" s="756">
        <f t="array" ref="AE79">SUMPRODUCT(
  (INDEX('6. TIẾN ĐỘ MUA HÀNG'!$A$5:$AT644, 0, XMATCH("NCC VTBB/NL trong nước", '6. TIẾN ĐỘ MUA HÀNG'!$A$4:$AT$4, 0)) = $B79) * (TRIM(INDEX('6. TIẾN ĐỘ MUA HÀNG'!$A$5:$AT644, 0, XMATCH("Tháng", '6. TIẾN ĐỘ MUA HÀNG'!$A$4:$AT$4, 0))) = TRIM(AD$6)) * (INDEX('6. TIẾN ĐỘ MUA HÀNG'!$A$5:$AT644, 0, XMATCH("CL NGÀY NCC DỰ KIẾN - NGÀY NHẬN HÀNG", '6. TIẾN ĐỘ MUA HÀNG'!$A$4:$AT$4, 0)) &lt; 0)
)</f>
        <v>0</v>
      </c>
      <c r="AF79" s="757">
        <f t="shared" si="23"/>
        <v>0</v>
      </c>
      <c r="AG79" s="754">
        <f t="array" ref="AG79">SUMPRODUCT((TRIM(INDEX('6. TIẾN ĐỘ MUA HÀNG'!$A$5:$AT644, 0, XMATCH("NCC VTBB/NL trong nước", '6. TIẾN ĐỘ MUA HÀNG'!$A$4:$AT$4, 0))) = TRIM($B79)) * (TRIM(INDEX('6. TIẾN ĐỘ MUA HÀNG'!$A$5:$AT644, 0, XMATCH("Tháng", '6. TIẾN ĐỘ MUA HÀNG'!$A$4:$AT$4, 0))) = TRIM(AG$6)) * (INDEX('6. TIẾN ĐỘ MUA HÀNG'!$A$5:$AT644, 0, XMATCH("Mã đơn Misa", '6. TIẾN ĐỘ MUA HÀNG'!$A$4:$AT$4, 0)) &lt;&gt; ""))</f>
        <v>0</v>
      </c>
      <c r="AH79" s="754">
        <f t="array" ref="AH79">SUMPRODUCT(
  (INDEX('6. TIẾN ĐỘ MUA HÀNG'!$A$5:$AT644, 0, XMATCH("NCC VTBB/NL trong nước", '6. TIẾN ĐỘ MUA HÀNG'!$A$4:$AT$4, 0)) = $B79) * (TRIM(INDEX('6. TIẾN ĐỘ MUA HÀNG'!$A$5:$AT644, 0, XMATCH("Tháng", '6. TIẾN ĐỘ MUA HÀNG'!$A$4:$AT$4, 0))) = TRIM(AG$6)) * (INDEX('6. TIẾN ĐỘ MUA HÀNG'!$A$5:$AT644, 0, XMATCH("CL NGÀY NCC DỰ KIẾN - NGÀY NHẬN HÀNG", '6. TIẾN ĐỘ MUA HÀNG'!$A$4:$AT$4, 0)) &lt; 0)
)</f>
        <v>0</v>
      </c>
      <c r="AI79" s="755">
        <f t="shared" si="34"/>
        <v>0</v>
      </c>
      <c r="AJ79" s="756">
        <f t="array" ref="AJ79">SUMPRODUCT((TRIM(INDEX('6. TIẾN ĐỘ MUA HÀNG'!$A$5:$AT644, 0, XMATCH("NCC VTBB/NL trong nước", '6. TIẾN ĐỘ MUA HÀNG'!$A$4:$AT$4, 0))) = TRIM($B79)) * (TRIM(INDEX('6. TIẾN ĐỘ MUA HÀNG'!$A$5:$AT644, 0, XMATCH("Tháng", '6. TIẾN ĐỘ MUA HÀNG'!$A$4:$AT$4, 0))) = TRIM(AJ$6)) * (INDEX('6. TIẾN ĐỘ MUA HÀNG'!$A$5:$AT644, 0, XMATCH("Mã đơn Misa", '6. TIẾN ĐỘ MUA HÀNG'!$A$4:$AT$4, 0)) &lt;&gt; ""))</f>
        <v>0</v>
      </c>
      <c r="AK79" s="756">
        <f t="array" ref="AK79">SUMPRODUCT(
  (INDEX('6. TIẾN ĐỘ MUA HÀNG'!$A$5:$AT644, 0, XMATCH("NCC VTBB/NL trong nước", '6. TIẾN ĐỘ MUA HÀNG'!$A$4:$AT$4, 0)) = $B79) * (TRIM(INDEX('6. TIẾN ĐỘ MUA HÀNG'!$A$5:$AT644, 0, XMATCH("Tháng", '6. TIẾN ĐỘ MUA HÀNG'!$A$4:$AT$4, 0))) = TRIM(AJ$6)) * (INDEX('6. TIẾN ĐỘ MUA HÀNG'!$A$5:$AT644, 0, XMATCH("CL NGÀY NCC DỰ KIẾN - NGÀY NHẬN HÀNG", '6. TIẾN ĐỘ MUA HÀNG'!$A$4:$AT$4, 0)) &lt; 0)
)</f>
        <v>0</v>
      </c>
      <c r="AL79" s="757">
        <f t="shared" si="25"/>
        <v>0</v>
      </c>
      <c r="AM79" s="726">
        <f t="shared" si="27"/>
        <v>0</v>
      </c>
      <c r="AN79" s="726">
        <f t="shared" si="28"/>
        <v>0</v>
      </c>
      <c r="AO79" s="727">
        <f t="shared" si="26"/>
        <v>0</v>
      </c>
    </row>
    <row r="80">
      <c r="A80" s="612">
        <v>72.0</v>
      </c>
      <c r="B80" s="624" t="str">
        <f>IFERROR(__xludf.DUMMYFUNCTION("""COMPUTED_VALUE"""),"Intrie")</f>
        <v>Intrie</v>
      </c>
      <c r="C80" s="754">
        <f t="array" ref="C80">SUMPRODUCT((TRIM(INDEX('6. TIẾN ĐỘ MUA HÀNG'!$A$5:$AT644, 0, XMATCH("NCC VTBB/NL trong nước", '6. TIẾN ĐỘ MUA HÀNG'!$A$4:$AT$4, 0))) = TRIM($B80)) * (TRIM(INDEX('6. TIẾN ĐỘ MUA HÀNG'!$A$5:$AT644, 0, XMATCH("Tháng", '6. TIẾN ĐỘ MUA HÀNG'!$A$4:$AT$4, 0))) = TRIM(C$6)) * (INDEX('6. TIẾN ĐỘ MUA HÀNG'!$A$5:$AT644, 0, XMATCH("Mã đơn Misa", '6. TIẾN ĐỘ MUA HÀNG'!$A$4:$AT$4, 0)) &lt;&gt; ""))</f>
        <v>0</v>
      </c>
      <c r="D80" s="754">
        <f t="array" ref="D80">SUMPRODUCT(
  (INDEX('6. TIẾN ĐỘ MUA HÀNG'!$A$5:$AT644, 0, XMATCH("NCC VTBB/NL trong nước", '6. TIẾN ĐỘ MUA HÀNG'!$A$4:$AT$4, 0)) = $B80) * (TRIM(INDEX('6. TIẾN ĐỘ MUA HÀNG'!$A$5:$AT644, 0, XMATCH("Tháng", '6. TIẾN ĐỘ MUA HÀNG'!$A$4:$AT$4, 0))) = TRIM(C$6)) * (INDEX('6. TIẾN ĐỘ MUA HÀNG'!$A$5:$AT644, 0, XMATCH("CL NGÀY NCC DỰ KIẾN - NGÀY NHẬN HÀNG", '6. TIẾN ĐỘ MUA HÀNG'!$A$4:$AT$4, 0)) &lt; 0)
)</f>
        <v>0</v>
      </c>
      <c r="E80" s="755">
        <f t="shared" si="29"/>
        <v>0</v>
      </c>
      <c r="F80" s="756">
        <f t="array" ref="F80">SUMPRODUCT((TRIM(INDEX('6. TIẾN ĐỘ MUA HÀNG'!$A$5:$AT644, 0, XMATCH("NCC VTBB/NL trong nước", '6. TIẾN ĐỘ MUA HÀNG'!$A$4:$AT$4, 0))) = TRIM($B80)) * (TRIM(INDEX('6. TIẾN ĐỘ MUA HÀNG'!$A$5:$AT644, 0, XMATCH("Tháng", '6. TIẾN ĐỘ MUA HÀNG'!$A$4:$AT$4, 0))) = TRIM(F$6)) * (INDEX('6. TIẾN ĐỘ MUA HÀNG'!$A$5:$AT644, 0, XMATCH("Mã đơn Misa", '6. TIẾN ĐỘ MUA HÀNG'!$A$4:$AT$4, 0)) &lt;&gt; ""))</f>
        <v>0</v>
      </c>
      <c r="G80" s="756">
        <f t="array" ref="G80">SUMPRODUCT(
  (INDEX('6. TIẾN ĐỘ MUA HÀNG'!$A$5:$AT644, 0, XMATCH("NCC VTBB/NL trong nước", '6. TIẾN ĐỘ MUA HÀNG'!$A$4:$AT$4, 0)) = $B80) * (TRIM(INDEX('6. TIẾN ĐỘ MUA HÀNG'!$A$5:$AT644, 0, XMATCH("Tháng", '6. TIẾN ĐỘ MUA HÀNG'!$A$4:$AT$4, 0))) = TRIM(F$6)) * (INDEX('6. TIẾN ĐỘ MUA HÀNG'!$A$5:$AT644, 0, XMATCH("CL NGÀY NCC DỰ KIẾN - NGÀY NHẬN HÀNG", '6. TIẾN ĐỘ MUA HÀNG'!$A$4:$AT$4, 0)) &lt; 0)
)</f>
        <v>0</v>
      </c>
      <c r="H80" s="757">
        <f t="shared" si="15"/>
        <v>0</v>
      </c>
      <c r="I80" s="754">
        <f t="array" ref="I80">SUMPRODUCT((TRIM(INDEX('6. TIẾN ĐỘ MUA HÀNG'!$A$5:$AT644, 0, XMATCH("NCC VTBB/NL trong nước", '6. TIẾN ĐỘ MUA HÀNG'!$A$4:$AT$4, 0))) = TRIM($B80)) * (TRIM(INDEX('6. TIẾN ĐỘ MUA HÀNG'!$A$5:$AT644, 0, XMATCH("Tháng", '6. TIẾN ĐỘ MUA HÀNG'!$A$4:$AT$4, 0))) = TRIM(I$6)) * (INDEX('6. TIẾN ĐỘ MUA HÀNG'!$A$5:$AT644, 0, XMATCH("Mã đơn Misa", '6. TIẾN ĐỘ MUA HÀNG'!$A$4:$AT$4, 0)) &lt;&gt; ""))</f>
        <v>0</v>
      </c>
      <c r="J80" s="754">
        <f t="array" ref="J80">SUMPRODUCT(
  (INDEX('6. TIẾN ĐỘ MUA HÀNG'!$A$5:$AT644, 0, XMATCH("NCC VTBB/NL trong nước", '6. TIẾN ĐỘ MUA HÀNG'!$A$4:$AT$4, 0)) = $B80) * (TRIM(INDEX('6. TIẾN ĐỘ MUA HÀNG'!$A$5:$AT644, 0, XMATCH("Tháng", '6. TIẾN ĐỘ MUA HÀNG'!$A$4:$AT$4, 0))) = TRIM(I$6)) * (INDEX('6. TIẾN ĐỘ MUA HÀNG'!$A$5:$AT644, 0, XMATCH("CL NGÀY NCC DỰ KIẾN - NGÀY NHẬN HÀNG", '6. TIẾN ĐỘ MUA HÀNG'!$A$4:$AT$4, 0)) &lt; 0)
)</f>
        <v>0</v>
      </c>
      <c r="K80" s="755">
        <f t="shared" si="30"/>
        <v>0</v>
      </c>
      <c r="L80" s="756">
        <f t="array" ref="L80">SUMPRODUCT((TRIM(INDEX('6. TIẾN ĐỘ MUA HÀNG'!$A$5:$AT644, 0, XMATCH("NCC VTBB/NL trong nước", '6. TIẾN ĐỘ MUA HÀNG'!$A$4:$AT$4, 0))) = TRIM($B80)) * (TRIM(INDEX('6. TIẾN ĐỘ MUA HÀNG'!$A$5:$AT644, 0, XMATCH("Tháng", '6. TIẾN ĐỘ MUA HÀNG'!$A$4:$AT$4, 0))) = TRIM(L$6)) * (INDEX('6. TIẾN ĐỘ MUA HÀNG'!$A$5:$AT644, 0, XMATCH("Mã đơn Misa", '6. TIẾN ĐỘ MUA HÀNG'!$A$4:$AT$4, 0)) &lt;&gt; ""))</f>
        <v>0</v>
      </c>
      <c r="M80" s="756">
        <f t="array" ref="M80">SUMPRODUCT(
  (INDEX('6. TIẾN ĐỘ MUA HÀNG'!$A$5:$AT644, 0, XMATCH("NCC VTBB/NL trong nước", '6. TIẾN ĐỘ MUA HÀNG'!$A$4:$AT$4, 0)) = $B80) * (TRIM(INDEX('6. TIẾN ĐỘ MUA HÀNG'!$A$5:$AT644, 0, XMATCH("Tháng", '6. TIẾN ĐỘ MUA HÀNG'!$A$4:$AT$4, 0))) = TRIM(L$6)) * (INDEX('6. TIẾN ĐỘ MUA HÀNG'!$A$5:$AT644, 0, XMATCH("CL NGÀY NCC DỰ KIẾN - NGÀY NHẬN HÀNG", '6. TIẾN ĐỘ MUA HÀNG'!$A$4:$AT$4, 0)) &lt; 0)
)</f>
        <v>0</v>
      </c>
      <c r="N80" s="757">
        <f t="shared" si="17"/>
        <v>0</v>
      </c>
      <c r="O80" s="754">
        <f t="array" ref="O80">SUMPRODUCT((TRIM(INDEX('6. TIẾN ĐỘ MUA HÀNG'!$A$5:$AT644, 0, XMATCH("NCC VTBB/NL trong nước", '6. TIẾN ĐỘ MUA HÀNG'!$A$4:$AT$4, 0))) = TRIM($B80)) * (TRIM(INDEX('6. TIẾN ĐỘ MUA HÀNG'!$A$5:$AT644, 0, XMATCH("Tháng", '6. TIẾN ĐỘ MUA HÀNG'!$A$4:$AT$4, 0))) = TRIM(O$6)) * (INDEX('6. TIẾN ĐỘ MUA HÀNG'!$A$5:$AT644, 0, XMATCH("Mã đơn Misa", '6. TIẾN ĐỘ MUA HÀNG'!$A$4:$AT$4, 0)) &lt;&gt; ""))</f>
        <v>0</v>
      </c>
      <c r="P80" s="754">
        <f t="array" ref="P80">SUMPRODUCT(
  (INDEX('6. TIẾN ĐỘ MUA HÀNG'!$A$5:$AT644, 0, XMATCH("NCC VTBB/NL trong nước", '6. TIẾN ĐỘ MUA HÀNG'!$A$4:$AT$4, 0)) = $B80) * (TRIM(INDEX('6. TIẾN ĐỘ MUA HÀNG'!$A$5:$AT644, 0, XMATCH("Tháng", '6. TIẾN ĐỘ MUA HÀNG'!$A$4:$AT$4, 0))) = TRIM(O$6)) * (INDEX('6. TIẾN ĐỘ MUA HÀNG'!$A$5:$AT644, 0, XMATCH("CL NGÀY NCC DỰ KIẾN - NGÀY NHẬN HÀNG", '6. TIẾN ĐỘ MUA HÀNG'!$A$4:$AT$4, 0)) &lt; 0)
)</f>
        <v>0</v>
      </c>
      <c r="Q80" s="755">
        <f t="shared" si="31"/>
        <v>0</v>
      </c>
      <c r="R80" s="756">
        <f t="array" ref="R80">SUMPRODUCT((TRIM(INDEX('6. TIẾN ĐỘ MUA HÀNG'!$A$5:$AT644, 0, XMATCH("NCC VTBB/NL trong nước", '6. TIẾN ĐỘ MUA HÀNG'!$A$4:$AT$4, 0))) = TRIM($B80)) * (TRIM(INDEX('6. TIẾN ĐỘ MUA HÀNG'!$A$5:$AT644, 0, XMATCH("Tháng", '6. TIẾN ĐỘ MUA HÀNG'!$A$4:$AT$4, 0))) = TRIM(R$6)) * (INDEX('6. TIẾN ĐỘ MUA HÀNG'!$A$5:$AT644, 0, XMATCH("Mã đơn Misa", '6. TIẾN ĐỘ MUA HÀNG'!$A$4:$AT$4, 0)) &lt;&gt; ""))</f>
        <v>0</v>
      </c>
      <c r="S80" s="756">
        <f t="array" ref="S80">SUMPRODUCT(
  (INDEX('6. TIẾN ĐỘ MUA HÀNG'!$A$5:$AT644, 0, XMATCH("NCC VTBB/NL trong nước", '6. TIẾN ĐỘ MUA HÀNG'!$A$4:$AT$4, 0)) = $B80) * (TRIM(INDEX('6. TIẾN ĐỘ MUA HÀNG'!$A$5:$AT644, 0, XMATCH("Tháng", '6. TIẾN ĐỘ MUA HÀNG'!$A$4:$AT$4, 0))) = TRIM(R$6)) * (INDEX('6. TIẾN ĐỘ MUA HÀNG'!$A$5:$AT644, 0, XMATCH("CL NGÀY NCC DỰ KIẾN - NGÀY NHẬN HÀNG", '6. TIẾN ĐỘ MUA HÀNG'!$A$4:$AT$4, 0)) &lt; 0)
)</f>
        <v>0</v>
      </c>
      <c r="T80" s="757">
        <f t="shared" si="19"/>
        <v>0</v>
      </c>
      <c r="U80" s="754">
        <f t="array" ref="U80">SUMPRODUCT((TRIM(INDEX('6. TIẾN ĐỘ MUA HÀNG'!$A$5:$AT644, 0, XMATCH("NCC VTBB/NL trong nước", '6. TIẾN ĐỘ MUA HÀNG'!$A$4:$AT$4, 0))) = TRIM($B80)) * (TRIM(INDEX('6. TIẾN ĐỘ MUA HÀNG'!$A$5:$AT644, 0, XMATCH("Tháng", '6. TIẾN ĐỘ MUA HÀNG'!$A$4:$AT$4, 0))) = TRIM(U$6)) * (INDEX('6. TIẾN ĐỘ MUA HÀNG'!$A$5:$AT644, 0, XMATCH("Mã đơn Misa", '6. TIẾN ĐỘ MUA HÀNG'!$A$4:$AT$4, 0)) &lt;&gt; ""))</f>
        <v>0</v>
      </c>
      <c r="V80" s="754">
        <f t="array" ref="V80">SUMPRODUCT(
  (INDEX('6. TIẾN ĐỘ MUA HÀNG'!$A$5:$AT644, 0, XMATCH("NCC VTBB/NL trong nước", '6. TIẾN ĐỘ MUA HÀNG'!$A$4:$AT$4, 0)) = $B80) * (TRIM(INDEX('6. TIẾN ĐỘ MUA HÀNG'!$A$5:$AT644, 0, XMATCH("Tháng", '6. TIẾN ĐỘ MUA HÀNG'!$A$4:$AT$4, 0))) = TRIM(U$6)) * (INDEX('6. TIẾN ĐỘ MUA HÀNG'!$A$5:$AT644, 0, XMATCH("CL NGÀY NCC DỰ KIẾN - NGÀY NHẬN HÀNG", '6. TIẾN ĐỘ MUA HÀNG'!$A$4:$AT$4, 0)) &lt; 0)
)</f>
        <v>0</v>
      </c>
      <c r="W80" s="755">
        <f t="shared" si="32"/>
        <v>0</v>
      </c>
      <c r="X80" s="756">
        <f t="array" ref="X80">SUMPRODUCT((TRIM(INDEX('6. TIẾN ĐỘ MUA HÀNG'!$A$5:$AT644, 0, XMATCH("NCC VTBB/NL trong nước", '6. TIẾN ĐỘ MUA HÀNG'!$A$4:$AT$4, 0))) = TRIM($B80)) * (TRIM(INDEX('6. TIẾN ĐỘ MUA HÀNG'!$A$5:$AT644, 0, XMATCH("Tháng", '6. TIẾN ĐỘ MUA HÀNG'!$A$4:$AT$4, 0))) = TRIM(X$6)) * (INDEX('6. TIẾN ĐỘ MUA HÀNG'!$A$5:$AT644, 0, XMATCH("Mã đơn Misa", '6. TIẾN ĐỘ MUA HÀNG'!$A$4:$AT$4, 0)) &lt;&gt; ""))</f>
        <v>0</v>
      </c>
      <c r="Y80" s="756">
        <f t="array" ref="Y80">SUMPRODUCT(
  (INDEX('6. TIẾN ĐỘ MUA HÀNG'!$A$5:$AT644, 0, XMATCH("NCC VTBB/NL trong nước", '6. TIẾN ĐỘ MUA HÀNG'!$A$4:$AT$4, 0)) = $B80) * (TRIM(INDEX('6. TIẾN ĐỘ MUA HÀNG'!$A$5:$AT644, 0, XMATCH("Tháng", '6. TIẾN ĐỘ MUA HÀNG'!$A$4:$AT$4, 0))) = TRIM(X$6)) * (INDEX('6. TIẾN ĐỘ MUA HÀNG'!$A$5:$AT644, 0, XMATCH("CL NGÀY NCC DỰ KIẾN - NGÀY NHẬN HÀNG", '6. TIẾN ĐỘ MUA HÀNG'!$A$4:$AT$4, 0)) &lt; 0)
)</f>
        <v>0</v>
      </c>
      <c r="Z80" s="757">
        <f t="shared" si="21"/>
        <v>0</v>
      </c>
      <c r="AA80" s="754">
        <f t="array" ref="AA80">SUMPRODUCT((TRIM(INDEX('6. TIẾN ĐỘ MUA HÀNG'!$A$5:$AT644, 0, XMATCH("NCC VTBB/NL trong nước", '6. TIẾN ĐỘ MUA HÀNG'!$A$4:$AT$4, 0))) = TRIM($B80)) * (TRIM(INDEX('6. TIẾN ĐỘ MUA HÀNG'!$A$5:$AT644, 0, XMATCH("Tháng", '6. TIẾN ĐỘ MUA HÀNG'!$A$4:$AT$4, 0))) = TRIM(AA$6)) * (INDEX('6. TIẾN ĐỘ MUA HÀNG'!$A$5:$AT644, 0, XMATCH("Mã đơn Misa", '6. TIẾN ĐỘ MUA HÀNG'!$A$4:$AT$4, 0)) &lt;&gt; ""))</f>
        <v>0</v>
      </c>
      <c r="AB80" s="754">
        <f t="array" ref="AB80">SUMPRODUCT(
  (INDEX('6. TIẾN ĐỘ MUA HÀNG'!$A$5:$AT644, 0, XMATCH("NCC VTBB/NL trong nước", '6. TIẾN ĐỘ MUA HÀNG'!$A$4:$AT$4, 0)) = $B80) * (TRIM(INDEX('6. TIẾN ĐỘ MUA HÀNG'!$A$5:$AT644, 0, XMATCH("Tháng", '6. TIẾN ĐỘ MUA HÀNG'!$A$4:$AT$4, 0))) = TRIM(AA$6)) * (INDEX('6. TIẾN ĐỘ MUA HÀNG'!$A$5:$AT644, 0, XMATCH("CL NGÀY NCC DỰ KIẾN - NGÀY NHẬN HÀNG", '6. TIẾN ĐỘ MUA HÀNG'!$A$4:$AT$4, 0)) &lt; 0)
)</f>
        <v>0</v>
      </c>
      <c r="AC80" s="755">
        <f t="shared" si="33"/>
        <v>0</v>
      </c>
      <c r="AD80" s="756">
        <f t="array" ref="AD80">SUMPRODUCT((TRIM(INDEX('6. TIẾN ĐỘ MUA HÀNG'!$A$5:$AT644, 0, XMATCH("NCC VTBB/NL trong nước", '6. TIẾN ĐỘ MUA HÀNG'!$A$4:$AT$4, 0))) = TRIM($B80)) * (TRIM(INDEX('6. TIẾN ĐỘ MUA HÀNG'!$A$5:$AT644, 0, XMATCH("Tháng", '6. TIẾN ĐỘ MUA HÀNG'!$A$4:$AT$4, 0))) = TRIM(AD$6)) * (INDEX('6. TIẾN ĐỘ MUA HÀNG'!$A$5:$AT644, 0, XMATCH("Mã đơn Misa", '6. TIẾN ĐỘ MUA HÀNG'!$A$4:$AT$4, 0)) &lt;&gt; ""))</f>
        <v>0</v>
      </c>
      <c r="AE80" s="756">
        <f t="array" ref="AE80">SUMPRODUCT(
  (INDEX('6. TIẾN ĐỘ MUA HÀNG'!$A$5:$AT644, 0, XMATCH("NCC VTBB/NL trong nước", '6. TIẾN ĐỘ MUA HÀNG'!$A$4:$AT$4, 0)) = $B80) * (TRIM(INDEX('6. TIẾN ĐỘ MUA HÀNG'!$A$5:$AT644, 0, XMATCH("Tháng", '6. TIẾN ĐỘ MUA HÀNG'!$A$4:$AT$4, 0))) = TRIM(AD$6)) * (INDEX('6. TIẾN ĐỘ MUA HÀNG'!$A$5:$AT644, 0, XMATCH("CL NGÀY NCC DỰ KIẾN - NGÀY NHẬN HÀNG", '6. TIẾN ĐỘ MUA HÀNG'!$A$4:$AT$4, 0)) &lt; 0)
)</f>
        <v>0</v>
      </c>
      <c r="AF80" s="757">
        <f t="shared" si="23"/>
        <v>0</v>
      </c>
      <c r="AG80" s="754">
        <f t="array" ref="AG80">SUMPRODUCT((TRIM(INDEX('6. TIẾN ĐỘ MUA HÀNG'!$A$5:$AT644, 0, XMATCH("NCC VTBB/NL trong nước", '6. TIẾN ĐỘ MUA HÀNG'!$A$4:$AT$4, 0))) = TRIM($B80)) * (TRIM(INDEX('6. TIẾN ĐỘ MUA HÀNG'!$A$5:$AT644, 0, XMATCH("Tháng", '6. TIẾN ĐỘ MUA HÀNG'!$A$4:$AT$4, 0))) = TRIM(AG$6)) * (INDEX('6. TIẾN ĐỘ MUA HÀNG'!$A$5:$AT644, 0, XMATCH("Mã đơn Misa", '6. TIẾN ĐỘ MUA HÀNG'!$A$4:$AT$4, 0)) &lt;&gt; ""))</f>
        <v>0</v>
      </c>
      <c r="AH80" s="754">
        <f t="array" ref="AH80">SUMPRODUCT(
  (INDEX('6. TIẾN ĐỘ MUA HÀNG'!$A$5:$AT644, 0, XMATCH("NCC VTBB/NL trong nước", '6. TIẾN ĐỘ MUA HÀNG'!$A$4:$AT$4, 0)) = $B80) * (TRIM(INDEX('6. TIẾN ĐỘ MUA HÀNG'!$A$5:$AT644, 0, XMATCH("Tháng", '6. TIẾN ĐỘ MUA HÀNG'!$A$4:$AT$4, 0))) = TRIM(AG$6)) * (INDEX('6. TIẾN ĐỘ MUA HÀNG'!$A$5:$AT644, 0, XMATCH("CL NGÀY NCC DỰ KIẾN - NGÀY NHẬN HÀNG", '6. TIẾN ĐỘ MUA HÀNG'!$A$4:$AT$4, 0)) &lt; 0)
)</f>
        <v>0</v>
      </c>
      <c r="AI80" s="755">
        <f t="shared" si="34"/>
        <v>0</v>
      </c>
      <c r="AJ80" s="756">
        <f t="array" ref="AJ80">SUMPRODUCT((TRIM(INDEX('6. TIẾN ĐỘ MUA HÀNG'!$A$5:$AT644, 0, XMATCH("NCC VTBB/NL trong nước", '6. TIẾN ĐỘ MUA HÀNG'!$A$4:$AT$4, 0))) = TRIM($B80)) * (TRIM(INDEX('6. TIẾN ĐỘ MUA HÀNG'!$A$5:$AT644, 0, XMATCH("Tháng", '6. TIẾN ĐỘ MUA HÀNG'!$A$4:$AT$4, 0))) = TRIM(AJ$6)) * (INDEX('6. TIẾN ĐỘ MUA HÀNG'!$A$5:$AT644, 0, XMATCH("Mã đơn Misa", '6. TIẾN ĐỘ MUA HÀNG'!$A$4:$AT$4, 0)) &lt;&gt; ""))</f>
        <v>0</v>
      </c>
      <c r="AK80" s="756">
        <f t="array" ref="AK80">SUMPRODUCT(
  (INDEX('6. TIẾN ĐỘ MUA HÀNG'!$A$5:$AT644, 0, XMATCH("NCC VTBB/NL trong nước", '6. TIẾN ĐỘ MUA HÀNG'!$A$4:$AT$4, 0)) = $B80) * (TRIM(INDEX('6. TIẾN ĐỘ MUA HÀNG'!$A$5:$AT644, 0, XMATCH("Tháng", '6. TIẾN ĐỘ MUA HÀNG'!$A$4:$AT$4, 0))) = TRIM(AJ$6)) * (INDEX('6. TIẾN ĐỘ MUA HÀNG'!$A$5:$AT644, 0, XMATCH("CL NGÀY NCC DỰ KIẾN - NGÀY NHẬN HÀNG", '6. TIẾN ĐỘ MUA HÀNG'!$A$4:$AT$4, 0)) &lt; 0)
)</f>
        <v>0</v>
      </c>
      <c r="AL80" s="757">
        <f t="shared" si="25"/>
        <v>0</v>
      </c>
      <c r="AM80" s="726">
        <f t="shared" si="27"/>
        <v>0</v>
      </c>
      <c r="AN80" s="726">
        <f t="shared" si="28"/>
        <v>0</v>
      </c>
      <c r="AO80" s="727">
        <f t="shared" si="26"/>
        <v>0</v>
      </c>
    </row>
    <row r="81">
      <c r="A81" s="612">
        <v>73.0</v>
      </c>
      <c r="B81" s="624" t="str">
        <f>IFERROR(__xludf.DUMMYFUNCTION("""COMPUTED_VALUE"""),"Kpos")</f>
        <v>Kpos</v>
      </c>
      <c r="C81" s="754">
        <f t="array" ref="C81">SUMPRODUCT((TRIM(INDEX('6. TIẾN ĐỘ MUA HÀNG'!$A$5:$AT644, 0, XMATCH("NCC VTBB/NL trong nước", '6. TIẾN ĐỘ MUA HÀNG'!$A$4:$AT$4, 0))) = TRIM($B81)) * (TRIM(INDEX('6. TIẾN ĐỘ MUA HÀNG'!$A$5:$AT644, 0, XMATCH("Tháng", '6. TIẾN ĐỘ MUA HÀNG'!$A$4:$AT$4, 0))) = TRIM(C$6)) * (INDEX('6. TIẾN ĐỘ MUA HÀNG'!$A$5:$AT644, 0, XMATCH("Mã đơn Misa", '6. TIẾN ĐỘ MUA HÀNG'!$A$4:$AT$4, 0)) &lt;&gt; ""))</f>
        <v>0</v>
      </c>
      <c r="D81" s="754">
        <f t="array" ref="D81">SUMPRODUCT(
  (INDEX('6. TIẾN ĐỘ MUA HÀNG'!$A$5:$AT644, 0, XMATCH("NCC VTBB/NL trong nước", '6. TIẾN ĐỘ MUA HÀNG'!$A$4:$AT$4, 0)) = $B81) * (TRIM(INDEX('6. TIẾN ĐỘ MUA HÀNG'!$A$5:$AT644, 0, XMATCH("Tháng", '6. TIẾN ĐỘ MUA HÀNG'!$A$4:$AT$4, 0))) = TRIM(C$6)) * (INDEX('6. TIẾN ĐỘ MUA HÀNG'!$A$5:$AT644, 0, XMATCH("CL NGÀY NCC DỰ KIẾN - NGÀY NHẬN HÀNG", '6. TIẾN ĐỘ MUA HÀNG'!$A$4:$AT$4, 0)) &lt; 0)
)</f>
        <v>0</v>
      </c>
      <c r="E81" s="755">
        <f t="shared" si="29"/>
        <v>0</v>
      </c>
      <c r="F81" s="756">
        <f t="array" ref="F81">SUMPRODUCT((TRIM(INDEX('6. TIẾN ĐỘ MUA HÀNG'!$A$5:$AT644, 0, XMATCH("NCC VTBB/NL trong nước", '6. TIẾN ĐỘ MUA HÀNG'!$A$4:$AT$4, 0))) = TRIM($B81)) * (TRIM(INDEX('6. TIẾN ĐỘ MUA HÀNG'!$A$5:$AT644, 0, XMATCH("Tháng", '6. TIẾN ĐỘ MUA HÀNG'!$A$4:$AT$4, 0))) = TRIM(F$6)) * (INDEX('6. TIẾN ĐỘ MUA HÀNG'!$A$5:$AT644, 0, XMATCH("Mã đơn Misa", '6. TIẾN ĐỘ MUA HÀNG'!$A$4:$AT$4, 0)) &lt;&gt; ""))</f>
        <v>0</v>
      </c>
      <c r="G81" s="756">
        <f t="array" ref="G81">SUMPRODUCT(
  (INDEX('6. TIẾN ĐỘ MUA HÀNG'!$A$5:$AT644, 0, XMATCH("NCC VTBB/NL trong nước", '6. TIẾN ĐỘ MUA HÀNG'!$A$4:$AT$4, 0)) = $B81) * (TRIM(INDEX('6. TIẾN ĐỘ MUA HÀNG'!$A$5:$AT644, 0, XMATCH("Tháng", '6. TIẾN ĐỘ MUA HÀNG'!$A$4:$AT$4, 0))) = TRIM(F$6)) * (INDEX('6. TIẾN ĐỘ MUA HÀNG'!$A$5:$AT644, 0, XMATCH("CL NGÀY NCC DỰ KIẾN - NGÀY NHẬN HÀNG", '6. TIẾN ĐỘ MUA HÀNG'!$A$4:$AT$4, 0)) &lt; 0)
)</f>
        <v>0</v>
      </c>
      <c r="H81" s="757">
        <f t="shared" si="15"/>
        <v>0</v>
      </c>
      <c r="I81" s="754">
        <f t="array" ref="I81">SUMPRODUCT((TRIM(INDEX('6. TIẾN ĐỘ MUA HÀNG'!$A$5:$AT644, 0, XMATCH("NCC VTBB/NL trong nước", '6. TIẾN ĐỘ MUA HÀNG'!$A$4:$AT$4, 0))) = TRIM($B81)) * (TRIM(INDEX('6. TIẾN ĐỘ MUA HÀNG'!$A$5:$AT644, 0, XMATCH("Tháng", '6. TIẾN ĐỘ MUA HÀNG'!$A$4:$AT$4, 0))) = TRIM(I$6)) * (INDEX('6. TIẾN ĐỘ MUA HÀNG'!$A$5:$AT644, 0, XMATCH("Mã đơn Misa", '6. TIẾN ĐỘ MUA HÀNG'!$A$4:$AT$4, 0)) &lt;&gt; ""))</f>
        <v>0</v>
      </c>
      <c r="J81" s="754">
        <f t="array" ref="J81">SUMPRODUCT(
  (INDEX('6. TIẾN ĐỘ MUA HÀNG'!$A$5:$AT644, 0, XMATCH("NCC VTBB/NL trong nước", '6. TIẾN ĐỘ MUA HÀNG'!$A$4:$AT$4, 0)) = $B81) * (TRIM(INDEX('6. TIẾN ĐỘ MUA HÀNG'!$A$5:$AT644, 0, XMATCH("Tháng", '6. TIẾN ĐỘ MUA HÀNG'!$A$4:$AT$4, 0))) = TRIM(I$6)) * (INDEX('6. TIẾN ĐỘ MUA HÀNG'!$A$5:$AT644, 0, XMATCH("CL NGÀY NCC DỰ KIẾN - NGÀY NHẬN HÀNG", '6. TIẾN ĐỘ MUA HÀNG'!$A$4:$AT$4, 0)) &lt; 0)
)</f>
        <v>0</v>
      </c>
      <c r="K81" s="755">
        <f t="shared" si="30"/>
        <v>0</v>
      </c>
      <c r="L81" s="756">
        <f t="array" ref="L81">SUMPRODUCT((TRIM(INDEX('6. TIẾN ĐỘ MUA HÀNG'!$A$5:$AT644, 0, XMATCH("NCC VTBB/NL trong nước", '6. TIẾN ĐỘ MUA HÀNG'!$A$4:$AT$4, 0))) = TRIM($B81)) * (TRIM(INDEX('6. TIẾN ĐỘ MUA HÀNG'!$A$5:$AT644, 0, XMATCH("Tháng", '6. TIẾN ĐỘ MUA HÀNG'!$A$4:$AT$4, 0))) = TRIM(L$6)) * (INDEX('6. TIẾN ĐỘ MUA HÀNG'!$A$5:$AT644, 0, XMATCH("Mã đơn Misa", '6. TIẾN ĐỘ MUA HÀNG'!$A$4:$AT$4, 0)) &lt;&gt; ""))</f>
        <v>0</v>
      </c>
      <c r="M81" s="756">
        <f t="array" ref="M81">SUMPRODUCT(
  (INDEX('6. TIẾN ĐỘ MUA HÀNG'!$A$5:$AT644, 0, XMATCH("NCC VTBB/NL trong nước", '6. TIẾN ĐỘ MUA HÀNG'!$A$4:$AT$4, 0)) = $B81) * (TRIM(INDEX('6. TIẾN ĐỘ MUA HÀNG'!$A$5:$AT644, 0, XMATCH("Tháng", '6. TIẾN ĐỘ MUA HÀNG'!$A$4:$AT$4, 0))) = TRIM(L$6)) * (INDEX('6. TIẾN ĐỘ MUA HÀNG'!$A$5:$AT644, 0, XMATCH("CL NGÀY NCC DỰ KIẾN - NGÀY NHẬN HÀNG", '6. TIẾN ĐỘ MUA HÀNG'!$A$4:$AT$4, 0)) &lt; 0)
)</f>
        <v>0</v>
      </c>
      <c r="N81" s="757">
        <f t="shared" si="17"/>
        <v>0</v>
      </c>
      <c r="O81" s="754">
        <f t="array" ref="O81">SUMPRODUCT((TRIM(INDEX('6. TIẾN ĐỘ MUA HÀNG'!$A$5:$AT644, 0, XMATCH("NCC VTBB/NL trong nước", '6. TIẾN ĐỘ MUA HÀNG'!$A$4:$AT$4, 0))) = TRIM($B81)) * (TRIM(INDEX('6. TIẾN ĐỘ MUA HÀNG'!$A$5:$AT644, 0, XMATCH("Tháng", '6. TIẾN ĐỘ MUA HÀNG'!$A$4:$AT$4, 0))) = TRIM(O$6)) * (INDEX('6. TIẾN ĐỘ MUA HÀNG'!$A$5:$AT644, 0, XMATCH("Mã đơn Misa", '6. TIẾN ĐỘ MUA HÀNG'!$A$4:$AT$4, 0)) &lt;&gt; ""))</f>
        <v>0</v>
      </c>
      <c r="P81" s="754">
        <f t="array" ref="P81">SUMPRODUCT(
  (INDEX('6. TIẾN ĐỘ MUA HÀNG'!$A$5:$AT644, 0, XMATCH("NCC VTBB/NL trong nước", '6. TIẾN ĐỘ MUA HÀNG'!$A$4:$AT$4, 0)) = $B81) * (TRIM(INDEX('6. TIẾN ĐỘ MUA HÀNG'!$A$5:$AT644, 0, XMATCH("Tháng", '6. TIẾN ĐỘ MUA HÀNG'!$A$4:$AT$4, 0))) = TRIM(O$6)) * (INDEX('6. TIẾN ĐỘ MUA HÀNG'!$A$5:$AT644, 0, XMATCH("CL NGÀY NCC DỰ KIẾN - NGÀY NHẬN HÀNG", '6. TIẾN ĐỘ MUA HÀNG'!$A$4:$AT$4, 0)) &lt; 0)
)</f>
        <v>0</v>
      </c>
      <c r="Q81" s="755">
        <f t="shared" si="31"/>
        <v>0</v>
      </c>
      <c r="R81" s="756">
        <f t="array" ref="R81">SUMPRODUCT((TRIM(INDEX('6. TIẾN ĐỘ MUA HÀNG'!$A$5:$AT644, 0, XMATCH("NCC VTBB/NL trong nước", '6. TIẾN ĐỘ MUA HÀNG'!$A$4:$AT$4, 0))) = TRIM($B81)) * (TRIM(INDEX('6. TIẾN ĐỘ MUA HÀNG'!$A$5:$AT644, 0, XMATCH("Tháng", '6. TIẾN ĐỘ MUA HÀNG'!$A$4:$AT$4, 0))) = TRIM(R$6)) * (INDEX('6. TIẾN ĐỘ MUA HÀNG'!$A$5:$AT644, 0, XMATCH("Mã đơn Misa", '6. TIẾN ĐỘ MUA HÀNG'!$A$4:$AT$4, 0)) &lt;&gt; ""))</f>
        <v>0</v>
      </c>
      <c r="S81" s="756">
        <f t="array" ref="S81">SUMPRODUCT(
  (INDEX('6. TIẾN ĐỘ MUA HÀNG'!$A$5:$AT644, 0, XMATCH("NCC VTBB/NL trong nước", '6. TIẾN ĐỘ MUA HÀNG'!$A$4:$AT$4, 0)) = $B81) * (TRIM(INDEX('6. TIẾN ĐỘ MUA HÀNG'!$A$5:$AT644, 0, XMATCH("Tháng", '6. TIẾN ĐỘ MUA HÀNG'!$A$4:$AT$4, 0))) = TRIM(R$6)) * (INDEX('6. TIẾN ĐỘ MUA HÀNG'!$A$5:$AT644, 0, XMATCH("CL NGÀY NCC DỰ KIẾN - NGÀY NHẬN HÀNG", '6. TIẾN ĐỘ MUA HÀNG'!$A$4:$AT$4, 0)) &lt; 0)
)</f>
        <v>0</v>
      </c>
      <c r="T81" s="757">
        <f t="shared" si="19"/>
        <v>0</v>
      </c>
      <c r="U81" s="754">
        <f t="array" ref="U81">SUMPRODUCT((TRIM(INDEX('6. TIẾN ĐỘ MUA HÀNG'!$A$5:$AT644, 0, XMATCH("NCC VTBB/NL trong nước", '6. TIẾN ĐỘ MUA HÀNG'!$A$4:$AT$4, 0))) = TRIM($B81)) * (TRIM(INDEX('6. TIẾN ĐỘ MUA HÀNG'!$A$5:$AT644, 0, XMATCH("Tháng", '6. TIẾN ĐỘ MUA HÀNG'!$A$4:$AT$4, 0))) = TRIM(U$6)) * (INDEX('6. TIẾN ĐỘ MUA HÀNG'!$A$5:$AT644, 0, XMATCH("Mã đơn Misa", '6. TIẾN ĐỘ MUA HÀNG'!$A$4:$AT$4, 0)) &lt;&gt; ""))</f>
        <v>0</v>
      </c>
      <c r="V81" s="754">
        <f t="array" ref="V81">SUMPRODUCT(
  (INDEX('6. TIẾN ĐỘ MUA HÀNG'!$A$5:$AT644, 0, XMATCH("NCC VTBB/NL trong nước", '6. TIẾN ĐỘ MUA HÀNG'!$A$4:$AT$4, 0)) = $B81) * (TRIM(INDEX('6. TIẾN ĐỘ MUA HÀNG'!$A$5:$AT644, 0, XMATCH("Tháng", '6. TIẾN ĐỘ MUA HÀNG'!$A$4:$AT$4, 0))) = TRIM(U$6)) * (INDEX('6. TIẾN ĐỘ MUA HÀNG'!$A$5:$AT644, 0, XMATCH("CL NGÀY NCC DỰ KIẾN - NGÀY NHẬN HÀNG", '6. TIẾN ĐỘ MUA HÀNG'!$A$4:$AT$4, 0)) &lt; 0)
)</f>
        <v>0</v>
      </c>
      <c r="W81" s="755">
        <f t="shared" si="32"/>
        <v>0</v>
      </c>
      <c r="X81" s="756">
        <f t="array" ref="X81">SUMPRODUCT((TRIM(INDEX('6. TIẾN ĐỘ MUA HÀNG'!$A$5:$AT644, 0, XMATCH("NCC VTBB/NL trong nước", '6. TIẾN ĐỘ MUA HÀNG'!$A$4:$AT$4, 0))) = TRIM($B81)) * (TRIM(INDEX('6. TIẾN ĐỘ MUA HÀNG'!$A$5:$AT644, 0, XMATCH("Tháng", '6. TIẾN ĐỘ MUA HÀNG'!$A$4:$AT$4, 0))) = TRIM(X$6)) * (INDEX('6. TIẾN ĐỘ MUA HÀNG'!$A$5:$AT644, 0, XMATCH("Mã đơn Misa", '6. TIẾN ĐỘ MUA HÀNG'!$A$4:$AT$4, 0)) &lt;&gt; ""))</f>
        <v>0</v>
      </c>
      <c r="Y81" s="756">
        <f t="array" ref="Y81">SUMPRODUCT(
  (INDEX('6. TIẾN ĐỘ MUA HÀNG'!$A$5:$AT644, 0, XMATCH("NCC VTBB/NL trong nước", '6. TIẾN ĐỘ MUA HÀNG'!$A$4:$AT$4, 0)) = $B81) * (TRIM(INDEX('6. TIẾN ĐỘ MUA HÀNG'!$A$5:$AT644, 0, XMATCH("Tháng", '6. TIẾN ĐỘ MUA HÀNG'!$A$4:$AT$4, 0))) = TRIM(X$6)) * (INDEX('6. TIẾN ĐỘ MUA HÀNG'!$A$5:$AT644, 0, XMATCH("CL NGÀY NCC DỰ KIẾN - NGÀY NHẬN HÀNG", '6. TIẾN ĐỘ MUA HÀNG'!$A$4:$AT$4, 0)) &lt; 0)
)</f>
        <v>0</v>
      </c>
      <c r="Z81" s="757">
        <f t="shared" si="21"/>
        <v>0</v>
      </c>
      <c r="AA81" s="754">
        <f t="array" ref="AA81">SUMPRODUCT((TRIM(INDEX('6. TIẾN ĐỘ MUA HÀNG'!$A$5:$AT644, 0, XMATCH("NCC VTBB/NL trong nước", '6. TIẾN ĐỘ MUA HÀNG'!$A$4:$AT$4, 0))) = TRIM($B81)) * (TRIM(INDEX('6. TIẾN ĐỘ MUA HÀNG'!$A$5:$AT644, 0, XMATCH("Tháng", '6. TIẾN ĐỘ MUA HÀNG'!$A$4:$AT$4, 0))) = TRIM(AA$6)) * (INDEX('6. TIẾN ĐỘ MUA HÀNG'!$A$5:$AT644, 0, XMATCH("Mã đơn Misa", '6. TIẾN ĐỘ MUA HÀNG'!$A$4:$AT$4, 0)) &lt;&gt; ""))</f>
        <v>0</v>
      </c>
      <c r="AB81" s="754">
        <f t="array" ref="AB81">SUMPRODUCT(
  (INDEX('6. TIẾN ĐỘ MUA HÀNG'!$A$5:$AT644, 0, XMATCH("NCC VTBB/NL trong nước", '6. TIẾN ĐỘ MUA HÀNG'!$A$4:$AT$4, 0)) = $B81) * (TRIM(INDEX('6. TIẾN ĐỘ MUA HÀNG'!$A$5:$AT644, 0, XMATCH("Tháng", '6. TIẾN ĐỘ MUA HÀNG'!$A$4:$AT$4, 0))) = TRIM(AA$6)) * (INDEX('6. TIẾN ĐỘ MUA HÀNG'!$A$5:$AT644, 0, XMATCH("CL NGÀY NCC DỰ KIẾN - NGÀY NHẬN HÀNG", '6. TIẾN ĐỘ MUA HÀNG'!$A$4:$AT$4, 0)) &lt; 0)
)</f>
        <v>0</v>
      </c>
      <c r="AC81" s="755">
        <f t="shared" si="33"/>
        <v>0</v>
      </c>
      <c r="AD81" s="756">
        <f t="array" ref="AD81">SUMPRODUCT((TRIM(INDEX('6. TIẾN ĐỘ MUA HÀNG'!$A$5:$AT644, 0, XMATCH("NCC VTBB/NL trong nước", '6. TIẾN ĐỘ MUA HÀNG'!$A$4:$AT$4, 0))) = TRIM($B81)) * (TRIM(INDEX('6. TIẾN ĐỘ MUA HÀNG'!$A$5:$AT644, 0, XMATCH("Tháng", '6. TIẾN ĐỘ MUA HÀNG'!$A$4:$AT$4, 0))) = TRIM(AD$6)) * (INDEX('6. TIẾN ĐỘ MUA HÀNG'!$A$5:$AT644, 0, XMATCH("Mã đơn Misa", '6. TIẾN ĐỘ MUA HÀNG'!$A$4:$AT$4, 0)) &lt;&gt; ""))</f>
        <v>0</v>
      </c>
      <c r="AE81" s="756">
        <f t="array" ref="AE81">SUMPRODUCT(
  (INDEX('6. TIẾN ĐỘ MUA HÀNG'!$A$5:$AT644, 0, XMATCH("NCC VTBB/NL trong nước", '6. TIẾN ĐỘ MUA HÀNG'!$A$4:$AT$4, 0)) = $B81) * (TRIM(INDEX('6. TIẾN ĐỘ MUA HÀNG'!$A$5:$AT644, 0, XMATCH("Tháng", '6. TIẾN ĐỘ MUA HÀNG'!$A$4:$AT$4, 0))) = TRIM(AD$6)) * (INDEX('6. TIẾN ĐỘ MUA HÀNG'!$A$5:$AT644, 0, XMATCH("CL NGÀY NCC DỰ KIẾN - NGÀY NHẬN HÀNG", '6. TIẾN ĐỘ MUA HÀNG'!$A$4:$AT$4, 0)) &lt; 0)
)</f>
        <v>0</v>
      </c>
      <c r="AF81" s="757">
        <f t="shared" si="23"/>
        <v>0</v>
      </c>
      <c r="AG81" s="754">
        <f t="array" ref="AG81">SUMPRODUCT((TRIM(INDEX('6. TIẾN ĐỘ MUA HÀNG'!$A$5:$AT644, 0, XMATCH("NCC VTBB/NL trong nước", '6. TIẾN ĐỘ MUA HÀNG'!$A$4:$AT$4, 0))) = TRIM($B81)) * (TRIM(INDEX('6. TIẾN ĐỘ MUA HÀNG'!$A$5:$AT644, 0, XMATCH("Tháng", '6. TIẾN ĐỘ MUA HÀNG'!$A$4:$AT$4, 0))) = TRIM(AG$6)) * (INDEX('6. TIẾN ĐỘ MUA HÀNG'!$A$5:$AT644, 0, XMATCH("Mã đơn Misa", '6. TIẾN ĐỘ MUA HÀNG'!$A$4:$AT$4, 0)) &lt;&gt; ""))</f>
        <v>0</v>
      </c>
      <c r="AH81" s="754">
        <f t="array" ref="AH81">SUMPRODUCT(
  (INDEX('6. TIẾN ĐỘ MUA HÀNG'!$A$5:$AT644, 0, XMATCH("NCC VTBB/NL trong nước", '6. TIẾN ĐỘ MUA HÀNG'!$A$4:$AT$4, 0)) = $B81) * (TRIM(INDEX('6. TIẾN ĐỘ MUA HÀNG'!$A$5:$AT644, 0, XMATCH("Tháng", '6. TIẾN ĐỘ MUA HÀNG'!$A$4:$AT$4, 0))) = TRIM(AG$6)) * (INDEX('6. TIẾN ĐỘ MUA HÀNG'!$A$5:$AT644, 0, XMATCH("CL NGÀY NCC DỰ KIẾN - NGÀY NHẬN HÀNG", '6. TIẾN ĐỘ MUA HÀNG'!$A$4:$AT$4, 0)) &lt; 0)
)</f>
        <v>0</v>
      </c>
      <c r="AI81" s="755">
        <f t="shared" si="34"/>
        <v>0</v>
      </c>
      <c r="AJ81" s="756">
        <f t="array" ref="AJ81">SUMPRODUCT((TRIM(INDEX('6. TIẾN ĐỘ MUA HÀNG'!$A$5:$AT644, 0, XMATCH("NCC VTBB/NL trong nước", '6. TIẾN ĐỘ MUA HÀNG'!$A$4:$AT$4, 0))) = TRIM($B81)) * (TRIM(INDEX('6. TIẾN ĐỘ MUA HÀNG'!$A$5:$AT644, 0, XMATCH("Tháng", '6. TIẾN ĐỘ MUA HÀNG'!$A$4:$AT$4, 0))) = TRIM(AJ$6)) * (INDEX('6. TIẾN ĐỘ MUA HÀNG'!$A$5:$AT644, 0, XMATCH("Mã đơn Misa", '6. TIẾN ĐỘ MUA HÀNG'!$A$4:$AT$4, 0)) &lt;&gt; ""))</f>
        <v>0</v>
      </c>
      <c r="AK81" s="756">
        <f t="array" ref="AK81">SUMPRODUCT(
  (INDEX('6. TIẾN ĐỘ MUA HÀNG'!$A$5:$AT644, 0, XMATCH("NCC VTBB/NL trong nước", '6. TIẾN ĐỘ MUA HÀNG'!$A$4:$AT$4, 0)) = $B81) * (TRIM(INDEX('6. TIẾN ĐỘ MUA HÀNG'!$A$5:$AT644, 0, XMATCH("Tháng", '6. TIẾN ĐỘ MUA HÀNG'!$A$4:$AT$4, 0))) = TRIM(AJ$6)) * (INDEX('6. TIẾN ĐỘ MUA HÀNG'!$A$5:$AT644, 0, XMATCH("CL NGÀY NCC DỰ KIẾN - NGÀY NHẬN HÀNG", '6. TIẾN ĐỘ MUA HÀNG'!$A$4:$AT$4, 0)) &lt; 0)
)</f>
        <v>0</v>
      </c>
      <c r="AL81" s="757">
        <f t="shared" si="25"/>
        <v>0</v>
      </c>
      <c r="AM81" s="726">
        <f t="shared" si="27"/>
        <v>0</v>
      </c>
      <c r="AN81" s="726">
        <f t="shared" si="28"/>
        <v>0</v>
      </c>
      <c r="AO81" s="727">
        <f t="shared" si="26"/>
        <v>0</v>
      </c>
    </row>
    <row r="82">
      <c r="A82" s="612">
        <v>74.0</v>
      </c>
      <c r="B82" s="624" t="str">
        <f>IFERROR(__xludf.DUMMYFUNCTION("""COMPUTED_VALUE"""),"Hdsd Antisol")</f>
        <v>Hdsd Antisol</v>
      </c>
      <c r="C82" s="754">
        <f t="array" ref="C82">SUMPRODUCT((TRIM(INDEX('6. TIẾN ĐỘ MUA HÀNG'!$A$5:$AT644, 0, XMATCH("NCC VTBB/NL trong nước", '6. TIẾN ĐỘ MUA HÀNG'!$A$4:$AT$4, 0))) = TRIM($B82)) * (TRIM(INDEX('6. TIẾN ĐỘ MUA HÀNG'!$A$5:$AT644, 0, XMATCH("Tháng", '6. TIẾN ĐỘ MUA HÀNG'!$A$4:$AT$4, 0))) = TRIM(C$6)) * (INDEX('6. TIẾN ĐỘ MUA HÀNG'!$A$5:$AT644, 0, XMATCH("Mã đơn Misa", '6. TIẾN ĐỘ MUA HÀNG'!$A$4:$AT$4, 0)) &lt;&gt; ""))</f>
        <v>0</v>
      </c>
      <c r="D82" s="754">
        <f t="array" ref="D82">SUMPRODUCT(
  (INDEX('6. TIẾN ĐỘ MUA HÀNG'!$A$5:$AT644, 0, XMATCH("NCC VTBB/NL trong nước", '6. TIẾN ĐỘ MUA HÀNG'!$A$4:$AT$4, 0)) = $B82) * (TRIM(INDEX('6. TIẾN ĐỘ MUA HÀNG'!$A$5:$AT644, 0, XMATCH("Tháng", '6. TIẾN ĐỘ MUA HÀNG'!$A$4:$AT$4, 0))) = TRIM(C$6)) * (INDEX('6. TIẾN ĐỘ MUA HÀNG'!$A$5:$AT644, 0, XMATCH("CL NGÀY NCC DỰ KIẾN - NGÀY NHẬN HÀNG", '6. TIẾN ĐỘ MUA HÀNG'!$A$4:$AT$4, 0)) &lt; 0)
)</f>
        <v>0</v>
      </c>
      <c r="E82" s="755">
        <f t="shared" si="29"/>
        <v>0</v>
      </c>
      <c r="F82" s="756">
        <f t="array" ref="F82">SUMPRODUCT((TRIM(INDEX('6. TIẾN ĐỘ MUA HÀNG'!$A$5:$AT644, 0, XMATCH("NCC VTBB/NL trong nước", '6. TIẾN ĐỘ MUA HÀNG'!$A$4:$AT$4, 0))) = TRIM($B82)) * (TRIM(INDEX('6. TIẾN ĐỘ MUA HÀNG'!$A$5:$AT644, 0, XMATCH("Tháng", '6. TIẾN ĐỘ MUA HÀNG'!$A$4:$AT$4, 0))) = TRIM(F$6)) * (INDEX('6. TIẾN ĐỘ MUA HÀNG'!$A$5:$AT644, 0, XMATCH("Mã đơn Misa", '6. TIẾN ĐỘ MUA HÀNG'!$A$4:$AT$4, 0)) &lt;&gt; ""))</f>
        <v>0</v>
      </c>
      <c r="G82" s="756">
        <f t="array" ref="G82">SUMPRODUCT(
  (INDEX('6. TIẾN ĐỘ MUA HÀNG'!$A$5:$AT644, 0, XMATCH("NCC VTBB/NL trong nước", '6. TIẾN ĐỘ MUA HÀNG'!$A$4:$AT$4, 0)) = $B82) * (TRIM(INDEX('6. TIẾN ĐỘ MUA HÀNG'!$A$5:$AT644, 0, XMATCH("Tháng", '6. TIẾN ĐỘ MUA HÀNG'!$A$4:$AT$4, 0))) = TRIM(F$6)) * (INDEX('6. TIẾN ĐỘ MUA HÀNG'!$A$5:$AT644, 0, XMATCH("CL NGÀY NCC DỰ KIẾN - NGÀY NHẬN HÀNG", '6. TIẾN ĐỘ MUA HÀNG'!$A$4:$AT$4, 0)) &lt; 0)
)</f>
        <v>0</v>
      </c>
      <c r="H82" s="757">
        <f t="shared" si="15"/>
        <v>0</v>
      </c>
      <c r="I82" s="754">
        <f t="array" ref="I82">SUMPRODUCT((TRIM(INDEX('6. TIẾN ĐỘ MUA HÀNG'!$A$5:$AT644, 0, XMATCH("NCC VTBB/NL trong nước", '6. TIẾN ĐỘ MUA HÀNG'!$A$4:$AT$4, 0))) = TRIM($B82)) * (TRIM(INDEX('6. TIẾN ĐỘ MUA HÀNG'!$A$5:$AT644, 0, XMATCH("Tháng", '6. TIẾN ĐỘ MUA HÀNG'!$A$4:$AT$4, 0))) = TRIM(I$6)) * (INDEX('6. TIẾN ĐỘ MUA HÀNG'!$A$5:$AT644, 0, XMATCH("Mã đơn Misa", '6. TIẾN ĐỘ MUA HÀNG'!$A$4:$AT$4, 0)) &lt;&gt; ""))</f>
        <v>0</v>
      </c>
      <c r="J82" s="754">
        <f t="array" ref="J82">SUMPRODUCT(
  (INDEX('6. TIẾN ĐỘ MUA HÀNG'!$A$5:$AT644, 0, XMATCH("NCC VTBB/NL trong nước", '6. TIẾN ĐỘ MUA HÀNG'!$A$4:$AT$4, 0)) = $B82) * (TRIM(INDEX('6. TIẾN ĐỘ MUA HÀNG'!$A$5:$AT644, 0, XMATCH("Tháng", '6. TIẾN ĐỘ MUA HÀNG'!$A$4:$AT$4, 0))) = TRIM(I$6)) * (INDEX('6. TIẾN ĐỘ MUA HÀNG'!$A$5:$AT644, 0, XMATCH("CL NGÀY NCC DỰ KIẾN - NGÀY NHẬN HÀNG", '6. TIẾN ĐỘ MUA HÀNG'!$A$4:$AT$4, 0)) &lt; 0)
)</f>
        <v>0</v>
      </c>
      <c r="K82" s="755">
        <f t="shared" si="30"/>
        <v>0</v>
      </c>
      <c r="L82" s="756">
        <f t="array" ref="L82">SUMPRODUCT((TRIM(INDEX('6. TIẾN ĐỘ MUA HÀNG'!$A$5:$AT644, 0, XMATCH("NCC VTBB/NL trong nước", '6. TIẾN ĐỘ MUA HÀNG'!$A$4:$AT$4, 0))) = TRIM($B82)) * (TRIM(INDEX('6. TIẾN ĐỘ MUA HÀNG'!$A$5:$AT644, 0, XMATCH("Tháng", '6. TIẾN ĐỘ MUA HÀNG'!$A$4:$AT$4, 0))) = TRIM(L$6)) * (INDEX('6. TIẾN ĐỘ MUA HÀNG'!$A$5:$AT644, 0, XMATCH("Mã đơn Misa", '6. TIẾN ĐỘ MUA HÀNG'!$A$4:$AT$4, 0)) &lt;&gt; ""))</f>
        <v>0</v>
      </c>
      <c r="M82" s="756">
        <f t="array" ref="M82">SUMPRODUCT(
  (INDEX('6. TIẾN ĐỘ MUA HÀNG'!$A$5:$AT644, 0, XMATCH("NCC VTBB/NL trong nước", '6. TIẾN ĐỘ MUA HÀNG'!$A$4:$AT$4, 0)) = $B82) * (TRIM(INDEX('6. TIẾN ĐỘ MUA HÀNG'!$A$5:$AT644, 0, XMATCH("Tháng", '6. TIẾN ĐỘ MUA HÀNG'!$A$4:$AT$4, 0))) = TRIM(L$6)) * (INDEX('6. TIẾN ĐỘ MUA HÀNG'!$A$5:$AT644, 0, XMATCH("CL NGÀY NCC DỰ KIẾN - NGÀY NHẬN HÀNG", '6. TIẾN ĐỘ MUA HÀNG'!$A$4:$AT$4, 0)) &lt; 0)
)</f>
        <v>0</v>
      </c>
      <c r="N82" s="757">
        <f t="shared" si="17"/>
        <v>0</v>
      </c>
      <c r="O82" s="754">
        <f t="array" ref="O82">SUMPRODUCT((TRIM(INDEX('6. TIẾN ĐỘ MUA HÀNG'!$A$5:$AT644, 0, XMATCH("NCC VTBB/NL trong nước", '6. TIẾN ĐỘ MUA HÀNG'!$A$4:$AT$4, 0))) = TRIM($B82)) * (TRIM(INDEX('6. TIẾN ĐỘ MUA HÀNG'!$A$5:$AT644, 0, XMATCH("Tháng", '6. TIẾN ĐỘ MUA HÀNG'!$A$4:$AT$4, 0))) = TRIM(O$6)) * (INDEX('6. TIẾN ĐỘ MUA HÀNG'!$A$5:$AT644, 0, XMATCH("Mã đơn Misa", '6. TIẾN ĐỘ MUA HÀNG'!$A$4:$AT$4, 0)) &lt;&gt; ""))</f>
        <v>0</v>
      </c>
      <c r="P82" s="754">
        <f t="array" ref="P82">SUMPRODUCT(
  (INDEX('6. TIẾN ĐỘ MUA HÀNG'!$A$5:$AT644, 0, XMATCH("NCC VTBB/NL trong nước", '6. TIẾN ĐỘ MUA HÀNG'!$A$4:$AT$4, 0)) = $B82) * (TRIM(INDEX('6. TIẾN ĐỘ MUA HÀNG'!$A$5:$AT644, 0, XMATCH("Tháng", '6. TIẾN ĐỘ MUA HÀNG'!$A$4:$AT$4, 0))) = TRIM(O$6)) * (INDEX('6. TIẾN ĐỘ MUA HÀNG'!$A$5:$AT644, 0, XMATCH("CL NGÀY NCC DỰ KIẾN - NGÀY NHẬN HÀNG", '6. TIẾN ĐỘ MUA HÀNG'!$A$4:$AT$4, 0)) &lt; 0)
)</f>
        <v>0</v>
      </c>
      <c r="Q82" s="755">
        <f t="shared" si="31"/>
        <v>0</v>
      </c>
      <c r="R82" s="756">
        <f t="array" ref="R82">SUMPRODUCT((TRIM(INDEX('6. TIẾN ĐỘ MUA HÀNG'!$A$5:$AT644, 0, XMATCH("NCC VTBB/NL trong nước", '6. TIẾN ĐỘ MUA HÀNG'!$A$4:$AT$4, 0))) = TRIM($B82)) * (TRIM(INDEX('6. TIẾN ĐỘ MUA HÀNG'!$A$5:$AT644, 0, XMATCH("Tháng", '6. TIẾN ĐỘ MUA HÀNG'!$A$4:$AT$4, 0))) = TRIM(R$6)) * (INDEX('6. TIẾN ĐỘ MUA HÀNG'!$A$5:$AT644, 0, XMATCH("Mã đơn Misa", '6. TIẾN ĐỘ MUA HÀNG'!$A$4:$AT$4, 0)) &lt;&gt; ""))</f>
        <v>0</v>
      </c>
      <c r="S82" s="756">
        <f t="array" ref="S82">SUMPRODUCT(
  (INDEX('6. TIẾN ĐỘ MUA HÀNG'!$A$5:$AT644, 0, XMATCH("NCC VTBB/NL trong nước", '6. TIẾN ĐỘ MUA HÀNG'!$A$4:$AT$4, 0)) = $B82) * (TRIM(INDEX('6. TIẾN ĐỘ MUA HÀNG'!$A$5:$AT644, 0, XMATCH("Tháng", '6. TIẾN ĐỘ MUA HÀNG'!$A$4:$AT$4, 0))) = TRIM(R$6)) * (INDEX('6. TIẾN ĐỘ MUA HÀNG'!$A$5:$AT644, 0, XMATCH("CL NGÀY NCC DỰ KIẾN - NGÀY NHẬN HÀNG", '6. TIẾN ĐỘ MUA HÀNG'!$A$4:$AT$4, 0)) &lt; 0)
)</f>
        <v>0</v>
      </c>
      <c r="T82" s="757">
        <f t="shared" si="19"/>
        <v>0</v>
      </c>
      <c r="U82" s="754">
        <f t="array" ref="U82">SUMPRODUCT((TRIM(INDEX('6. TIẾN ĐỘ MUA HÀNG'!$A$5:$AT644, 0, XMATCH("NCC VTBB/NL trong nước", '6. TIẾN ĐỘ MUA HÀNG'!$A$4:$AT$4, 0))) = TRIM($B82)) * (TRIM(INDEX('6. TIẾN ĐỘ MUA HÀNG'!$A$5:$AT644, 0, XMATCH("Tháng", '6. TIẾN ĐỘ MUA HÀNG'!$A$4:$AT$4, 0))) = TRIM(U$6)) * (INDEX('6. TIẾN ĐỘ MUA HÀNG'!$A$5:$AT644, 0, XMATCH("Mã đơn Misa", '6. TIẾN ĐỘ MUA HÀNG'!$A$4:$AT$4, 0)) &lt;&gt; ""))</f>
        <v>0</v>
      </c>
      <c r="V82" s="754">
        <f t="array" ref="V82">SUMPRODUCT(
  (INDEX('6. TIẾN ĐỘ MUA HÀNG'!$A$5:$AT644, 0, XMATCH("NCC VTBB/NL trong nước", '6. TIẾN ĐỘ MUA HÀNG'!$A$4:$AT$4, 0)) = $B82) * (TRIM(INDEX('6. TIẾN ĐỘ MUA HÀNG'!$A$5:$AT644, 0, XMATCH("Tháng", '6. TIẾN ĐỘ MUA HÀNG'!$A$4:$AT$4, 0))) = TRIM(U$6)) * (INDEX('6. TIẾN ĐỘ MUA HÀNG'!$A$5:$AT644, 0, XMATCH("CL NGÀY NCC DỰ KIẾN - NGÀY NHẬN HÀNG", '6. TIẾN ĐỘ MUA HÀNG'!$A$4:$AT$4, 0)) &lt; 0)
)</f>
        <v>0</v>
      </c>
      <c r="W82" s="755">
        <f t="shared" si="32"/>
        <v>0</v>
      </c>
      <c r="X82" s="756">
        <f t="array" ref="X82">SUMPRODUCT((TRIM(INDEX('6. TIẾN ĐỘ MUA HÀNG'!$A$5:$AT644, 0, XMATCH("NCC VTBB/NL trong nước", '6. TIẾN ĐỘ MUA HÀNG'!$A$4:$AT$4, 0))) = TRIM($B82)) * (TRIM(INDEX('6. TIẾN ĐỘ MUA HÀNG'!$A$5:$AT644, 0, XMATCH("Tháng", '6. TIẾN ĐỘ MUA HÀNG'!$A$4:$AT$4, 0))) = TRIM(X$6)) * (INDEX('6. TIẾN ĐỘ MUA HÀNG'!$A$5:$AT644, 0, XMATCH("Mã đơn Misa", '6. TIẾN ĐỘ MUA HÀNG'!$A$4:$AT$4, 0)) &lt;&gt; ""))</f>
        <v>0</v>
      </c>
      <c r="Y82" s="756">
        <f t="array" ref="Y82">SUMPRODUCT(
  (INDEX('6. TIẾN ĐỘ MUA HÀNG'!$A$5:$AT644, 0, XMATCH("NCC VTBB/NL trong nước", '6. TIẾN ĐỘ MUA HÀNG'!$A$4:$AT$4, 0)) = $B82) * (TRIM(INDEX('6. TIẾN ĐỘ MUA HÀNG'!$A$5:$AT644, 0, XMATCH("Tháng", '6. TIẾN ĐỘ MUA HÀNG'!$A$4:$AT$4, 0))) = TRIM(X$6)) * (INDEX('6. TIẾN ĐỘ MUA HÀNG'!$A$5:$AT644, 0, XMATCH("CL NGÀY NCC DỰ KIẾN - NGÀY NHẬN HÀNG", '6. TIẾN ĐỘ MUA HÀNG'!$A$4:$AT$4, 0)) &lt; 0)
)</f>
        <v>0</v>
      </c>
      <c r="Z82" s="757">
        <f t="shared" si="21"/>
        <v>0</v>
      </c>
      <c r="AA82" s="754">
        <f t="array" ref="AA82">SUMPRODUCT((TRIM(INDEX('6. TIẾN ĐỘ MUA HÀNG'!$A$5:$AT644, 0, XMATCH("NCC VTBB/NL trong nước", '6. TIẾN ĐỘ MUA HÀNG'!$A$4:$AT$4, 0))) = TRIM($B82)) * (TRIM(INDEX('6. TIẾN ĐỘ MUA HÀNG'!$A$5:$AT644, 0, XMATCH("Tháng", '6. TIẾN ĐỘ MUA HÀNG'!$A$4:$AT$4, 0))) = TRIM(AA$6)) * (INDEX('6. TIẾN ĐỘ MUA HÀNG'!$A$5:$AT644, 0, XMATCH("Mã đơn Misa", '6. TIẾN ĐỘ MUA HÀNG'!$A$4:$AT$4, 0)) &lt;&gt; ""))</f>
        <v>0</v>
      </c>
      <c r="AB82" s="754">
        <f t="array" ref="AB82">SUMPRODUCT(
  (INDEX('6. TIẾN ĐỘ MUA HÀNG'!$A$5:$AT644, 0, XMATCH("NCC VTBB/NL trong nước", '6. TIẾN ĐỘ MUA HÀNG'!$A$4:$AT$4, 0)) = $B82) * (TRIM(INDEX('6. TIẾN ĐỘ MUA HÀNG'!$A$5:$AT644, 0, XMATCH("Tháng", '6. TIẾN ĐỘ MUA HÀNG'!$A$4:$AT$4, 0))) = TRIM(AA$6)) * (INDEX('6. TIẾN ĐỘ MUA HÀNG'!$A$5:$AT644, 0, XMATCH("CL NGÀY NCC DỰ KIẾN - NGÀY NHẬN HÀNG", '6. TIẾN ĐỘ MUA HÀNG'!$A$4:$AT$4, 0)) &lt; 0)
)</f>
        <v>0</v>
      </c>
      <c r="AC82" s="755">
        <f t="shared" si="33"/>
        <v>0</v>
      </c>
      <c r="AD82" s="756">
        <f t="array" ref="AD82">SUMPRODUCT((TRIM(INDEX('6. TIẾN ĐỘ MUA HÀNG'!$A$5:$AT644, 0, XMATCH("NCC VTBB/NL trong nước", '6. TIẾN ĐỘ MUA HÀNG'!$A$4:$AT$4, 0))) = TRIM($B82)) * (TRIM(INDEX('6. TIẾN ĐỘ MUA HÀNG'!$A$5:$AT644, 0, XMATCH("Tháng", '6. TIẾN ĐỘ MUA HÀNG'!$A$4:$AT$4, 0))) = TRIM(AD$6)) * (INDEX('6. TIẾN ĐỘ MUA HÀNG'!$A$5:$AT644, 0, XMATCH("Mã đơn Misa", '6. TIẾN ĐỘ MUA HÀNG'!$A$4:$AT$4, 0)) &lt;&gt; ""))</f>
        <v>0</v>
      </c>
      <c r="AE82" s="756">
        <f t="array" ref="AE82">SUMPRODUCT(
  (INDEX('6. TIẾN ĐỘ MUA HÀNG'!$A$5:$AT644, 0, XMATCH("NCC VTBB/NL trong nước", '6. TIẾN ĐỘ MUA HÀNG'!$A$4:$AT$4, 0)) = $B82) * (TRIM(INDEX('6. TIẾN ĐỘ MUA HÀNG'!$A$5:$AT644, 0, XMATCH("Tháng", '6. TIẾN ĐỘ MUA HÀNG'!$A$4:$AT$4, 0))) = TRIM(AD$6)) * (INDEX('6. TIẾN ĐỘ MUA HÀNG'!$A$5:$AT644, 0, XMATCH("CL NGÀY NCC DỰ KIẾN - NGÀY NHẬN HÀNG", '6. TIẾN ĐỘ MUA HÀNG'!$A$4:$AT$4, 0)) &lt; 0)
)</f>
        <v>0</v>
      </c>
      <c r="AF82" s="757">
        <f t="shared" si="23"/>
        <v>0</v>
      </c>
      <c r="AG82" s="754">
        <f t="array" ref="AG82">SUMPRODUCT((TRIM(INDEX('6. TIẾN ĐỘ MUA HÀNG'!$A$5:$AT644, 0, XMATCH("NCC VTBB/NL trong nước", '6. TIẾN ĐỘ MUA HÀNG'!$A$4:$AT$4, 0))) = TRIM($B82)) * (TRIM(INDEX('6. TIẾN ĐỘ MUA HÀNG'!$A$5:$AT644, 0, XMATCH("Tháng", '6. TIẾN ĐỘ MUA HÀNG'!$A$4:$AT$4, 0))) = TRIM(AG$6)) * (INDEX('6. TIẾN ĐỘ MUA HÀNG'!$A$5:$AT644, 0, XMATCH("Mã đơn Misa", '6. TIẾN ĐỘ MUA HÀNG'!$A$4:$AT$4, 0)) &lt;&gt; ""))</f>
        <v>0</v>
      </c>
      <c r="AH82" s="754">
        <f t="array" ref="AH82">SUMPRODUCT(
  (INDEX('6. TIẾN ĐỘ MUA HÀNG'!$A$5:$AT644, 0, XMATCH("NCC VTBB/NL trong nước", '6. TIẾN ĐỘ MUA HÀNG'!$A$4:$AT$4, 0)) = $B82) * (TRIM(INDEX('6. TIẾN ĐỘ MUA HÀNG'!$A$5:$AT644, 0, XMATCH("Tháng", '6. TIẾN ĐỘ MUA HÀNG'!$A$4:$AT$4, 0))) = TRIM(AG$6)) * (INDEX('6. TIẾN ĐỘ MUA HÀNG'!$A$5:$AT644, 0, XMATCH("CL NGÀY NCC DỰ KIẾN - NGÀY NHẬN HÀNG", '6. TIẾN ĐỘ MUA HÀNG'!$A$4:$AT$4, 0)) &lt; 0)
)</f>
        <v>0</v>
      </c>
      <c r="AI82" s="755">
        <f t="shared" si="34"/>
        <v>0</v>
      </c>
      <c r="AJ82" s="756">
        <f t="array" ref="AJ82">SUMPRODUCT((TRIM(INDEX('6. TIẾN ĐỘ MUA HÀNG'!$A$5:$AT644, 0, XMATCH("NCC VTBB/NL trong nước", '6. TIẾN ĐỘ MUA HÀNG'!$A$4:$AT$4, 0))) = TRIM($B82)) * (TRIM(INDEX('6. TIẾN ĐỘ MUA HÀNG'!$A$5:$AT644, 0, XMATCH("Tháng", '6. TIẾN ĐỘ MUA HÀNG'!$A$4:$AT$4, 0))) = TRIM(AJ$6)) * (INDEX('6. TIẾN ĐỘ MUA HÀNG'!$A$5:$AT644, 0, XMATCH("Mã đơn Misa", '6. TIẾN ĐỘ MUA HÀNG'!$A$4:$AT$4, 0)) &lt;&gt; ""))</f>
        <v>0</v>
      </c>
      <c r="AK82" s="756">
        <f t="array" ref="AK82">SUMPRODUCT(
  (INDEX('6. TIẾN ĐỘ MUA HÀNG'!$A$5:$AT644, 0, XMATCH("NCC VTBB/NL trong nước", '6. TIẾN ĐỘ MUA HÀNG'!$A$4:$AT$4, 0)) = $B82) * (TRIM(INDEX('6. TIẾN ĐỘ MUA HÀNG'!$A$5:$AT644, 0, XMATCH("Tháng", '6. TIẾN ĐỘ MUA HÀNG'!$A$4:$AT$4, 0))) = TRIM(AJ$6)) * (INDEX('6. TIẾN ĐỘ MUA HÀNG'!$A$5:$AT644, 0, XMATCH("CL NGÀY NCC DỰ KIẾN - NGÀY NHẬN HÀNG", '6. TIẾN ĐỘ MUA HÀNG'!$A$4:$AT$4, 0)) &lt; 0)
)</f>
        <v>0</v>
      </c>
      <c r="AL82" s="757">
        <f t="shared" si="25"/>
        <v>0</v>
      </c>
      <c r="AM82" s="726">
        <f t="shared" si="27"/>
        <v>0</v>
      </c>
      <c r="AN82" s="726">
        <f t="shared" si="28"/>
        <v>0</v>
      </c>
      <c r="AO82" s="727">
        <f t="shared" si="26"/>
        <v>0</v>
      </c>
    </row>
    <row r="83">
      <c r="A83" s="612">
        <v>75.0</v>
      </c>
      <c r="B83" s="624" t="str">
        <f>IFERROR(__xludf.DUMMYFUNCTION("""COMPUTED_VALUE"""),"Trí Tín")</f>
        <v>Trí Tín</v>
      </c>
      <c r="C83" s="754">
        <f t="array" ref="C83">SUMPRODUCT((TRIM(INDEX('6. TIẾN ĐỘ MUA HÀNG'!$A$5:$AT644, 0, XMATCH("NCC VTBB/NL trong nước", '6. TIẾN ĐỘ MUA HÀNG'!$A$4:$AT$4, 0))) = TRIM($B83)) * (TRIM(INDEX('6. TIẾN ĐỘ MUA HÀNG'!$A$5:$AT644, 0, XMATCH("Tháng", '6. TIẾN ĐỘ MUA HÀNG'!$A$4:$AT$4, 0))) = TRIM(C$6)) * (INDEX('6. TIẾN ĐỘ MUA HÀNG'!$A$5:$AT644, 0, XMATCH("Mã đơn Misa", '6. TIẾN ĐỘ MUA HÀNG'!$A$4:$AT$4, 0)) &lt;&gt; ""))</f>
        <v>0</v>
      </c>
      <c r="D83" s="754">
        <f t="array" ref="D83">SUMPRODUCT(
  (INDEX('6. TIẾN ĐỘ MUA HÀNG'!$A$5:$AT644, 0, XMATCH("NCC VTBB/NL trong nước", '6. TIẾN ĐỘ MUA HÀNG'!$A$4:$AT$4, 0)) = $B83) * (TRIM(INDEX('6. TIẾN ĐỘ MUA HÀNG'!$A$5:$AT644, 0, XMATCH("Tháng", '6. TIẾN ĐỘ MUA HÀNG'!$A$4:$AT$4, 0))) = TRIM(C$6)) * (INDEX('6. TIẾN ĐỘ MUA HÀNG'!$A$5:$AT644, 0, XMATCH("CL NGÀY NCC DỰ KIẾN - NGÀY NHẬN HÀNG", '6. TIẾN ĐỘ MUA HÀNG'!$A$4:$AT$4, 0)) &lt; 0)
)</f>
        <v>0</v>
      </c>
      <c r="E83" s="755">
        <f t="shared" si="29"/>
        <v>0</v>
      </c>
      <c r="F83" s="756">
        <f t="array" ref="F83">SUMPRODUCT((TRIM(INDEX('6. TIẾN ĐỘ MUA HÀNG'!$A$5:$AT644, 0, XMATCH("NCC VTBB/NL trong nước", '6. TIẾN ĐỘ MUA HÀNG'!$A$4:$AT$4, 0))) = TRIM($B83)) * (TRIM(INDEX('6. TIẾN ĐỘ MUA HÀNG'!$A$5:$AT644, 0, XMATCH("Tháng", '6. TIẾN ĐỘ MUA HÀNG'!$A$4:$AT$4, 0))) = TRIM(F$6)) * (INDEX('6. TIẾN ĐỘ MUA HÀNG'!$A$5:$AT644, 0, XMATCH("Mã đơn Misa", '6. TIẾN ĐỘ MUA HÀNG'!$A$4:$AT$4, 0)) &lt;&gt; ""))</f>
        <v>0</v>
      </c>
      <c r="G83" s="756">
        <f t="array" ref="G83">SUMPRODUCT(
  (INDEX('6. TIẾN ĐỘ MUA HÀNG'!$A$5:$AT644, 0, XMATCH("NCC VTBB/NL trong nước", '6. TIẾN ĐỘ MUA HÀNG'!$A$4:$AT$4, 0)) = $B83) * (TRIM(INDEX('6. TIẾN ĐỘ MUA HÀNG'!$A$5:$AT644, 0, XMATCH("Tháng", '6. TIẾN ĐỘ MUA HÀNG'!$A$4:$AT$4, 0))) = TRIM(F$6)) * (INDEX('6. TIẾN ĐỘ MUA HÀNG'!$A$5:$AT644, 0, XMATCH("CL NGÀY NCC DỰ KIẾN - NGÀY NHẬN HÀNG", '6. TIẾN ĐỘ MUA HÀNG'!$A$4:$AT$4, 0)) &lt; 0)
)</f>
        <v>0</v>
      </c>
      <c r="H83" s="757">
        <f t="shared" si="15"/>
        <v>0</v>
      </c>
      <c r="I83" s="754">
        <f t="array" ref="I83">SUMPRODUCT((TRIM(INDEX('6. TIẾN ĐỘ MUA HÀNG'!$A$5:$AT644, 0, XMATCH("NCC VTBB/NL trong nước", '6. TIẾN ĐỘ MUA HÀNG'!$A$4:$AT$4, 0))) = TRIM($B83)) * (TRIM(INDEX('6. TIẾN ĐỘ MUA HÀNG'!$A$5:$AT644, 0, XMATCH("Tháng", '6. TIẾN ĐỘ MUA HÀNG'!$A$4:$AT$4, 0))) = TRIM(I$6)) * (INDEX('6. TIẾN ĐỘ MUA HÀNG'!$A$5:$AT644, 0, XMATCH("Mã đơn Misa", '6. TIẾN ĐỘ MUA HÀNG'!$A$4:$AT$4, 0)) &lt;&gt; ""))</f>
        <v>0</v>
      </c>
      <c r="J83" s="754">
        <f t="array" ref="J83">SUMPRODUCT(
  (INDEX('6. TIẾN ĐỘ MUA HÀNG'!$A$5:$AT644, 0, XMATCH("NCC VTBB/NL trong nước", '6. TIẾN ĐỘ MUA HÀNG'!$A$4:$AT$4, 0)) = $B83) * (TRIM(INDEX('6. TIẾN ĐỘ MUA HÀNG'!$A$5:$AT644, 0, XMATCH("Tháng", '6. TIẾN ĐỘ MUA HÀNG'!$A$4:$AT$4, 0))) = TRIM(I$6)) * (INDEX('6. TIẾN ĐỘ MUA HÀNG'!$A$5:$AT644, 0, XMATCH("CL NGÀY NCC DỰ KIẾN - NGÀY NHẬN HÀNG", '6. TIẾN ĐỘ MUA HÀNG'!$A$4:$AT$4, 0)) &lt; 0)
)</f>
        <v>0</v>
      </c>
      <c r="K83" s="755">
        <f t="shared" si="30"/>
        <v>0</v>
      </c>
      <c r="L83" s="756">
        <f t="array" ref="L83">SUMPRODUCT((TRIM(INDEX('6. TIẾN ĐỘ MUA HÀNG'!$A$5:$AT644, 0, XMATCH("NCC VTBB/NL trong nước", '6. TIẾN ĐỘ MUA HÀNG'!$A$4:$AT$4, 0))) = TRIM($B83)) * (TRIM(INDEX('6. TIẾN ĐỘ MUA HÀNG'!$A$5:$AT644, 0, XMATCH("Tháng", '6. TIẾN ĐỘ MUA HÀNG'!$A$4:$AT$4, 0))) = TRIM(L$6)) * (INDEX('6. TIẾN ĐỘ MUA HÀNG'!$A$5:$AT644, 0, XMATCH("Mã đơn Misa", '6. TIẾN ĐỘ MUA HÀNG'!$A$4:$AT$4, 0)) &lt;&gt; ""))</f>
        <v>0</v>
      </c>
      <c r="M83" s="756">
        <f t="array" ref="M83">SUMPRODUCT(
  (INDEX('6. TIẾN ĐỘ MUA HÀNG'!$A$5:$AT644, 0, XMATCH("NCC VTBB/NL trong nước", '6. TIẾN ĐỘ MUA HÀNG'!$A$4:$AT$4, 0)) = $B83) * (TRIM(INDEX('6. TIẾN ĐỘ MUA HÀNG'!$A$5:$AT644, 0, XMATCH("Tháng", '6. TIẾN ĐỘ MUA HÀNG'!$A$4:$AT$4, 0))) = TRIM(L$6)) * (INDEX('6. TIẾN ĐỘ MUA HÀNG'!$A$5:$AT644, 0, XMATCH("CL NGÀY NCC DỰ KIẾN - NGÀY NHẬN HÀNG", '6. TIẾN ĐỘ MUA HÀNG'!$A$4:$AT$4, 0)) &lt; 0)
)</f>
        <v>0</v>
      </c>
      <c r="N83" s="757">
        <f t="shared" si="17"/>
        <v>0</v>
      </c>
      <c r="O83" s="754">
        <f t="array" ref="O83">SUMPRODUCT((TRIM(INDEX('6. TIẾN ĐỘ MUA HÀNG'!$A$5:$AT644, 0, XMATCH("NCC VTBB/NL trong nước", '6. TIẾN ĐỘ MUA HÀNG'!$A$4:$AT$4, 0))) = TRIM($B83)) * (TRIM(INDEX('6. TIẾN ĐỘ MUA HÀNG'!$A$5:$AT644, 0, XMATCH("Tháng", '6. TIẾN ĐỘ MUA HÀNG'!$A$4:$AT$4, 0))) = TRIM(O$6)) * (INDEX('6. TIẾN ĐỘ MUA HÀNG'!$A$5:$AT644, 0, XMATCH("Mã đơn Misa", '6. TIẾN ĐỘ MUA HÀNG'!$A$4:$AT$4, 0)) &lt;&gt; ""))</f>
        <v>0</v>
      </c>
      <c r="P83" s="754">
        <f t="array" ref="P83">SUMPRODUCT(
  (INDEX('6. TIẾN ĐỘ MUA HÀNG'!$A$5:$AT644, 0, XMATCH("NCC VTBB/NL trong nước", '6. TIẾN ĐỘ MUA HÀNG'!$A$4:$AT$4, 0)) = $B83) * (TRIM(INDEX('6. TIẾN ĐỘ MUA HÀNG'!$A$5:$AT644, 0, XMATCH("Tháng", '6. TIẾN ĐỘ MUA HÀNG'!$A$4:$AT$4, 0))) = TRIM(O$6)) * (INDEX('6. TIẾN ĐỘ MUA HÀNG'!$A$5:$AT644, 0, XMATCH("CL NGÀY NCC DỰ KIẾN - NGÀY NHẬN HÀNG", '6. TIẾN ĐỘ MUA HÀNG'!$A$4:$AT$4, 0)) &lt; 0)
)</f>
        <v>0</v>
      </c>
      <c r="Q83" s="755">
        <f t="shared" si="31"/>
        <v>0</v>
      </c>
      <c r="R83" s="756">
        <f t="array" ref="R83">SUMPRODUCT((TRIM(INDEX('6. TIẾN ĐỘ MUA HÀNG'!$A$5:$AT644, 0, XMATCH("NCC VTBB/NL trong nước", '6. TIẾN ĐỘ MUA HÀNG'!$A$4:$AT$4, 0))) = TRIM($B83)) * (TRIM(INDEX('6. TIẾN ĐỘ MUA HÀNG'!$A$5:$AT644, 0, XMATCH("Tháng", '6. TIẾN ĐỘ MUA HÀNG'!$A$4:$AT$4, 0))) = TRIM(R$6)) * (INDEX('6. TIẾN ĐỘ MUA HÀNG'!$A$5:$AT644, 0, XMATCH("Mã đơn Misa", '6. TIẾN ĐỘ MUA HÀNG'!$A$4:$AT$4, 0)) &lt;&gt; ""))</f>
        <v>0</v>
      </c>
      <c r="S83" s="756">
        <f t="array" ref="S83">SUMPRODUCT(
  (INDEX('6. TIẾN ĐỘ MUA HÀNG'!$A$5:$AT644, 0, XMATCH("NCC VTBB/NL trong nước", '6. TIẾN ĐỘ MUA HÀNG'!$A$4:$AT$4, 0)) = $B83) * (TRIM(INDEX('6. TIẾN ĐỘ MUA HÀNG'!$A$5:$AT644, 0, XMATCH("Tháng", '6. TIẾN ĐỘ MUA HÀNG'!$A$4:$AT$4, 0))) = TRIM(R$6)) * (INDEX('6. TIẾN ĐỘ MUA HÀNG'!$A$5:$AT644, 0, XMATCH("CL NGÀY NCC DỰ KIẾN - NGÀY NHẬN HÀNG", '6. TIẾN ĐỘ MUA HÀNG'!$A$4:$AT$4, 0)) &lt; 0)
)</f>
        <v>0</v>
      </c>
      <c r="T83" s="757">
        <f t="shared" si="19"/>
        <v>0</v>
      </c>
      <c r="U83" s="754">
        <f t="array" ref="U83">SUMPRODUCT((TRIM(INDEX('6. TIẾN ĐỘ MUA HÀNG'!$A$5:$AT644, 0, XMATCH("NCC VTBB/NL trong nước", '6. TIẾN ĐỘ MUA HÀNG'!$A$4:$AT$4, 0))) = TRIM($B83)) * (TRIM(INDEX('6. TIẾN ĐỘ MUA HÀNG'!$A$5:$AT644, 0, XMATCH("Tháng", '6. TIẾN ĐỘ MUA HÀNG'!$A$4:$AT$4, 0))) = TRIM(U$6)) * (INDEX('6. TIẾN ĐỘ MUA HÀNG'!$A$5:$AT644, 0, XMATCH("Mã đơn Misa", '6. TIẾN ĐỘ MUA HÀNG'!$A$4:$AT$4, 0)) &lt;&gt; ""))</f>
        <v>0</v>
      </c>
      <c r="V83" s="754">
        <f t="array" ref="V83">SUMPRODUCT(
  (INDEX('6. TIẾN ĐỘ MUA HÀNG'!$A$5:$AT644, 0, XMATCH("NCC VTBB/NL trong nước", '6. TIẾN ĐỘ MUA HÀNG'!$A$4:$AT$4, 0)) = $B83) * (TRIM(INDEX('6. TIẾN ĐỘ MUA HÀNG'!$A$5:$AT644, 0, XMATCH("Tháng", '6. TIẾN ĐỘ MUA HÀNG'!$A$4:$AT$4, 0))) = TRIM(U$6)) * (INDEX('6. TIẾN ĐỘ MUA HÀNG'!$A$5:$AT644, 0, XMATCH("CL NGÀY NCC DỰ KIẾN - NGÀY NHẬN HÀNG", '6. TIẾN ĐỘ MUA HÀNG'!$A$4:$AT$4, 0)) &lt; 0)
)</f>
        <v>0</v>
      </c>
      <c r="W83" s="755">
        <f t="shared" si="32"/>
        <v>0</v>
      </c>
      <c r="X83" s="756">
        <f t="array" ref="X83">SUMPRODUCT((TRIM(INDEX('6. TIẾN ĐỘ MUA HÀNG'!$A$5:$AT644, 0, XMATCH("NCC VTBB/NL trong nước", '6. TIẾN ĐỘ MUA HÀNG'!$A$4:$AT$4, 0))) = TRIM($B83)) * (TRIM(INDEX('6. TIẾN ĐỘ MUA HÀNG'!$A$5:$AT644, 0, XMATCH("Tháng", '6. TIẾN ĐỘ MUA HÀNG'!$A$4:$AT$4, 0))) = TRIM(X$6)) * (INDEX('6. TIẾN ĐỘ MUA HÀNG'!$A$5:$AT644, 0, XMATCH("Mã đơn Misa", '6. TIẾN ĐỘ MUA HÀNG'!$A$4:$AT$4, 0)) &lt;&gt; ""))</f>
        <v>0</v>
      </c>
      <c r="Y83" s="756">
        <f t="array" ref="Y83">SUMPRODUCT(
  (INDEX('6. TIẾN ĐỘ MUA HÀNG'!$A$5:$AT644, 0, XMATCH("NCC VTBB/NL trong nước", '6. TIẾN ĐỘ MUA HÀNG'!$A$4:$AT$4, 0)) = $B83) * (TRIM(INDEX('6. TIẾN ĐỘ MUA HÀNG'!$A$5:$AT644, 0, XMATCH("Tháng", '6. TIẾN ĐỘ MUA HÀNG'!$A$4:$AT$4, 0))) = TRIM(X$6)) * (INDEX('6. TIẾN ĐỘ MUA HÀNG'!$A$5:$AT644, 0, XMATCH("CL NGÀY NCC DỰ KIẾN - NGÀY NHẬN HÀNG", '6. TIẾN ĐỘ MUA HÀNG'!$A$4:$AT$4, 0)) &lt; 0)
)</f>
        <v>0</v>
      </c>
      <c r="Z83" s="757">
        <f t="shared" si="21"/>
        <v>0</v>
      </c>
      <c r="AA83" s="754">
        <f t="array" ref="AA83">SUMPRODUCT((TRIM(INDEX('6. TIẾN ĐỘ MUA HÀNG'!$A$5:$AT644, 0, XMATCH("NCC VTBB/NL trong nước", '6. TIẾN ĐỘ MUA HÀNG'!$A$4:$AT$4, 0))) = TRIM($B83)) * (TRIM(INDEX('6. TIẾN ĐỘ MUA HÀNG'!$A$5:$AT644, 0, XMATCH("Tháng", '6. TIẾN ĐỘ MUA HÀNG'!$A$4:$AT$4, 0))) = TRIM(AA$6)) * (INDEX('6. TIẾN ĐỘ MUA HÀNG'!$A$5:$AT644, 0, XMATCH("Mã đơn Misa", '6. TIẾN ĐỘ MUA HÀNG'!$A$4:$AT$4, 0)) &lt;&gt; ""))</f>
        <v>0</v>
      </c>
      <c r="AB83" s="754">
        <f t="array" ref="AB83">SUMPRODUCT(
  (INDEX('6. TIẾN ĐỘ MUA HÀNG'!$A$5:$AT644, 0, XMATCH("NCC VTBB/NL trong nước", '6. TIẾN ĐỘ MUA HÀNG'!$A$4:$AT$4, 0)) = $B83) * (TRIM(INDEX('6. TIẾN ĐỘ MUA HÀNG'!$A$5:$AT644, 0, XMATCH("Tháng", '6. TIẾN ĐỘ MUA HÀNG'!$A$4:$AT$4, 0))) = TRIM(AA$6)) * (INDEX('6. TIẾN ĐỘ MUA HÀNG'!$A$5:$AT644, 0, XMATCH("CL NGÀY NCC DỰ KIẾN - NGÀY NHẬN HÀNG", '6. TIẾN ĐỘ MUA HÀNG'!$A$4:$AT$4, 0)) &lt; 0)
)</f>
        <v>0</v>
      </c>
      <c r="AC83" s="755">
        <f t="shared" si="33"/>
        <v>0</v>
      </c>
      <c r="AD83" s="756">
        <f t="array" ref="AD83">SUMPRODUCT((TRIM(INDEX('6. TIẾN ĐỘ MUA HÀNG'!$A$5:$AT644, 0, XMATCH("NCC VTBB/NL trong nước", '6. TIẾN ĐỘ MUA HÀNG'!$A$4:$AT$4, 0))) = TRIM($B83)) * (TRIM(INDEX('6. TIẾN ĐỘ MUA HÀNG'!$A$5:$AT644, 0, XMATCH("Tháng", '6. TIẾN ĐỘ MUA HÀNG'!$A$4:$AT$4, 0))) = TRIM(AD$6)) * (INDEX('6. TIẾN ĐỘ MUA HÀNG'!$A$5:$AT644, 0, XMATCH("Mã đơn Misa", '6. TIẾN ĐỘ MUA HÀNG'!$A$4:$AT$4, 0)) &lt;&gt; ""))</f>
        <v>0</v>
      </c>
      <c r="AE83" s="756">
        <f t="array" ref="AE83">SUMPRODUCT(
  (INDEX('6. TIẾN ĐỘ MUA HÀNG'!$A$5:$AT644, 0, XMATCH("NCC VTBB/NL trong nước", '6. TIẾN ĐỘ MUA HÀNG'!$A$4:$AT$4, 0)) = $B83) * (TRIM(INDEX('6. TIẾN ĐỘ MUA HÀNG'!$A$5:$AT644, 0, XMATCH("Tháng", '6. TIẾN ĐỘ MUA HÀNG'!$A$4:$AT$4, 0))) = TRIM(AD$6)) * (INDEX('6. TIẾN ĐỘ MUA HÀNG'!$A$5:$AT644, 0, XMATCH("CL NGÀY NCC DỰ KIẾN - NGÀY NHẬN HÀNG", '6. TIẾN ĐỘ MUA HÀNG'!$A$4:$AT$4, 0)) &lt; 0)
)</f>
        <v>0</v>
      </c>
      <c r="AF83" s="757">
        <f t="shared" si="23"/>
        <v>0</v>
      </c>
      <c r="AG83" s="754">
        <f t="array" ref="AG83">SUMPRODUCT((TRIM(INDEX('6. TIẾN ĐỘ MUA HÀNG'!$A$5:$AT644, 0, XMATCH("NCC VTBB/NL trong nước", '6. TIẾN ĐỘ MUA HÀNG'!$A$4:$AT$4, 0))) = TRIM($B83)) * (TRIM(INDEX('6. TIẾN ĐỘ MUA HÀNG'!$A$5:$AT644, 0, XMATCH("Tháng", '6. TIẾN ĐỘ MUA HÀNG'!$A$4:$AT$4, 0))) = TRIM(AG$6)) * (INDEX('6. TIẾN ĐỘ MUA HÀNG'!$A$5:$AT644, 0, XMATCH("Mã đơn Misa", '6. TIẾN ĐỘ MUA HÀNG'!$A$4:$AT$4, 0)) &lt;&gt; ""))</f>
        <v>0</v>
      </c>
      <c r="AH83" s="754">
        <f t="array" ref="AH83">SUMPRODUCT(
  (INDEX('6. TIẾN ĐỘ MUA HÀNG'!$A$5:$AT644, 0, XMATCH("NCC VTBB/NL trong nước", '6. TIẾN ĐỘ MUA HÀNG'!$A$4:$AT$4, 0)) = $B83) * (TRIM(INDEX('6. TIẾN ĐỘ MUA HÀNG'!$A$5:$AT644, 0, XMATCH("Tháng", '6. TIẾN ĐỘ MUA HÀNG'!$A$4:$AT$4, 0))) = TRIM(AG$6)) * (INDEX('6. TIẾN ĐỘ MUA HÀNG'!$A$5:$AT644, 0, XMATCH("CL NGÀY NCC DỰ KIẾN - NGÀY NHẬN HÀNG", '6. TIẾN ĐỘ MUA HÀNG'!$A$4:$AT$4, 0)) &lt; 0)
)</f>
        <v>0</v>
      </c>
      <c r="AI83" s="755">
        <f t="shared" si="34"/>
        <v>0</v>
      </c>
      <c r="AJ83" s="756">
        <f t="array" ref="AJ83">SUMPRODUCT((TRIM(INDEX('6. TIẾN ĐỘ MUA HÀNG'!$A$5:$AT644, 0, XMATCH("NCC VTBB/NL trong nước", '6. TIẾN ĐỘ MUA HÀNG'!$A$4:$AT$4, 0))) = TRIM($B83)) * (TRIM(INDEX('6. TIẾN ĐỘ MUA HÀNG'!$A$5:$AT644, 0, XMATCH("Tháng", '6. TIẾN ĐỘ MUA HÀNG'!$A$4:$AT$4, 0))) = TRIM(AJ$6)) * (INDEX('6. TIẾN ĐỘ MUA HÀNG'!$A$5:$AT644, 0, XMATCH("Mã đơn Misa", '6. TIẾN ĐỘ MUA HÀNG'!$A$4:$AT$4, 0)) &lt;&gt; ""))</f>
        <v>0</v>
      </c>
      <c r="AK83" s="756">
        <f t="array" ref="AK83">SUMPRODUCT(
  (INDEX('6. TIẾN ĐỘ MUA HÀNG'!$A$5:$AT644, 0, XMATCH("NCC VTBB/NL trong nước", '6. TIẾN ĐỘ MUA HÀNG'!$A$4:$AT$4, 0)) = $B83) * (TRIM(INDEX('6. TIẾN ĐỘ MUA HÀNG'!$A$5:$AT644, 0, XMATCH("Tháng", '6. TIẾN ĐỘ MUA HÀNG'!$A$4:$AT$4, 0))) = TRIM(AJ$6)) * (INDEX('6. TIẾN ĐỘ MUA HÀNG'!$A$5:$AT644, 0, XMATCH("CL NGÀY NCC DỰ KIẾN - NGÀY NHẬN HÀNG", '6. TIẾN ĐỘ MUA HÀNG'!$A$4:$AT$4, 0)) &lt; 0)
)</f>
        <v>0</v>
      </c>
      <c r="AL83" s="757">
        <f t="shared" si="25"/>
        <v>0</v>
      </c>
      <c r="AM83" s="726">
        <f t="shared" si="27"/>
        <v>0</v>
      </c>
      <c r="AN83" s="726">
        <f t="shared" si="28"/>
        <v>0</v>
      </c>
      <c r="AO83" s="727">
        <f t="shared" si="26"/>
        <v>0</v>
      </c>
    </row>
    <row r="84">
      <c r="A84" s="612">
        <v>76.0</v>
      </c>
      <c r="B84" s="624" t="str">
        <f>IFERROR(__xludf.DUMMYFUNCTION("""COMPUTED_VALUE"""),"Sáng Tâm")</f>
        <v>Sáng Tâm</v>
      </c>
      <c r="C84" s="754">
        <f t="array" ref="C84">SUMPRODUCT((TRIM(INDEX('6. TIẾN ĐỘ MUA HÀNG'!$A$5:$AT644, 0, XMATCH("NCC VTBB/NL trong nước", '6. TIẾN ĐỘ MUA HÀNG'!$A$4:$AT$4, 0))) = TRIM($B84)) * (TRIM(INDEX('6. TIẾN ĐỘ MUA HÀNG'!$A$5:$AT644, 0, XMATCH("Tháng", '6. TIẾN ĐỘ MUA HÀNG'!$A$4:$AT$4, 0))) = TRIM(C$6)) * (INDEX('6. TIẾN ĐỘ MUA HÀNG'!$A$5:$AT644, 0, XMATCH("Mã đơn Misa", '6. TIẾN ĐỘ MUA HÀNG'!$A$4:$AT$4, 0)) &lt;&gt; ""))</f>
        <v>0</v>
      </c>
      <c r="D84" s="754">
        <f t="array" ref="D84">SUMPRODUCT(
  (INDEX('6. TIẾN ĐỘ MUA HÀNG'!$A$5:$AT644, 0, XMATCH("NCC VTBB/NL trong nước", '6. TIẾN ĐỘ MUA HÀNG'!$A$4:$AT$4, 0)) = $B84) * (TRIM(INDEX('6. TIẾN ĐỘ MUA HÀNG'!$A$5:$AT644, 0, XMATCH("Tháng", '6. TIẾN ĐỘ MUA HÀNG'!$A$4:$AT$4, 0))) = TRIM(C$6)) * (INDEX('6. TIẾN ĐỘ MUA HÀNG'!$A$5:$AT644, 0, XMATCH("CL NGÀY NCC DỰ KIẾN - NGÀY NHẬN HÀNG", '6. TIẾN ĐỘ MUA HÀNG'!$A$4:$AT$4, 0)) &lt; 0)
)</f>
        <v>0</v>
      </c>
      <c r="E84" s="755">
        <f t="shared" si="29"/>
        <v>0</v>
      </c>
      <c r="F84" s="756">
        <f t="array" ref="F84">SUMPRODUCT((TRIM(INDEX('6. TIẾN ĐỘ MUA HÀNG'!$A$5:$AT644, 0, XMATCH("NCC VTBB/NL trong nước", '6. TIẾN ĐỘ MUA HÀNG'!$A$4:$AT$4, 0))) = TRIM($B84)) * (TRIM(INDEX('6. TIẾN ĐỘ MUA HÀNG'!$A$5:$AT644, 0, XMATCH("Tháng", '6. TIẾN ĐỘ MUA HÀNG'!$A$4:$AT$4, 0))) = TRIM(F$6)) * (INDEX('6. TIẾN ĐỘ MUA HÀNG'!$A$5:$AT644, 0, XMATCH("Mã đơn Misa", '6. TIẾN ĐỘ MUA HÀNG'!$A$4:$AT$4, 0)) &lt;&gt; ""))</f>
        <v>0</v>
      </c>
      <c r="G84" s="756">
        <f t="array" ref="G84">SUMPRODUCT(
  (INDEX('6. TIẾN ĐỘ MUA HÀNG'!$A$5:$AT644, 0, XMATCH("NCC VTBB/NL trong nước", '6. TIẾN ĐỘ MUA HÀNG'!$A$4:$AT$4, 0)) = $B84) * (TRIM(INDEX('6. TIẾN ĐỘ MUA HÀNG'!$A$5:$AT644, 0, XMATCH("Tháng", '6. TIẾN ĐỘ MUA HÀNG'!$A$4:$AT$4, 0))) = TRIM(F$6)) * (INDEX('6. TIẾN ĐỘ MUA HÀNG'!$A$5:$AT644, 0, XMATCH("CL NGÀY NCC DỰ KIẾN - NGÀY NHẬN HÀNG", '6. TIẾN ĐỘ MUA HÀNG'!$A$4:$AT$4, 0)) &lt; 0)
)</f>
        <v>0</v>
      </c>
      <c r="H84" s="757">
        <f t="shared" si="15"/>
        <v>0</v>
      </c>
      <c r="I84" s="754">
        <f t="array" ref="I84">SUMPRODUCT((TRIM(INDEX('6. TIẾN ĐỘ MUA HÀNG'!$A$5:$AT644, 0, XMATCH("NCC VTBB/NL trong nước", '6. TIẾN ĐỘ MUA HÀNG'!$A$4:$AT$4, 0))) = TRIM($B84)) * (TRIM(INDEX('6. TIẾN ĐỘ MUA HÀNG'!$A$5:$AT644, 0, XMATCH("Tháng", '6. TIẾN ĐỘ MUA HÀNG'!$A$4:$AT$4, 0))) = TRIM(I$6)) * (INDEX('6. TIẾN ĐỘ MUA HÀNG'!$A$5:$AT644, 0, XMATCH("Mã đơn Misa", '6. TIẾN ĐỘ MUA HÀNG'!$A$4:$AT$4, 0)) &lt;&gt; ""))</f>
        <v>0</v>
      </c>
      <c r="J84" s="754">
        <f t="array" ref="J84">SUMPRODUCT(
  (INDEX('6. TIẾN ĐỘ MUA HÀNG'!$A$5:$AT644, 0, XMATCH("NCC VTBB/NL trong nước", '6. TIẾN ĐỘ MUA HÀNG'!$A$4:$AT$4, 0)) = $B84) * (TRIM(INDEX('6. TIẾN ĐỘ MUA HÀNG'!$A$5:$AT644, 0, XMATCH("Tháng", '6. TIẾN ĐỘ MUA HÀNG'!$A$4:$AT$4, 0))) = TRIM(I$6)) * (INDEX('6. TIẾN ĐỘ MUA HÀNG'!$A$5:$AT644, 0, XMATCH("CL NGÀY NCC DỰ KIẾN - NGÀY NHẬN HÀNG", '6. TIẾN ĐỘ MUA HÀNG'!$A$4:$AT$4, 0)) &lt; 0)
)</f>
        <v>0</v>
      </c>
      <c r="K84" s="755">
        <f t="shared" si="30"/>
        <v>0</v>
      </c>
      <c r="L84" s="756">
        <f t="array" ref="L84">SUMPRODUCT((TRIM(INDEX('6. TIẾN ĐỘ MUA HÀNG'!$A$5:$AT644, 0, XMATCH("NCC VTBB/NL trong nước", '6. TIẾN ĐỘ MUA HÀNG'!$A$4:$AT$4, 0))) = TRIM($B84)) * (TRIM(INDEX('6. TIẾN ĐỘ MUA HÀNG'!$A$5:$AT644, 0, XMATCH("Tháng", '6. TIẾN ĐỘ MUA HÀNG'!$A$4:$AT$4, 0))) = TRIM(L$6)) * (INDEX('6. TIẾN ĐỘ MUA HÀNG'!$A$5:$AT644, 0, XMATCH("Mã đơn Misa", '6. TIẾN ĐỘ MUA HÀNG'!$A$4:$AT$4, 0)) &lt;&gt; ""))</f>
        <v>0</v>
      </c>
      <c r="M84" s="756">
        <f t="array" ref="M84">SUMPRODUCT(
  (INDEX('6. TIẾN ĐỘ MUA HÀNG'!$A$5:$AT644, 0, XMATCH("NCC VTBB/NL trong nước", '6. TIẾN ĐỘ MUA HÀNG'!$A$4:$AT$4, 0)) = $B84) * (TRIM(INDEX('6. TIẾN ĐỘ MUA HÀNG'!$A$5:$AT644, 0, XMATCH("Tháng", '6. TIẾN ĐỘ MUA HÀNG'!$A$4:$AT$4, 0))) = TRIM(L$6)) * (INDEX('6. TIẾN ĐỘ MUA HÀNG'!$A$5:$AT644, 0, XMATCH("CL NGÀY NCC DỰ KIẾN - NGÀY NHẬN HÀNG", '6. TIẾN ĐỘ MUA HÀNG'!$A$4:$AT$4, 0)) &lt; 0)
)</f>
        <v>0</v>
      </c>
      <c r="N84" s="757">
        <f t="shared" si="17"/>
        <v>0</v>
      </c>
      <c r="O84" s="754">
        <f t="array" ref="O84">SUMPRODUCT((TRIM(INDEX('6. TIẾN ĐỘ MUA HÀNG'!$A$5:$AT644, 0, XMATCH("NCC VTBB/NL trong nước", '6. TIẾN ĐỘ MUA HÀNG'!$A$4:$AT$4, 0))) = TRIM($B84)) * (TRIM(INDEX('6. TIẾN ĐỘ MUA HÀNG'!$A$5:$AT644, 0, XMATCH("Tháng", '6. TIẾN ĐỘ MUA HÀNG'!$A$4:$AT$4, 0))) = TRIM(O$6)) * (INDEX('6. TIẾN ĐỘ MUA HÀNG'!$A$5:$AT644, 0, XMATCH("Mã đơn Misa", '6. TIẾN ĐỘ MUA HÀNG'!$A$4:$AT$4, 0)) &lt;&gt; ""))</f>
        <v>0</v>
      </c>
      <c r="P84" s="754">
        <f t="array" ref="P84">SUMPRODUCT(
  (INDEX('6. TIẾN ĐỘ MUA HÀNG'!$A$5:$AT644, 0, XMATCH("NCC VTBB/NL trong nước", '6. TIẾN ĐỘ MUA HÀNG'!$A$4:$AT$4, 0)) = $B84) * (TRIM(INDEX('6. TIẾN ĐỘ MUA HÀNG'!$A$5:$AT644, 0, XMATCH("Tháng", '6. TIẾN ĐỘ MUA HÀNG'!$A$4:$AT$4, 0))) = TRIM(O$6)) * (INDEX('6. TIẾN ĐỘ MUA HÀNG'!$A$5:$AT644, 0, XMATCH("CL NGÀY NCC DỰ KIẾN - NGÀY NHẬN HÀNG", '6. TIẾN ĐỘ MUA HÀNG'!$A$4:$AT$4, 0)) &lt; 0)
)</f>
        <v>0</v>
      </c>
      <c r="Q84" s="755">
        <f t="shared" si="31"/>
        <v>0</v>
      </c>
      <c r="R84" s="756">
        <f t="array" ref="R84">SUMPRODUCT((TRIM(INDEX('6. TIẾN ĐỘ MUA HÀNG'!$A$5:$AT644, 0, XMATCH("NCC VTBB/NL trong nước", '6. TIẾN ĐỘ MUA HÀNG'!$A$4:$AT$4, 0))) = TRIM($B84)) * (TRIM(INDEX('6. TIẾN ĐỘ MUA HÀNG'!$A$5:$AT644, 0, XMATCH("Tháng", '6. TIẾN ĐỘ MUA HÀNG'!$A$4:$AT$4, 0))) = TRIM(R$6)) * (INDEX('6. TIẾN ĐỘ MUA HÀNG'!$A$5:$AT644, 0, XMATCH("Mã đơn Misa", '6. TIẾN ĐỘ MUA HÀNG'!$A$4:$AT$4, 0)) &lt;&gt; ""))</f>
        <v>0</v>
      </c>
      <c r="S84" s="756">
        <f t="array" ref="S84">SUMPRODUCT(
  (INDEX('6. TIẾN ĐỘ MUA HÀNG'!$A$5:$AT644, 0, XMATCH("NCC VTBB/NL trong nước", '6. TIẾN ĐỘ MUA HÀNG'!$A$4:$AT$4, 0)) = $B84) * (TRIM(INDEX('6. TIẾN ĐỘ MUA HÀNG'!$A$5:$AT644, 0, XMATCH("Tháng", '6. TIẾN ĐỘ MUA HÀNG'!$A$4:$AT$4, 0))) = TRIM(R$6)) * (INDEX('6. TIẾN ĐỘ MUA HÀNG'!$A$5:$AT644, 0, XMATCH("CL NGÀY NCC DỰ KIẾN - NGÀY NHẬN HÀNG", '6. TIẾN ĐỘ MUA HÀNG'!$A$4:$AT$4, 0)) &lt; 0)
)</f>
        <v>0</v>
      </c>
      <c r="T84" s="757">
        <f t="shared" si="19"/>
        <v>0</v>
      </c>
      <c r="U84" s="754">
        <f t="array" ref="U84">SUMPRODUCT((TRIM(INDEX('6. TIẾN ĐỘ MUA HÀNG'!$A$5:$AT644, 0, XMATCH("NCC VTBB/NL trong nước", '6. TIẾN ĐỘ MUA HÀNG'!$A$4:$AT$4, 0))) = TRIM($B84)) * (TRIM(INDEX('6. TIẾN ĐỘ MUA HÀNG'!$A$5:$AT644, 0, XMATCH("Tháng", '6. TIẾN ĐỘ MUA HÀNG'!$A$4:$AT$4, 0))) = TRIM(U$6)) * (INDEX('6. TIẾN ĐỘ MUA HÀNG'!$A$5:$AT644, 0, XMATCH("Mã đơn Misa", '6. TIẾN ĐỘ MUA HÀNG'!$A$4:$AT$4, 0)) &lt;&gt; ""))</f>
        <v>0</v>
      </c>
      <c r="V84" s="754">
        <f t="array" ref="V84">SUMPRODUCT(
  (INDEX('6. TIẾN ĐỘ MUA HÀNG'!$A$5:$AT644, 0, XMATCH("NCC VTBB/NL trong nước", '6. TIẾN ĐỘ MUA HÀNG'!$A$4:$AT$4, 0)) = $B84) * (TRIM(INDEX('6. TIẾN ĐỘ MUA HÀNG'!$A$5:$AT644, 0, XMATCH("Tháng", '6. TIẾN ĐỘ MUA HÀNG'!$A$4:$AT$4, 0))) = TRIM(U$6)) * (INDEX('6. TIẾN ĐỘ MUA HÀNG'!$A$5:$AT644, 0, XMATCH("CL NGÀY NCC DỰ KIẾN - NGÀY NHẬN HÀNG", '6. TIẾN ĐỘ MUA HÀNG'!$A$4:$AT$4, 0)) &lt; 0)
)</f>
        <v>0</v>
      </c>
      <c r="W84" s="755">
        <f t="shared" si="32"/>
        <v>0</v>
      </c>
      <c r="X84" s="756">
        <f t="array" ref="X84">SUMPRODUCT((TRIM(INDEX('6. TIẾN ĐỘ MUA HÀNG'!$A$5:$AT644, 0, XMATCH("NCC VTBB/NL trong nước", '6. TIẾN ĐỘ MUA HÀNG'!$A$4:$AT$4, 0))) = TRIM($B84)) * (TRIM(INDEX('6. TIẾN ĐỘ MUA HÀNG'!$A$5:$AT644, 0, XMATCH("Tháng", '6. TIẾN ĐỘ MUA HÀNG'!$A$4:$AT$4, 0))) = TRIM(X$6)) * (INDEX('6. TIẾN ĐỘ MUA HÀNG'!$A$5:$AT644, 0, XMATCH("Mã đơn Misa", '6. TIẾN ĐỘ MUA HÀNG'!$A$4:$AT$4, 0)) &lt;&gt; ""))</f>
        <v>0</v>
      </c>
      <c r="Y84" s="756">
        <f t="array" ref="Y84">SUMPRODUCT(
  (INDEX('6. TIẾN ĐỘ MUA HÀNG'!$A$5:$AT644, 0, XMATCH("NCC VTBB/NL trong nước", '6. TIẾN ĐỘ MUA HÀNG'!$A$4:$AT$4, 0)) = $B84) * (TRIM(INDEX('6. TIẾN ĐỘ MUA HÀNG'!$A$5:$AT644, 0, XMATCH("Tháng", '6. TIẾN ĐỘ MUA HÀNG'!$A$4:$AT$4, 0))) = TRIM(X$6)) * (INDEX('6. TIẾN ĐỘ MUA HÀNG'!$A$5:$AT644, 0, XMATCH("CL NGÀY NCC DỰ KIẾN - NGÀY NHẬN HÀNG", '6. TIẾN ĐỘ MUA HÀNG'!$A$4:$AT$4, 0)) &lt; 0)
)</f>
        <v>0</v>
      </c>
      <c r="Z84" s="757">
        <f t="shared" si="21"/>
        <v>0</v>
      </c>
      <c r="AA84" s="754">
        <f t="array" ref="AA84">SUMPRODUCT((TRIM(INDEX('6. TIẾN ĐỘ MUA HÀNG'!$A$5:$AT644, 0, XMATCH("NCC VTBB/NL trong nước", '6. TIẾN ĐỘ MUA HÀNG'!$A$4:$AT$4, 0))) = TRIM($B84)) * (TRIM(INDEX('6. TIẾN ĐỘ MUA HÀNG'!$A$5:$AT644, 0, XMATCH("Tháng", '6. TIẾN ĐỘ MUA HÀNG'!$A$4:$AT$4, 0))) = TRIM(AA$6)) * (INDEX('6. TIẾN ĐỘ MUA HÀNG'!$A$5:$AT644, 0, XMATCH("Mã đơn Misa", '6. TIẾN ĐỘ MUA HÀNG'!$A$4:$AT$4, 0)) &lt;&gt; ""))</f>
        <v>0</v>
      </c>
      <c r="AB84" s="754">
        <f t="array" ref="AB84">SUMPRODUCT(
  (INDEX('6. TIẾN ĐỘ MUA HÀNG'!$A$5:$AT644, 0, XMATCH("NCC VTBB/NL trong nước", '6. TIẾN ĐỘ MUA HÀNG'!$A$4:$AT$4, 0)) = $B84) * (TRIM(INDEX('6. TIẾN ĐỘ MUA HÀNG'!$A$5:$AT644, 0, XMATCH("Tháng", '6. TIẾN ĐỘ MUA HÀNG'!$A$4:$AT$4, 0))) = TRIM(AA$6)) * (INDEX('6. TIẾN ĐỘ MUA HÀNG'!$A$5:$AT644, 0, XMATCH("CL NGÀY NCC DỰ KIẾN - NGÀY NHẬN HÀNG", '6. TIẾN ĐỘ MUA HÀNG'!$A$4:$AT$4, 0)) &lt; 0)
)</f>
        <v>0</v>
      </c>
      <c r="AC84" s="755">
        <f t="shared" si="33"/>
        <v>0</v>
      </c>
      <c r="AD84" s="756">
        <f t="array" ref="AD84">SUMPRODUCT((TRIM(INDEX('6. TIẾN ĐỘ MUA HÀNG'!$A$5:$AT644, 0, XMATCH("NCC VTBB/NL trong nước", '6. TIẾN ĐỘ MUA HÀNG'!$A$4:$AT$4, 0))) = TRIM($B84)) * (TRIM(INDEX('6. TIẾN ĐỘ MUA HÀNG'!$A$5:$AT644, 0, XMATCH("Tháng", '6. TIẾN ĐỘ MUA HÀNG'!$A$4:$AT$4, 0))) = TRIM(AD$6)) * (INDEX('6. TIẾN ĐỘ MUA HÀNG'!$A$5:$AT644, 0, XMATCH("Mã đơn Misa", '6. TIẾN ĐỘ MUA HÀNG'!$A$4:$AT$4, 0)) &lt;&gt; ""))</f>
        <v>0</v>
      </c>
      <c r="AE84" s="756">
        <f t="array" ref="AE84">SUMPRODUCT(
  (INDEX('6. TIẾN ĐỘ MUA HÀNG'!$A$5:$AT644, 0, XMATCH("NCC VTBB/NL trong nước", '6. TIẾN ĐỘ MUA HÀNG'!$A$4:$AT$4, 0)) = $B84) * (TRIM(INDEX('6. TIẾN ĐỘ MUA HÀNG'!$A$5:$AT644, 0, XMATCH("Tháng", '6. TIẾN ĐỘ MUA HÀNG'!$A$4:$AT$4, 0))) = TRIM(AD$6)) * (INDEX('6. TIẾN ĐỘ MUA HÀNG'!$A$5:$AT644, 0, XMATCH("CL NGÀY NCC DỰ KIẾN - NGÀY NHẬN HÀNG", '6. TIẾN ĐỘ MUA HÀNG'!$A$4:$AT$4, 0)) &lt; 0)
)</f>
        <v>0</v>
      </c>
      <c r="AF84" s="757">
        <f t="shared" si="23"/>
        <v>0</v>
      </c>
      <c r="AG84" s="754">
        <f t="array" ref="AG84">SUMPRODUCT((TRIM(INDEX('6. TIẾN ĐỘ MUA HÀNG'!$A$5:$AT644, 0, XMATCH("NCC VTBB/NL trong nước", '6. TIẾN ĐỘ MUA HÀNG'!$A$4:$AT$4, 0))) = TRIM($B84)) * (TRIM(INDEX('6. TIẾN ĐỘ MUA HÀNG'!$A$5:$AT644, 0, XMATCH("Tháng", '6. TIẾN ĐỘ MUA HÀNG'!$A$4:$AT$4, 0))) = TRIM(AG$6)) * (INDEX('6. TIẾN ĐỘ MUA HÀNG'!$A$5:$AT644, 0, XMATCH("Mã đơn Misa", '6. TIẾN ĐỘ MUA HÀNG'!$A$4:$AT$4, 0)) &lt;&gt; ""))</f>
        <v>0</v>
      </c>
      <c r="AH84" s="754">
        <f t="array" ref="AH84">SUMPRODUCT(
  (INDEX('6. TIẾN ĐỘ MUA HÀNG'!$A$5:$AT644, 0, XMATCH("NCC VTBB/NL trong nước", '6. TIẾN ĐỘ MUA HÀNG'!$A$4:$AT$4, 0)) = $B84) * (TRIM(INDEX('6. TIẾN ĐỘ MUA HÀNG'!$A$5:$AT644, 0, XMATCH("Tháng", '6. TIẾN ĐỘ MUA HÀNG'!$A$4:$AT$4, 0))) = TRIM(AG$6)) * (INDEX('6. TIẾN ĐỘ MUA HÀNG'!$A$5:$AT644, 0, XMATCH("CL NGÀY NCC DỰ KIẾN - NGÀY NHẬN HÀNG", '6. TIẾN ĐỘ MUA HÀNG'!$A$4:$AT$4, 0)) &lt; 0)
)</f>
        <v>0</v>
      </c>
      <c r="AI84" s="755">
        <f t="shared" si="34"/>
        <v>0</v>
      </c>
      <c r="AJ84" s="756">
        <f t="array" ref="AJ84">SUMPRODUCT((TRIM(INDEX('6. TIẾN ĐỘ MUA HÀNG'!$A$5:$AT644, 0, XMATCH("NCC VTBB/NL trong nước", '6. TIẾN ĐỘ MUA HÀNG'!$A$4:$AT$4, 0))) = TRIM($B84)) * (TRIM(INDEX('6. TIẾN ĐỘ MUA HÀNG'!$A$5:$AT644, 0, XMATCH("Tháng", '6. TIẾN ĐỘ MUA HÀNG'!$A$4:$AT$4, 0))) = TRIM(AJ$6)) * (INDEX('6. TIẾN ĐỘ MUA HÀNG'!$A$5:$AT644, 0, XMATCH("Mã đơn Misa", '6. TIẾN ĐỘ MUA HÀNG'!$A$4:$AT$4, 0)) &lt;&gt; ""))</f>
        <v>0</v>
      </c>
      <c r="AK84" s="756">
        <f t="array" ref="AK84">SUMPRODUCT(
  (INDEX('6. TIẾN ĐỘ MUA HÀNG'!$A$5:$AT644, 0, XMATCH("NCC VTBB/NL trong nước", '6. TIẾN ĐỘ MUA HÀNG'!$A$4:$AT$4, 0)) = $B84) * (TRIM(INDEX('6. TIẾN ĐỘ MUA HÀNG'!$A$5:$AT644, 0, XMATCH("Tháng", '6. TIẾN ĐỘ MUA HÀNG'!$A$4:$AT$4, 0))) = TRIM(AJ$6)) * (INDEX('6. TIẾN ĐỘ MUA HÀNG'!$A$5:$AT644, 0, XMATCH("CL NGÀY NCC DỰ KIẾN - NGÀY NHẬN HÀNG", '6. TIẾN ĐỘ MUA HÀNG'!$A$4:$AT$4, 0)) &lt; 0)
)</f>
        <v>0</v>
      </c>
      <c r="AL84" s="757">
        <f t="shared" si="25"/>
        <v>0</v>
      </c>
      <c r="AM84" s="726">
        <f t="shared" si="27"/>
        <v>0</v>
      </c>
      <c r="AN84" s="726">
        <f t="shared" si="28"/>
        <v>0</v>
      </c>
      <c r="AO84" s="727">
        <f t="shared" si="26"/>
        <v>0</v>
      </c>
    </row>
    <row r="85">
      <c r="A85" s="612">
        <v>77.0</v>
      </c>
      <c r="B85" s="624" t="str">
        <f>IFERROR(__xludf.DUMMYFUNCTION("""COMPUTED_VALUE"""),"Thiên An Phú")</f>
        <v>Thiên An Phú</v>
      </c>
      <c r="C85" s="754">
        <f t="array" ref="C85">SUMPRODUCT((TRIM(INDEX('6. TIẾN ĐỘ MUA HÀNG'!$A$5:$AT644, 0, XMATCH("NCC VTBB/NL trong nước", '6. TIẾN ĐỘ MUA HÀNG'!$A$4:$AT$4, 0))) = TRIM($B85)) * (TRIM(INDEX('6. TIẾN ĐỘ MUA HÀNG'!$A$5:$AT644, 0, XMATCH("Tháng", '6. TIẾN ĐỘ MUA HÀNG'!$A$4:$AT$4, 0))) = TRIM(C$6)) * (INDEX('6. TIẾN ĐỘ MUA HÀNG'!$A$5:$AT644, 0, XMATCH("Mã đơn Misa", '6. TIẾN ĐỘ MUA HÀNG'!$A$4:$AT$4, 0)) &lt;&gt; ""))</f>
        <v>0</v>
      </c>
      <c r="D85" s="754">
        <f t="array" ref="D85">SUMPRODUCT(
  (INDEX('6. TIẾN ĐỘ MUA HÀNG'!$A$5:$AT644, 0, XMATCH("NCC VTBB/NL trong nước", '6. TIẾN ĐỘ MUA HÀNG'!$A$4:$AT$4, 0)) = $B85) * (TRIM(INDEX('6. TIẾN ĐỘ MUA HÀNG'!$A$5:$AT644, 0, XMATCH("Tháng", '6. TIẾN ĐỘ MUA HÀNG'!$A$4:$AT$4, 0))) = TRIM(C$6)) * (INDEX('6. TIẾN ĐỘ MUA HÀNG'!$A$5:$AT644, 0, XMATCH("CL NGÀY NCC DỰ KIẾN - NGÀY NHẬN HÀNG", '6. TIẾN ĐỘ MUA HÀNG'!$A$4:$AT$4, 0)) &lt; 0)
)</f>
        <v>0</v>
      </c>
      <c r="E85" s="755">
        <f t="shared" si="29"/>
        <v>0</v>
      </c>
      <c r="F85" s="756">
        <f t="array" ref="F85">SUMPRODUCT((TRIM(INDEX('6. TIẾN ĐỘ MUA HÀNG'!$A$5:$AT644, 0, XMATCH("NCC VTBB/NL trong nước", '6. TIẾN ĐỘ MUA HÀNG'!$A$4:$AT$4, 0))) = TRIM($B85)) * (TRIM(INDEX('6. TIẾN ĐỘ MUA HÀNG'!$A$5:$AT644, 0, XMATCH("Tháng", '6. TIẾN ĐỘ MUA HÀNG'!$A$4:$AT$4, 0))) = TRIM(F$6)) * (INDEX('6. TIẾN ĐỘ MUA HÀNG'!$A$5:$AT644, 0, XMATCH("Mã đơn Misa", '6. TIẾN ĐỘ MUA HÀNG'!$A$4:$AT$4, 0)) &lt;&gt; ""))</f>
        <v>0</v>
      </c>
      <c r="G85" s="756">
        <f t="array" ref="G85">SUMPRODUCT(
  (INDEX('6. TIẾN ĐỘ MUA HÀNG'!$A$5:$AT644, 0, XMATCH("NCC VTBB/NL trong nước", '6. TIẾN ĐỘ MUA HÀNG'!$A$4:$AT$4, 0)) = $B85) * (TRIM(INDEX('6. TIẾN ĐỘ MUA HÀNG'!$A$5:$AT644, 0, XMATCH("Tháng", '6. TIẾN ĐỘ MUA HÀNG'!$A$4:$AT$4, 0))) = TRIM(F$6)) * (INDEX('6. TIẾN ĐỘ MUA HÀNG'!$A$5:$AT644, 0, XMATCH("CL NGÀY NCC DỰ KIẾN - NGÀY NHẬN HÀNG", '6. TIẾN ĐỘ MUA HÀNG'!$A$4:$AT$4, 0)) &lt; 0)
)</f>
        <v>0</v>
      </c>
      <c r="H85" s="757">
        <f t="shared" si="15"/>
        <v>0</v>
      </c>
      <c r="I85" s="754">
        <f t="array" ref="I85">SUMPRODUCT((TRIM(INDEX('6. TIẾN ĐỘ MUA HÀNG'!$A$5:$AT644, 0, XMATCH("NCC VTBB/NL trong nước", '6. TIẾN ĐỘ MUA HÀNG'!$A$4:$AT$4, 0))) = TRIM($B85)) * (TRIM(INDEX('6. TIẾN ĐỘ MUA HÀNG'!$A$5:$AT644, 0, XMATCH("Tháng", '6. TIẾN ĐỘ MUA HÀNG'!$A$4:$AT$4, 0))) = TRIM(I$6)) * (INDEX('6. TIẾN ĐỘ MUA HÀNG'!$A$5:$AT644, 0, XMATCH("Mã đơn Misa", '6. TIẾN ĐỘ MUA HÀNG'!$A$4:$AT$4, 0)) &lt;&gt; ""))</f>
        <v>0</v>
      </c>
      <c r="J85" s="754">
        <f t="array" ref="J85">SUMPRODUCT(
  (INDEX('6. TIẾN ĐỘ MUA HÀNG'!$A$5:$AT644, 0, XMATCH("NCC VTBB/NL trong nước", '6. TIẾN ĐỘ MUA HÀNG'!$A$4:$AT$4, 0)) = $B85) * (TRIM(INDEX('6. TIẾN ĐỘ MUA HÀNG'!$A$5:$AT644, 0, XMATCH("Tháng", '6. TIẾN ĐỘ MUA HÀNG'!$A$4:$AT$4, 0))) = TRIM(I$6)) * (INDEX('6. TIẾN ĐỘ MUA HÀNG'!$A$5:$AT644, 0, XMATCH("CL NGÀY NCC DỰ KIẾN - NGÀY NHẬN HÀNG", '6. TIẾN ĐỘ MUA HÀNG'!$A$4:$AT$4, 0)) &lt; 0)
)</f>
        <v>0</v>
      </c>
      <c r="K85" s="755">
        <f t="shared" si="30"/>
        <v>0</v>
      </c>
      <c r="L85" s="756">
        <f t="array" ref="L85">SUMPRODUCT((TRIM(INDEX('6. TIẾN ĐỘ MUA HÀNG'!$A$5:$AT644, 0, XMATCH("NCC VTBB/NL trong nước", '6. TIẾN ĐỘ MUA HÀNG'!$A$4:$AT$4, 0))) = TRIM($B85)) * (TRIM(INDEX('6. TIẾN ĐỘ MUA HÀNG'!$A$5:$AT644, 0, XMATCH("Tháng", '6. TIẾN ĐỘ MUA HÀNG'!$A$4:$AT$4, 0))) = TRIM(L$6)) * (INDEX('6. TIẾN ĐỘ MUA HÀNG'!$A$5:$AT644, 0, XMATCH("Mã đơn Misa", '6. TIẾN ĐỘ MUA HÀNG'!$A$4:$AT$4, 0)) &lt;&gt; ""))</f>
        <v>0</v>
      </c>
      <c r="M85" s="756">
        <f t="array" ref="M85">SUMPRODUCT(
  (INDEX('6. TIẾN ĐỘ MUA HÀNG'!$A$5:$AT644, 0, XMATCH("NCC VTBB/NL trong nước", '6. TIẾN ĐỘ MUA HÀNG'!$A$4:$AT$4, 0)) = $B85) * (TRIM(INDEX('6. TIẾN ĐỘ MUA HÀNG'!$A$5:$AT644, 0, XMATCH("Tháng", '6. TIẾN ĐỘ MUA HÀNG'!$A$4:$AT$4, 0))) = TRIM(L$6)) * (INDEX('6. TIẾN ĐỘ MUA HÀNG'!$A$5:$AT644, 0, XMATCH("CL NGÀY NCC DỰ KIẾN - NGÀY NHẬN HÀNG", '6. TIẾN ĐỘ MUA HÀNG'!$A$4:$AT$4, 0)) &lt; 0)
)</f>
        <v>0</v>
      </c>
      <c r="N85" s="757">
        <f t="shared" si="17"/>
        <v>0</v>
      </c>
      <c r="O85" s="754">
        <f t="array" ref="O85">SUMPRODUCT((TRIM(INDEX('6. TIẾN ĐỘ MUA HÀNG'!$A$5:$AT644, 0, XMATCH("NCC VTBB/NL trong nước", '6. TIẾN ĐỘ MUA HÀNG'!$A$4:$AT$4, 0))) = TRIM($B85)) * (TRIM(INDEX('6. TIẾN ĐỘ MUA HÀNG'!$A$5:$AT644, 0, XMATCH("Tháng", '6. TIẾN ĐỘ MUA HÀNG'!$A$4:$AT$4, 0))) = TRIM(O$6)) * (INDEX('6. TIẾN ĐỘ MUA HÀNG'!$A$5:$AT644, 0, XMATCH("Mã đơn Misa", '6. TIẾN ĐỘ MUA HÀNG'!$A$4:$AT$4, 0)) &lt;&gt; ""))</f>
        <v>0</v>
      </c>
      <c r="P85" s="754">
        <f t="array" ref="P85">SUMPRODUCT(
  (INDEX('6. TIẾN ĐỘ MUA HÀNG'!$A$5:$AT644, 0, XMATCH("NCC VTBB/NL trong nước", '6. TIẾN ĐỘ MUA HÀNG'!$A$4:$AT$4, 0)) = $B85) * (TRIM(INDEX('6. TIẾN ĐỘ MUA HÀNG'!$A$5:$AT644, 0, XMATCH("Tháng", '6. TIẾN ĐỘ MUA HÀNG'!$A$4:$AT$4, 0))) = TRIM(O$6)) * (INDEX('6. TIẾN ĐỘ MUA HÀNG'!$A$5:$AT644, 0, XMATCH("CL NGÀY NCC DỰ KIẾN - NGÀY NHẬN HÀNG", '6. TIẾN ĐỘ MUA HÀNG'!$A$4:$AT$4, 0)) &lt; 0)
)</f>
        <v>0</v>
      </c>
      <c r="Q85" s="755">
        <f t="shared" si="31"/>
        <v>0</v>
      </c>
      <c r="R85" s="756">
        <f t="array" ref="R85">SUMPRODUCT((TRIM(INDEX('6. TIẾN ĐỘ MUA HÀNG'!$A$5:$AT644, 0, XMATCH("NCC VTBB/NL trong nước", '6. TIẾN ĐỘ MUA HÀNG'!$A$4:$AT$4, 0))) = TRIM($B85)) * (TRIM(INDEX('6. TIẾN ĐỘ MUA HÀNG'!$A$5:$AT644, 0, XMATCH("Tháng", '6. TIẾN ĐỘ MUA HÀNG'!$A$4:$AT$4, 0))) = TRIM(R$6)) * (INDEX('6. TIẾN ĐỘ MUA HÀNG'!$A$5:$AT644, 0, XMATCH("Mã đơn Misa", '6. TIẾN ĐỘ MUA HÀNG'!$A$4:$AT$4, 0)) &lt;&gt; ""))</f>
        <v>0</v>
      </c>
      <c r="S85" s="756">
        <f t="array" ref="S85">SUMPRODUCT(
  (INDEX('6. TIẾN ĐỘ MUA HÀNG'!$A$5:$AT644, 0, XMATCH("NCC VTBB/NL trong nước", '6. TIẾN ĐỘ MUA HÀNG'!$A$4:$AT$4, 0)) = $B85) * (TRIM(INDEX('6. TIẾN ĐỘ MUA HÀNG'!$A$5:$AT644, 0, XMATCH("Tháng", '6. TIẾN ĐỘ MUA HÀNG'!$A$4:$AT$4, 0))) = TRIM(R$6)) * (INDEX('6. TIẾN ĐỘ MUA HÀNG'!$A$5:$AT644, 0, XMATCH("CL NGÀY NCC DỰ KIẾN - NGÀY NHẬN HÀNG", '6. TIẾN ĐỘ MUA HÀNG'!$A$4:$AT$4, 0)) &lt; 0)
)</f>
        <v>0</v>
      </c>
      <c r="T85" s="757">
        <f t="shared" si="19"/>
        <v>0</v>
      </c>
      <c r="U85" s="754">
        <f t="array" ref="U85">SUMPRODUCT((TRIM(INDEX('6. TIẾN ĐỘ MUA HÀNG'!$A$5:$AT644, 0, XMATCH("NCC VTBB/NL trong nước", '6. TIẾN ĐỘ MUA HÀNG'!$A$4:$AT$4, 0))) = TRIM($B85)) * (TRIM(INDEX('6. TIẾN ĐỘ MUA HÀNG'!$A$5:$AT644, 0, XMATCH("Tháng", '6. TIẾN ĐỘ MUA HÀNG'!$A$4:$AT$4, 0))) = TRIM(U$6)) * (INDEX('6. TIẾN ĐỘ MUA HÀNG'!$A$5:$AT644, 0, XMATCH("Mã đơn Misa", '6. TIẾN ĐỘ MUA HÀNG'!$A$4:$AT$4, 0)) &lt;&gt; ""))</f>
        <v>0</v>
      </c>
      <c r="V85" s="754">
        <f t="array" ref="V85">SUMPRODUCT(
  (INDEX('6. TIẾN ĐỘ MUA HÀNG'!$A$5:$AT644, 0, XMATCH("NCC VTBB/NL trong nước", '6. TIẾN ĐỘ MUA HÀNG'!$A$4:$AT$4, 0)) = $B85) * (TRIM(INDEX('6. TIẾN ĐỘ MUA HÀNG'!$A$5:$AT644, 0, XMATCH("Tháng", '6. TIẾN ĐỘ MUA HÀNG'!$A$4:$AT$4, 0))) = TRIM(U$6)) * (INDEX('6. TIẾN ĐỘ MUA HÀNG'!$A$5:$AT644, 0, XMATCH("CL NGÀY NCC DỰ KIẾN - NGÀY NHẬN HÀNG", '6. TIẾN ĐỘ MUA HÀNG'!$A$4:$AT$4, 0)) &lt; 0)
)</f>
        <v>0</v>
      </c>
      <c r="W85" s="755">
        <f t="shared" si="32"/>
        <v>0</v>
      </c>
      <c r="X85" s="756">
        <f t="array" ref="X85">SUMPRODUCT((TRIM(INDEX('6. TIẾN ĐỘ MUA HÀNG'!$A$5:$AT644, 0, XMATCH("NCC VTBB/NL trong nước", '6. TIẾN ĐỘ MUA HÀNG'!$A$4:$AT$4, 0))) = TRIM($B85)) * (TRIM(INDEX('6. TIẾN ĐỘ MUA HÀNG'!$A$5:$AT644, 0, XMATCH("Tháng", '6. TIẾN ĐỘ MUA HÀNG'!$A$4:$AT$4, 0))) = TRIM(X$6)) * (INDEX('6. TIẾN ĐỘ MUA HÀNG'!$A$5:$AT644, 0, XMATCH("Mã đơn Misa", '6. TIẾN ĐỘ MUA HÀNG'!$A$4:$AT$4, 0)) &lt;&gt; ""))</f>
        <v>0</v>
      </c>
      <c r="Y85" s="756">
        <f t="array" ref="Y85">SUMPRODUCT(
  (INDEX('6. TIẾN ĐỘ MUA HÀNG'!$A$5:$AT644, 0, XMATCH("NCC VTBB/NL trong nước", '6. TIẾN ĐỘ MUA HÀNG'!$A$4:$AT$4, 0)) = $B85) * (TRIM(INDEX('6. TIẾN ĐỘ MUA HÀNG'!$A$5:$AT644, 0, XMATCH("Tháng", '6. TIẾN ĐỘ MUA HÀNG'!$A$4:$AT$4, 0))) = TRIM(X$6)) * (INDEX('6. TIẾN ĐỘ MUA HÀNG'!$A$5:$AT644, 0, XMATCH("CL NGÀY NCC DỰ KIẾN - NGÀY NHẬN HÀNG", '6. TIẾN ĐỘ MUA HÀNG'!$A$4:$AT$4, 0)) &lt; 0)
)</f>
        <v>0</v>
      </c>
      <c r="Z85" s="757">
        <f t="shared" si="21"/>
        <v>0</v>
      </c>
      <c r="AA85" s="754">
        <f t="array" ref="AA85">SUMPRODUCT((TRIM(INDEX('6. TIẾN ĐỘ MUA HÀNG'!$A$5:$AT644, 0, XMATCH("NCC VTBB/NL trong nước", '6. TIẾN ĐỘ MUA HÀNG'!$A$4:$AT$4, 0))) = TRIM($B85)) * (TRIM(INDEX('6. TIẾN ĐỘ MUA HÀNG'!$A$5:$AT644, 0, XMATCH("Tháng", '6. TIẾN ĐỘ MUA HÀNG'!$A$4:$AT$4, 0))) = TRIM(AA$6)) * (INDEX('6. TIẾN ĐỘ MUA HÀNG'!$A$5:$AT644, 0, XMATCH("Mã đơn Misa", '6. TIẾN ĐỘ MUA HÀNG'!$A$4:$AT$4, 0)) &lt;&gt; ""))</f>
        <v>0</v>
      </c>
      <c r="AB85" s="754">
        <f t="array" ref="AB85">SUMPRODUCT(
  (INDEX('6. TIẾN ĐỘ MUA HÀNG'!$A$5:$AT644, 0, XMATCH("NCC VTBB/NL trong nước", '6. TIẾN ĐỘ MUA HÀNG'!$A$4:$AT$4, 0)) = $B85) * (TRIM(INDEX('6. TIẾN ĐỘ MUA HÀNG'!$A$5:$AT644, 0, XMATCH("Tháng", '6. TIẾN ĐỘ MUA HÀNG'!$A$4:$AT$4, 0))) = TRIM(AA$6)) * (INDEX('6. TIẾN ĐỘ MUA HÀNG'!$A$5:$AT644, 0, XMATCH("CL NGÀY NCC DỰ KIẾN - NGÀY NHẬN HÀNG", '6. TIẾN ĐỘ MUA HÀNG'!$A$4:$AT$4, 0)) &lt; 0)
)</f>
        <v>0</v>
      </c>
      <c r="AC85" s="755">
        <f t="shared" si="33"/>
        <v>0</v>
      </c>
      <c r="AD85" s="756">
        <f t="array" ref="AD85">SUMPRODUCT((TRIM(INDEX('6. TIẾN ĐỘ MUA HÀNG'!$A$5:$AT644, 0, XMATCH("NCC VTBB/NL trong nước", '6. TIẾN ĐỘ MUA HÀNG'!$A$4:$AT$4, 0))) = TRIM($B85)) * (TRIM(INDEX('6. TIẾN ĐỘ MUA HÀNG'!$A$5:$AT644, 0, XMATCH("Tháng", '6. TIẾN ĐỘ MUA HÀNG'!$A$4:$AT$4, 0))) = TRIM(AD$6)) * (INDEX('6. TIẾN ĐỘ MUA HÀNG'!$A$5:$AT644, 0, XMATCH("Mã đơn Misa", '6. TIẾN ĐỘ MUA HÀNG'!$A$4:$AT$4, 0)) &lt;&gt; ""))</f>
        <v>0</v>
      </c>
      <c r="AE85" s="756">
        <f t="array" ref="AE85">SUMPRODUCT(
  (INDEX('6. TIẾN ĐỘ MUA HÀNG'!$A$5:$AT644, 0, XMATCH("NCC VTBB/NL trong nước", '6. TIẾN ĐỘ MUA HÀNG'!$A$4:$AT$4, 0)) = $B85) * (TRIM(INDEX('6. TIẾN ĐỘ MUA HÀNG'!$A$5:$AT644, 0, XMATCH("Tháng", '6. TIẾN ĐỘ MUA HÀNG'!$A$4:$AT$4, 0))) = TRIM(AD$6)) * (INDEX('6. TIẾN ĐỘ MUA HÀNG'!$A$5:$AT644, 0, XMATCH("CL NGÀY NCC DỰ KIẾN - NGÀY NHẬN HÀNG", '6. TIẾN ĐỘ MUA HÀNG'!$A$4:$AT$4, 0)) &lt; 0)
)</f>
        <v>0</v>
      </c>
      <c r="AF85" s="757">
        <f t="shared" si="23"/>
        <v>0</v>
      </c>
      <c r="AG85" s="754">
        <f t="array" ref="AG85">SUMPRODUCT((TRIM(INDEX('6. TIẾN ĐỘ MUA HÀNG'!$A$5:$AT644, 0, XMATCH("NCC VTBB/NL trong nước", '6. TIẾN ĐỘ MUA HÀNG'!$A$4:$AT$4, 0))) = TRIM($B85)) * (TRIM(INDEX('6. TIẾN ĐỘ MUA HÀNG'!$A$5:$AT644, 0, XMATCH("Tháng", '6. TIẾN ĐỘ MUA HÀNG'!$A$4:$AT$4, 0))) = TRIM(AG$6)) * (INDEX('6. TIẾN ĐỘ MUA HÀNG'!$A$5:$AT644, 0, XMATCH("Mã đơn Misa", '6. TIẾN ĐỘ MUA HÀNG'!$A$4:$AT$4, 0)) &lt;&gt; ""))</f>
        <v>0</v>
      </c>
      <c r="AH85" s="754">
        <f t="array" ref="AH85">SUMPRODUCT(
  (INDEX('6. TIẾN ĐỘ MUA HÀNG'!$A$5:$AT644, 0, XMATCH("NCC VTBB/NL trong nước", '6. TIẾN ĐỘ MUA HÀNG'!$A$4:$AT$4, 0)) = $B85) * (TRIM(INDEX('6. TIẾN ĐỘ MUA HÀNG'!$A$5:$AT644, 0, XMATCH("Tháng", '6. TIẾN ĐỘ MUA HÀNG'!$A$4:$AT$4, 0))) = TRIM(AG$6)) * (INDEX('6. TIẾN ĐỘ MUA HÀNG'!$A$5:$AT644, 0, XMATCH("CL NGÀY NCC DỰ KIẾN - NGÀY NHẬN HÀNG", '6. TIẾN ĐỘ MUA HÀNG'!$A$4:$AT$4, 0)) &lt; 0)
)</f>
        <v>0</v>
      </c>
      <c r="AI85" s="755">
        <f t="shared" si="34"/>
        <v>0</v>
      </c>
      <c r="AJ85" s="756">
        <f t="array" ref="AJ85">SUMPRODUCT((TRIM(INDEX('6. TIẾN ĐỘ MUA HÀNG'!$A$5:$AT644, 0, XMATCH("NCC VTBB/NL trong nước", '6. TIẾN ĐỘ MUA HÀNG'!$A$4:$AT$4, 0))) = TRIM($B85)) * (TRIM(INDEX('6. TIẾN ĐỘ MUA HÀNG'!$A$5:$AT644, 0, XMATCH("Tháng", '6. TIẾN ĐỘ MUA HÀNG'!$A$4:$AT$4, 0))) = TRIM(AJ$6)) * (INDEX('6. TIẾN ĐỘ MUA HÀNG'!$A$5:$AT644, 0, XMATCH("Mã đơn Misa", '6. TIẾN ĐỘ MUA HÀNG'!$A$4:$AT$4, 0)) &lt;&gt; ""))</f>
        <v>0</v>
      </c>
      <c r="AK85" s="756">
        <f t="array" ref="AK85">SUMPRODUCT(
  (INDEX('6. TIẾN ĐỘ MUA HÀNG'!$A$5:$AT644, 0, XMATCH("NCC VTBB/NL trong nước", '6. TIẾN ĐỘ MUA HÀNG'!$A$4:$AT$4, 0)) = $B85) * (TRIM(INDEX('6. TIẾN ĐỘ MUA HÀNG'!$A$5:$AT644, 0, XMATCH("Tháng", '6. TIẾN ĐỘ MUA HÀNG'!$A$4:$AT$4, 0))) = TRIM(AJ$6)) * (INDEX('6. TIẾN ĐỘ MUA HÀNG'!$A$5:$AT644, 0, XMATCH("CL NGÀY NCC DỰ KIẾN - NGÀY NHẬN HÀNG", '6. TIẾN ĐỘ MUA HÀNG'!$A$4:$AT$4, 0)) &lt; 0)
)</f>
        <v>0</v>
      </c>
      <c r="AL85" s="757">
        <f t="shared" si="25"/>
        <v>0</v>
      </c>
      <c r="AM85" s="726">
        <f t="shared" si="27"/>
        <v>0</v>
      </c>
      <c r="AN85" s="726">
        <f t="shared" si="28"/>
        <v>0</v>
      </c>
      <c r="AO85" s="727">
        <f t="shared" si="26"/>
        <v>0</v>
      </c>
    </row>
    <row r="86">
      <c r="A86" s="612">
        <v>78.0</v>
      </c>
      <c r="B86" s="624" t="str">
        <f>IFERROR(__xludf.DUMMYFUNCTION("""COMPUTED_VALUE"""),"Oanh Design")</f>
        <v>Oanh Design</v>
      </c>
      <c r="C86" s="754">
        <f t="array" ref="C86">SUMPRODUCT((TRIM(INDEX('6. TIẾN ĐỘ MUA HÀNG'!$A$5:$AT644, 0, XMATCH("NCC VTBB/NL trong nước", '6. TIẾN ĐỘ MUA HÀNG'!$A$4:$AT$4, 0))) = TRIM($B86)) * (TRIM(INDEX('6. TIẾN ĐỘ MUA HÀNG'!$A$5:$AT644, 0, XMATCH("Tháng", '6. TIẾN ĐỘ MUA HÀNG'!$A$4:$AT$4, 0))) = TRIM(C$6)) * (INDEX('6. TIẾN ĐỘ MUA HÀNG'!$A$5:$AT644, 0, XMATCH("Mã đơn Misa", '6. TIẾN ĐỘ MUA HÀNG'!$A$4:$AT$4, 0)) &lt;&gt; ""))</f>
        <v>0</v>
      </c>
      <c r="D86" s="754">
        <f t="array" ref="D86">SUMPRODUCT(
  (INDEX('6. TIẾN ĐỘ MUA HÀNG'!$A$5:$AT644, 0, XMATCH("NCC VTBB/NL trong nước", '6. TIẾN ĐỘ MUA HÀNG'!$A$4:$AT$4, 0)) = $B86) * (TRIM(INDEX('6. TIẾN ĐỘ MUA HÀNG'!$A$5:$AT644, 0, XMATCH("Tháng", '6. TIẾN ĐỘ MUA HÀNG'!$A$4:$AT$4, 0))) = TRIM(C$6)) * (INDEX('6. TIẾN ĐỘ MUA HÀNG'!$A$5:$AT644, 0, XMATCH("CL NGÀY NCC DỰ KIẾN - NGÀY NHẬN HÀNG", '6. TIẾN ĐỘ MUA HÀNG'!$A$4:$AT$4, 0)) &lt; 0)
)</f>
        <v>0</v>
      </c>
      <c r="E86" s="755">
        <f t="shared" si="29"/>
        <v>0</v>
      </c>
      <c r="F86" s="756">
        <f t="array" ref="F86">SUMPRODUCT((TRIM(INDEX('6. TIẾN ĐỘ MUA HÀNG'!$A$5:$AT644, 0, XMATCH("NCC VTBB/NL trong nước", '6. TIẾN ĐỘ MUA HÀNG'!$A$4:$AT$4, 0))) = TRIM($B86)) * (TRIM(INDEX('6. TIẾN ĐỘ MUA HÀNG'!$A$5:$AT644, 0, XMATCH("Tháng", '6. TIẾN ĐỘ MUA HÀNG'!$A$4:$AT$4, 0))) = TRIM(F$6)) * (INDEX('6. TIẾN ĐỘ MUA HÀNG'!$A$5:$AT644, 0, XMATCH("Mã đơn Misa", '6. TIẾN ĐỘ MUA HÀNG'!$A$4:$AT$4, 0)) &lt;&gt; ""))</f>
        <v>0</v>
      </c>
      <c r="G86" s="756">
        <f t="array" ref="G86">SUMPRODUCT(
  (INDEX('6. TIẾN ĐỘ MUA HÀNG'!$A$5:$AT644, 0, XMATCH("NCC VTBB/NL trong nước", '6. TIẾN ĐỘ MUA HÀNG'!$A$4:$AT$4, 0)) = $B86) * (TRIM(INDEX('6. TIẾN ĐỘ MUA HÀNG'!$A$5:$AT644, 0, XMATCH("Tháng", '6. TIẾN ĐỘ MUA HÀNG'!$A$4:$AT$4, 0))) = TRIM(F$6)) * (INDEX('6. TIẾN ĐỘ MUA HÀNG'!$A$5:$AT644, 0, XMATCH("CL NGÀY NCC DỰ KIẾN - NGÀY NHẬN HÀNG", '6. TIẾN ĐỘ MUA HÀNG'!$A$4:$AT$4, 0)) &lt; 0)
)</f>
        <v>0</v>
      </c>
      <c r="H86" s="757">
        <f t="shared" si="15"/>
        <v>0</v>
      </c>
      <c r="I86" s="754">
        <f t="array" ref="I86">SUMPRODUCT((TRIM(INDEX('6. TIẾN ĐỘ MUA HÀNG'!$A$5:$AT644, 0, XMATCH("NCC VTBB/NL trong nước", '6. TIẾN ĐỘ MUA HÀNG'!$A$4:$AT$4, 0))) = TRIM($B86)) * (TRIM(INDEX('6. TIẾN ĐỘ MUA HÀNG'!$A$5:$AT644, 0, XMATCH("Tháng", '6. TIẾN ĐỘ MUA HÀNG'!$A$4:$AT$4, 0))) = TRIM(I$6)) * (INDEX('6. TIẾN ĐỘ MUA HÀNG'!$A$5:$AT644, 0, XMATCH("Mã đơn Misa", '6. TIẾN ĐỘ MUA HÀNG'!$A$4:$AT$4, 0)) &lt;&gt; ""))</f>
        <v>0</v>
      </c>
      <c r="J86" s="754">
        <f t="array" ref="J86">SUMPRODUCT(
  (INDEX('6. TIẾN ĐỘ MUA HÀNG'!$A$5:$AT644, 0, XMATCH("NCC VTBB/NL trong nước", '6. TIẾN ĐỘ MUA HÀNG'!$A$4:$AT$4, 0)) = $B86) * (TRIM(INDEX('6. TIẾN ĐỘ MUA HÀNG'!$A$5:$AT644, 0, XMATCH("Tháng", '6. TIẾN ĐỘ MUA HÀNG'!$A$4:$AT$4, 0))) = TRIM(I$6)) * (INDEX('6. TIẾN ĐỘ MUA HÀNG'!$A$5:$AT644, 0, XMATCH("CL NGÀY NCC DỰ KIẾN - NGÀY NHẬN HÀNG", '6. TIẾN ĐỘ MUA HÀNG'!$A$4:$AT$4, 0)) &lt; 0)
)</f>
        <v>0</v>
      </c>
      <c r="K86" s="755">
        <f t="shared" si="30"/>
        <v>0</v>
      </c>
      <c r="L86" s="756">
        <f t="array" ref="L86">SUMPRODUCT((TRIM(INDEX('6. TIẾN ĐỘ MUA HÀNG'!$A$5:$AT644, 0, XMATCH("NCC VTBB/NL trong nước", '6. TIẾN ĐỘ MUA HÀNG'!$A$4:$AT$4, 0))) = TRIM($B86)) * (TRIM(INDEX('6. TIẾN ĐỘ MUA HÀNG'!$A$5:$AT644, 0, XMATCH("Tháng", '6. TIẾN ĐỘ MUA HÀNG'!$A$4:$AT$4, 0))) = TRIM(L$6)) * (INDEX('6. TIẾN ĐỘ MUA HÀNG'!$A$5:$AT644, 0, XMATCH("Mã đơn Misa", '6. TIẾN ĐỘ MUA HÀNG'!$A$4:$AT$4, 0)) &lt;&gt; ""))</f>
        <v>3</v>
      </c>
      <c r="M86" s="756">
        <f t="array" ref="M86">SUMPRODUCT(
  (INDEX('6. TIẾN ĐỘ MUA HÀNG'!$A$5:$AT644, 0, XMATCH("NCC VTBB/NL trong nước", '6. TIẾN ĐỘ MUA HÀNG'!$A$4:$AT$4, 0)) = $B86) * (TRIM(INDEX('6. TIẾN ĐỘ MUA HÀNG'!$A$5:$AT644, 0, XMATCH("Tháng", '6. TIẾN ĐỘ MUA HÀNG'!$A$4:$AT$4, 0))) = TRIM(L$6)) * (INDEX('6. TIẾN ĐỘ MUA HÀNG'!$A$5:$AT644, 0, XMATCH("CL NGÀY NCC DỰ KIẾN - NGÀY NHẬN HÀNG", '6. TIẾN ĐỘ MUA HÀNG'!$A$4:$AT$4, 0)) &lt; 0)
)</f>
        <v>0</v>
      </c>
      <c r="N86" s="757">
        <f t="shared" si="17"/>
        <v>0</v>
      </c>
      <c r="O86" s="754">
        <f t="array" ref="O86">SUMPRODUCT((TRIM(INDEX('6. TIẾN ĐỘ MUA HÀNG'!$A$5:$AT644, 0, XMATCH("NCC VTBB/NL trong nước", '6. TIẾN ĐỘ MUA HÀNG'!$A$4:$AT$4, 0))) = TRIM($B86)) * (TRIM(INDEX('6. TIẾN ĐỘ MUA HÀNG'!$A$5:$AT644, 0, XMATCH("Tháng", '6. TIẾN ĐỘ MUA HÀNG'!$A$4:$AT$4, 0))) = TRIM(O$6)) * (INDEX('6. TIẾN ĐỘ MUA HÀNG'!$A$5:$AT644, 0, XMATCH("Mã đơn Misa", '6. TIẾN ĐỘ MUA HÀNG'!$A$4:$AT$4, 0)) &lt;&gt; ""))</f>
        <v>0</v>
      </c>
      <c r="P86" s="754">
        <f t="array" ref="P86">SUMPRODUCT(
  (INDEX('6. TIẾN ĐỘ MUA HÀNG'!$A$5:$AT644, 0, XMATCH("NCC VTBB/NL trong nước", '6. TIẾN ĐỘ MUA HÀNG'!$A$4:$AT$4, 0)) = $B86) * (TRIM(INDEX('6. TIẾN ĐỘ MUA HÀNG'!$A$5:$AT644, 0, XMATCH("Tháng", '6. TIẾN ĐỘ MUA HÀNG'!$A$4:$AT$4, 0))) = TRIM(O$6)) * (INDEX('6. TIẾN ĐỘ MUA HÀNG'!$A$5:$AT644, 0, XMATCH("CL NGÀY NCC DỰ KIẾN - NGÀY NHẬN HÀNG", '6. TIẾN ĐỘ MUA HÀNG'!$A$4:$AT$4, 0)) &lt; 0)
)</f>
        <v>0</v>
      </c>
      <c r="Q86" s="755">
        <f t="shared" si="31"/>
        <v>0</v>
      </c>
      <c r="R86" s="756">
        <f t="array" ref="R86">SUMPRODUCT((TRIM(INDEX('6. TIẾN ĐỘ MUA HÀNG'!$A$5:$AT644, 0, XMATCH("NCC VTBB/NL trong nước", '6. TIẾN ĐỘ MUA HÀNG'!$A$4:$AT$4, 0))) = TRIM($B86)) * (TRIM(INDEX('6. TIẾN ĐỘ MUA HÀNG'!$A$5:$AT644, 0, XMATCH("Tháng", '6. TIẾN ĐỘ MUA HÀNG'!$A$4:$AT$4, 0))) = TRIM(R$6)) * (INDEX('6. TIẾN ĐỘ MUA HÀNG'!$A$5:$AT644, 0, XMATCH("Mã đơn Misa", '6. TIẾN ĐỘ MUA HÀNG'!$A$4:$AT$4, 0)) &lt;&gt; ""))</f>
        <v>0</v>
      </c>
      <c r="S86" s="756">
        <f t="array" ref="S86">SUMPRODUCT(
  (INDEX('6. TIẾN ĐỘ MUA HÀNG'!$A$5:$AT644, 0, XMATCH("NCC VTBB/NL trong nước", '6. TIẾN ĐỘ MUA HÀNG'!$A$4:$AT$4, 0)) = $B86) * (TRIM(INDEX('6. TIẾN ĐỘ MUA HÀNG'!$A$5:$AT644, 0, XMATCH("Tháng", '6. TIẾN ĐỘ MUA HÀNG'!$A$4:$AT$4, 0))) = TRIM(R$6)) * (INDEX('6. TIẾN ĐỘ MUA HÀNG'!$A$5:$AT644, 0, XMATCH("CL NGÀY NCC DỰ KIẾN - NGÀY NHẬN HÀNG", '6. TIẾN ĐỘ MUA HÀNG'!$A$4:$AT$4, 0)) &lt; 0)
)</f>
        <v>0</v>
      </c>
      <c r="T86" s="757">
        <f t="shared" si="19"/>
        <v>0</v>
      </c>
      <c r="U86" s="754">
        <f t="array" ref="U86">SUMPRODUCT((TRIM(INDEX('6. TIẾN ĐỘ MUA HÀNG'!$A$5:$AT644, 0, XMATCH("NCC VTBB/NL trong nước", '6. TIẾN ĐỘ MUA HÀNG'!$A$4:$AT$4, 0))) = TRIM($B86)) * (TRIM(INDEX('6. TIẾN ĐỘ MUA HÀNG'!$A$5:$AT644, 0, XMATCH("Tháng", '6. TIẾN ĐỘ MUA HÀNG'!$A$4:$AT$4, 0))) = TRIM(U$6)) * (INDEX('6. TIẾN ĐỘ MUA HÀNG'!$A$5:$AT644, 0, XMATCH("Mã đơn Misa", '6. TIẾN ĐỘ MUA HÀNG'!$A$4:$AT$4, 0)) &lt;&gt; ""))</f>
        <v>0</v>
      </c>
      <c r="V86" s="754">
        <f t="array" ref="V86">SUMPRODUCT(
  (INDEX('6. TIẾN ĐỘ MUA HÀNG'!$A$5:$AT644, 0, XMATCH("NCC VTBB/NL trong nước", '6. TIẾN ĐỘ MUA HÀNG'!$A$4:$AT$4, 0)) = $B86) * (TRIM(INDEX('6. TIẾN ĐỘ MUA HÀNG'!$A$5:$AT644, 0, XMATCH("Tháng", '6. TIẾN ĐỘ MUA HÀNG'!$A$4:$AT$4, 0))) = TRIM(U$6)) * (INDEX('6. TIẾN ĐỘ MUA HÀNG'!$A$5:$AT644, 0, XMATCH("CL NGÀY NCC DỰ KIẾN - NGÀY NHẬN HÀNG", '6. TIẾN ĐỘ MUA HÀNG'!$A$4:$AT$4, 0)) &lt; 0)
)</f>
        <v>0</v>
      </c>
      <c r="W86" s="755">
        <f t="shared" si="32"/>
        <v>0</v>
      </c>
      <c r="X86" s="756">
        <f t="array" ref="X86">SUMPRODUCT((TRIM(INDEX('6. TIẾN ĐỘ MUA HÀNG'!$A$5:$AT644, 0, XMATCH("NCC VTBB/NL trong nước", '6. TIẾN ĐỘ MUA HÀNG'!$A$4:$AT$4, 0))) = TRIM($B86)) * (TRIM(INDEX('6. TIẾN ĐỘ MUA HÀNG'!$A$5:$AT644, 0, XMATCH("Tháng", '6. TIẾN ĐỘ MUA HÀNG'!$A$4:$AT$4, 0))) = TRIM(X$6)) * (INDEX('6. TIẾN ĐỘ MUA HÀNG'!$A$5:$AT644, 0, XMATCH("Mã đơn Misa", '6. TIẾN ĐỘ MUA HÀNG'!$A$4:$AT$4, 0)) &lt;&gt; ""))</f>
        <v>0</v>
      </c>
      <c r="Y86" s="756">
        <f t="array" ref="Y86">SUMPRODUCT(
  (INDEX('6. TIẾN ĐỘ MUA HÀNG'!$A$5:$AT644, 0, XMATCH("NCC VTBB/NL trong nước", '6. TIẾN ĐỘ MUA HÀNG'!$A$4:$AT$4, 0)) = $B86) * (TRIM(INDEX('6. TIẾN ĐỘ MUA HÀNG'!$A$5:$AT644, 0, XMATCH("Tháng", '6. TIẾN ĐỘ MUA HÀNG'!$A$4:$AT$4, 0))) = TRIM(X$6)) * (INDEX('6. TIẾN ĐỘ MUA HÀNG'!$A$5:$AT644, 0, XMATCH("CL NGÀY NCC DỰ KIẾN - NGÀY NHẬN HÀNG", '6. TIẾN ĐỘ MUA HÀNG'!$A$4:$AT$4, 0)) &lt; 0)
)</f>
        <v>0</v>
      </c>
      <c r="Z86" s="757">
        <f t="shared" si="21"/>
        <v>0</v>
      </c>
      <c r="AA86" s="754">
        <f t="array" ref="AA86">SUMPRODUCT((TRIM(INDEX('6. TIẾN ĐỘ MUA HÀNG'!$A$5:$AT644, 0, XMATCH("NCC VTBB/NL trong nước", '6. TIẾN ĐỘ MUA HÀNG'!$A$4:$AT$4, 0))) = TRIM($B86)) * (TRIM(INDEX('6. TIẾN ĐỘ MUA HÀNG'!$A$5:$AT644, 0, XMATCH("Tháng", '6. TIẾN ĐỘ MUA HÀNG'!$A$4:$AT$4, 0))) = TRIM(AA$6)) * (INDEX('6. TIẾN ĐỘ MUA HÀNG'!$A$5:$AT644, 0, XMATCH("Mã đơn Misa", '6. TIẾN ĐỘ MUA HÀNG'!$A$4:$AT$4, 0)) &lt;&gt; ""))</f>
        <v>0</v>
      </c>
      <c r="AB86" s="754">
        <f t="array" ref="AB86">SUMPRODUCT(
  (INDEX('6. TIẾN ĐỘ MUA HÀNG'!$A$5:$AT644, 0, XMATCH("NCC VTBB/NL trong nước", '6. TIẾN ĐỘ MUA HÀNG'!$A$4:$AT$4, 0)) = $B86) * (TRIM(INDEX('6. TIẾN ĐỘ MUA HÀNG'!$A$5:$AT644, 0, XMATCH("Tháng", '6. TIẾN ĐỘ MUA HÀNG'!$A$4:$AT$4, 0))) = TRIM(AA$6)) * (INDEX('6. TIẾN ĐỘ MUA HÀNG'!$A$5:$AT644, 0, XMATCH("CL NGÀY NCC DỰ KIẾN - NGÀY NHẬN HÀNG", '6. TIẾN ĐỘ MUA HÀNG'!$A$4:$AT$4, 0)) &lt; 0)
)</f>
        <v>0</v>
      </c>
      <c r="AC86" s="755">
        <f t="shared" si="33"/>
        <v>0</v>
      </c>
      <c r="AD86" s="756">
        <f t="array" ref="AD86">SUMPRODUCT((TRIM(INDEX('6. TIẾN ĐỘ MUA HÀNG'!$A$5:$AT644, 0, XMATCH("NCC VTBB/NL trong nước", '6. TIẾN ĐỘ MUA HÀNG'!$A$4:$AT$4, 0))) = TRIM($B86)) * (TRIM(INDEX('6. TIẾN ĐỘ MUA HÀNG'!$A$5:$AT644, 0, XMATCH("Tháng", '6. TIẾN ĐỘ MUA HÀNG'!$A$4:$AT$4, 0))) = TRIM(AD$6)) * (INDEX('6. TIẾN ĐỘ MUA HÀNG'!$A$5:$AT644, 0, XMATCH("Mã đơn Misa", '6. TIẾN ĐỘ MUA HÀNG'!$A$4:$AT$4, 0)) &lt;&gt; ""))</f>
        <v>0</v>
      </c>
      <c r="AE86" s="756">
        <f t="array" ref="AE86">SUMPRODUCT(
  (INDEX('6. TIẾN ĐỘ MUA HÀNG'!$A$5:$AT644, 0, XMATCH("NCC VTBB/NL trong nước", '6. TIẾN ĐỘ MUA HÀNG'!$A$4:$AT$4, 0)) = $B86) * (TRIM(INDEX('6. TIẾN ĐỘ MUA HÀNG'!$A$5:$AT644, 0, XMATCH("Tháng", '6. TIẾN ĐỘ MUA HÀNG'!$A$4:$AT$4, 0))) = TRIM(AD$6)) * (INDEX('6. TIẾN ĐỘ MUA HÀNG'!$A$5:$AT644, 0, XMATCH("CL NGÀY NCC DỰ KIẾN - NGÀY NHẬN HÀNG", '6. TIẾN ĐỘ MUA HÀNG'!$A$4:$AT$4, 0)) &lt; 0)
)</f>
        <v>0</v>
      </c>
      <c r="AF86" s="757">
        <f t="shared" si="23"/>
        <v>0</v>
      </c>
      <c r="AG86" s="754">
        <f t="array" ref="AG86">SUMPRODUCT((TRIM(INDEX('6. TIẾN ĐỘ MUA HÀNG'!$A$5:$AT644, 0, XMATCH("NCC VTBB/NL trong nước", '6. TIẾN ĐỘ MUA HÀNG'!$A$4:$AT$4, 0))) = TRIM($B86)) * (TRIM(INDEX('6. TIẾN ĐỘ MUA HÀNG'!$A$5:$AT644, 0, XMATCH("Tháng", '6. TIẾN ĐỘ MUA HÀNG'!$A$4:$AT$4, 0))) = TRIM(AG$6)) * (INDEX('6. TIẾN ĐỘ MUA HÀNG'!$A$5:$AT644, 0, XMATCH("Mã đơn Misa", '6. TIẾN ĐỘ MUA HÀNG'!$A$4:$AT$4, 0)) &lt;&gt; ""))</f>
        <v>0</v>
      </c>
      <c r="AH86" s="754">
        <f t="array" ref="AH86">SUMPRODUCT(
  (INDEX('6. TIẾN ĐỘ MUA HÀNG'!$A$5:$AT644, 0, XMATCH("NCC VTBB/NL trong nước", '6. TIẾN ĐỘ MUA HÀNG'!$A$4:$AT$4, 0)) = $B86) * (TRIM(INDEX('6. TIẾN ĐỘ MUA HÀNG'!$A$5:$AT644, 0, XMATCH("Tháng", '6. TIẾN ĐỘ MUA HÀNG'!$A$4:$AT$4, 0))) = TRIM(AG$6)) * (INDEX('6. TIẾN ĐỘ MUA HÀNG'!$A$5:$AT644, 0, XMATCH("CL NGÀY NCC DỰ KIẾN - NGÀY NHẬN HÀNG", '6. TIẾN ĐỘ MUA HÀNG'!$A$4:$AT$4, 0)) &lt; 0)
)</f>
        <v>0</v>
      </c>
      <c r="AI86" s="755">
        <f t="shared" si="34"/>
        <v>0</v>
      </c>
      <c r="AJ86" s="756">
        <f t="array" ref="AJ86">SUMPRODUCT((TRIM(INDEX('6. TIẾN ĐỘ MUA HÀNG'!$A$5:$AT644, 0, XMATCH("NCC VTBB/NL trong nước", '6. TIẾN ĐỘ MUA HÀNG'!$A$4:$AT$4, 0))) = TRIM($B86)) * (TRIM(INDEX('6. TIẾN ĐỘ MUA HÀNG'!$A$5:$AT644, 0, XMATCH("Tháng", '6. TIẾN ĐỘ MUA HÀNG'!$A$4:$AT$4, 0))) = TRIM(AJ$6)) * (INDEX('6. TIẾN ĐỘ MUA HÀNG'!$A$5:$AT644, 0, XMATCH("Mã đơn Misa", '6. TIẾN ĐỘ MUA HÀNG'!$A$4:$AT$4, 0)) &lt;&gt; ""))</f>
        <v>0</v>
      </c>
      <c r="AK86" s="756">
        <f t="array" ref="AK86">SUMPRODUCT(
  (INDEX('6. TIẾN ĐỘ MUA HÀNG'!$A$5:$AT644, 0, XMATCH("NCC VTBB/NL trong nước", '6. TIẾN ĐỘ MUA HÀNG'!$A$4:$AT$4, 0)) = $B86) * (TRIM(INDEX('6. TIẾN ĐỘ MUA HÀNG'!$A$5:$AT644, 0, XMATCH("Tháng", '6. TIẾN ĐỘ MUA HÀNG'!$A$4:$AT$4, 0))) = TRIM(AJ$6)) * (INDEX('6. TIẾN ĐỘ MUA HÀNG'!$A$5:$AT644, 0, XMATCH("CL NGÀY NCC DỰ KIẾN - NGÀY NHẬN HÀNG", '6. TIẾN ĐỘ MUA HÀNG'!$A$4:$AT$4, 0)) &lt; 0)
)</f>
        <v>0</v>
      </c>
      <c r="AL86" s="757">
        <f t="shared" si="25"/>
        <v>0</v>
      </c>
      <c r="AM86" s="726">
        <f t="shared" si="27"/>
        <v>3</v>
      </c>
      <c r="AN86" s="726">
        <f t="shared" si="28"/>
        <v>0</v>
      </c>
      <c r="AO86" s="727">
        <f t="shared" si="26"/>
        <v>0</v>
      </c>
    </row>
    <row r="87">
      <c r="A87" s="612">
        <v>79.0</v>
      </c>
      <c r="B87" s="624" t="str">
        <f>IFERROR(__xludf.DUMMYFUNCTION("""COMPUTED_VALUE"""),"Hiệp Phát")</f>
        <v>Hiệp Phát</v>
      </c>
      <c r="C87" s="754">
        <f t="array" ref="C87">SUMPRODUCT((TRIM(INDEX('6. TIẾN ĐỘ MUA HÀNG'!$A$5:$AT644, 0, XMATCH("NCC VTBB/NL trong nước", '6. TIẾN ĐỘ MUA HÀNG'!$A$4:$AT$4, 0))) = TRIM($B87)) * (TRIM(INDEX('6. TIẾN ĐỘ MUA HÀNG'!$A$5:$AT644, 0, XMATCH("Tháng", '6. TIẾN ĐỘ MUA HÀNG'!$A$4:$AT$4, 0))) = TRIM(C$6)) * (INDEX('6. TIẾN ĐỘ MUA HÀNG'!$A$5:$AT644, 0, XMATCH("Mã đơn Misa", '6. TIẾN ĐỘ MUA HÀNG'!$A$4:$AT$4, 0)) &lt;&gt; ""))</f>
        <v>0</v>
      </c>
      <c r="D87" s="754">
        <f t="array" ref="D87">SUMPRODUCT(
  (INDEX('6. TIẾN ĐỘ MUA HÀNG'!$A$5:$AT644, 0, XMATCH("NCC VTBB/NL trong nước", '6. TIẾN ĐỘ MUA HÀNG'!$A$4:$AT$4, 0)) = $B87) * (TRIM(INDEX('6. TIẾN ĐỘ MUA HÀNG'!$A$5:$AT644, 0, XMATCH("Tháng", '6. TIẾN ĐỘ MUA HÀNG'!$A$4:$AT$4, 0))) = TRIM(C$6)) * (INDEX('6. TIẾN ĐỘ MUA HÀNG'!$A$5:$AT644, 0, XMATCH("CL NGÀY NCC DỰ KIẾN - NGÀY NHẬN HÀNG", '6. TIẾN ĐỘ MUA HÀNG'!$A$4:$AT$4, 0)) &lt; 0)
)</f>
        <v>0</v>
      </c>
      <c r="E87" s="755">
        <f t="shared" si="29"/>
        <v>0</v>
      </c>
      <c r="F87" s="756">
        <f t="array" ref="F87">SUMPRODUCT((TRIM(INDEX('6. TIẾN ĐỘ MUA HÀNG'!$A$5:$AT644, 0, XMATCH("NCC VTBB/NL trong nước", '6. TIẾN ĐỘ MUA HÀNG'!$A$4:$AT$4, 0))) = TRIM($B87)) * (TRIM(INDEX('6. TIẾN ĐỘ MUA HÀNG'!$A$5:$AT644, 0, XMATCH("Tháng", '6. TIẾN ĐỘ MUA HÀNG'!$A$4:$AT$4, 0))) = TRIM(F$6)) * (INDEX('6. TIẾN ĐỘ MUA HÀNG'!$A$5:$AT644, 0, XMATCH("Mã đơn Misa", '6. TIẾN ĐỘ MUA HÀNG'!$A$4:$AT$4, 0)) &lt;&gt; ""))</f>
        <v>0</v>
      </c>
      <c r="G87" s="756">
        <f t="array" ref="G87">SUMPRODUCT(
  (INDEX('6. TIẾN ĐỘ MUA HÀNG'!$A$5:$AT644, 0, XMATCH("NCC VTBB/NL trong nước", '6. TIẾN ĐỘ MUA HÀNG'!$A$4:$AT$4, 0)) = $B87) * (TRIM(INDEX('6. TIẾN ĐỘ MUA HÀNG'!$A$5:$AT644, 0, XMATCH("Tháng", '6. TIẾN ĐỘ MUA HÀNG'!$A$4:$AT$4, 0))) = TRIM(F$6)) * (INDEX('6. TIẾN ĐỘ MUA HÀNG'!$A$5:$AT644, 0, XMATCH("CL NGÀY NCC DỰ KIẾN - NGÀY NHẬN HÀNG", '6. TIẾN ĐỘ MUA HÀNG'!$A$4:$AT$4, 0)) &lt; 0)
)</f>
        <v>0</v>
      </c>
      <c r="H87" s="757">
        <f t="shared" si="15"/>
        <v>0</v>
      </c>
      <c r="I87" s="754">
        <f t="array" ref="I87">SUMPRODUCT((TRIM(INDEX('6. TIẾN ĐỘ MUA HÀNG'!$A$5:$AT644, 0, XMATCH("NCC VTBB/NL trong nước", '6. TIẾN ĐỘ MUA HÀNG'!$A$4:$AT$4, 0))) = TRIM($B87)) * (TRIM(INDEX('6. TIẾN ĐỘ MUA HÀNG'!$A$5:$AT644, 0, XMATCH("Tháng", '6. TIẾN ĐỘ MUA HÀNG'!$A$4:$AT$4, 0))) = TRIM(I$6)) * (INDEX('6. TIẾN ĐỘ MUA HÀNG'!$A$5:$AT644, 0, XMATCH("Mã đơn Misa", '6. TIẾN ĐỘ MUA HÀNG'!$A$4:$AT$4, 0)) &lt;&gt; ""))</f>
        <v>0</v>
      </c>
      <c r="J87" s="754">
        <f t="array" ref="J87">SUMPRODUCT(
  (INDEX('6. TIẾN ĐỘ MUA HÀNG'!$A$5:$AT644, 0, XMATCH("NCC VTBB/NL trong nước", '6. TIẾN ĐỘ MUA HÀNG'!$A$4:$AT$4, 0)) = $B87) * (TRIM(INDEX('6. TIẾN ĐỘ MUA HÀNG'!$A$5:$AT644, 0, XMATCH("Tháng", '6. TIẾN ĐỘ MUA HÀNG'!$A$4:$AT$4, 0))) = TRIM(I$6)) * (INDEX('6. TIẾN ĐỘ MUA HÀNG'!$A$5:$AT644, 0, XMATCH("CL NGÀY NCC DỰ KIẾN - NGÀY NHẬN HÀNG", '6. TIẾN ĐỘ MUA HÀNG'!$A$4:$AT$4, 0)) &lt; 0)
)</f>
        <v>0</v>
      </c>
      <c r="K87" s="755">
        <f t="shared" si="30"/>
        <v>0</v>
      </c>
      <c r="L87" s="756">
        <f t="array" ref="L87">SUMPRODUCT((TRIM(INDEX('6. TIẾN ĐỘ MUA HÀNG'!$A$5:$AT644, 0, XMATCH("NCC VTBB/NL trong nước", '6. TIẾN ĐỘ MUA HÀNG'!$A$4:$AT$4, 0))) = TRIM($B87)) * (TRIM(INDEX('6. TIẾN ĐỘ MUA HÀNG'!$A$5:$AT644, 0, XMATCH("Tháng", '6. TIẾN ĐỘ MUA HÀNG'!$A$4:$AT$4, 0))) = TRIM(L$6)) * (INDEX('6. TIẾN ĐỘ MUA HÀNG'!$A$5:$AT644, 0, XMATCH("Mã đơn Misa", '6. TIẾN ĐỘ MUA HÀNG'!$A$4:$AT$4, 0)) &lt;&gt; ""))</f>
        <v>0</v>
      </c>
      <c r="M87" s="756">
        <f t="array" ref="M87">SUMPRODUCT(
  (INDEX('6. TIẾN ĐỘ MUA HÀNG'!$A$5:$AT644, 0, XMATCH("NCC VTBB/NL trong nước", '6. TIẾN ĐỘ MUA HÀNG'!$A$4:$AT$4, 0)) = $B87) * (TRIM(INDEX('6. TIẾN ĐỘ MUA HÀNG'!$A$5:$AT644, 0, XMATCH("Tháng", '6. TIẾN ĐỘ MUA HÀNG'!$A$4:$AT$4, 0))) = TRIM(L$6)) * (INDEX('6. TIẾN ĐỘ MUA HÀNG'!$A$5:$AT644, 0, XMATCH("CL NGÀY NCC DỰ KIẾN - NGÀY NHẬN HÀNG", '6. TIẾN ĐỘ MUA HÀNG'!$A$4:$AT$4, 0)) &lt; 0)
)</f>
        <v>0</v>
      </c>
      <c r="N87" s="757">
        <f t="shared" si="17"/>
        <v>0</v>
      </c>
      <c r="O87" s="754">
        <f t="array" ref="O87">SUMPRODUCT((TRIM(INDEX('6. TIẾN ĐỘ MUA HÀNG'!$A$5:$AT644, 0, XMATCH("NCC VTBB/NL trong nước", '6. TIẾN ĐỘ MUA HÀNG'!$A$4:$AT$4, 0))) = TRIM($B87)) * (TRIM(INDEX('6. TIẾN ĐỘ MUA HÀNG'!$A$5:$AT644, 0, XMATCH("Tháng", '6. TIẾN ĐỘ MUA HÀNG'!$A$4:$AT$4, 0))) = TRIM(O$6)) * (INDEX('6. TIẾN ĐỘ MUA HÀNG'!$A$5:$AT644, 0, XMATCH("Mã đơn Misa", '6. TIẾN ĐỘ MUA HÀNG'!$A$4:$AT$4, 0)) &lt;&gt; ""))</f>
        <v>0</v>
      </c>
      <c r="P87" s="754">
        <f t="array" ref="P87">SUMPRODUCT(
  (INDEX('6. TIẾN ĐỘ MUA HÀNG'!$A$5:$AT644, 0, XMATCH("NCC VTBB/NL trong nước", '6. TIẾN ĐỘ MUA HÀNG'!$A$4:$AT$4, 0)) = $B87) * (TRIM(INDEX('6. TIẾN ĐỘ MUA HÀNG'!$A$5:$AT644, 0, XMATCH("Tháng", '6. TIẾN ĐỘ MUA HÀNG'!$A$4:$AT$4, 0))) = TRIM(O$6)) * (INDEX('6. TIẾN ĐỘ MUA HÀNG'!$A$5:$AT644, 0, XMATCH("CL NGÀY NCC DỰ KIẾN - NGÀY NHẬN HÀNG", '6. TIẾN ĐỘ MUA HÀNG'!$A$4:$AT$4, 0)) &lt; 0)
)</f>
        <v>0</v>
      </c>
      <c r="Q87" s="755">
        <f t="shared" si="31"/>
        <v>0</v>
      </c>
      <c r="R87" s="756">
        <f t="array" ref="R87">SUMPRODUCT((TRIM(INDEX('6. TIẾN ĐỘ MUA HÀNG'!$A$5:$AT644, 0, XMATCH("NCC VTBB/NL trong nước", '6. TIẾN ĐỘ MUA HÀNG'!$A$4:$AT$4, 0))) = TRIM($B87)) * (TRIM(INDEX('6. TIẾN ĐỘ MUA HÀNG'!$A$5:$AT644, 0, XMATCH("Tháng", '6. TIẾN ĐỘ MUA HÀNG'!$A$4:$AT$4, 0))) = TRIM(R$6)) * (INDEX('6. TIẾN ĐỘ MUA HÀNG'!$A$5:$AT644, 0, XMATCH("Mã đơn Misa", '6. TIẾN ĐỘ MUA HÀNG'!$A$4:$AT$4, 0)) &lt;&gt; ""))</f>
        <v>0</v>
      </c>
      <c r="S87" s="756">
        <f t="array" ref="S87">SUMPRODUCT(
  (INDEX('6. TIẾN ĐỘ MUA HÀNG'!$A$5:$AT644, 0, XMATCH("NCC VTBB/NL trong nước", '6. TIẾN ĐỘ MUA HÀNG'!$A$4:$AT$4, 0)) = $B87) * (TRIM(INDEX('6. TIẾN ĐỘ MUA HÀNG'!$A$5:$AT644, 0, XMATCH("Tháng", '6. TIẾN ĐỘ MUA HÀNG'!$A$4:$AT$4, 0))) = TRIM(R$6)) * (INDEX('6. TIẾN ĐỘ MUA HÀNG'!$A$5:$AT644, 0, XMATCH("CL NGÀY NCC DỰ KIẾN - NGÀY NHẬN HÀNG", '6. TIẾN ĐỘ MUA HÀNG'!$A$4:$AT$4, 0)) &lt; 0)
)</f>
        <v>0</v>
      </c>
      <c r="T87" s="757">
        <f t="shared" si="19"/>
        <v>0</v>
      </c>
      <c r="U87" s="754">
        <f t="array" ref="U87">SUMPRODUCT((TRIM(INDEX('6. TIẾN ĐỘ MUA HÀNG'!$A$5:$AT644, 0, XMATCH("NCC VTBB/NL trong nước", '6. TIẾN ĐỘ MUA HÀNG'!$A$4:$AT$4, 0))) = TRIM($B87)) * (TRIM(INDEX('6. TIẾN ĐỘ MUA HÀNG'!$A$5:$AT644, 0, XMATCH("Tháng", '6. TIẾN ĐỘ MUA HÀNG'!$A$4:$AT$4, 0))) = TRIM(U$6)) * (INDEX('6. TIẾN ĐỘ MUA HÀNG'!$A$5:$AT644, 0, XMATCH("Mã đơn Misa", '6. TIẾN ĐỘ MUA HÀNG'!$A$4:$AT$4, 0)) &lt;&gt; ""))</f>
        <v>0</v>
      </c>
      <c r="V87" s="754">
        <f t="array" ref="V87">SUMPRODUCT(
  (INDEX('6. TIẾN ĐỘ MUA HÀNG'!$A$5:$AT644, 0, XMATCH("NCC VTBB/NL trong nước", '6. TIẾN ĐỘ MUA HÀNG'!$A$4:$AT$4, 0)) = $B87) * (TRIM(INDEX('6. TIẾN ĐỘ MUA HÀNG'!$A$5:$AT644, 0, XMATCH("Tháng", '6. TIẾN ĐỘ MUA HÀNG'!$A$4:$AT$4, 0))) = TRIM(U$6)) * (INDEX('6. TIẾN ĐỘ MUA HÀNG'!$A$5:$AT644, 0, XMATCH("CL NGÀY NCC DỰ KIẾN - NGÀY NHẬN HÀNG", '6. TIẾN ĐỘ MUA HÀNG'!$A$4:$AT$4, 0)) &lt; 0)
)</f>
        <v>0</v>
      </c>
      <c r="W87" s="755">
        <f t="shared" si="32"/>
        <v>0</v>
      </c>
      <c r="X87" s="756">
        <f t="array" ref="X87">SUMPRODUCT((TRIM(INDEX('6. TIẾN ĐỘ MUA HÀNG'!$A$5:$AT644, 0, XMATCH("NCC VTBB/NL trong nước", '6. TIẾN ĐỘ MUA HÀNG'!$A$4:$AT$4, 0))) = TRIM($B87)) * (TRIM(INDEX('6. TIẾN ĐỘ MUA HÀNG'!$A$5:$AT644, 0, XMATCH("Tháng", '6. TIẾN ĐỘ MUA HÀNG'!$A$4:$AT$4, 0))) = TRIM(X$6)) * (INDEX('6. TIẾN ĐỘ MUA HÀNG'!$A$5:$AT644, 0, XMATCH("Mã đơn Misa", '6. TIẾN ĐỘ MUA HÀNG'!$A$4:$AT$4, 0)) &lt;&gt; ""))</f>
        <v>0</v>
      </c>
      <c r="Y87" s="756">
        <f t="array" ref="Y87">SUMPRODUCT(
  (INDEX('6. TIẾN ĐỘ MUA HÀNG'!$A$5:$AT644, 0, XMATCH("NCC VTBB/NL trong nước", '6. TIẾN ĐỘ MUA HÀNG'!$A$4:$AT$4, 0)) = $B87) * (TRIM(INDEX('6. TIẾN ĐỘ MUA HÀNG'!$A$5:$AT644, 0, XMATCH("Tháng", '6. TIẾN ĐỘ MUA HÀNG'!$A$4:$AT$4, 0))) = TRIM(X$6)) * (INDEX('6. TIẾN ĐỘ MUA HÀNG'!$A$5:$AT644, 0, XMATCH("CL NGÀY NCC DỰ KIẾN - NGÀY NHẬN HÀNG", '6. TIẾN ĐỘ MUA HÀNG'!$A$4:$AT$4, 0)) &lt; 0)
)</f>
        <v>0</v>
      </c>
      <c r="Z87" s="757">
        <f t="shared" si="21"/>
        <v>0</v>
      </c>
      <c r="AA87" s="754">
        <f t="array" ref="AA87">SUMPRODUCT((TRIM(INDEX('6. TIẾN ĐỘ MUA HÀNG'!$A$5:$AT644, 0, XMATCH("NCC VTBB/NL trong nước", '6. TIẾN ĐỘ MUA HÀNG'!$A$4:$AT$4, 0))) = TRIM($B87)) * (TRIM(INDEX('6. TIẾN ĐỘ MUA HÀNG'!$A$5:$AT644, 0, XMATCH("Tháng", '6. TIẾN ĐỘ MUA HÀNG'!$A$4:$AT$4, 0))) = TRIM(AA$6)) * (INDEX('6. TIẾN ĐỘ MUA HÀNG'!$A$5:$AT644, 0, XMATCH("Mã đơn Misa", '6. TIẾN ĐỘ MUA HÀNG'!$A$4:$AT$4, 0)) &lt;&gt; ""))</f>
        <v>0</v>
      </c>
      <c r="AB87" s="754">
        <f t="array" ref="AB87">SUMPRODUCT(
  (INDEX('6. TIẾN ĐỘ MUA HÀNG'!$A$5:$AT644, 0, XMATCH("NCC VTBB/NL trong nước", '6. TIẾN ĐỘ MUA HÀNG'!$A$4:$AT$4, 0)) = $B87) * (TRIM(INDEX('6. TIẾN ĐỘ MUA HÀNG'!$A$5:$AT644, 0, XMATCH("Tháng", '6. TIẾN ĐỘ MUA HÀNG'!$A$4:$AT$4, 0))) = TRIM(AA$6)) * (INDEX('6. TIẾN ĐỘ MUA HÀNG'!$A$5:$AT644, 0, XMATCH("CL NGÀY NCC DỰ KIẾN - NGÀY NHẬN HÀNG", '6. TIẾN ĐỘ MUA HÀNG'!$A$4:$AT$4, 0)) &lt; 0)
)</f>
        <v>0</v>
      </c>
      <c r="AC87" s="755">
        <f t="shared" si="33"/>
        <v>0</v>
      </c>
      <c r="AD87" s="756">
        <f t="array" ref="AD87">SUMPRODUCT((TRIM(INDEX('6. TIẾN ĐỘ MUA HÀNG'!$A$5:$AT644, 0, XMATCH("NCC VTBB/NL trong nước", '6. TIẾN ĐỘ MUA HÀNG'!$A$4:$AT$4, 0))) = TRIM($B87)) * (TRIM(INDEX('6. TIẾN ĐỘ MUA HÀNG'!$A$5:$AT644, 0, XMATCH("Tháng", '6. TIẾN ĐỘ MUA HÀNG'!$A$4:$AT$4, 0))) = TRIM(AD$6)) * (INDEX('6. TIẾN ĐỘ MUA HÀNG'!$A$5:$AT644, 0, XMATCH("Mã đơn Misa", '6. TIẾN ĐỘ MUA HÀNG'!$A$4:$AT$4, 0)) &lt;&gt; ""))</f>
        <v>0</v>
      </c>
      <c r="AE87" s="756">
        <f t="array" ref="AE87">SUMPRODUCT(
  (INDEX('6. TIẾN ĐỘ MUA HÀNG'!$A$5:$AT644, 0, XMATCH("NCC VTBB/NL trong nước", '6. TIẾN ĐỘ MUA HÀNG'!$A$4:$AT$4, 0)) = $B87) * (TRIM(INDEX('6. TIẾN ĐỘ MUA HÀNG'!$A$5:$AT644, 0, XMATCH("Tháng", '6. TIẾN ĐỘ MUA HÀNG'!$A$4:$AT$4, 0))) = TRIM(AD$6)) * (INDEX('6. TIẾN ĐỘ MUA HÀNG'!$A$5:$AT644, 0, XMATCH("CL NGÀY NCC DỰ KIẾN - NGÀY NHẬN HÀNG", '6. TIẾN ĐỘ MUA HÀNG'!$A$4:$AT$4, 0)) &lt; 0)
)</f>
        <v>0</v>
      </c>
      <c r="AF87" s="757">
        <f t="shared" si="23"/>
        <v>0</v>
      </c>
      <c r="AG87" s="754">
        <f t="array" ref="AG87">SUMPRODUCT((TRIM(INDEX('6. TIẾN ĐỘ MUA HÀNG'!$A$5:$AT644, 0, XMATCH("NCC VTBB/NL trong nước", '6. TIẾN ĐỘ MUA HÀNG'!$A$4:$AT$4, 0))) = TRIM($B87)) * (TRIM(INDEX('6. TIẾN ĐỘ MUA HÀNG'!$A$5:$AT644, 0, XMATCH("Tháng", '6. TIẾN ĐỘ MUA HÀNG'!$A$4:$AT$4, 0))) = TRIM(AG$6)) * (INDEX('6. TIẾN ĐỘ MUA HÀNG'!$A$5:$AT644, 0, XMATCH("Mã đơn Misa", '6. TIẾN ĐỘ MUA HÀNG'!$A$4:$AT$4, 0)) &lt;&gt; ""))</f>
        <v>0</v>
      </c>
      <c r="AH87" s="754">
        <f t="array" ref="AH87">SUMPRODUCT(
  (INDEX('6. TIẾN ĐỘ MUA HÀNG'!$A$5:$AT644, 0, XMATCH("NCC VTBB/NL trong nước", '6. TIẾN ĐỘ MUA HÀNG'!$A$4:$AT$4, 0)) = $B87) * (TRIM(INDEX('6. TIẾN ĐỘ MUA HÀNG'!$A$5:$AT644, 0, XMATCH("Tháng", '6. TIẾN ĐỘ MUA HÀNG'!$A$4:$AT$4, 0))) = TRIM(AG$6)) * (INDEX('6. TIẾN ĐỘ MUA HÀNG'!$A$5:$AT644, 0, XMATCH("CL NGÀY NCC DỰ KIẾN - NGÀY NHẬN HÀNG", '6. TIẾN ĐỘ MUA HÀNG'!$A$4:$AT$4, 0)) &lt; 0)
)</f>
        <v>0</v>
      </c>
      <c r="AI87" s="755">
        <f t="shared" si="34"/>
        <v>0</v>
      </c>
      <c r="AJ87" s="756">
        <f t="array" ref="AJ87">SUMPRODUCT((TRIM(INDEX('6. TIẾN ĐỘ MUA HÀNG'!$A$5:$AT644, 0, XMATCH("NCC VTBB/NL trong nước", '6. TIẾN ĐỘ MUA HÀNG'!$A$4:$AT$4, 0))) = TRIM($B87)) * (TRIM(INDEX('6. TIẾN ĐỘ MUA HÀNG'!$A$5:$AT644, 0, XMATCH("Tháng", '6. TIẾN ĐỘ MUA HÀNG'!$A$4:$AT$4, 0))) = TRIM(AJ$6)) * (INDEX('6. TIẾN ĐỘ MUA HÀNG'!$A$5:$AT644, 0, XMATCH("Mã đơn Misa", '6. TIẾN ĐỘ MUA HÀNG'!$A$4:$AT$4, 0)) &lt;&gt; ""))</f>
        <v>0</v>
      </c>
      <c r="AK87" s="756">
        <f t="array" ref="AK87">SUMPRODUCT(
  (INDEX('6. TIẾN ĐỘ MUA HÀNG'!$A$5:$AT644, 0, XMATCH("NCC VTBB/NL trong nước", '6. TIẾN ĐỘ MUA HÀNG'!$A$4:$AT$4, 0)) = $B87) * (TRIM(INDEX('6. TIẾN ĐỘ MUA HÀNG'!$A$5:$AT644, 0, XMATCH("Tháng", '6. TIẾN ĐỘ MUA HÀNG'!$A$4:$AT$4, 0))) = TRIM(AJ$6)) * (INDEX('6. TIẾN ĐỘ MUA HÀNG'!$A$5:$AT644, 0, XMATCH("CL NGÀY NCC DỰ KIẾN - NGÀY NHẬN HÀNG", '6. TIẾN ĐỘ MUA HÀNG'!$A$4:$AT$4, 0)) &lt; 0)
)</f>
        <v>0</v>
      </c>
      <c r="AL87" s="757">
        <f t="shared" si="25"/>
        <v>0</v>
      </c>
      <c r="AM87" s="726">
        <f t="shared" si="27"/>
        <v>0</v>
      </c>
      <c r="AN87" s="726">
        <f t="shared" si="28"/>
        <v>0</v>
      </c>
      <c r="AO87" s="727">
        <f t="shared" si="26"/>
        <v>0</v>
      </c>
    </row>
    <row r="88">
      <c r="A88" s="612">
        <v>80.0</v>
      </c>
      <c r="B88" s="624" t="str">
        <f>IFERROR(__xludf.DUMMYFUNCTION("""COMPUTED_VALUE"""),"AMG")</f>
        <v>AMG</v>
      </c>
      <c r="C88" s="754">
        <f t="array" ref="C88">SUMPRODUCT((TRIM(INDEX('6. TIẾN ĐỘ MUA HÀNG'!$A$5:$AT644, 0, XMATCH("NCC VTBB/NL trong nước", '6. TIẾN ĐỘ MUA HÀNG'!$A$4:$AT$4, 0))) = TRIM($B88)) * (TRIM(INDEX('6. TIẾN ĐỘ MUA HÀNG'!$A$5:$AT644, 0, XMATCH("Tháng", '6. TIẾN ĐỘ MUA HÀNG'!$A$4:$AT$4, 0))) = TRIM(C$6)) * (INDEX('6. TIẾN ĐỘ MUA HÀNG'!$A$5:$AT644, 0, XMATCH("Mã đơn Misa", '6. TIẾN ĐỘ MUA HÀNG'!$A$4:$AT$4, 0)) &lt;&gt; ""))</f>
        <v>0</v>
      </c>
      <c r="D88" s="754">
        <f t="array" ref="D88">SUMPRODUCT(
  (INDEX('6. TIẾN ĐỘ MUA HÀNG'!$A$5:$AT644, 0, XMATCH("NCC VTBB/NL trong nước", '6. TIẾN ĐỘ MUA HÀNG'!$A$4:$AT$4, 0)) = $B88) * (TRIM(INDEX('6. TIẾN ĐỘ MUA HÀNG'!$A$5:$AT644, 0, XMATCH("Tháng", '6. TIẾN ĐỘ MUA HÀNG'!$A$4:$AT$4, 0))) = TRIM(C$6)) * (INDEX('6. TIẾN ĐỘ MUA HÀNG'!$A$5:$AT644, 0, XMATCH("CL NGÀY NCC DỰ KIẾN - NGÀY NHẬN HÀNG", '6. TIẾN ĐỘ MUA HÀNG'!$A$4:$AT$4, 0)) &lt; 0)
)</f>
        <v>0</v>
      </c>
      <c r="E88" s="755">
        <f t="shared" si="29"/>
        <v>0</v>
      </c>
      <c r="F88" s="756">
        <f t="array" ref="F88">SUMPRODUCT((TRIM(INDEX('6. TIẾN ĐỘ MUA HÀNG'!$A$5:$AT644, 0, XMATCH("NCC VTBB/NL trong nước", '6. TIẾN ĐỘ MUA HÀNG'!$A$4:$AT$4, 0))) = TRIM($B88)) * (TRIM(INDEX('6. TIẾN ĐỘ MUA HÀNG'!$A$5:$AT644, 0, XMATCH("Tháng", '6. TIẾN ĐỘ MUA HÀNG'!$A$4:$AT$4, 0))) = TRIM(F$6)) * (INDEX('6. TIẾN ĐỘ MUA HÀNG'!$A$5:$AT644, 0, XMATCH("Mã đơn Misa", '6. TIẾN ĐỘ MUA HÀNG'!$A$4:$AT$4, 0)) &lt;&gt; ""))</f>
        <v>0</v>
      </c>
      <c r="G88" s="756">
        <f t="array" ref="G88">SUMPRODUCT(
  (INDEX('6. TIẾN ĐỘ MUA HÀNG'!$A$5:$AT644, 0, XMATCH("NCC VTBB/NL trong nước", '6. TIẾN ĐỘ MUA HÀNG'!$A$4:$AT$4, 0)) = $B88) * (TRIM(INDEX('6. TIẾN ĐỘ MUA HÀNG'!$A$5:$AT644, 0, XMATCH("Tháng", '6. TIẾN ĐỘ MUA HÀNG'!$A$4:$AT$4, 0))) = TRIM(F$6)) * (INDEX('6. TIẾN ĐỘ MUA HÀNG'!$A$5:$AT644, 0, XMATCH("CL NGÀY NCC DỰ KIẾN - NGÀY NHẬN HÀNG", '6. TIẾN ĐỘ MUA HÀNG'!$A$4:$AT$4, 0)) &lt; 0)
)</f>
        <v>0</v>
      </c>
      <c r="H88" s="757">
        <f t="shared" si="15"/>
        <v>0</v>
      </c>
      <c r="I88" s="754">
        <f t="array" ref="I88">SUMPRODUCT((TRIM(INDEX('6. TIẾN ĐỘ MUA HÀNG'!$A$5:$AT644, 0, XMATCH("NCC VTBB/NL trong nước", '6. TIẾN ĐỘ MUA HÀNG'!$A$4:$AT$4, 0))) = TRIM($B88)) * (TRIM(INDEX('6. TIẾN ĐỘ MUA HÀNG'!$A$5:$AT644, 0, XMATCH("Tháng", '6. TIẾN ĐỘ MUA HÀNG'!$A$4:$AT$4, 0))) = TRIM(I$6)) * (INDEX('6. TIẾN ĐỘ MUA HÀNG'!$A$5:$AT644, 0, XMATCH("Mã đơn Misa", '6. TIẾN ĐỘ MUA HÀNG'!$A$4:$AT$4, 0)) &lt;&gt; ""))</f>
        <v>0</v>
      </c>
      <c r="J88" s="754">
        <f t="array" ref="J88">SUMPRODUCT(
  (INDEX('6. TIẾN ĐỘ MUA HÀNG'!$A$5:$AT644, 0, XMATCH("NCC VTBB/NL trong nước", '6. TIẾN ĐỘ MUA HÀNG'!$A$4:$AT$4, 0)) = $B88) * (TRIM(INDEX('6. TIẾN ĐỘ MUA HÀNG'!$A$5:$AT644, 0, XMATCH("Tháng", '6. TIẾN ĐỘ MUA HÀNG'!$A$4:$AT$4, 0))) = TRIM(I$6)) * (INDEX('6. TIẾN ĐỘ MUA HÀNG'!$A$5:$AT644, 0, XMATCH("CL NGÀY NCC DỰ KIẾN - NGÀY NHẬN HÀNG", '6. TIẾN ĐỘ MUA HÀNG'!$A$4:$AT$4, 0)) &lt; 0)
)</f>
        <v>0</v>
      </c>
      <c r="K88" s="755">
        <f t="shared" si="30"/>
        <v>0</v>
      </c>
      <c r="L88" s="756">
        <f t="array" ref="L88">SUMPRODUCT((TRIM(INDEX('6. TIẾN ĐỘ MUA HÀNG'!$A$5:$AT644, 0, XMATCH("NCC VTBB/NL trong nước", '6. TIẾN ĐỘ MUA HÀNG'!$A$4:$AT$4, 0))) = TRIM($B88)) * (TRIM(INDEX('6. TIẾN ĐỘ MUA HÀNG'!$A$5:$AT644, 0, XMATCH("Tháng", '6. TIẾN ĐỘ MUA HÀNG'!$A$4:$AT$4, 0))) = TRIM(L$6)) * (INDEX('6. TIẾN ĐỘ MUA HÀNG'!$A$5:$AT644, 0, XMATCH("Mã đơn Misa", '6. TIẾN ĐỘ MUA HÀNG'!$A$4:$AT$4, 0)) &lt;&gt; ""))</f>
        <v>0</v>
      </c>
      <c r="M88" s="756">
        <f t="array" ref="M88">SUMPRODUCT(
  (INDEX('6. TIẾN ĐỘ MUA HÀNG'!$A$5:$AT644, 0, XMATCH("NCC VTBB/NL trong nước", '6. TIẾN ĐỘ MUA HÀNG'!$A$4:$AT$4, 0)) = $B88) * (TRIM(INDEX('6. TIẾN ĐỘ MUA HÀNG'!$A$5:$AT644, 0, XMATCH("Tháng", '6. TIẾN ĐỘ MUA HÀNG'!$A$4:$AT$4, 0))) = TRIM(L$6)) * (INDEX('6. TIẾN ĐỘ MUA HÀNG'!$A$5:$AT644, 0, XMATCH("CL NGÀY NCC DỰ KIẾN - NGÀY NHẬN HÀNG", '6. TIẾN ĐỘ MUA HÀNG'!$A$4:$AT$4, 0)) &lt; 0)
)</f>
        <v>0</v>
      </c>
      <c r="N88" s="757">
        <f t="shared" si="17"/>
        <v>0</v>
      </c>
      <c r="O88" s="754">
        <f t="array" ref="O88">SUMPRODUCT((TRIM(INDEX('6. TIẾN ĐỘ MUA HÀNG'!$A$5:$AT644, 0, XMATCH("NCC VTBB/NL trong nước", '6. TIẾN ĐỘ MUA HÀNG'!$A$4:$AT$4, 0))) = TRIM($B88)) * (TRIM(INDEX('6. TIẾN ĐỘ MUA HÀNG'!$A$5:$AT644, 0, XMATCH("Tháng", '6. TIẾN ĐỘ MUA HÀNG'!$A$4:$AT$4, 0))) = TRIM(O$6)) * (INDEX('6. TIẾN ĐỘ MUA HÀNG'!$A$5:$AT644, 0, XMATCH("Mã đơn Misa", '6. TIẾN ĐỘ MUA HÀNG'!$A$4:$AT$4, 0)) &lt;&gt; ""))</f>
        <v>0</v>
      </c>
      <c r="P88" s="754">
        <f t="array" ref="P88">SUMPRODUCT(
  (INDEX('6. TIẾN ĐỘ MUA HÀNG'!$A$5:$AT644, 0, XMATCH("NCC VTBB/NL trong nước", '6. TIẾN ĐỘ MUA HÀNG'!$A$4:$AT$4, 0)) = $B88) * (TRIM(INDEX('6. TIẾN ĐỘ MUA HÀNG'!$A$5:$AT644, 0, XMATCH("Tháng", '6. TIẾN ĐỘ MUA HÀNG'!$A$4:$AT$4, 0))) = TRIM(O$6)) * (INDEX('6. TIẾN ĐỘ MUA HÀNG'!$A$5:$AT644, 0, XMATCH("CL NGÀY NCC DỰ KIẾN - NGÀY NHẬN HÀNG", '6. TIẾN ĐỘ MUA HÀNG'!$A$4:$AT$4, 0)) &lt; 0)
)</f>
        <v>0</v>
      </c>
      <c r="Q88" s="755">
        <f t="shared" si="31"/>
        <v>0</v>
      </c>
      <c r="R88" s="756">
        <f t="array" ref="R88">SUMPRODUCT((TRIM(INDEX('6. TIẾN ĐỘ MUA HÀNG'!$A$5:$AT644, 0, XMATCH("NCC VTBB/NL trong nước", '6. TIẾN ĐỘ MUA HÀNG'!$A$4:$AT$4, 0))) = TRIM($B88)) * (TRIM(INDEX('6. TIẾN ĐỘ MUA HÀNG'!$A$5:$AT644, 0, XMATCH("Tháng", '6. TIẾN ĐỘ MUA HÀNG'!$A$4:$AT$4, 0))) = TRIM(R$6)) * (INDEX('6. TIẾN ĐỘ MUA HÀNG'!$A$5:$AT644, 0, XMATCH("Mã đơn Misa", '6. TIẾN ĐỘ MUA HÀNG'!$A$4:$AT$4, 0)) &lt;&gt; ""))</f>
        <v>0</v>
      </c>
      <c r="S88" s="756">
        <f t="array" ref="S88">SUMPRODUCT(
  (INDEX('6. TIẾN ĐỘ MUA HÀNG'!$A$5:$AT644, 0, XMATCH("NCC VTBB/NL trong nước", '6. TIẾN ĐỘ MUA HÀNG'!$A$4:$AT$4, 0)) = $B88) * (TRIM(INDEX('6. TIẾN ĐỘ MUA HÀNG'!$A$5:$AT644, 0, XMATCH("Tháng", '6. TIẾN ĐỘ MUA HÀNG'!$A$4:$AT$4, 0))) = TRIM(R$6)) * (INDEX('6. TIẾN ĐỘ MUA HÀNG'!$A$5:$AT644, 0, XMATCH("CL NGÀY NCC DỰ KIẾN - NGÀY NHẬN HÀNG", '6. TIẾN ĐỘ MUA HÀNG'!$A$4:$AT$4, 0)) &lt; 0)
)</f>
        <v>0</v>
      </c>
      <c r="T88" s="757">
        <f t="shared" si="19"/>
        <v>0</v>
      </c>
      <c r="U88" s="754">
        <f t="array" ref="U88">SUMPRODUCT((TRIM(INDEX('6. TIẾN ĐỘ MUA HÀNG'!$A$5:$AT644, 0, XMATCH("NCC VTBB/NL trong nước", '6. TIẾN ĐỘ MUA HÀNG'!$A$4:$AT$4, 0))) = TRIM($B88)) * (TRIM(INDEX('6. TIẾN ĐỘ MUA HÀNG'!$A$5:$AT644, 0, XMATCH("Tháng", '6. TIẾN ĐỘ MUA HÀNG'!$A$4:$AT$4, 0))) = TRIM(U$6)) * (INDEX('6. TIẾN ĐỘ MUA HÀNG'!$A$5:$AT644, 0, XMATCH("Mã đơn Misa", '6. TIẾN ĐỘ MUA HÀNG'!$A$4:$AT$4, 0)) &lt;&gt; ""))</f>
        <v>0</v>
      </c>
      <c r="V88" s="754">
        <f t="array" ref="V88">SUMPRODUCT(
  (INDEX('6. TIẾN ĐỘ MUA HÀNG'!$A$5:$AT644, 0, XMATCH("NCC VTBB/NL trong nước", '6. TIẾN ĐỘ MUA HÀNG'!$A$4:$AT$4, 0)) = $B88) * (TRIM(INDEX('6. TIẾN ĐỘ MUA HÀNG'!$A$5:$AT644, 0, XMATCH("Tháng", '6. TIẾN ĐỘ MUA HÀNG'!$A$4:$AT$4, 0))) = TRIM(U$6)) * (INDEX('6. TIẾN ĐỘ MUA HÀNG'!$A$5:$AT644, 0, XMATCH("CL NGÀY NCC DỰ KIẾN - NGÀY NHẬN HÀNG", '6. TIẾN ĐỘ MUA HÀNG'!$A$4:$AT$4, 0)) &lt; 0)
)</f>
        <v>0</v>
      </c>
      <c r="W88" s="755">
        <f t="shared" si="32"/>
        <v>0</v>
      </c>
      <c r="X88" s="756">
        <f t="array" ref="X88">SUMPRODUCT((TRIM(INDEX('6. TIẾN ĐỘ MUA HÀNG'!$A$5:$AT644, 0, XMATCH("NCC VTBB/NL trong nước", '6. TIẾN ĐỘ MUA HÀNG'!$A$4:$AT$4, 0))) = TRIM($B88)) * (TRIM(INDEX('6. TIẾN ĐỘ MUA HÀNG'!$A$5:$AT644, 0, XMATCH("Tháng", '6. TIẾN ĐỘ MUA HÀNG'!$A$4:$AT$4, 0))) = TRIM(X$6)) * (INDEX('6. TIẾN ĐỘ MUA HÀNG'!$A$5:$AT644, 0, XMATCH("Mã đơn Misa", '6. TIẾN ĐỘ MUA HÀNG'!$A$4:$AT$4, 0)) &lt;&gt; ""))</f>
        <v>0</v>
      </c>
      <c r="Y88" s="756">
        <f t="array" ref="Y88">SUMPRODUCT(
  (INDEX('6. TIẾN ĐỘ MUA HÀNG'!$A$5:$AT644, 0, XMATCH("NCC VTBB/NL trong nước", '6. TIẾN ĐỘ MUA HÀNG'!$A$4:$AT$4, 0)) = $B88) * (TRIM(INDEX('6. TIẾN ĐỘ MUA HÀNG'!$A$5:$AT644, 0, XMATCH("Tháng", '6. TIẾN ĐỘ MUA HÀNG'!$A$4:$AT$4, 0))) = TRIM(X$6)) * (INDEX('6. TIẾN ĐỘ MUA HÀNG'!$A$5:$AT644, 0, XMATCH("CL NGÀY NCC DỰ KIẾN - NGÀY NHẬN HÀNG", '6. TIẾN ĐỘ MUA HÀNG'!$A$4:$AT$4, 0)) &lt; 0)
)</f>
        <v>0</v>
      </c>
      <c r="Z88" s="757">
        <f t="shared" si="21"/>
        <v>0</v>
      </c>
      <c r="AA88" s="754">
        <f t="array" ref="AA88">SUMPRODUCT((TRIM(INDEX('6. TIẾN ĐỘ MUA HÀNG'!$A$5:$AT644, 0, XMATCH("NCC VTBB/NL trong nước", '6. TIẾN ĐỘ MUA HÀNG'!$A$4:$AT$4, 0))) = TRIM($B88)) * (TRIM(INDEX('6. TIẾN ĐỘ MUA HÀNG'!$A$5:$AT644, 0, XMATCH("Tháng", '6. TIẾN ĐỘ MUA HÀNG'!$A$4:$AT$4, 0))) = TRIM(AA$6)) * (INDEX('6. TIẾN ĐỘ MUA HÀNG'!$A$5:$AT644, 0, XMATCH("Mã đơn Misa", '6. TIẾN ĐỘ MUA HÀNG'!$A$4:$AT$4, 0)) &lt;&gt; ""))</f>
        <v>0</v>
      </c>
      <c r="AB88" s="754">
        <f t="array" ref="AB88">SUMPRODUCT(
  (INDEX('6. TIẾN ĐỘ MUA HÀNG'!$A$5:$AT644, 0, XMATCH("NCC VTBB/NL trong nước", '6. TIẾN ĐỘ MUA HÀNG'!$A$4:$AT$4, 0)) = $B88) * (TRIM(INDEX('6. TIẾN ĐỘ MUA HÀNG'!$A$5:$AT644, 0, XMATCH("Tháng", '6. TIẾN ĐỘ MUA HÀNG'!$A$4:$AT$4, 0))) = TRIM(AA$6)) * (INDEX('6. TIẾN ĐỘ MUA HÀNG'!$A$5:$AT644, 0, XMATCH("CL NGÀY NCC DỰ KIẾN - NGÀY NHẬN HÀNG", '6. TIẾN ĐỘ MUA HÀNG'!$A$4:$AT$4, 0)) &lt; 0)
)</f>
        <v>0</v>
      </c>
      <c r="AC88" s="755">
        <f t="shared" si="33"/>
        <v>0</v>
      </c>
      <c r="AD88" s="756">
        <f t="array" ref="AD88">SUMPRODUCT((TRIM(INDEX('6. TIẾN ĐỘ MUA HÀNG'!$A$5:$AT644, 0, XMATCH("NCC VTBB/NL trong nước", '6. TIẾN ĐỘ MUA HÀNG'!$A$4:$AT$4, 0))) = TRIM($B88)) * (TRIM(INDEX('6. TIẾN ĐỘ MUA HÀNG'!$A$5:$AT644, 0, XMATCH("Tháng", '6. TIẾN ĐỘ MUA HÀNG'!$A$4:$AT$4, 0))) = TRIM(AD$6)) * (INDEX('6. TIẾN ĐỘ MUA HÀNG'!$A$5:$AT644, 0, XMATCH("Mã đơn Misa", '6. TIẾN ĐỘ MUA HÀNG'!$A$4:$AT$4, 0)) &lt;&gt; ""))</f>
        <v>0</v>
      </c>
      <c r="AE88" s="756">
        <f t="array" ref="AE88">SUMPRODUCT(
  (INDEX('6. TIẾN ĐỘ MUA HÀNG'!$A$5:$AT644, 0, XMATCH("NCC VTBB/NL trong nước", '6. TIẾN ĐỘ MUA HÀNG'!$A$4:$AT$4, 0)) = $B88) * (TRIM(INDEX('6. TIẾN ĐỘ MUA HÀNG'!$A$5:$AT644, 0, XMATCH("Tháng", '6. TIẾN ĐỘ MUA HÀNG'!$A$4:$AT$4, 0))) = TRIM(AD$6)) * (INDEX('6. TIẾN ĐỘ MUA HÀNG'!$A$5:$AT644, 0, XMATCH("CL NGÀY NCC DỰ KIẾN - NGÀY NHẬN HÀNG", '6. TIẾN ĐỘ MUA HÀNG'!$A$4:$AT$4, 0)) &lt; 0)
)</f>
        <v>0</v>
      </c>
      <c r="AF88" s="757">
        <f t="shared" si="23"/>
        <v>0</v>
      </c>
      <c r="AG88" s="754">
        <f t="array" ref="AG88">SUMPRODUCT((TRIM(INDEX('6. TIẾN ĐỘ MUA HÀNG'!$A$5:$AT644, 0, XMATCH("NCC VTBB/NL trong nước", '6. TIẾN ĐỘ MUA HÀNG'!$A$4:$AT$4, 0))) = TRIM($B88)) * (TRIM(INDEX('6. TIẾN ĐỘ MUA HÀNG'!$A$5:$AT644, 0, XMATCH("Tháng", '6. TIẾN ĐỘ MUA HÀNG'!$A$4:$AT$4, 0))) = TRIM(AG$6)) * (INDEX('6. TIẾN ĐỘ MUA HÀNG'!$A$5:$AT644, 0, XMATCH("Mã đơn Misa", '6. TIẾN ĐỘ MUA HÀNG'!$A$4:$AT$4, 0)) &lt;&gt; ""))</f>
        <v>0</v>
      </c>
      <c r="AH88" s="754">
        <f t="array" ref="AH88">SUMPRODUCT(
  (INDEX('6. TIẾN ĐỘ MUA HÀNG'!$A$5:$AT644, 0, XMATCH("NCC VTBB/NL trong nước", '6. TIẾN ĐỘ MUA HÀNG'!$A$4:$AT$4, 0)) = $B88) * (TRIM(INDEX('6. TIẾN ĐỘ MUA HÀNG'!$A$5:$AT644, 0, XMATCH("Tháng", '6. TIẾN ĐỘ MUA HÀNG'!$A$4:$AT$4, 0))) = TRIM(AG$6)) * (INDEX('6. TIẾN ĐỘ MUA HÀNG'!$A$5:$AT644, 0, XMATCH("CL NGÀY NCC DỰ KIẾN - NGÀY NHẬN HÀNG", '6. TIẾN ĐỘ MUA HÀNG'!$A$4:$AT$4, 0)) &lt; 0)
)</f>
        <v>0</v>
      </c>
      <c r="AI88" s="755">
        <f t="shared" si="34"/>
        <v>0</v>
      </c>
      <c r="AJ88" s="756">
        <f t="array" ref="AJ88">SUMPRODUCT((TRIM(INDEX('6. TIẾN ĐỘ MUA HÀNG'!$A$5:$AT644, 0, XMATCH("NCC VTBB/NL trong nước", '6. TIẾN ĐỘ MUA HÀNG'!$A$4:$AT$4, 0))) = TRIM($B88)) * (TRIM(INDEX('6. TIẾN ĐỘ MUA HÀNG'!$A$5:$AT644, 0, XMATCH("Tháng", '6. TIẾN ĐỘ MUA HÀNG'!$A$4:$AT$4, 0))) = TRIM(AJ$6)) * (INDEX('6. TIẾN ĐỘ MUA HÀNG'!$A$5:$AT644, 0, XMATCH("Mã đơn Misa", '6. TIẾN ĐỘ MUA HÀNG'!$A$4:$AT$4, 0)) &lt;&gt; ""))</f>
        <v>0</v>
      </c>
      <c r="AK88" s="756">
        <f t="array" ref="AK88">SUMPRODUCT(
  (INDEX('6. TIẾN ĐỘ MUA HÀNG'!$A$5:$AT644, 0, XMATCH("NCC VTBB/NL trong nước", '6. TIẾN ĐỘ MUA HÀNG'!$A$4:$AT$4, 0)) = $B88) * (TRIM(INDEX('6. TIẾN ĐỘ MUA HÀNG'!$A$5:$AT644, 0, XMATCH("Tháng", '6. TIẾN ĐỘ MUA HÀNG'!$A$4:$AT$4, 0))) = TRIM(AJ$6)) * (INDEX('6. TIẾN ĐỘ MUA HÀNG'!$A$5:$AT644, 0, XMATCH("CL NGÀY NCC DỰ KIẾN - NGÀY NHẬN HÀNG", '6. TIẾN ĐỘ MUA HÀNG'!$A$4:$AT$4, 0)) &lt; 0)
)</f>
        <v>0</v>
      </c>
      <c r="AL88" s="757">
        <f t="shared" si="25"/>
        <v>0</v>
      </c>
      <c r="AM88" s="726">
        <f t="shared" si="27"/>
        <v>0</v>
      </c>
      <c r="AN88" s="726">
        <f t="shared" si="28"/>
        <v>0</v>
      </c>
      <c r="AO88" s="727">
        <f t="shared" si="26"/>
        <v>0</v>
      </c>
    </row>
    <row r="89">
      <c r="A89" s="612">
        <v>81.0</v>
      </c>
      <c r="B89" s="624" t="str">
        <f>IFERROR(__xludf.DUMMYFUNCTION("""COMPUTED_VALUE"""),"VNT")</f>
        <v>VNT</v>
      </c>
      <c r="C89" s="754">
        <f t="array" ref="C89">SUMPRODUCT((TRIM(INDEX('6. TIẾN ĐỘ MUA HÀNG'!$A$5:$AT644, 0, XMATCH("NCC VTBB/NL trong nước", '6. TIẾN ĐỘ MUA HÀNG'!$A$4:$AT$4, 0))) = TRIM($B89)) * (TRIM(INDEX('6. TIẾN ĐỘ MUA HÀNG'!$A$5:$AT644, 0, XMATCH("Tháng", '6. TIẾN ĐỘ MUA HÀNG'!$A$4:$AT$4, 0))) = TRIM(C$6)) * (INDEX('6. TIẾN ĐỘ MUA HÀNG'!$A$5:$AT644, 0, XMATCH("Mã đơn Misa", '6. TIẾN ĐỘ MUA HÀNG'!$A$4:$AT$4, 0)) &lt;&gt; ""))</f>
        <v>0</v>
      </c>
      <c r="D89" s="754">
        <f t="array" ref="D89">SUMPRODUCT(
  (INDEX('6. TIẾN ĐỘ MUA HÀNG'!$A$5:$AT644, 0, XMATCH("NCC VTBB/NL trong nước", '6. TIẾN ĐỘ MUA HÀNG'!$A$4:$AT$4, 0)) = $B89) * (TRIM(INDEX('6. TIẾN ĐỘ MUA HÀNG'!$A$5:$AT644, 0, XMATCH("Tháng", '6. TIẾN ĐỘ MUA HÀNG'!$A$4:$AT$4, 0))) = TRIM(C$6)) * (INDEX('6. TIẾN ĐỘ MUA HÀNG'!$A$5:$AT644, 0, XMATCH("CL NGÀY NCC DỰ KIẾN - NGÀY NHẬN HÀNG", '6. TIẾN ĐỘ MUA HÀNG'!$A$4:$AT$4, 0)) &lt; 0)
)</f>
        <v>0</v>
      </c>
      <c r="E89" s="755">
        <f t="shared" si="29"/>
        <v>0</v>
      </c>
      <c r="F89" s="756">
        <f t="array" ref="F89">SUMPRODUCT((TRIM(INDEX('6. TIẾN ĐỘ MUA HÀNG'!$A$5:$AT644, 0, XMATCH("NCC VTBB/NL trong nước", '6. TIẾN ĐỘ MUA HÀNG'!$A$4:$AT$4, 0))) = TRIM($B89)) * (TRIM(INDEX('6. TIẾN ĐỘ MUA HÀNG'!$A$5:$AT644, 0, XMATCH("Tháng", '6. TIẾN ĐỘ MUA HÀNG'!$A$4:$AT$4, 0))) = TRIM(F$6)) * (INDEX('6. TIẾN ĐỘ MUA HÀNG'!$A$5:$AT644, 0, XMATCH("Mã đơn Misa", '6. TIẾN ĐỘ MUA HÀNG'!$A$4:$AT$4, 0)) &lt;&gt; ""))</f>
        <v>0</v>
      </c>
      <c r="G89" s="756">
        <f t="array" ref="G89">SUMPRODUCT(
  (INDEX('6. TIẾN ĐỘ MUA HÀNG'!$A$5:$AT644, 0, XMATCH("NCC VTBB/NL trong nước", '6. TIẾN ĐỘ MUA HÀNG'!$A$4:$AT$4, 0)) = $B89) * (TRIM(INDEX('6. TIẾN ĐỘ MUA HÀNG'!$A$5:$AT644, 0, XMATCH("Tháng", '6. TIẾN ĐỘ MUA HÀNG'!$A$4:$AT$4, 0))) = TRIM(F$6)) * (INDEX('6. TIẾN ĐỘ MUA HÀNG'!$A$5:$AT644, 0, XMATCH("CL NGÀY NCC DỰ KIẾN - NGÀY NHẬN HÀNG", '6. TIẾN ĐỘ MUA HÀNG'!$A$4:$AT$4, 0)) &lt; 0)
)</f>
        <v>0</v>
      </c>
      <c r="H89" s="757">
        <f t="shared" si="15"/>
        <v>0</v>
      </c>
      <c r="I89" s="754">
        <f t="array" ref="I89">SUMPRODUCT((TRIM(INDEX('6. TIẾN ĐỘ MUA HÀNG'!$A$5:$AT644, 0, XMATCH("NCC VTBB/NL trong nước", '6. TIẾN ĐỘ MUA HÀNG'!$A$4:$AT$4, 0))) = TRIM($B89)) * (TRIM(INDEX('6. TIẾN ĐỘ MUA HÀNG'!$A$5:$AT644, 0, XMATCH("Tháng", '6. TIẾN ĐỘ MUA HÀNG'!$A$4:$AT$4, 0))) = TRIM(I$6)) * (INDEX('6. TIẾN ĐỘ MUA HÀNG'!$A$5:$AT644, 0, XMATCH("Mã đơn Misa", '6. TIẾN ĐỘ MUA HÀNG'!$A$4:$AT$4, 0)) &lt;&gt; ""))</f>
        <v>0</v>
      </c>
      <c r="J89" s="754">
        <f t="array" ref="J89">SUMPRODUCT(
  (INDEX('6. TIẾN ĐỘ MUA HÀNG'!$A$5:$AT644, 0, XMATCH("NCC VTBB/NL trong nước", '6. TIẾN ĐỘ MUA HÀNG'!$A$4:$AT$4, 0)) = $B89) * (TRIM(INDEX('6. TIẾN ĐỘ MUA HÀNG'!$A$5:$AT644, 0, XMATCH("Tháng", '6. TIẾN ĐỘ MUA HÀNG'!$A$4:$AT$4, 0))) = TRIM(I$6)) * (INDEX('6. TIẾN ĐỘ MUA HÀNG'!$A$5:$AT644, 0, XMATCH("CL NGÀY NCC DỰ KIẾN - NGÀY NHẬN HÀNG", '6. TIẾN ĐỘ MUA HÀNG'!$A$4:$AT$4, 0)) &lt; 0)
)</f>
        <v>0</v>
      </c>
      <c r="K89" s="755">
        <f t="shared" si="30"/>
        <v>0</v>
      </c>
      <c r="L89" s="756">
        <f t="array" ref="L89">SUMPRODUCT((TRIM(INDEX('6. TIẾN ĐỘ MUA HÀNG'!$A$5:$AT644, 0, XMATCH("NCC VTBB/NL trong nước", '6. TIẾN ĐỘ MUA HÀNG'!$A$4:$AT$4, 0))) = TRIM($B89)) * (TRIM(INDEX('6. TIẾN ĐỘ MUA HÀNG'!$A$5:$AT644, 0, XMATCH("Tháng", '6. TIẾN ĐỘ MUA HÀNG'!$A$4:$AT$4, 0))) = TRIM(L$6)) * (INDEX('6. TIẾN ĐỘ MUA HÀNG'!$A$5:$AT644, 0, XMATCH("Mã đơn Misa", '6. TIẾN ĐỘ MUA HÀNG'!$A$4:$AT$4, 0)) &lt;&gt; ""))</f>
        <v>0</v>
      </c>
      <c r="M89" s="756">
        <f t="array" ref="M89">SUMPRODUCT(
  (INDEX('6. TIẾN ĐỘ MUA HÀNG'!$A$5:$AT644, 0, XMATCH("NCC VTBB/NL trong nước", '6. TIẾN ĐỘ MUA HÀNG'!$A$4:$AT$4, 0)) = $B89) * (TRIM(INDEX('6. TIẾN ĐỘ MUA HÀNG'!$A$5:$AT644, 0, XMATCH("Tháng", '6. TIẾN ĐỘ MUA HÀNG'!$A$4:$AT$4, 0))) = TRIM(L$6)) * (INDEX('6. TIẾN ĐỘ MUA HÀNG'!$A$5:$AT644, 0, XMATCH("CL NGÀY NCC DỰ KIẾN - NGÀY NHẬN HÀNG", '6. TIẾN ĐỘ MUA HÀNG'!$A$4:$AT$4, 0)) &lt; 0)
)</f>
        <v>0</v>
      </c>
      <c r="N89" s="757">
        <f t="shared" si="17"/>
        <v>0</v>
      </c>
      <c r="O89" s="754">
        <f t="array" ref="O89">SUMPRODUCT((TRIM(INDEX('6. TIẾN ĐỘ MUA HÀNG'!$A$5:$AT644, 0, XMATCH("NCC VTBB/NL trong nước", '6. TIẾN ĐỘ MUA HÀNG'!$A$4:$AT$4, 0))) = TRIM($B89)) * (TRIM(INDEX('6. TIẾN ĐỘ MUA HÀNG'!$A$5:$AT644, 0, XMATCH("Tháng", '6. TIẾN ĐỘ MUA HÀNG'!$A$4:$AT$4, 0))) = TRIM(O$6)) * (INDEX('6. TIẾN ĐỘ MUA HÀNG'!$A$5:$AT644, 0, XMATCH("Mã đơn Misa", '6. TIẾN ĐỘ MUA HÀNG'!$A$4:$AT$4, 0)) &lt;&gt; ""))</f>
        <v>0</v>
      </c>
      <c r="P89" s="754">
        <f t="array" ref="P89">SUMPRODUCT(
  (INDEX('6. TIẾN ĐỘ MUA HÀNG'!$A$5:$AT644, 0, XMATCH("NCC VTBB/NL trong nước", '6. TIẾN ĐỘ MUA HÀNG'!$A$4:$AT$4, 0)) = $B89) * (TRIM(INDEX('6. TIẾN ĐỘ MUA HÀNG'!$A$5:$AT644, 0, XMATCH("Tháng", '6. TIẾN ĐỘ MUA HÀNG'!$A$4:$AT$4, 0))) = TRIM(O$6)) * (INDEX('6. TIẾN ĐỘ MUA HÀNG'!$A$5:$AT644, 0, XMATCH("CL NGÀY NCC DỰ KIẾN - NGÀY NHẬN HÀNG", '6. TIẾN ĐỘ MUA HÀNG'!$A$4:$AT$4, 0)) &lt; 0)
)</f>
        <v>0</v>
      </c>
      <c r="Q89" s="755">
        <f t="shared" si="31"/>
        <v>0</v>
      </c>
      <c r="R89" s="756">
        <f t="array" ref="R89">SUMPRODUCT((TRIM(INDEX('6. TIẾN ĐỘ MUA HÀNG'!$A$5:$AT644, 0, XMATCH("NCC VTBB/NL trong nước", '6. TIẾN ĐỘ MUA HÀNG'!$A$4:$AT$4, 0))) = TRIM($B89)) * (TRIM(INDEX('6. TIẾN ĐỘ MUA HÀNG'!$A$5:$AT644, 0, XMATCH("Tháng", '6. TIẾN ĐỘ MUA HÀNG'!$A$4:$AT$4, 0))) = TRIM(R$6)) * (INDEX('6. TIẾN ĐỘ MUA HÀNG'!$A$5:$AT644, 0, XMATCH("Mã đơn Misa", '6. TIẾN ĐỘ MUA HÀNG'!$A$4:$AT$4, 0)) &lt;&gt; ""))</f>
        <v>0</v>
      </c>
      <c r="S89" s="756">
        <f t="array" ref="S89">SUMPRODUCT(
  (INDEX('6. TIẾN ĐỘ MUA HÀNG'!$A$5:$AT644, 0, XMATCH("NCC VTBB/NL trong nước", '6. TIẾN ĐỘ MUA HÀNG'!$A$4:$AT$4, 0)) = $B89) * (TRIM(INDEX('6. TIẾN ĐỘ MUA HÀNG'!$A$5:$AT644, 0, XMATCH("Tháng", '6. TIẾN ĐỘ MUA HÀNG'!$A$4:$AT$4, 0))) = TRIM(R$6)) * (INDEX('6. TIẾN ĐỘ MUA HÀNG'!$A$5:$AT644, 0, XMATCH("CL NGÀY NCC DỰ KIẾN - NGÀY NHẬN HÀNG", '6. TIẾN ĐỘ MUA HÀNG'!$A$4:$AT$4, 0)) &lt; 0)
)</f>
        <v>0</v>
      </c>
      <c r="T89" s="757">
        <f t="shared" si="19"/>
        <v>0</v>
      </c>
      <c r="U89" s="754">
        <f t="array" ref="U89">SUMPRODUCT((TRIM(INDEX('6. TIẾN ĐỘ MUA HÀNG'!$A$5:$AT644, 0, XMATCH("NCC VTBB/NL trong nước", '6. TIẾN ĐỘ MUA HÀNG'!$A$4:$AT$4, 0))) = TRIM($B89)) * (TRIM(INDEX('6. TIẾN ĐỘ MUA HÀNG'!$A$5:$AT644, 0, XMATCH("Tháng", '6. TIẾN ĐỘ MUA HÀNG'!$A$4:$AT$4, 0))) = TRIM(U$6)) * (INDEX('6. TIẾN ĐỘ MUA HÀNG'!$A$5:$AT644, 0, XMATCH("Mã đơn Misa", '6. TIẾN ĐỘ MUA HÀNG'!$A$4:$AT$4, 0)) &lt;&gt; ""))</f>
        <v>0</v>
      </c>
      <c r="V89" s="754">
        <f t="array" ref="V89">SUMPRODUCT(
  (INDEX('6. TIẾN ĐỘ MUA HÀNG'!$A$5:$AT644, 0, XMATCH("NCC VTBB/NL trong nước", '6. TIẾN ĐỘ MUA HÀNG'!$A$4:$AT$4, 0)) = $B89) * (TRIM(INDEX('6. TIẾN ĐỘ MUA HÀNG'!$A$5:$AT644, 0, XMATCH("Tháng", '6. TIẾN ĐỘ MUA HÀNG'!$A$4:$AT$4, 0))) = TRIM(U$6)) * (INDEX('6. TIẾN ĐỘ MUA HÀNG'!$A$5:$AT644, 0, XMATCH("CL NGÀY NCC DỰ KIẾN - NGÀY NHẬN HÀNG", '6. TIẾN ĐỘ MUA HÀNG'!$A$4:$AT$4, 0)) &lt; 0)
)</f>
        <v>0</v>
      </c>
      <c r="W89" s="755">
        <f t="shared" si="32"/>
        <v>0</v>
      </c>
      <c r="X89" s="756">
        <f t="array" ref="X89">SUMPRODUCT((TRIM(INDEX('6. TIẾN ĐỘ MUA HÀNG'!$A$5:$AT644, 0, XMATCH("NCC VTBB/NL trong nước", '6. TIẾN ĐỘ MUA HÀNG'!$A$4:$AT$4, 0))) = TRIM($B89)) * (TRIM(INDEX('6. TIẾN ĐỘ MUA HÀNG'!$A$5:$AT644, 0, XMATCH("Tháng", '6. TIẾN ĐỘ MUA HÀNG'!$A$4:$AT$4, 0))) = TRIM(X$6)) * (INDEX('6. TIẾN ĐỘ MUA HÀNG'!$A$5:$AT644, 0, XMATCH("Mã đơn Misa", '6. TIẾN ĐỘ MUA HÀNG'!$A$4:$AT$4, 0)) &lt;&gt; ""))</f>
        <v>0</v>
      </c>
      <c r="Y89" s="756">
        <f t="array" ref="Y89">SUMPRODUCT(
  (INDEX('6. TIẾN ĐỘ MUA HÀNG'!$A$5:$AT644, 0, XMATCH("NCC VTBB/NL trong nước", '6. TIẾN ĐỘ MUA HÀNG'!$A$4:$AT$4, 0)) = $B89) * (TRIM(INDEX('6. TIẾN ĐỘ MUA HÀNG'!$A$5:$AT644, 0, XMATCH("Tháng", '6. TIẾN ĐỘ MUA HÀNG'!$A$4:$AT$4, 0))) = TRIM(X$6)) * (INDEX('6. TIẾN ĐỘ MUA HÀNG'!$A$5:$AT644, 0, XMATCH("CL NGÀY NCC DỰ KIẾN - NGÀY NHẬN HÀNG", '6. TIẾN ĐỘ MUA HÀNG'!$A$4:$AT$4, 0)) &lt; 0)
)</f>
        <v>0</v>
      </c>
      <c r="Z89" s="757">
        <f t="shared" si="21"/>
        <v>0</v>
      </c>
      <c r="AA89" s="754">
        <f t="array" ref="AA89">SUMPRODUCT((TRIM(INDEX('6. TIẾN ĐỘ MUA HÀNG'!$A$5:$AT644, 0, XMATCH("NCC VTBB/NL trong nước", '6. TIẾN ĐỘ MUA HÀNG'!$A$4:$AT$4, 0))) = TRIM($B89)) * (TRIM(INDEX('6. TIẾN ĐỘ MUA HÀNG'!$A$5:$AT644, 0, XMATCH("Tháng", '6. TIẾN ĐỘ MUA HÀNG'!$A$4:$AT$4, 0))) = TRIM(AA$6)) * (INDEX('6. TIẾN ĐỘ MUA HÀNG'!$A$5:$AT644, 0, XMATCH("Mã đơn Misa", '6. TIẾN ĐỘ MUA HÀNG'!$A$4:$AT$4, 0)) &lt;&gt; ""))</f>
        <v>0</v>
      </c>
      <c r="AB89" s="754">
        <f t="array" ref="AB89">SUMPRODUCT(
  (INDEX('6. TIẾN ĐỘ MUA HÀNG'!$A$5:$AT644, 0, XMATCH("NCC VTBB/NL trong nước", '6. TIẾN ĐỘ MUA HÀNG'!$A$4:$AT$4, 0)) = $B89) * (TRIM(INDEX('6. TIẾN ĐỘ MUA HÀNG'!$A$5:$AT644, 0, XMATCH("Tháng", '6. TIẾN ĐỘ MUA HÀNG'!$A$4:$AT$4, 0))) = TRIM(AA$6)) * (INDEX('6. TIẾN ĐỘ MUA HÀNG'!$A$5:$AT644, 0, XMATCH("CL NGÀY NCC DỰ KIẾN - NGÀY NHẬN HÀNG", '6. TIẾN ĐỘ MUA HÀNG'!$A$4:$AT$4, 0)) &lt; 0)
)</f>
        <v>0</v>
      </c>
      <c r="AC89" s="755">
        <f t="shared" si="33"/>
        <v>0</v>
      </c>
      <c r="AD89" s="756">
        <f t="array" ref="AD89">SUMPRODUCT((TRIM(INDEX('6. TIẾN ĐỘ MUA HÀNG'!$A$5:$AT644, 0, XMATCH("NCC VTBB/NL trong nước", '6. TIẾN ĐỘ MUA HÀNG'!$A$4:$AT$4, 0))) = TRIM($B89)) * (TRIM(INDEX('6. TIẾN ĐỘ MUA HÀNG'!$A$5:$AT644, 0, XMATCH("Tháng", '6. TIẾN ĐỘ MUA HÀNG'!$A$4:$AT$4, 0))) = TRIM(AD$6)) * (INDEX('6. TIẾN ĐỘ MUA HÀNG'!$A$5:$AT644, 0, XMATCH("Mã đơn Misa", '6. TIẾN ĐỘ MUA HÀNG'!$A$4:$AT$4, 0)) &lt;&gt; ""))</f>
        <v>0</v>
      </c>
      <c r="AE89" s="756">
        <f t="array" ref="AE89">SUMPRODUCT(
  (INDEX('6. TIẾN ĐỘ MUA HÀNG'!$A$5:$AT644, 0, XMATCH("NCC VTBB/NL trong nước", '6. TIẾN ĐỘ MUA HÀNG'!$A$4:$AT$4, 0)) = $B89) * (TRIM(INDEX('6. TIẾN ĐỘ MUA HÀNG'!$A$5:$AT644, 0, XMATCH("Tháng", '6. TIẾN ĐỘ MUA HÀNG'!$A$4:$AT$4, 0))) = TRIM(AD$6)) * (INDEX('6. TIẾN ĐỘ MUA HÀNG'!$A$5:$AT644, 0, XMATCH("CL NGÀY NCC DỰ KIẾN - NGÀY NHẬN HÀNG", '6. TIẾN ĐỘ MUA HÀNG'!$A$4:$AT$4, 0)) &lt; 0)
)</f>
        <v>0</v>
      </c>
      <c r="AF89" s="757">
        <f t="shared" si="23"/>
        <v>0</v>
      </c>
      <c r="AG89" s="754">
        <f t="array" ref="AG89">SUMPRODUCT((TRIM(INDEX('6. TIẾN ĐỘ MUA HÀNG'!$A$5:$AT644, 0, XMATCH("NCC VTBB/NL trong nước", '6. TIẾN ĐỘ MUA HÀNG'!$A$4:$AT$4, 0))) = TRIM($B89)) * (TRIM(INDEX('6. TIẾN ĐỘ MUA HÀNG'!$A$5:$AT644, 0, XMATCH("Tháng", '6. TIẾN ĐỘ MUA HÀNG'!$A$4:$AT$4, 0))) = TRIM(AG$6)) * (INDEX('6. TIẾN ĐỘ MUA HÀNG'!$A$5:$AT644, 0, XMATCH("Mã đơn Misa", '6. TIẾN ĐỘ MUA HÀNG'!$A$4:$AT$4, 0)) &lt;&gt; ""))</f>
        <v>0</v>
      </c>
      <c r="AH89" s="754">
        <f t="array" ref="AH89">SUMPRODUCT(
  (INDEX('6. TIẾN ĐỘ MUA HÀNG'!$A$5:$AT644, 0, XMATCH("NCC VTBB/NL trong nước", '6. TIẾN ĐỘ MUA HÀNG'!$A$4:$AT$4, 0)) = $B89) * (TRIM(INDEX('6. TIẾN ĐỘ MUA HÀNG'!$A$5:$AT644, 0, XMATCH("Tháng", '6. TIẾN ĐỘ MUA HÀNG'!$A$4:$AT$4, 0))) = TRIM(AG$6)) * (INDEX('6. TIẾN ĐỘ MUA HÀNG'!$A$5:$AT644, 0, XMATCH("CL NGÀY NCC DỰ KIẾN - NGÀY NHẬN HÀNG", '6. TIẾN ĐỘ MUA HÀNG'!$A$4:$AT$4, 0)) &lt; 0)
)</f>
        <v>0</v>
      </c>
      <c r="AI89" s="755">
        <f t="shared" si="34"/>
        <v>0</v>
      </c>
      <c r="AJ89" s="756">
        <f t="array" ref="AJ89">SUMPRODUCT((TRIM(INDEX('6. TIẾN ĐỘ MUA HÀNG'!$A$5:$AT644, 0, XMATCH("NCC VTBB/NL trong nước", '6. TIẾN ĐỘ MUA HÀNG'!$A$4:$AT$4, 0))) = TRIM($B89)) * (TRIM(INDEX('6. TIẾN ĐỘ MUA HÀNG'!$A$5:$AT644, 0, XMATCH("Tháng", '6. TIẾN ĐỘ MUA HÀNG'!$A$4:$AT$4, 0))) = TRIM(AJ$6)) * (INDEX('6. TIẾN ĐỘ MUA HÀNG'!$A$5:$AT644, 0, XMATCH("Mã đơn Misa", '6. TIẾN ĐỘ MUA HÀNG'!$A$4:$AT$4, 0)) &lt;&gt; ""))</f>
        <v>0</v>
      </c>
      <c r="AK89" s="756">
        <f t="array" ref="AK89">SUMPRODUCT(
  (INDEX('6. TIẾN ĐỘ MUA HÀNG'!$A$5:$AT644, 0, XMATCH("NCC VTBB/NL trong nước", '6. TIẾN ĐỘ MUA HÀNG'!$A$4:$AT$4, 0)) = $B89) * (TRIM(INDEX('6. TIẾN ĐỘ MUA HÀNG'!$A$5:$AT644, 0, XMATCH("Tháng", '6. TIẾN ĐỘ MUA HÀNG'!$A$4:$AT$4, 0))) = TRIM(AJ$6)) * (INDEX('6. TIẾN ĐỘ MUA HÀNG'!$A$5:$AT644, 0, XMATCH("CL NGÀY NCC DỰ KIẾN - NGÀY NHẬN HÀNG", '6. TIẾN ĐỘ MUA HÀNG'!$A$4:$AT$4, 0)) &lt; 0)
)</f>
        <v>0</v>
      </c>
      <c r="AL89" s="757">
        <f t="shared" si="25"/>
        <v>0</v>
      </c>
      <c r="AM89" s="726">
        <f t="shared" si="27"/>
        <v>0</v>
      </c>
      <c r="AN89" s="726">
        <f t="shared" si="28"/>
        <v>0</v>
      </c>
      <c r="AO89" s="727">
        <f t="shared" si="26"/>
        <v>0</v>
      </c>
    </row>
    <row r="90">
      <c r="A90" s="612">
        <v>82.0</v>
      </c>
      <c r="B90" s="624" t="str">
        <f>IFERROR(__xludf.DUMMYFUNCTION("""COMPUTED_VALUE"""),"Short Hills")</f>
        <v>Short Hills</v>
      </c>
      <c r="C90" s="754">
        <f t="array" ref="C90">SUMPRODUCT((TRIM(INDEX('6. TIẾN ĐỘ MUA HÀNG'!$A$5:$AT644, 0, XMATCH("NCC VTBB/NL trong nước", '6. TIẾN ĐỘ MUA HÀNG'!$A$4:$AT$4, 0))) = TRIM($B90)) * (TRIM(INDEX('6. TIẾN ĐỘ MUA HÀNG'!$A$5:$AT644, 0, XMATCH("Tháng", '6. TIẾN ĐỘ MUA HÀNG'!$A$4:$AT$4, 0))) = TRIM(C$6)) * (INDEX('6. TIẾN ĐỘ MUA HÀNG'!$A$5:$AT644, 0, XMATCH("Mã đơn Misa", '6. TIẾN ĐỘ MUA HÀNG'!$A$4:$AT$4, 0)) &lt;&gt; ""))</f>
        <v>0</v>
      </c>
      <c r="D90" s="754">
        <f t="array" ref="D90">SUMPRODUCT(
  (INDEX('6. TIẾN ĐỘ MUA HÀNG'!$A$5:$AT644, 0, XMATCH("NCC VTBB/NL trong nước", '6. TIẾN ĐỘ MUA HÀNG'!$A$4:$AT$4, 0)) = $B90) * (TRIM(INDEX('6. TIẾN ĐỘ MUA HÀNG'!$A$5:$AT644, 0, XMATCH("Tháng", '6. TIẾN ĐỘ MUA HÀNG'!$A$4:$AT$4, 0))) = TRIM(C$6)) * (INDEX('6. TIẾN ĐỘ MUA HÀNG'!$A$5:$AT644, 0, XMATCH("CL NGÀY NCC DỰ KIẾN - NGÀY NHẬN HÀNG", '6. TIẾN ĐỘ MUA HÀNG'!$A$4:$AT$4, 0)) &lt; 0)
)</f>
        <v>0</v>
      </c>
      <c r="E90" s="755">
        <f t="shared" si="29"/>
        <v>0</v>
      </c>
      <c r="F90" s="756">
        <f t="array" ref="F90">SUMPRODUCT((TRIM(INDEX('6. TIẾN ĐỘ MUA HÀNG'!$A$5:$AT644, 0, XMATCH("NCC VTBB/NL trong nước", '6. TIẾN ĐỘ MUA HÀNG'!$A$4:$AT$4, 0))) = TRIM($B90)) * (TRIM(INDEX('6. TIẾN ĐỘ MUA HÀNG'!$A$5:$AT644, 0, XMATCH("Tháng", '6. TIẾN ĐỘ MUA HÀNG'!$A$4:$AT$4, 0))) = TRIM(F$6)) * (INDEX('6. TIẾN ĐỘ MUA HÀNG'!$A$5:$AT644, 0, XMATCH("Mã đơn Misa", '6. TIẾN ĐỘ MUA HÀNG'!$A$4:$AT$4, 0)) &lt;&gt; ""))</f>
        <v>0</v>
      </c>
      <c r="G90" s="756">
        <f t="array" ref="G90">SUMPRODUCT(
  (INDEX('6. TIẾN ĐỘ MUA HÀNG'!$A$5:$AT644, 0, XMATCH("NCC VTBB/NL trong nước", '6. TIẾN ĐỘ MUA HÀNG'!$A$4:$AT$4, 0)) = $B90) * (TRIM(INDEX('6. TIẾN ĐỘ MUA HÀNG'!$A$5:$AT644, 0, XMATCH("Tháng", '6. TIẾN ĐỘ MUA HÀNG'!$A$4:$AT$4, 0))) = TRIM(F$6)) * (INDEX('6. TIẾN ĐỘ MUA HÀNG'!$A$5:$AT644, 0, XMATCH("CL NGÀY NCC DỰ KIẾN - NGÀY NHẬN HÀNG", '6. TIẾN ĐỘ MUA HÀNG'!$A$4:$AT$4, 0)) &lt; 0)
)</f>
        <v>0</v>
      </c>
      <c r="H90" s="757">
        <f t="shared" si="15"/>
        <v>0</v>
      </c>
      <c r="I90" s="754">
        <f t="array" ref="I90">SUMPRODUCT((TRIM(INDEX('6. TIẾN ĐỘ MUA HÀNG'!$A$5:$AT644, 0, XMATCH("NCC VTBB/NL trong nước", '6. TIẾN ĐỘ MUA HÀNG'!$A$4:$AT$4, 0))) = TRIM($B90)) * (TRIM(INDEX('6. TIẾN ĐỘ MUA HÀNG'!$A$5:$AT644, 0, XMATCH("Tháng", '6. TIẾN ĐỘ MUA HÀNG'!$A$4:$AT$4, 0))) = TRIM(I$6)) * (INDEX('6. TIẾN ĐỘ MUA HÀNG'!$A$5:$AT644, 0, XMATCH("Mã đơn Misa", '6. TIẾN ĐỘ MUA HÀNG'!$A$4:$AT$4, 0)) &lt;&gt; ""))</f>
        <v>0</v>
      </c>
      <c r="J90" s="754">
        <f t="array" ref="J90">SUMPRODUCT(
  (INDEX('6. TIẾN ĐỘ MUA HÀNG'!$A$5:$AT644, 0, XMATCH("NCC VTBB/NL trong nước", '6. TIẾN ĐỘ MUA HÀNG'!$A$4:$AT$4, 0)) = $B90) * (TRIM(INDEX('6. TIẾN ĐỘ MUA HÀNG'!$A$5:$AT644, 0, XMATCH("Tháng", '6. TIẾN ĐỘ MUA HÀNG'!$A$4:$AT$4, 0))) = TRIM(I$6)) * (INDEX('6. TIẾN ĐỘ MUA HÀNG'!$A$5:$AT644, 0, XMATCH("CL NGÀY NCC DỰ KIẾN - NGÀY NHẬN HÀNG", '6. TIẾN ĐỘ MUA HÀNG'!$A$4:$AT$4, 0)) &lt; 0)
)</f>
        <v>0</v>
      </c>
      <c r="K90" s="755">
        <f t="shared" si="30"/>
        <v>0</v>
      </c>
      <c r="L90" s="756">
        <f t="array" ref="L90">SUMPRODUCT((TRIM(INDEX('6. TIẾN ĐỘ MUA HÀNG'!$A$5:$AT644, 0, XMATCH("NCC VTBB/NL trong nước", '6. TIẾN ĐỘ MUA HÀNG'!$A$4:$AT$4, 0))) = TRIM($B90)) * (TRIM(INDEX('6. TIẾN ĐỘ MUA HÀNG'!$A$5:$AT644, 0, XMATCH("Tháng", '6. TIẾN ĐỘ MUA HÀNG'!$A$4:$AT$4, 0))) = TRIM(L$6)) * (INDEX('6. TIẾN ĐỘ MUA HÀNG'!$A$5:$AT644, 0, XMATCH("Mã đơn Misa", '6. TIẾN ĐỘ MUA HÀNG'!$A$4:$AT$4, 0)) &lt;&gt; ""))</f>
        <v>0</v>
      </c>
      <c r="M90" s="756">
        <f t="array" ref="M90">SUMPRODUCT(
  (INDEX('6. TIẾN ĐỘ MUA HÀNG'!$A$5:$AT644, 0, XMATCH("NCC VTBB/NL trong nước", '6. TIẾN ĐỘ MUA HÀNG'!$A$4:$AT$4, 0)) = $B90) * (TRIM(INDEX('6. TIẾN ĐỘ MUA HÀNG'!$A$5:$AT644, 0, XMATCH("Tháng", '6. TIẾN ĐỘ MUA HÀNG'!$A$4:$AT$4, 0))) = TRIM(L$6)) * (INDEX('6. TIẾN ĐỘ MUA HÀNG'!$A$5:$AT644, 0, XMATCH("CL NGÀY NCC DỰ KIẾN - NGÀY NHẬN HÀNG", '6. TIẾN ĐỘ MUA HÀNG'!$A$4:$AT$4, 0)) &lt; 0)
)</f>
        <v>0</v>
      </c>
      <c r="N90" s="757">
        <f t="shared" si="17"/>
        <v>0</v>
      </c>
      <c r="O90" s="754">
        <f t="array" ref="O90">SUMPRODUCT((TRIM(INDEX('6. TIẾN ĐỘ MUA HÀNG'!$A$5:$AT644, 0, XMATCH("NCC VTBB/NL trong nước", '6. TIẾN ĐỘ MUA HÀNG'!$A$4:$AT$4, 0))) = TRIM($B90)) * (TRIM(INDEX('6. TIẾN ĐỘ MUA HÀNG'!$A$5:$AT644, 0, XMATCH("Tháng", '6. TIẾN ĐỘ MUA HÀNG'!$A$4:$AT$4, 0))) = TRIM(O$6)) * (INDEX('6. TIẾN ĐỘ MUA HÀNG'!$A$5:$AT644, 0, XMATCH("Mã đơn Misa", '6. TIẾN ĐỘ MUA HÀNG'!$A$4:$AT$4, 0)) &lt;&gt; ""))</f>
        <v>0</v>
      </c>
      <c r="P90" s="754">
        <f t="array" ref="P90">SUMPRODUCT(
  (INDEX('6. TIẾN ĐỘ MUA HÀNG'!$A$5:$AT644, 0, XMATCH("NCC VTBB/NL trong nước", '6. TIẾN ĐỘ MUA HÀNG'!$A$4:$AT$4, 0)) = $B90) * (TRIM(INDEX('6. TIẾN ĐỘ MUA HÀNG'!$A$5:$AT644, 0, XMATCH("Tháng", '6. TIẾN ĐỘ MUA HÀNG'!$A$4:$AT$4, 0))) = TRIM(O$6)) * (INDEX('6. TIẾN ĐỘ MUA HÀNG'!$A$5:$AT644, 0, XMATCH("CL NGÀY NCC DỰ KIẾN - NGÀY NHẬN HÀNG", '6. TIẾN ĐỘ MUA HÀNG'!$A$4:$AT$4, 0)) &lt; 0)
)</f>
        <v>0</v>
      </c>
      <c r="Q90" s="755">
        <f t="shared" si="31"/>
        <v>0</v>
      </c>
      <c r="R90" s="756">
        <f t="array" ref="R90">SUMPRODUCT((TRIM(INDEX('6. TIẾN ĐỘ MUA HÀNG'!$A$5:$AT644, 0, XMATCH("NCC VTBB/NL trong nước", '6. TIẾN ĐỘ MUA HÀNG'!$A$4:$AT$4, 0))) = TRIM($B90)) * (TRIM(INDEX('6. TIẾN ĐỘ MUA HÀNG'!$A$5:$AT644, 0, XMATCH("Tháng", '6. TIẾN ĐỘ MUA HÀNG'!$A$4:$AT$4, 0))) = TRIM(R$6)) * (INDEX('6. TIẾN ĐỘ MUA HÀNG'!$A$5:$AT644, 0, XMATCH("Mã đơn Misa", '6. TIẾN ĐỘ MUA HÀNG'!$A$4:$AT$4, 0)) &lt;&gt; ""))</f>
        <v>0</v>
      </c>
      <c r="S90" s="756">
        <f t="array" ref="S90">SUMPRODUCT(
  (INDEX('6. TIẾN ĐỘ MUA HÀNG'!$A$5:$AT644, 0, XMATCH("NCC VTBB/NL trong nước", '6. TIẾN ĐỘ MUA HÀNG'!$A$4:$AT$4, 0)) = $B90) * (TRIM(INDEX('6. TIẾN ĐỘ MUA HÀNG'!$A$5:$AT644, 0, XMATCH("Tháng", '6. TIẾN ĐỘ MUA HÀNG'!$A$4:$AT$4, 0))) = TRIM(R$6)) * (INDEX('6. TIẾN ĐỘ MUA HÀNG'!$A$5:$AT644, 0, XMATCH("CL NGÀY NCC DỰ KIẾN - NGÀY NHẬN HÀNG", '6. TIẾN ĐỘ MUA HÀNG'!$A$4:$AT$4, 0)) &lt; 0)
)</f>
        <v>0</v>
      </c>
      <c r="T90" s="757">
        <f t="shared" si="19"/>
        <v>0</v>
      </c>
      <c r="U90" s="754">
        <f t="array" ref="U90">SUMPRODUCT((TRIM(INDEX('6. TIẾN ĐỘ MUA HÀNG'!$A$5:$AT644, 0, XMATCH("NCC VTBB/NL trong nước", '6. TIẾN ĐỘ MUA HÀNG'!$A$4:$AT$4, 0))) = TRIM($B90)) * (TRIM(INDEX('6. TIẾN ĐỘ MUA HÀNG'!$A$5:$AT644, 0, XMATCH("Tháng", '6. TIẾN ĐỘ MUA HÀNG'!$A$4:$AT$4, 0))) = TRIM(U$6)) * (INDEX('6. TIẾN ĐỘ MUA HÀNG'!$A$5:$AT644, 0, XMATCH("Mã đơn Misa", '6. TIẾN ĐỘ MUA HÀNG'!$A$4:$AT$4, 0)) &lt;&gt; ""))</f>
        <v>0</v>
      </c>
      <c r="V90" s="754">
        <f t="array" ref="V90">SUMPRODUCT(
  (INDEX('6. TIẾN ĐỘ MUA HÀNG'!$A$5:$AT644, 0, XMATCH("NCC VTBB/NL trong nước", '6. TIẾN ĐỘ MUA HÀNG'!$A$4:$AT$4, 0)) = $B90) * (TRIM(INDEX('6. TIẾN ĐỘ MUA HÀNG'!$A$5:$AT644, 0, XMATCH("Tháng", '6. TIẾN ĐỘ MUA HÀNG'!$A$4:$AT$4, 0))) = TRIM(U$6)) * (INDEX('6. TIẾN ĐỘ MUA HÀNG'!$A$5:$AT644, 0, XMATCH("CL NGÀY NCC DỰ KIẾN - NGÀY NHẬN HÀNG", '6. TIẾN ĐỘ MUA HÀNG'!$A$4:$AT$4, 0)) &lt; 0)
)</f>
        <v>0</v>
      </c>
      <c r="W90" s="755">
        <f t="shared" si="32"/>
        <v>0</v>
      </c>
      <c r="X90" s="756">
        <f t="array" ref="X90">SUMPRODUCT((TRIM(INDEX('6. TIẾN ĐỘ MUA HÀNG'!$A$5:$AT644, 0, XMATCH("NCC VTBB/NL trong nước", '6. TIẾN ĐỘ MUA HÀNG'!$A$4:$AT$4, 0))) = TRIM($B90)) * (TRIM(INDEX('6. TIẾN ĐỘ MUA HÀNG'!$A$5:$AT644, 0, XMATCH("Tháng", '6. TIẾN ĐỘ MUA HÀNG'!$A$4:$AT$4, 0))) = TRIM(X$6)) * (INDEX('6. TIẾN ĐỘ MUA HÀNG'!$A$5:$AT644, 0, XMATCH("Mã đơn Misa", '6. TIẾN ĐỘ MUA HÀNG'!$A$4:$AT$4, 0)) &lt;&gt; ""))</f>
        <v>0</v>
      </c>
      <c r="Y90" s="756">
        <f t="array" ref="Y90">SUMPRODUCT(
  (INDEX('6. TIẾN ĐỘ MUA HÀNG'!$A$5:$AT644, 0, XMATCH("NCC VTBB/NL trong nước", '6. TIẾN ĐỘ MUA HÀNG'!$A$4:$AT$4, 0)) = $B90) * (TRIM(INDEX('6. TIẾN ĐỘ MUA HÀNG'!$A$5:$AT644, 0, XMATCH("Tháng", '6. TIẾN ĐỘ MUA HÀNG'!$A$4:$AT$4, 0))) = TRIM(X$6)) * (INDEX('6. TIẾN ĐỘ MUA HÀNG'!$A$5:$AT644, 0, XMATCH("CL NGÀY NCC DỰ KIẾN - NGÀY NHẬN HÀNG", '6. TIẾN ĐỘ MUA HÀNG'!$A$4:$AT$4, 0)) &lt; 0)
)</f>
        <v>0</v>
      </c>
      <c r="Z90" s="757">
        <f t="shared" si="21"/>
        <v>0</v>
      </c>
      <c r="AA90" s="754">
        <f t="array" ref="AA90">SUMPRODUCT((TRIM(INDEX('6. TIẾN ĐỘ MUA HÀNG'!$A$5:$AT644, 0, XMATCH("NCC VTBB/NL trong nước", '6. TIẾN ĐỘ MUA HÀNG'!$A$4:$AT$4, 0))) = TRIM($B90)) * (TRIM(INDEX('6. TIẾN ĐỘ MUA HÀNG'!$A$5:$AT644, 0, XMATCH("Tháng", '6. TIẾN ĐỘ MUA HÀNG'!$A$4:$AT$4, 0))) = TRIM(AA$6)) * (INDEX('6. TIẾN ĐỘ MUA HÀNG'!$A$5:$AT644, 0, XMATCH("Mã đơn Misa", '6. TIẾN ĐỘ MUA HÀNG'!$A$4:$AT$4, 0)) &lt;&gt; ""))</f>
        <v>0</v>
      </c>
      <c r="AB90" s="754">
        <f t="array" ref="AB90">SUMPRODUCT(
  (INDEX('6. TIẾN ĐỘ MUA HÀNG'!$A$5:$AT644, 0, XMATCH("NCC VTBB/NL trong nước", '6. TIẾN ĐỘ MUA HÀNG'!$A$4:$AT$4, 0)) = $B90) * (TRIM(INDEX('6. TIẾN ĐỘ MUA HÀNG'!$A$5:$AT644, 0, XMATCH("Tháng", '6. TIẾN ĐỘ MUA HÀNG'!$A$4:$AT$4, 0))) = TRIM(AA$6)) * (INDEX('6. TIẾN ĐỘ MUA HÀNG'!$A$5:$AT644, 0, XMATCH("CL NGÀY NCC DỰ KIẾN - NGÀY NHẬN HÀNG", '6. TIẾN ĐỘ MUA HÀNG'!$A$4:$AT$4, 0)) &lt; 0)
)</f>
        <v>0</v>
      </c>
      <c r="AC90" s="755">
        <f t="shared" si="33"/>
        <v>0</v>
      </c>
      <c r="AD90" s="756">
        <f t="array" ref="AD90">SUMPRODUCT((TRIM(INDEX('6. TIẾN ĐỘ MUA HÀNG'!$A$5:$AT644, 0, XMATCH("NCC VTBB/NL trong nước", '6. TIẾN ĐỘ MUA HÀNG'!$A$4:$AT$4, 0))) = TRIM($B90)) * (TRIM(INDEX('6. TIẾN ĐỘ MUA HÀNG'!$A$5:$AT644, 0, XMATCH("Tháng", '6. TIẾN ĐỘ MUA HÀNG'!$A$4:$AT$4, 0))) = TRIM(AD$6)) * (INDEX('6. TIẾN ĐỘ MUA HÀNG'!$A$5:$AT644, 0, XMATCH("Mã đơn Misa", '6. TIẾN ĐỘ MUA HÀNG'!$A$4:$AT$4, 0)) &lt;&gt; ""))</f>
        <v>0</v>
      </c>
      <c r="AE90" s="756">
        <f t="array" ref="AE90">SUMPRODUCT(
  (INDEX('6. TIẾN ĐỘ MUA HÀNG'!$A$5:$AT644, 0, XMATCH("NCC VTBB/NL trong nước", '6. TIẾN ĐỘ MUA HÀNG'!$A$4:$AT$4, 0)) = $B90) * (TRIM(INDEX('6. TIẾN ĐỘ MUA HÀNG'!$A$5:$AT644, 0, XMATCH("Tháng", '6. TIẾN ĐỘ MUA HÀNG'!$A$4:$AT$4, 0))) = TRIM(AD$6)) * (INDEX('6. TIẾN ĐỘ MUA HÀNG'!$A$5:$AT644, 0, XMATCH("CL NGÀY NCC DỰ KIẾN - NGÀY NHẬN HÀNG", '6. TIẾN ĐỘ MUA HÀNG'!$A$4:$AT$4, 0)) &lt; 0)
)</f>
        <v>0</v>
      </c>
      <c r="AF90" s="757">
        <f t="shared" si="23"/>
        <v>0</v>
      </c>
      <c r="AG90" s="754">
        <f t="array" ref="AG90">SUMPRODUCT((TRIM(INDEX('6. TIẾN ĐỘ MUA HÀNG'!$A$5:$AT644, 0, XMATCH("NCC VTBB/NL trong nước", '6. TIẾN ĐỘ MUA HÀNG'!$A$4:$AT$4, 0))) = TRIM($B90)) * (TRIM(INDEX('6. TIẾN ĐỘ MUA HÀNG'!$A$5:$AT644, 0, XMATCH("Tháng", '6. TIẾN ĐỘ MUA HÀNG'!$A$4:$AT$4, 0))) = TRIM(AG$6)) * (INDEX('6. TIẾN ĐỘ MUA HÀNG'!$A$5:$AT644, 0, XMATCH("Mã đơn Misa", '6. TIẾN ĐỘ MUA HÀNG'!$A$4:$AT$4, 0)) &lt;&gt; ""))</f>
        <v>0</v>
      </c>
      <c r="AH90" s="754">
        <f t="array" ref="AH90">SUMPRODUCT(
  (INDEX('6. TIẾN ĐỘ MUA HÀNG'!$A$5:$AT644, 0, XMATCH("NCC VTBB/NL trong nước", '6. TIẾN ĐỘ MUA HÀNG'!$A$4:$AT$4, 0)) = $B90) * (TRIM(INDEX('6. TIẾN ĐỘ MUA HÀNG'!$A$5:$AT644, 0, XMATCH("Tháng", '6. TIẾN ĐỘ MUA HÀNG'!$A$4:$AT$4, 0))) = TRIM(AG$6)) * (INDEX('6. TIẾN ĐỘ MUA HÀNG'!$A$5:$AT644, 0, XMATCH("CL NGÀY NCC DỰ KIẾN - NGÀY NHẬN HÀNG", '6. TIẾN ĐỘ MUA HÀNG'!$A$4:$AT$4, 0)) &lt; 0)
)</f>
        <v>0</v>
      </c>
      <c r="AI90" s="755">
        <f t="shared" si="34"/>
        <v>0</v>
      </c>
      <c r="AJ90" s="756">
        <f t="array" ref="AJ90">SUMPRODUCT((TRIM(INDEX('6. TIẾN ĐỘ MUA HÀNG'!$A$5:$AT644, 0, XMATCH("NCC VTBB/NL trong nước", '6. TIẾN ĐỘ MUA HÀNG'!$A$4:$AT$4, 0))) = TRIM($B90)) * (TRIM(INDEX('6. TIẾN ĐỘ MUA HÀNG'!$A$5:$AT644, 0, XMATCH("Tháng", '6. TIẾN ĐỘ MUA HÀNG'!$A$4:$AT$4, 0))) = TRIM(AJ$6)) * (INDEX('6. TIẾN ĐỘ MUA HÀNG'!$A$5:$AT644, 0, XMATCH("Mã đơn Misa", '6. TIẾN ĐỘ MUA HÀNG'!$A$4:$AT$4, 0)) &lt;&gt; ""))</f>
        <v>0</v>
      </c>
      <c r="AK90" s="756">
        <f t="array" ref="AK90">SUMPRODUCT(
  (INDEX('6. TIẾN ĐỘ MUA HÀNG'!$A$5:$AT644, 0, XMATCH("NCC VTBB/NL trong nước", '6. TIẾN ĐỘ MUA HÀNG'!$A$4:$AT$4, 0)) = $B90) * (TRIM(INDEX('6. TIẾN ĐỘ MUA HÀNG'!$A$5:$AT644, 0, XMATCH("Tháng", '6. TIẾN ĐỘ MUA HÀNG'!$A$4:$AT$4, 0))) = TRIM(AJ$6)) * (INDEX('6. TIẾN ĐỘ MUA HÀNG'!$A$5:$AT644, 0, XMATCH("CL NGÀY NCC DỰ KIẾN - NGÀY NHẬN HÀNG", '6. TIẾN ĐỘ MUA HÀNG'!$A$4:$AT$4, 0)) &lt; 0)
)</f>
        <v>0</v>
      </c>
      <c r="AL90" s="757">
        <f t="shared" si="25"/>
        <v>0</v>
      </c>
      <c r="AM90" s="726">
        <f t="shared" si="27"/>
        <v>0</v>
      </c>
      <c r="AN90" s="726">
        <f t="shared" si="28"/>
        <v>0</v>
      </c>
      <c r="AO90" s="727">
        <f t="shared" si="26"/>
        <v>0</v>
      </c>
    </row>
    <row r="91">
      <c r="A91" s="612">
        <v>83.0</v>
      </c>
      <c r="B91" s="624" t="str">
        <f>IFERROR(__xludf.DUMMYFUNCTION("""COMPUTED_VALUE"""),"Hải Đăng")</f>
        <v>Hải Đăng</v>
      </c>
      <c r="C91" s="754">
        <f t="array" ref="C91">SUMPRODUCT((TRIM(INDEX('6. TIẾN ĐỘ MUA HÀNG'!$A$5:$AT644, 0, XMATCH("NCC VTBB/NL trong nước", '6. TIẾN ĐỘ MUA HÀNG'!$A$4:$AT$4, 0))) = TRIM($B91)) * (TRIM(INDEX('6. TIẾN ĐỘ MUA HÀNG'!$A$5:$AT644, 0, XMATCH("Tháng", '6. TIẾN ĐỘ MUA HÀNG'!$A$4:$AT$4, 0))) = TRIM(C$6)) * (INDEX('6. TIẾN ĐỘ MUA HÀNG'!$A$5:$AT644, 0, XMATCH("Mã đơn Misa", '6. TIẾN ĐỘ MUA HÀNG'!$A$4:$AT$4, 0)) &lt;&gt; ""))</f>
        <v>0</v>
      </c>
      <c r="D91" s="754">
        <f t="array" ref="D91">SUMPRODUCT(
  (INDEX('6. TIẾN ĐỘ MUA HÀNG'!$A$5:$AT644, 0, XMATCH("NCC VTBB/NL trong nước", '6. TIẾN ĐỘ MUA HÀNG'!$A$4:$AT$4, 0)) = $B91) * (TRIM(INDEX('6. TIẾN ĐỘ MUA HÀNG'!$A$5:$AT644, 0, XMATCH("Tháng", '6. TIẾN ĐỘ MUA HÀNG'!$A$4:$AT$4, 0))) = TRIM(C$6)) * (INDEX('6. TIẾN ĐỘ MUA HÀNG'!$A$5:$AT644, 0, XMATCH("CL NGÀY NCC DỰ KIẾN - NGÀY NHẬN HÀNG", '6. TIẾN ĐỘ MUA HÀNG'!$A$4:$AT$4, 0)) &lt; 0)
)</f>
        <v>0</v>
      </c>
      <c r="E91" s="755">
        <f t="shared" si="29"/>
        <v>0</v>
      </c>
      <c r="F91" s="756">
        <f t="array" ref="F91">SUMPRODUCT((TRIM(INDEX('6. TIẾN ĐỘ MUA HÀNG'!$A$5:$AT644, 0, XMATCH("NCC VTBB/NL trong nước", '6. TIẾN ĐỘ MUA HÀNG'!$A$4:$AT$4, 0))) = TRIM($B91)) * (TRIM(INDEX('6. TIẾN ĐỘ MUA HÀNG'!$A$5:$AT644, 0, XMATCH("Tháng", '6. TIẾN ĐỘ MUA HÀNG'!$A$4:$AT$4, 0))) = TRIM(F$6)) * (INDEX('6. TIẾN ĐỘ MUA HÀNG'!$A$5:$AT644, 0, XMATCH("Mã đơn Misa", '6. TIẾN ĐỘ MUA HÀNG'!$A$4:$AT$4, 0)) &lt;&gt; ""))</f>
        <v>0</v>
      </c>
      <c r="G91" s="756">
        <f t="array" ref="G91">SUMPRODUCT(
  (INDEX('6. TIẾN ĐỘ MUA HÀNG'!$A$5:$AT644, 0, XMATCH("NCC VTBB/NL trong nước", '6. TIẾN ĐỘ MUA HÀNG'!$A$4:$AT$4, 0)) = $B91) * (TRIM(INDEX('6. TIẾN ĐỘ MUA HÀNG'!$A$5:$AT644, 0, XMATCH("Tháng", '6. TIẾN ĐỘ MUA HÀNG'!$A$4:$AT$4, 0))) = TRIM(F$6)) * (INDEX('6. TIẾN ĐỘ MUA HÀNG'!$A$5:$AT644, 0, XMATCH("CL NGÀY NCC DỰ KIẾN - NGÀY NHẬN HÀNG", '6. TIẾN ĐỘ MUA HÀNG'!$A$4:$AT$4, 0)) &lt; 0)
)</f>
        <v>0</v>
      </c>
      <c r="H91" s="757">
        <f t="shared" si="15"/>
        <v>0</v>
      </c>
      <c r="I91" s="754">
        <f t="array" ref="I91">SUMPRODUCT((TRIM(INDEX('6. TIẾN ĐỘ MUA HÀNG'!$A$5:$AT644, 0, XMATCH("NCC VTBB/NL trong nước", '6. TIẾN ĐỘ MUA HÀNG'!$A$4:$AT$4, 0))) = TRIM($B91)) * (TRIM(INDEX('6. TIẾN ĐỘ MUA HÀNG'!$A$5:$AT644, 0, XMATCH("Tháng", '6. TIẾN ĐỘ MUA HÀNG'!$A$4:$AT$4, 0))) = TRIM(I$6)) * (INDEX('6. TIẾN ĐỘ MUA HÀNG'!$A$5:$AT644, 0, XMATCH("Mã đơn Misa", '6. TIẾN ĐỘ MUA HÀNG'!$A$4:$AT$4, 0)) &lt;&gt; ""))</f>
        <v>0</v>
      </c>
      <c r="J91" s="754">
        <f t="array" ref="J91">SUMPRODUCT(
  (INDEX('6. TIẾN ĐỘ MUA HÀNG'!$A$5:$AT644, 0, XMATCH("NCC VTBB/NL trong nước", '6. TIẾN ĐỘ MUA HÀNG'!$A$4:$AT$4, 0)) = $B91) * (TRIM(INDEX('6. TIẾN ĐỘ MUA HÀNG'!$A$5:$AT644, 0, XMATCH("Tháng", '6. TIẾN ĐỘ MUA HÀNG'!$A$4:$AT$4, 0))) = TRIM(I$6)) * (INDEX('6. TIẾN ĐỘ MUA HÀNG'!$A$5:$AT644, 0, XMATCH("CL NGÀY NCC DỰ KIẾN - NGÀY NHẬN HÀNG", '6. TIẾN ĐỘ MUA HÀNG'!$A$4:$AT$4, 0)) &lt; 0)
)</f>
        <v>0</v>
      </c>
      <c r="K91" s="755">
        <f t="shared" si="30"/>
        <v>0</v>
      </c>
      <c r="L91" s="756">
        <f t="array" ref="L91">SUMPRODUCT((TRIM(INDEX('6. TIẾN ĐỘ MUA HÀNG'!$A$5:$AT644, 0, XMATCH("NCC VTBB/NL trong nước", '6. TIẾN ĐỘ MUA HÀNG'!$A$4:$AT$4, 0))) = TRIM($B91)) * (TRIM(INDEX('6. TIẾN ĐỘ MUA HÀNG'!$A$5:$AT644, 0, XMATCH("Tháng", '6. TIẾN ĐỘ MUA HÀNG'!$A$4:$AT$4, 0))) = TRIM(L$6)) * (INDEX('6. TIẾN ĐỘ MUA HÀNG'!$A$5:$AT644, 0, XMATCH("Mã đơn Misa", '6. TIẾN ĐỘ MUA HÀNG'!$A$4:$AT$4, 0)) &lt;&gt; ""))</f>
        <v>0</v>
      </c>
      <c r="M91" s="756">
        <f t="array" ref="M91">SUMPRODUCT(
  (INDEX('6. TIẾN ĐỘ MUA HÀNG'!$A$5:$AT644, 0, XMATCH("NCC VTBB/NL trong nước", '6. TIẾN ĐỘ MUA HÀNG'!$A$4:$AT$4, 0)) = $B91) * (TRIM(INDEX('6. TIẾN ĐỘ MUA HÀNG'!$A$5:$AT644, 0, XMATCH("Tháng", '6. TIẾN ĐỘ MUA HÀNG'!$A$4:$AT$4, 0))) = TRIM(L$6)) * (INDEX('6. TIẾN ĐỘ MUA HÀNG'!$A$5:$AT644, 0, XMATCH("CL NGÀY NCC DỰ KIẾN - NGÀY NHẬN HÀNG", '6. TIẾN ĐỘ MUA HÀNG'!$A$4:$AT$4, 0)) &lt; 0)
)</f>
        <v>0</v>
      </c>
      <c r="N91" s="757">
        <f t="shared" si="17"/>
        <v>0</v>
      </c>
      <c r="O91" s="754">
        <f t="array" ref="O91">SUMPRODUCT((TRIM(INDEX('6. TIẾN ĐỘ MUA HÀNG'!$A$5:$AT644, 0, XMATCH("NCC VTBB/NL trong nước", '6. TIẾN ĐỘ MUA HÀNG'!$A$4:$AT$4, 0))) = TRIM($B91)) * (TRIM(INDEX('6. TIẾN ĐỘ MUA HÀNG'!$A$5:$AT644, 0, XMATCH("Tháng", '6. TIẾN ĐỘ MUA HÀNG'!$A$4:$AT$4, 0))) = TRIM(O$6)) * (INDEX('6. TIẾN ĐỘ MUA HÀNG'!$A$5:$AT644, 0, XMATCH("Mã đơn Misa", '6. TIẾN ĐỘ MUA HÀNG'!$A$4:$AT$4, 0)) &lt;&gt; ""))</f>
        <v>0</v>
      </c>
      <c r="P91" s="754">
        <f t="array" ref="P91">SUMPRODUCT(
  (INDEX('6. TIẾN ĐỘ MUA HÀNG'!$A$5:$AT644, 0, XMATCH("NCC VTBB/NL trong nước", '6. TIẾN ĐỘ MUA HÀNG'!$A$4:$AT$4, 0)) = $B91) * (TRIM(INDEX('6. TIẾN ĐỘ MUA HÀNG'!$A$5:$AT644, 0, XMATCH("Tháng", '6. TIẾN ĐỘ MUA HÀNG'!$A$4:$AT$4, 0))) = TRIM(O$6)) * (INDEX('6. TIẾN ĐỘ MUA HÀNG'!$A$5:$AT644, 0, XMATCH("CL NGÀY NCC DỰ KIẾN - NGÀY NHẬN HÀNG", '6. TIẾN ĐỘ MUA HÀNG'!$A$4:$AT$4, 0)) &lt; 0)
)</f>
        <v>0</v>
      </c>
      <c r="Q91" s="755">
        <f t="shared" si="31"/>
        <v>0</v>
      </c>
      <c r="R91" s="756">
        <f t="array" ref="R91">SUMPRODUCT((TRIM(INDEX('6. TIẾN ĐỘ MUA HÀNG'!$A$5:$AT644, 0, XMATCH("NCC VTBB/NL trong nước", '6. TIẾN ĐỘ MUA HÀNG'!$A$4:$AT$4, 0))) = TRIM($B91)) * (TRIM(INDEX('6. TIẾN ĐỘ MUA HÀNG'!$A$5:$AT644, 0, XMATCH("Tháng", '6. TIẾN ĐỘ MUA HÀNG'!$A$4:$AT$4, 0))) = TRIM(R$6)) * (INDEX('6. TIẾN ĐỘ MUA HÀNG'!$A$5:$AT644, 0, XMATCH("Mã đơn Misa", '6. TIẾN ĐỘ MUA HÀNG'!$A$4:$AT$4, 0)) &lt;&gt; ""))</f>
        <v>0</v>
      </c>
      <c r="S91" s="756">
        <f t="array" ref="S91">SUMPRODUCT(
  (INDEX('6. TIẾN ĐỘ MUA HÀNG'!$A$5:$AT644, 0, XMATCH("NCC VTBB/NL trong nước", '6. TIẾN ĐỘ MUA HÀNG'!$A$4:$AT$4, 0)) = $B91) * (TRIM(INDEX('6. TIẾN ĐỘ MUA HÀNG'!$A$5:$AT644, 0, XMATCH("Tháng", '6. TIẾN ĐỘ MUA HÀNG'!$A$4:$AT$4, 0))) = TRIM(R$6)) * (INDEX('6. TIẾN ĐỘ MUA HÀNG'!$A$5:$AT644, 0, XMATCH("CL NGÀY NCC DỰ KIẾN - NGÀY NHẬN HÀNG", '6. TIẾN ĐỘ MUA HÀNG'!$A$4:$AT$4, 0)) &lt; 0)
)</f>
        <v>0</v>
      </c>
      <c r="T91" s="757">
        <f t="shared" si="19"/>
        <v>0</v>
      </c>
      <c r="U91" s="754">
        <f t="array" ref="U91">SUMPRODUCT((TRIM(INDEX('6. TIẾN ĐỘ MUA HÀNG'!$A$5:$AT644, 0, XMATCH("NCC VTBB/NL trong nước", '6. TIẾN ĐỘ MUA HÀNG'!$A$4:$AT$4, 0))) = TRIM($B91)) * (TRIM(INDEX('6. TIẾN ĐỘ MUA HÀNG'!$A$5:$AT644, 0, XMATCH("Tháng", '6. TIẾN ĐỘ MUA HÀNG'!$A$4:$AT$4, 0))) = TRIM(U$6)) * (INDEX('6. TIẾN ĐỘ MUA HÀNG'!$A$5:$AT644, 0, XMATCH("Mã đơn Misa", '6. TIẾN ĐỘ MUA HÀNG'!$A$4:$AT$4, 0)) &lt;&gt; ""))</f>
        <v>0</v>
      </c>
      <c r="V91" s="754">
        <f t="array" ref="V91">SUMPRODUCT(
  (INDEX('6. TIẾN ĐỘ MUA HÀNG'!$A$5:$AT644, 0, XMATCH("NCC VTBB/NL trong nước", '6. TIẾN ĐỘ MUA HÀNG'!$A$4:$AT$4, 0)) = $B91) * (TRIM(INDEX('6. TIẾN ĐỘ MUA HÀNG'!$A$5:$AT644, 0, XMATCH("Tháng", '6. TIẾN ĐỘ MUA HÀNG'!$A$4:$AT$4, 0))) = TRIM(U$6)) * (INDEX('6. TIẾN ĐỘ MUA HÀNG'!$A$5:$AT644, 0, XMATCH("CL NGÀY NCC DỰ KIẾN - NGÀY NHẬN HÀNG", '6. TIẾN ĐỘ MUA HÀNG'!$A$4:$AT$4, 0)) &lt; 0)
)</f>
        <v>0</v>
      </c>
      <c r="W91" s="755">
        <f t="shared" si="32"/>
        <v>0</v>
      </c>
      <c r="X91" s="756">
        <f t="array" ref="X91">SUMPRODUCT((TRIM(INDEX('6. TIẾN ĐỘ MUA HÀNG'!$A$5:$AT644, 0, XMATCH("NCC VTBB/NL trong nước", '6. TIẾN ĐỘ MUA HÀNG'!$A$4:$AT$4, 0))) = TRIM($B91)) * (TRIM(INDEX('6. TIẾN ĐỘ MUA HÀNG'!$A$5:$AT644, 0, XMATCH("Tháng", '6. TIẾN ĐỘ MUA HÀNG'!$A$4:$AT$4, 0))) = TRIM(X$6)) * (INDEX('6. TIẾN ĐỘ MUA HÀNG'!$A$5:$AT644, 0, XMATCH("Mã đơn Misa", '6. TIẾN ĐỘ MUA HÀNG'!$A$4:$AT$4, 0)) &lt;&gt; ""))</f>
        <v>0</v>
      </c>
      <c r="Y91" s="756">
        <f t="array" ref="Y91">SUMPRODUCT(
  (INDEX('6. TIẾN ĐỘ MUA HÀNG'!$A$5:$AT644, 0, XMATCH("NCC VTBB/NL trong nước", '6. TIẾN ĐỘ MUA HÀNG'!$A$4:$AT$4, 0)) = $B91) * (TRIM(INDEX('6. TIẾN ĐỘ MUA HÀNG'!$A$5:$AT644, 0, XMATCH("Tháng", '6. TIẾN ĐỘ MUA HÀNG'!$A$4:$AT$4, 0))) = TRIM(X$6)) * (INDEX('6. TIẾN ĐỘ MUA HÀNG'!$A$5:$AT644, 0, XMATCH("CL NGÀY NCC DỰ KIẾN - NGÀY NHẬN HÀNG", '6. TIẾN ĐỘ MUA HÀNG'!$A$4:$AT$4, 0)) &lt; 0)
)</f>
        <v>0</v>
      </c>
      <c r="Z91" s="757">
        <f t="shared" si="21"/>
        <v>0</v>
      </c>
      <c r="AA91" s="754">
        <f t="array" ref="AA91">SUMPRODUCT((TRIM(INDEX('6. TIẾN ĐỘ MUA HÀNG'!$A$5:$AT644, 0, XMATCH("NCC VTBB/NL trong nước", '6. TIẾN ĐỘ MUA HÀNG'!$A$4:$AT$4, 0))) = TRIM($B91)) * (TRIM(INDEX('6. TIẾN ĐỘ MUA HÀNG'!$A$5:$AT644, 0, XMATCH("Tháng", '6. TIẾN ĐỘ MUA HÀNG'!$A$4:$AT$4, 0))) = TRIM(AA$6)) * (INDEX('6. TIẾN ĐỘ MUA HÀNG'!$A$5:$AT644, 0, XMATCH("Mã đơn Misa", '6. TIẾN ĐỘ MUA HÀNG'!$A$4:$AT$4, 0)) &lt;&gt; ""))</f>
        <v>0</v>
      </c>
      <c r="AB91" s="754">
        <f t="array" ref="AB91">SUMPRODUCT(
  (INDEX('6. TIẾN ĐỘ MUA HÀNG'!$A$5:$AT644, 0, XMATCH("NCC VTBB/NL trong nước", '6. TIẾN ĐỘ MUA HÀNG'!$A$4:$AT$4, 0)) = $B91) * (TRIM(INDEX('6. TIẾN ĐỘ MUA HÀNG'!$A$5:$AT644, 0, XMATCH("Tháng", '6. TIẾN ĐỘ MUA HÀNG'!$A$4:$AT$4, 0))) = TRIM(AA$6)) * (INDEX('6. TIẾN ĐỘ MUA HÀNG'!$A$5:$AT644, 0, XMATCH("CL NGÀY NCC DỰ KIẾN - NGÀY NHẬN HÀNG", '6. TIẾN ĐỘ MUA HÀNG'!$A$4:$AT$4, 0)) &lt; 0)
)</f>
        <v>0</v>
      </c>
      <c r="AC91" s="755">
        <f t="shared" si="33"/>
        <v>0</v>
      </c>
      <c r="AD91" s="756">
        <f t="array" ref="AD91">SUMPRODUCT((TRIM(INDEX('6. TIẾN ĐỘ MUA HÀNG'!$A$5:$AT644, 0, XMATCH("NCC VTBB/NL trong nước", '6. TIẾN ĐỘ MUA HÀNG'!$A$4:$AT$4, 0))) = TRIM($B91)) * (TRIM(INDEX('6. TIẾN ĐỘ MUA HÀNG'!$A$5:$AT644, 0, XMATCH("Tháng", '6. TIẾN ĐỘ MUA HÀNG'!$A$4:$AT$4, 0))) = TRIM(AD$6)) * (INDEX('6. TIẾN ĐỘ MUA HÀNG'!$A$5:$AT644, 0, XMATCH("Mã đơn Misa", '6. TIẾN ĐỘ MUA HÀNG'!$A$4:$AT$4, 0)) &lt;&gt; ""))</f>
        <v>0</v>
      </c>
      <c r="AE91" s="756">
        <f t="array" ref="AE91">SUMPRODUCT(
  (INDEX('6. TIẾN ĐỘ MUA HÀNG'!$A$5:$AT644, 0, XMATCH("NCC VTBB/NL trong nước", '6. TIẾN ĐỘ MUA HÀNG'!$A$4:$AT$4, 0)) = $B91) * (TRIM(INDEX('6. TIẾN ĐỘ MUA HÀNG'!$A$5:$AT644, 0, XMATCH("Tháng", '6. TIẾN ĐỘ MUA HÀNG'!$A$4:$AT$4, 0))) = TRIM(AD$6)) * (INDEX('6. TIẾN ĐỘ MUA HÀNG'!$A$5:$AT644, 0, XMATCH("CL NGÀY NCC DỰ KIẾN - NGÀY NHẬN HÀNG", '6. TIẾN ĐỘ MUA HÀNG'!$A$4:$AT$4, 0)) &lt; 0)
)</f>
        <v>0</v>
      </c>
      <c r="AF91" s="757">
        <f t="shared" si="23"/>
        <v>0</v>
      </c>
      <c r="AG91" s="754">
        <f t="array" ref="AG91">SUMPRODUCT((TRIM(INDEX('6. TIẾN ĐỘ MUA HÀNG'!$A$5:$AT644, 0, XMATCH("NCC VTBB/NL trong nước", '6. TIẾN ĐỘ MUA HÀNG'!$A$4:$AT$4, 0))) = TRIM($B91)) * (TRIM(INDEX('6. TIẾN ĐỘ MUA HÀNG'!$A$5:$AT644, 0, XMATCH("Tháng", '6. TIẾN ĐỘ MUA HÀNG'!$A$4:$AT$4, 0))) = TRIM(AG$6)) * (INDEX('6. TIẾN ĐỘ MUA HÀNG'!$A$5:$AT644, 0, XMATCH("Mã đơn Misa", '6. TIẾN ĐỘ MUA HÀNG'!$A$4:$AT$4, 0)) &lt;&gt; ""))</f>
        <v>0</v>
      </c>
      <c r="AH91" s="754">
        <f t="array" ref="AH91">SUMPRODUCT(
  (INDEX('6. TIẾN ĐỘ MUA HÀNG'!$A$5:$AT644, 0, XMATCH("NCC VTBB/NL trong nước", '6. TIẾN ĐỘ MUA HÀNG'!$A$4:$AT$4, 0)) = $B91) * (TRIM(INDEX('6. TIẾN ĐỘ MUA HÀNG'!$A$5:$AT644, 0, XMATCH("Tháng", '6. TIẾN ĐỘ MUA HÀNG'!$A$4:$AT$4, 0))) = TRIM(AG$6)) * (INDEX('6. TIẾN ĐỘ MUA HÀNG'!$A$5:$AT644, 0, XMATCH("CL NGÀY NCC DỰ KIẾN - NGÀY NHẬN HÀNG", '6. TIẾN ĐỘ MUA HÀNG'!$A$4:$AT$4, 0)) &lt; 0)
)</f>
        <v>0</v>
      </c>
      <c r="AI91" s="755">
        <f t="shared" si="34"/>
        <v>0</v>
      </c>
      <c r="AJ91" s="756">
        <f t="array" ref="AJ91">SUMPRODUCT((TRIM(INDEX('6. TIẾN ĐỘ MUA HÀNG'!$A$5:$AT644, 0, XMATCH("NCC VTBB/NL trong nước", '6. TIẾN ĐỘ MUA HÀNG'!$A$4:$AT$4, 0))) = TRIM($B91)) * (TRIM(INDEX('6. TIẾN ĐỘ MUA HÀNG'!$A$5:$AT644, 0, XMATCH("Tháng", '6. TIẾN ĐỘ MUA HÀNG'!$A$4:$AT$4, 0))) = TRIM(AJ$6)) * (INDEX('6. TIẾN ĐỘ MUA HÀNG'!$A$5:$AT644, 0, XMATCH("Mã đơn Misa", '6. TIẾN ĐỘ MUA HÀNG'!$A$4:$AT$4, 0)) &lt;&gt; ""))</f>
        <v>0</v>
      </c>
      <c r="AK91" s="756">
        <f t="array" ref="AK91">SUMPRODUCT(
  (INDEX('6. TIẾN ĐỘ MUA HÀNG'!$A$5:$AT644, 0, XMATCH("NCC VTBB/NL trong nước", '6. TIẾN ĐỘ MUA HÀNG'!$A$4:$AT$4, 0)) = $B91) * (TRIM(INDEX('6. TIẾN ĐỘ MUA HÀNG'!$A$5:$AT644, 0, XMATCH("Tháng", '6. TIẾN ĐỘ MUA HÀNG'!$A$4:$AT$4, 0))) = TRIM(AJ$6)) * (INDEX('6. TIẾN ĐỘ MUA HÀNG'!$A$5:$AT644, 0, XMATCH("CL NGÀY NCC DỰ KIẾN - NGÀY NHẬN HÀNG", '6. TIẾN ĐỘ MUA HÀNG'!$A$4:$AT$4, 0)) &lt; 0)
)</f>
        <v>0</v>
      </c>
      <c r="AL91" s="757">
        <f t="shared" si="25"/>
        <v>0</v>
      </c>
      <c r="AM91" s="726">
        <f t="shared" si="27"/>
        <v>0</v>
      </c>
      <c r="AN91" s="726">
        <f t="shared" si="28"/>
        <v>0</v>
      </c>
      <c r="AO91" s="727">
        <f t="shared" si="26"/>
        <v>0</v>
      </c>
    </row>
    <row r="92">
      <c r="A92" s="612">
        <v>84.0</v>
      </c>
      <c r="B92" s="624" t="str">
        <f>IFERROR(__xludf.DUMMYFUNCTION("""COMPUTED_VALUE"""),"Hà Linh")</f>
        <v>Hà Linh</v>
      </c>
      <c r="C92" s="754">
        <f t="array" ref="C92">SUMPRODUCT((TRIM(INDEX('6. TIẾN ĐỘ MUA HÀNG'!$A$5:$AT644, 0, XMATCH("NCC VTBB/NL trong nước", '6. TIẾN ĐỘ MUA HÀNG'!$A$4:$AT$4, 0))) = TRIM($B92)) * (TRIM(INDEX('6. TIẾN ĐỘ MUA HÀNG'!$A$5:$AT644, 0, XMATCH("Tháng", '6. TIẾN ĐỘ MUA HÀNG'!$A$4:$AT$4, 0))) = TRIM(C$6)) * (INDEX('6. TIẾN ĐỘ MUA HÀNG'!$A$5:$AT644, 0, XMATCH("Mã đơn Misa", '6. TIẾN ĐỘ MUA HÀNG'!$A$4:$AT$4, 0)) &lt;&gt; ""))</f>
        <v>0</v>
      </c>
      <c r="D92" s="754">
        <f t="array" ref="D92">SUMPRODUCT(
  (INDEX('6. TIẾN ĐỘ MUA HÀNG'!$A$5:$AT644, 0, XMATCH("NCC VTBB/NL trong nước", '6. TIẾN ĐỘ MUA HÀNG'!$A$4:$AT$4, 0)) = $B92) * (TRIM(INDEX('6. TIẾN ĐỘ MUA HÀNG'!$A$5:$AT644, 0, XMATCH("Tháng", '6. TIẾN ĐỘ MUA HÀNG'!$A$4:$AT$4, 0))) = TRIM(C$6)) * (INDEX('6. TIẾN ĐỘ MUA HÀNG'!$A$5:$AT644, 0, XMATCH("CL NGÀY NCC DỰ KIẾN - NGÀY NHẬN HÀNG", '6. TIẾN ĐỘ MUA HÀNG'!$A$4:$AT$4, 0)) &lt; 0)
)</f>
        <v>0</v>
      </c>
      <c r="E92" s="755">
        <f t="shared" si="29"/>
        <v>0</v>
      </c>
      <c r="F92" s="756">
        <f t="array" ref="F92">SUMPRODUCT((TRIM(INDEX('6. TIẾN ĐỘ MUA HÀNG'!$A$5:$AT644, 0, XMATCH("NCC VTBB/NL trong nước", '6. TIẾN ĐỘ MUA HÀNG'!$A$4:$AT$4, 0))) = TRIM($B92)) * (TRIM(INDEX('6. TIẾN ĐỘ MUA HÀNG'!$A$5:$AT644, 0, XMATCH("Tháng", '6. TIẾN ĐỘ MUA HÀNG'!$A$4:$AT$4, 0))) = TRIM(F$6)) * (INDEX('6. TIẾN ĐỘ MUA HÀNG'!$A$5:$AT644, 0, XMATCH("Mã đơn Misa", '6. TIẾN ĐỘ MUA HÀNG'!$A$4:$AT$4, 0)) &lt;&gt; ""))</f>
        <v>0</v>
      </c>
      <c r="G92" s="756">
        <f t="array" ref="G92">SUMPRODUCT(
  (INDEX('6. TIẾN ĐỘ MUA HÀNG'!$A$5:$AT644, 0, XMATCH("NCC VTBB/NL trong nước", '6. TIẾN ĐỘ MUA HÀNG'!$A$4:$AT$4, 0)) = $B92) * (TRIM(INDEX('6. TIẾN ĐỘ MUA HÀNG'!$A$5:$AT644, 0, XMATCH("Tháng", '6. TIẾN ĐỘ MUA HÀNG'!$A$4:$AT$4, 0))) = TRIM(F$6)) * (INDEX('6. TIẾN ĐỘ MUA HÀNG'!$A$5:$AT644, 0, XMATCH("CL NGÀY NCC DỰ KIẾN - NGÀY NHẬN HÀNG", '6. TIẾN ĐỘ MUA HÀNG'!$A$4:$AT$4, 0)) &lt; 0)
)</f>
        <v>0</v>
      </c>
      <c r="H92" s="757">
        <f t="shared" si="15"/>
        <v>0</v>
      </c>
      <c r="I92" s="754">
        <f t="array" ref="I92">SUMPRODUCT((TRIM(INDEX('6. TIẾN ĐỘ MUA HÀNG'!$A$5:$AT644, 0, XMATCH("NCC VTBB/NL trong nước", '6. TIẾN ĐỘ MUA HÀNG'!$A$4:$AT$4, 0))) = TRIM($B92)) * (TRIM(INDEX('6. TIẾN ĐỘ MUA HÀNG'!$A$5:$AT644, 0, XMATCH("Tháng", '6. TIẾN ĐỘ MUA HÀNG'!$A$4:$AT$4, 0))) = TRIM(I$6)) * (INDEX('6. TIẾN ĐỘ MUA HÀNG'!$A$5:$AT644, 0, XMATCH("Mã đơn Misa", '6. TIẾN ĐỘ MUA HÀNG'!$A$4:$AT$4, 0)) &lt;&gt; ""))</f>
        <v>0</v>
      </c>
      <c r="J92" s="754">
        <f t="array" ref="J92">SUMPRODUCT(
  (INDEX('6. TIẾN ĐỘ MUA HÀNG'!$A$5:$AT644, 0, XMATCH("NCC VTBB/NL trong nước", '6. TIẾN ĐỘ MUA HÀNG'!$A$4:$AT$4, 0)) = $B92) * (TRIM(INDEX('6. TIẾN ĐỘ MUA HÀNG'!$A$5:$AT644, 0, XMATCH("Tháng", '6. TIẾN ĐỘ MUA HÀNG'!$A$4:$AT$4, 0))) = TRIM(I$6)) * (INDEX('6. TIẾN ĐỘ MUA HÀNG'!$A$5:$AT644, 0, XMATCH("CL NGÀY NCC DỰ KIẾN - NGÀY NHẬN HÀNG", '6. TIẾN ĐỘ MUA HÀNG'!$A$4:$AT$4, 0)) &lt; 0)
)</f>
        <v>0</v>
      </c>
      <c r="K92" s="755">
        <f t="shared" si="30"/>
        <v>0</v>
      </c>
      <c r="L92" s="756">
        <f t="array" ref="L92">SUMPRODUCT((TRIM(INDEX('6. TIẾN ĐỘ MUA HÀNG'!$A$5:$AT644, 0, XMATCH("NCC VTBB/NL trong nước", '6. TIẾN ĐỘ MUA HÀNG'!$A$4:$AT$4, 0))) = TRIM($B92)) * (TRIM(INDEX('6. TIẾN ĐỘ MUA HÀNG'!$A$5:$AT644, 0, XMATCH("Tháng", '6. TIẾN ĐỘ MUA HÀNG'!$A$4:$AT$4, 0))) = TRIM(L$6)) * (INDEX('6. TIẾN ĐỘ MUA HÀNG'!$A$5:$AT644, 0, XMATCH("Mã đơn Misa", '6. TIẾN ĐỘ MUA HÀNG'!$A$4:$AT$4, 0)) &lt;&gt; ""))</f>
        <v>0</v>
      </c>
      <c r="M92" s="756">
        <f t="array" ref="M92">SUMPRODUCT(
  (INDEX('6. TIẾN ĐỘ MUA HÀNG'!$A$5:$AT644, 0, XMATCH("NCC VTBB/NL trong nước", '6. TIẾN ĐỘ MUA HÀNG'!$A$4:$AT$4, 0)) = $B92) * (TRIM(INDEX('6. TIẾN ĐỘ MUA HÀNG'!$A$5:$AT644, 0, XMATCH("Tháng", '6. TIẾN ĐỘ MUA HÀNG'!$A$4:$AT$4, 0))) = TRIM(L$6)) * (INDEX('6. TIẾN ĐỘ MUA HÀNG'!$A$5:$AT644, 0, XMATCH("CL NGÀY NCC DỰ KIẾN - NGÀY NHẬN HÀNG", '6. TIẾN ĐỘ MUA HÀNG'!$A$4:$AT$4, 0)) &lt; 0)
)</f>
        <v>0</v>
      </c>
      <c r="N92" s="757">
        <f t="shared" si="17"/>
        <v>0</v>
      </c>
      <c r="O92" s="754">
        <f t="array" ref="O92">SUMPRODUCT((TRIM(INDEX('6. TIẾN ĐỘ MUA HÀNG'!$A$5:$AT644, 0, XMATCH("NCC VTBB/NL trong nước", '6. TIẾN ĐỘ MUA HÀNG'!$A$4:$AT$4, 0))) = TRIM($B92)) * (TRIM(INDEX('6. TIẾN ĐỘ MUA HÀNG'!$A$5:$AT644, 0, XMATCH("Tháng", '6. TIẾN ĐỘ MUA HÀNG'!$A$4:$AT$4, 0))) = TRIM(O$6)) * (INDEX('6. TIẾN ĐỘ MUA HÀNG'!$A$5:$AT644, 0, XMATCH("Mã đơn Misa", '6. TIẾN ĐỘ MUA HÀNG'!$A$4:$AT$4, 0)) &lt;&gt; ""))</f>
        <v>0</v>
      </c>
      <c r="P92" s="754">
        <f t="array" ref="P92">SUMPRODUCT(
  (INDEX('6. TIẾN ĐỘ MUA HÀNG'!$A$5:$AT644, 0, XMATCH("NCC VTBB/NL trong nước", '6. TIẾN ĐỘ MUA HÀNG'!$A$4:$AT$4, 0)) = $B92) * (TRIM(INDEX('6. TIẾN ĐỘ MUA HÀNG'!$A$5:$AT644, 0, XMATCH("Tháng", '6. TIẾN ĐỘ MUA HÀNG'!$A$4:$AT$4, 0))) = TRIM(O$6)) * (INDEX('6. TIẾN ĐỘ MUA HÀNG'!$A$5:$AT644, 0, XMATCH("CL NGÀY NCC DỰ KIẾN - NGÀY NHẬN HÀNG", '6. TIẾN ĐỘ MUA HÀNG'!$A$4:$AT$4, 0)) &lt; 0)
)</f>
        <v>0</v>
      </c>
      <c r="Q92" s="755">
        <f t="shared" si="31"/>
        <v>0</v>
      </c>
      <c r="R92" s="756">
        <f t="array" ref="R92">SUMPRODUCT((TRIM(INDEX('6. TIẾN ĐỘ MUA HÀNG'!$A$5:$AT644, 0, XMATCH("NCC VTBB/NL trong nước", '6. TIẾN ĐỘ MUA HÀNG'!$A$4:$AT$4, 0))) = TRIM($B92)) * (TRIM(INDEX('6. TIẾN ĐỘ MUA HÀNG'!$A$5:$AT644, 0, XMATCH("Tháng", '6. TIẾN ĐỘ MUA HÀNG'!$A$4:$AT$4, 0))) = TRIM(R$6)) * (INDEX('6. TIẾN ĐỘ MUA HÀNG'!$A$5:$AT644, 0, XMATCH("Mã đơn Misa", '6. TIẾN ĐỘ MUA HÀNG'!$A$4:$AT$4, 0)) &lt;&gt; ""))</f>
        <v>0</v>
      </c>
      <c r="S92" s="756">
        <f t="array" ref="S92">SUMPRODUCT(
  (INDEX('6. TIẾN ĐỘ MUA HÀNG'!$A$5:$AT644, 0, XMATCH("NCC VTBB/NL trong nước", '6. TIẾN ĐỘ MUA HÀNG'!$A$4:$AT$4, 0)) = $B92) * (TRIM(INDEX('6. TIẾN ĐỘ MUA HÀNG'!$A$5:$AT644, 0, XMATCH("Tháng", '6. TIẾN ĐỘ MUA HÀNG'!$A$4:$AT$4, 0))) = TRIM(R$6)) * (INDEX('6. TIẾN ĐỘ MUA HÀNG'!$A$5:$AT644, 0, XMATCH("CL NGÀY NCC DỰ KIẾN - NGÀY NHẬN HÀNG", '6. TIẾN ĐỘ MUA HÀNG'!$A$4:$AT$4, 0)) &lt; 0)
)</f>
        <v>0</v>
      </c>
      <c r="T92" s="757">
        <f t="shared" si="19"/>
        <v>0</v>
      </c>
      <c r="U92" s="754">
        <f t="array" ref="U92">SUMPRODUCT((TRIM(INDEX('6. TIẾN ĐỘ MUA HÀNG'!$A$5:$AT644, 0, XMATCH("NCC VTBB/NL trong nước", '6. TIẾN ĐỘ MUA HÀNG'!$A$4:$AT$4, 0))) = TRIM($B92)) * (TRIM(INDEX('6. TIẾN ĐỘ MUA HÀNG'!$A$5:$AT644, 0, XMATCH("Tháng", '6. TIẾN ĐỘ MUA HÀNG'!$A$4:$AT$4, 0))) = TRIM(U$6)) * (INDEX('6. TIẾN ĐỘ MUA HÀNG'!$A$5:$AT644, 0, XMATCH("Mã đơn Misa", '6. TIẾN ĐỘ MUA HÀNG'!$A$4:$AT$4, 0)) &lt;&gt; ""))</f>
        <v>0</v>
      </c>
      <c r="V92" s="754">
        <f t="array" ref="V92">SUMPRODUCT(
  (INDEX('6. TIẾN ĐỘ MUA HÀNG'!$A$5:$AT644, 0, XMATCH("NCC VTBB/NL trong nước", '6. TIẾN ĐỘ MUA HÀNG'!$A$4:$AT$4, 0)) = $B92) * (TRIM(INDEX('6. TIẾN ĐỘ MUA HÀNG'!$A$5:$AT644, 0, XMATCH("Tháng", '6. TIẾN ĐỘ MUA HÀNG'!$A$4:$AT$4, 0))) = TRIM(U$6)) * (INDEX('6. TIẾN ĐỘ MUA HÀNG'!$A$5:$AT644, 0, XMATCH("CL NGÀY NCC DỰ KIẾN - NGÀY NHẬN HÀNG", '6. TIẾN ĐỘ MUA HÀNG'!$A$4:$AT$4, 0)) &lt; 0)
)</f>
        <v>0</v>
      </c>
      <c r="W92" s="755">
        <f t="shared" si="32"/>
        <v>0</v>
      </c>
      <c r="X92" s="756">
        <f t="array" ref="X92">SUMPRODUCT((TRIM(INDEX('6. TIẾN ĐỘ MUA HÀNG'!$A$5:$AT644, 0, XMATCH("NCC VTBB/NL trong nước", '6. TIẾN ĐỘ MUA HÀNG'!$A$4:$AT$4, 0))) = TRIM($B92)) * (TRIM(INDEX('6. TIẾN ĐỘ MUA HÀNG'!$A$5:$AT644, 0, XMATCH("Tháng", '6. TIẾN ĐỘ MUA HÀNG'!$A$4:$AT$4, 0))) = TRIM(X$6)) * (INDEX('6. TIẾN ĐỘ MUA HÀNG'!$A$5:$AT644, 0, XMATCH("Mã đơn Misa", '6. TIẾN ĐỘ MUA HÀNG'!$A$4:$AT$4, 0)) &lt;&gt; ""))</f>
        <v>0</v>
      </c>
      <c r="Y92" s="756">
        <f t="array" ref="Y92">SUMPRODUCT(
  (INDEX('6. TIẾN ĐỘ MUA HÀNG'!$A$5:$AT644, 0, XMATCH("NCC VTBB/NL trong nước", '6. TIẾN ĐỘ MUA HÀNG'!$A$4:$AT$4, 0)) = $B92) * (TRIM(INDEX('6. TIẾN ĐỘ MUA HÀNG'!$A$5:$AT644, 0, XMATCH("Tháng", '6. TIẾN ĐỘ MUA HÀNG'!$A$4:$AT$4, 0))) = TRIM(X$6)) * (INDEX('6. TIẾN ĐỘ MUA HÀNG'!$A$5:$AT644, 0, XMATCH("CL NGÀY NCC DỰ KIẾN - NGÀY NHẬN HÀNG", '6. TIẾN ĐỘ MUA HÀNG'!$A$4:$AT$4, 0)) &lt; 0)
)</f>
        <v>0</v>
      </c>
      <c r="Z92" s="757">
        <f t="shared" si="21"/>
        <v>0</v>
      </c>
      <c r="AA92" s="754">
        <f t="array" ref="AA92">SUMPRODUCT((TRIM(INDEX('6. TIẾN ĐỘ MUA HÀNG'!$A$5:$AT644, 0, XMATCH("NCC VTBB/NL trong nước", '6. TIẾN ĐỘ MUA HÀNG'!$A$4:$AT$4, 0))) = TRIM($B92)) * (TRIM(INDEX('6. TIẾN ĐỘ MUA HÀNG'!$A$5:$AT644, 0, XMATCH("Tháng", '6. TIẾN ĐỘ MUA HÀNG'!$A$4:$AT$4, 0))) = TRIM(AA$6)) * (INDEX('6. TIẾN ĐỘ MUA HÀNG'!$A$5:$AT644, 0, XMATCH("Mã đơn Misa", '6. TIẾN ĐỘ MUA HÀNG'!$A$4:$AT$4, 0)) &lt;&gt; ""))</f>
        <v>0</v>
      </c>
      <c r="AB92" s="754">
        <f t="array" ref="AB92">SUMPRODUCT(
  (INDEX('6. TIẾN ĐỘ MUA HÀNG'!$A$5:$AT644, 0, XMATCH("NCC VTBB/NL trong nước", '6. TIẾN ĐỘ MUA HÀNG'!$A$4:$AT$4, 0)) = $B92) * (TRIM(INDEX('6. TIẾN ĐỘ MUA HÀNG'!$A$5:$AT644, 0, XMATCH("Tháng", '6. TIẾN ĐỘ MUA HÀNG'!$A$4:$AT$4, 0))) = TRIM(AA$6)) * (INDEX('6. TIẾN ĐỘ MUA HÀNG'!$A$5:$AT644, 0, XMATCH("CL NGÀY NCC DỰ KIẾN - NGÀY NHẬN HÀNG", '6. TIẾN ĐỘ MUA HÀNG'!$A$4:$AT$4, 0)) &lt; 0)
)</f>
        <v>0</v>
      </c>
      <c r="AC92" s="755">
        <f t="shared" si="33"/>
        <v>0</v>
      </c>
      <c r="AD92" s="756">
        <f t="array" ref="AD92">SUMPRODUCT((TRIM(INDEX('6. TIẾN ĐỘ MUA HÀNG'!$A$5:$AT644, 0, XMATCH("NCC VTBB/NL trong nước", '6. TIẾN ĐỘ MUA HÀNG'!$A$4:$AT$4, 0))) = TRIM($B92)) * (TRIM(INDEX('6. TIẾN ĐỘ MUA HÀNG'!$A$5:$AT644, 0, XMATCH("Tháng", '6. TIẾN ĐỘ MUA HÀNG'!$A$4:$AT$4, 0))) = TRIM(AD$6)) * (INDEX('6. TIẾN ĐỘ MUA HÀNG'!$A$5:$AT644, 0, XMATCH("Mã đơn Misa", '6. TIẾN ĐỘ MUA HÀNG'!$A$4:$AT$4, 0)) &lt;&gt; ""))</f>
        <v>0</v>
      </c>
      <c r="AE92" s="756">
        <f t="array" ref="AE92">SUMPRODUCT(
  (INDEX('6. TIẾN ĐỘ MUA HÀNG'!$A$5:$AT644, 0, XMATCH("NCC VTBB/NL trong nước", '6. TIẾN ĐỘ MUA HÀNG'!$A$4:$AT$4, 0)) = $B92) * (TRIM(INDEX('6. TIẾN ĐỘ MUA HÀNG'!$A$5:$AT644, 0, XMATCH("Tháng", '6. TIẾN ĐỘ MUA HÀNG'!$A$4:$AT$4, 0))) = TRIM(AD$6)) * (INDEX('6. TIẾN ĐỘ MUA HÀNG'!$A$5:$AT644, 0, XMATCH("CL NGÀY NCC DỰ KIẾN - NGÀY NHẬN HÀNG", '6. TIẾN ĐỘ MUA HÀNG'!$A$4:$AT$4, 0)) &lt; 0)
)</f>
        <v>0</v>
      </c>
      <c r="AF92" s="757">
        <f t="shared" si="23"/>
        <v>0</v>
      </c>
      <c r="AG92" s="754">
        <f t="array" ref="AG92">SUMPRODUCT((TRIM(INDEX('6. TIẾN ĐỘ MUA HÀNG'!$A$5:$AT644, 0, XMATCH("NCC VTBB/NL trong nước", '6. TIẾN ĐỘ MUA HÀNG'!$A$4:$AT$4, 0))) = TRIM($B92)) * (TRIM(INDEX('6. TIẾN ĐỘ MUA HÀNG'!$A$5:$AT644, 0, XMATCH("Tháng", '6. TIẾN ĐỘ MUA HÀNG'!$A$4:$AT$4, 0))) = TRIM(AG$6)) * (INDEX('6. TIẾN ĐỘ MUA HÀNG'!$A$5:$AT644, 0, XMATCH("Mã đơn Misa", '6. TIẾN ĐỘ MUA HÀNG'!$A$4:$AT$4, 0)) &lt;&gt; ""))</f>
        <v>0</v>
      </c>
      <c r="AH92" s="754">
        <f t="array" ref="AH92">SUMPRODUCT(
  (INDEX('6. TIẾN ĐỘ MUA HÀNG'!$A$5:$AT644, 0, XMATCH("NCC VTBB/NL trong nước", '6. TIẾN ĐỘ MUA HÀNG'!$A$4:$AT$4, 0)) = $B92) * (TRIM(INDEX('6. TIẾN ĐỘ MUA HÀNG'!$A$5:$AT644, 0, XMATCH("Tháng", '6. TIẾN ĐỘ MUA HÀNG'!$A$4:$AT$4, 0))) = TRIM(AG$6)) * (INDEX('6. TIẾN ĐỘ MUA HÀNG'!$A$5:$AT644, 0, XMATCH("CL NGÀY NCC DỰ KIẾN - NGÀY NHẬN HÀNG", '6. TIẾN ĐỘ MUA HÀNG'!$A$4:$AT$4, 0)) &lt; 0)
)</f>
        <v>0</v>
      </c>
      <c r="AI92" s="755">
        <f t="shared" si="34"/>
        <v>0</v>
      </c>
      <c r="AJ92" s="756">
        <f t="array" ref="AJ92">SUMPRODUCT((TRIM(INDEX('6. TIẾN ĐỘ MUA HÀNG'!$A$5:$AT644, 0, XMATCH("NCC VTBB/NL trong nước", '6. TIẾN ĐỘ MUA HÀNG'!$A$4:$AT$4, 0))) = TRIM($B92)) * (TRIM(INDEX('6. TIẾN ĐỘ MUA HÀNG'!$A$5:$AT644, 0, XMATCH("Tháng", '6. TIẾN ĐỘ MUA HÀNG'!$A$4:$AT$4, 0))) = TRIM(AJ$6)) * (INDEX('6. TIẾN ĐỘ MUA HÀNG'!$A$5:$AT644, 0, XMATCH("Mã đơn Misa", '6. TIẾN ĐỘ MUA HÀNG'!$A$4:$AT$4, 0)) &lt;&gt; ""))</f>
        <v>0</v>
      </c>
      <c r="AK92" s="756">
        <f t="array" ref="AK92">SUMPRODUCT(
  (INDEX('6. TIẾN ĐỘ MUA HÀNG'!$A$5:$AT644, 0, XMATCH("NCC VTBB/NL trong nước", '6. TIẾN ĐỘ MUA HÀNG'!$A$4:$AT$4, 0)) = $B92) * (TRIM(INDEX('6. TIẾN ĐỘ MUA HÀNG'!$A$5:$AT644, 0, XMATCH("Tháng", '6. TIẾN ĐỘ MUA HÀNG'!$A$4:$AT$4, 0))) = TRIM(AJ$6)) * (INDEX('6. TIẾN ĐỘ MUA HÀNG'!$A$5:$AT644, 0, XMATCH("CL NGÀY NCC DỰ KIẾN - NGÀY NHẬN HÀNG", '6. TIẾN ĐỘ MUA HÀNG'!$A$4:$AT$4, 0)) &lt; 0)
)</f>
        <v>0</v>
      </c>
      <c r="AL92" s="757">
        <f t="shared" si="25"/>
        <v>0</v>
      </c>
      <c r="AM92" s="726">
        <f t="shared" si="27"/>
        <v>0</v>
      </c>
      <c r="AN92" s="726">
        <f t="shared" si="28"/>
        <v>0</v>
      </c>
      <c r="AO92" s="727">
        <f t="shared" si="26"/>
        <v>0</v>
      </c>
    </row>
    <row r="93">
      <c r="A93" s="612">
        <v>85.0</v>
      </c>
      <c r="B93" s="624" t="str">
        <f>IFERROR(__xludf.DUMMYFUNCTION("""COMPUTED_VALUE"""),"La Hán Hoàng Phát")</f>
        <v>La Hán Hoàng Phát</v>
      </c>
      <c r="C93" s="754">
        <f t="array" ref="C93">SUMPRODUCT((TRIM(INDEX('6. TIẾN ĐỘ MUA HÀNG'!$A$5:$AT644, 0, XMATCH("NCC VTBB/NL trong nước", '6. TIẾN ĐỘ MUA HÀNG'!$A$4:$AT$4, 0))) = TRIM($B93)) * (TRIM(INDEX('6. TIẾN ĐỘ MUA HÀNG'!$A$5:$AT644, 0, XMATCH("Tháng", '6. TIẾN ĐỘ MUA HÀNG'!$A$4:$AT$4, 0))) = TRIM(C$6)) * (INDEX('6. TIẾN ĐỘ MUA HÀNG'!$A$5:$AT644, 0, XMATCH("Mã đơn Misa", '6. TIẾN ĐỘ MUA HÀNG'!$A$4:$AT$4, 0)) &lt;&gt; ""))</f>
        <v>0</v>
      </c>
      <c r="D93" s="754">
        <f t="array" ref="D93">SUMPRODUCT(
  (INDEX('6. TIẾN ĐỘ MUA HÀNG'!$A$5:$AT644, 0, XMATCH("NCC VTBB/NL trong nước", '6. TIẾN ĐỘ MUA HÀNG'!$A$4:$AT$4, 0)) = $B93) * (TRIM(INDEX('6. TIẾN ĐỘ MUA HÀNG'!$A$5:$AT644, 0, XMATCH("Tháng", '6. TIẾN ĐỘ MUA HÀNG'!$A$4:$AT$4, 0))) = TRIM(C$6)) * (INDEX('6. TIẾN ĐỘ MUA HÀNG'!$A$5:$AT644, 0, XMATCH("CL NGÀY NCC DỰ KIẾN - NGÀY NHẬN HÀNG", '6. TIẾN ĐỘ MUA HÀNG'!$A$4:$AT$4, 0)) &lt; 0)
)</f>
        <v>0</v>
      </c>
      <c r="E93" s="755">
        <f t="shared" si="29"/>
        <v>0</v>
      </c>
      <c r="F93" s="756">
        <f t="array" ref="F93">SUMPRODUCT((TRIM(INDEX('6. TIẾN ĐỘ MUA HÀNG'!$A$5:$AT644, 0, XMATCH("NCC VTBB/NL trong nước", '6. TIẾN ĐỘ MUA HÀNG'!$A$4:$AT$4, 0))) = TRIM($B93)) * (TRIM(INDEX('6. TIẾN ĐỘ MUA HÀNG'!$A$5:$AT644, 0, XMATCH("Tháng", '6. TIẾN ĐỘ MUA HÀNG'!$A$4:$AT$4, 0))) = TRIM(F$6)) * (INDEX('6. TIẾN ĐỘ MUA HÀNG'!$A$5:$AT644, 0, XMATCH("Mã đơn Misa", '6. TIẾN ĐỘ MUA HÀNG'!$A$4:$AT$4, 0)) &lt;&gt; ""))</f>
        <v>0</v>
      </c>
      <c r="G93" s="756">
        <f t="array" ref="G93">SUMPRODUCT(
  (INDEX('6. TIẾN ĐỘ MUA HÀNG'!$A$5:$AT644, 0, XMATCH("NCC VTBB/NL trong nước", '6. TIẾN ĐỘ MUA HÀNG'!$A$4:$AT$4, 0)) = $B93) * (TRIM(INDEX('6. TIẾN ĐỘ MUA HÀNG'!$A$5:$AT644, 0, XMATCH("Tháng", '6. TIẾN ĐỘ MUA HÀNG'!$A$4:$AT$4, 0))) = TRIM(F$6)) * (INDEX('6. TIẾN ĐỘ MUA HÀNG'!$A$5:$AT644, 0, XMATCH("CL NGÀY NCC DỰ KIẾN - NGÀY NHẬN HÀNG", '6. TIẾN ĐỘ MUA HÀNG'!$A$4:$AT$4, 0)) &lt; 0)
)</f>
        <v>0</v>
      </c>
      <c r="H93" s="757">
        <f t="shared" si="15"/>
        <v>0</v>
      </c>
      <c r="I93" s="754">
        <f t="array" ref="I93">SUMPRODUCT((TRIM(INDEX('6. TIẾN ĐỘ MUA HÀNG'!$A$5:$AT644, 0, XMATCH("NCC VTBB/NL trong nước", '6. TIẾN ĐỘ MUA HÀNG'!$A$4:$AT$4, 0))) = TRIM($B93)) * (TRIM(INDEX('6. TIẾN ĐỘ MUA HÀNG'!$A$5:$AT644, 0, XMATCH("Tháng", '6. TIẾN ĐỘ MUA HÀNG'!$A$4:$AT$4, 0))) = TRIM(I$6)) * (INDEX('6. TIẾN ĐỘ MUA HÀNG'!$A$5:$AT644, 0, XMATCH("Mã đơn Misa", '6. TIẾN ĐỘ MUA HÀNG'!$A$4:$AT$4, 0)) &lt;&gt; ""))</f>
        <v>0</v>
      </c>
      <c r="J93" s="754">
        <f t="array" ref="J93">SUMPRODUCT(
  (INDEX('6. TIẾN ĐỘ MUA HÀNG'!$A$5:$AT644, 0, XMATCH("NCC VTBB/NL trong nước", '6. TIẾN ĐỘ MUA HÀNG'!$A$4:$AT$4, 0)) = $B93) * (TRIM(INDEX('6. TIẾN ĐỘ MUA HÀNG'!$A$5:$AT644, 0, XMATCH("Tháng", '6. TIẾN ĐỘ MUA HÀNG'!$A$4:$AT$4, 0))) = TRIM(I$6)) * (INDEX('6. TIẾN ĐỘ MUA HÀNG'!$A$5:$AT644, 0, XMATCH("CL NGÀY NCC DỰ KIẾN - NGÀY NHẬN HÀNG", '6. TIẾN ĐỘ MUA HÀNG'!$A$4:$AT$4, 0)) &lt; 0)
)</f>
        <v>0</v>
      </c>
      <c r="K93" s="755">
        <f t="shared" si="30"/>
        <v>0</v>
      </c>
      <c r="L93" s="756">
        <f t="array" ref="L93">SUMPRODUCT((TRIM(INDEX('6. TIẾN ĐỘ MUA HÀNG'!$A$5:$AT644, 0, XMATCH("NCC VTBB/NL trong nước", '6. TIẾN ĐỘ MUA HÀNG'!$A$4:$AT$4, 0))) = TRIM($B93)) * (TRIM(INDEX('6. TIẾN ĐỘ MUA HÀNG'!$A$5:$AT644, 0, XMATCH("Tháng", '6. TIẾN ĐỘ MUA HÀNG'!$A$4:$AT$4, 0))) = TRIM(L$6)) * (INDEX('6. TIẾN ĐỘ MUA HÀNG'!$A$5:$AT644, 0, XMATCH("Mã đơn Misa", '6. TIẾN ĐỘ MUA HÀNG'!$A$4:$AT$4, 0)) &lt;&gt; ""))</f>
        <v>0</v>
      </c>
      <c r="M93" s="756">
        <f t="array" ref="M93">SUMPRODUCT(
  (INDEX('6. TIẾN ĐỘ MUA HÀNG'!$A$5:$AT644, 0, XMATCH("NCC VTBB/NL trong nước", '6. TIẾN ĐỘ MUA HÀNG'!$A$4:$AT$4, 0)) = $B93) * (TRIM(INDEX('6. TIẾN ĐỘ MUA HÀNG'!$A$5:$AT644, 0, XMATCH("Tháng", '6. TIẾN ĐỘ MUA HÀNG'!$A$4:$AT$4, 0))) = TRIM(L$6)) * (INDEX('6. TIẾN ĐỘ MUA HÀNG'!$A$5:$AT644, 0, XMATCH("CL NGÀY NCC DỰ KIẾN - NGÀY NHẬN HÀNG", '6. TIẾN ĐỘ MUA HÀNG'!$A$4:$AT$4, 0)) &lt; 0)
)</f>
        <v>0</v>
      </c>
      <c r="N93" s="757">
        <f t="shared" si="17"/>
        <v>0</v>
      </c>
      <c r="O93" s="754">
        <f t="array" ref="O93">SUMPRODUCT((TRIM(INDEX('6. TIẾN ĐỘ MUA HÀNG'!$A$5:$AT644, 0, XMATCH("NCC VTBB/NL trong nước", '6. TIẾN ĐỘ MUA HÀNG'!$A$4:$AT$4, 0))) = TRIM($B93)) * (TRIM(INDEX('6. TIẾN ĐỘ MUA HÀNG'!$A$5:$AT644, 0, XMATCH("Tháng", '6. TIẾN ĐỘ MUA HÀNG'!$A$4:$AT$4, 0))) = TRIM(O$6)) * (INDEX('6. TIẾN ĐỘ MUA HÀNG'!$A$5:$AT644, 0, XMATCH("Mã đơn Misa", '6. TIẾN ĐỘ MUA HÀNG'!$A$4:$AT$4, 0)) &lt;&gt; ""))</f>
        <v>0</v>
      </c>
      <c r="P93" s="754">
        <f t="array" ref="P93">SUMPRODUCT(
  (INDEX('6. TIẾN ĐỘ MUA HÀNG'!$A$5:$AT644, 0, XMATCH("NCC VTBB/NL trong nước", '6. TIẾN ĐỘ MUA HÀNG'!$A$4:$AT$4, 0)) = $B93) * (TRIM(INDEX('6. TIẾN ĐỘ MUA HÀNG'!$A$5:$AT644, 0, XMATCH("Tháng", '6. TIẾN ĐỘ MUA HÀNG'!$A$4:$AT$4, 0))) = TRIM(O$6)) * (INDEX('6. TIẾN ĐỘ MUA HÀNG'!$A$5:$AT644, 0, XMATCH("CL NGÀY NCC DỰ KIẾN - NGÀY NHẬN HÀNG", '6. TIẾN ĐỘ MUA HÀNG'!$A$4:$AT$4, 0)) &lt; 0)
)</f>
        <v>0</v>
      </c>
      <c r="Q93" s="755">
        <f t="shared" si="31"/>
        <v>0</v>
      </c>
      <c r="R93" s="756">
        <f t="array" ref="R93">SUMPRODUCT((TRIM(INDEX('6. TIẾN ĐỘ MUA HÀNG'!$A$5:$AT644, 0, XMATCH("NCC VTBB/NL trong nước", '6. TIẾN ĐỘ MUA HÀNG'!$A$4:$AT$4, 0))) = TRIM($B93)) * (TRIM(INDEX('6. TIẾN ĐỘ MUA HÀNG'!$A$5:$AT644, 0, XMATCH("Tháng", '6. TIẾN ĐỘ MUA HÀNG'!$A$4:$AT$4, 0))) = TRIM(R$6)) * (INDEX('6. TIẾN ĐỘ MUA HÀNG'!$A$5:$AT644, 0, XMATCH("Mã đơn Misa", '6. TIẾN ĐỘ MUA HÀNG'!$A$4:$AT$4, 0)) &lt;&gt; ""))</f>
        <v>0</v>
      </c>
      <c r="S93" s="756">
        <f t="array" ref="S93">SUMPRODUCT(
  (INDEX('6. TIẾN ĐỘ MUA HÀNG'!$A$5:$AT644, 0, XMATCH("NCC VTBB/NL trong nước", '6. TIẾN ĐỘ MUA HÀNG'!$A$4:$AT$4, 0)) = $B93) * (TRIM(INDEX('6. TIẾN ĐỘ MUA HÀNG'!$A$5:$AT644, 0, XMATCH("Tháng", '6. TIẾN ĐỘ MUA HÀNG'!$A$4:$AT$4, 0))) = TRIM(R$6)) * (INDEX('6. TIẾN ĐỘ MUA HÀNG'!$A$5:$AT644, 0, XMATCH("CL NGÀY NCC DỰ KIẾN - NGÀY NHẬN HÀNG", '6. TIẾN ĐỘ MUA HÀNG'!$A$4:$AT$4, 0)) &lt; 0)
)</f>
        <v>0</v>
      </c>
      <c r="T93" s="757">
        <f t="shared" si="19"/>
        <v>0</v>
      </c>
      <c r="U93" s="754">
        <f t="array" ref="U93">SUMPRODUCT((TRIM(INDEX('6. TIẾN ĐỘ MUA HÀNG'!$A$5:$AT644, 0, XMATCH("NCC VTBB/NL trong nước", '6. TIẾN ĐỘ MUA HÀNG'!$A$4:$AT$4, 0))) = TRIM($B93)) * (TRIM(INDEX('6. TIẾN ĐỘ MUA HÀNG'!$A$5:$AT644, 0, XMATCH("Tháng", '6. TIẾN ĐỘ MUA HÀNG'!$A$4:$AT$4, 0))) = TRIM(U$6)) * (INDEX('6. TIẾN ĐỘ MUA HÀNG'!$A$5:$AT644, 0, XMATCH("Mã đơn Misa", '6. TIẾN ĐỘ MUA HÀNG'!$A$4:$AT$4, 0)) &lt;&gt; ""))</f>
        <v>0</v>
      </c>
      <c r="V93" s="754">
        <f t="array" ref="V93">SUMPRODUCT(
  (INDEX('6. TIẾN ĐỘ MUA HÀNG'!$A$5:$AT644, 0, XMATCH("NCC VTBB/NL trong nước", '6. TIẾN ĐỘ MUA HÀNG'!$A$4:$AT$4, 0)) = $B93) * (TRIM(INDEX('6. TIẾN ĐỘ MUA HÀNG'!$A$5:$AT644, 0, XMATCH("Tháng", '6. TIẾN ĐỘ MUA HÀNG'!$A$4:$AT$4, 0))) = TRIM(U$6)) * (INDEX('6. TIẾN ĐỘ MUA HÀNG'!$A$5:$AT644, 0, XMATCH("CL NGÀY NCC DỰ KIẾN - NGÀY NHẬN HÀNG", '6. TIẾN ĐỘ MUA HÀNG'!$A$4:$AT$4, 0)) &lt; 0)
)</f>
        <v>0</v>
      </c>
      <c r="W93" s="755">
        <f t="shared" si="32"/>
        <v>0</v>
      </c>
      <c r="X93" s="756">
        <f t="array" ref="X93">SUMPRODUCT((TRIM(INDEX('6. TIẾN ĐỘ MUA HÀNG'!$A$5:$AT644, 0, XMATCH("NCC VTBB/NL trong nước", '6. TIẾN ĐỘ MUA HÀNG'!$A$4:$AT$4, 0))) = TRIM($B93)) * (TRIM(INDEX('6. TIẾN ĐỘ MUA HÀNG'!$A$5:$AT644, 0, XMATCH("Tháng", '6. TIẾN ĐỘ MUA HÀNG'!$A$4:$AT$4, 0))) = TRIM(X$6)) * (INDEX('6. TIẾN ĐỘ MUA HÀNG'!$A$5:$AT644, 0, XMATCH("Mã đơn Misa", '6. TIẾN ĐỘ MUA HÀNG'!$A$4:$AT$4, 0)) &lt;&gt; ""))</f>
        <v>0</v>
      </c>
      <c r="Y93" s="756">
        <f t="array" ref="Y93">SUMPRODUCT(
  (INDEX('6. TIẾN ĐỘ MUA HÀNG'!$A$5:$AT644, 0, XMATCH("NCC VTBB/NL trong nước", '6. TIẾN ĐỘ MUA HÀNG'!$A$4:$AT$4, 0)) = $B93) * (TRIM(INDEX('6. TIẾN ĐỘ MUA HÀNG'!$A$5:$AT644, 0, XMATCH("Tháng", '6. TIẾN ĐỘ MUA HÀNG'!$A$4:$AT$4, 0))) = TRIM(X$6)) * (INDEX('6. TIẾN ĐỘ MUA HÀNG'!$A$5:$AT644, 0, XMATCH("CL NGÀY NCC DỰ KIẾN - NGÀY NHẬN HÀNG", '6. TIẾN ĐỘ MUA HÀNG'!$A$4:$AT$4, 0)) &lt; 0)
)</f>
        <v>0</v>
      </c>
      <c r="Z93" s="757">
        <f t="shared" si="21"/>
        <v>0</v>
      </c>
      <c r="AA93" s="754">
        <f t="array" ref="AA93">SUMPRODUCT((TRIM(INDEX('6. TIẾN ĐỘ MUA HÀNG'!$A$5:$AT644, 0, XMATCH("NCC VTBB/NL trong nước", '6. TIẾN ĐỘ MUA HÀNG'!$A$4:$AT$4, 0))) = TRIM($B93)) * (TRIM(INDEX('6. TIẾN ĐỘ MUA HÀNG'!$A$5:$AT644, 0, XMATCH("Tháng", '6. TIẾN ĐỘ MUA HÀNG'!$A$4:$AT$4, 0))) = TRIM(AA$6)) * (INDEX('6. TIẾN ĐỘ MUA HÀNG'!$A$5:$AT644, 0, XMATCH("Mã đơn Misa", '6. TIẾN ĐỘ MUA HÀNG'!$A$4:$AT$4, 0)) &lt;&gt; ""))</f>
        <v>0</v>
      </c>
      <c r="AB93" s="754">
        <f t="array" ref="AB93">SUMPRODUCT(
  (INDEX('6. TIẾN ĐỘ MUA HÀNG'!$A$5:$AT644, 0, XMATCH("NCC VTBB/NL trong nước", '6. TIẾN ĐỘ MUA HÀNG'!$A$4:$AT$4, 0)) = $B93) * (TRIM(INDEX('6. TIẾN ĐỘ MUA HÀNG'!$A$5:$AT644, 0, XMATCH("Tháng", '6. TIẾN ĐỘ MUA HÀNG'!$A$4:$AT$4, 0))) = TRIM(AA$6)) * (INDEX('6. TIẾN ĐỘ MUA HÀNG'!$A$5:$AT644, 0, XMATCH("CL NGÀY NCC DỰ KIẾN - NGÀY NHẬN HÀNG", '6. TIẾN ĐỘ MUA HÀNG'!$A$4:$AT$4, 0)) &lt; 0)
)</f>
        <v>0</v>
      </c>
      <c r="AC93" s="755">
        <f t="shared" si="33"/>
        <v>0</v>
      </c>
      <c r="AD93" s="756">
        <f t="array" ref="AD93">SUMPRODUCT((TRIM(INDEX('6. TIẾN ĐỘ MUA HÀNG'!$A$5:$AT644, 0, XMATCH("NCC VTBB/NL trong nước", '6. TIẾN ĐỘ MUA HÀNG'!$A$4:$AT$4, 0))) = TRIM($B93)) * (TRIM(INDEX('6. TIẾN ĐỘ MUA HÀNG'!$A$5:$AT644, 0, XMATCH("Tháng", '6. TIẾN ĐỘ MUA HÀNG'!$A$4:$AT$4, 0))) = TRIM(AD$6)) * (INDEX('6. TIẾN ĐỘ MUA HÀNG'!$A$5:$AT644, 0, XMATCH("Mã đơn Misa", '6. TIẾN ĐỘ MUA HÀNG'!$A$4:$AT$4, 0)) &lt;&gt; ""))</f>
        <v>0</v>
      </c>
      <c r="AE93" s="756">
        <f t="array" ref="AE93">SUMPRODUCT(
  (INDEX('6. TIẾN ĐỘ MUA HÀNG'!$A$5:$AT644, 0, XMATCH("NCC VTBB/NL trong nước", '6. TIẾN ĐỘ MUA HÀNG'!$A$4:$AT$4, 0)) = $B93) * (TRIM(INDEX('6. TIẾN ĐỘ MUA HÀNG'!$A$5:$AT644, 0, XMATCH("Tháng", '6. TIẾN ĐỘ MUA HÀNG'!$A$4:$AT$4, 0))) = TRIM(AD$6)) * (INDEX('6. TIẾN ĐỘ MUA HÀNG'!$A$5:$AT644, 0, XMATCH("CL NGÀY NCC DỰ KIẾN - NGÀY NHẬN HÀNG", '6. TIẾN ĐỘ MUA HÀNG'!$A$4:$AT$4, 0)) &lt; 0)
)</f>
        <v>0</v>
      </c>
      <c r="AF93" s="757">
        <f t="shared" si="23"/>
        <v>0</v>
      </c>
      <c r="AG93" s="754">
        <f t="array" ref="AG93">SUMPRODUCT((TRIM(INDEX('6. TIẾN ĐỘ MUA HÀNG'!$A$5:$AT644, 0, XMATCH("NCC VTBB/NL trong nước", '6. TIẾN ĐỘ MUA HÀNG'!$A$4:$AT$4, 0))) = TRIM($B93)) * (TRIM(INDEX('6. TIẾN ĐỘ MUA HÀNG'!$A$5:$AT644, 0, XMATCH("Tháng", '6. TIẾN ĐỘ MUA HÀNG'!$A$4:$AT$4, 0))) = TRIM(AG$6)) * (INDEX('6. TIẾN ĐỘ MUA HÀNG'!$A$5:$AT644, 0, XMATCH("Mã đơn Misa", '6. TIẾN ĐỘ MUA HÀNG'!$A$4:$AT$4, 0)) &lt;&gt; ""))</f>
        <v>0</v>
      </c>
      <c r="AH93" s="754">
        <f t="array" ref="AH93">SUMPRODUCT(
  (INDEX('6. TIẾN ĐỘ MUA HÀNG'!$A$5:$AT644, 0, XMATCH("NCC VTBB/NL trong nước", '6. TIẾN ĐỘ MUA HÀNG'!$A$4:$AT$4, 0)) = $B93) * (TRIM(INDEX('6. TIẾN ĐỘ MUA HÀNG'!$A$5:$AT644, 0, XMATCH("Tháng", '6. TIẾN ĐỘ MUA HÀNG'!$A$4:$AT$4, 0))) = TRIM(AG$6)) * (INDEX('6. TIẾN ĐỘ MUA HÀNG'!$A$5:$AT644, 0, XMATCH("CL NGÀY NCC DỰ KIẾN - NGÀY NHẬN HÀNG", '6. TIẾN ĐỘ MUA HÀNG'!$A$4:$AT$4, 0)) &lt; 0)
)</f>
        <v>0</v>
      </c>
      <c r="AI93" s="755">
        <f t="shared" si="34"/>
        <v>0</v>
      </c>
      <c r="AJ93" s="756">
        <f t="array" ref="AJ93">SUMPRODUCT((TRIM(INDEX('6. TIẾN ĐỘ MUA HÀNG'!$A$5:$AT644, 0, XMATCH("NCC VTBB/NL trong nước", '6. TIẾN ĐỘ MUA HÀNG'!$A$4:$AT$4, 0))) = TRIM($B93)) * (TRIM(INDEX('6. TIẾN ĐỘ MUA HÀNG'!$A$5:$AT644, 0, XMATCH("Tháng", '6. TIẾN ĐỘ MUA HÀNG'!$A$4:$AT$4, 0))) = TRIM(AJ$6)) * (INDEX('6. TIẾN ĐỘ MUA HÀNG'!$A$5:$AT644, 0, XMATCH("Mã đơn Misa", '6. TIẾN ĐỘ MUA HÀNG'!$A$4:$AT$4, 0)) &lt;&gt; ""))</f>
        <v>0</v>
      </c>
      <c r="AK93" s="756">
        <f t="array" ref="AK93">SUMPRODUCT(
  (INDEX('6. TIẾN ĐỘ MUA HÀNG'!$A$5:$AT644, 0, XMATCH("NCC VTBB/NL trong nước", '6. TIẾN ĐỘ MUA HÀNG'!$A$4:$AT$4, 0)) = $B93) * (TRIM(INDEX('6. TIẾN ĐỘ MUA HÀNG'!$A$5:$AT644, 0, XMATCH("Tháng", '6. TIẾN ĐỘ MUA HÀNG'!$A$4:$AT$4, 0))) = TRIM(AJ$6)) * (INDEX('6. TIẾN ĐỘ MUA HÀNG'!$A$5:$AT644, 0, XMATCH("CL NGÀY NCC DỰ KIẾN - NGÀY NHẬN HÀNG", '6. TIẾN ĐỘ MUA HÀNG'!$A$4:$AT$4, 0)) &lt; 0)
)</f>
        <v>0</v>
      </c>
      <c r="AL93" s="757">
        <f t="shared" si="25"/>
        <v>0</v>
      </c>
      <c r="AM93" s="726">
        <f t="shared" si="27"/>
        <v>0</v>
      </c>
      <c r="AN93" s="726">
        <f t="shared" si="28"/>
        <v>0</v>
      </c>
      <c r="AO93" s="727">
        <f t="shared" si="26"/>
        <v>0</v>
      </c>
    </row>
    <row r="94">
      <c r="A94" s="612">
        <v>86.0</v>
      </c>
      <c r="B94" s="624" t="str">
        <f>IFERROR(__xludf.DUMMYFUNCTION("""COMPUTED_VALUE"""),"Phát Thiên Phú")</f>
        <v>Phát Thiên Phú</v>
      </c>
      <c r="C94" s="754">
        <f t="array" ref="C94">SUMPRODUCT((TRIM(INDEX('6. TIẾN ĐỘ MUA HÀNG'!$A$5:$AT644, 0, XMATCH("NCC VTBB/NL trong nước", '6. TIẾN ĐỘ MUA HÀNG'!$A$4:$AT$4, 0))) = TRIM($B94)) * (TRIM(INDEX('6. TIẾN ĐỘ MUA HÀNG'!$A$5:$AT644, 0, XMATCH("Tháng", '6. TIẾN ĐỘ MUA HÀNG'!$A$4:$AT$4, 0))) = TRIM(C$6)) * (INDEX('6. TIẾN ĐỘ MUA HÀNG'!$A$5:$AT644, 0, XMATCH("Mã đơn Misa", '6. TIẾN ĐỘ MUA HÀNG'!$A$4:$AT$4, 0)) &lt;&gt; ""))</f>
        <v>0</v>
      </c>
      <c r="D94" s="754">
        <f t="array" ref="D94">SUMPRODUCT(
  (INDEX('6. TIẾN ĐỘ MUA HÀNG'!$A$5:$AT644, 0, XMATCH("NCC VTBB/NL trong nước", '6. TIẾN ĐỘ MUA HÀNG'!$A$4:$AT$4, 0)) = $B94) * (TRIM(INDEX('6. TIẾN ĐỘ MUA HÀNG'!$A$5:$AT644, 0, XMATCH("Tháng", '6. TIẾN ĐỘ MUA HÀNG'!$A$4:$AT$4, 0))) = TRIM(C$6)) * (INDEX('6. TIẾN ĐỘ MUA HÀNG'!$A$5:$AT644, 0, XMATCH("CL NGÀY NCC DỰ KIẾN - NGÀY NHẬN HÀNG", '6. TIẾN ĐỘ MUA HÀNG'!$A$4:$AT$4, 0)) &lt; 0)
)</f>
        <v>0</v>
      </c>
      <c r="E94" s="755">
        <f t="shared" si="29"/>
        <v>0</v>
      </c>
      <c r="F94" s="756">
        <f t="array" ref="F94">SUMPRODUCT((TRIM(INDEX('6. TIẾN ĐỘ MUA HÀNG'!$A$5:$AT644, 0, XMATCH("NCC VTBB/NL trong nước", '6. TIẾN ĐỘ MUA HÀNG'!$A$4:$AT$4, 0))) = TRIM($B94)) * (TRIM(INDEX('6. TIẾN ĐỘ MUA HÀNG'!$A$5:$AT644, 0, XMATCH("Tháng", '6. TIẾN ĐỘ MUA HÀNG'!$A$4:$AT$4, 0))) = TRIM(F$6)) * (INDEX('6. TIẾN ĐỘ MUA HÀNG'!$A$5:$AT644, 0, XMATCH("Mã đơn Misa", '6. TIẾN ĐỘ MUA HÀNG'!$A$4:$AT$4, 0)) &lt;&gt; ""))</f>
        <v>0</v>
      </c>
      <c r="G94" s="756">
        <f t="array" ref="G94">SUMPRODUCT(
  (INDEX('6. TIẾN ĐỘ MUA HÀNG'!$A$5:$AT644, 0, XMATCH("NCC VTBB/NL trong nước", '6. TIẾN ĐỘ MUA HÀNG'!$A$4:$AT$4, 0)) = $B94) * (TRIM(INDEX('6. TIẾN ĐỘ MUA HÀNG'!$A$5:$AT644, 0, XMATCH("Tháng", '6. TIẾN ĐỘ MUA HÀNG'!$A$4:$AT$4, 0))) = TRIM(F$6)) * (INDEX('6. TIẾN ĐỘ MUA HÀNG'!$A$5:$AT644, 0, XMATCH("CL NGÀY NCC DỰ KIẾN - NGÀY NHẬN HÀNG", '6. TIẾN ĐỘ MUA HÀNG'!$A$4:$AT$4, 0)) &lt; 0)
)</f>
        <v>0</v>
      </c>
      <c r="H94" s="757">
        <f t="shared" si="15"/>
        <v>0</v>
      </c>
      <c r="I94" s="754">
        <f t="array" ref="I94">SUMPRODUCT((TRIM(INDEX('6. TIẾN ĐỘ MUA HÀNG'!$A$5:$AT644, 0, XMATCH("NCC VTBB/NL trong nước", '6. TIẾN ĐỘ MUA HÀNG'!$A$4:$AT$4, 0))) = TRIM($B94)) * (TRIM(INDEX('6. TIẾN ĐỘ MUA HÀNG'!$A$5:$AT644, 0, XMATCH("Tháng", '6. TIẾN ĐỘ MUA HÀNG'!$A$4:$AT$4, 0))) = TRIM(I$6)) * (INDEX('6. TIẾN ĐỘ MUA HÀNG'!$A$5:$AT644, 0, XMATCH("Mã đơn Misa", '6. TIẾN ĐỘ MUA HÀNG'!$A$4:$AT$4, 0)) &lt;&gt; ""))</f>
        <v>0</v>
      </c>
      <c r="J94" s="754">
        <f t="array" ref="J94">SUMPRODUCT(
  (INDEX('6. TIẾN ĐỘ MUA HÀNG'!$A$5:$AT644, 0, XMATCH("NCC VTBB/NL trong nước", '6. TIẾN ĐỘ MUA HÀNG'!$A$4:$AT$4, 0)) = $B94) * (TRIM(INDEX('6. TIẾN ĐỘ MUA HÀNG'!$A$5:$AT644, 0, XMATCH("Tháng", '6. TIẾN ĐỘ MUA HÀNG'!$A$4:$AT$4, 0))) = TRIM(I$6)) * (INDEX('6. TIẾN ĐỘ MUA HÀNG'!$A$5:$AT644, 0, XMATCH("CL NGÀY NCC DỰ KIẾN - NGÀY NHẬN HÀNG", '6. TIẾN ĐỘ MUA HÀNG'!$A$4:$AT$4, 0)) &lt; 0)
)</f>
        <v>0</v>
      </c>
      <c r="K94" s="755">
        <f t="shared" si="30"/>
        <v>0</v>
      </c>
      <c r="L94" s="756">
        <f t="array" ref="L94">SUMPRODUCT((TRIM(INDEX('6. TIẾN ĐỘ MUA HÀNG'!$A$5:$AT644, 0, XMATCH("NCC VTBB/NL trong nước", '6. TIẾN ĐỘ MUA HÀNG'!$A$4:$AT$4, 0))) = TRIM($B94)) * (TRIM(INDEX('6. TIẾN ĐỘ MUA HÀNG'!$A$5:$AT644, 0, XMATCH("Tháng", '6. TIẾN ĐỘ MUA HÀNG'!$A$4:$AT$4, 0))) = TRIM(L$6)) * (INDEX('6. TIẾN ĐỘ MUA HÀNG'!$A$5:$AT644, 0, XMATCH("Mã đơn Misa", '6. TIẾN ĐỘ MUA HÀNG'!$A$4:$AT$4, 0)) &lt;&gt; ""))</f>
        <v>0</v>
      </c>
      <c r="M94" s="756">
        <f t="array" ref="M94">SUMPRODUCT(
  (INDEX('6. TIẾN ĐỘ MUA HÀNG'!$A$5:$AT644, 0, XMATCH("NCC VTBB/NL trong nước", '6. TIẾN ĐỘ MUA HÀNG'!$A$4:$AT$4, 0)) = $B94) * (TRIM(INDEX('6. TIẾN ĐỘ MUA HÀNG'!$A$5:$AT644, 0, XMATCH("Tháng", '6. TIẾN ĐỘ MUA HÀNG'!$A$4:$AT$4, 0))) = TRIM(L$6)) * (INDEX('6. TIẾN ĐỘ MUA HÀNG'!$A$5:$AT644, 0, XMATCH("CL NGÀY NCC DỰ KIẾN - NGÀY NHẬN HÀNG", '6. TIẾN ĐỘ MUA HÀNG'!$A$4:$AT$4, 0)) &lt; 0)
)</f>
        <v>0</v>
      </c>
      <c r="N94" s="757">
        <f t="shared" si="17"/>
        <v>0</v>
      </c>
      <c r="O94" s="754">
        <f t="array" ref="O94">SUMPRODUCT((TRIM(INDEX('6. TIẾN ĐỘ MUA HÀNG'!$A$5:$AT644, 0, XMATCH("NCC VTBB/NL trong nước", '6. TIẾN ĐỘ MUA HÀNG'!$A$4:$AT$4, 0))) = TRIM($B94)) * (TRIM(INDEX('6. TIẾN ĐỘ MUA HÀNG'!$A$5:$AT644, 0, XMATCH("Tháng", '6. TIẾN ĐỘ MUA HÀNG'!$A$4:$AT$4, 0))) = TRIM(O$6)) * (INDEX('6. TIẾN ĐỘ MUA HÀNG'!$A$5:$AT644, 0, XMATCH("Mã đơn Misa", '6. TIẾN ĐỘ MUA HÀNG'!$A$4:$AT$4, 0)) &lt;&gt; ""))</f>
        <v>0</v>
      </c>
      <c r="P94" s="754">
        <f t="array" ref="P94">SUMPRODUCT(
  (INDEX('6. TIẾN ĐỘ MUA HÀNG'!$A$5:$AT644, 0, XMATCH("NCC VTBB/NL trong nước", '6. TIẾN ĐỘ MUA HÀNG'!$A$4:$AT$4, 0)) = $B94) * (TRIM(INDEX('6. TIẾN ĐỘ MUA HÀNG'!$A$5:$AT644, 0, XMATCH("Tháng", '6. TIẾN ĐỘ MUA HÀNG'!$A$4:$AT$4, 0))) = TRIM(O$6)) * (INDEX('6. TIẾN ĐỘ MUA HÀNG'!$A$5:$AT644, 0, XMATCH("CL NGÀY NCC DỰ KIẾN - NGÀY NHẬN HÀNG", '6. TIẾN ĐỘ MUA HÀNG'!$A$4:$AT$4, 0)) &lt; 0)
)</f>
        <v>0</v>
      </c>
      <c r="Q94" s="755">
        <f t="shared" si="31"/>
        <v>0</v>
      </c>
      <c r="R94" s="756">
        <f t="array" ref="R94">SUMPRODUCT((TRIM(INDEX('6. TIẾN ĐỘ MUA HÀNG'!$A$5:$AT644, 0, XMATCH("NCC VTBB/NL trong nước", '6. TIẾN ĐỘ MUA HÀNG'!$A$4:$AT$4, 0))) = TRIM($B94)) * (TRIM(INDEX('6. TIẾN ĐỘ MUA HÀNG'!$A$5:$AT644, 0, XMATCH("Tháng", '6. TIẾN ĐỘ MUA HÀNG'!$A$4:$AT$4, 0))) = TRIM(R$6)) * (INDEX('6. TIẾN ĐỘ MUA HÀNG'!$A$5:$AT644, 0, XMATCH("Mã đơn Misa", '6. TIẾN ĐỘ MUA HÀNG'!$A$4:$AT$4, 0)) &lt;&gt; ""))</f>
        <v>0</v>
      </c>
      <c r="S94" s="756">
        <f t="array" ref="S94">SUMPRODUCT(
  (INDEX('6. TIẾN ĐỘ MUA HÀNG'!$A$5:$AT644, 0, XMATCH("NCC VTBB/NL trong nước", '6. TIẾN ĐỘ MUA HÀNG'!$A$4:$AT$4, 0)) = $B94) * (TRIM(INDEX('6. TIẾN ĐỘ MUA HÀNG'!$A$5:$AT644, 0, XMATCH("Tháng", '6. TIẾN ĐỘ MUA HÀNG'!$A$4:$AT$4, 0))) = TRIM(R$6)) * (INDEX('6. TIẾN ĐỘ MUA HÀNG'!$A$5:$AT644, 0, XMATCH("CL NGÀY NCC DỰ KIẾN - NGÀY NHẬN HÀNG", '6. TIẾN ĐỘ MUA HÀNG'!$A$4:$AT$4, 0)) &lt; 0)
)</f>
        <v>0</v>
      </c>
      <c r="T94" s="757">
        <f t="shared" si="19"/>
        <v>0</v>
      </c>
      <c r="U94" s="754">
        <f t="array" ref="U94">SUMPRODUCT((TRIM(INDEX('6. TIẾN ĐỘ MUA HÀNG'!$A$5:$AT644, 0, XMATCH("NCC VTBB/NL trong nước", '6. TIẾN ĐỘ MUA HÀNG'!$A$4:$AT$4, 0))) = TRIM($B94)) * (TRIM(INDEX('6. TIẾN ĐỘ MUA HÀNG'!$A$5:$AT644, 0, XMATCH("Tháng", '6. TIẾN ĐỘ MUA HÀNG'!$A$4:$AT$4, 0))) = TRIM(U$6)) * (INDEX('6. TIẾN ĐỘ MUA HÀNG'!$A$5:$AT644, 0, XMATCH("Mã đơn Misa", '6. TIẾN ĐỘ MUA HÀNG'!$A$4:$AT$4, 0)) &lt;&gt; ""))</f>
        <v>0</v>
      </c>
      <c r="V94" s="754">
        <f t="array" ref="V94">SUMPRODUCT(
  (INDEX('6. TIẾN ĐỘ MUA HÀNG'!$A$5:$AT644, 0, XMATCH("NCC VTBB/NL trong nước", '6. TIẾN ĐỘ MUA HÀNG'!$A$4:$AT$4, 0)) = $B94) * (TRIM(INDEX('6. TIẾN ĐỘ MUA HÀNG'!$A$5:$AT644, 0, XMATCH("Tháng", '6. TIẾN ĐỘ MUA HÀNG'!$A$4:$AT$4, 0))) = TRIM(U$6)) * (INDEX('6. TIẾN ĐỘ MUA HÀNG'!$A$5:$AT644, 0, XMATCH("CL NGÀY NCC DỰ KIẾN - NGÀY NHẬN HÀNG", '6. TIẾN ĐỘ MUA HÀNG'!$A$4:$AT$4, 0)) &lt; 0)
)</f>
        <v>0</v>
      </c>
      <c r="W94" s="755">
        <f t="shared" si="32"/>
        <v>0</v>
      </c>
      <c r="X94" s="756">
        <f t="array" ref="X94">SUMPRODUCT((TRIM(INDEX('6. TIẾN ĐỘ MUA HÀNG'!$A$5:$AT644, 0, XMATCH("NCC VTBB/NL trong nước", '6. TIẾN ĐỘ MUA HÀNG'!$A$4:$AT$4, 0))) = TRIM($B94)) * (TRIM(INDEX('6. TIẾN ĐỘ MUA HÀNG'!$A$5:$AT644, 0, XMATCH("Tháng", '6. TIẾN ĐỘ MUA HÀNG'!$A$4:$AT$4, 0))) = TRIM(X$6)) * (INDEX('6. TIẾN ĐỘ MUA HÀNG'!$A$5:$AT644, 0, XMATCH("Mã đơn Misa", '6. TIẾN ĐỘ MUA HÀNG'!$A$4:$AT$4, 0)) &lt;&gt; ""))</f>
        <v>0</v>
      </c>
      <c r="Y94" s="756">
        <f t="array" ref="Y94">SUMPRODUCT(
  (INDEX('6. TIẾN ĐỘ MUA HÀNG'!$A$5:$AT644, 0, XMATCH("NCC VTBB/NL trong nước", '6. TIẾN ĐỘ MUA HÀNG'!$A$4:$AT$4, 0)) = $B94) * (TRIM(INDEX('6. TIẾN ĐỘ MUA HÀNG'!$A$5:$AT644, 0, XMATCH("Tháng", '6. TIẾN ĐỘ MUA HÀNG'!$A$4:$AT$4, 0))) = TRIM(X$6)) * (INDEX('6. TIẾN ĐỘ MUA HÀNG'!$A$5:$AT644, 0, XMATCH("CL NGÀY NCC DỰ KIẾN - NGÀY NHẬN HÀNG", '6. TIẾN ĐỘ MUA HÀNG'!$A$4:$AT$4, 0)) &lt; 0)
)</f>
        <v>0</v>
      </c>
      <c r="Z94" s="757">
        <f t="shared" si="21"/>
        <v>0</v>
      </c>
      <c r="AA94" s="754">
        <f t="array" ref="AA94">SUMPRODUCT((TRIM(INDEX('6. TIẾN ĐỘ MUA HÀNG'!$A$5:$AT644, 0, XMATCH("NCC VTBB/NL trong nước", '6. TIẾN ĐỘ MUA HÀNG'!$A$4:$AT$4, 0))) = TRIM($B94)) * (TRIM(INDEX('6. TIẾN ĐỘ MUA HÀNG'!$A$5:$AT644, 0, XMATCH("Tháng", '6. TIẾN ĐỘ MUA HÀNG'!$A$4:$AT$4, 0))) = TRIM(AA$6)) * (INDEX('6. TIẾN ĐỘ MUA HÀNG'!$A$5:$AT644, 0, XMATCH("Mã đơn Misa", '6. TIẾN ĐỘ MUA HÀNG'!$A$4:$AT$4, 0)) &lt;&gt; ""))</f>
        <v>0</v>
      </c>
      <c r="AB94" s="754">
        <f t="array" ref="AB94">SUMPRODUCT(
  (INDEX('6. TIẾN ĐỘ MUA HÀNG'!$A$5:$AT644, 0, XMATCH("NCC VTBB/NL trong nước", '6. TIẾN ĐỘ MUA HÀNG'!$A$4:$AT$4, 0)) = $B94) * (TRIM(INDEX('6. TIẾN ĐỘ MUA HÀNG'!$A$5:$AT644, 0, XMATCH("Tháng", '6. TIẾN ĐỘ MUA HÀNG'!$A$4:$AT$4, 0))) = TRIM(AA$6)) * (INDEX('6. TIẾN ĐỘ MUA HÀNG'!$A$5:$AT644, 0, XMATCH("CL NGÀY NCC DỰ KIẾN - NGÀY NHẬN HÀNG", '6. TIẾN ĐỘ MUA HÀNG'!$A$4:$AT$4, 0)) &lt; 0)
)</f>
        <v>0</v>
      </c>
      <c r="AC94" s="755">
        <f t="shared" si="33"/>
        <v>0</v>
      </c>
      <c r="AD94" s="756">
        <f t="array" ref="AD94">SUMPRODUCT((TRIM(INDEX('6. TIẾN ĐỘ MUA HÀNG'!$A$5:$AT644, 0, XMATCH("NCC VTBB/NL trong nước", '6. TIẾN ĐỘ MUA HÀNG'!$A$4:$AT$4, 0))) = TRIM($B94)) * (TRIM(INDEX('6. TIẾN ĐỘ MUA HÀNG'!$A$5:$AT644, 0, XMATCH("Tháng", '6. TIẾN ĐỘ MUA HÀNG'!$A$4:$AT$4, 0))) = TRIM(AD$6)) * (INDEX('6. TIẾN ĐỘ MUA HÀNG'!$A$5:$AT644, 0, XMATCH("Mã đơn Misa", '6. TIẾN ĐỘ MUA HÀNG'!$A$4:$AT$4, 0)) &lt;&gt; ""))</f>
        <v>0</v>
      </c>
      <c r="AE94" s="756">
        <f t="array" ref="AE94">SUMPRODUCT(
  (INDEX('6. TIẾN ĐỘ MUA HÀNG'!$A$5:$AT644, 0, XMATCH("NCC VTBB/NL trong nước", '6. TIẾN ĐỘ MUA HÀNG'!$A$4:$AT$4, 0)) = $B94) * (TRIM(INDEX('6. TIẾN ĐỘ MUA HÀNG'!$A$5:$AT644, 0, XMATCH("Tháng", '6. TIẾN ĐỘ MUA HÀNG'!$A$4:$AT$4, 0))) = TRIM(AD$6)) * (INDEX('6. TIẾN ĐỘ MUA HÀNG'!$A$5:$AT644, 0, XMATCH("CL NGÀY NCC DỰ KIẾN - NGÀY NHẬN HÀNG", '6. TIẾN ĐỘ MUA HÀNG'!$A$4:$AT$4, 0)) &lt; 0)
)</f>
        <v>0</v>
      </c>
      <c r="AF94" s="757">
        <f t="shared" si="23"/>
        <v>0</v>
      </c>
      <c r="AG94" s="754">
        <f t="array" ref="AG94">SUMPRODUCT((TRIM(INDEX('6. TIẾN ĐỘ MUA HÀNG'!$A$5:$AT644, 0, XMATCH("NCC VTBB/NL trong nước", '6. TIẾN ĐỘ MUA HÀNG'!$A$4:$AT$4, 0))) = TRIM($B94)) * (TRIM(INDEX('6. TIẾN ĐỘ MUA HÀNG'!$A$5:$AT644, 0, XMATCH("Tháng", '6. TIẾN ĐỘ MUA HÀNG'!$A$4:$AT$4, 0))) = TRIM(AG$6)) * (INDEX('6. TIẾN ĐỘ MUA HÀNG'!$A$5:$AT644, 0, XMATCH("Mã đơn Misa", '6. TIẾN ĐỘ MUA HÀNG'!$A$4:$AT$4, 0)) &lt;&gt; ""))</f>
        <v>0</v>
      </c>
      <c r="AH94" s="754">
        <f t="array" ref="AH94">SUMPRODUCT(
  (INDEX('6. TIẾN ĐỘ MUA HÀNG'!$A$5:$AT644, 0, XMATCH("NCC VTBB/NL trong nước", '6. TIẾN ĐỘ MUA HÀNG'!$A$4:$AT$4, 0)) = $B94) * (TRIM(INDEX('6. TIẾN ĐỘ MUA HÀNG'!$A$5:$AT644, 0, XMATCH("Tháng", '6. TIẾN ĐỘ MUA HÀNG'!$A$4:$AT$4, 0))) = TRIM(AG$6)) * (INDEX('6. TIẾN ĐỘ MUA HÀNG'!$A$5:$AT644, 0, XMATCH("CL NGÀY NCC DỰ KIẾN - NGÀY NHẬN HÀNG", '6. TIẾN ĐỘ MUA HÀNG'!$A$4:$AT$4, 0)) &lt; 0)
)</f>
        <v>0</v>
      </c>
      <c r="AI94" s="755">
        <f t="shared" si="34"/>
        <v>0</v>
      </c>
      <c r="AJ94" s="756">
        <f t="array" ref="AJ94">SUMPRODUCT((TRIM(INDEX('6. TIẾN ĐỘ MUA HÀNG'!$A$5:$AT644, 0, XMATCH("NCC VTBB/NL trong nước", '6. TIẾN ĐỘ MUA HÀNG'!$A$4:$AT$4, 0))) = TRIM($B94)) * (TRIM(INDEX('6. TIẾN ĐỘ MUA HÀNG'!$A$5:$AT644, 0, XMATCH("Tháng", '6. TIẾN ĐỘ MUA HÀNG'!$A$4:$AT$4, 0))) = TRIM(AJ$6)) * (INDEX('6. TIẾN ĐỘ MUA HÀNG'!$A$5:$AT644, 0, XMATCH("Mã đơn Misa", '6. TIẾN ĐỘ MUA HÀNG'!$A$4:$AT$4, 0)) &lt;&gt; ""))</f>
        <v>0</v>
      </c>
      <c r="AK94" s="756">
        <f t="array" ref="AK94">SUMPRODUCT(
  (INDEX('6. TIẾN ĐỘ MUA HÀNG'!$A$5:$AT644, 0, XMATCH("NCC VTBB/NL trong nước", '6. TIẾN ĐỘ MUA HÀNG'!$A$4:$AT$4, 0)) = $B94) * (TRIM(INDEX('6. TIẾN ĐỘ MUA HÀNG'!$A$5:$AT644, 0, XMATCH("Tháng", '6. TIẾN ĐỘ MUA HÀNG'!$A$4:$AT$4, 0))) = TRIM(AJ$6)) * (INDEX('6. TIẾN ĐỘ MUA HÀNG'!$A$5:$AT644, 0, XMATCH("CL NGÀY NCC DỰ KIẾN - NGÀY NHẬN HÀNG", '6. TIẾN ĐỘ MUA HÀNG'!$A$4:$AT$4, 0)) &lt; 0)
)</f>
        <v>0</v>
      </c>
      <c r="AL94" s="757">
        <f t="shared" si="25"/>
        <v>0</v>
      </c>
      <c r="AM94" s="726">
        <f t="shared" si="27"/>
        <v>0</v>
      </c>
      <c r="AN94" s="726">
        <f t="shared" si="28"/>
        <v>0</v>
      </c>
      <c r="AO94" s="727">
        <f t="shared" si="26"/>
        <v>0</v>
      </c>
    </row>
    <row r="95">
      <c r="A95" s="612">
        <v>87.0</v>
      </c>
      <c r="B95" s="624" t="str">
        <f>IFERROR(__xludf.DUMMYFUNCTION("""COMPUTED_VALUE"""),"Alley 70")</f>
        <v>Alley 70</v>
      </c>
      <c r="C95" s="754">
        <f t="array" ref="C95">SUMPRODUCT((TRIM(INDEX('6. TIẾN ĐỘ MUA HÀNG'!$A$5:$AT644, 0, XMATCH("NCC VTBB/NL trong nước", '6. TIẾN ĐỘ MUA HÀNG'!$A$4:$AT$4, 0))) = TRIM($B95)) * (TRIM(INDEX('6. TIẾN ĐỘ MUA HÀNG'!$A$5:$AT644, 0, XMATCH("Tháng", '6. TIẾN ĐỘ MUA HÀNG'!$A$4:$AT$4, 0))) = TRIM(C$6)) * (INDEX('6. TIẾN ĐỘ MUA HÀNG'!$A$5:$AT644, 0, XMATCH("Mã đơn Misa", '6. TIẾN ĐỘ MUA HÀNG'!$A$4:$AT$4, 0)) &lt;&gt; ""))</f>
        <v>0</v>
      </c>
      <c r="D95" s="754">
        <f t="array" ref="D95">SUMPRODUCT(
  (INDEX('6. TIẾN ĐỘ MUA HÀNG'!$A$5:$AT644, 0, XMATCH("NCC VTBB/NL trong nước", '6. TIẾN ĐỘ MUA HÀNG'!$A$4:$AT$4, 0)) = $B95) * (TRIM(INDEX('6. TIẾN ĐỘ MUA HÀNG'!$A$5:$AT644, 0, XMATCH("Tháng", '6. TIẾN ĐỘ MUA HÀNG'!$A$4:$AT$4, 0))) = TRIM(C$6)) * (INDEX('6. TIẾN ĐỘ MUA HÀNG'!$A$5:$AT644, 0, XMATCH("CL NGÀY NCC DỰ KIẾN - NGÀY NHẬN HÀNG", '6. TIẾN ĐỘ MUA HÀNG'!$A$4:$AT$4, 0)) &lt; 0)
)</f>
        <v>0</v>
      </c>
      <c r="E95" s="755">
        <f t="shared" si="29"/>
        <v>0</v>
      </c>
      <c r="F95" s="756">
        <f t="array" ref="F95">SUMPRODUCT((TRIM(INDEX('6. TIẾN ĐỘ MUA HÀNG'!$A$5:$AT644, 0, XMATCH("NCC VTBB/NL trong nước", '6. TIẾN ĐỘ MUA HÀNG'!$A$4:$AT$4, 0))) = TRIM($B95)) * (TRIM(INDEX('6. TIẾN ĐỘ MUA HÀNG'!$A$5:$AT644, 0, XMATCH("Tháng", '6. TIẾN ĐỘ MUA HÀNG'!$A$4:$AT$4, 0))) = TRIM(F$6)) * (INDEX('6. TIẾN ĐỘ MUA HÀNG'!$A$5:$AT644, 0, XMATCH("Mã đơn Misa", '6. TIẾN ĐỘ MUA HÀNG'!$A$4:$AT$4, 0)) &lt;&gt; ""))</f>
        <v>0</v>
      </c>
      <c r="G95" s="756">
        <f t="array" ref="G95">SUMPRODUCT(
  (INDEX('6. TIẾN ĐỘ MUA HÀNG'!$A$5:$AT644, 0, XMATCH("NCC VTBB/NL trong nước", '6. TIẾN ĐỘ MUA HÀNG'!$A$4:$AT$4, 0)) = $B95) * (TRIM(INDEX('6. TIẾN ĐỘ MUA HÀNG'!$A$5:$AT644, 0, XMATCH("Tháng", '6. TIẾN ĐỘ MUA HÀNG'!$A$4:$AT$4, 0))) = TRIM(F$6)) * (INDEX('6. TIẾN ĐỘ MUA HÀNG'!$A$5:$AT644, 0, XMATCH("CL NGÀY NCC DỰ KIẾN - NGÀY NHẬN HÀNG", '6. TIẾN ĐỘ MUA HÀNG'!$A$4:$AT$4, 0)) &lt; 0)
)</f>
        <v>0</v>
      </c>
      <c r="H95" s="757">
        <f t="shared" si="15"/>
        <v>0</v>
      </c>
      <c r="I95" s="754">
        <f t="array" ref="I95">SUMPRODUCT((TRIM(INDEX('6. TIẾN ĐỘ MUA HÀNG'!$A$5:$AT644, 0, XMATCH("NCC VTBB/NL trong nước", '6. TIẾN ĐỘ MUA HÀNG'!$A$4:$AT$4, 0))) = TRIM($B95)) * (TRIM(INDEX('6. TIẾN ĐỘ MUA HÀNG'!$A$5:$AT644, 0, XMATCH("Tháng", '6. TIẾN ĐỘ MUA HÀNG'!$A$4:$AT$4, 0))) = TRIM(I$6)) * (INDEX('6. TIẾN ĐỘ MUA HÀNG'!$A$5:$AT644, 0, XMATCH("Mã đơn Misa", '6. TIẾN ĐỘ MUA HÀNG'!$A$4:$AT$4, 0)) &lt;&gt; ""))</f>
        <v>0</v>
      </c>
      <c r="J95" s="754">
        <f t="array" ref="J95">SUMPRODUCT(
  (INDEX('6. TIẾN ĐỘ MUA HÀNG'!$A$5:$AT644, 0, XMATCH("NCC VTBB/NL trong nước", '6. TIẾN ĐỘ MUA HÀNG'!$A$4:$AT$4, 0)) = $B95) * (TRIM(INDEX('6. TIẾN ĐỘ MUA HÀNG'!$A$5:$AT644, 0, XMATCH("Tháng", '6. TIẾN ĐỘ MUA HÀNG'!$A$4:$AT$4, 0))) = TRIM(I$6)) * (INDEX('6. TIẾN ĐỘ MUA HÀNG'!$A$5:$AT644, 0, XMATCH("CL NGÀY NCC DỰ KIẾN - NGÀY NHẬN HÀNG", '6. TIẾN ĐỘ MUA HÀNG'!$A$4:$AT$4, 0)) &lt; 0)
)</f>
        <v>0</v>
      </c>
      <c r="K95" s="755">
        <f t="shared" si="30"/>
        <v>0</v>
      </c>
      <c r="L95" s="756">
        <f t="array" ref="L95">SUMPRODUCT((TRIM(INDEX('6. TIẾN ĐỘ MUA HÀNG'!$A$5:$AT644, 0, XMATCH("NCC VTBB/NL trong nước", '6. TIẾN ĐỘ MUA HÀNG'!$A$4:$AT$4, 0))) = TRIM($B95)) * (TRIM(INDEX('6. TIẾN ĐỘ MUA HÀNG'!$A$5:$AT644, 0, XMATCH("Tháng", '6. TIẾN ĐỘ MUA HÀNG'!$A$4:$AT$4, 0))) = TRIM(L$6)) * (INDEX('6. TIẾN ĐỘ MUA HÀNG'!$A$5:$AT644, 0, XMATCH("Mã đơn Misa", '6. TIẾN ĐỘ MUA HÀNG'!$A$4:$AT$4, 0)) &lt;&gt; ""))</f>
        <v>0</v>
      </c>
      <c r="M95" s="756">
        <f t="array" ref="M95">SUMPRODUCT(
  (INDEX('6. TIẾN ĐỘ MUA HÀNG'!$A$5:$AT644, 0, XMATCH("NCC VTBB/NL trong nước", '6. TIẾN ĐỘ MUA HÀNG'!$A$4:$AT$4, 0)) = $B95) * (TRIM(INDEX('6. TIẾN ĐỘ MUA HÀNG'!$A$5:$AT644, 0, XMATCH("Tháng", '6. TIẾN ĐỘ MUA HÀNG'!$A$4:$AT$4, 0))) = TRIM(L$6)) * (INDEX('6. TIẾN ĐỘ MUA HÀNG'!$A$5:$AT644, 0, XMATCH("CL NGÀY NCC DỰ KIẾN - NGÀY NHẬN HÀNG", '6. TIẾN ĐỘ MUA HÀNG'!$A$4:$AT$4, 0)) &lt; 0)
)</f>
        <v>0</v>
      </c>
      <c r="N95" s="757">
        <f t="shared" si="17"/>
        <v>0</v>
      </c>
      <c r="O95" s="754">
        <f t="array" ref="O95">SUMPRODUCT((TRIM(INDEX('6. TIẾN ĐỘ MUA HÀNG'!$A$5:$AT644, 0, XMATCH("NCC VTBB/NL trong nước", '6. TIẾN ĐỘ MUA HÀNG'!$A$4:$AT$4, 0))) = TRIM($B95)) * (TRIM(INDEX('6. TIẾN ĐỘ MUA HÀNG'!$A$5:$AT644, 0, XMATCH("Tháng", '6. TIẾN ĐỘ MUA HÀNG'!$A$4:$AT$4, 0))) = TRIM(O$6)) * (INDEX('6. TIẾN ĐỘ MUA HÀNG'!$A$5:$AT644, 0, XMATCH("Mã đơn Misa", '6. TIẾN ĐỘ MUA HÀNG'!$A$4:$AT$4, 0)) &lt;&gt; ""))</f>
        <v>0</v>
      </c>
      <c r="P95" s="754">
        <f t="array" ref="P95">SUMPRODUCT(
  (INDEX('6. TIẾN ĐỘ MUA HÀNG'!$A$5:$AT644, 0, XMATCH("NCC VTBB/NL trong nước", '6. TIẾN ĐỘ MUA HÀNG'!$A$4:$AT$4, 0)) = $B95) * (TRIM(INDEX('6. TIẾN ĐỘ MUA HÀNG'!$A$5:$AT644, 0, XMATCH("Tháng", '6. TIẾN ĐỘ MUA HÀNG'!$A$4:$AT$4, 0))) = TRIM(O$6)) * (INDEX('6. TIẾN ĐỘ MUA HÀNG'!$A$5:$AT644, 0, XMATCH("CL NGÀY NCC DỰ KIẾN - NGÀY NHẬN HÀNG", '6. TIẾN ĐỘ MUA HÀNG'!$A$4:$AT$4, 0)) &lt; 0)
)</f>
        <v>0</v>
      </c>
      <c r="Q95" s="755">
        <f t="shared" si="31"/>
        <v>0</v>
      </c>
      <c r="R95" s="756">
        <f t="array" ref="R95">SUMPRODUCT((TRIM(INDEX('6. TIẾN ĐỘ MUA HÀNG'!$A$5:$AT644, 0, XMATCH("NCC VTBB/NL trong nước", '6. TIẾN ĐỘ MUA HÀNG'!$A$4:$AT$4, 0))) = TRIM($B95)) * (TRIM(INDEX('6. TIẾN ĐỘ MUA HÀNG'!$A$5:$AT644, 0, XMATCH("Tháng", '6. TIẾN ĐỘ MUA HÀNG'!$A$4:$AT$4, 0))) = TRIM(R$6)) * (INDEX('6. TIẾN ĐỘ MUA HÀNG'!$A$5:$AT644, 0, XMATCH("Mã đơn Misa", '6. TIẾN ĐỘ MUA HÀNG'!$A$4:$AT$4, 0)) &lt;&gt; ""))</f>
        <v>0</v>
      </c>
      <c r="S95" s="756">
        <f t="array" ref="S95">SUMPRODUCT(
  (INDEX('6. TIẾN ĐỘ MUA HÀNG'!$A$5:$AT644, 0, XMATCH("NCC VTBB/NL trong nước", '6. TIẾN ĐỘ MUA HÀNG'!$A$4:$AT$4, 0)) = $B95) * (TRIM(INDEX('6. TIẾN ĐỘ MUA HÀNG'!$A$5:$AT644, 0, XMATCH("Tháng", '6. TIẾN ĐỘ MUA HÀNG'!$A$4:$AT$4, 0))) = TRIM(R$6)) * (INDEX('6. TIẾN ĐỘ MUA HÀNG'!$A$5:$AT644, 0, XMATCH("CL NGÀY NCC DỰ KIẾN - NGÀY NHẬN HÀNG", '6. TIẾN ĐỘ MUA HÀNG'!$A$4:$AT$4, 0)) &lt; 0)
)</f>
        <v>0</v>
      </c>
      <c r="T95" s="757">
        <f t="shared" si="19"/>
        <v>0</v>
      </c>
      <c r="U95" s="754">
        <f t="array" ref="U95">SUMPRODUCT((TRIM(INDEX('6. TIẾN ĐỘ MUA HÀNG'!$A$5:$AT644, 0, XMATCH("NCC VTBB/NL trong nước", '6. TIẾN ĐỘ MUA HÀNG'!$A$4:$AT$4, 0))) = TRIM($B95)) * (TRIM(INDEX('6. TIẾN ĐỘ MUA HÀNG'!$A$5:$AT644, 0, XMATCH("Tháng", '6. TIẾN ĐỘ MUA HÀNG'!$A$4:$AT$4, 0))) = TRIM(U$6)) * (INDEX('6. TIẾN ĐỘ MUA HÀNG'!$A$5:$AT644, 0, XMATCH("Mã đơn Misa", '6. TIẾN ĐỘ MUA HÀNG'!$A$4:$AT$4, 0)) &lt;&gt; ""))</f>
        <v>0</v>
      </c>
      <c r="V95" s="754">
        <f t="array" ref="V95">SUMPRODUCT(
  (INDEX('6. TIẾN ĐỘ MUA HÀNG'!$A$5:$AT644, 0, XMATCH("NCC VTBB/NL trong nước", '6. TIẾN ĐỘ MUA HÀNG'!$A$4:$AT$4, 0)) = $B95) * (TRIM(INDEX('6. TIẾN ĐỘ MUA HÀNG'!$A$5:$AT644, 0, XMATCH("Tháng", '6. TIẾN ĐỘ MUA HÀNG'!$A$4:$AT$4, 0))) = TRIM(U$6)) * (INDEX('6. TIẾN ĐỘ MUA HÀNG'!$A$5:$AT644, 0, XMATCH("CL NGÀY NCC DỰ KIẾN - NGÀY NHẬN HÀNG", '6. TIẾN ĐỘ MUA HÀNG'!$A$4:$AT$4, 0)) &lt; 0)
)</f>
        <v>0</v>
      </c>
      <c r="W95" s="755">
        <f t="shared" si="32"/>
        <v>0</v>
      </c>
      <c r="X95" s="756">
        <f t="array" ref="X95">SUMPRODUCT((TRIM(INDEX('6. TIẾN ĐỘ MUA HÀNG'!$A$5:$AT644, 0, XMATCH("NCC VTBB/NL trong nước", '6. TIẾN ĐỘ MUA HÀNG'!$A$4:$AT$4, 0))) = TRIM($B95)) * (TRIM(INDEX('6. TIẾN ĐỘ MUA HÀNG'!$A$5:$AT644, 0, XMATCH("Tháng", '6. TIẾN ĐỘ MUA HÀNG'!$A$4:$AT$4, 0))) = TRIM(X$6)) * (INDEX('6. TIẾN ĐỘ MUA HÀNG'!$A$5:$AT644, 0, XMATCH("Mã đơn Misa", '6. TIẾN ĐỘ MUA HÀNG'!$A$4:$AT$4, 0)) &lt;&gt; ""))</f>
        <v>0</v>
      </c>
      <c r="Y95" s="756">
        <f t="array" ref="Y95">SUMPRODUCT(
  (INDEX('6. TIẾN ĐỘ MUA HÀNG'!$A$5:$AT644, 0, XMATCH("NCC VTBB/NL trong nước", '6. TIẾN ĐỘ MUA HÀNG'!$A$4:$AT$4, 0)) = $B95) * (TRIM(INDEX('6. TIẾN ĐỘ MUA HÀNG'!$A$5:$AT644, 0, XMATCH("Tháng", '6. TIẾN ĐỘ MUA HÀNG'!$A$4:$AT$4, 0))) = TRIM(X$6)) * (INDEX('6. TIẾN ĐỘ MUA HÀNG'!$A$5:$AT644, 0, XMATCH("CL NGÀY NCC DỰ KIẾN - NGÀY NHẬN HÀNG", '6. TIẾN ĐỘ MUA HÀNG'!$A$4:$AT$4, 0)) &lt; 0)
)</f>
        <v>0</v>
      </c>
      <c r="Z95" s="757">
        <f t="shared" si="21"/>
        <v>0</v>
      </c>
      <c r="AA95" s="754">
        <f t="array" ref="AA95">SUMPRODUCT((TRIM(INDEX('6. TIẾN ĐỘ MUA HÀNG'!$A$5:$AT644, 0, XMATCH("NCC VTBB/NL trong nước", '6. TIẾN ĐỘ MUA HÀNG'!$A$4:$AT$4, 0))) = TRIM($B95)) * (TRIM(INDEX('6. TIẾN ĐỘ MUA HÀNG'!$A$5:$AT644, 0, XMATCH("Tháng", '6. TIẾN ĐỘ MUA HÀNG'!$A$4:$AT$4, 0))) = TRIM(AA$6)) * (INDEX('6. TIẾN ĐỘ MUA HÀNG'!$A$5:$AT644, 0, XMATCH("Mã đơn Misa", '6. TIẾN ĐỘ MUA HÀNG'!$A$4:$AT$4, 0)) &lt;&gt; ""))</f>
        <v>0</v>
      </c>
      <c r="AB95" s="754">
        <f t="array" ref="AB95">SUMPRODUCT(
  (INDEX('6. TIẾN ĐỘ MUA HÀNG'!$A$5:$AT644, 0, XMATCH("NCC VTBB/NL trong nước", '6. TIẾN ĐỘ MUA HÀNG'!$A$4:$AT$4, 0)) = $B95) * (TRIM(INDEX('6. TIẾN ĐỘ MUA HÀNG'!$A$5:$AT644, 0, XMATCH("Tháng", '6. TIẾN ĐỘ MUA HÀNG'!$A$4:$AT$4, 0))) = TRIM(AA$6)) * (INDEX('6. TIẾN ĐỘ MUA HÀNG'!$A$5:$AT644, 0, XMATCH("CL NGÀY NCC DỰ KIẾN - NGÀY NHẬN HÀNG", '6. TIẾN ĐỘ MUA HÀNG'!$A$4:$AT$4, 0)) &lt; 0)
)</f>
        <v>0</v>
      </c>
      <c r="AC95" s="755">
        <f t="shared" si="33"/>
        <v>0</v>
      </c>
      <c r="AD95" s="756">
        <f t="array" ref="AD95">SUMPRODUCT((TRIM(INDEX('6. TIẾN ĐỘ MUA HÀNG'!$A$5:$AT644, 0, XMATCH("NCC VTBB/NL trong nước", '6. TIẾN ĐỘ MUA HÀNG'!$A$4:$AT$4, 0))) = TRIM($B95)) * (TRIM(INDEX('6. TIẾN ĐỘ MUA HÀNG'!$A$5:$AT644, 0, XMATCH("Tháng", '6. TIẾN ĐỘ MUA HÀNG'!$A$4:$AT$4, 0))) = TRIM(AD$6)) * (INDEX('6. TIẾN ĐỘ MUA HÀNG'!$A$5:$AT644, 0, XMATCH("Mã đơn Misa", '6. TIẾN ĐỘ MUA HÀNG'!$A$4:$AT$4, 0)) &lt;&gt; ""))</f>
        <v>0</v>
      </c>
      <c r="AE95" s="756">
        <f t="array" ref="AE95">SUMPRODUCT(
  (INDEX('6. TIẾN ĐỘ MUA HÀNG'!$A$5:$AT644, 0, XMATCH("NCC VTBB/NL trong nước", '6. TIẾN ĐỘ MUA HÀNG'!$A$4:$AT$4, 0)) = $B95) * (TRIM(INDEX('6. TIẾN ĐỘ MUA HÀNG'!$A$5:$AT644, 0, XMATCH("Tháng", '6. TIẾN ĐỘ MUA HÀNG'!$A$4:$AT$4, 0))) = TRIM(AD$6)) * (INDEX('6. TIẾN ĐỘ MUA HÀNG'!$A$5:$AT644, 0, XMATCH("CL NGÀY NCC DỰ KIẾN - NGÀY NHẬN HÀNG", '6. TIẾN ĐỘ MUA HÀNG'!$A$4:$AT$4, 0)) &lt; 0)
)</f>
        <v>0</v>
      </c>
      <c r="AF95" s="757">
        <f t="shared" si="23"/>
        <v>0</v>
      </c>
      <c r="AG95" s="754">
        <f t="array" ref="AG95">SUMPRODUCT((TRIM(INDEX('6. TIẾN ĐỘ MUA HÀNG'!$A$5:$AT644, 0, XMATCH("NCC VTBB/NL trong nước", '6. TIẾN ĐỘ MUA HÀNG'!$A$4:$AT$4, 0))) = TRIM($B95)) * (TRIM(INDEX('6. TIẾN ĐỘ MUA HÀNG'!$A$5:$AT644, 0, XMATCH("Tháng", '6. TIẾN ĐỘ MUA HÀNG'!$A$4:$AT$4, 0))) = TRIM(AG$6)) * (INDEX('6. TIẾN ĐỘ MUA HÀNG'!$A$5:$AT644, 0, XMATCH("Mã đơn Misa", '6. TIẾN ĐỘ MUA HÀNG'!$A$4:$AT$4, 0)) &lt;&gt; ""))</f>
        <v>0</v>
      </c>
      <c r="AH95" s="754">
        <f t="array" ref="AH95">SUMPRODUCT(
  (INDEX('6. TIẾN ĐỘ MUA HÀNG'!$A$5:$AT644, 0, XMATCH("NCC VTBB/NL trong nước", '6. TIẾN ĐỘ MUA HÀNG'!$A$4:$AT$4, 0)) = $B95) * (TRIM(INDEX('6. TIẾN ĐỘ MUA HÀNG'!$A$5:$AT644, 0, XMATCH("Tháng", '6. TIẾN ĐỘ MUA HÀNG'!$A$4:$AT$4, 0))) = TRIM(AG$6)) * (INDEX('6. TIẾN ĐỘ MUA HÀNG'!$A$5:$AT644, 0, XMATCH("CL NGÀY NCC DỰ KIẾN - NGÀY NHẬN HÀNG", '6. TIẾN ĐỘ MUA HÀNG'!$A$4:$AT$4, 0)) &lt; 0)
)</f>
        <v>0</v>
      </c>
      <c r="AI95" s="755">
        <f t="shared" si="34"/>
        <v>0</v>
      </c>
      <c r="AJ95" s="756">
        <f t="array" ref="AJ95">SUMPRODUCT((TRIM(INDEX('6. TIẾN ĐỘ MUA HÀNG'!$A$5:$AT644, 0, XMATCH("NCC VTBB/NL trong nước", '6. TIẾN ĐỘ MUA HÀNG'!$A$4:$AT$4, 0))) = TRIM($B95)) * (TRIM(INDEX('6. TIẾN ĐỘ MUA HÀNG'!$A$5:$AT644, 0, XMATCH("Tháng", '6. TIẾN ĐỘ MUA HÀNG'!$A$4:$AT$4, 0))) = TRIM(AJ$6)) * (INDEX('6. TIẾN ĐỘ MUA HÀNG'!$A$5:$AT644, 0, XMATCH("Mã đơn Misa", '6. TIẾN ĐỘ MUA HÀNG'!$A$4:$AT$4, 0)) &lt;&gt; ""))</f>
        <v>0</v>
      </c>
      <c r="AK95" s="756">
        <f t="array" ref="AK95">SUMPRODUCT(
  (INDEX('6. TIẾN ĐỘ MUA HÀNG'!$A$5:$AT644, 0, XMATCH("NCC VTBB/NL trong nước", '6. TIẾN ĐỘ MUA HÀNG'!$A$4:$AT$4, 0)) = $B95) * (TRIM(INDEX('6. TIẾN ĐỘ MUA HÀNG'!$A$5:$AT644, 0, XMATCH("Tháng", '6. TIẾN ĐỘ MUA HÀNG'!$A$4:$AT$4, 0))) = TRIM(AJ$6)) * (INDEX('6. TIẾN ĐỘ MUA HÀNG'!$A$5:$AT644, 0, XMATCH("CL NGÀY NCC DỰ KIẾN - NGÀY NHẬN HÀNG", '6. TIẾN ĐỘ MUA HÀNG'!$A$4:$AT$4, 0)) &lt; 0)
)</f>
        <v>0</v>
      </c>
      <c r="AL95" s="757">
        <f t="shared" si="25"/>
        <v>0</v>
      </c>
      <c r="AM95" s="726">
        <f t="shared" si="27"/>
        <v>0</v>
      </c>
      <c r="AN95" s="726">
        <f t="shared" si="28"/>
        <v>0</v>
      </c>
      <c r="AO95" s="727">
        <f t="shared" si="26"/>
        <v>0</v>
      </c>
    </row>
    <row r="96">
      <c r="A96" s="612">
        <v>88.0</v>
      </c>
      <c r="B96" s="624" t="str">
        <f>IFERROR(__xludf.DUMMYFUNCTION("""COMPUTED_VALUE"""),"Quang Trung")</f>
        <v>Quang Trung</v>
      </c>
      <c r="C96" s="754">
        <f t="array" ref="C96">SUMPRODUCT((TRIM(INDEX('6. TIẾN ĐỘ MUA HÀNG'!$A$5:$AT644, 0, XMATCH("NCC VTBB/NL trong nước", '6. TIẾN ĐỘ MUA HÀNG'!$A$4:$AT$4, 0))) = TRIM($B96)) * (TRIM(INDEX('6. TIẾN ĐỘ MUA HÀNG'!$A$5:$AT644, 0, XMATCH("Tháng", '6. TIẾN ĐỘ MUA HÀNG'!$A$4:$AT$4, 0))) = TRIM(C$6)) * (INDEX('6. TIẾN ĐỘ MUA HÀNG'!$A$5:$AT644, 0, XMATCH("Mã đơn Misa", '6. TIẾN ĐỘ MUA HÀNG'!$A$4:$AT$4, 0)) &lt;&gt; ""))</f>
        <v>0</v>
      </c>
      <c r="D96" s="754">
        <f t="array" ref="D96">SUMPRODUCT(
  (INDEX('6. TIẾN ĐỘ MUA HÀNG'!$A$5:$AT644, 0, XMATCH("NCC VTBB/NL trong nước", '6. TIẾN ĐỘ MUA HÀNG'!$A$4:$AT$4, 0)) = $B96) * (TRIM(INDEX('6. TIẾN ĐỘ MUA HÀNG'!$A$5:$AT644, 0, XMATCH("Tháng", '6. TIẾN ĐỘ MUA HÀNG'!$A$4:$AT$4, 0))) = TRIM(C$6)) * (INDEX('6. TIẾN ĐỘ MUA HÀNG'!$A$5:$AT644, 0, XMATCH("CL NGÀY NCC DỰ KIẾN - NGÀY NHẬN HÀNG", '6. TIẾN ĐỘ MUA HÀNG'!$A$4:$AT$4, 0)) &lt; 0)
)</f>
        <v>0</v>
      </c>
      <c r="E96" s="755">
        <f t="shared" si="29"/>
        <v>0</v>
      </c>
      <c r="F96" s="756">
        <f t="array" ref="F96">SUMPRODUCT((TRIM(INDEX('6. TIẾN ĐỘ MUA HÀNG'!$A$5:$AT644, 0, XMATCH("NCC VTBB/NL trong nước", '6. TIẾN ĐỘ MUA HÀNG'!$A$4:$AT$4, 0))) = TRIM($B96)) * (TRIM(INDEX('6. TIẾN ĐỘ MUA HÀNG'!$A$5:$AT644, 0, XMATCH("Tháng", '6. TIẾN ĐỘ MUA HÀNG'!$A$4:$AT$4, 0))) = TRIM(F$6)) * (INDEX('6. TIẾN ĐỘ MUA HÀNG'!$A$5:$AT644, 0, XMATCH("Mã đơn Misa", '6. TIẾN ĐỘ MUA HÀNG'!$A$4:$AT$4, 0)) &lt;&gt; ""))</f>
        <v>0</v>
      </c>
      <c r="G96" s="756">
        <f t="array" ref="G96">SUMPRODUCT(
  (INDEX('6. TIẾN ĐỘ MUA HÀNG'!$A$5:$AT644, 0, XMATCH("NCC VTBB/NL trong nước", '6. TIẾN ĐỘ MUA HÀNG'!$A$4:$AT$4, 0)) = $B96) * (TRIM(INDEX('6. TIẾN ĐỘ MUA HÀNG'!$A$5:$AT644, 0, XMATCH("Tháng", '6. TIẾN ĐỘ MUA HÀNG'!$A$4:$AT$4, 0))) = TRIM(F$6)) * (INDEX('6. TIẾN ĐỘ MUA HÀNG'!$A$5:$AT644, 0, XMATCH("CL NGÀY NCC DỰ KIẾN - NGÀY NHẬN HÀNG", '6. TIẾN ĐỘ MUA HÀNG'!$A$4:$AT$4, 0)) &lt; 0)
)</f>
        <v>0</v>
      </c>
      <c r="H96" s="757">
        <f t="shared" si="15"/>
        <v>0</v>
      </c>
      <c r="I96" s="754">
        <f t="array" ref="I96">SUMPRODUCT((TRIM(INDEX('6. TIẾN ĐỘ MUA HÀNG'!$A$5:$AT644, 0, XMATCH("NCC VTBB/NL trong nước", '6. TIẾN ĐỘ MUA HÀNG'!$A$4:$AT$4, 0))) = TRIM($B96)) * (TRIM(INDEX('6. TIẾN ĐỘ MUA HÀNG'!$A$5:$AT644, 0, XMATCH("Tháng", '6. TIẾN ĐỘ MUA HÀNG'!$A$4:$AT$4, 0))) = TRIM(I$6)) * (INDEX('6. TIẾN ĐỘ MUA HÀNG'!$A$5:$AT644, 0, XMATCH("Mã đơn Misa", '6. TIẾN ĐỘ MUA HÀNG'!$A$4:$AT$4, 0)) &lt;&gt; ""))</f>
        <v>0</v>
      </c>
      <c r="J96" s="754">
        <f t="array" ref="J96">SUMPRODUCT(
  (INDEX('6. TIẾN ĐỘ MUA HÀNG'!$A$5:$AT644, 0, XMATCH("NCC VTBB/NL trong nước", '6. TIẾN ĐỘ MUA HÀNG'!$A$4:$AT$4, 0)) = $B96) * (TRIM(INDEX('6. TIẾN ĐỘ MUA HÀNG'!$A$5:$AT644, 0, XMATCH("Tháng", '6. TIẾN ĐỘ MUA HÀNG'!$A$4:$AT$4, 0))) = TRIM(I$6)) * (INDEX('6. TIẾN ĐỘ MUA HÀNG'!$A$5:$AT644, 0, XMATCH("CL NGÀY NCC DỰ KIẾN - NGÀY NHẬN HÀNG", '6. TIẾN ĐỘ MUA HÀNG'!$A$4:$AT$4, 0)) &lt; 0)
)</f>
        <v>0</v>
      </c>
      <c r="K96" s="755">
        <f t="shared" si="30"/>
        <v>0</v>
      </c>
      <c r="L96" s="756">
        <f t="array" ref="L96">SUMPRODUCT((TRIM(INDEX('6. TIẾN ĐỘ MUA HÀNG'!$A$5:$AT644, 0, XMATCH("NCC VTBB/NL trong nước", '6. TIẾN ĐỘ MUA HÀNG'!$A$4:$AT$4, 0))) = TRIM($B96)) * (TRIM(INDEX('6. TIẾN ĐỘ MUA HÀNG'!$A$5:$AT644, 0, XMATCH("Tháng", '6. TIẾN ĐỘ MUA HÀNG'!$A$4:$AT$4, 0))) = TRIM(L$6)) * (INDEX('6. TIẾN ĐỘ MUA HÀNG'!$A$5:$AT644, 0, XMATCH("Mã đơn Misa", '6. TIẾN ĐỘ MUA HÀNG'!$A$4:$AT$4, 0)) &lt;&gt; ""))</f>
        <v>0</v>
      </c>
      <c r="M96" s="756">
        <f t="array" ref="M96">SUMPRODUCT(
  (INDEX('6. TIẾN ĐỘ MUA HÀNG'!$A$5:$AT644, 0, XMATCH("NCC VTBB/NL trong nước", '6. TIẾN ĐỘ MUA HÀNG'!$A$4:$AT$4, 0)) = $B96) * (TRIM(INDEX('6. TIẾN ĐỘ MUA HÀNG'!$A$5:$AT644, 0, XMATCH("Tháng", '6. TIẾN ĐỘ MUA HÀNG'!$A$4:$AT$4, 0))) = TRIM(L$6)) * (INDEX('6. TIẾN ĐỘ MUA HÀNG'!$A$5:$AT644, 0, XMATCH("CL NGÀY NCC DỰ KIẾN - NGÀY NHẬN HÀNG", '6. TIẾN ĐỘ MUA HÀNG'!$A$4:$AT$4, 0)) &lt; 0)
)</f>
        <v>0</v>
      </c>
      <c r="N96" s="757">
        <f t="shared" si="17"/>
        <v>0</v>
      </c>
      <c r="O96" s="754">
        <f t="array" ref="O96">SUMPRODUCT((TRIM(INDEX('6. TIẾN ĐỘ MUA HÀNG'!$A$5:$AT644, 0, XMATCH("NCC VTBB/NL trong nước", '6. TIẾN ĐỘ MUA HÀNG'!$A$4:$AT$4, 0))) = TRIM($B96)) * (TRIM(INDEX('6. TIẾN ĐỘ MUA HÀNG'!$A$5:$AT644, 0, XMATCH("Tháng", '6. TIẾN ĐỘ MUA HÀNG'!$A$4:$AT$4, 0))) = TRIM(O$6)) * (INDEX('6. TIẾN ĐỘ MUA HÀNG'!$A$5:$AT644, 0, XMATCH("Mã đơn Misa", '6. TIẾN ĐỘ MUA HÀNG'!$A$4:$AT$4, 0)) &lt;&gt; ""))</f>
        <v>0</v>
      </c>
      <c r="P96" s="754">
        <f t="array" ref="P96">SUMPRODUCT(
  (INDEX('6. TIẾN ĐỘ MUA HÀNG'!$A$5:$AT644, 0, XMATCH("NCC VTBB/NL trong nước", '6. TIẾN ĐỘ MUA HÀNG'!$A$4:$AT$4, 0)) = $B96) * (TRIM(INDEX('6. TIẾN ĐỘ MUA HÀNG'!$A$5:$AT644, 0, XMATCH("Tháng", '6. TIẾN ĐỘ MUA HÀNG'!$A$4:$AT$4, 0))) = TRIM(O$6)) * (INDEX('6. TIẾN ĐỘ MUA HÀNG'!$A$5:$AT644, 0, XMATCH("CL NGÀY NCC DỰ KIẾN - NGÀY NHẬN HÀNG", '6. TIẾN ĐỘ MUA HÀNG'!$A$4:$AT$4, 0)) &lt; 0)
)</f>
        <v>0</v>
      </c>
      <c r="Q96" s="755">
        <f t="shared" si="31"/>
        <v>0</v>
      </c>
      <c r="R96" s="756">
        <f t="array" ref="R96">SUMPRODUCT((TRIM(INDEX('6. TIẾN ĐỘ MUA HÀNG'!$A$5:$AT644, 0, XMATCH("NCC VTBB/NL trong nước", '6. TIẾN ĐỘ MUA HÀNG'!$A$4:$AT$4, 0))) = TRIM($B96)) * (TRIM(INDEX('6. TIẾN ĐỘ MUA HÀNG'!$A$5:$AT644, 0, XMATCH("Tháng", '6. TIẾN ĐỘ MUA HÀNG'!$A$4:$AT$4, 0))) = TRIM(R$6)) * (INDEX('6. TIẾN ĐỘ MUA HÀNG'!$A$5:$AT644, 0, XMATCH("Mã đơn Misa", '6. TIẾN ĐỘ MUA HÀNG'!$A$4:$AT$4, 0)) &lt;&gt; ""))</f>
        <v>0</v>
      </c>
      <c r="S96" s="756">
        <f t="array" ref="S96">SUMPRODUCT(
  (INDEX('6. TIẾN ĐỘ MUA HÀNG'!$A$5:$AT644, 0, XMATCH("NCC VTBB/NL trong nước", '6. TIẾN ĐỘ MUA HÀNG'!$A$4:$AT$4, 0)) = $B96) * (TRIM(INDEX('6. TIẾN ĐỘ MUA HÀNG'!$A$5:$AT644, 0, XMATCH("Tháng", '6. TIẾN ĐỘ MUA HÀNG'!$A$4:$AT$4, 0))) = TRIM(R$6)) * (INDEX('6. TIẾN ĐỘ MUA HÀNG'!$A$5:$AT644, 0, XMATCH("CL NGÀY NCC DỰ KIẾN - NGÀY NHẬN HÀNG", '6. TIẾN ĐỘ MUA HÀNG'!$A$4:$AT$4, 0)) &lt; 0)
)</f>
        <v>0</v>
      </c>
      <c r="T96" s="757">
        <f t="shared" si="19"/>
        <v>0</v>
      </c>
      <c r="U96" s="754">
        <f t="array" ref="U96">SUMPRODUCT((TRIM(INDEX('6. TIẾN ĐỘ MUA HÀNG'!$A$5:$AT644, 0, XMATCH("NCC VTBB/NL trong nước", '6. TIẾN ĐỘ MUA HÀNG'!$A$4:$AT$4, 0))) = TRIM($B96)) * (TRIM(INDEX('6. TIẾN ĐỘ MUA HÀNG'!$A$5:$AT644, 0, XMATCH("Tháng", '6. TIẾN ĐỘ MUA HÀNG'!$A$4:$AT$4, 0))) = TRIM(U$6)) * (INDEX('6. TIẾN ĐỘ MUA HÀNG'!$A$5:$AT644, 0, XMATCH("Mã đơn Misa", '6. TIẾN ĐỘ MUA HÀNG'!$A$4:$AT$4, 0)) &lt;&gt; ""))</f>
        <v>0</v>
      </c>
      <c r="V96" s="754">
        <f t="array" ref="V96">SUMPRODUCT(
  (INDEX('6. TIẾN ĐỘ MUA HÀNG'!$A$5:$AT644, 0, XMATCH("NCC VTBB/NL trong nước", '6. TIẾN ĐỘ MUA HÀNG'!$A$4:$AT$4, 0)) = $B96) * (TRIM(INDEX('6. TIẾN ĐỘ MUA HÀNG'!$A$5:$AT644, 0, XMATCH("Tháng", '6. TIẾN ĐỘ MUA HÀNG'!$A$4:$AT$4, 0))) = TRIM(U$6)) * (INDEX('6. TIẾN ĐỘ MUA HÀNG'!$A$5:$AT644, 0, XMATCH("CL NGÀY NCC DỰ KIẾN - NGÀY NHẬN HÀNG", '6. TIẾN ĐỘ MUA HÀNG'!$A$4:$AT$4, 0)) &lt; 0)
)</f>
        <v>0</v>
      </c>
      <c r="W96" s="755">
        <f t="shared" si="32"/>
        <v>0</v>
      </c>
      <c r="X96" s="756">
        <f t="array" ref="X96">SUMPRODUCT((TRIM(INDEX('6. TIẾN ĐỘ MUA HÀNG'!$A$5:$AT644, 0, XMATCH("NCC VTBB/NL trong nước", '6. TIẾN ĐỘ MUA HÀNG'!$A$4:$AT$4, 0))) = TRIM($B96)) * (TRIM(INDEX('6. TIẾN ĐỘ MUA HÀNG'!$A$5:$AT644, 0, XMATCH("Tháng", '6. TIẾN ĐỘ MUA HÀNG'!$A$4:$AT$4, 0))) = TRIM(X$6)) * (INDEX('6. TIẾN ĐỘ MUA HÀNG'!$A$5:$AT644, 0, XMATCH("Mã đơn Misa", '6. TIẾN ĐỘ MUA HÀNG'!$A$4:$AT$4, 0)) &lt;&gt; ""))</f>
        <v>0</v>
      </c>
      <c r="Y96" s="756">
        <f t="array" ref="Y96">SUMPRODUCT(
  (INDEX('6. TIẾN ĐỘ MUA HÀNG'!$A$5:$AT644, 0, XMATCH("NCC VTBB/NL trong nước", '6. TIẾN ĐỘ MUA HÀNG'!$A$4:$AT$4, 0)) = $B96) * (TRIM(INDEX('6. TIẾN ĐỘ MUA HÀNG'!$A$5:$AT644, 0, XMATCH("Tháng", '6. TIẾN ĐỘ MUA HÀNG'!$A$4:$AT$4, 0))) = TRIM(X$6)) * (INDEX('6. TIẾN ĐỘ MUA HÀNG'!$A$5:$AT644, 0, XMATCH("CL NGÀY NCC DỰ KIẾN - NGÀY NHẬN HÀNG", '6. TIẾN ĐỘ MUA HÀNG'!$A$4:$AT$4, 0)) &lt; 0)
)</f>
        <v>0</v>
      </c>
      <c r="Z96" s="757">
        <f t="shared" si="21"/>
        <v>0</v>
      </c>
      <c r="AA96" s="754">
        <f t="array" ref="AA96">SUMPRODUCT((TRIM(INDEX('6. TIẾN ĐỘ MUA HÀNG'!$A$5:$AT644, 0, XMATCH("NCC VTBB/NL trong nước", '6. TIẾN ĐỘ MUA HÀNG'!$A$4:$AT$4, 0))) = TRIM($B96)) * (TRIM(INDEX('6. TIẾN ĐỘ MUA HÀNG'!$A$5:$AT644, 0, XMATCH("Tháng", '6. TIẾN ĐỘ MUA HÀNG'!$A$4:$AT$4, 0))) = TRIM(AA$6)) * (INDEX('6. TIẾN ĐỘ MUA HÀNG'!$A$5:$AT644, 0, XMATCH("Mã đơn Misa", '6. TIẾN ĐỘ MUA HÀNG'!$A$4:$AT$4, 0)) &lt;&gt; ""))</f>
        <v>0</v>
      </c>
      <c r="AB96" s="754">
        <f t="array" ref="AB96">SUMPRODUCT(
  (INDEX('6. TIẾN ĐỘ MUA HÀNG'!$A$5:$AT644, 0, XMATCH("NCC VTBB/NL trong nước", '6. TIẾN ĐỘ MUA HÀNG'!$A$4:$AT$4, 0)) = $B96) * (TRIM(INDEX('6. TIẾN ĐỘ MUA HÀNG'!$A$5:$AT644, 0, XMATCH("Tháng", '6. TIẾN ĐỘ MUA HÀNG'!$A$4:$AT$4, 0))) = TRIM(AA$6)) * (INDEX('6. TIẾN ĐỘ MUA HÀNG'!$A$5:$AT644, 0, XMATCH("CL NGÀY NCC DỰ KIẾN - NGÀY NHẬN HÀNG", '6. TIẾN ĐỘ MUA HÀNG'!$A$4:$AT$4, 0)) &lt; 0)
)</f>
        <v>0</v>
      </c>
      <c r="AC96" s="755">
        <f t="shared" si="33"/>
        <v>0</v>
      </c>
      <c r="AD96" s="756">
        <f t="array" ref="AD96">SUMPRODUCT((TRIM(INDEX('6. TIẾN ĐỘ MUA HÀNG'!$A$5:$AT644, 0, XMATCH("NCC VTBB/NL trong nước", '6. TIẾN ĐỘ MUA HÀNG'!$A$4:$AT$4, 0))) = TRIM($B96)) * (TRIM(INDEX('6. TIẾN ĐỘ MUA HÀNG'!$A$5:$AT644, 0, XMATCH("Tháng", '6. TIẾN ĐỘ MUA HÀNG'!$A$4:$AT$4, 0))) = TRIM(AD$6)) * (INDEX('6. TIẾN ĐỘ MUA HÀNG'!$A$5:$AT644, 0, XMATCH("Mã đơn Misa", '6. TIẾN ĐỘ MUA HÀNG'!$A$4:$AT$4, 0)) &lt;&gt; ""))</f>
        <v>0</v>
      </c>
      <c r="AE96" s="756">
        <f t="array" ref="AE96">SUMPRODUCT(
  (INDEX('6. TIẾN ĐỘ MUA HÀNG'!$A$5:$AT644, 0, XMATCH("NCC VTBB/NL trong nước", '6. TIẾN ĐỘ MUA HÀNG'!$A$4:$AT$4, 0)) = $B96) * (TRIM(INDEX('6. TIẾN ĐỘ MUA HÀNG'!$A$5:$AT644, 0, XMATCH("Tháng", '6. TIẾN ĐỘ MUA HÀNG'!$A$4:$AT$4, 0))) = TRIM(AD$6)) * (INDEX('6. TIẾN ĐỘ MUA HÀNG'!$A$5:$AT644, 0, XMATCH("CL NGÀY NCC DỰ KIẾN - NGÀY NHẬN HÀNG", '6. TIẾN ĐỘ MUA HÀNG'!$A$4:$AT$4, 0)) &lt; 0)
)</f>
        <v>0</v>
      </c>
      <c r="AF96" s="757">
        <f t="shared" si="23"/>
        <v>0</v>
      </c>
      <c r="AG96" s="754">
        <f t="array" ref="AG96">SUMPRODUCT((TRIM(INDEX('6. TIẾN ĐỘ MUA HÀNG'!$A$5:$AT644, 0, XMATCH("NCC VTBB/NL trong nước", '6. TIẾN ĐỘ MUA HÀNG'!$A$4:$AT$4, 0))) = TRIM($B96)) * (TRIM(INDEX('6. TIẾN ĐỘ MUA HÀNG'!$A$5:$AT644, 0, XMATCH("Tháng", '6. TIẾN ĐỘ MUA HÀNG'!$A$4:$AT$4, 0))) = TRIM(AG$6)) * (INDEX('6. TIẾN ĐỘ MUA HÀNG'!$A$5:$AT644, 0, XMATCH("Mã đơn Misa", '6. TIẾN ĐỘ MUA HÀNG'!$A$4:$AT$4, 0)) &lt;&gt; ""))</f>
        <v>0</v>
      </c>
      <c r="AH96" s="754">
        <f t="array" ref="AH96">SUMPRODUCT(
  (INDEX('6. TIẾN ĐỘ MUA HÀNG'!$A$5:$AT644, 0, XMATCH("NCC VTBB/NL trong nước", '6. TIẾN ĐỘ MUA HÀNG'!$A$4:$AT$4, 0)) = $B96) * (TRIM(INDEX('6. TIẾN ĐỘ MUA HÀNG'!$A$5:$AT644, 0, XMATCH("Tháng", '6. TIẾN ĐỘ MUA HÀNG'!$A$4:$AT$4, 0))) = TRIM(AG$6)) * (INDEX('6. TIẾN ĐỘ MUA HÀNG'!$A$5:$AT644, 0, XMATCH("CL NGÀY NCC DỰ KIẾN - NGÀY NHẬN HÀNG", '6. TIẾN ĐỘ MUA HÀNG'!$A$4:$AT$4, 0)) &lt; 0)
)</f>
        <v>0</v>
      </c>
      <c r="AI96" s="755">
        <f t="shared" si="34"/>
        <v>0</v>
      </c>
      <c r="AJ96" s="756">
        <f t="array" ref="AJ96">SUMPRODUCT((TRIM(INDEX('6. TIẾN ĐỘ MUA HÀNG'!$A$5:$AT644, 0, XMATCH("NCC VTBB/NL trong nước", '6. TIẾN ĐỘ MUA HÀNG'!$A$4:$AT$4, 0))) = TRIM($B96)) * (TRIM(INDEX('6. TIẾN ĐỘ MUA HÀNG'!$A$5:$AT644, 0, XMATCH("Tháng", '6. TIẾN ĐỘ MUA HÀNG'!$A$4:$AT$4, 0))) = TRIM(AJ$6)) * (INDEX('6. TIẾN ĐỘ MUA HÀNG'!$A$5:$AT644, 0, XMATCH("Mã đơn Misa", '6. TIẾN ĐỘ MUA HÀNG'!$A$4:$AT$4, 0)) &lt;&gt; ""))</f>
        <v>0</v>
      </c>
      <c r="AK96" s="756">
        <f t="array" ref="AK96">SUMPRODUCT(
  (INDEX('6. TIẾN ĐỘ MUA HÀNG'!$A$5:$AT644, 0, XMATCH("NCC VTBB/NL trong nước", '6. TIẾN ĐỘ MUA HÀNG'!$A$4:$AT$4, 0)) = $B96) * (TRIM(INDEX('6. TIẾN ĐỘ MUA HÀNG'!$A$5:$AT644, 0, XMATCH("Tháng", '6. TIẾN ĐỘ MUA HÀNG'!$A$4:$AT$4, 0))) = TRIM(AJ$6)) * (INDEX('6. TIẾN ĐỘ MUA HÀNG'!$A$5:$AT644, 0, XMATCH("CL NGÀY NCC DỰ KIẾN - NGÀY NHẬN HÀNG", '6. TIẾN ĐỘ MUA HÀNG'!$A$4:$AT$4, 0)) &lt; 0)
)</f>
        <v>0</v>
      </c>
      <c r="AL96" s="757">
        <f t="shared" si="25"/>
        <v>0</v>
      </c>
      <c r="AM96" s="726">
        <f t="shared" si="27"/>
        <v>0</v>
      </c>
      <c r="AN96" s="726">
        <f t="shared" si="28"/>
        <v>0</v>
      </c>
      <c r="AO96" s="727">
        <f t="shared" si="26"/>
        <v>0</v>
      </c>
    </row>
    <row r="97">
      <c r="A97" s="612">
        <v>89.0</v>
      </c>
      <c r="B97" s="624" t="str">
        <f>IFERROR(__xludf.DUMMYFUNCTION("""COMPUTED_VALUE"""),"AP Techem")</f>
        <v>AP Techem</v>
      </c>
      <c r="C97" s="754">
        <f t="array" ref="C97">SUMPRODUCT((TRIM(INDEX('6. TIẾN ĐỘ MUA HÀNG'!$A$5:$AT644, 0, XMATCH("NCC VTBB/NL trong nước", '6. TIẾN ĐỘ MUA HÀNG'!$A$4:$AT$4, 0))) = TRIM($B97)) * (TRIM(INDEX('6. TIẾN ĐỘ MUA HÀNG'!$A$5:$AT644, 0, XMATCH("Tháng", '6. TIẾN ĐỘ MUA HÀNG'!$A$4:$AT$4, 0))) = TRIM(C$6)) * (INDEX('6. TIẾN ĐỘ MUA HÀNG'!$A$5:$AT644, 0, XMATCH("Mã đơn Misa", '6. TIẾN ĐỘ MUA HÀNG'!$A$4:$AT$4, 0)) &lt;&gt; ""))</f>
        <v>0</v>
      </c>
      <c r="D97" s="754">
        <f t="array" ref="D97">SUMPRODUCT(
  (INDEX('6. TIẾN ĐỘ MUA HÀNG'!$A$5:$AT644, 0, XMATCH("NCC VTBB/NL trong nước", '6. TIẾN ĐỘ MUA HÀNG'!$A$4:$AT$4, 0)) = $B97) * (TRIM(INDEX('6. TIẾN ĐỘ MUA HÀNG'!$A$5:$AT644, 0, XMATCH("Tháng", '6. TIẾN ĐỘ MUA HÀNG'!$A$4:$AT$4, 0))) = TRIM(C$6)) * (INDEX('6. TIẾN ĐỘ MUA HÀNG'!$A$5:$AT644, 0, XMATCH("CL NGÀY NCC DỰ KIẾN - NGÀY NHẬN HÀNG", '6. TIẾN ĐỘ MUA HÀNG'!$A$4:$AT$4, 0)) &lt; 0)
)</f>
        <v>0</v>
      </c>
      <c r="E97" s="755">
        <f t="shared" si="29"/>
        <v>0</v>
      </c>
      <c r="F97" s="756">
        <f t="array" ref="F97">SUMPRODUCT((TRIM(INDEX('6. TIẾN ĐỘ MUA HÀNG'!$A$5:$AT644, 0, XMATCH("NCC VTBB/NL trong nước", '6. TIẾN ĐỘ MUA HÀNG'!$A$4:$AT$4, 0))) = TRIM($B97)) * (TRIM(INDEX('6. TIẾN ĐỘ MUA HÀNG'!$A$5:$AT644, 0, XMATCH("Tháng", '6. TIẾN ĐỘ MUA HÀNG'!$A$4:$AT$4, 0))) = TRIM(F$6)) * (INDEX('6. TIẾN ĐỘ MUA HÀNG'!$A$5:$AT644, 0, XMATCH("Mã đơn Misa", '6. TIẾN ĐỘ MUA HÀNG'!$A$4:$AT$4, 0)) &lt;&gt; ""))</f>
        <v>0</v>
      </c>
      <c r="G97" s="756">
        <f t="array" ref="G97">SUMPRODUCT(
  (INDEX('6. TIẾN ĐỘ MUA HÀNG'!$A$5:$AT644, 0, XMATCH("NCC VTBB/NL trong nước", '6. TIẾN ĐỘ MUA HÀNG'!$A$4:$AT$4, 0)) = $B97) * (TRIM(INDEX('6. TIẾN ĐỘ MUA HÀNG'!$A$5:$AT644, 0, XMATCH("Tháng", '6. TIẾN ĐỘ MUA HÀNG'!$A$4:$AT$4, 0))) = TRIM(F$6)) * (INDEX('6. TIẾN ĐỘ MUA HÀNG'!$A$5:$AT644, 0, XMATCH("CL NGÀY NCC DỰ KIẾN - NGÀY NHẬN HÀNG", '6. TIẾN ĐỘ MUA HÀNG'!$A$4:$AT$4, 0)) &lt; 0)
)</f>
        <v>0</v>
      </c>
      <c r="H97" s="757">
        <f t="shared" si="15"/>
        <v>0</v>
      </c>
      <c r="I97" s="754">
        <f t="array" ref="I97">SUMPRODUCT((TRIM(INDEX('6. TIẾN ĐỘ MUA HÀNG'!$A$5:$AT644, 0, XMATCH("NCC VTBB/NL trong nước", '6. TIẾN ĐỘ MUA HÀNG'!$A$4:$AT$4, 0))) = TRIM($B97)) * (TRIM(INDEX('6. TIẾN ĐỘ MUA HÀNG'!$A$5:$AT644, 0, XMATCH("Tháng", '6. TIẾN ĐỘ MUA HÀNG'!$A$4:$AT$4, 0))) = TRIM(I$6)) * (INDEX('6. TIẾN ĐỘ MUA HÀNG'!$A$5:$AT644, 0, XMATCH("Mã đơn Misa", '6. TIẾN ĐỘ MUA HÀNG'!$A$4:$AT$4, 0)) &lt;&gt; ""))</f>
        <v>0</v>
      </c>
      <c r="J97" s="754">
        <f t="array" ref="J97">SUMPRODUCT(
  (INDEX('6. TIẾN ĐỘ MUA HÀNG'!$A$5:$AT644, 0, XMATCH("NCC VTBB/NL trong nước", '6. TIẾN ĐỘ MUA HÀNG'!$A$4:$AT$4, 0)) = $B97) * (TRIM(INDEX('6. TIẾN ĐỘ MUA HÀNG'!$A$5:$AT644, 0, XMATCH("Tháng", '6. TIẾN ĐỘ MUA HÀNG'!$A$4:$AT$4, 0))) = TRIM(I$6)) * (INDEX('6. TIẾN ĐỘ MUA HÀNG'!$A$5:$AT644, 0, XMATCH("CL NGÀY NCC DỰ KIẾN - NGÀY NHẬN HÀNG", '6. TIẾN ĐỘ MUA HÀNG'!$A$4:$AT$4, 0)) &lt; 0)
)</f>
        <v>0</v>
      </c>
      <c r="K97" s="755">
        <f t="shared" si="30"/>
        <v>0</v>
      </c>
      <c r="L97" s="756">
        <f t="array" ref="L97">SUMPRODUCT((TRIM(INDEX('6. TIẾN ĐỘ MUA HÀNG'!$A$5:$AT644, 0, XMATCH("NCC VTBB/NL trong nước", '6. TIẾN ĐỘ MUA HÀNG'!$A$4:$AT$4, 0))) = TRIM($B97)) * (TRIM(INDEX('6. TIẾN ĐỘ MUA HÀNG'!$A$5:$AT644, 0, XMATCH("Tháng", '6. TIẾN ĐỘ MUA HÀNG'!$A$4:$AT$4, 0))) = TRIM(L$6)) * (INDEX('6. TIẾN ĐỘ MUA HÀNG'!$A$5:$AT644, 0, XMATCH("Mã đơn Misa", '6. TIẾN ĐỘ MUA HÀNG'!$A$4:$AT$4, 0)) &lt;&gt; ""))</f>
        <v>0</v>
      </c>
      <c r="M97" s="756">
        <f t="array" ref="M97">SUMPRODUCT(
  (INDEX('6. TIẾN ĐỘ MUA HÀNG'!$A$5:$AT644, 0, XMATCH("NCC VTBB/NL trong nước", '6. TIẾN ĐỘ MUA HÀNG'!$A$4:$AT$4, 0)) = $B97) * (TRIM(INDEX('6. TIẾN ĐỘ MUA HÀNG'!$A$5:$AT644, 0, XMATCH("Tháng", '6. TIẾN ĐỘ MUA HÀNG'!$A$4:$AT$4, 0))) = TRIM(L$6)) * (INDEX('6. TIẾN ĐỘ MUA HÀNG'!$A$5:$AT644, 0, XMATCH("CL NGÀY NCC DỰ KIẾN - NGÀY NHẬN HÀNG", '6. TIẾN ĐỘ MUA HÀNG'!$A$4:$AT$4, 0)) &lt; 0)
)</f>
        <v>0</v>
      </c>
      <c r="N97" s="757">
        <f t="shared" si="17"/>
        <v>0</v>
      </c>
      <c r="O97" s="754">
        <f t="array" ref="O97">SUMPRODUCT((TRIM(INDEX('6. TIẾN ĐỘ MUA HÀNG'!$A$5:$AT644, 0, XMATCH("NCC VTBB/NL trong nước", '6. TIẾN ĐỘ MUA HÀNG'!$A$4:$AT$4, 0))) = TRIM($B97)) * (TRIM(INDEX('6. TIẾN ĐỘ MUA HÀNG'!$A$5:$AT644, 0, XMATCH("Tháng", '6. TIẾN ĐỘ MUA HÀNG'!$A$4:$AT$4, 0))) = TRIM(O$6)) * (INDEX('6. TIẾN ĐỘ MUA HÀNG'!$A$5:$AT644, 0, XMATCH("Mã đơn Misa", '6. TIẾN ĐỘ MUA HÀNG'!$A$4:$AT$4, 0)) &lt;&gt; ""))</f>
        <v>0</v>
      </c>
      <c r="P97" s="754">
        <f t="array" ref="P97">SUMPRODUCT(
  (INDEX('6. TIẾN ĐỘ MUA HÀNG'!$A$5:$AT644, 0, XMATCH("NCC VTBB/NL trong nước", '6. TIẾN ĐỘ MUA HÀNG'!$A$4:$AT$4, 0)) = $B97) * (TRIM(INDEX('6. TIẾN ĐỘ MUA HÀNG'!$A$5:$AT644, 0, XMATCH("Tháng", '6. TIẾN ĐỘ MUA HÀNG'!$A$4:$AT$4, 0))) = TRIM(O$6)) * (INDEX('6. TIẾN ĐỘ MUA HÀNG'!$A$5:$AT644, 0, XMATCH("CL NGÀY NCC DỰ KIẾN - NGÀY NHẬN HÀNG", '6. TIẾN ĐỘ MUA HÀNG'!$A$4:$AT$4, 0)) &lt; 0)
)</f>
        <v>0</v>
      </c>
      <c r="Q97" s="755">
        <f t="shared" si="31"/>
        <v>0</v>
      </c>
      <c r="R97" s="756">
        <f t="array" ref="R97">SUMPRODUCT((TRIM(INDEX('6. TIẾN ĐỘ MUA HÀNG'!$A$5:$AT644, 0, XMATCH("NCC VTBB/NL trong nước", '6. TIẾN ĐỘ MUA HÀNG'!$A$4:$AT$4, 0))) = TRIM($B97)) * (TRIM(INDEX('6. TIẾN ĐỘ MUA HÀNG'!$A$5:$AT644, 0, XMATCH("Tháng", '6. TIẾN ĐỘ MUA HÀNG'!$A$4:$AT$4, 0))) = TRIM(R$6)) * (INDEX('6. TIẾN ĐỘ MUA HÀNG'!$A$5:$AT644, 0, XMATCH("Mã đơn Misa", '6. TIẾN ĐỘ MUA HÀNG'!$A$4:$AT$4, 0)) &lt;&gt; ""))</f>
        <v>0</v>
      </c>
      <c r="S97" s="756">
        <f t="array" ref="S97">SUMPRODUCT(
  (INDEX('6. TIẾN ĐỘ MUA HÀNG'!$A$5:$AT644, 0, XMATCH("NCC VTBB/NL trong nước", '6. TIẾN ĐỘ MUA HÀNG'!$A$4:$AT$4, 0)) = $B97) * (TRIM(INDEX('6. TIẾN ĐỘ MUA HÀNG'!$A$5:$AT644, 0, XMATCH("Tháng", '6. TIẾN ĐỘ MUA HÀNG'!$A$4:$AT$4, 0))) = TRIM(R$6)) * (INDEX('6. TIẾN ĐỘ MUA HÀNG'!$A$5:$AT644, 0, XMATCH("CL NGÀY NCC DỰ KIẾN - NGÀY NHẬN HÀNG", '6. TIẾN ĐỘ MUA HÀNG'!$A$4:$AT$4, 0)) &lt; 0)
)</f>
        <v>0</v>
      </c>
      <c r="T97" s="757">
        <f t="shared" si="19"/>
        <v>0</v>
      </c>
      <c r="U97" s="754">
        <f t="array" ref="U97">SUMPRODUCT((TRIM(INDEX('6. TIẾN ĐỘ MUA HÀNG'!$A$5:$AT644, 0, XMATCH("NCC VTBB/NL trong nước", '6. TIẾN ĐỘ MUA HÀNG'!$A$4:$AT$4, 0))) = TRIM($B97)) * (TRIM(INDEX('6. TIẾN ĐỘ MUA HÀNG'!$A$5:$AT644, 0, XMATCH("Tháng", '6. TIẾN ĐỘ MUA HÀNG'!$A$4:$AT$4, 0))) = TRIM(U$6)) * (INDEX('6. TIẾN ĐỘ MUA HÀNG'!$A$5:$AT644, 0, XMATCH("Mã đơn Misa", '6. TIẾN ĐỘ MUA HÀNG'!$A$4:$AT$4, 0)) &lt;&gt; ""))</f>
        <v>0</v>
      </c>
      <c r="V97" s="754">
        <f t="array" ref="V97">SUMPRODUCT(
  (INDEX('6. TIẾN ĐỘ MUA HÀNG'!$A$5:$AT644, 0, XMATCH("NCC VTBB/NL trong nước", '6. TIẾN ĐỘ MUA HÀNG'!$A$4:$AT$4, 0)) = $B97) * (TRIM(INDEX('6. TIẾN ĐỘ MUA HÀNG'!$A$5:$AT644, 0, XMATCH("Tháng", '6. TIẾN ĐỘ MUA HÀNG'!$A$4:$AT$4, 0))) = TRIM(U$6)) * (INDEX('6. TIẾN ĐỘ MUA HÀNG'!$A$5:$AT644, 0, XMATCH("CL NGÀY NCC DỰ KIẾN - NGÀY NHẬN HÀNG", '6. TIẾN ĐỘ MUA HÀNG'!$A$4:$AT$4, 0)) &lt; 0)
)</f>
        <v>0</v>
      </c>
      <c r="W97" s="755">
        <f t="shared" si="32"/>
        <v>0</v>
      </c>
      <c r="X97" s="756">
        <f t="array" ref="X97">SUMPRODUCT((TRIM(INDEX('6. TIẾN ĐỘ MUA HÀNG'!$A$5:$AT644, 0, XMATCH("NCC VTBB/NL trong nước", '6. TIẾN ĐỘ MUA HÀNG'!$A$4:$AT$4, 0))) = TRIM($B97)) * (TRIM(INDEX('6. TIẾN ĐỘ MUA HÀNG'!$A$5:$AT644, 0, XMATCH("Tháng", '6. TIẾN ĐỘ MUA HÀNG'!$A$4:$AT$4, 0))) = TRIM(X$6)) * (INDEX('6. TIẾN ĐỘ MUA HÀNG'!$A$5:$AT644, 0, XMATCH("Mã đơn Misa", '6. TIẾN ĐỘ MUA HÀNG'!$A$4:$AT$4, 0)) &lt;&gt; ""))</f>
        <v>0</v>
      </c>
      <c r="Y97" s="756">
        <f t="array" ref="Y97">SUMPRODUCT(
  (INDEX('6. TIẾN ĐỘ MUA HÀNG'!$A$5:$AT644, 0, XMATCH("NCC VTBB/NL trong nước", '6. TIẾN ĐỘ MUA HÀNG'!$A$4:$AT$4, 0)) = $B97) * (TRIM(INDEX('6. TIẾN ĐỘ MUA HÀNG'!$A$5:$AT644, 0, XMATCH("Tháng", '6. TIẾN ĐỘ MUA HÀNG'!$A$4:$AT$4, 0))) = TRIM(X$6)) * (INDEX('6. TIẾN ĐỘ MUA HÀNG'!$A$5:$AT644, 0, XMATCH("CL NGÀY NCC DỰ KIẾN - NGÀY NHẬN HÀNG", '6. TIẾN ĐỘ MUA HÀNG'!$A$4:$AT$4, 0)) &lt; 0)
)</f>
        <v>0</v>
      </c>
      <c r="Z97" s="757">
        <f t="shared" si="21"/>
        <v>0</v>
      </c>
      <c r="AA97" s="754">
        <f t="array" ref="AA97">SUMPRODUCT((TRIM(INDEX('6. TIẾN ĐỘ MUA HÀNG'!$A$5:$AT644, 0, XMATCH("NCC VTBB/NL trong nước", '6. TIẾN ĐỘ MUA HÀNG'!$A$4:$AT$4, 0))) = TRIM($B97)) * (TRIM(INDEX('6. TIẾN ĐỘ MUA HÀNG'!$A$5:$AT644, 0, XMATCH("Tháng", '6. TIẾN ĐỘ MUA HÀNG'!$A$4:$AT$4, 0))) = TRIM(AA$6)) * (INDEX('6. TIẾN ĐỘ MUA HÀNG'!$A$5:$AT644, 0, XMATCH("Mã đơn Misa", '6. TIẾN ĐỘ MUA HÀNG'!$A$4:$AT$4, 0)) &lt;&gt; ""))</f>
        <v>0</v>
      </c>
      <c r="AB97" s="754">
        <f t="array" ref="AB97">SUMPRODUCT(
  (INDEX('6. TIẾN ĐỘ MUA HÀNG'!$A$5:$AT644, 0, XMATCH("NCC VTBB/NL trong nước", '6. TIẾN ĐỘ MUA HÀNG'!$A$4:$AT$4, 0)) = $B97) * (TRIM(INDEX('6. TIẾN ĐỘ MUA HÀNG'!$A$5:$AT644, 0, XMATCH("Tháng", '6. TIẾN ĐỘ MUA HÀNG'!$A$4:$AT$4, 0))) = TRIM(AA$6)) * (INDEX('6. TIẾN ĐỘ MUA HÀNG'!$A$5:$AT644, 0, XMATCH("CL NGÀY NCC DỰ KIẾN - NGÀY NHẬN HÀNG", '6. TIẾN ĐỘ MUA HÀNG'!$A$4:$AT$4, 0)) &lt; 0)
)</f>
        <v>0</v>
      </c>
      <c r="AC97" s="755">
        <f t="shared" si="33"/>
        <v>0</v>
      </c>
      <c r="AD97" s="756">
        <f t="array" ref="AD97">SUMPRODUCT((TRIM(INDEX('6. TIẾN ĐỘ MUA HÀNG'!$A$5:$AT644, 0, XMATCH("NCC VTBB/NL trong nước", '6. TIẾN ĐỘ MUA HÀNG'!$A$4:$AT$4, 0))) = TRIM($B97)) * (TRIM(INDEX('6. TIẾN ĐỘ MUA HÀNG'!$A$5:$AT644, 0, XMATCH("Tháng", '6. TIẾN ĐỘ MUA HÀNG'!$A$4:$AT$4, 0))) = TRIM(AD$6)) * (INDEX('6. TIẾN ĐỘ MUA HÀNG'!$A$5:$AT644, 0, XMATCH("Mã đơn Misa", '6. TIẾN ĐỘ MUA HÀNG'!$A$4:$AT$4, 0)) &lt;&gt; ""))</f>
        <v>0</v>
      </c>
      <c r="AE97" s="756">
        <f t="array" ref="AE97">SUMPRODUCT(
  (INDEX('6. TIẾN ĐỘ MUA HÀNG'!$A$5:$AT644, 0, XMATCH("NCC VTBB/NL trong nước", '6. TIẾN ĐỘ MUA HÀNG'!$A$4:$AT$4, 0)) = $B97) * (TRIM(INDEX('6. TIẾN ĐỘ MUA HÀNG'!$A$5:$AT644, 0, XMATCH("Tháng", '6. TIẾN ĐỘ MUA HÀNG'!$A$4:$AT$4, 0))) = TRIM(AD$6)) * (INDEX('6. TIẾN ĐỘ MUA HÀNG'!$A$5:$AT644, 0, XMATCH("CL NGÀY NCC DỰ KIẾN - NGÀY NHẬN HÀNG", '6. TIẾN ĐỘ MUA HÀNG'!$A$4:$AT$4, 0)) &lt; 0)
)</f>
        <v>0</v>
      </c>
      <c r="AF97" s="757">
        <f t="shared" si="23"/>
        <v>0</v>
      </c>
      <c r="AG97" s="754">
        <f t="array" ref="AG97">SUMPRODUCT((TRIM(INDEX('6. TIẾN ĐỘ MUA HÀNG'!$A$5:$AT644, 0, XMATCH("NCC VTBB/NL trong nước", '6. TIẾN ĐỘ MUA HÀNG'!$A$4:$AT$4, 0))) = TRIM($B97)) * (TRIM(INDEX('6. TIẾN ĐỘ MUA HÀNG'!$A$5:$AT644, 0, XMATCH("Tháng", '6. TIẾN ĐỘ MUA HÀNG'!$A$4:$AT$4, 0))) = TRIM(AG$6)) * (INDEX('6. TIẾN ĐỘ MUA HÀNG'!$A$5:$AT644, 0, XMATCH("Mã đơn Misa", '6. TIẾN ĐỘ MUA HÀNG'!$A$4:$AT$4, 0)) &lt;&gt; ""))</f>
        <v>0</v>
      </c>
      <c r="AH97" s="754">
        <f t="array" ref="AH97">SUMPRODUCT(
  (INDEX('6. TIẾN ĐỘ MUA HÀNG'!$A$5:$AT644, 0, XMATCH("NCC VTBB/NL trong nước", '6. TIẾN ĐỘ MUA HÀNG'!$A$4:$AT$4, 0)) = $B97) * (TRIM(INDEX('6. TIẾN ĐỘ MUA HÀNG'!$A$5:$AT644, 0, XMATCH("Tháng", '6. TIẾN ĐỘ MUA HÀNG'!$A$4:$AT$4, 0))) = TRIM(AG$6)) * (INDEX('6. TIẾN ĐỘ MUA HÀNG'!$A$5:$AT644, 0, XMATCH("CL NGÀY NCC DỰ KIẾN - NGÀY NHẬN HÀNG", '6. TIẾN ĐỘ MUA HÀNG'!$A$4:$AT$4, 0)) &lt; 0)
)</f>
        <v>0</v>
      </c>
      <c r="AI97" s="755">
        <f t="shared" si="34"/>
        <v>0</v>
      </c>
      <c r="AJ97" s="756">
        <f t="array" ref="AJ97">SUMPRODUCT((TRIM(INDEX('6. TIẾN ĐỘ MUA HÀNG'!$A$5:$AT644, 0, XMATCH("NCC VTBB/NL trong nước", '6. TIẾN ĐỘ MUA HÀNG'!$A$4:$AT$4, 0))) = TRIM($B97)) * (TRIM(INDEX('6. TIẾN ĐỘ MUA HÀNG'!$A$5:$AT644, 0, XMATCH("Tháng", '6. TIẾN ĐỘ MUA HÀNG'!$A$4:$AT$4, 0))) = TRIM(AJ$6)) * (INDEX('6. TIẾN ĐỘ MUA HÀNG'!$A$5:$AT644, 0, XMATCH("Mã đơn Misa", '6. TIẾN ĐỘ MUA HÀNG'!$A$4:$AT$4, 0)) &lt;&gt; ""))</f>
        <v>0</v>
      </c>
      <c r="AK97" s="756">
        <f t="array" ref="AK97">SUMPRODUCT(
  (INDEX('6. TIẾN ĐỘ MUA HÀNG'!$A$5:$AT644, 0, XMATCH("NCC VTBB/NL trong nước", '6. TIẾN ĐỘ MUA HÀNG'!$A$4:$AT$4, 0)) = $B97) * (TRIM(INDEX('6. TIẾN ĐỘ MUA HÀNG'!$A$5:$AT644, 0, XMATCH("Tháng", '6. TIẾN ĐỘ MUA HÀNG'!$A$4:$AT$4, 0))) = TRIM(AJ$6)) * (INDEX('6. TIẾN ĐỘ MUA HÀNG'!$A$5:$AT644, 0, XMATCH("CL NGÀY NCC DỰ KIẾN - NGÀY NHẬN HÀNG", '6. TIẾN ĐỘ MUA HÀNG'!$A$4:$AT$4, 0)) &lt; 0)
)</f>
        <v>0</v>
      </c>
      <c r="AL97" s="757">
        <f t="shared" si="25"/>
        <v>0</v>
      </c>
      <c r="AM97" s="726">
        <f t="shared" si="27"/>
        <v>0</v>
      </c>
      <c r="AN97" s="726">
        <f t="shared" si="28"/>
        <v>0</v>
      </c>
      <c r="AO97" s="727">
        <f t="shared" si="26"/>
        <v>0</v>
      </c>
    </row>
    <row r="98">
      <c r="A98" s="612">
        <v>90.0</v>
      </c>
      <c r="B98" s="624" t="str">
        <f>IFERROR(__xludf.DUMMYFUNCTION("""COMPUTED_VALUE"""),"Ngọc Minh")</f>
        <v>Ngọc Minh</v>
      </c>
      <c r="C98" s="754">
        <f t="array" ref="C98">SUMPRODUCT((TRIM(INDEX('6. TIẾN ĐỘ MUA HÀNG'!$A$5:$AT644, 0, XMATCH("NCC VTBB/NL trong nước", '6. TIẾN ĐỘ MUA HÀNG'!$A$4:$AT$4, 0))) = TRIM($B98)) * (TRIM(INDEX('6. TIẾN ĐỘ MUA HÀNG'!$A$5:$AT644, 0, XMATCH("Tháng", '6. TIẾN ĐỘ MUA HÀNG'!$A$4:$AT$4, 0))) = TRIM(C$6)) * (INDEX('6. TIẾN ĐỘ MUA HÀNG'!$A$5:$AT644, 0, XMATCH("Mã đơn Misa", '6. TIẾN ĐỘ MUA HÀNG'!$A$4:$AT$4, 0)) &lt;&gt; ""))</f>
        <v>0</v>
      </c>
      <c r="D98" s="754">
        <f t="array" ref="D98">SUMPRODUCT(
  (INDEX('6. TIẾN ĐỘ MUA HÀNG'!$A$5:$AT644, 0, XMATCH("NCC VTBB/NL trong nước", '6. TIẾN ĐỘ MUA HÀNG'!$A$4:$AT$4, 0)) = $B98) * (TRIM(INDEX('6. TIẾN ĐỘ MUA HÀNG'!$A$5:$AT644, 0, XMATCH("Tháng", '6. TIẾN ĐỘ MUA HÀNG'!$A$4:$AT$4, 0))) = TRIM(C$6)) * (INDEX('6. TIẾN ĐỘ MUA HÀNG'!$A$5:$AT644, 0, XMATCH("CL NGÀY NCC DỰ KIẾN - NGÀY NHẬN HÀNG", '6. TIẾN ĐỘ MUA HÀNG'!$A$4:$AT$4, 0)) &lt; 0)
)</f>
        <v>0</v>
      </c>
      <c r="E98" s="755">
        <f t="shared" si="29"/>
        <v>0</v>
      </c>
      <c r="F98" s="756">
        <f t="array" ref="F98">SUMPRODUCT((TRIM(INDEX('6. TIẾN ĐỘ MUA HÀNG'!$A$5:$AT644, 0, XMATCH("NCC VTBB/NL trong nước", '6. TIẾN ĐỘ MUA HÀNG'!$A$4:$AT$4, 0))) = TRIM($B98)) * (TRIM(INDEX('6. TIẾN ĐỘ MUA HÀNG'!$A$5:$AT644, 0, XMATCH("Tháng", '6. TIẾN ĐỘ MUA HÀNG'!$A$4:$AT$4, 0))) = TRIM(F$6)) * (INDEX('6. TIẾN ĐỘ MUA HÀNG'!$A$5:$AT644, 0, XMATCH("Mã đơn Misa", '6. TIẾN ĐỘ MUA HÀNG'!$A$4:$AT$4, 0)) &lt;&gt; ""))</f>
        <v>0</v>
      </c>
      <c r="G98" s="756">
        <f t="array" ref="G98">SUMPRODUCT(
  (INDEX('6. TIẾN ĐỘ MUA HÀNG'!$A$5:$AT644, 0, XMATCH("NCC VTBB/NL trong nước", '6. TIẾN ĐỘ MUA HÀNG'!$A$4:$AT$4, 0)) = $B98) * (TRIM(INDEX('6. TIẾN ĐỘ MUA HÀNG'!$A$5:$AT644, 0, XMATCH("Tháng", '6. TIẾN ĐỘ MUA HÀNG'!$A$4:$AT$4, 0))) = TRIM(F$6)) * (INDEX('6. TIẾN ĐỘ MUA HÀNG'!$A$5:$AT644, 0, XMATCH("CL NGÀY NCC DỰ KIẾN - NGÀY NHẬN HÀNG", '6. TIẾN ĐỘ MUA HÀNG'!$A$4:$AT$4, 0)) &lt; 0)
)</f>
        <v>0</v>
      </c>
      <c r="H98" s="757">
        <f t="shared" si="15"/>
        <v>0</v>
      </c>
      <c r="I98" s="754">
        <f t="array" ref="I98">SUMPRODUCT((TRIM(INDEX('6. TIẾN ĐỘ MUA HÀNG'!$A$5:$AT644, 0, XMATCH("NCC VTBB/NL trong nước", '6. TIẾN ĐỘ MUA HÀNG'!$A$4:$AT$4, 0))) = TRIM($B98)) * (TRIM(INDEX('6. TIẾN ĐỘ MUA HÀNG'!$A$5:$AT644, 0, XMATCH("Tháng", '6. TIẾN ĐỘ MUA HÀNG'!$A$4:$AT$4, 0))) = TRIM(I$6)) * (INDEX('6. TIẾN ĐỘ MUA HÀNG'!$A$5:$AT644, 0, XMATCH("Mã đơn Misa", '6. TIẾN ĐỘ MUA HÀNG'!$A$4:$AT$4, 0)) &lt;&gt; ""))</f>
        <v>0</v>
      </c>
      <c r="J98" s="754">
        <f t="array" ref="J98">SUMPRODUCT(
  (INDEX('6. TIẾN ĐỘ MUA HÀNG'!$A$5:$AT644, 0, XMATCH("NCC VTBB/NL trong nước", '6. TIẾN ĐỘ MUA HÀNG'!$A$4:$AT$4, 0)) = $B98) * (TRIM(INDEX('6. TIẾN ĐỘ MUA HÀNG'!$A$5:$AT644, 0, XMATCH("Tháng", '6. TIẾN ĐỘ MUA HÀNG'!$A$4:$AT$4, 0))) = TRIM(I$6)) * (INDEX('6. TIẾN ĐỘ MUA HÀNG'!$A$5:$AT644, 0, XMATCH("CL NGÀY NCC DỰ KIẾN - NGÀY NHẬN HÀNG", '6. TIẾN ĐỘ MUA HÀNG'!$A$4:$AT$4, 0)) &lt; 0)
)</f>
        <v>0</v>
      </c>
      <c r="K98" s="755">
        <f t="shared" si="30"/>
        <v>0</v>
      </c>
      <c r="L98" s="756">
        <f t="array" ref="L98">SUMPRODUCT((TRIM(INDEX('6. TIẾN ĐỘ MUA HÀNG'!$A$5:$AT644, 0, XMATCH("NCC VTBB/NL trong nước", '6. TIẾN ĐỘ MUA HÀNG'!$A$4:$AT$4, 0))) = TRIM($B98)) * (TRIM(INDEX('6. TIẾN ĐỘ MUA HÀNG'!$A$5:$AT644, 0, XMATCH("Tháng", '6. TIẾN ĐỘ MUA HÀNG'!$A$4:$AT$4, 0))) = TRIM(L$6)) * (INDEX('6. TIẾN ĐỘ MUA HÀNG'!$A$5:$AT644, 0, XMATCH("Mã đơn Misa", '6. TIẾN ĐỘ MUA HÀNG'!$A$4:$AT$4, 0)) &lt;&gt; ""))</f>
        <v>0</v>
      </c>
      <c r="M98" s="756">
        <f t="array" ref="M98">SUMPRODUCT(
  (INDEX('6. TIẾN ĐỘ MUA HÀNG'!$A$5:$AT644, 0, XMATCH("NCC VTBB/NL trong nước", '6. TIẾN ĐỘ MUA HÀNG'!$A$4:$AT$4, 0)) = $B98) * (TRIM(INDEX('6. TIẾN ĐỘ MUA HÀNG'!$A$5:$AT644, 0, XMATCH("Tháng", '6. TIẾN ĐỘ MUA HÀNG'!$A$4:$AT$4, 0))) = TRIM(L$6)) * (INDEX('6. TIẾN ĐỘ MUA HÀNG'!$A$5:$AT644, 0, XMATCH("CL NGÀY NCC DỰ KIẾN - NGÀY NHẬN HÀNG", '6. TIẾN ĐỘ MUA HÀNG'!$A$4:$AT$4, 0)) &lt; 0)
)</f>
        <v>0</v>
      </c>
      <c r="N98" s="757">
        <f t="shared" si="17"/>
        <v>0</v>
      </c>
      <c r="O98" s="754">
        <f t="array" ref="O98">SUMPRODUCT((TRIM(INDEX('6. TIẾN ĐỘ MUA HÀNG'!$A$5:$AT644, 0, XMATCH("NCC VTBB/NL trong nước", '6. TIẾN ĐỘ MUA HÀNG'!$A$4:$AT$4, 0))) = TRIM($B98)) * (TRIM(INDEX('6. TIẾN ĐỘ MUA HÀNG'!$A$5:$AT644, 0, XMATCH("Tháng", '6. TIẾN ĐỘ MUA HÀNG'!$A$4:$AT$4, 0))) = TRIM(O$6)) * (INDEX('6. TIẾN ĐỘ MUA HÀNG'!$A$5:$AT644, 0, XMATCH("Mã đơn Misa", '6. TIẾN ĐỘ MUA HÀNG'!$A$4:$AT$4, 0)) &lt;&gt; ""))</f>
        <v>0</v>
      </c>
      <c r="P98" s="754">
        <f t="array" ref="P98">SUMPRODUCT(
  (INDEX('6. TIẾN ĐỘ MUA HÀNG'!$A$5:$AT644, 0, XMATCH("NCC VTBB/NL trong nước", '6. TIẾN ĐỘ MUA HÀNG'!$A$4:$AT$4, 0)) = $B98) * (TRIM(INDEX('6. TIẾN ĐỘ MUA HÀNG'!$A$5:$AT644, 0, XMATCH("Tháng", '6. TIẾN ĐỘ MUA HÀNG'!$A$4:$AT$4, 0))) = TRIM(O$6)) * (INDEX('6. TIẾN ĐỘ MUA HÀNG'!$A$5:$AT644, 0, XMATCH("CL NGÀY NCC DỰ KIẾN - NGÀY NHẬN HÀNG", '6. TIẾN ĐỘ MUA HÀNG'!$A$4:$AT$4, 0)) &lt; 0)
)</f>
        <v>0</v>
      </c>
      <c r="Q98" s="755">
        <f t="shared" si="31"/>
        <v>0</v>
      </c>
      <c r="R98" s="756">
        <f t="array" ref="R98">SUMPRODUCT((TRIM(INDEX('6. TIẾN ĐỘ MUA HÀNG'!$A$5:$AT644, 0, XMATCH("NCC VTBB/NL trong nước", '6. TIẾN ĐỘ MUA HÀNG'!$A$4:$AT$4, 0))) = TRIM($B98)) * (TRIM(INDEX('6. TIẾN ĐỘ MUA HÀNG'!$A$5:$AT644, 0, XMATCH("Tháng", '6. TIẾN ĐỘ MUA HÀNG'!$A$4:$AT$4, 0))) = TRIM(R$6)) * (INDEX('6. TIẾN ĐỘ MUA HÀNG'!$A$5:$AT644, 0, XMATCH("Mã đơn Misa", '6. TIẾN ĐỘ MUA HÀNG'!$A$4:$AT$4, 0)) &lt;&gt; ""))</f>
        <v>0</v>
      </c>
      <c r="S98" s="756">
        <f t="array" ref="S98">SUMPRODUCT(
  (INDEX('6. TIẾN ĐỘ MUA HÀNG'!$A$5:$AT644, 0, XMATCH("NCC VTBB/NL trong nước", '6. TIẾN ĐỘ MUA HÀNG'!$A$4:$AT$4, 0)) = $B98) * (TRIM(INDEX('6. TIẾN ĐỘ MUA HÀNG'!$A$5:$AT644, 0, XMATCH("Tháng", '6. TIẾN ĐỘ MUA HÀNG'!$A$4:$AT$4, 0))) = TRIM(R$6)) * (INDEX('6. TIẾN ĐỘ MUA HÀNG'!$A$5:$AT644, 0, XMATCH("CL NGÀY NCC DỰ KIẾN - NGÀY NHẬN HÀNG", '6. TIẾN ĐỘ MUA HÀNG'!$A$4:$AT$4, 0)) &lt; 0)
)</f>
        <v>0</v>
      </c>
      <c r="T98" s="757">
        <f t="shared" si="19"/>
        <v>0</v>
      </c>
      <c r="U98" s="754">
        <f t="array" ref="U98">SUMPRODUCT((TRIM(INDEX('6. TIẾN ĐỘ MUA HÀNG'!$A$5:$AT644, 0, XMATCH("NCC VTBB/NL trong nước", '6. TIẾN ĐỘ MUA HÀNG'!$A$4:$AT$4, 0))) = TRIM($B98)) * (TRIM(INDEX('6. TIẾN ĐỘ MUA HÀNG'!$A$5:$AT644, 0, XMATCH("Tháng", '6. TIẾN ĐỘ MUA HÀNG'!$A$4:$AT$4, 0))) = TRIM(U$6)) * (INDEX('6. TIẾN ĐỘ MUA HÀNG'!$A$5:$AT644, 0, XMATCH("Mã đơn Misa", '6. TIẾN ĐỘ MUA HÀNG'!$A$4:$AT$4, 0)) &lt;&gt; ""))</f>
        <v>0</v>
      </c>
      <c r="V98" s="754">
        <f t="array" ref="V98">SUMPRODUCT(
  (INDEX('6. TIẾN ĐỘ MUA HÀNG'!$A$5:$AT644, 0, XMATCH("NCC VTBB/NL trong nước", '6. TIẾN ĐỘ MUA HÀNG'!$A$4:$AT$4, 0)) = $B98) * (TRIM(INDEX('6. TIẾN ĐỘ MUA HÀNG'!$A$5:$AT644, 0, XMATCH("Tháng", '6. TIẾN ĐỘ MUA HÀNG'!$A$4:$AT$4, 0))) = TRIM(U$6)) * (INDEX('6. TIẾN ĐỘ MUA HÀNG'!$A$5:$AT644, 0, XMATCH("CL NGÀY NCC DỰ KIẾN - NGÀY NHẬN HÀNG", '6. TIẾN ĐỘ MUA HÀNG'!$A$4:$AT$4, 0)) &lt; 0)
)</f>
        <v>0</v>
      </c>
      <c r="W98" s="755">
        <f t="shared" si="32"/>
        <v>0</v>
      </c>
      <c r="X98" s="756">
        <f t="array" ref="X98">SUMPRODUCT((TRIM(INDEX('6. TIẾN ĐỘ MUA HÀNG'!$A$5:$AT644, 0, XMATCH("NCC VTBB/NL trong nước", '6. TIẾN ĐỘ MUA HÀNG'!$A$4:$AT$4, 0))) = TRIM($B98)) * (TRIM(INDEX('6. TIẾN ĐỘ MUA HÀNG'!$A$5:$AT644, 0, XMATCH("Tháng", '6. TIẾN ĐỘ MUA HÀNG'!$A$4:$AT$4, 0))) = TRIM(X$6)) * (INDEX('6. TIẾN ĐỘ MUA HÀNG'!$A$5:$AT644, 0, XMATCH("Mã đơn Misa", '6. TIẾN ĐỘ MUA HÀNG'!$A$4:$AT$4, 0)) &lt;&gt; ""))</f>
        <v>0</v>
      </c>
      <c r="Y98" s="756">
        <f t="array" ref="Y98">SUMPRODUCT(
  (INDEX('6. TIẾN ĐỘ MUA HÀNG'!$A$5:$AT644, 0, XMATCH("NCC VTBB/NL trong nước", '6. TIẾN ĐỘ MUA HÀNG'!$A$4:$AT$4, 0)) = $B98) * (TRIM(INDEX('6. TIẾN ĐỘ MUA HÀNG'!$A$5:$AT644, 0, XMATCH("Tháng", '6. TIẾN ĐỘ MUA HÀNG'!$A$4:$AT$4, 0))) = TRIM(X$6)) * (INDEX('6. TIẾN ĐỘ MUA HÀNG'!$A$5:$AT644, 0, XMATCH("CL NGÀY NCC DỰ KIẾN - NGÀY NHẬN HÀNG", '6. TIẾN ĐỘ MUA HÀNG'!$A$4:$AT$4, 0)) &lt; 0)
)</f>
        <v>0</v>
      </c>
      <c r="Z98" s="757">
        <f t="shared" si="21"/>
        <v>0</v>
      </c>
      <c r="AA98" s="754">
        <f t="array" ref="AA98">SUMPRODUCT((TRIM(INDEX('6. TIẾN ĐỘ MUA HÀNG'!$A$5:$AT644, 0, XMATCH("NCC VTBB/NL trong nước", '6. TIẾN ĐỘ MUA HÀNG'!$A$4:$AT$4, 0))) = TRIM($B98)) * (TRIM(INDEX('6. TIẾN ĐỘ MUA HÀNG'!$A$5:$AT644, 0, XMATCH("Tháng", '6. TIẾN ĐỘ MUA HÀNG'!$A$4:$AT$4, 0))) = TRIM(AA$6)) * (INDEX('6. TIẾN ĐỘ MUA HÀNG'!$A$5:$AT644, 0, XMATCH("Mã đơn Misa", '6. TIẾN ĐỘ MUA HÀNG'!$A$4:$AT$4, 0)) &lt;&gt; ""))</f>
        <v>0</v>
      </c>
      <c r="AB98" s="754">
        <f t="array" ref="AB98">SUMPRODUCT(
  (INDEX('6. TIẾN ĐỘ MUA HÀNG'!$A$5:$AT644, 0, XMATCH("NCC VTBB/NL trong nước", '6. TIẾN ĐỘ MUA HÀNG'!$A$4:$AT$4, 0)) = $B98) * (TRIM(INDEX('6. TIẾN ĐỘ MUA HÀNG'!$A$5:$AT644, 0, XMATCH("Tháng", '6. TIẾN ĐỘ MUA HÀNG'!$A$4:$AT$4, 0))) = TRIM(AA$6)) * (INDEX('6. TIẾN ĐỘ MUA HÀNG'!$A$5:$AT644, 0, XMATCH("CL NGÀY NCC DỰ KIẾN - NGÀY NHẬN HÀNG", '6. TIẾN ĐỘ MUA HÀNG'!$A$4:$AT$4, 0)) &lt; 0)
)</f>
        <v>0</v>
      </c>
      <c r="AC98" s="755">
        <f t="shared" si="33"/>
        <v>0</v>
      </c>
      <c r="AD98" s="756">
        <f t="array" ref="AD98">SUMPRODUCT((TRIM(INDEX('6. TIẾN ĐỘ MUA HÀNG'!$A$5:$AT644, 0, XMATCH("NCC VTBB/NL trong nước", '6. TIẾN ĐỘ MUA HÀNG'!$A$4:$AT$4, 0))) = TRIM($B98)) * (TRIM(INDEX('6. TIẾN ĐỘ MUA HÀNG'!$A$5:$AT644, 0, XMATCH("Tháng", '6. TIẾN ĐỘ MUA HÀNG'!$A$4:$AT$4, 0))) = TRIM(AD$6)) * (INDEX('6. TIẾN ĐỘ MUA HÀNG'!$A$5:$AT644, 0, XMATCH("Mã đơn Misa", '6. TIẾN ĐỘ MUA HÀNG'!$A$4:$AT$4, 0)) &lt;&gt; ""))</f>
        <v>0</v>
      </c>
      <c r="AE98" s="756">
        <f t="array" ref="AE98">SUMPRODUCT(
  (INDEX('6. TIẾN ĐỘ MUA HÀNG'!$A$5:$AT644, 0, XMATCH("NCC VTBB/NL trong nước", '6. TIẾN ĐỘ MUA HÀNG'!$A$4:$AT$4, 0)) = $B98) * (TRIM(INDEX('6. TIẾN ĐỘ MUA HÀNG'!$A$5:$AT644, 0, XMATCH("Tháng", '6. TIẾN ĐỘ MUA HÀNG'!$A$4:$AT$4, 0))) = TRIM(AD$6)) * (INDEX('6. TIẾN ĐỘ MUA HÀNG'!$A$5:$AT644, 0, XMATCH("CL NGÀY NCC DỰ KIẾN - NGÀY NHẬN HÀNG", '6. TIẾN ĐỘ MUA HÀNG'!$A$4:$AT$4, 0)) &lt; 0)
)</f>
        <v>0</v>
      </c>
      <c r="AF98" s="757">
        <f t="shared" si="23"/>
        <v>0</v>
      </c>
      <c r="AG98" s="754">
        <f t="array" ref="AG98">SUMPRODUCT((TRIM(INDEX('6. TIẾN ĐỘ MUA HÀNG'!$A$5:$AT644, 0, XMATCH("NCC VTBB/NL trong nước", '6. TIẾN ĐỘ MUA HÀNG'!$A$4:$AT$4, 0))) = TRIM($B98)) * (TRIM(INDEX('6. TIẾN ĐỘ MUA HÀNG'!$A$5:$AT644, 0, XMATCH("Tháng", '6. TIẾN ĐỘ MUA HÀNG'!$A$4:$AT$4, 0))) = TRIM(AG$6)) * (INDEX('6. TIẾN ĐỘ MUA HÀNG'!$A$5:$AT644, 0, XMATCH("Mã đơn Misa", '6. TIẾN ĐỘ MUA HÀNG'!$A$4:$AT$4, 0)) &lt;&gt; ""))</f>
        <v>0</v>
      </c>
      <c r="AH98" s="754">
        <f t="array" ref="AH98">SUMPRODUCT(
  (INDEX('6. TIẾN ĐỘ MUA HÀNG'!$A$5:$AT644, 0, XMATCH("NCC VTBB/NL trong nước", '6. TIẾN ĐỘ MUA HÀNG'!$A$4:$AT$4, 0)) = $B98) * (TRIM(INDEX('6. TIẾN ĐỘ MUA HÀNG'!$A$5:$AT644, 0, XMATCH("Tháng", '6. TIẾN ĐỘ MUA HÀNG'!$A$4:$AT$4, 0))) = TRIM(AG$6)) * (INDEX('6. TIẾN ĐỘ MUA HÀNG'!$A$5:$AT644, 0, XMATCH("CL NGÀY NCC DỰ KIẾN - NGÀY NHẬN HÀNG", '6. TIẾN ĐỘ MUA HÀNG'!$A$4:$AT$4, 0)) &lt; 0)
)</f>
        <v>0</v>
      </c>
      <c r="AI98" s="755">
        <f t="shared" si="34"/>
        <v>0</v>
      </c>
      <c r="AJ98" s="756">
        <f t="array" ref="AJ98">SUMPRODUCT((TRIM(INDEX('6. TIẾN ĐỘ MUA HÀNG'!$A$5:$AT644, 0, XMATCH("NCC VTBB/NL trong nước", '6. TIẾN ĐỘ MUA HÀNG'!$A$4:$AT$4, 0))) = TRIM($B98)) * (TRIM(INDEX('6. TIẾN ĐỘ MUA HÀNG'!$A$5:$AT644, 0, XMATCH("Tháng", '6. TIẾN ĐỘ MUA HÀNG'!$A$4:$AT$4, 0))) = TRIM(AJ$6)) * (INDEX('6. TIẾN ĐỘ MUA HÀNG'!$A$5:$AT644, 0, XMATCH("Mã đơn Misa", '6. TIẾN ĐỘ MUA HÀNG'!$A$4:$AT$4, 0)) &lt;&gt; ""))</f>
        <v>0</v>
      </c>
      <c r="AK98" s="756">
        <f t="array" ref="AK98">SUMPRODUCT(
  (INDEX('6. TIẾN ĐỘ MUA HÀNG'!$A$5:$AT644, 0, XMATCH("NCC VTBB/NL trong nước", '6. TIẾN ĐỘ MUA HÀNG'!$A$4:$AT$4, 0)) = $B98) * (TRIM(INDEX('6. TIẾN ĐỘ MUA HÀNG'!$A$5:$AT644, 0, XMATCH("Tháng", '6. TIẾN ĐỘ MUA HÀNG'!$A$4:$AT$4, 0))) = TRIM(AJ$6)) * (INDEX('6. TIẾN ĐỘ MUA HÀNG'!$A$5:$AT644, 0, XMATCH("CL NGÀY NCC DỰ KIẾN - NGÀY NHẬN HÀNG", '6. TIẾN ĐỘ MUA HÀNG'!$A$4:$AT$4, 0)) &lt; 0)
)</f>
        <v>0</v>
      </c>
      <c r="AL98" s="757">
        <f t="shared" si="25"/>
        <v>0</v>
      </c>
      <c r="AM98" s="726">
        <f t="shared" si="27"/>
        <v>0</v>
      </c>
      <c r="AN98" s="726">
        <f t="shared" si="28"/>
        <v>0</v>
      </c>
      <c r="AO98" s="727">
        <f t="shared" si="26"/>
        <v>0</v>
      </c>
    </row>
    <row r="99">
      <c r="A99" s="612">
        <v>91.0</v>
      </c>
      <c r="B99" s="624" t="str">
        <f>IFERROR(__xludf.DUMMYFUNCTION("""COMPUTED_VALUE"""),"Lưu Xuân Giang")</f>
        <v>Lưu Xuân Giang</v>
      </c>
      <c r="C99" s="754">
        <f t="array" ref="C99">SUMPRODUCT((TRIM(INDEX('6. TIẾN ĐỘ MUA HÀNG'!$A$5:$AT644, 0, XMATCH("NCC VTBB/NL trong nước", '6. TIẾN ĐỘ MUA HÀNG'!$A$4:$AT$4, 0))) = TRIM($B99)) * (TRIM(INDEX('6. TIẾN ĐỘ MUA HÀNG'!$A$5:$AT644, 0, XMATCH("Tháng", '6. TIẾN ĐỘ MUA HÀNG'!$A$4:$AT$4, 0))) = TRIM(C$6)) * (INDEX('6. TIẾN ĐỘ MUA HÀNG'!$A$5:$AT644, 0, XMATCH("Mã đơn Misa", '6. TIẾN ĐỘ MUA HÀNG'!$A$4:$AT$4, 0)) &lt;&gt; ""))</f>
        <v>0</v>
      </c>
      <c r="D99" s="754">
        <f t="array" ref="D99">SUMPRODUCT(
  (INDEX('6. TIẾN ĐỘ MUA HÀNG'!$A$5:$AT644, 0, XMATCH("NCC VTBB/NL trong nước", '6. TIẾN ĐỘ MUA HÀNG'!$A$4:$AT$4, 0)) = $B99) * (TRIM(INDEX('6. TIẾN ĐỘ MUA HÀNG'!$A$5:$AT644, 0, XMATCH("Tháng", '6. TIẾN ĐỘ MUA HÀNG'!$A$4:$AT$4, 0))) = TRIM(C$6)) * (INDEX('6. TIẾN ĐỘ MUA HÀNG'!$A$5:$AT644, 0, XMATCH("CL NGÀY NCC DỰ KIẾN - NGÀY NHẬN HÀNG", '6. TIẾN ĐỘ MUA HÀNG'!$A$4:$AT$4, 0)) &lt; 0)
)</f>
        <v>0</v>
      </c>
      <c r="E99" s="755">
        <f t="shared" si="29"/>
        <v>0</v>
      </c>
      <c r="F99" s="756">
        <f t="array" ref="F99">SUMPRODUCT((TRIM(INDEX('6. TIẾN ĐỘ MUA HÀNG'!$A$5:$AT644, 0, XMATCH("NCC VTBB/NL trong nước", '6. TIẾN ĐỘ MUA HÀNG'!$A$4:$AT$4, 0))) = TRIM($B99)) * (TRIM(INDEX('6. TIẾN ĐỘ MUA HÀNG'!$A$5:$AT644, 0, XMATCH("Tháng", '6. TIẾN ĐỘ MUA HÀNG'!$A$4:$AT$4, 0))) = TRIM(F$6)) * (INDEX('6. TIẾN ĐỘ MUA HÀNG'!$A$5:$AT644, 0, XMATCH("Mã đơn Misa", '6. TIẾN ĐỘ MUA HÀNG'!$A$4:$AT$4, 0)) &lt;&gt; ""))</f>
        <v>0</v>
      </c>
      <c r="G99" s="756">
        <f t="array" ref="G99">SUMPRODUCT(
  (INDEX('6. TIẾN ĐỘ MUA HÀNG'!$A$5:$AT644, 0, XMATCH("NCC VTBB/NL trong nước", '6. TIẾN ĐỘ MUA HÀNG'!$A$4:$AT$4, 0)) = $B99) * (TRIM(INDEX('6. TIẾN ĐỘ MUA HÀNG'!$A$5:$AT644, 0, XMATCH("Tháng", '6. TIẾN ĐỘ MUA HÀNG'!$A$4:$AT$4, 0))) = TRIM(F$6)) * (INDEX('6. TIẾN ĐỘ MUA HÀNG'!$A$5:$AT644, 0, XMATCH("CL NGÀY NCC DỰ KIẾN - NGÀY NHẬN HÀNG", '6. TIẾN ĐỘ MUA HÀNG'!$A$4:$AT$4, 0)) &lt; 0)
)</f>
        <v>0</v>
      </c>
      <c r="H99" s="757">
        <f t="shared" si="15"/>
        <v>0</v>
      </c>
      <c r="I99" s="754">
        <f t="array" ref="I99">SUMPRODUCT((TRIM(INDEX('6. TIẾN ĐỘ MUA HÀNG'!$A$5:$AT644, 0, XMATCH("NCC VTBB/NL trong nước", '6. TIẾN ĐỘ MUA HÀNG'!$A$4:$AT$4, 0))) = TRIM($B99)) * (TRIM(INDEX('6. TIẾN ĐỘ MUA HÀNG'!$A$5:$AT644, 0, XMATCH("Tháng", '6. TIẾN ĐỘ MUA HÀNG'!$A$4:$AT$4, 0))) = TRIM(I$6)) * (INDEX('6. TIẾN ĐỘ MUA HÀNG'!$A$5:$AT644, 0, XMATCH("Mã đơn Misa", '6. TIẾN ĐỘ MUA HÀNG'!$A$4:$AT$4, 0)) &lt;&gt; ""))</f>
        <v>0</v>
      </c>
      <c r="J99" s="754">
        <f t="array" ref="J99">SUMPRODUCT(
  (INDEX('6. TIẾN ĐỘ MUA HÀNG'!$A$5:$AT644, 0, XMATCH("NCC VTBB/NL trong nước", '6. TIẾN ĐỘ MUA HÀNG'!$A$4:$AT$4, 0)) = $B99) * (TRIM(INDEX('6. TIẾN ĐỘ MUA HÀNG'!$A$5:$AT644, 0, XMATCH("Tháng", '6. TIẾN ĐỘ MUA HÀNG'!$A$4:$AT$4, 0))) = TRIM(I$6)) * (INDEX('6. TIẾN ĐỘ MUA HÀNG'!$A$5:$AT644, 0, XMATCH("CL NGÀY NCC DỰ KIẾN - NGÀY NHẬN HÀNG", '6. TIẾN ĐỘ MUA HÀNG'!$A$4:$AT$4, 0)) &lt; 0)
)</f>
        <v>0</v>
      </c>
      <c r="K99" s="755">
        <f t="shared" si="30"/>
        <v>0</v>
      </c>
      <c r="L99" s="756">
        <f t="array" ref="L99">SUMPRODUCT((TRIM(INDEX('6. TIẾN ĐỘ MUA HÀNG'!$A$5:$AT644, 0, XMATCH("NCC VTBB/NL trong nước", '6. TIẾN ĐỘ MUA HÀNG'!$A$4:$AT$4, 0))) = TRIM($B99)) * (TRIM(INDEX('6. TIẾN ĐỘ MUA HÀNG'!$A$5:$AT644, 0, XMATCH("Tháng", '6. TIẾN ĐỘ MUA HÀNG'!$A$4:$AT$4, 0))) = TRIM(L$6)) * (INDEX('6. TIẾN ĐỘ MUA HÀNG'!$A$5:$AT644, 0, XMATCH("Mã đơn Misa", '6. TIẾN ĐỘ MUA HÀNG'!$A$4:$AT$4, 0)) &lt;&gt; ""))</f>
        <v>0</v>
      </c>
      <c r="M99" s="756">
        <f t="array" ref="M99">SUMPRODUCT(
  (INDEX('6. TIẾN ĐỘ MUA HÀNG'!$A$5:$AT644, 0, XMATCH("NCC VTBB/NL trong nước", '6. TIẾN ĐỘ MUA HÀNG'!$A$4:$AT$4, 0)) = $B99) * (TRIM(INDEX('6. TIẾN ĐỘ MUA HÀNG'!$A$5:$AT644, 0, XMATCH("Tháng", '6. TIẾN ĐỘ MUA HÀNG'!$A$4:$AT$4, 0))) = TRIM(L$6)) * (INDEX('6. TIẾN ĐỘ MUA HÀNG'!$A$5:$AT644, 0, XMATCH("CL NGÀY NCC DỰ KIẾN - NGÀY NHẬN HÀNG", '6. TIẾN ĐỘ MUA HÀNG'!$A$4:$AT$4, 0)) &lt; 0)
)</f>
        <v>0</v>
      </c>
      <c r="N99" s="757">
        <f t="shared" si="17"/>
        <v>0</v>
      </c>
      <c r="O99" s="754">
        <f t="array" ref="O99">SUMPRODUCT((TRIM(INDEX('6. TIẾN ĐỘ MUA HÀNG'!$A$5:$AT644, 0, XMATCH("NCC VTBB/NL trong nước", '6. TIẾN ĐỘ MUA HÀNG'!$A$4:$AT$4, 0))) = TRIM($B99)) * (TRIM(INDEX('6. TIẾN ĐỘ MUA HÀNG'!$A$5:$AT644, 0, XMATCH("Tháng", '6. TIẾN ĐỘ MUA HÀNG'!$A$4:$AT$4, 0))) = TRIM(O$6)) * (INDEX('6. TIẾN ĐỘ MUA HÀNG'!$A$5:$AT644, 0, XMATCH("Mã đơn Misa", '6. TIẾN ĐỘ MUA HÀNG'!$A$4:$AT$4, 0)) &lt;&gt; ""))</f>
        <v>0</v>
      </c>
      <c r="P99" s="754">
        <f t="array" ref="P99">SUMPRODUCT(
  (INDEX('6. TIẾN ĐỘ MUA HÀNG'!$A$5:$AT644, 0, XMATCH("NCC VTBB/NL trong nước", '6. TIẾN ĐỘ MUA HÀNG'!$A$4:$AT$4, 0)) = $B99) * (TRIM(INDEX('6. TIẾN ĐỘ MUA HÀNG'!$A$5:$AT644, 0, XMATCH("Tháng", '6. TIẾN ĐỘ MUA HÀNG'!$A$4:$AT$4, 0))) = TRIM(O$6)) * (INDEX('6. TIẾN ĐỘ MUA HÀNG'!$A$5:$AT644, 0, XMATCH("CL NGÀY NCC DỰ KIẾN - NGÀY NHẬN HÀNG", '6. TIẾN ĐỘ MUA HÀNG'!$A$4:$AT$4, 0)) &lt; 0)
)</f>
        <v>0</v>
      </c>
      <c r="Q99" s="755">
        <f t="shared" si="31"/>
        <v>0</v>
      </c>
      <c r="R99" s="756">
        <f t="array" ref="R99">SUMPRODUCT((TRIM(INDEX('6. TIẾN ĐỘ MUA HÀNG'!$A$5:$AT644, 0, XMATCH("NCC VTBB/NL trong nước", '6. TIẾN ĐỘ MUA HÀNG'!$A$4:$AT$4, 0))) = TRIM($B99)) * (TRIM(INDEX('6. TIẾN ĐỘ MUA HÀNG'!$A$5:$AT644, 0, XMATCH("Tháng", '6. TIẾN ĐỘ MUA HÀNG'!$A$4:$AT$4, 0))) = TRIM(R$6)) * (INDEX('6. TIẾN ĐỘ MUA HÀNG'!$A$5:$AT644, 0, XMATCH("Mã đơn Misa", '6. TIẾN ĐỘ MUA HÀNG'!$A$4:$AT$4, 0)) &lt;&gt; ""))</f>
        <v>0</v>
      </c>
      <c r="S99" s="756">
        <f t="array" ref="S99">SUMPRODUCT(
  (INDEX('6. TIẾN ĐỘ MUA HÀNG'!$A$5:$AT644, 0, XMATCH("NCC VTBB/NL trong nước", '6. TIẾN ĐỘ MUA HÀNG'!$A$4:$AT$4, 0)) = $B99) * (TRIM(INDEX('6. TIẾN ĐỘ MUA HÀNG'!$A$5:$AT644, 0, XMATCH("Tháng", '6. TIẾN ĐỘ MUA HÀNG'!$A$4:$AT$4, 0))) = TRIM(R$6)) * (INDEX('6. TIẾN ĐỘ MUA HÀNG'!$A$5:$AT644, 0, XMATCH("CL NGÀY NCC DỰ KIẾN - NGÀY NHẬN HÀNG", '6. TIẾN ĐỘ MUA HÀNG'!$A$4:$AT$4, 0)) &lt; 0)
)</f>
        <v>0</v>
      </c>
      <c r="T99" s="757">
        <f t="shared" si="19"/>
        <v>0</v>
      </c>
      <c r="U99" s="754">
        <f t="array" ref="U99">SUMPRODUCT((TRIM(INDEX('6. TIẾN ĐỘ MUA HÀNG'!$A$5:$AT644, 0, XMATCH("NCC VTBB/NL trong nước", '6. TIẾN ĐỘ MUA HÀNG'!$A$4:$AT$4, 0))) = TRIM($B99)) * (TRIM(INDEX('6. TIẾN ĐỘ MUA HÀNG'!$A$5:$AT644, 0, XMATCH("Tháng", '6. TIẾN ĐỘ MUA HÀNG'!$A$4:$AT$4, 0))) = TRIM(U$6)) * (INDEX('6. TIẾN ĐỘ MUA HÀNG'!$A$5:$AT644, 0, XMATCH("Mã đơn Misa", '6. TIẾN ĐỘ MUA HÀNG'!$A$4:$AT$4, 0)) &lt;&gt; ""))</f>
        <v>0</v>
      </c>
      <c r="V99" s="754">
        <f t="array" ref="V99">SUMPRODUCT(
  (INDEX('6. TIẾN ĐỘ MUA HÀNG'!$A$5:$AT644, 0, XMATCH("NCC VTBB/NL trong nước", '6. TIẾN ĐỘ MUA HÀNG'!$A$4:$AT$4, 0)) = $B99) * (TRIM(INDEX('6. TIẾN ĐỘ MUA HÀNG'!$A$5:$AT644, 0, XMATCH("Tháng", '6. TIẾN ĐỘ MUA HÀNG'!$A$4:$AT$4, 0))) = TRIM(U$6)) * (INDEX('6. TIẾN ĐỘ MUA HÀNG'!$A$5:$AT644, 0, XMATCH("CL NGÀY NCC DỰ KIẾN - NGÀY NHẬN HÀNG", '6. TIẾN ĐỘ MUA HÀNG'!$A$4:$AT$4, 0)) &lt; 0)
)</f>
        <v>0</v>
      </c>
      <c r="W99" s="755">
        <f t="shared" si="32"/>
        <v>0</v>
      </c>
      <c r="X99" s="756">
        <f t="array" ref="X99">SUMPRODUCT((TRIM(INDEX('6. TIẾN ĐỘ MUA HÀNG'!$A$5:$AT644, 0, XMATCH("NCC VTBB/NL trong nước", '6. TIẾN ĐỘ MUA HÀNG'!$A$4:$AT$4, 0))) = TRIM($B99)) * (TRIM(INDEX('6. TIẾN ĐỘ MUA HÀNG'!$A$5:$AT644, 0, XMATCH("Tháng", '6. TIẾN ĐỘ MUA HÀNG'!$A$4:$AT$4, 0))) = TRIM(X$6)) * (INDEX('6. TIẾN ĐỘ MUA HÀNG'!$A$5:$AT644, 0, XMATCH("Mã đơn Misa", '6. TIẾN ĐỘ MUA HÀNG'!$A$4:$AT$4, 0)) &lt;&gt; ""))</f>
        <v>0</v>
      </c>
      <c r="Y99" s="756">
        <f t="array" ref="Y99">SUMPRODUCT(
  (INDEX('6. TIẾN ĐỘ MUA HÀNG'!$A$5:$AT644, 0, XMATCH("NCC VTBB/NL trong nước", '6. TIẾN ĐỘ MUA HÀNG'!$A$4:$AT$4, 0)) = $B99) * (TRIM(INDEX('6. TIẾN ĐỘ MUA HÀNG'!$A$5:$AT644, 0, XMATCH("Tháng", '6. TIẾN ĐỘ MUA HÀNG'!$A$4:$AT$4, 0))) = TRIM(X$6)) * (INDEX('6. TIẾN ĐỘ MUA HÀNG'!$A$5:$AT644, 0, XMATCH("CL NGÀY NCC DỰ KIẾN - NGÀY NHẬN HÀNG", '6. TIẾN ĐỘ MUA HÀNG'!$A$4:$AT$4, 0)) &lt; 0)
)</f>
        <v>0</v>
      </c>
      <c r="Z99" s="757">
        <f t="shared" si="21"/>
        <v>0</v>
      </c>
      <c r="AA99" s="754">
        <f t="array" ref="AA99">SUMPRODUCT((TRIM(INDEX('6. TIẾN ĐỘ MUA HÀNG'!$A$5:$AT644, 0, XMATCH("NCC VTBB/NL trong nước", '6. TIẾN ĐỘ MUA HÀNG'!$A$4:$AT$4, 0))) = TRIM($B99)) * (TRIM(INDEX('6. TIẾN ĐỘ MUA HÀNG'!$A$5:$AT644, 0, XMATCH("Tháng", '6. TIẾN ĐỘ MUA HÀNG'!$A$4:$AT$4, 0))) = TRIM(AA$6)) * (INDEX('6. TIẾN ĐỘ MUA HÀNG'!$A$5:$AT644, 0, XMATCH("Mã đơn Misa", '6. TIẾN ĐỘ MUA HÀNG'!$A$4:$AT$4, 0)) &lt;&gt; ""))</f>
        <v>0</v>
      </c>
      <c r="AB99" s="754">
        <f t="array" ref="AB99">SUMPRODUCT(
  (INDEX('6. TIẾN ĐỘ MUA HÀNG'!$A$5:$AT644, 0, XMATCH("NCC VTBB/NL trong nước", '6. TIẾN ĐỘ MUA HÀNG'!$A$4:$AT$4, 0)) = $B99) * (TRIM(INDEX('6. TIẾN ĐỘ MUA HÀNG'!$A$5:$AT644, 0, XMATCH("Tháng", '6. TIẾN ĐỘ MUA HÀNG'!$A$4:$AT$4, 0))) = TRIM(AA$6)) * (INDEX('6. TIẾN ĐỘ MUA HÀNG'!$A$5:$AT644, 0, XMATCH("CL NGÀY NCC DỰ KIẾN - NGÀY NHẬN HÀNG", '6. TIẾN ĐỘ MUA HÀNG'!$A$4:$AT$4, 0)) &lt; 0)
)</f>
        <v>0</v>
      </c>
      <c r="AC99" s="755">
        <f t="shared" si="33"/>
        <v>0</v>
      </c>
      <c r="AD99" s="756">
        <f t="array" ref="AD99">SUMPRODUCT((TRIM(INDEX('6. TIẾN ĐỘ MUA HÀNG'!$A$5:$AT644, 0, XMATCH("NCC VTBB/NL trong nước", '6. TIẾN ĐỘ MUA HÀNG'!$A$4:$AT$4, 0))) = TRIM($B99)) * (TRIM(INDEX('6. TIẾN ĐỘ MUA HÀNG'!$A$5:$AT644, 0, XMATCH("Tháng", '6. TIẾN ĐỘ MUA HÀNG'!$A$4:$AT$4, 0))) = TRIM(AD$6)) * (INDEX('6. TIẾN ĐỘ MUA HÀNG'!$A$5:$AT644, 0, XMATCH("Mã đơn Misa", '6. TIẾN ĐỘ MUA HÀNG'!$A$4:$AT$4, 0)) &lt;&gt; ""))</f>
        <v>0</v>
      </c>
      <c r="AE99" s="756">
        <f t="array" ref="AE99">SUMPRODUCT(
  (INDEX('6. TIẾN ĐỘ MUA HÀNG'!$A$5:$AT644, 0, XMATCH("NCC VTBB/NL trong nước", '6. TIẾN ĐỘ MUA HÀNG'!$A$4:$AT$4, 0)) = $B99) * (TRIM(INDEX('6. TIẾN ĐỘ MUA HÀNG'!$A$5:$AT644, 0, XMATCH("Tháng", '6. TIẾN ĐỘ MUA HÀNG'!$A$4:$AT$4, 0))) = TRIM(AD$6)) * (INDEX('6. TIẾN ĐỘ MUA HÀNG'!$A$5:$AT644, 0, XMATCH("CL NGÀY NCC DỰ KIẾN - NGÀY NHẬN HÀNG", '6. TIẾN ĐỘ MUA HÀNG'!$A$4:$AT$4, 0)) &lt; 0)
)</f>
        <v>0</v>
      </c>
      <c r="AF99" s="757">
        <f t="shared" si="23"/>
        <v>0</v>
      </c>
      <c r="AG99" s="754">
        <f t="array" ref="AG99">SUMPRODUCT((TRIM(INDEX('6. TIẾN ĐỘ MUA HÀNG'!$A$5:$AT644, 0, XMATCH("NCC VTBB/NL trong nước", '6. TIẾN ĐỘ MUA HÀNG'!$A$4:$AT$4, 0))) = TRIM($B99)) * (TRIM(INDEX('6. TIẾN ĐỘ MUA HÀNG'!$A$5:$AT644, 0, XMATCH("Tháng", '6. TIẾN ĐỘ MUA HÀNG'!$A$4:$AT$4, 0))) = TRIM(AG$6)) * (INDEX('6. TIẾN ĐỘ MUA HÀNG'!$A$5:$AT644, 0, XMATCH("Mã đơn Misa", '6. TIẾN ĐỘ MUA HÀNG'!$A$4:$AT$4, 0)) &lt;&gt; ""))</f>
        <v>0</v>
      </c>
      <c r="AH99" s="754">
        <f t="array" ref="AH99">SUMPRODUCT(
  (INDEX('6. TIẾN ĐỘ MUA HÀNG'!$A$5:$AT644, 0, XMATCH("NCC VTBB/NL trong nước", '6. TIẾN ĐỘ MUA HÀNG'!$A$4:$AT$4, 0)) = $B99) * (TRIM(INDEX('6. TIẾN ĐỘ MUA HÀNG'!$A$5:$AT644, 0, XMATCH("Tháng", '6. TIẾN ĐỘ MUA HÀNG'!$A$4:$AT$4, 0))) = TRIM(AG$6)) * (INDEX('6. TIẾN ĐỘ MUA HÀNG'!$A$5:$AT644, 0, XMATCH("CL NGÀY NCC DỰ KIẾN - NGÀY NHẬN HÀNG", '6. TIẾN ĐỘ MUA HÀNG'!$A$4:$AT$4, 0)) &lt; 0)
)</f>
        <v>0</v>
      </c>
      <c r="AI99" s="755">
        <f t="shared" si="34"/>
        <v>0</v>
      </c>
      <c r="AJ99" s="756">
        <f t="array" ref="AJ99">SUMPRODUCT((TRIM(INDEX('6. TIẾN ĐỘ MUA HÀNG'!$A$5:$AT644, 0, XMATCH("NCC VTBB/NL trong nước", '6. TIẾN ĐỘ MUA HÀNG'!$A$4:$AT$4, 0))) = TRIM($B99)) * (TRIM(INDEX('6. TIẾN ĐỘ MUA HÀNG'!$A$5:$AT644, 0, XMATCH("Tháng", '6. TIẾN ĐỘ MUA HÀNG'!$A$4:$AT$4, 0))) = TRIM(AJ$6)) * (INDEX('6. TIẾN ĐỘ MUA HÀNG'!$A$5:$AT644, 0, XMATCH("Mã đơn Misa", '6. TIẾN ĐỘ MUA HÀNG'!$A$4:$AT$4, 0)) &lt;&gt; ""))</f>
        <v>0</v>
      </c>
      <c r="AK99" s="756">
        <f t="array" ref="AK99">SUMPRODUCT(
  (INDEX('6. TIẾN ĐỘ MUA HÀNG'!$A$5:$AT644, 0, XMATCH("NCC VTBB/NL trong nước", '6. TIẾN ĐỘ MUA HÀNG'!$A$4:$AT$4, 0)) = $B99) * (TRIM(INDEX('6. TIẾN ĐỘ MUA HÀNG'!$A$5:$AT644, 0, XMATCH("Tháng", '6. TIẾN ĐỘ MUA HÀNG'!$A$4:$AT$4, 0))) = TRIM(AJ$6)) * (INDEX('6. TIẾN ĐỘ MUA HÀNG'!$A$5:$AT644, 0, XMATCH("CL NGÀY NCC DỰ KIẾN - NGÀY NHẬN HÀNG", '6. TIẾN ĐỘ MUA HÀNG'!$A$4:$AT$4, 0)) &lt; 0)
)</f>
        <v>0</v>
      </c>
      <c r="AL99" s="757">
        <f t="shared" si="25"/>
        <v>0</v>
      </c>
      <c r="AM99" s="726">
        <f t="shared" si="27"/>
        <v>0</v>
      </c>
      <c r="AN99" s="726">
        <f t="shared" si="28"/>
        <v>0</v>
      </c>
      <c r="AO99" s="727">
        <f t="shared" si="26"/>
        <v>0</v>
      </c>
    </row>
    <row r="100">
      <c r="A100" s="612">
        <v>92.0</v>
      </c>
      <c r="B100" s="624" t="str">
        <f>IFERROR(__xludf.DUMMYFUNCTION("""COMPUTED_VALUE"""),"In Tổng Hợp Cần Thơ")</f>
        <v>In Tổng Hợp Cần Thơ</v>
      </c>
      <c r="C100" s="754">
        <f t="array" ref="C100">SUMPRODUCT((TRIM(INDEX('6. TIẾN ĐỘ MUA HÀNG'!$A$5:$AT644, 0, XMATCH("NCC VTBB/NL trong nước", '6. TIẾN ĐỘ MUA HÀNG'!$A$4:$AT$4, 0))) = TRIM($B100)) * (TRIM(INDEX('6. TIẾN ĐỘ MUA HÀNG'!$A$5:$AT644, 0, XMATCH("Tháng", '6. TIẾN ĐỘ MUA HÀNG'!$A$4:$AT$4, 0))) = TRIM(C$6)) * (INDEX('6. TIẾN ĐỘ MUA HÀNG'!$A$5:$AT644, 0, XMATCH("Mã đơn Misa", '6. TIẾN ĐỘ MUA HÀNG'!$A$4:$AT$4, 0)) &lt;&gt; ""))</f>
        <v>0</v>
      </c>
      <c r="D100" s="754">
        <f t="array" ref="D100">SUMPRODUCT(
  (INDEX('6. TIẾN ĐỘ MUA HÀNG'!$A$5:$AT644, 0, XMATCH("NCC VTBB/NL trong nước", '6. TIẾN ĐỘ MUA HÀNG'!$A$4:$AT$4, 0)) = $B100) * (TRIM(INDEX('6. TIẾN ĐỘ MUA HÀNG'!$A$5:$AT644, 0, XMATCH("Tháng", '6. TIẾN ĐỘ MUA HÀNG'!$A$4:$AT$4, 0))) = TRIM(C$6)) * (INDEX('6. TIẾN ĐỘ MUA HÀNG'!$A$5:$AT644, 0, XMATCH("CL NGÀY NCC DỰ KIẾN - NGÀY NHẬN HÀNG", '6. TIẾN ĐỘ MUA HÀNG'!$A$4:$AT$4, 0)) &lt; 0)
)</f>
        <v>0</v>
      </c>
      <c r="E100" s="755">
        <f t="shared" si="29"/>
        <v>0</v>
      </c>
      <c r="F100" s="756">
        <f t="array" ref="F100">SUMPRODUCT((TRIM(INDEX('6. TIẾN ĐỘ MUA HÀNG'!$A$5:$AT644, 0, XMATCH("NCC VTBB/NL trong nước", '6. TIẾN ĐỘ MUA HÀNG'!$A$4:$AT$4, 0))) = TRIM($B100)) * (TRIM(INDEX('6. TIẾN ĐỘ MUA HÀNG'!$A$5:$AT644, 0, XMATCH("Tháng", '6. TIẾN ĐỘ MUA HÀNG'!$A$4:$AT$4, 0))) = TRIM(F$6)) * (INDEX('6. TIẾN ĐỘ MUA HÀNG'!$A$5:$AT644, 0, XMATCH("Mã đơn Misa", '6. TIẾN ĐỘ MUA HÀNG'!$A$4:$AT$4, 0)) &lt;&gt; ""))</f>
        <v>0</v>
      </c>
      <c r="G100" s="756">
        <f t="array" ref="G100">SUMPRODUCT(
  (INDEX('6. TIẾN ĐỘ MUA HÀNG'!$A$5:$AT644, 0, XMATCH("NCC VTBB/NL trong nước", '6. TIẾN ĐỘ MUA HÀNG'!$A$4:$AT$4, 0)) = $B100) * (TRIM(INDEX('6. TIẾN ĐỘ MUA HÀNG'!$A$5:$AT644, 0, XMATCH("Tháng", '6. TIẾN ĐỘ MUA HÀNG'!$A$4:$AT$4, 0))) = TRIM(F$6)) * (INDEX('6. TIẾN ĐỘ MUA HÀNG'!$A$5:$AT644, 0, XMATCH("CL NGÀY NCC DỰ KIẾN - NGÀY NHẬN HÀNG", '6. TIẾN ĐỘ MUA HÀNG'!$A$4:$AT$4, 0)) &lt; 0)
)</f>
        <v>0</v>
      </c>
      <c r="H100" s="757">
        <f t="shared" si="15"/>
        <v>0</v>
      </c>
      <c r="I100" s="754">
        <f t="array" ref="I100">SUMPRODUCT((TRIM(INDEX('6. TIẾN ĐỘ MUA HÀNG'!$A$5:$AT644, 0, XMATCH("NCC VTBB/NL trong nước", '6. TIẾN ĐỘ MUA HÀNG'!$A$4:$AT$4, 0))) = TRIM($B100)) * (TRIM(INDEX('6. TIẾN ĐỘ MUA HÀNG'!$A$5:$AT644, 0, XMATCH("Tháng", '6. TIẾN ĐỘ MUA HÀNG'!$A$4:$AT$4, 0))) = TRIM(I$6)) * (INDEX('6. TIẾN ĐỘ MUA HÀNG'!$A$5:$AT644, 0, XMATCH("Mã đơn Misa", '6. TIẾN ĐỘ MUA HÀNG'!$A$4:$AT$4, 0)) &lt;&gt; ""))</f>
        <v>0</v>
      </c>
      <c r="J100" s="754">
        <f t="array" ref="J100">SUMPRODUCT(
  (INDEX('6. TIẾN ĐỘ MUA HÀNG'!$A$5:$AT644, 0, XMATCH("NCC VTBB/NL trong nước", '6. TIẾN ĐỘ MUA HÀNG'!$A$4:$AT$4, 0)) = $B100) * (TRIM(INDEX('6. TIẾN ĐỘ MUA HÀNG'!$A$5:$AT644, 0, XMATCH("Tháng", '6. TIẾN ĐỘ MUA HÀNG'!$A$4:$AT$4, 0))) = TRIM(I$6)) * (INDEX('6. TIẾN ĐỘ MUA HÀNG'!$A$5:$AT644, 0, XMATCH("CL NGÀY NCC DỰ KIẾN - NGÀY NHẬN HÀNG", '6. TIẾN ĐỘ MUA HÀNG'!$A$4:$AT$4, 0)) &lt; 0)
)</f>
        <v>0</v>
      </c>
      <c r="K100" s="755">
        <f t="shared" si="30"/>
        <v>0</v>
      </c>
      <c r="L100" s="756">
        <f t="array" ref="L100">SUMPRODUCT((TRIM(INDEX('6. TIẾN ĐỘ MUA HÀNG'!$A$5:$AT644, 0, XMATCH("NCC VTBB/NL trong nước", '6. TIẾN ĐỘ MUA HÀNG'!$A$4:$AT$4, 0))) = TRIM($B100)) * (TRIM(INDEX('6. TIẾN ĐỘ MUA HÀNG'!$A$5:$AT644, 0, XMATCH("Tháng", '6. TIẾN ĐỘ MUA HÀNG'!$A$4:$AT$4, 0))) = TRIM(L$6)) * (INDEX('6. TIẾN ĐỘ MUA HÀNG'!$A$5:$AT644, 0, XMATCH("Mã đơn Misa", '6. TIẾN ĐỘ MUA HÀNG'!$A$4:$AT$4, 0)) &lt;&gt; ""))</f>
        <v>0</v>
      </c>
      <c r="M100" s="756">
        <f t="array" ref="M100">SUMPRODUCT(
  (INDEX('6. TIẾN ĐỘ MUA HÀNG'!$A$5:$AT644, 0, XMATCH("NCC VTBB/NL trong nước", '6. TIẾN ĐỘ MUA HÀNG'!$A$4:$AT$4, 0)) = $B100) * (TRIM(INDEX('6. TIẾN ĐỘ MUA HÀNG'!$A$5:$AT644, 0, XMATCH("Tháng", '6. TIẾN ĐỘ MUA HÀNG'!$A$4:$AT$4, 0))) = TRIM(L$6)) * (INDEX('6. TIẾN ĐỘ MUA HÀNG'!$A$5:$AT644, 0, XMATCH("CL NGÀY NCC DỰ KIẾN - NGÀY NHẬN HÀNG", '6. TIẾN ĐỘ MUA HÀNG'!$A$4:$AT$4, 0)) &lt; 0)
)</f>
        <v>0</v>
      </c>
      <c r="N100" s="757">
        <f t="shared" si="17"/>
        <v>0</v>
      </c>
      <c r="O100" s="754">
        <f t="array" ref="O100">SUMPRODUCT((TRIM(INDEX('6. TIẾN ĐỘ MUA HÀNG'!$A$5:$AT644, 0, XMATCH("NCC VTBB/NL trong nước", '6. TIẾN ĐỘ MUA HÀNG'!$A$4:$AT$4, 0))) = TRIM($B100)) * (TRIM(INDEX('6. TIẾN ĐỘ MUA HÀNG'!$A$5:$AT644, 0, XMATCH("Tháng", '6. TIẾN ĐỘ MUA HÀNG'!$A$4:$AT$4, 0))) = TRIM(O$6)) * (INDEX('6. TIẾN ĐỘ MUA HÀNG'!$A$5:$AT644, 0, XMATCH("Mã đơn Misa", '6. TIẾN ĐỘ MUA HÀNG'!$A$4:$AT$4, 0)) &lt;&gt; ""))</f>
        <v>0</v>
      </c>
      <c r="P100" s="754">
        <f t="array" ref="P100">SUMPRODUCT(
  (INDEX('6. TIẾN ĐỘ MUA HÀNG'!$A$5:$AT644, 0, XMATCH("NCC VTBB/NL trong nước", '6. TIẾN ĐỘ MUA HÀNG'!$A$4:$AT$4, 0)) = $B100) * (TRIM(INDEX('6. TIẾN ĐỘ MUA HÀNG'!$A$5:$AT644, 0, XMATCH("Tháng", '6. TIẾN ĐỘ MUA HÀNG'!$A$4:$AT$4, 0))) = TRIM(O$6)) * (INDEX('6. TIẾN ĐỘ MUA HÀNG'!$A$5:$AT644, 0, XMATCH("CL NGÀY NCC DỰ KIẾN - NGÀY NHẬN HÀNG", '6. TIẾN ĐỘ MUA HÀNG'!$A$4:$AT$4, 0)) &lt; 0)
)</f>
        <v>0</v>
      </c>
      <c r="Q100" s="755">
        <f t="shared" si="31"/>
        <v>0</v>
      </c>
      <c r="R100" s="756">
        <f t="array" ref="R100">SUMPRODUCT((TRIM(INDEX('6. TIẾN ĐỘ MUA HÀNG'!$A$5:$AT644, 0, XMATCH("NCC VTBB/NL trong nước", '6. TIẾN ĐỘ MUA HÀNG'!$A$4:$AT$4, 0))) = TRIM($B100)) * (TRIM(INDEX('6. TIẾN ĐỘ MUA HÀNG'!$A$5:$AT644, 0, XMATCH("Tháng", '6. TIẾN ĐỘ MUA HÀNG'!$A$4:$AT$4, 0))) = TRIM(R$6)) * (INDEX('6. TIẾN ĐỘ MUA HÀNG'!$A$5:$AT644, 0, XMATCH("Mã đơn Misa", '6. TIẾN ĐỘ MUA HÀNG'!$A$4:$AT$4, 0)) &lt;&gt; ""))</f>
        <v>0</v>
      </c>
      <c r="S100" s="756">
        <f t="array" ref="S100">SUMPRODUCT(
  (INDEX('6. TIẾN ĐỘ MUA HÀNG'!$A$5:$AT644, 0, XMATCH("NCC VTBB/NL trong nước", '6. TIẾN ĐỘ MUA HÀNG'!$A$4:$AT$4, 0)) = $B100) * (TRIM(INDEX('6. TIẾN ĐỘ MUA HÀNG'!$A$5:$AT644, 0, XMATCH("Tháng", '6. TIẾN ĐỘ MUA HÀNG'!$A$4:$AT$4, 0))) = TRIM(R$6)) * (INDEX('6. TIẾN ĐỘ MUA HÀNG'!$A$5:$AT644, 0, XMATCH("CL NGÀY NCC DỰ KIẾN - NGÀY NHẬN HÀNG", '6. TIẾN ĐỘ MUA HÀNG'!$A$4:$AT$4, 0)) &lt; 0)
)</f>
        <v>0</v>
      </c>
      <c r="T100" s="757">
        <f t="shared" si="19"/>
        <v>0</v>
      </c>
      <c r="U100" s="754">
        <f t="array" ref="U100">SUMPRODUCT((TRIM(INDEX('6. TIẾN ĐỘ MUA HÀNG'!$A$5:$AT644, 0, XMATCH("NCC VTBB/NL trong nước", '6. TIẾN ĐỘ MUA HÀNG'!$A$4:$AT$4, 0))) = TRIM($B100)) * (TRIM(INDEX('6. TIẾN ĐỘ MUA HÀNG'!$A$5:$AT644, 0, XMATCH("Tháng", '6. TIẾN ĐỘ MUA HÀNG'!$A$4:$AT$4, 0))) = TRIM(U$6)) * (INDEX('6. TIẾN ĐỘ MUA HÀNG'!$A$5:$AT644, 0, XMATCH("Mã đơn Misa", '6. TIẾN ĐỘ MUA HÀNG'!$A$4:$AT$4, 0)) &lt;&gt; ""))</f>
        <v>0</v>
      </c>
      <c r="V100" s="754">
        <f t="array" ref="V100">SUMPRODUCT(
  (INDEX('6. TIẾN ĐỘ MUA HÀNG'!$A$5:$AT644, 0, XMATCH("NCC VTBB/NL trong nước", '6. TIẾN ĐỘ MUA HÀNG'!$A$4:$AT$4, 0)) = $B100) * (TRIM(INDEX('6. TIẾN ĐỘ MUA HÀNG'!$A$5:$AT644, 0, XMATCH("Tháng", '6. TIẾN ĐỘ MUA HÀNG'!$A$4:$AT$4, 0))) = TRIM(U$6)) * (INDEX('6. TIẾN ĐỘ MUA HÀNG'!$A$5:$AT644, 0, XMATCH("CL NGÀY NCC DỰ KIẾN - NGÀY NHẬN HÀNG", '6. TIẾN ĐỘ MUA HÀNG'!$A$4:$AT$4, 0)) &lt; 0)
)</f>
        <v>0</v>
      </c>
      <c r="W100" s="755">
        <f t="shared" si="32"/>
        <v>0</v>
      </c>
      <c r="X100" s="756">
        <f t="array" ref="X100">SUMPRODUCT((TRIM(INDEX('6. TIẾN ĐỘ MUA HÀNG'!$A$5:$AT644, 0, XMATCH("NCC VTBB/NL trong nước", '6. TIẾN ĐỘ MUA HÀNG'!$A$4:$AT$4, 0))) = TRIM($B100)) * (TRIM(INDEX('6. TIẾN ĐỘ MUA HÀNG'!$A$5:$AT644, 0, XMATCH("Tháng", '6. TIẾN ĐỘ MUA HÀNG'!$A$4:$AT$4, 0))) = TRIM(X$6)) * (INDEX('6. TIẾN ĐỘ MUA HÀNG'!$A$5:$AT644, 0, XMATCH("Mã đơn Misa", '6. TIẾN ĐỘ MUA HÀNG'!$A$4:$AT$4, 0)) &lt;&gt; ""))</f>
        <v>0</v>
      </c>
      <c r="Y100" s="756">
        <f t="array" ref="Y100">SUMPRODUCT(
  (INDEX('6. TIẾN ĐỘ MUA HÀNG'!$A$5:$AT644, 0, XMATCH("NCC VTBB/NL trong nước", '6. TIẾN ĐỘ MUA HÀNG'!$A$4:$AT$4, 0)) = $B100) * (TRIM(INDEX('6. TIẾN ĐỘ MUA HÀNG'!$A$5:$AT644, 0, XMATCH("Tháng", '6. TIẾN ĐỘ MUA HÀNG'!$A$4:$AT$4, 0))) = TRIM(X$6)) * (INDEX('6. TIẾN ĐỘ MUA HÀNG'!$A$5:$AT644, 0, XMATCH("CL NGÀY NCC DỰ KIẾN - NGÀY NHẬN HÀNG", '6. TIẾN ĐỘ MUA HÀNG'!$A$4:$AT$4, 0)) &lt; 0)
)</f>
        <v>0</v>
      </c>
      <c r="Z100" s="757">
        <f t="shared" si="21"/>
        <v>0</v>
      </c>
      <c r="AA100" s="754">
        <f t="array" ref="AA100">SUMPRODUCT((TRIM(INDEX('6. TIẾN ĐỘ MUA HÀNG'!$A$5:$AT644, 0, XMATCH("NCC VTBB/NL trong nước", '6. TIẾN ĐỘ MUA HÀNG'!$A$4:$AT$4, 0))) = TRIM($B100)) * (TRIM(INDEX('6. TIẾN ĐỘ MUA HÀNG'!$A$5:$AT644, 0, XMATCH("Tháng", '6. TIẾN ĐỘ MUA HÀNG'!$A$4:$AT$4, 0))) = TRIM(AA$6)) * (INDEX('6. TIẾN ĐỘ MUA HÀNG'!$A$5:$AT644, 0, XMATCH("Mã đơn Misa", '6. TIẾN ĐỘ MUA HÀNG'!$A$4:$AT$4, 0)) &lt;&gt; ""))</f>
        <v>0</v>
      </c>
      <c r="AB100" s="754">
        <f t="array" ref="AB100">SUMPRODUCT(
  (INDEX('6. TIẾN ĐỘ MUA HÀNG'!$A$5:$AT644, 0, XMATCH("NCC VTBB/NL trong nước", '6. TIẾN ĐỘ MUA HÀNG'!$A$4:$AT$4, 0)) = $B100) * (TRIM(INDEX('6. TIẾN ĐỘ MUA HÀNG'!$A$5:$AT644, 0, XMATCH("Tháng", '6. TIẾN ĐỘ MUA HÀNG'!$A$4:$AT$4, 0))) = TRIM(AA$6)) * (INDEX('6. TIẾN ĐỘ MUA HÀNG'!$A$5:$AT644, 0, XMATCH("CL NGÀY NCC DỰ KIẾN - NGÀY NHẬN HÀNG", '6. TIẾN ĐỘ MUA HÀNG'!$A$4:$AT$4, 0)) &lt; 0)
)</f>
        <v>0</v>
      </c>
      <c r="AC100" s="755">
        <f t="shared" si="33"/>
        <v>0</v>
      </c>
      <c r="AD100" s="756">
        <f t="array" ref="AD100">SUMPRODUCT((TRIM(INDEX('6. TIẾN ĐỘ MUA HÀNG'!$A$5:$AT644, 0, XMATCH("NCC VTBB/NL trong nước", '6. TIẾN ĐỘ MUA HÀNG'!$A$4:$AT$4, 0))) = TRIM($B100)) * (TRIM(INDEX('6. TIẾN ĐỘ MUA HÀNG'!$A$5:$AT644, 0, XMATCH("Tháng", '6. TIẾN ĐỘ MUA HÀNG'!$A$4:$AT$4, 0))) = TRIM(AD$6)) * (INDEX('6. TIẾN ĐỘ MUA HÀNG'!$A$5:$AT644, 0, XMATCH("Mã đơn Misa", '6. TIẾN ĐỘ MUA HÀNG'!$A$4:$AT$4, 0)) &lt;&gt; ""))</f>
        <v>0</v>
      </c>
      <c r="AE100" s="756">
        <f t="array" ref="AE100">SUMPRODUCT(
  (INDEX('6. TIẾN ĐỘ MUA HÀNG'!$A$5:$AT644, 0, XMATCH("NCC VTBB/NL trong nước", '6. TIẾN ĐỘ MUA HÀNG'!$A$4:$AT$4, 0)) = $B100) * (TRIM(INDEX('6. TIẾN ĐỘ MUA HÀNG'!$A$5:$AT644, 0, XMATCH("Tháng", '6. TIẾN ĐỘ MUA HÀNG'!$A$4:$AT$4, 0))) = TRIM(AD$6)) * (INDEX('6. TIẾN ĐỘ MUA HÀNG'!$A$5:$AT644, 0, XMATCH("CL NGÀY NCC DỰ KIẾN - NGÀY NHẬN HÀNG", '6. TIẾN ĐỘ MUA HÀNG'!$A$4:$AT$4, 0)) &lt; 0)
)</f>
        <v>0</v>
      </c>
      <c r="AF100" s="757">
        <f t="shared" si="23"/>
        <v>0</v>
      </c>
      <c r="AG100" s="754">
        <f t="array" ref="AG100">SUMPRODUCT((TRIM(INDEX('6. TIẾN ĐỘ MUA HÀNG'!$A$5:$AT644, 0, XMATCH("NCC VTBB/NL trong nước", '6. TIẾN ĐỘ MUA HÀNG'!$A$4:$AT$4, 0))) = TRIM($B100)) * (TRIM(INDEX('6. TIẾN ĐỘ MUA HÀNG'!$A$5:$AT644, 0, XMATCH("Tháng", '6. TIẾN ĐỘ MUA HÀNG'!$A$4:$AT$4, 0))) = TRIM(AG$6)) * (INDEX('6. TIẾN ĐỘ MUA HÀNG'!$A$5:$AT644, 0, XMATCH("Mã đơn Misa", '6. TIẾN ĐỘ MUA HÀNG'!$A$4:$AT$4, 0)) &lt;&gt; ""))</f>
        <v>0</v>
      </c>
      <c r="AH100" s="754">
        <f t="array" ref="AH100">SUMPRODUCT(
  (INDEX('6. TIẾN ĐỘ MUA HÀNG'!$A$5:$AT644, 0, XMATCH("NCC VTBB/NL trong nước", '6. TIẾN ĐỘ MUA HÀNG'!$A$4:$AT$4, 0)) = $B100) * (TRIM(INDEX('6. TIẾN ĐỘ MUA HÀNG'!$A$5:$AT644, 0, XMATCH("Tháng", '6. TIẾN ĐỘ MUA HÀNG'!$A$4:$AT$4, 0))) = TRIM(AG$6)) * (INDEX('6. TIẾN ĐỘ MUA HÀNG'!$A$5:$AT644, 0, XMATCH("CL NGÀY NCC DỰ KIẾN - NGÀY NHẬN HÀNG", '6. TIẾN ĐỘ MUA HÀNG'!$A$4:$AT$4, 0)) &lt; 0)
)</f>
        <v>0</v>
      </c>
      <c r="AI100" s="755">
        <f t="shared" si="34"/>
        <v>0</v>
      </c>
      <c r="AJ100" s="756">
        <f t="array" ref="AJ100">SUMPRODUCT((TRIM(INDEX('6. TIẾN ĐỘ MUA HÀNG'!$A$5:$AT644, 0, XMATCH("NCC VTBB/NL trong nước", '6. TIẾN ĐỘ MUA HÀNG'!$A$4:$AT$4, 0))) = TRIM($B100)) * (TRIM(INDEX('6. TIẾN ĐỘ MUA HÀNG'!$A$5:$AT644, 0, XMATCH("Tháng", '6. TIẾN ĐỘ MUA HÀNG'!$A$4:$AT$4, 0))) = TRIM(AJ$6)) * (INDEX('6. TIẾN ĐỘ MUA HÀNG'!$A$5:$AT644, 0, XMATCH("Mã đơn Misa", '6. TIẾN ĐỘ MUA HÀNG'!$A$4:$AT$4, 0)) &lt;&gt; ""))</f>
        <v>0</v>
      </c>
      <c r="AK100" s="756">
        <f t="array" ref="AK100">SUMPRODUCT(
  (INDEX('6. TIẾN ĐỘ MUA HÀNG'!$A$5:$AT644, 0, XMATCH("NCC VTBB/NL trong nước", '6. TIẾN ĐỘ MUA HÀNG'!$A$4:$AT$4, 0)) = $B100) * (TRIM(INDEX('6. TIẾN ĐỘ MUA HÀNG'!$A$5:$AT644, 0, XMATCH("Tháng", '6. TIẾN ĐỘ MUA HÀNG'!$A$4:$AT$4, 0))) = TRIM(AJ$6)) * (INDEX('6. TIẾN ĐỘ MUA HÀNG'!$A$5:$AT644, 0, XMATCH("CL NGÀY NCC DỰ KIẾN - NGÀY NHẬN HÀNG", '6. TIẾN ĐỘ MUA HÀNG'!$A$4:$AT$4, 0)) &lt; 0)
)</f>
        <v>0</v>
      </c>
      <c r="AL100" s="757">
        <f t="shared" si="25"/>
        <v>0</v>
      </c>
      <c r="AM100" s="726">
        <f t="shared" si="27"/>
        <v>0</v>
      </c>
      <c r="AN100" s="726">
        <f t="shared" si="28"/>
        <v>0</v>
      </c>
      <c r="AO100" s="727">
        <f t="shared" si="26"/>
        <v>0</v>
      </c>
    </row>
    <row r="101">
      <c r="A101" s="612">
        <v>93.0</v>
      </c>
      <c r="B101" s="624" t="str">
        <f>IFERROR(__xludf.DUMMYFUNCTION("""COMPUTED_VALUE"""),"G28")</f>
        <v>G28</v>
      </c>
      <c r="C101" s="754">
        <f t="array" ref="C101">SUMPRODUCT((TRIM(INDEX('6. TIẾN ĐỘ MUA HÀNG'!$A$5:$AT644, 0, XMATCH("NCC VTBB/NL trong nước", '6. TIẾN ĐỘ MUA HÀNG'!$A$4:$AT$4, 0))) = TRIM($B101)) * (TRIM(INDEX('6. TIẾN ĐỘ MUA HÀNG'!$A$5:$AT644, 0, XMATCH("Tháng", '6. TIẾN ĐỘ MUA HÀNG'!$A$4:$AT$4, 0))) = TRIM(C$6)) * (INDEX('6. TIẾN ĐỘ MUA HÀNG'!$A$5:$AT644, 0, XMATCH("Mã đơn Misa", '6. TIẾN ĐỘ MUA HÀNG'!$A$4:$AT$4, 0)) &lt;&gt; ""))</f>
        <v>0</v>
      </c>
      <c r="D101" s="754">
        <f t="array" ref="D101">SUMPRODUCT(
  (INDEX('6. TIẾN ĐỘ MUA HÀNG'!$A$5:$AT644, 0, XMATCH("NCC VTBB/NL trong nước", '6. TIẾN ĐỘ MUA HÀNG'!$A$4:$AT$4, 0)) = $B101) * (TRIM(INDEX('6. TIẾN ĐỘ MUA HÀNG'!$A$5:$AT644, 0, XMATCH("Tháng", '6. TIẾN ĐỘ MUA HÀNG'!$A$4:$AT$4, 0))) = TRIM(C$6)) * (INDEX('6. TIẾN ĐỘ MUA HÀNG'!$A$5:$AT644, 0, XMATCH("CL NGÀY NCC DỰ KIẾN - NGÀY NHẬN HÀNG", '6. TIẾN ĐỘ MUA HÀNG'!$A$4:$AT$4, 0)) &lt; 0)
)</f>
        <v>0</v>
      </c>
      <c r="E101" s="755">
        <f t="shared" si="29"/>
        <v>0</v>
      </c>
      <c r="F101" s="756">
        <f t="array" ref="F101">SUMPRODUCT((TRIM(INDEX('6. TIẾN ĐỘ MUA HÀNG'!$A$5:$AT644, 0, XMATCH("NCC VTBB/NL trong nước", '6. TIẾN ĐỘ MUA HÀNG'!$A$4:$AT$4, 0))) = TRIM($B101)) * (TRIM(INDEX('6. TIẾN ĐỘ MUA HÀNG'!$A$5:$AT644, 0, XMATCH("Tháng", '6. TIẾN ĐỘ MUA HÀNG'!$A$4:$AT$4, 0))) = TRIM(F$6)) * (INDEX('6. TIẾN ĐỘ MUA HÀNG'!$A$5:$AT644, 0, XMATCH("Mã đơn Misa", '6. TIẾN ĐỘ MUA HÀNG'!$A$4:$AT$4, 0)) &lt;&gt; ""))</f>
        <v>0</v>
      </c>
      <c r="G101" s="756">
        <f t="array" ref="G101">SUMPRODUCT(
  (INDEX('6. TIẾN ĐỘ MUA HÀNG'!$A$5:$AT644, 0, XMATCH("NCC VTBB/NL trong nước", '6. TIẾN ĐỘ MUA HÀNG'!$A$4:$AT$4, 0)) = $B101) * (TRIM(INDEX('6. TIẾN ĐỘ MUA HÀNG'!$A$5:$AT644, 0, XMATCH("Tháng", '6. TIẾN ĐỘ MUA HÀNG'!$A$4:$AT$4, 0))) = TRIM(F$6)) * (INDEX('6. TIẾN ĐỘ MUA HÀNG'!$A$5:$AT644, 0, XMATCH("CL NGÀY NCC DỰ KIẾN - NGÀY NHẬN HÀNG", '6. TIẾN ĐỘ MUA HÀNG'!$A$4:$AT$4, 0)) &lt; 0)
)</f>
        <v>0</v>
      </c>
      <c r="H101" s="757">
        <f t="shared" si="15"/>
        <v>0</v>
      </c>
      <c r="I101" s="754">
        <f t="array" ref="I101">SUMPRODUCT((TRIM(INDEX('6. TIẾN ĐỘ MUA HÀNG'!$A$5:$AT644, 0, XMATCH("NCC VTBB/NL trong nước", '6. TIẾN ĐỘ MUA HÀNG'!$A$4:$AT$4, 0))) = TRIM($B101)) * (TRIM(INDEX('6. TIẾN ĐỘ MUA HÀNG'!$A$5:$AT644, 0, XMATCH("Tháng", '6. TIẾN ĐỘ MUA HÀNG'!$A$4:$AT$4, 0))) = TRIM(I$6)) * (INDEX('6. TIẾN ĐỘ MUA HÀNG'!$A$5:$AT644, 0, XMATCH("Mã đơn Misa", '6. TIẾN ĐỘ MUA HÀNG'!$A$4:$AT$4, 0)) &lt;&gt; ""))</f>
        <v>0</v>
      </c>
      <c r="J101" s="754">
        <f t="array" ref="J101">SUMPRODUCT(
  (INDEX('6. TIẾN ĐỘ MUA HÀNG'!$A$5:$AT644, 0, XMATCH("NCC VTBB/NL trong nước", '6. TIẾN ĐỘ MUA HÀNG'!$A$4:$AT$4, 0)) = $B101) * (TRIM(INDEX('6. TIẾN ĐỘ MUA HÀNG'!$A$5:$AT644, 0, XMATCH("Tháng", '6. TIẾN ĐỘ MUA HÀNG'!$A$4:$AT$4, 0))) = TRIM(I$6)) * (INDEX('6. TIẾN ĐỘ MUA HÀNG'!$A$5:$AT644, 0, XMATCH("CL NGÀY NCC DỰ KIẾN - NGÀY NHẬN HÀNG", '6. TIẾN ĐỘ MUA HÀNG'!$A$4:$AT$4, 0)) &lt; 0)
)</f>
        <v>0</v>
      </c>
      <c r="K101" s="755">
        <f t="shared" si="30"/>
        <v>0</v>
      </c>
      <c r="L101" s="756">
        <f t="array" ref="L101">SUMPRODUCT((TRIM(INDEX('6. TIẾN ĐỘ MUA HÀNG'!$A$5:$AT644, 0, XMATCH("NCC VTBB/NL trong nước", '6. TIẾN ĐỘ MUA HÀNG'!$A$4:$AT$4, 0))) = TRIM($B101)) * (TRIM(INDEX('6. TIẾN ĐỘ MUA HÀNG'!$A$5:$AT644, 0, XMATCH("Tháng", '6. TIẾN ĐỘ MUA HÀNG'!$A$4:$AT$4, 0))) = TRIM(L$6)) * (INDEX('6. TIẾN ĐỘ MUA HÀNG'!$A$5:$AT644, 0, XMATCH("Mã đơn Misa", '6. TIẾN ĐỘ MUA HÀNG'!$A$4:$AT$4, 0)) &lt;&gt; ""))</f>
        <v>0</v>
      </c>
      <c r="M101" s="756">
        <f t="array" ref="M101">SUMPRODUCT(
  (INDEX('6. TIẾN ĐỘ MUA HÀNG'!$A$5:$AT644, 0, XMATCH("NCC VTBB/NL trong nước", '6. TIẾN ĐỘ MUA HÀNG'!$A$4:$AT$4, 0)) = $B101) * (TRIM(INDEX('6. TIẾN ĐỘ MUA HÀNG'!$A$5:$AT644, 0, XMATCH("Tháng", '6. TIẾN ĐỘ MUA HÀNG'!$A$4:$AT$4, 0))) = TRIM(L$6)) * (INDEX('6. TIẾN ĐỘ MUA HÀNG'!$A$5:$AT644, 0, XMATCH("CL NGÀY NCC DỰ KIẾN - NGÀY NHẬN HÀNG", '6. TIẾN ĐỘ MUA HÀNG'!$A$4:$AT$4, 0)) &lt; 0)
)</f>
        <v>0</v>
      </c>
      <c r="N101" s="757">
        <f t="shared" si="17"/>
        <v>0</v>
      </c>
      <c r="O101" s="754">
        <f t="array" ref="O101">SUMPRODUCT((TRIM(INDEX('6. TIẾN ĐỘ MUA HÀNG'!$A$5:$AT644, 0, XMATCH("NCC VTBB/NL trong nước", '6. TIẾN ĐỘ MUA HÀNG'!$A$4:$AT$4, 0))) = TRIM($B101)) * (TRIM(INDEX('6. TIẾN ĐỘ MUA HÀNG'!$A$5:$AT644, 0, XMATCH("Tháng", '6. TIẾN ĐỘ MUA HÀNG'!$A$4:$AT$4, 0))) = TRIM(O$6)) * (INDEX('6. TIẾN ĐỘ MUA HÀNG'!$A$5:$AT644, 0, XMATCH("Mã đơn Misa", '6. TIẾN ĐỘ MUA HÀNG'!$A$4:$AT$4, 0)) &lt;&gt; ""))</f>
        <v>0</v>
      </c>
      <c r="P101" s="754">
        <f t="array" ref="P101">SUMPRODUCT(
  (INDEX('6. TIẾN ĐỘ MUA HÀNG'!$A$5:$AT644, 0, XMATCH("NCC VTBB/NL trong nước", '6. TIẾN ĐỘ MUA HÀNG'!$A$4:$AT$4, 0)) = $B101) * (TRIM(INDEX('6. TIẾN ĐỘ MUA HÀNG'!$A$5:$AT644, 0, XMATCH("Tháng", '6. TIẾN ĐỘ MUA HÀNG'!$A$4:$AT$4, 0))) = TRIM(O$6)) * (INDEX('6. TIẾN ĐỘ MUA HÀNG'!$A$5:$AT644, 0, XMATCH("CL NGÀY NCC DỰ KIẾN - NGÀY NHẬN HÀNG", '6. TIẾN ĐỘ MUA HÀNG'!$A$4:$AT$4, 0)) &lt; 0)
)</f>
        <v>0</v>
      </c>
      <c r="Q101" s="755">
        <f t="shared" si="31"/>
        <v>0</v>
      </c>
      <c r="R101" s="756">
        <f t="array" ref="R101">SUMPRODUCT((TRIM(INDEX('6. TIẾN ĐỘ MUA HÀNG'!$A$5:$AT644, 0, XMATCH("NCC VTBB/NL trong nước", '6. TIẾN ĐỘ MUA HÀNG'!$A$4:$AT$4, 0))) = TRIM($B101)) * (TRIM(INDEX('6. TIẾN ĐỘ MUA HÀNG'!$A$5:$AT644, 0, XMATCH("Tháng", '6. TIẾN ĐỘ MUA HÀNG'!$A$4:$AT$4, 0))) = TRIM(R$6)) * (INDEX('6. TIẾN ĐỘ MUA HÀNG'!$A$5:$AT644, 0, XMATCH("Mã đơn Misa", '6. TIẾN ĐỘ MUA HÀNG'!$A$4:$AT$4, 0)) &lt;&gt; ""))</f>
        <v>0</v>
      </c>
      <c r="S101" s="756">
        <f t="array" ref="S101">SUMPRODUCT(
  (INDEX('6. TIẾN ĐỘ MUA HÀNG'!$A$5:$AT644, 0, XMATCH("NCC VTBB/NL trong nước", '6. TIẾN ĐỘ MUA HÀNG'!$A$4:$AT$4, 0)) = $B101) * (TRIM(INDEX('6. TIẾN ĐỘ MUA HÀNG'!$A$5:$AT644, 0, XMATCH("Tháng", '6. TIẾN ĐỘ MUA HÀNG'!$A$4:$AT$4, 0))) = TRIM(R$6)) * (INDEX('6. TIẾN ĐỘ MUA HÀNG'!$A$5:$AT644, 0, XMATCH("CL NGÀY NCC DỰ KIẾN - NGÀY NHẬN HÀNG", '6. TIẾN ĐỘ MUA HÀNG'!$A$4:$AT$4, 0)) &lt; 0)
)</f>
        <v>0</v>
      </c>
      <c r="T101" s="757">
        <f t="shared" si="19"/>
        <v>0</v>
      </c>
      <c r="U101" s="754">
        <f t="array" ref="U101">SUMPRODUCT((TRIM(INDEX('6. TIẾN ĐỘ MUA HÀNG'!$A$5:$AT644, 0, XMATCH("NCC VTBB/NL trong nước", '6. TIẾN ĐỘ MUA HÀNG'!$A$4:$AT$4, 0))) = TRIM($B101)) * (TRIM(INDEX('6. TIẾN ĐỘ MUA HÀNG'!$A$5:$AT644, 0, XMATCH("Tháng", '6. TIẾN ĐỘ MUA HÀNG'!$A$4:$AT$4, 0))) = TRIM(U$6)) * (INDEX('6. TIẾN ĐỘ MUA HÀNG'!$A$5:$AT644, 0, XMATCH("Mã đơn Misa", '6. TIẾN ĐỘ MUA HÀNG'!$A$4:$AT$4, 0)) &lt;&gt; ""))</f>
        <v>0</v>
      </c>
      <c r="V101" s="754">
        <f t="array" ref="V101">SUMPRODUCT(
  (INDEX('6. TIẾN ĐỘ MUA HÀNG'!$A$5:$AT644, 0, XMATCH("NCC VTBB/NL trong nước", '6. TIẾN ĐỘ MUA HÀNG'!$A$4:$AT$4, 0)) = $B101) * (TRIM(INDEX('6. TIẾN ĐỘ MUA HÀNG'!$A$5:$AT644, 0, XMATCH("Tháng", '6. TIẾN ĐỘ MUA HÀNG'!$A$4:$AT$4, 0))) = TRIM(U$6)) * (INDEX('6. TIẾN ĐỘ MUA HÀNG'!$A$5:$AT644, 0, XMATCH("CL NGÀY NCC DỰ KIẾN - NGÀY NHẬN HÀNG", '6. TIẾN ĐỘ MUA HÀNG'!$A$4:$AT$4, 0)) &lt; 0)
)</f>
        <v>0</v>
      </c>
      <c r="W101" s="755">
        <f t="shared" si="32"/>
        <v>0</v>
      </c>
      <c r="X101" s="756">
        <f t="array" ref="X101">SUMPRODUCT((TRIM(INDEX('6. TIẾN ĐỘ MUA HÀNG'!$A$5:$AT644, 0, XMATCH("NCC VTBB/NL trong nước", '6. TIẾN ĐỘ MUA HÀNG'!$A$4:$AT$4, 0))) = TRIM($B101)) * (TRIM(INDEX('6. TIẾN ĐỘ MUA HÀNG'!$A$5:$AT644, 0, XMATCH("Tháng", '6. TIẾN ĐỘ MUA HÀNG'!$A$4:$AT$4, 0))) = TRIM(X$6)) * (INDEX('6. TIẾN ĐỘ MUA HÀNG'!$A$5:$AT644, 0, XMATCH("Mã đơn Misa", '6. TIẾN ĐỘ MUA HÀNG'!$A$4:$AT$4, 0)) &lt;&gt; ""))</f>
        <v>0</v>
      </c>
      <c r="Y101" s="756">
        <f t="array" ref="Y101">SUMPRODUCT(
  (INDEX('6. TIẾN ĐỘ MUA HÀNG'!$A$5:$AT644, 0, XMATCH("NCC VTBB/NL trong nước", '6. TIẾN ĐỘ MUA HÀNG'!$A$4:$AT$4, 0)) = $B101) * (TRIM(INDEX('6. TIẾN ĐỘ MUA HÀNG'!$A$5:$AT644, 0, XMATCH("Tháng", '6. TIẾN ĐỘ MUA HÀNG'!$A$4:$AT$4, 0))) = TRIM(X$6)) * (INDEX('6. TIẾN ĐỘ MUA HÀNG'!$A$5:$AT644, 0, XMATCH("CL NGÀY NCC DỰ KIẾN - NGÀY NHẬN HÀNG", '6. TIẾN ĐỘ MUA HÀNG'!$A$4:$AT$4, 0)) &lt; 0)
)</f>
        <v>0</v>
      </c>
      <c r="Z101" s="757">
        <f t="shared" si="21"/>
        <v>0</v>
      </c>
      <c r="AA101" s="754">
        <f t="array" ref="AA101">SUMPRODUCT((TRIM(INDEX('6. TIẾN ĐỘ MUA HÀNG'!$A$5:$AT644, 0, XMATCH("NCC VTBB/NL trong nước", '6. TIẾN ĐỘ MUA HÀNG'!$A$4:$AT$4, 0))) = TRIM($B101)) * (TRIM(INDEX('6. TIẾN ĐỘ MUA HÀNG'!$A$5:$AT644, 0, XMATCH("Tháng", '6. TIẾN ĐỘ MUA HÀNG'!$A$4:$AT$4, 0))) = TRIM(AA$6)) * (INDEX('6. TIẾN ĐỘ MUA HÀNG'!$A$5:$AT644, 0, XMATCH("Mã đơn Misa", '6. TIẾN ĐỘ MUA HÀNG'!$A$4:$AT$4, 0)) &lt;&gt; ""))</f>
        <v>0</v>
      </c>
      <c r="AB101" s="754">
        <f t="array" ref="AB101">SUMPRODUCT(
  (INDEX('6. TIẾN ĐỘ MUA HÀNG'!$A$5:$AT644, 0, XMATCH("NCC VTBB/NL trong nước", '6. TIẾN ĐỘ MUA HÀNG'!$A$4:$AT$4, 0)) = $B101) * (TRIM(INDEX('6. TIẾN ĐỘ MUA HÀNG'!$A$5:$AT644, 0, XMATCH("Tháng", '6. TIẾN ĐỘ MUA HÀNG'!$A$4:$AT$4, 0))) = TRIM(AA$6)) * (INDEX('6. TIẾN ĐỘ MUA HÀNG'!$A$5:$AT644, 0, XMATCH("CL NGÀY NCC DỰ KIẾN - NGÀY NHẬN HÀNG", '6. TIẾN ĐỘ MUA HÀNG'!$A$4:$AT$4, 0)) &lt; 0)
)</f>
        <v>0</v>
      </c>
      <c r="AC101" s="755">
        <f t="shared" si="33"/>
        <v>0</v>
      </c>
      <c r="AD101" s="756">
        <f t="array" ref="AD101">SUMPRODUCT((TRIM(INDEX('6. TIẾN ĐỘ MUA HÀNG'!$A$5:$AT644, 0, XMATCH("NCC VTBB/NL trong nước", '6. TIẾN ĐỘ MUA HÀNG'!$A$4:$AT$4, 0))) = TRIM($B101)) * (TRIM(INDEX('6. TIẾN ĐỘ MUA HÀNG'!$A$5:$AT644, 0, XMATCH("Tháng", '6. TIẾN ĐỘ MUA HÀNG'!$A$4:$AT$4, 0))) = TRIM(AD$6)) * (INDEX('6. TIẾN ĐỘ MUA HÀNG'!$A$5:$AT644, 0, XMATCH("Mã đơn Misa", '6. TIẾN ĐỘ MUA HÀNG'!$A$4:$AT$4, 0)) &lt;&gt; ""))</f>
        <v>0</v>
      </c>
      <c r="AE101" s="756">
        <f t="array" ref="AE101">SUMPRODUCT(
  (INDEX('6. TIẾN ĐỘ MUA HÀNG'!$A$5:$AT644, 0, XMATCH("NCC VTBB/NL trong nước", '6. TIẾN ĐỘ MUA HÀNG'!$A$4:$AT$4, 0)) = $B101) * (TRIM(INDEX('6. TIẾN ĐỘ MUA HÀNG'!$A$5:$AT644, 0, XMATCH("Tháng", '6. TIẾN ĐỘ MUA HÀNG'!$A$4:$AT$4, 0))) = TRIM(AD$6)) * (INDEX('6. TIẾN ĐỘ MUA HÀNG'!$A$5:$AT644, 0, XMATCH("CL NGÀY NCC DỰ KIẾN - NGÀY NHẬN HÀNG", '6. TIẾN ĐỘ MUA HÀNG'!$A$4:$AT$4, 0)) &lt; 0)
)</f>
        <v>0</v>
      </c>
      <c r="AF101" s="757">
        <f t="shared" si="23"/>
        <v>0</v>
      </c>
      <c r="AG101" s="754">
        <f t="array" ref="AG101">SUMPRODUCT((TRIM(INDEX('6. TIẾN ĐỘ MUA HÀNG'!$A$5:$AT644, 0, XMATCH("NCC VTBB/NL trong nước", '6. TIẾN ĐỘ MUA HÀNG'!$A$4:$AT$4, 0))) = TRIM($B101)) * (TRIM(INDEX('6. TIẾN ĐỘ MUA HÀNG'!$A$5:$AT644, 0, XMATCH("Tháng", '6. TIẾN ĐỘ MUA HÀNG'!$A$4:$AT$4, 0))) = TRIM(AG$6)) * (INDEX('6. TIẾN ĐỘ MUA HÀNG'!$A$5:$AT644, 0, XMATCH("Mã đơn Misa", '6. TIẾN ĐỘ MUA HÀNG'!$A$4:$AT$4, 0)) &lt;&gt; ""))</f>
        <v>0</v>
      </c>
      <c r="AH101" s="754">
        <f t="array" ref="AH101">SUMPRODUCT(
  (INDEX('6. TIẾN ĐỘ MUA HÀNG'!$A$5:$AT644, 0, XMATCH("NCC VTBB/NL trong nước", '6. TIẾN ĐỘ MUA HÀNG'!$A$4:$AT$4, 0)) = $B101) * (TRIM(INDEX('6. TIẾN ĐỘ MUA HÀNG'!$A$5:$AT644, 0, XMATCH("Tháng", '6. TIẾN ĐỘ MUA HÀNG'!$A$4:$AT$4, 0))) = TRIM(AG$6)) * (INDEX('6. TIẾN ĐỘ MUA HÀNG'!$A$5:$AT644, 0, XMATCH("CL NGÀY NCC DỰ KIẾN - NGÀY NHẬN HÀNG", '6. TIẾN ĐỘ MUA HÀNG'!$A$4:$AT$4, 0)) &lt; 0)
)</f>
        <v>0</v>
      </c>
      <c r="AI101" s="755">
        <f t="shared" si="34"/>
        <v>0</v>
      </c>
      <c r="AJ101" s="756">
        <f t="array" ref="AJ101">SUMPRODUCT((TRIM(INDEX('6. TIẾN ĐỘ MUA HÀNG'!$A$5:$AT644, 0, XMATCH("NCC VTBB/NL trong nước", '6. TIẾN ĐỘ MUA HÀNG'!$A$4:$AT$4, 0))) = TRIM($B101)) * (TRIM(INDEX('6. TIẾN ĐỘ MUA HÀNG'!$A$5:$AT644, 0, XMATCH("Tháng", '6. TIẾN ĐỘ MUA HÀNG'!$A$4:$AT$4, 0))) = TRIM(AJ$6)) * (INDEX('6. TIẾN ĐỘ MUA HÀNG'!$A$5:$AT644, 0, XMATCH("Mã đơn Misa", '6. TIẾN ĐỘ MUA HÀNG'!$A$4:$AT$4, 0)) &lt;&gt; ""))</f>
        <v>0</v>
      </c>
      <c r="AK101" s="756">
        <f t="array" ref="AK101">SUMPRODUCT(
  (INDEX('6. TIẾN ĐỘ MUA HÀNG'!$A$5:$AT644, 0, XMATCH("NCC VTBB/NL trong nước", '6. TIẾN ĐỘ MUA HÀNG'!$A$4:$AT$4, 0)) = $B101) * (TRIM(INDEX('6. TIẾN ĐỘ MUA HÀNG'!$A$5:$AT644, 0, XMATCH("Tháng", '6. TIẾN ĐỘ MUA HÀNG'!$A$4:$AT$4, 0))) = TRIM(AJ$6)) * (INDEX('6. TIẾN ĐỘ MUA HÀNG'!$A$5:$AT644, 0, XMATCH("CL NGÀY NCC DỰ KIẾN - NGÀY NHẬN HÀNG", '6. TIẾN ĐỘ MUA HÀNG'!$A$4:$AT$4, 0)) &lt; 0)
)</f>
        <v>0</v>
      </c>
      <c r="AL101" s="757">
        <f t="shared" si="25"/>
        <v>0</v>
      </c>
      <c r="AM101" s="726">
        <f t="shared" si="27"/>
        <v>0</v>
      </c>
      <c r="AN101" s="726">
        <f t="shared" si="28"/>
        <v>0</v>
      </c>
      <c r="AO101" s="727">
        <f t="shared" si="26"/>
        <v>0</v>
      </c>
    </row>
    <row r="102">
      <c r="A102" s="612">
        <v>94.0</v>
      </c>
      <c r="B102" s="624" t="str">
        <f>IFERROR(__xludf.DUMMYFUNCTION("""COMPUTED_VALUE"""),"Bao Bì Đông Bắc")</f>
        <v>Bao Bì Đông Bắc</v>
      </c>
      <c r="C102" s="754">
        <f t="array" ref="C102">SUMPRODUCT((TRIM(INDEX('6. TIẾN ĐỘ MUA HÀNG'!$A$5:$AT644, 0, XMATCH("NCC VTBB/NL trong nước", '6. TIẾN ĐỘ MUA HÀNG'!$A$4:$AT$4, 0))) = TRIM($B102)) * (TRIM(INDEX('6. TIẾN ĐỘ MUA HÀNG'!$A$5:$AT644, 0, XMATCH("Tháng", '6. TIẾN ĐỘ MUA HÀNG'!$A$4:$AT$4, 0))) = TRIM(C$6)) * (INDEX('6. TIẾN ĐỘ MUA HÀNG'!$A$5:$AT644, 0, XMATCH("Mã đơn Misa", '6. TIẾN ĐỘ MUA HÀNG'!$A$4:$AT$4, 0)) &lt;&gt; ""))</f>
        <v>0</v>
      </c>
      <c r="D102" s="754">
        <f t="array" ref="D102">SUMPRODUCT(
  (INDEX('6. TIẾN ĐỘ MUA HÀNG'!$A$5:$AT644, 0, XMATCH("NCC VTBB/NL trong nước", '6. TIẾN ĐỘ MUA HÀNG'!$A$4:$AT$4, 0)) = $B102) * (TRIM(INDEX('6. TIẾN ĐỘ MUA HÀNG'!$A$5:$AT644, 0, XMATCH("Tháng", '6. TIẾN ĐỘ MUA HÀNG'!$A$4:$AT$4, 0))) = TRIM(C$6)) * (INDEX('6. TIẾN ĐỘ MUA HÀNG'!$A$5:$AT644, 0, XMATCH("CL NGÀY NCC DỰ KIẾN - NGÀY NHẬN HÀNG", '6. TIẾN ĐỘ MUA HÀNG'!$A$4:$AT$4, 0)) &lt; 0)
)</f>
        <v>0</v>
      </c>
      <c r="E102" s="755">
        <f t="shared" si="29"/>
        <v>0</v>
      </c>
      <c r="F102" s="756">
        <f t="array" ref="F102">SUMPRODUCT((TRIM(INDEX('6. TIẾN ĐỘ MUA HÀNG'!$A$5:$AT644, 0, XMATCH("NCC VTBB/NL trong nước", '6. TIẾN ĐỘ MUA HÀNG'!$A$4:$AT$4, 0))) = TRIM($B102)) * (TRIM(INDEX('6. TIẾN ĐỘ MUA HÀNG'!$A$5:$AT644, 0, XMATCH("Tháng", '6. TIẾN ĐỘ MUA HÀNG'!$A$4:$AT$4, 0))) = TRIM(F$6)) * (INDEX('6. TIẾN ĐỘ MUA HÀNG'!$A$5:$AT644, 0, XMATCH("Mã đơn Misa", '6. TIẾN ĐỘ MUA HÀNG'!$A$4:$AT$4, 0)) &lt;&gt; ""))</f>
        <v>0</v>
      </c>
      <c r="G102" s="756">
        <f t="array" ref="G102">SUMPRODUCT(
  (INDEX('6. TIẾN ĐỘ MUA HÀNG'!$A$5:$AT644, 0, XMATCH("NCC VTBB/NL trong nước", '6. TIẾN ĐỘ MUA HÀNG'!$A$4:$AT$4, 0)) = $B102) * (TRIM(INDEX('6. TIẾN ĐỘ MUA HÀNG'!$A$5:$AT644, 0, XMATCH("Tháng", '6. TIẾN ĐỘ MUA HÀNG'!$A$4:$AT$4, 0))) = TRIM(F$6)) * (INDEX('6. TIẾN ĐỘ MUA HÀNG'!$A$5:$AT644, 0, XMATCH("CL NGÀY NCC DỰ KIẾN - NGÀY NHẬN HÀNG", '6. TIẾN ĐỘ MUA HÀNG'!$A$4:$AT$4, 0)) &lt; 0)
)</f>
        <v>0</v>
      </c>
      <c r="H102" s="757">
        <f t="shared" si="15"/>
        <v>0</v>
      </c>
      <c r="I102" s="754">
        <f t="array" ref="I102">SUMPRODUCT((TRIM(INDEX('6. TIẾN ĐỘ MUA HÀNG'!$A$5:$AT644, 0, XMATCH("NCC VTBB/NL trong nước", '6. TIẾN ĐỘ MUA HÀNG'!$A$4:$AT$4, 0))) = TRIM($B102)) * (TRIM(INDEX('6. TIẾN ĐỘ MUA HÀNG'!$A$5:$AT644, 0, XMATCH("Tháng", '6. TIẾN ĐỘ MUA HÀNG'!$A$4:$AT$4, 0))) = TRIM(I$6)) * (INDEX('6. TIẾN ĐỘ MUA HÀNG'!$A$5:$AT644, 0, XMATCH("Mã đơn Misa", '6. TIẾN ĐỘ MUA HÀNG'!$A$4:$AT$4, 0)) &lt;&gt; ""))</f>
        <v>0</v>
      </c>
      <c r="J102" s="754">
        <f t="array" ref="J102">SUMPRODUCT(
  (INDEX('6. TIẾN ĐỘ MUA HÀNG'!$A$5:$AT644, 0, XMATCH("NCC VTBB/NL trong nước", '6. TIẾN ĐỘ MUA HÀNG'!$A$4:$AT$4, 0)) = $B102) * (TRIM(INDEX('6. TIẾN ĐỘ MUA HÀNG'!$A$5:$AT644, 0, XMATCH("Tháng", '6. TIẾN ĐỘ MUA HÀNG'!$A$4:$AT$4, 0))) = TRIM(I$6)) * (INDEX('6. TIẾN ĐỘ MUA HÀNG'!$A$5:$AT644, 0, XMATCH("CL NGÀY NCC DỰ KIẾN - NGÀY NHẬN HÀNG", '6. TIẾN ĐỘ MUA HÀNG'!$A$4:$AT$4, 0)) &lt; 0)
)</f>
        <v>0</v>
      </c>
      <c r="K102" s="755">
        <f t="shared" si="30"/>
        <v>0</v>
      </c>
      <c r="L102" s="756">
        <f t="array" ref="L102">SUMPRODUCT((TRIM(INDEX('6. TIẾN ĐỘ MUA HÀNG'!$A$5:$AT644, 0, XMATCH("NCC VTBB/NL trong nước", '6. TIẾN ĐỘ MUA HÀNG'!$A$4:$AT$4, 0))) = TRIM($B102)) * (TRIM(INDEX('6. TIẾN ĐỘ MUA HÀNG'!$A$5:$AT644, 0, XMATCH("Tháng", '6. TIẾN ĐỘ MUA HÀNG'!$A$4:$AT$4, 0))) = TRIM(L$6)) * (INDEX('6. TIẾN ĐỘ MUA HÀNG'!$A$5:$AT644, 0, XMATCH("Mã đơn Misa", '6. TIẾN ĐỘ MUA HÀNG'!$A$4:$AT$4, 0)) &lt;&gt; ""))</f>
        <v>2</v>
      </c>
      <c r="M102" s="756">
        <f t="array" ref="M102">SUMPRODUCT(
  (INDEX('6. TIẾN ĐỘ MUA HÀNG'!$A$5:$AT644, 0, XMATCH("NCC VTBB/NL trong nước", '6. TIẾN ĐỘ MUA HÀNG'!$A$4:$AT$4, 0)) = $B102) * (TRIM(INDEX('6. TIẾN ĐỘ MUA HÀNG'!$A$5:$AT644, 0, XMATCH("Tháng", '6. TIẾN ĐỘ MUA HÀNG'!$A$4:$AT$4, 0))) = TRIM(L$6)) * (INDEX('6. TIẾN ĐỘ MUA HÀNG'!$A$5:$AT644, 0, XMATCH("CL NGÀY NCC DỰ KIẾN - NGÀY NHẬN HÀNG", '6. TIẾN ĐỘ MUA HÀNG'!$A$4:$AT$4, 0)) &lt; 0)
)</f>
        <v>0</v>
      </c>
      <c r="N102" s="757">
        <f t="shared" si="17"/>
        <v>0</v>
      </c>
      <c r="O102" s="754">
        <f t="array" ref="O102">SUMPRODUCT((TRIM(INDEX('6. TIẾN ĐỘ MUA HÀNG'!$A$5:$AT644, 0, XMATCH("NCC VTBB/NL trong nước", '6. TIẾN ĐỘ MUA HÀNG'!$A$4:$AT$4, 0))) = TRIM($B102)) * (TRIM(INDEX('6. TIẾN ĐỘ MUA HÀNG'!$A$5:$AT644, 0, XMATCH("Tháng", '6. TIẾN ĐỘ MUA HÀNG'!$A$4:$AT$4, 0))) = TRIM(O$6)) * (INDEX('6. TIẾN ĐỘ MUA HÀNG'!$A$5:$AT644, 0, XMATCH("Mã đơn Misa", '6. TIẾN ĐỘ MUA HÀNG'!$A$4:$AT$4, 0)) &lt;&gt; ""))</f>
        <v>0</v>
      </c>
      <c r="P102" s="754">
        <f t="array" ref="P102">SUMPRODUCT(
  (INDEX('6. TIẾN ĐỘ MUA HÀNG'!$A$5:$AT644, 0, XMATCH("NCC VTBB/NL trong nước", '6. TIẾN ĐỘ MUA HÀNG'!$A$4:$AT$4, 0)) = $B102) * (TRIM(INDEX('6. TIẾN ĐỘ MUA HÀNG'!$A$5:$AT644, 0, XMATCH("Tháng", '6. TIẾN ĐỘ MUA HÀNG'!$A$4:$AT$4, 0))) = TRIM(O$6)) * (INDEX('6. TIẾN ĐỘ MUA HÀNG'!$A$5:$AT644, 0, XMATCH("CL NGÀY NCC DỰ KIẾN - NGÀY NHẬN HÀNG", '6. TIẾN ĐỘ MUA HÀNG'!$A$4:$AT$4, 0)) &lt; 0)
)</f>
        <v>0</v>
      </c>
      <c r="Q102" s="755">
        <f t="shared" si="31"/>
        <v>0</v>
      </c>
      <c r="R102" s="756">
        <f t="array" ref="R102">SUMPRODUCT((TRIM(INDEX('6. TIẾN ĐỘ MUA HÀNG'!$A$5:$AT644, 0, XMATCH("NCC VTBB/NL trong nước", '6. TIẾN ĐỘ MUA HÀNG'!$A$4:$AT$4, 0))) = TRIM($B102)) * (TRIM(INDEX('6. TIẾN ĐỘ MUA HÀNG'!$A$5:$AT644, 0, XMATCH("Tháng", '6. TIẾN ĐỘ MUA HÀNG'!$A$4:$AT$4, 0))) = TRIM(R$6)) * (INDEX('6. TIẾN ĐỘ MUA HÀNG'!$A$5:$AT644, 0, XMATCH("Mã đơn Misa", '6. TIẾN ĐỘ MUA HÀNG'!$A$4:$AT$4, 0)) &lt;&gt; ""))</f>
        <v>2</v>
      </c>
      <c r="S102" s="756">
        <f t="array" ref="S102">SUMPRODUCT(
  (INDEX('6. TIẾN ĐỘ MUA HÀNG'!$A$5:$AT644, 0, XMATCH("NCC VTBB/NL trong nước", '6. TIẾN ĐỘ MUA HÀNG'!$A$4:$AT$4, 0)) = $B102) * (TRIM(INDEX('6. TIẾN ĐỘ MUA HÀNG'!$A$5:$AT644, 0, XMATCH("Tháng", '6. TIẾN ĐỘ MUA HÀNG'!$A$4:$AT$4, 0))) = TRIM(R$6)) * (INDEX('6. TIẾN ĐỘ MUA HÀNG'!$A$5:$AT644, 0, XMATCH("CL NGÀY NCC DỰ KIẾN - NGÀY NHẬN HÀNG", '6. TIẾN ĐỘ MUA HÀNG'!$A$4:$AT$4, 0)) &lt; 0)
)</f>
        <v>0</v>
      </c>
      <c r="T102" s="757">
        <f t="shared" si="19"/>
        <v>0</v>
      </c>
      <c r="U102" s="754">
        <f t="array" ref="U102">SUMPRODUCT((TRIM(INDEX('6. TIẾN ĐỘ MUA HÀNG'!$A$5:$AT644, 0, XMATCH("NCC VTBB/NL trong nước", '6. TIẾN ĐỘ MUA HÀNG'!$A$4:$AT$4, 0))) = TRIM($B102)) * (TRIM(INDEX('6. TIẾN ĐỘ MUA HÀNG'!$A$5:$AT644, 0, XMATCH("Tháng", '6. TIẾN ĐỘ MUA HÀNG'!$A$4:$AT$4, 0))) = TRIM(U$6)) * (INDEX('6. TIẾN ĐỘ MUA HÀNG'!$A$5:$AT644, 0, XMATCH("Mã đơn Misa", '6. TIẾN ĐỘ MUA HÀNG'!$A$4:$AT$4, 0)) &lt;&gt; ""))</f>
        <v>0</v>
      </c>
      <c r="V102" s="754">
        <f t="array" ref="V102">SUMPRODUCT(
  (INDEX('6. TIẾN ĐỘ MUA HÀNG'!$A$5:$AT644, 0, XMATCH("NCC VTBB/NL trong nước", '6. TIẾN ĐỘ MUA HÀNG'!$A$4:$AT$4, 0)) = $B102) * (TRIM(INDEX('6. TIẾN ĐỘ MUA HÀNG'!$A$5:$AT644, 0, XMATCH("Tháng", '6. TIẾN ĐỘ MUA HÀNG'!$A$4:$AT$4, 0))) = TRIM(U$6)) * (INDEX('6. TIẾN ĐỘ MUA HÀNG'!$A$5:$AT644, 0, XMATCH("CL NGÀY NCC DỰ KIẾN - NGÀY NHẬN HÀNG", '6. TIẾN ĐỘ MUA HÀNG'!$A$4:$AT$4, 0)) &lt; 0)
)</f>
        <v>0</v>
      </c>
      <c r="W102" s="755">
        <f t="shared" si="32"/>
        <v>0</v>
      </c>
      <c r="X102" s="756">
        <f t="array" ref="X102">SUMPRODUCT((TRIM(INDEX('6. TIẾN ĐỘ MUA HÀNG'!$A$5:$AT644, 0, XMATCH("NCC VTBB/NL trong nước", '6. TIẾN ĐỘ MUA HÀNG'!$A$4:$AT$4, 0))) = TRIM($B102)) * (TRIM(INDEX('6. TIẾN ĐỘ MUA HÀNG'!$A$5:$AT644, 0, XMATCH("Tháng", '6. TIẾN ĐỘ MUA HÀNG'!$A$4:$AT$4, 0))) = TRIM(X$6)) * (INDEX('6. TIẾN ĐỘ MUA HÀNG'!$A$5:$AT644, 0, XMATCH("Mã đơn Misa", '6. TIẾN ĐỘ MUA HÀNG'!$A$4:$AT$4, 0)) &lt;&gt; ""))</f>
        <v>0</v>
      </c>
      <c r="Y102" s="756">
        <f t="array" ref="Y102">SUMPRODUCT(
  (INDEX('6. TIẾN ĐỘ MUA HÀNG'!$A$5:$AT644, 0, XMATCH("NCC VTBB/NL trong nước", '6. TIẾN ĐỘ MUA HÀNG'!$A$4:$AT$4, 0)) = $B102) * (TRIM(INDEX('6. TIẾN ĐỘ MUA HÀNG'!$A$5:$AT644, 0, XMATCH("Tháng", '6. TIẾN ĐỘ MUA HÀNG'!$A$4:$AT$4, 0))) = TRIM(X$6)) * (INDEX('6. TIẾN ĐỘ MUA HÀNG'!$A$5:$AT644, 0, XMATCH("CL NGÀY NCC DỰ KIẾN - NGÀY NHẬN HÀNG", '6. TIẾN ĐỘ MUA HÀNG'!$A$4:$AT$4, 0)) &lt; 0)
)</f>
        <v>0</v>
      </c>
      <c r="Z102" s="757">
        <f t="shared" si="21"/>
        <v>0</v>
      </c>
      <c r="AA102" s="754">
        <f t="array" ref="AA102">SUMPRODUCT((TRIM(INDEX('6. TIẾN ĐỘ MUA HÀNG'!$A$5:$AT644, 0, XMATCH("NCC VTBB/NL trong nước", '6. TIẾN ĐỘ MUA HÀNG'!$A$4:$AT$4, 0))) = TRIM($B102)) * (TRIM(INDEX('6. TIẾN ĐỘ MUA HÀNG'!$A$5:$AT644, 0, XMATCH("Tháng", '6. TIẾN ĐỘ MUA HÀNG'!$A$4:$AT$4, 0))) = TRIM(AA$6)) * (INDEX('6. TIẾN ĐỘ MUA HÀNG'!$A$5:$AT644, 0, XMATCH("Mã đơn Misa", '6. TIẾN ĐỘ MUA HÀNG'!$A$4:$AT$4, 0)) &lt;&gt; ""))</f>
        <v>0</v>
      </c>
      <c r="AB102" s="754">
        <f t="array" ref="AB102">SUMPRODUCT(
  (INDEX('6. TIẾN ĐỘ MUA HÀNG'!$A$5:$AT644, 0, XMATCH("NCC VTBB/NL trong nước", '6. TIẾN ĐỘ MUA HÀNG'!$A$4:$AT$4, 0)) = $B102) * (TRIM(INDEX('6. TIẾN ĐỘ MUA HÀNG'!$A$5:$AT644, 0, XMATCH("Tháng", '6. TIẾN ĐỘ MUA HÀNG'!$A$4:$AT$4, 0))) = TRIM(AA$6)) * (INDEX('6. TIẾN ĐỘ MUA HÀNG'!$A$5:$AT644, 0, XMATCH("CL NGÀY NCC DỰ KIẾN - NGÀY NHẬN HÀNG", '6. TIẾN ĐỘ MUA HÀNG'!$A$4:$AT$4, 0)) &lt; 0)
)</f>
        <v>0</v>
      </c>
      <c r="AC102" s="755">
        <f t="shared" si="33"/>
        <v>0</v>
      </c>
      <c r="AD102" s="756">
        <f t="array" ref="AD102">SUMPRODUCT((TRIM(INDEX('6. TIẾN ĐỘ MUA HÀNG'!$A$5:$AT644, 0, XMATCH("NCC VTBB/NL trong nước", '6. TIẾN ĐỘ MUA HÀNG'!$A$4:$AT$4, 0))) = TRIM($B102)) * (TRIM(INDEX('6. TIẾN ĐỘ MUA HÀNG'!$A$5:$AT644, 0, XMATCH("Tháng", '6. TIẾN ĐỘ MUA HÀNG'!$A$4:$AT$4, 0))) = TRIM(AD$6)) * (INDEX('6. TIẾN ĐỘ MUA HÀNG'!$A$5:$AT644, 0, XMATCH("Mã đơn Misa", '6. TIẾN ĐỘ MUA HÀNG'!$A$4:$AT$4, 0)) &lt;&gt; ""))</f>
        <v>0</v>
      </c>
      <c r="AE102" s="756">
        <f t="array" ref="AE102">SUMPRODUCT(
  (INDEX('6. TIẾN ĐỘ MUA HÀNG'!$A$5:$AT644, 0, XMATCH("NCC VTBB/NL trong nước", '6. TIẾN ĐỘ MUA HÀNG'!$A$4:$AT$4, 0)) = $B102) * (TRIM(INDEX('6. TIẾN ĐỘ MUA HÀNG'!$A$5:$AT644, 0, XMATCH("Tháng", '6. TIẾN ĐỘ MUA HÀNG'!$A$4:$AT$4, 0))) = TRIM(AD$6)) * (INDEX('6. TIẾN ĐỘ MUA HÀNG'!$A$5:$AT644, 0, XMATCH("CL NGÀY NCC DỰ KIẾN - NGÀY NHẬN HÀNG", '6. TIẾN ĐỘ MUA HÀNG'!$A$4:$AT$4, 0)) &lt; 0)
)</f>
        <v>0</v>
      </c>
      <c r="AF102" s="757">
        <f t="shared" si="23"/>
        <v>0</v>
      </c>
      <c r="AG102" s="754">
        <f t="array" ref="AG102">SUMPRODUCT((TRIM(INDEX('6. TIẾN ĐỘ MUA HÀNG'!$A$5:$AT644, 0, XMATCH("NCC VTBB/NL trong nước", '6. TIẾN ĐỘ MUA HÀNG'!$A$4:$AT$4, 0))) = TRIM($B102)) * (TRIM(INDEX('6. TIẾN ĐỘ MUA HÀNG'!$A$5:$AT644, 0, XMATCH("Tháng", '6. TIẾN ĐỘ MUA HÀNG'!$A$4:$AT$4, 0))) = TRIM(AG$6)) * (INDEX('6. TIẾN ĐỘ MUA HÀNG'!$A$5:$AT644, 0, XMATCH("Mã đơn Misa", '6. TIẾN ĐỘ MUA HÀNG'!$A$4:$AT$4, 0)) &lt;&gt; ""))</f>
        <v>0</v>
      </c>
      <c r="AH102" s="754">
        <f t="array" ref="AH102">SUMPRODUCT(
  (INDEX('6. TIẾN ĐỘ MUA HÀNG'!$A$5:$AT644, 0, XMATCH("NCC VTBB/NL trong nước", '6. TIẾN ĐỘ MUA HÀNG'!$A$4:$AT$4, 0)) = $B102) * (TRIM(INDEX('6. TIẾN ĐỘ MUA HÀNG'!$A$5:$AT644, 0, XMATCH("Tháng", '6. TIẾN ĐỘ MUA HÀNG'!$A$4:$AT$4, 0))) = TRIM(AG$6)) * (INDEX('6. TIẾN ĐỘ MUA HÀNG'!$A$5:$AT644, 0, XMATCH("CL NGÀY NCC DỰ KIẾN - NGÀY NHẬN HÀNG", '6. TIẾN ĐỘ MUA HÀNG'!$A$4:$AT$4, 0)) &lt; 0)
)</f>
        <v>0</v>
      </c>
      <c r="AI102" s="755">
        <f t="shared" si="34"/>
        <v>0</v>
      </c>
      <c r="AJ102" s="756">
        <f t="array" ref="AJ102">SUMPRODUCT((TRIM(INDEX('6. TIẾN ĐỘ MUA HÀNG'!$A$5:$AT644, 0, XMATCH("NCC VTBB/NL trong nước", '6. TIẾN ĐỘ MUA HÀNG'!$A$4:$AT$4, 0))) = TRIM($B102)) * (TRIM(INDEX('6. TIẾN ĐỘ MUA HÀNG'!$A$5:$AT644, 0, XMATCH("Tháng", '6. TIẾN ĐỘ MUA HÀNG'!$A$4:$AT$4, 0))) = TRIM(AJ$6)) * (INDEX('6. TIẾN ĐỘ MUA HÀNG'!$A$5:$AT644, 0, XMATCH("Mã đơn Misa", '6. TIẾN ĐỘ MUA HÀNG'!$A$4:$AT$4, 0)) &lt;&gt; ""))</f>
        <v>0</v>
      </c>
      <c r="AK102" s="756">
        <f t="array" ref="AK102">SUMPRODUCT(
  (INDEX('6. TIẾN ĐỘ MUA HÀNG'!$A$5:$AT644, 0, XMATCH("NCC VTBB/NL trong nước", '6. TIẾN ĐỘ MUA HÀNG'!$A$4:$AT$4, 0)) = $B102) * (TRIM(INDEX('6. TIẾN ĐỘ MUA HÀNG'!$A$5:$AT644, 0, XMATCH("Tháng", '6. TIẾN ĐỘ MUA HÀNG'!$A$4:$AT$4, 0))) = TRIM(AJ$6)) * (INDEX('6. TIẾN ĐỘ MUA HÀNG'!$A$5:$AT644, 0, XMATCH("CL NGÀY NCC DỰ KIẾN - NGÀY NHẬN HÀNG", '6. TIẾN ĐỘ MUA HÀNG'!$A$4:$AT$4, 0)) &lt; 0)
)</f>
        <v>0</v>
      </c>
      <c r="AL102" s="757">
        <f t="shared" si="25"/>
        <v>0</v>
      </c>
      <c r="AM102" s="726">
        <f t="shared" si="27"/>
        <v>4</v>
      </c>
      <c r="AN102" s="726">
        <f t="shared" si="28"/>
        <v>0</v>
      </c>
      <c r="AO102" s="727">
        <f t="shared" si="26"/>
        <v>0</v>
      </c>
    </row>
    <row r="103">
      <c r="A103" s="612">
        <v>95.0</v>
      </c>
      <c r="B103" s="624" t="str">
        <f>IFERROR(__xludf.DUMMYFUNCTION("""COMPUTED_VALUE"""),"Bao Bì Duy Nhật")</f>
        <v>Bao Bì Duy Nhật</v>
      </c>
      <c r="C103" s="754">
        <f t="array" ref="C103">SUMPRODUCT((TRIM(INDEX('6. TIẾN ĐỘ MUA HÀNG'!$A$5:$AT644, 0, XMATCH("NCC VTBB/NL trong nước", '6. TIẾN ĐỘ MUA HÀNG'!$A$4:$AT$4, 0))) = TRIM($B103)) * (TRIM(INDEX('6. TIẾN ĐỘ MUA HÀNG'!$A$5:$AT644, 0, XMATCH("Tháng", '6. TIẾN ĐỘ MUA HÀNG'!$A$4:$AT$4, 0))) = TRIM(C$6)) * (INDEX('6. TIẾN ĐỘ MUA HÀNG'!$A$5:$AT644, 0, XMATCH("Mã đơn Misa", '6. TIẾN ĐỘ MUA HÀNG'!$A$4:$AT$4, 0)) &lt;&gt; ""))</f>
        <v>0</v>
      </c>
      <c r="D103" s="754">
        <f t="array" ref="D103">SUMPRODUCT(
  (INDEX('6. TIẾN ĐỘ MUA HÀNG'!$A$5:$AT644, 0, XMATCH("NCC VTBB/NL trong nước", '6. TIẾN ĐỘ MUA HÀNG'!$A$4:$AT$4, 0)) = $B103) * (TRIM(INDEX('6. TIẾN ĐỘ MUA HÀNG'!$A$5:$AT644, 0, XMATCH("Tháng", '6. TIẾN ĐỘ MUA HÀNG'!$A$4:$AT$4, 0))) = TRIM(C$6)) * (INDEX('6. TIẾN ĐỘ MUA HÀNG'!$A$5:$AT644, 0, XMATCH("CL NGÀY NCC DỰ KIẾN - NGÀY NHẬN HÀNG", '6. TIẾN ĐỘ MUA HÀNG'!$A$4:$AT$4, 0)) &lt; 0)
)</f>
        <v>0</v>
      </c>
      <c r="E103" s="755">
        <f t="shared" si="29"/>
        <v>0</v>
      </c>
      <c r="F103" s="756">
        <f t="array" ref="F103">SUMPRODUCT((TRIM(INDEX('6. TIẾN ĐỘ MUA HÀNG'!$A$5:$AT644, 0, XMATCH("NCC VTBB/NL trong nước", '6. TIẾN ĐỘ MUA HÀNG'!$A$4:$AT$4, 0))) = TRIM($B103)) * (TRIM(INDEX('6. TIẾN ĐỘ MUA HÀNG'!$A$5:$AT644, 0, XMATCH("Tháng", '6. TIẾN ĐỘ MUA HÀNG'!$A$4:$AT$4, 0))) = TRIM(F$6)) * (INDEX('6. TIẾN ĐỘ MUA HÀNG'!$A$5:$AT644, 0, XMATCH("Mã đơn Misa", '6. TIẾN ĐỘ MUA HÀNG'!$A$4:$AT$4, 0)) &lt;&gt; ""))</f>
        <v>0</v>
      </c>
      <c r="G103" s="756">
        <f t="array" ref="G103">SUMPRODUCT(
  (INDEX('6. TIẾN ĐỘ MUA HÀNG'!$A$5:$AT644, 0, XMATCH("NCC VTBB/NL trong nước", '6. TIẾN ĐỘ MUA HÀNG'!$A$4:$AT$4, 0)) = $B103) * (TRIM(INDEX('6. TIẾN ĐỘ MUA HÀNG'!$A$5:$AT644, 0, XMATCH("Tháng", '6. TIẾN ĐỘ MUA HÀNG'!$A$4:$AT$4, 0))) = TRIM(F$6)) * (INDEX('6. TIẾN ĐỘ MUA HÀNG'!$A$5:$AT644, 0, XMATCH("CL NGÀY NCC DỰ KIẾN - NGÀY NHẬN HÀNG", '6. TIẾN ĐỘ MUA HÀNG'!$A$4:$AT$4, 0)) &lt; 0)
)</f>
        <v>0</v>
      </c>
      <c r="H103" s="757">
        <f t="shared" si="15"/>
        <v>0</v>
      </c>
      <c r="I103" s="754">
        <f t="array" ref="I103">SUMPRODUCT((TRIM(INDEX('6. TIẾN ĐỘ MUA HÀNG'!$A$5:$AT644, 0, XMATCH("NCC VTBB/NL trong nước", '6. TIẾN ĐỘ MUA HÀNG'!$A$4:$AT$4, 0))) = TRIM($B103)) * (TRIM(INDEX('6. TIẾN ĐỘ MUA HÀNG'!$A$5:$AT644, 0, XMATCH("Tháng", '6. TIẾN ĐỘ MUA HÀNG'!$A$4:$AT$4, 0))) = TRIM(I$6)) * (INDEX('6. TIẾN ĐỘ MUA HÀNG'!$A$5:$AT644, 0, XMATCH("Mã đơn Misa", '6. TIẾN ĐỘ MUA HÀNG'!$A$4:$AT$4, 0)) &lt;&gt; ""))</f>
        <v>0</v>
      </c>
      <c r="J103" s="754">
        <f t="array" ref="J103">SUMPRODUCT(
  (INDEX('6. TIẾN ĐỘ MUA HÀNG'!$A$5:$AT644, 0, XMATCH("NCC VTBB/NL trong nước", '6. TIẾN ĐỘ MUA HÀNG'!$A$4:$AT$4, 0)) = $B103) * (TRIM(INDEX('6. TIẾN ĐỘ MUA HÀNG'!$A$5:$AT644, 0, XMATCH("Tháng", '6. TIẾN ĐỘ MUA HÀNG'!$A$4:$AT$4, 0))) = TRIM(I$6)) * (INDEX('6. TIẾN ĐỘ MUA HÀNG'!$A$5:$AT644, 0, XMATCH("CL NGÀY NCC DỰ KIẾN - NGÀY NHẬN HÀNG", '6. TIẾN ĐỘ MUA HÀNG'!$A$4:$AT$4, 0)) &lt; 0)
)</f>
        <v>0</v>
      </c>
      <c r="K103" s="755">
        <f t="shared" si="30"/>
        <v>0</v>
      </c>
      <c r="L103" s="756">
        <f t="array" ref="L103">SUMPRODUCT((TRIM(INDEX('6. TIẾN ĐỘ MUA HÀNG'!$A$5:$AT644, 0, XMATCH("NCC VTBB/NL trong nước", '6. TIẾN ĐỘ MUA HÀNG'!$A$4:$AT$4, 0))) = TRIM($B103)) * (TRIM(INDEX('6. TIẾN ĐỘ MUA HÀNG'!$A$5:$AT644, 0, XMATCH("Tháng", '6. TIẾN ĐỘ MUA HÀNG'!$A$4:$AT$4, 0))) = TRIM(L$6)) * (INDEX('6. TIẾN ĐỘ MUA HÀNG'!$A$5:$AT644, 0, XMATCH("Mã đơn Misa", '6. TIẾN ĐỘ MUA HÀNG'!$A$4:$AT$4, 0)) &lt;&gt; ""))</f>
        <v>0</v>
      </c>
      <c r="M103" s="756">
        <f t="array" ref="M103">SUMPRODUCT(
  (INDEX('6. TIẾN ĐỘ MUA HÀNG'!$A$5:$AT644, 0, XMATCH("NCC VTBB/NL trong nước", '6. TIẾN ĐỘ MUA HÀNG'!$A$4:$AT$4, 0)) = $B103) * (TRIM(INDEX('6. TIẾN ĐỘ MUA HÀNG'!$A$5:$AT644, 0, XMATCH("Tháng", '6. TIẾN ĐỘ MUA HÀNG'!$A$4:$AT$4, 0))) = TRIM(L$6)) * (INDEX('6. TIẾN ĐỘ MUA HÀNG'!$A$5:$AT644, 0, XMATCH("CL NGÀY NCC DỰ KIẾN - NGÀY NHẬN HÀNG", '6. TIẾN ĐỘ MUA HÀNG'!$A$4:$AT$4, 0)) &lt; 0)
)</f>
        <v>0</v>
      </c>
      <c r="N103" s="757">
        <f t="shared" si="17"/>
        <v>0</v>
      </c>
      <c r="O103" s="754">
        <f t="array" ref="O103">SUMPRODUCT((TRIM(INDEX('6. TIẾN ĐỘ MUA HÀNG'!$A$5:$AT644, 0, XMATCH("NCC VTBB/NL trong nước", '6. TIẾN ĐỘ MUA HÀNG'!$A$4:$AT$4, 0))) = TRIM($B103)) * (TRIM(INDEX('6. TIẾN ĐỘ MUA HÀNG'!$A$5:$AT644, 0, XMATCH("Tháng", '6. TIẾN ĐỘ MUA HÀNG'!$A$4:$AT$4, 0))) = TRIM(O$6)) * (INDEX('6. TIẾN ĐỘ MUA HÀNG'!$A$5:$AT644, 0, XMATCH("Mã đơn Misa", '6. TIẾN ĐỘ MUA HÀNG'!$A$4:$AT$4, 0)) &lt;&gt; ""))</f>
        <v>0</v>
      </c>
      <c r="P103" s="754">
        <f t="array" ref="P103">SUMPRODUCT(
  (INDEX('6. TIẾN ĐỘ MUA HÀNG'!$A$5:$AT644, 0, XMATCH("NCC VTBB/NL trong nước", '6. TIẾN ĐỘ MUA HÀNG'!$A$4:$AT$4, 0)) = $B103) * (TRIM(INDEX('6. TIẾN ĐỘ MUA HÀNG'!$A$5:$AT644, 0, XMATCH("Tháng", '6. TIẾN ĐỘ MUA HÀNG'!$A$4:$AT$4, 0))) = TRIM(O$6)) * (INDEX('6. TIẾN ĐỘ MUA HÀNG'!$A$5:$AT644, 0, XMATCH("CL NGÀY NCC DỰ KIẾN - NGÀY NHẬN HÀNG", '6. TIẾN ĐỘ MUA HÀNG'!$A$4:$AT$4, 0)) &lt; 0)
)</f>
        <v>0</v>
      </c>
      <c r="Q103" s="755">
        <f t="shared" si="31"/>
        <v>0</v>
      </c>
      <c r="R103" s="756">
        <f t="array" ref="R103">SUMPRODUCT((TRIM(INDEX('6. TIẾN ĐỘ MUA HÀNG'!$A$5:$AT644, 0, XMATCH("NCC VTBB/NL trong nước", '6. TIẾN ĐỘ MUA HÀNG'!$A$4:$AT$4, 0))) = TRIM($B103)) * (TRIM(INDEX('6. TIẾN ĐỘ MUA HÀNG'!$A$5:$AT644, 0, XMATCH("Tháng", '6. TIẾN ĐỘ MUA HÀNG'!$A$4:$AT$4, 0))) = TRIM(R$6)) * (INDEX('6. TIẾN ĐỘ MUA HÀNG'!$A$5:$AT644, 0, XMATCH("Mã đơn Misa", '6. TIẾN ĐỘ MUA HÀNG'!$A$4:$AT$4, 0)) &lt;&gt; ""))</f>
        <v>0</v>
      </c>
      <c r="S103" s="756">
        <f t="array" ref="S103">SUMPRODUCT(
  (INDEX('6. TIẾN ĐỘ MUA HÀNG'!$A$5:$AT644, 0, XMATCH("NCC VTBB/NL trong nước", '6. TIẾN ĐỘ MUA HÀNG'!$A$4:$AT$4, 0)) = $B103) * (TRIM(INDEX('6. TIẾN ĐỘ MUA HÀNG'!$A$5:$AT644, 0, XMATCH("Tháng", '6. TIẾN ĐỘ MUA HÀNG'!$A$4:$AT$4, 0))) = TRIM(R$6)) * (INDEX('6. TIẾN ĐỘ MUA HÀNG'!$A$5:$AT644, 0, XMATCH("CL NGÀY NCC DỰ KIẾN - NGÀY NHẬN HÀNG", '6. TIẾN ĐỘ MUA HÀNG'!$A$4:$AT$4, 0)) &lt; 0)
)</f>
        <v>0</v>
      </c>
      <c r="T103" s="757">
        <f t="shared" si="19"/>
        <v>0</v>
      </c>
      <c r="U103" s="754">
        <f t="array" ref="U103">SUMPRODUCT((TRIM(INDEX('6. TIẾN ĐỘ MUA HÀNG'!$A$5:$AT644, 0, XMATCH("NCC VTBB/NL trong nước", '6. TIẾN ĐỘ MUA HÀNG'!$A$4:$AT$4, 0))) = TRIM($B103)) * (TRIM(INDEX('6. TIẾN ĐỘ MUA HÀNG'!$A$5:$AT644, 0, XMATCH("Tháng", '6. TIẾN ĐỘ MUA HÀNG'!$A$4:$AT$4, 0))) = TRIM(U$6)) * (INDEX('6. TIẾN ĐỘ MUA HÀNG'!$A$5:$AT644, 0, XMATCH("Mã đơn Misa", '6. TIẾN ĐỘ MUA HÀNG'!$A$4:$AT$4, 0)) &lt;&gt; ""))</f>
        <v>0</v>
      </c>
      <c r="V103" s="754">
        <f t="array" ref="V103">SUMPRODUCT(
  (INDEX('6. TIẾN ĐỘ MUA HÀNG'!$A$5:$AT644, 0, XMATCH("NCC VTBB/NL trong nước", '6. TIẾN ĐỘ MUA HÀNG'!$A$4:$AT$4, 0)) = $B103) * (TRIM(INDEX('6. TIẾN ĐỘ MUA HÀNG'!$A$5:$AT644, 0, XMATCH("Tháng", '6. TIẾN ĐỘ MUA HÀNG'!$A$4:$AT$4, 0))) = TRIM(U$6)) * (INDEX('6. TIẾN ĐỘ MUA HÀNG'!$A$5:$AT644, 0, XMATCH("CL NGÀY NCC DỰ KIẾN - NGÀY NHẬN HÀNG", '6. TIẾN ĐỘ MUA HÀNG'!$A$4:$AT$4, 0)) &lt; 0)
)</f>
        <v>0</v>
      </c>
      <c r="W103" s="755">
        <f t="shared" si="32"/>
        <v>0</v>
      </c>
      <c r="X103" s="756">
        <f t="array" ref="X103">SUMPRODUCT((TRIM(INDEX('6. TIẾN ĐỘ MUA HÀNG'!$A$5:$AT644, 0, XMATCH("NCC VTBB/NL trong nước", '6. TIẾN ĐỘ MUA HÀNG'!$A$4:$AT$4, 0))) = TRIM($B103)) * (TRIM(INDEX('6. TIẾN ĐỘ MUA HÀNG'!$A$5:$AT644, 0, XMATCH("Tháng", '6. TIẾN ĐỘ MUA HÀNG'!$A$4:$AT$4, 0))) = TRIM(X$6)) * (INDEX('6. TIẾN ĐỘ MUA HÀNG'!$A$5:$AT644, 0, XMATCH("Mã đơn Misa", '6. TIẾN ĐỘ MUA HÀNG'!$A$4:$AT$4, 0)) &lt;&gt; ""))</f>
        <v>0</v>
      </c>
      <c r="Y103" s="756">
        <f t="array" ref="Y103">SUMPRODUCT(
  (INDEX('6. TIẾN ĐỘ MUA HÀNG'!$A$5:$AT644, 0, XMATCH("NCC VTBB/NL trong nước", '6. TIẾN ĐỘ MUA HÀNG'!$A$4:$AT$4, 0)) = $B103) * (TRIM(INDEX('6. TIẾN ĐỘ MUA HÀNG'!$A$5:$AT644, 0, XMATCH("Tháng", '6. TIẾN ĐỘ MUA HÀNG'!$A$4:$AT$4, 0))) = TRIM(X$6)) * (INDEX('6. TIẾN ĐỘ MUA HÀNG'!$A$5:$AT644, 0, XMATCH("CL NGÀY NCC DỰ KIẾN - NGÀY NHẬN HÀNG", '6. TIẾN ĐỘ MUA HÀNG'!$A$4:$AT$4, 0)) &lt; 0)
)</f>
        <v>0</v>
      </c>
      <c r="Z103" s="757">
        <f t="shared" si="21"/>
        <v>0</v>
      </c>
      <c r="AA103" s="754">
        <f t="array" ref="AA103">SUMPRODUCT((TRIM(INDEX('6. TIẾN ĐỘ MUA HÀNG'!$A$5:$AT644, 0, XMATCH("NCC VTBB/NL trong nước", '6. TIẾN ĐỘ MUA HÀNG'!$A$4:$AT$4, 0))) = TRIM($B103)) * (TRIM(INDEX('6. TIẾN ĐỘ MUA HÀNG'!$A$5:$AT644, 0, XMATCH("Tháng", '6. TIẾN ĐỘ MUA HÀNG'!$A$4:$AT$4, 0))) = TRIM(AA$6)) * (INDEX('6. TIẾN ĐỘ MUA HÀNG'!$A$5:$AT644, 0, XMATCH("Mã đơn Misa", '6. TIẾN ĐỘ MUA HÀNG'!$A$4:$AT$4, 0)) &lt;&gt; ""))</f>
        <v>0</v>
      </c>
      <c r="AB103" s="754">
        <f t="array" ref="AB103">SUMPRODUCT(
  (INDEX('6. TIẾN ĐỘ MUA HÀNG'!$A$5:$AT644, 0, XMATCH("NCC VTBB/NL trong nước", '6. TIẾN ĐỘ MUA HÀNG'!$A$4:$AT$4, 0)) = $B103) * (TRIM(INDEX('6. TIẾN ĐỘ MUA HÀNG'!$A$5:$AT644, 0, XMATCH("Tháng", '6. TIẾN ĐỘ MUA HÀNG'!$A$4:$AT$4, 0))) = TRIM(AA$6)) * (INDEX('6. TIẾN ĐỘ MUA HÀNG'!$A$5:$AT644, 0, XMATCH("CL NGÀY NCC DỰ KIẾN - NGÀY NHẬN HÀNG", '6. TIẾN ĐỘ MUA HÀNG'!$A$4:$AT$4, 0)) &lt; 0)
)</f>
        <v>0</v>
      </c>
      <c r="AC103" s="755">
        <f t="shared" si="33"/>
        <v>0</v>
      </c>
      <c r="AD103" s="756">
        <f t="array" ref="AD103">SUMPRODUCT((TRIM(INDEX('6. TIẾN ĐỘ MUA HÀNG'!$A$5:$AT644, 0, XMATCH("NCC VTBB/NL trong nước", '6. TIẾN ĐỘ MUA HÀNG'!$A$4:$AT$4, 0))) = TRIM($B103)) * (TRIM(INDEX('6. TIẾN ĐỘ MUA HÀNG'!$A$5:$AT644, 0, XMATCH("Tháng", '6. TIẾN ĐỘ MUA HÀNG'!$A$4:$AT$4, 0))) = TRIM(AD$6)) * (INDEX('6. TIẾN ĐỘ MUA HÀNG'!$A$5:$AT644, 0, XMATCH("Mã đơn Misa", '6. TIẾN ĐỘ MUA HÀNG'!$A$4:$AT$4, 0)) &lt;&gt; ""))</f>
        <v>0</v>
      </c>
      <c r="AE103" s="756">
        <f t="array" ref="AE103">SUMPRODUCT(
  (INDEX('6. TIẾN ĐỘ MUA HÀNG'!$A$5:$AT644, 0, XMATCH("NCC VTBB/NL trong nước", '6. TIẾN ĐỘ MUA HÀNG'!$A$4:$AT$4, 0)) = $B103) * (TRIM(INDEX('6. TIẾN ĐỘ MUA HÀNG'!$A$5:$AT644, 0, XMATCH("Tháng", '6. TIẾN ĐỘ MUA HÀNG'!$A$4:$AT$4, 0))) = TRIM(AD$6)) * (INDEX('6. TIẾN ĐỘ MUA HÀNG'!$A$5:$AT644, 0, XMATCH("CL NGÀY NCC DỰ KIẾN - NGÀY NHẬN HÀNG", '6. TIẾN ĐỘ MUA HÀNG'!$A$4:$AT$4, 0)) &lt; 0)
)</f>
        <v>0</v>
      </c>
      <c r="AF103" s="757">
        <f t="shared" si="23"/>
        <v>0</v>
      </c>
      <c r="AG103" s="754">
        <f t="array" ref="AG103">SUMPRODUCT((TRIM(INDEX('6. TIẾN ĐỘ MUA HÀNG'!$A$5:$AT644, 0, XMATCH("NCC VTBB/NL trong nước", '6. TIẾN ĐỘ MUA HÀNG'!$A$4:$AT$4, 0))) = TRIM($B103)) * (TRIM(INDEX('6. TIẾN ĐỘ MUA HÀNG'!$A$5:$AT644, 0, XMATCH("Tháng", '6. TIẾN ĐỘ MUA HÀNG'!$A$4:$AT$4, 0))) = TRIM(AG$6)) * (INDEX('6. TIẾN ĐỘ MUA HÀNG'!$A$5:$AT644, 0, XMATCH("Mã đơn Misa", '6. TIẾN ĐỘ MUA HÀNG'!$A$4:$AT$4, 0)) &lt;&gt; ""))</f>
        <v>0</v>
      </c>
      <c r="AH103" s="754">
        <f t="array" ref="AH103">SUMPRODUCT(
  (INDEX('6. TIẾN ĐỘ MUA HÀNG'!$A$5:$AT644, 0, XMATCH("NCC VTBB/NL trong nước", '6. TIẾN ĐỘ MUA HÀNG'!$A$4:$AT$4, 0)) = $B103) * (TRIM(INDEX('6. TIẾN ĐỘ MUA HÀNG'!$A$5:$AT644, 0, XMATCH("Tháng", '6. TIẾN ĐỘ MUA HÀNG'!$A$4:$AT$4, 0))) = TRIM(AG$6)) * (INDEX('6. TIẾN ĐỘ MUA HÀNG'!$A$5:$AT644, 0, XMATCH("CL NGÀY NCC DỰ KIẾN - NGÀY NHẬN HÀNG", '6. TIẾN ĐỘ MUA HÀNG'!$A$4:$AT$4, 0)) &lt; 0)
)</f>
        <v>0</v>
      </c>
      <c r="AI103" s="755">
        <f t="shared" si="34"/>
        <v>0</v>
      </c>
      <c r="AJ103" s="756">
        <f t="array" ref="AJ103">SUMPRODUCT((TRIM(INDEX('6. TIẾN ĐỘ MUA HÀNG'!$A$5:$AT644, 0, XMATCH("NCC VTBB/NL trong nước", '6. TIẾN ĐỘ MUA HÀNG'!$A$4:$AT$4, 0))) = TRIM($B103)) * (TRIM(INDEX('6. TIẾN ĐỘ MUA HÀNG'!$A$5:$AT644, 0, XMATCH("Tháng", '6. TIẾN ĐỘ MUA HÀNG'!$A$4:$AT$4, 0))) = TRIM(AJ$6)) * (INDEX('6. TIẾN ĐỘ MUA HÀNG'!$A$5:$AT644, 0, XMATCH("Mã đơn Misa", '6. TIẾN ĐỘ MUA HÀNG'!$A$4:$AT$4, 0)) &lt;&gt; ""))</f>
        <v>0</v>
      </c>
      <c r="AK103" s="756">
        <f t="array" ref="AK103">SUMPRODUCT(
  (INDEX('6. TIẾN ĐỘ MUA HÀNG'!$A$5:$AT644, 0, XMATCH("NCC VTBB/NL trong nước", '6. TIẾN ĐỘ MUA HÀNG'!$A$4:$AT$4, 0)) = $B103) * (TRIM(INDEX('6. TIẾN ĐỘ MUA HÀNG'!$A$5:$AT644, 0, XMATCH("Tháng", '6. TIẾN ĐỘ MUA HÀNG'!$A$4:$AT$4, 0))) = TRIM(AJ$6)) * (INDEX('6. TIẾN ĐỘ MUA HÀNG'!$A$5:$AT644, 0, XMATCH("CL NGÀY NCC DỰ KIẾN - NGÀY NHẬN HÀNG", '6. TIẾN ĐỘ MUA HÀNG'!$A$4:$AT$4, 0)) &lt; 0)
)</f>
        <v>0</v>
      </c>
      <c r="AL103" s="757">
        <f t="shared" si="25"/>
        <v>0</v>
      </c>
      <c r="AM103" s="726">
        <f t="shared" si="27"/>
        <v>0</v>
      </c>
      <c r="AN103" s="726">
        <f t="shared" si="28"/>
        <v>0</v>
      </c>
      <c r="AO103" s="727">
        <f t="shared" si="26"/>
        <v>0</v>
      </c>
    </row>
    <row r="104">
      <c r="A104" s="612">
        <v>96.0</v>
      </c>
      <c r="B104" s="624" t="str">
        <f>IFERROR(__xludf.DUMMYFUNCTION("""COMPUTED_VALUE"""),"Dao Carton")</f>
        <v>Dao Carton</v>
      </c>
      <c r="C104" s="754">
        <f t="array" ref="C104">SUMPRODUCT((TRIM(INDEX('6. TIẾN ĐỘ MUA HÀNG'!$A$5:$AT644, 0, XMATCH("NCC VTBB/NL trong nước", '6. TIẾN ĐỘ MUA HÀNG'!$A$4:$AT$4, 0))) = TRIM($B104)) * (TRIM(INDEX('6. TIẾN ĐỘ MUA HÀNG'!$A$5:$AT644, 0, XMATCH("Tháng", '6. TIẾN ĐỘ MUA HÀNG'!$A$4:$AT$4, 0))) = TRIM(C$6)) * (INDEX('6. TIẾN ĐỘ MUA HÀNG'!$A$5:$AT644, 0, XMATCH("Mã đơn Misa", '6. TIẾN ĐỘ MUA HÀNG'!$A$4:$AT$4, 0)) &lt;&gt; ""))</f>
        <v>0</v>
      </c>
      <c r="D104" s="754">
        <f t="array" ref="D104">SUMPRODUCT(
  (INDEX('6. TIẾN ĐỘ MUA HÀNG'!$A$5:$AT644, 0, XMATCH("NCC VTBB/NL trong nước", '6. TIẾN ĐỘ MUA HÀNG'!$A$4:$AT$4, 0)) = $B104) * (TRIM(INDEX('6. TIẾN ĐỘ MUA HÀNG'!$A$5:$AT644, 0, XMATCH("Tháng", '6. TIẾN ĐỘ MUA HÀNG'!$A$4:$AT$4, 0))) = TRIM(C$6)) * (INDEX('6. TIẾN ĐỘ MUA HÀNG'!$A$5:$AT644, 0, XMATCH("CL NGÀY NCC DỰ KIẾN - NGÀY NHẬN HÀNG", '6. TIẾN ĐỘ MUA HÀNG'!$A$4:$AT$4, 0)) &lt; 0)
)</f>
        <v>0</v>
      </c>
      <c r="E104" s="755">
        <f t="shared" si="29"/>
        <v>0</v>
      </c>
      <c r="F104" s="756">
        <f t="array" ref="F104">SUMPRODUCT((TRIM(INDEX('6. TIẾN ĐỘ MUA HÀNG'!$A$5:$AT644, 0, XMATCH("NCC VTBB/NL trong nước", '6. TIẾN ĐỘ MUA HÀNG'!$A$4:$AT$4, 0))) = TRIM($B104)) * (TRIM(INDEX('6. TIẾN ĐỘ MUA HÀNG'!$A$5:$AT644, 0, XMATCH("Tháng", '6. TIẾN ĐỘ MUA HÀNG'!$A$4:$AT$4, 0))) = TRIM(F$6)) * (INDEX('6. TIẾN ĐỘ MUA HÀNG'!$A$5:$AT644, 0, XMATCH("Mã đơn Misa", '6. TIẾN ĐỘ MUA HÀNG'!$A$4:$AT$4, 0)) &lt;&gt; ""))</f>
        <v>0</v>
      </c>
      <c r="G104" s="756">
        <f t="array" ref="G104">SUMPRODUCT(
  (INDEX('6. TIẾN ĐỘ MUA HÀNG'!$A$5:$AT644, 0, XMATCH("NCC VTBB/NL trong nước", '6. TIẾN ĐỘ MUA HÀNG'!$A$4:$AT$4, 0)) = $B104) * (TRIM(INDEX('6. TIẾN ĐỘ MUA HÀNG'!$A$5:$AT644, 0, XMATCH("Tháng", '6. TIẾN ĐỘ MUA HÀNG'!$A$4:$AT$4, 0))) = TRIM(F$6)) * (INDEX('6. TIẾN ĐỘ MUA HÀNG'!$A$5:$AT644, 0, XMATCH("CL NGÀY NCC DỰ KIẾN - NGÀY NHẬN HÀNG", '6. TIẾN ĐỘ MUA HÀNG'!$A$4:$AT$4, 0)) &lt; 0)
)</f>
        <v>0</v>
      </c>
      <c r="H104" s="757">
        <f t="shared" si="15"/>
        <v>0</v>
      </c>
      <c r="I104" s="754">
        <f t="array" ref="I104">SUMPRODUCT((TRIM(INDEX('6. TIẾN ĐỘ MUA HÀNG'!$A$5:$AT644, 0, XMATCH("NCC VTBB/NL trong nước", '6. TIẾN ĐỘ MUA HÀNG'!$A$4:$AT$4, 0))) = TRIM($B104)) * (TRIM(INDEX('6. TIẾN ĐỘ MUA HÀNG'!$A$5:$AT644, 0, XMATCH("Tháng", '6. TIẾN ĐỘ MUA HÀNG'!$A$4:$AT$4, 0))) = TRIM(I$6)) * (INDEX('6. TIẾN ĐỘ MUA HÀNG'!$A$5:$AT644, 0, XMATCH("Mã đơn Misa", '6. TIẾN ĐỘ MUA HÀNG'!$A$4:$AT$4, 0)) &lt;&gt; ""))</f>
        <v>0</v>
      </c>
      <c r="J104" s="754">
        <f t="array" ref="J104">SUMPRODUCT(
  (INDEX('6. TIẾN ĐỘ MUA HÀNG'!$A$5:$AT644, 0, XMATCH("NCC VTBB/NL trong nước", '6. TIẾN ĐỘ MUA HÀNG'!$A$4:$AT$4, 0)) = $B104) * (TRIM(INDEX('6. TIẾN ĐỘ MUA HÀNG'!$A$5:$AT644, 0, XMATCH("Tháng", '6. TIẾN ĐỘ MUA HÀNG'!$A$4:$AT$4, 0))) = TRIM(I$6)) * (INDEX('6. TIẾN ĐỘ MUA HÀNG'!$A$5:$AT644, 0, XMATCH("CL NGÀY NCC DỰ KIẾN - NGÀY NHẬN HÀNG", '6. TIẾN ĐỘ MUA HÀNG'!$A$4:$AT$4, 0)) &lt; 0)
)</f>
        <v>0</v>
      </c>
      <c r="K104" s="755">
        <f t="shared" si="30"/>
        <v>0</v>
      </c>
      <c r="L104" s="756">
        <f t="array" ref="L104">SUMPRODUCT((TRIM(INDEX('6. TIẾN ĐỘ MUA HÀNG'!$A$5:$AT644, 0, XMATCH("NCC VTBB/NL trong nước", '6. TIẾN ĐỘ MUA HÀNG'!$A$4:$AT$4, 0))) = TRIM($B104)) * (TRIM(INDEX('6. TIẾN ĐỘ MUA HÀNG'!$A$5:$AT644, 0, XMATCH("Tháng", '6. TIẾN ĐỘ MUA HÀNG'!$A$4:$AT$4, 0))) = TRIM(L$6)) * (INDEX('6. TIẾN ĐỘ MUA HÀNG'!$A$5:$AT644, 0, XMATCH("Mã đơn Misa", '6. TIẾN ĐỘ MUA HÀNG'!$A$4:$AT$4, 0)) &lt;&gt; ""))</f>
        <v>0</v>
      </c>
      <c r="M104" s="756">
        <f t="array" ref="M104">SUMPRODUCT(
  (INDEX('6. TIẾN ĐỘ MUA HÀNG'!$A$5:$AT644, 0, XMATCH("NCC VTBB/NL trong nước", '6. TIẾN ĐỘ MUA HÀNG'!$A$4:$AT$4, 0)) = $B104) * (TRIM(INDEX('6. TIẾN ĐỘ MUA HÀNG'!$A$5:$AT644, 0, XMATCH("Tháng", '6. TIẾN ĐỘ MUA HÀNG'!$A$4:$AT$4, 0))) = TRIM(L$6)) * (INDEX('6. TIẾN ĐỘ MUA HÀNG'!$A$5:$AT644, 0, XMATCH("CL NGÀY NCC DỰ KIẾN - NGÀY NHẬN HÀNG", '6. TIẾN ĐỘ MUA HÀNG'!$A$4:$AT$4, 0)) &lt; 0)
)</f>
        <v>0</v>
      </c>
      <c r="N104" s="757">
        <f t="shared" si="17"/>
        <v>0</v>
      </c>
      <c r="O104" s="754">
        <f t="array" ref="O104">SUMPRODUCT((TRIM(INDEX('6. TIẾN ĐỘ MUA HÀNG'!$A$5:$AT644, 0, XMATCH("NCC VTBB/NL trong nước", '6. TIẾN ĐỘ MUA HÀNG'!$A$4:$AT$4, 0))) = TRIM($B104)) * (TRIM(INDEX('6. TIẾN ĐỘ MUA HÀNG'!$A$5:$AT644, 0, XMATCH("Tháng", '6. TIẾN ĐỘ MUA HÀNG'!$A$4:$AT$4, 0))) = TRIM(O$6)) * (INDEX('6. TIẾN ĐỘ MUA HÀNG'!$A$5:$AT644, 0, XMATCH("Mã đơn Misa", '6. TIẾN ĐỘ MUA HÀNG'!$A$4:$AT$4, 0)) &lt;&gt; ""))</f>
        <v>0</v>
      </c>
      <c r="P104" s="754">
        <f t="array" ref="P104">SUMPRODUCT(
  (INDEX('6. TIẾN ĐỘ MUA HÀNG'!$A$5:$AT644, 0, XMATCH("NCC VTBB/NL trong nước", '6. TIẾN ĐỘ MUA HÀNG'!$A$4:$AT$4, 0)) = $B104) * (TRIM(INDEX('6. TIẾN ĐỘ MUA HÀNG'!$A$5:$AT644, 0, XMATCH("Tháng", '6. TIẾN ĐỘ MUA HÀNG'!$A$4:$AT$4, 0))) = TRIM(O$6)) * (INDEX('6. TIẾN ĐỘ MUA HÀNG'!$A$5:$AT644, 0, XMATCH("CL NGÀY NCC DỰ KIẾN - NGÀY NHẬN HÀNG", '6. TIẾN ĐỘ MUA HÀNG'!$A$4:$AT$4, 0)) &lt; 0)
)</f>
        <v>0</v>
      </c>
      <c r="Q104" s="755">
        <f t="shared" si="31"/>
        <v>0</v>
      </c>
      <c r="R104" s="756">
        <f t="array" ref="R104">SUMPRODUCT((TRIM(INDEX('6. TIẾN ĐỘ MUA HÀNG'!$A$5:$AT644, 0, XMATCH("NCC VTBB/NL trong nước", '6. TIẾN ĐỘ MUA HÀNG'!$A$4:$AT$4, 0))) = TRIM($B104)) * (TRIM(INDEX('6. TIẾN ĐỘ MUA HÀNG'!$A$5:$AT644, 0, XMATCH("Tháng", '6. TIẾN ĐỘ MUA HÀNG'!$A$4:$AT$4, 0))) = TRIM(R$6)) * (INDEX('6. TIẾN ĐỘ MUA HÀNG'!$A$5:$AT644, 0, XMATCH("Mã đơn Misa", '6. TIẾN ĐỘ MUA HÀNG'!$A$4:$AT$4, 0)) &lt;&gt; ""))</f>
        <v>0</v>
      </c>
      <c r="S104" s="756">
        <f t="array" ref="S104">SUMPRODUCT(
  (INDEX('6. TIẾN ĐỘ MUA HÀNG'!$A$5:$AT644, 0, XMATCH("NCC VTBB/NL trong nước", '6. TIẾN ĐỘ MUA HÀNG'!$A$4:$AT$4, 0)) = $B104) * (TRIM(INDEX('6. TIẾN ĐỘ MUA HÀNG'!$A$5:$AT644, 0, XMATCH("Tháng", '6. TIẾN ĐỘ MUA HÀNG'!$A$4:$AT$4, 0))) = TRIM(R$6)) * (INDEX('6. TIẾN ĐỘ MUA HÀNG'!$A$5:$AT644, 0, XMATCH("CL NGÀY NCC DỰ KIẾN - NGÀY NHẬN HÀNG", '6. TIẾN ĐỘ MUA HÀNG'!$A$4:$AT$4, 0)) &lt; 0)
)</f>
        <v>0</v>
      </c>
      <c r="T104" s="757">
        <f t="shared" si="19"/>
        <v>0</v>
      </c>
      <c r="U104" s="754">
        <f t="array" ref="U104">SUMPRODUCT((TRIM(INDEX('6. TIẾN ĐỘ MUA HÀNG'!$A$5:$AT644, 0, XMATCH("NCC VTBB/NL trong nước", '6. TIẾN ĐỘ MUA HÀNG'!$A$4:$AT$4, 0))) = TRIM($B104)) * (TRIM(INDEX('6. TIẾN ĐỘ MUA HÀNG'!$A$5:$AT644, 0, XMATCH("Tháng", '6. TIẾN ĐỘ MUA HÀNG'!$A$4:$AT$4, 0))) = TRIM(U$6)) * (INDEX('6. TIẾN ĐỘ MUA HÀNG'!$A$5:$AT644, 0, XMATCH("Mã đơn Misa", '6. TIẾN ĐỘ MUA HÀNG'!$A$4:$AT$4, 0)) &lt;&gt; ""))</f>
        <v>0</v>
      </c>
      <c r="V104" s="754">
        <f t="array" ref="V104">SUMPRODUCT(
  (INDEX('6. TIẾN ĐỘ MUA HÀNG'!$A$5:$AT644, 0, XMATCH("NCC VTBB/NL trong nước", '6. TIẾN ĐỘ MUA HÀNG'!$A$4:$AT$4, 0)) = $B104) * (TRIM(INDEX('6. TIẾN ĐỘ MUA HÀNG'!$A$5:$AT644, 0, XMATCH("Tháng", '6. TIẾN ĐỘ MUA HÀNG'!$A$4:$AT$4, 0))) = TRIM(U$6)) * (INDEX('6. TIẾN ĐỘ MUA HÀNG'!$A$5:$AT644, 0, XMATCH("CL NGÀY NCC DỰ KIẾN - NGÀY NHẬN HÀNG", '6. TIẾN ĐỘ MUA HÀNG'!$A$4:$AT$4, 0)) &lt; 0)
)</f>
        <v>0</v>
      </c>
      <c r="W104" s="755">
        <f t="shared" si="32"/>
        <v>0</v>
      </c>
      <c r="X104" s="756">
        <f t="array" ref="X104">SUMPRODUCT((TRIM(INDEX('6. TIẾN ĐỘ MUA HÀNG'!$A$5:$AT644, 0, XMATCH("NCC VTBB/NL trong nước", '6. TIẾN ĐỘ MUA HÀNG'!$A$4:$AT$4, 0))) = TRIM($B104)) * (TRIM(INDEX('6. TIẾN ĐỘ MUA HÀNG'!$A$5:$AT644, 0, XMATCH("Tháng", '6. TIẾN ĐỘ MUA HÀNG'!$A$4:$AT$4, 0))) = TRIM(X$6)) * (INDEX('6. TIẾN ĐỘ MUA HÀNG'!$A$5:$AT644, 0, XMATCH("Mã đơn Misa", '6. TIẾN ĐỘ MUA HÀNG'!$A$4:$AT$4, 0)) &lt;&gt; ""))</f>
        <v>0</v>
      </c>
      <c r="Y104" s="756">
        <f t="array" ref="Y104">SUMPRODUCT(
  (INDEX('6. TIẾN ĐỘ MUA HÀNG'!$A$5:$AT644, 0, XMATCH("NCC VTBB/NL trong nước", '6. TIẾN ĐỘ MUA HÀNG'!$A$4:$AT$4, 0)) = $B104) * (TRIM(INDEX('6. TIẾN ĐỘ MUA HÀNG'!$A$5:$AT644, 0, XMATCH("Tháng", '6. TIẾN ĐỘ MUA HÀNG'!$A$4:$AT$4, 0))) = TRIM(X$6)) * (INDEX('6. TIẾN ĐỘ MUA HÀNG'!$A$5:$AT644, 0, XMATCH("CL NGÀY NCC DỰ KIẾN - NGÀY NHẬN HÀNG", '6. TIẾN ĐỘ MUA HÀNG'!$A$4:$AT$4, 0)) &lt; 0)
)</f>
        <v>0</v>
      </c>
      <c r="Z104" s="757">
        <f t="shared" si="21"/>
        <v>0</v>
      </c>
      <c r="AA104" s="754">
        <f t="array" ref="AA104">SUMPRODUCT((TRIM(INDEX('6. TIẾN ĐỘ MUA HÀNG'!$A$5:$AT644, 0, XMATCH("NCC VTBB/NL trong nước", '6. TIẾN ĐỘ MUA HÀNG'!$A$4:$AT$4, 0))) = TRIM($B104)) * (TRIM(INDEX('6. TIẾN ĐỘ MUA HÀNG'!$A$5:$AT644, 0, XMATCH("Tháng", '6. TIẾN ĐỘ MUA HÀNG'!$A$4:$AT$4, 0))) = TRIM(AA$6)) * (INDEX('6. TIẾN ĐỘ MUA HÀNG'!$A$5:$AT644, 0, XMATCH("Mã đơn Misa", '6. TIẾN ĐỘ MUA HÀNG'!$A$4:$AT$4, 0)) &lt;&gt; ""))</f>
        <v>0</v>
      </c>
      <c r="AB104" s="754">
        <f t="array" ref="AB104">SUMPRODUCT(
  (INDEX('6. TIẾN ĐỘ MUA HÀNG'!$A$5:$AT644, 0, XMATCH("NCC VTBB/NL trong nước", '6. TIẾN ĐỘ MUA HÀNG'!$A$4:$AT$4, 0)) = $B104) * (TRIM(INDEX('6. TIẾN ĐỘ MUA HÀNG'!$A$5:$AT644, 0, XMATCH("Tháng", '6. TIẾN ĐỘ MUA HÀNG'!$A$4:$AT$4, 0))) = TRIM(AA$6)) * (INDEX('6. TIẾN ĐỘ MUA HÀNG'!$A$5:$AT644, 0, XMATCH("CL NGÀY NCC DỰ KIẾN - NGÀY NHẬN HÀNG", '6. TIẾN ĐỘ MUA HÀNG'!$A$4:$AT$4, 0)) &lt; 0)
)</f>
        <v>0</v>
      </c>
      <c r="AC104" s="755">
        <f t="shared" si="33"/>
        <v>0</v>
      </c>
      <c r="AD104" s="756">
        <f t="array" ref="AD104">SUMPRODUCT((TRIM(INDEX('6. TIẾN ĐỘ MUA HÀNG'!$A$5:$AT644, 0, XMATCH("NCC VTBB/NL trong nước", '6. TIẾN ĐỘ MUA HÀNG'!$A$4:$AT$4, 0))) = TRIM($B104)) * (TRIM(INDEX('6. TIẾN ĐỘ MUA HÀNG'!$A$5:$AT644, 0, XMATCH("Tháng", '6. TIẾN ĐỘ MUA HÀNG'!$A$4:$AT$4, 0))) = TRIM(AD$6)) * (INDEX('6. TIẾN ĐỘ MUA HÀNG'!$A$5:$AT644, 0, XMATCH("Mã đơn Misa", '6. TIẾN ĐỘ MUA HÀNG'!$A$4:$AT$4, 0)) &lt;&gt; ""))</f>
        <v>0</v>
      </c>
      <c r="AE104" s="756">
        <f t="array" ref="AE104">SUMPRODUCT(
  (INDEX('6. TIẾN ĐỘ MUA HÀNG'!$A$5:$AT644, 0, XMATCH("NCC VTBB/NL trong nước", '6. TIẾN ĐỘ MUA HÀNG'!$A$4:$AT$4, 0)) = $B104) * (TRIM(INDEX('6. TIẾN ĐỘ MUA HÀNG'!$A$5:$AT644, 0, XMATCH("Tháng", '6. TIẾN ĐỘ MUA HÀNG'!$A$4:$AT$4, 0))) = TRIM(AD$6)) * (INDEX('6. TIẾN ĐỘ MUA HÀNG'!$A$5:$AT644, 0, XMATCH("CL NGÀY NCC DỰ KIẾN - NGÀY NHẬN HÀNG", '6. TIẾN ĐỘ MUA HÀNG'!$A$4:$AT$4, 0)) &lt; 0)
)</f>
        <v>0</v>
      </c>
      <c r="AF104" s="757">
        <f t="shared" si="23"/>
        <v>0</v>
      </c>
      <c r="AG104" s="754">
        <f t="array" ref="AG104">SUMPRODUCT((TRIM(INDEX('6. TIẾN ĐỘ MUA HÀNG'!$A$5:$AT644, 0, XMATCH("NCC VTBB/NL trong nước", '6. TIẾN ĐỘ MUA HÀNG'!$A$4:$AT$4, 0))) = TRIM($B104)) * (TRIM(INDEX('6. TIẾN ĐỘ MUA HÀNG'!$A$5:$AT644, 0, XMATCH("Tháng", '6. TIẾN ĐỘ MUA HÀNG'!$A$4:$AT$4, 0))) = TRIM(AG$6)) * (INDEX('6. TIẾN ĐỘ MUA HÀNG'!$A$5:$AT644, 0, XMATCH("Mã đơn Misa", '6. TIẾN ĐỘ MUA HÀNG'!$A$4:$AT$4, 0)) &lt;&gt; ""))</f>
        <v>0</v>
      </c>
      <c r="AH104" s="754">
        <f t="array" ref="AH104">SUMPRODUCT(
  (INDEX('6. TIẾN ĐỘ MUA HÀNG'!$A$5:$AT644, 0, XMATCH("NCC VTBB/NL trong nước", '6. TIẾN ĐỘ MUA HÀNG'!$A$4:$AT$4, 0)) = $B104) * (TRIM(INDEX('6. TIẾN ĐỘ MUA HÀNG'!$A$5:$AT644, 0, XMATCH("Tháng", '6. TIẾN ĐỘ MUA HÀNG'!$A$4:$AT$4, 0))) = TRIM(AG$6)) * (INDEX('6. TIẾN ĐỘ MUA HÀNG'!$A$5:$AT644, 0, XMATCH("CL NGÀY NCC DỰ KIẾN - NGÀY NHẬN HÀNG", '6. TIẾN ĐỘ MUA HÀNG'!$A$4:$AT$4, 0)) &lt; 0)
)</f>
        <v>0</v>
      </c>
      <c r="AI104" s="755">
        <f t="shared" si="34"/>
        <v>0</v>
      </c>
      <c r="AJ104" s="756">
        <f t="array" ref="AJ104">SUMPRODUCT((TRIM(INDEX('6. TIẾN ĐỘ MUA HÀNG'!$A$5:$AT644, 0, XMATCH("NCC VTBB/NL trong nước", '6. TIẾN ĐỘ MUA HÀNG'!$A$4:$AT$4, 0))) = TRIM($B104)) * (TRIM(INDEX('6. TIẾN ĐỘ MUA HÀNG'!$A$5:$AT644, 0, XMATCH("Tháng", '6. TIẾN ĐỘ MUA HÀNG'!$A$4:$AT$4, 0))) = TRIM(AJ$6)) * (INDEX('6. TIẾN ĐỘ MUA HÀNG'!$A$5:$AT644, 0, XMATCH("Mã đơn Misa", '6. TIẾN ĐỘ MUA HÀNG'!$A$4:$AT$4, 0)) &lt;&gt; ""))</f>
        <v>0</v>
      </c>
      <c r="AK104" s="756">
        <f t="array" ref="AK104">SUMPRODUCT(
  (INDEX('6. TIẾN ĐỘ MUA HÀNG'!$A$5:$AT644, 0, XMATCH("NCC VTBB/NL trong nước", '6. TIẾN ĐỘ MUA HÀNG'!$A$4:$AT$4, 0)) = $B104) * (TRIM(INDEX('6. TIẾN ĐỘ MUA HÀNG'!$A$5:$AT644, 0, XMATCH("Tháng", '6. TIẾN ĐỘ MUA HÀNG'!$A$4:$AT$4, 0))) = TRIM(AJ$6)) * (INDEX('6. TIẾN ĐỘ MUA HÀNG'!$A$5:$AT644, 0, XMATCH("CL NGÀY NCC DỰ KIẾN - NGÀY NHẬN HÀNG", '6. TIẾN ĐỘ MUA HÀNG'!$A$4:$AT$4, 0)) &lt; 0)
)</f>
        <v>0</v>
      </c>
      <c r="AL104" s="757">
        <f t="shared" si="25"/>
        <v>0</v>
      </c>
      <c r="AM104" s="726">
        <f t="shared" si="27"/>
        <v>0</v>
      </c>
      <c r="AN104" s="726">
        <f t="shared" si="28"/>
        <v>0</v>
      </c>
      <c r="AO104" s="727">
        <f t="shared" si="26"/>
        <v>0</v>
      </c>
    </row>
    <row r="105">
      <c r="A105" s="612">
        <v>97.0</v>
      </c>
      <c r="B105" s="624" t="str">
        <f>IFERROR(__xludf.DUMMYFUNCTION("""COMPUTED_VALUE"""),"Bao Bì Giấy An Tín")</f>
        <v>Bao Bì Giấy An Tín</v>
      </c>
      <c r="C105" s="754">
        <f t="array" ref="C105">SUMPRODUCT((TRIM(INDEX('6. TIẾN ĐỘ MUA HÀNG'!$A$5:$AT644, 0, XMATCH("NCC VTBB/NL trong nước", '6. TIẾN ĐỘ MUA HÀNG'!$A$4:$AT$4, 0))) = TRIM($B105)) * (TRIM(INDEX('6. TIẾN ĐỘ MUA HÀNG'!$A$5:$AT644, 0, XMATCH("Tháng", '6. TIẾN ĐỘ MUA HÀNG'!$A$4:$AT$4, 0))) = TRIM(C$6)) * (INDEX('6. TIẾN ĐỘ MUA HÀNG'!$A$5:$AT644, 0, XMATCH("Mã đơn Misa", '6. TIẾN ĐỘ MUA HÀNG'!$A$4:$AT$4, 0)) &lt;&gt; ""))</f>
        <v>0</v>
      </c>
      <c r="D105" s="754">
        <f t="array" ref="D105">SUMPRODUCT(
  (INDEX('6. TIẾN ĐỘ MUA HÀNG'!$A$5:$AT644, 0, XMATCH("NCC VTBB/NL trong nước", '6. TIẾN ĐỘ MUA HÀNG'!$A$4:$AT$4, 0)) = $B105) * (TRIM(INDEX('6. TIẾN ĐỘ MUA HÀNG'!$A$5:$AT644, 0, XMATCH("Tháng", '6. TIẾN ĐỘ MUA HÀNG'!$A$4:$AT$4, 0))) = TRIM(C$6)) * (INDEX('6. TIẾN ĐỘ MUA HÀNG'!$A$5:$AT644, 0, XMATCH("CL NGÀY NCC DỰ KIẾN - NGÀY NHẬN HÀNG", '6. TIẾN ĐỘ MUA HÀNG'!$A$4:$AT$4, 0)) &lt; 0)
)</f>
        <v>0</v>
      </c>
      <c r="E105" s="755">
        <f t="shared" si="29"/>
        <v>0</v>
      </c>
      <c r="F105" s="756">
        <f t="array" ref="F105">SUMPRODUCT((TRIM(INDEX('6. TIẾN ĐỘ MUA HÀNG'!$A$5:$AT644, 0, XMATCH("NCC VTBB/NL trong nước", '6. TIẾN ĐỘ MUA HÀNG'!$A$4:$AT$4, 0))) = TRIM($B105)) * (TRIM(INDEX('6. TIẾN ĐỘ MUA HÀNG'!$A$5:$AT644, 0, XMATCH("Tháng", '6. TIẾN ĐỘ MUA HÀNG'!$A$4:$AT$4, 0))) = TRIM(F$6)) * (INDEX('6. TIẾN ĐỘ MUA HÀNG'!$A$5:$AT644, 0, XMATCH("Mã đơn Misa", '6. TIẾN ĐỘ MUA HÀNG'!$A$4:$AT$4, 0)) &lt;&gt; ""))</f>
        <v>0</v>
      </c>
      <c r="G105" s="756">
        <f t="array" ref="G105">SUMPRODUCT(
  (INDEX('6. TIẾN ĐỘ MUA HÀNG'!$A$5:$AT644, 0, XMATCH("NCC VTBB/NL trong nước", '6. TIẾN ĐỘ MUA HÀNG'!$A$4:$AT$4, 0)) = $B105) * (TRIM(INDEX('6. TIẾN ĐỘ MUA HÀNG'!$A$5:$AT644, 0, XMATCH("Tháng", '6. TIẾN ĐỘ MUA HÀNG'!$A$4:$AT$4, 0))) = TRIM(F$6)) * (INDEX('6. TIẾN ĐỘ MUA HÀNG'!$A$5:$AT644, 0, XMATCH("CL NGÀY NCC DỰ KIẾN - NGÀY NHẬN HÀNG", '6. TIẾN ĐỘ MUA HÀNG'!$A$4:$AT$4, 0)) &lt; 0)
)</f>
        <v>0</v>
      </c>
      <c r="H105" s="757">
        <f t="shared" si="15"/>
        <v>0</v>
      </c>
      <c r="I105" s="754">
        <f t="array" ref="I105">SUMPRODUCT((TRIM(INDEX('6. TIẾN ĐỘ MUA HÀNG'!$A$5:$AT644, 0, XMATCH("NCC VTBB/NL trong nước", '6. TIẾN ĐỘ MUA HÀNG'!$A$4:$AT$4, 0))) = TRIM($B105)) * (TRIM(INDEX('6. TIẾN ĐỘ MUA HÀNG'!$A$5:$AT644, 0, XMATCH("Tháng", '6. TIẾN ĐỘ MUA HÀNG'!$A$4:$AT$4, 0))) = TRIM(I$6)) * (INDEX('6. TIẾN ĐỘ MUA HÀNG'!$A$5:$AT644, 0, XMATCH("Mã đơn Misa", '6. TIẾN ĐỘ MUA HÀNG'!$A$4:$AT$4, 0)) &lt;&gt; ""))</f>
        <v>0</v>
      </c>
      <c r="J105" s="754">
        <f t="array" ref="J105">SUMPRODUCT(
  (INDEX('6. TIẾN ĐỘ MUA HÀNG'!$A$5:$AT644, 0, XMATCH("NCC VTBB/NL trong nước", '6. TIẾN ĐỘ MUA HÀNG'!$A$4:$AT$4, 0)) = $B105) * (TRIM(INDEX('6. TIẾN ĐỘ MUA HÀNG'!$A$5:$AT644, 0, XMATCH("Tháng", '6. TIẾN ĐỘ MUA HÀNG'!$A$4:$AT$4, 0))) = TRIM(I$6)) * (INDEX('6. TIẾN ĐỘ MUA HÀNG'!$A$5:$AT644, 0, XMATCH("CL NGÀY NCC DỰ KIẾN - NGÀY NHẬN HÀNG", '6. TIẾN ĐỘ MUA HÀNG'!$A$4:$AT$4, 0)) &lt; 0)
)</f>
        <v>0</v>
      </c>
      <c r="K105" s="755">
        <f t="shared" si="30"/>
        <v>0</v>
      </c>
      <c r="L105" s="756">
        <f t="array" ref="L105">SUMPRODUCT((TRIM(INDEX('6. TIẾN ĐỘ MUA HÀNG'!$A$5:$AT644, 0, XMATCH("NCC VTBB/NL trong nước", '6. TIẾN ĐỘ MUA HÀNG'!$A$4:$AT$4, 0))) = TRIM($B105)) * (TRIM(INDEX('6. TIẾN ĐỘ MUA HÀNG'!$A$5:$AT644, 0, XMATCH("Tháng", '6. TIẾN ĐỘ MUA HÀNG'!$A$4:$AT$4, 0))) = TRIM(L$6)) * (INDEX('6. TIẾN ĐỘ MUA HÀNG'!$A$5:$AT644, 0, XMATCH("Mã đơn Misa", '6. TIẾN ĐỘ MUA HÀNG'!$A$4:$AT$4, 0)) &lt;&gt; ""))</f>
        <v>0</v>
      </c>
      <c r="M105" s="756">
        <f t="array" ref="M105">SUMPRODUCT(
  (INDEX('6. TIẾN ĐỘ MUA HÀNG'!$A$5:$AT644, 0, XMATCH("NCC VTBB/NL trong nước", '6. TIẾN ĐỘ MUA HÀNG'!$A$4:$AT$4, 0)) = $B105) * (TRIM(INDEX('6. TIẾN ĐỘ MUA HÀNG'!$A$5:$AT644, 0, XMATCH("Tháng", '6. TIẾN ĐỘ MUA HÀNG'!$A$4:$AT$4, 0))) = TRIM(L$6)) * (INDEX('6. TIẾN ĐỘ MUA HÀNG'!$A$5:$AT644, 0, XMATCH("CL NGÀY NCC DỰ KIẾN - NGÀY NHẬN HÀNG", '6. TIẾN ĐỘ MUA HÀNG'!$A$4:$AT$4, 0)) &lt; 0)
)</f>
        <v>0</v>
      </c>
      <c r="N105" s="757">
        <f t="shared" si="17"/>
        <v>0</v>
      </c>
      <c r="O105" s="754">
        <f t="array" ref="O105">SUMPRODUCT((TRIM(INDEX('6. TIẾN ĐỘ MUA HÀNG'!$A$5:$AT644, 0, XMATCH("NCC VTBB/NL trong nước", '6. TIẾN ĐỘ MUA HÀNG'!$A$4:$AT$4, 0))) = TRIM($B105)) * (TRIM(INDEX('6. TIẾN ĐỘ MUA HÀNG'!$A$5:$AT644, 0, XMATCH("Tháng", '6. TIẾN ĐỘ MUA HÀNG'!$A$4:$AT$4, 0))) = TRIM(O$6)) * (INDEX('6. TIẾN ĐỘ MUA HÀNG'!$A$5:$AT644, 0, XMATCH("Mã đơn Misa", '6. TIẾN ĐỘ MUA HÀNG'!$A$4:$AT$4, 0)) &lt;&gt; ""))</f>
        <v>0</v>
      </c>
      <c r="P105" s="754">
        <f t="array" ref="P105">SUMPRODUCT(
  (INDEX('6. TIẾN ĐỘ MUA HÀNG'!$A$5:$AT644, 0, XMATCH("NCC VTBB/NL trong nước", '6. TIẾN ĐỘ MUA HÀNG'!$A$4:$AT$4, 0)) = $B105) * (TRIM(INDEX('6. TIẾN ĐỘ MUA HÀNG'!$A$5:$AT644, 0, XMATCH("Tháng", '6. TIẾN ĐỘ MUA HÀNG'!$A$4:$AT$4, 0))) = TRIM(O$6)) * (INDEX('6. TIẾN ĐỘ MUA HÀNG'!$A$5:$AT644, 0, XMATCH("CL NGÀY NCC DỰ KIẾN - NGÀY NHẬN HÀNG", '6. TIẾN ĐỘ MUA HÀNG'!$A$4:$AT$4, 0)) &lt; 0)
)</f>
        <v>0</v>
      </c>
      <c r="Q105" s="755">
        <f t="shared" si="31"/>
        <v>0</v>
      </c>
      <c r="R105" s="756">
        <f t="array" ref="R105">SUMPRODUCT((TRIM(INDEX('6. TIẾN ĐỘ MUA HÀNG'!$A$5:$AT644, 0, XMATCH("NCC VTBB/NL trong nước", '6. TIẾN ĐỘ MUA HÀNG'!$A$4:$AT$4, 0))) = TRIM($B105)) * (TRIM(INDEX('6. TIẾN ĐỘ MUA HÀNG'!$A$5:$AT644, 0, XMATCH("Tháng", '6. TIẾN ĐỘ MUA HÀNG'!$A$4:$AT$4, 0))) = TRIM(R$6)) * (INDEX('6. TIẾN ĐỘ MUA HÀNG'!$A$5:$AT644, 0, XMATCH("Mã đơn Misa", '6. TIẾN ĐỘ MUA HÀNG'!$A$4:$AT$4, 0)) &lt;&gt; ""))</f>
        <v>0</v>
      </c>
      <c r="S105" s="756">
        <f t="array" ref="S105">SUMPRODUCT(
  (INDEX('6. TIẾN ĐỘ MUA HÀNG'!$A$5:$AT644, 0, XMATCH("NCC VTBB/NL trong nước", '6. TIẾN ĐỘ MUA HÀNG'!$A$4:$AT$4, 0)) = $B105) * (TRIM(INDEX('6. TIẾN ĐỘ MUA HÀNG'!$A$5:$AT644, 0, XMATCH("Tháng", '6. TIẾN ĐỘ MUA HÀNG'!$A$4:$AT$4, 0))) = TRIM(R$6)) * (INDEX('6. TIẾN ĐỘ MUA HÀNG'!$A$5:$AT644, 0, XMATCH("CL NGÀY NCC DỰ KIẾN - NGÀY NHẬN HÀNG", '6. TIẾN ĐỘ MUA HÀNG'!$A$4:$AT$4, 0)) &lt; 0)
)</f>
        <v>0</v>
      </c>
      <c r="T105" s="757">
        <f t="shared" si="19"/>
        <v>0</v>
      </c>
      <c r="U105" s="754">
        <f t="array" ref="U105">SUMPRODUCT((TRIM(INDEX('6. TIẾN ĐỘ MUA HÀNG'!$A$5:$AT644, 0, XMATCH("NCC VTBB/NL trong nước", '6. TIẾN ĐỘ MUA HÀNG'!$A$4:$AT$4, 0))) = TRIM($B105)) * (TRIM(INDEX('6. TIẾN ĐỘ MUA HÀNG'!$A$5:$AT644, 0, XMATCH("Tháng", '6. TIẾN ĐỘ MUA HÀNG'!$A$4:$AT$4, 0))) = TRIM(U$6)) * (INDEX('6. TIẾN ĐỘ MUA HÀNG'!$A$5:$AT644, 0, XMATCH("Mã đơn Misa", '6. TIẾN ĐỘ MUA HÀNG'!$A$4:$AT$4, 0)) &lt;&gt; ""))</f>
        <v>0</v>
      </c>
      <c r="V105" s="754">
        <f t="array" ref="V105">SUMPRODUCT(
  (INDEX('6. TIẾN ĐỘ MUA HÀNG'!$A$5:$AT644, 0, XMATCH("NCC VTBB/NL trong nước", '6. TIẾN ĐỘ MUA HÀNG'!$A$4:$AT$4, 0)) = $B105) * (TRIM(INDEX('6. TIẾN ĐỘ MUA HÀNG'!$A$5:$AT644, 0, XMATCH("Tháng", '6. TIẾN ĐỘ MUA HÀNG'!$A$4:$AT$4, 0))) = TRIM(U$6)) * (INDEX('6. TIẾN ĐỘ MUA HÀNG'!$A$5:$AT644, 0, XMATCH("CL NGÀY NCC DỰ KIẾN - NGÀY NHẬN HÀNG", '6. TIẾN ĐỘ MUA HÀNG'!$A$4:$AT$4, 0)) &lt; 0)
)</f>
        <v>0</v>
      </c>
      <c r="W105" s="755">
        <f t="shared" si="32"/>
        <v>0</v>
      </c>
      <c r="X105" s="756">
        <f t="array" ref="X105">SUMPRODUCT((TRIM(INDEX('6. TIẾN ĐỘ MUA HÀNG'!$A$5:$AT644, 0, XMATCH("NCC VTBB/NL trong nước", '6. TIẾN ĐỘ MUA HÀNG'!$A$4:$AT$4, 0))) = TRIM($B105)) * (TRIM(INDEX('6. TIẾN ĐỘ MUA HÀNG'!$A$5:$AT644, 0, XMATCH("Tháng", '6. TIẾN ĐỘ MUA HÀNG'!$A$4:$AT$4, 0))) = TRIM(X$6)) * (INDEX('6. TIẾN ĐỘ MUA HÀNG'!$A$5:$AT644, 0, XMATCH("Mã đơn Misa", '6. TIẾN ĐỘ MUA HÀNG'!$A$4:$AT$4, 0)) &lt;&gt; ""))</f>
        <v>0</v>
      </c>
      <c r="Y105" s="756">
        <f t="array" ref="Y105">SUMPRODUCT(
  (INDEX('6. TIẾN ĐỘ MUA HÀNG'!$A$5:$AT644, 0, XMATCH("NCC VTBB/NL trong nước", '6. TIẾN ĐỘ MUA HÀNG'!$A$4:$AT$4, 0)) = $B105) * (TRIM(INDEX('6. TIẾN ĐỘ MUA HÀNG'!$A$5:$AT644, 0, XMATCH("Tháng", '6. TIẾN ĐỘ MUA HÀNG'!$A$4:$AT$4, 0))) = TRIM(X$6)) * (INDEX('6. TIẾN ĐỘ MUA HÀNG'!$A$5:$AT644, 0, XMATCH("CL NGÀY NCC DỰ KIẾN - NGÀY NHẬN HÀNG", '6. TIẾN ĐỘ MUA HÀNG'!$A$4:$AT$4, 0)) &lt; 0)
)</f>
        <v>0</v>
      </c>
      <c r="Z105" s="757">
        <f t="shared" si="21"/>
        <v>0</v>
      </c>
      <c r="AA105" s="754">
        <f t="array" ref="AA105">SUMPRODUCT((TRIM(INDEX('6. TIẾN ĐỘ MUA HÀNG'!$A$5:$AT644, 0, XMATCH("NCC VTBB/NL trong nước", '6. TIẾN ĐỘ MUA HÀNG'!$A$4:$AT$4, 0))) = TRIM($B105)) * (TRIM(INDEX('6. TIẾN ĐỘ MUA HÀNG'!$A$5:$AT644, 0, XMATCH("Tháng", '6. TIẾN ĐỘ MUA HÀNG'!$A$4:$AT$4, 0))) = TRIM(AA$6)) * (INDEX('6. TIẾN ĐỘ MUA HÀNG'!$A$5:$AT644, 0, XMATCH("Mã đơn Misa", '6. TIẾN ĐỘ MUA HÀNG'!$A$4:$AT$4, 0)) &lt;&gt; ""))</f>
        <v>0</v>
      </c>
      <c r="AB105" s="754">
        <f t="array" ref="AB105">SUMPRODUCT(
  (INDEX('6. TIẾN ĐỘ MUA HÀNG'!$A$5:$AT644, 0, XMATCH("NCC VTBB/NL trong nước", '6. TIẾN ĐỘ MUA HÀNG'!$A$4:$AT$4, 0)) = $B105) * (TRIM(INDEX('6. TIẾN ĐỘ MUA HÀNG'!$A$5:$AT644, 0, XMATCH("Tháng", '6. TIẾN ĐỘ MUA HÀNG'!$A$4:$AT$4, 0))) = TRIM(AA$6)) * (INDEX('6. TIẾN ĐỘ MUA HÀNG'!$A$5:$AT644, 0, XMATCH("CL NGÀY NCC DỰ KIẾN - NGÀY NHẬN HÀNG", '6. TIẾN ĐỘ MUA HÀNG'!$A$4:$AT$4, 0)) &lt; 0)
)</f>
        <v>0</v>
      </c>
      <c r="AC105" s="755">
        <f t="shared" si="33"/>
        <v>0</v>
      </c>
      <c r="AD105" s="756">
        <f t="array" ref="AD105">SUMPRODUCT((TRIM(INDEX('6. TIẾN ĐỘ MUA HÀNG'!$A$5:$AT644, 0, XMATCH("NCC VTBB/NL trong nước", '6. TIẾN ĐỘ MUA HÀNG'!$A$4:$AT$4, 0))) = TRIM($B105)) * (TRIM(INDEX('6. TIẾN ĐỘ MUA HÀNG'!$A$5:$AT644, 0, XMATCH("Tháng", '6. TIẾN ĐỘ MUA HÀNG'!$A$4:$AT$4, 0))) = TRIM(AD$6)) * (INDEX('6. TIẾN ĐỘ MUA HÀNG'!$A$5:$AT644, 0, XMATCH("Mã đơn Misa", '6. TIẾN ĐỘ MUA HÀNG'!$A$4:$AT$4, 0)) &lt;&gt; ""))</f>
        <v>0</v>
      </c>
      <c r="AE105" s="756">
        <f t="array" ref="AE105">SUMPRODUCT(
  (INDEX('6. TIẾN ĐỘ MUA HÀNG'!$A$5:$AT644, 0, XMATCH("NCC VTBB/NL trong nước", '6. TIẾN ĐỘ MUA HÀNG'!$A$4:$AT$4, 0)) = $B105) * (TRIM(INDEX('6. TIẾN ĐỘ MUA HÀNG'!$A$5:$AT644, 0, XMATCH("Tháng", '6. TIẾN ĐỘ MUA HÀNG'!$A$4:$AT$4, 0))) = TRIM(AD$6)) * (INDEX('6. TIẾN ĐỘ MUA HÀNG'!$A$5:$AT644, 0, XMATCH("CL NGÀY NCC DỰ KIẾN - NGÀY NHẬN HÀNG", '6. TIẾN ĐỘ MUA HÀNG'!$A$4:$AT$4, 0)) &lt; 0)
)</f>
        <v>0</v>
      </c>
      <c r="AF105" s="757">
        <f t="shared" si="23"/>
        <v>0</v>
      </c>
      <c r="AG105" s="754">
        <f t="array" ref="AG105">SUMPRODUCT((TRIM(INDEX('6. TIẾN ĐỘ MUA HÀNG'!$A$5:$AT644, 0, XMATCH("NCC VTBB/NL trong nước", '6. TIẾN ĐỘ MUA HÀNG'!$A$4:$AT$4, 0))) = TRIM($B105)) * (TRIM(INDEX('6. TIẾN ĐỘ MUA HÀNG'!$A$5:$AT644, 0, XMATCH("Tháng", '6. TIẾN ĐỘ MUA HÀNG'!$A$4:$AT$4, 0))) = TRIM(AG$6)) * (INDEX('6. TIẾN ĐỘ MUA HÀNG'!$A$5:$AT644, 0, XMATCH("Mã đơn Misa", '6. TIẾN ĐỘ MUA HÀNG'!$A$4:$AT$4, 0)) &lt;&gt; ""))</f>
        <v>0</v>
      </c>
      <c r="AH105" s="754">
        <f t="array" ref="AH105">SUMPRODUCT(
  (INDEX('6. TIẾN ĐỘ MUA HÀNG'!$A$5:$AT644, 0, XMATCH("NCC VTBB/NL trong nước", '6. TIẾN ĐỘ MUA HÀNG'!$A$4:$AT$4, 0)) = $B105) * (TRIM(INDEX('6. TIẾN ĐỘ MUA HÀNG'!$A$5:$AT644, 0, XMATCH("Tháng", '6. TIẾN ĐỘ MUA HÀNG'!$A$4:$AT$4, 0))) = TRIM(AG$6)) * (INDEX('6. TIẾN ĐỘ MUA HÀNG'!$A$5:$AT644, 0, XMATCH("CL NGÀY NCC DỰ KIẾN - NGÀY NHẬN HÀNG", '6. TIẾN ĐỘ MUA HÀNG'!$A$4:$AT$4, 0)) &lt; 0)
)</f>
        <v>0</v>
      </c>
      <c r="AI105" s="755">
        <f t="shared" si="34"/>
        <v>0</v>
      </c>
      <c r="AJ105" s="756">
        <f t="array" ref="AJ105">SUMPRODUCT((TRIM(INDEX('6. TIẾN ĐỘ MUA HÀNG'!$A$5:$AT644, 0, XMATCH("NCC VTBB/NL trong nước", '6. TIẾN ĐỘ MUA HÀNG'!$A$4:$AT$4, 0))) = TRIM($B105)) * (TRIM(INDEX('6. TIẾN ĐỘ MUA HÀNG'!$A$5:$AT644, 0, XMATCH("Tháng", '6. TIẾN ĐỘ MUA HÀNG'!$A$4:$AT$4, 0))) = TRIM(AJ$6)) * (INDEX('6. TIẾN ĐỘ MUA HÀNG'!$A$5:$AT644, 0, XMATCH("Mã đơn Misa", '6. TIẾN ĐỘ MUA HÀNG'!$A$4:$AT$4, 0)) &lt;&gt; ""))</f>
        <v>0</v>
      </c>
      <c r="AK105" s="756">
        <f t="array" ref="AK105">SUMPRODUCT(
  (INDEX('6. TIẾN ĐỘ MUA HÀNG'!$A$5:$AT644, 0, XMATCH("NCC VTBB/NL trong nước", '6. TIẾN ĐỘ MUA HÀNG'!$A$4:$AT$4, 0)) = $B105) * (TRIM(INDEX('6. TIẾN ĐỘ MUA HÀNG'!$A$5:$AT644, 0, XMATCH("Tháng", '6. TIẾN ĐỘ MUA HÀNG'!$A$4:$AT$4, 0))) = TRIM(AJ$6)) * (INDEX('6. TIẾN ĐỘ MUA HÀNG'!$A$5:$AT644, 0, XMATCH("CL NGÀY NCC DỰ KIẾN - NGÀY NHẬN HÀNG", '6. TIẾN ĐỘ MUA HÀNG'!$A$4:$AT$4, 0)) &lt; 0)
)</f>
        <v>0</v>
      </c>
      <c r="AL105" s="757">
        <f t="shared" si="25"/>
        <v>0</v>
      </c>
      <c r="AM105" s="726">
        <f t="shared" si="27"/>
        <v>0</v>
      </c>
      <c r="AN105" s="726">
        <f t="shared" si="28"/>
        <v>0</v>
      </c>
      <c r="AO105" s="727">
        <f t="shared" si="26"/>
        <v>0</v>
      </c>
    </row>
    <row r="106">
      <c r="A106" s="612">
        <v>98.0</v>
      </c>
      <c r="B106" s="624" t="str">
        <f>IFERROR(__xludf.DUMMYFUNCTION("""COMPUTED_VALUE"""),"Bao Bì Trọng Tín")</f>
        <v>Bao Bì Trọng Tín</v>
      </c>
      <c r="C106" s="754">
        <f t="array" ref="C106">SUMPRODUCT((TRIM(INDEX('6. TIẾN ĐỘ MUA HÀNG'!$A$5:$AT644, 0, XMATCH("NCC VTBB/NL trong nước", '6. TIẾN ĐỘ MUA HÀNG'!$A$4:$AT$4, 0))) = TRIM($B106)) * (TRIM(INDEX('6. TIẾN ĐỘ MUA HÀNG'!$A$5:$AT644, 0, XMATCH("Tháng", '6. TIẾN ĐỘ MUA HÀNG'!$A$4:$AT$4, 0))) = TRIM(C$6)) * (INDEX('6. TIẾN ĐỘ MUA HÀNG'!$A$5:$AT644, 0, XMATCH("Mã đơn Misa", '6. TIẾN ĐỘ MUA HÀNG'!$A$4:$AT$4, 0)) &lt;&gt; ""))</f>
        <v>0</v>
      </c>
      <c r="D106" s="754">
        <f t="array" ref="D106">SUMPRODUCT(
  (INDEX('6. TIẾN ĐỘ MUA HÀNG'!$A$5:$AT644, 0, XMATCH("NCC VTBB/NL trong nước", '6. TIẾN ĐỘ MUA HÀNG'!$A$4:$AT$4, 0)) = $B106) * (TRIM(INDEX('6. TIẾN ĐỘ MUA HÀNG'!$A$5:$AT644, 0, XMATCH("Tháng", '6. TIẾN ĐỘ MUA HÀNG'!$A$4:$AT$4, 0))) = TRIM(C$6)) * (INDEX('6. TIẾN ĐỘ MUA HÀNG'!$A$5:$AT644, 0, XMATCH("CL NGÀY NCC DỰ KIẾN - NGÀY NHẬN HÀNG", '6. TIẾN ĐỘ MUA HÀNG'!$A$4:$AT$4, 0)) &lt; 0)
)</f>
        <v>0</v>
      </c>
      <c r="E106" s="755">
        <f t="shared" si="29"/>
        <v>0</v>
      </c>
      <c r="F106" s="756">
        <f t="array" ref="F106">SUMPRODUCT((TRIM(INDEX('6. TIẾN ĐỘ MUA HÀNG'!$A$5:$AT644, 0, XMATCH("NCC VTBB/NL trong nước", '6. TIẾN ĐỘ MUA HÀNG'!$A$4:$AT$4, 0))) = TRIM($B106)) * (TRIM(INDEX('6. TIẾN ĐỘ MUA HÀNG'!$A$5:$AT644, 0, XMATCH("Tháng", '6. TIẾN ĐỘ MUA HÀNG'!$A$4:$AT$4, 0))) = TRIM(F$6)) * (INDEX('6. TIẾN ĐỘ MUA HÀNG'!$A$5:$AT644, 0, XMATCH("Mã đơn Misa", '6. TIẾN ĐỘ MUA HÀNG'!$A$4:$AT$4, 0)) &lt;&gt; ""))</f>
        <v>0</v>
      </c>
      <c r="G106" s="756">
        <f t="array" ref="G106">SUMPRODUCT(
  (INDEX('6. TIẾN ĐỘ MUA HÀNG'!$A$5:$AT644, 0, XMATCH("NCC VTBB/NL trong nước", '6. TIẾN ĐỘ MUA HÀNG'!$A$4:$AT$4, 0)) = $B106) * (TRIM(INDEX('6. TIẾN ĐỘ MUA HÀNG'!$A$5:$AT644, 0, XMATCH("Tháng", '6. TIẾN ĐỘ MUA HÀNG'!$A$4:$AT$4, 0))) = TRIM(F$6)) * (INDEX('6. TIẾN ĐỘ MUA HÀNG'!$A$5:$AT644, 0, XMATCH("CL NGÀY NCC DỰ KIẾN - NGÀY NHẬN HÀNG", '6. TIẾN ĐỘ MUA HÀNG'!$A$4:$AT$4, 0)) &lt; 0)
)</f>
        <v>0</v>
      </c>
      <c r="H106" s="757">
        <f t="shared" si="15"/>
        <v>0</v>
      </c>
      <c r="I106" s="754">
        <f t="array" ref="I106">SUMPRODUCT((TRIM(INDEX('6. TIẾN ĐỘ MUA HÀNG'!$A$5:$AT644, 0, XMATCH("NCC VTBB/NL trong nước", '6. TIẾN ĐỘ MUA HÀNG'!$A$4:$AT$4, 0))) = TRIM($B106)) * (TRIM(INDEX('6. TIẾN ĐỘ MUA HÀNG'!$A$5:$AT644, 0, XMATCH("Tháng", '6. TIẾN ĐỘ MUA HÀNG'!$A$4:$AT$4, 0))) = TRIM(I$6)) * (INDEX('6. TIẾN ĐỘ MUA HÀNG'!$A$5:$AT644, 0, XMATCH("Mã đơn Misa", '6. TIẾN ĐỘ MUA HÀNG'!$A$4:$AT$4, 0)) &lt;&gt; ""))</f>
        <v>0</v>
      </c>
      <c r="J106" s="754">
        <f t="array" ref="J106">SUMPRODUCT(
  (INDEX('6. TIẾN ĐỘ MUA HÀNG'!$A$5:$AT644, 0, XMATCH("NCC VTBB/NL trong nước", '6. TIẾN ĐỘ MUA HÀNG'!$A$4:$AT$4, 0)) = $B106) * (TRIM(INDEX('6. TIẾN ĐỘ MUA HÀNG'!$A$5:$AT644, 0, XMATCH("Tháng", '6. TIẾN ĐỘ MUA HÀNG'!$A$4:$AT$4, 0))) = TRIM(I$6)) * (INDEX('6. TIẾN ĐỘ MUA HÀNG'!$A$5:$AT644, 0, XMATCH("CL NGÀY NCC DỰ KIẾN - NGÀY NHẬN HÀNG", '6. TIẾN ĐỘ MUA HÀNG'!$A$4:$AT$4, 0)) &lt; 0)
)</f>
        <v>0</v>
      </c>
      <c r="K106" s="755">
        <f t="shared" si="30"/>
        <v>0</v>
      </c>
      <c r="L106" s="756">
        <f t="array" ref="L106">SUMPRODUCT((TRIM(INDEX('6. TIẾN ĐỘ MUA HÀNG'!$A$5:$AT644, 0, XMATCH("NCC VTBB/NL trong nước", '6. TIẾN ĐỘ MUA HÀNG'!$A$4:$AT$4, 0))) = TRIM($B106)) * (TRIM(INDEX('6. TIẾN ĐỘ MUA HÀNG'!$A$5:$AT644, 0, XMATCH("Tháng", '6. TIẾN ĐỘ MUA HÀNG'!$A$4:$AT$4, 0))) = TRIM(L$6)) * (INDEX('6. TIẾN ĐỘ MUA HÀNG'!$A$5:$AT644, 0, XMATCH("Mã đơn Misa", '6. TIẾN ĐỘ MUA HÀNG'!$A$4:$AT$4, 0)) &lt;&gt; ""))</f>
        <v>0</v>
      </c>
      <c r="M106" s="756">
        <f t="array" ref="M106">SUMPRODUCT(
  (INDEX('6. TIẾN ĐỘ MUA HÀNG'!$A$5:$AT644, 0, XMATCH("NCC VTBB/NL trong nước", '6. TIẾN ĐỘ MUA HÀNG'!$A$4:$AT$4, 0)) = $B106) * (TRIM(INDEX('6. TIẾN ĐỘ MUA HÀNG'!$A$5:$AT644, 0, XMATCH("Tháng", '6. TIẾN ĐỘ MUA HÀNG'!$A$4:$AT$4, 0))) = TRIM(L$6)) * (INDEX('6. TIẾN ĐỘ MUA HÀNG'!$A$5:$AT644, 0, XMATCH("CL NGÀY NCC DỰ KIẾN - NGÀY NHẬN HÀNG", '6. TIẾN ĐỘ MUA HÀNG'!$A$4:$AT$4, 0)) &lt; 0)
)</f>
        <v>0</v>
      </c>
      <c r="N106" s="757">
        <f t="shared" si="17"/>
        <v>0</v>
      </c>
      <c r="O106" s="754">
        <f t="array" ref="O106">SUMPRODUCT((TRIM(INDEX('6. TIẾN ĐỘ MUA HÀNG'!$A$5:$AT644, 0, XMATCH("NCC VTBB/NL trong nước", '6. TIẾN ĐỘ MUA HÀNG'!$A$4:$AT$4, 0))) = TRIM($B106)) * (TRIM(INDEX('6. TIẾN ĐỘ MUA HÀNG'!$A$5:$AT644, 0, XMATCH("Tháng", '6. TIẾN ĐỘ MUA HÀNG'!$A$4:$AT$4, 0))) = TRIM(O$6)) * (INDEX('6. TIẾN ĐỘ MUA HÀNG'!$A$5:$AT644, 0, XMATCH("Mã đơn Misa", '6. TIẾN ĐỘ MUA HÀNG'!$A$4:$AT$4, 0)) &lt;&gt; ""))</f>
        <v>0</v>
      </c>
      <c r="P106" s="754">
        <f t="array" ref="P106">SUMPRODUCT(
  (INDEX('6. TIẾN ĐỘ MUA HÀNG'!$A$5:$AT644, 0, XMATCH("NCC VTBB/NL trong nước", '6. TIẾN ĐỘ MUA HÀNG'!$A$4:$AT$4, 0)) = $B106) * (TRIM(INDEX('6. TIẾN ĐỘ MUA HÀNG'!$A$5:$AT644, 0, XMATCH("Tháng", '6. TIẾN ĐỘ MUA HÀNG'!$A$4:$AT$4, 0))) = TRIM(O$6)) * (INDEX('6. TIẾN ĐỘ MUA HÀNG'!$A$5:$AT644, 0, XMATCH("CL NGÀY NCC DỰ KIẾN - NGÀY NHẬN HÀNG", '6. TIẾN ĐỘ MUA HÀNG'!$A$4:$AT$4, 0)) &lt; 0)
)</f>
        <v>0</v>
      </c>
      <c r="Q106" s="755">
        <f t="shared" si="31"/>
        <v>0</v>
      </c>
      <c r="R106" s="756">
        <f t="array" ref="R106">SUMPRODUCT((TRIM(INDEX('6. TIẾN ĐỘ MUA HÀNG'!$A$5:$AT644, 0, XMATCH("NCC VTBB/NL trong nước", '6. TIẾN ĐỘ MUA HÀNG'!$A$4:$AT$4, 0))) = TRIM($B106)) * (TRIM(INDEX('6. TIẾN ĐỘ MUA HÀNG'!$A$5:$AT644, 0, XMATCH("Tháng", '6. TIẾN ĐỘ MUA HÀNG'!$A$4:$AT$4, 0))) = TRIM(R$6)) * (INDEX('6. TIẾN ĐỘ MUA HÀNG'!$A$5:$AT644, 0, XMATCH("Mã đơn Misa", '6. TIẾN ĐỘ MUA HÀNG'!$A$4:$AT$4, 0)) &lt;&gt; ""))</f>
        <v>0</v>
      </c>
      <c r="S106" s="756">
        <f t="array" ref="S106">SUMPRODUCT(
  (INDEX('6. TIẾN ĐỘ MUA HÀNG'!$A$5:$AT644, 0, XMATCH("NCC VTBB/NL trong nước", '6. TIẾN ĐỘ MUA HÀNG'!$A$4:$AT$4, 0)) = $B106) * (TRIM(INDEX('6. TIẾN ĐỘ MUA HÀNG'!$A$5:$AT644, 0, XMATCH("Tháng", '6. TIẾN ĐỘ MUA HÀNG'!$A$4:$AT$4, 0))) = TRIM(R$6)) * (INDEX('6. TIẾN ĐỘ MUA HÀNG'!$A$5:$AT644, 0, XMATCH("CL NGÀY NCC DỰ KIẾN - NGÀY NHẬN HÀNG", '6. TIẾN ĐỘ MUA HÀNG'!$A$4:$AT$4, 0)) &lt; 0)
)</f>
        <v>0</v>
      </c>
      <c r="T106" s="757">
        <f t="shared" si="19"/>
        <v>0</v>
      </c>
      <c r="U106" s="754">
        <f t="array" ref="U106">SUMPRODUCT((TRIM(INDEX('6. TIẾN ĐỘ MUA HÀNG'!$A$5:$AT644, 0, XMATCH("NCC VTBB/NL trong nước", '6. TIẾN ĐỘ MUA HÀNG'!$A$4:$AT$4, 0))) = TRIM($B106)) * (TRIM(INDEX('6. TIẾN ĐỘ MUA HÀNG'!$A$5:$AT644, 0, XMATCH("Tháng", '6. TIẾN ĐỘ MUA HÀNG'!$A$4:$AT$4, 0))) = TRIM(U$6)) * (INDEX('6. TIẾN ĐỘ MUA HÀNG'!$A$5:$AT644, 0, XMATCH("Mã đơn Misa", '6. TIẾN ĐỘ MUA HÀNG'!$A$4:$AT$4, 0)) &lt;&gt; ""))</f>
        <v>0</v>
      </c>
      <c r="V106" s="754">
        <f t="array" ref="V106">SUMPRODUCT(
  (INDEX('6. TIẾN ĐỘ MUA HÀNG'!$A$5:$AT644, 0, XMATCH("NCC VTBB/NL trong nước", '6. TIẾN ĐỘ MUA HÀNG'!$A$4:$AT$4, 0)) = $B106) * (TRIM(INDEX('6. TIẾN ĐỘ MUA HÀNG'!$A$5:$AT644, 0, XMATCH("Tháng", '6. TIẾN ĐỘ MUA HÀNG'!$A$4:$AT$4, 0))) = TRIM(U$6)) * (INDEX('6. TIẾN ĐỘ MUA HÀNG'!$A$5:$AT644, 0, XMATCH("CL NGÀY NCC DỰ KIẾN - NGÀY NHẬN HÀNG", '6. TIẾN ĐỘ MUA HÀNG'!$A$4:$AT$4, 0)) &lt; 0)
)</f>
        <v>0</v>
      </c>
      <c r="W106" s="755">
        <f t="shared" si="32"/>
        <v>0</v>
      </c>
      <c r="X106" s="756">
        <f t="array" ref="X106">SUMPRODUCT((TRIM(INDEX('6. TIẾN ĐỘ MUA HÀNG'!$A$5:$AT644, 0, XMATCH("NCC VTBB/NL trong nước", '6. TIẾN ĐỘ MUA HÀNG'!$A$4:$AT$4, 0))) = TRIM($B106)) * (TRIM(INDEX('6. TIẾN ĐỘ MUA HÀNG'!$A$5:$AT644, 0, XMATCH("Tháng", '6. TIẾN ĐỘ MUA HÀNG'!$A$4:$AT$4, 0))) = TRIM(X$6)) * (INDEX('6. TIẾN ĐỘ MUA HÀNG'!$A$5:$AT644, 0, XMATCH("Mã đơn Misa", '6. TIẾN ĐỘ MUA HÀNG'!$A$4:$AT$4, 0)) &lt;&gt; ""))</f>
        <v>0</v>
      </c>
      <c r="Y106" s="756">
        <f t="array" ref="Y106">SUMPRODUCT(
  (INDEX('6. TIẾN ĐỘ MUA HÀNG'!$A$5:$AT644, 0, XMATCH("NCC VTBB/NL trong nước", '6. TIẾN ĐỘ MUA HÀNG'!$A$4:$AT$4, 0)) = $B106) * (TRIM(INDEX('6. TIẾN ĐỘ MUA HÀNG'!$A$5:$AT644, 0, XMATCH("Tháng", '6. TIẾN ĐỘ MUA HÀNG'!$A$4:$AT$4, 0))) = TRIM(X$6)) * (INDEX('6. TIẾN ĐỘ MUA HÀNG'!$A$5:$AT644, 0, XMATCH("CL NGÀY NCC DỰ KIẾN - NGÀY NHẬN HÀNG", '6. TIẾN ĐỘ MUA HÀNG'!$A$4:$AT$4, 0)) &lt; 0)
)</f>
        <v>0</v>
      </c>
      <c r="Z106" s="757">
        <f t="shared" si="21"/>
        <v>0</v>
      </c>
      <c r="AA106" s="754">
        <f t="array" ref="AA106">SUMPRODUCT((TRIM(INDEX('6. TIẾN ĐỘ MUA HÀNG'!$A$5:$AT644, 0, XMATCH("NCC VTBB/NL trong nước", '6. TIẾN ĐỘ MUA HÀNG'!$A$4:$AT$4, 0))) = TRIM($B106)) * (TRIM(INDEX('6. TIẾN ĐỘ MUA HÀNG'!$A$5:$AT644, 0, XMATCH("Tháng", '6. TIẾN ĐỘ MUA HÀNG'!$A$4:$AT$4, 0))) = TRIM(AA$6)) * (INDEX('6. TIẾN ĐỘ MUA HÀNG'!$A$5:$AT644, 0, XMATCH("Mã đơn Misa", '6. TIẾN ĐỘ MUA HÀNG'!$A$4:$AT$4, 0)) &lt;&gt; ""))</f>
        <v>0</v>
      </c>
      <c r="AB106" s="754">
        <f t="array" ref="AB106">SUMPRODUCT(
  (INDEX('6. TIẾN ĐỘ MUA HÀNG'!$A$5:$AT644, 0, XMATCH("NCC VTBB/NL trong nước", '6. TIẾN ĐỘ MUA HÀNG'!$A$4:$AT$4, 0)) = $B106) * (TRIM(INDEX('6. TIẾN ĐỘ MUA HÀNG'!$A$5:$AT644, 0, XMATCH("Tháng", '6. TIẾN ĐỘ MUA HÀNG'!$A$4:$AT$4, 0))) = TRIM(AA$6)) * (INDEX('6. TIẾN ĐỘ MUA HÀNG'!$A$5:$AT644, 0, XMATCH("CL NGÀY NCC DỰ KIẾN - NGÀY NHẬN HÀNG", '6. TIẾN ĐỘ MUA HÀNG'!$A$4:$AT$4, 0)) &lt; 0)
)</f>
        <v>0</v>
      </c>
      <c r="AC106" s="755">
        <f t="shared" si="33"/>
        <v>0</v>
      </c>
      <c r="AD106" s="756">
        <f t="array" ref="AD106">SUMPRODUCT((TRIM(INDEX('6. TIẾN ĐỘ MUA HÀNG'!$A$5:$AT644, 0, XMATCH("NCC VTBB/NL trong nước", '6. TIẾN ĐỘ MUA HÀNG'!$A$4:$AT$4, 0))) = TRIM($B106)) * (TRIM(INDEX('6. TIẾN ĐỘ MUA HÀNG'!$A$5:$AT644, 0, XMATCH("Tháng", '6. TIẾN ĐỘ MUA HÀNG'!$A$4:$AT$4, 0))) = TRIM(AD$6)) * (INDEX('6. TIẾN ĐỘ MUA HÀNG'!$A$5:$AT644, 0, XMATCH("Mã đơn Misa", '6. TIẾN ĐỘ MUA HÀNG'!$A$4:$AT$4, 0)) &lt;&gt; ""))</f>
        <v>0</v>
      </c>
      <c r="AE106" s="756">
        <f t="array" ref="AE106">SUMPRODUCT(
  (INDEX('6. TIẾN ĐỘ MUA HÀNG'!$A$5:$AT644, 0, XMATCH("NCC VTBB/NL trong nước", '6. TIẾN ĐỘ MUA HÀNG'!$A$4:$AT$4, 0)) = $B106) * (TRIM(INDEX('6. TIẾN ĐỘ MUA HÀNG'!$A$5:$AT644, 0, XMATCH("Tháng", '6. TIẾN ĐỘ MUA HÀNG'!$A$4:$AT$4, 0))) = TRIM(AD$6)) * (INDEX('6. TIẾN ĐỘ MUA HÀNG'!$A$5:$AT644, 0, XMATCH("CL NGÀY NCC DỰ KIẾN - NGÀY NHẬN HÀNG", '6. TIẾN ĐỘ MUA HÀNG'!$A$4:$AT$4, 0)) &lt; 0)
)</f>
        <v>0</v>
      </c>
      <c r="AF106" s="757">
        <f t="shared" si="23"/>
        <v>0</v>
      </c>
      <c r="AG106" s="754">
        <f t="array" ref="AG106">SUMPRODUCT((TRIM(INDEX('6. TIẾN ĐỘ MUA HÀNG'!$A$5:$AT644, 0, XMATCH("NCC VTBB/NL trong nước", '6. TIẾN ĐỘ MUA HÀNG'!$A$4:$AT$4, 0))) = TRIM($B106)) * (TRIM(INDEX('6. TIẾN ĐỘ MUA HÀNG'!$A$5:$AT644, 0, XMATCH("Tháng", '6. TIẾN ĐỘ MUA HÀNG'!$A$4:$AT$4, 0))) = TRIM(AG$6)) * (INDEX('6. TIẾN ĐỘ MUA HÀNG'!$A$5:$AT644, 0, XMATCH("Mã đơn Misa", '6. TIẾN ĐỘ MUA HÀNG'!$A$4:$AT$4, 0)) &lt;&gt; ""))</f>
        <v>0</v>
      </c>
      <c r="AH106" s="754">
        <f t="array" ref="AH106">SUMPRODUCT(
  (INDEX('6. TIẾN ĐỘ MUA HÀNG'!$A$5:$AT644, 0, XMATCH("NCC VTBB/NL trong nước", '6. TIẾN ĐỘ MUA HÀNG'!$A$4:$AT$4, 0)) = $B106) * (TRIM(INDEX('6. TIẾN ĐỘ MUA HÀNG'!$A$5:$AT644, 0, XMATCH("Tháng", '6. TIẾN ĐỘ MUA HÀNG'!$A$4:$AT$4, 0))) = TRIM(AG$6)) * (INDEX('6. TIẾN ĐỘ MUA HÀNG'!$A$5:$AT644, 0, XMATCH("CL NGÀY NCC DỰ KIẾN - NGÀY NHẬN HÀNG", '6. TIẾN ĐỘ MUA HÀNG'!$A$4:$AT$4, 0)) &lt; 0)
)</f>
        <v>0</v>
      </c>
      <c r="AI106" s="755">
        <f t="shared" si="34"/>
        <v>0</v>
      </c>
      <c r="AJ106" s="756">
        <f t="array" ref="AJ106">SUMPRODUCT((TRIM(INDEX('6. TIẾN ĐỘ MUA HÀNG'!$A$5:$AT644, 0, XMATCH("NCC VTBB/NL trong nước", '6. TIẾN ĐỘ MUA HÀNG'!$A$4:$AT$4, 0))) = TRIM($B106)) * (TRIM(INDEX('6. TIẾN ĐỘ MUA HÀNG'!$A$5:$AT644, 0, XMATCH("Tháng", '6. TIẾN ĐỘ MUA HÀNG'!$A$4:$AT$4, 0))) = TRIM(AJ$6)) * (INDEX('6. TIẾN ĐỘ MUA HÀNG'!$A$5:$AT644, 0, XMATCH("Mã đơn Misa", '6. TIẾN ĐỘ MUA HÀNG'!$A$4:$AT$4, 0)) &lt;&gt; ""))</f>
        <v>0</v>
      </c>
      <c r="AK106" s="756">
        <f t="array" ref="AK106">SUMPRODUCT(
  (INDEX('6. TIẾN ĐỘ MUA HÀNG'!$A$5:$AT644, 0, XMATCH("NCC VTBB/NL trong nước", '6. TIẾN ĐỘ MUA HÀNG'!$A$4:$AT$4, 0)) = $B106) * (TRIM(INDEX('6. TIẾN ĐỘ MUA HÀNG'!$A$5:$AT644, 0, XMATCH("Tháng", '6. TIẾN ĐỘ MUA HÀNG'!$A$4:$AT$4, 0))) = TRIM(AJ$6)) * (INDEX('6. TIẾN ĐỘ MUA HÀNG'!$A$5:$AT644, 0, XMATCH("CL NGÀY NCC DỰ KIẾN - NGÀY NHẬN HÀNG", '6. TIẾN ĐỘ MUA HÀNG'!$A$4:$AT$4, 0)) &lt; 0)
)</f>
        <v>0</v>
      </c>
      <c r="AL106" s="757">
        <f t="shared" si="25"/>
        <v>0</v>
      </c>
      <c r="AM106" s="726">
        <f t="shared" si="27"/>
        <v>0</v>
      </c>
      <c r="AN106" s="726">
        <f t="shared" si="28"/>
        <v>0</v>
      </c>
      <c r="AO106" s="727">
        <f t="shared" si="26"/>
        <v>0</v>
      </c>
    </row>
    <row r="107">
      <c r="A107" s="612">
        <v>99.0</v>
      </c>
      <c r="B107" s="624" t="str">
        <f>IFERROR(__xludf.DUMMYFUNCTION("""COMPUTED_VALUE"""),"Giấy Yuen Foong Yu")</f>
        <v>Giấy Yuen Foong Yu</v>
      </c>
      <c r="C107" s="754">
        <f t="array" ref="C107">SUMPRODUCT((TRIM(INDEX('6. TIẾN ĐỘ MUA HÀNG'!$A$5:$AT644, 0, XMATCH("NCC VTBB/NL trong nước", '6. TIẾN ĐỘ MUA HÀNG'!$A$4:$AT$4, 0))) = TRIM($B107)) * (TRIM(INDEX('6. TIẾN ĐỘ MUA HÀNG'!$A$5:$AT644, 0, XMATCH("Tháng", '6. TIẾN ĐỘ MUA HÀNG'!$A$4:$AT$4, 0))) = TRIM(C$6)) * (INDEX('6. TIẾN ĐỘ MUA HÀNG'!$A$5:$AT644, 0, XMATCH("Mã đơn Misa", '6. TIẾN ĐỘ MUA HÀNG'!$A$4:$AT$4, 0)) &lt;&gt; ""))</f>
        <v>0</v>
      </c>
      <c r="D107" s="754">
        <f t="array" ref="D107">SUMPRODUCT(
  (INDEX('6. TIẾN ĐỘ MUA HÀNG'!$A$5:$AT644, 0, XMATCH("NCC VTBB/NL trong nước", '6. TIẾN ĐỘ MUA HÀNG'!$A$4:$AT$4, 0)) = $B107) * (TRIM(INDEX('6. TIẾN ĐỘ MUA HÀNG'!$A$5:$AT644, 0, XMATCH("Tháng", '6. TIẾN ĐỘ MUA HÀNG'!$A$4:$AT$4, 0))) = TRIM(C$6)) * (INDEX('6. TIẾN ĐỘ MUA HÀNG'!$A$5:$AT644, 0, XMATCH("CL NGÀY NCC DỰ KIẾN - NGÀY NHẬN HÀNG", '6. TIẾN ĐỘ MUA HÀNG'!$A$4:$AT$4, 0)) &lt; 0)
)</f>
        <v>0</v>
      </c>
      <c r="E107" s="755">
        <f t="shared" si="29"/>
        <v>0</v>
      </c>
      <c r="F107" s="756">
        <f t="array" ref="F107">SUMPRODUCT((TRIM(INDEX('6. TIẾN ĐỘ MUA HÀNG'!$A$5:$AT644, 0, XMATCH("NCC VTBB/NL trong nước", '6. TIẾN ĐỘ MUA HÀNG'!$A$4:$AT$4, 0))) = TRIM($B107)) * (TRIM(INDEX('6. TIẾN ĐỘ MUA HÀNG'!$A$5:$AT644, 0, XMATCH("Tháng", '6. TIẾN ĐỘ MUA HÀNG'!$A$4:$AT$4, 0))) = TRIM(F$6)) * (INDEX('6. TIẾN ĐỘ MUA HÀNG'!$A$5:$AT644, 0, XMATCH("Mã đơn Misa", '6. TIẾN ĐỘ MUA HÀNG'!$A$4:$AT$4, 0)) &lt;&gt; ""))</f>
        <v>0</v>
      </c>
      <c r="G107" s="756">
        <f t="array" ref="G107">SUMPRODUCT(
  (INDEX('6. TIẾN ĐỘ MUA HÀNG'!$A$5:$AT644, 0, XMATCH("NCC VTBB/NL trong nước", '6. TIẾN ĐỘ MUA HÀNG'!$A$4:$AT$4, 0)) = $B107) * (TRIM(INDEX('6. TIẾN ĐỘ MUA HÀNG'!$A$5:$AT644, 0, XMATCH("Tháng", '6. TIẾN ĐỘ MUA HÀNG'!$A$4:$AT$4, 0))) = TRIM(F$6)) * (INDEX('6. TIẾN ĐỘ MUA HÀNG'!$A$5:$AT644, 0, XMATCH("CL NGÀY NCC DỰ KIẾN - NGÀY NHẬN HÀNG", '6. TIẾN ĐỘ MUA HÀNG'!$A$4:$AT$4, 0)) &lt; 0)
)</f>
        <v>0</v>
      </c>
      <c r="H107" s="757">
        <f t="shared" si="15"/>
        <v>0</v>
      </c>
      <c r="I107" s="754">
        <f t="array" ref="I107">SUMPRODUCT((TRIM(INDEX('6. TIẾN ĐỘ MUA HÀNG'!$A$5:$AT644, 0, XMATCH("NCC VTBB/NL trong nước", '6. TIẾN ĐỘ MUA HÀNG'!$A$4:$AT$4, 0))) = TRIM($B107)) * (TRIM(INDEX('6. TIẾN ĐỘ MUA HÀNG'!$A$5:$AT644, 0, XMATCH("Tháng", '6. TIẾN ĐỘ MUA HÀNG'!$A$4:$AT$4, 0))) = TRIM(I$6)) * (INDEX('6. TIẾN ĐỘ MUA HÀNG'!$A$5:$AT644, 0, XMATCH("Mã đơn Misa", '6. TIẾN ĐỘ MUA HÀNG'!$A$4:$AT$4, 0)) &lt;&gt; ""))</f>
        <v>0</v>
      </c>
      <c r="J107" s="754">
        <f t="array" ref="J107">SUMPRODUCT(
  (INDEX('6. TIẾN ĐỘ MUA HÀNG'!$A$5:$AT644, 0, XMATCH("NCC VTBB/NL trong nước", '6. TIẾN ĐỘ MUA HÀNG'!$A$4:$AT$4, 0)) = $B107) * (TRIM(INDEX('6. TIẾN ĐỘ MUA HÀNG'!$A$5:$AT644, 0, XMATCH("Tháng", '6. TIẾN ĐỘ MUA HÀNG'!$A$4:$AT$4, 0))) = TRIM(I$6)) * (INDEX('6. TIẾN ĐỘ MUA HÀNG'!$A$5:$AT644, 0, XMATCH("CL NGÀY NCC DỰ KIẾN - NGÀY NHẬN HÀNG", '6. TIẾN ĐỘ MUA HÀNG'!$A$4:$AT$4, 0)) &lt; 0)
)</f>
        <v>0</v>
      </c>
      <c r="K107" s="755">
        <f t="shared" si="30"/>
        <v>0</v>
      </c>
      <c r="L107" s="756">
        <f t="array" ref="L107">SUMPRODUCT((TRIM(INDEX('6. TIẾN ĐỘ MUA HÀNG'!$A$5:$AT644, 0, XMATCH("NCC VTBB/NL trong nước", '6. TIẾN ĐỘ MUA HÀNG'!$A$4:$AT$4, 0))) = TRIM($B107)) * (TRIM(INDEX('6. TIẾN ĐỘ MUA HÀNG'!$A$5:$AT644, 0, XMATCH("Tháng", '6. TIẾN ĐỘ MUA HÀNG'!$A$4:$AT$4, 0))) = TRIM(L$6)) * (INDEX('6. TIẾN ĐỘ MUA HÀNG'!$A$5:$AT644, 0, XMATCH("Mã đơn Misa", '6. TIẾN ĐỘ MUA HÀNG'!$A$4:$AT$4, 0)) &lt;&gt; ""))</f>
        <v>0</v>
      </c>
      <c r="M107" s="756">
        <f t="array" ref="M107">SUMPRODUCT(
  (INDEX('6. TIẾN ĐỘ MUA HÀNG'!$A$5:$AT644, 0, XMATCH("NCC VTBB/NL trong nước", '6. TIẾN ĐỘ MUA HÀNG'!$A$4:$AT$4, 0)) = $B107) * (TRIM(INDEX('6. TIẾN ĐỘ MUA HÀNG'!$A$5:$AT644, 0, XMATCH("Tháng", '6. TIẾN ĐỘ MUA HÀNG'!$A$4:$AT$4, 0))) = TRIM(L$6)) * (INDEX('6. TIẾN ĐỘ MUA HÀNG'!$A$5:$AT644, 0, XMATCH("CL NGÀY NCC DỰ KIẾN - NGÀY NHẬN HÀNG", '6. TIẾN ĐỘ MUA HÀNG'!$A$4:$AT$4, 0)) &lt; 0)
)</f>
        <v>0</v>
      </c>
      <c r="N107" s="757">
        <f t="shared" si="17"/>
        <v>0</v>
      </c>
      <c r="O107" s="754">
        <f t="array" ref="O107">SUMPRODUCT((TRIM(INDEX('6. TIẾN ĐỘ MUA HÀNG'!$A$5:$AT644, 0, XMATCH("NCC VTBB/NL trong nước", '6. TIẾN ĐỘ MUA HÀNG'!$A$4:$AT$4, 0))) = TRIM($B107)) * (TRIM(INDEX('6. TIẾN ĐỘ MUA HÀNG'!$A$5:$AT644, 0, XMATCH("Tháng", '6. TIẾN ĐỘ MUA HÀNG'!$A$4:$AT$4, 0))) = TRIM(O$6)) * (INDEX('6. TIẾN ĐỘ MUA HÀNG'!$A$5:$AT644, 0, XMATCH("Mã đơn Misa", '6. TIẾN ĐỘ MUA HÀNG'!$A$4:$AT$4, 0)) &lt;&gt; ""))</f>
        <v>0</v>
      </c>
      <c r="P107" s="754">
        <f t="array" ref="P107">SUMPRODUCT(
  (INDEX('6. TIẾN ĐỘ MUA HÀNG'!$A$5:$AT644, 0, XMATCH("NCC VTBB/NL trong nước", '6. TIẾN ĐỘ MUA HÀNG'!$A$4:$AT$4, 0)) = $B107) * (TRIM(INDEX('6. TIẾN ĐỘ MUA HÀNG'!$A$5:$AT644, 0, XMATCH("Tháng", '6. TIẾN ĐỘ MUA HÀNG'!$A$4:$AT$4, 0))) = TRIM(O$6)) * (INDEX('6. TIẾN ĐỘ MUA HÀNG'!$A$5:$AT644, 0, XMATCH("CL NGÀY NCC DỰ KIẾN - NGÀY NHẬN HÀNG", '6. TIẾN ĐỘ MUA HÀNG'!$A$4:$AT$4, 0)) &lt; 0)
)</f>
        <v>0</v>
      </c>
      <c r="Q107" s="755">
        <f t="shared" si="31"/>
        <v>0</v>
      </c>
      <c r="R107" s="756">
        <f t="array" ref="R107">SUMPRODUCT((TRIM(INDEX('6. TIẾN ĐỘ MUA HÀNG'!$A$5:$AT644, 0, XMATCH("NCC VTBB/NL trong nước", '6. TIẾN ĐỘ MUA HÀNG'!$A$4:$AT$4, 0))) = TRIM($B107)) * (TRIM(INDEX('6. TIẾN ĐỘ MUA HÀNG'!$A$5:$AT644, 0, XMATCH("Tháng", '6. TIẾN ĐỘ MUA HÀNG'!$A$4:$AT$4, 0))) = TRIM(R$6)) * (INDEX('6. TIẾN ĐỘ MUA HÀNG'!$A$5:$AT644, 0, XMATCH("Mã đơn Misa", '6. TIẾN ĐỘ MUA HÀNG'!$A$4:$AT$4, 0)) &lt;&gt; ""))</f>
        <v>0</v>
      </c>
      <c r="S107" s="756">
        <f t="array" ref="S107">SUMPRODUCT(
  (INDEX('6. TIẾN ĐỘ MUA HÀNG'!$A$5:$AT644, 0, XMATCH("NCC VTBB/NL trong nước", '6. TIẾN ĐỘ MUA HÀNG'!$A$4:$AT$4, 0)) = $B107) * (TRIM(INDEX('6. TIẾN ĐỘ MUA HÀNG'!$A$5:$AT644, 0, XMATCH("Tháng", '6. TIẾN ĐỘ MUA HÀNG'!$A$4:$AT$4, 0))) = TRIM(R$6)) * (INDEX('6. TIẾN ĐỘ MUA HÀNG'!$A$5:$AT644, 0, XMATCH("CL NGÀY NCC DỰ KIẾN - NGÀY NHẬN HÀNG", '6. TIẾN ĐỘ MUA HÀNG'!$A$4:$AT$4, 0)) &lt; 0)
)</f>
        <v>0</v>
      </c>
      <c r="T107" s="757">
        <f t="shared" si="19"/>
        <v>0</v>
      </c>
      <c r="U107" s="754">
        <f t="array" ref="U107">SUMPRODUCT((TRIM(INDEX('6. TIẾN ĐỘ MUA HÀNG'!$A$5:$AT644, 0, XMATCH("NCC VTBB/NL trong nước", '6. TIẾN ĐỘ MUA HÀNG'!$A$4:$AT$4, 0))) = TRIM($B107)) * (TRIM(INDEX('6. TIẾN ĐỘ MUA HÀNG'!$A$5:$AT644, 0, XMATCH("Tháng", '6. TIẾN ĐỘ MUA HÀNG'!$A$4:$AT$4, 0))) = TRIM(U$6)) * (INDEX('6. TIẾN ĐỘ MUA HÀNG'!$A$5:$AT644, 0, XMATCH("Mã đơn Misa", '6. TIẾN ĐỘ MUA HÀNG'!$A$4:$AT$4, 0)) &lt;&gt; ""))</f>
        <v>0</v>
      </c>
      <c r="V107" s="754">
        <f t="array" ref="V107">SUMPRODUCT(
  (INDEX('6. TIẾN ĐỘ MUA HÀNG'!$A$5:$AT644, 0, XMATCH("NCC VTBB/NL trong nước", '6. TIẾN ĐỘ MUA HÀNG'!$A$4:$AT$4, 0)) = $B107) * (TRIM(INDEX('6. TIẾN ĐỘ MUA HÀNG'!$A$5:$AT644, 0, XMATCH("Tháng", '6. TIẾN ĐỘ MUA HÀNG'!$A$4:$AT$4, 0))) = TRIM(U$6)) * (INDEX('6. TIẾN ĐỘ MUA HÀNG'!$A$5:$AT644, 0, XMATCH("CL NGÀY NCC DỰ KIẾN - NGÀY NHẬN HÀNG", '6. TIẾN ĐỘ MUA HÀNG'!$A$4:$AT$4, 0)) &lt; 0)
)</f>
        <v>0</v>
      </c>
      <c r="W107" s="755">
        <f t="shared" si="32"/>
        <v>0</v>
      </c>
      <c r="X107" s="756">
        <f t="array" ref="X107">SUMPRODUCT((TRIM(INDEX('6. TIẾN ĐỘ MUA HÀNG'!$A$5:$AT644, 0, XMATCH("NCC VTBB/NL trong nước", '6. TIẾN ĐỘ MUA HÀNG'!$A$4:$AT$4, 0))) = TRIM($B107)) * (TRIM(INDEX('6. TIẾN ĐỘ MUA HÀNG'!$A$5:$AT644, 0, XMATCH("Tháng", '6. TIẾN ĐỘ MUA HÀNG'!$A$4:$AT$4, 0))) = TRIM(X$6)) * (INDEX('6. TIẾN ĐỘ MUA HÀNG'!$A$5:$AT644, 0, XMATCH("Mã đơn Misa", '6. TIẾN ĐỘ MUA HÀNG'!$A$4:$AT$4, 0)) &lt;&gt; ""))</f>
        <v>0</v>
      </c>
      <c r="Y107" s="756">
        <f t="array" ref="Y107">SUMPRODUCT(
  (INDEX('6. TIẾN ĐỘ MUA HÀNG'!$A$5:$AT644, 0, XMATCH("NCC VTBB/NL trong nước", '6. TIẾN ĐỘ MUA HÀNG'!$A$4:$AT$4, 0)) = $B107) * (TRIM(INDEX('6. TIẾN ĐỘ MUA HÀNG'!$A$5:$AT644, 0, XMATCH("Tháng", '6. TIẾN ĐỘ MUA HÀNG'!$A$4:$AT$4, 0))) = TRIM(X$6)) * (INDEX('6. TIẾN ĐỘ MUA HÀNG'!$A$5:$AT644, 0, XMATCH("CL NGÀY NCC DỰ KIẾN - NGÀY NHẬN HÀNG", '6. TIẾN ĐỘ MUA HÀNG'!$A$4:$AT$4, 0)) &lt; 0)
)</f>
        <v>0</v>
      </c>
      <c r="Z107" s="757">
        <f t="shared" si="21"/>
        <v>0</v>
      </c>
      <c r="AA107" s="754">
        <f t="array" ref="AA107">SUMPRODUCT((TRIM(INDEX('6. TIẾN ĐỘ MUA HÀNG'!$A$5:$AT644, 0, XMATCH("NCC VTBB/NL trong nước", '6. TIẾN ĐỘ MUA HÀNG'!$A$4:$AT$4, 0))) = TRIM($B107)) * (TRIM(INDEX('6. TIẾN ĐỘ MUA HÀNG'!$A$5:$AT644, 0, XMATCH("Tháng", '6. TIẾN ĐỘ MUA HÀNG'!$A$4:$AT$4, 0))) = TRIM(AA$6)) * (INDEX('6. TIẾN ĐỘ MUA HÀNG'!$A$5:$AT644, 0, XMATCH("Mã đơn Misa", '6. TIẾN ĐỘ MUA HÀNG'!$A$4:$AT$4, 0)) &lt;&gt; ""))</f>
        <v>0</v>
      </c>
      <c r="AB107" s="754">
        <f t="array" ref="AB107">SUMPRODUCT(
  (INDEX('6. TIẾN ĐỘ MUA HÀNG'!$A$5:$AT644, 0, XMATCH("NCC VTBB/NL trong nước", '6. TIẾN ĐỘ MUA HÀNG'!$A$4:$AT$4, 0)) = $B107) * (TRIM(INDEX('6. TIẾN ĐỘ MUA HÀNG'!$A$5:$AT644, 0, XMATCH("Tháng", '6. TIẾN ĐỘ MUA HÀNG'!$A$4:$AT$4, 0))) = TRIM(AA$6)) * (INDEX('6. TIẾN ĐỘ MUA HÀNG'!$A$5:$AT644, 0, XMATCH("CL NGÀY NCC DỰ KIẾN - NGÀY NHẬN HÀNG", '6. TIẾN ĐỘ MUA HÀNG'!$A$4:$AT$4, 0)) &lt; 0)
)</f>
        <v>0</v>
      </c>
      <c r="AC107" s="755">
        <f t="shared" si="33"/>
        <v>0</v>
      </c>
      <c r="AD107" s="756">
        <f t="array" ref="AD107">SUMPRODUCT((TRIM(INDEX('6. TIẾN ĐỘ MUA HÀNG'!$A$5:$AT644, 0, XMATCH("NCC VTBB/NL trong nước", '6. TIẾN ĐỘ MUA HÀNG'!$A$4:$AT$4, 0))) = TRIM($B107)) * (TRIM(INDEX('6. TIẾN ĐỘ MUA HÀNG'!$A$5:$AT644, 0, XMATCH("Tháng", '6. TIẾN ĐỘ MUA HÀNG'!$A$4:$AT$4, 0))) = TRIM(AD$6)) * (INDEX('6. TIẾN ĐỘ MUA HÀNG'!$A$5:$AT644, 0, XMATCH("Mã đơn Misa", '6. TIẾN ĐỘ MUA HÀNG'!$A$4:$AT$4, 0)) &lt;&gt; ""))</f>
        <v>0</v>
      </c>
      <c r="AE107" s="756">
        <f t="array" ref="AE107">SUMPRODUCT(
  (INDEX('6. TIẾN ĐỘ MUA HÀNG'!$A$5:$AT644, 0, XMATCH("NCC VTBB/NL trong nước", '6. TIẾN ĐỘ MUA HÀNG'!$A$4:$AT$4, 0)) = $B107) * (TRIM(INDEX('6. TIẾN ĐỘ MUA HÀNG'!$A$5:$AT644, 0, XMATCH("Tháng", '6. TIẾN ĐỘ MUA HÀNG'!$A$4:$AT$4, 0))) = TRIM(AD$6)) * (INDEX('6. TIẾN ĐỘ MUA HÀNG'!$A$5:$AT644, 0, XMATCH("CL NGÀY NCC DỰ KIẾN - NGÀY NHẬN HÀNG", '6. TIẾN ĐỘ MUA HÀNG'!$A$4:$AT$4, 0)) &lt; 0)
)</f>
        <v>0</v>
      </c>
      <c r="AF107" s="757">
        <f t="shared" si="23"/>
        <v>0</v>
      </c>
      <c r="AG107" s="754">
        <f t="array" ref="AG107">SUMPRODUCT((TRIM(INDEX('6. TIẾN ĐỘ MUA HÀNG'!$A$5:$AT644, 0, XMATCH("NCC VTBB/NL trong nước", '6. TIẾN ĐỘ MUA HÀNG'!$A$4:$AT$4, 0))) = TRIM($B107)) * (TRIM(INDEX('6. TIẾN ĐỘ MUA HÀNG'!$A$5:$AT644, 0, XMATCH("Tháng", '6. TIẾN ĐỘ MUA HÀNG'!$A$4:$AT$4, 0))) = TRIM(AG$6)) * (INDEX('6. TIẾN ĐỘ MUA HÀNG'!$A$5:$AT644, 0, XMATCH("Mã đơn Misa", '6. TIẾN ĐỘ MUA HÀNG'!$A$4:$AT$4, 0)) &lt;&gt; ""))</f>
        <v>0</v>
      </c>
      <c r="AH107" s="754">
        <f t="array" ref="AH107">SUMPRODUCT(
  (INDEX('6. TIẾN ĐỘ MUA HÀNG'!$A$5:$AT644, 0, XMATCH("NCC VTBB/NL trong nước", '6. TIẾN ĐỘ MUA HÀNG'!$A$4:$AT$4, 0)) = $B107) * (TRIM(INDEX('6. TIẾN ĐỘ MUA HÀNG'!$A$5:$AT644, 0, XMATCH("Tháng", '6. TIẾN ĐỘ MUA HÀNG'!$A$4:$AT$4, 0))) = TRIM(AG$6)) * (INDEX('6. TIẾN ĐỘ MUA HÀNG'!$A$5:$AT644, 0, XMATCH("CL NGÀY NCC DỰ KIẾN - NGÀY NHẬN HÀNG", '6. TIẾN ĐỘ MUA HÀNG'!$A$4:$AT$4, 0)) &lt; 0)
)</f>
        <v>0</v>
      </c>
      <c r="AI107" s="755">
        <f t="shared" si="34"/>
        <v>0</v>
      </c>
      <c r="AJ107" s="756">
        <f t="array" ref="AJ107">SUMPRODUCT((TRIM(INDEX('6. TIẾN ĐỘ MUA HÀNG'!$A$5:$AT644, 0, XMATCH("NCC VTBB/NL trong nước", '6. TIẾN ĐỘ MUA HÀNG'!$A$4:$AT$4, 0))) = TRIM($B107)) * (TRIM(INDEX('6. TIẾN ĐỘ MUA HÀNG'!$A$5:$AT644, 0, XMATCH("Tháng", '6. TIẾN ĐỘ MUA HÀNG'!$A$4:$AT$4, 0))) = TRIM(AJ$6)) * (INDEX('6. TIẾN ĐỘ MUA HÀNG'!$A$5:$AT644, 0, XMATCH("Mã đơn Misa", '6. TIẾN ĐỘ MUA HÀNG'!$A$4:$AT$4, 0)) &lt;&gt; ""))</f>
        <v>0</v>
      </c>
      <c r="AK107" s="756">
        <f t="array" ref="AK107">SUMPRODUCT(
  (INDEX('6. TIẾN ĐỘ MUA HÀNG'!$A$5:$AT644, 0, XMATCH("NCC VTBB/NL trong nước", '6. TIẾN ĐỘ MUA HÀNG'!$A$4:$AT$4, 0)) = $B107) * (TRIM(INDEX('6. TIẾN ĐỘ MUA HÀNG'!$A$5:$AT644, 0, XMATCH("Tháng", '6. TIẾN ĐỘ MUA HÀNG'!$A$4:$AT$4, 0))) = TRIM(AJ$6)) * (INDEX('6. TIẾN ĐỘ MUA HÀNG'!$A$5:$AT644, 0, XMATCH("CL NGÀY NCC DỰ KIẾN - NGÀY NHẬN HÀNG", '6. TIẾN ĐỘ MUA HÀNG'!$A$4:$AT$4, 0)) &lt; 0)
)</f>
        <v>0</v>
      </c>
      <c r="AL107" s="757">
        <f t="shared" si="25"/>
        <v>0</v>
      </c>
      <c r="AM107" s="726">
        <f t="shared" si="27"/>
        <v>0</v>
      </c>
      <c r="AN107" s="726">
        <f t="shared" si="28"/>
        <v>0</v>
      </c>
      <c r="AO107" s="727">
        <f t="shared" si="26"/>
        <v>0</v>
      </c>
    </row>
    <row r="108">
      <c r="A108" s="612">
        <v>100.0</v>
      </c>
      <c r="B108" s="624" t="str">
        <f>IFERROR(__xludf.DUMMYFUNCTION("""COMPUTED_VALUE"""),"Hebei Veyong")</f>
        <v>Hebei Veyong</v>
      </c>
      <c r="C108" s="754">
        <f t="array" ref="C108">SUMPRODUCT((TRIM(INDEX('6. TIẾN ĐỘ MUA HÀNG'!$A$5:$AT644, 0, XMATCH("NCC VTBB/NL trong nước", '6. TIẾN ĐỘ MUA HÀNG'!$A$4:$AT$4, 0))) = TRIM($B108)) * (TRIM(INDEX('6. TIẾN ĐỘ MUA HÀNG'!$A$5:$AT644, 0, XMATCH("Tháng", '6. TIẾN ĐỘ MUA HÀNG'!$A$4:$AT$4, 0))) = TRIM(C$6)) * (INDEX('6. TIẾN ĐỘ MUA HÀNG'!$A$5:$AT644, 0, XMATCH("Mã đơn Misa", '6. TIẾN ĐỘ MUA HÀNG'!$A$4:$AT$4, 0)) &lt;&gt; ""))</f>
        <v>0</v>
      </c>
      <c r="D108" s="754">
        <f t="array" ref="D108">SUMPRODUCT(
  (INDEX('6. TIẾN ĐỘ MUA HÀNG'!$A$5:$AT644, 0, XMATCH("NCC VTBB/NL trong nước", '6. TIẾN ĐỘ MUA HÀNG'!$A$4:$AT$4, 0)) = $B108) * (TRIM(INDEX('6. TIẾN ĐỘ MUA HÀNG'!$A$5:$AT644, 0, XMATCH("Tháng", '6. TIẾN ĐỘ MUA HÀNG'!$A$4:$AT$4, 0))) = TRIM(C$6)) * (INDEX('6. TIẾN ĐỘ MUA HÀNG'!$A$5:$AT644, 0, XMATCH("CL NGÀY NCC DỰ KIẾN - NGÀY NHẬN HÀNG", '6. TIẾN ĐỘ MUA HÀNG'!$A$4:$AT$4, 0)) &lt; 0)
)</f>
        <v>0</v>
      </c>
      <c r="E108" s="755">
        <f t="shared" si="29"/>
        <v>0</v>
      </c>
      <c r="F108" s="756">
        <f t="array" ref="F108">SUMPRODUCT((TRIM(INDEX('6. TIẾN ĐỘ MUA HÀNG'!$A$5:$AT644, 0, XMATCH("NCC VTBB/NL trong nước", '6. TIẾN ĐỘ MUA HÀNG'!$A$4:$AT$4, 0))) = TRIM($B108)) * (TRIM(INDEX('6. TIẾN ĐỘ MUA HÀNG'!$A$5:$AT644, 0, XMATCH("Tháng", '6. TIẾN ĐỘ MUA HÀNG'!$A$4:$AT$4, 0))) = TRIM(F$6)) * (INDEX('6. TIẾN ĐỘ MUA HÀNG'!$A$5:$AT644, 0, XMATCH("Mã đơn Misa", '6. TIẾN ĐỘ MUA HÀNG'!$A$4:$AT$4, 0)) &lt;&gt; ""))</f>
        <v>0</v>
      </c>
      <c r="G108" s="756">
        <f t="array" ref="G108">SUMPRODUCT(
  (INDEX('6. TIẾN ĐỘ MUA HÀNG'!$A$5:$AT644, 0, XMATCH("NCC VTBB/NL trong nước", '6. TIẾN ĐỘ MUA HÀNG'!$A$4:$AT$4, 0)) = $B108) * (TRIM(INDEX('6. TIẾN ĐỘ MUA HÀNG'!$A$5:$AT644, 0, XMATCH("Tháng", '6. TIẾN ĐỘ MUA HÀNG'!$A$4:$AT$4, 0))) = TRIM(F$6)) * (INDEX('6. TIẾN ĐỘ MUA HÀNG'!$A$5:$AT644, 0, XMATCH("CL NGÀY NCC DỰ KIẾN - NGÀY NHẬN HÀNG", '6. TIẾN ĐỘ MUA HÀNG'!$A$4:$AT$4, 0)) &lt; 0)
)</f>
        <v>0</v>
      </c>
      <c r="H108" s="757">
        <f t="shared" si="15"/>
        <v>0</v>
      </c>
      <c r="I108" s="754">
        <f t="array" ref="I108">SUMPRODUCT((TRIM(INDEX('6. TIẾN ĐỘ MUA HÀNG'!$A$5:$AT644, 0, XMATCH("NCC VTBB/NL trong nước", '6. TIẾN ĐỘ MUA HÀNG'!$A$4:$AT$4, 0))) = TRIM($B108)) * (TRIM(INDEX('6. TIẾN ĐỘ MUA HÀNG'!$A$5:$AT644, 0, XMATCH("Tháng", '6. TIẾN ĐỘ MUA HÀNG'!$A$4:$AT$4, 0))) = TRIM(I$6)) * (INDEX('6. TIẾN ĐỘ MUA HÀNG'!$A$5:$AT644, 0, XMATCH("Mã đơn Misa", '6. TIẾN ĐỘ MUA HÀNG'!$A$4:$AT$4, 0)) &lt;&gt; ""))</f>
        <v>0</v>
      </c>
      <c r="J108" s="754">
        <f t="array" ref="J108">SUMPRODUCT(
  (INDEX('6. TIẾN ĐỘ MUA HÀNG'!$A$5:$AT644, 0, XMATCH("NCC VTBB/NL trong nước", '6. TIẾN ĐỘ MUA HÀNG'!$A$4:$AT$4, 0)) = $B108) * (TRIM(INDEX('6. TIẾN ĐỘ MUA HÀNG'!$A$5:$AT644, 0, XMATCH("Tháng", '6. TIẾN ĐỘ MUA HÀNG'!$A$4:$AT$4, 0))) = TRIM(I$6)) * (INDEX('6. TIẾN ĐỘ MUA HÀNG'!$A$5:$AT644, 0, XMATCH("CL NGÀY NCC DỰ KIẾN - NGÀY NHẬN HÀNG", '6. TIẾN ĐỘ MUA HÀNG'!$A$4:$AT$4, 0)) &lt; 0)
)</f>
        <v>0</v>
      </c>
      <c r="K108" s="755">
        <f t="shared" si="30"/>
        <v>0</v>
      </c>
      <c r="L108" s="756">
        <f t="array" ref="L108">SUMPRODUCT((TRIM(INDEX('6. TIẾN ĐỘ MUA HÀNG'!$A$5:$AT644, 0, XMATCH("NCC VTBB/NL trong nước", '6. TIẾN ĐỘ MUA HÀNG'!$A$4:$AT$4, 0))) = TRIM($B108)) * (TRIM(INDEX('6. TIẾN ĐỘ MUA HÀNG'!$A$5:$AT644, 0, XMATCH("Tháng", '6. TIẾN ĐỘ MUA HÀNG'!$A$4:$AT$4, 0))) = TRIM(L$6)) * (INDEX('6. TIẾN ĐỘ MUA HÀNG'!$A$5:$AT644, 0, XMATCH("Mã đơn Misa", '6. TIẾN ĐỘ MUA HÀNG'!$A$4:$AT$4, 0)) &lt;&gt; ""))</f>
        <v>0</v>
      </c>
      <c r="M108" s="756">
        <f t="array" ref="M108">SUMPRODUCT(
  (INDEX('6. TIẾN ĐỘ MUA HÀNG'!$A$5:$AT644, 0, XMATCH("NCC VTBB/NL trong nước", '6. TIẾN ĐỘ MUA HÀNG'!$A$4:$AT$4, 0)) = $B108) * (TRIM(INDEX('6. TIẾN ĐỘ MUA HÀNG'!$A$5:$AT644, 0, XMATCH("Tháng", '6. TIẾN ĐỘ MUA HÀNG'!$A$4:$AT$4, 0))) = TRIM(L$6)) * (INDEX('6. TIẾN ĐỘ MUA HÀNG'!$A$5:$AT644, 0, XMATCH("CL NGÀY NCC DỰ KIẾN - NGÀY NHẬN HÀNG", '6. TIẾN ĐỘ MUA HÀNG'!$A$4:$AT$4, 0)) &lt; 0)
)</f>
        <v>0</v>
      </c>
      <c r="N108" s="757">
        <f t="shared" si="17"/>
        <v>0</v>
      </c>
      <c r="O108" s="754">
        <f t="array" ref="O108">SUMPRODUCT((TRIM(INDEX('6. TIẾN ĐỘ MUA HÀNG'!$A$5:$AT644, 0, XMATCH("NCC VTBB/NL trong nước", '6. TIẾN ĐỘ MUA HÀNG'!$A$4:$AT$4, 0))) = TRIM($B108)) * (TRIM(INDEX('6. TIẾN ĐỘ MUA HÀNG'!$A$5:$AT644, 0, XMATCH("Tháng", '6. TIẾN ĐỘ MUA HÀNG'!$A$4:$AT$4, 0))) = TRIM(O$6)) * (INDEX('6. TIẾN ĐỘ MUA HÀNG'!$A$5:$AT644, 0, XMATCH("Mã đơn Misa", '6. TIẾN ĐỘ MUA HÀNG'!$A$4:$AT$4, 0)) &lt;&gt; ""))</f>
        <v>0</v>
      </c>
      <c r="P108" s="754">
        <f t="array" ref="P108">SUMPRODUCT(
  (INDEX('6. TIẾN ĐỘ MUA HÀNG'!$A$5:$AT644, 0, XMATCH("NCC VTBB/NL trong nước", '6. TIẾN ĐỘ MUA HÀNG'!$A$4:$AT$4, 0)) = $B108) * (TRIM(INDEX('6. TIẾN ĐỘ MUA HÀNG'!$A$5:$AT644, 0, XMATCH("Tháng", '6. TIẾN ĐỘ MUA HÀNG'!$A$4:$AT$4, 0))) = TRIM(O$6)) * (INDEX('6. TIẾN ĐỘ MUA HÀNG'!$A$5:$AT644, 0, XMATCH("CL NGÀY NCC DỰ KIẾN - NGÀY NHẬN HÀNG", '6. TIẾN ĐỘ MUA HÀNG'!$A$4:$AT$4, 0)) &lt; 0)
)</f>
        <v>0</v>
      </c>
      <c r="Q108" s="755">
        <f t="shared" si="31"/>
        <v>0</v>
      </c>
      <c r="R108" s="756">
        <f t="array" ref="R108">SUMPRODUCT((TRIM(INDEX('6. TIẾN ĐỘ MUA HÀNG'!$A$5:$AT644, 0, XMATCH("NCC VTBB/NL trong nước", '6. TIẾN ĐỘ MUA HÀNG'!$A$4:$AT$4, 0))) = TRIM($B108)) * (TRIM(INDEX('6. TIẾN ĐỘ MUA HÀNG'!$A$5:$AT644, 0, XMATCH("Tháng", '6. TIẾN ĐỘ MUA HÀNG'!$A$4:$AT$4, 0))) = TRIM(R$6)) * (INDEX('6. TIẾN ĐỘ MUA HÀNG'!$A$5:$AT644, 0, XMATCH("Mã đơn Misa", '6. TIẾN ĐỘ MUA HÀNG'!$A$4:$AT$4, 0)) &lt;&gt; ""))</f>
        <v>0</v>
      </c>
      <c r="S108" s="756">
        <f t="array" ref="S108">SUMPRODUCT(
  (INDEX('6. TIẾN ĐỘ MUA HÀNG'!$A$5:$AT644, 0, XMATCH("NCC VTBB/NL trong nước", '6. TIẾN ĐỘ MUA HÀNG'!$A$4:$AT$4, 0)) = $B108) * (TRIM(INDEX('6. TIẾN ĐỘ MUA HÀNG'!$A$5:$AT644, 0, XMATCH("Tháng", '6. TIẾN ĐỘ MUA HÀNG'!$A$4:$AT$4, 0))) = TRIM(R$6)) * (INDEX('6. TIẾN ĐỘ MUA HÀNG'!$A$5:$AT644, 0, XMATCH("CL NGÀY NCC DỰ KIẾN - NGÀY NHẬN HÀNG", '6. TIẾN ĐỘ MUA HÀNG'!$A$4:$AT$4, 0)) &lt; 0)
)</f>
        <v>0</v>
      </c>
      <c r="T108" s="757">
        <f t="shared" si="19"/>
        <v>0</v>
      </c>
      <c r="U108" s="754">
        <f t="array" ref="U108">SUMPRODUCT((TRIM(INDEX('6. TIẾN ĐỘ MUA HÀNG'!$A$5:$AT644, 0, XMATCH("NCC VTBB/NL trong nước", '6. TIẾN ĐỘ MUA HÀNG'!$A$4:$AT$4, 0))) = TRIM($B108)) * (TRIM(INDEX('6. TIẾN ĐỘ MUA HÀNG'!$A$5:$AT644, 0, XMATCH("Tháng", '6. TIẾN ĐỘ MUA HÀNG'!$A$4:$AT$4, 0))) = TRIM(U$6)) * (INDEX('6. TIẾN ĐỘ MUA HÀNG'!$A$5:$AT644, 0, XMATCH("Mã đơn Misa", '6. TIẾN ĐỘ MUA HÀNG'!$A$4:$AT$4, 0)) &lt;&gt; ""))</f>
        <v>0</v>
      </c>
      <c r="V108" s="754">
        <f t="array" ref="V108">SUMPRODUCT(
  (INDEX('6. TIẾN ĐỘ MUA HÀNG'!$A$5:$AT644, 0, XMATCH("NCC VTBB/NL trong nước", '6. TIẾN ĐỘ MUA HÀNG'!$A$4:$AT$4, 0)) = $B108) * (TRIM(INDEX('6. TIẾN ĐỘ MUA HÀNG'!$A$5:$AT644, 0, XMATCH("Tháng", '6. TIẾN ĐỘ MUA HÀNG'!$A$4:$AT$4, 0))) = TRIM(U$6)) * (INDEX('6. TIẾN ĐỘ MUA HÀNG'!$A$5:$AT644, 0, XMATCH("CL NGÀY NCC DỰ KIẾN - NGÀY NHẬN HÀNG", '6. TIẾN ĐỘ MUA HÀNG'!$A$4:$AT$4, 0)) &lt; 0)
)</f>
        <v>0</v>
      </c>
      <c r="W108" s="755">
        <f t="shared" si="32"/>
        <v>0</v>
      </c>
      <c r="X108" s="756">
        <f t="array" ref="X108">SUMPRODUCT((TRIM(INDEX('6. TIẾN ĐỘ MUA HÀNG'!$A$5:$AT644, 0, XMATCH("NCC VTBB/NL trong nước", '6. TIẾN ĐỘ MUA HÀNG'!$A$4:$AT$4, 0))) = TRIM($B108)) * (TRIM(INDEX('6. TIẾN ĐỘ MUA HÀNG'!$A$5:$AT644, 0, XMATCH("Tháng", '6. TIẾN ĐỘ MUA HÀNG'!$A$4:$AT$4, 0))) = TRIM(X$6)) * (INDEX('6. TIẾN ĐỘ MUA HÀNG'!$A$5:$AT644, 0, XMATCH("Mã đơn Misa", '6. TIẾN ĐỘ MUA HÀNG'!$A$4:$AT$4, 0)) &lt;&gt; ""))</f>
        <v>0</v>
      </c>
      <c r="Y108" s="756">
        <f t="array" ref="Y108">SUMPRODUCT(
  (INDEX('6. TIẾN ĐỘ MUA HÀNG'!$A$5:$AT644, 0, XMATCH("NCC VTBB/NL trong nước", '6. TIẾN ĐỘ MUA HÀNG'!$A$4:$AT$4, 0)) = $B108) * (TRIM(INDEX('6. TIẾN ĐỘ MUA HÀNG'!$A$5:$AT644, 0, XMATCH("Tháng", '6. TIẾN ĐỘ MUA HÀNG'!$A$4:$AT$4, 0))) = TRIM(X$6)) * (INDEX('6. TIẾN ĐỘ MUA HÀNG'!$A$5:$AT644, 0, XMATCH("CL NGÀY NCC DỰ KIẾN - NGÀY NHẬN HÀNG", '6. TIẾN ĐỘ MUA HÀNG'!$A$4:$AT$4, 0)) &lt; 0)
)</f>
        <v>0</v>
      </c>
      <c r="Z108" s="757">
        <f t="shared" si="21"/>
        <v>0</v>
      </c>
      <c r="AA108" s="754">
        <f t="array" ref="AA108">SUMPRODUCT((TRIM(INDEX('6. TIẾN ĐỘ MUA HÀNG'!$A$5:$AT644, 0, XMATCH("NCC VTBB/NL trong nước", '6. TIẾN ĐỘ MUA HÀNG'!$A$4:$AT$4, 0))) = TRIM($B108)) * (TRIM(INDEX('6. TIẾN ĐỘ MUA HÀNG'!$A$5:$AT644, 0, XMATCH("Tháng", '6. TIẾN ĐỘ MUA HÀNG'!$A$4:$AT$4, 0))) = TRIM(AA$6)) * (INDEX('6. TIẾN ĐỘ MUA HÀNG'!$A$5:$AT644, 0, XMATCH("Mã đơn Misa", '6. TIẾN ĐỘ MUA HÀNG'!$A$4:$AT$4, 0)) &lt;&gt; ""))</f>
        <v>0</v>
      </c>
      <c r="AB108" s="754">
        <f t="array" ref="AB108">SUMPRODUCT(
  (INDEX('6. TIẾN ĐỘ MUA HÀNG'!$A$5:$AT644, 0, XMATCH("NCC VTBB/NL trong nước", '6. TIẾN ĐỘ MUA HÀNG'!$A$4:$AT$4, 0)) = $B108) * (TRIM(INDEX('6. TIẾN ĐỘ MUA HÀNG'!$A$5:$AT644, 0, XMATCH("Tháng", '6. TIẾN ĐỘ MUA HÀNG'!$A$4:$AT$4, 0))) = TRIM(AA$6)) * (INDEX('6. TIẾN ĐỘ MUA HÀNG'!$A$5:$AT644, 0, XMATCH("CL NGÀY NCC DỰ KIẾN - NGÀY NHẬN HÀNG", '6. TIẾN ĐỘ MUA HÀNG'!$A$4:$AT$4, 0)) &lt; 0)
)</f>
        <v>0</v>
      </c>
      <c r="AC108" s="755">
        <f t="shared" si="33"/>
        <v>0</v>
      </c>
      <c r="AD108" s="756">
        <f t="array" ref="AD108">SUMPRODUCT((TRIM(INDEX('6. TIẾN ĐỘ MUA HÀNG'!$A$5:$AT644, 0, XMATCH("NCC VTBB/NL trong nước", '6. TIẾN ĐỘ MUA HÀNG'!$A$4:$AT$4, 0))) = TRIM($B108)) * (TRIM(INDEX('6. TIẾN ĐỘ MUA HÀNG'!$A$5:$AT644, 0, XMATCH("Tháng", '6. TIẾN ĐỘ MUA HÀNG'!$A$4:$AT$4, 0))) = TRIM(AD$6)) * (INDEX('6. TIẾN ĐỘ MUA HÀNG'!$A$5:$AT644, 0, XMATCH("Mã đơn Misa", '6. TIẾN ĐỘ MUA HÀNG'!$A$4:$AT$4, 0)) &lt;&gt; ""))</f>
        <v>0</v>
      </c>
      <c r="AE108" s="756">
        <f t="array" ref="AE108">SUMPRODUCT(
  (INDEX('6. TIẾN ĐỘ MUA HÀNG'!$A$5:$AT644, 0, XMATCH("NCC VTBB/NL trong nước", '6. TIẾN ĐỘ MUA HÀNG'!$A$4:$AT$4, 0)) = $B108) * (TRIM(INDEX('6. TIẾN ĐỘ MUA HÀNG'!$A$5:$AT644, 0, XMATCH("Tháng", '6. TIẾN ĐỘ MUA HÀNG'!$A$4:$AT$4, 0))) = TRIM(AD$6)) * (INDEX('6. TIẾN ĐỘ MUA HÀNG'!$A$5:$AT644, 0, XMATCH("CL NGÀY NCC DỰ KIẾN - NGÀY NHẬN HÀNG", '6. TIẾN ĐỘ MUA HÀNG'!$A$4:$AT$4, 0)) &lt; 0)
)</f>
        <v>0</v>
      </c>
      <c r="AF108" s="757">
        <f t="shared" si="23"/>
        <v>0</v>
      </c>
      <c r="AG108" s="754">
        <f t="array" ref="AG108">SUMPRODUCT((TRIM(INDEX('6. TIẾN ĐỘ MUA HÀNG'!$A$5:$AT644, 0, XMATCH("NCC VTBB/NL trong nước", '6. TIẾN ĐỘ MUA HÀNG'!$A$4:$AT$4, 0))) = TRIM($B108)) * (TRIM(INDEX('6. TIẾN ĐỘ MUA HÀNG'!$A$5:$AT644, 0, XMATCH("Tháng", '6. TIẾN ĐỘ MUA HÀNG'!$A$4:$AT$4, 0))) = TRIM(AG$6)) * (INDEX('6. TIẾN ĐỘ MUA HÀNG'!$A$5:$AT644, 0, XMATCH("Mã đơn Misa", '6. TIẾN ĐỘ MUA HÀNG'!$A$4:$AT$4, 0)) &lt;&gt; ""))</f>
        <v>0</v>
      </c>
      <c r="AH108" s="754">
        <f t="array" ref="AH108">SUMPRODUCT(
  (INDEX('6. TIẾN ĐỘ MUA HÀNG'!$A$5:$AT644, 0, XMATCH("NCC VTBB/NL trong nước", '6. TIẾN ĐỘ MUA HÀNG'!$A$4:$AT$4, 0)) = $B108) * (TRIM(INDEX('6. TIẾN ĐỘ MUA HÀNG'!$A$5:$AT644, 0, XMATCH("Tháng", '6. TIẾN ĐỘ MUA HÀNG'!$A$4:$AT$4, 0))) = TRIM(AG$6)) * (INDEX('6. TIẾN ĐỘ MUA HÀNG'!$A$5:$AT644, 0, XMATCH("CL NGÀY NCC DỰ KIẾN - NGÀY NHẬN HÀNG", '6. TIẾN ĐỘ MUA HÀNG'!$A$4:$AT$4, 0)) &lt; 0)
)</f>
        <v>0</v>
      </c>
      <c r="AI108" s="755">
        <f t="shared" si="34"/>
        <v>0</v>
      </c>
      <c r="AJ108" s="756">
        <f t="array" ref="AJ108">SUMPRODUCT((TRIM(INDEX('6. TIẾN ĐỘ MUA HÀNG'!$A$5:$AT644, 0, XMATCH("NCC VTBB/NL trong nước", '6. TIẾN ĐỘ MUA HÀNG'!$A$4:$AT$4, 0))) = TRIM($B108)) * (TRIM(INDEX('6. TIẾN ĐỘ MUA HÀNG'!$A$5:$AT644, 0, XMATCH("Tháng", '6. TIẾN ĐỘ MUA HÀNG'!$A$4:$AT$4, 0))) = TRIM(AJ$6)) * (INDEX('6. TIẾN ĐỘ MUA HÀNG'!$A$5:$AT644, 0, XMATCH("Mã đơn Misa", '6. TIẾN ĐỘ MUA HÀNG'!$A$4:$AT$4, 0)) &lt;&gt; ""))</f>
        <v>0</v>
      </c>
      <c r="AK108" s="756">
        <f t="array" ref="AK108">SUMPRODUCT(
  (INDEX('6. TIẾN ĐỘ MUA HÀNG'!$A$5:$AT644, 0, XMATCH("NCC VTBB/NL trong nước", '6. TIẾN ĐỘ MUA HÀNG'!$A$4:$AT$4, 0)) = $B108) * (TRIM(INDEX('6. TIẾN ĐỘ MUA HÀNG'!$A$5:$AT644, 0, XMATCH("Tháng", '6. TIẾN ĐỘ MUA HÀNG'!$A$4:$AT$4, 0))) = TRIM(AJ$6)) * (INDEX('6. TIẾN ĐỘ MUA HÀNG'!$A$5:$AT644, 0, XMATCH("CL NGÀY NCC DỰ KIẾN - NGÀY NHẬN HÀNG", '6. TIẾN ĐỘ MUA HÀNG'!$A$4:$AT$4, 0)) &lt; 0)
)</f>
        <v>0</v>
      </c>
      <c r="AL108" s="757">
        <f t="shared" si="25"/>
        <v>0</v>
      </c>
      <c r="AM108" s="726">
        <f t="shared" si="27"/>
        <v>0</v>
      </c>
      <c r="AN108" s="726">
        <f t="shared" si="28"/>
        <v>0</v>
      </c>
      <c r="AO108" s="727">
        <f t="shared" si="26"/>
        <v>0</v>
      </c>
    </row>
    <row r="109">
      <c r="A109" s="612">
        <v>101.0</v>
      </c>
      <c r="B109" s="624" t="str">
        <f>IFERROR(__xludf.DUMMYFUNCTION("""COMPUTED_VALUE"""),"Tien Yuan")</f>
        <v>Tien Yuan</v>
      </c>
      <c r="C109" s="754">
        <f t="array" ref="C109">SUMPRODUCT((TRIM(INDEX('6. TIẾN ĐỘ MUA HÀNG'!$A$5:$AT644, 0, XMATCH("NCC VTBB/NL trong nước", '6. TIẾN ĐỘ MUA HÀNG'!$A$4:$AT$4, 0))) = TRIM($B109)) * (TRIM(INDEX('6. TIẾN ĐỘ MUA HÀNG'!$A$5:$AT644, 0, XMATCH("Tháng", '6. TIẾN ĐỘ MUA HÀNG'!$A$4:$AT$4, 0))) = TRIM(C$6)) * (INDEX('6. TIẾN ĐỘ MUA HÀNG'!$A$5:$AT644, 0, XMATCH("Mã đơn Misa", '6. TIẾN ĐỘ MUA HÀNG'!$A$4:$AT$4, 0)) &lt;&gt; ""))</f>
        <v>0</v>
      </c>
      <c r="D109" s="754">
        <f t="array" ref="D109">SUMPRODUCT(
  (INDEX('6. TIẾN ĐỘ MUA HÀNG'!$A$5:$AT644, 0, XMATCH("NCC VTBB/NL trong nước", '6. TIẾN ĐỘ MUA HÀNG'!$A$4:$AT$4, 0)) = $B109) * (TRIM(INDEX('6. TIẾN ĐỘ MUA HÀNG'!$A$5:$AT644, 0, XMATCH("Tháng", '6. TIẾN ĐỘ MUA HÀNG'!$A$4:$AT$4, 0))) = TRIM(C$6)) * (INDEX('6. TIẾN ĐỘ MUA HÀNG'!$A$5:$AT644, 0, XMATCH("CL NGÀY NCC DỰ KIẾN - NGÀY NHẬN HÀNG", '6. TIẾN ĐỘ MUA HÀNG'!$A$4:$AT$4, 0)) &lt; 0)
)</f>
        <v>0</v>
      </c>
      <c r="E109" s="755">
        <f t="shared" si="29"/>
        <v>0</v>
      </c>
      <c r="F109" s="756">
        <f t="array" ref="F109">SUMPRODUCT((TRIM(INDEX('6. TIẾN ĐỘ MUA HÀNG'!$A$5:$AT644, 0, XMATCH("NCC VTBB/NL trong nước", '6. TIẾN ĐỘ MUA HÀNG'!$A$4:$AT$4, 0))) = TRIM($B109)) * (TRIM(INDEX('6. TIẾN ĐỘ MUA HÀNG'!$A$5:$AT644, 0, XMATCH("Tháng", '6. TIẾN ĐỘ MUA HÀNG'!$A$4:$AT$4, 0))) = TRIM(F$6)) * (INDEX('6. TIẾN ĐỘ MUA HÀNG'!$A$5:$AT644, 0, XMATCH("Mã đơn Misa", '6. TIẾN ĐỘ MUA HÀNG'!$A$4:$AT$4, 0)) &lt;&gt; ""))</f>
        <v>0</v>
      </c>
      <c r="G109" s="756">
        <f t="array" ref="G109">SUMPRODUCT(
  (INDEX('6. TIẾN ĐỘ MUA HÀNG'!$A$5:$AT644, 0, XMATCH("NCC VTBB/NL trong nước", '6. TIẾN ĐỘ MUA HÀNG'!$A$4:$AT$4, 0)) = $B109) * (TRIM(INDEX('6. TIẾN ĐỘ MUA HÀNG'!$A$5:$AT644, 0, XMATCH("Tháng", '6. TIẾN ĐỘ MUA HÀNG'!$A$4:$AT$4, 0))) = TRIM(F$6)) * (INDEX('6. TIẾN ĐỘ MUA HÀNG'!$A$5:$AT644, 0, XMATCH("CL NGÀY NCC DỰ KIẾN - NGÀY NHẬN HÀNG", '6. TIẾN ĐỘ MUA HÀNG'!$A$4:$AT$4, 0)) &lt; 0)
)</f>
        <v>0</v>
      </c>
      <c r="H109" s="757">
        <f t="shared" si="15"/>
        <v>0</v>
      </c>
      <c r="I109" s="754">
        <f t="array" ref="I109">SUMPRODUCT((TRIM(INDEX('6. TIẾN ĐỘ MUA HÀNG'!$A$5:$AT644, 0, XMATCH("NCC VTBB/NL trong nước", '6. TIẾN ĐỘ MUA HÀNG'!$A$4:$AT$4, 0))) = TRIM($B109)) * (TRIM(INDEX('6. TIẾN ĐỘ MUA HÀNG'!$A$5:$AT644, 0, XMATCH("Tháng", '6. TIẾN ĐỘ MUA HÀNG'!$A$4:$AT$4, 0))) = TRIM(I$6)) * (INDEX('6. TIẾN ĐỘ MUA HÀNG'!$A$5:$AT644, 0, XMATCH("Mã đơn Misa", '6. TIẾN ĐỘ MUA HÀNG'!$A$4:$AT$4, 0)) &lt;&gt; ""))</f>
        <v>0</v>
      </c>
      <c r="J109" s="754">
        <f t="array" ref="J109">SUMPRODUCT(
  (INDEX('6. TIẾN ĐỘ MUA HÀNG'!$A$5:$AT644, 0, XMATCH("NCC VTBB/NL trong nước", '6. TIẾN ĐỘ MUA HÀNG'!$A$4:$AT$4, 0)) = $B109) * (TRIM(INDEX('6. TIẾN ĐỘ MUA HÀNG'!$A$5:$AT644, 0, XMATCH("Tháng", '6. TIẾN ĐỘ MUA HÀNG'!$A$4:$AT$4, 0))) = TRIM(I$6)) * (INDEX('6. TIẾN ĐỘ MUA HÀNG'!$A$5:$AT644, 0, XMATCH("CL NGÀY NCC DỰ KIẾN - NGÀY NHẬN HÀNG", '6. TIẾN ĐỘ MUA HÀNG'!$A$4:$AT$4, 0)) &lt; 0)
)</f>
        <v>0</v>
      </c>
      <c r="K109" s="755">
        <f t="shared" si="30"/>
        <v>0</v>
      </c>
      <c r="L109" s="756">
        <f t="array" ref="L109">SUMPRODUCT((TRIM(INDEX('6. TIẾN ĐỘ MUA HÀNG'!$A$5:$AT644, 0, XMATCH("NCC VTBB/NL trong nước", '6. TIẾN ĐỘ MUA HÀNG'!$A$4:$AT$4, 0))) = TRIM($B109)) * (TRIM(INDEX('6. TIẾN ĐỘ MUA HÀNG'!$A$5:$AT644, 0, XMATCH("Tháng", '6. TIẾN ĐỘ MUA HÀNG'!$A$4:$AT$4, 0))) = TRIM(L$6)) * (INDEX('6. TIẾN ĐỘ MUA HÀNG'!$A$5:$AT644, 0, XMATCH("Mã đơn Misa", '6. TIẾN ĐỘ MUA HÀNG'!$A$4:$AT$4, 0)) &lt;&gt; ""))</f>
        <v>0</v>
      </c>
      <c r="M109" s="756">
        <f t="array" ref="M109">SUMPRODUCT(
  (INDEX('6. TIẾN ĐỘ MUA HÀNG'!$A$5:$AT644, 0, XMATCH("NCC VTBB/NL trong nước", '6. TIẾN ĐỘ MUA HÀNG'!$A$4:$AT$4, 0)) = $B109) * (TRIM(INDEX('6. TIẾN ĐỘ MUA HÀNG'!$A$5:$AT644, 0, XMATCH("Tháng", '6. TIẾN ĐỘ MUA HÀNG'!$A$4:$AT$4, 0))) = TRIM(L$6)) * (INDEX('6. TIẾN ĐỘ MUA HÀNG'!$A$5:$AT644, 0, XMATCH("CL NGÀY NCC DỰ KIẾN - NGÀY NHẬN HÀNG", '6. TIẾN ĐỘ MUA HÀNG'!$A$4:$AT$4, 0)) &lt; 0)
)</f>
        <v>0</v>
      </c>
      <c r="N109" s="757">
        <f t="shared" si="17"/>
        <v>0</v>
      </c>
      <c r="O109" s="754">
        <f t="array" ref="O109">SUMPRODUCT((TRIM(INDEX('6. TIẾN ĐỘ MUA HÀNG'!$A$5:$AT644, 0, XMATCH("NCC VTBB/NL trong nước", '6. TIẾN ĐỘ MUA HÀNG'!$A$4:$AT$4, 0))) = TRIM($B109)) * (TRIM(INDEX('6. TIẾN ĐỘ MUA HÀNG'!$A$5:$AT644, 0, XMATCH("Tháng", '6. TIẾN ĐỘ MUA HÀNG'!$A$4:$AT$4, 0))) = TRIM(O$6)) * (INDEX('6. TIẾN ĐỘ MUA HÀNG'!$A$5:$AT644, 0, XMATCH("Mã đơn Misa", '6. TIẾN ĐỘ MUA HÀNG'!$A$4:$AT$4, 0)) &lt;&gt; ""))</f>
        <v>0</v>
      </c>
      <c r="P109" s="754">
        <f t="array" ref="P109">SUMPRODUCT(
  (INDEX('6. TIẾN ĐỘ MUA HÀNG'!$A$5:$AT644, 0, XMATCH("NCC VTBB/NL trong nước", '6. TIẾN ĐỘ MUA HÀNG'!$A$4:$AT$4, 0)) = $B109) * (TRIM(INDEX('6. TIẾN ĐỘ MUA HÀNG'!$A$5:$AT644, 0, XMATCH("Tháng", '6. TIẾN ĐỘ MUA HÀNG'!$A$4:$AT$4, 0))) = TRIM(O$6)) * (INDEX('6. TIẾN ĐỘ MUA HÀNG'!$A$5:$AT644, 0, XMATCH("CL NGÀY NCC DỰ KIẾN - NGÀY NHẬN HÀNG", '6. TIẾN ĐỘ MUA HÀNG'!$A$4:$AT$4, 0)) &lt; 0)
)</f>
        <v>0</v>
      </c>
      <c r="Q109" s="755">
        <f t="shared" si="31"/>
        <v>0</v>
      </c>
      <c r="R109" s="756">
        <f t="array" ref="R109">SUMPRODUCT((TRIM(INDEX('6. TIẾN ĐỘ MUA HÀNG'!$A$5:$AT644, 0, XMATCH("NCC VTBB/NL trong nước", '6. TIẾN ĐỘ MUA HÀNG'!$A$4:$AT$4, 0))) = TRIM($B109)) * (TRIM(INDEX('6. TIẾN ĐỘ MUA HÀNG'!$A$5:$AT644, 0, XMATCH("Tháng", '6. TIẾN ĐỘ MUA HÀNG'!$A$4:$AT$4, 0))) = TRIM(R$6)) * (INDEX('6. TIẾN ĐỘ MUA HÀNG'!$A$5:$AT644, 0, XMATCH("Mã đơn Misa", '6. TIẾN ĐỘ MUA HÀNG'!$A$4:$AT$4, 0)) &lt;&gt; ""))</f>
        <v>0</v>
      </c>
      <c r="S109" s="756">
        <f t="array" ref="S109">SUMPRODUCT(
  (INDEX('6. TIẾN ĐỘ MUA HÀNG'!$A$5:$AT644, 0, XMATCH("NCC VTBB/NL trong nước", '6. TIẾN ĐỘ MUA HÀNG'!$A$4:$AT$4, 0)) = $B109) * (TRIM(INDEX('6. TIẾN ĐỘ MUA HÀNG'!$A$5:$AT644, 0, XMATCH("Tháng", '6. TIẾN ĐỘ MUA HÀNG'!$A$4:$AT$4, 0))) = TRIM(R$6)) * (INDEX('6. TIẾN ĐỘ MUA HÀNG'!$A$5:$AT644, 0, XMATCH("CL NGÀY NCC DỰ KIẾN - NGÀY NHẬN HÀNG", '6. TIẾN ĐỘ MUA HÀNG'!$A$4:$AT$4, 0)) &lt; 0)
)</f>
        <v>0</v>
      </c>
      <c r="T109" s="757">
        <f t="shared" si="19"/>
        <v>0</v>
      </c>
      <c r="U109" s="754">
        <f t="array" ref="U109">SUMPRODUCT((TRIM(INDEX('6. TIẾN ĐỘ MUA HÀNG'!$A$5:$AT644, 0, XMATCH("NCC VTBB/NL trong nước", '6. TIẾN ĐỘ MUA HÀNG'!$A$4:$AT$4, 0))) = TRIM($B109)) * (TRIM(INDEX('6. TIẾN ĐỘ MUA HÀNG'!$A$5:$AT644, 0, XMATCH("Tháng", '6. TIẾN ĐỘ MUA HÀNG'!$A$4:$AT$4, 0))) = TRIM(U$6)) * (INDEX('6. TIẾN ĐỘ MUA HÀNG'!$A$5:$AT644, 0, XMATCH("Mã đơn Misa", '6. TIẾN ĐỘ MUA HÀNG'!$A$4:$AT$4, 0)) &lt;&gt; ""))</f>
        <v>0</v>
      </c>
      <c r="V109" s="754">
        <f t="array" ref="V109">SUMPRODUCT(
  (INDEX('6. TIẾN ĐỘ MUA HÀNG'!$A$5:$AT644, 0, XMATCH("NCC VTBB/NL trong nước", '6. TIẾN ĐỘ MUA HÀNG'!$A$4:$AT$4, 0)) = $B109) * (TRIM(INDEX('6. TIẾN ĐỘ MUA HÀNG'!$A$5:$AT644, 0, XMATCH("Tháng", '6. TIẾN ĐỘ MUA HÀNG'!$A$4:$AT$4, 0))) = TRIM(U$6)) * (INDEX('6. TIẾN ĐỘ MUA HÀNG'!$A$5:$AT644, 0, XMATCH("CL NGÀY NCC DỰ KIẾN - NGÀY NHẬN HÀNG", '6. TIẾN ĐỘ MUA HÀNG'!$A$4:$AT$4, 0)) &lt; 0)
)</f>
        <v>0</v>
      </c>
      <c r="W109" s="755">
        <f t="shared" si="32"/>
        <v>0</v>
      </c>
      <c r="X109" s="756">
        <f t="array" ref="X109">SUMPRODUCT((TRIM(INDEX('6. TIẾN ĐỘ MUA HÀNG'!$A$5:$AT644, 0, XMATCH("NCC VTBB/NL trong nước", '6. TIẾN ĐỘ MUA HÀNG'!$A$4:$AT$4, 0))) = TRIM($B109)) * (TRIM(INDEX('6. TIẾN ĐỘ MUA HÀNG'!$A$5:$AT644, 0, XMATCH("Tháng", '6. TIẾN ĐỘ MUA HÀNG'!$A$4:$AT$4, 0))) = TRIM(X$6)) * (INDEX('6. TIẾN ĐỘ MUA HÀNG'!$A$5:$AT644, 0, XMATCH("Mã đơn Misa", '6. TIẾN ĐỘ MUA HÀNG'!$A$4:$AT$4, 0)) &lt;&gt; ""))</f>
        <v>0</v>
      </c>
      <c r="Y109" s="756">
        <f t="array" ref="Y109">SUMPRODUCT(
  (INDEX('6. TIẾN ĐỘ MUA HÀNG'!$A$5:$AT644, 0, XMATCH("NCC VTBB/NL trong nước", '6. TIẾN ĐỘ MUA HÀNG'!$A$4:$AT$4, 0)) = $B109) * (TRIM(INDEX('6. TIẾN ĐỘ MUA HÀNG'!$A$5:$AT644, 0, XMATCH("Tháng", '6. TIẾN ĐỘ MUA HÀNG'!$A$4:$AT$4, 0))) = TRIM(X$6)) * (INDEX('6. TIẾN ĐỘ MUA HÀNG'!$A$5:$AT644, 0, XMATCH("CL NGÀY NCC DỰ KIẾN - NGÀY NHẬN HÀNG", '6. TIẾN ĐỘ MUA HÀNG'!$A$4:$AT$4, 0)) &lt; 0)
)</f>
        <v>0</v>
      </c>
      <c r="Z109" s="757">
        <f t="shared" si="21"/>
        <v>0</v>
      </c>
      <c r="AA109" s="754">
        <f t="array" ref="AA109">SUMPRODUCT((TRIM(INDEX('6. TIẾN ĐỘ MUA HÀNG'!$A$5:$AT644, 0, XMATCH("NCC VTBB/NL trong nước", '6. TIẾN ĐỘ MUA HÀNG'!$A$4:$AT$4, 0))) = TRIM($B109)) * (TRIM(INDEX('6. TIẾN ĐỘ MUA HÀNG'!$A$5:$AT644, 0, XMATCH("Tháng", '6. TIẾN ĐỘ MUA HÀNG'!$A$4:$AT$4, 0))) = TRIM(AA$6)) * (INDEX('6. TIẾN ĐỘ MUA HÀNG'!$A$5:$AT644, 0, XMATCH("Mã đơn Misa", '6. TIẾN ĐỘ MUA HÀNG'!$A$4:$AT$4, 0)) &lt;&gt; ""))</f>
        <v>0</v>
      </c>
      <c r="AB109" s="754">
        <f t="array" ref="AB109">SUMPRODUCT(
  (INDEX('6. TIẾN ĐỘ MUA HÀNG'!$A$5:$AT644, 0, XMATCH("NCC VTBB/NL trong nước", '6. TIẾN ĐỘ MUA HÀNG'!$A$4:$AT$4, 0)) = $B109) * (TRIM(INDEX('6. TIẾN ĐỘ MUA HÀNG'!$A$5:$AT644, 0, XMATCH("Tháng", '6. TIẾN ĐỘ MUA HÀNG'!$A$4:$AT$4, 0))) = TRIM(AA$6)) * (INDEX('6. TIẾN ĐỘ MUA HÀNG'!$A$5:$AT644, 0, XMATCH("CL NGÀY NCC DỰ KIẾN - NGÀY NHẬN HÀNG", '6. TIẾN ĐỘ MUA HÀNG'!$A$4:$AT$4, 0)) &lt; 0)
)</f>
        <v>0</v>
      </c>
      <c r="AC109" s="755">
        <f t="shared" si="33"/>
        <v>0</v>
      </c>
      <c r="AD109" s="756">
        <f t="array" ref="AD109">SUMPRODUCT((TRIM(INDEX('6. TIẾN ĐỘ MUA HÀNG'!$A$5:$AT644, 0, XMATCH("NCC VTBB/NL trong nước", '6. TIẾN ĐỘ MUA HÀNG'!$A$4:$AT$4, 0))) = TRIM($B109)) * (TRIM(INDEX('6. TIẾN ĐỘ MUA HÀNG'!$A$5:$AT644, 0, XMATCH("Tháng", '6. TIẾN ĐỘ MUA HÀNG'!$A$4:$AT$4, 0))) = TRIM(AD$6)) * (INDEX('6. TIẾN ĐỘ MUA HÀNG'!$A$5:$AT644, 0, XMATCH("Mã đơn Misa", '6. TIẾN ĐỘ MUA HÀNG'!$A$4:$AT$4, 0)) &lt;&gt; ""))</f>
        <v>0</v>
      </c>
      <c r="AE109" s="756">
        <f t="array" ref="AE109">SUMPRODUCT(
  (INDEX('6. TIẾN ĐỘ MUA HÀNG'!$A$5:$AT644, 0, XMATCH("NCC VTBB/NL trong nước", '6. TIẾN ĐỘ MUA HÀNG'!$A$4:$AT$4, 0)) = $B109) * (TRIM(INDEX('6. TIẾN ĐỘ MUA HÀNG'!$A$5:$AT644, 0, XMATCH("Tháng", '6. TIẾN ĐỘ MUA HÀNG'!$A$4:$AT$4, 0))) = TRIM(AD$6)) * (INDEX('6. TIẾN ĐỘ MUA HÀNG'!$A$5:$AT644, 0, XMATCH("CL NGÀY NCC DỰ KIẾN - NGÀY NHẬN HÀNG", '6. TIẾN ĐỘ MUA HÀNG'!$A$4:$AT$4, 0)) &lt; 0)
)</f>
        <v>0</v>
      </c>
      <c r="AF109" s="757">
        <f t="shared" si="23"/>
        <v>0</v>
      </c>
      <c r="AG109" s="754">
        <f t="array" ref="AG109">SUMPRODUCT((TRIM(INDEX('6. TIẾN ĐỘ MUA HÀNG'!$A$5:$AT644, 0, XMATCH("NCC VTBB/NL trong nước", '6. TIẾN ĐỘ MUA HÀNG'!$A$4:$AT$4, 0))) = TRIM($B109)) * (TRIM(INDEX('6. TIẾN ĐỘ MUA HÀNG'!$A$5:$AT644, 0, XMATCH("Tháng", '6. TIẾN ĐỘ MUA HÀNG'!$A$4:$AT$4, 0))) = TRIM(AG$6)) * (INDEX('6. TIẾN ĐỘ MUA HÀNG'!$A$5:$AT644, 0, XMATCH("Mã đơn Misa", '6. TIẾN ĐỘ MUA HÀNG'!$A$4:$AT$4, 0)) &lt;&gt; ""))</f>
        <v>0</v>
      </c>
      <c r="AH109" s="754">
        <f t="array" ref="AH109">SUMPRODUCT(
  (INDEX('6. TIẾN ĐỘ MUA HÀNG'!$A$5:$AT644, 0, XMATCH("NCC VTBB/NL trong nước", '6. TIẾN ĐỘ MUA HÀNG'!$A$4:$AT$4, 0)) = $B109) * (TRIM(INDEX('6. TIẾN ĐỘ MUA HÀNG'!$A$5:$AT644, 0, XMATCH("Tháng", '6. TIẾN ĐỘ MUA HÀNG'!$A$4:$AT$4, 0))) = TRIM(AG$6)) * (INDEX('6. TIẾN ĐỘ MUA HÀNG'!$A$5:$AT644, 0, XMATCH("CL NGÀY NCC DỰ KIẾN - NGÀY NHẬN HÀNG", '6. TIẾN ĐỘ MUA HÀNG'!$A$4:$AT$4, 0)) &lt; 0)
)</f>
        <v>0</v>
      </c>
      <c r="AI109" s="755">
        <f t="shared" si="34"/>
        <v>0</v>
      </c>
      <c r="AJ109" s="756">
        <f t="array" ref="AJ109">SUMPRODUCT((TRIM(INDEX('6. TIẾN ĐỘ MUA HÀNG'!$A$5:$AT644, 0, XMATCH("NCC VTBB/NL trong nước", '6. TIẾN ĐỘ MUA HÀNG'!$A$4:$AT$4, 0))) = TRIM($B109)) * (TRIM(INDEX('6. TIẾN ĐỘ MUA HÀNG'!$A$5:$AT644, 0, XMATCH("Tháng", '6. TIẾN ĐỘ MUA HÀNG'!$A$4:$AT$4, 0))) = TRIM(AJ$6)) * (INDEX('6. TIẾN ĐỘ MUA HÀNG'!$A$5:$AT644, 0, XMATCH("Mã đơn Misa", '6. TIẾN ĐỘ MUA HÀNG'!$A$4:$AT$4, 0)) &lt;&gt; ""))</f>
        <v>0</v>
      </c>
      <c r="AK109" s="756">
        <f t="array" ref="AK109">SUMPRODUCT(
  (INDEX('6. TIẾN ĐỘ MUA HÀNG'!$A$5:$AT644, 0, XMATCH("NCC VTBB/NL trong nước", '6. TIẾN ĐỘ MUA HÀNG'!$A$4:$AT$4, 0)) = $B109) * (TRIM(INDEX('6. TIẾN ĐỘ MUA HÀNG'!$A$5:$AT644, 0, XMATCH("Tháng", '6. TIẾN ĐỘ MUA HÀNG'!$A$4:$AT$4, 0))) = TRIM(AJ$6)) * (INDEX('6. TIẾN ĐỘ MUA HÀNG'!$A$5:$AT644, 0, XMATCH("CL NGÀY NCC DỰ KIẾN - NGÀY NHẬN HÀNG", '6. TIẾN ĐỘ MUA HÀNG'!$A$4:$AT$4, 0)) &lt; 0)
)</f>
        <v>0</v>
      </c>
      <c r="AL109" s="757">
        <f t="shared" si="25"/>
        <v>0</v>
      </c>
      <c r="AM109" s="726">
        <f t="shared" si="27"/>
        <v>0</v>
      </c>
      <c r="AN109" s="726">
        <f t="shared" si="28"/>
        <v>0</v>
      </c>
      <c r="AO109" s="727">
        <f t="shared" si="26"/>
        <v>0</v>
      </c>
    </row>
    <row r="110">
      <c r="A110" s="612">
        <v>102.0</v>
      </c>
      <c r="B110" s="624" t="str">
        <f>IFERROR(__xludf.DUMMYFUNCTION("""COMPUTED_VALUE"""),"Hoa Việt Chemgroup")</f>
        <v>Hoa Việt Chemgroup</v>
      </c>
      <c r="C110" s="754">
        <f t="array" ref="C110">SUMPRODUCT((TRIM(INDEX('6. TIẾN ĐỘ MUA HÀNG'!$A$5:$AT644, 0, XMATCH("NCC VTBB/NL trong nước", '6. TIẾN ĐỘ MUA HÀNG'!$A$4:$AT$4, 0))) = TRIM($B110)) * (TRIM(INDEX('6. TIẾN ĐỘ MUA HÀNG'!$A$5:$AT644, 0, XMATCH("Tháng", '6. TIẾN ĐỘ MUA HÀNG'!$A$4:$AT$4, 0))) = TRIM(C$6)) * (INDEX('6. TIẾN ĐỘ MUA HÀNG'!$A$5:$AT644, 0, XMATCH("Mã đơn Misa", '6. TIẾN ĐỘ MUA HÀNG'!$A$4:$AT$4, 0)) &lt;&gt; ""))</f>
        <v>0</v>
      </c>
      <c r="D110" s="754">
        <f t="array" ref="D110">SUMPRODUCT(
  (INDEX('6. TIẾN ĐỘ MUA HÀNG'!$A$5:$AT644, 0, XMATCH("NCC VTBB/NL trong nước", '6. TIẾN ĐỘ MUA HÀNG'!$A$4:$AT$4, 0)) = $B110) * (TRIM(INDEX('6. TIẾN ĐỘ MUA HÀNG'!$A$5:$AT644, 0, XMATCH("Tháng", '6. TIẾN ĐỘ MUA HÀNG'!$A$4:$AT$4, 0))) = TRIM(C$6)) * (INDEX('6. TIẾN ĐỘ MUA HÀNG'!$A$5:$AT644, 0, XMATCH("CL NGÀY NCC DỰ KIẾN - NGÀY NHẬN HÀNG", '6. TIẾN ĐỘ MUA HÀNG'!$A$4:$AT$4, 0)) &lt; 0)
)</f>
        <v>0</v>
      </c>
      <c r="E110" s="755">
        <f t="shared" si="29"/>
        <v>0</v>
      </c>
      <c r="F110" s="756">
        <f t="array" ref="F110">SUMPRODUCT((TRIM(INDEX('6. TIẾN ĐỘ MUA HÀNG'!$A$5:$AT644, 0, XMATCH("NCC VTBB/NL trong nước", '6. TIẾN ĐỘ MUA HÀNG'!$A$4:$AT$4, 0))) = TRIM($B110)) * (TRIM(INDEX('6. TIẾN ĐỘ MUA HÀNG'!$A$5:$AT644, 0, XMATCH("Tháng", '6. TIẾN ĐỘ MUA HÀNG'!$A$4:$AT$4, 0))) = TRIM(F$6)) * (INDEX('6. TIẾN ĐỘ MUA HÀNG'!$A$5:$AT644, 0, XMATCH("Mã đơn Misa", '6. TIẾN ĐỘ MUA HÀNG'!$A$4:$AT$4, 0)) &lt;&gt; ""))</f>
        <v>0</v>
      </c>
      <c r="G110" s="756">
        <f t="array" ref="G110">SUMPRODUCT(
  (INDEX('6. TIẾN ĐỘ MUA HÀNG'!$A$5:$AT644, 0, XMATCH("NCC VTBB/NL trong nước", '6. TIẾN ĐỘ MUA HÀNG'!$A$4:$AT$4, 0)) = $B110) * (TRIM(INDEX('6. TIẾN ĐỘ MUA HÀNG'!$A$5:$AT644, 0, XMATCH("Tháng", '6. TIẾN ĐỘ MUA HÀNG'!$A$4:$AT$4, 0))) = TRIM(F$6)) * (INDEX('6. TIẾN ĐỘ MUA HÀNG'!$A$5:$AT644, 0, XMATCH("CL NGÀY NCC DỰ KIẾN - NGÀY NHẬN HÀNG", '6. TIẾN ĐỘ MUA HÀNG'!$A$4:$AT$4, 0)) &lt; 0)
)</f>
        <v>0</v>
      </c>
      <c r="H110" s="757">
        <f t="shared" si="15"/>
        <v>0</v>
      </c>
      <c r="I110" s="754">
        <f t="array" ref="I110">SUMPRODUCT((TRIM(INDEX('6. TIẾN ĐỘ MUA HÀNG'!$A$5:$AT644, 0, XMATCH("NCC VTBB/NL trong nước", '6. TIẾN ĐỘ MUA HÀNG'!$A$4:$AT$4, 0))) = TRIM($B110)) * (TRIM(INDEX('6. TIẾN ĐỘ MUA HÀNG'!$A$5:$AT644, 0, XMATCH("Tháng", '6. TIẾN ĐỘ MUA HÀNG'!$A$4:$AT$4, 0))) = TRIM(I$6)) * (INDEX('6. TIẾN ĐỘ MUA HÀNG'!$A$5:$AT644, 0, XMATCH("Mã đơn Misa", '6. TIẾN ĐỘ MUA HÀNG'!$A$4:$AT$4, 0)) &lt;&gt; ""))</f>
        <v>0</v>
      </c>
      <c r="J110" s="754">
        <f t="array" ref="J110">SUMPRODUCT(
  (INDEX('6. TIẾN ĐỘ MUA HÀNG'!$A$5:$AT644, 0, XMATCH("NCC VTBB/NL trong nước", '6. TIẾN ĐỘ MUA HÀNG'!$A$4:$AT$4, 0)) = $B110) * (TRIM(INDEX('6. TIẾN ĐỘ MUA HÀNG'!$A$5:$AT644, 0, XMATCH("Tháng", '6. TIẾN ĐỘ MUA HÀNG'!$A$4:$AT$4, 0))) = TRIM(I$6)) * (INDEX('6. TIẾN ĐỘ MUA HÀNG'!$A$5:$AT644, 0, XMATCH("CL NGÀY NCC DỰ KIẾN - NGÀY NHẬN HÀNG", '6. TIẾN ĐỘ MUA HÀNG'!$A$4:$AT$4, 0)) &lt; 0)
)</f>
        <v>0</v>
      </c>
      <c r="K110" s="755">
        <f t="shared" si="30"/>
        <v>0</v>
      </c>
      <c r="L110" s="756">
        <f t="array" ref="L110">SUMPRODUCT((TRIM(INDEX('6. TIẾN ĐỘ MUA HÀNG'!$A$5:$AT644, 0, XMATCH("NCC VTBB/NL trong nước", '6. TIẾN ĐỘ MUA HÀNG'!$A$4:$AT$4, 0))) = TRIM($B110)) * (TRIM(INDEX('6. TIẾN ĐỘ MUA HÀNG'!$A$5:$AT644, 0, XMATCH("Tháng", '6. TIẾN ĐỘ MUA HÀNG'!$A$4:$AT$4, 0))) = TRIM(L$6)) * (INDEX('6. TIẾN ĐỘ MUA HÀNG'!$A$5:$AT644, 0, XMATCH("Mã đơn Misa", '6. TIẾN ĐỘ MUA HÀNG'!$A$4:$AT$4, 0)) &lt;&gt; ""))</f>
        <v>0</v>
      </c>
      <c r="M110" s="756">
        <f t="array" ref="M110">SUMPRODUCT(
  (INDEX('6. TIẾN ĐỘ MUA HÀNG'!$A$5:$AT644, 0, XMATCH("NCC VTBB/NL trong nước", '6. TIẾN ĐỘ MUA HÀNG'!$A$4:$AT$4, 0)) = $B110) * (TRIM(INDEX('6. TIẾN ĐỘ MUA HÀNG'!$A$5:$AT644, 0, XMATCH("Tháng", '6. TIẾN ĐỘ MUA HÀNG'!$A$4:$AT$4, 0))) = TRIM(L$6)) * (INDEX('6. TIẾN ĐỘ MUA HÀNG'!$A$5:$AT644, 0, XMATCH("CL NGÀY NCC DỰ KIẾN - NGÀY NHẬN HÀNG", '6. TIẾN ĐỘ MUA HÀNG'!$A$4:$AT$4, 0)) &lt; 0)
)</f>
        <v>0</v>
      </c>
      <c r="N110" s="757">
        <f t="shared" si="17"/>
        <v>0</v>
      </c>
      <c r="O110" s="754">
        <f t="array" ref="O110">SUMPRODUCT((TRIM(INDEX('6. TIẾN ĐỘ MUA HÀNG'!$A$5:$AT644, 0, XMATCH("NCC VTBB/NL trong nước", '6. TIẾN ĐỘ MUA HÀNG'!$A$4:$AT$4, 0))) = TRIM($B110)) * (TRIM(INDEX('6. TIẾN ĐỘ MUA HÀNG'!$A$5:$AT644, 0, XMATCH("Tháng", '6. TIẾN ĐỘ MUA HÀNG'!$A$4:$AT$4, 0))) = TRIM(O$6)) * (INDEX('6. TIẾN ĐỘ MUA HÀNG'!$A$5:$AT644, 0, XMATCH("Mã đơn Misa", '6. TIẾN ĐỘ MUA HÀNG'!$A$4:$AT$4, 0)) &lt;&gt; ""))</f>
        <v>0</v>
      </c>
      <c r="P110" s="754">
        <f t="array" ref="P110">SUMPRODUCT(
  (INDEX('6. TIẾN ĐỘ MUA HÀNG'!$A$5:$AT644, 0, XMATCH("NCC VTBB/NL trong nước", '6. TIẾN ĐỘ MUA HÀNG'!$A$4:$AT$4, 0)) = $B110) * (TRIM(INDEX('6. TIẾN ĐỘ MUA HÀNG'!$A$5:$AT644, 0, XMATCH("Tháng", '6. TIẾN ĐỘ MUA HÀNG'!$A$4:$AT$4, 0))) = TRIM(O$6)) * (INDEX('6. TIẾN ĐỘ MUA HÀNG'!$A$5:$AT644, 0, XMATCH("CL NGÀY NCC DỰ KIẾN - NGÀY NHẬN HÀNG", '6. TIẾN ĐỘ MUA HÀNG'!$A$4:$AT$4, 0)) &lt; 0)
)</f>
        <v>0</v>
      </c>
      <c r="Q110" s="755">
        <f t="shared" si="31"/>
        <v>0</v>
      </c>
      <c r="R110" s="756">
        <f t="array" ref="R110">SUMPRODUCT((TRIM(INDEX('6. TIẾN ĐỘ MUA HÀNG'!$A$5:$AT644, 0, XMATCH("NCC VTBB/NL trong nước", '6. TIẾN ĐỘ MUA HÀNG'!$A$4:$AT$4, 0))) = TRIM($B110)) * (TRIM(INDEX('6. TIẾN ĐỘ MUA HÀNG'!$A$5:$AT644, 0, XMATCH("Tháng", '6. TIẾN ĐỘ MUA HÀNG'!$A$4:$AT$4, 0))) = TRIM(R$6)) * (INDEX('6. TIẾN ĐỘ MUA HÀNG'!$A$5:$AT644, 0, XMATCH("Mã đơn Misa", '6. TIẾN ĐỘ MUA HÀNG'!$A$4:$AT$4, 0)) &lt;&gt; ""))</f>
        <v>0</v>
      </c>
      <c r="S110" s="756">
        <f t="array" ref="S110">SUMPRODUCT(
  (INDEX('6. TIẾN ĐỘ MUA HÀNG'!$A$5:$AT644, 0, XMATCH("NCC VTBB/NL trong nước", '6. TIẾN ĐỘ MUA HÀNG'!$A$4:$AT$4, 0)) = $B110) * (TRIM(INDEX('6. TIẾN ĐỘ MUA HÀNG'!$A$5:$AT644, 0, XMATCH("Tháng", '6. TIẾN ĐỘ MUA HÀNG'!$A$4:$AT$4, 0))) = TRIM(R$6)) * (INDEX('6. TIẾN ĐỘ MUA HÀNG'!$A$5:$AT644, 0, XMATCH("CL NGÀY NCC DỰ KIẾN - NGÀY NHẬN HÀNG", '6. TIẾN ĐỘ MUA HÀNG'!$A$4:$AT$4, 0)) &lt; 0)
)</f>
        <v>0</v>
      </c>
      <c r="T110" s="757">
        <f t="shared" si="19"/>
        <v>0</v>
      </c>
      <c r="U110" s="754">
        <f t="array" ref="U110">SUMPRODUCT((TRIM(INDEX('6. TIẾN ĐỘ MUA HÀNG'!$A$5:$AT644, 0, XMATCH("NCC VTBB/NL trong nước", '6. TIẾN ĐỘ MUA HÀNG'!$A$4:$AT$4, 0))) = TRIM($B110)) * (TRIM(INDEX('6. TIẾN ĐỘ MUA HÀNG'!$A$5:$AT644, 0, XMATCH("Tháng", '6. TIẾN ĐỘ MUA HÀNG'!$A$4:$AT$4, 0))) = TRIM(U$6)) * (INDEX('6. TIẾN ĐỘ MUA HÀNG'!$A$5:$AT644, 0, XMATCH("Mã đơn Misa", '6. TIẾN ĐỘ MUA HÀNG'!$A$4:$AT$4, 0)) &lt;&gt; ""))</f>
        <v>0</v>
      </c>
      <c r="V110" s="754">
        <f t="array" ref="V110">SUMPRODUCT(
  (INDEX('6. TIẾN ĐỘ MUA HÀNG'!$A$5:$AT644, 0, XMATCH("NCC VTBB/NL trong nước", '6. TIẾN ĐỘ MUA HÀNG'!$A$4:$AT$4, 0)) = $B110) * (TRIM(INDEX('6. TIẾN ĐỘ MUA HÀNG'!$A$5:$AT644, 0, XMATCH("Tháng", '6. TIẾN ĐỘ MUA HÀNG'!$A$4:$AT$4, 0))) = TRIM(U$6)) * (INDEX('6. TIẾN ĐỘ MUA HÀNG'!$A$5:$AT644, 0, XMATCH("CL NGÀY NCC DỰ KIẾN - NGÀY NHẬN HÀNG", '6. TIẾN ĐỘ MUA HÀNG'!$A$4:$AT$4, 0)) &lt; 0)
)</f>
        <v>0</v>
      </c>
      <c r="W110" s="755">
        <f t="shared" si="32"/>
        <v>0</v>
      </c>
      <c r="X110" s="756">
        <f t="array" ref="X110">SUMPRODUCT((TRIM(INDEX('6. TIẾN ĐỘ MUA HÀNG'!$A$5:$AT644, 0, XMATCH("NCC VTBB/NL trong nước", '6. TIẾN ĐỘ MUA HÀNG'!$A$4:$AT$4, 0))) = TRIM($B110)) * (TRIM(INDEX('6. TIẾN ĐỘ MUA HÀNG'!$A$5:$AT644, 0, XMATCH("Tháng", '6. TIẾN ĐỘ MUA HÀNG'!$A$4:$AT$4, 0))) = TRIM(X$6)) * (INDEX('6. TIẾN ĐỘ MUA HÀNG'!$A$5:$AT644, 0, XMATCH("Mã đơn Misa", '6. TIẾN ĐỘ MUA HÀNG'!$A$4:$AT$4, 0)) &lt;&gt; ""))</f>
        <v>0</v>
      </c>
      <c r="Y110" s="756">
        <f t="array" ref="Y110">SUMPRODUCT(
  (INDEX('6. TIẾN ĐỘ MUA HÀNG'!$A$5:$AT644, 0, XMATCH("NCC VTBB/NL trong nước", '6. TIẾN ĐỘ MUA HÀNG'!$A$4:$AT$4, 0)) = $B110) * (TRIM(INDEX('6. TIẾN ĐỘ MUA HÀNG'!$A$5:$AT644, 0, XMATCH("Tháng", '6. TIẾN ĐỘ MUA HÀNG'!$A$4:$AT$4, 0))) = TRIM(X$6)) * (INDEX('6. TIẾN ĐỘ MUA HÀNG'!$A$5:$AT644, 0, XMATCH("CL NGÀY NCC DỰ KIẾN - NGÀY NHẬN HÀNG", '6. TIẾN ĐỘ MUA HÀNG'!$A$4:$AT$4, 0)) &lt; 0)
)</f>
        <v>0</v>
      </c>
      <c r="Z110" s="757">
        <f t="shared" si="21"/>
        <v>0</v>
      </c>
      <c r="AA110" s="754">
        <f t="array" ref="AA110">SUMPRODUCT((TRIM(INDEX('6. TIẾN ĐỘ MUA HÀNG'!$A$5:$AT644, 0, XMATCH("NCC VTBB/NL trong nước", '6. TIẾN ĐỘ MUA HÀNG'!$A$4:$AT$4, 0))) = TRIM($B110)) * (TRIM(INDEX('6. TIẾN ĐỘ MUA HÀNG'!$A$5:$AT644, 0, XMATCH("Tháng", '6. TIẾN ĐỘ MUA HÀNG'!$A$4:$AT$4, 0))) = TRIM(AA$6)) * (INDEX('6. TIẾN ĐỘ MUA HÀNG'!$A$5:$AT644, 0, XMATCH("Mã đơn Misa", '6. TIẾN ĐỘ MUA HÀNG'!$A$4:$AT$4, 0)) &lt;&gt; ""))</f>
        <v>0</v>
      </c>
      <c r="AB110" s="754">
        <f t="array" ref="AB110">SUMPRODUCT(
  (INDEX('6. TIẾN ĐỘ MUA HÀNG'!$A$5:$AT644, 0, XMATCH("NCC VTBB/NL trong nước", '6. TIẾN ĐỘ MUA HÀNG'!$A$4:$AT$4, 0)) = $B110) * (TRIM(INDEX('6. TIẾN ĐỘ MUA HÀNG'!$A$5:$AT644, 0, XMATCH("Tháng", '6. TIẾN ĐỘ MUA HÀNG'!$A$4:$AT$4, 0))) = TRIM(AA$6)) * (INDEX('6. TIẾN ĐỘ MUA HÀNG'!$A$5:$AT644, 0, XMATCH("CL NGÀY NCC DỰ KIẾN - NGÀY NHẬN HÀNG", '6. TIẾN ĐỘ MUA HÀNG'!$A$4:$AT$4, 0)) &lt; 0)
)</f>
        <v>0</v>
      </c>
      <c r="AC110" s="755">
        <f t="shared" si="33"/>
        <v>0</v>
      </c>
      <c r="AD110" s="756">
        <f t="array" ref="AD110">SUMPRODUCT((TRIM(INDEX('6. TIẾN ĐỘ MUA HÀNG'!$A$5:$AT644, 0, XMATCH("NCC VTBB/NL trong nước", '6. TIẾN ĐỘ MUA HÀNG'!$A$4:$AT$4, 0))) = TRIM($B110)) * (TRIM(INDEX('6. TIẾN ĐỘ MUA HÀNG'!$A$5:$AT644, 0, XMATCH("Tháng", '6. TIẾN ĐỘ MUA HÀNG'!$A$4:$AT$4, 0))) = TRIM(AD$6)) * (INDEX('6. TIẾN ĐỘ MUA HÀNG'!$A$5:$AT644, 0, XMATCH("Mã đơn Misa", '6. TIẾN ĐỘ MUA HÀNG'!$A$4:$AT$4, 0)) &lt;&gt; ""))</f>
        <v>0</v>
      </c>
      <c r="AE110" s="756">
        <f t="array" ref="AE110">SUMPRODUCT(
  (INDEX('6. TIẾN ĐỘ MUA HÀNG'!$A$5:$AT644, 0, XMATCH("NCC VTBB/NL trong nước", '6. TIẾN ĐỘ MUA HÀNG'!$A$4:$AT$4, 0)) = $B110) * (TRIM(INDEX('6. TIẾN ĐỘ MUA HÀNG'!$A$5:$AT644, 0, XMATCH("Tháng", '6. TIẾN ĐỘ MUA HÀNG'!$A$4:$AT$4, 0))) = TRIM(AD$6)) * (INDEX('6. TIẾN ĐỘ MUA HÀNG'!$A$5:$AT644, 0, XMATCH("CL NGÀY NCC DỰ KIẾN - NGÀY NHẬN HÀNG", '6. TIẾN ĐỘ MUA HÀNG'!$A$4:$AT$4, 0)) &lt; 0)
)</f>
        <v>0</v>
      </c>
      <c r="AF110" s="757">
        <f t="shared" si="23"/>
        <v>0</v>
      </c>
      <c r="AG110" s="754">
        <f t="array" ref="AG110">SUMPRODUCT((TRIM(INDEX('6. TIẾN ĐỘ MUA HÀNG'!$A$5:$AT644, 0, XMATCH("NCC VTBB/NL trong nước", '6. TIẾN ĐỘ MUA HÀNG'!$A$4:$AT$4, 0))) = TRIM($B110)) * (TRIM(INDEX('6. TIẾN ĐỘ MUA HÀNG'!$A$5:$AT644, 0, XMATCH("Tháng", '6. TIẾN ĐỘ MUA HÀNG'!$A$4:$AT$4, 0))) = TRIM(AG$6)) * (INDEX('6. TIẾN ĐỘ MUA HÀNG'!$A$5:$AT644, 0, XMATCH("Mã đơn Misa", '6. TIẾN ĐỘ MUA HÀNG'!$A$4:$AT$4, 0)) &lt;&gt; ""))</f>
        <v>0</v>
      </c>
      <c r="AH110" s="754">
        <f t="array" ref="AH110">SUMPRODUCT(
  (INDEX('6. TIẾN ĐỘ MUA HÀNG'!$A$5:$AT644, 0, XMATCH("NCC VTBB/NL trong nước", '6. TIẾN ĐỘ MUA HÀNG'!$A$4:$AT$4, 0)) = $B110) * (TRIM(INDEX('6. TIẾN ĐỘ MUA HÀNG'!$A$5:$AT644, 0, XMATCH("Tháng", '6. TIẾN ĐỘ MUA HÀNG'!$A$4:$AT$4, 0))) = TRIM(AG$6)) * (INDEX('6. TIẾN ĐỘ MUA HÀNG'!$A$5:$AT644, 0, XMATCH("CL NGÀY NCC DỰ KIẾN - NGÀY NHẬN HÀNG", '6. TIẾN ĐỘ MUA HÀNG'!$A$4:$AT$4, 0)) &lt; 0)
)</f>
        <v>0</v>
      </c>
      <c r="AI110" s="755">
        <f t="shared" si="34"/>
        <v>0</v>
      </c>
      <c r="AJ110" s="756">
        <f t="array" ref="AJ110">SUMPRODUCT((TRIM(INDEX('6. TIẾN ĐỘ MUA HÀNG'!$A$5:$AT644, 0, XMATCH("NCC VTBB/NL trong nước", '6. TIẾN ĐỘ MUA HÀNG'!$A$4:$AT$4, 0))) = TRIM($B110)) * (TRIM(INDEX('6. TIẾN ĐỘ MUA HÀNG'!$A$5:$AT644, 0, XMATCH("Tháng", '6. TIẾN ĐỘ MUA HÀNG'!$A$4:$AT$4, 0))) = TRIM(AJ$6)) * (INDEX('6. TIẾN ĐỘ MUA HÀNG'!$A$5:$AT644, 0, XMATCH("Mã đơn Misa", '6. TIẾN ĐỘ MUA HÀNG'!$A$4:$AT$4, 0)) &lt;&gt; ""))</f>
        <v>0</v>
      </c>
      <c r="AK110" s="756">
        <f t="array" ref="AK110">SUMPRODUCT(
  (INDEX('6. TIẾN ĐỘ MUA HÀNG'!$A$5:$AT644, 0, XMATCH("NCC VTBB/NL trong nước", '6. TIẾN ĐỘ MUA HÀNG'!$A$4:$AT$4, 0)) = $B110) * (TRIM(INDEX('6. TIẾN ĐỘ MUA HÀNG'!$A$5:$AT644, 0, XMATCH("Tháng", '6. TIẾN ĐỘ MUA HÀNG'!$A$4:$AT$4, 0))) = TRIM(AJ$6)) * (INDEX('6. TIẾN ĐỘ MUA HÀNG'!$A$5:$AT644, 0, XMATCH("CL NGÀY NCC DỰ KIẾN - NGÀY NHẬN HÀNG", '6. TIẾN ĐỘ MUA HÀNG'!$A$4:$AT$4, 0)) &lt; 0)
)</f>
        <v>0</v>
      </c>
      <c r="AL110" s="757">
        <f t="shared" si="25"/>
        <v>0</v>
      </c>
      <c r="AM110" s="726">
        <f t="shared" si="27"/>
        <v>0</v>
      </c>
      <c r="AN110" s="726">
        <f t="shared" si="28"/>
        <v>0</v>
      </c>
      <c r="AO110" s="727">
        <f t="shared" si="26"/>
        <v>0</v>
      </c>
    </row>
    <row r="111">
      <c r="A111" s="612">
        <v>103.0</v>
      </c>
      <c r="B111" s="624" t="str">
        <f>IFERROR(__xludf.DUMMYFUNCTION("""COMPUTED_VALUE"""),"Nông Nghiệp Thông Minh")</f>
        <v>Nông Nghiệp Thông Minh</v>
      </c>
      <c r="C111" s="754">
        <f t="array" ref="C111">SUMPRODUCT((TRIM(INDEX('6. TIẾN ĐỘ MUA HÀNG'!$A$5:$AT644, 0, XMATCH("NCC VTBB/NL trong nước", '6. TIẾN ĐỘ MUA HÀNG'!$A$4:$AT$4, 0))) = TRIM($B111)) * (TRIM(INDEX('6. TIẾN ĐỘ MUA HÀNG'!$A$5:$AT644, 0, XMATCH("Tháng", '6. TIẾN ĐỘ MUA HÀNG'!$A$4:$AT$4, 0))) = TRIM(C$6)) * (INDEX('6. TIẾN ĐỘ MUA HÀNG'!$A$5:$AT644, 0, XMATCH("Mã đơn Misa", '6. TIẾN ĐỘ MUA HÀNG'!$A$4:$AT$4, 0)) &lt;&gt; ""))</f>
        <v>0</v>
      </c>
      <c r="D111" s="754">
        <f t="array" ref="D111">SUMPRODUCT(
  (INDEX('6. TIẾN ĐỘ MUA HÀNG'!$A$5:$AT644, 0, XMATCH("NCC VTBB/NL trong nước", '6. TIẾN ĐỘ MUA HÀNG'!$A$4:$AT$4, 0)) = $B111) * (TRIM(INDEX('6. TIẾN ĐỘ MUA HÀNG'!$A$5:$AT644, 0, XMATCH("Tháng", '6. TIẾN ĐỘ MUA HÀNG'!$A$4:$AT$4, 0))) = TRIM(C$6)) * (INDEX('6. TIẾN ĐỘ MUA HÀNG'!$A$5:$AT644, 0, XMATCH("CL NGÀY NCC DỰ KIẾN - NGÀY NHẬN HÀNG", '6. TIẾN ĐỘ MUA HÀNG'!$A$4:$AT$4, 0)) &lt; 0)
)</f>
        <v>0</v>
      </c>
      <c r="E111" s="755">
        <f t="shared" si="29"/>
        <v>0</v>
      </c>
      <c r="F111" s="756">
        <f t="array" ref="F111">SUMPRODUCT((TRIM(INDEX('6. TIẾN ĐỘ MUA HÀNG'!$A$5:$AT644, 0, XMATCH("NCC VTBB/NL trong nước", '6. TIẾN ĐỘ MUA HÀNG'!$A$4:$AT$4, 0))) = TRIM($B111)) * (TRIM(INDEX('6. TIẾN ĐỘ MUA HÀNG'!$A$5:$AT644, 0, XMATCH("Tháng", '6. TIẾN ĐỘ MUA HÀNG'!$A$4:$AT$4, 0))) = TRIM(F$6)) * (INDEX('6. TIẾN ĐỘ MUA HÀNG'!$A$5:$AT644, 0, XMATCH("Mã đơn Misa", '6. TIẾN ĐỘ MUA HÀNG'!$A$4:$AT$4, 0)) &lt;&gt; ""))</f>
        <v>0</v>
      </c>
      <c r="G111" s="756">
        <f t="array" ref="G111">SUMPRODUCT(
  (INDEX('6. TIẾN ĐỘ MUA HÀNG'!$A$5:$AT644, 0, XMATCH("NCC VTBB/NL trong nước", '6. TIẾN ĐỘ MUA HÀNG'!$A$4:$AT$4, 0)) = $B111) * (TRIM(INDEX('6. TIẾN ĐỘ MUA HÀNG'!$A$5:$AT644, 0, XMATCH("Tháng", '6. TIẾN ĐỘ MUA HÀNG'!$A$4:$AT$4, 0))) = TRIM(F$6)) * (INDEX('6. TIẾN ĐỘ MUA HÀNG'!$A$5:$AT644, 0, XMATCH("CL NGÀY NCC DỰ KIẾN - NGÀY NHẬN HÀNG", '6. TIẾN ĐỘ MUA HÀNG'!$A$4:$AT$4, 0)) &lt; 0)
)</f>
        <v>0</v>
      </c>
      <c r="H111" s="757">
        <f t="shared" si="15"/>
        <v>0</v>
      </c>
      <c r="I111" s="754">
        <f t="array" ref="I111">SUMPRODUCT((TRIM(INDEX('6. TIẾN ĐỘ MUA HÀNG'!$A$5:$AT644, 0, XMATCH("NCC VTBB/NL trong nước", '6. TIẾN ĐỘ MUA HÀNG'!$A$4:$AT$4, 0))) = TRIM($B111)) * (TRIM(INDEX('6. TIẾN ĐỘ MUA HÀNG'!$A$5:$AT644, 0, XMATCH("Tháng", '6. TIẾN ĐỘ MUA HÀNG'!$A$4:$AT$4, 0))) = TRIM(I$6)) * (INDEX('6. TIẾN ĐỘ MUA HÀNG'!$A$5:$AT644, 0, XMATCH("Mã đơn Misa", '6. TIẾN ĐỘ MUA HÀNG'!$A$4:$AT$4, 0)) &lt;&gt; ""))</f>
        <v>0</v>
      </c>
      <c r="J111" s="754">
        <f t="array" ref="J111">SUMPRODUCT(
  (INDEX('6. TIẾN ĐỘ MUA HÀNG'!$A$5:$AT644, 0, XMATCH("NCC VTBB/NL trong nước", '6. TIẾN ĐỘ MUA HÀNG'!$A$4:$AT$4, 0)) = $B111) * (TRIM(INDEX('6. TIẾN ĐỘ MUA HÀNG'!$A$5:$AT644, 0, XMATCH("Tháng", '6. TIẾN ĐỘ MUA HÀNG'!$A$4:$AT$4, 0))) = TRIM(I$6)) * (INDEX('6. TIẾN ĐỘ MUA HÀNG'!$A$5:$AT644, 0, XMATCH("CL NGÀY NCC DỰ KIẾN - NGÀY NHẬN HÀNG", '6. TIẾN ĐỘ MUA HÀNG'!$A$4:$AT$4, 0)) &lt; 0)
)</f>
        <v>0</v>
      </c>
      <c r="K111" s="755">
        <f t="shared" si="30"/>
        <v>0</v>
      </c>
      <c r="L111" s="756">
        <f t="array" ref="L111">SUMPRODUCT((TRIM(INDEX('6. TIẾN ĐỘ MUA HÀNG'!$A$5:$AT644, 0, XMATCH("NCC VTBB/NL trong nước", '6. TIẾN ĐỘ MUA HÀNG'!$A$4:$AT$4, 0))) = TRIM($B111)) * (TRIM(INDEX('6. TIẾN ĐỘ MUA HÀNG'!$A$5:$AT644, 0, XMATCH("Tháng", '6. TIẾN ĐỘ MUA HÀNG'!$A$4:$AT$4, 0))) = TRIM(L$6)) * (INDEX('6. TIẾN ĐỘ MUA HÀNG'!$A$5:$AT644, 0, XMATCH("Mã đơn Misa", '6. TIẾN ĐỘ MUA HÀNG'!$A$4:$AT$4, 0)) &lt;&gt; ""))</f>
        <v>0</v>
      </c>
      <c r="M111" s="756">
        <f t="array" ref="M111">SUMPRODUCT(
  (INDEX('6. TIẾN ĐỘ MUA HÀNG'!$A$5:$AT644, 0, XMATCH("NCC VTBB/NL trong nước", '6. TIẾN ĐỘ MUA HÀNG'!$A$4:$AT$4, 0)) = $B111) * (TRIM(INDEX('6. TIẾN ĐỘ MUA HÀNG'!$A$5:$AT644, 0, XMATCH("Tháng", '6. TIẾN ĐỘ MUA HÀNG'!$A$4:$AT$4, 0))) = TRIM(L$6)) * (INDEX('6. TIẾN ĐỘ MUA HÀNG'!$A$5:$AT644, 0, XMATCH("CL NGÀY NCC DỰ KIẾN - NGÀY NHẬN HÀNG", '6. TIẾN ĐỘ MUA HÀNG'!$A$4:$AT$4, 0)) &lt; 0)
)</f>
        <v>0</v>
      </c>
      <c r="N111" s="757">
        <f t="shared" si="17"/>
        <v>0</v>
      </c>
      <c r="O111" s="754">
        <f t="array" ref="O111">SUMPRODUCT((TRIM(INDEX('6. TIẾN ĐỘ MUA HÀNG'!$A$5:$AT644, 0, XMATCH("NCC VTBB/NL trong nước", '6. TIẾN ĐỘ MUA HÀNG'!$A$4:$AT$4, 0))) = TRIM($B111)) * (TRIM(INDEX('6. TIẾN ĐỘ MUA HÀNG'!$A$5:$AT644, 0, XMATCH("Tháng", '6. TIẾN ĐỘ MUA HÀNG'!$A$4:$AT$4, 0))) = TRIM(O$6)) * (INDEX('6. TIẾN ĐỘ MUA HÀNG'!$A$5:$AT644, 0, XMATCH("Mã đơn Misa", '6. TIẾN ĐỘ MUA HÀNG'!$A$4:$AT$4, 0)) &lt;&gt; ""))</f>
        <v>0</v>
      </c>
      <c r="P111" s="754">
        <f t="array" ref="P111">SUMPRODUCT(
  (INDEX('6. TIẾN ĐỘ MUA HÀNG'!$A$5:$AT644, 0, XMATCH("NCC VTBB/NL trong nước", '6. TIẾN ĐỘ MUA HÀNG'!$A$4:$AT$4, 0)) = $B111) * (TRIM(INDEX('6. TIẾN ĐỘ MUA HÀNG'!$A$5:$AT644, 0, XMATCH("Tháng", '6. TIẾN ĐỘ MUA HÀNG'!$A$4:$AT$4, 0))) = TRIM(O$6)) * (INDEX('6. TIẾN ĐỘ MUA HÀNG'!$A$5:$AT644, 0, XMATCH("CL NGÀY NCC DỰ KIẾN - NGÀY NHẬN HÀNG", '6. TIẾN ĐỘ MUA HÀNG'!$A$4:$AT$4, 0)) &lt; 0)
)</f>
        <v>0</v>
      </c>
      <c r="Q111" s="755">
        <f t="shared" si="31"/>
        <v>0</v>
      </c>
      <c r="R111" s="756">
        <f t="array" ref="R111">SUMPRODUCT((TRIM(INDEX('6. TIẾN ĐỘ MUA HÀNG'!$A$5:$AT644, 0, XMATCH("NCC VTBB/NL trong nước", '6. TIẾN ĐỘ MUA HÀNG'!$A$4:$AT$4, 0))) = TRIM($B111)) * (TRIM(INDEX('6. TIẾN ĐỘ MUA HÀNG'!$A$5:$AT644, 0, XMATCH("Tháng", '6. TIẾN ĐỘ MUA HÀNG'!$A$4:$AT$4, 0))) = TRIM(R$6)) * (INDEX('6. TIẾN ĐỘ MUA HÀNG'!$A$5:$AT644, 0, XMATCH("Mã đơn Misa", '6. TIẾN ĐỘ MUA HÀNG'!$A$4:$AT$4, 0)) &lt;&gt; ""))</f>
        <v>0</v>
      </c>
      <c r="S111" s="756">
        <f t="array" ref="S111">SUMPRODUCT(
  (INDEX('6. TIẾN ĐỘ MUA HÀNG'!$A$5:$AT644, 0, XMATCH("NCC VTBB/NL trong nước", '6. TIẾN ĐỘ MUA HÀNG'!$A$4:$AT$4, 0)) = $B111) * (TRIM(INDEX('6. TIẾN ĐỘ MUA HÀNG'!$A$5:$AT644, 0, XMATCH("Tháng", '6. TIẾN ĐỘ MUA HÀNG'!$A$4:$AT$4, 0))) = TRIM(R$6)) * (INDEX('6. TIẾN ĐỘ MUA HÀNG'!$A$5:$AT644, 0, XMATCH("CL NGÀY NCC DỰ KIẾN - NGÀY NHẬN HÀNG", '6. TIẾN ĐỘ MUA HÀNG'!$A$4:$AT$4, 0)) &lt; 0)
)</f>
        <v>0</v>
      </c>
      <c r="T111" s="757">
        <f t="shared" si="19"/>
        <v>0</v>
      </c>
      <c r="U111" s="754">
        <f t="array" ref="U111">SUMPRODUCT((TRIM(INDEX('6. TIẾN ĐỘ MUA HÀNG'!$A$5:$AT644, 0, XMATCH("NCC VTBB/NL trong nước", '6. TIẾN ĐỘ MUA HÀNG'!$A$4:$AT$4, 0))) = TRIM($B111)) * (TRIM(INDEX('6. TIẾN ĐỘ MUA HÀNG'!$A$5:$AT644, 0, XMATCH("Tháng", '6. TIẾN ĐỘ MUA HÀNG'!$A$4:$AT$4, 0))) = TRIM(U$6)) * (INDEX('6. TIẾN ĐỘ MUA HÀNG'!$A$5:$AT644, 0, XMATCH("Mã đơn Misa", '6. TIẾN ĐỘ MUA HÀNG'!$A$4:$AT$4, 0)) &lt;&gt; ""))</f>
        <v>0</v>
      </c>
      <c r="V111" s="754">
        <f t="array" ref="V111">SUMPRODUCT(
  (INDEX('6. TIẾN ĐỘ MUA HÀNG'!$A$5:$AT644, 0, XMATCH("NCC VTBB/NL trong nước", '6. TIẾN ĐỘ MUA HÀNG'!$A$4:$AT$4, 0)) = $B111) * (TRIM(INDEX('6. TIẾN ĐỘ MUA HÀNG'!$A$5:$AT644, 0, XMATCH("Tháng", '6. TIẾN ĐỘ MUA HÀNG'!$A$4:$AT$4, 0))) = TRIM(U$6)) * (INDEX('6. TIẾN ĐỘ MUA HÀNG'!$A$5:$AT644, 0, XMATCH("CL NGÀY NCC DỰ KIẾN - NGÀY NHẬN HÀNG", '6. TIẾN ĐỘ MUA HÀNG'!$A$4:$AT$4, 0)) &lt; 0)
)</f>
        <v>0</v>
      </c>
      <c r="W111" s="755">
        <f t="shared" si="32"/>
        <v>0</v>
      </c>
      <c r="X111" s="756">
        <f t="array" ref="X111">SUMPRODUCT((TRIM(INDEX('6. TIẾN ĐỘ MUA HÀNG'!$A$5:$AT644, 0, XMATCH("NCC VTBB/NL trong nước", '6. TIẾN ĐỘ MUA HÀNG'!$A$4:$AT$4, 0))) = TRIM($B111)) * (TRIM(INDEX('6. TIẾN ĐỘ MUA HÀNG'!$A$5:$AT644, 0, XMATCH("Tháng", '6. TIẾN ĐỘ MUA HÀNG'!$A$4:$AT$4, 0))) = TRIM(X$6)) * (INDEX('6. TIẾN ĐỘ MUA HÀNG'!$A$5:$AT644, 0, XMATCH("Mã đơn Misa", '6. TIẾN ĐỘ MUA HÀNG'!$A$4:$AT$4, 0)) &lt;&gt; ""))</f>
        <v>0</v>
      </c>
      <c r="Y111" s="756">
        <f t="array" ref="Y111">SUMPRODUCT(
  (INDEX('6. TIẾN ĐỘ MUA HÀNG'!$A$5:$AT644, 0, XMATCH("NCC VTBB/NL trong nước", '6. TIẾN ĐỘ MUA HÀNG'!$A$4:$AT$4, 0)) = $B111) * (TRIM(INDEX('6. TIẾN ĐỘ MUA HÀNG'!$A$5:$AT644, 0, XMATCH("Tháng", '6. TIẾN ĐỘ MUA HÀNG'!$A$4:$AT$4, 0))) = TRIM(X$6)) * (INDEX('6. TIẾN ĐỘ MUA HÀNG'!$A$5:$AT644, 0, XMATCH("CL NGÀY NCC DỰ KIẾN - NGÀY NHẬN HÀNG", '6. TIẾN ĐỘ MUA HÀNG'!$A$4:$AT$4, 0)) &lt; 0)
)</f>
        <v>0</v>
      </c>
      <c r="Z111" s="757">
        <f t="shared" si="21"/>
        <v>0</v>
      </c>
      <c r="AA111" s="754">
        <f t="array" ref="AA111">SUMPRODUCT((TRIM(INDEX('6. TIẾN ĐỘ MUA HÀNG'!$A$5:$AT644, 0, XMATCH("NCC VTBB/NL trong nước", '6. TIẾN ĐỘ MUA HÀNG'!$A$4:$AT$4, 0))) = TRIM($B111)) * (TRIM(INDEX('6. TIẾN ĐỘ MUA HÀNG'!$A$5:$AT644, 0, XMATCH("Tháng", '6. TIẾN ĐỘ MUA HÀNG'!$A$4:$AT$4, 0))) = TRIM(AA$6)) * (INDEX('6. TIẾN ĐỘ MUA HÀNG'!$A$5:$AT644, 0, XMATCH("Mã đơn Misa", '6. TIẾN ĐỘ MUA HÀNG'!$A$4:$AT$4, 0)) &lt;&gt; ""))</f>
        <v>0</v>
      </c>
      <c r="AB111" s="754">
        <f t="array" ref="AB111">SUMPRODUCT(
  (INDEX('6. TIẾN ĐỘ MUA HÀNG'!$A$5:$AT644, 0, XMATCH("NCC VTBB/NL trong nước", '6. TIẾN ĐỘ MUA HÀNG'!$A$4:$AT$4, 0)) = $B111) * (TRIM(INDEX('6. TIẾN ĐỘ MUA HÀNG'!$A$5:$AT644, 0, XMATCH("Tháng", '6. TIẾN ĐỘ MUA HÀNG'!$A$4:$AT$4, 0))) = TRIM(AA$6)) * (INDEX('6. TIẾN ĐỘ MUA HÀNG'!$A$5:$AT644, 0, XMATCH("CL NGÀY NCC DỰ KIẾN - NGÀY NHẬN HÀNG", '6. TIẾN ĐỘ MUA HÀNG'!$A$4:$AT$4, 0)) &lt; 0)
)</f>
        <v>0</v>
      </c>
      <c r="AC111" s="755">
        <f t="shared" si="33"/>
        <v>0</v>
      </c>
      <c r="AD111" s="756">
        <f t="array" ref="AD111">SUMPRODUCT((TRIM(INDEX('6. TIẾN ĐỘ MUA HÀNG'!$A$5:$AT644, 0, XMATCH("NCC VTBB/NL trong nước", '6. TIẾN ĐỘ MUA HÀNG'!$A$4:$AT$4, 0))) = TRIM($B111)) * (TRIM(INDEX('6. TIẾN ĐỘ MUA HÀNG'!$A$5:$AT644, 0, XMATCH("Tháng", '6. TIẾN ĐỘ MUA HÀNG'!$A$4:$AT$4, 0))) = TRIM(AD$6)) * (INDEX('6. TIẾN ĐỘ MUA HÀNG'!$A$5:$AT644, 0, XMATCH("Mã đơn Misa", '6. TIẾN ĐỘ MUA HÀNG'!$A$4:$AT$4, 0)) &lt;&gt; ""))</f>
        <v>0</v>
      </c>
      <c r="AE111" s="756">
        <f t="array" ref="AE111">SUMPRODUCT(
  (INDEX('6. TIẾN ĐỘ MUA HÀNG'!$A$5:$AT644, 0, XMATCH("NCC VTBB/NL trong nước", '6. TIẾN ĐỘ MUA HÀNG'!$A$4:$AT$4, 0)) = $B111) * (TRIM(INDEX('6. TIẾN ĐỘ MUA HÀNG'!$A$5:$AT644, 0, XMATCH("Tháng", '6. TIẾN ĐỘ MUA HÀNG'!$A$4:$AT$4, 0))) = TRIM(AD$6)) * (INDEX('6. TIẾN ĐỘ MUA HÀNG'!$A$5:$AT644, 0, XMATCH("CL NGÀY NCC DỰ KIẾN - NGÀY NHẬN HÀNG", '6. TIẾN ĐỘ MUA HÀNG'!$A$4:$AT$4, 0)) &lt; 0)
)</f>
        <v>0</v>
      </c>
      <c r="AF111" s="757">
        <f t="shared" si="23"/>
        <v>0</v>
      </c>
      <c r="AG111" s="754">
        <f t="array" ref="AG111">SUMPRODUCT((TRIM(INDEX('6. TIẾN ĐỘ MUA HÀNG'!$A$5:$AT644, 0, XMATCH("NCC VTBB/NL trong nước", '6. TIẾN ĐỘ MUA HÀNG'!$A$4:$AT$4, 0))) = TRIM($B111)) * (TRIM(INDEX('6. TIẾN ĐỘ MUA HÀNG'!$A$5:$AT644, 0, XMATCH("Tháng", '6. TIẾN ĐỘ MUA HÀNG'!$A$4:$AT$4, 0))) = TRIM(AG$6)) * (INDEX('6. TIẾN ĐỘ MUA HÀNG'!$A$5:$AT644, 0, XMATCH("Mã đơn Misa", '6. TIẾN ĐỘ MUA HÀNG'!$A$4:$AT$4, 0)) &lt;&gt; ""))</f>
        <v>0</v>
      </c>
      <c r="AH111" s="754">
        <f t="array" ref="AH111">SUMPRODUCT(
  (INDEX('6. TIẾN ĐỘ MUA HÀNG'!$A$5:$AT644, 0, XMATCH("NCC VTBB/NL trong nước", '6. TIẾN ĐỘ MUA HÀNG'!$A$4:$AT$4, 0)) = $B111) * (TRIM(INDEX('6. TIẾN ĐỘ MUA HÀNG'!$A$5:$AT644, 0, XMATCH("Tháng", '6. TIẾN ĐỘ MUA HÀNG'!$A$4:$AT$4, 0))) = TRIM(AG$6)) * (INDEX('6. TIẾN ĐỘ MUA HÀNG'!$A$5:$AT644, 0, XMATCH("CL NGÀY NCC DỰ KIẾN - NGÀY NHẬN HÀNG", '6. TIẾN ĐỘ MUA HÀNG'!$A$4:$AT$4, 0)) &lt; 0)
)</f>
        <v>0</v>
      </c>
      <c r="AI111" s="755">
        <f t="shared" si="34"/>
        <v>0</v>
      </c>
      <c r="AJ111" s="756">
        <f t="array" ref="AJ111">SUMPRODUCT((TRIM(INDEX('6. TIẾN ĐỘ MUA HÀNG'!$A$5:$AT644, 0, XMATCH("NCC VTBB/NL trong nước", '6. TIẾN ĐỘ MUA HÀNG'!$A$4:$AT$4, 0))) = TRIM($B111)) * (TRIM(INDEX('6. TIẾN ĐỘ MUA HÀNG'!$A$5:$AT644, 0, XMATCH("Tháng", '6. TIẾN ĐỘ MUA HÀNG'!$A$4:$AT$4, 0))) = TRIM(AJ$6)) * (INDEX('6. TIẾN ĐỘ MUA HÀNG'!$A$5:$AT644, 0, XMATCH("Mã đơn Misa", '6. TIẾN ĐỘ MUA HÀNG'!$A$4:$AT$4, 0)) &lt;&gt; ""))</f>
        <v>0</v>
      </c>
      <c r="AK111" s="756">
        <f t="array" ref="AK111">SUMPRODUCT(
  (INDEX('6. TIẾN ĐỘ MUA HÀNG'!$A$5:$AT644, 0, XMATCH("NCC VTBB/NL trong nước", '6. TIẾN ĐỘ MUA HÀNG'!$A$4:$AT$4, 0)) = $B111) * (TRIM(INDEX('6. TIẾN ĐỘ MUA HÀNG'!$A$5:$AT644, 0, XMATCH("Tháng", '6. TIẾN ĐỘ MUA HÀNG'!$A$4:$AT$4, 0))) = TRIM(AJ$6)) * (INDEX('6. TIẾN ĐỘ MUA HÀNG'!$A$5:$AT644, 0, XMATCH("CL NGÀY NCC DỰ KIẾN - NGÀY NHẬN HÀNG", '6. TIẾN ĐỘ MUA HÀNG'!$A$4:$AT$4, 0)) &lt; 0)
)</f>
        <v>0</v>
      </c>
      <c r="AL111" s="757">
        <f t="shared" si="25"/>
        <v>0</v>
      </c>
      <c r="AM111" s="726">
        <f t="shared" si="27"/>
        <v>0</v>
      </c>
      <c r="AN111" s="726">
        <f t="shared" si="28"/>
        <v>0</v>
      </c>
      <c r="AO111" s="727">
        <f t="shared" si="26"/>
        <v>0</v>
      </c>
    </row>
    <row r="112">
      <c r="A112" s="612">
        <v>104.0</v>
      </c>
      <c r="B112" s="624" t="str">
        <f>IFERROR(__xludf.DUMMYFUNCTION("""COMPUTED_VALUE"""),"Trần Tiến")</f>
        <v>Trần Tiến</v>
      </c>
      <c r="C112" s="754">
        <f t="array" ref="C112">SUMPRODUCT((TRIM(INDEX('6. TIẾN ĐỘ MUA HÀNG'!$A$5:$AT644, 0, XMATCH("NCC VTBB/NL trong nước", '6. TIẾN ĐỘ MUA HÀNG'!$A$4:$AT$4, 0))) = TRIM($B112)) * (TRIM(INDEX('6. TIẾN ĐỘ MUA HÀNG'!$A$5:$AT644, 0, XMATCH("Tháng", '6. TIẾN ĐỘ MUA HÀNG'!$A$4:$AT$4, 0))) = TRIM(C$6)) * (INDEX('6. TIẾN ĐỘ MUA HÀNG'!$A$5:$AT644, 0, XMATCH("Mã đơn Misa", '6. TIẾN ĐỘ MUA HÀNG'!$A$4:$AT$4, 0)) &lt;&gt; ""))</f>
        <v>0</v>
      </c>
      <c r="D112" s="754">
        <f t="array" ref="D112">SUMPRODUCT(
  (INDEX('6. TIẾN ĐỘ MUA HÀNG'!$A$5:$AT644, 0, XMATCH("NCC VTBB/NL trong nước", '6. TIẾN ĐỘ MUA HÀNG'!$A$4:$AT$4, 0)) = $B112) * (TRIM(INDEX('6. TIẾN ĐỘ MUA HÀNG'!$A$5:$AT644, 0, XMATCH("Tháng", '6. TIẾN ĐỘ MUA HÀNG'!$A$4:$AT$4, 0))) = TRIM(C$6)) * (INDEX('6. TIẾN ĐỘ MUA HÀNG'!$A$5:$AT644, 0, XMATCH("CL NGÀY NCC DỰ KIẾN - NGÀY NHẬN HÀNG", '6. TIẾN ĐỘ MUA HÀNG'!$A$4:$AT$4, 0)) &lt; 0)
)</f>
        <v>0</v>
      </c>
      <c r="E112" s="755">
        <f t="shared" si="29"/>
        <v>0</v>
      </c>
      <c r="F112" s="756">
        <f t="array" ref="F112">SUMPRODUCT((TRIM(INDEX('6. TIẾN ĐỘ MUA HÀNG'!$A$5:$AT644, 0, XMATCH("NCC VTBB/NL trong nước", '6. TIẾN ĐỘ MUA HÀNG'!$A$4:$AT$4, 0))) = TRIM($B112)) * (TRIM(INDEX('6. TIẾN ĐỘ MUA HÀNG'!$A$5:$AT644, 0, XMATCH("Tháng", '6. TIẾN ĐỘ MUA HÀNG'!$A$4:$AT$4, 0))) = TRIM(F$6)) * (INDEX('6. TIẾN ĐỘ MUA HÀNG'!$A$5:$AT644, 0, XMATCH("Mã đơn Misa", '6. TIẾN ĐỘ MUA HÀNG'!$A$4:$AT$4, 0)) &lt;&gt; ""))</f>
        <v>0</v>
      </c>
      <c r="G112" s="756">
        <f t="array" ref="G112">SUMPRODUCT(
  (INDEX('6. TIẾN ĐỘ MUA HÀNG'!$A$5:$AT644, 0, XMATCH("NCC VTBB/NL trong nước", '6. TIẾN ĐỘ MUA HÀNG'!$A$4:$AT$4, 0)) = $B112) * (TRIM(INDEX('6. TIẾN ĐỘ MUA HÀNG'!$A$5:$AT644, 0, XMATCH("Tháng", '6. TIẾN ĐỘ MUA HÀNG'!$A$4:$AT$4, 0))) = TRIM(F$6)) * (INDEX('6. TIẾN ĐỘ MUA HÀNG'!$A$5:$AT644, 0, XMATCH("CL NGÀY NCC DỰ KIẾN - NGÀY NHẬN HÀNG", '6. TIẾN ĐỘ MUA HÀNG'!$A$4:$AT$4, 0)) &lt; 0)
)</f>
        <v>0</v>
      </c>
      <c r="H112" s="757">
        <f t="shared" si="15"/>
        <v>0</v>
      </c>
      <c r="I112" s="754">
        <f t="array" ref="I112">SUMPRODUCT((TRIM(INDEX('6. TIẾN ĐỘ MUA HÀNG'!$A$5:$AT644, 0, XMATCH("NCC VTBB/NL trong nước", '6. TIẾN ĐỘ MUA HÀNG'!$A$4:$AT$4, 0))) = TRIM($B112)) * (TRIM(INDEX('6. TIẾN ĐỘ MUA HÀNG'!$A$5:$AT644, 0, XMATCH("Tháng", '6. TIẾN ĐỘ MUA HÀNG'!$A$4:$AT$4, 0))) = TRIM(I$6)) * (INDEX('6. TIẾN ĐỘ MUA HÀNG'!$A$5:$AT644, 0, XMATCH("Mã đơn Misa", '6. TIẾN ĐỘ MUA HÀNG'!$A$4:$AT$4, 0)) &lt;&gt; ""))</f>
        <v>0</v>
      </c>
      <c r="J112" s="754">
        <f t="array" ref="J112">SUMPRODUCT(
  (INDEX('6. TIẾN ĐỘ MUA HÀNG'!$A$5:$AT644, 0, XMATCH("NCC VTBB/NL trong nước", '6. TIẾN ĐỘ MUA HÀNG'!$A$4:$AT$4, 0)) = $B112) * (TRIM(INDEX('6. TIẾN ĐỘ MUA HÀNG'!$A$5:$AT644, 0, XMATCH("Tháng", '6. TIẾN ĐỘ MUA HÀNG'!$A$4:$AT$4, 0))) = TRIM(I$6)) * (INDEX('6. TIẾN ĐỘ MUA HÀNG'!$A$5:$AT644, 0, XMATCH("CL NGÀY NCC DỰ KIẾN - NGÀY NHẬN HÀNG", '6. TIẾN ĐỘ MUA HÀNG'!$A$4:$AT$4, 0)) &lt; 0)
)</f>
        <v>0</v>
      </c>
      <c r="K112" s="755">
        <f t="shared" si="30"/>
        <v>0</v>
      </c>
      <c r="L112" s="756">
        <f t="array" ref="L112">SUMPRODUCT((TRIM(INDEX('6. TIẾN ĐỘ MUA HÀNG'!$A$5:$AT644, 0, XMATCH("NCC VTBB/NL trong nước", '6. TIẾN ĐỘ MUA HÀNG'!$A$4:$AT$4, 0))) = TRIM($B112)) * (TRIM(INDEX('6. TIẾN ĐỘ MUA HÀNG'!$A$5:$AT644, 0, XMATCH("Tháng", '6. TIẾN ĐỘ MUA HÀNG'!$A$4:$AT$4, 0))) = TRIM(L$6)) * (INDEX('6. TIẾN ĐỘ MUA HÀNG'!$A$5:$AT644, 0, XMATCH("Mã đơn Misa", '6. TIẾN ĐỘ MUA HÀNG'!$A$4:$AT$4, 0)) &lt;&gt; ""))</f>
        <v>0</v>
      </c>
      <c r="M112" s="756">
        <f t="array" ref="M112">SUMPRODUCT(
  (INDEX('6. TIẾN ĐỘ MUA HÀNG'!$A$5:$AT644, 0, XMATCH("NCC VTBB/NL trong nước", '6. TIẾN ĐỘ MUA HÀNG'!$A$4:$AT$4, 0)) = $B112) * (TRIM(INDEX('6. TIẾN ĐỘ MUA HÀNG'!$A$5:$AT644, 0, XMATCH("Tháng", '6. TIẾN ĐỘ MUA HÀNG'!$A$4:$AT$4, 0))) = TRIM(L$6)) * (INDEX('6. TIẾN ĐỘ MUA HÀNG'!$A$5:$AT644, 0, XMATCH("CL NGÀY NCC DỰ KIẾN - NGÀY NHẬN HÀNG", '6. TIẾN ĐỘ MUA HÀNG'!$A$4:$AT$4, 0)) &lt; 0)
)</f>
        <v>0</v>
      </c>
      <c r="N112" s="757">
        <f t="shared" si="17"/>
        <v>0</v>
      </c>
      <c r="O112" s="754">
        <f t="array" ref="O112">SUMPRODUCT((TRIM(INDEX('6. TIẾN ĐỘ MUA HÀNG'!$A$5:$AT644, 0, XMATCH("NCC VTBB/NL trong nước", '6. TIẾN ĐỘ MUA HÀNG'!$A$4:$AT$4, 0))) = TRIM($B112)) * (TRIM(INDEX('6. TIẾN ĐỘ MUA HÀNG'!$A$5:$AT644, 0, XMATCH("Tháng", '6. TIẾN ĐỘ MUA HÀNG'!$A$4:$AT$4, 0))) = TRIM(O$6)) * (INDEX('6. TIẾN ĐỘ MUA HÀNG'!$A$5:$AT644, 0, XMATCH("Mã đơn Misa", '6. TIẾN ĐỘ MUA HÀNG'!$A$4:$AT$4, 0)) &lt;&gt; ""))</f>
        <v>0</v>
      </c>
      <c r="P112" s="754">
        <f t="array" ref="P112">SUMPRODUCT(
  (INDEX('6. TIẾN ĐỘ MUA HÀNG'!$A$5:$AT644, 0, XMATCH("NCC VTBB/NL trong nước", '6. TIẾN ĐỘ MUA HÀNG'!$A$4:$AT$4, 0)) = $B112) * (TRIM(INDEX('6. TIẾN ĐỘ MUA HÀNG'!$A$5:$AT644, 0, XMATCH("Tháng", '6. TIẾN ĐỘ MUA HÀNG'!$A$4:$AT$4, 0))) = TRIM(O$6)) * (INDEX('6. TIẾN ĐỘ MUA HÀNG'!$A$5:$AT644, 0, XMATCH("CL NGÀY NCC DỰ KIẾN - NGÀY NHẬN HÀNG", '6. TIẾN ĐỘ MUA HÀNG'!$A$4:$AT$4, 0)) &lt; 0)
)</f>
        <v>0</v>
      </c>
      <c r="Q112" s="755">
        <f t="shared" si="31"/>
        <v>0</v>
      </c>
      <c r="R112" s="756">
        <f t="array" ref="R112">SUMPRODUCT((TRIM(INDEX('6. TIẾN ĐỘ MUA HÀNG'!$A$5:$AT644, 0, XMATCH("NCC VTBB/NL trong nước", '6. TIẾN ĐỘ MUA HÀNG'!$A$4:$AT$4, 0))) = TRIM($B112)) * (TRIM(INDEX('6. TIẾN ĐỘ MUA HÀNG'!$A$5:$AT644, 0, XMATCH("Tháng", '6. TIẾN ĐỘ MUA HÀNG'!$A$4:$AT$4, 0))) = TRIM(R$6)) * (INDEX('6. TIẾN ĐỘ MUA HÀNG'!$A$5:$AT644, 0, XMATCH("Mã đơn Misa", '6. TIẾN ĐỘ MUA HÀNG'!$A$4:$AT$4, 0)) &lt;&gt; ""))</f>
        <v>0</v>
      </c>
      <c r="S112" s="756">
        <f t="array" ref="S112">SUMPRODUCT(
  (INDEX('6. TIẾN ĐỘ MUA HÀNG'!$A$5:$AT644, 0, XMATCH("NCC VTBB/NL trong nước", '6. TIẾN ĐỘ MUA HÀNG'!$A$4:$AT$4, 0)) = $B112) * (TRIM(INDEX('6. TIẾN ĐỘ MUA HÀNG'!$A$5:$AT644, 0, XMATCH("Tháng", '6. TIẾN ĐỘ MUA HÀNG'!$A$4:$AT$4, 0))) = TRIM(R$6)) * (INDEX('6. TIẾN ĐỘ MUA HÀNG'!$A$5:$AT644, 0, XMATCH("CL NGÀY NCC DỰ KIẾN - NGÀY NHẬN HÀNG", '6. TIẾN ĐỘ MUA HÀNG'!$A$4:$AT$4, 0)) &lt; 0)
)</f>
        <v>0</v>
      </c>
      <c r="T112" s="757">
        <f t="shared" si="19"/>
        <v>0</v>
      </c>
      <c r="U112" s="754">
        <f t="array" ref="U112">SUMPRODUCT((TRIM(INDEX('6. TIẾN ĐỘ MUA HÀNG'!$A$5:$AT644, 0, XMATCH("NCC VTBB/NL trong nước", '6. TIẾN ĐỘ MUA HÀNG'!$A$4:$AT$4, 0))) = TRIM($B112)) * (TRIM(INDEX('6. TIẾN ĐỘ MUA HÀNG'!$A$5:$AT644, 0, XMATCH("Tháng", '6. TIẾN ĐỘ MUA HÀNG'!$A$4:$AT$4, 0))) = TRIM(U$6)) * (INDEX('6. TIẾN ĐỘ MUA HÀNG'!$A$5:$AT644, 0, XMATCH("Mã đơn Misa", '6. TIẾN ĐỘ MUA HÀNG'!$A$4:$AT$4, 0)) &lt;&gt; ""))</f>
        <v>0</v>
      </c>
      <c r="V112" s="754">
        <f t="array" ref="V112">SUMPRODUCT(
  (INDEX('6. TIẾN ĐỘ MUA HÀNG'!$A$5:$AT644, 0, XMATCH("NCC VTBB/NL trong nước", '6. TIẾN ĐỘ MUA HÀNG'!$A$4:$AT$4, 0)) = $B112) * (TRIM(INDEX('6. TIẾN ĐỘ MUA HÀNG'!$A$5:$AT644, 0, XMATCH("Tháng", '6. TIẾN ĐỘ MUA HÀNG'!$A$4:$AT$4, 0))) = TRIM(U$6)) * (INDEX('6. TIẾN ĐỘ MUA HÀNG'!$A$5:$AT644, 0, XMATCH("CL NGÀY NCC DỰ KIẾN - NGÀY NHẬN HÀNG", '6. TIẾN ĐỘ MUA HÀNG'!$A$4:$AT$4, 0)) &lt; 0)
)</f>
        <v>0</v>
      </c>
      <c r="W112" s="755">
        <f t="shared" si="32"/>
        <v>0</v>
      </c>
      <c r="X112" s="756">
        <f t="array" ref="X112">SUMPRODUCT((TRIM(INDEX('6. TIẾN ĐỘ MUA HÀNG'!$A$5:$AT644, 0, XMATCH("NCC VTBB/NL trong nước", '6. TIẾN ĐỘ MUA HÀNG'!$A$4:$AT$4, 0))) = TRIM($B112)) * (TRIM(INDEX('6. TIẾN ĐỘ MUA HÀNG'!$A$5:$AT644, 0, XMATCH("Tháng", '6. TIẾN ĐỘ MUA HÀNG'!$A$4:$AT$4, 0))) = TRIM(X$6)) * (INDEX('6. TIẾN ĐỘ MUA HÀNG'!$A$5:$AT644, 0, XMATCH("Mã đơn Misa", '6. TIẾN ĐỘ MUA HÀNG'!$A$4:$AT$4, 0)) &lt;&gt; ""))</f>
        <v>0</v>
      </c>
      <c r="Y112" s="756">
        <f t="array" ref="Y112">SUMPRODUCT(
  (INDEX('6. TIẾN ĐỘ MUA HÀNG'!$A$5:$AT644, 0, XMATCH("NCC VTBB/NL trong nước", '6. TIẾN ĐỘ MUA HÀNG'!$A$4:$AT$4, 0)) = $B112) * (TRIM(INDEX('6. TIẾN ĐỘ MUA HÀNG'!$A$5:$AT644, 0, XMATCH("Tháng", '6. TIẾN ĐỘ MUA HÀNG'!$A$4:$AT$4, 0))) = TRIM(X$6)) * (INDEX('6. TIẾN ĐỘ MUA HÀNG'!$A$5:$AT644, 0, XMATCH("CL NGÀY NCC DỰ KIẾN - NGÀY NHẬN HÀNG", '6. TIẾN ĐỘ MUA HÀNG'!$A$4:$AT$4, 0)) &lt; 0)
)</f>
        <v>0</v>
      </c>
      <c r="Z112" s="757">
        <f t="shared" si="21"/>
        <v>0</v>
      </c>
      <c r="AA112" s="754">
        <f t="array" ref="AA112">SUMPRODUCT((TRIM(INDEX('6. TIẾN ĐỘ MUA HÀNG'!$A$5:$AT644, 0, XMATCH("NCC VTBB/NL trong nước", '6. TIẾN ĐỘ MUA HÀNG'!$A$4:$AT$4, 0))) = TRIM($B112)) * (TRIM(INDEX('6. TIẾN ĐỘ MUA HÀNG'!$A$5:$AT644, 0, XMATCH("Tháng", '6. TIẾN ĐỘ MUA HÀNG'!$A$4:$AT$4, 0))) = TRIM(AA$6)) * (INDEX('6. TIẾN ĐỘ MUA HÀNG'!$A$5:$AT644, 0, XMATCH("Mã đơn Misa", '6. TIẾN ĐỘ MUA HÀNG'!$A$4:$AT$4, 0)) &lt;&gt; ""))</f>
        <v>0</v>
      </c>
      <c r="AB112" s="754">
        <f t="array" ref="AB112">SUMPRODUCT(
  (INDEX('6. TIẾN ĐỘ MUA HÀNG'!$A$5:$AT644, 0, XMATCH("NCC VTBB/NL trong nước", '6. TIẾN ĐỘ MUA HÀNG'!$A$4:$AT$4, 0)) = $B112) * (TRIM(INDEX('6. TIẾN ĐỘ MUA HÀNG'!$A$5:$AT644, 0, XMATCH("Tháng", '6. TIẾN ĐỘ MUA HÀNG'!$A$4:$AT$4, 0))) = TRIM(AA$6)) * (INDEX('6. TIẾN ĐỘ MUA HÀNG'!$A$5:$AT644, 0, XMATCH("CL NGÀY NCC DỰ KIẾN - NGÀY NHẬN HÀNG", '6. TIẾN ĐỘ MUA HÀNG'!$A$4:$AT$4, 0)) &lt; 0)
)</f>
        <v>0</v>
      </c>
      <c r="AC112" s="755">
        <f t="shared" si="33"/>
        <v>0</v>
      </c>
      <c r="AD112" s="756">
        <f t="array" ref="AD112">SUMPRODUCT((TRIM(INDEX('6. TIẾN ĐỘ MUA HÀNG'!$A$5:$AT644, 0, XMATCH("NCC VTBB/NL trong nước", '6. TIẾN ĐỘ MUA HÀNG'!$A$4:$AT$4, 0))) = TRIM($B112)) * (TRIM(INDEX('6. TIẾN ĐỘ MUA HÀNG'!$A$5:$AT644, 0, XMATCH("Tháng", '6. TIẾN ĐỘ MUA HÀNG'!$A$4:$AT$4, 0))) = TRIM(AD$6)) * (INDEX('6. TIẾN ĐỘ MUA HÀNG'!$A$5:$AT644, 0, XMATCH("Mã đơn Misa", '6. TIẾN ĐỘ MUA HÀNG'!$A$4:$AT$4, 0)) &lt;&gt; ""))</f>
        <v>0</v>
      </c>
      <c r="AE112" s="756">
        <f t="array" ref="AE112">SUMPRODUCT(
  (INDEX('6. TIẾN ĐỘ MUA HÀNG'!$A$5:$AT644, 0, XMATCH("NCC VTBB/NL trong nước", '6. TIẾN ĐỘ MUA HÀNG'!$A$4:$AT$4, 0)) = $B112) * (TRIM(INDEX('6. TIẾN ĐỘ MUA HÀNG'!$A$5:$AT644, 0, XMATCH("Tháng", '6. TIẾN ĐỘ MUA HÀNG'!$A$4:$AT$4, 0))) = TRIM(AD$6)) * (INDEX('6. TIẾN ĐỘ MUA HÀNG'!$A$5:$AT644, 0, XMATCH("CL NGÀY NCC DỰ KIẾN - NGÀY NHẬN HÀNG", '6. TIẾN ĐỘ MUA HÀNG'!$A$4:$AT$4, 0)) &lt; 0)
)</f>
        <v>0</v>
      </c>
      <c r="AF112" s="757">
        <f t="shared" si="23"/>
        <v>0</v>
      </c>
      <c r="AG112" s="754">
        <f t="array" ref="AG112">SUMPRODUCT((TRIM(INDEX('6. TIẾN ĐỘ MUA HÀNG'!$A$5:$AT644, 0, XMATCH("NCC VTBB/NL trong nước", '6. TIẾN ĐỘ MUA HÀNG'!$A$4:$AT$4, 0))) = TRIM($B112)) * (TRIM(INDEX('6. TIẾN ĐỘ MUA HÀNG'!$A$5:$AT644, 0, XMATCH("Tháng", '6. TIẾN ĐỘ MUA HÀNG'!$A$4:$AT$4, 0))) = TRIM(AG$6)) * (INDEX('6. TIẾN ĐỘ MUA HÀNG'!$A$5:$AT644, 0, XMATCH("Mã đơn Misa", '6. TIẾN ĐỘ MUA HÀNG'!$A$4:$AT$4, 0)) &lt;&gt; ""))</f>
        <v>0</v>
      </c>
      <c r="AH112" s="754">
        <f t="array" ref="AH112">SUMPRODUCT(
  (INDEX('6. TIẾN ĐỘ MUA HÀNG'!$A$5:$AT644, 0, XMATCH("NCC VTBB/NL trong nước", '6. TIẾN ĐỘ MUA HÀNG'!$A$4:$AT$4, 0)) = $B112) * (TRIM(INDEX('6. TIẾN ĐỘ MUA HÀNG'!$A$5:$AT644, 0, XMATCH("Tháng", '6. TIẾN ĐỘ MUA HÀNG'!$A$4:$AT$4, 0))) = TRIM(AG$6)) * (INDEX('6. TIẾN ĐỘ MUA HÀNG'!$A$5:$AT644, 0, XMATCH("CL NGÀY NCC DỰ KIẾN - NGÀY NHẬN HÀNG", '6. TIẾN ĐỘ MUA HÀNG'!$A$4:$AT$4, 0)) &lt; 0)
)</f>
        <v>0</v>
      </c>
      <c r="AI112" s="755">
        <f t="shared" si="34"/>
        <v>0</v>
      </c>
      <c r="AJ112" s="756">
        <f t="array" ref="AJ112">SUMPRODUCT((TRIM(INDEX('6. TIẾN ĐỘ MUA HÀNG'!$A$5:$AT644, 0, XMATCH("NCC VTBB/NL trong nước", '6. TIẾN ĐỘ MUA HÀNG'!$A$4:$AT$4, 0))) = TRIM($B112)) * (TRIM(INDEX('6. TIẾN ĐỘ MUA HÀNG'!$A$5:$AT644, 0, XMATCH("Tháng", '6. TIẾN ĐỘ MUA HÀNG'!$A$4:$AT$4, 0))) = TRIM(AJ$6)) * (INDEX('6. TIẾN ĐỘ MUA HÀNG'!$A$5:$AT644, 0, XMATCH("Mã đơn Misa", '6. TIẾN ĐỘ MUA HÀNG'!$A$4:$AT$4, 0)) &lt;&gt; ""))</f>
        <v>0</v>
      </c>
      <c r="AK112" s="756">
        <f t="array" ref="AK112">SUMPRODUCT(
  (INDEX('6. TIẾN ĐỘ MUA HÀNG'!$A$5:$AT644, 0, XMATCH("NCC VTBB/NL trong nước", '6. TIẾN ĐỘ MUA HÀNG'!$A$4:$AT$4, 0)) = $B112) * (TRIM(INDEX('6. TIẾN ĐỘ MUA HÀNG'!$A$5:$AT644, 0, XMATCH("Tháng", '6. TIẾN ĐỘ MUA HÀNG'!$A$4:$AT$4, 0))) = TRIM(AJ$6)) * (INDEX('6. TIẾN ĐỘ MUA HÀNG'!$A$5:$AT644, 0, XMATCH("CL NGÀY NCC DỰ KIẾN - NGÀY NHẬN HÀNG", '6. TIẾN ĐỘ MUA HÀNG'!$A$4:$AT$4, 0)) &lt; 0)
)</f>
        <v>0</v>
      </c>
      <c r="AL112" s="757">
        <f t="shared" si="25"/>
        <v>0</v>
      </c>
      <c r="AM112" s="726">
        <f t="shared" si="27"/>
        <v>0</v>
      </c>
      <c r="AN112" s="726">
        <f t="shared" si="28"/>
        <v>0</v>
      </c>
      <c r="AO112" s="727">
        <f t="shared" si="26"/>
        <v>0</v>
      </c>
    </row>
    <row r="113">
      <c r="A113" s="612">
        <v>105.0</v>
      </c>
      <c r="B113" s="624" t="str">
        <f>IFERROR(__xludf.DUMMYFUNCTION("""COMPUTED_VALUE"""),"Việt Mỹ (Sài Gòn)")</f>
        <v>Việt Mỹ (Sài Gòn)</v>
      </c>
      <c r="C113" s="754">
        <f t="array" ref="C113">SUMPRODUCT((TRIM(INDEX('6. TIẾN ĐỘ MUA HÀNG'!$A$5:$AT644, 0, XMATCH("NCC VTBB/NL trong nước", '6. TIẾN ĐỘ MUA HÀNG'!$A$4:$AT$4, 0))) = TRIM($B113)) * (TRIM(INDEX('6. TIẾN ĐỘ MUA HÀNG'!$A$5:$AT644, 0, XMATCH("Tháng", '6. TIẾN ĐỘ MUA HÀNG'!$A$4:$AT$4, 0))) = TRIM(C$6)) * (INDEX('6. TIẾN ĐỘ MUA HÀNG'!$A$5:$AT644, 0, XMATCH("Mã đơn Misa", '6. TIẾN ĐỘ MUA HÀNG'!$A$4:$AT$4, 0)) &lt;&gt; ""))</f>
        <v>0</v>
      </c>
      <c r="D113" s="754">
        <f t="array" ref="D113">SUMPRODUCT(
  (INDEX('6. TIẾN ĐỘ MUA HÀNG'!$A$5:$AT644, 0, XMATCH("NCC VTBB/NL trong nước", '6. TIẾN ĐỘ MUA HÀNG'!$A$4:$AT$4, 0)) = $B113) * (TRIM(INDEX('6. TIẾN ĐỘ MUA HÀNG'!$A$5:$AT644, 0, XMATCH("Tháng", '6. TIẾN ĐỘ MUA HÀNG'!$A$4:$AT$4, 0))) = TRIM(C$6)) * (INDEX('6. TIẾN ĐỘ MUA HÀNG'!$A$5:$AT644, 0, XMATCH("CL NGÀY NCC DỰ KIẾN - NGÀY NHẬN HÀNG", '6. TIẾN ĐỘ MUA HÀNG'!$A$4:$AT$4, 0)) &lt; 0)
)</f>
        <v>0</v>
      </c>
      <c r="E113" s="755">
        <f t="shared" si="29"/>
        <v>0</v>
      </c>
      <c r="F113" s="756">
        <f t="array" ref="F113">SUMPRODUCT((TRIM(INDEX('6. TIẾN ĐỘ MUA HÀNG'!$A$5:$AT644, 0, XMATCH("NCC VTBB/NL trong nước", '6. TIẾN ĐỘ MUA HÀNG'!$A$4:$AT$4, 0))) = TRIM($B113)) * (TRIM(INDEX('6. TIẾN ĐỘ MUA HÀNG'!$A$5:$AT644, 0, XMATCH("Tháng", '6. TIẾN ĐỘ MUA HÀNG'!$A$4:$AT$4, 0))) = TRIM(F$6)) * (INDEX('6. TIẾN ĐỘ MUA HÀNG'!$A$5:$AT644, 0, XMATCH("Mã đơn Misa", '6. TIẾN ĐỘ MUA HÀNG'!$A$4:$AT$4, 0)) &lt;&gt; ""))</f>
        <v>0</v>
      </c>
      <c r="G113" s="756">
        <f t="array" ref="G113">SUMPRODUCT(
  (INDEX('6. TIẾN ĐỘ MUA HÀNG'!$A$5:$AT644, 0, XMATCH("NCC VTBB/NL trong nước", '6. TIẾN ĐỘ MUA HÀNG'!$A$4:$AT$4, 0)) = $B113) * (TRIM(INDEX('6. TIẾN ĐỘ MUA HÀNG'!$A$5:$AT644, 0, XMATCH("Tháng", '6. TIẾN ĐỘ MUA HÀNG'!$A$4:$AT$4, 0))) = TRIM(F$6)) * (INDEX('6. TIẾN ĐỘ MUA HÀNG'!$A$5:$AT644, 0, XMATCH("CL NGÀY NCC DỰ KIẾN - NGÀY NHẬN HÀNG", '6. TIẾN ĐỘ MUA HÀNG'!$A$4:$AT$4, 0)) &lt; 0)
)</f>
        <v>0</v>
      </c>
      <c r="H113" s="757">
        <f t="shared" si="15"/>
        <v>0</v>
      </c>
      <c r="I113" s="754">
        <f t="array" ref="I113">SUMPRODUCT((TRIM(INDEX('6. TIẾN ĐỘ MUA HÀNG'!$A$5:$AT644, 0, XMATCH("NCC VTBB/NL trong nước", '6. TIẾN ĐỘ MUA HÀNG'!$A$4:$AT$4, 0))) = TRIM($B113)) * (TRIM(INDEX('6. TIẾN ĐỘ MUA HÀNG'!$A$5:$AT644, 0, XMATCH("Tháng", '6. TIẾN ĐỘ MUA HÀNG'!$A$4:$AT$4, 0))) = TRIM(I$6)) * (INDEX('6. TIẾN ĐỘ MUA HÀNG'!$A$5:$AT644, 0, XMATCH("Mã đơn Misa", '6. TIẾN ĐỘ MUA HÀNG'!$A$4:$AT$4, 0)) &lt;&gt; ""))</f>
        <v>0</v>
      </c>
      <c r="J113" s="754">
        <f t="array" ref="J113">SUMPRODUCT(
  (INDEX('6. TIẾN ĐỘ MUA HÀNG'!$A$5:$AT644, 0, XMATCH("NCC VTBB/NL trong nước", '6. TIẾN ĐỘ MUA HÀNG'!$A$4:$AT$4, 0)) = $B113) * (TRIM(INDEX('6. TIẾN ĐỘ MUA HÀNG'!$A$5:$AT644, 0, XMATCH("Tháng", '6. TIẾN ĐỘ MUA HÀNG'!$A$4:$AT$4, 0))) = TRIM(I$6)) * (INDEX('6. TIẾN ĐỘ MUA HÀNG'!$A$5:$AT644, 0, XMATCH("CL NGÀY NCC DỰ KIẾN - NGÀY NHẬN HÀNG", '6. TIẾN ĐỘ MUA HÀNG'!$A$4:$AT$4, 0)) &lt; 0)
)</f>
        <v>0</v>
      </c>
      <c r="K113" s="755">
        <f t="shared" si="30"/>
        <v>0</v>
      </c>
      <c r="L113" s="756">
        <f t="array" ref="L113">SUMPRODUCT((TRIM(INDEX('6. TIẾN ĐỘ MUA HÀNG'!$A$5:$AT644, 0, XMATCH("NCC VTBB/NL trong nước", '6. TIẾN ĐỘ MUA HÀNG'!$A$4:$AT$4, 0))) = TRIM($B113)) * (TRIM(INDEX('6. TIẾN ĐỘ MUA HÀNG'!$A$5:$AT644, 0, XMATCH("Tháng", '6. TIẾN ĐỘ MUA HÀNG'!$A$4:$AT$4, 0))) = TRIM(L$6)) * (INDEX('6. TIẾN ĐỘ MUA HÀNG'!$A$5:$AT644, 0, XMATCH("Mã đơn Misa", '6. TIẾN ĐỘ MUA HÀNG'!$A$4:$AT$4, 0)) &lt;&gt; ""))</f>
        <v>0</v>
      </c>
      <c r="M113" s="756">
        <f t="array" ref="M113">SUMPRODUCT(
  (INDEX('6. TIẾN ĐỘ MUA HÀNG'!$A$5:$AT644, 0, XMATCH("NCC VTBB/NL trong nước", '6. TIẾN ĐỘ MUA HÀNG'!$A$4:$AT$4, 0)) = $B113) * (TRIM(INDEX('6. TIẾN ĐỘ MUA HÀNG'!$A$5:$AT644, 0, XMATCH("Tháng", '6. TIẾN ĐỘ MUA HÀNG'!$A$4:$AT$4, 0))) = TRIM(L$6)) * (INDEX('6. TIẾN ĐỘ MUA HÀNG'!$A$5:$AT644, 0, XMATCH("CL NGÀY NCC DỰ KIẾN - NGÀY NHẬN HÀNG", '6. TIẾN ĐỘ MUA HÀNG'!$A$4:$AT$4, 0)) &lt; 0)
)</f>
        <v>0</v>
      </c>
      <c r="N113" s="757">
        <f t="shared" si="17"/>
        <v>0</v>
      </c>
      <c r="O113" s="754">
        <f t="array" ref="O113">SUMPRODUCT((TRIM(INDEX('6. TIẾN ĐỘ MUA HÀNG'!$A$5:$AT644, 0, XMATCH("NCC VTBB/NL trong nước", '6. TIẾN ĐỘ MUA HÀNG'!$A$4:$AT$4, 0))) = TRIM($B113)) * (TRIM(INDEX('6. TIẾN ĐỘ MUA HÀNG'!$A$5:$AT644, 0, XMATCH("Tháng", '6. TIẾN ĐỘ MUA HÀNG'!$A$4:$AT$4, 0))) = TRIM(O$6)) * (INDEX('6. TIẾN ĐỘ MUA HÀNG'!$A$5:$AT644, 0, XMATCH("Mã đơn Misa", '6. TIẾN ĐỘ MUA HÀNG'!$A$4:$AT$4, 0)) &lt;&gt; ""))</f>
        <v>0</v>
      </c>
      <c r="P113" s="754">
        <f t="array" ref="P113">SUMPRODUCT(
  (INDEX('6. TIẾN ĐỘ MUA HÀNG'!$A$5:$AT644, 0, XMATCH("NCC VTBB/NL trong nước", '6. TIẾN ĐỘ MUA HÀNG'!$A$4:$AT$4, 0)) = $B113) * (TRIM(INDEX('6. TIẾN ĐỘ MUA HÀNG'!$A$5:$AT644, 0, XMATCH("Tháng", '6. TIẾN ĐỘ MUA HÀNG'!$A$4:$AT$4, 0))) = TRIM(O$6)) * (INDEX('6. TIẾN ĐỘ MUA HÀNG'!$A$5:$AT644, 0, XMATCH("CL NGÀY NCC DỰ KIẾN - NGÀY NHẬN HÀNG", '6. TIẾN ĐỘ MUA HÀNG'!$A$4:$AT$4, 0)) &lt; 0)
)</f>
        <v>0</v>
      </c>
      <c r="Q113" s="755">
        <f t="shared" si="31"/>
        <v>0</v>
      </c>
      <c r="R113" s="756">
        <f t="array" ref="R113">SUMPRODUCT((TRIM(INDEX('6. TIẾN ĐỘ MUA HÀNG'!$A$5:$AT644, 0, XMATCH("NCC VTBB/NL trong nước", '6. TIẾN ĐỘ MUA HÀNG'!$A$4:$AT$4, 0))) = TRIM($B113)) * (TRIM(INDEX('6. TIẾN ĐỘ MUA HÀNG'!$A$5:$AT644, 0, XMATCH("Tháng", '6. TIẾN ĐỘ MUA HÀNG'!$A$4:$AT$4, 0))) = TRIM(R$6)) * (INDEX('6. TIẾN ĐỘ MUA HÀNG'!$A$5:$AT644, 0, XMATCH("Mã đơn Misa", '6. TIẾN ĐỘ MUA HÀNG'!$A$4:$AT$4, 0)) &lt;&gt; ""))</f>
        <v>0</v>
      </c>
      <c r="S113" s="756">
        <f t="array" ref="S113">SUMPRODUCT(
  (INDEX('6. TIẾN ĐỘ MUA HÀNG'!$A$5:$AT644, 0, XMATCH("NCC VTBB/NL trong nước", '6. TIẾN ĐỘ MUA HÀNG'!$A$4:$AT$4, 0)) = $B113) * (TRIM(INDEX('6. TIẾN ĐỘ MUA HÀNG'!$A$5:$AT644, 0, XMATCH("Tháng", '6. TIẾN ĐỘ MUA HÀNG'!$A$4:$AT$4, 0))) = TRIM(R$6)) * (INDEX('6. TIẾN ĐỘ MUA HÀNG'!$A$5:$AT644, 0, XMATCH("CL NGÀY NCC DỰ KIẾN - NGÀY NHẬN HÀNG", '6. TIẾN ĐỘ MUA HÀNG'!$A$4:$AT$4, 0)) &lt; 0)
)</f>
        <v>0</v>
      </c>
      <c r="T113" s="757">
        <f t="shared" si="19"/>
        <v>0</v>
      </c>
      <c r="U113" s="754">
        <f t="array" ref="U113">SUMPRODUCT((TRIM(INDEX('6. TIẾN ĐỘ MUA HÀNG'!$A$5:$AT644, 0, XMATCH("NCC VTBB/NL trong nước", '6. TIẾN ĐỘ MUA HÀNG'!$A$4:$AT$4, 0))) = TRIM($B113)) * (TRIM(INDEX('6. TIẾN ĐỘ MUA HÀNG'!$A$5:$AT644, 0, XMATCH("Tháng", '6. TIẾN ĐỘ MUA HÀNG'!$A$4:$AT$4, 0))) = TRIM(U$6)) * (INDEX('6. TIẾN ĐỘ MUA HÀNG'!$A$5:$AT644, 0, XMATCH("Mã đơn Misa", '6. TIẾN ĐỘ MUA HÀNG'!$A$4:$AT$4, 0)) &lt;&gt; ""))</f>
        <v>0</v>
      </c>
      <c r="V113" s="754">
        <f t="array" ref="V113">SUMPRODUCT(
  (INDEX('6. TIẾN ĐỘ MUA HÀNG'!$A$5:$AT644, 0, XMATCH("NCC VTBB/NL trong nước", '6. TIẾN ĐỘ MUA HÀNG'!$A$4:$AT$4, 0)) = $B113) * (TRIM(INDEX('6. TIẾN ĐỘ MUA HÀNG'!$A$5:$AT644, 0, XMATCH("Tháng", '6. TIẾN ĐỘ MUA HÀNG'!$A$4:$AT$4, 0))) = TRIM(U$6)) * (INDEX('6. TIẾN ĐỘ MUA HÀNG'!$A$5:$AT644, 0, XMATCH("CL NGÀY NCC DỰ KIẾN - NGÀY NHẬN HÀNG", '6. TIẾN ĐỘ MUA HÀNG'!$A$4:$AT$4, 0)) &lt; 0)
)</f>
        <v>0</v>
      </c>
      <c r="W113" s="755">
        <f t="shared" si="32"/>
        <v>0</v>
      </c>
      <c r="X113" s="756">
        <f t="array" ref="X113">SUMPRODUCT((TRIM(INDEX('6. TIẾN ĐỘ MUA HÀNG'!$A$5:$AT644, 0, XMATCH("NCC VTBB/NL trong nước", '6. TIẾN ĐỘ MUA HÀNG'!$A$4:$AT$4, 0))) = TRIM($B113)) * (TRIM(INDEX('6. TIẾN ĐỘ MUA HÀNG'!$A$5:$AT644, 0, XMATCH("Tháng", '6. TIẾN ĐỘ MUA HÀNG'!$A$4:$AT$4, 0))) = TRIM(X$6)) * (INDEX('6. TIẾN ĐỘ MUA HÀNG'!$A$5:$AT644, 0, XMATCH("Mã đơn Misa", '6. TIẾN ĐỘ MUA HÀNG'!$A$4:$AT$4, 0)) &lt;&gt; ""))</f>
        <v>0</v>
      </c>
      <c r="Y113" s="756">
        <f t="array" ref="Y113">SUMPRODUCT(
  (INDEX('6. TIẾN ĐỘ MUA HÀNG'!$A$5:$AT644, 0, XMATCH("NCC VTBB/NL trong nước", '6. TIẾN ĐỘ MUA HÀNG'!$A$4:$AT$4, 0)) = $B113) * (TRIM(INDEX('6. TIẾN ĐỘ MUA HÀNG'!$A$5:$AT644, 0, XMATCH("Tháng", '6. TIẾN ĐỘ MUA HÀNG'!$A$4:$AT$4, 0))) = TRIM(X$6)) * (INDEX('6. TIẾN ĐỘ MUA HÀNG'!$A$5:$AT644, 0, XMATCH("CL NGÀY NCC DỰ KIẾN - NGÀY NHẬN HÀNG", '6. TIẾN ĐỘ MUA HÀNG'!$A$4:$AT$4, 0)) &lt; 0)
)</f>
        <v>0</v>
      </c>
      <c r="Z113" s="757">
        <f t="shared" si="21"/>
        <v>0</v>
      </c>
      <c r="AA113" s="754">
        <f t="array" ref="AA113">SUMPRODUCT((TRIM(INDEX('6. TIẾN ĐỘ MUA HÀNG'!$A$5:$AT644, 0, XMATCH("NCC VTBB/NL trong nước", '6. TIẾN ĐỘ MUA HÀNG'!$A$4:$AT$4, 0))) = TRIM($B113)) * (TRIM(INDEX('6. TIẾN ĐỘ MUA HÀNG'!$A$5:$AT644, 0, XMATCH("Tháng", '6. TIẾN ĐỘ MUA HÀNG'!$A$4:$AT$4, 0))) = TRIM(AA$6)) * (INDEX('6. TIẾN ĐỘ MUA HÀNG'!$A$5:$AT644, 0, XMATCH("Mã đơn Misa", '6. TIẾN ĐỘ MUA HÀNG'!$A$4:$AT$4, 0)) &lt;&gt; ""))</f>
        <v>0</v>
      </c>
      <c r="AB113" s="754">
        <f t="array" ref="AB113">SUMPRODUCT(
  (INDEX('6. TIẾN ĐỘ MUA HÀNG'!$A$5:$AT644, 0, XMATCH("NCC VTBB/NL trong nước", '6. TIẾN ĐỘ MUA HÀNG'!$A$4:$AT$4, 0)) = $B113) * (TRIM(INDEX('6. TIẾN ĐỘ MUA HÀNG'!$A$5:$AT644, 0, XMATCH("Tháng", '6. TIẾN ĐỘ MUA HÀNG'!$A$4:$AT$4, 0))) = TRIM(AA$6)) * (INDEX('6. TIẾN ĐỘ MUA HÀNG'!$A$5:$AT644, 0, XMATCH("CL NGÀY NCC DỰ KIẾN - NGÀY NHẬN HÀNG", '6. TIẾN ĐỘ MUA HÀNG'!$A$4:$AT$4, 0)) &lt; 0)
)</f>
        <v>0</v>
      </c>
      <c r="AC113" s="755">
        <f t="shared" si="33"/>
        <v>0</v>
      </c>
      <c r="AD113" s="756">
        <f t="array" ref="AD113">SUMPRODUCT((TRIM(INDEX('6. TIẾN ĐỘ MUA HÀNG'!$A$5:$AT644, 0, XMATCH("NCC VTBB/NL trong nước", '6. TIẾN ĐỘ MUA HÀNG'!$A$4:$AT$4, 0))) = TRIM($B113)) * (TRIM(INDEX('6. TIẾN ĐỘ MUA HÀNG'!$A$5:$AT644, 0, XMATCH("Tháng", '6. TIẾN ĐỘ MUA HÀNG'!$A$4:$AT$4, 0))) = TRIM(AD$6)) * (INDEX('6. TIẾN ĐỘ MUA HÀNG'!$A$5:$AT644, 0, XMATCH("Mã đơn Misa", '6. TIẾN ĐỘ MUA HÀNG'!$A$4:$AT$4, 0)) &lt;&gt; ""))</f>
        <v>0</v>
      </c>
      <c r="AE113" s="756">
        <f t="array" ref="AE113">SUMPRODUCT(
  (INDEX('6. TIẾN ĐỘ MUA HÀNG'!$A$5:$AT644, 0, XMATCH("NCC VTBB/NL trong nước", '6. TIẾN ĐỘ MUA HÀNG'!$A$4:$AT$4, 0)) = $B113) * (TRIM(INDEX('6. TIẾN ĐỘ MUA HÀNG'!$A$5:$AT644, 0, XMATCH("Tháng", '6. TIẾN ĐỘ MUA HÀNG'!$A$4:$AT$4, 0))) = TRIM(AD$6)) * (INDEX('6. TIẾN ĐỘ MUA HÀNG'!$A$5:$AT644, 0, XMATCH("CL NGÀY NCC DỰ KIẾN - NGÀY NHẬN HÀNG", '6. TIẾN ĐỘ MUA HÀNG'!$A$4:$AT$4, 0)) &lt; 0)
)</f>
        <v>0</v>
      </c>
      <c r="AF113" s="757">
        <f t="shared" si="23"/>
        <v>0</v>
      </c>
      <c r="AG113" s="754">
        <f t="array" ref="AG113">SUMPRODUCT((TRIM(INDEX('6. TIẾN ĐỘ MUA HÀNG'!$A$5:$AT644, 0, XMATCH("NCC VTBB/NL trong nước", '6. TIẾN ĐỘ MUA HÀNG'!$A$4:$AT$4, 0))) = TRIM($B113)) * (TRIM(INDEX('6. TIẾN ĐỘ MUA HÀNG'!$A$5:$AT644, 0, XMATCH("Tháng", '6. TIẾN ĐỘ MUA HÀNG'!$A$4:$AT$4, 0))) = TRIM(AG$6)) * (INDEX('6. TIẾN ĐỘ MUA HÀNG'!$A$5:$AT644, 0, XMATCH("Mã đơn Misa", '6. TIẾN ĐỘ MUA HÀNG'!$A$4:$AT$4, 0)) &lt;&gt; ""))</f>
        <v>0</v>
      </c>
      <c r="AH113" s="754">
        <f t="array" ref="AH113">SUMPRODUCT(
  (INDEX('6. TIẾN ĐỘ MUA HÀNG'!$A$5:$AT644, 0, XMATCH("NCC VTBB/NL trong nước", '6. TIẾN ĐỘ MUA HÀNG'!$A$4:$AT$4, 0)) = $B113) * (TRIM(INDEX('6. TIẾN ĐỘ MUA HÀNG'!$A$5:$AT644, 0, XMATCH("Tháng", '6. TIẾN ĐỘ MUA HÀNG'!$A$4:$AT$4, 0))) = TRIM(AG$6)) * (INDEX('6. TIẾN ĐỘ MUA HÀNG'!$A$5:$AT644, 0, XMATCH("CL NGÀY NCC DỰ KIẾN - NGÀY NHẬN HÀNG", '6. TIẾN ĐỘ MUA HÀNG'!$A$4:$AT$4, 0)) &lt; 0)
)</f>
        <v>0</v>
      </c>
      <c r="AI113" s="755">
        <f t="shared" si="34"/>
        <v>0</v>
      </c>
      <c r="AJ113" s="756">
        <f t="array" ref="AJ113">SUMPRODUCT((TRIM(INDEX('6. TIẾN ĐỘ MUA HÀNG'!$A$5:$AT644, 0, XMATCH("NCC VTBB/NL trong nước", '6. TIẾN ĐỘ MUA HÀNG'!$A$4:$AT$4, 0))) = TRIM($B113)) * (TRIM(INDEX('6. TIẾN ĐỘ MUA HÀNG'!$A$5:$AT644, 0, XMATCH("Tháng", '6. TIẾN ĐỘ MUA HÀNG'!$A$4:$AT$4, 0))) = TRIM(AJ$6)) * (INDEX('6. TIẾN ĐỘ MUA HÀNG'!$A$5:$AT644, 0, XMATCH("Mã đơn Misa", '6. TIẾN ĐỘ MUA HÀNG'!$A$4:$AT$4, 0)) &lt;&gt; ""))</f>
        <v>0</v>
      </c>
      <c r="AK113" s="756">
        <f t="array" ref="AK113">SUMPRODUCT(
  (INDEX('6. TIẾN ĐỘ MUA HÀNG'!$A$5:$AT644, 0, XMATCH("NCC VTBB/NL trong nước", '6. TIẾN ĐỘ MUA HÀNG'!$A$4:$AT$4, 0)) = $B113) * (TRIM(INDEX('6. TIẾN ĐỘ MUA HÀNG'!$A$5:$AT644, 0, XMATCH("Tháng", '6. TIẾN ĐỘ MUA HÀNG'!$A$4:$AT$4, 0))) = TRIM(AJ$6)) * (INDEX('6. TIẾN ĐỘ MUA HÀNG'!$A$5:$AT644, 0, XMATCH("CL NGÀY NCC DỰ KIẾN - NGÀY NHẬN HÀNG", '6. TIẾN ĐỘ MUA HÀNG'!$A$4:$AT$4, 0)) &lt; 0)
)</f>
        <v>0</v>
      </c>
      <c r="AL113" s="757">
        <f t="shared" si="25"/>
        <v>0</v>
      </c>
      <c r="AM113" s="726">
        <f t="shared" si="27"/>
        <v>0</v>
      </c>
      <c r="AN113" s="726">
        <f t="shared" si="28"/>
        <v>0</v>
      </c>
      <c r="AO113" s="727">
        <f t="shared" si="26"/>
        <v>0</v>
      </c>
    </row>
    <row r="114">
      <c r="A114" s="612">
        <v>106.0</v>
      </c>
      <c r="B114" s="624" t="str">
        <f>IFERROR(__xludf.DUMMYFUNCTION("""COMPUTED_VALUE"""),"Ak Vina")</f>
        <v>Ak Vina</v>
      </c>
      <c r="C114" s="754">
        <f t="array" ref="C114">SUMPRODUCT((TRIM(INDEX('6. TIẾN ĐỘ MUA HÀNG'!$A$5:$AT644, 0, XMATCH("NCC VTBB/NL trong nước", '6. TIẾN ĐỘ MUA HÀNG'!$A$4:$AT$4, 0))) = TRIM($B114)) * (TRIM(INDEX('6. TIẾN ĐỘ MUA HÀNG'!$A$5:$AT644, 0, XMATCH("Tháng", '6. TIẾN ĐỘ MUA HÀNG'!$A$4:$AT$4, 0))) = TRIM(C$6)) * (INDEX('6. TIẾN ĐỘ MUA HÀNG'!$A$5:$AT644, 0, XMATCH("Mã đơn Misa", '6. TIẾN ĐỘ MUA HÀNG'!$A$4:$AT$4, 0)) &lt;&gt; ""))</f>
        <v>0</v>
      </c>
      <c r="D114" s="754">
        <f t="array" ref="D114">SUMPRODUCT(
  (INDEX('6. TIẾN ĐỘ MUA HÀNG'!$A$5:$AT644, 0, XMATCH("NCC VTBB/NL trong nước", '6. TIẾN ĐỘ MUA HÀNG'!$A$4:$AT$4, 0)) = $B114) * (TRIM(INDEX('6. TIẾN ĐỘ MUA HÀNG'!$A$5:$AT644, 0, XMATCH("Tháng", '6. TIẾN ĐỘ MUA HÀNG'!$A$4:$AT$4, 0))) = TRIM(C$6)) * (INDEX('6. TIẾN ĐỘ MUA HÀNG'!$A$5:$AT644, 0, XMATCH("CL NGÀY NCC DỰ KIẾN - NGÀY NHẬN HÀNG", '6. TIẾN ĐỘ MUA HÀNG'!$A$4:$AT$4, 0)) &lt; 0)
)</f>
        <v>0</v>
      </c>
      <c r="E114" s="755">
        <f t="shared" si="29"/>
        <v>0</v>
      </c>
      <c r="F114" s="756">
        <f t="array" ref="F114">SUMPRODUCT((TRIM(INDEX('6. TIẾN ĐỘ MUA HÀNG'!$A$5:$AT644, 0, XMATCH("NCC VTBB/NL trong nước", '6. TIẾN ĐỘ MUA HÀNG'!$A$4:$AT$4, 0))) = TRIM($B114)) * (TRIM(INDEX('6. TIẾN ĐỘ MUA HÀNG'!$A$5:$AT644, 0, XMATCH("Tháng", '6. TIẾN ĐỘ MUA HÀNG'!$A$4:$AT$4, 0))) = TRIM(F$6)) * (INDEX('6. TIẾN ĐỘ MUA HÀNG'!$A$5:$AT644, 0, XMATCH("Mã đơn Misa", '6. TIẾN ĐỘ MUA HÀNG'!$A$4:$AT$4, 0)) &lt;&gt; ""))</f>
        <v>0</v>
      </c>
      <c r="G114" s="756">
        <f t="array" ref="G114">SUMPRODUCT(
  (INDEX('6. TIẾN ĐỘ MUA HÀNG'!$A$5:$AT644, 0, XMATCH("NCC VTBB/NL trong nước", '6. TIẾN ĐỘ MUA HÀNG'!$A$4:$AT$4, 0)) = $B114) * (TRIM(INDEX('6. TIẾN ĐỘ MUA HÀNG'!$A$5:$AT644, 0, XMATCH("Tháng", '6. TIẾN ĐỘ MUA HÀNG'!$A$4:$AT$4, 0))) = TRIM(F$6)) * (INDEX('6. TIẾN ĐỘ MUA HÀNG'!$A$5:$AT644, 0, XMATCH("CL NGÀY NCC DỰ KIẾN - NGÀY NHẬN HÀNG", '6. TIẾN ĐỘ MUA HÀNG'!$A$4:$AT$4, 0)) &lt; 0)
)</f>
        <v>0</v>
      </c>
      <c r="H114" s="757">
        <f t="shared" si="15"/>
        <v>0</v>
      </c>
      <c r="I114" s="754">
        <f t="array" ref="I114">SUMPRODUCT((TRIM(INDEX('6. TIẾN ĐỘ MUA HÀNG'!$A$5:$AT644, 0, XMATCH("NCC VTBB/NL trong nước", '6. TIẾN ĐỘ MUA HÀNG'!$A$4:$AT$4, 0))) = TRIM($B114)) * (TRIM(INDEX('6. TIẾN ĐỘ MUA HÀNG'!$A$5:$AT644, 0, XMATCH("Tháng", '6. TIẾN ĐỘ MUA HÀNG'!$A$4:$AT$4, 0))) = TRIM(I$6)) * (INDEX('6. TIẾN ĐỘ MUA HÀNG'!$A$5:$AT644, 0, XMATCH("Mã đơn Misa", '6. TIẾN ĐỘ MUA HÀNG'!$A$4:$AT$4, 0)) &lt;&gt; ""))</f>
        <v>0</v>
      </c>
      <c r="J114" s="754">
        <f t="array" ref="J114">SUMPRODUCT(
  (INDEX('6. TIẾN ĐỘ MUA HÀNG'!$A$5:$AT644, 0, XMATCH("NCC VTBB/NL trong nước", '6. TIẾN ĐỘ MUA HÀNG'!$A$4:$AT$4, 0)) = $B114) * (TRIM(INDEX('6. TIẾN ĐỘ MUA HÀNG'!$A$5:$AT644, 0, XMATCH("Tháng", '6. TIẾN ĐỘ MUA HÀNG'!$A$4:$AT$4, 0))) = TRIM(I$6)) * (INDEX('6. TIẾN ĐỘ MUA HÀNG'!$A$5:$AT644, 0, XMATCH("CL NGÀY NCC DỰ KIẾN - NGÀY NHẬN HÀNG", '6. TIẾN ĐỘ MUA HÀNG'!$A$4:$AT$4, 0)) &lt; 0)
)</f>
        <v>0</v>
      </c>
      <c r="K114" s="755">
        <f t="shared" si="30"/>
        <v>0</v>
      </c>
      <c r="L114" s="756">
        <f t="array" ref="L114">SUMPRODUCT((TRIM(INDEX('6. TIẾN ĐỘ MUA HÀNG'!$A$5:$AT644, 0, XMATCH("NCC VTBB/NL trong nước", '6. TIẾN ĐỘ MUA HÀNG'!$A$4:$AT$4, 0))) = TRIM($B114)) * (TRIM(INDEX('6. TIẾN ĐỘ MUA HÀNG'!$A$5:$AT644, 0, XMATCH("Tháng", '6. TIẾN ĐỘ MUA HÀNG'!$A$4:$AT$4, 0))) = TRIM(L$6)) * (INDEX('6. TIẾN ĐỘ MUA HÀNG'!$A$5:$AT644, 0, XMATCH("Mã đơn Misa", '6. TIẾN ĐỘ MUA HÀNG'!$A$4:$AT$4, 0)) &lt;&gt; ""))</f>
        <v>0</v>
      </c>
      <c r="M114" s="756">
        <f t="array" ref="M114">SUMPRODUCT(
  (INDEX('6. TIẾN ĐỘ MUA HÀNG'!$A$5:$AT644, 0, XMATCH("NCC VTBB/NL trong nước", '6. TIẾN ĐỘ MUA HÀNG'!$A$4:$AT$4, 0)) = $B114) * (TRIM(INDEX('6. TIẾN ĐỘ MUA HÀNG'!$A$5:$AT644, 0, XMATCH("Tháng", '6. TIẾN ĐỘ MUA HÀNG'!$A$4:$AT$4, 0))) = TRIM(L$6)) * (INDEX('6. TIẾN ĐỘ MUA HÀNG'!$A$5:$AT644, 0, XMATCH("CL NGÀY NCC DỰ KIẾN - NGÀY NHẬN HÀNG", '6. TIẾN ĐỘ MUA HÀNG'!$A$4:$AT$4, 0)) &lt; 0)
)</f>
        <v>0</v>
      </c>
      <c r="N114" s="757">
        <f t="shared" si="17"/>
        <v>0</v>
      </c>
      <c r="O114" s="754">
        <f t="array" ref="O114">SUMPRODUCT((TRIM(INDEX('6. TIẾN ĐỘ MUA HÀNG'!$A$5:$AT644, 0, XMATCH("NCC VTBB/NL trong nước", '6. TIẾN ĐỘ MUA HÀNG'!$A$4:$AT$4, 0))) = TRIM($B114)) * (TRIM(INDEX('6. TIẾN ĐỘ MUA HÀNG'!$A$5:$AT644, 0, XMATCH("Tháng", '6. TIẾN ĐỘ MUA HÀNG'!$A$4:$AT$4, 0))) = TRIM(O$6)) * (INDEX('6. TIẾN ĐỘ MUA HÀNG'!$A$5:$AT644, 0, XMATCH("Mã đơn Misa", '6. TIẾN ĐỘ MUA HÀNG'!$A$4:$AT$4, 0)) &lt;&gt; ""))</f>
        <v>0</v>
      </c>
      <c r="P114" s="754">
        <f t="array" ref="P114">SUMPRODUCT(
  (INDEX('6. TIẾN ĐỘ MUA HÀNG'!$A$5:$AT644, 0, XMATCH("NCC VTBB/NL trong nước", '6. TIẾN ĐỘ MUA HÀNG'!$A$4:$AT$4, 0)) = $B114) * (TRIM(INDEX('6. TIẾN ĐỘ MUA HÀNG'!$A$5:$AT644, 0, XMATCH("Tháng", '6. TIẾN ĐỘ MUA HÀNG'!$A$4:$AT$4, 0))) = TRIM(O$6)) * (INDEX('6. TIẾN ĐỘ MUA HÀNG'!$A$5:$AT644, 0, XMATCH("CL NGÀY NCC DỰ KIẾN - NGÀY NHẬN HÀNG", '6. TIẾN ĐỘ MUA HÀNG'!$A$4:$AT$4, 0)) &lt; 0)
)</f>
        <v>0</v>
      </c>
      <c r="Q114" s="755">
        <f t="shared" si="31"/>
        <v>0</v>
      </c>
      <c r="R114" s="756">
        <f t="array" ref="R114">SUMPRODUCT((TRIM(INDEX('6. TIẾN ĐỘ MUA HÀNG'!$A$5:$AT644, 0, XMATCH("NCC VTBB/NL trong nước", '6. TIẾN ĐỘ MUA HÀNG'!$A$4:$AT$4, 0))) = TRIM($B114)) * (TRIM(INDEX('6. TIẾN ĐỘ MUA HÀNG'!$A$5:$AT644, 0, XMATCH("Tháng", '6. TIẾN ĐỘ MUA HÀNG'!$A$4:$AT$4, 0))) = TRIM(R$6)) * (INDEX('6. TIẾN ĐỘ MUA HÀNG'!$A$5:$AT644, 0, XMATCH("Mã đơn Misa", '6. TIẾN ĐỘ MUA HÀNG'!$A$4:$AT$4, 0)) &lt;&gt; ""))</f>
        <v>0</v>
      </c>
      <c r="S114" s="756">
        <f t="array" ref="S114">SUMPRODUCT(
  (INDEX('6. TIẾN ĐỘ MUA HÀNG'!$A$5:$AT644, 0, XMATCH("NCC VTBB/NL trong nước", '6. TIẾN ĐỘ MUA HÀNG'!$A$4:$AT$4, 0)) = $B114) * (TRIM(INDEX('6. TIẾN ĐỘ MUA HÀNG'!$A$5:$AT644, 0, XMATCH("Tháng", '6. TIẾN ĐỘ MUA HÀNG'!$A$4:$AT$4, 0))) = TRIM(R$6)) * (INDEX('6. TIẾN ĐỘ MUA HÀNG'!$A$5:$AT644, 0, XMATCH("CL NGÀY NCC DỰ KIẾN - NGÀY NHẬN HÀNG", '6. TIẾN ĐỘ MUA HÀNG'!$A$4:$AT$4, 0)) &lt; 0)
)</f>
        <v>0</v>
      </c>
      <c r="T114" s="757">
        <f t="shared" si="19"/>
        <v>0</v>
      </c>
      <c r="U114" s="754">
        <f t="array" ref="U114">SUMPRODUCT((TRIM(INDEX('6. TIẾN ĐỘ MUA HÀNG'!$A$5:$AT644, 0, XMATCH("NCC VTBB/NL trong nước", '6. TIẾN ĐỘ MUA HÀNG'!$A$4:$AT$4, 0))) = TRIM($B114)) * (TRIM(INDEX('6. TIẾN ĐỘ MUA HÀNG'!$A$5:$AT644, 0, XMATCH("Tháng", '6. TIẾN ĐỘ MUA HÀNG'!$A$4:$AT$4, 0))) = TRIM(U$6)) * (INDEX('6. TIẾN ĐỘ MUA HÀNG'!$A$5:$AT644, 0, XMATCH("Mã đơn Misa", '6. TIẾN ĐỘ MUA HÀNG'!$A$4:$AT$4, 0)) &lt;&gt; ""))</f>
        <v>0</v>
      </c>
      <c r="V114" s="754">
        <f t="array" ref="V114">SUMPRODUCT(
  (INDEX('6. TIẾN ĐỘ MUA HÀNG'!$A$5:$AT644, 0, XMATCH("NCC VTBB/NL trong nước", '6. TIẾN ĐỘ MUA HÀNG'!$A$4:$AT$4, 0)) = $B114) * (TRIM(INDEX('6. TIẾN ĐỘ MUA HÀNG'!$A$5:$AT644, 0, XMATCH("Tháng", '6. TIẾN ĐỘ MUA HÀNG'!$A$4:$AT$4, 0))) = TRIM(U$6)) * (INDEX('6. TIẾN ĐỘ MUA HÀNG'!$A$5:$AT644, 0, XMATCH("CL NGÀY NCC DỰ KIẾN - NGÀY NHẬN HÀNG", '6. TIẾN ĐỘ MUA HÀNG'!$A$4:$AT$4, 0)) &lt; 0)
)</f>
        <v>0</v>
      </c>
      <c r="W114" s="755">
        <f t="shared" si="32"/>
        <v>0</v>
      </c>
      <c r="X114" s="756">
        <f t="array" ref="X114">SUMPRODUCT((TRIM(INDEX('6. TIẾN ĐỘ MUA HÀNG'!$A$5:$AT644, 0, XMATCH("NCC VTBB/NL trong nước", '6. TIẾN ĐỘ MUA HÀNG'!$A$4:$AT$4, 0))) = TRIM($B114)) * (TRIM(INDEX('6. TIẾN ĐỘ MUA HÀNG'!$A$5:$AT644, 0, XMATCH("Tháng", '6. TIẾN ĐỘ MUA HÀNG'!$A$4:$AT$4, 0))) = TRIM(X$6)) * (INDEX('6. TIẾN ĐỘ MUA HÀNG'!$A$5:$AT644, 0, XMATCH("Mã đơn Misa", '6. TIẾN ĐỘ MUA HÀNG'!$A$4:$AT$4, 0)) &lt;&gt; ""))</f>
        <v>0</v>
      </c>
      <c r="Y114" s="756">
        <f t="array" ref="Y114">SUMPRODUCT(
  (INDEX('6. TIẾN ĐỘ MUA HÀNG'!$A$5:$AT644, 0, XMATCH("NCC VTBB/NL trong nước", '6. TIẾN ĐỘ MUA HÀNG'!$A$4:$AT$4, 0)) = $B114) * (TRIM(INDEX('6. TIẾN ĐỘ MUA HÀNG'!$A$5:$AT644, 0, XMATCH("Tháng", '6. TIẾN ĐỘ MUA HÀNG'!$A$4:$AT$4, 0))) = TRIM(X$6)) * (INDEX('6. TIẾN ĐỘ MUA HÀNG'!$A$5:$AT644, 0, XMATCH("CL NGÀY NCC DỰ KIẾN - NGÀY NHẬN HÀNG", '6. TIẾN ĐỘ MUA HÀNG'!$A$4:$AT$4, 0)) &lt; 0)
)</f>
        <v>0</v>
      </c>
      <c r="Z114" s="757">
        <f t="shared" si="21"/>
        <v>0</v>
      </c>
      <c r="AA114" s="754">
        <f t="array" ref="AA114">SUMPRODUCT((TRIM(INDEX('6. TIẾN ĐỘ MUA HÀNG'!$A$5:$AT644, 0, XMATCH("NCC VTBB/NL trong nước", '6. TIẾN ĐỘ MUA HÀNG'!$A$4:$AT$4, 0))) = TRIM($B114)) * (TRIM(INDEX('6. TIẾN ĐỘ MUA HÀNG'!$A$5:$AT644, 0, XMATCH("Tháng", '6. TIẾN ĐỘ MUA HÀNG'!$A$4:$AT$4, 0))) = TRIM(AA$6)) * (INDEX('6. TIẾN ĐỘ MUA HÀNG'!$A$5:$AT644, 0, XMATCH("Mã đơn Misa", '6. TIẾN ĐỘ MUA HÀNG'!$A$4:$AT$4, 0)) &lt;&gt; ""))</f>
        <v>0</v>
      </c>
      <c r="AB114" s="754">
        <f t="array" ref="AB114">SUMPRODUCT(
  (INDEX('6. TIẾN ĐỘ MUA HÀNG'!$A$5:$AT644, 0, XMATCH("NCC VTBB/NL trong nước", '6. TIẾN ĐỘ MUA HÀNG'!$A$4:$AT$4, 0)) = $B114) * (TRIM(INDEX('6. TIẾN ĐỘ MUA HÀNG'!$A$5:$AT644, 0, XMATCH("Tháng", '6. TIẾN ĐỘ MUA HÀNG'!$A$4:$AT$4, 0))) = TRIM(AA$6)) * (INDEX('6. TIẾN ĐỘ MUA HÀNG'!$A$5:$AT644, 0, XMATCH("CL NGÀY NCC DỰ KIẾN - NGÀY NHẬN HÀNG", '6. TIẾN ĐỘ MUA HÀNG'!$A$4:$AT$4, 0)) &lt; 0)
)</f>
        <v>0</v>
      </c>
      <c r="AC114" s="755">
        <f t="shared" si="33"/>
        <v>0</v>
      </c>
      <c r="AD114" s="756">
        <f t="array" ref="AD114">SUMPRODUCT((TRIM(INDEX('6. TIẾN ĐỘ MUA HÀNG'!$A$5:$AT644, 0, XMATCH("NCC VTBB/NL trong nước", '6. TIẾN ĐỘ MUA HÀNG'!$A$4:$AT$4, 0))) = TRIM($B114)) * (TRIM(INDEX('6. TIẾN ĐỘ MUA HÀNG'!$A$5:$AT644, 0, XMATCH("Tháng", '6. TIẾN ĐỘ MUA HÀNG'!$A$4:$AT$4, 0))) = TRIM(AD$6)) * (INDEX('6. TIẾN ĐỘ MUA HÀNG'!$A$5:$AT644, 0, XMATCH("Mã đơn Misa", '6. TIẾN ĐỘ MUA HÀNG'!$A$4:$AT$4, 0)) &lt;&gt; ""))</f>
        <v>0</v>
      </c>
      <c r="AE114" s="756">
        <f t="array" ref="AE114">SUMPRODUCT(
  (INDEX('6. TIẾN ĐỘ MUA HÀNG'!$A$5:$AT644, 0, XMATCH("NCC VTBB/NL trong nước", '6. TIẾN ĐỘ MUA HÀNG'!$A$4:$AT$4, 0)) = $B114) * (TRIM(INDEX('6. TIẾN ĐỘ MUA HÀNG'!$A$5:$AT644, 0, XMATCH("Tháng", '6. TIẾN ĐỘ MUA HÀNG'!$A$4:$AT$4, 0))) = TRIM(AD$6)) * (INDEX('6. TIẾN ĐỘ MUA HÀNG'!$A$5:$AT644, 0, XMATCH("CL NGÀY NCC DỰ KIẾN - NGÀY NHẬN HÀNG", '6. TIẾN ĐỘ MUA HÀNG'!$A$4:$AT$4, 0)) &lt; 0)
)</f>
        <v>0</v>
      </c>
      <c r="AF114" s="757">
        <f t="shared" si="23"/>
        <v>0</v>
      </c>
      <c r="AG114" s="754">
        <f t="array" ref="AG114">SUMPRODUCT((TRIM(INDEX('6. TIẾN ĐỘ MUA HÀNG'!$A$5:$AT644, 0, XMATCH("NCC VTBB/NL trong nước", '6. TIẾN ĐỘ MUA HÀNG'!$A$4:$AT$4, 0))) = TRIM($B114)) * (TRIM(INDEX('6. TIẾN ĐỘ MUA HÀNG'!$A$5:$AT644, 0, XMATCH("Tháng", '6. TIẾN ĐỘ MUA HÀNG'!$A$4:$AT$4, 0))) = TRIM(AG$6)) * (INDEX('6. TIẾN ĐỘ MUA HÀNG'!$A$5:$AT644, 0, XMATCH("Mã đơn Misa", '6. TIẾN ĐỘ MUA HÀNG'!$A$4:$AT$4, 0)) &lt;&gt; ""))</f>
        <v>0</v>
      </c>
      <c r="AH114" s="754">
        <f t="array" ref="AH114">SUMPRODUCT(
  (INDEX('6. TIẾN ĐỘ MUA HÀNG'!$A$5:$AT644, 0, XMATCH("NCC VTBB/NL trong nước", '6. TIẾN ĐỘ MUA HÀNG'!$A$4:$AT$4, 0)) = $B114) * (TRIM(INDEX('6. TIẾN ĐỘ MUA HÀNG'!$A$5:$AT644, 0, XMATCH("Tháng", '6. TIẾN ĐỘ MUA HÀNG'!$A$4:$AT$4, 0))) = TRIM(AG$6)) * (INDEX('6. TIẾN ĐỘ MUA HÀNG'!$A$5:$AT644, 0, XMATCH("CL NGÀY NCC DỰ KIẾN - NGÀY NHẬN HÀNG", '6. TIẾN ĐỘ MUA HÀNG'!$A$4:$AT$4, 0)) &lt; 0)
)</f>
        <v>0</v>
      </c>
      <c r="AI114" s="755">
        <f t="shared" si="34"/>
        <v>0</v>
      </c>
      <c r="AJ114" s="756">
        <f t="array" ref="AJ114">SUMPRODUCT((TRIM(INDEX('6. TIẾN ĐỘ MUA HÀNG'!$A$5:$AT644, 0, XMATCH("NCC VTBB/NL trong nước", '6. TIẾN ĐỘ MUA HÀNG'!$A$4:$AT$4, 0))) = TRIM($B114)) * (TRIM(INDEX('6. TIẾN ĐỘ MUA HÀNG'!$A$5:$AT644, 0, XMATCH("Tháng", '6. TIẾN ĐỘ MUA HÀNG'!$A$4:$AT$4, 0))) = TRIM(AJ$6)) * (INDEX('6. TIẾN ĐỘ MUA HÀNG'!$A$5:$AT644, 0, XMATCH("Mã đơn Misa", '6. TIẾN ĐỘ MUA HÀNG'!$A$4:$AT$4, 0)) &lt;&gt; ""))</f>
        <v>0</v>
      </c>
      <c r="AK114" s="756">
        <f t="array" ref="AK114">SUMPRODUCT(
  (INDEX('6. TIẾN ĐỘ MUA HÀNG'!$A$5:$AT644, 0, XMATCH("NCC VTBB/NL trong nước", '6. TIẾN ĐỘ MUA HÀNG'!$A$4:$AT$4, 0)) = $B114) * (TRIM(INDEX('6. TIẾN ĐỘ MUA HÀNG'!$A$5:$AT644, 0, XMATCH("Tháng", '6. TIẾN ĐỘ MUA HÀNG'!$A$4:$AT$4, 0))) = TRIM(AJ$6)) * (INDEX('6. TIẾN ĐỘ MUA HÀNG'!$A$5:$AT644, 0, XMATCH("CL NGÀY NCC DỰ KIẾN - NGÀY NHẬN HÀNG", '6. TIẾN ĐỘ MUA HÀNG'!$A$4:$AT$4, 0)) &lt; 0)
)</f>
        <v>0</v>
      </c>
      <c r="AL114" s="757">
        <f t="shared" si="25"/>
        <v>0</v>
      </c>
      <c r="AM114" s="726">
        <f t="shared" si="27"/>
        <v>0</v>
      </c>
      <c r="AN114" s="726">
        <f t="shared" si="28"/>
        <v>0</v>
      </c>
      <c r="AO114" s="727">
        <f t="shared" si="26"/>
        <v>0</v>
      </c>
    </row>
    <row r="115">
      <c r="A115" s="612">
        <v>107.0</v>
      </c>
      <c r="B115" s="624" t="str">
        <f>IFERROR(__xludf.DUMMYFUNCTION("""COMPUTED_VALUE"""),"Amigos")</f>
        <v>Amigos</v>
      </c>
      <c r="C115" s="754">
        <f t="array" ref="C115">SUMPRODUCT((TRIM(INDEX('6. TIẾN ĐỘ MUA HÀNG'!$A$5:$AT644, 0, XMATCH("NCC VTBB/NL trong nước", '6. TIẾN ĐỘ MUA HÀNG'!$A$4:$AT$4, 0))) = TRIM($B115)) * (TRIM(INDEX('6. TIẾN ĐỘ MUA HÀNG'!$A$5:$AT644, 0, XMATCH("Tháng", '6. TIẾN ĐỘ MUA HÀNG'!$A$4:$AT$4, 0))) = TRIM(C$6)) * (INDEX('6. TIẾN ĐỘ MUA HÀNG'!$A$5:$AT644, 0, XMATCH("Mã đơn Misa", '6. TIẾN ĐỘ MUA HÀNG'!$A$4:$AT$4, 0)) &lt;&gt; ""))</f>
        <v>0</v>
      </c>
      <c r="D115" s="754">
        <f t="array" ref="D115">SUMPRODUCT(
  (INDEX('6. TIẾN ĐỘ MUA HÀNG'!$A$5:$AT644, 0, XMATCH("NCC VTBB/NL trong nước", '6. TIẾN ĐỘ MUA HÀNG'!$A$4:$AT$4, 0)) = $B115) * (TRIM(INDEX('6. TIẾN ĐỘ MUA HÀNG'!$A$5:$AT644, 0, XMATCH("Tháng", '6. TIẾN ĐỘ MUA HÀNG'!$A$4:$AT$4, 0))) = TRIM(C$6)) * (INDEX('6. TIẾN ĐỘ MUA HÀNG'!$A$5:$AT644, 0, XMATCH("CL NGÀY NCC DỰ KIẾN - NGÀY NHẬN HÀNG", '6. TIẾN ĐỘ MUA HÀNG'!$A$4:$AT$4, 0)) &lt; 0)
)</f>
        <v>0</v>
      </c>
      <c r="E115" s="755">
        <f t="shared" si="29"/>
        <v>0</v>
      </c>
      <c r="F115" s="756">
        <f t="array" ref="F115">SUMPRODUCT((TRIM(INDEX('6. TIẾN ĐỘ MUA HÀNG'!$A$5:$AT644, 0, XMATCH("NCC VTBB/NL trong nước", '6. TIẾN ĐỘ MUA HÀNG'!$A$4:$AT$4, 0))) = TRIM($B115)) * (TRIM(INDEX('6. TIẾN ĐỘ MUA HÀNG'!$A$5:$AT644, 0, XMATCH("Tháng", '6. TIẾN ĐỘ MUA HÀNG'!$A$4:$AT$4, 0))) = TRIM(F$6)) * (INDEX('6. TIẾN ĐỘ MUA HÀNG'!$A$5:$AT644, 0, XMATCH("Mã đơn Misa", '6. TIẾN ĐỘ MUA HÀNG'!$A$4:$AT$4, 0)) &lt;&gt; ""))</f>
        <v>0</v>
      </c>
      <c r="G115" s="756">
        <f t="array" ref="G115">SUMPRODUCT(
  (INDEX('6. TIẾN ĐỘ MUA HÀNG'!$A$5:$AT644, 0, XMATCH("NCC VTBB/NL trong nước", '6. TIẾN ĐỘ MUA HÀNG'!$A$4:$AT$4, 0)) = $B115) * (TRIM(INDEX('6. TIẾN ĐỘ MUA HÀNG'!$A$5:$AT644, 0, XMATCH("Tháng", '6. TIẾN ĐỘ MUA HÀNG'!$A$4:$AT$4, 0))) = TRIM(F$6)) * (INDEX('6. TIẾN ĐỘ MUA HÀNG'!$A$5:$AT644, 0, XMATCH("CL NGÀY NCC DỰ KIẾN - NGÀY NHẬN HÀNG", '6. TIẾN ĐỘ MUA HÀNG'!$A$4:$AT$4, 0)) &lt; 0)
)</f>
        <v>0</v>
      </c>
      <c r="H115" s="757">
        <f t="shared" si="15"/>
        <v>0</v>
      </c>
      <c r="I115" s="754">
        <f t="array" ref="I115">SUMPRODUCT((TRIM(INDEX('6. TIẾN ĐỘ MUA HÀNG'!$A$5:$AT644, 0, XMATCH("NCC VTBB/NL trong nước", '6. TIẾN ĐỘ MUA HÀNG'!$A$4:$AT$4, 0))) = TRIM($B115)) * (TRIM(INDEX('6. TIẾN ĐỘ MUA HÀNG'!$A$5:$AT644, 0, XMATCH("Tháng", '6. TIẾN ĐỘ MUA HÀNG'!$A$4:$AT$4, 0))) = TRIM(I$6)) * (INDEX('6. TIẾN ĐỘ MUA HÀNG'!$A$5:$AT644, 0, XMATCH("Mã đơn Misa", '6. TIẾN ĐỘ MUA HÀNG'!$A$4:$AT$4, 0)) &lt;&gt; ""))</f>
        <v>0</v>
      </c>
      <c r="J115" s="754">
        <f t="array" ref="J115">SUMPRODUCT(
  (INDEX('6. TIẾN ĐỘ MUA HÀNG'!$A$5:$AT644, 0, XMATCH("NCC VTBB/NL trong nước", '6. TIẾN ĐỘ MUA HÀNG'!$A$4:$AT$4, 0)) = $B115) * (TRIM(INDEX('6. TIẾN ĐỘ MUA HÀNG'!$A$5:$AT644, 0, XMATCH("Tháng", '6. TIẾN ĐỘ MUA HÀNG'!$A$4:$AT$4, 0))) = TRIM(I$6)) * (INDEX('6. TIẾN ĐỘ MUA HÀNG'!$A$5:$AT644, 0, XMATCH("CL NGÀY NCC DỰ KIẾN - NGÀY NHẬN HÀNG", '6. TIẾN ĐỘ MUA HÀNG'!$A$4:$AT$4, 0)) &lt; 0)
)</f>
        <v>0</v>
      </c>
      <c r="K115" s="755">
        <f t="shared" si="30"/>
        <v>0</v>
      </c>
      <c r="L115" s="756">
        <f t="array" ref="L115">SUMPRODUCT((TRIM(INDEX('6. TIẾN ĐỘ MUA HÀNG'!$A$5:$AT644, 0, XMATCH("NCC VTBB/NL trong nước", '6. TIẾN ĐỘ MUA HÀNG'!$A$4:$AT$4, 0))) = TRIM($B115)) * (TRIM(INDEX('6. TIẾN ĐỘ MUA HÀNG'!$A$5:$AT644, 0, XMATCH("Tháng", '6. TIẾN ĐỘ MUA HÀNG'!$A$4:$AT$4, 0))) = TRIM(L$6)) * (INDEX('6. TIẾN ĐỘ MUA HÀNG'!$A$5:$AT644, 0, XMATCH("Mã đơn Misa", '6. TIẾN ĐỘ MUA HÀNG'!$A$4:$AT$4, 0)) &lt;&gt; ""))</f>
        <v>0</v>
      </c>
      <c r="M115" s="756">
        <f t="array" ref="M115">SUMPRODUCT(
  (INDEX('6. TIẾN ĐỘ MUA HÀNG'!$A$5:$AT644, 0, XMATCH("NCC VTBB/NL trong nước", '6. TIẾN ĐỘ MUA HÀNG'!$A$4:$AT$4, 0)) = $B115) * (TRIM(INDEX('6. TIẾN ĐỘ MUA HÀNG'!$A$5:$AT644, 0, XMATCH("Tháng", '6. TIẾN ĐỘ MUA HÀNG'!$A$4:$AT$4, 0))) = TRIM(L$6)) * (INDEX('6. TIẾN ĐỘ MUA HÀNG'!$A$5:$AT644, 0, XMATCH("CL NGÀY NCC DỰ KIẾN - NGÀY NHẬN HÀNG", '6. TIẾN ĐỘ MUA HÀNG'!$A$4:$AT$4, 0)) &lt; 0)
)</f>
        <v>0</v>
      </c>
      <c r="N115" s="757">
        <f t="shared" si="17"/>
        <v>0</v>
      </c>
      <c r="O115" s="754">
        <f t="array" ref="O115">SUMPRODUCT((TRIM(INDEX('6. TIẾN ĐỘ MUA HÀNG'!$A$5:$AT644, 0, XMATCH("NCC VTBB/NL trong nước", '6. TIẾN ĐỘ MUA HÀNG'!$A$4:$AT$4, 0))) = TRIM($B115)) * (TRIM(INDEX('6. TIẾN ĐỘ MUA HÀNG'!$A$5:$AT644, 0, XMATCH("Tháng", '6. TIẾN ĐỘ MUA HÀNG'!$A$4:$AT$4, 0))) = TRIM(O$6)) * (INDEX('6. TIẾN ĐỘ MUA HÀNG'!$A$5:$AT644, 0, XMATCH("Mã đơn Misa", '6. TIẾN ĐỘ MUA HÀNG'!$A$4:$AT$4, 0)) &lt;&gt; ""))</f>
        <v>0</v>
      </c>
      <c r="P115" s="754">
        <f t="array" ref="P115">SUMPRODUCT(
  (INDEX('6. TIẾN ĐỘ MUA HÀNG'!$A$5:$AT644, 0, XMATCH("NCC VTBB/NL trong nước", '6. TIẾN ĐỘ MUA HÀNG'!$A$4:$AT$4, 0)) = $B115) * (TRIM(INDEX('6. TIẾN ĐỘ MUA HÀNG'!$A$5:$AT644, 0, XMATCH("Tháng", '6. TIẾN ĐỘ MUA HÀNG'!$A$4:$AT$4, 0))) = TRIM(O$6)) * (INDEX('6. TIẾN ĐỘ MUA HÀNG'!$A$5:$AT644, 0, XMATCH("CL NGÀY NCC DỰ KIẾN - NGÀY NHẬN HÀNG", '6. TIẾN ĐỘ MUA HÀNG'!$A$4:$AT$4, 0)) &lt; 0)
)</f>
        <v>0</v>
      </c>
      <c r="Q115" s="755">
        <f t="shared" si="31"/>
        <v>0</v>
      </c>
      <c r="R115" s="756">
        <f t="array" ref="R115">SUMPRODUCT((TRIM(INDEX('6. TIẾN ĐỘ MUA HÀNG'!$A$5:$AT644, 0, XMATCH("NCC VTBB/NL trong nước", '6. TIẾN ĐỘ MUA HÀNG'!$A$4:$AT$4, 0))) = TRIM($B115)) * (TRIM(INDEX('6. TIẾN ĐỘ MUA HÀNG'!$A$5:$AT644, 0, XMATCH("Tháng", '6. TIẾN ĐỘ MUA HÀNG'!$A$4:$AT$4, 0))) = TRIM(R$6)) * (INDEX('6. TIẾN ĐỘ MUA HÀNG'!$A$5:$AT644, 0, XMATCH("Mã đơn Misa", '6. TIẾN ĐỘ MUA HÀNG'!$A$4:$AT$4, 0)) &lt;&gt; ""))</f>
        <v>0</v>
      </c>
      <c r="S115" s="756">
        <f t="array" ref="S115">SUMPRODUCT(
  (INDEX('6. TIẾN ĐỘ MUA HÀNG'!$A$5:$AT644, 0, XMATCH("NCC VTBB/NL trong nước", '6. TIẾN ĐỘ MUA HÀNG'!$A$4:$AT$4, 0)) = $B115) * (TRIM(INDEX('6. TIẾN ĐỘ MUA HÀNG'!$A$5:$AT644, 0, XMATCH("Tháng", '6. TIẾN ĐỘ MUA HÀNG'!$A$4:$AT$4, 0))) = TRIM(R$6)) * (INDEX('6. TIẾN ĐỘ MUA HÀNG'!$A$5:$AT644, 0, XMATCH("CL NGÀY NCC DỰ KIẾN - NGÀY NHẬN HÀNG", '6. TIẾN ĐỘ MUA HÀNG'!$A$4:$AT$4, 0)) &lt; 0)
)</f>
        <v>0</v>
      </c>
      <c r="T115" s="757">
        <f t="shared" si="19"/>
        <v>0</v>
      </c>
      <c r="U115" s="754">
        <f t="array" ref="U115">SUMPRODUCT((TRIM(INDEX('6. TIẾN ĐỘ MUA HÀNG'!$A$5:$AT644, 0, XMATCH("NCC VTBB/NL trong nước", '6. TIẾN ĐỘ MUA HÀNG'!$A$4:$AT$4, 0))) = TRIM($B115)) * (TRIM(INDEX('6. TIẾN ĐỘ MUA HÀNG'!$A$5:$AT644, 0, XMATCH("Tháng", '6. TIẾN ĐỘ MUA HÀNG'!$A$4:$AT$4, 0))) = TRIM(U$6)) * (INDEX('6. TIẾN ĐỘ MUA HÀNG'!$A$5:$AT644, 0, XMATCH("Mã đơn Misa", '6. TIẾN ĐỘ MUA HÀNG'!$A$4:$AT$4, 0)) &lt;&gt; ""))</f>
        <v>0</v>
      </c>
      <c r="V115" s="754">
        <f t="array" ref="V115">SUMPRODUCT(
  (INDEX('6. TIẾN ĐỘ MUA HÀNG'!$A$5:$AT644, 0, XMATCH("NCC VTBB/NL trong nước", '6. TIẾN ĐỘ MUA HÀNG'!$A$4:$AT$4, 0)) = $B115) * (TRIM(INDEX('6. TIẾN ĐỘ MUA HÀNG'!$A$5:$AT644, 0, XMATCH("Tháng", '6. TIẾN ĐỘ MUA HÀNG'!$A$4:$AT$4, 0))) = TRIM(U$6)) * (INDEX('6. TIẾN ĐỘ MUA HÀNG'!$A$5:$AT644, 0, XMATCH("CL NGÀY NCC DỰ KIẾN - NGÀY NHẬN HÀNG", '6. TIẾN ĐỘ MUA HÀNG'!$A$4:$AT$4, 0)) &lt; 0)
)</f>
        <v>0</v>
      </c>
      <c r="W115" s="755">
        <f t="shared" si="32"/>
        <v>0</v>
      </c>
      <c r="X115" s="756">
        <f t="array" ref="X115">SUMPRODUCT((TRIM(INDEX('6. TIẾN ĐỘ MUA HÀNG'!$A$5:$AT644, 0, XMATCH("NCC VTBB/NL trong nước", '6. TIẾN ĐỘ MUA HÀNG'!$A$4:$AT$4, 0))) = TRIM($B115)) * (TRIM(INDEX('6. TIẾN ĐỘ MUA HÀNG'!$A$5:$AT644, 0, XMATCH("Tháng", '6. TIẾN ĐỘ MUA HÀNG'!$A$4:$AT$4, 0))) = TRIM(X$6)) * (INDEX('6. TIẾN ĐỘ MUA HÀNG'!$A$5:$AT644, 0, XMATCH("Mã đơn Misa", '6. TIẾN ĐỘ MUA HÀNG'!$A$4:$AT$4, 0)) &lt;&gt; ""))</f>
        <v>0</v>
      </c>
      <c r="Y115" s="756">
        <f t="array" ref="Y115">SUMPRODUCT(
  (INDEX('6. TIẾN ĐỘ MUA HÀNG'!$A$5:$AT644, 0, XMATCH("NCC VTBB/NL trong nước", '6. TIẾN ĐỘ MUA HÀNG'!$A$4:$AT$4, 0)) = $B115) * (TRIM(INDEX('6. TIẾN ĐỘ MUA HÀNG'!$A$5:$AT644, 0, XMATCH("Tháng", '6. TIẾN ĐỘ MUA HÀNG'!$A$4:$AT$4, 0))) = TRIM(X$6)) * (INDEX('6. TIẾN ĐỘ MUA HÀNG'!$A$5:$AT644, 0, XMATCH("CL NGÀY NCC DỰ KIẾN - NGÀY NHẬN HÀNG", '6. TIẾN ĐỘ MUA HÀNG'!$A$4:$AT$4, 0)) &lt; 0)
)</f>
        <v>0</v>
      </c>
      <c r="Z115" s="757">
        <f t="shared" si="21"/>
        <v>0</v>
      </c>
      <c r="AA115" s="754">
        <f t="array" ref="AA115">SUMPRODUCT((TRIM(INDEX('6. TIẾN ĐỘ MUA HÀNG'!$A$5:$AT644, 0, XMATCH("NCC VTBB/NL trong nước", '6. TIẾN ĐỘ MUA HÀNG'!$A$4:$AT$4, 0))) = TRIM($B115)) * (TRIM(INDEX('6. TIẾN ĐỘ MUA HÀNG'!$A$5:$AT644, 0, XMATCH("Tháng", '6. TIẾN ĐỘ MUA HÀNG'!$A$4:$AT$4, 0))) = TRIM(AA$6)) * (INDEX('6. TIẾN ĐỘ MUA HÀNG'!$A$5:$AT644, 0, XMATCH("Mã đơn Misa", '6. TIẾN ĐỘ MUA HÀNG'!$A$4:$AT$4, 0)) &lt;&gt; ""))</f>
        <v>0</v>
      </c>
      <c r="AB115" s="754">
        <f t="array" ref="AB115">SUMPRODUCT(
  (INDEX('6. TIẾN ĐỘ MUA HÀNG'!$A$5:$AT644, 0, XMATCH("NCC VTBB/NL trong nước", '6. TIẾN ĐỘ MUA HÀNG'!$A$4:$AT$4, 0)) = $B115) * (TRIM(INDEX('6. TIẾN ĐỘ MUA HÀNG'!$A$5:$AT644, 0, XMATCH("Tháng", '6. TIẾN ĐỘ MUA HÀNG'!$A$4:$AT$4, 0))) = TRIM(AA$6)) * (INDEX('6. TIẾN ĐỘ MUA HÀNG'!$A$5:$AT644, 0, XMATCH("CL NGÀY NCC DỰ KIẾN - NGÀY NHẬN HÀNG", '6. TIẾN ĐỘ MUA HÀNG'!$A$4:$AT$4, 0)) &lt; 0)
)</f>
        <v>0</v>
      </c>
      <c r="AC115" s="755">
        <f t="shared" si="33"/>
        <v>0</v>
      </c>
      <c r="AD115" s="756">
        <f t="array" ref="AD115">SUMPRODUCT((TRIM(INDEX('6. TIẾN ĐỘ MUA HÀNG'!$A$5:$AT644, 0, XMATCH("NCC VTBB/NL trong nước", '6. TIẾN ĐỘ MUA HÀNG'!$A$4:$AT$4, 0))) = TRIM($B115)) * (TRIM(INDEX('6. TIẾN ĐỘ MUA HÀNG'!$A$5:$AT644, 0, XMATCH("Tháng", '6. TIẾN ĐỘ MUA HÀNG'!$A$4:$AT$4, 0))) = TRIM(AD$6)) * (INDEX('6. TIẾN ĐỘ MUA HÀNG'!$A$5:$AT644, 0, XMATCH("Mã đơn Misa", '6. TIẾN ĐỘ MUA HÀNG'!$A$4:$AT$4, 0)) &lt;&gt; ""))</f>
        <v>0</v>
      </c>
      <c r="AE115" s="756">
        <f t="array" ref="AE115">SUMPRODUCT(
  (INDEX('6. TIẾN ĐỘ MUA HÀNG'!$A$5:$AT644, 0, XMATCH("NCC VTBB/NL trong nước", '6. TIẾN ĐỘ MUA HÀNG'!$A$4:$AT$4, 0)) = $B115) * (TRIM(INDEX('6. TIẾN ĐỘ MUA HÀNG'!$A$5:$AT644, 0, XMATCH("Tháng", '6. TIẾN ĐỘ MUA HÀNG'!$A$4:$AT$4, 0))) = TRIM(AD$6)) * (INDEX('6. TIẾN ĐỘ MUA HÀNG'!$A$5:$AT644, 0, XMATCH("CL NGÀY NCC DỰ KIẾN - NGÀY NHẬN HÀNG", '6. TIẾN ĐỘ MUA HÀNG'!$A$4:$AT$4, 0)) &lt; 0)
)</f>
        <v>0</v>
      </c>
      <c r="AF115" s="757">
        <f t="shared" si="23"/>
        <v>0</v>
      </c>
      <c r="AG115" s="754">
        <f t="array" ref="AG115">SUMPRODUCT((TRIM(INDEX('6. TIẾN ĐỘ MUA HÀNG'!$A$5:$AT644, 0, XMATCH("NCC VTBB/NL trong nước", '6. TIẾN ĐỘ MUA HÀNG'!$A$4:$AT$4, 0))) = TRIM($B115)) * (TRIM(INDEX('6. TIẾN ĐỘ MUA HÀNG'!$A$5:$AT644, 0, XMATCH("Tháng", '6. TIẾN ĐỘ MUA HÀNG'!$A$4:$AT$4, 0))) = TRIM(AG$6)) * (INDEX('6. TIẾN ĐỘ MUA HÀNG'!$A$5:$AT644, 0, XMATCH("Mã đơn Misa", '6. TIẾN ĐỘ MUA HÀNG'!$A$4:$AT$4, 0)) &lt;&gt; ""))</f>
        <v>0</v>
      </c>
      <c r="AH115" s="754">
        <f t="array" ref="AH115">SUMPRODUCT(
  (INDEX('6. TIẾN ĐỘ MUA HÀNG'!$A$5:$AT644, 0, XMATCH("NCC VTBB/NL trong nước", '6. TIẾN ĐỘ MUA HÀNG'!$A$4:$AT$4, 0)) = $B115) * (TRIM(INDEX('6. TIẾN ĐỘ MUA HÀNG'!$A$5:$AT644, 0, XMATCH("Tháng", '6. TIẾN ĐỘ MUA HÀNG'!$A$4:$AT$4, 0))) = TRIM(AG$6)) * (INDEX('6. TIẾN ĐỘ MUA HÀNG'!$A$5:$AT644, 0, XMATCH("CL NGÀY NCC DỰ KIẾN - NGÀY NHẬN HÀNG", '6. TIẾN ĐỘ MUA HÀNG'!$A$4:$AT$4, 0)) &lt; 0)
)</f>
        <v>0</v>
      </c>
      <c r="AI115" s="755">
        <f t="shared" si="34"/>
        <v>0</v>
      </c>
      <c r="AJ115" s="756">
        <f t="array" ref="AJ115">SUMPRODUCT((TRIM(INDEX('6. TIẾN ĐỘ MUA HÀNG'!$A$5:$AT644, 0, XMATCH("NCC VTBB/NL trong nước", '6. TIẾN ĐỘ MUA HÀNG'!$A$4:$AT$4, 0))) = TRIM($B115)) * (TRIM(INDEX('6. TIẾN ĐỘ MUA HÀNG'!$A$5:$AT644, 0, XMATCH("Tháng", '6. TIẾN ĐỘ MUA HÀNG'!$A$4:$AT$4, 0))) = TRIM(AJ$6)) * (INDEX('6. TIẾN ĐỘ MUA HÀNG'!$A$5:$AT644, 0, XMATCH("Mã đơn Misa", '6. TIẾN ĐỘ MUA HÀNG'!$A$4:$AT$4, 0)) &lt;&gt; ""))</f>
        <v>0</v>
      </c>
      <c r="AK115" s="756">
        <f t="array" ref="AK115">SUMPRODUCT(
  (INDEX('6. TIẾN ĐỘ MUA HÀNG'!$A$5:$AT644, 0, XMATCH("NCC VTBB/NL trong nước", '6. TIẾN ĐỘ MUA HÀNG'!$A$4:$AT$4, 0)) = $B115) * (TRIM(INDEX('6. TIẾN ĐỘ MUA HÀNG'!$A$5:$AT644, 0, XMATCH("Tháng", '6. TIẾN ĐỘ MUA HÀNG'!$A$4:$AT$4, 0))) = TRIM(AJ$6)) * (INDEX('6. TIẾN ĐỘ MUA HÀNG'!$A$5:$AT644, 0, XMATCH("CL NGÀY NCC DỰ KIẾN - NGÀY NHẬN HÀNG", '6. TIẾN ĐỘ MUA HÀNG'!$A$4:$AT$4, 0)) &lt; 0)
)</f>
        <v>0</v>
      </c>
      <c r="AL115" s="757">
        <f t="shared" si="25"/>
        <v>0</v>
      </c>
      <c r="AM115" s="726">
        <f t="shared" si="27"/>
        <v>0</v>
      </c>
      <c r="AN115" s="726">
        <f t="shared" si="28"/>
        <v>0</v>
      </c>
      <c r="AO115" s="727">
        <f t="shared" si="26"/>
        <v>0</v>
      </c>
    </row>
    <row r="116">
      <c r="A116" s="612">
        <v>108.0</v>
      </c>
      <c r="B116" s="624" t="str">
        <f>IFERROR(__xludf.DUMMYFUNCTION("""COMPUTED_VALUE"""),"MIA")</f>
        <v>MIA</v>
      </c>
      <c r="C116" s="754">
        <f t="array" ref="C116">SUMPRODUCT((TRIM(INDEX('6. TIẾN ĐỘ MUA HÀNG'!$A$5:$AT644, 0, XMATCH("NCC VTBB/NL trong nước", '6. TIẾN ĐỘ MUA HÀNG'!$A$4:$AT$4, 0))) = TRIM($B116)) * (TRIM(INDEX('6. TIẾN ĐỘ MUA HÀNG'!$A$5:$AT644, 0, XMATCH("Tháng", '6. TIẾN ĐỘ MUA HÀNG'!$A$4:$AT$4, 0))) = TRIM(C$6)) * (INDEX('6. TIẾN ĐỘ MUA HÀNG'!$A$5:$AT644, 0, XMATCH("Mã đơn Misa", '6. TIẾN ĐỘ MUA HÀNG'!$A$4:$AT$4, 0)) &lt;&gt; ""))</f>
        <v>0</v>
      </c>
      <c r="D116" s="754">
        <f t="array" ref="D116">SUMPRODUCT(
  (INDEX('6. TIẾN ĐỘ MUA HÀNG'!$A$5:$AT644, 0, XMATCH("NCC VTBB/NL trong nước", '6. TIẾN ĐỘ MUA HÀNG'!$A$4:$AT$4, 0)) = $B116) * (TRIM(INDEX('6. TIẾN ĐỘ MUA HÀNG'!$A$5:$AT644, 0, XMATCH("Tháng", '6. TIẾN ĐỘ MUA HÀNG'!$A$4:$AT$4, 0))) = TRIM(C$6)) * (INDEX('6. TIẾN ĐỘ MUA HÀNG'!$A$5:$AT644, 0, XMATCH("CL NGÀY NCC DỰ KIẾN - NGÀY NHẬN HÀNG", '6. TIẾN ĐỘ MUA HÀNG'!$A$4:$AT$4, 0)) &lt; 0)
)</f>
        <v>0</v>
      </c>
      <c r="E116" s="755">
        <f t="shared" si="29"/>
        <v>0</v>
      </c>
      <c r="F116" s="756">
        <f t="array" ref="F116">SUMPRODUCT((TRIM(INDEX('6. TIẾN ĐỘ MUA HÀNG'!$A$5:$AT644, 0, XMATCH("NCC VTBB/NL trong nước", '6. TIẾN ĐỘ MUA HÀNG'!$A$4:$AT$4, 0))) = TRIM($B116)) * (TRIM(INDEX('6. TIẾN ĐỘ MUA HÀNG'!$A$5:$AT644, 0, XMATCH("Tháng", '6. TIẾN ĐỘ MUA HÀNG'!$A$4:$AT$4, 0))) = TRIM(F$6)) * (INDEX('6. TIẾN ĐỘ MUA HÀNG'!$A$5:$AT644, 0, XMATCH("Mã đơn Misa", '6. TIẾN ĐỘ MUA HÀNG'!$A$4:$AT$4, 0)) &lt;&gt; ""))</f>
        <v>0</v>
      </c>
      <c r="G116" s="756">
        <f t="array" ref="G116">SUMPRODUCT(
  (INDEX('6. TIẾN ĐỘ MUA HÀNG'!$A$5:$AT644, 0, XMATCH("NCC VTBB/NL trong nước", '6. TIẾN ĐỘ MUA HÀNG'!$A$4:$AT$4, 0)) = $B116) * (TRIM(INDEX('6. TIẾN ĐỘ MUA HÀNG'!$A$5:$AT644, 0, XMATCH("Tháng", '6. TIẾN ĐỘ MUA HÀNG'!$A$4:$AT$4, 0))) = TRIM(F$6)) * (INDEX('6. TIẾN ĐỘ MUA HÀNG'!$A$5:$AT644, 0, XMATCH("CL NGÀY NCC DỰ KIẾN - NGÀY NHẬN HÀNG", '6. TIẾN ĐỘ MUA HÀNG'!$A$4:$AT$4, 0)) &lt; 0)
)</f>
        <v>0</v>
      </c>
      <c r="H116" s="757">
        <f t="shared" si="15"/>
        <v>0</v>
      </c>
      <c r="I116" s="754">
        <f t="array" ref="I116">SUMPRODUCT((TRIM(INDEX('6. TIẾN ĐỘ MUA HÀNG'!$A$5:$AT644, 0, XMATCH("NCC VTBB/NL trong nước", '6. TIẾN ĐỘ MUA HÀNG'!$A$4:$AT$4, 0))) = TRIM($B116)) * (TRIM(INDEX('6. TIẾN ĐỘ MUA HÀNG'!$A$5:$AT644, 0, XMATCH("Tháng", '6. TIẾN ĐỘ MUA HÀNG'!$A$4:$AT$4, 0))) = TRIM(I$6)) * (INDEX('6. TIẾN ĐỘ MUA HÀNG'!$A$5:$AT644, 0, XMATCH("Mã đơn Misa", '6. TIẾN ĐỘ MUA HÀNG'!$A$4:$AT$4, 0)) &lt;&gt; ""))</f>
        <v>0</v>
      </c>
      <c r="J116" s="754">
        <f t="array" ref="J116">SUMPRODUCT(
  (INDEX('6. TIẾN ĐỘ MUA HÀNG'!$A$5:$AT644, 0, XMATCH("NCC VTBB/NL trong nước", '6. TIẾN ĐỘ MUA HÀNG'!$A$4:$AT$4, 0)) = $B116) * (TRIM(INDEX('6. TIẾN ĐỘ MUA HÀNG'!$A$5:$AT644, 0, XMATCH("Tháng", '6. TIẾN ĐỘ MUA HÀNG'!$A$4:$AT$4, 0))) = TRIM(I$6)) * (INDEX('6. TIẾN ĐỘ MUA HÀNG'!$A$5:$AT644, 0, XMATCH("CL NGÀY NCC DỰ KIẾN - NGÀY NHẬN HÀNG", '6. TIẾN ĐỘ MUA HÀNG'!$A$4:$AT$4, 0)) &lt; 0)
)</f>
        <v>0</v>
      </c>
      <c r="K116" s="755">
        <f t="shared" si="30"/>
        <v>0</v>
      </c>
      <c r="L116" s="756">
        <f t="array" ref="L116">SUMPRODUCT((TRIM(INDEX('6. TIẾN ĐỘ MUA HÀNG'!$A$5:$AT644, 0, XMATCH("NCC VTBB/NL trong nước", '6. TIẾN ĐỘ MUA HÀNG'!$A$4:$AT$4, 0))) = TRIM($B116)) * (TRIM(INDEX('6. TIẾN ĐỘ MUA HÀNG'!$A$5:$AT644, 0, XMATCH("Tháng", '6. TIẾN ĐỘ MUA HÀNG'!$A$4:$AT$4, 0))) = TRIM(L$6)) * (INDEX('6. TIẾN ĐỘ MUA HÀNG'!$A$5:$AT644, 0, XMATCH("Mã đơn Misa", '6. TIẾN ĐỘ MUA HÀNG'!$A$4:$AT$4, 0)) &lt;&gt; ""))</f>
        <v>0</v>
      </c>
      <c r="M116" s="756">
        <f t="array" ref="M116">SUMPRODUCT(
  (INDEX('6. TIẾN ĐỘ MUA HÀNG'!$A$5:$AT644, 0, XMATCH("NCC VTBB/NL trong nước", '6. TIẾN ĐỘ MUA HÀNG'!$A$4:$AT$4, 0)) = $B116) * (TRIM(INDEX('6. TIẾN ĐỘ MUA HÀNG'!$A$5:$AT644, 0, XMATCH("Tháng", '6. TIẾN ĐỘ MUA HÀNG'!$A$4:$AT$4, 0))) = TRIM(L$6)) * (INDEX('6. TIẾN ĐỘ MUA HÀNG'!$A$5:$AT644, 0, XMATCH("CL NGÀY NCC DỰ KIẾN - NGÀY NHẬN HÀNG", '6. TIẾN ĐỘ MUA HÀNG'!$A$4:$AT$4, 0)) &lt; 0)
)</f>
        <v>0</v>
      </c>
      <c r="N116" s="757">
        <f t="shared" si="17"/>
        <v>0</v>
      </c>
      <c r="O116" s="754">
        <f t="array" ref="O116">SUMPRODUCT((TRIM(INDEX('6. TIẾN ĐỘ MUA HÀNG'!$A$5:$AT644, 0, XMATCH("NCC VTBB/NL trong nước", '6. TIẾN ĐỘ MUA HÀNG'!$A$4:$AT$4, 0))) = TRIM($B116)) * (TRIM(INDEX('6. TIẾN ĐỘ MUA HÀNG'!$A$5:$AT644, 0, XMATCH("Tháng", '6. TIẾN ĐỘ MUA HÀNG'!$A$4:$AT$4, 0))) = TRIM(O$6)) * (INDEX('6. TIẾN ĐỘ MUA HÀNG'!$A$5:$AT644, 0, XMATCH("Mã đơn Misa", '6. TIẾN ĐỘ MUA HÀNG'!$A$4:$AT$4, 0)) &lt;&gt; ""))</f>
        <v>0</v>
      </c>
      <c r="P116" s="754">
        <f t="array" ref="P116">SUMPRODUCT(
  (INDEX('6. TIẾN ĐỘ MUA HÀNG'!$A$5:$AT644, 0, XMATCH("NCC VTBB/NL trong nước", '6. TIẾN ĐỘ MUA HÀNG'!$A$4:$AT$4, 0)) = $B116) * (TRIM(INDEX('6. TIẾN ĐỘ MUA HÀNG'!$A$5:$AT644, 0, XMATCH("Tháng", '6. TIẾN ĐỘ MUA HÀNG'!$A$4:$AT$4, 0))) = TRIM(O$6)) * (INDEX('6. TIẾN ĐỘ MUA HÀNG'!$A$5:$AT644, 0, XMATCH("CL NGÀY NCC DỰ KIẾN - NGÀY NHẬN HÀNG", '6. TIẾN ĐỘ MUA HÀNG'!$A$4:$AT$4, 0)) &lt; 0)
)</f>
        <v>0</v>
      </c>
      <c r="Q116" s="755">
        <f t="shared" si="31"/>
        <v>0</v>
      </c>
      <c r="R116" s="756">
        <f t="array" ref="R116">SUMPRODUCT((TRIM(INDEX('6. TIẾN ĐỘ MUA HÀNG'!$A$5:$AT644, 0, XMATCH("NCC VTBB/NL trong nước", '6. TIẾN ĐỘ MUA HÀNG'!$A$4:$AT$4, 0))) = TRIM($B116)) * (TRIM(INDEX('6. TIẾN ĐỘ MUA HÀNG'!$A$5:$AT644, 0, XMATCH("Tháng", '6. TIẾN ĐỘ MUA HÀNG'!$A$4:$AT$4, 0))) = TRIM(R$6)) * (INDEX('6. TIẾN ĐỘ MUA HÀNG'!$A$5:$AT644, 0, XMATCH("Mã đơn Misa", '6. TIẾN ĐỘ MUA HÀNG'!$A$4:$AT$4, 0)) &lt;&gt; ""))</f>
        <v>0</v>
      </c>
      <c r="S116" s="756">
        <f t="array" ref="S116">SUMPRODUCT(
  (INDEX('6. TIẾN ĐỘ MUA HÀNG'!$A$5:$AT644, 0, XMATCH("NCC VTBB/NL trong nước", '6. TIẾN ĐỘ MUA HÀNG'!$A$4:$AT$4, 0)) = $B116) * (TRIM(INDEX('6. TIẾN ĐỘ MUA HÀNG'!$A$5:$AT644, 0, XMATCH("Tháng", '6. TIẾN ĐỘ MUA HÀNG'!$A$4:$AT$4, 0))) = TRIM(R$6)) * (INDEX('6. TIẾN ĐỘ MUA HÀNG'!$A$5:$AT644, 0, XMATCH("CL NGÀY NCC DỰ KIẾN - NGÀY NHẬN HÀNG", '6. TIẾN ĐỘ MUA HÀNG'!$A$4:$AT$4, 0)) &lt; 0)
)</f>
        <v>0</v>
      </c>
      <c r="T116" s="757">
        <f t="shared" si="19"/>
        <v>0</v>
      </c>
      <c r="U116" s="754">
        <f t="array" ref="U116">SUMPRODUCT((TRIM(INDEX('6. TIẾN ĐỘ MUA HÀNG'!$A$5:$AT644, 0, XMATCH("NCC VTBB/NL trong nước", '6. TIẾN ĐỘ MUA HÀNG'!$A$4:$AT$4, 0))) = TRIM($B116)) * (TRIM(INDEX('6. TIẾN ĐỘ MUA HÀNG'!$A$5:$AT644, 0, XMATCH("Tháng", '6. TIẾN ĐỘ MUA HÀNG'!$A$4:$AT$4, 0))) = TRIM(U$6)) * (INDEX('6. TIẾN ĐỘ MUA HÀNG'!$A$5:$AT644, 0, XMATCH("Mã đơn Misa", '6. TIẾN ĐỘ MUA HÀNG'!$A$4:$AT$4, 0)) &lt;&gt; ""))</f>
        <v>0</v>
      </c>
      <c r="V116" s="754">
        <f t="array" ref="V116">SUMPRODUCT(
  (INDEX('6. TIẾN ĐỘ MUA HÀNG'!$A$5:$AT644, 0, XMATCH("NCC VTBB/NL trong nước", '6. TIẾN ĐỘ MUA HÀNG'!$A$4:$AT$4, 0)) = $B116) * (TRIM(INDEX('6. TIẾN ĐỘ MUA HÀNG'!$A$5:$AT644, 0, XMATCH("Tháng", '6. TIẾN ĐỘ MUA HÀNG'!$A$4:$AT$4, 0))) = TRIM(U$6)) * (INDEX('6. TIẾN ĐỘ MUA HÀNG'!$A$5:$AT644, 0, XMATCH("CL NGÀY NCC DỰ KIẾN - NGÀY NHẬN HÀNG", '6. TIẾN ĐỘ MUA HÀNG'!$A$4:$AT$4, 0)) &lt; 0)
)</f>
        <v>0</v>
      </c>
      <c r="W116" s="755">
        <f t="shared" si="32"/>
        <v>0</v>
      </c>
      <c r="X116" s="756">
        <f t="array" ref="X116">SUMPRODUCT((TRIM(INDEX('6. TIẾN ĐỘ MUA HÀNG'!$A$5:$AT644, 0, XMATCH("NCC VTBB/NL trong nước", '6. TIẾN ĐỘ MUA HÀNG'!$A$4:$AT$4, 0))) = TRIM($B116)) * (TRIM(INDEX('6. TIẾN ĐỘ MUA HÀNG'!$A$5:$AT644, 0, XMATCH("Tháng", '6. TIẾN ĐỘ MUA HÀNG'!$A$4:$AT$4, 0))) = TRIM(X$6)) * (INDEX('6. TIẾN ĐỘ MUA HÀNG'!$A$5:$AT644, 0, XMATCH("Mã đơn Misa", '6. TIẾN ĐỘ MUA HÀNG'!$A$4:$AT$4, 0)) &lt;&gt; ""))</f>
        <v>0</v>
      </c>
      <c r="Y116" s="756">
        <f t="array" ref="Y116">SUMPRODUCT(
  (INDEX('6. TIẾN ĐỘ MUA HÀNG'!$A$5:$AT644, 0, XMATCH("NCC VTBB/NL trong nước", '6. TIẾN ĐỘ MUA HÀNG'!$A$4:$AT$4, 0)) = $B116) * (TRIM(INDEX('6. TIẾN ĐỘ MUA HÀNG'!$A$5:$AT644, 0, XMATCH("Tháng", '6. TIẾN ĐỘ MUA HÀNG'!$A$4:$AT$4, 0))) = TRIM(X$6)) * (INDEX('6. TIẾN ĐỘ MUA HÀNG'!$A$5:$AT644, 0, XMATCH("CL NGÀY NCC DỰ KIẾN - NGÀY NHẬN HÀNG", '6. TIẾN ĐỘ MUA HÀNG'!$A$4:$AT$4, 0)) &lt; 0)
)</f>
        <v>0</v>
      </c>
      <c r="Z116" s="757">
        <f t="shared" si="21"/>
        <v>0</v>
      </c>
      <c r="AA116" s="754">
        <f t="array" ref="AA116">SUMPRODUCT((TRIM(INDEX('6. TIẾN ĐỘ MUA HÀNG'!$A$5:$AT644, 0, XMATCH("NCC VTBB/NL trong nước", '6. TIẾN ĐỘ MUA HÀNG'!$A$4:$AT$4, 0))) = TRIM($B116)) * (TRIM(INDEX('6. TIẾN ĐỘ MUA HÀNG'!$A$5:$AT644, 0, XMATCH("Tháng", '6. TIẾN ĐỘ MUA HÀNG'!$A$4:$AT$4, 0))) = TRIM(AA$6)) * (INDEX('6. TIẾN ĐỘ MUA HÀNG'!$A$5:$AT644, 0, XMATCH("Mã đơn Misa", '6. TIẾN ĐỘ MUA HÀNG'!$A$4:$AT$4, 0)) &lt;&gt; ""))</f>
        <v>0</v>
      </c>
      <c r="AB116" s="754">
        <f t="array" ref="AB116">SUMPRODUCT(
  (INDEX('6. TIẾN ĐỘ MUA HÀNG'!$A$5:$AT644, 0, XMATCH("NCC VTBB/NL trong nước", '6. TIẾN ĐỘ MUA HÀNG'!$A$4:$AT$4, 0)) = $B116) * (TRIM(INDEX('6. TIẾN ĐỘ MUA HÀNG'!$A$5:$AT644, 0, XMATCH("Tháng", '6. TIẾN ĐỘ MUA HÀNG'!$A$4:$AT$4, 0))) = TRIM(AA$6)) * (INDEX('6. TIẾN ĐỘ MUA HÀNG'!$A$5:$AT644, 0, XMATCH("CL NGÀY NCC DỰ KIẾN - NGÀY NHẬN HÀNG", '6. TIẾN ĐỘ MUA HÀNG'!$A$4:$AT$4, 0)) &lt; 0)
)</f>
        <v>0</v>
      </c>
      <c r="AC116" s="755">
        <f t="shared" si="33"/>
        <v>0</v>
      </c>
      <c r="AD116" s="756">
        <f t="array" ref="AD116">SUMPRODUCT((TRIM(INDEX('6. TIẾN ĐỘ MUA HÀNG'!$A$5:$AT644, 0, XMATCH("NCC VTBB/NL trong nước", '6. TIẾN ĐỘ MUA HÀNG'!$A$4:$AT$4, 0))) = TRIM($B116)) * (TRIM(INDEX('6. TIẾN ĐỘ MUA HÀNG'!$A$5:$AT644, 0, XMATCH("Tháng", '6. TIẾN ĐỘ MUA HÀNG'!$A$4:$AT$4, 0))) = TRIM(AD$6)) * (INDEX('6. TIẾN ĐỘ MUA HÀNG'!$A$5:$AT644, 0, XMATCH("Mã đơn Misa", '6. TIẾN ĐỘ MUA HÀNG'!$A$4:$AT$4, 0)) &lt;&gt; ""))</f>
        <v>0</v>
      </c>
      <c r="AE116" s="756">
        <f t="array" ref="AE116">SUMPRODUCT(
  (INDEX('6. TIẾN ĐỘ MUA HÀNG'!$A$5:$AT644, 0, XMATCH("NCC VTBB/NL trong nước", '6. TIẾN ĐỘ MUA HÀNG'!$A$4:$AT$4, 0)) = $B116) * (TRIM(INDEX('6. TIẾN ĐỘ MUA HÀNG'!$A$5:$AT644, 0, XMATCH("Tháng", '6. TIẾN ĐỘ MUA HÀNG'!$A$4:$AT$4, 0))) = TRIM(AD$6)) * (INDEX('6. TIẾN ĐỘ MUA HÀNG'!$A$5:$AT644, 0, XMATCH("CL NGÀY NCC DỰ KIẾN - NGÀY NHẬN HÀNG", '6. TIẾN ĐỘ MUA HÀNG'!$A$4:$AT$4, 0)) &lt; 0)
)</f>
        <v>0</v>
      </c>
      <c r="AF116" s="757">
        <f t="shared" si="23"/>
        <v>0</v>
      </c>
      <c r="AG116" s="754">
        <f t="array" ref="AG116">SUMPRODUCT((TRIM(INDEX('6. TIẾN ĐỘ MUA HÀNG'!$A$5:$AT644, 0, XMATCH("NCC VTBB/NL trong nước", '6. TIẾN ĐỘ MUA HÀNG'!$A$4:$AT$4, 0))) = TRIM($B116)) * (TRIM(INDEX('6. TIẾN ĐỘ MUA HÀNG'!$A$5:$AT644, 0, XMATCH("Tháng", '6. TIẾN ĐỘ MUA HÀNG'!$A$4:$AT$4, 0))) = TRIM(AG$6)) * (INDEX('6. TIẾN ĐỘ MUA HÀNG'!$A$5:$AT644, 0, XMATCH("Mã đơn Misa", '6. TIẾN ĐỘ MUA HÀNG'!$A$4:$AT$4, 0)) &lt;&gt; ""))</f>
        <v>0</v>
      </c>
      <c r="AH116" s="754">
        <f t="array" ref="AH116">SUMPRODUCT(
  (INDEX('6. TIẾN ĐỘ MUA HÀNG'!$A$5:$AT644, 0, XMATCH("NCC VTBB/NL trong nước", '6. TIẾN ĐỘ MUA HÀNG'!$A$4:$AT$4, 0)) = $B116) * (TRIM(INDEX('6. TIẾN ĐỘ MUA HÀNG'!$A$5:$AT644, 0, XMATCH("Tháng", '6. TIẾN ĐỘ MUA HÀNG'!$A$4:$AT$4, 0))) = TRIM(AG$6)) * (INDEX('6. TIẾN ĐỘ MUA HÀNG'!$A$5:$AT644, 0, XMATCH("CL NGÀY NCC DỰ KIẾN - NGÀY NHẬN HÀNG", '6. TIẾN ĐỘ MUA HÀNG'!$A$4:$AT$4, 0)) &lt; 0)
)</f>
        <v>0</v>
      </c>
      <c r="AI116" s="755">
        <f t="shared" si="34"/>
        <v>0</v>
      </c>
      <c r="AJ116" s="756">
        <f t="array" ref="AJ116">SUMPRODUCT((TRIM(INDEX('6. TIẾN ĐỘ MUA HÀNG'!$A$5:$AT644, 0, XMATCH("NCC VTBB/NL trong nước", '6. TIẾN ĐỘ MUA HÀNG'!$A$4:$AT$4, 0))) = TRIM($B116)) * (TRIM(INDEX('6. TIẾN ĐỘ MUA HÀNG'!$A$5:$AT644, 0, XMATCH("Tháng", '6. TIẾN ĐỘ MUA HÀNG'!$A$4:$AT$4, 0))) = TRIM(AJ$6)) * (INDEX('6. TIẾN ĐỘ MUA HÀNG'!$A$5:$AT644, 0, XMATCH("Mã đơn Misa", '6. TIẾN ĐỘ MUA HÀNG'!$A$4:$AT$4, 0)) &lt;&gt; ""))</f>
        <v>0</v>
      </c>
      <c r="AK116" s="756">
        <f t="array" ref="AK116">SUMPRODUCT(
  (INDEX('6. TIẾN ĐỘ MUA HÀNG'!$A$5:$AT644, 0, XMATCH("NCC VTBB/NL trong nước", '6. TIẾN ĐỘ MUA HÀNG'!$A$4:$AT$4, 0)) = $B116) * (TRIM(INDEX('6. TIẾN ĐỘ MUA HÀNG'!$A$5:$AT644, 0, XMATCH("Tháng", '6. TIẾN ĐỘ MUA HÀNG'!$A$4:$AT$4, 0))) = TRIM(AJ$6)) * (INDEX('6. TIẾN ĐỘ MUA HÀNG'!$A$5:$AT644, 0, XMATCH("CL NGÀY NCC DỰ KIẾN - NGÀY NHẬN HÀNG", '6. TIẾN ĐỘ MUA HÀNG'!$A$4:$AT$4, 0)) &lt; 0)
)</f>
        <v>0</v>
      </c>
      <c r="AL116" s="757">
        <f t="shared" si="25"/>
        <v>0</v>
      </c>
      <c r="AM116" s="726">
        <f t="shared" si="27"/>
        <v>0</v>
      </c>
      <c r="AN116" s="726">
        <f t="shared" si="28"/>
        <v>0</v>
      </c>
      <c r="AO116" s="727">
        <f t="shared" si="26"/>
        <v>0</v>
      </c>
    </row>
    <row r="117">
      <c r="A117" s="612">
        <v>109.0</v>
      </c>
      <c r="B117" s="624" t="str">
        <f>IFERROR(__xludf.DUMMYFUNCTION("""COMPUTED_VALUE"""),"Agama")</f>
        <v>Agama</v>
      </c>
      <c r="C117" s="754">
        <f t="array" ref="C117">SUMPRODUCT((TRIM(INDEX('6. TIẾN ĐỘ MUA HÀNG'!$A$5:$AT644, 0, XMATCH("NCC VTBB/NL trong nước", '6. TIẾN ĐỘ MUA HÀNG'!$A$4:$AT$4, 0))) = TRIM($B117)) * (TRIM(INDEX('6. TIẾN ĐỘ MUA HÀNG'!$A$5:$AT644, 0, XMATCH("Tháng", '6. TIẾN ĐỘ MUA HÀNG'!$A$4:$AT$4, 0))) = TRIM(C$6)) * (INDEX('6. TIẾN ĐỘ MUA HÀNG'!$A$5:$AT644, 0, XMATCH("Mã đơn Misa", '6. TIẾN ĐỘ MUA HÀNG'!$A$4:$AT$4, 0)) &lt;&gt; ""))</f>
        <v>0</v>
      </c>
      <c r="D117" s="754">
        <f t="array" ref="D117">SUMPRODUCT(
  (INDEX('6. TIẾN ĐỘ MUA HÀNG'!$A$5:$AT644, 0, XMATCH("NCC VTBB/NL trong nước", '6. TIẾN ĐỘ MUA HÀNG'!$A$4:$AT$4, 0)) = $B117) * (TRIM(INDEX('6. TIẾN ĐỘ MUA HÀNG'!$A$5:$AT644, 0, XMATCH("Tháng", '6. TIẾN ĐỘ MUA HÀNG'!$A$4:$AT$4, 0))) = TRIM(C$6)) * (INDEX('6. TIẾN ĐỘ MUA HÀNG'!$A$5:$AT644, 0, XMATCH("CL NGÀY NCC DỰ KIẾN - NGÀY NHẬN HÀNG", '6. TIẾN ĐỘ MUA HÀNG'!$A$4:$AT$4, 0)) &lt; 0)
)</f>
        <v>0</v>
      </c>
      <c r="E117" s="755">
        <f t="shared" si="29"/>
        <v>0</v>
      </c>
      <c r="F117" s="756">
        <f t="array" ref="F117">SUMPRODUCT((TRIM(INDEX('6. TIẾN ĐỘ MUA HÀNG'!$A$5:$AT644, 0, XMATCH("NCC VTBB/NL trong nước", '6. TIẾN ĐỘ MUA HÀNG'!$A$4:$AT$4, 0))) = TRIM($B117)) * (TRIM(INDEX('6. TIẾN ĐỘ MUA HÀNG'!$A$5:$AT644, 0, XMATCH("Tháng", '6. TIẾN ĐỘ MUA HÀNG'!$A$4:$AT$4, 0))) = TRIM(F$6)) * (INDEX('6. TIẾN ĐỘ MUA HÀNG'!$A$5:$AT644, 0, XMATCH("Mã đơn Misa", '6. TIẾN ĐỘ MUA HÀNG'!$A$4:$AT$4, 0)) &lt;&gt; ""))</f>
        <v>0</v>
      </c>
      <c r="G117" s="756">
        <f t="array" ref="G117">SUMPRODUCT(
  (INDEX('6. TIẾN ĐỘ MUA HÀNG'!$A$5:$AT644, 0, XMATCH("NCC VTBB/NL trong nước", '6. TIẾN ĐỘ MUA HÀNG'!$A$4:$AT$4, 0)) = $B117) * (TRIM(INDEX('6. TIẾN ĐỘ MUA HÀNG'!$A$5:$AT644, 0, XMATCH("Tháng", '6. TIẾN ĐỘ MUA HÀNG'!$A$4:$AT$4, 0))) = TRIM(F$6)) * (INDEX('6. TIẾN ĐỘ MUA HÀNG'!$A$5:$AT644, 0, XMATCH("CL NGÀY NCC DỰ KIẾN - NGÀY NHẬN HÀNG", '6. TIẾN ĐỘ MUA HÀNG'!$A$4:$AT$4, 0)) &lt; 0)
)</f>
        <v>0</v>
      </c>
      <c r="H117" s="757">
        <f t="shared" si="15"/>
        <v>0</v>
      </c>
      <c r="I117" s="754">
        <f t="array" ref="I117">SUMPRODUCT((TRIM(INDEX('6. TIẾN ĐỘ MUA HÀNG'!$A$5:$AT644, 0, XMATCH("NCC VTBB/NL trong nước", '6. TIẾN ĐỘ MUA HÀNG'!$A$4:$AT$4, 0))) = TRIM($B117)) * (TRIM(INDEX('6. TIẾN ĐỘ MUA HÀNG'!$A$5:$AT644, 0, XMATCH("Tháng", '6. TIẾN ĐỘ MUA HÀNG'!$A$4:$AT$4, 0))) = TRIM(I$6)) * (INDEX('6. TIẾN ĐỘ MUA HÀNG'!$A$5:$AT644, 0, XMATCH("Mã đơn Misa", '6. TIẾN ĐỘ MUA HÀNG'!$A$4:$AT$4, 0)) &lt;&gt; ""))</f>
        <v>0</v>
      </c>
      <c r="J117" s="754">
        <f t="array" ref="J117">SUMPRODUCT(
  (INDEX('6. TIẾN ĐỘ MUA HÀNG'!$A$5:$AT644, 0, XMATCH("NCC VTBB/NL trong nước", '6. TIẾN ĐỘ MUA HÀNG'!$A$4:$AT$4, 0)) = $B117) * (TRIM(INDEX('6. TIẾN ĐỘ MUA HÀNG'!$A$5:$AT644, 0, XMATCH("Tháng", '6. TIẾN ĐỘ MUA HÀNG'!$A$4:$AT$4, 0))) = TRIM(I$6)) * (INDEX('6. TIẾN ĐỘ MUA HÀNG'!$A$5:$AT644, 0, XMATCH("CL NGÀY NCC DỰ KIẾN - NGÀY NHẬN HÀNG", '6. TIẾN ĐỘ MUA HÀNG'!$A$4:$AT$4, 0)) &lt; 0)
)</f>
        <v>0</v>
      </c>
      <c r="K117" s="755">
        <f t="shared" si="30"/>
        <v>0</v>
      </c>
      <c r="L117" s="756">
        <f t="array" ref="L117">SUMPRODUCT((TRIM(INDEX('6. TIẾN ĐỘ MUA HÀNG'!$A$5:$AT644, 0, XMATCH("NCC VTBB/NL trong nước", '6. TIẾN ĐỘ MUA HÀNG'!$A$4:$AT$4, 0))) = TRIM($B117)) * (TRIM(INDEX('6. TIẾN ĐỘ MUA HÀNG'!$A$5:$AT644, 0, XMATCH("Tháng", '6. TIẾN ĐỘ MUA HÀNG'!$A$4:$AT$4, 0))) = TRIM(L$6)) * (INDEX('6. TIẾN ĐỘ MUA HÀNG'!$A$5:$AT644, 0, XMATCH("Mã đơn Misa", '6. TIẾN ĐỘ MUA HÀNG'!$A$4:$AT$4, 0)) &lt;&gt; ""))</f>
        <v>0</v>
      </c>
      <c r="M117" s="756">
        <f t="array" ref="M117">SUMPRODUCT(
  (INDEX('6. TIẾN ĐỘ MUA HÀNG'!$A$5:$AT644, 0, XMATCH("NCC VTBB/NL trong nước", '6. TIẾN ĐỘ MUA HÀNG'!$A$4:$AT$4, 0)) = $B117) * (TRIM(INDEX('6. TIẾN ĐỘ MUA HÀNG'!$A$5:$AT644, 0, XMATCH("Tháng", '6. TIẾN ĐỘ MUA HÀNG'!$A$4:$AT$4, 0))) = TRIM(L$6)) * (INDEX('6. TIẾN ĐỘ MUA HÀNG'!$A$5:$AT644, 0, XMATCH("CL NGÀY NCC DỰ KIẾN - NGÀY NHẬN HÀNG", '6. TIẾN ĐỘ MUA HÀNG'!$A$4:$AT$4, 0)) &lt; 0)
)</f>
        <v>0</v>
      </c>
      <c r="N117" s="757">
        <f t="shared" si="17"/>
        <v>0</v>
      </c>
      <c r="O117" s="754">
        <f t="array" ref="O117">SUMPRODUCT((TRIM(INDEX('6. TIẾN ĐỘ MUA HÀNG'!$A$5:$AT644, 0, XMATCH("NCC VTBB/NL trong nước", '6. TIẾN ĐỘ MUA HÀNG'!$A$4:$AT$4, 0))) = TRIM($B117)) * (TRIM(INDEX('6. TIẾN ĐỘ MUA HÀNG'!$A$5:$AT644, 0, XMATCH("Tháng", '6. TIẾN ĐỘ MUA HÀNG'!$A$4:$AT$4, 0))) = TRIM(O$6)) * (INDEX('6. TIẾN ĐỘ MUA HÀNG'!$A$5:$AT644, 0, XMATCH("Mã đơn Misa", '6. TIẾN ĐỘ MUA HÀNG'!$A$4:$AT$4, 0)) &lt;&gt; ""))</f>
        <v>0</v>
      </c>
      <c r="P117" s="754">
        <f t="array" ref="P117">SUMPRODUCT(
  (INDEX('6. TIẾN ĐỘ MUA HÀNG'!$A$5:$AT644, 0, XMATCH("NCC VTBB/NL trong nước", '6. TIẾN ĐỘ MUA HÀNG'!$A$4:$AT$4, 0)) = $B117) * (TRIM(INDEX('6. TIẾN ĐỘ MUA HÀNG'!$A$5:$AT644, 0, XMATCH("Tháng", '6. TIẾN ĐỘ MUA HÀNG'!$A$4:$AT$4, 0))) = TRIM(O$6)) * (INDEX('6. TIẾN ĐỘ MUA HÀNG'!$A$5:$AT644, 0, XMATCH("CL NGÀY NCC DỰ KIẾN - NGÀY NHẬN HÀNG", '6. TIẾN ĐỘ MUA HÀNG'!$A$4:$AT$4, 0)) &lt; 0)
)</f>
        <v>0</v>
      </c>
      <c r="Q117" s="755">
        <f t="shared" si="31"/>
        <v>0</v>
      </c>
      <c r="R117" s="756">
        <f t="array" ref="R117">SUMPRODUCT((TRIM(INDEX('6. TIẾN ĐỘ MUA HÀNG'!$A$5:$AT644, 0, XMATCH("NCC VTBB/NL trong nước", '6. TIẾN ĐỘ MUA HÀNG'!$A$4:$AT$4, 0))) = TRIM($B117)) * (TRIM(INDEX('6. TIẾN ĐỘ MUA HÀNG'!$A$5:$AT644, 0, XMATCH("Tháng", '6. TIẾN ĐỘ MUA HÀNG'!$A$4:$AT$4, 0))) = TRIM(R$6)) * (INDEX('6. TIẾN ĐỘ MUA HÀNG'!$A$5:$AT644, 0, XMATCH("Mã đơn Misa", '6. TIẾN ĐỘ MUA HÀNG'!$A$4:$AT$4, 0)) &lt;&gt; ""))</f>
        <v>0</v>
      </c>
      <c r="S117" s="756">
        <f t="array" ref="S117">SUMPRODUCT(
  (INDEX('6. TIẾN ĐỘ MUA HÀNG'!$A$5:$AT644, 0, XMATCH("NCC VTBB/NL trong nước", '6. TIẾN ĐỘ MUA HÀNG'!$A$4:$AT$4, 0)) = $B117) * (TRIM(INDEX('6. TIẾN ĐỘ MUA HÀNG'!$A$5:$AT644, 0, XMATCH("Tháng", '6. TIẾN ĐỘ MUA HÀNG'!$A$4:$AT$4, 0))) = TRIM(R$6)) * (INDEX('6. TIẾN ĐỘ MUA HÀNG'!$A$5:$AT644, 0, XMATCH("CL NGÀY NCC DỰ KIẾN - NGÀY NHẬN HÀNG", '6. TIẾN ĐỘ MUA HÀNG'!$A$4:$AT$4, 0)) &lt; 0)
)</f>
        <v>0</v>
      </c>
      <c r="T117" s="757">
        <f t="shared" si="19"/>
        <v>0</v>
      </c>
      <c r="U117" s="754">
        <f t="array" ref="U117">SUMPRODUCT((TRIM(INDEX('6. TIẾN ĐỘ MUA HÀNG'!$A$5:$AT644, 0, XMATCH("NCC VTBB/NL trong nước", '6. TIẾN ĐỘ MUA HÀNG'!$A$4:$AT$4, 0))) = TRIM($B117)) * (TRIM(INDEX('6. TIẾN ĐỘ MUA HÀNG'!$A$5:$AT644, 0, XMATCH("Tháng", '6. TIẾN ĐỘ MUA HÀNG'!$A$4:$AT$4, 0))) = TRIM(U$6)) * (INDEX('6. TIẾN ĐỘ MUA HÀNG'!$A$5:$AT644, 0, XMATCH("Mã đơn Misa", '6. TIẾN ĐỘ MUA HÀNG'!$A$4:$AT$4, 0)) &lt;&gt; ""))</f>
        <v>0</v>
      </c>
      <c r="V117" s="754">
        <f t="array" ref="V117">SUMPRODUCT(
  (INDEX('6. TIẾN ĐỘ MUA HÀNG'!$A$5:$AT644, 0, XMATCH("NCC VTBB/NL trong nước", '6. TIẾN ĐỘ MUA HÀNG'!$A$4:$AT$4, 0)) = $B117) * (TRIM(INDEX('6. TIẾN ĐỘ MUA HÀNG'!$A$5:$AT644, 0, XMATCH("Tháng", '6. TIẾN ĐỘ MUA HÀNG'!$A$4:$AT$4, 0))) = TRIM(U$6)) * (INDEX('6. TIẾN ĐỘ MUA HÀNG'!$A$5:$AT644, 0, XMATCH("CL NGÀY NCC DỰ KIẾN - NGÀY NHẬN HÀNG", '6. TIẾN ĐỘ MUA HÀNG'!$A$4:$AT$4, 0)) &lt; 0)
)</f>
        <v>0</v>
      </c>
      <c r="W117" s="755">
        <f t="shared" si="32"/>
        <v>0</v>
      </c>
      <c r="X117" s="756">
        <f t="array" ref="X117">SUMPRODUCT((TRIM(INDEX('6. TIẾN ĐỘ MUA HÀNG'!$A$5:$AT644, 0, XMATCH("NCC VTBB/NL trong nước", '6. TIẾN ĐỘ MUA HÀNG'!$A$4:$AT$4, 0))) = TRIM($B117)) * (TRIM(INDEX('6. TIẾN ĐỘ MUA HÀNG'!$A$5:$AT644, 0, XMATCH("Tháng", '6. TIẾN ĐỘ MUA HÀNG'!$A$4:$AT$4, 0))) = TRIM(X$6)) * (INDEX('6. TIẾN ĐỘ MUA HÀNG'!$A$5:$AT644, 0, XMATCH("Mã đơn Misa", '6. TIẾN ĐỘ MUA HÀNG'!$A$4:$AT$4, 0)) &lt;&gt; ""))</f>
        <v>0</v>
      </c>
      <c r="Y117" s="756">
        <f t="array" ref="Y117">SUMPRODUCT(
  (INDEX('6. TIẾN ĐỘ MUA HÀNG'!$A$5:$AT644, 0, XMATCH("NCC VTBB/NL trong nước", '6. TIẾN ĐỘ MUA HÀNG'!$A$4:$AT$4, 0)) = $B117) * (TRIM(INDEX('6. TIẾN ĐỘ MUA HÀNG'!$A$5:$AT644, 0, XMATCH("Tháng", '6. TIẾN ĐỘ MUA HÀNG'!$A$4:$AT$4, 0))) = TRIM(X$6)) * (INDEX('6. TIẾN ĐỘ MUA HÀNG'!$A$5:$AT644, 0, XMATCH("CL NGÀY NCC DỰ KIẾN - NGÀY NHẬN HÀNG", '6. TIẾN ĐỘ MUA HÀNG'!$A$4:$AT$4, 0)) &lt; 0)
)</f>
        <v>0</v>
      </c>
      <c r="Z117" s="757">
        <f t="shared" si="21"/>
        <v>0</v>
      </c>
      <c r="AA117" s="754">
        <f t="array" ref="AA117">SUMPRODUCT((TRIM(INDEX('6. TIẾN ĐỘ MUA HÀNG'!$A$5:$AT644, 0, XMATCH("NCC VTBB/NL trong nước", '6. TIẾN ĐỘ MUA HÀNG'!$A$4:$AT$4, 0))) = TRIM($B117)) * (TRIM(INDEX('6. TIẾN ĐỘ MUA HÀNG'!$A$5:$AT644, 0, XMATCH("Tháng", '6. TIẾN ĐỘ MUA HÀNG'!$A$4:$AT$4, 0))) = TRIM(AA$6)) * (INDEX('6. TIẾN ĐỘ MUA HÀNG'!$A$5:$AT644, 0, XMATCH("Mã đơn Misa", '6. TIẾN ĐỘ MUA HÀNG'!$A$4:$AT$4, 0)) &lt;&gt; ""))</f>
        <v>0</v>
      </c>
      <c r="AB117" s="754">
        <f t="array" ref="AB117">SUMPRODUCT(
  (INDEX('6. TIẾN ĐỘ MUA HÀNG'!$A$5:$AT644, 0, XMATCH("NCC VTBB/NL trong nước", '6. TIẾN ĐỘ MUA HÀNG'!$A$4:$AT$4, 0)) = $B117) * (TRIM(INDEX('6. TIẾN ĐỘ MUA HÀNG'!$A$5:$AT644, 0, XMATCH("Tháng", '6. TIẾN ĐỘ MUA HÀNG'!$A$4:$AT$4, 0))) = TRIM(AA$6)) * (INDEX('6. TIẾN ĐỘ MUA HÀNG'!$A$5:$AT644, 0, XMATCH("CL NGÀY NCC DỰ KIẾN - NGÀY NHẬN HÀNG", '6. TIẾN ĐỘ MUA HÀNG'!$A$4:$AT$4, 0)) &lt; 0)
)</f>
        <v>0</v>
      </c>
      <c r="AC117" s="755">
        <f t="shared" si="33"/>
        <v>0</v>
      </c>
      <c r="AD117" s="756">
        <f t="array" ref="AD117">SUMPRODUCT((TRIM(INDEX('6. TIẾN ĐỘ MUA HÀNG'!$A$5:$AT644, 0, XMATCH("NCC VTBB/NL trong nước", '6. TIẾN ĐỘ MUA HÀNG'!$A$4:$AT$4, 0))) = TRIM($B117)) * (TRIM(INDEX('6. TIẾN ĐỘ MUA HÀNG'!$A$5:$AT644, 0, XMATCH("Tháng", '6. TIẾN ĐỘ MUA HÀNG'!$A$4:$AT$4, 0))) = TRIM(AD$6)) * (INDEX('6. TIẾN ĐỘ MUA HÀNG'!$A$5:$AT644, 0, XMATCH("Mã đơn Misa", '6. TIẾN ĐỘ MUA HÀNG'!$A$4:$AT$4, 0)) &lt;&gt; ""))</f>
        <v>0</v>
      </c>
      <c r="AE117" s="756">
        <f t="array" ref="AE117">SUMPRODUCT(
  (INDEX('6. TIẾN ĐỘ MUA HÀNG'!$A$5:$AT644, 0, XMATCH("NCC VTBB/NL trong nước", '6. TIẾN ĐỘ MUA HÀNG'!$A$4:$AT$4, 0)) = $B117) * (TRIM(INDEX('6. TIẾN ĐỘ MUA HÀNG'!$A$5:$AT644, 0, XMATCH("Tháng", '6. TIẾN ĐỘ MUA HÀNG'!$A$4:$AT$4, 0))) = TRIM(AD$6)) * (INDEX('6. TIẾN ĐỘ MUA HÀNG'!$A$5:$AT644, 0, XMATCH("CL NGÀY NCC DỰ KIẾN - NGÀY NHẬN HÀNG", '6. TIẾN ĐỘ MUA HÀNG'!$A$4:$AT$4, 0)) &lt; 0)
)</f>
        <v>0</v>
      </c>
      <c r="AF117" s="757">
        <f t="shared" si="23"/>
        <v>0</v>
      </c>
      <c r="AG117" s="754">
        <f t="array" ref="AG117">SUMPRODUCT((TRIM(INDEX('6. TIẾN ĐỘ MUA HÀNG'!$A$5:$AT644, 0, XMATCH("NCC VTBB/NL trong nước", '6. TIẾN ĐỘ MUA HÀNG'!$A$4:$AT$4, 0))) = TRIM($B117)) * (TRIM(INDEX('6. TIẾN ĐỘ MUA HÀNG'!$A$5:$AT644, 0, XMATCH("Tháng", '6. TIẾN ĐỘ MUA HÀNG'!$A$4:$AT$4, 0))) = TRIM(AG$6)) * (INDEX('6. TIẾN ĐỘ MUA HÀNG'!$A$5:$AT644, 0, XMATCH("Mã đơn Misa", '6. TIẾN ĐỘ MUA HÀNG'!$A$4:$AT$4, 0)) &lt;&gt; ""))</f>
        <v>0</v>
      </c>
      <c r="AH117" s="754">
        <f t="array" ref="AH117">SUMPRODUCT(
  (INDEX('6. TIẾN ĐỘ MUA HÀNG'!$A$5:$AT644, 0, XMATCH("NCC VTBB/NL trong nước", '6. TIẾN ĐỘ MUA HÀNG'!$A$4:$AT$4, 0)) = $B117) * (TRIM(INDEX('6. TIẾN ĐỘ MUA HÀNG'!$A$5:$AT644, 0, XMATCH("Tháng", '6. TIẾN ĐỘ MUA HÀNG'!$A$4:$AT$4, 0))) = TRIM(AG$6)) * (INDEX('6. TIẾN ĐỘ MUA HÀNG'!$A$5:$AT644, 0, XMATCH("CL NGÀY NCC DỰ KIẾN - NGÀY NHẬN HÀNG", '6. TIẾN ĐỘ MUA HÀNG'!$A$4:$AT$4, 0)) &lt; 0)
)</f>
        <v>0</v>
      </c>
      <c r="AI117" s="755">
        <f t="shared" si="34"/>
        <v>0</v>
      </c>
      <c r="AJ117" s="756">
        <f t="array" ref="AJ117">SUMPRODUCT((TRIM(INDEX('6. TIẾN ĐỘ MUA HÀNG'!$A$5:$AT644, 0, XMATCH("NCC VTBB/NL trong nước", '6. TIẾN ĐỘ MUA HÀNG'!$A$4:$AT$4, 0))) = TRIM($B117)) * (TRIM(INDEX('6. TIẾN ĐỘ MUA HÀNG'!$A$5:$AT644, 0, XMATCH("Tháng", '6. TIẾN ĐỘ MUA HÀNG'!$A$4:$AT$4, 0))) = TRIM(AJ$6)) * (INDEX('6. TIẾN ĐỘ MUA HÀNG'!$A$5:$AT644, 0, XMATCH("Mã đơn Misa", '6. TIẾN ĐỘ MUA HÀNG'!$A$4:$AT$4, 0)) &lt;&gt; ""))</f>
        <v>0</v>
      </c>
      <c r="AK117" s="756">
        <f t="array" ref="AK117">SUMPRODUCT(
  (INDEX('6. TIẾN ĐỘ MUA HÀNG'!$A$5:$AT644, 0, XMATCH("NCC VTBB/NL trong nước", '6. TIẾN ĐỘ MUA HÀNG'!$A$4:$AT$4, 0)) = $B117) * (TRIM(INDEX('6. TIẾN ĐỘ MUA HÀNG'!$A$5:$AT644, 0, XMATCH("Tháng", '6. TIẾN ĐỘ MUA HÀNG'!$A$4:$AT$4, 0))) = TRIM(AJ$6)) * (INDEX('6. TIẾN ĐỘ MUA HÀNG'!$A$5:$AT644, 0, XMATCH("CL NGÀY NCC DỰ KIẾN - NGÀY NHẬN HÀNG", '6. TIẾN ĐỘ MUA HÀNG'!$A$4:$AT$4, 0)) &lt; 0)
)</f>
        <v>0</v>
      </c>
      <c r="AL117" s="757">
        <f t="shared" si="25"/>
        <v>0</v>
      </c>
      <c r="AM117" s="726">
        <f t="shared" si="27"/>
        <v>0</v>
      </c>
      <c r="AN117" s="726">
        <f t="shared" si="28"/>
        <v>0</v>
      </c>
      <c r="AO117" s="727">
        <f t="shared" si="26"/>
        <v>0</v>
      </c>
    </row>
    <row r="118">
      <c r="A118" s="612">
        <v>110.0</v>
      </c>
      <c r="B118" s="624" t="str">
        <f>IFERROR(__xludf.DUMMYFUNCTION("""COMPUTED_VALUE"""),"Hà Long")</f>
        <v>Hà Long</v>
      </c>
      <c r="C118" s="754">
        <f t="array" ref="C118">SUMPRODUCT((TRIM(INDEX('6. TIẾN ĐỘ MUA HÀNG'!$A$5:$AT644, 0, XMATCH("NCC VTBB/NL trong nước", '6. TIẾN ĐỘ MUA HÀNG'!$A$4:$AT$4, 0))) = TRIM($B118)) * (TRIM(INDEX('6. TIẾN ĐỘ MUA HÀNG'!$A$5:$AT644, 0, XMATCH("Tháng", '6. TIẾN ĐỘ MUA HÀNG'!$A$4:$AT$4, 0))) = TRIM(C$6)) * (INDEX('6. TIẾN ĐỘ MUA HÀNG'!$A$5:$AT644, 0, XMATCH("Mã đơn Misa", '6. TIẾN ĐỘ MUA HÀNG'!$A$4:$AT$4, 0)) &lt;&gt; ""))</f>
        <v>0</v>
      </c>
      <c r="D118" s="754">
        <f t="array" ref="D118">SUMPRODUCT(
  (INDEX('6. TIẾN ĐỘ MUA HÀNG'!$A$5:$AT644, 0, XMATCH("NCC VTBB/NL trong nước", '6. TIẾN ĐỘ MUA HÀNG'!$A$4:$AT$4, 0)) = $B118) * (TRIM(INDEX('6. TIẾN ĐỘ MUA HÀNG'!$A$5:$AT644, 0, XMATCH("Tháng", '6. TIẾN ĐỘ MUA HÀNG'!$A$4:$AT$4, 0))) = TRIM(C$6)) * (INDEX('6. TIẾN ĐỘ MUA HÀNG'!$A$5:$AT644, 0, XMATCH("CL NGÀY NCC DỰ KIẾN - NGÀY NHẬN HÀNG", '6. TIẾN ĐỘ MUA HÀNG'!$A$4:$AT$4, 0)) &lt; 0)
)</f>
        <v>0</v>
      </c>
      <c r="E118" s="755">
        <f t="shared" si="29"/>
        <v>0</v>
      </c>
      <c r="F118" s="756">
        <f t="array" ref="F118">SUMPRODUCT((TRIM(INDEX('6. TIẾN ĐỘ MUA HÀNG'!$A$5:$AT644, 0, XMATCH("NCC VTBB/NL trong nước", '6. TIẾN ĐỘ MUA HÀNG'!$A$4:$AT$4, 0))) = TRIM($B118)) * (TRIM(INDEX('6. TIẾN ĐỘ MUA HÀNG'!$A$5:$AT644, 0, XMATCH("Tháng", '6. TIẾN ĐỘ MUA HÀNG'!$A$4:$AT$4, 0))) = TRIM(F$6)) * (INDEX('6. TIẾN ĐỘ MUA HÀNG'!$A$5:$AT644, 0, XMATCH("Mã đơn Misa", '6. TIẾN ĐỘ MUA HÀNG'!$A$4:$AT$4, 0)) &lt;&gt; ""))</f>
        <v>0</v>
      </c>
      <c r="G118" s="756">
        <f t="array" ref="G118">SUMPRODUCT(
  (INDEX('6. TIẾN ĐỘ MUA HÀNG'!$A$5:$AT644, 0, XMATCH("NCC VTBB/NL trong nước", '6. TIẾN ĐỘ MUA HÀNG'!$A$4:$AT$4, 0)) = $B118) * (TRIM(INDEX('6. TIẾN ĐỘ MUA HÀNG'!$A$5:$AT644, 0, XMATCH("Tháng", '6. TIẾN ĐỘ MUA HÀNG'!$A$4:$AT$4, 0))) = TRIM(F$6)) * (INDEX('6. TIẾN ĐỘ MUA HÀNG'!$A$5:$AT644, 0, XMATCH("CL NGÀY NCC DỰ KIẾN - NGÀY NHẬN HÀNG", '6. TIẾN ĐỘ MUA HÀNG'!$A$4:$AT$4, 0)) &lt; 0)
)</f>
        <v>0</v>
      </c>
      <c r="H118" s="757">
        <f t="shared" si="15"/>
        <v>0</v>
      </c>
      <c r="I118" s="754">
        <f t="array" ref="I118">SUMPRODUCT((TRIM(INDEX('6. TIẾN ĐỘ MUA HÀNG'!$A$5:$AT644, 0, XMATCH("NCC VTBB/NL trong nước", '6. TIẾN ĐỘ MUA HÀNG'!$A$4:$AT$4, 0))) = TRIM($B118)) * (TRIM(INDEX('6. TIẾN ĐỘ MUA HÀNG'!$A$5:$AT644, 0, XMATCH("Tháng", '6. TIẾN ĐỘ MUA HÀNG'!$A$4:$AT$4, 0))) = TRIM(I$6)) * (INDEX('6. TIẾN ĐỘ MUA HÀNG'!$A$5:$AT644, 0, XMATCH("Mã đơn Misa", '6. TIẾN ĐỘ MUA HÀNG'!$A$4:$AT$4, 0)) &lt;&gt; ""))</f>
        <v>0</v>
      </c>
      <c r="J118" s="754">
        <f t="array" ref="J118">SUMPRODUCT(
  (INDEX('6. TIẾN ĐỘ MUA HÀNG'!$A$5:$AT644, 0, XMATCH("NCC VTBB/NL trong nước", '6. TIẾN ĐỘ MUA HÀNG'!$A$4:$AT$4, 0)) = $B118) * (TRIM(INDEX('6. TIẾN ĐỘ MUA HÀNG'!$A$5:$AT644, 0, XMATCH("Tháng", '6. TIẾN ĐỘ MUA HÀNG'!$A$4:$AT$4, 0))) = TRIM(I$6)) * (INDEX('6. TIẾN ĐỘ MUA HÀNG'!$A$5:$AT644, 0, XMATCH("CL NGÀY NCC DỰ KIẾN - NGÀY NHẬN HÀNG", '6. TIẾN ĐỘ MUA HÀNG'!$A$4:$AT$4, 0)) &lt; 0)
)</f>
        <v>0</v>
      </c>
      <c r="K118" s="755">
        <f t="shared" si="30"/>
        <v>0</v>
      </c>
      <c r="L118" s="756">
        <f t="array" ref="L118">SUMPRODUCT((TRIM(INDEX('6. TIẾN ĐỘ MUA HÀNG'!$A$5:$AT644, 0, XMATCH("NCC VTBB/NL trong nước", '6. TIẾN ĐỘ MUA HÀNG'!$A$4:$AT$4, 0))) = TRIM($B118)) * (TRIM(INDEX('6. TIẾN ĐỘ MUA HÀNG'!$A$5:$AT644, 0, XMATCH("Tháng", '6. TIẾN ĐỘ MUA HÀNG'!$A$4:$AT$4, 0))) = TRIM(L$6)) * (INDEX('6. TIẾN ĐỘ MUA HÀNG'!$A$5:$AT644, 0, XMATCH("Mã đơn Misa", '6. TIẾN ĐỘ MUA HÀNG'!$A$4:$AT$4, 0)) &lt;&gt; ""))</f>
        <v>0</v>
      </c>
      <c r="M118" s="756">
        <f t="array" ref="M118">SUMPRODUCT(
  (INDEX('6. TIẾN ĐỘ MUA HÀNG'!$A$5:$AT644, 0, XMATCH("NCC VTBB/NL trong nước", '6. TIẾN ĐỘ MUA HÀNG'!$A$4:$AT$4, 0)) = $B118) * (TRIM(INDEX('6. TIẾN ĐỘ MUA HÀNG'!$A$5:$AT644, 0, XMATCH("Tháng", '6. TIẾN ĐỘ MUA HÀNG'!$A$4:$AT$4, 0))) = TRIM(L$6)) * (INDEX('6. TIẾN ĐỘ MUA HÀNG'!$A$5:$AT644, 0, XMATCH("CL NGÀY NCC DỰ KIẾN - NGÀY NHẬN HÀNG", '6. TIẾN ĐỘ MUA HÀNG'!$A$4:$AT$4, 0)) &lt; 0)
)</f>
        <v>0</v>
      </c>
      <c r="N118" s="757">
        <f t="shared" si="17"/>
        <v>0</v>
      </c>
      <c r="O118" s="754">
        <f t="array" ref="O118">SUMPRODUCT((TRIM(INDEX('6. TIẾN ĐỘ MUA HÀNG'!$A$5:$AT644, 0, XMATCH("NCC VTBB/NL trong nước", '6. TIẾN ĐỘ MUA HÀNG'!$A$4:$AT$4, 0))) = TRIM($B118)) * (TRIM(INDEX('6. TIẾN ĐỘ MUA HÀNG'!$A$5:$AT644, 0, XMATCH("Tháng", '6. TIẾN ĐỘ MUA HÀNG'!$A$4:$AT$4, 0))) = TRIM(O$6)) * (INDEX('6. TIẾN ĐỘ MUA HÀNG'!$A$5:$AT644, 0, XMATCH("Mã đơn Misa", '6. TIẾN ĐỘ MUA HÀNG'!$A$4:$AT$4, 0)) &lt;&gt; ""))</f>
        <v>0</v>
      </c>
      <c r="P118" s="754">
        <f t="array" ref="P118">SUMPRODUCT(
  (INDEX('6. TIẾN ĐỘ MUA HÀNG'!$A$5:$AT644, 0, XMATCH("NCC VTBB/NL trong nước", '6. TIẾN ĐỘ MUA HÀNG'!$A$4:$AT$4, 0)) = $B118) * (TRIM(INDEX('6. TIẾN ĐỘ MUA HÀNG'!$A$5:$AT644, 0, XMATCH("Tháng", '6. TIẾN ĐỘ MUA HÀNG'!$A$4:$AT$4, 0))) = TRIM(O$6)) * (INDEX('6. TIẾN ĐỘ MUA HÀNG'!$A$5:$AT644, 0, XMATCH("CL NGÀY NCC DỰ KIẾN - NGÀY NHẬN HÀNG", '6. TIẾN ĐỘ MUA HÀNG'!$A$4:$AT$4, 0)) &lt; 0)
)</f>
        <v>0</v>
      </c>
      <c r="Q118" s="755">
        <f t="shared" si="31"/>
        <v>0</v>
      </c>
      <c r="R118" s="756">
        <f t="array" ref="R118">SUMPRODUCT((TRIM(INDEX('6. TIẾN ĐỘ MUA HÀNG'!$A$5:$AT644, 0, XMATCH("NCC VTBB/NL trong nước", '6. TIẾN ĐỘ MUA HÀNG'!$A$4:$AT$4, 0))) = TRIM($B118)) * (TRIM(INDEX('6. TIẾN ĐỘ MUA HÀNG'!$A$5:$AT644, 0, XMATCH("Tháng", '6. TIẾN ĐỘ MUA HÀNG'!$A$4:$AT$4, 0))) = TRIM(R$6)) * (INDEX('6. TIẾN ĐỘ MUA HÀNG'!$A$5:$AT644, 0, XMATCH("Mã đơn Misa", '6. TIẾN ĐỘ MUA HÀNG'!$A$4:$AT$4, 0)) &lt;&gt; ""))</f>
        <v>0</v>
      </c>
      <c r="S118" s="756">
        <f t="array" ref="S118">SUMPRODUCT(
  (INDEX('6. TIẾN ĐỘ MUA HÀNG'!$A$5:$AT644, 0, XMATCH("NCC VTBB/NL trong nước", '6. TIẾN ĐỘ MUA HÀNG'!$A$4:$AT$4, 0)) = $B118) * (TRIM(INDEX('6. TIẾN ĐỘ MUA HÀNG'!$A$5:$AT644, 0, XMATCH("Tháng", '6. TIẾN ĐỘ MUA HÀNG'!$A$4:$AT$4, 0))) = TRIM(R$6)) * (INDEX('6. TIẾN ĐỘ MUA HÀNG'!$A$5:$AT644, 0, XMATCH("CL NGÀY NCC DỰ KIẾN - NGÀY NHẬN HÀNG", '6. TIẾN ĐỘ MUA HÀNG'!$A$4:$AT$4, 0)) &lt; 0)
)</f>
        <v>0</v>
      </c>
      <c r="T118" s="757">
        <f t="shared" si="19"/>
        <v>0</v>
      </c>
      <c r="U118" s="754">
        <f t="array" ref="U118">SUMPRODUCT((TRIM(INDEX('6. TIẾN ĐỘ MUA HÀNG'!$A$5:$AT644, 0, XMATCH("NCC VTBB/NL trong nước", '6. TIẾN ĐỘ MUA HÀNG'!$A$4:$AT$4, 0))) = TRIM($B118)) * (TRIM(INDEX('6. TIẾN ĐỘ MUA HÀNG'!$A$5:$AT644, 0, XMATCH("Tháng", '6. TIẾN ĐỘ MUA HÀNG'!$A$4:$AT$4, 0))) = TRIM(U$6)) * (INDEX('6. TIẾN ĐỘ MUA HÀNG'!$A$5:$AT644, 0, XMATCH("Mã đơn Misa", '6. TIẾN ĐỘ MUA HÀNG'!$A$4:$AT$4, 0)) &lt;&gt; ""))</f>
        <v>0</v>
      </c>
      <c r="V118" s="754">
        <f t="array" ref="V118">SUMPRODUCT(
  (INDEX('6. TIẾN ĐỘ MUA HÀNG'!$A$5:$AT644, 0, XMATCH("NCC VTBB/NL trong nước", '6. TIẾN ĐỘ MUA HÀNG'!$A$4:$AT$4, 0)) = $B118) * (TRIM(INDEX('6. TIẾN ĐỘ MUA HÀNG'!$A$5:$AT644, 0, XMATCH("Tháng", '6. TIẾN ĐỘ MUA HÀNG'!$A$4:$AT$4, 0))) = TRIM(U$6)) * (INDEX('6. TIẾN ĐỘ MUA HÀNG'!$A$5:$AT644, 0, XMATCH("CL NGÀY NCC DỰ KIẾN - NGÀY NHẬN HÀNG", '6. TIẾN ĐỘ MUA HÀNG'!$A$4:$AT$4, 0)) &lt; 0)
)</f>
        <v>0</v>
      </c>
      <c r="W118" s="755">
        <f t="shared" si="32"/>
        <v>0</v>
      </c>
      <c r="X118" s="756">
        <f t="array" ref="X118">SUMPRODUCT((TRIM(INDEX('6. TIẾN ĐỘ MUA HÀNG'!$A$5:$AT644, 0, XMATCH("NCC VTBB/NL trong nước", '6. TIẾN ĐỘ MUA HÀNG'!$A$4:$AT$4, 0))) = TRIM($B118)) * (TRIM(INDEX('6. TIẾN ĐỘ MUA HÀNG'!$A$5:$AT644, 0, XMATCH("Tháng", '6. TIẾN ĐỘ MUA HÀNG'!$A$4:$AT$4, 0))) = TRIM(X$6)) * (INDEX('6. TIẾN ĐỘ MUA HÀNG'!$A$5:$AT644, 0, XMATCH("Mã đơn Misa", '6. TIẾN ĐỘ MUA HÀNG'!$A$4:$AT$4, 0)) &lt;&gt; ""))</f>
        <v>0</v>
      </c>
      <c r="Y118" s="756">
        <f t="array" ref="Y118">SUMPRODUCT(
  (INDEX('6. TIẾN ĐỘ MUA HÀNG'!$A$5:$AT644, 0, XMATCH("NCC VTBB/NL trong nước", '6. TIẾN ĐỘ MUA HÀNG'!$A$4:$AT$4, 0)) = $B118) * (TRIM(INDEX('6. TIẾN ĐỘ MUA HÀNG'!$A$5:$AT644, 0, XMATCH("Tháng", '6. TIẾN ĐỘ MUA HÀNG'!$A$4:$AT$4, 0))) = TRIM(X$6)) * (INDEX('6. TIẾN ĐỘ MUA HÀNG'!$A$5:$AT644, 0, XMATCH("CL NGÀY NCC DỰ KIẾN - NGÀY NHẬN HÀNG", '6. TIẾN ĐỘ MUA HÀNG'!$A$4:$AT$4, 0)) &lt; 0)
)</f>
        <v>0</v>
      </c>
      <c r="Z118" s="757">
        <f t="shared" si="21"/>
        <v>0</v>
      </c>
      <c r="AA118" s="754">
        <f t="array" ref="AA118">SUMPRODUCT((TRIM(INDEX('6. TIẾN ĐỘ MUA HÀNG'!$A$5:$AT644, 0, XMATCH("NCC VTBB/NL trong nước", '6. TIẾN ĐỘ MUA HÀNG'!$A$4:$AT$4, 0))) = TRIM($B118)) * (TRIM(INDEX('6. TIẾN ĐỘ MUA HÀNG'!$A$5:$AT644, 0, XMATCH("Tháng", '6. TIẾN ĐỘ MUA HÀNG'!$A$4:$AT$4, 0))) = TRIM(AA$6)) * (INDEX('6. TIẾN ĐỘ MUA HÀNG'!$A$5:$AT644, 0, XMATCH("Mã đơn Misa", '6. TIẾN ĐỘ MUA HÀNG'!$A$4:$AT$4, 0)) &lt;&gt; ""))</f>
        <v>0</v>
      </c>
      <c r="AB118" s="754">
        <f t="array" ref="AB118">SUMPRODUCT(
  (INDEX('6. TIẾN ĐỘ MUA HÀNG'!$A$5:$AT644, 0, XMATCH("NCC VTBB/NL trong nước", '6. TIẾN ĐỘ MUA HÀNG'!$A$4:$AT$4, 0)) = $B118) * (TRIM(INDEX('6. TIẾN ĐỘ MUA HÀNG'!$A$5:$AT644, 0, XMATCH("Tháng", '6. TIẾN ĐỘ MUA HÀNG'!$A$4:$AT$4, 0))) = TRIM(AA$6)) * (INDEX('6. TIẾN ĐỘ MUA HÀNG'!$A$5:$AT644, 0, XMATCH("CL NGÀY NCC DỰ KIẾN - NGÀY NHẬN HÀNG", '6. TIẾN ĐỘ MUA HÀNG'!$A$4:$AT$4, 0)) &lt; 0)
)</f>
        <v>0</v>
      </c>
      <c r="AC118" s="755">
        <f t="shared" si="33"/>
        <v>0</v>
      </c>
      <c r="AD118" s="756">
        <f t="array" ref="AD118">SUMPRODUCT((TRIM(INDEX('6. TIẾN ĐỘ MUA HÀNG'!$A$5:$AT644, 0, XMATCH("NCC VTBB/NL trong nước", '6. TIẾN ĐỘ MUA HÀNG'!$A$4:$AT$4, 0))) = TRIM($B118)) * (TRIM(INDEX('6. TIẾN ĐỘ MUA HÀNG'!$A$5:$AT644, 0, XMATCH("Tháng", '6. TIẾN ĐỘ MUA HÀNG'!$A$4:$AT$4, 0))) = TRIM(AD$6)) * (INDEX('6. TIẾN ĐỘ MUA HÀNG'!$A$5:$AT644, 0, XMATCH("Mã đơn Misa", '6. TIẾN ĐỘ MUA HÀNG'!$A$4:$AT$4, 0)) &lt;&gt; ""))</f>
        <v>0</v>
      </c>
      <c r="AE118" s="756">
        <f t="array" ref="AE118">SUMPRODUCT(
  (INDEX('6. TIẾN ĐỘ MUA HÀNG'!$A$5:$AT644, 0, XMATCH("NCC VTBB/NL trong nước", '6. TIẾN ĐỘ MUA HÀNG'!$A$4:$AT$4, 0)) = $B118) * (TRIM(INDEX('6. TIẾN ĐỘ MUA HÀNG'!$A$5:$AT644, 0, XMATCH("Tháng", '6. TIẾN ĐỘ MUA HÀNG'!$A$4:$AT$4, 0))) = TRIM(AD$6)) * (INDEX('6. TIẾN ĐỘ MUA HÀNG'!$A$5:$AT644, 0, XMATCH("CL NGÀY NCC DỰ KIẾN - NGÀY NHẬN HÀNG", '6. TIẾN ĐỘ MUA HÀNG'!$A$4:$AT$4, 0)) &lt; 0)
)</f>
        <v>0</v>
      </c>
      <c r="AF118" s="757">
        <f t="shared" si="23"/>
        <v>0</v>
      </c>
      <c r="AG118" s="754">
        <f t="array" ref="AG118">SUMPRODUCT((TRIM(INDEX('6. TIẾN ĐỘ MUA HÀNG'!$A$5:$AT644, 0, XMATCH("NCC VTBB/NL trong nước", '6. TIẾN ĐỘ MUA HÀNG'!$A$4:$AT$4, 0))) = TRIM($B118)) * (TRIM(INDEX('6. TIẾN ĐỘ MUA HÀNG'!$A$5:$AT644, 0, XMATCH("Tháng", '6. TIẾN ĐỘ MUA HÀNG'!$A$4:$AT$4, 0))) = TRIM(AG$6)) * (INDEX('6. TIẾN ĐỘ MUA HÀNG'!$A$5:$AT644, 0, XMATCH("Mã đơn Misa", '6. TIẾN ĐỘ MUA HÀNG'!$A$4:$AT$4, 0)) &lt;&gt; ""))</f>
        <v>0</v>
      </c>
      <c r="AH118" s="754">
        <f t="array" ref="AH118">SUMPRODUCT(
  (INDEX('6. TIẾN ĐỘ MUA HÀNG'!$A$5:$AT644, 0, XMATCH("NCC VTBB/NL trong nước", '6. TIẾN ĐỘ MUA HÀNG'!$A$4:$AT$4, 0)) = $B118) * (TRIM(INDEX('6. TIẾN ĐỘ MUA HÀNG'!$A$5:$AT644, 0, XMATCH("Tháng", '6. TIẾN ĐỘ MUA HÀNG'!$A$4:$AT$4, 0))) = TRIM(AG$6)) * (INDEX('6. TIẾN ĐỘ MUA HÀNG'!$A$5:$AT644, 0, XMATCH("CL NGÀY NCC DỰ KIẾN - NGÀY NHẬN HÀNG", '6. TIẾN ĐỘ MUA HÀNG'!$A$4:$AT$4, 0)) &lt; 0)
)</f>
        <v>0</v>
      </c>
      <c r="AI118" s="755">
        <f t="shared" si="34"/>
        <v>0</v>
      </c>
      <c r="AJ118" s="756">
        <f t="array" ref="AJ118">SUMPRODUCT((TRIM(INDEX('6. TIẾN ĐỘ MUA HÀNG'!$A$5:$AT644, 0, XMATCH("NCC VTBB/NL trong nước", '6. TIẾN ĐỘ MUA HÀNG'!$A$4:$AT$4, 0))) = TRIM($B118)) * (TRIM(INDEX('6. TIẾN ĐỘ MUA HÀNG'!$A$5:$AT644, 0, XMATCH("Tháng", '6. TIẾN ĐỘ MUA HÀNG'!$A$4:$AT$4, 0))) = TRIM(AJ$6)) * (INDEX('6. TIẾN ĐỘ MUA HÀNG'!$A$5:$AT644, 0, XMATCH("Mã đơn Misa", '6. TIẾN ĐỘ MUA HÀNG'!$A$4:$AT$4, 0)) &lt;&gt; ""))</f>
        <v>0</v>
      </c>
      <c r="AK118" s="756">
        <f t="array" ref="AK118">SUMPRODUCT(
  (INDEX('6. TIẾN ĐỘ MUA HÀNG'!$A$5:$AT644, 0, XMATCH("NCC VTBB/NL trong nước", '6. TIẾN ĐỘ MUA HÀNG'!$A$4:$AT$4, 0)) = $B118) * (TRIM(INDEX('6. TIẾN ĐỘ MUA HÀNG'!$A$5:$AT644, 0, XMATCH("Tháng", '6. TIẾN ĐỘ MUA HÀNG'!$A$4:$AT$4, 0))) = TRIM(AJ$6)) * (INDEX('6. TIẾN ĐỘ MUA HÀNG'!$A$5:$AT644, 0, XMATCH("CL NGÀY NCC DỰ KIẾN - NGÀY NHẬN HÀNG", '6. TIẾN ĐỘ MUA HÀNG'!$A$4:$AT$4, 0)) &lt; 0)
)</f>
        <v>0</v>
      </c>
      <c r="AL118" s="757">
        <f t="shared" si="25"/>
        <v>0</v>
      </c>
      <c r="AM118" s="726">
        <f t="shared" si="27"/>
        <v>0</v>
      </c>
      <c r="AN118" s="726">
        <f t="shared" si="28"/>
        <v>0</v>
      </c>
      <c r="AO118" s="727">
        <f t="shared" si="26"/>
        <v>0</v>
      </c>
    </row>
    <row r="119">
      <c r="A119" s="612">
        <v>111.0</v>
      </c>
      <c r="B119" s="624" t="str">
        <f>IFERROR(__xludf.DUMMYFUNCTION("""COMPUTED_VALUE"""),"Âu Việt")</f>
        <v>Âu Việt</v>
      </c>
      <c r="C119" s="754">
        <f t="array" ref="C119">SUMPRODUCT((TRIM(INDEX('6. TIẾN ĐỘ MUA HÀNG'!$A$5:$AT644, 0, XMATCH("NCC VTBB/NL trong nước", '6. TIẾN ĐỘ MUA HÀNG'!$A$4:$AT$4, 0))) = TRIM($B119)) * (TRIM(INDEX('6. TIẾN ĐỘ MUA HÀNG'!$A$5:$AT644, 0, XMATCH("Tháng", '6. TIẾN ĐỘ MUA HÀNG'!$A$4:$AT$4, 0))) = TRIM(C$6)) * (INDEX('6. TIẾN ĐỘ MUA HÀNG'!$A$5:$AT644, 0, XMATCH("Mã đơn Misa", '6. TIẾN ĐỘ MUA HÀNG'!$A$4:$AT$4, 0)) &lt;&gt; ""))</f>
        <v>0</v>
      </c>
      <c r="D119" s="754">
        <f t="array" ref="D119">SUMPRODUCT(
  (INDEX('6. TIẾN ĐỘ MUA HÀNG'!$A$5:$AT644, 0, XMATCH("NCC VTBB/NL trong nước", '6. TIẾN ĐỘ MUA HÀNG'!$A$4:$AT$4, 0)) = $B119) * (TRIM(INDEX('6. TIẾN ĐỘ MUA HÀNG'!$A$5:$AT644, 0, XMATCH("Tháng", '6. TIẾN ĐỘ MUA HÀNG'!$A$4:$AT$4, 0))) = TRIM(C$6)) * (INDEX('6. TIẾN ĐỘ MUA HÀNG'!$A$5:$AT644, 0, XMATCH("CL NGÀY NCC DỰ KIẾN - NGÀY NHẬN HÀNG", '6. TIẾN ĐỘ MUA HÀNG'!$A$4:$AT$4, 0)) &lt; 0)
)</f>
        <v>0</v>
      </c>
      <c r="E119" s="755">
        <f t="shared" si="29"/>
        <v>0</v>
      </c>
      <c r="F119" s="756">
        <f t="array" ref="F119">SUMPRODUCT((TRIM(INDEX('6. TIẾN ĐỘ MUA HÀNG'!$A$5:$AT644, 0, XMATCH("NCC VTBB/NL trong nước", '6. TIẾN ĐỘ MUA HÀNG'!$A$4:$AT$4, 0))) = TRIM($B119)) * (TRIM(INDEX('6. TIẾN ĐỘ MUA HÀNG'!$A$5:$AT644, 0, XMATCH("Tháng", '6. TIẾN ĐỘ MUA HÀNG'!$A$4:$AT$4, 0))) = TRIM(F$6)) * (INDEX('6. TIẾN ĐỘ MUA HÀNG'!$A$5:$AT644, 0, XMATCH("Mã đơn Misa", '6. TIẾN ĐỘ MUA HÀNG'!$A$4:$AT$4, 0)) &lt;&gt; ""))</f>
        <v>0</v>
      </c>
      <c r="G119" s="756">
        <f t="array" ref="G119">SUMPRODUCT(
  (INDEX('6. TIẾN ĐỘ MUA HÀNG'!$A$5:$AT644, 0, XMATCH("NCC VTBB/NL trong nước", '6. TIẾN ĐỘ MUA HÀNG'!$A$4:$AT$4, 0)) = $B119) * (TRIM(INDEX('6. TIẾN ĐỘ MUA HÀNG'!$A$5:$AT644, 0, XMATCH("Tháng", '6. TIẾN ĐỘ MUA HÀNG'!$A$4:$AT$4, 0))) = TRIM(F$6)) * (INDEX('6. TIẾN ĐỘ MUA HÀNG'!$A$5:$AT644, 0, XMATCH("CL NGÀY NCC DỰ KIẾN - NGÀY NHẬN HÀNG", '6. TIẾN ĐỘ MUA HÀNG'!$A$4:$AT$4, 0)) &lt; 0)
)</f>
        <v>0</v>
      </c>
      <c r="H119" s="757">
        <f t="shared" si="15"/>
        <v>0</v>
      </c>
      <c r="I119" s="754">
        <f t="array" ref="I119">SUMPRODUCT((TRIM(INDEX('6. TIẾN ĐỘ MUA HÀNG'!$A$5:$AT644, 0, XMATCH("NCC VTBB/NL trong nước", '6. TIẾN ĐỘ MUA HÀNG'!$A$4:$AT$4, 0))) = TRIM($B119)) * (TRIM(INDEX('6. TIẾN ĐỘ MUA HÀNG'!$A$5:$AT644, 0, XMATCH("Tháng", '6. TIẾN ĐỘ MUA HÀNG'!$A$4:$AT$4, 0))) = TRIM(I$6)) * (INDEX('6. TIẾN ĐỘ MUA HÀNG'!$A$5:$AT644, 0, XMATCH("Mã đơn Misa", '6. TIẾN ĐỘ MUA HÀNG'!$A$4:$AT$4, 0)) &lt;&gt; ""))</f>
        <v>0</v>
      </c>
      <c r="J119" s="754">
        <f t="array" ref="J119">SUMPRODUCT(
  (INDEX('6. TIẾN ĐỘ MUA HÀNG'!$A$5:$AT644, 0, XMATCH("NCC VTBB/NL trong nước", '6. TIẾN ĐỘ MUA HÀNG'!$A$4:$AT$4, 0)) = $B119) * (TRIM(INDEX('6. TIẾN ĐỘ MUA HÀNG'!$A$5:$AT644, 0, XMATCH("Tháng", '6. TIẾN ĐỘ MUA HÀNG'!$A$4:$AT$4, 0))) = TRIM(I$6)) * (INDEX('6. TIẾN ĐỘ MUA HÀNG'!$A$5:$AT644, 0, XMATCH("CL NGÀY NCC DỰ KIẾN - NGÀY NHẬN HÀNG", '6. TIẾN ĐỘ MUA HÀNG'!$A$4:$AT$4, 0)) &lt; 0)
)</f>
        <v>0</v>
      </c>
      <c r="K119" s="755">
        <f t="shared" si="30"/>
        <v>0</v>
      </c>
      <c r="L119" s="756">
        <f t="array" ref="L119">SUMPRODUCT((TRIM(INDEX('6. TIẾN ĐỘ MUA HÀNG'!$A$5:$AT644, 0, XMATCH("NCC VTBB/NL trong nước", '6. TIẾN ĐỘ MUA HÀNG'!$A$4:$AT$4, 0))) = TRIM($B119)) * (TRIM(INDEX('6. TIẾN ĐỘ MUA HÀNG'!$A$5:$AT644, 0, XMATCH("Tháng", '6. TIẾN ĐỘ MUA HÀNG'!$A$4:$AT$4, 0))) = TRIM(L$6)) * (INDEX('6. TIẾN ĐỘ MUA HÀNG'!$A$5:$AT644, 0, XMATCH("Mã đơn Misa", '6. TIẾN ĐỘ MUA HÀNG'!$A$4:$AT$4, 0)) &lt;&gt; ""))</f>
        <v>0</v>
      </c>
      <c r="M119" s="756">
        <f t="array" ref="M119">SUMPRODUCT(
  (INDEX('6. TIẾN ĐỘ MUA HÀNG'!$A$5:$AT644, 0, XMATCH("NCC VTBB/NL trong nước", '6. TIẾN ĐỘ MUA HÀNG'!$A$4:$AT$4, 0)) = $B119) * (TRIM(INDEX('6. TIẾN ĐỘ MUA HÀNG'!$A$5:$AT644, 0, XMATCH("Tháng", '6. TIẾN ĐỘ MUA HÀNG'!$A$4:$AT$4, 0))) = TRIM(L$6)) * (INDEX('6. TIẾN ĐỘ MUA HÀNG'!$A$5:$AT644, 0, XMATCH("CL NGÀY NCC DỰ KIẾN - NGÀY NHẬN HÀNG", '6. TIẾN ĐỘ MUA HÀNG'!$A$4:$AT$4, 0)) &lt; 0)
)</f>
        <v>0</v>
      </c>
      <c r="N119" s="757">
        <f t="shared" si="17"/>
        <v>0</v>
      </c>
      <c r="O119" s="754">
        <f t="array" ref="O119">SUMPRODUCT((TRIM(INDEX('6. TIẾN ĐỘ MUA HÀNG'!$A$5:$AT644, 0, XMATCH("NCC VTBB/NL trong nước", '6. TIẾN ĐỘ MUA HÀNG'!$A$4:$AT$4, 0))) = TRIM($B119)) * (TRIM(INDEX('6. TIẾN ĐỘ MUA HÀNG'!$A$5:$AT644, 0, XMATCH("Tháng", '6. TIẾN ĐỘ MUA HÀNG'!$A$4:$AT$4, 0))) = TRIM(O$6)) * (INDEX('6. TIẾN ĐỘ MUA HÀNG'!$A$5:$AT644, 0, XMATCH("Mã đơn Misa", '6. TIẾN ĐỘ MUA HÀNG'!$A$4:$AT$4, 0)) &lt;&gt; ""))</f>
        <v>0</v>
      </c>
      <c r="P119" s="754">
        <f t="array" ref="P119">SUMPRODUCT(
  (INDEX('6. TIẾN ĐỘ MUA HÀNG'!$A$5:$AT644, 0, XMATCH("NCC VTBB/NL trong nước", '6. TIẾN ĐỘ MUA HÀNG'!$A$4:$AT$4, 0)) = $B119) * (TRIM(INDEX('6. TIẾN ĐỘ MUA HÀNG'!$A$5:$AT644, 0, XMATCH("Tháng", '6. TIẾN ĐỘ MUA HÀNG'!$A$4:$AT$4, 0))) = TRIM(O$6)) * (INDEX('6. TIẾN ĐỘ MUA HÀNG'!$A$5:$AT644, 0, XMATCH("CL NGÀY NCC DỰ KIẾN - NGÀY NHẬN HÀNG", '6. TIẾN ĐỘ MUA HÀNG'!$A$4:$AT$4, 0)) &lt; 0)
)</f>
        <v>0</v>
      </c>
      <c r="Q119" s="755">
        <f t="shared" si="31"/>
        <v>0</v>
      </c>
      <c r="R119" s="756">
        <f t="array" ref="R119">SUMPRODUCT((TRIM(INDEX('6. TIẾN ĐỘ MUA HÀNG'!$A$5:$AT644, 0, XMATCH("NCC VTBB/NL trong nước", '6. TIẾN ĐỘ MUA HÀNG'!$A$4:$AT$4, 0))) = TRIM($B119)) * (TRIM(INDEX('6. TIẾN ĐỘ MUA HÀNG'!$A$5:$AT644, 0, XMATCH("Tháng", '6. TIẾN ĐỘ MUA HÀNG'!$A$4:$AT$4, 0))) = TRIM(R$6)) * (INDEX('6. TIẾN ĐỘ MUA HÀNG'!$A$5:$AT644, 0, XMATCH("Mã đơn Misa", '6. TIẾN ĐỘ MUA HÀNG'!$A$4:$AT$4, 0)) &lt;&gt; ""))</f>
        <v>0</v>
      </c>
      <c r="S119" s="756">
        <f t="array" ref="S119">SUMPRODUCT(
  (INDEX('6. TIẾN ĐỘ MUA HÀNG'!$A$5:$AT644, 0, XMATCH("NCC VTBB/NL trong nước", '6. TIẾN ĐỘ MUA HÀNG'!$A$4:$AT$4, 0)) = $B119) * (TRIM(INDEX('6. TIẾN ĐỘ MUA HÀNG'!$A$5:$AT644, 0, XMATCH("Tháng", '6. TIẾN ĐỘ MUA HÀNG'!$A$4:$AT$4, 0))) = TRIM(R$6)) * (INDEX('6. TIẾN ĐỘ MUA HÀNG'!$A$5:$AT644, 0, XMATCH("CL NGÀY NCC DỰ KIẾN - NGÀY NHẬN HÀNG", '6. TIẾN ĐỘ MUA HÀNG'!$A$4:$AT$4, 0)) &lt; 0)
)</f>
        <v>0</v>
      </c>
      <c r="T119" s="757">
        <f t="shared" si="19"/>
        <v>0</v>
      </c>
      <c r="U119" s="754">
        <f t="array" ref="U119">SUMPRODUCT((TRIM(INDEX('6. TIẾN ĐỘ MUA HÀNG'!$A$5:$AT644, 0, XMATCH("NCC VTBB/NL trong nước", '6. TIẾN ĐỘ MUA HÀNG'!$A$4:$AT$4, 0))) = TRIM($B119)) * (TRIM(INDEX('6. TIẾN ĐỘ MUA HÀNG'!$A$5:$AT644, 0, XMATCH("Tháng", '6. TIẾN ĐỘ MUA HÀNG'!$A$4:$AT$4, 0))) = TRIM(U$6)) * (INDEX('6. TIẾN ĐỘ MUA HÀNG'!$A$5:$AT644, 0, XMATCH("Mã đơn Misa", '6. TIẾN ĐỘ MUA HÀNG'!$A$4:$AT$4, 0)) &lt;&gt; ""))</f>
        <v>0</v>
      </c>
      <c r="V119" s="754">
        <f t="array" ref="V119">SUMPRODUCT(
  (INDEX('6. TIẾN ĐỘ MUA HÀNG'!$A$5:$AT644, 0, XMATCH("NCC VTBB/NL trong nước", '6. TIẾN ĐỘ MUA HÀNG'!$A$4:$AT$4, 0)) = $B119) * (TRIM(INDEX('6. TIẾN ĐỘ MUA HÀNG'!$A$5:$AT644, 0, XMATCH("Tháng", '6. TIẾN ĐỘ MUA HÀNG'!$A$4:$AT$4, 0))) = TRIM(U$6)) * (INDEX('6. TIẾN ĐỘ MUA HÀNG'!$A$5:$AT644, 0, XMATCH("CL NGÀY NCC DỰ KIẾN - NGÀY NHẬN HÀNG", '6. TIẾN ĐỘ MUA HÀNG'!$A$4:$AT$4, 0)) &lt; 0)
)</f>
        <v>0</v>
      </c>
      <c r="W119" s="755">
        <f t="shared" si="32"/>
        <v>0</v>
      </c>
      <c r="X119" s="756">
        <f t="array" ref="X119">SUMPRODUCT((TRIM(INDEX('6. TIẾN ĐỘ MUA HÀNG'!$A$5:$AT644, 0, XMATCH("NCC VTBB/NL trong nước", '6. TIẾN ĐỘ MUA HÀNG'!$A$4:$AT$4, 0))) = TRIM($B119)) * (TRIM(INDEX('6. TIẾN ĐỘ MUA HÀNG'!$A$5:$AT644, 0, XMATCH("Tháng", '6. TIẾN ĐỘ MUA HÀNG'!$A$4:$AT$4, 0))) = TRIM(X$6)) * (INDEX('6. TIẾN ĐỘ MUA HÀNG'!$A$5:$AT644, 0, XMATCH("Mã đơn Misa", '6. TIẾN ĐỘ MUA HÀNG'!$A$4:$AT$4, 0)) &lt;&gt; ""))</f>
        <v>0</v>
      </c>
      <c r="Y119" s="756">
        <f t="array" ref="Y119">SUMPRODUCT(
  (INDEX('6. TIẾN ĐỘ MUA HÀNG'!$A$5:$AT644, 0, XMATCH("NCC VTBB/NL trong nước", '6. TIẾN ĐỘ MUA HÀNG'!$A$4:$AT$4, 0)) = $B119) * (TRIM(INDEX('6. TIẾN ĐỘ MUA HÀNG'!$A$5:$AT644, 0, XMATCH("Tháng", '6. TIẾN ĐỘ MUA HÀNG'!$A$4:$AT$4, 0))) = TRIM(X$6)) * (INDEX('6. TIẾN ĐỘ MUA HÀNG'!$A$5:$AT644, 0, XMATCH("CL NGÀY NCC DỰ KIẾN - NGÀY NHẬN HÀNG", '6. TIẾN ĐỘ MUA HÀNG'!$A$4:$AT$4, 0)) &lt; 0)
)</f>
        <v>0</v>
      </c>
      <c r="Z119" s="757">
        <f t="shared" si="21"/>
        <v>0</v>
      </c>
      <c r="AA119" s="754">
        <f t="array" ref="AA119">SUMPRODUCT((TRIM(INDEX('6. TIẾN ĐỘ MUA HÀNG'!$A$5:$AT644, 0, XMATCH("NCC VTBB/NL trong nước", '6. TIẾN ĐỘ MUA HÀNG'!$A$4:$AT$4, 0))) = TRIM($B119)) * (TRIM(INDEX('6. TIẾN ĐỘ MUA HÀNG'!$A$5:$AT644, 0, XMATCH("Tháng", '6. TIẾN ĐỘ MUA HÀNG'!$A$4:$AT$4, 0))) = TRIM(AA$6)) * (INDEX('6. TIẾN ĐỘ MUA HÀNG'!$A$5:$AT644, 0, XMATCH("Mã đơn Misa", '6. TIẾN ĐỘ MUA HÀNG'!$A$4:$AT$4, 0)) &lt;&gt; ""))</f>
        <v>0</v>
      </c>
      <c r="AB119" s="754">
        <f t="array" ref="AB119">SUMPRODUCT(
  (INDEX('6. TIẾN ĐỘ MUA HÀNG'!$A$5:$AT644, 0, XMATCH("NCC VTBB/NL trong nước", '6. TIẾN ĐỘ MUA HÀNG'!$A$4:$AT$4, 0)) = $B119) * (TRIM(INDEX('6. TIẾN ĐỘ MUA HÀNG'!$A$5:$AT644, 0, XMATCH("Tháng", '6. TIẾN ĐỘ MUA HÀNG'!$A$4:$AT$4, 0))) = TRIM(AA$6)) * (INDEX('6. TIẾN ĐỘ MUA HÀNG'!$A$5:$AT644, 0, XMATCH("CL NGÀY NCC DỰ KIẾN - NGÀY NHẬN HÀNG", '6. TIẾN ĐỘ MUA HÀNG'!$A$4:$AT$4, 0)) &lt; 0)
)</f>
        <v>0</v>
      </c>
      <c r="AC119" s="755">
        <f t="shared" si="33"/>
        <v>0</v>
      </c>
      <c r="AD119" s="756">
        <f t="array" ref="AD119">SUMPRODUCT((TRIM(INDEX('6. TIẾN ĐỘ MUA HÀNG'!$A$5:$AT644, 0, XMATCH("NCC VTBB/NL trong nước", '6. TIẾN ĐỘ MUA HÀNG'!$A$4:$AT$4, 0))) = TRIM($B119)) * (TRIM(INDEX('6. TIẾN ĐỘ MUA HÀNG'!$A$5:$AT644, 0, XMATCH("Tháng", '6. TIẾN ĐỘ MUA HÀNG'!$A$4:$AT$4, 0))) = TRIM(AD$6)) * (INDEX('6. TIẾN ĐỘ MUA HÀNG'!$A$5:$AT644, 0, XMATCH("Mã đơn Misa", '6. TIẾN ĐỘ MUA HÀNG'!$A$4:$AT$4, 0)) &lt;&gt; ""))</f>
        <v>0</v>
      </c>
      <c r="AE119" s="756">
        <f t="array" ref="AE119">SUMPRODUCT(
  (INDEX('6. TIẾN ĐỘ MUA HÀNG'!$A$5:$AT644, 0, XMATCH("NCC VTBB/NL trong nước", '6. TIẾN ĐỘ MUA HÀNG'!$A$4:$AT$4, 0)) = $B119) * (TRIM(INDEX('6. TIẾN ĐỘ MUA HÀNG'!$A$5:$AT644, 0, XMATCH("Tháng", '6. TIẾN ĐỘ MUA HÀNG'!$A$4:$AT$4, 0))) = TRIM(AD$6)) * (INDEX('6. TIẾN ĐỘ MUA HÀNG'!$A$5:$AT644, 0, XMATCH("CL NGÀY NCC DỰ KIẾN - NGÀY NHẬN HÀNG", '6. TIẾN ĐỘ MUA HÀNG'!$A$4:$AT$4, 0)) &lt; 0)
)</f>
        <v>0</v>
      </c>
      <c r="AF119" s="757">
        <f t="shared" si="23"/>
        <v>0</v>
      </c>
      <c r="AG119" s="754">
        <f t="array" ref="AG119">SUMPRODUCT((TRIM(INDEX('6. TIẾN ĐỘ MUA HÀNG'!$A$5:$AT644, 0, XMATCH("NCC VTBB/NL trong nước", '6. TIẾN ĐỘ MUA HÀNG'!$A$4:$AT$4, 0))) = TRIM($B119)) * (TRIM(INDEX('6. TIẾN ĐỘ MUA HÀNG'!$A$5:$AT644, 0, XMATCH("Tháng", '6. TIẾN ĐỘ MUA HÀNG'!$A$4:$AT$4, 0))) = TRIM(AG$6)) * (INDEX('6. TIẾN ĐỘ MUA HÀNG'!$A$5:$AT644, 0, XMATCH("Mã đơn Misa", '6. TIẾN ĐỘ MUA HÀNG'!$A$4:$AT$4, 0)) &lt;&gt; ""))</f>
        <v>0</v>
      </c>
      <c r="AH119" s="754">
        <f t="array" ref="AH119">SUMPRODUCT(
  (INDEX('6. TIẾN ĐỘ MUA HÀNG'!$A$5:$AT644, 0, XMATCH("NCC VTBB/NL trong nước", '6. TIẾN ĐỘ MUA HÀNG'!$A$4:$AT$4, 0)) = $B119) * (TRIM(INDEX('6. TIẾN ĐỘ MUA HÀNG'!$A$5:$AT644, 0, XMATCH("Tháng", '6. TIẾN ĐỘ MUA HÀNG'!$A$4:$AT$4, 0))) = TRIM(AG$6)) * (INDEX('6. TIẾN ĐỘ MUA HÀNG'!$A$5:$AT644, 0, XMATCH("CL NGÀY NCC DỰ KIẾN - NGÀY NHẬN HÀNG", '6. TIẾN ĐỘ MUA HÀNG'!$A$4:$AT$4, 0)) &lt; 0)
)</f>
        <v>0</v>
      </c>
      <c r="AI119" s="755">
        <f t="shared" si="34"/>
        <v>0</v>
      </c>
      <c r="AJ119" s="756">
        <f t="array" ref="AJ119">SUMPRODUCT((TRIM(INDEX('6. TIẾN ĐỘ MUA HÀNG'!$A$5:$AT644, 0, XMATCH("NCC VTBB/NL trong nước", '6. TIẾN ĐỘ MUA HÀNG'!$A$4:$AT$4, 0))) = TRIM($B119)) * (TRIM(INDEX('6. TIẾN ĐỘ MUA HÀNG'!$A$5:$AT644, 0, XMATCH("Tháng", '6. TIẾN ĐỘ MUA HÀNG'!$A$4:$AT$4, 0))) = TRIM(AJ$6)) * (INDEX('6. TIẾN ĐỘ MUA HÀNG'!$A$5:$AT644, 0, XMATCH("Mã đơn Misa", '6. TIẾN ĐỘ MUA HÀNG'!$A$4:$AT$4, 0)) &lt;&gt; ""))</f>
        <v>0</v>
      </c>
      <c r="AK119" s="756">
        <f t="array" ref="AK119">SUMPRODUCT(
  (INDEX('6. TIẾN ĐỘ MUA HÀNG'!$A$5:$AT644, 0, XMATCH("NCC VTBB/NL trong nước", '6. TIẾN ĐỘ MUA HÀNG'!$A$4:$AT$4, 0)) = $B119) * (TRIM(INDEX('6. TIẾN ĐỘ MUA HÀNG'!$A$5:$AT644, 0, XMATCH("Tháng", '6. TIẾN ĐỘ MUA HÀNG'!$A$4:$AT$4, 0))) = TRIM(AJ$6)) * (INDEX('6. TIẾN ĐỘ MUA HÀNG'!$A$5:$AT644, 0, XMATCH("CL NGÀY NCC DỰ KIẾN - NGÀY NHẬN HÀNG", '6. TIẾN ĐỘ MUA HÀNG'!$A$4:$AT$4, 0)) &lt; 0)
)</f>
        <v>0</v>
      </c>
      <c r="AL119" s="757">
        <f t="shared" si="25"/>
        <v>0</v>
      </c>
      <c r="AM119" s="726">
        <f t="shared" si="27"/>
        <v>0</v>
      </c>
      <c r="AN119" s="726">
        <f t="shared" si="28"/>
        <v>0</v>
      </c>
      <c r="AO119" s="727">
        <f t="shared" si="26"/>
        <v>0</v>
      </c>
    </row>
    <row r="120">
      <c r="A120" s="612">
        <v>112.0</v>
      </c>
      <c r="B120" s="624" t="str">
        <f>IFERROR(__xludf.DUMMYFUNCTION("""COMPUTED_VALUE"""),"Basel")</f>
        <v>Basel</v>
      </c>
      <c r="C120" s="754">
        <f t="array" ref="C120">SUMPRODUCT((TRIM(INDEX('6. TIẾN ĐỘ MUA HÀNG'!$A$5:$AT644, 0, XMATCH("NCC VTBB/NL trong nước", '6. TIẾN ĐỘ MUA HÀNG'!$A$4:$AT$4, 0))) = TRIM($B120)) * (TRIM(INDEX('6. TIẾN ĐỘ MUA HÀNG'!$A$5:$AT644, 0, XMATCH("Tháng", '6. TIẾN ĐỘ MUA HÀNG'!$A$4:$AT$4, 0))) = TRIM(C$6)) * (INDEX('6. TIẾN ĐỘ MUA HÀNG'!$A$5:$AT644, 0, XMATCH("Mã đơn Misa", '6. TIẾN ĐỘ MUA HÀNG'!$A$4:$AT$4, 0)) &lt;&gt; ""))</f>
        <v>0</v>
      </c>
      <c r="D120" s="754">
        <f t="array" ref="D120">SUMPRODUCT(
  (INDEX('6. TIẾN ĐỘ MUA HÀNG'!$A$5:$AT644, 0, XMATCH("NCC VTBB/NL trong nước", '6. TIẾN ĐỘ MUA HÀNG'!$A$4:$AT$4, 0)) = $B120) * (TRIM(INDEX('6. TIẾN ĐỘ MUA HÀNG'!$A$5:$AT644, 0, XMATCH("Tháng", '6. TIẾN ĐỘ MUA HÀNG'!$A$4:$AT$4, 0))) = TRIM(C$6)) * (INDEX('6. TIẾN ĐỘ MUA HÀNG'!$A$5:$AT644, 0, XMATCH("CL NGÀY NCC DỰ KIẾN - NGÀY NHẬN HÀNG", '6. TIẾN ĐỘ MUA HÀNG'!$A$4:$AT$4, 0)) &lt; 0)
)</f>
        <v>0</v>
      </c>
      <c r="E120" s="755">
        <f t="shared" si="29"/>
        <v>0</v>
      </c>
      <c r="F120" s="756">
        <f t="array" ref="F120">SUMPRODUCT((TRIM(INDEX('6. TIẾN ĐỘ MUA HÀNG'!$A$5:$AT644, 0, XMATCH("NCC VTBB/NL trong nước", '6. TIẾN ĐỘ MUA HÀNG'!$A$4:$AT$4, 0))) = TRIM($B120)) * (TRIM(INDEX('6. TIẾN ĐỘ MUA HÀNG'!$A$5:$AT644, 0, XMATCH("Tháng", '6. TIẾN ĐỘ MUA HÀNG'!$A$4:$AT$4, 0))) = TRIM(F$6)) * (INDEX('6. TIẾN ĐỘ MUA HÀNG'!$A$5:$AT644, 0, XMATCH("Mã đơn Misa", '6. TIẾN ĐỘ MUA HÀNG'!$A$4:$AT$4, 0)) &lt;&gt; ""))</f>
        <v>0</v>
      </c>
      <c r="G120" s="756">
        <f t="array" ref="G120">SUMPRODUCT(
  (INDEX('6. TIẾN ĐỘ MUA HÀNG'!$A$5:$AT644, 0, XMATCH("NCC VTBB/NL trong nước", '6. TIẾN ĐỘ MUA HÀNG'!$A$4:$AT$4, 0)) = $B120) * (TRIM(INDEX('6. TIẾN ĐỘ MUA HÀNG'!$A$5:$AT644, 0, XMATCH("Tháng", '6. TIẾN ĐỘ MUA HÀNG'!$A$4:$AT$4, 0))) = TRIM(F$6)) * (INDEX('6. TIẾN ĐỘ MUA HÀNG'!$A$5:$AT644, 0, XMATCH("CL NGÀY NCC DỰ KIẾN - NGÀY NHẬN HÀNG", '6. TIẾN ĐỘ MUA HÀNG'!$A$4:$AT$4, 0)) &lt; 0)
)</f>
        <v>0</v>
      </c>
      <c r="H120" s="757">
        <f t="shared" si="15"/>
        <v>0</v>
      </c>
      <c r="I120" s="754">
        <f t="array" ref="I120">SUMPRODUCT((TRIM(INDEX('6. TIẾN ĐỘ MUA HÀNG'!$A$5:$AT644, 0, XMATCH("NCC VTBB/NL trong nước", '6. TIẾN ĐỘ MUA HÀNG'!$A$4:$AT$4, 0))) = TRIM($B120)) * (TRIM(INDEX('6. TIẾN ĐỘ MUA HÀNG'!$A$5:$AT644, 0, XMATCH("Tháng", '6. TIẾN ĐỘ MUA HÀNG'!$A$4:$AT$4, 0))) = TRIM(I$6)) * (INDEX('6. TIẾN ĐỘ MUA HÀNG'!$A$5:$AT644, 0, XMATCH("Mã đơn Misa", '6. TIẾN ĐỘ MUA HÀNG'!$A$4:$AT$4, 0)) &lt;&gt; ""))</f>
        <v>0</v>
      </c>
      <c r="J120" s="754">
        <f t="array" ref="J120">SUMPRODUCT(
  (INDEX('6. TIẾN ĐỘ MUA HÀNG'!$A$5:$AT644, 0, XMATCH("NCC VTBB/NL trong nước", '6. TIẾN ĐỘ MUA HÀNG'!$A$4:$AT$4, 0)) = $B120) * (TRIM(INDEX('6. TIẾN ĐỘ MUA HÀNG'!$A$5:$AT644, 0, XMATCH("Tháng", '6. TIẾN ĐỘ MUA HÀNG'!$A$4:$AT$4, 0))) = TRIM(I$6)) * (INDEX('6. TIẾN ĐỘ MUA HÀNG'!$A$5:$AT644, 0, XMATCH("CL NGÀY NCC DỰ KIẾN - NGÀY NHẬN HÀNG", '6. TIẾN ĐỘ MUA HÀNG'!$A$4:$AT$4, 0)) &lt; 0)
)</f>
        <v>0</v>
      </c>
      <c r="K120" s="755">
        <f t="shared" si="30"/>
        <v>0</v>
      </c>
      <c r="L120" s="756">
        <f t="array" ref="L120">SUMPRODUCT((TRIM(INDEX('6. TIẾN ĐỘ MUA HÀNG'!$A$5:$AT644, 0, XMATCH("NCC VTBB/NL trong nước", '6. TIẾN ĐỘ MUA HÀNG'!$A$4:$AT$4, 0))) = TRIM($B120)) * (TRIM(INDEX('6. TIẾN ĐỘ MUA HÀNG'!$A$5:$AT644, 0, XMATCH("Tháng", '6. TIẾN ĐỘ MUA HÀNG'!$A$4:$AT$4, 0))) = TRIM(L$6)) * (INDEX('6. TIẾN ĐỘ MUA HÀNG'!$A$5:$AT644, 0, XMATCH("Mã đơn Misa", '6. TIẾN ĐỘ MUA HÀNG'!$A$4:$AT$4, 0)) &lt;&gt; ""))</f>
        <v>0</v>
      </c>
      <c r="M120" s="756">
        <f t="array" ref="M120">SUMPRODUCT(
  (INDEX('6. TIẾN ĐỘ MUA HÀNG'!$A$5:$AT644, 0, XMATCH("NCC VTBB/NL trong nước", '6. TIẾN ĐỘ MUA HÀNG'!$A$4:$AT$4, 0)) = $B120) * (TRIM(INDEX('6. TIẾN ĐỘ MUA HÀNG'!$A$5:$AT644, 0, XMATCH("Tháng", '6. TIẾN ĐỘ MUA HÀNG'!$A$4:$AT$4, 0))) = TRIM(L$6)) * (INDEX('6. TIẾN ĐỘ MUA HÀNG'!$A$5:$AT644, 0, XMATCH("CL NGÀY NCC DỰ KIẾN - NGÀY NHẬN HÀNG", '6. TIẾN ĐỘ MUA HÀNG'!$A$4:$AT$4, 0)) &lt; 0)
)</f>
        <v>0</v>
      </c>
      <c r="N120" s="757">
        <f t="shared" si="17"/>
        <v>0</v>
      </c>
      <c r="O120" s="754">
        <f t="array" ref="O120">SUMPRODUCT((TRIM(INDEX('6. TIẾN ĐỘ MUA HÀNG'!$A$5:$AT644, 0, XMATCH("NCC VTBB/NL trong nước", '6. TIẾN ĐỘ MUA HÀNG'!$A$4:$AT$4, 0))) = TRIM($B120)) * (TRIM(INDEX('6. TIẾN ĐỘ MUA HÀNG'!$A$5:$AT644, 0, XMATCH("Tháng", '6. TIẾN ĐỘ MUA HÀNG'!$A$4:$AT$4, 0))) = TRIM(O$6)) * (INDEX('6. TIẾN ĐỘ MUA HÀNG'!$A$5:$AT644, 0, XMATCH("Mã đơn Misa", '6. TIẾN ĐỘ MUA HÀNG'!$A$4:$AT$4, 0)) &lt;&gt; ""))</f>
        <v>0</v>
      </c>
      <c r="P120" s="754">
        <f t="array" ref="P120">SUMPRODUCT(
  (INDEX('6. TIẾN ĐỘ MUA HÀNG'!$A$5:$AT644, 0, XMATCH("NCC VTBB/NL trong nước", '6. TIẾN ĐỘ MUA HÀNG'!$A$4:$AT$4, 0)) = $B120) * (TRIM(INDEX('6. TIẾN ĐỘ MUA HÀNG'!$A$5:$AT644, 0, XMATCH("Tháng", '6. TIẾN ĐỘ MUA HÀNG'!$A$4:$AT$4, 0))) = TRIM(O$6)) * (INDEX('6. TIẾN ĐỘ MUA HÀNG'!$A$5:$AT644, 0, XMATCH("CL NGÀY NCC DỰ KIẾN - NGÀY NHẬN HÀNG", '6. TIẾN ĐỘ MUA HÀNG'!$A$4:$AT$4, 0)) &lt; 0)
)</f>
        <v>0</v>
      </c>
      <c r="Q120" s="755">
        <f t="shared" si="31"/>
        <v>0</v>
      </c>
      <c r="R120" s="756">
        <f t="array" ref="R120">SUMPRODUCT((TRIM(INDEX('6. TIẾN ĐỘ MUA HÀNG'!$A$5:$AT644, 0, XMATCH("NCC VTBB/NL trong nước", '6. TIẾN ĐỘ MUA HÀNG'!$A$4:$AT$4, 0))) = TRIM($B120)) * (TRIM(INDEX('6. TIẾN ĐỘ MUA HÀNG'!$A$5:$AT644, 0, XMATCH("Tháng", '6. TIẾN ĐỘ MUA HÀNG'!$A$4:$AT$4, 0))) = TRIM(R$6)) * (INDEX('6. TIẾN ĐỘ MUA HÀNG'!$A$5:$AT644, 0, XMATCH("Mã đơn Misa", '6. TIẾN ĐỘ MUA HÀNG'!$A$4:$AT$4, 0)) &lt;&gt; ""))</f>
        <v>0</v>
      </c>
      <c r="S120" s="756">
        <f t="array" ref="S120">SUMPRODUCT(
  (INDEX('6. TIẾN ĐỘ MUA HÀNG'!$A$5:$AT644, 0, XMATCH("NCC VTBB/NL trong nước", '6. TIẾN ĐỘ MUA HÀNG'!$A$4:$AT$4, 0)) = $B120) * (TRIM(INDEX('6. TIẾN ĐỘ MUA HÀNG'!$A$5:$AT644, 0, XMATCH("Tháng", '6. TIẾN ĐỘ MUA HÀNG'!$A$4:$AT$4, 0))) = TRIM(R$6)) * (INDEX('6. TIẾN ĐỘ MUA HÀNG'!$A$5:$AT644, 0, XMATCH("CL NGÀY NCC DỰ KIẾN - NGÀY NHẬN HÀNG", '6. TIẾN ĐỘ MUA HÀNG'!$A$4:$AT$4, 0)) &lt; 0)
)</f>
        <v>0</v>
      </c>
      <c r="T120" s="757">
        <f t="shared" si="19"/>
        <v>0</v>
      </c>
      <c r="U120" s="754">
        <f t="array" ref="U120">SUMPRODUCT((TRIM(INDEX('6. TIẾN ĐỘ MUA HÀNG'!$A$5:$AT644, 0, XMATCH("NCC VTBB/NL trong nước", '6. TIẾN ĐỘ MUA HÀNG'!$A$4:$AT$4, 0))) = TRIM($B120)) * (TRIM(INDEX('6. TIẾN ĐỘ MUA HÀNG'!$A$5:$AT644, 0, XMATCH("Tháng", '6. TIẾN ĐỘ MUA HÀNG'!$A$4:$AT$4, 0))) = TRIM(U$6)) * (INDEX('6. TIẾN ĐỘ MUA HÀNG'!$A$5:$AT644, 0, XMATCH("Mã đơn Misa", '6. TIẾN ĐỘ MUA HÀNG'!$A$4:$AT$4, 0)) &lt;&gt; ""))</f>
        <v>0</v>
      </c>
      <c r="V120" s="754">
        <f t="array" ref="V120">SUMPRODUCT(
  (INDEX('6. TIẾN ĐỘ MUA HÀNG'!$A$5:$AT644, 0, XMATCH("NCC VTBB/NL trong nước", '6. TIẾN ĐỘ MUA HÀNG'!$A$4:$AT$4, 0)) = $B120) * (TRIM(INDEX('6. TIẾN ĐỘ MUA HÀNG'!$A$5:$AT644, 0, XMATCH("Tháng", '6. TIẾN ĐỘ MUA HÀNG'!$A$4:$AT$4, 0))) = TRIM(U$6)) * (INDEX('6. TIẾN ĐỘ MUA HÀNG'!$A$5:$AT644, 0, XMATCH("CL NGÀY NCC DỰ KIẾN - NGÀY NHẬN HÀNG", '6. TIẾN ĐỘ MUA HÀNG'!$A$4:$AT$4, 0)) &lt; 0)
)</f>
        <v>0</v>
      </c>
      <c r="W120" s="755">
        <f t="shared" si="32"/>
        <v>0</v>
      </c>
      <c r="X120" s="756">
        <f t="array" ref="X120">SUMPRODUCT((TRIM(INDEX('6. TIẾN ĐỘ MUA HÀNG'!$A$5:$AT644, 0, XMATCH("NCC VTBB/NL trong nước", '6. TIẾN ĐỘ MUA HÀNG'!$A$4:$AT$4, 0))) = TRIM($B120)) * (TRIM(INDEX('6. TIẾN ĐỘ MUA HÀNG'!$A$5:$AT644, 0, XMATCH("Tháng", '6. TIẾN ĐỘ MUA HÀNG'!$A$4:$AT$4, 0))) = TRIM(X$6)) * (INDEX('6. TIẾN ĐỘ MUA HÀNG'!$A$5:$AT644, 0, XMATCH("Mã đơn Misa", '6. TIẾN ĐỘ MUA HÀNG'!$A$4:$AT$4, 0)) &lt;&gt; ""))</f>
        <v>0</v>
      </c>
      <c r="Y120" s="756">
        <f t="array" ref="Y120">SUMPRODUCT(
  (INDEX('6. TIẾN ĐỘ MUA HÀNG'!$A$5:$AT644, 0, XMATCH("NCC VTBB/NL trong nước", '6. TIẾN ĐỘ MUA HÀNG'!$A$4:$AT$4, 0)) = $B120) * (TRIM(INDEX('6. TIẾN ĐỘ MUA HÀNG'!$A$5:$AT644, 0, XMATCH("Tháng", '6. TIẾN ĐỘ MUA HÀNG'!$A$4:$AT$4, 0))) = TRIM(X$6)) * (INDEX('6. TIẾN ĐỘ MUA HÀNG'!$A$5:$AT644, 0, XMATCH("CL NGÀY NCC DỰ KIẾN - NGÀY NHẬN HÀNG", '6. TIẾN ĐỘ MUA HÀNG'!$A$4:$AT$4, 0)) &lt; 0)
)</f>
        <v>0</v>
      </c>
      <c r="Z120" s="757">
        <f t="shared" si="21"/>
        <v>0</v>
      </c>
      <c r="AA120" s="754">
        <f t="array" ref="AA120">SUMPRODUCT((TRIM(INDEX('6. TIẾN ĐỘ MUA HÀNG'!$A$5:$AT644, 0, XMATCH("NCC VTBB/NL trong nước", '6. TIẾN ĐỘ MUA HÀNG'!$A$4:$AT$4, 0))) = TRIM($B120)) * (TRIM(INDEX('6. TIẾN ĐỘ MUA HÀNG'!$A$5:$AT644, 0, XMATCH("Tháng", '6. TIẾN ĐỘ MUA HÀNG'!$A$4:$AT$4, 0))) = TRIM(AA$6)) * (INDEX('6. TIẾN ĐỘ MUA HÀNG'!$A$5:$AT644, 0, XMATCH("Mã đơn Misa", '6. TIẾN ĐỘ MUA HÀNG'!$A$4:$AT$4, 0)) &lt;&gt; ""))</f>
        <v>0</v>
      </c>
      <c r="AB120" s="754">
        <f t="array" ref="AB120">SUMPRODUCT(
  (INDEX('6. TIẾN ĐỘ MUA HÀNG'!$A$5:$AT644, 0, XMATCH("NCC VTBB/NL trong nước", '6. TIẾN ĐỘ MUA HÀNG'!$A$4:$AT$4, 0)) = $B120) * (TRIM(INDEX('6. TIẾN ĐỘ MUA HÀNG'!$A$5:$AT644, 0, XMATCH("Tháng", '6. TIẾN ĐỘ MUA HÀNG'!$A$4:$AT$4, 0))) = TRIM(AA$6)) * (INDEX('6. TIẾN ĐỘ MUA HÀNG'!$A$5:$AT644, 0, XMATCH("CL NGÀY NCC DỰ KIẾN - NGÀY NHẬN HÀNG", '6. TIẾN ĐỘ MUA HÀNG'!$A$4:$AT$4, 0)) &lt; 0)
)</f>
        <v>0</v>
      </c>
      <c r="AC120" s="755">
        <f t="shared" si="33"/>
        <v>0</v>
      </c>
      <c r="AD120" s="756">
        <f t="array" ref="AD120">SUMPRODUCT((TRIM(INDEX('6. TIẾN ĐỘ MUA HÀNG'!$A$5:$AT644, 0, XMATCH("NCC VTBB/NL trong nước", '6. TIẾN ĐỘ MUA HÀNG'!$A$4:$AT$4, 0))) = TRIM($B120)) * (TRIM(INDEX('6. TIẾN ĐỘ MUA HÀNG'!$A$5:$AT644, 0, XMATCH("Tháng", '6. TIẾN ĐỘ MUA HÀNG'!$A$4:$AT$4, 0))) = TRIM(AD$6)) * (INDEX('6. TIẾN ĐỘ MUA HÀNG'!$A$5:$AT644, 0, XMATCH("Mã đơn Misa", '6. TIẾN ĐỘ MUA HÀNG'!$A$4:$AT$4, 0)) &lt;&gt; ""))</f>
        <v>0</v>
      </c>
      <c r="AE120" s="756">
        <f t="array" ref="AE120">SUMPRODUCT(
  (INDEX('6. TIẾN ĐỘ MUA HÀNG'!$A$5:$AT644, 0, XMATCH("NCC VTBB/NL trong nước", '6. TIẾN ĐỘ MUA HÀNG'!$A$4:$AT$4, 0)) = $B120) * (TRIM(INDEX('6. TIẾN ĐỘ MUA HÀNG'!$A$5:$AT644, 0, XMATCH("Tháng", '6. TIẾN ĐỘ MUA HÀNG'!$A$4:$AT$4, 0))) = TRIM(AD$6)) * (INDEX('6. TIẾN ĐỘ MUA HÀNG'!$A$5:$AT644, 0, XMATCH("CL NGÀY NCC DỰ KIẾN - NGÀY NHẬN HÀNG", '6. TIẾN ĐỘ MUA HÀNG'!$A$4:$AT$4, 0)) &lt; 0)
)</f>
        <v>0</v>
      </c>
      <c r="AF120" s="757">
        <f t="shared" si="23"/>
        <v>0</v>
      </c>
      <c r="AG120" s="754">
        <f t="array" ref="AG120">SUMPRODUCT((TRIM(INDEX('6. TIẾN ĐỘ MUA HÀNG'!$A$5:$AT644, 0, XMATCH("NCC VTBB/NL trong nước", '6. TIẾN ĐỘ MUA HÀNG'!$A$4:$AT$4, 0))) = TRIM($B120)) * (TRIM(INDEX('6. TIẾN ĐỘ MUA HÀNG'!$A$5:$AT644, 0, XMATCH("Tháng", '6. TIẾN ĐỘ MUA HÀNG'!$A$4:$AT$4, 0))) = TRIM(AG$6)) * (INDEX('6. TIẾN ĐỘ MUA HÀNG'!$A$5:$AT644, 0, XMATCH("Mã đơn Misa", '6. TIẾN ĐỘ MUA HÀNG'!$A$4:$AT$4, 0)) &lt;&gt; ""))</f>
        <v>0</v>
      </c>
      <c r="AH120" s="754">
        <f t="array" ref="AH120">SUMPRODUCT(
  (INDEX('6. TIẾN ĐỘ MUA HÀNG'!$A$5:$AT644, 0, XMATCH("NCC VTBB/NL trong nước", '6. TIẾN ĐỘ MUA HÀNG'!$A$4:$AT$4, 0)) = $B120) * (TRIM(INDEX('6. TIẾN ĐỘ MUA HÀNG'!$A$5:$AT644, 0, XMATCH("Tháng", '6. TIẾN ĐỘ MUA HÀNG'!$A$4:$AT$4, 0))) = TRIM(AG$6)) * (INDEX('6. TIẾN ĐỘ MUA HÀNG'!$A$5:$AT644, 0, XMATCH("CL NGÀY NCC DỰ KIẾN - NGÀY NHẬN HÀNG", '6. TIẾN ĐỘ MUA HÀNG'!$A$4:$AT$4, 0)) &lt; 0)
)</f>
        <v>0</v>
      </c>
      <c r="AI120" s="755">
        <f t="shared" si="34"/>
        <v>0</v>
      </c>
      <c r="AJ120" s="756">
        <f t="array" ref="AJ120">SUMPRODUCT((TRIM(INDEX('6. TIẾN ĐỘ MUA HÀNG'!$A$5:$AT644, 0, XMATCH("NCC VTBB/NL trong nước", '6. TIẾN ĐỘ MUA HÀNG'!$A$4:$AT$4, 0))) = TRIM($B120)) * (TRIM(INDEX('6. TIẾN ĐỘ MUA HÀNG'!$A$5:$AT644, 0, XMATCH("Tháng", '6. TIẾN ĐỘ MUA HÀNG'!$A$4:$AT$4, 0))) = TRIM(AJ$6)) * (INDEX('6. TIẾN ĐỘ MUA HÀNG'!$A$5:$AT644, 0, XMATCH("Mã đơn Misa", '6. TIẾN ĐỘ MUA HÀNG'!$A$4:$AT$4, 0)) &lt;&gt; ""))</f>
        <v>0</v>
      </c>
      <c r="AK120" s="756">
        <f t="array" ref="AK120">SUMPRODUCT(
  (INDEX('6. TIẾN ĐỘ MUA HÀNG'!$A$5:$AT644, 0, XMATCH("NCC VTBB/NL trong nước", '6. TIẾN ĐỘ MUA HÀNG'!$A$4:$AT$4, 0)) = $B120) * (TRIM(INDEX('6. TIẾN ĐỘ MUA HÀNG'!$A$5:$AT644, 0, XMATCH("Tháng", '6. TIẾN ĐỘ MUA HÀNG'!$A$4:$AT$4, 0))) = TRIM(AJ$6)) * (INDEX('6. TIẾN ĐỘ MUA HÀNG'!$A$5:$AT644, 0, XMATCH("CL NGÀY NCC DỰ KIẾN - NGÀY NHẬN HÀNG", '6. TIẾN ĐỘ MUA HÀNG'!$A$4:$AT$4, 0)) &lt; 0)
)</f>
        <v>0</v>
      </c>
      <c r="AL120" s="757">
        <f t="shared" si="25"/>
        <v>0</v>
      </c>
      <c r="AM120" s="726">
        <f t="shared" si="27"/>
        <v>0</v>
      </c>
      <c r="AN120" s="726">
        <f t="shared" si="28"/>
        <v>0</v>
      </c>
      <c r="AO120" s="727">
        <f t="shared" si="26"/>
        <v>0</v>
      </c>
    </row>
    <row r="121">
      <c r="A121" s="612">
        <v>113.0</v>
      </c>
      <c r="B121" s="624" t="str">
        <f>IFERROR(__xludf.DUMMYFUNCTION("""COMPUTED_VALUE"""),"Dego Cần Thơ")</f>
        <v>Dego Cần Thơ</v>
      </c>
      <c r="C121" s="754">
        <f t="array" ref="C121">SUMPRODUCT((TRIM(INDEX('6. TIẾN ĐỘ MUA HÀNG'!$A$5:$AT644, 0, XMATCH("NCC VTBB/NL trong nước", '6. TIẾN ĐỘ MUA HÀNG'!$A$4:$AT$4, 0))) = TRIM($B121)) * (TRIM(INDEX('6. TIẾN ĐỘ MUA HÀNG'!$A$5:$AT644, 0, XMATCH("Tháng", '6. TIẾN ĐỘ MUA HÀNG'!$A$4:$AT$4, 0))) = TRIM(C$6)) * (INDEX('6. TIẾN ĐỘ MUA HÀNG'!$A$5:$AT644, 0, XMATCH("Mã đơn Misa", '6. TIẾN ĐỘ MUA HÀNG'!$A$4:$AT$4, 0)) &lt;&gt; ""))</f>
        <v>0</v>
      </c>
      <c r="D121" s="754">
        <f t="array" ref="D121">SUMPRODUCT(
  (INDEX('6. TIẾN ĐỘ MUA HÀNG'!$A$5:$AT644, 0, XMATCH("NCC VTBB/NL trong nước", '6. TIẾN ĐỘ MUA HÀNG'!$A$4:$AT$4, 0)) = $B121) * (TRIM(INDEX('6. TIẾN ĐỘ MUA HÀNG'!$A$5:$AT644, 0, XMATCH("Tháng", '6. TIẾN ĐỘ MUA HÀNG'!$A$4:$AT$4, 0))) = TRIM(C$6)) * (INDEX('6. TIẾN ĐỘ MUA HÀNG'!$A$5:$AT644, 0, XMATCH("CL NGÀY NCC DỰ KIẾN - NGÀY NHẬN HÀNG", '6. TIẾN ĐỘ MUA HÀNG'!$A$4:$AT$4, 0)) &lt; 0)
)</f>
        <v>0</v>
      </c>
      <c r="E121" s="755">
        <f t="shared" si="29"/>
        <v>0</v>
      </c>
      <c r="F121" s="756">
        <f t="array" ref="F121">SUMPRODUCT((TRIM(INDEX('6. TIẾN ĐỘ MUA HÀNG'!$A$5:$AT644, 0, XMATCH("NCC VTBB/NL trong nước", '6. TIẾN ĐỘ MUA HÀNG'!$A$4:$AT$4, 0))) = TRIM($B121)) * (TRIM(INDEX('6. TIẾN ĐỘ MUA HÀNG'!$A$5:$AT644, 0, XMATCH("Tháng", '6. TIẾN ĐỘ MUA HÀNG'!$A$4:$AT$4, 0))) = TRIM(F$6)) * (INDEX('6. TIẾN ĐỘ MUA HÀNG'!$A$5:$AT644, 0, XMATCH("Mã đơn Misa", '6. TIẾN ĐỘ MUA HÀNG'!$A$4:$AT$4, 0)) &lt;&gt; ""))</f>
        <v>0</v>
      </c>
      <c r="G121" s="756">
        <f t="array" ref="G121">SUMPRODUCT(
  (INDEX('6. TIẾN ĐỘ MUA HÀNG'!$A$5:$AT644, 0, XMATCH("NCC VTBB/NL trong nước", '6. TIẾN ĐỘ MUA HÀNG'!$A$4:$AT$4, 0)) = $B121) * (TRIM(INDEX('6. TIẾN ĐỘ MUA HÀNG'!$A$5:$AT644, 0, XMATCH("Tháng", '6. TIẾN ĐỘ MUA HÀNG'!$A$4:$AT$4, 0))) = TRIM(F$6)) * (INDEX('6. TIẾN ĐỘ MUA HÀNG'!$A$5:$AT644, 0, XMATCH("CL NGÀY NCC DỰ KIẾN - NGÀY NHẬN HÀNG", '6. TIẾN ĐỘ MUA HÀNG'!$A$4:$AT$4, 0)) &lt; 0)
)</f>
        <v>0</v>
      </c>
      <c r="H121" s="757">
        <f t="shared" si="15"/>
        <v>0</v>
      </c>
      <c r="I121" s="754">
        <f t="array" ref="I121">SUMPRODUCT((TRIM(INDEX('6. TIẾN ĐỘ MUA HÀNG'!$A$5:$AT644, 0, XMATCH("NCC VTBB/NL trong nước", '6. TIẾN ĐỘ MUA HÀNG'!$A$4:$AT$4, 0))) = TRIM($B121)) * (TRIM(INDEX('6. TIẾN ĐỘ MUA HÀNG'!$A$5:$AT644, 0, XMATCH("Tháng", '6. TIẾN ĐỘ MUA HÀNG'!$A$4:$AT$4, 0))) = TRIM(I$6)) * (INDEX('6. TIẾN ĐỘ MUA HÀNG'!$A$5:$AT644, 0, XMATCH("Mã đơn Misa", '6. TIẾN ĐỘ MUA HÀNG'!$A$4:$AT$4, 0)) &lt;&gt; ""))</f>
        <v>0</v>
      </c>
      <c r="J121" s="754">
        <f t="array" ref="J121">SUMPRODUCT(
  (INDEX('6. TIẾN ĐỘ MUA HÀNG'!$A$5:$AT644, 0, XMATCH("NCC VTBB/NL trong nước", '6. TIẾN ĐỘ MUA HÀNG'!$A$4:$AT$4, 0)) = $B121) * (TRIM(INDEX('6. TIẾN ĐỘ MUA HÀNG'!$A$5:$AT644, 0, XMATCH("Tháng", '6. TIẾN ĐỘ MUA HÀNG'!$A$4:$AT$4, 0))) = TRIM(I$6)) * (INDEX('6. TIẾN ĐỘ MUA HÀNG'!$A$5:$AT644, 0, XMATCH("CL NGÀY NCC DỰ KIẾN - NGÀY NHẬN HÀNG", '6. TIẾN ĐỘ MUA HÀNG'!$A$4:$AT$4, 0)) &lt; 0)
)</f>
        <v>0</v>
      </c>
      <c r="K121" s="755">
        <f t="shared" si="30"/>
        <v>0</v>
      </c>
      <c r="L121" s="756">
        <f t="array" ref="L121">SUMPRODUCT((TRIM(INDEX('6. TIẾN ĐỘ MUA HÀNG'!$A$5:$AT644, 0, XMATCH("NCC VTBB/NL trong nước", '6. TIẾN ĐỘ MUA HÀNG'!$A$4:$AT$4, 0))) = TRIM($B121)) * (TRIM(INDEX('6. TIẾN ĐỘ MUA HÀNG'!$A$5:$AT644, 0, XMATCH("Tháng", '6. TIẾN ĐỘ MUA HÀNG'!$A$4:$AT$4, 0))) = TRIM(L$6)) * (INDEX('6. TIẾN ĐỘ MUA HÀNG'!$A$5:$AT644, 0, XMATCH("Mã đơn Misa", '6. TIẾN ĐỘ MUA HÀNG'!$A$4:$AT$4, 0)) &lt;&gt; ""))</f>
        <v>0</v>
      </c>
      <c r="M121" s="756">
        <f t="array" ref="M121">SUMPRODUCT(
  (INDEX('6. TIẾN ĐỘ MUA HÀNG'!$A$5:$AT644, 0, XMATCH("NCC VTBB/NL trong nước", '6. TIẾN ĐỘ MUA HÀNG'!$A$4:$AT$4, 0)) = $B121) * (TRIM(INDEX('6. TIẾN ĐỘ MUA HÀNG'!$A$5:$AT644, 0, XMATCH("Tháng", '6. TIẾN ĐỘ MUA HÀNG'!$A$4:$AT$4, 0))) = TRIM(L$6)) * (INDEX('6. TIẾN ĐỘ MUA HÀNG'!$A$5:$AT644, 0, XMATCH("CL NGÀY NCC DỰ KIẾN - NGÀY NHẬN HÀNG", '6. TIẾN ĐỘ MUA HÀNG'!$A$4:$AT$4, 0)) &lt; 0)
)</f>
        <v>0</v>
      </c>
      <c r="N121" s="757">
        <f t="shared" si="17"/>
        <v>0</v>
      </c>
      <c r="O121" s="754">
        <f t="array" ref="O121">SUMPRODUCT((TRIM(INDEX('6. TIẾN ĐỘ MUA HÀNG'!$A$5:$AT644, 0, XMATCH("NCC VTBB/NL trong nước", '6. TIẾN ĐỘ MUA HÀNG'!$A$4:$AT$4, 0))) = TRIM($B121)) * (TRIM(INDEX('6. TIẾN ĐỘ MUA HÀNG'!$A$5:$AT644, 0, XMATCH("Tháng", '6. TIẾN ĐỘ MUA HÀNG'!$A$4:$AT$4, 0))) = TRIM(O$6)) * (INDEX('6. TIẾN ĐỘ MUA HÀNG'!$A$5:$AT644, 0, XMATCH("Mã đơn Misa", '6. TIẾN ĐỘ MUA HÀNG'!$A$4:$AT$4, 0)) &lt;&gt; ""))</f>
        <v>0</v>
      </c>
      <c r="P121" s="754">
        <f t="array" ref="P121">SUMPRODUCT(
  (INDEX('6. TIẾN ĐỘ MUA HÀNG'!$A$5:$AT644, 0, XMATCH("NCC VTBB/NL trong nước", '6. TIẾN ĐỘ MUA HÀNG'!$A$4:$AT$4, 0)) = $B121) * (TRIM(INDEX('6. TIẾN ĐỘ MUA HÀNG'!$A$5:$AT644, 0, XMATCH("Tháng", '6. TIẾN ĐỘ MUA HÀNG'!$A$4:$AT$4, 0))) = TRIM(O$6)) * (INDEX('6. TIẾN ĐỘ MUA HÀNG'!$A$5:$AT644, 0, XMATCH("CL NGÀY NCC DỰ KIẾN - NGÀY NHẬN HÀNG", '6. TIẾN ĐỘ MUA HÀNG'!$A$4:$AT$4, 0)) &lt; 0)
)</f>
        <v>0</v>
      </c>
      <c r="Q121" s="755">
        <f t="shared" si="31"/>
        <v>0</v>
      </c>
      <c r="R121" s="756">
        <f t="array" ref="R121">SUMPRODUCT((TRIM(INDEX('6. TIẾN ĐỘ MUA HÀNG'!$A$5:$AT644, 0, XMATCH("NCC VTBB/NL trong nước", '6. TIẾN ĐỘ MUA HÀNG'!$A$4:$AT$4, 0))) = TRIM($B121)) * (TRIM(INDEX('6. TIẾN ĐỘ MUA HÀNG'!$A$5:$AT644, 0, XMATCH("Tháng", '6. TIẾN ĐỘ MUA HÀNG'!$A$4:$AT$4, 0))) = TRIM(R$6)) * (INDEX('6. TIẾN ĐỘ MUA HÀNG'!$A$5:$AT644, 0, XMATCH("Mã đơn Misa", '6. TIẾN ĐỘ MUA HÀNG'!$A$4:$AT$4, 0)) &lt;&gt; ""))</f>
        <v>0</v>
      </c>
      <c r="S121" s="756">
        <f t="array" ref="S121">SUMPRODUCT(
  (INDEX('6. TIẾN ĐỘ MUA HÀNG'!$A$5:$AT644, 0, XMATCH("NCC VTBB/NL trong nước", '6. TIẾN ĐỘ MUA HÀNG'!$A$4:$AT$4, 0)) = $B121) * (TRIM(INDEX('6. TIẾN ĐỘ MUA HÀNG'!$A$5:$AT644, 0, XMATCH("Tháng", '6. TIẾN ĐỘ MUA HÀNG'!$A$4:$AT$4, 0))) = TRIM(R$6)) * (INDEX('6. TIẾN ĐỘ MUA HÀNG'!$A$5:$AT644, 0, XMATCH("CL NGÀY NCC DỰ KIẾN - NGÀY NHẬN HÀNG", '6. TIẾN ĐỘ MUA HÀNG'!$A$4:$AT$4, 0)) &lt; 0)
)</f>
        <v>0</v>
      </c>
      <c r="T121" s="757">
        <f t="shared" si="19"/>
        <v>0</v>
      </c>
      <c r="U121" s="754">
        <f t="array" ref="U121">SUMPRODUCT((TRIM(INDEX('6. TIẾN ĐỘ MUA HÀNG'!$A$5:$AT644, 0, XMATCH("NCC VTBB/NL trong nước", '6. TIẾN ĐỘ MUA HÀNG'!$A$4:$AT$4, 0))) = TRIM($B121)) * (TRIM(INDEX('6. TIẾN ĐỘ MUA HÀNG'!$A$5:$AT644, 0, XMATCH("Tháng", '6. TIẾN ĐỘ MUA HÀNG'!$A$4:$AT$4, 0))) = TRIM(U$6)) * (INDEX('6. TIẾN ĐỘ MUA HÀNG'!$A$5:$AT644, 0, XMATCH("Mã đơn Misa", '6. TIẾN ĐỘ MUA HÀNG'!$A$4:$AT$4, 0)) &lt;&gt; ""))</f>
        <v>0</v>
      </c>
      <c r="V121" s="754">
        <f t="array" ref="V121">SUMPRODUCT(
  (INDEX('6. TIẾN ĐỘ MUA HÀNG'!$A$5:$AT644, 0, XMATCH("NCC VTBB/NL trong nước", '6. TIẾN ĐỘ MUA HÀNG'!$A$4:$AT$4, 0)) = $B121) * (TRIM(INDEX('6. TIẾN ĐỘ MUA HÀNG'!$A$5:$AT644, 0, XMATCH("Tháng", '6. TIẾN ĐỘ MUA HÀNG'!$A$4:$AT$4, 0))) = TRIM(U$6)) * (INDEX('6. TIẾN ĐỘ MUA HÀNG'!$A$5:$AT644, 0, XMATCH("CL NGÀY NCC DỰ KIẾN - NGÀY NHẬN HÀNG", '6. TIẾN ĐỘ MUA HÀNG'!$A$4:$AT$4, 0)) &lt; 0)
)</f>
        <v>0</v>
      </c>
      <c r="W121" s="755">
        <f t="shared" si="32"/>
        <v>0</v>
      </c>
      <c r="X121" s="756">
        <f t="array" ref="X121">SUMPRODUCT((TRIM(INDEX('6. TIẾN ĐỘ MUA HÀNG'!$A$5:$AT644, 0, XMATCH("NCC VTBB/NL trong nước", '6. TIẾN ĐỘ MUA HÀNG'!$A$4:$AT$4, 0))) = TRIM($B121)) * (TRIM(INDEX('6. TIẾN ĐỘ MUA HÀNG'!$A$5:$AT644, 0, XMATCH("Tháng", '6. TIẾN ĐỘ MUA HÀNG'!$A$4:$AT$4, 0))) = TRIM(X$6)) * (INDEX('6. TIẾN ĐỘ MUA HÀNG'!$A$5:$AT644, 0, XMATCH("Mã đơn Misa", '6. TIẾN ĐỘ MUA HÀNG'!$A$4:$AT$4, 0)) &lt;&gt; ""))</f>
        <v>0</v>
      </c>
      <c r="Y121" s="756">
        <f t="array" ref="Y121">SUMPRODUCT(
  (INDEX('6. TIẾN ĐỘ MUA HÀNG'!$A$5:$AT644, 0, XMATCH("NCC VTBB/NL trong nước", '6. TIẾN ĐỘ MUA HÀNG'!$A$4:$AT$4, 0)) = $B121) * (TRIM(INDEX('6. TIẾN ĐỘ MUA HÀNG'!$A$5:$AT644, 0, XMATCH("Tháng", '6. TIẾN ĐỘ MUA HÀNG'!$A$4:$AT$4, 0))) = TRIM(X$6)) * (INDEX('6. TIẾN ĐỘ MUA HÀNG'!$A$5:$AT644, 0, XMATCH("CL NGÀY NCC DỰ KIẾN - NGÀY NHẬN HÀNG", '6. TIẾN ĐỘ MUA HÀNG'!$A$4:$AT$4, 0)) &lt; 0)
)</f>
        <v>0</v>
      </c>
      <c r="Z121" s="757">
        <f t="shared" si="21"/>
        <v>0</v>
      </c>
      <c r="AA121" s="754">
        <f t="array" ref="AA121">SUMPRODUCT((TRIM(INDEX('6. TIẾN ĐỘ MUA HÀNG'!$A$5:$AT644, 0, XMATCH("NCC VTBB/NL trong nước", '6. TIẾN ĐỘ MUA HÀNG'!$A$4:$AT$4, 0))) = TRIM($B121)) * (TRIM(INDEX('6. TIẾN ĐỘ MUA HÀNG'!$A$5:$AT644, 0, XMATCH("Tháng", '6. TIẾN ĐỘ MUA HÀNG'!$A$4:$AT$4, 0))) = TRIM(AA$6)) * (INDEX('6. TIẾN ĐỘ MUA HÀNG'!$A$5:$AT644, 0, XMATCH("Mã đơn Misa", '6. TIẾN ĐỘ MUA HÀNG'!$A$4:$AT$4, 0)) &lt;&gt; ""))</f>
        <v>0</v>
      </c>
      <c r="AB121" s="754">
        <f t="array" ref="AB121">SUMPRODUCT(
  (INDEX('6. TIẾN ĐỘ MUA HÀNG'!$A$5:$AT644, 0, XMATCH("NCC VTBB/NL trong nước", '6. TIẾN ĐỘ MUA HÀNG'!$A$4:$AT$4, 0)) = $B121) * (TRIM(INDEX('6. TIẾN ĐỘ MUA HÀNG'!$A$5:$AT644, 0, XMATCH("Tháng", '6. TIẾN ĐỘ MUA HÀNG'!$A$4:$AT$4, 0))) = TRIM(AA$6)) * (INDEX('6. TIẾN ĐỘ MUA HÀNG'!$A$5:$AT644, 0, XMATCH("CL NGÀY NCC DỰ KIẾN - NGÀY NHẬN HÀNG", '6. TIẾN ĐỘ MUA HÀNG'!$A$4:$AT$4, 0)) &lt; 0)
)</f>
        <v>0</v>
      </c>
      <c r="AC121" s="755">
        <f t="shared" si="33"/>
        <v>0</v>
      </c>
      <c r="AD121" s="756">
        <f t="array" ref="AD121">SUMPRODUCT((TRIM(INDEX('6. TIẾN ĐỘ MUA HÀNG'!$A$5:$AT644, 0, XMATCH("NCC VTBB/NL trong nước", '6. TIẾN ĐỘ MUA HÀNG'!$A$4:$AT$4, 0))) = TRIM($B121)) * (TRIM(INDEX('6. TIẾN ĐỘ MUA HÀNG'!$A$5:$AT644, 0, XMATCH("Tháng", '6. TIẾN ĐỘ MUA HÀNG'!$A$4:$AT$4, 0))) = TRIM(AD$6)) * (INDEX('6. TIẾN ĐỘ MUA HÀNG'!$A$5:$AT644, 0, XMATCH("Mã đơn Misa", '6. TIẾN ĐỘ MUA HÀNG'!$A$4:$AT$4, 0)) &lt;&gt; ""))</f>
        <v>0</v>
      </c>
      <c r="AE121" s="756">
        <f t="array" ref="AE121">SUMPRODUCT(
  (INDEX('6. TIẾN ĐỘ MUA HÀNG'!$A$5:$AT644, 0, XMATCH("NCC VTBB/NL trong nước", '6. TIẾN ĐỘ MUA HÀNG'!$A$4:$AT$4, 0)) = $B121) * (TRIM(INDEX('6. TIẾN ĐỘ MUA HÀNG'!$A$5:$AT644, 0, XMATCH("Tháng", '6. TIẾN ĐỘ MUA HÀNG'!$A$4:$AT$4, 0))) = TRIM(AD$6)) * (INDEX('6. TIẾN ĐỘ MUA HÀNG'!$A$5:$AT644, 0, XMATCH("CL NGÀY NCC DỰ KIẾN - NGÀY NHẬN HÀNG", '6. TIẾN ĐỘ MUA HÀNG'!$A$4:$AT$4, 0)) &lt; 0)
)</f>
        <v>0</v>
      </c>
      <c r="AF121" s="757">
        <f t="shared" si="23"/>
        <v>0</v>
      </c>
      <c r="AG121" s="754">
        <f t="array" ref="AG121">SUMPRODUCT((TRIM(INDEX('6. TIẾN ĐỘ MUA HÀNG'!$A$5:$AT644, 0, XMATCH("NCC VTBB/NL trong nước", '6. TIẾN ĐỘ MUA HÀNG'!$A$4:$AT$4, 0))) = TRIM($B121)) * (TRIM(INDEX('6. TIẾN ĐỘ MUA HÀNG'!$A$5:$AT644, 0, XMATCH("Tháng", '6. TIẾN ĐỘ MUA HÀNG'!$A$4:$AT$4, 0))) = TRIM(AG$6)) * (INDEX('6. TIẾN ĐỘ MUA HÀNG'!$A$5:$AT644, 0, XMATCH("Mã đơn Misa", '6. TIẾN ĐỘ MUA HÀNG'!$A$4:$AT$4, 0)) &lt;&gt; ""))</f>
        <v>0</v>
      </c>
      <c r="AH121" s="754">
        <f t="array" ref="AH121">SUMPRODUCT(
  (INDEX('6. TIẾN ĐỘ MUA HÀNG'!$A$5:$AT644, 0, XMATCH("NCC VTBB/NL trong nước", '6. TIẾN ĐỘ MUA HÀNG'!$A$4:$AT$4, 0)) = $B121) * (TRIM(INDEX('6. TIẾN ĐỘ MUA HÀNG'!$A$5:$AT644, 0, XMATCH("Tháng", '6. TIẾN ĐỘ MUA HÀNG'!$A$4:$AT$4, 0))) = TRIM(AG$6)) * (INDEX('6. TIẾN ĐỘ MUA HÀNG'!$A$5:$AT644, 0, XMATCH("CL NGÀY NCC DỰ KIẾN - NGÀY NHẬN HÀNG", '6. TIẾN ĐỘ MUA HÀNG'!$A$4:$AT$4, 0)) &lt; 0)
)</f>
        <v>0</v>
      </c>
      <c r="AI121" s="755">
        <f t="shared" si="34"/>
        <v>0</v>
      </c>
      <c r="AJ121" s="756">
        <f t="array" ref="AJ121">SUMPRODUCT((TRIM(INDEX('6. TIẾN ĐỘ MUA HÀNG'!$A$5:$AT644, 0, XMATCH("NCC VTBB/NL trong nước", '6. TIẾN ĐỘ MUA HÀNG'!$A$4:$AT$4, 0))) = TRIM($B121)) * (TRIM(INDEX('6. TIẾN ĐỘ MUA HÀNG'!$A$5:$AT644, 0, XMATCH("Tháng", '6. TIẾN ĐỘ MUA HÀNG'!$A$4:$AT$4, 0))) = TRIM(AJ$6)) * (INDEX('6. TIẾN ĐỘ MUA HÀNG'!$A$5:$AT644, 0, XMATCH("Mã đơn Misa", '6. TIẾN ĐỘ MUA HÀNG'!$A$4:$AT$4, 0)) &lt;&gt; ""))</f>
        <v>0</v>
      </c>
      <c r="AK121" s="756">
        <f t="array" ref="AK121">SUMPRODUCT(
  (INDEX('6. TIẾN ĐỘ MUA HÀNG'!$A$5:$AT644, 0, XMATCH("NCC VTBB/NL trong nước", '6. TIẾN ĐỘ MUA HÀNG'!$A$4:$AT$4, 0)) = $B121) * (TRIM(INDEX('6. TIẾN ĐỘ MUA HÀNG'!$A$5:$AT644, 0, XMATCH("Tháng", '6. TIẾN ĐỘ MUA HÀNG'!$A$4:$AT$4, 0))) = TRIM(AJ$6)) * (INDEX('6. TIẾN ĐỘ MUA HÀNG'!$A$5:$AT644, 0, XMATCH("CL NGÀY NCC DỰ KIẾN - NGÀY NHẬN HÀNG", '6. TIẾN ĐỘ MUA HÀNG'!$A$4:$AT$4, 0)) &lt; 0)
)</f>
        <v>0</v>
      </c>
      <c r="AL121" s="757">
        <f t="shared" si="25"/>
        <v>0</v>
      </c>
      <c r="AM121" s="726">
        <f t="shared" si="27"/>
        <v>0</v>
      </c>
      <c r="AN121" s="726">
        <f t="shared" si="28"/>
        <v>0</v>
      </c>
      <c r="AO121" s="727">
        <f t="shared" si="26"/>
        <v>0</v>
      </c>
    </row>
    <row r="122">
      <c r="A122" s="612">
        <v>114.0</v>
      </c>
      <c r="B122" s="624" t="str">
        <f>IFERROR(__xludf.DUMMYFUNCTION("""COMPUTED_VALUE"""),"Niềm Tin Việt")</f>
        <v>Niềm Tin Việt</v>
      </c>
      <c r="C122" s="754">
        <f t="array" ref="C122">SUMPRODUCT((TRIM(INDEX('6. TIẾN ĐỘ MUA HÀNG'!$A$5:$AT644, 0, XMATCH("NCC VTBB/NL trong nước", '6. TIẾN ĐỘ MUA HÀNG'!$A$4:$AT$4, 0))) = TRIM($B122)) * (TRIM(INDEX('6. TIẾN ĐỘ MUA HÀNG'!$A$5:$AT644, 0, XMATCH("Tháng", '6. TIẾN ĐỘ MUA HÀNG'!$A$4:$AT$4, 0))) = TRIM(C$6)) * (INDEX('6. TIẾN ĐỘ MUA HÀNG'!$A$5:$AT644, 0, XMATCH("Mã đơn Misa", '6. TIẾN ĐỘ MUA HÀNG'!$A$4:$AT$4, 0)) &lt;&gt; ""))</f>
        <v>0</v>
      </c>
      <c r="D122" s="754">
        <f t="array" ref="D122">SUMPRODUCT(
  (INDEX('6. TIẾN ĐỘ MUA HÀNG'!$A$5:$AT644, 0, XMATCH("NCC VTBB/NL trong nước", '6. TIẾN ĐỘ MUA HÀNG'!$A$4:$AT$4, 0)) = $B122) * (TRIM(INDEX('6. TIẾN ĐỘ MUA HÀNG'!$A$5:$AT644, 0, XMATCH("Tháng", '6. TIẾN ĐỘ MUA HÀNG'!$A$4:$AT$4, 0))) = TRIM(C$6)) * (INDEX('6. TIẾN ĐỘ MUA HÀNG'!$A$5:$AT644, 0, XMATCH("CL NGÀY NCC DỰ KIẾN - NGÀY NHẬN HÀNG", '6. TIẾN ĐỘ MUA HÀNG'!$A$4:$AT$4, 0)) &lt; 0)
)</f>
        <v>0</v>
      </c>
      <c r="E122" s="755">
        <f t="shared" si="29"/>
        <v>0</v>
      </c>
      <c r="F122" s="756">
        <f t="array" ref="F122">SUMPRODUCT((TRIM(INDEX('6. TIẾN ĐỘ MUA HÀNG'!$A$5:$AT644, 0, XMATCH("NCC VTBB/NL trong nước", '6. TIẾN ĐỘ MUA HÀNG'!$A$4:$AT$4, 0))) = TRIM($B122)) * (TRIM(INDEX('6. TIẾN ĐỘ MUA HÀNG'!$A$5:$AT644, 0, XMATCH("Tháng", '6. TIẾN ĐỘ MUA HÀNG'!$A$4:$AT$4, 0))) = TRIM(F$6)) * (INDEX('6. TIẾN ĐỘ MUA HÀNG'!$A$5:$AT644, 0, XMATCH("Mã đơn Misa", '6. TIẾN ĐỘ MUA HÀNG'!$A$4:$AT$4, 0)) &lt;&gt; ""))</f>
        <v>0</v>
      </c>
      <c r="G122" s="756">
        <f t="array" ref="G122">SUMPRODUCT(
  (INDEX('6. TIẾN ĐỘ MUA HÀNG'!$A$5:$AT644, 0, XMATCH("NCC VTBB/NL trong nước", '6. TIẾN ĐỘ MUA HÀNG'!$A$4:$AT$4, 0)) = $B122) * (TRIM(INDEX('6. TIẾN ĐỘ MUA HÀNG'!$A$5:$AT644, 0, XMATCH("Tháng", '6. TIẾN ĐỘ MUA HÀNG'!$A$4:$AT$4, 0))) = TRIM(F$6)) * (INDEX('6. TIẾN ĐỘ MUA HÀNG'!$A$5:$AT644, 0, XMATCH("CL NGÀY NCC DỰ KIẾN - NGÀY NHẬN HÀNG", '6. TIẾN ĐỘ MUA HÀNG'!$A$4:$AT$4, 0)) &lt; 0)
)</f>
        <v>0</v>
      </c>
      <c r="H122" s="757">
        <f t="shared" si="15"/>
        <v>0</v>
      </c>
      <c r="I122" s="754">
        <f t="array" ref="I122">SUMPRODUCT((TRIM(INDEX('6. TIẾN ĐỘ MUA HÀNG'!$A$5:$AT644, 0, XMATCH("NCC VTBB/NL trong nước", '6. TIẾN ĐỘ MUA HÀNG'!$A$4:$AT$4, 0))) = TRIM($B122)) * (TRIM(INDEX('6. TIẾN ĐỘ MUA HÀNG'!$A$5:$AT644, 0, XMATCH("Tháng", '6. TIẾN ĐỘ MUA HÀNG'!$A$4:$AT$4, 0))) = TRIM(I$6)) * (INDEX('6. TIẾN ĐỘ MUA HÀNG'!$A$5:$AT644, 0, XMATCH("Mã đơn Misa", '6. TIẾN ĐỘ MUA HÀNG'!$A$4:$AT$4, 0)) &lt;&gt; ""))</f>
        <v>0</v>
      </c>
      <c r="J122" s="754">
        <f t="array" ref="J122">SUMPRODUCT(
  (INDEX('6. TIẾN ĐỘ MUA HÀNG'!$A$5:$AT644, 0, XMATCH("NCC VTBB/NL trong nước", '6. TIẾN ĐỘ MUA HÀNG'!$A$4:$AT$4, 0)) = $B122) * (TRIM(INDEX('6. TIẾN ĐỘ MUA HÀNG'!$A$5:$AT644, 0, XMATCH("Tháng", '6. TIẾN ĐỘ MUA HÀNG'!$A$4:$AT$4, 0))) = TRIM(I$6)) * (INDEX('6. TIẾN ĐỘ MUA HÀNG'!$A$5:$AT644, 0, XMATCH("CL NGÀY NCC DỰ KIẾN - NGÀY NHẬN HÀNG", '6. TIẾN ĐỘ MUA HÀNG'!$A$4:$AT$4, 0)) &lt; 0)
)</f>
        <v>0</v>
      </c>
      <c r="K122" s="755">
        <f t="shared" si="30"/>
        <v>0</v>
      </c>
      <c r="L122" s="756">
        <f t="array" ref="L122">SUMPRODUCT((TRIM(INDEX('6. TIẾN ĐỘ MUA HÀNG'!$A$5:$AT644, 0, XMATCH("NCC VTBB/NL trong nước", '6. TIẾN ĐỘ MUA HÀNG'!$A$4:$AT$4, 0))) = TRIM($B122)) * (TRIM(INDEX('6. TIẾN ĐỘ MUA HÀNG'!$A$5:$AT644, 0, XMATCH("Tháng", '6. TIẾN ĐỘ MUA HÀNG'!$A$4:$AT$4, 0))) = TRIM(L$6)) * (INDEX('6. TIẾN ĐỘ MUA HÀNG'!$A$5:$AT644, 0, XMATCH("Mã đơn Misa", '6. TIẾN ĐỘ MUA HÀNG'!$A$4:$AT$4, 0)) &lt;&gt; ""))</f>
        <v>0</v>
      </c>
      <c r="M122" s="756">
        <f t="array" ref="M122">SUMPRODUCT(
  (INDEX('6. TIẾN ĐỘ MUA HÀNG'!$A$5:$AT644, 0, XMATCH("NCC VTBB/NL trong nước", '6. TIẾN ĐỘ MUA HÀNG'!$A$4:$AT$4, 0)) = $B122) * (TRIM(INDEX('6. TIẾN ĐỘ MUA HÀNG'!$A$5:$AT644, 0, XMATCH("Tháng", '6. TIẾN ĐỘ MUA HÀNG'!$A$4:$AT$4, 0))) = TRIM(L$6)) * (INDEX('6. TIẾN ĐỘ MUA HÀNG'!$A$5:$AT644, 0, XMATCH("CL NGÀY NCC DỰ KIẾN - NGÀY NHẬN HÀNG", '6. TIẾN ĐỘ MUA HÀNG'!$A$4:$AT$4, 0)) &lt; 0)
)</f>
        <v>0</v>
      </c>
      <c r="N122" s="757">
        <f t="shared" si="17"/>
        <v>0</v>
      </c>
      <c r="O122" s="754">
        <f t="array" ref="O122">SUMPRODUCT((TRIM(INDEX('6. TIẾN ĐỘ MUA HÀNG'!$A$5:$AT644, 0, XMATCH("NCC VTBB/NL trong nước", '6. TIẾN ĐỘ MUA HÀNG'!$A$4:$AT$4, 0))) = TRIM($B122)) * (TRIM(INDEX('6. TIẾN ĐỘ MUA HÀNG'!$A$5:$AT644, 0, XMATCH("Tháng", '6. TIẾN ĐỘ MUA HÀNG'!$A$4:$AT$4, 0))) = TRIM(O$6)) * (INDEX('6. TIẾN ĐỘ MUA HÀNG'!$A$5:$AT644, 0, XMATCH("Mã đơn Misa", '6. TIẾN ĐỘ MUA HÀNG'!$A$4:$AT$4, 0)) &lt;&gt; ""))</f>
        <v>0</v>
      </c>
      <c r="P122" s="754">
        <f t="array" ref="P122">SUMPRODUCT(
  (INDEX('6. TIẾN ĐỘ MUA HÀNG'!$A$5:$AT644, 0, XMATCH("NCC VTBB/NL trong nước", '6. TIẾN ĐỘ MUA HÀNG'!$A$4:$AT$4, 0)) = $B122) * (TRIM(INDEX('6. TIẾN ĐỘ MUA HÀNG'!$A$5:$AT644, 0, XMATCH("Tháng", '6. TIẾN ĐỘ MUA HÀNG'!$A$4:$AT$4, 0))) = TRIM(O$6)) * (INDEX('6. TIẾN ĐỘ MUA HÀNG'!$A$5:$AT644, 0, XMATCH("CL NGÀY NCC DỰ KIẾN - NGÀY NHẬN HÀNG", '6. TIẾN ĐỘ MUA HÀNG'!$A$4:$AT$4, 0)) &lt; 0)
)</f>
        <v>0</v>
      </c>
      <c r="Q122" s="755">
        <f t="shared" si="31"/>
        <v>0</v>
      </c>
      <c r="R122" s="756">
        <f t="array" ref="R122">SUMPRODUCT((TRIM(INDEX('6. TIẾN ĐỘ MUA HÀNG'!$A$5:$AT644, 0, XMATCH("NCC VTBB/NL trong nước", '6. TIẾN ĐỘ MUA HÀNG'!$A$4:$AT$4, 0))) = TRIM($B122)) * (TRIM(INDEX('6. TIẾN ĐỘ MUA HÀNG'!$A$5:$AT644, 0, XMATCH("Tháng", '6. TIẾN ĐỘ MUA HÀNG'!$A$4:$AT$4, 0))) = TRIM(R$6)) * (INDEX('6. TIẾN ĐỘ MUA HÀNG'!$A$5:$AT644, 0, XMATCH("Mã đơn Misa", '6. TIẾN ĐỘ MUA HÀNG'!$A$4:$AT$4, 0)) &lt;&gt; ""))</f>
        <v>0</v>
      </c>
      <c r="S122" s="756">
        <f t="array" ref="S122">SUMPRODUCT(
  (INDEX('6. TIẾN ĐỘ MUA HÀNG'!$A$5:$AT644, 0, XMATCH("NCC VTBB/NL trong nước", '6. TIẾN ĐỘ MUA HÀNG'!$A$4:$AT$4, 0)) = $B122) * (TRIM(INDEX('6. TIẾN ĐỘ MUA HÀNG'!$A$5:$AT644, 0, XMATCH("Tháng", '6. TIẾN ĐỘ MUA HÀNG'!$A$4:$AT$4, 0))) = TRIM(R$6)) * (INDEX('6. TIẾN ĐỘ MUA HÀNG'!$A$5:$AT644, 0, XMATCH("CL NGÀY NCC DỰ KIẾN - NGÀY NHẬN HÀNG", '6. TIẾN ĐỘ MUA HÀNG'!$A$4:$AT$4, 0)) &lt; 0)
)</f>
        <v>0</v>
      </c>
      <c r="T122" s="757">
        <f t="shared" si="19"/>
        <v>0</v>
      </c>
      <c r="U122" s="754">
        <f t="array" ref="U122">SUMPRODUCT((TRIM(INDEX('6. TIẾN ĐỘ MUA HÀNG'!$A$5:$AT644, 0, XMATCH("NCC VTBB/NL trong nước", '6. TIẾN ĐỘ MUA HÀNG'!$A$4:$AT$4, 0))) = TRIM($B122)) * (TRIM(INDEX('6. TIẾN ĐỘ MUA HÀNG'!$A$5:$AT644, 0, XMATCH("Tháng", '6. TIẾN ĐỘ MUA HÀNG'!$A$4:$AT$4, 0))) = TRIM(U$6)) * (INDEX('6. TIẾN ĐỘ MUA HÀNG'!$A$5:$AT644, 0, XMATCH("Mã đơn Misa", '6. TIẾN ĐỘ MUA HÀNG'!$A$4:$AT$4, 0)) &lt;&gt; ""))</f>
        <v>0</v>
      </c>
      <c r="V122" s="754">
        <f t="array" ref="V122">SUMPRODUCT(
  (INDEX('6. TIẾN ĐỘ MUA HÀNG'!$A$5:$AT644, 0, XMATCH("NCC VTBB/NL trong nước", '6. TIẾN ĐỘ MUA HÀNG'!$A$4:$AT$4, 0)) = $B122) * (TRIM(INDEX('6. TIẾN ĐỘ MUA HÀNG'!$A$5:$AT644, 0, XMATCH("Tháng", '6. TIẾN ĐỘ MUA HÀNG'!$A$4:$AT$4, 0))) = TRIM(U$6)) * (INDEX('6. TIẾN ĐỘ MUA HÀNG'!$A$5:$AT644, 0, XMATCH("CL NGÀY NCC DỰ KIẾN - NGÀY NHẬN HÀNG", '6. TIẾN ĐỘ MUA HÀNG'!$A$4:$AT$4, 0)) &lt; 0)
)</f>
        <v>0</v>
      </c>
      <c r="W122" s="755">
        <f t="shared" si="32"/>
        <v>0</v>
      </c>
      <c r="X122" s="756">
        <f t="array" ref="X122">SUMPRODUCT((TRIM(INDEX('6. TIẾN ĐỘ MUA HÀNG'!$A$5:$AT644, 0, XMATCH("NCC VTBB/NL trong nước", '6. TIẾN ĐỘ MUA HÀNG'!$A$4:$AT$4, 0))) = TRIM($B122)) * (TRIM(INDEX('6. TIẾN ĐỘ MUA HÀNG'!$A$5:$AT644, 0, XMATCH("Tháng", '6. TIẾN ĐỘ MUA HÀNG'!$A$4:$AT$4, 0))) = TRIM(X$6)) * (INDEX('6. TIẾN ĐỘ MUA HÀNG'!$A$5:$AT644, 0, XMATCH("Mã đơn Misa", '6. TIẾN ĐỘ MUA HÀNG'!$A$4:$AT$4, 0)) &lt;&gt; ""))</f>
        <v>0</v>
      </c>
      <c r="Y122" s="756">
        <f t="array" ref="Y122">SUMPRODUCT(
  (INDEX('6. TIẾN ĐỘ MUA HÀNG'!$A$5:$AT644, 0, XMATCH("NCC VTBB/NL trong nước", '6. TIẾN ĐỘ MUA HÀNG'!$A$4:$AT$4, 0)) = $B122) * (TRIM(INDEX('6. TIẾN ĐỘ MUA HÀNG'!$A$5:$AT644, 0, XMATCH("Tháng", '6. TIẾN ĐỘ MUA HÀNG'!$A$4:$AT$4, 0))) = TRIM(X$6)) * (INDEX('6. TIẾN ĐỘ MUA HÀNG'!$A$5:$AT644, 0, XMATCH("CL NGÀY NCC DỰ KIẾN - NGÀY NHẬN HÀNG", '6. TIẾN ĐỘ MUA HÀNG'!$A$4:$AT$4, 0)) &lt; 0)
)</f>
        <v>0</v>
      </c>
      <c r="Z122" s="757">
        <f t="shared" si="21"/>
        <v>0</v>
      </c>
      <c r="AA122" s="754">
        <f t="array" ref="AA122">SUMPRODUCT((TRIM(INDEX('6. TIẾN ĐỘ MUA HÀNG'!$A$5:$AT644, 0, XMATCH("NCC VTBB/NL trong nước", '6. TIẾN ĐỘ MUA HÀNG'!$A$4:$AT$4, 0))) = TRIM($B122)) * (TRIM(INDEX('6. TIẾN ĐỘ MUA HÀNG'!$A$5:$AT644, 0, XMATCH("Tháng", '6. TIẾN ĐỘ MUA HÀNG'!$A$4:$AT$4, 0))) = TRIM(AA$6)) * (INDEX('6. TIẾN ĐỘ MUA HÀNG'!$A$5:$AT644, 0, XMATCH("Mã đơn Misa", '6. TIẾN ĐỘ MUA HÀNG'!$A$4:$AT$4, 0)) &lt;&gt; ""))</f>
        <v>0</v>
      </c>
      <c r="AB122" s="754">
        <f t="array" ref="AB122">SUMPRODUCT(
  (INDEX('6. TIẾN ĐỘ MUA HÀNG'!$A$5:$AT644, 0, XMATCH("NCC VTBB/NL trong nước", '6. TIẾN ĐỘ MUA HÀNG'!$A$4:$AT$4, 0)) = $B122) * (TRIM(INDEX('6. TIẾN ĐỘ MUA HÀNG'!$A$5:$AT644, 0, XMATCH("Tháng", '6. TIẾN ĐỘ MUA HÀNG'!$A$4:$AT$4, 0))) = TRIM(AA$6)) * (INDEX('6. TIẾN ĐỘ MUA HÀNG'!$A$5:$AT644, 0, XMATCH("CL NGÀY NCC DỰ KIẾN - NGÀY NHẬN HÀNG", '6. TIẾN ĐỘ MUA HÀNG'!$A$4:$AT$4, 0)) &lt; 0)
)</f>
        <v>0</v>
      </c>
      <c r="AC122" s="755">
        <f t="shared" si="33"/>
        <v>0</v>
      </c>
      <c r="AD122" s="756">
        <f t="array" ref="AD122">SUMPRODUCT((TRIM(INDEX('6. TIẾN ĐỘ MUA HÀNG'!$A$5:$AT644, 0, XMATCH("NCC VTBB/NL trong nước", '6. TIẾN ĐỘ MUA HÀNG'!$A$4:$AT$4, 0))) = TRIM($B122)) * (TRIM(INDEX('6. TIẾN ĐỘ MUA HÀNG'!$A$5:$AT644, 0, XMATCH("Tháng", '6. TIẾN ĐỘ MUA HÀNG'!$A$4:$AT$4, 0))) = TRIM(AD$6)) * (INDEX('6. TIẾN ĐỘ MUA HÀNG'!$A$5:$AT644, 0, XMATCH("Mã đơn Misa", '6. TIẾN ĐỘ MUA HÀNG'!$A$4:$AT$4, 0)) &lt;&gt; ""))</f>
        <v>0</v>
      </c>
      <c r="AE122" s="756">
        <f t="array" ref="AE122">SUMPRODUCT(
  (INDEX('6. TIẾN ĐỘ MUA HÀNG'!$A$5:$AT644, 0, XMATCH("NCC VTBB/NL trong nước", '6. TIẾN ĐỘ MUA HÀNG'!$A$4:$AT$4, 0)) = $B122) * (TRIM(INDEX('6. TIẾN ĐỘ MUA HÀNG'!$A$5:$AT644, 0, XMATCH("Tháng", '6. TIẾN ĐỘ MUA HÀNG'!$A$4:$AT$4, 0))) = TRIM(AD$6)) * (INDEX('6. TIẾN ĐỘ MUA HÀNG'!$A$5:$AT644, 0, XMATCH("CL NGÀY NCC DỰ KIẾN - NGÀY NHẬN HÀNG", '6. TIẾN ĐỘ MUA HÀNG'!$A$4:$AT$4, 0)) &lt; 0)
)</f>
        <v>0</v>
      </c>
      <c r="AF122" s="757">
        <f t="shared" si="23"/>
        <v>0</v>
      </c>
      <c r="AG122" s="754">
        <f t="array" ref="AG122">SUMPRODUCT((TRIM(INDEX('6. TIẾN ĐỘ MUA HÀNG'!$A$5:$AT644, 0, XMATCH("NCC VTBB/NL trong nước", '6. TIẾN ĐỘ MUA HÀNG'!$A$4:$AT$4, 0))) = TRIM($B122)) * (TRIM(INDEX('6. TIẾN ĐỘ MUA HÀNG'!$A$5:$AT644, 0, XMATCH("Tháng", '6. TIẾN ĐỘ MUA HÀNG'!$A$4:$AT$4, 0))) = TRIM(AG$6)) * (INDEX('6. TIẾN ĐỘ MUA HÀNG'!$A$5:$AT644, 0, XMATCH("Mã đơn Misa", '6. TIẾN ĐỘ MUA HÀNG'!$A$4:$AT$4, 0)) &lt;&gt; ""))</f>
        <v>0</v>
      </c>
      <c r="AH122" s="754">
        <f t="array" ref="AH122">SUMPRODUCT(
  (INDEX('6. TIẾN ĐỘ MUA HÀNG'!$A$5:$AT644, 0, XMATCH("NCC VTBB/NL trong nước", '6. TIẾN ĐỘ MUA HÀNG'!$A$4:$AT$4, 0)) = $B122) * (TRIM(INDEX('6. TIẾN ĐỘ MUA HÀNG'!$A$5:$AT644, 0, XMATCH("Tháng", '6. TIẾN ĐỘ MUA HÀNG'!$A$4:$AT$4, 0))) = TRIM(AG$6)) * (INDEX('6. TIẾN ĐỘ MUA HÀNG'!$A$5:$AT644, 0, XMATCH("CL NGÀY NCC DỰ KIẾN - NGÀY NHẬN HÀNG", '6. TIẾN ĐỘ MUA HÀNG'!$A$4:$AT$4, 0)) &lt; 0)
)</f>
        <v>0</v>
      </c>
      <c r="AI122" s="755">
        <f t="shared" si="34"/>
        <v>0</v>
      </c>
      <c r="AJ122" s="756">
        <f t="array" ref="AJ122">SUMPRODUCT((TRIM(INDEX('6. TIẾN ĐỘ MUA HÀNG'!$A$5:$AT644, 0, XMATCH("NCC VTBB/NL trong nước", '6. TIẾN ĐỘ MUA HÀNG'!$A$4:$AT$4, 0))) = TRIM($B122)) * (TRIM(INDEX('6. TIẾN ĐỘ MUA HÀNG'!$A$5:$AT644, 0, XMATCH("Tháng", '6. TIẾN ĐỘ MUA HÀNG'!$A$4:$AT$4, 0))) = TRIM(AJ$6)) * (INDEX('6. TIẾN ĐỘ MUA HÀNG'!$A$5:$AT644, 0, XMATCH("Mã đơn Misa", '6. TIẾN ĐỘ MUA HÀNG'!$A$4:$AT$4, 0)) &lt;&gt; ""))</f>
        <v>0</v>
      </c>
      <c r="AK122" s="756">
        <f t="array" ref="AK122">SUMPRODUCT(
  (INDEX('6. TIẾN ĐỘ MUA HÀNG'!$A$5:$AT644, 0, XMATCH("NCC VTBB/NL trong nước", '6. TIẾN ĐỘ MUA HÀNG'!$A$4:$AT$4, 0)) = $B122) * (TRIM(INDEX('6. TIẾN ĐỘ MUA HÀNG'!$A$5:$AT644, 0, XMATCH("Tháng", '6. TIẾN ĐỘ MUA HÀNG'!$A$4:$AT$4, 0))) = TRIM(AJ$6)) * (INDEX('6. TIẾN ĐỘ MUA HÀNG'!$A$5:$AT644, 0, XMATCH("CL NGÀY NCC DỰ KIẾN - NGÀY NHẬN HÀNG", '6. TIẾN ĐỘ MUA HÀNG'!$A$4:$AT$4, 0)) &lt; 0)
)</f>
        <v>0</v>
      </c>
      <c r="AL122" s="757">
        <f t="shared" si="25"/>
        <v>0</v>
      </c>
      <c r="AM122" s="726">
        <f t="shared" si="27"/>
        <v>0</v>
      </c>
      <c r="AN122" s="726">
        <f t="shared" si="28"/>
        <v>0</v>
      </c>
      <c r="AO122" s="727">
        <f t="shared" si="26"/>
        <v>0</v>
      </c>
    </row>
    <row r="123">
      <c r="A123" s="612">
        <v>115.0</v>
      </c>
      <c r="B123" s="624" t="str">
        <f>IFERROR(__xludf.DUMMYFUNCTION("""COMPUTED_VALUE"""),"Đại Tâm")</f>
        <v>Đại Tâm</v>
      </c>
      <c r="C123" s="754">
        <f t="array" ref="C123">SUMPRODUCT((TRIM(INDEX('6. TIẾN ĐỘ MUA HÀNG'!$A$5:$AT644, 0, XMATCH("NCC VTBB/NL trong nước", '6. TIẾN ĐỘ MUA HÀNG'!$A$4:$AT$4, 0))) = TRIM($B123)) * (TRIM(INDEX('6. TIẾN ĐỘ MUA HÀNG'!$A$5:$AT644, 0, XMATCH("Tháng", '6. TIẾN ĐỘ MUA HÀNG'!$A$4:$AT$4, 0))) = TRIM(C$6)) * (INDEX('6. TIẾN ĐỘ MUA HÀNG'!$A$5:$AT644, 0, XMATCH("Mã đơn Misa", '6. TIẾN ĐỘ MUA HÀNG'!$A$4:$AT$4, 0)) &lt;&gt; ""))</f>
        <v>0</v>
      </c>
      <c r="D123" s="754">
        <f t="array" ref="D123">SUMPRODUCT(
  (INDEX('6. TIẾN ĐỘ MUA HÀNG'!$A$5:$AT644, 0, XMATCH("NCC VTBB/NL trong nước", '6. TIẾN ĐỘ MUA HÀNG'!$A$4:$AT$4, 0)) = $B123) * (TRIM(INDEX('6. TIẾN ĐỘ MUA HÀNG'!$A$5:$AT644, 0, XMATCH("Tháng", '6. TIẾN ĐỘ MUA HÀNG'!$A$4:$AT$4, 0))) = TRIM(C$6)) * (INDEX('6. TIẾN ĐỘ MUA HÀNG'!$A$5:$AT644, 0, XMATCH("CL NGÀY NCC DỰ KIẾN - NGÀY NHẬN HÀNG", '6. TIẾN ĐỘ MUA HÀNG'!$A$4:$AT$4, 0)) &lt; 0)
)</f>
        <v>0</v>
      </c>
      <c r="E123" s="755">
        <f t="shared" si="29"/>
        <v>0</v>
      </c>
      <c r="F123" s="756">
        <f t="array" ref="F123">SUMPRODUCT((TRIM(INDEX('6. TIẾN ĐỘ MUA HÀNG'!$A$5:$AT644, 0, XMATCH("NCC VTBB/NL trong nước", '6. TIẾN ĐỘ MUA HÀNG'!$A$4:$AT$4, 0))) = TRIM($B123)) * (TRIM(INDEX('6. TIẾN ĐỘ MUA HÀNG'!$A$5:$AT644, 0, XMATCH("Tháng", '6. TIẾN ĐỘ MUA HÀNG'!$A$4:$AT$4, 0))) = TRIM(F$6)) * (INDEX('6. TIẾN ĐỘ MUA HÀNG'!$A$5:$AT644, 0, XMATCH("Mã đơn Misa", '6. TIẾN ĐỘ MUA HÀNG'!$A$4:$AT$4, 0)) &lt;&gt; ""))</f>
        <v>0</v>
      </c>
      <c r="G123" s="756">
        <f t="array" ref="G123">SUMPRODUCT(
  (INDEX('6. TIẾN ĐỘ MUA HÀNG'!$A$5:$AT644, 0, XMATCH("NCC VTBB/NL trong nước", '6. TIẾN ĐỘ MUA HÀNG'!$A$4:$AT$4, 0)) = $B123) * (TRIM(INDEX('6. TIẾN ĐỘ MUA HÀNG'!$A$5:$AT644, 0, XMATCH("Tháng", '6. TIẾN ĐỘ MUA HÀNG'!$A$4:$AT$4, 0))) = TRIM(F$6)) * (INDEX('6. TIẾN ĐỘ MUA HÀNG'!$A$5:$AT644, 0, XMATCH("CL NGÀY NCC DỰ KIẾN - NGÀY NHẬN HÀNG", '6. TIẾN ĐỘ MUA HÀNG'!$A$4:$AT$4, 0)) &lt; 0)
)</f>
        <v>0</v>
      </c>
      <c r="H123" s="757">
        <f t="shared" si="15"/>
        <v>0</v>
      </c>
      <c r="I123" s="754">
        <f t="array" ref="I123">SUMPRODUCT((TRIM(INDEX('6. TIẾN ĐỘ MUA HÀNG'!$A$5:$AT644, 0, XMATCH("NCC VTBB/NL trong nước", '6. TIẾN ĐỘ MUA HÀNG'!$A$4:$AT$4, 0))) = TRIM($B123)) * (TRIM(INDEX('6. TIẾN ĐỘ MUA HÀNG'!$A$5:$AT644, 0, XMATCH("Tháng", '6. TIẾN ĐỘ MUA HÀNG'!$A$4:$AT$4, 0))) = TRIM(I$6)) * (INDEX('6. TIẾN ĐỘ MUA HÀNG'!$A$5:$AT644, 0, XMATCH("Mã đơn Misa", '6. TIẾN ĐỘ MUA HÀNG'!$A$4:$AT$4, 0)) &lt;&gt; ""))</f>
        <v>0</v>
      </c>
      <c r="J123" s="754">
        <f t="array" ref="J123">SUMPRODUCT(
  (INDEX('6. TIẾN ĐỘ MUA HÀNG'!$A$5:$AT644, 0, XMATCH("NCC VTBB/NL trong nước", '6. TIẾN ĐỘ MUA HÀNG'!$A$4:$AT$4, 0)) = $B123) * (TRIM(INDEX('6. TIẾN ĐỘ MUA HÀNG'!$A$5:$AT644, 0, XMATCH("Tháng", '6. TIẾN ĐỘ MUA HÀNG'!$A$4:$AT$4, 0))) = TRIM(I$6)) * (INDEX('6. TIẾN ĐỘ MUA HÀNG'!$A$5:$AT644, 0, XMATCH("CL NGÀY NCC DỰ KIẾN - NGÀY NHẬN HÀNG", '6. TIẾN ĐỘ MUA HÀNG'!$A$4:$AT$4, 0)) &lt; 0)
)</f>
        <v>0</v>
      </c>
      <c r="K123" s="755">
        <f t="shared" si="30"/>
        <v>0</v>
      </c>
      <c r="L123" s="756">
        <f t="array" ref="L123">SUMPRODUCT((TRIM(INDEX('6. TIẾN ĐỘ MUA HÀNG'!$A$5:$AT644, 0, XMATCH("NCC VTBB/NL trong nước", '6. TIẾN ĐỘ MUA HÀNG'!$A$4:$AT$4, 0))) = TRIM($B123)) * (TRIM(INDEX('6. TIẾN ĐỘ MUA HÀNG'!$A$5:$AT644, 0, XMATCH("Tháng", '6. TIẾN ĐỘ MUA HÀNG'!$A$4:$AT$4, 0))) = TRIM(L$6)) * (INDEX('6. TIẾN ĐỘ MUA HÀNG'!$A$5:$AT644, 0, XMATCH("Mã đơn Misa", '6. TIẾN ĐỘ MUA HÀNG'!$A$4:$AT$4, 0)) &lt;&gt; ""))</f>
        <v>0</v>
      </c>
      <c r="M123" s="756">
        <f t="array" ref="M123">SUMPRODUCT(
  (INDEX('6. TIẾN ĐỘ MUA HÀNG'!$A$5:$AT644, 0, XMATCH("NCC VTBB/NL trong nước", '6. TIẾN ĐỘ MUA HÀNG'!$A$4:$AT$4, 0)) = $B123) * (TRIM(INDEX('6. TIẾN ĐỘ MUA HÀNG'!$A$5:$AT644, 0, XMATCH("Tháng", '6. TIẾN ĐỘ MUA HÀNG'!$A$4:$AT$4, 0))) = TRIM(L$6)) * (INDEX('6. TIẾN ĐỘ MUA HÀNG'!$A$5:$AT644, 0, XMATCH("CL NGÀY NCC DỰ KIẾN - NGÀY NHẬN HÀNG", '6. TIẾN ĐỘ MUA HÀNG'!$A$4:$AT$4, 0)) &lt; 0)
)</f>
        <v>0</v>
      </c>
      <c r="N123" s="757">
        <f t="shared" si="17"/>
        <v>0</v>
      </c>
      <c r="O123" s="754">
        <f t="array" ref="O123">SUMPRODUCT((TRIM(INDEX('6. TIẾN ĐỘ MUA HÀNG'!$A$5:$AT644, 0, XMATCH("NCC VTBB/NL trong nước", '6. TIẾN ĐỘ MUA HÀNG'!$A$4:$AT$4, 0))) = TRIM($B123)) * (TRIM(INDEX('6. TIẾN ĐỘ MUA HÀNG'!$A$5:$AT644, 0, XMATCH("Tháng", '6. TIẾN ĐỘ MUA HÀNG'!$A$4:$AT$4, 0))) = TRIM(O$6)) * (INDEX('6. TIẾN ĐỘ MUA HÀNG'!$A$5:$AT644, 0, XMATCH("Mã đơn Misa", '6. TIẾN ĐỘ MUA HÀNG'!$A$4:$AT$4, 0)) &lt;&gt; ""))</f>
        <v>0</v>
      </c>
      <c r="P123" s="754">
        <f t="array" ref="P123">SUMPRODUCT(
  (INDEX('6. TIẾN ĐỘ MUA HÀNG'!$A$5:$AT644, 0, XMATCH("NCC VTBB/NL trong nước", '6. TIẾN ĐỘ MUA HÀNG'!$A$4:$AT$4, 0)) = $B123) * (TRIM(INDEX('6. TIẾN ĐỘ MUA HÀNG'!$A$5:$AT644, 0, XMATCH("Tháng", '6. TIẾN ĐỘ MUA HÀNG'!$A$4:$AT$4, 0))) = TRIM(O$6)) * (INDEX('6. TIẾN ĐỘ MUA HÀNG'!$A$5:$AT644, 0, XMATCH("CL NGÀY NCC DỰ KIẾN - NGÀY NHẬN HÀNG", '6. TIẾN ĐỘ MUA HÀNG'!$A$4:$AT$4, 0)) &lt; 0)
)</f>
        <v>0</v>
      </c>
      <c r="Q123" s="755">
        <f t="shared" si="31"/>
        <v>0</v>
      </c>
      <c r="R123" s="756">
        <f t="array" ref="R123">SUMPRODUCT((TRIM(INDEX('6. TIẾN ĐỘ MUA HÀNG'!$A$5:$AT644, 0, XMATCH("NCC VTBB/NL trong nước", '6. TIẾN ĐỘ MUA HÀNG'!$A$4:$AT$4, 0))) = TRIM($B123)) * (TRIM(INDEX('6. TIẾN ĐỘ MUA HÀNG'!$A$5:$AT644, 0, XMATCH("Tháng", '6. TIẾN ĐỘ MUA HÀNG'!$A$4:$AT$4, 0))) = TRIM(R$6)) * (INDEX('6. TIẾN ĐỘ MUA HÀNG'!$A$5:$AT644, 0, XMATCH("Mã đơn Misa", '6. TIẾN ĐỘ MUA HÀNG'!$A$4:$AT$4, 0)) &lt;&gt; ""))</f>
        <v>0</v>
      </c>
      <c r="S123" s="756">
        <f t="array" ref="S123">SUMPRODUCT(
  (INDEX('6. TIẾN ĐỘ MUA HÀNG'!$A$5:$AT644, 0, XMATCH("NCC VTBB/NL trong nước", '6. TIẾN ĐỘ MUA HÀNG'!$A$4:$AT$4, 0)) = $B123) * (TRIM(INDEX('6. TIẾN ĐỘ MUA HÀNG'!$A$5:$AT644, 0, XMATCH("Tháng", '6. TIẾN ĐỘ MUA HÀNG'!$A$4:$AT$4, 0))) = TRIM(R$6)) * (INDEX('6. TIẾN ĐỘ MUA HÀNG'!$A$5:$AT644, 0, XMATCH("CL NGÀY NCC DỰ KIẾN - NGÀY NHẬN HÀNG", '6. TIẾN ĐỘ MUA HÀNG'!$A$4:$AT$4, 0)) &lt; 0)
)</f>
        <v>0</v>
      </c>
      <c r="T123" s="757">
        <f t="shared" si="19"/>
        <v>0</v>
      </c>
      <c r="U123" s="754">
        <f t="array" ref="U123">SUMPRODUCT((TRIM(INDEX('6. TIẾN ĐỘ MUA HÀNG'!$A$5:$AT644, 0, XMATCH("NCC VTBB/NL trong nước", '6. TIẾN ĐỘ MUA HÀNG'!$A$4:$AT$4, 0))) = TRIM($B123)) * (TRIM(INDEX('6. TIẾN ĐỘ MUA HÀNG'!$A$5:$AT644, 0, XMATCH("Tháng", '6. TIẾN ĐỘ MUA HÀNG'!$A$4:$AT$4, 0))) = TRIM(U$6)) * (INDEX('6. TIẾN ĐỘ MUA HÀNG'!$A$5:$AT644, 0, XMATCH("Mã đơn Misa", '6. TIẾN ĐỘ MUA HÀNG'!$A$4:$AT$4, 0)) &lt;&gt; ""))</f>
        <v>0</v>
      </c>
      <c r="V123" s="754">
        <f t="array" ref="V123">SUMPRODUCT(
  (INDEX('6. TIẾN ĐỘ MUA HÀNG'!$A$5:$AT644, 0, XMATCH("NCC VTBB/NL trong nước", '6. TIẾN ĐỘ MUA HÀNG'!$A$4:$AT$4, 0)) = $B123) * (TRIM(INDEX('6. TIẾN ĐỘ MUA HÀNG'!$A$5:$AT644, 0, XMATCH("Tháng", '6. TIẾN ĐỘ MUA HÀNG'!$A$4:$AT$4, 0))) = TRIM(U$6)) * (INDEX('6. TIẾN ĐỘ MUA HÀNG'!$A$5:$AT644, 0, XMATCH("CL NGÀY NCC DỰ KIẾN - NGÀY NHẬN HÀNG", '6. TIẾN ĐỘ MUA HÀNG'!$A$4:$AT$4, 0)) &lt; 0)
)</f>
        <v>0</v>
      </c>
      <c r="W123" s="755">
        <f t="shared" si="32"/>
        <v>0</v>
      </c>
      <c r="X123" s="756">
        <f t="array" ref="X123">SUMPRODUCT((TRIM(INDEX('6. TIẾN ĐỘ MUA HÀNG'!$A$5:$AT644, 0, XMATCH("NCC VTBB/NL trong nước", '6. TIẾN ĐỘ MUA HÀNG'!$A$4:$AT$4, 0))) = TRIM($B123)) * (TRIM(INDEX('6. TIẾN ĐỘ MUA HÀNG'!$A$5:$AT644, 0, XMATCH("Tháng", '6. TIẾN ĐỘ MUA HÀNG'!$A$4:$AT$4, 0))) = TRIM(X$6)) * (INDEX('6. TIẾN ĐỘ MUA HÀNG'!$A$5:$AT644, 0, XMATCH("Mã đơn Misa", '6. TIẾN ĐỘ MUA HÀNG'!$A$4:$AT$4, 0)) &lt;&gt; ""))</f>
        <v>0</v>
      </c>
      <c r="Y123" s="756">
        <f t="array" ref="Y123">SUMPRODUCT(
  (INDEX('6. TIẾN ĐỘ MUA HÀNG'!$A$5:$AT644, 0, XMATCH("NCC VTBB/NL trong nước", '6. TIẾN ĐỘ MUA HÀNG'!$A$4:$AT$4, 0)) = $B123) * (TRIM(INDEX('6. TIẾN ĐỘ MUA HÀNG'!$A$5:$AT644, 0, XMATCH("Tháng", '6. TIẾN ĐỘ MUA HÀNG'!$A$4:$AT$4, 0))) = TRIM(X$6)) * (INDEX('6. TIẾN ĐỘ MUA HÀNG'!$A$5:$AT644, 0, XMATCH("CL NGÀY NCC DỰ KIẾN - NGÀY NHẬN HÀNG", '6. TIẾN ĐỘ MUA HÀNG'!$A$4:$AT$4, 0)) &lt; 0)
)</f>
        <v>0</v>
      </c>
      <c r="Z123" s="757">
        <f t="shared" si="21"/>
        <v>0</v>
      </c>
      <c r="AA123" s="754">
        <f t="array" ref="AA123">SUMPRODUCT((TRIM(INDEX('6. TIẾN ĐỘ MUA HÀNG'!$A$5:$AT644, 0, XMATCH("NCC VTBB/NL trong nước", '6. TIẾN ĐỘ MUA HÀNG'!$A$4:$AT$4, 0))) = TRIM($B123)) * (TRIM(INDEX('6. TIẾN ĐỘ MUA HÀNG'!$A$5:$AT644, 0, XMATCH("Tháng", '6. TIẾN ĐỘ MUA HÀNG'!$A$4:$AT$4, 0))) = TRIM(AA$6)) * (INDEX('6. TIẾN ĐỘ MUA HÀNG'!$A$5:$AT644, 0, XMATCH("Mã đơn Misa", '6. TIẾN ĐỘ MUA HÀNG'!$A$4:$AT$4, 0)) &lt;&gt; ""))</f>
        <v>0</v>
      </c>
      <c r="AB123" s="754">
        <f t="array" ref="AB123">SUMPRODUCT(
  (INDEX('6. TIẾN ĐỘ MUA HÀNG'!$A$5:$AT644, 0, XMATCH("NCC VTBB/NL trong nước", '6. TIẾN ĐỘ MUA HÀNG'!$A$4:$AT$4, 0)) = $B123) * (TRIM(INDEX('6. TIẾN ĐỘ MUA HÀNG'!$A$5:$AT644, 0, XMATCH("Tháng", '6. TIẾN ĐỘ MUA HÀNG'!$A$4:$AT$4, 0))) = TRIM(AA$6)) * (INDEX('6. TIẾN ĐỘ MUA HÀNG'!$A$5:$AT644, 0, XMATCH("CL NGÀY NCC DỰ KIẾN - NGÀY NHẬN HÀNG", '6. TIẾN ĐỘ MUA HÀNG'!$A$4:$AT$4, 0)) &lt; 0)
)</f>
        <v>0</v>
      </c>
      <c r="AC123" s="755">
        <f t="shared" si="33"/>
        <v>0</v>
      </c>
      <c r="AD123" s="756">
        <f t="array" ref="AD123">SUMPRODUCT((TRIM(INDEX('6. TIẾN ĐỘ MUA HÀNG'!$A$5:$AT644, 0, XMATCH("NCC VTBB/NL trong nước", '6. TIẾN ĐỘ MUA HÀNG'!$A$4:$AT$4, 0))) = TRIM($B123)) * (TRIM(INDEX('6. TIẾN ĐỘ MUA HÀNG'!$A$5:$AT644, 0, XMATCH("Tháng", '6. TIẾN ĐỘ MUA HÀNG'!$A$4:$AT$4, 0))) = TRIM(AD$6)) * (INDEX('6. TIẾN ĐỘ MUA HÀNG'!$A$5:$AT644, 0, XMATCH("Mã đơn Misa", '6. TIẾN ĐỘ MUA HÀNG'!$A$4:$AT$4, 0)) &lt;&gt; ""))</f>
        <v>0</v>
      </c>
      <c r="AE123" s="756">
        <f t="array" ref="AE123">SUMPRODUCT(
  (INDEX('6. TIẾN ĐỘ MUA HÀNG'!$A$5:$AT644, 0, XMATCH("NCC VTBB/NL trong nước", '6. TIẾN ĐỘ MUA HÀNG'!$A$4:$AT$4, 0)) = $B123) * (TRIM(INDEX('6. TIẾN ĐỘ MUA HÀNG'!$A$5:$AT644, 0, XMATCH("Tháng", '6. TIẾN ĐỘ MUA HÀNG'!$A$4:$AT$4, 0))) = TRIM(AD$6)) * (INDEX('6. TIẾN ĐỘ MUA HÀNG'!$A$5:$AT644, 0, XMATCH("CL NGÀY NCC DỰ KIẾN - NGÀY NHẬN HÀNG", '6. TIẾN ĐỘ MUA HÀNG'!$A$4:$AT$4, 0)) &lt; 0)
)</f>
        <v>0</v>
      </c>
      <c r="AF123" s="757">
        <f t="shared" si="23"/>
        <v>0</v>
      </c>
      <c r="AG123" s="754">
        <f t="array" ref="AG123">SUMPRODUCT((TRIM(INDEX('6. TIẾN ĐỘ MUA HÀNG'!$A$5:$AT644, 0, XMATCH("NCC VTBB/NL trong nước", '6. TIẾN ĐỘ MUA HÀNG'!$A$4:$AT$4, 0))) = TRIM($B123)) * (TRIM(INDEX('6. TIẾN ĐỘ MUA HÀNG'!$A$5:$AT644, 0, XMATCH("Tháng", '6. TIẾN ĐỘ MUA HÀNG'!$A$4:$AT$4, 0))) = TRIM(AG$6)) * (INDEX('6. TIẾN ĐỘ MUA HÀNG'!$A$5:$AT644, 0, XMATCH("Mã đơn Misa", '6. TIẾN ĐỘ MUA HÀNG'!$A$4:$AT$4, 0)) &lt;&gt; ""))</f>
        <v>0</v>
      </c>
      <c r="AH123" s="754">
        <f t="array" ref="AH123">SUMPRODUCT(
  (INDEX('6. TIẾN ĐỘ MUA HÀNG'!$A$5:$AT644, 0, XMATCH("NCC VTBB/NL trong nước", '6. TIẾN ĐỘ MUA HÀNG'!$A$4:$AT$4, 0)) = $B123) * (TRIM(INDEX('6. TIẾN ĐỘ MUA HÀNG'!$A$5:$AT644, 0, XMATCH("Tháng", '6. TIẾN ĐỘ MUA HÀNG'!$A$4:$AT$4, 0))) = TRIM(AG$6)) * (INDEX('6. TIẾN ĐỘ MUA HÀNG'!$A$5:$AT644, 0, XMATCH("CL NGÀY NCC DỰ KIẾN - NGÀY NHẬN HÀNG", '6. TIẾN ĐỘ MUA HÀNG'!$A$4:$AT$4, 0)) &lt; 0)
)</f>
        <v>0</v>
      </c>
      <c r="AI123" s="755">
        <f t="shared" si="34"/>
        <v>0</v>
      </c>
      <c r="AJ123" s="756">
        <f t="array" ref="AJ123">SUMPRODUCT((TRIM(INDEX('6. TIẾN ĐỘ MUA HÀNG'!$A$5:$AT644, 0, XMATCH("NCC VTBB/NL trong nước", '6. TIẾN ĐỘ MUA HÀNG'!$A$4:$AT$4, 0))) = TRIM($B123)) * (TRIM(INDEX('6. TIẾN ĐỘ MUA HÀNG'!$A$5:$AT644, 0, XMATCH("Tháng", '6. TIẾN ĐỘ MUA HÀNG'!$A$4:$AT$4, 0))) = TRIM(AJ$6)) * (INDEX('6. TIẾN ĐỘ MUA HÀNG'!$A$5:$AT644, 0, XMATCH("Mã đơn Misa", '6. TIẾN ĐỘ MUA HÀNG'!$A$4:$AT$4, 0)) &lt;&gt; ""))</f>
        <v>0</v>
      </c>
      <c r="AK123" s="756">
        <f t="array" ref="AK123">SUMPRODUCT(
  (INDEX('6. TIẾN ĐỘ MUA HÀNG'!$A$5:$AT644, 0, XMATCH("NCC VTBB/NL trong nước", '6. TIẾN ĐỘ MUA HÀNG'!$A$4:$AT$4, 0)) = $B123) * (TRIM(INDEX('6. TIẾN ĐỘ MUA HÀNG'!$A$5:$AT644, 0, XMATCH("Tháng", '6. TIẾN ĐỘ MUA HÀNG'!$A$4:$AT$4, 0))) = TRIM(AJ$6)) * (INDEX('6. TIẾN ĐỘ MUA HÀNG'!$A$5:$AT644, 0, XMATCH("CL NGÀY NCC DỰ KIẾN - NGÀY NHẬN HÀNG", '6. TIẾN ĐỘ MUA HÀNG'!$A$4:$AT$4, 0)) &lt; 0)
)</f>
        <v>0</v>
      </c>
      <c r="AL123" s="757">
        <f t="shared" si="25"/>
        <v>0</v>
      </c>
      <c r="AM123" s="726">
        <f t="shared" si="27"/>
        <v>0</v>
      </c>
      <c r="AN123" s="726">
        <f t="shared" si="28"/>
        <v>0</v>
      </c>
      <c r="AO123" s="727">
        <f t="shared" si="26"/>
        <v>0</v>
      </c>
    </row>
    <row r="124">
      <c r="A124" s="612">
        <v>116.0</v>
      </c>
      <c r="B124" s="624" t="str">
        <f>IFERROR(__xludf.DUMMYFUNCTION("""COMPUTED_VALUE"""),"Pesticidex")</f>
        <v>Pesticidex</v>
      </c>
      <c r="C124" s="754">
        <f t="array" ref="C124">SUMPRODUCT((TRIM(INDEX('6. TIẾN ĐỘ MUA HÀNG'!$A$5:$AT644, 0, XMATCH("NCC VTBB/NL trong nước", '6. TIẾN ĐỘ MUA HÀNG'!$A$4:$AT$4, 0))) = TRIM($B124)) * (TRIM(INDEX('6. TIẾN ĐỘ MUA HÀNG'!$A$5:$AT644, 0, XMATCH("Tháng", '6. TIẾN ĐỘ MUA HÀNG'!$A$4:$AT$4, 0))) = TRIM(C$6)) * (INDEX('6. TIẾN ĐỘ MUA HÀNG'!$A$5:$AT644, 0, XMATCH("Mã đơn Misa", '6. TIẾN ĐỘ MUA HÀNG'!$A$4:$AT$4, 0)) &lt;&gt; ""))</f>
        <v>0</v>
      </c>
      <c r="D124" s="754">
        <f t="array" ref="D124">SUMPRODUCT(
  (INDEX('6. TIẾN ĐỘ MUA HÀNG'!$A$5:$AT644, 0, XMATCH("NCC VTBB/NL trong nước", '6. TIẾN ĐỘ MUA HÀNG'!$A$4:$AT$4, 0)) = $B124) * (TRIM(INDEX('6. TIẾN ĐỘ MUA HÀNG'!$A$5:$AT644, 0, XMATCH("Tháng", '6. TIẾN ĐỘ MUA HÀNG'!$A$4:$AT$4, 0))) = TRIM(C$6)) * (INDEX('6. TIẾN ĐỘ MUA HÀNG'!$A$5:$AT644, 0, XMATCH("CL NGÀY NCC DỰ KIẾN - NGÀY NHẬN HÀNG", '6. TIẾN ĐỘ MUA HÀNG'!$A$4:$AT$4, 0)) &lt; 0)
)</f>
        <v>0</v>
      </c>
      <c r="E124" s="755">
        <f t="shared" si="29"/>
        <v>0</v>
      </c>
      <c r="F124" s="756">
        <f t="array" ref="F124">SUMPRODUCT((TRIM(INDEX('6. TIẾN ĐỘ MUA HÀNG'!$A$5:$AT644, 0, XMATCH("NCC VTBB/NL trong nước", '6. TIẾN ĐỘ MUA HÀNG'!$A$4:$AT$4, 0))) = TRIM($B124)) * (TRIM(INDEX('6. TIẾN ĐỘ MUA HÀNG'!$A$5:$AT644, 0, XMATCH("Tháng", '6. TIẾN ĐỘ MUA HÀNG'!$A$4:$AT$4, 0))) = TRIM(F$6)) * (INDEX('6. TIẾN ĐỘ MUA HÀNG'!$A$5:$AT644, 0, XMATCH("Mã đơn Misa", '6. TIẾN ĐỘ MUA HÀNG'!$A$4:$AT$4, 0)) &lt;&gt; ""))</f>
        <v>0</v>
      </c>
      <c r="G124" s="756">
        <f t="array" ref="G124">SUMPRODUCT(
  (INDEX('6. TIẾN ĐỘ MUA HÀNG'!$A$5:$AT644, 0, XMATCH("NCC VTBB/NL trong nước", '6. TIẾN ĐỘ MUA HÀNG'!$A$4:$AT$4, 0)) = $B124) * (TRIM(INDEX('6. TIẾN ĐỘ MUA HÀNG'!$A$5:$AT644, 0, XMATCH("Tháng", '6. TIẾN ĐỘ MUA HÀNG'!$A$4:$AT$4, 0))) = TRIM(F$6)) * (INDEX('6. TIẾN ĐỘ MUA HÀNG'!$A$5:$AT644, 0, XMATCH("CL NGÀY NCC DỰ KIẾN - NGÀY NHẬN HÀNG", '6. TIẾN ĐỘ MUA HÀNG'!$A$4:$AT$4, 0)) &lt; 0)
)</f>
        <v>0</v>
      </c>
      <c r="H124" s="757">
        <f t="shared" si="15"/>
        <v>0</v>
      </c>
      <c r="I124" s="754">
        <f t="array" ref="I124">SUMPRODUCT((TRIM(INDEX('6. TIẾN ĐỘ MUA HÀNG'!$A$5:$AT644, 0, XMATCH("NCC VTBB/NL trong nước", '6. TIẾN ĐỘ MUA HÀNG'!$A$4:$AT$4, 0))) = TRIM($B124)) * (TRIM(INDEX('6. TIẾN ĐỘ MUA HÀNG'!$A$5:$AT644, 0, XMATCH("Tháng", '6. TIẾN ĐỘ MUA HÀNG'!$A$4:$AT$4, 0))) = TRIM(I$6)) * (INDEX('6. TIẾN ĐỘ MUA HÀNG'!$A$5:$AT644, 0, XMATCH("Mã đơn Misa", '6. TIẾN ĐỘ MUA HÀNG'!$A$4:$AT$4, 0)) &lt;&gt; ""))</f>
        <v>0</v>
      </c>
      <c r="J124" s="754">
        <f t="array" ref="J124">SUMPRODUCT(
  (INDEX('6. TIẾN ĐỘ MUA HÀNG'!$A$5:$AT644, 0, XMATCH("NCC VTBB/NL trong nước", '6. TIẾN ĐỘ MUA HÀNG'!$A$4:$AT$4, 0)) = $B124) * (TRIM(INDEX('6. TIẾN ĐỘ MUA HÀNG'!$A$5:$AT644, 0, XMATCH("Tháng", '6. TIẾN ĐỘ MUA HÀNG'!$A$4:$AT$4, 0))) = TRIM(I$6)) * (INDEX('6. TIẾN ĐỘ MUA HÀNG'!$A$5:$AT644, 0, XMATCH("CL NGÀY NCC DỰ KIẾN - NGÀY NHẬN HÀNG", '6. TIẾN ĐỘ MUA HÀNG'!$A$4:$AT$4, 0)) &lt; 0)
)</f>
        <v>0</v>
      </c>
      <c r="K124" s="755">
        <f t="shared" si="30"/>
        <v>0</v>
      </c>
      <c r="L124" s="756">
        <f t="array" ref="L124">SUMPRODUCT((TRIM(INDEX('6. TIẾN ĐỘ MUA HÀNG'!$A$5:$AT644, 0, XMATCH("NCC VTBB/NL trong nước", '6. TIẾN ĐỘ MUA HÀNG'!$A$4:$AT$4, 0))) = TRIM($B124)) * (TRIM(INDEX('6. TIẾN ĐỘ MUA HÀNG'!$A$5:$AT644, 0, XMATCH("Tháng", '6. TIẾN ĐỘ MUA HÀNG'!$A$4:$AT$4, 0))) = TRIM(L$6)) * (INDEX('6. TIẾN ĐỘ MUA HÀNG'!$A$5:$AT644, 0, XMATCH("Mã đơn Misa", '6. TIẾN ĐỘ MUA HÀNG'!$A$4:$AT$4, 0)) &lt;&gt; ""))</f>
        <v>0</v>
      </c>
      <c r="M124" s="756">
        <f t="array" ref="M124">SUMPRODUCT(
  (INDEX('6. TIẾN ĐỘ MUA HÀNG'!$A$5:$AT644, 0, XMATCH("NCC VTBB/NL trong nước", '6. TIẾN ĐỘ MUA HÀNG'!$A$4:$AT$4, 0)) = $B124) * (TRIM(INDEX('6. TIẾN ĐỘ MUA HÀNG'!$A$5:$AT644, 0, XMATCH("Tháng", '6. TIẾN ĐỘ MUA HÀNG'!$A$4:$AT$4, 0))) = TRIM(L$6)) * (INDEX('6. TIẾN ĐỘ MUA HÀNG'!$A$5:$AT644, 0, XMATCH("CL NGÀY NCC DỰ KIẾN - NGÀY NHẬN HÀNG", '6. TIẾN ĐỘ MUA HÀNG'!$A$4:$AT$4, 0)) &lt; 0)
)</f>
        <v>0</v>
      </c>
      <c r="N124" s="757">
        <f t="shared" si="17"/>
        <v>0</v>
      </c>
      <c r="O124" s="754">
        <f t="array" ref="O124">SUMPRODUCT((TRIM(INDEX('6. TIẾN ĐỘ MUA HÀNG'!$A$5:$AT644, 0, XMATCH("NCC VTBB/NL trong nước", '6. TIẾN ĐỘ MUA HÀNG'!$A$4:$AT$4, 0))) = TRIM($B124)) * (TRIM(INDEX('6. TIẾN ĐỘ MUA HÀNG'!$A$5:$AT644, 0, XMATCH("Tháng", '6. TIẾN ĐỘ MUA HÀNG'!$A$4:$AT$4, 0))) = TRIM(O$6)) * (INDEX('6. TIẾN ĐỘ MUA HÀNG'!$A$5:$AT644, 0, XMATCH("Mã đơn Misa", '6. TIẾN ĐỘ MUA HÀNG'!$A$4:$AT$4, 0)) &lt;&gt; ""))</f>
        <v>0</v>
      </c>
      <c r="P124" s="754">
        <f t="array" ref="P124">SUMPRODUCT(
  (INDEX('6. TIẾN ĐỘ MUA HÀNG'!$A$5:$AT644, 0, XMATCH("NCC VTBB/NL trong nước", '6. TIẾN ĐỘ MUA HÀNG'!$A$4:$AT$4, 0)) = $B124) * (TRIM(INDEX('6. TIẾN ĐỘ MUA HÀNG'!$A$5:$AT644, 0, XMATCH("Tháng", '6. TIẾN ĐỘ MUA HÀNG'!$A$4:$AT$4, 0))) = TRIM(O$6)) * (INDEX('6. TIẾN ĐỘ MUA HÀNG'!$A$5:$AT644, 0, XMATCH("CL NGÀY NCC DỰ KIẾN - NGÀY NHẬN HÀNG", '6. TIẾN ĐỘ MUA HÀNG'!$A$4:$AT$4, 0)) &lt; 0)
)</f>
        <v>0</v>
      </c>
      <c r="Q124" s="755">
        <f t="shared" si="31"/>
        <v>0</v>
      </c>
      <c r="R124" s="756">
        <f t="array" ref="R124">SUMPRODUCT((TRIM(INDEX('6. TIẾN ĐỘ MUA HÀNG'!$A$5:$AT644, 0, XMATCH("NCC VTBB/NL trong nước", '6. TIẾN ĐỘ MUA HÀNG'!$A$4:$AT$4, 0))) = TRIM($B124)) * (TRIM(INDEX('6. TIẾN ĐỘ MUA HÀNG'!$A$5:$AT644, 0, XMATCH("Tháng", '6. TIẾN ĐỘ MUA HÀNG'!$A$4:$AT$4, 0))) = TRIM(R$6)) * (INDEX('6. TIẾN ĐỘ MUA HÀNG'!$A$5:$AT644, 0, XMATCH("Mã đơn Misa", '6. TIẾN ĐỘ MUA HÀNG'!$A$4:$AT$4, 0)) &lt;&gt; ""))</f>
        <v>0</v>
      </c>
      <c r="S124" s="756">
        <f t="array" ref="S124">SUMPRODUCT(
  (INDEX('6. TIẾN ĐỘ MUA HÀNG'!$A$5:$AT644, 0, XMATCH("NCC VTBB/NL trong nước", '6. TIẾN ĐỘ MUA HÀNG'!$A$4:$AT$4, 0)) = $B124) * (TRIM(INDEX('6. TIẾN ĐỘ MUA HÀNG'!$A$5:$AT644, 0, XMATCH("Tháng", '6. TIẾN ĐỘ MUA HÀNG'!$A$4:$AT$4, 0))) = TRIM(R$6)) * (INDEX('6. TIẾN ĐỘ MUA HÀNG'!$A$5:$AT644, 0, XMATCH("CL NGÀY NCC DỰ KIẾN - NGÀY NHẬN HÀNG", '6. TIẾN ĐỘ MUA HÀNG'!$A$4:$AT$4, 0)) &lt; 0)
)</f>
        <v>0</v>
      </c>
      <c r="T124" s="757">
        <f t="shared" si="19"/>
        <v>0</v>
      </c>
      <c r="U124" s="754">
        <f t="array" ref="U124">SUMPRODUCT((TRIM(INDEX('6. TIẾN ĐỘ MUA HÀNG'!$A$5:$AT644, 0, XMATCH("NCC VTBB/NL trong nước", '6. TIẾN ĐỘ MUA HÀNG'!$A$4:$AT$4, 0))) = TRIM($B124)) * (TRIM(INDEX('6. TIẾN ĐỘ MUA HÀNG'!$A$5:$AT644, 0, XMATCH("Tháng", '6. TIẾN ĐỘ MUA HÀNG'!$A$4:$AT$4, 0))) = TRIM(U$6)) * (INDEX('6. TIẾN ĐỘ MUA HÀNG'!$A$5:$AT644, 0, XMATCH("Mã đơn Misa", '6. TIẾN ĐỘ MUA HÀNG'!$A$4:$AT$4, 0)) &lt;&gt; ""))</f>
        <v>0</v>
      </c>
      <c r="V124" s="754">
        <f t="array" ref="V124">SUMPRODUCT(
  (INDEX('6. TIẾN ĐỘ MUA HÀNG'!$A$5:$AT644, 0, XMATCH("NCC VTBB/NL trong nước", '6. TIẾN ĐỘ MUA HÀNG'!$A$4:$AT$4, 0)) = $B124) * (TRIM(INDEX('6. TIẾN ĐỘ MUA HÀNG'!$A$5:$AT644, 0, XMATCH("Tháng", '6. TIẾN ĐỘ MUA HÀNG'!$A$4:$AT$4, 0))) = TRIM(U$6)) * (INDEX('6. TIẾN ĐỘ MUA HÀNG'!$A$5:$AT644, 0, XMATCH("CL NGÀY NCC DỰ KIẾN - NGÀY NHẬN HÀNG", '6. TIẾN ĐỘ MUA HÀNG'!$A$4:$AT$4, 0)) &lt; 0)
)</f>
        <v>0</v>
      </c>
      <c r="W124" s="755">
        <f t="shared" si="32"/>
        <v>0</v>
      </c>
      <c r="X124" s="756">
        <f t="array" ref="X124">SUMPRODUCT((TRIM(INDEX('6. TIẾN ĐỘ MUA HÀNG'!$A$5:$AT644, 0, XMATCH("NCC VTBB/NL trong nước", '6. TIẾN ĐỘ MUA HÀNG'!$A$4:$AT$4, 0))) = TRIM($B124)) * (TRIM(INDEX('6. TIẾN ĐỘ MUA HÀNG'!$A$5:$AT644, 0, XMATCH("Tháng", '6. TIẾN ĐỘ MUA HÀNG'!$A$4:$AT$4, 0))) = TRIM(X$6)) * (INDEX('6. TIẾN ĐỘ MUA HÀNG'!$A$5:$AT644, 0, XMATCH("Mã đơn Misa", '6. TIẾN ĐỘ MUA HÀNG'!$A$4:$AT$4, 0)) &lt;&gt; ""))</f>
        <v>0</v>
      </c>
      <c r="Y124" s="756">
        <f t="array" ref="Y124">SUMPRODUCT(
  (INDEX('6. TIẾN ĐỘ MUA HÀNG'!$A$5:$AT644, 0, XMATCH("NCC VTBB/NL trong nước", '6. TIẾN ĐỘ MUA HÀNG'!$A$4:$AT$4, 0)) = $B124) * (TRIM(INDEX('6. TIẾN ĐỘ MUA HÀNG'!$A$5:$AT644, 0, XMATCH("Tháng", '6. TIẾN ĐỘ MUA HÀNG'!$A$4:$AT$4, 0))) = TRIM(X$6)) * (INDEX('6. TIẾN ĐỘ MUA HÀNG'!$A$5:$AT644, 0, XMATCH("CL NGÀY NCC DỰ KIẾN - NGÀY NHẬN HÀNG", '6. TIẾN ĐỘ MUA HÀNG'!$A$4:$AT$4, 0)) &lt; 0)
)</f>
        <v>0</v>
      </c>
      <c r="Z124" s="757">
        <f t="shared" si="21"/>
        <v>0</v>
      </c>
      <c r="AA124" s="754">
        <f t="array" ref="AA124">SUMPRODUCT((TRIM(INDEX('6. TIẾN ĐỘ MUA HÀNG'!$A$5:$AT644, 0, XMATCH("NCC VTBB/NL trong nước", '6. TIẾN ĐỘ MUA HÀNG'!$A$4:$AT$4, 0))) = TRIM($B124)) * (TRIM(INDEX('6. TIẾN ĐỘ MUA HÀNG'!$A$5:$AT644, 0, XMATCH("Tháng", '6. TIẾN ĐỘ MUA HÀNG'!$A$4:$AT$4, 0))) = TRIM(AA$6)) * (INDEX('6. TIẾN ĐỘ MUA HÀNG'!$A$5:$AT644, 0, XMATCH("Mã đơn Misa", '6. TIẾN ĐỘ MUA HÀNG'!$A$4:$AT$4, 0)) &lt;&gt; ""))</f>
        <v>0</v>
      </c>
      <c r="AB124" s="754">
        <f t="array" ref="AB124">SUMPRODUCT(
  (INDEX('6. TIẾN ĐỘ MUA HÀNG'!$A$5:$AT644, 0, XMATCH("NCC VTBB/NL trong nước", '6. TIẾN ĐỘ MUA HÀNG'!$A$4:$AT$4, 0)) = $B124) * (TRIM(INDEX('6. TIẾN ĐỘ MUA HÀNG'!$A$5:$AT644, 0, XMATCH("Tháng", '6. TIẾN ĐỘ MUA HÀNG'!$A$4:$AT$4, 0))) = TRIM(AA$6)) * (INDEX('6. TIẾN ĐỘ MUA HÀNG'!$A$5:$AT644, 0, XMATCH("CL NGÀY NCC DỰ KIẾN - NGÀY NHẬN HÀNG", '6. TIẾN ĐỘ MUA HÀNG'!$A$4:$AT$4, 0)) &lt; 0)
)</f>
        <v>0</v>
      </c>
      <c r="AC124" s="755">
        <f t="shared" si="33"/>
        <v>0</v>
      </c>
      <c r="AD124" s="756">
        <f t="array" ref="AD124">SUMPRODUCT((TRIM(INDEX('6. TIẾN ĐỘ MUA HÀNG'!$A$5:$AT644, 0, XMATCH("NCC VTBB/NL trong nước", '6. TIẾN ĐỘ MUA HÀNG'!$A$4:$AT$4, 0))) = TRIM($B124)) * (TRIM(INDEX('6. TIẾN ĐỘ MUA HÀNG'!$A$5:$AT644, 0, XMATCH("Tháng", '6. TIẾN ĐỘ MUA HÀNG'!$A$4:$AT$4, 0))) = TRIM(AD$6)) * (INDEX('6. TIẾN ĐỘ MUA HÀNG'!$A$5:$AT644, 0, XMATCH("Mã đơn Misa", '6. TIẾN ĐỘ MUA HÀNG'!$A$4:$AT$4, 0)) &lt;&gt; ""))</f>
        <v>0</v>
      </c>
      <c r="AE124" s="756">
        <f t="array" ref="AE124">SUMPRODUCT(
  (INDEX('6. TIẾN ĐỘ MUA HÀNG'!$A$5:$AT644, 0, XMATCH("NCC VTBB/NL trong nước", '6. TIẾN ĐỘ MUA HÀNG'!$A$4:$AT$4, 0)) = $B124) * (TRIM(INDEX('6. TIẾN ĐỘ MUA HÀNG'!$A$5:$AT644, 0, XMATCH("Tháng", '6. TIẾN ĐỘ MUA HÀNG'!$A$4:$AT$4, 0))) = TRIM(AD$6)) * (INDEX('6. TIẾN ĐỘ MUA HÀNG'!$A$5:$AT644, 0, XMATCH("CL NGÀY NCC DỰ KIẾN - NGÀY NHẬN HÀNG", '6. TIẾN ĐỘ MUA HÀNG'!$A$4:$AT$4, 0)) &lt; 0)
)</f>
        <v>0</v>
      </c>
      <c r="AF124" s="757">
        <f t="shared" si="23"/>
        <v>0</v>
      </c>
      <c r="AG124" s="754">
        <f t="array" ref="AG124">SUMPRODUCT((TRIM(INDEX('6. TIẾN ĐỘ MUA HÀNG'!$A$5:$AT644, 0, XMATCH("NCC VTBB/NL trong nước", '6. TIẾN ĐỘ MUA HÀNG'!$A$4:$AT$4, 0))) = TRIM($B124)) * (TRIM(INDEX('6. TIẾN ĐỘ MUA HÀNG'!$A$5:$AT644, 0, XMATCH("Tháng", '6. TIẾN ĐỘ MUA HÀNG'!$A$4:$AT$4, 0))) = TRIM(AG$6)) * (INDEX('6. TIẾN ĐỘ MUA HÀNG'!$A$5:$AT644, 0, XMATCH("Mã đơn Misa", '6. TIẾN ĐỘ MUA HÀNG'!$A$4:$AT$4, 0)) &lt;&gt; ""))</f>
        <v>0</v>
      </c>
      <c r="AH124" s="754">
        <f t="array" ref="AH124">SUMPRODUCT(
  (INDEX('6. TIẾN ĐỘ MUA HÀNG'!$A$5:$AT644, 0, XMATCH("NCC VTBB/NL trong nước", '6. TIẾN ĐỘ MUA HÀNG'!$A$4:$AT$4, 0)) = $B124) * (TRIM(INDEX('6. TIẾN ĐỘ MUA HÀNG'!$A$5:$AT644, 0, XMATCH("Tháng", '6. TIẾN ĐỘ MUA HÀNG'!$A$4:$AT$4, 0))) = TRIM(AG$6)) * (INDEX('6. TIẾN ĐỘ MUA HÀNG'!$A$5:$AT644, 0, XMATCH("CL NGÀY NCC DỰ KIẾN - NGÀY NHẬN HÀNG", '6. TIẾN ĐỘ MUA HÀNG'!$A$4:$AT$4, 0)) &lt; 0)
)</f>
        <v>0</v>
      </c>
      <c r="AI124" s="755">
        <f t="shared" si="34"/>
        <v>0</v>
      </c>
      <c r="AJ124" s="756">
        <f t="array" ref="AJ124">SUMPRODUCT((TRIM(INDEX('6. TIẾN ĐỘ MUA HÀNG'!$A$5:$AT644, 0, XMATCH("NCC VTBB/NL trong nước", '6. TIẾN ĐỘ MUA HÀNG'!$A$4:$AT$4, 0))) = TRIM($B124)) * (TRIM(INDEX('6. TIẾN ĐỘ MUA HÀNG'!$A$5:$AT644, 0, XMATCH("Tháng", '6. TIẾN ĐỘ MUA HÀNG'!$A$4:$AT$4, 0))) = TRIM(AJ$6)) * (INDEX('6. TIẾN ĐỘ MUA HÀNG'!$A$5:$AT644, 0, XMATCH("Mã đơn Misa", '6. TIẾN ĐỘ MUA HÀNG'!$A$4:$AT$4, 0)) &lt;&gt; ""))</f>
        <v>0</v>
      </c>
      <c r="AK124" s="756">
        <f t="array" ref="AK124">SUMPRODUCT(
  (INDEX('6. TIẾN ĐỘ MUA HÀNG'!$A$5:$AT644, 0, XMATCH("NCC VTBB/NL trong nước", '6. TIẾN ĐỘ MUA HÀNG'!$A$4:$AT$4, 0)) = $B124) * (TRIM(INDEX('6. TIẾN ĐỘ MUA HÀNG'!$A$5:$AT644, 0, XMATCH("Tháng", '6. TIẾN ĐỘ MUA HÀNG'!$A$4:$AT$4, 0))) = TRIM(AJ$6)) * (INDEX('6. TIẾN ĐỘ MUA HÀNG'!$A$5:$AT644, 0, XMATCH("CL NGÀY NCC DỰ KIẾN - NGÀY NHẬN HÀNG", '6. TIẾN ĐỘ MUA HÀNG'!$A$4:$AT$4, 0)) &lt; 0)
)</f>
        <v>0</v>
      </c>
      <c r="AL124" s="757">
        <f t="shared" si="25"/>
        <v>0</v>
      </c>
      <c r="AM124" s="726">
        <f t="shared" si="27"/>
        <v>0</v>
      </c>
      <c r="AN124" s="726">
        <f t="shared" si="28"/>
        <v>0</v>
      </c>
      <c r="AO124" s="727">
        <f t="shared" si="26"/>
        <v>0</v>
      </c>
    </row>
    <row r="125">
      <c r="A125" s="612">
        <v>117.0</v>
      </c>
      <c r="B125" s="624" t="str">
        <f>IFERROR(__xludf.DUMMYFUNCTION("""COMPUTED_VALUE"""),"Yamato")</f>
        <v>Yamato</v>
      </c>
      <c r="C125" s="754">
        <f t="array" ref="C125">SUMPRODUCT((TRIM(INDEX('6. TIẾN ĐỘ MUA HÀNG'!$A$5:$AT644, 0, XMATCH("NCC VTBB/NL trong nước", '6. TIẾN ĐỘ MUA HÀNG'!$A$4:$AT$4, 0))) = TRIM($B125)) * (TRIM(INDEX('6. TIẾN ĐỘ MUA HÀNG'!$A$5:$AT644, 0, XMATCH("Tháng", '6. TIẾN ĐỘ MUA HÀNG'!$A$4:$AT$4, 0))) = TRIM(C$6)) * (INDEX('6. TIẾN ĐỘ MUA HÀNG'!$A$5:$AT644, 0, XMATCH("Mã đơn Misa", '6. TIẾN ĐỘ MUA HÀNG'!$A$4:$AT$4, 0)) &lt;&gt; ""))</f>
        <v>0</v>
      </c>
      <c r="D125" s="754">
        <f t="array" ref="D125">SUMPRODUCT(
  (INDEX('6. TIẾN ĐỘ MUA HÀNG'!$A$5:$AT644, 0, XMATCH("NCC VTBB/NL trong nước", '6. TIẾN ĐỘ MUA HÀNG'!$A$4:$AT$4, 0)) = $B125) * (TRIM(INDEX('6. TIẾN ĐỘ MUA HÀNG'!$A$5:$AT644, 0, XMATCH("Tháng", '6. TIẾN ĐỘ MUA HÀNG'!$A$4:$AT$4, 0))) = TRIM(C$6)) * (INDEX('6. TIẾN ĐỘ MUA HÀNG'!$A$5:$AT644, 0, XMATCH("CL NGÀY NCC DỰ KIẾN - NGÀY NHẬN HÀNG", '6. TIẾN ĐỘ MUA HÀNG'!$A$4:$AT$4, 0)) &lt; 0)
)</f>
        <v>0</v>
      </c>
      <c r="E125" s="755">
        <f t="shared" si="29"/>
        <v>0</v>
      </c>
      <c r="F125" s="756">
        <f t="array" ref="F125">SUMPRODUCT((TRIM(INDEX('6. TIẾN ĐỘ MUA HÀNG'!$A$5:$AT644, 0, XMATCH("NCC VTBB/NL trong nước", '6. TIẾN ĐỘ MUA HÀNG'!$A$4:$AT$4, 0))) = TRIM($B125)) * (TRIM(INDEX('6. TIẾN ĐỘ MUA HÀNG'!$A$5:$AT644, 0, XMATCH("Tháng", '6. TIẾN ĐỘ MUA HÀNG'!$A$4:$AT$4, 0))) = TRIM(F$6)) * (INDEX('6. TIẾN ĐỘ MUA HÀNG'!$A$5:$AT644, 0, XMATCH("Mã đơn Misa", '6. TIẾN ĐỘ MUA HÀNG'!$A$4:$AT$4, 0)) &lt;&gt; ""))</f>
        <v>0</v>
      </c>
      <c r="G125" s="756">
        <f t="array" ref="G125">SUMPRODUCT(
  (INDEX('6. TIẾN ĐỘ MUA HÀNG'!$A$5:$AT644, 0, XMATCH("NCC VTBB/NL trong nước", '6. TIẾN ĐỘ MUA HÀNG'!$A$4:$AT$4, 0)) = $B125) * (TRIM(INDEX('6. TIẾN ĐỘ MUA HÀNG'!$A$5:$AT644, 0, XMATCH("Tháng", '6. TIẾN ĐỘ MUA HÀNG'!$A$4:$AT$4, 0))) = TRIM(F$6)) * (INDEX('6. TIẾN ĐỘ MUA HÀNG'!$A$5:$AT644, 0, XMATCH("CL NGÀY NCC DỰ KIẾN - NGÀY NHẬN HÀNG", '6. TIẾN ĐỘ MUA HÀNG'!$A$4:$AT$4, 0)) &lt; 0)
)</f>
        <v>0</v>
      </c>
      <c r="H125" s="757">
        <f t="shared" si="15"/>
        <v>0</v>
      </c>
      <c r="I125" s="754">
        <f t="array" ref="I125">SUMPRODUCT((TRIM(INDEX('6. TIẾN ĐỘ MUA HÀNG'!$A$5:$AT644, 0, XMATCH("NCC VTBB/NL trong nước", '6. TIẾN ĐỘ MUA HÀNG'!$A$4:$AT$4, 0))) = TRIM($B125)) * (TRIM(INDEX('6. TIẾN ĐỘ MUA HÀNG'!$A$5:$AT644, 0, XMATCH("Tháng", '6. TIẾN ĐỘ MUA HÀNG'!$A$4:$AT$4, 0))) = TRIM(I$6)) * (INDEX('6. TIẾN ĐỘ MUA HÀNG'!$A$5:$AT644, 0, XMATCH("Mã đơn Misa", '6. TIẾN ĐỘ MUA HÀNG'!$A$4:$AT$4, 0)) &lt;&gt; ""))</f>
        <v>0</v>
      </c>
      <c r="J125" s="754">
        <f t="array" ref="J125">SUMPRODUCT(
  (INDEX('6. TIẾN ĐỘ MUA HÀNG'!$A$5:$AT644, 0, XMATCH("NCC VTBB/NL trong nước", '6. TIẾN ĐỘ MUA HÀNG'!$A$4:$AT$4, 0)) = $B125) * (TRIM(INDEX('6. TIẾN ĐỘ MUA HÀNG'!$A$5:$AT644, 0, XMATCH("Tháng", '6. TIẾN ĐỘ MUA HÀNG'!$A$4:$AT$4, 0))) = TRIM(I$6)) * (INDEX('6. TIẾN ĐỘ MUA HÀNG'!$A$5:$AT644, 0, XMATCH("CL NGÀY NCC DỰ KIẾN - NGÀY NHẬN HÀNG", '6. TIẾN ĐỘ MUA HÀNG'!$A$4:$AT$4, 0)) &lt; 0)
)</f>
        <v>0</v>
      </c>
      <c r="K125" s="755">
        <f t="shared" si="30"/>
        <v>0</v>
      </c>
      <c r="L125" s="756">
        <f t="array" ref="L125">SUMPRODUCT((TRIM(INDEX('6. TIẾN ĐỘ MUA HÀNG'!$A$5:$AT644, 0, XMATCH("NCC VTBB/NL trong nước", '6. TIẾN ĐỘ MUA HÀNG'!$A$4:$AT$4, 0))) = TRIM($B125)) * (TRIM(INDEX('6. TIẾN ĐỘ MUA HÀNG'!$A$5:$AT644, 0, XMATCH("Tháng", '6. TIẾN ĐỘ MUA HÀNG'!$A$4:$AT$4, 0))) = TRIM(L$6)) * (INDEX('6. TIẾN ĐỘ MUA HÀNG'!$A$5:$AT644, 0, XMATCH("Mã đơn Misa", '6. TIẾN ĐỘ MUA HÀNG'!$A$4:$AT$4, 0)) &lt;&gt; ""))</f>
        <v>0</v>
      </c>
      <c r="M125" s="756">
        <f t="array" ref="M125">SUMPRODUCT(
  (INDEX('6. TIẾN ĐỘ MUA HÀNG'!$A$5:$AT644, 0, XMATCH("NCC VTBB/NL trong nước", '6. TIẾN ĐỘ MUA HÀNG'!$A$4:$AT$4, 0)) = $B125) * (TRIM(INDEX('6. TIẾN ĐỘ MUA HÀNG'!$A$5:$AT644, 0, XMATCH("Tháng", '6. TIẾN ĐỘ MUA HÀNG'!$A$4:$AT$4, 0))) = TRIM(L$6)) * (INDEX('6. TIẾN ĐỘ MUA HÀNG'!$A$5:$AT644, 0, XMATCH("CL NGÀY NCC DỰ KIẾN - NGÀY NHẬN HÀNG", '6. TIẾN ĐỘ MUA HÀNG'!$A$4:$AT$4, 0)) &lt; 0)
)</f>
        <v>0</v>
      </c>
      <c r="N125" s="757">
        <f t="shared" si="17"/>
        <v>0</v>
      </c>
      <c r="O125" s="754">
        <f t="array" ref="O125">SUMPRODUCT((TRIM(INDEX('6. TIẾN ĐỘ MUA HÀNG'!$A$5:$AT644, 0, XMATCH("NCC VTBB/NL trong nước", '6. TIẾN ĐỘ MUA HÀNG'!$A$4:$AT$4, 0))) = TRIM($B125)) * (TRIM(INDEX('6. TIẾN ĐỘ MUA HÀNG'!$A$5:$AT644, 0, XMATCH("Tháng", '6. TIẾN ĐỘ MUA HÀNG'!$A$4:$AT$4, 0))) = TRIM(O$6)) * (INDEX('6. TIẾN ĐỘ MUA HÀNG'!$A$5:$AT644, 0, XMATCH("Mã đơn Misa", '6. TIẾN ĐỘ MUA HÀNG'!$A$4:$AT$4, 0)) &lt;&gt; ""))</f>
        <v>0</v>
      </c>
      <c r="P125" s="754">
        <f t="array" ref="P125">SUMPRODUCT(
  (INDEX('6. TIẾN ĐỘ MUA HÀNG'!$A$5:$AT644, 0, XMATCH("NCC VTBB/NL trong nước", '6. TIẾN ĐỘ MUA HÀNG'!$A$4:$AT$4, 0)) = $B125) * (TRIM(INDEX('6. TIẾN ĐỘ MUA HÀNG'!$A$5:$AT644, 0, XMATCH("Tháng", '6. TIẾN ĐỘ MUA HÀNG'!$A$4:$AT$4, 0))) = TRIM(O$6)) * (INDEX('6. TIẾN ĐỘ MUA HÀNG'!$A$5:$AT644, 0, XMATCH("CL NGÀY NCC DỰ KIẾN - NGÀY NHẬN HÀNG", '6. TIẾN ĐỘ MUA HÀNG'!$A$4:$AT$4, 0)) &lt; 0)
)</f>
        <v>0</v>
      </c>
      <c r="Q125" s="755">
        <f t="shared" si="31"/>
        <v>0</v>
      </c>
      <c r="R125" s="756">
        <f t="array" ref="R125">SUMPRODUCT((TRIM(INDEX('6. TIẾN ĐỘ MUA HÀNG'!$A$5:$AT644, 0, XMATCH("NCC VTBB/NL trong nước", '6. TIẾN ĐỘ MUA HÀNG'!$A$4:$AT$4, 0))) = TRIM($B125)) * (TRIM(INDEX('6. TIẾN ĐỘ MUA HÀNG'!$A$5:$AT644, 0, XMATCH("Tháng", '6. TIẾN ĐỘ MUA HÀNG'!$A$4:$AT$4, 0))) = TRIM(R$6)) * (INDEX('6. TIẾN ĐỘ MUA HÀNG'!$A$5:$AT644, 0, XMATCH("Mã đơn Misa", '6. TIẾN ĐỘ MUA HÀNG'!$A$4:$AT$4, 0)) &lt;&gt; ""))</f>
        <v>0</v>
      </c>
      <c r="S125" s="756">
        <f t="array" ref="S125">SUMPRODUCT(
  (INDEX('6. TIẾN ĐỘ MUA HÀNG'!$A$5:$AT644, 0, XMATCH("NCC VTBB/NL trong nước", '6. TIẾN ĐỘ MUA HÀNG'!$A$4:$AT$4, 0)) = $B125) * (TRIM(INDEX('6. TIẾN ĐỘ MUA HÀNG'!$A$5:$AT644, 0, XMATCH("Tháng", '6. TIẾN ĐỘ MUA HÀNG'!$A$4:$AT$4, 0))) = TRIM(R$6)) * (INDEX('6. TIẾN ĐỘ MUA HÀNG'!$A$5:$AT644, 0, XMATCH("CL NGÀY NCC DỰ KIẾN - NGÀY NHẬN HÀNG", '6. TIẾN ĐỘ MUA HÀNG'!$A$4:$AT$4, 0)) &lt; 0)
)</f>
        <v>0</v>
      </c>
      <c r="T125" s="757">
        <f t="shared" si="19"/>
        <v>0</v>
      </c>
      <c r="U125" s="754">
        <f t="array" ref="U125">SUMPRODUCT((TRIM(INDEX('6. TIẾN ĐỘ MUA HÀNG'!$A$5:$AT644, 0, XMATCH("NCC VTBB/NL trong nước", '6. TIẾN ĐỘ MUA HÀNG'!$A$4:$AT$4, 0))) = TRIM($B125)) * (TRIM(INDEX('6. TIẾN ĐỘ MUA HÀNG'!$A$5:$AT644, 0, XMATCH("Tháng", '6. TIẾN ĐỘ MUA HÀNG'!$A$4:$AT$4, 0))) = TRIM(U$6)) * (INDEX('6. TIẾN ĐỘ MUA HÀNG'!$A$5:$AT644, 0, XMATCH("Mã đơn Misa", '6. TIẾN ĐỘ MUA HÀNG'!$A$4:$AT$4, 0)) &lt;&gt; ""))</f>
        <v>0</v>
      </c>
      <c r="V125" s="754">
        <f t="array" ref="V125">SUMPRODUCT(
  (INDEX('6. TIẾN ĐỘ MUA HÀNG'!$A$5:$AT644, 0, XMATCH("NCC VTBB/NL trong nước", '6. TIẾN ĐỘ MUA HÀNG'!$A$4:$AT$4, 0)) = $B125) * (TRIM(INDEX('6. TIẾN ĐỘ MUA HÀNG'!$A$5:$AT644, 0, XMATCH("Tháng", '6. TIẾN ĐỘ MUA HÀNG'!$A$4:$AT$4, 0))) = TRIM(U$6)) * (INDEX('6. TIẾN ĐỘ MUA HÀNG'!$A$5:$AT644, 0, XMATCH("CL NGÀY NCC DỰ KIẾN - NGÀY NHẬN HÀNG", '6. TIẾN ĐỘ MUA HÀNG'!$A$4:$AT$4, 0)) &lt; 0)
)</f>
        <v>0</v>
      </c>
      <c r="W125" s="755">
        <f t="shared" si="32"/>
        <v>0</v>
      </c>
      <c r="X125" s="756">
        <f t="array" ref="X125">SUMPRODUCT((TRIM(INDEX('6. TIẾN ĐỘ MUA HÀNG'!$A$5:$AT644, 0, XMATCH("NCC VTBB/NL trong nước", '6. TIẾN ĐỘ MUA HÀNG'!$A$4:$AT$4, 0))) = TRIM($B125)) * (TRIM(INDEX('6. TIẾN ĐỘ MUA HÀNG'!$A$5:$AT644, 0, XMATCH("Tháng", '6. TIẾN ĐỘ MUA HÀNG'!$A$4:$AT$4, 0))) = TRIM(X$6)) * (INDEX('6. TIẾN ĐỘ MUA HÀNG'!$A$5:$AT644, 0, XMATCH("Mã đơn Misa", '6. TIẾN ĐỘ MUA HÀNG'!$A$4:$AT$4, 0)) &lt;&gt; ""))</f>
        <v>0</v>
      </c>
      <c r="Y125" s="756">
        <f t="array" ref="Y125">SUMPRODUCT(
  (INDEX('6. TIẾN ĐỘ MUA HÀNG'!$A$5:$AT644, 0, XMATCH("NCC VTBB/NL trong nước", '6. TIẾN ĐỘ MUA HÀNG'!$A$4:$AT$4, 0)) = $B125) * (TRIM(INDEX('6. TIẾN ĐỘ MUA HÀNG'!$A$5:$AT644, 0, XMATCH("Tháng", '6. TIẾN ĐỘ MUA HÀNG'!$A$4:$AT$4, 0))) = TRIM(X$6)) * (INDEX('6. TIẾN ĐỘ MUA HÀNG'!$A$5:$AT644, 0, XMATCH("CL NGÀY NCC DỰ KIẾN - NGÀY NHẬN HÀNG", '6. TIẾN ĐỘ MUA HÀNG'!$A$4:$AT$4, 0)) &lt; 0)
)</f>
        <v>0</v>
      </c>
      <c r="Z125" s="757">
        <f t="shared" si="21"/>
        <v>0</v>
      </c>
      <c r="AA125" s="754">
        <f t="array" ref="AA125">SUMPRODUCT((TRIM(INDEX('6. TIẾN ĐỘ MUA HÀNG'!$A$5:$AT644, 0, XMATCH("NCC VTBB/NL trong nước", '6. TIẾN ĐỘ MUA HÀNG'!$A$4:$AT$4, 0))) = TRIM($B125)) * (TRIM(INDEX('6. TIẾN ĐỘ MUA HÀNG'!$A$5:$AT644, 0, XMATCH("Tháng", '6. TIẾN ĐỘ MUA HÀNG'!$A$4:$AT$4, 0))) = TRIM(AA$6)) * (INDEX('6. TIẾN ĐỘ MUA HÀNG'!$A$5:$AT644, 0, XMATCH("Mã đơn Misa", '6. TIẾN ĐỘ MUA HÀNG'!$A$4:$AT$4, 0)) &lt;&gt; ""))</f>
        <v>0</v>
      </c>
      <c r="AB125" s="754">
        <f t="array" ref="AB125">SUMPRODUCT(
  (INDEX('6. TIẾN ĐỘ MUA HÀNG'!$A$5:$AT644, 0, XMATCH("NCC VTBB/NL trong nước", '6. TIẾN ĐỘ MUA HÀNG'!$A$4:$AT$4, 0)) = $B125) * (TRIM(INDEX('6. TIẾN ĐỘ MUA HÀNG'!$A$5:$AT644, 0, XMATCH("Tháng", '6. TIẾN ĐỘ MUA HÀNG'!$A$4:$AT$4, 0))) = TRIM(AA$6)) * (INDEX('6. TIẾN ĐỘ MUA HÀNG'!$A$5:$AT644, 0, XMATCH("CL NGÀY NCC DỰ KIẾN - NGÀY NHẬN HÀNG", '6. TIẾN ĐỘ MUA HÀNG'!$A$4:$AT$4, 0)) &lt; 0)
)</f>
        <v>0</v>
      </c>
      <c r="AC125" s="755">
        <f t="shared" si="33"/>
        <v>0</v>
      </c>
      <c r="AD125" s="756">
        <f t="array" ref="AD125">SUMPRODUCT((TRIM(INDEX('6. TIẾN ĐỘ MUA HÀNG'!$A$5:$AT644, 0, XMATCH("NCC VTBB/NL trong nước", '6. TIẾN ĐỘ MUA HÀNG'!$A$4:$AT$4, 0))) = TRIM($B125)) * (TRIM(INDEX('6. TIẾN ĐỘ MUA HÀNG'!$A$5:$AT644, 0, XMATCH("Tháng", '6. TIẾN ĐỘ MUA HÀNG'!$A$4:$AT$4, 0))) = TRIM(AD$6)) * (INDEX('6. TIẾN ĐỘ MUA HÀNG'!$A$5:$AT644, 0, XMATCH("Mã đơn Misa", '6. TIẾN ĐỘ MUA HÀNG'!$A$4:$AT$4, 0)) &lt;&gt; ""))</f>
        <v>0</v>
      </c>
      <c r="AE125" s="756">
        <f t="array" ref="AE125">SUMPRODUCT(
  (INDEX('6. TIẾN ĐỘ MUA HÀNG'!$A$5:$AT644, 0, XMATCH("NCC VTBB/NL trong nước", '6. TIẾN ĐỘ MUA HÀNG'!$A$4:$AT$4, 0)) = $B125) * (TRIM(INDEX('6. TIẾN ĐỘ MUA HÀNG'!$A$5:$AT644, 0, XMATCH("Tháng", '6. TIẾN ĐỘ MUA HÀNG'!$A$4:$AT$4, 0))) = TRIM(AD$6)) * (INDEX('6. TIẾN ĐỘ MUA HÀNG'!$A$5:$AT644, 0, XMATCH("CL NGÀY NCC DỰ KIẾN - NGÀY NHẬN HÀNG", '6. TIẾN ĐỘ MUA HÀNG'!$A$4:$AT$4, 0)) &lt; 0)
)</f>
        <v>0</v>
      </c>
      <c r="AF125" s="757">
        <f t="shared" si="23"/>
        <v>0</v>
      </c>
      <c r="AG125" s="754">
        <f t="array" ref="AG125">SUMPRODUCT((TRIM(INDEX('6. TIẾN ĐỘ MUA HÀNG'!$A$5:$AT644, 0, XMATCH("NCC VTBB/NL trong nước", '6. TIẾN ĐỘ MUA HÀNG'!$A$4:$AT$4, 0))) = TRIM($B125)) * (TRIM(INDEX('6. TIẾN ĐỘ MUA HÀNG'!$A$5:$AT644, 0, XMATCH("Tháng", '6. TIẾN ĐỘ MUA HÀNG'!$A$4:$AT$4, 0))) = TRIM(AG$6)) * (INDEX('6. TIẾN ĐỘ MUA HÀNG'!$A$5:$AT644, 0, XMATCH("Mã đơn Misa", '6. TIẾN ĐỘ MUA HÀNG'!$A$4:$AT$4, 0)) &lt;&gt; ""))</f>
        <v>0</v>
      </c>
      <c r="AH125" s="754">
        <f t="array" ref="AH125">SUMPRODUCT(
  (INDEX('6. TIẾN ĐỘ MUA HÀNG'!$A$5:$AT644, 0, XMATCH("NCC VTBB/NL trong nước", '6. TIẾN ĐỘ MUA HÀNG'!$A$4:$AT$4, 0)) = $B125) * (TRIM(INDEX('6. TIẾN ĐỘ MUA HÀNG'!$A$5:$AT644, 0, XMATCH("Tháng", '6. TIẾN ĐỘ MUA HÀNG'!$A$4:$AT$4, 0))) = TRIM(AG$6)) * (INDEX('6. TIẾN ĐỘ MUA HÀNG'!$A$5:$AT644, 0, XMATCH("CL NGÀY NCC DỰ KIẾN - NGÀY NHẬN HÀNG", '6. TIẾN ĐỘ MUA HÀNG'!$A$4:$AT$4, 0)) &lt; 0)
)</f>
        <v>0</v>
      </c>
      <c r="AI125" s="755">
        <f t="shared" si="34"/>
        <v>0</v>
      </c>
      <c r="AJ125" s="756">
        <f t="array" ref="AJ125">SUMPRODUCT((TRIM(INDEX('6. TIẾN ĐỘ MUA HÀNG'!$A$5:$AT644, 0, XMATCH("NCC VTBB/NL trong nước", '6. TIẾN ĐỘ MUA HÀNG'!$A$4:$AT$4, 0))) = TRIM($B125)) * (TRIM(INDEX('6. TIẾN ĐỘ MUA HÀNG'!$A$5:$AT644, 0, XMATCH("Tháng", '6. TIẾN ĐỘ MUA HÀNG'!$A$4:$AT$4, 0))) = TRIM(AJ$6)) * (INDEX('6. TIẾN ĐỘ MUA HÀNG'!$A$5:$AT644, 0, XMATCH("Mã đơn Misa", '6. TIẾN ĐỘ MUA HÀNG'!$A$4:$AT$4, 0)) &lt;&gt; ""))</f>
        <v>0</v>
      </c>
      <c r="AK125" s="756">
        <f t="array" ref="AK125">SUMPRODUCT(
  (INDEX('6. TIẾN ĐỘ MUA HÀNG'!$A$5:$AT644, 0, XMATCH("NCC VTBB/NL trong nước", '6. TIẾN ĐỘ MUA HÀNG'!$A$4:$AT$4, 0)) = $B125) * (TRIM(INDEX('6. TIẾN ĐỘ MUA HÀNG'!$A$5:$AT644, 0, XMATCH("Tháng", '6. TIẾN ĐỘ MUA HÀNG'!$A$4:$AT$4, 0))) = TRIM(AJ$6)) * (INDEX('6. TIẾN ĐỘ MUA HÀNG'!$A$5:$AT644, 0, XMATCH("CL NGÀY NCC DỰ KIẾN - NGÀY NHẬN HÀNG", '6. TIẾN ĐỘ MUA HÀNG'!$A$4:$AT$4, 0)) &lt; 0)
)</f>
        <v>0</v>
      </c>
      <c r="AL125" s="757">
        <f t="shared" si="25"/>
        <v>0</v>
      </c>
      <c r="AM125" s="726">
        <f t="shared" si="27"/>
        <v>0</v>
      </c>
      <c r="AN125" s="726">
        <f t="shared" si="28"/>
        <v>0</v>
      </c>
      <c r="AO125" s="727">
        <f t="shared" si="26"/>
        <v>0</v>
      </c>
    </row>
    <row r="126">
      <c r="A126" s="612">
        <v>118.0</v>
      </c>
      <c r="B126" s="624" t="str">
        <f>IFERROR(__xludf.DUMMYFUNCTION("""COMPUTED_VALUE"""),"ATC")</f>
        <v>ATC</v>
      </c>
      <c r="C126" s="754">
        <f t="array" ref="C126">SUMPRODUCT((TRIM(INDEX('6. TIẾN ĐỘ MUA HÀNG'!$A$5:$AT644, 0, XMATCH("NCC VTBB/NL trong nước", '6. TIẾN ĐỘ MUA HÀNG'!$A$4:$AT$4, 0))) = TRIM($B126)) * (TRIM(INDEX('6. TIẾN ĐỘ MUA HÀNG'!$A$5:$AT644, 0, XMATCH("Tháng", '6. TIẾN ĐỘ MUA HÀNG'!$A$4:$AT$4, 0))) = TRIM(C$6)) * (INDEX('6. TIẾN ĐỘ MUA HÀNG'!$A$5:$AT644, 0, XMATCH("Mã đơn Misa", '6. TIẾN ĐỘ MUA HÀNG'!$A$4:$AT$4, 0)) &lt;&gt; ""))</f>
        <v>0</v>
      </c>
      <c r="D126" s="754">
        <f t="array" ref="D126">SUMPRODUCT(
  (INDEX('6. TIẾN ĐỘ MUA HÀNG'!$A$5:$AT644, 0, XMATCH("NCC VTBB/NL trong nước", '6. TIẾN ĐỘ MUA HÀNG'!$A$4:$AT$4, 0)) = $B126) * (TRIM(INDEX('6. TIẾN ĐỘ MUA HÀNG'!$A$5:$AT644, 0, XMATCH("Tháng", '6. TIẾN ĐỘ MUA HÀNG'!$A$4:$AT$4, 0))) = TRIM(C$6)) * (INDEX('6. TIẾN ĐỘ MUA HÀNG'!$A$5:$AT644, 0, XMATCH("CL NGÀY NCC DỰ KIẾN - NGÀY NHẬN HÀNG", '6. TIẾN ĐỘ MUA HÀNG'!$A$4:$AT$4, 0)) &lt; 0)
)</f>
        <v>0</v>
      </c>
      <c r="E126" s="755">
        <f t="shared" si="29"/>
        <v>0</v>
      </c>
      <c r="F126" s="756">
        <f t="array" ref="F126">SUMPRODUCT((TRIM(INDEX('6. TIẾN ĐỘ MUA HÀNG'!$A$5:$AT644, 0, XMATCH("NCC VTBB/NL trong nước", '6. TIẾN ĐỘ MUA HÀNG'!$A$4:$AT$4, 0))) = TRIM($B126)) * (TRIM(INDEX('6. TIẾN ĐỘ MUA HÀNG'!$A$5:$AT644, 0, XMATCH("Tháng", '6. TIẾN ĐỘ MUA HÀNG'!$A$4:$AT$4, 0))) = TRIM(F$6)) * (INDEX('6. TIẾN ĐỘ MUA HÀNG'!$A$5:$AT644, 0, XMATCH("Mã đơn Misa", '6. TIẾN ĐỘ MUA HÀNG'!$A$4:$AT$4, 0)) &lt;&gt; ""))</f>
        <v>0</v>
      </c>
      <c r="G126" s="756">
        <f t="array" ref="G126">SUMPRODUCT(
  (INDEX('6. TIẾN ĐỘ MUA HÀNG'!$A$5:$AT644, 0, XMATCH("NCC VTBB/NL trong nước", '6. TIẾN ĐỘ MUA HÀNG'!$A$4:$AT$4, 0)) = $B126) * (TRIM(INDEX('6. TIẾN ĐỘ MUA HÀNG'!$A$5:$AT644, 0, XMATCH("Tháng", '6. TIẾN ĐỘ MUA HÀNG'!$A$4:$AT$4, 0))) = TRIM(F$6)) * (INDEX('6. TIẾN ĐỘ MUA HÀNG'!$A$5:$AT644, 0, XMATCH("CL NGÀY NCC DỰ KIẾN - NGÀY NHẬN HÀNG", '6. TIẾN ĐỘ MUA HÀNG'!$A$4:$AT$4, 0)) &lt; 0)
)</f>
        <v>0</v>
      </c>
      <c r="H126" s="757">
        <f t="shared" si="15"/>
        <v>0</v>
      </c>
      <c r="I126" s="754">
        <f t="array" ref="I126">SUMPRODUCT((TRIM(INDEX('6. TIẾN ĐỘ MUA HÀNG'!$A$5:$AT644, 0, XMATCH("NCC VTBB/NL trong nước", '6. TIẾN ĐỘ MUA HÀNG'!$A$4:$AT$4, 0))) = TRIM($B126)) * (TRIM(INDEX('6. TIẾN ĐỘ MUA HÀNG'!$A$5:$AT644, 0, XMATCH("Tháng", '6. TIẾN ĐỘ MUA HÀNG'!$A$4:$AT$4, 0))) = TRIM(I$6)) * (INDEX('6. TIẾN ĐỘ MUA HÀNG'!$A$5:$AT644, 0, XMATCH("Mã đơn Misa", '6. TIẾN ĐỘ MUA HÀNG'!$A$4:$AT$4, 0)) &lt;&gt; ""))</f>
        <v>0</v>
      </c>
      <c r="J126" s="754">
        <f t="array" ref="J126">SUMPRODUCT(
  (INDEX('6. TIẾN ĐỘ MUA HÀNG'!$A$5:$AT644, 0, XMATCH("NCC VTBB/NL trong nước", '6. TIẾN ĐỘ MUA HÀNG'!$A$4:$AT$4, 0)) = $B126) * (TRIM(INDEX('6. TIẾN ĐỘ MUA HÀNG'!$A$5:$AT644, 0, XMATCH("Tháng", '6. TIẾN ĐỘ MUA HÀNG'!$A$4:$AT$4, 0))) = TRIM(I$6)) * (INDEX('6. TIẾN ĐỘ MUA HÀNG'!$A$5:$AT644, 0, XMATCH("CL NGÀY NCC DỰ KIẾN - NGÀY NHẬN HÀNG", '6. TIẾN ĐỘ MUA HÀNG'!$A$4:$AT$4, 0)) &lt; 0)
)</f>
        <v>0</v>
      </c>
      <c r="K126" s="755">
        <f t="shared" si="30"/>
        <v>0</v>
      </c>
      <c r="L126" s="756">
        <f t="array" ref="L126">SUMPRODUCT((TRIM(INDEX('6. TIẾN ĐỘ MUA HÀNG'!$A$5:$AT644, 0, XMATCH("NCC VTBB/NL trong nước", '6. TIẾN ĐỘ MUA HÀNG'!$A$4:$AT$4, 0))) = TRIM($B126)) * (TRIM(INDEX('6. TIẾN ĐỘ MUA HÀNG'!$A$5:$AT644, 0, XMATCH("Tháng", '6. TIẾN ĐỘ MUA HÀNG'!$A$4:$AT$4, 0))) = TRIM(L$6)) * (INDEX('6. TIẾN ĐỘ MUA HÀNG'!$A$5:$AT644, 0, XMATCH("Mã đơn Misa", '6. TIẾN ĐỘ MUA HÀNG'!$A$4:$AT$4, 0)) &lt;&gt; ""))</f>
        <v>0</v>
      </c>
      <c r="M126" s="756">
        <f t="array" ref="M126">SUMPRODUCT(
  (INDEX('6. TIẾN ĐỘ MUA HÀNG'!$A$5:$AT644, 0, XMATCH("NCC VTBB/NL trong nước", '6. TIẾN ĐỘ MUA HÀNG'!$A$4:$AT$4, 0)) = $B126) * (TRIM(INDEX('6. TIẾN ĐỘ MUA HÀNG'!$A$5:$AT644, 0, XMATCH("Tháng", '6. TIẾN ĐỘ MUA HÀNG'!$A$4:$AT$4, 0))) = TRIM(L$6)) * (INDEX('6. TIẾN ĐỘ MUA HÀNG'!$A$5:$AT644, 0, XMATCH("CL NGÀY NCC DỰ KIẾN - NGÀY NHẬN HÀNG", '6. TIẾN ĐỘ MUA HÀNG'!$A$4:$AT$4, 0)) &lt; 0)
)</f>
        <v>0</v>
      </c>
      <c r="N126" s="757">
        <f t="shared" si="17"/>
        <v>0</v>
      </c>
      <c r="O126" s="754">
        <f t="array" ref="O126">SUMPRODUCT((TRIM(INDEX('6. TIẾN ĐỘ MUA HÀNG'!$A$5:$AT644, 0, XMATCH("NCC VTBB/NL trong nước", '6. TIẾN ĐỘ MUA HÀNG'!$A$4:$AT$4, 0))) = TRIM($B126)) * (TRIM(INDEX('6. TIẾN ĐỘ MUA HÀNG'!$A$5:$AT644, 0, XMATCH("Tháng", '6. TIẾN ĐỘ MUA HÀNG'!$A$4:$AT$4, 0))) = TRIM(O$6)) * (INDEX('6. TIẾN ĐỘ MUA HÀNG'!$A$5:$AT644, 0, XMATCH("Mã đơn Misa", '6. TIẾN ĐỘ MUA HÀNG'!$A$4:$AT$4, 0)) &lt;&gt; ""))</f>
        <v>0</v>
      </c>
      <c r="P126" s="754">
        <f t="array" ref="P126">SUMPRODUCT(
  (INDEX('6. TIẾN ĐỘ MUA HÀNG'!$A$5:$AT644, 0, XMATCH("NCC VTBB/NL trong nước", '6. TIẾN ĐỘ MUA HÀNG'!$A$4:$AT$4, 0)) = $B126) * (TRIM(INDEX('6. TIẾN ĐỘ MUA HÀNG'!$A$5:$AT644, 0, XMATCH("Tháng", '6. TIẾN ĐỘ MUA HÀNG'!$A$4:$AT$4, 0))) = TRIM(O$6)) * (INDEX('6. TIẾN ĐỘ MUA HÀNG'!$A$5:$AT644, 0, XMATCH("CL NGÀY NCC DỰ KIẾN - NGÀY NHẬN HÀNG", '6. TIẾN ĐỘ MUA HÀNG'!$A$4:$AT$4, 0)) &lt; 0)
)</f>
        <v>0</v>
      </c>
      <c r="Q126" s="755">
        <f t="shared" si="31"/>
        <v>0</v>
      </c>
      <c r="R126" s="756">
        <f t="array" ref="R126">SUMPRODUCT((TRIM(INDEX('6. TIẾN ĐỘ MUA HÀNG'!$A$5:$AT644, 0, XMATCH("NCC VTBB/NL trong nước", '6. TIẾN ĐỘ MUA HÀNG'!$A$4:$AT$4, 0))) = TRIM($B126)) * (TRIM(INDEX('6. TIẾN ĐỘ MUA HÀNG'!$A$5:$AT644, 0, XMATCH("Tháng", '6. TIẾN ĐỘ MUA HÀNG'!$A$4:$AT$4, 0))) = TRIM(R$6)) * (INDEX('6. TIẾN ĐỘ MUA HÀNG'!$A$5:$AT644, 0, XMATCH("Mã đơn Misa", '6. TIẾN ĐỘ MUA HÀNG'!$A$4:$AT$4, 0)) &lt;&gt; ""))</f>
        <v>0</v>
      </c>
      <c r="S126" s="756">
        <f t="array" ref="S126">SUMPRODUCT(
  (INDEX('6. TIẾN ĐỘ MUA HÀNG'!$A$5:$AT644, 0, XMATCH("NCC VTBB/NL trong nước", '6. TIẾN ĐỘ MUA HÀNG'!$A$4:$AT$4, 0)) = $B126) * (TRIM(INDEX('6. TIẾN ĐỘ MUA HÀNG'!$A$5:$AT644, 0, XMATCH("Tháng", '6. TIẾN ĐỘ MUA HÀNG'!$A$4:$AT$4, 0))) = TRIM(R$6)) * (INDEX('6. TIẾN ĐỘ MUA HÀNG'!$A$5:$AT644, 0, XMATCH("CL NGÀY NCC DỰ KIẾN - NGÀY NHẬN HÀNG", '6. TIẾN ĐỘ MUA HÀNG'!$A$4:$AT$4, 0)) &lt; 0)
)</f>
        <v>0</v>
      </c>
      <c r="T126" s="757">
        <f t="shared" si="19"/>
        <v>0</v>
      </c>
      <c r="U126" s="754">
        <f t="array" ref="U126">SUMPRODUCT((TRIM(INDEX('6. TIẾN ĐỘ MUA HÀNG'!$A$5:$AT644, 0, XMATCH("NCC VTBB/NL trong nước", '6. TIẾN ĐỘ MUA HÀNG'!$A$4:$AT$4, 0))) = TRIM($B126)) * (TRIM(INDEX('6. TIẾN ĐỘ MUA HÀNG'!$A$5:$AT644, 0, XMATCH("Tháng", '6. TIẾN ĐỘ MUA HÀNG'!$A$4:$AT$4, 0))) = TRIM(U$6)) * (INDEX('6. TIẾN ĐỘ MUA HÀNG'!$A$5:$AT644, 0, XMATCH("Mã đơn Misa", '6. TIẾN ĐỘ MUA HÀNG'!$A$4:$AT$4, 0)) &lt;&gt; ""))</f>
        <v>0</v>
      </c>
      <c r="V126" s="754">
        <f t="array" ref="V126">SUMPRODUCT(
  (INDEX('6. TIẾN ĐỘ MUA HÀNG'!$A$5:$AT644, 0, XMATCH("NCC VTBB/NL trong nước", '6. TIẾN ĐỘ MUA HÀNG'!$A$4:$AT$4, 0)) = $B126) * (TRIM(INDEX('6. TIẾN ĐỘ MUA HÀNG'!$A$5:$AT644, 0, XMATCH("Tháng", '6. TIẾN ĐỘ MUA HÀNG'!$A$4:$AT$4, 0))) = TRIM(U$6)) * (INDEX('6. TIẾN ĐỘ MUA HÀNG'!$A$5:$AT644, 0, XMATCH("CL NGÀY NCC DỰ KIẾN - NGÀY NHẬN HÀNG", '6. TIẾN ĐỘ MUA HÀNG'!$A$4:$AT$4, 0)) &lt; 0)
)</f>
        <v>0</v>
      </c>
      <c r="W126" s="755">
        <f t="shared" si="32"/>
        <v>0</v>
      </c>
      <c r="X126" s="756">
        <f t="array" ref="X126">SUMPRODUCT((TRIM(INDEX('6. TIẾN ĐỘ MUA HÀNG'!$A$5:$AT644, 0, XMATCH("NCC VTBB/NL trong nước", '6. TIẾN ĐỘ MUA HÀNG'!$A$4:$AT$4, 0))) = TRIM($B126)) * (TRIM(INDEX('6. TIẾN ĐỘ MUA HÀNG'!$A$5:$AT644, 0, XMATCH("Tháng", '6. TIẾN ĐỘ MUA HÀNG'!$A$4:$AT$4, 0))) = TRIM(X$6)) * (INDEX('6. TIẾN ĐỘ MUA HÀNG'!$A$5:$AT644, 0, XMATCH("Mã đơn Misa", '6. TIẾN ĐỘ MUA HÀNG'!$A$4:$AT$4, 0)) &lt;&gt; ""))</f>
        <v>0</v>
      </c>
      <c r="Y126" s="756">
        <f t="array" ref="Y126">SUMPRODUCT(
  (INDEX('6. TIẾN ĐỘ MUA HÀNG'!$A$5:$AT644, 0, XMATCH("NCC VTBB/NL trong nước", '6. TIẾN ĐỘ MUA HÀNG'!$A$4:$AT$4, 0)) = $B126) * (TRIM(INDEX('6. TIẾN ĐỘ MUA HÀNG'!$A$5:$AT644, 0, XMATCH("Tháng", '6. TIẾN ĐỘ MUA HÀNG'!$A$4:$AT$4, 0))) = TRIM(X$6)) * (INDEX('6. TIẾN ĐỘ MUA HÀNG'!$A$5:$AT644, 0, XMATCH("CL NGÀY NCC DỰ KIẾN - NGÀY NHẬN HÀNG", '6. TIẾN ĐỘ MUA HÀNG'!$A$4:$AT$4, 0)) &lt; 0)
)</f>
        <v>0</v>
      </c>
      <c r="Z126" s="757">
        <f t="shared" si="21"/>
        <v>0</v>
      </c>
      <c r="AA126" s="754">
        <f t="array" ref="AA126">SUMPRODUCT((TRIM(INDEX('6. TIẾN ĐỘ MUA HÀNG'!$A$5:$AT644, 0, XMATCH("NCC VTBB/NL trong nước", '6. TIẾN ĐỘ MUA HÀNG'!$A$4:$AT$4, 0))) = TRIM($B126)) * (TRIM(INDEX('6. TIẾN ĐỘ MUA HÀNG'!$A$5:$AT644, 0, XMATCH("Tháng", '6. TIẾN ĐỘ MUA HÀNG'!$A$4:$AT$4, 0))) = TRIM(AA$6)) * (INDEX('6. TIẾN ĐỘ MUA HÀNG'!$A$5:$AT644, 0, XMATCH("Mã đơn Misa", '6. TIẾN ĐỘ MUA HÀNG'!$A$4:$AT$4, 0)) &lt;&gt; ""))</f>
        <v>0</v>
      </c>
      <c r="AB126" s="754">
        <f t="array" ref="AB126">SUMPRODUCT(
  (INDEX('6. TIẾN ĐỘ MUA HÀNG'!$A$5:$AT644, 0, XMATCH("NCC VTBB/NL trong nước", '6. TIẾN ĐỘ MUA HÀNG'!$A$4:$AT$4, 0)) = $B126) * (TRIM(INDEX('6. TIẾN ĐỘ MUA HÀNG'!$A$5:$AT644, 0, XMATCH("Tháng", '6. TIẾN ĐỘ MUA HÀNG'!$A$4:$AT$4, 0))) = TRIM(AA$6)) * (INDEX('6. TIẾN ĐỘ MUA HÀNG'!$A$5:$AT644, 0, XMATCH("CL NGÀY NCC DỰ KIẾN - NGÀY NHẬN HÀNG", '6. TIẾN ĐỘ MUA HÀNG'!$A$4:$AT$4, 0)) &lt; 0)
)</f>
        <v>0</v>
      </c>
      <c r="AC126" s="755">
        <f t="shared" si="33"/>
        <v>0</v>
      </c>
      <c r="AD126" s="756">
        <f t="array" ref="AD126">SUMPRODUCT((TRIM(INDEX('6. TIẾN ĐỘ MUA HÀNG'!$A$5:$AT644, 0, XMATCH("NCC VTBB/NL trong nước", '6. TIẾN ĐỘ MUA HÀNG'!$A$4:$AT$4, 0))) = TRIM($B126)) * (TRIM(INDEX('6. TIẾN ĐỘ MUA HÀNG'!$A$5:$AT644, 0, XMATCH("Tháng", '6. TIẾN ĐỘ MUA HÀNG'!$A$4:$AT$4, 0))) = TRIM(AD$6)) * (INDEX('6. TIẾN ĐỘ MUA HÀNG'!$A$5:$AT644, 0, XMATCH("Mã đơn Misa", '6. TIẾN ĐỘ MUA HÀNG'!$A$4:$AT$4, 0)) &lt;&gt; ""))</f>
        <v>0</v>
      </c>
      <c r="AE126" s="756">
        <f t="array" ref="AE126">SUMPRODUCT(
  (INDEX('6. TIẾN ĐỘ MUA HÀNG'!$A$5:$AT644, 0, XMATCH("NCC VTBB/NL trong nước", '6. TIẾN ĐỘ MUA HÀNG'!$A$4:$AT$4, 0)) = $B126) * (TRIM(INDEX('6. TIẾN ĐỘ MUA HÀNG'!$A$5:$AT644, 0, XMATCH("Tháng", '6. TIẾN ĐỘ MUA HÀNG'!$A$4:$AT$4, 0))) = TRIM(AD$6)) * (INDEX('6. TIẾN ĐỘ MUA HÀNG'!$A$5:$AT644, 0, XMATCH("CL NGÀY NCC DỰ KIẾN - NGÀY NHẬN HÀNG", '6. TIẾN ĐỘ MUA HÀNG'!$A$4:$AT$4, 0)) &lt; 0)
)</f>
        <v>0</v>
      </c>
      <c r="AF126" s="757">
        <f t="shared" si="23"/>
        <v>0</v>
      </c>
      <c r="AG126" s="754">
        <f t="array" ref="AG126">SUMPRODUCT((TRIM(INDEX('6. TIẾN ĐỘ MUA HÀNG'!$A$5:$AT644, 0, XMATCH("NCC VTBB/NL trong nước", '6. TIẾN ĐỘ MUA HÀNG'!$A$4:$AT$4, 0))) = TRIM($B126)) * (TRIM(INDEX('6. TIẾN ĐỘ MUA HÀNG'!$A$5:$AT644, 0, XMATCH("Tháng", '6. TIẾN ĐỘ MUA HÀNG'!$A$4:$AT$4, 0))) = TRIM(AG$6)) * (INDEX('6. TIẾN ĐỘ MUA HÀNG'!$A$5:$AT644, 0, XMATCH("Mã đơn Misa", '6. TIẾN ĐỘ MUA HÀNG'!$A$4:$AT$4, 0)) &lt;&gt; ""))</f>
        <v>0</v>
      </c>
      <c r="AH126" s="754">
        <f t="array" ref="AH126">SUMPRODUCT(
  (INDEX('6. TIẾN ĐỘ MUA HÀNG'!$A$5:$AT644, 0, XMATCH("NCC VTBB/NL trong nước", '6. TIẾN ĐỘ MUA HÀNG'!$A$4:$AT$4, 0)) = $B126) * (TRIM(INDEX('6. TIẾN ĐỘ MUA HÀNG'!$A$5:$AT644, 0, XMATCH("Tháng", '6. TIẾN ĐỘ MUA HÀNG'!$A$4:$AT$4, 0))) = TRIM(AG$6)) * (INDEX('6. TIẾN ĐỘ MUA HÀNG'!$A$5:$AT644, 0, XMATCH("CL NGÀY NCC DỰ KIẾN - NGÀY NHẬN HÀNG", '6. TIẾN ĐỘ MUA HÀNG'!$A$4:$AT$4, 0)) &lt; 0)
)</f>
        <v>0</v>
      </c>
      <c r="AI126" s="755">
        <f t="shared" si="34"/>
        <v>0</v>
      </c>
      <c r="AJ126" s="756">
        <f t="array" ref="AJ126">SUMPRODUCT((TRIM(INDEX('6. TIẾN ĐỘ MUA HÀNG'!$A$5:$AT644, 0, XMATCH("NCC VTBB/NL trong nước", '6. TIẾN ĐỘ MUA HÀNG'!$A$4:$AT$4, 0))) = TRIM($B126)) * (TRIM(INDEX('6. TIẾN ĐỘ MUA HÀNG'!$A$5:$AT644, 0, XMATCH("Tháng", '6. TIẾN ĐỘ MUA HÀNG'!$A$4:$AT$4, 0))) = TRIM(AJ$6)) * (INDEX('6. TIẾN ĐỘ MUA HÀNG'!$A$5:$AT644, 0, XMATCH("Mã đơn Misa", '6. TIẾN ĐỘ MUA HÀNG'!$A$4:$AT$4, 0)) &lt;&gt; ""))</f>
        <v>0</v>
      </c>
      <c r="AK126" s="756">
        <f t="array" ref="AK126">SUMPRODUCT(
  (INDEX('6. TIẾN ĐỘ MUA HÀNG'!$A$5:$AT644, 0, XMATCH("NCC VTBB/NL trong nước", '6. TIẾN ĐỘ MUA HÀNG'!$A$4:$AT$4, 0)) = $B126) * (TRIM(INDEX('6. TIẾN ĐỘ MUA HÀNG'!$A$5:$AT644, 0, XMATCH("Tháng", '6. TIẾN ĐỘ MUA HÀNG'!$A$4:$AT$4, 0))) = TRIM(AJ$6)) * (INDEX('6. TIẾN ĐỘ MUA HÀNG'!$A$5:$AT644, 0, XMATCH("CL NGÀY NCC DỰ KIẾN - NGÀY NHẬN HÀNG", '6. TIẾN ĐỘ MUA HÀNG'!$A$4:$AT$4, 0)) &lt; 0)
)</f>
        <v>0</v>
      </c>
      <c r="AL126" s="757">
        <f t="shared" si="25"/>
        <v>0</v>
      </c>
      <c r="AM126" s="726">
        <f t="shared" si="27"/>
        <v>0</v>
      </c>
      <c r="AN126" s="726">
        <f t="shared" si="28"/>
        <v>0</v>
      </c>
      <c r="AO126" s="727">
        <f t="shared" si="26"/>
        <v>0</v>
      </c>
    </row>
    <row r="127">
      <c r="A127" s="612">
        <v>119.0</v>
      </c>
      <c r="B127" s="624" t="str">
        <f>IFERROR(__xludf.DUMMYFUNCTION("""COMPUTED_VALUE"""),"Agrifuture")</f>
        <v>Agrifuture</v>
      </c>
      <c r="C127" s="754">
        <f t="array" ref="C127">SUMPRODUCT((TRIM(INDEX('6. TIẾN ĐỘ MUA HÀNG'!$A$5:$AT644, 0, XMATCH("NCC VTBB/NL trong nước", '6. TIẾN ĐỘ MUA HÀNG'!$A$4:$AT$4, 0))) = TRIM($B127)) * (TRIM(INDEX('6. TIẾN ĐỘ MUA HÀNG'!$A$5:$AT644, 0, XMATCH("Tháng", '6. TIẾN ĐỘ MUA HÀNG'!$A$4:$AT$4, 0))) = TRIM(C$6)) * (INDEX('6. TIẾN ĐỘ MUA HÀNG'!$A$5:$AT644, 0, XMATCH("Mã đơn Misa", '6. TIẾN ĐỘ MUA HÀNG'!$A$4:$AT$4, 0)) &lt;&gt; ""))</f>
        <v>0</v>
      </c>
      <c r="D127" s="754">
        <f t="array" ref="D127">SUMPRODUCT(
  (INDEX('6. TIẾN ĐỘ MUA HÀNG'!$A$5:$AT644, 0, XMATCH("NCC VTBB/NL trong nước", '6. TIẾN ĐỘ MUA HÀNG'!$A$4:$AT$4, 0)) = $B127) * (TRIM(INDEX('6. TIẾN ĐỘ MUA HÀNG'!$A$5:$AT644, 0, XMATCH("Tháng", '6. TIẾN ĐỘ MUA HÀNG'!$A$4:$AT$4, 0))) = TRIM(C$6)) * (INDEX('6. TIẾN ĐỘ MUA HÀNG'!$A$5:$AT644, 0, XMATCH("CL NGÀY NCC DỰ KIẾN - NGÀY NHẬN HÀNG", '6. TIẾN ĐỘ MUA HÀNG'!$A$4:$AT$4, 0)) &lt; 0)
)</f>
        <v>0</v>
      </c>
      <c r="E127" s="755">
        <f t="shared" si="29"/>
        <v>0</v>
      </c>
      <c r="F127" s="756">
        <f t="array" ref="F127">SUMPRODUCT((TRIM(INDEX('6. TIẾN ĐỘ MUA HÀNG'!$A$5:$AT644, 0, XMATCH("NCC VTBB/NL trong nước", '6. TIẾN ĐỘ MUA HÀNG'!$A$4:$AT$4, 0))) = TRIM($B127)) * (TRIM(INDEX('6. TIẾN ĐỘ MUA HÀNG'!$A$5:$AT644, 0, XMATCH("Tháng", '6. TIẾN ĐỘ MUA HÀNG'!$A$4:$AT$4, 0))) = TRIM(F$6)) * (INDEX('6. TIẾN ĐỘ MUA HÀNG'!$A$5:$AT644, 0, XMATCH("Mã đơn Misa", '6. TIẾN ĐỘ MUA HÀNG'!$A$4:$AT$4, 0)) &lt;&gt; ""))</f>
        <v>0</v>
      </c>
      <c r="G127" s="756">
        <f t="array" ref="G127">SUMPRODUCT(
  (INDEX('6. TIẾN ĐỘ MUA HÀNG'!$A$5:$AT644, 0, XMATCH("NCC VTBB/NL trong nước", '6. TIẾN ĐỘ MUA HÀNG'!$A$4:$AT$4, 0)) = $B127) * (TRIM(INDEX('6. TIẾN ĐỘ MUA HÀNG'!$A$5:$AT644, 0, XMATCH("Tháng", '6. TIẾN ĐỘ MUA HÀNG'!$A$4:$AT$4, 0))) = TRIM(F$6)) * (INDEX('6. TIẾN ĐỘ MUA HÀNG'!$A$5:$AT644, 0, XMATCH("CL NGÀY NCC DỰ KIẾN - NGÀY NHẬN HÀNG", '6. TIẾN ĐỘ MUA HÀNG'!$A$4:$AT$4, 0)) &lt; 0)
)</f>
        <v>0</v>
      </c>
      <c r="H127" s="757">
        <f t="shared" si="15"/>
        <v>0</v>
      </c>
      <c r="I127" s="754">
        <f t="array" ref="I127">SUMPRODUCT((TRIM(INDEX('6. TIẾN ĐỘ MUA HÀNG'!$A$5:$AT644, 0, XMATCH("NCC VTBB/NL trong nước", '6. TIẾN ĐỘ MUA HÀNG'!$A$4:$AT$4, 0))) = TRIM($B127)) * (TRIM(INDEX('6. TIẾN ĐỘ MUA HÀNG'!$A$5:$AT644, 0, XMATCH("Tháng", '6. TIẾN ĐỘ MUA HÀNG'!$A$4:$AT$4, 0))) = TRIM(I$6)) * (INDEX('6. TIẾN ĐỘ MUA HÀNG'!$A$5:$AT644, 0, XMATCH("Mã đơn Misa", '6. TIẾN ĐỘ MUA HÀNG'!$A$4:$AT$4, 0)) &lt;&gt; ""))</f>
        <v>0</v>
      </c>
      <c r="J127" s="754">
        <f t="array" ref="J127">SUMPRODUCT(
  (INDEX('6. TIẾN ĐỘ MUA HÀNG'!$A$5:$AT644, 0, XMATCH("NCC VTBB/NL trong nước", '6. TIẾN ĐỘ MUA HÀNG'!$A$4:$AT$4, 0)) = $B127) * (TRIM(INDEX('6. TIẾN ĐỘ MUA HÀNG'!$A$5:$AT644, 0, XMATCH("Tháng", '6. TIẾN ĐỘ MUA HÀNG'!$A$4:$AT$4, 0))) = TRIM(I$6)) * (INDEX('6. TIẾN ĐỘ MUA HÀNG'!$A$5:$AT644, 0, XMATCH("CL NGÀY NCC DỰ KIẾN - NGÀY NHẬN HÀNG", '6. TIẾN ĐỘ MUA HÀNG'!$A$4:$AT$4, 0)) &lt; 0)
)</f>
        <v>0</v>
      </c>
      <c r="K127" s="755">
        <f t="shared" si="30"/>
        <v>0</v>
      </c>
      <c r="L127" s="756">
        <f t="array" ref="L127">SUMPRODUCT((TRIM(INDEX('6. TIẾN ĐỘ MUA HÀNG'!$A$5:$AT644, 0, XMATCH("NCC VTBB/NL trong nước", '6. TIẾN ĐỘ MUA HÀNG'!$A$4:$AT$4, 0))) = TRIM($B127)) * (TRIM(INDEX('6. TIẾN ĐỘ MUA HÀNG'!$A$5:$AT644, 0, XMATCH("Tháng", '6. TIẾN ĐỘ MUA HÀNG'!$A$4:$AT$4, 0))) = TRIM(L$6)) * (INDEX('6. TIẾN ĐỘ MUA HÀNG'!$A$5:$AT644, 0, XMATCH("Mã đơn Misa", '6. TIẾN ĐỘ MUA HÀNG'!$A$4:$AT$4, 0)) &lt;&gt; ""))</f>
        <v>0</v>
      </c>
      <c r="M127" s="756">
        <f t="array" ref="M127">SUMPRODUCT(
  (INDEX('6. TIẾN ĐỘ MUA HÀNG'!$A$5:$AT644, 0, XMATCH("NCC VTBB/NL trong nước", '6. TIẾN ĐỘ MUA HÀNG'!$A$4:$AT$4, 0)) = $B127) * (TRIM(INDEX('6. TIẾN ĐỘ MUA HÀNG'!$A$5:$AT644, 0, XMATCH("Tháng", '6. TIẾN ĐỘ MUA HÀNG'!$A$4:$AT$4, 0))) = TRIM(L$6)) * (INDEX('6. TIẾN ĐỘ MUA HÀNG'!$A$5:$AT644, 0, XMATCH("CL NGÀY NCC DỰ KIẾN - NGÀY NHẬN HÀNG", '6. TIẾN ĐỘ MUA HÀNG'!$A$4:$AT$4, 0)) &lt; 0)
)</f>
        <v>0</v>
      </c>
      <c r="N127" s="757">
        <f t="shared" si="17"/>
        <v>0</v>
      </c>
      <c r="O127" s="754">
        <f t="array" ref="O127">SUMPRODUCT((TRIM(INDEX('6. TIẾN ĐỘ MUA HÀNG'!$A$5:$AT644, 0, XMATCH("NCC VTBB/NL trong nước", '6. TIẾN ĐỘ MUA HÀNG'!$A$4:$AT$4, 0))) = TRIM($B127)) * (TRIM(INDEX('6. TIẾN ĐỘ MUA HÀNG'!$A$5:$AT644, 0, XMATCH("Tháng", '6. TIẾN ĐỘ MUA HÀNG'!$A$4:$AT$4, 0))) = TRIM(O$6)) * (INDEX('6. TIẾN ĐỘ MUA HÀNG'!$A$5:$AT644, 0, XMATCH("Mã đơn Misa", '6. TIẾN ĐỘ MUA HÀNG'!$A$4:$AT$4, 0)) &lt;&gt; ""))</f>
        <v>0</v>
      </c>
      <c r="P127" s="754">
        <f t="array" ref="P127">SUMPRODUCT(
  (INDEX('6. TIẾN ĐỘ MUA HÀNG'!$A$5:$AT644, 0, XMATCH("NCC VTBB/NL trong nước", '6. TIẾN ĐỘ MUA HÀNG'!$A$4:$AT$4, 0)) = $B127) * (TRIM(INDEX('6. TIẾN ĐỘ MUA HÀNG'!$A$5:$AT644, 0, XMATCH("Tháng", '6. TIẾN ĐỘ MUA HÀNG'!$A$4:$AT$4, 0))) = TRIM(O$6)) * (INDEX('6. TIẾN ĐỘ MUA HÀNG'!$A$5:$AT644, 0, XMATCH("CL NGÀY NCC DỰ KIẾN - NGÀY NHẬN HÀNG", '6. TIẾN ĐỘ MUA HÀNG'!$A$4:$AT$4, 0)) &lt; 0)
)</f>
        <v>0</v>
      </c>
      <c r="Q127" s="755">
        <f t="shared" si="31"/>
        <v>0</v>
      </c>
      <c r="R127" s="756">
        <f t="array" ref="R127">SUMPRODUCT((TRIM(INDEX('6. TIẾN ĐỘ MUA HÀNG'!$A$5:$AT644, 0, XMATCH("NCC VTBB/NL trong nước", '6. TIẾN ĐỘ MUA HÀNG'!$A$4:$AT$4, 0))) = TRIM($B127)) * (TRIM(INDEX('6. TIẾN ĐỘ MUA HÀNG'!$A$5:$AT644, 0, XMATCH("Tháng", '6. TIẾN ĐỘ MUA HÀNG'!$A$4:$AT$4, 0))) = TRIM(R$6)) * (INDEX('6. TIẾN ĐỘ MUA HÀNG'!$A$5:$AT644, 0, XMATCH("Mã đơn Misa", '6. TIẾN ĐỘ MUA HÀNG'!$A$4:$AT$4, 0)) &lt;&gt; ""))</f>
        <v>0</v>
      </c>
      <c r="S127" s="756">
        <f t="array" ref="S127">SUMPRODUCT(
  (INDEX('6. TIẾN ĐỘ MUA HÀNG'!$A$5:$AT644, 0, XMATCH("NCC VTBB/NL trong nước", '6. TIẾN ĐỘ MUA HÀNG'!$A$4:$AT$4, 0)) = $B127) * (TRIM(INDEX('6. TIẾN ĐỘ MUA HÀNG'!$A$5:$AT644, 0, XMATCH("Tháng", '6. TIẾN ĐỘ MUA HÀNG'!$A$4:$AT$4, 0))) = TRIM(R$6)) * (INDEX('6. TIẾN ĐỘ MUA HÀNG'!$A$5:$AT644, 0, XMATCH("CL NGÀY NCC DỰ KIẾN - NGÀY NHẬN HÀNG", '6. TIẾN ĐỘ MUA HÀNG'!$A$4:$AT$4, 0)) &lt; 0)
)</f>
        <v>0</v>
      </c>
      <c r="T127" s="757">
        <f t="shared" si="19"/>
        <v>0</v>
      </c>
      <c r="U127" s="754">
        <f t="array" ref="U127">SUMPRODUCT((TRIM(INDEX('6. TIẾN ĐỘ MUA HÀNG'!$A$5:$AT644, 0, XMATCH("NCC VTBB/NL trong nước", '6. TIẾN ĐỘ MUA HÀNG'!$A$4:$AT$4, 0))) = TRIM($B127)) * (TRIM(INDEX('6. TIẾN ĐỘ MUA HÀNG'!$A$5:$AT644, 0, XMATCH("Tháng", '6. TIẾN ĐỘ MUA HÀNG'!$A$4:$AT$4, 0))) = TRIM(U$6)) * (INDEX('6. TIẾN ĐỘ MUA HÀNG'!$A$5:$AT644, 0, XMATCH("Mã đơn Misa", '6. TIẾN ĐỘ MUA HÀNG'!$A$4:$AT$4, 0)) &lt;&gt; ""))</f>
        <v>0</v>
      </c>
      <c r="V127" s="754">
        <f t="array" ref="V127">SUMPRODUCT(
  (INDEX('6. TIẾN ĐỘ MUA HÀNG'!$A$5:$AT644, 0, XMATCH("NCC VTBB/NL trong nước", '6. TIẾN ĐỘ MUA HÀNG'!$A$4:$AT$4, 0)) = $B127) * (TRIM(INDEX('6. TIẾN ĐỘ MUA HÀNG'!$A$5:$AT644, 0, XMATCH("Tháng", '6. TIẾN ĐỘ MUA HÀNG'!$A$4:$AT$4, 0))) = TRIM(U$6)) * (INDEX('6. TIẾN ĐỘ MUA HÀNG'!$A$5:$AT644, 0, XMATCH("CL NGÀY NCC DỰ KIẾN - NGÀY NHẬN HÀNG", '6. TIẾN ĐỘ MUA HÀNG'!$A$4:$AT$4, 0)) &lt; 0)
)</f>
        <v>0</v>
      </c>
      <c r="W127" s="755">
        <f t="shared" si="32"/>
        <v>0</v>
      </c>
      <c r="X127" s="756">
        <f t="array" ref="X127">SUMPRODUCT((TRIM(INDEX('6. TIẾN ĐỘ MUA HÀNG'!$A$5:$AT644, 0, XMATCH("NCC VTBB/NL trong nước", '6. TIẾN ĐỘ MUA HÀNG'!$A$4:$AT$4, 0))) = TRIM($B127)) * (TRIM(INDEX('6. TIẾN ĐỘ MUA HÀNG'!$A$5:$AT644, 0, XMATCH("Tháng", '6. TIẾN ĐỘ MUA HÀNG'!$A$4:$AT$4, 0))) = TRIM(X$6)) * (INDEX('6. TIẾN ĐỘ MUA HÀNG'!$A$5:$AT644, 0, XMATCH("Mã đơn Misa", '6. TIẾN ĐỘ MUA HÀNG'!$A$4:$AT$4, 0)) &lt;&gt; ""))</f>
        <v>0</v>
      </c>
      <c r="Y127" s="756">
        <f t="array" ref="Y127">SUMPRODUCT(
  (INDEX('6. TIẾN ĐỘ MUA HÀNG'!$A$5:$AT644, 0, XMATCH("NCC VTBB/NL trong nước", '6. TIẾN ĐỘ MUA HÀNG'!$A$4:$AT$4, 0)) = $B127) * (TRIM(INDEX('6. TIẾN ĐỘ MUA HÀNG'!$A$5:$AT644, 0, XMATCH("Tháng", '6. TIẾN ĐỘ MUA HÀNG'!$A$4:$AT$4, 0))) = TRIM(X$6)) * (INDEX('6. TIẾN ĐỘ MUA HÀNG'!$A$5:$AT644, 0, XMATCH("CL NGÀY NCC DỰ KIẾN - NGÀY NHẬN HÀNG", '6. TIẾN ĐỘ MUA HÀNG'!$A$4:$AT$4, 0)) &lt; 0)
)</f>
        <v>0</v>
      </c>
      <c r="Z127" s="757">
        <f t="shared" si="21"/>
        <v>0</v>
      </c>
      <c r="AA127" s="754">
        <f t="array" ref="AA127">SUMPRODUCT((TRIM(INDEX('6. TIẾN ĐỘ MUA HÀNG'!$A$5:$AT644, 0, XMATCH("NCC VTBB/NL trong nước", '6. TIẾN ĐỘ MUA HÀNG'!$A$4:$AT$4, 0))) = TRIM($B127)) * (TRIM(INDEX('6. TIẾN ĐỘ MUA HÀNG'!$A$5:$AT644, 0, XMATCH("Tháng", '6. TIẾN ĐỘ MUA HÀNG'!$A$4:$AT$4, 0))) = TRIM(AA$6)) * (INDEX('6. TIẾN ĐỘ MUA HÀNG'!$A$5:$AT644, 0, XMATCH("Mã đơn Misa", '6. TIẾN ĐỘ MUA HÀNG'!$A$4:$AT$4, 0)) &lt;&gt; ""))</f>
        <v>0</v>
      </c>
      <c r="AB127" s="754">
        <f t="array" ref="AB127">SUMPRODUCT(
  (INDEX('6. TIẾN ĐỘ MUA HÀNG'!$A$5:$AT644, 0, XMATCH("NCC VTBB/NL trong nước", '6. TIẾN ĐỘ MUA HÀNG'!$A$4:$AT$4, 0)) = $B127) * (TRIM(INDEX('6. TIẾN ĐỘ MUA HÀNG'!$A$5:$AT644, 0, XMATCH("Tháng", '6. TIẾN ĐỘ MUA HÀNG'!$A$4:$AT$4, 0))) = TRIM(AA$6)) * (INDEX('6. TIẾN ĐỘ MUA HÀNG'!$A$5:$AT644, 0, XMATCH("CL NGÀY NCC DỰ KIẾN - NGÀY NHẬN HÀNG", '6. TIẾN ĐỘ MUA HÀNG'!$A$4:$AT$4, 0)) &lt; 0)
)</f>
        <v>0</v>
      </c>
      <c r="AC127" s="755">
        <f t="shared" si="33"/>
        <v>0</v>
      </c>
      <c r="AD127" s="756">
        <f t="array" ref="AD127">SUMPRODUCT((TRIM(INDEX('6. TIẾN ĐỘ MUA HÀNG'!$A$5:$AT644, 0, XMATCH("NCC VTBB/NL trong nước", '6. TIẾN ĐỘ MUA HÀNG'!$A$4:$AT$4, 0))) = TRIM($B127)) * (TRIM(INDEX('6. TIẾN ĐỘ MUA HÀNG'!$A$5:$AT644, 0, XMATCH("Tháng", '6. TIẾN ĐỘ MUA HÀNG'!$A$4:$AT$4, 0))) = TRIM(AD$6)) * (INDEX('6. TIẾN ĐỘ MUA HÀNG'!$A$5:$AT644, 0, XMATCH("Mã đơn Misa", '6. TIẾN ĐỘ MUA HÀNG'!$A$4:$AT$4, 0)) &lt;&gt; ""))</f>
        <v>0</v>
      </c>
      <c r="AE127" s="756">
        <f t="array" ref="AE127">SUMPRODUCT(
  (INDEX('6. TIẾN ĐỘ MUA HÀNG'!$A$5:$AT644, 0, XMATCH("NCC VTBB/NL trong nước", '6. TIẾN ĐỘ MUA HÀNG'!$A$4:$AT$4, 0)) = $B127) * (TRIM(INDEX('6. TIẾN ĐỘ MUA HÀNG'!$A$5:$AT644, 0, XMATCH("Tháng", '6. TIẾN ĐỘ MUA HÀNG'!$A$4:$AT$4, 0))) = TRIM(AD$6)) * (INDEX('6. TIẾN ĐỘ MUA HÀNG'!$A$5:$AT644, 0, XMATCH("CL NGÀY NCC DỰ KIẾN - NGÀY NHẬN HÀNG", '6. TIẾN ĐỘ MUA HÀNG'!$A$4:$AT$4, 0)) &lt; 0)
)</f>
        <v>0</v>
      </c>
      <c r="AF127" s="757">
        <f t="shared" si="23"/>
        <v>0</v>
      </c>
      <c r="AG127" s="754">
        <f t="array" ref="AG127">SUMPRODUCT((TRIM(INDEX('6. TIẾN ĐỘ MUA HÀNG'!$A$5:$AT644, 0, XMATCH("NCC VTBB/NL trong nước", '6. TIẾN ĐỘ MUA HÀNG'!$A$4:$AT$4, 0))) = TRIM($B127)) * (TRIM(INDEX('6. TIẾN ĐỘ MUA HÀNG'!$A$5:$AT644, 0, XMATCH("Tháng", '6. TIẾN ĐỘ MUA HÀNG'!$A$4:$AT$4, 0))) = TRIM(AG$6)) * (INDEX('6. TIẾN ĐỘ MUA HÀNG'!$A$5:$AT644, 0, XMATCH("Mã đơn Misa", '6. TIẾN ĐỘ MUA HÀNG'!$A$4:$AT$4, 0)) &lt;&gt; ""))</f>
        <v>0</v>
      </c>
      <c r="AH127" s="754">
        <f t="array" ref="AH127">SUMPRODUCT(
  (INDEX('6. TIẾN ĐỘ MUA HÀNG'!$A$5:$AT644, 0, XMATCH("NCC VTBB/NL trong nước", '6. TIẾN ĐỘ MUA HÀNG'!$A$4:$AT$4, 0)) = $B127) * (TRIM(INDEX('6. TIẾN ĐỘ MUA HÀNG'!$A$5:$AT644, 0, XMATCH("Tháng", '6. TIẾN ĐỘ MUA HÀNG'!$A$4:$AT$4, 0))) = TRIM(AG$6)) * (INDEX('6. TIẾN ĐỘ MUA HÀNG'!$A$5:$AT644, 0, XMATCH("CL NGÀY NCC DỰ KIẾN - NGÀY NHẬN HÀNG", '6. TIẾN ĐỘ MUA HÀNG'!$A$4:$AT$4, 0)) &lt; 0)
)</f>
        <v>0</v>
      </c>
      <c r="AI127" s="755">
        <f t="shared" si="34"/>
        <v>0</v>
      </c>
      <c r="AJ127" s="756">
        <f t="array" ref="AJ127">SUMPRODUCT((TRIM(INDEX('6. TIẾN ĐỘ MUA HÀNG'!$A$5:$AT644, 0, XMATCH("NCC VTBB/NL trong nước", '6. TIẾN ĐỘ MUA HÀNG'!$A$4:$AT$4, 0))) = TRIM($B127)) * (TRIM(INDEX('6. TIẾN ĐỘ MUA HÀNG'!$A$5:$AT644, 0, XMATCH("Tháng", '6. TIẾN ĐỘ MUA HÀNG'!$A$4:$AT$4, 0))) = TRIM(AJ$6)) * (INDEX('6. TIẾN ĐỘ MUA HÀNG'!$A$5:$AT644, 0, XMATCH("Mã đơn Misa", '6. TIẾN ĐỘ MUA HÀNG'!$A$4:$AT$4, 0)) &lt;&gt; ""))</f>
        <v>0</v>
      </c>
      <c r="AK127" s="756">
        <f t="array" ref="AK127">SUMPRODUCT(
  (INDEX('6. TIẾN ĐỘ MUA HÀNG'!$A$5:$AT644, 0, XMATCH("NCC VTBB/NL trong nước", '6. TIẾN ĐỘ MUA HÀNG'!$A$4:$AT$4, 0)) = $B127) * (TRIM(INDEX('6. TIẾN ĐỘ MUA HÀNG'!$A$5:$AT644, 0, XMATCH("Tháng", '6. TIẾN ĐỘ MUA HÀNG'!$A$4:$AT$4, 0))) = TRIM(AJ$6)) * (INDEX('6. TIẾN ĐỘ MUA HÀNG'!$A$5:$AT644, 0, XMATCH("CL NGÀY NCC DỰ KIẾN - NGÀY NHẬN HÀNG", '6. TIẾN ĐỘ MUA HÀNG'!$A$4:$AT$4, 0)) &lt; 0)
)</f>
        <v>0</v>
      </c>
      <c r="AL127" s="757">
        <f t="shared" si="25"/>
        <v>0</v>
      </c>
      <c r="AM127" s="726">
        <f t="shared" si="27"/>
        <v>0</v>
      </c>
      <c r="AN127" s="726">
        <f t="shared" si="28"/>
        <v>0</v>
      </c>
      <c r="AO127" s="727">
        <f t="shared" si="26"/>
        <v>0</v>
      </c>
    </row>
    <row r="128">
      <c r="A128" s="612">
        <v>120.0</v>
      </c>
      <c r="B128" s="624" t="str">
        <f>IFERROR(__xludf.DUMMYFUNCTION("""COMPUTED_VALUE"""),"Thu Loan")</f>
        <v>Thu Loan</v>
      </c>
      <c r="C128" s="754">
        <f t="array" ref="C128">SUMPRODUCT((TRIM(INDEX('6. TIẾN ĐỘ MUA HÀNG'!$A$5:$AT644, 0, XMATCH("NCC VTBB/NL trong nước", '6. TIẾN ĐỘ MUA HÀNG'!$A$4:$AT$4, 0))) = TRIM($B128)) * (TRIM(INDEX('6. TIẾN ĐỘ MUA HÀNG'!$A$5:$AT644, 0, XMATCH("Tháng", '6. TIẾN ĐỘ MUA HÀNG'!$A$4:$AT$4, 0))) = TRIM(C$6)) * (INDEX('6. TIẾN ĐỘ MUA HÀNG'!$A$5:$AT644, 0, XMATCH("Mã đơn Misa", '6. TIẾN ĐỘ MUA HÀNG'!$A$4:$AT$4, 0)) &lt;&gt; ""))</f>
        <v>0</v>
      </c>
      <c r="D128" s="754">
        <f t="array" ref="D128">SUMPRODUCT(
  (INDEX('6. TIẾN ĐỘ MUA HÀNG'!$A$5:$AT644, 0, XMATCH("NCC VTBB/NL trong nước", '6. TIẾN ĐỘ MUA HÀNG'!$A$4:$AT$4, 0)) = $B128) * (TRIM(INDEX('6. TIẾN ĐỘ MUA HÀNG'!$A$5:$AT644, 0, XMATCH("Tháng", '6. TIẾN ĐỘ MUA HÀNG'!$A$4:$AT$4, 0))) = TRIM(C$6)) * (INDEX('6. TIẾN ĐỘ MUA HÀNG'!$A$5:$AT644, 0, XMATCH("CL NGÀY NCC DỰ KIẾN - NGÀY NHẬN HÀNG", '6. TIẾN ĐỘ MUA HÀNG'!$A$4:$AT$4, 0)) &lt; 0)
)</f>
        <v>0</v>
      </c>
      <c r="E128" s="755">
        <f t="shared" si="29"/>
        <v>0</v>
      </c>
      <c r="F128" s="756">
        <f t="array" ref="F128">SUMPRODUCT((TRIM(INDEX('6. TIẾN ĐỘ MUA HÀNG'!$A$5:$AT644, 0, XMATCH("NCC VTBB/NL trong nước", '6. TIẾN ĐỘ MUA HÀNG'!$A$4:$AT$4, 0))) = TRIM($B128)) * (TRIM(INDEX('6. TIẾN ĐỘ MUA HÀNG'!$A$5:$AT644, 0, XMATCH("Tháng", '6. TIẾN ĐỘ MUA HÀNG'!$A$4:$AT$4, 0))) = TRIM(F$6)) * (INDEX('6. TIẾN ĐỘ MUA HÀNG'!$A$5:$AT644, 0, XMATCH("Mã đơn Misa", '6. TIẾN ĐỘ MUA HÀNG'!$A$4:$AT$4, 0)) &lt;&gt; ""))</f>
        <v>0</v>
      </c>
      <c r="G128" s="756">
        <f t="array" ref="G128">SUMPRODUCT(
  (INDEX('6. TIẾN ĐỘ MUA HÀNG'!$A$5:$AT644, 0, XMATCH("NCC VTBB/NL trong nước", '6. TIẾN ĐỘ MUA HÀNG'!$A$4:$AT$4, 0)) = $B128) * (TRIM(INDEX('6. TIẾN ĐỘ MUA HÀNG'!$A$5:$AT644, 0, XMATCH("Tháng", '6. TIẾN ĐỘ MUA HÀNG'!$A$4:$AT$4, 0))) = TRIM(F$6)) * (INDEX('6. TIẾN ĐỘ MUA HÀNG'!$A$5:$AT644, 0, XMATCH("CL NGÀY NCC DỰ KIẾN - NGÀY NHẬN HÀNG", '6. TIẾN ĐỘ MUA HÀNG'!$A$4:$AT$4, 0)) &lt; 0)
)</f>
        <v>0</v>
      </c>
      <c r="H128" s="757">
        <f t="shared" si="15"/>
        <v>0</v>
      </c>
      <c r="I128" s="754">
        <f t="array" ref="I128">SUMPRODUCT((TRIM(INDEX('6. TIẾN ĐỘ MUA HÀNG'!$A$5:$AT644, 0, XMATCH("NCC VTBB/NL trong nước", '6. TIẾN ĐỘ MUA HÀNG'!$A$4:$AT$4, 0))) = TRIM($B128)) * (TRIM(INDEX('6. TIẾN ĐỘ MUA HÀNG'!$A$5:$AT644, 0, XMATCH("Tháng", '6. TIẾN ĐỘ MUA HÀNG'!$A$4:$AT$4, 0))) = TRIM(I$6)) * (INDEX('6. TIẾN ĐỘ MUA HÀNG'!$A$5:$AT644, 0, XMATCH("Mã đơn Misa", '6. TIẾN ĐỘ MUA HÀNG'!$A$4:$AT$4, 0)) &lt;&gt; ""))</f>
        <v>0</v>
      </c>
      <c r="J128" s="754">
        <f t="array" ref="J128">SUMPRODUCT(
  (INDEX('6. TIẾN ĐỘ MUA HÀNG'!$A$5:$AT644, 0, XMATCH("NCC VTBB/NL trong nước", '6. TIẾN ĐỘ MUA HÀNG'!$A$4:$AT$4, 0)) = $B128) * (TRIM(INDEX('6. TIẾN ĐỘ MUA HÀNG'!$A$5:$AT644, 0, XMATCH("Tháng", '6. TIẾN ĐỘ MUA HÀNG'!$A$4:$AT$4, 0))) = TRIM(I$6)) * (INDEX('6. TIẾN ĐỘ MUA HÀNG'!$A$5:$AT644, 0, XMATCH("CL NGÀY NCC DỰ KIẾN - NGÀY NHẬN HÀNG", '6. TIẾN ĐỘ MUA HÀNG'!$A$4:$AT$4, 0)) &lt; 0)
)</f>
        <v>0</v>
      </c>
      <c r="K128" s="755">
        <f t="shared" si="30"/>
        <v>0</v>
      </c>
      <c r="L128" s="756">
        <f t="array" ref="L128">SUMPRODUCT((TRIM(INDEX('6. TIẾN ĐỘ MUA HÀNG'!$A$5:$AT644, 0, XMATCH("NCC VTBB/NL trong nước", '6. TIẾN ĐỘ MUA HÀNG'!$A$4:$AT$4, 0))) = TRIM($B128)) * (TRIM(INDEX('6. TIẾN ĐỘ MUA HÀNG'!$A$5:$AT644, 0, XMATCH("Tháng", '6. TIẾN ĐỘ MUA HÀNG'!$A$4:$AT$4, 0))) = TRIM(L$6)) * (INDEX('6. TIẾN ĐỘ MUA HÀNG'!$A$5:$AT644, 0, XMATCH("Mã đơn Misa", '6. TIẾN ĐỘ MUA HÀNG'!$A$4:$AT$4, 0)) &lt;&gt; ""))</f>
        <v>0</v>
      </c>
      <c r="M128" s="756">
        <f t="array" ref="M128">SUMPRODUCT(
  (INDEX('6. TIẾN ĐỘ MUA HÀNG'!$A$5:$AT644, 0, XMATCH("NCC VTBB/NL trong nước", '6. TIẾN ĐỘ MUA HÀNG'!$A$4:$AT$4, 0)) = $B128) * (TRIM(INDEX('6. TIẾN ĐỘ MUA HÀNG'!$A$5:$AT644, 0, XMATCH("Tháng", '6. TIẾN ĐỘ MUA HÀNG'!$A$4:$AT$4, 0))) = TRIM(L$6)) * (INDEX('6. TIẾN ĐỘ MUA HÀNG'!$A$5:$AT644, 0, XMATCH("CL NGÀY NCC DỰ KIẾN - NGÀY NHẬN HÀNG", '6. TIẾN ĐỘ MUA HÀNG'!$A$4:$AT$4, 0)) &lt; 0)
)</f>
        <v>0</v>
      </c>
      <c r="N128" s="757">
        <f t="shared" si="17"/>
        <v>0</v>
      </c>
      <c r="O128" s="754">
        <f t="array" ref="O128">SUMPRODUCT((TRIM(INDEX('6. TIẾN ĐỘ MUA HÀNG'!$A$5:$AT644, 0, XMATCH("NCC VTBB/NL trong nước", '6. TIẾN ĐỘ MUA HÀNG'!$A$4:$AT$4, 0))) = TRIM($B128)) * (TRIM(INDEX('6. TIẾN ĐỘ MUA HÀNG'!$A$5:$AT644, 0, XMATCH("Tháng", '6. TIẾN ĐỘ MUA HÀNG'!$A$4:$AT$4, 0))) = TRIM(O$6)) * (INDEX('6. TIẾN ĐỘ MUA HÀNG'!$A$5:$AT644, 0, XMATCH("Mã đơn Misa", '6. TIẾN ĐỘ MUA HÀNG'!$A$4:$AT$4, 0)) &lt;&gt; ""))</f>
        <v>0</v>
      </c>
      <c r="P128" s="754">
        <f t="array" ref="P128">SUMPRODUCT(
  (INDEX('6. TIẾN ĐỘ MUA HÀNG'!$A$5:$AT644, 0, XMATCH("NCC VTBB/NL trong nước", '6. TIẾN ĐỘ MUA HÀNG'!$A$4:$AT$4, 0)) = $B128) * (TRIM(INDEX('6. TIẾN ĐỘ MUA HÀNG'!$A$5:$AT644, 0, XMATCH("Tháng", '6. TIẾN ĐỘ MUA HÀNG'!$A$4:$AT$4, 0))) = TRIM(O$6)) * (INDEX('6. TIẾN ĐỘ MUA HÀNG'!$A$5:$AT644, 0, XMATCH("CL NGÀY NCC DỰ KIẾN - NGÀY NHẬN HÀNG", '6. TIẾN ĐỘ MUA HÀNG'!$A$4:$AT$4, 0)) &lt; 0)
)</f>
        <v>0</v>
      </c>
      <c r="Q128" s="755">
        <f t="shared" si="31"/>
        <v>0</v>
      </c>
      <c r="R128" s="756">
        <f t="array" ref="R128">SUMPRODUCT((TRIM(INDEX('6. TIẾN ĐỘ MUA HÀNG'!$A$5:$AT644, 0, XMATCH("NCC VTBB/NL trong nước", '6. TIẾN ĐỘ MUA HÀNG'!$A$4:$AT$4, 0))) = TRIM($B128)) * (TRIM(INDEX('6. TIẾN ĐỘ MUA HÀNG'!$A$5:$AT644, 0, XMATCH("Tháng", '6. TIẾN ĐỘ MUA HÀNG'!$A$4:$AT$4, 0))) = TRIM(R$6)) * (INDEX('6. TIẾN ĐỘ MUA HÀNG'!$A$5:$AT644, 0, XMATCH("Mã đơn Misa", '6. TIẾN ĐỘ MUA HÀNG'!$A$4:$AT$4, 0)) &lt;&gt; ""))</f>
        <v>0</v>
      </c>
      <c r="S128" s="756">
        <f t="array" ref="S128">SUMPRODUCT(
  (INDEX('6. TIẾN ĐỘ MUA HÀNG'!$A$5:$AT644, 0, XMATCH("NCC VTBB/NL trong nước", '6. TIẾN ĐỘ MUA HÀNG'!$A$4:$AT$4, 0)) = $B128) * (TRIM(INDEX('6. TIẾN ĐỘ MUA HÀNG'!$A$5:$AT644, 0, XMATCH("Tháng", '6. TIẾN ĐỘ MUA HÀNG'!$A$4:$AT$4, 0))) = TRIM(R$6)) * (INDEX('6. TIẾN ĐỘ MUA HÀNG'!$A$5:$AT644, 0, XMATCH("CL NGÀY NCC DỰ KIẾN - NGÀY NHẬN HÀNG", '6. TIẾN ĐỘ MUA HÀNG'!$A$4:$AT$4, 0)) &lt; 0)
)</f>
        <v>0</v>
      </c>
      <c r="T128" s="757">
        <f t="shared" si="19"/>
        <v>0</v>
      </c>
      <c r="U128" s="754">
        <f t="array" ref="U128">SUMPRODUCT((TRIM(INDEX('6. TIẾN ĐỘ MUA HÀNG'!$A$5:$AT644, 0, XMATCH("NCC VTBB/NL trong nước", '6. TIẾN ĐỘ MUA HÀNG'!$A$4:$AT$4, 0))) = TRIM($B128)) * (TRIM(INDEX('6. TIẾN ĐỘ MUA HÀNG'!$A$5:$AT644, 0, XMATCH("Tháng", '6. TIẾN ĐỘ MUA HÀNG'!$A$4:$AT$4, 0))) = TRIM(U$6)) * (INDEX('6. TIẾN ĐỘ MUA HÀNG'!$A$5:$AT644, 0, XMATCH("Mã đơn Misa", '6. TIẾN ĐỘ MUA HÀNG'!$A$4:$AT$4, 0)) &lt;&gt; ""))</f>
        <v>0</v>
      </c>
      <c r="V128" s="754">
        <f t="array" ref="V128">SUMPRODUCT(
  (INDEX('6. TIẾN ĐỘ MUA HÀNG'!$A$5:$AT644, 0, XMATCH("NCC VTBB/NL trong nước", '6. TIẾN ĐỘ MUA HÀNG'!$A$4:$AT$4, 0)) = $B128) * (TRIM(INDEX('6. TIẾN ĐỘ MUA HÀNG'!$A$5:$AT644, 0, XMATCH("Tháng", '6. TIẾN ĐỘ MUA HÀNG'!$A$4:$AT$4, 0))) = TRIM(U$6)) * (INDEX('6. TIẾN ĐỘ MUA HÀNG'!$A$5:$AT644, 0, XMATCH("CL NGÀY NCC DỰ KIẾN - NGÀY NHẬN HÀNG", '6. TIẾN ĐỘ MUA HÀNG'!$A$4:$AT$4, 0)) &lt; 0)
)</f>
        <v>0</v>
      </c>
      <c r="W128" s="755">
        <f t="shared" si="32"/>
        <v>0</v>
      </c>
      <c r="X128" s="756">
        <f t="array" ref="X128">SUMPRODUCT((TRIM(INDEX('6. TIẾN ĐỘ MUA HÀNG'!$A$5:$AT644, 0, XMATCH("NCC VTBB/NL trong nước", '6. TIẾN ĐỘ MUA HÀNG'!$A$4:$AT$4, 0))) = TRIM($B128)) * (TRIM(INDEX('6. TIẾN ĐỘ MUA HÀNG'!$A$5:$AT644, 0, XMATCH("Tháng", '6. TIẾN ĐỘ MUA HÀNG'!$A$4:$AT$4, 0))) = TRIM(X$6)) * (INDEX('6. TIẾN ĐỘ MUA HÀNG'!$A$5:$AT644, 0, XMATCH("Mã đơn Misa", '6. TIẾN ĐỘ MUA HÀNG'!$A$4:$AT$4, 0)) &lt;&gt; ""))</f>
        <v>0</v>
      </c>
      <c r="Y128" s="756">
        <f t="array" ref="Y128">SUMPRODUCT(
  (INDEX('6. TIẾN ĐỘ MUA HÀNG'!$A$5:$AT644, 0, XMATCH("NCC VTBB/NL trong nước", '6. TIẾN ĐỘ MUA HÀNG'!$A$4:$AT$4, 0)) = $B128) * (TRIM(INDEX('6. TIẾN ĐỘ MUA HÀNG'!$A$5:$AT644, 0, XMATCH("Tháng", '6. TIẾN ĐỘ MUA HÀNG'!$A$4:$AT$4, 0))) = TRIM(X$6)) * (INDEX('6. TIẾN ĐỘ MUA HÀNG'!$A$5:$AT644, 0, XMATCH("CL NGÀY NCC DỰ KIẾN - NGÀY NHẬN HÀNG", '6. TIẾN ĐỘ MUA HÀNG'!$A$4:$AT$4, 0)) &lt; 0)
)</f>
        <v>0</v>
      </c>
      <c r="Z128" s="757">
        <f t="shared" si="21"/>
        <v>0</v>
      </c>
      <c r="AA128" s="754">
        <f t="array" ref="AA128">SUMPRODUCT((TRIM(INDEX('6. TIẾN ĐỘ MUA HÀNG'!$A$5:$AT644, 0, XMATCH("NCC VTBB/NL trong nước", '6. TIẾN ĐỘ MUA HÀNG'!$A$4:$AT$4, 0))) = TRIM($B128)) * (TRIM(INDEX('6. TIẾN ĐỘ MUA HÀNG'!$A$5:$AT644, 0, XMATCH("Tháng", '6. TIẾN ĐỘ MUA HÀNG'!$A$4:$AT$4, 0))) = TRIM(AA$6)) * (INDEX('6. TIẾN ĐỘ MUA HÀNG'!$A$5:$AT644, 0, XMATCH("Mã đơn Misa", '6. TIẾN ĐỘ MUA HÀNG'!$A$4:$AT$4, 0)) &lt;&gt; ""))</f>
        <v>0</v>
      </c>
      <c r="AB128" s="754">
        <f t="array" ref="AB128">SUMPRODUCT(
  (INDEX('6. TIẾN ĐỘ MUA HÀNG'!$A$5:$AT644, 0, XMATCH("NCC VTBB/NL trong nước", '6. TIẾN ĐỘ MUA HÀNG'!$A$4:$AT$4, 0)) = $B128) * (TRIM(INDEX('6. TIẾN ĐỘ MUA HÀNG'!$A$5:$AT644, 0, XMATCH("Tháng", '6. TIẾN ĐỘ MUA HÀNG'!$A$4:$AT$4, 0))) = TRIM(AA$6)) * (INDEX('6. TIẾN ĐỘ MUA HÀNG'!$A$5:$AT644, 0, XMATCH("CL NGÀY NCC DỰ KIẾN - NGÀY NHẬN HÀNG", '6. TIẾN ĐỘ MUA HÀNG'!$A$4:$AT$4, 0)) &lt; 0)
)</f>
        <v>0</v>
      </c>
      <c r="AC128" s="755">
        <f t="shared" si="33"/>
        <v>0</v>
      </c>
      <c r="AD128" s="756">
        <f t="array" ref="AD128">SUMPRODUCT((TRIM(INDEX('6. TIẾN ĐỘ MUA HÀNG'!$A$5:$AT644, 0, XMATCH("NCC VTBB/NL trong nước", '6. TIẾN ĐỘ MUA HÀNG'!$A$4:$AT$4, 0))) = TRIM($B128)) * (TRIM(INDEX('6. TIẾN ĐỘ MUA HÀNG'!$A$5:$AT644, 0, XMATCH("Tháng", '6. TIẾN ĐỘ MUA HÀNG'!$A$4:$AT$4, 0))) = TRIM(AD$6)) * (INDEX('6. TIẾN ĐỘ MUA HÀNG'!$A$5:$AT644, 0, XMATCH("Mã đơn Misa", '6. TIẾN ĐỘ MUA HÀNG'!$A$4:$AT$4, 0)) &lt;&gt; ""))</f>
        <v>0</v>
      </c>
      <c r="AE128" s="756">
        <f t="array" ref="AE128">SUMPRODUCT(
  (INDEX('6. TIẾN ĐỘ MUA HÀNG'!$A$5:$AT644, 0, XMATCH("NCC VTBB/NL trong nước", '6. TIẾN ĐỘ MUA HÀNG'!$A$4:$AT$4, 0)) = $B128) * (TRIM(INDEX('6. TIẾN ĐỘ MUA HÀNG'!$A$5:$AT644, 0, XMATCH("Tháng", '6. TIẾN ĐỘ MUA HÀNG'!$A$4:$AT$4, 0))) = TRIM(AD$6)) * (INDEX('6. TIẾN ĐỘ MUA HÀNG'!$A$5:$AT644, 0, XMATCH("CL NGÀY NCC DỰ KIẾN - NGÀY NHẬN HÀNG", '6. TIẾN ĐỘ MUA HÀNG'!$A$4:$AT$4, 0)) &lt; 0)
)</f>
        <v>0</v>
      </c>
      <c r="AF128" s="757">
        <f t="shared" si="23"/>
        <v>0</v>
      </c>
      <c r="AG128" s="754">
        <f t="array" ref="AG128">SUMPRODUCT((TRIM(INDEX('6. TIẾN ĐỘ MUA HÀNG'!$A$5:$AT644, 0, XMATCH("NCC VTBB/NL trong nước", '6. TIẾN ĐỘ MUA HÀNG'!$A$4:$AT$4, 0))) = TRIM($B128)) * (TRIM(INDEX('6. TIẾN ĐỘ MUA HÀNG'!$A$5:$AT644, 0, XMATCH("Tháng", '6. TIẾN ĐỘ MUA HÀNG'!$A$4:$AT$4, 0))) = TRIM(AG$6)) * (INDEX('6. TIẾN ĐỘ MUA HÀNG'!$A$5:$AT644, 0, XMATCH("Mã đơn Misa", '6. TIẾN ĐỘ MUA HÀNG'!$A$4:$AT$4, 0)) &lt;&gt; ""))</f>
        <v>0</v>
      </c>
      <c r="AH128" s="754">
        <f t="array" ref="AH128">SUMPRODUCT(
  (INDEX('6. TIẾN ĐỘ MUA HÀNG'!$A$5:$AT644, 0, XMATCH("NCC VTBB/NL trong nước", '6. TIẾN ĐỘ MUA HÀNG'!$A$4:$AT$4, 0)) = $B128) * (TRIM(INDEX('6. TIẾN ĐỘ MUA HÀNG'!$A$5:$AT644, 0, XMATCH("Tháng", '6. TIẾN ĐỘ MUA HÀNG'!$A$4:$AT$4, 0))) = TRIM(AG$6)) * (INDEX('6. TIẾN ĐỘ MUA HÀNG'!$A$5:$AT644, 0, XMATCH("CL NGÀY NCC DỰ KIẾN - NGÀY NHẬN HÀNG", '6. TIẾN ĐỘ MUA HÀNG'!$A$4:$AT$4, 0)) &lt; 0)
)</f>
        <v>0</v>
      </c>
      <c r="AI128" s="755">
        <f t="shared" si="34"/>
        <v>0</v>
      </c>
      <c r="AJ128" s="756">
        <f t="array" ref="AJ128">SUMPRODUCT((TRIM(INDEX('6. TIẾN ĐỘ MUA HÀNG'!$A$5:$AT644, 0, XMATCH("NCC VTBB/NL trong nước", '6. TIẾN ĐỘ MUA HÀNG'!$A$4:$AT$4, 0))) = TRIM($B128)) * (TRIM(INDEX('6. TIẾN ĐỘ MUA HÀNG'!$A$5:$AT644, 0, XMATCH("Tháng", '6. TIẾN ĐỘ MUA HÀNG'!$A$4:$AT$4, 0))) = TRIM(AJ$6)) * (INDEX('6. TIẾN ĐỘ MUA HÀNG'!$A$5:$AT644, 0, XMATCH("Mã đơn Misa", '6. TIẾN ĐỘ MUA HÀNG'!$A$4:$AT$4, 0)) &lt;&gt; ""))</f>
        <v>0</v>
      </c>
      <c r="AK128" s="756">
        <f t="array" ref="AK128">SUMPRODUCT(
  (INDEX('6. TIẾN ĐỘ MUA HÀNG'!$A$5:$AT644, 0, XMATCH("NCC VTBB/NL trong nước", '6. TIẾN ĐỘ MUA HÀNG'!$A$4:$AT$4, 0)) = $B128) * (TRIM(INDEX('6. TIẾN ĐỘ MUA HÀNG'!$A$5:$AT644, 0, XMATCH("Tháng", '6. TIẾN ĐỘ MUA HÀNG'!$A$4:$AT$4, 0))) = TRIM(AJ$6)) * (INDEX('6. TIẾN ĐỘ MUA HÀNG'!$A$5:$AT644, 0, XMATCH("CL NGÀY NCC DỰ KIẾN - NGÀY NHẬN HÀNG", '6. TIẾN ĐỘ MUA HÀNG'!$A$4:$AT$4, 0)) &lt; 0)
)</f>
        <v>0</v>
      </c>
      <c r="AL128" s="757">
        <f t="shared" si="25"/>
        <v>0</v>
      </c>
      <c r="AM128" s="726">
        <f t="shared" si="27"/>
        <v>0</v>
      </c>
      <c r="AN128" s="726">
        <f t="shared" si="28"/>
        <v>0</v>
      </c>
      <c r="AO128" s="727">
        <f t="shared" si="26"/>
        <v>0</v>
      </c>
    </row>
    <row r="129">
      <c r="A129" s="612">
        <v>121.0</v>
      </c>
      <c r="B129" s="624" t="str">
        <f>IFERROR(__xludf.DUMMYFUNCTION("""COMPUTED_VALUE"""),"Thái Nông")</f>
        <v>Thái Nông</v>
      </c>
      <c r="C129" s="754">
        <f t="array" ref="C129">SUMPRODUCT((TRIM(INDEX('6. TIẾN ĐỘ MUA HÀNG'!$A$5:$AT644, 0, XMATCH("NCC VTBB/NL trong nước", '6. TIẾN ĐỘ MUA HÀNG'!$A$4:$AT$4, 0))) = TRIM($B129)) * (TRIM(INDEX('6. TIẾN ĐỘ MUA HÀNG'!$A$5:$AT644, 0, XMATCH("Tháng", '6. TIẾN ĐỘ MUA HÀNG'!$A$4:$AT$4, 0))) = TRIM(C$6)) * (INDEX('6. TIẾN ĐỘ MUA HÀNG'!$A$5:$AT644, 0, XMATCH("Mã đơn Misa", '6. TIẾN ĐỘ MUA HÀNG'!$A$4:$AT$4, 0)) &lt;&gt; ""))</f>
        <v>0</v>
      </c>
      <c r="D129" s="754">
        <f t="array" ref="D129">SUMPRODUCT(
  (INDEX('6. TIẾN ĐỘ MUA HÀNG'!$A$5:$AT644, 0, XMATCH("NCC VTBB/NL trong nước", '6. TIẾN ĐỘ MUA HÀNG'!$A$4:$AT$4, 0)) = $B129) * (TRIM(INDEX('6. TIẾN ĐỘ MUA HÀNG'!$A$5:$AT644, 0, XMATCH("Tháng", '6. TIẾN ĐỘ MUA HÀNG'!$A$4:$AT$4, 0))) = TRIM(C$6)) * (INDEX('6. TIẾN ĐỘ MUA HÀNG'!$A$5:$AT644, 0, XMATCH("CL NGÀY NCC DỰ KIẾN - NGÀY NHẬN HÀNG", '6. TIẾN ĐỘ MUA HÀNG'!$A$4:$AT$4, 0)) &lt; 0)
)</f>
        <v>0</v>
      </c>
      <c r="E129" s="755">
        <f t="shared" si="29"/>
        <v>0</v>
      </c>
      <c r="F129" s="756">
        <f t="array" ref="F129">SUMPRODUCT((TRIM(INDEX('6. TIẾN ĐỘ MUA HÀNG'!$A$5:$AT644, 0, XMATCH("NCC VTBB/NL trong nước", '6. TIẾN ĐỘ MUA HÀNG'!$A$4:$AT$4, 0))) = TRIM($B129)) * (TRIM(INDEX('6. TIẾN ĐỘ MUA HÀNG'!$A$5:$AT644, 0, XMATCH("Tháng", '6. TIẾN ĐỘ MUA HÀNG'!$A$4:$AT$4, 0))) = TRIM(F$6)) * (INDEX('6. TIẾN ĐỘ MUA HÀNG'!$A$5:$AT644, 0, XMATCH("Mã đơn Misa", '6. TIẾN ĐỘ MUA HÀNG'!$A$4:$AT$4, 0)) &lt;&gt; ""))</f>
        <v>0</v>
      </c>
      <c r="G129" s="756">
        <f t="array" ref="G129">SUMPRODUCT(
  (INDEX('6. TIẾN ĐỘ MUA HÀNG'!$A$5:$AT644, 0, XMATCH("NCC VTBB/NL trong nước", '6. TIẾN ĐỘ MUA HÀNG'!$A$4:$AT$4, 0)) = $B129) * (TRIM(INDEX('6. TIẾN ĐỘ MUA HÀNG'!$A$5:$AT644, 0, XMATCH("Tháng", '6. TIẾN ĐỘ MUA HÀNG'!$A$4:$AT$4, 0))) = TRIM(F$6)) * (INDEX('6. TIẾN ĐỘ MUA HÀNG'!$A$5:$AT644, 0, XMATCH("CL NGÀY NCC DỰ KIẾN - NGÀY NHẬN HÀNG", '6. TIẾN ĐỘ MUA HÀNG'!$A$4:$AT$4, 0)) &lt; 0)
)</f>
        <v>0</v>
      </c>
      <c r="H129" s="757">
        <f t="shared" si="15"/>
        <v>0</v>
      </c>
      <c r="I129" s="754">
        <f t="array" ref="I129">SUMPRODUCT((TRIM(INDEX('6. TIẾN ĐỘ MUA HÀNG'!$A$5:$AT644, 0, XMATCH("NCC VTBB/NL trong nước", '6. TIẾN ĐỘ MUA HÀNG'!$A$4:$AT$4, 0))) = TRIM($B129)) * (TRIM(INDEX('6. TIẾN ĐỘ MUA HÀNG'!$A$5:$AT644, 0, XMATCH("Tháng", '6. TIẾN ĐỘ MUA HÀNG'!$A$4:$AT$4, 0))) = TRIM(I$6)) * (INDEX('6. TIẾN ĐỘ MUA HÀNG'!$A$5:$AT644, 0, XMATCH("Mã đơn Misa", '6. TIẾN ĐỘ MUA HÀNG'!$A$4:$AT$4, 0)) &lt;&gt; ""))</f>
        <v>0</v>
      </c>
      <c r="J129" s="754">
        <f t="array" ref="J129">SUMPRODUCT(
  (INDEX('6. TIẾN ĐỘ MUA HÀNG'!$A$5:$AT644, 0, XMATCH("NCC VTBB/NL trong nước", '6. TIẾN ĐỘ MUA HÀNG'!$A$4:$AT$4, 0)) = $B129) * (TRIM(INDEX('6. TIẾN ĐỘ MUA HÀNG'!$A$5:$AT644, 0, XMATCH("Tháng", '6. TIẾN ĐỘ MUA HÀNG'!$A$4:$AT$4, 0))) = TRIM(I$6)) * (INDEX('6. TIẾN ĐỘ MUA HÀNG'!$A$5:$AT644, 0, XMATCH("CL NGÀY NCC DỰ KIẾN - NGÀY NHẬN HÀNG", '6. TIẾN ĐỘ MUA HÀNG'!$A$4:$AT$4, 0)) &lt; 0)
)</f>
        <v>0</v>
      </c>
      <c r="K129" s="755">
        <f t="shared" si="30"/>
        <v>0</v>
      </c>
      <c r="L129" s="756">
        <f t="array" ref="L129">SUMPRODUCT((TRIM(INDEX('6. TIẾN ĐỘ MUA HÀNG'!$A$5:$AT644, 0, XMATCH("NCC VTBB/NL trong nước", '6. TIẾN ĐỘ MUA HÀNG'!$A$4:$AT$4, 0))) = TRIM($B129)) * (TRIM(INDEX('6. TIẾN ĐỘ MUA HÀNG'!$A$5:$AT644, 0, XMATCH("Tháng", '6. TIẾN ĐỘ MUA HÀNG'!$A$4:$AT$4, 0))) = TRIM(L$6)) * (INDEX('6. TIẾN ĐỘ MUA HÀNG'!$A$5:$AT644, 0, XMATCH("Mã đơn Misa", '6. TIẾN ĐỘ MUA HÀNG'!$A$4:$AT$4, 0)) &lt;&gt; ""))</f>
        <v>0</v>
      </c>
      <c r="M129" s="756">
        <f t="array" ref="M129">SUMPRODUCT(
  (INDEX('6. TIẾN ĐỘ MUA HÀNG'!$A$5:$AT644, 0, XMATCH("NCC VTBB/NL trong nước", '6. TIẾN ĐỘ MUA HÀNG'!$A$4:$AT$4, 0)) = $B129) * (TRIM(INDEX('6. TIẾN ĐỘ MUA HÀNG'!$A$5:$AT644, 0, XMATCH("Tháng", '6. TIẾN ĐỘ MUA HÀNG'!$A$4:$AT$4, 0))) = TRIM(L$6)) * (INDEX('6. TIẾN ĐỘ MUA HÀNG'!$A$5:$AT644, 0, XMATCH("CL NGÀY NCC DỰ KIẾN - NGÀY NHẬN HÀNG", '6. TIẾN ĐỘ MUA HÀNG'!$A$4:$AT$4, 0)) &lt; 0)
)</f>
        <v>0</v>
      </c>
      <c r="N129" s="757">
        <f t="shared" si="17"/>
        <v>0</v>
      </c>
      <c r="O129" s="754">
        <f t="array" ref="O129">SUMPRODUCT((TRIM(INDEX('6. TIẾN ĐỘ MUA HÀNG'!$A$5:$AT644, 0, XMATCH("NCC VTBB/NL trong nước", '6. TIẾN ĐỘ MUA HÀNG'!$A$4:$AT$4, 0))) = TRIM($B129)) * (TRIM(INDEX('6. TIẾN ĐỘ MUA HÀNG'!$A$5:$AT644, 0, XMATCH("Tháng", '6. TIẾN ĐỘ MUA HÀNG'!$A$4:$AT$4, 0))) = TRIM(O$6)) * (INDEX('6. TIẾN ĐỘ MUA HÀNG'!$A$5:$AT644, 0, XMATCH("Mã đơn Misa", '6. TIẾN ĐỘ MUA HÀNG'!$A$4:$AT$4, 0)) &lt;&gt; ""))</f>
        <v>0</v>
      </c>
      <c r="P129" s="754">
        <f t="array" ref="P129">SUMPRODUCT(
  (INDEX('6. TIẾN ĐỘ MUA HÀNG'!$A$5:$AT644, 0, XMATCH("NCC VTBB/NL trong nước", '6. TIẾN ĐỘ MUA HÀNG'!$A$4:$AT$4, 0)) = $B129) * (TRIM(INDEX('6. TIẾN ĐỘ MUA HÀNG'!$A$5:$AT644, 0, XMATCH("Tháng", '6. TIẾN ĐỘ MUA HÀNG'!$A$4:$AT$4, 0))) = TRIM(O$6)) * (INDEX('6. TIẾN ĐỘ MUA HÀNG'!$A$5:$AT644, 0, XMATCH("CL NGÀY NCC DỰ KIẾN - NGÀY NHẬN HÀNG", '6. TIẾN ĐỘ MUA HÀNG'!$A$4:$AT$4, 0)) &lt; 0)
)</f>
        <v>0</v>
      </c>
      <c r="Q129" s="755">
        <f t="shared" si="31"/>
        <v>0</v>
      </c>
      <c r="R129" s="756">
        <f t="array" ref="R129">SUMPRODUCT((TRIM(INDEX('6. TIẾN ĐỘ MUA HÀNG'!$A$5:$AT644, 0, XMATCH("NCC VTBB/NL trong nước", '6. TIẾN ĐỘ MUA HÀNG'!$A$4:$AT$4, 0))) = TRIM($B129)) * (TRIM(INDEX('6. TIẾN ĐỘ MUA HÀNG'!$A$5:$AT644, 0, XMATCH("Tháng", '6. TIẾN ĐỘ MUA HÀNG'!$A$4:$AT$4, 0))) = TRIM(R$6)) * (INDEX('6. TIẾN ĐỘ MUA HÀNG'!$A$5:$AT644, 0, XMATCH("Mã đơn Misa", '6. TIẾN ĐỘ MUA HÀNG'!$A$4:$AT$4, 0)) &lt;&gt; ""))</f>
        <v>0</v>
      </c>
      <c r="S129" s="756">
        <f t="array" ref="S129">SUMPRODUCT(
  (INDEX('6. TIẾN ĐỘ MUA HÀNG'!$A$5:$AT644, 0, XMATCH("NCC VTBB/NL trong nước", '6. TIẾN ĐỘ MUA HÀNG'!$A$4:$AT$4, 0)) = $B129) * (TRIM(INDEX('6. TIẾN ĐỘ MUA HÀNG'!$A$5:$AT644, 0, XMATCH("Tháng", '6. TIẾN ĐỘ MUA HÀNG'!$A$4:$AT$4, 0))) = TRIM(R$6)) * (INDEX('6. TIẾN ĐỘ MUA HÀNG'!$A$5:$AT644, 0, XMATCH("CL NGÀY NCC DỰ KIẾN - NGÀY NHẬN HÀNG", '6. TIẾN ĐỘ MUA HÀNG'!$A$4:$AT$4, 0)) &lt; 0)
)</f>
        <v>0</v>
      </c>
      <c r="T129" s="757">
        <f t="shared" si="19"/>
        <v>0</v>
      </c>
      <c r="U129" s="754">
        <f t="array" ref="U129">SUMPRODUCT((TRIM(INDEX('6. TIẾN ĐỘ MUA HÀNG'!$A$5:$AT644, 0, XMATCH("NCC VTBB/NL trong nước", '6. TIẾN ĐỘ MUA HÀNG'!$A$4:$AT$4, 0))) = TRIM($B129)) * (TRIM(INDEX('6. TIẾN ĐỘ MUA HÀNG'!$A$5:$AT644, 0, XMATCH("Tháng", '6. TIẾN ĐỘ MUA HÀNG'!$A$4:$AT$4, 0))) = TRIM(U$6)) * (INDEX('6. TIẾN ĐỘ MUA HÀNG'!$A$5:$AT644, 0, XMATCH("Mã đơn Misa", '6. TIẾN ĐỘ MUA HÀNG'!$A$4:$AT$4, 0)) &lt;&gt; ""))</f>
        <v>0</v>
      </c>
      <c r="V129" s="754">
        <f t="array" ref="V129">SUMPRODUCT(
  (INDEX('6. TIẾN ĐỘ MUA HÀNG'!$A$5:$AT644, 0, XMATCH("NCC VTBB/NL trong nước", '6. TIẾN ĐỘ MUA HÀNG'!$A$4:$AT$4, 0)) = $B129) * (TRIM(INDEX('6. TIẾN ĐỘ MUA HÀNG'!$A$5:$AT644, 0, XMATCH("Tháng", '6. TIẾN ĐỘ MUA HÀNG'!$A$4:$AT$4, 0))) = TRIM(U$6)) * (INDEX('6. TIẾN ĐỘ MUA HÀNG'!$A$5:$AT644, 0, XMATCH("CL NGÀY NCC DỰ KIẾN - NGÀY NHẬN HÀNG", '6. TIẾN ĐỘ MUA HÀNG'!$A$4:$AT$4, 0)) &lt; 0)
)</f>
        <v>0</v>
      </c>
      <c r="W129" s="755">
        <f t="shared" si="32"/>
        <v>0</v>
      </c>
      <c r="X129" s="756">
        <f t="array" ref="X129">SUMPRODUCT((TRIM(INDEX('6. TIẾN ĐỘ MUA HÀNG'!$A$5:$AT644, 0, XMATCH("NCC VTBB/NL trong nước", '6. TIẾN ĐỘ MUA HÀNG'!$A$4:$AT$4, 0))) = TRIM($B129)) * (TRIM(INDEX('6. TIẾN ĐỘ MUA HÀNG'!$A$5:$AT644, 0, XMATCH("Tháng", '6. TIẾN ĐỘ MUA HÀNG'!$A$4:$AT$4, 0))) = TRIM(X$6)) * (INDEX('6. TIẾN ĐỘ MUA HÀNG'!$A$5:$AT644, 0, XMATCH("Mã đơn Misa", '6. TIẾN ĐỘ MUA HÀNG'!$A$4:$AT$4, 0)) &lt;&gt; ""))</f>
        <v>0</v>
      </c>
      <c r="Y129" s="756">
        <f t="array" ref="Y129">SUMPRODUCT(
  (INDEX('6. TIẾN ĐỘ MUA HÀNG'!$A$5:$AT644, 0, XMATCH("NCC VTBB/NL trong nước", '6. TIẾN ĐỘ MUA HÀNG'!$A$4:$AT$4, 0)) = $B129) * (TRIM(INDEX('6. TIẾN ĐỘ MUA HÀNG'!$A$5:$AT644, 0, XMATCH("Tháng", '6. TIẾN ĐỘ MUA HÀNG'!$A$4:$AT$4, 0))) = TRIM(X$6)) * (INDEX('6. TIẾN ĐỘ MUA HÀNG'!$A$5:$AT644, 0, XMATCH("CL NGÀY NCC DỰ KIẾN - NGÀY NHẬN HÀNG", '6. TIẾN ĐỘ MUA HÀNG'!$A$4:$AT$4, 0)) &lt; 0)
)</f>
        <v>0</v>
      </c>
      <c r="Z129" s="757">
        <f t="shared" si="21"/>
        <v>0</v>
      </c>
      <c r="AA129" s="754">
        <f t="array" ref="AA129">SUMPRODUCT((TRIM(INDEX('6. TIẾN ĐỘ MUA HÀNG'!$A$5:$AT644, 0, XMATCH("NCC VTBB/NL trong nước", '6. TIẾN ĐỘ MUA HÀNG'!$A$4:$AT$4, 0))) = TRIM($B129)) * (TRIM(INDEX('6. TIẾN ĐỘ MUA HÀNG'!$A$5:$AT644, 0, XMATCH("Tháng", '6. TIẾN ĐỘ MUA HÀNG'!$A$4:$AT$4, 0))) = TRIM(AA$6)) * (INDEX('6. TIẾN ĐỘ MUA HÀNG'!$A$5:$AT644, 0, XMATCH("Mã đơn Misa", '6. TIẾN ĐỘ MUA HÀNG'!$A$4:$AT$4, 0)) &lt;&gt; ""))</f>
        <v>0</v>
      </c>
      <c r="AB129" s="754">
        <f t="array" ref="AB129">SUMPRODUCT(
  (INDEX('6. TIẾN ĐỘ MUA HÀNG'!$A$5:$AT644, 0, XMATCH("NCC VTBB/NL trong nước", '6. TIẾN ĐỘ MUA HÀNG'!$A$4:$AT$4, 0)) = $B129) * (TRIM(INDEX('6. TIẾN ĐỘ MUA HÀNG'!$A$5:$AT644, 0, XMATCH("Tháng", '6. TIẾN ĐỘ MUA HÀNG'!$A$4:$AT$4, 0))) = TRIM(AA$6)) * (INDEX('6. TIẾN ĐỘ MUA HÀNG'!$A$5:$AT644, 0, XMATCH("CL NGÀY NCC DỰ KIẾN - NGÀY NHẬN HÀNG", '6. TIẾN ĐỘ MUA HÀNG'!$A$4:$AT$4, 0)) &lt; 0)
)</f>
        <v>0</v>
      </c>
      <c r="AC129" s="755">
        <f t="shared" si="33"/>
        <v>0</v>
      </c>
      <c r="AD129" s="756">
        <f t="array" ref="AD129">SUMPRODUCT((TRIM(INDEX('6. TIẾN ĐỘ MUA HÀNG'!$A$5:$AT644, 0, XMATCH("NCC VTBB/NL trong nước", '6. TIẾN ĐỘ MUA HÀNG'!$A$4:$AT$4, 0))) = TRIM($B129)) * (TRIM(INDEX('6. TIẾN ĐỘ MUA HÀNG'!$A$5:$AT644, 0, XMATCH("Tháng", '6. TIẾN ĐỘ MUA HÀNG'!$A$4:$AT$4, 0))) = TRIM(AD$6)) * (INDEX('6. TIẾN ĐỘ MUA HÀNG'!$A$5:$AT644, 0, XMATCH("Mã đơn Misa", '6. TIẾN ĐỘ MUA HÀNG'!$A$4:$AT$4, 0)) &lt;&gt; ""))</f>
        <v>0</v>
      </c>
      <c r="AE129" s="756">
        <f t="array" ref="AE129">SUMPRODUCT(
  (INDEX('6. TIẾN ĐỘ MUA HÀNG'!$A$5:$AT644, 0, XMATCH("NCC VTBB/NL trong nước", '6. TIẾN ĐỘ MUA HÀNG'!$A$4:$AT$4, 0)) = $B129) * (TRIM(INDEX('6. TIẾN ĐỘ MUA HÀNG'!$A$5:$AT644, 0, XMATCH("Tháng", '6. TIẾN ĐỘ MUA HÀNG'!$A$4:$AT$4, 0))) = TRIM(AD$6)) * (INDEX('6. TIẾN ĐỘ MUA HÀNG'!$A$5:$AT644, 0, XMATCH("CL NGÀY NCC DỰ KIẾN - NGÀY NHẬN HÀNG", '6. TIẾN ĐỘ MUA HÀNG'!$A$4:$AT$4, 0)) &lt; 0)
)</f>
        <v>0</v>
      </c>
      <c r="AF129" s="757">
        <f t="shared" si="23"/>
        <v>0</v>
      </c>
      <c r="AG129" s="754">
        <f t="array" ref="AG129">SUMPRODUCT((TRIM(INDEX('6. TIẾN ĐỘ MUA HÀNG'!$A$5:$AT644, 0, XMATCH("NCC VTBB/NL trong nước", '6. TIẾN ĐỘ MUA HÀNG'!$A$4:$AT$4, 0))) = TRIM($B129)) * (TRIM(INDEX('6. TIẾN ĐỘ MUA HÀNG'!$A$5:$AT644, 0, XMATCH("Tháng", '6. TIẾN ĐỘ MUA HÀNG'!$A$4:$AT$4, 0))) = TRIM(AG$6)) * (INDEX('6. TIẾN ĐỘ MUA HÀNG'!$A$5:$AT644, 0, XMATCH("Mã đơn Misa", '6. TIẾN ĐỘ MUA HÀNG'!$A$4:$AT$4, 0)) &lt;&gt; ""))</f>
        <v>0</v>
      </c>
      <c r="AH129" s="754">
        <f t="array" ref="AH129">SUMPRODUCT(
  (INDEX('6. TIẾN ĐỘ MUA HÀNG'!$A$5:$AT644, 0, XMATCH("NCC VTBB/NL trong nước", '6. TIẾN ĐỘ MUA HÀNG'!$A$4:$AT$4, 0)) = $B129) * (TRIM(INDEX('6. TIẾN ĐỘ MUA HÀNG'!$A$5:$AT644, 0, XMATCH("Tháng", '6. TIẾN ĐỘ MUA HÀNG'!$A$4:$AT$4, 0))) = TRIM(AG$6)) * (INDEX('6. TIẾN ĐỘ MUA HÀNG'!$A$5:$AT644, 0, XMATCH("CL NGÀY NCC DỰ KIẾN - NGÀY NHẬN HÀNG", '6. TIẾN ĐỘ MUA HÀNG'!$A$4:$AT$4, 0)) &lt; 0)
)</f>
        <v>0</v>
      </c>
      <c r="AI129" s="755">
        <f t="shared" si="34"/>
        <v>0</v>
      </c>
      <c r="AJ129" s="756">
        <f t="array" ref="AJ129">SUMPRODUCT((TRIM(INDEX('6. TIẾN ĐỘ MUA HÀNG'!$A$5:$AT644, 0, XMATCH("NCC VTBB/NL trong nước", '6. TIẾN ĐỘ MUA HÀNG'!$A$4:$AT$4, 0))) = TRIM($B129)) * (TRIM(INDEX('6. TIẾN ĐỘ MUA HÀNG'!$A$5:$AT644, 0, XMATCH("Tháng", '6. TIẾN ĐỘ MUA HÀNG'!$A$4:$AT$4, 0))) = TRIM(AJ$6)) * (INDEX('6. TIẾN ĐỘ MUA HÀNG'!$A$5:$AT644, 0, XMATCH("Mã đơn Misa", '6. TIẾN ĐỘ MUA HÀNG'!$A$4:$AT$4, 0)) &lt;&gt; ""))</f>
        <v>0</v>
      </c>
      <c r="AK129" s="756">
        <f t="array" ref="AK129">SUMPRODUCT(
  (INDEX('6. TIẾN ĐỘ MUA HÀNG'!$A$5:$AT644, 0, XMATCH("NCC VTBB/NL trong nước", '6. TIẾN ĐỘ MUA HÀNG'!$A$4:$AT$4, 0)) = $B129) * (TRIM(INDEX('6. TIẾN ĐỘ MUA HÀNG'!$A$5:$AT644, 0, XMATCH("Tháng", '6. TIẾN ĐỘ MUA HÀNG'!$A$4:$AT$4, 0))) = TRIM(AJ$6)) * (INDEX('6. TIẾN ĐỘ MUA HÀNG'!$A$5:$AT644, 0, XMATCH("CL NGÀY NCC DỰ KIẾN - NGÀY NHẬN HÀNG", '6. TIẾN ĐỘ MUA HÀNG'!$A$4:$AT$4, 0)) &lt; 0)
)</f>
        <v>0</v>
      </c>
      <c r="AL129" s="757">
        <f t="shared" si="25"/>
        <v>0</v>
      </c>
      <c r="AM129" s="726">
        <f t="shared" si="27"/>
        <v>0</v>
      </c>
      <c r="AN129" s="726">
        <f t="shared" si="28"/>
        <v>0</v>
      </c>
      <c r="AO129" s="727">
        <f t="shared" si="26"/>
        <v>0</v>
      </c>
    </row>
    <row r="130">
      <c r="A130" s="612">
        <v>122.0</v>
      </c>
      <c r="B130" s="624" t="str">
        <f>IFERROR(__xludf.DUMMYFUNCTION("""COMPUTED_VALUE"""),"An Nông")</f>
        <v>An Nông</v>
      </c>
      <c r="C130" s="754">
        <f t="array" ref="C130">SUMPRODUCT((TRIM(INDEX('6. TIẾN ĐỘ MUA HÀNG'!$A$5:$AT644, 0, XMATCH("NCC VTBB/NL trong nước", '6. TIẾN ĐỘ MUA HÀNG'!$A$4:$AT$4, 0))) = TRIM($B130)) * (TRIM(INDEX('6. TIẾN ĐỘ MUA HÀNG'!$A$5:$AT644, 0, XMATCH("Tháng", '6. TIẾN ĐỘ MUA HÀNG'!$A$4:$AT$4, 0))) = TRIM(C$6)) * (INDEX('6. TIẾN ĐỘ MUA HÀNG'!$A$5:$AT644, 0, XMATCH("Mã đơn Misa", '6. TIẾN ĐỘ MUA HÀNG'!$A$4:$AT$4, 0)) &lt;&gt; ""))</f>
        <v>0</v>
      </c>
      <c r="D130" s="754">
        <f t="array" ref="D130">SUMPRODUCT(
  (INDEX('6. TIẾN ĐỘ MUA HÀNG'!$A$5:$AT644, 0, XMATCH("NCC VTBB/NL trong nước", '6. TIẾN ĐỘ MUA HÀNG'!$A$4:$AT$4, 0)) = $B130) * (TRIM(INDEX('6. TIẾN ĐỘ MUA HÀNG'!$A$5:$AT644, 0, XMATCH("Tháng", '6. TIẾN ĐỘ MUA HÀNG'!$A$4:$AT$4, 0))) = TRIM(C$6)) * (INDEX('6. TIẾN ĐỘ MUA HÀNG'!$A$5:$AT644, 0, XMATCH("CL NGÀY NCC DỰ KIẾN - NGÀY NHẬN HÀNG", '6. TIẾN ĐỘ MUA HÀNG'!$A$4:$AT$4, 0)) &lt; 0)
)</f>
        <v>0</v>
      </c>
      <c r="E130" s="755">
        <f t="shared" si="29"/>
        <v>0</v>
      </c>
      <c r="F130" s="756">
        <f t="array" ref="F130">SUMPRODUCT((TRIM(INDEX('6. TIẾN ĐỘ MUA HÀNG'!$A$5:$AT644, 0, XMATCH("NCC VTBB/NL trong nước", '6. TIẾN ĐỘ MUA HÀNG'!$A$4:$AT$4, 0))) = TRIM($B130)) * (TRIM(INDEX('6. TIẾN ĐỘ MUA HÀNG'!$A$5:$AT644, 0, XMATCH("Tháng", '6. TIẾN ĐỘ MUA HÀNG'!$A$4:$AT$4, 0))) = TRIM(F$6)) * (INDEX('6. TIẾN ĐỘ MUA HÀNG'!$A$5:$AT644, 0, XMATCH("Mã đơn Misa", '6. TIẾN ĐỘ MUA HÀNG'!$A$4:$AT$4, 0)) &lt;&gt; ""))</f>
        <v>0</v>
      </c>
      <c r="G130" s="756">
        <f t="array" ref="G130">SUMPRODUCT(
  (INDEX('6. TIẾN ĐỘ MUA HÀNG'!$A$5:$AT644, 0, XMATCH("NCC VTBB/NL trong nước", '6. TIẾN ĐỘ MUA HÀNG'!$A$4:$AT$4, 0)) = $B130) * (TRIM(INDEX('6. TIẾN ĐỘ MUA HÀNG'!$A$5:$AT644, 0, XMATCH("Tháng", '6. TIẾN ĐỘ MUA HÀNG'!$A$4:$AT$4, 0))) = TRIM(F$6)) * (INDEX('6. TIẾN ĐỘ MUA HÀNG'!$A$5:$AT644, 0, XMATCH("CL NGÀY NCC DỰ KIẾN - NGÀY NHẬN HÀNG", '6. TIẾN ĐỘ MUA HÀNG'!$A$4:$AT$4, 0)) &lt; 0)
)</f>
        <v>0</v>
      </c>
      <c r="H130" s="757">
        <f t="shared" si="15"/>
        <v>0</v>
      </c>
      <c r="I130" s="754">
        <f t="array" ref="I130">SUMPRODUCT((TRIM(INDEX('6. TIẾN ĐỘ MUA HÀNG'!$A$5:$AT644, 0, XMATCH("NCC VTBB/NL trong nước", '6. TIẾN ĐỘ MUA HÀNG'!$A$4:$AT$4, 0))) = TRIM($B130)) * (TRIM(INDEX('6. TIẾN ĐỘ MUA HÀNG'!$A$5:$AT644, 0, XMATCH("Tháng", '6. TIẾN ĐỘ MUA HÀNG'!$A$4:$AT$4, 0))) = TRIM(I$6)) * (INDEX('6. TIẾN ĐỘ MUA HÀNG'!$A$5:$AT644, 0, XMATCH("Mã đơn Misa", '6. TIẾN ĐỘ MUA HÀNG'!$A$4:$AT$4, 0)) &lt;&gt; ""))</f>
        <v>0</v>
      </c>
      <c r="J130" s="754">
        <f t="array" ref="J130">SUMPRODUCT(
  (INDEX('6. TIẾN ĐỘ MUA HÀNG'!$A$5:$AT644, 0, XMATCH("NCC VTBB/NL trong nước", '6. TIẾN ĐỘ MUA HÀNG'!$A$4:$AT$4, 0)) = $B130) * (TRIM(INDEX('6. TIẾN ĐỘ MUA HÀNG'!$A$5:$AT644, 0, XMATCH("Tháng", '6. TIẾN ĐỘ MUA HÀNG'!$A$4:$AT$4, 0))) = TRIM(I$6)) * (INDEX('6. TIẾN ĐỘ MUA HÀNG'!$A$5:$AT644, 0, XMATCH("CL NGÀY NCC DỰ KIẾN - NGÀY NHẬN HÀNG", '6. TIẾN ĐỘ MUA HÀNG'!$A$4:$AT$4, 0)) &lt; 0)
)</f>
        <v>0</v>
      </c>
      <c r="K130" s="755">
        <f t="shared" si="30"/>
        <v>0</v>
      </c>
      <c r="L130" s="756">
        <f t="array" ref="L130">SUMPRODUCT((TRIM(INDEX('6. TIẾN ĐỘ MUA HÀNG'!$A$5:$AT644, 0, XMATCH("NCC VTBB/NL trong nước", '6. TIẾN ĐỘ MUA HÀNG'!$A$4:$AT$4, 0))) = TRIM($B130)) * (TRIM(INDEX('6. TIẾN ĐỘ MUA HÀNG'!$A$5:$AT644, 0, XMATCH("Tháng", '6. TIẾN ĐỘ MUA HÀNG'!$A$4:$AT$4, 0))) = TRIM(L$6)) * (INDEX('6. TIẾN ĐỘ MUA HÀNG'!$A$5:$AT644, 0, XMATCH("Mã đơn Misa", '6. TIẾN ĐỘ MUA HÀNG'!$A$4:$AT$4, 0)) &lt;&gt; ""))</f>
        <v>0</v>
      </c>
      <c r="M130" s="756">
        <f t="array" ref="M130">SUMPRODUCT(
  (INDEX('6. TIẾN ĐỘ MUA HÀNG'!$A$5:$AT644, 0, XMATCH("NCC VTBB/NL trong nước", '6. TIẾN ĐỘ MUA HÀNG'!$A$4:$AT$4, 0)) = $B130) * (TRIM(INDEX('6. TIẾN ĐỘ MUA HÀNG'!$A$5:$AT644, 0, XMATCH("Tháng", '6. TIẾN ĐỘ MUA HÀNG'!$A$4:$AT$4, 0))) = TRIM(L$6)) * (INDEX('6. TIẾN ĐỘ MUA HÀNG'!$A$5:$AT644, 0, XMATCH("CL NGÀY NCC DỰ KIẾN - NGÀY NHẬN HÀNG", '6. TIẾN ĐỘ MUA HÀNG'!$A$4:$AT$4, 0)) &lt; 0)
)</f>
        <v>0</v>
      </c>
      <c r="N130" s="757">
        <f t="shared" si="17"/>
        <v>0</v>
      </c>
      <c r="O130" s="754">
        <f t="array" ref="O130">SUMPRODUCT((TRIM(INDEX('6. TIẾN ĐỘ MUA HÀNG'!$A$5:$AT644, 0, XMATCH("NCC VTBB/NL trong nước", '6. TIẾN ĐỘ MUA HÀNG'!$A$4:$AT$4, 0))) = TRIM($B130)) * (TRIM(INDEX('6. TIẾN ĐỘ MUA HÀNG'!$A$5:$AT644, 0, XMATCH("Tháng", '6. TIẾN ĐỘ MUA HÀNG'!$A$4:$AT$4, 0))) = TRIM(O$6)) * (INDEX('6. TIẾN ĐỘ MUA HÀNG'!$A$5:$AT644, 0, XMATCH("Mã đơn Misa", '6. TIẾN ĐỘ MUA HÀNG'!$A$4:$AT$4, 0)) &lt;&gt; ""))</f>
        <v>0</v>
      </c>
      <c r="P130" s="754">
        <f t="array" ref="P130">SUMPRODUCT(
  (INDEX('6. TIẾN ĐỘ MUA HÀNG'!$A$5:$AT644, 0, XMATCH("NCC VTBB/NL trong nước", '6. TIẾN ĐỘ MUA HÀNG'!$A$4:$AT$4, 0)) = $B130) * (TRIM(INDEX('6. TIẾN ĐỘ MUA HÀNG'!$A$5:$AT644, 0, XMATCH("Tháng", '6. TIẾN ĐỘ MUA HÀNG'!$A$4:$AT$4, 0))) = TRIM(O$6)) * (INDEX('6. TIẾN ĐỘ MUA HÀNG'!$A$5:$AT644, 0, XMATCH("CL NGÀY NCC DỰ KIẾN - NGÀY NHẬN HÀNG", '6. TIẾN ĐỘ MUA HÀNG'!$A$4:$AT$4, 0)) &lt; 0)
)</f>
        <v>0</v>
      </c>
      <c r="Q130" s="755">
        <f t="shared" si="31"/>
        <v>0</v>
      </c>
      <c r="R130" s="756">
        <f t="array" ref="R130">SUMPRODUCT((TRIM(INDEX('6. TIẾN ĐỘ MUA HÀNG'!$A$5:$AT644, 0, XMATCH("NCC VTBB/NL trong nước", '6. TIẾN ĐỘ MUA HÀNG'!$A$4:$AT$4, 0))) = TRIM($B130)) * (TRIM(INDEX('6. TIẾN ĐỘ MUA HÀNG'!$A$5:$AT644, 0, XMATCH("Tháng", '6. TIẾN ĐỘ MUA HÀNG'!$A$4:$AT$4, 0))) = TRIM(R$6)) * (INDEX('6. TIẾN ĐỘ MUA HÀNG'!$A$5:$AT644, 0, XMATCH("Mã đơn Misa", '6. TIẾN ĐỘ MUA HÀNG'!$A$4:$AT$4, 0)) &lt;&gt; ""))</f>
        <v>0</v>
      </c>
      <c r="S130" s="756">
        <f t="array" ref="S130">SUMPRODUCT(
  (INDEX('6. TIẾN ĐỘ MUA HÀNG'!$A$5:$AT644, 0, XMATCH("NCC VTBB/NL trong nước", '6. TIẾN ĐỘ MUA HÀNG'!$A$4:$AT$4, 0)) = $B130) * (TRIM(INDEX('6. TIẾN ĐỘ MUA HÀNG'!$A$5:$AT644, 0, XMATCH("Tháng", '6. TIẾN ĐỘ MUA HÀNG'!$A$4:$AT$4, 0))) = TRIM(R$6)) * (INDEX('6. TIẾN ĐỘ MUA HÀNG'!$A$5:$AT644, 0, XMATCH("CL NGÀY NCC DỰ KIẾN - NGÀY NHẬN HÀNG", '6. TIẾN ĐỘ MUA HÀNG'!$A$4:$AT$4, 0)) &lt; 0)
)</f>
        <v>0</v>
      </c>
      <c r="T130" s="757">
        <f t="shared" si="19"/>
        <v>0</v>
      </c>
      <c r="U130" s="754">
        <f t="array" ref="U130">SUMPRODUCT((TRIM(INDEX('6. TIẾN ĐỘ MUA HÀNG'!$A$5:$AT644, 0, XMATCH("NCC VTBB/NL trong nước", '6. TIẾN ĐỘ MUA HÀNG'!$A$4:$AT$4, 0))) = TRIM($B130)) * (TRIM(INDEX('6. TIẾN ĐỘ MUA HÀNG'!$A$5:$AT644, 0, XMATCH("Tháng", '6. TIẾN ĐỘ MUA HÀNG'!$A$4:$AT$4, 0))) = TRIM(U$6)) * (INDEX('6. TIẾN ĐỘ MUA HÀNG'!$A$5:$AT644, 0, XMATCH("Mã đơn Misa", '6. TIẾN ĐỘ MUA HÀNG'!$A$4:$AT$4, 0)) &lt;&gt; ""))</f>
        <v>0</v>
      </c>
      <c r="V130" s="754">
        <f t="array" ref="V130">SUMPRODUCT(
  (INDEX('6. TIẾN ĐỘ MUA HÀNG'!$A$5:$AT644, 0, XMATCH("NCC VTBB/NL trong nước", '6. TIẾN ĐỘ MUA HÀNG'!$A$4:$AT$4, 0)) = $B130) * (TRIM(INDEX('6. TIẾN ĐỘ MUA HÀNG'!$A$5:$AT644, 0, XMATCH("Tháng", '6. TIẾN ĐỘ MUA HÀNG'!$A$4:$AT$4, 0))) = TRIM(U$6)) * (INDEX('6. TIẾN ĐỘ MUA HÀNG'!$A$5:$AT644, 0, XMATCH("CL NGÀY NCC DỰ KIẾN - NGÀY NHẬN HÀNG", '6. TIẾN ĐỘ MUA HÀNG'!$A$4:$AT$4, 0)) &lt; 0)
)</f>
        <v>0</v>
      </c>
      <c r="W130" s="755">
        <f t="shared" si="32"/>
        <v>0</v>
      </c>
      <c r="X130" s="756">
        <f t="array" ref="X130">SUMPRODUCT((TRIM(INDEX('6. TIẾN ĐỘ MUA HÀNG'!$A$5:$AT644, 0, XMATCH("NCC VTBB/NL trong nước", '6. TIẾN ĐỘ MUA HÀNG'!$A$4:$AT$4, 0))) = TRIM($B130)) * (TRIM(INDEX('6. TIẾN ĐỘ MUA HÀNG'!$A$5:$AT644, 0, XMATCH("Tháng", '6. TIẾN ĐỘ MUA HÀNG'!$A$4:$AT$4, 0))) = TRIM(X$6)) * (INDEX('6. TIẾN ĐỘ MUA HÀNG'!$A$5:$AT644, 0, XMATCH("Mã đơn Misa", '6. TIẾN ĐỘ MUA HÀNG'!$A$4:$AT$4, 0)) &lt;&gt; ""))</f>
        <v>0</v>
      </c>
      <c r="Y130" s="756">
        <f t="array" ref="Y130">SUMPRODUCT(
  (INDEX('6. TIẾN ĐỘ MUA HÀNG'!$A$5:$AT644, 0, XMATCH("NCC VTBB/NL trong nước", '6. TIẾN ĐỘ MUA HÀNG'!$A$4:$AT$4, 0)) = $B130) * (TRIM(INDEX('6. TIẾN ĐỘ MUA HÀNG'!$A$5:$AT644, 0, XMATCH("Tháng", '6. TIẾN ĐỘ MUA HÀNG'!$A$4:$AT$4, 0))) = TRIM(X$6)) * (INDEX('6. TIẾN ĐỘ MUA HÀNG'!$A$5:$AT644, 0, XMATCH("CL NGÀY NCC DỰ KIẾN - NGÀY NHẬN HÀNG", '6. TIẾN ĐỘ MUA HÀNG'!$A$4:$AT$4, 0)) &lt; 0)
)</f>
        <v>0</v>
      </c>
      <c r="Z130" s="757">
        <f t="shared" si="21"/>
        <v>0</v>
      </c>
      <c r="AA130" s="754">
        <f t="array" ref="AA130">SUMPRODUCT((TRIM(INDEX('6. TIẾN ĐỘ MUA HÀNG'!$A$5:$AT644, 0, XMATCH("NCC VTBB/NL trong nước", '6. TIẾN ĐỘ MUA HÀNG'!$A$4:$AT$4, 0))) = TRIM($B130)) * (TRIM(INDEX('6. TIẾN ĐỘ MUA HÀNG'!$A$5:$AT644, 0, XMATCH("Tháng", '6. TIẾN ĐỘ MUA HÀNG'!$A$4:$AT$4, 0))) = TRIM(AA$6)) * (INDEX('6. TIẾN ĐỘ MUA HÀNG'!$A$5:$AT644, 0, XMATCH("Mã đơn Misa", '6. TIẾN ĐỘ MUA HÀNG'!$A$4:$AT$4, 0)) &lt;&gt; ""))</f>
        <v>0</v>
      </c>
      <c r="AB130" s="754">
        <f t="array" ref="AB130">SUMPRODUCT(
  (INDEX('6. TIẾN ĐỘ MUA HÀNG'!$A$5:$AT644, 0, XMATCH("NCC VTBB/NL trong nước", '6. TIẾN ĐỘ MUA HÀNG'!$A$4:$AT$4, 0)) = $B130) * (TRIM(INDEX('6. TIẾN ĐỘ MUA HÀNG'!$A$5:$AT644, 0, XMATCH("Tháng", '6. TIẾN ĐỘ MUA HÀNG'!$A$4:$AT$4, 0))) = TRIM(AA$6)) * (INDEX('6. TIẾN ĐỘ MUA HÀNG'!$A$5:$AT644, 0, XMATCH("CL NGÀY NCC DỰ KIẾN - NGÀY NHẬN HÀNG", '6. TIẾN ĐỘ MUA HÀNG'!$A$4:$AT$4, 0)) &lt; 0)
)</f>
        <v>0</v>
      </c>
      <c r="AC130" s="755">
        <f t="shared" si="33"/>
        <v>0</v>
      </c>
      <c r="AD130" s="756">
        <f t="array" ref="AD130">SUMPRODUCT((TRIM(INDEX('6. TIẾN ĐỘ MUA HÀNG'!$A$5:$AT644, 0, XMATCH("NCC VTBB/NL trong nước", '6. TIẾN ĐỘ MUA HÀNG'!$A$4:$AT$4, 0))) = TRIM($B130)) * (TRIM(INDEX('6. TIẾN ĐỘ MUA HÀNG'!$A$5:$AT644, 0, XMATCH("Tháng", '6. TIẾN ĐỘ MUA HÀNG'!$A$4:$AT$4, 0))) = TRIM(AD$6)) * (INDEX('6. TIẾN ĐỘ MUA HÀNG'!$A$5:$AT644, 0, XMATCH("Mã đơn Misa", '6. TIẾN ĐỘ MUA HÀNG'!$A$4:$AT$4, 0)) &lt;&gt; ""))</f>
        <v>0</v>
      </c>
      <c r="AE130" s="756">
        <f t="array" ref="AE130">SUMPRODUCT(
  (INDEX('6. TIẾN ĐỘ MUA HÀNG'!$A$5:$AT644, 0, XMATCH("NCC VTBB/NL trong nước", '6. TIẾN ĐỘ MUA HÀNG'!$A$4:$AT$4, 0)) = $B130) * (TRIM(INDEX('6. TIẾN ĐỘ MUA HÀNG'!$A$5:$AT644, 0, XMATCH("Tháng", '6. TIẾN ĐỘ MUA HÀNG'!$A$4:$AT$4, 0))) = TRIM(AD$6)) * (INDEX('6. TIẾN ĐỘ MUA HÀNG'!$A$5:$AT644, 0, XMATCH("CL NGÀY NCC DỰ KIẾN - NGÀY NHẬN HÀNG", '6. TIẾN ĐỘ MUA HÀNG'!$A$4:$AT$4, 0)) &lt; 0)
)</f>
        <v>0</v>
      </c>
      <c r="AF130" s="757">
        <f t="shared" si="23"/>
        <v>0</v>
      </c>
      <c r="AG130" s="754">
        <f t="array" ref="AG130">SUMPRODUCT((TRIM(INDEX('6. TIẾN ĐỘ MUA HÀNG'!$A$5:$AT644, 0, XMATCH("NCC VTBB/NL trong nước", '6. TIẾN ĐỘ MUA HÀNG'!$A$4:$AT$4, 0))) = TRIM($B130)) * (TRIM(INDEX('6. TIẾN ĐỘ MUA HÀNG'!$A$5:$AT644, 0, XMATCH("Tháng", '6. TIẾN ĐỘ MUA HÀNG'!$A$4:$AT$4, 0))) = TRIM(AG$6)) * (INDEX('6. TIẾN ĐỘ MUA HÀNG'!$A$5:$AT644, 0, XMATCH("Mã đơn Misa", '6. TIẾN ĐỘ MUA HÀNG'!$A$4:$AT$4, 0)) &lt;&gt; ""))</f>
        <v>0</v>
      </c>
      <c r="AH130" s="754">
        <f t="array" ref="AH130">SUMPRODUCT(
  (INDEX('6. TIẾN ĐỘ MUA HÀNG'!$A$5:$AT644, 0, XMATCH("NCC VTBB/NL trong nước", '6. TIẾN ĐỘ MUA HÀNG'!$A$4:$AT$4, 0)) = $B130) * (TRIM(INDEX('6. TIẾN ĐỘ MUA HÀNG'!$A$5:$AT644, 0, XMATCH("Tháng", '6. TIẾN ĐỘ MUA HÀNG'!$A$4:$AT$4, 0))) = TRIM(AG$6)) * (INDEX('6. TIẾN ĐỘ MUA HÀNG'!$A$5:$AT644, 0, XMATCH("CL NGÀY NCC DỰ KIẾN - NGÀY NHẬN HÀNG", '6. TIẾN ĐỘ MUA HÀNG'!$A$4:$AT$4, 0)) &lt; 0)
)</f>
        <v>0</v>
      </c>
      <c r="AI130" s="755">
        <f t="shared" si="34"/>
        <v>0</v>
      </c>
      <c r="AJ130" s="756">
        <f t="array" ref="AJ130">SUMPRODUCT((TRIM(INDEX('6. TIẾN ĐỘ MUA HÀNG'!$A$5:$AT644, 0, XMATCH("NCC VTBB/NL trong nước", '6. TIẾN ĐỘ MUA HÀNG'!$A$4:$AT$4, 0))) = TRIM($B130)) * (TRIM(INDEX('6. TIẾN ĐỘ MUA HÀNG'!$A$5:$AT644, 0, XMATCH("Tháng", '6. TIẾN ĐỘ MUA HÀNG'!$A$4:$AT$4, 0))) = TRIM(AJ$6)) * (INDEX('6. TIẾN ĐỘ MUA HÀNG'!$A$5:$AT644, 0, XMATCH("Mã đơn Misa", '6. TIẾN ĐỘ MUA HÀNG'!$A$4:$AT$4, 0)) &lt;&gt; ""))</f>
        <v>0</v>
      </c>
      <c r="AK130" s="756">
        <f t="array" ref="AK130">SUMPRODUCT(
  (INDEX('6. TIẾN ĐỘ MUA HÀNG'!$A$5:$AT644, 0, XMATCH("NCC VTBB/NL trong nước", '6. TIẾN ĐỘ MUA HÀNG'!$A$4:$AT$4, 0)) = $B130) * (TRIM(INDEX('6. TIẾN ĐỘ MUA HÀNG'!$A$5:$AT644, 0, XMATCH("Tháng", '6. TIẾN ĐỘ MUA HÀNG'!$A$4:$AT$4, 0))) = TRIM(AJ$6)) * (INDEX('6. TIẾN ĐỘ MUA HÀNG'!$A$5:$AT644, 0, XMATCH("CL NGÀY NCC DỰ KIẾN - NGÀY NHẬN HÀNG", '6. TIẾN ĐỘ MUA HÀNG'!$A$4:$AT$4, 0)) &lt; 0)
)</f>
        <v>0</v>
      </c>
      <c r="AL130" s="757">
        <f t="shared" si="25"/>
        <v>0</v>
      </c>
      <c r="AM130" s="726">
        <f t="shared" si="27"/>
        <v>0</v>
      </c>
      <c r="AN130" s="726">
        <f t="shared" si="28"/>
        <v>0</v>
      </c>
      <c r="AO130" s="727">
        <f t="shared" si="26"/>
        <v>0</v>
      </c>
    </row>
    <row r="131">
      <c r="A131" s="612">
        <v>123.0</v>
      </c>
      <c r="B131" s="624" t="str">
        <f>IFERROR(__xludf.DUMMYFUNCTION("""COMPUTED_VALUE"""),"Kho Dr. Xanh")</f>
        <v>Kho Dr. Xanh</v>
      </c>
      <c r="C131" s="754">
        <f t="array" ref="C131">SUMPRODUCT((TRIM(INDEX('6. TIẾN ĐỘ MUA HÀNG'!$A$5:$AT644, 0, XMATCH("NCC VTBB/NL trong nước", '6. TIẾN ĐỘ MUA HÀNG'!$A$4:$AT$4, 0))) = TRIM($B131)) * (TRIM(INDEX('6. TIẾN ĐỘ MUA HÀNG'!$A$5:$AT644, 0, XMATCH("Tháng", '6. TIẾN ĐỘ MUA HÀNG'!$A$4:$AT$4, 0))) = TRIM(C$6)) * (INDEX('6. TIẾN ĐỘ MUA HÀNG'!$A$5:$AT644, 0, XMATCH("Mã đơn Misa", '6. TIẾN ĐỘ MUA HÀNG'!$A$4:$AT$4, 0)) &lt;&gt; ""))</f>
        <v>0</v>
      </c>
      <c r="D131" s="754">
        <f t="array" ref="D131">SUMPRODUCT(
  (INDEX('6. TIẾN ĐỘ MUA HÀNG'!$A$5:$AT644, 0, XMATCH("NCC VTBB/NL trong nước", '6. TIẾN ĐỘ MUA HÀNG'!$A$4:$AT$4, 0)) = $B131) * (TRIM(INDEX('6. TIẾN ĐỘ MUA HÀNG'!$A$5:$AT644, 0, XMATCH("Tháng", '6. TIẾN ĐỘ MUA HÀNG'!$A$4:$AT$4, 0))) = TRIM(C$6)) * (INDEX('6. TIẾN ĐỘ MUA HÀNG'!$A$5:$AT644, 0, XMATCH("CL NGÀY NCC DỰ KIẾN - NGÀY NHẬN HÀNG", '6. TIẾN ĐỘ MUA HÀNG'!$A$4:$AT$4, 0)) &lt; 0)
)</f>
        <v>0</v>
      </c>
      <c r="E131" s="755">
        <f t="shared" si="29"/>
        <v>0</v>
      </c>
      <c r="F131" s="756">
        <f t="array" ref="F131">SUMPRODUCT((TRIM(INDEX('6. TIẾN ĐỘ MUA HÀNG'!$A$5:$AT644, 0, XMATCH("NCC VTBB/NL trong nước", '6. TIẾN ĐỘ MUA HÀNG'!$A$4:$AT$4, 0))) = TRIM($B131)) * (TRIM(INDEX('6. TIẾN ĐỘ MUA HÀNG'!$A$5:$AT644, 0, XMATCH("Tháng", '6. TIẾN ĐỘ MUA HÀNG'!$A$4:$AT$4, 0))) = TRIM(F$6)) * (INDEX('6. TIẾN ĐỘ MUA HÀNG'!$A$5:$AT644, 0, XMATCH("Mã đơn Misa", '6. TIẾN ĐỘ MUA HÀNG'!$A$4:$AT$4, 0)) &lt;&gt; ""))</f>
        <v>0</v>
      </c>
      <c r="G131" s="756">
        <f t="array" ref="G131">SUMPRODUCT(
  (INDEX('6. TIẾN ĐỘ MUA HÀNG'!$A$5:$AT644, 0, XMATCH("NCC VTBB/NL trong nước", '6. TIẾN ĐỘ MUA HÀNG'!$A$4:$AT$4, 0)) = $B131) * (TRIM(INDEX('6. TIẾN ĐỘ MUA HÀNG'!$A$5:$AT644, 0, XMATCH("Tháng", '6. TIẾN ĐỘ MUA HÀNG'!$A$4:$AT$4, 0))) = TRIM(F$6)) * (INDEX('6. TIẾN ĐỘ MUA HÀNG'!$A$5:$AT644, 0, XMATCH("CL NGÀY NCC DỰ KIẾN - NGÀY NHẬN HÀNG", '6. TIẾN ĐỘ MUA HÀNG'!$A$4:$AT$4, 0)) &lt; 0)
)</f>
        <v>0</v>
      </c>
      <c r="H131" s="757">
        <f t="shared" si="15"/>
        <v>0</v>
      </c>
      <c r="I131" s="754">
        <f t="array" ref="I131">SUMPRODUCT((TRIM(INDEX('6. TIẾN ĐỘ MUA HÀNG'!$A$5:$AT644, 0, XMATCH("NCC VTBB/NL trong nước", '6. TIẾN ĐỘ MUA HÀNG'!$A$4:$AT$4, 0))) = TRIM($B131)) * (TRIM(INDEX('6. TIẾN ĐỘ MUA HÀNG'!$A$5:$AT644, 0, XMATCH("Tháng", '6. TIẾN ĐỘ MUA HÀNG'!$A$4:$AT$4, 0))) = TRIM(I$6)) * (INDEX('6. TIẾN ĐỘ MUA HÀNG'!$A$5:$AT644, 0, XMATCH("Mã đơn Misa", '6. TIẾN ĐỘ MUA HÀNG'!$A$4:$AT$4, 0)) &lt;&gt; ""))</f>
        <v>0</v>
      </c>
      <c r="J131" s="754">
        <f t="array" ref="J131">SUMPRODUCT(
  (INDEX('6. TIẾN ĐỘ MUA HÀNG'!$A$5:$AT644, 0, XMATCH("NCC VTBB/NL trong nước", '6. TIẾN ĐỘ MUA HÀNG'!$A$4:$AT$4, 0)) = $B131) * (TRIM(INDEX('6. TIẾN ĐỘ MUA HÀNG'!$A$5:$AT644, 0, XMATCH("Tháng", '6. TIẾN ĐỘ MUA HÀNG'!$A$4:$AT$4, 0))) = TRIM(I$6)) * (INDEX('6. TIẾN ĐỘ MUA HÀNG'!$A$5:$AT644, 0, XMATCH("CL NGÀY NCC DỰ KIẾN - NGÀY NHẬN HÀNG", '6. TIẾN ĐỘ MUA HÀNG'!$A$4:$AT$4, 0)) &lt; 0)
)</f>
        <v>0</v>
      </c>
      <c r="K131" s="755">
        <f t="shared" si="30"/>
        <v>0</v>
      </c>
      <c r="L131" s="756">
        <f t="array" ref="L131">SUMPRODUCT((TRIM(INDEX('6. TIẾN ĐỘ MUA HÀNG'!$A$5:$AT644, 0, XMATCH("NCC VTBB/NL trong nước", '6. TIẾN ĐỘ MUA HÀNG'!$A$4:$AT$4, 0))) = TRIM($B131)) * (TRIM(INDEX('6. TIẾN ĐỘ MUA HÀNG'!$A$5:$AT644, 0, XMATCH("Tháng", '6. TIẾN ĐỘ MUA HÀNG'!$A$4:$AT$4, 0))) = TRIM(L$6)) * (INDEX('6. TIẾN ĐỘ MUA HÀNG'!$A$5:$AT644, 0, XMATCH("Mã đơn Misa", '6. TIẾN ĐỘ MUA HÀNG'!$A$4:$AT$4, 0)) &lt;&gt; ""))</f>
        <v>0</v>
      </c>
      <c r="M131" s="756">
        <f t="array" ref="M131">SUMPRODUCT(
  (INDEX('6. TIẾN ĐỘ MUA HÀNG'!$A$5:$AT644, 0, XMATCH("NCC VTBB/NL trong nước", '6. TIẾN ĐỘ MUA HÀNG'!$A$4:$AT$4, 0)) = $B131) * (TRIM(INDEX('6. TIẾN ĐỘ MUA HÀNG'!$A$5:$AT644, 0, XMATCH("Tháng", '6. TIẾN ĐỘ MUA HÀNG'!$A$4:$AT$4, 0))) = TRIM(L$6)) * (INDEX('6. TIẾN ĐỘ MUA HÀNG'!$A$5:$AT644, 0, XMATCH("CL NGÀY NCC DỰ KIẾN - NGÀY NHẬN HÀNG", '6. TIẾN ĐỘ MUA HÀNG'!$A$4:$AT$4, 0)) &lt; 0)
)</f>
        <v>0</v>
      </c>
      <c r="N131" s="757">
        <f t="shared" si="17"/>
        <v>0</v>
      </c>
      <c r="O131" s="754">
        <f t="array" ref="O131">SUMPRODUCT((TRIM(INDEX('6. TIẾN ĐỘ MUA HÀNG'!$A$5:$AT644, 0, XMATCH("NCC VTBB/NL trong nước", '6. TIẾN ĐỘ MUA HÀNG'!$A$4:$AT$4, 0))) = TRIM($B131)) * (TRIM(INDEX('6. TIẾN ĐỘ MUA HÀNG'!$A$5:$AT644, 0, XMATCH("Tháng", '6. TIẾN ĐỘ MUA HÀNG'!$A$4:$AT$4, 0))) = TRIM(O$6)) * (INDEX('6. TIẾN ĐỘ MUA HÀNG'!$A$5:$AT644, 0, XMATCH("Mã đơn Misa", '6. TIẾN ĐỘ MUA HÀNG'!$A$4:$AT$4, 0)) &lt;&gt; ""))</f>
        <v>0</v>
      </c>
      <c r="P131" s="754">
        <f t="array" ref="P131">SUMPRODUCT(
  (INDEX('6. TIẾN ĐỘ MUA HÀNG'!$A$5:$AT644, 0, XMATCH("NCC VTBB/NL trong nước", '6. TIẾN ĐỘ MUA HÀNG'!$A$4:$AT$4, 0)) = $B131) * (TRIM(INDEX('6. TIẾN ĐỘ MUA HÀNG'!$A$5:$AT644, 0, XMATCH("Tháng", '6. TIẾN ĐỘ MUA HÀNG'!$A$4:$AT$4, 0))) = TRIM(O$6)) * (INDEX('6. TIẾN ĐỘ MUA HÀNG'!$A$5:$AT644, 0, XMATCH("CL NGÀY NCC DỰ KIẾN - NGÀY NHẬN HÀNG", '6. TIẾN ĐỘ MUA HÀNG'!$A$4:$AT$4, 0)) &lt; 0)
)</f>
        <v>0</v>
      </c>
      <c r="Q131" s="755">
        <f t="shared" si="31"/>
        <v>0</v>
      </c>
      <c r="R131" s="756">
        <f t="array" ref="R131">SUMPRODUCT((TRIM(INDEX('6. TIẾN ĐỘ MUA HÀNG'!$A$5:$AT644, 0, XMATCH("NCC VTBB/NL trong nước", '6. TIẾN ĐỘ MUA HÀNG'!$A$4:$AT$4, 0))) = TRIM($B131)) * (TRIM(INDEX('6. TIẾN ĐỘ MUA HÀNG'!$A$5:$AT644, 0, XMATCH("Tháng", '6. TIẾN ĐỘ MUA HÀNG'!$A$4:$AT$4, 0))) = TRIM(R$6)) * (INDEX('6. TIẾN ĐỘ MUA HÀNG'!$A$5:$AT644, 0, XMATCH("Mã đơn Misa", '6. TIẾN ĐỘ MUA HÀNG'!$A$4:$AT$4, 0)) &lt;&gt; ""))</f>
        <v>0</v>
      </c>
      <c r="S131" s="756">
        <f t="array" ref="S131">SUMPRODUCT(
  (INDEX('6. TIẾN ĐỘ MUA HÀNG'!$A$5:$AT644, 0, XMATCH("NCC VTBB/NL trong nước", '6. TIẾN ĐỘ MUA HÀNG'!$A$4:$AT$4, 0)) = $B131) * (TRIM(INDEX('6. TIẾN ĐỘ MUA HÀNG'!$A$5:$AT644, 0, XMATCH("Tháng", '6. TIẾN ĐỘ MUA HÀNG'!$A$4:$AT$4, 0))) = TRIM(R$6)) * (INDEX('6. TIẾN ĐỘ MUA HÀNG'!$A$5:$AT644, 0, XMATCH("CL NGÀY NCC DỰ KIẾN - NGÀY NHẬN HÀNG", '6. TIẾN ĐỘ MUA HÀNG'!$A$4:$AT$4, 0)) &lt; 0)
)</f>
        <v>0</v>
      </c>
      <c r="T131" s="757">
        <f t="shared" si="19"/>
        <v>0</v>
      </c>
      <c r="U131" s="754">
        <f t="array" ref="U131">SUMPRODUCT((TRIM(INDEX('6. TIẾN ĐỘ MUA HÀNG'!$A$5:$AT644, 0, XMATCH("NCC VTBB/NL trong nước", '6. TIẾN ĐỘ MUA HÀNG'!$A$4:$AT$4, 0))) = TRIM($B131)) * (TRIM(INDEX('6. TIẾN ĐỘ MUA HÀNG'!$A$5:$AT644, 0, XMATCH("Tháng", '6. TIẾN ĐỘ MUA HÀNG'!$A$4:$AT$4, 0))) = TRIM(U$6)) * (INDEX('6. TIẾN ĐỘ MUA HÀNG'!$A$5:$AT644, 0, XMATCH("Mã đơn Misa", '6. TIẾN ĐỘ MUA HÀNG'!$A$4:$AT$4, 0)) &lt;&gt; ""))</f>
        <v>0</v>
      </c>
      <c r="V131" s="754">
        <f t="array" ref="V131">SUMPRODUCT(
  (INDEX('6. TIẾN ĐỘ MUA HÀNG'!$A$5:$AT644, 0, XMATCH("NCC VTBB/NL trong nước", '6. TIẾN ĐỘ MUA HÀNG'!$A$4:$AT$4, 0)) = $B131) * (TRIM(INDEX('6. TIẾN ĐỘ MUA HÀNG'!$A$5:$AT644, 0, XMATCH("Tháng", '6. TIẾN ĐỘ MUA HÀNG'!$A$4:$AT$4, 0))) = TRIM(U$6)) * (INDEX('6. TIẾN ĐỘ MUA HÀNG'!$A$5:$AT644, 0, XMATCH("CL NGÀY NCC DỰ KIẾN - NGÀY NHẬN HÀNG", '6. TIẾN ĐỘ MUA HÀNG'!$A$4:$AT$4, 0)) &lt; 0)
)</f>
        <v>0</v>
      </c>
      <c r="W131" s="755">
        <f t="shared" si="32"/>
        <v>0</v>
      </c>
      <c r="X131" s="756">
        <f t="array" ref="X131">SUMPRODUCT((TRIM(INDEX('6. TIẾN ĐỘ MUA HÀNG'!$A$5:$AT644, 0, XMATCH("NCC VTBB/NL trong nước", '6. TIẾN ĐỘ MUA HÀNG'!$A$4:$AT$4, 0))) = TRIM($B131)) * (TRIM(INDEX('6. TIẾN ĐỘ MUA HÀNG'!$A$5:$AT644, 0, XMATCH("Tháng", '6. TIẾN ĐỘ MUA HÀNG'!$A$4:$AT$4, 0))) = TRIM(X$6)) * (INDEX('6. TIẾN ĐỘ MUA HÀNG'!$A$5:$AT644, 0, XMATCH("Mã đơn Misa", '6. TIẾN ĐỘ MUA HÀNG'!$A$4:$AT$4, 0)) &lt;&gt; ""))</f>
        <v>0</v>
      </c>
      <c r="Y131" s="756">
        <f t="array" ref="Y131">SUMPRODUCT(
  (INDEX('6. TIẾN ĐỘ MUA HÀNG'!$A$5:$AT644, 0, XMATCH("NCC VTBB/NL trong nước", '6. TIẾN ĐỘ MUA HÀNG'!$A$4:$AT$4, 0)) = $B131) * (TRIM(INDEX('6. TIẾN ĐỘ MUA HÀNG'!$A$5:$AT644, 0, XMATCH("Tháng", '6. TIẾN ĐỘ MUA HÀNG'!$A$4:$AT$4, 0))) = TRIM(X$6)) * (INDEX('6. TIẾN ĐỘ MUA HÀNG'!$A$5:$AT644, 0, XMATCH("CL NGÀY NCC DỰ KIẾN - NGÀY NHẬN HÀNG", '6. TIẾN ĐỘ MUA HÀNG'!$A$4:$AT$4, 0)) &lt; 0)
)</f>
        <v>0</v>
      </c>
      <c r="Z131" s="757">
        <f t="shared" si="21"/>
        <v>0</v>
      </c>
      <c r="AA131" s="754">
        <f t="array" ref="AA131">SUMPRODUCT((TRIM(INDEX('6. TIẾN ĐỘ MUA HÀNG'!$A$5:$AT644, 0, XMATCH("NCC VTBB/NL trong nước", '6. TIẾN ĐỘ MUA HÀNG'!$A$4:$AT$4, 0))) = TRIM($B131)) * (TRIM(INDEX('6. TIẾN ĐỘ MUA HÀNG'!$A$5:$AT644, 0, XMATCH("Tháng", '6. TIẾN ĐỘ MUA HÀNG'!$A$4:$AT$4, 0))) = TRIM(AA$6)) * (INDEX('6. TIẾN ĐỘ MUA HÀNG'!$A$5:$AT644, 0, XMATCH("Mã đơn Misa", '6. TIẾN ĐỘ MUA HÀNG'!$A$4:$AT$4, 0)) &lt;&gt; ""))</f>
        <v>0</v>
      </c>
      <c r="AB131" s="754">
        <f t="array" ref="AB131">SUMPRODUCT(
  (INDEX('6. TIẾN ĐỘ MUA HÀNG'!$A$5:$AT644, 0, XMATCH("NCC VTBB/NL trong nước", '6. TIẾN ĐỘ MUA HÀNG'!$A$4:$AT$4, 0)) = $B131) * (TRIM(INDEX('6. TIẾN ĐỘ MUA HÀNG'!$A$5:$AT644, 0, XMATCH("Tháng", '6. TIẾN ĐỘ MUA HÀNG'!$A$4:$AT$4, 0))) = TRIM(AA$6)) * (INDEX('6. TIẾN ĐỘ MUA HÀNG'!$A$5:$AT644, 0, XMATCH("CL NGÀY NCC DỰ KIẾN - NGÀY NHẬN HÀNG", '6. TIẾN ĐỘ MUA HÀNG'!$A$4:$AT$4, 0)) &lt; 0)
)</f>
        <v>0</v>
      </c>
      <c r="AC131" s="755">
        <f t="shared" si="33"/>
        <v>0</v>
      </c>
      <c r="AD131" s="756">
        <f t="array" ref="AD131">SUMPRODUCT((TRIM(INDEX('6. TIẾN ĐỘ MUA HÀNG'!$A$5:$AT644, 0, XMATCH("NCC VTBB/NL trong nước", '6. TIẾN ĐỘ MUA HÀNG'!$A$4:$AT$4, 0))) = TRIM($B131)) * (TRIM(INDEX('6. TIẾN ĐỘ MUA HÀNG'!$A$5:$AT644, 0, XMATCH("Tháng", '6. TIẾN ĐỘ MUA HÀNG'!$A$4:$AT$4, 0))) = TRIM(AD$6)) * (INDEX('6. TIẾN ĐỘ MUA HÀNG'!$A$5:$AT644, 0, XMATCH("Mã đơn Misa", '6. TIẾN ĐỘ MUA HÀNG'!$A$4:$AT$4, 0)) &lt;&gt; ""))</f>
        <v>0</v>
      </c>
      <c r="AE131" s="756">
        <f t="array" ref="AE131">SUMPRODUCT(
  (INDEX('6. TIẾN ĐỘ MUA HÀNG'!$A$5:$AT644, 0, XMATCH("NCC VTBB/NL trong nước", '6. TIẾN ĐỘ MUA HÀNG'!$A$4:$AT$4, 0)) = $B131) * (TRIM(INDEX('6. TIẾN ĐỘ MUA HÀNG'!$A$5:$AT644, 0, XMATCH("Tháng", '6. TIẾN ĐỘ MUA HÀNG'!$A$4:$AT$4, 0))) = TRIM(AD$6)) * (INDEX('6. TIẾN ĐỘ MUA HÀNG'!$A$5:$AT644, 0, XMATCH("CL NGÀY NCC DỰ KIẾN - NGÀY NHẬN HÀNG", '6. TIẾN ĐỘ MUA HÀNG'!$A$4:$AT$4, 0)) &lt; 0)
)</f>
        <v>0</v>
      </c>
      <c r="AF131" s="757">
        <f t="shared" si="23"/>
        <v>0</v>
      </c>
      <c r="AG131" s="754">
        <f t="array" ref="AG131">SUMPRODUCT((TRIM(INDEX('6. TIẾN ĐỘ MUA HÀNG'!$A$5:$AT644, 0, XMATCH("NCC VTBB/NL trong nước", '6. TIẾN ĐỘ MUA HÀNG'!$A$4:$AT$4, 0))) = TRIM($B131)) * (TRIM(INDEX('6. TIẾN ĐỘ MUA HÀNG'!$A$5:$AT644, 0, XMATCH("Tháng", '6. TIẾN ĐỘ MUA HÀNG'!$A$4:$AT$4, 0))) = TRIM(AG$6)) * (INDEX('6. TIẾN ĐỘ MUA HÀNG'!$A$5:$AT644, 0, XMATCH("Mã đơn Misa", '6. TIẾN ĐỘ MUA HÀNG'!$A$4:$AT$4, 0)) &lt;&gt; ""))</f>
        <v>0</v>
      </c>
      <c r="AH131" s="754">
        <f t="array" ref="AH131">SUMPRODUCT(
  (INDEX('6. TIẾN ĐỘ MUA HÀNG'!$A$5:$AT644, 0, XMATCH("NCC VTBB/NL trong nước", '6. TIẾN ĐỘ MUA HÀNG'!$A$4:$AT$4, 0)) = $B131) * (TRIM(INDEX('6. TIẾN ĐỘ MUA HÀNG'!$A$5:$AT644, 0, XMATCH("Tháng", '6. TIẾN ĐỘ MUA HÀNG'!$A$4:$AT$4, 0))) = TRIM(AG$6)) * (INDEX('6. TIẾN ĐỘ MUA HÀNG'!$A$5:$AT644, 0, XMATCH("CL NGÀY NCC DỰ KIẾN - NGÀY NHẬN HÀNG", '6. TIẾN ĐỘ MUA HÀNG'!$A$4:$AT$4, 0)) &lt; 0)
)</f>
        <v>0</v>
      </c>
      <c r="AI131" s="755">
        <f t="shared" si="34"/>
        <v>0</v>
      </c>
      <c r="AJ131" s="756">
        <f t="array" ref="AJ131">SUMPRODUCT((TRIM(INDEX('6. TIẾN ĐỘ MUA HÀNG'!$A$5:$AT644, 0, XMATCH("NCC VTBB/NL trong nước", '6. TIẾN ĐỘ MUA HÀNG'!$A$4:$AT$4, 0))) = TRIM($B131)) * (TRIM(INDEX('6. TIẾN ĐỘ MUA HÀNG'!$A$5:$AT644, 0, XMATCH("Tháng", '6. TIẾN ĐỘ MUA HÀNG'!$A$4:$AT$4, 0))) = TRIM(AJ$6)) * (INDEX('6. TIẾN ĐỘ MUA HÀNG'!$A$5:$AT644, 0, XMATCH("Mã đơn Misa", '6. TIẾN ĐỘ MUA HÀNG'!$A$4:$AT$4, 0)) &lt;&gt; ""))</f>
        <v>0</v>
      </c>
      <c r="AK131" s="756">
        <f t="array" ref="AK131">SUMPRODUCT(
  (INDEX('6. TIẾN ĐỘ MUA HÀNG'!$A$5:$AT644, 0, XMATCH("NCC VTBB/NL trong nước", '6. TIẾN ĐỘ MUA HÀNG'!$A$4:$AT$4, 0)) = $B131) * (TRIM(INDEX('6. TIẾN ĐỘ MUA HÀNG'!$A$5:$AT644, 0, XMATCH("Tháng", '6. TIẾN ĐỘ MUA HÀNG'!$A$4:$AT$4, 0))) = TRIM(AJ$6)) * (INDEX('6. TIẾN ĐỘ MUA HÀNG'!$A$5:$AT644, 0, XMATCH("CL NGÀY NCC DỰ KIẾN - NGÀY NHẬN HÀNG", '6. TIẾN ĐỘ MUA HÀNG'!$A$4:$AT$4, 0)) &lt; 0)
)</f>
        <v>0</v>
      </c>
      <c r="AL131" s="757">
        <f t="shared" si="25"/>
        <v>0</v>
      </c>
      <c r="AM131" s="726">
        <f t="shared" si="27"/>
        <v>0</v>
      </c>
      <c r="AN131" s="726">
        <f t="shared" si="28"/>
        <v>0</v>
      </c>
      <c r="AO131" s="727">
        <f t="shared" si="26"/>
        <v>0</v>
      </c>
    </row>
    <row r="132">
      <c r="A132" s="612">
        <v>124.0</v>
      </c>
      <c r="B132" s="624" t="str">
        <f>IFERROR(__xludf.DUMMYFUNCTION("""COMPUTED_VALUE"""),"Kho B18")</f>
        <v>Kho B18</v>
      </c>
      <c r="C132" s="754">
        <f t="array" ref="C132">SUMPRODUCT((TRIM(INDEX('6. TIẾN ĐỘ MUA HÀNG'!$A$5:$AT644, 0, XMATCH("NCC VTBB/NL trong nước", '6. TIẾN ĐỘ MUA HÀNG'!$A$4:$AT$4, 0))) = TRIM($B132)) * (TRIM(INDEX('6. TIẾN ĐỘ MUA HÀNG'!$A$5:$AT644, 0, XMATCH("Tháng", '6. TIẾN ĐỘ MUA HÀNG'!$A$4:$AT$4, 0))) = TRIM(C$6)) * (INDEX('6. TIẾN ĐỘ MUA HÀNG'!$A$5:$AT644, 0, XMATCH("Mã đơn Misa", '6. TIẾN ĐỘ MUA HÀNG'!$A$4:$AT$4, 0)) &lt;&gt; ""))</f>
        <v>0</v>
      </c>
      <c r="D132" s="754">
        <f t="array" ref="D132">SUMPRODUCT(
  (INDEX('6. TIẾN ĐỘ MUA HÀNG'!$A$5:$AT644, 0, XMATCH("NCC VTBB/NL trong nước", '6. TIẾN ĐỘ MUA HÀNG'!$A$4:$AT$4, 0)) = $B132) * (TRIM(INDEX('6. TIẾN ĐỘ MUA HÀNG'!$A$5:$AT644, 0, XMATCH("Tháng", '6. TIẾN ĐỘ MUA HÀNG'!$A$4:$AT$4, 0))) = TRIM(C$6)) * (INDEX('6. TIẾN ĐỘ MUA HÀNG'!$A$5:$AT644, 0, XMATCH("CL NGÀY NCC DỰ KIẾN - NGÀY NHẬN HÀNG", '6. TIẾN ĐỘ MUA HÀNG'!$A$4:$AT$4, 0)) &lt; 0)
)</f>
        <v>0</v>
      </c>
      <c r="E132" s="755">
        <f t="shared" si="29"/>
        <v>0</v>
      </c>
      <c r="F132" s="756">
        <f t="array" ref="F132">SUMPRODUCT((TRIM(INDEX('6. TIẾN ĐỘ MUA HÀNG'!$A$5:$AT644, 0, XMATCH("NCC VTBB/NL trong nước", '6. TIẾN ĐỘ MUA HÀNG'!$A$4:$AT$4, 0))) = TRIM($B132)) * (TRIM(INDEX('6. TIẾN ĐỘ MUA HÀNG'!$A$5:$AT644, 0, XMATCH("Tháng", '6. TIẾN ĐỘ MUA HÀNG'!$A$4:$AT$4, 0))) = TRIM(F$6)) * (INDEX('6. TIẾN ĐỘ MUA HÀNG'!$A$5:$AT644, 0, XMATCH("Mã đơn Misa", '6. TIẾN ĐỘ MUA HÀNG'!$A$4:$AT$4, 0)) &lt;&gt; ""))</f>
        <v>0</v>
      </c>
      <c r="G132" s="756">
        <f t="array" ref="G132">SUMPRODUCT(
  (INDEX('6. TIẾN ĐỘ MUA HÀNG'!$A$5:$AT644, 0, XMATCH("NCC VTBB/NL trong nước", '6. TIẾN ĐỘ MUA HÀNG'!$A$4:$AT$4, 0)) = $B132) * (TRIM(INDEX('6. TIẾN ĐỘ MUA HÀNG'!$A$5:$AT644, 0, XMATCH("Tháng", '6. TIẾN ĐỘ MUA HÀNG'!$A$4:$AT$4, 0))) = TRIM(F$6)) * (INDEX('6. TIẾN ĐỘ MUA HÀNG'!$A$5:$AT644, 0, XMATCH("CL NGÀY NCC DỰ KIẾN - NGÀY NHẬN HÀNG", '6. TIẾN ĐỘ MUA HÀNG'!$A$4:$AT$4, 0)) &lt; 0)
)</f>
        <v>0</v>
      </c>
      <c r="H132" s="757">
        <f t="shared" si="15"/>
        <v>0</v>
      </c>
      <c r="I132" s="754">
        <f t="array" ref="I132">SUMPRODUCT((TRIM(INDEX('6. TIẾN ĐỘ MUA HÀNG'!$A$5:$AT644, 0, XMATCH("NCC VTBB/NL trong nước", '6. TIẾN ĐỘ MUA HÀNG'!$A$4:$AT$4, 0))) = TRIM($B132)) * (TRIM(INDEX('6. TIẾN ĐỘ MUA HÀNG'!$A$5:$AT644, 0, XMATCH("Tháng", '6. TIẾN ĐỘ MUA HÀNG'!$A$4:$AT$4, 0))) = TRIM(I$6)) * (INDEX('6. TIẾN ĐỘ MUA HÀNG'!$A$5:$AT644, 0, XMATCH("Mã đơn Misa", '6. TIẾN ĐỘ MUA HÀNG'!$A$4:$AT$4, 0)) &lt;&gt; ""))</f>
        <v>0</v>
      </c>
      <c r="J132" s="754">
        <f t="array" ref="J132">SUMPRODUCT(
  (INDEX('6. TIẾN ĐỘ MUA HÀNG'!$A$5:$AT644, 0, XMATCH("NCC VTBB/NL trong nước", '6. TIẾN ĐỘ MUA HÀNG'!$A$4:$AT$4, 0)) = $B132) * (TRIM(INDEX('6. TIẾN ĐỘ MUA HÀNG'!$A$5:$AT644, 0, XMATCH("Tháng", '6. TIẾN ĐỘ MUA HÀNG'!$A$4:$AT$4, 0))) = TRIM(I$6)) * (INDEX('6. TIẾN ĐỘ MUA HÀNG'!$A$5:$AT644, 0, XMATCH("CL NGÀY NCC DỰ KIẾN - NGÀY NHẬN HÀNG", '6. TIẾN ĐỘ MUA HÀNG'!$A$4:$AT$4, 0)) &lt; 0)
)</f>
        <v>0</v>
      </c>
      <c r="K132" s="755">
        <f t="shared" si="30"/>
        <v>0</v>
      </c>
      <c r="L132" s="756">
        <f t="array" ref="L132">SUMPRODUCT((TRIM(INDEX('6. TIẾN ĐỘ MUA HÀNG'!$A$5:$AT644, 0, XMATCH("NCC VTBB/NL trong nước", '6. TIẾN ĐỘ MUA HÀNG'!$A$4:$AT$4, 0))) = TRIM($B132)) * (TRIM(INDEX('6. TIẾN ĐỘ MUA HÀNG'!$A$5:$AT644, 0, XMATCH("Tháng", '6. TIẾN ĐỘ MUA HÀNG'!$A$4:$AT$4, 0))) = TRIM(L$6)) * (INDEX('6. TIẾN ĐỘ MUA HÀNG'!$A$5:$AT644, 0, XMATCH("Mã đơn Misa", '6. TIẾN ĐỘ MUA HÀNG'!$A$4:$AT$4, 0)) &lt;&gt; ""))</f>
        <v>0</v>
      </c>
      <c r="M132" s="756">
        <f t="array" ref="M132">SUMPRODUCT(
  (INDEX('6. TIẾN ĐỘ MUA HÀNG'!$A$5:$AT644, 0, XMATCH("NCC VTBB/NL trong nước", '6. TIẾN ĐỘ MUA HÀNG'!$A$4:$AT$4, 0)) = $B132) * (TRIM(INDEX('6. TIẾN ĐỘ MUA HÀNG'!$A$5:$AT644, 0, XMATCH("Tháng", '6. TIẾN ĐỘ MUA HÀNG'!$A$4:$AT$4, 0))) = TRIM(L$6)) * (INDEX('6. TIẾN ĐỘ MUA HÀNG'!$A$5:$AT644, 0, XMATCH("CL NGÀY NCC DỰ KIẾN - NGÀY NHẬN HÀNG", '6. TIẾN ĐỘ MUA HÀNG'!$A$4:$AT$4, 0)) &lt; 0)
)</f>
        <v>0</v>
      </c>
      <c r="N132" s="757">
        <f t="shared" si="17"/>
        <v>0</v>
      </c>
      <c r="O132" s="754">
        <f t="array" ref="O132">SUMPRODUCT((TRIM(INDEX('6. TIẾN ĐỘ MUA HÀNG'!$A$5:$AT644, 0, XMATCH("NCC VTBB/NL trong nước", '6. TIẾN ĐỘ MUA HÀNG'!$A$4:$AT$4, 0))) = TRIM($B132)) * (TRIM(INDEX('6. TIẾN ĐỘ MUA HÀNG'!$A$5:$AT644, 0, XMATCH("Tháng", '6. TIẾN ĐỘ MUA HÀNG'!$A$4:$AT$4, 0))) = TRIM(O$6)) * (INDEX('6. TIẾN ĐỘ MUA HÀNG'!$A$5:$AT644, 0, XMATCH("Mã đơn Misa", '6. TIẾN ĐỘ MUA HÀNG'!$A$4:$AT$4, 0)) &lt;&gt; ""))</f>
        <v>0</v>
      </c>
      <c r="P132" s="754">
        <f t="array" ref="P132">SUMPRODUCT(
  (INDEX('6. TIẾN ĐỘ MUA HÀNG'!$A$5:$AT644, 0, XMATCH("NCC VTBB/NL trong nước", '6. TIẾN ĐỘ MUA HÀNG'!$A$4:$AT$4, 0)) = $B132) * (TRIM(INDEX('6. TIẾN ĐỘ MUA HÀNG'!$A$5:$AT644, 0, XMATCH("Tháng", '6. TIẾN ĐỘ MUA HÀNG'!$A$4:$AT$4, 0))) = TRIM(O$6)) * (INDEX('6. TIẾN ĐỘ MUA HÀNG'!$A$5:$AT644, 0, XMATCH("CL NGÀY NCC DỰ KIẾN - NGÀY NHẬN HÀNG", '6. TIẾN ĐỘ MUA HÀNG'!$A$4:$AT$4, 0)) &lt; 0)
)</f>
        <v>0</v>
      </c>
      <c r="Q132" s="755">
        <f t="shared" si="31"/>
        <v>0</v>
      </c>
      <c r="R132" s="756">
        <f t="array" ref="R132">SUMPRODUCT((TRIM(INDEX('6. TIẾN ĐỘ MUA HÀNG'!$A$5:$AT644, 0, XMATCH("NCC VTBB/NL trong nước", '6. TIẾN ĐỘ MUA HÀNG'!$A$4:$AT$4, 0))) = TRIM($B132)) * (TRIM(INDEX('6. TIẾN ĐỘ MUA HÀNG'!$A$5:$AT644, 0, XMATCH("Tháng", '6. TIẾN ĐỘ MUA HÀNG'!$A$4:$AT$4, 0))) = TRIM(R$6)) * (INDEX('6. TIẾN ĐỘ MUA HÀNG'!$A$5:$AT644, 0, XMATCH("Mã đơn Misa", '6. TIẾN ĐỘ MUA HÀNG'!$A$4:$AT$4, 0)) &lt;&gt; ""))</f>
        <v>0</v>
      </c>
      <c r="S132" s="756">
        <f t="array" ref="S132">SUMPRODUCT(
  (INDEX('6. TIẾN ĐỘ MUA HÀNG'!$A$5:$AT644, 0, XMATCH("NCC VTBB/NL trong nước", '6. TIẾN ĐỘ MUA HÀNG'!$A$4:$AT$4, 0)) = $B132) * (TRIM(INDEX('6. TIẾN ĐỘ MUA HÀNG'!$A$5:$AT644, 0, XMATCH("Tháng", '6. TIẾN ĐỘ MUA HÀNG'!$A$4:$AT$4, 0))) = TRIM(R$6)) * (INDEX('6. TIẾN ĐỘ MUA HÀNG'!$A$5:$AT644, 0, XMATCH("CL NGÀY NCC DỰ KIẾN - NGÀY NHẬN HÀNG", '6. TIẾN ĐỘ MUA HÀNG'!$A$4:$AT$4, 0)) &lt; 0)
)</f>
        <v>0</v>
      </c>
      <c r="T132" s="757">
        <f t="shared" si="19"/>
        <v>0</v>
      </c>
      <c r="U132" s="754">
        <f t="array" ref="U132">SUMPRODUCT((TRIM(INDEX('6. TIẾN ĐỘ MUA HÀNG'!$A$5:$AT644, 0, XMATCH("NCC VTBB/NL trong nước", '6. TIẾN ĐỘ MUA HÀNG'!$A$4:$AT$4, 0))) = TRIM($B132)) * (TRIM(INDEX('6. TIẾN ĐỘ MUA HÀNG'!$A$5:$AT644, 0, XMATCH("Tháng", '6. TIẾN ĐỘ MUA HÀNG'!$A$4:$AT$4, 0))) = TRIM(U$6)) * (INDEX('6. TIẾN ĐỘ MUA HÀNG'!$A$5:$AT644, 0, XMATCH("Mã đơn Misa", '6. TIẾN ĐỘ MUA HÀNG'!$A$4:$AT$4, 0)) &lt;&gt; ""))</f>
        <v>0</v>
      </c>
      <c r="V132" s="754">
        <f t="array" ref="V132">SUMPRODUCT(
  (INDEX('6. TIẾN ĐỘ MUA HÀNG'!$A$5:$AT644, 0, XMATCH("NCC VTBB/NL trong nước", '6. TIẾN ĐỘ MUA HÀNG'!$A$4:$AT$4, 0)) = $B132) * (TRIM(INDEX('6. TIẾN ĐỘ MUA HÀNG'!$A$5:$AT644, 0, XMATCH("Tháng", '6. TIẾN ĐỘ MUA HÀNG'!$A$4:$AT$4, 0))) = TRIM(U$6)) * (INDEX('6. TIẾN ĐỘ MUA HÀNG'!$A$5:$AT644, 0, XMATCH("CL NGÀY NCC DỰ KIẾN - NGÀY NHẬN HÀNG", '6. TIẾN ĐỘ MUA HÀNG'!$A$4:$AT$4, 0)) &lt; 0)
)</f>
        <v>0</v>
      </c>
      <c r="W132" s="755">
        <f t="shared" si="32"/>
        <v>0</v>
      </c>
      <c r="X132" s="756">
        <f t="array" ref="X132">SUMPRODUCT((TRIM(INDEX('6. TIẾN ĐỘ MUA HÀNG'!$A$5:$AT644, 0, XMATCH("NCC VTBB/NL trong nước", '6. TIẾN ĐỘ MUA HÀNG'!$A$4:$AT$4, 0))) = TRIM($B132)) * (TRIM(INDEX('6. TIẾN ĐỘ MUA HÀNG'!$A$5:$AT644, 0, XMATCH("Tháng", '6. TIẾN ĐỘ MUA HÀNG'!$A$4:$AT$4, 0))) = TRIM(X$6)) * (INDEX('6. TIẾN ĐỘ MUA HÀNG'!$A$5:$AT644, 0, XMATCH("Mã đơn Misa", '6. TIẾN ĐỘ MUA HÀNG'!$A$4:$AT$4, 0)) &lt;&gt; ""))</f>
        <v>0</v>
      </c>
      <c r="Y132" s="756">
        <f t="array" ref="Y132">SUMPRODUCT(
  (INDEX('6. TIẾN ĐỘ MUA HÀNG'!$A$5:$AT644, 0, XMATCH("NCC VTBB/NL trong nước", '6. TIẾN ĐỘ MUA HÀNG'!$A$4:$AT$4, 0)) = $B132) * (TRIM(INDEX('6. TIẾN ĐỘ MUA HÀNG'!$A$5:$AT644, 0, XMATCH("Tháng", '6. TIẾN ĐỘ MUA HÀNG'!$A$4:$AT$4, 0))) = TRIM(X$6)) * (INDEX('6. TIẾN ĐỘ MUA HÀNG'!$A$5:$AT644, 0, XMATCH("CL NGÀY NCC DỰ KIẾN - NGÀY NHẬN HÀNG", '6. TIẾN ĐỘ MUA HÀNG'!$A$4:$AT$4, 0)) &lt; 0)
)</f>
        <v>0</v>
      </c>
      <c r="Z132" s="757">
        <f t="shared" si="21"/>
        <v>0</v>
      </c>
      <c r="AA132" s="754">
        <f t="array" ref="AA132">SUMPRODUCT((TRIM(INDEX('6. TIẾN ĐỘ MUA HÀNG'!$A$5:$AT644, 0, XMATCH("NCC VTBB/NL trong nước", '6. TIẾN ĐỘ MUA HÀNG'!$A$4:$AT$4, 0))) = TRIM($B132)) * (TRIM(INDEX('6. TIẾN ĐỘ MUA HÀNG'!$A$5:$AT644, 0, XMATCH("Tháng", '6. TIẾN ĐỘ MUA HÀNG'!$A$4:$AT$4, 0))) = TRIM(AA$6)) * (INDEX('6. TIẾN ĐỘ MUA HÀNG'!$A$5:$AT644, 0, XMATCH("Mã đơn Misa", '6. TIẾN ĐỘ MUA HÀNG'!$A$4:$AT$4, 0)) &lt;&gt; ""))</f>
        <v>0</v>
      </c>
      <c r="AB132" s="754">
        <f t="array" ref="AB132">SUMPRODUCT(
  (INDEX('6. TIẾN ĐỘ MUA HÀNG'!$A$5:$AT644, 0, XMATCH("NCC VTBB/NL trong nước", '6. TIẾN ĐỘ MUA HÀNG'!$A$4:$AT$4, 0)) = $B132) * (TRIM(INDEX('6. TIẾN ĐỘ MUA HÀNG'!$A$5:$AT644, 0, XMATCH("Tháng", '6. TIẾN ĐỘ MUA HÀNG'!$A$4:$AT$4, 0))) = TRIM(AA$6)) * (INDEX('6. TIẾN ĐỘ MUA HÀNG'!$A$5:$AT644, 0, XMATCH("CL NGÀY NCC DỰ KIẾN - NGÀY NHẬN HÀNG", '6. TIẾN ĐỘ MUA HÀNG'!$A$4:$AT$4, 0)) &lt; 0)
)</f>
        <v>0</v>
      </c>
      <c r="AC132" s="755">
        <f t="shared" si="33"/>
        <v>0</v>
      </c>
      <c r="AD132" s="756">
        <f t="array" ref="AD132">SUMPRODUCT((TRIM(INDEX('6. TIẾN ĐỘ MUA HÀNG'!$A$5:$AT644, 0, XMATCH("NCC VTBB/NL trong nước", '6. TIẾN ĐỘ MUA HÀNG'!$A$4:$AT$4, 0))) = TRIM($B132)) * (TRIM(INDEX('6. TIẾN ĐỘ MUA HÀNG'!$A$5:$AT644, 0, XMATCH("Tháng", '6. TIẾN ĐỘ MUA HÀNG'!$A$4:$AT$4, 0))) = TRIM(AD$6)) * (INDEX('6. TIẾN ĐỘ MUA HÀNG'!$A$5:$AT644, 0, XMATCH("Mã đơn Misa", '6. TIẾN ĐỘ MUA HÀNG'!$A$4:$AT$4, 0)) &lt;&gt; ""))</f>
        <v>0</v>
      </c>
      <c r="AE132" s="756">
        <f t="array" ref="AE132">SUMPRODUCT(
  (INDEX('6. TIẾN ĐỘ MUA HÀNG'!$A$5:$AT644, 0, XMATCH("NCC VTBB/NL trong nước", '6. TIẾN ĐỘ MUA HÀNG'!$A$4:$AT$4, 0)) = $B132) * (TRIM(INDEX('6. TIẾN ĐỘ MUA HÀNG'!$A$5:$AT644, 0, XMATCH("Tháng", '6. TIẾN ĐỘ MUA HÀNG'!$A$4:$AT$4, 0))) = TRIM(AD$6)) * (INDEX('6. TIẾN ĐỘ MUA HÀNG'!$A$5:$AT644, 0, XMATCH("CL NGÀY NCC DỰ KIẾN - NGÀY NHẬN HÀNG", '6. TIẾN ĐỘ MUA HÀNG'!$A$4:$AT$4, 0)) &lt; 0)
)</f>
        <v>0</v>
      </c>
      <c r="AF132" s="757">
        <f t="shared" si="23"/>
        <v>0</v>
      </c>
      <c r="AG132" s="754">
        <f t="array" ref="AG132">SUMPRODUCT((TRIM(INDEX('6. TIẾN ĐỘ MUA HÀNG'!$A$5:$AT644, 0, XMATCH("NCC VTBB/NL trong nước", '6. TIẾN ĐỘ MUA HÀNG'!$A$4:$AT$4, 0))) = TRIM($B132)) * (TRIM(INDEX('6. TIẾN ĐỘ MUA HÀNG'!$A$5:$AT644, 0, XMATCH("Tháng", '6. TIẾN ĐỘ MUA HÀNG'!$A$4:$AT$4, 0))) = TRIM(AG$6)) * (INDEX('6. TIẾN ĐỘ MUA HÀNG'!$A$5:$AT644, 0, XMATCH("Mã đơn Misa", '6. TIẾN ĐỘ MUA HÀNG'!$A$4:$AT$4, 0)) &lt;&gt; ""))</f>
        <v>0</v>
      </c>
      <c r="AH132" s="754">
        <f t="array" ref="AH132">SUMPRODUCT(
  (INDEX('6. TIẾN ĐỘ MUA HÀNG'!$A$5:$AT644, 0, XMATCH("NCC VTBB/NL trong nước", '6. TIẾN ĐỘ MUA HÀNG'!$A$4:$AT$4, 0)) = $B132) * (TRIM(INDEX('6. TIẾN ĐỘ MUA HÀNG'!$A$5:$AT644, 0, XMATCH("Tháng", '6. TIẾN ĐỘ MUA HÀNG'!$A$4:$AT$4, 0))) = TRIM(AG$6)) * (INDEX('6. TIẾN ĐỘ MUA HÀNG'!$A$5:$AT644, 0, XMATCH("CL NGÀY NCC DỰ KIẾN - NGÀY NHẬN HÀNG", '6. TIẾN ĐỘ MUA HÀNG'!$A$4:$AT$4, 0)) &lt; 0)
)</f>
        <v>0</v>
      </c>
      <c r="AI132" s="755">
        <f t="shared" si="34"/>
        <v>0</v>
      </c>
      <c r="AJ132" s="756">
        <f t="array" ref="AJ132">SUMPRODUCT((TRIM(INDEX('6. TIẾN ĐỘ MUA HÀNG'!$A$5:$AT644, 0, XMATCH("NCC VTBB/NL trong nước", '6. TIẾN ĐỘ MUA HÀNG'!$A$4:$AT$4, 0))) = TRIM($B132)) * (TRIM(INDEX('6. TIẾN ĐỘ MUA HÀNG'!$A$5:$AT644, 0, XMATCH("Tháng", '6. TIẾN ĐỘ MUA HÀNG'!$A$4:$AT$4, 0))) = TRIM(AJ$6)) * (INDEX('6. TIẾN ĐỘ MUA HÀNG'!$A$5:$AT644, 0, XMATCH("Mã đơn Misa", '6. TIẾN ĐỘ MUA HÀNG'!$A$4:$AT$4, 0)) &lt;&gt; ""))</f>
        <v>0</v>
      </c>
      <c r="AK132" s="756">
        <f t="array" ref="AK132">SUMPRODUCT(
  (INDEX('6. TIẾN ĐỘ MUA HÀNG'!$A$5:$AT644, 0, XMATCH("NCC VTBB/NL trong nước", '6. TIẾN ĐỘ MUA HÀNG'!$A$4:$AT$4, 0)) = $B132) * (TRIM(INDEX('6. TIẾN ĐỘ MUA HÀNG'!$A$5:$AT644, 0, XMATCH("Tháng", '6. TIẾN ĐỘ MUA HÀNG'!$A$4:$AT$4, 0))) = TRIM(AJ$6)) * (INDEX('6. TIẾN ĐỘ MUA HÀNG'!$A$5:$AT644, 0, XMATCH("CL NGÀY NCC DỰ KIẾN - NGÀY NHẬN HÀNG", '6. TIẾN ĐỘ MUA HÀNG'!$A$4:$AT$4, 0)) &lt; 0)
)</f>
        <v>0</v>
      </c>
      <c r="AL132" s="757">
        <f t="shared" si="25"/>
        <v>0</v>
      </c>
      <c r="AM132" s="726">
        <f t="shared" si="27"/>
        <v>0</v>
      </c>
      <c r="AN132" s="726">
        <f t="shared" si="28"/>
        <v>0</v>
      </c>
      <c r="AO132" s="727">
        <f t="shared" si="26"/>
        <v>0</v>
      </c>
    </row>
    <row r="133">
      <c r="A133" s="612">
        <v>125.0</v>
      </c>
      <c r="B133" s="624" t="str">
        <f>IFERROR(__xludf.DUMMYFUNCTION("""COMPUTED_VALUE"""),"Kho C1-2")</f>
        <v>Kho C1-2</v>
      </c>
      <c r="C133" s="754">
        <f t="array" ref="C133">SUMPRODUCT((TRIM(INDEX('6. TIẾN ĐỘ MUA HÀNG'!$A$5:$AT644, 0, XMATCH("NCC VTBB/NL trong nước", '6. TIẾN ĐỘ MUA HÀNG'!$A$4:$AT$4, 0))) = TRIM($B133)) * (TRIM(INDEX('6. TIẾN ĐỘ MUA HÀNG'!$A$5:$AT644, 0, XMATCH("Tháng", '6. TIẾN ĐỘ MUA HÀNG'!$A$4:$AT$4, 0))) = TRIM(C$6)) * (INDEX('6. TIẾN ĐỘ MUA HÀNG'!$A$5:$AT644, 0, XMATCH("Mã đơn Misa", '6. TIẾN ĐỘ MUA HÀNG'!$A$4:$AT$4, 0)) &lt;&gt; ""))</f>
        <v>0</v>
      </c>
      <c r="D133" s="754">
        <f t="array" ref="D133">SUMPRODUCT(
  (INDEX('6. TIẾN ĐỘ MUA HÀNG'!$A$5:$AT644, 0, XMATCH("NCC VTBB/NL trong nước", '6. TIẾN ĐỘ MUA HÀNG'!$A$4:$AT$4, 0)) = $B133) * (TRIM(INDEX('6. TIẾN ĐỘ MUA HÀNG'!$A$5:$AT644, 0, XMATCH("Tháng", '6. TIẾN ĐỘ MUA HÀNG'!$A$4:$AT$4, 0))) = TRIM(C$6)) * (INDEX('6. TIẾN ĐỘ MUA HÀNG'!$A$5:$AT644, 0, XMATCH("CL NGÀY NCC DỰ KIẾN - NGÀY NHẬN HÀNG", '6. TIẾN ĐỘ MUA HÀNG'!$A$4:$AT$4, 0)) &lt; 0)
)</f>
        <v>0</v>
      </c>
      <c r="E133" s="755">
        <f t="shared" si="29"/>
        <v>0</v>
      </c>
      <c r="F133" s="756">
        <f t="array" ref="F133">SUMPRODUCT((TRIM(INDEX('6. TIẾN ĐỘ MUA HÀNG'!$A$5:$AT644, 0, XMATCH("NCC VTBB/NL trong nước", '6. TIẾN ĐỘ MUA HÀNG'!$A$4:$AT$4, 0))) = TRIM($B133)) * (TRIM(INDEX('6. TIẾN ĐỘ MUA HÀNG'!$A$5:$AT644, 0, XMATCH("Tháng", '6. TIẾN ĐỘ MUA HÀNG'!$A$4:$AT$4, 0))) = TRIM(F$6)) * (INDEX('6. TIẾN ĐỘ MUA HÀNG'!$A$5:$AT644, 0, XMATCH("Mã đơn Misa", '6. TIẾN ĐỘ MUA HÀNG'!$A$4:$AT$4, 0)) &lt;&gt; ""))</f>
        <v>0</v>
      </c>
      <c r="G133" s="756">
        <f t="array" ref="G133">SUMPRODUCT(
  (INDEX('6. TIẾN ĐỘ MUA HÀNG'!$A$5:$AT644, 0, XMATCH("NCC VTBB/NL trong nước", '6. TIẾN ĐỘ MUA HÀNG'!$A$4:$AT$4, 0)) = $B133) * (TRIM(INDEX('6. TIẾN ĐỘ MUA HÀNG'!$A$5:$AT644, 0, XMATCH("Tháng", '6. TIẾN ĐỘ MUA HÀNG'!$A$4:$AT$4, 0))) = TRIM(F$6)) * (INDEX('6. TIẾN ĐỘ MUA HÀNG'!$A$5:$AT644, 0, XMATCH("CL NGÀY NCC DỰ KIẾN - NGÀY NHẬN HÀNG", '6. TIẾN ĐỘ MUA HÀNG'!$A$4:$AT$4, 0)) &lt; 0)
)</f>
        <v>0</v>
      </c>
      <c r="H133" s="757">
        <f t="shared" si="15"/>
        <v>0</v>
      </c>
      <c r="I133" s="754">
        <f t="array" ref="I133">SUMPRODUCT((TRIM(INDEX('6. TIẾN ĐỘ MUA HÀNG'!$A$5:$AT644, 0, XMATCH("NCC VTBB/NL trong nước", '6. TIẾN ĐỘ MUA HÀNG'!$A$4:$AT$4, 0))) = TRIM($B133)) * (TRIM(INDEX('6. TIẾN ĐỘ MUA HÀNG'!$A$5:$AT644, 0, XMATCH("Tháng", '6. TIẾN ĐỘ MUA HÀNG'!$A$4:$AT$4, 0))) = TRIM(I$6)) * (INDEX('6. TIẾN ĐỘ MUA HÀNG'!$A$5:$AT644, 0, XMATCH("Mã đơn Misa", '6. TIẾN ĐỘ MUA HÀNG'!$A$4:$AT$4, 0)) &lt;&gt; ""))</f>
        <v>0</v>
      </c>
      <c r="J133" s="754">
        <f t="array" ref="J133">SUMPRODUCT(
  (INDEX('6. TIẾN ĐỘ MUA HÀNG'!$A$5:$AT644, 0, XMATCH("NCC VTBB/NL trong nước", '6. TIẾN ĐỘ MUA HÀNG'!$A$4:$AT$4, 0)) = $B133) * (TRIM(INDEX('6. TIẾN ĐỘ MUA HÀNG'!$A$5:$AT644, 0, XMATCH("Tháng", '6. TIẾN ĐỘ MUA HÀNG'!$A$4:$AT$4, 0))) = TRIM(I$6)) * (INDEX('6. TIẾN ĐỘ MUA HÀNG'!$A$5:$AT644, 0, XMATCH("CL NGÀY NCC DỰ KIẾN - NGÀY NHẬN HÀNG", '6. TIẾN ĐỘ MUA HÀNG'!$A$4:$AT$4, 0)) &lt; 0)
)</f>
        <v>0</v>
      </c>
      <c r="K133" s="755">
        <f t="shared" si="30"/>
        <v>0</v>
      </c>
      <c r="L133" s="756">
        <f t="array" ref="L133">SUMPRODUCT((TRIM(INDEX('6. TIẾN ĐỘ MUA HÀNG'!$A$5:$AT644, 0, XMATCH("NCC VTBB/NL trong nước", '6. TIẾN ĐỘ MUA HÀNG'!$A$4:$AT$4, 0))) = TRIM($B133)) * (TRIM(INDEX('6. TIẾN ĐỘ MUA HÀNG'!$A$5:$AT644, 0, XMATCH("Tháng", '6. TIẾN ĐỘ MUA HÀNG'!$A$4:$AT$4, 0))) = TRIM(L$6)) * (INDEX('6. TIẾN ĐỘ MUA HÀNG'!$A$5:$AT644, 0, XMATCH("Mã đơn Misa", '6. TIẾN ĐỘ MUA HÀNG'!$A$4:$AT$4, 0)) &lt;&gt; ""))</f>
        <v>0</v>
      </c>
      <c r="M133" s="756">
        <f t="array" ref="M133">SUMPRODUCT(
  (INDEX('6. TIẾN ĐỘ MUA HÀNG'!$A$5:$AT644, 0, XMATCH("NCC VTBB/NL trong nước", '6. TIẾN ĐỘ MUA HÀNG'!$A$4:$AT$4, 0)) = $B133) * (TRIM(INDEX('6. TIẾN ĐỘ MUA HÀNG'!$A$5:$AT644, 0, XMATCH("Tháng", '6. TIẾN ĐỘ MUA HÀNG'!$A$4:$AT$4, 0))) = TRIM(L$6)) * (INDEX('6. TIẾN ĐỘ MUA HÀNG'!$A$5:$AT644, 0, XMATCH("CL NGÀY NCC DỰ KIẾN - NGÀY NHẬN HÀNG", '6. TIẾN ĐỘ MUA HÀNG'!$A$4:$AT$4, 0)) &lt; 0)
)</f>
        <v>0</v>
      </c>
      <c r="N133" s="757">
        <f t="shared" si="17"/>
        <v>0</v>
      </c>
      <c r="O133" s="754">
        <f t="array" ref="O133">SUMPRODUCT((TRIM(INDEX('6. TIẾN ĐỘ MUA HÀNG'!$A$5:$AT644, 0, XMATCH("NCC VTBB/NL trong nước", '6. TIẾN ĐỘ MUA HÀNG'!$A$4:$AT$4, 0))) = TRIM($B133)) * (TRIM(INDEX('6. TIẾN ĐỘ MUA HÀNG'!$A$5:$AT644, 0, XMATCH("Tháng", '6. TIẾN ĐỘ MUA HÀNG'!$A$4:$AT$4, 0))) = TRIM(O$6)) * (INDEX('6. TIẾN ĐỘ MUA HÀNG'!$A$5:$AT644, 0, XMATCH("Mã đơn Misa", '6. TIẾN ĐỘ MUA HÀNG'!$A$4:$AT$4, 0)) &lt;&gt; ""))</f>
        <v>0</v>
      </c>
      <c r="P133" s="754">
        <f t="array" ref="P133">SUMPRODUCT(
  (INDEX('6. TIẾN ĐỘ MUA HÀNG'!$A$5:$AT644, 0, XMATCH("NCC VTBB/NL trong nước", '6. TIẾN ĐỘ MUA HÀNG'!$A$4:$AT$4, 0)) = $B133) * (TRIM(INDEX('6. TIẾN ĐỘ MUA HÀNG'!$A$5:$AT644, 0, XMATCH("Tháng", '6. TIẾN ĐỘ MUA HÀNG'!$A$4:$AT$4, 0))) = TRIM(O$6)) * (INDEX('6. TIẾN ĐỘ MUA HÀNG'!$A$5:$AT644, 0, XMATCH("CL NGÀY NCC DỰ KIẾN - NGÀY NHẬN HÀNG", '6. TIẾN ĐỘ MUA HÀNG'!$A$4:$AT$4, 0)) &lt; 0)
)</f>
        <v>0</v>
      </c>
      <c r="Q133" s="755">
        <f t="shared" si="31"/>
        <v>0</v>
      </c>
      <c r="R133" s="756">
        <f t="array" ref="R133">SUMPRODUCT((TRIM(INDEX('6. TIẾN ĐỘ MUA HÀNG'!$A$5:$AT644, 0, XMATCH("NCC VTBB/NL trong nước", '6. TIẾN ĐỘ MUA HÀNG'!$A$4:$AT$4, 0))) = TRIM($B133)) * (TRIM(INDEX('6. TIẾN ĐỘ MUA HÀNG'!$A$5:$AT644, 0, XMATCH("Tháng", '6. TIẾN ĐỘ MUA HÀNG'!$A$4:$AT$4, 0))) = TRIM(R$6)) * (INDEX('6. TIẾN ĐỘ MUA HÀNG'!$A$5:$AT644, 0, XMATCH("Mã đơn Misa", '6. TIẾN ĐỘ MUA HÀNG'!$A$4:$AT$4, 0)) &lt;&gt; ""))</f>
        <v>0</v>
      </c>
      <c r="S133" s="756">
        <f t="array" ref="S133">SUMPRODUCT(
  (INDEX('6. TIẾN ĐỘ MUA HÀNG'!$A$5:$AT644, 0, XMATCH("NCC VTBB/NL trong nước", '6. TIẾN ĐỘ MUA HÀNG'!$A$4:$AT$4, 0)) = $B133) * (TRIM(INDEX('6. TIẾN ĐỘ MUA HÀNG'!$A$5:$AT644, 0, XMATCH("Tháng", '6. TIẾN ĐỘ MUA HÀNG'!$A$4:$AT$4, 0))) = TRIM(R$6)) * (INDEX('6. TIẾN ĐỘ MUA HÀNG'!$A$5:$AT644, 0, XMATCH("CL NGÀY NCC DỰ KIẾN - NGÀY NHẬN HÀNG", '6. TIẾN ĐỘ MUA HÀNG'!$A$4:$AT$4, 0)) &lt; 0)
)</f>
        <v>0</v>
      </c>
      <c r="T133" s="757">
        <f t="shared" si="19"/>
        <v>0</v>
      </c>
      <c r="U133" s="754">
        <f t="array" ref="U133">SUMPRODUCT((TRIM(INDEX('6. TIẾN ĐỘ MUA HÀNG'!$A$5:$AT644, 0, XMATCH("NCC VTBB/NL trong nước", '6. TIẾN ĐỘ MUA HÀNG'!$A$4:$AT$4, 0))) = TRIM($B133)) * (TRIM(INDEX('6. TIẾN ĐỘ MUA HÀNG'!$A$5:$AT644, 0, XMATCH("Tháng", '6. TIẾN ĐỘ MUA HÀNG'!$A$4:$AT$4, 0))) = TRIM(U$6)) * (INDEX('6. TIẾN ĐỘ MUA HÀNG'!$A$5:$AT644, 0, XMATCH("Mã đơn Misa", '6. TIẾN ĐỘ MUA HÀNG'!$A$4:$AT$4, 0)) &lt;&gt; ""))</f>
        <v>0</v>
      </c>
      <c r="V133" s="754">
        <f t="array" ref="V133">SUMPRODUCT(
  (INDEX('6. TIẾN ĐỘ MUA HÀNG'!$A$5:$AT644, 0, XMATCH("NCC VTBB/NL trong nước", '6. TIẾN ĐỘ MUA HÀNG'!$A$4:$AT$4, 0)) = $B133) * (TRIM(INDEX('6. TIẾN ĐỘ MUA HÀNG'!$A$5:$AT644, 0, XMATCH("Tháng", '6. TIẾN ĐỘ MUA HÀNG'!$A$4:$AT$4, 0))) = TRIM(U$6)) * (INDEX('6. TIẾN ĐỘ MUA HÀNG'!$A$5:$AT644, 0, XMATCH("CL NGÀY NCC DỰ KIẾN - NGÀY NHẬN HÀNG", '6. TIẾN ĐỘ MUA HÀNG'!$A$4:$AT$4, 0)) &lt; 0)
)</f>
        <v>0</v>
      </c>
      <c r="W133" s="755">
        <f t="shared" si="32"/>
        <v>0</v>
      </c>
      <c r="X133" s="756">
        <f t="array" ref="X133">SUMPRODUCT((TRIM(INDEX('6. TIẾN ĐỘ MUA HÀNG'!$A$5:$AT644, 0, XMATCH("NCC VTBB/NL trong nước", '6. TIẾN ĐỘ MUA HÀNG'!$A$4:$AT$4, 0))) = TRIM($B133)) * (TRIM(INDEX('6. TIẾN ĐỘ MUA HÀNG'!$A$5:$AT644, 0, XMATCH("Tháng", '6. TIẾN ĐỘ MUA HÀNG'!$A$4:$AT$4, 0))) = TRIM(X$6)) * (INDEX('6. TIẾN ĐỘ MUA HÀNG'!$A$5:$AT644, 0, XMATCH("Mã đơn Misa", '6. TIẾN ĐỘ MUA HÀNG'!$A$4:$AT$4, 0)) &lt;&gt; ""))</f>
        <v>0</v>
      </c>
      <c r="Y133" s="756">
        <f t="array" ref="Y133">SUMPRODUCT(
  (INDEX('6. TIẾN ĐỘ MUA HÀNG'!$A$5:$AT644, 0, XMATCH("NCC VTBB/NL trong nước", '6. TIẾN ĐỘ MUA HÀNG'!$A$4:$AT$4, 0)) = $B133) * (TRIM(INDEX('6. TIẾN ĐỘ MUA HÀNG'!$A$5:$AT644, 0, XMATCH("Tháng", '6. TIẾN ĐỘ MUA HÀNG'!$A$4:$AT$4, 0))) = TRIM(X$6)) * (INDEX('6. TIẾN ĐỘ MUA HÀNG'!$A$5:$AT644, 0, XMATCH("CL NGÀY NCC DỰ KIẾN - NGÀY NHẬN HÀNG", '6. TIẾN ĐỘ MUA HÀNG'!$A$4:$AT$4, 0)) &lt; 0)
)</f>
        <v>0</v>
      </c>
      <c r="Z133" s="757">
        <f t="shared" si="21"/>
        <v>0</v>
      </c>
      <c r="AA133" s="754">
        <f t="array" ref="AA133">SUMPRODUCT((TRIM(INDEX('6. TIẾN ĐỘ MUA HÀNG'!$A$5:$AT644, 0, XMATCH("NCC VTBB/NL trong nước", '6. TIẾN ĐỘ MUA HÀNG'!$A$4:$AT$4, 0))) = TRIM($B133)) * (TRIM(INDEX('6. TIẾN ĐỘ MUA HÀNG'!$A$5:$AT644, 0, XMATCH("Tháng", '6. TIẾN ĐỘ MUA HÀNG'!$A$4:$AT$4, 0))) = TRIM(AA$6)) * (INDEX('6. TIẾN ĐỘ MUA HÀNG'!$A$5:$AT644, 0, XMATCH("Mã đơn Misa", '6. TIẾN ĐỘ MUA HÀNG'!$A$4:$AT$4, 0)) &lt;&gt; ""))</f>
        <v>0</v>
      </c>
      <c r="AB133" s="754">
        <f t="array" ref="AB133">SUMPRODUCT(
  (INDEX('6. TIẾN ĐỘ MUA HÀNG'!$A$5:$AT644, 0, XMATCH("NCC VTBB/NL trong nước", '6. TIẾN ĐỘ MUA HÀNG'!$A$4:$AT$4, 0)) = $B133) * (TRIM(INDEX('6. TIẾN ĐỘ MUA HÀNG'!$A$5:$AT644, 0, XMATCH("Tháng", '6. TIẾN ĐỘ MUA HÀNG'!$A$4:$AT$4, 0))) = TRIM(AA$6)) * (INDEX('6. TIẾN ĐỘ MUA HÀNG'!$A$5:$AT644, 0, XMATCH("CL NGÀY NCC DỰ KIẾN - NGÀY NHẬN HÀNG", '6. TIẾN ĐỘ MUA HÀNG'!$A$4:$AT$4, 0)) &lt; 0)
)</f>
        <v>0</v>
      </c>
      <c r="AC133" s="755">
        <f t="shared" si="33"/>
        <v>0</v>
      </c>
      <c r="AD133" s="756">
        <f t="array" ref="AD133">SUMPRODUCT((TRIM(INDEX('6. TIẾN ĐỘ MUA HÀNG'!$A$5:$AT644, 0, XMATCH("NCC VTBB/NL trong nước", '6. TIẾN ĐỘ MUA HÀNG'!$A$4:$AT$4, 0))) = TRIM($B133)) * (TRIM(INDEX('6. TIẾN ĐỘ MUA HÀNG'!$A$5:$AT644, 0, XMATCH("Tháng", '6. TIẾN ĐỘ MUA HÀNG'!$A$4:$AT$4, 0))) = TRIM(AD$6)) * (INDEX('6. TIẾN ĐỘ MUA HÀNG'!$A$5:$AT644, 0, XMATCH("Mã đơn Misa", '6. TIẾN ĐỘ MUA HÀNG'!$A$4:$AT$4, 0)) &lt;&gt; ""))</f>
        <v>0</v>
      </c>
      <c r="AE133" s="756">
        <f t="array" ref="AE133">SUMPRODUCT(
  (INDEX('6. TIẾN ĐỘ MUA HÀNG'!$A$5:$AT644, 0, XMATCH("NCC VTBB/NL trong nước", '6. TIẾN ĐỘ MUA HÀNG'!$A$4:$AT$4, 0)) = $B133) * (TRIM(INDEX('6. TIẾN ĐỘ MUA HÀNG'!$A$5:$AT644, 0, XMATCH("Tháng", '6. TIẾN ĐỘ MUA HÀNG'!$A$4:$AT$4, 0))) = TRIM(AD$6)) * (INDEX('6. TIẾN ĐỘ MUA HÀNG'!$A$5:$AT644, 0, XMATCH("CL NGÀY NCC DỰ KIẾN - NGÀY NHẬN HÀNG", '6. TIẾN ĐỘ MUA HÀNG'!$A$4:$AT$4, 0)) &lt; 0)
)</f>
        <v>0</v>
      </c>
      <c r="AF133" s="757">
        <f t="shared" si="23"/>
        <v>0</v>
      </c>
      <c r="AG133" s="754">
        <f t="array" ref="AG133">SUMPRODUCT((TRIM(INDEX('6. TIẾN ĐỘ MUA HÀNG'!$A$5:$AT644, 0, XMATCH("NCC VTBB/NL trong nước", '6. TIẾN ĐỘ MUA HÀNG'!$A$4:$AT$4, 0))) = TRIM($B133)) * (TRIM(INDEX('6. TIẾN ĐỘ MUA HÀNG'!$A$5:$AT644, 0, XMATCH("Tháng", '6. TIẾN ĐỘ MUA HÀNG'!$A$4:$AT$4, 0))) = TRIM(AG$6)) * (INDEX('6. TIẾN ĐỘ MUA HÀNG'!$A$5:$AT644, 0, XMATCH("Mã đơn Misa", '6. TIẾN ĐỘ MUA HÀNG'!$A$4:$AT$4, 0)) &lt;&gt; ""))</f>
        <v>0</v>
      </c>
      <c r="AH133" s="754">
        <f t="array" ref="AH133">SUMPRODUCT(
  (INDEX('6. TIẾN ĐỘ MUA HÀNG'!$A$5:$AT644, 0, XMATCH("NCC VTBB/NL trong nước", '6. TIẾN ĐỘ MUA HÀNG'!$A$4:$AT$4, 0)) = $B133) * (TRIM(INDEX('6. TIẾN ĐỘ MUA HÀNG'!$A$5:$AT644, 0, XMATCH("Tháng", '6. TIẾN ĐỘ MUA HÀNG'!$A$4:$AT$4, 0))) = TRIM(AG$6)) * (INDEX('6. TIẾN ĐỘ MUA HÀNG'!$A$5:$AT644, 0, XMATCH("CL NGÀY NCC DỰ KIẾN - NGÀY NHẬN HÀNG", '6. TIẾN ĐỘ MUA HÀNG'!$A$4:$AT$4, 0)) &lt; 0)
)</f>
        <v>0</v>
      </c>
      <c r="AI133" s="755">
        <f t="shared" si="34"/>
        <v>0</v>
      </c>
      <c r="AJ133" s="756">
        <f t="array" ref="AJ133">SUMPRODUCT((TRIM(INDEX('6. TIẾN ĐỘ MUA HÀNG'!$A$5:$AT644, 0, XMATCH("NCC VTBB/NL trong nước", '6. TIẾN ĐỘ MUA HÀNG'!$A$4:$AT$4, 0))) = TRIM($B133)) * (TRIM(INDEX('6. TIẾN ĐỘ MUA HÀNG'!$A$5:$AT644, 0, XMATCH("Tháng", '6. TIẾN ĐỘ MUA HÀNG'!$A$4:$AT$4, 0))) = TRIM(AJ$6)) * (INDEX('6. TIẾN ĐỘ MUA HÀNG'!$A$5:$AT644, 0, XMATCH("Mã đơn Misa", '6. TIẾN ĐỘ MUA HÀNG'!$A$4:$AT$4, 0)) &lt;&gt; ""))</f>
        <v>0</v>
      </c>
      <c r="AK133" s="756">
        <f t="array" ref="AK133">SUMPRODUCT(
  (INDEX('6. TIẾN ĐỘ MUA HÀNG'!$A$5:$AT644, 0, XMATCH("NCC VTBB/NL trong nước", '6. TIẾN ĐỘ MUA HÀNG'!$A$4:$AT$4, 0)) = $B133) * (TRIM(INDEX('6. TIẾN ĐỘ MUA HÀNG'!$A$5:$AT644, 0, XMATCH("Tháng", '6. TIẾN ĐỘ MUA HÀNG'!$A$4:$AT$4, 0))) = TRIM(AJ$6)) * (INDEX('6. TIẾN ĐỘ MUA HÀNG'!$A$5:$AT644, 0, XMATCH("CL NGÀY NCC DỰ KIẾN - NGÀY NHẬN HÀNG", '6. TIẾN ĐỘ MUA HÀNG'!$A$4:$AT$4, 0)) &lt; 0)
)</f>
        <v>0</v>
      </c>
      <c r="AL133" s="757">
        <f t="shared" si="25"/>
        <v>0</v>
      </c>
      <c r="AM133" s="726">
        <f t="shared" si="27"/>
        <v>0</v>
      </c>
      <c r="AN133" s="726">
        <f t="shared" si="28"/>
        <v>0</v>
      </c>
      <c r="AO133" s="727">
        <f t="shared" si="26"/>
        <v>0</v>
      </c>
    </row>
    <row r="134">
      <c r="A134" s="612">
        <v>126.0</v>
      </c>
      <c r="B134" s="624" t="str">
        <f>IFERROR(__xludf.DUMMYFUNCTION("""COMPUTED_VALUE"""),"Kho F49 - Icare")</f>
        <v>Kho F49 - Icare</v>
      </c>
      <c r="C134" s="754">
        <f t="array" ref="C134">SUMPRODUCT((TRIM(INDEX('6. TIẾN ĐỘ MUA HÀNG'!$A$5:$AT644, 0, XMATCH("NCC VTBB/NL trong nước", '6. TIẾN ĐỘ MUA HÀNG'!$A$4:$AT$4, 0))) = TRIM($B134)) * (TRIM(INDEX('6. TIẾN ĐỘ MUA HÀNG'!$A$5:$AT644, 0, XMATCH("Tháng", '6. TIẾN ĐỘ MUA HÀNG'!$A$4:$AT$4, 0))) = TRIM(C$6)) * (INDEX('6. TIẾN ĐỘ MUA HÀNG'!$A$5:$AT644, 0, XMATCH("Mã đơn Misa", '6. TIẾN ĐỘ MUA HÀNG'!$A$4:$AT$4, 0)) &lt;&gt; ""))</f>
        <v>0</v>
      </c>
      <c r="D134" s="754">
        <f t="array" ref="D134">SUMPRODUCT(
  (INDEX('6. TIẾN ĐỘ MUA HÀNG'!$A$5:$AT644, 0, XMATCH("NCC VTBB/NL trong nước", '6. TIẾN ĐỘ MUA HÀNG'!$A$4:$AT$4, 0)) = $B134) * (TRIM(INDEX('6. TIẾN ĐỘ MUA HÀNG'!$A$5:$AT644, 0, XMATCH("Tháng", '6. TIẾN ĐỘ MUA HÀNG'!$A$4:$AT$4, 0))) = TRIM(C$6)) * (INDEX('6. TIẾN ĐỘ MUA HÀNG'!$A$5:$AT644, 0, XMATCH("CL NGÀY NCC DỰ KIẾN - NGÀY NHẬN HÀNG", '6. TIẾN ĐỘ MUA HÀNG'!$A$4:$AT$4, 0)) &lt; 0)
)</f>
        <v>0</v>
      </c>
      <c r="E134" s="755">
        <f t="shared" si="29"/>
        <v>0</v>
      </c>
      <c r="F134" s="756">
        <f t="array" ref="F134">SUMPRODUCT((TRIM(INDEX('6. TIẾN ĐỘ MUA HÀNG'!$A$5:$AT644, 0, XMATCH("NCC VTBB/NL trong nước", '6. TIẾN ĐỘ MUA HÀNG'!$A$4:$AT$4, 0))) = TRIM($B134)) * (TRIM(INDEX('6. TIẾN ĐỘ MUA HÀNG'!$A$5:$AT644, 0, XMATCH("Tháng", '6. TIẾN ĐỘ MUA HÀNG'!$A$4:$AT$4, 0))) = TRIM(F$6)) * (INDEX('6. TIẾN ĐỘ MUA HÀNG'!$A$5:$AT644, 0, XMATCH("Mã đơn Misa", '6. TIẾN ĐỘ MUA HÀNG'!$A$4:$AT$4, 0)) &lt;&gt; ""))</f>
        <v>0</v>
      </c>
      <c r="G134" s="756">
        <f t="array" ref="G134">SUMPRODUCT(
  (INDEX('6. TIẾN ĐỘ MUA HÀNG'!$A$5:$AT644, 0, XMATCH("NCC VTBB/NL trong nước", '6. TIẾN ĐỘ MUA HÀNG'!$A$4:$AT$4, 0)) = $B134) * (TRIM(INDEX('6. TIẾN ĐỘ MUA HÀNG'!$A$5:$AT644, 0, XMATCH("Tháng", '6. TIẾN ĐỘ MUA HÀNG'!$A$4:$AT$4, 0))) = TRIM(F$6)) * (INDEX('6. TIẾN ĐỘ MUA HÀNG'!$A$5:$AT644, 0, XMATCH("CL NGÀY NCC DỰ KIẾN - NGÀY NHẬN HÀNG", '6. TIẾN ĐỘ MUA HÀNG'!$A$4:$AT$4, 0)) &lt; 0)
)</f>
        <v>0</v>
      </c>
      <c r="H134" s="757">
        <f t="shared" si="15"/>
        <v>0</v>
      </c>
      <c r="I134" s="754">
        <f t="array" ref="I134">SUMPRODUCT((TRIM(INDEX('6. TIẾN ĐỘ MUA HÀNG'!$A$5:$AT644, 0, XMATCH("NCC VTBB/NL trong nước", '6. TIẾN ĐỘ MUA HÀNG'!$A$4:$AT$4, 0))) = TRIM($B134)) * (TRIM(INDEX('6. TIẾN ĐỘ MUA HÀNG'!$A$5:$AT644, 0, XMATCH("Tháng", '6. TIẾN ĐỘ MUA HÀNG'!$A$4:$AT$4, 0))) = TRIM(I$6)) * (INDEX('6. TIẾN ĐỘ MUA HÀNG'!$A$5:$AT644, 0, XMATCH("Mã đơn Misa", '6. TIẾN ĐỘ MUA HÀNG'!$A$4:$AT$4, 0)) &lt;&gt; ""))</f>
        <v>0</v>
      </c>
      <c r="J134" s="754">
        <f t="array" ref="J134">SUMPRODUCT(
  (INDEX('6. TIẾN ĐỘ MUA HÀNG'!$A$5:$AT644, 0, XMATCH("NCC VTBB/NL trong nước", '6. TIẾN ĐỘ MUA HÀNG'!$A$4:$AT$4, 0)) = $B134) * (TRIM(INDEX('6. TIẾN ĐỘ MUA HÀNG'!$A$5:$AT644, 0, XMATCH("Tháng", '6. TIẾN ĐỘ MUA HÀNG'!$A$4:$AT$4, 0))) = TRIM(I$6)) * (INDEX('6. TIẾN ĐỘ MUA HÀNG'!$A$5:$AT644, 0, XMATCH("CL NGÀY NCC DỰ KIẾN - NGÀY NHẬN HÀNG", '6. TIẾN ĐỘ MUA HÀNG'!$A$4:$AT$4, 0)) &lt; 0)
)</f>
        <v>0</v>
      </c>
      <c r="K134" s="755">
        <f t="shared" si="30"/>
        <v>0</v>
      </c>
      <c r="L134" s="756">
        <f t="array" ref="L134">SUMPRODUCT((TRIM(INDEX('6. TIẾN ĐỘ MUA HÀNG'!$A$5:$AT644, 0, XMATCH("NCC VTBB/NL trong nước", '6. TIẾN ĐỘ MUA HÀNG'!$A$4:$AT$4, 0))) = TRIM($B134)) * (TRIM(INDEX('6. TIẾN ĐỘ MUA HÀNG'!$A$5:$AT644, 0, XMATCH("Tháng", '6. TIẾN ĐỘ MUA HÀNG'!$A$4:$AT$4, 0))) = TRIM(L$6)) * (INDEX('6. TIẾN ĐỘ MUA HÀNG'!$A$5:$AT644, 0, XMATCH("Mã đơn Misa", '6. TIẾN ĐỘ MUA HÀNG'!$A$4:$AT$4, 0)) &lt;&gt; ""))</f>
        <v>0</v>
      </c>
      <c r="M134" s="756">
        <f t="array" ref="M134">SUMPRODUCT(
  (INDEX('6. TIẾN ĐỘ MUA HÀNG'!$A$5:$AT644, 0, XMATCH("NCC VTBB/NL trong nước", '6. TIẾN ĐỘ MUA HÀNG'!$A$4:$AT$4, 0)) = $B134) * (TRIM(INDEX('6. TIẾN ĐỘ MUA HÀNG'!$A$5:$AT644, 0, XMATCH("Tháng", '6. TIẾN ĐỘ MUA HÀNG'!$A$4:$AT$4, 0))) = TRIM(L$6)) * (INDEX('6. TIẾN ĐỘ MUA HÀNG'!$A$5:$AT644, 0, XMATCH("CL NGÀY NCC DỰ KIẾN - NGÀY NHẬN HÀNG", '6. TIẾN ĐỘ MUA HÀNG'!$A$4:$AT$4, 0)) &lt; 0)
)</f>
        <v>0</v>
      </c>
      <c r="N134" s="757">
        <f t="shared" si="17"/>
        <v>0</v>
      </c>
      <c r="O134" s="754">
        <f t="array" ref="O134">SUMPRODUCT((TRIM(INDEX('6. TIẾN ĐỘ MUA HÀNG'!$A$5:$AT644, 0, XMATCH("NCC VTBB/NL trong nước", '6. TIẾN ĐỘ MUA HÀNG'!$A$4:$AT$4, 0))) = TRIM($B134)) * (TRIM(INDEX('6. TIẾN ĐỘ MUA HÀNG'!$A$5:$AT644, 0, XMATCH("Tháng", '6. TIẾN ĐỘ MUA HÀNG'!$A$4:$AT$4, 0))) = TRIM(O$6)) * (INDEX('6. TIẾN ĐỘ MUA HÀNG'!$A$5:$AT644, 0, XMATCH("Mã đơn Misa", '6. TIẾN ĐỘ MUA HÀNG'!$A$4:$AT$4, 0)) &lt;&gt; ""))</f>
        <v>0</v>
      </c>
      <c r="P134" s="754">
        <f t="array" ref="P134">SUMPRODUCT(
  (INDEX('6. TIẾN ĐỘ MUA HÀNG'!$A$5:$AT644, 0, XMATCH("NCC VTBB/NL trong nước", '6. TIẾN ĐỘ MUA HÀNG'!$A$4:$AT$4, 0)) = $B134) * (TRIM(INDEX('6. TIẾN ĐỘ MUA HÀNG'!$A$5:$AT644, 0, XMATCH("Tháng", '6. TIẾN ĐỘ MUA HÀNG'!$A$4:$AT$4, 0))) = TRIM(O$6)) * (INDEX('6. TIẾN ĐỘ MUA HÀNG'!$A$5:$AT644, 0, XMATCH("CL NGÀY NCC DỰ KIẾN - NGÀY NHẬN HÀNG", '6. TIẾN ĐỘ MUA HÀNG'!$A$4:$AT$4, 0)) &lt; 0)
)</f>
        <v>0</v>
      </c>
      <c r="Q134" s="755">
        <f t="shared" si="31"/>
        <v>0</v>
      </c>
      <c r="R134" s="756">
        <f t="array" ref="R134">SUMPRODUCT((TRIM(INDEX('6. TIẾN ĐỘ MUA HÀNG'!$A$5:$AT644, 0, XMATCH("NCC VTBB/NL trong nước", '6. TIẾN ĐỘ MUA HÀNG'!$A$4:$AT$4, 0))) = TRIM($B134)) * (TRIM(INDEX('6. TIẾN ĐỘ MUA HÀNG'!$A$5:$AT644, 0, XMATCH("Tháng", '6. TIẾN ĐỘ MUA HÀNG'!$A$4:$AT$4, 0))) = TRIM(R$6)) * (INDEX('6. TIẾN ĐỘ MUA HÀNG'!$A$5:$AT644, 0, XMATCH("Mã đơn Misa", '6. TIẾN ĐỘ MUA HÀNG'!$A$4:$AT$4, 0)) &lt;&gt; ""))</f>
        <v>0</v>
      </c>
      <c r="S134" s="756">
        <f t="array" ref="S134">SUMPRODUCT(
  (INDEX('6. TIẾN ĐỘ MUA HÀNG'!$A$5:$AT644, 0, XMATCH("NCC VTBB/NL trong nước", '6. TIẾN ĐỘ MUA HÀNG'!$A$4:$AT$4, 0)) = $B134) * (TRIM(INDEX('6. TIẾN ĐỘ MUA HÀNG'!$A$5:$AT644, 0, XMATCH("Tháng", '6. TIẾN ĐỘ MUA HÀNG'!$A$4:$AT$4, 0))) = TRIM(R$6)) * (INDEX('6. TIẾN ĐỘ MUA HÀNG'!$A$5:$AT644, 0, XMATCH("CL NGÀY NCC DỰ KIẾN - NGÀY NHẬN HÀNG", '6. TIẾN ĐỘ MUA HÀNG'!$A$4:$AT$4, 0)) &lt; 0)
)</f>
        <v>0</v>
      </c>
      <c r="T134" s="757">
        <f t="shared" si="19"/>
        <v>0</v>
      </c>
      <c r="U134" s="754">
        <f t="array" ref="U134">SUMPRODUCT((TRIM(INDEX('6. TIẾN ĐỘ MUA HÀNG'!$A$5:$AT644, 0, XMATCH("NCC VTBB/NL trong nước", '6. TIẾN ĐỘ MUA HÀNG'!$A$4:$AT$4, 0))) = TRIM($B134)) * (TRIM(INDEX('6. TIẾN ĐỘ MUA HÀNG'!$A$5:$AT644, 0, XMATCH("Tháng", '6. TIẾN ĐỘ MUA HÀNG'!$A$4:$AT$4, 0))) = TRIM(U$6)) * (INDEX('6. TIẾN ĐỘ MUA HÀNG'!$A$5:$AT644, 0, XMATCH("Mã đơn Misa", '6. TIẾN ĐỘ MUA HÀNG'!$A$4:$AT$4, 0)) &lt;&gt; ""))</f>
        <v>0</v>
      </c>
      <c r="V134" s="754">
        <f t="array" ref="V134">SUMPRODUCT(
  (INDEX('6. TIẾN ĐỘ MUA HÀNG'!$A$5:$AT644, 0, XMATCH("NCC VTBB/NL trong nước", '6. TIẾN ĐỘ MUA HÀNG'!$A$4:$AT$4, 0)) = $B134) * (TRIM(INDEX('6. TIẾN ĐỘ MUA HÀNG'!$A$5:$AT644, 0, XMATCH("Tháng", '6. TIẾN ĐỘ MUA HÀNG'!$A$4:$AT$4, 0))) = TRIM(U$6)) * (INDEX('6. TIẾN ĐỘ MUA HÀNG'!$A$5:$AT644, 0, XMATCH("CL NGÀY NCC DỰ KIẾN - NGÀY NHẬN HÀNG", '6. TIẾN ĐỘ MUA HÀNG'!$A$4:$AT$4, 0)) &lt; 0)
)</f>
        <v>0</v>
      </c>
      <c r="W134" s="755">
        <f t="shared" si="32"/>
        <v>0</v>
      </c>
      <c r="X134" s="756">
        <f t="array" ref="X134">SUMPRODUCT((TRIM(INDEX('6. TIẾN ĐỘ MUA HÀNG'!$A$5:$AT644, 0, XMATCH("NCC VTBB/NL trong nước", '6. TIẾN ĐỘ MUA HÀNG'!$A$4:$AT$4, 0))) = TRIM($B134)) * (TRIM(INDEX('6. TIẾN ĐỘ MUA HÀNG'!$A$5:$AT644, 0, XMATCH("Tháng", '6. TIẾN ĐỘ MUA HÀNG'!$A$4:$AT$4, 0))) = TRIM(X$6)) * (INDEX('6. TIẾN ĐỘ MUA HÀNG'!$A$5:$AT644, 0, XMATCH("Mã đơn Misa", '6. TIẾN ĐỘ MUA HÀNG'!$A$4:$AT$4, 0)) &lt;&gt; ""))</f>
        <v>0</v>
      </c>
      <c r="Y134" s="756">
        <f t="array" ref="Y134">SUMPRODUCT(
  (INDEX('6. TIẾN ĐỘ MUA HÀNG'!$A$5:$AT644, 0, XMATCH("NCC VTBB/NL trong nước", '6. TIẾN ĐỘ MUA HÀNG'!$A$4:$AT$4, 0)) = $B134) * (TRIM(INDEX('6. TIẾN ĐỘ MUA HÀNG'!$A$5:$AT644, 0, XMATCH("Tháng", '6. TIẾN ĐỘ MUA HÀNG'!$A$4:$AT$4, 0))) = TRIM(X$6)) * (INDEX('6. TIẾN ĐỘ MUA HÀNG'!$A$5:$AT644, 0, XMATCH("CL NGÀY NCC DỰ KIẾN - NGÀY NHẬN HÀNG", '6. TIẾN ĐỘ MUA HÀNG'!$A$4:$AT$4, 0)) &lt; 0)
)</f>
        <v>0</v>
      </c>
      <c r="Z134" s="757">
        <f t="shared" si="21"/>
        <v>0</v>
      </c>
      <c r="AA134" s="754">
        <f t="array" ref="AA134">SUMPRODUCT((TRIM(INDEX('6. TIẾN ĐỘ MUA HÀNG'!$A$5:$AT644, 0, XMATCH("NCC VTBB/NL trong nước", '6. TIẾN ĐỘ MUA HÀNG'!$A$4:$AT$4, 0))) = TRIM($B134)) * (TRIM(INDEX('6. TIẾN ĐỘ MUA HÀNG'!$A$5:$AT644, 0, XMATCH("Tháng", '6. TIẾN ĐỘ MUA HÀNG'!$A$4:$AT$4, 0))) = TRIM(AA$6)) * (INDEX('6. TIẾN ĐỘ MUA HÀNG'!$A$5:$AT644, 0, XMATCH("Mã đơn Misa", '6. TIẾN ĐỘ MUA HÀNG'!$A$4:$AT$4, 0)) &lt;&gt; ""))</f>
        <v>0</v>
      </c>
      <c r="AB134" s="754">
        <f t="array" ref="AB134">SUMPRODUCT(
  (INDEX('6. TIẾN ĐỘ MUA HÀNG'!$A$5:$AT644, 0, XMATCH("NCC VTBB/NL trong nước", '6. TIẾN ĐỘ MUA HÀNG'!$A$4:$AT$4, 0)) = $B134) * (TRIM(INDEX('6. TIẾN ĐỘ MUA HÀNG'!$A$5:$AT644, 0, XMATCH("Tháng", '6. TIẾN ĐỘ MUA HÀNG'!$A$4:$AT$4, 0))) = TRIM(AA$6)) * (INDEX('6. TIẾN ĐỘ MUA HÀNG'!$A$5:$AT644, 0, XMATCH("CL NGÀY NCC DỰ KIẾN - NGÀY NHẬN HÀNG", '6. TIẾN ĐỘ MUA HÀNG'!$A$4:$AT$4, 0)) &lt; 0)
)</f>
        <v>0</v>
      </c>
      <c r="AC134" s="755">
        <f t="shared" si="33"/>
        <v>0</v>
      </c>
      <c r="AD134" s="756">
        <f t="array" ref="AD134">SUMPRODUCT((TRIM(INDEX('6. TIẾN ĐỘ MUA HÀNG'!$A$5:$AT644, 0, XMATCH("NCC VTBB/NL trong nước", '6. TIẾN ĐỘ MUA HÀNG'!$A$4:$AT$4, 0))) = TRIM($B134)) * (TRIM(INDEX('6. TIẾN ĐỘ MUA HÀNG'!$A$5:$AT644, 0, XMATCH("Tháng", '6. TIẾN ĐỘ MUA HÀNG'!$A$4:$AT$4, 0))) = TRIM(AD$6)) * (INDEX('6. TIẾN ĐỘ MUA HÀNG'!$A$5:$AT644, 0, XMATCH("Mã đơn Misa", '6. TIẾN ĐỘ MUA HÀNG'!$A$4:$AT$4, 0)) &lt;&gt; ""))</f>
        <v>0</v>
      </c>
      <c r="AE134" s="756">
        <f t="array" ref="AE134">SUMPRODUCT(
  (INDEX('6. TIẾN ĐỘ MUA HÀNG'!$A$5:$AT644, 0, XMATCH("NCC VTBB/NL trong nước", '6. TIẾN ĐỘ MUA HÀNG'!$A$4:$AT$4, 0)) = $B134) * (TRIM(INDEX('6. TIẾN ĐỘ MUA HÀNG'!$A$5:$AT644, 0, XMATCH("Tháng", '6. TIẾN ĐỘ MUA HÀNG'!$A$4:$AT$4, 0))) = TRIM(AD$6)) * (INDEX('6. TIẾN ĐỘ MUA HÀNG'!$A$5:$AT644, 0, XMATCH("CL NGÀY NCC DỰ KIẾN - NGÀY NHẬN HÀNG", '6. TIẾN ĐỘ MUA HÀNG'!$A$4:$AT$4, 0)) &lt; 0)
)</f>
        <v>0</v>
      </c>
      <c r="AF134" s="757">
        <f t="shared" si="23"/>
        <v>0</v>
      </c>
      <c r="AG134" s="754">
        <f t="array" ref="AG134">SUMPRODUCT((TRIM(INDEX('6. TIẾN ĐỘ MUA HÀNG'!$A$5:$AT644, 0, XMATCH("NCC VTBB/NL trong nước", '6. TIẾN ĐỘ MUA HÀNG'!$A$4:$AT$4, 0))) = TRIM($B134)) * (TRIM(INDEX('6. TIẾN ĐỘ MUA HÀNG'!$A$5:$AT644, 0, XMATCH("Tháng", '6. TIẾN ĐỘ MUA HÀNG'!$A$4:$AT$4, 0))) = TRIM(AG$6)) * (INDEX('6. TIẾN ĐỘ MUA HÀNG'!$A$5:$AT644, 0, XMATCH("Mã đơn Misa", '6. TIẾN ĐỘ MUA HÀNG'!$A$4:$AT$4, 0)) &lt;&gt; ""))</f>
        <v>0</v>
      </c>
      <c r="AH134" s="754">
        <f t="array" ref="AH134">SUMPRODUCT(
  (INDEX('6. TIẾN ĐỘ MUA HÀNG'!$A$5:$AT644, 0, XMATCH("NCC VTBB/NL trong nước", '6. TIẾN ĐỘ MUA HÀNG'!$A$4:$AT$4, 0)) = $B134) * (TRIM(INDEX('6. TIẾN ĐỘ MUA HÀNG'!$A$5:$AT644, 0, XMATCH("Tháng", '6. TIẾN ĐỘ MUA HÀNG'!$A$4:$AT$4, 0))) = TRIM(AG$6)) * (INDEX('6. TIẾN ĐỘ MUA HÀNG'!$A$5:$AT644, 0, XMATCH("CL NGÀY NCC DỰ KIẾN - NGÀY NHẬN HÀNG", '6. TIẾN ĐỘ MUA HÀNG'!$A$4:$AT$4, 0)) &lt; 0)
)</f>
        <v>0</v>
      </c>
      <c r="AI134" s="755">
        <f t="shared" si="34"/>
        <v>0</v>
      </c>
      <c r="AJ134" s="756">
        <f t="array" ref="AJ134">SUMPRODUCT((TRIM(INDEX('6. TIẾN ĐỘ MUA HÀNG'!$A$5:$AT644, 0, XMATCH("NCC VTBB/NL trong nước", '6. TIẾN ĐỘ MUA HÀNG'!$A$4:$AT$4, 0))) = TRIM($B134)) * (TRIM(INDEX('6. TIẾN ĐỘ MUA HÀNG'!$A$5:$AT644, 0, XMATCH("Tháng", '6. TIẾN ĐỘ MUA HÀNG'!$A$4:$AT$4, 0))) = TRIM(AJ$6)) * (INDEX('6. TIẾN ĐỘ MUA HÀNG'!$A$5:$AT644, 0, XMATCH("Mã đơn Misa", '6. TIẾN ĐỘ MUA HÀNG'!$A$4:$AT$4, 0)) &lt;&gt; ""))</f>
        <v>0</v>
      </c>
      <c r="AK134" s="756">
        <f t="array" ref="AK134">SUMPRODUCT(
  (INDEX('6. TIẾN ĐỘ MUA HÀNG'!$A$5:$AT644, 0, XMATCH("NCC VTBB/NL trong nước", '6. TIẾN ĐỘ MUA HÀNG'!$A$4:$AT$4, 0)) = $B134) * (TRIM(INDEX('6. TIẾN ĐỘ MUA HÀNG'!$A$5:$AT644, 0, XMATCH("Tháng", '6. TIẾN ĐỘ MUA HÀNG'!$A$4:$AT$4, 0))) = TRIM(AJ$6)) * (INDEX('6. TIẾN ĐỘ MUA HÀNG'!$A$5:$AT644, 0, XMATCH("CL NGÀY NCC DỰ KIẾN - NGÀY NHẬN HÀNG", '6. TIẾN ĐỘ MUA HÀNG'!$A$4:$AT$4, 0)) &lt; 0)
)</f>
        <v>0</v>
      </c>
      <c r="AL134" s="757">
        <f t="shared" si="25"/>
        <v>0</v>
      </c>
      <c r="AM134" s="726">
        <f t="shared" si="27"/>
        <v>0</v>
      </c>
      <c r="AN134" s="726">
        <f t="shared" si="28"/>
        <v>0</v>
      </c>
      <c r="AO134" s="727">
        <f t="shared" si="26"/>
        <v>0</v>
      </c>
    </row>
    <row r="135">
      <c r="A135" s="612">
        <v>127.0</v>
      </c>
      <c r="B135" s="624" t="str">
        <f>IFERROR(__xludf.DUMMYFUNCTION("""COMPUTED_VALUE"""),"Kho Lab Dego")</f>
        <v>Kho Lab Dego</v>
      </c>
      <c r="C135" s="754">
        <f t="array" ref="C135">SUMPRODUCT((TRIM(INDEX('6. TIẾN ĐỘ MUA HÀNG'!$A$5:$AT644, 0, XMATCH("NCC VTBB/NL trong nước", '6. TIẾN ĐỘ MUA HÀNG'!$A$4:$AT$4, 0))) = TRIM($B135)) * (TRIM(INDEX('6. TIẾN ĐỘ MUA HÀNG'!$A$5:$AT644, 0, XMATCH("Tháng", '6. TIẾN ĐỘ MUA HÀNG'!$A$4:$AT$4, 0))) = TRIM(C$6)) * (INDEX('6. TIẾN ĐỘ MUA HÀNG'!$A$5:$AT644, 0, XMATCH("Mã đơn Misa", '6. TIẾN ĐỘ MUA HÀNG'!$A$4:$AT$4, 0)) &lt;&gt; ""))</f>
        <v>0</v>
      </c>
      <c r="D135" s="754">
        <f t="array" ref="D135">SUMPRODUCT(
  (INDEX('6. TIẾN ĐỘ MUA HÀNG'!$A$5:$AT644, 0, XMATCH("NCC VTBB/NL trong nước", '6. TIẾN ĐỘ MUA HÀNG'!$A$4:$AT$4, 0)) = $B135) * (TRIM(INDEX('6. TIẾN ĐỘ MUA HÀNG'!$A$5:$AT644, 0, XMATCH("Tháng", '6. TIẾN ĐỘ MUA HÀNG'!$A$4:$AT$4, 0))) = TRIM(C$6)) * (INDEX('6. TIẾN ĐỘ MUA HÀNG'!$A$5:$AT644, 0, XMATCH("CL NGÀY NCC DỰ KIẾN - NGÀY NHẬN HÀNG", '6. TIẾN ĐỘ MUA HÀNG'!$A$4:$AT$4, 0)) &lt; 0)
)</f>
        <v>0</v>
      </c>
      <c r="E135" s="755">
        <f t="shared" si="29"/>
        <v>0</v>
      </c>
      <c r="F135" s="756">
        <f t="array" ref="F135">SUMPRODUCT((TRIM(INDEX('6. TIẾN ĐỘ MUA HÀNG'!$A$5:$AT644, 0, XMATCH("NCC VTBB/NL trong nước", '6. TIẾN ĐỘ MUA HÀNG'!$A$4:$AT$4, 0))) = TRIM($B135)) * (TRIM(INDEX('6. TIẾN ĐỘ MUA HÀNG'!$A$5:$AT644, 0, XMATCH("Tháng", '6. TIẾN ĐỘ MUA HÀNG'!$A$4:$AT$4, 0))) = TRIM(F$6)) * (INDEX('6. TIẾN ĐỘ MUA HÀNG'!$A$5:$AT644, 0, XMATCH("Mã đơn Misa", '6. TIẾN ĐỘ MUA HÀNG'!$A$4:$AT$4, 0)) &lt;&gt; ""))</f>
        <v>0</v>
      </c>
      <c r="G135" s="756">
        <f t="array" ref="G135">SUMPRODUCT(
  (INDEX('6. TIẾN ĐỘ MUA HÀNG'!$A$5:$AT644, 0, XMATCH("NCC VTBB/NL trong nước", '6. TIẾN ĐỘ MUA HÀNG'!$A$4:$AT$4, 0)) = $B135) * (TRIM(INDEX('6. TIẾN ĐỘ MUA HÀNG'!$A$5:$AT644, 0, XMATCH("Tháng", '6. TIẾN ĐỘ MUA HÀNG'!$A$4:$AT$4, 0))) = TRIM(F$6)) * (INDEX('6. TIẾN ĐỘ MUA HÀNG'!$A$5:$AT644, 0, XMATCH("CL NGÀY NCC DỰ KIẾN - NGÀY NHẬN HÀNG", '6. TIẾN ĐỘ MUA HÀNG'!$A$4:$AT$4, 0)) &lt; 0)
)</f>
        <v>0</v>
      </c>
      <c r="H135" s="757">
        <f t="shared" si="15"/>
        <v>0</v>
      </c>
      <c r="I135" s="754">
        <f t="array" ref="I135">SUMPRODUCT((TRIM(INDEX('6. TIẾN ĐỘ MUA HÀNG'!$A$5:$AT644, 0, XMATCH("NCC VTBB/NL trong nước", '6. TIẾN ĐỘ MUA HÀNG'!$A$4:$AT$4, 0))) = TRIM($B135)) * (TRIM(INDEX('6. TIẾN ĐỘ MUA HÀNG'!$A$5:$AT644, 0, XMATCH("Tháng", '6. TIẾN ĐỘ MUA HÀNG'!$A$4:$AT$4, 0))) = TRIM(I$6)) * (INDEX('6. TIẾN ĐỘ MUA HÀNG'!$A$5:$AT644, 0, XMATCH("Mã đơn Misa", '6. TIẾN ĐỘ MUA HÀNG'!$A$4:$AT$4, 0)) &lt;&gt; ""))</f>
        <v>0</v>
      </c>
      <c r="J135" s="754">
        <f t="array" ref="J135">SUMPRODUCT(
  (INDEX('6. TIẾN ĐỘ MUA HÀNG'!$A$5:$AT644, 0, XMATCH("NCC VTBB/NL trong nước", '6. TIẾN ĐỘ MUA HÀNG'!$A$4:$AT$4, 0)) = $B135) * (TRIM(INDEX('6. TIẾN ĐỘ MUA HÀNG'!$A$5:$AT644, 0, XMATCH("Tháng", '6. TIẾN ĐỘ MUA HÀNG'!$A$4:$AT$4, 0))) = TRIM(I$6)) * (INDEX('6. TIẾN ĐỘ MUA HÀNG'!$A$5:$AT644, 0, XMATCH("CL NGÀY NCC DỰ KIẾN - NGÀY NHẬN HÀNG", '6. TIẾN ĐỘ MUA HÀNG'!$A$4:$AT$4, 0)) &lt; 0)
)</f>
        <v>0</v>
      </c>
      <c r="K135" s="755">
        <f t="shared" si="30"/>
        <v>0</v>
      </c>
      <c r="L135" s="756">
        <f t="array" ref="L135">SUMPRODUCT((TRIM(INDEX('6. TIẾN ĐỘ MUA HÀNG'!$A$5:$AT644, 0, XMATCH("NCC VTBB/NL trong nước", '6. TIẾN ĐỘ MUA HÀNG'!$A$4:$AT$4, 0))) = TRIM($B135)) * (TRIM(INDEX('6. TIẾN ĐỘ MUA HÀNG'!$A$5:$AT644, 0, XMATCH("Tháng", '6. TIẾN ĐỘ MUA HÀNG'!$A$4:$AT$4, 0))) = TRIM(L$6)) * (INDEX('6. TIẾN ĐỘ MUA HÀNG'!$A$5:$AT644, 0, XMATCH("Mã đơn Misa", '6. TIẾN ĐỘ MUA HÀNG'!$A$4:$AT$4, 0)) &lt;&gt; ""))</f>
        <v>0</v>
      </c>
      <c r="M135" s="756">
        <f t="array" ref="M135">SUMPRODUCT(
  (INDEX('6. TIẾN ĐỘ MUA HÀNG'!$A$5:$AT644, 0, XMATCH("NCC VTBB/NL trong nước", '6. TIẾN ĐỘ MUA HÀNG'!$A$4:$AT$4, 0)) = $B135) * (TRIM(INDEX('6. TIẾN ĐỘ MUA HÀNG'!$A$5:$AT644, 0, XMATCH("Tháng", '6. TIẾN ĐỘ MUA HÀNG'!$A$4:$AT$4, 0))) = TRIM(L$6)) * (INDEX('6. TIẾN ĐỘ MUA HÀNG'!$A$5:$AT644, 0, XMATCH("CL NGÀY NCC DỰ KIẾN - NGÀY NHẬN HÀNG", '6. TIẾN ĐỘ MUA HÀNG'!$A$4:$AT$4, 0)) &lt; 0)
)</f>
        <v>0</v>
      </c>
      <c r="N135" s="757">
        <f t="shared" si="17"/>
        <v>0</v>
      </c>
      <c r="O135" s="754">
        <f t="array" ref="O135">SUMPRODUCT((TRIM(INDEX('6. TIẾN ĐỘ MUA HÀNG'!$A$5:$AT644, 0, XMATCH("NCC VTBB/NL trong nước", '6. TIẾN ĐỘ MUA HÀNG'!$A$4:$AT$4, 0))) = TRIM($B135)) * (TRIM(INDEX('6. TIẾN ĐỘ MUA HÀNG'!$A$5:$AT644, 0, XMATCH("Tháng", '6. TIẾN ĐỘ MUA HÀNG'!$A$4:$AT$4, 0))) = TRIM(O$6)) * (INDEX('6. TIẾN ĐỘ MUA HÀNG'!$A$5:$AT644, 0, XMATCH("Mã đơn Misa", '6. TIẾN ĐỘ MUA HÀNG'!$A$4:$AT$4, 0)) &lt;&gt; ""))</f>
        <v>0</v>
      </c>
      <c r="P135" s="754">
        <f t="array" ref="P135">SUMPRODUCT(
  (INDEX('6. TIẾN ĐỘ MUA HÀNG'!$A$5:$AT644, 0, XMATCH("NCC VTBB/NL trong nước", '6. TIẾN ĐỘ MUA HÀNG'!$A$4:$AT$4, 0)) = $B135) * (TRIM(INDEX('6. TIẾN ĐỘ MUA HÀNG'!$A$5:$AT644, 0, XMATCH("Tháng", '6. TIẾN ĐỘ MUA HÀNG'!$A$4:$AT$4, 0))) = TRIM(O$6)) * (INDEX('6. TIẾN ĐỘ MUA HÀNG'!$A$5:$AT644, 0, XMATCH("CL NGÀY NCC DỰ KIẾN - NGÀY NHẬN HÀNG", '6. TIẾN ĐỘ MUA HÀNG'!$A$4:$AT$4, 0)) &lt; 0)
)</f>
        <v>0</v>
      </c>
      <c r="Q135" s="755">
        <f t="shared" si="31"/>
        <v>0</v>
      </c>
      <c r="R135" s="756">
        <f t="array" ref="R135">SUMPRODUCT((TRIM(INDEX('6. TIẾN ĐỘ MUA HÀNG'!$A$5:$AT644, 0, XMATCH("NCC VTBB/NL trong nước", '6. TIẾN ĐỘ MUA HÀNG'!$A$4:$AT$4, 0))) = TRIM($B135)) * (TRIM(INDEX('6. TIẾN ĐỘ MUA HÀNG'!$A$5:$AT644, 0, XMATCH("Tháng", '6. TIẾN ĐỘ MUA HÀNG'!$A$4:$AT$4, 0))) = TRIM(R$6)) * (INDEX('6. TIẾN ĐỘ MUA HÀNG'!$A$5:$AT644, 0, XMATCH("Mã đơn Misa", '6. TIẾN ĐỘ MUA HÀNG'!$A$4:$AT$4, 0)) &lt;&gt; ""))</f>
        <v>0</v>
      </c>
      <c r="S135" s="756">
        <f t="array" ref="S135">SUMPRODUCT(
  (INDEX('6. TIẾN ĐỘ MUA HÀNG'!$A$5:$AT644, 0, XMATCH("NCC VTBB/NL trong nước", '6. TIẾN ĐỘ MUA HÀNG'!$A$4:$AT$4, 0)) = $B135) * (TRIM(INDEX('6. TIẾN ĐỘ MUA HÀNG'!$A$5:$AT644, 0, XMATCH("Tháng", '6. TIẾN ĐỘ MUA HÀNG'!$A$4:$AT$4, 0))) = TRIM(R$6)) * (INDEX('6. TIẾN ĐỘ MUA HÀNG'!$A$5:$AT644, 0, XMATCH("CL NGÀY NCC DỰ KIẾN - NGÀY NHẬN HÀNG", '6. TIẾN ĐỘ MUA HÀNG'!$A$4:$AT$4, 0)) &lt; 0)
)</f>
        <v>0</v>
      </c>
      <c r="T135" s="757">
        <f t="shared" si="19"/>
        <v>0</v>
      </c>
      <c r="U135" s="754">
        <f t="array" ref="U135">SUMPRODUCT((TRIM(INDEX('6. TIẾN ĐỘ MUA HÀNG'!$A$5:$AT644, 0, XMATCH("NCC VTBB/NL trong nước", '6. TIẾN ĐỘ MUA HÀNG'!$A$4:$AT$4, 0))) = TRIM($B135)) * (TRIM(INDEX('6. TIẾN ĐỘ MUA HÀNG'!$A$5:$AT644, 0, XMATCH("Tháng", '6. TIẾN ĐỘ MUA HÀNG'!$A$4:$AT$4, 0))) = TRIM(U$6)) * (INDEX('6. TIẾN ĐỘ MUA HÀNG'!$A$5:$AT644, 0, XMATCH("Mã đơn Misa", '6. TIẾN ĐỘ MUA HÀNG'!$A$4:$AT$4, 0)) &lt;&gt; ""))</f>
        <v>0</v>
      </c>
      <c r="V135" s="754">
        <f t="array" ref="V135">SUMPRODUCT(
  (INDEX('6. TIẾN ĐỘ MUA HÀNG'!$A$5:$AT644, 0, XMATCH("NCC VTBB/NL trong nước", '6. TIẾN ĐỘ MUA HÀNG'!$A$4:$AT$4, 0)) = $B135) * (TRIM(INDEX('6. TIẾN ĐỘ MUA HÀNG'!$A$5:$AT644, 0, XMATCH("Tháng", '6. TIẾN ĐỘ MUA HÀNG'!$A$4:$AT$4, 0))) = TRIM(U$6)) * (INDEX('6. TIẾN ĐỘ MUA HÀNG'!$A$5:$AT644, 0, XMATCH("CL NGÀY NCC DỰ KIẾN - NGÀY NHẬN HÀNG", '6. TIẾN ĐỘ MUA HÀNG'!$A$4:$AT$4, 0)) &lt; 0)
)</f>
        <v>0</v>
      </c>
      <c r="W135" s="755">
        <f t="shared" si="32"/>
        <v>0</v>
      </c>
      <c r="X135" s="756">
        <f t="array" ref="X135">SUMPRODUCT((TRIM(INDEX('6. TIẾN ĐỘ MUA HÀNG'!$A$5:$AT644, 0, XMATCH("NCC VTBB/NL trong nước", '6. TIẾN ĐỘ MUA HÀNG'!$A$4:$AT$4, 0))) = TRIM($B135)) * (TRIM(INDEX('6. TIẾN ĐỘ MUA HÀNG'!$A$5:$AT644, 0, XMATCH("Tháng", '6. TIẾN ĐỘ MUA HÀNG'!$A$4:$AT$4, 0))) = TRIM(X$6)) * (INDEX('6. TIẾN ĐỘ MUA HÀNG'!$A$5:$AT644, 0, XMATCH("Mã đơn Misa", '6. TIẾN ĐỘ MUA HÀNG'!$A$4:$AT$4, 0)) &lt;&gt; ""))</f>
        <v>0</v>
      </c>
      <c r="Y135" s="756">
        <f t="array" ref="Y135">SUMPRODUCT(
  (INDEX('6. TIẾN ĐỘ MUA HÀNG'!$A$5:$AT644, 0, XMATCH("NCC VTBB/NL trong nước", '6. TIẾN ĐỘ MUA HÀNG'!$A$4:$AT$4, 0)) = $B135) * (TRIM(INDEX('6. TIẾN ĐỘ MUA HÀNG'!$A$5:$AT644, 0, XMATCH("Tháng", '6. TIẾN ĐỘ MUA HÀNG'!$A$4:$AT$4, 0))) = TRIM(X$6)) * (INDEX('6. TIẾN ĐỘ MUA HÀNG'!$A$5:$AT644, 0, XMATCH("CL NGÀY NCC DỰ KIẾN - NGÀY NHẬN HÀNG", '6. TIẾN ĐỘ MUA HÀNG'!$A$4:$AT$4, 0)) &lt; 0)
)</f>
        <v>0</v>
      </c>
      <c r="Z135" s="757">
        <f t="shared" si="21"/>
        <v>0</v>
      </c>
      <c r="AA135" s="754">
        <f t="array" ref="AA135">SUMPRODUCT((TRIM(INDEX('6. TIẾN ĐỘ MUA HÀNG'!$A$5:$AT644, 0, XMATCH("NCC VTBB/NL trong nước", '6. TIẾN ĐỘ MUA HÀNG'!$A$4:$AT$4, 0))) = TRIM($B135)) * (TRIM(INDEX('6. TIẾN ĐỘ MUA HÀNG'!$A$5:$AT644, 0, XMATCH("Tháng", '6. TIẾN ĐỘ MUA HÀNG'!$A$4:$AT$4, 0))) = TRIM(AA$6)) * (INDEX('6. TIẾN ĐỘ MUA HÀNG'!$A$5:$AT644, 0, XMATCH("Mã đơn Misa", '6. TIẾN ĐỘ MUA HÀNG'!$A$4:$AT$4, 0)) &lt;&gt; ""))</f>
        <v>0</v>
      </c>
      <c r="AB135" s="754">
        <f t="array" ref="AB135">SUMPRODUCT(
  (INDEX('6. TIẾN ĐỘ MUA HÀNG'!$A$5:$AT644, 0, XMATCH("NCC VTBB/NL trong nước", '6. TIẾN ĐỘ MUA HÀNG'!$A$4:$AT$4, 0)) = $B135) * (TRIM(INDEX('6. TIẾN ĐỘ MUA HÀNG'!$A$5:$AT644, 0, XMATCH("Tháng", '6. TIẾN ĐỘ MUA HÀNG'!$A$4:$AT$4, 0))) = TRIM(AA$6)) * (INDEX('6. TIẾN ĐỘ MUA HÀNG'!$A$5:$AT644, 0, XMATCH("CL NGÀY NCC DỰ KIẾN - NGÀY NHẬN HÀNG", '6. TIẾN ĐỘ MUA HÀNG'!$A$4:$AT$4, 0)) &lt; 0)
)</f>
        <v>0</v>
      </c>
      <c r="AC135" s="755">
        <f t="shared" si="33"/>
        <v>0</v>
      </c>
      <c r="AD135" s="756">
        <f t="array" ref="AD135">SUMPRODUCT((TRIM(INDEX('6. TIẾN ĐỘ MUA HÀNG'!$A$5:$AT644, 0, XMATCH("NCC VTBB/NL trong nước", '6. TIẾN ĐỘ MUA HÀNG'!$A$4:$AT$4, 0))) = TRIM($B135)) * (TRIM(INDEX('6. TIẾN ĐỘ MUA HÀNG'!$A$5:$AT644, 0, XMATCH("Tháng", '6. TIẾN ĐỘ MUA HÀNG'!$A$4:$AT$4, 0))) = TRIM(AD$6)) * (INDEX('6. TIẾN ĐỘ MUA HÀNG'!$A$5:$AT644, 0, XMATCH("Mã đơn Misa", '6. TIẾN ĐỘ MUA HÀNG'!$A$4:$AT$4, 0)) &lt;&gt; ""))</f>
        <v>0</v>
      </c>
      <c r="AE135" s="756">
        <f t="array" ref="AE135">SUMPRODUCT(
  (INDEX('6. TIẾN ĐỘ MUA HÀNG'!$A$5:$AT644, 0, XMATCH("NCC VTBB/NL trong nước", '6. TIẾN ĐỘ MUA HÀNG'!$A$4:$AT$4, 0)) = $B135) * (TRIM(INDEX('6. TIẾN ĐỘ MUA HÀNG'!$A$5:$AT644, 0, XMATCH("Tháng", '6. TIẾN ĐỘ MUA HÀNG'!$A$4:$AT$4, 0))) = TRIM(AD$6)) * (INDEX('6. TIẾN ĐỘ MUA HÀNG'!$A$5:$AT644, 0, XMATCH("CL NGÀY NCC DỰ KIẾN - NGÀY NHẬN HÀNG", '6. TIẾN ĐỘ MUA HÀNG'!$A$4:$AT$4, 0)) &lt; 0)
)</f>
        <v>0</v>
      </c>
      <c r="AF135" s="757">
        <f t="shared" si="23"/>
        <v>0</v>
      </c>
      <c r="AG135" s="754">
        <f t="array" ref="AG135">SUMPRODUCT((TRIM(INDEX('6. TIẾN ĐỘ MUA HÀNG'!$A$5:$AT644, 0, XMATCH("NCC VTBB/NL trong nước", '6. TIẾN ĐỘ MUA HÀNG'!$A$4:$AT$4, 0))) = TRIM($B135)) * (TRIM(INDEX('6. TIẾN ĐỘ MUA HÀNG'!$A$5:$AT644, 0, XMATCH("Tháng", '6. TIẾN ĐỘ MUA HÀNG'!$A$4:$AT$4, 0))) = TRIM(AG$6)) * (INDEX('6. TIẾN ĐỘ MUA HÀNG'!$A$5:$AT644, 0, XMATCH("Mã đơn Misa", '6. TIẾN ĐỘ MUA HÀNG'!$A$4:$AT$4, 0)) &lt;&gt; ""))</f>
        <v>0</v>
      </c>
      <c r="AH135" s="754">
        <f t="array" ref="AH135">SUMPRODUCT(
  (INDEX('6. TIẾN ĐỘ MUA HÀNG'!$A$5:$AT644, 0, XMATCH("NCC VTBB/NL trong nước", '6. TIẾN ĐỘ MUA HÀNG'!$A$4:$AT$4, 0)) = $B135) * (TRIM(INDEX('6. TIẾN ĐỘ MUA HÀNG'!$A$5:$AT644, 0, XMATCH("Tháng", '6. TIẾN ĐỘ MUA HÀNG'!$A$4:$AT$4, 0))) = TRIM(AG$6)) * (INDEX('6. TIẾN ĐỘ MUA HÀNG'!$A$5:$AT644, 0, XMATCH("CL NGÀY NCC DỰ KIẾN - NGÀY NHẬN HÀNG", '6. TIẾN ĐỘ MUA HÀNG'!$A$4:$AT$4, 0)) &lt; 0)
)</f>
        <v>0</v>
      </c>
      <c r="AI135" s="755">
        <f t="shared" si="34"/>
        <v>0</v>
      </c>
      <c r="AJ135" s="756">
        <f t="array" ref="AJ135">SUMPRODUCT((TRIM(INDEX('6. TIẾN ĐỘ MUA HÀNG'!$A$5:$AT644, 0, XMATCH("NCC VTBB/NL trong nước", '6. TIẾN ĐỘ MUA HÀNG'!$A$4:$AT$4, 0))) = TRIM($B135)) * (TRIM(INDEX('6. TIẾN ĐỘ MUA HÀNG'!$A$5:$AT644, 0, XMATCH("Tháng", '6. TIẾN ĐỘ MUA HÀNG'!$A$4:$AT$4, 0))) = TRIM(AJ$6)) * (INDEX('6. TIẾN ĐỘ MUA HÀNG'!$A$5:$AT644, 0, XMATCH("Mã đơn Misa", '6. TIẾN ĐỘ MUA HÀNG'!$A$4:$AT$4, 0)) &lt;&gt; ""))</f>
        <v>0</v>
      </c>
      <c r="AK135" s="756">
        <f t="array" ref="AK135">SUMPRODUCT(
  (INDEX('6. TIẾN ĐỘ MUA HÀNG'!$A$5:$AT644, 0, XMATCH("NCC VTBB/NL trong nước", '6. TIẾN ĐỘ MUA HÀNG'!$A$4:$AT$4, 0)) = $B135) * (TRIM(INDEX('6. TIẾN ĐỘ MUA HÀNG'!$A$5:$AT644, 0, XMATCH("Tháng", '6. TIẾN ĐỘ MUA HÀNG'!$A$4:$AT$4, 0))) = TRIM(AJ$6)) * (INDEX('6. TIẾN ĐỘ MUA HÀNG'!$A$5:$AT644, 0, XMATCH("CL NGÀY NCC DỰ KIẾN - NGÀY NHẬN HÀNG", '6. TIẾN ĐỘ MUA HÀNG'!$A$4:$AT$4, 0)) &lt; 0)
)</f>
        <v>0</v>
      </c>
      <c r="AL135" s="757">
        <f t="shared" si="25"/>
        <v>0</v>
      </c>
      <c r="AM135" s="726">
        <f t="shared" si="27"/>
        <v>0</v>
      </c>
      <c r="AN135" s="726">
        <f t="shared" si="28"/>
        <v>0</v>
      </c>
      <c r="AO135" s="727">
        <f t="shared" si="26"/>
        <v>0</v>
      </c>
    </row>
    <row r="136">
      <c r="A136" s="612">
        <v>128.0</v>
      </c>
      <c r="B136" s="624" t="str">
        <f>IFERROR(__xludf.DUMMYFUNCTION("""COMPUTED_VALUE"""),"BAO BÌ LỘC PHÁT")</f>
        <v>BAO BÌ LỘC PHÁT</v>
      </c>
      <c r="C136" s="754">
        <f t="array" ref="C136">SUMPRODUCT((TRIM(INDEX('6. TIẾN ĐỘ MUA HÀNG'!$A$5:$AT644, 0, XMATCH("NCC VTBB/NL trong nước", '6. TIẾN ĐỘ MUA HÀNG'!$A$4:$AT$4, 0))) = TRIM($B136)) * (TRIM(INDEX('6. TIẾN ĐỘ MUA HÀNG'!$A$5:$AT644, 0, XMATCH("Tháng", '6. TIẾN ĐỘ MUA HÀNG'!$A$4:$AT$4, 0))) = TRIM(C$6)) * (INDEX('6. TIẾN ĐỘ MUA HÀNG'!$A$5:$AT644, 0, XMATCH("Mã đơn Misa", '6. TIẾN ĐỘ MUA HÀNG'!$A$4:$AT$4, 0)) &lt;&gt; ""))</f>
        <v>0</v>
      </c>
      <c r="D136" s="754">
        <f t="array" ref="D136">SUMPRODUCT(
  (INDEX('6. TIẾN ĐỘ MUA HÀNG'!$A$5:$AT644, 0, XMATCH("NCC VTBB/NL trong nước", '6. TIẾN ĐỘ MUA HÀNG'!$A$4:$AT$4, 0)) = $B136) * (TRIM(INDEX('6. TIẾN ĐỘ MUA HÀNG'!$A$5:$AT644, 0, XMATCH("Tháng", '6. TIẾN ĐỘ MUA HÀNG'!$A$4:$AT$4, 0))) = TRIM(C$6)) * (INDEX('6. TIẾN ĐỘ MUA HÀNG'!$A$5:$AT644, 0, XMATCH("CL NGÀY NCC DỰ KIẾN - NGÀY NHẬN HÀNG", '6. TIẾN ĐỘ MUA HÀNG'!$A$4:$AT$4, 0)) &lt; 0)
)</f>
        <v>0</v>
      </c>
      <c r="E136" s="755">
        <f t="shared" si="29"/>
        <v>0</v>
      </c>
      <c r="F136" s="756">
        <f t="array" ref="F136">SUMPRODUCT((TRIM(INDEX('6. TIẾN ĐỘ MUA HÀNG'!$A$5:$AT644, 0, XMATCH("NCC VTBB/NL trong nước", '6. TIẾN ĐỘ MUA HÀNG'!$A$4:$AT$4, 0))) = TRIM($B136)) * (TRIM(INDEX('6. TIẾN ĐỘ MUA HÀNG'!$A$5:$AT644, 0, XMATCH("Tháng", '6. TIẾN ĐỘ MUA HÀNG'!$A$4:$AT$4, 0))) = TRIM(F$6)) * (INDEX('6. TIẾN ĐỘ MUA HÀNG'!$A$5:$AT644, 0, XMATCH("Mã đơn Misa", '6. TIẾN ĐỘ MUA HÀNG'!$A$4:$AT$4, 0)) &lt;&gt; ""))</f>
        <v>0</v>
      </c>
      <c r="G136" s="756">
        <f t="array" ref="G136">SUMPRODUCT(
  (INDEX('6. TIẾN ĐỘ MUA HÀNG'!$A$5:$AT644, 0, XMATCH("NCC VTBB/NL trong nước", '6. TIẾN ĐỘ MUA HÀNG'!$A$4:$AT$4, 0)) = $B136) * (TRIM(INDEX('6. TIẾN ĐỘ MUA HÀNG'!$A$5:$AT644, 0, XMATCH("Tháng", '6. TIẾN ĐỘ MUA HÀNG'!$A$4:$AT$4, 0))) = TRIM(F$6)) * (INDEX('6. TIẾN ĐỘ MUA HÀNG'!$A$5:$AT644, 0, XMATCH("CL NGÀY NCC DỰ KIẾN - NGÀY NHẬN HÀNG", '6. TIẾN ĐỘ MUA HÀNG'!$A$4:$AT$4, 0)) &lt; 0)
)</f>
        <v>0</v>
      </c>
      <c r="H136" s="757">
        <f t="shared" si="15"/>
        <v>0</v>
      </c>
      <c r="I136" s="754">
        <f t="array" ref="I136">SUMPRODUCT((TRIM(INDEX('6. TIẾN ĐỘ MUA HÀNG'!$A$5:$AT644, 0, XMATCH("NCC VTBB/NL trong nước", '6. TIẾN ĐỘ MUA HÀNG'!$A$4:$AT$4, 0))) = TRIM($B136)) * (TRIM(INDEX('6. TIẾN ĐỘ MUA HÀNG'!$A$5:$AT644, 0, XMATCH("Tháng", '6. TIẾN ĐỘ MUA HÀNG'!$A$4:$AT$4, 0))) = TRIM(I$6)) * (INDEX('6. TIẾN ĐỘ MUA HÀNG'!$A$5:$AT644, 0, XMATCH("Mã đơn Misa", '6. TIẾN ĐỘ MUA HÀNG'!$A$4:$AT$4, 0)) &lt;&gt; ""))</f>
        <v>0</v>
      </c>
      <c r="J136" s="754">
        <f t="array" ref="J136">SUMPRODUCT(
  (INDEX('6. TIẾN ĐỘ MUA HÀNG'!$A$5:$AT644, 0, XMATCH("NCC VTBB/NL trong nước", '6. TIẾN ĐỘ MUA HÀNG'!$A$4:$AT$4, 0)) = $B136) * (TRIM(INDEX('6. TIẾN ĐỘ MUA HÀNG'!$A$5:$AT644, 0, XMATCH("Tháng", '6. TIẾN ĐỘ MUA HÀNG'!$A$4:$AT$4, 0))) = TRIM(I$6)) * (INDEX('6. TIẾN ĐỘ MUA HÀNG'!$A$5:$AT644, 0, XMATCH("CL NGÀY NCC DỰ KIẾN - NGÀY NHẬN HÀNG", '6. TIẾN ĐỘ MUA HÀNG'!$A$4:$AT$4, 0)) &lt; 0)
)</f>
        <v>0</v>
      </c>
      <c r="K136" s="755">
        <f t="shared" si="30"/>
        <v>0</v>
      </c>
      <c r="L136" s="756">
        <f t="array" ref="L136">SUMPRODUCT((TRIM(INDEX('6. TIẾN ĐỘ MUA HÀNG'!$A$5:$AT644, 0, XMATCH("NCC VTBB/NL trong nước", '6. TIẾN ĐỘ MUA HÀNG'!$A$4:$AT$4, 0))) = TRIM($B136)) * (TRIM(INDEX('6. TIẾN ĐỘ MUA HÀNG'!$A$5:$AT644, 0, XMATCH("Tháng", '6. TIẾN ĐỘ MUA HÀNG'!$A$4:$AT$4, 0))) = TRIM(L$6)) * (INDEX('6. TIẾN ĐỘ MUA HÀNG'!$A$5:$AT644, 0, XMATCH("Mã đơn Misa", '6. TIẾN ĐỘ MUA HÀNG'!$A$4:$AT$4, 0)) &lt;&gt; ""))</f>
        <v>0</v>
      </c>
      <c r="M136" s="756">
        <f t="array" ref="M136">SUMPRODUCT(
  (INDEX('6. TIẾN ĐỘ MUA HÀNG'!$A$5:$AT644, 0, XMATCH("NCC VTBB/NL trong nước", '6. TIẾN ĐỘ MUA HÀNG'!$A$4:$AT$4, 0)) = $B136) * (TRIM(INDEX('6. TIẾN ĐỘ MUA HÀNG'!$A$5:$AT644, 0, XMATCH("Tháng", '6. TIẾN ĐỘ MUA HÀNG'!$A$4:$AT$4, 0))) = TRIM(L$6)) * (INDEX('6. TIẾN ĐỘ MUA HÀNG'!$A$5:$AT644, 0, XMATCH("CL NGÀY NCC DỰ KIẾN - NGÀY NHẬN HÀNG", '6. TIẾN ĐỘ MUA HÀNG'!$A$4:$AT$4, 0)) &lt; 0)
)</f>
        <v>0</v>
      </c>
      <c r="N136" s="757">
        <f t="shared" si="17"/>
        <v>0</v>
      </c>
      <c r="O136" s="754">
        <f t="array" ref="O136">SUMPRODUCT((TRIM(INDEX('6. TIẾN ĐỘ MUA HÀNG'!$A$5:$AT644, 0, XMATCH("NCC VTBB/NL trong nước", '6. TIẾN ĐỘ MUA HÀNG'!$A$4:$AT$4, 0))) = TRIM($B136)) * (TRIM(INDEX('6. TIẾN ĐỘ MUA HÀNG'!$A$5:$AT644, 0, XMATCH("Tháng", '6. TIẾN ĐỘ MUA HÀNG'!$A$4:$AT$4, 0))) = TRIM(O$6)) * (INDEX('6. TIẾN ĐỘ MUA HÀNG'!$A$5:$AT644, 0, XMATCH("Mã đơn Misa", '6. TIẾN ĐỘ MUA HÀNG'!$A$4:$AT$4, 0)) &lt;&gt; ""))</f>
        <v>0</v>
      </c>
      <c r="P136" s="754">
        <f t="array" ref="P136">SUMPRODUCT(
  (INDEX('6. TIẾN ĐỘ MUA HÀNG'!$A$5:$AT644, 0, XMATCH("NCC VTBB/NL trong nước", '6. TIẾN ĐỘ MUA HÀNG'!$A$4:$AT$4, 0)) = $B136) * (TRIM(INDEX('6. TIẾN ĐỘ MUA HÀNG'!$A$5:$AT644, 0, XMATCH("Tháng", '6. TIẾN ĐỘ MUA HÀNG'!$A$4:$AT$4, 0))) = TRIM(O$6)) * (INDEX('6. TIẾN ĐỘ MUA HÀNG'!$A$5:$AT644, 0, XMATCH("CL NGÀY NCC DỰ KIẾN - NGÀY NHẬN HÀNG", '6. TIẾN ĐỘ MUA HÀNG'!$A$4:$AT$4, 0)) &lt; 0)
)</f>
        <v>0</v>
      </c>
      <c r="Q136" s="755">
        <f t="shared" si="31"/>
        <v>0</v>
      </c>
      <c r="R136" s="756">
        <f t="array" ref="R136">SUMPRODUCT((TRIM(INDEX('6. TIẾN ĐỘ MUA HÀNG'!$A$5:$AT644, 0, XMATCH("NCC VTBB/NL trong nước", '6. TIẾN ĐỘ MUA HÀNG'!$A$4:$AT$4, 0))) = TRIM($B136)) * (TRIM(INDEX('6. TIẾN ĐỘ MUA HÀNG'!$A$5:$AT644, 0, XMATCH("Tháng", '6. TIẾN ĐỘ MUA HÀNG'!$A$4:$AT$4, 0))) = TRIM(R$6)) * (INDEX('6. TIẾN ĐỘ MUA HÀNG'!$A$5:$AT644, 0, XMATCH("Mã đơn Misa", '6. TIẾN ĐỘ MUA HÀNG'!$A$4:$AT$4, 0)) &lt;&gt; ""))</f>
        <v>0</v>
      </c>
      <c r="S136" s="756">
        <f t="array" ref="S136">SUMPRODUCT(
  (INDEX('6. TIẾN ĐỘ MUA HÀNG'!$A$5:$AT644, 0, XMATCH("NCC VTBB/NL trong nước", '6. TIẾN ĐỘ MUA HÀNG'!$A$4:$AT$4, 0)) = $B136) * (TRIM(INDEX('6. TIẾN ĐỘ MUA HÀNG'!$A$5:$AT644, 0, XMATCH("Tháng", '6. TIẾN ĐỘ MUA HÀNG'!$A$4:$AT$4, 0))) = TRIM(R$6)) * (INDEX('6. TIẾN ĐỘ MUA HÀNG'!$A$5:$AT644, 0, XMATCH("CL NGÀY NCC DỰ KIẾN - NGÀY NHẬN HÀNG", '6. TIẾN ĐỘ MUA HÀNG'!$A$4:$AT$4, 0)) &lt; 0)
)</f>
        <v>0</v>
      </c>
      <c r="T136" s="757">
        <f t="shared" si="19"/>
        <v>0</v>
      </c>
      <c r="U136" s="754">
        <f t="array" ref="U136">SUMPRODUCT((TRIM(INDEX('6. TIẾN ĐỘ MUA HÀNG'!$A$5:$AT644, 0, XMATCH("NCC VTBB/NL trong nước", '6. TIẾN ĐỘ MUA HÀNG'!$A$4:$AT$4, 0))) = TRIM($B136)) * (TRIM(INDEX('6. TIẾN ĐỘ MUA HÀNG'!$A$5:$AT644, 0, XMATCH("Tháng", '6. TIẾN ĐỘ MUA HÀNG'!$A$4:$AT$4, 0))) = TRIM(U$6)) * (INDEX('6. TIẾN ĐỘ MUA HÀNG'!$A$5:$AT644, 0, XMATCH("Mã đơn Misa", '6. TIẾN ĐỘ MUA HÀNG'!$A$4:$AT$4, 0)) &lt;&gt; ""))</f>
        <v>0</v>
      </c>
      <c r="V136" s="754">
        <f t="array" ref="V136">SUMPRODUCT(
  (INDEX('6. TIẾN ĐỘ MUA HÀNG'!$A$5:$AT644, 0, XMATCH("NCC VTBB/NL trong nước", '6. TIẾN ĐỘ MUA HÀNG'!$A$4:$AT$4, 0)) = $B136) * (TRIM(INDEX('6. TIẾN ĐỘ MUA HÀNG'!$A$5:$AT644, 0, XMATCH("Tháng", '6. TIẾN ĐỘ MUA HÀNG'!$A$4:$AT$4, 0))) = TRIM(U$6)) * (INDEX('6. TIẾN ĐỘ MUA HÀNG'!$A$5:$AT644, 0, XMATCH("CL NGÀY NCC DỰ KIẾN - NGÀY NHẬN HÀNG", '6. TIẾN ĐỘ MUA HÀNG'!$A$4:$AT$4, 0)) &lt; 0)
)</f>
        <v>0</v>
      </c>
      <c r="W136" s="755">
        <f t="shared" si="32"/>
        <v>0</v>
      </c>
      <c r="X136" s="756">
        <f t="array" ref="X136">SUMPRODUCT((TRIM(INDEX('6. TIẾN ĐỘ MUA HÀNG'!$A$5:$AT644, 0, XMATCH("NCC VTBB/NL trong nước", '6. TIẾN ĐỘ MUA HÀNG'!$A$4:$AT$4, 0))) = TRIM($B136)) * (TRIM(INDEX('6. TIẾN ĐỘ MUA HÀNG'!$A$5:$AT644, 0, XMATCH("Tháng", '6. TIẾN ĐỘ MUA HÀNG'!$A$4:$AT$4, 0))) = TRIM(X$6)) * (INDEX('6. TIẾN ĐỘ MUA HÀNG'!$A$5:$AT644, 0, XMATCH("Mã đơn Misa", '6. TIẾN ĐỘ MUA HÀNG'!$A$4:$AT$4, 0)) &lt;&gt; ""))</f>
        <v>0</v>
      </c>
      <c r="Y136" s="756">
        <f t="array" ref="Y136">SUMPRODUCT(
  (INDEX('6. TIẾN ĐỘ MUA HÀNG'!$A$5:$AT644, 0, XMATCH("NCC VTBB/NL trong nước", '6. TIẾN ĐỘ MUA HÀNG'!$A$4:$AT$4, 0)) = $B136) * (TRIM(INDEX('6. TIẾN ĐỘ MUA HÀNG'!$A$5:$AT644, 0, XMATCH("Tháng", '6. TIẾN ĐỘ MUA HÀNG'!$A$4:$AT$4, 0))) = TRIM(X$6)) * (INDEX('6. TIẾN ĐỘ MUA HÀNG'!$A$5:$AT644, 0, XMATCH("CL NGÀY NCC DỰ KIẾN - NGÀY NHẬN HÀNG", '6. TIẾN ĐỘ MUA HÀNG'!$A$4:$AT$4, 0)) &lt; 0)
)</f>
        <v>0</v>
      </c>
      <c r="Z136" s="757">
        <f t="shared" si="21"/>
        <v>0</v>
      </c>
      <c r="AA136" s="754">
        <f t="array" ref="AA136">SUMPRODUCT((TRIM(INDEX('6. TIẾN ĐỘ MUA HÀNG'!$A$5:$AT644, 0, XMATCH("NCC VTBB/NL trong nước", '6. TIẾN ĐỘ MUA HÀNG'!$A$4:$AT$4, 0))) = TRIM($B136)) * (TRIM(INDEX('6. TIẾN ĐỘ MUA HÀNG'!$A$5:$AT644, 0, XMATCH("Tháng", '6. TIẾN ĐỘ MUA HÀNG'!$A$4:$AT$4, 0))) = TRIM(AA$6)) * (INDEX('6. TIẾN ĐỘ MUA HÀNG'!$A$5:$AT644, 0, XMATCH("Mã đơn Misa", '6. TIẾN ĐỘ MUA HÀNG'!$A$4:$AT$4, 0)) &lt;&gt; ""))</f>
        <v>0</v>
      </c>
      <c r="AB136" s="754">
        <f t="array" ref="AB136">SUMPRODUCT(
  (INDEX('6. TIẾN ĐỘ MUA HÀNG'!$A$5:$AT644, 0, XMATCH("NCC VTBB/NL trong nước", '6. TIẾN ĐỘ MUA HÀNG'!$A$4:$AT$4, 0)) = $B136) * (TRIM(INDEX('6. TIẾN ĐỘ MUA HÀNG'!$A$5:$AT644, 0, XMATCH("Tháng", '6. TIẾN ĐỘ MUA HÀNG'!$A$4:$AT$4, 0))) = TRIM(AA$6)) * (INDEX('6. TIẾN ĐỘ MUA HÀNG'!$A$5:$AT644, 0, XMATCH("CL NGÀY NCC DỰ KIẾN - NGÀY NHẬN HÀNG", '6. TIẾN ĐỘ MUA HÀNG'!$A$4:$AT$4, 0)) &lt; 0)
)</f>
        <v>0</v>
      </c>
      <c r="AC136" s="755">
        <f t="shared" si="33"/>
        <v>0</v>
      </c>
      <c r="AD136" s="756">
        <f t="array" ref="AD136">SUMPRODUCT((TRIM(INDEX('6. TIẾN ĐỘ MUA HÀNG'!$A$5:$AT644, 0, XMATCH("NCC VTBB/NL trong nước", '6. TIẾN ĐỘ MUA HÀNG'!$A$4:$AT$4, 0))) = TRIM($B136)) * (TRIM(INDEX('6. TIẾN ĐỘ MUA HÀNG'!$A$5:$AT644, 0, XMATCH("Tháng", '6. TIẾN ĐỘ MUA HÀNG'!$A$4:$AT$4, 0))) = TRIM(AD$6)) * (INDEX('6. TIẾN ĐỘ MUA HÀNG'!$A$5:$AT644, 0, XMATCH("Mã đơn Misa", '6. TIẾN ĐỘ MUA HÀNG'!$A$4:$AT$4, 0)) &lt;&gt; ""))</f>
        <v>0</v>
      </c>
      <c r="AE136" s="756">
        <f t="array" ref="AE136">SUMPRODUCT(
  (INDEX('6. TIẾN ĐỘ MUA HÀNG'!$A$5:$AT644, 0, XMATCH("NCC VTBB/NL trong nước", '6. TIẾN ĐỘ MUA HÀNG'!$A$4:$AT$4, 0)) = $B136) * (TRIM(INDEX('6. TIẾN ĐỘ MUA HÀNG'!$A$5:$AT644, 0, XMATCH("Tháng", '6. TIẾN ĐỘ MUA HÀNG'!$A$4:$AT$4, 0))) = TRIM(AD$6)) * (INDEX('6. TIẾN ĐỘ MUA HÀNG'!$A$5:$AT644, 0, XMATCH("CL NGÀY NCC DỰ KIẾN - NGÀY NHẬN HÀNG", '6. TIẾN ĐỘ MUA HÀNG'!$A$4:$AT$4, 0)) &lt; 0)
)</f>
        <v>0</v>
      </c>
      <c r="AF136" s="757">
        <f t="shared" si="23"/>
        <v>0</v>
      </c>
      <c r="AG136" s="754">
        <f t="array" ref="AG136">SUMPRODUCT((TRIM(INDEX('6. TIẾN ĐỘ MUA HÀNG'!$A$5:$AT644, 0, XMATCH("NCC VTBB/NL trong nước", '6. TIẾN ĐỘ MUA HÀNG'!$A$4:$AT$4, 0))) = TRIM($B136)) * (TRIM(INDEX('6. TIẾN ĐỘ MUA HÀNG'!$A$5:$AT644, 0, XMATCH("Tháng", '6. TIẾN ĐỘ MUA HÀNG'!$A$4:$AT$4, 0))) = TRIM(AG$6)) * (INDEX('6. TIẾN ĐỘ MUA HÀNG'!$A$5:$AT644, 0, XMATCH("Mã đơn Misa", '6. TIẾN ĐỘ MUA HÀNG'!$A$4:$AT$4, 0)) &lt;&gt; ""))</f>
        <v>0</v>
      </c>
      <c r="AH136" s="754">
        <f t="array" ref="AH136">SUMPRODUCT(
  (INDEX('6. TIẾN ĐỘ MUA HÀNG'!$A$5:$AT644, 0, XMATCH("NCC VTBB/NL trong nước", '6. TIẾN ĐỘ MUA HÀNG'!$A$4:$AT$4, 0)) = $B136) * (TRIM(INDEX('6. TIẾN ĐỘ MUA HÀNG'!$A$5:$AT644, 0, XMATCH("Tháng", '6. TIẾN ĐỘ MUA HÀNG'!$A$4:$AT$4, 0))) = TRIM(AG$6)) * (INDEX('6. TIẾN ĐỘ MUA HÀNG'!$A$5:$AT644, 0, XMATCH("CL NGÀY NCC DỰ KIẾN - NGÀY NHẬN HÀNG", '6. TIẾN ĐỘ MUA HÀNG'!$A$4:$AT$4, 0)) &lt; 0)
)</f>
        <v>0</v>
      </c>
      <c r="AI136" s="755">
        <f t="shared" si="34"/>
        <v>0</v>
      </c>
      <c r="AJ136" s="756">
        <f t="array" ref="AJ136">SUMPRODUCT((TRIM(INDEX('6. TIẾN ĐỘ MUA HÀNG'!$A$5:$AT644, 0, XMATCH("NCC VTBB/NL trong nước", '6. TIẾN ĐỘ MUA HÀNG'!$A$4:$AT$4, 0))) = TRIM($B136)) * (TRIM(INDEX('6. TIẾN ĐỘ MUA HÀNG'!$A$5:$AT644, 0, XMATCH("Tháng", '6. TIẾN ĐỘ MUA HÀNG'!$A$4:$AT$4, 0))) = TRIM(AJ$6)) * (INDEX('6. TIẾN ĐỘ MUA HÀNG'!$A$5:$AT644, 0, XMATCH("Mã đơn Misa", '6. TIẾN ĐỘ MUA HÀNG'!$A$4:$AT$4, 0)) &lt;&gt; ""))</f>
        <v>0</v>
      </c>
      <c r="AK136" s="756">
        <f t="array" ref="AK136">SUMPRODUCT(
  (INDEX('6. TIẾN ĐỘ MUA HÀNG'!$A$5:$AT644, 0, XMATCH("NCC VTBB/NL trong nước", '6. TIẾN ĐỘ MUA HÀNG'!$A$4:$AT$4, 0)) = $B136) * (TRIM(INDEX('6. TIẾN ĐỘ MUA HÀNG'!$A$5:$AT644, 0, XMATCH("Tháng", '6. TIẾN ĐỘ MUA HÀNG'!$A$4:$AT$4, 0))) = TRIM(AJ$6)) * (INDEX('6. TIẾN ĐỘ MUA HÀNG'!$A$5:$AT644, 0, XMATCH("CL NGÀY NCC DỰ KIẾN - NGÀY NHẬN HÀNG", '6. TIẾN ĐỘ MUA HÀNG'!$A$4:$AT$4, 0)) &lt; 0)
)</f>
        <v>0</v>
      </c>
      <c r="AL136" s="757">
        <f t="shared" si="25"/>
        <v>0</v>
      </c>
      <c r="AM136" s="726">
        <f t="shared" si="27"/>
        <v>0</v>
      </c>
      <c r="AN136" s="726">
        <f t="shared" si="28"/>
        <v>0</v>
      </c>
      <c r="AO136" s="727">
        <f t="shared" si="26"/>
        <v>0</v>
      </c>
    </row>
    <row r="137">
      <c r="A137" s="612">
        <v>129.0</v>
      </c>
      <c r="B137" s="624" t="str">
        <f>IFERROR(__xludf.DUMMYFUNCTION("""COMPUTED_VALUE"""),"CHẤN HƯNG NÔNG")</f>
        <v>CHẤN HƯNG NÔNG</v>
      </c>
      <c r="C137" s="754">
        <f t="array" ref="C137">SUMPRODUCT((TRIM(INDEX('6. TIẾN ĐỘ MUA HÀNG'!$A$5:$AT644, 0, XMATCH("NCC VTBB/NL trong nước", '6. TIẾN ĐỘ MUA HÀNG'!$A$4:$AT$4, 0))) = TRIM($B137)) * (TRIM(INDEX('6. TIẾN ĐỘ MUA HÀNG'!$A$5:$AT644, 0, XMATCH("Tháng", '6. TIẾN ĐỘ MUA HÀNG'!$A$4:$AT$4, 0))) = TRIM(C$6)) * (INDEX('6. TIẾN ĐỘ MUA HÀNG'!$A$5:$AT644, 0, XMATCH("Mã đơn Misa", '6. TIẾN ĐỘ MUA HÀNG'!$A$4:$AT$4, 0)) &lt;&gt; ""))</f>
        <v>0</v>
      </c>
      <c r="D137" s="754">
        <f t="array" ref="D137">SUMPRODUCT(
  (INDEX('6. TIẾN ĐỘ MUA HÀNG'!$A$5:$AT644, 0, XMATCH("NCC VTBB/NL trong nước", '6. TIẾN ĐỘ MUA HÀNG'!$A$4:$AT$4, 0)) = $B137) * (TRIM(INDEX('6. TIẾN ĐỘ MUA HÀNG'!$A$5:$AT644, 0, XMATCH("Tháng", '6. TIẾN ĐỘ MUA HÀNG'!$A$4:$AT$4, 0))) = TRIM(C$6)) * (INDEX('6. TIẾN ĐỘ MUA HÀNG'!$A$5:$AT644, 0, XMATCH("CL NGÀY NCC DỰ KIẾN - NGÀY NHẬN HÀNG", '6. TIẾN ĐỘ MUA HÀNG'!$A$4:$AT$4, 0)) &lt; 0)
)</f>
        <v>0</v>
      </c>
      <c r="E137" s="755">
        <f t="shared" si="29"/>
        <v>0</v>
      </c>
      <c r="F137" s="756">
        <f t="array" ref="F137">SUMPRODUCT((TRIM(INDEX('6. TIẾN ĐỘ MUA HÀNG'!$A$5:$AT644, 0, XMATCH("NCC VTBB/NL trong nước", '6. TIẾN ĐỘ MUA HÀNG'!$A$4:$AT$4, 0))) = TRIM($B137)) * (TRIM(INDEX('6. TIẾN ĐỘ MUA HÀNG'!$A$5:$AT644, 0, XMATCH("Tháng", '6. TIẾN ĐỘ MUA HÀNG'!$A$4:$AT$4, 0))) = TRIM(F$6)) * (INDEX('6. TIẾN ĐỘ MUA HÀNG'!$A$5:$AT644, 0, XMATCH("Mã đơn Misa", '6. TIẾN ĐỘ MUA HÀNG'!$A$4:$AT$4, 0)) &lt;&gt; ""))</f>
        <v>0</v>
      </c>
      <c r="G137" s="756">
        <f t="array" ref="G137">SUMPRODUCT(
  (INDEX('6. TIẾN ĐỘ MUA HÀNG'!$A$5:$AT644, 0, XMATCH("NCC VTBB/NL trong nước", '6. TIẾN ĐỘ MUA HÀNG'!$A$4:$AT$4, 0)) = $B137) * (TRIM(INDEX('6. TIẾN ĐỘ MUA HÀNG'!$A$5:$AT644, 0, XMATCH("Tháng", '6. TIẾN ĐỘ MUA HÀNG'!$A$4:$AT$4, 0))) = TRIM(F$6)) * (INDEX('6. TIẾN ĐỘ MUA HÀNG'!$A$5:$AT644, 0, XMATCH("CL NGÀY NCC DỰ KIẾN - NGÀY NHẬN HÀNG", '6. TIẾN ĐỘ MUA HÀNG'!$A$4:$AT$4, 0)) &lt; 0)
)</f>
        <v>0</v>
      </c>
      <c r="H137" s="757">
        <f t="shared" si="15"/>
        <v>0</v>
      </c>
      <c r="I137" s="754">
        <f t="array" ref="I137">SUMPRODUCT((TRIM(INDEX('6. TIẾN ĐỘ MUA HÀNG'!$A$5:$AT644, 0, XMATCH("NCC VTBB/NL trong nước", '6. TIẾN ĐỘ MUA HÀNG'!$A$4:$AT$4, 0))) = TRIM($B137)) * (TRIM(INDEX('6. TIẾN ĐỘ MUA HÀNG'!$A$5:$AT644, 0, XMATCH("Tháng", '6. TIẾN ĐỘ MUA HÀNG'!$A$4:$AT$4, 0))) = TRIM(I$6)) * (INDEX('6. TIẾN ĐỘ MUA HÀNG'!$A$5:$AT644, 0, XMATCH("Mã đơn Misa", '6. TIẾN ĐỘ MUA HÀNG'!$A$4:$AT$4, 0)) &lt;&gt; ""))</f>
        <v>0</v>
      </c>
      <c r="J137" s="754">
        <f t="array" ref="J137">SUMPRODUCT(
  (INDEX('6. TIẾN ĐỘ MUA HÀNG'!$A$5:$AT644, 0, XMATCH("NCC VTBB/NL trong nước", '6. TIẾN ĐỘ MUA HÀNG'!$A$4:$AT$4, 0)) = $B137) * (TRIM(INDEX('6. TIẾN ĐỘ MUA HÀNG'!$A$5:$AT644, 0, XMATCH("Tháng", '6. TIẾN ĐỘ MUA HÀNG'!$A$4:$AT$4, 0))) = TRIM(I$6)) * (INDEX('6. TIẾN ĐỘ MUA HÀNG'!$A$5:$AT644, 0, XMATCH("CL NGÀY NCC DỰ KIẾN - NGÀY NHẬN HÀNG", '6. TIẾN ĐỘ MUA HÀNG'!$A$4:$AT$4, 0)) &lt; 0)
)</f>
        <v>0</v>
      </c>
      <c r="K137" s="755">
        <f t="shared" si="30"/>
        <v>0</v>
      </c>
      <c r="L137" s="756">
        <f t="array" ref="L137">SUMPRODUCT((TRIM(INDEX('6. TIẾN ĐỘ MUA HÀNG'!$A$5:$AT644, 0, XMATCH("NCC VTBB/NL trong nước", '6. TIẾN ĐỘ MUA HÀNG'!$A$4:$AT$4, 0))) = TRIM($B137)) * (TRIM(INDEX('6. TIẾN ĐỘ MUA HÀNG'!$A$5:$AT644, 0, XMATCH("Tháng", '6. TIẾN ĐỘ MUA HÀNG'!$A$4:$AT$4, 0))) = TRIM(L$6)) * (INDEX('6. TIẾN ĐỘ MUA HÀNG'!$A$5:$AT644, 0, XMATCH("Mã đơn Misa", '6. TIẾN ĐỘ MUA HÀNG'!$A$4:$AT$4, 0)) &lt;&gt; ""))</f>
        <v>0</v>
      </c>
      <c r="M137" s="756">
        <f t="array" ref="M137">SUMPRODUCT(
  (INDEX('6. TIẾN ĐỘ MUA HÀNG'!$A$5:$AT644, 0, XMATCH("NCC VTBB/NL trong nước", '6. TIẾN ĐỘ MUA HÀNG'!$A$4:$AT$4, 0)) = $B137) * (TRIM(INDEX('6. TIẾN ĐỘ MUA HÀNG'!$A$5:$AT644, 0, XMATCH("Tháng", '6. TIẾN ĐỘ MUA HÀNG'!$A$4:$AT$4, 0))) = TRIM(L$6)) * (INDEX('6. TIẾN ĐỘ MUA HÀNG'!$A$5:$AT644, 0, XMATCH("CL NGÀY NCC DỰ KIẾN - NGÀY NHẬN HÀNG", '6. TIẾN ĐỘ MUA HÀNG'!$A$4:$AT$4, 0)) &lt; 0)
)</f>
        <v>0</v>
      </c>
      <c r="N137" s="757">
        <f t="shared" si="17"/>
        <v>0</v>
      </c>
      <c r="O137" s="754">
        <f t="array" ref="O137">SUMPRODUCT((TRIM(INDEX('6. TIẾN ĐỘ MUA HÀNG'!$A$5:$AT644, 0, XMATCH("NCC VTBB/NL trong nước", '6. TIẾN ĐỘ MUA HÀNG'!$A$4:$AT$4, 0))) = TRIM($B137)) * (TRIM(INDEX('6. TIẾN ĐỘ MUA HÀNG'!$A$5:$AT644, 0, XMATCH("Tháng", '6. TIẾN ĐỘ MUA HÀNG'!$A$4:$AT$4, 0))) = TRIM(O$6)) * (INDEX('6. TIẾN ĐỘ MUA HÀNG'!$A$5:$AT644, 0, XMATCH("Mã đơn Misa", '6. TIẾN ĐỘ MUA HÀNG'!$A$4:$AT$4, 0)) &lt;&gt; ""))</f>
        <v>0</v>
      </c>
      <c r="P137" s="754">
        <f t="array" ref="P137">SUMPRODUCT(
  (INDEX('6. TIẾN ĐỘ MUA HÀNG'!$A$5:$AT644, 0, XMATCH("NCC VTBB/NL trong nước", '6. TIẾN ĐỘ MUA HÀNG'!$A$4:$AT$4, 0)) = $B137) * (TRIM(INDEX('6. TIẾN ĐỘ MUA HÀNG'!$A$5:$AT644, 0, XMATCH("Tháng", '6. TIẾN ĐỘ MUA HÀNG'!$A$4:$AT$4, 0))) = TRIM(O$6)) * (INDEX('6. TIẾN ĐỘ MUA HÀNG'!$A$5:$AT644, 0, XMATCH("CL NGÀY NCC DỰ KIẾN - NGÀY NHẬN HÀNG", '6. TIẾN ĐỘ MUA HÀNG'!$A$4:$AT$4, 0)) &lt; 0)
)</f>
        <v>0</v>
      </c>
      <c r="Q137" s="755">
        <f t="shared" si="31"/>
        <v>0</v>
      </c>
      <c r="R137" s="756">
        <f t="array" ref="R137">SUMPRODUCT((TRIM(INDEX('6. TIẾN ĐỘ MUA HÀNG'!$A$5:$AT644, 0, XMATCH("NCC VTBB/NL trong nước", '6. TIẾN ĐỘ MUA HÀNG'!$A$4:$AT$4, 0))) = TRIM($B137)) * (TRIM(INDEX('6. TIẾN ĐỘ MUA HÀNG'!$A$5:$AT644, 0, XMATCH("Tháng", '6. TIẾN ĐỘ MUA HÀNG'!$A$4:$AT$4, 0))) = TRIM(R$6)) * (INDEX('6. TIẾN ĐỘ MUA HÀNG'!$A$5:$AT644, 0, XMATCH("Mã đơn Misa", '6. TIẾN ĐỘ MUA HÀNG'!$A$4:$AT$4, 0)) &lt;&gt; ""))</f>
        <v>0</v>
      </c>
      <c r="S137" s="756">
        <f t="array" ref="S137">SUMPRODUCT(
  (INDEX('6. TIẾN ĐỘ MUA HÀNG'!$A$5:$AT644, 0, XMATCH("NCC VTBB/NL trong nước", '6. TIẾN ĐỘ MUA HÀNG'!$A$4:$AT$4, 0)) = $B137) * (TRIM(INDEX('6. TIẾN ĐỘ MUA HÀNG'!$A$5:$AT644, 0, XMATCH("Tháng", '6. TIẾN ĐỘ MUA HÀNG'!$A$4:$AT$4, 0))) = TRIM(R$6)) * (INDEX('6. TIẾN ĐỘ MUA HÀNG'!$A$5:$AT644, 0, XMATCH("CL NGÀY NCC DỰ KIẾN - NGÀY NHẬN HÀNG", '6. TIẾN ĐỘ MUA HÀNG'!$A$4:$AT$4, 0)) &lt; 0)
)</f>
        <v>0</v>
      </c>
      <c r="T137" s="757">
        <f t="shared" si="19"/>
        <v>0</v>
      </c>
      <c r="U137" s="754">
        <f t="array" ref="U137">SUMPRODUCT((TRIM(INDEX('6. TIẾN ĐỘ MUA HÀNG'!$A$5:$AT644, 0, XMATCH("NCC VTBB/NL trong nước", '6. TIẾN ĐỘ MUA HÀNG'!$A$4:$AT$4, 0))) = TRIM($B137)) * (TRIM(INDEX('6. TIẾN ĐỘ MUA HÀNG'!$A$5:$AT644, 0, XMATCH("Tháng", '6. TIẾN ĐỘ MUA HÀNG'!$A$4:$AT$4, 0))) = TRIM(U$6)) * (INDEX('6. TIẾN ĐỘ MUA HÀNG'!$A$5:$AT644, 0, XMATCH("Mã đơn Misa", '6. TIẾN ĐỘ MUA HÀNG'!$A$4:$AT$4, 0)) &lt;&gt; ""))</f>
        <v>0</v>
      </c>
      <c r="V137" s="754">
        <f t="array" ref="V137">SUMPRODUCT(
  (INDEX('6. TIẾN ĐỘ MUA HÀNG'!$A$5:$AT644, 0, XMATCH("NCC VTBB/NL trong nước", '6. TIẾN ĐỘ MUA HÀNG'!$A$4:$AT$4, 0)) = $B137) * (TRIM(INDEX('6. TIẾN ĐỘ MUA HÀNG'!$A$5:$AT644, 0, XMATCH("Tháng", '6. TIẾN ĐỘ MUA HÀNG'!$A$4:$AT$4, 0))) = TRIM(U$6)) * (INDEX('6. TIẾN ĐỘ MUA HÀNG'!$A$5:$AT644, 0, XMATCH("CL NGÀY NCC DỰ KIẾN - NGÀY NHẬN HÀNG", '6. TIẾN ĐỘ MUA HÀNG'!$A$4:$AT$4, 0)) &lt; 0)
)</f>
        <v>0</v>
      </c>
      <c r="W137" s="755">
        <f t="shared" si="32"/>
        <v>0</v>
      </c>
      <c r="X137" s="756">
        <f t="array" ref="X137">SUMPRODUCT((TRIM(INDEX('6. TIẾN ĐỘ MUA HÀNG'!$A$5:$AT644, 0, XMATCH("NCC VTBB/NL trong nước", '6. TIẾN ĐỘ MUA HÀNG'!$A$4:$AT$4, 0))) = TRIM($B137)) * (TRIM(INDEX('6. TIẾN ĐỘ MUA HÀNG'!$A$5:$AT644, 0, XMATCH("Tháng", '6. TIẾN ĐỘ MUA HÀNG'!$A$4:$AT$4, 0))) = TRIM(X$6)) * (INDEX('6. TIẾN ĐỘ MUA HÀNG'!$A$5:$AT644, 0, XMATCH("Mã đơn Misa", '6. TIẾN ĐỘ MUA HÀNG'!$A$4:$AT$4, 0)) &lt;&gt; ""))</f>
        <v>0</v>
      </c>
      <c r="Y137" s="756">
        <f t="array" ref="Y137">SUMPRODUCT(
  (INDEX('6. TIẾN ĐỘ MUA HÀNG'!$A$5:$AT644, 0, XMATCH("NCC VTBB/NL trong nước", '6. TIẾN ĐỘ MUA HÀNG'!$A$4:$AT$4, 0)) = $B137) * (TRIM(INDEX('6. TIẾN ĐỘ MUA HÀNG'!$A$5:$AT644, 0, XMATCH("Tháng", '6. TIẾN ĐỘ MUA HÀNG'!$A$4:$AT$4, 0))) = TRIM(X$6)) * (INDEX('6. TIẾN ĐỘ MUA HÀNG'!$A$5:$AT644, 0, XMATCH("CL NGÀY NCC DỰ KIẾN - NGÀY NHẬN HÀNG", '6. TIẾN ĐỘ MUA HÀNG'!$A$4:$AT$4, 0)) &lt; 0)
)</f>
        <v>0</v>
      </c>
      <c r="Z137" s="757">
        <f t="shared" si="21"/>
        <v>0</v>
      </c>
      <c r="AA137" s="754">
        <f t="array" ref="AA137">SUMPRODUCT((TRIM(INDEX('6. TIẾN ĐỘ MUA HÀNG'!$A$5:$AT644, 0, XMATCH("NCC VTBB/NL trong nước", '6. TIẾN ĐỘ MUA HÀNG'!$A$4:$AT$4, 0))) = TRIM($B137)) * (TRIM(INDEX('6. TIẾN ĐỘ MUA HÀNG'!$A$5:$AT644, 0, XMATCH("Tháng", '6. TIẾN ĐỘ MUA HÀNG'!$A$4:$AT$4, 0))) = TRIM(AA$6)) * (INDEX('6. TIẾN ĐỘ MUA HÀNG'!$A$5:$AT644, 0, XMATCH("Mã đơn Misa", '6. TIẾN ĐỘ MUA HÀNG'!$A$4:$AT$4, 0)) &lt;&gt; ""))</f>
        <v>0</v>
      </c>
      <c r="AB137" s="754">
        <f t="array" ref="AB137">SUMPRODUCT(
  (INDEX('6. TIẾN ĐỘ MUA HÀNG'!$A$5:$AT644, 0, XMATCH("NCC VTBB/NL trong nước", '6. TIẾN ĐỘ MUA HÀNG'!$A$4:$AT$4, 0)) = $B137) * (TRIM(INDEX('6. TIẾN ĐỘ MUA HÀNG'!$A$5:$AT644, 0, XMATCH("Tháng", '6. TIẾN ĐỘ MUA HÀNG'!$A$4:$AT$4, 0))) = TRIM(AA$6)) * (INDEX('6. TIẾN ĐỘ MUA HÀNG'!$A$5:$AT644, 0, XMATCH("CL NGÀY NCC DỰ KIẾN - NGÀY NHẬN HÀNG", '6. TIẾN ĐỘ MUA HÀNG'!$A$4:$AT$4, 0)) &lt; 0)
)</f>
        <v>0</v>
      </c>
      <c r="AC137" s="755">
        <f t="shared" si="33"/>
        <v>0</v>
      </c>
      <c r="AD137" s="756">
        <f t="array" ref="AD137">SUMPRODUCT((TRIM(INDEX('6. TIẾN ĐỘ MUA HÀNG'!$A$5:$AT644, 0, XMATCH("NCC VTBB/NL trong nước", '6. TIẾN ĐỘ MUA HÀNG'!$A$4:$AT$4, 0))) = TRIM($B137)) * (TRIM(INDEX('6. TIẾN ĐỘ MUA HÀNG'!$A$5:$AT644, 0, XMATCH("Tháng", '6. TIẾN ĐỘ MUA HÀNG'!$A$4:$AT$4, 0))) = TRIM(AD$6)) * (INDEX('6. TIẾN ĐỘ MUA HÀNG'!$A$5:$AT644, 0, XMATCH("Mã đơn Misa", '6. TIẾN ĐỘ MUA HÀNG'!$A$4:$AT$4, 0)) &lt;&gt; ""))</f>
        <v>0</v>
      </c>
      <c r="AE137" s="756">
        <f t="array" ref="AE137">SUMPRODUCT(
  (INDEX('6. TIẾN ĐỘ MUA HÀNG'!$A$5:$AT644, 0, XMATCH("NCC VTBB/NL trong nước", '6. TIẾN ĐỘ MUA HÀNG'!$A$4:$AT$4, 0)) = $B137) * (TRIM(INDEX('6. TIẾN ĐỘ MUA HÀNG'!$A$5:$AT644, 0, XMATCH("Tháng", '6. TIẾN ĐỘ MUA HÀNG'!$A$4:$AT$4, 0))) = TRIM(AD$6)) * (INDEX('6. TIẾN ĐỘ MUA HÀNG'!$A$5:$AT644, 0, XMATCH("CL NGÀY NCC DỰ KIẾN - NGÀY NHẬN HÀNG", '6. TIẾN ĐỘ MUA HÀNG'!$A$4:$AT$4, 0)) &lt; 0)
)</f>
        <v>0</v>
      </c>
      <c r="AF137" s="757">
        <f t="shared" si="23"/>
        <v>0</v>
      </c>
      <c r="AG137" s="754">
        <f t="array" ref="AG137">SUMPRODUCT((TRIM(INDEX('6. TIẾN ĐỘ MUA HÀNG'!$A$5:$AT644, 0, XMATCH("NCC VTBB/NL trong nước", '6. TIẾN ĐỘ MUA HÀNG'!$A$4:$AT$4, 0))) = TRIM($B137)) * (TRIM(INDEX('6. TIẾN ĐỘ MUA HÀNG'!$A$5:$AT644, 0, XMATCH("Tháng", '6. TIẾN ĐỘ MUA HÀNG'!$A$4:$AT$4, 0))) = TRIM(AG$6)) * (INDEX('6. TIẾN ĐỘ MUA HÀNG'!$A$5:$AT644, 0, XMATCH("Mã đơn Misa", '6. TIẾN ĐỘ MUA HÀNG'!$A$4:$AT$4, 0)) &lt;&gt; ""))</f>
        <v>0</v>
      </c>
      <c r="AH137" s="754">
        <f t="array" ref="AH137">SUMPRODUCT(
  (INDEX('6. TIẾN ĐỘ MUA HÀNG'!$A$5:$AT644, 0, XMATCH("NCC VTBB/NL trong nước", '6. TIẾN ĐỘ MUA HÀNG'!$A$4:$AT$4, 0)) = $B137) * (TRIM(INDEX('6. TIẾN ĐỘ MUA HÀNG'!$A$5:$AT644, 0, XMATCH("Tháng", '6. TIẾN ĐỘ MUA HÀNG'!$A$4:$AT$4, 0))) = TRIM(AG$6)) * (INDEX('6. TIẾN ĐỘ MUA HÀNG'!$A$5:$AT644, 0, XMATCH("CL NGÀY NCC DỰ KIẾN - NGÀY NHẬN HÀNG", '6. TIẾN ĐỘ MUA HÀNG'!$A$4:$AT$4, 0)) &lt; 0)
)</f>
        <v>0</v>
      </c>
      <c r="AI137" s="755">
        <f t="shared" si="34"/>
        <v>0</v>
      </c>
      <c r="AJ137" s="756">
        <f t="array" ref="AJ137">SUMPRODUCT((TRIM(INDEX('6. TIẾN ĐỘ MUA HÀNG'!$A$5:$AT644, 0, XMATCH("NCC VTBB/NL trong nước", '6. TIẾN ĐỘ MUA HÀNG'!$A$4:$AT$4, 0))) = TRIM($B137)) * (TRIM(INDEX('6. TIẾN ĐỘ MUA HÀNG'!$A$5:$AT644, 0, XMATCH("Tháng", '6. TIẾN ĐỘ MUA HÀNG'!$A$4:$AT$4, 0))) = TRIM(AJ$6)) * (INDEX('6. TIẾN ĐỘ MUA HÀNG'!$A$5:$AT644, 0, XMATCH("Mã đơn Misa", '6. TIẾN ĐỘ MUA HÀNG'!$A$4:$AT$4, 0)) &lt;&gt; ""))</f>
        <v>0</v>
      </c>
      <c r="AK137" s="756">
        <f t="array" ref="AK137">SUMPRODUCT(
  (INDEX('6. TIẾN ĐỘ MUA HÀNG'!$A$5:$AT644, 0, XMATCH("NCC VTBB/NL trong nước", '6. TIẾN ĐỘ MUA HÀNG'!$A$4:$AT$4, 0)) = $B137) * (TRIM(INDEX('6. TIẾN ĐỘ MUA HÀNG'!$A$5:$AT644, 0, XMATCH("Tháng", '6. TIẾN ĐỘ MUA HÀNG'!$A$4:$AT$4, 0))) = TRIM(AJ$6)) * (INDEX('6. TIẾN ĐỘ MUA HÀNG'!$A$5:$AT644, 0, XMATCH("CL NGÀY NCC DỰ KIẾN - NGÀY NHẬN HÀNG", '6. TIẾN ĐỘ MUA HÀNG'!$A$4:$AT$4, 0)) &lt; 0)
)</f>
        <v>0</v>
      </c>
      <c r="AL137" s="757">
        <f t="shared" si="25"/>
        <v>0</v>
      </c>
      <c r="AM137" s="726">
        <f t="shared" si="27"/>
        <v>0</v>
      </c>
      <c r="AN137" s="726">
        <f t="shared" si="28"/>
        <v>0</v>
      </c>
      <c r="AO137" s="727">
        <f t="shared" si="26"/>
        <v>0</v>
      </c>
    </row>
    <row r="138">
      <c r="A138" s="612">
        <v>130.0</v>
      </c>
      <c r="B138" s="624" t="str">
        <f>IFERROR(__xludf.DUMMYFUNCTION("""COMPUTED_VALUE"""),"BAO BÌ CHÂU DUY")</f>
        <v>BAO BÌ CHÂU DUY</v>
      </c>
      <c r="C138" s="754">
        <f t="array" ref="C138">SUMPRODUCT((TRIM(INDEX('6. TIẾN ĐỘ MUA HÀNG'!$A$5:$AT644, 0, XMATCH("NCC VTBB/NL trong nước", '6. TIẾN ĐỘ MUA HÀNG'!$A$4:$AT$4, 0))) = TRIM($B138)) * (TRIM(INDEX('6. TIẾN ĐỘ MUA HÀNG'!$A$5:$AT644, 0, XMATCH("Tháng", '6. TIẾN ĐỘ MUA HÀNG'!$A$4:$AT$4, 0))) = TRIM(C$6)) * (INDEX('6. TIẾN ĐỘ MUA HÀNG'!$A$5:$AT644, 0, XMATCH("Mã đơn Misa", '6. TIẾN ĐỘ MUA HÀNG'!$A$4:$AT$4, 0)) &lt;&gt; ""))</f>
        <v>0</v>
      </c>
      <c r="D138" s="754">
        <f t="array" ref="D138">SUMPRODUCT(
  (INDEX('6. TIẾN ĐỘ MUA HÀNG'!$A$5:$AT644, 0, XMATCH("NCC VTBB/NL trong nước", '6. TIẾN ĐỘ MUA HÀNG'!$A$4:$AT$4, 0)) = $B138) * (TRIM(INDEX('6. TIẾN ĐỘ MUA HÀNG'!$A$5:$AT644, 0, XMATCH("Tháng", '6. TIẾN ĐỘ MUA HÀNG'!$A$4:$AT$4, 0))) = TRIM(C$6)) * (INDEX('6. TIẾN ĐỘ MUA HÀNG'!$A$5:$AT644, 0, XMATCH("CL NGÀY NCC DỰ KIẾN - NGÀY NHẬN HÀNG", '6. TIẾN ĐỘ MUA HÀNG'!$A$4:$AT$4, 0)) &lt; 0)
)</f>
        <v>0</v>
      </c>
      <c r="E138" s="755">
        <f t="shared" si="29"/>
        <v>0</v>
      </c>
      <c r="F138" s="756">
        <f t="array" ref="F138">SUMPRODUCT((TRIM(INDEX('6. TIẾN ĐỘ MUA HÀNG'!$A$5:$AT644, 0, XMATCH("NCC VTBB/NL trong nước", '6. TIẾN ĐỘ MUA HÀNG'!$A$4:$AT$4, 0))) = TRIM($B138)) * (TRIM(INDEX('6. TIẾN ĐỘ MUA HÀNG'!$A$5:$AT644, 0, XMATCH("Tháng", '6. TIẾN ĐỘ MUA HÀNG'!$A$4:$AT$4, 0))) = TRIM(F$6)) * (INDEX('6. TIẾN ĐỘ MUA HÀNG'!$A$5:$AT644, 0, XMATCH("Mã đơn Misa", '6. TIẾN ĐỘ MUA HÀNG'!$A$4:$AT$4, 0)) &lt;&gt; ""))</f>
        <v>0</v>
      </c>
      <c r="G138" s="756">
        <f t="array" ref="G138">SUMPRODUCT(
  (INDEX('6. TIẾN ĐỘ MUA HÀNG'!$A$5:$AT644, 0, XMATCH("NCC VTBB/NL trong nước", '6. TIẾN ĐỘ MUA HÀNG'!$A$4:$AT$4, 0)) = $B138) * (TRIM(INDEX('6. TIẾN ĐỘ MUA HÀNG'!$A$5:$AT644, 0, XMATCH("Tháng", '6. TIẾN ĐỘ MUA HÀNG'!$A$4:$AT$4, 0))) = TRIM(F$6)) * (INDEX('6. TIẾN ĐỘ MUA HÀNG'!$A$5:$AT644, 0, XMATCH("CL NGÀY NCC DỰ KIẾN - NGÀY NHẬN HÀNG", '6. TIẾN ĐỘ MUA HÀNG'!$A$4:$AT$4, 0)) &lt; 0)
)</f>
        <v>0</v>
      </c>
      <c r="H138" s="757">
        <f t="shared" si="15"/>
        <v>0</v>
      </c>
      <c r="I138" s="754">
        <f t="array" ref="I138">SUMPRODUCT((TRIM(INDEX('6. TIẾN ĐỘ MUA HÀNG'!$A$5:$AT644, 0, XMATCH("NCC VTBB/NL trong nước", '6. TIẾN ĐỘ MUA HÀNG'!$A$4:$AT$4, 0))) = TRIM($B138)) * (TRIM(INDEX('6. TIẾN ĐỘ MUA HÀNG'!$A$5:$AT644, 0, XMATCH("Tháng", '6. TIẾN ĐỘ MUA HÀNG'!$A$4:$AT$4, 0))) = TRIM(I$6)) * (INDEX('6. TIẾN ĐỘ MUA HÀNG'!$A$5:$AT644, 0, XMATCH("Mã đơn Misa", '6. TIẾN ĐỘ MUA HÀNG'!$A$4:$AT$4, 0)) &lt;&gt; ""))</f>
        <v>0</v>
      </c>
      <c r="J138" s="754">
        <f t="array" ref="J138">SUMPRODUCT(
  (INDEX('6. TIẾN ĐỘ MUA HÀNG'!$A$5:$AT644, 0, XMATCH("NCC VTBB/NL trong nước", '6. TIẾN ĐỘ MUA HÀNG'!$A$4:$AT$4, 0)) = $B138) * (TRIM(INDEX('6. TIẾN ĐỘ MUA HÀNG'!$A$5:$AT644, 0, XMATCH("Tháng", '6. TIẾN ĐỘ MUA HÀNG'!$A$4:$AT$4, 0))) = TRIM(I$6)) * (INDEX('6. TIẾN ĐỘ MUA HÀNG'!$A$5:$AT644, 0, XMATCH("CL NGÀY NCC DỰ KIẾN - NGÀY NHẬN HÀNG", '6. TIẾN ĐỘ MUA HÀNG'!$A$4:$AT$4, 0)) &lt; 0)
)</f>
        <v>0</v>
      </c>
      <c r="K138" s="755">
        <f t="shared" si="30"/>
        <v>0</v>
      </c>
      <c r="L138" s="756">
        <f t="array" ref="L138">SUMPRODUCT((TRIM(INDEX('6. TIẾN ĐỘ MUA HÀNG'!$A$5:$AT644, 0, XMATCH("NCC VTBB/NL trong nước", '6. TIẾN ĐỘ MUA HÀNG'!$A$4:$AT$4, 0))) = TRIM($B138)) * (TRIM(INDEX('6. TIẾN ĐỘ MUA HÀNG'!$A$5:$AT644, 0, XMATCH("Tháng", '6. TIẾN ĐỘ MUA HÀNG'!$A$4:$AT$4, 0))) = TRIM(L$6)) * (INDEX('6. TIẾN ĐỘ MUA HÀNG'!$A$5:$AT644, 0, XMATCH("Mã đơn Misa", '6. TIẾN ĐỘ MUA HÀNG'!$A$4:$AT$4, 0)) &lt;&gt; ""))</f>
        <v>0</v>
      </c>
      <c r="M138" s="756">
        <f t="array" ref="M138">SUMPRODUCT(
  (INDEX('6. TIẾN ĐỘ MUA HÀNG'!$A$5:$AT644, 0, XMATCH("NCC VTBB/NL trong nước", '6. TIẾN ĐỘ MUA HÀNG'!$A$4:$AT$4, 0)) = $B138) * (TRIM(INDEX('6. TIẾN ĐỘ MUA HÀNG'!$A$5:$AT644, 0, XMATCH("Tháng", '6. TIẾN ĐỘ MUA HÀNG'!$A$4:$AT$4, 0))) = TRIM(L$6)) * (INDEX('6. TIẾN ĐỘ MUA HÀNG'!$A$5:$AT644, 0, XMATCH("CL NGÀY NCC DỰ KIẾN - NGÀY NHẬN HÀNG", '6. TIẾN ĐỘ MUA HÀNG'!$A$4:$AT$4, 0)) &lt; 0)
)</f>
        <v>0</v>
      </c>
      <c r="N138" s="757">
        <f t="shared" si="17"/>
        <v>0</v>
      </c>
      <c r="O138" s="754">
        <f t="array" ref="O138">SUMPRODUCT((TRIM(INDEX('6. TIẾN ĐỘ MUA HÀNG'!$A$5:$AT644, 0, XMATCH("NCC VTBB/NL trong nước", '6. TIẾN ĐỘ MUA HÀNG'!$A$4:$AT$4, 0))) = TRIM($B138)) * (TRIM(INDEX('6. TIẾN ĐỘ MUA HÀNG'!$A$5:$AT644, 0, XMATCH("Tháng", '6. TIẾN ĐỘ MUA HÀNG'!$A$4:$AT$4, 0))) = TRIM(O$6)) * (INDEX('6. TIẾN ĐỘ MUA HÀNG'!$A$5:$AT644, 0, XMATCH("Mã đơn Misa", '6. TIẾN ĐỘ MUA HÀNG'!$A$4:$AT$4, 0)) &lt;&gt; ""))</f>
        <v>0</v>
      </c>
      <c r="P138" s="754">
        <f t="array" ref="P138">SUMPRODUCT(
  (INDEX('6. TIẾN ĐỘ MUA HÀNG'!$A$5:$AT644, 0, XMATCH("NCC VTBB/NL trong nước", '6. TIẾN ĐỘ MUA HÀNG'!$A$4:$AT$4, 0)) = $B138) * (TRIM(INDEX('6. TIẾN ĐỘ MUA HÀNG'!$A$5:$AT644, 0, XMATCH("Tháng", '6. TIẾN ĐỘ MUA HÀNG'!$A$4:$AT$4, 0))) = TRIM(O$6)) * (INDEX('6. TIẾN ĐỘ MUA HÀNG'!$A$5:$AT644, 0, XMATCH("CL NGÀY NCC DỰ KIẾN - NGÀY NHẬN HÀNG", '6. TIẾN ĐỘ MUA HÀNG'!$A$4:$AT$4, 0)) &lt; 0)
)</f>
        <v>0</v>
      </c>
      <c r="Q138" s="755">
        <f t="shared" si="31"/>
        <v>0</v>
      </c>
      <c r="R138" s="756">
        <f t="array" ref="R138">SUMPRODUCT((TRIM(INDEX('6. TIẾN ĐỘ MUA HÀNG'!$A$5:$AT644, 0, XMATCH("NCC VTBB/NL trong nước", '6. TIẾN ĐỘ MUA HÀNG'!$A$4:$AT$4, 0))) = TRIM($B138)) * (TRIM(INDEX('6. TIẾN ĐỘ MUA HÀNG'!$A$5:$AT644, 0, XMATCH("Tháng", '6. TIẾN ĐỘ MUA HÀNG'!$A$4:$AT$4, 0))) = TRIM(R$6)) * (INDEX('6. TIẾN ĐỘ MUA HÀNG'!$A$5:$AT644, 0, XMATCH("Mã đơn Misa", '6. TIẾN ĐỘ MUA HÀNG'!$A$4:$AT$4, 0)) &lt;&gt; ""))</f>
        <v>0</v>
      </c>
      <c r="S138" s="756">
        <f t="array" ref="S138">SUMPRODUCT(
  (INDEX('6. TIẾN ĐỘ MUA HÀNG'!$A$5:$AT644, 0, XMATCH("NCC VTBB/NL trong nước", '6. TIẾN ĐỘ MUA HÀNG'!$A$4:$AT$4, 0)) = $B138) * (TRIM(INDEX('6. TIẾN ĐỘ MUA HÀNG'!$A$5:$AT644, 0, XMATCH("Tháng", '6. TIẾN ĐỘ MUA HÀNG'!$A$4:$AT$4, 0))) = TRIM(R$6)) * (INDEX('6. TIẾN ĐỘ MUA HÀNG'!$A$5:$AT644, 0, XMATCH("CL NGÀY NCC DỰ KIẾN - NGÀY NHẬN HÀNG", '6. TIẾN ĐỘ MUA HÀNG'!$A$4:$AT$4, 0)) &lt; 0)
)</f>
        <v>0</v>
      </c>
      <c r="T138" s="757">
        <f t="shared" si="19"/>
        <v>0</v>
      </c>
      <c r="U138" s="754">
        <f t="array" ref="U138">SUMPRODUCT((TRIM(INDEX('6. TIẾN ĐỘ MUA HÀNG'!$A$5:$AT644, 0, XMATCH("NCC VTBB/NL trong nước", '6. TIẾN ĐỘ MUA HÀNG'!$A$4:$AT$4, 0))) = TRIM($B138)) * (TRIM(INDEX('6. TIẾN ĐỘ MUA HÀNG'!$A$5:$AT644, 0, XMATCH("Tháng", '6. TIẾN ĐỘ MUA HÀNG'!$A$4:$AT$4, 0))) = TRIM(U$6)) * (INDEX('6. TIẾN ĐỘ MUA HÀNG'!$A$5:$AT644, 0, XMATCH("Mã đơn Misa", '6. TIẾN ĐỘ MUA HÀNG'!$A$4:$AT$4, 0)) &lt;&gt; ""))</f>
        <v>0</v>
      </c>
      <c r="V138" s="754">
        <f t="array" ref="V138">SUMPRODUCT(
  (INDEX('6. TIẾN ĐỘ MUA HÀNG'!$A$5:$AT644, 0, XMATCH("NCC VTBB/NL trong nước", '6. TIẾN ĐỘ MUA HÀNG'!$A$4:$AT$4, 0)) = $B138) * (TRIM(INDEX('6. TIẾN ĐỘ MUA HÀNG'!$A$5:$AT644, 0, XMATCH("Tháng", '6. TIẾN ĐỘ MUA HÀNG'!$A$4:$AT$4, 0))) = TRIM(U$6)) * (INDEX('6. TIẾN ĐỘ MUA HÀNG'!$A$5:$AT644, 0, XMATCH("CL NGÀY NCC DỰ KIẾN - NGÀY NHẬN HÀNG", '6. TIẾN ĐỘ MUA HÀNG'!$A$4:$AT$4, 0)) &lt; 0)
)</f>
        <v>0</v>
      </c>
      <c r="W138" s="755">
        <f t="shared" si="32"/>
        <v>0</v>
      </c>
      <c r="X138" s="756">
        <f t="array" ref="X138">SUMPRODUCT((TRIM(INDEX('6. TIẾN ĐỘ MUA HÀNG'!$A$5:$AT644, 0, XMATCH("NCC VTBB/NL trong nước", '6. TIẾN ĐỘ MUA HÀNG'!$A$4:$AT$4, 0))) = TRIM($B138)) * (TRIM(INDEX('6. TIẾN ĐỘ MUA HÀNG'!$A$5:$AT644, 0, XMATCH("Tháng", '6. TIẾN ĐỘ MUA HÀNG'!$A$4:$AT$4, 0))) = TRIM(X$6)) * (INDEX('6. TIẾN ĐỘ MUA HÀNG'!$A$5:$AT644, 0, XMATCH("Mã đơn Misa", '6. TIẾN ĐỘ MUA HÀNG'!$A$4:$AT$4, 0)) &lt;&gt; ""))</f>
        <v>0</v>
      </c>
      <c r="Y138" s="756">
        <f t="array" ref="Y138">SUMPRODUCT(
  (INDEX('6. TIẾN ĐỘ MUA HÀNG'!$A$5:$AT644, 0, XMATCH("NCC VTBB/NL trong nước", '6. TIẾN ĐỘ MUA HÀNG'!$A$4:$AT$4, 0)) = $B138) * (TRIM(INDEX('6. TIẾN ĐỘ MUA HÀNG'!$A$5:$AT644, 0, XMATCH("Tháng", '6. TIẾN ĐỘ MUA HÀNG'!$A$4:$AT$4, 0))) = TRIM(X$6)) * (INDEX('6. TIẾN ĐỘ MUA HÀNG'!$A$5:$AT644, 0, XMATCH("CL NGÀY NCC DỰ KIẾN - NGÀY NHẬN HÀNG", '6. TIẾN ĐỘ MUA HÀNG'!$A$4:$AT$4, 0)) &lt; 0)
)</f>
        <v>0</v>
      </c>
      <c r="Z138" s="757">
        <f t="shared" si="21"/>
        <v>0</v>
      </c>
      <c r="AA138" s="754">
        <f t="array" ref="AA138">SUMPRODUCT((TRIM(INDEX('6. TIẾN ĐỘ MUA HÀNG'!$A$5:$AT644, 0, XMATCH("NCC VTBB/NL trong nước", '6. TIẾN ĐỘ MUA HÀNG'!$A$4:$AT$4, 0))) = TRIM($B138)) * (TRIM(INDEX('6. TIẾN ĐỘ MUA HÀNG'!$A$5:$AT644, 0, XMATCH("Tháng", '6. TIẾN ĐỘ MUA HÀNG'!$A$4:$AT$4, 0))) = TRIM(AA$6)) * (INDEX('6. TIẾN ĐỘ MUA HÀNG'!$A$5:$AT644, 0, XMATCH("Mã đơn Misa", '6. TIẾN ĐỘ MUA HÀNG'!$A$4:$AT$4, 0)) &lt;&gt; ""))</f>
        <v>0</v>
      </c>
      <c r="AB138" s="754">
        <f t="array" ref="AB138">SUMPRODUCT(
  (INDEX('6. TIẾN ĐỘ MUA HÀNG'!$A$5:$AT644, 0, XMATCH("NCC VTBB/NL trong nước", '6. TIẾN ĐỘ MUA HÀNG'!$A$4:$AT$4, 0)) = $B138) * (TRIM(INDEX('6. TIẾN ĐỘ MUA HÀNG'!$A$5:$AT644, 0, XMATCH("Tháng", '6. TIẾN ĐỘ MUA HÀNG'!$A$4:$AT$4, 0))) = TRIM(AA$6)) * (INDEX('6. TIẾN ĐỘ MUA HÀNG'!$A$5:$AT644, 0, XMATCH("CL NGÀY NCC DỰ KIẾN - NGÀY NHẬN HÀNG", '6. TIẾN ĐỘ MUA HÀNG'!$A$4:$AT$4, 0)) &lt; 0)
)</f>
        <v>0</v>
      </c>
      <c r="AC138" s="755">
        <f t="shared" si="33"/>
        <v>0</v>
      </c>
      <c r="AD138" s="756">
        <f t="array" ref="AD138">SUMPRODUCT((TRIM(INDEX('6. TIẾN ĐỘ MUA HÀNG'!$A$5:$AT644, 0, XMATCH("NCC VTBB/NL trong nước", '6. TIẾN ĐỘ MUA HÀNG'!$A$4:$AT$4, 0))) = TRIM($B138)) * (TRIM(INDEX('6. TIẾN ĐỘ MUA HÀNG'!$A$5:$AT644, 0, XMATCH("Tháng", '6. TIẾN ĐỘ MUA HÀNG'!$A$4:$AT$4, 0))) = TRIM(AD$6)) * (INDEX('6. TIẾN ĐỘ MUA HÀNG'!$A$5:$AT644, 0, XMATCH("Mã đơn Misa", '6. TIẾN ĐỘ MUA HÀNG'!$A$4:$AT$4, 0)) &lt;&gt; ""))</f>
        <v>0</v>
      </c>
      <c r="AE138" s="756">
        <f t="array" ref="AE138">SUMPRODUCT(
  (INDEX('6. TIẾN ĐỘ MUA HÀNG'!$A$5:$AT644, 0, XMATCH("NCC VTBB/NL trong nước", '6. TIẾN ĐỘ MUA HÀNG'!$A$4:$AT$4, 0)) = $B138) * (TRIM(INDEX('6. TIẾN ĐỘ MUA HÀNG'!$A$5:$AT644, 0, XMATCH("Tháng", '6. TIẾN ĐỘ MUA HÀNG'!$A$4:$AT$4, 0))) = TRIM(AD$6)) * (INDEX('6. TIẾN ĐỘ MUA HÀNG'!$A$5:$AT644, 0, XMATCH("CL NGÀY NCC DỰ KIẾN - NGÀY NHẬN HÀNG", '6. TIẾN ĐỘ MUA HÀNG'!$A$4:$AT$4, 0)) &lt; 0)
)</f>
        <v>0</v>
      </c>
      <c r="AF138" s="757">
        <f t="shared" si="23"/>
        <v>0</v>
      </c>
      <c r="AG138" s="754">
        <f t="array" ref="AG138">SUMPRODUCT((TRIM(INDEX('6. TIẾN ĐỘ MUA HÀNG'!$A$5:$AT644, 0, XMATCH("NCC VTBB/NL trong nước", '6. TIẾN ĐỘ MUA HÀNG'!$A$4:$AT$4, 0))) = TRIM($B138)) * (TRIM(INDEX('6. TIẾN ĐỘ MUA HÀNG'!$A$5:$AT644, 0, XMATCH("Tháng", '6. TIẾN ĐỘ MUA HÀNG'!$A$4:$AT$4, 0))) = TRIM(AG$6)) * (INDEX('6. TIẾN ĐỘ MUA HÀNG'!$A$5:$AT644, 0, XMATCH("Mã đơn Misa", '6. TIẾN ĐỘ MUA HÀNG'!$A$4:$AT$4, 0)) &lt;&gt; ""))</f>
        <v>0</v>
      </c>
      <c r="AH138" s="754">
        <f t="array" ref="AH138">SUMPRODUCT(
  (INDEX('6. TIẾN ĐỘ MUA HÀNG'!$A$5:$AT644, 0, XMATCH("NCC VTBB/NL trong nước", '6. TIẾN ĐỘ MUA HÀNG'!$A$4:$AT$4, 0)) = $B138) * (TRIM(INDEX('6. TIẾN ĐỘ MUA HÀNG'!$A$5:$AT644, 0, XMATCH("Tháng", '6. TIẾN ĐỘ MUA HÀNG'!$A$4:$AT$4, 0))) = TRIM(AG$6)) * (INDEX('6. TIẾN ĐỘ MUA HÀNG'!$A$5:$AT644, 0, XMATCH("CL NGÀY NCC DỰ KIẾN - NGÀY NHẬN HÀNG", '6. TIẾN ĐỘ MUA HÀNG'!$A$4:$AT$4, 0)) &lt; 0)
)</f>
        <v>0</v>
      </c>
      <c r="AI138" s="755">
        <f t="shared" si="34"/>
        <v>0</v>
      </c>
      <c r="AJ138" s="756">
        <f t="array" ref="AJ138">SUMPRODUCT((TRIM(INDEX('6. TIẾN ĐỘ MUA HÀNG'!$A$5:$AT644, 0, XMATCH("NCC VTBB/NL trong nước", '6. TIẾN ĐỘ MUA HÀNG'!$A$4:$AT$4, 0))) = TRIM($B138)) * (TRIM(INDEX('6. TIẾN ĐỘ MUA HÀNG'!$A$5:$AT644, 0, XMATCH("Tháng", '6. TIẾN ĐỘ MUA HÀNG'!$A$4:$AT$4, 0))) = TRIM(AJ$6)) * (INDEX('6. TIẾN ĐỘ MUA HÀNG'!$A$5:$AT644, 0, XMATCH("Mã đơn Misa", '6. TIẾN ĐỘ MUA HÀNG'!$A$4:$AT$4, 0)) &lt;&gt; ""))</f>
        <v>0</v>
      </c>
      <c r="AK138" s="756">
        <f t="array" ref="AK138">SUMPRODUCT(
  (INDEX('6. TIẾN ĐỘ MUA HÀNG'!$A$5:$AT644, 0, XMATCH("NCC VTBB/NL trong nước", '6. TIẾN ĐỘ MUA HÀNG'!$A$4:$AT$4, 0)) = $B138) * (TRIM(INDEX('6. TIẾN ĐỘ MUA HÀNG'!$A$5:$AT644, 0, XMATCH("Tháng", '6. TIẾN ĐỘ MUA HÀNG'!$A$4:$AT$4, 0))) = TRIM(AJ$6)) * (INDEX('6. TIẾN ĐỘ MUA HÀNG'!$A$5:$AT644, 0, XMATCH("CL NGÀY NCC DỰ KIẾN - NGÀY NHẬN HÀNG", '6. TIẾN ĐỘ MUA HÀNG'!$A$4:$AT$4, 0)) &lt; 0)
)</f>
        <v>0</v>
      </c>
      <c r="AL138" s="757">
        <f t="shared" si="25"/>
        <v>0</v>
      </c>
      <c r="AM138" s="726">
        <f t="shared" si="27"/>
        <v>0</v>
      </c>
      <c r="AN138" s="726">
        <f t="shared" si="28"/>
        <v>0</v>
      </c>
      <c r="AO138" s="727">
        <f t="shared" si="26"/>
        <v>0</v>
      </c>
    </row>
    <row r="139">
      <c r="A139" s="612">
        <v>131.0</v>
      </c>
      <c r="B139" s="624" t="str">
        <f>IFERROR(__xludf.DUMMYFUNCTION("""COMPUTED_VALUE"""),"HÓA CHẤT TOÀN CẦU")</f>
        <v>HÓA CHẤT TOÀN CẦU</v>
      </c>
      <c r="C139" s="754">
        <f t="array" ref="C139">SUMPRODUCT((TRIM(INDEX('6. TIẾN ĐỘ MUA HÀNG'!$A$5:$AT644, 0, XMATCH("NCC VTBB/NL trong nước", '6. TIẾN ĐỘ MUA HÀNG'!$A$4:$AT$4, 0))) = TRIM($B139)) * (TRIM(INDEX('6. TIẾN ĐỘ MUA HÀNG'!$A$5:$AT644, 0, XMATCH("Tháng", '6. TIẾN ĐỘ MUA HÀNG'!$A$4:$AT$4, 0))) = TRIM(C$6)) * (INDEX('6. TIẾN ĐỘ MUA HÀNG'!$A$5:$AT644, 0, XMATCH("Mã đơn Misa", '6. TIẾN ĐỘ MUA HÀNG'!$A$4:$AT$4, 0)) &lt;&gt; ""))</f>
        <v>0</v>
      </c>
      <c r="D139" s="754">
        <f t="array" ref="D139">SUMPRODUCT(
  (INDEX('6. TIẾN ĐỘ MUA HÀNG'!$A$5:$AT644, 0, XMATCH("NCC VTBB/NL trong nước", '6. TIẾN ĐỘ MUA HÀNG'!$A$4:$AT$4, 0)) = $B139) * (TRIM(INDEX('6. TIẾN ĐỘ MUA HÀNG'!$A$5:$AT644, 0, XMATCH("Tháng", '6. TIẾN ĐỘ MUA HÀNG'!$A$4:$AT$4, 0))) = TRIM(C$6)) * (INDEX('6. TIẾN ĐỘ MUA HÀNG'!$A$5:$AT644, 0, XMATCH("CL NGÀY NCC DỰ KIẾN - NGÀY NHẬN HÀNG", '6. TIẾN ĐỘ MUA HÀNG'!$A$4:$AT$4, 0)) &lt; 0)
)</f>
        <v>0</v>
      </c>
      <c r="E139" s="755">
        <f t="shared" si="29"/>
        <v>0</v>
      </c>
      <c r="F139" s="756">
        <f t="array" ref="F139">SUMPRODUCT((TRIM(INDEX('6. TIẾN ĐỘ MUA HÀNG'!$A$5:$AT644, 0, XMATCH("NCC VTBB/NL trong nước", '6. TIẾN ĐỘ MUA HÀNG'!$A$4:$AT$4, 0))) = TRIM($B139)) * (TRIM(INDEX('6. TIẾN ĐỘ MUA HÀNG'!$A$5:$AT644, 0, XMATCH("Tháng", '6. TIẾN ĐỘ MUA HÀNG'!$A$4:$AT$4, 0))) = TRIM(F$6)) * (INDEX('6. TIẾN ĐỘ MUA HÀNG'!$A$5:$AT644, 0, XMATCH("Mã đơn Misa", '6. TIẾN ĐỘ MUA HÀNG'!$A$4:$AT$4, 0)) &lt;&gt; ""))</f>
        <v>0</v>
      </c>
      <c r="G139" s="756">
        <f t="array" ref="G139">SUMPRODUCT(
  (INDEX('6. TIẾN ĐỘ MUA HÀNG'!$A$5:$AT644, 0, XMATCH("NCC VTBB/NL trong nước", '6. TIẾN ĐỘ MUA HÀNG'!$A$4:$AT$4, 0)) = $B139) * (TRIM(INDEX('6. TIẾN ĐỘ MUA HÀNG'!$A$5:$AT644, 0, XMATCH("Tháng", '6. TIẾN ĐỘ MUA HÀNG'!$A$4:$AT$4, 0))) = TRIM(F$6)) * (INDEX('6. TIẾN ĐỘ MUA HÀNG'!$A$5:$AT644, 0, XMATCH("CL NGÀY NCC DỰ KIẾN - NGÀY NHẬN HÀNG", '6. TIẾN ĐỘ MUA HÀNG'!$A$4:$AT$4, 0)) &lt; 0)
)</f>
        <v>0</v>
      </c>
      <c r="H139" s="757">
        <f t="shared" si="15"/>
        <v>0</v>
      </c>
      <c r="I139" s="754">
        <f t="array" ref="I139">SUMPRODUCT((TRIM(INDEX('6. TIẾN ĐỘ MUA HÀNG'!$A$5:$AT644, 0, XMATCH("NCC VTBB/NL trong nước", '6. TIẾN ĐỘ MUA HÀNG'!$A$4:$AT$4, 0))) = TRIM($B139)) * (TRIM(INDEX('6. TIẾN ĐỘ MUA HÀNG'!$A$5:$AT644, 0, XMATCH("Tháng", '6. TIẾN ĐỘ MUA HÀNG'!$A$4:$AT$4, 0))) = TRIM(I$6)) * (INDEX('6. TIẾN ĐỘ MUA HÀNG'!$A$5:$AT644, 0, XMATCH("Mã đơn Misa", '6. TIẾN ĐỘ MUA HÀNG'!$A$4:$AT$4, 0)) &lt;&gt; ""))</f>
        <v>0</v>
      </c>
      <c r="J139" s="754">
        <f t="array" ref="J139">SUMPRODUCT(
  (INDEX('6. TIẾN ĐỘ MUA HÀNG'!$A$5:$AT644, 0, XMATCH("NCC VTBB/NL trong nước", '6. TIẾN ĐỘ MUA HÀNG'!$A$4:$AT$4, 0)) = $B139) * (TRIM(INDEX('6. TIẾN ĐỘ MUA HÀNG'!$A$5:$AT644, 0, XMATCH("Tháng", '6. TIẾN ĐỘ MUA HÀNG'!$A$4:$AT$4, 0))) = TRIM(I$6)) * (INDEX('6. TIẾN ĐỘ MUA HÀNG'!$A$5:$AT644, 0, XMATCH("CL NGÀY NCC DỰ KIẾN - NGÀY NHẬN HÀNG", '6. TIẾN ĐỘ MUA HÀNG'!$A$4:$AT$4, 0)) &lt; 0)
)</f>
        <v>0</v>
      </c>
      <c r="K139" s="755">
        <f t="shared" si="30"/>
        <v>0</v>
      </c>
      <c r="L139" s="756">
        <f t="array" ref="L139">SUMPRODUCT((TRIM(INDEX('6. TIẾN ĐỘ MUA HÀNG'!$A$5:$AT644, 0, XMATCH("NCC VTBB/NL trong nước", '6. TIẾN ĐỘ MUA HÀNG'!$A$4:$AT$4, 0))) = TRIM($B139)) * (TRIM(INDEX('6. TIẾN ĐỘ MUA HÀNG'!$A$5:$AT644, 0, XMATCH("Tháng", '6. TIẾN ĐỘ MUA HÀNG'!$A$4:$AT$4, 0))) = TRIM(L$6)) * (INDEX('6. TIẾN ĐỘ MUA HÀNG'!$A$5:$AT644, 0, XMATCH("Mã đơn Misa", '6. TIẾN ĐỘ MUA HÀNG'!$A$4:$AT$4, 0)) &lt;&gt; ""))</f>
        <v>0</v>
      </c>
      <c r="M139" s="756">
        <f t="array" ref="M139">SUMPRODUCT(
  (INDEX('6. TIẾN ĐỘ MUA HÀNG'!$A$5:$AT644, 0, XMATCH("NCC VTBB/NL trong nước", '6. TIẾN ĐỘ MUA HÀNG'!$A$4:$AT$4, 0)) = $B139) * (TRIM(INDEX('6. TIẾN ĐỘ MUA HÀNG'!$A$5:$AT644, 0, XMATCH("Tháng", '6. TIẾN ĐỘ MUA HÀNG'!$A$4:$AT$4, 0))) = TRIM(L$6)) * (INDEX('6. TIẾN ĐỘ MUA HÀNG'!$A$5:$AT644, 0, XMATCH("CL NGÀY NCC DỰ KIẾN - NGÀY NHẬN HÀNG", '6. TIẾN ĐỘ MUA HÀNG'!$A$4:$AT$4, 0)) &lt; 0)
)</f>
        <v>0</v>
      </c>
      <c r="N139" s="757">
        <f t="shared" si="17"/>
        <v>0</v>
      </c>
      <c r="O139" s="754">
        <f t="array" ref="O139">SUMPRODUCT((TRIM(INDEX('6. TIẾN ĐỘ MUA HÀNG'!$A$5:$AT644, 0, XMATCH("NCC VTBB/NL trong nước", '6. TIẾN ĐỘ MUA HÀNG'!$A$4:$AT$4, 0))) = TRIM($B139)) * (TRIM(INDEX('6. TIẾN ĐỘ MUA HÀNG'!$A$5:$AT644, 0, XMATCH("Tháng", '6. TIẾN ĐỘ MUA HÀNG'!$A$4:$AT$4, 0))) = TRIM(O$6)) * (INDEX('6. TIẾN ĐỘ MUA HÀNG'!$A$5:$AT644, 0, XMATCH("Mã đơn Misa", '6. TIẾN ĐỘ MUA HÀNG'!$A$4:$AT$4, 0)) &lt;&gt; ""))</f>
        <v>0</v>
      </c>
      <c r="P139" s="754">
        <f t="array" ref="P139">SUMPRODUCT(
  (INDEX('6. TIẾN ĐỘ MUA HÀNG'!$A$5:$AT644, 0, XMATCH("NCC VTBB/NL trong nước", '6. TIẾN ĐỘ MUA HÀNG'!$A$4:$AT$4, 0)) = $B139) * (TRIM(INDEX('6. TIẾN ĐỘ MUA HÀNG'!$A$5:$AT644, 0, XMATCH("Tháng", '6. TIẾN ĐỘ MUA HÀNG'!$A$4:$AT$4, 0))) = TRIM(O$6)) * (INDEX('6. TIẾN ĐỘ MUA HÀNG'!$A$5:$AT644, 0, XMATCH("CL NGÀY NCC DỰ KIẾN - NGÀY NHẬN HÀNG", '6. TIẾN ĐỘ MUA HÀNG'!$A$4:$AT$4, 0)) &lt; 0)
)</f>
        <v>0</v>
      </c>
      <c r="Q139" s="755">
        <f t="shared" si="31"/>
        <v>0</v>
      </c>
      <c r="R139" s="756">
        <f t="array" ref="R139">SUMPRODUCT((TRIM(INDEX('6. TIẾN ĐỘ MUA HÀNG'!$A$5:$AT644, 0, XMATCH("NCC VTBB/NL trong nước", '6. TIẾN ĐỘ MUA HÀNG'!$A$4:$AT$4, 0))) = TRIM($B139)) * (TRIM(INDEX('6. TIẾN ĐỘ MUA HÀNG'!$A$5:$AT644, 0, XMATCH("Tháng", '6. TIẾN ĐỘ MUA HÀNG'!$A$4:$AT$4, 0))) = TRIM(R$6)) * (INDEX('6. TIẾN ĐỘ MUA HÀNG'!$A$5:$AT644, 0, XMATCH("Mã đơn Misa", '6. TIẾN ĐỘ MUA HÀNG'!$A$4:$AT$4, 0)) &lt;&gt; ""))</f>
        <v>0</v>
      </c>
      <c r="S139" s="756">
        <f t="array" ref="S139">SUMPRODUCT(
  (INDEX('6. TIẾN ĐỘ MUA HÀNG'!$A$5:$AT644, 0, XMATCH("NCC VTBB/NL trong nước", '6. TIẾN ĐỘ MUA HÀNG'!$A$4:$AT$4, 0)) = $B139) * (TRIM(INDEX('6. TIẾN ĐỘ MUA HÀNG'!$A$5:$AT644, 0, XMATCH("Tháng", '6. TIẾN ĐỘ MUA HÀNG'!$A$4:$AT$4, 0))) = TRIM(R$6)) * (INDEX('6. TIẾN ĐỘ MUA HÀNG'!$A$5:$AT644, 0, XMATCH("CL NGÀY NCC DỰ KIẾN - NGÀY NHẬN HÀNG", '6. TIẾN ĐỘ MUA HÀNG'!$A$4:$AT$4, 0)) &lt; 0)
)</f>
        <v>0</v>
      </c>
      <c r="T139" s="757">
        <f t="shared" si="19"/>
        <v>0</v>
      </c>
      <c r="U139" s="754">
        <f t="array" ref="U139">SUMPRODUCT((TRIM(INDEX('6. TIẾN ĐỘ MUA HÀNG'!$A$5:$AT644, 0, XMATCH("NCC VTBB/NL trong nước", '6. TIẾN ĐỘ MUA HÀNG'!$A$4:$AT$4, 0))) = TRIM($B139)) * (TRIM(INDEX('6. TIẾN ĐỘ MUA HÀNG'!$A$5:$AT644, 0, XMATCH("Tháng", '6. TIẾN ĐỘ MUA HÀNG'!$A$4:$AT$4, 0))) = TRIM(U$6)) * (INDEX('6. TIẾN ĐỘ MUA HÀNG'!$A$5:$AT644, 0, XMATCH("Mã đơn Misa", '6. TIẾN ĐỘ MUA HÀNG'!$A$4:$AT$4, 0)) &lt;&gt; ""))</f>
        <v>0</v>
      </c>
      <c r="V139" s="754">
        <f t="array" ref="V139">SUMPRODUCT(
  (INDEX('6. TIẾN ĐỘ MUA HÀNG'!$A$5:$AT644, 0, XMATCH("NCC VTBB/NL trong nước", '6. TIẾN ĐỘ MUA HÀNG'!$A$4:$AT$4, 0)) = $B139) * (TRIM(INDEX('6. TIẾN ĐỘ MUA HÀNG'!$A$5:$AT644, 0, XMATCH("Tháng", '6. TIẾN ĐỘ MUA HÀNG'!$A$4:$AT$4, 0))) = TRIM(U$6)) * (INDEX('6. TIẾN ĐỘ MUA HÀNG'!$A$5:$AT644, 0, XMATCH("CL NGÀY NCC DỰ KIẾN - NGÀY NHẬN HÀNG", '6. TIẾN ĐỘ MUA HÀNG'!$A$4:$AT$4, 0)) &lt; 0)
)</f>
        <v>0</v>
      </c>
      <c r="W139" s="755">
        <f t="shared" si="32"/>
        <v>0</v>
      </c>
      <c r="X139" s="756">
        <f t="array" ref="X139">SUMPRODUCT((TRIM(INDEX('6. TIẾN ĐỘ MUA HÀNG'!$A$5:$AT644, 0, XMATCH("NCC VTBB/NL trong nước", '6. TIẾN ĐỘ MUA HÀNG'!$A$4:$AT$4, 0))) = TRIM($B139)) * (TRIM(INDEX('6. TIẾN ĐỘ MUA HÀNG'!$A$5:$AT644, 0, XMATCH("Tháng", '6. TIẾN ĐỘ MUA HÀNG'!$A$4:$AT$4, 0))) = TRIM(X$6)) * (INDEX('6. TIẾN ĐỘ MUA HÀNG'!$A$5:$AT644, 0, XMATCH("Mã đơn Misa", '6. TIẾN ĐỘ MUA HÀNG'!$A$4:$AT$4, 0)) &lt;&gt; ""))</f>
        <v>0</v>
      </c>
      <c r="Y139" s="756">
        <f t="array" ref="Y139">SUMPRODUCT(
  (INDEX('6. TIẾN ĐỘ MUA HÀNG'!$A$5:$AT644, 0, XMATCH("NCC VTBB/NL trong nước", '6. TIẾN ĐỘ MUA HÀNG'!$A$4:$AT$4, 0)) = $B139) * (TRIM(INDEX('6. TIẾN ĐỘ MUA HÀNG'!$A$5:$AT644, 0, XMATCH("Tháng", '6. TIẾN ĐỘ MUA HÀNG'!$A$4:$AT$4, 0))) = TRIM(X$6)) * (INDEX('6. TIẾN ĐỘ MUA HÀNG'!$A$5:$AT644, 0, XMATCH("CL NGÀY NCC DỰ KIẾN - NGÀY NHẬN HÀNG", '6. TIẾN ĐỘ MUA HÀNG'!$A$4:$AT$4, 0)) &lt; 0)
)</f>
        <v>0</v>
      </c>
      <c r="Z139" s="757">
        <f t="shared" si="21"/>
        <v>0</v>
      </c>
      <c r="AA139" s="754">
        <f t="array" ref="AA139">SUMPRODUCT((TRIM(INDEX('6. TIẾN ĐỘ MUA HÀNG'!$A$5:$AT644, 0, XMATCH("NCC VTBB/NL trong nước", '6. TIẾN ĐỘ MUA HÀNG'!$A$4:$AT$4, 0))) = TRIM($B139)) * (TRIM(INDEX('6. TIẾN ĐỘ MUA HÀNG'!$A$5:$AT644, 0, XMATCH("Tháng", '6. TIẾN ĐỘ MUA HÀNG'!$A$4:$AT$4, 0))) = TRIM(AA$6)) * (INDEX('6. TIẾN ĐỘ MUA HÀNG'!$A$5:$AT644, 0, XMATCH("Mã đơn Misa", '6. TIẾN ĐỘ MUA HÀNG'!$A$4:$AT$4, 0)) &lt;&gt; ""))</f>
        <v>0</v>
      </c>
      <c r="AB139" s="754">
        <f t="array" ref="AB139">SUMPRODUCT(
  (INDEX('6. TIẾN ĐỘ MUA HÀNG'!$A$5:$AT644, 0, XMATCH("NCC VTBB/NL trong nước", '6. TIẾN ĐỘ MUA HÀNG'!$A$4:$AT$4, 0)) = $B139) * (TRIM(INDEX('6. TIẾN ĐỘ MUA HÀNG'!$A$5:$AT644, 0, XMATCH("Tháng", '6. TIẾN ĐỘ MUA HÀNG'!$A$4:$AT$4, 0))) = TRIM(AA$6)) * (INDEX('6. TIẾN ĐỘ MUA HÀNG'!$A$5:$AT644, 0, XMATCH("CL NGÀY NCC DỰ KIẾN - NGÀY NHẬN HÀNG", '6. TIẾN ĐỘ MUA HÀNG'!$A$4:$AT$4, 0)) &lt; 0)
)</f>
        <v>0</v>
      </c>
      <c r="AC139" s="755">
        <f t="shared" si="33"/>
        <v>0</v>
      </c>
      <c r="AD139" s="756">
        <f t="array" ref="AD139">SUMPRODUCT((TRIM(INDEX('6. TIẾN ĐỘ MUA HÀNG'!$A$5:$AT644, 0, XMATCH("NCC VTBB/NL trong nước", '6. TIẾN ĐỘ MUA HÀNG'!$A$4:$AT$4, 0))) = TRIM($B139)) * (TRIM(INDEX('6. TIẾN ĐỘ MUA HÀNG'!$A$5:$AT644, 0, XMATCH("Tháng", '6. TIẾN ĐỘ MUA HÀNG'!$A$4:$AT$4, 0))) = TRIM(AD$6)) * (INDEX('6. TIẾN ĐỘ MUA HÀNG'!$A$5:$AT644, 0, XMATCH("Mã đơn Misa", '6. TIẾN ĐỘ MUA HÀNG'!$A$4:$AT$4, 0)) &lt;&gt; ""))</f>
        <v>0</v>
      </c>
      <c r="AE139" s="756">
        <f t="array" ref="AE139">SUMPRODUCT(
  (INDEX('6. TIẾN ĐỘ MUA HÀNG'!$A$5:$AT644, 0, XMATCH("NCC VTBB/NL trong nước", '6. TIẾN ĐỘ MUA HÀNG'!$A$4:$AT$4, 0)) = $B139) * (TRIM(INDEX('6. TIẾN ĐỘ MUA HÀNG'!$A$5:$AT644, 0, XMATCH("Tháng", '6. TIẾN ĐỘ MUA HÀNG'!$A$4:$AT$4, 0))) = TRIM(AD$6)) * (INDEX('6. TIẾN ĐỘ MUA HÀNG'!$A$5:$AT644, 0, XMATCH("CL NGÀY NCC DỰ KIẾN - NGÀY NHẬN HÀNG", '6. TIẾN ĐỘ MUA HÀNG'!$A$4:$AT$4, 0)) &lt; 0)
)</f>
        <v>0</v>
      </c>
      <c r="AF139" s="757">
        <f t="shared" si="23"/>
        <v>0</v>
      </c>
      <c r="AG139" s="754">
        <f t="array" ref="AG139">SUMPRODUCT((TRIM(INDEX('6. TIẾN ĐỘ MUA HÀNG'!$A$5:$AT644, 0, XMATCH("NCC VTBB/NL trong nước", '6. TIẾN ĐỘ MUA HÀNG'!$A$4:$AT$4, 0))) = TRIM($B139)) * (TRIM(INDEX('6. TIẾN ĐỘ MUA HÀNG'!$A$5:$AT644, 0, XMATCH("Tháng", '6. TIẾN ĐỘ MUA HÀNG'!$A$4:$AT$4, 0))) = TRIM(AG$6)) * (INDEX('6. TIẾN ĐỘ MUA HÀNG'!$A$5:$AT644, 0, XMATCH("Mã đơn Misa", '6. TIẾN ĐỘ MUA HÀNG'!$A$4:$AT$4, 0)) &lt;&gt; ""))</f>
        <v>0</v>
      </c>
      <c r="AH139" s="754">
        <f t="array" ref="AH139">SUMPRODUCT(
  (INDEX('6. TIẾN ĐỘ MUA HÀNG'!$A$5:$AT644, 0, XMATCH("NCC VTBB/NL trong nước", '6. TIẾN ĐỘ MUA HÀNG'!$A$4:$AT$4, 0)) = $B139) * (TRIM(INDEX('6. TIẾN ĐỘ MUA HÀNG'!$A$5:$AT644, 0, XMATCH("Tháng", '6. TIẾN ĐỘ MUA HÀNG'!$A$4:$AT$4, 0))) = TRIM(AG$6)) * (INDEX('6. TIẾN ĐỘ MUA HÀNG'!$A$5:$AT644, 0, XMATCH("CL NGÀY NCC DỰ KIẾN - NGÀY NHẬN HÀNG", '6. TIẾN ĐỘ MUA HÀNG'!$A$4:$AT$4, 0)) &lt; 0)
)</f>
        <v>0</v>
      </c>
      <c r="AI139" s="755">
        <f t="shared" si="34"/>
        <v>0</v>
      </c>
      <c r="AJ139" s="756">
        <f t="array" ref="AJ139">SUMPRODUCT((TRIM(INDEX('6. TIẾN ĐỘ MUA HÀNG'!$A$5:$AT644, 0, XMATCH("NCC VTBB/NL trong nước", '6. TIẾN ĐỘ MUA HÀNG'!$A$4:$AT$4, 0))) = TRIM($B139)) * (TRIM(INDEX('6. TIẾN ĐỘ MUA HÀNG'!$A$5:$AT644, 0, XMATCH("Tháng", '6. TIẾN ĐỘ MUA HÀNG'!$A$4:$AT$4, 0))) = TRIM(AJ$6)) * (INDEX('6. TIẾN ĐỘ MUA HÀNG'!$A$5:$AT644, 0, XMATCH("Mã đơn Misa", '6. TIẾN ĐỘ MUA HÀNG'!$A$4:$AT$4, 0)) &lt;&gt; ""))</f>
        <v>0</v>
      </c>
      <c r="AK139" s="756">
        <f t="array" ref="AK139">SUMPRODUCT(
  (INDEX('6. TIẾN ĐỘ MUA HÀNG'!$A$5:$AT644, 0, XMATCH("NCC VTBB/NL trong nước", '6. TIẾN ĐỘ MUA HÀNG'!$A$4:$AT$4, 0)) = $B139) * (TRIM(INDEX('6. TIẾN ĐỘ MUA HÀNG'!$A$5:$AT644, 0, XMATCH("Tháng", '6. TIẾN ĐỘ MUA HÀNG'!$A$4:$AT$4, 0))) = TRIM(AJ$6)) * (INDEX('6. TIẾN ĐỘ MUA HÀNG'!$A$5:$AT644, 0, XMATCH("CL NGÀY NCC DỰ KIẾN - NGÀY NHẬN HÀNG", '6. TIẾN ĐỘ MUA HÀNG'!$A$4:$AT$4, 0)) &lt; 0)
)</f>
        <v>0</v>
      </c>
      <c r="AL139" s="757">
        <f t="shared" si="25"/>
        <v>0</v>
      </c>
      <c r="AM139" s="726">
        <f t="shared" si="27"/>
        <v>0</v>
      </c>
      <c r="AN139" s="726">
        <f t="shared" si="28"/>
        <v>0</v>
      </c>
      <c r="AO139" s="727">
        <f t="shared" si="26"/>
        <v>0</v>
      </c>
    </row>
    <row r="140">
      <c r="A140" s="612">
        <v>132.0</v>
      </c>
      <c r="B140" s="624" t="str">
        <f>IFERROR(__xludf.DUMMYFUNCTION("""COMPUTED_VALUE"""),"CAO VẠN THỊNH")</f>
        <v>CAO VẠN THỊNH</v>
      </c>
      <c r="C140" s="754">
        <f t="array" ref="C140">SUMPRODUCT((TRIM(INDEX('6. TIẾN ĐỘ MUA HÀNG'!$A$5:$AT644, 0, XMATCH("NCC VTBB/NL trong nước", '6. TIẾN ĐỘ MUA HÀNG'!$A$4:$AT$4, 0))) = TRIM($B140)) * (TRIM(INDEX('6. TIẾN ĐỘ MUA HÀNG'!$A$5:$AT644, 0, XMATCH("Tháng", '6. TIẾN ĐỘ MUA HÀNG'!$A$4:$AT$4, 0))) = TRIM(C$6)) * (INDEX('6. TIẾN ĐỘ MUA HÀNG'!$A$5:$AT644, 0, XMATCH("Mã đơn Misa", '6. TIẾN ĐỘ MUA HÀNG'!$A$4:$AT$4, 0)) &lt;&gt; ""))</f>
        <v>0</v>
      </c>
      <c r="D140" s="754">
        <f t="array" ref="D140">SUMPRODUCT(
  (INDEX('6. TIẾN ĐỘ MUA HÀNG'!$A$5:$AT644, 0, XMATCH("NCC VTBB/NL trong nước", '6. TIẾN ĐỘ MUA HÀNG'!$A$4:$AT$4, 0)) = $B140) * (TRIM(INDEX('6. TIẾN ĐỘ MUA HÀNG'!$A$5:$AT644, 0, XMATCH("Tháng", '6. TIẾN ĐỘ MUA HÀNG'!$A$4:$AT$4, 0))) = TRIM(C$6)) * (INDEX('6. TIẾN ĐỘ MUA HÀNG'!$A$5:$AT644, 0, XMATCH("CL NGÀY NCC DỰ KIẾN - NGÀY NHẬN HÀNG", '6. TIẾN ĐỘ MUA HÀNG'!$A$4:$AT$4, 0)) &lt; 0)
)</f>
        <v>0</v>
      </c>
      <c r="E140" s="755">
        <f t="shared" si="29"/>
        <v>0</v>
      </c>
      <c r="F140" s="756">
        <f t="array" ref="F140">SUMPRODUCT((TRIM(INDEX('6. TIẾN ĐỘ MUA HÀNG'!$A$5:$AT644, 0, XMATCH("NCC VTBB/NL trong nước", '6. TIẾN ĐỘ MUA HÀNG'!$A$4:$AT$4, 0))) = TRIM($B140)) * (TRIM(INDEX('6. TIẾN ĐỘ MUA HÀNG'!$A$5:$AT644, 0, XMATCH("Tháng", '6. TIẾN ĐỘ MUA HÀNG'!$A$4:$AT$4, 0))) = TRIM(F$6)) * (INDEX('6. TIẾN ĐỘ MUA HÀNG'!$A$5:$AT644, 0, XMATCH("Mã đơn Misa", '6. TIẾN ĐỘ MUA HÀNG'!$A$4:$AT$4, 0)) &lt;&gt; ""))</f>
        <v>0</v>
      </c>
      <c r="G140" s="756">
        <f t="array" ref="G140">SUMPRODUCT(
  (INDEX('6. TIẾN ĐỘ MUA HÀNG'!$A$5:$AT644, 0, XMATCH("NCC VTBB/NL trong nước", '6. TIẾN ĐỘ MUA HÀNG'!$A$4:$AT$4, 0)) = $B140) * (TRIM(INDEX('6. TIẾN ĐỘ MUA HÀNG'!$A$5:$AT644, 0, XMATCH("Tháng", '6. TIẾN ĐỘ MUA HÀNG'!$A$4:$AT$4, 0))) = TRIM(F$6)) * (INDEX('6. TIẾN ĐỘ MUA HÀNG'!$A$5:$AT644, 0, XMATCH("CL NGÀY NCC DỰ KIẾN - NGÀY NHẬN HÀNG", '6. TIẾN ĐỘ MUA HÀNG'!$A$4:$AT$4, 0)) &lt; 0)
)</f>
        <v>0</v>
      </c>
      <c r="H140" s="757">
        <f t="shared" si="15"/>
        <v>0</v>
      </c>
      <c r="I140" s="754">
        <f t="array" ref="I140">SUMPRODUCT((TRIM(INDEX('6. TIẾN ĐỘ MUA HÀNG'!$A$5:$AT644, 0, XMATCH("NCC VTBB/NL trong nước", '6. TIẾN ĐỘ MUA HÀNG'!$A$4:$AT$4, 0))) = TRIM($B140)) * (TRIM(INDEX('6. TIẾN ĐỘ MUA HÀNG'!$A$5:$AT644, 0, XMATCH("Tháng", '6. TIẾN ĐỘ MUA HÀNG'!$A$4:$AT$4, 0))) = TRIM(I$6)) * (INDEX('6. TIẾN ĐỘ MUA HÀNG'!$A$5:$AT644, 0, XMATCH("Mã đơn Misa", '6. TIẾN ĐỘ MUA HÀNG'!$A$4:$AT$4, 0)) &lt;&gt; ""))</f>
        <v>0</v>
      </c>
      <c r="J140" s="754">
        <f t="array" ref="J140">SUMPRODUCT(
  (INDEX('6. TIẾN ĐỘ MUA HÀNG'!$A$5:$AT644, 0, XMATCH("NCC VTBB/NL trong nước", '6. TIẾN ĐỘ MUA HÀNG'!$A$4:$AT$4, 0)) = $B140) * (TRIM(INDEX('6. TIẾN ĐỘ MUA HÀNG'!$A$5:$AT644, 0, XMATCH("Tháng", '6. TIẾN ĐỘ MUA HÀNG'!$A$4:$AT$4, 0))) = TRIM(I$6)) * (INDEX('6. TIẾN ĐỘ MUA HÀNG'!$A$5:$AT644, 0, XMATCH("CL NGÀY NCC DỰ KIẾN - NGÀY NHẬN HÀNG", '6. TIẾN ĐỘ MUA HÀNG'!$A$4:$AT$4, 0)) &lt; 0)
)</f>
        <v>0</v>
      </c>
      <c r="K140" s="755">
        <f t="shared" si="30"/>
        <v>0</v>
      </c>
      <c r="L140" s="756">
        <f t="array" ref="L140">SUMPRODUCT((TRIM(INDEX('6. TIẾN ĐỘ MUA HÀNG'!$A$5:$AT644, 0, XMATCH("NCC VTBB/NL trong nước", '6. TIẾN ĐỘ MUA HÀNG'!$A$4:$AT$4, 0))) = TRIM($B140)) * (TRIM(INDEX('6. TIẾN ĐỘ MUA HÀNG'!$A$5:$AT644, 0, XMATCH("Tháng", '6. TIẾN ĐỘ MUA HÀNG'!$A$4:$AT$4, 0))) = TRIM(L$6)) * (INDEX('6. TIẾN ĐỘ MUA HÀNG'!$A$5:$AT644, 0, XMATCH("Mã đơn Misa", '6. TIẾN ĐỘ MUA HÀNG'!$A$4:$AT$4, 0)) &lt;&gt; ""))</f>
        <v>0</v>
      </c>
      <c r="M140" s="756">
        <f t="array" ref="M140">SUMPRODUCT(
  (INDEX('6. TIẾN ĐỘ MUA HÀNG'!$A$5:$AT644, 0, XMATCH("NCC VTBB/NL trong nước", '6. TIẾN ĐỘ MUA HÀNG'!$A$4:$AT$4, 0)) = $B140) * (TRIM(INDEX('6. TIẾN ĐỘ MUA HÀNG'!$A$5:$AT644, 0, XMATCH("Tháng", '6. TIẾN ĐỘ MUA HÀNG'!$A$4:$AT$4, 0))) = TRIM(L$6)) * (INDEX('6. TIẾN ĐỘ MUA HÀNG'!$A$5:$AT644, 0, XMATCH("CL NGÀY NCC DỰ KIẾN - NGÀY NHẬN HÀNG", '6. TIẾN ĐỘ MUA HÀNG'!$A$4:$AT$4, 0)) &lt; 0)
)</f>
        <v>0</v>
      </c>
      <c r="N140" s="757">
        <f t="shared" si="17"/>
        <v>0</v>
      </c>
      <c r="O140" s="754">
        <f t="array" ref="O140">SUMPRODUCT((TRIM(INDEX('6. TIẾN ĐỘ MUA HÀNG'!$A$5:$AT644, 0, XMATCH("NCC VTBB/NL trong nước", '6. TIẾN ĐỘ MUA HÀNG'!$A$4:$AT$4, 0))) = TRIM($B140)) * (TRIM(INDEX('6. TIẾN ĐỘ MUA HÀNG'!$A$5:$AT644, 0, XMATCH("Tháng", '6. TIẾN ĐỘ MUA HÀNG'!$A$4:$AT$4, 0))) = TRIM(O$6)) * (INDEX('6. TIẾN ĐỘ MUA HÀNG'!$A$5:$AT644, 0, XMATCH("Mã đơn Misa", '6. TIẾN ĐỘ MUA HÀNG'!$A$4:$AT$4, 0)) &lt;&gt; ""))</f>
        <v>0</v>
      </c>
      <c r="P140" s="754">
        <f t="array" ref="P140">SUMPRODUCT(
  (INDEX('6. TIẾN ĐỘ MUA HÀNG'!$A$5:$AT644, 0, XMATCH("NCC VTBB/NL trong nước", '6. TIẾN ĐỘ MUA HÀNG'!$A$4:$AT$4, 0)) = $B140) * (TRIM(INDEX('6. TIẾN ĐỘ MUA HÀNG'!$A$5:$AT644, 0, XMATCH("Tháng", '6. TIẾN ĐỘ MUA HÀNG'!$A$4:$AT$4, 0))) = TRIM(O$6)) * (INDEX('6. TIẾN ĐỘ MUA HÀNG'!$A$5:$AT644, 0, XMATCH("CL NGÀY NCC DỰ KIẾN - NGÀY NHẬN HÀNG", '6. TIẾN ĐỘ MUA HÀNG'!$A$4:$AT$4, 0)) &lt; 0)
)</f>
        <v>0</v>
      </c>
      <c r="Q140" s="755">
        <f t="shared" si="31"/>
        <v>0</v>
      </c>
      <c r="R140" s="756">
        <f t="array" ref="R140">SUMPRODUCT((TRIM(INDEX('6. TIẾN ĐỘ MUA HÀNG'!$A$5:$AT644, 0, XMATCH("NCC VTBB/NL trong nước", '6. TIẾN ĐỘ MUA HÀNG'!$A$4:$AT$4, 0))) = TRIM($B140)) * (TRIM(INDEX('6. TIẾN ĐỘ MUA HÀNG'!$A$5:$AT644, 0, XMATCH("Tháng", '6. TIẾN ĐỘ MUA HÀNG'!$A$4:$AT$4, 0))) = TRIM(R$6)) * (INDEX('6. TIẾN ĐỘ MUA HÀNG'!$A$5:$AT644, 0, XMATCH("Mã đơn Misa", '6. TIẾN ĐỘ MUA HÀNG'!$A$4:$AT$4, 0)) &lt;&gt; ""))</f>
        <v>0</v>
      </c>
      <c r="S140" s="756">
        <f t="array" ref="S140">SUMPRODUCT(
  (INDEX('6. TIẾN ĐỘ MUA HÀNG'!$A$5:$AT644, 0, XMATCH("NCC VTBB/NL trong nước", '6. TIẾN ĐỘ MUA HÀNG'!$A$4:$AT$4, 0)) = $B140) * (TRIM(INDEX('6. TIẾN ĐỘ MUA HÀNG'!$A$5:$AT644, 0, XMATCH("Tháng", '6. TIẾN ĐỘ MUA HÀNG'!$A$4:$AT$4, 0))) = TRIM(R$6)) * (INDEX('6. TIẾN ĐỘ MUA HÀNG'!$A$5:$AT644, 0, XMATCH("CL NGÀY NCC DỰ KIẾN - NGÀY NHẬN HÀNG", '6. TIẾN ĐỘ MUA HÀNG'!$A$4:$AT$4, 0)) &lt; 0)
)</f>
        <v>0</v>
      </c>
      <c r="T140" s="757">
        <f t="shared" si="19"/>
        <v>0</v>
      </c>
      <c r="U140" s="754">
        <f t="array" ref="U140">SUMPRODUCT((TRIM(INDEX('6. TIẾN ĐỘ MUA HÀNG'!$A$5:$AT644, 0, XMATCH("NCC VTBB/NL trong nước", '6. TIẾN ĐỘ MUA HÀNG'!$A$4:$AT$4, 0))) = TRIM($B140)) * (TRIM(INDEX('6. TIẾN ĐỘ MUA HÀNG'!$A$5:$AT644, 0, XMATCH("Tháng", '6. TIẾN ĐỘ MUA HÀNG'!$A$4:$AT$4, 0))) = TRIM(U$6)) * (INDEX('6. TIẾN ĐỘ MUA HÀNG'!$A$5:$AT644, 0, XMATCH("Mã đơn Misa", '6. TIẾN ĐỘ MUA HÀNG'!$A$4:$AT$4, 0)) &lt;&gt; ""))</f>
        <v>0</v>
      </c>
      <c r="V140" s="754">
        <f t="array" ref="V140">SUMPRODUCT(
  (INDEX('6. TIẾN ĐỘ MUA HÀNG'!$A$5:$AT644, 0, XMATCH("NCC VTBB/NL trong nước", '6. TIẾN ĐỘ MUA HÀNG'!$A$4:$AT$4, 0)) = $B140) * (TRIM(INDEX('6. TIẾN ĐỘ MUA HÀNG'!$A$5:$AT644, 0, XMATCH("Tháng", '6. TIẾN ĐỘ MUA HÀNG'!$A$4:$AT$4, 0))) = TRIM(U$6)) * (INDEX('6. TIẾN ĐỘ MUA HÀNG'!$A$5:$AT644, 0, XMATCH("CL NGÀY NCC DỰ KIẾN - NGÀY NHẬN HÀNG", '6. TIẾN ĐỘ MUA HÀNG'!$A$4:$AT$4, 0)) &lt; 0)
)</f>
        <v>0</v>
      </c>
      <c r="W140" s="755">
        <f t="shared" si="32"/>
        <v>0</v>
      </c>
      <c r="X140" s="756">
        <f t="array" ref="X140">SUMPRODUCT((TRIM(INDEX('6. TIẾN ĐỘ MUA HÀNG'!$A$5:$AT644, 0, XMATCH("NCC VTBB/NL trong nước", '6. TIẾN ĐỘ MUA HÀNG'!$A$4:$AT$4, 0))) = TRIM($B140)) * (TRIM(INDEX('6. TIẾN ĐỘ MUA HÀNG'!$A$5:$AT644, 0, XMATCH("Tháng", '6. TIẾN ĐỘ MUA HÀNG'!$A$4:$AT$4, 0))) = TRIM(X$6)) * (INDEX('6. TIẾN ĐỘ MUA HÀNG'!$A$5:$AT644, 0, XMATCH("Mã đơn Misa", '6. TIẾN ĐỘ MUA HÀNG'!$A$4:$AT$4, 0)) &lt;&gt; ""))</f>
        <v>0</v>
      </c>
      <c r="Y140" s="756">
        <f t="array" ref="Y140">SUMPRODUCT(
  (INDEX('6. TIẾN ĐỘ MUA HÀNG'!$A$5:$AT644, 0, XMATCH("NCC VTBB/NL trong nước", '6. TIẾN ĐỘ MUA HÀNG'!$A$4:$AT$4, 0)) = $B140) * (TRIM(INDEX('6. TIẾN ĐỘ MUA HÀNG'!$A$5:$AT644, 0, XMATCH("Tháng", '6. TIẾN ĐỘ MUA HÀNG'!$A$4:$AT$4, 0))) = TRIM(X$6)) * (INDEX('6. TIẾN ĐỘ MUA HÀNG'!$A$5:$AT644, 0, XMATCH("CL NGÀY NCC DỰ KIẾN - NGÀY NHẬN HÀNG", '6. TIẾN ĐỘ MUA HÀNG'!$A$4:$AT$4, 0)) &lt; 0)
)</f>
        <v>0</v>
      </c>
      <c r="Z140" s="757">
        <f t="shared" si="21"/>
        <v>0</v>
      </c>
      <c r="AA140" s="754">
        <f t="array" ref="AA140">SUMPRODUCT((TRIM(INDEX('6. TIẾN ĐỘ MUA HÀNG'!$A$5:$AT644, 0, XMATCH("NCC VTBB/NL trong nước", '6. TIẾN ĐỘ MUA HÀNG'!$A$4:$AT$4, 0))) = TRIM($B140)) * (TRIM(INDEX('6. TIẾN ĐỘ MUA HÀNG'!$A$5:$AT644, 0, XMATCH("Tháng", '6. TIẾN ĐỘ MUA HÀNG'!$A$4:$AT$4, 0))) = TRIM(AA$6)) * (INDEX('6. TIẾN ĐỘ MUA HÀNG'!$A$5:$AT644, 0, XMATCH("Mã đơn Misa", '6. TIẾN ĐỘ MUA HÀNG'!$A$4:$AT$4, 0)) &lt;&gt; ""))</f>
        <v>0</v>
      </c>
      <c r="AB140" s="754">
        <f t="array" ref="AB140">SUMPRODUCT(
  (INDEX('6. TIẾN ĐỘ MUA HÀNG'!$A$5:$AT644, 0, XMATCH("NCC VTBB/NL trong nước", '6. TIẾN ĐỘ MUA HÀNG'!$A$4:$AT$4, 0)) = $B140) * (TRIM(INDEX('6. TIẾN ĐỘ MUA HÀNG'!$A$5:$AT644, 0, XMATCH("Tháng", '6. TIẾN ĐỘ MUA HÀNG'!$A$4:$AT$4, 0))) = TRIM(AA$6)) * (INDEX('6. TIẾN ĐỘ MUA HÀNG'!$A$5:$AT644, 0, XMATCH("CL NGÀY NCC DỰ KIẾN - NGÀY NHẬN HÀNG", '6. TIẾN ĐỘ MUA HÀNG'!$A$4:$AT$4, 0)) &lt; 0)
)</f>
        <v>0</v>
      </c>
      <c r="AC140" s="755">
        <f t="shared" si="33"/>
        <v>0</v>
      </c>
      <c r="AD140" s="756">
        <f t="array" ref="AD140">SUMPRODUCT((TRIM(INDEX('6. TIẾN ĐỘ MUA HÀNG'!$A$5:$AT644, 0, XMATCH("NCC VTBB/NL trong nước", '6. TIẾN ĐỘ MUA HÀNG'!$A$4:$AT$4, 0))) = TRIM($B140)) * (TRIM(INDEX('6. TIẾN ĐỘ MUA HÀNG'!$A$5:$AT644, 0, XMATCH("Tháng", '6. TIẾN ĐỘ MUA HÀNG'!$A$4:$AT$4, 0))) = TRIM(AD$6)) * (INDEX('6. TIẾN ĐỘ MUA HÀNG'!$A$5:$AT644, 0, XMATCH("Mã đơn Misa", '6. TIẾN ĐỘ MUA HÀNG'!$A$4:$AT$4, 0)) &lt;&gt; ""))</f>
        <v>0</v>
      </c>
      <c r="AE140" s="756">
        <f t="array" ref="AE140">SUMPRODUCT(
  (INDEX('6. TIẾN ĐỘ MUA HÀNG'!$A$5:$AT644, 0, XMATCH("NCC VTBB/NL trong nước", '6. TIẾN ĐỘ MUA HÀNG'!$A$4:$AT$4, 0)) = $B140) * (TRIM(INDEX('6. TIẾN ĐỘ MUA HÀNG'!$A$5:$AT644, 0, XMATCH("Tháng", '6. TIẾN ĐỘ MUA HÀNG'!$A$4:$AT$4, 0))) = TRIM(AD$6)) * (INDEX('6. TIẾN ĐỘ MUA HÀNG'!$A$5:$AT644, 0, XMATCH("CL NGÀY NCC DỰ KIẾN - NGÀY NHẬN HÀNG", '6. TIẾN ĐỘ MUA HÀNG'!$A$4:$AT$4, 0)) &lt; 0)
)</f>
        <v>0</v>
      </c>
      <c r="AF140" s="757">
        <f t="shared" si="23"/>
        <v>0</v>
      </c>
      <c r="AG140" s="754">
        <f t="array" ref="AG140">SUMPRODUCT((TRIM(INDEX('6. TIẾN ĐỘ MUA HÀNG'!$A$5:$AT644, 0, XMATCH("NCC VTBB/NL trong nước", '6. TIẾN ĐỘ MUA HÀNG'!$A$4:$AT$4, 0))) = TRIM($B140)) * (TRIM(INDEX('6. TIẾN ĐỘ MUA HÀNG'!$A$5:$AT644, 0, XMATCH("Tháng", '6. TIẾN ĐỘ MUA HÀNG'!$A$4:$AT$4, 0))) = TRIM(AG$6)) * (INDEX('6. TIẾN ĐỘ MUA HÀNG'!$A$5:$AT644, 0, XMATCH("Mã đơn Misa", '6. TIẾN ĐỘ MUA HÀNG'!$A$4:$AT$4, 0)) &lt;&gt; ""))</f>
        <v>0</v>
      </c>
      <c r="AH140" s="754">
        <f t="array" ref="AH140">SUMPRODUCT(
  (INDEX('6. TIẾN ĐỘ MUA HÀNG'!$A$5:$AT644, 0, XMATCH("NCC VTBB/NL trong nước", '6. TIẾN ĐỘ MUA HÀNG'!$A$4:$AT$4, 0)) = $B140) * (TRIM(INDEX('6. TIẾN ĐỘ MUA HÀNG'!$A$5:$AT644, 0, XMATCH("Tháng", '6. TIẾN ĐỘ MUA HÀNG'!$A$4:$AT$4, 0))) = TRIM(AG$6)) * (INDEX('6. TIẾN ĐỘ MUA HÀNG'!$A$5:$AT644, 0, XMATCH("CL NGÀY NCC DỰ KIẾN - NGÀY NHẬN HÀNG", '6. TIẾN ĐỘ MUA HÀNG'!$A$4:$AT$4, 0)) &lt; 0)
)</f>
        <v>0</v>
      </c>
      <c r="AI140" s="755">
        <f t="shared" si="34"/>
        <v>0</v>
      </c>
      <c r="AJ140" s="756">
        <f t="array" ref="AJ140">SUMPRODUCT((TRIM(INDEX('6. TIẾN ĐỘ MUA HÀNG'!$A$5:$AT644, 0, XMATCH("NCC VTBB/NL trong nước", '6. TIẾN ĐỘ MUA HÀNG'!$A$4:$AT$4, 0))) = TRIM($B140)) * (TRIM(INDEX('6. TIẾN ĐỘ MUA HÀNG'!$A$5:$AT644, 0, XMATCH("Tháng", '6. TIẾN ĐỘ MUA HÀNG'!$A$4:$AT$4, 0))) = TRIM(AJ$6)) * (INDEX('6. TIẾN ĐỘ MUA HÀNG'!$A$5:$AT644, 0, XMATCH("Mã đơn Misa", '6. TIẾN ĐỘ MUA HÀNG'!$A$4:$AT$4, 0)) &lt;&gt; ""))</f>
        <v>0</v>
      </c>
      <c r="AK140" s="756">
        <f t="array" ref="AK140">SUMPRODUCT(
  (INDEX('6. TIẾN ĐỘ MUA HÀNG'!$A$5:$AT644, 0, XMATCH("NCC VTBB/NL trong nước", '6. TIẾN ĐỘ MUA HÀNG'!$A$4:$AT$4, 0)) = $B140) * (TRIM(INDEX('6. TIẾN ĐỘ MUA HÀNG'!$A$5:$AT644, 0, XMATCH("Tháng", '6. TIẾN ĐỘ MUA HÀNG'!$A$4:$AT$4, 0))) = TRIM(AJ$6)) * (INDEX('6. TIẾN ĐỘ MUA HÀNG'!$A$5:$AT644, 0, XMATCH("CL NGÀY NCC DỰ KIẾN - NGÀY NHẬN HÀNG", '6. TIẾN ĐỘ MUA HÀNG'!$A$4:$AT$4, 0)) &lt; 0)
)</f>
        <v>0</v>
      </c>
      <c r="AL140" s="757">
        <f t="shared" si="25"/>
        <v>0</v>
      </c>
      <c r="AM140" s="726">
        <f t="shared" si="27"/>
        <v>0</v>
      </c>
      <c r="AN140" s="726">
        <f t="shared" si="28"/>
        <v>0</v>
      </c>
      <c r="AO140" s="727">
        <f t="shared" si="26"/>
        <v>0</v>
      </c>
    </row>
    <row r="141">
      <c r="A141" s="612">
        <v>133.0</v>
      </c>
      <c r="B141" s="624" t="str">
        <f>IFERROR(__xludf.DUMMYFUNCTION("""COMPUTED_VALUE"""),"NGỌC HÂN XUYÊN Á")</f>
        <v>NGỌC HÂN XUYÊN Á</v>
      </c>
      <c r="C141" s="754">
        <f t="array" ref="C141">SUMPRODUCT((TRIM(INDEX('6. TIẾN ĐỘ MUA HÀNG'!$A$5:$AT644, 0, XMATCH("NCC VTBB/NL trong nước", '6. TIẾN ĐỘ MUA HÀNG'!$A$4:$AT$4, 0))) = TRIM($B141)) * (TRIM(INDEX('6. TIẾN ĐỘ MUA HÀNG'!$A$5:$AT644, 0, XMATCH("Tháng", '6. TIẾN ĐỘ MUA HÀNG'!$A$4:$AT$4, 0))) = TRIM(C$6)) * (INDEX('6. TIẾN ĐỘ MUA HÀNG'!$A$5:$AT644, 0, XMATCH("Mã đơn Misa", '6. TIẾN ĐỘ MUA HÀNG'!$A$4:$AT$4, 0)) &lt;&gt; ""))</f>
        <v>0</v>
      </c>
      <c r="D141" s="754">
        <f t="array" ref="D141">SUMPRODUCT(
  (INDEX('6. TIẾN ĐỘ MUA HÀNG'!$A$5:$AT644, 0, XMATCH("NCC VTBB/NL trong nước", '6. TIẾN ĐỘ MUA HÀNG'!$A$4:$AT$4, 0)) = $B141) * (TRIM(INDEX('6. TIẾN ĐỘ MUA HÀNG'!$A$5:$AT644, 0, XMATCH("Tháng", '6. TIẾN ĐỘ MUA HÀNG'!$A$4:$AT$4, 0))) = TRIM(C$6)) * (INDEX('6. TIẾN ĐỘ MUA HÀNG'!$A$5:$AT644, 0, XMATCH("CL NGÀY NCC DỰ KIẾN - NGÀY NHẬN HÀNG", '6. TIẾN ĐỘ MUA HÀNG'!$A$4:$AT$4, 0)) &lt; 0)
)</f>
        <v>0</v>
      </c>
      <c r="E141" s="755">
        <f t="shared" si="29"/>
        <v>0</v>
      </c>
      <c r="F141" s="756">
        <f t="array" ref="F141">SUMPRODUCT((TRIM(INDEX('6. TIẾN ĐỘ MUA HÀNG'!$A$5:$AT644, 0, XMATCH("NCC VTBB/NL trong nước", '6. TIẾN ĐỘ MUA HÀNG'!$A$4:$AT$4, 0))) = TRIM($B141)) * (TRIM(INDEX('6. TIẾN ĐỘ MUA HÀNG'!$A$5:$AT644, 0, XMATCH("Tháng", '6. TIẾN ĐỘ MUA HÀNG'!$A$4:$AT$4, 0))) = TRIM(F$6)) * (INDEX('6. TIẾN ĐỘ MUA HÀNG'!$A$5:$AT644, 0, XMATCH("Mã đơn Misa", '6. TIẾN ĐỘ MUA HÀNG'!$A$4:$AT$4, 0)) &lt;&gt; ""))</f>
        <v>0</v>
      </c>
      <c r="G141" s="756">
        <f t="array" ref="G141">SUMPRODUCT(
  (INDEX('6. TIẾN ĐỘ MUA HÀNG'!$A$5:$AT644, 0, XMATCH("NCC VTBB/NL trong nước", '6. TIẾN ĐỘ MUA HÀNG'!$A$4:$AT$4, 0)) = $B141) * (TRIM(INDEX('6. TIẾN ĐỘ MUA HÀNG'!$A$5:$AT644, 0, XMATCH("Tháng", '6. TIẾN ĐỘ MUA HÀNG'!$A$4:$AT$4, 0))) = TRIM(F$6)) * (INDEX('6. TIẾN ĐỘ MUA HÀNG'!$A$5:$AT644, 0, XMATCH("CL NGÀY NCC DỰ KIẾN - NGÀY NHẬN HÀNG", '6. TIẾN ĐỘ MUA HÀNG'!$A$4:$AT$4, 0)) &lt; 0)
)</f>
        <v>0</v>
      </c>
      <c r="H141" s="757">
        <f t="shared" si="15"/>
        <v>0</v>
      </c>
      <c r="I141" s="754">
        <f t="array" ref="I141">SUMPRODUCT((TRIM(INDEX('6. TIẾN ĐỘ MUA HÀNG'!$A$5:$AT644, 0, XMATCH("NCC VTBB/NL trong nước", '6. TIẾN ĐỘ MUA HÀNG'!$A$4:$AT$4, 0))) = TRIM($B141)) * (TRIM(INDEX('6. TIẾN ĐỘ MUA HÀNG'!$A$5:$AT644, 0, XMATCH("Tháng", '6. TIẾN ĐỘ MUA HÀNG'!$A$4:$AT$4, 0))) = TRIM(I$6)) * (INDEX('6. TIẾN ĐỘ MUA HÀNG'!$A$5:$AT644, 0, XMATCH("Mã đơn Misa", '6. TIẾN ĐỘ MUA HÀNG'!$A$4:$AT$4, 0)) &lt;&gt; ""))</f>
        <v>0</v>
      </c>
      <c r="J141" s="754">
        <f t="array" ref="J141">SUMPRODUCT(
  (INDEX('6. TIẾN ĐỘ MUA HÀNG'!$A$5:$AT644, 0, XMATCH("NCC VTBB/NL trong nước", '6. TIẾN ĐỘ MUA HÀNG'!$A$4:$AT$4, 0)) = $B141) * (TRIM(INDEX('6. TIẾN ĐỘ MUA HÀNG'!$A$5:$AT644, 0, XMATCH("Tháng", '6. TIẾN ĐỘ MUA HÀNG'!$A$4:$AT$4, 0))) = TRIM(I$6)) * (INDEX('6. TIẾN ĐỘ MUA HÀNG'!$A$5:$AT644, 0, XMATCH("CL NGÀY NCC DỰ KIẾN - NGÀY NHẬN HÀNG", '6. TIẾN ĐỘ MUA HÀNG'!$A$4:$AT$4, 0)) &lt; 0)
)</f>
        <v>0</v>
      </c>
      <c r="K141" s="755">
        <f t="shared" si="30"/>
        <v>0</v>
      </c>
      <c r="L141" s="756">
        <f t="array" ref="L141">SUMPRODUCT((TRIM(INDEX('6. TIẾN ĐỘ MUA HÀNG'!$A$5:$AT644, 0, XMATCH("NCC VTBB/NL trong nước", '6. TIẾN ĐỘ MUA HÀNG'!$A$4:$AT$4, 0))) = TRIM($B141)) * (TRIM(INDEX('6. TIẾN ĐỘ MUA HÀNG'!$A$5:$AT644, 0, XMATCH("Tháng", '6. TIẾN ĐỘ MUA HÀNG'!$A$4:$AT$4, 0))) = TRIM(L$6)) * (INDEX('6. TIẾN ĐỘ MUA HÀNG'!$A$5:$AT644, 0, XMATCH("Mã đơn Misa", '6. TIẾN ĐỘ MUA HÀNG'!$A$4:$AT$4, 0)) &lt;&gt; ""))</f>
        <v>0</v>
      </c>
      <c r="M141" s="756">
        <f t="array" ref="M141">SUMPRODUCT(
  (INDEX('6. TIẾN ĐỘ MUA HÀNG'!$A$5:$AT644, 0, XMATCH("NCC VTBB/NL trong nước", '6. TIẾN ĐỘ MUA HÀNG'!$A$4:$AT$4, 0)) = $B141) * (TRIM(INDEX('6. TIẾN ĐỘ MUA HÀNG'!$A$5:$AT644, 0, XMATCH("Tháng", '6. TIẾN ĐỘ MUA HÀNG'!$A$4:$AT$4, 0))) = TRIM(L$6)) * (INDEX('6. TIẾN ĐỘ MUA HÀNG'!$A$5:$AT644, 0, XMATCH("CL NGÀY NCC DỰ KIẾN - NGÀY NHẬN HÀNG", '6. TIẾN ĐỘ MUA HÀNG'!$A$4:$AT$4, 0)) &lt; 0)
)</f>
        <v>0</v>
      </c>
      <c r="N141" s="757">
        <f t="shared" si="17"/>
        <v>0</v>
      </c>
      <c r="O141" s="754">
        <f t="array" ref="O141">SUMPRODUCT((TRIM(INDEX('6. TIẾN ĐỘ MUA HÀNG'!$A$5:$AT644, 0, XMATCH("NCC VTBB/NL trong nước", '6. TIẾN ĐỘ MUA HÀNG'!$A$4:$AT$4, 0))) = TRIM($B141)) * (TRIM(INDEX('6. TIẾN ĐỘ MUA HÀNG'!$A$5:$AT644, 0, XMATCH("Tháng", '6. TIẾN ĐỘ MUA HÀNG'!$A$4:$AT$4, 0))) = TRIM(O$6)) * (INDEX('6. TIẾN ĐỘ MUA HÀNG'!$A$5:$AT644, 0, XMATCH("Mã đơn Misa", '6. TIẾN ĐỘ MUA HÀNG'!$A$4:$AT$4, 0)) &lt;&gt; ""))</f>
        <v>0</v>
      </c>
      <c r="P141" s="754">
        <f t="array" ref="P141">SUMPRODUCT(
  (INDEX('6. TIẾN ĐỘ MUA HÀNG'!$A$5:$AT644, 0, XMATCH("NCC VTBB/NL trong nước", '6. TIẾN ĐỘ MUA HÀNG'!$A$4:$AT$4, 0)) = $B141) * (TRIM(INDEX('6. TIẾN ĐỘ MUA HÀNG'!$A$5:$AT644, 0, XMATCH("Tháng", '6. TIẾN ĐỘ MUA HÀNG'!$A$4:$AT$4, 0))) = TRIM(O$6)) * (INDEX('6. TIẾN ĐỘ MUA HÀNG'!$A$5:$AT644, 0, XMATCH("CL NGÀY NCC DỰ KIẾN - NGÀY NHẬN HÀNG", '6. TIẾN ĐỘ MUA HÀNG'!$A$4:$AT$4, 0)) &lt; 0)
)</f>
        <v>0</v>
      </c>
      <c r="Q141" s="755">
        <f t="shared" si="31"/>
        <v>0</v>
      </c>
      <c r="R141" s="756">
        <f t="array" ref="R141">SUMPRODUCT((TRIM(INDEX('6. TIẾN ĐỘ MUA HÀNG'!$A$5:$AT644, 0, XMATCH("NCC VTBB/NL trong nước", '6. TIẾN ĐỘ MUA HÀNG'!$A$4:$AT$4, 0))) = TRIM($B141)) * (TRIM(INDEX('6. TIẾN ĐỘ MUA HÀNG'!$A$5:$AT644, 0, XMATCH("Tháng", '6. TIẾN ĐỘ MUA HÀNG'!$A$4:$AT$4, 0))) = TRIM(R$6)) * (INDEX('6. TIẾN ĐỘ MUA HÀNG'!$A$5:$AT644, 0, XMATCH("Mã đơn Misa", '6. TIẾN ĐỘ MUA HÀNG'!$A$4:$AT$4, 0)) &lt;&gt; ""))</f>
        <v>0</v>
      </c>
      <c r="S141" s="756">
        <f t="array" ref="S141">SUMPRODUCT(
  (INDEX('6. TIẾN ĐỘ MUA HÀNG'!$A$5:$AT644, 0, XMATCH("NCC VTBB/NL trong nước", '6. TIẾN ĐỘ MUA HÀNG'!$A$4:$AT$4, 0)) = $B141) * (TRIM(INDEX('6. TIẾN ĐỘ MUA HÀNG'!$A$5:$AT644, 0, XMATCH("Tháng", '6. TIẾN ĐỘ MUA HÀNG'!$A$4:$AT$4, 0))) = TRIM(R$6)) * (INDEX('6. TIẾN ĐỘ MUA HÀNG'!$A$5:$AT644, 0, XMATCH("CL NGÀY NCC DỰ KIẾN - NGÀY NHẬN HÀNG", '6. TIẾN ĐỘ MUA HÀNG'!$A$4:$AT$4, 0)) &lt; 0)
)</f>
        <v>0</v>
      </c>
      <c r="T141" s="757">
        <f t="shared" si="19"/>
        <v>0</v>
      </c>
      <c r="U141" s="754">
        <f t="array" ref="U141">SUMPRODUCT((TRIM(INDEX('6. TIẾN ĐỘ MUA HÀNG'!$A$5:$AT644, 0, XMATCH("NCC VTBB/NL trong nước", '6. TIẾN ĐỘ MUA HÀNG'!$A$4:$AT$4, 0))) = TRIM($B141)) * (TRIM(INDEX('6. TIẾN ĐỘ MUA HÀNG'!$A$5:$AT644, 0, XMATCH("Tháng", '6. TIẾN ĐỘ MUA HÀNG'!$A$4:$AT$4, 0))) = TRIM(U$6)) * (INDEX('6. TIẾN ĐỘ MUA HÀNG'!$A$5:$AT644, 0, XMATCH("Mã đơn Misa", '6. TIẾN ĐỘ MUA HÀNG'!$A$4:$AT$4, 0)) &lt;&gt; ""))</f>
        <v>0</v>
      </c>
      <c r="V141" s="754">
        <f t="array" ref="V141">SUMPRODUCT(
  (INDEX('6. TIẾN ĐỘ MUA HÀNG'!$A$5:$AT644, 0, XMATCH("NCC VTBB/NL trong nước", '6. TIẾN ĐỘ MUA HÀNG'!$A$4:$AT$4, 0)) = $B141) * (TRIM(INDEX('6. TIẾN ĐỘ MUA HÀNG'!$A$5:$AT644, 0, XMATCH("Tháng", '6. TIẾN ĐỘ MUA HÀNG'!$A$4:$AT$4, 0))) = TRIM(U$6)) * (INDEX('6. TIẾN ĐỘ MUA HÀNG'!$A$5:$AT644, 0, XMATCH("CL NGÀY NCC DỰ KIẾN - NGÀY NHẬN HÀNG", '6. TIẾN ĐỘ MUA HÀNG'!$A$4:$AT$4, 0)) &lt; 0)
)</f>
        <v>0</v>
      </c>
      <c r="W141" s="755">
        <f t="shared" si="32"/>
        <v>0</v>
      </c>
      <c r="X141" s="756">
        <f t="array" ref="X141">SUMPRODUCT((TRIM(INDEX('6. TIẾN ĐỘ MUA HÀNG'!$A$5:$AT644, 0, XMATCH("NCC VTBB/NL trong nước", '6. TIẾN ĐỘ MUA HÀNG'!$A$4:$AT$4, 0))) = TRIM($B141)) * (TRIM(INDEX('6. TIẾN ĐỘ MUA HÀNG'!$A$5:$AT644, 0, XMATCH("Tháng", '6. TIẾN ĐỘ MUA HÀNG'!$A$4:$AT$4, 0))) = TRIM(X$6)) * (INDEX('6. TIẾN ĐỘ MUA HÀNG'!$A$5:$AT644, 0, XMATCH("Mã đơn Misa", '6. TIẾN ĐỘ MUA HÀNG'!$A$4:$AT$4, 0)) &lt;&gt; ""))</f>
        <v>0</v>
      </c>
      <c r="Y141" s="756">
        <f t="array" ref="Y141">SUMPRODUCT(
  (INDEX('6. TIẾN ĐỘ MUA HÀNG'!$A$5:$AT644, 0, XMATCH("NCC VTBB/NL trong nước", '6. TIẾN ĐỘ MUA HÀNG'!$A$4:$AT$4, 0)) = $B141) * (TRIM(INDEX('6. TIẾN ĐỘ MUA HÀNG'!$A$5:$AT644, 0, XMATCH("Tháng", '6. TIẾN ĐỘ MUA HÀNG'!$A$4:$AT$4, 0))) = TRIM(X$6)) * (INDEX('6. TIẾN ĐỘ MUA HÀNG'!$A$5:$AT644, 0, XMATCH("CL NGÀY NCC DỰ KIẾN - NGÀY NHẬN HÀNG", '6. TIẾN ĐỘ MUA HÀNG'!$A$4:$AT$4, 0)) &lt; 0)
)</f>
        <v>0</v>
      </c>
      <c r="Z141" s="757">
        <f t="shared" si="21"/>
        <v>0</v>
      </c>
      <c r="AA141" s="754">
        <f t="array" ref="AA141">SUMPRODUCT((TRIM(INDEX('6. TIẾN ĐỘ MUA HÀNG'!$A$5:$AT644, 0, XMATCH("NCC VTBB/NL trong nước", '6. TIẾN ĐỘ MUA HÀNG'!$A$4:$AT$4, 0))) = TRIM($B141)) * (TRIM(INDEX('6. TIẾN ĐỘ MUA HÀNG'!$A$5:$AT644, 0, XMATCH("Tháng", '6. TIẾN ĐỘ MUA HÀNG'!$A$4:$AT$4, 0))) = TRIM(AA$6)) * (INDEX('6. TIẾN ĐỘ MUA HÀNG'!$A$5:$AT644, 0, XMATCH("Mã đơn Misa", '6. TIẾN ĐỘ MUA HÀNG'!$A$4:$AT$4, 0)) &lt;&gt; ""))</f>
        <v>0</v>
      </c>
      <c r="AB141" s="754">
        <f t="array" ref="AB141">SUMPRODUCT(
  (INDEX('6. TIẾN ĐỘ MUA HÀNG'!$A$5:$AT644, 0, XMATCH("NCC VTBB/NL trong nước", '6. TIẾN ĐỘ MUA HÀNG'!$A$4:$AT$4, 0)) = $B141) * (TRIM(INDEX('6. TIẾN ĐỘ MUA HÀNG'!$A$5:$AT644, 0, XMATCH("Tháng", '6. TIẾN ĐỘ MUA HÀNG'!$A$4:$AT$4, 0))) = TRIM(AA$6)) * (INDEX('6. TIẾN ĐỘ MUA HÀNG'!$A$5:$AT644, 0, XMATCH("CL NGÀY NCC DỰ KIẾN - NGÀY NHẬN HÀNG", '6. TIẾN ĐỘ MUA HÀNG'!$A$4:$AT$4, 0)) &lt; 0)
)</f>
        <v>0</v>
      </c>
      <c r="AC141" s="755">
        <f t="shared" si="33"/>
        <v>0</v>
      </c>
      <c r="AD141" s="756">
        <f t="array" ref="AD141">SUMPRODUCT((TRIM(INDEX('6. TIẾN ĐỘ MUA HÀNG'!$A$5:$AT644, 0, XMATCH("NCC VTBB/NL trong nước", '6. TIẾN ĐỘ MUA HÀNG'!$A$4:$AT$4, 0))) = TRIM($B141)) * (TRIM(INDEX('6. TIẾN ĐỘ MUA HÀNG'!$A$5:$AT644, 0, XMATCH("Tháng", '6. TIẾN ĐỘ MUA HÀNG'!$A$4:$AT$4, 0))) = TRIM(AD$6)) * (INDEX('6. TIẾN ĐỘ MUA HÀNG'!$A$5:$AT644, 0, XMATCH("Mã đơn Misa", '6. TIẾN ĐỘ MUA HÀNG'!$A$4:$AT$4, 0)) &lt;&gt; ""))</f>
        <v>0</v>
      </c>
      <c r="AE141" s="756">
        <f t="array" ref="AE141">SUMPRODUCT(
  (INDEX('6. TIẾN ĐỘ MUA HÀNG'!$A$5:$AT644, 0, XMATCH("NCC VTBB/NL trong nước", '6. TIẾN ĐỘ MUA HÀNG'!$A$4:$AT$4, 0)) = $B141) * (TRIM(INDEX('6. TIẾN ĐỘ MUA HÀNG'!$A$5:$AT644, 0, XMATCH("Tháng", '6. TIẾN ĐỘ MUA HÀNG'!$A$4:$AT$4, 0))) = TRIM(AD$6)) * (INDEX('6. TIẾN ĐỘ MUA HÀNG'!$A$5:$AT644, 0, XMATCH("CL NGÀY NCC DỰ KIẾN - NGÀY NHẬN HÀNG", '6. TIẾN ĐỘ MUA HÀNG'!$A$4:$AT$4, 0)) &lt; 0)
)</f>
        <v>0</v>
      </c>
      <c r="AF141" s="757">
        <f t="shared" si="23"/>
        <v>0</v>
      </c>
      <c r="AG141" s="754">
        <f t="array" ref="AG141">SUMPRODUCT((TRIM(INDEX('6. TIẾN ĐỘ MUA HÀNG'!$A$5:$AT644, 0, XMATCH("NCC VTBB/NL trong nước", '6. TIẾN ĐỘ MUA HÀNG'!$A$4:$AT$4, 0))) = TRIM($B141)) * (TRIM(INDEX('6. TIẾN ĐỘ MUA HÀNG'!$A$5:$AT644, 0, XMATCH("Tháng", '6. TIẾN ĐỘ MUA HÀNG'!$A$4:$AT$4, 0))) = TRIM(AG$6)) * (INDEX('6. TIẾN ĐỘ MUA HÀNG'!$A$5:$AT644, 0, XMATCH("Mã đơn Misa", '6. TIẾN ĐỘ MUA HÀNG'!$A$4:$AT$4, 0)) &lt;&gt; ""))</f>
        <v>0</v>
      </c>
      <c r="AH141" s="754">
        <f t="array" ref="AH141">SUMPRODUCT(
  (INDEX('6. TIẾN ĐỘ MUA HÀNG'!$A$5:$AT644, 0, XMATCH("NCC VTBB/NL trong nước", '6. TIẾN ĐỘ MUA HÀNG'!$A$4:$AT$4, 0)) = $B141) * (TRIM(INDEX('6. TIẾN ĐỘ MUA HÀNG'!$A$5:$AT644, 0, XMATCH("Tháng", '6. TIẾN ĐỘ MUA HÀNG'!$A$4:$AT$4, 0))) = TRIM(AG$6)) * (INDEX('6. TIẾN ĐỘ MUA HÀNG'!$A$5:$AT644, 0, XMATCH("CL NGÀY NCC DỰ KIẾN - NGÀY NHẬN HÀNG", '6. TIẾN ĐỘ MUA HÀNG'!$A$4:$AT$4, 0)) &lt; 0)
)</f>
        <v>0</v>
      </c>
      <c r="AI141" s="755">
        <f t="shared" si="34"/>
        <v>0</v>
      </c>
      <c r="AJ141" s="756">
        <f t="array" ref="AJ141">SUMPRODUCT((TRIM(INDEX('6. TIẾN ĐỘ MUA HÀNG'!$A$5:$AT644, 0, XMATCH("NCC VTBB/NL trong nước", '6. TIẾN ĐỘ MUA HÀNG'!$A$4:$AT$4, 0))) = TRIM($B141)) * (TRIM(INDEX('6. TIẾN ĐỘ MUA HÀNG'!$A$5:$AT644, 0, XMATCH("Tháng", '6. TIẾN ĐỘ MUA HÀNG'!$A$4:$AT$4, 0))) = TRIM(AJ$6)) * (INDEX('6. TIẾN ĐỘ MUA HÀNG'!$A$5:$AT644, 0, XMATCH("Mã đơn Misa", '6. TIẾN ĐỘ MUA HÀNG'!$A$4:$AT$4, 0)) &lt;&gt; ""))</f>
        <v>0</v>
      </c>
      <c r="AK141" s="756">
        <f t="array" ref="AK141">SUMPRODUCT(
  (INDEX('6. TIẾN ĐỘ MUA HÀNG'!$A$5:$AT644, 0, XMATCH("NCC VTBB/NL trong nước", '6. TIẾN ĐỘ MUA HÀNG'!$A$4:$AT$4, 0)) = $B141) * (TRIM(INDEX('6. TIẾN ĐỘ MUA HÀNG'!$A$5:$AT644, 0, XMATCH("Tháng", '6. TIẾN ĐỘ MUA HÀNG'!$A$4:$AT$4, 0))) = TRIM(AJ$6)) * (INDEX('6. TIẾN ĐỘ MUA HÀNG'!$A$5:$AT644, 0, XMATCH("CL NGÀY NCC DỰ KIẾN - NGÀY NHẬN HÀNG", '6. TIẾN ĐỘ MUA HÀNG'!$A$4:$AT$4, 0)) &lt; 0)
)</f>
        <v>0</v>
      </c>
      <c r="AL141" s="757">
        <f t="shared" si="25"/>
        <v>0</v>
      </c>
      <c r="AM141" s="726">
        <f t="shared" si="27"/>
        <v>0</v>
      </c>
      <c r="AN141" s="726">
        <f t="shared" si="28"/>
        <v>0</v>
      </c>
      <c r="AO141" s="727">
        <f t="shared" si="26"/>
        <v>0</v>
      </c>
    </row>
    <row r="142">
      <c r="A142" s="612">
        <v>134.0</v>
      </c>
      <c r="B142" s="624" t="str">
        <f>IFERROR(__xludf.DUMMYFUNCTION("""COMPUTED_VALUE"""),"TANK LÊ HỮU THÔNG")</f>
        <v>TANK LÊ HỮU THÔNG</v>
      </c>
      <c r="C142" s="754">
        <f t="array" ref="C142">SUMPRODUCT((TRIM(INDEX('6. TIẾN ĐỘ MUA HÀNG'!$A$5:$AT644, 0, XMATCH("NCC VTBB/NL trong nước", '6. TIẾN ĐỘ MUA HÀNG'!$A$4:$AT$4, 0))) = TRIM($B142)) * (TRIM(INDEX('6. TIẾN ĐỘ MUA HÀNG'!$A$5:$AT644, 0, XMATCH("Tháng", '6. TIẾN ĐỘ MUA HÀNG'!$A$4:$AT$4, 0))) = TRIM(C$6)) * (INDEX('6. TIẾN ĐỘ MUA HÀNG'!$A$5:$AT644, 0, XMATCH("Mã đơn Misa", '6. TIẾN ĐỘ MUA HÀNG'!$A$4:$AT$4, 0)) &lt;&gt; ""))</f>
        <v>0</v>
      </c>
      <c r="D142" s="754">
        <f t="array" ref="D142">SUMPRODUCT(
  (INDEX('6. TIẾN ĐỘ MUA HÀNG'!$A$5:$AT644, 0, XMATCH("NCC VTBB/NL trong nước", '6. TIẾN ĐỘ MUA HÀNG'!$A$4:$AT$4, 0)) = $B142) * (TRIM(INDEX('6. TIẾN ĐỘ MUA HÀNG'!$A$5:$AT644, 0, XMATCH("Tháng", '6. TIẾN ĐỘ MUA HÀNG'!$A$4:$AT$4, 0))) = TRIM(C$6)) * (INDEX('6. TIẾN ĐỘ MUA HÀNG'!$A$5:$AT644, 0, XMATCH("CL NGÀY NCC DỰ KIẾN - NGÀY NHẬN HÀNG", '6. TIẾN ĐỘ MUA HÀNG'!$A$4:$AT$4, 0)) &lt; 0)
)</f>
        <v>0</v>
      </c>
      <c r="E142" s="755">
        <f t="shared" si="29"/>
        <v>0</v>
      </c>
      <c r="F142" s="756">
        <f t="array" ref="F142">SUMPRODUCT((TRIM(INDEX('6. TIẾN ĐỘ MUA HÀNG'!$A$5:$AT644, 0, XMATCH("NCC VTBB/NL trong nước", '6. TIẾN ĐỘ MUA HÀNG'!$A$4:$AT$4, 0))) = TRIM($B142)) * (TRIM(INDEX('6. TIẾN ĐỘ MUA HÀNG'!$A$5:$AT644, 0, XMATCH("Tháng", '6. TIẾN ĐỘ MUA HÀNG'!$A$4:$AT$4, 0))) = TRIM(F$6)) * (INDEX('6. TIẾN ĐỘ MUA HÀNG'!$A$5:$AT644, 0, XMATCH("Mã đơn Misa", '6. TIẾN ĐỘ MUA HÀNG'!$A$4:$AT$4, 0)) &lt;&gt; ""))</f>
        <v>0</v>
      </c>
      <c r="G142" s="756">
        <f t="array" ref="G142">SUMPRODUCT(
  (INDEX('6. TIẾN ĐỘ MUA HÀNG'!$A$5:$AT644, 0, XMATCH("NCC VTBB/NL trong nước", '6. TIẾN ĐỘ MUA HÀNG'!$A$4:$AT$4, 0)) = $B142) * (TRIM(INDEX('6. TIẾN ĐỘ MUA HÀNG'!$A$5:$AT644, 0, XMATCH("Tháng", '6. TIẾN ĐỘ MUA HÀNG'!$A$4:$AT$4, 0))) = TRIM(F$6)) * (INDEX('6. TIẾN ĐỘ MUA HÀNG'!$A$5:$AT644, 0, XMATCH("CL NGÀY NCC DỰ KIẾN - NGÀY NHẬN HÀNG", '6. TIẾN ĐỘ MUA HÀNG'!$A$4:$AT$4, 0)) &lt; 0)
)</f>
        <v>0</v>
      </c>
      <c r="H142" s="757">
        <f t="shared" si="15"/>
        <v>0</v>
      </c>
      <c r="I142" s="754">
        <f t="array" ref="I142">SUMPRODUCT((TRIM(INDEX('6. TIẾN ĐỘ MUA HÀNG'!$A$5:$AT644, 0, XMATCH("NCC VTBB/NL trong nước", '6. TIẾN ĐỘ MUA HÀNG'!$A$4:$AT$4, 0))) = TRIM($B142)) * (TRIM(INDEX('6. TIẾN ĐỘ MUA HÀNG'!$A$5:$AT644, 0, XMATCH("Tháng", '6. TIẾN ĐỘ MUA HÀNG'!$A$4:$AT$4, 0))) = TRIM(I$6)) * (INDEX('6. TIẾN ĐỘ MUA HÀNG'!$A$5:$AT644, 0, XMATCH("Mã đơn Misa", '6. TIẾN ĐỘ MUA HÀNG'!$A$4:$AT$4, 0)) &lt;&gt; ""))</f>
        <v>0</v>
      </c>
      <c r="J142" s="754">
        <f t="array" ref="J142">SUMPRODUCT(
  (INDEX('6. TIẾN ĐỘ MUA HÀNG'!$A$5:$AT644, 0, XMATCH("NCC VTBB/NL trong nước", '6. TIẾN ĐỘ MUA HÀNG'!$A$4:$AT$4, 0)) = $B142) * (TRIM(INDEX('6. TIẾN ĐỘ MUA HÀNG'!$A$5:$AT644, 0, XMATCH("Tháng", '6. TIẾN ĐỘ MUA HÀNG'!$A$4:$AT$4, 0))) = TRIM(I$6)) * (INDEX('6. TIẾN ĐỘ MUA HÀNG'!$A$5:$AT644, 0, XMATCH("CL NGÀY NCC DỰ KIẾN - NGÀY NHẬN HÀNG", '6. TIẾN ĐỘ MUA HÀNG'!$A$4:$AT$4, 0)) &lt; 0)
)</f>
        <v>0</v>
      </c>
      <c r="K142" s="755">
        <f t="shared" si="30"/>
        <v>0</v>
      </c>
      <c r="L142" s="756">
        <f t="array" ref="L142">SUMPRODUCT((TRIM(INDEX('6. TIẾN ĐỘ MUA HÀNG'!$A$5:$AT644, 0, XMATCH("NCC VTBB/NL trong nước", '6. TIẾN ĐỘ MUA HÀNG'!$A$4:$AT$4, 0))) = TRIM($B142)) * (TRIM(INDEX('6. TIẾN ĐỘ MUA HÀNG'!$A$5:$AT644, 0, XMATCH("Tháng", '6. TIẾN ĐỘ MUA HÀNG'!$A$4:$AT$4, 0))) = TRIM(L$6)) * (INDEX('6. TIẾN ĐỘ MUA HÀNG'!$A$5:$AT644, 0, XMATCH("Mã đơn Misa", '6. TIẾN ĐỘ MUA HÀNG'!$A$4:$AT$4, 0)) &lt;&gt; ""))</f>
        <v>0</v>
      </c>
      <c r="M142" s="756">
        <f t="array" ref="M142">SUMPRODUCT(
  (INDEX('6. TIẾN ĐỘ MUA HÀNG'!$A$5:$AT644, 0, XMATCH("NCC VTBB/NL trong nước", '6. TIẾN ĐỘ MUA HÀNG'!$A$4:$AT$4, 0)) = $B142) * (TRIM(INDEX('6. TIẾN ĐỘ MUA HÀNG'!$A$5:$AT644, 0, XMATCH("Tháng", '6. TIẾN ĐỘ MUA HÀNG'!$A$4:$AT$4, 0))) = TRIM(L$6)) * (INDEX('6. TIẾN ĐỘ MUA HÀNG'!$A$5:$AT644, 0, XMATCH("CL NGÀY NCC DỰ KIẾN - NGÀY NHẬN HÀNG", '6. TIẾN ĐỘ MUA HÀNG'!$A$4:$AT$4, 0)) &lt; 0)
)</f>
        <v>0</v>
      </c>
      <c r="N142" s="757">
        <f t="shared" si="17"/>
        <v>0</v>
      </c>
      <c r="O142" s="754">
        <f t="array" ref="O142">SUMPRODUCT((TRIM(INDEX('6. TIẾN ĐỘ MUA HÀNG'!$A$5:$AT644, 0, XMATCH("NCC VTBB/NL trong nước", '6. TIẾN ĐỘ MUA HÀNG'!$A$4:$AT$4, 0))) = TRIM($B142)) * (TRIM(INDEX('6. TIẾN ĐỘ MUA HÀNG'!$A$5:$AT644, 0, XMATCH("Tháng", '6. TIẾN ĐỘ MUA HÀNG'!$A$4:$AT$4, 0))) = TRIM(O$6)) * (INDEX('6. TIẾN ĐỘ MUA HÀNG'!$A$5:$AT644, 0, XMATCH("Mã đơn Misa", '6. TIẾN ĐỘ MUA HÀNG'!$A$4:$AT$4, 0)) &lt;&gt; ""))</f>
        <v>0</v>
      </c>
      <c r="P142" s="754">
        <f t="array" ref="P142">SUMPRODUCT(
  (INDEX('6. TIẾN ĐỘ MUA HÀNG'!$A$5:$AT644, 0, XMATCH("NCC VTBB/NL trong nước", '6. TIẾN ĐỘ MUA HÀNG'!$A$4:$AT$4, 0)) = $B142) * (TRIM(INDEX('6. TIẾN ĐỘ MUA HÀNG'!$A$5:$AT644, 0, XMATCH("Tháng", '6. TIẾN ĐỘ MUA HÀNG'!$A$4:$AT$4, 0))) = TRIM(O$6)) * (INDEX('6. TIẾN ĐỘ MUA HÀNG'!$A$5:$AT644, 0, XMATCH("CL NGÀY NCC DỰ KIẾN - NGÀY NHẬN HÀNG", '6. TIẾN ĐỘ MUA HÀNG'!$A$4:$AT$4, 0)) &lt; 0)
)</f>
        <v>0</v>
      </c>
      <c r="Q142" s="755">
        <f t="shared" si="31"/>
        <v>0</v>
      </c>
      <c r="R142" s="756">
        <f t="array" ref="R142">SUMPRODUCT((TRIM(INDEX('6. TIẾN ĐỘ MUA HÀNG'!$A$5:$AT644, 0, XMATCH("NCC VTBB/NL trong nước", '6. TIẾN ĐỘ MUA HÀNG'!$A$4:$AT$4, 0))) = TRIM($B142)) * (TRIM(INDEX('6. TIẾN ĐỘ MUA HÀNG'!$A$5:$AT644, 0, XMATCH("Tháng", '6. TIẾN ĐỘ MUA HÀNG'!$A$4:$AT$4, 0))) = TRIM(R$6)) * (INDEX('6. TIẾN ĐỘ MUA HÀNG'!$A$5:$AT644, 0, XMATCH("Mã đơn Misa", '6. TIẾN ĐỘ MUA HÀNG'!$A$4:$AT$4, 0)) &lt;&gt; ""))</f>
        <v>0</v>
      </c>
      <c r="S142" s="756">
        <f t="array" ref="S142">SUMPRODUCT(
  (INDEX('6. TIẾN ĐỘ MUA HÀNG'!$A$5:$AT644, 0, XMATCH("NCC VTBB/NL trong nước", '6. TIẾN ĐỘ MUA HÀNG'!$A$4:$AT$4, 0)) = $B142) * (TRIM(INDEX('6. TIẾN ĐỘ MUA HÀNG'!$A$5:$AT644, 0, XMATCH("Tháng", '6. TIẾN ĐỘ MUA HÀNG'!$A$4:$AT$4, 0))) = TRIM(R$6)) * (INDEX('6. TIẾN ĐỘ MUA HÀNG'!$A$5:$AT644, 0, XMATCH("CL NGÀY NCC DỰ KIẾN - NGÀY NHẬN HÀNG", '6. TIẾN ĐỘ MUA HÀNG'!$A$4:$AT$4, 0)) &lt; 0)
)</f>
        <v>0</v>
      </c>
      <c r="T142" s="757">
        <f t="shared" si="19"/>
        <v>0</v>
      </c>
      <c r="U142" s="754">
        <f t="array" ref="U142">SUMPRODUCT((TRIM(INDEX('6. TIẾN ĐỘ MUA HÀNG'!$A$5:$AT644, 0, XMATCH("NCC VTBB/NL trong nước", '6. TIẾN ĐỘ MUA HÀNG'!$A$4:$AT$4, 0))) = TRIM($B142)) * (TRIM(INDEX('6. TIẾN ĐỘ MUA HÀNG'!$A$5:$AT644, 0, XMATCH("Tháng", '6. TIẾN ĐỘ MUA HÀNG'!$A$4:$AT$4, 0))) = TRIM(U$6)) * (INDEX('6. TIẾN ĐỘ MUA HÀNG'!$A$5:$AT644, 0, XMATCH("Mã đơn Misa", '6. TIẾN ĐỘ MUA HÀNG'!$A$4:$AT$4, 0)) &lt;&gt; ""))</f>
        <v>0</v>
      </c>
      <c r="V142" s="754">
        <f t="array" ref="V142">SUMPRODUCT(
  (INDEX('6. TIẾN ĐỘ MUA HÀNG'!$A$5:$AT644, 0, XMATCH("NCC VTBB/NL trong nước", '6. TIẾN ĐỘ MUA HÀNG'!$A$4:$AT$4, 0)) = $B142) * (TRIM(INDEX('6. TIẾN ĐỘ MUA HÀNG'!$A$5:$AT644, 0, XMATCH("Tháng", '6. TIẾN ĐỘ MUA HÀNG'!$A$4:$AT$4, 0))) = TRIM(U$6)) * (INDEX('6. TIẾN ĐỘ MUA HÀNG'!$A$5:$AT644, 0, XMATCH("CL NGÀY NCC DỰ KIẾN - NGÀY NHẬN HÀNG", '6. TIẾN ĐỘ MUA HÀNG'!$A$4:$AT$4, 0)) &lt; 0)
)</f>
        <v>0</v>
      </c>
      <c r="W142" s="755">
        <f t="shared" si="32"/>
        <v>0</v>
      </c>
      <c r="X142" s="756">
        <f t="array" ref="X142">SUMPRODUCT((TRIM(INDEX('6. TIẾN ĐỘ MUA HÀNG'!$A$5:$AT644, 0, XMATCH("NCC VTBB/NL trong nước", '6. TIẾN ĐỘ MUA HÀNG'!$A$4:$AT$4, 0))) = TRIM($B142)) * (TRIM(INDEX('6. TIẾN ĐỘ MUA HÀNG'!$A$5:$AT644, 0, XMATCH("Tháng", '6. TIẾN ĐỘ MUA HÀNG'!$A$4:$AT$4, 0))) = TRIM(X$6)) * (INDEX('6. TIẾN ĐỘ MUA HÀNG'!$A$5:$AT644, 0, XMATCH("Mã đơn Misa", '6. TIẾN ĐỘ MUA HÀNG'!$A$4:$AT$4, 0)) &lt;&gt; ""))</f>
        <v>0</v>
      </c>
      <c r="Y142" s="756">
        <f t="array" ref="Y142">SUMPRODUCT(
  (INDEX('6. TIẾN ĐỘ MUA HÀNG'!$A$5:$AT644, 0, XMATCH("NCC VTBB/NL trong nước", '6. TIẾN ĐỘ MUA HÀNG'!$A$4:$AT$4, 0)) = $B142) * (TRIM(INDEX('6. TIẾN ĐỘ MUA HÀNG'!$A$5:$AT644, 0, XMATCH("Tháng", '6. TIẾN ĐỘ MUA HÀNG'!$A$4:$AT$4, 0))) = TRIM(X$6)) * (INDEX('6. TIẾN ĐỘ MUA HÀNG'!$A$5:$AT644, 0, XMATCH("CL NGÀY NCC DỰ KIẾN - NGÀY NHẬN HÀNG", '6. TIẾN ĐỘ MUA HÀNG'!$A$4:$AT$4, 0)) &lt; 0)
)</f>
        <v>0</v>
      </c>
      <c r="Z142" s="757">
        <f t="shared" si="21"/>
        <v>0</v>
      </c>
      <c r="AA142" s="754">
        <f t="array" ref="AA142">SUMPRODUCT((TRIM(INDEX('6. TIẾN ĐỘ MUA HÀNG'!$A$5:$AT644, 0, XMATCH("NCC VTBB/NL trong nước", '6. TIẾN ĐỘ MUA HÀNG'!$A$4:$AT$4, 0))) = TRIM($B142)) * (TRIM(INDEX('6. TIẾN ĐỘ MUA HÀNG'!$A$5:$AT644, 0, XMATCH("Tháng", '6. TIẾN ĐỘ MUA HÀNG'!$A$4:$AT$4, 0))) = TRIM(AA$6)) * (INDEX('6. TIẾN ĐỘ MUA HÀNG'!$A$5:$AT644, 0, XMATCH("Mã đơn Misa", '6. TIẾN ĐỘ MUA HÀNG'!$A$4:$AT$4, 0)) &lt;&gt; ""))</f>
        <v>0</v>
      </c>
      <c r="AB142" s="754">
        <f t="array" ref="AB142">SUMPRODUCT(
  (INDEX('6. TIẾN ĐỘ MUA HÀNG'!$A$5:$AT644, 0, XMATCH("NCC VTBB/NL trong nước", '6. TIẾN ĐỘ MUA HÀNG'!$A$4:$AT$4, 0)) = $B142) * (TRIM(INDEX('6. TIẾN ĐỘ MUA HÀNG'!$A$5:$AT644, 0, XMATCH("Tháng", '6. TIẾN ĐỘ MUA HÀNG'!$A$4:$AT$4, 0))) = TRIM(AA$6)) * (INDEX('6. TIẾN ĐỘ MUA HÀNG'!$A$5:$AT644, 0, XMATCH("CL NGÀY NCC DỰ KIẾN - NGÀY NHẬN HÀNG", '6. TIẾN ĐỘ MUA HÀNG'!$A$4:$AT$4, 0)) &lt; 0)
)</f>
        <v>0</v>
      </c>
      <c r="AC142" s="755">
        <f t="shared" si="33"/>
        <v>0</v>
      </c>
      <c r="AD142" s="756">
        <f t="array" ref="AD142">SUMPRODUCT((TRIM(INDEX('6. TIẾN ĐỘ MUA HÀNG'!$A$5:$AT644, 0, XMATCH("NCC VTBB/NL trong nước", '6. TIẾN ĐỘ MUA HÀNG'!$A$4:$AT$4, 0))) = TRIM($B142)) * (TRIM(INDEX('6. TIẾN ĐỘ MUA HÀNG'!$A$5:$AT644, 0, XMATCH("Tháng", '6. TIẾN ĐỘ MUA HÀNG'!$A$4:$AT$4, 0))) = TRIM(AD$6)) * (INDEX('6. TIẾN ĐỘ MUA HÀNG'!$A$5:$AT644, 0, XMATCH("Mã đơn Misa", '6. TIẾN ĐỘ MUA HÀNG'!$A$4:$AT$4, 0)) &lt;&gt; ""))</f>
        <v>0</v>
      </c>
      <c r="AE142" s="756">
        <f t="array" ref="AE142">SUMPRODUCT(
  (INDEX('6. TIẾN ĐỘ MUA HÀNG'!$A$5:$AT644, 0, XMATCH("NCC VTBB/NL trong nước", '6. TIẾN ĐỘ MUA HÀNG'!$A$4:$AT$4, 0)) = $B142) * (TRIM(INDEX('6. TIẾN ĐỘ MUA HÀNG'!$A$5:$AT644, 0, XMATCH("Tháng", '6. TIẾN ĐỘ MUA HÀNG'!$A$4:$AT$4, 0))) = TRIM(AD$6)) * (INDEX('6. TIẾN ĐỘ MUA HÀNG'!$A$5:$AT644, 0, XMATCH("CL NGÀY NCC DỰ KIẾN - NGÀY NHẬN HÀNG", '6. TIẾN ĐỘ MUA HÀNG'!$A$4:$AT$4, 0)) &lt; 0)
)</f>
        <v>0</v>
      </c>
      <c r="AF142" s="757">
        <f t="shared" si="23"/>
        <v>0</v>
      </c>
      <c r="AG142" s="754">
        <f t="array" ref="AG142">SUMPRODUCT((TRIM(INDEX('6. TIẾN ĐỘ MUA HÀNG'!$A$5:$AT644, 0, XMATCH("NCC VTBB/NL trong nước", '6. TIẾN ĐỘ MUA HÀNG'!$A$4:$AT$4, 0))) = TRIM($B142)) * (TRIM(INDEX('6. TIẾN ĐỘ MUA HÀNG'!$A$5:$AT644, 0, XMATCH("Tháng", '6. TIẾN ĐỘ MUA HÀNG'!$A$4:$AT$4, 0))) = TRIM(AG$6)) * (INDEX('6. TIẾN ĐỘ MUA HÀNG'!$A$5:$AT644, 0, XMATCH("Mã đơn Misa", '6. TIẾN ĐỘ MUA HÀNG'!$A$4:$AT$4, 0)) &lt;&gt; ""))</f>
        <v>0</v>
      </c>
      <c r="AH142" s="754">
        <f t="array" ref="AH142">SUMPRODUCT(
  (INDEX('6. TIẾN ĐỘ MUA HÀNG'!$A$5:$AT644, 0, XMATCH("NCC VTBB/NL trong nước", '6. TIẾN ĐỘ MUA HÀNG'!$A$4:$AT$4, 0)) = $B142) * (TRIM(INDEX('6. TIẾN ĐỘ MUA HÀNG'!$A$5:$AT644, 0, XMATCH("Tháng", '6. TIẾN ĐỘ MUA HÀNG'!$A$4:$AT$4, 0))) = TRIM(AG$6)) * (INDEX('6. TIẾN ĐỘ MUA HÀNG'!$A$5:$AT644, 0, XMATCH("CL NGÀY NCC DỰ KIẾN - NGÀY NHẬN HÀNG", '6. TIẾN ĐỘ MUA HÀNG'!$A$4:$AT$4, 0)) &lt; 0)
)</f>
        <v>0</v>
      </c>
      <c r="AI142" s="755">
        <f t="shared" si="34"/>
        <v>0</v>
      </c>
      <c r="AJ142" s="756">
        <f t="array" ref="AJ142">SUMPRODUCT((TRIM(INDEX('6. TIẾN ĐỘ MUA HÀNG'!$A$5:$AT644, 0, XMATCH("NCC VTBB/NL trong nước", '6. TIẾN ĐỘ MUA HÀNG'!$A$4:$AT$4, 0))) = TRIM($B142)) * (TRIM(INDEX('6. TIẾN ĐỘ MUA HÀNG'!$A$5:$AT644, 0, XMATCH("Tháng", '6. TIẾN ĐỘ MUA HÀNG'!$A$4:$AT$4, 0))) = TRIM(AJ$6)) * (INDEX('6. TIẾN ĐỘ MUA HÀNG'!$A$5:$AT644, 0, XMATCH("Mã đơn Misa", '6. TIẾN ĐỘ MUA HÀNG'!$A$4:$AT$4, 0)) &lt;&gt; ""))</f>
        <v>0</v>
      </c>
      <c r="AK142" s="756">
        <f t="array" ref="AK142">SUMPRODUCT(
  (INDEX('6. TIẾN ĐỘ MUA HÀNG'!$A$5:$AT644, 0, XMATCH("NCC VTBB/NL trong nước", '6. TIẾN ĐỘ MUA HÀNG'!$A$4:$AT$4, 0)) = $B142) * (TRIM(INDEX('6. TIẾN ĐỘ MUA HÀNG'!$A$5:$AT644, 0, XMATCH("Tháng", '6. TIẾN ĐỘ MUA HÀNG'!$A$4:$AT$4, 0))) = TRIM(AJ$6)) * (INDEX('6. TIẾN ĐỘ MUA HÀNG'!$A$5:$AT644, 0, XMATCH("CL NGÀY NCC DỰ KIẾN - NGÀY NHẬN HÀNG", '6. TIẾN ĐỘ MUA HÀNG'!$A$4:$AT$4, 0)) &lt; 0)
)</f>
        <v>0</v>
      </c>
      <c r="AL142" s="757">
        <f t="shared" si="25"/>
        <v>0</v>
      </c>
      <c r="AM142" s="726">
        <f t="shared" si="27"/>
        <v>0</v>
      </c>
      <c r="AN142" s="726">
        <f t="shared" si="28"/>
        <v>0</v>
      </c>
      <c r="AO142" s="727">
        <f t="shared" si="26"/>
        <v>0</v>
      </c>
    </row>
    <row r="143">
      <c r="A143" s="612">
        <v>135.0</v>
      </c>
      <c r="B143" s="624" t="str">
        <f>IFERROR(__xludf.DUMMYFUNCTION("""COMPUTED_VALUE"""),"Nông Xanh")</f>
        <v>Nông Xanh</v>
      </c>
      <c r="C143" s="754">
        <f t="array" ref="C143">SUMPRODUCT((TRIM(INDEX('6. TIẾN ĐỘ MUA HÀNG'!$A$5:$AT644, 0, XMATCH("NCC VTBB/NL trong nước", '6. TIẾN ĐỘ MUA HÀNG'!$A$4:$AT$4, 0))) = TRIM($B143)) * (TRIM(INDEX('6. TIẾN ĐỘ MUA HÀNG'!$A$5:$AT644, 0, XMATCH("Tháng", '6. TIẾN ĐỘ MUA HÀNG'!$A$4:$AT$4, 0))) = TRIM(C$6)) * (INDEX('6. TIẾN ĐỘ MUA HÀNG'!$A$5:$AT644, 0, XMATCH("Mã đơn Misa", '6. TIẾN ĐỘ MUA HÀNG'!$A$4:$AT$4, 0)) &lt;&gt; ""))</f>
        <v>0</v>
      </c>
      <c r="D143" s="754">
        <f t="array" ref="D143">SUMPRODUCT(
  (INDEX('6. TIẾN ĐỘ MUA HÀNG'!$A$5:$AT644, 0, XMATCH("NCC VTBB/NL trong nước", '6. TIẾN ĐỘ MUA HÀNG'!$A$4:$AT$4, 0)) = $B143) * (TRIM(INDEX('6. TIẾN ĐỘ MUA HÀNG'!$A$5:$AT644, 0, XMATCH("Tháng", '6. TIẾN ĐỘ MUA HÀNG'!$A$4:$AT$4, 0))) = TRIM(C$6)) * (INDEX('6. TIẾN ĐỘ MUA HÀNG'!$A$5:$AT644, 0, XMATCH("CL NGÀY NCC DỰ KIẾN - NGÀY NHẬN HÀNG", '6. TIẾN ĐỘ MUA HÀNG'!$A$4:$AT$4, 0)) &lt; 0)
)</f>
        <v>0</v>
      </c>
      <c r="E143" s="755">
        <f t="shared" si="29"/>
        <v>0</v>
      </c>
      <c r="F143" s="756">
        <f t="array" ref="F143">SUMPRODUCT((TRIM(INDEX('6. TIẾN ĐỘ MUA HÀNG'!$A$5:$AT644, 0, XMATCH("NCC VTBB/NL trong nước", '6. TIẾN ĐỘ MUA HÀNG'!$A$4:$AT$4, 0))) = TRIM($B143)) * (TRIM(INDEX('6. TIẾN ĐỘ MUA HÀNG'!$A$5:$AT644, 0, XMATCH("Tháng", '6. TIẾN ĐỘ MUA HÀNG'!$A$4:$AT$4, 0))) = TRIM(F$6)) * (INDEX('6. TIẾN ĐỘ MUA HÀNG'!$A$5:$AT644, 0, XMATCH("Mã đơn Misa", '6. TIẾN ĐỘ MUA HÀNG'!$A$4:$AT$4, 0)) &lt;&gt; ""))</f>
        <v>0</v>
      </c>
      <c r="G143" s="756">
        <f t="array" ref="G143">SUMPRODUCT(
  (INDEX('6. TIẾN ĐỘ MUA HÀNG'!$A$5:$AT644, 0, XMATCH("NCC VTBB/NL trong nước", '6. TIẾN ĐỘ MUA HÀNG'!$A$4:$AT$4, 0)) = $B143) * (TRIM(INDEX('6. TIẾN ĐỘ MUA HÀNG'!$A$5:$AT644, 0, XMATCH("Tháng", '6. TIẾN ĐỘ MUA HÀNG'!$A$4:$AT$4, 0))) = TRIM(F$6)) * (INDEX('6. TIẾN ĐỘ MUA HÀNG'!$A$5:$AT644, 0, XMATCH("CL NGÀY NCC DỰ KIẾN - NGÀY NHẬN HÀNG", '6. TIẾN ĐỘ MUA HÀNG'!$A$4:$AT$4, 0)) &lt; 0)
)</f>
        <v>0</v>
      </c>
      <c r="H143" s="757">
        <f t="shared" si="15"/>
        <v>0</v>
      </c>
      <c r="I143" s="754">
        <f t="array" ref="I143">SUMPRODUCT((TRIM(INDEX('6. TIẾN ĐỘ MUA HÀNG'!$A$5:$AT644, 0, XMATCH("NCC VTBB/NL trong nước", '6. TIẾN ĐỘ MUA HÀNG'!$A$4:$AT$4, 0))) = TRIM($B143)) * (TRIM(INDEX('6. TIẾN ĐỘ MUA HÀNG'!$A$5:$AT644, 0, XMATCH("Tháng", '6. TIẾN ĐỘ MUA HÀNG'!$A$4:$AT$4, 0))) = TRIM(I$6)) * (INDEX('6. TIẾN ĐỘ MUA HÀNG'!$A$5:$AT644, 0, XMATCH("Mã đơn Misa", '6. TIẾN ĐỘ MUA HÀNG'!$A$4:$AT$4, 0)) &lt;&gt; ""))</f>
        <v>0</v>
      </c>
      <c r="J143" s="754">
        <f t="array" ref="J143">SUMPRODUCT(
  (INDEX('6. TIẾN ĐỘ MUA HÀNG'!$A$5:$AT644, 0, XMATCH("NCC VTBB/NL trong nước", '6. TIẾN ĐỘ MUA HÀNG'!$A$4:$AT$4, 0)) = $B143) * (TRIM(INDEX('6. TIẾN ĐỘ MUA HÀNG'!$A$5:$AT644, 0, XMATCH("Tháng", '6. TIẾN ĐỘ MUA HÀNG'!$A$4:$AT$4, 0))) = TRIM(I$6)) * (INDEX('6. TIẾN ĐỘ MUA HÀNG'!$A$5:$AT644, 0, XMATCH("CL NGÀY NCC DỰ KIẾN - NGÀY NHẬN HÀNG", '6. TIẾN ĐỘ MUA HÀNG'!$A$4:$AT$4, 0)) &lt; 0)
)</f>
        <v>0</v>
      </c>
      <c r="K143" s="755">
        <f t="shared" si="30"/>
        <v>0</v>
      </c>
      <c r="L143" s="756">
        <f t="array" ref="L143">SUMPRODUCT((TRIM(INDEX('6. TIẾN ĐỘ MUA HÀNG'!$A$5:$AT644, 0, XMATCH("NCC VTBB/NL trong nước", '6. TIẾN ĐỘ MUA HÀNG'!$A$4:$AT$4, 0))) = TRIM($B143)) * (TRIM(INDEX('6. TIẾN ĐỘ MUA HÀNG'!$A$5:$AT644, 0, XMATCH("Tháng", '6. TIẾN ĐỘ MUA HÀNG'!$A$4:$AT$4, 0))) = TRIM(L$6)) * (INDEX('6. TIẾN ĐỘ MUA HÀNG'!$A$5:$AT644, 0, XMATCH("Mã đơn Misa", '6. TIẾN ĐỘ MUA HÀNG'!$A$4:$AT$4, 0)) &lt;&gt; ""))</f>
        <v>0</v>
      </c>
      <c r="M143" s="756">
        <f t="array" ref="M143">SUMPRODUCT(
  (INDEX('6. TIẾN ĐỘ MUA HÀNG'!$A$5:$AT644, 0, XMATCH("NCC VTBB/NL trong nước", '6. TIẾN ĐỘ MUA HÀNG'!$A$4:$AT$4, 0)) = $B143) * (TRIM(INDEX('6. TIẾN ĐỘ MUA HÀNG'!$A$5:$AT644, 0, XMATCH("Tháng", '6. TIẾN ĐỘ MUA HÀNG'!$A$4:$AT$4, 0))) = TRIM(L$6)) * (INDEX('6. TIẾN ĐỘ MUA HÀNG'!$A$5:$AT644, 0, XMATCH("CL NGÀY NCC DỰ KIẾN - NGÀY NHẬN HÀNG", '6. TIẾN ĐỘ MUA HÀNG'!$A$4:$AT$4, 0)) &lt; 0)
)</f>
        <v>0</v>
      </c>
      <c r="N143" s="757">
        <f t="shared" si="17"/>
        <v>0</v>
      </c>
      <c r="O143" s="754">
        <f t="array" ref="O143">SUMPRODUCT((TRIM(INDEX('6. TIẾN ĐỘ MUA HÀNG'!$A$5:$AT644, 0, XMATCH("NCC VTBB/NL trong nước", '6. TIẾN ĐỘ MUA HÀNG'!$A$4:$AT$4, 0))) = TRIM($B143)) * (TRIM(INDEX('6. TIẾN ĐỘ MUA HÀNG'!$A$5:$AT644, 0, XMATCH("Tháng", '6. TIẾN ĐỘ MUA HÀNG'!$A$4:$AT$4, 0))) = TRIM(O$6)) * (INDEX('6. TIẾN ĐỘ MUA HÀNG'!$A$5:$AT644, 0, XMATCH("Mã đơn Misa", '6. TIẾN ĐỘ MUA HÀNG'!$A$4:$AT$4, 0)) &lt;&gt; ""))</f>
        <v>0</v>
      </c>
      <c r="P143" s="754">
        <f t="array" ref="P143">SUMPRODUCT(
  (INDEX('6. TIẾN ĐỘ MUA HÀNG'!$A$5:$AT644, 0, XMATCH("NCC VTBB/NL trong nước", '6. TIẾN ĐỘ MUA HÀNG'!$A$4:$AT$4, 0)) = $B143) * (TRIM(INDEX('6. TIẾN ĐỘ MUA HÀNG'!$A$5:$AT644, 0, XMATCH("Tháng", '6. TIẾN ĐỘ MUA HÀNG'!$A$4:$AT$4, 0))) = TRIM(O$6)) * (INDEX('6. TIẾN ĐỘ MUA HÀNG'!$A$5:$AT644, 0, XMATCH("CL NGÀY NCC DỰ KIẾN - NGÀY NHẬN HÀNG", '6. TIẾN ĐỘ MUA HÀNG'!$A$4:$AT$4, 0)) &lt; 0)
)</f>
        <v>0</v>
      </c>
      <c r="Q143" s="755">
        <f t="shared" si="31"/>
        <v>0</v>
      </c>
      <c r="R143" s="756">
        <f t="array" ref="R143">SUMPRODUCT((TRIM(INDEX('6. TIẾN ĐỘ MUA HÀNG'!$A$5:$AT644, 0, XMATCH("NCC VTBB/NL trong nước", '6. TIẾN ĐỘ MUA HÀNG'!$A$4:$AT$4, 0))) = TRIM($B143)) * (TRIM(INDEX('6. TIẾN ĐỘ MUA HÀNG'!$A$5:$AT644, 0, XMATCH("Tháng", '6. TIẾN ĐỘ MUA HÀNG'!$A$4:$AT$4, 0))) = TRIM(R$6)) * (INDEX('6. TIẾN ĐỘ MUA HÀNG'!$A$5:$AT644, 0, XMATCH("Mã đơn Misa", '6. TIẾN ĐỘ MUA HÀNG'!$A$4:$AT$4, 0)) &lt;&gt; ""))</f>
        <v>0</v>
      </c>
      <c r="S143" s="756">
        <f t="array" ref="S143">SUMPRODUCT(
  (INDEX('6. TIẾN ĐỘ MUA HÀNG'!$A$5:$AT644, 0, XMATCH("NCC VTBB/NL trong nước", '6. TIẾN ĐỘ MUA HÀNG'!$A$4:$AT$4, 0)) = $B143) * (TRIM(INDEX('6. TIẾN ĐỘ MUA HÀNG'!$A$5:$AT644, 0, XMATCH("Tháng", '6. TIẾN ĐỘ MUA HÀNG'!$A$4:$AT$4, 0))) = TRIM(R$6)) * (INDEX('6. TIẾN ĐỘ MUA HÀNG'!$A$5:$AT644, 0, XMATCH("CL NGÀY NCC DỰ KIẾN - NGÀY NHẬN HÀNG", '6. TIẾN ĐỘ MUA HÀNG'!$A$4:$AT$4, 0)) &lt; 0)
)</f>
        <v>0</v>
      </c>
      <c r="T143" s="757">
        <f t="shared" si="19"/>
        <v>0</v>
      </c>
      <c r="U143" s="754">
        <f t="array" ref="U143">SUMPRODUCT((TRIM(INDEX('6. TIẾN ĐỘ MUA HÀNG'!$A$5:$AT644, 0, XMATCH("NCC VTBB/NL trong nước", '6. TIẾN ĐỘ MUA HÀNG'!$A$4:$AT$4, 0))) = TRIM($B143)) * (TRIM(INDEX('6. TIẾN ĐỘ MUA HÀNG'!$A$5:$AT644, 0, XMATCH("Tháng", '6. TIẾN ĐỘ MUA HÀNG'!$A$4:$AT$4, 0))) = TRIM(U$6)) * (INDEX('6. TIẾN ĐỘ MUA HÀNG'!$A$5:$AT644, 0, XMATCH("Mã đơn Misa", '6. TIẾN ĐỘ MUA HÀNG'!$A$4:$AT$4, 0)) &lt;&gt; ""))</f>
        <v>0</v>
      </c>
      <c r="V143" s="754">
        <f t="array" ref="V143">SUMPRODUCT(
  (INDEX('6. TIẾN ĐỘ MUA HÀNG'!$A$5:$AT644, 0, XMATCH("NCC VTBB/NL trong nước", '6. TIẾN ĐỘ MUA HÀNG'!$A$4:$AT$4, 0)) = $B143) * (TRIM(INDEX('6. TIẾN ĐỘ MUA HÀNG'!$A$5:$AT644, 0, XMATCH("Tháng", '6. TIẾN ĐỘ MUA HÀNG'!$A$4:$AT$4, 0))) = TRIM(U$6)) * (INDEX('6. TIẾN ĐỘ MUA HÀNG'!$A$5:$AT644, 0, XMATCH("CL NGÀY NCC DỰ KIẾN - NGÀY NHẬN HÀNG", '6. TIẾN ĐỘ MUA HÀNG'!$A$4:$AT$4, 0)) &lt; 0)
)</f>
        <v>0</v>
      </c>
      <c r="W143" s="755">
        <f t="shared" si="32"/>
        <v>0</v>
      </c>
      <c r="X143" s="756">
        <f t="array" ref="X143">SUMPRODUCT((TRIM(INDEX('6. TIẾN ĐỘ MUA HÀNG'!$A$5:$AT644, 0, XMATCH("NCC VTBB/NL trong nước", '6. TIẾN ĐỘ MUA HÀNG'!$A$4:$AT$4, 0))) = TRIM($B143)) * (TRIM(INDEX('6. TIẾN ĐỘ MUA HÀNG'!$A$5:$AT644, 0, XMATCH("Tháng", '6. TIẾN ĐỘ MUA HÀNG'!$A$4:$AT$4, 0))) = TRIM(X$6)) * (INDEX('6. TIẾN ĐỘ MUA HÀNG'!$A$5:$AT644, 0, XMATCH("Mã đơn Misa", '6. TIẾN ĐỘ MUA HÀNG'!$A$4:$AT$4, 0)) &lt;&gt; ""))</f>
        <v>0</v>
      </c>
      <c r="Y143" s="756">
        <f t="array" ref="Y143">SUMPRODUCT(
  (INDEX('6. TIẾN ĐỘ MUA HÀNG'!$A$5:$AT644, 0, XMATCH("NCC VTBB/NL trong nước", '6. TIẾN ĐỘ MUA HÀNG'!$A$4:$AT$4, 0)) = $B143) * (TRIM(INDEX('6. TIẾN ĐỘ MUA HÀNG'!$A$5:$AT644, 0, XMATCH("Tháng", '6. TIẾN ĐỘ MUA HÀNG'!$A$4:$AT$4, 0))) = TRIM(X$6)) * (INDEX('6. TIẾN ĐỘ MUA HÀNG'!$A$5:$AT644, 0, XMATCH("CL NGÀY NCC DỰ KIẾN - NGÀY NHẬN HÀNG", '6. TIẾN ĐỘ MUA HÀNG'!$A$4:$AT$4, 0)) &lt; 0)
)</f>
        <v>0</v>
      </c>
      <c r="Z143" s="757">
        <f t="shared" si="21"/>
        <v>0</v>
      </c>
      <c r="AA143" s="754">
        <f t="array" ref="AA143">SUMPRODUCT((TRIM(INDEX('6. TIẾN ĐỘ MUA HÀNG'!$A$5:$AT644, 0, XMATCH("NCC VTBB/NL trong nước", '6. TIẾN ĐỘ MUA HÀNG'!$A$4:$AT$4, 0))) = TRIM($B143)) * (TRIM(INDEX('6. TIẾN ĐỘ MUA HÀNG'!$A$5:$AT644, 0, XMATCH("Tháng", '6. TIẾN ĐỘ MUA HÀNG'!$A$4:$AT$4, 0))) = TRIM(AA$6)) * (INDEX('6. TIẾN ĐỘ MUA HÀNG'!$A$5:$AT644, 0, XMATCH("Mã đơn Misa", '6. TIẾN ĐỘ MUA HÀNG'!$A$4:$AT$4, 0)) &lt;&gt; ""))</f>
        <v>0</v>
      </c>
      <c r="AB143" s="754">
        <f t="array" ref="AB143">SUMPRODUCT(
  (INDEX('6. TIẾN ĐỘ MUA HÀNG'!$A$5:$AT644, 0, XMATCH("NCC VTBB/NL trong nước", '6. TIẾN ĐỘ MUA HÀNG'!$A$4:$AT$4, 0)) = $B143) * (TRIM(INDEX('6. TIẾN ĐỘ MUA HÀNG'!$A$5:$AT644, 0, XMATCH("Tháng", '6. TIẾN ĐỘ MUA HÀNG'!$A$4:$AT$4, 0))) = TRIM(AA$6)) * (INDEX('6. TIẾN ĐỘ MUA HÀNG'!$A$5:$AT644, 0, XMATCH("CL NGÀY NCC DỰ KIẾN - NGÀY NHẬN HÀNG", '6. TIẾN ĐỘ MUA HÀNG'!$A$4:$AT$4, 0)) &lt; 0)
)</f>
        <v>0</v>
      </c>
      <c r="AC143" s="755">
        <f t="shared" si="33"/>
        <v>0</v>
      </c>
      <c r="AD143" s="756">
        <f t="array" ref="AD143">SUMPRODUCT((TRIM(INDEX('6. TIẾN ĐỘ MUA HÀNG'!$A$5:$AT644, 0, XMATCH("NCC VTBB/NL trong nước", '6. TIẾN ĐỘ MUA HÀNG'!$A$4:$AT$4, 0))) = TRIM($B143)) * (TRIM(INDEX('6. TIẾN ĐỘ MUA HÀNG'!$A$5:$AT644, 0, XMATCH("Tháng", '6. TIẾN ĐỘ MUA HÀNG'!$A$4:$AT$4, 0))) = TRIM(AD$6)) * (INDEX('6. TIẾN ĐỘ MUA HÀNG'!$A$5:$AT644, 0, XMATCH("Mã đơn Misa", '6. TIẾN ĐỘ MUA HÀNG'!$A$4:$AT$4, 0)) &lt;&gt; ""))</f>
        <v>0</v>
      </c>
      <c r="AE143" s="756">
        <f t="array" ref="AE143">SUMPRODUCT(
  (INDEX('6. TIẾN ĐỘ MUA HÀNG'!$A$5:$AT644, 0, XMATCH("NCC VTBB/NL trong nước", '6. TIẾN ĐỘ MUA HÀNG'!$A$4:$AT$4, 0)) = $B143) * (TRIM(INDEX('6. TIẾN ĐỘ MUA HÀNG'!$A$5:$AT644, 0, XMATCH("Tháng", '6. TIẾN ĐỘ MUA HÀNG'!$A$4:$AT$4, 0))) = TRIM(AD$6)) * (INDEX('6. TIẾN ĐỘ MUA HÀNG'!$A$5:$AT644, 0, XMATCH("CL NGÀY NCC DỰ KIẾN - NGÀY NHẬN HÀNG", '6. TIẾN ĐỘ MUA HÀNG'!$A$4:$AT$4, 0)) &lt; 0)
)</f>
        <v>0</v>
      </c>
      <c r="AF143" s="757">
        <f t="shared" si="23"/>
        <v>0</v>
      </c>
      <c r="AG143" s="754">
        <f t="array" ref="AG143">SUMPRODUCT((TRIM(INDEX('6. TIẾN ĐỘ MUA HÀNG'!$A$5:$AT644, 0, XMATCH("NCC VTBB/NL trong nước", '6. TIẾN ĐỘ MUA HÀNG'!$A$4:$AT$4, 0))) = TRIM($B143)) * (TRIM(INDEX('6. TIẾN ĐỘ MUA HÀNG'!$A$5:$AT644, 0, XMATCH("Tháng", '6. TIẾN ĐỘ MUA HÀNG'!$A$4:$AT$4, 0))) = TRIM(AG$6)) * (INDEX('6. TIẾN ĐỘ MUA HÀNG'!$A$5:$AT644, 0, XMATCH("Mã đơn Misa", '6. TIẾN ĐỘ MUA HÀNG'!$A$4:$AT$4, 0)) &lt;&gt; ""))</f>
        <v>0</v>
      </c>
      <c r="AH143" s="754">
        <f t="array" ref="AH143">SUMPRODUCT(
  (INDEX('6. TIẾN ĐỘ MUA HÀNG'!$A$5:$AT644, 0, XMATCH("NCC VTBB/NL trong nước", '6. TIẾN ĐỘ MUA HÀNG'!$A$4:$AT$4, 0)) = $B143) * (TRIM(INDEX('6. TIẾN ĐỘ MUA HÀNG'!$A$5:$AT644, 0, XMATCH("Tháng", '6. TIẾN ĐỘ MUA HÀNG'!$A$4:$AT$4, 0))) = TRIM(AG$6)) * (INDEX('6. TIẾN ĐỘ MUA HÀNG'!$A$5:$AT644, 0, XMATCH("CL NGÀY NCC DỰ KIẾN - NGÀY NHẬN HÀNG", '6. TIẾN ĐỘ MUA HÀNG'!$A$4:$AT$4, 0)) &lt; 0)
)</f>
        <v>0</v>
      </c>
      <c r="AI143" s="755">
        <f t="shared" si="34"/>
        <v>0</v>
      </c>
      <c r="AJ143" s="756">
        <f t="array" ref="AJ143">SUMPRODUCT((TRIM(INDEX('6. TIẾN ĐỘ MUA HÀNG'!$A$5:$AT644, 0, XMATCH("NCC VTBB/NL trong nước", '6. TIẾN ĐỘ MUA HÀNG'!$A$4:$AT$4, 0))) = TRIM($B143)) * (TRIM(INDEX('6. TIẾN ĐỘ MUA HÀNG'!$A$5:$AT644, 0, XMATCH("Tháng", '6. TIẾN ĐỘ MUA HÀNG'!$A$4:$AT$4, 0))) = TRIM(AJ$6)) * (INDEX('6. TIẾN ĐỘ MUA HÀNG'!$A$5:$AT644, 0, XMATCH("Mã đơn Misa", '6. TIẾN ĐỘ MUA HÀNG'!$A$4:$AT$4, 0)) &lt;&gt; ""))</f>
        <v>0</v>
      </c>
      <c r="AK143" s="756">
        <f t="array" ref="AK143">SUMPRODUCT(
  (INDEX('6. TIẾN ĐỘ MUA HÀNG'!$A$5:$AT644, 0, XMATCH("NCC VTBB/NL trong nước", '6. TIẾN ĐỘ MUA HÀNG'!$A$4:$AT$4, 0)) = $B143) * (TRIM(INDEX('6. TIẾN ĐỘ MUA HÀNG'!$A$5:$AT644, 0, XMATCH("Tháng", '6. TIẾN ĐỘ MUA HÀNG'!$A$4:$AT$4, 0))) = TRIM(AJ$6)) * (INDEX('6. TIẾN ĐỘ MUA HÀNG'!$A$5:$AT644, 0, XMATCH("CL NGÀY NCC DỰ KIẾN - NGÀY NHẬN HÀNG", '6. TIẾN ĐỘ MUA HÀNG'!$A$4:$AT$4, 0)) &lt; 0)
)</f>
        <v>0</v>
      </c>
      <c r="AL143" s="757">
        <f t="shared" si="25"/>
        <v>0</v>
      </c>
      <c r="AM143" s="726">
        <f t="shared" si="27"/>
        <v>0</v>
      </c>
      <c r="AN143" s="726">
        <f t="shared" si="28"/>
        <v>0</v>
      </c>
      <c r="AO143" s="727">
        <f t="shared" si="26"/>
        <v>0</v>
      </c>
    </row>
    <row r="144">
      <c r="A144" s="602">
        <v>136.0</v>
      </c>
      <c r="B144" s="758" t="str">
        <f>IFERROR(__xludf.DUMMYFUNCTION("""COMPUTED_VALUE"""),"Mekong Logistics")</f>
        <v>Mekong Logistics</v>
      </c>
      <c r="C144" s="759"/>
      <c r="D144" s="759"/>
      <c r="E144" s="760"/>
      <c r="F144" s="761"/>
      <c r="G144" s="761"/>
      <c r="H144" s="762"/>
      <c r="I144" s="759"/>
      <c r="J144" s="759"/>
      <c r="K144" s="760"/>
      <c r="L144" s="761"/>
      <c r="M144" s="761"/>
      <c r="N144" s="762"/>
      <c r="O144" s="759"/>
      <c r="P144" s="759"/>
      <c r="Q144" s="760"/>
      <c r="R144" s="761"/>
      <c r="S144" s="761"/>
      <c r="T144" s="762"/>
      <c r="U144" s="759"/>
      <c r="V144" s="759"/>
      <c r="W144" s="760"/>
      <c r="X144" s="761"/>
      <c r="Y144" s="761"/>
      <c r="Z144" s="762"/>
      <c r="AA144" s="759"/>
      <c r="AB144" s="759"/>
      <c r="AC144" s="760"/>
      <c r="AD144" s="761"/>
      <c r="AE144" s="761"/>
      <c r="AF144" s="762"/>
      <c r="AG144" s="759"/>
      <c r="AH144" s="759"/>
      <c r="AI144" s="760"/>
      <c r="AJ144" s="761"/>
      <c r="AK144" s="761"/>
      <c r="AL144" s="762"/>
      <c r="AM144" s="763"/>
      <c r="AN144" s="763"/>
      <c r="AO144" s="764"/>
    </row>
    <row r="145">
      <c r="A145" s="602" t="s">
        <v>1190</v>
      </c>
      <c r="B145" s="758"/>
      <c r="C145" s="759"/>
      <c r="D145" s="759"/>
      <c r="E145" s="760"/>
      <c r="F145" s="761"/>
      <c r="G145" s="761"/>
      <c r="H145" s="762"/>
      <c r="I145" s="759"/>
      <c r="J145" s="759"/>
      <c r="K145" s="760"/>
      <c r="L145" s="761"/>
      <c r="M145" s="761"/>
      <c r="N145" s="762"/>
      <c r="O145" s="759"/>
      <c r="P145" s="759"/>
      <c r="Q145" s="760"/>
      <c r="R145" s="761"/>
      <c r="S145" s="761"/>
      <c r="T145" s="762"/>
      <c r="U145" s="759"/>
      <c r="V145" s="759"/>
      <c r="W145" s="760"/>
      <c r="X145" s="761"/>
      <c r="Y145" s="761"/>
      <c r="Z145" s="762"/>
      <c r="AA145" s="759"/>
      <c r="AB145" s="759"/>
      <c r="AC145" s="760"/>
      <c r="AD145" s="761"/>
      <c r="AE145" s="761"/>
      <c r="AF145" s="762"/>
      <c r="AG145" s="759"/>
      <c r="AH145" s="759"/>
      <c r="AI145" s="760"/>
      <c r="AJ145" s="761"/>
      <c r="AK145" s="761"/>
      <c r="AL145" s="762"/>
      <c r="AM145" s="763"/>
      <c r="AN145" s="763"/>
      <c r="AO145" s="764"/>
    </row>
    <row r="146">
      <c r="A146" s="602" t="s">
        <v>1190</v>
      </c>
      <c r="B146" s="758"/>
      <c r="C146" s="759"/>
      <c r="D146" s="759"/>
      <c r="E146" s="760"/>
      <c r="F146" s="761"/>
      <c r="G146" s="761"/>
      <c r="H146" s="762"/>
      <c r="I146" s="759"/>
      <c r="J146" s="759"/>
      <c r="K146" s="760"/>
      <c r="L146" s="761"/>
      <c r="M146" s="761"/>
      <c r="N146" s="762"/>
      <c r="O146" s="759"/>
      <c r="P146" s="759"/>
      <c r="Q146" s="760"/>
      <c r="R146" s="761"/>
      <c r="S146" s="761"/>
      <c r="T146" s="762"/>
      <c r="U146" s="759"/>
      <c r="V146" s="759"/>
      <c r="W146" s="760"/>
      <c r="X146" s="761"/>
      <c r="Y146" s="761"/>
      <c r="Z146" s="762"/>
      <c r="AA146" s="759"/>
      <c r="AB146" s="759"/>
      <c r="AC146" s="760"/>
      <c r="AD146" s="761"/>
      <c r="AE146" s="761"/>
      <c r="AF146" s="762"/>
      <c r="AG146" s="759"/>
      <c r="AH146" s="759"/>
      <c r="AI146" s="760"/>
      <c r="AJ146" s="761"/>
      <c r="AK146" s="761"/>
      <c r="AL146" s="762"/>
      <c r="AM146" s="763"/>
      <c r="AN146" s="763"/>
      <c r="AO146" s="764"/>
    </row>
    <row r="147">
      <c r="A147" s="602" t="s">
        <v>1190</v>
      </c>
      <c r="B147" s="758"/>
      <c r="C147" s="759"/>
      <c r="D147" s="759"/>
      <c r="E147" s="760"/>
      <c r="F147" s="761"/>
      <c r="G147" s="761"/>
      <c r="H147" s="762"/>
      <c r="I147" s="759"/>
      <c r="J147" s="759"/>
      <c r="K147" s="760"/>
      <c r="L147" s="761"/>
      <c r="M147" s="761"/>
      <c r="N147" s="762"/>
      <c r="O147" s="759"/>
      <c r="P147" s="759"/>
      <c r="Q147" s="760"/>
      <c r="R147" s="761"/>
      <c r="S147" s="761"/>
      <c r="T147" s="762"/>
      <c r="U147" s="759"/>
      <c r="V147" s="759"/>
      <c r="W147" s="760"/>
      <c r="X147" s="761"/>
      <c r="Y147" s="761"/>
      <c r="Z147" s="762"/>
      <c r="AA147" s="759"/>
      <c r="AB147" s="759"/>
      <c r="AC147" s="760"/>
      <c r="AD147" s="761"/>
      <c r="AE147" s="761"/>
      <c r="AF147" s="762"/>
      <c r="AG147" s="759"/>
      <c r="AH147" s="759"/>
      <c r="AI147" s="760"/>
      <c r="AJ147" s="761"/>
      <c r="AK147" s="761"/>
      <c r="AL147" s="762"/>
      <c r="AM147" s="763"/>
      <c r="AN147" s="763"/>
      <c r="AO147" s="764"/>
    </row>
    <row r="148">
      <c r="A148" s="602" t="s">
        <v>1190</v>
      </c>
      <c r="B148" s="758"/>
      <c r="C148" s="759"/>
      <c r="D148" s="759"/>
      <c r="E148" s="760"/>
      <c r="F148" s="761"/>
      <c r="G148" s="761"/>
      <c r="H148" s="762"/>
      <c r="I148" s="759"/>
      <c r="J148" s="759"/>
      <c r="K148" s="760"/>
      <c r="L148" s="761"/>
      <c r="M148" s="761"/>
      <c r="N148" s="762"/>
      <c r="O148" s="759"/>
      <c r="P148" s="759"/>
      <c r="Q148" s="760"/>
      <c r="R148" s="761"/>
      <c r="S148" s="761"/>
      <c r="T148" s="762"/>
      <c r="U148" s="759"/>
      <c r="V148" s="759"/>
      <c r="W148" s="760"/>
      <c r="X148" s="761"/>
      <c r="Y148" s="761"/>
      <c r="Z148" s="762"/>
      <c r="AA148" s="759"/>
      <c r="AB148" s="759"/>
      <c r="AC148" s="760"/>
      <c r="AD148" s="761"/>
      <c r="AE148" s="761"/>
      <c r="AF148" s="762"/>
      <c r="AG148" s="759"/>
      <c r="AH148" s="759"/>
      <c r="AI148" s="760"/>
      <c r="AJ148" s="761"/>
      <c r="AK148" s="761"/>
      <c r="AL148" s="762"/>
      <c r="AM148" s="763"/>
      <c r="AN148" s="763"/>
      <c r="AO148" s="764"/>
    </row>
    <row r="149">
      <c r="A149" s="602" t="s">
        <v>1190</v>
      </c>
      <c r="B149" s="758"/>
      <c r="C149" s="759"/>
      <c r="D149" s="759"/>
      <c r="E149" s="760"/>
      <c r="F149" s="761"/>
      <c r="G149" s="761"/>
      <c r="H149" s="762"/>
      <c r="I149" s="759"/>
      <c r="J149" s="759"/>
      <c r="K149" s="760"/>
      <c r="L149" s="761"/>
      <c r="M149" s="761"/>
      <c r="N149" s="762"/>
      <c r="O149" s="759"/>
      <c r="P149" s="759"/>
      <c r="Q149" s="760"/>
      <c r="R149" s="761"/>
      <c r="S149" s="761"/>
      <c r="T149" s="762"/>
      <c r="U149" s="759"/>
      <c r="V149" s="759"/>
      <c r="W149" s="760"/>
      <c r="X149" s="761"/>
      <c r="Y149" s="761"/>
      <c r="Z149" s="762"/>
      <c r="AA149" s="759"/>
      <c r="AB149" s="759"/>
      <c r="AC149" s="760"/>
      <c r="AD149" s="761"/>
      <c r="AE149" s="761"/>
      <c r="AF149" s="762"/>
      <c r="AG149" s="759"/>
      <c r="AH149" s="759"/>
      <c r="AI149" s="760"/>
      <c r="AJ149" s="761"/>
      <c r="AK149" s="761"/>
      <c r="AL149" s="762"/>
      <c r="AM149" s="763"/>
      <c r="AN149" s="763"/>
      <c r="AO149" s="764"/>
    </row>
    <row r="150">
      <c r="A150" s="602" t="s">
        <v>1190</v>
      </c>
      <c r="B150" s="758"/>
      <c r="C150" s="759"/>
      <c r="D150" s="759"/>
      <c r="E150" s="760"/>
      <c r="F150" s="761"/>
      <c r="G150" s="761"/>
      <c r="H150" s="762"/>
      <c r="I150" s="759"/>
      <c r="J150" s="759"/>
      <c r="K150" s="760"/>
      <c r="L150" s="761"/>
      <c r="M150" s="761"/>
      <c r="N150" s="762"/>
      <c r="O150" s="759"/>
      <c r="P150" s="759"/>
      <c r="Q150" s="760"/>
      <c r="R150" s="761"/>
      <c r="S150" s="761"/>
      <c r="T150" s="762"/>
      <c r="U150" s="759"/>
      <c r="V150" s="759"/>
      <c r="W150" s="760"/>
      <c r="X150" s="761"/>
      <c r="Y150" s="761"/>
      <c r="Z150" s="762"/>
      <c r="AA150" s="759"/>
      <c r="AB150" s="759"/>
      <c r="AC150" s="760"/>
      <c r="AD150" s="761"/>
      <c r="AE150" s="761"/>
      <c r="AF150" s="762"/>
      <c r="AG150" s="759"/>
      <c r="AH150" s="759"/>
      <c r="AI150" s="760"/>
      <c r="AJ150" s="761"/>
      <c r="AK150" s="761"/>
      <c r="AL150" s="762"/>
      <c r="AM150" s="763"/>
      <c r="AN150" s="763"/>
      <c r="AO150" s="764"/>
    </row>
    <row r="151">
      <c r="A151" s="602" t="s">
        <v>1190</v>
      </c>
      <c r="B151" s="758"/>
      <c r="C151" s="759"/>
      <c r="D151" s="759"/>
      <c r="E151" s="760"/>
      <c r="F151" s="761"/>
      <c r="G151" s="761"/>
      <c r="H151" s="762"/>
      <c r="I151" s="759"/>
      <c r="J151" s="759"/>
      <c r="K151" s="760"/>
      <c r="L151" s="761"/>
      <c r="M151" s="761"/>
      <c r="N151" s="762"/>
      <c r="O151" s="759"/>
      <c r="P151" s="759"/>
      <c r="Q151" s="760"/>
      <c r="R151" s="761"/>
      <c r="S151" s="761"/>
      <c r="T151" s="762"/>
      <c r="U151" s="759"/>
      <c r="V151" s="759"/>
      <c r="W151" s="760"/>
      <c r="X151" s="761"/>
      <c r="Y151" s="761"/>
      <c r="Z151" s="762"/>
      <c r="AA151" s="759"/>
      <c r="AB151" s="759"/>
      <c r="AC151" s="760"/>
      <c r="AD151" s="761"/>
      <c r="AE151" s="761"/>
      <c r="AF151" s="762"/>
      <c r="AG151" s="759"/>
      <c r="AH151" s="759"/>
      <c r="AI151" s="760"/>
      <c r="AJ151" s="761"/>
      <c r="AK151" s="761"/>
      <c r="AL151" s="762"/>
      <c r="AM151" s="763"/>
      <c r="AN151" s="763"/>
      <c r="AO151" s="764"/>
    </row>
    <row r="152">
      <c r="A152" s="602" t="s">
        <v>1190</v>
      </c>
      <c r="B152" s="758"/>
      <c r="C152" s="759"/>
      <c r="D152" s="759"/>
      <c r="E152" s="760"/>
      <c r="F152" s="761"/>
      <c r="G152" s="761"/>
      <c r="H152" s="762"/>
      <c r="I152" s="759"/>
      <c r="J152" s="759"/>
      <c r="K152" s="760"/>
      <c r="L152" s="761"/>
      <c r="M152" s="761"/>
      <c r="N152" s="762"/>
      <c r="O152" s="759"/>
      <c r="P152" s="759"/>
      <c r="Q152" s="760"/>
      <c r="R152" s="761"/>
      <c r="S152" s="761"/>
      <c r="T152" s="762"/>
      <c r="U152" s="759"/>
      <c r="V152" s="759"/>
      <c r="W152" s="760"/>
      <c r="X152" s="761"/>
      <c r="Y152" s="761"/>
      <c r="Z152" s="762"/>
      <c r="AA152" s="759"/>
      <c r="AB152" s="759"/>
      <c r="AC152" s="760"/>
      <c r="AD152" s="761"/>
      <c r="AE152" s="761"/>
      <c r="AF152" s="762"/>
      <c r="AG152" s="759"/>
      <c r="AH152" s="759"/>
      <c r="AI152" s="760"/>
      <c r="AJ152" s="761"/>
      <c r="AK152" s="761"/>
      <c r="AL152" s="762"/>
      <c r="AM152" s="763"/>
      <c r="AN152" s="763"/>
      <c r="AO152" s="764"/>
    </row>
    <row r="153">
      <c r="A153" s="602" t="s">
        <v>1190</v>
      </c>
      <c r="B153" s="758"/>
      <c r="C153" s="759"/>
      <c r="D153" s="759"/>
      <c r="E153" s="760"/>
      <c r="F153" s="761"/>
      <c r="G153" s="761"/>
      <c r="H153" s="762"/>
      <c r="I153" s="759"/>
      <c r="J153" s="759"/>
      <c r="K153" s="760"/>
      <c r="L153" s="761"/>
      <c r="M153" s="761"/>
      <c r="N153" s="762"/>
      <c r="O153" s="759"/>
      <c r="P153" s="759"/>
      <c r="Q153" s="760"/>
      <c r="R153" s="761"/>
      <c r="S153" s="761"/>
      <c r="T153" s="762"/>
      <c r="U153" s="759"/>
      <c r="V153" s="759"/>
      <c r="W153" s="760"/>
      <c r="X153" s="761"/>
      <c r="Y153" s="761"/>
      <c r="Z153" s="762"/>
      <c r="AA153" s="759"/>
      <c r="AB153" s="759"/>
      <c r="AC153" s="760"/>
      <c r="AD153" s="761"/>
      <c r="AE153" s="761"/>
      <c r="AF153" s="762"/>
      <c r="AG153" s="759"/>
      <c r="AH153" s="759"/>
      <c r="AI153" s="760"/>
      <c r="AJ153" s="761"/>
      <c r="AK153" s="761"/>
      <c r="AL153" s="762"/>
      <c r="AM153" s="763"/>
      <c r="AN153" s="763"/>
      <c r="AO153" s="764"/>
    </row>
    <row r="154">
      <c r="A154" s="602" t="s">
        <v>1190</v>
      </c>
      <c r="B154" s="758"/>
      <c r="C154" s="759"/>
      <c r="D154" s="759"/>
      <c r="E154" s="760"/>
      <c r="F154" s="761"/>
      <c r="G154" s="761"/>
      <c r="H154" s="762"/>
      <c r="I154" s="759"/>
      <c r="J154" s="759"/>
      <c r="K154" s="760"/>
      <c r="L154" s="761"/>
      <c r="M154" s="761"/>
      <c r="N154" s="762"/>
      <c r="O154" s="759"/>
      <c r="P154" s="759"/>
      <c r="Q154" s="760"/>
      <c r="R154" s="761"/>
      <c r="S154" s="761"/>
      <c r="T154" s="762"/>
      <c r="U154" s="759"/>
      <c r="V154" s="759"/>
      <c r="W154" s="760"/>
      <c r="X154" s="761"/>
      <c r="Y154" s="761"/>
      <c r="Z154" s="762"/>
      <c r="AA154" s="759"/>
      <c r="AB154" s="759"/>
      <c r="AC154" s="760"/>
      <c r="AD154" s="761"/>
      <c r="AE154" s="761"/>
      <c r="AF154" s="762"/>
      <c r="AG154" s="759"/>
      <c r="AH154" s="759"/>
      <c r="AI154" s="760"/>
      <c r="AJ154" s="761"/>
      <c r="AK154" s="761"/>
      <c r="AL154" s="762"/>
      <c r="AM154" s="763"/>
      <c r="AN154" s="763"/>
      <c r="AO154" s="764"/>
    </row>
    <row r="155">
      <c r="A155" s="602" t="s">
        <v>1190</v>
      </c>
      <c r="B155" s="758"/>
      <c r="C155" s="759"/>
      <c r="D155" s="759"/>
      <c r="E155" s="760"/>
      <c r="F155" s="761"/>
      <c r="G155" s="761"/>
      <c r="H155" s="762"/>
      <c r="I155" s="759"/>
      <c r="J155" s="759"/>
      <c r="K155" s="760"/>
      <c r="L155" s="761"/>
      <c r="M155" s="761"/>
      <c r="N155" s="762"/>
      <c r="O155" s="759"/>
      <c r="P155" s="759"/>
      <c r="Q155" s="760"/>
      <c r="R155" s="761"/>
      <c r="S155" s="761"/>
      <c r="T155" s="762"/>
      <c r="U155" s="759"/>
      <c r="V155" s="759"/>
      <c r="W155" s="760"/>
      <c r="X155" s="761"/>
      <c r="Y155" s="761"/>
      <c r="Z155" s="762"/>
      <c r="AA155" s="759"/>
      <c r="AB155" s="759"/>
      <c r="AC155" s="760"/>
      <c r="AD155" s="761"/>
      <c r="AE155" s="761"/>
      <c r="AF155" s="762"/>
      <c r="AG155" s="759"/>
      <c r="AH155" s="759"/>
      <c r="AI155" s="760"/>
      <c r="AJ155" s="761"/>
      <c r="AK155" s="761"/>
      <c r="AL155" s="762"/>
      <c r="AM155" s="763"/>
      <c r="AN155" s="763"/>
      <c r="AO155" s="764"/>
    </row>
    <row r="156">
      <c r="A156" s="602" t="s">
        <v>1190</v>
      </c>
      <c r="B156" s="758"/>
      <c r="C156" s="759"/>
      <c r="D156" s="759"/>
      <c r="E156" s="760"/>
      <c r="F156" s="761"/>
      <c r="G156" s="761"/>
      <c r="H156" s="762"/>
      <c r="I156" s="759"/>
      <c r="J156" s="759"/>
      <c r="K156" s="760"/>
      <c r="L156" s="761"/>
      <c r="M156" s="761"/>
      <c r="N156" s="762"/>
      <c r="O156" s="759"/>
      <c r="P156" s="759"/>
      <c r="Q156" s="760"/>
      <c r="R156" s="761"/>
      <c r="S156" s="761"/>
      <c r="T156" s="762"/>
      <c r="U156" s="759"/>
      <c r="V156" s="759"/>
      <c r="W156" s="760"/>
      <c r="X156" s="761"/>
      <c r="Y156" s="761"/>
      <c r="Z156" s="762"/>
      <c r="AA156" s="759"/>
      <c r="AB156" s="759"/>
      <c r="AC156" s="760"/>
      <c r="AD156" s="761"/>
      <c r="AE156" s="761"/>
      <c r="AF156" s="762"/>
      <c r="AG156" s="759"/>
      <c r="AH156" s="759"/>
      <c r="AI156" s="760"/>
      <c r="AJ156" s="761"/>
      <c r="AK156" s="761"/>
      <c r="AL156" s="762"/>
      <c r="AM156" s="763"/>
      <c r="AN156" s="763"/>
      <c r="AO156" s="764"/>
    </row>
    <row r="157">
      <c r="A157" s="602" t="s">
        <v>1190</v>
      </c>
      <c r="B157" s="758"/>
      <c r="C157" s="759"/>
      <c r="D157" s="759"/>
      <c r="E157" s="760"/>
      <c r="F157" s="761"/>
      <c r="G157" s="761"/>
      <c r="H157" s="762"/>
      <c r="I157" s="759"/>
      <c r="J157" s="759"/>
      <c r="K157" s="760"/>
      <c r="L157" s="761"/>
      <c r="M157" s="761"/>
      <c r="N157" s="762"/>
      <c r="O157" s="759"/>
      <c r="P157" s="759"/>
      <c r="Q157" s="760"/>
      <c r="R157" s="761"/>
      <c r="S157" s="761"/>
      <c r="T157" s="762"/>
      <c r="U157" s="759"/>
      <c r="V157" s="759"/>
      <c r="W157" s="760"/>
      <c r="X157" s="761"/>
      <c r="Y157" s="761"/>
      <c r="Z157" s="762"/>
      <c r="AA157" s="759"/>
      <c r="AB157" s="759"/>
      <c r="AC157" s="760"/>
      <c r="AD157" s="761"/>
      <c r="AE157" s="761"/>
      <c r="AF157" s="762"/>
      <c r="AG157" s="759"/>
      <c r="AH157" s="759"/>
      <c r="AI157" s="760"/>
      <c r="AJ157" s="761"/>
      <c r="AK157" s="761"/>
      <c r="AL157" s="762"/>
      <c r="AM157" s="763"/>
      <c r="AN157" s="763"/>
      <c r="AO157" s="764"/>
    </row>
    <row r="158">
      <c r="A158" s="602" t="s">
        <v>1190</v>
      </c>
      <c r="B158" s="758"/>
      <c r="C158" s="759"/>
      <c r="D158" s="759"/>
      <c r="E158" s="760"/>
      <c r="F158" s="761"/>
      <c r="G158" s="761"/>
      <c r="H158" s="762"/>
      <c r="I158" s="759"/>
      <c r="J158" s="759"/>
      <c r="K158" s="760"/>
      <c r="L158" s="761"/>
      <c r="M158" s="761"/>
      <c r="N158" s="762"/>
      <c r="O158" s="759"/>
      <c r="P158" s="759"/>
      <c r="Q158" s="760"/>
      <c r="R158" s="761"/>
      <c r="S158" s="761"/>
      <c r="T158" s="762"/>
      <c r="U158" s="759"/>
      <c r="V158" s="759"/>
      <c r="W158" s="760"/>
      <c r="X158" s="761"/>
      <c r="Y158" s="761"/>
      <c r="Z158" s="762"/>
      <c r="AA158" s="759"/>
      <c r="AB158" s="759"/>
      <c r="AC158" s="760"/>
      <c r="AD158" s="761"/>
      <c r="AE158" s="761"/>
      <c r="AF158" s="762"/>
      <c r="AG158" s="759"/>
      <c r="AH158" s="759"/>
      <c r="AI158" s="760"/>
      <c r="AJ158" s="761"/>
      <c r="AK158" s="761"/>
      <c r="AL158" s="762"/>
      <c r="AM158" s="763"/>
      <c r="AN158" s="763"/>
      <c r="AO158" s="764"/>
    </row>
    <row r="159">
      <c r="A159" s="602" t="s">
        <v>1190</v>
      </c>
      <c r="B159" s="758"/>
      <c r="C159" s="759"/>
      <c r="D159" s="759"/>
      <c r="E159" s="760"/>
      <c r="F159" s="761"/>
      <c r="G159" s="761"/>
      <c r="H159" s="762"/>
      <c r="I159" s="759"/>
      <c r="J159" s="759"/>
      <c r="K159" s="760"/>
      <c r="L159" s="761"/>
      <c r="M159" s="761"/>
      <c r="N159" s="762"/>
      <c r="O159" s="759"/>
      <c r="P159" s="759"/>
      <c r="Q159" s="760"/>
      <c r="R159" s="761"/>
      <c r="S159" s="761"/>
      <c r="T159" s="762"/>
      <c r="U159" s="759"/>
      <c r="V159" s="759"/>
      <c r="W159" s="760"/>
      <c r="X159" s="761"/>
      <c r="Y159" s="761"/>
      <c r="Z159" s="762"/>
      <c r="AA159" s="759"/>
      <c r="AB159" s="759"/>
      <c r="AC159" s="760"/>
      <c r="AD159" s="761"/>
      <c r="AE159" s="761"/>
      <c r="AF159" s="762"/>
      <c r="AG159" s="759"/>
      <c r="AH159" s="759"/>
      <c r="AI159" s="760"/>
      <c r="AJ159" s="761"/>
      <c r="AK159" s="761"/>
      <c r="AL159" s="762"/>
      <c r="AM159" s="763"/>
      <c r="AN159" s="763"/>
      <c r="AO159" s="764"/>
    </row>
    <row r="160">
      <c r="A160" s="602" t="s">
        <v>1190</v>
      </c>
      <c r="B160" s="758"/>
      <c r="C160" s="759"/>
      <c r="D160" s="759"/>
      <c r="E160" s="760"/>
      <c r="F160" s="761"/>
      <c r="G160" s="761"/>
      <c r="H160" s="762"/>
      <c r="I160" s="759"/>
      <c r="J160" s="759"/>
      <c r="K160" s="760"/>
      <c r="L160" s="761"/>
      <c r="M160" s="761"/>
      <c r="N160" s="762"/>
      <c r="O160" s="759"/>
      <c r="P160" s="759"/>
      <c r="Q160" s="760"/>
      <c r="R160" s="761"/>
      <c r="S160" s="761"/>
      <c r="T160" s="762"/>
      <c r="U160" s="759"/>
      <c r="V160" s="759"/>
      <c r="W160" s="760"/>
      <c r="X160" s="761"/>
      <c r="Y160" s="761"/>
      <c r="Z160" s="762"/>
      <c r="AA160" s="759"/>
      <c r="AB160" s="759"/>
      <c r="AC160" s="760"/>
      <c r="AD160" s="761"/>
      <c r="AE160" s="761"/>
      <c r="AF160" s="762"/>
      <c r="AG160" s="759"/>
      <c r="AH160" s="759"/>
      <c r="AI160" s="760"/>
      <c r="AJ160" s="761"/>
      <c r="AK160" s="761"/>
      <c r="AL160" s="762"/>
      <c r="AM160" s="763"/>
      <c r="AN160" s="763"/>
      <c r="AO160" s="764"/>
    </row>
    <row r="161">
      <c r="A161" s="602" t="s">
        <v>1190</v>
      </c>
      <c r="B161" s="758"/>
      <c r="C161" s="759"/>
      <c r="D161" s="759"/>
      <c r="E161" s="760"/>
      <c r="F161" s="761"/>
      <c r="G161" s="761"/>
      <c r="H161" s="762"/>
      <c r="I161" s="759"/>
      <c r="J161" s="759"/>
      <c r="K161" s="760"/>
      <c r="L161" s="761"/>
      <c r="M161" s="761"/>
      <c r="N161" s="762"/>
      <c r="O161" s="759"/>
      <c r="P161" s="759"/>
      <c r="Q161" s="760"/>
      <c r="R161" s="761"/>
      <c r="S161" s="761"/>
      <c r="T161" s="762"/>
      <c r="U161" s="759"/>
      <c r="V161" s="759"/>
      <c r="W161" s="760"/>
      <c r="X161" s="761"/>
      <c r="Y161" s="761"/>
      <c r="Z161" s="762"/>
      <c r="AA161" s="759"/>
      <c r="AB161" s="759"/>
      <c r="AC161" s="760"/>
      <c r="AD161" s="761"/>
      <c r="AE161" s="761"/>
      <c r="AF161" s="762"/>
      <c r="AG161" s="759"/>
      <c r="AH161" s="759"/>
      <c r="AI161" s="760"/>
      <c r="AJ161" s="761"/>
      <c r="AK161" s="761"/>
      <c r="AL161" s="762"/>
      <c r="AM161" s="763"/>
      <c r="AN161" s="763"/>
      <c r="AO161" s="764"/>
    </row>
    <row r="162">
      <c r="A162" s="602" t="s">
        <v>1190</v>
      </c>
      <c r="B162" s="758"/>
      <c r="C162" s="759"/>
      <c r="D162" s="759"/>
      <c r="E162" s="760"/>
      <c r="F162" s="761"/>
      <c r="G162" s="761"/>
      <c r="H162" s="762"/>
      <c r="I162" s="759"/>
      <c r="J162" s="759"/>
      <c r="K162" s="760"/>
      <c r="L162" s="761"/>
      <c r="M162" s="761"/>
      <c r="N162" s="762"/>
      <c r="O162" s="759"/>
      <c r="P162" s="759"/>
      <c r="Q162" s="760"/>
      <c r="R162" s="761"/>
      <c r="S162" s="761"/>
      <c r="T162" s="762"/>
      <c r="U162" s="759"/>
      <c r="V162" s="759"/>
      <c r="W162" s="760"/>
      <c r="X162" s="761"/>
      <c r="Y162" s="761"/>
      <c r="Z162" s="762"/>
      <c r="AA162" s="759"/>
      <c r="AB162" s="759"/>
      <c r="AC162" s="760"/>
      <c r="AD162" s="761"/>
      <c r="AE162" s="761"/>
      <c r="AF162" s="762"/>
      <c r="AG162" s="759"/>
      <c r="AH162" s="759"/>
      <c r="AI162" s="760"/>
      <c r="AJ162" s="761"/>
      <c r="AK162" s="761"/>
      <c r="AL162" s="762"/>
      <c r="AM162" s="763"/>
      <c r="AN162" s="763"/>
      <c r="AO162" s="764"/>
    </row>
    <row r="163">
      <c r="A163" s="602" t="s">
        <v>1190</v>
      </c>
      <c r="B163" s="758"/>
      <c r="C163" s="759"/>
      <c r="D163" s="759"/>
      <c r="E163" s="760"/>
      <c r="F163" s="761"/>
      <c r="G163" s="761"/>
      <c r="H163" s="762"/>
      <c r="I163" s="759"/>
      <c r="J163" s="759"/>
      <c r="K163" s="760"/>
      <c r="L163" s="761"/>
      <c r="M163" s="761"/>
      <c r="N163" s="762"/>
      <c r="O163" s="759"/>
      <c r="P163" s="759"/>
      <c r="Q163" s="760"/>
      <c r="R163" s="761"/>
      <c r="S163" s="761"/>
      <c r="T163" s="762"/>
      <c r="U163" s="759"/>
      <c r="V163" s="759"/>
      <c r="W163" s="760"/>
      <c r="X163" s="761"/>
      <c r="Y163" s="761"/>
      <c r="Z163" s="762"/>
      <c r="AA163" s="759"/>
      <c r="AB163" s="759"/>
      <c r="AC163" s="760"/>
      <c r="AD163" s="761"/>
      <c r="AE163" s="761"/>
      <c r="AF163" s="762"/>
      <c r="AG163" s="759"/>
      <c r="AH163" s="759"/>
      <c r="AI163" s="760"/>
      <c r="AJ163" s="761"/>
      <c r="AK163" s="761"/>
      <c r="AL163" s="762"/>
      <c r="AM163" s="763"/>
      <c r="AN163" s="763"/>
      <c r="AO163" s="764"/>
    </row>
    <row r="164">
      <c r="A164" s="602" t="s">
        <v>1190</v>
      </c>
      <c r="B164" s="758"/>
      <c r="C164" s="759"/>
      <c r="D164" s="759"/>
      <c r="E164" s="760"/>
      <c r="F164" s="761"/>
      <c r="G164" s="761"/>
      <c r="H164" s="762"/>
      <c r="I164" s="759"/>
      <c r="J164" s="759"/>
      <c r="K164" s="760"/>
      <c r="L164" s="761"/>
      <c r="M164" s="761"/>
      <c r="N164" s="762"/>
      <c r="O164" s="759"/>
      <c r="P164" s="759"/>
      <c r="Q164" s="760"/>
      <c r="R164" s="761"/>
      <c r="S164" s="761"/>
      <c r="T164" s="762"/>
      <c r="U164" s="759"/>
      <c r="V164" s="759"/>
      <c r="W164" s="760"/>
      <c r="X164" s="761"/>
      <c r="Y164" s="761"/>
      <c r="Z164" s="762"/>
      <c r="AA164" s="759"/>
      <c r="AB164" s="759"/>
      <c r="AC164" s="760"/>
      <c r="AD164" s="761"/>
      <c r="AE164" s="761"/>
      <c r="AF164" s="762"/>
      <c r="AG164" s="759"/>
      <c r="AH164" s="759"/>
      <c r="AI164" s="760"/>
      <c r="AJ164" s="761"/>
      <c r="AK164" s="761"/>
      <c r="AL164" s="762"/>
      <c r="AM164" s="763"/>
      <c r="AN164" s="763"/>
      <c r="AO164" s="764"/>
    </row>
    <row r="165">
      <c r="A165" s="602" t="s">
        <v>1190</v>
      </c>
      <c r="B165" s="758"/>
      <c r="C165" s="759"/>
      <c r="D165" s="759"/>
      <c r="E165" s="760"/>
      <c r="F165" s="761"/>
      <c r="G165" s="761"/>
      <c r="H165" s="762"/>
      <c r="I165" s="759"/>
      <c r="J165" s="759"/>
      <c r="K165" s="760"/>
      <c r="L165" s="761"/>
      <c r="M165" s="761"/>
      <c r="N165" s="762"/>
      <c r="O165" s="759"/>
      <c r="P165" s="759"/>
      <c r="Q165" s="760"/>
      <c r="R165" s="761"/>
      <c r="S165" s="761"/>
      <c r="T165" s="762"/>
      <c r="U165" s="759"/>
      <c r="V165" s="759"/>
      <c r="W165" s="760"/>
      <c r="X165" s="761"/>
      <c r="Y165" s="761"/>
      <c r="Z165" s="762"/>
      <c r="AA165" s="759"/>
      <c r="AB165" s="759"/>
      <c r="AC165" s="760"/>
      <c r="AD165" s="761"/>
      <c r="AE165" s="761"/>
      <c r="AF165" s="762"/>
      <c r="AG165" s="759"/>
      <c r="AH165" s="759"/>
      <c r="AI165" s="760"/>
      <c r="AJ165" s="761"/>
      <c r="AK165" s="761"/>
      <c r="AL165" s="762"/>
      <c r="AM165" s="763"/>
      <c r="AN165" s="763"/>
      <c r="AO165" s="764"/>
    </row>
    <row r="166">
      <c r="A166" s="602" t="s">
        <v>1190</v>
      </c>
      <c r="B166" s="758"/>
      <c r="C166" s="759"/>
      <c r="D166" s="759"/>
      <c r="E166" s="760"/>
      <c r="F166" s="761"/>
      <c r="G166" s="761"/>
      <c r="H166" s="762"/>
      <c r="I166" s="759"/>
      <c r="J166" s="759"/>
      <c r="K166" s="760"/>
      <c r="L166" s="761"/>
      <c r="M166" s="761"/>
      <c r="N166" s="762"/>
      <c r="O166" s="759"/>
      <c r="P166" s="759"/>
      <c r="Q166" s="760"/>
      <c r="R166" s="761"/>
      <c r="S166" s="761"/>
      <c r="T166" s="762"/>
      <c r="U166" s="759"/>
      <c r="V166" s="759"/>
      <c r="W166" s="760"/>
      <c r="X166" s="761"/>
      <c r="Y166" s="761"/>
      <c r="Z166" s="762"/>
      <c r="AA166" s="759"/>
      <c r="AB166" s="759"/>
      <c r="AC166" s="760"/>
      <c r="AD166" s="761"/>
      <c r="AE166" s="761"/>
      <c r="AF166" s="762"/>
      <c r="AG166" s="759"/>
      <c r="AH166" s="759"/>
      <c r="AI166" s="760"/>
      <c r="AJ166" s="761"/>
      <c r="AK166" s="761"/>
      <c r="AL166" s="762"/>
      <c r="AM166" s="763"/>
      <c r="AN166" s="763"/>
      <c r="AO166" s="764"/>
    </row>
    <row r="167">
      <c r="A167" s="602" t="s">
        <v>1190</v>
      </c>
      <c r="B167" s="758"/>
      <c r="C167" s="759"/>
      <c r="D167" s="759"/>
      <c r="E167" s="760"/>
      <c r="F167" s="761"/>
      <c r="G167" s="761"/>
      <c r="H167" s="762"/>
      <c r="I167" s="759"/>
      <c r="J167" s="759"/>
      <c r="K167" s="760"/>
      <c r="L167" s="761"/>
      <c r="M167" s="761"/>
      <c r="N167" s="762"/>
      <c r="O167" s="759"/>
      <c r="P167" s="759"/>
      <c r="Q167" s="760"/>
      <c r="R167" s="761"/>
      <c r="S167" s="761"/>
      <c r="T167" s="762"/>
      <c r="U167" s="759"/>
      <c r="V167" s="759"/>
      <c r="W167" s="760"/>
      <c r="X167" s="761"/>
      <c r="Y167" s="761"/>
      <c r="Z167" s="762"/>
      <c r="AA167" s="759"/>
      <c r="AB167" s="759"/>
      <c r="AC167" s="760"/>
      <c r="AD167" s="761"/>
      <c r="AE167" s="761"/>
      <c r="AF167" s="762"/>
      <c r="AG167" s="759"/>
      <c r="AH167" s="759"/>
      <c r="AI167" s="760"/>
      <c r="AJ167" s="761"/>
      <c r="AK167" s="761"/>
      <c r="AL167" s="762"/>
      <c r="AM167" s="763"/>
      <c r="AN167" s="763"/>
      <c r="AO167" s="764"/>
    </row>
    <row r="168">
      <c r="A168" s="602" t="s">
        <v>1190</v>
      </c>
      <c r="B168" s="758"/>
      <c r="C168" s="759"/>
      <c r="D168" s="759"/>
      <c r="E168" s="760"/>
      <c r="F168" s="761"/>
      <c r="G168" s="761"/>
      <c r="H168" s="762"/>
      <c r="I168" s="759"/>
      <c r="J168" s="759"/>
      <c r="K168" s="760"/>
      <c r="L168" s="761"/>
      <c r="M168" s="761"/>
      <c r="N168" s="762"/>
      <c r="O168" s="759"/>
      <c r="P168" s="759"/>
      <c r="Q168" s="760"/>
      <c r="R168" s="761"/>
      <c r="S168" s="761"/>
      <c r="T168" s="762"/>
      <c r="U168" s="759"/>
      <c r="V168" s="759"/>
      <c r="W168" s="760"/>
      <c r="X168" s="761"/>
      <c r="Y168" s="761"/>
      <c r="Z168" s="762"/>
      <c r="AA168" s="759"/>
      <c r="AB168" s="759"/>
      <c r="AC168" s="760"/>
      <c r="AD168" s="761"/>
      <c r="AE168" s="761"/>
      <c r="AF168" s="762"/>
      <c r="AG168" s="759"/>
      <c r="AH168" s="759"/>
      <c r="AI168" s="760"/>
      <c r="AJ168" s="761"/>
      <c r="AK168" s="761"/>
      <c r="AL168" s="762"/>
      <c r="AM168" s="763"/>
      <c r="AN168" s="763"/>
      <c r="AO168" s="764"/>
    </row>
    <row r="169">
      <c r="A169" s="602" t="s">
        <v>1190</v>
      </c>
      <c r="B169" s="758"/>
      <c r="C169" s="759"/>
      <c r="D169" s="759"/>
      <c r="E169" s="760"/>
      <c r="F169" s="761"/>
      <c r="G169" s="761"/>
      <c r="H169" s="762"/>
      <c r="I169" s="759"/>
      <c r="J169" s="759"/>
      <c r="K169" s="760"/>
      <c r="L169" s="761"/>
      <c r="M169" s="761"/>
      <c r="N169" s="762"/>
      <c r="O169" s="759"/>
      <c r="P169" s="759"/>
      <c r="Q169" s="760"/>
      <c r="R169" s="761"/>
      <c r="S169" s="761"/>
      <c r="T169" s="762"/>
      <c r="U169" s="759"/>
      <c r="V169" s="759"/>
      <c r="W169" s="760"/>
      <c r="X169" s="761"/>
      <c r="Y169" s="761"/>
      <c r="Z169" s="762"/>
      <c r="AA169" s="759"/>
      <c r="AB169" s="759"/>
      <c r="AC169" s="760"/>
      <c r="AD169" s="761"/>
      <c r="AE169" s="761"/>
      <c r="AF169" s="762"/>
      <c r="AG169" s="759"/>
      <c r="AH169" s="759"/>
      <c r="AI169" s="760"/>
      <c r="AJ169" s="761"/>
      <c r="AK169" s="761"/>
      <c r="AL169" s="762"/>
      <c r="AM169" s="763"/>
      <c r="AN169" s="763"/>
      <c r="AO169" s="764"/>
    </row>
    <row r="170">
      <c r="A170" s="602" t="s">
        <v>1190</v>
      </c>
      <c r="B170" s="758"/>
      <c r="C170" s="759"/>
      <c r="D170" s="759"/>
      <c r="E170" s="760"/>
      <c r="F170" s="761"/>
      <c r="G170" s="761"/>
      <c r="H170" s="762"/>
      <c r="I170" s="759"/>
      <c r="J170" s="759"/>
      <c r="K170" s="760"/>
      <c r="L170" s="761"/>
      <c r="M170" s="761"/>
      <c r="N170" s="762"/>
      <c r="O170" s="759"/>
      <c r="P170" s="759"/>
      <c r="Q170" s="760"/>
      <c r="R170" s="761"/>
      <c r="S170" s="761"/>
      <c r="T170" s="762"/>
      <c r="U170" s="759"/>
      <c r="V170" s="759"/>
      <c r="W170" s="760"/>
      <c r="X170" s="761"/>
      <c r="Y170" s="761"/>
      <c r="Z170" s="762"/>
      <c r="AA170" s="759"/>
      <c r="AB170" s="759"/>
      <c r="AC170" s="760"/>
      <c r="AD170" s="761"/>
      <c r="AE170" s="761"/>
      <c r="AF170" s="762"/>
      <c r="AG170" s="759"/>
      <c r="AH170" s="759"/>
      <c r="AI170" s="760"/>
      <c r="AJ170" s="761"/>
      <c r="AK170" s="761"/>
      <c r="AL170" s="762"/>
      <c r="AM170" s="763"/>
      <c r="AN170" s="763"/>
      <c r="AO170" s="764"/>
    </row>
    <row r="171">
      <c r="A171" s="602" t="s">
        <v>1190</v>
      </c>
      <c r="B171" s="758"/>
      <c r="C171" s="759"/>
      <c r="D171" s="759"/>
      <c r="E171" s="760"/>
      <c r="F171" s="761"/>
      <c r="G171" s="761"/>
      <c r="H171" s="762"/>
      <c r="I171" s="759"/>
      <c r="J171" s="759"/>
      <c r="K171" s="760"/>
      <c r="L171" s="761"/>
      <c r="M171" s="761"/>
      <c r="N171" s="762"/>
      <c r="O171" s="759"/>
      <c r="P171" s="759"/>
      <c r="Q171" s="760"/>
      <c r="R171" s="761"/>
      <c r="S171" s="761"/>
      <c r="T171" s="762"/>
      <c r="U171" s="759"/>
      <c r="V171" s="759"/>
      <c r="W171" s="760"/>
      <c r="X171" s="761"/>
      <c r="Y171" s="761"/>
      <c r="Z171" s="762"/>
      <c r="AA171" s="759"/>
      <c r="AB171" s="759"/>
      <c r="AC171" s="760"/>
      <c r="AD171" s="761"/>
      <c r="AE171" s="761"/>
      <c r="AF171" s="762"/>
      <c r="AG171" s="759"/>
      <c r="AH171" s="759"/>
      <c r="AI171" s="760"/>
      <c r="AJ171" s="761"/>
      <c r="AK171" s="761"/>
      <c r="AL171" s="762"/>
      <c r="AM171" s="763"/>
      <c r="AN171" s="763"/>
      <c r="AO171" s="764"/>
    </row>
    <row r="172">
      <c r="A172" s="602" t="s">
        <v>1190</v>
      </c>
      <c r="B172" s="758"/>
      <c r="C172" s="759"/>
      <c r="D172" s="759"/>
      <c r="E172" s="760"/>
      <c r="F172" s="761"/>
      <c r="G172" s="761"/>
      <c r="H172" s="762"/>
      <c r="I172" s="759"/>
      <c r="J172" s="759"/>
      <c r="K172" s="760"/>
      <c r="L172" s="761"/>
      <c r="M172" s="761"/>
      <c r="N172" s="762"/>
      <c r="O172" s="759"/>
      <c r="P172" s="759"/>
      <c r="Q172" s="760"/>
      <c r="R172" s="761"/>
      <c r="S172" s="761"/>
      <c r="T172" s="762"/>
      <c r="U172" s="759"/>
      <c r="V172" s="759"/>
      <c r="W172" s="760"/>
      <c r="X172" s="761"/>
      <c r="Y172" s="761"/>
      <c r="Z172" s="762"/>
      <c r="AA172" s="759"/>
      <c r="AB172" s="759"/>
      <c r="AC172" s="760"/>
      <c r="AD172" s="761"/>
      <c r="AE172" s="761"/>
      <c r="AF172" s="762"/>
      <c r="AG172" s="759"/>
      <c r="AH172" s="759"/>
      <c r="AI172" s="760"/>
      <c r="AJ172" s="761"/>
      <c r="AK172" s="761"/>
      <c r="AL172" s="762"/>
      <c r="AM172" s="763"/>
      <c r="AN172" s="763"/>
      <c r="AO172" s="764"/>
    </row>
    <row r="173">
      <c r="A173" s="602" t="s">
        <v>1190</v>
      </c>
      <c r="B173" s="758"/>
      <c r="C173" s="759"/>
      <c r="D173" s="759"/>
      <c r="E173" s="760"/>
      <c r="F173" s="761"/>
      <c r="G173" s="761"/>
      <c r="H173" s="762"/>
      <c r="I173" s="759"/>
      <c r="J173" s="759"/>
      <c r="K173" s="760"/>
      <c r="L173" s="761"/>
      <c r="M173" s="761"/>
      <c r="N173" s="762"/>
      <c r="O173" s="759"/>
      <c r="P173" s="759"/>
      <c r="Q173" s="760"/>
      <c r="R173" s="761"/>
      <c r="S173" s="761"/>
      <c r="T173" s="762"/>
      <c r="U173" s="759"/>
      <c r="V173" s="759"/>
      <c r="W173" s="760"/>
      <c r="X173" s="761"/>
      <c r="Y173" s="761"/>
      <c r="Z173" s="762"/>
      <c r="AA173" s="759"/>
      <c r="AB173" s="759"/>
      <c r="AC173" s="760"/>
      <c r="AD173" s="761"/>
      <c r="AE173" s="761"/>
      <c r="AF173" s="762"/>
      <c r="AG173" s="759"/>
      <c r="AH173" s="759"/>
      <c r="AI173" s="760"/>
      <c r="AJ173" s="761"/>
      <c r="AK173" s="761"/>
      <c r="AL173" s="762"/>
      <c r="AM173" s="763"/>
      <c r="AN173" s="763"/>
      <c r="AO173" s="764"/>
    </row>
    <row r="174">
      <c r="A174" s="602" t="s">
        <v>1190</v>
      </c>
      <c r="B174" s="758"/>
      <c r="C174" s="759"/>
      <c r="D174" s="759"/>
      <c r="E174" s="760"/>
      <c r="F174" s="761"/>
      <c r="G174" s="761"/>
      <c r="H174" s="762"/>
      <c r="I174" s="759"/>
      <c r="J174" s="759"/>
      <c r="K174" s="760"/>
      <c r="L174" s="761"/>
      <c r="M174" s="761"/>
      <c r="N174" s="762"/>
      <c r="O174" s="759"/>
      <c r="P174" s="759"/>
      <c r="Q174" s="760"/>
      <c r="R174" s="761"/>
      <c r="S174" s="761"/>
      <c r="T174" s="762"/>
      <c r="U174" s="759"/>
      <c r="V174" s="759"/>
      <c r="W174" s="760"/>
      <c r="X174" s="761"/>
      <c r="Y174" s="761"/>
      <c r="Z174" s="762"/>
      <c r="AA174" s="759"/>
      <c r="AB174" s="759"/>
      <c r="AC174" s="760"/>
      <c r="AD174" s="761"/>
      <c r="AE174" s="761"/>
      <c r="AF174" s="762"/>
      <c r="AG174" s="759"/>
      <c r="AH174" s="759"/>
      <c r="AI174" s="760"/>
      <c r="AJ174" s="761"/>
      <c r="AK174" s="761"/>
      <c r="AL174" s="762"/>
      <c r="AM174" s="763"/>
      <c r="AN174" s="763"/>
      <c r="AO174" s="764"/>
    </row>
    <row r="175">
      <c r="A175" s="602" t="s">
        <v>1190</v>
      </c>
      <c r="B175" s="758"/>
      <c r="C175" s="759"/>
      <c r="D175" s="759"/>
      <c r="E175" s="760"/>
      <c r="F175" s="761"/>
      <c r="G175" s="761"/>
      <c r="H175" s="762"/>
      <c r="I175" s="759"/>
      <c r="J175" s="759"/>
      <c r="K175" s="760"/>
      <c r="L175" s="761"/>
      <c r="M175" s="761"/>
      <c r="N175" s="762"/>
      <c r="O175" s="759"/>
      <c r="P175" s="759"/>
      <c r="Q175" s="760"/>
      <c r="R175" s="761"/>
      <c r="S175" s="761"/>
      <c r="T175" s="762"/>
      <c r="U175" s="759"/>
      <c r="V175" s="759"/>
      <c r="W175" s="760"/>
      <c r="X175" s="761"/>
      <c r="Y175" s="761"/>
      <c r="Z175" s="762"/>
      <c r="AA175" s="759"/>
      <c r="AB175" s="759"/>
      <c r="AC175" s="760"/>
      <c r="AD175" s="761"/>
      <c r="AE175" s="761"/>
      <c r="AF175" s="762"/>
      <c r="AG175" s="759"/>
      <c r="AH175" s="759"/>
      <c r="AI175" s="760"/>
      <c r="AJ175" s="761"/>
      <c r="AK175" s="761"/>
      <c r="AL175" s="762"/>
      <c r="AM175" s="763"/>
      <c r="AN175" s="763"/>
      <c r="AO175" s="764"/>
    </row>
    <row r="176">
      <c r="A176" s="602" t="s">
        <v>1190</v>
      </c>
      <c r="B176" s="758"/>
      <c r="C176" s="759"/>
      <c r="D176" s="759"/>
      <c r="E176" s="760"/>
      <c r="F176" s="761"/>
      <c r="G176" s="761"/>
      <c r="H176" s="762"/>
      <c r="I176" s="759"/>
      <c r="J176" s="759"/>
      <c r="K176" s="760"/>
      <c r="L176" s="761"/>
      <c r="M176" s="761"/>
      <c r="N176" s="762"/>
      <c r="O176" s="759"/>
      <c r="P176" s="759"/>
      <c r="Q176" s="760"/>
      <c r="R176" s="761"/>
      <c r="S176" s="761"/>
      <c r="T176" s="762"/>
      <c r="U176" s="759"/>
      <c r="V176" s="759"/>
      <c r="W176" s="760"/>
      <c r="X176" s="761"/>
      <c r="Y176" s="761"/>
      <c r="Z176" s="762"/>
      <c r="AA176" s="759"/>
      <c r="AB176" s="759"/>
      <c r="AC176" s="760"/>
      <c r="AD176" s="761"/>
      <c r="AE176" s="761"/>
      <c r="AF176" s="762"/>
      <c r="AG176" s="759"/>
      <c r="AH176" s="759"/>
      <c r="AI176" s="760"/>
      <c r="AJ176" s="761"/>
      <c r="AK176" s="761"/>
      <c r="AL176" s="762"/>
      <c r="AM176" s="763"/>
      <c r="AN176" s="763"/>
      <c r="AO176" s="764"/>
    </row>
    <row r="177">
      <c r="A177" s="602" t="s">
        <v>1190</v>
      </c>
      <c r="B177" s="758"/>
      <c r="C177" s="759"/>
      <c r="D177" s="759"/>
      <c r="E177" s="760"/>
      <c r="F177" s="761"/>
      <c r="G177" s="761"/>
      <c r="H177" s="762"/>
      <c r="I177" s="759"/>
      <c r="J177" s="759"/>
      <c r="K177" s="760"/>
      <c r="L177" s="761"/>
      <c r="M177" s="761"/>
      <c r="N177" s="762"/>
      <c r="O177" s="759"/>
      <c r="P177" s="759"/>
      <c r="Q177" s="760"/>
      <c r="R177" s="761"/>
      <c r="S177" s="761"/>
      <c r="T177" s="762"/>
      <c r="U177" s="759"/>
      <c r="V177" s="759"/>
      <c r="W177" s="760"/>
      <c r="X177" s="761"/>
      <c r="Y177" s="761"/>
      <c r="Z177" s="762"/>
      <c r="AA177" s="759"/>
      <c r="AB177" s="759"/>
      <c r="AC177" s="760"/>
      <c r="AD177" s="761"/>
      <c r="AE177" s="761"/>
      <c r="AF177" s="762"/>
      <c r="AG177" s="759"/>
      <c r="AH177" s="759"/>
      <c r="AI177" s="760"/>
      <c r="AJ177" s="761"/>
      <c r="AK177" s="761"/>
      <c r="AL177" s="762"/>
      <c r="AM177" s="763"/>
      <c r="AN177" s="763"/>
      <c r="AO177" s="764"/>
    </row>
    <row r="178">
      <c r="A178" s="602" t="s">
        <v>1190</v>
      </c>
      <c r="B178" s="758"/>
      <c r="C178" s="759"/>
      <c r="D178" s="759"/>
      <c r="E178" s="760"/>
      <c r="F178" s="761"/>
      <c r="G178" s="761"/>
      <c r="H178" s="762"/>
      <c r="I178" s="759"/>
      <c r="J178" s="759"/>
      <c r="K178" s="760"/>
      <c r="L178" s="761"/>
      <c r="M178" s="761"/>
      <c r="N178" s="762"/>
      <c r="O178" s="759"/>
      <c r="P178" s="759"/>
      <c r="Q178" s="760"/>
      <c r="R178" s="761"/>
      <c r="S178" s="761"/>
      <c r="T178" s="762"/>
      <c r="U178" s="759"/>
      <c r="V178" s="759"/>
      <c r="W178" s="760"/>
      <c r="X178" s="761"/>
      <c r="Y178" s="761"/>
      <c r="Z178" s="762"/>
      <c r="AA178" s="759"/>
      <c r="AB178" s="759"/>
      <c r="AC178" s="760"/>
      <c r="AD178" s="761"/>
      <c r="AE178" s="761"/>
      <c r="AF178" s="762"/>
      <c r="AG178" s="759"/>
      <c r="AH178" s="759"/>
      <c r="AI178" s="760"/>
      <c r="AJ178" s="761"/>
      <c r="AK178" s="761"/>
      <c r="AL178" s="762"/>
      <c r="AM178" s="763"/>
      <c r="AN178" s="763"/>
      <c r="AO178" s="764"/>
    </row>
    <row r="179">
      <c r="A179" s="602" t="s">
        <v>1190</v>
      </c>
      <c r="B179" s="758"/>
      <c r="C179" s="759"/>
      <c r="D179" s="759"/>
      <c r="E179" s="760"/>
      <c r="F179" s="761"/>
      <c r="G179" s="761"/>
      <c r="H179" s="762"/>
      <c r="I179" s="759"/>
      <c r="J179" s="759"/>
      <c r="K179" s="760"/>
      <c r="L179" s="761"/>
      <c r="M179" s="761"/>
      <c r="N179" s="762"/>
      <c r="O179" s="759"/>
      <c r="P179" s="759"/>
      <c r="Q179" s="760"/>
      <c r="R179" s="761"/>
      <c r="S179" s="761"/>
      <c r="T179" s="762"/>
      <c r="U179" s="759"/>
      <c r="V179" s="759"/>
      <c r="W179" s="760"/>
      <c r="X179" s="761"/>
      <c r="Y179" s="761"/>
      <c r="Z179" s="762"/>
      <c r="AA179" s="759"/>
      <c r="AB179" s="759"/>
      <c r="AC179" s="760"/>
      <c r="AD179" s="761"/>
      <c r="AE179" s="761"/>
      <c r="AF179" s="762"/>
      <c r="AG179" s="759"/>
      <c r="AH179" s="759"/>
      <c r="AI179" s="760"/>
      <c r="AJ179" s="761"/>
      <c r="AK179" s="761"/>
      <c r="AL179" s="762"/>
      <c r="AM179" s="763"/>
      <c r="AN179" s="763"/>
      <c r="AO179" s="764"/>
    </row>
    <row r="180">
      <c r="A180" s="602" t="s">
        <v>1190</v>
      </c>
      <c r="B180" s="758"/>
      <c r="C180" s="759"/>
      <c r="D180" s="759"/>
      <c r="E180" s="760"/>
      <c r="F180" s="761"/>
      <c r="G180" s="761"/>
      <c r="H180" s="762"/>
      <c r="I180" s="759"/>
      <c r="J180" s="759"/>
      <c r="K180" s="760"/>
      <c r="L180" s="761"/>
      <c r="M180" s="761"/>
      <c r="N180" s="762"/>
      <c r="O180" s="759"/>
      <c r="P180" s="759"/>
      <c r="Q180" s="760"/>
      <c r="R180" s="761"/>
      <c r="S180" s="761"/>
      <c r="T180" s="762"/>
      <c r="U180" s="759"/>
      <c r="V180" s="759"/>
      <c r="W180" s="760"/>
      <c r="X180" s="761"/>
      <c r="Y180" s="761"/>
      <c r="Z180" s="762"/>
      <c r="AA180" s="759"/>
      <c r="AB180" s="759"/>
      <c r="AC180" s="760"/>
      <c r="AD180" s="761"/>
      <c r="AE180" s="761"/>
      <c r="AF180" s="762"/>
      <c r="AG180" s="759"/>
      <c r="AH180" s="759"/>
      <c r="AI180" s="760"/>
      <c r="AJ180" s="761"/>
      <c r="AK180" s="761"/>
      <c r="AL180" s="762"/>
      <c r="AM180" s="763"/>
      <c r="AN180" s="763"/>
      <c r="AO180" s="764"/>
    </row>
    <row r="181">
      <c r="A181" s="602" t="s">
        <v>1190</v>
      </c>
      <c r="B181" s="758"/>
      <c r="C181" s="759"/>
      <c r="D181" s="759"/>
      <c r="E181" s="760"/>
      <c r="F181" s="761"/>
      <c r="G181" s="761"/>
      <c r="H181" s="762"/>
      <c r="I181" s="759"/>
      <c r="J181" s="759"/>
      <c r="K181" s="760"/>
      <c r="L181" s="761"/>
      <c r="M181" s="761"/>
      <c r="N181" s="762"/>
      <c r="O181" s="759"/>
      <c r="P181" s="759"/>
      <c r="Q181" s="760"/>
      <c r="R181" s="761"/>
      <c r="S181" s="761"/>
      <c r="T181" s="762"/>
      <c r="U181" s="759"/>
      <c r="V181" s="759"/>
      <c r="W181" s="760"/>
      <c r="X181" s="761"/>
      <c r="Y181" s="761"/>
      <c r="Z181" s="762"/>
      <c r="AA181" s="759"/>
      <c r="AB181" s="759"/>
      <c r="AC181" s="760"/>
      <c r="AD181" s="761"/>
      <c r="AE181" s="761"/>
      <c r="AF181" s="762"/>
      <c r="AG181" s="759"/>
      <c r="AH181" s="759"/>
      <c r="AI181" s="760"/>
      <c r="AJ181" s="761"/>
      <c r="AK181" s="761"/>
      <c r="AL181" s="762"/>
      <c r="AM181" s="763"/>
      <c r="AN181" s="763"/>
      <c r="AO181" s="764"/>
    </row>
    <row r="182">
      <c r="A182" s="602" t="s">
        <v>1190</v>
      </c>
      <c r="B182" s="758"/>
      <c r="C182" s="759"/>
      <c r="D182" s="759"/>
      <c r="E182" s="760"/>
      <c r="F182" s="761"/>
      <c r="G182" s="761"/>
      <c r="H182" s="762"/>
      <c r="I182" s="759"/>
      <c r="J182" s="759"/>
      <c r="K182" s="760"/>
      <c r="L182" s="761"/>
      <c r="M182" s="761"/>
      <c r="N182" s="762"/>
      <c r="O182" s="759"/>
      <c r="P182" s="759"/>
      <c r="Q182" s="760"/>
      <c r="R182" s="761"/>
      <c r="S182" s="761"/>
      <c r="T182" s="762"/>
      <c r="U182" s="759"/>
      <c r="V182" s="759"/>
      <c r="W182" s="760"/>
      <c r="X182" s="761"/>
      <c r="Y182" s="761"/>
      <c r="Z182" s="762"/>
      <c r="AA182" s="759"/>
      <c r="AB182" s="759"/>
      <c r="AC182" s="760"/>
      <c r="AD182" s="761"/>
      <c r="AE182" s="761"/>
      <c r="AF182" s="762"/>
      <c r="AG182" s="759"/>
      <c r="AH182" s="759"/>
      <c r="AI182" s="760"/>
      <c r="AJ182" s="761"/>
      <c r="AK182" s="761"/>
      <c r="AL182" s="762"/>
      <c r="AM182" s="763"/>
      <c r="AN182" s="763"/>
      <c r="AO182" s="764"/>
    </row>
    <row r="183">
      <c r="A183" s="602" t="s">
        <v>1190</v>
      </c>
      <c r="B183" s="758"/>
      <c r="C183" s="759"/>
      <c r="D183" s="759"/>
      <c r="E183" s="760"/>
      <c r="F183" s="761"/>
      <c r="G183" s="761"/>
      <c r="H183" s="762"/>
      <c r="I183" s="759"/>
      <c r="J183" s="759"/>
      <c r="K183" s="760"/>
      <c r="L183" s="761"/>
      <c r="M183" s="761"/>
      <c r="N183" s="762"/>
      <c r="O183" s="759"/>
      <c r="P183" s="759"/>
      <c r="Q183" s="760"/>
      <c r="R183" s="761"/>
      <c r="S183" s="761"/>
      <c r="T183" s="762"/>
      <c r="U183" s="759"/>
      <c r="V183" s="759"/>
      <c r="W183" s="760"/>
      <c r="X183" s="761"/>
      <c r="Y183" s="761"/>
      <c r="Z183" s="762"/>
      <c r="AA183" s="759"/>
      <c r="AB183" s="759"/>
      <c r="AC183" s="760"/>
      <c r="AD183" s="761"/>
      <c r="AE183" s="761"/>
      <c r="AF183" s="762"/>
      <c r="AG183" s="759"/>
      <c r="AH183" s="759"/>
      <c r="AI183" s="760"/>
      <c r="AJ183" s="761"/>
      <c r="AK183" s="761"/>
      <c r="AL183" s="762"/>
      <c r="AM183" s="763"/>
      <c r="AN183" s="763"/>
      <c r="AO183" s="764"/>
    </row>
    <row r="184">
      <c r="A184" s="602" t="s">
        <v>1190</v>
      </c>
      <c r="B184" s="758"/>
      <c r="C184" s="759"/>
      <c r="D184" s="759"/>
      <c r="E184" s="760"/>
      <c r="F184" s="761"/>
      <c r="G184" s="761"/>
      <c r="H184" s="762"/>
      <c r="I184" s="759"/>
      <c r="J184" s="759"/>
      <c r="K184" s="760"/>
      <c r="L184" s="761"/>
      <c r="M184" s="761"/>
      <c r="N184" s="762"/>
      <c r="O184" s="759"/>
      <c r="P184" s="759"/>
      <c r="Q184" s="760"/>
      <c r="R184" s="761"/>
      <c r="S184" s="761"/>
      <c r="T184" s="762"/>
      <c r="U184" s="759"/>
      <c r="V184" s="759"/>
      <c r="W184" s="760"/>
      <c r="X184" s="761"/>
      <c r="Y184" s="761"/>
      <c r="Z184" s="762"/>
      <c r="AA184" s="759"/>
      <c r="AB184" s="759"/>
      <c r="AC184" s="760"/>
      <c r="AD184" s="761"/>
      <c r="AE184" s="761"/>
      <c r="AF184" s="762"/>
      <c r="AG184" s="759"/>
      <c r="AH184" s="759"/>
      <c r="AI184" s="760"/>
      <c r="AJ184" s="761"/>
      <c r="AK184" s="761"/>
      <c r="AL184" s="762"/>
      <c r="AM184" s="763"/>
      <c r="AN184" s="763"/>
      <c r="AO184" s="764"/>
    </row>
    <row r="185">
      <c r="A185" s="602" t="s">
        <v>1190</v>
      </c>
      <c r="B185" s="758"/>
      <c r="C185" s="759"/>
      <c r="D185" s="759"/>
      <c r="E185" s="760"/>
      <c r="F185" s="761"/>
      <c r="G185" s="761"/>
      <c r="H185" s="762"/>
      <c r="I185" s="759"/>
      <c r="J185" s="759"/>
      <c r="K185" s="760"/>
      <c r="L185" s="761"/>
      <c r="M185" s="761"/>
      <c r="N185" s="762"/>
      <c r="O185" s="759"/>
      <c r="P185" s="759"/>
      <c r="Q185" s="760"/>
      <c r="R185" s="761"/>
      <c r="S185" s="761"/>
      <c r="T185" s="762"/>
      <c r="U185" s="759"/>
      <c r="V185" s="759"/>
      <c r="W185" s="760"/>
      <c r="X185" s="761"/>
      <c r="Y185" s="761"/>
      <c r="Z185" s="762"/>
      <c r="AA185" s="759"/>
      <c r="AB185" s="759"/>
      <c r="AC185" s="760"/>
      <c r="AD185" s="761"/>
      <c r="AE185" s="761"/>
      <c r="AF185" s="762"/>
      <c r="AG185" s="759"/>
      <c r="AH185" s="759"/>
      <c r="AI185" s="760"/>
      <c r="AJ185" s="761"/>
      <c r="AK185" s="761"/>
      <c r="AL185" s="762"/>
      <c r="AM185" s="763"/>
      <c r="AN185" s="763"/>
      <c r="AO185" s="764"/>
    </row>
    <row r="186">
      <c r="A186" s="602" t="s">
        <v>1190</v>
      </c>
      <c r="B186" s="758"/>
      <c r="C186" s="759"/>
      <c r="D186" s="759"/>
      <c r="E186" s="760"/>
      <c r="F186" s="761"/>
      <c r="G186" s="761"/>
      <c r="H186" s="762"/>
      <c r="I186" s="759"/>
      <c r="J186" s="759"/>
      <c r="K186" s="760"/>
      <c r="L186" s="761"/>
      <c r="M186" s="761"/>
      <c r="N186" s="762"/>
      <c r="O186" s="759"/>
      <c r="P186" s="759"/>
      <c r="Q186" s="760"/>
      <c r="R186" s="761"/>
      <c r="S186" s="761"/>
      <c r="T186" s="762"/>
      <c r="U186" s="759"/>
      <c r="V186" s="759"/>
      <c r="W186" s="760"/>
      <c r="X186" s="761"/>
      <c r="Y186" s="761"/>
      <c r="Z186" s="762"/>
      <c r="AA186" s="759"/>
      <c r="AB186" s="759"/>
      <c r="AC186" s="760"/>
      <c r="AD186" s="761"/>
      <c r="AE186" s="761"/>
      <c r="AF186" s="762"/>
      <c r="AG186" s="759"/>
      <c r="AH186" s="759"/>
      <c r="AI186" s="760"/>
      <c r="AJ186" s="761"/>
      <c r="AK186" s="761"/>
      <c r="AL186" s="762"/>
      <c r="AM186" s="763"/>
      <c r="AN186" s="763"/>
      <c r="AO186" s="764"/>
    </row>
    <row r="187">
      <c r="A187" s="602" t="s">
        <v>1190</v>
      </c>
      <c r="B187" s="758"/>
      <c r="C187" s="759"/>
      <c r="D187" s="759"/>
      <c r="E187" s="760"/>
      <c r="F187" s="761"/>
      <c r="G187" s="761"/>
      <c r="H187" s="762"/>
      <c r="I187" s="759"/>
      <c r="J187" s="759"/>
      <c r="K187" s="760"/>
      <c r="L187" s="761"/>
      <c r="M187" s="761"/>
      <c r="N187" s="762"/>
      <c r="O187" s="759"/>
      <c r="P187" s="759"/>
      <c r="Q187" s="760"/>
      <c r="R187" s="761"/>
      <c r="S187" s="761"/>
      <c r="T187" s="762"/>
      <c r="U187" s="759"/>
      <c r="V187" s="759"/>
      <c r="W187" s="760"/>
      <c r="X187" s="761"/>
      <c r="Y187" s="761"/>
      <c r="Z187" s="762"/>
      <c r="AA187" s="759"/>
      <c r="AB187" s="759"/>
      <c r="AC187" s="760"/>
      <c r="AD187" s="761"/>
      <c r="AE187" s="761"/>
      <c r="AF187" s="762"/>
      <c r="AG187" s="759"/>
      <c r="AH187" s="759"/>
      <c r="AI187" s="760"/>
      <c r="AJ187" s="761"/>
      <c r="AK187" s="761"/>
      <c r="AL187" s="762"/>
      <c r="AM187" s="763"/>
      <c r="AN187" s="763"/>
      <c r="AO187" s="764"/>
    </row>
    <row r="188">
      <c r="A188" s="602" t="s">
        <v>1190</v>
      </c>
      <c r="B188" s="758"/>
      <c r="C188" s="759"/>
      <c r="D188" s="759"/>
      <c r="E188" s="760"/>
      <c r="F188" s="761"/>
      <c r="G188" s="761"/>
      <c r="H188" s="762"/>
      <c r="I188" s="759"/>
      <c r="J188" s="759"/>
      <c r="K188" s="760"/>
      <c r="L188" s="761"/>
      <c r="M188" s="761"/>
      <c r="N188" s="762"/>
      <c r="O188" s="759"/>
      <c r="P188" s="759"/>
      <c r="Q188" s="760"/>
      <c r="R188" s="761"/>
      <c r="S188" s="761"/>
      <c r="T188" s="762"/>
      <c r="U188" s="759"/>
      <c r="V188" s="759"/>
      <c r="W188" s="760"/>
      <c r="X188" s="761"/>
      <c r="Y188" s="761"/>
      <c r="Z188" s="762"/>
      <c r="AA188" s="759"/>
      <c r="AB188" s="759"/>
      <c r="AC188" s="760"/>
      <c r="AD188" s="761"/>
      <c r="AE188" s="761"/>
      <c r="AF188" s="762"/>
      <c r="AG188" s="759"/>
      <c r="AH188" s="759"/>
      <c r="AI188" s="760"/>
      <c r="AJ188" s="761"/>
      <c r="AK188" s="761"/>
      <c r="AL188" s="762"/>
      <c r="AM188" s="763"/>
      <c r="AN188" s="763"/>
      <c r="AO188" s="764"/>
    </row>
    <row r="189">
      <c r="A189" s="602" t="s">
        <v>1190</v>
      </c>
      <c r="B189" s="758"/>
      <c r="C189" s="759"/>
      <c r="D189" s="759"/>
      <c r="E189" s="760"/>
      <c r="F189" s="761"/>
      <c r="G189" s="761"/>
      <c r="H189" s="762"/>
      <c r="I189" s="759"/>
      <c r="J189" s="759"/>
      <c r="K189" s="760"/>
      <c r="L189" s="761"/>
      <c r="M189" s="761"/>
      <c r="N189" s="762"/>
      <c r="O189" s="759"/>
      <c r="P189" s="759"/>
      <c r="Q189" s="760"/>
      <c r="R189" s="761"/>
      <c r="S189" s="761"/>
      <c r="T189" s="762"/>
      <c r="U189" s="759"/>
      <c r="V189" s="759"/>
      <c r="W189" s="760"/>
      <c r="X189" s="761"/>
      <c r="Y189" s="761"/>
      <c r="Z189" s="762"/>
      <c r="AA189" s="759"/>
      <c r="AB189" s="759"/>
      <c r="AC189" s="760"/>
      <c r="AD189" s="761"/>
      <c r="AE189" s="761"/>
      <c r="AF189" s="762"/>
      <c r="AG189" s="759"/>
      <c r="AH189" s="759"/>
      <c r="AI189" s="760"/>
      <c r="AJ189" s="761"/>
      <c r="AK189" s="761"/>
      <c r="AL189" s="762"/>
      <c r="AM189" s="763"/>
      <c r="AN189" s="763"/>
      <c r="AO189" s="764"/>
    </row>
    <row r="190">
      <c r="A190" s="602" t="s">
        <v>1190</v>
      </c>
      <c r="B190" s="758"/>
      <c r="C190" s="759"/>
      <c r="D190" s="759"/>
      <c r="E190" s="760"/>
      <c r="F190" s="761"/>
      <c r="G190" s="761"/>
      <c r="H190" s="762"/>
      <c r="I190" s="759"/>
      <c r="J190" s="759"/>
      <c r="K190" s="760"/>
      <c r="L190" s="761"/>
      <c r="M190" s="761"/>
      <c r="N190" s="762"/>
      <c r="O190" s="759"/>
      <c r="P190" s="759"/>
      <c r="Q190" s="760"/>
      <c r="R190" s="761"/>
      <c r="S190" s="761"/>
      <c r="T190" s="762"/>
      <c r="U190" s="759"/>
      <c r="V190" s="759"/>
      <c r="W190" s="760"/>
      <c r="X190" s="761"/>
      <c r="Y190" s="761"/>
      <c r="Z190" s="762"/>
      <c r="AA190" s="759"/>
      <c r="AB190" s="759"/>
      <c r="AC190" s="760"/>
      <c r="AD190" s="761"/>
      <c r="AE190" s="761"/>
      <c r="AF190" s="762"/>
      <c r="AG190" s="759"/>
      <c r="AH190" s="759"/>
      <c r="AI190" s="760"/>
      <c r="AJ190" s="761"/>
      <c r="AK190" s="761"/>
      <c r="AL190" s="762"/>
      <c r="AM190" s="763"/>
      <c r="AN190" s="763"/>
      <c r="AO190" s="764"/>
    </row>
    <row r="191">
      <c r="A191" s="602" t="s">
        <v>1190</v>
      </c>
      <c r="B191" s="758"/>
      <c r="C191" s="759"/>
      <c r="D191" s="759"/>
      <c r="E191" s="760"/>
      <c r="F191" s="761"/>
      <c r="G191" s="761"/>
      <c r="H191" s="762"/>
      <c r="I191" s="759"/>
      <c r="J191" s="759"/>
      <c r="K191" s="760"/>
      <c r="L191" s="761"/>
      <c r="M191" s="761"/>
      <c r="N191" s="762"/>
      <c r="O191" s="759"/>
      <c r="P191" s="759"/>
      <c r="Q191" s="760"/>
      <c r="R191" s="761"/>
      <c r="S191" s="761"/>
      <c r="T191" s="762"/>
      <c r="U191" s="759"/>
      <c r="V191" s="759"/>
      <c r="W191" s="760"/>
      <c r="X191" s="761"/>
      <c r="Y191" s="761"/>
      <c r="Z191" s="762"/>
      <c r="AA191" s="759"/>
      <c r="AB191" s="759"/>
      <c r="AC191" s="760"/>
      <c r="AD191" s="761"/>
      <c r="AE191" s="761"/>
      <c r="AF191" s="762"/>
      <c r="AG191" s="759"/>
      <c r="AH191" s="759"/>
      <c r="AI191" s="760"/>
      <c r="AJ191" s="761"/>
      <c r="AK191" s="761"/>
      <c r="AL191" s="762"/>
      <c r="AM191" s="763"/>
      <c r="AN191" s="763"/>
      <c r="AO191" s="764"/>
    </row>
    <row r="192">
      <c r="A192" s="602" t="s">
        <v>1190</v>
      </c>
      <c r="B192" s="758"/>
      <c r="C192" s="759"/>
      <c r="D192" s="759"/>
      <c r="E192" s="760"/>
      <c r="F192" s="761"/>
      <c r="G192" s="761"/>
      <c r="H192" s="762"/>
      <c r="I192" s="759"/>
      <c r="J192" s="759"/>
      <c r="K192" s="760"/>
      <c r="L192" s="761"/>
      <c r="M192" s="761"/>
      <c r="N192" s="762"/>
      <c r="O192" s="759"/>
      <c r="P192" s="759"/>
      <c r="Q192" s="760"/>
      <c r="R192" s="761"/>
      <c r="S192" s="761"/>
      <c r="T192" s="762"/>
      <c r="U192" s="759"/>
      <c r="V192" s="759"/>
      <c r="W192" s="760"/>
      <c r="X192" s="761"/>
      <c r="Y192" s="761"/>
      <c r="Z192" s="762"/>
      <c r="AA192" s="759"/>
      <c r="AB192" s="759"/>
      <c r="AC192" s="760"/>
      <c r="AD192" s="761"/>
      <c r="AE192" s="761"/>
      <c r="AF192" s="762"/>
      <c r="AG192" s="759"/>
      <c r="AH192" s="759"/>
      <c r="AI192" s="760"/>
      <c r="AJ192" s="761"/>
      <c r="AK192" s="761"/>
      <c r="AL192" s="762"/>
      <c r="AM192" s="763"/>
      <c r="AN192" s="763"/>
      <c r="AO192" s="764"/>
    </row>
    <row r="193">
      <c r="A193" s="602" t="s">
        <v>1190</v>
      </c>
      <c r="B193" s="758"/>
      <c r="C193" s="759"/>
      <c r="D193" s="759"/>
      <c r="E193" s="760"/>
      <c r="F193" s="761"/>
      <c r="G193" s="761"/>
      <c r="H193" s="762"/>
      <c r="I193" s="759"/>
      <c r="J193" s="759"/>
      <c r="K193" s="760"/>
      <c r="L193" s="761"/>
      <c r="M193" s="761"/>
      <c r="N193" s="762"/>
      <c r="O193" s="759"/>
      <c r="P193" s="759"/>
      <c r="Q193" s="760"/>
      <c r="R193" s="761"/>
      <c r="S193" s="761"/>
      <c r="T193" s="762"/>
      <c r="U193" s="759"/>
      <c r="V193" s="759"/>
      <c r="W193" s="760"/>
      <c r="X193" s="761"/>
      <c r="Y193" s="761"/>
      <c r="Z193" s="762"/>
      <c r="AA193" s="759"/>
      <c r="AB193" s="759"/>
      <c r="AC193" s="760"/>
      <c r="AD193" s="761"/>
      <c r="AE193" s="761"/>
      <c r="AF193" s="762"/>
      <c r="AG193" s="759"/>
      <c r="AH193" s="759"/>
      <c r="AI193" s="760"/>
      <c r="AJ193" s="761"/>
      <c r="AK193" s="761"/>
      <c r="AL193" s="762"/>
      <c r="AM193" s="763"/>
      <c r="AN193" s="763"/>
      <c r="AO193" s="764"/>
    </row>
    <row r="194">
      <c r="A194" s="602" t="s">
        <v>1190</v>
      </c>
      <c r="B194" s="758"/>
      <c r="C194" s="759"/>
      <c r="D194" s="759"/>
      <c r="E194" s="760"/>
      <c r="F194" s="761"/>
      <c r="G194" s="761"/>
      <c r="H194" s="762"/>
      <c r="I194" s="759"/>
      <c r="J194" s="759"/>
      <c r="K194" s="760"/>
      <c r="L194" s="761"/>
      <c r="M194" s="761"/>
      <c r="N194" s="762"/>
      <c r="O194" s="759"/>
      <c r="P194" s="759"/>
      <c r="Q194" s="760"/>
      <c r="R194" s="761"/>
      <c r="S194" s="761"/>
      <c r="T194" s="762"/>
      <c r="U194" s="759"/>
      <c r="V194" s="759"/>
      <c r="W194" s="760"/>
      <c r="X194" s="761"/>
      <c r="Y194" s="761"/>
      <c r="Z194" s="762"/>
      <c r="AA194" s="759"/>
      <c r="AB194" s="759"/>
      <c r="AC194" s="760"/>
      <c r="AD194" s="761"/>
      <c r="AE194" s="761"/>
      <c r="AF194" s="762"/>
      <c r="AG194" s="759"/>
      <c r="AH194" s="759"/>
      <c r="AI194" s="760"/>
      <c r="AJ194" s="761"/>
      <c r="AK194" s="761"/>
      <c r="AL194" s="762"/>
      <c r="AM194" s="763"/>
      <c r="AN194" s="763"/>
      <c r="AO194" s="764"/>
    </row>
    <row r="195">
      <c r="A195" s="602" t="s">
        <v>1190</v>
      </c>
      <c r="B195" s="758"/>
      <c r="C195" s="759"/>
      <c r="D195" s="759"/>
      <c r="E195" s="760"/>
      <c r="F195" s="761"/>
      <c r="G195" s="761"/>
      <c r="H195" s="762"/>
      <c r="I195" s="759"/>
      <c r="J195" s="759"/>
      <c r="K195" s="760"/>
      <c r="L195" s="761"/>
      <c r="M195" s="761"/>
      <c r="N195" s="762"/>
      <c r="O195" s="759"/>
      <c r="P195" s="759"/>
      <c r="Q195" s="760"/>
      <c r="R195" s="761"/>
      <c r="S195" s="761"/>
      <c r="T195" s="762"/>
      <c r="U195" s="759"/>
      <c r="V195" s="759"/>
      <c r="W195" s="760"/>
      <c r="X195" s="761"/>
      <c r="Y195" s="761"/>
      <c r="Z195" s="762"/>
      <c r="AA195" s="759"/>
      <c r="AB195" s="759"/>
      <c r="AC195" s="760"/>
      <c r="AD195" s="761"/>
      <c r="AE195" s="761"/>
      <c r="AF195" s="762"/>
      <c r="AG195" s="759"/>
      <c r="AH195" s="759"/>
      <c r="AI195" s="760"/>
      <c r="AJ195" s="761"/>
      <c r="AK195" s="761"/>
      <c r="AL195" s="762"/>
      <c r="AM195" s="763"/>
      <c r="AN195" s="763"/>
      <c r="AO195" s="764"/>
    </row>
    <row r="196">
      <c r="A196" s="602" t="s">
        <v>1190</v>
      </c>
      <c r="B196" s="758"/>
      <c r="C196" s="759"/>
      <c r="D196" s="759"/>
      <c r="E196" s="760"/>
      <c r="F196" s="761"/>
      <c r="G196" s="761"/>
      <c r="H196" s="762"/>
      <c r="I196" s="759"/>
      <c r="J196" s="759"/>
      <c r="K196" s="760"/>
      <c r="L196" s="761"/>
      <c r="M196" s="761"/>
      <c r="N196" s="762"/>
      <c r="O196" s="759"/>
      <c r="P196" s="759"/>
      <c r="Q196" s="760"/>
      <c r="R196" s="761"/>
      <c r="S196" s="761"/>
      <c r="T196" s="762"/>
      <c r="U196" s="759"/>
      <c r="V196" s="759"/>
      <c r="W196" s="760"/>
      <c r="X196" s="761"/>
      <c r="Y196" s="761"/>
      <c r="Z196" s="762"/>
      <c r="AA196" s="759"/>
      <c r="AB196" s="759"/>
      <c r="AC196" s="760"/>
      <c r="AD196" s="761"/>
      <c r="AE196" s="761"/>
      <c r="AF196" s="762"/>
      <c r="AG196" s="759"/>
      <c r="AH196" s="759"/>
      <c r="AI196" s="760"/>
      <c r="AJ196" s="761"/>
      <c r="AK196" s="761"/>
      <c r="AL196" s="762"/>
      <c r="AM196" s="763"/>
      <c r="AN196" s="763"/>
      <c r="AO196" s="764"/>
    </row>
    <row r="197">
      <c r="A197" s="602" t="s">
        <v>1190</v>
      </c>
      <c r="B197" s="758"/>
      <c r="C197" s="759"/>
      <c r="D197" s="759"/>
      <c r="E197" s="760"/>
      <c r="F197" s="761"/>
      <c r="G197" s="761"/>
      <c r="H197" s="762"/>
      <c r="I197" s="759"/>
      <c r="J197" s="759"/>
      <c r="K197" s="760"/>
      <c r="L197" s="761"/>
      <c r="M197" s="761"/>
      <c r="N197" s="762"/>
      <c r="O197" s="759"/>
      <c r="P197" s="759"/>
      <c r="Q197" s="760"/>
      <c r="R197" s="761"/>
      <c r="S197" s="761"/>
      <c r="T197" s="762"/>
      <c r="U197" s="759"/>
      <c r="V197" s="759"/>
      <c r="W197" s="760"/>
      <c r="X197" s="761"/>
      <c r="Y197" s="761"/>
      <c r="Z197" s="762"/>
      <c r="AA197" s="759"/>
      <c r="AB197" s="759"/>
      <c r="AC197" s="760"/>
      <c r="AD197" s="761"/>
      <c r="AE197" s="761"/>
      <c r="AF197" s="762"/>
      <c r="AG197" s="759"/>
      <c r="AH197" s="759"/>
      <c r="AI197" s="760"/>
      <c r="AJ197" s="761"/>
      <c r="AK197" s="761"/>
      <c r="AL197" s="762"/>
      <c r="AM197" s="763"/>
      <c r="AN197" s="763"/>
      <c r="AO197" s="764"/>
    </row>
    <row r="198">
      <c r="A198" s="602" t="s">
        <v>1190</v>
      </c>
      <c r="B198" s="758"/>
      <c r="C198" s="759"/>
      <c r="D198" s="759"/>
      <c r="E198" s="760"/>
      <c r="F198" s="761"/>
      <c r="G198" s="761"/>
      <c r="H198" s="762"/>
      <c r="I198" s="759"/>
      <c r="J198" s="759"/>
      <c r="K198" s="760"/>
      <c r="L198" s="761"/>
      <c r="M198" s="761"/>
      <c r="N198" s="762"/>
      <c r="O198" s="759"/>
      <c r="P198" s="759"/>
      <c r="Q198" s="760"/>
      <c r="R198" s="761"/>
      <c r="S198" s="761"/>
      <c r="T198" s="762"/>
      <c r="U198" s="759"/>
      <c r="V198" s="759"/>
      <c r="W198" s="760"/>
      <c r="X198" s="761"/>
      <c r="Y198" s="761"/>
      <c r="Z198" s="762"/>
      <c r="AA198" s="759"/>
      <c r="AB198" s="759"/>
      <c r="AC198" s="760"/>
      <c r="AD198" s="761"/>
      <c r="AE198" s="761"/>
      <c r="AF198" s="762"/>
      <c r="AG198" s="759"/>
      <c r="AH198" s="759"/>
      <c r="AI198" s="760"/>
      <c r="AJ198" s="761"/>
      <c r="AK198" s="761"/>
      <c r="AL198" s="762"/>
      <c r="AM198" s="763"/>
      <c r="AN198" s="763"/>
      <c r="AO198" s="764"/>
    </row>
    <row r="199">
      <c r="A199" s="602" t="s">
        <v>1190</v>
      </c>
      <c r="B199" s="758"/>
      <c r="C199" s="759"/>
      <c r="D199" s="759"/>
      <c r="E199" s="760"/>
      <c r="F199" s="761"/>
      <c r="G199" s="761"/>
      <c r="H199" s="762"/>
      <c r="I199" s="759"/>
      <c r="J199" s="759"/>
      <c r="K199" s="760"/>
      <c r="L199" s="761"/>
      <c r="M199" s="761"/>
      <c r="N199" s="762"/>
      <c r="O199" s="759"/>
      <c r="P199" s="759"/>
      <c r="Q199" s="760"/>
      <c r="R199" s="761"/>
      <c r="S199" s="761"/>
      <c r="T199" s="762"/>
      <c r="U199" s="759"/>
      <c r="V199" s="759"/>
      <c r="W199" s="760"/>
      <c r="X199" s="761"/>
      <c r="Y199" s="761"/>
      <c r="Z199" s="762"/>
      <c r="AA199" s="759"/>
      <c r="AB199" s="759"/>
      <c r="AC199" s="760"/>
      <c r="AD199" s="761"/>
      <c r="AE199" s="761"/>
      <c r="AF199" s="762"/>
      <c r="AG199" s="759"/>
      <c r="AH199" s="759"/>
      <c r="AI199" s="760"/>
      <c r="AJ199" s="761"/>
      <c r="AK199" s="761"/>
      <c r="AL199" s="762"/>
      <c r="AM199" s="763"/>
      <c r="AN199" s="763"/>
      <c r="AO199" s="764"/>
    </row>
    <row r="200">
      <c r="A200" s="602" t="s">
        <v>1190</v>
      </c>
      <c r="B200" s="758"/>
      <c r="C200" s="759"/>
      <c r="D200" s="759"/>
      <c r="E200" s="760"/>
      <c r="F200" s="761"/>
      <c r="G200" s="761"/>
      <c r="H200" s="762"/>
      <c r="I200" s="759"/>
      <c r="J200" s="759"/>
      <c r="K200" s="760"/>
      <c r="L200" s="761"/>
      <c r="M200" s="761"/>
      <c r="N200" s="762"/>
      <c r="O200" s="759"/>
      <c r="P200" s="759"/>
      <c r="Q200" s="760"/>
      <c r="R200" s="761"/>
      <c r="S200" s="761"/>
      <c r="T200" s="762"/>
      <c r="U200" s="759"/>
      <c r="V200" s="759"/>
      <c r="W200" s="760"/>
      <c r="X200" s="761"/>
      <c r="Y200" s="761"/>
      <c r="Z200" s="762"/>
      <c r="AA200" s="759"/>
      <c r="AB200" s="759"/>
      <c r="AC200" s="760"/>
      <c r="AD200" s="761"/>
      <c r="AE200" s="761"/>
      <c r="AF200" s="762"/>
      <c r="AG200" s="759"/>
      <c r="AH200" s="759"/>
      <c r="AI200" s="760"/>
      <c r="AJ200" s="761"/>
      <c r="AK200" s="761"/>
      <c r="AL200" s="762"/>
      <c r="AM200" s="763"/>
      <c r="AN200" s="763"/>
      <c r="AO200" s="764"/>
    </row>
    <row r="201">
      <c r="A201" s="602" t="s">
        <v>1190</v>
      </c>
      <c r="B201" s="758"/>
      <c r="C201" s="759"/>
      <c r="D201" s="759"/>
      <c r="E201" s="760"/>
      <c r="F201" s="761"/>
      <c r="G201" s="761"/>
      <c r="H201" s="762"/>
      <c r="I201" s="759"/>
      <c r="J201" s="759"/>
      <c r="K201" s="760"/>
      <c r="L201" s="761"/>
      <c r="M201" s="761"/>
      <c r="N201" s="762"/>
      <c r="O201" s="759"/>
      <c r="P201" s="759"/>
      <c r="Q201" s="760"/>
      <c r="R201" s="761"/>
      <c r="S201" s="761"/>
      <c r="T201" s="762"/>
      <c r="U201" s="759"/>
      <c r="V201" s="759"/>
      <c r="W201" s="760"/>
      <c r="X201" s="761"/>
      <c r="Y201" s="761"/>
      <c r="Z201" s="762"/>
      <c r="AA201" s="759"/>
      <c r="AB201" s="759"/>
      <c r="AC201" s="760"/>
      <c r="AD201" s="761"/>
      <c r="AE201" s="761"/>
      <c r="AF201" s="762"/>
      <c r="AG201" s="759"/>
      <c r="AH201" s="759"/>
      <c r="AI201" s="760"/>
      <c r="AJ201" s="761"/>
      <c r="AK201" s="761"/>
      <c r="AL201" s="762"/>
      <c r="AM201" s="763"/>
      <c r="AN201" s="763"/>
      <c r="AO201" s="764"/>
    </row>
    <row r="202">
      <c r="A202" s="602" t="s">
        <v>1190</v>
      </c>
      <c r="B202" s="758"/>
      <c r="C202" s="759"/>
      <c r="D202" s="759"/>
      <c r="E202" s="760"/>
      <c r="F202" s="761"/>
      <c r="G202" s="761"/>
      <c r="H202" s="762"/>
      <c r="I202" s="759"/>
      <c r="J202" s="759"/>
      <c r="K202" s="760"/>
      <c r="L202" s="761"/>
      <c r="M202" s="761"/>
      <c r="N202" s="762"/>
      <c r="O202" s="759"/>
      <c r="P202" s="759"/>
      <c r="Q202" s="760"/>
      <c r="R202" s="761"/>
      <c r="S202" s="761"/>
      <c r="T202" s="762"/>
      <c r="U202" s="759"/>
      <c r="V202" s="759"/>
      <c r="W202" s="760"/>
      <c r="X202" s="761"/>
      <c r="Y202" s="761"/>
      <c r="Z202" s="762"/>
      <c r="AA202" s="759"/>
      <c r="AB202" s="759"/>
      <c r="AC202" s="760"/>
      <c r="AD202" s="761"/>
      <c r="AE202" s="761"/>
      <c r="AF202" s="762"/>
      <c r="AG202" s="759"/>
      <c r="AH202" s="759"/>
      <c r="AI202" s="760"/>
      <c r="AJ202" s="761"/>
      <c r="AK202" s="761"/>
      <c r="AL202" s="762"/>
      <c r="AM202" s="763"/>
      <c r="AN202" s="763"/>
      <c r="AO202" s="764"/>
    </row>
    <row r="203">
      <c r="A203" s="602" t="s">
        <v>1190</v>
      </c>
      <c r="B203" s="758"/>
      <c r="C203" s="759"/>
      <c r="D203" s="759"/>
      <c r="E203" s="760"/>
      <c r="F203" s="761"/>
      <c r="G203" s="761"/>
      <c r="H203" s="762"/>
      <c r="I203" s="759"/>
      <c r="J203" s="759"/>
      <c r="K203" s="760"/>
      <c r="L203" s="761"/>
      <c r="M203" s="761"/>
      <c r="N203" s="762"/>
      <c r="O203" s="759"/>
      <c r="P203" s="759"/>
      <c r="Q203" s="760"/>
      <c r="R203" s="761"/>
      <c r="S203" s="761"/>
      <c r="T203" s="762"/>
      <c r="U203" s="759"/>
      <c r="V203" s="759"/>
      <c r="W203" s="760"/>
      <c r="X203" s="761"/>
      <c r="Y203" s="761"/>
      <c r="Z203" s="762"/>
      <c r="AA203" s="759"/>
      <c r="AB203" s="759"/>
      <c r="AC203" s="760"/>
      <c r="AD203" s="761"/>
      <c r="AE203" s="761"/>
      <c r="AF203" s="762"/>
      <c r="AG203" s="759"/>
      <c r="AH203" s="759"/>
      <c r="AI203" s="760"/>
      <c r="AJ203" s="761"/>
      <c r="AK203" s="761"/>
      <c r="AL203" s="762"/>
      <c r="AM203" s="763"/>
      <c r="AN203" s="763"/>
      <c r="AO203" s="764"/>
    </row>
    <row r="204">
      <c r="A204" s="602" t="s">
        <v>1190</v>
      </c>
      <c r="B204" s="758"/>
      <c r="C204" s="759"/>
      <c r="D204" s="759"/>
      <c r="E204" s="760"/>
      <c r="F204" s="761"/>
      <c r="G204" s="761"/>
      <c r="H204" s="762"/>
      <c r="I204" s="759"/>
      <c r="J204" s="759"/>
      <c r="K204" s="760"/>
      <c r="L204" s="761"/>
      <c r="M204" s="761"/>
      <c r="N204" s="762"/>
      <c r="O204" s="759"/>
      <c r="P204" s="759"/>
      <c r="Q204" s="760"/>
      <c r="R204" s="761"/>
      <c r="S204" s="761"/>
      <c r="T204" s="762"/>
      <c r="U204" s="759"/>
      <c r="V204" s="759"/>
      <c r="W204" s="760"/>
      <c r="X204" s="761"/>
      <c r="Y204" s="761"/>
      <c r="Z204" s="762"/>
      <c r="AA204" s="759"/>
      <c r="AB204" s="759"/>
      <c r="AC204" s="760"/>
      <c r="AD204" s="761"/>
      <c r="AE204" s="761"/>
      <c r="AF204" s="762"/>
      <c r="AG204" s="759"/>
      <c r="AH204" s="759"/>
      <c r="AI204" s="760"/>
      <c r="AJ204" s="761"/>
      <c r="AK204" s="761"/>
      <c r="AL204" s="762"/>
      <c r="AM204" s="763"/>
      <c r="AN204" s="763"/>
      <c r="AO204" s="764"/>
    </row>
    <row r="205">
      <c r="A205" s="602" t="s">
        <v>1190</v>
      </c>
      <c r="B205" s="758"/>
      <c r="C205" s="759"/>
      <c r="D205" s="759"/>
      <c r="E205" s="760"/>
      <c r="F205" s="761"/>
      <c r="G205" s="761"/>
      <c r="H205" s="762"/>
      <c r="I205" s="759"/>
      <c r="J205" s="759"/>
      <c r="K205" s="760"/>
      <c r="L205" s="761"/>
      <c r="M205" s="761"/>
      <c r="N205" s="762"/>
      <c r="O205" s="759"/>
      <c r="P205" s="759"/>
      <c r="Q205" s="760"/>
      <c r="R205" s="761"/>
      <c r="S205" s="761"/>
      <c r="T205" s="762"/>
      <c r="U205" s="759"/>
      <c r="V205" s="759"/>
      <c r="W205" s="760"/>
      <c r="X205" s="761"/>
      <c r="Y205" s="761"/>
      <c r="Z205" s="762"/>
      <c r="AA205" s="759"/>
      <c r="AB205" s="759"/>
      <c r="AC205" s="760"/>
      <c r="AD205" s="761"/>
      <c r="AE205" s="761"/>
      <c r="AF205" s="762"/>
      <c r="AG205" s="759"/>
      <c r="AH205" s="759"/>
      <c r="AI205" s="760"/>
      <c r="AJ205" s="761"/>
      <c r="AK205" s="761"/>
      <c r="AL205" s="762"/>
      <c r="AM205" s="763"/>
      <c r="AN205" s="763"/>
      <c r="AO205" s="764"/>
    </row>
    <row r="206">
      <c r="A206" s="602" t="s">
        <v>1190</v>
      </c>
      <c r="B206" s="758"/>
      <c r="C206" s="759"/>
      <c r="D206" s="759"/>
      <c r="E206" s="760"/>
      <c r="F206" s="761"/>
      <c r="G206" s="761"/>
      <c r="H206" s="762"/>
      <c r="I206" s="759"/>
      <c r="J206" s="759"/>
      <c r="K206" s="760"/>
      <c r="L206" s="761"/>
      <c r="M206" s="761"/>
      <c r="N206" s="762"/>
      <c r="O206" s="759"/>
      <c r="P206" s="759"/>
      <c r="Q206" s="760"/>
      <c r="R206" s="761"/>
      <c r="S206" s="761"/>
      <c r="T206" s="762"/>
      <c r="U206" s="759"/>
      <c r="V206" s="759"/>
      <c r="W206" s="760"/>
      <c r="X206" s="761"/>
      <c r="Y206" s="761"/>
      <c r="Z206" s="762"/>
      <c r="AA206" s="759"/>
      <c r="AB206" s="759"/>
      <c r="AC206" s="760"/>
      <c r="AD206" s="761"/>
      <c r="AE206" s="761"/>
      <c r="AF206" s="762"/>
      <c r="AG206" s="759"/>
      <c r="AH206" s="759"/>
      <c r="AI206" s="760"/>
      <c r="AJ206" s="761"/>
      <c r="AK206" s="761"/>
      <c r="AL206" s="762"/>
      <c r="AM206" s="763"/>
      <c r="AN206" s="763"/>
      <c r="AO206" s="764"/>
    </row>
    <row r="207">
      <c r="A207" s="602" t="s">
        <v>1190</v>
      </c>
      <c r="B207" s="758"/>
      <c r="C207" s="759"/>
      <c r="D207" s="759"/>
      <c r="E207" s="760"/>
      <c r="F207" s="761"/>
      <c r="G207" s="761"/>
      <c r="H207" s="762"/>
      <c r="I207" s="759"/>
      <c r="J207" s="759"/>
      <c r="K207" s="760"/>
      <c r="L207" s="761"/>
      <c r="M207" s="761"/>
      <c r="N207" s="762"/>
      <c r="O207" s="759"/>
      <c r="P207" s="759"/>
      <c r="Q207" s="760"/>
      <c r="R207" s="761"/>
      <c r="S207" s="761"/>
      <c r="T207" s="762"/>
      <c r="U207" s="759"/>
      <c r="V207" s="759"/>
      <c r="W207" s="760"/>
      <c r="X207" s="761"/>
      <c r="Y207" s="761"/>
      <c r="Z207" s="762"/>
      <c r="AA207" s="759"/>
      <c r="AB207" s="759"/>
      <c r="AC207" s="760"/>
      <c r="AD207" s="761"/>
      <c r="AE207" s="761"/>
      <c r="AF207" s="762"/>
      <c r="AG207" s="759"/>
      <c r="AH207" s="759"/>
      <c r="AI207" s="760"/>
      <c r="AJ207" s="761"/>
      <c r="AK207" s="761"/>
      <c r="AL207" s="762"/>
      <c r="AM207" s="763"/>
      <c r="AN207" s="763"/>
      <c r="AO207" s="764"/>
    </row>
    <row r="208">
      <c r="A208" s="602" t="s">
        <v>1190</v>
      </c>
      <c r="B208" s="758"/>
      <c r="C208" s="759"/>
      <c r="D208" s="759"/>
      <c r="E208" s="760"/>
      <c r="F208" s="761"/>
      <c r="G208" s="761"/>
      <c r="H208" s="762"/>
      <c r="I208" s="759"/>
      <c r="J208" s="759"/>
      <c r="K208" s="760"/>
      <c r="L208" s="761"/>
      <c r="M208" s="761"/>
      <c r="N208" s="762"/>
      <c r="O208" s="759"/>
      <c r="P208" s="759"/>
      <c r="Q208" s="760"/>
      <c r="R208" s="761"/>
      <c r="S208" s="761"/>
      <c r="T208" s="762"/>
      <c r="U208" s="759"/>
      <c r="V208" s="759"/>
      <c r="W208" s="760"/>
      <c r="X208" s="761"/>
      <c r="Y208" s="761"/>
      <c r="Z208" s="762"/>
      <c r="AA208" s="759"/>
      <c r="AB208" s="759"/>
      <c r="AC208" s="760"/>
      <c r="AD208" s="761"/>
      <c r="AE208" s="761"/>
      <c r="AF208" s="762"/>
      <c r="AG208" s="759"/>
      <c r="AH208" s="759"/>
      <c r="AI208" s="760"/>
      <c r="AJ208" s="761"/>
      <c r="AK208" s="761"/>
      <c r="AL208" s="762"/>
      <c r="AM208" s="763"/>
      <c r="AN208" s="763"/>
      <c r="AO208" s="764"/>
    </row>
    <row r="209">
      <c r="A209" s="602" t="s">
        <v>1190</v>
      </c>
      <c r="B209" s="758"/>
      <c r="C209" s="759"/>
      <c r="D209" s="759"/>
      <c r="E209" s="760"/>
      <c r="F209" s="761"/>
      <c r="G209" s="761"/>
      <c r="H209" s="762"/>
      <c r="I209" s="759"/>
      <c r="J209" s="759"/>
      <c r="K209" s="760"/>
      <c r="L209" s="761"/>
      <c r="M209" s="761"/>
      <c r="N209" s="762"/>
      <c r="O209" s="759"/>
      <c r="P209" s="759"/>
      <c r="Q209" s="760"/>
      <c r="R209" s="761"/>
      <c r="S209" s="761"/>
      <c r="T209" s="762"/>
      <c r="U209" s="759"/>
      <c r="V209" s="759"/>
      <c r="W209" s="760"/>
      <c r="X209" s="761"/>
      <c r="Y209" s="761"/>
      <c r="Z209" s="762"/>
      <c r="AA209" s="759"/>
      <c r="AB209" s="759"/>
      <c r="AC209" s="760"/>
      <c r="AD209" s="761"/>
      <c r="AE209" s="761"/>
      <c r="AF209" s="762"/>
      <c r="AG209" s="759"/>
      <c r="AH209" s="759"/>
      <c r="AI209" s="760"/>
      <c r="AJ209" s="761"/>
      <c r="AK209" s="761"/>
      <c r="AL209" s="762"/>
      <c r="AM209" s="763"/>
      <c r="AN209" s="763"/>
      <c r="AO209" s="764"/>
    </row>
    <row r="210">
      <c r="A210" s="602" t="s">
        <v>1190</v>
      </c>
      <c r="B210" s="758"/>
      <c r="C210" s="759"/>
      <c r="D210" s="759"/>
      <c r="E210" s="760"/>
      <c r="F210" s="761"/>
      <c r="G210" s="761"/>
      <c r="H210" s="762"/>
      <c r="I210" s="759"/>
      <c r="J210" s="759"/>
      <c r="K210" s="760"/>
      <c r="L210" s="761"/>
      <c r="M210" s="761"/>
      <c r="N210" s="762"/>
      <c r="O210" s="759"/>
      <c r="P210" s="759"/>
      <c r="Q210" s="760"/>
      <c r="R210" s="761"/>
      <c r="S210" s="761"/>
      <c r="T210" s="762"/>
      <c r="U210" s="759"/>
      <c r="V210" s="759"/>
      <c r="W210" s="760"/>
      <c r="X210" s="761"/>
      <c r="Y210" s="761"/>
      <c r="Z210" s="762"/>
      <c r="AA210" s="759"/>
      <c r="AB210" s="759"/>
      <c r="AC210" s="760"/>
      <c r="AD210" s="761"/>
      <c r="AE210" s="761"/>
      <c r="AF210" s="762"/>
      <c r="AG210" s="759"/>
      <c r="AH210" s="759"/>
      <c r="AI210" s="760"/>
      <c r="AJ210" s="761"/>
      <c r="AK210" s="761"/>
      <c r="AL210" s="762"/>
      <c r="AM210" s="763"/>
      <c r="AN210" s="763"/>
      <c r="AO210" s="764"/>
    </row>
    <row r="211">
      <c r="A211" s="602" t="s">
        <v>1190</v>
      </c>
      <c r="B211" s="758"/>
      <c r="C211" s="759"/>
      <c r="D211" s="759"/>
      <c r="E211" s="760"/>
      <c r="F211" s="761"/>
      <c r="G211" s="761"/>
      <c r="H211" s="762"/>
      <c r="I211" s="759"/>
      <c r="J211" s="759"/>
      <c r="K211" s="760"/>
      <c r="L211" s="761"/>
      <c r="M211" s="761"/>
      <c r="N211" s="762"/>
      <c r="O211" s="759"/>
      <c r="P211" s="759"/>
      <c r="Q211" s="760"/>
      <c r="R211" s="761"/>
      <c r="S211" s="761"/>
      <c r="T211" s="762"/>
      <c r="U211" s="759"/>
      <c r="V211" s="759"/>
      <c r="W211" s="760"/>
      <c r="X211" s="761"/>
      <c r="Y211" s="761"/>
      <c r="Z211" s="762"/>
      <c r="AA211" s="759"/>
      <c r="AB211" s="759"/>
      <c r="AC211" s="760"/>
      <c r="AD211" s="761"/>
      <c r="AE211" s="761"/>
      <c r="AF211" s="762"/>
      <c r="AG211" s="759"/>
      <c r="AH211" s="759"/>
      <c r="AI211" s="760"/>
      <c r="AJ211" s="761"/>
      <c r="AK211" s="761"/>
      <c r="AL211" s="762"/>
      <c r="AM211" s="763"/>
      <c r="AN211" s="763"/>
      <c r="AO211" s="764"/>
    </row>
    <row r="212">
      <c r="A212" s="602" t="s">
        <v>1190</v>
      </c>
      <c r="B212" s="758"/>
      <c r="C212" s="759"/>
      <c r="D212" s="759"/>
      <c r="E212" s="760"/>
      <c r="F212" s="761"/>
      <c r="G212" s="761"/>
      <c r="H212" s="762"/>
      <c r="I212" s="759"/>
      <c r="J212" s="759"/>
      <c r="K212" s="760"/>
      <c r="L212" s="761"/>
      <c r="M212" s="761"/>
      <c r="N212" s="762"/>
      <c r="O212" s="759"/>
      <c r="P212" s="759"/>
      <c r="Q212" s="760"/>
      <c r="R212" s="761"/>
      <c r="S212" s="761"/>
      <c r="T212" s="762"/>
      <c r="U212" s="759"/>
      <c r="V212" s="759"/>
      <c r="W212" s="760"/>
      <c r="X212" s="761"/>
      <c r="Y212" s="761"/>
      <c r="Z212" s="762"/>
      <c r="AA212" s="759"/>
      <c r="AB212" s="759"/>
      <c r="AC212" s="760"/>
      <c r="AD212" s="761"/>
      <c r="AE212" s="761"/>
      <c r="AF212" s="762"/>
      <c r="AG212" s="759"/>
      <c r="AH212" s="759"/>
      <c r="AI212" s="760"/>
      <c r="AJ212" s="761"/>
      <c r="AK212" s="761"/>
      <c r="AL212" s="762"/>
      <c r="AM212" s="763"/>
      <c r="AN212" s="763"/>
      <c r="AO212" s="764"/>
    </row>
    <row r="213">
      <c r="A213" s="602" t="s">
        <v>1190</v>
      </c>
      <c r="B213" s="758"/>
      <c r="C213" s="759"/>
      <c r="D213" s="759"/>
      <c r="E213" s="760"/>
      <c r="F213" s="761"/>
      <c r="G213" s="761"/>
      <c r="H213" s="762"/>
      <c r="I213" s="759"/>
      <c r="J213" s="759"/>
      <c r="K213" s="760"/>
      <c r="L213" s="761"/>
      <c r="M213" s="761"/>
      <c r="N213" s="762"/>
      <c r="O213" s="759"/>
      <c r="P213" s="759"/>
      <c r="Q213" s="760"/>
      <c r="R213" s="761"/>
      <c r="S213" s="761"/>
      <c r="T213" s="762"/>
      <c r="U213" s="759"/>
      <c r="V213" s="759"/>
      <c r="W213" s="760"/>
      <c r="X213" s="761"/>
      <c r="Y213" s="761"/>
      <c r="Z213" s="762"/>
      <c r="AA213" s="759"/>
      <c r="AB213" s="759"/>
      <c r="AC213" s="760"/>
      <c r="AD213" s="761"/>
      <c r="AE213" s="761"/>
      <c r="AF213" s="762"/>
      <c r="AG213" s="759"/>
      <c r="AH213" s="759"/>
      <c r="AI213" s="760"/>
      <c r="AJ213" s="761"/>
      <c r="AK213" s="761"/>
      <c r="AL213" s="762"/>
      <c r="AM213" s="763"/>
      <c r="AN213" s="763"/>
      <c r="AO213" s="764"/>
    </row>
    <row r="214">
      <c r="A214" s="602" t="s">
        <v>1190</v>
      </c>
      <c r="B214" s="758"/>
      <c r="C214" s="759"/>
      <c r="D214" s="759"/>
      <c r="E214" s="760"/>
      <c r="F214" s="761"/>
      <c r="G214" s="761"/>
      <c r="H214" s="762"/>
      <c r="I214" s="759"/>
      <c r="J214" s="759"/>
      <c r="K214" s="760"/>
      <c r="L214" s="761"/>
      <c r="M214" s="761"/>
      <c r="N214" s="762"/>
      <c r="O214" s="759"/>
      <c r="P214" s="759"/>
      <c r="Q214" s="760"/>
      <c r="R214" s="761"/>
      <c r="S214" s="761"/>
      <c r="T214" s="762"/>
      <c r="U214" s="759"/>
      <c r="V214" s="759"/>
      <c r="W214" s="760"/>
      <c r="X214" s="761"/>
      <c r="Y214" s="761"/>
      <c r="Z214" s="762"/>
      <c r="AA214" s="759"/>
      <c r="AB214" s="759"/>
      <c r="AC214" s="760"/>
      <c r="AD214" s="761"/>
      <c r="AE214" s="761"/>
      <c r="AF214" s="762"/>
      <c r="AG214" s="759"/>
      <c r="AH214" s="759"/>
      <c r="AI214" s="760"/>
      <c r="AJ214" s="761"/>
      <c r="AK214" s="761"/>
      <c r="AL214" s="762"/>
      <c r="AM214" s="763"/>
      <c r="AN214" s="763"/>
      <c r="AO214" s="764"/>
    </row>
    <row r="215">
      <c r="A215" s="602" t="s">
        <v>1190</v>
      </c>
      <c r="B215" s="758"/>
      <c r="C215" s="759"/>
      <c r="D215" s="759"/>
      <c r="E215" s="760"/>
      <c r="F215" s="761"/>
      <c r="G215" s="761"/>
      <c r="H215" s="762"/>
      <c r="I215" s="759"/>
      <c r="J215" s="759"/>
      <c r="K215" s="760"/>
      <c r="L215" s="761"/>
      <c r="M215" s="761"/>
      <c r="N215" s="762"/>
      <c r="O215" s="759"/>
      <c r="P215" s="759"/>
      <c r="Q215" s="760"/>
      <c r="R215" s="761"/>
      <c r="S215" s="761"/>
      <c r="T215" s="762"/>
      <c r="U215" s="759"/>
      <c r="V215" s="759"/>
      <c r="W215" s="760"/>
      <c r="X215" s="761"/>
      <c r="Y215" s="761"/>
      <c r="Z215" s="762"/>
      <c r="AA215" s="759"/>
      <c r="AB215" s="759"/>
      <c r="AC215" s="760"/>
      <c r="AD215" s="761"/>
      <c r="AE215" s="761"/>
      <c r="AF215" s="762"/>
      <c r="AG215" s="759"/>
      <c r="AH215" s="759"/>
      <c r="AI215" s="760"/>
      <c r="AJ215" s="761"/>
      <c r="AK215" s="761"/>
      <c r="AL215" s="762"/>
      <c r="AM215" s="763"/>
      <c r="AN215" s="763"/>
      <c r="AO215" s="764"/>
    </row>
    <row r="216">
      <c r="A216" s="602" t="s">
        <v>1190</v>
      </c>
      <c r="B216" s="758"/>
      <c r="C216" s="759"/>
      <c r="D216" s="759"/>
      <c r="E216" s="760"/>
      <c r="F216" s="761"/>
      <c r="G216" s="761"/>
      <c r="H216" s="762"/>
      <c r="I216" s="759"/>
      <c r="J216" s="759"/>
      <c r="K216" s="760"/>
      <c r="L216" s="761"/>
      <c r="M216" s="761"/>
      <c r="N216" s="762"/>
      <c r="O216" s="759"/>
      <c r="P216" s="759"/>
      <c r="Q216" s="760"/>
      <c r="R216" s="761"/>
      <c r="S216" s="761"/>
      <c r="T216" s="762"/>
      <c r="U216" s="759"/>
      <c r="V216" s="759"/>
      <c r="W216" s="760"/>
      <c r="X216" s="761"/>
      <c r="Y216" s="761"/>
      <c r="Z216" s="762"/>
      <c r="AA216" s="759"/>
      <c r="AB216" s="759"/>
      <c r="AC216" s="760"/>
      <c r="AD216" s="761"/>
      <c r="AE216" s="761"/>
      <c r="AF216" s="762"/>
      <c r="AG216" s="759"/>
      <c r="AH216" s="759"/>
      <c r="AI216" s="760"/>
      <c r="AJ216" s="761"/>
      <c r="AK216" s="761"/>
      <c r="AL216" s="762"/>
      <c r="AM216" s="763"/>
      <c r="AN216" s="763"/>
      <c r="AO216" s="764"/>
    </row>
    <row r="217">
      <c r="A217" s="602" t="s">
        <v>1190</v>
      </c>
      <c r="B217" s="758"/>
      <c r="C217" s="759"/>
      <c r="D217" s="759"/>
      <c r="E217" s="760"/>
      <c r="F217" s="761"/>
      <c r="G217" s="761"/>
      <c r="H217" s="762"/>
      <c r="I217" s="759"/>
      <c r="J217" s="759"/>
      <c r="K217" s="760"/>
      <c r="L217" s="761"/>
      <c r="M217" s="761"/>
      <c r="N217" s="762"/>
      <c r="O217" s="759"/>
      <c r="P217" s="759"/>
      <c r="Q217" s="760"/>
      <c r="R217" s="761"/>
      <c r="S217" s="761"/>
      <c r="T217" s="762"/>
      <c r="U217" s="759"/>
      <c r="V217" s="759"/>
      <c r="W217" s="760"/>
      <c r="X217" s="761"/>
      <c r="Y217" s="761"/>
      <c r="Z217" s="762"/>
      <c r="AA217" s="759"/>
      <c r="AB217" s="759"/>
      <c r="AC217" s="760"/>
      <c r="AD217" s="761"/>
      <c r="AE217" s="761"/>
      <c r="AF217" s="762"/>
      <c r="AG217" s="759"/>
      <c r="AH217" s="759"/>
      <c r="AI217" s="760"/>
      <c r="AJ217" s="761"/>
      <c r="AK217" s="761"/>
      <c r="AL217" s="762"/>
      <c r="AM217" s="763"/>
      <c r="AN217" s="763"/>
      <c r="AO217" s="764"/>
    </row>
    <row r="218">
      <c r="A218" s="602" t="s">
        <v>1190</v>
      </c>
      <c r="B218" s="758"/>
      <c r="C218" s="759"/>
      <c r="D218" s="759"/>
      <c r="E218" s="760"/>
      <c r="F218" s="761"/>
      <c r="G218" s="761"/>
      <c r="H218" s="762"/>
      <c r="I218" s="759"/>
      <c r="J218" s="759"/>
      <c r="K218" s="760"/>
      <c r="L218" s="761"/>
      <c r="M218" s="761"/>
      <c r="N218" s="762"/>
      <c r="O218" s="759"/>
      <c r="P218" s="759"/>
      <c r="Q218" s="760"/>
      <c r="R218" s="761"/>
      <c r="S218" s="761"/>
      <c r="T218" s="762"/>
      <c r="U218" s="759"/>
      <c r="V218" s="759"/>
      <c r="W218" s="760"/>
      <c r="X218" s="761"/>
      <c r="Y218" s="761"/>
      <c r="Z218" s="762"/>
      <c r="AA218" s="759"/>
      <c r="AB218" s="759"/>
      <c r="AC218" s="760"/>
      <c r="AD218" s="761"/>
      <c r="AE218" s="761"/>
      <c r="AF218" s="762"/>
      <c r="AG218" s="759"/>
      <c r="AH218" s="759"/>
      <c r="AI218" s="760"/>
      <c r="AJ218" s="761"/>
      <c r="AK218" s="761"/>
      <c r="AL218" s="762"/>
      <c r="AM218" s="763"/>
      <c r="AN218" s="763"/>
      <c r="AO218" s="764"/>
    </row>
    <row r="219">
      <c r="A219" s="602" t="s">
        <v>1190</v>
      </c>
      <c r="B219" s="758"/>
      <c r="C219" s="759"/>
      <c r="D219" s="759"/>
      <c r="E219" s="760"/>
      <c r="F219" s="761"/>
      <c r="G219" s="761"/>
      <c r="H219" s="762"/>
      <c r="I219" s="759"/>
      <c r="J219" s="759"/>
      <c r="K219" s="760"/>
      <c r="L219" s="761"/>
      <c r="M219" s="761"/>
      <c r="N219" s="762"/>
      <c r="O219" s="759"/>
      <c r="P219" s="759"/>
      <c r="Q219" s="760"/>
      <c r="R219" s="761"/>
      <c r="S219" s="761"/>
      <c r="T219" s="762"/>
      <c r="U219" s="759"/>
      <c r="V219" s="759"/>
      <c r="W219" s="760"/>
      <c r="X219" s="761"/>
      <c r="Y219" s="761"/>
      <c r="Z219" s="762"/>
      <c r="AA219" s="759"/>
      <c r="AB219" s="759"/>
      <c r="AC219" s="760"/>
      <c r="AD219" s="761"/>
      <c r="AE219" s="761"/>
      <c r="AF219" s="762"/>
      <c r="AG219" s="759"/>
      <c r="AH219" s="759"/>
      <c r="AI219" s="760"/>
      <c r="AJ219" s="761"/>
      <c r="AK219" s="761"/>
      <c r="AL219" s="762"/>
      <c r="AM219" s="763"/>
      <c r="AN219" s="763"/>
      <c r="AO219" s="764"/>
    </row>
    <row r="220">
      <c r="A220" s="602" t="s">
        <v>1190</v>
      </c>
      <c r="B220" s="758"/>
      <c r="C220" s="759"/>
      <c r="D220" s="759"/>
      <c r="E220" s="760"/>
      <c r="F220" s="761"/>
      <c r="G220" s="761"/>
      <c r="H220" s="762"/>
      <c r="I220" s="759"/>
      <c r="J220" s="759"/>
      <c r="K220" s="760"/>
      <c r="L220" s="761"/>
      <c r="M220" s="761"/>
      <c r="N220" s="762"/>
      <c r="O220" s="759"/>
      <c r="P220" s="759"/>
      <c r="Q220" s="760"/>
      <c r="R220" s="761"/>
      <c r="S220" s="761"/>
      <c r="T220" s="762"/>
      <c r="U220" s="759"/>
      <c r="V220" s="759"/>
      <c r="W220" s="760"/>
      <c r="X220" s="761"/>
      <c r="Y220" s="761"/>
      <c r="Z220" s="762"/>
      <c r="AA220" s="759"/>
      <c r="AB220" s="759"/>
      <c r="AC220" s="760"/>
      <c r="AD220" s="761"/>
      <c r="AE220" s="761"/>
      <c r="AF220" s="762"/>
      <c r="AG220" s="759"/>
      <c r="AH220" s="759"/>
      <c r="AI220" s="760"/>
      <c r="AJ220" s="761"/>
      <c r="AK220" s="761"/>
      <c r="AL220" s="762"/>
      <c r="AM220" s="763"/>
      <c r="AN220" s="763"/>
      <c r="AO220" s="764"/>
    </row>
    <row r="221">
      <c r="A221" s="602" t="s">
        <v>1190</v>
      </c>
      <c r="B221" s="758"/>
      <c r="C221" s="759"/>
      <c r="D221" s="759"/>
      <c r="E221" s="760"/>
      <c r="F221" s="761"/>
      <c r="G221" s="761"/>
      <c r="H221" s="762"/>
      <c r="I221" s="759"/>
      <c r="J221" s="759"/>
      <c r="K221" s="760"/>
      <c r="L221" s="761"/>
      <c r="M221" s="761"/>
      <c r="N221" s="762"/>
      <c r="O221" s="759"/>
      <c r="P221" s="759"/>
      <c r="Q221" s="760"/>
      <c r="R221" s="761"/>
      <c r="S221" s="761"/>
      <c r="T221" s="762"/>
      <c r="U221" s="759"/>
      <c r="V221" s="759"/>
      <c r="W221" s="760"/>
      <c r="X221" s="761"/>
      <c r="Y221" s="761"/>
      <c r="Z221" s="762"/>
      <c r="AA221" s="759"/>
      <c r="AB221" s="759"/>
      <c r="AC221" s="760"/>
      <c r="AD221" s="761"/>
      <c r="AE221" s="761"/>
      <c r="AF221" s="762"/>
      <c r="AG221" s="759"/>
      <c r="AH221" s="759"/>
      <c r="AI221" s="760"/>
      <c r="AJ221" s="761"/>
      <c r="AK221" s="761"/>
      <c r="AL221" s="762"/>
      <c r="AM221" s="763"/>
      <c r="AN221" s="763"/>
      <c r="AO221" s="764"/>
    </row>
    <row r="222">
      <c r="A222" s="602" t="s">
        <v>1190</v>
      </c>
      <c r="B222" s="758"/>
      <c r="C222" s="759"/>
      <c r="D222" s="759"/>
      <c r="E222" s="760"/>
      <c r="F222" s="761"/>
      <c r="G222" s="761"/>
      <c r="H222" s="762"/>
      <c r="I222" s="759"/>
      <c r="J222" s="759"/>
      <c r="K222" s="760"/>
      <c r="L222" s="761"/>
      <c r="M222" s="761"/>
      <c r="N222" s="762"/>
      <c r="O222" s="759"/>
      <c r="P222" s="759"/>
      <c r="Q222" s="760"/>
      <c r="R222" s="761"/>
      <c r="S222" s="761"/>
      <c r="T222" s="762"/>
      <c r="U222" s="759"/>
      <c r="V222" s="759"/>
      <c r="W222" s="760"/>
      <c r="X222" s="761"/>
      <c r="Y222" s="761"/>
      <c r="Z222" s="762"/>
      <c r="AA222" s="759"/>
      <c r="AB222" s="759"/>
      <c r="AC222" s="760"/>
      <c r="AD222" s="761"/>
      <c r="AE222" s="761"/>
      <c r="AF222" s="762"/>
      <c r="AG222" s="759"/>
      <c r="AH222" s="759"/>
      <c r="AI222" s="760"/>
      <c r="AJ222" s="761"/>
      <c r="AK222" s="761"/>
      <c r="AL222" s="762"/>
      <c r="AM222" s="763"/>
      <c r="AN222" s="763"/>
      <c r="AO222" s="764"/>
    </row>
    <row r="223">
      <c r="A223" s="602" t="s">
        <v>1190</v>
      </c>
      <c r="B223" s="758"/>
      <c r="C223" s="759"/>
      <c r="D223" s="759"/>
      <c r="E223" s="760"/>
      <c r="F223" s="761"/>
      <c r="G223" s="761"/>
      <c r="H223" s="762"/>
      <c r="I223" s="759"/>
      <c r="J223" s="759"/>
      <c r="K223" s="760"/>
      <c r="L223" s="761"/>
      <c r="M223" s="761"/>
      <c r="N223" s="762"/>
      <c r="O223" s="759"/>
      <c r="P223" s="759"/>
      <c r="Q223" s="760"/>
      <c r="R223" s="761"/>
      <c r="S223" s="761"/>
      <c r="T223" s="762"/>
      <c r="U223" s="759"/>
      <c r="V223" s="759"/>
      <c r="W223" s="760"/>
      <c r="X223" s="761"/>
      <c r="Y223" s="761"/>
      <c r="Z223" s="762"/>
      <c r="AA223" s="759"/>
      <c r="AB223" s="759"/>
      <c r="AC223" s="760"/>
      <c r="AD223" s="761"/>
      <c r="AE223" s="761"/>
      <c r="AF223" s="762"/>
      <c r="AG223" s="759"/>
      <c r="AH223" s="759"/>
      <c r="AI223" s="760"/>
      <c r="AJ223" s="761"/>
      <c r="AK223" s="761"/>
      <c r="AL223" s="762"/>
      <c r="AM223" s="763"/>
      <c r="AN223" s="763"/>
      <c r="AO223" s="764"/>
    </row>
    <row r="224">
      <c r="A224" s="602" t="s">
        <v>1190</v>
      </c>
      <c r="B224" s="758"/>
      <c r="C224" s="759"/>
      <c r="D224" s="759"/>
      <c r="E224" s="760"/>
      <c r="F224" s="761"/>
      <c r="G224" s="761"/>
      <c r="H224" s="762"/>
      <c r="I224" s="759"/>
      <c r="J224" s="759"/>
      <c r="K224" s="760"/>
      <c r="L224" s="761"/>
      <c r="M224" s="761"/>
      <c r="N224" s="762"/>
      <c r="O224" s="759"/>
      <c r="P224" s="759"/>
      <c r="Q224" s="760"/>
      <c r="R224" s="761"/>
      <c r="S224" s="761"/>
      <c r="T224" s="762"/>
      <c r="U224" s="759"/>
      <c r="V224" s="759"/>
      <c r="W224" s="760"/>
      <c r="X224" s="761"/>
      <c r="Y224" s="761"/>
      <c r="Z224" s="762"/>
      <c r="AA224" s="759"/>
      <c r="AB224" s="759"/>
      <c r="AC224" s="760"/>
      <c r="AD224" s="761"/>
      <c r="AE224" s="761"/>
      <c r="AF224" s="762"/>
      <c r="AG224" s="759"/>
      <c r="AH224" s="759"/>
      <c r="AI224" s="760"/>
      <c r="AJ224" s="761"/>
      <c r="AK224" s="761"/>
      <c r="AL224" s="762"/>
      <c r="AM224" s="763"/>
      <c r="AN224" s="763"/>
      <c r="AO224" s="764"/>
    </row>
    <row r="225">
      <c r="A225" s="602" t="s">
        <v>1190</v>
      </c>
      <c r="B225" s="758"/>
      <c r="C225" s="759"/>
      <c r="D225" s="759"/>
      <c r="E225" s="760"/>
      <c r="F225" s="761"/>
      <c r="G225" s="761"/>
      <c r="H225" s="762"/>
      <c r="I225" s="759"/>
      <c r="J225" s="759"/>
      <c r="K225" s="760"/>
      <c r="L225" s="761"/>
      <c r="M225" s="761"/>
      <c r="N225" s="762"/>
      <c r="O225" s="759"/>
      <c r="P225" s="759"/>
      <c r="Q225" s="760"/>
      <c r="R225" s="761"/>
      <c r="S225" s="761"/>
      <c r="T225" s="762"/>
      <c r="U225" s="759"/>
      <c r="V225" s="759"/>
      <c r="W225" s="760"/>
      <c r="X225" s="761"/>
      <c r="Y225" s="761"/>
      <c r="Z225" s="762"/>
      <c r="AA225" s="759"/>
      <c r="AB225" s="759"/>
      <c r="AC225" s="760"/>
      <c r="AD225" s="761"/>
      <c r="AE225" s="761"/>
      <c r="AF225" s="762"/>
      <c r="AG225" s="759"/>
      <c r="AH225" s="759"/>
      <c r="AI225" s="760"/>
      <c r="AJ225" s="761"/>
      <c r="AK225" s="761"/>
      <c r="AL225" s="762"/>
      <c r="AM225" s="763"/>
      <c r="AN225" s="763"/>
      <c r="AO225" s="764"/>
    </row>
    <row r="226">
      <c r="A226" s="602" t="s">
        <v>1190</v>
      </c>
      <c r="B226" s="758"/>
      <c r="C226" s="759"/>
      <c r="D226" s="759"/>
      <c r="E226" s="760"/>
      <c r="F226" s="761"/>
      <c r="G226" s="761"/>
      <c r="H226" s="762"/>
      <c r="I226" s="759"/>
      <c r="J226" s="759"/>
      <c r="K226" s="760"/>
      <c r="L226" s="761"/>
      <c r="M226" s="761"/>
      <c r="N226" s="762"/>
      <c r="O226" s="759"/>
      <c r="P226" s="759"/>
      <c r="Q226" s="760"/>
      <c r="R226" s="761"/>
      <c r="S226" s="761"/>
      <c r="T226" s="762"/>
      <c r="U226" s="759"/>
      <c r="V226" s="759"/>
      <c r="W226" s="760"/>
      <c r="X226" s="761"/>
      <c r="Y226" s="761"/>
      <c r="Z226" s="762"/>
      <c r="AA226" s="759"/>
      <c r="AB226" s="759"/>
      <c r="AC226" s="760"/>
      <c r="AD226" s="761"/>
      <c r="AE226" s="761"/>
      <c r="AF226" s="762"/>
      <c r="AG226" s="759"/>
      <c r="AH226" s="759"/>
      <c r="AI226" s="760"/>
      <c r="AJ226" s="761"/>
      <c r="AK226" s="761"/>
      <c r="AL226" s="762"/>
      <c r="AM226" s="763"/>
      <c r="AN226" s="763"/>
      <c r="AO226" s="764"/>
    </row>
    <row r="227">
      <c r="A227" s="602" t="s">
        <v>1190</v>
      </c>
      <c r="B227" s="758"/>
      <c r="C227" s="759"/>
      <c r="D227" s="759"/>
      <c r="E227" s="760"/>
      <c r="F227" s="761"/>
      <c r="G227" s="761"/>
      <c r="H227" s="762"/>
      <c r="I227" s="759"/>
      <c r="J227" s="759"/>
      <c r="K227" s="760"/>
      <c r="L227" s="761"/>
      <c r="M227" s="761"/>
      <c r="N227" s="762"/>
      <c r="O227" s="759"/>
      <c r="P227" s="759"/>
      <c r="Q227" s="760"/>
      <c r="R227" s="761"/>
      <c r="S227" s="761"/>
      <c r="T227" s="762"/>
      <c r="U227" s="759"/>
      <c r="V227" s="759"/>
      <c r="W227" s="760"/>
      <c r="X227" s="761"/>
      <c r="Y227" s="761"/>
      <c r="Z227" s="762"/>
      <c r="AA227" s="759"/>
      <c r="AB227" s="759"/>
      <c r="AC227" s="760"/>
      <c r="AD227" s="761"/>
      <c r="AE227" s="761"/>
      <c r="AF227" s="762"/>
      <c r="AG227" s="759"/>
      <c r="AH227" s="759"/>
      <c r="AI227" s="760"/>
      <c r="AJ227" s="761"/>
      <c r="AK227" s="761"/>
      <c r="AL227" s="762"/>
      <c r="AM227" s="763"/>
      <c r="AN227" s="763"/>
      <c r="AO227" s="764"/>
    </row>
    <row r="228">
      <c r="A228" s="602" t="s">
        <v>1190</v>
      </c>
      <c r="B228" s="758"/>
      <c r="C228" s="759"/>
      <c r="D228" s="759"/>
      <c r="E228" s="760"/>
      <c r="F228" s="761"/>
      <c r="G228" s="761"/>
      <c r="H228" s="762"/>
      <c r="I228" s="759"/>
      <c r="J228" s="759"/>
      <c r="K228" s="760"/>
      <c r="L228" s="761"/>
      <c r="M228" s="761"/>
      <c r="N228" s="762"/>
      <c r="O228" s="759"/>
      <c r="P228" s="759"/>
      <c r="Q228" s="760"/>
      <c r="R228" s="761"/>
      <c r="S228" s="761"/>
      <c r="T228" s="762"/>
      <c r="U228" s="759"/>
      <c r="V228" s="759"/>
      <c r="W228" s="760"/>
      <c r="X228" s="761"/>
      <c r="Y228" s="761"/>
      <c r="Z228" s="762"/>
      <c r="AA228" s="759"/>
      <c r="AB228" s="759"/>
      <c r="AC228" s="760"/>
      <c r="AD228" s="761"/>
      <c r="AE228" s="761"/>
      <c r="AF228" s="762"/>
      <c r="AG228" s="759"/>
      <c r="AH228" s="759"/>
      <c r="AI228" s="760"/>
      <c r="AJ228" s="761"/>
      <c r="AK228" s="761"/>
      <c r="AL228" s="762"/>
      <c r="AM228" s="763"/>
      <c r="AN228" s="763"/>
      <c r="AO228" s="764"/>
    </row>
    <row r="229">
      <c r="A229" s="602" t="s">
        <v>1190</v>
      </c>
      <c r="B229" s="758"/>
      <c r="C229" s="759"/>
      <c r="D229" s="759"/>
      <c r="E229" s="760"/>
      <c r="F229" s="761"/>
      <c r="G229" s="761"/>
      <c r="H229" s="762"/>
      <c r="I229" s="759"/>
      <c r="J229" s="759"/>
      <c r="K229" s="760"/>
      <c r="L229" s="761"/>
      <c r="M229" s="761"/>
      <c r="N229" s="762"/>
      <c r="O229" s="759"/>
      <c r="P229" s="759"/>
      <c r="Q229" s="760"/>
      <c r="R229" s="761"/>
      <c r="S229" s="761"/>
      <c r="T229" s="762"/>
      <c r="U229" s="759"/>
      <c r="V229" s="759"/>
      <c r="W229" s="760"/>
      <c r="X229" s="761"/>
      <c r="Y229" s="761"/>
      <c r="Z229" s="762"/>
      <c r="AA229" s="759"/>
      <c r="AB229" s="759"/>
      <c r="AC229" s="760"/>
      <c r="AD229" s="761"/>
      <c r="AE229" s="761"/>
      <c r="AF229" s="762"/>
      <c r="AG229" s="759"/>
      <c r="AH229" s="759"/>
      <c r="AI229" s="760"/>
      <c r="AJ229" s="761"/>
      <c r="AK229" s="761"/>
      <c r="AL229" s="762"/>
      <c r="AM229" s="763"/>
      <c r="AN229" s="763"/>
      <c r="AO229" s="764"/>
    </row>
    <row r="230">
      <c r="A230" s="602" t="s">
        <v>1190</v>
      </c>
      <c r="B230" s="758"/>
      <c r="C230" s="759"/>
      <c r="D230" s="759"/>
      <c r="E230" s="760"/>
      <c r="F230" s="761"/>
      <c r="G230" s="761"/>
      <c r="H230" s="762"/>
      <c r="I230" s="759"/>
      <c r="J230" s="759"/>
      <c r="K230" s="760"/>
      <c r="L230" s="761"/>
      <c r="M230" s="761"/>
      <c r="N230" s="762"/>
      <c r="O230" s="759"/>
      <c r="P230" s="759"/>
      <c r="Q230" s="760"/>
      <c r="R230" s="761"/>
      <c r="S230" s="761"/>
      <c r="T230" s="762"/>
      <c r="U230" s="759"/>
      <c r="V230" s="759"/>
      <c r="W230" s="760"/>
      <c r="X230" s="761"/>
      <c r="Y230" s="761"/>
      <c r="Z230" s="762"/>
      <c r="AA230" s="759"/>
      <c r="AB230" s="759"/>
      <c r="AC230" s="760"/>
      <c r="AD230" s="761"/>
      <c r="AE230" s="761"/>
      <c r="AF230" s="762"/>
      <c r="AG230" s="759"/>
      <c r="AH230" s="759"/>
      <c r="AI230" s="760"/>
      <c r="AJ230" s="761"/>
      <c r="AK230" s="761"/>
      <c r="AL230" s="762"/>
      <c r="AM230" s="763"/>
      <c r="AN230" s="763"/>
      <c r="AO230" s="764"/>
    </row>
    <row r="231">
      <c r="A231" s="602" t="s">
        <v>1190</v>
      </c>
      <c r="B231" s="758"/>
      <c r="C231" s="759"/>
      <c r="D231" s="759"/>
      <c r="E231" s="760"/>
      <c r="F231" s="761"/>
      <c r="G231" s="761"/>
      <c r="H231" s="762"/>
      <c r="I231" s="759"/>
      <c r="J231" s="759"/>
      <c r="K231" s="760"/>
      <c r="L231" s="761"/>
      <c r="M231" s="761"/>
      <c r="N231" s="762"/>
      <c r="O231" s="759"/>
      <c r="P231" s="759"/>
      <c r="Q231" s="760"/>
      <c r="R231" s="761"/>
      <c r="S231" s="761"/>
      <c r="T231" s="762"/>
      <c r="U231" s="759"/>
      <c r="V231" s="759"/>
      <c r="W231" s="760"/>
      <c r="X231" s="761"/>
      <c r="Y231" s="761"/>
      <c r="Z231" s="762"/>
      <c r="AA231" s="759"/>
      <c r="AB231" s="759"/>
      <c r="AC231" s="760"/>
      <c r="AD231" s="761"/>
      <c r="AE231" s="761"/>
      <c r="AF231" s="762"/>
      <c r="AG231" s="759"/>
      <c r="AH231" s="759"/>
      <c r="AI231" s="760"/>
      <c r="AJ231" s="761"/>
      <c r="AK231" s="761"/>
      <c r="AL231" s="762"/>
      <c r="AM231" s="763"/>
      <c r="AN231" s="763"/>
      <c r="AO231" s="764"/>
    </row>
    <row r="232">
      <c r="A232" s="602" t="s">
        <v>1190</v>
      </c>
      <c r="B232" s="758"/>
      <c r="C232" s="759"/>
      <c r="D232" s="759"/>
      <c r="E232" s="760"/>
      <c r="F232" s="761"/>
      <c r="G232" s="761"/>
      <c r="H232" s="762"/>
      <c r="I232" s="759"/>
      <c r="J232" s="759"/>
      <c r="K232" s="760"/>
      <c r="L232" s="761"/>
      <c r="M232" s="761"/>
      <c r="N232" s="762"/>
      <c r="O232" s="759"/>
      <c r="P232" s="759"/>
      <c r="Q232" s="760"/>
      <c r="R232" s="761"/>
      <c r="S232" s="761"/>
      <c r="T232" s="762"/>
      <c r="U232" s="759"/>
      <c r="V232" s="759"/>
      <c r="W232" s="760"/>
      <c r="X232" s="761"/>
      <c r="Y232" s="761"/>
      <c r="Z232" s="762"/>
      <c r="AA232" s="759"/>
      <c r="AB232" s="759"/>
      <c r="AC232" s="760"/>
      <c r="AD232" s="761"/>
      <c r="AE232" s="761"/>
      <c r="AF232" s="762"/>
      <c r="AG232" s="759"/>
      <c r="AH232" s="759"/>
      <c r="AI232" s="760"/>
      <c r="AJ232" s="761"/>
      <c r="AK232" s="761"/>
      <c r="AL232" s="762"/>
      <c r="AM232" s="763"/>
      <c r="AN232" s="763"/>
      <c r="AO232" s="764"/>
    </row>
    <row r="233">
      <c r="A233" s="602" t="s">
        <v>1190</v>
      </c>
      <c r="B233" s="758"/>
      <c r="C233" s="759"/>
      <c r="D233" s="759"/>
      <c r="E233" s="760"/>
      <c r="F233" s="761"/>
      <c r="G233" s="761"/>
      <c r="H233" s="762"/>
      <c r="I233" s="759"/>
      <c r="J233" s="759"/>
      <c r="K233" s="760"/>
      <c r="L233" s="761"/>
      <c r="M233" s="761"/>
      <c r="N233" s="762"/>
      <c r="O233" s="759"/>
      <c r="P233" s="759"/>
      <c r="Q233" s="760"/>
      <c r="R233" s="761"/>
      <c r="S233" s="761"/>
      <c r="T233" s="762"/>
      <c r="U233" s="759"/>
      <c r="V233" s="759"/>
      <c r="W233" s="760"/>
      <c r="X233" s="761"/>
      <c r="Y233" s="761"/>
      <c r="Z233" s="762"/>
      <c r="AA233" s="759"/>
      <c r="AB233" s="759"/>
      <c r="AC233" s="760"/>
      <c r="AD233" s="761"/>
      <c r="AE233" s="761"/>
      <c r="AF233" s="762"/>
      <c r="AG233" s="759"/>
      <c r="AH233" s="759"/>
      <c r="AI233" s="760"/>
      <c r="AJ233" s="761"/>
      <c r="AK233" s="761"/>
      <c r="AL233" s="762"/>
      <c r="AM233" s="763"/>
      <c r="AN233" s="763"/>
      <c r="AO233" s="764"/>
    </row>
    <row r="234">
      <c r="A234" s="602" t="s">
        <v>1190</v>
      </c>
      <c r="B234" s="758"/>
      <c r="C234" s="759"/>
      <c r="D234" s="759"/>
      <c r="E234" s="760"/>
      <c r="F234" s="761"/>
      <c r="G234" s="761"/>
      <c r="H234" s="762"/>
      <c r="I234" s="759"/>
      <c r="J234" s="759"/>
      <c r="K234" s="760"/>
      <c r="L234" s="761"/>
      <c r="M234" s="761"/>
      <c r="N234" s="762"/>
      <c r="O234" s="759"/>
      <c r="P234" s="759"/>
      <c r="Q234" s="760"/>
      <c r="R234" s="761"/>
      <c r="S234" s="761"/>
      <c r="T234" s="762"/>
      <c r="U234" s="759"/>
      <c r="V234" s="759"/>
      <c r="W234" s="760"/>
      <c r="X234" s="761"/>
      <c r="Y234" s="761"/>
      <c r="Z234" s="762"/>
      <c r="AA234" s="759"/>
      <c r="AB234" s="759"/>
      <c r="AC234" s="760"/>
      <c r="AD234" s="761"/>
      <c r="AE234" s="761"/>
      <c r="AF234" s="762"/>
      <c r="AG234" s="759"/>
      <c r="AH234" s="759"/>
      <c r="AI234" s="760"/>
      <c r="AJ234" s="761"/>
      <c r="AK234" s="761"/>
      <c r="AL234" s="762"/>
      <c r="AM234" s="763"/>
      <c r="AN234" s="763"/>
      <c r="AO234" s="764"/>
    </row>
    <row r="235">
      <c r="A235" s="602" t="s">
        <v>1190</v>
      </c>
      <c r="B235" s="758"/>
      <c r="C235" s="759"/>
      <c r="D235" s="759"/>
      <c r="E235" s="760"/>
      <c r="F235" s="761"/>
      <c r="G235" s="761"/>
      <c r="H235" s="762"/>
      <c r="I235" s="759"/>
      <c r="J235" s="759"/>
      <c r="K235" s="760"/>
      <c r="L235" s="761"/>
      <c r="M235" s="761"/>
      <c r="N235" s="762"/>
      <c r="O235" s="759"/>
      <c r="P235" s="759"/>
      <c r="Q235" s="760"/>
      <c r="R235" s="761"/>
      <c r="S235" s="761"/>
      <c r="T235" s="762"/>
      <c r="U235" s="759"/>
      <c r="V235" s="759"/>
      <c r="W235" s="760"/>
      <c r="X235" s="761"/>
      <c r="Y235" s="761"/>
      <c r="Z235" s="762"/>
      <c r="AA235" s="759"/>
      <c r="AB235" s="759"/>
      <c r="AC235" s="760"/>
      <c r="AD235" s="761"/>
      <c r="AE235" s="761"/>
      <c r="AF235" s="762"/>
      <c r="AG235" s="759"/>
      <c r="AH235" s="759"/>
      <c r="AI235" s="760"/>
      <c r="AJ235" s="761"/>
      <c r="AK235" s="761"/>
      <c r="AL235" s="762"/>
      <c r="AM235" s="763"/>
      <c r="AN235" s="763"/>
      <c r="AO235" s="764"/>
    </row>
    <row r="236">
      <c r="A236" s="602" t="s">
        <v>1190</v>
      </c>
      <c r="B236" s="758"/>
      <c r="C236" s="759"/>
      <c r="D236" s="759"/>
      <c r="E236" s="760"/>
      <c r="F236" s="761"/>
      <c r="G236" s="761"/>
      <c r="H236" s="762"/>
      <c r="I236" s="759"/>
      <c r="J236" s="759"/>
      <c r="K236" s="760"/>
      <c r="L236" s="761"/>
      <c r="M236" s="761"/>
      <c r="N236" s="762"/>
      <c r="O236" s="759"/>
      <c r="P236" s="759"/>
      <c r="Q236" s="760"/>
      <c r="R236" s="761"/>
      <c r="S236" s="761"/>
      <c r="T236" s="762"/>
      <c r="U236" s="759"/>
      <c r="V236" s="759"/>
      <c r="W236" s="760"/>
      <c r="X236" s="761"/>
      <c r="Y236" s="761"/>
      <c r="Z236" s="762"/>
      <c r="AA236" s="759"/>
      <c r="AB236" s="759"/>
      <c r="AC236" s="760"/>
      <c r="AD236" s="761"/>
      <c r="AE236" s="761"/>
      <c r="AF236" s="762"/>
      <c r="AG236" s="759"/>
      <c r="AH236" s="759"/>
      <c r="AI236" s="760"/>
      <c r="AJ236" s="761"/>
      <c r="AK236" s="761"/>
      <c r="AL236" s="762"/>
      <c r="AM236" s="763"/>
      <c r="AN236" s="763"/>
      <c r="AO236" s="764"/>
    </row>
    <row r="237">
      <c r="A237" s="602" t="s">
        <v>1190</v>
      </c>
      <c r="B237" s="758"/>
      <c r="C237" s="759"/>
      <c r="D237" s="759"/>
      <c r="E237" s="760"/>
      <c r="F237" s="761"/>
      <c r="G237" s="761"/>
      <c r="H237" s="762"/>
      <c r="I237" s="759"/>
      <c r="J237" s="759"/>
      <c r="K237" s="760"/>
      <c r="L237" s="761"/>
      <c r="M237" s="761"/>
      <c r="N237" s="762"/>
      <c r="O237" s="759"/>
      <c r="P237" s="759"/>
      <c r="Q237" s="760"/>
      <c r="R237" s="761"/>
      <c r="S237" s="761"/>
      <c r="T237" s="762"/>
      <c r="U237" s="759"/>
      <c r="V237" s="759"/>
      <c r="W237" s="760"/>
      <c r="X237" s="761"/>
      <c r="Y237" s="761"/>
      <c r="Z237" s="762"/>
      <c r="AA237" s="759"/>
      <c r="AB237" s="759"/>
      <c r="AC237" s="760"/>
      <c r="AD237" s="761"/>
      <c r="AE237" s="761"/>
      <c r="AF237" s="762"/>
      <c r="AG237" s="759"/>
      <c r="AH237" s="759"/>
      <c r="AI237" s="760"/>
      <c r="AJ237" s="761"/>
      <c r="AK237" s="761"/>
      <c r="AL237" s="762"/>
      <c r="AM237" s="763"/>
      <c r="AN237" s="763"/>
      <c r="AO237" s="764"/>
    </row>
    <row r="238">
      <c r="A238" s="602" t="s">
        <v>1190</v>
      </c>
      <c r="B238" s="758"/>
      <c r="C238" s="759"/>
      <c r="D238" s="759"/>
      <c r="E238" s="760"/>
      <c r="F238" s="761"/>
      <c r="G238" s="761"/>
      <c r="H238" s="762"/>
      <c r="I238" s="759"/>
      <c r="J238" s="759"/>
      <c r="K238" s="760"/>
      <c r="L238" s="761"/>
      <c r="M238" s="761"/>
      <c r="N238" s="762"/>
      <c r="O238" s="759"/>
      <c r="P238" s="759"/>
      <c r="Q238" s="760"/>
      <c r="R238" s="761"/>
      <c r="S238" s="761"/>
      <c r="T238" s="762"/>
      <c r="U238" s="759"/>
      <c r="V238" s="759"/>
      <c r="W238" s="760"/>
      <c r="X238" s="761"/>
      <c r="Y238" s="761"/>
      <c r="Z238" s="762"/>
      <c r="AA238" s="759"/>
      <c r="AB238" s="759"/>
      <c r="AC238" s="760"/>
      <c r="AD238" s="761"/>
      <c r="AE238" s="761"/>
      <c r="AF238" s="762"/>
      <c r="AG238" s="759"/>
      <c r="AH238" s="759"/>
      <c r="AI238" s="760"/>
      <c r="AJ238" s="761"/>
      <c r="AK238" s="761"/>
      <c r="AL238" s="762"/>
      <c r="AM238" s="763"/>
      <c r="AN238" s="763"/>
      <c r="AO238" s="764"/>
    </row>
    <row r="239">
      <c r="A239" s="602" t="s">
        <v>1190</v>
      </c>
      <c r="B239" s="758"/>
      <c r="C239" s="759"/>
      <c r="D239" s="759"/>
      <c r="E239" s="760"/>
      <c r="F239" s="761"/>
      <c r="G239" s="761"/>
      <c r="H239" s="762"/>
      <c r="I239" s="759"/>
      <c r="J239" s="759"/>
      <c r="K239" s="760"/>
      <c r="L239" s="761"/>
      <c r="M239" s="761"/>
      <c r="N239" s="762"/>
      <c r="O239" s="759"/>
      <c r="P239" s="759"/>
      <c r="Q239" s="760"/>
      <c r="R239" s="761"/>
      <c r="S239" s="761"/>
      <c r="T239" s="762"/>
      <c r="U239" s="759"/>
      <c r="V239" s="759"/>
      <c r="W239" s="760"/>
      <c r="X239" s="761"/>
      <c r="Y239" s="761"/>
      <c r="Z239" s="762"/>
      <c r="AA239" s="759"/>
      <c r="AB239" s="759"/>
      <c r="AC239" s="760"/>
      <c r="AD239" s="761"/>
      <c r="AE239" s="761"/>
      <c r="AF239" s="762"/>
      <c r="AG239" s="759"/>
      <c r="AH239" s="759"/>
      <c r="AI239" s="760"/>
      <c r="AJ239" s="761"/>
      <c r="AK239" s="761"/>
      <c r="AL239" s="762"/>
      <c r="AM239" s="763"/>
      <c r="AN239" s="763"/>
      <c r="AO239" s="764"/>
    </row>
    <row r="240">
      <c r="A240" s="602" t="s">
        <v>1190</v>
      </c>
      <c r="B240" s="758"/>
      <c r="C240" s="759"/>
      <c r="D240" s="759"/>
      <c r="E240" s="760"/>
      <c r="F240" s="761"/>
      <c r="G240" s="761"/>
      <c r="H240" s="762"/>
      <c r="I240" s="759"/>
      <c r="J240" s="759"/>
      <c r="K240" s="760"/>
      <c r="L240" s="761"/>
      <c r="M240" s="761"/>
      <c r="N240" s="762"/>
      <c r="O240" s="759"/>
      <c r="P240" s="759"/>
      <c r="Q240" s="760"/>
      <c r="R240" s="761"/>
      <c r="S240" s="761"/>
      <c r="T240" s="762"/>
      <c r="U240" s="759"/>
      <c r="V240" s="759"/>
      <c r="W240" s="760"/>
      <c r="X240" s="761"/>
      <c r="Y240" s="761"/>
      <c r="Z240" s="762"/>
      <c r="AA240" s="759"/>
      <c r="AB240" s="759"/>
      <c r="AC240" s="760"/>
      <c r="AD240" s="761"/>
      <c r="AE240" s="761"/>
      <c r="AF240" s="762"/>
      <c r="AG240" s="759"/>
      <c r="AH240" s="759"/>
      <c r="AI240" s="760"/>
      <c r="AJ240" s="761"/>
      <c r="AK240" s="761"/>
      <c r="AL240" s="762"/>
      <c r="AM240" s="763"/>
      <c r="AN240" s="763"/>
      <c r="AO240" s="764"/>
    </row>
    <row r="241">
      <c r="A241" s="602" t="s">
        <v>1190</v>
      </c>
      <c r="B241" s="758"/>
      <c r="C241" s="759"/>
      <c r="D241" s="759"/>
      <c r="E241" s="760"/>
      <c r="F241" s="761"/>
      <c r="G241" s="761"/>
      <c r="H241" s="762"/>
      <c r="I241" s="759"/>
      <c r="J241" s="759"/>
      <c r="K241" s="760"/>
      <c r="L241" s="761"/>
      <c r="M241" s="761"/>
      <c r="N241" s="762"/>
      <c r="O241" s="759"/>
      <c r="P241" s="759"/>
      <c r="Q241" s="760"/>
      <c r="R241" s="761"/>
      <c r="S241" s="761"/>
      <c r="T241" s="762"/>
      <c r="U241" s="759"/>
      <c r="V241" s="759"/>
      <c r="W241" s="760"/>
      <c r="X241" s="761"/>
      <c r="Y241" s="761"/>
      <c r="Z241" s="762"/>
      <c r="AA241" s="759"/>
      <c r="AB241" s="759"/>
      <c r="AC241" s="760"/>
      <c r="AD241" s="761"/>
      <c r="AE241" s="761"/>
      <c r="AF241" s="762"/>
      <c r="AG241" s="759"/>
      <c r="AH241" s="759"/>
      <c r="AI241" s="760"/>
      <c r="AJ241" s="761"/>
      <c r="AK241" s="761"/>
      <c r="AL241" s="762"/>
      <c r="AM241" s="763"/>
      <c r="AN241" s="763"/>
      <c r="AO241" s="764"/>
    </row>
    <row r="242">
      <c r="A242" s="602" t="s">
        <v>1190</v>
      </c>
      <c r="B242" s="758"/>
      <c r="C242" s="759"/>
      <c r="D242" s="759"/>
      <c r="E242" s="760"/>
      <c r="F242" s="761"/>
      <c r="G242" s="761"/>
      <c r="H242" s="762"/>
      <c r="I242" s="759"/>
      <c r="J242" s="759"/>
      <c r="K242" s="760"/>
      <c r="L242" s="761"/>
      <c r="M242" s="761"/>
      <c r="N242" s="762"/>
      <c r="O242" s="759"/>
      <c r="P242" s="759"/>
      <c r="Q242" s="760"/>
      <c r="R242" s="761"/>
      <c r="S242" s="761"/>
      <c r="T242" s="762"/>
      <c r="U242" s="759"/>
      <c r="V242" s="759"/>
      <c r="W242" s="760"/>
      <c r="X242" s="761"/>
      <c r="Y242" s="761"/>
      <c r="Z242" s="762"/>
      <c r="AA242" s="759"/>
      <c r="AB242" s="759"/>
      <c r="AC242" s="760"/>
      <c r="AD242" s="761"/>
      <c r="AE242" s="761"/>
      <c r="AF242" s="762"/>
      <c r="AG242" s="759"/>
      <c r="AH242" s="759"/>
      <c r="AI242" s="760"/>
      <c r="AJ242" s="761"/>
      <c r="AK242" s="761"/>
      <c r="AL242" s="762"/>
      <c r="AM242" s="763"/>
      <c r="AN242" s="763"/>
      <c r="AO242" s="764"/>
    </row>
    <row r="243">
      <c r="A243" s="602" t="s">
        <v>1190</v>
      </c>
      <c r="B243" s="758"/>
      <c r="C243" s="759"/>
      <c r="D243" s="759"/>
      <c r="E243" s="760"/>
      <c r="F243" s="761"/>
      <c r="G243" s="761"/>
      <c r="H243" s="762"/>
      <c r="I243" s="759"/>
      <c r="J243" s="759"/>
      <c r="K243" s="760"/>
      <c r="L243" s="761"/>
      <c r="M243" s="761"/>
      <c r="N243" s="762"/>
      <c r="O243" s="759"/>
      <c r="P243" s="759"/>
      <c r="Q243" s="760"/>
      <c r="R243" s="761"/>
      <c r="S243" s="761"/>
      <c r="T243" s="762"/>
      <c r="U243" s="759"/>
      <c r="V243" s="759"/>
      <c r="W243" s="760"/>
      <c r="X243" s="761"/>
      <c r="Y243" s="761"/>
      <c r="Z243" s="762"/>
      <c r="AA243" s="759"/>
      <c r="AB243" s="759"/>
      <c r="AC243" s="760"/>
      <c r="AD243" s="761"/>
      <c r="AE243" s="761"/>
      <c r="AF243" s="762"/>
      <c r="AG243" s="759"/>
      <c r="AH243" s="759"/>
      <c r="AI243" s="760"/>
      <c r="AJ243" s="761"/>
      <c r="AK243" s="761"/>
      <c r="AL243" s="762"/>
      <c r="AM243" s="763"/>
      <c r="AN243" s="763"/>
      <c r="AO243" s="764"/>
    </row>
    <row r="244">
      <c r="A244" s="602" t="s">
        <v>1190</v>
      </c>
      <c r="B244" s="758"/>
      <c r="C244" s="759"/>
      <c r="D244" s="759"/>
      <c r="E244" s="760"/>
      <c r="F244" s="761"/>
      <c r="G244" s="761"/>
      <c r="H244" s="762"/>
      <c r="I244" s="759"/>
      <c r="J244" s="759"/>
      <c r="K244" s="760"/>
      <c r="L244" s="761"/>
      <c r="M244" s="761"/>
      <c r="N244" s="762"/>
      <c r="O244" s="759"/>
      <c r="P244" s="759"/>
      <c r="Q244" s="760"/>
      <c r="R244" s="761"/>
      <c r="S244" s="761"/>
      <c r="T244" s="762"/>
      <c r="U244" s="759"/>
      <c r="V244" s="759"/>
      <c r="W244" s="760"/>
      <c r="X244" s="761"/>
      <c r="Y244" s="761"/>
      <c r="Z244" s="762"/>
      <c r="AA244" s="759"/>
      <c r="AB244" s="759"/>
      <c r="AC244" s="760"/>
      <c r="AD244" s="761"/>
      <c r="AE244" s="761"/>
      <c r="AF244" s="762"/>
      <c r="AG244" s="759"/>
      <c r="AH244" s="759"/>
      <c r="AI244" s="760"/>
      <c r="AJ244" s="761"/>
      <c r="AK244" s="761"/>
      <c r="AL244" s="762"/>
      <c r="AM244" s="763"/>
      <c r="AN244" s="763"/>
      <c r="AO244" s="764"/>
    </row>
    <row r="245">
      <c r="A245" s="602" t="s">
        <v>1190</v>
      </c>
      <c r="B245" s="758"/>
      <c r="C245" s="759"/>
      <c r="D245" s="759"/>
      <c r="E245" s="760"/>
      <c r="F245" s="761"/>
      <c r="G245" s="761"/>
      <c r="H245" s="762"/>
      <c r="I245" s="759"/>
      <c r="J245" s="759"/>
      <c r="K245" s="760"/>
      <c r="L245" s="761"/>
      <c r="M245" s="761"/>
      <c r="N245" s="762"/>
      <c r="O245" s="759"/>
      <c r="P245" s="759"/>
      <c r="Q245" s="760"/>
      <c r="R245" s="761"/>
      <c r="S245" s="761"/>
      <c r="T245" s="762"/>
      <c r="U245" s="759"/>
      <c r="V245" s="759"/>
      <c r="W245" s="760"/>
      <c r="X245" s="761"/>
      <c r="Y245" s="761"/>
      <c r="Z245" s="762"/>
      <c r="AA245" s="759"/>
      <c r="AB245" s="759"/>
      <c r="AC245" s="760"/>
      <c r="AD245" s="761"/>
      <c r="AE245" s="761"/>
      <c r="AF245" s="762"/>
      <c r="AG245" s="759"/>
      <c r="AH245" s="759"/>
      <c r="AI245" s="760"/>
      <c r="AJ245" s="761"/>
      <c r="AK245" s="761"/>
      <c r="AL245" s="762"/>
      <c r="AM245" s="763"/>
      <c r="AN245" s="763"/>
      <c r="AO245" s="764"/>
    </row>
    <row r="246">
      <c r="A246" s="602" t="s">
        <v>1190</v>
      </c>
      <c r="B246" s="758"/>
      <c r="C246" s="759"/>
      <c r="D246" s="759"/>
      <c r="E246" s="760"/>
      <c r="F246" s="761"/>
      <c r="G246" s="761"/>
      <c r="H246" s="762"/>
      <c r="I246" s="759"/>
      <c r="J246" s="759"/>
      <c r="K246" s="760"/>
      <c r="L246" s="761"/>
      <c r="M246" s="761"/>
      <c r="N246" s="762"/>
      <c r="O246" s="759"/>
      <c r="P246" s="759"/>
      <c r="Q246" s="760"/>
      <c r="R246" s="761"/>
      <c r="S246" s="761"/>
      <c r="T246" s="762"/>
      <c r="U246" s="759"/>
      <c r="V246" s="759"/>
      <c r="W246" s="760"/>
      <c r="X246" s="761"/>
      <c r="Y246" s="761"/>
      <c r="Z246" s="762"/>
      <c r="AA246" s="759"/>
      <c r="AB246" s="759"/>
      <c r="AC246" s="760"/>
      <c r="AD246" s="761"/>
      <c r="AE246" s="761"/>
      <c r="AF246" s="762"/>
      <c r="AG246" s="759"/>
      <c r="AH246" s="759"/>
      <c r="AI246" s="760"/>
      <c r="AJ246" s="761"/>
      <c r="AK246" s="761"/>
      <c r="AL246" s="762"/>
      <c r="AM246" s="763"/>
      <c r="AN246" s="763"/>
      <c r="AO246" s="764"/>
    </row>
    <row r="247">
      <c r="A247" s="602" t="s">
        <v>1190</v>
      </c>
      <c r="B247" s="758"/>
      <c r="C247" s="759"/>
      <c r="D247" s="759"/>
      <c r="E247" s="760"/>
      <c r="F247" s="761"/>
      <c r="G247" s="761"/>
      <c r="H247" s="762"/>
      <c r="I247" s="759"/>
      <c r="J247" s="759"/>
      <c r="K247" s="760"/>
      <c r="L247" s="761"/>
      <c r="M247" s="761"/>
      <c r="N247" s="762"/>
      <c r="O247" s="759"/>
      <c r="P247" s="759"/>
      <c r="Q247" s="760"/>
      <c r="R247" s="761"/>
      <c r="S247" s="761"/>
      <c r="T247" s="762"/>
      <c r="U247" s="759"/>
      <c r="V247" s="759"/>
      <c r="W247" s="760"/>
      <c r="X247" s="761"/>
      <c r="Y247" s="761"/>
      <c r="Z247" s="762"/>
      <c r="AA247" s="759"/>
      <c r="AB247" s="759"/>
      <c r="AC247" s="760"/>
      <c r="AD247" s="761"/>
      <c r="AE247" s="761"/>
      <c r="AF247" s="762"/>
      <c r="AG247" s="759"/>
      <c r="AH247" s="759"/>
      <c r="AI247" s="760"/>
      <c r="AJ247" s="761"/>
      <c r="AK247" s="761"/>
      <c r="AL247" s="762"/>
      <c r="AM247" s="763"/>
      <c r="AN247" s="763"/>
      <c r="AO247" s="764"/>
    </row>
    <row r="248">
      <c r="A248" s="602" t="s">
        <v>1190</v>
      </c>
      <c r="B248" s="758"/>
      <c r="C248" s="759"/>
      <c r="D248" s="759"/>
      <c r="E248" s="760"/>
      <c r="F248" s="761"/>
      <c r="G248" s="761"/>
      <c r="H248" s="762"/>
      <c r="I248" s="759"/>
      <c r="J248" s="759"/>
      <c r="K248" s="760"/>
      <c r="L248" s="761"/>
      <c r="M248" s="761"/>
      <c r="N248" s="762"/>
      <c r="O248" s="759"/>
      <c r="P248" s="759"/>
      <c r="Q248" s="760"/>
      <c r="R248" s="761"/>
      <c r="S248" s="761"/>
      <c r="T248" s="762"/>
      <c r="U248" s="759"/>
      <c r="V248" s="759"/>
      <c r="W248" s="760"/>
      <c r="X248" s="761"/>
      <c r="Y248" s="761"/>
      <c r="Z248" s="762"/>
      <c r="AA248" s="759"/>
      <c r="AB248" s="759"/>
      <c r="AC248" s="760"/>
      <c r="AD248" s="761"/>
      <c r="AE248" s="761"/>
      <c r="AF248" s="762"/>
      <c r="AG248" s="759"/>
      <c r="AH248" s="759"/>
      <c r="AI248" s="760"/>
      <c r="AJ248" s="761"/>
      <c r="AK248" s="761"/>
      <c r="AL248" s="762"/>
      <c r="AM248" s="763"/>
      <c r="AN248" s="763"/>
      <c r="AO248" s="764"/>
    </row>
    <row r="249">
      <c r="A249" s="602" t="s">
        <v>1190</v>
      </c>
      <c r="B249" s="758"/>
      <c r="C249" s="759"/>
      <c r="D249" s="759"/>
      <c r="E249" s="760"/>
      <c r="F249" s="761"/>
      <c r="G249" s="761"/>
      <c r="H249" s="762"/>
      <c r="I249" s="759"/>
      <c r="J249" s="759"/>
      <c r="K249" s="760"/>
      <c r="L249" s="761"/>
      <c r="M249" s="761"/>
      <c r="N249" s="762"/>
      <c r="O249" s="759"/>
      <c r="P249" s="759"/>
      <c r="Q249" s="760"/>
      <c r="R249" s="761"/>
      <c r="S249" s="761"/>
      <c r="T249" s="762"/>
      <c r="U249" s="759"/>
      <c r="V249" s="759"/>
      <c r="W249" s="760"/>
      <c r="X249" s="761"/>
      <c r="Y249" s="761"/>
      <c r="Z249" s="762"/>
      <c r="AA249" s="759"/>
      <c r="AB249" s="759"/>
      <c r="AC249" s="760"/>
      <c r="AD249" s="761"/>
      <c r="AE249" s="761"/>
      <c r="AF249" s="762"/>
      <c r="AG249" s="759"/>
      <c r="AH249" s="759"/>
      <c r="AI249" s="760"/>
      <c r="AJ249" s="761"/>
      <c r="AK249" s="761"/>
      <c r="AL249" s="762"/>
      <c r="AM249" s="763"/>
      <c r="AN249" s="763"/>
      <c r="AO249" s="764"/>
    </row>
    <row r="250">
      <c r="A250" s="602" t="s">
        <v>1190</v>
      </c>
      <c r="B250" s="758"/>
      <c r="C250" s="759"/>
      <c r="D250" s="759"/>
      <c r="E250" s="760"/>
      <c r="F250" s="761"/>
      <c r="G250" s="761"/>
      <c r="H250" s="762"/>
      <c r="I250" s="759"/>
      <c r="J250" s="759"/>
      <c r="K250" s="760"/>
      <c r="L250" s="761"/>
      <c r="M250" s="761"/>
      <c r="N250" s="762"/>
      <c r="O250" s="759"/>
      <c r="P250" s="759"/>
      <c r="Q250" s="760"/>
      <c r="R250" s="761"/>
      <c r="S250" s="761"/>
      <c r="T250" s="762"/>
      <c r="U250" s="759"/>
      <c r="V250" s="759"/>
      <c r="W250" s="760"/>
      <c r="X250" s="761"/>
      <c r="Y250" s="761"/>
      <c r="Z250" s="762"/>
      <c r="AA250" s="759"/>
      <c r="AB250" s="759"/>
      <c r="AC250" s="760"/>
      <c r="AD250" s="761"/>
      <c r="AE250" s="761"/>
      <c r="AF250" s="762"/>
      <c r="AG250" s="759"/>
      <c r="AH250" s="759"/>
      <c r="AI250" s="760"/>
      <c r="AJ250" s="761"/>
      <c r="AK250" s="761"/>
      <c r="AL250" s="762"/>
      <c r="AM250" s="763"/>
      <c r="AN250" s="763"/>
      <c r="AO250" s="764"/>
    </row>
    <row r="251">
      <c r="A251" s="602" t="s">
        <v>1190</v>
      </c>
      <c r="B251" s="758"/>
      <c r="C251" s="759"/>
      <c r="D251" s="759"/>
      <c r="E251" s="760"/>
      <c r="F251" s="761"/>
      <c r="G251" s="761"/>
      <c r="H251" s="762"/>
      <c r="I251" s="759"/>
      <c r="J251" s="759"/>
      <c r="K251" s="760"/>
      <c r="L251" s="761"/>
      <c r="M251" s="761"/>
      <c r="N251" s="762"/>
      <c r="O251" s="759"/>
      <c r="P251" s="759"/>
      <c r="Q251" s="760"/>
      <c r="R251" s="761"/>
      <c r="S251" s="761"/>
      <c r="T251" s="762"/>
      <c r="U251" s="759"/>
      <c r="V251" s="759"/>
      <c r="W251" s="760"/>
      <c r="X251" s="761"/>
      <c r="Y251" s="761"/>
      <c r="Z251" s="762"/>
      <c r="AA251" s="759"/>
      <c r="AB251" s="759"/>
      <c r="AC251" s="760"/>
      <c r="AD251" s="761"/>
      <c r="AE251" s="761"/>
      <c r="AF251" s="762"/>
      <c r="AG251" s="759"/>
      <c r="AH251" s="759"/>
      <c r="AI251" s="760"/>
      <c r="AJ251" s="761"/>
      <c r="AK251" s="761"/>
      <c r="AL251" s="762"/>
      <c r="AM251" s="763"/>
      <c r="AN251" s="763"/>
      <c r="AO251" s="764"/>
    </row>
    <row r="252">
      <c r="A252" s="602" t="s">
        <v>1190</v>
      </c>
      <c r="B252" s="758"/>
      <c r="C252" s="759"/>
      <c r="D252" s="759"/>
      <c r="E252" s="760"/>
      <c r="F252" s="761"/>
      <c r="G252" s="761"/>
      <c r="H252" s="762"/>
      <c r="I252" s="759"/>
      <c r="J252" s="759"/>
      <c r="K252" s="760"/>
      <c r="L252" s="761"/>
      <c r="M252" s="761"/>
      <c r="N252" s="762"/>
      <c r="O252" s="759"/>
      <c r="P252" s="759"/>
      <c r="Q252" s="760"/>
      <c r="R252" s="761"/>
      <c r="S252" s="761"/>
      <c r="T252" s="762"/>
      <c r="U252" s="759"/>
      <c r="V252" s="759"/>
      <c r="W252" s="760"/>
      <c r="X252" s="761"/>
      <c r="Y252" s="761"/>
      <c r="Z252" s="762"/>
      <c r="AA252" s="759"/>
      <c r="AB252" s="759"/>
      <c r="AC252" s="760"/>
      <c r="AD252" s="761"/>
      <c r="AE252" s="761"/>
      <c r="AF252" s="762"/>
      <c r="AG252" s="759"/>
      <c r="AH252" s="759"/>
      <c r="AI252" s="760"/>
      <c r="AJ252" s="761"/>
      <c r="AK252" s="761"/>
      <c r="AL252" s="762"/>
      <c r="AM252" s="763"/>
      <c r="AN252" s="763"/>
      <c r="AO252" s="764"/>
    </row>
    <row r="253">
      <c r="A253" s="602" t="s">
        <v>1190</v>
      </c>
      <c r="B253" s="758"/>
      <c r="C253" s="759"/>
      <c r="D253" s="759"/>
      <c r="E253" s="760"/>
      <c r="F253" s="761"/>
      <c r="G253" s="761"/>
      <c r="H253" s="762"/>
      <c r="I253" s="759"/>
      <c r="J253" s="759"/>
      <c r="K253" s="760"/>
      <c r="L253" s="761"/>
      <c r="M253" s="761"/>
      <c r="N253" s="762"/>
      <c r="O253" s="759"/>
      <c r="P253" s="759"/>
      <c r="Q253" s="760"/>
      <c r="R253" s="761"/>
      <c r="S253" s="761"/>
      <c r="T253" s="762"/>
      <c r="U253" s="759"/>
      <c r="V253" s="759"/>
      <c r="W253" s="760"/>
      <c r="X253" s="761"/>
      <c r="Y253" s="761"/>
      <c r="Z253" s="762"/>
      <c r="AA253" s="759"/>
      <c r="AB253" s="759"/>
      <c r="AC253" s="760"/>
      <c r="AD253" s="761"/>
      <c r="AE253" s="761"/>
      <c r="AF253" s="762"/>
      <c r="AG253" s="759"/>
      <c r="AH253" s="759"/>
      <c r="AI253" s="760"/>
      <c r="AJ253" s="761"/>
      <c r="AK253" s="761"/>
      <c r="AL253" s="762"/>
      <c r="AM253" s="763"/>
      <c r="AN253" s="763"/>
      <c r="AO253" s="764"/>
    </row>
    <row r="254">
      <c r="A254" s="602" t="s">
        <v>1190</v>
      </c>
      <c r="B254" s="758"/>
      <c r="C254" s="759"/>
      <c r="D254" s="759"/>
      <c r="E254" s="760"/>
      <c r="F254" s="761"/>
      <c r="G254" s="761"/>
      <c r="H254" s="762"/>
      <c r="I254" s="759"/>
      <c r="J254" s="759"/>
      <c r="K254" s="760"/>
      <c r="L254" s="761"/>
      <c r="M254" s="761"/>
      <c r="N254" s="762"/>
      <c r="O254" s="759"/>
      <c r="P254" s="759"/>
      <c r="Q254" s="760"/>
      <c r="R254" s="761"/>
      <c r="S254" s="761"/>
      <c r="T254" s="762"/>
      <c r="U254" s="759"/>
      <c r="V254" s="759"/>
      <c r="W254" s="760"/>
      <c r="X254" s="761"/>
      <c r="Y254" s="761"/>
      <c r="Z254" s="762"/>
      <c r="AA254" s="759"/>
      <c r="AB254" s="759"/>
      <c r="AC254" s="760"/>
      <c r="AD254" s="761"/>
      <c r="AE254" s="761"/>
      <c r="AF254" s="762"/>
      <c r="AG254" s="759"/>
      <c r="AH254" s="759"/>
      <c r="AI254" s="760"/>
      <c r="AJ254" s="761"/>
      <c r="AK254" s="761"/>
      <c r="AL254" s="762"/>
      <c r="AM254" s="763"/>
      <c r="AN254" s="763"/>
      <c r="AO254" s="764"/>
    </row>
    <row r="255">
      <c r="A255" s="602" t="s">
        <v>1190</v>
      </c>
      <c r="B255" s="758"/>
      <c r="C255" s="759"/>
      <c r="D255" s="759"/>
      <c r="E255" s="760"/>
      <c r="F255" s="761"/>
      <c r="G255" s="761"/>
      <c r="H255" s="762"/>
      <c r="I255" s="759"/>
      <c r="J255" s="759"/>
      <c r="K255" s="760"/>
      <c r="L255" s="761"/>
      <c r="M255" s="761"/>
      <c r="N255" s="762"/>
      <c r="O255" s="759"/>
      <c r="P255" s="759"/>
      <c r="Q255" s="760"/>
      <c r="R255" s="761"/>
      <c r="S255" s="761"/>
      <c r="T255" s="762"/>
      <c r="U255" s="759"/>
      <c r="V255" s="759"/>
      <c r="W255" s="760"/>
      <c r="X255" s="761"/>
      <c r="Y255" s="761"/>
      <c r="Z255" s="762"/>
      <c r="AA255" s="759"/>
      <c r="AB255" s="759"/>
      <c r="AC255" s="760"/>
      <c r="AD255" s="761"/>
      <c r="AE255" s="761"/>
      <c r="AF255" s="762"/>
      <c r="AG255" s="759"/>
      <c r="AH255" s="759"/>
      <c r="AI255" s="760"/>
      <c r="AJ255" s="761"/>
      <c r="AK255" s="761"/>
      <c r="AL255" s="762"/>
      <c r="AM255" s="763"/>
      <c r="AN255" s="763"/>
      <c r="AO255" s="764"/>
    </row>
    <row r="256">
      <c r="A256" s="602" t="s">
        <v>1190</v>
      </c>
      <c r="B256" s="758"/>
      <c r="C256" s="759"/>
      <c r="D256" s="759"/>
      <c r="E256" s="760"/>
      <c r="F256" s="761"/>
      <c r="G256" s="761"/>
      <c r="H256" s="762"/>
      <c r="I256" s="759"/>
      <c r="J256" s="759"/>
      <c r="K256" s="760"/>
      <c r="L256" s="761"/>
      <c r="M256" s="761"/>
      <c r="N256" s="762"/>
      <c r="O256" s="759"/>
      <c r="P256" s="759"/>
      <c r="Q256" s="760"/>
      <c r="R256" s="761"/>
      <c r="S256" s="761"/>
      <c r="T256" s="762"/>
      <c r="U256" s="759"/>
      <c r="V256" s="759"/>
      <c r="W256" s="760"/>
      <c r="X256" s="761"/>
      <c r="Y256" s="761"/>
      <c r="Z256" s="762"/>
      <c r="AA256" s="759"/>
      <c r="AB256" s="759"/>
      <c r="AC256" s="760"/>
      <c r="AD256" s="761"/>
      <c r="AE256" s="761"/>
      <c r="AF256" s="762"/>
      <c r="AG256" s="759"/>
      <c r="AH256" s="759"/>
      <c r="AI256" s="760"/>
      <c r="AJ256" s="761"/>
      <c r="AK256" s="761"/>
      <c r="AL256" s="762"/>
      <c r="AM256" s="763"/>
      <c r="AN256" s="763"/>
      <c r="AO256" s="764"/>
    </row>
    <row r="257">
      <c r="A257" s="602" t="s">
        <v>1190</v>
      </c>
      <c r="B257" s="758"/>
      <c r="C257" s="759"/>
      <c r="D257" s="759"/>
      <c r="E257" s="760"/>
      <c r="F257" s="761"/>
      <c r="G257" s="761"/>
      <c r="H257" s="762"/>
      <c r="I257" s="759"/>
      <c r="J257" s="759"/>
      <c r="K257" s="760"/>
      <c r="L257" s="761"/>
      <c r="M257" s="761"/>
      <c r="N257" s="762"/>
      <c r="O257" s="759"/>
      <c r="P257" s="759"/>
      <c r="Q257" s="760"/>
      <c r="R257" s="761"/>
      <c r="S257" s="761"/>
      <c r="T257" s="762"/>
      <c r="U257" s="759"/>
      <c r="V257" s="759"/>
      <c r="W257" s="760"/>
      <c r="X257" s="761"/>
      <c r="Y257" s="761"/>
      <c r="Z257" s="762"/>
      <c r="AA257" s="759"/>
      <c r="AB257" s="759"/>
      <c r="AC257" s="760"/>
      <c r="AD257" s="761"/>
      <c r="AE257" s="761"/>
      <c r="AF257" s="762"/>
      <c r="AG257" s="759"/>
      <c r="AH257" s="759"/>
      <c r="AI257" s="760"/>
      <c r="AJ257" s="761"/>
      <c r="AK257" s="761"/>
      <c r="AL257" s="762"/>
      <c r="AM257" s="763"/>
      <c r="AN257" s="763"/>
      <c r="AO257" s="764"/>
    </row>
    <row r="258">
      <c r="A258" s="602" t="s">
        <v>1190</v>
      </c>
      <c r="B258" s="758"/>
      <c r="C258" s="759"/>
      <c r="D258" s="759"/>
      <c r="E258" s="760"/>
      <c r="F258" s="761"/>
      <c r="G258" s="761"/>
      <c r="H258" s="762"/>
      <c r="I258" s="759"/>
      <c r="J258" s="759"/>
      <c r="K258" s="760"/>
      <c r="L258" s="761"/>
      <c r="M258" s="761"/>
      <c r="N258" s="762"/>
      <c r="O258" s="759"/>
      <c r="P258" s="759"/>
      <c r="Q258" s="760"/>
      <c r="R258" s="761"/>
      <c r="S258" s="761"/>
      <c r="T258" s="762"/>
      <c r="U258" s="759"/>
      <c r="V258" s="759"/>
      <c r="W258" s="760"/>
      <c r="X258" s="761"/>
      <c r="Y258" s="761"/>
      <c r="Z258" s="762"/>
      <c r="AA258" s="759"/>
      <c r="AB258" s="759"/>
      <c r="AC258" s="760"/>
      <c r="AD258" s="761"/>
      <c r="AE258" s="761"/>
      <c r="AF258" s="762"/>
      <c r="AG258" s="759"/>
      <c r="AH258" s="759"/>
      <c r="AI258" s="760"/>
      <c r="AJ258" s="761"/>
      <c r="AK258" s="761"/>
      <c r="AL258" s="762"/>
      <c r="AM258" s="763"/>
      <c r="AN258" s="763"/>
      <c r="AO258" s="764"/>
    </row>
    <row r="259">
      <c r="A259" s="602" t="s">
        <v>1190</v>
      </c>
      <c r="B259" s="758"/>
      <c r="C259" s="759"/>
      <c r="D259" s="759"/>
      <c r="E259" s="760"/>
      <c r="F259" s="761"/>
      <c r="G259" s="761"/>
      <c r="H259" s="762"/>
      <c r="I259" s="759"/>
      <c r="J259" s="759"/>
      <c r="K259" s="760"/>
      <c r="L259" s="761"/>
      <c r="M259" s="761"/>
      <c r="N259" s="762"/>
      <c r="O259" s="759"/>
      <c r="P259" s="759"/>
      <c r="Q259" s="760"/>
      <c r="R259" s="761"/>
      <c r="S259" s="761"/>
      <c r="T259" s="762"/>
      <c r="U259" s="759"/>
      <c r="V259" s="759"/>
      <c r="W259" s="760"/>
      <c r="X259" s="761"/>
      <c r="Y259" s="761"/>
      <c r="Z259" s="762"/>
      <c r="AA259" s="759"/>
      <c r="AB259" s="759"/>
      <c r="AC259" s="760"/>
      <c r="AD259" s="761"/>
      <c r="AE259" s="761"/>
      <c r="AF259" s="762"/>
      <c r="AG259" s="759"/>
      <c r="AH259" s="759"/>
      <c r="AI259" s="760"/>
      <c r="AJ259" s="761"/>
      <c r="AK259" s="761"/>
      <c r="AL259" s="762"/>
      <c r="AM259" s="763"/>
      <c r="AN259" s="763"/>
      <c r="AO259" s="764"/>
    </row>
    <row r="260">
      <c r="A260" s="602" t="s">
        <v>1190</v>
      </c>
      <c r="B260" s="758"/>
      <c r="C260" s="759"/>
      <c r="D260" s="759"/>
      <c r="E260" s="760"/>
      <c r="F260" s="761"/>
      <c r="G260" s="761"/>
      <c r="H260" s="762"/>
      <c r="I260" s="759"/>
      <c r="J260" s="759"/>
      <c r="K260" s="760"/>
      <c r="L260" s="761"/>
      <c r="M260" s="761"/>
      <c r="N260" s="762"/>
      <c r="O260" s="759"/>
      <c r="P260" s="759"/>
      <c r="Q260" s="760"/>
      <c r="R260" s="761"/>
      <c r="S260" s="761"/>
      <c r="T260" s="762"/>
      <c r="U260" s="759"/>
      <c r="V260" s="759"/>
      <c r="W260" s="760"/>
      <c r="X260" s="761"/>
      <c r="Y260" s="761"/>
      <c r="Z260" s="762"/>
      <c r="AA260" s="759"/>
      <c r="AB260" s="759"/>
      <c r="AC260" s="760"/>
      <c r="AD260" s="761"/>
      <c r="AE260" s="761"/>
      <c r="AF260" s="762"/>
      <c r="AG260" s="759"/>
      <c r="AH260" s="759"/>
      <c r="AI260" s="760"/>
      <c r="AJ260" s="761"/>
      <c r="AK260" s="761"/>
      <c r="AL260" s="762"/>
      <c r="AM260" s="763"/>
      <c r="AN260" s="763"/>
      <c r="AO260" s="764"/>
    </row>
    <row r="261">
      <c r="A261" s="602" t="s">
        <v>1190</v>
      </c>
      <c r="B261" s="758"/>
      <c r="C261" s="759"/>
      <c r="D261" s="759"/>
      <c r="E261" s="760"/>
      <c r="F261" s="761"/>
      <c r="G261" s="761"/>
      <c r="H261" s="762"/>
      <c r="I261" s="759"/>
      <c r="J261" s="759"/>
      <c r="K261" s="760"/>
      <c r="L261" s="761"/>
      <c r="M261" s="761"/>
      <c r="N261" s="762"/>
      <c r="O261" s="759"/>
      <c r="P261" s="759"/>
      <c r="Q261" s="760"/>
      <c r="R261" s="761"/>
      <c r="S261" s="761"/>
      <c r="T261" s="762"/>
      <c r="U261" s="759"/>
      <c r="V261" s="759"/>
      <c r="W261" s="760"/>
      <c r="X261" s="761"/>
      <c r="Y261" s="761"/>
      <c r="Z261" s="762"/>
      <c r="AA261" s="759"/>
      <c r="AB261" s="759"/>
      <c r="AC261" s="760"/>
      <c r="AD261" s="761"/>
      <c r="AE261" s="761"/>
      <c r="AF261" s="762"/>
      <c r="AG261" s="759"/>
      <c r="AH261" s="759"/>
      <c r="AI261" s="760"/>
      <c r="AJ261" s="761"/>
      <c r="AK261" s="761"/>
      <c r="AL261" s="762"/>
      <c r="AM261" s="763"/>
      <c r="AN261" s="763"/>
      <c r="AO261" s="764"/>
    </row>
    <row r="262">
      <c r="A262" s="602" t="s">
        <v>1190</v>
      </c>
      <c r="B262" s="758"/>
      <c r="C262" s="759"/>
      <c r="D262" s="759"/>
      <c r="E262" s="760"/>
      <c r="F262" s="761"/>
      <c r="G262" s="761"/>
      <c r="H262" s="762"/>
      <c r="I262" s="759"/>
      <c r="J262" s="759"/>
      <c r="K262" s="760"/>
      <c r="L262" s="761"/>
      <c r="M262" s="761"/>
      <c r="N262" s="762"/>
      <c r="O262" s="759"/>
      <c r="P262" s="759"/>
      <c r="Q262" s="760"/>
      <c r="R262" s="761"/>
      <c r="S262" s="761"/>
      <c r="T262" s="762"/>
      <c r="U262" s="759"/>
      <c r="V262" s="759"/>
      <c r="W262" s="760"/>
      <c r="X262" s="761"/>
      <c r="Y262" s="761"/>
      <c r="Z262" s="762"/>
      <c r="AA262" s="759"/>
      <c r="AB262" s="759"/>
      <c r="AC262" s="760"/>
      <c r="AD262" s="761"/>
      <c r="AE262" s="761"/>
      <c r="AF262" s="762"/>
      <c r="AG262" s="759"/>
      <c r="AH262" s="759"/>
      <c r="AI262" s="760"/>
      <c r="AJ262" s="761"/>
      <c r="AK262" s="761"/>
      <c r="AL262" s="762"/>
      <c r="AM262" s="763"/>
      <c r="AN262" s="763"/>
      <c r="AO262" s="764"/>
    </row>
    <row r="263">
      <c r="A263" s="602" t="s">
        <v>1190</v>
      </c>
      <c r="B263" s="758"/>
      <c r="C263" s="759"/>
      <c r="D263" s="759"/>
      <c r="E263" s="760"/>
      <c r="F263" s="761"/>
      <c r="G263" s="761"/>
      <c r="H263" s="762"/>
      <c r="I263" s="759"/>
      <c r="J263" s="759"/>
      <c r="K263" s="760"/>
      <c r="L263" s="761"/>
      <c r="M263" s="761"/>
      <c r="N263" s="762"/>
      <c r="O263" s="759"/>
      <c r="P263" s="759"/>
      <c r="Q263" s="760"/>
      <c r="R263" s="761"/>
      <c r="S263" s="761"/>
      <c r="T263" s="762"/>
      <c r="U263" s="759"/>
      <c r="V263" s="759"/>
      <c r="W263" s="760"/>
      <c r="X263" s="761"/>
      <c r="Y263" s="761"/>
      <c r="Z263" s="762"/>
      <c r="AA263" s="759"/>
      <c r="AB263" s="759"/>
      <c r="AC263" s="760"/>
      <c r="AD263" s="761"/>
      <c r="AE263" s="761"/>
      <c r="AF263" s="762"/>
      <c r="AG263" s="759"/>
      <c r="AH263" s="759"/>
      <c r="AI263" s="760"/>
      <c r="AJ263" s="761"/>
      <c r="AK263" s="761"/>
      <c r="AL263" s="762"/>
      <c r="AM263" s="763"/>
      <c r="AN263" s="763"/>
      <c r="AO263" s="764"/>
    </row>
    <row r="264">
      <c r="A264" s="602" t="s">
        <v>1190</v>
      </c>
      <c r="B264" s="758"/>
      <c r="C264" s="759"/>
      <c r="D264" s="759"/>
      <c r="E264" s="760"/>
      <c r="F264" s="761"/>
      <c r="G264" s="761"/>
      <c r="H264" s="762"/>
      <c r="I264" s="759"/>
      <c r="J264" s="759"/>
      <c r="K264" s="760"/>
      <c r="L264" s="761"/>
      <c r="M264" s="761"/>
      <c r="N264" s="762"/>
      <c r="O264" s="759"/>
      <c r="P264" s="759"/>
      <c r="Q264" s="760"/>
      <c r="R264" s="761"/>
      <c r="S264" s="761"/>
      <c r="T264" s="762"/>
      <c r="U264" s="759"/>
      <c r="V264" s="759"/>
      <c r="W264" s="760"/>
      <c r="X264" s="761"/>
      <c r="Y264" s="761"/>
      <c r="Z264" s="762"/>
      <c r="AA264" s="759"/>
      <c r="AB264" s="759"/>
      <c r="AC264" s="760"/>
      <c r="AD264" s="761"/>
      <c r="AE264" s="761"/>
      <c r="AF264" s="762"/>
      <c r="AG264" s="759"/>
      <c r="AH264" s="759"/>
      <c r="AI264" s="760"/>
      <c r="AJ264" s="761"/>
      <c r="AK264" s="761"/>
      <c r="AL264" s="762"/>
      <c r="AM264" s="763"/>
      <c r="AN264" s="763"/>
      <c r="AO264" s="764"/>
    </row>
    <row r="265">
      <c r="A265" s="602" t="s">
        <v>1190</v>
      </c>
      <c r="B265" s="758"/>
      <c r="C265" s="759"/>
      <c r="D265" s="759"/>
      <c r="E265" s="760"/>
      <c r="F265" s="761"/>
      <c r="G265" s="761"/>
      <c r="H265" s="762"/>
      <c r="I265" s="759"/>
      <c r="J265" s="759"/>
      <c r="K265" s="760"/>
      <c r="L265" s="761"/>
      <c r="M265" s="761"/>
      <c r="N265" s="762"/>
      <c r="O265" s="759"/>
      <c r="P265" s="759"/>
      <c r="Q265" s="760"/>
      <c r="R265" s="761"/>
      <c r="S265" s="761"/>
      <c r="T265" s="762"/>
      <c r="U265" s="759"/>
      <c r="V265" s="759"/>
      <c r="W265" s="760"/>
      <c r="X265" s="761"/>
      <c r="Y265" s="761"/>
      <c r="Z265" s="762"/>
      <c r="AA265" s="759"/>
      <c r="AB265" s="759"/>
      <c r="AC265" s="760"/>
      <c r="AD265" s="761"/>
      <c r="AE265" s="761"/>
      <c r="AF265" s="762"/>
      <c r="AG265" s="759"/>
      <c r="AH265" s="759"/>
      <c r="AI265" s="760"/>
      <c r="AJ265" s="761"/>
      <c r="AK265" s="761"/>
      <c r="AL265" s="762"/>
      <c r="AM265" s="763"/>
      <c r="AN265" s="763"/>
      <c r="AO265" s="764"/>
    </row>
    <row r="266">
      <c r="A266" s="602" t="s">
        <v>1190</v>
      </c>
      <c r="B266" s="758"/>
      <c r="C266" s="759"/>
      <c r="D266" s="759"/>
      <c r="E266" s="760"/>
      <c r="F266" s="761"/>
      <c r="G266" s="761"/>
      <c r="H266" s="762"/>
      <c r="I266" s="759"/>
      <c r="J266" s="759"/>
      <c r="K266" s="760"/>
      <c r="L266" s="761"/>
      <c r="M266" s="761"/>
      <c r="N266" s="762"/>
      <c r="O266" s="759"/>
      <c r="P266" s="759"/>
      <c r="Q266" s="760"/>
      <c r="R266" s="761"/>
      <c r="S266" s="761"/>
      <c r="T266" s="762"/>
      <c r="U266" s="759"/>
      <c r="V266" s="759"/>
      <c r="W266" s="760"/>
      <c r="X266" s="761"/>
      <c r="Y266" s="761"/>
      <c r="Z266" s="762"/>
      <c r="AA266" s="759"/>
      <c r="AB266" s="759"/>
      <c r="AC266" s="760"/>
      <c r="AD266" s="761"/>
      <c r="AE266" s="761"/>
      <c r="AF266" s="762"/>
      <c r="AG266" s="759"/>
      <c r="AH266" s="759"/>
      <c r="AI266" s="760"/>
      <c r="AJ266" s="761"/>
      <c r="AK266" s="761"/>
      <c r="AL266" s="762"/>
      <c r="AM266" s="763"/>
      <c r="AN266" s="763"/>
      <c r="AO266" s="764"/>
    </row>
    <row r="267">
      <c r="A267" s="602" t="s">
        <v>1190</v>
      </c>
      <c r="B267" s="758"/>
      <c r="C267" s="759"/>
      <c r="D267" s="759"/>
      <c r="E267" s="760"/>
      <c r="F267" s="761"/>
      <c r="G267" s="761"/>
      <c r="H267" s="762"/>
      <c r="I267" s="759"/>
      <c r="J267" s="759"/>
      <c r="K267" s="760"/>
      <c r="L267" s="761"/>
      <c r="M267" s="761"/>
      <c r="N267" s="762"/>
      <c r="O267" s="759"/>
      <c r="P267" s="759"/>
      <c r="Q267" s="760"/>
      <c r="R267" s="761"/>
      <c r="S267" s="761"/>
      <c r="T267" s="762"/>
      <c r="U267" s="759"/>
      <c r="V267" s="759"/>
      <c r="W267" s="760"/>
      <c r="X267" s="761"/>
      <c r="Y267" s="761"/>
      <c r="Z267" s="762"/>
      <c r="AA267" s="759"/>
      <c r="AB267" s="759"/>
      <c r="AC267" s="760"/>
      <c r="AD267" s="761"/>
      <c r="AE267" s="761"/>
      <c r="AF267" s="762"/>
      <c r="AG267" s="759"/>
      <c r="AH267" s="759"/>
      <c r="AI267" s="760"/>
      <c r="AJ267" s="761"/>
      <c r="AK267" s="761"/>
      <c r="AL267" s="762"/>
      <c r="AM267" s="763"/>
      <c r="AN267" s="763"/>
      <c r="AO267" s="764"/>
    </row>
    <row r="268">
      <c r="A268" s="602" t="s">
        <v>1190</v>
      </c>
      <c r="B268" s="758"/>
      <c r="C268" s="759"/>
      <c r="D268" s="759"/>
      <c r="E268" s="760"/>
      <c r="F268" s="761"/>
      <c r="G268" s="761"/>
      <c r="H268" s="762"/>
      <c r="I268" s="759"/>
      <c r="J268" s="759"/>
      <c r="K268" s="760"/>
      <c r="L268" s="761"/>
      <c r="M268" s="761"/>
      <c r="N268" s="762"/>
      <c r="O268" s="759"/>
      <c r="P268" s="759"/>
      <c r="Q268" s="760"/>
      <c r="R268" s="761"/>
      <c r="S268" s="761"/>
      <c r="T268" s="762"/>
      <c r="U268" s="759"/>
      <c r="V268" s="759"/>
      <c r="W268" s="760"/>
      <c r="X268" s="761"/>
      <c r="Y268" s="761"/>
      <c r="Z268" s="762"/>
      <c r="AA268" s="759"/>
      <c r="AB268" s="759"/>
      <c r="AC268" s="760"/>
      <c r="AD268" s="761"/>
      <c r="AE268" s="761"/>
      <c r="AF268" s="762"/>
      <c r="AG268" s="759"/>
      <c r="AH268" s="759"/>
      <c r="AI268" s="760"/>
      <c r="AJ268" s="761"/>
      <c r="AK268" s="761"/>
      <c r="AL268" s="762"/>
      <c r="AM268" s="763"/>
      <c r="AN268" s="763"/>
      <c r="AO268" s="764"/>
    </row>
    <row r="269">
      <c r="A269" s="602" t="s">
        <v>1190</v>
      </c>
      <c r="B269" s="758"/>
      <c r="C269" s="759"/>
      <c r="D269" s="759"/>
      <c r="E269" s="760"/>
      <c r="F269" s="761"/>
      <c r="G269" s="761"/>
      <c r="H269" s="762"/>
      <c r="I269" s="759"/>
      <c r="J269" s="759"/>
      <c r="K269" s="760"/>
      <c r="L269" s="761"/>
      <c r="M269" s="761"/>
      <c r="N269" s="762"/>
      <c r="O269" s="759"/>
      <c r="P269" s="759"/>
      <c r="Q269" s="760"/>
      <c r="R269" s="761"/>
      <c r="S269" s="761"/>
      <c r="T269" s="762"/>
      <c r="U269" s="759"/>
      <c r="V269" s="759"/>
      <c r="W269" s="760"/>
      <c r="X269" s="761"/>
      <c r="Y269" s="761"/>
      <c r="Z269" s="762"/>
      <c r="AA269" s="759"/>
      <c r="AB269" s="759"/>
      <c r="AC269" s="760"/>
      <c r="AD269" s="761"/>
      <c r="AE269" s="761"/>
      <c r="AF269" s="762"/>
      <c r="AG269" s="759"/>
      <c r="AH269" s="759"/>
      <c r="AI269" s="760"/>
      <c r="AJ269" s="761"/>
      <c r="AK269" s="761"/>
      <c r="AL269" s="762"/>
      <c r="AM269" s="763"/>
      <c r="AN269" s="763"/>
      <c r="AO269" s="764"/>
    </row>
    <row r="270">
      <c r="A270" s="602" t="s">
        <v>1190</v>
      </c>
      <c r="B270" s="758"/>
      <c r="C270" s="759"/>
      <c r="D270" s="759"/>
      <c r="E270" s="760"/>
      <c r="F270" s="761"/>
      <c r="G270" s="761"/>
      <c r="H270" s="762"/>
      <c r="I270" s="759"/>
      <c r="J270" s="759"/>
      <c r="K270" s="760"/>
      <c r="L270" s="761"/>
      <c r="M270" s="761"/>
      <c r="N270" s="762"/>
      <c r="O270" s="759"/>
      <c r="P270" s="759"/>
      <c r="Q270" s="760"/>
      <c r="R270" s="761"/>
      <c r="S270" s="761"/>
      <c r="T270" s="762"/>
      <c r="U270" s="759"/>
      <c r="V270" s="759"/>
      <c r="W270" s="760"/>
      <c r="X270" s="761"/>
      <c r="Y270" s="761"/>
      <c r="Z270" s="762"/>
      <c r="AA270" s="759"/>
      <c r="AB270" s="759"/>
      <c r="AC270" s="760"/>
      <c r="AD270" s="761"/>
      <c r="AE270" s="761"/>
      <c r="AF270" s="762"/>
      <c r="AG270" s="759"/>
      <c r="AH270" s="759"/>
      <c r="AI270" s="760"/>
      <c r="AJ270" s="761"/>
      <c r="AK270" s="761"/>
      <c r="AL270" s="762"/>
      <c r="AM270" s="763"/>
      <c r="AN270" s="763"/>
      <c r="AO270" s="764"/>
    </row>
    <row r="271">
      <c r="A271" s="602" t="s">
        <v>1190</v>
      </c>
      <c r="B271" s="758"/>
      <c r="C271" s="759"/>
      <c r="D271" s="759"/>
      <c r="E271" s="760"/>
      <c r="F271" s="761"/>
      <c r="G271" s="761"/>
      <c r="H271" s="762"/>
      <c r="I271" s="759"/>
      <c r="J271" s="759"/>
      <c r="K271" s="760"/>
      <c r="L271" s="761"/>
      <c r="M271" s="761"/>
      <c r="N271" s="762"/>
      <c r="O271" s="759"/>
      <c r="P271" s="759"/>
      <c r="Q271" s="760"/>
      <c r="R271" s="761"/>
      <c r="S271" s="761"/>
      <c r="T271" s="762"/>
      <c r="U271" s="759"/>
      <c r="V271" s="759"/>
      <c r="W271" s="760"/>
      <c r="X271" s="761"/>
      <c r="Y271" s="761"/>
      <c r="Z271" s="762"/>
      <c r="AA271" s="759"/>
      <c r="AB271" s="759"/>
      <c r="AC271" s="760"/>
      <c r="AD271" s="761"/>
      <c r="AE271" s="761"/>
      <c r="AF271" s="762"/>
      <c r="AG271" s="759"/>
      <c r="AH271" s="759"/>
      <c r="AI271" s="760"/>
      <c r="AJ271" s="761"/>
      <c r="AK271" s="761"/>
      <c r="AL271" s="762"/>
      <c r="AM271" s="763"/>
      <c r="AN271" s="763"/>
      <c r="AO271" s="764"/>
    </row>
    <row r="272">
      <c r="A272" s="602" t="s">
        <v>1190</v>
      </c>
      <c r="B272" s="758"/>
      <c r="C272" s="759"/>
      <c r="D272" s="759"/>
      <c r="E272" s="760"/>
      <c r="F272" s="761"/>
      <c r="G272" s="761"/>
      <c r="H272" s="762"/>
      <c r="I272" s="759"/>
      <c r="J272" s="759"/>
      <c r="K272" s="760"/>
      <c r="L272" s="761"/>
      <c r="M272" s="761"/>
      <c r="N272" s="762"/>
      <c r="O272" s="759"/>
      <c r="P272" s="759"/>
      <c r="Q272" s="760"/>
      <c r="R272" s="761"/>
      <c r="S272" s="761"/>
      <c r="T272" s="762"/>
      <c r="U272" s="759"/>
      <c r="V272" s="759"/>
      <c r="W272" s="760"/>
      <c r="X272" s="761"/>
      <c r="Y272" s="761"/>
      <c r="Z272" s="762"/>
      <c r="AA272" s="759"/>
      <c r="AB272" s="759"/>
      <c r="AC272" s="760"/>
      <c r="AD272" s="761"/>
      <c r="AE272" s="761"/>
      <c r="AF272" s="762"/>
      <c r="AG272" s="759"/>
      <c r="AH272" s="759"/>
      <c r="AI272" s="760"/>
      <c r="AJ272" s="761"/>
      <c r="AK272" s="761"/>
      <c r="AL272" s="762"/>
      <c r="AM272" s="763"/>
      <c r="AN272" s="763"/>
      <c r="AO272" s="764"/>
    </row>
    <row r="273">
      <c r="A273" s="602" t="s">
        <v>1190</v>
      </c>
      <c r="B273" s="758"/>
      <c r="C273" s="759"/>
      <c r="D273" s="759"/>
      <c r="E273" s="760"/>
      <c r="F273" s="761"/>
      <c r="G273" s="761"/>
      <c r="H273" s="762"/>
      <c r="I273" s="759"/>
      <c r="J273" s="759"/>
      <c r="K273" s="760"/>
      <c r="L273" s="761"/>
      <c r="M273" s="761"/>
      <c r="N273" s="762"/>
      <c r="O273" s="759"/>
      <c r="P273" s="759"/>
      <c r="Q273" s="760"/>
      <c r="R273" s="761"/>
      <c r="S273" s="761"/>
      <c r="T273" s="762"/>
      <c r="U273" s="759"/>
      <c r="V273" s="759"/>
      <c r="W273" s="760"/>
      <c r="X273" s="761"/>
      <c r="Y273" s="761"/>
      <c r="Z273" s="762"/>
      <c r="AA273" s="759"/>
      <c r="AB273" s="759"/>
      <c r="AC273" s="760"/>
      <c r="AD273" s="761"/>
      <c r="AE273" s="761"/>
      <c r="AF273" s="762"/>
      <c r="AG273" s="759"/>
      <c r="AH273" s="759"/>
      <c r="AI273" s="760"/>
      <c r="AJ273" s="761"/>
      <c r="AK273" s="761"/>
      <c r="AL273" s="762"/>
      <c r="AM273" s="763"/>
      <c r="AN273" s="763"/>
      <c r="AO273" s="764"/>
    </row>
    <row r="274">
      <c r="A274" s="602" t="s">
        <v>1190</v>
      </c>
      <c r="B274" s="758"/>
      <c r="C274" s="759"/>
      <c r="D274" s="759"/>
      <c r="E274" s="760"/>
      <c r="F274" s="761"/>
      <c r="G274" s="761"/>
      <c r="H274" s="762"/>
      <c r="I274" s="759"/>
      <c r="J274" s="759"/>
      <c r="K274" s="760"/>
      <c r="L274" s="761"/>
      <c r="M274" s="761"/>
      <c r="N274" s="762"/>
      <c r="O274" s="759"/>
      <c r="P274" s="759"/>
      <c r="Q274" s="760"/>
      <c r="R274" s="761"/>
      <c r="S274" s="761"/>
      <c r="T274" s="762"/>
      <c r="U274" s="759"/>
      <c r="V274" s="759"/>
      <c r="W274" s="760"/>
      <c r="X274" s="761"/>
      <c r="Y274" s="761"/>
      <c r="Z274" s="762"/>
      <c r="AA274" s="759"/>
      <c r="AB274" s="759"/>
      <c r="AC274" s="760"/>
      <c r="AD274" s="761"/>
      <c r="AE274" s="761"/>
      <c r="AF274" s="762"/>
      <c r="AG274" s="759"/>
      <c r="AH274" s="759"/>
      <c r="AI274" s="760"/>
      <c r="AJ274" s="761"/>
      <c r="AK274" s="761"/>
      <c r="AL274" s="762"/>
      <c r="AM274" s="763"/>
      <c r="AN274" s="763"/>
      <c r="AO274" s="764"/>
    </row>
    <row r="275">
      <c r="A275" s="602" t="s">
        <v>1190</v>
      </c>
      <c r="B275" s="758"/>
      <c r="C275" s="759"/>
      <c r="D275" s="759"/>
      <c r="E275" s="760"/>
      <c r="F275" s="761"/>
      <c r="G275" s="761"/>
      <c r="H275" s="762"/>
      <c r="I275" s="759"/>
      <c r="J275" s="759"/>
      <c r="K275" s="760"/>
      <c r="L275" s="761"/>
      <c r="M275" s="761"/>
      <c r="N275" s="762"/>
      <c r="O275" s="759"/>
      <c r="P275" s="759"/>
      <c r="Q275" s="760"/>
      <c r="R275" s="761"/>
      <c r="S275" s="761"/>
      <c r="T275" s="762"/>
      <c r="U275" s="759"/>
      <c r="V275" s="759"/>
      <c r="W275" s="760"/>
      <c r="X275" s="761"/>
      <c r="Y275" s="761"/>
      <c r="Z275" s="762"/>
      <c r="AA275" s="759"/>
      <c r="AB275" s="759"/>
      <c r="AC275" s="760"/>
      <c r="AD275" s="761"/>
      <c r="AE275" s="761"/>
      <c r="AF275" s="762"/>
      <c r="AG275" s="759"/>
      <c r="AH275" s="759"/>
      <c r="AI275" s="760"/>
      <c r="AJ275" s="761"/>
      <c r="AK275" s="761"/>
      <c r="AL275" s="762"/>
      <c r="AM275" s="763"/>
      <c r="AN275" s="763"/>
      <c r="AO275" s="764"/>
    </row>
    <row r="276">
      <c r="A276" s="602" t="s">
        <v>1190</v>
      </c>
      <c r="B276" s="758"/>
      <c r="C276" s="759"/>
      <c r="D276" s="759"/>
      <c r="E276" s="760"/>
      <c r="F276" s="761"/>
      <c r="G276" s="761"/>
      <c r="H276" s="762"/>
      <c r="I276" s="759"/>
      <c r="J276" s="759"/>
      <c r="K276" s="760"/>
      <c r="L276" s="761"/>
      <c r="M276" s="761"/>
      <c r="N276" s="762"/>
      <c r="O276" s="759"/>
      <c r="P276" s="759"/>
      <c r="Q276" s="760"/>
      <c r="R276" s="761"/>
      <c r="S276" s="761"/>
      <c r="T276" s="762"/>
      <c r="U276" s="759"/>
      <c r="V276" s="759"/>
      <c r="W276" s="760"/>
      <c r="X276" s="761"/>
      <c r="Y276" s="761"/>
      <c r="Z276" s="762"/>
      <c r="AA276" s="759"/>
      <c r="AB276" s="759"/>
      <c r="AC276" s="760"/>
      <c r="AD276" s="761"/>
      <c r="AE276" s="761"/>
      <c r="AF276" s="762"/>
      <c r="AG276" s="759"/>
      <c r="AH276" s="759"/>
      <c r="AI276" s="760"/>
      <c r="AJ276" s="761"/>
      <c r="AK276" s="761"/>
      <c r="AL276" s="762"/>
      <c r="AM276" s="763"/>
      <c r="AN276" s="763"/>
      <c r="AO276" s="764"/>
    </row>
    <row r="277">
      <c r="A277" s="602" t="s">
        <v>1190</v>
      </c>
      <c r="B277" s="758"/>
      <c r="C277" s="759"/>
      <c r="D277" s="759"/>
      <c r="E277" s="760"/>
      <c r="F277" s="761"/>
      <c r="G277" s="761"/>
      <c r="H277" s="762"/>
      <c r="I277" s="759"/>
      <c r="J277" s="759"/>
      <c r="K277" s="760"/>
      <c r="L277" s="761"/>
      <c r="M277" s="761"/>
      <c r="N277" s="762"/>
      <c r="O277" s="759"/>
      <c r="P277" s="759"/>
      <c r="Q277" s="760"/>
      <c r="R277" s="761"/>
      <c r="S277" s="761"/>
      <c r="T277" s="762"/>
      <c r="U277" s="759"/>
      <c r="V277" s="759"/>
      <c r="W277" s="760"/>
      <c r="X277" s="761"/>
      <c r="Y277" s="761"/>
      <c r="Z277" s="762"/>
      <c r="AA277" s="759"/>
      <c r="AB277" s="759"/>
      <c r="AC277" s="760"/>
      <c r="AD277" s="761"/>
      <c r="AE277" s="761"/>
      <c r="AF277" s="762"/>
      <c r="AG277" s="759"/>
      <c r="AH277" s="759"/>
      <c r="AI277" s="760"/>
      <c r="AJ277" s="761"/>
      <c r="AK277" s="761"/>
      <c r="AL277" s="762"/>
      <c r="AM277" s="763"/>
      <c r="AN277" s="763"/>
      <c r="AO277" s="764"/>
    </row>
    <row r="278">
      <c r="A278" s="602" t="s">
        <v>1190</v>
      </c>
      <c r="B278" s="758"/>
      <c r="C278" s="759"/>
      <c r="D278" s="759"/>
      <c r="E278" s="760"/>
      <c r="F278" s="761"/>
      <c r="G278" s="761"/>
      <c r="H278" s="762"/>
      <c r="I278" s="759"/>
      <c r="J278" s="759"/>
      <c r="K278" s="760"/>
      <c r="L278" s="761"/>
      <c r="M278" s="761"/>
      <c r="N278" s="762"/>
      <c r="O278" s="759"/>
      <c r="P278" s="759"/>
      <c r="Q278" s="760"/>
      <c r="R278" s="761"/>
      <c r="S278" s="761"/>
      <c r="T278" s="762"/>
      <c r="U278" s="759"/>
      <c r="V278" s="759"/>
      <c r="W278" s="760"/>
      <c r="X278" s="761"/>
      <c r="Y278" s="761"/>
      <c r="Z278" s="762"/>
      <c r="AA278" s="759"/>
      <c r="AB278" s="759"/>
      <c r="AC278" s="760"/>
      <c r="AD278" s="761"/>
      <c r="AE278" s="761"/>
      <c r="AF278" s="762"/>
      <c r="AG278" s="759"/>
      <c r="AH278" s="759"/>
      <c r="AI278" s="760"/>
      <c r="AJ278" s="761"/>
      <c r="AK278" s="761"/>
      <c r="AL278" s="762"/>
      <c r="AM278" s="763"/>
      <c r="AN278" s="763"/>
      <c r="AO278" s="764"/>
    </row>
    <row r="279">
      <c r="A279" s="602" t="s">
        <v>1190</v>
      </c>
      <c r="B279" s="758"/>
      <c r="C279" s="759"/>
      <c r="D279" s="759"/>
      <c r="E279" s="760"/>
      <c r="F279" s="761"/>
      <c r="G279" s="761"/>
      <c r="H279" s="762"/>
      <c r="I279" s="759"/>
      <c r="J279" s="759"/>
      <c r="K279" s="760"/>
      <c r="L279" s="761"/>
      <c r="M279" s="761"/>
      <c r="N279" s="762"/>
      <c r="O279" s="759"/>
      <c r="P279" s="759"/>
      <c r="Q279" s="760"/>
      <c r="R279" s="761"/>
      <c r="S279" s="761"/>
      <c r="T279" s="762"/>
      <c r="U279" s="759"/>
      <c r="V279" s="759"/>
      <c r="W279" s="760"/>
      <c r="X279" s="761"/>
      <c r="Y279" s="761"/>
      <c r="Z279" s="762"/>
      <c r="AA279" s="759"/>
      <c r="AB279" s="759"/>
      <c r="AC279" s="760"/>
      <c r="AD279" s="761"/>
      <c r="AE279" s="761"/>
      <c r="AF279" s="762"/>
      <c r="AG279" s="759"/>
      <c r="AH279" s="759"/>
      <c r="AI279" s="760"/>
      <c r="AJ279" s="761"/>
      <c r="AK279" s="761"/>
      <c r="AL279" s="762"/>
      <c r="AM279" s="763"/>
      <c r="AN279" s="763"/>
      <c r="AO279" s="764"/>
    </row>
    <row r="280">
      <c r="A280" s="602" t="s">
        <v>1190</v>
      </c>
      <c r="B280" s="758"/>
      <c r="C280" s="759"/>
      <c r="D280" s="759"/>
      <c r="E280" s="760"/>
      <c r="F280" s="761"/>
      <c r="G280" s="761"/>
      <c r="H280" s="762"/>
      <c r="I280" s="759"/>
      <c r="J280" s="759"/>
      <c r="K280" s="760"/>
      <c r="L280" s="761"/>
      <c r="M280" s="761"/>
      <c r="N280" s="762"/>
      <c r="O280" s="759"/>
      <c r="P280" s="759"/>
      <c r="Q280" s="760"/>
      <c r="R280" s="761"/>
      <c r="S280" s="761"/>
      <c r="T280" s="762"/>
      <c r="U280" s="759"/>
      <c r="V280" s="759"/>
      <c r="W280" s="760"/>
      <c r="X280" s="761"/>
      <c r="Y280" s="761"/>
      <c r="Z280" s="762"/>
      <c r="AA280" s="759"/>
      <c r="AB280" s="759"/>
      <c r="AC280" s="760"/>
      <c r="AD280" s="761"/>
      <c r="AE280" s="761"/>
      <c r="AF280" s="762"/>
      <c r="AG280" s="759"/>
      <c r="AH280" s="759"/>
      <c r="AI280" s="760"/>
      <c r="AJ280" s="761"/>
      <c r="AK280" s="761"/>
      <c r="AL280" s="762"/>
      <c r="AM280" s="763"/>
      <c r="AN280" s="763"/>
      <c r="AO280" s="764"/>
    </row>
    <row r="281">
      <c r="A281" s="602" t="s">
        <v>1190</v>
      </c>
      <c r="B281" s="758"/>
      <c r="C281" s="759"/>
      <c r="D281" s="759"/>
      <c r="E281" s="760"/>
      <c r="F281" s="761"/>
      <c r="G281" s="761"/>
      <c r="H281" s="762"/>
      <c r="I281" s="759"/>
      <c r="J281" s="759"/>
      <c r="K281" s="760"/>
      <c r="L281" s="761"/>
      <c r="M281" s="761"/>
      <c r="N281" s="762"/>
      <c r="O281" s="759"/>
      <c r="P281" s="759"/>
      <c r="Q281" s="760"/>
      <c r="R281" s="761"/>
      <c r="S281" s="761"/>
      <c r="T281" s="762"/>
      <c r="U281" s="759"/>
      <c r="V281" s="759"/>
      <c r="W281" s="760"/>
      <c r="X281" s="761"/>
      <c r="Y281" s="761"/>
      <c r="Z281" s="762"/>
      <c r="AA281" s="759"/>
      <c r="AB281" s="759"/>
      <c r="AC281" s="760"/>
      <c r="AD281" s="761"/>
      <c r="AE281" s="761"/>
      <c r="AF281" s="762"/>
      <c r="AG281" s="759"/>
      <c r="AH281" s="759"/>
      <c r="AI281" s="760"/>
      <c r="AJ281" s="761"/>
      <c r="AK281" s="761"/>
      <c r="AL281" s="762"/>
      <c r="AM281" s="763"/>
      <c r="AN281" s="763"/>
      <c r="AO281" s="764"/>
    </row>
    <row r="282">
      <c r="A282" s="602" t="s">
        <v>1190</v>
      </c>
      <c r="B282" s="758"/>
      <c r="C282" s="759"/>
      <c r="D282" s="759"/>
      <c r="E282" s="760"/>
      <c r="F282" s="761"/>
      <c r="G282" s="761"/>
      <c r="H282" s="762"/>
      <c r="I282" s="759"/>
      <c r="J282" s="759"/>
      <c r="K282" s="760"/>
      <c r="L282" s="761"/>
      <c r="M282" s="761"/>
      <c r="N282" s="762"/>
      <c r="O282" s="759"/>
      <c r="P282" s="759"/>
      <c r="Q282" s="760"/>
      <c r="R282" s="761"/>
      <c r="S282" s="761"/>
      <c r="T282" s="762"/>
      <c r="U282" s="759"/>
      <c r="V282" s="759"/>
      <c r="W282" s="760"/>
      <c r="X282" s="761"/>
      <c r="Y282" s="761"/>
      <c r="Z282" s="762"/>
      <c r="AA282" s="759"/>
      <c r="AB282" s="759"/>
      <c r="AC282" s="760"/>
      <c r="AD282" s="761"/>
      <c r="AE282" s="761"/>
      <c r="AF282" s="762"/>
      <c r="AG282" s="759"/>
      <c r="AH282" s="759"/>
      <c r="AI282" s="760"/>
      <c r="AJ282" s="761"/>
      <c r="AK282" s="761"/>
      <c r="AL282" s="762"/>
      <c r="AM282" s="763"/>
      <c r="AN282" s="763"/>
      <c r="AO282" s="764"/>
    </row>
    <row r="283">
      <c r="A283" s="602" t="s">
        <v>1190</v>
      </c>
      <c r="B283" s="758"/>
      <c r="C283" s="759"/>
      <c r="D283" s="759"/>
      <c r="E283" s="760"/>
      <c r="F283" s="761"/>
      <c r="G283" s="761"/>
      <c r="H283" s="762"/>
      <c r="I283" s="759"/>
      <c r="J283" s="759"/>
      <c r="K283" s="760"/>
      <c r="L283" s="761"/>
      <c r="M283" s="761"/>
      <c r="N283" s="762"/>
      <c r="O283" s="759"/>
      <c r="P283" s="759"/>
      <c r="Q283" s="760"/>
      <c r="R283" s="761"/>
      <c r="S283" s="761"/>
      <c r="T283" s="762"/>
      <c r="U283" s="759"/>
      <c r="V283" s="759"/>
      <c r="W283" s="760"/>
      <c r="X283" s="761"/>
      <c r="Y283" s="761"/>
      <c r="Z283" s="762"/>
      <c r="AA283" s="759"/>
      <c r="AB283" s="759"/>
      <c r="AC283" s="760"/>
      <c r="AD283" s="761"/>
      <c r="AE283" s="761"/>
      <c r="AF283" s="762"/>
      <c r="AG283" s="759"/>
      <c r="AH283" s="759"/>
      <c r="AI283" s="760"/>
      <c r="AJ283" s="761"/>
      <c r="AK283" s="761"/>
      <c r="AL283" s="762"/>
      <c r="AM283" s="763"/>
      <c r="AN283" s="763"/>
      <c r="AO283" s="764"/>
    </row>
    <row r="284">
      <c r="A284" s="602" t="s">
        <v>1190</v>
      </c>
      <c r="B284" s="758"/>
      <c r="C284" s="759"/>
      <c r="D284" s="759"/>
      <c r="E284" s="760"/>
      <c r="F284" s="761"/>
      <c r="G284" s="761"/>
      <c r="H284" s="762"/>
      <c r="I284" s="759"/>
      <c r="J284" s="759"/>
      <c r="K284" s="760"/>
      <c r="L284" s="761"/>
      <c r="M284" s="761"/>
      <c r="N284" s="762"/>
      <c r="O284" s="759"/>
      <c r="P284" s="759"/>
      <c r="Q284" s="760"/>
      <c r="R284" s="761"/>
      <c r="S284" s="761"/>
      <c r="T284" s="762"/>
      <c r="U284" s="759"/>
      <c r="V284" s="759"/>
      <c r="W284" s="760"/>
      <c r="X284" s="761"/>
      <c r="Y284" s="761"/>
      <c r="Z284" s="762"/>
      <c r="AA284" s="759"/>
      <c r="AB284" s="759"/>
      <c r="AC284" s="760"/>
      <c r="AD284" s="761"/>
      <c r="AE284" s="761"/>
      <c r="AF284" s="762"/>
      <c r="AG284" s="759"/>
      <c r="AH284" s="759"/>
      <c r="AI284" s="760"/>
      <c r="AJ284" s="761"/>
      <c r="AK284" s="761"/>
      <c r="AL284" s="762"/>
      <c r="AM284" s="763"/>
      <c r="AN284" s="763"/>
      <c r="AO284" s="764"/>
    </row>
    <row r="285">
      <c r="A285" s="602" t="s">
        <v>1190</v>
      </c>
      <c r="B285" s="758"/>
      <c r="C285" s="759"/>
      <c r="D285" s="759"/>
      <c r="E285" s="760"/>
      <c r="F285" s="761"/>
      <c r="G285" s="761"/>
      <c r="H285" s="762"/>
      <c r="I285" s="759"/>
      <c r="J285" s="759"/>
      <c r="K285" s="760"/>
      <c r="L285" s="761"/>
      <c r="M285" s="761"/>
      <c r="N285" s="762"/>
      <c r="O285" s="759"/>
      <c r="P285" s="759"/>
      <c r="Q285" s="760"/>
      <c r="R285" s="761"/>
      <c r="S285" s="761"/>
      <c r="T285" s="762"/>
      <c r="U285" s="759"/>
      <c r="V285" s="759"/>
      <c r="W285" s="760"/>
      <c r="X285" s="761"/>
      <c r="Y285" s="761"/>
      <c r="Z285" s="762"/>
      <c r="AA285" s="759"/>
      <c r="AB285" s="759"/>
      <c r="AC285" s="760"/>
      <c r="AD285" s="761"/>
      <c r="AE285" s="761"/>
      <c r="AF285" s="762"/>
      <c r="AG285" s="759"/>
      <c r="AH285" s="759"/>
      <c r="AI285" s="760"/>
      <c r="AJ285" s="761"/>
      <c r="AK285" s="761"/>
      <c r="AL285" s="762"/>
      <c r="AM285" s="763"/>
      <c r="AN285" s="763"/>
      <c r="AO285" s="764"/>
    </row>
    <row r="286">
      <c r="A286" s="602" t="s">
        <v>1190</v>
      </c>
      <c r="B286" s="758"/>
      <c r="C286" s="759"/>
      <c r="D286" s="759"/>
      <c r="E286" s="760"/>
      <c r="F286" s="761"/>
      <c r="G286" s="761"/>
      <c r="H286" s="762"/>
      <c r="I286" s="759"/>
      <c r="J286" s="759"/>
      <c r="K286" s="760"/>
      <c r="L286" s="761"/>
      <c r="M286" s="761"/>
      <c r="N286" s="762"/>
      <c r="O286" s="759"/>
      <c r="P286" s="759"/>
      <c r="Q286" s="760"/>
      <c r="R286" s="761"/>
      <c r="S286" s="761"/>
      <c r="T286" s="762"/>
      <c r="U286" s="759"/>
      <c r="V286" s="759"/>
      <c r="W286" s="760"/>
      <c r="X286" s="761"/>
      <c r="Y286" s="761"/>
      <c r="Z286" s="762"/>
      <c r="AA286" s="759"/>
      <c r="AB286" s="759"/>
      <c r="AC286" s="760"/>
      <c r="AD286" s="761"/>
      <c r="AE286" s="761"/>
      <c r="AF286" s="762"/>
      <c r="AG286" s="759"/>
      <c r="AH286" s="759"/>
      <c r="AI286" s="760"/>
      <c r="AJ286" s="761"/>
      <c r="AK286" s="761"/>
      <c r="AL286" s="762"/>
      <c r="AM286" s="763"/>
      <c r="AN286" s="763"/>
      <c r="AO286" s="764"/>
    </row>
    <row r="287">
      <c r="A287" s="602" t="s">
        <v>1190</v>
      </c>
      <c r="B287" s="758"/>
      <c r="C287" s="759"/>
      <c r="D287" s="759"/>
      <c r="E287" s="760"/>
      <c r="F287" s="761"/>
      <c r="G287" s="761"/>
      <c r="H287" s="762"/>
      <c r="I287" s="759"/>
      <c r="J287" s="759"/>
      <c r="K287" s="760"/>
      <c r="L287" s="761"/>
      <c r="M287" s="761"/>
      <c r="N287" s="762"/>
      <c r="O287" s="759"/>
      <c r="P287" s="759"/>
      <c r="Q287" s="760"/>
      <c r="R287" s="761"/>
      <c r="S287" s="761"/>
      <c r="T287" s="762"/>
      <c r="U287" s="759"/>
      <c r="V287" s="759"/>
      <c r="W287" s="760"/>
      <c r="X287" s="761"/>
      <c r="Y287" s="761"/>
      <c r="Z287" s="762"/>
      <c r="AA287" s="759"/>
      <c r="AB287" s="759"/>
      <c r="AC287" s="760"/>
      <c r="AD287" s="761"/>
      <c r="AE287" s="761"/>
      <c r="AF287" s="762"/>
      <c r="AG287" s="759"/>
      <c r="AH287" s="759"/>
      <c r="AI287" s="760"/>
      <c r="AJ287" s="761"/>
      <c r="AK287" s="761"/>
      <c r="AL287" s="762"/>
      <c r="AM287" s="763"/>
      <c r="AN287" s="763"/>
      <c r="AO287" s="764"/>
    </row>
    <row r="288">
      <c r="A288" s="602" t="s">
        <v>1190</v>
      </c>
      <c r="B288" s="758"/>
      <c r="C288" s="759"/>
      <c r="D288" s="759"/>
      <c r="E288" s="760"/>
      <c r="F288" s="761"/>
      <c r="G288" s="761"/>
      <c r="H288" s="762"/>
      <c r="I288" s="759"/>
      <c r="J288" s="759"/>
      <c r="K288" s="760"/>
      <c r="L288" s="761"/>
      <c r="M288" s="761"/>
      <c r="N288" s="762"/>
      <c r="O288" s="759"/>
      <c r="P288" s="759"/>
      <c r="Q288" s="760"/>
      <c r="R288" s="761"/>
      <c r="S288" s="761"/>
      <c r="T288" s="762"/>
      <c r="U288" s="759"/>
      <c r="V288" s="759"/>
      <c r="W288" s="760"/>
      <c r="X288" s="761"/>
      <c r="Y288" s="761"/>
      <c r="Z288" s="762"/>
      <c r="AA288" s="759"/>
      <c r="AB288" s="759"/>
      <c r="AC288" s="760"/>
      <c r="AD288" s="761"/>
      <c r="AE288" s="761"/>
      <c r="AF288" s="762"/>
      <c r="AG288" s="759"/>
      <c r="AH288" s="759"/>
      <c r="AI288" s="760"/>
      <c r="AJ288" s="761"/>
      <c r="AK288" s="761"/>
      <c r="AL288" s="762"/>
      <c r="AM288" s="763"/>
      <c r="AN288" s="763"/>
      <c r="AO288" s="764"/>
    </row>
    <row r="289">
      <c r="A289" s="602" t="s">
        <v>1190</v>
      </c>
      <c r="B289" s="758"/>
      <c r="C289" s="759"/>
      <c r="D289" s="759"/>
      <c r="E289" s="760"/>
      <c r="F289" s="761"/>
      <c r="G289" s="761"/>
      <c r="H289" s="762"/>
      <c r="I289" s="759"/>
      <c r="J289" s="759"/>
      <c r="K289" s="760"/>
      <c r="L289" s="761"/>
      <c r="M289" s="761"/>
      <c r="N289" s="762"/>
      <c r="O289" s="759"/>
      <c r="P289" s="759"/>
      <c r="Q289" s="760"/>
      <c r="R289" s="761"/>
      <c r="S289" s="761"/>
      <c r="T289" s="762"/>
      <c r="U289" s="759"/>
      <c r="V289" s="759"/>
      <c r="W289" s="760"/>
      <c r="X289" s="761"/>
      <c r="Y289" s="761"/>
      <c r="Z289" s="762"/>
      <c r="AA289" s="759"/>
      <c r="AB289" s="759"/>
      <c r="AC289" s="760"/>
      <c r="AD289" s="761"/>
      <c r="AE289" s="761"/>
      <c r="AF289" s="762"/>
      <c r="AG289" s="759"/>
      <c r="AH289" s="759"/>
      <c r="AI289" s="760"/>
      <c r="AJ289" s="761"/>
      <c r="AK289" s="761"/>
      <c r="AL289" s="762"/>
      <c r="AM289" s="763"/>
      <c r="AN289" s="763"/>
      <c r="AO289" s="764"/>
    </row>
    <row r="290">
      <c r="A290" s="602" t="s">
        <v>1190</v>
      </c>
      <c r="B290" s="758"/>
      <c r="C290" s="759"/>
      <c r="D290" s="759"/>
      <c r="E290" s="760"/>
      <c r="F290" s="761"/>
      <c r="G290" s="761"/>
      <c r="H290" s="762"/>
      <c r="I290" s="759"/>
      <c r="J290" s="759"/>
      <c r="K290" s="760"/>
      <c r="L290" s="761"/>
      <c r="M290" s="761"/>
      <c r="N290" s="762"/>
      <c r="O290" s="759"/>
      <c r="P290" s="759"/>
      <c r="Q290" s="760"/>
      <c r="R290" s="761"/>
      <c r="S290" s="761"/>
      <c r="T290" s="762"/>
      <c r="U290" s="759"/>
      <c r="V290" s="759"/>
      <c r="W290" s="760"/>
      <c r="X290" s="761"/>
      <c r="Y290" s="761"/>
      <c r="Z290" s="762"/>
      <c r="AA290" s="759"/>
      <c r="AB290" s="759"/>
      <c r="AC290" s="760"/>
      <c r="AD290" s="761"/>
      <c r="AE290" s="761"/>
      <c r="AF290" s="762"/>
      <c r="AG290" s="759"/>
      <c r="AH290" s="759"/>
      <c r="AI290" s="760"/>
      <c r="AJ290" s="761"/>
      <c r="AK290" s="761"/>
      <c r="AL290" s="762"/>
      <c r="AM290" s="763"/>
      <c r="AN290" s="763"/>
      <c r="AO290" s="764"/>
    </row>
    <row r="291">
      <c r="A291" s="602" t="s">
        <v>1190</v>
      </c>
      <c r="B291" s="758"/>
      <c r="C291" s="759"/>
      <c r="D291" s="759"/>
      <c r="E291" s="760"/>
      <c r="F291" s="761"/>
      <c r="G291" s="761"/>
      <c r="H291" s="762"/>
      <c r="I291" s="759"/>
      <c r="J291" s="759"/>
      <c r="K291" s="760"/>
      <c r="L291" s="761"/>
      <c r="M291" s="761"/>
      <c r="N291" s="762"/>
      <c r="O291" s="759"/>
      <c r="P291" s="759"/>
      <c r="Q291" s="760"/>
      <c r="R291" s="761"/>
      <c r="S291" s="761"/>
      <c r="T291" s="762"/>
      <c r="U291" s="759"/>
      <c r="V291" s="759"/>
      <c r="W291" s="760"/>
      <c r="X291" s="761"/>
      <c r="Y291" s="761"/>
      <c r="Z291" s="762"/>
      <c r="AA291" s="759"/>
      <c r="AB291" s="759"/>
      <c r="AC291" s="760"/>
      <c r="AD291" s="761"/>
      <c r="AE291" s="761"/>
      <c r="AF291" s="762"/>
      <c r="AG291" s="759"/>
      <c r="AH291" s="759"/>
      <c r="AI291" s="760"/>
      <c r="AJ291" s="761"/>
      <c r="AK291" s="761"/>
      <c r="AL291" s="762"/>
      <c r="AM291" s="763"/>
      <c r="AN291" s="763"/>
      <c r="AO291" s="764"/>
    </row>
    <row r="292">
      <c r="A292" s="602" t="s">
        <v>1190</v>
      </c>
      <c r="B292" s="758"/>
      <c r="C292" s="759"/>
      <c r="D292" s="759"/>
      <c r="E292" s="760"/>
      <c r="F292" s="761"/>
      <c r="G292" s="761"/>
      <c r="H292" s="762"/>
      <c r="I292" s="759"/>
      <c r="J292" s="759"/>
      <c r="K292" s="760"/>
      <c r="L292" s="761"/>
      <c r="M292" s="761"/>
      <c r="N292" s="762"/>
      <c r="O292" s="759"/>
      <c r="P292" s="759"/>
      <c r="Q292" s="760"/>
      <c r="R292" s="761"/>
      <c r="S292" s="761"/>
      <c r="T292" s="762"/>
      <c r="U292" s="759"/>
      <c r="V292" s="759"/>
      <c r="W292" s="760"/>
      <c r="X292" s="761"/>
      <c r="Y292" s="761"/>
      <c r="Z292" s="762"/>
      <c r="AA292" s="759"/>
      <c r="AB292" s="759"/>
      <c r="AC292" s="760"/>
      <c r="AD292" s="761"/>
      <c r="AE292" s="761"/>
      <c r="AF292" s="762"/>
      <c r="AG292" s="759"/>
      <c r="AH292" s="759"/>
      <c r="AI292" s="760"/>
      <c r="AJ292" s="761"/>
      <c r="AK292" s="761"/>
      <c r="AL292" s="762"/>
      <c r="AM292" s="763"/>
      <c r="AN292" s="763"/>
      <c r="AO292" s="764"/>
    </row>
    <row r="293">
      <c r="A293" s="602" t="s">
        <v>1190</v>
      </c>
      <c r="B293" s="758"/>
      <c r="C293" s="759"/>
      <c r="D293" s="759"/>
      <c r="E293" s="760"/>
      <c r="F293" s="761"/>
      <c r="G293" s="761"/>
      <c r="H293" s="762"/>
      <c r="I293" s="759"/>
      <c r="J293" s="759"/>
      <c r="K293" s="760"/>
      <c r="L293" s="761"/>
      <c r="M293" s="761"/>
      <c r="N293" s="762"/>
      <c r="O293" s="759"/>
      <c r="P293" s="759"/>
      <c r="Q293" s="760"/>
      <c r="R293" s="761"/>
      <c r="S293" s="761"/>
      <c r="T293" s="762"/>
      <c r="U293" s="759"/>
      <c r="V293" s="759"/>
      <c r="W293" s="760"/>
      <c r="X293" s="761"/>
      <c r="Y293" s="761"/>
      <c r="Z293" s="762"/>
      <c r="AA293" s="759"/>
      <c r="AB293" s="759"/>
      <c r="AC293" s="760"/>
      <c r="AD293" s="761"/>
      <c r="AE293" s="761"/>
      <c r="AF293" s="762"/>
      <c r="AG293" s="759"/>
      <c r="AH293" s="759"/>
      <c r="AI293" s="760"/>
      <c r="AJ293" s="761"/>
      <c r="AK293" s="761"/>
      <c r="AL293" s="762"/>
      <c r="AM293" s="763"/>
      <c r="AN293" s="763"/>
      <c r="AO293" s="764"/>
    </row>
    <row r="294">
      <c r="A294" s="602" t="s">
        <v>1190</v>
      </c>
      <c r="B294" s="758"/>
      <c r="C294" s="759"/>
      <c r="D294" s="759"/>
      <c r="E294" s="760"/>
      <c r="F294" s="761"/>
      <c r="G294" s="761"/>
      <c r="H294" s="762"/>
      <c r="I294" s="759"/>
      <c r="J294" s="759"/>
      <c r="K294" s="760"/>
      <c r="L294" s="761"/>
      <c r="M294" s="761"/>
      <c r="N294" s="762"/>
      <c r="O294" s="759"/>
      <c r="P294" s="759"/>
      <c r="Q294" s="760"/>
      <c r="R294" s="761"/>
      <c r="S294" s="761"/>
      <c r="T294" s="762"/>
      <c r="U294" s="759"/>
      <c r="V294" s="759"/>
      <c r="W294" s="760"/>
      <c r="X294" s="761"/>
      <c r="Y294" s="761"/>
      <c r="Z294" s="762"/>
      <c r="AA294" s="759"/>
      <c r="AB294" s="759"/>
      <c r="AC294" s="760"/>
      <c r="AD294" s="761"/>
      <c r="AE294" s="761"/>
      <c r="AF294" s="762"/>
      <c r="AG294" s="759"/>
      <c r="AH294" s="759"/>
      <c r="AI294" s="760"/>
      <c r="AJ294" s="761"/>
      <c r="AK294" s="761"/>
      <c r="AL294" s="762"/>
      <c r="AM294" s="763"/>
      <c r="AN294" s="763"/>
      <c r="AO294" s="764"/>
    </row>
    <row r="295">
      <c r="A295" s="602" t="s">
        <v>1190</v>
      </c>
      <c r="B295" s="758"/>
      <c r="C295" s="759"/>
      <c r="D295" s="759"/>
      <c r="E295" s="760"/>
      <c r="F295" s="761"/>
      <c r="G295" s="761"/>
      <c r="H295" s="762"/>
      <c r="I295" s="759"/>
      <c r="J295" s="759"/>
      <c r="K295" s="760"/>
      <c r="L295" s="761"/>
      <c r="M295" s="761"/>
      <c r="N295" s="762"/>
      <c r="O295" s="759"/>
      <c r="P295" s="759"/>
      <c r="Q295" s="760"/>
      <c r="R295" s="761"/>
      <c r="S295" s="761"/>
      <c r="T295" s="762"/>
      <c r="U295" s="759"/>
      <c r="V295" s="759"/>
      <c r="W295" s="760"/>
      <c r="X295" s="761"/>
      <c r="Y295" s="761"/>
      <c r="Z295" s="762"/>
      <c r="AA295" s="759"/>
      <c r="AB295" s="759"/>
      <c r="AC295" s="760"/>
      <c r="AD295" s="761"/>
      <c r="AE295" s="761"/>
      <c r="AF295" s="762"/>
      <c r="AG295" s="759"/>
      <c r="AH295" s="759"/>
      <c r="AI295" s="760"/>
      <c r="AJ295" s="761"/>
      <c r="AK295" s="761"/>
      <c r="AL295" s="762"/>
      <c r="AM295" s="763"/>
      <c r="AN295" s="763"/>
      <c r="AO295" s="764"/>
    </row>
    <row r="296">
      <c r="A296" s="602" t="s">
        <v>1190</v>
      </c>
      <c r="B296" s="758"/>
      <c r="C296" s="759"/>
      <c r="D296" s="759"/>
      <c r="E296" s="760"/>
      <c r="F296" s="761"/>
      <c r="G296" s="761"/>
      <c r="H296" s="762"/>
      <c r="I296" s="759"/>
      <c r="J296" s="759"/>
      <c r="K296" s="760"/>
      <c r="L296" s="761"/>
      <c r="M296" s="761"/>
      <c r="N296" s="762"/>
      <c r="O296" s="759"/>
      <c r="P296" s="759"/>
      <c r="Q296" s="760"/>
      <c r="R296" s="761"/>
      <c r="S296" s="761"/>
      <c r="T296" s="762"/>
      <c r="U296" s="759"/>
      <c r="V296" s="759"/>
      <c r="W296" s="760"/>
      <c r="X296" s="761"/>
      <c r="Y296" s="761"/>
      <c r="Z296" s="762"/>
      <c r="AA296" s="759"/>
      <c r="AB296" s="759"/>
      <c r="AC296" s="760"/>
      <c r="AD296" s="761"/>
      <c r="AE296" s="761"/>
      <c r="AF296" s="762"/>
      <c r="AG296" s="759"/>
      <c r="AH296" s="759"/>
      <c r="AI296" s="760"/>
      <c r="AJ296" s="761"/>
      <c r="AK296" s="761"/>
      <c r="AL296" s="762"/>
      <c r="AM296" s="763"/>
      <c r="AN296" s="763"/>
      <c r="AO296" s="764"/>
    </row>
    <row r="297">
      <c r="A297" s="602" t="s">
        <v>1190</v>
      </c>
      <c r="B297" s="758"/>
      <c r="C297" s="759"/>
      <c r="D297" s="759"/>
      <c r="E297" s="760"/>
      <c r="F297" s="761"/>
      <c r="G297" s="761"/>
      <c r="H297" s="762"/>
      <c r="I297" s="759"/>
      <c r="J297" s="759"/>
      <c r="K297" s="760"/>
      <c r="L297" s="761"/>
      <c r="M297" s="761"/>
      <c r="N297" s="762"/>
      <c r="O297" s="759"/>
      <c r="P297" s="759"/>
      <c r="Q297" s="760"/>
      <c r="R297" s="761"/>
      <c r="S297" s="761"/>
      <c r="T297" s="762"/>
      <c r="U297" s="759"/>
      <c r="V297" s="759"/>
      <c r="W297" s="760"/>
      <c r="X297" s="761"/>
      <c r="Y297" s="761"/>
      <c r="Z297" s="762"/>
      <c r="AA297" s="759"/>
      <c r="AB297" s="759"/>
      <c r="AC297" s="760"/>
      <c r="AD297" s="761"/>
      <c r="AE297" s="761"/>
      <c r="AF297" s="762"/>
      <c r="AG297" s="759"/>
      <c r="AH297" s="759"/>
      <c r="AI297" s="760"/>
      <c r="AJ297" s="761"/>
      <c r="AK297" s="761"/>
      <c r="AL297" s="762"/>
      <c r="AM297" s="763"/>
      <c r="AN297" s="763"/>
      <c r="AO297" s="764"/>
    </row>
    <row r="298">
      <c r="A298" s="602" t="s">
        <v>1190</v>
      </c>
      <c r="B298" s="758"/>
      <c r="C298" s="759"/>
      <c r="D298" s="759"/>
      <c r="E298" s="760"/>
      <c r="F298" s="761"/>
      <c r="G298" s="761"/>
      <c r="H298" s="762"/>
      <c r="I298" s="759"/>
      <c r="J298" s="759"/>
      <c r="K298" s="760"/>
      <c r="L298" s="761"/>
      <c r="M298" s="761"/>
      <c r="N298" s="762"/>
      <c r="O298" s="759"/>
      <c r="P298" s="759"/>
      <c r="Q298" s="760"/>
      <c r="R298" s="761"/>
      <c r="S298" s="761"/>
      <c r="T298" s="762"/>
      <c r="U298" s="759"/>
      <c r="V298" s="759"/>
      <c r="W298" s="760"/>
      <c r="X298" s="761"/>
      <c r="Y298" s="761"/>
      <c r="Z298" s="762"/>
      <c r="AA298" s="759"/>
      <c r="AB298" s="759"/>
      <c r="AC298" s="760"/>
      <c r="AD298" s="761"/>
      <c r="AE298" s="761"/>
      <c r="AF298" s="762"/>
      <c r="AG298" s="759"/>
      <c r="AH298" s="759"/>
      <c r="AI298" s="760"/>
      <c r="AJ298" s="761"/>
      <c r="AK298" s="761"/>
      <c r="AL298" s="762"/>
      <c r="AM298" s="763"/>
      <c r="AN298" s="763"/>
      <c r="AO298" s="764"/>
    </row>
    <row r="299">
      <c r="A299" s="602" t="s">
        <v>1190</v>
      </c>
      <c r="B299" s="758"/>
      <c r="C299" s="759"/>
      <c r="D299" s="759"/>
      <c r="E299" s="760"/>
      <c r="F299" s="761"/>
      <c r="G299" s="761"/>
      <c r="H299" s="762"/>
      <c r="I299" s="759"/>
      <c r="J299" s="759"/>
      <c r="K299" s="760"/>
      <c r="L299" s="761"/>
      <c r="M299" s="761"/>
      <c r="N299" s="762"/>
      <c r="O299" s="759"/>
      <c r="P299" s="759"/>
      <c r="Q299" s="760"/>
      <c r="R299" s="761"/>
      <c r="S299" s="761"/>
      <c r="T299" s="762"/>
      <c r="U299" s="759"/>
      <c r="V299" s="759"/>
      <c r="W299" s="760"/>
      <c r="X299" s="761"/>
      <c r="Y299" s="761"/>
      <c r="Z299" s="762"/>
      <c r="AA299" s="759"/>
      <c r="AB299" s="759"/>
      <c r="AC299" s="760"/>
      <c r="AD299" s="761"/>
      <c r="AE299" s="761"/>
      <c r="AF299" s="762"/>
      <c r="AG299" s="759"/>
      <c r="AH299" s="759"/>
      <c r="AI299" s="760"/>
      <c r="AJ299" s="761"/>
      <c r="AK299" s="761"/>
      <c r="AL299" s="762"/>
      <c r="AM299" s="763"/>
      <c r="AN299" s="763"/>
      <c r="AO299" s="764"/>
    </row>
    <row r="300">
      <c r="A300" s="602" t="s">
        <v>1190</v>
      </c>
      <c r="B300" s="758"/>
      <c r="C300" s="759"/>
      <c r="D300" s="759"/>
      <c r="E300" s="760"/>
      <c r="F300" s="761"/>
      <c r="G300" s="761"/>
      <c r="H300" s="762"/>
      <c r="I300" s="759"/>
      <c r="J300" s="759"/>
      <c r="K300" s="760"/>
      <c r="L300" s="761"/>
      <c r="M300" s="761"/>
      <c r="N300" s="762"/>
      <c r="O300" s="759"/>
      <c r="P300" s="759"/>
      <c r="Q300" s="760"/>
      <c r="R300" s="761"/>
      <c r="S300" s="761"/>
      <c r="T300" s="762"/>
      <c r="U300" s="759"/>
      <c r="V300" s="759"/>
      <c r="W300" s="760"/>
      <c r="X300" s="761"/>
      <c r="Y300" s="761"/>
      <c r="Z300" s="762"/>
      <c r="AA300" s="759"/>
      <c r="AB300" s="759"/>
      <c r="AC300" s="760"/>
      <c r="AD300" s="761"/>
      <c r="AE300" s="761"/>
      <c r="AF300" s="762"/>
      <c r="AG300" s="759"/>
      <c r="AH300" s="759"/>
      <c r="AI300" s="760"/>
      <c r="AJ300" s="761"/>
      <c r="AK300" s="761"/>
      <c r="AL300" s="762"/>
      <c r="AM300" s="763"/>
      <c r="AN300" s="763"/>
      <c r="AO300" s="764"/>
    </row>
    <row r="301">
      <c r="A301" s="602" t="s">
        <v>1190</v>
      </c>
      <c r="B301" s="758"/>
      <c r="C301" s="759"/>
      <c r="D301" s="759"/>
      <c r="E301" s="760"/>
      <c r="F301" s="761"/>
      <c r="G301" s="761"/>
      <c r="H301" s="762"/>
      <c r="I301" s="759"/>
      <c r="J301" s="759"/>
      <c r="K301" s="760"/>
      <c r="L301" s="761"/>
      <c r="M301" s="761"/>
      <c r="N301" s="762"/>
      <c r="O301" s="759"/>
      <c r="P301" s="759"/>
      <c r="Q301" s="760"/>
      <c r="R301" s="761"/>
      <c r="S301" s="761"/>
      <c r="T301" s="762"/>
      <c r="U301" s="759"/>
      <c r="V301" s="759"/>
      <c r="W301" s="760"/>
      <c r="X301" s="761"/>
      <c r="Y301" s="761"/>
      <c r="Z301" s="762"/>
      <c r="AA301" s="759"/>
      <c r="AB301" s="759"/>
      <c r="AC301" s="760"/>
      <c r="AD301" s="761"/>
      <c r="AE301" s="761"/>
      <c r="AF301" s="762"/>
      <c r="AG301" s="759"/>
      <c r="AH301" s="759"/>
      <c r="AI301" s="760"/>
      <c r="AJ301" s="761"/>
      <c r="AK301" s="761"/>
      <c r="AL301" s="762"/>
      <c r="AM301" s="763"/>
      <c r="AN301" s="763"/>
      <c r="AO301" s="764"/>
    </row>
    <row r="302">
      <c r="A302" s="602" t="s">
        <v>1190</v>
      </c>
      <c r="B302" s="758"/>
      <c r="C302" s="759"/>
      <c r="D302" s="759"/>
      <c r="E302" s="760"/>
      <c r="F302" s="761"/>
      <c r="G302" s="761"/>
      <c r="H302" s="762"/>
      <c r="I302" s="759"/>
      <c r="J302" s="759"/>
      <c r="K302" s="760"/>
      <c r="L302" s="761"/>
      <c r="M302" s="761"/>
      <c r="N302" s="762"/>
      <c r="O302" s="759"/>
      <c r="P302" s="759"/>
      <c r="Q302" s="760"/>
      <c r="R302" s="761"/>
      <c r="S302" s="761"/>
      <c r="T302" s="762"/>
      <c r="U302" s="759"/>
      <c r="V302" s="759"/>
      <c r="W302" s="760"/>
      <c r="X302" s="761"/>
      <c r="Y302" s="761"/>
      <c r="Z302" s="762"/>
      <c r="AA302" s="759"/>
      <c r="AB302" s="759"/>
      <c r="AC302" s="760"/>
      <c r="AD302" s="761"/>
      <c r="AE302" s="761"/>
      <c r="AF302" s="762"/>
      <c r="AG302" s="759"/>
      <c r="AH302" s="759"/>
      <c r="AI302" s="760"/>
      <c r="AJ302" s="761"/>
      <c r="AK302" s="761"/>
      <c r="AL302" s="762"/>
      <c r="AM302" s="763"/>
      <c r="AN302" s="763"/>
      <c r="AO302" s="764"/>
    </row>
    <row r="303">
      <c r="A303" s="602" t="s">
        <v>1190</v>
      </c>
      <c r="B303" s="758"/>
      <c r="C303" s="759"/>
      <c r="D303" s="759"/>
      <c r="E303" s="760"/>
      <c r="F303" s="761"/>
      <c r="G303" s="761"/>
      <c r="H303" s="762"/>
      <c r="I303" s="759"/>
      <c r="J303" s="759"/>
      <c r="K303" s="760"/>
      <c r="L303" s="761"/>
      <c r="M303" s="761"/>
      <c r="N303" s="762"/>
      <c r="O303" s="759"/>
      <c r="P303" s="759"/>
      <c r="Q303" s="760"/>
      <c r="R303" s="761"/>
      <c r="S303" s="761"/>
      <c r="T303" s="762"/>
      <c r="U303" s="759"/>
      <c r="V303" s="759"/>
      <c r="W303" s="760"/>
      <c r="X303" s="761"/>
      <c r="Y303" s="761"/>
      <c r="Z303" s="762"/>
      <c r="AA303" s="759"/>
      <c r="AB303" s="759"/>
      <c r="AC303" s="760"/>
      <c r="AD303" s="761"/>
      <c r="AE303" s="761"/>
      <c r="AF303" s="762"/>
      <c r="AG303" s="759"/>
      <c r="AH303" s="759"/>
      <c r="AI303" s="760"/>
      <c r="AJ303" s="761"/>
      <c r="AK303" s="761"/>
      <c r="AL303" s="762"/>
      <c r="AM303" s="763"/>
      <c r="AN303" s="763"/>
      <c r="AO303" s="764"/>
    </row>
    <row r="304">
      <c r="A304" s="602" t="s">
        <v>1190</v>
      </c>
      <c r="B304" s="758"/>
      <c r="C304" s="759"/>
      <c r="D304" s="759"/>
      <c r="E304" s="760"/>
      <c r="F304" s="761"/>
      <c r="G304" s="761"/>
      <c r="H304" s="762"/>
      <c r="I304" s="759"/>
      <c r="J304" s="759"/>
      <c r="K304" s="760"/>
      <c r="L304" s="761"/>
      <c r="M304" s="761"/>
      <c r="N304" s="762"/>
      <c r="O304" s="759"/>
      <c r="P304" s="759"/>
      <c r="Q304" s="760"/>
      <c r="R304" s="761"/>
      <c r="S304" s="761"/>
      <c r="T304" s="762"/>
      <c r="U304" s="759"/>
      <c r="V304" s="759"/>
      <c r="W304" s="760"/>
      <c r="X304" s="761"/>
      <c r="Y304" s="761"/>
      <c r="Z304" s="762"/>
      <c r="AA304" s="759"/>
      <c r="AB304" s="759"/>
      <c r="AC304" s="760"/>
      <c r="AD304" s="761"/>
      <c r="AE304" s="761"/>
      <c r="AF304" s="762"/>
      <c r="AG304" s="759"/>
      <c r="AH304" s="759"/>
      <c r="AI304" s="760"/>
      <c r="AJ304" s="761"/>
      <c r="AK304" s="761"/>
      <c r="AL304" s="762"/>
      <c r="AM304" s="763"/>
      <c r="AN304" s="763"/>
      <c r="AO304" s="764"/>
    </row>
    <row r="305">
      <c r="A305" s="602" t="s">
        <v>1190</v>
      </c>
      <c r="B305" s="758"/>
      <c r="C305" s="759"/>
      <c r="D305" s="759"/>
      <c r="E305" s="760"/>
      <c r="F305" s="761"/>
      <c r="G305" s="761"/>
      <c r="H305" s="762"/>
      <c r="I305" s="759"/>
      <c r="J305" s="759"/>
      <c r="K305" s="760"/>
      <c r="L305" s="761"/>
      <c r="M305" s="761"/>
      <c r="N305" s="762"/>
      <c r="O305" s="759"/>
      <c r="P305" s="759"/>
      <c r="Q305" s="760"/>
      <c r="R305" s="761"/>
      <c r="S305" s="761"/>
      <c r="T305" s="762"/>
      <c r="U305" s="759"/>
      <c r="V305" s="759"/>
      <c r="W305" s="760"/>
      <c r="X305" s="761"/>
      <c r="Y305" s="761"/>
      <c r="Z305" s="762"/>
      <c r="AA305" s="759"/>
      <c r="AB305" s="759"/>
      <c r="AC305" s="760"/>
      <c r="AD305" s="761"/>
      <c r="AE305" s="761"/>
      <c r="AF305" s="762"/>
      <c r="AG305" s="759"/>
      <c r="AH305" s="759"/>
      <c r="AI305" s="760"/>
      <c r="AJ305" s="761"/>
      <c r="AK305" s="761"/>
      <c r="AL305" s="762"/>
      <c r="AM305" s="763"/>
      <c r="AN305" s="763"/>
      <c r="AO305" s="764"/>
    </row>
    <row r="306">
      <c r="A306" s="602" t="s">
        <v>1190</v>
      </c>
      <c r="B306" s="758"/>
      <c r="C306" s="759"/>
      <c r="D306" s="759"/>
      <c r="E306" s="760"/>
      <c r="F306" s="761"/>
      <c r="G306" s="761"/>
      <c r="H306" s="762"/>
      <c r="I306" s="759"/>
      <c r="J306" s="759"/>
      <c r="K306" s="760"/>
      <c r="L306" s="761"/>
      <c r="M306" s="761"/>
      <c r="N306" s="762"/>
      <c r="O306" s="759"/>
      <c r="P306" s="759"/>
      <c r="Q306" s="760"/>
      <c r="R306" s="761"/>
      <c r="S306" s="761"/>
      <c r="T306" s="762"/>
      <c r="U306" s="759"/>
      <c r="V306" s="759"/>
      <c r="W306" s="760"/>
      <c r="X306" s="761"/>
      <c r="Y306" s="761"/>
      <c r="Z306" s="762"/>
      <c r="AA306" s="759"/>
      <c r="AB306" s="759"/>
      <c r="AC306" s="760"/>
      <c r="AD306" s="761"/>
      <c r="AE306" s="761"/>
      <c r="AF306" s="762"/>
      <c r="AG306" s="759"/>
      <c r="AH306" s="759"/>
      <c r="AI306" s="760"/>
      <c r="AJ306" s="761"/>
      <c r="AK306" s="761"/>
      <c r="AL306" s="762"/>
      <c r="AM306" s="763"/>
      <c r="AN306" s="763"/>
      <c r="AO306" s="764"/>
    </row>
    <row r="307">
      <c r="A307" s="602" t="s">
        <v>1190</v>
      </c>
      <c r="B307" s="758"/>
      <c r="C307" s="759"/>
      <c r="D307" s="759"/>
      <c r="E307" s="760"/>
      <c r="F307" s="761"/>
      <c r="G307" s="761"/>
      <c r="H307" s="762"/>
      <c r="I307" s="759"/>
      <c r="J307" s="759"/>
      <c r="K307" s="760"/>
      <c r="L307" s="761"/>
      <c r="M307" s="761"/>
      <c r="N307" s="762"/>
      <c r="O307" s="759"/>
      <c r="P307" s="759"/>
      <c r="Q307" s="760"/>
      <c r="R307" s="761"/>
      <c r="S307" s="761"/>
      <c r="T307" s="762"/>
      <c r="U307" s="759"/>
      <c r="V307" s="759"/>
      <c r="W307" s="760"/>
      <c r="X307" s="761"/>
      <c r="Y307" s="761"/>
      <c r="Z307" s="762"/>
      <c r="AA307" s="759"/>
      <c r="AB307" s="759"/>
      <c r="AC307" s="760"/>
      <c r="AD307" s="761"/>
      <c r="AE307" s="761"/>
      <c r="AF307" s="762"/>
      <c r="AG307" s="759"/>
      <c r="AH307" s="759"/>
      <c r="AI307" s="760"/>
      <c r="AJ307" s="761"/>
      <c r="AK307" s="761"/>
      <c r="AL307" s="762"/>
      <c r="AM307" s="763"/>
      <c r="AN307" s="763"/>
      <c r="AO307" s="764"/>
    </row>
    <row r="308">
      <c r="A308" s="602" t="s">
        <v>1190</v>
      </c>
      <c r="B308" s="758"/>
      <c r="C308" s="759"/>
      <c r="D308" s="759"/>
      <c r="E308" s="760"/>
      <c r="F308" s="761"/>
      <c r="G308" s="761"/>
      <c r="H308" s="762"/>
      <c r="I308" s="759"/>
      <c r="J308" s="759"/>
      <c r="K308" s="760"/>
      <c r="L308" s="761"/>
      <c r="M308" s="761"/>
      <c r="N308" s="762"/>
      <c r="O308" s="759"/>
      <c r="P308" s="759"/>
      <c r="Q308" s="760"/>
      <c r="R308" s="761"/>
      <c r="S308" s="761"/>
      <c r="T308" s="762"/>
      <c r="U308" s="759"/>
      <c r="V308" s="759"/>
      <c r="W308" s="760"/>
      <c r="X308" s="761"/>
      <c r="Y308" s="761"/>
      <c r="Z308" s="762"/>
      <c r="AA308" s="759"/>
      <c r="AB308" s="759"/>
      <c r="AC308" s="760"/>
      <c r="AD308" s="761"/>
      <c r="AE308" s="761"/>
      <c r="AF308" s="762"/>
      <c r="AG308" s="759"/>
      <c r="AH308" s="759"/>
      <c r="AI308" s="760"/>
      <c r="AJ308" s="761"/>
      <c r="AK308" s="761"/>
      <c r="AL308" s="762"/>
      <c r="AM308" s="763"/>
      <c r="AN308" s="763"/>
      <c r="AO308" s="764"/>
    </row>
    <row r="309">
      <c r="A309" s="602" t="s">
        <v>1190</v>
      </c>
      <c r="B309" s="758"/>
      <c r="C309" s="759"/>
      <c r="D309" s="759"/>
      <c r="E309" s="760"/>
      <c r="F309" s="761"/>
      <c r="G309" s="761"/>
      <c r="H309" s="762"/>
      <c r="I309" s="759"/>
      <c r="J309" s="759"/>
      <c r="K309" s="760"/>
      <c r="L309" s="761"/>
      <c r="M309" s="761"/>
      <c r="N309" s="762"/>
      <c r="O309" s="759"/>
      <c r="P309" s="759"/>
      <c r="Q309" s="760"/>
      <c r="R309" s="761"/>
      <c r="S309" s="761"/>
      <c r="T309" s="762"/>
      <c r="U309" s="759"/>
      <c r="V309" s="759"/>
      <c r="W309" s="760"/>
      <c r="X309" s="761"/>
      <c r="Y309" s="761"/>
      <c r="Z309" s="762"/>
      <c r="AA309" s="759"/>
      <c r="AB309" s="759"/>
      <c r="AC309" s="760"/>
      <c r="AD309" s="761"/>
      <c r="AE309" s="761"/>
      <c r="AF309" s="762"/>
      <c r="AG309" s="759"/>
      <c r="AH309" s="759"/>
      <c r="AI309" s="760"/>
      <c r="AJ309" s="761"/>
      <c r="AK309" s="761"/>
      <c r="AL309" s="762"/>
      <c r="AM309" s="763"/>
      <c r="AN309" s="763"/>
      <c r="AO309" s="764"/>
    </row>
    <row r="310">
      <c r="A310" s="602" t="s">
        <v>1190</v>
      </c>
      <c r="B310" s="758"/>
      <c r="C310" s="759"/>
      <c r="D310" s="759"/>
      <c r="E310" s="760"/>
      <c r="F310" s="761"/>
      <c r="G310" s="761"/>
      <c r="H310" s="762"/>
      <c r="I310" s="759"/>
      <c r="J310" s="759"/>
      <c r="K310" s="760"/>
      <c r="L310" s="761"/>
      <c r="M310" s="761"/>
      <c r="N310" s="762"/>
      <c r="O310" s="759"/>
      <c r="P310" s="759"/>
      <c r="Q310" s="760"/>
      <c r="R310" s="761"/>
      <c r="S310" s="761"/>
      <c r="T310" s="762"/>
      <c r="U310" s="759"/>
      <c r="V310" s="759"/>
      <c r="W310" s="760"/>
      <c r="X310" s="761"/>
      <c r="Y310" s="761"/>
      <c r="Z310" s="762"/>
      <c r="AA310" s="759"/>
      <c r="AB310" s="759"/>
      <c r="AC310" s="760"/>
      <c r="AD310" s="761"/>
      <c r="AE310" s="761"/>
      <c r="AF310" s="762"/>
      <c r="AG310" s="759"/>
      <c r="AH310" s="759"/>
      <c r="AI310" s="760"/>
      <c r="AJ310" s="761"/>
      <c r="AK310" s="761"/>
      <c r="AL310" s="762"/>
      <c r="AM310" s="763"/>
      <c r="AN310" s="763"/>
      <c r="AO310" s="764"/>
    </row>
    <row r="311">
      <c r="A311" s="602" t="s">
        <v>1190</v>
      </c>
      <c r="B311" s="758"/>
      <c r="C311" s="759"/>
      <c r="D311" s="759"/>
      <c r="E311" s="760"/>
      <c r="F311" s="761"/>
      <c r="G311" s="761"/>
      <c r="H311" s="762"/>
      <c r="I311" s="759"/>
      <c r="J311" s="759"/>
      <c r="K311" s="760"/>
      <c r="L311" s="761"/>
      <c r="M311" s="761"/>
      <c r="N311" s="762"/>
      <c r="O311" s="759"/>
      <c r="P311" s="759"/>
      <c r="Q311" s="760"/>
      <c r="R311" s="761"/>
      <c r="S311" s="761"/>
      <c r="T311" s="762"/>
      <c r="U311" s="759"/>
      <c r="V311" s="759"/>
      <c r="W311" s="760"/>
      <c r="X311" s="761"/>
      <c r="Y311" s="761"/>
      <c r="Z311" s="762"/>
      <c r="AA311" s="759"/>
      <c r="AB311" s="759"/>
      <c r="AC311" s="760"/>
      <c r="AD311" s="761"/>
      <c r="AE311" s="761"/>
      <c r="AF311" s="762"/>
      <c r="AG311" s="759"/>
      <c r="AH311" s="759"/>
      <c r="AI311" s="760"/>
      <c r="AJ311" s="761"/>
      <c r="AK311" s="761"/>
      <c r="AL311" s="762"/>
      <c r="AM311" s="763"/>
      <c r="AN311" s="763"/>
      <c r="AO311" s="764"/>
    </row>
    <row r="312">
      <c r="A312" s="602" t="s">
        <v>1190</v>
      </c>
      <c r="B312" s="758"/>
      <c r="C312" s="759"/>
      <c r="D312" s="759"/>
      <c r="E312" s="760"/>
      <c r="F312" s="761"/>
      <c r="G312" s="761"/>
      <c r="H312" s="762"/>
      <c r="I312" s="759"/>
      <c r="J312" s="759"/>
      <c r="K312" s="760"/>
      <c r="L312" s="761"/>
      <c r="M312" s="761"/>
      <c r="N312" s="762"/>
      <c r="O312" s="759"/>
      <c r="P312" s="759"/>
      <c r="Q312" s="760"/>
      <c r="R312" s="761"/>
      <c r="S312" s="761"/>
      <c r="T312" s="762"/>
      <c r="U312" s="759"/>
      <c r="V312" s="759"/>
      <c r="W312" s="760"/>
      <c r="X312" s="761"/>
      <c r="Y312" s="761"/>
      <c r="Z312" s="762"/>
      <c r="AA312" s="759"/>
      <c r="AB312" s="759"/>
      <c r="AC312" s="760"/>
      <c r="AD312" s="761"/>
      <c r="AE312" s="761"/>
      <c r="AF312" s="762"/>
      <c r="AG312" s="759"/>
      <c r="AH312" s="759"/>
      <c r="AI312" s="760"/>
      <c r="AJ312" s="761"/>
      <c r="AK312" s="761"/>
      <c r="AL312" s="762"/>
      <c r="AM312" s="763"/>
      <c r="AN312" s="763"/>
      <c r="AO312" s="764"/>
    </row>
    <row r="313">
      <c r="A313" s="602" t="s">
        <v>1190</v>
      </c>
      <c r="B313" s="758"/>
      <c r="C313" s="759"/>
      <c r="D313" s="759"/>
      <c r="E313" s="760"/>
      <c r="F313" s="761"/>
      <c r="G313" s="761"/>
      <c r="H313" s="762"/>
      <c r="I313" s="759"/>
      <c r="J313" s="759"/>
      <c r="K313" s="760"/>
      <c r="L313" s="761"/>
      <c r="M313" s="761"/>
      <c r="N313" s="762"/>
      <c r="O313" s="759"/>
      <c r="P313" s="759"/>
      <c r="Q313" s="760"/>
      <c r="R313" s="761"/>
      <c r="S313" s="761"/>
      <c r="T313" s="762"/>
      <c r="U313" s="759"/>
      <c r="V313" s="759"/>
      <c r="W313" s="760"/>
      <c r="X313" s="761"/>
      <c r="Y313" s="761"/>
      <c r="Z313" s="762"/>
      <c r="AA313" s="759"/>
      <c r="AB313" s="759"/>
      <c r="AC313" s="760"/>
      <c r="AD313" s="761"/>
      <c r="AE313" s="761"/>
      <c r="AF313" s="762"/>
      <c r="AG313" s="759"/>
      <c r="AH313" s="759"/>
      <c r="AI313" s="760"/>
      <c r="AJ313" s="761"/>
      <c r="AK313" s="761"/>
      <c r="AL313" s="762"/>
      <c r="AM313" s="763"/>
      <c r="AN313" s="763"/>
      <c r="AO313" s="764"/>
    </row>
    <row r="314">
      <c r="A314" s="602" t="s">
        <v>1190</v>
      </c>
      <c r="B314" s="758"/>
      <c r="C314" s="759"/>
      <c r="D314" s="759"/>
      <c r="E314" s="760"/>
      <c r="F314" s="761"/>
      <c r="G314" s="761"/>
      <c r="H314" s="762"/>
      <c r="I314" s="759"/>
      <c r="J314" s="759"/>
      <c r="K314" s="760"/>
      <c r="L314" s="761"/>
      <c r="M314" s="761"/>
      <c r="N314" s="762"/>
      <c r="O314" s="759"/>
      <c r="P314" s="759"/>
      <c r="Q314" s="760"/>
      <c r="R314" s="761"/>
      <c r="S314" s="761"/>
      <c r="T314" s="762"/>
      <c r="U314" s="759"/>
      <c r="V314" s="759"/>
      <c r="W314" s="760"/>
      <c r="X314" s="761"/>
      <c r="Y314" s="761"/>
      <c r="Z314" s="762"/>
      <c r="AA314" s="759"/>
      <c r="AB314" s="759"/>
      <c r="AC314" s="760"/>
      <c r="AD314" s="761"/>
      <c r="AE314" s="761"/>
      <c r="AF314" s="762"/>
      <c r="AG314" s="759"/>
      <c r="AH314" s="759"/>
      <c r="AI314" s="760"/>
      <c r="AJ314" s="761"/>
      <c r="AK314" s="761"/>
      <c r="AL314" s="762"/>
      <c r="AM314" s="763"/>
      <c r="AN314" s="763"/>
      <c r="AO314" s="764"/>
    </row>
    <row r="315">
      <c r="A315" s="602" t="s">
        <v>1190</v>
      </c>
      <c r="B315" s="758"/>
      <c r="C315" s="759"/>
      <c r="D315" s="759"/>
      <c r="E315" s="760"/>
      <c r="F315" s="761"/>
      <c r="G315" s="761"/>
      <c r="H315" s="762"/>
      <c r="I315" s="759"/>
      <c r="J315" s="759"/>
      <c r="K315" s="760"/>
      <c r="L315" s="761"/>
      <c r="M315" s="761"/>
      <c r="N315" s="762"/>
      <c r="O315" s="759"/>
      <c r="P315" s="759"/>
      <c r="Q315" s="760"/>
      <c r="R315" s="761"/>
      <c r="S315" s="761"/>
      <c r="T315" s="762"/>
      <c r="U315" s="759"/>
      <c r="V315" s="759"/>
      <c r="W315" s="760"/>
      <c r="X315" s="761"/>
      <c r="Y315" s="761"/>
      <c r="Z315" s="762"/>
      <c r="AA315" s="759"/>
      <c r="AB315" s="759"/>
      <c r="AC315" s="760"/>
      <c r="AD315" s="761"/>
      <c r="AE315" s="761"/>
      <c r="AF315" s="762"/>
      <c r="AG315" s="759"/>
      <c r="AH315" s="759"/>
      <c r="AI315" s="760"/>
      <c r="AJ315" s="761"/>
      <c r="AK315" s="761"/>
      <c r="AL315" s="762"/>
      <c r="AM315" s="763"/>
      <c r="AN315" s="763"/>
      <c r="AO315" s="764"/>
    </row>
    <row r="316">
      <c r="A316" s="602" t="s">
        <v>1190</v>
      </c>
      <c r="B316" s="758"/>
      <c r="C316" s="759"/>
      <c r="D316" s="759"/>
      <c r="E316" s="760"/>
      <c r="F316" s="761"/>
      <c r="G316" s="761"/>
      <c r="H316" s="762"/>
      <c r="I316" s="759"/>
      <c r="J316" s="759"/>
      <c r="K316" s="760"/>
      <c r="L316" s="761"/>
      <c r="M316" s="761"/>
      <c r="N316" s="762"/>
      <c r="O316" s="759"/>
      <c r="P316" s="759"/>
      <c r="Q316" s="760"/>
      <c r="R316" s="761"/>
      <c r="S316" s="761"/>
      <c r="T316" s="762"/>
      <c r="U316" s="759"/>
      <c r="V316" s="759"/>
      <c r="W316" s="760"/>
      <c r="X316" s="761"/>
      <c r="Y316" s="761"/>
      <c r="Z316" s="762"/>
      <c r="AA316" s="759"/>
      <c r="AB316" s="759"/>
      <c r="AC316" s="760"/>
      <c r="AD316" s="761"/>
      <c r="AE316" s="761"/>
      <c r="AF316" s="762"/>
      <c r="AG316" s="759"/>
      <c r="AH316" s="759"/>
      <c r="AI316" s="760"/>
      <c r="AJ316" s="761"/>
      <c r="AK316" s="761"/>
      <c r="AL316" s="762"/>
      <c r="AM316" s="763"/>
      <c r="AN316" s="763"/>
      <c r="AO316" s="764"/>
    </row>
    <row r="317">
      <c r="A317" s="602" t="s">
        <v>1190</v>
      </c>
      <c r="B317" s="758"/>
      <c r="C317" s="759"/>
      <c r="D317" s="759"/>
      <c r="E317" s="760"/>
      <c r="F317" s="761"/>
      <c r="G317" s="761"/>
      <c r="H317" s="762"/>
      <c r="I317" s="759"/>
      <c r="J317" s="759"/>
      <c r="K317" s="760"/>
      <c r="L317" s="761"/>
      <c r="M317" s="761"/>
      <c r="N317" s="762"/>
      <c r="O317" s="759"/>
      <c r="P317" s="759"/>
      <c r="Q317" s="760"/>
      <c r="R317" s="761"/>
      <c r="S317" s="761"/>
      <c r="T317" s="762"/>
      <c r="U317" s="759"/>
      <c r="V317" s="759"/>
      <c r="W317" s="760"/>
      <c r="X317" s="761"/>
      <c r="Y317" s="761"/>
      <c r="Z317" s="762"/>
      <c r="AA317" s="759"/>
      <c r="AB317" s="759"/>
      <c r="AC317" s="760"/>
      <c r="AD317" s="761"/>
      <c r="AE317" s="761"/>
      <c r="AF317" s="762"/>
      <c r="AG317" s="759"/>
      <c r="AH317" s="759"/>
      <c r="AI317" s="760"/>
      <c r="AJ317" s="761"/>
      <c r="AK317" s="761"/>
      <c r="AL317" s="762"/>
      <c r="AM317" s="763"/>
      <c r="AN317" s="763"/>
      <c r="AO317" s="764"/>
    </row>
    <row r="318">
      <c r="A318" s="602" t="s">
        <v>1190</v>
      </c>
      <c r="B318" s="758"/>
      <c r="C318" s="759"/>
      <c r="D318" s="759"/>
      <c r="E318" s="760"/>
      <c r="F318" s="761"/>
      <c r="G318" s="761"/>
      <c r="H318" s="762"/>
      <c r="I318" s="759"/>
      <c r="J318" s="759"/>
      <c r="K318" s="760"/>
      <c r="L318" s="761"/>
      <c r="M318" s="761"/>
      <c r="N318" s="762"/>
      <c r="O318" s="759"/>
      <c r="P318" s="759"/>
      <c r="Q318" s="760"/>
      <c r="R318" s="761"/>
      <c r="S318" s="761"/>
      <c r="T318" s="762"/>
      <c r="U318" s="759"/>
      <c r="V318" s="759"/>
      <c r="W318" s="760"/>
      <c r="X318" s="761"/>
      <c r="Y318" s="761"/>
      <c r="Z318" s="762"/>
      <c r="AA318" s="759"/>
      <c r="AB318" s="759"/>
      <c r="AC318" s="760"/>
      <c r="AD318" s="761"/>
      <c r="AE318" s="761"/>
      <c r="AF318" s="762"/>
      <c r="AG318" s="759"/>
      <c r="AH318" s="759"/>
      <c r="AI318" s="760"/>
      <c r="AJ318" s="761"/>
      <c r="AK318" s="761"/>
      <c r="AL318" s="762"/>
      <c r="AM318" s="763"/>
      <c r="AN318" s="763"/>
      <c r="AO318" s="764"/>
    </row>
    <row r="319">
      <c r="A319" s="602" t="s">
        <v>1190</v>
      </c>
      <c r="B319" s="758"/>
      <c r="C319" s="759"/>
      <c r="D319" s="759"/>
      <c r="E319" s="760"/>
      <c r="F319" s="761"/>
      <c r="G319" s="761"/>
      <c r="H319" s="762"/>
      <c r="I319" s="759"/>
      <c r="J319" s="759"/>
      <c r="K319" s="760"/>
      <c r="L319" s="761"/>
      <c r="M319" s="761"/>
      <c r="N319" s="762"/>
      <c r="O319" s="759"/>
      <c r="P319" s="759"/>
      <c r="Q319" s="760"/>
      <c r="R319" s="761"/>
      <c r="S319" s="761"/>
      <c r="T319" s="762"/>
      <c r="U319" s="759"/>
      <c r="V319" s="759"/>
      <c r="W319" s="760"/>
      <c r="X319" s="761"/>
      <c r="Y319" s="761"/>
      <c r="Z319" s="762"/>
      <c r="AA319" s="759"/>
      <c r="AB319" s="759"/>
      <c r="AC319" s="760"/>
      <c r="AD319" s="761"/>
      <c r="AE319" s="761"/>
      <c r="AF319" s="762"/>
      <c r="AG319" s="759"/>
      <c r="AH319" s="759"/>
      <c r="AI319" s="760"/>
      <c r="AJ319" s="761"/>
      <c r="AK319" s="761"/>
      <c r="AL319" s="762"/>
      <c r="AM319" s="763"/>
      <c r="AN319" s="763"/>
      <c r="AO319" s="764"/>
    </row>
    <row r="320">
      <c r="A320" s="602" t="s">
        <v>1190</v>
      </c>
      <c r="B320" s="758"/>
      <c r="C320" s="759"/>
      <c r="D320" s="759"/>
      <c r="E320" s="760"/>
      <c r="F320" s="761"/>
      <c r="G320" s="761"/>
      <c r="H320" s="762"/>
      <c r="I320" s="759"/>
      <c r="J320" s="759"/>
      <c r="K320" s="760"/>
      <c r="L320" s="761"/>
      <c r="M320" s="761"/>
      <c r="N320" s="762"/>
      <c r="O320" s="759"/>
      <c r="P320" s="759"/>
      <c r="Q320" s="760"/>
      <c r="R320" s="761"/>
      <c r="S320" s="761"/>
      <c r="T320" s="762"/>
      <c r="U320" s="759"/>
      <c r="V320" s="759"/>
      <c r="W320" s="760"/>
      <c r="X320" s="761"/>
      <c r="Y320" s="761"/>
      <c r="Z320" s="762"/>
      <c r="AA320" s="759"/>
      <c r="AB320" s="759"/>
      <c r="AC320" s="760"/>
      <c r="AD320" s="761"/>
      <c r="AE320" s="761"/>
      <c r="AF320" s="762"/>
      <c r="AG320" s="759"/>
      <c r="AH320" s="759"/>
      <c r="AI320" s="760"/>
      <c r="AJ320" s="761"/>
      <c r="AK320" s="761"/>
      <c r="AL320" s="762"/>
      <c r="AM320" s="763"/>
      <c r="AN320" s="763"/>
      <c r="AO320" s="764"/>
    </row>
    <row r="321">
      <c r="A321" s="602" t="s">
        <v>1190</v>
      </c>
      <c r="B321" s="758"/>
      <c r="C321" s="759"/>
      <c r="D321" s="759"/>
      <c r="E321" s="760"/>
      <c r="F321" s="761"/>
      <c r="G321" s="761"/>
      <c r="H321" s="762"/>
      <c r="I321" s="759"/>
      <c r="J321" s="759"/>
      <c r="K321" s="760"/>
      <c r="L321" s="761"/>
      <c r="M321" s="761"/>
      <c r="N321" s="762"/>
      <c r="O321" s="759"/>
      <c r="P321" s="759"/>
      <c r="Q321" s="760"/>
      <c r="R321" s="761"/>
      <c r="S321" s="761"/>
      <c r="T321" s="762"/>
      <c r="U321" s="759"/>
      <c r="V321" s="759"/>
      <c r="W321" s="760"/>
      <c r="X321" s="761"/>
      <c r="Y321" s="761"/>
      <c r="Z321" s="762"/>
      <c r="AA321" s="759"/>
      <c r="AB321" s="759"/>
      <c r="AC321" s="760"/>
      <c r="AD321" s="761"/>
      <c r="AE321" s="761"/>
      <c r="AF321" s="762"/>
      <c r="AG321" s="759"/>
      <c r="AH321" s="759"/>
      <c r="AI321" s="760"/>
      <c r="AJ321" s="761"/>
      <c r="AK321" s="761"/>
      <c r="AL321" s="762"/>
      <c r="AM321" s="763"/>
      <c r="AN321" s="763"/>
      <c r="AO321" s="764"/>
    </row>
    <row r="322">
      <c r="A322" s="602" t="s">
        <v>1190</v>
      </c>
      <c r="B322" s="758"/>
      <c r="C322" s="759"/>
      <c r="D322" s="759"/>
      <c r="E322" s="760"/>
      <c r="F322" s="761"/>
      <c r="G322" s="761"/>
      <c r="H322" s="762"/>
      <c r="I322" s="759"/>
      <c r="J322" s="759"/>
      <c r="K322" s="760"/>
      <c r="L322" s="761"/>
      <c r="M322" s="761"/>
      <c r="N322" s="762"/>
      <c r="O322" s="759"/>
      <c r="P322" s="759"/>
      <c r="Q322" s="760"/>
      <c r="R322" s="761"/>
      <c r="S322" s="761"/>
      <c r="T322" s="762"/>
      <c r="U322" s="759"/>
      <c r="V322" s="759"/>
      <c r="W322" s="760"/>
      <c r="X322" s="761"/>
      <c r="Y322" s="761"/>
      <c r="Z322" s="762"/>
      <c r="AA322" s="759"/>
      <c r="AB322" s="759"/>
      <c r="AC322" s="760"/>
      <c r="AD322" s="761"/>
      <c r="AE322" s="761"/>
      <c r="AF322" s="762"/>
      <c r="AG322" s="759"/>
      <c r="AH322" s="759"/>
      <c r="AI322" s="760"/>
      <c r="AJ322" s="761"/>
      <c r="AK322" s="761"/>
      <c r="AL322" s="762"/>
      <c r="AM322" s="763"/>
      <c r="AN322" s="763"/>
      <c r="AO322" s="764"/>
    </row>
    <row r="323">
      <c r="A323" s="602" t="s">
        <v>1190</v>
      </c>
      <c r="B323" s="758"/>
      <c r="C323" s="759"/>
      <c r="D323" s="759"/>
      <c r="E323" s="760"/>
      <c r="F323" s="761"/>
      <c r="G323" s="761"/>
      <c r="H323" s="762"/>
      <c r="I323" s="759"/>
      <c r="J323" s="759"/>
      <c r="K323" s="760"/>
      <c r="L323" s="761"/>
      <c r="M323" s="761"/>
      <c r="N323" s="762"/>
      <c r="O323" s="759"/>
      <c r="P323" s="759"/>
      <c r="Q323" s="760"/>
      <c r="R323" s="761"/>
      <c r="S323" s="761"/>
      <c r="T323" s="762"/>
      <c r="U323" s="759"/>
      <c r="V323" s="759"/>
      <c r="W323" s="760"/>
      <c r="X323" s="761"/>
      <c r="Y323" s="761"/>
      <c r="Z323" s="762"/>
      <c r="AA323" s="759"/>
      <c r="AB323" s="759"/>
      <c r="AC323" s="760"/>
      <c r="AD323" s="761"/>
      <c r="AE323" s="761"/>
      <c r="AF323" s="762"/>
      <c r="AG323" s="759"/>
      <c r="AH323" s="759"/>
      <c r="AI323" s="760"/>
      <c r="AJ323" s="761"/>
      <c r="AK323" s="761"/>
      <c r="AL323" s="762"/>
      <c r="AM323" s="763"/>
      <c r="AN323" s="763"/>
      <c r="AO323" s="764"/>
    </row>
    <row r="324">
      <c r="A324" s="602" t="s">
        <v>1190</v>
      </c>
      <c r="B324" s="758"/>
      <c r="C324" s="759"/>
      <c r="D324" s="759"/>
      <c r="E324" s="760"/>
      <c r="F324" s="761"/>
      <c r="G324" s="761"/>
      <c r="H324" s="762"/>
      <c r="I324" s="759"/>
      <c r="J324" s="759"/>
      <c r="K324" s="760"/>
      <c r="L324" s="761"/>
      <c r="M324" s="761"/>
      <c r="N324" s="762"/>
      <c r="O324" s="759"/>
      <c r="P324" s="759"/>
      <c r="Q324" s="760"/>
      <c r="R324" s="761"/>
      <c r="S324" s="761"/>
      <c r="T324" s="762"/>
      <c r="U324" s="759"/>
      <c r="V324" s="759"/>
      <c r="W324" s="760"/>
      <c r="X324" s="761"/>
      <c r="Y324" s="761"/>
      <c r="Z324" s="762"/>
      <c r="AA324" s="759"/>
      <c r="AB324" s="759"/>
      <c r="AC324" s="760"/>
      <c r="AD324" s="761"/>
      <c r="AE324" s="761"/>
      <c r="AF324" s="762"/>
      <c r="AG324" s="759"/>
      <c r="AH324" s="759"/>
      <c r="AI324" s="760"/>
      <c r="AJ324" s="761"/>
      <c r="AK324" s="761"/>
      <c r="AL324" s="762"/>
      <c r="AM324" s="763"/>
      <c r="AN324" s="763"/>
      <c r="AO324" s="764"/>
    </row>
    <row r="325">
      <c r="A325" s="602" t="s">
        <v>1190</v>
      </c>
      <c r="B325" s="758"/>
      <c r="C325" s="759"/>
      <c r="D325" s="759"/>
      <c r="E325" s="760"/>
      <c r="F325" s="761"/>
      <c r="G325" s="761"/>
      <c r="H325" s="762"/>
      <c r="I325" s="759"/>
      <c r="J325" s="759"/>
      <c r="K325" s="760"/>
      <c r="L325" s="761"/>
      <c r="M325" s="761"/>
      <c r="N325" s="762"/>
      <c r="O325" s="759"/>
      <c r="P325" s="759"/>
      <c r="Q325" s="760"/>
      <c r="R325" s="761"/>
      <c r="S325" s="761"/>
      <c r="T325" s="762"/>
      <c r="U325" s="759"/>
      <c r="V325" s="759"/>
      <c r="W325" s="760"/>
      <c r="X325" s="761"/>
      <c r="Y325" s="761"/>
      <c r="Z325" s="762"/>
      <c r="AA325" s="759"/>
      <c r="AB325" s="759"/>
      <c r="AC325" s="760"/>
      <c r="AD325" s="761"/>
      <c r="AE325" s="761"/>
      <c r="AF325" s="762"/>
      <c r="AG325" s="759"/>
      <c r="AH325" s="759"/>
      <c r="AI325" s="760"/>
      <c r="AJ325" s="761"/>
      <c r="AK325" s="761"/>
      <c r="AL325" s="762"/>
      <c r="AM325" s="763"/>
      <c r="AN325" s="763"/>
      <c r="AO325" s="764"/>
    </row>
    <row r="326">
      <c r="A326" s="602" t="s">
        <v>1190</v>
      </c>
      <c r="B326" s="758"/>
      <c r="C326" s="759"/>
      <c r="D326" s="759"/>
      <c r="E326" s="760"/>
      <c r="F326" s="761"/>
      <c r="G326" s="761"/>
      <c r="H326" s="762"/>
      <c r="I326" s="759"/>
      <c r="J326" s="759"/>
      <c r="K326" s="760"/>
      <c r="L326" s="761"/>
      <c r="M326" s="761"/>
      <c r="N326" s="762"/>
      <c r="O326" s="759"/>
      <c r="P326" s="759"/>
      <c r="Q326" s="760"/>
      <c r="R326" s="761"/>
      <c r="S326" s="761"/>
      <c r="T326" s="762"/>
      <c r="U326" s="759"/>
      <c r="V326" s="759"/>
      <c r="W326" s="760"/>
      <c r="X326" s="761"/>
      <c r="Y326" s="761"/>
      <c r="Z326" s="762"/>
      <c r="AA326" s="759"/>
      <c r="AB326" s="759"/>
      <c r="AC326" s="760"/>
      <c r="AD326" s="761"/>
      <c r="AE326" s="761"/>
      <c r="AF326" s="762"/>
      <c r="AG326" s="759"/>
      <c r="AH326" s="759"/>
      <c r="AI326" s="760"/>
      <c r="AJ326" s="761"/>
      <c r="AK326" s="761"/>
      <c r="AL326" s="762"/>
      <c r="AM326" s="763"/>
      <c r="AN326" s="763"/>
      <c r="AO326" s="764"/>
    </row>
    <row r="327">
      <c r="A327" s="602" t="s">
        <v>1190</v>
      </c>
      <c r="B327" s="758"/>
      <c r="C327" s="759"/>
      <c r="D327" s="759"/>
      <c r="E327" s="760"/>
      <c r="F327" s="761"/>
      <c r="G327" s="761"/>
      <c r="H327" s="762"/>
      <c r="I327" s="759"/>
      <c r="J327" s="759"/>
      <c r="K327" s="760"/>
      <c r="L327" s="761"/>
      <c r="M327" s="761"/>
      <c r="N327" s="762"/>
      <c r="O327" s="759"/>
      <c r="P327" s="759"/>
      <c r="Q327" s="760"/>
      <c r="R327" s="761"/>
      <c r="S327" s="761"/>
      <c r="T327" s="762"/>
      <c r="U327" s="759"/>
      <c r="V327" s="759"/>
      <c r="W327" s="760"/>
      <c r="X327" s="761"/>
      <c r="Y327" s="761"/>
      <c r="Z327" s="762"/>
      <c r="AA327" s="759"/>
      <c r="AB327" s="759"/>
      <c r="AC327" s="760"/>
      <c r="AD327" s="761"/>
      <c r="AE327" s="761"/>
      <c r="AF327" s="762"/>
      <c r="AG327" s="759"/>
      <c r="AH327" s="759"/>
      <c r="AI327" s="760"/>
      <c r="AJ327" s="761"/>
      <c r="AK327" s="761"/>
      <c r="AL327" s="762"/>
      <c r="AM327" s="763"/>
      <c r="AN327" s="763"/>
      <c r="AO327" s="764"/>
    </row>
    <row r="328">
      <c r="A328" s="602" t="s">
        <v>1190</v>
      </c>
      <c r="B328" s="758"/>
      <c r="C328" s="759"/>
      <c r="D328" s="759"/>
      <c r="E328" s="760"/>
      <c r="F328" s="761"/>
      <c r="G328" s="761"/>
      <c r="H328" s="762"/>
      <c r="I328" s="759"/>
      <c r="J328" s="759"/>
      <c r="K328" s="760"/>
      <c r="L328" s="761"/>
      <c r="M328" s="761"/>
      <c r="N328" s="762"/>
      <c r="O328" s="759"/>
      <c r="P328" s="759"/>
      <c r="Q328" s="760"/>
      <c r="R328" s="761"/>
      <c r="S328" s="761"/>
      <c r="T328" s="762"/>
      <c r="U328" s="759"/>
      <c r="V328" s="759"/>
      <c r="W328" s="760"/>
      <c r="X328" s="761"/>
      <c r="Y328" s="761"/>
      <c r="Z328" s="762"/>
      <c r="AA328" s="759"/>
      <c r="AB328" s="759"/>
      <c r="AC328" s="760"/>
      <c r="AD328" s="761"/>
      <c r="AE328" s="761"/>
      <c r="AF328" s="762"/>
      <c r="AG328" s="759"/>
      <c r="AH328" s="759"/>
      <c r="AI328" s="760"/>
      <c r="AJ328" s="761"/>
      <c r="AK328" s="761"/>
      <c r="AL328" s="762"/>
      <c r="AM328" s="763"/>
      <c r="AN328" s="763"/>
      <c r="AO328" s="764"/>
    </row>
    <row r="329">
      <c r="A329" s="602" t="s">
        <v>1190</v>
      </c>
      <c r="B329" s="758"/>
      <c r="C329" s="759"/>
      <c r="D329" s="759"/>
      <c r="E329" s="760"/>
      <c r="F329" s="761"/>
      <c r="G329" s="761"/>
      <c r="H329" s="762"/>
      <c r="I329" s="759"/>
      <c r="J329" s="759"/>
      <c r="K329" s="760"/>
      <c r="L329" s="761"/>
      <c r="M329" s="761"/>
      <c r="N329" s="762"/>
      <c r="O329" s="759"/>
      <c r="P329" s="759"/>
      <c r="Q329" s="760"/>
      <c r="R329" s="761"/>
      <c r="S329" s="761"/>
      <c r="T329" s="762"/>
      <c r="U329" s="759"/>
      <c r="V329" s="759"/>
      <c r="W329" s="760"/>
      <c r="X329" s="761"/>
      <c r="Y329" s="761"/>
      <c r="Z329" s="762"/>
      <c r="AA329" s="759"/>
      <c r="AB329" s="759"/>
      <c r="AC329" s="760"/>
      <c r="AD329" s="761"/>
      <c r="AE329" s="761"/>
      <c r="AF329" s="762"/>
      <c r="AG329" s="759"/>
      <c r="AH329" s="759"/>
      <c r="AI329" s="760"/>
      <c r="AJ329" s="761"/>
      <c r="AK329" s="761"/>
      <c r="AL329" s="762"/>
      <c r="AM329" s="763"/>
      <c r="AN329" s="763"/>
      <c r="AO329" s="764"/>
    </row>
    <row r="330">
      <c r="A330" s="602" t="s">
        <v>1190</v>
      </c>
      <c r="B330" s="758"/>
      <c r="C330" s="759"/>
      <c r="D330" s="759"/>
      <c r="E330" s="760"/>
      <c r="F330" s="761"/>
      <c r="G330" s="761"/>
      <c r="H330" s="762"/>
      <c r="I330" s="759"/>
      <c r="J330" s="759"/>
      <c r="K330" s="760"/>
      <c r="L330" s="761"/>
      <c r="M330" s="761"/>
      <c r="N330" s="762"/>
      <c r="O330" s="759"/>
      <c r="P330" s="759"/>
      <c r="Q330" s="760"/>
      <c r="R330" s="761"/>
      <c r="S330" s="761"/>
      <c r="T330" s="762"/>
      <c r="U330" s="759"/>
      <c r="V330" s="759"/>
      <c r="W330" s="760"/>
      <c r="X330" s="761"/>
      <c r="Y330" s="761"/>
      <c r="Z330" s="762"/>
      <c r="AA330" s="759"/>
      <c r="AB330" s="759"/>
      <c r="AC330" s="760"/>
      <c r="AD330" s="761"/>
      <c r="AE330" s="761"/>
      <c r="AF330" s="762"/>
      <c r="AG330" s="759"/>
      <c r="AH330" s="759"/>
      <c r="AI330" s="760"/>
      <c r="AJ330" s="761"/>
      <c r="AK330" s="761"/>
      <c r="AL330" s="762"/>
      <c r="AM330" s="763"/>
      <c r="AN330" s="763"/>
      <c r="AO330" s="764"/>
    </row>
    <row r="331">
      <c r="A331" s="602" t="s">
        <v>1190</v>
      </c>
      <c r="B331" s="758"/>
      <c r="C331" s="759"/>
      <c r="D331" s="759"/>
      <c r="E331" s="760"/>
      <c r="F331" s="761"/>
      <c r="G331" s="761"/>
      <c r="H331" s="762"/>
      <c r="I331" s="759"/>
      <c r="J331" s="759"/>
      <c r="K331" s="760"/>
      <c r="L331" s="761"/>
      <c r="M331" s="761"/>
      <c r="N331" s="762"/>
      <c r="O331" s="759"/>
      <c r="P331" s="759"/>
      <c r="Q331" s="760"/>
      <c r="R331" s="761"/>
      <c r="S331" s="761"/>
      <c r="T331" s="762"/>
      <c r="U331" s="759"/>
      <c r="V331" s="759"/>
      <c r="W331" s="760"/>
      <c r="X331" s="761"/>
      <c r="Y331" s="761"/>
      <c r="Z331" s="762"/>
      <c r="AA331" s="759"/>
      <c r="AB331" s="759"/>
      <c r="AC331" s="760"/>
      <c r="AD331" s="761"/>
      <c r="AE331" s="761"/>
      <c r="AF331" s="762"/>
      <c r="AG331" s="759"/>
      <c r="AH331" s="759"/>
      <c r="AI331" s="760"/>
      <c r="AJ331" s="761"/>
      <c r="AK331" s="761"/>
      <c r="AL331" s="762"/>
      <c r="AM331" s="763"/>
      <c r="AN331" s="763"/>
      <c r="AO331" s="764"/>
    </row>
    <row r="332">
      <c r="A332" s="602" t="s">
        <v>1190</v>
      </c>
      <c r="B332" s="758"/>
      <c r="C332" s="759"/>
      <c r="D332" s="759"/>
      <c r="E332" s="760"/>
      <c r="F332" s="761"/>
      <c r="G332" s="761"/>
      <c r="H332" s="762"/>
      <c r="I332" s="759"/>
      <c r="J332" s="759"/>
      <c r="K332" s="760"/>
      <c r="L332" s="761"/>
      <c r="M332" s="761"/>
      <c r="N332" s="762"/>
      <c r="O332" s="759"/>
      <c r="P332" s="759"/>
      <c r="Q332" s="760"/>
      <c r="R332" s="761"/>
      <c r="S332" s="761"/>
      <c r="T332" s="762"/>
      <c r="U332" s="759"/>
      <c r="V332" s="759"/>
      <c r="W332" s="760"/>
      <c r="X332" s="761"/>
      <c r="Y332" s="761"/>
      <c r="Z332" s="762"/>
      <c r="AA332" s="759"/>
      <c r="AB332" s="759"/>
      <c r="AC332" s="760"/>
      <c r="AD332" s="761"/>
      <c r="AE332" s="761"/>
      <c r="AF332" s="762"/>
      <c r="AG332" s="759"/>
      <c r="AH332" s="759"/>
      <c r="AI332" s="760"/>
      <c r="AJ332" s="761"/>
      <c r="AK332" s="761"/>
      <c r="AL332" s="762"/>
      <c r="AM332" s="763"/>
      <c r="AN332" s="763"/>
      <c r="AO332" s="764"/>
    </row>
    <row r="333">
      <c r="A333" s="602" t="s">
        <v>1190</v>
      </c>
      <c r="B333" s="758"/>
      <c r="C333" s="759"/>
      <c r="D333" s="759"/>
      <c r="E333" s="760"/>
      <c r="F333" s="761"/>
      <c r="G333" s="761"/>
      <c r="H333" s="762"/>
      <c r="I333" s="759"/>
      <c r="J333" s="759"/>
      <c r="K333" s="760"/>
      <c r="L333" s="761"/>
      <c r="M333" s="761"/>
      <c r="N333" s="762"/>
      <c r="O333" s="759"/>
      <c r="P333" s="759"/>
      <c r="Q333" s="760"/>
      <c r="R333" s="761"/>
      <c r="S333" s="761"/>
      <c r="T333" s="762"/>
      <c r="U333" s="759"/>
      <c r="V333" s="759"/>
      <c r="W333" s="760"/>
      <c r="X333" s="761"/>
      <c r="Y333" s="761"/>
      <c r="Z333" s="762"/>
      <c r="AA333" s="759"/>
      <c r="AB333" s="759"/>
      <c r="AC333" s="760"/>
      <c r="AD333" s="761"/>
      <c r="AE333" s="761"/>
      <c r="AF333" s="762"/>
      <c r="AG333" s="759"/>
      <c r="AH333" s="759"/>
      <c r="AI333" s="760"/>
      <c r="AJ333" s="761"/>
      <c r="AK333" s="761"/>
      <c r="AL333" s="762"/>
      <c r="AM333" s="763"/>
      <c r="AN333" s="763"/>
      <c r="AO333" s="764"/>
    </row>
    <row r="334">
      <c r="A334" s="602" t="s">
        <v>1190</v>
      </c>
      <c r="B334" s="758"/>
      <c r="C334" s="759"/>
      <c r="D334" s="759"/>
      <c r="E334" s="760"/>
      <c r="F334" s="761"/>
      <c r="G334" s="761"/>
      <c r="H334" s="762"/>
      <c r="I334" s="759"/>
      <c r="J334" s="759"/>
      <c r="K334" s="760"/>
      <c r="L334" s="761"/>
      <c r="M334" s="761"/>
      <c r="N334" s="762"/>
      <c r="O334" s="759"/>
      <c r="P334" s="759"/>
      <c r="Q334" s="760"/>
      <c r="R334" s="761"/>
      <c r="S334" s="761"/>
      <c r="T334" s="762"/>
      <c r="U334" s="759"/>
      <c r="V334" s="759"/>
      <c r="W334" s="760"/>
      <c r="X334" s="761"/>
      <c r="Y334" s="761"/>
      <c r="Z334" s="762"/>
      <c r="AA334" s="759"/>
      <c r="AB334" s="759"/>
      <c r="AC334" s="760"/>
      <c r="AD334" s="761"/>
      <c r="AE334" s="761"/>
      <c r="AF334" s="762"/>
      <c r="AG334" s="759"/>
      <c r="AH334" s="759"/>
      <c r="AI334" s="760"/>
      <c r="AJ334" s="761"/>
      <c r="AK334" s="761"/>
      <c r="AL334" s="762"/>
      <c r="AM334" s="763"/>
      <c r="AN334" s="763"/>
      <c r="AO334" s="764"/>
    </row>
    <row r="335">
      <c r="A335" s="602" t="s">
        <v>1190</v>
      </c>
      <c r="B335" s="758"/>
      <c r="C335" s="759"/>
      <c r="D335" s="759"/>
      <c r="E335" s="760"/>
      <c r="F335" s="761"/>
      <c r="G335" s="761"/>
      <c r="H335" s="762"/>
      <c r="I335" s="759"/>
      <c r="J335" s="759"/>
      <c r="K335" s="760"/>
      <c r="L335" s="761"/>
      <c r="M335" s="761"/>
      <c r="N335" s="762"/>
      <c r="O335" s="759"/>
      <c r="P335" s="759"/>
      <c r="Q335" s="760"/>
      <c r="R335" s="761"/>
      <c r="S335" s="761"/>
      <c r="T335" s="762"/>
      <c r="U335" s="759"/>
      <c r="V335" s="759"/>
      <c r="W335" s="760"/>
      <c r="X335" s="761"/>
      <c r="Y335" s="761"/>
      <c r="Z335" s="762"/>
      <c r="AA335" s="759"/>
      <c r="AB335" s="759"/>
      <c r="AC335" s="760"/>
      <c r="AD335" s="761"/>
      <c r="AE335" s="761"/>
      <c r="AF335" s="762"/>
      <c r="AG335" s="759"/>
      <c r="AH335" s="759"/>
      <c r="AI335" s="760"/>
      <c r="AJ335" s="761"/>
      <c r="AK335" s="761"/>
      <c r="AL335" s="762"/>
      <c r="AM335" s="763"/>
      <c r="AN335" s="763"/>
      <c r="AO335" s="764"/>
    </row>
    <row r="336">
      <c r="A336" s="602" t="s">
        <v>1190</v>
      </c>
      <c r="B336" s="758"/>
      <c r="C336" s="759"/>
      <c r="D336" s="759"/>
      <c r="E336" s="760"/>
      <c r="F336" s="761"/>
      <c r="G336" s="761"/>
      <c r="H336" s="762"/>
      <c r="I336" s="759"/>
      <c r="J336" s="759"/>
      <c r="K336" s="760"/>
      <c r="L336" s="761"/>
      <c r="M336" s="761"/>
      <c r="N336" s="762"/>
      <c r="O336" s="759"/>
      <c r="P336" s="759"/>
      <c r="Q336" s="760"/>
      <c r="R336" s="761"/>
      <c r="S336" s="761"/>
      <c r="T336" s="762"/>
      <c r="U336" s="759"/>
      <c r="V336" s="759"/>
      <c r="W336" s="760"/>
      <c r="X336" s="761"/>
      <c r="Y336" s="761"/>
      <c r="Z336" s="762"/>
      <c r="AA336" s="759"/>
      <c r="AB336" s="759"/>
      <c r="AC336" s="760"/>
      <c r="AD336" s="761"/>
      <c r="AE336" s="761"/>
      <c r="AF336" s="762"/>
      <c r="AG336" s="759"/>
      <c r="AH336" s="759"/>
      <c r="AI336" s="760"/>
      <c r="AJ336" s="761"/>
      <c r="AK336" s="761"/>
      <c r="AL336" s="762"/>
      <c r="AM336" s="763"/>
      <c r="AN336" s="763"/>
      <c r="AO336" s="764"/>
    </row>
    <row r="337">
      <c r="A337" s="602" t="s">
        <v>1190</v>
      </c>
      <c r="B337" s="758"/>
      <c r="C337" s="759"/>
      <c r="D337" s="759"/>
      <c r="E337" s="760"/>
      <c r="F337" s="761"/>
      <c r="G337" s="761"/>
      <c r="H337" s="762"/>
      <c r="I337" s="759"/>
      <c r="J337" s="759"/>
      <c r="K337" s="760"/>
      <c r="L337" s="761"/>
      <c r="M337" s="761"/>
      <c r="N337" s="762"/>
      <c r="O337" s="759"/>
      <c r="P337" s="759"/>
      <c r="Q337" s="760"/>
      <c r="R337" s="761"/>
      <c r="S337" s="761"/>
      <c r="T337" s="762"/>
      <c r="U337" s="759"/>
      <c r="V337" s="759"/>
      <c r="W337" s="760"/>
      <c r="X337" s="761"/>
      <c r="Y337" s="761"/>
      <c r="Z337" s="762"/>
      <c r="AA337" s="759"/>
      <c r="AB337" s="759"/>
      <c r="AC337" s="760"/>
      <c r="AD337" s="761"/>
      <c r="AE337" s="761"/>
      <c r="AF337" s="762"/>
      <c r="AG337" s="759"/>
      <c r="AH337" s="759"/>
      <c r="AI337" s="760"/>
      <c r="AJ337" s="761"/>
      <c r="AK337" s="761"/>
      <c r="AL337" s="762"/>
      <c r="AM337" s="763"/>
      <c r="AN337" s="763"/>
      <c r="AO337" s="764"/>
    </row>
    <row r="338">
      <c r="A338" s="602" t="s">
        <v>1190</v>
      </c>
      <c r="B338" s="758"/>
      <c r="C338" s="759"/>
      <c r="D338" s="759"/>
      <c r="E338" s="760"/>
      <c r="F338" s="761"/>
      <c r="G338" s="761"/>
      <c r="H338" s="762"/>
      <c r="I338" s="759"/>
      <c r="J338" s="759"/>
      <c r="K338" s="760"/>
      <c r="L338" s="761"/>
      <c r="M338" s="761"/>
      <c r="N338" s="762"/>
      <c r="O338" s="759"/>
      <c r="P338" s="759"/>
      <c r="Q338" s="760"/>
      <c r="R338" s="761"/>
      <c r="S338" s="761"/>
      <c r="T338" s="762"/>
      <c r="U338" s="759"/>
      <c r="V338" s="759"/>
      <c r="W338" s="760"/>
      <c r="X338" s="761"/>
      <c r="Y338" s="761"/>
      <c r="Z338" s="762"/>
      <c r="AA338" s="759"/>
      <c r="AB338" s="759"/>
      <c r="AC338" s="760"/>
      <c r="AD338" s="761"/>
      <c r="AE338" s="761"/>
      <c r="AF338" s="762"/>
      <c r="AG338" s="759"/>
      <c r="AH338" s="759"/>
      <c r="AI338" s="760"/>
      <c r="AJ338" s="761"/>
      <c r="AK338" s="761"/>
      <c r="AL338" s="762"/>
      <c r="AM338" s="763"/>
      <c r="AN338" s="763"/>
      <c r="AO338" s="764"/>
    </row>
    <row r="339">
      <c r="A339" s="602" t="s">
        <v>1190</v>
      </c>
      <c r="B339" s="758"/>
      <c r="C339" s="759"/>
      <c r="D339" s="759"/>
      <c r="E339" s="760"/>
      <c r="F339" s="761"/>
      <c r="G339" s="761"/>
      <c r="H339" s="762"/>
      <c r="I339" s="759"/>
      <c r="J339" s="759"/>
      <c r="K339" s="760"/>
      <c r="L339" s="761"/>
      <c r="M339" s="761"/>
      <c r="N339" s="762"/>
      <c r="O339" s="759"/>
      <c r="P339" s="759"/>
      <c r="Q339" s="760"/>
      <c r="R339" s="761"/>
      <c r="S339" s="761"/>
      <c r="T339" s="762"/>
      <c r="U339" s="759"/>
      <c r="V339" s="759"/>
      <c r="W339" s="760"/>
      <c r="X339" s="761"/>
      <c r="Y339" s="761"/>
      <c r="Z339" s="762"/>
      <c r="AA339" s="759"/>
      <c r="AB339" s="759"/>
      <c r="AC339" s="760"/>
      <c r="AD339" s="761"/>
      <c r="AE339" s="761"/>
      <c r="AF339" s="762"/>
      <c r="AG339" s="759"/>
      <c r="AH339" s="759"/>
      <c r="AI339" s="760"/>
      <c r="AJ339" s="761"/>
      <c r="AK339" s="761"/>
      <c r="AL339" s="762"/>
      <c r="AM339" s="763"/>
      <c r="AN339" s="763"/>
      <c r="AO339" s="764"/>
    </row>
    <row r="340">
      <c r="A340" s="602" t="s">
        <v>1190</v>
      </c>
      <c r="B340" s="758"/>
      <c r="C340" s="759"/>
      <c r="D340" s="759"/>
      <c r="E340" s="760"/>
      <c r="F340" s="761"/>
      <c r="G340" s="761"/>
      <c r="H340" s="762"/>
      <c r="I340" s="759"/>
      <c r="J340" s="759"/>
      <c r="K340" s="760"/>
      <c r="L340" s="761"/>
      <c r="M340" s="761"/>
      <c r="N340" s="762"/>
      <c r="O340" s="759"/>
      <c r="P340" s="759"/>
      <c r="Q340" s="760"/>
      <c r="R340" s="761"/>
      <c r="S340" s="761"/>
      <c r="T340" s="762"/>
      <c r="U340" s="759"/>
      <c r="V340" s="759"/>
      <c r="W340" s="760"/>
      <c r="X340" s="761"/>
      <c r="Y340" s="761"/>
      <c r="Z340" s="762"/>
      <c r="AA340" s="759"/>
      <c r="AB340" s="759"/>
      <c r="AC340" s="760"/>
      <c r="AD340" s="761"/>
      <c r="AE340" s="761"/>
      <c r="AF340" s="762"/>
      <c r="AG340" s="759"/>
      <c r="AH340" s="759"/>
      <c r="AI340" s="760"/>
      <c r="AJ340" s="761"/>
      <c r="AK340" s="761"/>
      <c r="AL340" s="762"/>
      <c r="AM340" s="763"/>
      <c r="AN340" s="763"/>
      <c r="AO340" s="764"/>
    </row>
    <row r="341">
      <c r="A341" s="602" t="s">
        <v>1190</v>
      </c>
      <c r="B341" s="758"/>
      <c r="C341" s="759"/>
      <c r="D341" s="759"/>
      <c r="E341" s="760"/>
      <c r="F341" s="761"/>
      <c r="G341" s="761"/>
      <c r="H341" s="762"/>
      <c r="I341" s="759"/>
      <c r="J341" s="759"/>
      <c r="K341" s="760"/>
      <c r="L341" s="761"/>
      <c r="M341" s="761"/>
      <c r="N341" s="762"/>
      <c r="O341" s="759"/>
      <c r="P341" s="759"/>
      <c r="Q341" s="760"/>
      <c r="R341" s="761"/>
      <c r="S341" s="761"/>
      <c r="T341" s="762"/>
      <c r="U341" s="759"/>
      <c r="V341" s="759"/>
      <c r="W341" s="760"/>
      <c r="X341" s="761"/>
      <c r="Y341" s="761"/>
      <c r="Z341" s="762"/>
      <c r="AA341" s="759"/>
      <c r="AB341" s="759"/>
      <c r="AC341" s="760"/>
      <c r="AD341" s="761"/>
      <c r="AE341" s="761"/>
      <c r="AF341" s="762"/>
      <c r="AG341" s="759"/>
      <c r="AH341" s="759"/>
      <c r="AI341" s="760"/>
      <c r="AJ341" s="761"/>
      <c r="AK341" s="761"/>
      <c r="AL341" s="762"/>
      <c r="AM341" s="763"/>
      <c r="AN341" s="763"/>
      <c r="AO341" s="764"/>
    </row>
    <row r="342">
      <c r="A342" s="602" t="s">
        <v>1190</v>
      </c>
      <c r="B342" s="758"/>
      <c r="C342" s="759"/>
      <c r="D342" s="759"/>
      <c r="E342" s="760"/>
      <c r="F342" s="761"/>
      <c r="G342" s="761"/>
      <c r="H342" s="762"/>
      <c r="I342" s="759"/>
      <c r="J342" s="759"/>
      <c r="K342" s="760"/>
      <c r="L342" s="761"/>
      <c r="M342" s="761"/>
      <c r="N342" s="762"/>
      <c r="O342" s="759"/>
      <c r="P342" s="759"/>
      <c r="Q342" s="760"/>
      <c r="R342" s="761"/>
      <c r="S342" s="761"/>
      <c r="T342" s="762"/>
      <c r="U342" s="759"/>
      <c r="V342" s="759"/>
      <c r="W342" s="760"/>
      <c r="X342" s="761"/>
      <c r="Y342" s="761"/>
      <c r="Z342" s="762"/>
      <c r="AA342" s="759"/>
      <c r="AB342" s="759"/>
      <c r="AC342" s="760"/>
      <c r="AD342" s="761"/>
      <c r="AE342" s="761"/>
      <c r="AF342" s="762"/>
      <c r="AG342" s="759"/>
      <c r="AH342" s="759"/>
      <c r="AI342" s="760"/>
      <c r="AJ342" s="761"/>
      <c r="AK342" s="761"/>
      <c r="AL342" s="762"/>
      <c r="AM342" s="763"/>
      <c r="AN342" s="763"/>
      <c r="AO342" s="764"/>
    </row>
    <row r="343">
      <c r="A343" s="602" t="s">
        <v>1190</v>
      </c>
      <c r="B343" s="758"/>
      <c r="C343" s="759"/>
      <c r="D343" s="759"/>
      <c r="E343" s="760"/>
      <c r="F343" s="761"/>
      <c r="G343" s="761"/>
      <c r="H343" s="762"/>
      <c r="I343" s="759"/>
      <c r="J343" s="759"/>
      <c r="K343" s="760"/>
      <c r="L343" s="761"/>
      <c r="M343" s="761"/>
      <c r="N343" s="762"/>
      <c r="O343" s="759"/>
      <c r="P343" s="759"/>
      <c r="Q343" s="760"/>
      <c r="R343" s="761"/>
      <c r="S343" s="761"/>
      <c r="T343" s="762"/>
      <c r="U343" s="759"/>
      <c r="V343" s="759"/>
      <c r="W343" s="760"/>
      <c r="X343" s="761"/>
      <c r="Y343" s="761"/>
      <c r="Z343" s="762"/>
      <c r="AA343" s="759"/>
      <c r="AB343" s="759"/>
      <c r="AC343" s="760"/>
      <c r="AD343" s="761"/>
      <c r="AE343" s="761"/>
      <c r="AF343" s="762"/>
      <c r="AG343" s="759"/>
      <c r="AH343" s="759"/>
      <c r="AI343" s="760"/>
      <c r="AJ343" s="761"/>
      <c r="AK343" s="761"/>
      <c r="AL343" s="762"/>
      <c r="AM343" s="763"/>
      <c r="AN343" s="763"/>
      <c r="AO343" s="764"/>
    </row>
    <row r="344">
      <c r="A344" s="602" t="s">
        <v>1190</v>
      </c>
      <c r="B344" s="758"/>
      <c r="C344" s="759"/>
      <c r="D344" s="759"/>
      <c r="E344" s="760"/>
      <c r="F344" s="761"/>
      <c r="G344" s="761"/>
      <c r="H344" s="762"/>
      <c r="I344" s="759"/>
      <c r="J344" s="759"/>
      <c r="K344" s="760"/>
      <c r="L344" s="761"/>
      <c r="M344" s="761"/>
      <c r="N344" s="762"/>
      <c r="O344" s="759"/>
      <c r="P344" s="759"/>
      <c r="Q344" s="760"/>
      <c r="R344" s="761"/>
      <c r="S344" s="761"/>
      <c r="T344" s="762"/>
      <c r="U344" s="759"/>
      <c r="V344" s="759"/>
      <c r="W344" s="760"/>
      <c r="X344" s="761"/>
      <c r="Y344" s="761"/>
      <c r="Z344" s="762"/>
      <c r="AA344" s="759"/>
      <c r="AB344" s="759"/>
      <c r="AC344" s="760"/>
      <c r="AD344" s="761"/>
      <c r="AE344" s="761"/>
      <c r="AF344" s="762"/>
      <c r="AG344" s="759"/>
      <c r="AH344" s="759"/>
      <c r="AI344" s="760"/>
      <c r="AJ344" s="761"/>
      <c r="AK344" s="761"/>
      <c r="AL344" s="762"/>
      <c r="AM344" s="763"/>
      <c r="AN344" s="763"/>
      <c r="AO344" s="764"/>
    </row>
    <row r="345">
      <c r="A345" s="602" t="s">
        <v>1190</v>
      </c>
      <c r="B345" s="758"/>
      <c r="C345" s="759"/>
      <c r="D345" s="759"/>
      <c r="E345" s="760"/>
      <c r="F345" s="761"/>
      <c r="G345" s="761"/>
      <c r="H345" s="762"/>
      <c r="I345" s="759"/>
      <c r="J345" s="759"/>
      <c r="K345" s="760"/>
      <c r="L345" s="761"/>
      <c r="M345" s="761"/>
      <c r="N345" s="762"/>
      <c r="O345" s="759"/>
      <c r="P345" s="759"/>
      <c r="Q345" s="760"/>
      <c r="R345" s="761"/>
      <c r="S345" s="761"/>
      <c r="T345" s="762"/>
      <c r="U345" s="759"/>
      <c r="V345" s="759"/>
      <c r="W345" s="760"/>
      <c r="X345" s="761"/>
      <c r="Y345" s="761"/>
      <c r="Z345" s="762"/>
      <c r="AA345" s="759"/>
      <c r="AB345" s="759"/>
      <c r="AC345" s="760"/>
      <c r="AD345" s="761"/>
      <c r="AE345" s="761"/>
      <c r="AF345" s="762"/>
      <c r="AG345" s="759"/>
      <c r="AH345" s="759"/>
      <c r="AI345" s="760"/>
      <c r="AJ345" s="761"/>
      <c r="AK345" s="761"/>
      <c r="AL345" s="762"/>
      <c r="AM345" s="763"/>
      <c r="AN345" s="763"/>
      <c r="AO345" s="764"/>
    </row>
    <row r="346">
      <c r="A346" s="602" t="s">
        <v>1190</v>
      </c>
      <c r="B346" s="758"/>
      <c r="C346" s="759"/>
      <c r="D346" s="759"/>
      <c r="E346" s="760"/>
      <c r="F346" s="761"/>
      <c r="G346" s="761"/>
      <c r="H346" s="762"/>
      <c r="I346" s="759"/>
      <c r="J346" s="759"/>
      <c r="K346" s="760"/>
      <c r="L346" s="761"/>
      <c r="M346" s="761"/>
      <c r="N346" s="762"/>
      <c r="O346" s="759"/>
      <c r="P346" s="759"/>
      <c r="Q346" s="760"/>
      <c r="R346" s="761"/>
      <c r="S346" s="761"/>
      <c r="T346" s="762"/>
      <c r="U346" s="759"/>
      <c r="V346" s="759"/>
      <c r="W346" s="760"/>
      <c r="X346" s="761"/>
      <c r="Y346" s="761"/>
      <c r="Z346" s="762"/>
      <c r="AA346" s="759"/>
      <c r="AB346" s="759"/>
      <c r="AC346" s="760"/>
      <c r="AD346" s="761"/>
      <c r="AE346" s="761"/>
      <c r="AF346" s="762"/>
      <c r="AG346" s="759"/>
      <c r="AH346" s="759"/>
      <c r="AI346" s="760"/>
      <c r="AJ346" s="761"/>
      <c r="AK346" s="761"/>
      <c r="AL346" s="762"/>
      <c r="AM346" s="763"/>
      <c r="AN346" s="763"/>
      <c r="AO346" s="764"/>
    </row>
    <row r="347">
      <c r="A347" s="602" t="s">
        <v>1190</v>
      </c>
      <c r="B347" s="758"/>
      <c r="C347" s="759"/>
      <c r="D347" s="759"/>
      <c r="E347" s="760"/>
      <c r="F347" s="761"/>
      <c r="G347" s="761"/>
      <c r="H347" s="762"/>
      <c r="I347" s="759"/>
      <c r="J347" s="759"/>
      <c r="K347" s="760"/>
      <c r="L347" s="761"/>
      <c r="M347" s="761"/>
      <c r="N347" s="762"/>
      <c r="O347" s="759"/>
      <c r="P347" s="759"/>
      <c r="Q347" s="760"/>
      <c r="R347" s="761"/>
      <c r="S347" s="761"/>
      <c r="T347" s="762"/>
      <c r="U347" s="759"/>
      <c r="V347" s="759"/>
      <c r="W347" s="760"/>
      <c r="X347" s="761"/>
      <c r="Y347" s="761"/>
      <c r="Z347" s="762"/>
      <c r="AA347" s="759"/>
      <c r="AB347" s="759"/>
      <c r="AC347" s="760"/>
      <c r="AD347" s="761"/>
      <c r="AE347" s="761"/>
      <c r="AF347" s="762"/>
      <c r="AG347" s="759"/>
      <c r="AH347" s="759"/>
      <c r="AI347" s="760"/>
      <c r="AJ347" s="761"/>
      <c r="AK347" s="761"/>
      <c r="AL347" s="762"/>
      <c r="AM347" s="763"/>
      <c r="AN347" s="763"/>
      <c r="AO347" s="764"/>
    </row>
    <row r="348">
      <c r="A348" s="602" t="s">
        <v>1190</v>
      </c>
      <c r="B348" s="758"/>
      <c r="C348" s="759"/>
      <c r="D348" s="759"/>
      <c r="E348" s="760"/>
      <c r="F348" s="761"/>
      <c r="G348" s="761"/>
      <c r="H348" s="762"/>
      <c r="I348" s="759"/>
      <c r="J348" s="759"/>
      <c r="K348" s="760"/>
      <c r="L348" s="761"/>
      <c r="M348" s="761"/>
      <c r="N348" s="762"/>
      <c r="O348" s="759"/>
      <c r="P348" s="759"/>
      <c r="Q348" s="760"/>
      <c r="R348" s="761"/>
      <c r="S348" s="761"/>
      <c r="T348" s="762"/>
      <c r="U348" s="759"/>
      <c r="V348" s="759"/>
      <c r="W348" s="760"/>
      <c r="X348" s="761"/>
      <c r="Y348" s="761"/>
      <c r="Z348" s="762"/>
      <c r="AA348" s="759"/>
      <c r="AB348" s="759"/>
      <c r="AC348" s="760"/>
      <c r="AD348" s="761"/>
      <c r="AE348" s="761"/>
      <c r="AF348" s="762"/>
      <c r="AG348" s="759"/>
      <c r="AH348" s="759"/>
      <c r="AI348" s="760"/>
      <c r="AJ348" s="761"/>
      <c r="AK348" s="761"/>
      <c r="AL348" s="762"/>
      <c r="AM348" s="763"/>
      <c r="AN348" s="763"/>
      <c r="AO348" s="764"/>
    </row>
    <row r="349">
      <c r="A349" s="602" t="s">
        <v>1190</v>
      </c>
      <c r="B349" s="758"/>
      <c r="C349" s="759"/>
      <c r="D349" s="759"/>
      <c r="E349" s="760"/>
      <c r="F349" s="761"/>
      <c r="G349" s="761"/>
      <c r="H349" s="762"/>
      <c r="I349" s="759"/>
      <c r="J349" s="759"/>
      <c r="K349" s="760"/>
      <c r="L349" s="761"/>
      <c r="M349" s="761"/>
      <c r="N349" s="762"/>
      <c r="O349" s="759"/>
      <c r="P349" s="759"/>
      <c r="Q349" s="760"/>
      <c r="R349" s="761"/>
      <c r="S349" s="761"/>
      <c r="T349" s="762"/>
      <c r="U349" s="759"/>
      <c r="V349" s="759"/>
      <c r="W349" s="760"/>
      <c r="X349" s="761"/>
      <c r="Y349" s="761"/>
      <c r="Z349" s="762"/>
      <c r="AA349" s="759"/>
      <c r="AB349" s="759"/>
      <c r="AC349" s="760"/>
      <c r="AD349" s="761"/>
      <c r="AE349" s="761"/>
      <c r="AF349" s="762"/>
      <c r="AG349" s="759"/>
      <c r="AH349" s="759"/>
      <c r="AI349" s="760"/>
      <c r="AJ349" s="761"/>
      <c r="AK349" s="761"/>
      <c r="AL349" s="762"/>
      <c r="AM349" s="763"/>
      <c r="AN349" s="763"/>
      <c r="AO349" s="764"/>
    </row>
    <row r="350">
      <c r="A350" s="602" t="s">
        <v>1190</v>
      </c>
      <c r="B350" s="758"/>
      <c r="C350" s="759"/>
      <c r="D350" s="759"/>
      <c r="E350" s="760"/>
      <c r="F350" s="761"/>
      <c r="G350" s="761"/>
      <c r="H350" s="762"/>
      <c r="I350" s="759"/>
      <c r="J350" s="759"/>
      <c r="K350" s="760"/>
      <c r="L350" s="761"/>
      <c r="M350" s="761"/>
      <c r="N350" s="762"/>
      <c r="O350" s="759"/>
      <c r="P350" s="759"/>
      <c r="Q350" s="760"/>
      <c r="R350" s="761"/>
      <c r="S350" s="761"/>
      <c r="T350" s="762"/>
      <c r="U350" s="759"/>
      <c r="V350" s="759"/>
      <c r="W350" s="760"/>
      <c r="X350" s="761"/>
      <c r="Y350" s="761"/>
      <c r="Z350" s="762"/>
      <c r="AA350" s="759"/>
      <c r="AB350" s="759"/>
      <c r="AC350" s="760"/>
      <c r="AD350" s="761"/>
      <c r="AE350" s="761"/>
      <c r="AF350" s="762"/>
      <c r="AG350" s="759"/>
      <c r="AH350" s="759"/>
      <c r="AI350" s="760"/>
      <c r="AJ350" s="761"/>
      <c r="AK350" s="761"/>
      <c r="AL350" s="762"/>
      <c r="AM350" s="763"/>
      <c r="AN350" s="763"/>
      <c r="AO350" s="764"/>
    </row>
    <row r="351">
      <c r="A351" s="602" t="s">
        <v>1190</v>
      </c>
      <c r="B351" s="758"/>
      <c r="C351" s="759"/>
      <c r="D351" s="759"/>
      <c r="E351" s="760"/>
      <c r="F351" s="761"/>
      <c r="G351" s="761"/>
      <c r="H351" s="762"/>
      <c r="I351" s="759"/>
      <c r="J351" s="759"/>
      <c r="K351" s="760"/>
      <c r="L351" s="761"/>
      <c r="M351" s="761"/>
      <c r="N351" s="762"/>
      <c r="O351" s="759"/>
      <c r="P351" s="759"/>
      <c r="Q351" s="760"/>
      <c r="R351" s="761"/>
      <c r="S351" s="761"/>
      <c r="T351" s="762"/>
      <c r="U351" s="759"/>
      <c r="V351" s="759"/>
      <c r="W351" s="760"/>
      <c r="X351" s="761"/>
      <c r="Y351" s="761"/>
      <c r="Z351" s="762"/>
      <c r="AA351" s="759"/>
      <c r="AB351" s="759"/>
      <c r="AC351" s="760"/>
      <c r="AD351" s="761"/>
      <c r="AE351" s="761"/>
      <c r="AF351" s="762"/>
      <c r="AG351" s="759"/>
      <c r="AH351" s="759"/>
      <c r="AI351" s="760"/>
      <c r="AJ351" s="761"/>
      <c r="AK351" s="761"/>
      <c r="AL351" s="762"/>
      <c r="AM351" s="763"/>
      <c r="AN351" s="763"/>
      <c r="AO351" s="764"/>
    </row>
    <row r="352">
      <c r="A352" s="602" t="s">
        <v>1190</v>
      </c>
      <c r="B352" s="758"/>
      <c r="C352" s="759"/>
      <c r="D352" s="759"/>
      <c r="E352" s="760"/>
      <c r="F352" s="761"/>
      <c r="G352" s="761"/>
      <c r="H352" s="762"/>
      <c r="I352" s="759"/>
      <c r="J352" s="759"/>
      <c r="K352" s="760"/>
      <c r="L352" s="761"/>
      <c r="M352" s="761"/>
      <c r="N352" s="762"/>
      <c r="O352" s="759"/>
      <c r="P352" s="759"/>
      <c r="Q352" s="760"/>
      <c r="R352" s="761"/>
      <c r="S352" s="761"/>
      <c r="T352" s="762"/>
      <c r="U352" s="759"/>
      <c r="V352" s="759"/>
      <c r="W352" s="760"/>
      <c r="X352" s="761"/>
      <c r="Y352" s="761"/>
      <c r="Z352" s="762"/>
      <c r="AA352" s="759"/>
      <c r="AB352" s="759"/>
      <c r="AC352" s="760"/>
      <c r="AD352" s="761"/>
      <c r="AE352" s="761"/>
      <c r="AF352" s="762"/>
      <c r="AG352" s="759"/>
      <c r="AH352" s="759"/>
      <c r="AI352" s="760"/>
      <c r="AJ352" s="761"/>
      <c r="AK352" s="761"/>
      <c r="AL352" s="762"/>
      <c r="AM352" s="763"/>
      <c r="AN352" s="763"/>
      <c r="AO352" s="764"/>
    </row>
    <row r="353">
      <c r="A353" s="602" t="s">
        <v>1190</v>
      </c>
      <c r="B353" s="758"/>
      <c r="C353" s="759"/>
      <c r="D353" s="759"/>
      <c r="E353" s="760"/>
      <c r="F353" s="761"/>
      <c r="G353" s="761"/>
      <c r="H353" s="762"/>
      <c r="I353" s="759"/>
      <c r="J353" s="759"/>
      <c r="K353" s="760"/>
      <c r="L353" s="761"/>
      <c r="M353" s="761"/>
      <c r="N353" s="762"/>
      <c r="O353" s="759"/>
      <c r="P353" s="759"/>
      <c r="Q353" s="760"/>
      <c r="R353" s="761"/>
      <c r="S353" s="761"/>
      <c r="T353" s="762"/>
      <c r="U353" s="759"/>
      <c r="V353" s="759"/>
      <c r="W353" s="760"/>
      <c r="X353" s="761"/>
      <c r="Y353" s="761"/>
      <c r="Z353" s="762"/>
      <c r="AA353" s="759"/>
      <c r="AB353" s="759"/>
      <c r="AC353" s="760"/>
      <c r="AD353" s="761"/>
      <c r="AE353" s="761"/>
      <c r="AF353" s="762"/>
      <c r="AG353" s="759"/>
      <c r="AH353" s="759"/>
      <c r="AI353" s="760"/>
      <c r="AJ353" s="761"/>
      <c r="AK353" s="761"/>
      <c r="AL353" s="762"/>
      <c r="AM353" s="763"/>
      <c r="AN353" s="763"/>
      <c r="AO353" s="764"/>
    </row>
    <row r="354">
      <c r="A354" s="602" t="s">
        <v>1190</v>
      </c>
      <c r="B354" s="758"/>
      <c r="C354" s="759"/>
      <c r="D354" s="759"/>
      <c r="E354" s="760"/>
      <c r="F354" s="761"/>
      <c r="G354" s="761"/>
      <c r="H354" s="762"/>
      <c r="I354" s="759"/>
      <c r="J354" s="759"/>
      <c r="K354" s="760"/>
      <c r="L354" s="761"/>
      <c r="M354" s="761"/>
      <c r="N354" s="762"/>
      <c r="O354" s="759"/>
      <c r="P354" s="759"/>
      <c r="Q354" s="760"/>
      <c r="R354" s="761"/>
      <c r="S354" s="761"/>
      <c r="T354" s="762"/>
      <c r="U354" s="759"/>
      <c r="V354" s="759"/>
      <c r="W354" s="760"/>
      <c r="X354" s="761"/>
      <c r="Y354" s="761"/>
      <c r="Z354" s="762"/>
      <c r="AA354" s="759"/>
      <c r="AB354" s="759"/>
      <c r="AC354" s="760"/>
      <c r="AD354" s="761"/>
      <c r="AE354" s="761"/>
      <c r="AF354" s="762"/>
      <c r="AG354" s="759"/>
      <c r="AH354" s="759"/>
      <c r="AI354" s="760"/>
      <c r="AJ354" s="761"/>
      <c r="AK354" s="761"/>
      <c r="AL354" s="762"/>
      <c r="AM354" s="763"/>
      <c r="AN354" s="763"/>
      <c r="AO354" s="764"/>
    </row>
    <row r="355">
      <c r="A355" s="602" t="s">
        <v>1190</v>
      </c>
      <c r="B355" s="758"/>
      <c r="C355" s="759"/>
      <c r="D355" s="759"/>
      <c r="E355" s="760"/>
      <c r="F355" s="761"/>
      <c r="G355" s="761"/>
      <c r="H355" s="762"/>
      <c r="I355" s="759"/>
      <c r="J355" s="759"/>
      <c r="K355" s="760"/>
      <c r="L355" s="761"/>
      <c r="M355" s="761"/>
      <c r="N355" s="762"/>
      <c r="O355" s="759"/>
      <c r="P355" s="759"/>
      <c r="Q355" s="760"/>
      <c r="R355" s="761"/>
      <c r="S355" s="761"/>
      <c r="T355" s="762"/>
      <c r="U355" s="759"/>
      <c r="V355" s="759"/>
      <c r="W355" s="760"/>
      <c r="X355" s="761"/>
      <c r="Y355" s="761"/>
      <c r="Z355" s="762"/>
      <c r="AA355" s="759"/>
      <c r="AB355" s="759"/>
      <c r="AC355" s="760"/>
      <c r="AD355" s="761"/>
      <c r="AE355" s="761"/>
      <c r="AF355" s="762"/>
      <c r="AG355" s="759"/>
      <c r="AH355" s="759"/>
      <c r="AI355" s="760"/>
      <c r="AJ355" s="761"/>
      <c r="AK355" s="761"/>
      <c r="AL355" s="762"/>
      <c r="AM355" s="763"/>
      <c r="AN355" s="763"/>
      <c r="AO355" s="764"/>
    </row>
    <row r="356">
      <c r="A356" s="602" t="s">
        <v>1190</v>
      </c>
      <c r="B356" s="758"/>
      <c r="C356" s="759"/>
      <c r="D356" s="759"/>
      <c r="E356" s="760"/>
      <c r="F356" s="761"/>
      <c r="G356" s="761"/>
      <c r="H356" s="762"/>
      <c r="I356" s="759"/>
      <c r="J356" s="759"/>
      <c r="K356" s="760"/>
      <c r="L356" s="761"/>
      <c r="M356" s="761"/>
      <c r="N356" s="762"/>
      <c r="O356" s="759"/>
      <c r="P356" s="759"/>
      <c r="Q356" s="760"/>
      <c r="R356" s="761"/>
      <c r="S356" s="761"/>
      <c r="T356" s="762"/>
      <c r="U356" s="759"/>
      <c r="V356" s="759"/>
      <c r="W356" s="760"/>
      <c r="X356" s="761"/>
      <c r="Y356" s="761"/>
      <c r="Z356" s="762"/>
      <c r="AA356" s="759"/>
      <c r="AB356" s="759"/>
      <c r="AC356" s="760"/>
      <c r="AD356" s="761"/>
      <c r="AE356" s="761"/>
      <c r="AF356" s="762"/>
      <c r="AG356" s="759"/>
      <c r="AH356" s="759"/>
      <c r="AI356" s="760"/>
      <c r="AJ356" s="761"/>
      <c r="AK356" s="761"/>
      <c r="AL356" s="762"/>
      <c r="AM356" s="763"/>
      <c r="AN356" s="763"/>
      <c r="AO356" s="764"/>
    </row>
    <row r="357">
      <c r="A357" s="602" t="s">
        <v>1190</v>
      </c>
      <c r="B357" s="758"/>
      <c r="C357" s="759"/>
      <c r="D357" s="759"/>
      <c r="E357" s="760"/>
      <c r="F357" s="761"/>
      <c r="G357" s="761"/>
      <c r="H357" s="762"/>
      <c r="I357" s="759"/>
      <c r="J357" s="759"/>
      <c r="K357" s="760"/>
      <c r="L357" s="761"/>
      <c r="M357" s="761"/>
      <c r="N357" s="762"/>
      <c r="O357" s="759"/>
      <c r="P357" s="759"/>
      <c r="Q357" s="760"/>
      <c r="R357" s="761"/>
      <c r="S357" s="761"/>
      <c r="T357" s="762"/>
      <c r="U357" s="759"/>
      <c r="V357" s="759"/>
      <c r="W357" s="760"/>
      <c r="X357" s="761"/>
      <c r="Y357" s="761"/>
      <c r="Z357" s="762"/>
      <c r="AA357" s="759"/>
      <c r="AB357" s="759"/>
      <c r="AC357" s="760"/>
      <c r="AD357" s="761"/>
      <c r="AE357" s="761"/>
      <c r="AF357" s="762"/>
      <c r="AG357" s="759"/>
      <c r="AH357" s="759"/>
      <c r="AI357" s="760"/>
      <c r="AJ357" s="761"/>
      <c r="AK357" s="761"/>
      <c r="AL357" s="762"/>
      <c r="AM357" s="763"/>
      <c r="AN357" s="763"/>
      <c r="AO357" s="764"/>
    </row>
    <row r="358">
      <c r="A358" s="602" t="s">
        <v>1190</v>
      </c>
      <c r="B358" s="758"/>
      <c r="C358" s="759"/>
      <c r="D358" s="759"/>
      <c r="E358" s="760"/>
      <c r="F358" s="761"/>
      <c r="G358" s="761"/>
      <c r="H358" s="762"/>
      <c r="I358" s="759"/>
      <c r="J358" s="759"/>
      <c r="K358" s="760"/>
      <c r="L358" s="761"/>
      <c r="M358" s="761"/>
      <c r="N358" s="762"/>
      <c r="O358" s="759"/>
      <c r="P358" s="759"/>
      <c r="Q358" s="760"/>
      <c r="R358" s="761"/>
      <c r="S358" s="761"/>
      <c r="T358" s="762"/>
      <c r="U358" s="759"/>
      <c r="V358" s="759"/>
      <c r="W358" s="760"/>
      <c r="X358" s="761"/>
      <c r="Y358" s="761"/>
      <c r="Z358" s="762"/>
      <c r="AA358" s="759"/>
      <c r="AB358" s="759"/>
      <c r="AC358" s="760"/>
      <c r="AD358" s="761"/>
      <c r="AE358" s="761"/>
      <c r="AF358" s="762"/>
      <c r="AG358" s="759"/>
      <c r="AH358" s="759"/>
      <c r="AI358" s="760"/>
      <c r="AJ358" s="761"/>
      <c r="AK358" s="761"/>
      <c r="AL358" s="762"/>
      <c r="AM358" s="763"/>
      <c r="AN358" s="763"/>
      <c r="AO358" s="764"/>
    </row>
    <row r="359">
      <c r="A359" s="602" t="s">
        <v>1190</v>
      </c>
      <c r="B359" s="758"/>
      <c r="C359" s="759"/>
      <c r="D359" s="759"/>
      <c r="E359" s="760"/>
      <c r="F359" s="761"/>
      <c r="G359" s="761"/>
      <c r="H359" s="762"/>
      <c r="I359" s="759"/>
      <c r="J359" s="759"/>
      <c r="K359" s="760"/>
      <c r="L359" s="761"/>
      <c r="M359" s="761"/>
      <c r="N359" s="762"/>
      <c r="O359" s="759"/>
      <c r="P359" s="759"/>
      <c r="Q359" s="760"/>
      <c r="R359" s="761"/>
      <c r="S359" s="761"/>
      <c r="T359" s="762"/>
      <c r="U359" s="759"/>
      <c r="V359" s="759"/>
      <c r="W359" s="760"/>
      <c r="X359" s="761"/>
      <c r="Y359" s="761"/>
      <c r="Z359" s="762"/>
      <c r="AA359" s="759"/>
      <c r="AB359" s="759"/>
      <c r="AC359" s="760"/>
      <c r="AD359" s="761"/>
      <c r="AE359" s="761"/>
      <c r="AF359" s="762"/>
      <c r="AG359" s="759"/>
      <c r="AH359" s="759"/>
      <c r="AI359" s="760"/>
      <c r="AJ359" s="761"/>
      <c r="AK359" s="761"/>
      <c r="AL359" s="762"/>
      <c r="AM359" s="763"/>
      <c r="AN359" s="763"/>
      <c r="AO359" s="764"/>
    </row>
    <row r="360">
      <c r="A360" s="602" t="s">
        <v>1190</v>
      </c>
      <c r="B360" s="758"/>
      <c r="C360" s="759"/>
      <c r="D360" s="759"/>
      <c r="E360" s="760"/>
      <c r="F360" s="761"/>
      <c r="G360" s="761"/>
      <c r="H360" s="762"/>
      <c r="I360" s="759"/>
      <c r="J360" s="759"/>
      <c r="K360" s="760"/>
      <c r="L360" s="761"/>
      <c r="M360" s="761"/>
      <c r="N360" s="762"/>
      <c r="O360" s="759"/>
      <c r="P360" s="759"/>
      <c r="Q360" s="760"/>
      <c r="R360" s="761"/>
      <c r="S360" s="761"/>
      <c r="T360" s="762"/>
      <c r="U360" s="759"/>
      <c r="V360" s="759"/>
      <c r="W360" s="760"/>
      <c r="X360" s="761"/>
      <c r="Y360" s="761"/>
      <c r="Z360" s="762"/>
      <c r="AA360" s="759"/>
      <c r="AB360" s="759"/>
      <c r="AC360" s="760"/>
      <c r="AD360" s="761"/>
      <c r="AE360" s="761"/>
      <c r="AF360" s="762"/>
      <c r="AG360" s="759"/>
      <c r="AH360" s="759"/>
      <c r="AI360" s="760"/>
      <c r="AJ360" s="761"/>
      <c r="AK360" s="761"/>
      <c r="AL360" s="762"/>
      <c r="AM360" s="763"/>
      <c r="AN360" s="763"/>
      <c r="AO360" s="764"/>
    </row>
    <row r="361">
      <c r="A361" s="602" t="s">
        <v>1190</v>
      </c>
      <c r="B361" s="758"/>
      <c r="C361" s="759"/>
      <c r="D361" s="759"/>
      <c r="E361" s="760"/>
      <c r="F361" s="761"/>
      <c r="G361" s="761"/>
      <c r="H361" s="762"/>
      <c r="I361" s="759"/>
      <c r="J361" s="759"/>
      <c r="K361" s="760"/>
      <c r="L361" s="761"/>
      <c r="M361" s="761"/>
      <c r="N361" s="762"/>
      <c r="O361" s="759"/>
      <c r="P361" s="759"/>
      <c r="Q361" s="760"/>
      <c r="R361" s="761"/>
      <c r="S361" s="761"/>
      <c r="T361" s="762"/>
      <c r="U361" s="759"/>
      <c r="V361" s="759"/>
      <c r="W361" s="760"/>
      <c r="X361" s="761"/>
      <c r="Y361" s="761"/>
      <c r="Z361" s="762"/>
      <c r="AA361" s="759"/>
      <c r="AB361" s="759"/>
      <c r="AC361" s="760"/>
      <c r="AD361" s="761"/>
      <c r="AE361" s="761"/>
      <c r="AF361" s="762"/>
      <c r="AG361" s="759"/>
      <c r="AH361" s="759"/>
      <c r="AI361" s="760"/>
      <c r="AJ361" s="761"/>
      <c r="AK361" s="761"/>
      <c r="AL361" s="762"/>
      <c r="AM361" s="763"/>
      <c r="AN361" s="763"/>
      <c r="AO361" s="764"/>
    </row>
    <row r="362">
      <c r="A362" s="602" t="s">
        <v>1190</v>
      </c>
      <c r="B362" s="758"/>
      <c r="C362" s="759"/>
      <c r="D362" s="759"/>
      <c r="E362" s="760"/>
      <c r="F362" s="761"/>
      <c r="G362" s="761"/>
      <c r="H362" s="762"/>
      <c r="I362" s="759"/>
      <c r="J362" s="759"/>
      <c r="K362" s="760"/>
      <c r="L362" s="761"/>
      <c r="M362" s="761"/>
      <c r="N362" s="762"/>
      <c r="O362" s="759"/>
      <c r="P362" s="759"/>
      <c r="Q362" s="760"/>
      <c r="R362" s="761"/>
      <c r="S362" s="761"/>
      <c r="T362" s="762"/>
      <c r="U362" s="759"/>
      <c r="V362" s="759"/>
      <c r="W362" s="760"/>
      <c r="X362" s="761"/>
      <c r="Y362" s="761"/>
      <c r="Z362" s="762"/>
      <c r="AA362" s="759"/>
      <c r="AB362" s="759"/>
      <c r="AC362" s="760"/>
      <c r="AD362" s="761"/>
      <c r="AE362" s="761"/>
      <c r="AF362" s="762"/>
      <c r="AG362" s="759"/>
      <c r="AH362" s="759"/>
      <c r="AI362" s="760"/>
      <c r="AJ362" s="761"/>
      <c r="AK362" s="761"/>
      <c r="AL362" s="762"/>
      <c r="AM362" s="763"/>
      <c r="AN362" s="763"/>
      <c r="AO362" s="764"/>
    </row>
    <row r="363">
      <c r="A363" s="602" t="s">
        <v>1190</v>
      </c>
      <c r="B363" s="758"/>
      <c r="C363" s="759"/>
      <c r="D363" s="759"/>
      <c r="E363" s="760"/>
      <c r="F363" s="761"/>
      <c r="G363" s="761"/>
      <c r="H363" s="762"/>
      <c r="I363" s="759"/>
      <c r="J363" s="759"/>
      <c r="K363" s="760"/>
      <c r="L363" s="761"/>
      <c r="M363" s="761"/>
      <c r="N363" s="762"/>
      <c r="O363" s="759"/>
      <c r="P363" s="759"/>
      <c r="Q363" s="760"/>
      <c r="R363" s="761"/>
      <c r="S363" s="761"/>
      <c r="T363" s="762"/>
      <c r="U363" s="759"/>
      <c r="V363" s="759"/>
      <c r="W363" s="760"/>
      <c r="X363" s="761"/>
      <c r="Y363" s="761"/>
      <c r="Z363" s="762"/>
      <c r="AA363" s="759"/>
      <c r="AB363" s="759"/>
      <c r="AC363" s="760"/>
      <c r="AD363" s="761"/>
      <c r="AE363" s="761"/>
      <c r="AF363" s="762"/>
      <c r="AG363" s="759"/>
      <c r="AH363" s="759"/>
      <c r="AI363" s="760"/>
      <c r="AJ363" s="761"/>
      <c r="AK363" s="761"/>
      <c r="AL363" s="762"/>
      <c r="AM363" s="763"/>
      <c r="AN363" s="763"/>
      <c r="AO363" s="764"/>
    </row>
    <row r="364">
      <c r="A364" s="602" t="s">
        <v>1190</v>
      </c>
      <c r="B364" s="758"/>
      <c r="C364" s="759"/>
      <c r="D364" s="759"/>
      <c r="E364" s="760"/>
      <c r="F364" s="761"/>
      <c r="G364" s="761"/>
      <c r="H364" s="762"/>
      <c r="I364" s="759"/>
      <c r="J364" s="759"/>
      <c r="K364" s="760"/>
      <c r="L364" s="761"/>
      <c r="M364" s="761"/>
      <c r="N364" s="762"/>
      <c r="O364" s="759"/>
      <c r="P364" s="759"/>
      <c r="Q364" s="760"/>
      <c r="R364" s="761"/>
      <c r="S364" s="761"/>
      <c r="T364" s="762"/>
      <c r="U364" s="759"/>
      <c r="V364" s="759"/>
      <c r="W364" s="760"/>
      <c r="X364" s="761"/>
      <c r="Y364" s="761"/>
      <c r="Z364" s="762"/>
      <c r="AA364" s="759"/>
      <c r="AB364" s="759"/>
      <c r="AC364" s="760"/>
      <c r="AD364" s="761"/>
      <c r="AE364" s="761"/>
      <c r="AF364" s="762"/>
      <c r="AG364" s="759"/>
      <c r="AH364" s="759"/>
      <c r="AI364" s="760"/>
      <c r="AJ364" s="761"/>
      <c r="AK364" s="761"/>
      <c r="AL364" s="762"/>
      <c r="AM364" s="763"/>
      <c r="AN364" s="763"/>
      <c r="AO364" s="764"/>
    </row>
    <row r="365">
      <c r="A365" s="602" t="s">
        <v>1190</v>
      </c>
      <c r="B365" s="758"/>
      <c r="C365" s="759"/>
      <c r="D365" s="759"/>
      <c r="E365" s="760"/>
      <c r="F365" s="761"/>
      <c r="G365" s="761"/>
      <c r="H365" s="762"/>
      <c r="I365" s="759"/>
      <c r="J365" s="759"/>
      <c r="K365" s="760"/>
      <c r="L365" s="761"/>
      <c r="M365" s="761"/>
      <c r="N365" s="762"/>
      <c r="O365" s="759"/>
      <c r="P365" s="759"/>
      <c r="Q365" s="760"/>
      <c r="R365" s="761"/>
      <c r="S365" s="761"/>
      <c r="T365" s="762"/>
      <c r="U365" s="759"/>
      <c r="V365" s="759"/>
      <c r="W365" s="760"/>
      <c r="X365" s="761"/>
      <c r="Y365" s="761"/>
      <c r="Z365" s="762"/>
      <c r="AA365" s="759"/>
      <c r="AB365" s="759"/>
      <c r="AC365" s="760"/>
      <c r="AD365" s="761"/>
      <c r="AE365" s="761"/>
      <c r="AF365" s="762"/>
      <c r="AG365" s="759"/>
      <c r="AH365" s="759"/>
      <c r="AI365" s="760"/>
      <c r="AJ365" s="761"/>
      <c r="AK365" s="761"/>
      <c r="AL365" s="762"/>
      <c r="AM365" s="763"/>
      <c r="AN365" s="763"/>
      <c r="AO365" s="764"/>
    </row>
    <row r="366">
      <c r="A366" s="602" t="s">
        <v>1190</v>
      </c>
      <c r="B366" s="758"/>
      <c r="C366" s="759"/>
      <c r="D366" s="759"/>
      <c r="E366" s="760"/>
      <c r="F366" s="761"/>
      <c r="G366" s="761"/>
      <c r="H366" s="762"/>
      <c r="I366" s="759"/>
      <c r="J366" s="759"/>
      <c r="K366" s="760"/>
      <c r="L366" s="761"/>
      <c r="M366" s="761"/>
      <c r="N366" s="762"/>
      <c r="O366" s="759"/>
      <c r="P366" s="759"/>
      <c r="Q366" s="760"/>
      <c r="R366" s="761"/>
      <c r="S366" s="761"/>
      <c r="T366" s="762"/>
      <c r="U366" s="759"/>
      <c r="V366" s="759"/>
      <c r="W366" s="760"/>
      <c r="X366" s="761"/>
      <c r="Y366" s="761"/>
      <c r="Z366" s="762"/>
      <c r="AA366" s="759"/>
      <c r="AB366" s="759"/>
      <c r="AC366" s="760"/>
      <c r="AD366" s="761"/>
      <c r="AE366" s="761"/>
      <c r="AF366" s="762"/>
      <c r="AG366" s="759"/>
      <c r="AH366" s="759"/>
      <c r="AI366" s="760"/>
      <c r="AJ366" s="761"/>
      <c r="AK366" s="761"/>
      <c r="AL366" s="762"/>
      <c r="AM366" s="763"/>
      <c r="AN366" s="763"/>
      <c r="AO366" s="764"/>
    </row>
    <row r="367">
      <c r="A367" s="602" t="s">
        <v>1190</v>
      </c>
      <c r="B367" s="758"/>
      <c r="C367" s="759"/>
      <c r="D367" s="759"/>
      <c r="E367" s="760"/>
      <c r="F367" s="761"/>
      <c r="G367" s="761"/>
      <c r="H367" s="762"/>
      <c r="I367" s="759"/>
      <c r="J367" s="759"/>
      <c r="K367" s="760"/>
      <c r="L367" s="761"/>
      <c r="M367" s="761"/>
      <c r="N367" s="762"/>
      <c r="O367" s="759"/>
      <c r="P367" s="759"/>
      <c r="Q367" s="760"/>
      <c r="R367" s="761"/>
      <c r="S367" s="761"/>
      <c r="T367" s="762"/>
      <c r="U367" s="759"/>
      <c r="V367" s="759"/>
      <c r="W367" s="760"/>
      <c r="X367" s="761"/>
      <c r="Y367" s="761"/>
      <c r="Z367" s="762"/>
      <c r="AA367" s="759"/>
      <c r="AB367" s="759"/>
      <c r="AC367" s="760"/>
      <c r="AD367" s="761"/>
      <c r="AE367" s="761"/>
      <c r="AF367" s="762"/>
      <c r="AG367" s="759"/>
      <c r="AH367" s="759"/>
      <c r="AI367" s="760"/>
      <c r="AJ367" s="761"/>
      <c r="AK367" s="761"/>
      <c r="AL367" s="762"/>
      <c r="AM367" s="763"/>
      <c r="AN367" s="763"/>
      <c r="AO367" s="764"/>
    </row>
    <row r="368">
      <c r="A368" s="602" t="s">
        <v>1190</v>
      </c>
      <c r="B368" s="758"/>
      <c r="C368" s="759"/>
      <c r="D368" s="759"/>
      <c r="E368" s="760"/>
      <c r="F368" s="761"/>
      <c r="G368" s="761"/>
      <c r="H368" s="762"/>
      <c r="I368" s="759"/>
      <c r="J368" s="759"/>
      <c r="K368" s="760"/>
      <c r="L368" s="761"/>
      <c r="M368" s="761"/>
      <c r="N368" s="762"/>
      <c r="O368" s="759"/>
      <c r="P368" s="759"/>
      <c r="Q368" s="760"/>
      <c r="R368" s="761"/>
      <c r="S368" s="761"/>
      <c r="T368" s="762"/>
      <c r="U368" s="759"/>
      <c r="V368" s="759"/>
      <c r="W368" s="760"/>
      <c r="X368" s="761"/>
      <c r="Y368" s="761"/>
      <c r="Z368" s="762"/>
      <c r="AA368" s="759"/>
      <c r="AB368" s="759"/>
      <c r="AC368" s="760"/>
      <c r="AD368" s="761"/>
      <c r="AE368" s="761"/>
      <c r="AF368" s="762"/>
      <c r="AG368" s="759"/>
      <c r="AH368" s="759"/>
      <c r="AI368" s="760"/>
      <c r="AJ368" s="761"/>
      <c r="AK368" s="761"/>
      <c r="AL368" s="762"/>
      <c r="AM368" s="763"/>
      <c r="AN368" s="763"/>
      <c r="AO368" s="764"/>
    </row>
    <row r="369">
      <c r="A369" s="602" t="s">
        <v>1190</v>
      </c>
      <c r="B369" s="758"/>
      <c r="C369" s="759"/>
      <c r="D369" s="759"/>
      <c r="E369" s="760"/>
      <c r="F369" s="761"/>
      <c r="G369" s="761"/>
      <c r="H369" s="762"/>
      <c r="I369" s="759"/>
      <c r="J369" s="759"/>
      <c r="K369" s="760"/>
      <c r="L369" s="761"/>
      <c r="M369" s="761"/>
      <c r="N369" s="762"/>
      <c r="O369" s="759"/>
      <c r="P369" s="759"/>
      <c r="Q369" s="760"/>
      <c r="R369" s="761"/>
      <c r="S369" s="761"/>
      <c r="T369" s="762"/>
      <c r="U369" s="759"/>
      <c r="V369" s="759"/>
      <c r="W369" s="760"/>
      <c r="X369" s="761"/>
      <c r="Y369" s="761"/>
      <c r="Z369" s="762"/>
      <c r="AA369" s="759"/>
      <c r="AB369" s="759"/>
      <c r="AC369" s="760"/>
      <c r="AD369" s="761"/>
      <c r="AE369" s="761"/>
      <c r="AF369" s="762"/>
      <c r="AG369" s="759"/>
      <c r="AH369" s="759"/>
      <c r="AI369" s="760"/>
      <c r="AJ369" s="761"/>
      <c r="AK369" s="761"/>
      <c r="AL369" s="762"/>
      <c r="AM369" s="763"/>
      <c r="AN369" s="763"/>
      <c r="AO369" s="764"/>
    </row>
    <row r="370">
      <c r="A370" s="602" t="s">
        <v>1190</v>
      </c>
      <c r="B370" s="758"/>
      <c r="C370" s="759"/>
      <c r="D370" s="759"/>
      <c r="E370" s="760"/>
      <c r="F370" s="761"/>
      <c r="G370" s="761"/>
      <c r="H370" s="762"/>
      <c r="I370" s="759"/>
      <c r="J370" s="759"/>
      <c r="K370" s="760"/>
      <c r="L370" s="761"/>
      <c r="M370" s="761"/>
      <c r="N370" s="762"/>
      <c r="O370" s="759"/>
      <c r="P370" s="759"/>
      <c r="Q370" s="760"/>
      <c r="R370" s="761"/>
      <c r="S370" s="761"/>
      <c r="T370" s="762"/>
      <c r="U370" s="759"/>
      <c r="V370" s="759"/>
      <c r="W370" s="760"/>
      <c r="X370" s="761"/>
      <c r="Y370" s="761"/>
      <c r="Z370" s="762"/>
      <c r="AA370" s="759"/>
      <c r="AB370" s="759"/>
      <c r="AC370" s="760"/>
      <c r="AD370" s="761"/>
      <c r="AE370" s="761"/>
      <c r="AF370" s="762"/>
      <c r="AG370" s="759"/>
      <c r="AH370" s="759"/>
      <c r="AI370" s="760"/>
      <c r="AJ370" s="761"/>
      <c r="AK370" s="761"/>
      <c r="AL370" s="762"/>
      <c r="AM370" s="763"/>
      <c r="AN370" s="763"/>
      <c r="AO370" s="764"/>
    </row>
    <row r="371">
      <c r="A371" s="602" t="s">
        <v>1190</v>
      </c>
      <c r="B371" s="758"/>
      <c r="C371" s="759"/>
      <c r="D371" s="759"/>
      <c r="E371" s="760"/>
      <c r="F371" s="761"/>
      <c r="G371" s="761"/>
      <c r="H371" s="762"/>
      <c r="I371" s="759"/>
      <c r="J371" s="759"/>
      <c r="K371" s="760"/>
      <c r="L371" s="761"/>
      <c r="M371" s="761"/>
      <c r="N371" s="762"/>
      <c r="O371" s="759"/>
      <c r="P371" s="759"/>
      <c r="Q371" s="760"/>
      <c r="R371" s="761"/>
      <c r="S371" s="761"/>
      <c r="T371" s="762"/>
      <c r="U371" s="759"/>
      <c r="V371" s="759"/>
      <c r="W371" s="760"/>
      <c r="X371" s="761"/>
      <c r="Y371" s="761"/>
      <c r="Z371" s="762"/>
      <c r="AA371" s="759"/>
      <c r="AB371" s="759"/>
      <c r="AC371" s="760"/>
      <c r="AD371" s="761"/>
      <c r="AE371" s="761"/>
      <c r="AF371" s="762"/>
      <c r="AG371" s="759"/>
      <c r="AH371" s="759"/>
      <c r="AI371" s="760"/>
      <c r="AJ371" s="761"/>
      <c r="AK371" s="761"/>
      <c r="AL371" s="762"/>
      <c r="AM371" s="763"/>
      <c r="AN371" s="763"/>
      <c r="AO371" s="764"/>
    </row>
    <row r="372">
      <c r="A372" s="602" t="s">
        <v>1190</v>
      </c>
      <c r="B372" s="758"/>
      <c r="C372" s="759"/>
      <c r="D372" s="759"/>
      <c r="E372" s="760"/>
      <c r="F372" s="761"/>
      <c r="G372" s="761"/>
      <c r="H372" s="762"/>
      <c r="I372" s="759"/>
      <c r="J372" s="759"/>
      <c r="K372" s="760"/>
      <c r="L372" s="761"/>
      <c r="M372" s="761"/>
      <c r="N372" s="762"/>
      <c r="O372" s="759"/>
      <c r="P372" s="759"/>
      <c r="Q372" s="760"/>
      <c r="R372" s="761"/>
      <c r="S372" s="761"/>
      <c r="T372" s="762"/>
      <c r="U372" s="759"/>
      <c r="V372" s="759"/>
      <c r="W372" s="760"/>
      <c r="X372" s="761"/>
      <c r="Y372" s="761"/>
      <c r="Z372" s="762"/>
      <c r="AA372" s="759"/>
      <c r="AB372" s="759"/>
      <c r="AC372" s="760"/>
      <c r="AD372" s="761"/>
      <c r="AE372" s="761"/>
      <c r="AF372" s="762"/>
      <c r="AG372" s="759"/>
      <c r="AH372" s="759"/>
      <c r="AI372" s="760"/>
      <c r="AJ372" s="761"/>
      <c r="AK372" s="761"/>
      <c r="AL372" s="762"/>
      <c r="AM372" s="763"/>
      <c r="AN372" s="763"/>
      <c r="AO372" s="764"/>
    </row>
    <row r="373">
      <c r="A373" s="602" t="s">
        <v>1190</v>
      </c>
      <c r="B373" s="758"/>
      <c r="C373" s="759"/>
      <c r="D373" s="759"/>
      <c r="E373" s="760"/>
      <c r="F373" s="761"/>
      <c r="G373" s="761"/>
      <c r="H373" s="762"/>
      <c r="I373" s="759"/>
      <c r="J373" s="759"/>
      <c r="K373" s="760"/>
      <c r="L373" s="761"/>
      <c r="M373" s="761"/>
      <c r="N373" s="762"/>
      <c r="O373" s="759"/>
      <c r="P373" s="759"/>
      <c r="Q373" s="760"/>
      <c r="R373" s="761"/>
      <c r="S373" s="761"/>
      <c r="T373" s="762"/>
      <c r="U373" s="759"/>
      <c r="V373" s="759"/>
      <c r="W373" s="760"/>
      <c r="X373" s="761"/>
      <c r="Y373" s="761"/>
      <c r="Z373" s="762"/>
      <c r="AA373" s="759"/>
      <c r="AB373" s="759"/>
      <c r="AC373" s="760"/>
      <c r="AD373" s="761"/>
      <c r="AE373" s="761"/>
      <c r="AF373" s="762"/>
      <c r="AG373" s="759"/>
      <c r="AH373" s="759"/>
      <c r="AI373" s="760"/>
      <c r="AJ373" s="761"/>
      <c r="AK373" s="761"/>
      <c r="AL373" s="762"/>
      <c r="AM373" s="763"/>
      <c r="AN373" s="763"/>
      <c r="AO373" s="764"/>
    </row>
    <row r="374">
      <c r="A374" s="602" t="s">
        <v>1190</v>
      </c>
      <c r="B374" s="758"/>
      <c r="C374" s="759"/>
      <c r="D374" s="759"/>
      <c r="E374" s="760"/>
      <c r="F374" s="761"/>
      <c r="G374" s="761"/>
      <c r="H374" s="762"/>
      <c r="I374" s="759"/>
      <c r="J374" s="759"/>
      <c r="K374" s="760"/>
      <c r="L374" s="761"/>
      <c r="M374" s="761"/>
      <c r="N374" s="762"/>
      <c r="O374" s="759"/>
      <c r="P374" s="759"/>
      <c r="Q374" s="760"/>
      <c r="R374" s="761"/>
      <c r="S374" s="761"/>
      <c r="T374" s="762"/>
      <c r="U374" s="759"/>
      <c r="V374" s="759"/>
      <c r="W374" s="760"/>
      <c r="X374" s="761"/>
      <c r="Y374" s="761"/>
      <c r="Z374" s="762"/>
      <c r="AA374" s="759"/>
      <c r="AB374" s="759"/>
      <c r="AC374" s="760"/>
      <c r="AD374" s="761"/>
      <c r="AE374" s="761"/>
      <c r="AF374" s="762"/>
      <c r="AG374" s="759"/>
      <c r="AH374" s="759"/>
      <c r="AI374" s="760"/>
      <c r="AJ374" s="761"/>
      <c r="AK374" s="761"/>
      <c r="AL374" s="762"/>
      <c r="AM374" s="763"/>
      <c r="AN374" s="763"/>
      <c r="AO374" s="764"/>
    </row>
    <row r="375">
      <c r="A375" s="602" t="s">
        <v>1190</v>
      </c>
      <c r="B375" s="758"/>
      <c r="C375" s="759"/>
      <c r="D375" s="759"/>
      <c r="E375" s="760"/>
      <c r="F375" s="761"/>
      <c r="G375" s="761"/>
      <c r="H375" s="762"/>
      <c r="I375" s="759"/>
      <c r="J375" s="759"/>
      <c r="K375" s="760"/>
      <c r="L375" s="761"/>
      <c r="M375" s="761"/>
      <c r="N375" s="762"/>
      <c r="O375" s="759"/>
      <c r="P375" s="759"/>
      <c r="Q375" s="760"/>
      <c r="R375" s="761"/>
      <c r="S375" s="761"/>
      <c r="T375" s="762"/>
      <c r="U375" s="759"/>
      <c r="V375" s="759"/>
      <c r="W375" s="760"/>
      <c r="X375" s="761"/>
      <c r="Y375" s="761"/>
      <c r="Z375" s="762"/>
      <c r="AA375" s="759"/>
      <c r="AB375" s="759"/>
      <c r="AC375" s="760"/>
      <c r="AD375" s="761"/>
      <c r="AE375" s="761"/>
      <c r="AF375" s="762"/>
      <c r="AG375" s="759"/>
      <c r="AH375" s="759"/>
      <c r="AI375" s="760"/>
      <c r="AJ375" s="761"/>
      <c r="AK375" s="761"/>
      <c r="AL375" s="762"/>
      <c r="AM375" s="763"/>
      <c r="AN375" s="763"/>
      <c r="AO375" s="764"/>
    </row>
    <row r="376">
      <c r="A376" s="602" t="s">
        <v>1190</v>
      </c>
      <c r="B376" s="758"/>
      <c r="C376" s="759"/>
      <c r="D376" s="759"/>
      <c r="E376" s="760"/>
      <c r="F376" s="761"/>
      <c r="G376" s="761"/>
      <c r="H376" s="762"/>
      <c r="I376" s="759"/>
      <c r="J376" s="759"/>
      <c r="K376" s="760"/>
      <c r="L376" s="761"/>
      <c r="M376" s="761"/>
      <c r="N376" s="762"/>
      <c r="O376" s="759"/>
      <c r="P376" s="759"/>
      <c r="Q376" s="760"/>
      <c r="R376" s="761"/>
      <c r="S376" s="761"/>
      <c r="T376" s="762"/>
      <c r="U376" s="759"/>
      <c r="V376" s="759"/>
      <c r="W376" s="760"/>
      <c r="X376" s="761"/>
      <c r="Y376" s="761"/>
      <c r="Z376" s="762"/>
      <c r="AA376" s="759"/>
      <c r="AB376" s="759"/>
      <c r="AC376" s="760"/>
      <c r="AD376" s="761"/>
      <c r="AE376" s="761"/>
      <c r="AF376" s="762"/>
      <c r="AG376" s="759"/>
      <c r="AH376" s="759"/>
      <c r="AI376" s="760"/>
      <c r="AJ376" s="761"/>
      <c r="AK376" s="761"/>
      <c r="AL376" s="762"/>
      <c r="AM376" s="763"/>
      <c r="AN376" s="763"/>
      <c r="AO376" s="764"/>
    </row>
    <row r="377">
      <c r="A377" s="602" t="s">
        <v>1190</v>
      </c>
      <c r="B377" s="758"/>
      <c r="C377" s="759"/>
      <c r="D377" s="759"/>
      <c r="E377" s="760"/>
      <c r="F377" s="761"/>
      <c r="G377" s="761"/>
      <c r="H377" s="762"/>
      <c r="I377" s="759"/>
      <c r="J377" s="759"/>
      <c r="K377" s="760"/>
      <c r="L377" s="761"/>
      <c r="M377" s="761"/>
      <c r="N377" s="762"/>
      <c r="O377" s="759"/>
      <c r="P377" s="759"/>
      <c r="Q377" s="760"/>
      <c r="R377" s="761"/>
      <c r="S377" s="761"/>
      <c r="T377" s="762"/>
      <c r="U377" s="759"/>
      <c r="V377" s="759"/>
      <c r="W377" s="760"/>
      <c r="X377" s="761"/>
      <c r="Y377" s="761"/>
      <c r="Z377" s="762"/>
      <c r="AA377" s="759"/>
      <c r="AB377" s="759"/>
      <c r="AC377" s="760"/>
      <c r="AD377" s="761"/>
      <c r="AE377" s="761"/>
      <c r="AF377" s="762"/>
      <c r="AG377" s="759"/>
      <c r="AH377" s="759"/>
      <c r="AI377" s="760"/>
      <c r="AJ377" s="761"/>
      <c r="AK377" s="761"/>
      <c r="AL377" s="762"/>
      <c r="AM377" s="763"/>
      <c r="AN377" s="763"/>
      <c r="AO377" s="764"/>
    </row>
    <row r="378">
      <c r="A378" s="602" t="s">
        <v>1190</v>
      </c>
      <c r="B378" s="758"/>
      <c r="C378" s="759"/>
      <c r="D378" s="759"/>
      <c r="E378" s="760"/>
      <c r="F378" s="761"/>
      <c r="G378" s="761"/>
      <c r="H378" s="762"/>
      <c r="I378" s="759"/>
      <c r="J378" s="759"/>
      <c r="K378" s="760"/>
      <c r="L378" s="761"/>
      <c r="M378" s="761"/>
      <c r="N378" s="762"/>
      <c r="O378" s="759"/>
      <c r="P378" s="759"/>
      <c r="Q378" s="760"/>
      <c r="R378" s="761"/>
      <c r="S378" s="761"/>
      <c r="T378" s="762"/>
      <c r="U378" s="759"/>
      <c r="V378" s="759"/>
      <c r="W378" s="760"/>
      <c r="X378" s="761"/>
      <c r="Y378" s="761"/>
      <c r="Z378" s="762"/>
      <c r="AA378" s="759"/>
      <c r="AB378" s="759"/>
      <c r="AC378" s="760"/>
      <c r="AD378" s="761"/>
      <c r="AE378" s="761"/>
      <c r="AF378" s="762"/>
      <c r="AG378" s="759"/>
      <c r="AH378" s="759"/>
      <c r="AI378" s="760"/>
      <c r="AJ378" s="761"/>
      <c r="AK378" s="761"/>
      <c r="AL378" s="762"/>
      <c r="AM378" s="763"/>
      <c r="AN378" s="763"/>
      <c r="AO378" s="764"/>
    </row>
    <row r="379">
      <c r="A379" s="602" t="s">
        <v>1190</v>
      </c>
      <c r="B379" s="758"/>
      <c r="C379" s="759"/>
      <c r="D379" s="759"/>
      <c r="E379" s="760"/>
      <c r="F379" s="761"/>
      <c r="G379" s="761"/>
      <c r="H379" s="762"/>
      <c r="I379" s="759"/>
      <c r="J379" s="759"/>
      <c r="K379" s="760"/>
      <c r="L379" s="761"/>
      <c r="M379" s="761"/>
      <c r="N379" s="762"/>
      <c r="O379" s="759"/>
      <c r="P379" s="759"/>
      <c r="Q379" s="760"/>
      <c r="R379" s="761"/>
      <c r="S379" s="761"/>
      <c r="T379" s="762"/>
      <c r="U379" s="759"/>
      <c r="V379" s="759"/>
      <c r="W379" s="760"/>
      <c r="X379" s="761"/>
      <c r="Y379" s="761"/>
      <c r="Z379" s="762"/>
      <c r="AA379" s="759"/>
      <c r="AB379" s="759"/>
      <c r="AC379" s="760"/>
      <c r="AD379" s="761"/>
      <c r="AE379" s="761"/>
      <c r="AF379" s="762"/>
      <c r="AG379" s="759"/>
      <c r="AH379" s="759"/>
      <c r="AI379" s="760"/>
      <c r="AJ379" s="761"/>
      <c r="AK379" s="761"/>
      <c r="AL379" s="762"/>
      <c r="AM379" s="763"/>
      <c r="AN379" s="763"/>
      <c r="AO379" s="764"/>
    </row>
    <row r="380">
      <c r="A380" s="602" t="s">
        <v>1190</v>
      </c>
      <c r="B380" s="758"/>
      <c r="C380" s="759"/>
      <c r="D380" s="759"/>
      <c r="E380" s="760"/>
      <c r="F380" s="761"/>
      <c r="G380" s="761"/>
      <c r="H380" s="762"/>
      <c r="I380" s="759"/>
      <c r="J380" s="759"/>
      <c r="K380" s="760"/>
      <c r="L380" s="761"/>
      <c r="M380" s="761"/>
      <c r="N380" s="762"/>
      <c r="O380" s="759"/>
      <c r="P380" s="759"/>
      <c r="Q380" s="760"/>
      <c r="R380" s="761"/>
      <c r="S380" s="761"/>
      <c r="T380" s="762"/>
      <c r="U380" s="759"/>
      <c r="V380" s="759"/>
      <c r="W380" s="760"/>
      <c r="X380" s="761"/>
      <c r="Y380" s="761"/>
      <c r="Z380" s="762"/>
      <c r="AA380" s="759"/>
      <c r="AB380" s="759"/>
      <c r="AC380" s="760"/>
      <c r="AD380" s="761"/>
      <c r="AE380" s="761"/>
      <c r="AF380" s="762"/>
      <c r="AG380" s="759"/>
      <c r="AH380" s="759"/>
      <c r="AI380" s="760"/>
      <c r="AJ380" s="761"/>
      <c r="AK380" s="761"/>
      <c r="AL380" s="762"/>
      <c r="AM380" s="763"/>
      <c r="AN380" s="763"/>
      <c r="AO380" s="764"/>
    </row>
    <row r="381">
      <c r="A381" s="602" t="s">
        <v>1190</v>
      </c>
      <c r="B381" s="758"/>
      <c r="C381" s="759"/>
      <c r="D381" s="759"/>
      <c r="E381" s="760"/>
      <c r="F381" s="761"/>
      <c r="G381" s="761"/>
      <c r="H381" s="762"/>
      <c r="I381" s="759"/>
      <c r="J381" s="759"/>
      <c r="K381" s="760"/>
      <c r="L381" s="761"/>
      <c r="M381" s="761"/>
      <c r="N381" s="762"/>
      <c r="O381" s="759"/>
      <c r="P381" s="759"/>
      <c r="Q381" s="760"/>
      <c r="R381" s="761"/>
      <c r="S381" s="761"/>
      <c r="T381" s="762"/>
      <c r="U381" s="759"/>
      <c r="V381" s="759"/>
      <c r="W381" s="760"/>
      <c r="X381" s="761"/>
      <c r="Y381" s="761"/>
      <c r="Z381" s="762"/>
      <c r="AA381" s="759"/>
      <c r="AB381" s="759"/>
      <c r="AC381" s="760"/>
      <c r="AD381" s="761"/>
      <c r="AE381" s="761"/>
      <c r="AF381" s="762"/>
      <c r="AG381" s="759"/>
      <c r="AH381" s="759"/>
      <c r="AI381" s="760"/>
      <c r="AJ381" s="761"/>
      <c r="AK381" s="761"/>
      <c r="AL381" s="762"/>
      <c r="AM381" s="763"/>
      <c r="AN381" s="763"/>
      <c r="AO381" s="764"/>
    </row>
    <row r="382">
      <c r="A382" s="602" t="s">
        <v>1190</v>
      </c>
      <c r="B382" s="758"/>
      <c r="C382" s="759"/>
      <c r="D382" s="759"/>
      <c r="E382" s="760"/>
      <c r="F382" s="761"/>
      <c r="G382" s="761"/>
      <c r="H382" s="762"/>
      <c r="I382" s="759"/>
      <c r="J382" s="759"/>
      <c r="K382" s="760"/>
      <c r="L382" s="761"/>
      <c r="M382" s="761"/>
      <c r="N382" s="762"/>
      <c r="O382" s="759"/>
      <c r="P382" s="759"/>
      <c r="Q382" s="760"/>
      <c r="R382" s="761"/>
      <c r="S382" s="761"/>
      <c r="T382" s="762"/>
      <c r="U382" s="759"/>
      <c r="V382" s="759"/>
      <c r="W382" s="760"/>
      <c r="X382" s="761"/>
      <c r="Y382" s="761"/>
      <c r="Z382" s="762"/>
      <c r="AA382" s="759"/>
      <c r="AB382" s="759"/>
      <c r="AC382" s="760"/>
      <c r="AD382" s="761"/>
      <c r="AE382" s="761"/>
      <c r="AF382" s="762"/>
      <c r="AG382" s="759"/>
      <c r="AH382" s="759"/>
      <c r="AI382" s="760"/>
      <c r="AJ382" s="761"/>
      <c r="AK382" s="761"/>
      <c r="AL382" s="762"/>
      <c r="AM382" s="763"/>
      <c r="AN382" s="763"/>
      <c r="AO382" s="764"/>
    </row>
    <row r="383">
      <c r="A383" s="602" t="s">
        <v>1190</v>
      </c>
      <c r="B383" s="758"/>
      <c r="C383" s="759"/>
      <c r="D383" s="759"/>
      <c r="E383" s="760"/>
      <c r="F383" s="761"/>
      <c r="G383" s="761"/>
      <c r="H383" s="762"/>
      <c r="I383" s="759"/>
      <c r="J383" s="759"/>
      <c r="K383" s="760"/>
      <c r="L383" s="761"/>
      <c r="M383" s="761"/>
      <c r="N383" s="762"/>
      <c r="O383" s="759"/>
      <c r="P383" s="759"/>
      <c r="Q383" s="760"/>
      <c r="R383" s="761"/>
      <c r="S383" s="761"/>
      <c r="T383" s="762"/>
      <c r="U383" s="759"/>
      <c r="V383" s="759"/>
      <c r="W383" s="760"/>
      <c r="X383" s="761"/>
      <c r="Y383" s="761"/>
      <c r="Z383" s="762"/>
      <c r="AA383" s="759"/>
      <c r="AB383" s="759"/>
      <c r="AC383" s="760"/>
      <c r="AD383" s="761"/>
      <c r="AE383" s="761"/>
      <c r="AF383" s="762"/>
      <c r="AG383" s="759"/>
      <c r="AH383" s="759"/>
      <c r="AI383" s="760"/>
      <c r="AJ383" s="761"/>
      <c r="AK383" s="761"/>
      <c r="AL383" s="762"/>
      <c r="AM383" s="763"/>
      <c r="AN383" s="763"/>
      <c r="AO383" s="764"/>
    </row>
    <row r="384">
      <c r="A384" s="602" t="s">
        <v>1190</v>
      </c>
      <c r="B384" s="758"/>
      <c r="C384" s="759"/>
      <c r="D384" s="759"/>
      <c r="E384" s="760"/>
      <c r="F384" s="761"/>
      <c r="G384" s="761"/>
      <c r="H384" s="762"/>
      <c r="I384" s="759"/>
      <c r="J384" s="759"/>
      <c r="K384" s="760"/>
      <c r="L384" s="761"/>
      <c r="M384" s="761"/>
      <c r="N384" s="762"/>
      <c r="O384" s="759"/>
      <c r="P384" s="759"/>
      <c r="Q384" s="760"/>
      <c r="R384" s="761"/>
      <c r="S384" s="761"/>
      <c r="T384" s="762"/>
      <c r="U384" s="759"/>
      <c r="V384" s="759"/>
      <c r="W384" s="760"/>
      <c r="X384" s="761"/>
      <c r="Y384" s="761"/>
      <c r="Z384" s="762"/>
      <c r="AA384" s="759"/>
      <c r="AB384" s="759"/>
      <c r="AC384" s="760"/>
      <c r="AD384" s="761"/>
      <c r="AE384" s="761"/>
      <c r="AF384" s="762"/>
      <c r="AG384" s="759"/>
      <c r="AH384" s="759"/>
      <c r="AI384" s="760"/>
      <c r="AJ384" s="761"/>
      <c r="AK384" s="761"/>
      <c r="AL384" s="762"/>
      <c r="AM384" s="763"/>
      <c r="AN384" s="763"/>
      <c r="AO384" s="764"/>
    </row>
    <row r="385">
      <c r="A385" s="602" t="s">
        <v>1190</v>
      </c>
      <c r="B385" s="758"/>
      <c r="C385" s="759"/>
      <c r="D385" s="759"/>
      <c r="E385" s="760"/>
      <c r="F385" s="761"/>
      <c r="G385" s="761"/>
      <c r="H385" s="762"/>
      <c r="I385" s="759"/>
      <c r="J385" s="759"/>
      <c r="K385" s="760"/>
      <c r="L385" s="761"/>
      <c r="M385" s="761"/>
      <c r="N385" s="762"/>
      <c r="O385" s="759"/>
      <c r="P385" s="759"/>
      <c r="Q385" s="760"/>
      <c r="R385" s="761"/>
      <c r="S385" s="761"/>
      <c r="T385" s="762"/>
      <c r="U385" s="759"/>
      <c r="V385" s="759"/>
      <c r="W385" s="760"/>
      <c r="X385" s="761"/>
      <c r="Y385" s="761"/>
      <c r="Z385" s="762"/>
      <c r="AA385" s="759"/>
      <c r="AB385" s="759"/>
      <c r="AC385" s="760"/>
      <c r="AD385" s="761"/>
      <c r="AE385" s="761"/>
      <c r="AF385" s="762"/>
      <c r="AG385" s="759"/>
      <c r="AH385" s="759"/>
      <c r="AI385" s="760"/>
      <c r="AJ385" s="761"/>
      <c r="AK385" s="761"/>
      <c r="AL385" s="762"/>
      <c r="AM385" s="763"/>
      <c r="AN385" s="763"/>
      <c r="AO385" s="764"/>
    </row>
    <row r="386">
      <c r="A386" s="602" t="s">
        <v>1190</v>
      </c>
      <c r="B386" s="758"/>
      <c r="C386" s="759"/>
      <c r="D386" s="759"/>
      <c r="E386" s="760"/>
      <c r="F386" s="761"/>
      <c r="G386" s="761"/>
      <c r="H386" s="762"/>
      <c r="I386" s="759"/>
      <c r="J386" s="759"/>
      <c r="K386" s="760"/>
      <c r="L386" s="761"/>
      <c r="M386" s="761"/>
      <c r="N386" s="762"/>
      <c r="O386" s="759"/>
      <c r="P386" s="759"/>
      <c r="Q386" s="760"/>
      <c r="R386" s="761"/>
      <c r="S386" s="761"/>
      <c r="T386" s="762"/>
      <c r="U386" s="759"/>
      <c r="V386" s="759"/>
      <c r="W386" s="760"/>
      <c r="X386" s="761"/>
      <c r="Y386" s="761"/>
      <c r="Z386" s="762"/>
      <c r="AA386" s="759"/>
      <c r="AB386" s="759"/>
      <c r="AC386" s="760"/>
      <c r="AD386" s="761"/>
      <c r="AE386" s="761"/>
      <c r="AF386" s="762"/>
      <c r="AG386" s="759"/>
      <c r="AH386" s="759"/>
      <c r="AI386" s="760"/>
      <c r="AJ386" s="761"/>
      <c r="AK386" s="761"/>
      <c r="AL386" s="762"/>
      <c r="AM386" s="763"/>
      <c r="AN386" s="763"/>
      <c r="AO386" s="764"/>
    </row>
    <row r="387">
      <c r="A387" s="602" t="s">
        <v>1190</v>
      </c>
      <c r="B387" s="758"/>
      <c r="C387" s="759"/>
      <c r="D387" s="759"/>
      <c r="E387" s="760"/>
      <c r="F387" s="761"/>
      <c r="G387" s="761"/>
      <c r="H387" s="762"/>
      <c r="I387" s="759"/>
      <c r="J387" s="759"/>
      <c r="K387" s="760"/>
      <c r="L387" s="761"/>
      <c r="M387" s="761"/>
      <c r="N387" s="762"/>
      <c r="O387" s="759"/>
      <c r="P387" s="759"/>
      <c r="Q387" s="760"/>
      <c r="R387" s="761"/>
      <c r="S387" s="761"/>
      <c r="T387" s="762"/>
      <c r="U387" s="759"/>
      <c r="V387" s="759"/>
      <c r="W387" s="760"/>
      <c r="X387" s="761"/>
      <c r="Y387" s="761"/>
      <c r="Z387" s="762"/>
      <c r="AA387" s="759"/>
      <c r="AB387" s="759"/>
      <c r="AC387" s="760"/>
      <c r="AD387" s="761"/>
      <c r="AE387" s="761"/>
      <c r="AF387" s="762"/>
      <c r="AG387" s="759"/>
      <c r="AH387" s="759"/>
      <c r="AI387" s="760"/>
      <c r="AJ387" s="761"/>
      <c r="AK387" s="761"/>
      <c r="AL387" s="762"/>
      <c r="AM387" s="763"/>
      <c r="AN387" s="763"/>
      <c r="AO387" s="764"/>
    </row>
    <row r="388">
      <c r="A388" s="602" t="s">
        <v>1190</v>
      </c>
      <c r="B388" s="758"/>
      <c r="C388" s="759"/>
      <c r="D388" s="759"/>
      <c r="E388" s="760"/>
      <c r="F388" s="761"/>
      <c r="G388" s="761"/>
      <c r="H388" s="762"/>
      <c r="I388" s="759"/>
      <c r="J388" s="759"/>
      <c r="K388" s="760"/>
      <c r="L388" s="761"/>
      <c r="M388" s="761"/>
      <c r="N388" s="762"/>
      <c r="O388" s="759"/>
      <c r="P388" s="759"/>
      <c r="Q388" s="760"/>
      <c r="R388" s="761"/>
      <c r="S388" s="761"/>
      <c r="T388" s="762"/>
      <c r="U388" s="759"/>
      <c r="V388" s="759"/>
      <c r="W388" s="760"/>
      <c r="X388" s="761"/>
      <c r="Y388" s="761"/>
      <c r="Z388" s="762"/>
      <c r="AA388" s="759"/>
      <c r="AB388" s="759"/>
      <c r="AC388" s="760"/>
      <c r="AD388" s="761"/>
      <c r="AE388" s="761"/>
      <c r="AF388" s="762"/>
      <c r="AG388" s="759"/>
      <c r="AH388" s="759"/>
      <c r="AI388" s="760"/>
      <c r="AJ388" s="761"/>
      <c r="AK388" s="761"/>
      <c r="AL388" s="762"/>
      <c r="AM388" s="763"/>
      <c r="AN388" s="763"/>
      <c r="AO388" s="764"/>
    </row>
    <row r="389">
      <c r="A389" s="602" t="s">
        <v>1190</v>
      </c>
      <c r="B389" s="758"/>
      <c r="C389" s="759"/>
      <c r="D389" s="759"/>
      <c r="E389" s="760"/>
      <c r="F389" s="761"/>
      <c r="G389" s="761"/>
      <c r="H389" s="762"/>
      <c r="I389" s="759"/>
      <c r="J389" s="759"/>
      <c r="K389" s="760"/>
      <c r="L389" s="761"/>
      <c r="M389" s="761"/>
      <c r="N389" s="762"/>
      <c r="O389" s="759"/>
      <c r="P389" s="759"/>
      <c r="Q389" s="760"/>
      <c r="R389" s="761"/>
      <c r="S389" s="761"/>
      <c r="T389" s="762"/>
      <c r="U389" s="759"/>
      <c r="V389" s="759"/>
      <c r="W389" s="760"/>
      <c r="X389" s="761"/>
      <c r="Y389" s="761"/>
      <c r="Z389" s="762"/>
      <c r="AA389" s="759"/>
      <c r="AB389" s="759"/>
      <c r="AC389" s="760"/>
      <c r="AD389" s="761"/>
      <c r="AE389" s="761"/>
      <c r="AF389" s="762"/>
      <c r="AG389" s="759"/>
      <c r="AH389" s="759"/>
      <c r="AI389" s="760"/>
      <c r="AJ389" s="761"/>
      <c r="AK389" s="761"/>
      <c r="AL389" s="762"/>
      <c r="AM389" s="763"/>
      <c r="AN389" s="763"/>
      <c r="AO389" s="764"/>
    </row>
    <row r="390">
      <c r="A390" s="602" t="s">
        <v>1190</v>
      </c>
      <c r="B390" s="758"/>
      <c r="C390" s="759"/>
      <c r="D390" s="759"/>
      <c r="E390" s="760"/>
      <c r="F390" s="761"/>
      <c r="G390" s="761"/>
      <c r="H390" s="762"/>
      <c r="I390" s="759"/>
      <c r="J390" s="759"/>
      <c r="K390" s="760"/>
      <c r="L390" s="761"/>
      <c r="M390" s="761"/>
      <c r="N390" s="762"/>
      <c r="O390" s="759"/>
      <c r="P390" s="759"/>
      <c r="Q390" s="760"/>
      <c r="R390" s="761"/>
      <c r="S390" s="761"/>
      <c r="T390" s="762"/>
      <c r="U390" s="759"/>
      <c r="V390" s="759"/>
      <c r="W390" s="760"/>
      <c r="X390" s="761"/>
      <c r="Y390" s="761"/>
      <c r="Z390" s="762"/>
      <c r="AA390" s="759"/>
      <c r="AB390" s="759"/>
      <c r="AC390" s="760"/>
      <c r="AD390" s="761"/>
      <c r="AE390" s="761"/>
      <c r="AF390" s="762"/>
      <c r="AG390" s="759"/>
      <c r="AH390" s="759"/>
      <c r="AI390" s="760"/>
      <c r="AJ390" s="761"/>
      <c r="AK390" s="761"/>
      <c r="AL390" s="762"/>
      <c r="AM390" s="763"/>
      <c r="AN390" s="763"/>
      <c r="AO390" s="764"/>
    </row>
    <row r="391">
      <c r="A391" s="602" t="s">
        <v>1190</v>
      </c>
      <c r="B391" s="758"/>
      <c r="C391" s="759"/>
      <c r="D391" s="759"/>
      <c r="E391" s="760"/>
      <c r="F391" s="761"/>
      <c r="G391" s="761"/>
      <c r="H391" s="762"/>
      <c r="I391" s="759"/>
      <c r="J391" s="759"/>
      <c r="K391" s="760"/>
      <c r="L391" s="761"/>
      <c r="M391" s="761"/>
      <c r="N391" s="762"/>
      <c r="O391" s="759"/>
      <c r="P391" s="759"/>
      <c r="Q391" s="760"/>
      <c r="R391" s="761"/>
      <c r="S391" s="761"/>
      <c r="T391" s="762"/>
      <c r="U391" s="759"/>
      <c r="V391" s="759"/>
      <c r="W391" s="760"/>
      <c r="X391" s="761"/>
      <c r="Y391" s="761"/>
      <c r="Z391" s="762"/>
      <c r="AA391" s="759"/>
      <c r="AB391" s="759"/>
      <c r="AC391" s="760"/>
      <c r="AD391" s="761"/>
      <c r="AE391" s="761"/>
      <c r="AF391" s="762"/>
      <c r="AG391" s="759"/>
      <c r="AH391" s="759"/>
      <c r="AI391" s="760"/>
      <c r="AJ391" s="761"/>
      <c r="AK391" s="761"/>
      <c r="AL391" s="762"/>
      <c r="AM391" s="763"/>
      <c r="AN391" s="763"/>
      <c r="AO391" s="764"/>
    </row>
    <row r="392">
      <c r="A392" s="602" t="s">
        <v>1190</v>
      </c>
      <c r="B392" s="758"/>
      <c r="C392" s="759"/>
      <c r="D392" s="759"/>
      <c r="E392" s="760"/>
      <c r="F392" s="761"/>
      <c r="G392" s="761"/>
      <c r="H392" s="762"/>
      <c r="I392" s="759"/>
      <c r="J392" s="759"/>
      <c r="K392" s="760"/>
      <c r="L392" s="761"/>
      <c r="M392" s="761"/>
      <c r="N392" s="762"/>
      <c r="O392" s="759"/>
      <c r="P392" s="759"/>
      <c r="Q392" s="760"/>
      <c r="R392" s="761"/>
      <c r="S392" s="761"/>
      <c r="T392" s="762"/>
      <c r="U392" s="759"/>
      <c r="V392" s="759"/>
      <c r="W392" s="760"/>
      <c r="X392" s="761"/>
      <c r="Y392" s="761"/>
      <c r="Z392" s="762"/>
      <c r="AA392" s="759"/>
      <c r="AB392" s="759"/>
      <c r="AC392" s="760"/>
      <c r="AD392" s="761"/>
      <c r="AE392" s="761"/>
      <c r="AF392" s="762"/>
      <c r="AG392" s="759"/>
      <c r="AH392" s="759"/>
      <c r="AI392" s="760"/>
      <c r="AJ392" s="761"/>
      <c r="AK392" s="761"/>
      <c r="AL392" s="762"/>
      <c r="AM392" s="763"/>
      <c r="AN392" s="763"/>
      <c r="AO392" s="764"/>
    </row>
    <row r="393">
      <c r="A393" s="602" t="s">
        <v>1190</v>
      </c>
      <c r="B393" s="758"/>
      <c r="C393" s="759"/>
      <c r="D393" s="759"/>
      <c r="E393" s="760"/>
      <c r="F393" s="761"/>
      <c r="G393" s="761"/>
      <c r="H393" s="762"/>
      <c r="I393" s="759"/>
      <c r="J393" s="759"/>
      <c r="K393" s="760"/>
      <c r="L393" s="761"/>
      <c r="M393" s="761"/>
      <c r="N393" s="762"/>
      <c r="O393" s="759"/>
      <c r="P393" s="759"/>
      <c r="Q393" s="760"/>
      <c r="R393" s="761"/>
      <c r="S393" s="761"/>
      <c r="T393" s="762"/>
      <c r="U393" s="759"/>
      <c r="V393" s="759"/>
      <c r="W393" s="760"/>
      <c r="X393" s="761"/>
      <c r="Y393" s="761"/>
      <c r="Z393" s="762"/>
      <c r="AA393" s="759"/>
      <c r="AB393" s="759"/>
      <c r="AC393" s="760"/>
      <c r="AD393" s="761"/>
      <c r="AE393" s="761"/>
      <c r="AF393" s="762"/>
      <c r="AG393" s="759"/>
      <c r="AH393" s="759"/>
      <c r="AI393" s="760"/>
      <c r="AJ393" s="761"/>
      <c r="AK393" s="761"/>
      <c r="AL393" s="762"/>
      <c r="AM393" s="763"/>
      <c r="AN393" s="763"/>
      <c r="AO393" s="764"/>
    </row>
    <row r="394">
      <c r="A394" s="602" t="s">
        <v>1190</v>
      </c>
      <c r="B394" s="758"/>
      <c r="C394" s="759"/>
      <c r="D394" s="759"/>
      <c r="E394" s="760"/>
      <c r="F394" s="761"/>
      <c r="G394" s="761"/>
      <c r="H394" s="762"/>
      <c r="I394" s="759"/>
      <c r="J394" s="759"/>
      <c r="K394" s="760"/>
      <c r="L394" s="761"/>
      <c r="M394" s="761"/>
      <c r="N394" s="762"/>
      <c r="O394" s="759"/>
      <c r="P394" s="759"/>
      <c r="Q394" s="760"/>
      <c r="R394" s="761"/>
      <c r="S394" s="761"/>
      <c r="T394" s="762"/>
      <c r="U394" s="759"/>
      <c r="V394" s="759"/>
      <c r="W394" s="760"/>
      <c r="X394" s="761"/>
      <c r="Y394" s="761"/>
      <c r="Z394" s="762"/>
      <c r="AA394" s="759"/>
      <c r="AB394" s="759"/>
      <c r="AC394" s="760"/>
      <c r="AD394" s="761"/>
      <c r="AE394" s="761"/>
      <c r="AF394" s="762"/>
      <c r="AG394" s="759"/>
      <c r="AH394" s="759"/>
      <c r="AI394" s="760"/>
      <c r="AJ394" s="761"/>
      <c r="AK394" s="761"/>
      <c r="AL394" s="762"/>
      <c r="AM394" s="763"/>
      <c r="AN394" s="763"/>
      <c r="AO394" s="764"/>
    </row>
    <row r="395">
      <c r="A395" s="602" t="s">
        <v>1190</v>
      </c>
      <c r="B395" s="758"/>
      <c r="C395" s="759"/>
      <c r="D395" s="759"/>
      <c r="E395" s="760"/>
      <c r="F395" s="761"/>
      <c r="G395" s="761"/>
      <c r="H395" s="762"/>
      <c r="I395" s="759"/>
      <c r="J395" s="759"/>
      <c r="K395" s="760"/>
      <c r="L395" s="761"/>
      <c r="M395" s="761"/>
      <c r="N395" s="762"/>
      <c r="O395" s="759"/>
      <c r="P395" s="759"/>
      <c r="Q395" s="760"/>
      <c r="R395" s="761"/>
      <c r="S395" s="761"/>
      <c r="T395" s="762"/>
      <c r="U395" s="759"/>
      <c r="V395" s="759"/>
      <c r="W395" s="760"/>
      <c r="X395" s="761"/>
      <c r="Y395" s="761"/>
      <c r="Z395" s="762"/>
      <c r="AA395" s="759"/>
      <c r="AB395" s="759"/>
      <c r="AC395" s="760"/>
      <c r="AD395" s="761"/>
      <c r="AE395" s="761"/>
      <c r="AF395" s="762"/>
      <c r="AG395" s="759"/>
      <c r="AH395" s="759"/>
      <c r="AI395" s="760"/>
      <c r="AJ395" s="761"/>
      <c r="AK395" s="761"/>
      <c r="AL395" s="762"/>
      <c r="AM395" s="763"/>
      <c r="AN395" s="763"/>
      <c r="AO395" s="764"/>
    </row>
    <row r="396">
      <c r="A396" s="602" t="s">
        <v>1190</v>
      </c>
      <c r="B396" s="758"/>
      <c r="C396" s="759"/>
      <c r="D396" s="759"/>
      <c r="E396" s="760"/>
      <c r="F396" s="761"/>
      <c r="G396" s="761"/>
      <c r="H396" s="762"/>
      <c r="I396" s="759"/>
      <c r="J396" s="759"/>
      <c r="K396" s="760"/>
      <c r="L396" s="761"/>
      <c r="M396" s="761"/>
      <c r="N396" s="762"/>
      <c r="O396" s="759"/>
      <c r="P396" s="759"/>
      <c r="Q396" s="760"/>
      <c r="R396" s="761"/>
      <c r="S396" s="761"/>
      <c r="T396" s="762"/>
      <c r="U396" s="759"/>
      <c r="V396" s="759"/>
      <c r="W396" s="760"/>
      <c r="X396" s="761"/>
      <c r="Y396" s="761"/>
      <c r="Z396" s="762"/>
      <c r="AA396" s="759"/>
      <c r="AB396" s="759"/>
      <c r="AC396" s="760"/>
      <c r="AD396" s="761"/>
      <c r="AE396" s="761"/>
      <c r="AF396" s="762"/>
      <c r="AG396" s="759"/>
      <c r="AH396" s="759"/>
      <c r="AI396" s="760"/>
      <c r="AJ396" s="761"/>
      <c r="AK396" s="761"/>
      <c r="AL396" s="762"/>
      <c r="AM396" s="763"/>
      <c r="AN396" s="763"/>
      <c r="AO396" s="764"/>
    </row>
    <row r="397">
      <c r="A397" s="602" t="s">
        <v>1190</v>
      </c>
      <c r="B397" s="758"/>
      <c r="C397" s="759"/>
      <c r="D397" s="759"/>
      <c r="E397" s="760"/>
      <c r="F397" s="761"/>
      <c r="G397" s="761"/>
      <c r="H397" s="762"/>
      <c r="I397" s="759"/>
      <c r="J397" s="759"/>
      <c r="K397" s="760"/>
      <c r="L397" s="761"/>
      <c r="M397" s="761"/>
      <c r="N397" s="762"/>
      <c r="O397" s="759"/>
      <c r="P397" s="759"/>
      <c r="Q397" s="760"/>
      <c r="R397" s="761"/>
      <c r="S397" s="761"/>
      <c r="T397" s="762"/>
      <c r="U397" s="759"/>
      <c r="V397" s="759"/>
      <c r="W397" s="760"/>
      <c r="X397" s="761"/>
      <c r="Y397" s="761"/>
      <c r="Z397" s="762"/>
      <c r="AA397" s="759"/>
      <c r="AB397" s="759"/>
      <c r="AC397" s="760"/>
      <c r="AD397" s="761"/>
      <c r="AE397" s="761"/>
      <c r="AF397" s="762"/>
      <c r="AG397" s="759"/>
      <c r="AH397" s="759"/>
      <c r="AI397" s="760"/>
      <c r="AJ397" s="761"/>
      <c r="AK397" s="761"/>
      <c r="AL397" s="762"/>
      <c r="AM397" s="763"/>
      <c r="AN397" s="763"/>
      <c r="AO397" s="764"/>
    </row>
    <row r="398">
      <c r="A398" s="602" t="s">
        <v>1190</v>
      </c>
      <c r="B398" s="758"/>
      <c r="C398" s="759"/>
      <c r="D398" s="759"/>
      <c r="E398" s="760"/>
      <c r="F398" s="761"/>
      <c r="G398" s="761"/>
      <c r="H398" s="762"/>
      <c r="I398" s="759"/>
      <c r="J398" s="759"/>
      <c r="K398" s="760"/>
      <c r="L398" s="761"/>
      <c r="M398" s="761"/>
      <c r="N398" s="762"/>
      <c r="O398" s="759"/>
      <c r="P398" s="759"/>
      <c r="Q398" s="760"/>
      <c r="R398" s="761"/>
      <c r="S398" s="761"/>
      <c r="T398" s="762"/>
      <c r="U398" s="759"/>
      <c r="V398" s="759"/>
      <c r="W398" s="760"/>
      <c r="X398" s="761"/>
      <c r="Y398" s="761"/>
      <c r="Z398" s="762"/>
      <c r="AA398" s="759"/>
      <c r="AB398" s="759"/>
      <c r="AC398" s="760"/>
      <c r="AD398" s="761"/>
      <c r="AE398" s="761"/>
      <c r="AF398" s="762"/>
      <c r="AG398" s="759"/>
      <c r="AH398" s="759"/>
      <c r="AI398" s="760"/>
      <c r="AJ398" s="761"/>
      <c r="AK398" s="761"/>
      <c r="AL398" s="762"/>
      <c r="AM398" s="763"/>
      <c r="AN398" s="763"/>
      <c r="AO398" s="764"/>
    </row>
    <row r="399">
      <c r="A399" s="602" t="s">
        <v>1190</v>
      </c>
      <c r="B399" s="758"/>
      <c r="C399" s="759"/>
      <c r="D399" s="759"/>
      <c r="E399" s="760"/>
      <c r="F399" s="761"/>
      <c r="G399" s="761"/>
      <c r="H399" s="762"/>
      <c r="I399" s="759"/>
      <c r="J399" s="759"/>
      <c r="K399" s="760"/>
      <c r="L399" s="761"/>
      <c r="M399" s="761"/>
      <c r="N399" s="762"/>
      <c r="O399" s="759"/>
      <c r="P399" s="759"/>
      <c r="Q399" s="760"/>
      <c r="R399" s="761"/>
      <c r="S399" s="761"/>
      <c r="T399" s="762"/>
      <c r="U399" s="759"/>
      <c r="V399" s="759"/>
      <c r="W399" s="760"/>
      <c r="X399" s="761"/>
      <c r="Y399" s="761"/>
      <c r="Z399" s="762"/>
      <c r="AA399" s="759"/>
      <c r="AB399" s="759"/>
      <c r="AC399" s="760"/>
      <c r="AD399" s="761"/>
      <c r="AE399" s="761"/>
      <c r="AF399" s="762"/>
      <c r="AG399" s="759"/>
      <c r="AH399" s="759"/>
      <c r="AI399" s="760"/>
      <c r="AJ399" s="761"/>
      <c r="AK399" s="761"/>
      <c r="AL399" s="762"/>
      <c r="AM399" s="763"/>
      <c r="AN399" s="763"/>
      <c r="AO399" s="764"/>
    </row>
    <row r="400">
      <c r="A400" s="602" t="s">
        <v>1190</v>
      </c>
      <c r="B400" s="758"/>
      <c r="C400" s="759"/>
      <c r="D400" s="759"/>
      <c r="E400" s="760"/>
      <c r="F400" s="761"/>
      <c r="G400" s="761"/>
      <c r="H400" s="762"/>
      <c r="I400" s="759"/>
      <c r="J400" s="759"/>
      <c r="K400" s="760"/>
      <c r="L400" s="761"/>
      <c r="M400" s="761"/>
      <c r="N400" s="762"/>
      <c r="O400" s="759"/>
      <c r="P400" s="759"/>
      <c r="Q400" s="760"/>
      <c r="R400" s="761"/>
      <c r="S400" s="761"/>
      <c r="T400" s="762"/>
      <c r="U400" s="759"/>
      <c r="V400" s="759"/>
      <c r="W400" s="760"/>
      <c r="X400" s="761"/>
      <c r="Y400" s="761"/>
      <c r="Z400" s="762"/>
      <c r="AA400" s="759"/>
      <c r="AB400" s="759"/>
      <c r="AC400" s="760"/>
      <c r="AD400" s="761"/>
      <c r="AE400" s="761"/>
      <c r="AF400" s="762"/>
      <c r="AG400" s="759"/>
      <c r="AH400" s="759"/>
      <c r="AI400" s="760"/>
      <c r="AJ400" s="761"/>
      <c r="AK400" s="761"/>
      <c r="AL400" s="762"/>
      <c r="AM400" s="763"/>
      <c r="AN400" s="763"/>
      <c r="AO400" s="764"/>
    </row>
    <row r="401">
      <c r="A401" s="602" t="s">
        <v>1190</v>
      </c>
      <c r="B401" s="758"/>
      <c r="C401" s="759"/>
      <c r="D401" s="759"/>
      <c r="E401" s="760"/>
      <c r="F401" s="761"/>
      <c r="G401" s="761"/>
      <c r="H401" s="762"/>
      <c r="I401" s="759"/>
      <c r="J401" s="759"/>
      <c r="K401" s="760"/>
      <c r="L401" s="761"/>
      <c r="M401" s="761"/>
      <c r="N401" s="762"/>
      <c r="O401" s="759"/>
      <c r="P401" s="759"/>
      <c r="Q401" s="760"/>
      <c r="R401" s="761"/>
      <c r="S401" s="761"/>
      <c r="T401" s="762"/>
      <c r="U401" s="759"/>
      <c r="V401" s="759"/>
      <c r="W401" s="760"/>
      <c r="X401" s="761"/>
      <c r="Y401" s="761"/>
      <c r="Z401" s="762"/>
      <c r="AA401" s="759"/>
      <c r="AB401" s="759"/>
      <c r="AC401" s="760"/>
      <c r="AD401" s="761"/>
      <c r="AE401" s="761"/>
      <c r="AF401" s="762"/>
      <c r="AG401" s="759"/>
      <c r="AH401" s="759"/>
      <c r="AI401" s="760"/>
      <c r="AJ401" s="761"/>
      <c r="AK401" s="761"/>
      <c r="AL401" s="762"/>
      <c r="AM401" s="763"/>
      <c r="AN401" s="763"/>
      <c r="AO401" s="764"/>
    </row>
    <row r="402">
      <c r="A402" s="602" t="s">
        <v>1190</v>
      </c>
      <c r="B402" s="758"/>
      <c r="C402" s="759"/>
      <c r="D402" s="759"/>
      <c r="E402" s="760"/>
      <c r="F402" s="761"/>
      <c r="G402" s="761"/>
      <c r="H402" s="762"/>
      <c r="I402" s="759"/>
      <c r="J402" s="759"/>
      <c r="K402" s="760"/>
      <c r="L402" s="761"/>
      <c r="M402" s="761"/>
      <c r="N402" s="762"/>
      <c r="O402" s="759"/>
      <c r="P402" s="759"/>
      <c r="Q402" s="760"/>
      <c r="R402" s="761"/>
      <c r="S402" s="761"/>
      <c r="T402" s="762"/>
      <c r="U402" s="759"/>
      <c r="V402" s="759"/>
      <c r="W402" s="760"/>
      <c r="X402" s="761"/>
      <c r="Y402" s="761"/>
      <c r="Z402" s="762"/>
      <c r="AA402" s="759"/>
      <c r="AB402" s="759"/>
      <c r="AC402" s="760"/>
      <c r="AD402" s="761"/>
      <c r="AE402" s="761"/>
      <c r="AF402" s="762"/>
      <c r="AG402" s="759"/>
      <c r="AH402" s="759"/>
      <c r="AI402" s="760"/>
      <c r="AJ402" s="761"/>
      <c r="AK402" s="761"/>
      <c r="AL402" s="762"/>
      <c r="AM402" s="763"/>
      <c r="AN402" s="763"/>
      <c r="AO402" s="764"/>
    </row>
    <row r="403">
      <c r="A403" s="602" t="s">
        <v>1190</v>
      </c>
      <c r="B403" s="758"/>
      <c r="C403" s="759"/>
      <c r="D403" s="759"/>
      <c r="E403" s="760"/>
      <c r="F403" s="761"/>
      <c r="G403" s="761"/>
      <c r="H403" s="762"/>
      <c r="I403" s="759"/>
      <c r="J403" s="759"/>
      <c r="K403" s="760"/>
      <c r="L403" s="761"/>
      <c r="M403" s="761"/>
      <c r="N403" s="762"/>
      <c r="O403" s="759"/>
      <c r="P403" s="759"/>
      <c r="Q403" s="760"/>
      <c r="R403" s="761"/>
      <c r="S403" s="761"/>
      <c r="T403" s="762"/>
      <c r="U403" s="759"/>
      <c r="V403" s="759"/>
      <c r="W403" s="760"/>
      <c r="X403" s="761"/>
      <c r="Y403" s="761"/>
      <c r="Z403" s="762"/>
      <c r="AA403" s="759"/>
      <c r="AB403" s="759"/>
      <c r="AC403" s="760"/>
      <c r="AD403" s="761"/>
      <c r="AE403" s="761"/>
      <c r="AF403" s="762"/>
      <c r="AG403" s="759"/>
      <c r="AH403" s="759"/>
      <c r="AI403" s="760"/>
      <c r="AJ403" s="761"/>
      <c r="AK403" s="761"/>
      <c r="AL403" s="762"/>
      <c r="AM403" s="763"/>
      <c r="AN403" s="763"/>
      <c r="AO403" s="764"/>
    </row>
    <row r="404">
      <c r="A404" s="602" t="s">
        <v>1190</v>
      </c>
      <c r="B404" s="758"/>
      <c r="C404" s="759"/>
      <c r="D404" s="759"/>
      <c r="E404" s="760"/>
      <c r="F404" s="761"/>
      <c r="G404" s="761"/>
      <c r="H404" s="762"/>
      <c r="I404" s="759"/>
      <c r="J404" s="759"/>
      <c r="K404" s="760"/>
      <c r="L404" s="761"/>
      <c r="M404" s="761"/>
      <c r="N404" s="762"/>
      <c r="O404" s="759"/>
      <c r="P404" s="759"/>
      <c r="Q404" s="760"/>
      <c r="R404" s="761"/>
      <c r="S404" s="761"/>
      <c r="T404" s="762"/>
      <c r="U404" s="759"/>
      <c r="V404" s="759"/>
      <c r="W404" s="760"/>
      <c r="X404" s="761"/>
      <c r="Y404" s="761"/>
      <c r="Z404" s="762"/>
      <c r="AA404" s="759"/>
      <c r="AB404" s="759"/>
      <c r="AC404" s="760"/>
      <c r="AD404" s="761"/>
      <c r="AE404" s="761"/>
      <c r="AF404" s="762"/>
      <c r="AG404" s="759"/>
      <c r="AH404" s="759"/>
      <c r="AI404" s="760"/>
      <c r="AJ404" s="761"/>
      <c r="AK404" s="761"/>
      <c r="AL404" s="762"/>
      <c r="AM404" s="763"/>
      <c r="AN404" s="763"/>
      <c r="AO404" s="764"/>
    </row>
    <row r="405">
      <c r="A405" s="602" t="s">
        <v>1190</v>
      </c>
      <c r="B405" s="758"/>
      <c r="C405" s="759"/>
      <c r="D405" s="759"/>
      <c r="E405" s="760"/>
      <c r="F405" s="761"/>
      <c r="G405" s="761"/>
      <c r="H405" s="762"/>
      <c r="I405" s="759"/>
      <c r="J405" s="759"/>
      <c r="K405" s="760"/>
      <c r="L405" s="761"/>
      <c r="M405" s="761"/>
      <c r="N405" s="762"/>
      <c r="O405" s="759"/>
      <c r="P405" s="759"/>
      <c r="Q405" s="760"/>
      <c r="R405" s="761"/>
      <c r="S405" s="761"/>
      <c r="T405" s="762"/>
      <c r="U405" s="759"/>
      <c r="V405" s="759"/>
      <c r="W405" s="760"/>
      <c r="X405" s="761"/>
      <c r="Y405" s="761"/>
      <c r="Z405" s="762"/>
      <c r="AA405" s="759"/>
      <c r="AB405" s="759"/>
      <c r="AC405" s="760"/>
      <c r="AD405" s="761"/>
      <c r="AE405" s="761"/>
      <c r="AF405" s="762"/>
      <c r="AG405" s="759"/>
      <c r="AH405" s="759"/>
      <c r="AI405" s="760"/>
      <c r="AJ405" s="761"/>
      <c r="AK405" s="761"/>
      <c r="AL405" s="762"/>
      <c r="AM405" s="763"/>
      <c r="AN405" s="763"/>
      <c r="AO405" s="764"/>
    </row>
    <row r="406">
      <c r="A406" s="602" t="s">
        <v>1190</v>
      </c>
      <c r="B406" s="758"/>
      <c r="C406" s="759"/>
      <c r="D406" s="759"/>
      <c r="E406" s="760"/>
      <c r="F406" s="761"/>
      <c r="G406" s="761"/>
      <c r="H406" s="762"/>
      <c r="I406" s="759"/>
      <c r="J406" s="759"/>
      <c r="K406" s="760"/>
      <c r="L406" s="761"/>
      <c r="M406" s="761"/>
      <c r="N406" s="762"/>
      <c r="O406" s="759"/>
      <c r="P406" s="759"/>
      <c r="Q406" s="760"/>
      <c r="R406" s="761"/>
      <c r="S406" s="761"/>
      <c r="T406" s="762"/>
      <c r="U406" s="759"/>
      <c r="V406" s="759"/>
      <c r="W406" s="760"/>
      <c r="X406" s="761"/>
      <c r="Y406" s="761"/>
      <c r="Z406" s="762"/>
      <c r="AA406" s="759"/>
      <c r="AB406" s="759"/>
      <c r="AC406" s="760"/>
      <c r="AD406" s="761"/>
      <c r="AE406" s="761"/>
      <c r="AF406" s="762"/>
      <c r="AG406" s="759"/>
      <c r="AH406" s="759"/>
      <c r="AI406" s="760"/>
      <c r="AJ406" s="761"/>
      <c r="AK406" s="761"/>
      <c r="AL406" s="762"/>
      <c r="AM406" s="763"/>
      <c r="AN406" s="763"/>
      <c r="AO406" s="764"/>
    </row>
    <row r="407">
      <c r="A407" s="602" t="s">
        <v>1190</v>
      </c>
      <c r="B407" s="758"/>
      <c r="C407" s="759"/>
      <c r="D407" s="759"/>
      <c r="E407" s="760"/>
      <c r="F407" s="761"/>
      <c r="G407" s="761"/>
      <c r="H407" s="762"/>
      <c r="I407" s="759"/>
      <c r="J407" s="759"/>
      <c r="K407" s="760"/>
      <c r="L407" s="761"/>
      <c r="M407" s="761"/>
      <c r="N407" s="762"/>
      <c r="O407" s="759"/>
      <c r="P407" s="759"/>
      <c r="Q407" s="760"/>
      <c r="R407" s="761"/>
      <c r="S407" s="761"/>
      <c r="T407" s="762"/>
      <c r="U407" s="759"/>
      <c r="V407" s="759"/>
      <c r="W407" s="760"/>
      <c r="X407" s="761"/>
      <c r="Y407" s="761"/>
      <c r="Z407" s="762"/>
      <c r="AA407" s="759"/>
      <c r="AB407" s="759"/>
      <c r="AC407" s="760"/>
      <c r="AD407" s="761"/>
      <c r="AE407" s="761"/>
      <c r="AF407" s="762"/>
      <c r="AG407" s="759"/>
      <c r="AH407" s="759"/>
      <c r="AI407" s="760"/>
      <c r="AJ407" s="761"/>
      <c r="AK407" s="761"/>
      <c r="AL407" s="762"/>
      <c r="AM407" s="763"/>
      <c r="AN407" s="763"/>
      <c r="AO407" s="764"/>
    </row>
    <row r="408">
      <c r="A408" s="602" t="s">
        <v>1190</v>
      </c>
      <c r="B408" s="758"/>
      <c r="C408" s="759"/>
      <c r="D408" s="759"/>
      <c r="E408" s="760"/>
      <c r="F408" s="761"/>
      <c r="G408" s="761"/>
      <c r="H408" s="762"/>
      <c r="I408" s="759"/>
      <c r="J408" s="759"/>
      <c r="K408" s="760"/>
      <c r="L408" s="761"/>
      <c r="M408" s="761"/>
      <c r="N408" s="762"/>
      <c r="O408" s="759"/>
      <c r="P408" s="759"/>
      <c r="Q408" s="760"/>
      <c r="R408" s="761"/>
      <c r="S408" s="761"/>
      <c r="T408" s="762"/>
      <c r="U408" s="759"/>
      <c r="V408" s="759"/>
      <c r="W408" s="760"/>
      <c r="X408" s="761"/>
      <c r="Y408" s="761"/>
      <c r="Z408" s="762"/>
      <c r="AA408" s="759"/>
      <c r="AB408" s="759"/>
      <c r="AC408" s="760"/>
      <c r="AD408" s="761"/>
      <c r="AE408" s="761"/>
      <c r="AF408" s="762"/>
      <c r="AG408" s="759"/>
      <c r="AH408" s="759"/>
      <c r="AI408" s="760"/>
      <c r="AJ408" s="761"/>
      <c r="AK408" s="761"/>
      <c r="AL408" s="762"/>
      <c r="AM408" s="763"/>
      <c r="AN408" s="763"/>
      <c r="AO408" s="764"/>
    </row>
    <row r="409">
      <c r="A409" s="602" t="s">
        <v>1190</v>
      </c>
      <c r="B409" s="758"/>
      <c r="C409" s="759"/>
      <c r="D409" s="759"/>
      <c r="E409" s="760"/>
      <c r="F409" s="761"/>
      <c r="G409" s="761"/>
      <c r="H409" s="762"/>
      <c r="I409" s="759"/>
      <c r="J409" s="759"/>
      <c r="K409" s="760"/>
      <c r="L409" s="761"/>
      <c r="M409" s="761"/>
      <c r="N409" s="762"/>
      <c r="O409" s="759"/>
      <c r="P409" s="759"/>
      <c r="Q409" s="760"/>
      <c r="R409" s="761"/>
      <c r="S409" s="761"/>
      <c r="T409" s="762"/>
      <c r="U409" s="759"/>
      <c r="V409" s="759"/>
      <c r="W409" s="760"/>
      <c r="X409" s="761"/>
      <c r="Y409" s="761"/>
      <c r="Z409" s="762"/>
      <c r="AA409" s="759"/>
      <c r="AB409" s="759"/>
      <c r="AC409" s="760"/>
      <c r="AD409" s="761"/>
      <c r="AE409" s="761"/>
      <c r="AF409" s="762"/>
      <c r="AG409" s="759"/>
      <c r="AH409" s="759"/>
      <c r="AI409" s="760"/>
      <c r="AJ409" s="761"/>
      <c r="AK409" s="761"/>
      <c r="AL409" s="762"/>
      <c r="AM409" s="763"/>
      <c r="AN409" s="763"/>
      <c r="AO409" s="764"/>
    </row>
    <row r="410">
      <c r="A410" s="602" t="s">
        <v>1190</v>
      </c>
      <c r="B410" s="758"/>
      <c r="C410" s="759"/>
      <c r="D410" s="759"/>
      <c r="E410" s="760"/>
      <c r="F410" s="761"/>
      <c r="G410" s="761"/>
      <c r="H410" s="762"/>
      <c r="I410" s="759"/>
      <c r="J410" s="759"/>
      <c r="K410" s="760"/>
      <c r="L410" s="761"/>
      <c r="M410" s="761"/>
      <c r="N410" s="762"/>
      <c r="O410" s="759"/>
      <c r="P410" s="759"/>
      <c r="Q410" s="760"/>
      <c r="R410" s="761"/>
      <c r="S410" s="761"/>
      <c r="T410" s="762"/>
      <c r="U410" s="759"/>
      <c r="V410" s="759"/>
      <c r="W410" s="760"/>
      <c r="X410" s="761"/>
      <c r="Y410" s="761"/>
      <c r="Z410" s="762"/>
      <c r="AA410" s="759"/>
      <c r="AB410" s="759"/>
      <c r="AC410" s="760"/>
      <c r="AD410" s="761"/>
      <c r="AE410" s="761"/>
      <c r="AF410" s="762"/>
      <c r="AG410" s="759"/>
      <c r="AH410" s="759"/>
      <c r="AI410" s="760"/>
      <c r="AJ410" s="761"/>
      <c r="AK410" s="761"/>
      <c r="AL410" s="762"/>
      <c r="AM410" s="763"/>
      <c r="AN410" s="763"/>
      <c r="AO410" s="764"/>
    </row>
    <row r="411">
      <c r="A411" s="602" t="s">
        <v>1190</v>
      </c>
      <c r="B411" s="758"/>
      <c r="C411" s="759"/>
      <c r="D411" s="759"/>
      <c r="E411" s="760"/>
      <c r="F411" s="761"/>
      <c r="G411" s="761"/>
      <c r="H411" s="762"/>
      <c r="I411" s="759"/>
      <c r="J411" s="759"/>
      <c r="K411" s="760"/>
      <c r="L411" s="761"/>
      <c r="M411" s="761"/>
      <c r="N411" s="762"/>
      <c r="O411" s="759"/>
      <c r="P411" s="759"/>
      <c r="Q411" s="760"/>
      <c r="R411" s="761"/>
      <c r="S411" s="761"/>
      <c r="T411" s="762"/>
      <c r="U411" s="759"/>
      <c r="V411" s="759"/>
      <c r="W411" s="760"/>
      <c r="X411" s="761"/>
      <c r="Y411" s="761"/>
      <c r="Z411" s="762"/>
      <c r="AA411" s="759"/>
      <c r="AB411" s="759"/>
      <c r="AC411" s="760"/>
      <c r="AD411" s="761"/>
      <c r="AE411" s="761"/>
      <c r="AF411" s="762"/>
      <c r="AG411" s="759"/>
      <c r="AH411" s="759"/>
      <c r="AI411" s="760"/>
      <c r="AJ411" s="761"/>
      <c r="AK411" s="761"/>
      <c r="AL411" s="762"/>
      <c r="AM411" s="763"/>
      <c r="AN411" s="763"/>
      <c r="AO411" s="764"/>
    </row>
    <row r="412">
      <c r="A412" s="602" t="s">
        <v>1190</v>
      </c>
      <c r="B412" s="758"/>
      <c r="C412" s="759"/>
      <c r="D412" s="759"/>
      <c r="E412" s="760"/>
      <c r="F412" s="761"/>
      <c r="G412" s="761"/>
      <c r="H412" s="762"/>
      <c r="I412" s="759"/>
      <c r="J412" s="759"/>
      <c r="K412" s="760"/>
      <c r="L412" s="761"/>
      <c r="M412" s="761"/>
      <c r="N412" s="762"/>
      <c r="O412" s="759"/>
      <c r="P412" s="759"/>
      <c r="Q412" s="760"/>
      <c r="R412" s="761"/>
      <c r="S412" s="761"/>
      <c r="T412" s="762"/>
      <c r="U412" s="759"/>
      <c r="V412" s="759"/>
      <c r="W412" s="760"/>
      <c r="X412" s="761"/>
      <c r="Y412" s="761"/>
      <c r="Z412" s="762"/>
      <c r="AA412" s="759"/>
      <c r="AB412" s="759"/>
      <c r="AC412" s="760"/>
      <c r="AD412" s="761"/>
      <c r="AE412" s="761"/>
      <c r="AF412" s="762"/>
      <c r="AG412" s="759"/>
      <c r="AH412" s="759"/>
      <c r="AI412" s="760"/>
      <c r="AJ412" s="761"/>
      <c r="AK412" s="761"/>
      <c r="AL412" s="762"/>
      <c r="AM412" s="763"/>
      <c r="AN412" s="763"/>
      <c r="AO412" s="764"/>
    </row>
    <row r="413">
      <c r="A413" s="602" t="s">
        <v>1190</v>
      </c>
      <c r="B413" s="758"/>
      <c r="C413" s="759"/>
      <c r="D413" s="759"/>
      <c r="E413" s="760"/>
      <c r="F413" s="761"/>
      <c r="G413" s="761"/>
      <c r="H413" s="762"/>
      <c r="I413" s="759"/>
      <c r="J413" s="759"/>
      <c r="K413" s="760"/>
      <c r="L413" s="761"/>
      <c r="M413" s="761"/>
      <c r="N413" s="762"/>
      <c r="O413" s="759"/>
      <c r="P413" s="759"/>
      <c r="Q413" s="760"/>
      <c r="R413" s="761"/>
      <c r="S413" s="761"/>
      <c r="T413" s="762"/>
      <c r="U413" s="759"/>
      <c r="V413" s="759"/>
      <c r="W413" s="760"/>
      <c r="X413" s="761"/>
      <c r="Y413" s="761"/>
      <c r="Z413" s="762"/>
      <c r="AA413" s="759"/>
      <c r="AB413" s="759"/>
      <c r="AC413" s="760"/>
      <c r="AD413" s="761"/>
      <c r="AE413" s="761"/>
      <c r="AF413" s="762"/>
      <c r="AG413" s="759"/>
      <c r="AH413" s="759"/>
      <c r="AI413" s="760"/>
      <c r="AJ413" s="761"/>
      <c r="AK413" s="761"/>
      <c r="AL413" s="762"/>
      <c r="AM413" s="763"/>
      <c r="AN413" s="763"/>
      <c r="AO413" s="764"/>
    </row>
    <row r="414">
      <c r="A414" s="602" t="s">
        <v>1190</v>
      </c>
      <c r="B414" s="758"/>
      <c r="C414" s="759"/>
      <c r="D414" s="759"/>
      <c r="E414" s="760"/>
      <c r="F414" s="761"/>
      <c r="G414" s="761"/>
      <c r="H414" s="762"/>
      <c r="I414" s="759"/>
      <c r="J414" s="759"/>
      <c r="K414" s="760"/>
      <c r="L414" s="761"/>
      <c r="M414" s="761"/>
      <c r="N414" s="762"/>
      <c r="O414" s="759"/>
      <c r="P414" s="759"/>
      <c r="Q414" s="760"/>
      <c r="R414" s="761"/>
      <c r="S414" s="761"/>
      <c r="T414" s="762"/>
      <c r="U414" s="759"/>
      <c r="V414" s="759"/>
      <c r="W414" s="760"/>
      <c r="X414" s="761"/>
      <c r="Y414" s="761"/>
      <c r="Z414" s="762"/>
      <c r="AA414" s="759"/>
      <c r="AB414" s="759"/>
      <c r="AC414" s="760"/>
      <c r="AD414" s="761"/>
      <c r="AE414" s="761"/>
      <c r="AF414" s="762"/>
      <c r="AG414" s="759"/>
      <c r="AH414" s="759"/>
      <c r="AI414" s="760"/>
      <c r="AJ414" s="761"/>
      <c r="AK414" s="761"/>
      <c r="AL414" s="762"/>
      <c r="AM414" s="763"/>
      <c r="AN414" s="763"/>
      <c r="AO414" s="764"/>
    </row>
    <row r="415">
      <c r="A415" s="602" t="s">
        <v>1190</v>
      </c>
      <c r="B415" s="758"/>
      <c r="C415" s="759"/>
      <c r="D415" s="759"/>
      <c r="E415" s="760"/>
      <c r="F415" s="761"/>
      <c r="G415" s="761"/>
      <c r="H415" s="762"/>
      <c r="I415" s="759"/>
      <c r="J415" s="759"/>
      <c r="K415" s="760"/>
      <c r="L415" s="761"/>
      <c r="M415" s="761"/>
      <c r="N415" s="762"/>
      <c r="O415" s="759"/>
      <c r="P415" s="759"/>
      <c r="Q415" s="760"/>
      <c r="R415" s="761"/>
      <c r="S415" s="761"/>
      <c r="T415" s="762"/>
      <c r="U415" s="759"/>
      <c r="V415" s="759"/>
      <c r="W415" s="760"/>
      <c r="X415" s="761"/>
      <c r="Y415" s="761"/>
      <c r="Z415" s="762"/>
      <c r="AA415" s="759"/>
      <c r="AB415" s="759"/>
      <c r="AC415" s="760"/>
      <c r="AD415" s="761"/>
      <c r="AE415" s="761"/>
      <c r="AF415" s="762"/>
      <c r="AG415" s="759"/>
      <c r="AH415" s="759"/>
      <c r="AI415" s="760"/>
      <c r="AJ415" s="761"/>
      <c r="AK415" s="761"/>
      <c r="AL415" s="762"/>
      <c r="AM415" s="763"/>
      <c r="AN415" s="763"/>
      <c r="AO415" s="764"/>
    </row>
    <row r="416">
      <c r="A416" s="602" t="s">
        <v>1190</v>
      </c>
      <c r="B416" s="758"/>
      <c r="C416" s="759"/>
      <c r="D416" s="759"/>
      <c r="E416" s="760"/>
      <c r="F416" s="761"/>
      <c r="G416" s="761"/>
      <c r="H416" s="762"/>
      <c r="I416" s="759"/>
      <c r="J416" s="759"/>
      <c r="K416" s="760"/>
      <c r="L416" s="761"/>
      <c r="M416" s="761"/>
      <c r="N416" s="762"/>
      <c r="O416" s="759"/>
      <c r="P416" s="759"/>
      <c r="Q416" s="760"/>
      <c r="R416" s="761"/>
      <c r="S416" s="761"/>
      <c r="T416" s="762"/>
      <c r="U416" s="759"/>
      <c r="V416" s="759"/>
      <c r="W416" s="760"/>
      <c r="X416" s="761"/>
      <c r="Y416" s="761"/>
      <c r="Z416" s="762"/>
      <c r="AA416" s="759"/>
      <c r="AB416" s="759"/>
      <c r="AC416" s="760"/>
      <c r="AD416" s="761"/>
      <c r="AE416" s="761"/>
      <c r="AF416" s="762"/>
      <c r="AG416" s="759"/>
      <c r="AH416" s="759"/>
      <c r="AI416" s="760"/>
      <c r="AJ416" s="761"/>
      <c r="AK416" s="761"/>
      <c r="AL416" s="762"/>
      <c r="AM416" s="763"/>
      <c r="AN416" s="763"/>
      <c r="AO416" s="764"/>
    </row>
    <row r="417">
      <c r="A417" s="602" t="s">
        <v>1190</v>
      </c>
      <c r="B417" s="758"/>
      <c r="C417" s="759"/>
      <c r="D417" s="759"/>
      <c r="E417" s="760"/>
      <c r="F417" s="761"/>
      <c r="G417" s="761"/>
      <c r="H417" s="762"/>
      <c r="I417" s="759"/>
      <c r="J417" s="759"/>
      <c r="K417" s="760"/>
      <c r="L417" s="761"/>
      <c r="M417" s="761"/>
      <c r="N417" s="762"/>
      <c r="O417" s="759"/>
      <c r="P417" s="759"/>
      <c r="Q417" s="760"/>
      <c r="R417" s="761"/>
      <c r="S417" s="761"/>
      <c r="T417" s="762"/>
      <c r="U417" s="759"/>
      <c r="V417" s="759"/>
      <c r="W417" s="760"/>
      <c r="X417" s="761"/>
      <c r="Y417" s="761"/>
      <c r="Z417" s="762"/>
      <c r="AA417" s="759"/>
      <c r="AB417" s="759"/>
      <c r="AC417" s="760"/>
      <c r="AD417" s="761"/>
      <c r="AE417" s="761"/>
      <c r="AF417" s="762"/>
      <c r="AG417" s="759"/>
      <c r="AH417" s="759"/>
      <c r="AI417" s="760"/>
      <c r="AJ417" s="761"/>
      <c r="AK417" s="761"/>
      <c r="AL417" s="762"/>
      <c r="AM417" s="763"/>
      <c r="AN417" s="763"/>
      <c r="AO417" s="764"/>
    </row>
    <row r="418">
      <c r="A418" s="602" t="s">
        <v>1190</v>
      </c>
      <c r="B418" s="758"/>
      <c r="C418" s="759"/>
      <c r="D418" s="759"/>
      <c r="E418" s="760"/>
      <c r="F418" s="761"/>
      <c r="G418" s="761"/>
      <c r="H418" s="762"/>
      <c r="I418" s="759"/>
      <c r="J418" s="759"/>
      <c r="K418" s="760"/>
      <c r="L418" s="761"/>
      <c r="M418" s="761"/>
      <c r="N418" s="762"/>
      <c r="O418" s="759"/>
      <c r="P418" s="759"/>
      <c r="Q418" s="760"/>
      <c r="R418" s="761"/>
      <c r="S418" s="761"/>
      <c r="T418" s="762"/>
      <c r="U418" s="759"/>
      <c r="V418" s="759"/>
      <c r="W418" s="760"/>
      <c r="X418" s="761"/>
      <c r="Y418" s="761"/>
      <c r="Z418" s="762"/>
      <c r="AA418" s="759"/>
      <c r="AB418" s="759"/>
      <c r="AC418" s="760"/>
      <c r="AD418" s="761"/>
      <c r="AE418" s="761"/>
      <c r="AF418" s="762"/>
      <c r="AG418" s="759"/>
      <c r="AH418" s="759"/>
      <c r="AI418" s="760"/>
      <c r="AJ418" s="761"/>
      <c r="AK418" s="761"/>
      <c r="AL418" s="762"/>
      <c r="AM418" s="763"/>
      <c r="AN418" s="763"/>
      <c r="AO418" s="764"/>
    </row>
    <row r="419">
      <c r="A419" s="602" t="s">
        <v>1190</v>
      </c>
      <c r="B419" s="758"/>
      <c r="C419" s="759"/>
      <c r="D419" s="759"/>
      <c r="E419" s="760"/>
      <c r="F419" s="761"/>
      <c r="G419" s="761"/>
      <c r="H419" s="762"/>
      <c r="I419" s="759"/>
      <c r="J419" s="759"/>
      <c r="K419" s="760"/>
      <c r="L419" s="761"/>
      <c r="M419" s="761"/>
      <c r="N419" s="762"/>
      <c r="O419" s="759"/>
      <c r="P419" s="759"/>
      <c r="Q419" s="760"/>
      <c r="R419" s="761"/>
      <c r="S419" s="761"/>
      <c r="T419" s="762"/>
      <c r="U419" s="759"/>
      <c r="V419" s="759"/>
      <c r="W419" s="760"/>
      <c r="X419" s="761"/>
      <c r="Y419" s="761"/>
      <c r="Z419" s="762"/>
      <c r="AA419" s="759"/>
      <c r="AB419" s="759"/>
      <c r="AC419" s="760"/>
      <c r="AD419" s="761"/>
      <c r="AE419" s="761"/>
      <c r="AF419" s="762"/>
      <c r="AG419" s="759"/>
      <c r="AH419" s="759"/>
      <c r="AI419" s="760"/>
      <c r="AJ419" s="761"/>
      <c r="AK419" s="761"/>
      <c r="AL419" s="762"/>
      <c r="AM419" s="763"/>
      <c r="AN419" s="763"/>
      <c r="AO419" s="764"/>
    </row>
    <row r="420">
      <c r="A420" s="602" t="s">
        <v>1190</v>
      </c>
      <c r="B420" s="758"/>
      <c r="C420" s="759"/>
      <c r="D420" s="759"/>
      <c r="E420" s="760"/>
      <c r="F420" s="761"/>
      <c r="G420" s="761"/>
      <c r="H420" s="762"/>
      <c r="I420" s="759"/>
      <c r="J420" s="759"/>
      <c r="K420" s="760"/>
      <c r="L420" s="761"/>
      <c r="M420" s="761"/>
      <c r="N420" s="762"/>
      <c r="O420" s="759"/>
      <c r="P420" s="759"/>
      <c r="Q420" s="760"/>
      <c r="R420" s="761"/>
      <c r="S420" s="761"/>
      <c r="T420" s="762"/>
      <c r="U420" s="759"/>
      <c r="V420" s="759"/>
      <c r="W420" s="760"/>
      <c r="X420" s="761"/>
      <c r="Y420" s="761"/>
      <c r="Z420" s="762"/>
      <c r="AA420" s="759"/>
      <c r="AB420" s="759"/>
      <c r="AC420" s="760"/>
      <c r="AD420" s="761"/>
      <c r="AE420" s="761"/>
      <c r="AF420" s="762"/>
      <c r="AG420" s="759"/>
      <c r="AH420" s="759"/>
      <c r="AI420" s="760"/>
      <c r="AJ420" s="761"/>
      <c r="AK420" s="761"/>
      <c r="AL420" s="762"/>
      <c r="AM420" s="763"/>
      <c r="AN420" s="763"/>
      <c r="AO420" s="764"/>
    </row>
    <row r="421">
      <c r="A421" s="602" t="s">
        <v>1190</v>
      </c>
      <c r="B421" s="758"/>
      <c r="C421" s="759"/>
      <c r="D421" s="759"/>
      <c r="E421" s="760"/>
      <c r="F421" s="761"/>
      <c r="G421" s="761"/>
      <c r="H421" s="762"/>
      <c r="I421" s="759"/>
      <c r="J421" s="759"/>
      <c r="K421" s="760"/>
      <c r="L421" s="761"/>
      <c r="M421" s="761"/>
      <c r="N421" s="762"/>
      <c r="O421" s="759"/>
      <c r="P421" s="759"/>
      <c r="Q421" s="760"/>
      <c r="R421" s="761"/>
      <c r="S421" s="761"/>
      <c r="T421" s="762"/>
      <c r="U421" s="759"/>
      <c r="V421" s="759"/>
      <c r="W421" s="760"/>
      <c r="X421" s="761"/>
      <c r="Y421" s="761"/>
      <c r="Z421" s="762"/>
      <c r="AA421" s="759"/>
      <c r="AB421" s="759"/>
      <c r="AC421" s="760"/>
      <c r="AD421" s="761"/>
      <c r="AE421" s="761"/>
      <c r="AF421" s="762"/>
      <c r="AG421" s="759"/>
      <c r="AH421" s="759"/>
      <c r="AI421" s="760"/>
      <c r="AJ421" s="761"/>
      <c r="AK421" s="761"/>
      <c r="AL421" s="762"/>
      <c r="AM421" s="763"/>
      <c r="AN421" s="763"/>
      <c r="AO421" s="764"/>
    </row>
    <row r="422">
      <c r="A422" s="602" t="s">
        <v>1190</v>
      </c>
      <c r="B422" s="758"/>
      <c r="C422" s="759"/>
      <c r="D422" s="759"/>
      <c r="E422" s="760"/>
      <c r="F422" s="761"/>
      <c r="G422" s="761"/>
      <c r="H422" s="762"/>
      <c r="I422" s="759"/>
      <c r="J422" s="759"/>
      <c r="K422" s="760"/>
      <c r="L422" s="761"/>
      <c r="M422" s="761"/>
      <c r="N422" s="762"/>
      <c r="O422" s="759"/>
      <c r="P422" s="759"/>
      <c r="Q422" s="760"/>
      <c r="R422" s="761"/>
      <c r="S422" s="761"/>
      <c r="T422" s="762"/>
      <c r="U422" s="759"/>
      <c r="V422" s="759"/>
      <c r="W422" s="760"/>
      <c r="X422" s="761"/>
      <c r="Y422" s="761"/>
      <c r="Z422" s="762"/>
      <c r="AA422" s="759"/>
      <c r="AB422" s="759"/>
      <c r="AC422" s="760"/>
      <c r="AD422" s="761"/>
      <c r="AE422" s="761"/>
      <c r="AF422" s="762"/>
      <c r="AG422" s="759"/>
      <c r="AH422" s="759"/>
      <c r="AI422" s="760"/>
      <c r="AJ422" s="761"/>
      <c r="AK422" s="761"/>
      <c r="AL422" s="762"/>
      <c r="AM422" s="763"/>
      <c r="AN422" s="763"/>
      <c r="AO422" s="764"/>
    </row>
    <row r="423">
      <c r="A423" s="602" t="s">
        <v>1190</v>
      </c>
      <c r="B423" s="758"/>
      <c r="C423" s="759"/>
      <c r="D423" s="759"/>
      <c r="E423" s="760"/>
      <c r="F423" s="761"/>
      <c r="G423" s="761"/>
      <c r="H423" s="762"/>
      <c r="I423" s="759"/>
      <c r="J423" s="759"/>
      <c r="K423" s="760"/>
      <c r="L423" s="761"/>
      <c r="M423" s="761"/>
      <c r="N423" s="762"/>
      <c r="O423" s="759"/>
      <c r="P423" s="759"/>
      <c r="Q423" s="760"/>
      <c r="R423" s="761"/>
      <c r="S423" s="761"/>
      <c r="T423" s="762"/>
      <c r="U423" s="759"/>
      <c r="V423" s="759"/>
      <c r="W423" s="760"/>
      <c r="X423" s="761"/>
      <c r="Y423" s="761"/>
      <c r="Z423" s="762"/>
      <c r="AA423" s="759"/>
      <c r="AB423" s="759"/>
      <c r="AC423" s="760"/>
      <c r="AD423" s="761"/>
      <c r="AE423" s="761"/>
      <c r="AF423" s="762"/>
      <c r="AG423" s="759"/>
      <c r="AH423" s="759"/>
      <c r="AI423" s="760"/>
      <c r="AJ423" s="761"/>
      <c r="AK423" s="761"/>
      <c r="AL423" s="762"/>
      <c r="AM423" s="763"/>
      <c r="AN423" s="763"/>
      <c r="AO423" s="764"/>
    </row>
    <row r="424">
      <c r="A424" s="602" t="s">
        <v>1190</v>
      </c>
      <c r="B424" s="758"/>
      <c r="C424" s="759"/>
      <c r="D424" s="759"/>
      <c r="E424" s="760"/>
      <c r="F424" s="761"/>
      <c r="G424" s="761"/>
      <c r="H424" s="762"/>
      <c r="I424" s="759"/>
      <c r="J424" s="759"/>
      <c r="K424" s="760"/>
      <c r="L424" s="761"/>
      <c r="M424" s="761"/>
      <c r="N424" s="762"/>
      <c r="O424" s="759"/>
      <c r="P424" s="759"/>
      <c r="Q424" s="760"/>
      <c r="R424" s="761"/>
      <c r="S424" s="761"/>
      <c r="T424" s="762"/>
      <c r="U424" s="759"/>
      <c r="V424" s="759"/>
      <c r="W424" s="760"/>
      <c r="X424" s="761"/>
      <c r="Y424" s="761"/>
      <c r="Z424" s="762"/>
      <c r="AA424" s="759"/>
      <c r="AB424" s="759"/>
      <c r="AC424" s="760"/>
      <c r="AD424" s="761"/>
      <c r="AE424" s="761"/>
      <c r="AF424" s="762"/>
      <c r="AG424" s="759"/>
      <c r="AH424" s="759"/>
      <c r="AI424" s="760"/>
      <c r="AJ424" s="761"/>
      <c r="AK424" s="761"/>
      <c r="AL424" s="762"/>
      <c r="AM424" s="763"/>
      <c r="AN424" s="763"/>
      <c r="AO424" s="764"/>
    </row>
    <row r="425">
      <c r="A425" s="602" t="s">
        <v>1190</v>
      </c>
      <c r="B425" s="758"/>
      <c r="C425" s="759"/>
      <c r="D425" s="759"/>
      <c r="E425" s="760"/>
      <c r="F425" s="761"/>
      <c r="G425" s="761"/>
      <c r="H425" s="762"/>
      <c r="I425" s="759"/>
      <c r="J425" s="759"/>
      <c r="K425" s="760"/>
      <c r="L425" s="761"/>
      <c r="M425" s="761"/>
      <c r="N425" s="762"/>
      <c r="O425" s="759"/>
      <c r="P425" s="759"/>
      <c r="Q425" s="760"/>
      <c r="R425" s="761"/>
      <c r="S425" s="761"/>
      <c r="T425" s="762"/>
      <c r="U425" s="759"/>
      <c r="V425" s="759"/>
      <c r="W425" s="760"/>
      <c r="X425" s="761"/>
      <c r="Y425" s="761"/>
      <c r="Z425" s="762"/>
      <c r="AA425" s="759"/>
      <c r="AB425" s="759"/>
      <c r="AC425" s="760"/>
      <c r="AD425" s="761"/>
      <c r="AE425" s="761"/>
      <c r="AF425" s="762"/>
      <c r="AG425" s="759"/>
      <c r="AH425" s="759"/>
      <c r="AI425" s="760"/>
      <c r="AJ425" s="761"/>
      <c r="AK425" s="761"/>
      <c r="AL425" s="762"/>
      <c r="AM425" s="763"/>
      <c r="AN425" s="763"/>
      <c r="AO425" s="764"/>
    </row>
    <row r="426">
      <c r="A426" s="602" t="s">
        <v>1190</v>
      </c>
      <c r="B426" s="758"/>
      <c r="C426" s="759"/>
      <c r="D426" s="759"/>
      <c r="E426" s="760"/>
      <c r="F426" s="761"/>
      <c r="G426" s="761"/>
      <c r="H426" s="762"/>
      <c r="I426" s="759"/>
      <c r="J426" s="759"/>
      <c r="K426" s="760"/>
      <c r="L426" s="761"/>
      <c r="M426" s="761"/>
      <c r="N426" s="762"/>
      <c r="O426" s="759"/>
      <c r="P426" s="759"/>
      <c r="Q426" s="760"/>
      <c r="R426" s="761"/>
      <c r="S426" s="761"/>
      <c r="T426" s="762"/>
      <c r="U426" s="759"/>
      <c r="V426" s="759"/>
      <c r="W426" s="760"/>
      <c r="X426" s="761"/>
      <c r="Y426" s="761"/>
      <c r="Z426" s="762"/>
      <c r="AA426" s="759"/>
      <c r="AB426" s="759"/>
      <c r="AC426" s="760"/>
      <c r="AD426" s="761"/>
      <c r="AE426" s="761"/>
      <c r="AF426" s="762"/>
      <c r="AG426" s="759"/>
      <c r="AH426" s="759"/>
      <c r="AI426" s="760"/>
      <c r="AJ426" s="761"/>
      <c r="AK426" s="761"/>
      <c r="AL426" s="762"/>
      <c r="AM426" s="763"/>
      <c r="AN426" s="763"/>
      <c r="AO426" s="764"/>
    </row>
    <row r="427">
      <c r="A427" s="602" t="s">
        <v>1190</v>
      </c>
      <c r="B427" s="758"/>
      <c r="C427" s="759"/>
      <c r="D427" s="759"/>
      <c r="E427" s="760"/>
      <c r="F427" s="761"/>
      <c r="G427" s="761"/>
      <c r="H427" s="762"/>
      <c r="I427" s="759"/>
      <c r="J427" s="759"/>
      <c r="K427" s="760"/>
      <c r="L427" s="761"/>
      <c r="M427" s="761"/>
      <c r="N427" s="762"/>
      <c r="O427" s="759"/>
      <c r="P427" s="759"/>
      <c r="Q427" s="760"/>
      <c r="R427" s="761"/>
      <c r="S427" s="761"/>
      <c r="T427" s="762"/>
      <c r="U427" s="759"/>
      <c r="V427" s="759"/>
      <c r="W427" s="760"/>
      <c r="X427" s="761"/>
      <c r="Y427" s="761"/>
      <c r="Z427" s="762"/>
      <c r="AA427" s="759"/>
      <c r="AB427" s="759"/>
      <c r="AC427" s="760"/>
      <c r="AD427" s="761"/>
      <c r="AE427" s="761"/>
      <c r="AF427" s="762"/>
      <c r="AG427" s="759"/>
      <c r="AH427" s="759"/>
      <c r="AI427" s="760"/>
      <c r="AJ427" s="761"/>
      <c r="AK427" s="761"/>
      <c r="AL427" s="762"/>
      <c r="AM427" s="763"/>
      <c r="AN427" s="763"/>
      <c r="AO427" s="764"/>
    </row>
    <row r="428">
      <c r="A428" s="602" t="s">
        <v>1190</v>
      </c>
      <c r="B428" s="758"/>
      <c r="C428" s="759"/>
      <c r="D428" s="759"/>
      <c r="E428" s="760"/>
      <c r="F428" s="761"/>
      <c r="G428" s="761"/>
      <c r="H428" s="762"/>
      <c r="I428" s="759"/>
      <c r="J428" s="759"/>
      <c r="K428" s="760"/>
      <c r="L428" s="761"/>
      <c r="M428" s="761"/>
      <c r="N428" s="762"/>
      <c r="O428" s="759"/>
      <c r="P428" s="759"/>
      <c r="Q428" s="760"/>
      <c r="R428" s="761"/>
      <c r="S428" s="761"/>
      <c r="T428" s="762"/>
      <c r="U428" s="759"/>
      <c r="V428" s="759"/>
      <c r="W428" s="760"/>
      <c r="X428" s="761"/>
      <c r="Y428" s="761"/>
      <c r="Z428" s="762"/>
      <c r="AA428" s="759"/>
      <c r="AB428" s="759"/>
      <c r="AC428" s="760"/>
      <c r="AD428" s="761"/>
      <c r="AE428" s="761"/>
      <c r="AF428" s="762"/>
      <c r="AG428" s="759"/>
      <c r="AH428" s="759"/>
      <c r="AI428" s="760"/>
      <c r="AJ428" s="761"/>
      <c r="AK428" s="761"/>
      <c r="AL428" s="762"/>
      <c r="AM428" s="763"/>
      <c r="AN428" s="763"/>
      <c r="AO428" s="764"/>
    </row>
    <row r="429">
      <c r="A429" s="602" t="s">
        <v>1190</v>
      </c>
      <c r="B429" s="758"/>
      <c r="C429" s="759"/>
      <c r="D429" s="759"/>
      <c r="E429" s="760"/>
      <c r="F429" s="761"/>
      <c r="G429" s="761"/>
      <c r="H429" s="762"/>
      <c r="I429" s="759"/>
      <c r="J429" s="759"/>
      <c r="K429" s="760"/>
      <c r="L429" s="761"/>
      <c r="M429" s="761"/>
      <c r="N429" s="762"/>
      <c r="O429" s="759"/>
      <c r="P429" s="759"/>
      <c r="Q429" s="760"/>
      <c r="R429" s="761"/>
      <c r="S429" s="761"/>
      <c r="T429" s="762"/>
      <c r="U429" s="759"/>
      <c r="V429" s="759"/>
      <c r="W429" s="760"/>
      <c r="X429" s="761"/>
      <c r="Y429" s="761"/>
      <c r="Z429" s="762"/>
      <c r="AA429" s="759"/>
      <c r="AB429" s="759"/>
      <c r="AC429" s="760"/>
      <c r="AD429" s="761"/>
      <c r="AE429" s="761"/>
      <c r="AF429" s="762"/>
      <c r="AG429" s="759"/>
      <c r="AH429" s="759"/>
      <c r="AI429" s="760"/>
      <c r="AJ429" s="761"/>
      <c r="AK429" s="761"/>
      <c r="AL429" s="762"/>
      <c r="AM429" s="763"/>
      <c r="AN429" s="763"/>
      <c r="AO429" s="764"/>
    </row>
    <row r="430">
      <c r="A430" s="602" t="s">
        <v>1190</v>
      </c>
      <c r="B430" s="758"/>
      <c r="C430" s="759"/>
      <c r="D430" s="759"/>
      <c r="E430" s="760"/>
      <c r="F430" s="761"/>
      <c r="G430" s="761"/>
      <c r="H430" s="762"/>
      <c r="I430" s="759"/>
      <c r="J430" s="759"/>
      <c r="K430" s="760"/>
      <c r="L430" s="761"/>
      <c r="M430" s="761"/>
      <c r="N430" s="762"/>
      <c r="O430" s="759"/>
      <c r="P430" s="759"/>
      <c r="Q430" s="760"/>
      <c r="R430" s="761"/>
      <c r="S430" s="761"/>
      <c r="T430" s="762"/>
      <c r="U430" s="759"/>
      <c r="V430" s="759"/>
      <c r="W430" s="760"/>
      <c r="X430" s="761"/>
      <c r="Y430" s="761"/>
      <c r="Z430" s="762"/>
      <c r="AA430" s="759"/>
      <c r="AB430" s="759"/>
      <c r="AC430" s="760"/>
      <c r="AD430" s="761"/>
      <c r="AE430" s="761"/>
      <c r="AF430" s="762"/>
      <c r="AG430" s="759"/>
      <c r="AH430" s="759"/>
      <c r="AI430" s="760"/>
      <c r="AJ430" s="761"/>
      <c r="AK430" s="761"/>
      <c r="AL430" s="762"/>
      <c r="AM430" s="763"/>
      <c r="AN430" s="763"/>
      <c r="AO430" s="764"/>
    </row>
    <row r="431">
      <c r="A431" s="602" t="s">
        <v>1190</v>
      </c>
      <c r="B431" s="758"/>
      <c r="C431" s="759"/>
      <c r="D431" s="759"/>
      <c r="E431" s="760"/>
      <c r="F431" s="761"/>
      <c r="G431" s="761"/>
      <c r="H431" s="762"/>
      <c r="I431" s="759"/>
      <c r="J431" s="759"/>
      <c r="K431" s="760"/>
      <c r="L431" s="761"/>
      <c r="M431" s="761"/>
      <c r="N431" s="762"/>
      <c r="O431" s="759"/>
      <c r="P431" s="759"/>
      <c r="Q431" s="760"/>
      <c r="R431" s="761"/>
      <c r="S431" s="761"/>
      <c r="T431" s="762"/>
      <c r="U431" s="759"/>
      <c r="V431" s="759"/>
      <c r="W431" s="760"/>
      <c r="X431" s="761"/>
      <c r="Y431" s="761"/>
      <c r="Z431" s="762"/>
      <c r="AA431" s="759"/>
      <c r="AB431" s="759"/>
      <c r="AC431" s="760"/>
      <c r="AD431" s="761"/>
      <c r="AE431" s="761"/>
      <c r="AF431" s="762"/>
      <c r="AG431" s="759"/>
      <c r="AH431" s="759"/>
      <c r="AI431" s="760"/>
      <c r="AJ431" s="761"/>
      <c r="AK431" s="761"/>
      <c r="AL431" s="762"/>
      <c r="AM431" s="763"/>
      <c r="AN431" s="763"/>
      <c r="AO431" s="764"/>
    </row>
    <row r="432">
      <c r="A432" s="602" t="s">
        <v>1190</v>
      </c>
      <c r="B432" s="758"/>
      <c r="C432" s="759"/>
      <c r="D432" s="759"/>
      <c r="E432" s="760"/>
      <c r="F432" s="761"/>
      <c r="G432" s="761"/>
      <c r="H432" s="762"/>
      <c r="I432" s="759"/>
      <c r="J432" s="759"/>
      <c r="K432" s="760"/>
      <c r="L432" s="761"/>
      <c r="M432" s="761"/>
      <c r="N432" s="762"/>
      <c r="O432" s="759"/>
      <c r="P432" s="759"/>
      <c r="Q432" s="760"/>
      <c r="R432" s="761"/>
      <c r="S432" s="761"/>
      <c r="T432" s="762"/>
      <c r="U432" s="759"/>
      <c r="V432" s="759"/>
      <c r="W432" s="760"/>
      <c r="X432" s="761"/>
      <c r="Y432" s="761"/>
      <c r="Z432" s="762"/>
      <c r="AA432" s="759"/>
      <c r="AB432" s="759"/>
      <c r="AC432" s="760"/>
      <c r="AD432" s="761"/>
      <c r="AE432" s="761"/>
      <c r="AF432" s="762"/>
      <c r="AG432" s="759"/>
      <c r="AH432" s="759"/>
      <c r="AI432" s="760"/>
      <c r="AJ432" s="761"/>
      <c r="AK432" s="761"/>
      <c r="AL432" s="762"/>
      <c r="AM432" s="763"/>
      <c r="AN432" s="763"/>
      <c r="AO432" s="764"/>
    </row>
    <row r="433">
      <c r="A433" s="602" t="s">
        <v>1190</v>
      </c>
      <c r="B433" s="758"/>
      <c r="C433" s="759"/>
      <c r="D433" s="759"/>
      <c r="E433" s="760"/>
      <c r="F433" s="761"/>
      <c r="G433" s="761"/>
      <c r="H433" s="762"/>
      <c r="I433" s="759"/>
      <c r="J433" s="759"/>
      <c r="K433" s="760"/>
      <c r="L433" s="761"/>
      <c r="M433" s="761"/>
      <c r="N433" s="762"/>
      <c r="O433" s="759"/>
      <c r="P433" s="759"/>
      <c r="Q433" s="760"/>
      <c r="R433" s="761"/>
      <c r="S433" s="761"/>
      <c r="T433" s="762"/>
      <c r="U433" s="759"/>
      <c r="V433" s="759"/>
      <c r="W433" s="760"/>
      <c r="X433" s="761"/>
      <c r="Y433" s="761"/>
      <c r="Z433" s="762"/>
      <c r="AA433" s="759"/>
      <c r="AB433" s="759"/>
      <c r="AC433" s="760"/>
      <c r="AD433" s="761"/>
      <c r="AE433" s="761"/>
      <c r="AF433" s="762"/>
      <c r="AG433" s="759"/>
      <c r="AH433" s="759"/>
      <c r="AI433" s="760"/>
      <c r="AJ433" s="761"/>
      <c r="AK433" s="761"/>
      <c r="AL433" s="762"/>
      <c r="AM433" s="763"/>
      <c r="AN433" s="763"/>
      <c r="AO433" s="764"/>
    </row>
    <row r="434">
      <c r="A434" s="602" t="s">
        <v>1190</v>
      </c>
      <c r="B434" s="758"/>
      <c r="C434" s="759"/>
      <c r="D434" s="759"/>
      <c r="E434" s="760"/>
      <c r="F434" s="761"/>
      <c r="G434" s="761"/>
      <c r="H434" s="762"/>
      <c r="I434" s="759"/>
      <c r="J434" s="759"/>
      <c r="K434" s="760"/>
      <c r="L434" s="761"/>
      <c r="M434" s="761"/>
      <c r="N434" s="762"/>
      <c r="O434" s="759"/>
      <c r="P434" s="759"/>
      <c r="Q434" s="760"/>
      <c r="R434" s="761"/>
      <c r="S434" s="761"/>
      <c r="T434" s="762"/>
      <c r="U434" s="759"/>
      <c r="V434" s="759"/>
      <c r="W434" s="760"/>
      <c r="X434" s="761"/>
      <c r="Y434" s="761"/>
      <c r="Z434" s="762"/>
      <c r="AA434" s="759"/>
      <c r="AB434" s="759"/>
      <c r="AC434" s="760"/>
      <c r="AD434" s="761"/>
      <c r="AE434" s="761"/>
      <c r="AF434" s="762"/>
      <c r="AG434" s="759"/>
      <c r="AH434" s="759"/>
      <c r="AI434" s="760"/>
      <c r="AJ434" s="761"/>
      <c r="AK434" s="761"/>
      <c r="AL434" s="762"/>
      <c r="AM434" s="763"/>
      <c r="AN434" s="763"/>
      <c r="AO434" s="764"/>
    </row>
    <row r="435">
      <c r="A435" s="602" t="s">
        <v>1190</v>
      </c>
      <c r="B435" s="758"/>
      <c r="C435" s="759"/>
      <c r="D435" s="759"/>
      <c r="E435" s="760"/>
      <c r="F435" s="761"/>
      <c r="G435" s="761"/>
      <c r="H435" s="762"/>
      <c r="I435" s="759"/>
      <c r="J435" s="759"/>
      <c r="K435" s="760"/>
      <c r="L435" s="761"/>
      <c r="M435" s="761"/>
      <c r="N435" s="762"/>
      <c r="O435" s="759"/>
      <c r="P435" s="759"/>
      <c r="Q435" s="760"/>
      <c r="R435" s="761"/>
      <c r="S435" s="761"/>
      <c r="T435" s="762"/>
      <c r="U435" s="759"/>
      <c r="V435" s="759"/>
      <c r="W435" s="760"/>
      <c r="X435" s="761"/>
      <c r="Y435" s="761"/>
      <c r="Z435" s="762"/>
      <c r="AA435" s="759"/>
      <c r="AB435" s="759"/>
      <c r="AC435" s="760"/>
      <c r="AD435" s="761"/>
      <c r="AE435" s="761"/>
      <c r="AF435" s="762"/>
      <c r="AG435" s="759"/>
      <c r="AH435" s="759"/>
      <c r="AI435" s="760"/>
      <c r="AJ435" s="761"/>
      <c r="AK435" s="761"/>
      <c r="AL435" s="762"/>
      <c r="AM435" s="763"/>
      <c r="AN435" s="763"/>
      <c r="AO435" s="764"/>
    </row>
    <row r="436">
      <c r="A436" s="602" t="s">
        <v>1190</v>
      </c>
      <c r="B436" s="758"/>
      <c r="C436" s="759"/>
      <c r="D436" s="759"/>
      <c r="E436" s="760"/>
      <c r="F436" s="761"/>
      <c r="G436" s="761"/>
      <c r="H436" s="762"/>
      <c r="I436" s="759"/>
      <c r="J436" s="759"/>
      <c r="K436" s="760"/>
      <c r="L436" s="761"/>
      <c r="M436" s="761"/>
      <c r="N436" s="762"/>
      <c r="O436" s="759"/>
      <c r="P436" s="759"/>
      <c r="Q436" s="760"/>
      <c r="R436" s="761"/>
      <c r="S436" s="761"/>
      <c r="T436" s="762"/>
      <c r="U436" s="759"/>
      <c r="V436" s="759"/>
      <c r="W436" s="760"/>
      <c r="X436" s="761"/>
      <c r="Y436" s="761"/>
      <c r="Z436" s="762"/>
      <c r="AA436" s="759"/>
      <c r="AB436" s="759"/>
      <c r="AC436" s="760"/>
      <c r="AD436" s="761"/>
      <c r="AE436" s="761"/>
      <c r="AF436" s="762"/>
      <c r="AG436" s="759"/>
      <c r="AH436" s="759"/>
      <c r="AI436" s="760"/>
      <c r="AJ436" s="761"/>
      <c r="AK436" s="761"/>
      <c r="AL436" s="762"/>
      <c r="AM436" s="763"/>
      <c r="AN436" s="763"/>
      <c r="AO436" s="764"/>
    </row>
    <row r="437">
      <c r="A437" s="602" t="s">
        <v>1190</v>
      </c>
      <c r="B437" s="758"/>
      <c r="C437" s="759"/>
      <c r="D437" s="759"/>
      <c r="E437" s="760"/>
      <c r="F437" s="761"/>
      <c r="G437" s="761"/>
      <c r="H437" s="762"/>
      <c r="I437" s="759"/>
      <c r="J437" s="759"/>
      <c r="K437" s="760"/>
      <c r="L437" s="761"/>
      <c r="M437" s="761"/>
      <c r="N437" s="762"/>
      <c r="O437" s="759"/>
      <c r="P437" s="759"/>
      <c r="Q437" s="760"/>
      <c r="R437" s="761"/>
      <c r="S437" s="761"/>
      <c r="T437" s="762"/>
      <c r="U437" s="759"/>
      <c r="V437" s="759"/>
      <c r="W437" s="760"/>
      <c r="X437" s="761"/>
      <c r="Y437" s="761"/>
      <c r="Z437" s="762"/>
      <c r="AA437" s="759"/>
      <c r="AB437" s="759"/>
      <c r="AC437" s="760"/>
      <c r="AD437" s="761"/>
      <c r="AE437" s="761"/>
      <c r="AF437" s="762"/>
      <c r="AG437" s="759"/>
      <c r="AH437" s="759"/>
      <c r="AI437" s="760"/>
      <c r="AJ437" s="761"/>
      <c r="AK437" s="761"/>
      <c r="AL437" s="762"/>
      <c r="AM437" s="763"/>
      <c r="AN437" s="763"/>
      <c r="AO437" s="764"/>
    </row>
    <row r="438">
      <c r="A438" s="602" t="s">
        <v>1190</v>
      </c>
      <c r="B438" s="758"/>
      <c r="C438" s="759"/>
      <c r="D438" s="759"/>
      <c r="E438" s="760"/>
      <c r="F438" s="761"/>
      <c r="G438" s="761"/>
      <c r="H438" s="762"/>
      <c r="I438" s="759"/>
      <c r="J438" s="759"/>
      <c r="K438" s="760"/>
      <c r="L438" s="761"/>
      <c r="M438" s="761"/>
      <c r="N438" s="762"/>
      <c r="O438" s="759"/>
      <c r="P438" s="759"/>
      <c r="Q438" s="760"/>
      <c r="R438" s="761"/>
      <c r="S438" s="761"/>
      <c r="T438" s="762"/>
      <c r="U438" s="759"/>
      <c r="V438" s="759"/>
      <c r="W438" s="760"/>
      <c r="X438" s="761"/>
      <c r="Y438" s="761"/>
      <c r="Z438" s="762"/>
      <c r="AA438" s="759"/>
      <c r="AB438" s="759"/>
      <c r="AC438" s="760"/>
      <c r="AD438" s="761"/>
      <c r="AE438" s="761"/>
      <c r="AF438" s="762"/>
      <c r="AG438" s="759"/>
      <c r="AH438" s="759"/>
      <c r="AI438" s="760"/>
      <c r="AJ438" s="761"/>
      <c r="AK438" s="761"/>
      <c r="AL438" s="762"/>
      <c r="AM438" s="763"/>
      <c r="AN438" s="763"/>
      <c r="AO438" s="764"/>
    </row>
    <row r="439">
      <c r="A439" s="602" t="s">
        <v>1190</v>
      </c>
      <c r="B439" s="758"/>
      <c r="C439" s="759"/>
      <c r="D439" s="759"/>
      <c r="E439" s="760"/>
      <c r="F439" s="761"/>
      <c r="G439" s="761"/>
      <c r="H439" s="762"/>
      <c r="I439" s="759"/>
      <c r="J439" s="759"/>
      <c r="K439" s="760"/>
      <c r="L439" s="761"/>
      <c r="M439" s="761"/>
      <c r="N439" s="762"/>
      <c r="O439" s="759"/>
      <c r="P439" s="759"/>
      <c r="Q439" s="760"/>
      <c r="R439" s="761"/>
      <c r="S439" s="761"/>
      <c r="T439" s="762"/>
      <c r="U439" s="759"/>
      <c r="V439" s="759"/>
      <c r="W439" s="760"/>
      <c r="X439" s="761"/>
      <c r="Y439" s="761"/>
      <c r="Z439" s="762"/>
      <c r="AA439" s="759"/>
      <c r="AB439" s="759"/>
      <c r="AC439" s="760"/>
      <c r="AD439" s="761"/>
      <c r="AE439" s="761"/>
      <c r="AF439" s="762"/>
      <c r="AG439" s="759"/>
      <c r="AH439" s="759"/>
      <c r="AI439" s="760"/>
      <c r="AJ439" s="761"/>
      <c r="AK439" s="761"/>
      <c r="AL439" s="762"/>
      <c r="AM439" s="763"/>
      <c r="AN439" s="763"/>
      <c r="AO439" s="764"/>
    </row>
    <row r="440">
      <c r="A440" s="602" t="s">
        <v>1190</v>
      </c>
      <c r="B440" s="758"/>
      <c r="C440" s="759"/>
      <c r="D440" s="759"/>
      <c r="E440" s="760"/>
      <c r="F440" s="761"/>
      <c r="G440" s="761"/>
      <c r="H440" s="762"/>
      <c r="I440" s="759"/>
      <c r="J440" s="759"/>
      <c r="K440" s="760"/>
      <c r="L440" s="761"/>
      <c r="M440" s="761"/>
      <c r="N440" s="762"/>
      <c r="O440" s="759"/>
      <c r="P440" s="759"/>
      <c r="Q440" s="760"/>
      <c r="R440" s="761"/>
      <c r="S440" s="761"/>
      <c r="T440" s="762"/>
      <c r="U440" s="759"/>
      <c r="V440" s="759"/>
      <c r="W440" s="760"/>
      <c r="X440" s="761"/>
      <c r="Y440" s="761"/>
      <c r="Z440" s="762"/>
      <c r="AA440" s="759"/>
      <c r="AB440" s="759"/>
      <c r="AC440" s="760"/>
      <c r="AD440" s="761"/>
      <c r="AE440" s="761"/>
      <c r="AF440" s="762"/>
      <c r="AG440" s="759"/>
      <c r="AH440" s="759"/>
      <c r="AI440" s="760"/>
      <c r="AJ440" s="761"/>
      <c r="AK440" s="761"/>
      <c r="AL440" s="762"/>
      <c r="AM440" s="763"/>
      <c r="AN440" s="763"/>
      <c r="AO440" s="764"/>
    </row>
    <row r="441">
      <c r="A441" s="602" t="s">
        <v>1190</v>
      </c>
      <c r="B441" s="758"/>
      <c r="C441" s="759"/>
      <c r="D441" s="759"/>
      <c r="E441" s="760"/>
      <c r="F441" s="761"/>
      <c r="G441" s="761"/>
      <c r="H441" s="762"/>
      <c r="I441" s="759"/>
      <c r="J441" s="759"/>
      <c r="K441" s="760"/>
      <c r="L441" s="761"/>
      <c r="M441" s="761"/>
      <c r="N441" s="762"/>
      <c r="O441" s="759"/>
      <c r="P441" s="759"/>
      <c r="Q441" s="760"/>
      <c r="R441" s="761"/>
      <c r="S441" s="761"/>
      <c r="T441" s="762"/>
      <c r="U441" s="759"/>
      <c r="V441" s="759"/>
      <c r="W441" s="760"/>
      <c r="X441" s="761"/>
      <c r="Y441" s="761"/>
      <c r="Z441" s="762"/>
      <c r="AA441" s="759"/>
      <c r="AB441" s="759"/>
      <c r="AC441" s="760"/>
      <c r="AD441" s="761"/>
      <c r="AE441" s="761"/>
      <c r="AF441" s="762"/>
      <c r="AG441" s="759"/>
      <c r="AH441" s="759"/>
      <c r="AI441" s="760"/>
      <c r="AJ441" s="761"/>
      <c r="AK441" s="761"/>
      <c r="AL441" s="762"/>
      <c r="AM441" s="763"/>
      <c r="AN441" s="763"/>
      <c r="AO441" s="764"/>
    </row>
    <row r="442">
      <c r="A442" s="602" t="s">
        <v>1190</v>
      </c>
      <c r="B442" s="758"/>
      <c r="C442" s="759"/>
      <c r="D442" s="759"/>
      <c r="E442" s="760"/>
      <c r="F442" s="761"/>
      <c r="G442" s="761"/>
      <c r="H442" s="762"/>
      <c r="I442" s="759"/>
      <c r="J442" s="759"/>
      <c r="K442" s="760"/>
      <c r="L442" s="761"/>
      <c r="M442" s="761"/>
      <c r="N442" s="762"/>
      <c r="O442" s="759"/>
      <c r="P442" s="759"/>
      <c r="Q442" s="760"/>
      <c r="R442" s="761"/>
      <c r="S442" s="761"/>
      <c r="T442" s="762"/>
      <c r="U442" s="759"/>
      <c r="V442" s="759"/>
      <c r="W442" s="760"/>
      <c r="X442" s="761"/>
      <c r="Y442" s="761"/>
      <c r="Z442" s="762"/>
      <c r="AA442" s="759"/>
      <c r="AB442" s="759"/>
      <c r="AC442" s="760"/>
      <c r="AD442" s="761"/>
      <c r="AE442" s="761"/>
      <c r="AF442" s="762"/>
      <c r="AG442" s="759"/>
      <c r="AH442" s="759"/>
      <c r="AI442" s="760"/>
      <c r="AJ442" s="761"/>
      <c r="AK442" s="761"/>
      <c r="AL442" s="762"/>
      <c r="AM442" s="763"/>
      <c r="AN442" s="763"/>
      <c r="AO442" s="764"/>
    </row>
    <row r="443">
      <c r="A443" s="602" t="s">
        <v>1190</v>
      </c>
      <c r="B443" s="758"/>
      <c r="C443" s="759"/>
      <c r="D443" s="759"/>
      <c r="E443" s="760"/>
      <c r="F443" s="761"/>
      <c r="G443" s="761"/>
      <c r="H443" s="762"/>
      <c r="I443" s="759"/>
      <c r="J443" s="759"/>
      <c r="K443" s="760"/>
      <c r="L443" s="761"/>
      <c r="M443" s="761"/>
      <c r="N443" s="762"/>
      <c r="O443" s="759"/>
      <c r="P443" s="759"/>
      <c r="Q443" s="760"/>
      <c r="R443" s="761"/>
      <c r="S443" s="761"/>
      <c r="T443" s="762"/>
      <c r="U443" s="759"/>
      <c r="V443" s="759"/>
      <c r="W443" s="760"/>
      <c r="X443" s="761"/>
      <c r="Y443" s="761"/>
      <c r="Z443" s="762"/>
      <c r="AA443" s="759"/>
      <c r="AB443" s="759"/>
      <c r="AC443" s="760"/>
      <c r="AD443" s="761"/>
      <c r="AE443" s="761"/>
      <c r="AF443" s="762"/>
      <c r="AG443" s="759"/>
      <c r="AH443" s="759"/>
      <c r="AI443" s="760"/>
      <c r="AJ443" s="761"/>
      <c r="AK443" s="761"/>
      <c r="AL443" s="762"/>
      <c r="AM443" s="763"/>
      <c r="AN443" s="763"/>
      <c r="AO443" s="764"/>
    </row>
    <row r="444">
      <c r="A444" s="602" t="s">
        <v>1190</v>
      </c>
      <c r="B444" s="758"/>
      <c r="C444" s="759"/>
      <c r="D444" s="759"/>
      <c r="E444" s="760"/>
      <c r="F444" s="761"/>
      <c r="G444" s="761"/>
      <c r="H444" s="762"/>
      <c r="I444" s="759"/>
      <c r="J444" s="759"/>
      <c r="K444" s="760"/>
      <c r="L444" s="761"/>
      <c r="M444" s="761"/>
      <c r="N444" s="762"/>
      <c r="O444" s="759"/>
      <c r="P444" s="759"/>
      <c r="Q444" s="760"/>
      <c r="R444" s="761"/>
      <c r="S444" s="761"/>
      <c r="T444" s="762"/>
      <c r="U444" s="759"/>
      <c r="V444" s="759"/>
      <c r="W444" s="760"/>
      <c r="X444" s="761"/>
      <c r="Y444" s="761"/>
      <c r="Z444" s="762"/>
      <c r="AA444" s="759"/>
      <c r="AB444" s="759"/>
      <c r="AC444" s="760"/>
      <c r="AD444" s="761"/>
      <c r="AE444" s="761"/>
      <c r="AF444" s="762"/>
      <c r="AG444" s="759"/>
      <c r="AH444" s="759"/>
      <c r="AI444" s="760"/>
      <c r="AJ444" s="761"/>
      <c r="AK444" s="761"/>
      <c r="AL444" s="762"/>
      <c r="AM444" s="763"/>
      <c r="AN444" s="763"/>
      <c r="AO444" s="764"/>
    </row>
    <row r="445">
      <c r="A445" s="602" t="s">
        <v>1190</v>
      </c>
      <c r="B445" s="758"/>
      <c r="C445" s="759"/>
      <c r="D445" s="759"/>
      <c r="E445" s="760"/>
      <c r="F445" s="761"/>
      <c r="G445" s="761"/>
      <c r="H445" s="762"/>
      <c r="I445" s="759"/>
      <c r="J445" s="759"/>
      <c r="K445" s="760"/>
      <c r="L445" s="761"/>
      <c r="M445" s="761"/>
      <c r="N445" s="762"/>
      <c r="O445" s="759"/>
      <c r="P445" s="759"/>
      <c r="Q445" s="760"/>
      <c r="R445" s="761"/>
      <c r="S445" s="761"/>
      <c r="T445" s="762"/>
      <c r="U445" s="759"/>
      <c r="V445" s="759"/>
      <c r="W445" s="760"/>
      <c r="X445" s="761"/>
      <c r="Y445" s="761"/>
      <c r="Z445" s="762"/>
      <c r="AA445" s="759"/>
      <c r="AB445" s="759"/>
      <c r="AC445" s="760"/>
      <c r="AD445" s="761"/>
      <c r="AE445" s="761"/>
      <c r="AF445" s="762"/>
      <c r="AG445" s="759"/>
      <c r="AH445" s="759"/>
      <c r="AI445" s="760"/>
      <c r="AJ445" s="761"/>
      <c r="AK445" s="761"/>
      <c r="AL445" s="762"/>
      <c r="AM445" s="763"/>
      <c r="AN445" s="763"/>
      <c r="AO445" s="764"/>
    </row>
    <row r="446">
      <c r="A446" s="602" t="s">
        <v>1190</v>
      </c>
      <c r="B446" s="758"/>
      <c r="C446" s="759"/>
      <c r="D446" s="759"/>
      <c r="E446" s="760"/>
      <c r="F446" s="761"/>
      <c r="G446" s="761"/>
      <c r="H446" s="762"/>
      <c r="I446" s="759"/>
      <c r="J446" s="759"/>
      <c r="K446" s="760"/>
      <c r="L446" s="761"/>
      <c r="M446" s="761"/>
      <c r="N446" s="762"/>
      <c r="O446" s="759"/>
      <c r="P446" s="759"/>
      <c r="Q446" s="760"/>
      <c r="R446" s="761"/>
      <c r="S446" s="761"/>
      <c r="T446" s="762"/>
      <c r="U446" s="759"/>
      <c r="V446" s="759"/>
      <c r="W446" s="760"/>
      <c r="X446" s="761"/>
      <c r="Y446" s="761"/>
      <c r="Z446" s="762"/>
      <c r="AA446" s="759"/>
      <c r="AB446" s="759"/>
      <c r="AC446" s="760"/>
      <c r="AD446" s="761"/>
      <c r="AE446" s="761"/>
      <c r="AF446" s="762"/>
      <c r="AG446" s="759"/>
      <c r="AH446" s="759"/>
      <c r="AI446" s="760"/>
      <c r="AJ446" s="761"/>
      <c r="AK446" s="761"/>
      <c r="AL446" s="762"/>
      <c r="AM446" s="763"/>
      <c r="AN446" s="763"/>
      <c r="AO446" s="764"/>
    </row>
    <row r="447">
      <c r="A447" s="602" t="s">
        <v>1190</v>
      </c>
      <c r="B447" s="758"/>
      <c r="C447" s="759"/>
      <c r="D447" s="759"/>
      <c r="E447" s="760"/>
      <c r="F447" s="761"/>
      <c r="G447" s="761"/>
      <c r="H447" s="762"/>
      <c r="I447" s="759"/>
      <c r="J447" s="759"/>
      <c r="K447" s="760"/>
      <c r="L447" s="761"/>
      <c r="M447" s="761"/>
      <c r="N447" s="762"/>
      <c r="O447" s="759"/>
      <c r="P447" s="759"/>
      <c r="Q447" s="760"/>
      <c r="R447" s="761"/>
      <c r="S447" s="761"/>
      <c r="T447" s="762"/>
      <c r="U447" s="759"/>
      <c r="V447" s="759"/>
      <c r="W447" s="760"/>
      <c r="X447" s="761"/>
      <c r="Y447" s="761"/>
      <c r="Z447" s="762"/>
      <c r="AA447" s="759"/>
      <c r="AB447" s="759"/>
      <c r="AC447" s="760"/>
      <c r="AD447" s="761"/>
      <c r="AE447" s="761"/>
      <c r="AF447" s="762"/>
      <c r="AG447" s="759"/>
      <c r="AH447" s="759"/>
      <c r="AI447" s="760"/>
      <c r="AJ447" s="761"/>
      <c r="AK447" s="761"/>
      <c r="AL447" s="762"/>
      <c r="AM447" s="763"/>
      <c r="AN447" s="763"/>
      <c r="AO447" s="764"/>
    </row>
    <row r="448">
      <c r="A448" s="602" t="s">
        <v>1190</v>
      </c>
      <c r="B448" s="758"/>
      <c r="C448" s="759"/>
      <c r="D448" s="759"/>
      <c r="E448" s="760"/>
      <c r="F448" s="761"/>
      <c r="G448" s="761"/>
      <c r="H448" s="762"/>
      <c r="I448" s="759"/>
      <c r="J448" s="759"/>
      <c r="K448" s="760"/>
      <c r="L448" s="761"/>
      <c r="M448" s="761"/>
      <c r="N448" s="762"/>
      <c r="O448" s="759"/>
      <c r="P448" s="759"/>
      <c r="Q448" s="760"/>
      <c r="R448" s="761"/>
      <c r="S448" s="761"/>
      <c r="T448" s="762"/>
      <c r="U448" s="759"/>
      <c r="V448" s="759"/>
      <c r="W448" s="760"/>
      <c r="X448" s="761"/>
      <c r="Y448" s="761"/>
      <c r="Z448" s="762"/>
      <c r="AA448" s="759"/>
      <c r="AB448" s="759"/>
      <c r="AC448" s="760"/>
      <c r="AD448" s="761"/>
      <c r="AE448" s="761"/>
      <c r="AF448" s="762"/>
      <c r="AG448" s="759"/>
      <c r="AH448" s="759"/>
      <c r="AI448" s="760"/>
      <c r="AJ448" s="761"/>
      <c r="AK448" s="761"/>
      <c r="AL448" s="762"/>
      <c r="AM448" s="763"/>
      <c r="AN448" s="763"/>
      <c r="AO448" s="764"/>
    </row>
    <row r="449">
      <c r="A449" s="602" t="s">
        <v>1190</v>
      </c>
      <c r="B449" s="758"/>
      <c r="C449" s="759"/>
      <c r="D449" s="759"/>
      <c r="E449" s="760"/>
      <c r="F449" s="761"/>
      <c r="G449" s="761"/>
      <c r="H449" s="762"/>
      <c r="I449" s="759"/>
      <c r="J449" s="759"/>
      <c r="K449" s="760"/>
      <c r="L449" s="761"/>
      <c r="M449" s="761"/>
      <c r="N449" s="762"/>
      <c r="O449" s="759"/>
      <c r="P449" s="759"/>
      <c r="Q449" s="760"/>
      <c r="R449" s="761"/>
      <c r="S449" s="761"/>
      <c r="T449" s="762"/>
      <c r="U449" s="759"/>
      <c r="V449" s="759"/>
      <c r="W449" s="760"/>
      <c r="X449" s="761"/>
      <c r="Y449" s="761"/>
      <c r="Z449" s="762"/>
      <c r="AA449" s="759"/>
      <c r="AB449" s="759"/>
      <c r="AC449" s="760"/>
      <c r="AD449" s="761"/>
      <c r="AE449" s="761"/>
      <c r="AF449" s="762"/>
      <c r="AG449" s="759"/>
      <c r="AH449" s="759"/>
      <c r="AI449" s="760"/>
      <c r="AJ449" s="761"/>
      <c r="AK449" s="761"/>
      <c r="AL449" s="762"/>
      <c r="AM449" s="763"/>
      <c r="AN449" s="763"/>
      <c r="AO449" s="764"/>
    </row>
    <row r="450">
      <c r="A450" s="602" t="s">
        <v>1190</v>
      </c>
      <c r="B450" s="758"/>
      <c r="C450" s="759"/>
      <c r="D450" s="759"/>
      <c r="E450" s="760"/>
      <c r="F450" s="761"/>
      <c r="G450" s="761"/>
      <c r="H450" s="762"/>
      <c r="I450" s="759"/>
      <c r="J450" s="759"/>
      <c r="K450" s="760"/>
      <c r="L450" s="761"/>
      <c r="M450" s="761"/>
      <c r="N450" s="762"/>
      <c r="O450" s="759"/>
      <c r="P450" s="759"/>
      <c r="Q450" s="760"/>
      <c r="R450" s="761"/>
      <c r="S450" s="761"/>
      <c r="T450" s="762"/>
      <c r="U450" s="759"/>
      <c r="V450" s="759"/>
      <c r="W450" s="760"/>
      <c r="X450" s="761"/>
      <c r="Y450" s="761"/>
      <c r="Z450" s="762"/>
      <c r="AA450" s="759"/>
      <c r="AB450" s="759"/>
      <c r="AC450" s="760"/>
      <c r="AD450" s="761"/>
      <c r="AE450" s="761"/>
      <c r="AF450" s="762"/>
      <c r="AG450" s="759"/>
      <c r="AH450" s="759"/>
      <c r="AI450" s="760"/>
      <c r="AJ450" s="761"/>
      <c r="AK450" s="761"/>
      <c r="AL450" s="762"/>
      <c r="AM450" s="763"/>
      <c r="AN450" s="763"/>
      <c r="AO450" s="764"/>
    </row>
    <row r="451">
      <c r="A451" s="602" t="s">
        <v>1190</v>
      </c>
      <c r="B451" s="758"/>
      <c r="C451" s="759"/>
      <c r="D451" s="759"/>
      <c r="E451" s="760"/>
      <c r="F451" s="761"/>
      <c r="G451" s="761"/>
      <c r="H451" s="762"/>
      <c r="I451" s="759"/>
      <c r="J451" s="759"/>
      <c r="K451" s="760"/>
      <c r="L451" s="761"/>
      <c r="M451" s="761"/>
      <c r="N451" s="762"/>
      <c r="O451" s="759"/>
      <c r="P451" s="759"/>
      <c r="Q451" s="760"/>
      <c r="R451" s="761"/>
      <c r="S451" s="761"/>
      <c r="T451" s="762"/>
      <c r="U451" s="759"/>
      <c r="V451" s="759"/>
      <c r="W451" s="760"/>
      <c r="X451" s="761"/>
      <c r="Y451" s="761"/>
      <c r="Z451" s="762"/>
      <c r="AA451" s="759"/>
      <c r="AB451" s="759"/>
      <c r="AC451" s="760"/>
      <c r="AD451" s="761"/>
      <c r="AE451" s="761"/>
      <c r="AF451" s="762"/>
      <c r="AG451" s="759"/>
      <c r="AH451" s="759"/>
      <c r="AI451" s="760"/>
      <c r="AJ451" s="761"/>
      <c r="AK451" s="761"/>
      <c r="AL451" s="762"/>
      <c r="AM451" s="763"/>
      <c r="AN451" s="763"/>
      <c r="AO451" s="764"/>
    </row>
    <row r="452">
      <c r="A452" s="602" t="s">
        <v>1190</v>
      </c>
      <c r="B452" s="758"/>
      <c r="C452" s="759"/>
      <c r="D452" s="759"/>
      <c r="E452" s="760"/>
      <c r="F452" s="761"/>
      <c r="G452" s="761"/>
      <c r="H452" s="762"/>
      <c r="I452" s="759"/>
      <c r="J452" s="759"/>
      <c r="K452" s="760"/>
      <c r="L452" s="761"/>
      <c r="M452" s="761"/>
      <c r="N452" s="762"/>
      <c r="O452" s="759"/>
      <c r="P452" s="759"/>
      <c r="Q452" s="760"/>
      <c r="R452" s="761"/>
      <c r="S452" s="761"/>
      <c r="T452" s="762"/>
      <c r="U452" s="759"/>
      <c r="V452" s="759"/>
      <c r="W452" s="760"/>
      <c r="X452" s="761"/>
      <c r="Y452" s="761"/>
      <c r="Z452" s="762"/>
      <c r="AA452" s="759"/>
      <c r="AB452" s="759"/>
      <c r="AC452" s="760"/>
      <c r="AD452" s="761"/>
      <c r="AE452" s="761"/>
      <c r="AF452" s="762"/>
      <c r="AG452" s="759"/>
      <c r="AH452" s="759"/>
      <c r="AI452" s="760"/>
      <c r="AJ452" s="761"/>
      <c r="AK452" s="761"/>
      <c r="AL452" s="762"/>
      <c r="AM452" s="763"/>
      <c r="AN452" s="763"/>
      <c r="AO452" s="764"/>
    </row>
    <row r="453">
      <c r="A453" s="602" t="s">
        <v>1190</v>
      </c>
      <c r="B453" s="758"/>
      <c r="C453" s="759"/>
      <c r="D453" s="759"/>
      <c r="E453" s="760"/>
      <c r="F453" s="761"/>
      <c r="G453" s="761"/>
      <c r="H453" s="762"/>
      <c r="I453" s="759"/>
      <c r="J453" s="759"/>
      <c r="K453" s="760"/>
      <c r="L453" s="761"/>
      <c r="M453" s="761"/>
      <c r="N453" s="762"/>
      <c r="O453" s="759"/>
      <c r="P453" s="759"/>
      <c r="Q453" s="760"/>
      <c r="R453" s="761"/>
      <c r="S453" s="761"/>
      <c r="T453" s="762"/>
      <c r="U453" s="759"/>
      <c r="V453" s="759"/>
      <c r="W453" s="760"/>
      <c r="X453" s="761"/>
      <c r="Y453" s="761"/>
      <c r="Z453" s="762"/>
      <c r="AA453" s="759"/>
      <c r="AB453" s="759"/>
      <c r="AC453" s="760"/>
      <c r="AD453" s="761"/>
      <c r="AE453" s="761"/>
      <c r="AF453" s="762"/>
      <c r="AG453" s="759"/>
      <c r="AH453" s="759"/>
      <c r="AI453" s="760"/>
      <c r="AJ453" s="761"/>
      <c r="AK453" s="761"/>
      <c r="AL453" s="762"/>
      <c r="AM453" s="763"/>
      <c r="AN453" s="763"/>
      <c r="AO453" s="764"/>
    </row>
    <row r="454">
      <c r="A454" s="602" t="s">
        <v>1190</v>
      </c>
      <c r="B454" s="758"/>
      <c r="C454" s="759"/>
      <c r="D454" s="759"/>
      <c r="E454" s="760"/>
      <c r="F454" s="761"/>
      <c r="G454" s="761"/>
      <c r="H454" s="762"/>
      <c r="I454" s="759"/>
      <c r="J454" s="759"/>
      <c r="K454" s="760"/>
      <c r="L454" s="761"/>
      <c r="M454" s="761"/>
      <c r="N454" s="762"/>
      <c r="O454" s="759"/>
      <c r="P454" s="759"/>
      <c r="Q454" s="760"/>
      <c r="R454" s="761"/>
      <c r="S454" s="761"/>
      <c r="T454" s="762"/>
      <c r="U454" s="759"/>
      <c r="V454" s="759"/>
      <c r="W454" s="760"/>
      <c r="X454" s="761"/>
      <c r="Y454" s="761"/>
      <c r="Z454" s="762"/>
      <c r="AA454" s="759"/>
      <c r="AB454" s="759"/>
      <c r="AC454" s="760"/>
      <c r="AD454" s="761"/>
      <c r="AE454" s="761"/>
      <c r="AF454" s="762"/>
      <c r="AG454" s="759"/>
      <c r="AH454" s="759"/>
      <c r="AI454" s="760"/>
      <c r="AJ454" s="761"/>
      <c r="AK454" s="761"/>
      <c r="AL454" s="762"/>
      <c r="AM454" s="763"/>
      <c r="AN454" s="763"/>
      <c r="AO454" s="764"/>
    </row>
    <row r="455">
      <c r="A455" s="602" t="s">
        <v>1190</v>
      </c>
      <c r="B455" s="758"/>
      <c r="C455" s="759"/>
      <c r="D455" s="759"/>
      <c r="E455" s="760"/>
      <c r="F455" s="761"/>
      <c r="G455" s="761"/>
      <c r="H455" s="762"/>
      <c r="I455" s="759"/>
      <c r="J455" s="759"/>
      <c r="K455" s="760"/>
      <c r="L455" s="761"/>
      <c r="M455" s="761"/>
      <c r="N455" s="762"/>
      <c r="O455" s="759"/>
      <c r="P455" s="759"/>
      <c r="Q455" s="760"/>
      <c r="R455" s="761"/>
      <c r="S455" s="761"/>
      <c r="T455" s="762"/>
      <c r="U455" s="759"/>
      <c r="V455" s="759"/>
      <c r="W455" s="760"/>
      <c r="X455" s="761"/>
      <c r="Y455" s="761"/>
      <c r="Z455" s="762"/>
      <c r="AA455" s="759"/>
      <c r="AB455" s="759"/>
      <c r="AC455" s="760"/>
      <c r="AD455" s="761"/>
      <c r="AE455" s="761"/>
      <c r="AF455" s="762"/>
      <c r="AG455" s="759"/>
      <c r="AH455" s="759"/>
      <c r="AI455" s="760"/>
      <c r="AJ455" s="761"/>
      <c r="AK455" s="761"/>
      <c r="AL455" s="762"/>
      <c r="AM455" s="763"/>
      <c r="AN455" s="763"/>
      <c r="AO455" s="764"/>
    </row>
    <row r="456">
      <c r="A456" s="602" t="s">
        <v>1190</v>
      </c>
      <c r="B456" s="758"/>
      <c r="C456" s="759"/>
      <c r="D456" s="759"/>
      <c r="E456" s="760"/>
      <c r="F456" s="761"/>
      <c r="G456" s="761"/>
      <c r="H456" s="762"/>
      <c r="I456" s="759"/>
      <c r="J456" s="759"/>
      <c r="K456" s="760"/>
      <c r="L456" s="761"/>
      <c r="M456" s="761"/>
      <c r="N456" s="762"/>
      <c r="O456" s="759"/>
      <c r="P456" s="759"/>
      <c r="Q456" s="760"/>
      <c r="R456" s="761"/>
      <c r="S456" s="761"/>
      <c r="T456" s="762"/>
      <c r="U456" s="759"/>
      <c r="V456" s="759"/>
      <c r="W456" s="760"/>
      <c r="X456" s="761"/>
      <c r="Y456" s="761"/>
      <c r="Z456" s="762"/>
      <c r="AA456" s="759"/>
      <c r="AB456" s="759"/>
      <c r="AC456" s="760"/>
      <c r="AD456" s="761"/>
      <c r="AE456" s="761"/>
      <c r="AF456" s="762"/>
      <c r="AG456" s="759"/>
      <c r="AH456" s="759"/>
      <c r="AI456" s="760"/>
      <c r="AJ456" s="761"/>
      <c r="AK456" s="761"/>
      <c r="AL456" s="762"/>
      <c r="AM456" s="763"/>
      <c r="AN456" s="763"/>
      <c r="AO456" s="764"/>
    </row>
    <row r="457">
      <c r="A457" s="602" t="s">
        <v>1190</v>
      </c>
      <c r="B457" s="758"/>
      <c r="C457" s="759"/>
      <c r="D457" s="759"/>
      <c r="E457" s="760"/>
      <c r="F457" s="761"/>
      <c r="G457" s="761"/>
      <c r="H457" s="762"/>
      <c r="I457" s="759"/>
      <c r="J457" s="759"/>
      <c r="K457" s="760"/>
      <c r="L457" s="761"/>
      <c r="M457" s="761"/>
      <c r="N457" s="762"/>
      <c r="O457" s="759"/>
      <c r="P457" s="759"/>
      <c r="Q457" s="760"/>
      <c r="R457" s="761"/>
      <c r="S457" s="761"/>
      <c r="T457" s="762"/>
      <c r="U457" s="759"/>
      <c r="V457" s="759"/>
      <c r="W457" s="760"/>
      <c r="X457" s="761"/>
      <c r="Y457" s="761"/>
      <c r="Z457" s="762"/>
      <c r="AA457" s="759"/>
      <c r="AB457" s="759"/>
      <c r="AC457" s="760"/>
      <c r="AD457" s="761"/>
      <c r="AE457" s="761"/>
      <c r="AF457" s="762"/>
      <c r="AG457" s="759"/>
      <c r="AH457" s="759"/>
      <c r="AI457" s="760"/>
      <c r="AJ457" s="761"/>
      <c r="AK457" s="761"/>
      <c r="AL457" s="762"/>
      <c r="AM457" s="763"/>
      <c r="AN457" s="763"/>
      <c r="AO457" s="764"/>
    </row>
    <row r="458">
      <c r="A458" s="602" t="s">
        <v>1190</v>
      </c>
      <c r="B458" s="758"/>
      <c r="C458" s="759"/>
      <c r="D458" s="759"/>
      <c r="E458" s="760"/>
      <c r="F458" s="761"/>
      <c r="G458" s="761"/>
      <c r="H458" s="762"/>
      <c r="I458" s="759"/>
      <c r="J458" s="759"/>
      <c r="K458" s="760"/>
      <c r="L458" s="761"/>
      <c r="M458" s="761"/>
      <c r="N458" s="762"/>
      <c r="O458" s="759"/>
      <c r="P458" s="759"/>
      <c r="Q458" s="760"/>
      <c r="R458" s="761"/>
      <c r="S458" s="761"/>
      <c r="T458" s="762"/>
      <c r="U458" s="759"/>
      <c r="V458" s="759"/>
      <c r="W458" s="760"/>
      <c r="X458" s="761"/>
      <c r="Y458" s="761"/>
      <c r="Z458" s="762"/>
      <c r="AA458" s="759"/>
      <c r="AB458" s="759"/>
      <c r="AC458" s="760"/>
      <c r="AD458" s="761"/>
      <c r="AE458" s="761"/>
      <c r="AF458" s="762"/>
      <c r="AG458" s="759"/>
      <c r="AH458" s="759"/>
      <c r="AI458" s="760"/>
      <c r="AJ458" s="761"/>
      <c r="AK458" s="761"/>
      <c r="AL458" s="762"/>
      <c r="AM458" s="763"/>
      <c r="AN458" s="763"/>
      <c r="AO458" s="764"/>
    </row>
    <row r="459">
      <c r="A459" s="602" t="s">
        <v>1190</v>
      </c>
      <c r="B459" s="758"/>
      <c r="C459" s="759"/>
      <c r="D459" s="759"/>
      <c r="E459" s="760"/>
      <c r="F459" s="761"/>
      <c r="G459" s="761"/>
      <c r="H459" s="762"/>
      <c r="I459" s="759"/>
      <c r="J459" s="759"/>
      <c r="K459" s="760"/>
      <c r="L459" s="761"/>
      <c r="M459" s="761"/>
      <c r="N459" s="762"/>
      <c r="O459" s="759"/>
      <c r="P459" s="759"/>
      <c r="Q459" s="760"/>
      <c r="R459" s="761"/>
      <c r="S459" s="761"/>
      <c r="T459" s="762"/>
      <c r="U459" s="759"/>
      <c r="V459" s="759"/>
      <c r="W459" s="760"/>
      <c r="X459" s="761"/>
      <c r="Y459" s="761"/>
      <c r="Z459" s="762"/>
      <c r="AA459" s="759"/>
      <c r="AB459" s="759"/>
      <c r="AC459" s="760"/>
      <c r="AD459" s="761"/>
      <c r="AE459" s="761"/>
      <c r="AF459" s="762"/>
      <c r="AG459" s="759"/>
      <c r="AH459" s="759"/>
      <c r="AI459" s="760"/>
      <c r="AJ459" s="761"/>
      <c r="AK459" s="761"/>
      <c r="AL459" s="762"/>
      <c r="AM459" s="763"/>
      <c r="AN459" s="763"/>
      <c r="AO459" s="764"/>
    </row>
    <row r="460">
      <c r="A460" s="602" t="s">
        <v>1190</v>
      </c>
      <c r="B460" s="758"/>
      <c r="C460" s="759"/>
      <c r="D460" s="759"/>
      <c r="E460" s="760"/>
      <c r="F460" s="761"/>
      <c r="G460" s="761"/>
      <c r="H460" s="762"/>
      <c r="I460" s="759"/>
      <c r="J460" s="759"/>
      <c r="K460" s="760"/>
      <c r="L460" s="761"/>
      <c r="M460" s="761"/>
      <c r="N460" s="762"/>
      <c r="O460" s="759"/>
      <c r="P460" s="759"/>
      <c r="Q460" s="760"/>
      <c r="R460" s="761"/>
      <c r="S460" s="761"/>
      <c r="T460" s="762"/>
      <c r="U460" s="759"/>
      <c r="V460" s="759"/>
      <c r="W460" s="760"/>
      <c r="X460" s="761"/>
      <c r="Y460" s="761"/>
      <c r="Z460" s="762"/>
      <c r="AA460" s="759"/>
      <c r="AB460" s="759"/>
      <c r="AC460" s="760"/>
      <c r="AD460" s="761"/>
      <c r="AE460" s="761"/>
      <c r="AF460" s="762"/>
      <c r="AG460" s="759"/>
      <c r="AH460" s="759"/>
      <c r="AI460" s="760"/>
      <c r="AJ460" s="761"/>
      <c r="AK460" s="761"/>
      <c r="AL460" s="762"/>
      <c r="AM460" s="763"/>
      <c r="AN460" s="763"/>
      <c r="AO460" s="764"/>
    </row>
    <row r="461">
      <c r="A461" s="602" t="s">
        <v>1190</v>
      </c>
      <c r="B461" s="758"/>
      <c r="C461" s="759"/>
      <c r="D461" s="759"/>
      <c r="E461" s="760"/>
      <c r="F461" s="761"/>
      <c r="G461" s="761"/>
      <c r="H461" s="762"/>
      <c r="I461" s="759"/>
      <c r="J461" s="759"/>
      <c r="K461" s="760"/>
      <c r="L461" s="761"/>
      <c r="M461" s="761"/>
      <c r="N461" s="762"/>
      <c r="O461" s="759"/>
      <c r="P461" s="759"/>
      <c r="Q461" s="760"/>
      <c r="R461" s="761"/>
      <c r="S461" s="761"/>
      <c r="T461" s="762"/>
      <c r="U461" s="759"/>
      <c r="V461" s="759"/>
      <c r="W461" s="760"/>
      <c r="X461" s="761"/>
      <c r="Y461" s="761"/>
      <c r="Z461" s="762"/>
      <c r="AA461" s="759"/>
      <c r="AB461" s="759"/>
      <c r="AC461" s="760"/>
      <c r="AD461" s="761"/>
      <c r="AE461" s="761"/>
      <c r="AF461" s="762"/>
      <c r="AG461" s="759"/>
      <c r="AH461" s="759"/>
      <c r="AI461" s="760"/>
      <c r="AJ461" s="761"/>
      <c r="AK461" s="761"/>
      <c r="AL461" s="762"/>
      <c r="AM461" s="763"/>
      <c r="AN461" s="763"/>
      <c r="AO461" s="764"/>
    </row>
    <row r="462">
      <c r="A462" s="602" t="s">
        <v>1190</v>
      </c>
      <c r="B462" s="758"/>
      <c r="C462" s="759"/>
      <c r="D462" s="759"/>
      <c r="E462" s="760"/>
      <c r="F462" s="761"/>
      <c r="G462" s="761"/>
      <c r="H462" s="762"/>
      <c r="I462" s="759"/>
      <c r="J462" s="759"/>
      <c r="K462" s="760"/>
      <c r="L462" s="761"/>
      <c r="M462" s="761"/>
      <c r="N462" s="762"/>
      <c r="O462" s="759"/>
      <c r="P462" s="759"/>
      <c r="Q462" s="760"/>
      <c r="R462" s="761"/>
      <c r="S462" s="761"/>
      <c r="T462" s="762"/>
      <c r="U462" s="759"/>
      <c r="V462" s="759"/>
      <c r="W462" s="760"/>
      <c r="X462" s="761"/>
      <c r="Y462" s="761"/>
      <c r="Z462" s="762"/>
      <c r="AA462" s="759"/>
      <c r="AB462" s="759"/>
      <c r="AC462" s="760"/>
      <c r="AD462" s="761"/>
      <c r="AE462" s="761"/>
      <c r="AF462" s="762"/>
      <c r="AG462" s="759"/>
      <c r="AH462" s="759"/>
      <c r="AI462" s="760"/>
      <c r="AJ462" s="761"/>
      <c r="AK462" s="761"/>
      <c r="AL462" s="762"/>
      <c r="AM462" s="763"/>
      <c r="AN462" s="763"/>
      <c r="AO462" s="764"/>
    </row>
    <row r="463">
      <c r="A463" s="602" t="s">
        <v>1190</v>
      </c>
      <c r="B463" s="758"/>
      <c r="C463" s="759"/>
      <c r="D463" s="759"/>
      <c r="E463" s="760"/>
      <c r="F463" s="761"/>
      <c r="G463" s="761"/>
      <c r="H463" s="762"/>
      <c r="I463" s="759"/>
      <c r="J463" s="759"/>
      <c r="K463" s="760"/>
      <c r="L463" s="761"/>
      <c r="M463" s="761"/>
      <c r="N463" s="762"/>
      <c r="O463" s="759"/>
      <c r="P463" s="759"/>
      <c r="Q463" s="760"/>
      <c r="R463" s="761"/>
      <c r="S463" s="761"/>
      <c r="T463" s="762"/>
      <c r="U463" s="759"/>
      <c r="V463" s="759"/>
      <c r="W463" s="760"/>
      <c r="X463" s="761"/>
      <c r="Y463" s="761"/>
      <c r="Z463" s="762"/>
      <c r="AA463" s="759"/>
      <c r="AB463" s="759"/>
      <c r="AC463" s="760"/>
      <c r="AD463" s="761"/>
      <c r="AE463" s="761"/>
      <c r="AF463" s="762"/>
      <c r="AG463" s="759"/>
      <c r="AH463" s="759"/>
      <c r="AI463" s="760"/>
      <c r="AJ463" s="761"/>
      <c r="AK463" s="761"/>
      <c r="AL463" s="762"/>
      <c r="AM463" s="763"/>
      <c r="AN463" s="763"/>
      <c r="AO463" s="764"/>
    </row>
    <row r="464">
      <c r="A464" s="602" t="s">
        <v>1190</v>
      </c>
      <c r="B464" s="758"/>
      <c r="C464" s="759"/>
      <c r="D464" s="759"/>
      <c r="E464" s="760"/>
      <c r="F464" s="761"/>
      <c r="G464" s="761"/>
      <c r="H464" s="762"/>
      <c r="I464" s="759"/>
      <c r="J464" s="759"/>
      <c r="K464" s="760"/>
      <c r="L464" s="761"/>
      <c r="M464" s="761"/>
      <c r="N464" s="762"/>
      <c r="O464" s="759"/>
      <c r="P464" s="759"/>
      <c r="Q464" s="760"/>
      <c r="R464" s="761"/>
      <c r="S464" s="761"/>
      <c r="T464" s="762"/>
      <c r="U464" s="759"/>
      <c r="V464" s="759"/>
      <c r="W464" s="760"/>
      <c r="X464" s="761"/>
      <c r="Y464" s="761"/>
      <c r="Z464" s="762"/>
      <c r="AA464" s="759"/>
      <c r="AB464" s="759"/>
      <c r="AC464" s="760"/>
      <c r="AD464" s="761"/>
      <c r="AE464" s="761"/>
      <c r="AF464" s="762"/>
      <c r="AG464" s="759"/>
      <c r="AH464" s="759"/>
      <c r="AI464" s="760"/>
      <c r="AJ464" s="761"/>
      <c r="AK464" s="761"/>
      <c r="AL464" s="762"/>
      <c r="AM464" s="763"/>
      <c r="AN464" s="763"/>
      <c r="AO464" s="764"/>
    </row>
    <row r="465">
      <c r="A465" s="602" t="s">
        <v>1190</v>
      </c>
      <c r="B465" s="758"/>
      <c r="C465" s="759"/>
      <c r="D465" s="759"/>
      <c r="E465" s="760"/>
      <c r="F465" s="761"/>
      <c r="G465" s="761"/>
      <c r="H465" s="762"/>
      <c r="I465" s="759"/>
      <c r="J465" s="759"/>
      <c r="K465" s="760"/>
      <c r="L465" s="761"/>
      <c r="M465" s="761"/>
      <c r="N465" s="762"/>
      <c r="O465" s="759"/>
      <c r="P465" s="759"/>
      <c r="Q465" s="760"/>
      <c r="R465" s="761"/>
      <c r="S465" s="761"/>
      <c r="T465" s="762"/>
      <c r="U465" s="759"/>
      <c r="V465" s="759"/>
      <c r="W465" s="760"/>
      <c r="X465" s="761"/>
      <c r="Y465" s="761"/>
      <c r="Z465" s="762"/>
      <c r="AA465" s="759"/>
      <c r="AB465" s="759"/>
      <c r="AC465" s="760"/>
      <c r="AD465" s="761"/>
      <c r="AE465" s="761"/>
      <c r="AF465" s="762"/>
      <c r="AG465" s="759"/>
      <c r="AH465" s="759"/>
      <c r="AI465" s="760"/>
      <c r="AJ465" s="761"/>
      <c r="AK465" s="761"/>
      <c r="AL465" s="762"/>
      <c r="AM465" s="763"/>
      <c r="AN465" s="763"/>
      <c r="AO465" s="764"/>
    </row>
    <row r="466">
      <c r="A466" s="602" t="s">
        <v>1190</v>
      </c>
      <c r="B466" s="758"/>
      <c r="C466" s="759"/>
      <c r="D466" s="759"/>
      <c r="E466" s="760"/>
      <c r="F466" s="761"/>
      <c r="G466" s="761"/>
      <c r="H466" s="762"/>
      <c r="I466" s="759"/>
      <c r="J466" s="759"/>
      <c r="K466" s="760"/>
      <c r="L466" s="761"/>
      <c r="M466" s="761"/>
      <c r="N466" s="762"/>
      <c r="O466" s="759"/>
      <c r="P466" s="759"/>
      <c r="Q466" s="760"/>
      <c r="R466" s="761"/>
      <c r="S466" s="761"/>
      <c r="T466" s="762"/>
      <c r="U466" s="759"/>
      <c r="V466" s="759"/>
      <c r="W466" s="760"/>
      <c r="X466" s="761"/>
      <c r="Y466" s="761"/>
      <c r="Z466" s="762"/>
      <c r="AA466" s="759"/>
      <c r="AB466" s="759"/>
      <c r="AC466" s="760"/>
      <c r="AD466" s="761"/>
      <c r="AE466" s="761"/>
      <c r="AF466" s="762"/>
      <c r="AG466" s="759"/>
      <c r="AH466" s="759"/>
      <c r="AI466" s="760"/>
      <c r="AJ466" s="761"/>
      <c r="AK466" s="761"/>
      <c r="AL466" s="762"/>
      <c r="AM466" s="763"/>
      <c r="AN466" s="763"/>
      <c r="AO466" s="764"/>
    </row>
    <row r="467">
      <c r="A467" s="602" t="s">
        <v>1190</v>
      </c>
      <c r="B467" s="758"/>
      <c r="C467" s="759"/>
      <c r="D467" s="759"/>
      <c r="E467" s="760"/>
      <c r="F467" s="761"/>
      <c r="G467" s="761"/>
      <c r="H467" s="762"/>
      <c r="I467" s="759"/>
      <c r="J467" s="759"/>
      <c r="K467" s="760"/>
      <c r="L467" s="761"/>
      <c r="M467" s="761"/>
      <c r="N467" s="762"/>
      <c r="O467" s="759"/>
      <c r="P467" s="759"/>
      <c r="Q467" s="760"/>
      <c r="R467" s="761"/>
      <c r="S467" s="761"/>
      <c r="T467" s="762"/>
      <c r="U467" s="759"/>
      <c r="V467" s="759"/>
      <c r="W467" s="760"/>
      <c r="X467" s="761"/>
      <c r="Y467" s="761"/>
      <c r="Z467" s="762"/>
      <c r="AA467" s="759"/>
      <c r="AB467" s="759"/>
      <c r="AC467" s="760"/>
      <c r="AD467" s="761"/>
      <c r="AE467" s="761"/>
      <c r="AF467" s="762"/>
      <c r="AG467" s="759"/>
      <c r="AH467" s="759"/>
      <c r="AI467" s="760"/>
      <c r="AJ467" s="761"/>
      <c r="AK467" s="761"/>
      <c r="AL467" s="762"/>
      <c r="AM467" s="763"/>
      <c r="AN467" s="763"/>
      <c r="AO467" s="764"/>
    </row>
    <row r="468">
      <c r="A468" s="602" t="s">
        <v>1190</v>
      </c>
      <c r="B468" s="758"/>
      <c r="C468" s="759"/>
      <c r="D468" s="759"/>
      <c r="E468" s="760"/>
      <c r="F468" s="761"/>
      <c r="G468" s="761"/>
      <c r="H468" s="762"/>
      <c r="I468" s="759"/>
      <c r="J468" s="759"/>
      <c r="K468" s="760"/>
      <c r="L468" s="761"/>
      <c r="M468" s="761"/>
      <c r="N468" s="762"/>
      <c r="O468" s="759"/>
      <c r="P468" s="759"/>
      <c r="Q468" s="760"/>
      <c r="R468" s="761"/>
      <c r="S468" s="761"/>
      <c r="T468" s="762"/>
      <c r="U468" s="759"/>
      <c r="V468" s="759"/>
      <c r="W468" s="760"/>
      <c r="X468" s="761"/>
      <c r="Y468" s="761"/>
      <c r="Z468" s="762"/>
      <c r="AA468" s="759"/>
      <c r="AB468" s="759"/>
      <c r="AC468" s="760"/>
      <c r="AD468" s="761"/>
      <c r="AE468" s="761"/>
      <c r="AF468" s="762"/>
      <c r="AG468" s="759"/>
      <c r="AH468" s="759"/>
      <c r="AI468" s="760"/>
      <c r="AJ468" s="761"/>
      <c r="AK468" s="761"/>
      <c r="AL468" s="762"/>
      <c r="AM468" s="763"/>
      <c r="AN468" s="763"/>
      <c r="AO468" s="764"/>
    </row>
    <row r="469">
      <c r="A469" s="602" t="s">
        <v>1190</v>
      </c>
      <c r="B469" s="758"/>
      <c r="C469" s="759"/>
      <c r="D469" s="759"/>
      <c r="E469" s="760"/>
      <c r="F469" s="761"/>
      <c r="G469" s="761"/>
      <c r="H469" s="762"/>
      <c r="I469" s="759"/>
      <c r="J469" s="759"/>
      <c r="K469" s="760"/>
      <c r="L469" s="761"/>
      <c r="M469" s="761"/>
      <c r="N469" s="762"/>
      <c r="O469" s="759"/>
      <c r="P469" s="759"/>
      <c r="Q469" s="760"/>
      <c r="R469" s="761"/>
      <c r="S469" s="761"/>
      <c r="T469" s="762"/>
      <c r="U469" s="759"/>
      <c r="V469" s="759"/>
      <c r="W469" s="760"/>
      <c r="X469" s="761"/>
      <c r="Y469" s="761"/>
      <c r="Z469" s="762"/>
      <c r="AA469" s="759"/>
      <c r="AB469" s="759"/>
      <c r="AC469" s="760"/>
      <c r="AD469" s="761"/>
      <c r="AE469" s="761"/>
      <c r="AF469" s="762"/>
      <c r="AG469" s="759"/>
      <c r="AH469" s="759"/>
      <c r="AI469" s="760"/>
      <c r="AJ469" s="761"/>
      <c r="AK469" s="761"/>
      <c r="AL469" s="762"/>
      <c r="AM469" s="763"/>
      <c r="AN469" s="763"/>
      <c r="AO469" s="764"/>
    </row>
    <row r="470">
      <c r="A470" s="602" t="s">
        <v>1190</v>
      </c>
      <c r="B470" s="758"/>
      <c r="C470" s="759"/>
      <c r="D470" s="759"/>
      <c r="E470" s="760"/>
      <c r="F470" s="761"/>
      <c r="G470" s="761"/>
      <c r="H470" s="762"/>
      <c r="I470" s="759"/>
      <c r="J470" s="759"/>
      <c r="K470" s="760"/>
      <c r="L470" s="761"/>
      <c r="M470" s="761"/>
      <c r="N470" s="762"/>
      <c r="O470" s="759"/>
      <c r="P470" s="759"/>
      <c r="Q470" s="760"/>
      <c r="R470" s="761"/>
      <c r="S470" s="761"/>
      <c r="T470" s="762"/>
      <c r="U470" s="759"/>
      <c r="V470" s="759"/>
      <c r="W470" s="760"/>
      <c r="X470" s="761"/>
      <c r="Y470" s="761"/>
      <c r="Z470" s="762"/>
      <c r="AA470" s="759"/>
      <c r="AB470" s="759"/>
      <c r="AC470" s="760"/>
      <c r="AD470" s="761"/>
      <c r="AE470" s="761"/>
      <c r="AF470" s="762"/>
      <c r="AG470" s="759"/>
      <c r="AH470" s="759"/>
      <c r="AI470" s="760"/>
      <c r="AJ470" s="761"/>
      <c r="AK470" s="761"/>
      <c r="AL470" s="762"/>
      <c r="AM470" s="763"/>
      <c r="AN470" s="763"/>
      <c r="AO470" s="764"/>
    </row>
    <row r="471">
      <c r="A471" s="602" t="s">
        <v>1190</v>
      </c>
      <c r="B471" s="758"/>
      <c r="C471" s="759"/>
      <c r="D471" s="759"/>
      <c r="E471" s="760"/>
      <c r="F471" s="761"/>
      <c r="G471" s="761"/>
      <c r="H471" s="762"/>
      <c r="I471" s="759"/>
      <c r="J471" s="759"/>
      <c r="K471" s="760"/>
      <c r="L471" s="761"/>
      <c r="M471" s="761"/>
      <c r="N471" s="762"/>
      <c r="O471" s="759"/>
      <c r="P471" s="759"/>
      <c r="Q471" s="760"/>
      <c r="R471" s="761"/>
      <c r="S471" s="761"/>
      <c r="T471" s="762"/>
      <c r="U471" s="759"/>
      <c r="V471" s="759"/>
      <c r="W471" s="760"/>
      <c r="X471" s="761"/>
      <c r="Y471" s="761"/>
      <c r="Z471" s="762"/>
      <c r="AA471" s="759"/>
      <c r="AB471" s="759"/>
      <c r="AC471" s="760"/>
      <c r="AD471" s="761"/>
      <c r="AE471" s="761"/>
      <c r="AF471" s="762"/>
      <c r="AG471" s="759"/>
      <c r="AH471" s="759"/>
      <c r="AI471" s="760"/>
      <c r="AJ471" s="761"/>
      <c r="AK471" s="761"/>
      <c r="AL471" s="762"/>
      <c r="AM471" s="763"/>
      <c r="AN471" s="763"/>
      <c r="AO471" s="764"/>
    </row>
    <row r="472">
      <c r="A472" s="602" t="s">
        <v>1190</v>
      </c>
      <c r="B472" s="758"/>
      <c r="C472" s="759"/>
      <c r="D472" s="759"/>
      <c r="E472" s="760"/>
      <c r="F472" s="761"/>
      <c r="G472" s="761"/>
      <c r="H472" s="762"/>
      <c r="I472" s="759"/>
      <c r="J472" s="759"/>
      <c r="K472" s="760"/>
      <c r="L472" s="761"/>
      <c r="M472" s="761"/>
      <c r="N472" s="762"/>
      <c r="O472" s="759"/>
      <c r="P472" s="759"/>
      <c r="Q472" s="760"/>
      <c r="R472" s="761"/>
      <c r="S472" s="761"/>
      <c r="T472" s="762"/>
      <c r="U472" s="759"/>
      <c r="V472" s="759"/>
      <c r="W472" s="760"/>
      <c r="X472" s="761"/>
      <c r="Y472" s="761"/>
      <c r="Z472" s="762"/>
      <c r="AA472" s="759"/>
      <c r="AB472" s="759"/>
      <c r="AC472" s="760"/>
      <c r="AD472" s="761"/>
      <c r="AE472" s="761"/>
      <c r="AF472" s="762"/>
      <c r="AG472" s="759"/>
      <c r="AH472" s="759"/>
      <c r="AI472" s="760"/>
      <c r="AJ472" s="761"/>
      <c r="AK472" s="761"/>
      <c r="AL472" s="762"/>
      <c r="AM472" s="763"/>
      <c r="AN472" s="763"/>
      <c r="AO472" s="764"/>
    </row>
    <row r="473">
      <c r="A473" s="602" t="s">
        <v>1190</v>
      </c>
      <c r="B473" s="758"/>
      <c r="C473" s="759"/>
      <c r="D473" s="759"/>
      <c r="E473" s="760"/>
      <c r="F473" s="761"/>
      <c r="G473" s="761"/>
      <c r="H473" s="762"/>
      <c r="I473" s="759"/>
      <c r="J473" s="759"/>
      <c r="K473" s="760"/>
      <c r="L473" s="761"/>
      <c r="M473" s="761"/>
      <c r="N473" s="762"/>
      <c r="O473" s="759"/>
      <c r="P473" s="759"/>
      <c r="Q473" s="760"/>
      <c r="R473" s="761"/>
      <c r="S473" s="761"/>
      <c r="T473" s="762"/>
      <c r="U473" s="759"/>
      <c r="V473" s="759"/>
      <c r="W473" s="760"/>
      <c r="X473" s="761"/>
      <c r="Y473" s="761"/>
      <c r="Z473" s="762"/>
      <c r="AA473" s="759"/>
      <c r="AB473" s="759"/>
      <c r="AC473" s="760"/>
      <c r="AD473" s="761"/>
      <c r="AE473" s="761"/>
      <c r="AF473" s="762"/>
      <c r="AG473" s="759"/>
      <c r="AH473" s="759"/>
      <c r="AI473" s="760"/>
      <c r="AJ473" s="761"/>
      <c r="AK473" s="761"/>
      <c r="AL473" s="762"/>
      <c r="AM473" s="763"/>
      <c r="AN473" s="763"/>
      <c r="AO473" s="764"/>
    </row>
    <row r="474">
      <c r="A474" s="602" t="s">
        <v>1190</v>
      </c>
      <c r="B474" s="758"/>
      <c r="C474" s="759"/>
      <c r="D474" s="759"/>
      <c r="E474" s="760"/>
      <c r="F474" s="761"/>
      <c r="G474" s="761"/>
      <c r="H474" s="762"/>
      <c r="I474" s="759"/>
      <c r="J474" s="759"/>
      <c r="K474" s="760"/>
      <c r="L474" s="761"/>
      <c r="M474" s="761"/>
      <c r="N474" s="762"/>
      <c r="O474" s="759"/>
      <c r="P474" s="759"/>
      <c r="Q474" s="760"/>
      <c r="R474" s="761"/>
      <c r="S474" s="761"/>
      <c r="T474" s="762"/>
      <c r="U474" s="759"/>
      <c r="V474" s="759"/>
      <c r="W474" s="760"/>
      <c r="X474" s="761"/>
      <c r="Y474" s="761"/>
      <c r="Z474" s="762"/>
      <c r="AA474" s="759"/>
      <c r="AB474" s="759"/>
      <c r="AC474" s="760"/>
      <c r="AD474" s="761"/>
      <c r="AE474" s="761"/>
      <c r="AF474" s="762"/>
      <c r="AG474" s="759"/>
      <c r="AH474" s="759"/>
      <c r="AI474" s="760"/>
      <c r="AJ474" s="761"/>
      <c r="AK474" s="761"/>
      <c r="AL474" s="762"/>
      <c r="AM474" s="763"/>
      <c r="AN474" s="763"/>
      <c r="AO474" s="764"/>
    </row>
    <row r="475">
      <c r="A475" s="602" t="s">
        <v>1190</v>
      </c>
      <c r="B475" s="758"/>
      <c r="C475" s="759"/>
      <c r="D475" s="759"/>
      <c r="E475" s="760"/>
      <c r="F475" s="761"/>
      <c r="G475" s="761"/>
      <c r="H475" s="762"/>
      <c r="I475" s="759"/>
      <c r="J475" s="759"/>
      <c r="K475" s="760"/>
      <c r="L475" s="761"/>
      <c r="M475" s="761"/>
      <c r="N475" s="762"/>
      <c r="O475" s="759"/>
      <c r="P475" s="759"/>
      <c r="Q475" s="760"/>
      <c r="R475" s="761"/>
      <c r="S475" s="761"/>
      <c r="T475" s="762"/>
      <c r="U475" s="759"/>
      <c r="V475" s="759"/>
      <c r="W475" s="760"/>
      <c r="X475" s="761"/>
      <c r="Y475" s="761"/>
      <c r="Z475" s="762"/>
      <c r="AA475" s="759"/>
      <c r="AB475" s="759"/>
      <c r="AC475" s="760"/>
      <c r="AD475" s="761"/>
      <c r="AE475" s="761"/>
      <c r="AF475" s="762"/>
      <c r="AG475" s="759"/>
      <c r="AH475" s="759"/>
      <c r="AI475" s="760"/>
      <c r="AJ475" s="761"/>
      <c r="AK475" s="761"/>
      <c r="AL475" s="762"/>
      <c r="AM475" s="763"/>
      <c r="AN475" s="763"/>
      <c r="AO475" s="764"/>
    </row>
    <row r="476">
      <c r="A476" s="602" t="s">
        <v>1190</v>
      </c>
      <c r="B476" s="758"/>
      <c r="C476" s="759"/>
      <c r="D476" s="759"/>
      <c r="E476" s="760"/>
      <c r="F476" s="761"/>
      <c r="G476" s="761"/>
      <c r="H476" s="762"/>
      <c r="I476" s="759"/>
      <c r="J476" s="759"/>
      <c r="K476" s="760"/>
      <c r="L476" s="761"/>
      <c r="M476" s="761"/>
      <c r="N476" s="762"/>
      <c r="O476" s="759"/>
      <c r="P476" s="759"/>
      <c r="Q476" s="760"/>
      <c r="R476" s="761"/>
      <c r="S476" s="761"/>
      <c r="T476" s="762"/>
      <c r="U476" s="759"/>
      <c r="V476" s="759"/>
      <c r="W476" s="760"/>
      <c r="X476" s="761"/>
      <c r="Y476" s="761"/>
      <c r="Z476" s="762"/>
      <c r="AA476" s="759"/>
      <c r="AB476" s="759"/>
      <c r="AC476" s="760"/>
      <c r="AD476" s="761"/>
      <c r="AE476" s="761"/>
      <c r="AF476" s="762"/>
      <c r="AG476" s="759"/>
      <c r="AH476" s="759"/>
      <c r="AI476" s="760"/>
      <c r="AJ476" s="761"/>
      <c r="AK476" s="761"/>
      <c r="AL476" s="762"/>
      <c r="AM476" s="763"/>
      <c r="AN476" s="763"/>
      <c r="AO476" s="764"/>
    </row>
    <row r="477">
      <c r="A477" s="602" t="s">
        <v>1190</v>
      </c>
      <c r="B477" s="758"/>
      <c r="C477" s="759"/>
      <c r="D477" s="759"/>
      <c r="E477" s="760"/>
      <c r="F477" s="761"/>
      <c r="G477" s="761"/>
      <c r="H477" s="762"/>
      <c r="I477" s="759"/>
      <c r="J477" s="759"/>
      <c r="K477" s="760"/>
      <c r="L477" s="761"/>
      <c r="M477" s="761"/>
      <c r="N477" s="762"/>
      <c r="O477" s="759"/>
      <c r="P477" s="759"/>
      <c r="Q477" s="760"/>
      <c r="R477" s="761"/>
      <c r="S477" s="761"/>
      <c r="T477" s="762"/>
      <c r="U477" s="759"/>
      <c r="V477" s="759"/>
      <c r="W477" s="760"/>
      <c r="X477" s="761"/>
      <c r="Y477" s="761"/>
      <c r="Z477" s="762"/>
      <c r="AA477" s="759"/>
      <c r="AB477" s="759"/>
      <c r="AC477" s="760"/>
      <c r="AD477" s="761"/>
      <c r="AE477" s="761"/>
      <c r="AF477" s="762"/>
      <c r="AG477" s="759"/>
      <c r="AH477" s="759"/>
      <c r="AI477" s="760"/>
      <c r="AJ477" s="761"/>
      <c r="AK477" s="761"/>
      <c r="AL477" s="762"/>
      <c r="AM477" s="763"/>
      <c r="AN477" s="763"/>
      <c r="AO477" s="764"/>
    </row>
    <row r="478">
      <c r="A478" s="602" t="s">
        <v>1190</v>
      </c>
      <c r="B478" s="758"/>
      <c r="C478" s="759"/>
      <c r="D478" s="759"/>
      <c r="E478" s="760"/>
      <c r="F478" s="761"/>
      <c r="G478" s="761"/>
      <c r="H478" s="762"/>
      <c r="I478" s="759"/>
      <c r="J478" s="759"/>
      <c r="K478" s="760"/>
      <c r="L478" s="761"/>
      <c r="M478" s="761"/>
      <c r="N478" s="762"/>
      <c r="O478" s="759"/>
      <c r="P478" s="759"/>
      <c r="Q478" s="760"/>
      <c r="R478" s="761"/>
      <c r="S478" s="761"/>
      <c r="T478" s="762"/>
      <c r="U478" s="759"/>
      <c r="V478" s="759"/>
      <c r="W478" s="760"/>
      <c r="X478" s="761"/>
      <c r="Y478" s="761"/>
      <c r="Z478" s="762"/>
      <c r="AA478" s="759"/>
      <c r="AB478" s="759"/>
      <c r="AC478" s="760"/>
      <c r="AD478" s="761"/>
      <c r="AE478" s="761"/>
      <c r="AF478" s="762"/>
      <c r="AG478" s="759"/>
      <c r="AH478" s="759"/>
      <c r="AI478" s="760"/>
      <c r="AJ478" s="761"/>
      <c r="AK478" s="761"/>
      <c r="AL478" s="762"/>
      <c r="AM478" s="763"/>
      <c r="AN478" s="763"/>
      <c r="AO478" s="764"/>
    </row>
    <row r="479">
      <c r="A479" s="602" t="s">
        <v>1190</v>
      </c>
      <c r="B479" s="758"/>
      <c r="C479" s="759"/>
      <c r="D479" s="759"/>
      <c r="E479" s="760"/>
      <c r="F479" s="761"/>
      <c r="G479" s="761"/>
      <c r="H479" s="762"/>
      <c r="I479" s="759"/>
      <c r="J479" s="759"/>
      <c r="K479" s="760"/>
      <c r="L479" s="761"/>
      <c r="M479" s="761"/>
      <c r="N479" s="762"/>
      <c r="O479" s="759"/>
      <c r="P479" s="759"/>
      <c r="Q479" s="760"/>
      <c r="R479" s="761"/>
      <c r="S479" s="761"/>
      <c r="T479" s="762"/>
      <c r="U479" s="759"/>
      <c r="V479" s="759"/>
      <c r="W479" s="760"/>
      <c r="X479" s="761"/>
      <c r="Y479" s="761"/>
      <c r="Z479" s="762"/>
      <c r="AA479" s="759"/>
      <c r="AB479" s="759"/>
      <c r="AC479" s="760"/>
      <c r="AD479" s="761"/>
      <c r="AE479" s="761"/>
      <c r="AF479" s="762"/>
      <c r="AG479" s="759"/>
      <c r="AH479" s="759"/>
      <c r="AI479" s="760"/>
      <c r="AJ479" s="761"/>
      <c r="AK479" s="761"/>
      <c r="AL479" s="762"/>
      <c r="AM479" s="763"/>
      <c r="AN479" s="763"/>
      <c r="AO479" s="764"/>
    </row>
    <row r="480">
      <c r="A480" s="602" t="s">
        <v>1190</v>
      </c>
      <c r="B480" s="758"/>
      <c r="C480" s="759"/>
      <c r="D480" s="759"/>
      <c r="E480" s="760"/>
      <c r="F480" s="761"/>
      <c r="G480" s="761"/>
      <c r="H480" s="762"/>
      <c r="I480" s="759"/>
      <c r="J480" s="759"/>
      <c r="K480" s="760"/>
      <c r="L480" s="761"/>
      <c r="M480" s="761"/>
      <c r="N480" s="762"/>
      <c r="O480" s="759"/>
      <c r="P480" s="759"/>
      <c r="Q480" s="760"/>
      <c r="R480" s="761"/>
      <c r="S480" s="761"/>
      <c r="T480" s="762"/>
      <c r="U480" s="759"/>
      <c r="V480" s="759"/>
      <c r="W480" s="760"/>
      <c r="X480" s="761"/>
      <c r="Y480" s="761"/>
      <c r="Z480" s="762"/>
      <c r="AA480" s="759"/>
      <c r="AB480" s="759"/>
      <c r="AC480" s="760"/>
      <c r="AD480" s="761"/>
      <c r="AE480" s="761"/>
      <c r="AF480" s="762"/>
      <c r="AG480" s="759"/>
      <c r="AH480" s="759"/>
      <c r="AI480" s="760"/>
      <c r="AJ480" s="761"/>
      <c r="AK480" s="761"/>
      <c r="AL480" s="762"/>
      <c r="AM480" s="763"/>
      <c r="AN480" s="763"/>
      <c r="AO480" s="764"/>
    </row>
    <row r="481">
      <c r="A481" s="602" t="s">
        <v>1190</v>
      </c>
      <c r="B481" s="758"/>
      <c r="C481" s="759"/>
      <c r="D481" s="759"/>
      <c r="E481" s="760"/>
      <c r="F481" s="761"/>
      <c r="G481" s="761"/>
      <c r="H481" s="762"/>
      <c r="I481" s="759"/>
      <c r="J481" s="759"/>
      <c r="K481" s="760"/>
      <c r="L481" s="761"/>
      <c r="M481" s="761"/>
      <c r="N481" s="762"/>
      <c r="O481" s="759"/>
      <c r="P481" s="759"/>
      <c r="Q481" s="760"/>
      <c r="R481" s="761"/>
      <c r="S481" s="761"/>
      <c r="T481" s="762"/>
      <c r="U481" s="759"/>
      <c r="V481" s="759"/>
      <c r="W481" s="760"/>
      <c r="X481" s="761"/>
      <c r="Y481" s="761"/>
      <c r="Z481" s="762"/>
      <c r="AA481" s="759"/>
      <c r="AB481" s="759"/>
      <c r="AC481" s="760"/>
      <c r="AD481" s="761"/>
      <c r="AE481" s="761"/>
      <c r="AF481" s="762"/>
      <c r="AG481" s="759"/>
      <c r="AH481" s="759"/>
      <c r="AI481" s="760"/>
      <c r="AJ481" s="761"/>
      <c r="AK481" s="761"/>
      <c r="AL481" s="762"/>
      <c r="AM481" s="763"/>
      <c r="AN481" s="763"/>
      <c r="AO481" s="764"/>
    </row>
    <row r="482">
      <c r="A482" s="602" t="s">
        <v>1190</v>
      </c>
      <c r="B482" s="758"/>
      <c r="C482" s="759"/>
      <c r="D482" s="759"/>
      <c r="E482" s="760"/>
      <c r="F482" s="761"/>
      <c r="G482" s="761"/>
      <c r="H482" s="762"/>
      <c r="I482" s="759"/>
      <c r="J482" s="759"/>
      <c r="K482" s="760"/>
      <c r="L482" s="761"/>
      <c r="M482" s="761"/>
      <c r="N482" s="762"/>
      <c r="O482" s="759"/>
      <c r="P482" s="759"/>
      <c r="Q482" s="760"/>
      <c r="R482" s="761"/>
      <c r="S482" s="761"/>
      <c r="T482" s="762"/>
      <c r="U482" s="759"/>
      <c r="V482" s="759"/>
      <c r="W482" s="760"/>
      <c r="X482" s="761"/>
      <c r="Y482" s="761"/>
      <c r="Z482" s="762"/>
      <c r="AA482" s="759"/>
      <c r="AB482" s="759"/>
      <c r="AC482" s="760"/>
      <c r="AD482" s="761"/>
      <c r="AE482" s="761"/>
      <c r="AF482" s="762"/>
      <c r="AG482" s="759"/>
      <c r="AH482" s="759"/>
      <c r="AI482" s="760"/>
      <c r="AJ482" s="761"/>
      <c r="AK482" s="761"/>
      <c r="AL482" s="762"/>
      <c r="AM482" s="763"/>
      <c r="AN482" s="763"/>
      <c r="AO482" s="764"/>
    </row>
    <row r="483">
      <c r="A483" s="602" t="s">
        <v>1190</v>
      </c>
      <c r="B483" s="758"/>
      <c r="C483" s="759"/>
      <c r="D483" s="759"/>
      <c r="E483" s="760"/>
      <c r="F483" s="761"/>
      <c r="G483" s="761"/>
      <c r="H483" s="762"/>
      <c r="I483" s="759"/>
      <c r="J483" s="759"/>
      <c r="K483" s="760"/>
      <c r="L483" s="761"/>
      <c r="M483" s="761"/>
      <c r="N483" s="762"/>
      <c r="O483" s="759"/>
      <c r="P483" s="759"/>
      <c r="Q483" s="760"/>
      <c r="R483" s="761"/>
      <c r="S483" s="761"/>
      <c r="T483" s="762"/>
      <c r="U483" s="759"/>
      <c r="V483" s="759"/>
      <c r="W483" s="760"/>
      <c r="X483" s="761"/>
      <c r="Y483" s="761"/>
      <c r="Z483" s="762"/>
      <c r="AA483" s="759"/>
      <c r="AB483" s="759"/>
      <c r="AC483" s="760"/>
      <c r="AD483" s="761"/>
      <c r="AE483" s="761"/>
      <c r="AF483" s="762"/>
      <c r="AG483" s="759"/>
      <c r="AH483" s="759"/>
      <c r="AI483" s="760"/>
      <c r="AJ483" s="761"/>
      <c r="AK483" s="761"/>
      <c r="AL483" s="762"/>
      <c r="AM483" s="763"/>
      <c r="AN483" s="763"/>
      <c r="AO483" s="764"/>
    </row>
    <row r="484">
      <c r="A484" s="602" t="s">
        <v>1190</v>
      </c>
      <c r="B484" s="758"/>
      <c r="C484" s="759"/>
      <c r="D484" s="759"/>
      <c r="E484" s="760"/>
      <c r="F484" s="761"/>
      <c r="G484" s="761"/>
      <c r="H484" s="762"/>
      <c r="I484" s="759"/>
      <c r="J484" s="759"/>
      <c r="K484" s="760"/>
      <c r="L484" s="761"/>
      <c r="M484" s="761"/>
      <c r="N484" s="762"/>
      <c r="O484" s="759"/>
      <c r="P484" s="759"/>
      <c r="Q484" s="760"/>
      <c r="R484" s="761"/>
      <c r="S484" s="761"/>
      <c r="T484" s="762"/>
      <c r="U484" s="759"/>
      <c r="V484" s="759"/>
      <c r="W484" s="760"/>
      <c r="X484" s="761"/>
      <c r="Y484" s="761"/>
      <c r="Z484" s="762"/>
      <c r="AA484" s="759"/>
      <c r="AB484" s="759"/>
      <c r="AC484" s="760"/>
      <c r="AD484" s="761"/>
      <c r="AE484" s="761"/>
      <c r="AF484" s="762"/>
      <c r="AG484" s="759"/>
      <c r="AH484" s="759"/>
      <c r="AI484" s="760"/>
      <c r="AJ484" s="761"/>
      <c r="AK484" s="761"/>
      <c r="AL484" s="762"/>
      <c r="AM484" s="763"/>
      <c r="AN484" s="763"/>
      <c r="AO484" s="764"/>
    </row>
    <row r="485">
      <c r="A485" s="602" t="s">
        <v>1190</v>
      </c>
      <c r="B485" s="758"/>
      <c r="C485" s="759"/>
      <c r="D485" s="759"/>
      <c r="E485" s="760"/>
      <c r="F485" s="761"/>
      <c r="G485" s="761"/>
      <c r="H485" s="762"/>
      <c r="I485" s="759"/>
      <c r="J485" s="759"/>
      <c r="K485" s="760"/>
      <c r="L485" s="761"/>
      <c r="M485" s="761"/>
      <c r="N485" s="762"/>
      <c r="O485" s="759"/>
      <c r="P485" s="759"/>
      <c r="Q485" s="760"/>
      <c r="R485" s="761"/>
      <c r="S485" s="761"/>
      <c r="T485" s="762"/>
      <c r="U485" s="759"/>
      <c r="V485" s="759"/>
      <c r="W485" s="760"/>
      <c r="X485" s="761"/>
      <c r="Y485" s="761"/>
      <c r="Z485" s="762"/>
      <c r="AA485" s="759"/>
      <c r="AB485" s="759"/>
      <c r="AC485" s="760"/>
      <c r="AD485" s="761"/>
      <c r="AE485" s="761"/>
      <c r="AF485" s="762"/>
      <c r="AG485" s="759"/>
      <c r="AH485" s="759"/>
      <c r="AI485" s="760"/>
      <c r="AJ485" s="761"/>
      <c r="AK485" s="761"/>
      <c r="AL485" s="762"/>
      <c r="AM485" s="763"/>
      <c r="AN485" s="763"/>
      <c r="AO485" s="764"/>
    </row>
    <row r="486">
      <c r="A486" s="602" t="s">
        <v>1190</v>
      </c>
      <c r="B486" s="758"/>
      <c r="C486" s="759"/>
      <c r="D486" s="759"/>
      <c r="E486" s="760"/>
      <c r="F486" s="761"/>
      <c r="G486" s="761"/>
      <c r="H486" s="762"/>
      <c r="I486" s="759"/>
      <c r="J486" s="759"/>
      <c r="K486" s="760"/>
      <c r="L486" s="761"/>
      <c r="M486" s="761"/>
      <c r="N486" s="762"/>
      <c r="O486" s="759"/>
      <c r="P486" s="759"/>
      <c r="Q486" s="760"/>
      <c r="R486" s="761"/>
      <c r="S486" s="761"/>
      <c r="T486" s="762"/>
      <c r="U486" s="759"/>
      <c r="V486" s="759"/>
      <c r="W486" s="760"/>
      <c r="X486" s="761"/>
      <c r="Y486" s="761"/>
      <c r="Z486" s="762"/>
      <c r="AA486" s="759"/>
      <c r="AB486" s="759"/>
      <c r="AC486" s="760"/>
      <c r="AD486" s="761"/>
      <c r="AE486" s="761"/>
      <c r="AF486" s="762"/>
      <c r="AG486" s="759"/>
      <c r="AH486" s="759"/>
      <c r="AI486" s="760"/>
      <c r="AJ486" s="761"/>
      <c r="AK486" s="761"/>
      <c r="AL486" s="762"/>
      <c r="AM486" s="763"/>
      <c r="AN486" s="763"/>
      <c r="AO486" s="764"/>
    </row>
    <row r="487">
      <c r="A487" s="602" t="s">
        <v>1190</v>
      </c>
      <c r="B487" s="758"/>
      <c r="C487" s="759"/>
      <c r="D487" s="759"/>
      <c r="E487" s="760"/>
      <c r="F487" s="761"/>
      <c r="G487" s="761"/>
      <c r="H487" s="762"/>
      <c r="I487" s="759"/>
      <c r="J487" s="759"/>
      <c r="K487" s="760"/>
      <c r="L487" s="761"/>
      <c r="M487" s="761"/>
      <c r="N487" s="762"/>
      <c r="O487" s="759"/>
      <c r="P487" s="759"/>
      <c r="Q487" s="760"/>
      <c r="R487" s="761"/>
      <c r="S487" s="761"/>
      <c r="T487" s="762"/>
      <c r="U487" s="759"/>
      <c r="V487" s="759"/>
      <c r="W487" s="760"/>
      <c r="X487" s="761"/>
      <c r="Y487" s="761"/>
      <c r="Z487" s="762"/>
      <c r="AA487" s="759"/>
      <c r="AB487" s="759"/>
      <c r="AC487" s="760"/>
      <c r="AD487" s="761"/>
      <c r="AE487" s="761"/>
      <c r="AF487" s="762"/>
      <c r="AG487" s="759"/>
      <c r="AH487" s="759"/>
      <c r="AI487" s="760"/>
      <c r="AJ487" s="761"/>
      <c r="AK487" s="761"/>
      <c r="AL487" s="762"/>
      <c r="AM487" s="763"/>
      <c r="AN487" s="763"/>
      <c r="AO487" s="764"/>
    </row>
    <row r="488">
      <c r="A488" s="602" t="s">
        <v>1190</v>
      </c>
      <c r="B488" s="758"/>
      <c r="C488" s="759"/>
      <c r="D488" s="759"/>
      <c r="E488" s="760"/>
      <c r="F488" s="761"/>
      <c r="G488" s="761"/>
      <c r="H488" s="762"/>
      <c r="I488" s="759"/>
      <c r="J488" s="759"/>
      <c r="K488" s="760"/>
      <c r="L488" s="761"/>
      <c r="M488" s="761"/>
      <c r="N488" s="762"/>
      <c r="O488" s="759"/>
      <c r="P488" s="759"/>
      <c r="Q488" s="760"/>
      <c r="R488" s="761"/>
      <c r="S488" s="761"/>
      <c r="T488" s="762"/>
      <c r="U488" s="759"/>
      <c r="V488" s="759"/>
      <c r="W488" s="760"/>
      <c r="X488" s="761"/>
      <c r="Y488" s="761"/>
      <c r="Z488" s="762"/>
      <c r="AA488" s="759"/>
      <c r="AB488" s="759"/>
      <c r="AC488" s="760"/>
      <c r="AD488" s="761"/>
      <c r="AE488" s="761"/>
      <c r="AF488" s="762"/>
      <c r="AG488" s="759"/>
      <c r="AH488" s="759"/>
      <c r="AI488" s="760"/>
      <c r="AJ488" s="761"/>
      <c r="AK488" s="761"/>
      <c r="AL488" s="762"/>
      <c r="AM488" s="763"/>
      <c r="AN488" s="763"/>
      <c r="AO488" s="764"/>
    </row>
    <row r="489">
      <c r="A489" s="602" t="s">
        <v>1190</v>
      </c>
      <c r="B489" s="758"/>
      <c r="C489" s="759"/>
      <c r="D489" s="759"/>
      <c r="E489" s="760"/>
      <c r="F489" s="761"/>
      <c r="G489" s="761"/>
      <c r="H489" s="762"/>
      <c r="I489" s="759"/>
      <c r="J489" s="759"/>
      <c r="K489" s="760"/>
      <c r="L489" s="761"/>
      <c r="M489" s="761"/>
      <c r="N489" s="762"/>
      <c r="O489" s="759"/>
      <c r="P489" s="759"/>
      <c r="Q489" s="760"/>
      <c r="R489" s="761"/>
      <c r="S489" s="761"/>
      <c r="T489" s="762"/>
      <c r="U489" s="759"/>
      <c r="V489" s="759"/>
      <c r="W489" s="760"/>
      <c r="X489" s="761"/>
      <c r="Y489" s="761"/>
      <c r="Z489" s="762"/>
      <c r="AA489" s="759"/>
      <c r="AB489" s="759"/>
      <c r="AC489" s="760"/>
      <c r="AD489" s="761"/>
      <c r="AE489" s="761"/>
      <c r="AF489" s="762"/>
      <c r="AG489" s="759"/>
      <c r="AH489" s="759"/>
      <c r="AI489" s="760"/>
      <c r="AJ489" s="761"/>
      <c r="AK489" s="761"/>
      <c r="AL489" s="762"/>
      <c r="AM489" s="763"/>
      <c r="AN489" s="763"/>
      <c r="AO489" s="764"/>
    </row>
    <row r="490">
      <c r="A490" s="602" t="s">
        <v>1190</v>
      </c>
      <c r="B490" s="758"/>
      <c r="C490" s="759"/>
      <c r="D490" s="759"/>
      <c r="E490" s="760"/>
      <c r="F490" s="761"/>
      <c r="G490" s="761"/>
      <c r="H490" s="762"/>
      <c r="I490" s="759"/>
      <c r="J490" s="759"/>
      <c r="K490" s="760"/>
      <c r="L490" s="761"/>
      <c r="M490" s="761"/>
      <c r="N490" s="762"/>
      <c r="O490" s="759"/>
      <c r="P490" s="759"/>
      <c r="Q490" s="760"/>
      <c r="R490" s="761"/>
      <c r="S490" s="761"/>
      <c r="T490" s="762"/>
      <c r="U490" s="759"/>
      <c r="V490" s="759"/>
      <c r="W490" s="760"/>
      <c r="X490" s="761"/>
      <c r="Y490" s="761"/>
      <c r="Z490" s="762"/>
      <c r="AA490" s="759"/>
      <c r="AB490" s="759"/>
      <c r="AC490" s="760"/>
      <c r="AD490" s="761"/>
      <c r="AE490" s="761"/>
      <c r="AF490" s="762"/>
      <c r="AG490" s="759"/>
      <c r="AH490" s="759"/>
      <c r="AI490" s="760"/>
      <c r="AJ490" s="761"/>
      <c r="AK490" s="761"/>
      <c r="AL490" s="762"/>
      <c r="AM490" s="763"/>
      <c r="AN490" s="763"/>
      <c r="AO490" s="764"/>
    </row>
    <row r="491">
      <c r="A491" s="602" t="s">
        <v>1190</v>
      </c>
      <c r="B491" s="758"/>
      <c r="C491" s="759"/>
      <c r="D491" s="759"/>
      <c r="E491" s="760"/>
      <c r="F491" s="761"/>
      <c r="G491" s="761"/>
      <c r="H491" s="762"/>
      <c r="I491" s="759"/>
      <c r="J491" s="759"/>
      <c r="K491" s="760"/>
      <c r="L491" s="761"/>
      <c r="M491" s="761"/>
      <c r="N491" s="762"/>
      <c r="O491" s="759"/>
      <c r="P491" s="759"/>
      <c r="Q491" s="760"/>
      <c r="R491" s="761"/>
      <c r="S491" s="761"/>
      <c r="T491" s="762"/>
      <c r="U491" s="759"/>
      <c r="V491" s="759"/>
      <c r="W491" s="760"/>
      <c r="X491" s="761"/>
      <c r="Y491" s="761"/>
      <c r="Z491" s="762"/>
      <c r="AA491" s="759"/>
      <c r="AB491" s="759"/>
      <c r="AC491" s="760"/>
      <c r="AD491" s="761"/>
      <c r="AE491" s="761"/>
      <c r="AF491" s="762"/>
      <c r="AG491" s="759"/>
      <c r="AH491" s="759"/>
      <c r="AI491" s="760"/>
      <c r="AJ491" s="761"/>
      <c r="AK491" s="761"/>
      <c r="AL491" s="762"/>
      <c r="AM491" s="763"/>
      <c r="AN491" s="763"/>
      <c r="AO491" s="764"/>
    </row>
    <row r="492">
      <c r="A492" s="602" t="s">
        <v>1190</v>
      </c>
      <c r="B492" s="758"/>
      <c r="C492" s="759"/>
      <c r="D492" s="759"/>
      <c r="E492" s="760"/>
      <c r="F492" s="761"/>
      <c r="G492" s="761"/>
      <c r="H492" s="762"/>
      <c r="I492" s="759"/>
      <c r="J492" s="759"/>
      <c r="K492" s="760"/>
      <c r="L492" s="761"/>
      <c r="M492" s="761"/>
      <c r="N492" s="762"/>
      <c r="O492" s="759"/>
      <c r="P492" s="759"/>
      <c r="Q492" s="760"/>
      <c r="R492" s="761"/>
      <c r="S492" s="761"/>
      <c r="T492" s="762"/>
      <c r="U492" s="759"/>
      <c r="V492" s="759"/>
      <c r="W492" s="760"/>
      <c r="X492" s="761"/>
      <c r="Y492" s="761"/>
      <c r="Z492" s="762"/>
      <c r="AA492" s="759"/>
      <c r="AB492" s="759"/>
      <c r="AC492" s="760"/>
      <c r="AD492" s="761"/>
      <c r="AE492" s="761"/>
      <c r="AF492" s="762"/>
      <c r="AG492" s="759"/>
      <c r="AH492" s="759"/>
      <c r="AI492" s="760"/>
      <c r="AJ492" s="761"/>
      <c r="AK492" s="761"/>
      <c r="AL492" s="762"/>
      <c r="AM492" s="763"/>
      <c r="AN492" s="763"/>
      <c r="AO492" s="764"/>
    </row>
    <row r="493">
      <c r="A493" s="602" t="s">
        <v>1190</v>
      </c>
      <c r="B493" s="758"/>
      <c r="C493" s="759"/>
      <c r="D493" s="759"/>
      <c r="E493" s="760"/>
      <c r="F493" s="761"/>
      <c r="G493" s="761"/>
      <c r="H493" s="762"/>
      <c r="I493" s="759"/>
      <c r="J493" s="759"/>
      <c r="K493" s="760"/>
      <c r="L493" s="761"/>
      <c r="M493" s="761"/>
      <c r="N493" s="762"/>
      <c r="O493" s="759"/>
      <c r="P493" s="759"/>
      <c r="Q493" s="760"/>
      <c r="R493" s="761"/>
      <c r="S493" s="761"/>
      <c r="T493" s="762"/>
      <c r="U493" s="759"/>
      <c r="V493" s="759"/>
      <c r="W493" s="760"/>
      <c r="X493" s="761"/>
      <c r="Y493" s="761"/>
      <c r="Z493" s="762"/>
      <c r="AA493" s="759"/>
      <c r="AB493" s="759"/>
      <c r="AC493" s="760"/>
      <c r="AD493" s="761"/>
      <c r="AE493" s="761"/>
      <c r="AF493" s="762"/>
      <c r="AG493" s="759"/>
      <c r="AH493" s="759"/>
      <c r="AI493" s="760"/>
      <c r="AJ493" s="761"/>
      <c r="AK493" s="761"/>
      <c r="AL493" s="762"/>
      <c r="AM493" s="763"/>
      <c r="AN493" s="763"/>
      <c r="AO493" s="764"/>
    </row>
    <row r="494">
      <c r="A494" s="602" t="s">
        <v>1190</v>
      </c>
      <c r="B494" s="758"/>
      <c r="C494" s="759"/>
      <c r="D494" s="759"/>
      <c r="E494" s="760"/>
      <c r="F494" s="761"/>
      <c r="G494" s="761"/>
      <c r="H494" s="762"/>
      <c r="I494" s="759"/>
      <c r="J494" s="759"/>
      <c r="K494" s="760"/>
      <c r="L494" s="761"/>
      <c r="M494" s="761"/>
      <c r="N494" s="762"/>
      <c r="O494" s="759"/>
      <c r="P494" s="759"/>
      <c r="Q494" s="760"/>
      <c r="R494" s="761"/>
      <c r="S494" s="761"/>
      <c r="T494" s="762"/>
      <c r="U494" s="759"/>
      <c r="V494" s="759"/>
      <c r="W494" s="760"/>
      <c r="X494" s="761"/>
      <c r="Y494" s="761"/>
      <c r="Z494" s="762"/>
      <c r="AA494" s="759"/>
      <c r="AB494" s="759"/>
      <c r="AC494" s="760"/>
      <c r="AD494" s="761"/>
      <c r="AE494" s="761"/>
      <c r="AF494" s="762"/>
      <c r="AG494" s="759"/>
      <c r="AH494" s="759"/>
      <c r="AI494" s="760"/>
      <c r="AJ494" s="761"/>
      <c r="AK494" s="761"/>
      <c r="AL494" s="762"/>
      <c r="AM494" s="763"/>
      <c r="AN494" s="763"/>
      <c r="AO494" s="764"/>
    </row>
    <row r="495">
      <c r="A495" s="602" t="s">
        <v>1190</v>
      </c>
      <c r="B495" s="758"/>
      <c r="C495" s="759"/>
      <c r="D495" s="759"/>
      <c r="E495" s="760"/>
      <c r="F495" s="761"/>
      <c r="G495" s="761"/>
      <c r="H495" s="762"/>
      <c r="I495" s="759"/>
      <c r="J495" s="759"/>
      <c r="K495" s="760"/>
      <c r="L495" s="761"/>
      <c r="M495" s="761"/>
      <c r="N495" s="762"/>
      <c r="O495" s="759"/>
      <c r="P495" s="759"/>
      <c r="Q495" s="760"/>
      <c r="R495" s="761"/>
      <c r="S495" s="761"/>
      <c r="T495" s="762"/>
      <c r="U495" s="759"/>
      <c r="V495" s="759"/>
      <c r="W495" s="760"/>
      <c r="X495" s="761"/>
      <c r="Y495" s="761"/>
      <c r="Z495" s="762"/>
      <c r="AA495" s="759"/>
      <c r="AB495" s="759"/>
      <c r="AC495" s="760"/>
      <c r="AD495" s="761"/>
      <c r="AE495" s="761"/>
      <c r="AF495" s="762"/>
      <c r="AG495" s="759"/>
      <c r="AH495" s="759"/>
      <c r="AI495" s="760"/>
      <c r="AJ495" s="761"/>
      <c r="AK495" s="761"/>
      <c r="AL495" s="762"/>
      <c r="AM495" s="763"/>
      <c r="AN495" s="763"/>
      <c r="AO495" s="764"/>
    </row>
    <row r="496">
      <c r="A496" s="602" t="s">
        <v>1190</v>
      </c>
      <c r="B496" s="758"/>
      <c r="C496" s="759"/>
      <c r="D496" s="759"/>
      <c r="E496" s="760"/>
      <c r="F496" s="761"/>
      <c r="G496" s="761"/>
      <c r="H496" s="762"/>
      <c r="I496" s="759"/>
      <c r="J496" s="759"/>
      <c r="K496" s="760"/>
      <c r="L496" s="761"/>
      <c r="M496" s="761"/>
      <c r="N496" s="762"/>
      <c r="O496" s="759"/>
      <c r="P496" s="759"/>
      <c r="Q496" s="760"/>
      <c r="R496" s="761"/>
      <c r="S496" s="761"/>
      <c r="T496" s="762"/>
      <c r="U496" s="759"/>
      <c r="V496" s="759"/>
      <c r="W496" s="760"/>
      <c r="X496" s="761"/>
      <c r="Y496" s="761"/>
      <c r="Z496" s="762"/>
      <c r="AA496" s="759"/>
      <c r="AB496" s="759"/>
      <c r="AC496" s="760"/>
      <c r="AD496" s="761"/>
      <c r="AE496" s="761"/>
      <c r="AF496" s="762"/>
      <c r="AG496" s="759"/>
      <c r="AH496" s="759"/>
      <c r="AI496" s="760"/>
      <c r="AJ496" s="761"/>
      <c r="AK496" s="761"/>
      <c r="AL496" s="762"/>
      <c r="AM496" s="763"/>
      <c r="AN496" s="763"/>
      <c r="AO496" s="764"/>
    </row>
    <row r="497">
      <c r="A497" s="602" t="s">
        <v>1190</v>
      </c>
      <c r="B497" s="758"/>
      <c r="C497" s="759"/>
      <c r="D497" s="759"/>
      <c r="E497" s="760"/>
      <c r="F497" s="761"/>
      <c r="G497" s="761"/>
      <c r="H497" s="762"/>
      <c r="I497" s="759"/>
      <c r="J497" s="759"/>
      <c r="K497" s="760"/>
      <c r="L497" s="761"/>
      <c r="M497" s="761"/>
      <c r="N497" s="762"/>
      <c r="O497" s="759"/>
      <c r="P497" s="759"/>
      <c r="Q497" s="760"/>
      <c r="R497" s="761"/>
      <c r="S497" s="761"/>
      <c r="T497" s="762"/>
      <c r="U497" s="759"/>
      <c r="V497" s="759"/>
      <c r="W497" s="760"/>
      <c r="X497" s="761"/>
      <c r="Y497" s="761"/>
      <c r="Z497" s="762"/>
      <c r="AA497" s="759"/>
      <c r="AB497" s="759"/>
      <c r="AC497" s="760"/>
      <c r="AD497" s="761"/>
      <c r="AE497" s="761"/>
      <c r="AF497" s="762"/>
      <c r="AG497" s="759"/>
      <c r="AH497" s="759"/>
      <c r="AI497" s="760"/>
      <c r="AJ497" s="761"/>
      <c r="AK497" s="761"/>
      <c r="AL497" s="762"/>
      <c r="AM497" s="763"/>
      <c r="AN497" s="763"/>
      <c r="AO497" s="764"/>
    </row>
    <row r="498">
      <c r="A498" s="602" t="s">
        <v>1190</v>
      </c>
      <c r="B498" s="758"/>
      <c r="C498" s="759"/>
      <c r="D498" s="759"/>
      <c r="E498" s="760"/>
      <c r="F498" s="761"/>
      <c r="G498" s="761"/>
      <c r="H498" s="762"/>
      <c r="I498" s="759"/>
      <c r="J498" s="759"/>
      <c r="K498" s="760"/>
      <c r="L498" s="761"/>
      <c r="M498" s="761"/>
      <c r="N498" s="762"/>
      <c r="O498" s="759"/>
      <c r="P498" s="759"/>
      <c r="Q498" s="760"/>
      <c r="R498" s="761"/>
      <c r="S498" s="761"/>
      <c r="T498" s="762"/>
      <c r="U498" s="759"/>
      <c r="V498" s="759"/>
      <c r="W498" s="760"/>
      <c r="X498" s="761"/>
      <c r="Y498" s="761"/>
      <c r="Z498" s="762"/>
      <c r="AA498" s="759"/>
      <c r="AB498" s="759"/>
      <c r="AC498" s="760"/>
      <c r="AD498" s="761"/>
      <c r="AE498" s="761"/>
      <c r="AF498" s="762"/>
      <c r="AG498" s="759"/>
      <c r="AH498" s="759"/>
      <c r="AI498" s="760"/>
      <c r="AJ498" s="761"/>
      <c r="AK498" s="761"/>
      <c r="AL498" s="762"/>
      <c r="AM498" s="763"/>
      <c r="AN498" s="763"/>
      <c r="AO498" s="764"/>
    </row>
    <row r="499">
      <c r="A499" s="602" t="s">
        <v>1190</v>
      </c>
      <c r="B499" s="758"/>
      <c r="C499" s="759"/>
      <c r="D499" s="759"/>
      <c r="E499" s="760"/>
      <c r="F499" s="761"/>
      <c r="G499" s="761"/>
      <c r="H499" s="762"/>
      <c r="I499" s="759"/>
      <c r="J499" s="759"/>
      <c r="K499" s="760"/>
      <c r="L499" s="761"/>
      <c r="M499" s="761"/>
      <c r="N499" s="762"/>
      <c r="O499" s="759"/>
      <c r="P499" s="759"/>
      <c r="Q499" s="760"/>
      <c r="R499" s="761"/>
      <c r="S499" s="761"/>
      <c r="T499" s="762"/>
      <c r="U499" s="759"/>
      <c r="V499" s="759"/>
      <c r="W499" s="760"/>
      <c r="X499" s="761"/>
      <c r="Y499" s="761"/>
      <c r="Z499" s="762"/>
      <c r="AA499" s="759"/>
      <c r="AB499" s="759"/>
      <c r="AC499" s="760"/>
      <c r="AD499" s="761"/>
      <c r="AE499" s="761"/>
      <c r="AF499" s="762"/>
      <c r="AG499" s="759"/>
      <c r="AH499" s="759"/>
      <c r="AI499" s="760"/>
      <c r="AJ499" s="761"/>
      <c r="AK499" s="761"/>
      <c r="AL499" s="762"/>
      <c r="AM499" s="763"/>
      <c r="AN499" s="763"/>
      <c r="AO499" s="764"/>
    </row>
    <row r="500">
      <c r="A500" s="602" t="s">
        <v>1190</v>
      </c>
      <c r="B500" s="758"/>
      <c r="C500" s="759"/>
      <c r="D500" s="759"/>
      <c r="E500" s="760"/>
      <c r="F500" s="761"/>
      <c r="G500" s="761"/>
      <c r="H500" s="762"/>
      <c r="I500" s="759"/>
      <c r="J500" s="759"/>
      <c r="K500" s="760"/>
      <c r="L500" s="761"/>
      <c r="M500" s="761"/>
      <c r="N500" s="762"/>
      <c r="O500" s="759"/>
      <c r="P500" s="759"/>
      <c r="Q500" s="760"/>
      <c r="R500" s="761"/>
      <c r="S500" s="761"/>
      <c r="T500" s="762"/>
      <c r="U500" s="759"/>
      <c r="V500" s="759"/>
      <c r="W500" s="760"/>
      <c r="X500" s="761"/>
      <c r="Y500" s="761"/>
      <c r="Z500" s="762"/>
      <c r="AA500" s="759"/>
      <c r="AB500" s="759"/>
      <c r="AC500" s="760"/>
      <c r="AD500" s="761"/>
      <c r="AE500" s="761"/>
      <c r="AF500" s="762"/>
      <c r="AG500" s="759"/>
      <c r="AH500" s="759"/>
      <c r="AI500" s="760"/>
      <c r="AJ500" s="761"/>
      <c r="AK500" s="761"/>
      <c r="AL500" s="762"/>
      <c r="AM500" s="763"/>
      <c r="AN500" s="763"/>
      <c r="AO500" s="764"/>
    </row>
    <row r="501">
      <c r="A501" s="602" t="s">
        <v>1190</v>
      </c>
      <c r="B501" s="758"/>
      <c r="C501" s="759"/>
      <c r="D501" s="759"/>
      <c r="E501" s="760"/>
      <c r="F501" s="761"/>
      <c r="G501" s="761"/>
      <c r="H501" s="762"/>
      <c r="I501" s="759"/>
      <c r="J501" s="759"/>
      <c r="K501" s="760"/>
      <c r="L501" s="761"/>
      <c r="M501" s="761"/>
      <c r="N501" s="762"/>
      <c r="O501" s="759"/>
      <c r="P501" s="759"/>
      <c r="Q501" s="760"/>
      <c r="R501" s="761"/>
      <c r="S501" s="761"/>
      <c r="T501" s="762"/>
      <c r="U501" s="759"/>
      <c r="V501" s="759"/>
      <c r="W501" s="760"/>
      <c r="X501" s="761"/>
      <c r="Y501" s="761"/>
      <c r="Z501" s="762"/>
      <c r="AA501" s="759"/>
      <c r="AB501" s="759"/>
      <c r="AC501" s="760"/>
      <c r="AD501" s="761"/>
      <c r="AE501" s="761"/>
      <c r="AF501" s="762"/>
      <c r="AG501" s="759"/>
      <c r="AH501" s="759"/>
      <c r="AI501" s="760"/>
      <c r="AJ501" s="761"/>
      <c r="AK501" s="761"/>
      <c r="AL501" s="762"/>
      <c r="AM501" s="763"/>
      <c r="AN501" s="763"/>
      <c r="AO501" s="764"/>
    </row>
    <row r="502">
      <c r="A502" s="602" t="s">
        <v>1190</v>
      </c>
      <c r="B502" s="758"/>
      <c r="C502" s="759"/>
      <c r="D502" s="759"/>
      <c r="E502" s="760"/>
      <c r="F502" s="761"/>
      <c r="G502" s="761"/>
      <c r="H502" s="762"/>
      <c r="I502" s="759"/>
      <c r="J502" s="759"/>
      <c r="K502" s="760"/>
      <c r="L502" s="761"/>
      <c r="M502" s="761"/>
      <c r="N502" s="762"/>
      <c r="O502" s="759"/>
      <c r="P502" s="759"/>
      <c r="Q502" s="760"/>
      <c r="R502" s="761"/>
      <c r="S502" s="761"/>
      <c r="T502" s="762"/>
      <c r="U502" s="759"/>
      <c r="V502" s="759"/>
      <c r="W502" s="760"/>
      <c r="X502" s="761"/>
      <c r="Y502" s="761"/>
      <c r="Z502" s="762"/>
      <c r="AA502" s="759"/>
      <c r="AB502" s="759"/>
      <c r="AC502" s="760"/>
      <c r="AD502" s="761"/>
      <c r="AE502" s="761"/>
      <c r="AF502" s="762"/>
      <c r="AG502" s="759"/>
      <c r="AH502" s="759"/>
      <c r="AI502" s="760"/>
      <c r="AJ502" s="761"/>
      <c r="AK502" s="761"/>
      <c r="AL502" s="762"/>
      <c r="AM502" s="763"/>
      <c r="AN502" s="763"/>
      <c r="AO502" s="764"/>
    </row>
    <row r="503">
      <c r="A503" s="602" t="s">
        <v>1190</v>
      </c>
      <c r="B503" s="758"/>
      <c r="C503" s="759"/>
      <c r="D503" s="759"/>
      <c r="E503" s="760"/>
      <c r="F503" s="761"/>
      <c r="G503" s="761"/>
      <c r="H503" s="762"/>
      <c r="I503" s="759"/>
      <c r="J503" s="759"/>
      <c r="K503" s="760"/>
      <c r="L503" s="761"/>
      <c r="M503" s="761"/>
      <c r="N503" s="762"/>
      <c r="O503" s="759"/>
      <c r="P503" s="759"/>
      <c r="Q503" s="760"/>
      <c r="R503" s="761"/>
      <c r="S503" s="761"/>
      <c r="T503" s="762"/>
      <c r="U503" s="759"/>
      <c r="V503" s="759"/>
      <c r="W503" s="760"/>
      <c r="X503" s="761"/>
      <c r="Y503" s="761"/>
      <c r="Z503" s="762"/>
      <c r="AA503" s="759"/>
      <c r="AB503" s="759"/>
      <c r="AC503" s="760"/>
      <c r="AD503" s="761"/>
      <c r="AE503" s="761"/>
      <c r="AF503" s="762"/>
      <c r="AG503" s="759"/>
      <c r="AH503" s="759"/>
      <c r="AI503" s="760"/>
      <c r="AJ503" s="761"/>
      <c r="AK503" s="761"/>
      <c r="AL503" s="762"/>
      <c r="AM503" s="763"/>
      <c r="AN503" s="763"/>
      <c r="AO503" s="764"/>
    </row>
    <row r="504">
      <c r="A504" s="602" t="s">
        <v>1190</v>
      </c>
      <c r="B504" s="758"/>
      <c r="C504" s="759"/>
      <c r="D504" s="759"/>
      <c r="E504" s="760"/>
      <c r="F504" s="761"/>
      <c r="G504" s="761"/>
      <c r="H504" s="762"/>
      <c r="I504" s="759"/>
      <c r="J504" s="759"/>
      <c r="K504" s="760"/>
      <c r="L504" s="761"/>
      <c r="M504" s="761"/>
      <c r="N504" s="762"/>
      <c r="O504" s="759"/>
      <c r="P504" s="759"/>
      <c r="Q504" s="760"/>
      <c r="R504" s="761"/>
      <c r="S504" s="761"/>
      <c r="T504" s="762"/>
      <c r="U504" s="759"/>
      <c r="V504" s="759"/>
      <c r="W504" s="760"/>
      <c r="X504" s="761"/>
      <c r="Y504" s="761"/>
      <c r="Z504" s="762"/>
      <c r="AA504" s="759"/>
      <c r="AB504" s="759"/>
      <c r="AC504" s="760"/>
      <c r="AD504" s="761"/>
      <c r="AE504" s="761"/>
      <c r="AF504" s="762"/>
      <c r="AG504" s="759"/>
      <c r="AH504" s="759"/>
      <c r="AI504" s="760"/>
      <c r="AJ504" s="761"/>
      <c r="AK504" s="761"/>
      <c r="AL504" s="762"/>
      <c r="AM504" s="763"/>
      <c r="AN504" s="763"/>
      <c r="AO504" s="764"/>
    </row>
    <row r="505">
      <c r="A505" s="602" t="s">
        <v>1190</v>
      </c>
      <c r="B505" s="758"/>
      <c r="C505" s="759"/>
      <c r="D505" s="759"/>
      <c r="E505" s="760"/>
      <c r="F505" s="761"/>
      <c r="G505" s="761"/>
      <c r="H505" s="762"/>
      <c r="I505" s="759"/>
      <c r="J505" s="759"/>
      <c r="K505" s="760"/>
      <c r="L505" s="761"/>
      <c r="M505" s="761"/>
      <c r="N505" s="762"/>
      <c r="O505" s="759"/>
      <c r="P505" s="759"/>
      <c r="Q505" s="760"/>
      <c r="R505" s="761"/>
      <c r="S505" s="761"/>
      <c r="T505" s="762"/>
      <c r="U505" s="759"/>
      <c r="V505" s="759"/>
      <c r="W505" s="760"/>
      <c r="X505" s="761"/>
      <c r="Y505" s="761"/>
      <c r="Z505" s="762"/>
      <c r="AA505" s="759"/>
      <c r="AB505" s="759"/>
      <c r="AC505" s="760"/>
      <c r="AD505" s="761"/>
      <c r="AE505" s="761"/>
      <c r="AF505" s="762"/>
      <c r="AG505" s="759"/>
      <c r="AH505" s="759"/>
      <c r="AI505" s="760"/>
      <c r="AJ505" s="761"/>
      <c r="AK505" s="761"/>
      <c r="AL505" s="762"/>
      <c r="AM505" s="763"/>
      <c r="AN505" s="763"/>
      <c r="AO505" s="764"/>
    </row>
    <row r="506">
      <c r="A506" s="602" t="s">
        <v>1190</v>
      </c>
      <c r="B506" s="758"/>
      <c r="C506" s="759"/>
      <c r="D506" s="759"/>
      <c r="E506" s="760"/>
      <c r="F506" s="761"/>
      <c r="G506" s="761"/>
      <c r="H506" s="762"/>
      <c r="I506" s="759"/>
      <c r="J506" s="759"/>
      <c r="K506" s="760"/>
      <c r="L506" s="761"/>
      <c r="M506" s="761"/>
      <c r="N506" s="762"/>
      <c r="O506" s="759"/>
      <c r="P506" s="759"/>
      <c r="Q506" s="760"/>
      <c r="R506" s="761"/>
      <c r="S506" s="761"/>
      <c r="T506" s="762"/>
      <c r="U506" s="759"/>
      <c r="V506" s="759"/>
      <c r="W506" s="760"/>
      <c r="X506" s="761"/>
      <c r="Y506" s="761"/>
      <c r="Z506" s="762"/>
      <c r="AA506" s="759"/>
      <c r="AB506" s="759"/>
      <c r="AC506" s="760"/>
      <c r="AD506" s="761"/>
      <c r="AE506" s="761"/>
      <c r="AF506" s="762"/>
      <c r="AG506" s="759"/>
      <c r="AH506" s="759"/>
      <c r="AI506" s="760"/>
      <c r="AJ506" s="761"/>
      <c r="AK506" s="761"/>
      <c r="AL506" s="762"/>
      <c r="AM506" s="763"/>
      <c r="AN506" s="763"/>
      <c r="AO506" s="764"/>
    </row>
    <row r="507">
      <c r="A507" s="602" t="s">
        <v>1190</v>
      </c>
      <c r="B507" s="758"/>
      <c r="C507" s="759"/>
      <c r="D507" s="759"/>
      <c r="E507" s="760"/>
      <c r="F507" s="761"/>
      <c r="G507" s="761"/>
      <c r="H507" s="762"/>
      <c r="I507" s="759"/>
      <c r="J507" s="759"/>
      <c r="K507" s="760"/>
      <c r="L507" s="761"/>
      <c r="M507" s="761"/>
      <c r="N507" s="762"/>
      <c r="O507" s="759"/>
      <c r="P507" s="759"/>
      <c r="Q507" s="760"/>
      <c r="R507" s="761"/>
      <c r="S507" s="761"/>
      <c r="T507" s="762"/>
      <c r="U507" s="759"/>
      <c r="V507" s="759"/>
      <c r="W507" s="760"/>
      <c r="X507" s="761"/>
      <c r="Y507" s="761"/>
      <c r="Z507" s="762"/>
      <c r="AA507" s="759"/>
      <c r="AB507" s="759"/>
      <c r="AC507" s="760"/>
      <c r="AD507" s="761"/>
      <c r="AE507" s="761"/>
      <c r="AF507" s="762"/>
      <c r="AG507" s="759"/>
      <c r="AH507" s="759"/>
      <c r="AI507" s="760"/>
      <c r="AJ507" s="761"/>
      <c r="AK507" s="761"/>
      <c r="AL507" s="762"/>
      <c r="AM507" s="763"/>
      <c r="AN507" s="763"/>
      <c r="AO507" s="764"/>
    </row>
    <row r="508">
      <c r="A508" s="602" t="s">
        <v>1190</v>
      </c>
      <c r="B508" s="758"/>
      <c r="C508" s="759"/>
      <c r="D508" s="759"/>
      <c r="E508" s="760"/>
      <c r="F508" s="761"/>
      <c r="G508" s="761"/>
      <c r="H508" s="762"/>
      <c r="I508" s="759"/>
      <c r="J508" s="759"/>
      <c r="K508" s="760"/>
      <c r="L508" s="761"/>
      <c r="M508" s="761"/>
      <c r="N508" s="762"/>
      <c r="O508" s="759"/>
      <c r="P508" s="759"/>
      <c r="Q508" s="760"/>
      <c r="R508" s="761"/>
      <c r="S508" s="761"/>
      <c r="T508" s="762"/>
      <c r="U508" s="759"/>
      <c r="V508" s="759"/>
      <c r="W508" s="760"/>
      <c r="X508" s="761"/>
      <c r="Y508" s="761"/>
      <c r="Z508" s="762"/>
      <c r="AA508" s="759"/>
      <c r="AB508" s="759"/>
      <c r="AC508" s="760"/>
      <c r="AD508" s="761"/>
      <c r="AE508" s="761"/>
      <c r="AF508" s="762"/>
      <c r="AG508" s="759"/>
      <c r="AH508" s="759"/>
      <c r="AI508" s="760"/>
      <c r="AJ508" s="761"/>
      <c r="AK508" s="761"/>
      <c r="AL508" s="762"/>
      <c r="AM508" s="763"/>
      <c r="AN508" s="763"/>
      <c r="AO508" s="764"/>
    </row>
    <row r="509">
      <c r="A509" s="602" t="s">
        <v>1190</v>
      </c>
      <c r="B509" s="758"/>
      <c r="C509" s="759"/>
      <c r="D509" s="759"/>
      <c r="E509" s="760"/>
      <c r="F509" s="761"/>
      <c r="G509" s="761"/>
      <c r="H509" s="762"/>
      <c r="I509" s="759"/>
      <c r="J509" s="759"/>
      <c r="K509" s="760"/>
      <c r="L509" s="761"/>
      <c r="M509" s="761"/>
      <c r="N509" s="762"/>
      <c r="O509" s="759"/>
      <c r="P509" s="759"/>
      <c r="Q509" s="760"/>
      <c r="R509" s="761"/>
      <c r="S509" s="761"/>
      <c r="T509" s="762"/>
      <c r="U509" s="759"/>
      <c r="V509" s="759"/>
      <c r="W509" s="760"/>
      <c r="X509" s="761"/>
      <c r="Y509" s="761"/>
      <c r="Z509" s="762"/>
      <c r="AA509" s="759"/>
      <c r="AB509" s="759"/>
      <c r="AC509" s="760"/>
      <c r="AD509" s="761"/>
      <c r="AE509" s="761"/>
      <c r="AF509" s="762"/>
      <c r="AG509" s="759"/>
      <c r="AH509" s="759"/>
      <c r="AI509" s="760"/>
      <c r="AJ509" s="761"/>
      <c r="AK509" s="761"/>
      <c r="AL509" s="762"/>
      <c r="AM509" s="763"/>
      <c r="AN509" s="763"/>
      <c r="AO509" s="764"/>
    </row>
    <row r="510">
      <c r="A510" s="602" t="s">
        <v>1190</v>
      </c>
      <c r="B510" s="758"/>
      <c r="C510" s="759"/>
      <c r="D510" s="759"/>
      <c r="E510" s="760"/>
      <c r="F510" s="761"/>
      <c r="G510" s="761"/>
      <c r="H510" s="762"/>
      <c r="I510" s="759"/>
      <c r="J510" s="759"/>
      <c r="K510" s="760"/>
      <c r="L510" s="761"/>
      <c r="M510" s="761"/>
      <c r="N510" s="762"/>
      <c r="O510" s="759"/>
      <c r="P510" s="759"/>
      <c r="Q510" s="760"/>
      <c r="R510" s="761"/>
      <c r="S510" s="761"/>
      <c r="T510" s="762"/>
      <c r="U510" s="759"/>
      <c r="V510" s="759"/>
      <c r="W510" s="760"/>
      <c r="X510" s="761"/>
      <c r="Y510" s="761"/>
      <c r="Z510" s="762"/>
      <c r="AA510" s="759"/>
      <c r="AB510" s="759"/>
      <c r="AC510" s="760"/>
      <c r="AD510" s="761"/>
      <c r="AE510" s="761"/>
      <c r="AF510" s="762"/>
      <c r="AG510" s="759"/>
      <c r="AH510" s="759"/>
      <c r="AI510" s="760"/>
      <c r="AJ510" s="761"/>
      <c r="AK510" s="761"/>
      <c r="AL510" s="762"/>
      <c r="AM510" s="763"/>
      <c r="AN510" s="763"/>
      <c r="AO510" s="764"/>
    </row>
    <row r="511">
      <c r="A511" s="602" t="s">
        <v>1190</v>
      </c>
      <c r="B511" s="758"/>
      <c r="C511" s="759"/>
      <c r="D511" s="759"/>
      <c r="E511" s="760"/>
      <c r="F511" s="761"/>
      <c r="G511" s="761"/>
      <c r="H511" s="762"/>
      <c r="I511" s="759"/>
      <c r="J511" s="759"/>
      <c r="K511" s="760"/>
      <c r="L511" s="761"/>
      <c r="M511" s="761"/>
      <c r="N511" s="762"/>
      <c r="O511" s="759"/>
      <c r="P511" s="759"/>
      <c r="Q511" s="760"/>
      <c r="R511" s="761"/>
      <c r="S511" s="761"/>
      <c r="T511" s="762"/>
      <c r="U511" s="759"/>
      <c r="V511" s="759"/>
      <c r="W511" s="760"/>
      <c r="X511" s="761"/>
      <c r="Y511" s="761"/>
      <c r="Z511" s="762"/>
      <c r="AA511" s="759"/>
      <c r="AB511" s="759"/>
      <c r="AC511" s="760"/>
      <c r="AD511" s="761"/>
      <c r="AE511" s="761"/>
      <c r="AF511" s="762"/>
      <c r="AG511" s="759"/>
      <c r="AH511" s="759"/>
      <c r="AI511" s="760"/>
      <c r="AJ511" s="761"/>
      <c r="AK511" s="761"/>
      <c r="AL511" s="762"/>
      <c r="AM511" s="763"/>
      <c r="AN511" s="763"/>
      <c r="AO511" s="764"/>
    </row>
    <row r="512">
      <c r="A512" s="602" t="s">
        <v>1190</v>
      </c>
      <c r="B512" s="758"/>
      <c r="C512" s="759"/>
      <c r="D512" s="759"/>
      <c r="E512" s="760"/>
      <c r="F512" s="761"/>
      <c r="G512" s="761"/>
      <c r="H512" s="762"/>
      <c r="I512" s="759"/>
      <c r="J512" s="759"/>
      <c r="K512" s="760"/>
      <c r="L512" s="761"/>
      <c r="M512" s="761"/>
      <c r="N512" s="762"/>
      <c r="O512" s="759"/>
      <c r="P512" s="759"/>
      <c r="Q512" s="760"/>
      <c r="R512" s="761"/>
      <c r="S512" s="761"/>
      <c r="T512" s="762"/>
      <c r="U512" s="759"/>
      <c r="V512" s="759"/>
      <c r="W512" s="760"/>
      <c r="X512" s="761"/>
      <c r="Y512" s="761"/>
      <c r="Z512" s="762"/>
      <c r="AA512" s="759"/>
      <c r="AB512" s="759"/>
      <c r="AC512" s="760"/>
      <c r="AD512" s="761"/>
      <c r="AE512" s="761"/>
      <c r="AF512" s="762"/>
      <c r="AG512" s="759"/>
      <c r="AH512" s="759"/>
      <c r="AI512" s="760"/>
      <c r="AJ512" s="761"/>
      <c r="AK512" s="761"/>
      <c r="AL512" s="762"/>
      <c r="AM512" s="763"/>
      <c r="AN512" s="763"/>
      <c r="AO512" s="764"/>
    </row>
    <row r="513">
      <c r="A513" s="602" t="s">
        <v>1190</v>
      </c>
      <c r="B513" s="758"/>
      <c r="C513" s="759"/>
      <c r="D513" s="759"/>
      <c r="E513" s="760"/>
      <c r="F513" s="761"/>
      <c r="G513" s="761"/>
      <c r="H513" s="762"/>
      <c r="I513" s="759"/>
      <c r="J513" s="759"/>
      <c r="K513" s="760"/>
      <c r="L513" s="761"/>
      <c r="M513" s="761"/>
      <c r="N513" s="762"/>
      <c r="O513" s="759"/>
      <c r="P513" s="759"/>
      <c r="Q513" s="760"/>
      <c r="R513" s="761"/>
      <c r="S513" s="761"/>
      <c r="T513" s="762"/>
      <c r="U513" s="759"/>
      <c r="V513" s="759"/>
      <c r="W513" s="760"/>
      <c r="X513" s="761"/>
      <c r="Y513" s="761"/>
      <c r="Z513" s="762"/>
      <c r="AA513" s="759"/>
      <c r="AB513" s="759"/>
      <c r="AC513" s="760"/>
      <c r="AD513" s="761"/>
      <c r="AE513" s="761"/>
      <c r="AF513" s="762"/>
      <c r="AG513" s="759"/>
      <c r="AH513" s="759"/>
      <c r="AI513" s="760"/>
      <c r="AJ513" s="761"/>
      <c r="AK513" s="761"/>
      <c r="AL513" s="762"/>
      <c r="AM513" s="763"/>
      <c r="AN513" s="763"/>
      <c r="AO513" s="764"/>
    </row>
    <row r="514">
      <c r="A514" s="602" t="s">
        <v>1190</v>
      </c>
      <c r="B514" s="758"/>
      <c r="C514" s="759"/>
      <c r="D514" s="759"/>
      <c r="E514" s="760"/>
      <c r="F514" s="761"/>
      <c r="G514" s="761"/>
      <c r="H514" s="762"/>
      <c r="I514" s="759"/>
      <c r="J514" s="759"/>
      <c r="K514" s="760"/>
      <c r="L514" s="761"/>
      <c r="M514" s="761"/>
      <c r="N514" s="762"/>
      <c r="O514" s="759"/>
      <c r="P514" s="759"/>
      <c r="Q514" s="760"/>
      <c r="R514" s="761"/>
      <c r="S514" s="761"/>
      <c r="T514" s="762"/>
      <c r="U514" s="759"/>
      <c r="V514" s="759"/>
      <c r="W514" s="760"/>
      <c r="X514" s="761"/>
      <c r="Y514" s="761"/>
      <c r="Z514" s="762"/>
      <c r="AA514" s="759"/>
      <c r="AB514" s="759"/>
      <c r="AC514" s="760"/>
      <c r="AD514" s="761"/>
      <c r="AE514" s="761"/>
      <c r="AF514" s="762"/>
      <c r="AG514" s="759"/>
      <c r="AH514" s="759"/>
      <c r="AI514" s="760"/>
      <c r="AJ514" s="761"/>
      <c r="AK514" s="761"/>
      <c r="AL514" s="762"/>
      <c r="AM514" s="763"/>
      <c r="AN514" s="763"/>
      <c r="AO514" s="764"/>
    </row>
    <row r="515">
      <c r="A515" s="602" t="s">
        <v>1190</v>
      </c>
      <c r="B515" s="758"/>
      <c r="C515" s="759"/>
      <c r="D515" s="759"/>
      <c r="E515" s="760"/>
      <c r="F515" s="761"/>
      <c r="G515" s="761"/>
      <c r="H515" s="762"/>
      <c r="I515" s="759"/>
      <c r="J515" s="759"/>
      <c r="K515" s="760"/>
      <c r="L515" s="761"/>
      <c r="M515" s="761"/>
      <c r="N515" s="762"/>
      <c r="O515" s="759"/>
      <c r="P515" s="759"/>
      <c r="Q515" s="760"/>
      <c r="R515" s="761"/>
      <c r="S515" s="761"/>
      <c r="T515" s="762"/>
      <c r="U515" s="759"/>
      <c r="V515" s="759"/>
      <c r="W515" s="760"/>
      <c r="X515" s="761"/>
      <c r="Y515" s="761"/>
      <c r="Z515" s="762"/>
      <c r="AA515" s="759"/>
      <c r="AB515" s="759"/>
      <c r="AC515" s="760"/>
      <c r="AD515" s="761"/>
      <c r="AE515" s="761"/>
      <c r="AF515" s="762"/>
      <c r="AG515" s="759"/>
      <c r="AH515" s="759"/>
      <c r="AI515" s="760"/>
      <c r="AJ515" s="761"/>
      <c r="AK515" s="761"/>
      <c r="AL515" s="762"/>
      <c r="AM515" s="763"/>
      <c r="AN515" s="763"/>
      <c r="AO515" s="764"/>
    </row>
    <row r="516">
      <c r="A516" s="602" t="s">
        <v>1190</v>
      </c>
      <c r="B516" s="758"/>
      <c r="C516" s="759"/>
      <c r="D516" s="759"/>
      <c r="E516" s="760"/>
      <c r="F516" s="761"/>
      <c r="G516" s="761"/>
      <c r="H516" s="762"/>
      <c r="I516" s="759"/>
      <c r="J516" s="759"/>
      <c r="K516" s="760"/>
      <c r="L516" s="761"/>
      <c r="M516" s="761"/>
      <c r="N516" s="762"/>
      <c r="O516" s="759"/>
      <c r="P516" s="759"/>
      <c r="Q516" s="760"/>
      <c r="R516" s="761"/>
      <c r="S516" s="761"/>
      <c r="T516" s="762"/>
      <c r="U516" s="759"/>
      <c r="V516" s="759"/>
      <c r="W516" s="760"/>
      <c r="X516" s="761"/>
      <c r="Y516" s="761"/>
      <c r="Z516" s="762"/>
      <c r="AA516" s="759"/>
      <c r="AB516" s="759"/>
      <c r="AC516" s="760"/>
      <c r="AD516" s="761"/>
      <c r="AE516" s="761"/>
      <c r="AF516" s="762"/>
      <c r="AG516" s="759"/>
      <c r="AH516" s="759"/>
      <c r="AI516" s="760"/>
      <c r="AJ516" s="761"/>
      <c r="AK516" s="761"/>
      <c r="AL516" s="762"/>
      <c r="AM516" s="763"/>
      <c r="AN516" s="763"/>
      <c r="AO516" s="764"/>
    </row>
    <row r="517">
      <c r="A517" s="602" t="s">
        <v>1190</v>
      </c>
      <c r="B517" s="758"/>
      <c r="C517" s="759"/>
      <c r="D517" s="759"/>
      <c r="E517" s="760"/>
      <c r="F517" s="761"/>
      <c r="G517" s="761"/>
      <c r="H517" s="762"/>
      <c r="I517" s="759"/>
      <c r="J517" s="759"/>
      <c r="K517" s="760"/>
      <c r="L517" s="761"/>
      <c r="M517" s="761"/>
      <c r="N517" s="762"/>
      <c r="O517" s="759"/>
      <c r="P517" s="759"/>
      <c r="Q517" s="760"/>
      <c r="R517" s="761"/>
      <c r="S517" s="761"/>
      <c r="T517" s="762"/>
      <c r="U517" s="759"/>
      <c r="V517" s="759"/>
      <c r="W517" s="760"/>
      <c r="X517" s="761"/>
      <c r="Y517" s="761"/>
      <c r="Z517" s="762"/>
      <c r="AA517" s="759"/>
      <c r="AB517" s="759"/>
      <c r="AC517" s="760"/>
      <c r="AD517" s="761"/>
      <c r="AE517" s="761"/>
      <c r="AF517" s="762"/>
      <c r="AG517" s="759"/>
      <c r="AH517" s="759"/>
      <c r="AI517" s="760"/>
      <c r="AJ517" s="761"/>
      <c r="AK517" s="761"/>
      <c r="AL517" s="762"/>
      <c r="AM517" s="763"/>
      <c r="AN517" s="763"/>
      <c r="AO517" s="764"/>
    </row>
    <row r="518">
      <c r="A518" s="602" t="s">
        <v>1190</v>
      </c>
      <c r="B518" s="758"/>
      <c r="C518" s="759"/>
      <c r="D518" s="759"/>
      <c r="E518" s="760"/>
      <c r="F518" s="761"/>
      <c r="G518" s="761"/>
      <c r="H518" s="762"/>
      <c r="I518" s="759"/>
      <c r="J518" s="759"/>
      <c r="K518" s="760"/>
      <c r="L518" s="761"/>
      <c r="M518" s="761"/>
      <c r="N518" s="762"/>
      <c r="O518" s="759"/>
      <c r="P518" s="759"/>
      <c r="Q518" s="760"/>
      <c r="R518" s="761"/>
      <c r="S518" s="761"/>
      <c r="T518" s="762"/>
      <c r="U518" s="759"/>
      <c r="V518" s="759"/>
      <c r="W518" s="760"/>
      <c r="X518" s="761"/>
      <c r="Y518" s="761"/>
      <c r="Z518" s="762"/>
      <c r="AA518" s="759"/>
      <c r="AB518" s="759"/>
      <c r="AC518" s="760"/>
      <c r="AD518" s="761"/>
      <c r="AE518" s="761"/>
      <c r="AF518" s="762"/>
      <c r="AG518" s="759"/>
      <c r="AH518" s="759"/>
      <c r="AI518" s="760"/>
      <c r="AJ518" s="761"/>
      <c r="AK518" s="761"/>
      <c r="AL518" s="762"/>
      <c r="AM518" s="763"/>
      <c r="AN518" s="763"/>
      <c r="AO518" s="764"/>
    </row>
    <row r="519">
      <c r="A519" s="602" t="s">
        <v>1190</v>
      </c>
      <c r="B519" s="758"/>
      <c r="C519" s="759"/>
      <c r="D519" s="759"/>
      <c r="E519" s="760"/>
      <c r="F519" s="761"/>
      <c r="G519" s="761"/>
      <c r="H519" s="762"/>
      <c r="I519" s="759"/>
      <c r="J519" s="759"/>
      <c r="K519" s="760"/>
      <c r="L519" s="761"/>
      <c r="M519" s="761"/>
      <c r="N519" s="762"/>
      <c r="O519" s="759"/>
      <c r="P519" s="759"/>
      <c r="Q519" s="760"/>
      <c r="R519" s="761"/>
      <c r="S519" s="761"/>
      <c r="T519" s="762"/>
      <c r="U519" s="759"/>
      <c r="V519" s="759"/>
      <c r="W519" s="760"/>
      <c r="X519" s="761"/>
      <c r="Y519" s="761"/>
      <c r="Z519" s="762"/>
      <c r="AA519" s="759"/>
      <c r="AB519" s="759"/>
      <c r="AC519" s="760"/>
      <c r="AD519" s="761"/>
      <c r="AE519" s="761"/>
      <c r="AF519" s="762"/>
      <c r="AG519" s="759"/>
      <c r="AH519" s="759"/>
      <c r="AI519" s="760"/>
      <c r="AJ519" s="761"/>
      <c r="AK519" s="761"/>
      <c r="AL519" s="762"/>
      <c r="AM519" s="763"/>
      <c r="AN519" s="763"/>
      <c r="AO519" s="764"/>
    </row>
    <row r="520">
      <c r="A520" s="602" t="s">
        <v>1190</v>
      </c>
      <c r="B520" s="758"/>
      <c r="C520" s="759"/>
      <c r="D520" s="759"/>
      <c r="E520" s="760"/>
      <c r="F520" s="761"/>
      <c r="G520" s="761"/>
      <c r="H520" s="762"/>
      <c r="I520" s="759"/>
      <c r="J520" s="759"/>
      <c r="K520" s="760"/>
      <c r="L520" s="761"/>
      <c r="M520" s="761"/>
      <c r="N520" s="762"/>
      <c r="O520" s="759"/>
      <c r="P520" s="759"/>
      <c r="Q520" s="760"/>
      <c r="R520" s="761"/>
      <c r="S520" s="761"/>
      <c r="T520" s="762"/>
      <c r="U520" s="759"/>
      <c r="V520" s="759"/>
      <c r="W520" s="760"/>
      <c r="X520" s="761"/>
      <c r="Y520" s="761"/>
      <c r="Z520" s="762"/>
      <c r="AA520" s="759"/>
      <c r="AB520" s="759"/>
      <c r="AC520" s="760"/>
      <c r="AD520" s="761"/>
      <c r="AE520" s="761"/>
      <c r="AF520" s="762"/>
      <c r="AG520" s="759"/>
      <c r="AH520" s="759"/>
      <c r="AI520" s="760"/>
      <c r="AJ520" s="761"/>
      <c r="AK520" s="761"/>
      <c r="AL520" s="762"/>
      <c r="AM520" s="763"/>
      <c r="AN520" s="763"/>
      <c r="AO520" s="764"/>
    </row>
    <row r="521">
      <c r="A521" s="602" t="s">
        <v>1190</v>
      </c>
      <c r="B521" s="758"/>
      <c r="C521" s="759"/>
      <c r="D521" s="759"/>
      <c r="E521" s="760"/>
      <c r="F521" s="761"/>
      <c r="G521" s="761"/>
      <c r="H521" s="762"/>
      <c r="I521" s="759"/>
      <c r="J521" s="759"/>
      <c r="K521" s="760"/>
      <c r="L521" s="761"/>
      <c r="M521" s="761"/>
      <c r="N521" s="762"/>
      <c r="O521" s="759"/>
      <c r="P521" s="759"/>
      <c r="Q521" s="760"/>
      <c r="R521" s="761"/>
      <c r="S521" s="761"/>
      <c r="T521" s="762"/>
      <c r="U521" s="759"/>
      <c r="V521" s="759"/>
      <c r="W521" s="760"/>
      <c r="X521" s="761"/>
      <c r="Y521" s="761"/>
      <c r="Z521" s="762"/>
      <c r="AA521" s="759"/>
      <c r="AB521" s="759"/>
      <c r="AC521" s="760"/>
      <c r="AD521" s="761"/>
      <c r="AE521" s="761"/>
      <c r="AF521" s="762"/>
      <c r="AG521" s="759"/>
      <c r="AH521" s="759"/>
      <c r="AI521" s="760"/>
      <c r="AJ521" s="761"/>
      <c r="AK521" s="761"/>
      <c r="AL521" s="762"/>
      <c r="AM521" s="763"/>
      <c r="AN521" s="763"/>
      <c r="AO521" s="764"/>
    </row>
    <row r="522">
      <c r="A522" s="602" t="s">
        <v>1190</v>
      </c>
      <c r="B522" s="758"/>
      <c r="C522" s="759"/>
      <c r="D522" s="759"/>
      <c r="E522" s="760"/>
      <c r="F522" s="761"/>
      <c r="G522" s="761"/>
      <c r="H522" s="762"/>
      <c r="I522" s="759"/>
      <c r="J522" s="759"/>
      <c r="K522" s="760"/>
      <c r="L522" s="761"/>
      <c r="M522" s="761"/>
      <c r="N522" s="762"/>
      <c r="O522" s="759"/>
      <c r="P522" s="759"/>
      <c r="Q522" s="760"/>
      <c r="R522" s="761"/>
      <c r="S522" s="761"/>
      <c r="T522" s="762"/>
      <c r="U522" s="759"/>
      <c r="V522" s="759"/>
      <c r="W522" s="760"/>
      <c r="X522" s="761"/>
      <c r="Y522" s="761"/>
      <c r="Z522" s="762"/>
      <c r="AA522" s="759"/>
      <c r="AB522" s="759"/>
      <c r="AC522" s="760"/>
      <c r="AD522" s="761"/>
      <c r="AE522" s="761"/>
      <c r="AF522" s="762"/>
      <c r="AG522" s="759"/>
      <c r="AH522" s="759"/>
      <c r="AI522" s="760"/>
      <c r="AJ522" s="761"/>
      <c r="AK522" s="761"/>
      <c r="AL522" s="762"/>
      <c r="AM522" s="763"/>
      <c r="AN522" s="763"/>
      <c r="AO522" s="764"/>
    </row>
    <row r="523">
      <c r="A523" s="602" t="s">
        <v>1190</v>
      </c>
      <c r="B523" s="758"/>
      <c r="C523" s="759"/>
      <c r="D523" s="759"/>
      <c r="E523" s="760"/>
      <c r="F523" s="761"/>
      <c r="G523" s="761"/>
      <c r="H523" s="762"/>
      <c r="I523" s="759"/>
      <c r="J523" s="759"/>
      <c r="K523" s="760"/>
      <c r="L523" s="761"/>
      <c r="M523" s="761"/>
      <c r="N523" s="762"/>
      <c r="O523" s="759"/>
      <c r="P523" s="759"/>
      <c r="Q523" s="760"/>
      <c r="R523" s="761"/>
      <c r="S523" s="761"/>
      <c r="T523" s="762"/>
      <c r="U523" s="759"/>
      <c r="V523" s="759"/>
      <c r="W523" s="760"/>
      <c r="X523" s="761"/>
      <c r="Y523" s="761"/>
      <c r="Z523" s="762"/>
      <c r="AA523" s="759"/>
      <c r="AB523" s="759"/>
      <c r="AC523" s="760"/>
      <c r="AD523" s="761"/>
      <c r="AE523" s="761"/>
      <c r="AF523" s="762"/>
      <c r="AG523" s="759"/>
      <c r="AH523" s="759"/>
      <c r="AI523" s="760"/>
      <c r="AJ523" s="761"/>
      <c r="AK523" s="761"/>
      <c r="AL523" s="762"/>
      <c r="AM523" s="763"/>
      <c r="AN523" s="763"/>
      <c r="AO523" s="764"/>
    </row>
    <row r="524">
      <c r="A524" s="602" t="s">
        <v>1190</v>
      </c>
      <c r="B524" s="758"/>
      <c r="C524" s="759"/>
      <c r="D524" s="759"/>
      <c r="E524" s="760"/>
      <c r="F524" s="761"/>
      <c r="G524" s="761"/>
      <c r="H524" s="762"/>
      <c r="I524" s="759"/>
      <c r="J524" s="759"/>
      <c r="K524" s="760"/>
      <c r="L524" s="761"/>
      <c r="M524" s="761"/>
      <c r="N524" s="762"/>
      <c r="O524" s="759"/>
      <c r="P524" s="759"/>
      <c r="Q524" s="760"/>
      <c r="R524" s="761"/>
      <c r="S524" s="761"/>
      <c r="T524" s="762"/>
      <c r="U524" s="759"/>
      <c r="V524" s="759"/>
      <c r="W524" s="760"/>
      <c r="X524" s="761"/>
      <c r="Y524" s="761"/>
      <c r="Z524" s="762"/>
      <c r="AA524" s="759"/>
      <c r="AB524" s="759"/>
      <c r="AC524" s="760"/>
      <c r="AD524" s="761"/>
      <c r="AE524" s="761"/>
      <c r="AF524" s="762"/>
      <c r="AG524" s="759"/>
      <c r="AH524" s="759"/>
      <c r="AI524" s="760"/>
      <c r="AJ524" s="761"/>
      <c r="AK524" s="761"/>
      <c r="AL524" s="762"/>
      <c r="AM524" s="763"/>
      <c r="AN524" s="763"/>
      <c r="AO524" s="764"/>
    </row>
    <row r="525">
      <c r="A525" s="602" t="s">
        <v>1190</v>
      </c>
      <c r="B525" s="758"/>
      <c r="C525" s="759"/>
      <c r="D525" s="759"/>
      <c r="E525" s="760"/>
      <c r="F525" s="761"/>
      <c r="G525" s="761"/>
      <c r="H525" s="762"/>
      <c r="I525" s="759"/>
      <c r="J525" s="759"/>
      <c r="K525" s="760"/>
      <c r="L525" s="761"/>
      <c r="M525" s="761"/>
      <c r="N525" s="762"/>
      <c r="O525" s="759"/>
      <c r="P525" s="759"/>
      <c r="Q525" s="760"/>
      <c r="R525" s="761"/>
      <c r="S525" s="761"/>
      <c r="T525" s="762"/>
      <c r="U525" s="759"/>
      <c r="V525" s="759"/>
      <c r="W525" s="760"/>
      <c r="X525" s="761"/>
      <c r="Y525" s="761"/>
      <c r="Z525" s="762"/>
      <c r="AA525" s="759"/>
      <c r="AB525" s="759"/>
      <c r="AC525" s="760"/>
      <c r="AD525" s="761"/>
      <c r="AE525" s="761"/>
      <c r="AF525" s="762"/>
      <c r="AG525" s="759"/>
      <c r="AH525" s="759"/>
      <c r="AI525" s="760"/>
      <c r="AJ525" s="761"/>
      <c r="AK525" s="761"/>
      <c r="AL525" s="762"/>
      <c r="AM525" s="763"/>
      <c r="AN525" s="763"/>
      <c r="AO525" s="764"/>
    </row>
    <row r="526">
      <c r="A526" s="602" t="s">
        <v>1190</v>
      </c>
      <c r="B526" s="758"/>
      <c r="C526" s="759"/>
      <c r="D526" s="759"/>
      <c r="E526" s="760"/>
      <c r="F526" s="761"/>
      <c r="G526" s="761"/>
      <c r="H526" s="762"/>
      <c r="I526" s="759"/>
      <c r="J526" s="759"/>
      <c r="K526" s="760"/>
      <c r="L526" s="761"/>
      <c r="M526" s="761"/>
      <c r="N526" s="762"/>
      <c r="O526" s="759"/>
      <c r="P526" s="759"/>
      <c r="Q526" s="760"/>
      <c r="R526" s="761"/>
      <c r="S526" s="761"/>
      <c r="T526" s="762"/>
      <c r="U526" s="759"/>
      <c r="V526" s="759"/>
      <c r="W526" s="760"/>
      <c r="X526" s="761"/>
      <c r="Y526" s="761"/>
      <c r="Z526" s="762"/>
      <c r="AA526" s="759"/>
      <c r="AB526" s="759"/>
      <c r="AC526" s="760"/>
      <c r="AD526" s="761"/>
      <c r="AE526" s="761"/>
      <c r="AF526" s="762"/>
      <c r="AG526" s="759"/>
      <c r="AH526" s="759"/>
      <c r="AI526" s="760"/>
      <c r="AJ526" s="761"/>
      <c r="AK526" s="761"/>
      <c r="AL526" s="762"/>
      <c r="AM526" s="763"/>
      <c r="AN526" s="763"/>
      <c r="AO526" s="764"/>
    </row>
    <row r="527">
      <c r="A527" s="602" t="s">
        <v>1190</v>
      </c>
      <c r="B527" s="758"/>
      <c r="C527" s="759"/>
      <c r="D527" s="759"/>
      <c r="E527" s="760"/>
      <c r="F527" s="761"/>
      <c r="G527" s="761"/>
      <c r="H527" s="762"/>
      <c r="I527" s="759"/>
      <c r="J527" s="759"/>
      <c r="K527" s="760"/>
      <c r="L527" s="761"/>
      <c r="M527" s="761"/>
      <c r="N527" s="762"/>
      <c r="O527" s="759"/>
      <c r="P527" s="759"/>
      <c r="Q527" s="760"/>
      <c r="R527" s="761"/>
      <c r="S527" s="761"/>
      <c r="T527" s="762"/>
      <c r="U527" s="759"/>
      <c r="V527" s="759"/>
      <c r="W527" s="760"/>
      <c r="X527" s="761"/>
      <c r="Y527" s="761"/>
      <c r="Z527" s="762"/>
      <c r="AA527" s="759"/>
      <c r="AB527" s="759"/>
      <c r="AC527" s="760"/>
      <c r="AD527" s="761"/>
      <c r="AE527" s="761"/>
      <c r="AF527" s="762"/>
      <c r="AG527" s="759"/>
      <c r="AH527" s="759"/>
      <c r="AI527" s="760"/>
      <c r="AJ527" s="761"/>
      <c r="AK527" s="761"/>
      <c r="AL527" s="762"/>
      <c r="AM527" s="763"/>
      <c r="AN527" s="763"/>
      <c r="AO527" s="764"/>
    </row>
    <row r="528">
      <c r="A528" s="602" t="s">
        <v>1190</v>
      </c>
      <c r="B528" s="758"/>
      <c r="C528" s="759"/>
      <c r="D528" s="759"/>
      <c r="E528" s="760"/>
      <c r="F528" s="761"/>
      <c r="G528" s="761"/>
      <c r="H528" s="762"/>
      <c r="I528" s="759"/>
      <c r="J528" s="759"/>
      <c r="K528" s="760"/>
      <c r="L528" s="761"/>
      <c r="M528" s="761"/>
      <c r="N528" s="762"/>
      <c r="O528" s="759"/>
      <c r="P528" s="759"/>
      <c r="Q528" s="760"/>
      <c r="R528" s="761"/>
      <c r="S528" s="761"/>
      <c r="T528" s="762"/>
      <c r="U528" s="759"/>
      <c r="V528" s="759"/>
      <c r="W528" s="760"/>
      <c r="X528" s="761"/>
      <c r="Y528" s="761"/>
      <c r="Z528" s="762"/>
      <c r="AA528" s="759"/>
      <c r="AB528" s="759"/>
      <c r="AC528" s="760"/>
      <c r="AD528" s="761"/>
      <c r="AE528" s="761"/>
      <c r="AF528" s="762"/>
      <c r="AG528" s="759"/>
      <c r="AH528" s="759"/>
      <c r="AI528" s="760"/>
      <c r="AJ528" s="761"/>
      <c r="AK528" s="761"/>
      <c r="AL528" s="762"/>
      <c r="AM528" s="763"/>
      <c r="AN528" s="763"/>
      <c r="AO528" s="764"/>
    </row>
    <row r="529">
      <c r="A529" s="602" t="s">
        <v>1190</v>
      </c>
      <c r="B529" s="758"/>
      <c r="C529" s="759"/>
      <c r="D529" s="759"/>
      <c r="E529" s="760"/>
      <c r="F529" s="761"/>
      <c r="G529" s="761"/>
      <c r="H529" s="762"/>
      <c r="I529" s="759"/>
      <c r="J529" s="759"/>
      <c r="K529" s="760"/>
      <c r="L529" s="761"/>
      <c r="M529" s="761"/>
      <c r="N529" s="762"/>
      <c r="O529" s="759"/>
      <c r="P529" s="759"/>
      <c r="Q529" s="760"/>
      <c r="R529" s="761"/>
      <c r="S529" s="761"/>
      <c r="T529" s="762"/>
      <c r="U529" s="759"/>
      <c r="V529" s="759"/>
      <c r="W529" s="760"/>
      <c r="X529" s="761"/>
      <c r="Y529" s="761"/>
      <c r="Z529" s="762"/>
      <c r="AA529" s="759"/>
      <c r="AB529" s="759"/>
      <c r="AC529" s="760"/>
      <c r="AD529" s="761"/>
      <c r="AE529" s="761"/>
      <c r="AF529" s="762"/>
      <c r="AG529" s="759"/>
      <c r="AH529" s="759"/>
      <c r="AI529" s="760"/>
      <c r="AJ529" s="761"/>
      <c r="AK529" s="761"/>
      <c r="AL529" s="762"/>
      <c r="AM529" s="763"/>
      <c r="AN529" s="763"/>
      <c r="AO529" s="764"/>
    </row>
    <row r="530">
      <c r="A530" s="602" t="s">
        <v>1190</v>
      </c>
      <c r="B530" s="758"/>
      <c r="C530" s="759"/>
      <c r="D530" s="759"/>
      <c r="E530" s="760"/>
      <c r="F530" s="761"/>
      <c r="G530" s="761"/>
      <c r="H530" s="762"/>
      <c r="I530" s="759"/>
      <c r="J530" s="759"/>
      <c r="K530" s="760"/>
      <c r="L530" s="761"/>
      <c r="M530" s="761"/>
      <c r="N530" s="762"/>
      <c r="O530" s="759"/>
      <c r="P530" s="759"/>
      <c r="Q530" s="760"/>
      <c r="R530" s="761"/>
      <c r="S530" s="761"/>
      <c r="T530" s="762"/>
      <c r="U530" s="759"/>
      <c r="V530" s="759"/>
      <c r="W530" s="760"/>
      <c r="X530" s="761"/>
      <c r="Y530" s="761"/>
      <c r="Z530" s="762"/>
      <c r="AA530" s="759"/>
      <c r="AB530" s="759"/>
      <c r="AC530" s="760"/>
      <c r="AD530" s="761"/>
      <c r="AE530" s="761"/>
      <c r="AF530" s="762"/>
      <c r="AG530" s="759"/>
      <c r="AH530" s="759"/>
      <c r="AI530" s="760"/>
      <c r="AJ530" s="761"/>
      <c r="AK530" s="761"/>
      <c r="AL530" s="762"/>
      <c r="AM530" s="763"/>
      <c r="AN530" s="763"/>
      <c r="AO530" s="764"/>
    </row>
    <row r="531">
      <c r="A531" s="602" t="s">
        <v>1190</v>
      </c>
      <c r="B531" s="758"/>
      <c r="C531" s="759"/>
      <c r="D531" s="759"/>
      <c r="E531" s="760"/>
      <c r="F531" s="761"/>
      <c r="G531" s="761"/>
      <c r="H531" s="762"/>
      <c r="I531" s="759"/>
      <c r="J531" s="759"/>
      <c r="K531" s="760"/>
      <c r="L531" s="761"/>
      <c r="M531" s="761"/>
      <c r="N531" s="762"/>
      <c r="O531" s="759"/>
      <c r="P531" s="759"/>
      <c r="Q531" s="760"/>
      <c r="R531" s="761"/>
      <c r="S531" s="761"/>
      <c r="T531" s="762"/>
      <c r="U531" s="759"/>
      <c r="V531" s="759"/>
      <c r="W531" s="760"/>
      <c r="X531" s="761"/>
      <c r="Y531" s="761"/>
      <c r="Z531" s="762"/>
      <c r="AA531" s="759"/>
      <c r="AB531" s="759"/>
      <c r="AC531" s="760"/>
      <c r="AD531" s="761"/>
      <c r="AE531" s="761"/>
      <c r="AF531" s="762"/>
      <c r="AG531" s="759"/>
      <c r="AH531" s="759"/>
      <c r="AI531" s="760"/>
      <c r="AJ531" s="761"/>
      <c r="AK531" s="761"/>
      <c r="AL531" s="762"/>
      <c r="AM531" s="763"/>
      <c r="AN531" s="763"/>
      <c r="AO531" s="764"/>
    </row>
    <row r="532">
      <c r="A532" s="602" t="s">
        <v>1190</v>
      </c>
      <c r="B532" s="758"/>
      <c r="C532" s="759"/>
      <c r="D532" s="759"/>
      <c r="E532" s="760"/>
      <c r="F532" s="761"/>
      <c r="G532" s="761"/>
      <c r="H532" s="762"/>
      <c r="I532" s="759"/>
      <c r="J532" s="759"/>
      <c r="K532" s="760"/>
      <c r="L532" s="761"/>
      <c r="M532" s="761"/>
      <c r="N532" s="762"/>
      <c r="O532" s="759"/>
      <c r="P532" s="759"/>
      <c r="Q532" s="760"/>
      <c r="R532" s="761"/>
      <c r="S532" s="761"/>
      <c r="T532" s="762"/>
      <c r="U532" s="759"/>
      <c r="V532" s="759"/>
      <c r="W532" s="760"/>
      <c r="X532" s="761"/>
      <c r="Y532" s="761"/>
      <c r="Z532" s="762"/>
      <c r="AA532" s="759"/>
      <c r="AB532" s="759"/>
      <c r="AC532" s="760"/>
      <c r="AD532" s="761"/>
      <c r="AE532" s="761"/>
      <c r="AF532" s="762"/>
      <c r="AG532" s="759"/>
      <c r="AH532" s="759"/>
      <c r="AI532" s="760"/>
      <c r="AJ532" s="761"/>
      <c r="AK532" s="761"/>
      <c r="AL532" s="762"/>
      <c r="AM532" s="763"/>
      <c r="AN532" s="763"/>
      <c r="AO532" s="764"/>
    </row>
    <row r="533">
      <c r="A533" s="602" t="s">
        <v>1190</v>
      </c>
      <c r="B533" s="758"/>
      <c r="C533" s="759"/>
      <c r="D533" s="759"/>
      <c r="E533" s="760"/>
      <c r="F533" s="761"/>
      <c r="G533" s="761"/>
      <c r="H533" s="762"/>
      <c r="I533" s="759"/>
      <c r="J533" s="759"/>
      <c r="K533" s="760"/>
      <c r="L533" s="761"/>
      <c r="M533" s="761"/>
      <c r="N533" s="762"/>
      <c r="O533" s="759"/>
      <c r="P533" s="759"/>
      <c r="Q533" s="760"/>
      <c r="R533" s="761"/>
      <c r="S533" s="761"/>
      <c r="T533" s="762"/>
      <c r="U533" s="759"/>
      <c r="V533" s="759"/>
      <c r="W533" s="760"/>
      <c r="X533" s="761"/>
      <c r="Y533" s="761"/>
      <c r="Z533" s="762"/>
      <c r="AA533" s="759"/>
      <c r="AB533" s="759"/>
      <c r="AC533" s="760"/>
      <c r="AD533" s="761"/>
      <c r="AE533" s="761"/>
      <c r="AF533" s="762"/>
      <c r="AG533" s="759"/>
      <c r="AH533" s="759"/>
      <c r="AI533" s="760"/>
      <c r="AJ533" s="761"/>
      <c r="AK533" s="761"/>
      <c r="AL533" s="762"/>
      <c r="AM533" s="763"/>
      <c r="AN533" s="763"/>
      <c r="AO533" s="764"/>
    </row>
    <row r="534">
      <c r="A534" s="602" t="s">
        <v>1190</v>
      </c>
      <c r="B534" s="758"/>
      <c r="C534" s="759"/>
      <c r="D534" s="759"/>
      <c r="E534" s="760"/>
      <c r="F534" s="761"/>
      <c r="G534" s="761"/>
      <c r="H534" s="762"/>
      <c r="I534" s="759"/>
      <c r="J534" s="759"/>
      <c r="K534" s="760"/>
      <c r="L534" s="761"/>
      <c r="M534" s="761"/>
      <c r="N534" s="762"/>
      <c r="O534" s="759"/>
      <c r="P534" s="759"/>
      <c r="Q534" s="760"/>
      <c r="R534" s="761"/>
      <c r="S534" s="761"/>
      <c r="T534" s="762"/>
      <c r="U534" s="759"/>
      <c r="V534" s="759"/>
      <c r="W534" s="760"/>
      <c r="X534" s="761"/>
      <c r="Y534" s="761"/>
      <c r="Z534" s="762"/>
      <c r="AA534" s="759"/>
      <c r="AB534" s="759"/>
      <c r="AC534" s="760"/>
      <c r="AD534" s="761"/>
      <c r="AE534" s="761"/>
      <c r="AF534" s="762"/>
      <c r="AG534" s="759"/>
      <c r="AH534" s="759"/>
      <c r="AI534" s="760"/>
      <c r="AJ534" s="761"/>
      <c r="AK534" s="761"/>
      <c r="AL534" s="762"/>
      <c r="AM534" s="763"/>
      <c r="AN534" s="763"/>
      <c r="AO534" s="764"/>
    </row>
    <row r="535">
      <c r="A535" s="602" t="s">
        <v>1190</v>
      </c>
      <c r="B535" s="758"/>
      <c r="C535" s="759"/>
      <c r="D535" s="759"/>
      <c r="E535" s="760"/>
      <c r="F535" s="761"/>
      <c r="G535" s="761"/>
      <c r="H535" s="762"/>
      <c r="I535" s="759"/>
      <c r="J535" s="759"/>
      <c r="K535" s="760"/>
      <c r="L535" s="761"/>
      <c r="M535" s="761"/>
      <c r="N535" s="762"/>
      <c r="O535" s="759"/>
      <c r="P535" s="759"/>
      <c r="Q535" s="760"/>
      <c r="R535" s="761"/>
      <c r="S535" s="761"/>
      <c r="T535" s="762"/>
      <c r="U535" s="759"/>
      <c r="V535" s="759"/>
      <c r="W535" s="760"/>
      <c r="X535" s="761"/>
      <c r="Y535" s="761"/>
      <c r="Z535" s="762"/>
      <c r="AA535" s="759"/>
      <c r="AB535" s="759"/>
      <c r="AC535" s="760"/>
      <c r="AD535" s="761"/>
      <c r="AE535" s="761"/>
      <c r="AF535" s="762"/>
      <c r="AG535" s="759"/>
      <c r="AH535" s="759"/>
      <c r="AI535" s="760"/>
      <c r="AJ535" s="761"/>
      <c r="AK535" s="761"/>
      <c r="AL535" s="762"/>
      <c r="AM535" s="763"/>
      <c r="AN535" s="763"/>
      <c r="AO535" s="764"/>
    </row>
    <row r="536">
      <c r="A536" s="602" t="s">
        <v>1190</v>
      </c>
      <c r="B536" s="758"/>
      <c r="C536" s="759"/>
      <c r="D536" s="759"/>
      <c r="E536" s="760"/>
      <c r="F536" s="761"/>
      <c r="G536" s="761"/>
      <c r="H536" s="762"/>
      <c r="I536" s="759"/>
      <c r="J536" s="759"/>
      <c r="K536" s="760"/>
      <c r="L536" s="761"/>
      <c r="M536" s="761"/>
      <c r="N536" s="762"/>
      <c r="O536" s="759"/>
      <c r="P536" s="759"/>
      <c r="Q536" s="760"/>
      <c r="R536" s="761"/>
      <c r="S536" s="761"/>
      <c r="T536" s="762"/>
      <c r="U536" s="759"/>
      <c r="V536" s="759"/>
      <c r="W536" s="760"/>
      <c r="X536" s="761"/>
      <c r="Y536" s="761"/>
      <c r="Z536" s="762"/>
      <c r="AA536" s="759"/>
      <c r="AB536" s="759"/>
      <c r="AC536" s="760"/>
      <c r="AD536" s="761"/>
      <c r="AE536" s="761"/>
      <c r="AF536" s="762"/>
      <c r="AG536" s="759"/>
      <c r="AH536" s="759"/>
      <c r="AI536" s="760"/>
      <c r="AJ536" s="761"/>
      <c r="AK536" s="761"/>
      <c r="AL536" s="762"/>
      <c r="AM536" s="763"/>
      <c r="AN536" s="763"/>
      <c r="AO536" s="764"/>
    </row>
    <row r="537">
      <c r="A537" s="602" t="s">
        <v>1190</v>
      </c>
      <c r="B537" s="758"/>
      <c r="C537" s="759"/>
      <c r="D537" s="759"/>
      <c r="E537" s="760"/>
      <c r="F537" s="761"/>
      <c r="G537" s="761"/>
      <c r="H537" s="762"/>
      <c r="I537" s="759"/>
      <c r="J537" s="759"/>
      <c r="K537" s="760"/>
      <c r="L537" s="761"/>
      <c r="M537" s="761"/>
      <c r="N537" s="762"/>
      <c r="O537" s="759"/>
      <c r="P537" s="759"/>
      <c r="Q537" s="760"/>
      <c r="R537" s="761"/>
      <c r="S537" s="761"/>
      <c r="T537" s="762"/>
      <c r="U537" s="759"/>
      <c r="V537" s="759"/>
      <c r="W537" s="760"/>
      <c r="X537" s="761"/>
      <c r="Y537" s="761"/>
      <c r="Z537" s="762"/>
      <c r="AA537" s="759"/>
      <c r="AB537" s="759"/>
      <c r="AC537" s="760"/>
      <c r="AD537" s="761"/>
      <c r="AE537" s="761"/>
      <c r="AF537" s="762"/>
      <c r="AG537" s="759"/>
      <c r="AH537" s="759"/>
      <c r="AI537" s="760"/>
      <c r="AJ537" s="761"/>
      <c r="AK537" s="761"/>
      <c r="AL537" s="762"/>
      <c r="AM537" s="763"/>
      <c r="AN537" s="763"/>
      <c r="AO537" s="764"/>
    </row>
    <row r="538">
      <c r="A538" s="602" t="s">
        <v>1190</v>
      </c>
      <c r="B538" s="758"/>
      <c r="C538" s="759"/>
      <c r="D538" s="759"/>
      <c r="E538" s="760"/>
      <c r="F538" s="761"/>
      <c r="G538" s="761"/>
      <c r="H538" s="762"/>
      <c r="I538" s="759"/>
      <c r="J538" s="759"/>
      <c r="K538" s="760"/>
      <c r="L538" s="761"/>
      <c r="M538" s="761"/>
      <c r="N538" s="762"/>
      <c r="O538" s="759"/>
      <c r="P538" s="759"/>
      <c r="Q538" s="760"/>
      <c r="R538" s="761"/>
      <c r="S538" s="761"/>
      <c r="T538" s="762"/>
      <c r="U538" s="759"/>
      <c r="V538" s="759"/>
      <c r="W538" s="760"/>
      <c r="X538" s="761"/>
      <c r="Y538" s="761"/>
      <c r="Z538" s="762"/>
      <c r="AA538" s="759"/>
      <c r="AB538" s="759"/>
      <c r="AC538" s="760"/>
      <c r="AD538" s="761"/>
      <c r="AE538" s="761"/>
      <c r="AF538" s="762"/>
      <c r="AG538" s="759"/>
      <c r="AH538" s="759"/>
      <c r="AI538" s="760"/>
      <c r="AJ538" s="761"/>
      <c r="AK538" s="761"/>
      <c r="AL538" s="762"/>
      <c r="AM538" s="763"/>
      <c r="AN538" s="763"/>
      <c r="AO538" s="764"/>
    </row>
    <row r="539">
      <c r="A539" s="602" t="s">
        <v>1190</v>
      </c>
      <c r="B539" s="758"/>
      <c r="C539" s="759"/>
      <c r="D539" s="759"/>
      <c r="E539" s="760"/>
      <c r="F539" s="761"/>
      <c r="G539" s="761"/>
      <c r="H539" s="762"/>
      <c r="I539" s="759"/>
      <c r="J539" s="759"/>
      <c r="K539" s="760"/>
      <c r="L539" s="761"/>
      <c r="M539" s="761"/>
      <c r="N539" s="762"/>
      <c r="O539" s="759"/>
      <c r="P539" s="759"/>
      <c r="Q539" s="760"/>
      <c r="R539" s="761"/>
      <c r="S539" s="761"/>
      <c r="T539" s="762"/>
      <c r="U539" s="759"/>
      <c r="V539" s="759"/>
      <c r="W539" s="760"/>
      <c r="X539" s="761"/>
      <c r="Y539" s="761"/>
      <c r="Z539" s="762"/>
      <c r="AA539" s="759"/>
      <c r="AB539" s="759"/>
      <c r="AC539" s="760"/>
      <c r="AD539" s="761"/>
      <c r="AE539" s="761"/>
      <c r="AF539" s="762"/>
      <c r="AG539" s="759"/>
      <c r="AH539" s="759"/>
      <c r="AI539" s="760"/>
      <c r="AJ539" s="761"/>
      <c r="AK539" s="761"/>
      <c r="AL539" s="762"/>
      <c r="AM539" s="763"/>
      <c r="AN539" s="763"/>
      <c r="AO539" s="764"/>
    </row>
    <row r="540">
      <c r="A540" s="602" t="s">
        <v>1190</v>
      </c>
      <c r="B540" s="758"/>
      <c r="C540" s="759"/>
      <c r="D540" s="759"/>
      <c r="E540" s="760"/>
      <c r="F540" s="761"/>
      <c r="G540" s="761"/>
      <c r="H540" s="762"/>
      <c r="I540" s="759"/>
      <c r="J540" s="759"/>
      <c r="K540" s="760"/>
      <c r="L540" s="761"/>
      <c r="M540" s="761"/>
      <c r="N540" s="762"/>
      <c r="O540" s="759"/>
      <c r="P540" s="759"/>
      <c r="Q540" s="760"/>
      <c r="R540" s="761"/>
      <c r="S540" s="761"/>
      <c r="T540" s="762"/>
      <c r="U540" s="759"/>
      <c r="V540" s="759"/>
      <c r="W540" s="760"/>
      <c r="X540" s="761"/>
      <c r="Y540" s="761"/>
      <c r="Z540" s="762"/>
      <c r="AA540" s="759"/>
      <c r="AB540" s="759"/>
      <c r="AC540" s="760"/>
      <c r="AD540" s="761"/>
      <c r="AE540" s="761"/>
      <c r="AF540" s="762"/>
      <c r="AG540" s="759"/>
      <c r="AH540" s="759"/>
      <c r="AI540" s="760"/>
      <c r="AJ540" s="761"/>
      <c r="AK540" s="761"/>
      <c r="AL540" s="762"/>
      <c r="AM540" s="763"/>
      <c r="AN540" s="763"/>
      <c r="AO540" s="764"/>
    </row>
    <row r="541">
      <c r="A541" s="602" t="s">
        <v>1190</v>
      </c>
      <c r="B541" s="758"/>
      <c r="C541" s="759"/>
      <c r="D541" s="759"/>
      <c r="E541" s="760"/>
      <c r="F541" s="761"/>
      <c r="G541" s="761"/>
      <c r="H541" s="762"/>
      <c r="I541" s="759"/>
      <c r="J541" s="759"/>
      <c r="K541" s="760"/>
      <c r="L541" s="761"/>
      <c r="M541" s="761"/>
      <c r="N541" s="762"/>
      <c r="O541" s="759"/>
      <c r="P541" s="759"/>
      <c r="Q541" s="760"/>
      <c r="R541" s="761"/>
      <c r="S541" s="761"/>
      <c r="T541" s="762"/>
      <c r="U541" s="759"/>
      <c r="V541" s="759"/>
      <c r="W541" s="760"/>
      <c r="X541" s="761"/>
      <c r="Y541" s="761"/>
      <c r="Z541" s="762"/>
      <c r="AA541" s="759"/>
      <c r="AB541" s="759"/>
      <c r="AC541" s="760"/>
      <c r="AD541" s="761"/>
      <c r="AE541" s="761"/>
      <c r="AF541" s="762"/>
      <c r="AG541" s="759"/>
      <c r="AH541" s="759"/>
      <c r="AI541" s="760"/>
      <c r="AJ541" s="761"/>
      <c r="AK541" s="761"/>
      <c r="AL541" s="762"/>
      <c r="AM541" s="763"/>
      <c r="AN541" s="763"/>
      <c r="AO541" s="764"/>
    </row>
    <row r="542">
      <c r="A542" s="602" t="s">
        <v>1190</v>
      </c>
      <c r="B542" s="758"/>
      <c r="C542" s="759"/>
      <c r="D542" s="759"/>
      <c r="E542" s="760"/>
      <c r="F542" s="761"/>
      <c r="G542" s="761"/>
      <c r="H542" s="762"/>
      <c r="I542" s="759"/>
      <c r="J542" s="759"/>
      <c r="K542" s="760"/>
      <c r="L542" s="761"/>
      <c r="M542" s="761"/>
      <c r="N542" s="762"/>
      <c r="O542" s="759"/>
      <c r="P542" s="759"/>
      <c r="Q542" s="760"/>
      <c r="R542" s="761"/>
      <c r="S542" s="761"/>
      <c r="T542" s="762"/>
      <c r="U542" s="759"/>
      <c r="V542" s="759"/>
      <c r="W542" s="760"/>
      <c r="X542" s="761"/>
      <c r="Y542" s="761"/>
      <c r="Z542" s="762"/>
      <c r="AA542" s="759"/>
      <c r="AB542" s="759"/>
      <c r="AC542" s="760"/>
      <c r="AD542" s="761"/>
      <c r="AE542" s="761"/>
      <c r="AF542" s="762"/>
      <c r="AG542" s="759"/>
      <c r="AH542" s="759"/>
      <c r="AI542" s="760"/>
      <c r="AJ542" s="761"/>
      <c r="AK542" s="761"/>
      <c r="AL542" s="762"/>
      <c r="AM542" s="763"/>
      <c r="AN542" s="763"/>
      <c r="AO542" s="764"/>
    </row>
    <row r="543">
      <c r="A543" s="602" t="s">
        <v>1190</v>
      </c>
      <c r="B543" s="758"/>
      <c r="C543" s="759"/>
      <c r="D543" s="759"/>
      <c r="E543" s="760"/>
      <c r="F543" s="761"/>
      <c r="G543" s="761"/>
      <c r="H543" s="762"/>
      <c r="I543" s="759"/>
      <c r="J543" s="759"/>
      <c r="K543" s="760"/>
      <c r="L543" s="761"/>
      <c r="M543" s="761"/>
      <c r="N543" s="762"/>
      <c r="O543" s="759"/>
      <c r="P543" s="759"/>
      <c r="Q543" s="760"/>
      <c r="R543" s="761"/>
      <c r="S543" s="761"/>
      <c r="T543" s="762"/>
      <c r="U543" s="759"/>
      <c r="V543" s="759"/>
      <c r="W543" s="760"/>
      <c r="X543" s="761"/>
      <c r="Y543" s="761"/>
      <c r="Z543" s="762"/>
      <c r="AA543" s="759"/>
      <c r="AB543" s="759"/>
      <c r="AC543" s="760"/>
      <c r="AD543" s="761"/>
      <c r="AE543" s="761"/>
      <c r="AF543" s="762"/>
      <c r="AG543" s="759"/>
      <c r="AH543" s="759"/>
      <c r="AI543" s="760"/>
      <c r="AJ543" s="761"/>
      <c r="AK543" s="761"/>
      <c r="AL543" s="762"/>
      <c r="AM543" s="763"/>
      <c r="AN543" s="763"/>
      <c r="AO543" s="764"/>
    </row>
    <row r="544">
      <c r="A544" s="602" t="s">
        <v>1190</v>
      </c>
      <c r="B544" s="758"/>
      <c r="C544" s="759"/>
      <c r="D544" s="759"/>
      <c r="E544" s="760"/>
      <c r="F544" s="761"/>
      <c r="G544" s="761"/>
      <c r="H544" s="762"/>
      <c r="I544" s="759"/>
      <c r="J544" s="759"/>
      <c r="K544" s="760"/>
      <c r="L544" s="761"/>
      <c r="M544" s="761"/>
      <c r="N544" s="762"/>
      <c r="O544" s="759"/>
      <c r="P544" s="759"/>
      <c r="Q544" s="760"/>
      <c r="R544" s="761"/>
      <c r="S544" s="761"/>
      <c r="T544" s="762"/>
      <c r="U544" s="759"/>
      <c r="V544" s="759"/>
      <c r="W544" s="760"/>
      <c r="X544" s="761"/>
      <c r="Y544" s="761"/>
      <c r="Z544" s="762"/>
      <c r="AA544" s="759"/>
      <c r="AB544" s="759"/>
      <c r="AC544" s="760"/>
      <c r="AD544" s="761"/>
      <c r="AE544" s="761"/>
      <c r="AF544" s="762"/>
      <c r="AG544" s="759"/>
      <c r="AH544" s="759"/>
      <c r="AI544" s="760"/>
      <c r="AJ544" s="761"/>
      <c r="AK544" s="761"/>
      <c r="AL544" s="762"/>
      <c r="AM544" s="763"/>
      <c r="AN544" s="763"/>
      <c r="AO544" s="764"/>
    </row>
    <row r="545">
      <c r="A545" s="602" t="s">
        <v>1190</v>
      </c>
      <c r="B545" s="758"/>
      <c r="C545" s="759"/>
      <c r="D545" s="759"/>
      <c r="E545" s="760"/>
      <c r="F545" s="761"/>
      <c r="G545" s="761"/>
      <c r="H545" s="762"/>
      <c r="I545" s="759"/>
      <c r="J545" s="759"/>
      <c r="K545" s="760"/>
      <c r="L545" s="761"/>
      <c r="M545" s="761"/>
      <c r="N545" s="762"/>
      <c r="O545" s="759"/>
      <c r="P545" s="759"/>
      <c r="Q545" s="760"/>
      <c r="R545" s="761"/>
      <c r="S545" s="761"/>
      <c r="T545" s="762"/>
      <c r="U545" s="759"/>
      <c r="V545" s="759"/>
      <c r="W545" s="760"/>
      <c r="X545" s="761"/>
      <c r="Y545" s="761"/>
      <c r="Z545" s="762"/>
      <c r="AA545" s="759"/>
      <c r="AB545" s="759"/>
      <c r="AC545" s="760"/>
      <c r="AD545" s="761"/>
      <c r="AE545" s="761"/>
      <c r="AF545" s="762"/>
      <c r="AG545" s="759"/>
      <c r="AH545" s="759"/>
      <c r="AI545" s="760"/>
      <c r="AJ545" s="761"/>
      <c r="AK545" s="761"/>
      <c r="AL545" s="762"/>
      <c r="AM545" s="763"/>
      <c r="AN545" s="763"/>
      <c r="AO545" s="764"/>
    </row>
    <row r="546">
      <c r="A546" s="602" t="s">
        <v>1190</v>
      </c>
      <c r="B546" s="758"/>
      <c r="C546" s="759"/>
      <c r="D546" s="759"/>
      <c r="E546" s="760"/>
      <c r="F546" s="761"/>
      <c r="G546" s="761"/>
      <c r="H546" s="762"/>
      <c r="I546" s="759"/>
      <c r="J546" s="759"/>
      <c r="K546" s="760"/>
      <c r="L546" s="761"/>
      <c r="M546" s="761"/>
      <c r="N546" s="762"/>
      <c r="O546" s="759"/>
      <c r="P546" s="759"/>
      <c r="Q546" s="760"/>
      <c r="R546" s="761"/>
      <c r="S546" s="761"/>
      <c r="T546" s="762"/>
      <c r="U546" s="759"/>
      <c r="V546" s="759"/>
      <c r="W546" s="760"/>
      <c r="X546" s="761"/>
      <c r="Y546" s="761"/>
      <c r="Z546" s="762"/>
      <c r="AA546" s="759"/>
      <c r="AB546" s="759"/>
      <c r="AC546" s="760"/>
      <c r="AD546" s="761"/>
      <c r="AE546" s="761"/>
      <c r="AF546" s="762"/>
      <c r="AG546" s="759"/>
      <c r="AH546" s="759"/>
      <c r="AI546" s="760"/>
      <c r="AJ546" s="761"/>
      <c r="AK546" s="761"/>
      <c r="AL546" s="762"/>
      <c r="AM546" s="763"/>
      <c r="AN546" s="763"/>
      <c r="AO546" s="764"/>
    </row>
    <row r="547">
      <c r="A547" s="602" t="s">
        <v>1190</v>
      </c>
      <c r="B547" s="758"/>
      <c r="C547" s="759"/>
      <c r="D547" s="759"/>
      <c r="E547" s="760"/>
      <c r="F547" s="761"/>
      <c r="G547" s="761"/>
      <c r="H547" s="762"/>
      <c r="I547" s="759"/>
      <c r="J547" s="759"/>
      <c r="K547" s="760"/>
      <c r="L547" s="761"/>
      <c r="M547" s="761"/>
      <c r="N547" s="762"/>
      <c r="O547" s="759"/>
      <c r="P547" s="759"/>
      <c r="Q547" s="760"/>
      <c r="R547" s="761"/>
      <c r="S547" s="761"/>
      <c r="T547" s="762"/>
      <c r="U547" s="759"/>
      <c r="V547" s="759"/>
      <c r="W547" s="760"/>
      <c r="X547" s="761"/>
      <c r="Y547" s="761"/>
      <c r="Z547" s="762"/>
      <c r="AA547" s="759"/>
      <c r="AB547" s="759"/>
      <c r="AC547" s="760"/>
      <c r="AD547" s="761"/>
      <c r="AE547" s="761"/>
      <c r="AF547" s="762"/>
      <c r="AG547" s="759"/>
      <c r="AH547" s="759"/>
      <c r="AI547" s="760"/>
      <c r="AJ547" s="761"/>
      <c r="AK547" s="761"/>
      <c r="AL547" s="762"/>
      <c r="AM547" s="763"/>
      <c r="AN547" s="763"/>
      <c r="AO547" s="764"/>
    </row>
    <row r="548">
      <c r="A548" s="602" t="s">
        <v>1190</v>
      </c>
      <c r="B548" s="758"/>
      <c r="C548" s="759"/>
      <c r="D548" s="759"/>
      <c r="E548" s="760"/>
      <c r="F548" s="761"/>
      <c r="G548" s="761"/>
      <c r="H548" s="762"/>
      <c r="I548" s="759"/>
      <c r="J548" s="759"/>
      <c r="K548" s="760"/>
      <c r="L548" s="761"/>
      <c r="M548" s="761"/>
      <c r="N548" s="762"/>
      <c r="O548" s="759"/>
      <c r="P548" s="759"/>
      <c r="Q548" s="760"/>
      <c r="R548" s="761"/>
      <c r="S548" s="761"/>
      <c r="T548" s="762"/>
      <c r="U548" s="759"/>
      <c r="V548" s="759"/>
      <c r="W548" s="760"/>
      <c r="X548" s="761"/>
      <c r="Y548" s="761"/>
      <c r="Z548" s="762"/>
      <c r="AA548" s="759"/>
      <c r="AB548" s="759"/>
      <c r="AC548" s="760"/>
      <c r="AD548" s="761"/>
      <c r="AE548" s="761"/>
      <c r="AF548" s="762"/>
      <c r="AG548" s="759"/>
      <c r="AH548" s="759"/>
      <c r="AI548" s="760"/>
      <c r="AJ548" s="761"/>
      <c r="AK548" s="761"/>
      <c r="AL548" s="762"/>
      <c r="AM548" s="763"/>
      <c r="AN548" s="763"/>
      <c r="AO548" s="764"/>
    </row>
    <row r="549">
      <c r="A549" s="602" t="s">
        <v>1190</v>
      </c>
      <c r="B549" s="758"/>
      <c r="C549" s="759"/>
      <c r="D549" s="759"/>
      <c r="E549" s="760"/>
      <c r="F549" s="761"/>
      <c r="G549" s="761"/>
      <c r="H549" s="762"/>
      <c r="I549" s="759"/>
      <c r="J549" s="759"/>
      <c r="K549" s="760"/>
      <c r="L549" s="761"/>
      <c r="M549" s="761"/>
      <c r="N549" s="762"/>
      <c r="O549" s="759"/>
      <c r="P549" s="759"/>
      <c r="Q549" s="760"/>
      <c r="R549" s="761"/>
      <c r="S549" s="761"/>
      <c r="T549" s="762"/>
      <c r="U549" s="759"/>
      <c r="V549" s="759"/>
      <c r="W549" s="760"/>
      <c r="X549" s="761"/>
      <c r="Y549" s="761"/>
      <c r="Z549" s="762"/>
      <c r="AA549" s="759"/>
      <c r="AB549" s="759"/>
      <c r="AC549" s="760"/>
      <c r="AD549" s="761"/>
      <c r="AE549" s="761"/>
      <c r="AF549" s="762"/>
      <c r="AG549" s="759"/>
      <c r="AH549" s="759"/>
      <c r="AI549" s="760"/>
      <c r="AJ549" s="761"/>
      <c r="AK549" s="761"/>
      <c r="AL549" s="762"/>
      <c r="AM549" s="763"/>
      <c r="AN549" s="763"/>
      <c r="AO549" s="764"/>
    </row>
    <row r="550">
      <c r="A550" s="602" t="s">
        <v>1190</v>
      </c>
      <c r="B550" s="758"/>
      <c r="C550" s="759"/>
      <c r="D550" s="759"/>
      <c r="E550" s="760"/>
      <c r="F550" s="761"/>
      <c r="G550" s="761"/>
      <c r="H550" s="762"/>
      <c r="I550" s="759"/>
      <c r="J550" s="759"/>
      <c r="K550" s="760"/>
      <c r="L550" s="761"/>
      <c r="M550" s="761"/>
      <c r="N550" s="762"/>
      <c r="O550" s="759"/>
      <c r="P550" s="759"/>
      <c r="Q550" s="760"/>
      <c r="R550" s="761"/>
      <c r="S550" s="761"/>
      <c r="T550" s="762"/>
      <c r="U550" s="759"/>
      <c r="V550" s="759"/>
      <c r="W550" s="760"/>
      <c r="X550" s="761"/>
      <c r="Y550" s="761"/>
      <c r="Z550" s="762"/>
      <c r="AA550" s="759"/>
      <c r="AB550" s="759"/>
      <c r="AC550" s="760"/>
      <c r="AD550" s="761"/>
      <c r="AE550" s="761"/>
      <c r="AF550" s="762"/>
      <c r="AG550" s="759"/>
      <c r="AH550" s="759"/>
      <c r="AI550" s="760"/>
      <c r="AJ550" s="761"/>
      <c r="AK550" s="761"/>
      <c r="AL550" s="762"/>
      <c r="AM550" s="763"/>
      <c r="AN550" s="763"/>
      <c r="AO550" s="764"/>
    </row>
    <row r="551">
      <c r="A551" s="602" t="s">
        <v>1190</v>
      </c>
      <c r="B551" s="758"/>
      <c r="C551" s="759"/>
      <c r="D551" s="759"/>
      <c r="E551" s="760"/>
      <c r="F551" s="761"/>
      <c r="G551" s="761"/>
      <c r="H551" s="762"/>
      <c r="I551" s="759"/>
      <c r="J551" s="759"/>
      <c r="K551" s="760"/>
      <c r="L551" s="761"/>
      <c r="M551" s="761"/>
      <c r="N551" s="762"/>
      <c r="O551" s="759"/>
      <c r="P551" s="759"/>
      <c r="Q551" s="760"/>
      <c r="R551" s="761"/>
      <c r="S551" s="761"/>
      <c r="T551" s="762"/>
      <c r="U551" s="759"/>
      <c r="V551" s="759"/>
      <c r="W551" s="760"/>
      <c r="X551" s="761"/>
      <c r="Y551" s="761"/>
      <c r="Z551" s="762"/>
      <c r="AA551" s="759"/>
      <c r="AB551" s="759"/>
      <c r="AC551" s="760"/>
      <c r="AD551" s="761"/>
      <c r="AE551" s="761"/>
      <c r="AF551" s="762"/>
      <c r="AG551" s="759"/>
      <c r="AH551" s="759"/>
      <c r="AI551" s="760"/>
      <c r="AJ551" s="761"/>
      <c r="AK551" s="761"/>
      <c r="AL551" s="762"/>
      <c r="AM551" s="763"/>
      <c r="AN551" s="763"/>
      <c r="AO551" s="764"/>
    </row>
    <row r="552">
      <c r="A552" s="602" t="s">
        <v>1190</v>
      </c>
      <c r="B552" s="758"/>
      <c r="C552" s="759"/>
      <c r="D552" s="759"/>
      <c r="E552" s="760"/>
      <c r="F552" s="761"/>
      <c r="G552" s="761"/>
      <c r="H552" s="762"/>
      <c r="I552" s="759"/>
      <c r="J552" s="759"/>
      <c r="K552" s="760"/>
      <c r="L552" s="761"/>
      <c r="M552" s="761"/>
      <c r="N552" s="762"/>
      <c r="O552" s="759"/>
      <c r="P552" s="759"/>
      <c r="Q552" s="760"/>
      <c r="R552" s="761"/>
      <c r="S552" s="761"/>
      <c r="T552" s="762"/>
      <c r="U552" s="759"/>
      <c r="V552" s="759"/>
      <c r="W552" s="760"/>
      <c r="X552" s="761"/>
      <c r="Y552" s="761"/>
      <c r="Z552" s="762"/>
      <c r="AA552" s="759"/>
      <c r="AB552" s="759"/>
      <c r="AC552" s="760"/>
      <c r="AD552" s="761"/>
      <c r="AE552" s="761"/>
      <c r="AF552" s="762"/>
      <c r="AG552" s="759"/>
      <c r="AH552" s="759"/>
      <c r="AI552" s="760"/>
      <c r="AJ552" s="761"/>
      <c r="AK552" s="761"/>
      <c r="AL552" s="762"/>
      <c r="AM552" s="763"/>
      <c r="AN552" s="763"/>
      <c r="AO552" s="764"/>
    </row>
    <row r="553">
      <c r="A553" s="602" t="s">
        <v>1190</v>
      </c>
      <c r="B553" s="758"/>
      <c r="C553" s="759"/>
      <c r="D553" s="759"/>
      <c r="E553" s="760"/>
      <c r="F553" s="761"/>
      <c r="G553" s="761"/>
      <c r="H553" s="762"/>
      <c r="I553" s="759"/>
      <c r="J553" s="759"/>
      <c r="K553" s="760"/>
      <c r="L553" s="761"/>
      <c r="M553" s="761"/>
      <c r="N553" s="762"/>
      <c r="O553" s="759"/>
      <c r="P553" s="759"/>
      <c r="Q553" s="760"/>
      <c r="R553" s="761"/>
      <c r="S553" s="761"/>
      <c r="T553" s="762"/>
      <c r="U553" s="759"/>
      <c r="V553" s="759"/>
      <c r="W553" s="760"/>
      <c r="X553" s="761"/>
      <c r="Y553" s="761"/>
      <c r="Z553" s="762"/>
      <c r="AA553" s="759"/>
      <c r="AB553" s="759"/>
      <c r="AC553" s="760"/>
      <c r="AD553" s="761"/>
      <c r="AE553" s="761"/>
      <c r="AF553" s="762"/>
      <c r="AG553" s="759"/>
      <c r="AH553" s="759"/>
      <c r="AI553" s="760"/>
      <c r="AJ553" s="761"/>
      <c r="AK553" s="761"/>
      <c r="AL553" s="762"/>
      <c r="AM553" s="763"/>
      <c r="AN553" s="763"/>
      <c r="AO553" s="764"/>
    </row>
    <row r="554">
      <c r="A554" s="602" t="s">
        <v>1190</v>
      </c>
      <c r="B554" s="758"/>
      <c r="C554" s="759"/>
      <c r="D554" s="759"/>
      <c r="E554" s="760"/>
      <c r="F554" s="761"/>
      <c r="G554" s="761"/>
      <c r="H554" s="762"/>
      <c r="I554" s="759"/>
      <c r="J554" s="759"/>
      <c r="K554" s="760"/>
      <c r="L554" s="761"/>
      <c r="M554" s="761"/>
      <c r="N554" s="762"/>
      <c r="O554" s="759"/>
      <c r="P554" s="759"/>
      <c r="Q554" s="760"/>
      <c r="R554" s="761"/>
      <c r="S554" s="761"/>
      <c r="T554" s="762"/>
      <c r="U554" s="759"/>
      <c r="V554" s="759"/>
      <c r="W554" s="760"/>
      <c r="X554" s="761"/>
      <c r="Y554" s="761"/>
      <c r="Z554" s="762"/>
      <c r="AA554" s="759"/>
      <c r="AB554" s="759"/>
      <c r="AC554" s="760"/>
      <c r="AD554" s="761"/>
      <c r="AE554" s="761"/>
      <c r="AF554" s="762"/>
      <c r="AG554" s="759"/>
      <c r="AH554" s="759"/>
      <c r="AI554" s="760"/>
      <c r="AJ554" s="761"/>
      <c r="AK554" s="761"/>
      <c r="AL554" s="762"/>
      <c r="AM554" s="763"/>
      <c r="AN554" s="763"/>
      <c r="AO554" s="764"/>
    </row>
    <row r="555">
      <c r="A555" s="602" t="s">
        <v>1190</v>
      </c>
      <c r="B555" s="758"/>
      <c r="C555" s="759"/>
      <c r="D555" s="759"/>
      <c r="E555" s="760"/>
      <c r="F555" s="761"/>
      <c r="G555" s="761"/>
      <c r="H555" s="762"/>
      <c r="I555" s="759"/>
      <c r="J555" s="759"/>
      <c r="K555" s="760"/>
      <c r="L555" s="761"/>
      <c r="M555" s="761"/>
      <c r="N555" s="762"/>
      <c r="O555" s="759"/>
      <c r="P555" s="759"/>
      <c r="Q555" s="760"/>
      <c r="R555" s="761"/>
      <c r="S555" s="761"/>
      <c r="T555" s="762"/>
      <c r="U555" s="759"/>
      <c r="V555" s="759"/>
      <c r="W555" s="760"/>
      <c r="X555" s="761"/>
      <c r="Y555" s="761"/>
      <c r="Z555" s="762"/>
      <c r="AA555" s="759"/>
      <c r="AB555" s="759"/>
      <c r="AC555" s="760"/>
      <c r="AD555" s="761"/>
      <c r="AE555" s="761"/>
      <c r="AF555" s="762"/>
      <c r="AG555" s="759"/>
      <c r="AH555" s="759"/>
      <c r="AI555" s="760"/>
      <c r="AJ555" s="761"/>
      <c r="AK555" s="761"/>
      <c r="AL555" s="762"/>
      <c r="AM555" s="763"/>
      <c r="AN555" s="763"/>
      <c r="AO555" s="764"/>
    </row>
    <row r="556">
      <c r="A556" s="602" t="s">
        <v>1190</v>
      </c>
      <c r="B556" s="758"/>
      <c r="C556" s="759"/>
      <c r="D556" s="759"/>
      <c r="E556" s="760"/>
      <c r="F556" s="761"/>
      <c r="G556" s="761"/>
      <c r="H556" s="762"/>
      <c r="I556" s="759"/>
      <c r="J556" s="759"/>
      <c r="K556" s="760"/>
      <c r="L556" s="761"/>
      <c r="M556" s="761"/>
      <c r="N556" s="762"/>
      <c r="O556" s="759"/>
      <c r="P556" s="759"/>
      <c r="Q556" s="760"/>
      <c r="R556" s="761"/>
      <c r="S556" s="761"/>
      <c r="T556" s="762"/>
      <c r="U556" s="759"/>
      <c r="V556" s="759"/>
      <c r="W556" s="760"/>
      <c r="X556" s="761"/>
      <c r="Y556" s="761"/>
      <c r="Z556" s="762"/>
      <c r="AA556" s="759"/>
      <c r="AB556" s="759"/>
      <c r="AC556" s="760"/>
      <c r="AD556" s="761"/>
      <c r="AE556" s="761"/>
      <c r="AF556" s="762"/>
      <c r="AG556" s="759"/>
      <c r="AH556" s="759"/>
      <c r="AI556" s="760"/>
      <c r="AJ556" s="761"/>
      <c r="AK556" s="761"/>
      <c r="AL556" s="762"/>
      <c r="AM556" s="763"/>
      <c r="AN556" s="763"/>
      <c r="AO556" s="764"/>
    </row>
    <row r="557">
      <c r="A557" s="602" t="s">
        <v>1190</v>
      </c>
      <c r="B557" s="758"/>
      <c r="C557" s="759"/>
      <c r="D557" s="759"/>
      <c r="E557" s="760"/>
      <c r="F557" s="761"/>
      <c r="G557" s="761"/>
      <c r="H557" s="762"/>
      <c r="I557" s="759"/>
      <c r="J557" s="759"/>
      <c r="K557" s="760"/>
      <c r="L557" s="761"/>
      <c r="M557" s="761"/>
      <c r="N557" s="762"/>
      <c r="O557" s="759"/>
      <c r="P557" s="759"/>
      <c r="Q557" s="760"/>
      <c r="R557" s="761"/>
      <c r="S557" s="761"/>
      <c r="T557" s="762"/>
      <c r="U557" s="759"/>
      <c r="V557" s="759"/>
      <c r="W557" s="760"/>
      <c r="X557" s="761"/>
      <c r="Y557" s="761"/>
      <c r="Z557" s="762"/>
      <c r="AA557" s="759"/>
      <c r="AB557" s="759"/>
      <c r="AC557" s="760"/>
      <c r="AD557" s="761"/>
      <c r="AE557" s="761"/>
      <c r="AF557" s="762"/>
      <c r="AG557" s="759"/>
      <c r="AH557" s="759"/>
      <c r="AI557" s="760"/>
      <c r="AJ557" s="761"/>
      <c r="AK557" s="761"/>
      <c r="AL557" s="762"/>
      <c r="AM557" s="763"/>
      <c r="AN557" s="763"/>
      <c r="AO557" s="764"/>
    </row>
    <row r="558">
      <c r="A558" s="602" t="s">
        <v>1190</v>
      </c>
      <c r="B558" s="758"/>
      <c r="C558" s="759"/>
      <c r="D558" s="759"/>
      <c r="E558" s="760"/>
      <c r="F558" s="761"/>
      <c r="G558" s="761"/>
      <c r="H558" s="762"/>
      <c r="I558" s="759"/>
      <c r="J558" s="759"/>
      <c r="K558" s="760"/>
      <c r="L558" s="761"/>
      <c r="M558" s="761"/>
      <c r="N558" s="762"/>
      <c r="O558" s="759"/>
      <c r="P558" s="759"/>
      <c r="Q558" s="760"/>
      <c r="R558" s="761"/>
      <c r="S558" s="761"/>
      <c r="T558" s="762"/>
      <c r="U558" s="759"/>
      <c r="V558" s="759"/>
      <c r="W558" s="760"/>
      <c r="X558" s="761"/>
      <c r="Y558" s="761"/>
      <c r="Z558" s="762"/>
      <c r="AA558" s="759"/>
      <c r="AB558" s="759"/>
      <c r="AC558" s="760"/>
      <c r="AD558" s="761"/>
      <c r="AE558" s="761"/>
      <c r="AF558" s="762"/>
      <c r="AG558" s="759"/>
      <c r="AH558" s="759"/>
      <c r="AI558" s="760"/>
      <c r="AJ558" s="761"/>
      <c r="AK558" s="761"/>
      <c r="AL558" s="762"/>
      <c r="AM558" s="763"/>
      <c r="AN558" s="763"/>
      <c r="AO558" s="764"/>
    </row>
    <row r="559">
      <c r="A559" s="602" t="s">
        <v>1190</v>
      </c>
      <c r="B559" s="758"/>
      <c r="C559" s="759"/>
      <c r="D559" s="759"/>
      <c r="E559" s="760"/>
      <c r="F559" s="761"/>
      <c r="G559" s="761"/>
      <c r="H559" s="762"/>
      <c r="I559" s="759"/>
      <c r="J559" s="759"/>
      <c r="K559" s="760"/>
      <c r="L559" s="761"/>
      <c r="M559" s="761"/>
      <c r="N559" s="762"/>
      <c r="O559" s="759"/>
      <c r="P559" s="759"/>
      <c r="Q559" s="760"/>
      <c r="R559" s="761"/>
      <c r="S559" s="761"/>
      <c r="T559" s="762"/>
      <c r="U559" s="759"/>
      <c r="V559" s="759"/>
      <c r="W559" s="760"/>
      <c r="X559" s="761"/>
      <c r="Y559" s="761"/>
      <c r="Z559" s="762"/>
      <c r="AA559" s="759"/>
      <c r="AB559" s="759"/>
      <c r="AC559" s="760"/>
      <c r="AD559" s="761"/>
      <c r="AE559" s="761"/>
      <c r="AF559" s="762"/>
      <c r="AG559" s="759"/>
      <c r="AH559" s="759"/>
      <c r="AI559" s="760"/>
      <c r="AJ559" s="761"/>
      <c r="AK559" s="761"/>
      <c r="AL559" s="762"/>
      <c r="AM559" s="763"/>
      <c r="AN559" s="763"/>
      <c r="AO559" s="764"/>
    </row>
    <row r="560">
      <c r="A560" s="602" t="s">
        <v>1190</v>
      </c>
      <c r="B560" s="758"/>
      <c r="C560" s="759"/>
      <c r="D560" s="759"/>
      <c r="E560" s="760"/>
      <c r="F560" s="761"/>
      <c r="G560" s="761"/>
      <c r="H560" s="762"/>
      <c r="I560" s="759"/>
      <c r="J560" s="759"/>
      <c r="K560" s="760"/>
      <c r="L560" s="761"/>
      <c r="M560" s="761"/>
      <c r="N560" s="762"/>
      <c r="O560" s="759"/>
      <c r="P560" s="759"/>
      <c r="Q560" s="760"/>
      <c r="R560" s="761"/>
      <c r="S560" s="761"/>
      <c r="T560" s="762"/>
      <c r="U560" s="759"/>
      <c r="V560" s="759"/>
      <c r="W560" s="760"/>
      <c r="X560" s="761"/>
      <c r="Y560" s="761"/>
      <c r="Z560" s="762"/>
      <c r="AA560" s="759"/>
      <c r="AB560" s="759"/>
      <c r="AC560" s="760"/>
      <c r="AD560" s="761"/>
      <c r="AE560" s="761"/>
      <c r="AF560" s="762"/>
      <c r="AG560" s="759"/>
      <c r="AH560" s="759"/>
      <c r="AI560" s="760"/>
      <c r="AJ560" s="761"/>
      <c r="AK560" s="761"/>
      <c r="AL560" s="762"/>
      <c r="AM560" s="763"/>
      <c r="AN560" s="763"/>
      <c r="AO560" s="764"/>
    </row>
    <row r="561">
      <c r="A561" s="602" t="s">
        <v>1190</v>
      </c>
      <c r="B561" s="758"/>
      <c r="C561" s="759"/>
      <c r="D561" s="759"/>
      <c r="E561" s="760"/>
      <c r="F561" s="761"/>
      <c r="G561" s="761"/>
      <c r="H561" s="762"/>
      <c r="I561" s="759"/>
      <c r="J561" s="759"/>
      <c r="K561" s="760"/>
      <c r="L561" s="761"/>
      <c r="M561" s="761"/>
      <c r="N561" s="762"/>
      <c r="O561" s="759"/>
      <c r="P561" s="759"/>
      <c r="Q561" s="760"/>
      <c r="R561" s="761"/>
      <c r="S561" s="761"/>
      <c r="T561" s="762"/>
      <c r="U561" s="759"/>
      <c r="V561" s="759"/>
      <c r="W561" s="760"/>
      <c r="X561" s="761"/>
      <c r="Y561" s="761"/>
      <c r="Z561" s="762"/>
      <c r="AA561" s="759"/>
      <c r="AB561" s="759"/>
      <c r="AC561" s="760"/>
      <c r="AD561" s="761"/>
      <c r="AE561" s="761"/>
      <c r="AF561" s="762"/>
      <c r="AG561" s="759"/>
      <c r="AH561" s="759"/>
      <c r="AI561" s="760"/>
      <c r="AJ561" s="761"/>
      <c r="AK561" s="761"/>
      <c r="AL561" s="762"/>
      <c r="AM561" s="763"/>
      <c r="AN561" s="763"/>
      <c r="AO561" s="764"/>
    </row>
    <row r="562">
      <c r="A562" s="602" t="s">
        <v>1190</v>
      </c>
      <c r="B562" s="758"/>
      <c r="C562" s="759"/>
      <c r="D562" s="759"/>
      <c r="E562" s="760"/>
      <c r="F562" s="761"/>
      <c r="G562" s="761"/>
      <c r="H562" s="762"/>
      <c r="I562" s="759"/>
      <c r="J562" s="759"/>
      <c r="K562" s="760"/>
      <c r="L562" s="761"/>
      <c r="M562" s="761"/>
      <c r="N562" s="762"/>
      <c r="O562" s="759"/>
      <c r="P562" s="759"/>
      <c r="Q562" s="760"/>
      <c r="R562" s="761"/>
      <c r="S562" s="761"/>
      <c r="T562" s="762"/>
      <c r="U562" s="759"/>
      <c r="V562" s="759"/>
      <c r="W562" s="760"/>
      <c r="X562" s="761"/>
      <c r="Y562" s="761"/>
      <c r="Z562" s="762"/>
      <c r="AA562" s="759"/>
      <c r="AB562" s="759"/>
      <c r="AC562" s="760"/>
      <c r="AD562" s="761"/>
      <c r="AE562" s="761"/>
      <c r="AF562" s="762"/>
      <c r="AG562" s="759"/>
      <c r="AH562" s="759"/>
      <c r="AI562" s="760"/>
      <c r="AJ562" s="761"/>
      <c r="AK562" s="761"/>
      <c r="AL562" s="762"/>
      <c r="AM562" s="763"/>
      <c r="AN562" s="763"/>
      <c r="AO562" s="764"/>
    </row>
    <row r="563">
      <c r="A563" s="602" t="s">
        <v>1190</v>
      </c>
      <c r="B563" s="758"/>
      <c r="C563" s="759"/>
      <c r="D563" s="759"/>
      <c r="E563" s="760"/>
      <c r="F563" s="761"/>
      <c r="G563" s="761"/>
      <c r="H563" s="762"/>
      <c r="I563" s="759"/>
      <c r="J563" s="759"/>
      <c r="K563" s="760"/>
      <c r="L563" s="761"/>
      <c r="M563" s="761"/>
      <c r="N563" s="762"/>
      <c r="O563" s="759"/>
      <c r="P563" s="759"/>
      <c r="Q563" s="760"/>
      <c r="R563" s="761"/>
      <c r="S563" s="761"/>
      <c r="T563" s="762"/>
      <c r="U563" s="759"/>
      <c r="V563" s="759"/>
      <c r="W563" s="760"/>
      <c r="X563" s="761"/>
      <c r="Y563" s="761"/>
      <c r="Z563" s="762"/>
      <c r="AA563" s="759"/>
      <c r="AB563" s="759"/>
      <c r="AC563" s="760"/>
      <c r="AD563" s="761"/>
      <c r="AE563" s="761"/>
      <c r="AF563" s="762"/>
      <c r="AG563" s="759"/>
      <c r="AH563" s="759"/>
      <c r="AI563" s="760"/>
      <c r="AJ563" s="761"/>
      <c r="AK563" s="761"/>
      <c r="AL563" s="762"/>
      <c r="AM563" s="763"/>
      <c r="AN563" s="763"/>
      <c r="AO563" s="764"/>
    </row>
    <row r="564">
      <c r="A564" s="602" t="s">
        <v>1190</v>
      </c>
      <c r="B564" s="758"/>
      <c r="C564" s="759"/>
      <c r="D564" s="759"/>
      <c r="E564" s="760"/>
      <c r="F564" s="761"/>
      <c r="G564" s="761"/>
      <c r="H564" s="762"/>
      <c r="I564" s="759"/>
      <c r="J564" s="759"/>
      <c r="K564" s="760"/>
      <c r="L564" s="761"/>
      <c r="M564" s="761"/>
      <c r="N564" s="762"/>
      <c r="O564" s="759"/>
      <c r="P564" s="759"/>
      <c r="Q564" s="760"/>
      <c r="R564" s="761"/>
      <c r="S564" s="761"/>
      <c r="T564" s="762"/>
      <c r="U564" s="759"/>
      <c r="V564" s="759"/>
      <c r="W564" s="760"/>
      <c r="X564" s="761"/>
      <c r="Y564" s="761"/>
      <c r="Z564" s="762"/>
      <c r="AA564" s="759"/>
      <c r="AB564" s="759"/>
      <c r="AC564" s="760"/>
      <c r="AD564" s="761"/>
      <c r="AE564" s="761"/>
      <c r="AF564" s="762"/>
      <c r="AG564" s="759"/>
      <c r="AH564" s="759"/>
      <c r="AI564" s="760"/>
      <c r="AJ564" s="761"/>
      <c r="AK564" s="761"/>
      <c r="AL564" s="762"/>
      <c r="AM564" s="763"/>
      <c r="AN564" s="763"/>
      <c r="AO564" s="764"/>
    </row>
    <row r="565">
      <c r="A565" s="602" t="s">
        <v>1190</v>
      </c>
      <c r="B565" s="758"/>
      <c r="C565" s="759"/>
      <c r="D565" s="759"/>
      <c r="E565" s="760"/>
      <c r="F565" s="761"/>
      <c r="G565" s="761"/>
      <c r="H565" s="762"/>
      <c r="I565" s="759"/>
      <c r="J565" s="759"/>
      <c r="K565" s="760"/>
      <c r="L565" s="761"/>
      <c r="M565" s="761"/>
      <c r="N565" s="762"/>
      <c r="O565" s="759"/>
      <c r="P565" s="759"/>
      <c r="Q565" s="760"/>
      <c r="R565" s="761"/>
      <c r="S565" s="761"/>
      <c r="T565" s="762"/>
      <c r="U565" s="759"/>
      <c r="V565" s="759"/>
      <c r="W565" s="760"/>
      <c r="X565" s="761"/>
      <c r="Y565" s="761"/>
      <c r="Z565" s="762"/>
      <c r="AA565" s="759"/>
      <c r="AB565" s="759"/>
      <c r="AC565" s="760"/>
      <c r="AD565" s="761"/>
      <c r="AE565" s="761"/>
      <c r="AF565" s="762"/>
      <c r="AG565" s="759"/>
      <c r="AH565" s="759"/>
      <c r="AI565" s="760"/>
      <c r="AJ565" s="761"/>
      <c r="AK565" s="761"/>
      <c r="AL565" s="762"/>
      <c r="AM565" s="763"/>
      <c r="AN565" s="763"/>
      <c r="AO565" s="764"/>
    </row>
    <row r="566">
      <c r="A566" s="602" t="s">
        <v>1190</v>
      </c>
      <c r="B566" s="758"/>
      <c r="C566" s="759"/>
      <c r="D566" s="759"/>
      <c r="E566" s="760"/>
      <c r="F566" s="761"/>
      <c r="G566" s="761"/>
      <c r="H566" s="762"/>
      <c r="I566" s="759"/>
      <c r="J566" s="759"/>
      <c r="K566" s="760"/>
      <c r="L566" s="761"/>
      <c r="M566" s="761"/>
      <c r="N566" s="762"/>
      <c r="O566" s="759"/>
      <c r="P566" s="759"/>
      <c r="Q566" s="760"/>
      <c r="R566" s="761"/>
      <c r="S566" s="761"/>
      <c r="T566" s="762"/>
      <c r="U566" s="759"/>
      <c r="V566" s="759"/>
      <c r="W566" s="760"/>
      <c r="X566" s="761"/>
      <c r="Y566" s="761"/>
      <c r="Z566" s="762"/>
      <c r="AA566" s="759"/>
      <c r="AB566" s="759"/>
      <c r="AC566" s="760"/>
      <c r="AD566" s="761"/>
      <c r="AE566" s="761"/>
      <c r="AF566" s="762"/>
      <c r="AG566" s="759"/>
      <c r="AH566" s="759"/>
      <c r="AI566" s="760"/>
      <c r="AJ566" s="761"/>
      <c r="AK566" s="761"/>
      <c r="AL566" s="762"/>
      <c r="AM566" s="763"/>
      <c r="AN566" s="763"/>
      <c r="AO566" s="764"/>
    </row>
    <row r="567">
      <c r="A567" s="602" t="s">
        <v>1190</v>
      </c>
      <c r="B567" s="758"/>
      <c r="C567" s="759"/>
      <c r="D567" s="759"/>
      <c r="E567" s="760"/>
      <c r="F567" s="761"/>
      <c r="G567" s="761"/>
      <c r="H567" s="762"/>
      <c r="I567" s="759"/>
      <c r="J567" s="759"/>
      <c r="K567" s="760"/>
      <c r="L567" s="761"/>
      <c r="M567" s="761"/>
      <c r="N567" s="762"/>
      <c r="O567" s="759"/>
      <c r="P567" s="759"/>
      <c r="Q567" s="760"/>
      <c r="R567" s="761"/>
      <c r="S567" s="761"/>
      <c r="T567" s="762"/>
      <c r="U567" s="759"/>
      <c r="V567" s="759"/>
      <c r="W567" s="760"/>
      <c r="X567" s="761"/>
      <c r="Y567" s="761"/>
      <c r="Z567" s="762"/>
      <c r="AA567" s="759"/>
      <c r="AB567" s="759"/>
      <c r="AC567" s="760"/>
      <c r="AD567" s="761"/>
      <c r="AE567" s="761"/>
      <c r="AF567" s="762"/>
      <c r="AG567" s="759"/>
      <c r="AH567" s="759"/>
      <c r="AI567" s="760"/>
      <c r="AJ567" s="761"/>
      <c r="AK567" s="761"/>
      <c r="AL567" s="762"/>
      <c r="AM567" s="763"/>
      <c r="AN567" s="763"/>
      <c r="AO567" s="764"/>
    </row>
    <row r="568">
      <c r="A568" s="602" t="s">
        <v>1190</v>
      </c>
      <c r="B568" s="758"/>
      <c r="C568" s="759"/>
      <c r="D568" s="759"/>
      <c r="E568" s="760"/>
      <c r="F568" s="761"/>
      <c r="G568" s="761"/>
      <c r="H568" s="762"/>
      <c r="I568" s="759"/>
      <c r="J568" s="759"/>
      <c r="K568" s="760"/>
      <c r="L568" s="761"/>
      <c r="M568" s="761"/>
      <c r="N568" s="762"/>
      <c r="O568" s="759"/>
      <c r="P568" s="759"/>
      <c r="Q568" s="760"/>
      <c r="R568" s="761"/>
      <c r="S568" s="761"/>
      <c r="T568" s="762"/>
      <c r="U568" s="759"/>
      <c r="V568" s="759"/>
      <c r="W568" s="760"/>
      <c r="X568" s="761"/>
      <c r="Y568" s="761"/>
      <c r="Z568" s="762"/>
      <c r="AA568" s="759"/>
      <c r="AB568" s="759"/>
      <c r="AC568" s="760"/>
      <c r="AD568" s="761"/>
      <c r="AE568" s="761"/>
      <c r="AF568" s="762"/>
      <c r="AG568" s="759"/>
      <c r="AH568" s="759"/>
      <c r="AI568" s="760"/>
      <c r="AJ568" s="761"/>
      <c r="AK568" s="761"/>
      <c r="AL568" s="762"/>
      <c r="AM568" s="763"/>
      <c r="AN568" s="763"/>
      <c r="AO568" s="764"/>
    </row>
    <row r="569">
      <c r="A569" s="602" t="s">
        <v>1190</v>
      </c>
      <c r="B569" s="758"/>
      <c r="C569" s="759"/>
      <c r="D569" s="759"/>
      <c r="E569" s="760"/>
      <c r="F569" s="761"/>
      <c r="G569" s="761"/>
      <c r="H569" s="762"/>
      <c r="I569" s="759"/>
      <c r="J569" s="759"/>
      <c r="K569" s="760"/>
      <c r="L569" s="761"/>
      <c r="M569" s="761"/>
      <c r="N569" s="762"/>
      <c r="O569" s="759"/>
      <c r="P569" s="759"/>
      <c r="Q569" s="760"/>
      <c r="R569" s="761"/>
      <c r="S569" s="761"/>
      <c r="T569" s="762"/>
      <c r="U569" s="759"/>
      <c r="V569" s="759"/>
      <c r="W569" s="760"/>
      <c r="X569" s="761"/>
      <c r="Y569" s="761"/>
      <c r="Z569" s="762"/>
      <c r="AA569" s="759"/>
      <c r="AB569" s="759"/>
      <c r="AC569" s="760"/>
      <c r="AD569" s="761"/>
      <c r="AE569" s="761"/>
      <c r="AF569" s="762"/>
      <c r="AG569" s="759"/>
      <c r="AH569" s="759"/>
      <c r="AI569" s="760"/>
      <c r="AJ569" s="761"/>
      <c r="AK569" s="761"/>
      <c r="AL569" s="762"/>
      <c r="AM569" s="763"/>
      <c r="AN569" s="763"/>
      <c r="AO569" s="764"/>
    </row>
    <row r="570">
      <c r="A570" s="602" t="s">
        <v>1190</v>
      </c>
      <c r="B570" s="758"/>
      <c r="C570" s="759"/>
      <c r="D570" s="759"/>
      <c r="E570" s="760"/>
      <c r="F570" s="761"/>
      <c r="G570" s="761"/>
      <c r="H570" s="762"/>
      <c r="I570" s="759"/>
      <c r="J570" s="759"/>
      <c r="K570" s="760"/>
      <c r="L570" s="761"/>
      <c r="M570" s="761"/>
      <c r="N570" s="762"/>
      <c r="O570" s="759"/>
      <c r="P570" s="759"/>
      <c r="Q570" s="760"/>
      <c r="R570" s="761"/>
      <c r="S570" s="761"/>
      <c r="T570" s="762"/>
      <c r="U570" s="759"/>
      <c r="V570" s="759"/>
      <c r="W570" s="760"/>
      <c r="X570" s="761"/>
      <c r="Y570" s="761"/>
      <c r="Z570" s="762"/>
      <c r="AA570" s="759"/>
      <c r="AB570" s="759"/>
      <c r="AC570" s="760"/>
      <c r="AD570" s="761"/>
      <c r="AE570" s="761"/>
      <c r="AF570" s="762"/>
      <c r="AG570" s="759"/>
      <c r="AH570" s="759"/>
      <c r="AI570" s="760"/>
      <c r="AJ570" s="761"/>
      <c r="AK570" s="761"/>
      <c r="AL570" s="762"/>
      <c r="AM570" s="763"/>
      <c r="AN570" s="763"/>
      <c r="AO570" s="764"/>
    </row>
    <row r="571">
      <c r="A571" s="602" t="s">
        <v>1190</v>
      </c>
      <c r="B571" s="758"/>
      <c r="C571" s="759"/>
      <c r="D571" s="759"/>
      <c r="E571" s="760"/>
      <c r="F571" s="761"/>
      <c r="G571" s="761"/>
      <c r="H571" s="762"/>
      <c r="I571" s="759"/>
      <c r="J571" s="759"/>
      <c r="K571" s="760"/>
      <c r="L571" s="761"/>
      <c r="M571" s="761"/>
      <c r="N571" s="762"/>
      <c r="O571" s="759"/>
      <c r="P571" s="759"/>
      <c r="Q571" s="760"/>
      <c r="R571" s="761"/>
      <c r="S571" s="761"/>
      <c r="T571" s="762"/>
      <c r="U571" s="759"/>
      <c r="V571" s="759"/>
      <c r="W571" s="760"/>
      <c r="X571" s="761"/>
      <c r="Y571" s="761"/>
      <c r="Z571" s="762"/>
      <c r="AA571" s="759"/>
      <c r="AB571" s="759"/>
      <c r="AC571" s="760"/>
      <c r="AD571" s="761"/>
      <c r="AE571" s="761"/>
      <c r="AF571" s="762"/>
      <c r="AG571" s="759"/>
      <c r="AH571" s="759"/>
      <c r="AI571" s="760"/>
      <c r="AJ571" s="761"/>
      <c r="AK571" s="761"/>
      <c r="AL571" s="762"/>
      <c r="AM571" s="763"/>
      <c r="AN571" s="763"/>
      <c r="AO571" s="764"/>
    </row>
    <row r="572">
      <c r="A572" s="602" t="s">
        <v>1190</v>
      </c>
      <c r="B572" s="758"/>
      <c r="C572" s="759"/>
      <c r="D572" s="759"/>
      <c r="E572" s="760"/>
      <c r="F572" s="761"/>
      <c r="G572" s="761"/>
      <c r="H572" s="762"/>
      <c r="I572" s="759"/>
      <c r="J572" s="759"/>
      <c r="K572" s="760"/>
      <c r="L572" s="761"/>
      <c r="M572" s="761"/>
      <c r="N572" s="762"/>
      <c r="O572" s="759"/>
      <c r="P572" s="759"/>
      <c r="Q572" s="760"/>
      <c r="R572" s="761"/>
      <c r="S572" s="761"/>
      <c r="T572" s="762"/>
      <c r="U572" s="759"/>
      <c r="V572" s="759"/>
      <c r="W572" s="760"/>
      <c r="X572" s="761"/>
      <c r="Y572" s="761"/>
      <c r="Z572" s="762"/>
      <c r="AA572" s="759"/>
      <c r="AB572" s="759"/>
      <c r="AC572" s="760"/>
      <c r="AD572" s="761"/>
      <c r="AE572" s="761"/>
      <c r="AF572" s="762"/>
      <c r="AG572" s="759"/>
      <c r="AH572" s="759"/>
      <c r="AI572" s="760"/>
      <c r="AJ572" s="761"/>
      <c r="AK572" s="761"/>
      <c r="AL572" s="762"/>
      <c r="AM572" s="763"/>
      <c r="AN572" s="763"/>
      <c r="AO572" s="764"/>
    </row>
    <row r="573">
      <c r="A573" s="602" t="s">
        <v>1190</v>
      </c>
      <c r="B573" s="758"/>
      <c r="C573" s="759"/>
      <c r="D573" s="759"/>
      <c r="E573" s="760"/>
      <c r="F573" s="761"/>
      <c r="G573" s="761"/>
      <c r="H573" s="762"/>
      <c r="I573" s="759"/>
      <c r="J573" s="759"/>
      <c r="K573" s="760"/>
      <c r="L573" s="761"/>
      <c r="M573" s="761"/>
      <c r="N573" s="762"/>
      <c r="O573" s="759"/>
      <c r="P573" s="759"/>
      <c r="Q573" s="760"/>
      <c r="R573" s="761"/>
      <c r="S573" s="761"/>
      <c r="T573" s="762"/>
      <c r="U573" s="759"/>
      <c r="V573" s="759"/>
      <c r="W573" s="760"/>
      <c r="X573" s="761"/>
      <c r="Y573" s="761"/>
      <c r="Z573" s="762"/>
      <c r="AA573" s="759"/>
      <c r="AB573" s="759"/>
      <c r="AC573" s="760"/>
      <c r="AD573" s="761"/>
      <c r="AE573" s="761"/>
      <c r="AF573" s="762"/>
      <c r="AG573" s="759"/>
      <c r="AH573" s="759"/>
      <c r="AI573" s="760"/>
      <c r="AJ573" s="761"/>
      <c r="AK573" s="761"/>
      <c r="AL573" s="762"/>
      <c r="AM573" s="763"/>
      <c r="AN573" s="763"/>
      <c r="AO573" s="764"/>
    </row>
    <row r="574">
      <c r="A574" s="602" t="s">
        <v>1190</v>
      </c>
      <c r="B574" s="758"/>
      <c r="C574" s="759"/>
      <c r="D574" s="759"/>
      <c r="E574" s="760"/>
      <c r="F574" s="761"/>
      <c r="G574" s="761"/>
      <c r="H574" s="762"/>
      <c r="I574" s="759"/>
      <c r="J574" s="759"/>
      <c r="K574" s="760"/>
      <c r="L574" s="761"/>
      <c r="M574" s="761"/>
      <c r="N574" s="762"/>
      <c r="O574" s="759"/>
      <c r="P574" s="759"/>
      <c r="Q574" s="760"/>
      <c r="R574" s="761"/>
      <c r="S574" s="761"/>
      <c r="T574" s="762"/>
      <c r="U574" s="759"/>
      <c r="V574" s="759"/>
      <c r="W574" s="760"/>
      <c r="X574" s="761"/>
      <c r="Y574" s="761"/>
      <c r="Z574" s="762"/>
      <c r="AA574" s="759"/>
      <c r="AB574" s="759"/>
      <c r="AC574" s="760"/>
      <c r="AD574" s="761"/>
      <c r="AE574" s="761"/>
      <c r="AF574" s="762"/>
      <c r="AG574" s="759"/>
      <c r="AH574" s="759"/>
      <c r="AI574" s="760"/>
      <c r="AJ574" s="761"/>
      <c r="AK574" s="761"/>
      <c r="AL574" s="762"/>
      <c r="AM574" s="763"/>
      <c r="AN574" s="763"/>
      <c r="AO574" s="764"/>
    </row>
    <row r="575">
      <c r="A575" s="602" t="s">
        <v>1190</v>
      </c>
      <c r="B575" s="758"/>
      <c r="C575" s="759"/>
      <c r="D575" s="759"/>
      <c r="E575" s="760"/>
      <c r="F575" s="761"/>
      <c r="G575" s="761"/>
      <c r="H575" s="762"/>
      <c r="I575" s="759"/>
      <c r="J575" s="759"/>
      <c r="K575" s="760"/>
      <c r="L575" s="761"/>
      <c r="M575" s="761"/>
      <c r="N575" s="762"/>
      <c r="O575" s="759"/>
      <c r="P575" s="759"/>
      <c r="Q575" s="760"/>
      <c r="R575" s="761"/>
      <c r="S575" s="761"/>
      <c r="T575" s="762"/>
      <c r="U575" s="759"/>
      <c r="V575" s="759"/>
      <c r="W575" s="760"/>
      <c r="X575" s="761"/>
      <c r="Y575" s="761"/>
      <c r="Z575" s="762"/>
      <c r="AA575" s="759"/>
      <c r="AB575" s="759"/>
      <c r="AC575" s="760"/>
      <c r="AD575" s="761"/>
      <c r="AE575" s="761"/>
      <c r="AF575" s="762"/>
      <c r="AG575" s="759"/>
      <c r="AH575" s="759"/>
      <c r="AI575" s="760"/>
      <c r="AJ575" s="761"/>
      <c r="AK575" s="761"/>
      <c r="AL575" s="762"/>
      <c r="AM575" s="763"/>
      <c r="AN575" s="763"/>
      <c r="AO575" s="764"/>
    </row>
    <row r="576">
      <c r="A576" s="602" t="s">
        <v>1190</v>
      </c>
      <c r="B576" s="758"/>
      <c r="C576" s="759"/>
      <c r="D576" s="759"/>
      <c r="E576" s="760"/>
      <c r="F576" s="761"/>
      <c r="G576" s="761"/>
      <c r="H576" s="762"/>
      <c r="I576" s="759"/>
      <c r="J576" s="759"/>
      <c r="K576" s="760"/>
      <c r="L576" s="761"/>
      <c r="M576" s="761"/>
      <c r="N576" s="762"/>
      <c r="O576" s="759"/>
      <c r="P576" s="759"/>
      <c r="Q576" s="760"/>
      <c r="R576" s="761"/>
      <c r="S576" s="761"/>
      <c r="T576" s="762"/>
      <c r="U576" s="759"/>
      <c r="V576" s="759"/>
      <c r="W576" s="760"/>
      <c r="X576" s="761"/>
      <c r="Y576" s="761"/>
      <c r="Z576" s="762"/>
      <c r="AA576" s="759"/>
      <c r="AB576" s="759"/>
      <c r="AC576" s="760"/>
      <c r="AD576" s="761"/>
      <c r="AE576" s="761"/>
      <c r="AF576" s="762"/>
      <c r="AG576" s="759"/>
      <c r="AH576" s="759"/>
      <c r="AI576" s="760"/>
      <c r="AJ576" s="761"/>
      <c r="AK576" s="761"/>
      <c r="AL576" s="762"/>
      <c r="AM576" s="763"/>
      <c r="AN576" s="763"/>
      <c r="AO576" s="764"/>
    </row>
    <row r="577">
      <c r="A577" s="602" t="s">
        <v>1190</v>
      </c>
      <c r="B577" s="758"/>
      <c r="C577" s="759"/>
      <c r="D577" s="759"/>
      <c r="E577" s="760"/>
      <c r="F577" s="761"/>
      <c r="G577" s="761"/>
      <c r="H577" s="762"/>
      <c r="I577" s="759"/>
      <c r="J577" s="759"/>
      <c r="K577" s="760"/>
      <c r="L577" s="761"/>
      <c r="M577" s="761"/>
      <c r="N577" s="762"/>
      <c r="O577" s="759"/>
      <c r="P577" s="759"/>
      <c r="Q577" s="760"/>
      <c r="R577" s="761"/>
      <c r="S577" s="761"/>
      <c r="T577" s="762"/>
      <c r="U577" s="759"/>
      <c r="V577" s="759"/>
      <c r="W577" s="760"/>
      <c r="X577" s="761"/>
      <c r="Y577" s="761"/>
      <c r="Z577" s="762"/>
      <c r="AA577" s="759"/>
      <c r="AB577" s="759"/>
      <c r="AC577" s="760"/>
      <c r="AD577" s="761"/>
      <c r="AE577" s="761"/>
      <c r="AF577" s="762"/>
      <c r="AG577" s="759"/>
      <c r="AH577" s="759"/>
      <c r="AI577" s="760"/>
      <c r="AJ577" s="761"/>
      <c r="AK577" s="761"/>
      <c r="AL577" s="762"/>
      <c r="AM577" s="763"/>
      <c r="AN577" s="763"/>
      <c r="AO577" s="764"/>
    </row>
    <row r="578">
      <c r="A578" s="602" t="s">
        <v>1190</v>
      </c>
      <c r="B578" s="758"/>
      <c r="C578" s="759"/>
      <c r="D578" s="759"/>
      <c r="E578" s="760"/>
      <c r="F578" s="761"/>
      <c r="G578" s="761"/>
      <c r="H578" s="762"/>
      <c r="I578" s="759"/>
      <c r="J578" s="759"/>
      <c r="K578" s="760"/>
      <c r="L578" s="761"/>
      <c r="M578" s="761"/>
      <c r="N578" s="762"/>
      <c r="O578" s="759"/>
      <c r="P578" s="759"/>
      <c r="Q578" s="760"/>
      <c r="R578" s="761"/>
      <c r="S578" s="761"/>
      <c r="T578" s="762"/>
      <c r="U578" s="759"/>
      <c r="V578" s="759"/>
      <c r="W578" s="760"/>
      <c r="X578" s="761"/>
      <c r="Y578" s="761"/>
      <c r="Z578" s="762"/>
      <c r="AA578" s="759"/>
      <c r="AB578" s="759"/>
      <c r="AC578" s="760"/>
      <c r="AD578" s="761"/>
      <c r="AE578" s="761"/>
      <c r="AF578" s="762"/>
      <c r="AG578" s="759"/>
      <c r="AH578" s="759"/>
      <c r="AI578" s="760"/>
      <c r="AJ578" s="761"/>
      <c r="AK578" s="761"/>
      <c r="AL578" s="762"/>
      <c r="AM578" s="763"/>
      <c r="AN578" s="763"/>
      <c r="AO578" s="764"/>
    </row>
    <row r="579">
      <c r="A579" s="602" t="s">
        <v>1190</v>
      </c>
      <c r="B579" s="758"/>
      <c r="C579" s="759"/>
      <c r="D579" s="759"/>
      <c r="E579" s="760"/>
      <c r="F579" s="761"/>
      <c r="G579" s="761"/>
      <c r="H579" s="762"/>
      <c r="I579" s="759"/>
      <c r="J579" s="759"/>
      <c r="K579" s="760"/>
      <c r="L579" s="761"/>
      <c r="M579" s="761"/>
      <c r="N579" s="762"/>
      <c r="O579" s="759"/>
      <c r="P579" s="759"/>
      <c r="Q579" s="760"/>
      <c r="R579" s="761"/>
      <c r="S579" s="761"/>
      <c r="T579" s="762"/>
      <c r="U579" s="759"/>
      <c r="V579" s="759"/>
      <c r="W579" s="760"/>
      <c r="X579" s="761"/>
      <c r="Y579" s="761"/>
      <c r="Z579" s="762"/>
      <c r="AA579" s="759"/>
      <c r="AB579" s="759"/>
      <c r="AC579" s="760"/>
      <c r="AD579" s="761"/>
      <c r="AE579" s="761"/>
      <c r="AF579" s="762"/>
      <c r="AG579" s="759"/>
      <c r="AH579" s="759"/>
      <c r="AI579" s="760"/>
      <c r="AJ579" s="761"/>
      <c r="AK579" s="761"/>
      <c r="AL579" s="762"/>
      <c r="AM579" s="763"/>
      <c r="AN579" s="763"/>
      <c r="AO579" s="764"/>
    </row>
    <row r="580">
      <c r="A580" s="602" t="s">
        <v>1190</v>
      </c>
      <c r="B580" s="758"/>
      <c r="C580" s="759"/>
      <c r="D580" s="759"/>
      <c r="E580" s="760"/>
      <c r="F580" s="761"/>
      <c r="G580" s="761"/>
      <c r="H580" s="762"/>
      <c r="I580" s="759"/>
      <c r="J580" s="759"/>
      <c r="K580" s="760"/>
      <c r="L580" s="761"/>
      <c r="M580" s="761"/>
      <c r="N580" s="762"/>
      <c r="O580" s="759"/>
      <c r="P580" s="759"/>
      <c r="Q580" s="760"/>
      <c r="R580" s="761"/>
      <c r="S580" s="761"/>
      <c r="T580" s="762"/>
      <c r="U580" s="759"/>
      <c r="V580" s="759"/>
      <c r="W580" s="760"/>
      <c r="X580" s="761"/>
      <c r="Y580" s="761"/>
      <c r="Z580" s="762"/>
      <c r="AA580" s="759"/>
      <c r="AB580" s="759"/>
      <c r="AC580" s="760"/>
      <c r="AD580" s="761"/>
      <c r="AE580" s="761"/>
      <c r="AF580" s="762"/>
      <c r="AG580" s="759"/>
      <c r="AH580" s="759"/>
      <c r="AI580" s="760"/>
      <c r="AJ580" s="761"/>
      <c r="AK580" s="761"/>
      <c r="AL580" s="762"/>
      <c r="AM580" s="763"/>
      <c r="AN580" s="763"/>
      <c r="AO580" s="764"/>
    </row>
    <row r="581">
      <c r="A581" s="602" t="s">
        <v>1190</v>
      </c>
      <c r="B581" s="758"/>
      <c r="C581" s="759"/>
      <c r="D581" s="759"/>
      <c r="E581" s="760"/>
      <c r="F581" s="761"/>
      <c r="G581" s="761"/>
      <c r="H581" s="762"/>
      <c r="I581" s="759"/>
      <c r="J581" s="759"/>
      <c r="K581" s="760"/>
      <c r="L581" s="761"/>
      <c r="M581" s="761"/>
      <c r="N581" s="762"/>
      <c r="O581" s="759"/>
      <c r="P581" s="759"/>
      <c r="Q581" s="760"/>
      <c r="R581" s="761"/>
      <c r="S581" s="761"/>
      <c r="T581" s="762"/>
      <c r="U581" s="759"/>
      <c r="V581" s="759"/>
      <c r="W581" s="760"/>
      <c r="X581" s="761"/>
      <c r="Y581" s="761"/>
      <c r="Z581" s="762"/>
      <c r="AA581" s="759"/>
      <c r="AB581" s="759"/>
      <c r="AC581" s="760"/>
      <c r="AD581" s="761"/>
      <c r="AE581" s="761"/>
      <c r="AF581" s="762"/>
      <c r="AG581" s="759"/>
      <c r="AH581" s="759"/>
      <c r="AI581" s="760"/>
      <c r="AJ581" s="761"/>
      <c r="AK581" s="761"/>
      <c r="AL581" s="762"/>
      <c r="AM581" s="763"/>
      <c r="AN581" s="763"/>
      <c r="AO581" s="764"/>
    </row>
    <row r="582">
      <c r="A582" s="602" t="s">
        <v>1190</v>
      </c>
      <c r="B582" s="758"/>
      <c r="C582" s="759"/>
      <c r="D582" s="759"/>
      <c r="E582" s="760"/>
      <c r="F582" s="761"/>
      <c r="G582" s="761"/>
      <c r="H582" s="762"/>
      <c r="I582" s="759"/>
      <c r="J582" s="759"/>
      <c r="K582" s="760"/>
      <c r="L582" s="761"/>
      <c r="M582" s="761"/>
      <c r="N582" s="762"/>
      <c r="O582" s="759"/>
      <c r="P582" s="759"/>
      <c r="Q582" s="760"/>
      <c r="R582" s="761"/>
      <c r="S582" s="761"/>
      <c r="T582" s="762"/>
      <c r="U582" s="759"/>
      <c r="V582" s="759"/>
      <c r="W582" s="760"/>
      <c r="X582" s="761"/>
      <c r="Y582" s="761"/>
      <c r="Z582" s="762"/>
      <c r="AA582" s="759"/>
      <c r="AB582" s="759"/>
      <c r="AC582" s="760"/>
      <c r="AD582" s="761"/>
      <c r="AE582" s="761"/>
      <c r="AF582" s="762"/>
      <c r="AG582" s="759"/>
      <c r="AH582" s="759"/>
      <c r="AI582" s="760"/>
      <c r="AJ582" s="761"/>
      <c r="AK582" s="761"/>
      <c r="AL582" s="762"/>
      <c r="AM582" s="763"/>
      <c r="AN582" s="763"/>
      <c r="AO582" s="764"/>
    </row>
    <row r="583">
      <c r="A583" s="602" t="s">
        <v>1190</v>
      </c>
      <c r="B583" s="758"/>
      <c r="C583" s="759"/>
      <c r="D583" s="759"/>
      <c r="E583" s="760"/>
      <c r="F583" s="761"/>
      <c r="G583" s="761"/>
      <c r="H583" s="762"/>
      <c r="I583" s="759"/>
      <c r="J583" s="759"/>
      <c r="K583" s="760"/>
      <c r="L583" s="761"/>
      <c r="M583" s="761"/>
      <c r="N583" s="762"/>
      <c r="O583" s="759"/>
      <c r="P583" s="759"/>
      <c r="Q583" s="760"/>
      <c r="R583" s="761"/>
      <c r="S583" s="761"/>
      <c r="T583" s="762"/>
      <c r="U583" s="759"/>
      <c r="V583" s="759"/>
      <c r="W583" s="760"/>
      <c r="X583" s="761"/>
      <c r="Y583" s="761"/>
      <c r="Z583" s="762"/>
      <c r="AA583" s="759"/>
      <c r="AB583" s="759"/>
      <c r="AC583" s="760"/>
      <c r="AD583" s="761"/>
      <c r="AE583" s="761"/>
      <c r="AF583" s="762"/>
      <c r="AG583" s="759"/>
      <c r="AH583" s="759"/>
      <c r="AI583" s="760"/>
      <c r="AJ583" s="761"/>
      <c r="AK583" s="761"/>
      <c r="AL583" s="762"/>
      <c r="AM583" s="763"/>
      <c r="AN583" s="763"/>
      <c r="AO583" s="764"/>
    </row>
    <row r="584">
      <c r="A584" s="602" t="s">
        <v>1190</v>
      </c>
      <c r="B584" s="758"/>
      <c r="C584" s="759"/>
      <c r="D584" s="759"/>
      <c r="E584" s="760"/>
      <c r="F584" s="761"/>
      <c r="G584" s="761"/>
      <c r="H584" s="762"/>
      <c r="I584" s="759"/>
      <c r="J584" s="759"/>
      <c r="K584" s="760"/>
      <c r="L584" s="761"/>
      <c r="M584" s="761"/>
      <c r="N584" s="762"/>
      <c r="O584" s="759"/>
      <c r="P584" s="759"/>
      <c r="Q584" s="760"/>
      <c r="R584" s="761"/>
      <c r="S584" s="761"/>
      <c r="T584" s="762"/>
      <c r="U584" s="759"/>
      <c r="V584" s="759"/>
      <c r="W584" s="760"/>
      <c r="X584" s="761"/>
      <c r="Y584" s="761"/>
      <c r="Z584" s="762"/>
      <c r="AA584" s="759"/>
      <c r="AB584" s="759"/>
      <c r="AC584" s="760"/>
      <c r="AD584" s="761"/>
      <c r="AE584" s="761"/>
      <c r="AF584" s="762"/>
      <c r="AG584" s="759"/>
      <c r="AH584" s="759"/>
      <c r="AI584" s="760"/>
      <c r="AJ584" s="761"/>
      <c r="AK584" s="761"/>
      <c r="AL584" s="762"/>
      <c r="AM584" s="763"/>
      <c r="AN584" s="763"/>
      <c r="AO584" s="764"/>
    </row>
    <row r="585">
      <c r="A585" s="602" t="s">
        <v>1190</v>
      </c>
      <c r="B585" s="758"/>
      <c r="C585" s="759"/>
      <c r="D585" s="759"/>
      <c r="E585" s="760"/>
      <c r="F585" s="761"/>
      <c r="G585" s="761"/>
      <c r="H585" s="762"/>
      <c r="I585" s="759"/>
      <c r="J585" s="759"/>
      <c r="K585" s="760"/>
      <c r="L585" s="761"/>
      <c r="M585" s="761"/>
      <c r="N585" s="762"/>
      <c r="O585" s="759"/>
      <c r="P585" s="759"/>
      <c r="Q585" s="760"/>
      <c r="R585" s="761"/>
      <c r="S585" s="761"/>
      <c r="T585" s="762"/>
      <c r="U585" s="759"/>
      <c r="V585" s="759"/>
      <c r="W585" s="760"/>
      <c r="X585" s="761"/>
      <c r="Y585" s="761"/>
      <c r="Z585" s="762"/>
      <c r="AA585" s="759"/>
      <c r="AB585" s="759"/>
      <c r="AC585" s="760"/>
      <c r="AD585" s="761"/>
      <c r="AE585" s="761"/>
      <c r="AF585" s="762"/>
      <c r="AG585" s="759"/>
      <c r="AH585" s="759"/>
      <c r="AI585" s="760"/>
      <c r="AJ585" s="761"/>
      <c r="AK585" s="761"/>
      <c r="AL585" s="762"/>
      <c r="AM585" s="763"/>
      <c r="AN585" s="763"/>
      <c r="AO585" s="764"/>
    </row>
    <row r="586">
      <c r="A586" s="602" t="s">
        <v>1190</v>
      </c>
      <c r="B586" s="758"/>
      <c r="C586" s="759"/>
      <c r="D586" s="759"/>
      <c r="E586" s="760"/>
      <c r="F586" s="761"/>
      <c r="G586" s="761"/>
      <c r="H586" s="762"/>
      <c r="I586" s="759"/>
      <c r="J586" s="759"/>
      <c r="K586" s="760"/>
      <c r="L586" s="761"/>
      <c r="M586" s="761"/>
      <c r="N586" s="762"/>
      <c r="O586" s="759"/>
      <c r="P586" s="759"/>
      <c r="Q586" s="760"/>
      <c r="R586" s="761"/>
      <c r="S586" s="761"/>
      <c r="T586" s="762"/>
      <c r="U586" s="759"/>
      <c r="V586" s="759"/>
      <c r="W586" s="760"/>
      <c r="X586" s="761"/>
      <c r="Y586" s="761"/>
      <c r="Z586" s="762"/>
      <c r="AA586" s="759"/>
      <c r="AB586" s="759"/>
      <c r="AC586" s="760"/>
      <c r="AD586" s="761"/>
      <c r="AE586" s="761"/>
      <c r="AF586" s="762"/>
      <c r="AG586" s="759"/>
      <c r="AH586" s="759"/>
      <c r="AI586" s="760"/>
      <c r="AJ586" s="761"/>
      <c r="AK586" s="761"/>
      <c r="AL586" s="762"/>
      <c r="AM586" s="763"/>
      <c r="AN586" s="763"/>
      <c r="AO586" s="764"/>
    </row>
    <row r="587">
      <c r="A587" s="602" t="s">
        <v>1190</v>
      </c>
      <c r="B587" s="758"/>
      <c r="C587" s="759"/>
      <c r="D587" s="759"/>
      <c r="E587" s="760"/>
      <c r="F587" s="761"/>
      <c r="G587" s="761"/>
      <c r="H587" s="762"/>
      <c r="I587" s="759"/>
      <c r="J587" s="759"/>
      <c r="K587" s="760"/>
      <c r="L587" s="761"/>
      <c r="M587" s="761"/>
      <c r="N587" s="762"/>
      <c r="O587" s="759"/>
      <c r="P587" s="759"/>
      <c r="Q587" s="760"/>
      <c r="R587" s="761"/>
      <c r="S587" s="761"/>
      <c r="T587" s="762"/>
      <c r="U587" s="759"/>
      <c r="V587" s="759"/>
      <c r="W587" s="760"/>
      <c r="X587" s="761"/>
      <c r="Y587" s="761"/>
      <c r="Z587" s="762"/>
      <c r="AA587" s="759"/>
      <c r="AB587" s="759"/>
      <c r="AC587" s="760"/>
      <c r="AD587" s="761"/>
      <c r="AE587" s="761"/>
      <c r="AF587" s="762"/>
      <c r="AG587" s="759"/>
      <c r="AH587" s="759"/>
      <c r="AI587" s="760"/>
      <c r="AJ587" s="761"/>
      <c r="AK587" s="761"/>
      <c r="AL587" s="762"/>
      <c r="AM587" s="763"/>
      <c r="AN587" s="763"/>
      <c r="AO587" s="764"/>
    </row>
    <row r="588">
      <c r="A588" s="602" t="s">
        <v>1190</v>
      </c>
      <c r="B588" s="758"/>
      <c r="C588" s="759"/>
      <c r="D588" s="759"/>
      <c r="E588" s="760"/>
      <c r="F588" s="761"/>
      <c r="G588" s="761"/>
      <c r="H588" s="762"/>
      <c r="I588" s="759"/>
      <c r="J588" s="759"/>
      <c r="K588" s="760"/>
      <c r="L588" s="761"/>
      <c r="M588" s="761"/>
      <c r="N588" s="762"/>
      <c r="O588" s="759"/>
      <c r="P588" s="759"/>
      <c r="Q588" s="760"/>
      <c r="R588" s="761"/>
      <c r="S588" s="761"/>
      <c r="T588" s="762"/>
      <c r="U588" s="759"/>
      <c r="V588" s="759"/>
      <c r="W588" s="760"/>
      <c r="X588" s="761"/>
      <c r="Y588" s="761"/>
      <c r="Z588" s="762"/>
      <c r="AA588" s="759"/>
      <c r="AB588" s="759"/>
      <c r="AC588" s="760"/>
      <c r="AD588" s="761"/>
      <c r="AE588" s="761"/>
      <c r="AF588" s="762"/>
      <c r="AG588" s="759"/>
      <c r="AH588" s="759"/>
      <c r="AI588" s="760"/>
      <c r="AJ588" s="761"/>
      <c r="AK588" s="761"/>
      <c r="AL588" s="762"/>
      <c r="AM588" s="763"/>
      <c r="AN588" s="763"/>
      <c r="AO588" s="764"/>
    </row>
    <row r="589">
      <c r="A589" s="602" t="s">
        <v>1190</v>
      </c>
      <c r="B589" s="758"/>
      <c r="C589" s="759"/>
      <c r="D589" s="759"/>
      <c r="E589" s="760"/>
      <c r="F589" s="761"/>
      <c r="G589" s="761"/>
      <c r="H589" s="762"/>
      <c r="I589" s="759"/>
      <c r="J589" s="759"/>
      <c r="K589" s="760"/>
      <c r="L589" s="761"/>
      <c r="M589" s="761"/>
      <c r="N589" s="762"/>
      <c r="O589" s="759"/>
      <c r="P589" s="759"/>
      <c r="Q589" s="760"/>
      <c r="R589" s="761"/>
      <c r="S589" s="761"/>
      <c r="T589" s="762"/>
      <c r="U589" s="759"/>
      <c r="V589" s="759"/>
      <c r="W589" s="760"/>
      <c r="X589" s="761"/>
      <c r="Y589" s="761"/>
      <c r="Z589" s="762"/>
      <c r="AA589" s="759"/>
      <c r="AB589" s="759"/>
      <c r="AC589" s="760"/>
      <c r="AD589" s="761"/>
      <c r="AE589" s="761"/>
      <c r="AF589" s="762"/>
      <c r="AG589" s="759"/>
      <c r="AH589" s="759"/>
      <c r="AI589" s="760"/>
      <c r="AJ589" s="761"/>
      <c r="AK589" s="761"/>
      <c r="AL589" s="762"/>
      <c r="AM589" s="763"/>
      <c r="AN589" s="763"/>
      <c r="AO589" s="764"/>
    </row>
    <row r="590">
      <c r="A590" s="602" t="s">
        <v>1190</v>
      </c>
      <c r="B590" s="758"/>
      <c r="C590" s="759"/>
      <c r="D590" s="759"/>
      <c r="E590" s="760"/>
      <c r="F590" s="761"/>
      <c r="G590" s="761"/>
      <c r="H590" s="762"/>
      <c r="I590" s="759"/>
      <c r="J590" s="759"/>
      <c r="K590" s="760"/>
      <c r="L590" s="761"/>
      <c r="M590" s="761"/>
      <c r="N590" s="762"/>
      <c r="O590" s="759"/>
      <c r="P590" s="759"/>
      <c r="Q590" s="760"/>
      <c r="R590" s="761"/>
      <c r="S590" s="761"/>
      <c r="T590" s="762"/>
      <c r="U590" s="759"/>
      <c r="V590" s="759"/>
      <c r="W590" s="760"/>
      <c r="X590" s="761"/>
      <c r="Y590" s="761"/>
      <c r="Z590" s="762"/>
      <c r="AA590" s="759"/>
      <c r="AB590" s="759"/>
      <c r="AC590" s="760"/>
      <c r="AD590" s="761"/>
      <c r="AE590" s="761"/>
      <c r="AF590" s="762"/>
      <c r="AG590" s="759"/>
      <c r="AH590" s="759"/>
      <c r="AI590" s="760"/>
      <c r="AJ590" s="761"/>
      <c r="AK590" s="761"/>
      <c r="AL590" s="762"/>
      <c r="AM590" s="763"/>
      <c r="AN590" s="763"/>
      <c r="AO590" s="764"/>
    </row>
    <row r="591">
      <c r="A591" s="602" t="s">
        <v>1190</v>
      </c>
      <c r="B591" s="758"/>
      <c r="C591" s="759"/>
      <c r="D591" s="759"/>
      <c r="E591" s="760"/>
      <c r="F591" s="761"/>
      <c r="G591" s="761"/>
      <c r="H591" s="762"/>
      <c r="I591" s="759"/>
      <c r="J591" s="759"/>
      <c r="K591" s="760"/>
      <c r="L591" s="761"/>
      <c r="M591" s="761"/>
      <c r="N591" s="762"/>
      <c r="O591" s="759"/>
      <c r="P591" s="759"/>
      <c r="Q591" s="760"/>
      <c r="R591" s="761"/>
      <c r="S591" s="761"/>
      <c r="T591" s="762"/>
      <c r="U591" s="759"/>
      <c r="V591" s="759"/>
      <c r="W591" s="760"/>
      <c r="X591" s="761"/>
      <c r="Y591" s="761"/>
      <c r="Z591" s="762"/>
      <c r="AA591" s="759"/>
      <c r="AB591" s="759"/>
      <c r="AC591" s="760"/>
      <c r="AD591" s="761"/>
      <c r="AE591" s="761"/>
      <c r="AF591" s="762"/>
      <c r="AG591" s="759"/>
      <c r="AH591" s="759"/>
      <c r="AI591" s="760"/>
      <c r="AJ591" s="761"/>
      <c r="AK591" s="761"/>
      <c r="AL591" s="762"/>
      <c r="AM591" s="763"/>
      <c r="AN591" s="763"/>
      <c r="AO591" s="764"/>
    </row>
    <row r="592">
      <c r="A592" s="602" t="s">
        <v>1190</v>
      </c>
      <c r="B592" s="758"/>
      <c r="C592" s="759"/>
      <c r="D592" s="759"/>
      <c r="E592" s="760"/>
      <c r="F592" s="761"/>
      <c r="G592" s="761"/>
      <c r="H592" s="762"/>
      <c r="I592" s="759"/>
      <c r="J592" s="759"/>
      <c r="K592" s="760"/>
      <c r="L592" s="761"/>
      <c r="M592" s="761"/>
      <c r="N592" s="762"/>
      <c r="O592" s="759"/>
      <c r="P592" s="759"/>
      <c r="Q592" s="760"/>
      <c r="R592" s="761"/>
      <c r="S592" s="761"/>
      <c r="T592" s="762"/>
      <c r="U592" s="759"/>
      <c r="V592" s="759"/>
      <c r="W592" s="760"/>
      <c r="X592" s="761"/>
      <c r="Y592" s="761"/>
      <c r="Z592" s="762"/>
      <c r="AA592" s="759"/>
      <c r="AB592" s="759"/>
      <c r="AC592" s="760"/>
      <c r="AD592" s="761"/>
      <c r="AE592" s="761"/>
      <c r="AF592" s="762"/>
      <c r="AG592" s="759"/>
      <c r="AH592" s="759"/>
      <c r="AI592" s="760"/>
      <c r="AJ592" s="761"/>
      <c r="AK592" s="761"/>
      <c r="AL592" s="762"/>
      <c r="AM592" s="763"/>
      <c r="AN592" s="763"/>
      <c r="AO592" s="764"/>
    </row>
    <row r="593">
      <c r="A593" s="602" t="s">
        <v>1190</v>
      </c>
      <c r="B593" s="758"/>
      <c r="C593" s="759"/>
      <c r="D593" s="759"/>
      <c r="E593" s="760"/>
      <c r="F593" s="761"/>
      <c r="G593" s="761"/>
      <c r="H593" s="762"/>
      <c r="I593" s="759"/>
      <c r="J593" s="759"/>
      <c r="K593" s="760"/>
      <c r="L593" s="761"/>
      <c r="M593" s="761"/>
      <c r="N593" s="762"/>
      <c r="O593" s="759"/>
      <c r="P593" s="759"/>
      <c r="Q593" s="760"/>
      <c r="R593" s="761"/>
      <c r="S593" s="761"/>
      <c r="T593" s="762"/>
      <c r="U593" s="759"/>
      <c r="V593" s="759"/>
      <c r="W593" s="760"/>
      <c r="X593" s="761"/>
      <c r="Y593" s="761"/>
      <c r="Z593" s="762"/>
      <c r="AA593" s="759"/>
      <c r="AB593" s="759"/>
      <c r="AC593" s="760"/>
      <c r="AD593" s="761"/>
      <c r="AE593" s="761"/>
      <c r="AF593" s="762"/>
      <c r="AG593" s="759"/>
      <c r="AH593" s="759"/>
      <c r="AI593" s="760"/>
      <c r="AJ593" s="761"/>
      <c r="AK593" s="761"/>
      <c r="AL593" s="762"/>
      <c r="AM593" s="763"/>
      <c r="AN593" s="763"/>
      <c r="AO593" s="764"/>
    </row>
    <row r="594">
      <c r="A594" s="602" t="s">
        <v>1190</v>
      </c>
      <c r="B594" s="758"/>
      <c r="C594" s="759"/>
      <c r="D594" s="759"/>
      <c r="E594" s="760"/>
      <c r="F594" s="761"/>
      <c r="G594" s="761"/>
      <c r="H594" s="762"/>
      <c r="I594" s="759"/>
      <c r="J594" s="759"/>
      <c r="K594" s="760"/>
      <c r="L594" s="761"/>
      <c r="M594" s="761"/>
      <c r="N594" s="762"/>
      <c r="O594" s="759"/>
      <c r="P594" s="759"/>
      <c r="Q594" s="760"/>
      <c r="R594" s="761"/>
      <c r="S594" s="761"/>
      <c r="T594" s="762"/>
      <c r="U594" s="759"/>
      <c r="V594" s="759"/>
      <c r="W594" s="760"/>
      <c r="X594" s="761"/>
      <c r="Y594" s="761"/>
      <c r="Z594" s="762"/>
      <c r="AA594" s="759"/>
      <c r="AB594" s="759"/>
      <c r="AC594" s="760"/>
      <c r="AD594" s="761"/>
      <c r="AE594" s="761"/>
      <c r="AF594" s="762"/>
      <c r="AG594" s="759"/>
      <c r="AH594" s="759"/>
      <c r="AI594" s="760"/>
      <c r="AJ594" s="761"/>
      <c r="AK594" s="761"/>
      <c r="AL594" s="762"/>
      <c r="AM594" s="763"/>
      <c r="AN594" s="763"/>
      <c r="AO594" s="764"/>
    </row>
    <row r="595">
      <c r="A595" s="602" t="s">
        <v>1190</v>
      </c>
      <c r="B595" s="758"/>
      <c r="C595" s="759"/>
      <c r="D595" s="759"/>
      <c r="E595" s="760"/>
      <c r="F595" s="761"/>
      <c r="G595" s="761"/>
      <c r="H595" s="762"/>
      <c r="I595" s="759"/>
      <c r="J595" s="759"/>
      <c r="K595" s="760"/>
      <c r="L595" s="761"/>
      <c r="M595" s="761"/>
      <c r="N595" s="762"/>
      <c r="O595" s="759"/>
      <c r="P595" s="759"/>
      <c r="Q595" s="760"/>
      <c r="R595" s="761"/>
      <c r="S595" s="761"/>
      <c r="T595" s="762"/>
      <c r="U595" s="759"/>
      <c r="V595" s="759"/>
      <c r="W595" s="760"/>
      <c r="X595" s="761"/>
      <c r="Y595" s="761"/>
      <c r="Z595" s="762"/>
      <c r="AA595" s="759"/>
      <c r="AB595" s="759"/>
      <c r="AC595" s="760"/>
      <c r="AD595" s="761"/>
      <c r="AE595" s="761"/>
      <c r="AF595" s="762"/>
      <c r="AG595" s="759"/>
      <c r="AH595" s="759"/>
      <c r="AI595" s="760"/>
      <c r="AJ595" s="761"/>
      <c r="AK595" s="761"/>
      <c r="AL595" s="762"/>
      <c r="AM595" s="763"/>
      <c r="AN595" s="763"/>
      <c r="AO595" s="764"/>
    </row>
    <row r="596">
      <c r="A596" s="602" t="s">
        <v>1190</v>
      </c>
      <c r="B596" s="758"/>
      <c r="C596" s="759"/>
      <c r="D596" s="759"/>
      <c r="E596" s="760"/>
      <c r="F596" s="761"/>
      <c r="G596" s="761"/>
      <c r="H596" s="762"/>
      <c r="I596" s="759"/>
      <c r="J596" s="759"/>
      <c r="K596" s="760"/>
      <c r="L596" s="761"/>
      <c r="M596" s="761"/>
      <c r="N596" s="762"/>
      <c r="O596" s="759"/>
      <c r="P596" s="759"/>
      <c r="Q596" s="760"/>
      <c r="R596" s="761"/>
      <c r="S596" s="761"/>
      <c r="T596" s="762"/>
      <c r="U596" s="759"/>
      <c r="V596" s="759"/>
      <c r="W596" s="760"/>
      <c r="X596" s="761"/>
      <c r="Y596" s="761"/>
      <c r="Z596" s="762"/>
      <c r="AA596" s="759"/>
      <c r="AB596" s="759"/>
      <c r="AC596" s="760"/>
      <c r="AD596" s="761"/>
      <c r="AE596" s="761"/>
      <c r="AF596" s="762"/>
      <c r="AG596" s="759"/>
      <c r="AH596" s="759"/>
      <c r="AI596" s="760"/>
      <c r="AJ596" s="761"/>
      <c r="AK596" s="761"/>
      <c r="AL596" s="762"/>
      <c r="AM596" s="763"/>
      <c r="AN596" s="763"/>
      <c r="AO596" s="764"/>
    </row>
    <row r="597">
      <c r="A597" s="602" t="s">
        <v>1190</v>
      </c>
      <c r="B597" s="758"/>
      <c r="C597" s="759"/>
      <c r="D597" s="759"/>
      <c r="E597" s="760"/>
      <c r="F597" s="761"/>
      <c r="G597" s="761"/>
      <c r="H597" s="762"/>
      <c r="I597" s="759"/>
      <c r="J597" s="759"/>
      <c r="K597" s="760"/>
      <c r="L597" s="761"/>
      <c r="M597" s="761"/>
      <c r="N597" s="762"/>
      <c r="O597" s="759"/>
      <c r="P597" s="759"/>
      <c r="Q597" s="760"/>
      <c r="R597" s="761"/>
      <c r="S597" s="761"/>
      <c r="T597" s="762"/>
      <c r="U597" s="759"/>
      <c r="V597" s="759"/>
      <c r="W597" s="760"/>
      <c r="X597" s="761"/>
      <c r="Y597" s="761"/>
      <c r="Z597" s="762"/>
      <c r="AA597" s="759"/>
      <c r="AB597" s="759"/>
      <c r="AC597" s="760"/>
      <c r="AD597" s="761"/>
      <c r="AE597" s="761"/>
      <c r="AF597" s="762"/>
      <c r="AG597" s="759"/>
      <c r="AH597" s="759"/>
      <c r="AI597" s="760"/>
      <c r="AJ597" s="761"/>
      <c r="AK597" s="761"/>
      <c r="AL597" s="762"/>
      <c r="AM597" s="763"/>
      <c r="AN597" s="763"/>
      <c r="AO597" s="764"/>
    </row>
    <row r="598">
      <c r="A598" s="602" t="s">
        <v>1190</v>
      </c>
      <c r="B598" s="758"/>
      <c r="C598" s="759"/>
      <c r="D598" s="759"/>
      <c r="E598" s="760"/>
      <c r="F598" s="761"/>
      <c r="G598" s="761"/>
      <c r="H598" s="762"/>
      <c r="I598" s="759"/>
      <c r="J598" s="759"/>
      <c r="K598" s="760"/>
      <c r="L598" s="761"/>
      <c r="M598" s="761"/>
      <c r="N598" s="762"/>
      <c r="O598" s="759"/>
      <c r="P598" s="759"/>
      <c r="Q598" s="760"/>
      <c r="R598" s="761"/>
      <c r="S598" s="761"/>
      <c r="T598" s="762"/>
      <c r="U598" s="759"/>
      <c r="V598" s="759"/>
      <c r="W598" s="760"/>
      <c r="X598" s="761"/>
      <c r="Y598" s="761"/>
      <c r="Z598" s="762"/>
      <c r="AA598" s="759"/>
      <c r="AB598" s="759"/>
      <c r="AC598" s="760"/>
      <c r="AD598" s="761"/>
      <c r="AE598" s="761"/>
      <c r="AF598" s="762"/>
      <c r="AG598" s="759"/>
      <c r="AH598" s="759"/>
      <c r="AI598" s="760"/>
      <c r="AJ598" s="761"/>
      <c r="AK598" s="761"/>
      <c r="AL598" s="762"/>
      <c r="AM598" s="763"/>
      <c r="AN598" s="763"/>
      <c r="AO598" s="764"/>
    </row>
    <row r="599">
      <c r="A599" s="602" t="s">
        <v>1190</v>
      </c>
      <c r="B599" s="758"/>
      <c r="C599" s="759"/>
      <c r="D599" s="759"/>
      <c r="E599" s="760"/>
      <c r="F599" s="761"/>
      <c r="G599" s="761"/>
      <c r="H599" s="762"/>
      <c r="I599" s="759"/>
      <c r="J599" s="759"/>
      <c r="K599" s="760"/>
      <c r="L599" s="761"/>
      <c r="M599" s="761"/>
      <c r="N599" s="762"/>
      <c r="O599" s="759"/>
      <c r="P599" s="759"/>
      <c r="Q599" s="760"/>
      <c r="R599" s="761"/>
      <c r="S599" s="761"/>
      <c r="T599" s="762"/>
      <c r="U599" s="759"/>
      <c r="V599" s="759"/>
      <c r="W599" s="760"/>
      <c r="X599" s="761"/>
      <c r="Y599" s="761"/>
      <c r="Z599" s="762"/>
      <c r="AA599" s="759"/>
      <c r="AB599" s="759"/>
      <c r="AC599" s="760"/>
      <c r="AD599" s="761"/>
      <c r="AE599" s="761"/>
      <c r="AF599" s="762"/>
      <c r="AG599" s="759"/>
      <c r="AH599" s="759"/>
      <c r="AI599" s="760"/>
      <c r="AJ599" s="761"/>
      <c r="AK599" s="761"/>
      <c r="AL599" s="762"/>
      <c r="AM599" s="763"/>
      <c r="AN599" s="763"/>
      <c r="AO599" s="764"/>
    </row>
    <row r="600">
      <c r="A600" s="602" t="s">
        <v>1190</v>
      </c>
      <c r="B600" s="758"/>
      <c r="C600" s="759"/>
      <c r="D600" s="759"/>
      <c r="E600" s="760"/>
      <c r="F600" s="761"/>
      <c r="G600" s="761"/>
      <c r="H600" s="762"/>
      <c r="I600" s="759"/>
      <c r="J600" s="759"/>
      <c r="K600" s="760"/>
      <c r="L600" s="761"/>
      <c r="M600" s="761"/>
      <c r="N600" s="762"/>
      <c r="O600" s="759"/>
      <c r="P600" s="759"/>
      <c r="Q600" s="760"/>
      <c r="R600" s="761"/>
      <c r="S600" s="761"/>
      <c r="T600" s="762"/>
      <c r="U600" s="759"/>
      <c r="V600" s="759"/>
      <c r="W600" s="760"/>
      <c r="X600" s="761"/>
      <c r="Y600" s="761"/>
      <c r="Z600" s="762"/>
      <c r="AA600" s="759"/>
      <c r="AB600" s="759"/>
      <c r="AC600" s="760"/>
      <c r="AD600" s="761"/>
      <c r="AE600" s="761"/>
      <c r="AF600" s="762"/>
      <c r="AG600" s="759"/>
      <c r="AH600" s="759"/>
      <c r="AI600" s="760"/>
      <c r="AJ600" s="761"/>
      <c r="AK600" s="761"/>
      <c r="AL600" s="762"/>
      <c r="AM600" s="763"/>
      <c r="AN600" s="763"/>
      <c r="AO600" s="764"/>
    </row>
    <row r="601">
      <c r="A601" s="602" t="s">
        <v>1190</v>
      </c>
      <c r="B601" s="758"/>
      <c r="C601" s="759"/>
      <c r="D601" s="759"/>
      <c r="E601" s="760"/>
      <c r="F601" s="761"/>
      <c r="G601" s="761"/>
      <c r="H601" s="762"/>
      <c r="I601" s="759"/>
      <c r="J601" s="759"/>
      <c r="K601" s="760"/>
      <c r="L601" s="761"/>
      <c r="M601" s="761"/>
      <c r="N601" s="762"/>
      <c r="O601" s="759"/>
      <c r="P601" s="759"/>
      <c r="Q601" s="760"/>
      <c r="R601" s="761"/>
      <c r="S601" s="761"/>
      <c r="T601" s="762"/>
      <c r="U601" s="759"/>
      <c r="V601" s="759"/>
      <c r="W601" s="760"/>
      <c r="X601" s="761"/>
      <c r="Y601" s="761"/>
      <c r="Z601" s="762"/>
      <c r="AA601" s="759"/>
      <c r="AB601" s="759"/>
      <c r="AC601" s="760"/>
      <c r="AD601" s="761"/>
      <c r="AE601" s="761"/>
      <c r="AF601" s="762"/>
      <c r="AG601" s="759"/>
      <c r="AH601" s="759"/>
      <c r="AI601" s="760"/>
      <c r="AJ601" s="761"/>
      <c r="AK601" s="761"/>
      <c r="AL601" s="762"/>
      <c r="AM601" s="763"/>
      <c r="AN601" s="763"/>
      <c r="AO601" s="764"/>
    </row>
    <row r="602">
      <c r="A602" s="602" t="s">
        <v>1190</v>
      </c>
      <c r="B602" s="758"/>
      <c r="C602" s="759"/>
      <c r="D602" s="759"/>
      <c r="E602" s="760"/>
      <c r="F602" s="761"/>
      <c r="G602" s="761"/>
      <c r="H602" s="762"/>
      <c r="I602" s="759"/>
      <c r="J602" s="759"/>
      <c r="K602" s="760"/>
      <c r="L602" s="761"/>
      <c r="M602" s="761"/>
      <c r="N602" s="762"/>
      <c r="O602" s="759"/>
      <c r="P602" s="759"/>
      <c r="Q602" s="760"/>
      <c r="R602" s="761"/>
      <c r="S602" s="761"/>
      <c r="T602" s="762"/>
      <c r="U602" s="759"/>
      <c r="V602" s="759"/>
      <c r="W602" s="760"/>
      <c r="X602" s="761"/>
      <c r="Y602" s="761"/>
      <c r="Z602" s="762"/>
      <c r="AA602" s="759"/>
      <c r="AB602" s="759"/>
      <c r="AC602" s="760"/>
      <c r="AD602" s="761"/>
      <c r="AE602" s="761"/>
      <c r="AF602" s="762"/>
      <c r="AG602" s="759"/>
      <c r="AH602" s="759"/>
      <c r="AI602" s="760"/>
      <c r="AJ602" s="761"/>
      <c r="AK602" s="761"/>
      <c r="AL602" s="762"/>
      <c r="AM602" s="763"/>
      <c r="AN602" s="763"/>
      <c r="AO602" s="764"/>
    </row>
    <row r="603">
      <c r="A603" s="602" t="s">
        <v>1190</v>
      </c>
      <c r="B603" s="758"/>
      <c r="C603" s="759"/>
      <c r="D603" s="759"/>
      <c r="E603" s="760"/>
      <c r="F603" s="761"/>
      <c r="G603" s="761"/>
      <c r="H603" s="762"/>
      <c r="I603" s="759"/>
      <c r="J603" s="759"/>
      <c r="K603" s="760"/>
      <c r="L603" s="761"/>
      <c r="M603" s="761"/>
      <c r="N603" s="762"/>
      <c r="O603" s="759"/>
      <c r="P603" s="759"/>
      <c r="Q603" s="760"/>
      <c r="R603" s="761"/>
      <c r="S603" s="761"/>
      <c r="T603" s="762"/>
      <c r="U603" s="759"/>
      <c r="V603" s="759"/>
      <c r="W603" s="760"/>
      <c r="X603" s="761"/>
      <c r="Y603" s="761"/>
      <c r="Z603" s="762"/>
      <c r="AA603" s="759"/>
      <c r="AB603" s="759"/>
      <c r="AC603" s="760"/>
      <c r="AD603" s="761"/>
      <c r="AE603" s="761"/>
      <c r="AF603" s="762"/>
      <c r="AG603" s="759"/>
      <c r="AH603" s="759"/>
      <c r="AI603" s="760"/>
      <c r="AJ603" s="761"/>
      <c r="AK603" s="761"/>
      <c r="AL603" s="762"/>
      <c r="AM603" s="763"/>
      <c r="AN603" s="763"/>
      <c r="AO603" s="764"/>
    </row>
    <row r="604">
      <c r="A604" s="602" t="s">
        <v>1190</v>
      </c>
      <c r="B604" s="758"/>
      <c r="C604" s="759"/>
      <c r="D604" s="759"/>
      <c r="E604" s="760"/>
      <c r="F604" s="761"/>
      <c r="G604" s="761"/>
      <c r="H604" s="762"/>
      <c r="I604" s="759"/>
      <c r="J604" s="759"/>
      <c r="K604" s="760"/>
      <c r="L604" s="761"/>
      <c r="M604" s="761"/>
      <c r="N604" s="762"/>
      <c r="O604" s="759"/>
      <c r="P604" s="759"/>
      <c r="Q604" s="760"/>
      <c r="R604" s="761"/>
      <c r="S604" s="761"/>
      <c r="T604" s="762"/>
      <c r="U604" s="759"/>
      <c r="V604" s="759"/>
      <c r="W604" s="760"/>
      <c r="X604" s="761"/>
      <c r="Y604" s="761"/>
      <c r="Z604" s="762"/>
      <c r="AA604" s="759"/>
      <c r="AB604" s="759"/>
      <c r="AC604" s="760"/>
      <c r="AD604" s="761"/>
      <c r="AE604" s="761"/>
      <c r="AF604" s="762"/>
      <c r="AG604" s="759"/>
      <c r="AH604" s="759"/>
      <c r="AI604" s="760"/>
      <c r="AJ604" s="761"/>
      <c r="AK604" s="761"/>
      <c r="AL604" s="762"/>
      <c r="AM604" s="763"/>
      <c r="AN604" s="763"/>
      <c r="AO604" s="764"/>
    </row>
    <row r="605">
      <c r="A605" s="602" t="s">
        <v>1190</v>
      </c>
      <c r="B605" s="758"/>
      <c r="C605" s="759"/>
      <c r="D605" s="759"/>
      <c r="E605" s="760"/>
      <c r="F605" s="761"/>
      <c r="G605" s="761"/>
      <c r="H605" s="762"/>
      <c r="I605" s="759"/>
      <c r="J605" s="759"/>
      <c r="K605" s="760"/>
      <c r="L605" s="761"/>
      <c r="M605" s="761"/>
      <c r="N605" s="762"/>
      <c r="O605" s="759"/>
      <c r="P605" s="759"/>
      <c r="Q605" s="760"/>
      <c r="R605" s="761"/>
      <c r="S605" s="761"/>
      <c r="T605" s="762"/>
      <c r="U605" s="759"/>
      <c r="V605" s="759"/>
      <c r="W605" s="760"/>
      <c r="X605" s="761"/>
      <c r="Y605" s="761"/>
      <c r="Z605" s="762"/>
      <c r="AA605" s="759"/>
      <c r="AB605" s="759"/>
      <c r="AC605" s="760"/>
      <c r="AD605" s="761"/>
      <c r="AE605" s="761"/>
      <c r="AF605" s="762"/>
      <c r="AG605" s="759"/>
      <c r="AH605" s="759"/>
      <c r="AI605" s="760"/>
      <c r="AJ605" s="761"/>
      <c r="AK605" s="761"/>
      <c r="AL605" s="762"/>
      <c r="AM605" s="763"/>
      <c r="AN605" s="763"/>
      <c r="AO605" s="764"/>
    </row>
    <row r="606">
      <c r="A606" s="602" t="s">
        <v>1190</v>
      </c>
      <c r="B606" s="758"/>
      <c r="C606" s="759"/>
      <c r="D606" s="759"/>
      <c r="E606" s="760"/>
      <c r="F606" s="761"/>
      <c r="G606" s="761"/>
      <c r="H606" s="762"/>
      <c r="I606" s="759"/>
      <c r="J606" s="759"/>
      <c r="K606" s="760"/>
      <c r="L606" s="761"/>
      <c r="M606" s="761"/>
      <c r="N606" s="762"/>
      <c r="O606" s="759"/>
      <c r="P606" s="759"/>
      <c r="Q606" s="760"/>
      <c r="R606" s="761"/>
      <c r="S606" s="761"/>
      <c r="T606" s="762"/>
      <c r="U606" s="759"/>
      <c r="V606" s="759"/>
      <c r="W606" s="760"/>
      <c r="X606" s="761"/>
      <c r="Y606" s="761"/>
      <c r="Z606" s="762"/>
      <c r="AA606" s="759"/>
      <c r="AB606" s="759"/>
      <c r="AC606" s="760"/>
      <c r="AD606" s="761"/>
      <c r="AE606" s="761"/>
      <c r="AF606" s="762"/>
      <c r="AG606" s="759"/>
      <c r="AH606" s="759"/>
      <c r="AI606" s="760"/>
      <c r="AJ606" s="761"/>
      <c r="AK606" s="761"/>
      <c r="AL606" s="762"/>
      <c r="AM606" s="763"/>
      <c r="AN606" s="763"/>
      <c r="AO606" s="764"/>
    </row>
    <row r="607">
      <c r="A607" s="602" t="s">
        <v>1190</v>
      </c>
      <c r="B607" s="758"/>
      <c r="C607" s="759"/>
      <c r="D607" s="759"/>
      <c r="E607" s="760"/>
      <c r="F607" s="761"/>
      <c r="G607" s="761"/>
      <c r="H607" s="762"/>
      <c r="I607" s="759"/>
      <c r="J607" s="759"/>
      <c r="K607" s="760"/>
      <c r="L607" s="761"/>
      <c r="M607" s="761"/>
      <c r="N607" s="762"/>
      <c r="O607" s="759"/>
      <c r="P607" s="759"/>
      <c r="Q607" s="760"/>
      <c r="R607" s="761"/>
      <c r="S607" s="761"/>
      <c r="T607" s="762"/>
      <c r="U607" s="759"/>
      <c r="V607" s="759"/>
      <c r="W607" s="760"/>
      <c r="X607" s="761"/>
      <c r="Y607" s="761"/>
      <c r="Z607" s="762"/>
      <c r="AA607" s="759"/>
      <c r="AB607" s="759"/>
      <c r="AC607" s="760"/>
      <c r="AD607" s="761"/>
      <c r="AE607" s="761"/>
      <c r="AF607" s="762"/>
      <c r="AG607" s="759"/>
      <c r="AH607" s="759"/>
      <c r="AI607" s="760"/>
      <c r="AJ607" s="761"/>
      <c r="AK607" s="761"/>
      <c r="AL607" s="762"/>
      <c r="AM607" s="763"/>
      <c r="AN607" s="763"/>
      <c r="AO607" s="764"/>
    </row>
    <row r="608">
      <c r="A608" s="602" t="s">
        <v>1190</v>
      </c>
      <c r="B608" s="758"/>
      <c r="C608" s="759"/>
      <c r="D608" s="759"/>
      <c r="E608" s="760"/>
      <c r="F608" s="761"/>
      <c r="G608" s="761"/>
      <c r="H608" s="762"/>
      <c r="I608" s="759"/>
      <c r="J608" s="759"/>
      <c r="K608" s="760"/>
      <c r="L608" s="761"/>
      <c r="M608" s="761"/>
      <c r="N608" s="762"/>
      <c r="O608" s="759"/>
      <c r="P608" s="759"/>
      <c r="Q608" s="760"/>
      <c r="R608" s="761"/>
      <c r="S608" s="761"/>
      <c r="T608" s="762"/>
      <c r="U608" s="759"/>
      <c r="V608" s="759"/>
      <c r="W608" s="760"/>
      <c r="X608" s="761"/>
      <c r="Y608" s="761"/>
      <c r="Z608" s="762"/>
      <c r="AA608" s="759"/>
      <c r="AB608" s="759"/>
      <c r="AC608" s="760"/>
      <c r="AD608" s="761"/>
      <c r="AE608" s="761"/>
      <c r="AF608" s="762"/>
      <c r="AG608" s="759"/>
      <c r="AH608" s="759"/>
      <c r="AI608" s="760"/>
      <c r="AJ608" s="761"/>
      <c r="AK608" s="761"/>
      <c r="AL608" s="762"/>
      <c r="AM608" s="763"/>
      <c r="AN608" s="763"/>
      <c r="AO608" s="764"/>
    </row>
    <row r="609">
      <c r="A609" s="602" t="s">
        <v>1190</v>
      </c>
      <c r="B609" s="758"/>
      <c r="C609" s="759"/>
      <c r="D609" s="759"/>
      <c r="E609" s="760"/>
      <c r="F609" s="761"/>
      <c r="G609" s="761"/>
      <c r="H609" s="762"/>
      <c r="I609" s="759"/>
      <c r="J609" s="759"/>
      <c r="K609" s="760"/>
      <c r="L609" s="761"/>
      <c r="M609" s="761"/>
      <c r="N609" s="762"/>
      <c r="O609" s="759"/>
      <c r="P609" s="759"/>
      <c r="Q609" s="760"/>
      <c r="R609" s="761"/>
      <c r="S609" s="761"/>
      <c r="T609" s="762"/>
      <c r="U609" s="759"/>
      <c r="V609" s="759"/>
      <c r="W609" s="760"/>
      <c r="X609" s="761"/>
      <c r="Y609" s="761"/>
      <c r="Z609" s="762"/>
      <c r="AA609" s="759"/>
      <c r="AB609" s="759"/>
      <c r="AC609" s="760"/>
      <c r="AD609" s="761"/>
      <c r="AE609" s="761"/>
      <c r="AF609" s="762"/>
      <c r="AG609" s="759"/>
      <c r="AH609" s="759"/>
      <c r="AI609" s="760"/>
      <c r="AJ609" s="761"/>
      <c r="AK609" s="761"/>
      <c r="AL609" s="762"/>
      <c r="AM609" s="763"/>
      <c r="AN609" s="763"/>
      <c r="AO609" s="764"/>
    </row>
    <row r="610">
      <c r="A610" s="602" t="s">
        <v>1190</v>
      </c>
      <c r="B610" s="758"/>
      <c r="C610" s="759"/>
      <c r="D610" s="759"/>
      <c r="E610" s="760"/>
      <c r="F610" s="761"/>
      <c r="G610" s="761"/>
      <c r="H610" s="762"/>
      <c r="I610" s="759"/>
      <c r="J610" s="759"/>
      <c r="K610" s="760"/>
      <c r="L610" s="761"/>
      <c r="M610" s="761"/>
      <c r="N610" s="762"/>
      <c r="O610" s="759"/>
      <c r="P610" s="759"/>
      <c r="Q610" s="760"/>
      <c r="R610" s="761"/>
      <c r="S610" s="761"/>
      <c r="T610" s="762"/>
      <c r="U610" s="759"/>
      <c r="V610" s="759"/>
      <c r="W610" s="760"/>
      <c r="X610" s="761"/>
      <c r="Y610" s="761"/>
      <c r="Z610" s="762"/>
      <c r="AA610" s="759"/>
      <c r="AB610" s="759"/>
      <c r="AC610" s="760"/>
      <c r="AD610" s="761"/>
      <c r="AE610" s="761"/>
      <c r="AF610" s="762"/>
      <c r="AG610" s="759"/>
      <c r="AH610" s="759"/>
      <c r="AI610" s="760"/>
      <c r="AJ610" s="761"/>
      <c r="AK610" s="761"/>
      <c r="AL610" s="762"/>
      <c r="AM610" s="763"/>
      <c r="AN610" s="763"/>
      <c r="AO610" s="764"/>
    </row>
    <row r="611">
      <c r="A611" s="602" t="s">
        <v>1190</v>
      </c>
      <c r="B611" s="758"/>
      <c r="C611" s="759"/>
      <c r="D611" s="759"/>
      <c r="E611" s="760"/>
      <c r="F611" s="761"/>
      <c r="G611" s="761"/>
      <c r="H611" s="762"/>
      <c r="I611" s="759"/>
      <c r="J611" s="759"/>
      <c r="K611" s="760"/>
      <c r="L611" s="761"/>
      <c r="M611" s="761"/>
      <c r="N611" s="762"/>
      <c r="O611" s="759"/>
      <c r="P611" s="759"/>
      <c r="Q611" s="760"/>
      <c r="R611" s="761"/>
      <c r="S611" s="761"/>
      <c r="T611" s="762"/>
      <c r="U611" s="759"/>
      <c r="V611" s="759"/>
      <c r="W611" s="760"/>
      <c r="X611" s="761"/>
      <c r="Y611" s="761"/>
      <c r="Z611" s="762"/>
      <c r="AA611" s="759"/>
      <c r="AB611" s="759"/>
      <c r="AC611" s="760"/>
      <c r="AD611" s="761"/>
      <c r="AE611" s="761"/>
      <c r="AF611" s="762"/>
      <c r="AG611" s="759"/>
      <c r="AH611" s="759"/>
      <c r="AI611" s="760"/>
      <c r="AJ611" s="761"/>
      <c r="AK611" s="761"/>
      <c r="AL611" s="762"/>
      <c r="AM611" s="763"/>
      <c r="AN611" s="763"/>
      <c r="AO611" s="764"/>
    </row>
    <row r="612">
      <c r="A612" s="602" t="s">
        <v>1190</v>
      </c>
      <c r="B612" s="758"/>
      <c r="C612" s="759"/>
      <c r="D612" s="759"/>
      <c r="E612" s="760"/>
      <c r="F612" s="761"/>
      <c r="G612" s="761"/>
      <c r="H612" s="762"/>
      <c r="I612" s="759"/>
      <c r="J612" s="759"/>
      <c r="K612" s="760"/>
      <c r="L612" s="761"/>
      <c r="M612" s="761"/>
      <c r="N612" s="762"/>
      <c r="O612" s="759"/>
      <c r="P612" s="759"/>
      <c r="Q612" s="760"/>
      <c r="R612" s="761"/>
      <c r="S612" s="761"/>
      <c r="T612" s="762"/>
      <c r="U612" s="759"/>
      <c r="V612" s="759"/>
      <c r="W612" s="760"/>
      <c r="X612" s="761"/>
      <c r="Y612" s="761"/>
      <c r="Z612" s="762"/>
      <c r="AA612" s="759"/>
      <c r="AB612" s="759"/>
      <c r="AC612" s="760"/>
      <c r="AD612" s="761"/>
      <c r="AE612" s="761"/>
      <c r="AF612" s="762"/>
      <c r="AG612" s="759"/>
      <c r="AH612" s="759"/>
      <c r="AI612" s="760"/>
      <c r="AJ612" s="761"/>
      <c r="AK612" s="761"/>
      <c r="AL612" s="762"/>
      <c r="AM612" s="763"/>
      <c r="AN612" s="763"/>
      <c r="AO612" s="764"/>
    </row>
    <row r="613">
      <c r="A613" s="602" t="s">
        <v>1190</v>
      </c>
      <c r="B613" s="758"/>
      <c r="C613" s="759"/>
      <c r="D613" s="759"/>
      <c r="E613" s="760"/>
      <c r="F613" s="761"/>
      <c r="G613" s="761"/>
      <c r="H613" s="762"/>
      <c r="I613" s="759"/>
      <c r="J613" s="759"/>
      <c r="K613" s="760"/>
      <c r="L613" s="761"/>
      <c r="M613" s="761"/>
      <c r="N613" s="762"/>
      <c r="O613" s="759"/>
      <c r="P613" s="759"/>
      <c r="Q613" s="760"/>
      <c r="R613" s="761"/>
      <c r="S613" s="761"/>
      <c r="T613" s="762"/>
      <c r="U613" s="759"/>
      <c r="V613" s="759"/>
      <c r="W613" s="760"/>
      <c r="X613" s="761"/>
      <c r="Y613" s="761"/>
      <c r="Z613" s="762"/>
      <c r="AA613" s="759"/>
      <c r="AB613" s="759"/>
      <c r="AC613" s="760"/>
      <c r="AD613" s="761"/>
      <c r="AE613" s="761"/>
      <c r="AF613" s="762"/>
      <c r="AG613" s="759"/>
      <c r="AH613" s="759"/>
      <c r="AI613" s="760"/>
      <c r="AJ613" s="761"/>
      <c r="AK613" s="761"/>
      <c r="AL613" s="762"/>
      <c r="AM613" s="763"/>
      <c r="AN613" s="763"/>
      <c r="AO613" s="764"/>
    </row>
    <row r="614">
      <c r="A614" s="602" t="s">
        <v>1190</v>
      </c>
      <c r="B614" s="758"/>
      <c r="C614" s="759"/>
      <c r="D614" s="759"/>
      <c r="E614" s="760"/>
      <c r="F614" s="761"/>
      <c r="G614" s="761"/>
      <c r="H614" s="762"/>
      <c r="I614" s="759"/>
      <c r="J614" s="759"/>
      <c r="K614" s="760"/>
      <c r="L614" s="761"/>
      <c r="M614" s="761"/>
      <c r="N614" s="762"/>
      <c r="O614" s="759"/>
      <c r="P614" s="759"/>
      <c r="Q614" s="760"/>
      <c r="R614" s="761"/>
      <c r="S614" s="761"/>
      <c r="T614" s="762"/>
      <c r="U614" s="759"/>
      <c r="V614" s="759"/>
      <c r="W614" s="760"/>
      <c r="X614" s="761"/>
      <c r="Y614" s="761"/>
      <c r="Z614" s="762"/>
      <c r="AA614" s="759"/>
      <c r="AB614" s="759"/>
      <c r="AC614" s="760"/>
      <c r="AD614" s="761"/>
      <c r="AE614" s="761"/>
      <c r="AF614" s="762"/>
      <c r="AG614" s="759"/>
      <c r="AH614" s="759"/>
      <c r="AI614" s="760"/>
      <c r="AJ614" s="761"/>
      <c r="AK614" s="761"/>
      <c r="AL614" s="762"/>
      <c r="AM614" s="763"/>
      <c r="AN614" s="763"/>
      <c r="AO614" s="764"/>
    </row>
    <row r="615">
      <c r="A615" s="602" t="s">
        <v>1190</v>
      </c>
      <c r="B615" s="758"/>
      <c r="C615" s="759"/>
      <c r="D615" s="759"/>
      <c r="E615" s="760"/>
      <c r="F615" s="761"/>
      <c r="G615" s="761"/>
      <c r="H615" s="762"/>
      <c r="I615" s="759"/>
      <c r="J615" s="759"/>
      <c r="K615" s="760"/>
      <c r="L615" s="761"/>
      <c r="M615" s="761"/>
      <c r="N615" s="762"/>
      <c r="O615" s="759"/>
      <c r="P615" s="759"/>
      <c r="Q615" s="760"/>
      <c r="R615" s="761"/>
      <c r="S615" s="761"/>
      <c r="T615" s="762"/>
      <c r="U615" s="759"/>
      <c r="V615" s="759"/>
      <c r="W615" s="760"/>
      <c r="X615" s="761"/>
      <c r="Y615" s="761"/>
      <c r="Z615" s="762"/>
      <c r="AA615" s="759"/>
      <c r="AB615" s="759"/>
      <c r="AC615" s="760"/>
      <c r="AD615" s="761"/>
      <c r="AE615" s="761"/>
      <c r="AF615" s="762"/>
      <c r="AG615" s="759"/>
      <c r="AH615" s="759"/>
      <c r="AI615" s="760"/>
      <c r="AJ615" s="761"/>
      <c r="AK615" s="761"/>
      <c r="AL615" s="762"/>
      <c r="AM615" s="763"/>
      <c r="AN615" s="763"/>
      <c r="AO615" s="764"/>
    </row>
    <row r="616">
      <c r="A616" s="602" t="s">
        <v>1190</v>
      </c>
      <c r="B616" s="758"/>
      <c r="C616" s="759"/>
      <c r="D616" s="759"/>
      <c r="E616" s="760"/>
      <c r="F616" s="761"/>
      <c r="G616" s="761"/>
      <c r="H616" s="762"/>
      <c r="I616" s="759"/>
      <c r="J616" s="759"/>
      <c r="K616" s="760"/>
      <c r="L616" s="761"/>
      <c r="M616" s="761"/>
      <c r="N616" s="762"/>
      <c r="O616" s="759"/>
      <c r="P616" s="759"/>
      <c r="Q616" s="760"/>
      <c r="R616" s="761"/>
      <c r="S616" s="761"/>
      <c r="T616" s="762"/>
      <c r="U616" s="759"/>
      <c r="V616" s="759"/>
      <c r="W616" s="760"/>
      <c r="X616" s="761"/>
      <c r="Y616" s="761"/>
      <c r="Z616" s="762"/>
      <c r="AA616" s="759"/>
      <c r="AB616" s="759"/>
      <c r="AC616" s="760"/>
      <c r="AD616" s="761"/>
      <c r="AE616" s="761"/>
      <c r="AF616" s="762"/>
      <c r="AG616" s="759"/>
      <c r="AH616" s="759"/>
      <c r="AI616" s="760"/>
      <c r="AJ616" s="761"/>
      <c r="AK616" s="761"/>
      <c r="AL616" s="762"/>
      <c r="AM616" s="763"/>
      <c r="AN616" s="763"/>
      <c r="AO616" s="764"/>
    </row>
    <row r="617">
      <c r="A617" s="602" t="s">
        <v>1190</v>
      </c>
      <c r="B617" s="758"/>
      <c r="C617" s="759"/>
      <c r="D617" s="759"/>
      <c r="E617" s="760"/>
      <c r="F617" s="761"/>
      <c r="G617" s="761"/>
      <c r="H617" s="762"/>
      <c r="I617" s="759"/>
      <c r="J617" s="759"/>
      <c r="K617" s="760"/>
      <c r="L617" s="761"/>
      <c r="M617" s="761"/>
      <c r="N617" s="762"/>
      <c r="O617" s="759"/>
      <c r="P617" s="759"/>
      <c r="Q617" s="760"/>
      <c r="R617" s="761"/>
      <c r="S617" s="761"/>
      <c r="T617" s="762"/>
      <c r="U617" s="759"/>
      <c r="V617" s="759"/>
      <c r="W617" s="760"/>
      <c r="X617" s="761"/>
      <c r="Y617" s="761"/>
      <c r="Z617" s="762"/>
      <c r="AA617" s="759"/>
      <c r="AB617" s="759"/>
      <c r="AC617" s="760"/>
      <c r="AD617" s="761"/>
      <c r="AE617" s="761"/>
      <c r="AF617" s="762"/>
      <c r="AG617" s="759"/>
      <c r="AH617" s="759"/>
      <c r="AI617" s="760"/>
      <c r="AJ617" s="761"/>
      <c r="AK617" s="761"/>
      <c r="AL617" s="762"/>
      <c r="AM617" s="763"/>
      <c r="AN617" s="763"/>
      <c r="AO617" s="764"/>
    </row>
    <row r="618">
      <c r="A618" s="602" t="s">
        <v>1190</v>
      </c>
      <c r="B618" s="758"/>
      <c r="C618" s="759"/>
      <c r="D618" s="759"/>
      <c r="E618" s="760"/>
      <c r="F618" s="761"/>
      <c r="G618" s="761"/>
      <c r="H618" s="762"/>
      <c r="I618" s="759"/>
      <c r="J618" s="759"/>
      <c r="K618" s="760"/>
      <c r="L618" s="761"/>
      <c r="M618" s="761"/>
      <c r="N618" s="762"/>
      <c r="O618" s="759"/>
      <c r="P618" s="759"/>
      <c r="Q618" s="760"/>
      <c r="R618" s="761"/>
      <c r="S618" s="761"/>
      <c r="T618" s="762"/>
      <c r="U618" s="759"/>
      <c r="V618" s="759"/>
      <c r="W618" s="760"/>
      <c r="X618" s="761"/>
      <c r="Y618" s="761"/>
      <c r="Z618" s="762"/>
      <c r="AA618" s="759"/>
      <c r="AB618" s="759"/>
      <c r="AC618" s="760"/>
      <c r="AD618" s="761"/>
      <c r="AE618" s="761"/>
      <c r="AF618" s="762"/>
      <c r="AG618" s="759"/>
      <c r="AH618" s="759"/>
      <c r="AI618" s="760"/>
      <c r="AJ618" s="761"/>
      <c r="AK618" s="761"/>
      <c r="AL618" s="762"/>
      <c r="AM618" s="763"/>
      <c r="AN618" s="763"/>
      <c r="AO618" s="764"/>
    </row>
    <row r="619">
      <c r="A619" s="602" t="s">
        <v>1190</v>
      </c>
      <c r="B619" s="758"/>
      <c r="C619" s="759"/>
      <c r="D619" s="759"/>
      <c r="E619" s="760"/>
      <c r="F619" s="761"/>
      <c r="G619" s="761"/>
      <c r="H619" s="762"/>
      <c r="I619" s="759"/>
      <c r="J619" s="759"/>
      <c r="K619" s="760"/>
      <c r="L619" s="761"/>
      <c r="M619" s="761"/>
      <c r="N619" s="762"/>
      <c r="O619" s="759"/>
      <c r="P619" s="759"/>
      <c r="Q619" s="760"/>
      <c r="R619" s="761"/>
      <c r="S619" s="761"/>
      <c r="T619" s="762"/>
      <c r="U619" s="759"/>
      <c r="V619" s="759"/>
      <c r="W619" s="760"/>
      <c r="X619" s="761"/>
      <c r="Y619" s="761"/>
      <c r="Z619" s="762"/>
      <c r="AA619" s="759"/>
      <c r="AB619" s="759"/>
      <c r="AC619" s="760"/>
      <c r="AD619" s="761"/>
      <c r="AE619" s="761"/>
      <c r="AF619" s="762"/>
      <c r="AG619" s="759"/>
      <c r="AH619" s="759"/>
      <c r="AI619" s="760"/>
      <c r="AJ619" s="761"/>
      <c r="AK619" s="761"/>
      <c r="AL619" s="762"/>
      <c r="AM619" s="763"/>
      <c r="AN619" s="763"/>
      <c r="AO619" s="764"/>
    </row>
    <row r="620">
      <c r="A620" s="602" t="s">
        <v>1190</v>
      </c>
      <c r="B620" s="758"/>
      <c r="C620" s="759"/>
      <c r="D620" s="759"/>
      <c r="E620" s="760"/>
      <c r="F620" s="761"/>
      <c r="G620" s="761"/>
      <c r="H620" s="762"/>
      <c r="I620" s="759"/>
      <c r="J620" s="759"/>
      <c r="K620" s="760"/>
      <c r="L620" s="761"/>
      <c r="M620" s="761"/>
      <c r="N620" s="762"/>
      <c r="O620" s="759"/>
      <c r="P620" s="759"/>
      <c r="Q620" s="760"/>
      <c r="R620" s="761"/>
      <c r="S620" s="761"/>
      <c r="T620" s="762"/>
      <c r="U620" s="759"/>
      <c r="V620" s="759"/>
      <c r="W620" s="760"/>
      <c r="X620" s="761"/>
      <c r="Y620" s="761"/>
      <c r="Z620" s="762"/>
      <c r="AA620" s="759"/>
      <c r="AB620" s="759"/>
      <c r="AC620" s="760"/>
      <c r="AD620" s="761"/>
      <c r="AE620" s="761"/>
      <c r="AF620" s="762"/>
      <c r="AG620" s="759"/>
      <c r="AH620" s="759"/>
      <c r="AI620" s="760"/>
      <c r="AJ620" s="761"/>
      <c r="AK620" s="761"/>
      <c r="AL620" s="762"/>
      <c r="AM620" s="763"/>
      <c r="AN620" s="763"/>
      <c r="AO620" s="764"/>
    </row>
    <row r="621">
      <c r="A621" s="602" t="s">
        <v>1190</v>
      </c>
      <c r="B621" s="758"/>
      <c r="C621" s="759"/>
      <c r="D621" s="759"/>
      <c r="E621" s="760"/>
      <c r="F621" s="761"/>
      <c r="G621" s="761"/>
      <c r="H621" s="762"/>
      <c r="I621" s="759"/>
      <c r="J621" s="759"/>
      <c r="K621" s="760"/>
      <c r="L621" s="761"/>
      <c r="M621" s="761"/>
      <c r="N621" s="762"/>
      <c r="O621" s="759"/>
      <c r="P621" s="759"/>
      <c r="Q621" s="760"/>
      <c r="R621" s="761"/>
      <c r="S621" s="761"/>
      <c r="T621" s="762"/>
      <c r="U621" s="759"/>
      <c r="V621" s="759"/>
      <c r="W621" s="760"/>
      <c r="X621" s="761"/>
      <c r="Y621" s="761"/>
      <c r="Z621" s="762"/>
      <c r="AA621" s="759"/>
      <c r="AB621" s="759"/>
      <c r="AC621" s="760"/>
      <c r="AD621" s="761"/>
      <c r="AE621" s="761"/>
      <c r="AF621" s="762"/>
      <c r="AG621" s="759"/>
      <c r="AH621" s="759"/>
      <c r="AI621" s="760"/>
      <c r="AJ621" s="761"/>
      <c r="AK621" s="761"/>
      <c r="AL621" s="762"/>
      <c r="AM621" s="763"/>
      <c r="AN621" s="763"/>
      <c r="AO621" s="764"/>
    </row>
    <row r="622">
      <c r="A622" s="602" t="s">
        <v>1190</v>
      </c>
      <c r="B622" s="758"/>
      <c r="C622" s="759"/>
      <c r="D622" s="759"/>
      <c r="E622" s="760"/>
      <c r="F622" s="761"/>
      <c r="G622" s="761"/>
      <c r="H622" s="762"/>
      <c r="I622" s="759"/>
      <c r="J622" s="759"/>
      <c r="K622" s="760"/>
      <c r="L622" s="761"/>
      <c r="M622" s="761"/>
      <c r="N622" s="762"/>
      <c r="O622" s="759"/>
      <c r="P622" s="759"/>
      <c r="Q622" s="760"/>
      <c r="R622" s="761"/>
      <c r="S622" s="761"/>
      <c r="T622" s="762"/>
      <c r="U622" s="759"/>
      <c r="V622" s="759"/>
      <c r="W622" s="760"/>
      <c r="X622" s="761"/>
      <c r="Y622" s="761"/>
      <c r="Z622" s="762"/>
      <c r="AA622" s="759"/>
      <c r="AB622" s="759"/>
      <c r="AC622" s="760"/>
      <c r="AD622" s="761"/>
      <c r="AE622" s="761"/>
      <c r="AF622" s="762"/>
      <c r="AG622" s="759"/>
      <c r="AH622" s="759"/>
      <c r="AI622" s="760"/>
      <c r="AJ622" s="761"/>
      <c r="AK622" s="761"/>
      <c r="AL622" s="762"/>
      <c r="AM622" s="763"/>
      <c r="AN622" s="763"/>
      <c r="AO622" s="764"/>
    </row>
    <row r="623">
      <c r="A623" s="602" t="s">
        <v>1190</v>
      </c>
      <c r="B623" s="758"/>
      <c r="C623" s="759"/>
      <c r="D623" s="759"/>
      <c r="E623" s="760"/>
      <c r="F623" s="761"/>
      <c r="G623" s="761"/>
      <c r="H623" s="762"/>
      <c r="I623" s="759"/>
      <c r="J623" s="759"/>
      <c r="K623" s="760"/>
      <c r="L623" s="761"/>
      <c r="M623" s="761"/>
      <c r="N623" s="762"/>
      <c r="O623" s="759"/>
      <c r="P623" s="759"/>
      <c r="Q623" s="760"/>
      <c r="R623" s="761"/>
      <c r="S623" s="761"/>
      <c r="T623" s="762"/>
      <c r="U623" s="759"/>
      <c r="V623" s="759"/>
      <c r="W623" s="760"/>
      <c r="X623" s="761"/>
      <c r="Y623" s="761"/>
      <c r="Z623" s="762"/>
      <c r="AA623" s="759"/>
      <c r="AB623" s="759"/>
      <c r="AC623" s="760"/>
      <c r="AD623" s="761"/>
      <c r="AE623" s="761"/>
      <c r="AF623" s="762"/>
      <c r="AG623" s="759"/>
      <c r="AH623" s="759"/>
      <c r="AI623" s="760"/>
      <c r="AJ623" s="761"/>
      <c r="AK623" s="761"/>
      <c r="AL623" s="762"/>
      <c r="AM623" s="763"/>
      <c r="AN623" s="763"/>
      <c r="AO623" s="764"/>
    </row>
    <row r="624">
      <c r="A624" s="602" t="s">
        <v>1190</v>
      </c>
      <c r="B624" s="758"/>
      <c r="C624" s="759"/>
      <c r="D624" s="759"/>
      <c r="E624" s="760"/>
      <c r="F624" s="761"/>
      <c r="G624" s="761"/>
      <c r="H624" s="762"/>
      <c r="I624" s="759"/>
      <c r="J624" s="759"/>
      <c r="K624" s="760"/>
      <c r="L624" s="761"/>
      <c r="M624" s="761"/>
      <c r="N624" s="762"/>
      <c r="O624" s="759"/>
      <c r="P624" s="759"/>
      <c r="Q624" s="760"/>
      <c r="R624" s="761"/>
      <c r="S624" s="761"/>
      <c r="T624" s="762"/>
      <c r="U624" s="759"/>
      <c r="V624" s="759"/>
      <c r="W624" s="760"/>
      <c r="X624" s="761"/>
      <c r="Y624" s="761"/>
      <c r="Z624" s="762"/>
      <c r="AA624" s="759"/>
      <c r="AB624" s="759"/>
      <c r="AC624" s="760"/>
      <c r="AD624" s="761"/>
      <c r="AE624" s="761"/>
      <c r="AF624" s="762"/>
      <c r="AG624" s="759"/>
      <c r="AH624" s="759"/>
      <c r="AI624" s="760"/>
      <c r="AJ624" s="761"/>
      <c r="AK624" s="761"/>
      <c r="AL624" s="762"/>
      <c r="AM624" s="763"/>
      <c r="AN624" s="763"/>
      <c r="AO624" s="764"/>
    </row>
    <row r="625">
      <c r="A625" s="602" t="s">
        <v>1190</v>
      </c>
      <c r="B625" s="758"/>
      <c r="C625" s="759"/>
      <c r="D625" s="759"/>
      <c r="E625" s="760"/>
      <c r="F625" s="761"/>
      <c r="G625" s="761"/>
      <c r="H625" s="762"/>
      <c r="I625" s="759"/>
      <c r="J625" s="759"/>
      <c r="K625" s="760"/>
      <c r="L625" s="761"/>
      <c r="M625" s="761"/>
      <c r="N625" s="762"/>
      <c r="O625" s="759"/>
      <c r="P625" s="759"/>
      <c r="Q625" s="760"/>
      <c r="R625" s="761"/>
      <c r="S625" s="761"/>
      <c r="T625" s="762"/>
      <c r="U625" s="759"/>
      <c r="V625" s="759"/>
      <c r="W625" s="760"/>
      <c r="X625" s="761"/>
      <c r="Y625" s="761"/>
      <c r="Z625" s="762"/>
      <c r="AA625" s="759"/>
      <c r="AB625" s="759"/>
      <c r="AC625" s="760"/>
      <c r="AD625" s="761"/>
      <c r="AE625" s="761"/>
      <c r="AF625" s="762"/>
      <c r="AG625" s="759"/>
      <c r="AH625" s="759"/>
      <c r="AI625" s="760"/>
      <c r="AJ625" s="761"/>
      <c r="AK625" s="761"/>
      <c r="AL625" s="762"/>
      <c r="AM625" s="763"/>
      <c r="AN625" s="763"/>
      <c r="AO625" s="764"/>
    </row>
    <row r="626">
      <c r="A626" s="602" t="s">
        <v>1190</v>
      </c>
      <c r="B626" s="758"/>
      <c r="C626" s="759"/>
      <c r="D626" s="759"/>
      <c r="E626" s="760"/>
      <c r="F626" s="761"/>
      <c r="G626" s="761"/>
      <c r="H626" s="762"/>
      <c r="I626" s="759"/>
      <c r="J626" s="759"/>
      <c r="K626" s="760"/>
      <c r="L626" s="761"/>
      <c r="M626" s="761"/>
      <c r="N626" s="762"/>
      <c r="O626" s="759"/>
      <c r="P626" s="759"/>
      <c r="Q626" s="760"/>
      <c r="R626" s="761"/>
      <c r="S626" s="761"/>
      <c r="T626" s="762"/>
      <c r="U626" s="759"/>
      <c r="V626" s="759"/>
      <c r="W626" s="760"/>
      <c r="X626" s="761"/>
      <c r="Y626" s="761"/>
      <c r="Z626" s="762"/>
      <c r="AA626" s="759"/>
      <c r="AB626" s="759"/>
      <c r="AC626" s="760"/>
      <c r="AD626" s="761"/>
      <c r="AE626" s="761"/>
      <c r="AF626" s="762"/>
      <c r="AG626" s="759"/>
      <c r="AH626" s="759"/>
      <c r="AI626" s="760"/>
      <c r="AJ626" s="761"/>
      <c r="AK626" s="761"/>
      <c r="AL626" s="762"/>
      <c r="AM626" s="763"/>
      <c r="AN626" s="763"/>
      <c r="AO626" s="764"/>
    </row>
    <row r="627">
      <c r="A627" s="602" t="s">
        <v>1190</v>
      </c>
      <c r="B627" s="758"/>
      <c r="C627" s="759"/>
      <c r="D627" s="759"/>
      <c r="E627" s="760"/>
      <c r="F627" s="761"/>
      <c r="G627" s="761"/>
      <c r="H627" s="762"/>
      <c r="I627" s="759"/>
      <c r="J627" s="759"/>
      <c r="K627" s="760"/>
      <c r="L627" s="761"/>
      <c r="M627" s="761"/>
      <c r="N627" s="762"/>
      <c r="O627" s="759"/>
      <c r="P627" s="759"/>
      <c r="Q627" s="760"/>
      <c r="R627" s="761"/>
      <c r="S627" s="761"/>
      <c r="T627" s="762"/>
      <c r="U627" s="759"/>
      <c r="V627" s="759"/>
      <c r="W627" s="760"/>
      <c r="X627" s="761"/>
      <c r="Y627" s="761"/>
      <c r="Z627" s="762"/>
      <c r="AA627" s="759"/>
      <c r="AB627" s="759"/>
      <c r="AC627" s="760"/>
      <c r="AD627" s="761"/>
      <c r="AE627" s="761"/>
      <c r="AF627" s="762"/>
      <c r="AG627" s="759"/>
      <c r="AH627" s="759"/>
      <c r="AI627" s="760"/>
      <c r="AJ627" s="761"/>
      <c r="AK627" s="761"/>
      <c r="AL627" s="762"/>
      <c r="AM627" s="763"/>
      <c r="AN627" s="763"/>
      <c r="AO627" s="764"/>
    </row>
    <row r="628">
      <c r="A628" s="602" t="s">
        <v>1190</v>
      </c>
      <c r="B628" s="758"/>
      <c r="C628" s="759"/>
      <c r="D628" s="759"/>
      <c r="E628" s="760"/>
      <c r="F628" s="761"/>
      <c r="G628" s="761"/>
      <c r="H628" s="762"/>
      <c r="I628" s="759"/>
      <c r="J628" s="759"/>
      <c r="K628" s="760"/>
      <c r="L628" s="761"/>
      <c r="M628" s="761"/>
      <c r="N628" s="762"/>
      <c r="O628" s="759"/>
      <c r="P628" s="759"/>
      <c r="Q628" s="760"/>
      <c r="R628" s="761"/>
      <c r="S628" s="761"/>
      <c r="T628" s="762"/>
      <c r="U628" s="759"/>
      <c r="V628" s="759"/>
      <c r="W628" s="760"/>
      <c r="X628" s="761"/>
      <c r="Y628" s="761"/>
      <c r="Z628" s="762"/>
      <c r="AA628" s="759"/>
      <c r="AB628" s="759"/>
      <c r="AC628" s="760"/>
      <c r="AD628" s="761"/>
      <c r="AE628" s="761"/>
      <c r="AF628" s="762"/>
      <c r="AG628" s="759"/>
      <c r="AH628" s="759"/>
      <c r="AI628" s="760"/>
      <c r="AJ628" s="761"/>
      <c r="AK628" s="761"/>
      <c r="AL628" s="762"/>
      <c r="AM628" s="763"/>
      <c r="AN628" s="763"/>
      <c r="AO628" s="764"/>
    </row>
    <row r="629">
      <c r="A629" s="602" t="s">
        <v>1190</v>
      </c>
      <c r="B629" s="758"/>
      <c r="C629" s="759"/>
      <c r="D629" s="759"/>
      <c r="E629" s="760"/>
      <c r="F629" s="761"/>
      <c r="G629" s="761"/>
      <c r="H629" s="762"/>
      <c r="I629" s="759"/>
      <c r="J629" s="759"/>
      <c r="K629" s="760"/>
      <c r="L629" s="761"/>
      <c r="M629" s="761"/>
      <c r="N629" s="762"/>
      <c r="O629" s="759"/>
      <c r="P629" s="759"/>
      <c r="Q629" s="760"/>
      <c r="R629" s="761"/>
      <c r="S629" s="761"/>
      <c r="T629" s="762"/>
      <c r="U629" s="759"/>
      <c r="V629" s="759"/>
      <c r="W629" s="760"/>
      <c r="X629" s="761"/>
      <c r="Y629" s="761"/>
      <c r="Z629" s="762"/>
      <c r="AA629" s="759"/>
      <c r="AB629" s="759"/>
      <c r="AC629" s="760"/>
      <c r="AD629" s="761"/>
      <c r="AE629" s="761"/>
      <c r="AF629" s="762"/>
      <c r="AG629" s="759"/>
      <c r="AH629" s="759"/>
      <c r="AI629" s="760"/>
      <c r="AJ629" s="761"/>
      <c r="AK629" s="761"/>
      <c r="AL629" s="762"/>
      <c r="AM629" s="763"/>
      <c r="AN629" s="763"/>
      <c r="AO629" s="764"/>
    </row>
    <row r="630">
      <c r="A630" s="602" t="s">
        <v>1190</v>
      </c>
      <c r="B630" s="758"/>
      <c r="C630" s="759"/>
      <c r="D630" s="759"/>
      <c r="E630" s="760"/>
      <c r="F630" s="761"/>
      <c r="G630" s="761"/>
      <c r="H630" s="762"/>
      <c r="I630" s="759"/>
      <c r="J630" s="759"/>
      <c r="K630" s="760"/>
      <c r="L630" s="761"/>
      <c r="M630" s="761"/>
      <c r="N630" s="762"/>
      <c r="O630" s="759"/>
      <c r="P630" s="759"/>
      <c r="Q630" s="760"/>
      <c r="R630" s="761"/>
      <c r="S630" s="761"/>
      <c r="T630" s="762"/>
      <c r="U630" s="759"/>
      <c r="V630" s="759"/>
      <c r="W630" s="760"/>
      <c r="X630" s="761"/>
      <c r="Y630" s="761"/>
      <c r="Z630" s="762"/>
      <c r="AA630" s="759"/>
      <c r="AB630" s="759"/>
      <c r="AC630" s="760"/>
      <c r="AD630" s="761"/>
      <c r="AE630" s="761"/>
      <c r="AF630" s="762"/>
      <c r="AG630" s="759"/>
      <c r="AH630" s="759"/>
      <c r="AI630" s="760"/>
      <c r="AJ630" s="761"/>
      <c r="AK630" s="761"/>
      <c r="AL630" s="762"/>
      <c r="AM630" s="763"/>
      <c r="AN630" s="763"/>
      <c r="AO630" s="764"/>
    </row>
    <row r="631">
      <c r="A631" s="602" t="s">
        <v>1190</v>
      </c>
      <c r="B631" s="758"/>
      <c r="C631" s="759"/>
      <c r="D631" s="759"/>
      <c r="E631" s="760"/>
      <c r="F631" s="761"/>
      <c r="G631" s="761"/>
      <c r="H631" s="762"/>
      <c r="I631" s="759"/>
      <c r="J631" s="759"/>
      <c r="K631" s="760"/>
      <c r="L631" s="761"/>
      <c r="M631" s="761"/>
      <c r="N631" s="762"/>
      <c r="O631" s="759"/>
      <c r="P631" s="759"/>
      <c r="Q631" s="760"/>
      <c r="R631" s="761"/>
      <c r="S631" s="761"/>
      <c r="T631" s="762"/>
      <c r="U631" s="759"/>
      <c r="V631" s="759"/>
      <c r="W631" s="760"/>
      <c r="X631" s="761"/>
      <c r="Y631" s="761"/>
      <c r="Z631" s="762"/>
      <c r="AA631" s="759"/>
      <c r="AB631" s="759"/>
      <c r="AC631" s="760"/>
      <c r="AD631" s="761"/>
      <c r="AE631" s="761"/>
      <c r="AF631" s="762"/>
      <c r="AG631" s="759"/>
      <c r="AH631" s="759"/>
      <c r="AI631" s="760"/>
      <c r="AJ631" s="761"/>
      <c r="AK631" s="761"/>
      <c r="AL631" s="762"/>
      <c r="AM631" s="763"/>
      <c r="AN631" s="763"/>
      <c r="AO631" s="764"/>
    </row>
    <row r="632">
      <c r="A632" s="602" t="s">
        <v>1190</v>
      </c>
      <c r="B632" s="758"/>
      <c r="C632" s="759"/>
      <c r="D632" s="759"/>
      <c r="E632" s="760"/>
      <c r="F632" s="761"/>
      <c r="G632" s="761"/>
      <c r="H632" s="762"/>
      <c r="I632" s="759"/>
      <c r="J632" s="759"/>
      <c r="K632" s="760"/>
      <c r="L632" s="761"/>
      <c r="M632" s="761"/>
      <c r="N632" s="762"/>
      <c r="O632" s="759"/>
      <c r="P632" s="759"/>
      <c r="Q632" s="760"/>
      <c r="R632" s="761"/>
      <c r="S632" s="761"/>
      <c r="T632" s="762"/>
      <c r="U632" s="759"/>
      <c r="V632" s="759"/>
      <c r="W632" s="760"/>
      <c r="X632" s="761"/>
      <c r="Y632" s="761"/>
      <c r="Z632" s="762"/>
      <c r="AA632" s="759"/>
      <c r="AB632" s="759"/>
      <c r="AC632" s="760"/>
      <c r="AD632" s="761"/>
      <c r="AE632" s="761"/>
      <c r="AF632" s="762"/>
      <c r="AG632" s="759"/>
      <c r="AH632" s="759"/>
      <c r="AI632" s="760"/>
      <c r="AJ632" s="761"/>
      <c r="AK632" s="761"/>
      <c r="AL632" s="762"/>
      <c r="AM632" s="763"/>
      <c r="AN632" s="763"/>
      <c r="AO632" s="764"/>
    </row>
    <row r="633">
      <c r="A633" s="602" t="s">
        <v>1190</v>
      </c>
      <c r="B633" s="758"/>
      <c r="C633" s="759"/>
      <c r="D633" s="759"/>
      <c r="E633" s="760"/>
      <c r="F633" s="761"/>
      <c r="G633" s="761"/>
      <c r="H633" s="762"/>
      <c r="I633" s="759"/>
      <c r="J633" s="759"/>
      <c r="K633" s="760"/>
      <c r="L633" s="761"/>
      <c r="M633" s="761"/>
      <c r="N633" s="762"/>
      <c r="O633" s="759"/>
      <c r="P633" s="759"/>
      <c r="Q633" s="760"/>
      <c r="R633" s="761"/>
      <c r="S633" s="761"/>
      <c r="T633" s="762"/>
      <c r="U633" s="759"/>
      <c r="V633" s="759"/>
      <c r="W633" s="760"/>
      <c r="X633" s="761"/>
      <c r="Y633" s="761"/>
      <c r="Z633" s="762"/>
      <c r="AA633" s="759"/>
      <c r="AB633" s="759"/>
      <c r="AC633" s="760"/>
      <c r="AD633" s="761"/>
      <c r="AE633" s="761"/>
      <c r="AF633" s="762"/>
      <c r="AG633" s="759"/>
      <c r="AH633" s="759"/>
      <c r="AI633" s="760"/>
      <c r="AJ633" s="761"/>
      <c r="AK633" s="761"/>
      <c r="AL633" s="762"/>
      <c r="AM633" s="763"/>
      <c r="AN633" s="763"/>
      <c r="AO633" s="764"/>
    </row>
    <row r="634">
      <c r="A634" s="602" t="s">
        <v>1190</v>
      </c>
      <c r="B634" s="758"/>
      <c r="C634" s="759"/>
      <c r="D634" s="759"/>
      <c r="E634" s="760"/>
      <c r="F634" s="761"/>
      <c r="G634" s="761"/>
      <c r="H634" s="762"/>
      <c r="I634" s="759"/>
      <c r="J634" s="759"/>
      <c r="K634" s="760"/>
      <c r="L634" s="761"/>
      <c r="M634" s="761"/>
      <c r="N634" s="762"/>
      <c r="O634" s="759"/>
      <c r="P634" s="759"/>
      <c r="Q634" s="760"/>
      <c r="R634" s="761"/>
      <c r="S634" s="761"/>
      <c r="T634" s="762"/>
      <c r="U634" s="759"/>
      <c r="V634" s="759"/>
      <c r="W634" s="760"/>
      <c r="X634" s="761"/>
      <c r="Y634" s="761"/>
      <c r="Z634" s="762"/>
      <c r="AA634" s="759"/>
      <c r="AB634" s="759"/>
      <c r="AC634" s="760"/>
      <c r="AD634" s="761"/>
      <c r="AE634" s="761"/>
      <c r="AF634" s="762"/>
      <c r="AG634" s="759"/>
      <c r="AH634" s="759"/>
      <c r="AI634" s="760"/>
      <c r="AJ634" s="761"/>
      <c r="AK634" s="761"/>
      <c r="AL634" s="762"/>
      <c r="AM634" s="763"/>
      <c r="AN634" s="763"/>
      <c r="AO634" s="764"/>
    </row>
    <row r="635">
      <c r="A635" s="602" t="s">
        <v>1190</v>
      </c>
      <c r="B635" s="758"/>
      <c r="C635" s="759"/>
      <c r="D635" s="759"/>
      <c r="E635" s="760"/>
      <c r="F635" s="761"/>
      <c r="G635" s="761"/>
      <c r="H635" s="762"/>
      <c r="I635" s="759"/>
      <c r="J635" s="759"/>
      <c r="K635" s="760"/>
      <c r="L635" s="761"/>
      <c r="M635" s="761"/>
      <c r="N635" s="762"/>
      <c r="O635" s="759"/>
      <c r="P635" s="759"/>
      <c r="Q635" s="760"/>
      <c r="R635" s="761"/>
      <c r="S635" s="761"/>
      <c r="T635" s="762"/>
      <c r="U635" s="759"/>
      <c r="V635" s="759"/>
      <c r="W635" s="760"/>
      <c r="X635" s="761"/>
      <c r="Y635" s="761"/>
      <c r="Z635" s="762"/>
      <c r="AA635" s="759"/>
      <c r="AB635" s="759"/>
      <c r="AC635" s="760"/>
      <c r="AD635" s="761"/>
      <c r="AE635" s="761"/>
      <c r="AF635" s="762"/>
      <c r="AG635" s="759"/>
      <c r="AH635" s="759"/>
      <c r="AI635" s="760"/>
      <c r="AJ635" s="761"/>
      <c r="AK635" s="761"/>
      <c r="AL635" s="762"/>
      <c r="AM635" s="763"/>
      <c r="AN635" s="763"/>
      <c r="AO635" s="764"/>
    </row>
    <row r="636">
      <c r="A636" s="602" t="s">
        <v>1190</v>
      </c>
      <c r="B636" s="758"/>
      <c r="C636" s="759"/>
      <c r="D636" s="759"/>
      <c r="E636" s="760"/>
      <c r="F636" s="761"/>
      <c r="G636" s="761"/>
      <c r="H636" s="762"/>
      <c r="I636" s="759"/>
      <c r="J636" s="759"/>
      <c r="K636" s="760"/>
      <c r="L636" s="761"/>
      <c r="M636" s="761"/>
      <c r="N636" s="762"/>
      <c r="O636" s="759"/>
      <c r="P636" s="759"/>
      <c r="Q636" s="760"/>
      <c r="R636" s="761"/>
      <c r="S636" s="761"/>
      <c r="T636" s="762"/>
      <c r="U636" s="759"/>
      <c r="V636" s="759"/>
      <c r="W636" s="760"/>
      <c r="X636" s="761"/>
      <c r="Y636" s="761"/>
      <c r="Z636" s="762"/>
      <c r="AA636" s="759"/>
      <c r="AB636" s="759"/>
      <c r="AC636" s="760"/>
      <c r="AD636" s="761"/>
      <c r="AE636" s="761"/>
      <c r="AF636" s="762"/>
      <c r="AG636" s="759"/>
      <c r="AH636" s="759"/>
      <c r="AI636" s="760"/>
      <c r="AJ636" s="761"/>
      <c r="AK636" s="761"/>
      <c r="AL636" s="762"/>
      <c r="AM636" s="763"/>
      <c r="AN636" s="763"/>
      <c r="AO636" s="764"/>
    </row>
    <row r="637">
      <c r="A637" s="602" t="s">
        <v>1190</v>
      </c>
      <c r="B637" s="758"/>
      <c r="C637" s="759"/>
      <c r="D637" s="759"/>
      <c r="E637" s="760"/>
      <c r="F637" s="761"/>
      <c r="G637" s="761"/>
      <c r="H637" s="762"/>
      <c r="I637" s="759"/>
      <c r="J637" s="759"/>
      <c r="K637" s="760"/>
      <c r="L637" s="761"/>
      <c r="M637" s="761"/>
      <c r="N637" s="762"/>
      <c r="O637" s="759"/>
      <c r="P637" s="759"/>
      <c r="Q637" s="760"/>
      <c r="R637" s="761"/>
      <c r="S637" s="761"/>
      <c r="T637" s="762"/>
      <c r="U637" s="759"/>
      <c r="V637" s="759"/>
      <c r="W637" s="760"/>
      <c r="X637" s="761"/>
      <c r="Y637" s="761"/>
      <c r="Z637" s="762"/>
      <c r="AA637" s="759"/>
      <c r="AB637" s="759"/>
      <c r="AC637" s="760"/>
      <c r="AD637" s="761"/>
      <c r="AE637" s="761"/>
      <c r="AF637" s="762"/>
      <c r="AG637" s="759"/>
      <c r="AH637" s="759"/>
      <c r="AI637" s="760"/>
      <c r="AJ637" s="761"/>
      <c r="AK637" s="761"/>
      <c r="AL637" s="762"/>
      <c r="AM637" s="763"/>
      <c r="AN637" s="763"/>
      <c r="AO637" s="764"/>
    </row>
    <row r="638">
      <c r="A638" s="602" t="s">
        <v>1190</v>
      </c>
      <c r="B638" s="758"/>
      <c r="C638" s="759"/>
      <c r="D638" s="759"/>
      <c r="E638" s="760"/>
      <c r="F638" s="761"/>
      <c r="G638" s="761"/>
      <c r="H638" s="762"/>
      <c r="I638" s="759"/>
      <c r="J638" s="759"/>
      <c r="K638" s="760"/>
      <c r="L638" s="761"/>
      <c r="M638" s="761"/>
      <c r="N638" s="762"/>
      <c r="O638" s="759"/>
      <c r="P638" s="759"/>
      <c r="Q638" s="760"/>
      <c r="R638" s="761"/>
      <c r="S638" s="761"/>
      <c r="T638" s="762"/>
      <c r="U638" s="759"/>
      <c r="V638" s="759"/>
      <c r="W638" s="760"/>
      <c r="X638" s="761"/>
      <c r="Y638" s="761"/>
      <c r="Z638" s="762"/>
      <c r="AA638" s="759"/>
      <c r="AB638" s="759"/>
      <c r="AC638" s="760"/>
      <c r="AD638" s="761"/>
      <c r="AE638" s="761"/>
      <c r="AF638" s="762"/>
      <c r="AG638" s="759"/>
      <c r="AH638" s="759"/>
      <c r="AI638" s="760"/>
      <c r="AJ638" s="761"/>
      <c r="AK638" s="761"/>
      <c r="AL638" s="762"/>
      <c r="AM638" s="763"/>
      <c r="AN638" s="763"/>
      <c r="AO638" s="764"/>
    </row>
    <row r="639">
      <c r="A639" s="602" t="s">
        <v>1190</v>
      </c>
      <c r="B639" s="758"/>
      <c r="C639" s="759"/>
      <c r="D639" s="759"/>
      <c r="E639" s="760"/>
      <c r="F639" s="761"/>
      <c r="G639" s="761"/>
      <c r="H639" s="762"/>
      <c r="I639" s="759"/>
      <c r="J639" s="759"/>
      <c r="K639" s="760"/>
      <c r="L639" s="761"/>
      <c r="M639" s="761"/>
      <c r="N639" s="762"/>
      <c r="O639" s="759"/>
      <c r="P639" s="759"/>
      <c r="Q639" s="760"/>
      <c r="R639" s="761"/>
      <c r="S639" s="761"/>
      <c r="T639" s="762"/>
      <c r="U639" s="759"/>
      <c r="V639" s="759"/>
      <c r="W639" s="760"/>
      <c r="X639" s="761"/>
      <c r="Y639" s="761"/>
      <c r="Z639" s="762"/>
      <c r="AA639" s="759"/>
      <c r="AB639" s="759"/>
      <c r="AC639" s="760"/>
      <c r="AD639" s="761"/>
      <c r="AE639" s="761"/>
      <c r="AF639" s="762"/>
      <c r="AG639" s="759"/>
      <c r="AH639" s="759"/>
      <c r="AI639" s="760"/>
      <c r="AJ639" s="761"/>
      <c r="AK639" s="761"/>
      <c r="AL639" s="762"/>
      <c r="AM639" s="763"/>
      <c r="AN639" s="763"/>
      <c r="AO639" s="764"/>
    </row>
    <row r="640">
      <c r="A640" s="602" t="s">
        <v>1190</v>
      </c>
      <c r="B640" s="758"/>
      <c r="C640" s="759"/>
      <c r="D640" s="759"/>
      <c r="E640" s="760"/>
      <c r="F640" s="761"/>
      <c r="G640" s="761"/>
      <c r="H640" s="762"/>
      <c r="I640" s="759"/>
      <c r="J640" s="759"/>
      <c r="K640" s="760"/>
      <c r="L640" s="761"/>
      <c r="M640" s="761"/>
      <c r="N640" s="762"/>
      <c r="O640" s="759"/>
      <c r="P640" s="759"/>
      <c r="Q640" s="760"/>
      <c r="R640" s="761"/>
      <c r="S640" s="761"/>
      <c r="T640" s="762"/>
      <c r="U640" s="759"/>
      <c r="V640" s="759"/>
      <c r="W640" s="760"/>
      <c r="X640" s="761"/>
      <c r="Y640" s="761"/>
      <c r="Z640" s="762"/>
      <c r="AA640" s="759"/>
      <c r="AB640" s="759"/>
      <c r="AC640" s="760"/>
      <c r="AD640" s="761"/>
      <c r="AE640" s="761"/>
      <c r="AF640" s="762"/>
      <c r="AG640" s="759"/>
      <c r="AH640" s="759"/>
      <c r="AI640" s="760"/>
      <c r="AJ640" s="761"/>
      <c r="AK640" s="761"/>
      <c r="AL640" s="762"/>
      <c r="AM640" s="763"/>
      <c r="AN640" s="763"/>
      <c r="AO640" s="764"/>
    </row>
    <row r="641">
      <c r="A641" s="602" t="s">
        <v>1190</v>
      </c>
      <c r="B641" s="758"/>
      <c r="C641" s="759"/>
      <c r="D641" s="759"/>
      <c r="E641" s="760"/>
      <c r="F641" s="761"/>
      <c r="G641" s="761"/>
      <c r="H641" s="762"/>
      <c r="I641" s="759"/>
      <c r="J641" s="759"/>
      <c r="K641" s="760"/>
      <c r="L641" s="761"/>
      <c r="M641" s="761"/>
      <c r="N641" s="762"/>
      <c r="O641" s="759"/>
      <c r="P641" s="759"/>
      <c r="Q641" s="760"/>
      <c r="R641" s="761"/>
      <c r="S641" s="761"/>
      <c r="T641" s="762"/>
      <c r="U641" s="759"/>
      <c r="V641" s="759"/>
      <c r="W641" s="760"/>
      <c r="X641" s="761"/>
      <c r="Y641" s="761"/>
      <c r="Z641" s="762"/>
      <c r="AA641" s="759"/>
      <c r="AB641" s="759"/>
      <c r="AC641" s="760"/>
      <c r="AD641" s="761"/>
      <c r="AE641" s="761"/>
      <c r="AF641" s="762"/>
      <c r="AG641" s="759"/>
      <c r="AH641" s="759"/>
      <c r="AI641" s="760"/>
      <c r="AJ641" s="761"/>
      <c r="AK641" s="761"/>
      <c r="AL641" s="762"/>
      <c r="AM641" s="763"/>
      <c r="AN641" s="763"/>
      <c r="AO641" s="764"/>
    </row>
    <row r="642">
      <c r="A642" s="602" t="s">
        <v>1190</v>
      </c>
      <c r="B642" s="758"/>
      <c r="C642" s="759"/>
      <c r="D642" s="759"/>
      <c r="E642" s="760"/>
      <c r="F642" s="761"/>
      <c r="G642" s="761"/>
      <c r="H642" s="762"/>
      <c r="I642" s="759"/>
      <c r="J642" s="759"/>
      <c r="K642" s="760"/>
      <c r="L642" s="761"/>
      <c r="M642" s="761"/>
      <c r="N642" s="762"/>
      <c r="O642" s="759"/>
      <c r="P642" s="759"/>
      <c r="Q642" s="760"/>
      <c r="R642" s="761"/>
      <c r="S642" s="761"/>
      <c r="T642" s="762"/>
      <c r="U642" s="759"/>
      <c r="V642" s="759"/>
      <c r="W642" s="760"/>
      <c r="X642" s="761"/>
      <c r="Y642" s="761"/>
      <c r="Z642" s="762"/>
      <c r="AA642" s="759"/>
      <c r="AB642" s="759"/>
      <c r="AC642" s="760"/>
      <c r="AD642" s="761"/>
      <c r="AE642" s="761"/>
      <c r="AF642" s="762"/>
      <c r="AG642" s="759"/>
      <c r="AH642" s="759"/>
      <c r="AI642" s="760"/>
      <c r="AJ642" s="761"/>
      <c r="AK642" s="761"/>
      <c r="AL642" s="762"/>
      <c r="AM642" s="763"/>
      <c r="AN642" s="763"/>
      <c r="AO642" s="764"/>
    </row>
    <row r="643">
      <c r="A643" s="602" t="s">
        <v>1190</v>
      </c>
      <c r="B643" s="758"/>
      <c r="C643" s="759"/>
      <c r="D643" s="759"/>
      <c r="E643" s="760"/>
      <c r="F643" s="761"/>
      <c r="G643" s="761"/>
      <c r="H643" s="762"/>
      <c r="I643" s="759"/>
      <c r="J643" s="759"/>
      <c r="K643" s="760"/>
      <c r="L643" s="761"/>
      <c r="M643" s="761"/>
      <c r="N643" s="762"/>
      <c r="O643" s="759"/>
      <c r="P643" s="759"/>
      <c r="Q643" s="760"/>
      <c r="R643" s="761"/>
      <c r="S643" s="761"/>
      <c r="T643" s="762"/>
      <c r="U643" s="759"/>
      <c r="V643" s="759"/>
      <c r="W643" s="760"/>
      <c r="X643" s="761"/>
      <c r="Y643" s="761"/>
      <c r="Z643" s="762"/>
      <c r="AA643" s="759"/>
      <c r="AB643" s="759"/>
      <c r="AC643" s="760"/>
      <c r="AD643" s="761"/>
      <c r="AE643" s="761"/>
      <c r="AF643" s="762"/>
      <c r="AG643" s="759"/>
      <c r="AH643" s="759"/>
      <c r="AI643" s="760"/>
      <c r="AJ643" s="761"/>
      <c r="AK643" s="761"/>
      <c r="AL643" s="762"/>
      <c r="AM643" s="763"/>
      <c r="AN643" s="763"/>
      <c r="AO643" s="764"/>
    </row>
    <row r="644">
      <c r="A644" s="602" t="s">
        <v>1190</v>
      </c>
      <c r="B644" s="758"/>
      <c r="C644" s="759"/>
      <c r="D644" s="759"/>
      <c r="E644" s="760"/>
      <c r="F644" s="761"/>
      <c r="G644" s="761"/>
      <c r="H644" s="762"/>
      <c r="I644" s="759"/>
      <c r="J644" s="759"/>
      <c r="K644" s="760"/>
      <c r="L644" s="761"/>
      <c r="M644" s="761"/>
      <c r="N644" s="762"/>
      <c r="O644" s="759"/>
      <c r="P644" s="759"/>
      <c r="Q644" s="760"/>
      <c r="R644" s="761"/>
      <c r="S644" s="761"/>
      <c r="T644" s="762"/>
      <c r="U644" s="759"/>
      <c r="V644" s="759"/>
      <c r="W644" s="760"/>
      <c r="X644" s="761"/>
      <c r="Y644" s="761"/>
      <c r="Z644" s="762"/>
      <c r="AA644" s="759"/>
      <c r="AB644" s="759"/>
      <c r="AC644" s="760"/>
      <c r="AD644" s="761"/>
      <c r="AE644" s="761"/>
      <c r="AF644" s="762"/>
      <c r="AG644" s="759"/>
      <c r="AH644" s="759"/>
      <c r="AI644" s="760"/>
      <c r="AJ644" s="761"/>
      <c r="AK644" s="761"/>
      <c r="AL644" s="762"/>
      <c r="AM644" s="763"/>
      <c r="AN644" s="763"/>
      <c r="AO644" s="764"/>
    </row>
  </sheetData>
  <mergeCells count="19">
    <mergeCell ref="C6:E6"/>
    <mergeCell ref="F6:H6"/>
    <mergeCell ref="I6:K6"/>
    <mergeCell ref="L6:N6"/>
    <mergeCell ref="O6:Q6"/>
    <mergeCell ref="R6:T6"/>
    <mergeCell ref="U6:W6"/>
    <mergeCell ref="X6:Z6"/>
    <mergeCell ref="AA6:AC6"/>
    <mergeCell ref="AD6:AF6"/>
    <mergeCell ref="AG6:AI6"/>
    <mergeCell ref="AJ6:AL6"/>
    <mergeCell ref="C3:AD3"/>
    <mergeCell ref="A5:A8"/>
    <mergeCell ref="B5:B8"/>
    <mergeCell ref="C5:AL5"/>
    <mergeCell ref="AM5:AM7"/>
    <mergeCell ref="AN5:AN7"/>
    <mergeCell ref="AO5:AO7"/>
  </mergeCells>
  <conditionalFormatting sqref="AO8:AO644">
    <cfRule type="expression" dxfId="15" priority="1">
      <formula>AO8&gt;=30%</formula>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4.38"/>
    <col customWidth="1" min="2" max="2" width="14.13"/>
    <col customWidth="1" min="3" max="14" width="10.38"/>
    <col customWidth="1" min="38" max="39" width="17.5"/>
    <col customWidth="1" min="40" max="40" width="15.88"/>
    <col customWidth="1" min="41" max="41" width="17.5"/>
  </cols>
  <sheetData>
    <row r="1">
      <c r="A1" s="703"/>
      <c r="B1" s="704" t="s">
        <v>1443</v>
      </c>
      <c r="C1" s="703"/>
      <c r="D1" s="703"/>
      <c r="E1" s="705"/>
      <c r="F1" s="703"/>
      <c r="G1" s="703"/>
      <c r="H1" s="705"/>
      <c r="I1" s="703"/>
      <c r="J1" s="703"/>
      <c r="K1" s="703"/>
      <c r="L1" s="703"/>
      <c r="M1" s="703"/>
      <c r="N1" s="703"/>
      <c r="O1" s="703"/>
      <c r="P1" s="703"/>
      <c r="Q1" s="703"/>
      <c r="R1" s="703"/>
      <c r="S1" s="703"/>
      <c r="T1" s="703"/>
      <c r="U1" s="703"/>
      <c r="V1" s="703"/>
      <c r="W1" s="703"/>
      <c r="X1" s="703"/>
      <c r="Y1" s="703"/>
      <c r="Z1" s="703"/>
      <c r="AA1" s="703"/>
      <c r="AB1" s="703"/>
      <c r="AC1" s="703"/>
      <c r="AD1" s="703"/>
      <c r="AE1" s="703"/>
      <c r="AF1" s="703"/>
      <c r="AG1" s="703"/>
      <c r="AH1" s="703"/>
      <c r="AI1" s="703"/>
      <c r="AJ1" s="703"/>
      <c r="AK1" s="703"/>
      <c r="AL1" s="703"/>
      <c r="AM1" s="703"/>
      <c r="AN1" s="703"/>
      <c r="AO1" s="705"/>
    </row>
    <row r="2">
      <c r="A2" s="15"/>
      <c r="B2" s="15"/>
      <c r="C2" s="15"/>
      <c r="D2" s="15"/>
      <c r="E2" s="706"/>
      <c r="F2" s="15"/>
      <c r="G2" s="15"/>
      <c r="H2" s="706"/>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707"/>
    </row>
    <row r="3">
      <c r="A3" s="15"/>
      <c r="B3" s="15"/>
      <c r="C3" s="708" t="s">
        <v>1421</v>
      </c>
      <c r="AE3" s="709"/>
      <c r="AF3" s="709"/>
      <c r="AG3" s="709"/>
      <c r="AH3" s="709"/>
      <c r="AI3" s="709"/>
      <c r="AJ3" s="709"/>
      <c r="AK3" s="709"/>
      <c r="AL3" s="15"/>
      <c r="AM3" s="15"/>
      <c r="AN3" s="709"/>
      <c r="AO3" s="710"/>
    </row>
    <row r="4">
      <c r="A4" s="15"/>
      <c r="B4" s="15"/>
      <c r="C4" s="15"/>
      <c r="D4" s="15"/>
      <c r="E4" s="706"/>
      <c r="F4" s="15"/>
      <c r="G4" s="15"/>
      <c r="H4" s="706"/>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746" t="s">
        <v>1444</v>
      </c>
    </row>
    <row r="5" ht="20.25" customHeight="1">
      <c r="A5" s="712" t="s">
        <v>80</v>
      </c>
      <c r="B5" s="713" t="s">
        <v>1445</v>
      </c>
      <c r="C5" s="714" t="s">
        <v>1424</v>
      </c>
      <c r="D5" s="461"/>
      <c r="E5" s="461"/>
      <c r="F5" s="461"/>
      <c r="G5" s="461"/>
      <c r="H5" s="461"/>
      <c r="I5" s="461"/>
      <c r="J5" s="461"/>
      <c r="K5" s="461"/>
      <c r="L5" s="461"/>
      <c r="M5" s="461"/>
      <c r="N5" s="461"/>
      <c r="O5" s="461"/>
      <c r="P5" s="461"/>
      <c r="Q5" s="461"/>
      <c r="R5" s="461"/>
      <c r="S5" s="461"/>
      <c r="T5" s="461"/>
      <c r="U5" s="461"/>
      <c r="V5" s="461"/>
      <c r="W5" s="461"/>
      <c r="X5" s="461"/>
      <c r="Y5" s="461"/>
      <c r="Z5" s="461"/>
      <c r="AA5" s="461"/>
      <c r="AB5" s="461"/>
      <c r="AC5" s="461"/>
      <c r="AD5" s="461"/>
      <c r="AE5" s="461"/>
      <c r="AF5" s="461"/>
      <c r="AG5" s="461"/>
      <c r="AH5" s="461"/>
      <c r="AI5" s="461"/>
      <c r="AJ5" s="461"/>
      <c r="AK5" s="461"/>
      <c r="AL5" s="461"/>
      <c r="AM5" s="713" t="s">
        <v>1446</v>
      </c>
      <c r="AN5" s="713" t="s">
        <v>1447</v>
      </c>
      <c r="AO5" s="715" t="s">
        <v>1448</v>
      </c>
    </row>
    <row r="6" ht="20.25" customHeight="1">
      <c r="A6" s="26"/>
      <c r="B6" s="26"/>
      <c r="C6" s="736">
        <v>46023.0</v>
      </c>
      <c r="D6" s="765"/>
      <c r="E6" s="766"/>
      <c r="F6" s="751">
        <v>46055.0</v>
      </c>
      <c r="G6" s="767"/>
      <c r="H6" s="768"/>
      <c r="I6" s="736">
        <v>46084.0</v>
      </c>
      <c r="J6" s="765"/>
      <c r="K6" s="766"/>
      <c r="L6" s="751">
        <v>46116.0</v>
      </c>
      <c r="M6" s="767"/>
      <c r="N6" s="768"/>
      <c r="O6" s="736">
        <v>46147.0</v>
      </c>
      <c r="P6" s="461"/>
      <c r="Q6" s="426"/>
      <c r="R6" s="751">
        <v>46174.0</v>
      </c>
      <c r="S6" s="461"/>
      <c r="T6" s="426"/>
      <c r="U6" s="736">
        <v>46205.0</v>
      </c>
      <c r="V6" s="461"/>
      <c r="W6" s="426"/>
      <c r="X6" s="751">
        <v>46237.0</v>
      </c>
      <c r="Y6" s="461"/>
      <c r="Z6" s="426"/>
      <c r="AA6" s="736">
        <v>46269.0</v>
      </c>
      <c r="AB6" s="461"/>
      <c r="AC6" s="426"/>
      <c r="AD6" s="751">
        <v>46300.0</v>
      </c>
      <c r="AE6" s="461"/>
      <c r="AF6" s="426"/>
      <c r="AG6" s="736">
        <v>46327.0</v>
      </c>
      <c r="AH6" s="461"/>
      <c r="AI6" s="426"/>
      <c r="AJ6" s="751">
        <v>46358.0</v>
      </c>
      <c r="AK6" s="461"/>
      <c r="AL6" s="426"/>
      <c r="AM6" s="26"/>
      <c r="AN6" s="26"/>
      <c r="AO6" s="26"/>
    </row>
    <row r="7">
      <c r="A7" s="26"/>
      <c r="B7" s="26"/>
      <c r="C7" s="738" t="s">
        <v>1449</v>
      </c>
      <c r="D7" s="738" t="s">
        <v>1450</v>
      </c>
      <c r="E7" s="718" t="s">
        <v>1442</v>
      </c>
      <c r="F7" s="752" t="s">
        <v>1449</v>
      </c>
      <c r="G7" s="752" t="s">
        <v>1450</v>
      </c>
      <c r="H7" s="753" t="s">
        <v>1442</v>
      </c>
      <c r="I7" s="738" t="s">
        <v>1449</v>
      </c>
      <c r="J7" s="738" t="s">
        <v>1450</v>
      </c>
      <c r="K7" s="718" t="s">
        <v>1442</v>
      </c>
      <c r="L7" s="752" t="s">
        <v>1449</v>
      </c>
      <c r="M7" s="752" t="s">
        <v>1450</v>
      </c>
      <c r="N7" s="753" t="s">
        <v>1442</v>
      </c>
      <c r="O7" s="738" t="s">
        <v>1449</v>
      </c>
      <c r="P7" s="738" t="s">
        <v>1450</v>
      </c>
      <c r="Q7" s="718" t="s">
        <v>1442</v>
      </c>
      <c r="R7" s="752" t="s">
        <v>1449</v>
      </c>
      <c r="S7" s="752" t="s">
        <v>1450</v>
      </c>
      <c r="T7" s="753" t="s">
        <v>1442</v>
      </c>
      <c r="U7" s="738" t="s">
        <v>1449</v>
      </c>
      <c r="V7" s="738" t="s">
        <v>1450</v>
      </c>
      <c r="W7" s="718" t="s">
        <v>1442</v>
      </c>
      <c r="X7" s="752" t="s">
        <v>1449</v>
      </c>
      <c r="Y7" s="752" t="s">
        <v>1450</v>
      </c>
      <c r="Z7" s="753" t="s">
        <v>1442</v>
      </c>
      <c r="AA7" s="738" t="s">
        <v>1449</v>
      </c>
      <c r="AB7" s="738" t="s">
        <v>1450</v>
      </c>
      <c r="AC7" s="718" t="s">
        <v>1442</v>
      </c>
      <c r="AD7" s="752" t="s">
        <v>1449</v>
      </c>
      <c r="AE7" s="752" t="s">
        <v>1450</v>
      </c>
      <c r="AF7" s="753" t="s">
        <v>1442</v>
      </c>
      <c r="AG7" s="738" t="s">
        <v>1449</v>
      </c>
      <c r="AH7" s="738" t="s">
        <v>1450</v>
      </c>
      <c r="AI7" s="718" t="s">
        <v>1442</v>
      </c>
      <c r="AJ7" s="752" t="s">
        <v>1449</v>
      </c>
      <c r="AK7" s="752" t="s">
        <v>1450</v>
      </c>
      <c r="AL7" s="753" t="s">
        <v>1442</v>
      </c>
      <c r="AM7" s="23"/>
      <c r="AN7" s="23"/>
      <c r="AO7" s="23"/>
    </row>
    <row r="8">
      <c r="A8" s="23"/>
      <c r="B8" s="23"/>
      <c r="C8" s="722">
        <f t="shared" ref="C8:D8" si="1">SUM(C9:C18)</f>
        <v>0</v>
      </c>
      <c r="D8" s="722">
        <f t="shared" si="1"/>
        <v>0</v>
      </c>
      <c r="E8" s="723">
        <f t="shared" ref="E8:E19" si="14">IFS(C8="", "", D8="", "", D8=0, 0, TRUE, D8/C8)</f>
        <v>0</v>
      </c>
      <c r="F8" s="724">
        <f t="shared" ref="F8:G8" si="2">SUM(F9:F18)</f>
        <v>0</v>
      </c>
      <c r="G8" s="724">
        <f t="shared" si="2"/>
        <v>0</v>
      </c>
      <c r="H8" s="725">
        <f t="shared" ref="H8:H19" si="15">IFS(F8="", "", G8="", "", G8=0, 0, TRUE, G8/F8)</f>
        <v>0</v>
      </c>
      <c r="I8" s="722">
        <f t="shared" ref="I8:J8" si="3">SUM(I9:I18)</f>
        <v>19</v>
      </c>
      <c r="J8" s="722">
        <f t="shared" si="3"/>
        <v>2</v>
      </c>
      <c r="K8" s="723">
        <f t="shared" ref="K8:K19" si="16">IFS(I8="", "", J8="", "", J8=0, 0, TRUE, J8/I8)</f>
        <v>0.1052631579</v>
      </c>
      <c r="L8" s="724">
        <f t="shared" ref="L8:M8" si="4">SUM(L9:L18)</f>
        <v>30</v>
      </c>
      <c r="M8" s="724">
        <f t="shared" si="4"/>
        <v>0</v>
      </c>
      <c r="N8" s="725">
        <f t="shared" ref="N8:N19" si="17">IFS(L8="", "", M8="", "", M8=0, 0, TRUE, M8/L8)</f>
        <v>0</v>
      </c>
      <c r="O8" s="722">
        <f t="shared" ref="O8:P8" si="5">SUM(O9:O18)</f>
        <v>12</v>
      </c>
      <c r="P8" s="722">
        <f t="shared" si="5"/>
        <v>5</v>
      </c>
      <c r="Q8" s="723">
        <f t="shared" ref="Q8:Q19" si="18">IFS(O8="", "", P8="", "", P8=0, 0, TRUE, P8/O8)</f>
        <v>0.4166666667</v>
      </c>
      <c r="R8" s="724">
        <f t="shared" ref="R8:S8" si="6">SUM(R9:R18)</f>
        <v>11</v>
      </c>
      <c r="S8" s="724">
        <f t="shared" si="6"/>
        <v>0</v>
      </c>
      <c r="T8" s="725">
        <f t="shared" ref="T8:T19" si="19">IFS(R8="", "", S8="", "", S8=0, 0, TRUE, S8/R8)</f>
        <v>0</v>
      </c>
      <c r="U8" s="722">
        <f t="shared" ref="U8:V8" si="7">SUM(U9:U18)</f>
        <v>0</v>
      </c>
      <c r="V8" s="722">
        <f t="shared" si="7"/>
        <v>0</v>
      </c>
      <c r="W8" s="723">
        <f t="shared" ref="W8:W19" si="20">IFS(U8="", "", V8="", "", V8=0, 0, TRUE, V8/U8)</f>
        <v>0</v>
      </c>
      <c r="X8" s="724">
        <f t="shared" ref="X8:Y8" si="8">SUM(X9:X18)</f>
        <v>0</v>
      </c>
      <c r="Y8" s="724">
        <f t="shared" si="8"/>
        <v>0</v>
      </c>
      <c r="Z8" s="725">
        <f t="shared" ref="Z8:Z19" si="21">IFS(X8="", "", Y8="", "", Y8=0, 0, TRUE, Y8/X8)</f>
        <v>0</v>
      </c>
      <c r="AA8" s="722">
        <f t="shared" ref="AA8:AB8" si="9">SUM(AA9:AA18)</f>
        <v>0</v>
      </c>
      <c r="AB8" s="722">
        <f t="shared" si="9"/>
        <v>0</v>
      </c>
      <c r="AC8" s="723">
        <f t="shared" ref="AC8:AC19" si="22">IFS(AA8="", "", AB8="", "", AB8=0, 0, TRUE, AB8/AA8)</f>
        <v>0</v>
      </c>
      <c r="AD8" s="724">
        <f t="shared" ref="AD8:AE8" si="10">SUM(AD9:AD18)</f>
        <v>0</v>
      </c>
      <c r="AE8" s="724">
        <f t="shared" si="10"/>
        <v>0</v>
      </c>
      <c r="AF8" s="725">
        <f t="shared" ref="AF8:AF19" si="23">IFS(AD8="", "", AE8="", "", AE8=0, 0, TRUE, AE8/AD8)</f>
        <v>0</v>
      </c>
      <c r="AG8" s="722">
        <f t="shared" ref="AG8:AH8" si="11">SUM(AG9:AG18)</f>
        <v>0</v>
      </c>
      <c r="AH8" s="722">
        <f t="shared" si="11"/>
        <v>0</v>
      </c>
      <c r="AI8" s="723">
        <f t="shared" ref="AI8:AI19" si="24">IFS(AG8="", "", AH8="", "", AH8=0, 0, TRUE, AH8/AG8)</f>
        <v>0</v>
      </c>
      <c r="AJ8" s="724">
        <f t="shared" ref="AJ8:AK8" si="12">SUM(AJ9:AJ18)</f>
        <v>0</v>
      </c>
      <c r="AK8" s="724">
        <f t="shared" si="12"/>
        <v>0</v>
      </c>
      <c r="AL8" s="725">
        <f t="shared" ref="AL8:AL19" si="25">IFS(AJ8="", "", AK8="", "", AK8=0, 0, TRUE, AK8/AJ8)</f>
        <v>0</v>
      </c>
      <c r="AM8" s="726">
        <f t="shared" ref="AM8:AN8" si="13">SUM(AM9:AM18)</f>
        <v>72</v>
      </c>
      <c r="AN8" s="726">
        <f t="shared" si="13"/>
        <v>7</v>
      </c>
      <c r="AO8" s="727">
        <f t="shared" ref="AO8:AO19" si="26">IFS(AN8="", "", AM8="", "", AN8=0, 0, TRUE, AN8/AM8)</f>
        <v>0.09722222222</v>
      </c>
    </row>
    <row r="9">
      <c r="A9" s="728">
        <f t="array" ref="A9:A19">IF(LEN(B9:B19), ROW(B9:B19) - ROW(B9) + 1, "")</f>
        <v>1</v>
      </c>
      <c r="B9" s="597" t="str">
        <f>IFERROR(__xludf.DUMMYFUNCTION("unique(QUERY('1. DATA CHUNG'!A4:Z19, ""SELECT B WHERE B IS NOT NULL"", 1))"),"Nhà máy Dego")</f>
        <v>Nhà máy Dego</v>
      </c>
      <c r="C9" s="743">
        <f>IFERROR(__xludf.DUMMYFUNCTION("COUNTA(IFERROR(FILTER(
  INDEX('6. TIẾN ĐỘ MUA HÀNG'!$A$5:$AT19, 0, XMATCH(""Mã đơn Misa"", '6. TIẾN ĐỘ MUA HÀNG'!$A$4:$AT$4, 0)), 
  INDEX('6. TIẾN ĐỘ MUA HÀNG'!$A$5:$AT19, 0, XMATCH(""Bộ phận/Cá nhân đặt hàng"", '6. TIẾN ĐỘ MUA HÀNG'!$A$4:$AT$4, 0)) = $"&amp;"B9, 
  TRIM(INDEX('6. TIẾN ĐỘ MUA HÀNG'!$A$5:$AT19, 0, XMATCH(""Tháng"", '6. TIẾN ĐỘ MUA HÀNG'!$A$4:$AT$4, 0))) = TRIM(C$6),
  INDEX('6. TIẾN ĐỘ MUA HÀNG'!$A$5:$AT19, 0, XMATCH(""Mã đơn Misa"", '6. TIẾN ĐỘ MUA HÀNG'!$A$4:$AT$4, 0)) &lt;&gt; """")))"),0.0)</f>
        <v>0</v>
      </c>
      <c r="D9" s="743">
        <f t="array" ref="D9">SUMPRODUCT((INDEX('6. TIẾN ĐỘ MUA HÀNG'!$A$5:$AT19, 0, XMATCH("Bộ phận/Cá nhân đặt hàng", '6. TIẾN ĐỘ MUA HÀNG'!$A$4:$AT$4, 0)) = $B9) * (TRIM(INDEX('6. TIẾN ĐỘ MUA HÀNG'!$A$5:$AT19, 0, XMATCH("Tháng", '6. TIẾN ĐỘ MUA HÀNG'!$A$4:$AT$4, 0))) = TRIM(C$6)) * (INDEX('6. TIẾN ĐỘ MUA HÀNG'!$A$5:$AT19, 0, XMATCH("CL NGÀY QUY ĐỊNH  - NGÀY KD YÊU CẦU", '6. TIẾN ĐỘ MUA HÀNG'!$A$4:$AT$4, 0)) &gt; 0))</f>
        <v>0</v>
      </c>
      <c r="E9" s="731">
        <f t="shared" si="14"/>
        <v>0</v>
      </c>
      <c r="F9" s="769">
        <f>IFERROR(__xludf.DUMMYFUNCTION("COUNTA(IFERROR(FILTER(
  INDEX('6. TIẾN ĐỘ MUA HÀNG'!$A$5:$AT19, 0, XMATCH(""Mã đơn Misa"", '6. TIẾN ĐỘ MUA HÀNG'!$A$4:$AT$4, 0)), 
  INDEX('6. TIẾN ĐỘ MUA HÀNG'!$A$5:$AT19, 0, XMATCH(""Bộ phận/Cá nhân đặt hàng"", '6. TIẾN ĐỘ MUA HÀNG'!$A$4:$AT$4, 0)) = $"&amp;"B9, 
  TRIM(INDEX('6. TIẾN ĐỘ MUA HÀNG'!$A$5:$AT19, 0, XMATCH(""Tháng"", '6. TIẾN ĐỘ MUA HÀNG'!$A$4:$AT$4, 0))) = TRIM(F$6),
  INDEX('6. TIẾN ĐỘ MUA HÀNG'!$A$5:$AT19, 0, XMATCH(""Mã đơn Misa"", '6. TIẾN ĐỘ MUA HÀNG'!$A$4:$AT$4, 0)) &lt;&gt; """")))"),0.0)</f>
        <v>0</v>
      </c>
      <c r="G9" s="769">
        <f t="array" ref="G9">SUMPRODUCT((INDEX('6. TIẾN ĐỘ MUA HÀNG'!$A$5:$AT19, 0, XMATCH("Bộ phận/Cá nhân đặt hàng", '6. TIẾN ĐỘ MUA HÀNG'!$A$4:$AT$4, 0)) = $B9) * (TRIM(INDEX('6. TIẾN ĐỘ MUA HÀNG'!$A$5:$AT19, 0, XMATCH("Tháng", '6. TIẾN ĐỘ MUA HÀNG'!$A$4:$AT$4, 0))) = TRIM(F$6)) * (INDEX('6. TIẾN ĐỘ MUA HÀNG'!$A$5:$AT19, 0, XMATCH("CL NGÀY QUY ĐỊNH  - NGÀY KD YÊU CẦU", '6. TIẾN ĐỘ MUA HÀNG'!$A$4:$AT$4, 0)) &gt; 0))</f>
        <v>0</v>
      </c>
      <c r="H9" s="733">
        <f t="shared" si="15"/>
        <v>0</v>
      </c>
      <c r="I9" s="743">
        <f>IFERROR(__xludf.DUMMYFUNCTION("COUNTA(IFERROR(FILTER(
  INDEX('6. TIẾN ĐỘ MUA HÀNG'!$A$5:$AT19, 0, XMATCH(""Mã đơn Misa"", '6. TIẾN ĐỘ MUA HÀNG'!$A$4:$AT$4, 0)), 
  INDEX('6. TIẾN ĐỘ MUA HÀNG'!$A$5:$AT19, 0, XMATCH(""Bộ phận/Cá nhân đặt hàng"", '6. TIẾN ĐỘ MUA HÀNG'!$A$4:$AT$4, 0)) = $"&amp;"B9, 
  TRIM(INDEX('6. TIẾN ĐỘ MUA HÀNG'!$A$5:$AT19, 0, XMATCH(""Tháng"", '6. TIẾN ĐỘ MUA HÀNG'!$A$4:$AT$4, 0))) = TRIM(I$6),
  INDEX('6. TIẾN ĐỘ MUA HÀNG'!$A$5:$AT19, 0, XMATCH(""Mã đơn Misa"", '6. TIẾN ĐỘ MUA HÀNG'!$A$4:$AT$4, 0)) &lt;&gt; """")))"),0.0)</f>
        <v>0</v>
      </c>
      <c r="J9" s="743">
        <f t="array" ref="J9">SUMPRODUCT((INDEX('6. TIẾN ĐỘ MUA HÀNG'!$A$5:$AT19, 0, XMATCH("Bộ phận/Cá nhân đặt hàng", '6. TIẾN ĐỘ MUA HÀNG'!$A$4:$AT$4, 0)) = $B9) * (TRIM(INDEX('6. TIẾN ĐỘ MUA HÀNG'!$A$5:$AT19, 0, XMATCH("Tháng", '6. TIẾN ĐỘ MUA HÀNG'!$A$4:$AT$4, 0))) = TRIM(I$6)) * (INDEX('6. TIẾN ĐỘ MUA HÀNG'!$A$5:$AT19, 0, XMATCH("CL NGÀY QUY ĐỊNH  - NGÀY KD YÊU CẦU", '6. TIẾN ĐỘ MUA HÀNG'!$A$4:$AT$4, 0)) &gt; 0))</f>
        <v>0</v>
      </c>
      <c r="K9" s="731">
        <f t="shared" si="16"/>
        <v>0</v>
      </c>
      <c r="L9" s="769">
        <f>IFERROR(__xludf.DUMMYFUNCTION("COUNTA(IFERROR(FILTER(
  INDEX('6. TIẾN ĐỘ MUA HÀNG'!$A$5:$AT19, 0, XMATCH(""Mã đơn Misa"", '6. TIẾN ĐỘ MUA HÀNG'!$A$4:$AT$4, 0)), 
  INDEX('6. TIẾN ĐỘ MUA HÀNG'!$A$5:$AT19, 0, XMATCH(""Bộ phận/Cá nhân đặt hàng"", '6. TIẾN ĐỘ MUA HÀNG'!$A$4:$AT$4, 0)) = $"&amp;"B9, 
  TRIM(INDEX('6. TIẾN ĐỘ MUA HÀNG'!$A$5:$AT19, 0, XMATCH(""Tháng"", '6. TIẾN ĐỘ MUA HÀNG'!$A$4:$AT$4, 0))) = TRIM(L$6),
  INDEX('6. TIẾN ĐỘ MUA HÀNG'!$A$5:$AT19, 0, XMATCH(""Mã đơn Misa"", '6. TIẾN ĐỘ MUA HÀNG'!$A$4:$AT$4, 0)) &lt;&gt; """")))"),0.0)</f>
        <v>0</v>
      </c>
      <c r="M9" s="769">
        <f t="array" ref="M9">SUMPRODUCT((INDEX('6. TIẾN ĐỘ MUA HÀNG'!$A$5:$AT19, 0, XMATCH("Bộ phận/Cá nhân đặt hàng", '6. TIẾN ĐỘ MUA HÀNG'!$A$4:$AT$4, 0)) = $B9) * (TRIM(INDEX('6. TIẾN ĐỘ MUA HÀNG'!$A$5:$AT19, 0, XMATCH("Tháng", '6. TIẾN ĐỘ MUA HÀNG'!$A$4:$AT$4, 0))) = TRIM(L$6)) * (INDEX('6. TIẾN ĐỘ MUA HÀNG'!$A$5:$AT19, 0, XMATCH("CL NGÀY QUY ĐỊNH  - NGÀY KD YÊU CẦU", '6. TIẾN ĐỘ MUA HÀNG'!$A$4:$AT$4, 0)) &gt; 0))</f>
        <v>0</v>
      </c>
      <c r="N9" s="733">
        <f t="shared" si="17"/>
        <v>0</v>
      </c>
      <c r="O9" s="743">
        <f>IFERROR(__xludf.DUMMYFUNCTION("COUNTA(IFERROR(FILTER(
  INDEX('6. TIẾN ĐỘ MUA HÀNG'!$A$5:$AT19, 0, XMATCH(""Mã đơn Misa"", '6. TIẾN ĐỘ MUA HÀNG'!$A$4:$AT$4, 0)), 
  INDEX('6. TIẾN ĐỘ MUA HÀNG'!$A$5:$AT19, 0, XMATCH(""Bộ phận/Cá nhân đặt hàng"", '6. TIẾN ĐỘ MUA HÀNG'!$A$4:$AT$4, 0)) = $"&amp;"B9, 
  TRIM(INDEX('6. TIẾN ĐỘ MUA HÀNG'!$A$5:$AT19, 0, XMATCH(""Tháng"", '6. TIẾN ĐỘ MUA HÀNG'!$A$4:$AT$4, 0))) = TRIM(O$6),
  INDEX('6. TIẾN ĐỘ MUA HÀNG'!$A$5:$AT19, 0, XMATCH(""Mã đơn Misa"", '6. TIẾN ĐỘ MUA HÀNG'!$A$4:$AT$4, 0)) &lt;&gt; """")))"),1.0)</f>
        <v>1</v>
      </c>
      <c r="P9" s="743">
        <f t="array" ref="P9">SUMPRODUCT((INDEX('6. TIẾN ĐỘ MUA HÀNG'!$A$5:$AT19, 0, XMATCH("Bộ phận/Cá nhân đặt hàng", '6. TIẾN ĐỘ MUA HÀNG'!$A$4:$AT$4, 0)) = $B9) * (TRIM(INDEX('6. TIẾN ĐỘ MUA HÀNG'!$A$5:$AT19, 0, XMATCH("Tháng", '6. TIẾN ĐỘ MUA HÀNG'!$A$4:$AT$4, 0))) = TRIM(O$6)) * (INDEX('6. TIẾN ĐỘ MUA HÀNG'!$A$5:$AT19, 0, XMATCH("CL NGÀY QUY ĐỊNH  - NGÀY KD YÊU CẦU", '6. TIẾN ĐỘ MUA HÀNG'!$A$4:$AT$4, 0)) &gt; 0))</f>
        <v>0</v>
      </c>
      <c r="Q9" s="731">
        <f t="shared" si="18"/>
        <v>0</v>
      </c>
      <c r="R9" s="769">
        <f>IFERROR(__xludf.DUMMYFUNCTION("COUNTA(IFERROR(FILTER(
  INDEX('6. TIẾN ĐỘ MUA HÀNG'!$A$5:$AT19, 0, XMATCH(""Mã đơn Misa"", '6. TIẾN ĐỘ MUA HÀNG'!$A$4:$AT$4, 0)), 
  INDEX('6. TIẾN ĐỘ MUA HÀNG'!$A$5:$AT19, 0, XMATCH(""Bộ phận/Cá nhân đặt hàng"", '6. TIẾN ĐỘ MUA HÀNG'!$A$4:$AT$4, 0)) = $"&amp;"B9, 
  TRIM(INDEX('6. TIẾN ĐỘ MUA HÀNG'!$A$5:$AT19, 0, XMATCH(""Tháng"", '6. TIẾN ĐỘ MUA HÀNG'!$A$4:$AT$4, 0))) = TRIM(R$6),
  INDEX('6. TIẾN ĐỘ MUA HÀNG'!$A$5:$AT19, 0, XMATCH(""Mã đơn Misa"", '6. TIẾN ĐỘ MUA HÀNG'!$A$4:$AT$4, 0)) &lt;&gt; """")))"),5.0)</f>
        <v>5</v>
      </c>
      <c r="S9" s="769">
        <f t="array" ref="S9">SUMPRODUCT((INDEX('6. TIẾN ĐỘ MUA HÀNG'!$A$5:$AT19, 0, XMATCH("Bộ phận/Cá nhân đặt hàng", '6. TIẾN ĐỘ MUA HÀNG'!$A$4:$AT$4, 0)) = $B9) * (TRIM(INDEX('6. TIẾN ĐỘ MUA HÀNG'!$A$5:$AT19, 0, XMATCH("Tháng", '6. TIẾN ĐỘ MUA HÀNG'!$A$4:$AT$4, 0))) = TRIM(R$6)) * (INDEX('6. TIẾN ĐỘ MUA HÀNG'!$A$5:$AT19, 0, XMATCH("CL NGÀY QUY ĐỊNH  - NGÀY KD YÊU CẦU", '6. TIẾN ĐỘ MUA HÀNG'!$A$4:$AT$4, 0)) &gt; 0))</f>
        <v>0</v>
      </c>
      <c r="T9" s="733">
        <f t="shared" si="19"/>
        <v>0</v>
      </c>
      <c r="U9" s="743">
        <f>IFERROR(__xludf.DUMMYFUNCTION("COUNTA(IFERROR(FILTER(
  INDEX('6. TIẾN ĐỘ MUA HÀNG'!$A$5:$AT19, 0, XMATCH(""Mã đơn Misa"", '6. TIẾN ĐỘ MUA HÀNG'!$A$4:$AT$4, 0)), 
  INDEX('6. TIẾN ĐỘ MUA HÀNG'!$A$5:$AT19, 0, XMATCH(""Bộ phận/Cá nhân đặt hàng"", '6. TIẾN ĐỘ MUA HÀNG'!$A$4:$AT$4, 0)) = $"&amp;"B9, 
  TRIM(INDEX('6. TIẾN ĐỘ MUA HÀNG'!$A$5:$AT19, 0, XMATCH(""Tháng"", '6. TIẾN ĐỘ MUA HÀNG'!$A$4:$AT$4, 0))) = TRIM(U$6),
  INDEX('6. TIẾN ĐỘ MUA HÀNG'!$A$5:$AT19, 0, XMATCH(""Mã đơn Misa"", '6. TIẾN ĐỘ MUA HÀNG'!$A$4:$AT$4, 0)) &lt;&gt; """")))"),0.0)</f>
        <v>0</v>
      </c>
      <c r="V9" s="743">
        <f t="array" ref="V9">SUMPRODUCT((INDEX('6. TIẾN ĐỘ MUA HÀNG'!$A$5:$AT19, 0, XMATCH("Bộ phận/Cá nhân đặt hàng", '6. TIẾN ĐỘ MUA HÀNG'!$A$4:$AT$4, 0)) = $B9) * (TRIM(INDEX('6. TIẾN ĐỘ MUA HÀNG'!$A$5:$AT19, 0, XMATCH("Tháng", '6. TIẾN ĐỘ MUA HÀNG'!$A$4:$AT$4, 0))) = TRIM(U$6)) * (INDEX('6. TIẾN ĐỘ MUA HÀNG'!$A$5:$AT19, 0, XMATCH("CL NGÀY QUY ĐỊNH  - NGÀY KD YÊU CẦU", '6. TIẾN ĐỘ MUA HÀNG'!$A$4:$AT$4, 0)) &gt; 0))</f>
        <v>0</v>
      </c>
      <c r="W9" s="731">
        <f t="shared" si="20"/>
        <v>0</v>
      </c>
      <c r="X9" s="769">
        <f>IFERROR(__xludf.DUMMYFUNCTION("COUNTA(IFERROR(FILTER(
  INDEX('6. TIẾN ĐỘ MUA HÀNG'!$A$5:$AT19, 0, XMATCH(""Mã đơn Misa"", '6. TIẾN ĐỘ MUA HÀNG'!$A$4:$AT$4, 0)), 
  INDEX('6. TIẾN ĐỘ MUA HÀNG'!$A$5:$AT19, 0, XMATCH(""Bộ phận/Cá nhân đặt hàng"", '6. TIẾN ĐỘ MUA HÀNG'!$A$4:$AT$4, 0)) = $"&amp;"B9, 
  TRIM(INDEX('6. TIẾN ĐỘ MUA HÀNG'!$A$5:$AT19, 0, XMATCH(""Tháng"", '6. TIẾN ĐỘ MUA HÀNG'!$A$4:$AT$4, 0))) = TRIM(X$6),
  INDEX('6. TIẾN ĐỘ MUA HÀNG'!$A$5:$AT19, 0, XMATCH(""Mã đơn Misa"", '6. TIẾN ĐỘ MUA HÀNG'!$A$4:$AT$4, 0)) &lt;&gt; """")))"),0.0)</f>
        <v>0</v>
      </c>
      <c r="Y9" s="769">
        <f t="array" ref="Y9">SUMPRODUCT((INDEX('6. TIẾN ĐỘ MUA HÀNG'!$A$5:$AT19, 0, XMATCH("Bộ phận/Cá nhân đặt hàng", '6. TIẾN ĐỘ MUA HÀNG'!$A$4:$AT$4, 0)) = $B9) * (TRIM(INDEX('6. TIẾN ĐỘ MUA HÀNG'!$A$5:$AT19, 0, XMATCH("Tháng", '6. TIẾN ĐỘ MUA HÀNG'!$A$4:$AT$4, 0))) = TRIM(X$6)) * (INDEX('6. TIẾN ĐỘ MUA HÀNG'!$A$5:$AT19, 0, XMATCH("CL NGÀY QUY ĐỊNH  - NGÀY KD YÊU CẦU", '6. TIẾN ĐỘ MUA HÀNG'!$A$4:$AT$4, 0)) &gt; 0))</f>
        <v>0</v>
      </c>
      <c r="Z9" s="733">
        <f t="shared" si="21"/>
        <v>0</v>
      </c>
      <c r="AA9" s="743">
        <f>IFERROR(__xludf.DUMMYFUNCTION("COUNTA(IFERROR(FILTER(
  INDEX('6. TIẾN ĐỘ MUA HÀNG'!$A$5:$AT19, 0, XMATCH(""Mã đơn Misa"", '6. TIẾN ĐỘ MUA HÀNG'!$A$4:$AT$4, 0)), 
  INDEX('6. TIẾN ĐỘ MUA HÀNG'!$A$5:$AT19, 0, XMATCH(""Bộ phận/Cá nhân đặt hàng"", '6. TIẾN ĐỘ MUA HÀNG'!$A$4:$AT$4, 0)) = $"&amp;"B9, 
  TRIM(INDEX('6. TIẾN ĐỘ MUA HÀNG'!$A$5:$AT19, 0, XMATCH(""Tháng"", '6. TIẾN ĐỘ MUA HÀNG'!$A$4:$AT$4, 0))) = TRIM(AA$6),
  INDEX('6. TIẾN ĐỘ MUA HÀNG'!$A$5:$AT19, 0, XMATCH(""Mã đơn Misa"", '6. TIẾN ĐỘ MUA HÀNG'!$A$4:$AT$4, 0)) &lt;&gt; """")))"),0.0)</f>
        <v>0</v>
      </c>
      <c r="AB9" s="743">
        <f t="array" ref="AB9">SUMPRODUCT((INDEX('6. TIẾN ĐỘ MUA HÀNG'!$A$5:$AT19, 0, XMATCH("Bộ phận/Cá nhân đặt hàng", '6. TIẾN ĐỘ MUA HÀNG'!$A$4:$AT$4, 0)) = $B9) * (TRIM(INDEX('6. TIẾN ĐỘ MUA HÀNG'!$A$5:$AT19, 0, XMATCH("Tháng", '6. TIẾN ĐỘ MUA HÀNG'!$A$4:$AT$4, 0))) = TRIM(AA$6)) * (INDEX('6. TIẾN ĐỘ MUA HÀNG'!$A$5:$AT19, 0, XMATCH("CL NGÀY QUY ĐỊNH  - NGÀY KD YÊU CẦU", '6. TIẾN ĐỘ MUA HÀNG'!$A$4:$AT$4, 0)) &gt; 0))</f>
        <v>0</v>
      </c>
      <c r="AC9" s="731">
        <f t="shared" si="22"/>
        <v>0</v>
      </c>
      <c r="AD9" s="769">
        <f>IFERROR(__xludf.DUMMYFUNCTION("COUNTA(IFERROR(FILTER(
  INDEX('6. TIẾN ĐỘ MUA HÀNG'!$A$5:$AT19, 0, XMATCH(""Mã đơn Misa"", '6. TIẾN ĐỘ MUA HÀNG'!$A$4:$AT$4, 0)), 
  INDEX('6. TIẾN ĐỘ MUA HÀNG'!$A$5:$AT19, 0, XMATCH(""Bộ phận/Cá nhân đặt hàng"", '6. TIẾN ĐỘ MUA HÀNG'!$A$4:$AT$4, 0)) = $"&amp;"B9, 
  TRIM(INDEX('6. TIẾN ĐỘ MUA HÀNG'!$A$5:$AT19, 0, XMATCH(""Tháng"", '6. TIẾN ĐỘ MUA HÀNG'!$A$4:$AT$4, 0))) = TRIM(AD$6),
  INDEX('6. TIẾN ĐỘ MUA HÀNG'!$A$5:$AT19, 0, XMATCH(""Mã đơn Misa"", '6. TIẾN ĐỘ MUA HÀNG'!$A$4:$AT$4, 0)) &lt;&gt; """")))"),0.0)</f>
        <v>0</v>
      </c>
      <c r="AE9" s="769">
        <f t="array" ref="AE9">SUMPRODUCT((INDEX('6. TIẾN ĐỘ MUA HÀNG'!$A$5:$AT19, 0, XMATCH("Bộ phận/Cá nhân đặt hàng", '6. TIẾN ĐỘ MUA HÀNG'!$A$4:$AT$4, 0)) = $B9) * (TRIM(INDEX('6. TIẾN ĐỘ MUA HÀNG'!$A$5:$AT19, 0, XMATCH("Tháng", '6. TIẾN ĐỘ MUA HÀNG'!$A$4:$AT$4, 0))) = TRIM(AD$6)) * (INDEX('6. TIẾN ĐỘ MUA HÀNG'!$A$5:$AT19, 0, XMATCH("CL NGÀY QUY ĐỊNH  - NGÀY KD YÊU CẦU", '6. TIẾN ĐỘ MUA HÀNG'!$A$4:$AT$4, 0)) &gt; 0))</f>
        <v>0</v>
      </c>
      <c r="AF9" s="733">
        <f t="shared" si="23"/>
        <v>0</v>
      </c>
      <c r="AG9" s="743">
        <f>IFERROR(__xludf.DUMMYFUNCTION("COUNTA(IFERROR(FILTER(
  INDEX('6. TIẾN ĐỘ MUA HÀNG'!$A$5:$AT19, 0, XMATCH(""Mã đơn Misa"", '6. TIẾN ĐỘ MUA HÀNG'!$A$4:$AT$4, 0)), 
  INDEX('6. TIẾN ĐỘ MUA HÀNG'!$A$5:$AT19, 0, XMATCH(""Bộ phận/Cá nhân đặt hàng"", '6. TIẾN ĐỘ MUA HÀNG'!$A$4:$AT$4, 0)) = $"&amp;"B9, 
  TRIM(INDEX('6. TIẾN ĐỘ MUA HÀNG'!$A$5:$AT19, 0, XMATCH(""Tháng"", '6. TIẾN ĐỘ MUA HÀNG'!$A$4:$AT$4, 0))) = TRIM(AG$6),
  INDEX('6. TIẾN ĐỘ MUA HÀNG'!$A$5:$AT19, 0, XMATCH(""Mã đơn Misa"", '6. TIẾN ĐỘ MUA HÀNG'!$A$4:$AT$4, 0)) &lt;&gt; """")))"),0.0)</f>
        <v>0</v>
      </c>
      <c r="AH9" s="743">
        <f t="array" ref="AH9">SUMPRODUCT((INDEX('6. TIẾN ĐỘ MUA HÀNG'!$A$5:$AT19, 0, XMATCH("Bộ phận/Cá nhân đặt hàng", '6. TIẾN ĐỘ MUA HÀNG'!$A$4:$AT$4, 0)) = $B9) * (TRIM(INDEX('6. TIẾN ĐỘ MUA HÀNG'!$A$5:$AT19, 0, XMATCH("Tháng", '6. TIẾN ĐỘ MUA HÀNG'!$A$4:$AT$4, 0))) = TRIM(AG$6)) * (INDEX('6. TIẾN ĐỘ MUA HÀNG'!$A$5:$AT19, 0, XMATCH("CL NGÀY QUY ĐỊNH  - NGÀY KD YÊU CẦU", '6. TIẾN ĐỘ MUA HÀNG'!$A$4:$AT$4, 0)) &gt; 0))</f>
        <v>0</v>
      </c>
      <c r="AI9" s="731">
        <f t="shared" si="24"/>
        <v>0</v>
      </c>
      <c r="AJ9" s="769">
        <f>IFERROR(__xludf.DUMMYFUNCTION("COUNTA(IFERROR(FILTER(
  INDEX('6. TIẾN ĐỘ MUA HÀNG'!$A$5:$AT19, 0, XMATCH(""Mã đơn Misa"", '6. TIẾN ĐỘ MUA HÀNG'!$A$4:$AT$4, 0)), 
  INDEX('6. TIẾN ĐỘ MUA HÀNG'!$A$5:$AT19, 0, XMATCH(""Bộ phận/Cá nhân đặt hàng"", '6. TIẾN ĐỘ MUA HÀNG'!$A$4:$AT$4, 0)) = $"&amp;"B9, 
  TRIM(INDEX('6. TIẾN ĐỘ MUA HÀNG'!$A$5:$AT19, 0, XMATCH(""Tháng"", '6. TIẾN ĐỘ MUA HÀNG'!$A$4:$AT$4, 0))) = TRIM(AJ$6),
  INDEX('6. TIẾN ĐỘ MUA HÀNG'!$A$5:$AT19, 0, XMATCH(""Mã đơn Misa"", '6. TIẾN ĐỘ MUA HÀNG'!$A$4:$AT$4, 0)) &lt;&gt; """")))"),0.0)</f>
        <v>0</v>
      </c>
      <c r="AK9" s="769">
        <f t="array" ref="AK9">SUMPRODUCT((INDEX('6. TIẾN ĐỘ MUA HÀNG'!$A$5:$AT19, 0, XMATCH("Bộ phận/Cá nhân đặt hàng", '6. TIẾN ĐỘ MUA HÀNG'!$A$4:$AT$4, 0)) = $B9) * (TRIM(INDEX('6. TIẾN ĐỘ MUA HÀNG'!$A$5:$AT19, 0, XMATCH("Tháng", '6. TIẾN ĐỘ MUA HÀNG'!$A$4:$AT$4, 0))) = TRIM(AJ$6)) * (INDEX('6. TIẾN ĐỘ MUA HÀNG'!$A$5:$AT19, 0, XMATCH("CL NGÀY QUY ĐỊNH  - NGÀY KD YÊU CẦU", '6. TIẾN ĐỘ MUA HÀNG'!$A$4:$AT$4, 0)) &gt; 0))</f>
        <v>0</v>
      </c>
      <c r="AL9" s="733">
        <f t="shared" si="25"/>
        <v>0</v>
      </c>
      <c r="AM9" s="726">
        <f t="shared" ref="AM9:AM19" si="27">SUMIFS(C9:AK9, $C$7:$AK$7, "Tổng số lần đặt hàng")</f>
        <v>6</v>
      </c>
      <c r="AN9" s="726">
        <f t="shared" ref="AN9:AN19" si="28">SUMIFS(C9:AK9, $C$7:$AK$7, "Số lần gấp")</f>
        <v>0</v>
      </c>
      <c r="AO9" s="727">
        <f t="shared" si="26"/>
        <v>0</v>
      </c>
    </row>
    <row r="10">
      <c r="A10" s="612">
        <v>2.0</v>
      </c>
      <c r="B10" s="139" t="str">
        <f>IFERROR(__xludf.DUMMYFUNCTION("""COMPUTED_VALUE"""),"SX - Ms Ly")</f>
        <v>SX - Ms Ly</v>
      </c>
      <c r="C10" s="743">
        <f>IFERROR(__xludf.DUMMYFUNCTION("COUNTA(IFERROR(FILTER(
  INDEX('6. TIẾN ĐỘ MUA HÀNG'!$A$5:$AT19, 0, XMATCH(""Mã đơn Misa"", '6. TIẾN ĐỘ MUA HÀNG'!$A$4:$AT$4, 0)), 
  INDEX('6. TIẾN ĐỘ MUA HÀNG'!$A$5:$AT19, 0, XMATCH(""Bộ phận/Cá nhân đặt hàng"", '6. TIẾN ĐỘ MUA HÀNG'!$A$4:$AT$4, 0)) = $"&amp;"B10, 
  TRIM(INDEX('6. TIẾN ĐỘ MUA HÀNG'!$A$5:$AT19, 0, XMATCH(""Tháng"", '6. TIẾN ĐỘ MUA HÀNG'!$A$4:$AT$4, 0))) = TRIM(C$6),
  INDEX('6. TIẾN ĐỘ MUA HÀNG'!$A$5:$AT19, 0, XMATCH(""Mã đơn Misa"", '6. TIẾN ĐỘ MUA HÀNG'!$A$4:$AT$4, 0)) &lt;&gt; """")))"),0.0)</f>
        <v>0</v>
      </c>
      <c r="D10" s="743">
        <f t="array" ref="D10">SUMPRODUCT((INDEX('6. TIẾN ĐỘ MUA HÀNG'!$A$5:$AT19, 0, XMATCH("Bộ phận/Cá nhân đặt hàng", '6. TIẾN ĐỘ MUA HÀNG'!$A$4:$AT$4, 0)) = $B10) * (TRIM(INDEX('6. TIẾN ĐỘ MUA HÀNG'!$A$5:$AT19, 0, XMATCH("Tháng", '6. TIẾN ĐỘ MUA HÀNG'!$A$4:$AT$4, 0))) = TRIM(C$6)) * (INDEX('6. TIẾN ĐỘ MUA HÀNG'!$A$5:$AT19, 0, XMATCH("CL NGÀY QUY ĐỊNH  - NGÀY KD YÊU CẦU", '6. TIẾN ĐỘ MUA HÀNG'!$A$4:$AT$4, 0)) &gt; 0))</f>
        <v>0</v>
      </c>
      <c r="E10" s="731">
        <f t="shared" si="14"/>
        <v>0</v>
      </c>
      <c r="F10" s="769">
        <f>IFERROR(__xludf.DUMMYFUNCTION("COUNTA(IFERROR(FILTER(
  INDEX('6. TIẾN ĐỘ MUA HÀNG'!$A$5:$AT19, 0, XMATCH(""Mã đơn Misa"", '6. TIẾN ĐỘ MUA HÀNG'!$A$4:$AT$4, 0)), 
  INDEX('6. TIẾN ĐỘ MUA HÀNG'!$A$5:$AT19, 0, XMATCH(""Bộ phận/Cá nhân đặt hàng"", '6. TIẾN ĐỘ MUA HÀNG'!$A$4:$AT$4, 0)) = $"&amp;"B10, 
  TRIM(INDEX('6. TIẾN ĐỘ MUA HÀNG'!$A$5:$AT19, 0, XMATCH(""Tháng"", '6. TIẾN ĐỘ MUA HÀNG'!$A$4:$AT$4, 0))) = TRIM(F$6),
  INDEX('6. TIẾN ĐỘ MUA HÀNG'!$A$5:$AT19, 0, XMATCH(""Mã đơn Misa"", '6. TIẾN ĐỘ MUA HÀNG'!$A$4:$AT$4, 0)) &lt;&gt; """")))"),0.0)</f>
        <v>0</v>
      </c>
      <c r="G10" s="769">
        <f t="array" ref="G10">SUMPRODUCT((INDEX('6. TIẾN ĐỘ MUA HÀNG'!$A$5:$AT19, 0, XMATCH("Bộ phận/Cá nhân đặt hàng", '6. TIẾN ĐỘ MUA HÀNG'!$A$4:$AT$4, 0)) = $B10) * (TRIM(INDEX('6. TIẾN ĐỘ MUA HÀNG'!$A$5:$AT19, 0, XMATCH("Tháng", '6. TIẾN ĐỘ MUA HÀNG'!$A$4:$AT$4, 0))) = TRIM(F$6)) * (INDEX('6. TIẾN ĐỘ MUA HÀNG'!$A$5:$AT19, 0, XMATCH("CL NGÀY QUY ĐỊNH  - NGÀY KD YÊU CẦU", '6. TIẾN ĐỘ MUA HÀNG'!$A$4:$AT$4, 0)) &gt; 0))</f>
        <v>0</v>
      </c>
      <c r="H10" s="733">
        <f t="shared" si="15"/>
        <v>0</v>
      </c>
      <c r="I10" s="743">
        <f>IFERROR(__xludf.DUMMYFUNCTION("COUNTA(IFERROR(FILTER(
  INDEX('6. TIẾN ĐỘ MUA HÀNG'!$A$5:$AT19, 0, XMATCH(""Mã đơn Misa"", '6. TIẾN ĐỘ MUA HÀNG'!$A$4:$AT$4, 0)), 
  INDEX('6. TIẾN ĐỘ MUA HÀNG'!$A$5:$AT19, 0, XMATCH(""Bộ phận/Cá nhân đặt hàng"", '6. TIẾN ĐỘ MUA HÀNG'!$A$4:$AT$4, 0)) = $"&amp;"B10, 
  TRIM(INDEX('6. TIẾN ĐỘ MUA HÀNG'!$A$5:$AT19, 0, XMATCH(""Tháng"", '6. TIẾN ĐỘ MUA HÀNG'!$A$4:$AT$4, 0))) = TRIM(I$6),
  INDEX('6. TIẾN ĐỘ MUA HÀNG'!$A$5:$AT19, 0, XMATCH(""Mã đơn Misa"", '6. TIẾN ĐỘ MUA HÀNG'!$A$4:$AT$4, 0)) &lt;&gt; """")))"),19.0)</f>
        <v>19</v>
      </c>
      <c r="J10" s="743">
        <f t="array" ref="J10">SUMPRODUCT((INDEX('6. TIẾN ĐỘ MUA HÀNG'!$A$5:$AT19, 0, XMATCH("Bộ phận/Cá nhân đặt hàng", '6. TIẾN ĐỘ MUA HÀNG'!$A$4:$AT$4, 0)) = $B10) * (TRIM(INDEX('6. TIẾN ĐỘ MUA HÀNG'!$A$5:$AT19, 0, XMATCH("Tháng", '6. TIẾN ĐỘ MUA HÀNG'!$A$4:$AT$4, 0))) = TRIM(I$6)) * (INDEX('6. TIẾN ĐỘ MUA HÀNG'!$A$5:$AT19, 0, XMATCH("CL NGÀY QUY ĐỊNH  - NGÀY KD YÊU CẦU", '6. TIẾN ĐỘ MUA HÀNG'!$A$4:$AT$4, 0)) &gt; 0))</f>
        <v>2</v>
      </c>
      <c r="K10" s="731">
        <f t="shared" si="16"/>
        <v>0.1052631579</v>
      </c>
      <c r="L10" s="769">
        <f>IFERROR(__xludf.DUMMYFUNCTION("COUNTA(IFERROR(FILTER(
  INDEX('6. TIẾN ĐỘ MUA HÀNG'!$A$5:$AT19, 0, XMATCH(""Mã đơn Misa"", '6. TIẾN ĐỘ MUA HÀNG'!$A$4:$AT$4, 0)), 
  INDEX('6. TIẾN ĐỘ MUA HÀNG'!$A$5:$AT19, 0, XMATCH(""Bộ phận/Cá nhân đặt hàng"", '6. TIẾN ĐỘ MUA HÀNG'!$A$4:$AT$4, 0)) = $"&amp;"B10, 
  TRIM(INDEX('6. TIẾN ĐỘ MUA HÀNG'!$A$5:$AT19, 0, XMATCH(""Tháng"", '6. TIẾN ĐỘ MUA HÀNG'!$A$4:$AT$4, 0))) = TRIM(L$6),
  INDEX('6. TIẾN ĐỘ MUA HÀNG'!$A$5:$AT19, 0, XMATCH(""Mã đơn Misa"", '6. TIẾN ĐỘ MUA HÀNG'!$A$4:$AT$4, 0)) &lt;&gt; """")))"),30.0)</f>
        <v>30</v>
      </c>
      <c r="M10" s="769">
        <f t="array" ref="M10">SUMPRODUCT((INDEX('6. TIẾN ĐỘ MUA HÀNG'!$A$5:$AT19, 0, XMATCH("Bộ phận/Cá nhân đặt hàng", '6. TIẾN ĐỘ MUA HÀNG'!$A$4:$AT$4, 0)) = $B10) * (TRIM(INDEX('6. TIẾN ĐỘ MUA HÀNG'!$A$5:$AT19, 0, XMATCH("Tháng", '6. TIẾN ĐỘ MUA HÀNG'!$A$4:$AT$4, 0))) = TRIM(L$6)) * (INDEX('6. TIẾN ĐỘ MUA HÀNG'!$A$5:$AT19, 0, XMATCH("CL NGÀY QUY ĐỊNH  - NGÀY KD YÊU CẦU", '6. TIẾN ĐỘ MUA HÀNG'!$A$4:$AT$4, 0)) &gt; 0))</f>
        <v>0</v>
      </c>
      <c r="N10" s="733">
        <f t="shared" si="17"/>
        <v>0</v>
      </c>
      <c r="O10" s="743">
        <f>IFERROR(__xludf.DUMMYFUNCTION("COUNTA(IFERROR(FILTER(
  INDEX('6. TIẾN ĐỘ MUA HÀNG'!$A$5:$AT19, 0, XMATCH(""Mã đơn Misa"", '6. TIẾN ĐỘ MUA HÀNG'!$A$4:$AT$4, 0)), 
  INDEX('6. TIẾN ĐỘ MUA HÀNG'!$A$5:$AT19, 0, XMATCH(""Bộ phận/Cá nhân đặt hàng"", '6. TIẾN ĐỘ MUA HÀNG'!$A$4:$AT$4, 0)) = $"&amp;"B10, 
  TRIM(INDEX('6. TIẾN ĐỘ MUA HÀNG'!$A$5:$AT19, 0, XMATCH(""Tháng"", '6. TIẾN ĐỘ MUA HÀNG'!$A$4:$AT$4, 0))) = TRIM(O$6),
  INDEX('6. TIẾN ĐỘ MUA HÀNG'!$A$5:$AT19, 0, XMATCH(""Mã đơn Misa"", '6. TIẾN ĐỘ MUA HÀNG'!$A$4:$AT$4, 0)) &lt;&gt; """")))"),9.0)</f>
        <v>9</v>
      </c>
      <c r="P10" s="743">
        <f t="array" ref="P10">SUMPRODUCT((INDEX('6. TIẾN ĐỘ MUA HÀNG'!$A$5:$AT19, 0, XMATCH("Bộ phận/Cá nhân đặt hàng", '6. TIẾN ĐỘ MUA HÀNG'!$A$4:$AT$4, 0)) = $B10) * (TRIM(INDEX('6. TIẾN ĐỘ MUA HÀNG'!$A$5:$AT19, 0, XMATCH("Tháng", '6. TIẾN ĐỘ MUA HÀNG'!$A$4:$AT$4, 0))) = TRIM(O$6)) * (INDEX('6. TIẾN ĐỘ MUA HÀNG'!$A$5:$AT19, 0, XMATCH("CL NGÀY QUY ĐỊNH  - NGÀY KD YÊU CẦU", '6. TIẾN ĐỘ MUA HÀNG'!$A$4:$AT$4, 0)) &gt; 0))</f>
        <v>5</v>
      </c>
      <c r="Q10" s="731">
        <f t="shared" si="18"/>
        <v>0.5555555556</v>
      </c>
      <c r="R10" s="769">
        <f>IFERROR(__xludf.DUMMYFUNCTION("COUNTA(IFERROR(FILTER(
  INDEX('6. TIẾN ĐỘ MUA HÀNG'!$A$5:$AT19, 0, XMATCH(""Mã đơn Misa"", '6. TIẾN ĐỘ MUA HÀNG'!$A$4:$AT$4, 0)), 
  INDEX('6. TIẾN ĐỘ MUA HÀNG'!$A$5:$AT19, 0, XMATCH(""Bộ phận/Cá nhân đặt hàng"", '6. TIẾN ĐỘ MUA HÀNG'!$A$4:$AT$4, 0)) = $"&amp;"B10, 
  TRIM(INDEX('6. TIẾN ĐỘ MUA HÀNG'!$A$5:$AT19, 0, XMATCH(""Tháng"", '6. TIẾN ĐỘ MUA HÀNG'!$A$4:$AT$4, 0))) = TRIM(R$6),
  INDEX('6. TIẾN ĐỘ MUA HÀNG'!$A$5:$AT19, 0, XMATCH(""Mã đơn Misa"", '6. TIẾN ĐỘ MUA HÀNG'!$A$4:$AT$4, 0)) &lt;&gt; """")))"),6.0)</f>
        <v>6</v>
      </c>
      <c r="S10" s="769">
        <f t="array" ref="S10">SUMPRODUCT((INDEX('6. TIẾN ĐỘ MUA HÀNG'!$A$5:$AT19, 0, XMATCH("Bộ phận/Cá nhân đặt hàng", '6. TIẾN ĐỘ MUA HÀNG'!$A$4:$AT$4, 0)) = $B10) * (TRIM(INDEX('6. TIẾN ĐỘ MUA HÀNG'!$A$5:$AT19, 0, XMATCH("Tháng", '6. TIẾN ĐỘ MUA HÀNG'!$A$4:$AT$4, 0))) = TRIM(R$6)) * (INDEX('6. TIẾN ĐỘ MUA HÀNG'!$A$5:$AT19, 0, XMATCH("CL NGÀY QUY ĐỊNH  - NGÀY KD YÊU CẦU", '6. TIẾN ĐỘ MUA HÀNG'!$A$4:$AT$4, 0)) &gt; 0))</f>
        <v>0</v>
      </c>
      <c r="T10" s="733">
        <f t="shared" si="19"/>
        <v>0</v>
      </c>
      <c r="U10" s="743">
        <f>IFERROR(__xludf.DUMMYFUNCTION("COUNTA(IFERROR(FILTER(
  INDEX('6. TIẾN ĐỘ MUA HÀNG'!$A$5:$AT19, 0, XMATCH(""Mã đơn Misa"", '6. TIẾN ĐỘ MUA HÀNG'!$A$4:$AT$4, 0)), 
  INDEX('6. TIẾN ĐỘ MUA HÀNG'!$A$5:$AT19, 0, XMATCH(""Bộ phận/Cá nhân đặt hàng"", '6. TIẾN ĐỘ MUA HÀNG'!$A$4:$AT$4, 0)) = $"&amp;"B10, 
  TRIM(INDEX('6. TIẾN ĐỘ MUA HÀNG'!$A$5:$AT19, 0, XMATCH(""Tháng"", '6. TIẾN ĐỘ MUA HÀNG'!$A$4:$AT$4, 0))) = TRIM(U$6),
  INDEX('6. TIẾN ĐỘ MUA HÀNG'!$A$5:$AT19, 0, XMATCH(""Mã đơn Misa"", '6. TIẾN ĐỘ MUA HÀNG'!$A$4:$AT$4, 0)) &lt;&gt; """")))"),0.0)</f>
        <v>0</v>
      </c>
      <c r="V10" s="743">
        <f t="array" ref="V10">SUMPRODUCT((INDEX('6. TIẾN ĐỘ MUA HÀNG'!$A$5:$AT19, 0, XMATCH("Bộ phận/Cá nhân đặt hàng", '6. TIẾN ĐỘ MUA HÀNG'!$A$4:$AT$4, 0)) = $B10) * (TRIM(INDEX('6. TIẾN ĐỘ MUA HÀNG'!$A$5:$AT19, 0, XMATCH("Tháng", '6. TIẾN ĐỘ MUA HÀNG'!$A$4:$AT$4, 0))) = TRIM(U$6)) * (INDEX('6. TIẾN ĐỘ MUA HÀNG'!$A$5:$AT19, 0, XMATCH("CL NGÀY QUY ĐỊNH  - NGÀY KD YÊU CẦU", '6. TIẾN ĐỘ MUA HÀNG'!$A$4:$AT$4, 0)) &gt; 0))</f>
        <v>0</v>
      </c>
      <c r="W10" s="731">
        <f t="shared" si="20"/>
        <v>0</v>
      </c>
      <c r="X10" s="769">
        <f>IFERROR(__xludf.DUMMYFUNCTION("COUNTA(IFERROR(FILTER(
  INDEX('6. TIẾN ĐỘ MUA HÀNG'!$A$5:$AT19, 0, XMATCH(""Mã đơn Misa"", '6. TIẾN ĐỘ MUA HÀNG'!$A$4:$AT$4, 0)), 
  INDEX('6. TIẾN ĐỘ MUA HÀNG'!$A$5:$AT19, 0, XMATCH(""Bộ phận/Cá nhân đặt hàng"", '6. TIẾN ĐỘ MUA HÀNG'!$A$4:$AT$4, 0)) = $"&amp;"B10, 
  TRIM(INDEX('6. TIẾN ĐỘ MUA HÀNG'!$A$5:$AT19, 0, XMATCH(""Tháng"", '6. TIẾN ĐỘ MUA HÀNG'!$A$4:$AT$4, 0))) = TRIM(X$6),
  INDEX('6. TIẾN ĐỘ MUA HÀNG'!$A$5:$AT19, 0, XMATCH(""Mã đơn Misa"", '6. TIẾN ĐỘ MUA HÀNG'!$A$4:$AT$4, 0)) &lt;&gt; """")))"),0.0)</f>
        <v>0</v>
      </c>
      <c r="Y10" s="769">
        <f t="array" ref="Y10">SUMPRODUCT((INDEX('6. TIẾN ĐỘ MUA HÀNG'!$A$5:$AT19, 0, XMATCH("Bộ phận/Cá nhân đặt hàng", '6. TIẾN ĐỘ MUA HÀNG'!$A$4:$AT$4, 0)) = $B10) * (TRIM(INDEX('6. TIẾN ĐỘ MUA HÀNG'!$A$5:$AT19, 0, XMATCH("Tháng", '6. TIẾN ĐỘ MUA HÀNG'!$A$4:$AT$4, 0))) = TRIM(X$6)) * (INDEX('6. TIẾN ĐỘ MUA HÀNG'!$A$5:$AT19, 0, XMATCH("CL NGÀY QUY ĐỊNH  - NGÀY KD YÊU CẦU", '6. TIẾN ĐỘ MUA HÀNG'!$A$4:$AT$4, 0)) &gt; 0))</f>
        <v>0</v>
      </c>
      <c r="Z10" s="733">
        <f t="shared" si="21"/>
        <v>0</v>
      </c>
      <c r="AA10" s="743">
        <f>IFERROR(__xludf.DUMMYFUNCTION("COUNTA(IFERROR(FILTER(
  INDEX('6. TIẾN ĐỘ MUA HÀNG'!$A$5:$AT19, 0, XMATCH(""Mã đơn Misa"", '6. TIẾN ĐỘ MUA HÀNG'!$A$4:$AT$4, 0)), 
  INDEX('6. TIẾN ĐỘ MUA HÀNG'!$A$5:$AT19, 0, XMATCH(""Bộ phận/Cá nhân đặt hàng"", '6. TIẾN ĐỘ MUA HÀNG'!$A$4:$AT$4, 0)) = $"&amp;"B10, 
  TRIM(INDEX('6. TIẾN ĐỘ MUA HÀNG'!$A$5:$AT19, 0, XMATCH(""Tháng"", '6. TIẾN ĐỘ MUA HÀNG'!$A$4:$AT$4, 0))) = TRIM(AA$6),
  INDEX('6. TIẾN ĐỘ MUA HÀNG'!$A$5:$AT19, 0, XMATCH(""Mã đơn Misa"", '6. TIẾN ĐỘ MUA HÀNG'!$A$4:$AT$4, 0)) &lt;&gt; """")))"),0.0)</f>
        <v>0</v>
      </c>
      <c r="AB10" s="743">
        <f t="array" ref="AB10">SUMPRODUCT((INDEX('6. TIẾN ĐỘ MUA HÀNG'!$A$5:$AT19, 0, XMATCH("Bộ phận/Cá nhân đặt hàng", '6. TIẾN ĐỘ MUA HÀNG'!$A$4:$AT$4, 0)) = $B10) * (TRIM(INDEX('6. TIẾN ĐỘ MUA HÀNG'!$A$5:$AT19, 0, XMATCH("Tháng", '6. TIẾN ĐỘ MUA HÀNG'!$A$4:$AT$4, 0))) = TRIM(AA$6)) * (INDEX('6. TIẾN ĐỘ MUA HÀNG'!$A$5:$AT19, 0, XMATCH("CL NGÀY QUY ĐỊNH  - NGÀY KD YÊU CẦU", '6. TIẾN ĐỘ MUA HÀNG'!$A$4:$AT$4, 0)) &gt; 0))</f>
        <v>0</v>
      </c>
      <c r="AC10" s="731">
        <f t="shared" si="22"/>
        <v>0</v>
      </c>
      <c r="AD10" s="769">
        <f>IFERROR(__xludf.DUMMYFUNCTION("COUNTA(IFERROR(FILTER(
  INDEX('6. TIẾN ĐỘ MUA HÀNG'!$A$5:$AT19, 0, XMATCH(""Mã đơn Misa"", '6. TIẾN ĐỘ MUA HÀNG'!$A$4:$AT$4, 0)), 
  INDEX('6. TIẾN ĐỘ MUA HÀNG'!$A$5:$AT19, 0, XMATCH(""Bộ phận/Cá nhân đặt hàng"", '6. TIẾN ĐỘ MUA HÀNG'!$A$4:$AT$4, 0)) = $"&amp;"B10, 
  TRIM(INDEX('6. TIẾN ĐỘ MUA HÀNG'!$A$5:$AT19, 0, XMATCH(""Tháng"", '6. TIẾN ĐỘ MUA HÀNG'!$A$4:$AT$4, 0))) = TRIM(AD$6),
  INDEX('6. TIẾN ĐỘ MUA HÀNG'!$A$5:$AT19, 0, XMATCH(""Mã đơn Misa"", '6. TIẾN ĐỘ MUA HÀNG'!$A$4:$AT$4, 0)) &lt;&gt; """")))"),0.0)</f>
        <v>0</v>
      </c>
      <c r="AE10" s="769">
        <f t="array" ref="AE10">SUMPRODUCT((INDEX('6. TIẾN ĐỘ MUA HÀNG'!$A$5:$AT19, 0, XMATCH("Bộ phận/Cá nhân đặt hàng", '6. TIẾN ĐỘ MUA HÀNG'!$A$4:$AT$4, 0)) = $B10) * (TRIM(INDEX('6. TIẾN ĐỘ MUA HÀNG'!$A$5:$AT19, 0, XMATCH("Tháng", '6. TIẾN ĐỘ MUA HÀNG'!$A$4:$AT$4, 0))) = TRIM(AD$6)) * (INDEX('6. TIẾN ĐỘ MUA HÀNG'!$A$5:$AT19, 0, XMATCH("CL NGÀY QUY ĐỊNH  - NGÀY KD YÊU CẦU", '6. TIẾN ĐỘ MUA HÀNG'!$A$4:$AT$4, 0)) &gt; 0))</f>
        <v>0</v>
      </c>
      <c r="AF10" s="733">
        <f t="shared" si="23"/>
        <v>0</v>
      </c>
      <c r="AG10" s="743">
        <f>IFERROR(__xludf.DUMMYFUNCTION("COUNTA(IFERROR(FILTER(
  INDEX('6. TIẾN ĐỘ MUA HÀNG'!$A$5:$AT19, 0, XMATCH(""Mã đơn Misa"", '6. TIẾN ĐỘ MUA HÀNG'!$A$4:$AT$4, 0)), 
  INDEX('6. TIẾN ĐỘ MUA HÀNG'!$A$5:$AT19, 0, XMATCH(""Bộ phận/Cá nhân đặt hàng"", '6. TIẾN ĐỘ MUA HÀNG'!$A$4:$AT$4, 0)) = $"&amp;"B10, 
  TRIM(INDEX('6. TIẾN ĐỘ MUA HÀNG'!$A$5:$AT19, 0, XMATCH(""Tháng"", '6. TIẾN ĐỘ MUA HÀNG'!$A$4:$AT$4, 0))) = TRIM(AG$6),
  INDEX('6. TIẾN ĐỘ MUA HÀNG'!$A$5:$AT19, 0, XMATCH(""Mã đơn Misa"", '6. TIẾN ĐỘ MUA HÀNG'!$A$4:$AT$4, 0)) &lt;&gt; """")))"),0.0)</f>
        <v>0</v>
      </c>
      <c r="AH10" s="743">
        <f t="array" ref="AH10">SUMPRODUCT((INDEX('6. TIẾN ĐỘ MUA HÀNG'!$A$5:$AT19, 0, XMATCH("Bộ phận/Cá nhân đặt hàng", '6. TIẾN ĐỘ MUA HÀNG'!$A$4:$AT$4, 0)) = $B10) * (TRIM(INDEX('6. TIẾN ĐỘ MUA HÀNG'!$A$5:$AT19, 0, XMATCH("Tháng", '6. TIẾN ĐỘ MUA HÀNG'!$A$4:$AT$4, 0))) = TRIM(AG$6)) * (INDEX('6. TIẾN ĐỘ MUA HÀNG'!$A$5:$AT19, 0, XMATCH("CL NGÀY QUY ĐỊNH  - NGÀY KD YÊU CẦU", '6. TIẾN ĐỘ MUA HÀNG'!$A$4:$AT$4, 0)) &gt; 0))</f>
        <v>0</v>
      </c>
      <c r="AI10" s="731">
        <f t="shared" si="24"/>
        <v>0</v>
      </c>
      <c r="AJ10" s="769">
        <f>IFERROR(__xludf.DUMMYFUNCTION("COUNTA(IFERROR(FILTER(
  INDEX('6. TIẾN ĐỘ MUA HÀNG'!$A$5:$AT19, 0, XMATCH(""Mã đơn Misa"", '6. TIẾN ĐỘ MUA HÀNG'!$A$4:$AT$4, 0)), 
  INDEX('6. TIẾN ĐỘ MUA HÀNG'!$A$5:$AT19, 0, XMATCH(""Bộ phận/Cá nhân đặt hàng"", '6. TIẾN ĐỘ MUA HÀNG'!$A$4:$AT$4, 0)) = $"&amp;"B10, 
  TRIM(INDEX('6. TIẾN ĐỘ MUA HÀNG'!$A$5:$AT19, 0, XMATCH(""Tháng"", '6. TIẾN ĐỘ MUA HÀNG'!$A$4:$AT$4, 0))) = TRIM(AJ$6),
  INDEX('6. TIẾN ĐỘ MUA HÀNG'!$A$5:$AT19, 0, XMATCH(""Mã đơn Misa"", '6. TIẾN ĐỘ MUA HÀNG'!$A$4:$AT$4, 0)) &lt;&gt; """")))"),0.0)</f>
        <v>0</v>
      </c>
      <c r="AK10" s="769">
        <f t="array" ref="AK10">SUMPRODUCT((INDEX('6. TIẾN ĐỘ MUA HÀNG'!$A$5:$AT19, 0, XMATCH("Bộ phận/Cá nhân đặt hàng", '6. TIẾN ĐỘ MUA HÀNG'!$A$4:$AT$4, 0)) = $B10) * (TRIM(INDEX('6. TIẾN ĐỘ MUA HÀNG'!$A$5:$AT19, 0, XMATCH("Tháng", '6. TIẾN ĐỘ MUA HÀNG'!$A$4:$AT$4, 0))) = TRIM(AJ$6)) * (INDEX('6. TIẾN ĐỘ MUA HÀNG'!$A$5:$AT19, 0, XMATCH("CL NGÀY QUY ĐỊNH  - NGÀY KD YÊU CẦU", '6. TIẾN ĐỘ MUA HÀNG'!$A$4:$AT$4, 0)) &gt; 0))</f>
        <v>0</v>
      </c>
      <c r="AL10" s="733">
        <f t="shared" si="25"/>
        <v>0</v>
      </c>
      <c r="AM10" s="726">
        <f t="shared" si="27"/>
        <v>64</v>
      </c>
      <c r="AN10" s="726">
        <f t="shared" si="28"/>
        <v>7</v>
      </c>
      <c r="AO10" s="727">
        <f t="shared" si="26"/>
        <v>0.109375</v>
      </c>
    </row>
    <row r="11">
      <c r="A11" s="612">
        <v>3.0</v>
      </c>
      <c r="B11" s="624" t="str">
        <f>IFERROR(__xludf.DUMMYFUNCTION("""COMPUTED_VALUE"""),"Lab")</f>
        <v>Lab</v>
      </c>
      <c r="C11" s="743">
        <f>IFERROR(__xludf.DUMMYFUNCTION("COUNTA(IFERROR(FILTER(
  INDEX('6. TIẾN ĐỘ MUA HÀNG'!$A$5:$AT19, 0, XMATCH(""Mã đơn Misa"", '6. TIẾN ĐỘ MUA HÀNG'!$A$4:$AT$4, 0)), 
  INDEX('6. TIẾN ĐỘ MUA HÀNG'!$A$5:$AT19, 0, XMATCH(""Bộ phận/Cá nhân đặt hàng"", '6. TIẾN ĐỘ MUA HÀNG'!$A$4:$AT$4, 0)) = $"&amp;"B11, 
  TRIM(INDEX('6. TIẾN ĐỘ MUA HÀNG'!$A$5:$AT19, 0, XMATCH(""Tháng"", '6. TIẾN ĐỘ MUA HÀNG'!$A$4:$AT$4, 0))) = TRIM(C$6),
  INDEX('6. TIẾN ĐỘ MUA HÀNG'!$A$5:$AT19, 0, XMATCH(""Mã đơn Misa"", '6. TIẾN ĐỘ MUA HÀNG'!$A$4:$AT$4, 0)) &lt;&gt; """")))"),0.0)</f>
        <v>0</v>
      </c>
      <c r="D11" s="743">
        <f t="array" ref="D11">SUMPRODUCT((INDEX('6. TIẾN ĐỘ MUA HÀNG'!$A$5:$AT19, 0, XMATCH("Bộ phận/Cá nhân đặt hàng", '6. TIẾN ĐỘ MUA HÀNG'!$A$4:$AT$4, 0)) = $B11) * (TRIM(INDEX('6. TIẾN ĐỘ MUA HÀNG'!$A$5:$AT19, 0, XMATCH("Tháng", '6. TIẾN ĐỘ MUA HÀNG'!$A$4:$AT$4, 0))) = TRIM(C$6)) * (INDEX('6. TIẾN ĐỘ MUA HÀNG'!$A$5:$AT19, 0, XMATCH("CL NGÀY QUY ĐỊNH  - NGÀY KD YÊU CẦU", '6. TIẾN ĐỘ MUA HÀNG'!$A$4:$AT$4, 0)) &gt; 0))</f>
        <v>0</v>
      </c>
      <c r="E11" s="731">
        <f t="shared" si="14"/>
        <v>0</v>
      </c>
      <c r="F11" s="769">
        <f>IFERROR(__xludf.DUMMYFUNCTION("COUNTA(IFERROR(FILTER(
  INDEX('6. TIẾN ĐỘ MUA HÀNG'!$A$5:$AT19, 0, XMATCH(""Mã đơn Misa"", '6. TIẾN ĐỘ MUA HÀNG'!$A$4:$AT$4, 0)), 
  INDEX('6. TIẾN ĐỘ MUA HÀNG'!$A$5:$AT19, 0, XMATCH(""Bộ phận/Cá nhân đặt hàng"", '6. TIẾN ĐỘ MUA HÀNG'!$A$4:$AT$4, 0)) = $"&amp;"B11, 
  TRIM(INDEX('6. TIẾN ĐỘ MUA HÀNG'!$A$5:$AT19, 0, XMATCH(""Tháng"", '6. TIẾN ĐỘ MUA HÀNG'!$A$4:$AT$4, 0))) = TRIM(F$6),
  INDEX('6. TIẾN ĐỘ MUA HÀNG'!$A$5:$AT19, 0, XMATCH(""Mã đơn Misa"", '6. TIẾN ĐỘ MUA HÀNG'!$A$4:$AT$4, 0)) &lt;&gt; """")))"),0.0)</f>
        <v>0</v>
      </c>
      <c r="G11" s="769">
        <f t="array" ref="G11">SUMPRODUCT((INDEX('6. TIẾN ĐỘ MUA HÀNG'!$A$5:$AT19, 0, XMATCH("Bộ phận/Cá nhân đặt hàng", '6. TIẾN ĐỘ MUA HÀNG'!$A$4:$AT$4, 0)) = $B11) * (TRIM(INDEX('6. TIẾN ĐỘ MUA HÀNG'!$A$5:$AT19, 0, XMATCH("Tháng", '6. TIẾN ĐỘ MUA HÀNG'!$A$4:$AT$4, 0))) = TRIM(F$6)) * (INDEX('6. TIẾN ĐỘ MUA HÀNG'!$A$5:$AT19, 0, XMATCH("CL NGÀY QUY ĐỊNH  - NGÀY KD YÊU CẦU", '6. TIẾN ĐỘ MUA HÀNG'!$A$4:$AT$4, 0)) &gt; 0))</f>
        <v>0</v>
      </c>
      <c r="H11" s="733">
        <f t="shared" si="15"/>
        <v>0</v>
      </c>
      <c r="I11" s="743">
        <f>IFERROR(__xludf.DUMMYFUNCTION("COUNTA(IFERROR(FILTER(
  INDEX('6. TIẾN ĐỘ MUA HÀNG'!$A$5:$AT19, 0, XMATCH(""Mã đơn Misa"", '6. TIẾN ĐỘ MUA HÀNG'!$A$4:$AT$4, 0)), 
  INDEX('6. TIẾN ĐỘ MUA HÀNG'!$A$5:$AT19, 0, XMATCH(""Bộ phận/Cá nhân đặt hàng"", '6. TIẾN ĐỘ MUA HÀNG'!$A$4:$AT$4, 0)) = $"&amp;"B11, 
  TRIM(INDEX('6. TIẾN ĐỘ MUA HÀNG'!$A$5:$AT19, 0, XMATCH(""Tháng"", '6. TIẾN ĐỘ MUA HÀNG'!$A$4:$AT$4, 0))) = TRIM(I$6),
  INDEX('6. TIẾN ĐỘ MUA HÀNG'!$A$5:$AT19, 0, XMATCH(""Mã đơn Misa"", '6. TIẾN ĐỘ MUA HÀNG'!$A$4:$AT$4, 0)) &lt;&gt; """")))"),0.0)</f>
        <v>0</v>
      </c>
      <c r="J11" s="743">
        <f t="array" ref="J11">SUMPRODUCT((INDEX('6. TIẾN ĐỘ MUA HÀNG'!$A$5:$AT19, 0, XMATCH("Bộ phận/Cá nhân đặt hàng", '6. TIẾN ĐỘ MUA HÀNG'!$A$4:$AT$4, 0)) = $B11) * (TRIM(INDEX('6. TIẾN ĐỘ MUA HÀNG'!$A$5:$AT19, 0, XMATCH("Tháng", '6. TIẾN ĐỘ MUA HÀNG'!$A$4:$AT$4, 0))) = TRIM(I$6)) * (INDEX('6. TIẾN ĐỘ MUA HÀNG'!$A$5:$AT19, 0, XMATCH("CL NGÀY QUY ĐỊNH  - NGÀY KD YÊU CẦU", '6. TIẾN ĐỘ MUA HÀNG'!$A$4:$AT$4, 0)) &gt; 0))</f>
        <v>0</v>
      </c>
      <c r="K11" s="731">
        <f t="shared" si="16"/>
        <v>0</v>
      </c>
      <c r="L11" s="769">
        <f>IFERROR(__xludf.DUMMYFUNCTION("COUNTA(IFERROR(FILTER(
  INDEX('6. TIẾN ĐỘ MUA HÀNG'!$A$5:$AT19, 0, XMATCH(""Mã đơn Misa"", '6. TIẾN ĐỘ MUA HÀNG'!$A$4:$AT$4, 0)), 
  INDEX('6. TIẾN ĐỘ MUA HÀNG'!$A$5:$AT19, 0, XMATCH(""Bộ phận/Cá nhân đặt hàng"", '6. TIẾN ĐỘ MUA HÀNG'!$A$4:$AT$4, 0)) = $"&amp;"B11, 
  TRIM(INDEX('6. TIẾN ĐỘ MUA HÀNG'!$A$5:$AT19, 0, XMATCH(""Tháng"", '6. TIẾN ĐỘ MUA HÀNG'!$A$4:$AT$4, 0))) = TRIM(L$6),
  INDEX('6. TIẾN ĐỘ MUA HÀNG'!$A$5:$AT19, 0, XMATCH(""Mã đơn Misa"", '6. TIẾN ĐỘ MUA HÀNG'!$A$4:$AT$4, 0)) &lt;&gt; """")))"),0.0)</f>
        <v>0</v>
      </c>
      <c r="M11" s="769">
        <f t="array" ref="M11">SUMPRODUCT((INDEX('6. TIẾN ĐỘ MUA HÀNG'!$A$5:$AT19, 0, XMATCH("Bộ phận/Cá nhân đặt hàng", '6. TIẾN ĐỘ MUA HÀNG'!$A$4:$AT$4, 0)) = $B11) * (TRIM(INDEX('6. TIẾN ĐỘ MUA HÀNG'!$A$5:$AT19, 0, XMATCH("Tháng", '6. TIẾN ĐỘ MUA HÀNG'!$A$4:$AT$4, 0))) = TRIM(L$6)) * (INDEX('6. TIẾN ĐỘ MUA HÀNG'!$A$5:$AT19, 0, XMATCH("CL NGÀY QUY ĐỊNH  - NGÀY KD YÊU CẦU", '6. TIẾN ĐỘ MUA HÀNG'!$A$4:$AT$4, 0)) &gt; 0))</f>
        <v>0</v>
      </c>
      <c r="N11" s="733">
        <f t="shared" si="17"/>
        <v>0</v>
      </c>
      <c r="O11" s="743">
        <f>IFERROR(__xludf.DUMMYFUNCTION("COUNTA(IFERROR(FILTER(
  INDEX('6. TIẾN ĐỘ MUA HÀNG'!$A$5:$AT19, 0, XMATCH(""Mã đơn Misa"", '6. TIẾN ĐỘ MUA HÀNG'!$A$4:$AT$4, 0)), 
  INDEX('6. TIẾN ĐỘ MUA HÀNG'!$A$5:$AT19, 0, XMATCH(""Bộ phận/Cá nhân đặt hàng"", '6. TIẾN ĐỘ MUA HÀNG'!$A$4:$AT$4, 0)) = $"&amp;"B11, 
  TRIM(INDEX('6. TIẾN ĐỘ MUA HÀNG'!$A$5:$AT19, 0, XMATCH(""Tháng"", '6. TIẾN ĐỘ MUA HÀNG'!$A$4:$AT$4, 0))) = TRIM(O$6),
  INDEX('6. TIẾN ĐỘ MUA HÀNG'!$A$5:$AT19, 0, XMATCH(""Mã đơn Misa"", '6. TIẾN ĐỘ MUA HÀNG'!$A$4:$AT$4, 0)) &lt;&gt; """")))"),0.0)</f>
        <v>0</v>
      </c>
      <c r="P11" s="743">
        <f t="array" ref="P11">SUMPRODUCT((INDEX('6. TIẾN ĐỘ MUA HÀNG'!$A$5:$AT19, 0, XMATCH("Bộ phận/Cá nhân đặt hàng", '6. TIẾN ĐỘ MUA HÀNG'!$A$4:$AT$4, 0)) = $B11) * (TRIM(INDEX('6. TIẾN ĐỘ MUA HÀNG'!$A$5:$AT19, 0, XMATCH("Tháng", '6. TIẾN ĐỘ MUA HÀNG'!$A$4:$AT$4, 0))) = TRIM(O$6)) * (INDEX('6. TIẾN ĐỘ MUA HÀNG'!$A$5:$AT19, 0, XMATCH("CL NGÀY QUY ĐỊNH  - NGÀY KD YÊU CẦU", '6. TIẾN ĐỘ MUA HÀNG'!$A$4:$AT$4, 0)) &gt; 0))</f>
        <v>0</v>
      </c>
      <c r="Q11" s="731">
        <f t="shared" si="18"/>
        <v>0</v>
      </c>
      <c r="R11" s="769">
        <f>IFERROR(__xludf.DUMMYFUNCTION("COUNTA(IFERROR(FILTER(
  INDEX('6. TIẾN ĐỘ MUA HÀNG'!$A$5:$AT19, 0, XMATCH(""Mã đơn Misa"", '6. TIẾN ĐỘ MUA HÀNG'!$A$4:$AT$4, 0)), 
  INDEX('6. TIẾN ĐỘ MUA HÀNG'!$A$5:$AT19, 0, XMATCH(""Bộ phận/Cá nhân đặt hàng"", '6. TIẾN ĐỘ MUA HÀNG'!$A$4:$AT$4, 0)) = $"&amp;"B11, 
  TRIM(INDEX('6. TIẾN ĐỘ MUA HÀNG'!$A$5:$AT19, 0, XMATCH(""Tháng"", '6. TIẾN ĐỘ MUA HÀNG'!$A$4:$AT$4, 0))) = TRIM(R$6),
  INDEX('6. TIẾN ĐỘ MUA HÀNG'!$A$5:$AT19, 0, XMATCH(""Mã đơn Misa"", '6. TIẾN ĐỘ MUA HÀNG'!$A$4:$AT$4, 0)) &lt;&gt; """")))"),0.0)</f>
        <v>0</v>
      </c>
      <c r="S11" s="769">
        <f t="array" ref="S11">SUMPRODUCT((INDEX('6. TIẾN ĐỘ MUA HÀNG'!$A$5:$AT19, 0, XMATCH("Bộ phận/Cá nhân đặt hàng", '6. TIẾN ĐỘ MUA HÀNG'!$A$4:$AT$4, 0)) = $B11) * (TRIM(INDEX('6. TIẾN ĐỘ MUA HÀNG'!$A$5:$AT19, 0, XMATCH("Tháng", '6. TIẾN ĐỘ MUA HÀNG'!$A$4:$AT$4, 0))) = TRIM(R$6)) * (INDEX('6. TIẾN ĐỘ MUA HÀNG'!$A$5:$AT19, 0, XMATCH("CL NGÀY QUY ĐỊNH  - NGÀY KD YÊU CẦU", '6. TIẾN ĐỘ MUA HÀNG'!$A$4:$AT$4, 0)) &gt; 0))</f>
        <v>0</v>
      </c>
      <c r="T11" s="733">
        <f t="shared" si="19"/>
        <v>0</v>
      </c>
      <c r="U11" s="743">
        <f>IFERROR(__xludf.DUMMYFUNCTION("COUNTA(IFERROR(FILTER(
  INDEX('6. TIẾN ĐỘ MUA HÀNG'!$A$5:$AT19, 0, XMATCH(""Mã đơn Misa"", '6. TIẾN ĐỘ MUA HÀNG'!$A$4:$AT$4, 0)), 
  INDEX('6. TIẾN ĐỘ MUA HÀNG'!$A$5:$AT19, 0, XMATCH(""Bộ phận/Cá nhân đặt hàng"", '6. TIẾN ĐỘ MUA HÀNG'!$A$4:$AT$4, 0)) = $"&amp;"B11, 
  TRIM(INDEX('6. TIẾN ĐỘ MUA HÀNG'!$A$5:$AT19, 0, XMATCH(""Tháng"", '6. TIẾN ĐỘ MUA HÀNG'!$A$4:$AT$4, 0))) = TRIM(U$6),
  INDEX('6. TIẾN ĐỘ MUA HÀNG'!$A$5:$AT19, 0, XMATCH(""Mã đơn Misa"", '6. TIẾN ĐỘ MUA HÀNG'!$A$4:$AT$4, 0)) &lt;&gt; """")))"),0.0)</f>
        <v>0</v>
      </c>
      <c r="V11" s="743">
        <f t="array" ref="V11">SUMPRODUCT((INDEX('6. TIẾN ĐỘ MUA HÀNG'!$A$5:$AT19, 0, XMATCH("Bộ phận/Cá nhân đặt hàng", '6. TIẾN ĐỘ MUA HÀNG'!$A$4:$AT$4, 0)) = $B11) * (TRIM(INDEX('6. TIẾN ĐỘ MUA HÀNG'!$A$5:$AT19, 0, XMATCH("Tháng", '6. TIẾN ĐỘ MUA HÀNG'!$A$4:$AT$4, 0))) = TRIM(U$6)) * (INDEX('6. TIẾN ĐỘ MUA HÀNG'!$A$5:$AT19, 0, XMATCH("CL NGÀY QUY ĐỊNH  - NGÀY KD YÊU CẦU", '6. TIẾN ĐỘ MUA HÀNG'!$A$4:$AT$4, 0)) &gt; 0))</f>
        <v>0</v>
      </c>
      <c r="W11" s="731">
        <f t="shared" si="20"/>
        <v>0</v>
      </c>
      <c r="X11" s="769">
        <f>IFERROR(__xludf.DUMMYFUNCTION("COUNTA(IFERROR(FILTER(
  INDEX('6. TIẾN ĐỘ MUA HÀNG'!$A$5:$AT19, 0, XMATCH(""Mã đơn Misa"", '6. TIẾN ĐỘ MUA HÀNG'!$A$4:$AT$4, 0)), 
  INDEX('6. TIẾN ĐỘ MUA HÀNG'!$A$5:$AT19, 0, XMATCH(""Bộ phận/Cá nhân đặt hàng"", '6. TIẾN ĐỘ MUA HÀNG'!$A$4:$AT$4, 0)) = $"&amp;"B11, 
  TRIM(INDEX('6. TIẾN ĐỘ MUA HÀNG'!$A$5:$AT19, 0, XMATCH(""Tháng"", '6. TIẾN ĐỘ MUA HÀNG'!$A$4:$AT$4, 0))) = TRIM(X$6),
  INDEX('6. TIẾN ĐỘ MUA HÀNG'!$A$5:$AT19, 0, XMATCH(""Mã đơn Misa"", '6. TIẾN ĐỘ MUA HÀNG'!$A$4:$AT$4, 0)) &lt;&gt; """")))"),0.0)</f>
        <v>0</v>
      </c>
      <c r="Y11" s="769">
        <f t="array" ref="Y11">SUMPRODUCT((INDEX('6. TIẾN ĐỘ MUA HÀNG'!$A$5:$AT19, 0, XMATCH("Bộ phận/Cá nhân đặt hàng", '6. TIẾN ĐỘ MUA HÀNG'!$A$4:$AT$4, 0)) = $B11) * (TRIM(INDEX('6. TIẾN ĐỘ MUA HÀNG'!$A$5:$AT19, 0, XMATCH("Tháng", '6. TIẾN ĐỘ MUA HÀNG'!$A$4:$AT$4, 0))) = TRIM(X$6)) * (INDEX('6. TIẾN ĐỘ MUA HÀNG'!$A$5:$AT19, 0, XMATCH("CL NGÀY QUY ĐỊNH  - NGÀY KD YÊU CẦU", '6. TIẾN ĐỘ MUA HÀNG'!$A$4:$AT$4, 0)) &gt; 0))</f>
        <v>0</v>
      </c>
      <c r="Z11" s="733">
        <f t="shared" si="21"/>
        <v>0</v>
      </c>
      <c r="AA11" s="743">
        <f>IFERROR(__xludf.DUMMYFUNCTION("COUNTA(IFERROR(FILTER(
  INDEX('6. TIẾN ĐỘ MUA HÀNG'!$A$5:$AT19, 0, XMATCH(""Mã đơn Misa"", '6. TIẾN ĐỘ MUA HÀNG'!$A$4:$AT$4, 0)), 
  INDEX('6. TIẾN ĐỘ MUA HÀNG'!$A$5:$AT19, 0, XMATCH(""Bộ phận/Cá nhân đặt hàng"", '6. TIẾN ĐỘ MUA HÀNG'!$A$4:$AT$4, 0)) = $"&amp;"B11, 
  TRIM(INDEX('6. TIẾN ĐỘ MUA HÀNG'!$A$5:$AT19, 0, XMATCH(""Tháng"", '6. TIẾN ĐỘ MUA HÀNG'!$A$4:$AT$4, 0))) = TRIM(AA$6),
  INDEX('6. TIẾN ĐỘ MUA HÀNG'!$A$5:$AT19, 0, XMATCH(""Mã đơn Misa"", '6. TIẾN ĐỘ MUA HÀNG'!$A$4:$AT$4, 0)) &lt;&gt; """")))"),0.0)</f>
        <v>0</v>
      </c>
      <c r="AB11" s="743">
        <f t="array" ref="AB11">SUMPRODUCT((INDEX('6. TIẾN ĐỘ MUA HÀNG'!$A$5:$AT19, 0, XMATCH("Bộ phận/Cá nhân đặt hàng", '6. TIẾN ĐỘ MUA HÀNG'!$A$4:$AT$4, 0)) = $B11) * (TRIM(INDEX('6. TIẾN ĐỘ MUA HÀNG'!$A$5:$AT19, 0, XMATCH("Tháng", '6. TIẾN ĐỘ MUA HÀNG'!$A$4:$AT$4, 0))) = TRIM(AA$6)) * (INDEX('6. TIẾN ĐỘ MUA HÀNG'!$A$5:$AT19, 0, XMATCH("CL NGÀY QUY ĐỊNH  - NGÀY KD YÊU CẦU", '6. TIẾN ĐỘ MUA HÀNG'!$A$4:$AT$4, 0)) &gt; 0))</f>
        <v>0</v>
      </c>
      <c r="AC11" s="731">
        <f t="shared" si="22"/>
        <v>0</v>
      </c>
      <c r="AD11" s="769">
        <f>IFERROR(__xludf.DUMMYFUNCTION("COUNTA(IFERROR(FILTER(
  INDEX('6. TIẾN ĐỘ MUA HÀNG'!$A$5:$AT19, 0, XMATCH(""Mã đơn Misa"", '6. TIẾN ĐỘ MUA HÀNG'!$A$4:$AT$4, 0)), 
  INDEX('6. TIẾN ĐỘ MUA HÀNG'!$A$5:$AT19, 0, XMATCH(""Bộ phận/Cá nhân đặt hàng"", '6. TIẾN ĐỘ MUA HÀNG'!$A$4:$AT$4, 0)) = $"&amp;"B11, 
  TRIM(INDEX('6. TIẾN ĐỘ MUA HÀNG'!$A$5:$AT19, 0, XMATCH(""Tháng"", '6. TIẾN ĐỘ MUA HÀNG'!$A$4:$AT$4, 0))) = TRIM(AD$6),
  INDEX('6. TIẾN ĐỘ MUA HÀNG'!$A$5:$AT19, 0, XMATCH(""Mã đơn Misa"", '6. TIẾN ĐỘ MUA HÀNG'!$A$4:$AT$4, 0)) &lt;&gt; """")))"),0.0)</f>
        <v>0</v>
      </c>
      <c r="AE11" s="769">
        <f t="array" ref="AE11">SUMPRODUCT((INDEX('6. TIẾN ĐỘ MUA HÀNG'!$A$5:$AT19, 0, XMATCH("Bộ phận/Cá nhân đặt hàng", '6. TIẾN ĐỘ MUA HÀNG'!$A$4:$AT$4, 0)) = $B11) * (TRIM(INDEX('6. TIẾN ĐỘ MUA HÀNG'!$A$5:$AT19, 0, XMATCH("Tháng", '6. TIẾN ĐỘ MUA HÀNG'!$A$4:$AT$4, 0))) = TRIM(AD$6)) * (INDEX('6. TIẾN ĐỘ MUA HÀNG'!$A$5:$AT19, 0, XMATCH("CL NGÀY QUY ĐỊNH  - NGÀY KD YÊU CẦU", '6. TIẾN ĐỘ MUA HÀNG'!$A$4:$AT$4, 0)) &gt; 0))</f>
        <v>0</v>
      </c>
      <c r="AF11" s="733">
        <f t="shared" si="23"/>
        <v>0</v>
      </c>
      <c r="AG11" s="743">
        <f>IFERROR(__xludf.DUMMYFUNCTION("COUNTA(IFERROR(FILTER(
  INDEX('6. TIẾN ĐỘ MUA HÀNG'!$A$5:$AT19, 0, XMATCH(""Mã đơn Misa"", '6. TIẾN ĐỘ MUA HÀNG'!$A$4:$AT$4, 0)), 
  INDEX('6. TIẾN ĐỘ MUA HÀNG'!$A$5:$AT19, 0, XMATCH(""Bộ phận/Cá nhân đặt hàng"", '6. TIẾN ĐỘ MUA HÀNG'!$A$4:$AT$4, 0)) = $"&amp;"B11, 
  TRIM(INDEX('6. TIẾN ĐỘ MUA HÀNG'!$A$5:$AT19, 0, XMATCH(""Tháng"", '6. TIẾN ĐỘ MUA HÀNG'!$A$4:$AT$4, 0))) = TRIM(AG$6),
  INDEX('6. TIẾN ĐỘ MUA HÀNG'!$A$5:$AT19, 0, XMATCH(""Mã đơn Misa"", '6. TIẾN ĐỘ MUA HÀNG'!$A$4:$AT$4, 0)) &lt;&gt; """")))"),0.0)</f>
        <v>0</v>
      </c>
      <c r="AH11" s="743">
        <f t="array" ref="AH11">SUMPRODUCT((INDEX('6. TIẾN ĐỘ MUA HÀNG'!$A$5:$AT19, 0, XMATCH("Bộ phận/Cá nhân đặt hàng", '6. TIẾN ĐỘ MUA HÀNG'!$A$4:$AT$4, 0)) = $B11) * (TRIM(INDEX('6. TIẾN ĐỘ MUA HÀNG'!$A$5:$AT19, 0, XMATCH("Tháng", '6. TIẾN ĐỘ MUA HÀNG'!$A$4:$AT$4, 0))) = TRIM(AG$6)) * (INDEX('6. TIẾN ĐỘ MUA HÀNG'!$A$5:$AT19, 0, XMATCH("CL NGÀY QUY ĐỊNH  - NGÀY KD YÊU CẦU", '6. TIẾN ĐỘ MUA HÀNG'!$A$4:$AT$4, 0)) &gt; 0))</f>
        <v>0</v>
      </c>
      <c r="AI11" s="731">
        <f t="shared" si="24"/>
        <v>0</v>
      </c>
      <c r="AJ11" s="769">
        <f>IFERROR(__xludf.DUMMYFUNCTION("COUNTA(IFERROR(FILTER(
  INDEX('6. TIẾN ĐỘ MUA HÀNG'!$A$5:$AT19, 0, XMATCH(""Mã đơn Misa"", '6. TIẾN ĐỘ MUA HÀNG'!$A$4:$AT$4, 0)), 
  INDEX('6. TIẾN ĐỘ MUA HÀNG'!$A$5:$AT19, 0, XMATCH(""Bộ phận/Cá nhân đặt hàng"", '6. TIẾN ĐỘ MUA HÀNG'!$A$4:$AT$4, 0)) = $"&amp;"B11, 
  TRIM(INDEX('6. TIẾN ĐỘ MUA HÀNG'!$A$5:$AT19, 0, XMATCH(""Tháng"", '6. TIẾN ĐỘ MUA HÀNG'!$A$4:$AT$4, 0))) = TRIM(AJ$6),
  INDEX('6. TIẾN ĐỘ MUA HÀNG'!$A$5:$AT19, 0, XMATCH(""Mã đơn Misa"", '6. TIẾN ĐỘ MUA HÀNG'!$A$4:$AT$4, 0)) &lt;&gt; """")))"),0.0)</f>
        <v>0</v>
      </c>
      <c r="AK11" s="769">
        <f t="array" ref="AK11">SUMPRODUCT((INDEX('6. TIẾN ĐỘ MUA HÀNG'!$A$5:$AT19, 0, XMATCH("Bộ phận/Cá nhân đặt hàng", '6. TIẾN ĐỘ MUA HÀNG'!$A$4:$AT$4, 0)) = $B11) * (TRIM(INDEX('6. TIẾN ĐỘ MUA HÀNG'!$A$5:$AT19, 0, XMATCH("Tháng", '6. TIẾN ĐỘ MUA HÀNG'!$A$4:$AT$4, 0))) = TRIM(AJ$6)) * (INDEX('6. TIẾN ĐỘ MUA HÀNG'!$A$5:$AT19, 0, XMATCH("CL NGÀY QUY ĐỊNH  - NGÀY KD YÊU CẦU", '6. TIẾN ĐỘ MUA HÀNG'!$A$4:$AT$4, 0)) &gt; 0))</f>
        <v>0</v>
      </c>
      <c r="AL11" s="733">
        <f t="shared" si="25"/>
        <v>0</v>
      </c>
      <c r="AM11" s="726">
        <f t="shared" si="27"/>
        <v>0</v>
      </c>
      <c r="AN11" s="726">
        <f t="shared" si="28"/>
        <v>0</v>
      </c>
      <c r="AO11" s="727">
        <f t="shared" si="26"/>
        <v>0</v>
      </c>
    </row>
    <row r="12">
      <c r="A12" s="612">
        <v>4.0</v>
      </c>
      <c r="B12" s="139" t="str">
        <f>IFERROR(__xludf.DUMMYFUNCTION("""COMPUTED_VALUE"""),"KD ABA")</f>
        <v>KD ABA</v>
      </c>
      <c r="C12" s="743">
        <f>IFERROR(__xludf.DUMMYFUNCTION("COUNTA(IFERROR(FILTER(
  INDEX('6. TIẾN ĐỘ MUA HÀNG'!$A$5:$AT19, 0, XMATCH(""Mã đơn Misa"", '6. TIẾN ĐỘ MUA HÀNG'!$A$4:$AT$4, 0)), 
  INDEX('6. TIẾN ĐỘ MUA HÀNG'!$A$5:$AT19, 0, XMATCH(""Bộ phận/Cá nhân đặt hàng"", '6. TIẾN ĐỘ MUA HÀNG'!$A$4:$AT$4, 0)) = $"&amp;"B12, 
  TRIM(INDEX('6. TIẾN ĐỘ MUA HÀNG'!$A$5:$AT19, 0, XMATCH(""Tháng"", '6. TIẾN ĐỘ MUA HÀNG'!$A$4:$AT$4, 0))) = TRIM(C$6),
  INDEX('6. TIẾN ĐỘ MUA HÀNG'!$A$5:$AT19, 0, XMATCH(""Mã đơn Misa"", '6. TIẾN ĐỘ MUA HÀNG'!$A$4:$AT$4, 0)) &lt;&gt; """")))"),0.0)</f>
        <v>0</v>
      </c>
      <c r="D12" s="743">
        <f t="array" ref="D12">SUMPRODUCT((INDEX('6. TIẾN ĐỘ MUA HÀNG'!$A$5:$AT19, 0, XMATCH("Bộ phận/Cá nhân đặt hàng", '6. TIẾN ĐỘ MUA HÀNG'!$A$4:$AT$4, 0)) = $B12) * (TRIM(INDEX('6. TIẾN ĐỘ MUA HÀNG'!$A$5:$AT19, 0, XMATCH("Tháng", '6. TIẾN ĐỘ MUA HÀNG'!$A$4:$AT$4, 0))) = TRIM(C$6)) * (INDEX('6. TIẾN ĐỘ MUA HÀNG'!$A$5:$AT19, 0, XMATCH("CL NGÀY QUY ĐỊNH  - NGÀY KD YÊU CẦU", '6. TIẾN ĐỘ MUA HÀNG'!$A$4:$AT$4, 0)) &gt; 0))</f>
        <v>0</v>
      </c>
      <c r="E12" s="731">
        <f t="shared" si="14"/>
        <v>0</v>
      </c>
      <c r="F12" s="769">
        <f>IFERROR(__xludf.DUMMYFUNCTION("COUNTA(IFERROR(FILTER(
  INDEX('6. TIẾN ĐỘ MUA HÀNG'!$A$5:$AT19, 0, XMATCH(""Mã đơn Misa"", '6. TIẾN ĐỘ MUA HÀNG'!$A$4:$AT$4, 0)), 
  INDEX('6. TIẾN ĐỘ MUA HÀNG'!$A$5:$AT19, 0, XMATCH(""Bộ phận/Cá nhân đặt hàng"", '6. TIẾN ĐỘ MUA HÀNG'!$A$4:$AT$4, 0)) = $"&amp;"B12, 
  TRIM(INDEX('6. TIẾN ĐỘ MUA HÀNG'!$A$5:$AT19, 0, XMATCH(""Tháng"", '6. TIẾN ĐỘ MUA HÀNG'!$A$4:$AT$4, 0))) = TRIM(F$6),
  INDEX('6. TIẾN ĐỘ MUA HÀNG'!$A$5:$AT19, 0, XMATCH(""Mã đơn Misa"", '6. TIẾN ĐỘ MUA HÀNG'!$A$4:$AT$4, 0)) &lt;&gt; """")))"),0.0)</f>
        <v>0</v>
      </c>
      <c r="G12" s="769">
        <f t="array" ref="G12">SUMPRODUCT((INDEX('6. TIẾN ĐỘ MUA HÀNG'!$A$5:$AT19, 0, XMATCH("Bộ phận/Cá nhân đặt hàng", '6. TIẾN ĐỘ MUA HÀNG'!$A$4:$AT$4, 0)) = $B12) * (TRIM(INDEX('6. TIẾN ĐỘ MUA HÀNG'!$A$5:$AT19, 0, XMATCH("Tháng", '6. TIẾN ĐỘ MUA HÀNG'!$A$4:$AT$4, 0))) = TRIM(F$6)) * (INDEX('6. TIẾN ĐỘ MUA HÀNG'!$A$5:$AT19, 0, XMATCH("CL NGÀY QUY ĐỊNH  - NGÀY KD YÊU CẦU", '6. TIẾN ĐỘ MUA HÀNG'!$A$4:$AT$4, 0)) &gt; 0))</f>
        <v>0</v>
      </c>
      <c r="H12" s="733">
        <f t="shared" si="15"/>
        <v>0</v>
      </c>
      <c r="I12" s="743">
        <f>IFERROR(__xludf.DUMMYFUNCTION("COUNTA(IFERROR(FILTER(
  INDEX('6. TIẾN ĐỘ MUA HÀNG'!$A$5:$AT19, 0, XMATCH(""Mã đơn Misa"", '6. TIẾN ĐỘ MUA HÀNG'!$A$4:$AT$4, 0)), 
  INDEX('6. TIẾN ĐỘ MUA HÀNG'!$A$5:$AT19, 0, XMATCH(""Bộ phận/Cá nhân đặt hàng"", '6. TIẾN ĐỘ MUA HÀNG'!$A$4:$AT$4, 0)) = $"&amp;"B12, 
  TRIM(INDEX('6. TIẾN ĐỘ MUA HÀNG'!$A$5:$AT19, 0, XMATCH(""Tháng"", '6. TIẾN ĐỘ MUA HÀNG'!$A$4:$AT$4, 0))) = TRIM(I$6),
  INDEX('6. TIẾN ĐỘ MUA HÀNG'!$A$5:$AT19, 0, XMATCH(""Mã đơn Misa"", '6. TIẾN ĐỘ MUA HÀNG'!$A$4:$AT$4, 0)) &lt;&gt; """")))"),0.0)</f>
        <v>0</v>
      </c>
      <c r="J12" s="743">
        <f t="array" ref="J12">SUMPRODUCT((INDEX('6. TIẾN ĐỘ MUA HÀNG'!$A$5:$AT19, 0, XMATCH("Bộ phận/Cá nhân đặt hàng", '6. TIẾN ĐỘ MUA HÀNG'!$A$4:$AT$4, 0)) = $B12) * (TRIM(INDEX('6. TIẾN ĐỘ MUA HÀNG'!$A$5:$AT19, 0, XMATCH("Tháng", '6. TIẾN ĐỘ MUA HÀNG'!$A$4:$AT$4, 0))) = TRIM(I$6)) * (INDEX('6. TIẾN ĐỘ MUA HÀNG'!$A$5:$AT19, 0, XMATCH("CL NGÀY QUY ĐỊNH  - NGÀY KD YÊU CẦU", '6. TIẾN ĐỘ MUA HÀNG'!$A$4:$AT$4, 0)) &gt; 0))</f>
        <v>0</v>
      </c>
      <c r="K12" s="731">
        <f t="shared" si="16"/>
        <v>0</v>
      </c>
      <c r="L12" s="769">
        <f>IFERROR(__xludf.DUMMYFUNCTION("COUNTA(IFERROR(FILTER(
  INDEX('6. TIẾN ĐỘ MUA HÀNG'!$A$5:$AT19, 0, XMATCH(""Mã đơn Misa"", '6. TIẾN ĐỘ MUA HÀNG'!$A$4:$AT$4, 0)), 
  INDEX('6. TIẾN ĐỘ MUA HÀNG'!$A$5:$AT19, 0, XMATCH(""Bộ phận/Cá nhân đặt hàng"", '6. TIẾN ĐỘ MUA HÀNG'!$A$4:$AT$4, 0)) = $"&amp;"B12, 
  TRIM(INDEX('6. TIẾN ĐỘ MUA HÀNG'!$A$5:$AT19, 0, XMATCH(""Tháng"", '6. TIẾN ĐỘ MUA HÀNG'!$A$4:$AT$4, 0))) = TRIM(L$6),
  INDEX('6. TIẾN ĐỘ MUA HÀNG'!$A$5:$AT19, 0, XMATCH(""Mã đơn Misa"", '6. TIẾN ĐỘ MUA HÀNG'!$A$4:$AT$4, 0)) &lt;&gt; """")))"),0.0)</f>
        <v>0</v>
      </c>
      <c r="M12" s="769">
        <f t="array" ref="M12">SUMPRODUCT((INDEX('6. TIẾN ĐỘ MUA HÀNG'!$A$5:$AT19, 0, XMATCH("Bộ phận/Cá nhân đặt hàng", '6. TIẾN ĐỘ MUA HÀNG'!$A$4:$AT$4, 0)) = $B12) * (TRIM(INDEX('6. TIẾN ĐỘ MUA HÀNG'!$A$5:$AT19, 0, XMATCH("Tháng", '6. TIẾN ĐỘ MUA HÀNG'!$A$4:$AT$4, 0))) = TRIM(L$6)) * (INDEX('6. TIẾN ĐỘ MUA HÀNG'!$A$5:$AT19, 0, XMATCH("CL NGÀY QUY ĐỊNH  - NGÀY KD YÊU CẦU", '6. TIẾN ĐỘ MUA HÀNG'!$A$4:$AT$4, 0)) &gt; 0))</f>
        <v>0</v>
      </c>
      <c r="N12" s="733">
        <f t="shared" si="17"/>
        <v>0</v>
      </c>
      <c r="O12" s="743">
        <f>IFERROR(__xludf.DUMMYFUNCTION("COUNTA(IFERROR(FILTER(
  INDEX('6. TIẾN ĐỘ MUA HÀNG'!$A$5:$AT19, 0, XMATCH(""Mã đơn Misa"", '6. TIẾN ĐỘ MUA HÀNG'!$A$4:$AT$4, 0)), 
  INDEX('6. TIẾN ĐỘ MUA HÀNG'!$A$5:$AT19, 0, XMATCH(""Bộ phận/Cá nhân đặt hàng"", '6. TIẾN ĐỘ MUA HÀNG'!$A$4:$AT$4, 0)) = $"&amp;"B12, 
  TRIM(INDEX('6. TIẾN ĐỘ MUA HÀNG'!$A$5:$AT19, 0, XMATCH(""Tháng"", '6. TIẾN ĐỘ MUA HÀNG'!$A$4:$AT$4, 0))) = TRIM(O$6),
  INDEX('6. TIẾN ĐỘ MUA HÀNG'!$A$5:$AT19, 0, XMATCH(""Mã đơn Misa"", '6. TIẾN ĐỘ MUA HÀNG'!$A$4:$AT$4, 0)) &lt;&gt; """")))"),0.0)</f>
        <v>0</v>
      </c>
      <c r="P12" s="743">
        <f t="array" ref="P12">SUMPRODUCT((INDEX('6. TIẾN ĐỘ MUA HÀNG'!$A$5:$AT19, 0, XMATCH("Bộ phận/Cá nhân đặt hàng", '6. TIẾN ĐỘ MUA HÀNG'!$A$4:$AT$4, 0)) = $B12) * (TRIM(INDEX('6. TIẾN ĐỘ MUA HÀNG'!$A$5:$AT19, 0, XMATCH("Tháng", '6. TIẾN ĐỘ MUA HÀNG'!$A$4:$AT$4, 0))) = TRIM(O$6)) * (INDEX('6. TIẾN ĐỘ MUA HÀNG'!$A$5:$AT19, 0, XMATCH("CL NGÀY QUY ĐỊNH  - NGÀY KD YÊU CẦU", '6. TIẾN ĐỘ MUA HÀNG'!$A$4:$AT$4, 0)) &gt; 0))</f>
        <v>0</v>
      </c>
      <c r="Q12" s="731">
        <f t="shared" si="18"/>
        <v>0</v>
      </c>
      <c r="R12" s="769">
        <f>IFERROR(__xludf.DUMMYFUNCTION("COUNTA(IFERROR(FILTER(
  INDEX('6. TIẾN ĐỘ MUA HÀNG'!$A$5:$AT19, 0, XMATCH(""Mã đơn Misa"", '6. TIẾN ĐỘ MUA HÀNG'!$A$4:$AT$4, 0)), 
  INDEX('6. TIẾN ĐỘ MUA HÀNG'!$A$5:$AT19, 0, XMATCH(""Bộ phận/Cá nhân đặt hàng"", '6. TIẾN ĐỘ MUA HÀNG'!$A$4:$AT$4, 0)) = $"&amp;"B12, 
  TRIM(INDEX('6. TIẾN ĐỘ MUA HÀNG'!$A$5:$AT19, 0, XMATCH(""Tháng"", '6. TIẾN ĐỘ MUA HÀNG'!$A$4:$AT$4, 0))) = TRIM(R$6),
  INDEX('6. TIẾN ĐỘ MUA HÀNG'!$A$5:$AT19, 0, XMATCH(""Mã đơn Misa"", '6. TIẾN ĐỘ MUA HÀNG'!$A$4:$AT$4, 0)) &lt;&gt; """")))"),0.0)</f>
        <v>0</v>
      </c>
      <c r="S12" s="769">
        <f t="array" ref="S12">SUMPRODUCT((INDEX('6. TIẾN ĐỘ MUA HÀNG'!$A$5:$AT19, 0, XMATCH("Bộ phận/Cá nhân đặt hàng", '6. TIẾN ĐỘ MUA HÀNG'!$A$4:$AT$4, 0)) = $B12) * (TRIM(INDEX('6. TIẾN ĐỘ MUA HÀNG'!$A$5:$AT19, 0, XMATCH("Tháng", '6. TIẾN ĐỘ MUA HÀNG'!$A$4:$AT$4, 0))) = TRIM(R$6)) * (INDEX('6. TIẾN ĐỘ MUA HÀNG'!$A$5:$AT19, 0, XMATCH("CL NGÀY QUY ĐỊNH  - NGÀY KD YÊU CẦU", '6. TIẾN ĐỘ MUA HÀNG'!$A$4:$AT$4, 0)) &gt; 0))</f>
        <v>0</v>
      </c>
      <c r="T12" s="733">
        <f t="shared" si="19"/>
        <v>0</v>
      </c>
      <c r="U12" s="743">
        <f>IFERROR(__xludf.DUMMYFUNCTION("COUNTA(IFERROR(FILTER(
  INDEX('6. TIẾN ĐỘ MUA HÀNG'!$A$5:$AT19, 0, XMATCH(""Mã đơn Misa"", '6. TIẾN ĐỘ MUA HÀNG'!$A$4:$AT$4, 0)), 
  INDEX('6. TIẾN ĐỘ MUA HÀNG'!$A$5:$AT19, 0, XMATCH(""Bộ phận/Cá nhân đặt hàng"", '6. TIẾN ĐỘ MUA HÀNG'!$A$4:$AT$4, 0)) = $"&amp;"B12, 
  TRIM(INDEX('6. TIẾN ĐỘ MUA HÀNG'!$A$5:$AT19, 0, XMATCH(""Tháng"", '6. TIẾN ĐỘ MUA HÀNG'!$A$4:$AT$4, 0))) = TRIM(U$6),
  INDEX('6. TIẾN ĐỘ MUA HÀNG'!$A$5:$AT19, 0, XMATCH(""Mã đơn Misa"", '6. TIẾN ĐỘ MUA HÀNG'!$A$4:$AT$4, 0)) &lt;&gt; """")))"),0.0)</f>
        <v>0</v>
      </c>
      <c r="V12" s="743">
        <f t="array" ref="V12">SUMPRODUCT((INDEX('6. TIẾN ĐỘ MUA HÀNG'!$A$5:$AT19, 0, XMATCH("Bộ phận/Cá nhân đặt hàng", '6. TIẾN ĐỘ MUA HÀNG'!$A$4:$AT$4, 0)) = $B12) * (TRIM(INDEX('6. TIẾN ĐỘ MUA HÀNG'!$A$5:$AT19, 0, XMATCH("Tháng", '6. TIẾN ĐỘ MUA HÀNG'!$A$4:$AT$4, 0))) = TRIM(U$6)) * (INDEX('6. TIẾN ĐỘ MUA HÀNG'!$A$5:$AT19, 0, XMATCH("CL NGÀY QUY ĐỊNH  - NGÀY KD YÊU CẦU", '6. TIẾN ĐỘ MUA HÀNG'!$A$4:$AT$4, 0)) &gt; 0))</f>
        <v>0</v>
      </c>
      <c r="W12" s="731">
        <f t="shared" si="20"/>
        <v>0</v>
      </c>
      <c r="X12" s="769">
        <f>IFERROR(__xludf.DUMMYFUNCTION("COUNTA(IFERROR(FILTER(
  INDEX('6. TIẾN ĐỘ MUA HÀNG'!$A$5:$AT19, 0, XMATCH(""Mã đơn Misa"", '6. TIẾN ĐỘ MUA HÀNG'!$A$4:$AT$4, 0)), 
  INDEX('6. TIẾN ĐỘ MUA HÀNG'!$A$5:$AT19, 0, XMATCH(""Bộ phận/Cá nhân đặt hàng"", '6. TIẾN ĐỘ MUA HÀNG'!$A$4:$AT$4, 0)) = $"&amp;"B12, 
  TRIM(INDEX('6. TIẾN ĐỘ MUA HÀNG'!$A$5:$AT19, 0, XMATCH(""Tháng"", '6. TIẾN ĐỘ MUA HÀNG'!$A$4:$AT$4, 0))) = TRIM(X$6),
  INDEX('6. TIẾN ĐỘ MUA HÀNG'!$A$5:$AT19, 0, XMATCH(""Mã đơn Misa"", '6. TIẾN ĐỘ MUA HÀNG'!$A$4:$AT$4, 0)) &lt;&gt; """")))"),0.0)</f>
        <v>0</v>
      </c>
      <c r="Y12" s="769">
        <f t="array" ref="Y12">SUMPRODUCT((INDEX('6. TIẾN ĐỘ MUA HÀNG'!$A$5:$AT19, 0, XMATCH("Bộ phận/Cá nhân đặt hàng", '6. TIẾN ĐỘ MUA HÀNG'!$A$4:$AT$4, 0)) = $B12) * (TRIM(INDEX('6. TIẾN ĐỘ MUA HÀNG'!$A$5:$AT19, 0, XMATCH("Tháng", '6. TIẾN ĐỘ MUA HÀNG'!$A$4:$AT$4, 0))) = TRIM(X$6)) * (INDEX('6. TIẾN ĐỘ MUA HÀNG'!$A$5:$AT19, 0, XMATCH("CL NGÀY QUY ĐỊNH  - NGÀY KD YÊU CẦU", '6. TIẾN ĐỘ MUA HÀNG'!$A$4:$AT$4, 0)) &gt; 0))</f>
        <v>0</v>
      </c>
      <c r="Z12" s="733">
        <f t="shared" si="21"/>
        <v>0</v>
      </c>
      <c r="AA12" s="743">
        <f>IFERROR(__xludf.DUMMYFUNCTION("COUNTA(IFERROR(FILTER(
  INDEX('6. TIẾN ĐỘ MUA HÀNG'!$A$5:$AT19, 0, XMATCH(""Mã đơn Misa"", '6. TIẾN ĐỘ MUA HÀNG'!$A$4:$AT$4, 0)), 
  INDEX('6. TIẾN ĐỘ MUA HÀNG'!$A$5:$AT19, 0, XMATCH(""Bộ phận/Cá nhân đặt hàng"", '6. TIẾN ĐỘ MUA HÀNG'!$A$4:$AT$4, 0)) = $"&amp;"B12, 
  TRIM(INDEX('6. TIẾN ĐỘ MUA HÀNG'!$A$5:$AT19, 0, XMATCH(""Tháng"", '6. TIẾN ĐỘ MUA HÀNG'!$A$4:$AT$4, 0))) = TRIM(AA$6),
  INDEX('6. TIẾN ĐỘ MUA HÀNG'!$A$5:$AT19, 0, XMATCH(""Mã đơn Misa"", '6. TIẾN ĐỘ MUA HÀNG'!$A$4:$AT$4, 0)) &lt;&gt; """")))"),0.0)</f>
        <v>0</v>
      </c>
      <c r="AB12" s="743">
        <f t="array" ref="AB12">SUMPRODUCT((INDEX('6. TIẾN ĐỘ MUA HÀNG'!$A$5:$AT19, 0, XMATCH("Bộ phận/Cá nhân đặt hàng", '6. TIẾN ĐỘ MUA HÀNG'!$A$4:$AT$4, 0)) = $B12) * (TRIM(INDEX('6. TIẾN ĐỘ MUA HÀNG'!$A$5:$AT19, 0, XMATCH("Tháng", '6. TIẾN ĐỘ MUA HÀNG'!$A$4:$AT$4, 0))) = TRIM(AA$6)) * (INDEX('6. TIẾN ĐỘ MUA HÀNG'!$A$5:$AT19, 0, XMATCH("CL NGÀY QUY ĐỊNH  - NGÀY KD YÊU CẦU", '6. TIẾN ĐỘ MUA HÀNG'!$A$4:$AT$4, 0)) &gt; 0))</f>
        <v>0</v>
      </c>
      <c r="AC12" s="731">
        <f t="shared" si="22"/>
        <v>0</v>
      </c>
      <c r="AD12" s="769">
        <f>IFERROR(__xludf.DUMMYFUNCTION("COUNTA(IFERROR(FILTER(
  INDEX('6. TIẾN ĐỘ MUA HÀNG'!$A$5:$AT19, 0, XMATCH(""Mã đơn Misa"", '6. TIẾN ĐỘ MUA HÀNG'!$A$4:$AT$4, 0)), 
  INDEX('6. TIẾN ĐỘ MUA HÀNG'!$A$5:$AT19, 0, XMATCH(""Bộ phận/Cá nhân đặt hàng"", '6. TIẾN ĐỘ MUA HÀNG'!$A$4:$AT$4, 0)) = $"&amp;"B12, 
  TRIM(INDEX('6. TIẾN ĐỘ MUA HÀNG'!$A$5:$AT19, 0, XMATCH(""Tháng"", '6. TIẾN ĐỘ MUA HÀNG'!$A$4:$AT$4, 0))) = TRIM(AD$6),
  INDEX('6. TIẾN ĐỘ MUA HÀNG'!$A$5:$AT19, 0, XMATCH(""Mã đơn Misa"", '6. TIẾN ĐỘ MUA HÀNG'!$A$4:$AT$4, 0)) &lt;&gt; """")))"),0.0)</f>
        <v>0</v>
      </c>
      <c r="AE12" s="769">
        <f t="array" ref="AE12">SUMPRODUCT((INDEX('6. TIẾN ĐỘ MUA HÀNG'!$A$5:$AT19, 0, XMATCH("Bộ phận/Cá nhân đặt hàng", '6. TIẾN ĐỘ MUA HÀNG'!$A$4:$AT$4, 0)) = $B12) * (TRIM(INDEX('6. TIẾN ĐỘ MUA HÀNG'!$A$5:$AT19, 0, XMATCH("Tháng", '6. TIẾN ĐỘ MUA HÀNG'!$A$4:$AT$4, 0))) = TRIM(AD$6)) * (INDEX('6. TIẾN ĐỘ MUA HÀNG'!$A$5:$AT19, 0, XMATCH("CL NGÀY QUY ĐỊNH  - NGÀY KD YÊU CẦU", '6. TIẾN ĐỘ MUA HÀNG'!$A$4:$AT$4, 0)) &gt; 0))</f>
        <v>0</v>
      </c>
      <c r="AF12" s="733">
        <f t="shared" si="23"/>
        <v>0</v>
      </c>
      <c r="AG12" s="743">
        <f>IFERROR(__xludf.DUMMYFUNCTION("COUNTA(IFERROR(FILTER(
  INDEX('6. TIẾN ĐỘ MUA HÀNG'!$A$5:$AT19, 0, XMATCH(""Mã đơn Misa"", '6. TIẾN ĐỘ MUA HÀNG'!$A$4:$AT$4, 0)), 
  INDEX('6. TIẾN ĐỘ MUA HÀNG'!$A$5:$AT19, 0, XMATCH(""Bộ phận/Cá nhân đặt hàng"", '6. TIẾN ĐỘ MUA HÀNG'!$A$4:$AT$4, 0)) = $"&amp;"B12, 
  TRIM(INDEX('6. TIẾN ĐỘ MUA HÀNG'!$A$5:$AT19, 0, XMATCH(""Tháng"", '6. TIẾN ĐỘ MUA HÀNG'!$A$4:$AT$4, 0))) = TRIM(AG$6),
  INDEX('6. TIẾN ĐỘ MUA HÀNG'!$A$5:$AT19, 0, XMATCH(""Mã đơn Misa"", '6. TIẾN ĐỘ MUA HÀNG'!$A$4:$AT$4, 0)) &lt;&gt; """")))"),0.0)</f>
        <v>0</v>
      </c>
      <c r="AH12" s="743">
        <f t="array" ref="AH12">SUMPRODUCT((INDEX('6. TIẾN ĐỘ MUA HÀNG'!$A$5:$AT19, 0, XMATCH("Bộ phận/Cá nhân đặt hàng", '6. TIẾN ĐỘ MUA HÀNG'!$A$4:$AT$4, 0)) = $B12) * (TRIM(INDEX('6. TIẾN ĐỘ MUA HÀNG'!$A$5:$AT19, 0, XMATCH("Tháng", '6. TIẾN ĐỘ MUA HÀNG'!$A$4:$AT$4, 0))) = TRIM(AG$6)) * (INDEX('6. TIẾN ĐỘ MUA HÀNG'!$A$5:$AT19, 0, XMATCH("CL NGÀY QUY ĐỊNH  - NGÀY KD YÊU CẦU", '6. TIẾN ĐỘ MUA HÀNG'!$A$4:$AT$4, 0)) &gt; 0))</f>
        <v>0</v>
      </c>
      <c r="AI12" s="731">
        <f t="shared" si="24"/>
        <v>0</v>
      </c>
      <c r="AJ12" s="769">
        <f>IFERROR(__xludf.DUMMYFUNCTION("COUNTA(IFERROR(FILTER(
  INDEX('6. TIẾN ĐỘ MUA HÀNG'!$A$5:$AT19, 0, XMATCH(""Mã đơn Misa"", '6. TIẾN ĐỘ MUA HÀNG'!$A$4:$AT$4, 0)), 
  INDEX('6. TIẾN ĐỘ MUA HÀNG'!$A$5:$AT19, 0, XMATCH(""Bộ phận/Cá nhân đặt hàng"", '6. TIẾN ĐỘ MUA HÀNG'!$A$4:$AT$4, 0)) = $"&amp;"B12, 
  TRIM(INDEX('6. TIẾN ĐỘ MUA HÀNG'!$A$5:$AT19, 0, XMATCH(""Tháng"", '6. TIẾN ĐỘ MUA HÀNG'!$A$4:$AT$4, 0))) = TRIM(AJ$6),
  INDEX('6. TIẾN ĐỘ MUA HÀNG'!$A$5:$AT19, 0, XMATCH(""Mã đơn Misa"", '6. TIẾN ĐỘ MUA HÀNG'!$A$4:$AT$4, 0)) &lt;&gt; """")))"),0.0)</f>
        <v>0</v>
      </c>
      <c r="AK12" s="769">
        <f t="array" ref="AK12">SUMPRODUCT((INDEX('6. TIẾN ĐỘ MUA HÀNG'!$A$5:$AT19, 0, XMATCH("Bộ phận/Cá nhân đặt hàng", '6. TIẾN ĐỘ MUA HÀNG'!$A$4:$AT$4, 0)) = $B12) * (TRIM(INDEX('6. TIẾN ĐỘ MUA HÀNG'!$A$5:$AT19, 0, XMATCH("Tháng", '6. TIẾN ĐỘ MUA HÀNG'!$A$4:$AT$4, 0))) = TRIM(AJ$6)) * (INDEX('6. TIẾN ĐỘ MUA HÀNG'!$A$5:$AT19, 0, XMATCH("CL NGÀY QUY ĐỊNH  - NGÀY KD YÊU CẦU", '6. TIẾN ĐỘ MUA HÀNG'!$A$4:$AT$4, 0)) &gt; 0))</f>
        <v>0</v>
      </c>
      <c r="AL12" s="733">
        <f t="shared" si="25"/>
        <v>0</v>
      </c>
      <c r="AM12" s="726">
        <f t="shared" si="27"/>
        <v>0</v>
      </c>
      <c r="AN12" s="726">
        <f t="shared" si="28"/>
        <v>0</v>
      </c>
      <c r="AO12" s="727">
        <f t="shared" si="26"/>
        <v>0</v>
      </c>
    </row>
    <row r="13">
      <c r="A13" s="612">
        <v>5.0</v>
      </c>
      <c r="B13" s="139" t="str">
        <f>IFERROR(__xludf.DUMMYFUNCTION("""COMPUTED_VALUE"""),"KD ICARE")</f>
        <v>KD ICARE</v>
      </c>
      <c r="C13" s="743">
        <f>IFERROR(__xludf.DUMMYFUNCTION("COUNTA(IFERROR(FILTER(
  INDEX('6. TIẾN ĐỘ MUA HÀNG'!$A$5:$AT19, 0, XMATCH(""Mã đơn Misa"", '6. TIẾN ĐỘ MUA HÀNG'!$A$4:$AT$4, 0)), 
  INDEX('6. TIẾN ĐỘ MUA HÀNG'!$A$5:$AT19, 0, XMATCH(""Bộ phận/Cá nhân đặt hàng"", '6. TIẾN ĐỘ MUA HÀNG'!$A$4:$AT$4, 0)) = $"&amp;"B13, 
  TRIM(INDEX('6. TIẾN ĐỘ MUA HÀNG'!$A$5:$AT19, 0, XMATCH(""Tháng"", '6. TIẾN ĐỘ MUA HÀNG'!$A$4:$AT$4, 0))) = TRIM(C$6),
  INDEX('6. TIẾN ĐỘ MUA HÀNG'!$A$5:$AT19, 0, XMATCH(""Mã đơn Misa"", '6. TIẾN ĐỘ MUA HÀNG'!$A$4:$AT$4, 0)) &lt;&gt; """")))"),0.0)</f>
        <v>0</v>
      </c>
      <c r="D13" s="743">
        <f t="array" ref="D13">SUMPRODUCT((INDEX('6. TIẾN ĐỘ MUA HÀNG'!$A$5:$AT19, 0, XMATCH("Bộ phận/Cá nhân đặt hàng", '6. TIẾN ĐỘ MUA HÀNG'!$A$4:$AT$4, 0)) = $B13) * (TRIM(INDEX('6. TIẾN ĐỘ MUA HÀNG'!$A$5:$AT19, 0, XMATCH("Tháng", '6. TIẾN ĐỘ MUA HÀNG'!$A$4:$AT$4, 0))) = TRIM(C$6)) * (INDEX('6. TIẾN ĐỘ MUA HÀNG'!$A$5:$AT19, 0, XMATCH("CL NGÀY QUY ĐỊNH  - NGÀY KD YÊU CẦU", '6. TIẾN ĐỘ MUA HÀNG'!$A$4:$AT$4, 0)) &gt; 0))</f>
        <v>0</v>
      </c>
      <c r="E13" s="731">
        <f t="shared" si="14"/>
        <v>0</v>
      </c>
      <c r="F13" s="769">
        <f>IFERROR(__xludf.DUMMYFUNCTION("COUNTA(IFERROR(FILTER(
  INDEX('6. TIẾN ĐỘ MUA HÀNG'!$A$5:$AT19, 0, XMATCH(""Mã đơn Misa"", '6. TIẾN ĐỘ MUA HÀNG'!$A$4:$AT$4, 0)), 
  INDEX('6. TIẾN ĐỘ MUA HÀNG'!$A$5:$AT19, 0, XMATCH(""Bộ phận/Cá nhân đặt hàng"", '6. TIẾN ĐỘ MUA HÀNG'!$A$4:$AT$4, 0)) = $"&amp;"B13, 
  TRIM(INDEX('6. TIẾN ĐỘ MUA HÀNG'!$A$5:$AT19, 0, XMATCH(""Tháng"", '6. TIẾN ĐỘ MUA HÀNG'!$A$4:$AT$4, 0))) = TRIM(F$6),
  INDEX('6. TIẾN ĐỘ MUA HÀNG'!$A$5:$AT19, 0, XMATCH(""Mã đơn Misa"", '6. TIẾN ĐỘ MUA HÀNG'!$A$4:$AT$4, 0)) &lt;&gt; """")))"),0.0)</f>
        <v>0</v>
      </c>
      <c r="G13" s="769">
        <f t="array" ref="G13">SUMPRODUCT((INDEX('6. TIẾN ĐỘ MUA HÀNG'!$A$5:$AT19, 0, XMATCH("Bộ phận/Cá nhân đặt hàng", '6. TIẾN ĐỘ MUA HÀNG'!$A$4:$AT$4, 0)) = $B13) * (TRIM(INDEX('6. TIẾN ĐỘ MUA HÀNG'!$A$5:$AT19, 0, XMATCH("Tháng", '6. TIẾN ĐỘ MUA HÀNG'!$A$4:$AT$4, 0))) = TRIM(F$6)) * (INDEX('6. TIẾN ĐỘ MUA HÀNG'!$A$5:$AT19, 0, XMATCH("CL NGÀY QUY ĐỊNH  - NGÀY KD YÊU CẦU", '6. TIẾN ĐỘ MUA HÀNG'!$A$4:$AT$4, 0)) &gt; 0))</f>
        <v>0</v>
      </c>
      <c r="H13" s="733">
        <f t="shared" si="15"/>
        <v>0</v>
      </c>
      <c r="I13" s="743">
        <f>IFERROR(__xludf.DUMMYFUNCTION("COUNTA(IFERROR(FILTER(
  INDEX('6. TIẾN ĐỘ MUA HÀNG'!$A$5:$AT19, 0, XMATCH(""Mã đơn Misa"", '6. TIẾN ĐỘ MUA HÀNG'!$A$4:$AT$4, 0)), 
  INDEX('6. TIẾN ĐỘ MUA HÀNG'!$A$5:$AT19, 0, XMATCH(""Bộ phận/Cá nhân đặt hàng"", '6. TIẾN ĐỘ MUA HÀNG'!$A$4:$AT$4, 0)) = $"&amp;"B13, 
  TRIM(INDEX('6. TIẾN ĐỘ MUA HÀNG'!$A$5:$AT19, 0, XMATCH(""Tháng"", '6. TIẾN ĐỘ MUA HÀNG'!$A$4:$AT$4, 0))) = TRIM(I$6),
  INDEX('6. TIẾN ĐỘ MUA HÀNG'!$A$5:$AT19, 0, XMATCH(""Mã đơn Misa"", '6. TIẾN ĐỘ MUA HÀNG'!$A$4:$AT$4, 0)) &lt;&gt; """")))"),0.0)</f>
        <v>0</v>
      </c>
      <c r="J13" s="743">
        <f t="array" ref="J13">SUMPRODUCT((INDEX('6. TIẾN ĐỘ MUA HÀNG'!$A$5:$AT19, 0, XMATCH("Bộ phận/Cá nhân đặt hàng", '6. TIẾN ĐỘ MUA HÀNG'!$A$4:$AT$4, 0)) = $B13) * (TRIM(INDEX('6. TIẾN ĐỘ MUA HÀNG'!$A$5:$AT19, 0, XMATCH("Tháng", '6. TIẾN ĐỘ MUA HÀNG'!$A$4:$AT$4, 0))) = TRIM(I$6)) * (INDEX('6. TIẾN ĐỘ MUA HÀNG'!$A$5:$AT19, 0, XMATCH("CL NGÀY QUY ĐỊNH  - NGÀY KD YÊU CẦU", '6. TIẾN ĐỘ MUA HÀNG'!$A$4:$AT$4, 0)) &gt; 0))</f>
        <v>0</v>
      </c>
      <c r="K13" s="731">
        <f t="shared" si="16"/>
        <v>0</v>
      </c>
      <c r="L13" s="769">
        <f>IFERROR(__xludf.DUMMYFUNCTION("COUNTA(IFERROR(FILTER(
  INDEX('6. TIẾN ĐỘ MUA HÀNG'!$A$5:$AT19, 0, XMATCH(""Mã đơn Misa"", '6. TIẾN ĐỘ MUA HÀNG'!$A$4:$AT$4, 0)), 
  INDEX('6. TIẾN ĐỘ MUA HÀNG'!$A$5:$AT19, 0, XMATCH(""Bộ phận/Cá nhân đặt hàng"", '6. TIẾN ĐỘ MUA HÀNG'!$A$4:$AT$4, 0)) = $"&amp;"B13, 
  TRIM(INDEX('6. TIẾN ĐỘ MUA HÀNG'!$A$5:$AT19, 0, XMATCH(""Tháng"", '6. TIẾN ĐỘ MUA HÀNG'!$A$4:$AT$4, 0))) = TRIM(L$6),
  INDEX('6. TIẾN ĐỘ MUA HÀNG'!$A$5:$AT19, 0, XMATCH(""Mã đơn Misa"", '6. TIẾN ĐỘ MUA HÀNG'!$A$4:$AT$4, 0)) &lt;&gt; """")))"),0.0)</f>
        <v>0</v>
      </c>
      <c r="M13" s="769">
        <f t="array" ref="M13">SUMPRODUCT((INDEX('6. TIẾN ĐỘ MUA HÀNG'!$A$5:$AT19, 0, XMATCH("Bộ phận/Cá nhân đặt hàng", '6. TIẾN ĐỘ MUA HÀNG'!$A$4:$AT$4, 0)) = $B13) * (TRIM(INDEX('6. TIẾN ĐỘ MUA HÀNG'!$A$5:$AT19, 0, XMATCH("Tháng", '6. TIẾN ĐỘ MUA HÀNG'!$A$4:$AT$4, 0))) = TRIM(L$6)) * (INDEX('6. TIẾN ĐỘ MUA HÀNG'!$A$5:$AT19, 0, XMATCH("CL NGÀY QUY ĐỊNH  - NGÀY KD YÊU CẦU", '6. TIẾN ĐỘ MUA HÀNG'!$A$4:$AT$4, 0)) &gt; 0))</f>
        <v>0</v>
      </c>
      <c r="N13" s="733">
        <f t="shared" si="17"/>
        <v>0</v>
      </c>
      <c r="O13" s="743">
        <f>IFERROR(__xludf.DUMMYFUNCTION("COUNTA(IFERROR(FILTER(
  INDEX('6. TIẾN ĐỘ MUA HÀNG'!$A$5:$AT19, 0, XMATCH(""Mã đơn Misa"", '6. TIẾN ĐỘ MUA HÀNG'!$A$4:$AT$4, 0)), 
  INDEX('6. TIẾN ĐỘ MUA HÀNG'!$A$5:$AT19, 0, XMATCH(""Bộ phận/Cá nhân đặt hàng"", '6. TIẾN ĐỘ MUA HÀNG'!$A$4:$AT$4, 0)) = $"&amp;"B13, 
  TRIM(INDEX('6. TIẾN ĐỘ MUA HÀNG'!$A$5:$AT19, 0, XMATCH(""Tháng"", '6. TIẾN ĐỘ MUA HÀNG'!$A$4:$AT$4, 0))) = TRIM(O$6),
  INDEX('6. TIẾN ĐỘ MUA HÀNG'!$A$5:$AT19, 0, XMATCH(""Mã đơn Misa"", '6. TIẾN ĐỘ MUA HÀNG'!$A$4:$AT$4, 0)) &lt;&gt; """")))"),2.0)</f>
        <v>2</v>
      </c>
      <c r="P13" s="743">
        <f t="array" ref="P13">SUMPRODUCT((INDEX('6. TIẾN ĐỘ MUA HÀNG'!$A$5:$AT19, 0, XMATCH("Bộ phận/Cá nhân đặt hàng", '6. TIẾN ĐỘ MUA HÀNG'!$A$4:$AT$4, 0)) = $B13) * (TRIM(INDEX('6. TIẾN ĐỘ MUA HÀNG'!$A$5:$AT19, 0, XMATCH("Tháng", '6. TIẾN ĐỘ MUA HÀNG'!$A$4:$AT$4, 0))) = TRIM(O$6)) * (INDEX('6. TIẾN ĐỘ MUA HÀNG'!$A$5:$AT19, 0, XMATCH("CL NGÀY QUY ĐỊNH  - NGÀY KD YÊU CẦU", '6. TIẾN ĐỘ MUA HÀNG'!$A$4:$AT$4, 0)) &gt; 0))</f>
        <v>0</v>
      </c>
      <c r="Q13" s="731">
        <f t="shared" si="18"/>
        <v>0</v>
      </c>
      <c r="R13" s="769">
        <f>IFERROR(__xludf.DUMMYFUNCTION("COUNTA(IFERROR(FILTER(
  INDEX('6. TIẾN ĐỘ MUA HÀNG'!$A$5:$AT19, 0, XMATCH(""Mã đơn Misa"", '6. TIẾN ĐỘ MUA HÀNG'!$A$4:$AT$4, 0)), 
  INDEX('6. TIẾN ĐỘ MUA HÀNG'!$A$5:$AT19, 0, XMATCH(""Bộ phận/Cá nhân đặt hàng"", '6. TIẾN ĐỘ MUA HÀNG'!$A$4:$AT$4, 0)) = $"&amp;"B13, 
  TRIM(INDEX('6. TIẾN ĐỘ MUA HÀNG'!$A$5:$AT19, 0, XMATCH(""Tháng"", '6. TIẾN ĐỘ MUA HÀNG'!$A$4:$AT$4, 0))) = TRIM(R$6),
  INDEX('6. TIẾN ĐỘ MUA HÀNG'!$A$5:$AT19, 0, XMATCH(""Mã đơn Misa"", '6. TIẾN ĐỘ MUA HÀNG'!$A$4:$AT$4, 0)) &lt;&gt; """")))"),0.0)</f>
        <v>0</v>
      </c>
      <c r="S13" s="769">
        <f t="array" ref="S13">SUMPRODUCT((INDEX('6. TIẾN ĐỘ MUA HÀNG'!$A$5:$AT19, 0, XMATCH("Bộ phận/Cá nhân đặt hàng", '6. TIẾN ĐỘ MUA HÀNG'!$A$4:$AT$4, 0)) = $B13) * (TRIM(INDEX('6. TIẾN ĐỘ MUA HÀNG'!$A$5:$AT19, 0, XMATCH("Tháng", '6. TIẾN ĐỘ MUA HÀNG'!$A$4:$AT$4, 0))) = TRIM(R$6)) * (INDEX('6. TIẾN ĐỘ MUA HÀNG'!$A$5:$AT19, 0, XMATCH("CL NGÀY QUY ĐỊNH  - NGÀY KD YÊU CẦU", '6. TIẾN ĐỘ MUA HÀNG'!$A$4:$AT$4, 0)) &gt; 0))</f>
        <v>0</v>
      </c>
      <c r="T13" s="733">
        <f t="shared" si="19"/>
        <v>0</v>
      </c>
      <c r="U13" s="743">
        <f>IFERROR(__xludf.DUMMYFUNCTION("COUNTA(IFERROR(FILTER(
  INDEX('6. TIẾN ĐỘ MUA HÀNG'!$A$5:$AT19, 0, XMATCH(""Mã đơn Misa"", '6. TIẾN ĐỘ MUA HÀNG'!$A$4:$AT$4, 0)), 
  INDEX('6. TIẾN ĐỘ MUA HÀNG'!$A$5:$AT19, 0, XMATCH(""Bộ phận/Cá nhân đặt hàng"", '6. TIẾN ĐỘ MUA HÀNG'!$A$4:$AT$4, 0)) = $"&amp;"B13, 
  TRIM(INDEX('6. TIẾN ĐỘ MUA HÀNG'!$A$5:$AT19, 0, XMATCH(""Tháng"", '6. TIẾN ĐỘ MUA HÀNG'!$A$4:$AT$4, 0))) = TRIM(U$6),
  INDEX('6. TIẾN ĐỘ MUA HÀNG'!$A$5:$AT19, 0, XMATCH(""Mã đơn Misa"", '6. TIẾN ĐỘ MUA HÀNG'!$A$4:$AT$4, 0)) &lt;&gt; """")))"),0.0)</f>
        <v>0</v>
      </c>
      <c r="V13" s="743">
        <f t="array" ref="V13">SUMPRODUCT((INDEX('6. TIẾN ĐỘ MUA HÀNG'!$A$5:$AT19, 0, XMATCH("Bộ phận/Cá nhân đặt hàng", '6. TIẾN ĐỘ MUA HÀNG'!$A$4:$AT$4, 0)) = $B13) * (TRIM(INDEX('6. TIẾN ĐỘ MUA HÀNG'!$A$5:$AT19, 0, XMATCH("Tháng", '6. TIẾN ĐỘ MUA HÀNG'!$A$4:$AT$4, 0))) = TRIM(U$6)) * (INDEX('6. TIẾN ĐỘ MUA HÀNG'!$A$5:$AT19, 0, XMATCH("CL NGÀY QUY ĐỊNH  - NGÀY KD YÊU CẦU", '6. TIẾN ĐỘ MUA HÀNG'!$A$4:$AT$4, 0)) &gt; 0))</f>
        <v>0</v>
      </c>
      <c r="W13" s="731">
        <f t="shared" si="20"/>
        <v>0</v>
      </c>
      <c r="X13" s="769">
        <f>IFERROR(__xludf.DUMMYFUNCTION("COUNTA(IFERROR(FILTER(
  INDEX('6. TIẾN ĐỘ MUA HÀNG'!$A$5:$AT19, 0, XMATCH(""Mã đơn Misa"", '6. TIẾN ĐỘ MUA HÀNG'!$A$4:$AT$4, 0)), 
  INDEX('6. TIẾN ĐỘ MUA HÀNG'!$A$5:$AT19, 0, XMATCH(""Bộ phận/Cá nhân đặt hàng"", '6. TIẾN ĐỘ MUA HÀNG'!$A$4:$AT$4, 0)) = $"&amp;"B13, 
  TRIM(INDEX('6. TIẾN ĐỘ MUA HÀNG'!$A$5:$AT19, 0, XMATCH(""Tháng"", '6. TIẾN ĐỘ MUA HÀNG'!$A$4:$AT$4, 0))) = TRIM(X$6),
  INDEX('6. TIẾN ĐỘ MUA HÀNG'!$A$5:$AT19, 0, XMATCH(""Mã đơn Misa"", '6. TIẾN ĐỘ MUA HÀNG'!$A$4:$AT$4, 0)) &lt;&gt; """")))"),0.0)</f>
        <v>0</v>
      </c>
      <c r="Y13" s="769">
        <f t="array" ref="Y13">SUMPRODUCT((INDEX('6. TIẾN ĐỘ MUA HÀNG'!$A$5:$AT19, 0, XMATCH("Bộ phận/Cá nhân đặt hàng", '6. TIẾN ĐỘ MUA HÀNG'!$A$4:$AT$4, 0)) = $B13) * (TRIM(INDEX('6. TIẾN ĐỘ MUA HÀNG'!$A$5:$AT19, 0, XMATCH("Tháng", '6. TIẾN ĐỘ MUA HÀNG'!$A$4:$AT$4, 0))) = TRIM(X$6)) * (INDEX('6. TIẾN ĐỘ MUA HÀNG'!$A$5:$AT19, 0, XMATCH("CL NGÀY QUY ĐỊNH  - NGÀY KD YÊU CẦU", '6. TIẾN ĐỘ MUA HÀNG'!$A$4:$AT$4, 0)) &gt; 0))</f>
        <v>0</v>
      </c>
      <c r="Z13" s="733">
        <f t="shared" si="21"/>
        <v>0</v>
      </c>
      <c r="AA13" s="743">
        <f>IFERROR(__xludf.DUMMYFUNCTION("COUNTA(IFERROR(FILTER(
  INDEX('6. TIẾN ĐỘ MUA HÀNG'!$A$5:$AT19, 0, XMATCH(""Mã đơn Misa"", '6. TIẾN ĐỘ MUA HÀNG'!$A$4:$AT$4, 0)), 
  INDEX('6. TIẾN ĐỘ MUA HÀNG'!$A$5:$AT19, 0, XMATCH(""Bộ phận/Cá nhân đặt hàng"", '6. TIẾN ĐỘ MUA HÀNG'!$A$4:$AT$4, 0)) = $"&amp;"B13, 
  TRIM(INDEX('6. TIẾN ĐỘ MUA HÀNG'!$A$5:$AT19, 0, XMATCH(""Tháng"", '6. TIẾN ĐỘ MUA HÀNG'!$A$4:$AT$4, 0))) = TRIM(AA$6),
  INDEX('6. TIẾN ĐỘ MUA HÀNG'!$A$5:$AT19, 0, XMATCH(""Mã đơn Misa"", '6. TIẾN ĐỘ MUA HÀNG'!$A$4:$AT$4, 0)) &lt;&gt; """")))"),0.0)</f>
        <v>0</v>
      </c>
      <c r="AB13" s="743">
        <f t="array" ref="AB13">SUMPRODUCT((INDEX('6. TIẾN ĐỘ MUA HÀNG'!$A$5:$AT19, 0, XMATCH("Bộ phận/Cá nhân đặt hàng", '6. TIẾN ĐỘ MUA HÀNG'!$A$4:$AT$4, 0)) = $B13) * (TRIM(INDEX('6. TIẾN ĐỘ MUA HÀNG'!$A$5:$AT19, 0, XMATCH("Tháng", '6. TIẾN ĐỘ MUA HÀNG'!$A$4:$AT$4, 0))) = TRIM(AA$6)) * (INDEX('6. TIẾN ĐỘ MUA HÀNG'!$A$5:$AT19, 0, XMATCH("CL NGÀY QUY ĐỊNH  - NGÀY KD YÊU CẦU", '6. TIẾN ĐỘ MUA HÀNG'!$A$4:$AT$4, 0)) &gt; 0))</f>
        <v>0</v>
      </c>
      <c r="AC13" s="731">
        <f t="shared" si="22"/>
        <v>0</v>
      </c>
      <c r="AD13" s="769">
        <f>IFERROR(__xludf.DUMMYFUNCTION("COUNTA(IFERROR(FILTER(
  INDEX('6. TIẾN ĐỘ MUA HÀNG'!$A$5:$AT19, 0, XMATCH(""Mã đơn Misa"", '6. TIẾN ĐỘ MUA HÀNG'!$A$4:$AT$4, 0)), 
  INDEX('6. TIẾN ĐỘ MUA HÀNG'!$A$5:$AT19, 0, XMATCH(""Bộ phận/Cá nhân đặt hàng"", '6. TIẾN ĐỘ MUA HÀNG'!$A$4:$AT$4, 0)) = $"&amp;"B13, 
  TRIM(INDEX('6. TIẾN ĐỘ MUA HÀNG'!$A$5:$AT19, 0, XMATCH(""Tháng"", '6. TIẾN ĐỘ MUA HÀNG'!$A$4:$AT$4, 0))) = TRIM(AD$6),
  INDEX('6. TIẾN ĐỘ MUA HÀNG'!$A$5:$AT19, 0, XMATCH(""Mã đơn Misa"", '6. TIẾN ĐỘ MUA HÀNG'!$A$4:$AT$4, 0)) &lt;&gt; """")))"),0.0)</f>
        <v>0</v>
      </c>
      <c r="AE13" s="769">
        <f t="array" ref="AE13">SUMPRODUCT((INDEX('6. TIẾN ĐỘ MUA HÀNG'!$A$5:$AT19, 0, XMATCH("Bộ phận/Cá nhân đặt hàng", '6. TIẾN ĐỘ MUA HÀNG'!$A$4:$AT$4, 0)) = $B13) * (TRIM(INDEX('6. TIẾN ĐỘ MUA HÀNG'!$A$5:$AT19, 0, XMATCH("Tháng", '6. TIẾN ĐỘ MUA HÀNG'!$A$4:$AT$4, 0))) = TRIM(AD$6)) * (INDEX('6. TIẾN ĐỘ MUA HÀNG'!$A$5:$AT19, 0, XMATCH("CL NGÀY QUY ĐỊNH  - NGÀY KD YÊU CẦU", '6. TIẾN ĐỘ MUA HÀNG'!$A$4:$AT$4, 0)) &gt; 0))</f>
        <v>0</v>
      </c>
      <c r="AF13" s="733">
        <f t="shared" si="23"/>
        <v>0</v>
      </c>
      <c r="AG13" s="743">
        <f>IFERROR(__xludf.DUMMYFUNCTION("COUNTA(IFERROR(FILTER(
  INDEX('6. TIẾN ĐỘ MUA HÀNG'!$A$5:$AT19, 0, XMATCH(""Mã đơn Misa"", '6. TIẾN ĐỘ MUA HÀNG'!$A$4:$AT$4, 0)), 
  INDEX('6. TIẾN ĐỘ MUA HÀNG'!$A$5:$AT19, 0, XMATCH(""Bộ phận/Cá nhân đặt hàng"", '6. TIẾN ĐỘ MUA HÀNG'!$A$4:$AT$4, 0)) = $"&amp;"B13, 
  TRIM(INDEX('6. TIẾN ĐỘ MUA HÀNG'!$A$5:$AT19, 0, XMATCH(""Tháng"", '6. TIẾN ĐỘ MUA HÀNG'!$A$4:$AT$4, 0))) = TRIM(AG$6),
  INDEX('6. TIẾN ĐỘ MUA HÀNG'!$A$5:$AT19, 0, XMATCH(""Mã đơn Misa"", '6. TIẾN ĐỘ MUA HÀNG'!$A$4:$AT$4, 0)) &lt;&gt; """")))"),0.0)</f>
        <v>0</v>
      </c>
      <c r="AH13" s="743">
        <f t="array" ref="AH13">SUMPRODUCT((INDEX('6. TIẾN ĐỘ MUA HÀNG'!$A$5:$AT19, 0, XMATCH("Bộ phận/Cá nhân đặt hàng", '6. TIẾN ĐỘ MUA HÀNG'!$A$4:$AT$4, 0)) = $B13) * (TRIM(INDEX('6. TIẾN ĐỘ MUA HÀNG'!$A$5:$AT19, 0, XMATCH("Tháng", '6. TIẾN ĐỘ MUA HÀNG'!$A$4:$AT$4, 0))) = TRIM(AG$6)) * (INDEX('6. TIẾN ĐỘ MUA HÀNG'!$A$5:$AT19, 0, XMATCH("CL NGÀY QUY ĐỊNH  - NGÀY KD YÊU CẦU", '6. TIẾN ĐỘ MUA HÀNG'!$A$4:$AT$4, 0)) &gt; 0))</f>
        <v>0</v>
      </c>
      <c r="AI13" s="731">
        <f t="shared" si="24"/>
        <v>0</v>
      </c>
      <c r="AJ13" s="769">
        <f>IFERROR(__xludf.DUMMYFUNCTION("COUNTA(IFERROR(FILTER(
  INDEX('6. TIẾN ĐỘ MUA HÀNG'!$A$5:$AT19, 0, XMATCH(""Mã đơn Misa"", '6. TIẾN ĐỘ MUA HÀNG'!$A$4:$AT$4, 0)), 
  INDEX('6. TIẾN ĐỘ MUA HÀNG'!$A$5:$AT19, 0, XMATCH(""Bộ phận/Cá nhân đặt hàng"", '6. TIẾN ĐỘ MUA HÀNG'!$A$4:$AT$4, 0)) = $"&amp;"B13, 
  TRIM(INDEX('6. TIẾN ĐỘ MUA HÀNG'!$A$5:$AT19, 0, XMATCH(""Tháng"", '6. TIẾN ĐỘ MUA HÀNG'!$A$4:$AT$4, 0))) = TRIM(AJ$6),
  INDEX('6. TIẾN ĐỘ MUA HÀNG'!$A$5:$AT19, 0, XMATCH(""Mã đơn Misa"", '6. TIẾN ĐỘ MUA HÀNG'!$A$4:$AT$4, 0)) &lt;&gt; """")))"),0.0)</f>
        <v>0</v>
      </c>
      <c r="AK13" s="769">
        <f t="array" ref="AK13">SUMPRODUCT((INDEX('6. TIẾN ĐỘ MUA HÀNG'!$A$5:$AT19, 0, XMATCH("Bộ phận/Cá nhân đặt hàng", '6. TIẾN ĐỘ MUA HÀNG'!$A$4:$AT$4, 0)) = $B13) * (TRIM(INDEX('6. TIẾN ĐỘ MUA HÀNG'!$A$5:$AT19, 0, XMATCH("Tháng", '6. TIẾN ĐỘ MUA HÀNG'!$A$4:$AT$4, 0))) = TRIM(AJ$6)) * (INDEX('6. TIẾN ĐỘ MUA HÀNG'!$A$5:$AT19, 0, XMATCH("CL NGÀY QUY ĐỊNH  - NGÀY KD YÊU CẦU", '6. TIẾN ĐỘ MUA HÀNG'!$A$4:$AT$4, 0)) &gt; 0))</f>
        <v>0</v>
      </c>
      <c r="AL13" s="733">
        <f t="shared" si="25"/>
        <v>0</v>
      </c>
      <c r="AM13" s="726">
        <f t="shared" si="27"/>
        <v>2</v>
      </c>
      <c r="AN13" s="726">
        <f t="shared" si="28"/>
        <v>0</v>
      </c>
      <c r="AO13" s="727">
        <f t="shared" si="26"/>
        <v>0</v>
      </c>
    </row>
    <row r="14">
      <c r="A14" s="612">
        <v>6.0</v>
      </c>
      <c r="B14" s="139" t="str">
        <f>IFERROR(__xludf.DUMMYFUNCTION("""COMPUTED_VALUE"""),"KD DR XANH")</f>
        <v>KD DR XANH</v>
      </c>
      <c r="C14" s="743">
        <f>IFERROR(__xludf.DUMMYFUNCTION("COUNTA(IFERROR(FILTER(
  INDEX('6. TIẾN ĐỘ MUA HÀNG'!$A$5:$AT19, 0, XMATCH(""Mã đơn Misa"", '6. TIẾN ĐỘ MUA HÀNG'!$A$4:$AT$4, 0)), 
  INDEX('6. TIẾN ĐỘ MUA HÀNG'!$A$5:$AT19, 0, XMATCH(""Bộ phận/Cá nhân đặt hàng"", '6. TIẾN ĐỘ MUA HÀNG'!$A$4:$AT$4, 0)) = $"&amp;"B14, 
  TRIM(INDEX('6. TIẾN ĐỘ MUA HÀNG'!$A$5:$AT19, 0, XMATCH(""Tháng"", '6. TIẾN ĐỘ MUA HÀNG'!$A$4:$AT$4, 0))) = TRIM(C$6),
  INDEX('6. TIẾN ĐỘ MUA HÀNG'!$A$5:$AT19, 0, XMATCH(""Mã đơn Misa"", '6. TIẾN ĐỘ MUA HÀNG'!$A$4:$AT$4, 0)) &lt;&gt; """")))"),0.0)</f>
        <v>0</v>
      </c>
      <c r="D14" s="743">
        <f t="array" ref="D14">SUMPRODUCT((INDEX('6. TIẾN ĐỘ MUA HÀNG'!$A$5:$AT19, 0, XMATCH("Bộ phận/Cá nhân đặt hàng", '6. TIẾN ĐỘ MUA HÀNG'!$A$4:$AT$4, 0)) = $B14) * (TRIM(INDEX('6. TIẾN ĐỘ MUA HÀNG'!$A$5:$AT19, 0, XMATCH("Tháng", '6. TIẾN ĐỘ MUA HÀNG'!$A$4:$AT$4, 0))) = TRIM(C$6)) * (INDEX('6. TIẾN ĐỘ MUA HÀNG'!$A$5:$AT19, 0, XMATCH("CL NGÀY QUY ĐỊNH  - NGÀY KD YÊU CẦU", '6. TIẾN ĐỘ MUA HÀNG'!$A$4:$AT$4, 0)) &gt; 0))</f>
        <v>0</v>
      </c>
      <c r="E14" s="731">
        <f t="shared" si="14"/>
        <v>0</v>
      </c>
      <c r="F14" s="769">
        <f>IFERROR(__xludf.DUMMYFUNCTION("COUNTA(IFERROR(FILTER(
  INDEX('6. TIẾN ĐỘ MUA HÀNG'!$A$5:$AT19, 0, XMATCH(""Mã đơn Misa"", '6. TIẾN ĐỘ MUA HÀNG'!$A$4:$AT$4, 0)), 
  INDEX('6. TIẾN ĐỘ MUA HÀNG'!$A$5:$AT19, 0, XMATCH(""Bộ phận/Cá nhân đặt hàng"", '6. TIẾN ĐỘ MUA HÀNG'!$A$4:$AT$4, 0)) = $"&amp;"B14, 
  TRIM(INDEX('6. TIẾN ĐỘ MUA HÀNG'!$A$5:$AT19, 0, XMATCH(""Tháng"", '6. TIẾN ĐỘ MUA HÀNG'!$A$4:$AT$4, 0))) = TRIM(F$6),
  INDEX('6. TIẾN ĐỘ MUA HÀNG'!$A$5:$AT19, 0, XMATCH(""Mã đơn Misa"", '6. TIẾN ĐỘ MUA HÀNG'!$A$4:$AT$4, 0)) &lt;&gt; """")))"),0.0)</f>
        <v>0</v>
      </c>
      <c r="G14" s="769">
        <f t="array" ref="G14">SUMPRODUCT((INDEX('6. TIẾN ĐỘ MUA HÀNG'!$A$5:$AT19, 0, XMATCH("Bộ phận/Cá nhân đặt hàng", '6. TIẾN ĐỘ MUA HÀNG'!$A$4:$AT$4, 0)) = $B14) * (TRIM(INDEX('6. TIẾN ĐỘ MUA HÀNG'!$A$5:$AT19, 0, XMATCH("Tháng", '6. TIẾN ĐỘ MUA HÀNG'!$A$4:$AT$4, 0))) = TRIM(F$6)) * (INDEX('6. TIẾN ĐỘ MUA HÀNG'!$A$5:$AT19, 0, XMATCH("CL NGÀY QUY ĐỊNH  - NGÀY KD YÊU CẦU", '6. TIẾN ĐỘ MUA HÀNG'!$A$4:$AT$4, 0)) &gt; 0))</f>
        <v>0</v>
      </c>
      <c r="H14" s="733">
        <f t="shared" si="15"/>
        <v>0</v>
      </c>
      <c r="I14" s="743">
        <f>IFERROR(__xludf.DUMMYFUNCTION("COUNTA(IFERROR(FILTER(
  INDEX('6. TIẾN ĐỘ MUA HÀNG'!$A$5:$AT19, 0, XMATCH(""Mã đơn Misa"", '6. TIẾN ĐỘ MUA HÀNG'!$A$4:$AT$4, 0)), 
  INDEX('6. TIẾN ĐỘ MUA HÀNG'!$A$5:$AT19, 0, XMATCH(""Bộ phận/Cá nhân đặt hàng"", '6. TIẾN ĐỘ MUA HÀNG'!$A$4:$AT$4, 0)) = $"&amp;"B14, 
  TRIM(INDEX('6. TIẾN ĐỘ MUA HÀNG'!$A$5:$AT19, 0, XMATCH(""Tháng"", '6. TIẾN ĐỘ MUA HÀNG'!$A$4:$AT$4, 0))) = TRIM(I$6),
  INDEX('6. TIẾN ĐỘ MUA HÀNG'!$A$5:$AT19, 0, XMATCH(""Mã đơn Misa"", '6. TIẾN ĐỘ MUA HÀNG'!$A$4:$AT$4, 0)) &lt;&gt; """")))"),0.0)</f>
        <v>0</v>
      </c>
      <c r="J14" s="743">
        <f t="array" ref="J14">SUMPRODUCT((INDEX('6. TIẾN ĐỘ MUA HÀNG'!$A$5:$AT19, 0, XMATCH("Bộ phận/Cá nhân đặt hàng", '6. TIẾN ĐỘ MUA HÀNG'!$A$4:$AT$4, 0)) = $B14) * (TRIM(INDEX('6. TIẾN ĐỘ MUA HÀNG'!$A$5:$AT19, 0, XMATCH("Tháng", '6. TIẾN ĐỘ MUA HÀNG'!$A$4:$AT$4, 0))) = TRIM(I$6)) * (INDEX('6. TIẾN ĐỘ MUA HÀNG'!$A$5:$AT19, 0, XMATCH("CL NGÀY QUY ĐỊNH  - NGÀY KD YÊU CẦU", '6. TIẾN ĐỘ MUA HÀNG'!$A$4:$AT$4, 0)) &gt; 0))</f>
        <v>0</v>
      </c>
      <c r="K14" s="731">
        <f t="shared" si="16"/>
        <v>0</v>
      </c>
      <c r="L14" s="769">
        <f>IFERROR(__xludf.DUMMYFUNCTION("COUNTA(IFERROR(FILTER(
  INDEX('6. TIẾN ĐỘ MUA HÀNG'!$A$5:$AT19, 0, XMATCH(""Mã đơn Misa"", '6. TIẾN ĐỘ MUA HÀNG'!$A$4:$AT$4, 0)), 
  INDEX('6. TIẾN ĐỘ MUA HÀNG'!$A$5:$AT19, 0, XMATCH(""Bộ phận/Cá nhân đặt hàng"", '6. TIẾN ĐỘ MUA HÀNG'!$A$4:$AT$4, 0)) = $"&amp;"B14, 
  TRIM(INDEX('6. TIẾN ĐỘ MUA HÀNG'!$A$5:$AT19, 0, XMATCH(""Tháng"", '6. TIẾN ĐỘ MUA HÀNG'!$A$4:$AT$4, 0))) = TRIM(L$6),
  INDEX('6. TIẾN ĐỘ MUA HÀNG'!$A$5:$AT19, 0, XMATCH(""Mã đơn Misa"", '6. TIẾN ĐỘ MUA HÀNG'!$A$4:$AT$4, 0)) &lt;&gt; """")))"),0.0)</f>
        <v>0</v>
      </c>
      <c r="M14" s="769">
        <f t="array" ref="M14">SUMPRODUCT((INDEX('6. TIẾN ĐỘ MUA HÀNG'!$A$5:$AT19, 0, XMATCH("Bộ phận/Cá nhân đặt hàng", '6. TIẾN ĐỘ MUA HÀNG'!$A$4:$AT$4, 0)) = $B14) * (TRIM(INDEX('6. TIẾN ĐỘ MUA HÀNG'!$A$5:$AT19, 0, XMATCH("Tháng", '6. TIẾN ĐỘ MUA HÀNG'!$A$4:$AT$4, 0))) = TRIM(L$6)) * (INDEX('6. TIẾN ĐỘ MUA HÀNG'!$A$5:$AT19, 0, XMATCH("CL NGÀY QUY ĐỊNH  - NGÀY KD YÊU CẦU", '6. TIẾN ĐỘ MUA HÀNG'!$A$4:$AT$4, 0)) &gt; 0))</f>
        <v>0</v>
      </c>
      <c r="N14" s="733">
        <f t="shared" si="17"/>
        <v>0</v>
      </c>
      <c r="O14" s="743">
        <f>IFERROR(__xludf.DUMMYFUNCTION("COUNTA(IFERROR(FILTER(
  INDEX('6. TIẾN ĐỘ MUA HÀNG'!$A$5:$AT19, 0, XMATCH(""Mã đơn Misa"", '6. TIẾN ĐỘ MUA HÀNG'!$A$4:$AT$4, 0)), 
  INDEX('6. TIẾN ĐỘ MUA HÀNG'!$A$5:$AT19, 0, XMATCH(""Bộ phận/Cá nhân đặt hàng"", '6. TIẾN ĐỘ MUA HÀNG'!$A$4:$AT$4, 0)) = $"&amp;"B14, 
  TRIM(INDEX('6. TIẾN ĐỘ MUA HÀNG'!$A$5:$AT19, 0, XMATCH(""Tháng"", '6. TIẾN ĐỘ MUA HÀNG'!$A$4:$AT$4, 0))) = TRIM(O$6),
  INDEX('6. TIẾN ĐỘ MUA HÀNG'!$A$5:$AT19, 0, XMATCH(""Mã đơn Misa"", '6. TIẾN ĐỘ MUA HÀNG'!$A$4:$AT$4, 0)) &lt;&gt; """")))"),0.0)</f>
        <v>0</v>
      </c>
      <c r="P14" s="743">
        <f t="array" ref="P14">SUMPRODUCT((INDEX('6. TIẾN ĐỘ MUA HÀNG'!$A$5:$AT19, 0, XMATCH("Bộ phận/Cá nhân đặt hàng", '6. TIẾN ĐỘ MUA HÀNG'!$A$4:$AT$4, 0)) = $B14) * (TRIM(INDEX('6. TIẾN ĐỘ MUA HÀNG'!$A$5:$AT19, 0, XMATCH("Tháng", '6. TIẾN ĐỘ MUA HÀNG'!$A$4:$AT$4, 0))) = TRIM(O$6)) * (INDEX('6. TIẾN ĐỘ MUA HÀNG'!$A$5:$AT19, 0, XMATCH("CL NGÀY QUY ĐỊNH  - NGÀY KD YÊU CẦU", '6. TIẾN ĐỘ MUA HÀNG'!$A$4:$AT$4, 0)) &gt; 0))</f>
        <v>0</v>
      </c>
      <c r="Q14" s="731">
        <f t="shared" si="18"/>
        <v>0</v>
      </c>
      <c r="R14" s="769">
        <f>IFERROR(__xludf.DUMMYFUNCTION("COUNTA(IFERROR(FILTER(
  INDEX('6. TIẾN ĐỘ MUA HÀNG'!$A$5:$AT19, 0, XMATCH(""Mã đơn Misa"", '6. TIẾN ĐỘ MUA HÀNG'!$A$4:$AT$4, 0)), 
  INDEX('6. TIẾN ĐỘ MUA HÀNG'!$A$5:$AT19, 0, XMATCH(""Bộ phận/Cá nhân đặt hàng"", '6. TIẾN ĐỘ MUA HÀNG'!$A$4:$AT$4, 0)) = $"&amp;"B14, 
  TRIM(INDEX('6. TIẾN ĐỘ MUA HÀNG'!$A$5:$AT19, 0, XMATCH(""Tháng"", '6. TIẾN ĐỘ MUA HÀNG'!$A$4:$AT$4, 0))) = TRIM(R$6),
  INDEX('6. TIẾN ĐỘ MUA HÀNG'!$A$5:$AT19, 0, XMATCH(""Mã đơn Misa"", '6. TIẾN ĐỘ MUA HÀNG'!$A$4:$AT$4, 0)) &lt;&gt; """")))"),0.0)</f>
        <v>0</v>
      </c>
      <c r="S14" s="769">
        <f t="array" ref="S14">SUMPRODUCT((INDEX('6. TIẾN ĐỘ MUA HÀNG'!$A$5:$AT19, 0, XMATCH("Bộ phận/Cá nhân đặt hàng", '6. TIẾN ĐỘ MUA HÀNG'!$A$4:$AT$4, 0)) = $B14) * (TRIM(INDEX('6. TIẾN ĐỘ MUA HÀNG'!$A$5:$AT19, 0, XMATCH("Tháng", '6. TIẾN ĐỘ MUA HÀNG'!$A$4:$AT$4, 0))) = TRIM(R$6)) * (INDEX('6. TIẾN ĐỘ MUA HÀNG'!$A$5:$AT19, 0, XMATCH("CL NGÀY QUY ĐỊNH  - NGÀY KD YÊU CẦU", '6. TIẾN ĐỘ MUA HÀNG'!$A$4:$AT$4, 0)) &gt; 0))</f>
        <v>0</v>
      </c>
      <c r="T14" s="733">
        <f t="shared" si="19"/>
        <v>0</v>
      </c>
      <c r="U14" s="743">
        <f>IFERROR(__xludf.DUMMYFUNCTION("COUNTA(IFERROR(FILTER(
  INDEX('6. TIẾN ĐỘ MUA HÀNG'!$A$5:$AT19, 0, XMATCH(""Mã đơn Misa"", '6. TIẾN ĐỘ MUA HÀNG'!$A$4:$AT$4, 0)), 
  INDEX('6. TIẾN ĐỘ MUA HÀNG'!$A$5:$AT19, 0, XMATCH(""Bộ phận/Cá nhân đặt hàng"", '6. TIẾN ĐỘ MUA HÀNG'!$A$4:$AT$4, 0)) = $"&amp;"B14, 
  TRIM(INDEX('6. TIẾN ĐỘ MUA HÀNG'!$A$5:$AT19, 0, XMATCH(""Tháng"", '6. TIẾN ĐỘ MUA HÀNG'!$A$4:$AT$4, 0))) = TRIM(U$6),
  INDEX('6. TIẾN ĐỘ MUA HÀNG'!$A$5:$AT19, 0, XMATCH(""Mã đơn Misa"", '6. TIẾN ĐỘ MUA HÀNG'!$A$4:$AT$4, 0)) &lt;&gt; """")))"),0.0)</f>
        <v>0</v>
      </c>
      <c r="V14" s="743">
        <f t="array" ref="V14">SUMPRODUCT((INDEX('6. TIẾN ĐỘ MUA HÀNG'!$A$5:$AT19, 0, XMATCH("Bộ phận/Cá nhân đặt hàng", '6. TIẾN ĐỘ MUA HÀNG'!$A$4:$AT$4, 0)) = $B14) * (TRIM(INDEX('6. TIẾN ĐỘ MUA HÀNG'!$A$5:$AT19, 0, XMATCH("Tháng", '6. TIẾN ĐỘ MUA HÀNG'!$A$4:$AT$4, 0))) = TRIM(U$6)) * (INDEX('6. TIẾN ĐỘ MUA HÀNG'!$A$5:$AT19, 0, XMATCH("CL NGÀY QUY ĐỊNH  - NGÀY KD YÊU CẦU", '6. TIẾN ĐỘ MUA HÀNG'!$A$4:$AT$4, 0)) &gt; 0))</f>
        <v>0</v>
      </c>
      <c r="W14" s="731">
        <f t="shared" si="20"/>
        <v>0</v>
      </c>
      <c r="X14" s="769">
        <f>IFERROR(__xludf.DUMMYFUNCTION("COUNTA(IFERROR(FILTER(
  INDEX('6. TIẾN ĐỘ MUA HÀNG'!$A$5:$AT19, 0, XMATCH(""Mã đơn Misa"", '6. TIẾN ĐỘ MUA HÀNG'!$A$4:$AT$4, 0)), 
  INDEX('6. TIẾN ĐỘ MUA HÀNG'!$A$5:$AT19, 0, XMATCH(""Bộ phận/Cá nhân đặt hàng"", '6. TIẾN ĐỘ MUA HÀNG'!$A$4:$AT$4, 0)) = $"&amp;"B14, 
  TRIM(INDEX('6. TIẾN ĐỘ MUA HÀNG'!$A$5:$AT19, 0, XMATCH(""Tháng"", '6. TIẾN ĐỘ MUA HÀNG'!$A$4:$AT$4, 0))) = TRIM(X$6),
  INDEX('6. TIẾN ĐỘ MUA HÀNG'!$A$5:$AT19, 0, XMATCH(""Mã đơn Misa"", '6. TIẾN ĐỘ MUA HÀNG'!$A$4:$AT$4, 0)) &lt;&gt; """")))"),0.0)</f>
        <v>0</v>
      </c>
      <c r="Y14" s="769">
        <f t="array" ref="Y14">SUMPRODUCT((INDEX('6. TIẾN ĐỘ MUA HÀNG'!$A$5:$AT19, 0, XMATCH("Bộ phận/Cá nhân đặt hàng", '6. TIẾN ĐỘ MUA HÀNG'!$A$4:$AT$4, 0)) = $B14) * (TRIM(INDEX('6. TIẾN ĐỘ MUA HÀNG'!$A$5:$AT19, 0, XMATCH("Tháng", '6. TIẾN ĐỘ MUA HÀNG'!$A$4:$AT$4, 0))) = TRIM(X$6)) * (INDEX('6. TIẾN ĐỘ MUA HÀNG'!$A$5:$AT19, 0, XMATCH("CL NGÀY QUY ĐỊNH  - NGÀY KD YÊU CẦU", '6. TIẾN ĐỘ MUA HÀNG'!$A$4:$AT$4, 0)) &gt; 0))</f>
        <v>0</v>
      </c>
      <c r="Z14" s="733">
        <f t="shared" si="21"/>
        <v>0</v>
      </c>
      <c r="AA14" s="743">
        <f>IFERROR(__xludf.DUMMYFUNCTION("COUNTA(IFERROR(FILTER(
  INDEX('6. TIẾN ĐỘ MUA HÀNG'!$A$5:$AT19, 0, XMATCH(""Mã đơn Misa"", '6. TIẾN ĐỘ MUA HÀNG'!$A$4:$AT$4, 0)), 
  INDEX('6. TIẾN ĐỘ MUA HÀNG'!$A$5:$AT19, 0, XMATCH(""Bộ phận/Cá nhân đặt hàng"", '6. TIẾN ĐỘ MUA HÀNG'!$A$4:$AT$4, 0)) = $"&amp;"B14, 
  TRIM(INDEX('6. TIẾN ĐỘ MUA HÀNG'!$A$5:$AT19, 0, XMATCH(""Tháng"", '6. TIẾN ĐỘ MUA HÀNG'!$A$4:$AT$4, 0))) = TRIM(AA$6),
  INDEX('6. TIẾN ĐỘ MUA HÀNG'!$A$5:$AT19, 0, XMATCH(""Mã đơn Misa"", '6. TIẾN ĐỘ MUA HÀNG'!$A$4:$AT$4, 0)) &lt;&gt; """")))"),0.0)</f>
        <v>0</v>
      </c>
      <c r="AB14" s="743">
        <f t="array" ref="AB14">SUMPRODUCT((INDEX('6. TIẾN ĐỘ MUA HÀNG'!$A$5:$AT19, 0, XMATCH("Bộ phận/Cá nhân đặt hàng", '6. TIẾN ĐỘ MUA HÀNG'!$A$4:$AT$4, 0)) = $B14) * (TRIM(INDEX('6. TIẾN ĐỘ MUA HÀNG'!$A$5:$AT19, 0, XMATCH("Tháng", '6. TIẾN ĐỘ MUA HÀNG'!$A$4:$AT$4, 0))) = TRIM(AA$6)) * (INDEX('6. TIẾN ĐỘ MUA HÀNG'!$A$5:$AT19, 0, XMATCH("CL NGÀY QUY ĐỊNH  - NGÀY KD YÊU CẦU", '6. TIẾN ĐỘ MUA HÀNG'!$A$4:$AT$4, 0)) &gt; 0))</f>
        <v>0</v>
      </c>
      <c r="AC14" s="731">
        <f t="shared" si="22"/>
        <v>0</v>
      </c>
      <c r="AD14" s="769">
        <f>IFERROR(__xludf.DUMMYFUNCTION("COUNTA(IFERROR(FILTER(
  INDEX('6. TIẾN ĐỘ MUA HÀNG'!$A$5:$AT19, 0, XMATCH(""Mã đơn Misa"", '6. TIẾN ĐỘ MUA HÀNG'!$A$4:$AT$4, 0)), 
  INDEX('6. TIẾN ĐỘ MUA HÀNG'!$A$5:$AT19, 0, XMATCH(""Bộ phận/Cá nhân đặt hàng"", '6. TIẾN ĐỘ MUA HÀNG'!$A$4:$AT$4, 0)) = $"&amp;"B14, 
  TRIM(INDEX('6. TIẾN ĐỘ MUA HÀNG'!$A$5:$AT19, 0, XMATCH(""Tháng"", '6. TIẾN ĐỘ MUA HÀNG'!$A$4:$AT$4, 0))) = TRIM(AD$6),
  INDEX('6. TIẾN ĐỘ MUA HÀNG'!$A$5:$AT19, 0, XMATCH(""Mã đơn Misa"", '6. TIẾN ĐỘ MUA HÀNG'!$A$4:$AT$4, 0)) &lt;&gt; """")))"),0.0)</f>
        <v>0</v>
      </c>
      <c r="AE14" s="769">
        <f t="array" ref="AE14">SUMPRODUCT((INDEX('6. TIẾN ĐỘ MUA HÀNG'!$A$5:$AT19, 0, XMATCH("Bộ phận/Cá nhân đặt hàng", '6. TIẾN ĐỘ MUA HÀNG'!$A$4:$AT$4, 0)) = $B14) * (TRIM(INDEX('6. TIẾN ĐỘ MUA HÀNG'!$A$5:$AT19, 0, XMATCH("Tháng", '6. TIẾN ĐỘ MUA HÀNG'!$A$4:$AT$4, 0))) = TRIM(AD$6)) * (INDEX('6. TIẾN ĐỘ MUA HÀNG'!$A$5:$AT19, 0, XMATCH("CL NGÀY QUY ĐỊNH  - NGÀY KD YÊU CẦU", '6. TIẾN ĐỘ MUA HÀNG'!$A$4:$AT$4, 0)) &gt; 0))</f>
        <v>0</v>
      </c>
      <c r="AF14" s="733">
        <f t="shared" si="23"/>
        <v>0</v>
      </c>
      <c r="AG14" s="743">
        <f>IFERROR(__xludf.DUMMYFUNCTION("COUNTA(IFERROR(FILTER(
  INDEX('6. TIẾN ĐỘ MUA HÀNG'!$A$5:$AT19, 0, XMATCH(""Mã đơn Misa"", '6. TIẾN ĐỘ MUA HÀNG'!$A$4:$AT$4, 0)), 
  INDEX('6. TIẾN ĐỘ MUA HÀNG'!$A$5:$AT19, 0, XMATCH(""Bộ phận/Cá nhân đặt hàng"", '6. TIẾN ĐỘ MUA HÀNG'!$A$4:$AT$4, 0)) = $"&amp;"B14, 
  TRIM(INDEX('6. TIẾN ĐỘ MUA HÀNG'!$A$5:$AT19, 0, XMATCH(""Tháng"", '6. TIẾN ĐỘ MUA HÀNG'!$A$4:$AT$4, 0))) = TRIM(AG$6),
  INDEX('6. TIẾN ĐỘ MUA HÀNG'!$A$5:$AT19, 0, XMATCH(""Mã đơn Misa"", '6. TIẾN ĐỘ MUA HÀNG'!$A$4:$AT$4, 0)) &lt;&gt; """")))"),0.0)</f>
        <v>0</v>
      </c>
      <c r="AH14" s="743">
        <f t="array" ref="AH14">SUMPRODUCT((INDEX('6. TIẾN ĐỘ MUA HÀNG'!$A$5:$AT19, 0, XMATCH("Bộ phận/Cá nhân đặt hàng", '6. TIẾN ĐỘ MUA HÀNG'!$A$4:$AT$4, 0)) = $B14) * (TRIM(INDEX('6. TIẾN ĐỘ MUA HÀNG'!$A$5:$AT19, 0, XMATCH("Tháng", '6. TIẾN ĐỘ MUA HÀNG'!$A$4:$AT$4, 0))) = TRIM(AG$6)) * (INDEX('6. TIẾN ĐỘ MUA HÀNG'!$A$5:$AT19, 0, XMATCH("CL NGÀY QUY ĐỊNH  - NGÀY KD YÊU CẦU", '6. TIẾN ĐỘ MUA HÀNG'!$A$4:$AT$4, 0)) &gt; 0))</f>
        <v>0</v>
      </c>
      <c r="AI14" s="731">
        <f t="shared" si="24"/>
        <v>0</v>
      </c>
      <c r="AJ14" s="769">
        <f>IFERROR(__xludf.DUMMYFUNCTION("COUNTA(IFERROR(FILTER(
  INDEX('6. TIẾN ĐỘ MUA HÀNG'!$A$5:$AT19, 0, XMATCH(""Mã đơn Misa"", '6. TIẾN ĐỘ MUA HÀNG'!$A$4:$AT$4, 0)), 
  INDEX('6. TIẾN ĐỘ MUA HÀNG'!$A$5:$AT19, 0, XMATCH(""Bộ phận/Cá nhân đặt hàng"", '6. TIẾN ĐỘ MUA HÀNG'!$A$4:$AT$4, 0)) = $"&amp;"B14, 
  TRIM(INDEX('6. TIẾN ĐỘ MUA HÀNG'!$A$5:$AT19, 0, XMATCH(""Tháng"", '6. TIẾN ĐỘ MUA HÀNG'!$A$4:$AT$4, 0))) = TRIM(AJ$6),
  INDEX('6. TIẾN ĐỘ MUA HÀNG'!$A$5:$AT19, 0, XMATCH(""Mã đơn Misa"", '6. TIẾN ĐỘ MUA HÀNG'!$A$4:$AT$4, 0)) &lt;&gt; """")))"),0.0)</f>
        <v>0</v>
      </c>
      <c r="AK14" s="769">
        <f t="array" ref="AK14">SUMPRODUCT((INDEX('6. TIẾN ĐỘ MUA HÀNG'!$A$5:$AT19, 0, XMATCH("Bộ phận/Cá nhân đặt hàng", '6. TIẾN ĐỘ MUA HÀNG'!$A$4:$AT$4, 0)) = $B14) * (TRIM(INDEX('6. TIẾN ĐỘ MUA HÀNG'!$A$5:$AT19, 0, XMATCH("Tháng", '6. TIẾN ĐỘ MUA HÀNG'!$A$4:$AT$4, 0))) = TRIM(AJ$6)) * (INDEX('6. TIẾN ĐỘ MUA HÀNG'!$A$5:$AT19, 0, XMATCH("CL NGÀY QUY ĐỊNH  - NGÀY KD YÊU CẦU", '6. TIẾN ĐỘ MUA HÀNG'!$A$4:$AT$4, 0)) &gt; 0))</f>
        <v>0</v>
      </c>
      <c r="AL14" s="733">
        <f t="shared" si="25"/>
        <v>0</v>
      </c>
      <c r="AM14" s="726">
        <f t="shared" si="27"/>
        <v>0</v>
      </c>
      <c r="AN14" s="726">
        <f t="shared" si="28"/>
        <v>0</v>
      </c>
      <c r="AO14" s="727">
        <f t="shared" si="26"/>
        <v>0</v>
      </c>
    </row>
    <row r="15">
      <c r="A15" s="612">
        <v>7.0</v>
      </c>
      <c r="B15" s="139" t="str">
        <f>IFERROR(__xludf.DUMMYFUNCTION("""COMPUTED_VALUE"""),"KD IDA")</f>
        <v>KD IDA</v>
      </c>
      <c r="C15" s="743">
        <f>IFERROR(__xludf.DUMMYFUNCTION("COUNTA(IFERROR(FILTER(
  INDEX('6. TIẾN ĐỘ MUA HÀNG'!$A$5:$AT19, 0, XMATCH(""Mã đơn Misa"", '6. TIẾN ĐỘ MUA HÀNG'!$A$4:$AT$4, 0)), 
  INDEX('6. TIẾN ĐỘ MUA HÀNG'!$A$5:$AT19, 0, XMATCH(""Bộ phận/Cá nhân đặt hàng"", '6. TIẾN ĐỘ MUA HÀNG'!$A$4:$AT$4, 0)) = $"&amp;"B15, 
  TRIM(INDEX('6. TIẾN ĐỘ MUA HÀNG'!$A$5:$AT19, 0, XMATCH(""Tháng"", '6. TIẾN ĐỘ MUA HÀNG'!$A$4:$AT$4, 0))) = TRIM(C$6),
  INDEX('6. TIẾN ĐỘ MUA HÀNG'!$A$5:$AT19, 0, XMATCH(""Mã đơn Misa"", '6. TIẾN ĐỘ MUA HÀNG'!$A$4:$AT$4, 0)) &lt;&gt; """")))"),0.0)</f>
        <v>0</v>
      </c>
      <c r="D15" s="743">
        <f t="array" ref="D15">SUMPRODUCT((INDEX('6. TIẾN ĐỘ MUA HÀNG'!$A$5:$AT19, 0, XMATCH("Bộ phận/Cá nhân đặt hàng", '6. TIẾN ĐỘ MUA HÀNG'!$A$4:$AT$4, 0)) = $B15) * (TRIM(INDEX('6. TIẾN ĐỘ MUA HÀNG'!$A$5:$AT19, 0, XMATCH("Tháng", '6. TIẾN ĐỘ MUA HÀNG'!$A$4:$AT$4, 0))) = TRIM(C$6)) * (INDEX('6. TIẾN ĐỘ MUA HÀNG'!$A$5:$AT19, 0, XMATCH("CL NGÀY QUY ĐỊNH  - NGÀY KD YÊU CẦU", '6. TIẾN ĐỘ MUA HÀNG'!$A$4:$AT$4, 0)) &gt; 0))</f>
        <v>0</v>
      </c>
      <c r="E15" s="731">
        <f t="shared" si="14"/>
        <v>0</v>
      </c>
      <c r="F15" s="769">
        <f>IFERROR(__xludf.DUMMYFUNCTION("COUNTA(IFERROR(FILTER(
  INDEX('6. TIẾN ĐỘ MUA HÀNG'!$A$5:$AT19, 0, XMATCH(""Mã đơn Misa"", '6. TIẾN ĐỘ MUA HÀNG'!$A$4:$AT$4, 0)), 
  INDEX('6. TIẾN ĐỘ MUA HÀNG'!$A$5:$AT19, 0, XMATCH(""Bộ phận/Cá nhân đặt hàng"", '6. TIẾN ĐỘ MUA HÀNG'!$A$4:$AT$4, 0)) = $"&amp;"B15, 
  TRIM(INDEX('6. TIẾN ĐỘ MUA HÀNG'!$A$5:$AT19, 0, XMATCH(""Tháng"", '6. TIẾN ĐỘ MUA HÀNG'!$A$4:$AT$4, 0))) = TRIM(F$6),
  INDEX('6. TIẾN ĐỘ MUA HÀNG'!$A$5:$AT19, 0, XMATCH(""Mã đơn Misa"", '6. TIẾN ĐỘ MUA HÀNG'!$A$4:$AT$4, 0)) &lt;&gt; """")))"),0.0)</f>
        <v>0</v>
      </c>
      <c r="G15" s="769">
        <f t="array" ref="G15">SUMPRODUCT((INDEX('6. TIẾN ĐỘ MUA HÀNG'!$A$5:$AT19, 0, XMATCH("Bộ phận/Cá nhân đặt hàng", '6. TIẾN ĐỘ MUA HÀNG'!$A$4:$AT$4, 0)) = $B15) * (TRIM(INDEX('6. TIẾN ĐỘ MUA HÀNG'!$A$5:$AT19, 0, XMATCH("Tháng", '6. TIẾN ĐỘ MUA HÀNG'!$A$4:$AT$4, 0))) = TRIM(F$6)) * (INDEX('6. TIẾN ĐỘ MUA HÀNG'!$A$5:$AT19, 0, XMATCH("CL NGÀY QUY ĐỊNH  - NGÀY KD YÊU CẦU", '6. TIẾN ĐỘ MUA HÀNG'!$A$4:$AT$4, 0)) &gt; 0))</f>
        <v>0</v>
      </c>
      <c r="H15" s="733">
        <f t="shared" si="15"/>
        <v>0</v>
      </c>
      <c r="I15" s="743">
        <f>IFERROR(__xludf.DUMMYFUNCTION("COUNTA(IFERROR(FILTER(
  INDEX('6. TIẾN ĐỘ MUA HÀNG'!$A$5:$AT19, 0, XMATCH(""Mã đơn Misa"", '6. TIẾN ĐỘ MUA HÀNG'!$A$4:$AT$4, 0)), 
  INDEX('6. TIẾN ĐỘ MUA HÀNG'!$A$5:$AT19, 0, XMATCH(""Bộ phận/Cá nhân đặt hàng"", '6. TIẾN ĐỘ MUA HÀNG'!$A$4:$AT$4, 0)) = $"&amp;"B15, 
  TRIM(INDEX('6. TIẾN ĐỘ MUA HÀNG'!$A$5:$AT19, 0, XMATCH(""Tháng"", '6. TIẾN ĐỘ MUA HÀNG'!$A$4:$AT$4, 0))) = TRIM(I$6),
  INDEX('6. TIẾN ĐỘ MUA HÀNG'!$A$5:$AT19, 0, XMATCH(""Mã đơn Misa"", '6. TIẾN ĐỘ MUA HÀNG'!$A$4:$AT$4, 0)) &lt;&gt; """")))"),0.0)</f>
        <v>0</v>
      </c>
      <c r="J15" s="743">
        <f t="array" ref="J15">SUMPRODUCT((INDEX('6. TIẾN ĐỘ MUA HÀNG'!$A$5:$AT19, 0, XMATCH("Bộ phận/Cá nhân đặt hàng", '6. TIẾN ĐỘ MUA HÀNG'!$A$4:$AT$4, 0)) = $B15) * (TRIM(INDEX('6. TIẾN ĐỘ MUA HÀNG'!$A$5:$AT19, 0, XMATCH("Tháng", '6. TIẾN ĐỘ MUA HÀNG'!$A$4:$AT$4, 0))) = TRIM(I$6)) * (INDEX('6. TIẾN ĐỘ MUA HÀNG'!$A$5:$AT19, 0, XMATCH("CL NGÀY QUY ĐỊNH  - NGÀY KD YÊU CẦU", '6. TIẾN ĐỘ MUA HÀNG'!$A$4:$AT$4, 0)) &gt; 0))</f>
        <v>0</v>
      </c>
      <c r="K15" s="731">
        <f t="shared" si="16"/>
        <v>0</v>
      </c>
      <c r="L15" s="769">
        <f>IFERROR(__xludf.DUMMYFUNCTION("COUNTA(IFERROR(FILTER(
  INDEX('6. TIẾN ĐỘ MUA HÀNG'!$A$5:$AT19, 0, XMATCH(""Mã đơn Misa"", '6. TIẾN ĐỘ MUA HÀNG'!$A$4:$AT$4, 0)), 
  INDEX('6. TIẾN ĐỘ MUA HÀNG'!$A$5:$AT19, 0, XMATCH(""Bộ phận/Cá nhân đặt hàng"", '6. TIẾN ĐỘ MUA HÀNG'!$A$4:$AT$4, 0)) = $"&amp;"B15, 
  TRIM(INDEX('6. TIẾN ĐỘ MUA HÀNG'!$A$5:$AT19, 0, XMATCH(""Tháng"", '6. TIẾN ĐỘ MUA HÀNG'!$A$4:$AT$4, 0))) = TRIM(L$6),
  INDEX('6. TIẾN ĐỘ MUA HÀNG'!$A$5:$AT19, 0, XMATCH(""Mã đơn Misa"", '6. TIẾN ĐỘ MUA HÀNG'!$A$4:$AT$4, 0)) &lt;&gt; """")))"),0.0)</f>
        <v>0</v>
      </c>
      <c r="M15" s="769">
        <f t="array" ref="M15">SUMPRODUCT((INDEX('6. TIẾN ĐỘ MUA HÀNG'!$A$5:$AT19, 0, XMATCH("Bộ phận/Cá nhân đặt hàng", '6. TIẾN ĐỘ MUA HÀNG'!$A$4:$AT$4, 0)) = $B15) * (TRIM(INDEX('6. TIẾN ĐỘ MUA HÀNG'!$A$5:$AT19, 0, XMATCH("Tháng", '6. TIẾN ĐỘ MUA HÀNG'!$A$4:$AT$4, 0))) = TRIM(L$6)) * (INDEX('6. TIẾN ĐỘ MUA HÀNG'!$A$5:$AT19, 0, XMATCH("CL NGÀY QUY ĐỊNH  - NGÀY KD YÊU CẦU", '6. TIẾN ĐỘ MUA HÀNG'!$A$4:$AT$4, 0)) &gt; 0))</f>
        <v>0</v>
      </c>
      <c r="N15" s="733">
        <f t="shared" si="17"/>
        <v>0</v>
      </c>
      <c r="O15" s="743">
        <f>IFERROR(__xludf.DUMMYFUNCTION("COUNTA(IFERROR(FILTER(
  INDEX('6. TIẾN ĐỘ MUA HÀNG'!$A$5:$AT19, 0, XMATCH(""Mã đơn Misa"", '6. TIẾN ĐỘ MUA HÀNG'!$A$4:$AT$4, 0)), 
  INDEX('6. TIẾN ĐỘ MUA HÀNG'!$A$5:$AT19, 0, XMATCH(""Bộ phận/Cá nhân đặt hàng"", '6. TIẾN ĐỘ MUA HÀNG'!$A$4:$AT$4, 0)) = $"&amp;"B15, 
  TRIM(INDEX('6. TIẾN ĐỘ MUA HÀNG'!$A$5:$AT19, 0, XMATCH(""Tháng"", '6. TIẾN ĐỘ MUA HÀNG'!$A$4:$AT$4, 0))) = TRIM(O$6),
  INDEX('6. TIẾN ĐỘ MUA HÀNG'!$A$5:$AT19, 0, XMATCH(""Mã đơn Misa"", '6. TIẾN ĐỘ MUA HÀNG'!$A$4:$AT$4, 0)) &lt;&gt; """")))"),0.0)</f>
        <v>0</v>
      </c>
      <c r="P15" s="743">
        <f t="array" ref="P15">SUMPRODUCT((INDEX('6. TIẾN ĐỘ MUA HÀNG'!$A$5:$AT19, 0, XMATCH("Bộ phận/Cá nhân đặt hàng", '6. TIẾN ĐỘ MUA HÀNG'!$A$4:$AT$4, 0)) = $B15) * (TRIM(INDEX('6. TIẾN ĐỘ MUA HÀNG'!$A$5:$AT19, 0, XMATCH("Tháng", '6. TIẾN ĐỘ MUA HÀNG'!$A$4:$AT$4, 0))) = TRIM(O$6)) * (INDEX('6. TIẾN ĐỘ MUA HÀNG'!$A$5:$AT19, 0, XMATCH("CL NGÀY QUY ĐỊNH  - NGÀY KD YÊU CẦU", '6. TIẾN ĐỘ MUA HÀNG'!$A$4:$AT$4, 0)) &gt; 0))</f>
        <v>0</v>
      </c>
      <c r="Q15" s="731">
        <f t="shared" si="18"/>
        <v>0</v>
      </c>
      <c r="R15" s="769">
        <f>IFERROR(__xludf.DUMMYFUNCTION("COUNTA(IFERROR(FILTER(
  INDEX('6. TIẾN ĐỘ MUA HÀNG'!$A$5:$AT19, 0, XMATCH(""Mã đơn Misa"", '6. TIẾN ĐỘ MUA HÀNG'!$A$4:$AT$4, 0)), 
  INDEX('6. TIẾN ĐỘ MUA HÀNG'!$A$5:$AT19, 0, XMATCH(""Bộ phận/Cá nhân đặt hàng"", '6. TIẾN ĐỘ MUA HÀNG'!$A$4:$AT$4, 0)) = $"&amp;"B15, 
  TRIM(INDEX('6. TIẾN ĐỘ MUA HÀNG'!$A$5:$AT19, 0, XMATCH(""Tháng"", '6. TIẾN ĐỘ MUA HÀNG'!$A$4:$AT$4, 0))) = TRIM(R$6),
  INDEX('6. TIẾN ĐỘ MUA HÀNG'!$A$5:$AT19, 0, XMATCH(""Mã đơn Misa"", '6. TIẾN ĐỘ MUA HÀNG'!$A$4:$AT$4, 0)) &lt;&gt; """")))"),0.0)</f>
        <v>0</v>
      </c>
      <c r="S15" s="769">
        <f t="array" ref="S15">SUMPRODUCT((INDEX('6. TIẾN ĐỘ MUA HÀNG'!$A$5:$AT19, 0, XMATCH("Bộ phận/Cá nhân đặt hàng", '6. TIẾN ĐỘ MUA HÀNG'!$A$4:$AT$4, 0)) = $B15) * (TRIM(INDEX('6. TIẾN ĐỘ MUA HÀNG'!$A$5:$AT19, 0, XMATCH("Tháng", '6. TIẾN ĐỘ MUA HÀNG'!$A$4:$AT$4, 0))) = TRIM(R$6)) * (INDEX('6. TIẾN ĐỘ MUA HÀNG'!$A$5:$AT19, 0, XMATCH("CL NGÀY QUY ĐỊNH  - NGÀY KD YÊU CẦU", '6. TIẾN ĐỘ MUA HÀNG'!$A$4:$AT$4, 0)) &gt; 0))</f>
        <v>0</v>
      </c>
      <c r="T15" s="733">
        <f t="shared" si="19"/>
        <v>0</v>
      </c>
      <c r="U15" s="743">
        <f>IFERROR(__xludf.DUMMYFUNCTION("COUNTA(IFERROR(FILTER(
  INDEX('6. TIẾN ĐỘ MUA HÀNG'!$A$5:$AT19, 0, XMATCH(""Mã đơn Misa"", '6. TIẾN ĐỘ MUA HÀNG'!$A$4:$AT$4, 0)), 
  INDEX('6. TIẾN ĐỘ MUA HÀNG'!$A$5:$AT19, 0, XMATCH(""Bộ phận/Cá nhân đặt hàng"", '6. TIẾN ĐỘ MUA HÀNG'!$A$4:$AT$4, 0)) = $"&amp;"B15, 
  TRIM(INDEX('6. TIẾN ĐỘ MUA HÀNG'!$A$5:$AT19, 0, XMATCH(""Tháng"", '6. TIẾN ĐỘ MUA HÀNG'!$A$4:$AT$4, 0))) = TRIM(U$6),
  INDEX('6. TIẾN ĐỘ MUA HÀNG'!$A$5:$AT19, 0, XMATCH(""Mã đơn Misa"", '6. TIẾN ĐỘ MUA HÀNG'!$A$4:$AT$4, 0)) &lt;&gt; """")))"),0.0)</f>
        <v>0</v>
      </c>
      <c r="V15" s="743">
        <f t="array" ref="V15">SUMPRODUCT((INDEX('6. TIẾN ĐỘ MUA HÀNG'!$A$5:$AT19, 0, XMATCH("Bộ phận/Cá nhân đặt hàng", '6. TIẾN ĐỘ MUA HÀNG'!$A$4:$AT$4, 0)) = $B15) * (TRIM(INDEX('6. TIẾN ĐỘ MUA HÀNG'!$A$5:$AT19, 0, XMATCH("Tháng", '6. TIẾN ĐỘ MUA HÀNG'!$A$4:$AT$4, 0))) = TRIM(U$6)) * (INDEX('6. TIẾN ĐỘ MUA HÀNG'!$A$5:$AT19, 0, XMATCH("CL NGÀY QUY ĐỊNH  - NGÀY KD YÊU CẦU", '6. TIẾN ĐỘ MUA HÀNG'!$A$4:$AT$4, 0)) &gt; 0))</f>
        <v>0</v>
      </c>
      <c r="W15" s="731">
        <f t="shared" si="20"/>
        <v>0</v>
      </c>
      <c r="X15" s="769">
        <f>IFERROR(__xludf.DUMMYFUNCTION("COUNTA(IFERROR(FILTER(
  INDEX('6. TIẾN ĐỘ MUA HÀNG'!$A$5:$AT19, 0, XMATCH(""Mã đơn Misa"", '6. TIẾN ĐỘ MUA HÀNG'!$A$4:$AT$4, 0)), 
  INDEX('6. TIẾN ĐỘ MUA HÀNG'!$A$5:$AT19, 0, XMATCH(""Bộ phận/Cá nhân đặt hàng"", '6. TIẾN ĐỘ MUA HÀNG'!$A$4:$AT$4, 0)) = $"&amp;"B15, 
  TRIM(INDEX('6. TIẾN ĐỘ MUA HÀNG'!$A$5:$AT19, 0, XMATCH(""Tháng"", '6. TIẾN ĐỘ MUA HÀNG'!$A$4:$AT$4, 0))) = TRIM(X$6),
  INDEX('6. TIẾN ĐỘ MUA HÀNG'!$A$5:$AT19, 0, XMATCH(""Mã đơn Misa"", '6. TIẾN ĐỘ MUA HÀNG'!$A$4:$AT$4, 0)) &lt;&gt; """")))"),0.0)</f>
        <v>0</v>
      </c>
      <c r="Y15" s="769">
        <f t="array" ref="Y15">SUMPRODUCT((INDEX('6. TIẾN ĐỘ MUA HÀNG'!$A$5:$AT19, 0, XMATCH("Bộ phận/Cá nhân đặt hàng", '6. TIẾN ĐỘ MUA HÀNG'!$A$4:$AT$4, 0)) = $B15) * (TRIM(INDEX('6. TIẾN ĐỘ MUA HÀNG'!$A$5:$AT19, 0, XMATCH("Tháng", '6. TIẾN ĐỘ MUA HÀNG'!$A$4:$AT$4, 0))) = TRIM(X$6)) * (INDEX('6. TIẾN ĐỘ MUA HÀNG'!$A$5:$AT19, 0, XMATCH("CL NGÀY QUY ĐỊNH  - NGÀY KD YÊU CẦU", '6. TIẾN ĐỘ MUA HÀNG'!$A$4:$AT$4, 0)) &gt; 0))</f>
        <v>0</v>
      </c>
      <c r="Z15" s="733">
        <f t="shared" si="21"/>
        <v>0</v>
      </c>
      <c r="AA15" s="743">
        <f>IFERROR(__xludf.DUMMYFUNCTION("COUNTA(IFERROR(FILTER(
  INDEX('6. TIẾN ĐỘ MUA HÀNG'!$A$5:$AT19, 0, XMATCH(""Mã đơn Misa"", '6. TIẾN ĐỘ MUA HÀNG'!$A$4:$AT$4, 0)), 
  INDEX('6. TIẾN ĐỘ MUA HÀNG'!$A$5:$AT19, 0, XMATCH(""Bộ phận/Cá nhân đặt hàng"", '6. TIẾN ĐỘ MUA HÀNG'!$A$4:$AT$4, 0)) = $"&amp;"B15, 
  TRIM(INDEX('6. TIẾN ĐỘ MUA HÀNG'!$A$5:$AT19, 0, XMATCH(""Tháng"", '6. TIẾN ĐỘ MUA HÀNG'!$A$4:$AT$4, 0))) = TRIM(AA$6),
  INDEX('6. TIẾN ĐỘ MUA HÀNG'!$A$5:$AT19, 0, XMATCH(""Mã đơn Misa"", '6. TIẾN ĐỘ MUA HÀNG'!$A$4:$AT$4, 0)) &lt;&gt; """")))"),0.0)</f>
        <v>0</v>
      </c>
      <c r="AB15" s="743">
        <f t="array" ref="AB15">SUMPRODUCT((INDEX('6. TIẾN ĐỘ MUA HÀNG'!$A$5:$AT19, 0, XMATCH("Bộ phận/Cá nhân đặt hàng", '6. TIẾN ĐỘ MUA HÀNG'!$A$4:$AT$4, 0)) = $B15) * (TRIM(INDEX('6. TIẾN ĐỘ MUA HÀNG'!$A$5:$AT19, 0, XMATCH("Tháng", '6. TIẾN ĐỘ MUA HÀNG'!$A$4:$AT$4, 0))) = TRIM(AA$6)) * (INDEX('6. TIẾN ĐỘ MUA HÀNG'!$A$5:$AT19, 0, XMATCH("CL NGÀY QUY ĐỊNH  - NGÀY KD YÊU CẦU", '6. TIẾN ĐỘ MUA HÀNG'!$A$4:$AT$4, 0)) &gt; 0))</f>
        <v>0</v>
      </c>
      <c r="AC15" s="731">
        <f t="shared" si="22"/>
        <v>0</v>
      </c>
      <c r="AD15" s="769">
        <f>IFERROR(__xludf.DUMMYFUNCTION("COUNTA(IFERROR(FILTER(
  INDEX('6. TIẾN ĐỘ MUA HÀNG'!$A$5:$AT19, 0, XMATCH(""Mã đơn Misa"", '6. TIẾN ĐỘ MUA HÀNG'!$A$4:$AT$4, 0)), 
  INDEX('6. TIẾN ĐỘ MUA HÀNG'!$A$5:$AT19, 0, XMATCH(""Bộ phận/Cá nhân đặt hàng"", '6. TIẾN ĐỘ MUA HÀNG'!$A$4:$AT$4, 0)) = $"&amp;"B15, 
  TRIM(INDEX('6. TIẾN ĐỘ MUA HÀNG'!$A$5:$AT19, 0, XMATCH(""Tháng"", '6. TIẾN ĐỘ MUA HÀNG'!$A$4:$AT$4, 0))) = TRIM(AD$6),
  INDEX('6. TIẾN ĐỘ MUA HÀNG'!$A$5:$AT19, 0, XMATCH(""Mã đơn Misa"", '6. TIẾN ĐỘ MUA HÀNG'!$A$4:$AT$4, 0)) &lt;&gt; """")))"),0.0)</f>
        <v>0</v>
      </c>
      <c r="AE15" s="769">
        <f t="array" ref="AE15">SUMPRODUCT((INDEX('6. TIẾN ĐỘ MUA HÀNG'!$A$5:$AT19, 0, XMATCH("Bộ phận/Cá nhân đặt hàng", '6. TIẾN ĐỘ MUA HÀNG'!$A$4:$AT$4, 0)) = $B15) * (TRIM(INDEX('6. TIẾN ĐỘ MUA HÀNG'!$A$5:$AT19, 0, XMATCH("Tháng", '6. TIẾN ĐỘ MUA HÀNG'!$A$4:$AT$4, 0))) = TRIM(AD$6)) * (INDEX('6. TIẾN ĐỘ MUA HÀNG'!$A$5:$AT19, 0, XMATCH("CL NGÀY QUY ĐỊNH  - NGÀY KD YÊU CẦU", '6. TIẾN ĐỘ MUA HÀNG'!$A$4:$AT$4, 0)) &gt; 0))</f>
        <v>0</v>
      </c>
      <c r="AF15" s="733">
        <f t="shared" si="23"/>
        <v>0</v>
      </c>
      <c r="AG15" s="743">
        <f>IFERROR(__xludf.DUMMYFUNCTION("COUNTA(IFERROR(FILTER(
  INDEX('6. TIẾN ĐỘ MUA HÀNG'!$A$5:$AT19, 0, XMATCH(""Mã đơn Misa"", '6. TIẾN ĐỘ MUA HÀNG'!$A$4:$AT$4, 0)), 
  INDEX('6. TIẾN ĐỘ MUA HÀNG'!$A$5:$AT19, 0, XMATCH(""Bộ phận/Cá nhân đặt hàng"", '6. TIẾN ĐỘ MUA HÀNG'!$A$4:$AT$4, 0)) = $"&amp;"B15, 
  TRIM(INDEX('6. TIẾN ĐỘ MUA HÀNG'!$A$5:$AT19, 0, XMATCH(""Tháng"", '6. TIẾN ĐỘ MUA HÀNG'!$A$4:$AT$4, 0))) = TRIM(AG$6),
  INDEX('6. TIẾN ĐỘ MUA HÀNG'!$A$5:$AT19, 0, XMATCH(""Mã đơn Misa"", '6. TIẾN ĐỘ MUA HÀNG'!$A$4:$AT$4, 0)) &lt;&gt; """")))"),0.0)</f>
        <v>0</v>
      </c>
      <c r="AH15" s="743">
        <f t="array" ref="AH15">SUMPRODUCT((INDEX('6. TIẾN ĐỘ MUA HÀNG'!$A$5:$AT19, 0, XMATCH("Bộ phận/Cá nhân đặt hàng", '6. TIẾN ĐỘ MUA HÀNG'!$A$4:$AT$4, 0)) = $B15) * (TRIM(INDEX('6. TIẾN ĐỘ MUA HÀNG'!$A$5:$AT19, 0, XMATCH("Tháng", '6. TIẾN ĐỘ MUA HÀNG'!$A$4:$AT$4, 0))) = TRIM(AG$6)) * (INDEX('6. TIẾN ĐỘ MUA HÀNG'!$A$5:$AT19, 0, XMATCH("CL NGÀY QUY ĐỊNH  - NGÀY KD YÊU CẦU", '6. TIẾN ĐỘ MUA HÀNG'!$A$4:$AT$4, 0)) &gt; 0))</f>
        <v>0</v>
      </c>
      <c r="AI15" s="731">
        <f t="shared" si="24"/>
        <v>0</v>
      </c>
      <c r="AJ15" s="769">
        <f>IFERROR(__xludf.DUMMYFUNCTION("COUNTA(IFERROR(FILTER(
  INDEX('6. TIẾN ĐỘ MUA HÀNG'!$A$5:$AT19, 0, XMATCH(""Mã đơn Misa"", '6. TIẾN ĐỘ MUA HÀNG'!$A$4:$AT$4, 0)), 
  INDEX('6. TIẾN ĐỘ MUA HÀNG'!$A$5:$AT19, 0, XMATCH(""Bộ phận/Cá nhân đặt hàng"", '6. TIẾN ĐỘ MUA HÀNG'!$A$4:$AT$4, 0)) = $"&amp;"B15, 
  TRIM(INDEX('6. TIẾN ĐỘ MUA HÀNG'!$A$5:$AT19, 0, XMATCH(""Tháng"", '6. TIẾN ĐỘ MUA HÀNG'!$A$4:$AT$4, 0))) = TRIM(AJ$6),
  INDEX('6. TIẾN ĐỘ MUA HÀNG'!$A$5:$AT19, 0, XMATCH(""Mã đơn Misa"", '6. TIẾN ĐỘ MUA HÀNG'!$A$4:$AT$4, 0)) &lt;&gt; """")))"),0.0)</f>
        <v>0</v>
      </c>
      <c r="AK15" s="769">
        <f t="array" ref="AK15">SUMPRODUCT((INDEX('6. TIẾN ĐỘ MUA HÀNG'!$A$5:$AT19, 0, XMATCH("Bộ phận/Cá nhân đặt hàng", '6. TIẾN ĐỘ MUA HÀNG'!$A$4:$AT$4, 0)) = $B15) * (TRIM(INDEX('6. TIẾN ĐỘ MUA HÀNG'!$A$5:$AT19, 0, XMATCH("Tháng", '6. TIẾN ĐỘ MUA HÀNG'!$A$4:$AT$4, 0))) = TRIM(AJ$6)) * (INDEX('6. TIẾN ĐỘ MUA HÀNG'!$A$5:$AT19, 0, XMATCH("CL NGÀY QUY ĐỊNH  - NGÀY KD YÊU CẦU", '6. TIẾN ĐỘ MUA HÀNG'!$A$4:$AT$4, 0)) &gt; 0))</f>
        <v>0</v>
      </c>
      <c r="AL15" s="733">
        <f t="shared" si="25"/>
        <v>0</v>
      </c>
      <c r="AM15" s="726">
        <f t="shared" si="27"/>
        <v>0</v>
      </c>
      <c r="AN15" s="726">
        <f t="shared" si="28"/>
        <v>0</v>
      </c>
      <c r="AO15" s="727">
        <f t="shared" si="26"/>
        <v>0</v>
      </c>
    </row>
    <row r="16">
      <c r="A16" s="612">
        <v>8.0</v>
      </c>
      <c r="B16" s="139" t="str">
        <f>IFERROR(__xludf.DUMMYFUNCTION("""COMPUTED_VALUE"""),"SX - Ms Hương")</f>
        <v>SX - Ms Hương</v>
      </c>
      <c r="C16" s="743">
        <f>IFERROR(__xludf.DUMMYFUNCTION("COUNTA(IFERROR(FILTER(
  INDEX('6. TIẾN ĐỘ MUA HÀNG'!$A$5:$AT19, 0, XMATCH(""Mã đơn Misa"", '6. TIẾN ĐỘ MUA HÀNG'!$A$4:$AT$4, 0)), 
  INDEX('6. TIẾN ĐỘ MUA HÀNG'!$A$5:$AT19, 0, XMATCH(""Bộ phận/Cá nhân đặt hàng"", '6. TIẾN ĐỘ MUA HÀNG'!$A$4:$AT$4, 0)) = $"&amp;"B16, 
  TRIM(INDEX('6. TIẾN ĐỘ MUA HÀNG'!$A$5:$AT19, 0, XMATCH(""Tháng"", '6. TIẾN ĐỘ MUA HÀNG'!$A$4:$AT$4, 0))) = TRIM(C$6),
  INDEX('6. TIẾN ĐỘ MUA HÀNG'!$A$5:$AT19, 0, XMATCH(""Mã đơn Misa"", '6. TIẾN ĐỘ MUA HÀNG'!$A$4:$AT$4, 0)) &lt;&gt; """")))"),0.0)</f>
        <v>0</v>
      </c>
      <c r="D16" s="743">
        <f t="array" ref="D16">SUMPRODUCT((INDEX('6. TIẾN ĐỘ MUA HÀNG'!$A$5:$AT19, 0, XMATCH("Bộ phận/Cá nhân đặt hàng", '6. TIẾN ĐỘ MUA HÀNG'!$A$4:$AT$4, 0)) = $B16) * (TRIM(INDEX('6. TIẾN ĐỘ MUA HÀNG'!$A$5:$AT19, 0, XMATCH("Tháng", '6. TIẾN ĐỘ MUA HÀNG'!$A$4:$AT$4, 0))) = TRIM(C$6)) * (INDEX('6. TIẾN ĐỘ MUA HÀNG'!$A$5:$AT19, 0, XMATCH("CL NGÀY QUY ĐỊNH  - NGÀY KD YÊU CẦU", '6. TIẾN ĐỘ MUA HÀNG'!$A$4:$AT$4, 0)) &gt; 0))</f>
        <v>0</v>
      </c>
      <c r="E16" s="731">
        <f t="shared" si="14"/>
        <v>0</v>
      </c>
      <c r="F16" s="769">
        <f>IFERROR(__xludf.DUMMYFUNCTION("COUNTA(IFERROR(FILTER(
  INDEX('6. TIẾN ĐỘ MUA HÀNG'!$A$5:$AT19, 0, XMATCH(""Mã đơn Misa"", '6. TIẾN ĐỘ MUA HÀNG'!$A$4:$AT$4, 0)), 
  INDEX('6. TIẾN ĐỘ MUA HÀNG'!$A$5:$AT19, 0, XMATCH(""Bộ phận/Cá nhân đặt hàng"", '6. TIẾN ĐỘ MUA HÀNG'!$A$4:$AT$4, 0)) = $"&amp;"B16, 
  TRIM(INDEX('6. TIẾN ĐỘ MUA HÀNG'!$A$5:$AT19, 0, XMATCH(""Tháng"", '6. TIẾN ĐỘ MUA HÀNG'!$A$4:$AT$4, 0))) = TRIM(F$6),
  INDEX('6. TIẾN ĐỘ MUA HÀNG'!$A$5:$AT19, 0, XMATCH(""Mã đơn Misa"", '6. TIẾN ĐỘ MUA HÀNG'!$A$4:$AT$4, 0)) &lt;&gt; """")))"),0.0)</f>
        <v>0</v>
      </c>
      <c r="G16" s="769">
        <f t="array" ref="G16">SUMPRODUCT((INDEX('6. TIẾN ĐỘ MUA HÀNG'!$A$5:$AT19, 0, XMATCH("Bộ phận/Cá nhân đặt hàng", '6. TIẾN ĐỘ MUA HÀNG'!$A$4:$AT$4, 0)) = $B16) * (TRIM(INDEX('6. TIẾN ĐỘ MUA HÀNG'!$A$5:$AT19, 0, XMATCH("Tháng", '6. TIẾN ĐỘ MUA HÀNG'!$A$4:$AT$4, 0))) = TRIM(F$6)) * (INDEX('6. TIẾN ĐỘ MUA HÀNG'!$A$5:$AT19, 0, XMATCH("CL NGÀY QUY ĐỊNH  - NGÀY KD YÊU CẦU", '6. TIẾN ĐỘ MUA HÀNG'!$A$4:$AT$4, 0)) &gt; 0))</f>
        <v>0</v>
      </c>
      <c r="H16" s="733">
        <f t="shared" si="15"/>
        <v>0</v>
      </c>
      <c r="I16" s="743">
        <f>IFERROR(__xludf.DUMMYFUNCTION("COUNTA(IFERROR(FILTER(
  INDEX('6. TIẾN ĐỘ MUA HÀNG'!$A$5:$AT19, 0, XMATCH(""Mã đơn Misa"", '6. TIẾN ĐỘ MUA HÀNG'!$A$4:$AT$4, 0)), 
  INDEX('6. TIẾN ĐỘ MUA HÀNG'!$A$5:$AT19, 0, XMATCH(""Bộ phận/Cá nhân đặt hàng"", '6. TIẾN ĐỘ MUA HÀNG'!$A$4:$AT$4, 0)) = $"&amp;"B16, 
  TRIM(INDEX('6. TIẾN ĐỘ MUA HÀNG'!$A$5:$AT19, 0, XMATCH(""Tháng"", '6. TIẾN ĐỘ MUA HÀNG'!$A$4:$AT$4, 0))) = TRIM(I$6),
  INDEX('6. TIẾN ĐỘ MUA HÀNG'!$A$5:$AT19, 0, XMATCH(""Mã đơn Misa"", '6. TIẾN ĐỘ MUA HÀNG'!$A$4:$AT$4, 0)) &lt;&gt; """")))"),0.0)</f>
        <v>0</v>
      </c>
      <c r="J16" s="743">
        <f t="array" ref="J16">SUMPRODUCT((INDEX('6. TIẾN ĐỘ MUA HÀNG'!$A$5:$AT19, 0, XMATCH("Bộ phận/Cá nhân đặt hàng", '6. TIẾN ĐỘ MUA HÀNG'!$A$4:$AT$4, 0)) = $B16) * (TRIM(INDEX('6. TIẾN ĐỘ MUA HÀNG'!$A$5:$AT19, 0, XMATCH("Tháng", '6. TIẾN ĐỘ MUA HÀNG'!$A$4:$AT$4, 0))) = TRIM(I$6)) * (INDEX('6. TIẾN ĐỘ MUA HÀNG'!$A$5:$AT19, 0, XMATCH("CL NGÀY QUY ĐỊNH  - NGÀY KD YÊU CẦU", '6. TIẾN ĐỘ MUA HÀNG'!$A$4:$AT$4, 0)) &gt; 0))</f>
        <v>0</v>
      </c>
      <c r="K16" s="731">
        <f t="shared" si="16"/>
        <v>0</v>
      </c>
      <c r="L16" s="769">
        <f>IFERROR(__xludf.DUMMYFUNCTION("COUNTA(IFERROR(FILTER(
  INDEX('6. TIẾN ĐỘ MUA HÀNG'!$A$5:$AT19, 0, XMATCH(""Mã đơn Misa"", '6. TIẾN ĐỘ MUA HÀNG'!$A$4:$AT$4, 0)), 
  INDEX('6. TIẾN ĐỘ MUA HÀNG'!$A$5:$AT19, 0, XMATCH(""Bộ phận/Cá nhân đặt hàng"", '6. TIẾN ĐỘ MUA HÀNG'!$A$4:$AT$4, 0)) = $"&amp;"B16, 
  TRIM(INDEX('6. TIẾN ĐỘ MUA HÀNG'!$A$5:$AT19, 0, XMATCH(""Tháng"", '6. TIẾN ĐỘ MUA HÀNG'!$A$4:$AT$4, 0))) = TRIM(L$6),
  INDEX('6. TIẾN ĐỘ MUA HÀNG'!$A$5:$AT19, 0, XMATCH(""Mã đơn Misa"", '6. TIẾN ĐỘ MUA HÀNG'!$A$4:$AT$4, 0)) &lt;&gt; """")))"),0.0)</f>
        <v>0</v>
      </c>
      <c r="M16" s="769">
        <f t="array" ref="M16">SUMPRODUCT((INDEX('6. TIẾN ĐỘ MUA HÀNG'!$A$5:$AT19, 0, XMATCH("Bộ phận/Cá nhân đặt hàng", '6. TIẾN ĐỘ MUA HÀNG'!$A$4:$AT$4, 0)) = $B16) * (TRIM(INDEX('6. TIẾN ĐỘ MUA HÀNG'!$A$5:$AT19, 0, XMATCH("Tháng", '6. TIẾN ĐỘ MUA HÀNG'!$A$4:$AT$4, 0))) = TRIM(L$6)) * (INDEX('6. TIẾN ĐỘ MUA HÀNG'!$A$5:$AT19, 0, XMATCH("CL NGÀY QUY ĐỊNH  - NGÀY KD YÊU CẦU", '6. TIẾN ĐỘ MUA HÀNG'!$A$4:$AT$4, 0)) &gt; 0))</f>
        <v>0</v>
      </c>
      <c r="N16" s="733">
        <f t="shared" si="17"/>
        <v>0</v>
      </c>
      <c r="O16" s="743">
        <f>IFERROR(__xludf.DUMMYFUNCTION("COUNTA(IFERROR(FILTER(
  INDEX('6. TIẾN ĐỘ MUA HÀNG'!$A$5:$AT19, 0, XMATCH(""Mã đơn Misa"", '6. TIẾN ĐỘ MUA HÀNG'!$A$4:$AT$4, 0)), 
  INDEX('6. TIẾN ĐỘ MUA HÀNG'!$A$5:$AT19, 0, XMATCH(""Bộ phận/Cá nhân đặt hàng"", '6. TIẾN ĐỘ MUA HÀNG'!$A$4:$AT$4, 0)) = $"&amp;"B16, 
  TRIM(INDEX('6. TIẾN ĐỘ MUA HÀNG'!$A$5:$AT19, 0, XMATCH(""Tháng"", '6. TIẾN ĐỘ MUA HÀNG'!$A$4:$AT$4, 0))) = TRIM(O$6),
  INDEX('6. TIẾN ĐỘ MUA HÀNG'!$A$5:$AT19, 0, XMATCH(""Mã đơn Misa"", '6. TIẾN ĐỘ MUA HÀNG'!$A$4:$AT$4, 0)) &lt;&gt; """")))"),0.0)</f>
        <v>0</v>
      </c>
      <c r="P16" s="743">
        <f t="array" ref="P16">SUMPRODUCT((INDEX('6. TIẾN ĐỘ MUA HÀNG'!$A$5:$AT19, 0, XMATCH("Bộ phận/Cá nhân đặt hàng", '6. TIẾN ĐỘ MUA HÀNG'!$A$4:$AT$4, 0)) = $B16) * (TRIM(INDEX('6. TIẾN ĐỘ MUA HÀNG'!$A$5:$AT19, 0, XMATCH("Tháng", '6. TIẾN ĐỘ MUA HÀNG'!$A$4:$AT$4, 0))) = TRIM(O$6)) * (INDEX('6. TIẾN ĐỘ MUA HÀNG'!$A$5:$AT19, 0, XMATCH("CL NGÀY QUY ĐỊNH  - NGÀY KD YÊU CẦU", '6. TIẾN ĐỘ MUA HÀNG'!$A$4:$AT$4, 0)) &gt; 0))</f>
        <v>0</v>
      </c>
      <c r="Q16" s="731">
        <f t="shared" si="18"/>
        <v>0</v>
      </c>
      <c r="R16" s="769">
        <f>IFERROR(__xludf.DUMMYFUNCTION("COUNTA(IFERROR(FILTER(
  INDEX('6. TIẾN ĐỘ MUA HÀNG'!$A$5:$AT19, 0, XMATCH(""Mã đơn Misa"", '6. TIẾN ĐỘ MUA HÀNG'!$A$4:$AT$4, 0)), 
  INDEX('6. TIẾN ĐỘ MUA HÀNG'!$A$5:$AT19, 0, XMATCH(""Bộ phận/Cá nhân đặt hàng"", '6. TIẾN ĐỘ MUA HÀNG'!$A$4:$AT$4, 0)) = $"&amp;"B16, 
  TRIM(INDEX('6. TIẾN ĐỘ MUA HÀNG'!$A$5:$AT19, 0, XMATCH(""Tháng"", '6. TIẾN ĐỘ MUA HÀNG'!$A$4:$AT$4, 0))) = TRIM(R$6),
  INDEX('6. TIẾN ĐỘ MUA HÀNG'!$A$5:$AT19, 0, XMATCH(""Mã đơn Misa"", '6. TIẾN ĐỘ MUA HÀNG'!$A$4:$AT$4, 0)) &lt;&gt; """")))"),0.0)</f>
        <v>0</v>
      </c>
      <c r="S16" s="769">
        <f t="array" ref="S16">SUMPRODUCT((INDEX('6. TIẾN ĐỘ MUA HÀNG'!$A$5:$AT19, 0, XMATCH("Bộ phận/Cá nhân đặt hàng", '6. TIẾN ĐỘ MUA HÀNG'!$A$4:$AT$4, 0)) = $B16) * (TRIM(INDEX('6. TIẾN ĐỘ MUA HÀNG'!$A$5:$AT19, 0, XMATCH("Tháng", '6. TIẾN ĐỘ MUA HÀNG'!$A$4:$AT$4, 0))) = TRIM(R$6)) * (INDEX('6. TIẾN ĐỘ MUA HÀNG'!$A$5:$AT19, 0, XMATCH("CL NGÀY QUY ĐỊNH  - NGÀY KD YÊU CẦU", '6. TIẾN ĐỘ MUA HÀNG'!$A$4:$AT$4, 0)) &gt; 0))</f>
        <v>0</v>
      </c>
      <c r="T16" s="733">
        <f t="shared" si="19"/>
        <v>0</v>
      </c>
      <c r="U16" s="743">
        <f>IFERROR(__xludf.DUMMYFUNCTION("COUNTA(IFERROR(FILTER(
  INDEX('6. TIẾN ĐỘ MUA HÀNG'!$A$5:$AT19, 0, XMATCH(""Mã đơn Misa"", '6. TIẾN ĐỘ MUA HÀNG'!$A$4:$AT$4, 0)), 
  INDEX('6. TIẾN ĐỘ MUA HÀNG'!$A$5:$AT19, 0, XMATCH(""Bộ phận/Cá nhân đặt hàng"", '6. TIẾN ĐỘ MUA HÀNG'!$A$4:$AT$4, 0)) = $"&amp;"B16, 
  TRIM(INDEX('6. TIẾN ĐỘ MUA HÀNG'!$A$5:$AT19, 0, XMATCH(""Tháng"", '6. TIẾN ĐỘ MUA HÀNG'!$A$4:$AT$4, 0))) = TRIM(U$6),
  INDEX('6. TIẾN ĐỘ MUA HÀNG'!$A$5:$AT19, 0, XMATCH(""Mã đơn Misa"", '6. TIẾN ĐỘ MUA HÀNG'!$A$4:$AT$4, 0)) &lt;&gt; """")))"),0.0)</f>
        <v>0</v>
      </c>
      <c r="V16" s="743">
        <f t="array" ref="V16">SUMPRODUCT((INDEX('6. TIẾN ĐỘ MUA HÀNG'!$A$5:$AT19, 0, XMATCH("Bộ phận/Cá nhân đặt hàng", '6. TIẾN ĐỘ MUA HÀNG'!$A$4:$AT$4, 0)) = $B16) * (TRIM(INDEX('6. TIẾN ĐỘ MUA HÀNG'!$A$5:$AT19, 0, XMATCH("Tháng", '6. TIẾN ĐỘ MUA HÀNG'!$A$4:$AT$4, 0))) = TRIM(U$6)) * (INDEX('6. TIẾN ĐỘ MUA HÀNG'!$A$5:$AT19, 0, XMATCH("CL NGÀY QUY ĐỊNH  - NGÀY KD YÊU CẦU", '6. TIẾN ĐỘ MUA HÀNG'!$A$4:$AT$4, 0)) &gt; 0))</f>
        <v>0</v>
      </c>
      <c r="W16" s="731">
        <f t="shared" si="20"/>
        <v>0</v>
      </c>
      <c r="X16" s="769">
        <f>IFERROR(__xludf.DUMMYFUNCTION("COUNTA(IFERROR(FILTER(
  INDEX('6. TIẾN ĐỘ MUA HÀNG'!$A$5:$AT19, 0, XMATCH(""Mã đơn Misa"", '6. TIẾN ĐỘ MUA HÀNG'!$A$4:$AT$4, 0)), 
  INDEX('6. TIẾN ĐỘ MUA HÀNG'!$A$5:$AT19, 0, XMATCH(""Bộ phận/Cá nhân đặt hàng"", '6. TIẾN ĐỘ MUA HÀNG'!$A$4:$AT$4, 0)) = $"&amp;"B16, 
  TRIM(INDEX('6. TIẾN ĐỘ MUA HÀNG'!$A$5:$AT19, 0, XMATCH(""Tháng"", '6. TIẾN ĐỘ MUA HÀNG'!$A$4:$AT$4, 0))) = TRIM(X$6),
  INDEX('6. TIẾN ĐỘ MUA HÀNG'!$A$5:$AT19, 0, XMATCH(""Mã đơn Misa"", '6. TIẾN ĐỘ MUA HÀNG'!$A$4:$AT$4, 0)) &lt;&gt; """")))"),0.0)</f>
        <v>0</v>
      </c>
      <c r="Y16" s="769">
        <f t="array" ref="Y16">SUMPRODUCT((INDEX('6. TIẾN ĐỘ MUA HÀNG'!$A$5:$AT19, 0, XMATCH("Bộ phận/Cá nhân đặt hàng", '6. TIẾN ĐỘ MUA HÀNG'!$A$4:$AT$4, 0)) = $B16) * (TRIM(INDEX('6. TIẾN ĐỘ MUA HÀNG'!$A$5:$AT19, 0, XMATCH("Tháng", '6. TIẾN ĐỘ MUA HÀNG'!$A$4:$AT$4, 0))) = TRIM(X$6)) * (INDEX('6. TIẾN ĐỘ MUA HÀNG'!$A$5:$AT19, 0, XMATCH("CL NGÀY QUY ĐỊNH  - NGÀY KD YÊU CẦU", '6. TIẾN ĐỘ MUA HÀNG'!$A$4:$AT$4, 0)) &gt; 0))</f>
        <v>0</v>
      </c>
      <c r="Z16" s="733">
        <f t="shared" si="21"/>
        <v>0</v>
      </c>
      <c r="AA16" s="743">
        <f>IFERROR(__xludf.DUMMYFUNCTION("COUNTA(IFERROR(FILTER(
  INDEX('6. TIẾN ĐỘ MUA HÀNG'!$A$5:$AT19, 0, XMATCH(""Mã đơn Misa"", '6. TIẾN ĐỘ MUA HÀNG'!$A$4:$AT$4, 0)), 
  INDEX('6. TIẾN ĐỘ MUA HÀNG'!$A$5:$AT19, 0, XMATCH(""Bộ phận/Cá nhân đặt hàng"", '6. TIẾN ĐỘ MUA HÀNG'!$A$4:$AT$4, 0)) = $"&amp;"B16, 
  TRIM(INDEX('6. TIẾN ĐỘ MUA HÀNG'!$A$5:$AT19, 0, XMATCH(""Tháng"", '6. TIẾN ĐỘ MUA HÀNG'!$A$4:$AT$4, 0))) = TRIM(AA$6),
  INDEX('6. TIẾN ĐỘ MUA HÀNG'!$A$5:$AT19, 0, XMATCH(""Mã đơn Misa"", '6. TIẾN ĐỘ MUA HÀNG'!$A$4:$AT$4, 0)) &lt;&gt; """")))"),0.0)</f>
        <v>0</v>
      </c>
      <c r="AB16" s="743">
        <f t="array" ref="AB16">SUMPRODUCT((INDEX('6. TIẾN ĐỘ MUA HÀNG'!$A$5:$AT19, 0, XMATCH("Bộ phận/Cá nhân đặt hàng", '6. TIẾN ĐỘ MUA HÀNG'!$A$4:$AT$4, 0)) = $B16) * (TRIM(INDEX('6. TIẾN ĐỘ MUA HÀNG'!$A$5:$AT19, 0, XMATCH("Tháng", '6. TIẾN ĐỘ MUA HÀNG'!$A$4:$AT$4, 0))) = TRIM(AA$6)) * (INDEX('6. TIẾN ĐỘ MUA HÀNG'!$A$5:$AT19, 0, XMATCH("CL NGÀY QUY ĐỊNH  - NGÀY KD YÊU CẦU", '6. TIẾN ĐỘ MUA HÀNG'!$A$4:$AT$4, 0)) &gt; 0))</f>
        <v>0</v>
      </c>
      <c r="AC16" s="731">
        <f t="shared" si="22"/>
        <v>0</v>
      </c>
      <c r="AD16" s="769">
        <f>IFERROR(__xludf.DUMMYFUNCTION("COUNTA(IFERROR(FILTER(
  INDEX('6. TIẾN ĐỘ MUA HÀNG'!$A$5:$AT19, 0, XMATCH(""Mã đơn Misa"", '6. TIẾN ĐỘ MUA HÀNG'!$A$4:$AT$4, 0)), 
  INDEX('6. TIẾN ĐỘ MUA HÀNG'!$A$5:$AT19, 0, XMATCH(""Bộ phận/Cá nhân đặt hàng"", '6. TIẾN ĐỘ MUA HÀNG'!$A$4:$AT$4, 0)) = $"&amp;"B16, 
  TRIM(INDEX('6. TIẾN ĐỘ MUA HÀNG'!$A$5:$AT19, 0, XMATCH(""Tháng"", '6. TIẾN ĐỘ MUA HÀNG'!$A$4:$AT$4, 0))) = TRIM(AD$6),
  INDEX('6. TIẾN ĐỘ MUA HÀNG'!$A$5:$AT19, 0, XMATCH(""Mã đơn Misa"", '6. TIẾN ĐỘ MUA HÀNG'!$A$4:$AT$4, 0)) &lt;&gt; """")))"),0.0)</f>
        <v>0</v>
      </c>
      <c r="AE16" s="769">
        <f t="array" ref="AE16">SUMPRODUCT((INDEX('6. TIẾN ĐỘ MUA HÀNG'!$A$5:$AT19, 0, XMATCH("Bộ phận/Cá nhân đặt hàng", '6. TIẾN ĐỘ MUA HÀNG'!$A$4:$AT$4, 0)) = $B16) * (TRIM(INDEX('6. TIẾN ĐỘ MUA HÀNG'!$A$5:$AT19, 0, XMATCH("Tháng", '6. TIẾN ĐỘ MUA HÀNG'!$A$4:$AT$4, 0))) = TRIM(AD$6)) * (INDEX('6. TIẾN ĐỘ MUA HÀNG'!$A$5:$AT19, 0, XMATCH("CL NGÀY QUY ĐỊNH  - NGÀY KD YÊU CẦU", '6. TIẾN ĐỘ MUA HÀNG'!$A$4:$AT$4, 0)) &gt; 0))</f>
        <v>0</v>
      </c>
      <c r="AF16" s="733">
        <f t="shared" si="23"/>
        <v>0</v>
      </c>
      <c r="AG16" s="743">
        <f>IFERROR(__xludf.DUMMYFUNCTION("COUNTA(IFERROR(FILTER(
  INDEX('6. TIẾN ĐỘ MUA HÀNG'!$A$5:$AT19, 0, XMATCH(""Mã đơn Misa"", '6. TIẾN ĐỘ MUA HÀNG'!$A$4:$AT$4, 0)), 
  INDEX('6. TIẾN ĐỘ MUA HÀNG'!$A$5:$AT19, 0, XMATCH(""Bộ phận/Cá nhân đặt hàng"", '6. TIẾN ĐỘ MUA HÀNG'!$A$4:$AT$4, 0)) = $"&amp;"B16, 
  TRIM(INDEX('6. TIẾN ĐỘ MUA HÀNG'!$A$5:$AT19, 0, XMATCH(""Tháng"", '6. TIẾN ĐỘ MUA HÀNG'!$A$4:$AT$4, 0))) = TRIM(AG$6),
  INDEX('6. TIẾN ĐỘ MUA HÀNG'!$A$5:$AT19, 0, XMATCH(""Mã đơn Misa"", '6. TIẾN ĐỘ MUA HÀNG'!$A$4:$AT$4, 0)) &lt;&gt; """")))"),0.0)</f>
        <v>0</v>
      </c>
      <c r="AH16" s="743">
        <f t="array" ref="AH16">SUMPRODUCT((INDEX('6. TIẾN ĐỘ MUA HÀNG'!$A$5:$AT19, 0, XMATCH("Bộ phận/Cá nhân đặt hàng", '6. TIẾN ĐỘ MUA HÀNG'!$A$4:$AT$4, 0)) = $B16) * (TRIM(INDEX('6. TIẾN ĐỘ MUA HÀNG'!$A$5:$AT19, 0, XMATCH("Tháng", '6. TIẾN ĐỘ MUA HÀNG'!$A$4:$AT$4, 0))) = TRIM(AG$6)) * (INDEX('6. TIẾN ĐỘ MUA HÀNG'!$A$5:$AT19, 0, XMATCH("CL NGÀY QUY ĐỊNH  - NGÀY KD YÊU CẦU", '6. TIẾN ĐỘ MUA HÀNG'!$A$4:$AT$4, 0)) &gt; 0))</f>
        <v>0</v>
      </c>
      <c r="AI16" s="731">
        <f t="shared" si="24"/>
        <v>0</v>
      </c>
      <c r="AJ16" s="769">
        <f>IFERROR(__xludf.DUMMYFUNCTION("COUNTA(IFERROR(FILTER(
  INDEX('6. TIẾN ĐỘ MUA HÀNG'!$A$5:$AT19, 0, XMATCH(""Mã đơn Misa"", '6. TIẾN ĐỘ MUA HÀNG'!$A$4:$AT$4, 0)), 
  INDEX('6. TIẾN ĐỘ MUA HÀNG'!$A$5:$AT19, 0, XMATCH(""Bộ phận/Cá nhân đặt hàng"", '6. TIẾN ĐỘ MUA HÀNG'!$A$4:$AT$4, 0)) = $"&amp;"B16, 
  TRIM(INDEX('6. TIẾN ĐỘ MUA HÀNG'!$A$5:$AT19, 0, XMATCH(""Tháng"", '6. TIẾN ĐỘ MUA HÀNG'!$A$4:$AT$4, 0))) = TRIM(AJ$6),
  INDEX('6. TIẾN ĐỘ MUA HÀNG'!$A$5:$AT19, 0, XMATCH(""Mã đơn Misa"", '6. TIẾN ĐỘ MUA HÀNG'!$A$4:$AT$4, 0)) &lt;&gt; """")))"),0.0)</f>
        <v>0</v>
      </c>
      <c r="AK16" s="769">
        <f t="array" ref="AK16">SUMPRODUCT((INDEX('6. TIẾN ĐỘ MUA HÀNG'!$A$5:$AT19, 0, XMATCH("Bộ phận/Cá nhân đặt hàng", '6. TIẾN ĐỘ MUA HÀNG'!$A$4:$AT$4, 0)) = $B16) * (TRIM(INDEX('6. TIẾN ĐỘ MUA HÀNG'!$A$5:$AT19, 0, XMATCH("Tháng", '6. TIẾN ĐỘ MUA HÀNG'!$A$4:$AT$4, 0))) = TRIM(AJ$6)) * (INDEX('6. TIẾN ĐỘ MUA HÀNG'!$A$5:$AT19, 0, XMATCH("CL NGÀY QUY ĐỊNH  - NGÀY KD YÊU CẦU", '6. TIẾN ĐỘ MUA HÀNG'!$A$4:$AT$4, 0)) &gt; 0))</f>
        <v>0</v>
      </c>
      <c r="AL16" s="733">
        <f t="shared" si="25"/>
        <v>0</v>
      </c>
      <c r="AM16" s="726">
        <f t="shared" si="27"/>
        <v>0</v>
      </c>
      <c r="AN16" s="726">
        <f t="shared" si="28"/>
        <v>0</v>
      </c>
      <c r="AO16" s="727">
        <f t="shared" si="26"/>
        <v>0</v>
      </c>
    </row>
    <row r="17">
      <c r="A17" s="612">
        <v>9.0</v>
      </c>
      <c r="B17" s="139" t="str">
        <f>IFERROR(__xludf.DUMMYFUNCTION("""COMPUTED_VALUE"""),"TM - Ms Quyên")</f>
        <v>TM - Ms Quyên</v>
      </c>
      <c r="C17" s="743">
        <f>IFERROR(__xludf.DUMMYFUNCTION("COUNTA(IFERROR(FILTER(
  INDEX('6. TIẾN ĐỘ MUA HÀNG'!$A$5:$AT19, 0, XMATCH(""Mã đơn Misa"", '6. TIẾN ĐỘ MUA HÀNG'!$A$4:$AT$4, 0)), 
  INDEX('6. TIẾN ĐỘ MUA HÀNG'!$A$5:$AT19, 0, XMATCH(""Bộ phận/Cá nhân đặt hàng"", '6. TIẾN ĐỘ MUA HÀNG'!$A$4:$AT$4, 0)) = $"&amp;"B17, 
  TRIM(INDEX('6. TIẾN ĐỘ MUA HÀNG'!$A$5:$AT19, 0, XMATCH(""Tháng"", '6. TIẾN ĐỘ MUA HÀNG'!$A$4:$AT$4, 0))) = TRIM(C$6),
  INDEX('6. TIẾN ĐỘ MUA HÀNG'!$A$5:$AT19, 0, XMATCH(""Mã đơn Misa"", '6. TIẾN ĐỘ MUA HÀNG'!$A$4:$AT$4, 0)) &lt;&gt; """")))"),0.0)</f>
        <v>0</v>
      </c>
      <c r="D17" s="743">
        <f t="array" ref="D17">SUMPRODUCT((INDEX('6. TIẾN ĐỘ MUA HÀNG'!$A$5:$AT19, 0, XMATCH("Bộ phận/Cá nhân đặt hàng", '6. TIẾN ĐỘ MUA HÀNG'!$A$4:$AT$4, 0)) = $B17) * (TRIM(INDEX('6. TIẾN ĐỘ MUA HÀNG'!$A$5:$AT19, 0, XMATCH("Tháng", '6. TIẾN ĐỘ MUA HÀNG'!$A$4:$AT$4, 0))) = TRIM(C$6)) * (INDEX('6. TIẾN ĐỘ MUA HÀNG'!$A$5:$AT19, 0, XMATCH("CL NGÀY QUY ĐỊNH  - NGÀY KD YÊU CẦU", '6. TIẾN ĐỘ MUA HÀNG'!$A$4:$AT$4, 0)) &gt; 0))</f>
        <v>0</v>
      </c>
      <c r="E17" s="731">
        <f t="shared" si="14"/>
        <v>0</v>
      </c>
      <c r="F17" s="769">
        <f>IFERROR(__xludf.DUMMYFUNCTION("COUNTA(IFERROR(FILTER(
  INDEX('6. TIẾN ĐỘ MUA HÀNG'!$A$5:$AT19, 0, XMATCH(""Mã đơn Misa"", '6. TIẾN ĐỘ MUA HÀNG'!$A$4:$AT$4, 0)), 
  INDEX('6. TIẾN ĐỘ MUA HÀNG'!$A$5:$AT19, 0, XMATCH(""Bộ phận/Cá nhân đặt hàng"", '6. TIẾN ĐỘ MUA HÀNG'!$A$4:$AT$4, 0)) = $"&amp;"B17, 
  TRIM(INDEX('6. TIẾN ĐỘ MUA HÀNG'!$A$5:$AT19, 0, XMATCH(""Tháng"", '6. TIẾN ĐỘ MUA HÀNG'!$A$4:$AT$4, 0))) = TRIM(F$6),
  INDEX('6. TIẾN ĐỘ MUA HÀNG'!$A$5:$AT19, 0, XMATCH(""Mã đơn Misa"", '6. TIẾN ĐỘ MUA HÀNG'!$A$4:$AT$4, 0)) &lt;&gt; """")))"),0.0)</f>
        <v>0</v>
      </c>
      <c r="G17" s="769">
        <f t="array" ref="G17">SUMPRODUCT((INDEX('6. TIẾN ĐỘ MUA HÀNG'!$A$5:$AT19, 0, XMATCH("Bộ phận/Cá nhân đặt hàng", '6. TIẾN ĐỘ MUA HÀNG'!$A$4:$AT$4, 0)) = $B17) * (TRIM(INDEX('6. TIẾN ĐỘ MUA HÀNG'!$A$5:$AT19, 0, XMATCH("Tháng", '6. TIẾN ĐỘ MUA HÀNG'!$A$4:$AT$4, 0))) = TRIM(F$6)) * (INDEX('6. TIẾN ĐỘ MUA HÀNG'!$A$5:$AT19, 0, XMATCH("CL NGÀY QUY ĐỊNH  - NGÀY KD YÊU CẦU", '6. TIẾN ĐỘ MUA HÀNG'!$A$4:$AT$4, 0)) &gt; 0))</f>
        <v>0</v>
      </c>
      <c r="H17" s="733">
        <f t="shared" si="15"/>
        <v>0</v>
      </c>
      <c r="I17" s="743">
        <f>IFERROR(__xludf.DUMMYFUNCTION("COUNTA(IFERROR(FILTER(
  INDEX('6. TIẾN ĐỘ MUA HÀNG'!$A$5:$AT19, 0, XMATCH(""Mã đơn Misa"", '6. TIẾN ĐỘ MUA HÀNG'!$A$4:$AT$4, 0)), 
  INDEX('6. TIẾN ĐỘ MUA HÀNG'!$A$5:$AT19, 0, XMATCH(""Bộ phận/Cá nhân đặt hàng"", '6. TIẾN ĐỘ MUA HÀNG'!$A$4:$AT$4, 0)) = $"&amp;"B17, 
  TRIM(INDEX('6. TIẾN ĐỘ MUA HÀNG'!$A$5:$AT19, 0, XMATCH(""Tháng"", '6. TIẾN ĐỘ MUA HÀNG'!$A$4:$AT$4, 0))) = TRIM(I$6),
  INDEX('6. TIẾN ĐỘ MUA HÀNG'!$A$5:$AT19, 0, XMATCH(""Mã đơn Misa"", '6. TIẾN ĐỘ MUA HÀNG'!$A$4:$AT$4, 0)) &lt;&gt; """")))"),0.0)</f>
        <v>0</v>
      </c>
      <c r="J17" s="743">
        <f t="array" ref="J17">SUMPRODUCT((INDEX('6. TIẾN ĐỘ MUA HÀNG'!$A$5:$AT19, 0, XMATCH("Bộ phận/Cá nhân đặt hàng", '6. TIẾN ĐỘ MUA HÀNG'!$A$4:$AT$4, 0)) = $B17) * (TRIM(INDEX('6. TIẾN ĐỘ MUA HÀNG'!$A$5:$AT19, 0, XMATCH("Tháng", '6. TIẾN ĐỘ MUA HÀNG'!$A$4:$AT$4, 0))) = TRIM(I$6)) * (INDEX('6. TIẾN ĐỘ MUA HÀNG'!$A$5:$AT19, 0, XMATCH("CL NGÀY QUY ĐỊNH  - NGÀY KD YÊU CẦU", '6. TIẾN ĐỘ MUA HÀNG'!$A$4:$AT$4, 0)) &gt; 0))</f>
        <v>0</v>
      </c>
      <c r="K17" s="731">
        <f t="shared" si="16"/>
        <v>0</v>
      </c>
      <c r="L17" s="769">
        <f>IFERROR(__xludf.DUMMYFUNCTION("COUNTA(IFERROR(FILTER(
  INDEX('6. TIẾN ĐỘ MUA HÀNG'!$A$5:$AT19, 0, XMATCH(""Mã đơn Misa"", '6. TIẾN ĐỘ MUA HÀNG'!$A$4:$AT$4, 0)), 
  INDEX('6. TIẾN ĐỘ MUA HÀNG'!$A$5:$AT19, 0, XMATCH(""Bộ phận/Cá nhân đặt hàng"", '6. TIẾN ĐỘ MUA HÀNG'!$A$4:$AT$4, 0)) = $"&amp;"B17, 
  TRIM(INDEX('6. TIẾN ĐỘ MUA HÀNG'!$A$5:$AT19, 0, XMATCH(""Tháng"", '6. TIẾN ĐỘ MUA HÀNG'!$A$4:$AT$4, 0))) = TRIM(L$6),
  INDEX('6. TIẾN ĐỘ MUA HÀNG'!$A$5:$AT19, 0, XMATCH(""Mã đơn Misa"", '6. TIẾN ĐỘ MUA HÀNG'!$A$4:$AT$4, 0)) &lt;&gt; """")))"),0.0)</f>
        <v>0</v>
      </c>
      <c r="M17" s="769">
        <f t="array" ref="M17">SUMPRODUCT((INDEX('6. TIẾN ĐỘ MUA HÀNG'!$A$5:$AT19, 0, XMATCH("Bộ phận/Cá nhân đặt hàng", '6. TIẾN ĐỘ MUA HÀNG'!$A$4:$AT$4, 0)) = $B17) * (TRIM(INDEX('6. TIẾN ĐỘ MUA HÀNG'!$A$5:$AT19, 0, XMATCH("Tháng", '6. TIẾN ĐỘ MUA HÀNG'!$A$4:$AT$4, 0))) = TRIM(L$6)) * (INDEX('6. TIẾN ĐỘ MUA HÀNG'!$A$5:$AT19, 0, XMATCH("CL NGÀY QUY ĐỊNH  - NGÀY KD YÊU CẦU", '6. TIẾN ĐỘ MUA HÀNG'!$A$4:$AT$4, 0)) &gt; 0))</f>
        <v>0</v>
      </c>
      <c r="N17" s="733">
        <f t="shared" si="17"/>
        <v>0</v>
      </c>
      <c r="O17" s="743">
        <f>IFERROR(__xludf.DUMMYFUNCTION("COUNTA(IFERROR(FILTER(
  INDEX('6. TIẾN ĐỘ MUA HÀNG'!$A$5:$AT19, 0, XMATCH(""Mã đơn Misa"", '6. TIẾN ĐỘ MUA HÀNG'!$A$4:$AT$4, 0)), 
  INDEX('6. TIẾN ĐỘ MUA HÀNG'!$A$5:$AT19, 0, XMATCH(""Bộ phận/Cá nhân đặt hàng"", '6. TIẾN ĐỘ MUA HÀNG'!$A$4:$AT$4, 0)) = $"&amp;"B17, 
  TRIM(INDEX('6. TIẾN ĐỘ MUA HÀNG'!$A$5:$AT19, 0, XMATCH(""Tháng"", '6. TIẾN ĐỘ MUA HÀNG'!$A$4:$AT$4, 0))) = TRIM(O$6),
  INDEX('6. TIẾN ĐỘ MUA HÀNG'!$A$5:$AT19, 0, XMATCH(""Mã đơn Misa"", '6. TIẾN ĐỘ MUA HÀNG'!$A$4:$AT$4, 0)) &lt;&gt; """")))"),0.0)</f>
        <v>0</v>
      </c>
      <c r="P17" s="743">
        <f t="array" ref="P17">SUMPRODUCT((INDEX('6. TIẾN ĐỘ MUA HÀNG'!$A$5:$AT19, 0, XMATCH("Bộ phận/Cá nhân đặt hàng", '6. TIẾN ĐỘ MUA HÀNG'!$A$4:$AT$4, 0)) = $B17) * (TRIM(INDEX('6. TIẾN ĐỘ MUA HÀNG'!$A$5:$AT19, 0, XMATCH("Tháng", '6. TIẾN ĐỘ MUA HÀNG'!$A$4:$AT$4, 0))) = TRIM(O$6)) * (INDEX('6. TIẾN ĐỘ MUA HÀNG'!$A$5:$AT19, 0, XMATCH("CL NGÀY QUY ĐỊNH  - NGÀY KD YÊU CẦU", '6. TIẾN ĐỘ MUA HÀNG'!$A$4:$AT$4, 0)) &gt; 0))</f>
        <v>0</v>
      </c>
      <c r="Q17" s="731">
        <f t="shared" si="18"/>
        <v>0</v>
      </c>
      <c r="R17" s="769">
        <f>IFERROR(__xludf.DUMMYFUNCTION("COUNTA(IFERROR(FILTER(
  INDEX('6. TIẾN ĐỘ MUA HÀNG'!$A$5:$AT19, 0, XMATCH(""Mã đơn Misa"", '6. TIẾN ĐỘ MUA HÀNG'!$A$4:$AT$4, 0)), 
  INDEX('6. TIẾN ĐỘ MUA HÀNG'!$A$5:$AT19, 0, XMATCH(""Bộ phận/Cá nhân đặt hàng"", '6. TIẾN ĐỘ MUA HÀNG'!$A$4:$AT$4, 0)) = $"&amp;"B17, 
  TRIM(INDEX('6. TIẾN ĐỘ MUA HÀNG'!$A$5:$AT19, 0, XMATCH(""Tháng"", '6. TIẾN ĐỘ MUA HÀNG'!$A$4:$AT$4, 0))) = TRIM(R$6),
  INDEX('6. TIẾN ĐỘ MUA HÀNG'!$A$5:$AT19, 0, XMATCH(""Mã đơn Misa"", '6. TIẾN ĐỘ MUA HÀNG'!$A$4:$AT$4, 0)) &lt;&gt; """")))"),0.0)</f>
        <v>0</v>
      </c>
      <c r="S17" s="769">
        <f t="array" ref="S17">SUMPRODUCT((INDEX('6. TIẾN ĐỘ MUA HÀNG'!$A$5:$AT19, 0, XMATCH("Bộ phận/Cá nhân đặt hàng", '6. TIẾN ĐỘ MUA HÀNG'!$A$4:$AT$4, 0)) = $B17) * (TRIM(INDEX('6. TIẾN ĐỘ MUA HÀNG'!$A$5:$AT19, 0, XMATCH("Tháng", '6. TIẾN ĐỘ MUA HÀNG'!$A$4:$AT$4, 0))) = TRIM(R$6)) * (INDEX('6. TIẾN ĐỘ MUA HÀNG'!$A$5:$AT19, 0, XMATCH("CL NGÀY QUY ĐỊNH  - NGÀY KD YÊU CẦU", '6. TIẾN ĐỘ MUA HÀNG'!$A$4:$AT$4, 0)) &gt; 0))</f>
        <v>0</v>
      </c>
      <c r="T17" s="733">
        <f t="shared" si="19"/>
        <v>0</v>
      </c>
      <c r="U17" s="743">
        <f>IFERROR(__xludf.DUMMYFUNCTION("COUNTA(IFERROR(FILTER(
  INDEX('6. TIẾN ĐỘ MUA HÀNG'!$A$5:$AT19, 0, XMATCH(""Mã đơn Misa"", '6. TIẾN ĐỘ MUA HÀNG'!$A$4:$AT$4, 0)), 
  INDEX('6. TIẾN ĐỘ MUA HÀNG'!$A$5:$AT19, 0, XMATCH(""Bộ phận/Cá nhân đặt hàng"", '6. TIẾN ĐỘ MUA HÀNG'!$A$4:$AT$4, 0)) = $"&amp;"B17, 
  TRIM(INDEX('6. TIẾN ĐỘ MUA HÀNG'!$A$5:$AT19, 0, XMATCH(""Tháng"", '6. TIẾN ĐỘ MUA HÀNG'!$A$4:$AT$4, 0))) = TRIM(U$6),
  INDEX('6. TIẾN ĐỘ MUA HÀNG'!$A$5:$AT19, 0, XMATCH(""Mã đơn Misa"", '6. TIẾN ĐỘ MUA HÀNG'!$A$4:$AT$4, 0)) &lt;&gt; """")))"),0.0)</f>
        <v>0</v>
      </c>
      <c r="V17" s="743">
        <f t="array" ref="V17">SUMPRODUCT((INDEX('6. TIẾN ĐỘ MUA HÀNG'!$A$5:$AT19, 0, XMATCH("Bộ phận/Cá nhân đặt hàng", '6. TIẾN ĐỘ MUA HÀNG'!$A$4:$AT$4, 0)) = $B17) * (TRIM(INDEX('6. TIẾN ĐỘ MUA HÀNG'!$A$5:$AT19, 0, XMATCH("Tháng", '6. TIẾN ĐỘ MUA HÀNG'!$A$4:$AT$4, 0))) = TRIM(U$6)) * (INDEX('6. TIẾN ĐỘ MUA HÀNG'!$A$5:$AT19, 0, XMATCH("CL NGÀY QUY ĐỊNH  - NGÀY KD YÊU CẦU", '6. TIẾN ĐỘ MUA HÀNG'!$A$4:$AT$4, 0)) &gt; 0))</f>
        <v>0</v>
      </c>
      <c r="W17" s="731">
        <f t="shared" si="20"/>
        <v>0</v>
      </c>
      <c r="X17" s="769">
        <f>IFERROR(__xludf.DUMMYFUNCTION("COUNTA(IFERROR(FILTER(
  INDEX('6. TIẾN ĐỘ MUA HÀNG'!$A$5:$AT19, 0, XMATCH(""Mã đơn Misa"", '6. TIẾN ĐỘ MUA HÀNG'!$A$4:$AT$4, 0)), 
  INDEX('6. TIẾN ĐỘ MUA HÀNG'!$A$5:$AT19, 0, XMATCH(""Bộ phận/Cá nhân đặt hàng"", '6. TIẾN ĐỘ MUA HÀNG'!$A$4:$AT$4, 0)) = $"&amp;"B17, 
  TRIM(INDEX('6. TIẾN ĐỘ MUA HÀNG'!$A$5:$AT19, 0, XMATCH(""Tháng"", '6. TIẾN ĐỘ MUA HÀNG'!$A$4:$AT$4, 0))) = TRIM(X$6),
  INDEX('6. TIẾN ĐỘ MUA HÀNG'!$A$5:$AT19, 0, XMATCH(""Mã đơn Misa"", '6. TIẾN ĐỘ MUA HÀNG'!$A$4:$AT$4, 0)) &lt;&gt; """")))"),0.0)</f>
        <v>0</v>
      </c>
      <c r="Y17" s="769">
        <f t="array" ref="Y17">SUMPRODUCT((INDEX('6. TIẾN ĐỘ MUA HÀNG'!$A$5:$AT19, 0, XMATCH("Bộ phận/Cá nhân đặt hàng", '6. TIẾN ĐỘ MUA HÀNG'!$A$4:$AT$4, 0)) = $B17) * (TRIM(INDEX('6. TIẾN ĐỘ MUA HÀNG'!$A$5:$AT19, 0, XMATCH("Tháng", '6. TIẾN ĐỘ MUA HÀNG'!$A$4:$AT$4, 0))) = TRIM(X$6)) * (INDEX('6. TIẾN ĐỘ MUA HÀNG'!$A$5:$AT19, 0, XMATCH("CL NGÀY QUY ĐỊNH  - NGÀY KD YÊU CẦU", '6. TIẾN ĐỘ MUA HÀNG'!$A$4:$AT$4, 0)) &gt; 0))</f>
        <v>0</v>
      </c>
      <c r="Z17" s="733">
        <f t="shared" si="21"/>
        <v>0</v>
      </c>
      <c r="AA17" s="743">
        <f>IFERROR(__xludf.DUMMYFUNCTION("COUNTA(IFERROR(FILTER(
  INDEX('6. TIẾN ĐỘ MUA HÀNG'!$A$5:$AT19, 0, XMATCH(""Mã đơn Misa"", '6. TIẾN ĐỘ MUA HÀNG'!$A$4:$AT$4, 0)), 
  INDEX('6. TIẾN ĐỘ MUA HÀNG'!$A$5:$AT19, 0, XMATCH(""Bộ phận/Cá nhân đặt hàng"", '6. TIẾN ĐỘ MUA HÀNG'!$A$4:$AT$4, 0)) = $"&amp;"B17, 
  TRIM(INDEX('6. TIẾN ĐỘ MUA HÀNG'!$A$5:$AT19, 0, XMATCH(""Tháng"", '6. TIẾN ĐỘ MUA HÀNG'!$A$4:$AT$4, 0))) = TRIM(AA$6),
  INDEX('6. TIẾN ĐỘ MUA HÀNG'!$A$5:$AT19, 0, XMATCH(""Mã đơn Misa"", '6. TIẾN ĐỘ MUA HÀNG'!$A$4:$AT$4, 0)) &lt;&gt; """")))"),0.0)</f>
        <v>0</v>
      </c>
      <c r="AB17" s="743">
        <f t="array" ref="AB17">SUMPRODUCT((INDEX('6. TIẾN ĐỘ MUA HÀNG'!$A$5:$AT19, 0, XMATCH("Bộ phận/Cá nhân đặt hàng", '6. TIẾN ĐỘ MUA HÀNG'!$A$4:$AT$4, 0)) = $B17) * (TRIM(INDEX('6. TIẾN ĐỘ MUA HÀNG'!$A$5:$AT19, 0, XMATCH("Tháng", '6. TIẾN ĐỘ MUA HÀNG'!$A$4:$AT$4, 0))) = TRIM(AA$6)) * (INDEX('6. TIẾN ĐỘ MUA HÀNG'!$A$5:$AT19, 0, XMATCH("CL NGÀY QUY ĐỊNH  - NGÀY KD YÊU CẦU", '6. TIẾN ĐỘ MUA HÀNG'!$A$4:$AT$4, 0)) &gt; 0))</f>
        <v>0</v>
      </c>
      <c r="AC17" s="731">
        <f t="shared" si="22"/>
        <v>0</v>
      </c>
      <c r="AD17" s="769">
        <f>IFERROR(__xludf.DUMMYFUNCTION("COUNTA(IFERROR(FILTER(
  INDEX('6. TIẾN ĐỘ MUA HÀNG'!$A$5:$AT19, 0, XMATCH(""Mã đơn Misa"", '6. TIẾN ĐỘ MUA HÀNG'!$A$4:$AT$4, 0)), 
  INDEX('6. TIẾN ĐỘ MUA HÀNG'!$A$5:$AT19, 0, XMATCH(""Bộ phận/Cá nhân đặt hàng"", '6. TIẾN ĐỘ MUA HÀNG'!$A$4:$AT$4, 0)) = $"&amp;"B17, 
  TRIM(INDEX('6. TIẾN ĐỘ MUA HÀNG'!$A$5:$AT19, 0, XMATCH(""Tháng"", '6. TIẾN ĐỘ MUA HÀNG'!$A$4:$AT$4, 0))) = TRIM(AD$6),
  INDEX('6. TIẾN ĐỘ MUA HÀNG'!$A$5:$AT19, 0, XMATCH(""Mã đơn Misa"", '6. TIẾN ĐỘ MUA HÀNG'!$A$4:$AT$4, 0)) &lt;&gt; """")))"),0.0)</f>
        <v>0</v>
      </c>
      <c r="AE17" s="769">
        <f t="array" ref="AE17">SUMPRODUCT((INDEX('6. TIẾN ĐỘ MUA HÀNG'!$A$5:$AT19, 0, XMATCH("Bộ phận/Cá nhân đặt hàng", '6. TIẾN ĐỘ MUA HÀNG'!$A$4:$AT$4, 0)) = $B17) * (TRIM(INDEX('6. TIẾN ĐỘ MUA HÀNG'!$A$5:$AT19, 0, XMATCH("Tháng", '6. TIẾN ĐỘ MUA HÀNG'!$A$4:$AT$4, 0))) = TRIM(AD$6)) * (INDEX('6. TIẾN ĐỘ MUA HÀNG'!$A$5:$AT19, 0, XMATCH("CL NGÀY QUY ĐỊNH  - NGÀY KD YÊU CẦU", '6. TIẾN ĐỘ MUA HÀNG'!$A$4:$AT$4, 0)) &gt; 0))</f>
        <v>0</v>
      </c>
      <c r="AF17" s="733">
        <f t="shared" si="23"/>
        <v>0</v>
      </c>
      <c r="AG17" s="743">
        <f>IFERROR(__xludf.DUMMYFUNCTION("COUNTA(IFERROR(FILTER(
  INDEX('6. TIẾN ĐỘ MUA HÀNG'!$A$5:$AT19, 0, XMATCH(""Mã đơn Misa"", '6. TIẾN ĐỘ MUA HÀNG'!$A$4:$AT$4, 0)), 
  INDEX('6. TIẾN ĐỘ MUA HÀNG'!$A$5:$AT19, 0, XMATCH(""Bộ phận/Cá nhân đặt hàng"", '6. TIẾN ĐỘ MUA HÀNG'!$A$4:$AT$4, 0)) = $"&amp;"B17, 
  TRIM(INDEX('6. TIẾN ĐỘ MUA HÀNG'!$A$5:$AT19, 0, XMATCH(""Tháng"", '6. TIẾN ĐỘ MUA HÀNG'!$A$4:$AT$4, 0))) = TRIM(AG$6),
  INDEX('6. TIẾN ĐỘ MUA HÀNG'!$A$5:$AT19, 0, XMATCH(""Mã đơn Misa"", '6. TIẾN ĐỘ MUA HÀNG'!$A$4:$AT$4, 0)) &lt;&gt; """")))"),0.0)</f>
        <v>0</v>
      </c>
      <c r="AH17" s="743">
        <f t="array" ref="AH17">SUMPRODUCT((INDEX('6. TIẾN ĐỘ MUA HÀNG'!$A$5:$AT19, 0, XMATCH("Bộ phận/Cá nhân đặt hàng", '6. TIẾN ĐỘ MUA HÀNG'!$A$4:$AT$4, 0)) = $B17) * (TRIM(INDEX('6. TIẾN ĐỘ MUA HÀNG'!$A$5:$AT19, 0, XMATCH("Tháng", '6. TIẾN ĐỘ MUA HÀNG'!$A$4:$AT$4, 0))) = TRIM(AG$6)) * (INDEX('6. TIẾN ĐỘ MUA HÀNG'!$A$5:$AT19, 0, XMATCH("CL NGÀY QUY ĐỊNH  - NGÀY KD YÊU CẦU", '6. TIẾN ĐỘ MUA HÀNG'!$A$4:$AT$4, 0)) &gt; 0))</f>
        <v>0</v>
      </c>
      <c r="AI17" s="731">
        <f t="shared" si="24"/>
        <v>0</v>
      </c>
      <c r="AJ17" s="769">
        <f>IFERROR(__xludf.DUMMYFUNCTION("COUNTA(IFERROR(FILTER(
  INDEX('6. TIẾN ĐỘ MUA HÀNG'!$A$5:$AT19, 0, XMATCH(""Mã đơn Misa"", '6. TIẾN ĐỘ MUA HÀNG'!$A$4:$AT$4, 0)), 
  INDEX('6. TIẾN ĐỘ MUA HÀNG'!$A$5:$AT19, 0, XMATCH(""Bộ phận/Cá nhân đặt hàng"", '6. TIẾN ĐỘ MUA HÀNG'!$A$4:$AT$4, 0)) = $"&amp;"B17, 
  TRIM(INDEX('6. TIẾN ĐỘ MUA HÀNG'!$A$5:$AT19, 0, XMATCH(""Tháng"", '6. TIẾN ĐỘ MUA HÀNG'!$A$4:$AT$4, 0))) = TRIM(AJ$6),
  INDEX('6. TIẾN ĐỘ MUA HÀNG'!$A$5:$AT19, 0, XMATCH(""Mã đơn Misa"", '6. TIẾN ĐỘ MUA HÀNG'!$A$4:$AT$4, 0)) &lt;&gt; """")))"),0.0)</f>
        <v>0</v>
      </c>
      <c r="AK17" s="769">
        <f t="array" ref="AK17">SUMPRODUCT((INDEX('6. TIẾN ĐỘ MUA HÀNG'!$A$5:$AT19, 0, XMATCH("Bộ phận/Cá nhân đặt hàng", '6. TIẾN ĐỘ MUA HÀNG'!$A$4:$AT$4, 0)) = $B17) * (TRIM(INDEX('6. TIẾN ĐỘ MUA HÀNG'!$A$5:$AT19, 0, XMATCH("Tháng", '6. TIẾN ĐỘ MUA HÀNG'!$A$4:$AT$4, 0))) = TRIM(AJ$6)) * (INDEX('6. TIẾN ĐỘ MUA HÀNG'!$A$5:$AT19, 0, XMATCH("CL NGÀY QUY ĐỊNH  - NGÀY KD YÊU CẦU", '6. TIẾN ĐỘ MUA HÀNG'!$A$4:$AT$4, 0)) &gt; 0))</f>
        <v>0</v>
      </c>
      <c r="AL17" s="733">
        <f t="shared" si="25"/>
        <v>0</v>
      </c>
      <c r="AM17" s="726">
        <f t="shared" si="27"/>
        <v>0</v>
      </c>
      <c r="AN17" s="726">
        <f t="shared" si="28"/>
        <v>0</v>
      </c>
      <c r="AO17" s="727">
        <f t="shared" si="26"/>
        <v>0</v>
      </c>
    </row>
    <row r="18">
      <c r="A18" s="612">
        <v>10.0</v>
      </c>
      <c r="B18" s="139" t="str">
        <f>IFERROR(__xludf.DUMMYFUNCTION("""COMPUTED_VALUE"""),"KD N2SBIO")</f>
        <v>KD N2SBIO</v>
      </c>
      <c r="C18" s="743">
        <f>IFERROR(__xludf.DUMMYFUNCTION("COUNTA(IFERROR(FILTER(
  INDEX('6. TIẾN ĐỘ MUA HÀNG'!$A$5:$AT19, 0, XMATCH(""Mã đơn Misa"", '6. TIẾN ĐỘ MUA HÀNG'!$A$4:$AT$4, 0)), 
  INDEX('6. TIẾN ĐỘ MUA HÀNG'!$A$5:$AT19, 0, XMATCH(""Bộ phận/Cá nhân đặt hàng"", '6. TIẾN ĐỘ MUA HÀNG'!$A$4:$AT$4, 0)) = $"&amp;"B18, 
  TRIM(INDEX('6. TIẾN ĐỘ MUA HÀNG'!$A$5:$AT19, 0, XMATCH(""Tháng"", '6. TIẾN ĐỘ MUA HÀNG'!$A$4:$AT$4, 0))) = TRIM(C$6),
  INDEX('6. TIẾN ĐỘ MUA HÀNG'!$A$5:$AT19, 0, XMATCH(""Mã đơn Misa"", '6. TIẾN ĐỘ MUA HÀNG'!$A$4:$AT$4, 0)) &lt;&gt; """")))"),0.0)</f>
        <v>0</v>
      </c>
      <c r="D18" s="743">
        <f t="array" ref="D18">SUMPRODUCT((INDEX('6. TIẾN ĐỘ MUA HÀNG'!$A$5:$AT19, 0, XMATCH("Bộ phận/Cá nhân đặt hàng", '6. TIẾN ĐỘ MUA HÀNG'!$A$4:$AT$4, 0)) = $B18) * (TRIM(INDEX('6. TIẾN ĐỘ MUA HÀNG'!$A$5:$AT19, 0, XMATCH("Tháng", '6. TIẾN ĐỘ MUA HÀNG'!$A$4:$AT$4, 0))) = TRIM(C$6)) * (INDEX('6. TIẾN ĐỘ MUA HÀNG'!$A$5:$AT19, 0, XMATCH("CL NGÀY QUY ĐỊNH  - NGÀY KD YÊU CẦU", '6. TIẾN ĐỘ MUA HÀNG'!$A$4:$AT$4, 0)) &gt; 0))</f>
        <v>0</v>
      </c>
      <c r="E18" s="731">
        <f t="shared" si="14"/>
        <v>0</v>
      </c>
      <c r="F18" s="769">
        <f>IFERROR(__xludf.DUMMYFUNCTION("COUNTA(IFERROR(FILTER(
  INDEX('6. TIẾN ĐỘ MUA HÀNG'!$A$5:$AT19, 0, XMATCH(""Mã đơn Misa"", '6. TIẾN ĐỘ MUA HÀNG'!$A$4:$AT$4, 0)), 
  INDEX('6. TIẾN ĐỘ MUA HÀNG'!$A$5:$AT19, 0, XMATCH(""Bộ phận/Cá nhân đặt hàng"", '6. TIẾN ĐỘ MUA HÀNG'!$A$4:$AT$4, 0)) = $"&amp;"B18, 
  TRIM(INDEX('6. TIẾN ĐỘ MUA HÀNG'!$A$5:$AT19, 0, XMATCH(""Tháng"", '6. TIẾN ĐỘ MUA HÀNG'!$A$4:$AT$4, 0))) = TRIM(F$6),
  INDEX('6. TIẾN ĐỘ MUA HÀNG'!$A$5:$AT19, 0, XMATCH(""Mã đơn Misa"", '6. TIẾN ĐỘ MUA HÀNG'!$A$4:$AT$4, 0)) &lt;&gt; """")))"),0.0)</f>
        <v>0</v>
      </c>
      <c r="G18" s="769">
        <f t="array" ref="G18">SUMPRODUCT((INDEX('6. TIẾN ĐỘ MUA HÀNG'!$A$5:$AT19, 0, XMATCH("Bộ phận/Cá nhân đặt hàng", '6. TIẾN ĐỘ MUA HÀNG'!$A$4:$AT$4, 0)) = $B18) * (TRIM(INDEX('6. TIẾN ĐỘ MUA HÀNG'!$A$5:$AT19, 0, XMATCH("Tháng", '6. TIẾN ĐỘ MUA HÀNG'!$A$4:$AT$4, 0))) = TRIM(F$6)) * (INDEX('6. TIẾN ĐỘ MUA HÀNG'!$A$5:$AT19, 0, XMATCH("CL NGÀY QUY ĐỊNH  - NGÀY KD YÊU CẦU", '6. TIẾN ĐỘ MUA HÀNG'!$A$4:$AT$4, 0)) &gt; 0))</f>
        <v>0</v>
      </c>
      <c r="H18" s="733">
        <f t="shared" si="15"/>
        <v>0</v>
      </c>
      <c r="I18" s="743">
        <f>IFERROR(__xludf.DUMMYFUNCTION("COUNTA(IFERROR(FILTER(
  INDEX('6. TIẾN ĐỘ MUA HÀNG'!$A$5:$AT19, 0, XMATCH(""Mã đơn Misa"", '6. TIẾN ĐỘ MUA HÀNG'!$A$4:$AT$4, 0)), 
  INDEX('6. TIẾN ĐỘ MUA HÀNG'!$A$5:$AT19, 0, XMATCH(""Bộ phận/Cá nhân đặt hàng"", '6. TIẾN ĐỘ MUA HÀNG'!$A$4:$AT$4, 0)) = $"&amp;"B18, 
  TRIM(INDEX('6. TIẾN ĐỘ MUA HÀNG'!$A$5:$AT19, 0, XMATCH(""Tháng"", '6. TIẾN ĐỘ MUA HÀNG'!$A$4:$AT$4, 0))) = TRIM(I$6),
  INDEX('6. TIẾN ĐỘ MUA HÀNG'!$A$5:$AT19, 0, XMATCH(""Mã đơn Misa"", '6. TIẾN ĐỘ MUA HÀNG'!$A$4:$AT$4, 0)) &lt;&gt; """")))"),0.0)</f>
        <v>0</v>
      </c>
      <c r="J18" s="743">
        <f t="array" ref="J18">SUMPRODUCT((INDEX('6. TIẾN ĐỘ MUA HÀNG'!$A$5:$AT19, 0, XMATCH("Bộ phận/Cá nhân đặt hàng", '6. TIẾN ĐỘ MUA HÀNG'!$A$4:$AT$4, 0)) = $B18) * (TRIM(INDEX('6. TIẾN ĐỘ MUA HÀNG'!$A$5:$AT19, 0, XMATCH("Tháng", '6. TIẾN ĐỘ MUA HÀNG'!$A$4:$AT$4, 0))) = TRIM(I$6)) * (INDEX('6. TIẾN ĐỘ MUA HÀNG'!$A$5:$AT19, 0, XMATCH("CL NGÀY QUY ĐỊNH  - NGÀY KD YÊU CẦU", '6. TIẾN ĐỘ MUA HÀNG'!$A$4:$AT$4, 0)) &gt; 0))</f>
        <v>0</v>
      </c>
      <c r="K18" s="731">
        <f t="shared" si="16"/>
        <v>0</v>
      </c>
      <c r="L18" s="769">
        <f>IFERROR(__xludf.DUMMYFUNCTION("COUNTA(IFERROR(FILTER(
  INDEX('6. TIẾN ĐỘ MUA HÀNG'!$A$5:$AT19, 0, XMATCH(""Mã đơn Misa"", '6. TIẾN ĐỘ MUA HÀNG'!$A$4:$AT$4, 0)), 
  INDEX('6. TIẾN ĐỘ MUA HÀNG'!$A$5:$AT19, 0, XMATCH(""Bộ phận/Cá nhân đặt hàng"", '6. TIẾN ĐỘ MUA HÀNG'!$A$4:$AT$4, 0)) = $"&amp;"B18, 
  TRIM(INDEX('6. TIẾN ĐỘ MUA HÀNG'!$A$5:$AT19, 0, XMATCH(""Tháng"", '6. TIẾN ĐỘ MUA HÀNG'!$A$4:$AT$4, 0))) = TRIM(L$6),
  INDEX('6. TIẾN ĐỘ MUA HÀNG'!$A$5:$AT19, 0, XMATCH(""Mã đơn Misa"", '6. TIẾN ĐỘ MUA HÀNG'!$A$4:$AT$4, 0)) &lt;&gt; """")))"),0.0)</f>
        <v>0</v>
      </c>
      <c r="M18" s="769">
        <f t="array" ref="M18">SUMPRODUCT((INDEX('6. TIẾN ĐỘ MUA HÀNG'!$A$5:$AT19, 0, XMATCH("Bộ phận/Cá nhân đặt hàng", '6. TIẾN ĐỘ MUA HÀNG'!$A$4:$AT$4, 0)) = $B18) * (TRIM(INDEX('6. TIẾN ĐỘ MUA HÀNG'!$A$5:$AT19, 0, XMATCH("Tháng", '6. TIẾN ĐỘ MUA HÀNG'!$A$4:$AT$4, 0))) = TRIM(L$6)) * (INDEX('6. TIẾN ĐỘ MUA HÀNG'!$A$5:$AT19, 0, XMATCH("CL NGÀY QUY ĐỊNH  - NGÀY KD YÊU CẦU", '6. TIẾN ĐỘ MUA HÀNG'!$A$4:$AT$4, 0)) &gt; 0))</f>
        <v>0</v>
      </c>
      <c r="N18" s="733">
        <f t="shared" si="17"/>
        <v>0</v>
      </c>
      <c r="O18" s="743">
        <f>IFERROR(__xludf.DUMMYFUNCTION("COUNTA(IFERROR(FILTER(
  INDEX('6. TIẾN ĐỘ MUA HÀNG'!$A$5:$AT19, 0, XMATCH(""Mã đơn Misa"", '6. TIẾN ĐỘ MUA HÀNG'!$A$4:$AT$4, 0)), 
  INDEX('6. TIẾN ĐỘ MUA HÀNG'!$A$5:$AT19, 0, XMATCH(""Bộ phận/Cá nhân đặt hàng"", '6. TIẾN ĐỘ MUA HÀNG'!$A$4:$AT$4, 0)) = $"&amp;"B18, 
  TRIM(INDEX('6. TIẾN ĐỘ MUA HÀNG'!$A$5:$AT19, 0, XMATCH(""Tháng"", '6. TIẾN ĐỘ MUA HÀNG'!$A$4:$AT$4, 0))) = TRIM(O$6),
  INDEX('6. TIẾN ĐỘ MUA HÀNG'!$A$5:$AT19, 0, XMATCH(""Mã đơn Misa"", '6. TIẾN ĐỘ MUA HÀNG'!$A$4:$AT$4, 0)) &lt;&gt; """")))"),0.0)</f>
        <v>0</v>
      </c>
      <c r="P18" s="743">
        <f t="array" ref="P18">SUMPRODUCT((INDEX('6. TIẾN ĐỘ MUA HÀNG'!$A$5:$AT19, 0, XMATCH("Bộ phận/Cá nhân đặt hàng", '6. TIẾN ĐỘ MUA HÀNG'!$A$4:$AT$4, 0)) = $B18) * (TRIM(INDEX('6. TIẾN ĐỘ MUA HÀNG'!$A$5:$AT19, 0, XMATCH("Tháng", '6. TIẾN ĐỘ MUA HÀNG'!$A$4:$AT$4, 0))) = TRIM(O$6)) * (INDEX('6. TIẾN ĐỘ MUA HÀNG'!$A$5:$AT19, 0, XMATCH("CL NGÀY QUY ĐỊNH  - NGÀY KD YÊU CẦU", '6. TIẾN ĐỘ MUA HÀNG'!$A$4:$AT$4, 0)) &gt; 0))</f>
        <v>0</v>
      </c>
      <c r="Q18" s="731">
        <f t="shared" si="18"/>
        <v>0</v>
      </c>
      <c r="R18" s="769">
        <f>IFERROR(__xludf.DUMMYFUNCTION("COUNTA(IFERROR(FILTER(
  INDEX('6. TIẾN ĐỘ MUA HÀNG'!$A$5:$AT19, 0, XMATCH(""Mã đơn Misa"", '6. TIẾN ĐỘ MUA HÀNG'!$A$4:$AT$4, 0)), 
  INDEX('6. TIẾN ĐỘ MUA HÀNG'!$A$5:$AT19, 0, XMATCH(""Bộ phận/Cá nhân đặt hàng"", '6. TIẾN ĐỘ MUA HÀNG'!$A$4:$AT$4, 0)) = $"&amp;"B18, 
  TRIM(INDEX('6. TIẾN ĐỘ MUA HÀNG'!$A$5:$AT19, 0, XMATCH(""Tháng"", '6. TIẾN ĐỘ MUA HÀNG'!$A$4:$AT$4, 0))) = TRIM(R$6),
  INDEX('6. TIẾN ĐỘ MUA HÀNG'!$A$5:$AT19, 0, XMATCH(""Mã đơn Misa"", '6. TIẾN ĐỘ MUA HÀNG'!$A$4:$AT$4, 0)) &lt;&gt; """")))"),0.0)</f>
        <v>0</v>
      </c>
      <c r="S18" s="769">
        <f t="array" ref="S18">SUMPRODUCT((INDEX('6. TIẾN ĐỘ MUA HÀNG'!$A$5:$AT19, 0, XMATCH("Bộ phận/Cá nhân đặt hàng", '6. TIẾN ĐỘ MUA HÀNG'!$A$4:$AT$4, 0)) = $B18) * (TRIM(INDEX('6. TIẾN ĐỘ MUA HÀNG'!$A$5:$AT19, 0, XMATCH("Tháng", '6. TIẾN ĐỘ MUA HÀNG'!$A$4:$AT$4, 0))) = TRIM(R$6)) * (INDEX('6. TIẾN ĐỘ MUA HÀNG'!$A$5:$AT19, 0, XMATCH("CL NGÀY QUY ĐỊNH  - NGÀY KD YÊU CẦU", '6. TIẾN ĐỘ MUA HÀNG'!$A$4:$AT$4, 0)) &gt; 0))</f>
        <v>0</v>
      </c>
      <c r="T18" s="733">
        <f t="shared" si="19"/>
        <v>0</v>
      </c>
      <c r="U18" s="743">
        <f>IFERROR(__xludf.DUMMYFUNCTION("COUNTA(IFERROR(FILTER(
  INDEX('6. TIẾN ĐỘ MUA HÀNG'!$A$5:$AT19, 0, XMATCH(""Mã đơn Misa"", '6. TIẾN ĐỘ MUA HÀNG'!$A$4:$AT$4, 0)), 
  INDEX('6. TIẾN ĐỘ MUA HÀNG'!$A$5:$AT19, 0, XMATCH(""Bộ phận/Cá nhân đặt hàng"", '6. TIẾN ĐỘ MUA HÀNG'!$A$4:$AT$4, 0)) = $"&amp;"B18, 
  TRIM(INDEX('6. TIẾN ĐỘ MUA HÀNG'!$A$5:$AT19, 0, XMATCH(""Tháng"", '6. TIẾN ĐỘ MUA HÀNG'!$A$4:$AT$4, 0))) = TRIM(U$6),
  INDEX('6. TIẾN ĐỘ MUA HÀNG'!$A$5:$AT19, 0, XMATCH(""Mã đơn Misa"", '6. TIẾN ĐỘ MUA HÀNG'!$A$4:$AT$4, 0)) &lt;&gt; """")))"),0.0)</f>
        <v>0</v>
      </c>
      <c r="V18" s="743">
        <f t="array" ref="V18">SUMPRODUCT((INDEX('6. TIẾN ĐỘ MUA HÀNG'!$A$5:$AT19, 0, XMATCH("Bộ phận/Cá nhân đặt hàng", '6. TIẾN ĐỘ MUA HÀNG'!$A$4:$AT$4, 0)) = $B18) * (TRIM(INDEX('6. TIẾN ĐỘ MUA HÀNG'!$A$5:$AT19, 0, XMATCH("Tháng", '6. TIẾN ĐỘ MUA HÀNG'!$A$4:$AT$4, 0))) = TRIM(U$6)) * (INDEX('6. TIẾN ĐỘ MUA HÀNG'!$A$5:$AT19, 0, XMATCH("CL NGÀY QUY ĐỊNH  - NGÀY KD YÊU CẦU", '6. TIẾN ĐỘ MUA HÀNG'!$A$4:$AT$4, 0)) &gt; 0))</f>
        <v>0</v>
      </c>
      <c r="W18" s="731">
        <f t="shared" si="20"/>
        <v>0</v>
      </c>
      <c r="X18" s="769">
        <f>IFERROR(__xludf.DUMMYFUNCTION("COUNTA(IFERROR(FILTER(
  INDEX('6. TIẾN ĐỘ MUA HÀNG'!$A$5:$AT19, 0, XMATCH(""Mã đơn Misa"", '6. TIẾN ĐỘ MUA HÀNG'!$A$4:$AT$4, 0)), 
  INDEX('6. TIẾN ĐỘ MUA HÀNG'!$A$5:$AT19, 0, XMATCH(""Bộ phận/Cá nhân đặt hàng"", '6. TIẾN ĐỘ MUA HÀNG'!$A$4:$AT$4, 0)) = $"&amp;"B18, 
  TRIM(INDEX('6. TIẾN ĐỘ MUA HÀNG'!$A$5:$AT19, 0, XMATCH(""Tháng"", '6. TIẾN ĐỘ MUA HÀNG'!$A$4:$AT$4, 0))) = TRIM(X$6),
  INDEX('6. TIẾN ĐỘ MUA HÀNG'!$A$5:$AT19, 0, XMATCH(""Mã đơn Misa"", '6. TIẾN ĐỘ MUA HÀNG'!$A$4:$AT$4, 0)) &lt;&gt; """")))"),0.0)</f>
        <v>0</v>
      </c>
      <c r="Y18" s="769">
        <f t="array" ref="Y18">SUMPRODUCT((INDEX('6. TIẾN ĐỘ MUA HÀNG'!$A$5:$AT19, 0, XMATCH("Bộ phận/Cá nhân đặt hàng", '6. TIẾN ĐỘ MUA HÀNG'!$A$4:$AT$4, 0)) = $B18) * (TRIM(INDEX('6. TIẾN ĐỘ MUA HÀNG'!$A$5:$AT19, 0, XMATCH("Tháng", '6. TIẾN ĐỘ MUA HÀNG'!$A$4:$AT$4, 0))) = TRIM(X$6)) * (INDEX('6. TIẾN ĐỘ MUA HÀNG'!$A$5:$AT19, 0, XMATCH("CL NGÀY QUY ĐỊNH  - NGÀY KD YÊU CẦU", '6. TIẾN ĐỘ MUA HÀNG'!$A$4:$AT$4, 0)) &gt; 0))</f>
        <v>0</v>
      </c>
      <c r="Z18" s="733">
        <f t="shared" si="21"/>
        <v>0</v>
      </c>
      <c r="AA18" s="743">
        <f>IFERROR(__xludf.DUMMYFUNCTION("COUNTA(IFERROR(FILTER(
  INDEX('6. TIẾN ĐỘ MUA HÀNG'!$A$5:$AT19, 0, XMATCH(""Mã đơn Misa"", '6. TIẾN ĐỘ MUA HÀNG'!$A$4:$AT$4, 0)), 
  INDEX('6. TIẾN ĐỘ MUA HÀNG'!$A$5:$AT19, 0, XMATCH(""Bộ phận/Cá nhân đặt hàng"", '6. TIẾN ĐỘ MUA HÀNG'!$A$4:$AT$4, 0)) = $"&amp;"B18, 
  TRIM(INDEX('6. TIẾN ĐỘ MUA HÀNG'!$A$5:$AT19, 0, XMATCH(""Tháng"", '6. TIẾN ĐỘ MUA HÀNG'!$A$4:$AT$4, 0))) = TRIM(AA$6),
  INDEX('6. TIẾN ĐỘ MUA HÀNG'!$A$5:$AT19, 0, XMATCH(""Mã đơn Misa"", '6. TIẾN ĐỘ MUA HÀNG'!$A$4:$AT$4, 0)) &lt;&gt; """")))"),0.0)</f>
        <v>0</v>
      </c>
      <c r="AB18" s="743">
        <f t="array" ref="AB18">SUMPRODUCT((INDEX('6. TIẾN ĐỘ MUA HÀNG'!$A$5:$AT19, 0, XMATCH("Bộ phận/Cá nhân đặt hàng", '6. TIẾN ĐỘ MUA HÀNG'!$A$4:$AT$4, 0)) = $B18) * (TRIM(INDEX('6. TIẾN ĐỘ MUA HÀNG'!$A$5:$AT19, 0, XMATCH("Tháng", '6. TIẾN ĐỘ MUA HÀNG'!$A$4:$AT$4, 0))) = TRIM(AA$6)) * (INDEX('6. TIẾN ĐỘ MUA HÀNG'!$A$5:$AT19, 0, XMATCH("CL NGÀY QUY ĐỊNH  - NGÀY KD YÊU CẦU", '6. TIẾN ĐỘ MUA HÀNG'!$A$4:$AT$4, 0)) &gt; 0))</f>
        <v>0</v>
      </c>
      <c r="AC18" s="731">
        <f t="shared" si="22"/>
        <v>0</v>
      </c>
      <c r="AD18" s="769">
        <f>IFERROR(__xludf.DUMMYFUNCTION("COUNTA(IFERROR(FILTER(
  INDEX('6. TIẾN ĐỘ MUA HÀNG'!$A$5:$AT19, 0, XMATCH(""Mã đơn Misa"", '6. TIẾN ĐỘ MUA HÀNG'!$A$4:$AT$4, 0)), 
  INDEX('6. TIẾN ĐỘ MUA HÀNG'!$A$5:$AT19, 0, XMATCH(""Bộ phận/Cá nhân đặt hàng"", '6. TIẾN ĐỘ MUA HÀNG'!$A$4:$AT$4, 0)) = $"&amp;"B18, 
  TRIM(INDEX('6. TIẾN ĐỘ MUA HÀNG'!$A$5:$AT19, 0, XMATCH(""Tháng"", '6. TIẾN ĐỘ MUA HÀNG'!$A$4:$AT$4, 0))) = TRIM(AD$6),
  INDEX('6. TIẾN ĐỘ MUA HÀNG'!$A$5:$AT19, 0, XMATCH(""Mã đơn Misa"", '6. TIẾN ĐỘ MUA HÀNG'!$A$4:$AT$4, 0)) &lt;&gt; """")))"),0.0)</f>
        <v>0</v>
      </c>
      <c r="AE18" s="769">
        <f t="array" ref="AE18">SUMPRODUCT((INDEX('6. TIẾN ĐỘ MUA HÀNG'!$A$5:$AT19, 0, XMATCH("Bộ phận/Cá nhân đặt hàng", '6. TIẾN ĐỘ MUA HÀNG'!$A$4:$AT$4, 0)) = $B18) * (TRIM(INDEX('6. TIẾN ĐỘ MUA HÀNG'!$A$5:$AT19, 0, XMATCH("Tháng", '6. TIẾN ĐỘ MUA HÀNG'!$A$4:$AT$4, 0))) = TRIM(AD$6)) * (INDEX('6. TIẾN ĐỘ MUA HÀNG'!$A$5:$AT19, 0, XMATCH("CL NGÀY QUY ĐỊNH  - NGÀY KD YÊU CẦU", '6. TIẾN ĐỘ MUA HÀNG'!$A$4:$AT$4, 0)) &gt; 0))</f>
        <v>0</v>
      </c>
      <c r="AF18" s="733">
        <f t="shared" si="23"/>
        <v>0</v>
      </c>
      <c r="AG18" s="743">
        <f>IFERROR(__xludf.DUMMYFUNCTION("COUNTA(IFERROR(FILTER(
  INDEX('6. TIẾN ĐỘ MUA HÀNG'!$A$5:$AT19, 0, XMATCH(""Mã đơn Misa"", '6. TIẾN ĐỘ MUA HÀNG'!$A$4:$AT$4, 0)), 
  INDEX('6. TIẾN ĐỘ MUA HÀNG'!$A$5:$AT19, 0, XMATCH(""Bộ phận/Cá nhân đặt hàng"", '6. TIẾN ĐỘ MUA HÀNG'!$A$4:$AT$4, 0)) = $"&amp;"B18, 
  TRIM(INDEX('6. TIẾN ĐỘ MUA HÀNG'!$A$5:$AT19, 0, XMATCH(""Tháng"", '6. TIẾN ĐỘ MUA HÀNG'!$A$4:$AT$4, 0))) = TRIM(AG$6),
  INDEX('6. TIẾN ĐỘ MUA HÀNG'!$A$5:$AT19, 0, XMATCH(""Mã đơn Misa"", '6. TIẾN ĐỘ MUA HÀNG'!$A$4:$AT$4, 0)) &lt;&gt; """")))"),0.0)</f>
        <v>0</v>
      </c>
      <c r="AH18" s="743">
        <f t="array" ref="AH18">SUMPRODUCT((INDEX('6. TIẾN ĐỘ MUA HÀNG'!$A$5:$AT19, 0, XMATCH("Bộ phận/Cá nhân đặt hàng", '6. TIẾN ĐỘ MUA HÀNG'!$A$4:$AT$4, 0)) = $B18) * (TRIM(INDEX('6. TIẾN ĐỘ MUA HÀNG'!$A$5:$AT19, 0, XMATCH("Tháng", '6. TIẾN ĐỘ MUA HÀNG'!$A$4:$AT$4, 0))) = TRIM(AG$6)) * (INDEX('6. TIẾN ĐỘ MUA HÀNG'!$A$5:$AT19, 0, XMATCH("CL NGÀY QUY ĐỊNH  - NGÀY KD YÊU CẦU", '6. TIẾN ĐỘ MUA HÀNG'!$A$4:$AT$4, 0)) &gt; 0))</f>
        <v>0</v>
      </c>
      <c r="AI18" s="731">
        <f t="shared" si="24"/>
        <v>0</v>
      </c>
      <c r="AJ18" s="769">
        <f>IFERROR(__xludf.DUMMYFUNCTION("COUNTA(IFERROR(FILTER(
  INDEX('6. TIẾN ĐỘ MUA HÀNG'!$A$5:$AT19, 0, XMATCH(""Mã đơn Misa"", '6. TIẾN ĐỘ MUA HÀNG'!$A$4:$AT$4, 0)), 
  INDEX('6. TIẾN ĐỘ MUA HÀNG'!$A$5:$AT19, 0, XMATCH(""Bộ phận/Cá nhân đặt hàng"", '6. TIẾN ĐỘ MUA HÀNG'!$A$4:$AT$4, 0)) = $"&amp;"B18, 
  TRIM(INDEX('6. TIẾN ĐỘ MUA HÀNG'!$A$5:$AT19, 0, XMATCH(""Tháng"", '6. TIẾN ĐỘ MUA HÀNG'!$A$4:$AT$4, 0))) = TRIM(AJ$6),
  INDEX('6. TIẾN ĐỘ MUA HÀNG'!$A$5:$AT19, 0, XMATCH(""Mã đơn Misa"", '6. TIẾN ĐỘ MUA HÀNG'!$A$4:$AT$4, 0)) &lt;&gt; """")))"),0.0)</f>
        <v>0</v>
      </c>
      <c r="AK18" s="769">
        <f t="array" ref="AK18">SUMPRODUCT((INDEX('6. TIẾN ĐỘ MUA HÀNG'!$A$5:$AT19, 0, XMATCH("Bộ phận/Cá nhân đặt hàng", '6. TIẾN ĐỘ MUA HÀNG'!$A$4:$AT$4, 0)) = $B18) * (TRIM(INDEX('6. TIẾN ĐỘ MUA HÀNG'!$A$5:$AT19, 0, XMATCH("Tháng", '6. TIẾN ĐỘ MUA HÀNG'!$A$4:$AT$4, 0))) = TRIM(AJ$6)) * (INDEX('6. TIẾN ĐỘ MUA HÀNG'!$A$5:$AT19, 0, XMATCH("CL NGÀY QUY ĐỊNH  - NGÀY KD YÊU CẦU", '6. TIẾN ĐỘ MUA HÀNG'!$A$4:$AT$4, 0)) &gt; 0))</f>
        <v>0</v>
      </c>
      <c r="AL18" s="733">
        <f t="shared" si="25"/>
        <v>0</v>
      </c>
      <c r="AM18" s="726">
        <f t="shared" si="27"/>
        <v>0</v>
      </c>
      <c r="AN18" s="726">
        <f t="shared" si="28"/>
        <v>0</v>
      </c>
      <c r="AO18" s="727">
        <f t="shared" si="26"/>
        <v>0</v>
      </c>
    </row>
    <row r="19">
      <c r="A19" s="612">
        <v>11.0</v>
      </c>
      <c r="B19" s="139" t="str">
        <f>IFERROR(__xludf.DUMMYFUNCTION("""COMPUTED_VALUE"""),"QLTM_Ms Ngân")</f>
        <v>QLTM_Ms Ngân</v>
      </c>
      <c r="C19" s="743">
        <f>IFERROR(__xludf.DUMMYFUNCTION("COUNTA(IFERROR(FILTER(
  INDEX('6. TIẾN ĐỘ MUA HÀNG'!$A$5:$AT19, 0, XMATCH(""Mã đơn Misa"", '6. TIẾN ĐỘ MUA HÀNG'!$A$4:$AT$4, 0)), 
  INDEX('6. TIẾN ĐỘ MUA HÀNG'!$A$5:$AT19, 0, XMATCH(""Bộ phận/Cá nhân đặt hàng"", '6. TIẾN ĐỘ MUA HÀNG'!$A$4:$AT$4, 0)) = $"&amp;"B19, 
  TRIM(INDEX('6. TIẾN ĐỘ MUA HÀNG'!$A$5:$AT19, 0, XMATCH(""Tháng"", '6. TIẾN ĐỘ MUA HÀNG'!$A$4:$AT$4, 0))) = TRIM(C$6),
  INDEX('6. TIẾN ĐỘ MUA HÀNG'!$A$5:$AT19, 0, XMATCH(""Mã đơn Misa"", '6. TIẾN ĐỘ MUA HÀNG'!$A$4:$AT$4, 0)) &lt;&gt; """")))"),0.0)</f>
        <v>0</v>
      </c>
      <c r="D19" s="743">
        <f t="array" ref="D19">SUMPRODUCT((INDEX('6. TIẾN ĐỘ MUA HÀNG'!$A$5:$AT19, 0, XMATCH("Bộ phận/Cá nhân đặt hàng", '6. TIẾN ĐỘ MUA HÀNG'!$A$4:$AT$4, 0)) = $B19) * (TRIM(INDEX('6. TIẾN ĐỘ MUA HÀNG'!$A$5:$AT19, 0, XMATCH("Tháng", '6. TIẾN ĐỘ MUA HÀNG'!$A$4:$AT$4, 0))) = TRIM(C$6)) * (INDEX('6. TIẾN ĐỘ MUA HÀNG'!$A$5:$AT19, 0, XMATCH("CL NGÀY QUY ĐỊNH  - NGÀY KD YÊU CẦU", '6. TIẾN ĐỘ MUA HÀNG'!$A$4:$AT$4, 0)) &gt; 0))</f>
        <v>0</v>
      </c>
      <c r="E19" s="731">
        <f t="shared" si="14"/>
        <v>0</v>
      </c>
      <c r="F19" s="769">
        <f>IFERROR(__xludf.DUMMYFUNCTION("COUNTA(IFERROR(FILTER(
  INDEX('6. TIẾN ĐỘ MUA HÀNG'!$A$5:$AT19, 0, XMATCH(""Mã đơn Misa"", '6. TIẾN ĐỘ MUA HÀNG'!$A$4:$AT$4, 0)), 
  INDEX('6. TIẾN ĐỘ MUA HÀNG'!$A$5:$AT19, 0, XMATCH(""Bộ phận/Cá nhân đặt hàng"", '6. TIẾN ĐỘ MUA HÀNG'!$A$4:$AT$4, 0)) = $"&amp;"B19, 
  TRIM(INDEX('6. TIẾN ĐỘ MUA HÀNG'!$A$5:$AT19, 0, XMATCH(""Tháng"", '6. TIẾN ĐỘ MUA HÀNG'!$A$4:$AT$4, 0))) = TRIM(F$6),
  INDEX('6. TIẾN ĐỘ MUA HÀNG'!$A$5:$AT19, 0, XMATCH(""Mã đơn Misa"", '6. TIẾN ĐỘ MUA HÀNG'!$A$4:$AT$4, 0)) &lt;&gt; """")))"),0.0)</f>
        <v>0</v>
      </c>
      <c r="G19" s="769">
        <f t="array" ref="G19">SUMPRODUCT((INDEX('6. TIẾN ĐỘ MUA HÀNG'!$A$5:$AT19, 0, XMATCH("Bộ phận/Cá nhân đặt hàng", '6. TIẾN ĐỘ MUA HÀNG'!$A$4:$AT$4, 0)) = $B19) * (TRIM(INDEX('6. TIẾN ĐỘ MUA HÀNG'!$A$5:$AT19, 0, XMATCH("Tháng", '6. TIẾN ĐỘ MUA HÀNG'!$A$4:$AT$4, 0))) = TRIM(F$6)) * (INDEX('6. TIẾN ĐỘ MUA HÀNG'!$A$5:$AT19, 0, XMATCH("CL NGÀY QUY ĐỊNH  - NGÀY KD YÊU CẦU", '6. TIẾN ĐỘ MUA HÀNG'!$A$4:$AT$4, 0)) &gt; 0))</f>
        <v>0</v>
      </c>
      <c r="H19" s="733">
        <f t="shared" si="15"/>
        <v>0</v>
      </c>
      <c r="I19" s="743">
        <f>IFERROR(__xludf.DUMMYFUNCTION("COUNTA(IFERROR(FILTER(
  INDEX('6. TIẾN ĐỘ MUA HÀNG'!$A$5:$AT19, 0, XMATCH(""Mã đơn Misa"", '6. TIẾN ĐỘ MUA HÀNG'!$A$4:$AT$4, 0)), 
  INDEX('6. TIẾN ĐỘ MUA HÀNG'!$A$5:$AT19, 0, XMATCH(""Bộ phận/Cá nhân đặt hàng"", '6. TIẾN ĐỘ MUA HÀNG'!$A$4:$AT$4, 0)) = $"&amp;"B19, 
  TRIM(INDEX('6. TIẾN ĐỘ MUA HÀNG'!$A$5:$AT19, 0, XMATCH(""Tháng"", '6. TIẾN ĐỘ MUA HÀNG'!$A$4:$AT$4, 0))) = TRIM(I$6),
  INDEX('6. TIẾN ĐỘ MUA HÀNG'!$A$5:$AT19, 0, XMATCH(""Mã đơn Misa"", '6. TIẾN ĐỘ MUA HÀNG'!$A$4:$AT$4, 0)) &lt;&gt; """")))"),0.0)</f>
        <v>0</v>
      </c>
      <c r="J19" s="743">
        <f t="array" ref="J19">SUMPRODUCT((INDEX('6. TIẾN ĐỘ MUA HÀNG'!$A$5:$AT19, 0, XMATCH("Bộ phận/Cá nhân đặt hàng", '6. TIẾN ĐỘ MUA HÀNG'!$A$4:$AT$4, 0)) = $B19) * (TRIM(INDEX('6. TIẾN ĐỘ MUA HÀNG'!$A$5:$AT19, 0, XMATCH("Tháng", '6. TIẾN ĐỘ MUA HÀNG'!$A$4:$AT$4, 0))) = TRIM(I$6)) * (INDEX('6. TIẾN ĐỘ MUA HÀNG'!$A$5:$AT19, 0, XMATCH("CL NGÀY QUY ĐỊNH  - NGÀY KD YÊU CẦU", '6. TIẾN ĐỘ MUA HÀNG'!$A$4:$AT$4, 0)) &gt; 0))</f>
        <v>0</v>
      </c>
      <c r="K19" s="731">
        <f t="shared" si="16"/>
        <v>0</v>
      </c>
      <c r="L19" s="769">
        <f>IFERROR(__xludf.DUMMYFUNCTION("COUNTA(IFERROR(FILTER(
  INDEX('6. TIẾN ĐỘ MUA HÀNG'!$A$5:$AT19, 0, XMATCH(""Mã đơn Misa"", '6. TIẾN ĐỘ MUA HÀNG'!$A$4:$AT$4, 0)), 
  INDEX('6. TIẾN ĐỘ MUA HÀNG'!$A$5:$AT19, 0, XMATCH(""Bộ phận/Cá nhân đặt hàng"", '6. TIẾN ĐỘ MUA HÀNG'!$A$4:$AT$4, 0)) = $"&amp;"B19, 
  TRIM(INDEX('6. TIẾN ĐỘ MUA HÀNG'!$A$5:$AT19, 0, XMATCH(""Tháng"", '6. TIẾN ĐỘ MUA HÀNG'!$A$4:$AT$4, 0))) = TRIM(L$6),
  INDEX('6. TIẾN ĐỘ MUA HÀNG'!$A$5:$AT19, 0, XMATCH(""Mã đơn Misa"", '6. TIẾN ĐỘ MUA HÀNG'!$A$4:$AT$4, 0)) &lt;&gt; """")))"),0.0)</f>
        <v>0</v>
      </c>
      <c r="M19" s="769">
        <f t="array" ref="M19">SUMPRODUCT((INDEX('6. TIẾN ĐỘ MUA HÀNG'!$A$5:$AT19, 0, XMATCH("Bộ phận/Cá nhân đặt hàng", '6. TIẾN ĐỘ MUA HÀNG'!$A$4:$AT$4, 0)) = $B19) * (TRIM(INDEX('6. TIẾN ĐỘ MUA HÀNG'!$A$5:$AT19, 0, XMATCH("Tháng", '6. TIẾN ĐỘ MUA HÀNG'!$A$4:$AT$4, 0))) = TRIM(L$6)) * (INDEX('6. TIẾN ĐỘ MUA HÀNG'!$A$5:$AT19, 0, XMATCH("CL NGÀY QUY ĐỊNH  - NGÀY KD YÊU CẦU", '6. TIẾN ĐỘ MUA HÀNG'!$A$4:$AT$4, 0)) &gt; 0))</f>
        <v>0</v>
      </c>
      <c r="N19" s="733">
        <f t="shared" si="17"/>
        <v>0</v>
      </c>
      <c r="O19" s="743">
        <f>IFERROR(__xludf.DUMMYFUNCTION("COUNTA(IFERROR(FILTER(
  INDEX('6. TIẾN ĐỘ MUA HÀNG'!$A$5:$AT19, 0, XMATCH(""Mã đơn Misa"", '6. TIẾN ĐỘ MUA HÀNG'!$A$4:$AT$4, 0)), 
  INDEX('6. TIẾN ĐỘ MUA HÀNG'!$A$5:$AT19, 0, XMATCH(""Bộ phận/Cá nhân đặt hàng"", '6. TIẾN ĐỘ MUA HÀNG'!$A$4:$AT$4, 0)) = $"&amp;"B19, 
  TRIM(INDEX('6. TIẾN ĐỘ MUA HÀNG'!$A$5:$AT19, 0, XMATCH(""Tháng"", '6. TIẾN ĐỘ MUA HÀNG'!$A$4:$AT$4, 0))) = TRIM(O$6),
  INDEX('6. TIẾN ĐỘ MUA HÀNG'!$A$5:$AT19, 0, XMATCH(""Mã đơn Misa"", '6. TIẾN ĐỘ MUA HÀNG'!$A$4:$AT$4, 0)) &lt;&gt; """")))"),0.0)</f>
        <v>0</v>
      </c>
      <c r="P19" s="743">
        <f t="array" ref="P19">SUMPRODUCT((INDEX('6. TIẾN ĐỘ MUA HÀNG'!$A$5:$AT19, 0, XMATCH("Bộ phận/Cá nhân đặt hàng", '6. TIẾN ĐỘ MUA HÀNG'!$A$4:$AT$4, 0)) = $B19) * (TRIM(INDEX('6. TIẾN ĐỘ MUA HÀNG'!$A$5:$AT19, 0, XMATCH("Tháng", '6. TIẾN ĐỘ MUA HÀNG'!$A$4:$AT$4, 0))) = TRIM(O$6)) * (INDEX('6. TIẾN ĐỘ MUA HÀNG'!$A$5:$AT19, 0, XMATCH("CL NGÀY QUY ĐỊNH  - NGÀY KD YÊU CẦU", '6. TIẾN ĐỘ MUA HÀNG'!$A$4:$AT$4, 0)) &gt; 0))</f>
        <v>0</v>
      </c>
      <c r="Q19" s="731">
        <f t="shared" si="18"/>
        <v>0</v>
      </c>
      <c r="R19" s="769">
        <f>IFERROR(__xludf.DUMMYFUNCTION("COUNTA(IFERROR(FILTER(
  INDEX('6. TIẾN ĐỘ MUA HÀNG'!$A$5:$AT19, 0, XMATCH(""Mã đơn Misa"", '6. TIẾN ĐỘ MUA HÀNG'!$A$4:$AT$4, 0)), 
  INDEX('6. TIẾN ĐỘ MUA HÀNG'!$A$5:$AT19, 0, XMATCH(""Bộ phận/Cá nhân đặt hàng"", '6. TIẾN ĐỘ MUA HÀNG'!$A$4:$AT$4, 0)) = $"&amp;"B19, 
  TRIM(INDEX('6. TIẾN ĐỘ MUA HÀNG'!$A$5:$AT19, 0, XMATCH(""Tháng"", '6. TIẾN ĐỘ MUA HÀNG'!$A$4:$AT$4, 0))) = TRIM(R$6),
  INDEX('6. TIẾN ĐỘ MUA HÀNG'!$A$5:$AT19, 0, XMATCH(""Mã đơn Misa"", '6. TIẾN ĐỘ MUA HÀNG'!$A$4:$AT$4, 0)) &lt;&gt; """")))"),0.0)</f>
        <v>0</v>
      </c>
      <c r="S19" s="769">
        <f t="array" ref="S19">SUMPRODUCT((INDEX('6. TIẾN ĐỘ MUA HÀNG'!$A$5:$AT19, 0, XMATCH("Bộ phận/Cá nhân đặt hàng", '6. TIẾN ĐỘ MUA HÀNG'!$A$4:$AT$4, 0)) = $B19) * (TRIM(INDEX('6. TIẾN ĐỘ MUA HÀNG'!$A$5:$AT19, 0, XMATCH("Tháng", '6. TIẾN ĐỘ MUA HÀNG'!$A$4:$AT$4, 0))) = TRIM(R$6)) * (INDEX('6. TIẾN ĐỘ MUA HÀNG'!$A$5:$AT19, 0, XMATCH("CL NGÀY QUY ĐỊNH  - NGÀY KD YÊU CẦU", '6. TIẾN ĐỘ MUA HÀNG'!$A$4:$AT$4, 0)) &gt; 0))</f>
        <v>0</v>
      </c>
      <c r="T19" s="733">
        <f t="shared" si="19"/>
        <v>0</v>
      </c>
      <c r="U19" s="743">
        <f>IFERROR(__xludf.DUMMYFUNCTION("COUNTA(IFERROR(FILTER(
  INDEX('6. TIẾN ĐỘ MUA HÀNG'!$A$5:$AT19, 0, XMATCH(""Mã đơn Misa"", '6. TIẾN ĐỘ MUA HÀNG'!$A$4:$AT$4, 0)), 
  INDEX('6. TIẾN ĐỘ MUA HÀNG'!$A$5:$AT19, 0, XMATCH(""Bộ phận/Cá nhân đặt hàng"", '6. TIẾN ĐỘ MUA HÀNG'!$A$4:$AT$4, 0)) = $"&amp;"B19, 
  TRIM(INDEX('6. TIẾN ĐỘ MUA HÀNG'!$A$5:$AT19, 0, XMATCH(""Tháng"", '6. TIẾN ĐỘ MUA HÀNG'!$A$4:$AT$4, 0))) = TRIM(U$6),
  INDEX('6. TIẾN ĐỘ MUA HÀNG'!$A$5:$AT19, 0, XMATCH(""Mã đơn Misa"", '6. TIẾN ĐỘ MUA HÀNG'!$A$4:$AT$4, 0)) &lt;&gt; """")))"),0.0)</f>
        <v>0</v>
      </c>
      <c r="V19" s="743">
        <f t="array" ref="V19">SUMPRODUCT((INDEX('6. TIẾN ĐỘ MUA HÀNG'!$A$5:$AT19, 0, XMATCH("Bộ phận/Cá nhân đặt hàng", '6. TIẾN ĐỘ MUA HÀNG'!$A$4:$AT$4, 0)) = $B19) * (TRIM(INDEX('6. TIẾN ĐỘ MUA HÀNG'!$A$5:$AT19, 0, XMATCH("Tháng", '6. TIẾN ĐỘ MUA HÀNG'!$A$4:$AT$4, 0))) = TRIM(U$6)) * (INDEX('6. TIẾN ĐỘ MUA HÀNG'!$A$5:$AT19, 0, XMATCH("CL NGÀY QUY ĐỊNH  - NGÀY KD YÊU CẦU", '6. TIẾN ĐỘ MUA HÀNG'!$A$4:$AT$4, 0)) &gt; 0))</f>
        <v>0</v>
      </c>
      <c r="W19" s="731">
        <f t="shared" si="20"/>
        <v>0</v>
      </c>
      <c r="X19" s="769">
        <f>IFERROR(__xludf.DUMMYFUNCTION("COUNTA(IFERROR(FILTER(
  INDEX('6. TIẾN ĐỘ MUA HÀNG'!$A$5:$AT19, 0, XMATCH(""Mã đơn Misa"", '6. TIẾN ĐỘ MUA HÀNG'!$A$4:$AT$4, 0)), 
  INDEX('6. TIẾN ĐỘ MUA HÀNG'!$A$5:$AT19, 0, XMATCH(""Bộ phận/Cá nhân đặt hàng"", '6. TIẾN ĐỘ MUA HÀNG'!$A$4:$AT$4, 0)) = $"&amp;"B19, 
  TRIM(INDEX('6. TIẾN ĐỘ MUA HÀNG'!$A$5:$AT19, 0, XMATCH(""Tháng"", '6. TIẾN ĐỘ MUA HÀNG'!$A$4:$AT$4, 0))) = TRIM(X$6),
  INDEX('6. TIẾN ĐỘ MUA HÀNG'!$A$5:$AT19, 0, XMATCH(""Mã đơn Misa"", '6. TIẾN ĐỘ MUA HÀNG'!$A$4:$AT$4, 0)) &lt;&gt; """")))"),0.0)</f>
        <v>0</v>
      </c>
      <c r="Y19" s="769">
        <f t="array" ref="Y19">SUMPRODUCT((INDEX('6. TIẾN ĐỘ MUA HÀNG'!$A$5:$AT19, 0, XMATCH("Bộ phận/Cá nhân đặt hàng", '6. TIẾN ĐỘ MUA HÀNG'!$A$4:$AT$4, 0)) = $B19) * (TRIM(INDEX('6. TIẾN ĐỘ MUA HÀNG'!$A$5:$AT19, 0, XMATCH("Tháng", '6. TIẾN ĐỘ MUA HÀNG'!$A$4:$AT$4, 0))) = TRIM(X$6)) * (INDEX('6. TIẾN ĐỘ MUA HÀNG'!$A$5:$AT19, 0, XMATCH("CL NGÀY QUY ĐỊNH  - NGÀY KD YÊU CẦU", '6. TIẾN ĐỘ MUA HÀNG'!$A$4:$AT$4, 0)) &gt; 0))</f>
        <v>0</v>
      </c>
      <c r="Z19" s="733">
        <f t="shared" si="21"/>
        <v>0</v>
      </c>
      <c r="AA19" s="743">
        <f>IFERROR(__xludf.DUMMYFUNCTION("COUNTA(IFERROR(FILTER(
  INDEX('6. TIẾN ĐỘ MUA HÀNG'!$A$5:$AT19, 0, XMATCH(""Mã đơn Misa"", '6. TIẾN ĐỘ MUA HÀNG'!$A$4:$AT$4, 0)), 
  INDEX('6. TIẾN ĐỘ MUA HÀNG'!$A$5:$AT19, 0, XMATCH(""Bộ phận/Cá nhân đặt hàng"", '6. TIẾN ĐỘ MUA HÀNG'!$A$4:$AT$4, 0)) = $"&amp;"B19, 
  TRIM(INDEX('6. TIẾN ĐỘ MUA HÀNG'!$A$5:$AT19, 0, XMATCH(""Tháng"", '6. TIẾN ĐỘ MUA HÀNG'!$A$4:$AT$4, 0))) = TRIM(AA$6),
  INDEX('6. TIẾN ĐỘ MUA HÀNG'!$A$5:$AT19, 0, XMATCH(""Mã đơn Misa"", '6. TIẾN ĐỘ MUA HÀNG'!$A$4:$AT$4, 0)) &lt;&gt; """")))"),0.0)</f>
        <v>0</v>
      </c>
      <c r="AB19" s="743">
        <f t="array" ref="AB19">SUMPRODUCT((INDEX('6. TIẾN ĐỘ MUA HÀNG'!$A$5:$AT19, 0, XMATCH("Bộ phận/Cá nhân đặt hàng", '6. TIẾN ĐỘ MUA HÀNG'!$A$4:$AT$4, 0)) = $B19) * (TRIM(INDEX('6. TIẾN ĐỘ MUA HÀNG'!$A$5:$AT19, 0, XMATCH("Tháng", '6. TIẾN ĐỘ MUA HÀNG'!$A$4:$AT$4, 0))) = TRIM(AA$6)) * (INDEX('6. TIẾN ĐỘ MUA HÀNG'!$A$5:$AT19, 0, XMATCH("CL NGÀY QUY ĐỊNH  - NGÀY KD YÊU CẦU", '6. TIẾN ĐỘ MUA HÀNG'!$A$4:$AT$4, 0)) &gt; 0))</f>
        <v>0</v>
      </c>
      <c r="AC19" s="731">
        <f t="shared" si="22"/>
        <v>0</v>
      </c>
      <c r="AD19" s="769">
        <f>IFERROR(__xludf.DUMMYFUNCTION("COUNTA(IFERROR(FILTER(
  INDEX('6. TIẾN ĐỘ MUA HÀNG'!$A$5:$AT19, 0, XMATCH(""Mã đơn Misa"", '6. TIẾN ĐỘ MUA HÀNG'!$A$4:$AT$4, 0)), 
  INDEX('6. TIẾN ĐỘ MUA HÀNG'!$A$5:$AT19, 0, XMATCH(""Bộ phận/Cá nhân đặt hàng"", '6. TIẾN ĐỘ MUA HÀNG'!$A$4:$AT$4, 0)) = $"&amp;"B19, 
  TRIM(INDEX('6. TIẾN ĐỘ MUA HÀNG'!$A$5:$AT19, 0, XMATCH(""Tháng"", '6. TIẾN ĐỘ MUA HÀNG'!$A$4:$AT$4, 0))) = TRIM(AD$6),
  INDEX('6. TIẾN ĐỘ MUA HÀNG'!$A$5:$AT19, 0, XMATCH(""Mã đơn Misa"", '6. TIẾN ĐỘ MUA HÀNG'!$A$4:$AT$4, 0)) &lt;&gt; """")))"),0.0)</f>
        <v>0</v>
      </c>
      <c r="AE19" s="769">
        <f t="array" ref="AE19">SUMPRODUCT((INDEX('6. TIẾN ĐỘ MUA HÀNG'!$A$5:$AT19, 0, XMATCH("Bộ phận/Cá nhân đặt hàng", '6. TIẾN ĐỘ MUA HÀNG'!$A$4:$AT$4, 0)) = $B19) * (TRIM(INDEX('6. TIẾN ĐỘ MUA HÀNG'!$A$5:$AT19, 0, XMATCH("Tháng", '6. TIẾN ĐỘ MUA HÀNG'!$A$4:$AT$4, 0))) = TRIM(AD$6)) * (INDEX('6. TIẾN ĐỘ MUA HÀNG'!$A$5:$AT19, 0, XMATCH("CL NGÀY QUY ĐỊNH  - NGÀY KD YÊU CẦU", '6. TIẾN ĐỘ MUA HÀNG'!$A$4:$AT$4, 0)) &gt; 0))</f>
        <v>0</v>
      </c>
      <c r="AF19" s="733">
        <f t="shared" si="23"/>
        <v>0</v>
      </c>
      <c r="AG19" s="743">
        <f>IFERROR(__xludf.DUMMYFUNCTION("COUNTA(IFERROR(FILTER(
  INDEX('6. TIẾN ĐỘ MUA HÀNG'!$A$5:$AT19, 0, XMATCH(""Mã đơn Misa"", '6. TIẾN ĐỘ MUA HÀNG'!$A$4:$AT$4, 0)), 
  INDEX('6. TIẾN ĐỘ MUA HÀNG'!$A$5:$AT19, 0, XMATCH(""Bộ phận/Cá nhân đặt hàng"", '6. TIẾN ĐỘ MUA HÀNG'!$A$4:$AT$4, 0)) = $"&amp;"B19, 
  TRIM(INDEX('6. TIẾN ĐỘ MUA HÀNG'!$A$5:$AT19, 0, XMATCH(""Tháng"", '6. TIẾN ĐỘ MUA HÀNG'!$A$4:$AT$4, 0))) = TRIM(AG$6),
  INDEX('6. TIẾN ĐỘ MUA HÀNG'!$A$5:$AT19, 0, XMATCH(""Mã đơn Misa"", '6. TIẾN ĐỘ MUA HÀNG'!$A$4:$AT$4, 0)) &lt;&gt; """")))"),0.0)</f>
        <v>0</v>
      </c>
      <c r="AH19" s="743">
        <f t="array" ref="AH19">SUMPRODUCT((INDEX('6. TIẾN ĐỘ MUA HÀNG'!$A$5:$AT19, 0, XMATCH("Bộ phận/Cá nhân đặt hàng", '6. TIẾN ĐỘ MUA HÀNG'!$A$4:$AT$4, 0)) = $B19) * (TRIM(INDEX('6. TIẾN ĐỘ MUA HÀNG'!$A$5:$AT19, 0, XMATCH("Tháng", '6. TIẾN ĐỘ MUA HÀNG'!$A$4:$AT$4, 0))) = TRIM(AG$6)) * (INDEX('6. TIẾN ĐỘ MUA HÀNG'!$A$5:$AT19, 0, XMATCH("CL NGÀY QUY ĐỊNH  - NGÀY KD YÊU CẦU", '6. TIẾN ĐỘ MUA HÀNG'!$A$4:$AT$4, 0)) &gt; 0))</f>
        <v>0</v>
      </c>
      <c r="AI19" s="731">
        <f t="shared" si="24"/>
        <v>0</v>
      </c>
      <c r="AJ19" s="769">
        <f>IFERROR(__xludf.DUMMYFUNCTION("COUNTA(IFERROR(FILTER(
  INDEX('6. TIẾN ĐỘ MUA HÀNG'!$A$5:$AT19, 0, XMATCH(""Mã đơn Misa"", '6. TIẾN ĐỘ MUA HÀNG'!$A$4:$AT$4, 0)), 
  INDEX('6. TIẾN ĐỘ MUA HÀNG'!$A$5:$AT19, 0, XMATCH(""Bộ phận/Cá nhân đặt hàng"", '6. TIẾN ĐỘ MUA HÀNG'!$A$4:$AT$4, 0)) = $"&amp;"B19, 
  TRIM(INDEX('6. TIẾN ĐỘ MUA HÀNG'!$A$5:$AT19, 0, XMATCH(""Tháng"", '6. TIẾN ĐỘ MUA HÀNG'!$A$4:$AT$4, 0))) = TRIM(AJ$6),
  INDEX('6. TIẾN ĐỘ MUA HÀNG'!$A$5:$AT19, 0, XMATCH(""Mã đơn Misa"", '6. TIẾN ĐỘ MUA HÀNG'!$A$4:$AT$4, 0)) &lt;&gt; """")))"),0.0)</f>
        <v>0</v>
      </c>
      <c r="AK19" s="769">
        <f t="array" ref="AK19">SUMPRODUCT((INDEX('6. TIẾN ĐỘ MUA HÀNG'!$A$5:$AT19, 0, XMATCH("Bộ phận/Cá nhân đặt hàng", '6. TIẾN ĐỘ MUA HÀNG'!$A$4:$AT$4, 0)) = $B19) * (TRIM(INDEX('6. TIẾN ĐỘ MUA HÀNG'!$A$5:$AT19, 0, XMATCH("Tháng", '6. TIẾN ĐỘ MUA HÀNG'!$A$4:$AT$4, 0))) = TRIM(AJ$6)) * (INDEX('6. TIẾN ĐỘ MUA HÀNG'!$A$5:$AT19, 0, XMATCH("CL NGÀY QUY ĐỊNH  - NGÀY KD YÊU CẦU", '6. TIẾN ĐỘ MUA HÀNG'!$A$4:$AT$4, 0)) &gt; 0))</f>
        <v>0</v>
      </c>
      <c r="AL19" s="733">
        <f t="shared" si="25"/>
        <v>0</v>
      </c>
      <c r="AM19" s="726">
        <f t="shared" si="27"/>
        <v>0</v>
      </c>
      <c r="AN19" s="726">
        <f t="shared" si="28"/>
        <v>0</v>
      </c>
      <c r="AO19" s="727">
        <f t="shared" si="26"/>
        <v>0</v>
      </c>
    </row>
  </sheetData>
  <mergeCells count="15">
    <mergeCell ref="O6:Q6"/>
    <mergeCell ref="R6:T6"/>
    <mergeCell ref="U6:W6"/>
    <mergeCell ref="X6:Z6"/>
    <mergeCell ref="AA6:AC6"/>
    <mergeCell ref="AD6:AF6"/>
    <mergeCell ref="AG6:AI6"/>
    <mergeCell ref="AJ6:AL6"/>
    <mergeCell ref="C3:AD3"/>
    <mergeCell ref="A5:A8"/>
    <mergeCell ref="B5:B8"/>
    <mergeCell ref="C5:AL5"/>
    <mergeCell ref="AM5:AM7"/>
    <mergeCell ref="AN5:AN7"/>
    <mergeCell ref="AO5:AO7"/>
  </mergeCells>
  <conditionalFormatting sqref="AO8:AO19">
    <cfRule type="expression" dxfId="15" priority="1">
      <formula>AO8&gt;=30%</formula>
    </cfRule>
  </conditionalFormatting>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28.75"/>
    <col customWidth="1" min="11" max="11" width="15.0"/>
  </cols>
  <sheetData>
    <row r="1">
      <c r="A1" s="770" t="s">
        <v>1451</v>
      </c>
      <c r="F1" s="770"/>
      <c r="G1" s="770"/>
      <c r="H1" s="770"/>
      <c r="I1" s="771"/>
      <c r="J1" s="771"/>
      <c r="K1" s="772"/>
    </row>
    <row r="2" ht="33.0" customHeight="1">
      <c r="A2" s="773" t="s">
        <v>165</v>
      </c>
      <c r="B2" s="774"/>
      <c r="C2" s="774"/>
      <c r="D2" s="774"/>
      <c r="E2" s="774"/>
      <c r="F2" s="774"/>
      <c r="G2" s="774"/>
      <c r="H2" s="774"/>
      <c r="I2" s="775"/>
      <c r="J2" s="775"/>
      <c r="K2" s="776"/>
    </row>
    <row r="3">
      <c r="A3" s="777" t="s">
        <v>1452</v>
      </c>
      <c r="B3" s="777" t="s">
        <v>1452</v>
      </c>
      <c r="C3" s="777" t="s">
        <v>258</v>
      </c>
      <c r="D3" s="778" t="s">
        <v>258</v>
      </c>
      <c r="E3" s="779" t="s">
        <v>258</v>
      </c>
      <c r="F3" s="777" t="s">
        <v>258</v>
      </c>
      <c r="G3" s="778"/>
      <c r="H3" s="778"/>
      <c r="I3" s="778"/>
      <c r="J3" s="778"/>
      <c r="K3" s="777"/>
    </row>
    <row r="4">
      <c r="A4" s="667" t="s">
        <v>1453</v>
      </c>
      <c r="B4" s="667" t="s">
        <v>1408</v>
      </c>
      <c r="C4" s="667" t="s">
        <v>1454</v>
      </c>
      <c r="D4" s="667" t="s">
        <v>1455</v>
      </c>
      <c r="E4" s="667" t="s">
        <v>1456</v>
      </c>
      <c r="F4" s="667" t="s">
        <v>1457</v>
      </c>
      <c r="G4" s="780"/>
      <c r="H4" s="780"/>
      <c r="I4" s="781"/>
      <c r="J4" s="781"/>
      <c r="K4" s="782"/>
    </row>
    <row r="5" ht="21.0" customHeight="1">
      <c r="A5" s="783" t="s">
        <v>567</v>
      </c>
      <c r="B5" s="672">
        <v>46113.0</v>
      </c>
      <c r="C5" s="673">
        <f>COUNTIFS(A8:A20, A5, B8:B20, B5)</f>
        <v>12</v>
      </c>
      <c r="D5" s="784">
        <f>SUMIFS(I8:I20, A8:A20, A5, B8:B20, B5)</f>
        <v>63993132</v>
      </c>
      <c r="E5" s="784">
        <f>SUMIFS(J8:J20, A8:A20, A5, B8:B20, B5)</f>
        <v>1137500</v>
      </c>
      <c r="F5" s="785">
        <f> IFERROR( E5/D5,"0")</f>
        <v>0.01777534502</v>
      </c>
      <c r="G5" s="87"/>
      <c r="H5" s="786"/>
      <c r="I5" s="787"/>
      <c r="J5" s="787"/>
      <c r="K5" s="788"/>
    </row>
    <row r="6">
      <c r="A6" s="670"/>
      <c r="B6" s="789"/>
      <c r="C6" s="670"/>
      <c r="D6" s="665"/>
      <c r="E6" s="634"/>
      <c r="F6" s="670"/>
      <c r="G6" s="670"/>
      <c r="H6" s="790"/>
      <c r="I6" s="790"/>
      <c r="J6" s="790"/>
      <c r="K6" s="791"/>
    </row>
    <row r="7">
      <c r="A7" s="792" t="str">
        <f>IFERROR(__xludf.DUMMYFUNCTION(" QUERY(CHOOSECOLS('6. TIẾN ĐỘ MUA HÀNG'!A4:AT20, ARRAYFORMULA(IFERROR(XMATCH({
      ""*Đơn vị vận chuyển*""; ""*Tháng*""; ""*Mã VTBB*""; ""*Mã đơn Misa*""; ""*Số hóa đơn*""; 
      ""*Ngày nhận thực tế*""; ""*Số lượng đặt NCC*""; ""*Số lượng đã nhận*""; "&amp;"
      ""*Thành tiền đơn hàng*""; ""*Thành tiền vận chuyển*""}, '6. TIẾN ĐỘ MUA HÀNG'!A4:AT4, 2), 1))),
      ""SELECT * WHERE Col4 IS NOT NULL 
       AND Col1 = '""&amp;A5&amp;""' 
       AND Col2 CONTAINS '""&amp;IF(ISDATE(B5), TEXT(B5, ""mm/yyyy""), B5)&amp;""'"", 1)"),"Đơn vị vận chuyển")</f>
        <v>Đơn vị vận chuyển</v>
      </c>
      <c r="B7" s="793" t="str">
        <f>IFERROR(__xludf.DUMMYFUNCTION("""COMPUTED_VALUE"""),"Tháng")</f>
        <v>Tháng</v>
      </c>
      <c r="C7" s="792" t="str">
        <f>IFERROR(__xludf.DUMMYFUNCTION("""COMPUTED_VALUE"""),"Mã VTBB/NL")</f>
        <v>Mã VTBB/NL</v>
      </c>
      <c r="D7" s="794" t="str">
        <f>IFERROR(__xludf.DUMMYFUNCTION("""COMPUTED_VALUE"""),"Mã đơn Misa")</f>
        <v>Mã đơn Misa</v>
      </c>
      <c r="E7" s="795" t="str">
        <f>IFERROR(__xludf.DUMMYFUNCTION("""COMPUTED_VALUE"""),"Số hóa đơn")</f>
        <v>Số hóa đơn</v>
      </c>
      <c r="F7" s="792" t="str">
        <f>IFERROR(__xludf.DUMMYFUNCTION("""COMPUTED_VALUE"""),"Ngày nhận thực tế")</f>
        <v>Ngày nhận thực tế</v>
      </c>
      <c r="G7" s="792" t="str">
        <f>IFERROR(__xludf.DUMMYFUNCTION("""COMPUTED_VALUE"""),"Số lượng đặt NCC")</f>
        <v>Số lượng đặt NCC</v>
      </c>
      <c r="H7" s="796" t="str">
        <f>IFERROR(__xludf.DUMMYFUNCTION("""COMPUTED_VALUE"""),"Số lượng đã nhận ")</f>
        <v>Số lượng đã nhận </v>
      </c>
      <c r="I7" s="796" t="str">
        <f>IFERROR(__xludf.DUMMYFUNCTION("""COMPUTED_VALUE"""),"Thành tiền đơn hàng")</f>
        <v>Thành tiền đơn hàng</v>
      </c>
      <c r="J7" s="796" t="str">
        <f>IFERROR(__xludf.DUMMYFUNCTION("""COMPUTED_VALUE"""),"Thành tiền vận chuyển")</f>
        <v>Thành tiền vận chuyển</v>
      </c>
      <c r="K7" s="797" t="s">
        <v>1458</v>
      </c>
    </row>
    <row r="8">
      <c r="A8" s="597" t="str">
        <f>IFERROR(__xludf.DUMMYFUNCTION("""COMPUTED_VALUE"""),"Mekong Logistics")</f>
        <v>Mekong Logistics</v>
      </c>
      <c r="B8" s="576" t="str">
        <f>IFERROR(__xludf.DUMMYFUNCTION("""COMPUTED_VALUE"""),"04/2026")</f>
        <v>04/2026</v>
      </c>
      <c r="C8" s="576" t="str">
        <f>IFERROR(__xludf.DUMMYFUNCTION("""COMPUTED_VALUE"""),"THC0270")</f>
        <v>THC0270</v>
      </c>
      <c r="D8" s="798" t="str">
        <f>IFERROR(__xludf.DUMMYFUNCTION("""COMPUTED_VALUE"""),"ĐMH01450")</f>
        <v>ĐMH01450</v>
      </c>
      <c r="E8" s="576">
        <f>IFERROR(__xludf.DUMMYFUNCTION("""COMPUTED_VALUE"""),886.0)</f>
        <v>886</v>
      </c>
      <c r="F8" s="799">
        <f>IFERROR(__xludf.DUMMYFUNCTION("""COMPUTED_VALUE"""),46130.0)</f>
        <v>46130</v>
      </c>
      <c r="G8" s="583">
        <f>IFERROR(__xludf.DUMMYFUNCTION("""COMPUTED_VALUE"""),300.0)</f>
        <v>300</v>
      </c>
      <c r="H8" s="800">
        <f>IFERROR(__xludf.DUMMYFUNCTION("""COMPUTED_VALUE"""),276.0)</f>
        <v>276</v>
      </c>
      <c r="I8" s="800">
        <f>IFERROR(__xludf.DUMMYFUNCTION("""COMPUTED_VALUE"""),7302960.0)</f>
        <v>7302960</v>
      </c>
      <c r="J8" s="800">
        <f>IFERROR(__xludf.DUMMYFUNCTION("""COMPUTED_VALUE"""),105000.0)</f>
        <v>105000</v>
      </c>
      <c r="K8" s="801">
        <f t="shared" ref="K8:K20" si="1">IFERROR( J8/I8,"")</f>
        <v>0.01437773177</v>
      </c>
    </row>
    <row r="9">
      <c r="A9" s="597" t="str">
        <f>IFERROR(__xludf.DUMMYFUNCTION("""COMPUTED_VALUE"""),"Mekong Logistics")</f>
        <v>Mekong Logistics</v>
      </c>
      <c r="B9" s="576" t="str">
        <f>IFERROR(__xludf.DUMMYFUNCTION("""COMPUTED_VALUE"""),"04/2026")</f>
        <v>04/2026</v>
      </c>
      <c r="C9" s="576" t="str">
        <f>IFERROR(__xludf.DUMMYFUNCTION("""COMPUTED_VALUE"""),"THC0238")</f>
        <v>THC0238</v>
      </c>
      <c r="D9" s="798" t="str">
        <f>IFERROR(__xludf.DUMMYFUNCTION("""COMPUTED_VALUE"""),"ĐMH01450")</f>
        <v>ĐMH01450</v>
      </c>
      <c r="E9" s="576">
        <f>IFERROR(__xludf.DUMMYFUNCTION("""COMPUTED_VALUE"""),937.0)</f>
        <v>937</v>
      </c>
      <c r="F9" s="799">
        <f>IFERROR(__xludf.DUMMYFUNCTION("""COMPUTED_VALUE"""),46135.0)</f>
        <v>46135</v>
      </c>
      <c r="G9" s="583">
        <f>IFERROR(__xludf.DUMMYFUNCTION("""COMPUTED_VALUE"""),300.0)</f>
        <v>300</v>
      </c>
      <c r="H9" s="800">
        <f>IFERROR(__xludf.DUMMYFUNCTION("""COMPUTED_VALUE"""),306.0)</f>
        <v>306</v>
      </c>
      <c r="I9" s="800">
        <f>IFERROR(__xludf.DUMMYFUNCTION("""COMPUTED_VALUE"""),6345216.0)</f>
        <v>6345216</v>
      </c>
      <c r="J9" s="800">
        <f>IFERROR(__xludf.DUMMYFUNCTION("""COMPUTED_VALUE"""),105000.0)</f>
        <v>105000</v>
      </c>
      <c r="K9" s="801">
        <f t="shared" si="1"/>
        <v>0.01654790002</v>
      </c>
    </row>
    <row r="10">
      <c r="A10" s="597" t="str">
        <f>IFERROR(__xludf.DUMMYFUNCTION("""COMPUTED_VALUE"""),"Mekong Logistics")</f>
        <v>Mekong Logistics</v>
      </c>
      <c r="B10" s="576" t="str">
        <f>IFERROR(__xludf.DUMMYFUNCTION("""COMPUTED_VALUE"""),"04/2026")</f>
        <v>04/2026</v>
      </c>
      <c r="C10" s="576" t="str">
        <f>IFERROR(__xludf.DUMMYFUNCTION("""COMPUTED_VALUE"""),"THC0146")</f>
        <v>THC0146</v>
      </c>
      <c r="D10" s="798" t="str">
        <f>IFERROR(__xludf.DUMMYFUNCTION("""COMPUTED_VALUE"""),"ĐMH01465")</f>
        <v>ĐMH01465</v>
      </c>
      <c r="E10" s="576">
        <f>IFERROR(__xludf.DUMMYFUNCTION("""COMPUTED_VALUE"""),887.0)</f>
        <v>887</v>
      </c>
      <c r="F10" s="799">
        <f>IFERROR(__xludf.DUMMYFUNCTION("""COMPUTED_VALUE"""),46130.0)</f>
        <v>46130</v>
      </c>
      <c r="G10" s="583">
        <f>IFERROR(__xludf.DUMMYFUNCTION("""COMPUTED_VALUE"""),300.0)</f>
        <v>300</v>
      </c>
      <c r="H10" s="800">
        <f>IFERROR(__xludf.DUMMYFUNCTION("""COMPUTED_VALUE"""),310.0)</f>
        <v>310</v>
      </c>
      <c r="I10" s="800">
        <f>IFERROR(__xludf.DUMMYFUNCTION("""COMPUTED_VALUE"""),7198200.0)</f>
        <v>7198200</v>
      </c>
      <c r="J10" s="800">
        <f>IFERROR(__xludf.DUMMYFUNCTION("""COMPUTED_VALUE"""),105000.0)</f>
        <v>105000</v>
      </c>
      <c r="K10" s="801">
        <f t="shared" si="1"/>
        <v>0.01458698008</v>
      </c>
    </row>
    <row r="11">
      <c r="A11" s="597" t="str">
        <f>IFERROR(__xludf.DUMMYFUNCTION("""COMPUTED_VALUE"""),"Mekong Logistics")</f>
        <v>Mekong Logistics</v>
      </c>
      <c r="B11" s="576" t="str">
        <f>IFERROR(__xludf.DUMMYFUNCTION("""COMPUTED_VALUE"""),"04/2026")</f>
        <v>04/2026</v>
      </c>
      <c r="C11" s="576" t="str">
        <f>IFERROR(__xludf.DUMMYFUNCTION("""COMPUTED_VALUE"""),"THC0247")</f>
        <v>THC0247</v>
      </c>
      <c r="D11" s="798" t="str">
        <f>IFERROR(__xludf.DUMMYFUNCTION("""COMPUTED_VALUE"""),"ĐMH01497")</f>
        <v>ĐMH01497</v>
      </c>
      <c r="E11" s="576">
        <f>IFERROR(__xludf.DUMMYFUNCTION("""COMPUTED_VALUE"""),158.0)</f>
        <v>158</v>
      </c>
      <c r="F11" s="799">
        <f>IFERROR(__xludf.DUMMYFUNCTION("""COMPUTED_VALUE"""),46139.0)</f>
        <v>46139</v>
      </c>
      <c r="G11" s="583">
        <f>IFERROR(__xludf.DUMMYFUNCTION("""COMPUTED_VALUE"""),150.0)</f>
        <v>150</v>
      </c>
      <c r="H11" s="800">
        <f>IFERROR(__xludf.DUMMYFUNCTION("""COMPUTED_VALUE"""),147.0)</f>
        <v>147</v>
      </c>
      <c r="I11" s="800">
        <f>IFERROR(__xludf.DUMMYFUNCTION("""COMPUTED_VALUE"""),3016440.0)</f>
        <v>3016440</v>
      </c>
      <c r="J11" s="800">
        <f>IFERROR(__xludf.DUMMYFUNCTION("""COMPUTED_VALUE"""),105000.0)</f>
        <v>105000</v>
      </c>
      <c r="K11" s="801">
        <f t="shared" si="1"/>
        <v>0.03480924534</v>
      </c>
    </row>
    <row r="12">
      <c r="A12" s="597" t="str">
        <f>IFERROR(__xludf.DUMMYFUNCTION("""COMPUTED_VALUE"""),"Mekong Logistics")</f>
        <v>Mekong Logistics</v>
      </c>
      <c r="B12" s="576" t="str">
        <f>IFERROR(__xludf.DUMMYFUNCTION("""COMPUTED_VALUE"""),"04/2026")</f>
        <v>04/2026</v>
      </c>
      <c r="C12" s="576" t="str">
        <f>IFERROR(__xludf.DUMMYFUNCTION("""COMPUTED_VALUE"""),"THC0086")</f>
        <v>THC0086</v>
      </c>
      <c r="D12" s="798" t="str">
        <f>IFERROR(__xludf.DUMMYFUNCTION("""COMPUTED_VALUE"""),"ĐMH01497")</f>
        <v>ĐMH01497</v>
      </c>
      <c r="E12" s="576">
        <f>IFERROR(__xludf.DUMMYFUNCTION("""COMPUTED_VALUE"""),158.0)</f>
        <v>158</v>
      </c>
      <c r="F12" s="799">
        <f>IFERROR(__xludf.DUMMYFUNCTION("""COMPUTED_VALUE"""),46147.0)</f>
        <v>46147</v>
      </c>
      <c r="G12" s="583">
        <f>IFERROR(__xludf.DUMMYFUNCTION("""COMPUTED_VALUE"""),200.0)</f>
        <v>200</v>
      </c>
      <c r="H12" s="800">
        <f>IFERROR(__xludf.DUMMYFUNCTION("""COMPUTED_VALUE"""),200.0)</f>
        <v>200</v>
      </c>
      <c r="I12" s="800">
        <f>IFERROR(__xludf.DUMMYFUNCTION("""COMPUTED_VALUE"""),3542400.0)</f>
        <v>3542400</v>
      </c>
      <c r="J12" s="800">
        <f>IFERROR(__xludf.DUMMYFUNCTION("""COMPUTED_VALUE"""),52500.0)</f>
        <v>52500</v>
      </c>
      <c r="K12" s="801">
        <f t="shared" si="1"/>
        <v>0.0148204607</v>
      </c>
    </row>
    <row r="13">
      <c r="A13" s="597" t="str">
        <f>IFERROR(__xludf.DUMMYFUNCTION("""COMPUTED_VALUE"""),"Mekong Logistics")</f>
        <v>Mekong Logistics</v>
      </c>
      <c r="B13" s="576" t="str">
        <f>IFERROR(__xludf.DUMMYFUNCTION("""COMPUTED_VALUE"""),"04/2026")</f>
        <v>04/2026</v>
      </c>
      <c r="C13" s="576" t="str">
        <f>IFERROR(__xludf.DUMMYFUNCTION("""COMPUTED_VALUE"""),"THC0003")</f>
        <v>THC0003</v>
      </c>
      <c r="D13" s="798" t="str">
        <f>IFERROR(__xludf.DUMMYFUNCTION("""COMPUTED_VALUE"""),"ĐMH01540")</f>
        <v>ĐMH01540</v>
      </c>
      <c r="E13" s="576">
        <f>IFERROR(__xludf.DUMMYFUNCTION("""COMPUTED_VALUE"""),981.0)</f>
        <v>981</v>
      </c>
      <c r="F13" s="799">
        <f>IFERROR(__xludf.DUMMYFUNCTION("""COMPUTED_VALUE"""),46139.0)</f>
        <v>46139</v>
      </c>
      <c r="G13" s="583">
        <f>IFERROR(__xludf.DUMMYFUNCTION("""COMPUTED_VALUE"""),200.0)</f>
        <v>200</v>
      </c>
      <c r="H13" s="800">
        <f>IFERROR(__xludf.DUMMYFUNCTION("""COMPUTED_VALUE"""),212.0)</f>
        <v>212</v>
      </c>
      <c r="I13" s="800">
        <f>IFERROR(__xludf.DUMMYFUNCTION("""COMPUTED_VALUE"""),4418928.0)</f>
        <v>4418928</v>
      </c>
      <c r="J13" s="800">
        <f>IFERROR(__xludf.DUMMYFUNCTION("""COMPUTED_VALUE"""),105000.0)</f>
        <v>105000</v>
      </c>
      <c r="K13" s="801">
        <f t="shared" si="1"/>
        <v>0.02376141906</v>
      </c>
    </row>
    <row r="14">
      <c r="A14" s="597" t="str">
        <f>IFERROR(__xludf.DUMMYFUNCTION("""COMPUTED_VALUE"""),"Mekong Logistics")</f>
        <v>Mekong Logistics</v>
      </c>
      <c r="B14" s="576" t="str">
        <f>IFERROR(__xludf.DUMMYFUNCTION("""COMPUTED_VALUE"""),"04/2026")</f>
        <v>04/2026</v>
      </c>
      <c r="C14" s="576" t="str">
        <f>IFERROR(__xludf.DUMMYFUNCTION("""COMPUTED_VALUE"""),"THC0004")</f>
        <v>THC0004</v>
      </c>
      <c r="D14" s="798" t="str">
        <f>IFERROR(__xludf.DUMMYFUNCTION("""COMPUTED_VALUE"""),"ĐMH01559")</f>
        <v>ĐMH01559</v>
      </c>
      <c r="E14" s="576">
        <f>IFERROR(__xludf.DUMMYFUNCTION("""COMPUTED_VALUE"""),994.0)</f>
        <v>994</v>
      </c>
      <c r="F14" s="799">
        <f>IFERROR(__xludf.DUMMYFUNCTION("""COMPUTED_VALUE"""),46140.0)</f>
        <v>46140</v>
      </c>
      <c r="G14" s="583">
        <f>IFERROR(__xludf.DUMMYFUNCTION("""COMPUTED_VALUE"""),300.0)</f>
        <v>300</v>
      </c>
      <c r="H14" s="800">
        <f>IFERROR(__xludf.DUMMYFUNCTION("""COMPUTED_VALUE"""),306.0)</f>
        <v>306</v>
      </c>
      <c r="I14" s="800">
        <f>IFERROR(__xludf.DUMMYFUNCTION("""COMPUTED_VALUE"""),7171416.0)</f>
        <v>7171416</v>
      </c>
      <c r="J14" s="800">
        <f>IFERROR(__xludf.DUMMYFUNCTION("""COMPUTED_VALUE"""),105000.0)</f>
        <v>105000</v>
      </c>
      <c r="K14" s="801">
        <f t="shared" si="1"/>
        <v>0.01464145993</v>
      </c>
    </row>
    <row r="15">
      <c r="A15" s="597" t="str">
        <f>IFERROR(__xludf.DUMMYFUNCTION("""COMPUTED_VALUE"""),"Mekong Logistics")</f>
        <v>Mekong Logistics</v>
      </c>
      <c r="B15" s="576" t="str">
        <f>IFERROR(__xludf.DUMMYFUNCTION("""COMPUTED_VALUE"""),"04/2026")</f>
        <v>04/2026</v>
      </c>
      <c r="C15" s="576" t="str">
        <f>IFERROR(__xludf.DUMMYFUNCTION("""COMPUTED_VALUE"""),"THC0300")</f>
        <v>THC0300</v>
      </c>
      <c r="D15" s="798" t="str">
        <f>IFERROR(__xludf.DUMMYFUNCTION("""COMPUTED_VALUE"""),"ĐMH01607")</f>
        <v>ĐMH01607</v>
      </c>
      <c r="E15" s="576">
        <f>IFERROR(__xludf.DUMMYFUNCTION("""COMPUTED_VALUE"""),1095.0)</f>
        <v>1095</v>
      </c>
      <c r="F15" s="799">
        <f>IFERROR(__xludf.DUMMYFUNCTION("""COMPUTED_VALUE"""),46154.0)</f>
        <v>46154</v>
      </c>
      <c r="G15" s="583">
        <f>IFERROR(__xludf.DUMMYFUNCTION("""COMPUTED_VALUE"""),300.0)</f>
        <v>300</v>
      </c>
      <c r="H15" s="800">
        <f>IFERROR(__xludf.DUMMYFUNCTION("""COMPUTED_VALUE"""),321.0)</f>
        <v>321</v>
      </c>
      <c r="I15" s="800">
        <f>IFERROR(__xludf.DUMMYFUNCTION("""COMPUTED_VALUE"""),6656256.0)</f>
        <v>6656256</v>
      </c>
      <c r="J15" s="800">
        <f>IFERROR(__xludf.DUMMYFUNCTION("""COMPUTED_VALUE"""),105000.0)</f>
        <v>105000</v>
      </c>
      <c r="K15" s="801">
        <f t="shared" si="1"/>
        <v>0.01577463367</v>
      </c>
    </row>
    <row r="16">
      <c r="A16" s="597" t="str">
        <f>IFERROR(__xludf.DUMMYFUNCTION("""COMPUTED_VALUE"""),"Mekong Logistics")</f>
        <v>Mekong Logistics</v>
      </c>
      <c r="B16" s="576" t="str">
        <f>IFERROR(__xludf.DUMMYFUNCTION("""COMPUTED_VALUE"""),"04/2026")</f>
        <v>04/2026</v>
      </c>
      <c r="C16" s="576" t="str">
        <f>IFERROR(__xludf.DUMMYFUNCTION("""COMPUTED_VALUE"""),"THC0080")</f>
        <v>THC0080</v>
      </c>
      <c r="D16" s="798" t="str">
        <f>IFERROR(__xludf.DUMMYFUNCTION("""COMPUTED_VALUE"""),"ĐMH01608")</f>
        <v>ĐMH01608</v>
      </c>
      <c r="E16" s="576">
        <f>IFERROR(__xludf.DUMMYFUNCTION("""COMPUTED_VALUE"""),1093.0)</f>
        <v>1093</v>
      </c>
      <c r="F16" s="799">
        <f>IFERROR(__xludf.DUMMYFUNCTION("""COMPUTED_VALUE"""),46154.0)</f>
        <v>46154</v>
      </c>
      <c r="G16" s="583">
        <f>IFERROR(__xludf.DUMMYFUNCTION("""COMPUTED_VALUE"""),300.0)</f>
        <v>300</v>
      </c>
      <c r="H16" s="800">
        <f>IFERROR(__xludf.DUMMYFUNCTION("""COMPUTED_VALUE"""),316.0)</f>
        <v>316</v>
      </c>
      <c r="I16" s="800">
        <f>IFERROR(__xludf.DUMMYFUNCTION("""COMPUTED_VALUE"""),5699376.0)</f>
        <v>5699376</v>
      </c>
      <c r="J16" s="800">
        <f>IFERROR(__xludf.DUMMYFUNCTION("""COMPUTED_VALUE"""),105000.0)</f>
        <v>105000</v>
      </c>
      <c r="K16" s="801">
        <f t="shared" si="1"/>
        <v>0.01842306947</v>
      </c>
    </row>
    <row r="17">
      <c r="A17" s="597" t="str">
        <f>IFERROR(__xludf.DUMMYFUNCTION("""COMPUTED_VALUE"""),"Mekong Logistics")</f>
        <v>Mekong Logistics</v>
      </c>
      <c r="B17" s="576" t="str">
        <f>IFERROR(__xludf.DUMMYFUNCTION("""COMPUTED_VALUE"""),"04/2026")</f>
        <v>04/2026</v>
      </c>
      <c r="C17" s="576" t="str">
        <f>IFERROR(__xludf.DUMMYFUNCTION("""COMPUTED_VALUE"""),"THC0302")</f>
        <v>THC0302</v>
      </c>
      <c r="D17" s="798" t="str">
        <f>IFERROR(__xludf.DUMMYFUNCTION("""COMPUTED_VALUE"""),"ĐMH01611")</f>
        <v>ĐMH01611</v>
      </c>
      <c r="E17" s="576">
        <f>IFERROR(__xludf.DUMMYFUNCTION("""COMPUTED_VALUE"""),82.0)</f>
        <v>82</v>
      </c>
      <c r="F17" s="799">
        <f>IFERROR(__xludf.DUMMYFUNCTION("""COMPUTED_VALUE"""),46154.0)</f>
        <v>46154</v>
      </c>
      <c r="G17" s="583">
        <f>IFERROR(__xludf.DUMMYFUNCTION("""COMPUTED_VALUE"""),100.0)</f>
        <v>100</v>
      </c>
      <c r="H17" s="800">
        <f>IFERROR(__xludf.DUMMYFUNCTION("""COMPUTED_VALUE"""),107.0)</f>
        <v>107</v>
      </c>
      <c r="I17" s="800">
        <f>IFERROR(__xludf.DUMMYFUNCTION("""COMPUTED_VALUE"""),2727216.0)</f>
        <v>2727216</v>
      </c>
      <c r="J17" s="800">
        <f>IFERROR(__xludf.DUMMYFUNCTION("""COMPUTED_VALUE"""),105000.0)</f>
        <v>105000</v>
      </c>
      <c r="K17" s="801">
        <f t="shared" si="1"/>
        <v>0.03850080082</v>
      </c>
    </row>
    <row r="18">
      <c r="A18" s="597" t="str">
        <f>IFERROR(__xludf.DUMMYFUNCTION("""COMPUTED_VALUE"""),"Mekong Logistics")</f>
        <v>Mekong Logistics</v>
      </c>
      <c r="B18" s="576" t="str">
        <f>IFERROR(__xludf.DUMMYFUNCTION("""COMPUTED_VALUE"""),"04/2026")</f>
        <v>04/2026</v>
      </c>
      <c r="C18" s="576" t="str">
        <f>IFERROR(__xludf.DUMMYFUNCTION("""COMPUTED_VALUE"""),"THC0004")</f>
        <v>THC0004</v>
      </c>
      <c r="D18" s="798" t="str">
        <f>IFERROR(__xludf.DUMMYFUNCTION("""COMPUTED_VALUE"""),"ĐMH01614")</f>
        <v>ĐMH01614</v>
      </c>
      <c r="E18" s="576">
        <f>IFERROR(__xludf.DUMMYFUNCTION("""COMPUTED_VALUE"""),1092.0)</f>
        <v>1092</v>
      </c>
      <c r="F18" s="799">
        <f>IFERROR(__xludf.DUMMYFUNCTION("""COMPUTED_VALUE"""),46154.0)</f>
        <v>46154</v>
      </c>
      <c r="G18" s="583">
        <f>IFERROR(__xludf.DUMMYFUNCTION("""COMPUTED_VALUE"""),300.0)</f>
        <v>300</v>
      </c>
      <c r="H18" s="800">
        <f>IFERROR(__xludf.DUMMYFUNCTION("""COMPUTED_VALUE"""),309.0)</f>
        <v>309</v>
      </c>
      <c r="I18" s="800">
        <f>IFERROR(__xludf.DUMMYFUNCTION("""COMPUTED_VALUE"""),7241724.0)</f>
        <v>7241724</v>
      </c>
      <c r="J18" s="800">
        <f>IFERROR(__xludf.DUMMYFUNCTION("""COMPUTED_VALUE"""),35000.0)</f>
        <v>35000</v>
      </c>
      <c r="K18" s="801">
        <f t="shared" si="1"/>
        <v>0.004833103278</v>
      </c>
    </row>
    <row r="19">
      <c r="A19" s="597" t="str">
        <f>IFERROR(__xludf.DUMMYFUNCTION("""COMPUTED_VALUE"""),"Mekong Logistics")</f>
        <v>Mekong Logistics</v>
      </c>
      <c r="B19" s="576" t="str">
        <f>IFERROR(__xludf.DUMMYFUNCTION("""COMPUTED_VALUE"""),"04/2026")</f>
        <v>04/2026</v>
      </c>
      <c r="C19" s="576" t="str">
        <f>IFERROR(__xludf.DUMMYFUNCTION("""COMPUTED_VALUE"""),"THC0303")</f>
        <v>THC0303</v>
      </c>
      <c r="D19" s="798" t="str">
        <f>IFERROR(__xludf.DUMMYFUNCTION("""COMPUTED_VALUE"""),"ĐMH01617")</f>
        <v>ĐMH01617</v>
      </c>
      <c r="E19" s="576">
        <f>IFERROR(__xludf.DUMMYFUNCTION("""COMPUTED_VALUE"""),86.0)</f>
        <v>86</v>
      </c>
      <c r="F19" s="799">
        <f>IFERROR(__xludf.DUMMYFUNCTION("""COMPUTED_VALUE"""),46158.0)</f>
        <v>46158</v>
      </c>
      <c r="G19" s="583">
        <f>IFERROR(__xludf.DUMMYFUNCTION("""COMPUTED_VALUE"""),100.0)</f>
        <v>100</v>
      </c>
      <c r="H19" s="800">
        <f>IFERROR(__xludf.DUMMYFUNCTION("""COMPUTED_VALUE"""),110.0)</f>
        <v>110</v>
      </c>
      <c r="I19" s="800">
        <f>IFERROR(__xludf.DUMMYFUNCTION("""COMPUTED_VALUE"""),2673000.0)</f>
        <v>2673000</v>
      </c>
      <c r="J19" s="800">
        <f>IFERROR(__xludf.DUMMYFUNCTION("""COMPUTED_VALUE"""),105000.0)</f>
        <v>105000</v>
      </c>
      <c r="K19" s="801">
        <f t="shared" si="1"/>
        <v>0.03928170595</v>
      </c>
    </row>
    <row r="20">
      <c r="A20" s="597"/>
      <c r="B20" s="576"/>
      <c r="C20" s="576"/>
      <c r="D20" s="798"/>
      <c r="E20" s="576"/>
      <c r="F20" s="576"/>
      <c r="G20" s="583"/>
      <c r="H20" s="800"/>
      <c r="I20" s="800"/>
      <c r="J20" s="800"/>
      <c r="K20" s="801" t="str">
        <f t="shared" si="1"/>
        <v/>
      </c>
    </row>
  </sheetData>
  <mergeCells count="1">
    <mergeCell ref="A1:E1"/>
  </mergeCells>
  <dataValidations>
    <dataValidation type="list" allowBlank="1" showErrorMessage="1" sqref="B5">
      <formula1>"01/2026,02/2026,03/2026,04/2026,05/2026,06/2026,07/2026,08/2026,09/2026,10/2026,11/2026,12/2026"</formula1>
    </dataValidation>
    <dataValidation type="list" allowBlank="1" showErrorMessage="1" sqref="A5">
      <formula1>'1. DATA CHUNG'!$AC$4:$AC20</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pageSetUpPr fitToPage="1"/>
  </sheetPr>
  <sheetViews>
    <sheetView workbookViewId="0"/>
  </sheetViews>
  <sheetFormatPr customHeight="1" defaultColWidth="12.63" defaultRowHeight="15.75"/>
  <cols>
    <col customWidth="1" min="1" max="1" width="20.0"/>
    <col customWidth="1" min="2" max="2" width="13.88"/>
    <col customWidth="1" min="3" max="3" width="28.5"/>
    <col customWidth="1" min="4" max="4" width="19.38"/>
    <col customWidth="1" min="5" max="5" width="15.25"/>
    <col customWidth="1" min="6" max="6" width="22.5"/>
    <col customWidth="1" min="7" max="7" width="12.25"/>
    <col customWidth="1" min="8" max="8" width="7.38"/>
    <col customWidth="1" min="9" max="9" width="23.75"/>
    <col customWidth="1" min="10" max="10" width="24.0"/>
  </cols>
  <sheetData>
    <row r="1">
      <c r="A1" s="403" t="s">
        <v>1195</v>
      </c>
      <c r="E1" s="404"/>
      <c r="F1" s="404"/>
      <c r="G1" s="405"/>
      <c r="H1" s="405"/>
      <c r="I1" s="406" t="s">
        <v>1196</v>
      </c>
      <c r="J1" s="407" t="s">
        <v>567</v>
      </c>
    </row>
    <row r="2">
      <c r="A2" s="404"/>
      <c r="B2" s="404"/>
      <c r="C2" s="404"/>
      <c r="D2" s="404"/>
      <c r="E2" s="408" t="s">
        <v>1197</v>
      </c>
      <c r="F2" s="409"/>
      <c r="G2" s="405"/>
      <c r="H2" s="405"/>
      <c r="I2" s="406" t="s">
        <v>1198</v>
      </c>
      <c r="J2" s="410">
        <v>46113.0</v>
      </c>
    </row>
    <row r="3">
      <c r="A3" s="404"/>
      <c r="B3" s="404"/>
      <c r="C3" s="404"/>
      <c r="D3" s="404"/>
      <c r="E3" s="411" t="s">
        <v>1199</v>
      </c>
      <c r="F3" s="412" t="s">
        <v>1200</v>
      </c>
      <c r="G3" s="405"/>
      <c r="H3" s="405"/>
      <c r="I3" s="406" t="s">
        <v>1201</v>
      </c>
      <c r="J3" s="407" t="s">
        <v>1202</v>
      </c>
    </row>
    <row r="4">
      <c r="A4" s="404"/>
      <c r="B4" s="404"/>
      <c r="C4" s="404"/>
      <c r="D4" s="404"/>
      <c r="E4" s="413" t="s">
        <v>1203</v>
      </c>
      <c r="F4" s="414">
        <v>45825.0</v>
      </c>
      <c r="G4" s="405"/>
      <c r="H4" s="405"/>
      <c r="I4" s="405"/>
      <c r="J4" s="405"/>
    </row>
    <row r="5">
      <c r="A5" s="415" t="s">
        <v>1204</v>
      </c>
      <c r="G5" s="405"/>
      <c r="H5" s="405"/>
      <c r="I5" s="406"/>
      <c r="J5" s="405"/>
    </row>
    <row r="6">
      <c r="A6" s="416" t="s">
        <v>1205</v>
      </c>
      <c r="G6" s="405"/>
      <c r="H6" s="405"/>
      <c r="I6" s="405"/>
      <c r="J6" s="405"/>
    </row>
    <row r="7">
      <c r="A7" s="417">
        <f>today()</f>
        <v>46221</v>
      </c>
      <c r="G7" s="405"/>
      <c r="H7" s="405"/>
      <c r="I7" s="405"/>
      <c r="J7" s="405"/>
    </row>
    <row r="8">
      <c r="A8" s="404"/>
      <c r="B8" s="404"/>
      <c r="C8" s="404"/>
      <c r="D8" s="404"/>
      <c r="E8" s="404"/>
      <c r="F8" s="404"/>
      <c r="G8" s="405"/>
      <c r="H8" s="405"/>
      <c r="I8" s="405"/>
      <c r="J8" s="405"/>
    </row>
    <row r="9">
      <c r="A9" s="418" t="s">
        <v>1206</v>
      </c>
      <c r="B9" s="419"/>
      <c r="C9" s="419"/>
      <c r="D9" s="419"/>
      <c r="E9" s="419"/>
      <c r="F9" s="419"/>
      <c r="G9" s="405"/>
      <c r="H9" s="405"/>
      <c r="I9" s="405"/>
      <c r="J9" s="405"/>
    </row>
    <row r="10">
      <c r="A10" s="420" t="s">
        <v>1207</v>
      </c>
      <c r="B10" s="421"/>
      <c r="C10" s="421" t="s">
        <v>1208</v>
      </c>
      <c r="D10" s="404"/>
      <c r="E10" s="404"/>
      <c r="F10" s="404"/>
      <c r="G10" s="405"/>
      <c r="H10" s="405"/>
      <c r="I10" s="405"/>
      <c r="J10" s="405"/>
    </row>
    <row r="11">
      <c r="A11" s="422" t="s">
        <v>1209</v>
      </c>
      <c r="B11" s="421"/>
      <c r="C11" s="421" t="s">
        <v>1210</v>
      </c>
      <c r="D11" s="404"/>
      <c r="E11" s="404"/>
      <c r="F11" s="404"/>
      <c r="G11" s="405"/>
      <c r="H11" s="405"/>
      <c r="I11" s="405"/>
      <c r="J11" s="405"/>
    </row>
    <row r="12">
      <c r="A12" s="422" t="s">
        <v>1211</v>
      </c>
      <c r="B12" s="423"/>
      <c r="C12" s="423" t="s">
        <v>1212</v>
      </c>
      <c r="D12" s="404"/>
      <c r="E12" s="404"/>
      <c r="F12" s="404"/>
      <c r="G12" s="405"/>
      <c r="H12" s="405"/>
      <c r="I12" s="405"/>
      <c r="J12" s="405"/>
    </row>
    <row r="13">
      <c r="A13" s="422" t="s">
        <v>1213</v>
      </c>
      <c r="B13" s="423"/>
      <c r="C13" s="423" t="s">
        <v>1214</v>
      </c>
      <c r="D13" s="404"/>
      <c r="E13" s="404"/>
      <c r="F13" s="404"/>
      <c r="G13" s="405"/>
      <c r="H13" s="405"/>
      <c r="I13" s="405"/>
      <c r="J13" s="405"/>
    </row>
    <row r="14">
      <c r="A14" s="418" t="s">
        <v>1215</v>
      </c>
      <c r="B14" s="419"/>
      <c r="C14" s="419"/>
      <c r="D14" s="419"/>
      <c r="E14" s="419"/>
      <c r="F14" s="419"/>
      <c r="G14" s="405"/>
      <c r="H14" s="405"/>
      <c r="I14" s="405"/>
      <c r="J14" s="405"/>
    </row>
    <row r="15">
      <c r="A15" s="422" t="s">
        <v>1216</v>
      </c>
      <c r="B15" s="424" t="str">
        <f t="array" ref="B15">XLOOKUP($J$1, '1. DATA CHUNG'!U:U, '1. DATA CHUNG'!T:T,"Không tìm thấy tên công ty")</f>
        <v>CÔNG TY CỔ PHẦN MEKONG LOGISTICS</v>
      </c>
      <c r="C15" s="404"/>
      <c r="D15" s="404"/>
      <c r="E15" s="404"/>
      <c r="F15" s="404"/>
      <c r="G15" s="406"/>
      <c r="H15" s="405"/>
      <c r="I15" s="405"/>
      <c r="J15" s="405"/>
    </row>
    <row r="16">
      <c r="A16" s="422" t="s">
        <v>1217</v>
      </c>
      <c r="B16" s="404"/>
      <c r="C16" s="404"/>
      <c r="D16" s="404"/>
      <c r="E16" s="404"/>
      <c r="F16" s="404"/>
      <c r="G16" s="405"/>
      <c r="H16" s="405"/>
      <c r="I16" s="405"/>
      <c r="J16" s="405"/>
    </row>
    <row r="17">
      <c r="A17" s="422" t="s">
        <v>1218</v>
      </c>
      <c r="B17" s="424" t="str">
        <f> "Thanh toán công nợ" &amp; " " &amp; B15 &amp; " " &amp;TEXT($J$2, "mm/yyyy") </f>
        <v>Thanh toán công nợ CÔNG TY CỔ PHẦN MEKONG LOGISTICS 04/2026</v>
      </c>
      <c r="C17" s="404"/>
      <c r="D17" s="404"/>
      <c r="E17" s="404"/>
      <c r="F17" s="404"/>
      <c r="G17" s="406"/>
      <c r="H17" s="405"/>
      <c r="I17" s="405"/>
      <c r="J17" s="405"/>
    </row>
    <row r="18">
      <c r="A18" s="422" t="s">
        <v>1219</v>
      </c>
      <c r="B18" s="404"/>
      <c r="C18" s="404"/>
      <c r="D18" s="404"/>
      <c r="E18" s="404"/>
      <c r="F18" s="404"/>
      <c r="G18" s="405"/>
      <c r="H18" s="405"/>
      <c r="I18" s="405"/>
      <c r="J18" s="405"/>
    </row>
    <row r="19">
      <c r="A19" s="425" t="s">
        <v>1220</v>
      </c>
      <c r="B19" s="426"/>
      <c r="C19" s="427" t="s">
        <v>1221</v>
      </c>
      <c r="D19" s="428" t="s">
        <v>1222</v>
      </c>
      <c r="E19" s="428" t="s">
        <v>1223</v>
      </c>
      <c r="F19" s="428" t="s">
        <v>1174</v>
      </c>
      <c r="G19" s="405"/>
      <c r="H19" s="405"/>
      <c r="I19" s="405"/>
      <c r="J19" s="405"/>
    </row>
    <row r="20">
      <c r="A20" s="425" t="s">
        <v>1224</v>
      </c>
      <c r="B20" s="429" t="s">
        <v>1225</v>
      </c>
      <c r="C20" s="430"/>
      <c r="D20" s="23"/>
      <c r="E20" s="23"/>
      <c r="F20" s="23"/>
      <c r="G20" s="405"/>
      <c r="H20" s="405"/>
      <c r="I20" s="405"/>
      <c r="J20" s="405"/>
    </row>
    <row r="21">
      <c r="A21" s="431">
        <f>IFERROR(__xludf.DUMMYFUNCTION("IFERROR(UNIQUE(FILTER('6. TIẾN ĐỘ MUA HÀNG'!AE:AE, TRIM('6. TIẾN ĐỘ MUA HÀNG'!S:S)=TRIM($J$1), TEXT('6. TIẾN ĐỘ MUA HÀNG'!E:E, ""mm/yyyy"")=TEXT($J$2, ""mm/yyyy""), ISNUMBER(SEARCH(TRIM($J$3), TRIM('6. TIẾN ĐỘ MUA HÀNG'!G:G))))), ""Không có dữ liệu"")"),779.0)</f>
        <v>779</v>
      </c>
      <c r="B21" s="432">
        <f t="array" ref="B21"> IFERROR(XLOOKUP(A21,'6. TIẾN ĐỘ MUA HÀNG'!AE:AE,'6. TIẾN ĐỘ MUA HÀNG'!E:E),"")</f>
        <v>46119</v>
      </c>
      <c r="C21" s="433" t="str">
        <f>B17</f>
        <v>Thanh toán công nợ CÔNG TY CỔ PHẦN MEKONG LOGISTICS 04/2026</v>
      </c>
      <c r="D21" s="434">
        <f>SUMIF('6. TIẾN ĐỘ MUA HÀNG'!AE:AE,A21,'6. TIẾN ĐỘ MUA HÀNG'!AB:AB)</f>
        <v>2635200</v>
      </c>
      <c r="E21" s="435"/>
      <c r="F21" s="434"/>
      <c r="G21" s="406"/>
      <c r="H21" s="405"/>
      <c r="I21" s="405"/>
      <c r="J21" s="405"/>
    </row>
    <row r="22">
      <c r="A22" s="436">
        <f>IFERROR(__xludf.DUMMYFUNCTION("""COMPUTED_VALUE"""),780.0)</f>
        <v>780</v>
      </c>
      <c r="B22" s="432">
        <f t="array" ref="B22"> IFERROR(XLOOKUP(A22,'6. TIẾN ĐỘ MUA HÀNG'!AE:AE,'6. TIẾN ĐỘ MUA HÀNG'!E:E),"")</f>
        <v>46119</v>
      </c>
      <c r="C22" s="26"/>
      <c r="D22" s="434">
        <f>SUMIF('6. TIẾN ĐỘ MUA HÀNG'!AE:AE,A22,'6. TIẾN ĐỘ MUA HÀNG'!AB:AB)</f>
        <v>2538000</v>
      </c>
      <c r="E22" s="435"/>
      <c r="F22" s="434" t="str">
        <f t="array" ref="F22">IF($G$1="","", IFERROR(INDEX('8. THEO DÕI CHI NCC'!AD:AD, MATCH($G$1, '8. THEO DÕI CHI NCC'!$J:$J, 0)), ""))</f>
        <v/>
      </c>
      <c r="G22" s="405"/>
      <c r="H22" s="405"/>
      <c r="I22" s="405"/>
      <c r="J22" s="405"/>
    </row>
    <row r="23">
      <c r="A23" s="431">
        <f>IFERROR(__xludf.DUMMYFUNCTION("""COMPUTED_VALUE"""),781.0)</f>
        <v>781</v>
      </c>
      <c r="B23" s="432">
        <f t="array" ref="B23"> IFERROR(XLOOKUP(A23,'6. TIẾN ĐỘ MUA HÀNG'!AE:AE,'6. TIẾN ĐỘ MUA HÀNG'!E:E),"")</f>
        <v>46119</v>
      </c>
      <c r="C23" s="26"/>
      <c r="D23" s="434">
        <f>SUMIF('6. TIẾN ĐỘ MUA HÀNG'!AE:AE,A23,'6. TIẾN ĐỘ MUA HÀNG'!AB:AB)</f>
        <v>2133000</v>
      </c>
      <c r="E23" s="435"/>
      <c r="F23" s="434" t="str">
        <f t="array" ref="F23">IF($G$1="","", IFERROR(INDEX('8. THEO DÕI CHI NCC'!AD:AD, MATCH($G$1, '8. THEO DÕI CHI NCC'!$J:$J, 0)), ""))</f>
        <v/>
      </c>
      <c r="G23" s="405"/>
      <c r="H23" s="405"/>
      <c r="I23" s="405"/>
      <c r="J23" s="405"/>
    </row>
    <row r="24">
      <c r="A24" s="431">
        <f>IFERROR(__xludf.DUMMYFUNCTION("""COMPUTED_VALUE"""),725.0)</f>
        <v>725</v>
      </c>
      <c r="B24" s="432">
        <f t="array" ref="B24"> IFERROR(XLOOKUP(A24,'6. TIẾN ĐỘ MUA HÀNG'!AE:AE,'6. TIẾN ĐỘ MUA HÀNG'!E:E),"")</f>
        <v>46113</v>
      </c>
      <c r="C24" s="26"/>
      <c r="D24" s="434">
        <f>SUMIF('6. TIẾN ĐỘ MUA HÀNG'!AE:AE,A24,'6. TIẾN ĐỘ MUA HÀNG'!AB:AB)</f>
        <v>2343600</v>
      </c>
      <c r="E24" s="435"/>
      <c r="F24" s="434" t="str">
        <f t="array" ref="F24">IF($G$1="","", IFERROR(INDEX('8. THEO DÕI CHI NCC'!AD:AD, MATCH($G$1, '8. THEO DÕI CHI NCC'!$J:$J, 0)), ""))</f>
        <v/>
      </c>
      <c r="G24" s="405"/>
      <c r="H24" s="405"/>
      <c r="I24" s="405"/>
      <c r="J24" s="405"/>
    </row>
    <row r="25">
      <c r="A25" s="431">
        <f>IFERROR(__xludf.DUMMYFUNCTION("""COMPUTED_VALUE"""),853.0)</f>
        <v>853</v>
      </c>
      <c r="B25" s="432">
        <f t="array" ref="B25"> IFERROR(XLOOKUP(A25,'6. TIẾN ĐỘ MUA HÀNG'!AE:AE,'6. TIẾN ĐỘ MUA HÀNG'!E:E),"")</f>
        <v>46126</v>
      </c>
      <c r="C25" s="26"/>
      <c r="D25" s="434">
        <f>SUMIF('6. TIẾN ĐỘ MUA HÀNG'!AE:AE,A25,'6. TIẾN ĐỘ MUA HÀNG'!AB:AB)</f>
        <v>5410800</v>
      </c>
      <c r="E25" s="435"/>
      <c r="F25" s="434" t="str">
        <f t="array" ref="F25">IF($G$1="","", IFERROR(INDEX('8. THEO DÕI CHI NCC'!AD:AD, MATCH($G$1, '8. THEO DÕI CHI NCC'!$J:$J, 0)), ""))</f>
        <v/>
      </c>
      <c r="G25" s="405"/>
      <c r="H25" s="405"/>
      <c r="I25" s="405"/>
      <c r="J25" s="405"/>
    </row>
    <row r="26">
      <c r="A26" s="431">
        <f>IFERROR(__xludf.DUMMYFUNCTION("""COMPUTED_VALUE"""),829.0)</f>
        <v>829</v>
      </c>
      <c r="B26" s="432">
        <f t="array" ref="B26"> IFERROR(XLOOKUP(A26,'6. TIẾN ĐỘ MUA HÀNG'!AE:AE,'6. TIẾN ĐỘ MUA HÀNG'!E:E),"")</f>
        <v>46123</v>
      </c>
      <c r="C26" s="26"/>
      <c r="D26" s="434">
        <f>SUMIF('6. TIẾN ĐỘ MUA HÀNG'!AE:AE,A26,'6. TIẾN ĐỘ MUA HÀNG'!AB:AB)</f>
        <v>6966000</v>
      </c>
      <c r="E26" s="435"/>
      <c r="F26" s="434" t="str">
        <f t="array" ref="F26">IF($G$1="","", IFERROR(INDEX('8. THEO DÕI CHI NCC'!AD:AD, MATCH($G$1, '8. THEO DÕI CHI NCC'!$J:$J, 0)), ""))</f>
        <v/>
      </c>
      <c r="G26" s="405"/>
      <c r="H26" s="405"/>
      <c r="I26" s="405"/>
      <c r="J26" s="405"/>
    </row>
    <row r="27">
      <c r="A27" s="431">
        <f>IFERROR(__xludf.DUMMYFUNCTION("""COMPUTED_VALUE"""),854.0)</f>
        <v>854</v>
      </c>
      <c r="B27" s="432">
        <f t="array" ref="B27"> IFERROR(XLOOKUP(A27,'6. TIẾN ĐỘ MUA HÀNG'!AE:AE,'6. TIẾN ĐỘ MUA HÀNG'!E:E),"")</f>
        <v>46126</v>
      </c>
      <c r="C27" s="26"/>
      <c r="D27" s="434">
        <f>SUMIF('6. TIẾN ĐỘ MUA HÀNG'!AE:AE,A27,'6. TIẾN ĐỘ MUA HÀNG'!AB:AB)</f>
        <v>7905600</v>
      </c>
      <c r="E27" s="435"/>
      <c r="F27" s="434"/>
      <c r="G27" s="405"/>
      <c r="H27" s="405"/>
      <c r="I27" s="405"/>
      <c r="J27" s="405"/>
    </row>
    <row r="28">
      <c r="A28" s="431">
        <f>IFERROR(__xludf.DUMMYFUNCTION("""COMPUTED_VALUE"""),828.0)</f>
        <v>828</v>
      </c>
      <c r="B28" s="432">
        <f t="array" ref="B28"> IFERROR(XLOOKUP(A28,'6. TIẾN ĐỘ MUA HÀNG'!AE:AE,'6. TIẾN ĐỘ MUA HÀNG'!E:E),"")</f>
        <v>46123</v>
      </c>
      <c r="C28" s="26"/>
      <c r="D28" s="434">
        <f>SUMIF('6. TIẾN ĐỘ MUA HÀNG'!AE:AE,A28,'6. TIẾN ĐỘ MUA HÀNG'!AB:AB)</f>
        <v>10665000</v>
      </c>
      <c r="E28" s="435"/>
      <c r="F28" s="434"/>
      <c r="G28" s="405"/>
      <c r="H28" s="405"/>
      <c r="I28" s="405"/>
      <c r="J28" s="405"/>
    </row>
    <row r="29">
      <c r="A29" s="431">
        <f>IFERROR(__xludf.DUMMYFUNCTION("""COMPUTED_VALUE"""),830.0)</f>
        <v>830</v>
      </c>
      <c r="B29" s="432">
        <f t="array" ref="B29"> IFERROR(XLOOKUP(A29,'6. TIẾN ĐỘ MUA HÀNG'!AE:AE,'6. TIẾN ĐỘ MUA HÀNG'!E:E),"")</f>
        <v>46123</v>
      </c>
      <c r="C29" s="26"/>
      <c r="D29" s="434">
        <f>SUMIF('6. TIẾN ĐỘ MUA HÀNG'!AE:AE,A29,'6. TIẾN ĐỘ MUA HÀNG'!AB:AB)</f>
        <v>6966000</v>
      </c>
      <c r="E29" s="435"/>
      <c r="F29" s="434"/>
      <c r="G29" s="405"/>
      <c r="H29" s="405"/>
      <c r="I29" s="405"/>
      <c r="J29" s="405"/>
    </row>
    <row r="30">
      <c r="A30" s="431">
        <f>IFERROR(__xludf.DUMMYFUNCTION("""COMPUTED_VALUE"""),886.0)</f>
        <v>886</v>
      </c>
      <c r="B30" s="432">
        <f t="array" ref="B30"> IFERROR(XLOOKUP(A30,'6. TIẾN ĐỘ MUA HÀNG'!AE:AE,'6. TIẾN ĐỘ MUA HÀNG'!E:E),"")</f>
        <v>46130</v>
      </c>
      <c r="C30" s="26"/>
      <c r="D30" s="434">
        <f>SUMIF('6. TIẾN ĐỘ MUA HÀNG'!AE:AE,A30,'6. TIẾN ĐỘ MUA HÀNG'!AB:AB)</f>
        <v>7302960</v>
      </c>
      <c r="E30" s="435"/>
      <c r="F30" s="434"/>
      <c r="G30" s="405"/>
      <c r="H30" s="405"/>
      <c r="I30" s="405"/>
      <c r="J30" s="405"/>
    </row>
    <row r="31">
      <c r="A31" s="431">
        <f>IFERROR(__xludf.DUMMYFUNCTION("""COMPUTED_VALUE"""),937.0)</f>
        <v>937</v>
      </c>
      <c r="B31" s="432">
        <f t="array" ref="B31"> IFERROR(XLOOKUP(A31,'6. TIẾN ĐỘ MUA HÀNG'!AE:AE,'6. TIẾN ĐỘ MUA HÀNG'!E:E),"")</f>
        <v>46135</v>
      </c>
      <c r="C31" s="26"/>
      <c r="D31" s="434">
        <f>SUMIF('6. TIẾN ĐỘ MUA HÀNG'!AE:AE,A31,'6. TIẾN ĐỘ MUA HÀNG'!AB:AB)</f>
        <v>6345216</v>
      </c>
      <c r="E31" s="435"/>
      <c r="F31" s="434"/>
      <c r="G31" s="405"/>
      <c r="H31" s="405"/>
      <c r="I31" s="405"/>
      <c r="J31" s="405"/>
    </row>
    <row r="32">
      <c r="A32" s="431">
        <f>IFERROR(__xludf.DUMMYFUNCTION("""COMPUTED_VALUE"""),887.0)</f>
        <v>887</v>
      </c>
      <c r="B32" s="432">
        <f t="array" ref="B32"> IFERROR(XLOOKUP(A32,'6. TIẾN ĐỘ MUA HÀNG'!AE:AE,'6. TIẾN ĐỘ MUA HÀNG'!E:E),"")</f>
        <v>46130</v>
      </c>
      <c r="C32" s="26"/>
      <c r="D32" s="434">
        <f>SUMIF('6. TIẾN ĐỘ MUA HÀNG'!AE:AE,A32,'6. TIẾN ĐỘ MUA HÀNG'!AB:AB)</f>
        <v>7198200</v>
      </c>
      <c r="E32" s="435"/>
      <c r="F32" s="434"/>
      <c r="G32" s="405"/>
      <c r="H32" s="405"/>
      <c r="I32" s="405"/>
      <c r="J32" s="405"/>
    </row>
    <row r="33">
      <c r="A33" s="431">
        <f>IFERROR(__xludf.DUMMYFUNCTION("""COMPUTED_VALUE"""),158.0)</f>
        <v>158</v>
      </c>
      <c r="B33" s="432">
        <f t="array" ref="B33"> IFERROR(XLOOKUP(A33,'6. TIẾN ĐỘ MUA HÀNG'!AE:AE,'6. TIẾN ĐỘ MUA HÀNG'!E:E),"")</f>
        <v>46139</v>
      </c>
      <c r="C33" s="26"/>
      <c r="D33" s="434">
        <f>SUMIF('6. TIẾN ĐỘ MUA HÀNG'!AE:AE,A33,'6. TIẾN ĐỘ MUA HÀNG'!AB:AB)</f>
        <v>9636840</v>
      </c>
      <c r="E33" s="435"/>
      <c r="F33" s="434"/>
      <c r="G33" s="405"/>
      <c r="H33" s="405"/>
      <c r="I33" s="405"/>
      <c r="J33" s="405"/>
    </row>
    <row r="34">
      <c r="A34" s="431">
        <f>IFERROR(__xludf.DUMMYFUNCTION("""COMPUTED_VALUE"""),981.0)</f>
        <v>981</v>
      </c>
      <c r="B34" s="437">
        <f t="array" ref="B34"> IFERROR(XLOOKUP(A34,'6. TIẾN ĐỘ MUA HÀNG'!AE:AE,'6. TIẾN ĐỘ MUA HÀNG'!E:E),"")</f>
        <v>46139</v>
      </c>
      <c r="C34" s="438"/>
      <c r="D34" s="434">
        <f>SUMIF('6. TIẾN ĐỘ MUA HÀNG'!AE:AE,A34,'6. TIẾN ĐỘ MUA HÀNG'!AB:AB)</f>
        <v>4418928</v>
      </c>
      <c r="E34" s="435"/>
      <c r="F34" s="434"/>
      <c r="G34" s="405"/>
      <c r="H34" s="405"/>
      <c r="I34" s="405"/>
      <c r="J34" s="405"/>
    </row>
    <row r="35">
      <c r="A35" s="431">
        <f>IFERROR(__xludf.DUMMYFUNCTION("""COMPUTED_VALUE"""),994.0)</f>
        <v>994</v>
      </c>
      <c r="B35" s="437">
        <f t="array" ref="B35"> IFERROR(XLOOKUP(A35,'6. TIẾN ĐỘ MUA HÀNG'!AE:AE,'6. TIẾN ĐỘ MUA HÀNG'!E:E),"")</f>
        <v>46140</v>
      </c>
      <c r="C35" s="438"/>
      <c r="D35" s="434">
        <f>SUMIF('6. TIẾN ĐỘ MUA HÀNG'!AE:AE,A35,'6. TIẾN ĐỘ MUA HÀNG'!AB:AB)</f>
        <v>7171416</v>
      </c>
      <c r="E35" s="435"/>
      <c r="F35" s="434"/>
      <c r="G35" s="405"/>
      <c r="H35" s="405"/>
      <c r="I35" s="405"/>
      <c r="J35" s="405"/>
    </row>
    <row r="36" hidden="1">
      <c r="A36" s="431"/>
      <c r="B36" s="437" t="str">
        <f t="array" ref="B36"> IFERROR(XLOOKUP(A36,'6. TIẾN ĐỘ MUA HÀNG'!AE:AE,'6. TIẾN ĐỘ MUA HÀNG'!E:E),"")</f>
        <v/>
      </c>
      <c r="C36" s="439"/>
      <c r="D36" s="434">
        <f>SUMIF('6. TIẾN ĐỘ MUA HÀNG'!AE:AE,A36,'6. TIẾN ĐỘ MUA HÀNG'!AB:AB)</f>
        <v>0</v>
      </c>
      <c r="E36" s="435"/>
      <c r="F36" s="434"/>
      <c r="G36" s="405"/>
      <c r="H36" s="405"/>
      <c r="I36" s="405"/>
      <c r="J36" s="405"/>
    </row>
    <row r="37" hidden="1">
      <c r="A37" s="431"/>
      <c r="B37" s="437" t="str">
        <f t="array" ref="B37"> IFERROR(XLOOKUP(A37,'6. TIẾN ĐỘ MUA HÀNG'!AE:AE,'6. TIẾN ĐỘ MUA HÀNG'!E:E),"")</f>
        <v/>
      </c>
      <c r="C37" s="440"/>
      <c r="D37" s="434">
        <f>SUMIF('6. TIẾN ĐỘ MUA HÀNG'!AE:AE,A37,'6. TIẾN ĐỘ MUA HÀNG'!AB:AB)</f>
        <v>0</v>
      </c>
      <c r="E37" s="435"/>
      <c r="F37" s="434"/>
      <c r="G37" s="405"/>
      <c r="H37" s="405"/>
      <c r="I37" s="405"/>
      <c r="J37" s="405"/>
    </row>
    <row r="38" hidden="1">
      <c r="A38" s="431"/>
      <c r="B38" s="437" t="str">
        <f t="array" ref="B38"> IFERROR(XLOOKUP(A38,'6. TIẾN ĐỘ MUA HÀNG'!AE:AE,'6. TIẾN ĐỘ MUA HÀNG'!E:E),"")</f>
        <v/>
      </c>
      <c r="C38" s="440"/>
      <c r="D38" s="434">
        <f>SUMIF('6. TIẾN ĐỘ MUA HÀNG'!AE:AE,A38,'6. TIẾN ĐỘ MUA HÀNG'!AB:AB)</f>
        <v>0</v>
      </c>
      <c r="E38" s="435"/>
      <c r="F38" s="434"/>
      <c r="G38" s="405"/>
      <c r="H38" s="405"/>
      <c r="I38" s="405"/>
      <c r="J38" s="405"/>
    </row>
    <row r="39" hidden="1">
      <c r="A39" s="431"/>
      <c r="B39" s="437" t="str">
        <f t="array" ref="B39"> IFERROR(XLOOKUP(A39,'6. TIẾN ĐỘ MUA HÀNG'!AE:AE,'6. TIẾN ĐỘ MUA HÀNG'!E:E),"")</f>
        <v/>
      </c>
      <c r="C39" s="440"/>
      <c r="D39" s="434">
        <f>SUMIF('6. TIẾN ĐỘ MUA HÀNG'!AE:AE,A39,'6. TIẾN ĐỘ MUA HÀNG'!AB:AB)</f>
        <v>0</v>
      </c>
      <c r="E39" s="435"/>
      <c r="F39" s="434"/>
      <c r="G39" s="405"/>
      <c r="H39" s="405"/>
      <c r="I39" s="405"/>
      <c r="J39" s="405"/>
    </row>
    <row r="40" hidden="1">
      <c r="A40" s="431"/>
      <c r="B40" s="437" t="str">
        <f t="array" ref="B40"> IFERROR(XLOOKUP(A40,'6. TIẾN ĐỘ MUA HÀNG'!AE:AE,'6. TIẾN ĐỘ MUA HÀNG'!E:E),"")</f>
        <v/>
      </c>
      <c r="C40" s="440"/>
      <c r="D40" s="434">
        <f>SUMIF('6. TIẾN ĐỘ MUA HÀNG'!AE:AE,A40,'6. TIẾN ĐỘ MUA HÀNG'!AB:AB)</f>
        <v>0</v>
      </c>
      <c r="E40" s="435"/>
      <c r="F40" s="434"/>
      <c r="G40" s="405"/>
      <c r="H40" s="405"/>
      <c r="I40" s="405"/>
      <c r="J40" s="405"/>
    </row>
    <row r="41" hidden="1">
      <c r="A41" s="431"/>
      <c r="B41" s="437" t="str">
        <f t="array" ref="B41"> IFERROR(XLOOKUP(A41,'6. TIẾN ĐỘ MUA HÀNG'!AE:AE,'6. TIẾN ĐỘ MUA HÀNG'!E:E),"")</f>
        <v/>
      </c>
      <c r="C41" s="440"/>
      <c r="D41" s="434">
        <f>SUMIF('6. TIẾN ĐỘ MUA HÀNG'!AE:AE,A41,'6. TIẾN ĐỘ MUA HÀNG'!AB:AB)</f>
        <v>0</v>
      </c>
      <c r="E41" s="435"/>
      <c r="F41" s="434"/>
      <c r="G41" s="405"/>
      <c r="H41" s="405"/>
      <c r="I41" s="405"/>
      <c r="J41" s="405"/>
    </row>
    <row r="42" hidden="1">
      <c r="A42" s="431"/>
      <c r="B42" s="437" t="str">
        <f t="array" ref="B42"> IFERROR(XLOOKUP(A42,'6. TIẾN ĐỘ MUA HÀNG'!AE:AE,'6. TIẾN ĐỘ MUA HÀNG'!E:E),"")</f>
        <v/>
      </c>
      <c r="C42" s="440"/>
      <c r="D42" s="434">
        <f>SUMIF('6. TIẾN ĐỘ MUA HÀNG'!AE:AE,A42,'6. TIẾN ĐỘ MUA HÀNG'!AB:AB)</f>
        <v>0</v>
      </c>
      <c r="E42" s="435"/>
      <c r="F42" s="434"/>
      <c r="G42" s="405"/>
      <c r="H42" s="405"/>
      <c r="I42" s="405"/>
      <c r="J42" s="405"/>
    </row>
    <row r="43" hidden="1">
      <c r="A43" s="431"/>
      <c r="B43" s="437" t="str">
        <f t="array" ref="B43"> IFERROR(XLOOKUP(A43,'6. TIẾN ĐỘ MUA HÀNG'!AE:AE,'6. TIẾN ĐỘ MUA HÀNG'!E:E),"")</f>
        <v/>
      </c>
      <c r="C43" s="440"/>
      <c r="D43" s="434">
        <f>SUMIF('6. TIẾN ĐỘ MUA HÀNG'!AE:AE,A43,'6. TIẾN ĐỘ MUA HÀNG'!AB:AB)</f>
        <v>0</v>
      </c>
      <c r="E43" s="435"/>
      <c r="F43" s="434" t="str">
        <f t="array" ref="F43">IF($G$1="","", IFERROR(INDEX('8. THEO DÕI CHI NCC'!AD:AD, MATCH($G$1, '8. THEO DÕI CHI NCC'!$J:$J, 0)), ""))</f>
        <v/>
      </c>
      <c r="G43" s="405"/>
      <c r="H43" s="405"/>
      <c r="I43" s="405"/>
      <c r="J43" s="405"/>
    </row>
    <row r="44" hidden="1">
      <c r="A44" s="431"/>
      <c r="B44" s="437" t="str">
        <f t="array" ref="B44"> IFERROR(XLOOKUP(A44,'6. TIẾN ĐỘ MUA HÀNG'!AE:AE,'6. TIẾN ĐỘ MUA HÀNG'!E:E),"")</f>
        <v/>
      </c>
      <c r="C44" s="440"/>
      <c r="D44" s="434">
        <f>SUMIF('6. TIẾN ĐỘ MUA HÀNG'!AE:AE,A44,'6. TIẾN ĐỘ MUA HÀNG'!AB:AB)</f>
        <v>0</v>
      </c>
      <c r="E44" s="435"/>
      <c r="F44" s="434"/>
      <c r="G44" s="405"/>
      <c r="H44" s="405"/>
      <c r="I44" s="405"/>
      <c r="J44" s="405"/>
    </row>
    <row r="45" hidden="1">
      <c r="A45" s="431"/>
      <c r="B45" s="437" t="str">
        <f t="array" ref="B45"> IFERROR(XLOOKUP(A45,'6. TIẾN ĐỘ MUA HÀNG'!AE:AE,'6. TIẾN ĐỘ MUA HÀNG'!E:E),"")</f>
        <v/>
      </c>
      <c r="C45" s="440"/>
      <c r="D45" s="434">
        <f>SUMIF('6. TIẾN ĐỘ MUA HÀNG'!AE:AE,A45,'6. TIẾN ĐỘ MUA HÀNG'!AB:AB)</f>
        <v>0</v>
      </c>
      <c r="E45" s="435"/>
      <c r="F45" s="434"/>
      <c r="G45" s="405"/>
      <c r="H45" s="405"/>
      <c r="I45" s="405"/>
      <c r="J45" s="405"/>
    </row>
    <row r="46" hidden="1">
      <c r="A46" s="431"/>
      <c r="B46" s="437" t="str">
        <f t="array" ref="B46"> IFERROR(XLOOKUP(A46,'6. TIẾN ĐỘ MUA HÀNG'!AE:AE,'6. TIẾN ĐỘ MUA HÀNG'!E:E),"")</f>
        <v/>
      </c>
      <c r="C46" s="440"/>
      <c r="D46" s="434">
        <f>SUMIF('6. TIẾN ĐỘ MUA HÀNG'!AE:AE,A46,'6. TIẾN ĐỘ MUA HÀNG'!AB:AB)</f>
        <v>0</v>
      </c>
      <c r="E46" s="435"/>
      <c r="F46" s="434"/>
      <c r="G46" s="405"/>
      <c r="H46" s="405"/>
      <c r="I46" s="405"/>
      <c r="J46" s="405"/>
    </row>
    <row r="47" hidden="1">
      <c r="A47" s="431"/>
      <c r="B47" s="437" t="str">
        <f t="array" ref="B47"> IFERROR(XLOOKUP(A47,'6. TIẾN ĐỘ MUA HÀNG'!AE:AE,'6. TIẾN ĐỘ MUA HÀNG'!E:E),"")</f>
        <v/>
      </c>
      <c r="C47" s="440"/>
      <c r="D47" s="434">
        <f>SUMIF('6. TIẾN ĐỘ MUA HÀNG'!AE:AE,A47,'6. TIẾN ĐỘ MUA HÀNG'!AB:AB)</f>
        <v>0</v>
      </c>
      <c r="E47" s="435"/>
      <c r="F47" s="434"/>
      <c r="G47" s="405"/>
      <c r="H47" s="405"/>
      <c r="I47" s="405"/>
      <c r="J47" s="405"/>
    </row>
    <row r="48" hidden="1">
      <c r="A48" s="431"/>
      <c r="B48" s="437" t="str">
        <f t="array" ref="B48"> IFERROR(XLOOKUP(A48,'6. TIẾN ĐỘ MUA HÀNG'!AE:AE,'6. TIẾN ĐỘ MUA HÀNG'!E:E),"")</f>
        <v/>
      </c>
      <c r="C48" s="440"/>
      <c r="D48" s="434">
        <f>SUMIF('6. TIẾN ĐỘ MUA HÀNG'!AE:AE,A48,'6. TIẾN ĐỘ MUA HÀNG'!AB:AB)</f>
        <v>0</v>
      </c>
      <c r="E48" s="435"/>
      <c r="F48" s="434"/>
      <c r="G48" s="405"/>
      <c r="H48" s="405"/>
      <c r="I48" s="405"/>
      <c r="J48" s="405"/>
    </row>
    <row r="49" hidden="1">
      <c r="A49" s="431"/>
      <c r="B49" s="437" t="str">
        <f t="array" ref="B49"> IFERROR(XLOOKUP(A49,'6. TIẾN ĐỘ MUA HÀNG'!AE:AE,'6. TIẾN ĐỘ MUA HÀNG'!E:E),"")</f>
        <v/>
      </c>
      <c r="C49" s="440"/>
      <c r="D49" s="434">
        <f>SUMIF('6. TIẾN ĐỘ MUA HÀNG'!AE:AE,A49,'6. TIẾN ĐỘ MUA HÀNG'!AB:AB)</f>
        <v>0</v>
      </c>
      <c r="E49" s="435"/>
      <c r="F49" s="434"/>
      <c r="G49" s="405"/>
      <c r="H49" s="405"/>
      <c r="I49" s="405"/>
      <c r="J49" s="405"/>
    </row>
    <row r="50" hidden="1">
      <c r="A50" s="431"/>
      <c r="B50" s="437" t="str">
        <f t="array" ref="B50"> IFERROR(XLOOKUP(A50,'6. TIẾN ĐỘ MUA HÀNG'!AE:AE,'6. TIẾN ĐỘ MUA HÀNG'!E:E),"")</f>
        <v/>
      </c>
      <c r="C50" s="440"/>
      <c r="D50" s="434">
        <f>SUMIF('6. TIẾN ĐỘ MUA HÀNG'!AE:AE,A50,'6. TIẾN ĐỘ MUA HÀNG'!AB:AB)</f>
        <v>0</v>
      </c>
      <c r="E50" s="435"/>
      <c r="F50" s="434"/>
      <c r="G50" s="405"/>
      <c r="H50" s="405"/>
      <c r="I50" s="405"/>
      <c r="J50" s="405"/>
    </row>
    <row r="51" hidden="1">
      <c r="A51" s="431"/>
      <c r="B51" s="437" t="str">
        <f t="array" ref="B51"> IFERROR(XLOOKUP(A51,'6. TIẾN ĐỘ MUA HÀNG'!AE:AE,'6. TIẾN ĐỘ MUA HÀNG'!E:E),"")</f>
        <v/>
      </c>
      <c r="C51" s="440"/>
      <c r="D51" s="434">
        <f>SUMIF('6. TIẾN ĐỘ MUA HÀNG'!AE:AE,A51,'6. TIẾN ĐỘ MUA HÀNG'!AB:AB)</f>
        <v>0</v>
      </c>
      <c r="E51" s="435"/>
      <c r="F51" s="434" t="str">
        <f t="array" ref="F51">IF($G$1="","", IFERROR(INDEX('8. THEO DÕI CHI NCC'!AD:AD, MATCH($G$1, '8. THEO DÕI CHI NCC'!$J:$J, 0)), ""))</f>
        <v/>
      </c>
      <c r="G51" s="405"/>
      <c r="H51" s="405"/>
      <c r="I51" s="405"/>
      <c r="J51" s="405"/>
    </row>
    <row r="52" hidden="1">
      <c r="A52" s="431"/>
      <c r="B52" s="437" t="str">
        <f t="array" ref="B52"> IFERROR(XLOOKUP(A52,'6. TIẾN ĐỘ MUA HÀNG'!AE:AE,'6. TIẾN ĐỘ MUA HÀNG'!E:E),"")</f>
        <v/>
      </c>
      <c r="C52" s="440"/>
      <c r="D52" s="434">
        <f>SUMIF('6. TIẾN ĐỘ MUA HÀNG'!AE:AE,A52,'6. TIẾN ĐỘ MUA HÀNG'!AB:AB)</f>
        <v>0</v>
      </c>
      <c r="E52" s="435"/>
      <c r="F52" s="434" t="str">
        <f t="array" ref="F52">IF($G$1="","", IFERROR(INDEX('8. THEO DÕI CHI NCC'!AD:AD, MATCH($G$1, '8. THEO DÕI CHI NCC'!$J:$J, 0)), ""))</f>
        <v/>
      </c>
      <c r="G52" s="405"/>
      <c r="H52" s="405"/>
      <c r="I52" s="405"/>
      <c r="J52" s="405"/>
    </row>
    <row r="53" hidden="1">
      <c r="A53" s="431"/>
      <c r="B53" s="437" t="str">
        <f t="array" ref="B53"> IFERROR(XLOOKUP(A53,'6. TIẾN ĐỘ MUA HÀNG'!AE:AE,'6. TIẾN ĐỘ MUA HÀNG'!E:E),"")</f>
        <v/>
      </c>
      <c r="C53" s="440"/>
      <c r="D53" s="434">
        <f>SUMIF('6. TIẾN ĐỘ MUA HÀNG'!AE:AE,A53,'6. TIẾN ĐỘ MUA HÀNG'!AB:AB)</f>
        <v>0</v>
      </c>
      <c r="E53" s="435"/>
      <c r="F53" s="434"/>
      <c r="G53" s="405"/>
      <c r="H53" s="405"/>
      <c r="I53" s="405"/>
      <c r="J53" s="405"/>
    </row>
    <row r="54" hidden="1">
      <c r="A54" s="431"/>
      <c r="B54" s="437" t="str">
        <f t="array" ref="B54"> IFERROR(XLOOKUP(A54,'6. TIẾN ĐỘ MUA HÀNG'!AE:AE,'6. TIẾN ĐỘ MUA HÀNG'!E:E),"")</f>
        <v/>
      </c>
      <c r="C54" s="440"/>
      <c r="D54" s="434">
        <f>SUMIF('6. TIẾN ĐỘ MUA HÀNG'!AE:AE,A54,'6. TIẾN ĐỘ MUA HÀNG'!AB:AB)</f>
        <v>0</v>
      </c>
      <c r="E54" s="435"/>
      <c r="F54" s="434" t="str">
        <f t="array" ref="F54">IF($G$1="","", IFERROR(INDEX('8. THEO DÕI CHI NCC'!AD:AD, MATCH($G$1, '8. THEO DÕI CHI NCC'!$J:$J, 0)), ""))</f>
        <v/>
      </c>
      <c r="G54" s="405"/>
      <c r="H54" s="405"/>
      <c r="I54" s="405"/>
      <c r="J54" s="405"/>
    </row>
    <row r="55" hidden="1">
      <c r="A55" s="431"/>
      <c r="B55" s="437" t="str">
        <f t="array" ref="B55"> IFERROR(XLOOKUP(A55,'6. TIẾN ĐỘ MUA HÀNG'!AE:AE,'6. TIẾN ĐỘ MUA HÀNG'!E:E),"")</f>
        <v/>
      </c>
      <c r="C55" s="440"/>
      <c r="D55" s="434">
        <f>SUMIF('6. TIẾN ĐỘ MUA HÀNG'!AE:AE,A55,'6. TIẾN ĐỘ MUA HÀNG'!AB:AB)</f>
        <v>0</v>
      </c>
      <c r="E55" s="435"/>
      <c r="F55" s="434" t="str">
        <f t="array" ref="F55">IF($G$1="","", IFERROR(INDEX('8. THEO DÕI CHI NCC'!AD:AD, MATCH($G$1, '8. THEO DÕI CHI NCC'!$J:$J, 0)), ""))</f>
        <v/>
      </c>
      <c r="G55" s="405"/>
      <c r="H55" s="405"/>
      <c r="I55" s="405"/>
      <c r="J55" s="405"/>
    </row>
    <row r="56" hidden="1">
      <c r="A56" s="431"/>
      <c r="B56" s="437" t="str">
        <f t="array" ref="B56"> IFERROR(XLOOKUP(A56,'6. TIẾN ĐỘ MUA HÀNG'!AE:AE,'6. TIẾN ĐỘ MUA HÀNG'!E:E),"")</f>
        <v/>
      </c>
      <c r="C56" s="440"/>
      <c r="D56" s="434">
        <f>SUMIF('6. TIẾN ĐỘ MUA HÀNG'!AE:AE,A56,'6. TIẾN ĐỘ MUA HÀNG'!AB:AB)</f>
        <v>0</v>
      </c>
      <c r="E56" s="435"/>
      <c r="F56" s="434" t="str">
        <f t="array" ref="F56">IF($G$1="","", IFERROR(INDEX('8. THEO DÕI CHI NCC'!AD:AD, MATCH($G$1, '8. THEO DÕI CHI NCC'!$J:$J, 0)), ""))</f>
        <v/>
      </c>
      <c r="G56" s="405"/>
      <c r="H56" s="405"/>
      <c r="I56" s="405"/>
      <c r="J56" s="405"/>
    </row>
    <row r="57" hidden="1">
      <c r="A57" s="431"/>
      <c r="B57" s="437" t="str">
        <f t="array" ref="B57"> IFERROR(XLOOKUP(A57,'6. TIẾN ĐỘ MUA HÀNG'!AE:AE,'6. TIẾN ĐỘ MUA HÀNG'!E:E),"")</f>
        <v/>
      </c>
      <c r="C57" s="440"/>
      <c r="D57" s="434">
        <f>SUMIF('6. TIẾN ĐỘ MUA HÀNG'!AE:AE,A57,'6. TIẾN ĐỘ MUA HÀNG'!AB:AB)</f>
        <v>0</v>
      </c>
      <c r="E57" s="435"/>
      <c r="F57" s="434" t="str">
        <f t="array" ref="F57">IF($G$1="","", IFERROR(INDEX('8. THEO DÕI CHI NCC'!AD:AD, MATCH($G$1, '8. THEO DÕI CHI NCC'!$J:$J, 0)), ""))</f>
        <v/>
      </c>
      <c r="G57" s="405"/>
      <c r="H57" s="405"/>
      <c r="I57" s="405"/>
      <c r="J57" s="405"/>
    </row>
    <row r="58" hidden="1">
      <c r="A58" s="431"/>
      <c r="B58" s="437" t="str">
        <f t="array" ref="B58"> IFERROR(XLOOKUP(A58,'6. TIẾN ĐỘ MUA HÀNG'!AE:AE,'6. TIẾN ĐỘ MUA HÀNG'!E:E),"")</f>
        <v/>
      </c>
      <c r="C58" s="440"/>
      <c r="D58" s="434">
        <f>SUMIF('6. TIẾN ĐỘ MUA HÀNG'!AE:AE,A58,'6. TIẾN ĐỘ MUA HÀNG'!AB:AB)</f>
        <v>0</v>
      </c>
      <c r="E58" s="435"/>
      <c r="F58" s="434" t="str">
        <f t="array" ref="F58">IF($G$1="","", IFERROR(INDEX('8. THEO DÕI CHI NCC'!AD:AD, MATCH($G$1, '8. THEO DÕI CHI NCC'!$J:$J, 0)), ""))</f>
        <v/>
      </c>
      <c r="G58" s="405"/>
      <c r="H58" s="405"/>
      <c r="I58" s="405"/>
      <c r="J58" s="405"/>
    </row>
    <row r="59" hidden="1">
      <c r="A59" s="431"/>
      <c r="B59" s="437" t="str">
        <f t="array" ref="B59"> IFERROR(XLOOKUP(A59,'6. TIẾN ĐỘ MUA HÀNG'!AE:AE,'6. TIẾN ĐỘ MUA HÀNG'!E:E),"")</f>
        <v/>
      </c>
      <c r="C59" s="441"/>
      <c r="D59" s="434">
        <f>SUMIF('6. TIẾN ĐỘ MUA HÀNG'!AE:AE,A59,'6. TIẾN ĐỘ MUA HÀNG'!AB:AB)</f>
        <v>0</v>
      </c>
      <c r="E59" s="435"/>
      <c r="F59" s="434" t="str">
        <f t="array" ref="F59">IF($G$1="","", IFERROR(INDEX('8. THEO DÕI CHI NCC'!AD:AD, MATCH($G$1, '8. THEO DÕI CHI NCC'!$J:$J, 0)), ""))</f>
        <v/>
      </c>
      <c r="G59" s="405"/>
      <c r="H59" s="405"/>
      <c r="I59" s="405"/>
      <c r="J59" s="405"/>
    </row>
    <row r="60">
      <c r="A60" s="429" t="s">
        <v>1226</v>
      </c>
      <c r="B60" s="442"/>
      <c r="C60" s="443"/>
      <c r="D60" s="444">
        <f t="shared" ref="D60:E60" si="1">SUM(D21:D59)</f>
        <v>89636760</v>
      </c>
      <c r="E60" s="445">
        <f t="shared" si="1"/>
        <v>0</v>
      </c>
      <c r="F60" s="446" t="s">
        <v>1227</v>
      </c>
      <c r="G60" s="447"/>
      <c r="H60" s="447"/>
      <c r="I60" s="447"/>
      <c r="J60" s="447"/>
    </row>
    <row r="61">
      <c r="A61" s="404"/>
      <c r="B61" s="404"/>
      <c r="C61" s="404"/>
      <c r="D61" s="404"/>
      <c r="E61" s="404"/>
      <c r="F61" s="404"/>
      <c r="G61" s="405"/>
      <c r="H61" s="405"/>
      <c r="I61" s="405"/>
      <c r="J61" s="405"/>
    </row>
    <row r="62">
      <c r="A62" s="422" t="s">
        <v>1228</v>
      </c>
      <c r="B62" s="404"/>
      <c r="C62" s="404"/>
      <c r="D62" s="404"/>
      <c r="E62" s="404"/>
      <c r="F62" s="404"/>
      <c r="G62" s="405"/>
      <c r="H62" s="405"/>
      <c r="I62" s="405"/>
      <c r="J62" s="405"/>
    </row>
    <row r="63">
      <c r="A63" s="425" t="s">
        <v>1220</v>
      </c>
      <c r="B63" s="426"/>
      <c r="C63" s="427" t="s">
        <v>1221</v>
      </c>
      <c r="D63" s="428" t="s">
        <v>1229</v>
      </c>
      <c r="E63" s="428" t="s">
        <v>1230</v>
      </c>
      <c r="F63" s="448" t="s">
        <v>1174</v>
      </c>
      <c r="G63" s="405"/>
      <c r="H63" s="405"/>
      <c r="I63" s="405"/>
      <c r="J63" s="405"/>
    </row>
    <row r="64">
      <c r="A64" s="449" t="s">
        <v>1231</v>
      </c>
      <c r="B64" s="429" t="s">
        <v>1225</v>
      </c>
      <c r="C64" s="430"/>
      <c r="D64" s="23"/>
      <c r="E64" s="23"/>
      <c r="F64" s="23"/>
      <c r="G64" s="405"/>
      <c r="H64" s="405"/>
      <c r="I64" s="405"/>
      <c r="J64" s="405"/>
    </row>
    <row r="65">
      <c r="A65" s="450"/>
      <c r="B65" s="451"/>
      <c r="C65" s="450"/>
      <c r="D65" s="435"/>
      <c r="E65" s="435"/>
      <c r="F65" s="452"/>
      <c r="G65" s="405"/>
      <c r="H65" s="405"/>
      <c r="I65" s="405"/>
      <c r="J65" s="405"/>
    </row>
    <row r="66">
      <c r="A66" s="429" t="s">
        <v>1226</v>
      </c>
      <c r="B66" s="453"/>
      <c r="C66" s="429" t="s">
        <v>1232</v>
      </c>
      <c r="D66" s="454">
        <f t="shared" ref="D66:E66" si="2">SUM(D65)</f>
        <v>0</v>
      </c>
      <c r="E66" s="454">
        <f t="shared" si="2"/>
        <v>0</v>
      </c>
      <c r="F66" s="455"/>
      <c r="G66" s="405"/>
      <c r="H66" s="405"/>
      <c r="I66" s="405"/>
      <c r="J66" s="405"/>
    </row>
    <row r="67">
      <c r="A67" s="404"/>
      <c r="B67" s="404"/>
      <c r="C67" s="404"/>
      <c r="D67" s="404"/>
      <c r="E67" s="404"/>
      <c r="F67" s="404"/>
      <c r="G67" s="405"/>
      <c r="H67" s="405"/>
      <c r="I67" s="405"/>
      <c r="J67" s="405"/>
    </row>
    <row r="68">
      <c r="A68" s="456" t="b">
        <v>1</v>
      </c>
      <c r="B68" s="457" t="s">
        <v>1233</v>
      </c>
      <c r="C68" s="458">
        <f>D60</f>
        <v>89636760</v>
      </c>
      <c r="D68" s="459"/>
      <c r="E68" s="459"/>
      <c r="F68" s="409"/>
      <c r="G68" s="405"/>
      <c r="H68" s="405"/>
      <c r="I68" s="405"/>
      <c r="J68" s="405"/>
    </row>
    <row r="69">
      <c r="A69" s="456" t="b">
        <v>0</v>
      </c>
      <c r="B69" s="457" t="s">
        <v>1234</v>
      </c>
      <c r="C69" s="460"/>
      <c r="D69" s="461"/>
      <c r="E69" s="461"/>
      <c r="F69" s="426"/>
      <c r="G69" s="405"/>
      <c r="H69" s="405"/>
      <c r="I69" s="405"/>
      <c r="J69" s="405"/>
    </row>
    <row r="70">
      <c r="A70" s="404"/>
      <c r="B70" s="404" t="s">
        <v>1235</v>
      </c>
      <c r="C70" s="462" t="str">
        <f>IF(A68,VND(C68),IF(A69,VND(C69),""))</f>
        <v>Tám mươi chín triệu sáu trăm ba mươi sáu nghìn bảy trăm sáu mươi đồng chẵn.</v>
      </c>
      <c r="D70" s="463"/>
      <c r="E70" s="463"/>
      <c r="F70" s="463"/>
      <c r="G70" s="405"/>
      <c r="H70" s="405"/>
      <c r="I70" s="405"/>
      <c r="J70" s="405"/>
    </row>
    <row r="71">
      <c r="A71" s="404"/>
      <c r="B71" s="404"/>
      <c r="C71" s="464"/>
      <c r="D71" s="464"/>
      <c r="E71" s="464"/>
      <c r="F71" s="464"/>
      <c r="G71" s="405"/>
      <c r="H71" s="405"/>
      <c r="I71" s="405"/>
      <c r="J71" s="405"/>
    </row>
    <row r="72">
      <c r="A72" s="418" t="s">
        <v>1236</v>
      </c>
      <c r="B72" s="419"/>
      <c r="C72" s="419"/>
      <c r="D72" s="419"/>
      <c r="E72" s="419"/>
      <c r="F72" s="419"/>
      <c r="G72" s="405"/>
      <c r="H72" s="405"/>
      <c r="I72" s="405"/>
      <c r="J72" s="405"/>
    </row>
    <row r="73">
      <c r="A73" s="404" t="str">
        <f>A1</f>
        <v>CÔNG TY TNHH DEGO HOLDING</v>
      </c>
      <c r="B73" s="404"/>
      <c r="C73" s="404"/>
      <c r="D73" s="404"/>
      <c r="E73" s="404"/>
      <c r="F73" s="404"/>
      <c r="G73" s="405"/>
      <c r="H73" s="405"/>
      <c r="I73" s="405"/>
      <c r="J73" s="405"/>
    </row>
    <row r="74">
      <c r="A74" s="465" t="b">
        <v>0</v>
      </c>
      <c r="B74" s="466" t="s">
        <v>1237</v>
      </c>
      <c r="C74" s="467"/>
      <c r="D74" s="467"/>
      <c r="E74" s="467"/>
      <c r="F74" s="468"/>
      <c r="G74" s="405"/>
      <c r="H74" s="405"/>
      <c r="I74" s="405"/>
      <c r="J74" s="405"/>
    </row>
    <row r="75">
      <c r="A75" s="465" t="b">
        <v>1</v>
      </c>
      <c r="B75" s="469" t="s">
        <v>1238</v>
      </c>
      <c r="C75" s="447" t="s">
        <v>1239</v>
      </c>
      <c r="D75" s="405" t="str">
        <f t="array" ref="D75">if($A$75,IFERROR(XLOOKUP($B$15,'0.Ngân Hàng'!A:A,'0.Ngân Hàng'!A:A),""))</f>
        <v>CÔNG TY CỔ PHẦN MEKONG LOGISTICS</v>
      </c>
      <c r="E75" s="470"/>
      <c r="F75" s="471"/>
      <c r="G75" s="405"/>
      <c r="H75" s="405"/>
      <c r="I75" s="405"/>
      <c r="J75" s="405"/>
    </row>
    <row r="76">
      <c r="A76" s="405"/>
      <c r="B76" s="469"/>
      <c r="C76" s="447" t="s">
        <v>1240</v>
      </c>
      <c r="D76" s="405" t="str">
        <f t="array" ref="D76">if($A$75,IFERROR(XLOOKUP($B$15,'0.Ngân Hàng'!A:A,'0.Ngân Hàng'!B:B),""))</f>
        <v/>
      </c>
      <c r="E76" s="472"/>
      <c r="F76" s="473"/>
      <c r="G76" s="405"/>
      <c r="H76" s="405"/>
      <c r="I76" s="405"/>
      <c r="J76" s="405"/>
    </row>
    <row r="77">
      <c r="A77" s="405"/>
      <c r="B77" s="469"/>
      <c r="C77" s="447" t="s">
        <v>1241</v>
      </c>
      <c r="D77" s="405" t="str">
        <f t="array" ref="D77">if($A$75,IFERROR(XLOOKUP($B$15,'0.Ngân Hàng'!A:A,'0.Ngân Hàng'!C:C),""))</f>
        <v/>
      </c>
      <c r="E77" s="472"/>
      <c r="F77" s="473"/>
      <c r="G77" s="405"/>
      <c r="H77" s="405"/>
      <c r="I77" s="405"/>
      <c r="J77" s="405"/>
    </row>
    <row r="78">
      <c r="A78" s="405"/>
      <c r="B78" s="474"/>
      <c r="C78" s="475" t="s">
        <v>1242</v>
      </c>
      <c r="D78" s="476" t="str">
        <f>C21</f>
        <v>Thanh toán công nợ CÔNG TY CỔ PHẦN MEKONG LOGISTICS 04/2026</v>
      </c>
      <c r="E78" s="477"/>
      <c r="F78" s="478"/>
      <c r="G78" s="405"/>
      <c r="H78" s="405"/>
      <c r="I78" s="405"/>
      <c r="J78" s="405"/>
    </row>
    <row r="79">
      <c r="A79" s="404"/>
      <c r="B79" s="404"/>
      <c r="C79" s="404"/>
      <c r="D79" s="404"/>
      <c r="E79" s="404"/>
      <c r="F79" s="404"/>
      <c r="G79" s="405"/>
      <c r="H79" s="405"/>
      <c r="I79" s="405"/>
      <c r="J79" s="405"/>
    </row>
    <row r="80">
      <c r="A80" s="404"/>
      <c r="B80" s="404"/>
      <c r="C80" s="404"/>
      <c r="D80" s="404"/>
      <c r="E80" s="404"/>
      <c r="F80" s="404"/>
      <c r="G80" s="405"/>
      <c r="H80" s="405"/>
      <c r="I80" s="405"/>
      <c r="J80" s="405"/>
    </row>
    <row r="81">
      <c r="A81" s="479" t="s">
        <v>1243</v>
      </c>
      <c r="B81" s="479"/>
      <c r="C81" s="479"/>
      <c r="D81" s="479"/>
      <c r="E81" s="479"/>
      <c r="F81" s="479"/>
      <c r="G81" s="405"/>
      <c r="H81" s="405"/>
      <c r="I81" s="405"/>
      <c r="J81" s="405"/>
    </row>
    <row r="82">
      <c r="A82" s="404"/>
      <c r="C82" s="404"/>
      <c r="D82" s="404"/>
      <c r="F82" s="404"/>
      <c r="G82" s="405"/>
      <c r="H82" s="405"/>
      <c r="I82" s="405"/>
      <c r="J82" s="405"/>
    </row>
    <row r="83">
      <c r="A83" s="480" t="s">
        <v>1244</v>
      </c>
      <c r="B83" s="480" t="s">
        <v>1245</v>
      </c>
      <c r="D83" s="480" t="s">
        <v>1246</v>
      </c>
      <c r="F83" s="480" t="s">
        <v>1247</v>
      </c>
      <c r="G83" s="405"/>
      <c r="H83" s="405"/>
      <c r="I83" s="405"/>
      <c r="J83" s="405"/>
    </row>
    <row r="84">
      <c r="A84" s="480" t="s">
        <v>1248</v>
      </c>
      <c r="B84" s="480" t="s">
        <v>1248</v>
      </c>
      <c r="D84" s="480" t="s">
        <v>1248</v>
      </c>
      <c r="F84" s="480" t="s">
        <v>1248</v>
      </c>
      <c r="G84" s="405"/>
      <c r="H84" s="405"/>
      <c r="I84" s="405"/>
      <c r="J84" s="405"/>
    </row>
    <row r="85">
      <c r="A85" s="481"/>
      <c r="B85" s="481"/>
      <c r="C85" s="481"/>
      <c r="D85" s="481"/>
      <c r="E85" s="481"/>
      <c r="F85" s="481"/>
      <c r="G85" s="405"/>
      <c r="H85" s="405"/>
      <c r="I85" s="405"/>
      <c r="J85" s="405"/>
    </row>
    <row r="86">
      <c r="A86" s="482"/>
      <c r="B86" s="482"/>
      <c r="C86" s="482"/>
      <c r="D86" s="482"/>
      <c r="E86" s="482"/>
      <c r="F86" s="482"/>
      <c r="G86" s="405"/>
      <c r="H86" s="405"/>
      <c r="I86" s="405"/>
      <c r="J86" s="405"/>
    </row>
    <row r="87">
      <c r="A87" s="482"/>
      <c r="B87" s="482"/>
      <c r="C87" s="482"/>
      <c r="D87" s="482"/>
      <c r="E87" s="482"/>
      <c r="F87" s="482"/>
      <c r="G87" s="405"/>
      <c r="H87" s="405"/>
      <c r="I87" s="405"/>
      <c r="J87" s="405"/>
    </row>
    <row r="88">
      <c r="A88" s="482"/>
      <c r="B88" s="482"/>
      <c r="C88" s="482"/>
      <c r="D88" s="482"/>
      <c r="E88" s="482"/>
      <c r="F88" s="482"/>
      <c r="G88" s="405"/>
      <c r="H88" s="405"/>
      <c r="I88" s="405"/>
      <c r="J88" s="405"/>
    </row>
    <row r="89">
      <c r="A89" s="482"/>
      <c r="B89" s="482"/>
      <c r="C89" s="482"/>
      <c r="D89" s="482"/>
      <c r="E89" s="482"/>
      <c r="F89" s="482"/>
      <c r="G89" s="405"/>
      <c r="H89" s="405"/>
      <c r="I89" s="405"/>
      <c r="J89" s="405"/>
    </row>
    <row r="90">
      <c r="A90" s="483" t="s">
        <v>1249</v>
      </c>
      <c r="B90" s="479"/>
      <c r="C90" s="479"/>
      <c r="D90" s="479"/>
      <c r="E90" s="479"/>
      <c r="F90" s="479"/>
      <c r="G90" s="405"/>
      <c r="H90" s="405"/>
      <c r="I90" s="405"/>
      <c r="J90" s="405"/>
    </row>
    <row r="91">
      <c r="A91" s="484">
        <v>1.0</v>
      </c>
      <c r="B91" s="485"/>
      <c r="C91" s="482"/>
      <c r="D91" s="482"/>
      <c r="E91" s="482"/>
      <c r="F91" s="482"/>
      <c r="G91" s="405"/>
      <c r="H91" s="405"/>
      <c r="I91" s="405"/>
      <c r="J91" s="405"/>
    </row>
    <row r="92">
      <c r="A92" s="484">
        <v>2.0</v>
      </c>
      <c r="B92" s="485"/>
      <c r="C92" s="482"/>
      <c r="D92" s="482"/>
      <c r="E92" s="482"/>
      <c r="F92" s="482"/>
      <c r="G92" s="405"/>
      <c r="H92" s="405"/>
      <c r="I92" s="405"/>
      <c r="J92" s="405"/>
    </row>
    <row r="93">
      <c r="A93" s="484">
        <v>3.0</v>
      </c>
      <c r="B93" s="485"/>
      <c r="C93" s="404"/>
      <c r="D93" s="404"/>
      <c r="E93" s="404"/>
      <c r="F93" s="404"/>
      <c r="G93" s="405"/>
      <c r="H93" s="405"/>
      <c r="I93" s="405"/>
      <c r="J93" s="405"/>
    </row>
    <row r="94">
      <c r="A94" s="484">
        <v>4.0</v>
      </c>
      <c r="B94" s="485"/>
      <c r="C94" s="404"/>
      <c r="D94" s="404"/>
      <c r="E94" s="404"/>
      <c r="F94" s="404"/>
      <c r="G94" s="405"/>
      <c r="H94" s="405"/>
      <c r="I94" s="405"/>
      <c r="J94" s="405"/>
    </row>
    <row r="95">
      <c r="A95" s="424">
        <v>5.0</v>
      </c>
      <c r="B95" s="485"/>
      <c r="C95" s="404"/>
      <c r="D95" s="404"/>
      <c r="E95" s="404"/>
      <c r="F95" s="404"/>
      <c r="G95" s="405"/>
      <c r="H95" s="405"/>
      <c r="I95" s="405"/>
      <c r="J95" s="405"/>
    </row>
    <row r="96">
      <c r="A96" s="482"/>
      <c r="B96" s="482"/>
      <c r="C96" s="485" t="s">
        <v>1227</v>
      </c>
      <c r="D96" s="482"/>
      <c r="E96" s="485" t="s">
        <v>1227</v>
      </c>
      <c r="F96" s="482"/>
      <c r="G96" s="405"/>
      <c r="H96" s="405"/>
      <c r="I96" s="405"/>
      <c r="J96" s="405"/>
    </row>
    <row r="97">
      <c r="A97" s="482"/>
      <c r="B97" s="482"/>
      <c r="C97" s="481" t="s">
        <v>1250</v>
      </c>
      <c r="D97" s="481"/>
      <c r="E97" s="481" t="s">
        <v>1251</v>
      </c>
      <c r="F97" s="482"/>
      <c r="G97" s="405"/>
      <c r="H97" s="405"/>
      <c r="I97" s="405"/>
      <c r="J97" s="405"/>
    </row>
    <row r="98">
      <c r="A98" s="482"/>
      <c r="B98" s="482"/>
      <c r="C98" s="482" t="s">
        <v>1252</v>
      </c>
      <c r="D98" s="482"/>
      <c r="E98" s="482" t="s">
        <v>1252</v>
      </c>
      <c r="F98" s="482"/>
      <c r="G98" s="405"/>
      <c r="H98" s="405"/>
      <c r="I98" s="405"/>
      <c r="J98" s="405"/>
    </row>
    <row r="99">
      <c r="A99" s="486" t="s">
        <v>1253</v>
      </c>
      <c r="C99" s="487"/>
      <c r="D99" s="488"/>
      <c r="E99" s="487"/>
      <c r="F99" s="487"/>
      <c r="G99" s="405"/>
      <c r="H99" s="405"/>
      <c r="I99" s="405"/>
      <c r="J99" s="405"/>
    </row>
    <row r="100">
      <c r="A100" s="486" t="s">
        <v>1254</v>
      </c>
      <c r="C100" s="487"/>
      <c r="D100" s="488"/>
      <c r="E100" s="487"/>
      <c r="F100" s="487"/>
      <c r="G100" s="405"/>
      <c r="H100" s="405"/>
      <c r="I100" s="405"/>
      <c r="J100" s="405"/>
    </row>
    <row r="101">
      <c r="A101" s="447" t="s">
        <v>1255</v>
      </c>
      <c r="C101" s="489"/>
      <c r="D101" s="405"/>
      <c r="E101" s="489"/>
      <c r="F101" s="489"/>
      <c r="G101" s="405"/>
      <c r="H101" s="405"/>
      <c r="I101" s="405"/>
      <c r="J101" s="405"/>
    </row>
    <row r="102">
      <c r="A102" s="405"/>
      <c r="B102" s="405"/>
      <c r="C102" s="405"/>
      <c r="D102" s="405"/>
      <c r="E102" s="405"/>
      <c r="F102" s="405"/>
      <c r="G102" s="405"/>
      <c r="H102" s="405"/>
      <c r="I102" s="405"/>
      <c r="J102" s="405"/>
    </row>
    <row r="103">
      <c r="A103" s="405"/>
      <c r="B103" s="405"/>
      <c r="C103" s="405"/>
      <c r="D103" s="405"/>
      <c r="E103" s="405"/>
      <c r="F103" s="405"/>
      <c r="G103" s="405"/>
      <c r="H103" s="405"/>
      <c r="I103" s="405"/>
      <c r="J103" s="405"/>
    </row>
    <row r="104">
      <c r="A104" s="405"/>
      <c r="B104" s="405"/>
      <c r="C104" s="405"/>
      <c r="D104" s="405"/>
      <c r="E104" s="405"/>
      <c r="F104" s="405"/>
      <c r="G104" s="405"/>
      <c r="H104" s="405"/>
      <c r="I104" s="405"/>
      <c r="J104" s="405"/>
    </row>
  </sheetData>
  <mergeCells count="28">
    <mergeCell ref="A1:D1"/>
    <mergeCell ref="E2:F2"/>
    <mergeCell ref="A5:F5"/>
    <mergeCell ref="A6:F6"/>
    <mergeCell ref="A7:F7"/>
    <mergeCell ref="A19:B19"/>
    <mergeCell ref="C19:C20"/>
    <mergeCell ref="F19:F20"/>
    <mergeCell ref="D19:D20"/>
    <mergeCell ref="E19:E20"/>
    <mergeCell ref="C21:C33"/>
    <mergeCell ref="A63:B63"/>
    <mergeCell ref="C63:C64"/>
    <mergeCell ref="D63:D64"/>
    <mergeCell ref="E63:E64"/>
    <mergeCell ref="B83:C83"/>
    <mergeCell ref="B84:C84"/>
    <mergeCell ref="D84:E84"/>
    <mergeCell ref="A99:B99"/>
    <mergeCell ref="A100:B100"/>
    <mergeCell ref="A101:B101"/>
    <mergeCell ref="F63:F64"/>
    <mergeCell ref="C68:F68"/>
    <mergeCell ref="C69:F69"/>
    <mergeCell ref="D78:F78"/>
    <mergeCell ref="A82:B82"/>
    <mergeCell ref="D82:E82"/>
    <mergeCell ref="D83:E83"/>
  </mergeCells>
  <dataValidations>
    <dataValidation type="list" allowBlank="1" sqref="J2">
      <formula1>"01/2026,02/2026,03/2026,04/2026,05/2026,06/2026,07/2026,08/2026,09/2026,10/2026,11/2026,12/2026"</formula1>
    </dataValidation>
    <dataValidation type="list" allowBlank="1" showErrorMessage="1" sqref="J1">
      <formula1>TIẾN_ĐỘ_MUA_HÀNG[Đơn vị vận chuyển]</formula1>
    </dataValidation>
    <dataValidation type="list" allowBlank="1" showErrorMessage="1" sqref="J3">
      <formula1>"DEGO,IDA,Icare"</formula1>
    </dataValidation>
    <dataValidation type="list" allowBlank="1" showErrorMessage="1" sqref="A1">
      <formula1>'1. DATA CHUNG'!$E$4:$E104</formula1>
    </dataValidation>
  </dataValidations>
  <printOptions horizontalCentered="1"/>
  <pageMargins bottom="0.4938898766686423" footer="0.0" header="0.0" left="0.2173115457342026" right="0.24694493833432116" top="0.19755595066745693"/>
  <pageSetup paperSize="14" orientation="portrait" pageOrder="overThenDown"/>
  <drawing r:id="rId1"/>
</worksheet>
</file>